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OSTORESKONTRA\Ostolaskudata_240425\2025\"/>
    </mc:Choice>
  </mc:AlternateContent>
  <xr:revisionPtr revIDLastSave="0" documentId="13_ncr:1_{8A2F3C0D-3DFC-4DAD-8683-F649D661F366}" xr6:coauthVersionLast="47" xr6:coauthVersionMax="47" xr10:uidLastSave="{00000000-0000-0000-0000-000000000000}"/>
  <bookViews>
    <workbookView xWindow="-120" yWindow="-120" windowWidth="29040" windowHeight="15720" xr2:uid="{07727B49-60AD-438C-BD65-503524A762EE}"/>
  </bookViews>
  <sheets>
    <sheet name="orlalu2025_1000_332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659" i="1" l="1"/>
  <c r="D22919" i="1"/>
  <c r="D22918" i="1"/>
  <c r="D18085" i="1"/>
  <c r="D14658" i="1"/>
  <c r="D3544" i="1"/>
  <c r="D3543" i="1"/>
  <c r="D15781" i="1"/>
  <c r="D3633" i="1"/>
  <c r="D1457" i="1"/>
  <c r="D25209" i="1"/>
  <c r="D15006" i="1"/>
  <c r="D22936" i="1"/>
  <c r="D11985" i="1"/>
  <c r="D3542" i="1"/>
  <c r="D3529" i="1"/>
  <c r="D3541" i="1"/>
  <c r="D18126" i="1"/>
  <c r="D18125" i="1"/>
  <c r="D3540" i="1"/>
  <c r="D3528" i="1"/>
  <c r="D3539" i="1"/>
  <c r="D18887" i="1"/>
  <c r="D18883" i="1"/>
  <c r="D18886" i="1"/>
  <c r="D15004" i="1"/>
  <c r="D8241" i="1"/>
  <c r="D2900" i="1"/>
  <c r="D2899" i="1"/>
  <c r="D2901" i="1"/>
  <c r="D15005" i="1"/>
  <c r="D17591" i="1"/>
  <c r="D17590" i="1"/>
  <c r="D5632" i="1"/>
  <c r="D5617" i="1"/>
  <c r="D5610" i="1"/>
  <c r="D5631" i="1"/>
  <c r="D22917" i="1"/>
  <c r="D3629" i="1"/>
  <c r="D13932" i="1"/>
  <c r="D18882" i="1"/>
  <c r="D18885" i="1"/>
  <c r="D11680" i="1"/>
  <c r="D3670" i="1"/>
  <c r="D2909" i="1"/>
  <c r="D2908" i="1"/>
  <c r="D18407" i="1"/>
  <c r="D18884" i="1"/>
  <c r="D17778" i="1"/>
  <c r="D12541" i="1"/>
  <c r="D8240" i="1"/>
  <c r="D1143" i="1"/>
  <c r="D662" i="1"/>
  <c r="D1120" i="1"/>
  <c r="D8239" i="1"/>
  <c r="D18084" i="1"/>
  <c r="D1315" i="1"/>
  <c r="D1313" i="1"/>
  <c r="D1312" i="1"/>
  <c r="D1314" i="1"/>
  <c r="D1144" i="1"/>
  <c r="D14148" i="1"/>
  <c r="D3627" i="1"/>
  <c r="D1456" i="1"/>
  <c r="D2905" i="1"/>
  <c r="D2903" i="1"/>
  <c r="D2902" i="1"/>
  <c r="D2904" i="1"/>
  <c r="D5650" i="1"/>
  <c r="D13116" i="1"/>
  <c r="D3538" i="1"/>
  <c r="D3532" i="1"/>
  <c r="D3527" i="1"/>
  <c r="D3537" i="1"/>
  <c r="D5630" i="1"/>
  <c r="D5616" i="1"/>
  <c r="D5609" i="1"/>
  <c r="D5629" i="1"/>
  <c r="D12428" i="1"/>
  <c r="D12540" i="1"/>
  <c r="D12535" i="1"/>
  <c r="D12539" i="1"/>
  <c r="D3628" i="1"/>
  <c r="D12016" i="1"/>
  <c r="D4936" i="1"/>
  <c r="D3626" i="1"/>
  <c r="D3536" i="1"/>
  <c r="D3531" i="1"/>
  <c r="D3526" i="1"/>
  <c r="D3535" i="1"/>
  <c r="D5628" i="1"/>
  <c r="D5615" i="1"/>
  <c r="D5608" i="1"/>
  <c r="D5627" i="1"/>
  <c r="D12322" i="1"/>
  <c r="D22935" i="1"/>
  <c r="D22934" i="1"/>
  <c r="D5626" i="1"/>
  <c r="D5614" i="1"/>
  <c r="D5607" i="1"/>
  <c r="D5625" i="1"/>
  <c r="D22937" i="1"/>
  <c r="D5624" i="1"/>
  <c r="D5613" i="1"/>
  <c r="D5606" i="1"/>
  <c r="D5623" i="1"/>
  <c r="D5622" i="1"/>
  <c r="D5612" i="1"/>
  <c r="D5605" i="1"/>
  <c r="D5621" i="1"/>
  <c r="D5620" i="1"/>
  <c r="D5611" i="1"/>
  <c r="D5604" i="1"/>
  <c r="D5619" i="1"/>
  <c r="D22916" i="1"/>
  <c r="D22920" i="1"/>
  <c r="D4761" i="1"/>
  <c r="D12323" i="1"/>
  <c r="D3534" i="1"/>
  <c r="D3530" i="1"/>
  <c r="D3525" i="1"/>
  <c r="D3533" i="1"/>
  <c r="D15799" i="1"/>
  <c r="D12538" i="1"/>
  <c r="D12536" i="1"/>
  <c r="D12534" i="1"/>
  <c r="D12537" i="1"/>
  <c r="D5618" i="1"/>
  <c r="D1200" i="1"/>
  <c r="D1199" i="1"/>
  <c r="D25544" i="1"/>
  <c r="D18083" i="1"/>
  <c r="D15818" i="1"/>
  <c r="D18877" i="1"/>
  <c r="D15735" i="1"/>
  <c r="D12712" i="1"/>
  <c r="D12711" i="1"/>
  <c r="D12710" i="1"/>
  <c r="D12709" i="1"/>
  <c r="D5053" i="1"/>
  <c r="D18811" i="1"/>
  <c r="D18810" i="1"/>
  <c r="D18809" i="1"/>
  <c r="D18808" i="1"/>
  <c r="D1045" i="1"/>
  <c r="D1044" i="1"/>
  <c r="D12708" i="1"/>
  <c r="D12707" i="1"/>
  <c r="D1043" i="1"/>
  <c r="D14560" i="1"/>
  <c r="D1042" i="1"/>
  <c r="D14705" i="1"/>
  <c r="D25331" i="1"/>
  <c r="D1041" i="1"/>
  <c r="D1040" i="1"/>
  <c r="D1039" i="1"/>
  <c r="D1038" i="1"/>
  <c r="D23611" i="1"/>
  <c r="D19650" i="1"/>
  <c r="D19377" i="1"/>
  <c r="D19376" i="1"/>
  <c r="D1037" i="1"/>
  <c r="D1036" i="1"/>
  <c r="D19375" i="1"/>
  <c r="D18777" i="1"/>
  <c r="D10124" i="1"/>
  <c r="D10057" i="1"/>
  <c r="D18530" i="1"/>
  <c r="D1035" i="1"/>
  <c r="D1034" i="1"/>
  <c r="D24868" i="1"/>
  <c r="D24867" i="1"/>
  <c r="D24864" i="1"/>
  <c r="D24863" i="1"/>
  <c r="D24862" i="1"/>
  <c r="D4332" i="1"/>
  <c r="D4331" i="1"/>
  <c r="D18510" i="1"/>
  <c r="D18466" i="1"/>
  <c r="D18465" i="1"/>
  <c r="D18464" i="1"/>
  <c r="D23600" i="1"/>
  <c r="D23599" i="1"/>
  <c r="D23598" i="1"/>
  <c r="D14707" i="1"/>
  <c r="D10494" i="1"/>
  <c r="D4746" i="1"/>
  <c r="D25333" i="1"/>
  <c r="D23610" i="1"/>
  <c r="D5463" i="1"/>
  <c r="D5462" i="1"/>
  <c r="D14718" i="1"/>
  <c r="D13899" i="1"/>
  <c r="D18767" i="1"/>
  <c r="D18776" i="1"/>
  <c r="D19427" i="1"/>
  <c r="D23526" i="1"/>
  <c r="D14604" i="1"/>
  <c r="D19649" i="1"/>
  <c r="D10811" i="1"/>
  <c r="D18567" i="1"/>
  <c r="D18566" i="1"/>
  <c r="D18565" i="1"/>
  <c r="D12020" i="1"/>
  <c r="D23602" i="1"/>
  <c r="D5097" i="1"/>
  <c r="D19444" i="1"/>
  <c r="D18470" i="1"/>
  <c r="D14147" i="1"/>
  <c r="D19668" i="1"/>
  <c r="D18529" i="1"/>
  <c r="D5859" i="1"/>
  <c r="D18807" i="1"/>
  <c r="D11932" i="1"/>
  <c r="D19414" i="1"/>
  <c r="D19413" i="1"/>
  <c r="D19412" i="1"/>
  <c r="D18469" i="1"/>
  <c r="D18806" i="1"/>
  <c r="D16121" i="1"/>
  <c r="D16120" i="1"/>
  <c r="D18768" i="1"/>
  <c r="D24866" i="1"/>
  <c r="D19379" i="1"/>
  <c r="D5927" i="1"/>
  <c r="D18570" i="1"/>
  <c r="D5775" i="1"/>
  <c r="D19065" i="1"/>
  <c r="D23597" i="1"/>
  <c r="D23596" i="1"/>
  <c r="D23595" i="1"/>
  <c r="D23594" i="1"/>
  <c r="D23593" i="1"/>
  <c r="D18571" i="1"/>
  <c r="D5923" i="1"/>
  <c r="D18764" i="1"/>
  <c r="D18805" i="1"/>
  <c r="D18804" i="1"/>
  <c r="D18876" i="1"/>
  <c r="D18848" i="1"/>
  <c r="D3978" i="1"/>
  <c r="D23592" i="1"/>
  <c r="D23591" i="1"/>
  <c r="D23590" i="1"/>
  <c r="D23614" i="1"/>
  <c r="D19446" i="1"/>
  <c r="D19445" i="1"/>
  <c r="D9969" i="1"/>
  <c r="D19443" i="1"/>
  <c r="D16119" i="1"/>
  <c r="D19442" i="1"/>
  <c r="D18531" i="1"/>
  <c r="D18803" i="1"/>
  <c r="D18822" i="1"/>
  <c r="D18821" i="1"/>
  <c r="D18820" i="1"/>
  <c r="D23589" i="1"/>
  <c r="D18525" i="1"/>
  <c r="D18524" i="1"/>
  <c r="D19411" i="1"/>
  <c r="D19410" i="1"/>
  <c r="D19409" i="1"/>
  <c r="D18770" i="1"/>
  <c r="D18819" i="1"/>
  <c r="D10279" i="1"/>
  <c r="D4606" i="1"/>
  <c r="D14602" i="1"/>
  <c r="D13902" i="1"/>
  <c r="D23612" i="1"/>
  <c r="D1033" i="1"/>
  <c r="D4330" i="1"/>
  <c r="D4682" i="1"/>
  <c r="D23601" i="1"/>
  <c r="D1032" i="1"/>
  <c r="D18802" i="1"/>
  <c r="D18801" i="1"/>
  <c r="D18800" i="1"/>
  <c r="D23609" i="1"/>
  <c r="D18468" i="1"/>
  <c r="D19432" i="1"/>
  <c r="D19408" i="1"/>
  <c r="D19407" i="1"/>
  <c r="D19406" i="1"/>
  <c r="D23506" i="1"/>
  <c r="D18459" i="1"/>
  <c r="D18824" i="1"/>
  <c r="D18799" i="1"/>
  <c r="D15244" i="1"/>
  <c r="D15243" i="1"/>
  <c r="D18472" i="1"/>
  <c r="D4681" i="1"/>
  <c r="D18798" i="1"/>
  <c r="D1031" i="1"/>
  <c r="D15371" i="1"/>
  <c r="D1030" i="1"/>
  <c r="D1029" i="1"/>
  <c r="D18471" i="1"/>
  <c r="D1028" i="1"/>
  <c r="D1027" i="1"/>
  <c r="D18797" i="1"/>
  <c r="D1026" i="1"/>
  <c r="D18449" i="1"/>
  <c r="D18775" i="1"/>
  <c r="D18796" i="1"/>
  <c r="D18795" i="1"/>
  <c r="D18812" i="1"/>
  <c r="D18828" i="1"/>
  <c r="D23608" i="1"/>
  <c r="D18818" i="1"/>
  <c r="D18794" i="1"/>
  <c r="D19441" i="1"/>
  <c r="D23588" i="1"/>
  <c r="D18463" i="1"/>
  <c r="D18462" i="1"/>
  <c r="D13931" i="1"/>
  <c r="D836" i="1"/>
  <c r="D11559" i="1"/>
  <c r="D11558" i="1"/>
  <c r="D11557" i="1"/>
  <c r="D18461" i="1"/>
  <c r="D3979" i="1"/>
  <c r="D19405" i="1"/>
  <c r="D19404" i="1"/>
  <c r="D19403" i="1"/>
  <c r="D13133" i="1"/>
  <c r="D25357" i="1"/>
  <c r="D8216" i="1"/>
  <c r="D10278" i="1"/>
  <c r="D5896" i="1"/>
  <c r="D18515" i="1"/>
  <c r="D19440" i="1"/>
  <c r="D666" i="1"/>
  <c r="D19402" i="1"/>
  <c r="D19401" i="1"/>
  <c r="D19400" i="1"/>
  <c r="D17810" i="1"/>
  <c r="D4581" i="1"/>
  <c r="D19399" i="1"/>
  <c r="D19398" i="1"/>
  <c r="D19397" i="1"/>
  <c r="D19380" i="1"/>
  <c r="D14704" i="1"/>
  <c r="D18875" i="1"/>
  <c r="D18874" i="1"/>
  <c r="D18532" i="1"/>
  <c r="D3439" i="1"/>
  <c r="D5774" i="1"/>
  <c r="D19439" i="1"/>
  <c r="D5054" i="1"/>
  <c r="D1025" i="1"/>
  <c r="D5096" i="1"/>
  <c r="D5094" i="1"/>
  <c r="D1024" i="1"/>
  <c r="D14031" i="1"/>
  <c r="D14030" i="1"/>
  <c r="D1023" i="1"/>
  <c r="D1022" i="1"/>
  <c r="D25170" i="1"/>
  <c r="D1021" i="1"/>
  <c r="D1020" i="1"/>
  <c r="D23587" i="1"/>
  <c r="D23586" i="1"/>
  <c r="D18871" i="1"/>
  <c r="D14603" i="1"/>
  <c r="D1019" i="1"/>
  <c r="D1018" i="1"/>
  <c r="D1017" i="1"/>
  <c r="D1016" i="1"/>
  <c r="D4329" i="1"/>
  <c r="D19655" i="1"/>
  <c r="D19654" i="1"/>
  <c r="D19653" i="1"/>
  <c r="D1015" i="1"/>
  <c r="D14656" i="1"/>
  <c r="D18817" i="1"/>
  <c r="D12533" i="1"/>
  <c r="D12532" i="1"/>
  <c r="D3088" i="1"/>
  <c r="D3087" i="1"/>
  <c r="D24865" i="1"/>
  <c r="D18899" i="1"/>
  <c r="D3912" i="1"/>
  <c r="D3911" i="1"/>
  <c r="D3910" i="1"/>
  <c r="D3909" i="1"/>
  <c r="D10056" i="1"/>
  <c r="D19438" i="1"/>
  <c r="D18448" i="1"/>
  <c r="D18447" i="1"/>
  <c r="D18446" i="1"/>
  <c r="D18445" i="1"/>
  <c r="D14483" i="1"/>
  <c r="D18827" i="1"/>
  <c r="D18816" i="1"/>
  <c r="D18815" i="1"/>
  <c r="D18814" i="1"/>
  <c r="D18813" i="1"/>
  <c r="D18458" i="1"/>
  <c r="D18457" i="1"/>
  <c r="D18456" i="1"/>
  <c r="D18455" i="1"/>
  <c r="D18454" i="1"/>
  <c r="D18514" i="1"/>
  <c r="D18881" i="1"/>
  <c r="D14566" i="1"/>
  <c r="D18453" i="1"/>
  <c r="D4328" i="1"/>
  <c r="D5893" i="1"/>
  <c r="D19396" i="1"/>
  <c r="D19395" i="1"/>
  <c r="D19394" i="1"/>
  <c r="D5892" i="1"/>
  <c r="D11564" i="1"/>
  <c r="D11562" i="1"/>
  <c r="D11560" i="1"/>
  <c r="D11563" i="1"/>
  <c r="D11561" i="1"/>
  <c r="D18460" i="1"/>
  <c r="D17788" i="1"/>
  <c r="D9139" i="1"/>
  <c r="D18452" i="1"/>
  <c r="D18444" i="1"/>
  <c r="D14706" i="1"/>
  <c r="D14717" i="1"/>
  <c r="D25330" i="1"/>
  <c r="D18793" i="1"/>
  <c r="D5895" i="1"/>
  <c r="D18792" i="1"/>
  <c r="D5894" i="1"/>
  <c r="D5897" i="1"/>
  <c r="D11931" i="1"/>
  <c r="D25332" i="1"/>
  <c r="D18528" i="1"/>
  <c r="D18527" i="1"/>
  <c r="D4645" i="1"/>
  <c r="D12019" i="1"/>
  <c r="D18866" i="1"/>
  <c r="D19437" i="1"/>
  <c r="D18766" i="1"/>
  <c r="D19393" i="1"/>
  <c r="D19392" i="1"/>
  <c r="D19391" i="1"/>
  <c r="D27083" i="1"/>
  <c r="D18880" i="1"/>
  <c r="D771" i="1"/>
  <c r="D23607" i="1"/>
  <c r="D4327" i="1"/>
  <c r="D18870" i="1"/>
  <c r="D10275" i="1"/>
  <c r="D18791" i="1"/>
  <c r="D23606" i="1"/>
  <c r="D18873" i="1"/>
  <c r="D13207" i="1"/>
  <c r="D19149" i="1"/>
  <c r="D15370" i="1"/>
  <c r="D18790" i="1"/>
  <c r="D18872" i="1"/>
  <c r="D23585" i="1"/>
  <c r="D23613" i="1"/>
  <c r="D19436" i="1"/>
  <c r="D18451" i="1"/>
  <c r="D18450" i="1"/>
  <c r="D19390" i="1"/>
  <c r="D19389" i="1"/>
  <c r="D19388" i="1"/>
  <c r="D11935" i="1"/>
  <c r="D13901" i="1"/>
  <c r="D3977" i="1"/>
  <c r="D13900" i="1"/>
  <c r="D14482" i="1"/>
  <c r="D14481" i="1"/>
  <c r="D11769" i="1"/>
  <c r="D11768" i="1"/>
  <c r="D10277" i="1"/>
  <c r="D3674" i="1"/>
  <c r="D19141" i="1"/>
  <c r="D3908" i="1"/>
  <c r="D3907" i="1"/>
  <c r="D3906" i="1"/>
  <c r="D3905" i="1"/>
  <c r="D5095" i="1"/>
  <c r="D15779" i="1"/>
  <c r="D1014" i="1"/>
  <c r="D18443" i="1"/>
  <c r="D1013" i="1"/>
  <c r="D3440" i="1"/>
  <c r="D632" i="1"/>
  <c r="D5891" i="1"/>
  <c r="D5890" i="1"/>
  <c r="D11934" i="1"/>
  <c r="D23605" i="1"/>
  <c r="D1012" i="1"/>
  <c r="D1011" i="1"/>
  <c r="D1010" i="1"/>
  <c r="D4326" i="1"/>
  <c r="D1009" i="1"/>
  <c r="D1008" i="1"/>
  <c r="D17789" i="1"/>
  <c r="D1007" i="1"/>
  <c r="D1006" i="1"/>
  <c r="D1005" i="1"/>
  <c r="D1004" i="1"/>
  <c r="D7991" i="1"/>
  <c r="D19387" i="1"/>
  <c r="D19386" i="1"/>
  <c r="D19385" i="1"/>
  <c r="D19435" i="1"/>
  <c r="D11933" i="1"/>
  <c r="D18789" i="1"/>
  <c r="D23584" i="1"/>
  <c r="D5971" i="1"/>
  <c r="D23583" i="1"/>
  <c r="D10280" i="1"/>
  <c r="D4683" i="1"/>
  <c r="D18829" i="1"/>
  <c r="D18769" i="1"/>
  <c r="D15275" i="1"/>
  <c r="D18788" i="1"/>
  <c r="D18826" i="1"/>
  <c r="D18825" i="1"/>
  <c r="D5918" i="1"/>
  <c r="D4583" i="1"/>
  <c r="D4582" i="1"/>
  <c r="D15369" i="1"/>
  <c r="D23604" i="1"/>
  <c r="D19430" i="1"/>
  <c r="D18869" i="1"/>
  <c r="D5136" i="1"/>
  <c r="D19431" i="1"/>
  <c r="D18823" i="1"/>
  <c r="D15734" i="1"/>
  <c r="D15733" i="1"/>
  <c r="D10276" i="1"/>
  <c r="D18787" i="1"/>
  <c r="D19384" i="1"/>
  <c r="D19383" i="1"/>
  <c r="D19382" i="1"/>
  <c r="D16122" i="1"/>
  <c r="D18786" i="1"/>
  <c r="D18785" i="1"/>
  <c r="D18784" i="1"/>
  <c r="D18783" i="1"/>
  <c r="D19434" i="1"/>
  <c r="D19142" i="1"/>
  <c r="D19381" i="1"/>
  <c r="D18774" i="1"/>
  <c r="D15092" i="1"/>
  <c r="D18568" i="1"/>
  <c r="D18467" i="1"/>
  <c r="D18773" i="1"/>
  <c r="D18772" i="1"/>
  <c r="D18915" i="1"/>
  <c r="D23603" i="1"/>
  <c r="D18771" i="1"/>
  <c r="D14032" i="1"/>
  <c r="D18513" i="1"/>
  <c r="D14716" i="1"/>
  <c r="D19433" i="1"/>
  <c r="D10209" i="1"/>
  <c r="D1536" i="1"/>
  <c r="D1537" i="1"/>
  <c r="D1538" i="1"/>
  <c r="D1539" i="1"/>
  <c r="D1540" i="1"/>
  <c r="D1541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493" i="1"/>
  <c r="D1494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495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501" i="1"/>
  <c r="D1502" i="1"/>
  <c r="D1503" i="1"/>
  <c r="D1504" i="1"/>
  <c r="D1505" i="1"/>
  <c r="D1506" i="1"/>
  <c r="D1507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0484" i="1"/>
  <c r="D17331" i="1"/>
  <c r="D17334" i="1"/>
  <c r="D13139" i="1"/>
  <c r="D1704" i="1"/>
  <c r="D1705" i="1"/>
  <c r="D1706" i="1"/>
  <c r="D1707" i="1"/>
  <c r="D1708" i="1"/>
  <c r="D8078" i="1"/>
  <c r="D15783" i="1"/>
  <c r="D15789" i="1"/>
  <c r="D15784" i="1"/>
  <c r="D15790" i="1"/>
  <c r="D14140" i="1"/>
  <c r="D10900" i="1"/>
  <c r="D12677" i="1"/>
  <c r="D12678" i="1"/>
  <c r="D12679" i="1"/>
  <c r="D11681" i="1"/>
  <c r="D11682" i="1"/>
  <c r="D17349" i="1"/>
  <c r="D17350" i="1"/>
  <c r="D17351" i="1"/>
  <c r="D17352" i="1"/>
  <c r="D17353" i="1"/>
  <c r="D17354" i="1"/>
  <c r="D15277" i="1"/>
  <c r="D15282" i="1"/>
  <c r="D13915" i="1"/>
  <c r="D12916" i="1"/>
  <c r="D1054" i="1"/>
  <c r="D11683" i="1"/>
  <c r="D11684" i="1"/>
  <c r="D11685" i="1"/>
  <c r="D11686" i="1"/>
  <c r="D17355" i="1"/>
  <c r="D17356" i="1"/>
  <c r="D17357" i="1"/>
  <c r="D17358" i="1"/>
  <c r="D17359" i="1"/>
  <c r="D17360" i="1"/>
  <c r="D13140" i="1"/>
  <c r="D10311" i="1"/>
  <c r="D10312" i="1"/>
  <c r="D13889" i="1"/>
  <c r="D13895" i="1"/>
  <c r="D13890" i="1"/>
  <c r="D13896" i="1"/>
  <c r="D13891" i="1"/>
  <c r="D19067" i="1"/>
  <c r="D10901" i="1"/>
  <c r="D13041" i="1"/>
  <c r="D13042" i="1"/>
  <c r="D10956" i="1"/>
  <c r="D18590" i="1"/>
  <c r="D18591" i="1"/>
  <c r="D18592" i="1"/>
  <c r="D8115" i="1"/>
  <c r="D8098" i="1"/>
  <c r="D8116" i="1"/>
  <c r="D8117" i="1"/>
  <c r="D19069" i="1"/>
  <c r="D15070" i="1"/>
  <c r="D3208" i="1"/>
  <c r="D15080" i="1"/>
  <c r="D15081" i="1"/>
  <c r="D15082" i="1"/>
  <c r="D19697" i="1"/>
  <c r="D19698" i="1"/>
  <c r="D3756" i="1"/>
  <c r="D4180" i="1"/>
  <c r="D1055" i="1"/>
  <c r="D1056" i="1"/>
  <c r="D13208" i="1"/>
  <c r="D9948" i="1"/>
  <c r="D25745" i="1"/>
  <c r="D624" i="1"/>
  <c r="D1057" i="1"/>
  <c r="D1058" i="1"/>
  <c r="D1059" i="1"/>
  <c r="D13984" i="1"/>
  <c r="D9410" i="1"/>
  <c r="D9108" i="1"/>
  <c r="D9109" i="1"/>
  <c r="D3758" i="1"/>
  <c r="D3759" i="1"/>
  <c r="D3760" i="1"/>
  <c r="D3761" i="1"/>
  <c r="D3762" i="1"/>
  <c r="D3763" i="1"/>
  <c r="D848" i="1"/>
  <c r="D860" i="1"/>
  <c r="D873" i="1"/>
  <c r="D8020" i="1"/>
  <c r="D8021" i="1"/>
  <c r="D17811" i="1"/>
  <c r="D10984" i="1"/>
  <c r="D10329" i="1"/>
  <c r="D10330" i="1"/>
  <c r="D10331" i="1"/>
  <c r="D10332" i="1"/>
  <c r="D7557" i="1"/>
  <c r="D5977" i="1"/>
  <c r="D5978" i="1"/>
  <c r="D5979" i="1"/>
  <c r="D5980" i="1"/>
  <c r="D7558" i="1"/>
  <c r="D5981" i="1"/>
  <c r="D5982" i="1"/>
  <c r="D7559" i="1"/>
  <c r="D5983" i="1"/>
  <c r="D7560" i="1"/>
  <c r="D5984" i="1"/>
  <c r="D7561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846" i="1"/>
  <c r="D5847" i="1"/>
  <c r="D10986" i="1"/>
  <c r="D15567" i="1"/>
  <c r="D8019" i="1"/>
  <c r="D26295" i="1"/>
  <c r="D5309" i="1"/>
  <c r="D12600" i="1"/>
  <c r="D3680" i="1"/>
  <c r="D5997" i="1"/>
  <c r="D5998" i="1"/>
  <c r="D5999" i="1"/>
  <c r="D6000" i="1"/>
  <c r="D6001" i="1"/>
  <c r="D7562" i="1"/>
  <c r="D6002" i="1"/>
  <c r="D6003" i="1"/>
  <c r="D6004" i="1"/>
  <c r="D7563" i="1"/>
  <c r="D6005" i="1"/>
  <c r="D7564" i="1"/>
  <c r="D6006" i="1"/>
  <c r="D7565" i="1"/>
  <c r="D18260" i="1"/>
  <c r="D19721" i="1"/>
  <c r="D10495" i="1"/>
  <c r="D9464" i="1"/>
  <c r="D9411" i="1"/>
  <c r="D9412" i="1"/>
  <c r="D1051" i="1"/>
  <c r="D23648" i="1"/>
  <c r="D3639" i="1"/>
  <c r="D3640" i="1"/>
  <c r="D19722" i="1"/>
  <c r="D19723" i="1"/>
  <c r="D14632" i="1"/>
  <c r="D14633" i="1"/>
  <c r="D3190" i="1"/>
  <c r="D3218" i="1"/>
  <c r="D25334" i="1"/>
  <c r="D23570" i="1"/>
  <c r="D9796" i="1"/>
  <c r="D9797" i="1"/>
  <c r="D9798" i="1"/>
  <c r="D9799" i="1"/>
  <c r="D9800" i="1"/>
  <c r="D9801" i="1"/>
  <c r="D17607" i="1"/>
  <c r="D25177" i="1"/>
  <c r="D4383" i="1"/>
  <c r="D4384" i="1"/>
  <c r="D4157" i="1"/>
  <c r="D4158" i="1"/>
  <c r="D4170" i="1"/>
  <c r="D8392" i="1"/>
  <c r="D8393" i="1"/>
  <c r="D3716" i="1"/>
  <c r="D3468" i="1"/>
  <c r="D3469" i="1"/>
  <c r="D3672" i="1"/>
  <c r="D11573" i="1"/>
  <c r="D11574" i="1"/>
  <c r="D11575" i="1"/>
  <c r="D11576" i="1"/>
  <c r="D11577" i="1"/>
  <c r="D4558" i="1"/>
  <c r="D3641" i="1"/>
  <c r="D4355" i="1"/>
  <c r="D4367" i="1"/>
  <c r="D24516" i="1"/>
  <c r="D24517" i="1"/>
  <c r="D24518" i="1"/>
  <c r="D24519" i="1"/>
  <c r="D24520" i="1"/>
  <c r="D24521" i="1"/>
  <c r="D24522" i="1"/>
  <c r="D24523" i="1"/>
  <c r="D24524" i="1"/>
  <c r="D24525" i="1"/>
  <c r="D24526" i="1"/>
  <c r="D24527" i="1"/>
  <c r="D24528" i="1"/>
  <c r="D24529" i="1"/>
  <c r="D24530" i="1"/>
  <c r="D24531" i="1"/>
  <c r="D24532" i="1"/>
  <c r="D24533" i="1"/>
  <c r="D24534" i="1"/>
  <c r="D24535" i="1"/>
  <c r="D24536" i="1"/>
  <c r="D24537" i="1"/>
  <c r="D24538" i="1"/>
  <c r="D24539" i="1"/>
  <c r="D24540" i="1"/>
  <c r="D24541" i="1"/>
  <c r="D24542" i="1"/>
  <c r="D24543" i="1"/>
  <c r="D12601" i="1"/>
  <c r="D12602" i="1"/>
  <c r="D9413" i="1"/>
  <c r="D9414" i="1"/>
  <c r="D25585" i="1"/>
  <c r="D25586" i="1"/>
  <c r="D25587" i="1"/>
  <c r="D25588" i="1"/>
  <c r="D14754" i="1"/>
  <c r="D14755" i="1"/>
  <c r="D14756" i="1"/>
  <c r="D17572" i="1"/>
  <c r="D19456" i="1"/>
  <c r="D4004" i="1"/>
  <c r="D3509" i="1"/>
  <c r="D15114" i="1"/>
  <c r="D3510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11832" i="1"/>
  <c r="D6022" i="1"/>
  <c r="D7566" i="1"/>
  <c r="D6023" i="1"/>
  <c r="D7567" i="1"/>
  <c r="D6024" i="1"/>
  <c r="D7568" i="1"/>
  <c r="D8394" i="1"/>
  <c r="D8286" i="1"/>
  <c r="D8275" i="1"/>
  <c r="D8287" i="1"/>
  <c r="D6025" i="1"/>
  <c r="D7569" i="1"/>
  <c r="D8395" i="1"/>
  <c r="D3838" i="1"/>
  <c r="D10902" i="1"/>
  <c r="D8396" i="1"/>
  <c r="D6026" i="1"/>
  <c r="D7570" i="1"/>
  <c r="D6027" i="1"/>
  <c r="D7571" i="1"/>
  <c r="D6028" i="1"/>
  <c r="D8397" i="1"/>
  <c r="D8398" i="1"/>
  <c r="D8399" i="1"/>
  <c r="D12388" i="1"/>
  <c r="D4043" i="1"/>
  <c r="D4044" i="1"/>
  <c r="D4045" i="1"/>
  <c r="D4046" i="1"/>
  <c r="D8400" i="1"/>
  <c r="D8401" i="1"/>
  <c r="D8402" i="1"/>
  <c r="D8403" i="1"/>
  <c r="D8404" i="1"/>
  <c r="D8405" i="1"/>
  <c r="D8406" i="1"/>
  <c r="D8407" i="1"/>
  <c r="D8408" i="1"/>
  <c r="D4047" i="1"/>
  <c r="D3839" i="1"/>
  <c r="D17582" i="1"/>
  <c r="D24880" i="1"/>
  <c r="D25731" i="1"/>
  <c r="D24881" i="1"/>
  <c r="D24882" i="1"/>
  <c r="D14586" i="1"/>
  <c r="D6029" i="1"/>
  <c r="D6030" i="1"/>
  <c r="D6031" i="1"/>
  <c r="D7572" i="1"/>
  <c r="D17766" i="1"/>
  <c r="D24883" i="1"/>
  <c r="D12579" i="1"/>
  <c r="D24884" i="1"/>
  <c r="D17758" i="1"/>
  <c r="D17767" i="1"/>
  <c r="D18261" i="1"/>
  <c r="D18262" i="1"/>
  <c r="D3840" i="1"/>
  <c r="D641" i="1"/>
  <c r="D22815" i="1"/>
  <c r="D4394" i="1"/>
  <c r="D8409" i="1"/>
  <c r="D22973" i="1"/>
  <c r="D8410" i="1"/>
  <c r="D8411" i="1"/>
  <c r="D8412" i="1"/>
  <c r="D8413" i="1"/>
  <c r="D8414" i="1"/>
  <c r="D578" i="1"/>
  <c r="D15834" i="1"/>
  <c r="D13968" i="1"/>
  <c r="D4991" i="1"/>
  <c r="D18516" i="1"/>
  <c r="D4082" i="1"/>
  <c r="D19101" i="1"/>
  <c r="D19102" i="1"/>
  <c r="D26227" i="1"/>
  <c r="D18910" i="1"/>
  <c r="D18911" i="1"/>
  <c r="D18912" i="1"/>
  <c r="D5947" i="1"/>
  <c r="D4579" i="1"/>
  <c r="D999" i="1"/>
  <c r="D24885" i="1"/>
  <c r="D25738" i="1"/>
  <c r="D10435" i="1"/>
  <c r="D15051" i="1"/>
  <c r="D4005" i="1"/>
  <c r="D9130" i="1"/>
  <c r="D1139" i="1"/>
  <c r="D15835" i="1"/>
  <c r="D23198" i="1"/>
  <c r="D23006" i="1"/>
  <c r="D23122" i="1"/>
  <c r="D23199" i="1"/>
  <c r="D23200" i="1"/>
  <c r="D18405" i="1"/>
  <c r="D5952" i="1"/>
  <c r="D12414" i="1"/>
  <c r="D13043" i="1"/>
  <c r="D13044" i="1"/>
  <c r="D3717" i="1"/>
  <c r="D4395" i="1"/>
  <c r="D10969" i="1"/>
  <c r="D17995" i="1"/>
  <c r="D15349" i="1"/>
  <c r="D15350" i="1"/>
  <c r="D22816" i="1"/>
  <c r="D3093" i="1"/>
  <c r="D13976" i="1"/>
  <c r="D13977" i="1"/>
  <c r="D15405" i="1"/>
  <c r="D3497" i="1"/>
  <c r="D25337" i="1"/>
  <c r="D26704" i="1"/>
  <c r="D15382" i="1"/>
  <c r="D26228" i="1"/>
  <c r="D11864" i="1"/>
  <c r="D19099" i="1"/>
  <c r="D22817" i="1"/>
  <c r="D25589" i="1"/>
  <c r="D17624" i="1"/>
  <c r="D1469" i="1"/>
  <c r="D18889" i="1"/>
  <c r="D18894" i="1"/>
  <c r="D17735" i="1"/>
  <c r="D17736" i="1"/>
  <c r="D25351" i="1"/>
  <c r="D25352" i="1"/>
  <c r="D24886" i="1"/>
  <c r="D18263" i="1"/>
  <c r="D7573" i="1"/>
  <c r="D7574" i="1"/>
  <c r="D6032" i="1"/>
  <c r="D7575" i="1"/>
  <c r="D6033" i="1"/>
  <c r="D6034" i="1"/>
  <c r="D6035" i="1"/>
  <c r="D6036" i="1"/>
  <c r="D5117" i="1"/>
  <c r="D26229" i="1"/>
  <c r="D6037" i="1"/>
  <c r="D6038" i="1"/>
  <c r="D7576" i="1"/>
  <c r="D17816" i="1"/>
  <c r="D885" i="1"/>
  <c r="D15480" i="1"/>
  <c r="D6039" i="1"/>
  <c r="D6040" i="1"/>
  <c r="D6041" i="1"/>
  <c r="D3250" i="1"/>
  <c r="D3251" i="1"/>
  <c r="D10903" i="1"/>
  <c r="D3252" i="1"/>
  <c r="D3253" i="1"/>
  <c r="D3191" i="1"/>
  <c r="D3219" i="1"/>
  <c r="D23201" i="1"/>
  <c r="D17728" i="1"/>
  <c r="D1127" i="1"/>
  <c r="D3" i="1"/>
  <c r="D26296" i="1"/>
  <c r="D2755" i="1"/>
  <c r="D30" i="1"/>
  <c r="D31" i="1"/>
  <c r="D32" i="1"/>
  <c r="D33" i="1"/>
  <c r="D34" i="1"/>
  <c r="D35" i="1"/>
  <c r="D36" i="1"/>
  <c r="D37" i="1"/>
  <c r="D10891" i="1"/>
  <c r="D9486" i="1"/>
  <c r="D38" i="1"/>
  <c r="D39" i="1"/>
  <c r="D40" i="1"/>
  <c r="D41" i="1"/>
  <c r="D12258" i="1"/>
  <c r="D12259" i="1"/>
  <c r="D25353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10970" i="1"/>
  <c r="D71" i="1"/>
  <c r="D72" i="1"/>
  <c r="D73" i="1"/>
  <c r="D74" i="1"/>
  <c r="D75" i="1"/>
  <c r="D76" i="1"/>
  <c r="D77" i="1"/>
  <c r="D78" i="1"/>
  <c r="D18264" i="1"/>
  <c r="D25516" i="1"/>
  <c r="D25377" i="1"/>
  <c r="D586" i="1"/>
  <c r="D2717" i="1"/>
  <c r="D26297" i="1"/>
  <c r="D14199" i="1"/>
  <c r="D5139" i="1"/>
  <c r="D22896" i="1"/>
  <c r="D15857" i="1"/>
  <c r="D26298" i="1"/>
  <c r="D2912" i="1"/>
  <c r="D26299" i="1"/>
  <c r="D14749" i="1"/>
  <c r="D14751" i="1"/>
  <c r="D14750" i="1"/>
  <c r="D14752" i="1"/>
  <c r="D3594" i="1"/>
  <c r="D3457" i="1"/>
  <c r="D14149" i="1"/>
  <c r="D4439" i="1"/>
  <c r="D4440" i="1"/>
  <c r="D18265" i="1"/>
  <c r="D17998" i="1"/>
  <c r="D17999" i="1"/>
  <c r="D17335" i="1"/>
  <c r="D15029" i="1"/>
  <c r="D25577" i="1"/>
  <c r="D25578" i="1"/>
  <c r="D904" i="1"/>
  <c r="D15785" i="1"/>
  <c r="D15791" i="1"/>
  <c r="D15792" i="1"/>
  <c r="D5140" i="1"/>
  <c r="D3162" i="1"/>
  <c r="D3163" i="1"/>
  <c r="D18000" i="1"/>
  <c r="D18001" i="1"/>
  <c r="D18266" i="1"/>
  <c r="D25845" i="1"/>
  <c r="D25846" i="1"/>
  <c r="D25847" i="1"/>
  <c r="D25848" i="1"/>
  <c r="D25849" i="1"/>
  <c r="D25850" i="1"/>
  <c r="D25851" i="1"/>
  <c r="D25852" i="1"/>
  <c r="D25853" i="1"/>
  <c r="D25854" i="1"/>
  <c r="D18593" i="1"/>
  <c r="D25368" i="1"/>
  <c r="D3651" i="1"/>
  <c r="D15148" i="1"/>
  <c r="D15149" i="1"/>
  <c r="D15128" i="1"/>
  <c r="D15150" i="1"/>
  <c r="D15129" i="1"/>
  <c r="D15151" i="1"/>
  <c r="D15152" i="1"/>
  <c r="D15153" i="1"/>
  <c r="D5372" i="1"/>
  <c r="D5373" i="1"/>
  <c r="D24490" i="1"/>
  <c r="D1318" i="1"/>
  <c r="D13888" i="1"/>
  <c r="D1319" i="1"/>
  <c r="D15421" i="1"/>
  <c r="D17782" i="1"/>
  <c r="D3485" i="1"/>
  <c r="D3487" i="1"/>
  <c r="D3488" i="1"/>
  <c r="D3495" i="1"/>
  <c r="D3486" i="1"/>
  <c r="D3489" i="1"/>
  <c r="D3490" i="1"/>
  <c r="D3496" i="1"/>
  <c r="D25855" i="1"/>
  <c r="D25856" i="1"/>
  <c r="D25857" i="1"/>
  <c r="D17361" i="1"/>
  <c r="D17362" i="1"/>
  <c r="D17363" i="1"/>
  <c r="D17364" i="1"/>
  <c r="D26705" i="1"/>
  <c r="D5141" i="1"/>
  <c r="D6042" i="1"/>
  <c r="D7577" i="1"/>
  <c r="D18521" i="1"/>
  <c r="D2604" i="1"/>
  <c r="D8079" i="1"/>
  <c r="D7" i="1"/>
  <c r="D8" i="1"/>
  <c r="D9" i="1"/>
  <c r="D26660" i="1"/>
  <c r="D16852" i="1"/>
  <c r="D16854" i="1"/>
  <c r="D2459" i="1"/>
  <c r="D2460" i="1"/>
  <c r="D5142" i="1"/>
  <c r="D2756" i="1"/>
  <c r="D3718" i="1"/>
  <c r="D849" i="1"/>
  <c r="D861" i="1"/>
  <c r="D874" i="1"/>
  <c r="D26300" i="1"/>
  <c r="D26661" i="1"/>
  <c r="D23571" i="1"/>
  <c r="D26706" i="1"/>
  <c r="D26301" i="1"/>
  <c r="D2757" i="1"/>
  <c r="D12680" i="1"/>
  <c r="D12681" i="1"/>
  <c r="D12682" i="1"/>
  <c r="D13972" i="1"/>
  <c r="D2718" i="1"/>
  <c r="D26707" i="1"/>
  <c r="D26551" i="1"/>
  <c r="D2719" i="1"/>
  <c r="D26552" i="1"/>
  <c r="D13248" i="1"/>
  <c r="D5143" i="1"/>
  <c r="D26708" i="1"/>
  <c r="D2758" i="1"/>
  <c r="D1132" i="1"/>
  <c r="D5717" i="1"/>
  <c r="D2759" i="1"/>
  <c r="D2760" i="1"/>
  <c r="D26662" i="1"/>
  <c r="D25858" i="1"/>
  <c r="D25859" i="1"/>
  <c r="D25860" i="1"/>
  <c r="D25861" i="1"/>
  <c r="D25862" i="1"/>
  <c r="D25863" i="1"/>
  <c r="D25864" i="1"/>
  <c r="D25865" i="1"/>
  <c r="D3677" i="1"/>
  <c r="D18267" i="1"/>
  <c r="D26709" i="1"/>
  <c r="D5144" i="1"/>
  <c r="D5145" i="1"/>
  <c r="D11899" i="1"/>
  <c r="D2857" i="1"/>
  <c r="D2858" i="1"/>
  <c r="D11921" i="1"/>
  <c r="D26710" i="1"/>
  <c r="D26302" i="1"/>
  <c r="D2656" i="1"/>
  <c r="D2657" i="1"/>
  <c r="D26711" i="1"/>
  <c r="D26712" i="1"/>
  <c r="D2859" i="1"/>
  <c r="D3757" i="1"/>
  <c r="D4706" i="1"/>
  <c r="D3668" i="1"/>
  <c r="D18061" i="1"/>
  <c r="D14141" i="1"/>
  <c r="D5653" i="1"/>
  <c r="D9441" i="1"/>
  <c r="D9415" i="1"/>
  <c r="D25732" i="1"/>
  <c r="D18594" i="1"/>
  <c r="D2379" i="1"/>
  <c r="D26713" i="1"/>
  <c r="D2720" i="1"/>
  <c r="D2761" i="1"/>
  <c r="D18595" i="1"/>
  <c r="D26714" i="1"/>
  <c r="D1128" i="1"/>
  <c r="D5146" i="1"/>
  <c r="D9381" i="1"/>
  <c r="D18268" i="1"/>
  <c r="D79" i="1"/>
  <c r="D80" i="1"/>
  <c r="D81" i="1"/>
  <c r="D17635" i="1"/>
  <c r="D2" i="1"/>
  <c r="D18269" i="1"/>
  <c r="D15083" i="1"/>
  <c r="D6043" i="1"/>
  <c r="D7543" i="1"/>
  <c r="D6044" i="1"/>
  <c r="D7578" i="1"/>
  <c r="D6045" i="1"/>
  <c r="D22963" i="1"/>
  <c r="D22964" i="1"/>
  <c r="D26230" i="1"/>
  <c r="D18270" i="1"/>
  <c r="D18271" i="1"/>
  <c r="D5147" i="1"/>
  <c r="D26303" i="1"/>
  <c r="D26715" i="1"/>
  <c r="D25866" i="1"/>
  <c r="D25867" i="1"/>
  <c r="D15889" i="1"/>
  <c r="D919" i="1"/>
  <c r="D26716" i="1"/>
  <c r="D2708" i="1"/>
  <c r="D26717" i="1"/>
  <c r="D2762" i="1"/>
  <c r="D26718" i="1"/>
  <c r="D5148" i="1"/>
  <c r="D26553" i="1"/>
  <c r="D14667" i="1"/>
  <c r="D14672" i="1"/>
  <c r="D26" i="1"/>
  <c r="D27" i="1"/>
  <c r="D28" i="1"/>
  <c r="D29" i="1"/>
  <c r="D11010" i="1"/>
  <c r="D19660" i="1"/>
  <c r="D19661" i="1"/>
  <c r="D18981" i="1"/>
  <c r="D14044" i="1"/>
  <c r="D14049" i="1"/>
  <c r="D9970" i="1"/>
  <c r="D3980" i="1"/>
  <c r="D2369" i="1"/>
  <c r="D23438" i="1"/>
  <c r="D17814" i="1"/>
  <c r="D10421" i="1"/>
  <c r="D10422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17817" i="1"/>
  <c r="D1135" i="1"/>
  <c r="D1181" i="1"/>
  <c r="D2366" i="1"/>
  <c r="D4132" i="1"/>
  <c r="D4133" i="1"/>
  <c r="D19724" i="1"/>
  <c r="D19725" i="1"/>
  <c r="D19726" i="1"/>
  <c r="D19727" i="1"/>
  <c r="D19728" i="1"/>
  <c r="D19729" i="1"/>
  <c r="D19730" i="1"/>
  <c r="D19731" i="1"/>
  <c r="D19732" i="1"/>
  <c r="D19733" i="1"/>
  <c r="D5056" i="1"/>
  <c r="D5076" i="1"/>
  <c r="D5057" i="1"/>
  <c r="D5077" i="1"/>
  <c r="D14197" i="1"/>
  <c r="D15411" i="1"/>
  <c r="D2634" i="1"/>
  <c r="D2635" i="1"/>
  <c r="D14757" i="1"/>
  <c r="D14758" i="1"/>
  <c r="D14759" i="1"/>
  <c r="D6060" i="1"/>
  <c r="D7579" i="1"/>
  <c r="D6061" i="1"/>
  <c r="D7580" i="1"/>
  <c r="D6062" i="1"/>
  <c r="D7581" i="1"/>
  <c r="D5640" i="1"/>
  <c r="D2428" i="1"/>
  <c r="D26231" i="1"/>
  <c r="D15408" i="1"/>
  <c r="D6063" i="1"/>
  <c r="D6064" i="1"/>
  <c r="D6065" i="1"/>
  <c r="D6066" i="1"/>
  <c r="D6067" i="1"/>
  <c r="D6068" i="1"/>
  <c r="D5839" i="1"/>
  <c r="D5840" i="1"/>
  <c r="D2367" i="1"/>
  <c r="D1239" i="1"/>
  <c r="D14469" i="1"/>
  <c r="D27051" i="1"/>
  <c r="D15836" i="1"/>
  <c r="D2591" i="1"/>
  <c r="D22818" i="1"/>
  <c r="D22897" i="1"/>
  <c r="D27090" i="1"/>
  <c r="D1140" i="1"/>
  <c r="D15291" i="1"/>
  <c r="D5718" i="1"/>
  <c r="D5693" i="1"/>
  <c r="D5149" i="1"/>
  <c r="D17594" i="1"/>
  <c r="D26719" i="1"/>
  <c r="D26720" i="1"/>
  <c r="D17596" i="1"/>
  <c r="D17595" i="1"/>
  <c r="D704" i="1"/>
  <c r="D14820" i="1"/>
  <c r="D3919" i="1"/>
  <c r="D3920" i="1"/>
  <c r="D3921" i="1"/>
  <c r="D5465" i="1"/>
  <c r="D25739" i="1"/>
  <c r="D17597" i="1"/>
  <c r="D17598" i="1"/>
  <c r="D17599" i="1"/>
  <c r="D22819" i="1"/>
  <c r="D22820" i="1"/>
  <c r="D2592" i="1"/>
  <c r="D26232" i="1"/>
  <c r="D15837" i="1"/>
  <c r="D14634" i="1"/>
  <c r="D14635" i="1"/>
  <c r="D14012" i="1"/>
  <c r="D14013" i="1"/>
  <c r="D705" i="1"/>
  <c r="D24507" i="1"/>
  <c r="D11819" i="1"/>
  <c r="D15247" i="1"/>
  <c r="D16155" i="1"/>
  <c r="D15466" i="1"/>
  <c r="D3398" i="1"/>
  <c r="D3399" i="1"/>
  <c r="D2629" i="1"/>
  <c r="D10119" i="1"/>
  <c r="D10120" i="1"/>
  <c r="D23572" i="1"/>
  <c r="D23578" i="1"/>
  <c r="D10282" i="1"/>
  <c r="D6069" i="1"/>
  <c r="D7582" i="1"/>
  <c r="D6070" i="1"/>
  <c r="D517" i="1"/>
  <c r="D518" i="1"/>
  <c r="D6071" i="1"/>
  <c r="D6072" i="1"/>
  <c r="D7583" i="1"/>
  <c r="D15803" i="1"/>
  <c r="D13045" i="1"/>
  <c r="D13046" i="1"/>
  <c r="D6073" i="1"/>
  <c r="D7584" i="1"/>
  <c r="D6074" i="1"/>
  <c r="D22808" i="1"/>
  <c r="D18534" i="1"/>
  <c r="D15361" i="1"/>
  <c r="D1145" i="1"/>
  <c r="D1164" i="1"/>
  <c r="D3577" i="1"/>
  <c r="D15489" i="1"/>
  <c r="D18596" i="1"/>
  <c r="D18597" i="1"/>
  <c r="D19720" i="1"/>
  <c r="D22821" i="1"/>
  <c r="D12045" i="1"/>
  <c r="D12046" i="1"/>
  <c r="D3876" i="1"/>
  <c r="D3886" i="1"/>
  <c r="D15648" i="1"/>
  <c r="D15626" i="1"/>
  <c r="D6075" i="1"/>
  <c r="D7585" i="1"/>
  <c r="D6076" i="1"/>
  <c r="D3472" i="1"/>
  <c r="D3473" i="1"/>
  <c r="D610" i="1"/>
  <c r="D10154" i="1"/>
  <c r="D5051" i="1"/>
  <c r="D17593" i="1"/>
  <c r="D18913" i="1"/>
  <c r="D27091" i="1"/>
  <c r="D1274" i="1"/>
  <c r="D10457" i="1"/>
  <c r="D24887" i="1"/>
  <c r="D24888" i="1"/>
  <c r="D24889" i="1"/>
  <c r="D24890" i="1"/>
  <c r="D10296" i="1"/>
  <c r="D82" i="1"/>
  <c r="D83" i="1"/>
  <c r="D84" i="1"/>
  <c r="D85" i="1"/>
  <c r="D86" i="1"/>
  <c r="D87" i="1"/>
  <c r="D88" i="1"/>
  <c r="D89" i="1"/>
  <c r="D90" i="1"/>
  <c r="D91" i="1"/>
  <c r="D16759" i="1"/>
  <c r="D16760" i="1"/>
  <c r="D16829" i="1"/>
  <c r="D92" i="1"/>
  <c r="D16761" i="1"/>
  <c r="D16762" i="1"/>
  <c r="D16830" i="1"/>
  <c r="D10" i="1"/>
  <c r="D16763" i="1"/>
  <c r="D16764" i="1"/>
  <c r="D19699" i="1"/>
  <c r="D19070" i="1"/>
  <c r="D19700" i="1"/>
  <c r="D5150" i="1"/>
  <c r="D1129" i="1"/>
  <c r="D5151" i="1"/>
  <c r="D25354" i="1"/>
  <c r="D18598" i="1"/>
  <c r="D18572" i="1"/>
  <c r="D18272" i="1"/>
  <c r="D15490" i="1"/>
  <c r="D26721" i="1"/>
  <c r="D5152" i="1"/>
  <c r="D5310" i="1"/>
  <c r="D2763" i="1"/>
  <c r="D15491" i="1"/>
  <c r="D15542" i="1"/>
  <c r="D15543" i="1"/>
  <c r="D11667" i="1"/>
  <c r="D11668" i="1"/>
  <c r="D2721" i="1"/>
  <c r="D15858" i="1"/>
  <c r="D26663" i="1"/>
  <c r="D26304" i="1"/>
  <c r="D26554" i="1"/>
  <c r="D15492" i="1"/>
  <c r="D5153" i="1"/>
  <c r="D5367" i="1"/>
  <c r="D18074" i="1"/>
  <c r="D18075" i="1"/>
  <c r="D9287" i="1"/>
  <c r="D9300" i="1"/>
  <c r="D9288" i="1"/>
  <c r="D9301" i="1"/>
  <c r="D6077" i="1"/>
  <c r="D7586" i="1"/>
  <c r="D6078" i="1"/>
  <c r="D7587" i="1"/>
  <c r="D6079" i="1"/>
  <c r="D6080" i="1"/>
  <c r="D7588" i="1"/>
  <c r="D6081" i="1"/>
  <c r="D7589" i="1"/>
  <c r="D6082" i="1"/>
  <c r="D7590" i="1"/>
  <c r="D10297" i="1"/>
  <c r="D10298" i="1"/>
  <c r="D11011" i="1"/>
  <c r="D8251" i="1"/>
  <c r="D5099" i="1"/>
  <c r="D5100" i="1"/>
  <c r="D18273" i="1"/>
  <c r="D5311" i="1"/>
  <c r="D26305" i="1"/>
  <c r="D26306" i="1"/>
  <c r="D26307" i="1"/>
  <c r="D26529" i="1"/>
  <c r="D26722" i="1"/>
  <c r="D26545" i="1"/>
  <c r="D25341" i="1"/>
  <c r="D25868" i="1"/>
  <c r="D25869" i="1"/>
  <c r="D26152" i="1"/>
  <c r="D25870" i="1"/>
  <c r="D25871" i="1"/>
  <c r="D25872" i="1"/>
  <c r="D25873" i="1"/>
  <c r="D25874" i="1"/>
  <c r="D17327" i="1"/>
  <c r="D1122" i="1"/>
  <c r="D1123" i="1"/>
  <c r="D1124" i="1"/>
  <c r="D1125" i="1"/>
  <c r="D1126" i="1"/>
  <c r="D18274" i="1"/>
  <c r="D18275" i="1"/>
  <c r="D17567" i="1"/>
  <c r="D9535" i="1"/>
  <c r="D23489" i="1"/>
  <c r="D1249" i="1"/>
  <c r="D24345" i="1"/>
  <c r="D24346" i="1"/>
  <c r="D2653" i="1"/>
  <c r="D11900" i="1"/>
  <c r="D11901" i="1"/>
  <c r="D18904" i="1"/>
  <c r="D9321" i="1"/>
  <c r="D9348" i="1"/>
  <c r="D93" i="1"/>
  <c r="D94" i="1"/>
  <c r="D95" i="1"/>
  <c r="D96" i="1"/>
  <c r="D97" i="1"/>
  <c r="D98" i="1"/>
  <c r="D99" i="1"/>
  <c r="D100" i="1"/>
  <c r="D101" i="1"/>
  <c r="D102" i="1"/>
  <c r="D103" i="1"/>
  <c r="D104" i="1"/>
  <c r="D2370" i="1"/>
  <c r="D553" i="1"/>
  <c r="D18921" i="1"/>
  <c r="D11902" i="1"/>
  <c r="D1146" i="1"/>
  <c r="D1165" i="1"/>
  <c r="D18599" i="1"/>
  <c r="D5312" i="1"/>
  <c r="D13249" i="1"/>
  <c r="D13250" i="1"/>
  <c r="D18276" i="1"/>
  <c r="D25875" i="1"/>
  <c r="D9536" i="1"/>
  <c r="D9537" i="1"/>
  <c r="D9538" i="1"/>
  <c r="D9539" i="1"/>
  <c r="D9540" i="1"/>
  <c r="D9541" i="1"/>
  <c r="D5313" i="1"/>
  <c r="D9542" i="1"/>
  <c r="D9543" i="1"/>
  <c r="D26555" i="1"/>
  <c r="D11012" i="1"/>
  <c r="D11013" i="1"/>
  <c r="D11014" i="1"/>
  <c r="D11015" i="1"/>
  <c r="D11016" i="1"/>
  <c r="D11017" i="1"/>
  <c r="D5396" i="1"/>
  <c r="D12580" i="1"/>
  <c r="D14125" i="1"/>
  <c r="D6083" i="1"/>
  <c r="D6084" i="1"/>
  <c r="D6085" i="1"/>
  <c r="D6086" i="1"/>
  <c r="D10283" i="1"/>
  <c r="D17709" i="1"/>
  <c r="D26233" i="1"/>
  <c r="D15093" i="1"/>
  <c r="D15632" i="1"/>
  <c r="D8196" i="1"/>
  <c r="D8197" i="1"/>
  <c r="D5633" i="1"/>
  <c r="D1209" i="1"/>
  <c r="D1211" i="1"/>
  <c r="D22822" i="1"/>
  <c r="D8288" i="1"/>
  <c r="D19690" i="1"/>
  <c r="D8415" i="1"/>
  <c r="D8416" i="1"/>
  <c r="D8417" i="1"/>
  <c r="D8418" i="1"/>
  <c r="D4134" i="1"/>
  <c r="D4135" i="1"/>
  <c r="D8419" i="1"/>
  <c r="D15422" i="1"/>
  <c r="D3682" i="1"/>
  <c r="D3512" i="1"/>
  <c r="D3513" i="1"/>
  <c r="D8420" i="1"/>
  <c r="D8421" i="1"/>
  <c r="D8363" i="1"/>
  <c r="D8422" i="1"/>
  <c r="D8423" i="1"/>
  <c r="D8424" i="1"/>
  <c r="D8425" i="1"/>
  <c r="D8426" i="1"/>
  <c r="D2440" i="1"/>
  <c r="D2437" i="1"/>
  <c r="D2441" i="1"/>
  <c r="D8427" i="1"/>
  <c r="D8428" i="1"/>
  <c r="D8252" i="1"/>
  <c r="D8289" i="1"/>
  <c r="D8429" i="1"/>
  <c r="D8430" i="1"/>
  <c r="D8431" i="1"/>
  <c r="D8432" i="1"/>
  <c r="D8433" i="1"/>
  <c r="D8434" i="1"/>
  <c r="D8435" i="1"/>
  <c r="D8436" i="1"/>
  <c r="D8437" i="1"/>
  <c r="D8438" i="1"/>
  <c r="D8290" i="1"/>
  <c r="D8439" i="1"/>
  <c r="D8440" i="1"/>
  <c r="D8441" i="1"/>
  <c r="D19423" i="1"/>
  <c r="D8442" i="1"/>
  <c r="D8443" i="1"/>
  <c r="D8444" i="1"/>
  <c r="D8253" i="1"/>
  <c r="D8364" i="1"/>
  <c r="D8445" i="1"/>
  <c r="D8446" i="1"/>
  <c r="D8447" i="1"/>
  <c r="D8448" i="1"/>
  <c r="D8449" i="1"/>
  <c r="D8450" i="1"/>
  <c r="D22922" i="1"/>
  <c r="D8451" i="1"/>
  <c r="D8452" i="1"/>
  <c r="D8453" i="1"/>
  <c r="D8454" i="1"/>
  <c r="D8455" i="1"/>
  <c r="D8456" i="1"/>
  <c r="D8457" i="1"/>
  <c r="D8458" i="1"/>
  <c r="D8459" i="1"/>
  <c r="D8460" i="1"/>
  <c r="D4335" i="1"/>
  <c r="D19007" i="1"/>
  <c r="D19008" i="1"/>
  <c r="D12581" i="1"/>
  <c r="D8291" i="1"/>
  <c r="D8461" i="1"/>
  <c r="D8462" i="1"/>
  <c r="D17783" i="1"/>
  <c r="D10487" i="1"/>
  <c r="D11857" i="1"/>
  <c r="D3443" i="1"/>
  <c r="D642" i="1"/>
  <c r="D2913" i="1"/>
  <c r="D2422" i="1"/>
  <c r="D3719" i="1"/>
  <c r="D3547" i="1"/>
  <c r="D2579" i="1"/>
  <c r="D17365" i="1"/>
  <c r="D17366" i="1"/>
  <c r="D17367" i="1"/>
  <c r="D17368" i="1"/>
  <c r="D17369" i="1"/>
  <c r="D17370" i="1"/>
  <c r="D625" i="1"/>
  <c r="D10638" i="1"/>
  <c r="D10652" i="1"/>
  <c r="D10639" i="1"/>
  <c r="D10640" i="1"/>
  <c r="D10653" i="1"/>
  <c r="D16138" i="1"/>
  <c r="D17371" i="1"/>
  <c r="D17372" i="1"/>
  <c r="D17373" i="1"/>
  <c r="D17374" i="1"/>
  <c r="D17375" i="1"/>
  <c r="D16139" i="1"/>
  <c r="D10895" i="1"/>
  <c r="D23644" i="1"/>
  <c r="D17670" i="1"/>
  <c r="D17671" i="1"/>
  <c r="D10667" i="1"/>
  <c r="D10654" i="1"/>
  <c r="D6087" i="1"/>
  <c r="D6088" i="1"/>
  <c r="D5953" i="1"/>
  <c r="D10971" i="1"/>
  <c r="D18600" i="1"/>
  <c r="D18601" i="1"/>
  <c r="D4707" i="1"/>
  <c r="D4336" i="1"/>
  <c r="D10512" i="1"/>
  <c r="D13962" i="1"/>
  <c r="D3254" i="1"/>
  <c r="D13963" i="1"/>
  <c r="D10198" i="1"/>
  <c r="D15248" i="1"/>
  <c r="D5466" i="1"/>
  <c r="D5467" i="1"/>
  <c r="D5468" i="1"/>
  <c r="D5469" i="1"/>
  <c r="D15357" i="1"/>
  <c r="D15358" i="1"/>
  <c r="D15067" i="1"/>
  <c r="D18982" i="1"/>
  <c r="D10138" i="1"/>
  <c r="D5534" i="1"/>
  <c r="D5470" i="1"/>
  <c r="D3710" i="1"/>
  <c r="D3711" i="1"/>
  <c r="D22809" i="1"/>
  <c r="D18602" i="1"/>
  <c r="D1147" i="1"/>
  <c r="D1166" i="1"/>
  <c r="D26723" i="1"/>
  <c r="D26724" i="1"/>
  <c r="D26281" i="1"/>
  <c r="D26725" i="1"/>
  <c r="D26726" i="1"/>
  <c r="D9544" i="1"/>
  <c r="D9545" i="1"/>
  <c r="D9546" i="1"/>
  <c r="D25876" i="1"/>
  <c r="D25784" i="1"/>
  <c r="D11018" i="1"/>
  <c r="D26727" i="1"/>
  <c r="D2461" i="1"/>
  <c r="D2462" i="1"/>
  <c r="D5314" i="1"/>
  <c r="D920" i="1"/>
  <c r="D12553" i="1"/>
  <c r="D3498" i="1"/>
  <c r="D3922" i="1"/>
  <c r="D3923" i="1"/>
  <c r="D3924" i="1"/>
  <c r="D5916" i="1"/>
  <c r="D1275" i="1"/>
  <c r="D1276" i="1"/>
  <c r="D23558" i="1"/>
  <c r="D8292" i="1"/>
  <c r="D8463" i="1"/>
  <c r="D1060" i="1"/>
  <c r="D4183" i="1"/>
  <c r="D3841" i="1"/>
  <c r="D5915" i="1"/>
  <c r="D7999" i="1"/>
  <c r="D24891" i="1"/>
  <c r="D10293" i="1"/>
  <c r="D4605" i="1"/>
  <c r="D13947" i="1"/>
  <c r="D13948" i="1"/>
  <c r="D13949" i="1"/>
  <c r="D13952" i="1"/>
  <c r="D23573" i="1"/>
  <c r="D6089" i="1"/>
  <c r="D7591" i="1"/>
  <c r="D6090" i="1"/>
  <c r="D10458" i="1"/>
  <c r="D5498" i="1"/>
  <c r="D5494" i="1"/>
  <c r="D5499" i="1"/>
  <c r="D26308" i="1"/>
  <c r="D6091" i="1"/>
  <c r="D7592" i="1"/>
  <c r="D1141" i="1"/>
  <c r="D18483" i="1"/>
  <c r="D23574" i="1"/>
  <c r="D1061" i="1"/>
  <c r="D1062" i="1"/>
  <c r="D23575" i="1"/>
  <c r="D23576" i="1"/>
  <c r="D7593" i="1"/>
  <c r="D10882" i="1"/>
  <c r="D6092" i="1"/>
  <c r="D6093" i="1"/>
  <c r="D5418" i="1"/>
  <c r="D6094" i="1"/>
  <c r="D6095" i="1"/>
  <c r="D6096" i="1"/>
  <c r="D6097" i="1"/>
  <c r="D6098" i="1"/>
  <c r="D17729" i="1"/>
  <c r="D1320" i="1"/>
  <c r="D1321" i="1"/>
  <c r="D22823" i="1"/>
  <c r="D10904" i="1"/>
  <c r="D26728" i="1"/>
  <c r="D15379" i="1"/>
  <c r="D26556" i="1"/>
  <c r="D5154" i="1"/>
  <c r="D5155" i="1"/>
  <c r="D9547" i="1"/>
  <c r="D9548" i="1"/>
  <c r="D15154" i="1"/>
  <c r="D3833" i="1"/>
  <c r="D15481" i="1"/>
  <c r="D15292" i="1"/>
  <c r="D15293" i="1"/>
  <c r="D11870" i="1"/>
  <c r="D15948" i="1"/>
  <c r="D11871" i="1"/>
  <c r="D692" i="1"/>
  <c r="D693" i="1"/>
  <c r="D15117" i="1"/>
  <c r="D23202" i="1"/>
  <c r="D1063" i="1"/>
  <c r="D1064" i="1"/>
  <c r="D24377" i="1"/>
  <c r="D24378" i="1"/>
  <c r="D19088" i="1"/>
  <c r="D24379" i="1"/>
  <c r="D24380" i="1"/>
  <c r="D24381" i="1"/>
  <c r="D9315" i="1"/>
  <c r="D24382" i="1"/>
  <c r="D24174" i="1"/>
  <c r="D24175" i="1"/>
  <c r="D25687" i="1"/>
  <c r="D25688" i="1"/>
  <c r="D25689" i="1"/>
  <c r="D18060" i="1"/>
  <c r="D18062" i="1"/>
  <c r="D15115" i="1"/>
  <c r="D12512" i="1"/>
  <c r="D13916" i="1"/>
  <c r="D905" i="1"/>
  <c r="D10155" i="1"/>
  <c r="D10156" i="1"/>
  <c r="D24383" i="1"/>
  <c r="D24384" i="1"/>
  <c r="D23517" i="1"/>
  <c r="D23518" i="1"/>
  <c r="D9110" i="1"/>
  <c r="D10482" i="1"/>
  <c r="D22980" i="1"/>
  <c r="D25171" i="1"/>
  <c r="D6099" i="1"/>
  <c r="D7594" i="1"/>
  <c r="D6100" i="1"/>
  <c r="D7595" i="1"/>
  <c r="D6101" i="1"/>
  <c r="D7596" i="1"/>
  <c r="D1307" i="1"/>
  <c r="D1308" i="1"/>
  <c r="D24176" i="1"/>
  <c r="D24177" i="1"/>
  <c r="D24178" i="1"/>
  <c r="D24179" i="1"/>
  <c r="D24180" i="1"/>
  <c r="D24181" i="1"/>
  <c r="D24182" i="1"/>
  <c r="D24183" i="1"/>
  <c r="D24184" i="1"/>
  <c r="D24185" i="1"/>
  <c r="D10718" i="1"/>
  <c r="D10719" i="1"/>
  <c r="D24186" i="1"/>
  <c r="D24187" i="1"/>
  <c r="D24188" i="1"/>
  <c r="D24189" i="1"/>
  <c r="D24190" i="1"/>
  <c r="D24191" i="1"/>
  <c r="D3192" i="1"/>
  <c r="D3220" i="1"/>
  <c r="D25590" i="1"/>
  <c r="D25690" i="1"/>
  <c r="D25591" i="1"/>
  <c r="D25592" i="1"/>
  <c r="D25691" i="1"/>
  <c r="D25793" i="1"/>
  <c r="D23459" i="1"/>
  <c r="D6102" i="1"/>
  <c r="D6103" i="1"/>
  <c r="D7597" i="1"/>
  <c r="D12371" i="1"/>
  <c r="D12372" i="1"/>
  <c r="D6104" i="1"/>
  <c r="D7598" i="1"/>
  <c r="D6105" i="1"/>
  <c r="D7599" i="1"/>
  <c r="D6106" i="1"/>
  <c r="D7992" i="1"/>
  <c r="D24192" i="1"/>
  <c r="D16765" i="1"/>
  <c r="D16766" i="1"/>
  <c r="D10517" i="1"/>
  <c r="D10518" i="1"/>
  <c r="D10519" i="1"/>
  <c r="D10520" i="1"/>
  <c r="D10521" i="1"/>
  <c r="D10522" i="1"/>
  <c r="D10523" i="1"/>
  <c r="D10524" i="1"/>
  <c r="D10525" i="1"/>
  <c r="D18603" i="1"/>
  <c r="D24348" i="1"/>
  <c r="D24349" i="1"/>
  <c r="D18277" i="1"/>
  <c r="D1322" i="1"/>
  <c r="D1323" i="1"/>
  <c r="D1324" i="1"/>
  <c r="D1325" i="1"/>
  <c r="D1326" i="1"/>
  <c r="D1327" i="1"/>
  <c r="D3458" i="1"/>
  <c r="D901" i="1"/>
  <c r="D902" i="1"/>
  <c r="D4396" i="1"/>
  <c r="D544" i="1"/>
  <c r="D545" i="1"/>
  <c r="D17583" i="1"/>
  <c r="D10641" i="1"/>
  <c r="D19708" i="1"/>
  <c r="D3193" i="1"/>
  <c r="D3221" i="1"/>
  <c r="D9480" i="1"/>
  <c r="D5535" i="1"/>
  <c r="D5500" i="1"/>
  <c r="D17799" i="1"/>
  <c r="D584" i="1"/>
  <c r="D15071" i="1"/>
  <c r="D15072" i="1"/>
  <c r="D13980" i="1"/>
  <c r="D3991" i="1"/>
  <c r="D4083" i="1"/>
  <c r="D12068" i="1"/>
  <c r="D3887" i="1"/>
  <c r="D3652" i="1"/>
  <c r="D892" i="1"/>
  <c r="D2398" i="1"/>
  <c r="D2399" i="1"/>
  <c r="D18093" i="1"/>
  <c r="D18094" i="1"/>
  <c r="D11578" i="1"/>
  <c r="D11579" i="1"/>
  <c r="D11580" i="1"/>
  <c r="D11581" i="1"/>
  <c r="D11582" i="1"/>
  <c r="D18095" i="1"/>
  <c r="D18096" i="1"/>
  <c r="D18097" i="1"/>
  <c r="D3643" i="1"/>
  <c r="D3645" i="1"/>
  <c r="D18556" i="1"/>
  <c r="D12329" i="1"/>
  <c r="D12330" i="1"/>
  <c r="D18214" i="1"/>
  <c r="D24193" i="1"/>
  <c r="D24194" i="1"/>
  <c r="D24195" i="1"/>
  <c r="D24196" i="1"/>
  <c r="D24197" i="1"/>
  <c r="D24198" i="1"/>
  <c r="D10720" i="1"/>
  <c r="D10721" i="1"/>
  <c r="D18215" i="1"/>
  <c r="D24199" i="1"/>
  <c r="D24200" i="1"/>
  <c r="D24201" i="1"/>
  <c r="D24202" i="1"/>
  <c r="D24203" i="1"/>
  <c r="D24204" i="1"/>
  <c r="D18216" i="1"/>
  <c r="D2920" i="1"/>
  <c r="D2921" i="1"/>
  <c r="D2922" i="1"/>
  <c r="D16140" i="1"/>
  <c r="D2923" i="1"/>
  <c r="D2924" i="1"/>
  <c r="D2925" i="1"/>
  <c r="D16156" i="1"/>
  <c r="D3270" i="1"/>
  <c r="D3271" i="1"/>
  <c r="D3272" i="1"/>
  <c r="D3273" i="1"/>
  <c r="D3274" i="1"/>
  <c r="D10722" i="1"/>
  <c r="D17979" i="1"/>
  <c r="D12458" i="1"/>
  <c r="D12459" i="1"/>
  <c r="D12460" i="1"/>
  <c r="D12461" i="1"/>
  <c r="D8167" i="1"/>
  <c r="D8185" i="1"/>
  <c r="D8186" i="1"/>
  <c r="D22960" i="1"/>
  <c r="D11441" i="1"/>
  <c r="D10723" i="1"/>
  <c r="D3275" i="1"/>
  <c r="D3276" i="1"/>
  <c r="D3277" i="1"/>
  <c r="D3278" i="1"/>
  <c r="D3279" i="1"/>
  <c r="D10905" i="1"/>
  <c r="D4136" i="1"/>
  <c r="D26729" i="1"/>
  <c r="D17737" i="1"/>
  <c r="D17738" i="1"/>
  <c r="D15026" i="1"/>
  <c r="D6107" i="1"/>
  <c r="D7600" i="1"/>
  <c r="D6108" i="1"/>
  <c r="D7601" i="1"/>
  <c r="D25355" i="1"/>
  <c r="D18535" i="1"/>
  <c r="D5777" i="1"/>
  <c r="D5778" i="1"/>
  <c r="D6109" i="1"/>
  <c r="D6110" i="1"/>
  <c r="D6111" i="1"/>
  <c r="D18195" i="1"/>
  <c r="D18196" i="1"/>
  <c r="D18197" i="1"/>
  <c r="D2421" i="1"/>
  <c r="D2429" i="1"/>
  <c r="D2430" i="1"/>
  <c r="D2431" i="1"/>
  <c r="D2432" i="1"/>
  <c r="D2433" i="1"/>
  <c r="D2434" i="1"/>
  <c r="D2435" i="1"/>
  <c r="D2436" i="1"/>
  <c r="D5678" i="1"/>
  <c r="D23203" i="1"/>
  <c r="D23204" i="1"/>
  <c r="D23007" i="1"/>
  <c r="D23205" i="1"/>
  <c r="D11936" i="1"/>
  <c r="D11945" i="1"/>
  <c r="D12713" i="1"/>
  <c r="D12739" i="1"/>
  <c r="D12714" i="1"/>
  <c r="D12740" i="1"/>
  <c r="D12715" i="1"/>
  <c r="D12741" i="1"/>
  <c r="D12069" i="1"/>
  <c r="D12070" i="1"/>
  <c r="D10313" i="1"/>
  <c r="D10314" i="1"/>
  <c r="D8118" i="1"/>
  <c r="D8119" i="1"/>
  <c r="D8099" i="1"/>
  <c r="D4576" i="1"/>
  <c r="D15254" i="1"/>
  <c r="D15255" i="1"/>
  <c r="D14191" i="1"/>
  <c r="D6112" i="1"/>
  <c r="D6113" i="1"/>
  <c r="D6114" i="1"/>
  <c r="D3794" i="1"/>
  <c r="D3795" i="1"/>
  <c r="D3796" i="1"/>
  <c r="D3797" i="1"/>
  <c r="D3798" i="1"/>
  <c r="D3799" i="1"/>
  <c r="D12783" i="1"/>
  <c r="D12784" i="1"/>
  <c r="D12513" i="1"/>
  <c r="D12927" i="1"/>
  <c r="D4075" i="1"/>
  <c r="D6115" i="1"/>
  <c r="D6116" i="1"/>
  <c r="D6117" i="1"/>
  <c r="D6118" i="1"/>
  <c r="D6119" i="1"/>
  <c r="D12785" i="1"/>
  <c r="D12786" i="1"/>
  <c r="D12787" i="1"/>
  <c r="D12788" i="1"/>
  <c r="D6120" i="1"/>
  <c r="D15956" i="1"/>
  <c r="D15957" i="1"/>
  <c r="D19150" i="1"/>
  <c r="D19151" i="1"/>
  <c r="D24501" i="1"/>
  <c r="D24502" i="1"/>
  <c r="D15958" i="1"/>
  <c r="D15959" i="1"/>
  <c r="D15960" i="1"/>
  <c r="D15961" i="1"/>
  <c r="D15962" i="1"/>
  <c r="D2926" i="1"/>
  <c r="D2927" i="1"/>
  <c r="D2928" i="1"/>
  <c r="D2929" i="1"/>
  <c r="D2930" i="1"/>
  <c r="D2931" i="1"/>
  <c r="D15963" i="1"/>
  <c r="D15964" i="1"/>
  <c r="D1461" i="1"/>
  <c r="D9955" i="1"/>
  <c r="D3720" i="1"/>
  <c r="D15800" i="1"/>
  <c r="D15801" i="1"/>
  <c r="D3444" i="1"/>
  <c r="D25178" i="1"/>
  <c r="D9104" i="1"/>
  <c r="D25749" i="1"/>
  <c r="D10149" i="1"/>
  <c r="D10150" i="1"/>
  <c r="D10151" i="1"/>
  <c r="D10152" i="1"/>
  <c r="D10153" i="1"/>
  <c r="D25877" i="1"/>
  <c r="D25878" i="1"/>
  <c r="D26205" i="1"/>
  <c r="D25879" i="1"/>
  <c r="D25838" i="1"/>
  <c r="D25880" i="1"/>
  <c r="D4397" i="1"/>
  <c r="D16767" i="1"/>
  <c r="D16768" i="1"/>
  <c r="D18604" i="1"/>
  <c r="D19734" i="1"/>
  <c r="D19735" i="1"/>
  <c r="D19736" i="1"/>
  <c r="D19737" i="1"/>
  <c r="D19738" i="1"/>
  <c r="D19739" i="1"/>
  <c r="D19740" i="1"/>
  <c r="D19741" i="1"/>
  <c r="D19742" i="1"/>
  <c r="D19743" i="1"/>
  <c r="D19744" i="1"/>
  <c r="D19745" i="1"/>
  <c r="D19746" i="1"/>
  <c r="D19747" i="1"/>
  <c r="D19748" i="1"/>
  <c r="D19749" i="1"/>
  <c r="D19750" i="1"/>
  <c r="D19751" i="1"/>
  <c r="D19752" i="1"/>
  <c r="D19753" i="1"/>
  <c r="D19754" i="1"/>
  <c r="D19755" i="1"/>
  <c r="D19756" i="1"/>
  <c r="D19757" i="1"/>
  <c r="D19758" i="1"/>
  <c r="D19759" i="1"/>
  <c r="D19760" i="1"/>
  <c r="D19761" i="1"/>
  <c r="D19762" i="1"/>
  <c r="D19763" i="1"/>
  <c r="D19764" i="1"/>
  <c r="D19765" i="1"/>
  <c r="D19766" i="1"/>
  <c r="D19767" i="1"/>
  <c r="D19768" i="1"/>
  <c r="D19769" i="1"/>
  <c r="D19770" i="1"/>
  <c r="D19771" i="1"/>
  <c r="D3630" i="1"/>
  <c r="D10987" i="1"/>
  <c r="D10988" i="1"/>
  <c r="D10989" i="1"/>
  <c r="D10990" i="1"/>
  <c r="D10991" i="1"/>
  <c r="D25378" i="1"/>
  <c r="D25379" i="1"/>
  <c r="D25380" i="1"/>
  <c r="D12071" i="1"/>
  <c r="D12072" i="1"/>
  <c r="D12073" i="1"/>
  <c r="D12074" i="1"/>
  <c r="D12075" i="1"/>
  <c r="D12076" i="1"/>
  <c r="D12077" i="1"/>
  <c r="D12078" i="1"/>
  <c r="D12079" i="1"/>
  <c r="D14823" i="1"/>
  <c r="D14824" i="1"/>
  <c r="D14825" i="1"/>
  <c r="D14826" i="1"/>
  <c r="D25381" i="1"/>
  <c r="D11820" i="1"/>
  <c r="D25382" i="1"/>
  <c r="D13141" i="1"/>
  <c r="D9494" i="1"/>
  <c r="D9495" i="1"/>
  <c r="D9496" i="1"/>
  <c r="D1470" i="1"/>
  <c r="D12433" i="1"/>
  <c r="D12462" i="1"/>
  <c r="D6121" i="1"/>
  <c r="D7602" i="1"/>
  <c r="D15423" i="1"/>
  <c r="D3842" i="1"/>
  <c r="D24892" i="1"/>
  <c r="D24893" i="1"/>
  <c r="D24894" i="1"/>
  <c r="D24895" i="1"/>
  <c r="D6122" i="1"/>
  <c r="D7603" i="1"/>
  <c r="D24896" i="1"/>
  <c r="D24897" i="1"/>
  <c r="D24898" i="1"/>
  <c r="D24899" i="1"/>
  <c r="D24900" i="1"/>
  <c r="D15030" i="1"/>
  <c r="D2485" i="1"/>
  <c r="D6123" i="1"/>
  <c r="D24205" i="1"/>
  <c r="D24206" i="1"/>
  <c r="D10371" i="1"/>
  <c r="D11461" i="1"/>
  <c r="D3721" i="1"/>
  <c r="D19089" i="1"/>
  <c r="D24493" i="1"/>
  <c r="D3803" i="1"/>
  <c r="D3804" i="1"/>
  <c r="D3805" i="1"/>
  <c r="D3806" i="1"/>
  <c r="D10269" i="1"/>
  <c r="D2605" i="1"/>
  <c r="D741" i="1"/>
  <c r="D16769" i="1"/>
  <c r="D16770" i="1"/>
  <c r="D1479" i="1"/>
  <c r="D10906" i="1"/>
  <c r="D14005" i="1"/>
  <c r="D19772" i="1"/>
  <c r="D19773" i="1"/>
  <c r="D19774" i="1"/>
  <c r="D19775" i="1"/>
  <c r="D19776" i="1"/>
  <c r="D19777" i="1"/>
  <c r="D19778" i="1"/>
  <c r="D19779" i="1"/>
  <c r="D19780" i="1"/>
  <c r="D19781" i="1"/>
  <c r="D10000" i="1"/>
  <c r="D10001" i="1"/>
  <c r="D19782" i="1"/>
  <c r="D19783" i="1"/>
  <c r="D19784" i="1"/>
  <c r="D19785" i="1"/>
  <c r="D19786" i="1"/>
  <c r="D19787" i="1"/>
  <c r="D19788" i="1"/>
  <c r="D19789" i="1"/>
  <c r="D19790" i="1"/>
  <c r="D19791" i="1"/>
  <c r="D19792" i="1"/>
  <c r="D9146" i="1"/>
  <c r="D19793" i="1"/>
  <c r="D9147" i="1"/>
  <c r="D19794" i="1"/>
  <c r="D19795" i="1"/>
  <c r="D19796" i="1"/>
  <c r="D19797" i="1"/>
  <c r="D19798" i="1"/>
  <c r="D19799" i="1"/>
  <c r="D19800" i="1"/>
  <c r="D19801" i="1"/>
  <c r="D19802" i="1"/>
  <c r="D19803" i="1"/>
  <c r="D19804" i="1"/>
  <c r="D19805" i="1"/>
  <c r="D19806" i="1"/>
  <c r="D19807" i="1"/>
  <c r="D19808" i="1"/>
  <c r="D19809" i="1"/>
  <c r="D19810" i="1"/>
  <c r="D19811" i="1"/>
  <c r="D19812" i="1"/>
  <c r="D19813" i="1"/>
  <c r="D19814" i="1"/>
  <c r="D19815" i="1"/>
  <c r="D19816" i="1"/>
  <c r="D18605" i="1"/>
  <c r="D26664" i="1"/>
  <c r="D25191" i="1"/>
  <c r="D11019" i="1"/>
  <c r="D2932" i="1"/>
  <c r="D26730" i="1"/>
  <c r="D19817" i="1"/>
  <c r="D19818" i="1"/>
  <c r="D19819" i="1"/>
  <c r="D19820" i="1"/>
  <c r="D19821" i="1"/>
  <c r="D19822" i="1"/>
  <c r="D19823" i="1"/>
  <c r="D19824" i="1"/>
  <c r="D19825" i="1"/>
  <c r="D19826" i="1"/>
  <c r="D19827" i="1"/>
  <c r="D14872" i="1"/>
  <c r="D14873" i="1"/>
  <c r="D14874" i="1"/>
  <c r="D9084" i="1"/>
  <c r="D9085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10333" i="1"/>
  <c r="D10334" i="1"/>
  <c r="D10335" i="1"/>
  <c r="D10336" i="1"/>
  <c r="D24207" i="1"/>
  <c r="D24208" i="1"/>
  <c r="D24209" i="1"/>
  <c r="D24210" i="1"/>
  <c r="D24211" i="1"/>
  <c r="D24212" i="1"/>
  <c r="D24213" i="1"/>
  <c r="D10387" i="1"/>
  <c r="D10388" i="1"/>
  <c r="D14153" i="1"/>
  <c r="D14154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22929" i="1"/>
  <c r="D19198" i="1"/>
  <c r="D19199" i="1"/>
  <c r="D19200" i="1"/>
  <c r="D15569" i="1"/>
  <c r="D15570" i="1"/>
  <c r="D15571" i="1"/>
  <c r="D19828" i="1"/>
  <c r="D19829" i="1"/>
  <c r="D19830" i="1"/>
  <c r="D19831" i="1"/>
  <c r="D19832" i="1"/>
  <c r="D19833" i="1"/>
  <c r="D19834" i="1"/>
  <c r="D19835" i="1"/>
  <c r="D19836" i="1"/>
  <c r="D19837" i="1"/>
  <c r="D19838" i="1"/>
  <c r="D19839" i="1"/>
  <c r="D19840" i="1"/>
  <c r="D19841" i="1"/>
  <c r="D19842" i="1"/>
  <c r="D19843" i="1"/>
  <c r="D19844" i="1"/>
  <c r="D19845" i="1"/>
  <c r="D19846" i="1"/>
  <c r="D19847" i="1"/>
  <c r="D19848" i="1"/>
  <c r="D19849" i="1"/>
  <c r="D19850" i="1"/>
  <c r="D19851" i="1"/>
  <c r="D19852" i="1"/>
  <c r="D19853" i="1"/>
  <c r="D19854" i="1"/>
  <c r="D19855" i="1"/>
  <c r="D19856" i="1"/>
  <c r="D19857" i="1"/>
  <c r="D19858" i="1"/>
  <c r="D19859" i="1"/>
  <c r="D19860" i="1"/>
  <c r="D19861" i="1"/>
  <c r="D19862" i="1"/>
  <c r="D19863" i="1"/>
  <c r="D19864" i="1"/>
  <c r="D19865" i="1"/>
  <c r="D19866" i="1"/>
  <c r="D19867" i="1"/>
  <c r="D19868" i="1"/>
  <c r="D19869" i="1"/>
  <c r="D19870" i="1"/>
  <c r="D19871" i="1"/>
  <c r="D19872" i="1"/>
  <c r="D19873" i="1"/>
  <c r="D19874" i="1"/>
  <c r="D19875" i="1"/>
  <c r="D19876" i="1"/>
  <c r="D19877" i="1"/>
  <c r="D19878" i="1"/>
  <c r="D19879" i="1"/>
  <c r="D19880" i="1"/>
  <c r="D19881" i="1"/>
  <c r="D19882" i="1"/>
  <c r="D19883" i="1"/>
  <c r="D19884" i="1"/>
  <c r="D19885" i="1"/>
  <c r="D19886" i="1"/>
  <c r="D19887" i="1"/>
  <c r="D19888" i="1"/>
  <c r="D19889" i="1"/>
  <c r="D19890" i="1"/>
  <c r="D19891" i="1"/>
  <c r="D19892" i="1"/>
  <c r="D19893" i="1"/>
  <c r="D19894" i="1"/>
  <c r="D19895" i="1"/>
  <c r="D19896" i="1"/>
  <c r="D19897" i="1"/>
  <c r="D19898" i="1"/>
  <c r="D19899" i="1"/>
  <c r="D19900" i="1"/>
  <c r="D19901" i="1"/>
  <c r="D19902" i="1"/>
  <c r="D19903" i="1"/>
  <c r="D19904" i="1"/>
  <c r="D19905" i="1"/>
  <c r="D19906" i="1"/>
  <c r="D19907" i="1"/>
  <c r="D19908" i="1"/>
  <c r="D19909" i="1"/>
  <c r="D19910" i="1"/>
  <c r="D19911" i="1"/>
  <c r="D19912" i="1"/>
  <c r="D19913" i="1"/>
  <c r="D19914" i="1"/>
  <c r="D19915" i="1"/>
  <c r="D11739" i="1"/>
  <c r="D2916" i="1"/>
  <c r="D14202" i="1"/>
  <c r="D17669" i="1"/>
  <c r="D2503" i="1"/>
  <c r="D25571" i="1"/>
  <c r="D26731" i="1"/>
  <c r="D26732" i="1"/>
  <c r="D12463" i="1"/>
  <c r="D12260" i="1"/>
  <c r="D12261" i="1"/>
  <c r="D12262" i="1"/>
  <c r="D12974" i="1"/>
  <c r="D12975" i="1"/>
  <c r="D12976" i="1"/>
  <c r="D12977" i="1"/>
  <c r="D12978" i="1"/>
  <c r="D25545" i="1"/>
  <c r="D25546" i="1"/>
  <c r="D23069" i="1"/>
  <c r="D23077" i="1"/>
  <c r="D23123" i="1"/>
  <c r="D4210" i="1"/>
  <c r="D4211" i="1"/>
  <c r="D14937" i="1"/>
  <c r="D14938" i="1"/>
  <c r="D14939" i="1"/>
  <c r="D14940" i="1"/>
  <c r="D14941" i="1"/>
  <c r="D14942" i="1"/>
  <c r="D14943" i="1"/>
  <c r="D14944" i="1"/>
  <c r="D14945" i="1"/>
  <c r="D14946" i="1"/>
  <c r="D14947" i="1"/>
  <c r="D14948" i="1"/>
  <c r="D14949" i="1"/>
  <c r="D3550" i="1"/>
  <c r="D10002" i="1"/>
  <c r="D3094" i="1"/>
  <c r="D9148" i="1"/>
  <c r="D9149" i="1"/>
  <c r="D5118" i="1"/>
  <c r="D24214" i="1"/>
  <c r="D9150" i="1"/>
  <c r="D23500" i="1"/>
  <c r="D23501" i="1"/>
  <c r="D12945" i="1"/>
  <c r="D12979" i="1"/>
  <c r="D13102" i="1"/>
  <c r="D12946" i="1"/>
  <c r="D12980" i="1"/>
  <c r="D11" i="1"/>
  <c r="D12" i="1"/>
  <c r="D13" i="1"/>
  <c r="D19447" i="1"/>
  <c r="D17376" i="1"/>
  <c r="D15838" i="1"/>
  <c r="D10513" i="1"/>
  <c r="D3280" i="1"/>
  <c r="D13129" i="1"/>
  <c r="D22926" i="1"/>
  <c r="D23531" i="1"/>
  <c r="D11809" i="1"/>
  <c r="D23527" i="1"/>
  <c r="D6152" i="1"/>
  <c r="D7604" i="1"/>
  <c r="D6153" i="1"/>
  <c r="D15103" i="1"/>
  <c r="D6154" i="1"/>
  <c r="D7605" i="1"/>
  <c r="D19916" i="1"/>
  <c r="D19917" i="1"/>
  <c r="D19918" i="1"/>
  <c r="D19919" i="1"/>
  <c r="D19920" i="1"/>
  <c r="D19921" i="1"/>
  <c r="D19922" i="1"/>
  <c r="D19923" i="1"/>
  <c r="D17739" i="1"/>
  <c r="D17740" i="1"/>
  <c r="D18606" i="1"/>
  <c r="D11702" i="1"/>
  <c r="D11703" i="1"/>
  <c r="D18607" i="1"/>
  <c r="D18278" i="1"/>
  <c r="D11738" i="1"/>
  <c r="D12080" i="1"/>
  <c r="D12081" i="1"/>
  <c r="D12082" i="1"/>
  <c r="D12083" i="1"/>
  <c r="D23443" i="1"/>
  <c r="D17818" i="1"/>
  <c r="D17819" i="1"/>
  <c r="D24215" i="1"/>
  <c r="D24216" i="1"/>
  <c r="D19201" i="1"/>
  <c r="D19202" i="1"/>
  <c r="D24217" i="1"/>
  <c r="D24218" i="1"/>
  <c r="D19152" i="1"/>
  <c r="D19153" i="1"/>
  <c r="D14565" i="1"/>
  <c r="D11453" i="1"/>
  <c r="D18608" i="1"/>
  <c r="D18609" i="1"/>
  <c r="D11704" i="1"/>
  <c r="D12923" i="1"/>
  <c r="D25343" i="1"/>
  <c r="D11020" i="1"/>
  <c r="D11021" i="1"/>
  <c r="D2722" i="1"/>
  <c r="D23206" i="1"/>
  <c r="D23008" i="1"/>
  <c r="D23207" i="1"/>
  <c r="D23208" i="1"/>
  <c r="D23209" i="1"/>
  <c r="D23210" i="1"/>
  <c r="D26309" i="1"/>
  <c r="D26733" i="1"/>
  <c r="D5602" i="1"/>
  <c r="D5603" i="1"/>
  <c r="D1212" i="1"/>
  <c r="D12444" i="1"/>
  <c r="D26310" i="1"/>
  <c r="D2764" i="1"/>
  <c r="D26734" i="1"/>
  <c r="D26735" i="1"/>
  <c r="D2699" i="1"/>
  <c r="D26736" i="1"/>
  <c r="D14753" i="1"/>
  <c r="D19308" i="1"/>
  <c r="D19309" i="1"/>
  <c r="D19319" i="1"/>
  <c r="D25383" i="1"/>
  <c r="D25384" i="1"/>
  <c r="D3407" i="1"/>
  <c r="D25385" i="1"/>
  <c r="D25386" i="1"/>
  <c r="D25517" i="1"/>
  <c r="D25387" i="1"/>
  <c r="D25518" i="1"/>
  <c r="D25750" i="1"/>
  <c r="D27079" i="1"/>
  <c r="D27080" i="1"/>
  <c r="D12434" i="1"/>
  <c r="D6155" i="1"/>
  <c r="D7606" i="1"/>
  <c r="D6156" i="1"/>
  <c r="D6157" i="1"/>
  <c r="D7977" i="1"/>
  <c r="D6158" i="1"/>
  <c r="D7607" i="1"/>
  <c r="D6159" i="1"/>
  <c r="D7608" i="1"/>
  <c r="D6160" i="1"/>
  <c r="D7609" i="1"/>
  <c r="D25213" i="1"/>
  <c r="D25216" i="1"/>
  <c r="D25349" i="1"/>
  <c r="D25350" i="1"/>
  <c r="D5101" i="1"/>
  <c r="D26737" i="1"/>
  <c r="D9243" i="1"/>
  <c r="D9244" i="1"/>
  <c r="D9245" i="1"/>
  <c r="D9246" i="1"/>
  <c r="D9549" i="1"/>
  <c r="D11022" i="1"/>
  <c r="D11023" i="1"/>
  <c r="D5315" i="1"/>
  <c r="D5316" i="1"/>
  <c r="D11024" i="1"/>
  <c r="D11025" i="1"/>
  <c r="D4678" i="1"/>
  <c r="D24219" i="1"/>
  <c r="D24220" i="1"/>
  <c r="D24221" i="1"/>
  <c r="D24222" i="1"/>
  <c r="D9151" i="1"/>
  <c r="D9152" i="1"/>
  <c r="D9153" i="1"/>
  <c r="D9154" i="1"/>
  <c r="D4559" i="1"/>
  <c r="D11026" i="1"/>
  <c r="D11027" i="1"/>
  <c r="D11028" i="1"/>
  <c r="D11029" i="1"/>
  <c r="D25227" i="1"/>
  <c r="D25272" i="1"/>
  <c r="D25228" i="1"/>
  <c r="D25273" i="1"/>
  <c r="D25229" i="1"/>
  <c r="D25274" i="1"/>
  <c r="D25230" i="1"/>
  <c r="D25275" i="1"/>
  <c r="D11030" i="1"/>
  <c r="D11031" i="1"/>
  <c r="D3394" i="1"/>
  <c r="D11531" i="1"/>
  <c r="D2384" i="1"/>
  <c r="D19924" i="1"/>
  <c r="D19925" i="1"/>
  <c r="D19926" i="1"/>
  <c r="D19927" i="1"/>
  <c r="D19928" i="1"/>
  <c r="D19929" i="1"/>
  <c r="D19930" i="1"/>
  <c r="D19931" i="1"/>
  <c r="D26738" i="1"/>
  <c r="D26739" i="1"/>
  <c r="D11032" i="1"/>
  <c r="D26665" i="1"/>
  <c r="D18526" i="1"/>
  <c r="D2765" i="1"/>
  <c r="D26666" i="1"/>
  <c r="D2766" i="1"/>
  <c r="D25881" i="1"/>
  <c r="D26311" i="1"/>
  <c r="D11922" i="1"/>
  <c r="D25882" i="1"/>
  <c r="D25883" i="1"/>
  <c r="D22890" i="1"/>
  <c r="D25884" i="1"/>
  <c r="D2767" i="1"/>
  <c r="D2768" i="1"/>
  <c r="D11033" i="1"/>
  <c r="D11034" i="1"/>
  <c r="D2769" i="1"/>
  <c r="D2770" i="1"/>
  <c r="D26312" i="1"/>
  <c r="D2771" i="1"/>
  <c r="D2772" i="1"/>
  <c r="D5156" i="1"/>
  <c r="D2773" i="1"/>
  <c r="D25885" i="1"/>
  <c r="D25886" i="1"/>
  <c r="D2774" i="1"/>
  <c r="D6161" i="1"/>
  <c r="D6162" i="1"/>
  <c r="D7610" i="1"/>
  <c r="D6163" i="1"/>
  <c r="D7611" i="1"/>
  <c r="D6164" i="1"/>
  <c r="D6165" i="1"/>
  <c r="D6166" i="1"/>
  <c r="D6167" i="1"/>
  <c r="D6168" i="1"/>
  <c r="D6169" i="1"/>
  <c r="D6170" i="1"/>
  <c r="D25887" i="1"/>
  <c r="D26557" i="1"/>
  <c r="D26740" i="1"/>
  <c r="D25888" i="1"/>
  <c r="D19932" i="1"/>
  <c r="D17820" i="1"/>
  <c r="D17821" i="1"/>
  <c r="D17822" i="1"/>
  <c r="D17823" i="1"/>
  <c r="D3194" i="1"/>
  <c r="D3222" i="1"/>
  <c r="D4684" i="1"/>
  <c r="D4708" i="1"/>
  <c r="D4709" i="1"/>
  <c r="D10228" i="1"/>
  <c r="D732" i="1"/>
  <c r="D5384" i="1"/>
  <c r="D5397" i="1"/>
  <c r="D18557" i="1"/>
  <c r="D18477" i="1"/>
  <c r="D15031" i="1"/>
  <c r="D12575" i="1"/>
  <c r="D25179" i="1"/>
  <c r="D19424" i="1"/>
  <c r="D3551" i="1"/>
  <c r="D4159" i="1"/>
  <c r="D4171" i="1"/>
  <c r="D2658" i="1"/>
  <c r="D9144" i="1"/>
  <c r="D5137" i="1"/>
  <c r="D25692" i="1"/>
  <c r="D24544" i="1"/>
  <c r="D24545" i="1"/>
  <c r="D24546" i="1"/>
  <c r="D24547" i="1"/>
  <c r="D24548" i="1"/>
  <c r="D24549" i="1"/>
  <c r="D24550" i="1"/>
  <c r="D24551" i="1"/>
  <c r="D24552" i="1"/>
  <c r="D24553" i="1"/>
  <c r="D24554" i="1"/>
  <c r="D24555" i="1"/>
  <c r="D24556" i="1"/>
  <c r="D24557" i="1"/>
  <c r="D24558" i="1"/>
  <c r="D24559" i="1"/>
  <c r="D24560" i="1"/>
  <c r="D24561" i="1"/>
  <c r="D24562" i="1"/>
  <c r="D24563" i="1"/>
  <c r="D24564" i="1"/>
  <c r="D24565" i="1"/>
  <c r="D24566" i="1"/>
  <c r="D24567" i="1"/>
  <c r="D24568" i="1"/>
  <c r="D24569" i="1"/>
  <c r="D24570" i="1"/>
  <c r="D24571" i="1"/>
  <c r="D24572" i="1"/>
  <c r="D3552" i="1"/>
  <c r="D3553" i="1"/>
  <c r="D16064" i="1"/>
  <c r="D4578" i="1"/>
  <c r="D6171" i="1"/>
  <c r="D7612" i="1"/>
  <c r="D8464" i="1"/>
  <c r="D8465" i="1"/>
  <c r="D8466" i="1"/>
  <c r="D8467" i="1"/>
  <c r="D8468" i="1"/>
  <c r="D18279" i="1"/>
  <c r="D18198" i="1"/>
  <c r="D18199" i="1"/>
  <c r="D18200" i="1"/>
  <c r="D15796" i="1"/>
  <c r="D10098" i="1"/>
  <c r="D1256" i="1"/>
  <c r="D3631" i="1"/>
  <c r="D14666" i="1"/>
  <c r="D14760" i="1"/>
  <c r="D14761" i="1"/>
  <c r="D14762" i="1"/>
  <c r="D13953" i="1"/>
  <c r="D13954" i="1"/>
  <c r="D11860" i="1"/>
  <c r="D18438" i="1"/>
  <c r="D4412" i="1"/>
  <c r="D4413" i="1"/>
  <c r="D4414" i="1"/>
  <c r="D4415" i="1"/>
  <c r="D4416" i="1"/>
  <c r="D4417" i="1"/>
  <c r="D4418" i="1"/>
  <c r="D4419" i="1"/>
  <c r="D22991" i="1"/>
  <c r="D23124" i="1"/>
  <c r="D23211" i="1"/>
  <c r="D23125" i="1"/>
  <c r="D23212" i="1"/>
  <c r="D23070" i="1"/>
  <c r="D23126" i="1"/>
  <c r="D23213" i="1"/>
  <c r="D23214" i="1"/>
  <c r="D23215" i="1"/>
  <c r="D23216" i="1"/>
  <c r="D23217" i="1"/>
  <c r="D23218" i="1"/>
  <c r="D23219" i="1"/>
  <c r="D23127" i="1"/>
  <c r="D23220" i="1"/>
  <c r="D23221" i="1"/>
  <c r="D14464" i="1"/>
  <c r="D17824" i="1"/>
  <c r="D17825" i="1"/>
  <c r="D17826" i="1"/>
  <c r="D17827" i="1"/>
  <c r="D17828" i="1"/>
  <c r="D17829" i="1"/>
  <c r="D4127" i="1"/>
  <c r="D15383" i="1"/>
  <c r="D10972" i="1"/>
  <c r="D4212" i="1"/>
  <c r="D4213" i="1"/>
  <c r="D26741" i="1"/>
  <c r="D18511" i="1"/>
  <c r="D18512" i="1"/>
  <c r="D11567" i="1"/>
  <c r="D14585" i="1"/>
  <c r="D643" i="1"/>
  <c r="D19933" i="1"/>
  <c r="D19934" i="1"/>
  <c r="D19935" i="1"/>
  <c r="D19936" i="1"/>
  <c r="D19937" i="1"/>
  <c r="D19938" i="1"/>
  <c r="D19939" i="1"/>
  <c r="D3263" i="1"/>
  <c r="D3264" i="1"/>
  <c r="D4971" i="1"/>
  <c r="D4972" i="1"/>
  <c r="D8469" i="1"/>
  <c r="D8470" i="1"/>
  <c r="D2636" i="1"/>
  <c r="D10038" i="1"/>
  <c r="D4560" i="1"/>
  <c r="D19940" i="1"/>
  <c r="D10892" i="1"/>
  <c r="D10039" i="1"/>
  <c r="D10042" i="1"/>
  <c r="D8261" i="1"/>
  <c r="D13187" i="1"/>
  <c r="D19941" i="1"/>
  <c r="D19942" i="1"/>
  <c r="D19943" i="1"/>
  <c r="D19944" i="1"/>
  <c r="D19945" i="1"/>
  <c r="D19946" i="1"/>
  <c r="D19947" i="1"/>
  <c r="D19948" i="1"/>
  <c r="D19949" i="1"/>
  <c r="D19950" i="1"/>
  <c r="D19951" i="1"/>
  <c r="D19952" i="1"/>
  <c r="D19953" i="1"/>
  <c r="D19954" i="1"/>
  <c r="D19955" i="1"/>
  <c r="D19956" i="1"/>
  <c r="D19957" i="1"/>
  <c r="D19958" i="1"/>
  <c r="D19959" i="1"/>
  <c r="D19960" i="1"/>
  <c r="D19961" i="1"/>
  <c r="D19962" i="1"/>
  <c r="D19963" i="1"/>
  <c r="D19964" i="1"/>
  <c r="D19965" i="1"/>
  <c r="D19966" i="1"/>
  <c r="D19967" i="1"/>
  <c r="D19968" i="1"/>
  <c r="D19969" i="1"/>
  <c r="D9465" i="1"/>
  <c r="D3722" i="1"/>
  <c r="D13047" i="1"/>
  <c r="D13048" i="1"/>
  <c r="D26558" i="1"/>
  <c r="D19140" i="1"/>
  <c r="D12918" i="1"/>
  <c r="D10325" i="1"/>
  <c r="D10326" i="1"/>
  <c r="D6172" i="1"/>
  <c r="D778" i="1"/>
  <c r="D18217" i="1"/>
  <c r="D18218" i="1"/>
  <c r="D18219" i="1"/>
  <c r="D18220" i="1"/>
  <c r="D18221" i="1"/>
  <c r="D25388" i="1"/>
  <c r="D25389" i="1"/>
  <c r="D25390" i="1"/>
  <c r="D25391" i="1"/>
  <c r="D25392" i="1"/>
  <c r="D25393" i="1"/>
  <c r="D25394" i="1"/>
  <c r="D7988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19970" i="1"/>
  <c r="D19971" i="1"/>
  <c r="D19972" i="1"/>
  <c r="D19973" i="1"/>
  <c r="D19974" i="1"/>
  <c r="D19975" i="1"/>
  <c r="D19976" i="1"/>
  <c r="D19977" i="1"/>
  <c r="D19978" i="1"/>
  <c r="D19979" i="1"/>
  <c r="D19980" i="1"/>
  <c r="D19981" i="1"/>
  <c r="D19982" i="1"/>
  <c r="D19983" i="1"/>
  <c r="D19984" i="1"/>
  <c r="D19985" i="1"/>
  <c r="D19986" i="1"/>
  <c r="D19987" i="1"/>
  <c r="D19988" i="1"/>
  <c r="D19989" i="1"/>
  <c r="D3723" i="1"/>
  <c r="D5909" i="1"/>
  <c r="D5910" i="1"/>
  <c r="D18878" i="1"/>
  <c r="D23642" i="1"/>
  <c r="D26153" i="1"/>
  <c r="D25889" i="1"/>
  <c r="D26154" i="1"/>
  <c r="D26192" i="1"/>
  <c r="D3095" i="1"/>
  <c r="D18610" i="1"/>
  <c r="D16771" i="1"/>
  <c r="D16772" i="1"/>
  <c r="D15362" i="1"/>
  <c r="D2545" i="1"/>
  <c r="D5583" i="1"/>
  <c r="D2575" i="1"/>
  <c r="D26559" i="1"/>
  <c r="D18611" i="1"/>
  <c r="D18280" i="1"/>
  <c r="D18612" i="1"/>
  <c r="D5119" i="1"/>
  <c r="D17633" i="1"/>
  <c r="D17634" i="1"/>
  <c r="D17636" i="1"/>
  <c r="D8276" i="1"/>
  <c r="D8293" i="1"/>
  <c r="D8365" i="1"/>
  <c r="D8471" i="1"/>
  <c r="D2775" i="1"/>
  <c r="D2776" i="1"/>
  <c r="D2777" i="1"/>
  <c r="D15084" i="1"/>
  <c r="D19990" i="1"/>
  <c r="D18613" i="1"/>
  <c r="D26742" i="1"/>
  <c r="D18614" i="1"/>
  <c r="D18615" i="1"/>
  <c r="D25335" i="1"/>
  <c r="D2621" i="1"/>
  <c r="D2380" i="1"/>
  <c r="D25890" i="1"/>
  <c r="D25891" i="1"/>
  <c r="D18281" i="1"/>
  <c r="D15493" i="1"/>
  <c r="D2381" i="1"/>
  <c r="D5157" i="1"/>
  <c r="D25892" i="1"/>
  <c r="D26466" i="1"/>
  <c r="D26560" i="1"/>
  <c r="D2711" i="1"/>
  <c r="D2700" i="1"/>
  <c r="D15130" i="1"/>
  <c r="D15155" i="1"/>
  <c r="D15131" i="1"/>
  <c r="D15132" i="1"/>
  <c r="D15133" i="1"/>
  <c r="D8294" i="1"/>
  <c r="D8472" i="1"/>
  <c r="D8473" i="1"/>
  <c r="D8474" i="1"/>
  <c r="D26234" i="1"/>
  <c r="D24510" i="1"/>
  <c r="D26235" i="1"/>
  <c r="D2778" i="1"/>
  <c r="D19054" i="1"/>
  <c r="D25773" i="1"/>
  <c r="D25774" i="1"/>
  <c r="D2779" i="1"/>
  <c r="D2780" i="1"/>
  <c r="D1328" i="1"/>
  <c r="D22977" i="1"/>
  <c r="D15394" i="1"/>
  <c r="D15398" i="1"/>
  <c r="D9349" i="1"/>
  <c r="D9350" i="1"/>
  <c r="D17377" i="1"/>
  <c r="D9963" i="1"/>
  <c r="D17830" i="1"/>
  <c r="D13950" i="1"/>
  <c r="D13951" i="1"/>
  <c r="D13251" i="1"/>
  <c r="D4214" i="1"/>
  <c r="D26206" i="1"/>
  <c r="D14587" i="1"/>
  <c r="D9965" i="1"/>
  <c r="D538" i="1"/>
  <c r="D4215" i="1"/>
  <c r="D18073" i="1"/>
  <c r="D6185" i="1"/>
  <c r="D7613" i="1"/>
  <c r="D6186" i="1"/>
  <c r="D7614" i="1"/>
  <c r="D24223" i="1"/>
  <c r="D24224" i="1"/>
  <c r="D24225" i="1"/>
  <c r="D24226" i="1"/>
  <c r="D13979" i="1"/>
  <c r="D26313" i="1"/>
  <c r="D26743" i="1"/>
  <c r="D13233" i="1"/>
  <c r="D11035" i="1"/>
  <c r="D11476" i="1"/>
  <c r="D11036" i="1"/>
  <c r="D11477" i="1"/>
  <c r="D11478" i="1"/>
  <c r="D11037" i="1"/>
  <c r="D11479" i="1"/>
  <c r="D11038" i="1"/>
  <c r="D11480" i="1"/>
  <c r="D4184" i="1"/>
  <c r="D4185" i="1"/>
  <c r="D11039" i="1"/>
  <c r="D11040" i="1"/>
  <c r="D11041" i="1"/>
  <c r="D22939" i="1"/>
  <c r="D26561" i="1"/>
  <c r="D26314" i="1"/>
  <c r="D26744" i="1"/>
  <c r="D5158" i="1"/>
  <c r="D621" i="1"/>
  <c r="D26745" i="1"/>
  <c r="D18417" i="1"/>
  <c r="D5159" i="1"/>
  <c r="D10973" i="1"/>
  <c r="D26746" i="1"/>
  <c r="D4992" i="1"/>
  <c r="D4993" i="1"/>
  <c r="D3814" i="1"/>
  <c r="D22940" i="1"/>
  <c r="D19991" i="1"/>
  <c r="D26747" i="1"/>
  <c r="D23577" i="1"/>
  <c r="D26546" i="1"/>
  <c r="D26667" i="1"/>
  <c r="D5120" i="1"/>
  <c r="D3474" i="1"/>
  <c r="D3475" i="1"/>
  <c r="D9550" i="1"/>
  <c r="D9551" i="1"/>
  <c r="D15412" i="1"/>
  <c r="D24901" i="1"/>
  <c r="D6187" i="1"/>
  <c r="D6188" i="1"/>
  <c r="D6189" i="1"/>
  <c r="D6190" i="1"/>
  <c r="D17726" i="1"/>
  <c r="D10266" i="1"/>
  <c r="D24902" i="1"/>
  <c r="D3812" i="1"/>
  <c r="D24903" i="1"/>
  <c r="D24904" i="1"/>
  <c r="D6191" i="1"/>
  <c r="D7615" i="1"/>
  <c r="D6192" i="1"/>
  <c r="D7616" i="1"/>
  <c r="D24905" i="1"/>
  <c r="D17721" i="1"/>
  <c r="D8475" i="1"/>
  <c r="D8476" i="1"/>
  <c r="D8477" i="1"/>
  <c r="D14209" i="1"/>
  <c r="D14210" i="1"/>
  <c r="D14211" i="1"/>
  <c r="D14212" i="1"/>
  <c r="D14213" i="1"/>
  <c r="D14214" i="1"/>
  <c r="D14215" i="1"/>
  <c r="D14216" i="1"/>
  <c r="D14217" i="1"/>
  <c r="D14218" i="1"/>
  <c r="D14219" i="1"/>
  <c r="D14220" i="1"/>
  <c r="D14221" i="1"/>
  <c r="D14427" i="1"/>
  <c r="D14428" i="1"/>
  <c r="D14222" i="1"/>
  <c r="D14223" i="1"/>
  <c r="D14224" i="1"/>
  <c r="D14225" i="1"/>
  <c r="D14226" i="1"/>
  <c r="D9111" i="1"/>
  <c r="D25336" i="1"/>
  <c r="D11993" i="1"/>
  <c r="D10957" i="1"/>
  <c r="D12416" i="1"/>
  <c r="D24906" i="1"/>
  <c r="D24907" i="1"/>
  <c r="D11833" i="1"/>
  <c r="D11834" i="1"/>
  <c r="D2594" i="1"/>
  <c r="D2595" i="1"/>
  <c r="D7978" i="1"/>
  <c r="D24908" i="1"/>
  <c r="D8478" i="1"/>
  <c r="D8479" i="1"/>
  <c r="D8480" i="1"/>
  <c r="D8481" i="1"/>
  <c r="D8482" i="1"/>
  <c r="D8483" i="1"/>
  <c r="D25180" i="1"/>
  <c r="D8295" i="1"/>
  <c r="D8484" i="1"/>
  <c r="D8296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366" i="1"/>
  <c r="D8498" i="1"/>
  <c r="D8499" i="1"/>
  <c r="D8500" i="1"/>
  <c r="D8501" i="1"/>
  <c r="D14001" i="1"/>
  <c r="D8502" i="1"/>
  <c r="D8503" i="1"/>
  <c r="D8504" i="1"/>
  <c r="D8297" i="1"/>
  <c r="D8298" i="1"/>
  <c r="D8505" i="1"/>
  <c r="D8506" i="1"/>
  <c r="D8507" i="1"/>
  <c r="D8508" i="1"/>
  <c r="D8509" i="1"/>
  <c r="D8510" i="1"/>
  <c r="D26219" i="1"/>
  <c r="D8299" i="1"/>
  <c r="D8511" i="1"/>
  <c r="D8512" i="1"/>
  <c r="D8300" i="1"/>
  <c r="D8513" i="1"/>
  <c r="D8514" i="1"/>
  <c r="D8515" i="1"/>
  <c r="D8516" i="1"/>
  <c r="D8517" i="1"/>
  <c r="D8518" i="1"/>
  <c r="D8519" i="1"/>
  <c r="D18408" i="1"/>
  <c r="D14192" i="1"/>
  <c r="D1191" i="1"/>
  <c r="D11986" i="1"/>
  <c r="D17983" i="1"/>
  <c r="D26236" i="1"/>
  <c r="D14668" i="1"/>
  <c r="D5501" i="1"/>
  <c r="D25693" i="1"/>
  <c r="D17815" i="1"/>
  <c r="D18134" i="1"/>
  <c r="D18135" i="1"/>
  <c r="D5536" i="1"/>
  <c r="D11835" i="1"/>
  <c r="D24505" i="1"/>
  <c r="D4040" i="1"/>
  <c r="D12331" i="1"/>
  <c r="D3653" i="1"/>
  <c r="D16813" i="1"/>
  <c r="D16814" i="1"/>
  <c r="D23460" i="1"/>
  <c r="D23461" i="1"/>
  <c r="D23462" i="1"/>
  <c r="D8023" i="1"/>
  <c r="D23444" i="1"/>
  <c r="D23463" i="1"/>
  <c r="D14155" i="1"/>
  <c r="D24909" i="1"/>
  <c r="D24910" i="1"/>
  <c r="D24872" i="1"/>
  <c r="D5634" i="1"/>
  <c r="D24911" i="1"/>
  <c r="D24873" i="1"/>
  <c r="D24912" i="1"/>
  <c r="D24913" i="1"/>
  <c r="D13049" i="1"/>
  <c r="D13050" i="1"/>
  <c r="D23128" i="1"/>
  <c r="D23129" i="1"/>
  <c r="D23222" i="1"/>
  <c r="D23223" i="1"/>
  <c r="D23224" i="1"/>
  <c r="D26748" i="1"/>
  <c r="D26562" i="1"/>
  <c r="D26749" i="1"/>
  <c r="D26750" i="1"/>
  <c r="D25893" i="1"/>
  <c r="D25894" i="1"/>
  <c r="D26193" i="1"/>
  <c r="D25895" i="1"/>
  <c r="D25896" i="1"/>
  <c r="D622" i="1"/>
  <c r="D25897" i="1"/>
  <c r="D25898" i="1"/>
  <c r="D25395" i="1"/>
  <c r="D26563" i="1"/>
  <c r="D26751" i="1"/>
  <c r="D25396" i="1"/>
  <c r="D2880" i="1"/>
  <c r="D2881" i="1"/>
  <c r="D2882" i="1"/>
  <c r="D2883" i="1"/>
  <c r="D2884" i="1"/>
  <c r="D25397" i="1"/>
  <c r="D25398" i="1"/>
  <c r="D3693" i="1"/>
  <c r="D27049" i="1"/>
  <c r="D18579" i="1"/>
  <c r="D18616" i="1"/>
  <c r="D18580" i="1"/>
  <c r="D18617" i="1"/>
  <c r="D18581" i="1"/>
  <c r="D18582" i="1"/>
  <c r="D18618" i="1"/>
  <c r="D18583" i="1"/>
  <c r="D18619" i="1"/>
  <c r="D18573" i="1"/>
  <c r="D783" i="1"/>
  <c r="D5598" i="1"/>
  <c r="D5599" i="1"/>
  <c r="D4356" i="1"/>
  <c r="D4368" i="1"/>
  <c r="D11836" i="1"/>
  <c r="D4955" i="1"/>
  <c r="D4967" i="1"/>
  <c r="D4956" i="1"/>
  <c r="D4968" i="1"/>
  <c r="D6193" i="1"/>
  <c r="D7617" i="1"/>
  <c r="D6194" i="1"/>
  <c r="D7618" i="1"/>
  <c r="D27052" i="1"/>
  <c r="D27053" i="1"/>
  <c r="D23225" i="1"/>
  <c r="D23009" i="1"/>
  <c r="D23184" i="1"/>
  <c r="D23185" i="1"/>
  <c r="D23226" i="1"/>
  <c r="D23227" i="1"/>
  <c r="D23228" i="1"/>
  <c r="D23121" i="1"/>
  <c r="D23229" i="1"/>
  <c r="D27054" i="1"/>
  <c r="D17718" i="1"/>
  <c r="D5107" i="1"/>
  <c r="D5121" i="1"/>
  <c r="D6195" i="1"/>
  <c r="D7619" i="1"/>
  <c r="D6196" i="1"/>
  <c r="D6197" i="1"/>
  <c r="D6198" i="1"/>
  <c r="D6199" i="1"/>
  <c r="D6200" i="1"/>
  <c r="D6201" i="1"/>
  <c r="D6202" i="1"/>
  <c r="D6203" i="1"/>
  <c r="D6204" i="1"/>
  <c r="D22824" i="1"/>
  <c r="D22825" i="1"/>
  <c r="D6205" i="1"/>
  <c r="D7620" i="1"/>
  <c r="D12408" i="1"/>
  <c r="D13978" i="1"/>
  <c r="D17378" i="1"/>
  <c r="D26237" i="1"/>
  <c r="D11967" i="1"/>
  <c r="D17379" i="1"/>
  <c r="D4006" i="1"/>
  <c r="D4007" i="1"/>
  <c r="D27085" i="1"/>
  <c r="D15236" i="1"/>
  <c r="D15237" i="1"/>
  <c r="D1305" i="1"/>
  <c r="D6206" i="1"/>
  <c r="D7621" i="1"/>
  <c r="D6207" i="1"/>
  <c r="D7622" i="1"/>
  <c r="D6208" i="1"/>
  <c r="D15786" i="1"/>
  <c r="D15793" i="1"/>
  <c r="D26752" i="1"/>
  <c r="D17831" i="1"/>
  <c r="D13213" i="1"/>
  <c r="D17832" i="1"/>
  <c r="D5317" i="1"/>
  <c r="D5160" i="1"/>
  <c r="D5161" i="1"/>
  <c r="D5162" i="1"/>
  <c r="D5163" i="1"/>
  <c r="D5164" i="1"/>
  <c r="D5165" i="1"/>
  <c r="D5166" i="1"/>
  <c r="D26315" i="1"/>
  <c r="D26753" i="1"/>
  <c r="D26754" i="1"/>
  <c r="D25899" i="1"/>
  <c r="D25900" i="1"/>
  <c r="D25901" i="1"/>
  <c r="D25902" i="1"/>
  <c r="D25903" i="1"/>
  <c r="D26316" i="1"/>
  <c r="D26755" i="1"/>
  <c r="D26756" i="1"/>
  <c r="D26668" i="1"/>
  <c r="D26564" i="1"/>
  <c r="D17833" i="1"/>
  <c r="D18504" i="1"/>
  <c r="D18505" i="1"/>
  <c r="D18506" i="1"/>
  <c r="D18507" i="1"/>
  <c r="D18508" i="1"/>
  <c r="D18002" i="1"/>
  <c r="D18003" i="1"/>
  <c r="D18004" i="1"/>
  <c r="D18005" i="1"/>
  <c r="D26220" i="1"/>
  <c r="D26238" i="1"/>
  <c r="D26239" i="1"/>
  <c r="D26757" i="1"/>
  <c r="D6209" i="1"/>
  <c r="D7623" i="1"/>
  <c r="D6210" i="1"/>
  <c r="D7624" i="1"/>
  <c r="D6211" i="1"/>
  <c r="D7625" i="1"/>
  <c r="D25904" i="1"/>
  <c r="D25905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17329" i="1"/>
  <c r="D17336" i="1"/>
  <c r="D4710" i="1"/>
  <c r="D4685" i="1"/>
  <c r="D18409" i="1"/>
  <c r="D4695" i="1"/>
  <c r="D4711" i="1"/>
  <c r="D4712" i="1"/>
  <c r="D4713" i="1"/>
  <c r="D4714" i="1"/>
  <c r="D10099" i="1"/>
  <c r="D10100" i="1"/>
  <c r="D22826" i="1"/>
  <c r="D14626" i="1"/>
  <c r="D23519" i="1"/>
  <c r="D23520" i="1"/>
  <c r="D23524" i="1"/>
  <c r="D15639" i="1"/>
  <c r="D2897" i="1"/>
  <c r="D4715" i="1"/>
  <c r="D17834" i="1"/>
  <c r="D8080" i="1"/>
  <c r="D13221" i="1"/>
  <c r="D17625" i="1"/>
  <c r="D25181" i="1"/>
  <c r="D17557" i="1"/>
  <c r="D17835" i="1"/>
  <c r="D14709" i="1"/>
  <c r="D22827" i="1"/>
  <c r="D22828" i="1"/>
  <c r="D14763" i="1"/>
  <c r="D14764" i="1"/>
  <c r="D14765" i="1"/>
  <c r="D18569" i="1"/>
  <c r="D1295" i="1"/>
  <c r="D8242" i="1"/>
  <c r="D10139" i="1"/>
  <c r="D16773" i="1"/>
  <c r="D16774" i="1"/>
  <c r="D14156" i="1"/>
  <c r="D11042" i="1"/>
  <c r="D11043" i="1"/>
  <c r="D2723" i="1"/>
  <c r="D12683" i="1"/>
  <c r="D12684" i="1"/>
  <c r="D12685" i="1"/>
  <c r="D558" i="1"/>
  <c r="D11044" i="1"/>
  <c r="D11045" i="1"/>
  <c r="D5719" i="1"/>
  <c r="D3647" i="1"/>
  <c r="D5710" i="1"/>
  <c r="D2659" i="1"/>
  <c r="D2660" i="1"/>
  <c r="D12047" i="1"/>
  <c r="D18620" i="1"/>
  <c r="D6226" i="1"/>
  <c r="D7626" i="1"/>
  <c r="D6227" i="1"/>
  <c r="D7627" i="1"/>
  <c r="D6228" i="1"/>
  <c r="D1306" i="1"/>
  <c r="D18621" i="1"/>
  <c r="D10065" i="1"/>
  <c r="D18282" i="1"/>
  <c r="D6229" i="1"/>
  <c r="D7628" i="1"/>
  <c r="D15355" i="1"/>
  <c r="D6230" i="1"/>
  <c r="D7629" i="1"/>
  <c r="D18832" i="1"/>
  <c r="D18833" i="1"/>
  <c r="D17836" i="1"/>
  <c r="D3743" i="1"/>
  <c r="D2438" i="1"/>
  <c r="D10447" i="1"/>
  <c r="D832" i="1"/>
  <c r="D15057" i="1"/>
  <c r="D3685" i="1"/>
  <c r="D12435" i="1"/>
  <c r="D15815" i="1"/>
  <c r="D17730" i="1"/>
  <c r="D5720" i="1"/>
  <c r="D5688" i="1"/>
  <c r="D15063" i="1"/>
  <c r="D15085" i="1"/>
  <c r="D15053" i="1"/>
  <c r="D13252" i="1"/>
  <c r="D5721" i="1"/>
  <c r="D25345" i="1"/>
  <c r="D4137" i="1"/>
  <c r="D105" i="1"/>
  <c r="D106" i="1"/>
  <c r="D26758" i="1"/>
  <c r="D2701" i="1"/>
  <c r="D26759" i="1"/>
  <c r="D10504" i="1"/>
  <c r="D26760" i="1"/>
  <c r="D2781" i="1"/>
  <c r="D2782" i="1"/>
  <c r="D2860" i="1"/>
  <c r="D13253" i="1"/>
  <c r="D26761" i="1"/>
  <c r="D18283" i="1"/>
  <c r="D2724" i="1"/>
  <c r="D13254" i="1"/>
  <c r="D25809" i="1"/>
  <c r="D12554" i="1"/>
  <c r="D2622" i="1"/>
  <c r="D6231" i="1"/>
  <c r="D7630" i="1"/>
  <c r="D18480" i="1"/>
  <c r="D699" i="1"/>
  <c r="D700" i="1"/>
  <c r="D701" i="1"/>
  <c r="D5058" i="1"/>
  <c r="D5078" i="1"/>
  <c r="D19689" i="1"/>
  <c r="D13197" i="1"/>
  <c r="D18922" i="1"/>
  <c r="D11046" i="1"/>
  <c r="D11047" i="1"/>
  <c r="D11048" i="1"/>
  <c r="D11049" i="1"/>
  <c r="D11050" i="1"/>
  <c r="D4434" i="1"/>
  <c r="D4435" i="1"/>
  <c r="D26240" i="1"/>
  <c r="D11051" i="1"/>
  <c r="D11052" i="1"/>
  <c r="D10157" i="1"/>
  <c r="D10158" i="1"/>
  <c r="D5665" i="1"/>
  <c r="D9552" i="1"/>
  <c r="D9553" i="1"/>
  <c r="D9554" i="1"/>
  <c r="D9937" i="1"/>
  <c r="D23445" i="1"/>
  <c r="D23464" i="1"/>
  <c r="D3445" i="1"/>
  <c r="D3446" i="1"/>
  <c r="D5419" i="1"/>
  <c r="D5423" i="1"/>
  <c r="D15339" i="1"/>
  <c r="D26565" i="1"/>
  <c r="D26762" i="1"/>
  <c r="D9555" i="1"/>
  <c r="D9556" i="1"/>
  <c r="D9557" i="1"/>
  <c r="D9558" i="1"/>
  <c r="D9559" i="1"/>
  <c r="D9560" i="1"/>
  <c r="D5318" i="1"/>
  <c r="D5319" i="1"/>
  <c r="D3827" i="1"/>
  <c r="D17585" i="1"/>
  <c r="D17586" i="1"/>
  <c r="D17587" i="1"/>
  <c r="D22901" i="1"/>
  <c r="D5679" i="1"/>
  <c r="D15467" i="1"/>
  <c r="D15257" i="1"/>
  <c r="D1466" i="1"/>
  <c r="D14719" i="1"/>
  <c r="D1201" i="1"/>
  <c r="D1202" i="1"/>
  <c r="D14720" i="1"/>
  <c r="D8520" i="1"/>
  <c r="D8521" i="1"/>
  <c r="D8522" i="1"/>
  <c r="D8523" i="1"/>
  <c r="D8524" i="1"/>
  <c r="D8525" i="1"/>
  <c r="D8526" i="1"/>
  <c r="D8527" i="1"/>
  <c r="D8528" i="1"/>
  <c r="D8529" i="1"/>
  <c r="D8530" i="1"/>
  <c r="D8268" i="1"/>
  <c r="D8531" i="1"/>
  <c r="D8301" i="1"/>
  <c r="D8302" i="1"/>
  <c r="D15102" i="1"/>
  <c r="D3595" i="1"/>
  <c r="D3596" i="1"/>
  <c r="D14470" i="1"/>
  <c r="D784" i="1"/>
  <c r="D785" i="1"/>
  <c r="D15949" i="1"/>
  <c r="D766" i="1"/>
  <c r="D24511" i="1"/>
  <c r="D19121" i="1"/>
  <c r="D25593" i="1"/>
  <c r="D25594" i="1"/>
  <c r="D25595" i="1"/>
  <c r="D6232" i="1"/>
  <c r="D6233" i="1"/>
  <c r="D6234" i="1"/>
  <c r="D11994" i="1"/>
  <c r="D3089" i="1"/>
  <c r="D6235" i="1"/>
  <c r="D17380" i="1"/>
  <c r="D17381" i="1"/>
  <c r="D17382" i="1"/>
  <c r="D17383" i="1"/>
  <c r="D17384" i="1"/>
  <c r="D17385" i="1"/>
  <c r="D8215" i="1"/>
  <c r="D14636" i="1"/>
  <c r="D14637" i="1"/>
  <c r="D12561" i="1"/>
  <c r="D12562" i="1"/>
  <c r="D3815" i="1"/>
  <c r="D2783" i="1"/>
  <c r="D5779" i="1"/>
  <c r="D5780" i="1"/>
  <c r="D1257" i="1"/>
  <c r="D9451" i="1"/>
  <c r="D2706" i="1"/>
  <c r="D1046" i="1"/>
  <c r="D8532" i="1"/>
  <c r="D16132" i="1"/>
  <c r="D8533" i="1"/>
  <c r="D4216" i="1"/>
  <c r="D3925" i="1"/>
  <c r="D3926" i="1"/>
  <c r="D3927" i="1"/>
  <c r="D9322" i="1"/>
  <c r="D9351" i="1"/>
  <c r="D8534" i="1"/>
  <c r="D8535" i="1"/>
  <c r="D25766" i="1"/>
  <c r="D23465" i="1"/>
  <c r="D15468" i="1"/>
  <c r="D15424" i="1"/>
  <c r="D15425" i="1"/>
  <c r="D23641" i="1"/>
  <c r="D3499" i="1"/>
  <c r="D8536" i="1"/>
  <c r="D25579" i="1"/>
  <c r="D9129" i="1"/>
  <c r="D18841" i="1"/>
  <c r="D19122" i="1"/>
  <c r="D4138" i="1"/>
  <c r="D4139" i="1"/>
  <c r="D14669" i="1"/>
  <c r="D13236" i="1"/>
  <c r="D12603" i="1"/>
  <c r="D25748" i="1"/>
  <c r="D13933" i="1"/>
  <c r="D4217" i="1"/>
  <c r="D4218" i="1"/>
  <c r="D3195" i="1"/>
  <c r="D3223" i="1"/>
  <c r="D15544" i="1"/>
  <c r="D15545" i="1"/>
  <c r="D706" i="1"/>
  <c r="D5689" i="1"/>
  <c r="D12464" i="1"/>
  <c r="D24914" i="1"/>
  <c r="D24915" i="1"/>
  <c r="D24916" i="1"/>
  <c r="D24917" i="1"/>
  <c r="D4650" i="1"/>
  <c r="D12324" i="1"/>
  <c r="D26241" i="1"/>
  <c r="D12514" i="1"/>
  <c r="D24918" i="1"/>
  <c r="D2530" i="1"/>
  <c r="D2535" i="1"/>
  <c r="D2546" i="1"/>
  <c r="D24919" i="1"/>
  <c r="D24920" i="1"/>
  <c r="D12567" i="1"/>
  <c r="D24921" i="1"/>
  <c r="D24922" i="1"/>
  <c r="D12465" i="1"/>
  <c r="D12466" i="1"/>
  <c r="D11987" i="1"/>
  <c r="D12467" i="1"/>
  <c r="D12468" i="1"/>
  <c r="D12469" i="1"/>
  <c r="D4443" i="1"/>
  <c r="D24923" i="1"/>
  <c r="D10292" i="1"/>
  <c r="D10309" i="1"/>
  <c r="D2580" i="1"/>
  <c r="D14601" i="1"/>
  <c r="D3480" i="1"/>
  <c r="D3481" i="1"/>
  <c r="D5122" i="1"/>
  <c r="D14142" i="1"/>
  <c r="D3164" i="1"/>
  <c r="D3165" i="1"/>
  <c r="D18136" i="1"/>
  <c r="D4322" i="1"/>
  <c r="D6236" i="1"/>
  <c r="D6237" i="1"/>
  <c r="D6238" i="1"/>
  <c r="D6239" i="1"/>
  <c r="D6240" i="1"/>
  <c r="D6241" i="1"/>
  <c r="D19081" i="1"/>
  <c r="D9458" i="1"/>
  <c r="D10459" i="1"/>
  <c r="D5471" i="1"/>
  <c r="D5502" i="1"/>
  <c r="D13051" i="1"/>
  <c r="D13052" i="1"/>
  <c r="D25751" i="1"/>
  <c r="D814" i="1"/>
  <c r="D13917" i="1"/>
  <c r="D18247" i="1"/>
  <c r="D3866" i="1"/>
  <c r="D1065" i="1"/>
  <c r="D10034" i="1"/>
  <c r="D10047" i="1"/>
  <c r="D11053" i="1"/>
  <c r="D644" i="1"/>
  <c r="D18923" i="1"/>
  <c r="D18924" i="1"/>
  <c r="D8537" i="1"/>
  <c r="D5722" i="1"/>
  <c r="D8538" i="1"/>
  <c r="D8539" i="1"/>
  <c r="D3724" i="1"/>
  <c r="D8540" i="1"/>
  <c r="D8541" i="1"/>
  <c r="D8367" i="1"/>
  <c r="D8542" i="1"/>
  <c r="D27055" i="1"/>
  <c r="D11872" i="1"/>
  <c r="D8543" i="1"/>
  <c r="D8544" i="1"/>
  <c r="D12776" i="1"/>
  <c r="D8545" i="1"/>
  <c r="D3725" i="1"/>
  <c r="D8546" i="1"/>
  <c r="D8547" i="1"/>
  <c r="D8548" i="1"/>
  <c r="D8549" i="1"/>
  <c r="D8550" i="1"/>
  <c r="D4398" i="1"/>
  <c r="D3726" i="1"/>
  <c r="D8368" i="1"/>
  <c r="D8551" i="1"/>
  <c r="D8303" i="1"/>
  <c r="D8304" i="1"/>
  <c r="D13053" i="1"/>
  <c r="D13054" i="1"/>
  <c r="D15839" i="1"/>
  <c r="D8552" i="1"/>
  <c r="D8553" i="1"/>
  <c r="D8554" i="1"/>
  <c r="D8305" i="1"/>
  <c r="D8306" i="1"/>
  <c r="D5694" i="1"/>
  <c r="D5723" i="1"/>
  <c r="D17637" i="1"/>
  <c r="D17632" i="1"/>
  <c r="D17638" i="1"/>
  <c r="D611" i="1"/>
  <c r="D15317" i="1"/>
  <c r="D22955" i="1"/>
  <c r="D3408" i="1"/>
  <c r="D3409" i="1"/>
  <c r="D17710" i="1"/>
  <c r="D4219" i="1"/>
  <c r="D17639" i="1"/>
  <c r="D5503" i="1"/>
  <c r="D1248" i="1"/>
  <c r="D1250" i="1"/>
  <c r="D5504" i="1"/>
  <c r="D5505" i="1"/>
  <c r="D5537" i="1"/>
  <c r="D5538" i="1"/>
  <c r="D8555" i="1"/>
  <c r="D25580" i="1"/>
  <c r="D18925" i="1"/>
  <c r="D18926" i="1"/>
  <c r="D14500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23230" i="1"/>
  <c r="D23117" i="1"/>
  <c r="D23186" i="1"/>
  <c r="D23231" i="1"/>
  <c r="D12084" i="1"/>
  <c r="D10003" i="1"/>
  <c r="D10004" i="1"/>
  <c r="D5860" i="1"/>
  <c r="D25182" i="1"/>
  <c r="D25399" i="1"/>
  <c r="D15610" i="1"/>
  <c r="D12085" i="1"/>
  <c r="D12086" i="1"/>
  <c r="D12087" i="1"/>
  <c r="D12088" i="1"/>
  <c r="D12089" i="1"/>
  <c r="D12090" i="1"/>
  <c r="D12091" i="1"/>
  <c r="D12092" i="1"/>
  <c r="D12093" i="1"/>
  <c r="D12716" i="1"/>
  <c r="D12742" i="1"/>
  <c r="D12717" i="1"/>
  <c r="D12743" i="1"/>
  <c r="D6254" i="1"/>
  <c r="D7631" i="1"/>
  <c r="D6255" i="1"/>
  <c r="D7632" i="1"/>
  <c r="D6256" i="1"/>
  <c r="D7633" i="1"/>
  <c r="D4008" i="1"/>
  <c r="D4084" i="1"/>
  <c r="D3617" i="1"/>
  <c r="D15156" i="1"/>
  <c r="D15157" i="1"/>
  <c r="D15134" i="1"/>
  <c r="D15158" i="1"/>
  <c r="D15135" i="1"/>
  <c r="D15159" i="1"/>
  <c r="D15160" i="1"/>
  <c r="D15161" i="1"/>
  <c r="D4085" i="1"/>
  <c r="D22891" i="1"/>
  <c r="D25400" i="1"/>
  <c r="D2400" i="1"/>
  <c r="D2401" i="1"/>
  <c r="D6257" i="1"/>
  <c r="D25401" i="1"/>
  <c r="D25402" i="1"/>
  <c r="D23466" i="1"/>
  <c r="D12094" i="1"/>
  <c r="D12095" i="1"/>
  <c r="D12096" i="1"/>
  <c r="D12097" i="1"/>
  <c r="D6258" i="1"/>
  <c r="D7634" i="1"/>
  <c r="D6259" i="1"/>
  <c r="D6260" i="1"/>
  <c r="D5848" i="1"/>
  <c r="D5849" i="1"/>
  <c r="D5850" i="1"/>
  <c r="D5851" i="1"/>
  <c r="D23071" i="1"/>
  <c r="D23232" i="1"/>
  <c r="D23233" i="1"/>
  <c r="D23234" i="1"/>
  <c r="D23079" i="1"/>
  <c r="D23235" i="1"/>
  <c r="D23010" i="1"/>
  <c r="D23236" i="1"/>
  <c r="D25403" i="1"/>
  <c r="D6261" i="1"/>
  <c r="D7635" i="1"/>
  <c r="D25404" i="1"/>
  <c r="D18622" i="1"/>
  <c r="D18623" i="1"/>
  <c r="D757" i="1"/>
  <c r="D8307" i="1"/>
  <c r="D5495" i="1"/>
  <c r="D5539" i="1"/>
  <c r="D5838" i="1"/>
  <c r="D19123" i="1"/>
  <c r="D2504" i="1"/>
  <c r="D3410" i="1"/>
  <c r="D8198" i="1"/>
  <c r="D997" i="1"/>
  <c r="D9401" i="1"/>
  <c r="D23467" i="1"/>
  <c r="D12263" i="1"/>
  <c r="D12264" i="1"/>
  <c r="D12265" i="1"/>
  <c r="D23468" i="1"/>
  <c r="D8199" i="1"/>
  <c r="D12981" i="1"/>
  <c r="D12982" i="1"/>
  <c r="D733" i="1"/>
  <c r="D12947" i="1"/>
  <c r="D12967" i="1"/>
  <c r="D12983" i="1"/>
  <c r="D13103" i="1"/>
  <c r="D12948" i="1"/>
  <c r="D10048" i="1"/>
  <c r="D6262" i="1"/>
  <c r="D7636" i="1"/>
  <c r="D23536" i="1"/>
  <c r="D23011" i="1"/>
  <c r="D25405" i="1"/>
  <c r="D12098" i="1"/>
  <c r="D12099" i="1"/>
  <c r="D15816" i="1"/>
  <c r="D15817" i="1"/>
  <c r="D17722" i="1"/>
  <c r="D15258" i="1"/>
  <c r="D9497" i="1"/>
  <c r="D9498" i="1"/>
  <c r="D9499" i="1"/>
  <c r="D23469" i="1"/>
  <c r="D25406" i="1"/>
  <c r="D25407" i="1"/>
  <c r="D22992" i="1"/>
  <c r="D23535" i="1"/>
  <c r="D23537" i="1"/>
  <c r="D25408" i="1"/>
  <c r="D14827" i="1"/>
  <c r="D14828" i="1"/>
  <c r="D14829" i="1"/>
  <c r="D14830" i="1"/>
  <c r="D17716" i="1"/>
  <c r="D6263" i="1"/>
  <c r="D7637" i="1"/>
  <c r="D6264" i="1"/>
  <c r="D7638" i="1"/>
  <c r="D6265" i="1"/>
  <c r="D6266" i="1"/>
  <c r="D7639" i="1"/>
  <c r="D6267" i="1"/>
  <c r="D25794" i="1"/>
  <c r="D25519" i="1"/>
  <c r="D19124" i="1"/>
  <c r="D14875" i="1"/>
  <c r="D14876" i="1"/>
  <c r="D14877" i="1"/>
  <c r="D14878" i="1"/>
  <c r="D14879" i="1"/>
  <c r="D14880" i="1"/>
  <c r="D14881" i="1"/>
  <c r="D17386" i="1"/>
  <c r="D17387" i="1"/>
  <c r="D17388" i="1"/>
  <c r="D17389" i="1"/>
  <c r="D17390" i="1"/>
  <c r="D25584" i="1"/>
  <c r="D3262" i="1"/>
  <c r="D9105" i="1"/>
  <c r="D4220" i="1"/>
  <c r="D9316" i="1"/>
  <c r="D11583" i="1"/>
  <c r="D11584" i="1"/>
  <c r="D11585" i="1"/>
  <c r="D11586" i="1"/>
  <c r="D11587" i="1"/>
  <c r="D10229" i="1"/>
  <c r="D18098" i="1"/>
  <c r="D10436" i="1"/>
  <c r="D12944" i="1"/>
  <c r="D23130" i="1"/>
  <c r="D5408" i="1"/>
  <c r="D19071" i="1"/>
  <c r="D26317" i="1"/>
  <c r="D1066" i="1"/>
  <c r="D1067" i="1"/>
  <c r="D1068" i="1"/>
  <c r="D1069" i="1"/>
  <c r="D13155" i="1"/>
  <c r="D107" i="1"/>
  <c r="D26763" i="1"/>
  <c r="D26669" i="1"/>
  <c r="D15494" i="1"/>
  <c r="D26566" i="1"/>
  <c r="D26764" i="1"/>
  <c r="D26765" i="1"/>
  <c r="D15495" i="1"/>
  <c r="D23581" i="1"/>
  <c r="D26766" i="1"/>
  <c r="D5167" i="1"/>
  <c r="D14721" i="1"/>
  <c r="D5168" i="1"/>
  <c r="D11903" i="1"/>
  <c r="D14722" i="1"/>
  <c r="D2725" i="1"/>
  <c r="D2726" i="1"/>
  <c r="D26767" i="1"/>
  <c r="D5770" i="1"/>
  <c r="D26194" i="1"/>
  <c r="D25839" i="1"/>
  <c r="D25906" i="1"/>
  <c r="D2458" i="1"/>
  <c r="D26768" i="1"/>
  <c r="D26195" i="1"/>
  <c r="D25907" i="1"/>
  <c r="D26567" i="1"/>
  <c r="D11889" i="1"/>
  <c r="D26568" i="1"/>
  <c r="D18624" i="1"/>
  <c r="D2784" i="1"/>
  <c r="D2702" i="1"/>
  <c r="D13188" i="1"/>
  <c r="D5320" i="1"/>
  <c r="D15546" i="1"/>
  <c r="D22829" i="1"/>
  <c r="D11054" i="1"/>
  <c r="D11055" i="1"/>
  <c r="D11056" i="1"/>
  <c r="D11057" i="1"/>
  <c r="D14227" i="1"/>
  <c r="D14228" i="1"/>
  <c r="D14229" i="1"/>
  <c r="D14230" i="1"/>
  <c r="D14231" i="1"/>
  <c r="D14232" i="1"/>
  <c r="D14233" i="1"/>
  <c r="D14234" i="1"/>
  <c r="D14235" i="1"/>
  <c r="D14236" i="1"/>
  <c r="D14237" i="1"/>
  <c r="D14238" i="1"/>
  <c r="D11058" i="1"/>
  <c r="D11481" i="1"/>
  <c r="D14429" i="1"/>
  <c r="D11059" i="1"/>
  <c r="D11060" i="1"/>
  <c r="D11482" i="1"/>
  <c r="D11061" i="1"/>
  <c r="D2785" i="1"/>
  <c r="D11062" i="1"/>
  <c r="D10193" i="1"/>
  <c r="D10194" i="1"/>
  <c r="D10337" i="1"/>
  <c r="D10338" i="1"/>
  <c r="D10339" i="1"/>
  <c r="D10340" i="1"/>
  <c r="D4221" i="1"/>
  <c r="D4222" i="1"/>
  <c r="D4223" i="1"/>
  <c r="D8120" i="1"/>
  <c r="D8100" i="1"/>
  <c r="D8101" i="1"/>
  <c r="D8102" i="1"/>
  <c r="D8121" i="1"/>
  <c r="D9352" i="1"/>
  <c r="D13142" i="1"/>
  <c r="D18099" i="1"/>
  <c r="D18100" i="1"/>
  <c r="D19701" i="1"/>
  <c r="D10315" i="1"/>
  <c r="D10316" i="1"/>
  <c r="D11810" i="1"/>
  <c r="D5398" i="1"/>
  <c r="D19702" i="1"/>
  <c r="D15820" i="1"/>
  <c r="D11837" i="1"/>
  <c r="D11838" i="1"/>
  <c r="D25361" i="1"/>
  <c r="D10883" i="1"/>
  <c r="D12604" i="1"/>
  <c r="D6268" i="1"/>
  <c r="D6269" i="1"/>
  <c r="D6270" i="1"/>
  <c r="D6271" i="1"/>
  <c r="D6272" i="1"/>
  <c r="D6273" i="1"/>
  <c r="D6274" i="1"/>
  <c r="D9155" i="1"/>
  <c r="D9156" i="1"/>
  <c r="D6275" i="1"/>
  <c r="D25752" i="1"/>
  <c r="D13234" i="1"/>
  <c r="D4388" i="1"/>
  <c r="D9157" i="1"/>
  <c r="D3096" i="1"/>
  <c r="D4570" i="1"/>
  <c r="D12789" i="1"/>
  <c r="D12790" i="1"/>
  <c r="D12791" i="1"/>
  <c r="D12792" i="1"/>
  <c r="D6276" i="1"/>
  <c r="D25369" i="1"/>
  <c r="D3764" i="1"/>
  <c r="D3765" i="1"/>
  <c r="D3766" i="1"/>
  <c r="D3767" i="1"/>
  <c r="D3768" i="1"/>
  <c r="D3769" i="1"/>
  <c r="D12793" i="1"/>
  <c r="D12794" i="1"/>
  <c r="D2463" i="1"/>
  <c r="D11483" i="1"/>
  <c r="D11484" i="1"/>
  <c r="D11063" i="1"/>
  <c r="D11485" i="1"/>
  <c r="D25338" i="1"/>
  <c r="D14430" i="1"/>
  <c r="D9561" i="1"/>
  <c r="D9562" i="1"/>
  <c r="D9563" i="1"/>
  <c r="D990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8556" i="1"/>
  <c r="D11064" i="1"/>
  <c r="D11065" i="1"/>
  <c r="D11066" i="1"/>
  <c r="D8557" i="1"/>
  <c r="D19992" i="1"/>
  <c r="D19993" i="1"/>
  <c r="D19994" i="1"/>
  <c r="D19995" i="1"/>
  <c r="D19996" i="1"/>
  <c r="D19997" i="1"/>
  <c r="D19998" i="1"/>
  <c r="D19999" i="1"/>
  <c r="D20000" i="1"/>
  <c r="D20001" i="1"/>
  <c r="D3281" i="1"/>
  <c r="D24227" i="1"/>
  <c r="D26569" i="1"/>
  <c r="D1329" i="1"/>
  <c r="D1330" i="1"/>
  <c r="D17837" i="1"/>
  <c r="D20002" i="1"/>
  <c r="D20003" i="1"/>
  <c r="D20004" i="1"/>
  <c r="D20005" i="1"/>
  <c r="D20006" i="1"/>
  <c r="D20007" i="1"/>
  <c r="D20008" i="1"/>
  <c r="D20009" i="1"/>
  <c r="D20010" i="1"/>
  <c r="D20011" i="1"/>
  <c r="D20012" i="1"/>
  <c r="D20013" i="1"/>
  <c r="D20014" i="1"/>
  <c r="D20015" i="1"/>
  <c r="D20016" i="1"/>
  <c r="D20017" i="1"/>
  <c r="D20018" i="1"/>
  <c r="D20019" i="1"/>
  <c r="D20020" i="1"/>
  <c r="D20021" i="1"/>
  <c r="D20022" i="1"/>
  <c r="D20023" i="1"/>
  <c r="D20024" i="1"/>
  <c r="D20025" i="1"/>
  <c r="D20026" i="1"/>
  <c r="D20027" i="1"/>
  <c r="D20028" i="1"/>
  <c r="D20029" i="1"/>
  <c r="D20030" i="1"/>
  <c r="D20031" i="1"/>
  <c r="D20032" i="1"/>
  <c r="D20033" i="1"/>
  <c r="D20034" i="1"/>
  <c r="D20035" i="1"/>
  <c r="D20036" i="1"/>
  <c r="D20037" i="1"/>
  <c r="D20038" i="1"/>
  <c r="D20039" i="1"/>
  <c r="D20040" i="1"/>
  <c r="D20041" i="1"/>
  <c r="D20042" i="1"/>
  <c r="D20043" i="1"/>
  <c r="D20044" i="1"/>
  <c r="D20045" i="1"/>
  <c r="D20046" i="1"/>
  <c r="D20047" i="1"/>
  <c r="D8558" i="1"/>
  <c r="D8262" i="1"/>
  <c r="D8559" i="1"/>
  <c r="D8560" i="1"/>
  <c r="D8561" i="1"/>
  <c r="D8562" i="1"/>
  <c r="D8563" i="1"/>
  <c r="D8564" i="1"/>
  <c r="D8565" i="1"/>
  <c r="D4584" i="1"/>
  <c r="D3196" i="1"/>
  <c r="D3224" i="1"/>
  <c r="D4399" i="1"/>
  <c r="D3635" i="1"/>
  <c r="D10005" i="1"/>
  <c r="D3636" i="1"/>
  <c r="D2372" i="1"/>
  <c r="D4547" i="1"/>
  <c r="D4555" i="1"/>
  <c r="D4548" i="1"/>
  <c r="D4556" i="1"/>
  <c r="D9158" i="1"/>
  <c r="D15359" i="1"/>
  <c r="D9159" i="1"/>
  <c r="D25733" i="1"/>
  <c r="D25504" i="1"/>
  <c r="D25505" i="1"/>
  <c r="D3973" i="1"/>
  <c r="D850" i="1"/>
  <c r="D862" i="1"/>
  <c r="D875" i="1"/>
  <c r="D6277" i="1"/>
  <c r="D6278" i="1"/>
  <c r="D6279" i="1"/>
  <c r="D6280" i="1"/>
  <c r="D6281" i="1"/>
  <c r="D2486" i="1"/>
  <c r="D9160" i="1"/>
  <c r="D9247" i="1"/>
  <c r="D9248" i="1"/>
  <c r="D9249" i="1"/>
  <c r="D9250" i="1"/>
  <c r="D24228" i="1"/>
  <c r="D24229" i="1"/>
  <c r="D24230" i="1"/>
  <c r="D24231" i="1"/>
  <c r="D24232" i="1"/>
  <c r="D24233" i="1"/>
  <c r="D24234" i="1"/>
  <c r="D24235" i="1"/>
  <c r="D9825" i="1"/>
  <c r="D9826" i="1"/>
  <c r="D9827" i="1"/>
  <c r="D9828" i="1"/>
  <c r="D9829" i="1"/>
  <c r="D9830" i="1"/>
  <c r="D9831" i="1"/>
  <c r="D9832" i="1"/>
  <c r="D559" i="1"/>
  <c r="D10724" i="1"/>
  <c r="D10725" i="1"/>
  <c r="D10726" i="1"/>
  <c r="D16065" i="1"/>
  <c r="D1331" i="1"/>
  <c r="D1332" i="1"/>
  <c r="D20048" i="1"/>
  <c r="D20049" i="1"/>
  <c r="D20050" i="1"/>
  <c r="D20051" i="1"/>
  <c r="D20052" i="1"/>
  <c r="D20053" i="1"/>
  <c r="D20054" i="1"/>
  <c r="D20055" i="1"/>
  <c r="D20056" i="1"/>
  <c r="D20057" i="1"/>
  <c r="D20058" i="1"/>
  <c r="D20059" i="1"/>
  <c r="D24385" i="1"/>
  <c r="D24386" i="1"/>
  <c r="D17838" i="1"/>
  <c r="D17839" i="1"/>
  <c r="D11442" i="1"/>
  <c r="D24387" i="1"/>
  <c r="D24388" i="1"/>
  <c r="D20060" i="1"/>
  <c r="D20061" i="1"/>
  <c r="D20062" i="1"/>
  <c r="D20063" i="1"/>
  <c r="D19203" i="1"/>
  <c r="D19154" i="1"/>
  <c r="D19155" i="1"/>
  <c r="D20064" i="1"/>
  <c r="D15965" i="1"/>
  <c r="D11067" i="1"/>
  <c r="D25192" i="1"/>
  <c r="D20065" i="1"/>
  <c r="D20066" i="1"/>
  <c r="D20067" i="1"/>
  <c r="D20068" i="1"/>
  <c r="D20069" i="1"/>
  <c r="D20070" i="1"/>
  <c r="D20071" i="1"/>
  <c r="D20072" i="1"/>
  <c r="D20073" i="1"/>
  <c r="D20074" i="1"/>
  <c r="D20075" i="1"/>
  <c r="D26769" i="1"/>
  <c r="D1333" i="1"/>
  <c r="D1334" i="1"/>
  <c r="D24236" i="1"/>
  <c r="D24389" i="1"/>
  <c r="D24390" i="1"/>
  <c r="D20076" i="1"/>
  <c r="D1335" i="1"/>
  <c r="D1336" i="1"/>
  <c r="D11068" i="1"/>
  <c r="D11069" i="1"/>
  <c r="D11070" i="1"/>
  <c r="D11071" i="1"/>
  <c r="D7993" i="1"/>
  <c r="D2385" i="1"/>
  <c r="D5711" i="1"/>
  <c r="D1337" i="1"/>
  <c r="D1338" i="1"/>
  <c r="D5724" i="1"/>
  <c r="D5725" i="1"/>
  <c r="D5726" i="1"/>
  <c r="D10389" i="1"/>
  <c r="D20077" i="1"/>
  <c r="D20078" i="1"/>
  <c r="D20079" i="1"/>
  <c r="D20080" i="1"/>
  <c r="D20081" i="1"/>
  <c r="D20082" i="1"/>
  <c r="D20083" i="1"/>
  <c r="D20084" i="1"/>
  <c r="D20085" i="1"/>
  <c r="D20086" i="1"/>
  <c r="D20087" i="1"/>
  <c r="D20088" i="1"/>
  <c r="D20089" i="1"/>
  <c r="D20090" i="1"/>
  <c r="D20091" i="1"/>
  <c r="D20092" i="1"/>
  <c r="D20093" i="1"/>
  <c r="D20094" i="1"/>
  <c r="D20095" i="1"/>
  <c r="D20096" i="1"/>
  <c r="D20097" i="1"/>
  <c r="D2933" i="1"/>
  <c r="D20098" i="1"/>
  <c r="D20099" i="1"/>
  <c r="D20100" i="1"/>
  <c r="D20101" i="1"/>
  <c r="D20102" i="1"/>
  <c r="D20103" i="1"/>
  <c r="D20104" i="1"/>
  <c r="D20105" i="1"/>
  <c r="D20106" i="1"/>
  <c r="D20107" i="1"/>
  <c r="D20108" i="1"/>
  <c r="D17840" i="1"/>
  <c r="D3282" i="1"/>
  <c r="D3283" i="1"/>
  <c r="D10108" i="1"/>
  <c r="D24237" i="1"/>
  <c r="D20109" i="1"/>
  <c r="D20110" i="1"/>
  <c r="D11072" i="1"/>
  <c r="D11462" i="1"/>
  <c r="D25231" i="1"/>
  <c r="D25276" i="1"/>
  <c r="D25232" i="1"/>
  <c r="D25277" i="1"/>
  <c r="D25233" i="1"/>
  <c r="D25278" i="1"/>
  <c r="D25234" i="1"/>
  <c r="D25279" i="1"/>
  <c r="D20111" i="1"/>
  <c r="D20112" i="1"/>
  <c r="D20113" i="1"/>
  <c r="D20114" i="1"/>
  <c r="D20115" i="1"/>
  <c r="D20116" i="1"/>
  <c r="D20117" i="1"/>
  <c r="D20118" i="1"/>
  <c r="D20119" i="1"/>
  <c r="D3284" i="1"/>
  <c r="D11073" i="1"/>
  <c r="D20120" i="1"/>
  <c r="D8308" i="1"/>
  <c r="D17841" i="1"/>
  <c r="D1339" i="1"/>
  <c r="D1340" i="1"/>
  <c r="D24238" i="1"/>
  <c r="D11074" i="1"/>
  <c r="D11075" i="1"/>
  <c r="D11076" i="1"/>
  <c r="D3285" i="1"/>
  <c r="D20121" i="1"/>
  <c r="D20122" i="1"/>
  <c r="D20123" i="1"/>
  <c r="D20124" i="1"/>
  <c r="D20125" i="1"/>
  <c r="D20126" i="1"/>
  <c r="D20127" i="1"/>
  <c r="D20128" i="1"/>
  <c r="D20129" i="1"/>
  <c r="D20130" i="1"/>
  <c r="D20131" i="1"/>
  <c r="D15572" i="1"/>
  <c r="D15573" i="1"/>
  <c r="D15574" i="1"/>
  <c r="D3286" i="1"/>
  <c r="D24239" i="1"/>
  <c r="D24240" i="1"/>
  <c r="D24241" i="1"/>
  <c r="D24242" i="1"/>
  <c r="D20132" i="1"/>
  <c r="D20133" i="1"/>
  <c r="D20134" i="1"/>
  <c r="D20135" i="1"/>
  <c r="D20136" i="1"/>
  <c r="D20137" i="1"/>
  <c r="D20138" i="1"/>
  <c r="D20139" i="1"/>
  <c r="D20140" i="1"/>
  <c r="D20141" i="1"/>
  <c r="D19204" i="1"/>
  <c r="D19205" i="1"/>
  <c r="D3287" i="1"/>
  <c r="D20142" i="1"/>
  <c r="D24243" i="1"/>
  <c r="D19206" i="1"/>
  <c r="D19207" i="1"/>
  <c r="D19208" i="1"/>
  <c r="D19209" i="1"/>
  <c r="D24244" i="1"/>
  <c r="D24245" i="1"/>
  <c r="D25520" i="1"/>
  <c r="D20143" i="1"/>
  <c r="D20144" i="1"/>
  <c r="D20145" i="1"/>
  <c r="D20146" i="1"/>
  <c r="D20147" i="1"/>
  <c r="D20148" i="1"/>
  <c r="D20149" i="1"/>
  <c r="D20150" i="1"/>
  <c r="D20151" i="1"/>
  <c r="D20152" i="1"/>
  <c r="D23514" i="1"/>
  <c r="D24246" i="1"/>
  <c r="D24247" i="1"/>
  <c r="D2934" i="1"/>
  <c r="D8566" i="1"/>
  <c r="D26770" i="1"/>
  <c r="D24248" i="1"/>
  <c r="D24249" i="1"/>
  <c r="D24250" i="1"/>
  <c r="D24251" i="1"/>
  <c r="D24252" i="1"/>
  <c r="D24253" i="1"/>
  <c r="D9479" i="1"/>
  <c r="D3288" i="1"/>
  <c r="D15966" i="1"/>
  <c r="D15967" i="1"/>
  <c r="D15007" i="1"/>
  <c r="D24254" i="1"/>
  <c r="D11463" i="1"/>
  <c r="D20153" i="1"/>
  <c r="D20154" i="1"/>
  <c r="D20155" i="1"/>
  <c r="D20156" i="1"/>
  <c r="D20157" i="1"/>
  <c r="D20158" i="1"/>
  <c r="D20159" i="1"/>
  <c r="D24255" i="1"/>
  <c r="D10390" i="1"/>
  <c r="D2935" i="1"/>
  <c r="D2936" i="1"/>
  <c r="D2937" i="1"/>
  <c r="D24391" i="1"/>
  <c r="D8567" i="1"/>
  <c r="D20160" i="1"/>
  <c r="D20161" i="1"/>
  <c r="D24256" i="1"/>
  <c r="D8568" i="1"/>
  <c r="D20162" i="1"/>
  <c r="D2938" i="1"/>
  <c r="D2939" i="1"/>
  <c r="D2940" i="1"/>
  <c r="D2941" i="1"/>
  <c r="D20163" i="1"/>
  <c r="D20164" i="1"/>
  <c r="D20165" i="1"/>
  <c r="D20166" i="1"/>
  <c r="D11740" i="1"/>
  <c r="D24257" i="1"/>
  <c r="D24258" i="1"/>
  <c r="D20167" i="1"/>
  <c r="D20168" i="1"/>
  <c r="D8569" i="1"/>
  <c r="D11077" i="1"/>
  <c r="D11078" i="1"/>
  <c r="D24259" i="1"/>
  <c r="D24260" i="1"/>
  <c r="D24261" i="1"/>
  <c r="D13130" i="1"/>
  <c r="D24262" i="1"/>
  <c r="D24263" i="1"/>
  <c r="D24264" i="1"/>
  <c r="D24265" i="1"/>
  <c r="D24266" i="1"/>
  <c r="D24267" i="1"/>
  <c r="D24268" i="1"/>
  <c r="D24269" i="1"/>
  <c r="D3667" i="1"/>
  <c r="D15426" i="1"/>
  <c r="D14157" i="1"/>
  <c r="D18222" i="1"/>
  <c r="D24270" i="1"/>
  <c r="D24271" i="1"/>
  <c r="D2942" i="1"/>
  <c r="D2943" i="1"/>
  <c r="D2944" i="1"/>
  <c r="D18201" i="1"/>
  <c r="D24272" i="1"/>
  <c r="D24273" i="1"/>
  <c r="D24274" i="1"/>
  <c r="D24275" i="1"/>
  <c r="D24276" i="1"/>
  <c r="D24277" i="1"/>
  <c r="D24278" i="1"/>
  <c r="D18223" i="1"/>
  <c r="D18224" i="1"/>
  <c r="D18225" i="1"/>
  <c r="D18226" i="1"/>
  <c r="D10035" i="1"/>
  <c r="D10040" i="1"/>
  <c r="D24279" i="1"/>
  <c r="D24280" i="1"/>
  <c r="D24281" i="1"/>
  <c r="D24282" i="1"/>
  <c r="D24283" i="1"/>
  <c r="D2945" i="1"/>
  <c r="D2946" i="1"/>
  <c r="D24284" i="1"/>
  <c r="D24285" i="1"/>
  <c r="D24286" i="1"/>
  <c r="D3197" i="1"/>
  <c r="D3211" i="1"/>
  <c r="D3212" i="1"/>
  <c r="D14040" i="1"/>
  <c r="D3727" i="1"/>
  <c r="D12598" i="1"/>
  <c r="D3728" i="1"/>
  <c r="D15372" i="1"/>
  <c r="D10510" i="1"/>
  <c r="D24392" i="1"/>
  <c r="D24393" i="1"/>
  <c r="D24394" i="1"/>
  <c r="D546" i="1"/>
  <c r="D11079" i="1"/>
  <c r="D8570" i="1"/>
  <c r="D3289" i="1"/>
  <c r="D1341" i="1"/>
  <c r="D1342" i="1"/>
  <c r="D8571" i="1"/>
  <c r="D24395" i="1"/>
  <c r="D8572" i="1"/>
  <c r="D3290" i="1"/>
  <c r="D19210" i="1"/>
  <c r="D19211" i="1"/>
  <c r="D11705" i="1"/>
  <c r="D11706" i="1"/>
  <c r="D11532" i="1"/>
  <c r="D20169" i="1"/>
  <c r="D20170" i="1"/>
  <c r="D20171" i="1"/>
  <c r="D20172" i="1"/>
  <c r="D20173" i="1"/>
  <c r="D20174" i="1"/>
  <c r="D20175" i="1"/>
  <c r="D20176" i="1"/>
  <c r="D20177" i="1"/>
  <c r="D20178" i="1"/>
  <c r="D20179" i="1"/>
  <c r="D20180" i="1"/>
  <c r="D20181" i="1"/>
  <c r="D20182" i="1"/>
  <c r="D20183" i="1"/>
  <c r="D20184" i="1"/>
  <c r="D20185" i="1"/>
  <c r="D20186" i="1"/>
  <c r="D20187" i="1"/>
  <c r="D20188" i="1"/>
  <c r="D20189" i="1"/>
  <c r="D20190" i="1"/>
  <c r="D20191" i="1"/>
  <c r="D20192" i="1"/>
  <c r="D20193" i="1"/>
  <c r="D20194" i="1"/>
  <c r="D20195" i="1"/>
  <c r="D20196" i="1"/>
  <c r="D20197" i="1"/>
  <c r="D20198" i="1"/>
  <c r="D20199" i="1"/>
  <c r="D4186" i="1"/>
  <c r="D4187" i="1"/>
  <c r="D10727" i="1"/>
  <c r="D8573" i="1"/>
  <c r="D25547" i="1"/>
  <c r="D25548" i="1"/>
  <c r="D25549" i="1"/>
  <c r="D9416" i="1"/>
  <c r="D4561" i="1"/>
  <c r="D3729" i="1"/>
  <c r="D15840" i="1"/>
  <c r="D10391" i="1"/>
  <c r="D10372" i="1"/>
  <c r="D8224" i="1"/>
  <c r="D14130" i="1"/>
  <c r="D26242" i="1"/>
  <c r="D19055" i="1"/>
  <c r="D3198" i="1"/>
  <c r="D3225" i="1"/>
  <c r="D3697" i="1"/>
  <c r="D3516" i="1"/>
  <c r="D17842" i="1"/>
  <c r="D19156" i="1"/>
  <c r="D19157" i="1"/>
  <c r="D19652" i="1"/>
  <c r="D9417" i="1"/>
  <c r="D15377" i="1"/>
  <c r="D7987" i="1"/>
  <c r="D15968" i="1"/>
  <c r="D15969" i="1"/>
  <c r="D15970" i="1"/>
  <c r="D15971" i="1"/>
  <c r="D25409" i="1"/>
  <c r="D25410" i="1"/>
  <c r="D14723" i="1"/>
  <c r="D16855" i="1"/>
  <c r="D16856" i="1"/>
  <c r="D14713" i="1"/>
  <c r="D14239" i="1"/>
  <c r="D14240" i="1"/>
  <c r="D14241" i="1"/>
  <c r="D14242" i="1"/>
  <c r="D925" i="1"/>
  <c r="D15363" i="1"/>
  <c r="D560" i="1"/>
  <c r="D561" i="1"/>
  <c r="D5427" i="1"/>
  <c r="D20200" i="1"/>
  <c r="D11751" i="1"/>
  <c r="D9530" i="1"/>
  <c r="D9531" i="1"/>
  <c r="D9532" i="1"/>
  <c r="D3097" i="1"/>
  <c r="D15008" i="1"/>
  <c r="D25193" i="1"/>
  <c r="D2661" i="1"/>
  <c r="D4188" i="1"/>
  <c r="D20201" i="1"/>
  <c r="D20202" i="1"/>
  <c r="D20203" i="1"/>
  <c r="D1480" i="1"/>
  <c r="D13156" i="1"/>
  <c r="D20204" i="1"/>
  <c r="D20205" i="1"/>
  <c r="D20206" i="1"/>
  <c r="D20207" i="1"/>
  <c r="D20208" i="1"/>
  <c r="D20209" i="1"/>
  <c r="D20210" i="1"/>
  <c r="D20211" i="1"/>
  <c r="D20212" i="1"/>
  <c r="D20213" i="1"/>
  <c r="D20214" i="1"/>
  <c r="D20215" i="1"/>
  <c r="D20216" i="1"/>
  <c r="D20217" i="1"/>
  <c r="D20218" i="1"/>
  <c r="D20219" i="1"/>
  <c r="D20220" i="1"/>
  <c r="D20221" i="1"/>
  <c r="D20222" i="1"/>
  <c r="D20223" i="1"/>
  <c r="D10526" i="1"/>
  <c r="D10527" i="1"/>
  <c r="D10528" i="1"/>
  <c r="D10529" i="1"/>
  <c r="D10530" i="1"/>
  <c r="D10531" i="1"/>
  <c r="D10532" i="1"/>
  <c r="D10533" i="1"/>
  <c r="D10534" i="1"/>
  <c r="D11707" i="1"/>
  <c r="D11080" i="1"/>
  <c r="D11081" i="1"/>
  <c r="D23237" i="1"/>
  <c r="D23012" i="1"/>
  <c r="D23078" i="1"/>
  <c r="D23013" i="1"/>
  <c r="D23238" i="1"/>
  <c r="D23080" i="1"/>
  <c r="D23239" i="1"/>
  <c r="D23014" i="1"/>
  <c r="D23240" i="1"/>
  <c r="D20224" i="1"/>
  <c r="D20225" i="1"/>
  <c r="D20226" i="1"/>
  <c r="D20227" i="1"/>
  <c r="D20228" i="1"/>
  <c r="D20229" i="1"/>
  <c r="D20230" i="1"/>
  <c r="D20231" i="1"/>
  <c r="D20232" i="1"/>
  <c r="D8574" i="1"/>
  <c r="D20233" i="1"/>
  <c r="D20234" i="1"/>
  <c r="D20235" i="1"/>
  <c r="D20236" i="1"/>
  <c r="D18284" i="1"/>
  <c r="D11533" i="1"/>
  <c r="D15972" i="1"/>
  <c r="D5727" i="1"/>
  <c r="D20237" i="1"/>
  <c r="D20238" i="1"/>
  <c r="D8575" i="1"/>
  <c r="D8576" i="1"/>
  <c r="D20239" i="1"/>
  <c r="D3291" i="1"/>
  <c r="D9578" i="1"/>
  <c r="D9533" i="1"/>
  <c r="D9534" i="1"/>
  <c r="D13934" i="1"/>
  <c r="D23470" i="1"/>
  <c r="D10974" i="1"/>
  <c r="D26670" i="1"/>
  <c r="D12432" i="1"/>
  <c r="D10728" i="1"/>
  <c r="D10729" i="1"/>
  <c r="D25775" i="1"/>
  <c r="D25776" i="1"/>
  <c r="D20240" i="1"/>
  <c r="D20241" i="1"/>
  <c r="D20242" i="1"/>
  <c r="D20243" i="1"/>
  <c r="D20244" i="1"/>
  <c r="D20245" i="1"/>
  <c r="D20246" i="1"/>
  <c r="D20247" i="1"/>
  <c r="D20248" i="1"/>
  <c r="D20249" i="1"/>
  <c r="D20250" i="1"/>
  <c r="D15973" i="1"/>
  <c r="D11082" i="1"/>
  <c r="D12777" i="1"/>
  <c r="D5856" i="1"/>
  <c r="D23521" i="1"/>
  <c r="D23522" i="1"/>
  <c r="D23523" i="1"/>
  <c r="D12409" i="1"/>
  <c r="D19664" i="1"/>
  <c r="D19666" i="1"/>
  <c r="D10716" i="1"/>
  <c r="D10717" i="1"/>
  <c r="D25183" i="1"/>
  <c r="D9080" i="1"/>
  <c r="D9081" i="1"/>
  <c r="D24573" i="1"/>
  <c r="D24574" i="1"/>
  <c r="D24575" i="1"/>
  <c r="D24576" i="1"/>
  <c r="D24577" i="1"/>
  <c r="D24578" i="1"/>
  <c r="D24579" i="1"/>
  <c r="D24580" i="1"/>
  <c r="D24581" i="1"/>
  <c r="D24582" i="1"/>
  <c r="D24583" i="1"/>
  <c r="D24584" i="1"/>
  <c r="D24585" i="1"/>
  <c r="D24586" i="1"/>
  <c r="D24587" i="1"/>
  <c r="D24588" i="1"/>
  <c r="D24589" i="1"/>
  <c r="D24590" i="1"/>
  <c r="D24591" i="1"/>
  <c r="D24592" i="1"/>
  <c r="D24593" i="1"/>
  <c r="D24594" i="1"/>
  <c r="D24595" i="1"/>
  <c r="D24596" i="1"/>
  <c r="D24597" i="1"/>
  <c r="D24598" i="1"/>
  <c r="D24599" i="1"/>
  <c r="D24600" i="1"/>
  <c r="D24601" i="1"/>
  <c r="D11995" i="1"/>
  <c r="D11996" i="1"/>
  <c r="D12053" i="1"/>
  <c r="D1251" i="1"/>
  <c r="D15427" i="1"/>
  <c r="D2536" i="1"/>
  <c r="D16141" i="1"/>
  <c r="D16164" i="1"/>
  <c r="D19674" i="1"/>
  <c r="D19675" i="1"/>
  <c r="D9463" i="1"/>
  <c r="D9466" i="1"/>
  <c r="D19066" i="1"/>
  <c r="D3709" i="1"/>
  <c r="D9442" i="1"/>
  <c r="D9443" i="1"/>
  <c r="D25596" i="1"/>
  <c r="D11572" i="1"/>
  <c r="D3654" i="1"/>
  <c r="D10159" i="1"/>
  <c r="D10160" i="1"/>
  <c r="D10161" i="1"/>
  <c r="D10162" i="1"/>
  <c r="D10163" i="1"/>
  <c r="D10164" i="1"/>
  <c r="D10165" i="1"/>
  <c r="D18492" i="1"/>
  <c r="D18493" i="1"/>
  <c r="D18494" i="1"/>
  <c r="D18495" i="1"/>
  <c r="D18496" i="1"/>
  <c r="D18497" i="1"/>
  <c r="D18498" i="1"/>
  <c r="D18499" i="1"/>
  <c r="D18500" i="1"/>
  <c r="D18501" i="1"/>
  <c r="D18502" i="1"/>
  <c r="D18503" i="1"/>
  <c r="D14027" i="1"/>
  <c r="D1277" i="1"/>
  <c r="D4224" i="1"/>
  <c r="D24374" i="1"/>
  <c r="D4225" i="1"/>
  <c r="D12422" i="1"/>
  <c r="D12423" i="1"/>
  <c r="D4226" i="1"/>
  <c r="D4227" i="1"/>
  <c r="D4228" i="1"/>
  <c r="D4229" i="1"/>
  <c r="D25184" i="1"/>
  <c r="D10907" i="1"/>
  <c r="D24924" i="1"/>
  <c r="D24925" i="1"/>
  <c r="D6282" i="1"/>
  <c r="D6283" i="1"/>
  <c r="D6284" i="1"/>
  <c r="D2947" i="1"/>
  <c r="D6285" i="1"/>
  <c r="D7640" i="1"/>
  <c r="D6286" i="1"/>
  <c r="D6287" i="1"/>
  <c r="D7641" i="1"/>
  <c r="D6288" i="1"/>
  <c r="D7642" i="1"/>
  <c r="D24926" i="1"/>
  <c r="D15364" i="1"/>
  <c r="D4994" i="1"/>
  <c r="D4995" i="1"/>
  <c r="D6289" i="1"/>
  <c r="D6290" i="1"/>
  <c r="D6291" i="1"/>
  <c r="D6292" i="1"/>
  <c r="D24927" i="1"/>
  <c r="D24928" i="1"/>
  <c r="D6293" i="1"/>
  <c r="D6294" i="1"/>
  <c r="D7643" i="1"/>
  <c r="D14766" i="1"/>
  <c r="D14767" i="1"/>
  <c r="D14768" i="1"/>
  <c r="D18625" i="1"/>
  <c r="D11700" i="1"/>
  <c r="D6295" i="1"/>
  <c r="D7644" i="1"/>
  <c r="D6296" i="1"/>
  <c r="D7645" i="1"/>
  <c r="D6297" i="1"/>
  <c r="D7646" i="1"/>
  <c r="D24929" i="1"/>
  <c r="D13201" i="1"/>
  <c r="D24930" i="1"/>
  <c r="D10199" i="1"/>
  <c r="D6298" i="1"/>
  <c r="D7553" i="1"/>
  <c r="D7647" i="1"/>
  <c r="D24931" i="1"/>
  <c r="D12332" i="1"/>
  <c r="D15086" i="1"/>
  <c r="D4651" i="1"/>
  <c r="D10284" i="1"/>
  <c r="D6299" i="1"/>
  <c r="D6300" i="1"/>
  <c r="D6301" i="1"/>
  <c r="D6302" i="1"/>
  <c r="D6303" i="1"/>
  <c r="D6304" i="1"/>
  <c r="D24932" i="1"/>
  <c r="D17741" i="1"/>
  <c r="D17742" i="1"/>
  <c r="D26243" i="1"/>
  <c r="D6305" i="1"/>
  <c r="D7648" i="1"/>
  <c r="D6306" i="1"/>
  <c r="D15805" i="1"/>
  <c r="D9967" i="1"/>
  <c r="D5105" i="1"/>
  <c r="D19378" i="1"/>
  <c r="D15259" i="1"/>
  <c r="D3712" i="1"/>
  <c r="D15399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18905" i="1"/>
  <c r="D14580" i="1"/>
  <c r="D15059" i="1"/>
  <c r="D15032" i="1"/>
  <c r="D11569" i="1"/>
  <c r="D645" i="1"/>
  <c r="D12605" i="1"/>
  <c r="D10049" i="1"/>
  <c r="D1471" i="1"/>
  <c r="D19100" i="1"/>
  <c r="D3554" i="1"/>
  <c r="D3555" i="1"/>
  <c r="D25364" i="1"/>
  <c r="D25694" i="1"/>
  <c r="D25695" i="1"/>
  <c r="D25597" i="1"/>
  <c r="D25696" i="1"/>
  <c r="D25697" i="1"/>
  <c r="D25698" i="1"/>
  <c r="D18577" i="1"/>
  <c r="D18626" i="1"/>
  <c r="D10101" i="1"/>
  <c r="D19106" i="1"/>
  <c r="D22892" i="1"/>
  <c r="D11811" i="1"/>
  <c r="D4973" i="1"/>
  <c r="D4974" i="1"/>
  <c r="D3730" i="1"/>
  <c r="D18137" i="1"/>
  <c r="D3883" i="1"/>
  <c r="D27067" i="1"/>
  <c r="D16165" i="1"/>
  <c r="D15841" i="1"/>
  <c r="D13990" i="1"/>
  <c r="D13985" i="1"/>
  <c r="D17391" i="1"/>
  <c r="D18574" i="1"/>
  <c r="D15380" i="1"/>
  <c r="D2577" i="1"/>
  <c r="D14002" i="1"/>
  <c r="D1148" i="1"/>
  <c r="D1149" i="1"/>
  <c r="D12606" i="1"/>
  <c r="D17759" i="1"/>
  <c r="D17768" i="1"/>
  <c r="D4652" i="1"/>
  <c r="D4653" i="1"/>
  <c r="D14000" i="1"/>
  <c r="D18983" i="1"/>
  <c r="D11839" i="1"/>
  <c r="D18927" i="1"/>
  <c r="D18928" i="1"/>
  <c r="D4230" i="1"/>
  <c r="D18627" i="1"/>
  <c r="D2633" i="1"/>
  <c r="D10489" i="1"/>
  <c r="D10493" i="1"/>
  <c r="D4178" i="1"/>
  <c r="D18868" i="1"/>
  <c r="D4379" i="1"/>
  <c r="D4380" i="1"/>
  <c r="D4086" i="1"/>
  <c r="D4087" i="1"/>
  <c r="D10036" i="1"/>
  <c r="D23629" i="1"/>
  <c r="D18628" i="1"/>
  <c r="D3989" i="1"/>
  <c r="D4938" i="1"/>
  <c r="D22941" i="1"/>
  <c r="D18414" i="1"/>
  <c r="D22942" i="1"/>
  <c r="D4009" i="1"/>
  <c r="D4088" i="1"/>
  <c r="D3186" i="1"/>
  <c r="D12410" i="1"/>
  <c r="D626" i="1"/>
  <c r="D22943" i="1"/>
  <c r="D5506" i="1"/>
  <c r="D27068" i="1"/>
  <c r="D25598" i="1"/>
  <c r="D25599" i="1"/>
  <c r="D25600" i="1"/>
  <c r="D25601" i="1"/>
  <c r="D25602" i="1"/>
  <c r="D25699" i="1"/>
  <c r="D25700" i="1"/>
  <c r="D23446" i="1"/>
  <c r="D4231" i="1"/>
  <c r="D23471" i="1"/>
  <c r="D23472" i="1"/>
  <c r="D23458" i="1"/>
  <c r="D4232" i="1"/>
  <c r="D4233" i="1"/>
  <c r="D3986" i="1"/>
  <c r="D3987" i="1"/>
  <c r="D8191" i="1"/>
  <c r="D14831" i="1"/>
  <c r="D14158" i="1"/>
  <c r="D17392" i="1"/>
  <c r="D3238" i="1"/>
  <c r="D3240" i="1"/>
  <c r="D3239" i="1"/>
  <c r="D3241" i="1"/>
  <c r="D3928" i="1"/>
  <c r="D3929" i="1"/>
  <c r="D3930" i="1"/>
  <c r="D10166" i="1"/>
  <c r="D10167" i="1"/>
  <c r="D18439" i="1"/>
  <c r="D13157" i="1"/>
  <c r="D2505" i="1"/>
  <c r="D5428" i="1"/>
  <c r="D5429" i="1"/>
  <c r="D536" i="1"/>
  <c r="D539" i="1"/>
  <c r="D2487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18006" i="1"/>
  <c r="D18007" i="1"/>
  <c r="D22915" i="1"/>
  <c r="D12035" i="1"/>
  <c r="D12036" i="1"/>
  <c r="D15890" i="1"/>
  <c r="D15891" i="1"/>
  <c r="D5430" i="1"/>
  <c r="D24933" i="1"/>
  <c r="D6331" i="1"/>
  <c r="D7649" i="1"/>
  <c r="D1203" i="1"/>
  <c r="D1204" i="1"/>
  <c r="D6332" i="1"/>
  <c r="D7650" i="1"/>
  <c r="D6333" i="1"/>
  <c r="D6334" i="1"/>
  <c r="D12436" i="1"/>
  <c r="D1241" i="1"/>
  <c r="D5416" i="1"/>
  <c r="D6335" i="1"/>
  <c r="D7651" i="1"/>
  <c r="D6336" i="1"/>
  <c r="D24934" i="1"/>
  <c r="D17984" i="1"/>
  <c r="D11840" i="1"/>
  <c r="D9353" i="1"/>
  <c r="D9354" i="1"/>
  <c r="D9320" i="1"/>
  <c r="D9323" i="1"/>
  <c r="D6337" i="1"/>
  <c r="D7652" i="1"/>
  <c r="D6338" i="1"/>
  <c r="D7653" i="1"/>
  <c r="D6339" i="1"/>
  <c r="D3447" i="1"/>
  <c r="D6340" i="1"/>
  <c r="D6341" i="1"/>
  <c r="D6342" i="1"/>
  <c r="D24935" i="1"/>
  <c r="D18847" i="1"/>
  <c r="D10460" i="1"/>
  <c r="D5431" i="1"/>
  <c r="D24936" i="1"/>
  <c r="D11772" i="1"/>
  <c r="D6343" i="1"/>
  <c r="D6344" i="1"/>
  <c r="D6345" i="1"/>
  <c r="D6346" i="1"/>
  <c r="D6347" i="1"/>
  <c r="D11773" i="1"/>
  <c r="D11774" i="1"/>
  <c r="D5432" i="1"/>
  <c r="D5433" i="1"/>
  <c r="D23241" i="1"/>
  <c r="D23242" i="1"/>
  <c r="D11775" i="1"/>
  <c r="D13158" i="1"/>
  <c r="D23015" i="1"/>
  <c r="D23243" i="1"/>
  <c r="D22993" i="1"/>
  <c r="D22994" i="1"/>
  <c r="D23244" i="1"/>
  <c r="D5434" i="1"/>
  <c r="D18285" i="1"/>
  <c r="D14724" i="1"/>
  <c r="D17626" i="1"/>
  <c r="D11776" i="1"/>
  <c r="D6348" i="1"/>
  <c r="D7654" i="1"/>
  <c r="D6349" i="1"/>
  <c r="D7655" i="1"/>
  <c r="D6350" i="1"/>
  <c r="D7656" i="1"/>
  <c r="D15400" i="1"/>
  <c r="D13159" i="1"/>
  <c r="D22830" i="1"/>
  <c r="D3392" i="1"/>
  <c r="D11777" i="1"/>
  <c r="D11778" i="1"/>
  <c r="D13160" i="1"/>
  <c r="D13161" i="1"/>
  <c r="D18008" i="1"/>
  <c r="D18009" i="1"/>
  <c r="D6351" i="1"/>
  <c r="D6352" i="1"/>
  <c r="D7657" i="1"/>
  <c r="D11779" i="1"/>
  <c r="D10255" i="1"/>
  <c r="D10256" i="1"/>
  <c r="D10257" i="1"/>
  <c r="D11780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22831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23473" i="1"/>
  <c r="D22944" i="1"/>
  <c r="D2455" i="1"/>
  <c r="D1496" i="1"/>
  <c r="D3213" i="1"/>
  <c r="D1765" i="1"/>
  <c r="D18984" i="1"/>
  <c r="D17760" i="1"/>
  <c r="D17769" i="1"/>
  <c r="D1497" i="1"/>
  <c r="D1498" i="1"/>
  <c r="D1766" i="1"/>
  <c r="D1767" i="1"/>
  <c r="D1768" i="1"/>
  <c r="D17393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0441" i="1"/>
  <c r="D1784" i="1"/>
  <c r="D13055" i="1"/>
  <c r="D13056" i="1"/>
  <c r="D20251" i="1"/>
  <c r="D23502" i="1"/>
  <c r="D23503" i="1"/>
  <c r="D1785" i="1"/>
  <c r="D1786" i="1"/>
  <c r="D1787" i="1"/>
  <c r="D1788" i="1"/>
  <c r="D1789" i="1"/>
  <c r="D1790" i="1"/>
  <c r="D1791" i="1"/>
  <c r="D17394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895" i="1"/>
  <c r="D15087" i="1"/>
  <c r="D15088" i="1"/>
  <c r="D17395" i="1"/>
  <c r="D17396" i="1"/>
  <c r="D17397" i="1"/>
  <c r="D17398" i="1"/>
  <c r="D1804" i="1"/>
  <c r="D1805" i="1"/>
  <c r="D1806" i="1"/>
  <c r="D1807" i="1"/>
  <c r="D1808" i="1"/>
  <c r="D1809" i="1"/>
  <c r="D1810" i="1"/>
  <c r="D1811" i="1"/>
  <c r="D1812" i="1"/>
  <c r="D1813" i="1"/>
  <c r="D1814" i="1"/>
  <c r="D10450" i="1"/>
  <c r="D1815" i="1"/>
  <c r="D1816" i="1"/>
  <c r="D1817" i="1"/>
  <c r="D1818" i="1"/>
  <c r="D1819" i="1"/>
  <c r="D1820" i="1"/>
  <c r="D1821" i="1"/>
  <c r="D1499" i="1"/>
  <c r="D1822" i="1"/>
  <c r="D4686" i="1"/>
  <c r="D1508" i="1"/>
  <c r="D1509" i="1"/>
  <c r="D1510" i="1"/>
  <c r="D1511" i="1"/>
  <c r="D1512" i="1"/>
  <c r="D1513" i="1"/>
  <c r="D1514" i="1"/>
  <c r="D10908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0451" i="1"/>
  <c r="D10452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9418" i="1"/>
  <c r="D13998" i="1"/>
  <c r="D1874" i="1"/>
  <c r="D1875" i="1"/>
  <c r="D1876" i="1"/>
  <c r="D1877" i="1"/>
  <c r="D1878" i="1"/>
  <c r="D1879" i="1"/>
  <c r="D1880" i="1"/>
  <c r="D4716" i="1"/>
  <c r="D1881" i="1"/>
  <c r="D1052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515" i="1"/>
  <c r="D1516" i="1"/>
  <c r="D1517" i="1"/>
  <c r="D1518" i="1"/>
  <c r="D1519" i="1"/>
  <c r="D1520" i="1"/>
  <c r="D1500" i="1"/>
  <c r="D1908" i="1"/>
  <c r="D1909" i="1"/>
  <c r="D1910" i="1"/>
  <c r="D1911" i="1"/>
  <c r="D9962" i="1"/>
  <c r="D11764" i="1"/>
  <c r="D15428" i="1"/>
  <c r="D4140" i="1"/>
  <c r="D4141" i="1"/>
  <c r="D15429" i="1"/>
  <c r="D17330" i="1"/>
  <c r="D17337" i="1"/>
  <c r="D592" i="1"/>
  <c r="D26318" i="1"/>
  <c r="D26771" i="1"/>
  <c r="D16873" i="1"/>
  <c r="D16874" i="1"/>
  <c r="D14581" i="1"/>
  <c r="D14588" i="1"/>
  <c r="D5169" i="1"/>
  <c r="D3199" i="1"/>
  <c r="D4975" i="1"/>
  <c r="D4989" i="1"/>
  <c r="D4990" i="1"/>
  <c r="D3731" i="1"/>
  <c r="D3732" i="1"/>
  <c r="D23637" i="1"/>
  <c r="D26319" i="1"/>
  <c r="D16842" i="1"/>
  <c r="D8277" i="1"/>
  <c r="D17843" i="1"/>
  <c r="D8577" i="1"/>
  <c r="D17844" i="1"/>
  <c r="D8278" i="1"/>
  <c r="D8309" i="1"/>
  <c r="D8279" i="1"/>
  <c r="D16866" i="1"/>
  <c r="D16867" i="1"/>
  <c r="D19310" i="1"/>
  <c r="D19320" i="1"/>
  <c r="D8578" i="1"/>
  <c r="D15633" i="1"/>
  <c r="D16875" i="1"/>
  <c r="D8579" i="1"/>
  <c r="D8580" i="1"/>
  <c r="D4010" i="1"/>
  <c r="D3733" i="1"/>
  <c r="D16876" i="1"/>
  <c r="D16877" i="1"/>
  <c r="D14678" i="1"/>
  <c r="D17845" i="1"/>
  <c r="D8581" i="1"/>
  <c r="D16878" i="1"/>
  <c r="D15807" i="1"/>
  <c r="D8582" i="1"/>
  <c r="D5489" i="1"/>
  <c r="D17846" i="1"/>
  <c r="D16879" i="1"/>
  <c r="D16880" i="1"/>
  <c r="D593" i="1"/>
  <c r="D16881" i="1"/>
  <c r="D8583" i="1"/>
  <c r="D594" i="1"/>
  <c r="D8584" i="1"/>
  <c r="D8263" i="1"/>
  <c r="D3801" i="1"/>
  <c r="D3807" i="1"/>
  <c r="D3753" i="1"/>
  <c r="D6353" i="1"/>
  <c r="D4431" i="1"/>
  <c r="D4432" i="1"/>
  <c r="D4433" i="1"/>
  <c r="D14769" i="1"/>
  <c r="D14770" i="1"/>
  <c r="D14771" i="1"/>
  <c r="D17614" i="1"/>
  <c r="D12607" i="1"/>
  <c r="D12608" i="1"/>
  <c r="D3816" i="1"/>
  <c r="D4357" i="1"/>
  <c r="D4369" i="1"/>
  <c r="D2786" i="1"/>
  <c r="D25185" i="1"/>
  <c r="D8122" i="1"/>
  <c r="D8123" i="1"/>
  <c r="D1293" i="1"/>
  <c r="D4441" i="1"/>
  <c r="D3663" i="1"/>
  <c r="D23559" i="1"/>
  <c r="D15880" i="1"/>
  <c r="D25908" i="1"/>
  <c r="D25909" i="1"/>
  <c r="D25910" i="1"/>
  <c r="D25911" i="1"/>
  <c r="D25912" i="1"/>
  <c r="D25913" i="1"/>
  <c r="D25914" i="1"/>
  <c r="D25915" i="1"/>
  <c r="D25916" i="1"/>
  <c r="D25917" i="1"/>
  <c r="D25918" i="1"/>
  <c r="D15384" i="1"/>
  <c r="D13242" i="1"/>
  <c r="D15365" i="1"/>
  <c r="D1294" i="1"/>
  <c r="D13255" i="1"/>
  <c r="D12609" i="1"/>
  <c r="D12610" i="1"/>
  <c r="D12599" i="1"/>
  <c r="D11873" i="1"/>
  <c r="D1134" i="1"/>
  <c r="D15009" i="1"/>
  <c r="D16843" i="1"/>
  <c r="D8585" i="1"/>
  <c r="D8586" i="1"/>
  <c r="D8587" i="1"/>
  <c r="D8588" i="1"/>
  <c r="D24869" i="1"/>
  <c r="D24870" i="1"/>
  <c r="D8589" i="1"/>
  <c r="D8590" i="1"/>
  <c r="D8310" i="1"/>
  <c r="D8591" i="1"/>
  <c r="D8592" i="1"/>
  <c r="D8593" i="1"/>
  <c r="D8594" i="1"/>
  <c r="D8595" i="1"/>
  <c r="D8596" i="1"/>
  <c r="D8597" i="1"/>
  <c r="D8598" i="1"/>
  <c r="D8599" i="1"/>
  <c r="D8311" i="1"/>
  <c r="D8600" i="1"/>
  <c r="D8601" i="1"/>
  <c r="D8602" i="1"/>
  <c r="D8603" i="1"/>
  <c r="D8604" i="1"/>
  <c r="D8605" i="1"/>
  <c r="D8606" i="1"/>
  <c r="D15469" i="1"/>
  <c r="D15470" i="1"/>
  <c r="D12054" i="1"/>
  <c r="D12064" i="1"/>
  <c r="D9957" i="1"/>
  <c r="D25603" i="1"/>
  <c r="D25604" i="1"/>
  <c r="D25701" i="1"/>
  <c r="D25702" i="1"/>
  <c r="D25703" i="1"/>
  <c r="D14131" i="1"/>
  <c r="D13256" i="1"/>
  <c r="D16857" i="1"/>
  <c r="D10909" i="1"/>
  <c r="D9579" i="1"/>
  <c r="D15430" i="1"/>
  <c r="D9580" i="1"/>
  <c r="D15496" i="1"/>
  <c r="D11890" i="1"/>
  <c r="D26772" i="1"/>
  <c r="D1278" i="1"/>
  <c r="D18906" i="1"/>
  <c r="D11957" i="1"/>
  <c r="D10910" i="1"/>
  <c r="D13257" i="1"/>
  <c r="D11970" i="1"/>
  <c r="D11971" i="1"/>
  <c r="D15431" i="1"/>
  <c r="D15432" i="1"/>
  <c r="D24937" i="1"/>
  <c r="D24938" i="1"/>
  <c r="D8607" i="1"/>
  <c r="D8608" i="1"/>
  <c r="D8609" i="1"/>
  <c r="D8312" i="1"/>
  <c r="D587" i="1"/>
  <c r="D9402" i="1"/>
  <c r="D11669" i="1"/>
  <c r="D11670" i="1"/>
  <c r="D14126" i="1"/>
  <c r="D14132" i="1"/>
  <c r="D15065" i="1"/>
  <c r="D15066" i="1"/>
  <c r="D11975" i="1"/>
  <c r="D26530" i="1"/>
  <c r="D26531" i="1"/>
  <c r="D26541" i="1"/>
  <c r="D14143" i="1"/>
  <c r="D15547" i="1"/>
  <c r="D3931" i="1"/>
  <c r="D3932" i="1"/>
  <c r="D3933" i="1"/>
  <c r="D11687" i="1"/>
  <c r="D11688" i="1"/>
  <c r="D13258" i="1"/>
  <c r="D5170" i="1"/>
  <c r="D25172" i="1"/>
  <c r="D15497" i="1"/>
  <c r="D4234" i="1"/>
  <c r="D562" i="1"/>
  <c r="D15787" i="1"/>
  <c r="D15794" i="1"/>
  <c r="D26244" i="1"/>
  <c r="D24939" i="1"/>
  <c r="D18286" i="1"/>
  <c r="D5781" i="1"/>
  <c r="D24940" i="1"/>
  <c r="D17847" i="1"/>
  <c r="D19047" i="1"/>
  <c r="D8024" i="1"/>
  <c r="D8025" i="1"/>
  <c r="D23615" i="1"/>
  <c r="D16844" i="1"/>
  <c r="D563" i="1"/>
  <c r="D564" i="1"/>
  <c r="D25339" i="1"/>
  <c r="D19143" i="1"/>
  <c r="D19146" i="1"/>
  <c r="D19144" i="1"/>
  <c r="D19145" i="1"/>
  <c r="D19147" i="1"/>
  <c r="D19148" i="1"/>
  <c r="D2787" i="1"/>
  <c r="D2861" i="1"/>
  <c r="D2712" i="1"/>
  <c r="D2713" i="1"/>
  <c r="D5464" i="1"/>
  <c r="D24941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7658" i="1"/>
  <c r="D6368" i="1"/>
  <c r="D6369" i="1"/>
  <c r="D5782" i="1"/>
  <c r="D6370" i="1"/>
  <c r="D7659" i="1"/>
  <c r="D6371" i="1"/>
  <c r="D15950" i="1"/>
  <c r="D18901" i="1"/>
  <c r="D15340" i="1"/>
  <c r="D12686" i="1"/>
  <c r="D12687" i="1"/>
  <c r="D12688" i="1"/>
  <c r="D8081" i="1"/>
  <c r="D6372" i="1"/>
  <c r="D6373" i="1"/>
  <c r="D7660" i="1"/>
  <c r="D24942" i="1"/>
  <c r="D6374" i="1"/>
  <c r="D6375" i="1"/>
  <c r="D6376" i="1"/>
  <c r="D6377" i="1"/>
  <c r="D6378" i="1"/>
  <c r="D15884" i="1"/>
  <c r="D8003" i="1"/>
  <c r="D6379" i="1"/>
  <c r="D6380" i="1"/>
  <c r="D6381" i="1"/>
  <c r="D6382" i="1"/>
  <c r="D7544" i="1"/>
  <c r="D14471" i="1"/>
  <c r="D6383" i="1"/>
  <c r="D7661" i="1"/>
  <c r="D6384" i="1"/>
  <c r="D7662" i="1"/>
  <c r="D6385" i="1"/>
  <c r="D7663" i="1"/>
  <c r="D25919" i="1"/>
  <c r="D25840" i="1"/>
  <c r="D25920" i="1"/>
  <c r="D5676" i="1"/>
  <c r="D2448" i="1"/>
  <c r="D6386" i="1"/>
  <c r="D7664" i="1"/>
  <c r="D24943" i="1"/>
  <c r="D2662" i="1"/>
  <c r="D2663" i="1"/>
  <c r="D16902" i="1"/>
  <c r="D24944" i="1"/>
  <c r="D5956" i="1"/>
  <c r="D5957" i="1"/>
  <c r="D5958" i="1"/>
  <c r="D10476" i="1"/>
  <c r="D10477" i="1"/>
  <c r="D3441" i="1"/>
  <c r="D3442" i="1"/>
  <c r="D14690" i="1"/>
  <c r="D14691" i="1"/>
  <c r="D14703" i="1"/>
  <c r="D17640" i="1"/>
  <c r="D3597" i="1"/>
  <c r="D3598" i="1"/>
  <c r="D18544" i="1"/>
  <c r="D18545" i="1"/>
  <c r="D10299" i="1"/>
  <c r="D646" i="1"/>
  <c r="D17641" i="1"/>
  <c r="D3599" i="1"/>
  <c r="D17642" i="1"/>
  <c r="D5768" i="1"/>
  <c r="D3583" i="1"/>
  <c r="D3584" i="1"/>
  <c r="D3585" i="1"/>
  <c r="D3591" i="1"/>
  <c r="D3600" i="1"/>
  <c r="D580" i="1"/>
  <c r="D9487" i="1"/>
  <c r="D25767" i="1"/>
  <c r="D11781" i="1"/>
  <c r="D11083" i="1"/>
  <c r="D19719" i="1"/>
  <c r="D14008" i="1"/>
  <c r="D913" i="1"/>
  <c r="D3734" i="1"/>
  <c r="D26245" i="1"/>
  <c r="D26773" i="1"/>
  <c r="D9952" i="1"/>
  <c r="D11968" i="1"/>
  <c r="D18629" i="1"/>
  <c r="D25764" i="1"/>
  <c r="D18630" i="1"/>
  <c r="D23631" i="1"/>
  <c r="D23633" i="1"/>
  <c r="D13199" i="1"/>
  <c r="D13200" i="1"/>
  <c r="D3683" i="1"/>
  <c r="D3432" i="1"/>
  <c r="D26320" i="1"/>
  <c r="D3735" i="1"/>
  <c r="D3736" i="1"/>
  <c r="D3737" i="1"/>
  <c r="D25921" i="1"/>
  <c r="D3738" i="1"/>
  <c r="D3200" i="1"/>
  <c r="D3214" i="1"/>
  <c r="D3215" i="1"/>
  <c r="D2606" i="1"/>
  <c r="D27056" i="1"/>
  <c r="D9467" i="1"/>
  <c r="D18440" i="1"/>
  <c r="D18441" i="1"/>
  <c r="D18442" i="1"/>
  <c r="D2703" i="1"/>
  <c r="D786" i="1"/>
  <c r="D18985" i="1"/>
  <c r="D18986" i="1"/>
  <c r="D24945" i="1"/>
  <c r="D1297" i="1"/>
  <c r="D1298" i="1"/>
  <c r="D1299" i="1"/>
  <c r="D1279" i="1"/>
  <c r="D24946" i="1"/>
  <c r="D24947" i="1"/>
  <c r="D10373" i="1"/>
  <c r="D10967" i="1"/>
  <c r="D6387" i="1"/>
  <c r="D6388" i="1"/>
  <c r="D7665" i="1"/>
  <c r="D24948" i="1"/>
  <c r="D24949" i="1"/>
  <c r="D10668" i="1"/>
  <c r="D10627" i="1"/>
  <c r="D10669" i="1"/>
  <c r="D12470" i="1"/>
  <c r="D9488" i="1"/>
  <c r="D10140" i="1"/>
  <c r="D18047" i="1"/>
  <c r="D18048" i="1"/>
  <c r="D18049" i="1"/>
  <c r="D11841" i="1"/>
  <c r="D841" i="1"/>
  <c r="D842" i="1"/>
  <c r="D8200" i="1"/>
  <c r="D4160" i="1"/>
  <c r="D5472" i="1"/>
  <c r="D5321" i="1"/>
  <c r="D12471" i="1"/>
  <c r="D12472" i="1"/>
  <c r="D8228" i="1"/>
  <c r="D2373" i="1"/>
  <c r="D7979" i="1"/>
  <c r="D2948" i="1"/>
  <c r="D11708" i="1"/>
  <c r="D11709" i="1"/>
  <c r="D13057" i="1"/>
  <c r="D13058" i="1"/>
  <c r="D11588" i="1"/>
  <c r="D11589" i="1"/>
  <c r="D11590" i="1"/>
  <c r="D11591" i="1"/>
  <c r="D11592" i="1"/>
  <c r="D9251" i="1"/>
  <c r="D9252" i="1"/>
  <c r="D9253" i="1"/>
  <c r="D9254" i="1"/>
  <c r="D12568" i="1"/>
  <c r="D12569" i="1"/>
  <c r="D12570" i="1"/>
  <c r="D12571" i="1"/>
  <c r="D5902" i="1"/>
  <c r="D1182" i="1"/>
  <c r="D1183" i="1"/>
  <c r="D10327" i="1"/>
  <c r="D10328" i="1"/>
  <c r="D5903" i="1"/>
  <c r="D15548" i="1"/>
  <c r="D11997" i="1"/>
  <c r="D12515" i="1"/>
  <c r="D10975" i="1"/>
  <c r="D10976" i="1"/>
  <c r="D10958" i="1"/>
  <c r="D23634" i="1"/>
  <c r="D4235" i="1"/>
  <c r="D4236" i="1"/>
  <c r="D5945" i="1"/>
  <c r="D5946" i="1"/>
  <c r="D15278" i="1"/>
  <c r="D15283" i="1"/>
  <c r="D7980" i="1"/>
  <c r="D26774" i="1"/>
  <c r="D8201" i="1"/>
  <c r="D17399" i="1"/>
  <c r="D17400" i="1"/>
  <c r="D17401" i="1"/>
  <c r="D17402" i="1"/>
  <c r="D17403" i="1"/>
  <c r="D17404" i="1"/>
  <c r="D11998" i="1"/>
  <c r="D12611" i="1"/>
  <c r="D12473" i="1"/>
  <c r="D3650" i="1"/>
  <c r="D19016" i="1"/>
  <c r="D19017" i="1"/>
  <c r="D2693" i="1"/>
  <c r="D16775" i="1"/>
  <c r="D16776" i="1"/>
  <c r="D16815" i="1"/>
  <c r="D16816" i="1"/>
  <c r="D1070" i="1"/>
  <c r="D676" i="1"/>
  <c r="D677" i="1"/>
  <c r="D19125" i="1"/>
  <c r="D10168" i="1"/>
  <c r="D12612" i="1"/>
  <c r="D9971" i="1"/>
  <c r="D675" i="1"/>
  <c r="D680" i="1"/>
  <c r="D681" i="1"/>
  <c r="D4445" i="1"/>
  <c r="D13117" i="1"/>
  <c r="D9481" i="1"/>
  <c r="D4011" i="1"/>
  <c r="D16777" i="1"/>
  <c r="D16778" i="1"/>
  <c r="D16779" i="1"/>
  <c r="D16780" i="1"/>
  <c r="D13918" i="1"/>
  <c r="D12319" i="1"/>
  <c r="D8610" i="1"/>
  <c r="D26321" i="1"/>
  <c r="D17711" i="1"/>
  <c r="D8056" i="1"/>
  <c r="D3242" i="1"/>
  <c r="D2506" i="1"/>
  <c r="D2788" i="1"/>
  <c r="D26775" i="1"/>
  <c r="D3448" i="1"/>
  <c r="D3454" i="1"/>
  <c r="D14028" i="1"/>
  <c r="D16817" i="1"/>
  <c r="D16818" i="1"/>
  <c r="D19090" i="1"/>
  <c r="D25922" i="1"/>
  <c r="D25923" i="1"/>
  <c r="D16781" i="1"/>
  <c r="D16782" i="1"/>
  <c r="D26776" i="1"/>
  <c r="D18631" i="1"/>
  <c r="D18759" i="1"/>
  <c r="D18632" i="1"/>
  <c r="D18633" i="1"/>
  <c r="D13210" i="1"/>
  <c r="D2789" i="1"/>
  <c r="D984" i="1"/>
  <c r="D26777" i="1"/>
  <c r="D26778" i="1"/>
  <c r="D26779" i="1"/>
  <c r="D4237" i="1"/>
  <c r="D26671" i="1"/>
  <c r="D26780" i="1"/>
  <c r="D2790" i="1"/>
  <c r="D26781" i="1"/>
  <c r="D26782" i="1"/>
  <c r="D25358" i="1"/>
  <c r="D26570" i="1"/>
  <c r="D2464" i="1"/>
  <c r="D2465" i="1"/>
  <c r="D25747" i="1"/>
  <c r="D4238" i="1"/>
  <c r="D4239" i="1"/>
  <c r="D26322" i="1"/>
  <c r="D26323" i="1"/>
  <c r="D26324" i="1"/>
  <c r="D26783" i="1"/>
  <c r="D26784" i="1"/>
  <c r="D26785" i="1"/>
  <c r="D26547" i="1"/>
  <c r="D26672" i="1"/>
  <c r="D2630" i="1"/>
  <c r="D26786" i="1"/>
  <c r="D26571" i="1"/>
  <c r="D26787" i="1"/>
  <c r="D26788" i="1"/>
  <c r="D6389" i="1"/>
  <c r="D7666" i="1"/>
  <c r="D23474" i="1"/>
  <c r="D23245" i="1"/>
  <c r="D23246" i="1"/>
  <c r="D24512" i="1"/>
  <c r="D6390" i="1"/>
  <c r="D7667" i="1"/>
  <c r="D6391" i="1"/>
  <c r="D7668" i="1"/>
  <c r="D6392" i="1"/>
  <c r="D12100" i="1"/>
  <c r="D12101" i="1"/>
  <c r="D12102" i="1"/>
  <c r="D12103" i="1"/>
  <c r="D707" i="1"/>
  <c r="D708" i="1"/>
  <c r="D5507" i="1"/>
  <c r="D5540" i="1"/>
  <c r="D15611" i="1"/>
  <c r="D13059" i="1"/>
  <c r="D13060" i="1"/>
  <c r="D24396" i="1"/>
  <c r="D24397" i="1"/>
  <c r="D12104" i="1"/>
  <c r="D15060" i="1"/>
  <c r="D24398" i="1"/>
  <c r="D17405" i="1"/>
  <c r="D17406" i="1"/>
  <c r="D17407" i="1"/>
  <c r="D17408" i="1"/>
  <c r="D17409" i="1"/>
  <c r="D17410" i="1"/>
  <c r="D16783" i="1"/>
  <c r="D16784" i="1"/>
  <c r="D6393" i="1"/>
  <c r="D6394" i="1"/>
  <c r="D6395" i="1"/>
  <c r="D6396" i="1"/>
  <c r="D6397" i="1"/>
  <c r="D24399" i="1"/>
  <c r="D24400" i="1"/>
  <c r="D12266" i="1"/>
  <c r="D12267" i="1"/>
  <c r="D12268" i="1"/>
  <c r="D3739" i="1"/>
  <c r="D15162" i="1"/>
  <c r="D25924" i="1"/>
  <c r="D25925" i="1"/>
  <c r="D25926" i="1"/>
  <c r="D25927" i="1"/>
  <c r="D25928" i="1"/>
  <c r="D25929" i="1"/>
  <c r="D25930" i="1"/>
  <c r="D25931" i="1"/>
  <c r="D25932" i="1"/>
  <c r="D3655" i="1"/>
  <c r="D23187" i="1"/>
  <c r="D23247" i="1"/>
  <c r="D23248" i="1"/>
  <c r="D23188" i="1"/>
  <c r="D23249" i="1"/>
  <c r="D23189" i="1"/>
  <c r="D23190" i="1"/>
  <c r="D12949" i="1"/>
  <c r="D12968" i="1"/>
  <c r="D12984" i="1"/>
  <c r="D13104" i="1"/>
  <c r="D12950" i="1"/>
  <c r="D6398" i="1"/>
  <c r="D6399" i="1"/>
  <c r="D6400" i="1"/>
  <c r="D4076" i="1"/>
  <c r="D4442" i="1"/>
  <c r="D14772" i="1"/>
  <c r="D14773" i="1"/>
  <c r="D14774" i="1"/>
  <c r="D25933" i="1"/>
  <c r="D25934" i="1"/>
  <c r="D26155" i="1"/>
  <c r="D18127" i="1"/>
  <c r="D3740" i="1"/>
  <c r="D25550" i="1"/>
  <c r="D25551" i="1"/>
  <c r="D12985" i="1"/>
  <c r="D12986" i="1"/>
  <c r="D12987" i="1"/>
  <c r="D12988" i="1"/>
  <c r="D23447" i="1"/>
  <c r="D23475" i="1"/>
  <c r="D702" i="1"/>
  <c r="D734" i="1"/>
  <c r="D6401" i="1"/>
  <c r="D6402" i="1"/>
  <c r="D7669" i="1"/>
  <c r="D25788" i="1"/>
  <c r="D24950" i="1"/>
  <c r="D12718" i="1"/>
  <c r="D12744" i="1"/>
  <c r="D5435" i="1"/>
  <c r="D24401" i="1"/>
  <c r="D14882" i="1"/>
  <c r="D14883" i="1"/>
  <c r="D14884" i="1"/>
  <c r="D14885" i="1"/>
  <c r="D5508" i="1"/>
  <c r="D24951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15163" i="1"/>
  <c r="D15164" i="1"/>
  <c r="D15165" i="1"/>
  <c r="D15166" i="1"/>
  <c r="D15167" i="1"/>
  <c r="D15168" i="1"/>
  <c r="D15169" i="1"/>
  <c r="D15170" i="1"/>
  <c r="D15171" i="1"/>
  <c r="D15172" i="1"/>
  <c r="D6416" i="1"/>
  <c r="D7670" i="1"/>
  <c r="D6417" i="1"/>
  <c r="D6418" i="1"/>
  <c r="D25740" i="1"/>
  <c r="D2610" i="1"/>
  <c r="D9112" i="1"/>
  <c r="D9113" i="1"/>
  <c r="D9114" i="1"/>
  <c r="D12105" i="1"/>
  <c r="D12106" i="1"/>
  <c r="D10006" i="1"/>
  <c r="D10007" i="1"/>
  <c r="D25935" i="1"/>
  <c r="D25936" i="1"/>
  <c r="D25937" i="1"/>
  <c r="D26156" i="1"/>
  <c r="D25938" i="1"/>
  <c r="D3411" i="1"/>
  <c r="D6419" i="1"/>
  <c r="D7545" i="1"/>
  <c r="D3741" i="1"/>
  <c r="D24952" i="1"/>
  <c r="D24953" i="1"/>
  <c r="D14203" i="1"/>
  <c r="D3619" i="1"/>
  <c r="D12576" i="1"/>
  <c r="D24954" i="1"/>
  <c r="D24402" i="1"/>
  <c r="D24403" i="1"/>
  <c r="D15885" i="1"/>
  <c r="D15892" i="1"/>
  <c r="D12353" i="1"/>
  <c r="D12354" i="1"/>
  <c r="D18287" i="1"/>
  <c r="D15260" i="1"/>
  <c r="D2402" i="1"/>
  <c r="D15568" i="1"/>
  <c r="D845" i="1"/>
  <c r="D851" i="1"/>
  <c r="D863" i="1"/>
  <c r="D876" i="1"/>
  <c r="D11946" i="1"/>
  <c r="D23552" i="1"/>
  <c r="D23556" i="1"/>
  <c r="D23553" i="1"/>
  <c r="D23557" i="1"/>
  <c r="D23131" i="1"/>
  <c r="D23094" i="1"/>
  <c r="D23105" i="1"/>
  <c r="D23250" i="1"/>
  <c r="D23191" i="1"/>
  <c r="D23016" i="1"/>
  <c r="D23251" i="1"/>
  <c r="D15173" i="1"/>
  <c r="D6420" i="1"/>
  <c r="D6421" i="1"/>
  <c r="D6422" i="1"/>
  <c r="D6423" i="1"/>
  <c r="D12334" i="1"/>
  <c r="D12335" i="1"/>
  <c r="D6424" i="1"/>
  <c r="D7671" i="1"/>
  <c r="D6425" i="1"/>
  <c r="D4048" i="1"/>
  <c r="D4089" i="1"/>
  <c r="D24955" i="1"/>
  <c r="D25939" i="1"/>
  <c r="D12613" i="1"/>
  <c r="D12614" i="1"/>
  <c r="D12107" i="1"/>
  <c r="D12108" i="1"/>
  <c r="D12109" i="1"/>
  <c r="D12110" i="1"/>
  <c r="D12111" i="1"/>
  <c r="D12112" i="1"/>
  <c r="D12113" i="1"/>
  <c r="D12114" i="1"/>
  <c r="D12115" i="1"/>
  <c r="D6426" i="1"/>
  <c r="D7672" i="1"/>
  <c r="D6427" i="1"/>
  <c r="D7673" i="1"/>
  <c r="D6428" i="1"/>
  <c r="D7674" i="1"/>
  <c r="D24956" i="1"/>
  <c r="D23440" i="1"/>
  <c r="D24957" i="1"/>
  <c r="D12382" i="1"/>
  <c r="D22965" i="1"/>
  <c r="D14594" i="1"/>
  <c r="D14595" i="1"/>
  <c r="D14596" i="1"/>
  <c r="D5509" i="1"/>
  <c r="D10271" i="1"/>
  <c r="D4012" i="1"/>
  <c r="D8611" i="1"/>
  <c r="D10911" i="1"/>
  <c r="D9419" i="1"/>
  <c r="D4717" i="1"/>
  <c r="D2581" i="1"/>
  <c r="D19072" i="1"/>
  <c r="D15471" i="1"/>
  <c r="D8612" i="1"/>
  <c r="D1071" i="1"/>
  <c r="D1072" i="1"/>
  <c r="D8613" i="1"/>
  <c r="D25411" i="1"/>
  <c r="D8614" i="1"/>
  <c r="D8615" i="1"/>
  <c r="D9420" i="1"/>
  <c r="D9161" i="1"/>
  <c r="D8616" i="1"/>
  <c r="D2547" i="1"/>
  <c r="D8617" i="1"/>
  <c r="D833" i="1"/>
  <c r="D13143" i="1"/>
  <c r="D25412" i="1"/>
  <c r="D10625" i="1"/>
  <c r="D10626" i="1"/>
  <c r="D10670" i="1"/>
  <c r="D10671" i="1"/>
  <c r="D3742" i="1"/>
  <c r="D769" i="1"/>
  <c r="D25413" i="1"/>
  <c r="D8618" i="1"/>
  <c r="D8619" i="1"/>
  <c r="D1073" i="1"/>
  <c r="D11999" i="1"/>
  <c r="D8620" i="1"/>
  <c r="D25414" i="1"/>
  <c r="D8621" i="1"/>
  <c r="D8622" i="1"/>
  <c r="D9162" i="1"/>
  <c r="D25415" i="1"/>
  <c r="D8623" i="1"/>
  <c r="D12928" i="1"/>
  <c r="D12929" i="1"/>
  <c r="D12930" i="1"/>
  <c r="D12931" i="1"/>
  <c r="D12932" i="1"/>
  <c r="D12933" i="1"/>
  <c r="D12934" i="1"/>
  <c r="D13892" i="1"/>
  <c r="D13897" i="1"/>
  <c r="D13893" i="1"/>
  <c r="D13898" i="1"/>
  <c r="D13894" i="1"/>
  <c r="D8624" i="1"/>
  <c r="D12067" i="1"/>
  <c r="D12318" i="1"/>
  <c r="D12320" i="1"/>
  <c r="D8625" i="1"/>
  <c r="D18634" i="1"/>
  <c r="D25416" i="1"/>
  <c r="D2488" i="1"/>
  <c r="D8369" i="1"/>
  <c r="D8370" i="1"/>
  <c r="D3770" i="1"/>
  <c r="D3771" i="1"/>
  <c r="D3772" i="1"/>
  <c r="D9324" i="1"/>
  <c r="D9355" i="1"/>
  <c r="D3412" i="1"/>
  <c r="D10366" i="1"/>
  <c r="D9163" i="1"/>
  <c r="D9164" i="1"/>
  <c r="D9165" i="1"/>
  <c r="D9166" i="1"/>
  <c r="D15821" i="1"/>
  <c r="D8626" i="1"/>
  <c r="D9325" i="1"/>
  <c r="D8627" i="1"/>
  <c r="D8371" i="1"/>
  <c r="D8372" i="1"/>
  <c r="D8257" i="1"/>
  <c r="D9949" i="1"/>
  <c r="D9326" i="1"/>
  <c r="D9356" i="1"/>
  <c r="D10102" i="1"/>
  <c r="D8628" i="1"/>
  <c r="D18101" i="1"/>
  <c r="D18102" i="1"/>
  <c r="D9167" i="1"/>
  <c r="D8373" i="1"/>
  <c r="D9168" i="1"/>
  <c r="D8629" i="1"/>
  <c r="D9169" i="1"/>
  <c r="D8630" i="1"/>
  <c r="D8631" i="1"/>
  <c r="D15303" i="1"/>
  <c r="D15304" i="1"/>
  <c r="D10884" i="1"/>
  <c r="D8632" i="1"/>
  <c r="D5386" i="1"/>
  <c r="D5399" i="1"/>
  <c r="D10317" i="1"/>
  <c r="D10318" i="1"/>
  <c r="D8313" i="1"/>
  <c r="D8633" i="1"/>
  <c r="D8026" i="1"/>
  <c r="D3433" i="1"/>
  <c r="D8634" i="1"/>
  <c r="D9115" i="1"/>
  <c r="D9116" i="1"/>
  <c r="D8314" i="1"/>
  <c r="D8635" i="1"/>
  <c r="D14472" i="1"/>
  <c r="D8374" i="1"/>
  <c r="D25417" i="1"/>
  <c r="D26246" i="1"/>
  <c r="D8636" i="1"/>
  <c r="D15806" i="1"/>
  <c r="D15809" i="1"/>
  <c r="D10341" i="1"/>
  <c r="D10342" i="1"/>
  <c r="D10343" i="1"/>
  <c r="D10344" i="1"/>
  <c r="D9421" i="1"/>
  <c r="D15433" i="1"/>
  <c r="D8637" i="1"/>
  <c r="D3209" i="1"/>
  <c r="D8124" i="1"/>
  <c r="D8103" i="1"/>
  <c r="D8125" i="1"/>
  <c r="D1074" i="1"/>
  <c r="D1075" i="1"/>
  <c r="D8638" i="1"/>
  <c r="D16845" i="1"/>
  <c r="D11084" i="1"/>
  <c r="D14832" i="1"/>
  <c r="D14833" i="1"/>
  <c r="D14834" i="1"/>
  <c r="D14835" i="1"/>
  <c r="D12917" i="1"/>
  <c r="D10383" i="1"/>
  <c r="D10392" i="1"/>
  <c r="D2466" i="1"/>
  <c r="D2467" i="1"/>
  <c r="D3700" i="1"/>
  <c r="D14034" i="1"/>
  <c r="D11085" i="1"/>
  <c r="D15974" i="1"/>
  <c r="D15975" i="1"/>
  <c r="D15976" i="1"/>
  <c r="D17411" i="1"/>
  <c r="D17412" i="1"/>
  <c r="D15977" i="1"/>
  <c r="D16858" i="1"/>
  <c r="D16859" i="1"/>
  <c r="D2382" i="1"/>
  <c r="D5171" i="1"/>
  <c r="D11633" i="1"/>
  <c r="D12865" i="1"/>
  <c r="D12866" i="1"/>
  <c r="D15978" i="1"/>
  <c r="D27095" i="1"/>
  <c r="D27096" i="1"/>
  <c r="D2507" i="1"/>
  <c r="D27097" i="1"/>
  <c r="D27098" i="1"/>
  <c r="D27103" i="1"/>
  <c r="D2548" i="1"/>
  <c r="D18288" i="1"/>
  <c r="D10393" i="1"/>
  <c r="D2791" i="1"/>
  <c r="D12867" i="1"/>
  <c r="D12868" i="1"/>
  <c r="D12869" i="1"/>
  <c r="D12870" i="1"/>
  <c r="D25235" i="1"/>
  <c r="D25280" i="1"/>
  <c r="D25236" i="1"/>
  <c r="D25237" i="1"/>
  <c r="D25281" i="1"/>
  <c r="D25238" i="1"/>
  <c r="D25282" i="1"/>
  <c r="D25239" i="1"/>
  <c r="D25283" i="1"/>
  <c r="D15979" i="1"/>
  <c r="D15980" i="1"/>
  <c r="D15498" i="1"/>
  <c r="D12000" i="1"/>
  <c r="D11086" i="1"/>
  <c r="D9953" i="1"/>
  <c r="D25186" i="1"/>
  <c r="D11634" i="1"/>
  <c r="D11635" i="1"/>
  <c r="D11443" i="1"/>
  <c r="D11087" i="1"/>
  <c r="D11088" i="1"/>
  <c r="D11486" i="1"/>
  <c r="D11089" i="1"/>
  <c r="D11464" i="1"/>
  <c r="D12871" i="1"/>
  <c r="D27099" i="1"/>
  <c r="D27100" i="1"/>
  <c r="D11090" i="1"/>
  <c r="D11487" i="1"/>
  <c r="D11091" i="1"/>
  <c r="D18850" i="1"/>
  <c r="D18851" i="1"/>
  <c r="D12872" i="1"/>
  <c r="D12873" i="1"/>
  <c r="D12874" i="1"/>
  <c r="D12875" i="1"/>
  <c r="D12876" i="1"/>
  <c r="D5322" i="1"/>
  <c r="D10394" i="1"/>
  <c r="D18202" i="1"/>
  <c r="D18227" i="1"/>
  <c r="D9500" i="1"/>
  <c r="D9501" i="1"/>
  <c r="D9502" i="1"/>
  <c r="D19158" i="1"/>
  <c r="D19159" i="1"/>
  <c r="D15981" i="1"/>
  <c r="D15982" i="1"/>
  <c r="D2792" i="1"/>
  <c r="D18228" i="1"/>
  <c r="D18289" i="1"/>
  <c r="D27101" i="1"/>
  <c r="D27102" i="1"/>
  <c r="D11636" i="1"/>
  <c r="D11637" i="1"/>
  <c r="D11638" i="1"/>
  <c r="D11639" i="1"/>
  <c r="D18229" i="1"/>
  <c r="D18230" i="1"/>
  <c r="D18231" i="1"/>
  <c r="D18232" i="1"/>
  <c r="D19212" i="1"/>
  <c r="D19213" i="1"/>
  <c r="D25605" i="1"/>
  <c r="D25704" i="1"/>
  <c r="D25606" i="1"/>
  <c r="D25705" i="1"/>
  <c r="D25607" i="1"/>
  <c r="D25608" i="1"/>
  <c r="D25609" i="1"/>
  <c r="D25706" i="1"/>
  <c r="D23017" i="1"/>
  <c r="D23252" i="1"/>
  <c r="D23018" i="1"/>
  <c r="D23253" i="1"/>
  <c r="D23192" i="1"/>
  <c r="D23254" i="1"/>
  <c r="D23132" i="1"/>
  <c r="D23255" i="1"/>
  <c r="D18203" i="1"/>
  <c r="D5666" i="1"/>
  <c r="D3166" i="1"/>
  <c r="D3167" i="1"/>
  <c r="D5382" i="1"/>
  <c r="D3292" i="1"/>
  <c r="D23645" i="1"/>
  <c r="D12795" i="1"/>
  <c r="D12796" i="1"/>
  <c r="D3406" i="1"/>
  <c r="D10730" i="1"/>
  <c r="D12797" i="1"/>
  <c r="D12798" i="1"/>
  <c r="D12799" i="1"/>
  <c r="D12800" i="1"/>
  <c r="D3556" i="1"/>
  <c r="D3557" i="1"/>
  <c r="D10008" i="1"/>
  <c r="D10009" i="1"/>
  <c r="D5383" i="1"/>
  <c r="D19214" i="1"/>
  <c r="D19215" i="1"/>
  <c r="D10912" i="1"/>
  <c r="D3558" i="1"/>
  <c r="D10731" i="1"/>
  <c r="D10732" i="1"/>
  <c r="D17848" i="1"/>
  <c r="D2698" i="1"/>
  <c r="D17849" i="1"/>
  <c r="D10733" i="1"/>
  <c r="D10734" i="1"/>
  <c r="D16846" i="1"/>
  <c r="D26789" i="1"/>
  <c r="D17850" i="1"/>
  <c r="D10368" i="1"/>
  <c r="D15341" i="1"/>
  <c r="D3098" i="1"/>
  <c r="D3293" i="1"/>
  <c r="D3294" i="1"/>
  <c r="D13131" i="1"/>
  <c r="D3449" i="1"/>
  <c r="D26247" i="1"/>
  <c r="D10672" i="1"/>
  <c r="D10655" i="1"/>
  <c r="D10673" i="1"/>
  <c r="D10674" i="1"/>
  <c r="D10675" i="1"/>
  <c r="D10676" i="1"/>
  <c r="D10631" i="1"/>
  <c r="D10656" i="1"/>
  <c r="D10677" i="1"/>
  <c r="D10678" i="1"/>
  <c r="D13259" i="1"/>
  <c r="D22832" i="1"/>
  <c r="D15499" i="1"/>
  <c r="D15315" i="1"/>
  <c r="D19160" i="1"/>
  <c r="D19161" i="1"/>
  <c r="D5323" i="1"/>
  <c r="D14638" i="1"/>
  <c r="D14639" i="1"/>
  <c r="D19216" i="1"/>
  <c r="D19217" i="1"/>
  <c r="D13991" i="1"/>
  <c r="D3295" i="1"/>
  <c r="D19218" i="1"/>
  <c r="D19219" i="1"/>
  <c r="D19220" i="1"/>
  <c r="D19221" i="1"/>
  <c r="D10735" i="1"/>
  <c r="D3201" i="1"/>
  <c r="D3226" i="1"/>
  <c r="D4347" i="1"/>
  <c r="D25346" i="1"/>
  <c r="D19222" i="1"/>
  <c r="D10913" i="1"/>
  <c r="D15500" i="1"/>
  <c r="D12269" i="1"/>
  <c r="D12270" i="1"/>
  <c r="D4240" i="1"/>
  <c r="D14045" i="1"/>
  <c r="D14046" i="1"/>
  <c r="D14050" i="1"/>
  <c r="D15549" i="1"/>
  <c r="D25347" i="1"/>
  <c r="D15501" i="1"/>
  <c r="D4241" i="1"/>
  <c r="D3681" i="1"/>
  <c r="D26790" i="1"/>
  <c r="D4446" i="1"/>
  <c r="D4242" i="1"/>
  <c r="D15434" i="1"/>
  <c r="D13260" i="1"/>
  <c r="D26791" i="1"/>
  <c r="D1215" i="1"/>
  <c r="D1216" i="1"/>
  <c r="D15859" i="1"/>
  <c r="D15782" i="1"/>
  <c r="D26792" i="1"/>
  <c r="D8231" i="1"/>
  <c r="D14159" i="1"/>
  <c r="D16847" i="1"/>
  <c r="D15021" i="1"/>
  <c r="D18517" i="1"/>
  <c r="D18518" i="1"/>
  <c r="D9958" i="1"/>
  <c r="D10535" i="1"/>
  <c r="D10536" i="1"/>
  <c r="D10537" i="1"/>
  <c r="D10538" i="1"/>
  <c r="D10539" i="1"/>
  <c r="D10540" i="1"/>
  <c r="D10541" i="1"/>
  <c r="D10542" i="1"/>
  <c r="D10543" i="1"/>
  <c r="D108" i="1"/>
  <c r="D109" i="1"/>
  <c r="D18484" i="1"/>
  <c r="D18482" i="1"/>
  <c r="D26793" i="1"/>
  <c r="D5172" i="1"/>
  <c r="D2727" i="1"/>
  <c r="D10959" i="1"/>
  <c r="D1280" i="1"/>
  <c r="D26325" i="1"/>
  <c r="D26326" i="1"/>
  <c r="D26673" i="1"/>
  <c r="D3694" i="1"/>
  <c r="D11842" i="1"/>
  <c r="D18290" i="1"/>
  <c r="D24350" i="1"/>
  <c r="D24351" i="1"/>
  <c r="D18291" i="1"/>
  <c r="D18292" i="1"/>
  <c r="D14006" i="1"/>
  <c r="D110" i="1"/>
  <c r="D1309" i="1"/>
  <c r="D26248" i="1"/>
  <c r="D10977" i="1"/>
  <c r="D13969" i="1"/>
  <c r="D5641" i="1"/>
  <c r="D7675" i="1"/>
  <c r="D23019" i="1"/>
  <c r="D23256" i="1"/>
  <c r="D9468" i="1"/>
  <c r="D17851" i="1"/>
  <c r="D17852" i="1"/>
  <c r="D17853" i="1"/>
  <c r="D17854" i="1"/>
  <c r="D17855" i="1"/>
  <c r="D17856" i="1"/>
  <c r="D4142" i="1"/>
  <c r="D4143" i="1"/>
  <c r="D24287" i="1"/>
  <c r="D24288" i="1"/>
  <c r="D15502" i="1"/>
  <c r="D25610" i="1"/>
  <c r="D25707" i="1"/>
  <c r="D25611" i="1"/>
  <c r="D25612" i="1"/>
  <c r="D25708" i="1"/>
  <c r="D25613" i="1"/>
  <c r="D25614" i="1"/>
  <c r="D15401" i="1"/>
  <c r="D6429" i="1"/>
  <c r="D7676" i="1"/>
  <c r="D6430" i="1"/>
  <c r="D7677" i="1"/>
  <c r="D6431" i="1"/>
  <c r="D7678" i="1"/>
  <c r="D3836" i="1"/>
  <c r="D24289" i="1"/>
  <c r="D16066" i="1"/>
  <c r="D24290" i="1"/>
  <c r="D24291" i="1"/>
  <c r="D24292" i="1"/>
  <c r="D24293" i="1"/>
  <c r="D24294" i="1"/>
  <c r="D24295" i="1"/>
  <c r="D24296" i="1"/>
  <c r="D6432" i="1"/>
  <c r="D7679" i="1"/>
  <c r="D6433" i="1"/>
  <c r="D7680" i="1"/>
  <c r="D6434" i="1"/>
  <c r="D24297" i="1"/>
  <c r="D24298" i="1"/>
  <c r="D3296" i="1"/>
  <c r="D1343" i="1"/>
  <c r="D1344" i="1"/>
  <c r="D24299" i="1"/>
  <c r="D24300" i="1"/>
  <c r="D24301" i="1"/>
  <c r="D24302" i="1"/>
  <c r="D24303" i="1"/>
  <c r="D24304" i="1"/>
  <c r="D24305" i="1"/>
  <c r="D24306" i="1"/>
  <c r="D24307" i="1"/>
  <c r="D24308" i="1"/>
  <c r="D24309" i="1"/>
  <c r="D24310" i="1"/>
  <c r="D2949" i="1"/>
  <c r="D2950" i="1"/>
  <c r="D2951" i="1"/>
  <c r="D7997" i="1"/>
  <c r="D8004" i="1"/>
  <c r="D5541" i="1"/>
  <c r="D5542" i="1"/>
  <c r="D1345" i="1"/>
  <c r="D1346" i="1"/>
  <c r="D24311" i="1"/>
  <c r="D4996" i="1"/>
  <c r="D24312" i="1"/>
  <c r="D24313" i="1"/>
  <c r="D24314" i="1"/>
  <c r="D24315" i="1"/>
  <c r="D24316" i="1"/>
  <c r="D3297" i="1"/>
  <c r="D824" i="1"/>
  <c r="D825" i="1"/>
  <c r="D2952" i="1"/>
  <c r="D2953" i="1"/>
  <c r="D2954" i="1"/>
  <c r="D6435" i="1"/>
  <c r="D6436" i="1"/>
  <c r="D6437" i="1"/>
  <c r="D6438" i="1"/>
  <c r="D6439" i="1"/>
  <c r="D6440" i="1"/>
  <c r="D24317" i="1"/>
  <c r="D24318" i="1"/>
  <c r="D1347" i="1"/>
  <c r="D1348" i="1"/>
  <c r="D24319" i="1"/>
  <c r="D24320" i="1"/>
  <c r="D19091" i="1"/>
  <c r="D3511" i="1"/>
  <c r="D3298" i="1"/>
  <c r="D6441" i="1"/>
  <c r="D6442" i="1"/>
  <c r="D6443" i="1"/>
  <c r="D6444" i="1"/>
  <c r="D3299" i="1"/>
  <c r="D7994" i="1"/>
  <c r="D7681" i="1"/>
  <c r="D6445" i="1"/>
  <c r="D6446" i="1"/>
  <c r="D3300" i="1"/>
  <c r="D2611" i="1"/>
  <c r="D24321" i="1"/>
  <c r="D4429" i="1"/>
  <c r="D4430" i="1"/>
  <c r="D24322" i="1"/>
  <c r="D24323" i="1"/>
  <c r="D24324" i="1"/>
  <c r="D24325" i="1"/>
  <c r="D24326" i="1"/>
  <c r="D3301" i="1"/>
  <c r="D24327" i="1"/>
  <c r="D24328" i="1"/>
  <c r="D24329" i="1"/>
  <c r="D25795" i="1"/>
  <c r="D3302" i="1"/>
  <c r="D24330" i="1"/>
  <c r="D24331" i="1"/>
  <c r="D24332" i="1"/>
  <c r="D3618" i="1"/>
  <c r="D24333" i="1"/>
  <c r="D24334" i="1"/>
  <c r="D2955" i="1"/>
  <c r="D2956" i="1"/>
  <c r="D2957" i="1"/>
  <c r="D2958" i="1"/>
  <c r="D24335" i="1"/>
  <c r="D24336" i="1"/>
  <c r="D9954" i="1"/>
  <c r="D10914" i="1"/>
  <c r="D24337" i="1"/>
  <c r="D24338" i="1"/>
  <c r="D24339" i="1"/>
  <c r="D2959" i="1"/>
  <c r="D2960" i="1"/>
  <c r="D1349" i="1"/>
  <c r="D1350" i="1"/>
  <c r="D6447" i="1"/>
  <c r="D6448" i="1"/>
  <c r="D5059" i="1"/>
  <c r="D5079" i="1"/>
  <c r="D24340" i="1"/>
  <c r="D24341" i="1"/>
  <c r="D6449" i="1"/>
  <c r="D7682" i="1"/>
  <c r="D647" i="1"/>
  <c r="D24342" i="1"/>
  <c r="D3843" i="1"/>
  <c r="D5928" i="1"/>
  <c r="D10263" i="1"/>
  <c r="D20252" i="1"/>
  <c r="D27094" i="1"/>
  <c r="D20253" i="1"/>
  <c r="D11092" i="1"/>
  <c r="D20254" i="1"/>
  <c r="D20255" i="1"/>
  <c r="D20256" i="1"/>
  <c r="D20257" i="1"/>
  <c r="D20258" i="1"/>
  <c r="D20259" i="1"/>
  <c r="D20260" i="1"/>
  <c r="D20261" i="1"/>
  <c r="D20262" i="1"/>
  <c r="D20263" i="1"/>
  <c r="D20264" i="1"/>
  <c r="D20265" i="1"/>
  <c r="D20266" i="1"/>
  <c r="D20267" i="1"/>
  <c r="D20268" i="1"/>
  <c r="D20269" i="1"/>
  <c r="D20270" i="1"/>
  <c r="D4447" i="1"/>
  <c r="D20271" i="1"/>
  <c r="D20272" i="1"/>
  <c r="D20273" i="1"/>
  <c r="D20274" i="1"/>
  <c r="D20275" i="1"/>
  <c r="D20276" i="1"/>
  <c r="D11741" i="1"/>
  <c r="D11093" i="1"/>
  <c r="D20277" i="1"/>
  <c r="D9802" i="1"/>
  <c r="D19709" i="1"/>
  <c r="D11094" i="1"/>
  <c r="D26794" i="1"/>
  <c r="D4448" i="1"/>
  <c r="D26795" i="1"/>
  <c r="D5173" i="1"/>
  <c r="D9938" i="1"/>
  <c r="D20278" i="1"/>
  <c r="D26572" i="1"/>
  <c r="D9581" i="1"/>
  <c r="D18293" i="1"/>
  <c r="D9904" i="1"/>
  <c r="D9582" i="1"/>
  <c r="D9583" i="1"/>
  <c r="D5174" i="1"/>
  <c r="D26573" i="1"/>
  <c r="D26282" i="1"/>
  <c r="D9584" i="1"/>
  <c r="D9905" i="1"/>
  <c r="D9906" i="1"/>
  <c r="D9907" i="1"/>
  <c r="D9908" i="1"/>
  <c r="D9585" i="1"/>
  <c r="D15503" i="1"/>
  <c r="D26796" i="1"/>
  <c r="D26797" i="1"/>
  <c r="D9586" i="1"/>
  <c r="D13261" i="1"/>
  <c r="D11710" i="1"/>
  <c r="D2386" i="1"/>
  <c r="D20279" i="1"/>
  <c r="D20280" i="1"/>
  <c r="D20281" i="1"/>
  <c r="D4189" i="1"/>
  <c r="D2728" i="1"/>
  <c r="D11095" i="1"/>
  <c r="D11096" i="1"/>
  <c r="D26532" i="1"/>
  <c r="D25940" i="1"/>
  <c r="D11097" i="1"/>
  <c r="D11098" i="1"/>
  <c r="D11099" i="1"/>
  <c r="D11488" i="1"/>
  <c r="D11100" i="1"/>
  <c r="D11671" i="1"/>
  <c r="D11672" i="1"/>
  <c r="D11101" i="1"/>
  <c r="D3099" i="1"/>
  <c r="D11534" i="1"/>
  <c r="D20282" i="1"/>
  <c r="D20283" i="1"/>
  <c r="D20284" i="1"/>
  <c r="D20285" i="1"/>
  <c r="D20286" i="1"/>
  <c r="D20287" i="1"/>
  <c r="D20288" i="1"/>
  <c r="D11102" i="1"/>
  <c r="D1481" i="1"/>
  <c r="D11103" i="1"/>
  <c r="D11489" i="1"/>
  <c r="D11104" i="1"/>
  <c r="D11490" i="1"/>
  <c r="D26674" i="1"/>
  <c r="D917" i="1"/>
  <c r="D26675" i="1"/>
  <c r="D25941" i="1"/>
  <c r="D26196" i="1"/>
  <c r="D20289" i="1"/>
  <c r="D20290" i="1"/>
  <c r="D20291" i="1"/>
  <c r="D20292" i="1"/>
  <c r="D20293" i="1"/>
  <c r="D20294" i="1"/>
  <c r="D20295" i="1"/>
  <c r="D20296" i="1"/>
  <c r="D20297" i="1"/>
  <c r="D20298" i="1"/>
  <c r="D20299" i="1"/>
  <c r="D20300" i="1"/>
  <c r="D20301" i="1"/>
  <c r="D20302" i="1"/>
  <c r="D20303" i="1"/>
  <c r="D20304" i="1"/>
  <c r="D20305" i="1"/>
  <c r="D20306" i="1"/>
  <c r="D20307" i="1"/>
  <c r="D20308" i="1"/>
  <c r="D20309" i="1"/>
  <c r="D20310" i="1"/>
  <c r="D20311" i="1"/>
  <c r="D20312" i="1"/>
  <c r="D20313" i="1"/>
  <c r="D20314" i="1"/>
  <c r="D20315" i="1"/>
  <c r="D20316" i="1"/>
  <c r="D20317" i="1"/>
  <c r="D9803" i="1"/>
  <c r="D20318" i="1"/>
  <c r="D20319" i="1"/>
  <c r="D20320" i="1"/>
  <c r="D20321" i="1"/>
  <c r="D20322" i="1"/>
  <c r="D20323" i="1"/>
  <c r="D20324" i="1"/>
  <c r="D20325" i="1"/>
  <c r="D20326" i="1"/>
  <c r="D20327" i="1"/>
  <c r="D20328" i="1"/>
  <c r="D20329" i="1"/>
  <c r="D20330" i="1"/>
  <c r="D20331" i="1"/>
  <c r="D20332" i="1"/>
  <c r="D20333" i="1"/>
  <c r="D20334" i="1"/>
  <c r="D20335" i="1"/>
  <c r="D20336" i="1"/>
  <c r="D20337" i="1"/>
  <c r="D20338" i="1"/>
  <c r="D20339" i="1"/>
  <c r="D20340" i="1"/>
  <c r="D20341" i="1"/>
  <c r="D20342" i="1"/>
  <c r="D20343" i="1"/>
  <c r="D11105" i="1"/>
  <c r="D11106" i="1"/>
  <c r="D20344" i="1"/>
  <c r="D5175" i="1"/>
  <c r="D5060" i="1"/>
  <c r="D5080" i="1"/>
  <c r="D5061" i="1"/>
  <c r="D5081" i="1"/>
  <c r="D20345" i="1"/>
  <c r="D20346" i="1"/>
  <c r="D20347" i="1"/>
  <c r="D20348" i="1"/>
  <c r="D20349" i="1"/>
  <c r="D20350" i="1"/>
  <c r="D20351" i="1"/>
  <c r="D20352" i="1"/>
  <c r="D20353" i="1"/>
  <c r="D20354" i="1"/>
  <c r="D20355" i="1"/>
  <c r="D5728" i="1"/>
  <c r="D20356" i="1"/>
  <c r="D20357" i="1"/>
  <c r="D20358" i="1"/>
  <c r="D20359" i="1"/>
  <c r="D20360" i="1"/>
  <c r="D20361" i="1"/>
  <c r="D20362" i="1"/>
  <c r="D20363" i="1"/>
  <c r="D20364" i="1"/>
  <c r="D20365" i="1"/>
  <c r="D20366" i="1"/>
  <c r="D20367" i="1"/>
  <c r="D20368" i="1"/>
  <c r="D20369" i="1"/>
  <c r="D20370" i="1"/>
  <c r="D20371" i="1"/>
  <c r="D20372" i="1"/>
  <c r="D20373" i="1"/>
  <c r="D20374" i="1"/>
  <c r="D20375" i="1"/>
  <c r="D20376" i="1"/>
  <c r="D11107" i="1"/>
  <c r="D11108" i="1"/>
  <c r="D11109" i="1"/>
  <c r="D11535" i="1"/>
  <c r="D11110" i="1"/>
  <c r="D11111" i="1"/>
  <c r="D20377" i="1"/>
  <c r="D20378" i="1"/>
  <c r="D20379" i="1"/>
  <c r="D20380" i="1"/>
  <c r="D11444" i="1"/>
  <c r="D11445" i="1"/>
  <c r="D27081" i="1"/>
  <c r="D11112" i="1"/>
  <c r="D20381" i="1"/>
  <c r="D20382" i="1"/>
  <c r="D20383" i="1"/>
  <c r="D20384" i="1"/>
  <c r="D20385" i="1"/>
  <c r="D20386" i="1"/>
  <c r="D20387" i="1"/>
  <c r="D20388" i="1"/>
  <c r="D20389" i="1"/>
  <c r="D20390" i="1"/>
  <c r="D20391" i="1"/>
  <c r="D20392" i="1"/>
  <c r="D20393" i="1"/>
  <c r="D20394" i="1"/>
  <c r="D20395" i="1"/>
  <c r="D20396" i="1"/>
  <c r="D20397" i="1"/>
  <c r="D20398" i="1"/>
  <c r="D20399" i="1"/>
  <c r="D20400" i="1"/>
  <c r="D20401" i="1"/>
  <c r="D20402" i="1"/>
  <c r="D20403" i="1"/>
  <c r="D20404" i="1"/>
  <c r="D20405" i="1"/>
  <c r="D20406" i="1"/>
  <c r="D20407" i="1"/>
  <c r="D20408" i="1"/>
  <c r="D20409" i="1"/>
  <c r="D20410" i="1"/>
  <c r="D20411" i="1"/>
  <c r="D5712" i="1"/>
  <c r="D15294" i="1"/>
  <c r="D15295" i="1"/>
  <c r="D15296" i="1"/>
  <c r="D15099" i="1"/>
  <c r="D13935" i="1"/>
  <c r="D20412" i="1"/>
  <c r="D5062" i="1"/>
  <c r="D5082" i="1"/>
  <c r="D9587" i="1"/>
  <c r="D9833" i="1"/>
  <c r="D15483" i="1"/>
  <c r="D20413" i="1"/>
  <c r="D20414" i="1"/>
  <c r="D20415" i="1"/>
  <c r="D20416" i="1"/>
  <c r="D20417" i="1"/>
  <c r="D20418" i="1"/>
  <c r="D20419" i="1"/>
  <c r="D9588" i="1"/>
  <c r="D20420" i="1"/>
  <c r="D20421" i="1"/>
  <c r="D20422" i="1"/>
  <c r="D20423" i="1"/>
  <c r="D20424" i="1"/>
  <c r="D20425" i="1"/>
  <c r="D20426" i="1"/>
  <c r="D20427" i="1"/>
  <c r="D20428" i="1"/>
  <c r="D20429" i="1"/>
  <c r="D9589" i="1"/>
  <c r="D20430" i="1"/>
  <c r="D9590" i="1"/>
  <c r="D9591" i="1"/>
  <c r="D9592" i="1"/>
  <c r="D9593" i="1"/>
  <c r="D15504" i="1"/>
  <c r="D9594" i="1"/>
  <c r="D2664" i="1"/>
  <c r="D20431" i="1"/>
  <c r="D20432" i="1"/>
  <c r="D15893" i="1"/>
  <c r="D9595" i="1"/>
  <c r="D918" i="1"/>
  <c r="D15309" i="1"/>
  <c r="D15310" i="1"/>
  <c r="D15311" i="1"/>
  <c r="D20433" i="1"/>
  <c r="D20434" i="1"/>
  <c r="D20435" i="1"/>
  <c r="D20436" i="1"/>
  <c r="D11113" i="1"/>
  <c r="D11114" i="1"/>
  <c r="D20437" i="1"/>
  <c r="D20438" i="1"/>
  <c r="D14501" i="1"/>
  <c r="D11115" i="1"/>
  <c r="D9804" i="1"/>
  <c r="D9805" i="1"/>
  <c r="D20439" i="1"/>
  <c r="D11752" i="1"/>
  <c r="D5324" i="1"/>
  <c r="D11465" i="1"/>
  <c r="D5686" i="1"/>
  <c r="D20440" i="1"/>
  <c r="D20441" i="1"/>
  <c r="D20442" i="1"/>
  <c r="D20443" i="1"/>
  <c r="D20444" i="1"/>
  <c r="D8192" i="1"/>
  <c r="D15100" i="1"/>
  <c r="D12615" i="1"/>
  <c r="D5783" i="1"/>
  <c r="D5784" i="1"/>
  <c r="D19663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14201" i="1"/>
  <c r="D9469" i="1"/>
  <c r="D16819" i="1"/>
  <c r="D16820" i="1"/>
  <c r="D11116" i="1"/>
  <c r="D11117" i="1"/>
  <c r="D11118" i="1"/>
  <c r="D19623" i="1"/>
  <c r="D19635" i="1"/>
  <c r="D19624" i="1"/>
  <c r="D19636" i="1"/>
  <c r="D4190" i="1"/>
  <c r="D20445" i="1"/>
  <c r="D20446" i="1"/>
  <c r="D20447" i="1"/>
  <c r="D20448" i="1"/>
  <c r="D20449" i="1"/>
  <c r="D20450" i="1"/>
  <c r="D20451" i="1"/>
  <c r="D20452" i="1"/>
  <c r="D9900" i="1"/>
  <c r="D20453" i="1"/>
  <c r="D20454" i="1"/>
  <c r="D20455" i="1"/>
  <c r="D20456" i="1"/>
  <c r="D20457" i="1"/>
  <c r="D20458" i="1"/>
  <c r="D20459" i="1"/>
  <c r="D20460" i="1"/>
  <c r="D20461" i="1"/>
  <c r="D20462" i="1"/>
  <c r="D20463" i="1"/>
  <c r="D20464" i="1"/>
  <c r="D20465" i="1"/>
  <c r="D20466" i="1"/>
  <c r="D20467" i="1"/>
  <c r="D20468" i="1"/>
  <c r="D20469" i="1"/>
  <c r="D20470" i="1"/>
  <c r="D20471" i="1"/>
  <c r="D20472" i="1"/>
  <c r="D20473" i="1"/>
  <c r="D20474" i="1"/>
  <c r="D20475" i="1"/>
  <c r="D20476" i="1"/>
  <c r="D20477" i="1"/>
  <c r="D20478" i="1"/>
  <c r="D20479" i="1"/>
  <c r="D20480" i="1"/>
  <c r="D20481" i="1"/>
  <c r="D20482" i="1"/>
  <c r="D20483" i="1"/>
  <c r="D20484" i="1"/>
  <c r="D20485" i="1"/>
  <c r="D20486" i="1"/>
  <c r="D20487" i="1"/>
  <c r="D20488" i="1"/>
  <c r="D20489" i="1"/>
  <c r="D20490" i="1"/>
  <c r="D20491" i="1"/>
  <c r="D20492" i="1"/>
  <c r="D20493" i="1"/>
  <c r="D20494" i="1"/>
  <c r="D14502" i="1"/>
  <c r="D14503" i="1"/>
  <c r="D20495" i="1"/>
  <c r="D25194" i="1"/>
  <c r="D19625" i="1"/>
  <c r="D19637" i="1"/>
  <c r="D15575" i="1"/>
  <c r="D15576" i="1"/>
  <c r="D15577" i="1"/>
  <c r="D15578" i="1"/>
  <c r="D25418" i="1"/>
  <c r="D25419" i="1"/>
  <c r="D14431" i="1"/>
  <c r="D14432" i="1"/>
  <c r="D14243" i="1"/>
  <c r="D14244" i="1"/>
  <c r="D14245" i="1"/>
  <c r="D14246" i="1"/>
  <c r="D14247" i="1"/>
  <c r="D14248" i="1"/>
  <c r="D14249" i="1"/>
  <c r="D14250" i="1"/>
  <c r="D14251" i="1"/>
  <c r="D14252" i="1"/>
  <c r="D14253" i="1"/>
  <c r="D14254" i="1"/>
  <c r="D14255" i="1"/>
  <c r="D14256" i="1"/>
  <c r="D14257" i="1"/>
  <c r="D25521" i="1"/>
  <c r="D25506" i="1"/>
  <c r="D20496" i="1"/>
  <c r="D20497" i="1"/>
  <c r="D20498" i="1"/>
  <c r="D20499" i="1"/>
  <c r="D20500" i="1"/>
  <c r="D20501" i="1"/>
  <c r="D20502" i="1"/>
  <c r="D20503" i="1"/>
  <c r="D20504" i="1"/>
  <c r="D20505" i="1"/>
  <c r="D20506" i="1"/>
  <c r="D20507" i="1"/>
  <c r="D20508" i="1"/>
  <c r="D20509" i="1"/>
  <c r="D20510" i="1"/>
  <c r="D20511" i="1"/>
  <c r="D20512" i="1"/>
  <c r="D20513" i="1"/>
  <c r="D20514" i="1"/>
  <c r="D20515" i="1"/>
  <c r="D897" i="1"/>
  <c r="D25420" i="1"/>
  <c r="D25522" i="1"/>
  <c r="D25421" i="1"/>
  <c r="D25422" i="1"/>
  <c r="D16821" i="1"/>
  <c r="D16822" i="1"/>
  <c r="D15842" i="1"/>
  <c r="D13992" i="1"/>
  <c r="D16823" i="1"/>
  <c r="D16824" i="1"/>
  <c r="D18294" i="1"/>
  <c r="D26467" i="1"/>
  <c r="D27072" i="1"/>
  <c r="D9086" i="1"/>
  <c r="D9087" i="1"/>
  <c r="D5657" i="1"/>
  <c r="D5658" i="1"/>
  <c r="D18485" i="1"/>
  <c r="D18486" i="1"/>
  <c r="D990" i="1"/>
  <c r="D4449" i="1"/>
  <c r="D5904" i="1"/>
  <c r="D15505" i="1"/>
  <c r="D26574" i="1"/>
  <c r="D26798" i="1"/>
  <c r="D5420" i="1"/>
  <c r="D5176" i="1"/>
  <c r="D10448" i="1"/>
  <c r="D12452" i="1"/>
  <c r="D3934" i="1"/>
  <c r="D3935" i="1"/>
  <c r="D3936" i="1"/>
  <c r="D8027" i="1"/>
  <c r="D24602" i="1"/>
  <c r="D24603" i="1"/>
  <c r="D24604" i="1"/>
  <c r="D24605" i="1"/>
  <c r="D24606" i="1"/>
  <c r="D24607" i="1"/>
  <c r="D24608" i="1"/>
  <c r="D24609" i="1"/>
  <c r="D24610" i="1"/>
  <c r="D24611" i="1"/>
  <c r="D24612" i="1"/>
  <c r="D24613" i="1"/>
  <c r="D24614" i="1"/>
  <c r="D24615" i="1"/>
  <c r="D24616" i="1"/>
  <c r="D24617" i="1"/>
  <c r="D24618" i="1"/>
  <c r="D24619" i="1"/>
  <c r="D24620" i="1"/>
  <c r="D24621" i="1"/>
  <c r="D24622" i="1"/>
  <c r="D24623" i="1"/>
  <c r="D24624" i="1"/>
  <c r="D24625" i="1"/>
  <c r="D24626" i="1"/>
  <c r="D24627" i="1"/>
  <c r="D24628" i="1"/>
  <c r="D24629" i="1"/>
  <c r="D1254" i="1"/>
  <c r="D4243" i="1"/>
  <c r="D9444" i="1"/>
  <c r="D26249" i="1"/>
  <c r="D26250" i="1"/>
  <c r="D1492" i="1"/>
  <c r="D10898" i="1"/>
  <c r="D13243" i="1"/>
  <c r="D1351" i="1"/>
  <c r="D9834" i="1"/>
  <c r="D9835" i="1"/>
  <c r="D9836" i="1"/>
  <c r="D9837" i="1"/>
  <c r="D26799" i="1"/>
  <c r="D1352" i="1"/>
  <c r="D5729" i="1"/>
  <c r="D24343" i="1"/>
  <c r="D24344" i="1"/>
  <c r="D23020" i="1"/>
  <c r="D23257" i="1"/>
  <c r="D23133" i="1"/>
  <c r="D22995" i="1"/>
  <c r="D23021" i="1"/>
  <c r="D23258" i="1"/>
  <c r="D23259" i="1"/>
  <c r="D23022" i="1"/>
  <c r="D23023" i="1"/>
  <c r="D18191" i="1"/>
  <c r="D18233" i="1"/>
  <c r="D18192" i="1"/>
  <c r="D18194" i="1"/>
  <c r="D18234" i="1"/>
  <c r="D17857" i="1"/>
  <c r="D17858" i="1"/>
  <c r="D19048" i="1"/>
  <c r="D19049" i="1"/>
  <c r="D24958" i="1"/>
  <c r="D24959" i="1"/>
  <c r="D4718" i="1"/>
  <c r="D4697" i="1"/>
  <c r="D4719" i="1"/>
  <c r="D18473" i="1"/>
  <c r="D3844" i="1"/>
  <c r="D111" i="1"/>
  <c r="D18907" i="1"/>
  <c r="D18086" i="1"/>
  <c r="D26800" i="1"/>
  <c r="D10511" i="1"/>
  <c r="D4460" i="1"/>
  <c r="D10461" i="1"/>
  <c r="D14670" i="1"/>
  <c r="D4562" i="1"/>
  <c r="D16825" i="1"/>
  <c r="D16826" i="1"/>
  <c r="D15249" i="1"/>
  <c r="D15250" i="1"/>
  <c r="D10472" i="1"/>
  <c r="D4390" i="1"/>
  <c r="D4391" i="1"/>
  <c r="D2607" i="1"/>
  <c r="D25772" i="1"/>
  <c r="D4244" i="1"/>
  <c r="D10449" i="1"/>
  <c r="D14127" i="1"/>
  <c r="D17743" i="1"/>
  <c r="D17744" i="1"/>
  <c r="D10285" i="1"/>
  <c r="D18082" i="1"/>
  <c r="D23510" i="1"/>
  <c r="D14775" i="1"/>
  <c r="D14776" i="1"/>
  <c r="D14777" i="1"/>
  <c r="D15073" i="1"/>
  <c r="D15074" i="1"/>
  <c r="D10203" i="1"/>
  <c r="D1150" i="1"/>
  <c r="D1167" i="1"/>
  <c r="D554" i="1"/>
  <c r="D555" i="1"/>
  <c r="D9959" i="1"/>
  <c r="D12389" i="1"/>
  <c r="D9960" i="1"/>
  <c r="D16785" i="1"/>
  <c r="D16786" i="1"/>
  <c r="D16787" i="1"/>
  <c r="D16788" i="1"/>
  <c r="D16789" i="1"/>
  <c r="D16790" i="1"/>
  <c r="D19422" i="1"/>
  <c r="D25615" i="1"/>
  <c r="D10169" i="1"/>
  <c r="D10170" i="1"/>
  <c r="D23646" i="1"/>
  <c r="D15822" i="1"/>
  <c r="D18055" i="1"/>
  <c r="D18056" i="1"/>
  <c r="D18059" i="1"/>
  <c r="D14597" i="1"/>
  <c r="D1133" i="1"/>
  <c r="D9143" i="1"/>
  <c r="D4245" i="1"/>
  <c r="D4246" i="1"/>
  <c r="D15022" i="1"/>
  <c r="D22975" i="1"/>
  <c r="D3578" i="1"/>
  <c r="D18778" i="1"/>
  <c r="D11762" i="1"/>
  <c r="D11763" i="1"/>
  <c r="D4247" i="1"/>
  <c r="D9596" i="1"/>
  <c r="D9597" i="1"/>
  <c r="D13974" i="1"/>
  <c r="D112" i="1"/>
  <c r="D11822" i="1"/>
  <c r="D4577" i="1"/>
  <c r="D17731" i="1"/>
  <c r="D15242" i="1"/>
  <c r="D10442" i="1"/>
  <c r="D16791" i="1"/>
  <c r="D16792" i="1"/>
  <c r="D24960" i="1"/>
  <c r="D24961" i="1"/>
  <c r="D6462" i="1"/>
  <c r="D6463" i="1"/>
  <c r="D6464" i="1"/>
  <c r="D6465" i="1"/>
  <c r="D6466" i="1"/>
  <c r="D6467" i="1"/>
  <c r="D6468" i="1"/>
  <c r="D6469" i="1"/>
  <c r="D24962" i="1"/>
  <c r="D6470" i="1"/>
  <c r="D7683" i="1"/>
  <c r="D6471" i="1"/>
  <c r="D14692" i="1"/>
  <c r="D14693" i="1"/>
  <c r="D14694" i="1"/>
  <c r="D14695" i="1"/>
  <c r="D14696" i="1"/>
  <c r="D14697" i="1"/>
  <c r="D14698" i="1"/>
  <c r="D14699" i="1"/>
  <c r="D14702" i="1"/>
  <c r="D14700" i="1"/>
  <c r="D14701" i="1"/>
  <c r="D24963" i="1"/>
  <c r="D18295" i="1"/>
  <c r="D18248" i="1"/>
  <c r="D6472" i="1"/>
  <c r="D7684" i="1"/>
  <c r="D6473" i="1"/>
  <c r="D7685" i="1"/>
  <c r="D6474" i="1"/>
  <c r="D7686" i="1"/>
  <c r="D4696" i="1"/>
  <c r="D4720" i="1"/>
  <c r="D24964" i="1"/>
  <c r="D16793" i="1"/>
  <c r="D16794" i="1"/>
  <c r="D3830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7687" i="1"/>
  <c r="D4721" i="1"/>
  <c r="D6488" i="1"/>
  <c r="D6489" i="1"/>
  <c r="D7688" i="1"/>
  <c r="D6490" i="1"/>
  <c r="D7689" i="1"/>
  <c r="D6491" i="1"/>
  <c r="D7690" i="1"/>
  <c r="D6492" i="1"/>
  <c r="D24965" i="1"/>
  <c r="D6493" i="1"/>
  <c r="D7691" i="1"/>
  <c r="D6494" i="1"/>
  <c r="D9327" i="1"/>
  <c r="D9357" i="1"/>
  <c r="D9317" i="1"/>
  <c r="D9328" i="1"/>
  <c r="D4090" i="1"/>
  <c r="D4049" i="1"/>
  <c r="D23024" i="1"/>
  <c r="D23260" i="1"/>
  <c r="D23261" i="1"/>
  <c r="D23025" i="1"/>
  <c r="D23193" i="1"/>
  <c r="D23262" i="1"/>
  <c r="D23263" i="1"/>
  <c r="D14258" i="1"/>
  <c r="D14259" i="1"/>
  <c r="D14260" i="1"/>
  <c r="D14261" i="1"/>
  <c r="D14262" i="1"/>
  <c r="D14433" i="1"/>
  <c r="D14038" i="1"/>
  <c r="D11796" i="1"/>
  <c r="D22945" i="1"/>
  <c r="D14663" i="1"/>
  <c r="D14664" i="1"/>
  <c r="D5487" i="1"/>
  <c r="D23026" i="1"/>
  <c r="D23264" i="1"/>
  <c r="D4091" i="1"/>
  <c r="D1210" i="1"/>
  <c r="D15314" i="1"/>
  <c r="D3835" i="1"/>
  <c r="D3837" i="1"/>
  <c r="D3187" i="1"/>
  <c r="D18635" i="1"/>
  <c r="D18636" i="1"/>
  <c r="D23528" i="1"/>
  <c r="D13135" i="1"/>
  <c r="D17627" i="1"/>
  <c r="D5510" i="1"/>
  <c r="D10286" i="1"/>
  <c r="D10300" i="1"/>
  <c r="D10301" i="1"/>
  <c r="D3990" i="1"/>
  <c r="D9489" i="1"/>
  <c r="D14606" i="1"/>
  <c r="D18416" i="1"/>
  <c r="D15095" i="1"/>
  <c r="D10808" i="1"/>
  <c r="D10809" i="1"/>
  <c r="D4077" i="1"/>
  <c r="D8639" i="1"/>
  <c r="D8640" i="1"/>
  <c r="D8641" i="1"/>
  <c r="D8642" i="1"/>
  <c r="D8643" i="1"/>
  <c r="D3100" i="1"/>
  <c r="D8644" i="1"/>
  <c r="D8645" i="1"/>
  <c r="D19050" i="1"/>
  <c r="D8646" i="1"/>
  <c r="D8375" i="1"/>
  <c r="D8647" i="1"/>
  <c r="D26272" i="1"/>
  <c r="D8648" i="1"/>
  <c r="D8649" i="1"/>
  <c r="D8650" i="1"/>
  <c r="D8651" i="1"/>
  <c r="D8652" i="1"/>
  <c r="D8653" i="1"/>
  <c r="D8654" i="1"/>
  <c r="D22914" i="1"/>
  <c r="D8655" i="1"/>
  <c r="D12531" i="1"/>
  <c r="D4461" i="1"/>
  <c r="D8656" i="1"/>
  <c r="D8657" i="1"/>
  <c r="D8658" i="1"/>
  <c r="D8315" i="1"/>
  <c r="D8659" i="1"/>
  <c r="D8660" i="1"/>
  <c r="D8661" i="1"/>
  <c r="D8662" i="1"/>
  <c r="D8663" i="1"/>
  <c r="D8316" i="1"/>
  <c r="D8664" i="1"/>
  <c r="D15010" i="1"/>
  <c r="D8665" i="1"/>
  <c r="D8666" i="1"/>
  <c r="D8667" i="1"/>
  <c r="D8668" i="1"/>
  <c r="D8669" i="1"/>
  <c r="D8670" i="1"/>
  <c r="D8671" i="1"/>
  <c r="D8672" i="1"/>
  <c r="D2489" i="1"/>
  <c r="D8673" i="1"/>
  <c r="D8674" i="1"/>
  <c r="D8675" i="1"/>
  <c r="D9422" i="1"/>
  <c r="D8676" i="1"/>
  <c r="D8677" i="1"/>
  <c r="D8678" i="1"/>
  <c r="D4462" i="1"/>
  <c r="D8679" i="1"/>
  <c r="D8376" i="1"/>
  <c r="D8680" i="1"/>
  <c r="D18637" i="1"/>
  <c r="D15797" i="1"/>
  <c r="D3882" i="1"/>
  <c r="D8681" i="1"/>
  <c r="D8269" i="1"/>
  <c r="D2793" i="1"/>
  <c r="D12616" i="1"/>
  <c r="D12617" i="1"/>
  <c r="D26575" i="1"/>
  <c r="D15642" i="1"/>
  <c r="D18050" i="1"/>
  <c r="D18051" i="1"/>
  <c r="D4248" i="1"/>
  <c r="D13125" i="1"/>
  <c r="D648" i="1"/>
  <c r="D4436" i="1"/>
  <c r="D17770" i="1"/>
  <c r="D17761" i="1"/>
  <c r="D17771" i="1"/>
  <c r="D11988" i="1"/>
  <c r="D19428" i="1"/>
  <c r="D8126" i="1"/>
  <c r="D8127" i="1"/>
  <c r="D8128" i="1"/>
  <c r="D5600" i="1"/>
  <c r="D5325" i="1"/>
  <c r="D26801" i="1"/>
  <c r="D17812" i="1"/>
  <c r="D17813" i="1"/>
  <c r="D5177" i="1"/>
  <c r="D25807" i="1"/>
  <c r="D16848" i="1"/>
  <c r="D3459" i="1"/>
  <c r="D16849" i="1"/>
  <c r="D10915" i="1"/>
  <c r="D14504" i="1"/>
  <c r="D4450" i="1"/>
  <c r="D3896" i="1"/>
  <c r="D1353" i="1"/>
  <c r="D15894" i="1"/>
  <c r="D18052" i="1"/>
  <c r="D18053" i="1"/>
  <c r="D18054" i="1"/>
  <c r="D15484" i="1"/>
  <c r="D4451" i="1"/>
  <c r="D3579" i="1"/>
  <c r="D2729" i="1"/>
  <c r="D17332" i="1"/>
  <c r="D17338" i="1"/>
  <c r="D10147" i="1"/>
  <c r="D2794" i="1"/>
  <c r="D5326" i="1"/>
  <c r="D9806" i="1"/>
  <c r="D9807" i="1"/>
  <c r="D2795" i="1"/>
  <c r="D6495" i="1"/>
  <c r="D26283" i="1"/>
  <c r="D26327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9939" i="1"/>
  <c r="D25356" i="1"/>
  <c r="D22833" i="1"/>
  <c r="D14778" i="1"/>
  <c r="D14779" i="1"/>
  <c r="D14780" i="1"/>
  <c r="D13262" i="1"/>
  <c r="D12445" i="1"/>
  <c r="D26576" i="1"/>
  <c r="D26802" i="1"/>
  <c r="D26328" i="1"/>
  <c r="D10916" i="1"/>
  <c r="D14640" i="1"/>
  <c r="D14641" i="1"/>
  <c r="D3168" i="1"/>
  <c r="D3169" i="1"/>
  <c r="D15788" i="1"/>
  <c r="D15795" i="1"/>
  <c r="D6508" i="1"/>
  <c r="D7692" i="1"/>
  <c r="D6509" i="1"/>
  <c r="D7693" i="1"/>
  <c r="D6510" i="1"/>
  <c r="D6511" i="1"/>
  <c r="D7694" i="1"/>
  <c r="D17413" i="1"/>
  <c r="D17859" i="1"/>
  <c r="D17860" i="1"/>
  <c r="D636" i="1"/>
  <c r="D17861" i="1"/>
  <c r="D17862" i="1"/>
  <c r="D16142" i="1"/>
  <c r="D3243" i="1"/>
  <c r="D3244" i="1"/>
  <c r="D13964" i="1"/>
  <c r="D17863" i="1"/>
  <c r="D17864" i="1"/>
  <c r="D13965" i="1"/>
  <c r="D22834" i="1"/>
  <c r="D22810" i="1"/>
  <c r="D8082" i="1"/>
  <c r="D12689" i="1"/>
  <c r="D12690" i="1"/>
  <c r="D12691" i="1"/>
  <c r="D11119" i="1"/>
  <c r="D17414" i="1"/>
  <c r="D17415" i="1"/>
  <c r="D14189" i="1"/>
  <c r="D14190" i="1"/>
  <c r="D26803" i="1"/>
  <c r="D742" i="1"/>
  <c r="D743" i="1"/>
  <c r="D3586" i="1"/>
  <c r="D3601" i="1"/>
  <c r="D3587" i="1"/>
  <c r="D2796" i="1"/>
  <c r="D26577" i="1"/>
  <c r="D26804" i="1"/>
  <c r="D26805" i="1"/>
  <c r="D26806" i="1"/>
  <c r="D6512" i="1"/>
  <c r="D6513" i="1"/>
  <c r="D6514" i="1"/>
  <c r="D3559" i="1"/>
  <c r="D25507" i="1"/>
  <c r="D26578" i="1"/>
  <c r="D10141" i="1"/>
  <c r="D17985" i="1"/>
  <c r="D13961" i="1"/>
  <c r="D26807" i="1"/>
  <c r="D14160" i="1"/>
  <c r="D14176" i="1"/>
  <c r="D2665" i="1"/>
  <c r="D2666" i="1"/>
  <c r="D25942" i="1"/>
  <c r="D25943" i="1"/>
  <c r="D25944" i="1"/>
  <c r="D25945" i="1"/>
  <c r="D25946" i="1"/>
  <c r="D26197" i="1"/>
  <c r="D25947" i="1"/>
  <c r="D25948" i="1"/>
  <c r="D25949" i="1"/>
  <c r="D2797" i="1"/>
  <c r="D3255" i="1"/>
  <c r="D17416" i="1"/>
  <c r="D6515" i="1"/>
  <c r="D7695" i="1"/>
  <c r="D15068" i="1"/>
  <c r="D15069" i="1"/>
  <c r="D18296" i="1"/>
  <c r="D25950" i="1"/>
  <c r="D25951" i="1"/>
  <c r="D13132" i="1"/>
  <c r="D25952" i="1"/>
  <c r="D16143" i="1"/>
  <c r="D26157" i="1"/>
  <c r="D25953" i="1"/>
  <c r="D26158" i="1"/>
  <c r="D25954" i="1"/>
  <c r="D26159" i="1"/>
  <c r="D5178" i="1"/>
  <c r="D5179" i="1"/>
  <c r="D6516" i="1"/>
  <c r="D7696" i="1"/>
  <c r="D6517" i="1"/>
  <c r="D7697" i="1"/>
  <c r="D17717" i="1"/>
  <c r="D11969" i="1"/>
  <c r="D26808" i="1"/>
  <c r="D11904" i="1"/>
  <c r="D985" i="1"/>
  <c r="D26809" i="1"/>
  <c r="D26810" i="1"/>
  <c r="D3580" i="1"/>
  <c r="D13263" i="1"/>
  <c r="D4463" i="1"/>
  <c r="D4358" i="1"/>
  <c r="D4370" i="1"/>
  <c r="D4249" i="1"/>
  <c r="D1217" i="1"/>
  <c r="D1218" i="1"/>
  <c r="D9289" i="1"/>
  <c r="D9302" i="1"/>
  <c r="D9290" i="1"/>
  <c r="D9303" i="1"/>
  <c r="D9291" i="1"/>
  <c r="D9304" i="1"/>
  <c r="D9292" i="1"/>
  <c r="D9305" i="1"/>
  <c r="D11905" i="1"/>
  <c r="D4464" i="1"/>
  <c r="D15506" i="1"/>
  <c r="D2798" i="1"/>
  <c r="D2468" i="1"/>
  <c r="D2469" i="1"/>
  <c r="D26579" i="1"/>
  <c r="D26329" i="1"/>
  <c r="D26676" i="1"/>
  <c r="D938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26580" i="1"/>
  <c r="D3216" i="1"/>
  <c r="D3202" i="1"/>
  <c r="D3227" i="1"/>
  <c r="D3203" i="1"/>
  <c r="D3228" i="1"/>
  <c r="D2620" i="1"/>
  <c r="D14747" i="1"/>
  <c r="D8076" i="1"/>
  <c r="D26811" i="1"/>
  <c r="D5966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8077" i="1"/>
  <c r="D22996" i="1"/>
  <c r="D23027" i="1"/>
  <c r="D23095" i="1"/>
  <c r="D23265" i="1"/>
  <c r="D3817" i="1"/>
  <c r="D18420" i="1"/>
  <c r="D5972" i="1"/>
  <c r="D2754" i="1"/>
  <c r="D5713" i="1"/>
  <c r="D14505" i="1"/>
  <c r="D14506" i="1"/>
  <c r="D5690" i="1"/>
  <c r="D12545" i="1"/>
  <c r="D4585" i="1"/>
  <c r="D18638" i="1"/>
  <c r="D14950" i="1"/>
  <c r="D14951" i="1"/>
  <c r="D14952" i="1"/>
  <c r="D14953" i="1"/>
  <c r="D14954" i="1"/>
  <c r="D14955" i="1"/>
  <c r="D14956" i="1"/>
  <c r="D14957" i="1"/>
  <c r="D14958" i="1"/>
  <c r="D14959" i="1"/>
  <c r="D14960" i="1"/>
  <c r="D14961" i="1"/>
  <c r="D14962" i="1"/>
  <c r="D17563" i="1"/>
  <c r="D26330" i="1"/>
  <c r="D26812" i="1"/>
  <c r="D5730" i="1"/>
  <c r="D16795" i="1"/>
  <c r="D16796" i="1"/>
  <c r="D10679" i="1"/>
  <c r="D10473" i="1"/>
  <c r="D10474" i="1"/>
  <c r="D17723" i="1"/>
  <c r="D5543" i="1"/>
  <c r="D14473" i="1"/>
  <c r="D3400" i="1"/>
  <c r="D3401" i="1"/>
  <c r="D14589" i="1"/>
  <c r="D17568" i="1"/>
  <c r="D14629" i="1"/>
  <c r="D18010" i="1"/>
  <c r="D18011" i="1"/>
  <c r="D18012" i="1"/>
  <c r="D18013" i="1"/>
  <c r="D3229" i="1"/>
  <c r="D3230" i="1"/>
  <c r="D3204" i="1"/>
  <c r="D3231" i="1"/>
  <c r="D1301" i="1"/>
  <c r="D1302" i="1"/>
  <c r="D18908" i="1"/>
  <c r="D17621" i="1"/>
  <c r="D24874" i="1"/>
  <c r="D24966" i="1"/>
  <c r="D24967" i="1"/>
  <c r="D24968" i="1"/>
  <c r="D18900" i="1"/>
  <c r="D9490" i="1"/>
  <c r="D14139" i="1"/>
  <c r="D4400" i="1"/>
  <c r="D26542" i="1"/>
  <c r="D26468" i="1"/>
  <c r="D762" i="1"/>
  <c r="D759" i="1"/>
  <c r="D760" i="1"/>
  <c r="D761" i="1"/>
  <c r="D23266" i="1"/>
  <c r="D23267" i="1"/>
  <c r="D4144" i="1"/>
  <c r="D4145" i="1"/>
  <c r="D24508" i="1"/>
  <c r="D8175" i="1"/>
  <c r="D8176" i="1"/>
  <c r="D17573" i="1"/>
  <c r="D17574" i="1"/>
  <c r="D17570" i="1"/>
  <c r="D768" i="1"/>
  <c r="D26294" i="1"/>
  <c r="D4722" i="1"/>
  <c r="D2423" i="1"/>
  <c r="D2424" i="1"/>
  <c r="D9131" i="1"/>
  <c r="D5785" i="1"/>
  <c r="D5786" i="1"/>
  <c r="D3232" i="1"/>
  <c r="D3205" i="1"/>
  <c r="D3233" i="1"/>
  <c r="D25187" i="1"/>
  <c r="D3234" i="1"/>
  <c r="D3235" i="1"/>
  <c r="D10148" i="1"/>
  <c r="D13061" i="1"/>
  <c r="D13062" i="1"/>
  <c r="D3698" i="1"/>
  <c r="D11874" i="1"/>
  <c r="D3695" i="1"/>
  <c r="D11865" i="1"/>
  <c r="D25616" i="1"/>
  <c r="D25617" i="1"/>
  <c r="D25618" i="1"/>
  <c r="D25619" i="1"/>
  <c r="D25620" i="1"/>
  <c r="D25621" i="1"/>
  <c r="D25709" i="1"/>
  <c r="D25622" i="1"/>
  <c r="D17417" i="1"/>
  <c r="D17418" i="1"/>
  <c r="D17419" i="1"/>
  <c r="D17420" i="1"/>
  <c r="D17421" i="1"/>
  <c r="D17422" i="1"/>
  <c r="D22835" i="1"/>
  <c r="D2582" i="1"/>
  <c r="D26813" i="1"/>
  <c r="D3845" i="1"/>
  <c r="D12618" i="1"/>
  <c r="D26331" i="1"/>
  <c r="D22811" i="1"/>
  <c r="D14161" i="1"/>
  <c r="D14162" i="1"/>
  <c r="D3846" i="1"/>
  <c r="D13212" i="1"/>
  <c r="D6518" i="1"/>
  <c r="D6519" i="1"/>
  <c r="D6520" i="1"/>
  <c r="D26251" i="1"/>
  <c r="D519" i="1"/>
  <c r="D520" i="1"/>
  <c r="D521" i="1"/>
  <c r="D522" i="1"/>
  <c r="D6521" i="1"/>
  <c r="D7698" i="1"/>
  <c r="D6522" i="1"/>
  <c r="D6523" i="1"/>
  <c r="D7699" i="1"/>
  <c r="D6524" i="1"/>
  <c r="D187" i="1"/>
  <c r="D188" i="1"/>
  <c r="D189" i="1"/>
  <c r="D190" i="1"/>
  <c r="D191" i="1"/>
  <c r="D192" i="1"/>
  <c r="D6525" i="1"/>
  <c r="D6526" i="1"/>
  <c r="D6527" i="1"/>
  <c r="D6528" i="1"/>
  <c r="D6529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5731" i="1"/>
  <c r="D18929" i="1"/>
  <c r="D8202" i="1"/>
  <c r="D3832" i="1"/>
  <c r="D11446" i="1"/>
  <c r="D17615" i="1"/>
  <c r="D5869" i="1"/>
  <c r="D18987" i="1"/>
  <c r="D18930" i="1"/>
  <c r="D18931" i="1"/>
  <c r="D18932" i="1"/>
  <c r="D19018" i="1"/>
  <c r="D18988" i="1"/>
  <c r="D5732" i="1"/>
  <c r="D15550" i="1"/>
  <c r="D17423" i="1"/>
  <c r="D17424" i="1"/>
  <c r="D17425" i="1"/>
  <c r="D17426" i="1"/>
  <c r="D17427" i="1"/>
  <c r="D16850" i="1"/>
  <c r="D10303" i="1"/>
  <c r="D6530" i="1"/>
  <c r="D6531" i="1"/>
  <c r="D6532" i="1"/>
  <c r="D6533" i="1"/>
  <c r="D6534" i="1"/>
  <c r="D7700" i="1"/>
  <c r="D6535" i="1"/>
  <c r="D7701" i="1"/>
  <c r="D6536" i="1"/>
  <c r="D7702" i="1"/>
  <c r="D26581" i="1"/>
  <c r="D26814" i="1"/>
  <c r="D26469" i="1"/>
  <c r="D2918" i="1"/>
  <c r="D26582" i="1"/>
  <c r="D5180" i="1"/>
  <c r="D5181" i="1"/>
  <c r="D5182" i="1"/>
  <c r="D5183" i="1"/>
  <c r="D6537" i="1"/>
  <c r="D7703" i="1"/>
  <c r="D5787" i="1"/>
  <c r="D5788" i="1"/>
  <c r="D15951" i="1"/>
  <c r="D4586" i="1"/>
  <c r="D4423" i="1"/>
  <c r="D4424" i="1"/>
  <c r="D12516" i="1"/>
  <c r="D4161" i="1"/>
  <c r="D17576" i="1"/>
  <c r="D17577" i="1"/>
  <c r="D17578" i="1"/>
  <c r="D15954" i="1"/>
  <c r="D808" i="1"/>
  <c r="D15023" i="1"/>
  <c r="D12577" i="1"/>
  <c r="D18836" i="1"/>
  <c r="D4250" i="1"/>
  <c r="D11843" i="1"/>
  <c r="D4251" i="1"/>
  <c r="D13919" i="1"/>
  <c r="D1076" i="1"/>
  <c r="D6538" i="1"/>
  <c r="D7704" i="1"/>
  <c r="D6539" i="1"/>
  <c r="D6540" i="1"/>
  <c r="D7705" i="1"/>
  <c r="D6541" i="1"/>
  <c r="D7706" i="1"/>
  <c r="D12517" i="1"/>
  <c r="D12474" i="1"/>
  <c r="D12475" i="1"/>
  <c r="D12476" i="1"/>
  <c r="D25741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5370" i="1"/>
  <c r="D12518" i="1"/>
  <c r="D5584" i="1"/>
  <c r="D7546" i="1"/>
  <c r="D6542" i="1"/>
  <c r="D6543" i="1"/>
  <c r="D6544" i="1"/>
  <c r="D6545" i="1"/>
  <c r="D6546" i="1"/>
  <c r="D6547" i="1"/>
  <c r="D7707" i="1"/>
  <c r="D6548" i="1"/>
  <c r="D7708" i="1"/>
  <c r="D6549" i="1"/>
  <c r="D12519" i="1"/>
  <c r="D12366" i="1"/>
  <c r="D19009" i="1"/>
  <c r="D23628" i="1"/>
  <c r="D19662" i="1"/>
  <c r="D18476" i="1"/>
  <c r="D18933" i="1"/>
  <c r="D18934" i="1"/>
  <c r="D2623" i="1"/>
  <c r="D6550" i="1"/>
  <c r="D3620" i="1"/>
  <c r="D4042" i="1"/>
  <c r="D3413" i="1"/>
  <c r="D14121" i="1"/>
  <c r="D14122" i="1"/>
  <c r="D5544" i="1"/>
  <c r="D5481" i="1"/>
  <c r="D5482" i="1"/>
  <c r="D5483" i="1"/>
  <c r="D5484" i="1"/>
  <c r="D12719" i="1"/>
  <c r="D12745" i="1"/>
  <c r="D12720" i="1"/>
  <c r="D12746" i="1"/>
  <c r="D12721" i="1"/>
  <c r="D12747" i="1"/>
  <c r="D5545" i="1"/>
  <c r="D5546" i="1"/>
  <c r="D4465" i="1"/>
  <c r="D4078" i="1"/>
  <c r="D4092" i="1"/>
  <c r="D17712" i="1"/>
  <c r="D12116" i="1"/>
  <c r="D5473" i="1"/>
  <c r="D6551" i="1"/>
  <c r="D7709" i="1"/>
  <c r="D6552" i="1"/>
  <c r="D7710" i="1"/>
  <c r="D6553" i="1"/>
  <c r="D822" i="1"/>
  <c r="D9423" i="1"/>
  <c r="D9424" i="1"/>
  <c r="D5511" i="1"/>
  <c r="D11640" i="1"/>
  <c r="D23533" i="1"/>
  <c r="D11875" i="1"/>
  <c r="D23476" i="1"/>
  <c r="D5547" i="1"/>
  <c r="D10171" i="1"/>
  <c r="D6554" i="1"/>
  <c r="D7711" i="1"/>
  <c r="D23477" i="1"/>
  <c r="D6555" i="1"/>
  <c r="D7712" i="1"/>
  <c r="D6556" i="1"/>
  <c r="D6557" i="1"/>
  <c r="D22927" i="1"/>
  <c r="D15297" i="1"/>
  <c r="D4592" i="1"/>
  <c r="D18103" i="1"/>
  <c r="D26583" i="1"/>
  <c r="D19073" i="1"/>
  <c r="D26815" i="1"/>
  <c r="D5593" i="1"/>
  <c r="D8682" i="1"/>
  <c r="D8683" i="1"/>
  <c r="D8684" i="1"/>
  <c r="D8685" i="1"/>
  <c r="D24969" i="1"/>
  <c r="D15953" i="1"/>
  <c r="D3847" i="1"/>
  <c r="D8028" i="1"/>
  <c r="D24970" i="1"/>
  <c r="D24971" i="1"/>
  <c r="D24972" i="1"/>
  <c r="D24973" i="1"/>
  <c r="D24974" i="1"/>
  <c r="D24975" i="1"/>
  <c r="D24976" i="1"/>
  <c r="D24977" i="1"/>
  <c r="D24978" i="1"/>
  <c r="D24979" i="1"/>
  <c r="D24980" i="1"/>
  <c r="D11466" i="1"/>
  <c r="D3831" i="1"/>
  <c r="D14836" i="1"/>
  <c r="D14837" i="1"/>
  <c r="D14838" i="1"/>
  <c r="D14839" i="1"/>
  <c r="D8686" i="1"/>
  <c r="D8687" i="1"/>
  <c r="D10272" i="1"/>
  <c r="D8688" i="1"/>
  <c r="D8689" i="1"/>
  <c r="D8690" i="1"/>
  <c r="D8691" i="1"/>
  <c r="D8692" i="1"/>
  <c r="D8693" i="1"/>
  <c r="D8694" i="1"/>
  <c r="D24499" i="1"/>
  <c r="D8695" i="1"/>
  <c r="D8696" i="1"/>
  <c r="D8697" i="1"/>
  <c r="D8698" i="1"/>
  <c r="D8699" i="1"/>
  <c r="D2403" i="1"/>
  <c r="D10010" i="1"/>
  <c r="D10011" i="1"/>
  <c r="D25746" i="1"/>
  <c r="D8700" i="1"/>
  <c r="D24981" i="1"/>
  <c r="D8701" i="1"/>
  <c r="D8317" i="1"/>
  <c r="D24982" i="1"/>
  <c r="D17643" i="1"/>
  <c r="D12989" i="1"/>
  <c r="D12990" i="1"/>
  <c r="D12991" i="1"/>
  <c r="D12992" i="1"/>
  <c r="D12993" i="1"/>
  <c r="D12922" i="1"/>
  <c r="D12271" i="1"/>
  <c r="D12272" i="1"/>
  <c r="D12273" i="1"/>
  <c r="D12274" i="1"/>
  <c r="D12275" i="1"/>
  <c r="D8702" i="1"/>
  <c r="D3998" i="1"/>
  <c r="D4093" i="1"/>
  <c r="D8703" i="1"/>
  <c r="D3476" i="1"/>
  <c r="D3482" i="1"/>
  <c r="D15645" i="1"/>
  <c r="D15646" i="1"/>
  <c r="D4939" i="1"/>
  <c r="D4940" i="1"/>
  <c r="D3206" i="1"/>
  <c r="D3236" i="1"/>
  <c r="D3713" i="1"/>
  <c r="D612" i="1"/>
  <c r="D14886" i="1"/>
  <c r="D14887" i="1"/>
  <c r="D3714" i="1"/>
  <c r="D8318" i="1"/>
  <c r="D5845" i="1"/>
  <c r="D10885" i="1"/>
  <c r="D8270" i="1"/>
  <c r="D8704" i="1"/>
  <c r="D787" i="1"/>
  <c r="D11947" i="1"/>
  <c r="D11948" i="1"/>
  <c r="D3999" i="1"/>
  <c r="D13222" i="1"/>
  <c r="D8705" i="1"/>
  <c r="D23478" i="1"/>
  <c r="D8706" i="1"/>
  <c r="D12117" i="1"/>
  <c r="D12118" i="1"/>
  <c r="D12119" i="1"/>
  <c r="D12120" i="1"/>
  <c r="D12121" i="1"/>
  <c r="D12122" i="1"/>
  <c r="D12123" i="1"/>
  <c r="D12124" i="1"/>
  <c r="D12125" i="1"/>
  <c r="D24983" i="1"/>
  <c r="D14041" i="1"/>
  <c r="D8707" i="1"/>
  <c r="D709" i="1"/>
  <c r="D710" i="1"/>
  <c r="D8708" i="1"/>
  <c r="D24984" i="1"/>
  <c r="D9503" i="1"/>
  <c r="D9504" i="1"/>
  <c r="D9505" i="1"/>
  <c r="D13144" i="1"/>
  <c r="D1258" i="1"/>
  <c r="D5184" i="1"/>
  <c r="D26584" i="1"/>
  <c r="D8129" i="1"/>
  <c r="D8104" i="1"/>
  <c r="D8130" i="1"/>
  <c r="D26816" i="1"/>
  <c r="D846" i="1"/>
  <c r="D852" i="1"/>
  <c r="D864" i="1"/>
  <c r="D877" i="1"/>
  <c r="D25810" i="1"/>
  <c r="D18104" i="1"/>
  <c r="D18105" i="1"/>
  <c r="D26470" i="1"/>
  <c r="D26817" i="1"/>
  <c r="D26818" i="1"/>
  <c r="D26207" i="1"/>
  <c r="D25955" i="1"/>
  <c r="D10736" i="1"/>
  <c r="D24404" i="1"/>
  <c r="D24405" i="1"/>
  <c r="D8203" i="1"/>
  <c r="D12126" i="1"/>
  <c r="D12127" i="1"/>
  <c r="D12454" i="1"/>
  <c r="D12477" i="1"/>
  <c r="D12478" i="1"/>
  <c r="D25552" i="1"/>
  <c r="D25553" i="1"/>
  <c r="D15174" i="1"/>
  <c r="D5818" i="1"/>
  <c r="D5819" i="1"/>
  <c r="D10737" i="1"/>
  <c r="D10738" i="1"/>
  <c r="D1472" i="1"/>
  <c r="D12325" i="1"/>
  <c r="D24406" i="1"/>
  <c r="D9170" i="1"/>
  <c r="D9171" i="1"/>
  <c r="D9172" i="1"/>
  <c r="D9173" i="1"/>
  <c r="D12546" i="1"/>
  <c r="D22836" i="1"/>
  <c r="D24407" i="1"/>
  <c r="D24408" i="1"/>
  <c r="D1000" i="1"/>
  <c r="D9174" i="1"/>
  <c r="D3773" i="1"/>
  <c r="D3774" i="1"/>
  <c r="D3775" i="1"/>
  <c r="D24489" i="1"/>
  <c r="D9175" i="1"/>
  <c r="D9176" i="1"/>
  <c r="D1473" i="1"/>
  <c r="D24409" i="1"/>
  <c r="D24410" i="1"/>
  <c r="D11906" i="1"/>
  <c r="D10739" i="1"/>
  <c r="D4452" i="1"/>
  <c r="D9177" i="1"/>
  <c r="D10740" i="1"/>
  <c r="D10741" i="1"/>
  <c r="D15064" i="1"/>
  <c r="D9178" i="1"/>
  <c r="D2799" i="1"/>
  <c r="D9383" i="1"/>
  <c r="D26677" i="1"/>
  <c r="D26332" i="1"/>
  <c r="D2800" i="1"/>
  <c r="D26819" i="1"/>
  <c r="D12801" i="1"/>
  <c r="D12802" i="1"/>
  <c r="D12803" i="1"/>
  <c r="D12804" i="1"/>
  <c r="D23649" i="1"/>
  <c r="D3981" i="1"/>
  <c r="D3982" i="1"/>
  <c r="D14" i="1"/>
  <c r="D6558" i="1"/>
  <c r="D7713" i="1"/>
  <c r="D15" i="1"/>
  <c r="D16" i="1"/>
  <c r="D18842" i="1"/>
  <c r="D23650" i="1"/>
  <c r="D25423" i="1"/>
  <c r="D25424" i="1"/>
  <c r="D17428" i="1"/>
  <c r="D25425" i="1"/>
  <c r="D3101" i="1"/>
  <c r="D12015" i="1"/>
  <c r="D15983" i="1"/>
  <c r="D10439" i="1"/>
  <c r="D17429" i="1"/>
  <c r="D27106" i="1"/>
  <c r="D25508" i="1"/>
  <c r="D26820" i="1"/>
  <c r="D6559" i="1"/>
  <c r="D6560" i="1"/>
  <c r="D6561" i="1"/>
  <c r="D6562" i="1"/>
  <c r="D17665" i="1"/>
  <c r="D23651" i="1"/>
  <c r="D23652" i="1"/>
  <c r="D23653" i="1"/>
  <c r="D3634" i="1"/>
  <c r="D3642" i="1"/>
  <c r="D6563" i="1"/>
  <c r="D7714" i="1"/>
  <c r="D23654" i="1"/>
  <c r="D15984" i="1"/>
  <c r="D2961" i="1"/>
  <c r="D22966" i="1"/>
  <c r="D23655" i="1"/>
  <c r="D23656" i="1"/>
  <c r="D23657" i="1"/>
  <c r="D23658" i="1"/>
  <c r="D839" i="1"/>
  <c r="D840" i="1"/>
  <c r="D23659" i="1"/>
  <c r="D23660" i="1"/>
  <c r="D15985" i="1"/>
  <c r="D15986" i="1"/>
  <c r="D23661" i="1"/>
  <c r="D23662" i="1"/>
  <c r="D25426" i="1"/>
  <c r="D23663" i="1"/>
  <c r="D23664" i="1"/>
  <c r="D18297" i="1"/>
  <c r="D23665" i="1"/>
  <c r="D23666" i="1"/>
  <c r="D23667" i="1"/>
  <c r="D23668" i="1"/>
  <c r="D25523" i="1"/>
  <c r="D23669" i="1"/>
  <c r="D23670" i="1"/>
  <c r="D23671" i="1"/>
  <c r="D23672" i="1"/>
  <c r="D23673" i="1"/>
  <c r="D25427" i="1"/>
  <c r="D23674" i="1"/>
  <c r="D23675" i="1"/>
  <c r="D25428" i="1"/>
  <c r="D15360" i="1"/>
  <c r="D15895" i="1"/>
  <c r="D23676" i="1"/>
  <c r="D23677" i="1"/>
  <c r="D23678" i="1"/>
  <c r="D23679" i="1"/>
  <c r="D23680" i="1"/>
  <c r="D12805" i="1"/>
  <c r="D12806" i="1"/>
  <c r="D25429" i="1"/>
  <c r="D23681" i="1"/>
  <c r="D17575" i="1"/>
  <c r="D14657" i="1"/>
  <c r="D18193" i="1"/>
  <c r="D17430" i="1"/>
  <c r="D23682" i="1"/>
  <c r="D23683" i="1"/>
  <c r="D23684" i="1"/>
  <c r="D23685" i="1"/>
  <c r="D23686" i="1"/>
  <c r="D4669" i="1"/>
  <c r="D3699" i="1"/>
  <c r="D12951" i="1"/>
  <c r="D12994" i="1"/>
  <c r="D13105" i="1"/>
  <c r="D12952" i="1"/>
  <c r="D13098" i="1"/>
  <c r="D5861" i="1"/>
  <c r="D5409" i="1"/>
  <c r="D5512" i="1"/>
  <c r="D24411" i="1"/>
  <c r="D24412" i="1"/>
  <c r="D24413" i="1"/>
  <c r="D11593" i="1"/>
  <c r="D11594" i="1"/>
  <c r="D11595" i="1"/>
  <c r="D11596" i="1"/>
  <c r="D11597" i="1"/>
  <c r="D5387" i="1"/>
  <c r="D5400" i="1"/>
  <c r="D27073" i="1"/>
  <c r="D15823" i="1"/>
  <c r="D12326" i="1"/>
  <c r="D3701" i="1"/>
  <c r="D18131" i="1"/>
  <c r="D788" i="1"/>
  <c r="D8131" i="1"/>
  <c r="D3470" i="1"/>
  <c r="D15987" i="1"/>
  <c r="D15988" i="1"/>
  <c r="D15989" i="1"/>
  <c r="D25430" i="1"/>
  <c r="D2962" i="1"/>
  <c r="D2963" i="1"/>
  <c r="D2964" i="1"/>
  <c r="D6564" i="1"/>
  <c r="D7715" i="1"/>
  <c r="D6565" i="1"/>
  <c r="D231" i="1"/>
  <c r="D18235" i="1"/>
  <c r="D18236" i="1"/>
  <c r="D18237" i="1"/>
  <c r="D18238" i="1"/>
  <c r="D25431" i="1"/>
  <c r="D2965" i="1"/>
  <c r="D2966" i="1"/>
  <c r="D2490" i="1"/>
  <c r="D2967" i="1"/>
  <c r="D2968" i="1"/>
  <c r="D2969" i="1"/>
  <c r="D2970" i="1"/>
  <c r="D2971" i="1"/>
  <c r="D2972" i="1"/>
  <c r="D2973" i="1"/>
  <c r="D12547" i="1"/>
  <c r="D13063" i="1"/>
  <c r="D13064" i="1"/>
  <c r="D18211" i="1"/>
  <c r="D18212" i="1"/>
  <c r="D18213" i="1"/>
  <c r="D17865" i="1"/>
  <c r="D18239" i="1"/>
  <c r="D10374" i="1"/>
  <c r="D3303" i="1"/>
  <c r="D3304" i="1"/>
  <c r="D10103" i="1"/>
  <c r="D18204" i="1"/>
  <c r="D17866" i="1"/>
  <c r="D11454" i="1"/>
  <c r="D18210" i="1"/>
  <c r="D18240" i="1"/>
  <c r="D17867" i="1"/>
  <c r="D18205" i="1"/>
  <c r="D10917" i="1"/>
  <c r="D3305" i="1"/>
  <c r="D3306" i="1"/>
  <c r="D5733" i="1"/>
  <c r="D17868" i="1"/>
  <c r="D10544" i="1"/>
  <c r="D10545" i="1"/>
  <c r="D10546" i="1"/>
  <c r="D10547" i="1"/>
  <c r="D10548" i="1"/>
  <c r="D10549" i="1"/>
  <c r="D10550" i="1"/>
  <c r="D10551" i="1"/>
  <c r="D10552" i="1"/>
  <c r="D4013" i="1"/>
  <c r="D14582" i="1"/>
  <c r="D14590" i="1"/>
  <c r="D3749" i="1"/>
  <c r="D9255" i="1"/>
  <c r="D9256" i="1"/>
  <c r="D9257" i="1"/>
  <c r="D9258" i="1"/>
  <c r="D25623" i="1"/>
  <c r="D25710" i="1"/>
  <c r="D25711" i="1"/>
  <c r="D25712" i="1"/>
  <c r="D4252" i="1"/>
  <c r="D4253" i="1"/>
  <c r="D23687" i="1"/>
  <c r="D23688" i="1"/>
  <c r="D23689" i="1"/>
  <c r="D23690" i="1"/>
  <c r="D2573" i="1"/>
  <c r="D14263" i="1"/>
  <c r="D14264" i="1"/>
  <c r="D14265" i="1"/>
  <c r="D14266" i="1"/>
  <c r="D14267" i="1"/>
  <c r="D14268" i="1"/>
  <c r="D14269" i="1"/>
  <c r="D14270" i="1"/>
  <c r="D14271" i="1"/>
  <c r="D14272" i="1"/>
  <c r="D565" i="1"/>
  <c r="D566" i="1"/>
  <c r="D19696" i="1"/>
  <c r="D4014" i="1"/>
  <c r="D4015" i="1"/>
  <c r="D4094" i="1"/>
  <c r="D12542" i="1"/>
  <c r="D3307" i="1"/>
  <c r="D14434" i="1"/>
  <c r="D25796" i="1"/>
  <c r="D3308" i="1"/>
  <c r="D3309" i="1"/>
  <c r="D18298" i="1"/>
  <c r="D15075" i="1"/>
  <c r="D14273" i="1"/>
  <c r="D3310" i="1"/>
  <c r="D3245" i="1"/>
  <c r="D4563" i="1"/>
  <c r="D14435" i="1"/>
  <c r="D14274" i="1"/>
  <c r="D14275" i="1"/>
  <c r="D14276" i="1"/>
  <c r="D14277" i="1"/>
  <c r="D14278" i="1"/>
  <c r="D2974" i="1"/>
  <c r="D3560" i="1"/>
  <c r="D18249" i="1"/>
  <c r="D18250" i="1"/>
  <c r="D18251" i="1"/>
  <c r="D18252" i="1"/>
  <c r="D18299" i="1"/>
  <c r="D18253" i="1"/>
  <c r="D18254" i="1"/>
  <c r="D18255" i="1"/>
  <c r="D18256" i="1"/>
  <c r="D18257" i="1"/>
  <c r="D18258" i="1"/>
  <c r="D18259" i="1"/>
  <c r="D3702" i="1"/>
  <c r="D3311" i="1"/>
  <c r="D10918" i="1"/>
  <c r="D3312" i="1"/>
  <c r="D3313" i="1"/>
  <c r="D5185" i="1"/>
  <c r="D5186" i="1"/>
  <c r="D5187" i="1"/>
  <c r="D16067" i="1"/>
  <c r="D11120" i="1"/>
  <c r="D4130" i="1"/>
  <c r="D4146" i="1"/>
  <c r="D4147" i="1"/>
  <c r="D26333" i="1"/>
  <c r="D26334" i="1"/>
  <c r="D14007" i="1"/>
  <c r="D2801" i="1"/>
  <c r="D26585" i="1"/>
  <c r="D23691" i="1"/>
  <c r="D12935" i="1"/>
  <c r="D12936" i="1"/>
  <c r="D12937" i="1"/>
  <c r="D12938" i="1"/>
  <c r="D12939" i="1"/>
  <c r="D9132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12128" i="1"/>
  <c r="D12129" i="1"/>
  <c r="D12130" i="1"/>
  <c r="D12131" i="1"/>
  <c r="D15298" i="1"/>
  <c r="D6578" i="1"/>
  <c r="D6579" i="1"/>
  <c r="D6580" i="1"/>
  <c r="D6581" i="1"/>
  <c r="D6582" i="1"/>
  <c r="D6583" i="1"/>
  <c r="D6584" i="1"/>
  <c r="D12336" i="1"/>
  <c r="D12337" i="1"/>
  <c r="D12338" i="1"/>
  <c r="D12339" i="1"/>
  <c r="D12340" i="1"/>
  <c r="D15299" i="1"/>
  <c r="D14888" i="1"/>
  <c r="D14889" i="1"/>
  <c r="D14890" i="1"/>
  <c r="D1077" i="1"/>
  <c r="D1078" i="1"/>
  <c r="D1079" i="1"/>
  <c r="D1080" i="1"/>
  <c r="D18639" i="1"/>
  <c r="D10319" i="1"/>
  <c r="D10320" i="1"/>
  <c r="D10345" i="1"/>
  <c r="D10346" i="1"/>
  <c r="D10347" i="1"/>
  <c r="D10348" i="1"/>
  <c r="D14963" i="1"/>
  <c r="D14964" i="1"/>
  <c r="D14965" i="1"/>
  <c r="D14966" i="1"/>
  <c r="D14967" i="1"/>
  <c r="D14968" i="1"/>
  <c r="D14969" i="1"/>
  <c r="D14970" i="1"/>
  <c r="D14971" i="1"/>
  <c r="D14972" i="1"/>
  <c r="D14973" i="1"/>
  <c r="D14974" i="1"/>
  <c r="D14975" i="1"/>
  <c r="D23692" i="1"/>
  <c r="D23693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19223" i="1"/>
  <c r="D19224" i="1"/>
  <c r="D23694" i="1"/>
  <c r="D23695" i="1"/>
  <c r="D23696" i="1"/>
  <c r="D23697" i="1"/>
  <c r="D19162" i="1"/>
  <c r="D19163" i="1"/>
  <c r="D23698" i="1"/>
  <c r="D19225" i="1"/>
  <c r="D19226" i="1"/>
  <c r="D23699" i="1"/>
  <c r="D23700" i="1"/>
  <c r="D19227" i="1"/>
  <c r="D19228" i="1"/>
  <c r="D6597" i="1"/>
  <c r="D6598" i="1"/>
  <c r="D6599" i="1"/>
  <c r="D6600" i="1"/>
  <c r="D7547" i="1"/>
  <c r="D6601" i="1"/>
  <c r="D6602" i="1"/>
  <c r="D19229" i="1"/>
  <c r="D19230" i="1"/>
  <c r="D25240" i="1"/>
  <c r="D25284" i="1"/>
  <c r="D25241" i="1"/>
  <c r="D25242" i="1"/>
  <c r="D25285" i="1"/>
  <c r="D25243" i="1"/>
  <c r="D25286" i="1"/>
  <c r="D25244" i="1"/>
  <c r="D25287" i="1"/>
  <c r="D19164" i="1"/>
  <c r="D19165" i="1"/>
  <c r="D23701" i="1"/>
  <c r="D23702" i="1"/>
  <c r="D23703" i="1"/>
  <c r="D23704" i="1"/>
  <c r="D1310" i="1"/>
  <c r="D1311" i="1"/>
  <c r="D15644" i="1"/>
  <c r="D19231" i="1"/>
  <c r="D10395" i="1"/>
  <c r="D10396" i="1"/>
  <c r="D18241" i="1"/>
  <c r="D10397" i="1"/>
  <c r="D15810" i="1"/>
  <c r="D18242" i="1"/>
  <c r="D10012" i="1"/>
  <c r="D4466" i="1"/>
  <c r="D10109" i="1"/>
  <c r="D738" i="1"/>
  <c r="D739" i="1"/>
  <c r="D911" i="1"/>
  <c r="D912" i="1"/>
  <c r="D914" i="1"/>
  <c r="D915" i="1"/>
  <c r="D916" i="1"/>
  <c r="D623" i="1"/>
  <c r="D3891" i="1"/>
  <c r="D10270" i="1"/>
  <c r="D15507" i="1"/>
  <c r="D2802" i="1"/>
  <c r="D26586" i="1"/>
  <c r="D7995" i="1"/>
  <c r="D26821" i="1"/>
  <c r="D2803" i="1"/>
  <c r="D5662" i="1"/>
  <c r="D5663" i="1"/>
  <c r="D26822" i="1"/>
  <c r="D9598" i="1"/>
  <c r="D4453" i="1"/>
  <c r="D9599" i="1"/>
  <c r="D5188" i="1"/>
  <c r="D2730" i="1"/>
  <c r="D15551" i="1"/>
  <c r="D11121" i="1"/>
  <c r="D9600" i="1"/>
  <c r="D20516" i="1"/>
  <c r="D20517" i="1"/>
  <c r="D20518" i="1"/>
  <c r="D20519" i="1"/>
  <c r="D20520" i="1"/>
  <c r="D20521" i="1"/>
  <c r="D20522" i="1"/>
  <c r="D20523" i="1"/>
  <c r="D18519" i="1"/>
  <c r="D18520" i="1"/>
  <c r="D19710" i="1"/>
  <c r="D11122" i="1"/>
  <c r="D11123" i="1"/>
  <c r="D26823" i="1"/>
  <c r="D11124" i="1"/>
  <c r="D2387" i="1"/>
  <c r="D11125" i="1"/>
  <c r="D11126" i="1"/>
  <c r="D11127" i="1"/>
  <c r="D11491" i="1"/>
  <c r="D20524" i="1"/>
  <c r="D20525" i="1"/>
  <c r="D11128" i="1"/>
  <c r="D26824" i="1"/>
  <c r="D11129" i="1"/>
  <c r="D11130" i="1"/>
  <c r="D11131" i="1"/>
  <c r="D11492" i="1"/>
  <c r="D11711" i="1"/>
  <c r="D11712" i="1"/>
  <c r="D20526" i="1"/>
  <c r="D20527" i="1"/>
  <c r="D20528" i="1"/>
  <c r="D11132" i="1"/>
  <c r="D20529" i="1"/>
  <c r="D11133" i="1"/>
  <c r="D11493" i="1"/>
  <c r="D11134" i="1"/>
  <c r="D11494" i="1"/>
  <c r="D11135" i="1"/>
  <c r="D20530" i="1"/>
  <c r="D20531" i="1"/>
  <c r="D20532" i="1"/>
  <c r="D20533" i="1"/>
  <c r="D20534" i="1"/>
  <c r="D20535" i="1"/>
  <c r="D20536" i="1"/>
  <c r="D20537" i="1"/>
  <c r="D2667" i="1"/>
  <c r="D11136" i="1"/>
  <c r="D11137" i="1"/>
  <c r="D2975" i="1"/>
  <c r="D20538" i="1"/>
  <c r="D20539" i="1"/>
  <c r="D20540" i="1"/>
  <c r="D20541" i="1"/>
  <c r="D20542" i="1"/>
  <c r="D20543" i="1"/>
  <c r="D20544" i="1"/>
  <c r="D20545" i="1"/>
  <c r="D20546" i="1"/>
  <c r="D20547" i="1"/>
  <c r="D20548" i="1"/>
  <c r="D20549" i="1"/>
  <c r="D20550" i="1"/>
  <c r="D20551" i="1"/>
  <c r="D20552" i="1"/>
  <c r="D20553" i="1"/>
  <c r="D20554" i="1"/>
  <c r="D20555" i="1"/>
  <c r="D20556" i="1"/>
  <c r="D20557" i="1"/>
  <c r="D20558" i="1"/>
  <c r="D20559" i="1"/>
  <c r="D20560" i="1"/>
  <c r="D20561" i="1"/>
  <c r="D20562" i="1"/>
  <c r="D20563" i="1"/>
  <c r="D20564" i="1"/>
  <c r="D20565" i="1"/>
  <c r="D20566" i="1"/>
  <c r="D20567" i="1"/>
  <c r="D20568" i="1"/>
  <c r="D20569" i="1"/>
  <c r="D20570" i="1"/>
  <c r="D20571" i="1"/>
  <c r="D20572" i="1"/>
  <c r="D20573" i="1"/>
  <c r="D20574" i="1"/>
  <c r="D20575" i="1"/>
  <c r="D20576" i="1"/>
  <c r="D20577" i="1"/>
  <c r="D20578" i="1"/>
  <c r="D20579" i="1"/>
  <c r="D20580" i="1"/>
  <c r="D20581" i="1"/>
  <c r="D20582" i="1"/>
  <c r="D20583" i="1"/>
  <c r="D20584" i="1"/>
  <c r="D1354" i="1"/>
  <c r="D1355" i="1"/>
  <c r="D11536" i="1"/>
  <c r="D1356" i="1"/>
  <c r="D1357" i="1"/>
  <c r="D11138" i="1"/>
  <c r="D11139" i="1"/>
  <c r="D20585" i="1"/>
  <c r="D20586" i="1"/>
  <c r="D20587" i="1"/>
  <c r="D20588" i="1"/>
  <c r="D20589" i="1"/>
  <c r="D20590" i="1"/>
  <c r="D20591" i="1"/>
  <c r="D20592" i="1"/>
  <c r="D20593" i="1"/>
  <c r="D20594" i="1"/>
  <c r="D20595" i="1"/>
  <c r="D20596" i="1"/>
  <c r="D20597" i="1"/>
  <c r="D20598" i="1"/>
  <c r="D20599" i="1"/>
  <c r="D20600" i="1"/>
  <c r="D20601" i="1"/>
  <c r="D20602" i="1"/>
  <c r="D20603" i="1"/>
  <c r="D20604" i="1"/>
  <c r="D20605" i="1"/>
  <c r="D20606" i="1"/>
  <c r="D20607" i="1"/>
  <c r="D20608" i="1"/>
  <c r="D20609" i="1"/>
  <c r="D11537" i="1"/>
  <c r="D20610" i="1"/>
  <c r="D20611" i="1"/>
  <c r="D20612" i="1"/>
  <c r="D20613" i="1"/>
  <c r="D20614" i="1"/>
  <c r="D20615" i="1"/>
  <c r="D20616" i="1"/>
  <c r="D20617" i="1"/>
  <c r="D20618" i="1"/>
  <c r="D20619" i="1"/>
  <c r="D1358" i="1"/>
  <c r="D1359" i="1"/>
  <c r="D20620" i="1"/>
  <c r="D20621" i="1"/>
  <c r="D20622" i="1"/>
  <c r="D20623" i="1"/>
  <c r="D20624" i="1"/>
  <c r="D20625" i="1"/>
  <c r="D20626" i="1"/>
  <c r="D20627" i="1"/>
  <c r="D20628" i="1"/>
  <c r="D20629" i="1"/>
  <c r="D20630" i="1"/>
  <c r="D20631" i="1"/>
  <c r="D20632" i="1"/>
  <c r="D20633" i="1"/>
  <c r="D11140" i="1"/>
  <c r="D1360" i="1"/>
  <c r="D1361" i="1"/>
  <c r="D11141" i="1"/>
  <c r="D26825" i="1"/>
  <c r="D20634" i="1"/>
  <c r="D26587" i="1"/>
  <c r="D11142" i="1"/>
  <c r="D11495" i="1"/>
  <c r="D11143" i="1"/>
  <c r="D11144" i="1"/>
  <c r="D9384" i="1"/>
  <c r="D25777" i="1"/>
  <c r="D26826" i="1"/>
  <c r="D5102" i="1"/>
  <c r="D8014" i="1"/>
  <c r="D8015" i="1"/>
  <c r="D8016" i="1"/>
  <c r="D23705" i="1"/>
  <c r="D23706" i="1"/>
  <c r="D17869" i="1"/>
  <c r="D5948" i="1"/>
  <c r="D12008" i="1"/>
  <c r="D12009" i="1"/>
  <c r="D12010" i="1"/>
  <c r="D5548" i="1"/>
  <c r="D5635" i="1"/>
  <c r="D831" i="1"/>
  <c r="D25542" i="1"/>
  <c r="D5695" i="1"/>
  <c r="D18546" i="1"/>
  <c r="D25956" i="1"/>
  <c r="D25957" i="1"/>
  <c r="D25958" i="1"/>
  <c r="D25959" i="1"/>
  <c r="D25960" i="1"/>
  <c r="D25961" i="1"/>
  <c r="D25962" i="1"/>
  <c r="D25963" i="1"/>
  <c r="D25964" i="1"/>
  <c r="D25965" i="1"/>
  <c r="D5189" i="1"/>
  <c r="D25217" i="1"/>
  <c r="D25218" i="1"/>
  <c r="D20635" i="1"/>
  <c r="D25195" i="1"/>
  <c r="D20636" i="1"/>
  <c r="D4454" i="1"/>
  <c r="D20637" i="1"/>
  <c r="D20638" i="1"/>
  <c r="D20639" i="1"/>
  <c r="D20640" i="1"/>
  <c r="D20641" i="1"/>
  <c r="D20642" i="1"/>
  <c r="D20643" i="1"/>
  <c r="D20644" i="1"/>
  <c r="D20645" i="1"/>
  <c r="D20646" i="1"/>
  <c r="D20647" i="1"/>
  <c r="D20648" i="1"/>
  <c r="D20649" i="1"/>
  <c r="D20650" i="1"/>
  <c r="D20651" i="1"/>
  <c r="D20652" i="1"/>
  <c r="D20653" i="1"/>
  <c r="D11145" i="1"/>
  <c r="D26471" i="1"/>
  <c r="D26827" i="1"/>
  <c r="D18300" i="1"/>
  <c r="D20654" i="1"/>
  <c r="D20655" i="1"/>
  <c r="D20656" i="1"/>
  <c r="D20657" i="1"/>
  <c r="D20658" i="1"/>
  <c r="D20659" i="1"/>
  <c r="D20660" i="1"/>
  <c r="D20661" i="1"/>
  <c r="D20662" i="1"/>
  <c r="D20663" i="1"/>
  <c r="D20664" i="1"/>
  <c r="D26828" i="1"/>
  <c r="D9601" i="1"/>
  <c r="D9838" i="1"/>
  <c r="D26335" i="1"/>
  <c r="D26829" i="1"/>
  <c r="D9602" i="1"/>
  <c r="D26830" i="1"/>
  <c r="D9603" i="1"/>
  <c r="D9604" i="1"/>
  <c r="D9605" i="1"/>
  <c r="D9606" i="1"/>
  <c r="D12011" i="1"/>
  <c r="D10978" i="1"/>
  <c r="D9607" i="1"/>
  <c r="D9608" i="1"/>
  <c r="D9609" i="1"/>
  <c r="D9610" i="1"/>
  <c r="D9611" i="1"/>
  <c r="D15579" i="1"/>
  <c r="D15580" i="1"/>
  <c r="D15581" i="1"/>
  <c r="D15582" i="1"/>
  <c r="D20665" i="1"/>
  <c r="D20666" i="1"/>
  <c r="D20667" i="1"/>
  <c r="D20668" i="1"/>
  <c r="D20669" i="1"/>
  <c r="D20670" i="1"/>
  <c r="D20671" i="1"/>
  <c r="D11146" i="1"/>
  <c r="D11147" i="1"/>
  <c r="D20672" i="1"/>
  <c r="D20673" i="1"/>
  <c r="D20674" i="1"/>
  <c r="D20675" i="1"/>
  <c r="D20676" i="1"/>
  <c r="D20677" i="1"/>
  <c r="D20678" i="1"/>
  <c r="D20679" i="1"/>
  <c r="D26831" i="1"/>
  <c r="D11148" i="1"/>
  <c r="D18243" i="1"/>
  <c r="D9612" i="1"/>
  <c r="D20680" i="1"/>
  <c r="D20681" i="1"/>
  <c r="D20682" i="1"/>
  <c r="D20683" i="1"/>
  <c r="D20684" i="1"/>
  <c r="D20685" i="1"/>
  <c r="D20686" i="1"/>
  <c r="D20687" i="1"/>
  <c r="D20688" i="1"/>
  <c r="D20689" i="1"/>
  <c r="D15875" i="1"/>
  <c r="D15876" i="1"/>
  <c r="D20690" i="1"/>
  <c r="D20691" i="1"/>
  <c r="D14035" i="1"/>
  <c r="D18935" i="1"/>
  <c r="D18244" i="1"/>
  <c r="D20692" i="1"/>
  <c r="D20693" i="1"/>
  <c r="D20694" i="1"/>
  <c r="D20695" i="1"/>
  <c r="D20696" i="1"/>
  <c r="D20697" i="1"/>
  <c r="D20698" i="1"/>
  <c r="D20699" i="1"/>
  <c r="D20700" i="1"/>
  <c r="D23538" i="1"/>
  <c r="D23539" i="1"/>
  <c r="D23540" i="1"/>
  <c r="D23541" i="1"/>
  <c r="D23542" i="1"/>
  <c r="D23543" i="1"/>
  <c r="D23544" i="1"/>
  <c r="D23545" i="1"/>
  <c r="D20701" i="1"/>
  <c r="D20702" i="1"/>
  <c r="D20703" i="1"/>
  <c r="D20704" i="1"/>
  <c r="D20705" i="1"/>
  <c r="D20706" i="1"/>
  <c r="D20707" i="1"/>
  <c r="D20708" i="1"/>
  <c r="D2454" i="1"/>
  <c r="D18245" i="1"/>
  <c r="D11149" i="1"/>
  <c r="D11150" i="1"/>
  <c r="D11151" i="1"/>
  <c r="D26588" i="1"/>
  <c r="D26589" i="1"/>
  <c r="D18640" i="1"/>
  <c r="D18641" i="1"/>
  <c r="D20709" i="1"/>
  <c r="D20710" i="1"/>
  <c r="D20711" i="1"/>
  <c r="D20712" i="1"/>
  <c r="D20713" i="1"/>
  <c r="D20714" i="1"/>
  <c r="D20715" i="1"/>
  <c r="D20716" i="1"/>
  <c r="D20717" i="1"/>
  <c r="D20718" i="1"/>
  <c r="D20719" i="1"/>
  <c r="D20720" i="1"/>
  <c r="D20721" i="1"/>
  <c r="D20722" i="1"/>
  <c r="D20723" i="1"/>
  <c r="D20724" i="1"/>
  <c r="D20725" i="1"/>
  <c r="D20726" i="1"/>
  <c r="D20727" i="1"/>
  <c r="D20728" i="1"/>
  <c r="D20729" i="1"/>
  <c r="D20730" i="1"/>
  <c r="D20731" i="1"/>
  <c r="D20732" i="1"/>
  <c r="D20733" i="1"/>
  <c r="D20734" i="1"/>
  <c r="D20735" i="1"/>
  <c r="D20736" i="1"/>
  <c r="D20737" i="1"/>
  <c r="D18642" i="1"/>
  <c r="D18643" i="1"/>
  <c r="D4325" i="1"/>
  <c r="D17727" i="1"/>
  <c r="D22837" i="1"/>
  <c r="D22838" i="1"/>
  <c r="D26590" i="1"/>
  <c r="D25196" i="1"/>
  <c r="D11152" i="1"/>
  <c r="D9117" i="1"/>
  <c r="D20738" i="1"/>
  <c r="D11153" i="1"/>
  <c r="D10204" i="1"/>
  <c r="D26336" i="1"/>
  <c r="D26337" i="1"/>
  <c r="D18989" i="1"/>
  <c r="D15413" i="1"/>
  <c r="D25432" i="1"/>
  <c r="D5549" i="1"/>
  <c r="D5513" i="1"/>
  <c r="D2549" i="1"/>
  <c r="D26591" i="1"/>
  <c r="D20739" i="1"/>
  <c r="D20740" i="1"/>
  <c r="D20741" i="1"/>
  <c r="D921" i="1"/>
  <c r="D11154" i="1"/>
  <c r="D11155" i="1"/>
  <c r="D11156" i="1"/>
  <c r="D22839" i="1"/>
  <c r="D588" i="1"/>
  <c r="D891" i="1"/>
  <c r="D15378" i="1"/>
  <c r="D5052" i="1"/>
  <c r="D5942" i="1"/>
  <c r="D25624" i="1"/>
  <c r="D25625" i="1"/>
  <c r="D25626" i="1"/>
  <c r="D25627" i="1"/>
  <c r="D25713" i="1"/>
  <c r="D25714" i="1"/>
  <c r="D25715" i="1"/>
  <c r="D547" i="1"/>
  <c r="D5425" i="1"/>
  <c r="D5426" i="1"/>
  <c r="D4177" i="1"/>
  <c r="D4179" i="1"/>
  <c r="D4723" i="1"/>
  <c r="D26832" i="1"/>
  <c r="D26833" i="1"/>
  <c r="D26834" i="1"/>
  <c r="D3460" i="1"/>
  <c r="D25524" i="1"/>
  <c r="D25433" i="1"/>
  <c r="D26835" i="1"/>
  <c r="D20742" i="1"/>
  <c r="D20743" i="1"/>
  <c r="D20744" i="1"/>
  <c r="D20745" i="1"/>
  <c r="D20746" i="1"/>
  <c r="D20747" i="1"/>
  <c r="D20748" i="1"/>
  <c r="D20749" i="1"/>
  <c r="D20750" i="1"/>
  <c r="D20751" i="1"/>
  <c r="D20752" i="1"/>
  <c r="D20753" i="1"/>
  <c r="D20754" i="1"/>
  <c r="D20755" i="1"/>
  <c r="D20756" i="1"/>
  <c r="D20757" i="1"/>
  <c r="D20758" i="1"/>
  <c r="D20759" i="1"/>
  <c r="D20760" i="1"/>
  <c r="D20761" i="1"/>
  <c r="D20762" i="1"/>
  <c r="D20763" i="1"/>
  <c r="D11742" i="1"/>
  <c r="D13936" i="1"/>
  <c r="D1482" i="1"/>
  <c r="D20764" i="1"/>
  <c r="D20765" i="1"/>
  <c r="D20766" i="1"/>
  <c r="D20767" i="1"/>
  <c r="D20768" i="1"/>
  <c r="D20769" i="1"/>
  <c r="D20770" i="1"/>
  <c r="D20771" i="1"/>
  <c r="D20772" i="1"/>
  <c r="D20773" i="1"/>
  <c r="D20774" i="1"/>
  <c r="D20775" i="1"/>
  <c r="D11713" i="1"/>
  <c r="D11753" i="1"/>
  <c r="D20776" i="1"/>
  <c r="D3170" i="1"/>
  <c r="D3171" i="1"/>
  <c r="D10992" i="1"/>
  <c r="D5664" i="1"/>
  <c r="D18138" i="1"/>
  <c r="D10960" i="1"/>
  <c r="D3937" i="1"/>
  <c r="D3938" i="1"/>
  <c r="D3939" i="1"/>
  <c r="D3940" i="1"/>
  <c r="D26592" i="1"/>
  <c r="D23194" i="1"/>
  <c r="D23111" i="1"/>
  <c r="D23268" i="1"/>
  <c r="D23269" i="1"/>
  <c r="D23081" i="1"/>
  <c r="D23270" i="1"/>
  <c r="D23028" i="1"/>
  <c r="D17616" i="1"/>
  <c r="D16853" i="1"/>
  <c r="D12548" i="1"/>
  <c r="D9329" i="1"/>
  <c r="D9358" i="1"/>
  <c r="D12555" i="1"/>
  <c r="D12556" i="1"/>
  <c r="D2804" i="1"/>
  <c r="D5595" i="1"/>
  <c r="D1047" i="1"/>
  <c r="D23529" i="1"/>
  <c r="D14781" i="1"/>
  <c r="D14782" i="1"/>
  <c r="D14783" i="1"/>
  <c r="D1208" i="1"/>
  <c r="D4254" i="1"/>
  <c r="D991" i="1"/>
  <c r="D992" i="1"/>
  <c r="D993" i="1"/>
  <c r="D6603" i="1"/>
  <c r="D6604" i="1"/>
  <c r="D6605" i="1"/>
  <c r="D6606" i="1"/>
  <c r="D6607" i="1"/>
  <c r="D24985" i="1"/>
  <c r="D24986" i="1"/>
  <c r="D6608" i="1"/>
  <c r="D7716" i="1"/>
  <c r="D6609" i="1"/>
  <c r="D7717" i="1"/>
  <c r="D6610" i="1"/>
  <c r="D24987" i="1"/>
  <c r="D24988" i="1"/>
  <c r="D24989" i="1"/>
  <c r="D24990" i="1"/>
  <c r="D4444" i="1"/>
  <c r="D24991" i="1"/>
  <c r="D24992" i="1"/>
  <c r="D10125" i="1"/>
  <c r="D24993" i="1"/>
  <c r="D6611" i="1"/>
  <c r="D7718" i="1"/>
  <c r="D6612" i="1"/>
  <c r="D7719" i="1"/>
  <c r="D6613" i="1"/>
  <c r="D16123" i="1"/>
  <c r="D16124" i="1"/>
  <c r="D16125" i="1"/>
  <c r="D24994" i="1"/>
  <c r="D4997" i="1"/>
  <c r="D24995" i="1"/>
  <c r="D6614" i="1"/>
  <c r="D6615" i="1"/>
  <c r="D7720" i="1"/>
  <c r="D6616" i="1"/>
  <c r="D7721" i="1"/>
  <c r="D24996" i="1"/>
  <c r="D24997" i="1"/>
  <c r="D19448" i="1"/>
  <c r="D6617" i="1"/>
  <c r="D7722" i="1"/>
  <c r="D6618" i="1"/>
  <c r="D6619" i="1"/>
  <c r="D6620" i="1"/>
  <c r="D15033" i="1"/>
  <c r="D13065" i="1"/>
  <c r="D15619" i="1"/>
  <c r="D15620" i="1"/>
  <c r="D8271" i="1"/>
  <c r="D8280" i="1"/>
  <c r="D8709" i="1"/>
  <c r="D13202" i="1"/>
  <c r="D13203" i="1"/>
  <c r="D13204" i="1"/>
  <c r="D8710" i="1"/>
  <c r="D15089" i="1"/>
  <c r="D17617" i="1"/>
  <c r="D1214" i="1"/>
  <c r="D18644" i="1"/>
  <c r="D18645" i="1"/>
  <c r="D4467" i="1"/>
  <c r="D18646" i="1"/>
  <c r="D23118" i="1"/>
  <c r="D23134" i="1"/>
  <c r="D23271" i="1"/>
  <c r="D2862" i="1"/>
  <c r="D4320" i="1"/>
  <c r="D9450" i="1"/>
  <c r="D9452" i="1"/>
  <c r="D9088" i="1"/>
  <c r="D9089" i="1"/>
  <c r="D5514" i="1"/>
  <c r="D26593" i="1"/>
  <c r="D1259" i="1"/>
  <c r="D1260" i="1"/>
  <c r="D1261" i="1"/>
  <c r="D13235" i="1"/>
  <c r="D13264" i="1"/>
  <c r="D13244" i="1"/>
  <c r="D2668" i="1"/>
  <c r="D2669" i="1"/>
  <c r="D582" i="1"/>
  <c r="D26533" i="1"/>
  <c r="D26836" i="1"/>
  <c r="D26534" i="1"/>
  <c r="D26535" i="1"/>
  <c r="D4162" i="1"/>
  <c r="D17644" i="1"/>
  <c r="D774" i="1"/>
  <c r="D12619" i="1"/>
  <c r="D11989" i="1"/>
  <c r="D18014" i="1"/>
  <c r="D18015" i="1"/>
  <c r="D3083" i="1"/>
  <c r="D18016" i="1"/>
  <c r="D18017" i="1"/>
  <c r="D627" i="1"/>
  <c r="D3561" i="1"/>
  <c r="D3562" i="1"/>
  <c r="D711" i="1"/>
  <c r="D5550" i="1"/>
  <c r="D712" i="1"/>
  <c r="D713" i="1"/>
  <c r="D714" i="1"/>
  <c r="D715" i="1"/>
  <c r="D716" i="1"/>
  <c r="D4191" i="1"/>
  <c r="D23479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13198" i="1"/>
  <c r="D24361" i="1"/>
  <c r="D15342" i="1"/>
  <c r="D5490" i="1"/>
  <c r="D16144" i="1"/>
  <c r="D16166" i="1"/>
  <c r="D16167" i="1"/>
  <c r="D4065" i="1"/>
  <c r="D898" i="1"/>
  <c r="D3102" i="1"/>
  <c r="D15824" i="1"/>
  <c r="D17628" i="1"/>
  <c r="D1219" i="1"/>
  <c r="D16797" i="1"/>
  <c r="D16798" i="1"/>
  <c r="D6639" i="1"/>
  <c r="D6640" i="1"/>
  <c r="D6641" i="1"/>
  <c r="D6642" i="1"/>
  <c r="D6643" i="1"/>
  <c r="D6644" i="1"/>
  <c r="D6645" i="1"/>
  <c r="D18301" i="1"/>
  <c r="D819" i="1"/>
  <c r="D15175" i="1"/>
  <c r="D15176" i="1"/>
  <c r="D15177" i="1"/>
  <c r="D15136" i="1"/>
  <c r="D15137" i="1"/>
  <c r="D15178" i="1"/>
  <c r="D15138" i="1"/>
  <c r="D15139" i="1"/>
  <c r="D15179" i="1"/>
  <c r="D15180" i="1"/>
  <c r="D15181" i="1"/>
  <c r="D15182" i="1"/>
  <c r="D15435" i="1"/>
  <c r="D17622" i="1"/>
  <c r="D17623" i="1"/>
  <c r="D8711" i="1"/>
  <c r="D8712" i="1"/>
  <c r="D8377" i="1"/>
  <c r="D8713" i="1"/>
  <c r="D8714" i="1"/>
  <c r="D8715" i="1"/>
  <c r="D8716" i="1"/>
  <c r="D8717" i="1"/>
  <c r="D8718" i="1"/>
  <c r="D8319" i="1"/>
  <c r="D8719" i="1"/>
  <c r="D8720" i="1"/>
  <c r="D8721" i="1"/>
  <c r="D8722" i="1"/>
  <c r="D8723" i="1"/>
  <c r="D8724" i="1"/>
  <c r="D8378" i="1"/>
  <c r="D8725" i="1"/>
  <c r="D8726" i="1"/>
  <c r="D8727" i="1"/>
  <c r="D8728" i="1"/>
  <c r="D8729" i="1"/>
  <c r="D1281" i="1"/>
  <c r="D4345" i="1"/>
  <c r="D4348" i="1"/>
  <c r="D4351" i="1"/>
  <c r="D8730" i="1"/>
  <c r="D8731" i="1"/>
  <c r="D649" i="1"/>
  <c r="D8732" i="1"/>
  <c r="D8733" i="1"/>
  <c r="D10803" i="1"/>
  <c r="D8734" i="1"/>
  <c r="D8735" i="1"/>
  <c r="D8736" i="1"/>
  <c r="D17588" i="1"/>
  <c r="D17986" i="1"/>
  <c r="D4359" i="1"/>
  <c r="D4371" i="1"/>
  <c r="D4192" i="1"/>
  <c r="D4050" i="1"/>
  <c r="D4016" i="1"/>
  <c r="D4095" i="1"/>
  <c r="D2491" i="1"/>
  <c r="D1262" i="1"/>
  <c r="D8029" i="1"/>
  <c r="D3268" i="1"/>
  <c r="D17339" i="1"/>
  <c r="D25173" i="1"/>
  <c r="D6646" i="1"/>
  <c r="D7723" i="1"/>
  <c r="D6647" i="1"/>
  <c r="D2596" i="1"/>
  <c r="D6648" i="1"/>
  <c r="D7724" i="1"/>
  <c r="D6649" i="1"/>
  <c r="D7725" i="1"/>
  <c r="D6650" i="1"/>
  <c r="D7726" i="1"/>
  <c r="D6651" i="1"/>
  <c r="D7727" i="1"/>
  <c r="D6652" i="1"/>
  <c r="D6653" i="1"/>
  <c r="D6654" i="1"/>
  <c r="D7728" i="1"/>
  <c r="D6655" i="1"/>
  <c r="D7729" i="1"/>
  <c r="D6656" i="1"/>
  <c r="D24998" i="1"/>
  <c r="D24999" i="1"/>
  <c r="D25000" i="1"/>
  <c r="D25001" i="1"/>
  <c r="D25002" i="1"/>
  <c r="D25003" i="1"/>
  <c r="D23135" i="1"/>
  <c r="D23272" i="1"/>
  <c r="D23136" i="1"/>
  <c r="D23273" i="1"/>
  <c r="D23137" i="1"/>
  <c r="D23274" i="1"/>
  <c r="D23275" i="1"/>
  <c r="D23138" i="1"/>
  <c r="D23029" i="1"/>
  <c r="D23276" i="1"/>
  <c r="D23072" i="1"/>
  <c r="D23073" i="1"/>
  <c r="D24630" i="1"/>
  <c r="D24631" i="1"/>
  <c r="D24632" i="1"/>
  <c r="D24633" i="1"/>
  <c r="D24634" i="1"/>
  <c r="D24635" i="1"/>
  <c r="D24636" i="1"/>
  <c r="D24637" i="1"/>
  <c r="D24638" i="1"/>
  <c r="D24639" i="1"/>
  <c r="D24640" i="1"/>
  <c r="D24641" i="1"/>
  <c r="D24642" i="1"/>
  <c r="D24643" i="1"/>
  <c r="D24644" i="1"/>
  <c r="D24645" i="1"/>
  <c r="D24646" i="1"/>
  <c r="D24647" i="1"/>
  <c r="D24648" i="1"/>
  <c r="D24649" i="1"/>
  <c r="D24650" i="1"/>
  <c r="D24651" i="1"/>
  <c r="D24652" i="1"/>
  <c r="D24653" i="1"/>
  <c r="D24654" i="1"/>
  <c r="D24655" i="1"/>
  <c r="D24656" i="1"/>
  <c r="D24657" i="1"/>
  <c r="D24658" i="1"/>
  <c r="D24659" i="1"/>
  <c r="D14163" i="1"/>
  <c r="D3207" i="1"/>
  <c r="D3237" i="1"/>
  <c r="D11972" i="1"/>
  <c r="D11973" i="1"/>
  <c r="D23030" i="1"/>
  <c r="D23031" i="1"/>
  <c r="D23032" i="1"/>
  <c r="D23277" i="1"/>
  <c r="D3621" i="1"/>
  <c r="D14010" i="1"/>
  <c r="D18584" i="1"/>
  <c r="D18647" i="1"/>
  <c r="D18763" i="1"/>
  <c r="D18585" i="1"/>
  <c r="D18648" i="1"/>
  <c r="D18586" i="1"/>
  <c r="D18649" i="1"/>
  <c r="D23139" i="1"/>
  <c r="D23278" i="1"/>
  <c r="D22997" i="1"/>
  <c r="D5515" i="1"/>
  <c r="D23033" i="1"/>
  <c r="D23279" i="1"/>
  <c r="D23280" i="1"/>
  <c r="D23281" i="1"/>
  <c r="D11812" i="1"/>
  <c r="D12921" i="1"/>
  <c r="D4255" i="1"/>
  <c r="D14710" i="1"/>
  <c r="D20777" i="1"/>
  <c r="D18650" i="1"/>
  <c r="D18651" i="1"/>
  <c r="D18652" i="1"/>
  <c r="D15054" i="1"/>
  <c r="D18653" i="1"/>
  <c r="D18654" i="1"/>
  <c r="D23508" i="1"/>
  <c r="D18655" i="1"/>
  <c r="D18656" i="1"/>
  <c r="D18657" i="1"/>
  <c r="D4017" i="1"/>
  <c r="D2508" i="1"/>
  <c r="D10067" i="1"/>
  <c r="D10068" i="1"/>
  <c r="D2531" i="1"/>
  <c r="D2537" i="1"/>
  <c r="D2541" i="1"/>
  <c r="D2550" i="1"/>
  <c r="D5734" i="1"/>
  <c r="D5735" i="1"/>
  <c r="D9456" i="1"/>
  <c r="D5687" i="1"/>
  <c r="D10804" i="1"/>
  <c r="D10805" i="1"/>
  <c r="D10806" i="1"/>
  <c r="D10807" i="1"/>
  <c r="D5736" i="1"/>
  <c r="D4468" i="1"/>
  <c r="D14507" i="1"/>
  <c r="D17431" i="1"/>
  <c r="D17432" i="1"/>
  <c r="D17433" i="1"/>
  <c r="D3602" i="1"/>
  <c r="D18914" i="1"/>
  <c r="D15638" i="1"/>
  <c r="D15436" i="1"/>
  <c r="D23560" i="1"/>
  <c r="D3603" i="1"/>
  <c r="D3471" i="1"/>
  <c r="D1282" i="1"/>
  <c r="D1283" i="1"/>
  <c r="D26252" i="1"/>
  <c r="D25318" i="1"/>
  <c r="D11976" i="1"/>
  <c r="D13914" i="1"/>
  <c r="D26253" i="1"/>
  <c r="D15305" i="1"/>
  <c r="D15306" i="1"/>
  <c r="D994" i="1"/>
  <c r="D15990" i="1"/>
  <c r="D15991" i="1"/>
  <c r="D9405" i="1"/>
  <c r="D4337" i="1"/>
  <c r="D4338" i="1"/>
  <c r="D23282" i="1"/>
  <c r="D23283" i="1"/>
  <c r="D23284" i="1"/>
  <c r="D23140" i="1"/>
  <c r="D23285" i="1"/>
  <c r="D10369" i="1"/>
  <c r="D3993" i="1"/>
  <c r="D4018" i="1"/>
  <c r="D4079" i="1"/>
  <c r="D4256" i="1"/>
  <c r="D11844" i="1"/>
  <c r="D14029" i="1"/>
  <c r="D16116" i="1"/>
  <c r="D16117" i="1"/>
  <c r="D3983" i="1"/>
  <c r="D5123" i="1"/>
  <c r="D5109" i="1"/>
  <c r="D4724" i="1"/>
  <c r="D4725" i="1"/>
  <c r="D15052" i="1"/>
  <c r="D664" i="1"/>
  <c r="D665" i="1"/>
  <c r="D4941" i="1"/>
  <c r="D4942" i="1"/>
  <c r="D23616" i="1"/>
  <c r="D14456" i="1"/>
  <c r="D10323" i="1"/>
  <c r="D10324" i="1"/>
  <c r="D23286" i="1"/>
  <c r="D23287" i="1"/>
  <c r="D25628" i="1"/>
  <c r="D25629" i="1"/>
  <c r="D25716" i="1"/>
  <c r="D25630" i="1"/>
  <c r="D25631" i="1"/>
  <c r="D25632" i="1"/>
  <c r="D4943" i="1"/>
  <c r="D4944" i="1"/>
  <c r="D5190" i="1"/>
  <c r="D8177" i="1"/>
  <c r="D8178" i="1"/>
  <c r="D26594" i="1"/>
  <c r="D26837" i="1"/>
  <c r="D6657" i="1"/>
  <c r="D7730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25363" i="1"/>
  <c r="D2651" i="1"/>
  <c r="D3656" i="1"/>
  <c r="D5789" i="1"/>
  <c r="D6670" i="1"/>
  <c r="D7731" i="1"/>
  <c r="D11565" i="1"/>
  <c r="D11566" i="1"/>
  <c r="D548" i="1"/>
  <c r="D3491" i="1"/>
  <c r="D3492" i="1"/>
  <c r="D3493" i="1"/>
  <c r="D3494" i="1"/>
  <c r="D6671" i="1"/>
  <c r="D7732" i="1"/>
  <c r="D14660" i="1"/>
  <c r="D22981" i="1"/>
  <c r="D15261" i="1"/>
  <c r="D3941" i="1"/>
  <c r="D3942" i="1"/>
  <c r="D3943" i="1"/>
  <c r="D15472" i="1"/>
  <c r="D4549" i="1"/>
  <c r="D4550" i="1"/>
  <c r="D17870" i="1"/>
  <c r="D15343" i="1"/>
  <c r="D17871" i="1"/>
  <c r="D17872" i="1"/>
  <c r="D17873" i="1"/>
  <c r="D10248" i="1"/>
  <c r="D10252" i="1"/>
  <c r="D23632" i="1"/>
  <c r="D549" i="1"/>
  <c r="D763" i="1"/>
  <c r="D2590" i="1"/>
  <c r="D8243" i="1"/>
  <c r="D17874" i="1"/>
  <c r="D10462" i="1"/>
  <c r="D17875" i="1"/>
  <c r="D10481" i="1"/>
  <c r="D17876" i="1"/>
  <c r="D8030" i="1"/>
  <c r="D5737" i="1"/>
  <c r="D5959" i="1"/>
  <c r="D12390" i="1"/>
  <c r="D12391" i="1"/>
  <c r="D12392" i="1"/>
  <c r="D2368" i="1"/>
  <c r="D15843" i="1"/>
  <c r="D23490" i="1"/>
  <c r="D5820" i="1"/>
  <c r="D5821" i="1"/>
  <c r="D23617" i="1"/>
  <c r="D2637" i="1"/>
  <c r="D2638" i="1"/>
  <c r="D10059" i="1"/>
  <c r="D25004" i="1"/>
  <c r="D3592" i="1"/>
  <c r="D3604" i="1"/>
  <c r="D5943" i="1"/>
  <c r="D10061" i="1"/>
  <c r="D12393" i="1"/>
  <c r="D12394" i="1"/>
  <c r="D12395" i="1"/>
  <c r="D5474" i="1"/>
  <c r="D5551" i="1"/>
  <c r="D11157" i="1"/>
  <c r="D22986" i="1"/>
  <c r="D19311" i="1"/>
  <c r="D19321" i="1"/>
  <c r="D10979" i="1"/>
  <c r="D10961" i="1"/>
  <c r="D14508" i="1"/>
  <c r="D15437" i="1"/>
  <c r="D17806" i="1"/>
  <c r="D8083" i="1"/>
  <c r="D12029" i="1"/>
  <c r="D14474" i="1"/>
  <c r="D26595" i="1"/>
  <c r="D14642" i="1"/>
  <c r="D14643" i="1"/>
  <c r="D14509" i="1"/>
  <c r="D18063" i="1"/>
  <c r="D17807" i="1"/>
  <c r="D5790" i="1"/>
  <c r="D18487" i="1"/>
  <c r="D25005" i="1"/>
  <c r="D25006" i="1"/>
  <c r="D25007" i="1"/>
  <c r="D12549" i="1"/>
  <c r="D9425" i="1"/>
  <c r="D27069" i="1"/>
  <c r="D15438" i="1"/>
  <c r="D1284" i="1"/>
  <c r="D3500" i="1"/>
  <c r="D23561" i="1"/>
  <c r="D23562" i="1"/>
  <c r="D23563" i="1"/>
  <c r="D25717" i="1"/>
  <c r="D25718" i="1"/>
  <c r="D25719" i="1"/>
  <c r="D10467" i="1"/>
  <c r="D26838" i="1"/>
  <c r="D5919" i="1"/>
  <c r="D543" i="1"/>
  <c r="D887" i="1"/>
  <c r="D888" i="1"/>
  <c r="D12037" i="1"/>
  <c r="D12038" i="1"/>
  <c r="D12039" i="1"/>
  <c r="D2383" i="1"/>
  <c r="D26839" i="1"/>
  <c r="D1220" i="1"/>
  <c r="D5106" i="1"/>
  <c r="D5108" i="1"/>
  <c r="D5110" i="1"/>
  <c r="D5124" i="1"/>
  <c r="D26840" i="1"/>
  <c r="D5327" i="1"/>
  <c r="D4257" i="1"/>
  <c r="D26841" i="1"/>
  <c r="D11158" i="1"/>
  <c r="D20778" i="1"/>
  <c r="D16839" i="1"/>
  <c r="D16841" i="1"/>
  <c r="D16860" i="1"/>
  <c r="D16840" i="1"/>
  <c r="D16861" i="1"/>
  <c r="D26842" i="1"/>
  <c r="D5791" i="1"/>
  <c r="D26843" i="1"/>
  <c r="D26596" i="1"/>
  <c r="D10080" i="1"/>
  <c r="D25778" i="1"/>
  <c r="D12692" i="1"/>
  <c r="D12693" i="1"/>
  <c r="D12694" i="1"/>
  <c r="D4654" i="1"/>
  <c r="D2709" i="1"/>
  <c r="D4258" i="1"/>
  <c r="D9379" i="1"/>
  <c r="D9396" i="1"/>
  <c r="D19126" i="1"/>
  <c r="D13265" i="1"/>
  <c r="D6672" i="1"/>
  <c r="D7733" i="1"/>
  <c r="D6673" i="1"/>
  <c r="D7734" i="1"/>
  <c r="D6674" i="1"/>
  <c r="D7735" i="1"/>
  <c r="D3744" i="1"/>
  <c r="D6675" i="1"/>
  <c r="D6676" i="1"/>
  <c r="D7736" i="1"/>
  <c r="D1467" i="1"/>
  <c r="D25008" i="1"/>
  <c r="D17808" i="1"/>
  <c r="D4698" i="1"/>
  <c r="D8031" i="1"/>
  <c r="D17555" i="1"/>
  <c r="D4687" i="1"/>
  <c r="D4688" i="1"/>
  <c r="D4689" i="1"/>
  <c r="D18896" i="1"/>
  <c r="D18897" i="1"/>
  <c r="D6677" i="1"/>
  <c r="D7737" i="1"/>
  <c r="D13209" i="1"/>
  <c r="D2425" i="1"/>
  <c r="D12620" i="1"/>
  <c r="D6678" i="1"/>
  <c r="D25966" i="1"/>
  <c r="D6679" i="1"/>
  <c r="D7738" i="1"/>
  <c r="D6680" i="1"/>
  <c r="D7739" i="1"/>
  <c r="D6681" i="1"/>
  <c r="D12031" i="1"/>
  <c r="D25009" i="1"/>
  <c r="D4726" i="1"/>
  <c r="D4690" i="1"/>
  <c r="D4727" i="1"/>
  <c r="D4699" i="1"/>
  <c r="D6682" i="1"/>
  <c r="D6683" i="1"/>
  <c r="D6684" i="1"/>
  <c r="D6685" i="1"/>
  <c r="D6686" i="1"/>
  <c r="D7740" i="1"/>
  <c r="D25010" i="1"/>
  <c r="D4728" i="1"/>
  <c r="D15097" i="1"/>
  <c r="D6687" i="1"/>
  <c r="D6688" i="1"/>
  <c r="D6689" i="1"/>
  <c r="D4700" i="1"/>
  <c r="D4701" i="1"/>
  <c r="D5111" i="1"/>
  <c r="D8737" i="1"/>
  <c r="D2907" i="1"/>
  <c r="D4691" i="1"/>
  <c r="D9470" i="1"/>
  <c r="D25011" i="1"/>
  <c r="D12621" i="1"/>
  <c r="D25742" i="1"/>
  <c r="D25804" i="1"/>
  <c r="D27057" i="1"/>
  <c r="D2583" i="1"/>
  <c r="D650" i="1"/>
  <c r="D9140" i="1"/>
  <c r="D12622" i="1"/>
  <c r="D4963" i="1"/>
  <c r="D4969" i="1"/>
  <c r="D4964" i="1"/>
  <c r="D4970" i="1"/>
  <c r="D17434" i="1"/>
  <c r="D17435" i="1"/>
  <c r="D17436" i="1"/>
  <c r="D17437" i="1"/>
  <c r="D17438" i="1"/>
  <c r="D17439" i="1"/>
  <c r="D27058" i="1"/>
  <c r="D3084" i="1"/>
  <c r="D10287" i="1"/>
  <c r="D906" i="1"/>
  <c r="D15624" i="1"/>
  <c r="D15625" i="1"/>
  <c r="D17713" i="1"/>
  <c r="D22982" i="1"/>
  <c r="D22983" i="1"/>
  <c r="D22984" i="1"/>
  <c r="D22985" i="1"/>
  <c r="D13920" i="1"/>
  <c r="D5191" i="1"/>
  <c r="D27059" i="1"/>
  <c r="D2914" i="1"/>
  <c r="D14510" i="1"/>
  <c r="D11964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18488" i="1"/>
  <c r="D4469" i="1"/>
  <c r="D4470" i="1"/>
  <c r="D23564" i="1"/>
  <c r="D26278" i="1"/>
  <c r="D11447" i="1"/>
  <c r="D8195" i="1"/>
  <c r="D8204" i="1"/>
  <c r="D8205" i="1"/>
  <c r="D15288" i="1"/>
  <c r="D15289" i="1"/>
  <c r="D15290" i="1"/>
  <c r="D8032" i="1"/>
  <c r="D11467" i="1"/>
  <c r="D26338" i="1"/>
  <c r="D18564" i="1"/>
  <c r="D23565" i="1"/>
  <c r="D16163" i="1"/>
  <c r="D10634" i="1"/>
  <c r="D10680" i="1"/>
  <c r="D10657" i="1"/>
  <c r="D18302" i="1"/>
  <c r="D1081" i="1"/>
  <c r="D15300" i="1"/>
  <c r="D17809" i="1"/>
  <c r="D5939" i="1"/>
  <c r="D15002" i="1"/>
  <c r="D15003" i="1"/>
  <c r="D13970" i="1"/>
  <c r="D12479" i="1"/>
  <c r="D12480" i="1"/>
  <c r="D12481" i="1"/>
  <c r="D12482" i="1"/>
  <c r="D26844" i="1"/>
  <c r="D26845" i="1"/>
  <c r="D25967" i="1"/>
  <c r="D4000" i="1"/>
  <c r="D4002" i="1"/>
  <c r="D14023" i="1"/>
  <c r="D8033" i="1"/>
  <c r="D25525" i="1"/>
  <c r="D25434" i="1"/>
  <c r="D26339" i="1"/>
  <c r="D26846" i="1"/>
  <c r="D12520" i="1"/>
  <c r="D18990" i="1"/>
  <c r="D25968" i="1"/>
  <c r="D12550" i="1"/>
  <c r="D5929" i="1"/>
  <c r="D5930" i="1"/>
  <c r="D18919" i="1"/>
  <c r="D789" i="1"/>
  <c r="D18936" i="1"/>
  <c r="D18937" i="1"/>
  <c r="D22840" i="1"/>
  <c r="D17556" i="1"/>
  <c r="D12623" i="1"/>
  <c r="D790" i="1"/>
  <c r="D779" i="1"/>
  <c r="D19006" i="1"/>
  <c r="D18938" i="1"/>
  <c r="D18939" i="1"/>
  <c r="D13123" i="1"/>
  <c r="D3402" i="1"/>
  <c r="D4051" i="1"/>
  <c r="D5672" i="1"/>
  <c r="D9133" i="1"/>
  <c r="D9138" i="1"/>
  <c r="D12483" i="1"/>
  <c r="D3461" i="1"/>
  <c r="D10919" i="1"/>
  <c r="D18940" i="1"/>
  <c r="D18941" i="1"/>
  <c r="D14164" i="1"/>
  <c r="D14177" i="1"/>
  <c r="D17600" i="1"/>
  <c r="D15058" i="1"/>
  <c r="D4163" i="1"/>
  <c r="D4172" i="1"/>
  <c r="D791" i="1"/>
  <c r="D2731" i="1"/>
  <c r="D10230" i="1"/>
  <c r="D13066" i="1"/>
  <c r="D13067" i="1"/>
  <c r="D792" i="1"/>
  <c r="D12940" i="1"/>
  <c r="D12941" i="1"/>
  <c r="D25789" i="1"/>
  <c r="D8738" i="1"/>
  <c r="D8739" i="1"/>
  <c r="D8740" i="1"/>
  <c r="D15183" i="1"/>
  <c r="D15184" i="1"/>
  <c r="D15185" i="1"/>
  <c r="D26847" i="1"/>
  <c r="D8741" i="1"/>
  <c r="D8281" i="1"/>
  <c r="D8320" i="1"/>
  <c r="D8742" i="1"/>
  <c r="D8743" i="1"/>
  <c r="D26848" i="1"/>
  <c r="D8744" i="1"/>
  <c r="D847" i="1"/>
  <c r="D853" i="1"/>
  <c r="D865" i="1"/>
  <c r="D878" i="1"/>
  <c r="D8745" i="1"/>
  <c r="D8746" i="1"/>
  <c r="D9506" i="1"/>
  <c r="D9507" i="1"/>
  <c r="D9508" i="1"/>
  <c r="D8254" i="1"/>
  <c r="D8264" i="1"/>
  <c r="D1252" i="1"/>
  <c r="D8747" i="1"/>
  <c r="D8321" i="1"/>
  <c r="D27074" i="1"/>
  <c r="D18144" i="1"/>
  <c r="D8748" i="1"/>
  <c r="D8322" i="1"/>
  <c r="D15629" i="1"/>
  <c r="D8749" i="1"/>
  <c r="D12132" i="1"/>
  <c r="D25554" i="1"/>
  <c r="D25555" i="1"/>
  <c r="D25012" i="1"/>
  <c r="D12133" i="1"/>
  <c r="D12134" i="1"/>
  <c r="D12135" i="1"/>
  <c r="D12136" i="1"/>
  <c r="D8750" i="1"/>
  <c r="D8751" i="1"/>
  <c r="D8752" i="1"/>
  <c r="D8753" i="1"/>
  <c r="D18176" i="1"/>
  <c r="D8754" i="1"/>
  <c r="D17440" i="1"/>
  <c r="D17441" i="1"/>
  <c r="D17442" i="1"/>
  <c r="D17443" i="1"/>
  <c r="D17444" i="1"/>
  <c r="D17445" i="1"/>
  <c r="D15262" i="1"/>
  <c r="D15186" i="1"/>
  <c r="D15187" i="1"/>
  <c r="D15188" i="1"/>
  <c r="D15189" i="1"/>
  <c r="D15190" i="1"/>
  <c r="D15191" i="1"/>
  <c r="D15192" i="1"/>
  <c r="D2404" i="1"/>
  <c r="D2405" i="1"/>
  <c r="D2406" i="1"/>
  <c r="D2420" i="1"/>
  <c r="D2407" i="1"/>
  <c r="D8755" i="1"/>
  <c r="D22841" i="1"/>
  <c r="D22842" i="1"/>
  <c r="D22843" i="1"/>
  <c r="D14840" i="1"/>
  <c r="D14841" i="1"/>
  <c r="D14842" i="1"/>
  <c r="D14843" i="1"/>
  <c r="D12137" i="1"/>
  <c r="D12138" i="1"/>
  <c r="D26597" i="1"/>
  <c r="D8756" i="1"/>
  <c r="D8757" i="1"/>
  <c r="D8758" i="1"/>
  <c r="D10013" i="1"/>
  <c r="D10014" i="1"/>
  <c r="D8759" i="1"/>
  <c r="D26849" i="1"/>
  <c r="D8760" i="1"/>
  <c r="D8761" i="1"/>
  <c r="D15024" i="1"/>
  <c r="D23480" i="1"/>
  <c r="D8762" i="1"/>
  <c r="D3188" i="1"/>
  <c r="D3189" i="1"/>
  <c r="D26850" i="1"/>
  <c r="D8763" i="1"/>
  <c r="D8323" i="1"/>
  <c r="D14133" i="1"/>
  <c r="D11823" i="1"/>
  <c r="D11940" i="1"/>
  <c r="D11944" i="1"/>
  <c r="D11949" i="1"/>
  <c r="D8764" i="1"/>
  <c r="D12276" i="1"/>
  <c r="D12277" i="1"/>
  <c r="D12278" i="1"/>
  <c r="D12279" i="1"/>
  <c r="D12280" i="1"/>
  <c r="D10244" i="1"/>
  <c r="D5410" i="1"/>
  <c r="D5192" i="1"/>
  <c r="D2805" i="1"/>
  <c r="D8272" i="1"/>
  <c r="D8765" i="1"/>
  <c r="D8766" i="1"/>
  <c r="D4339" i="1"/>
  <c r="D2632" i="1"/>
  <c r="D1082" i="1"/>
  <c r="D8767" i="1"/>
  <c r="D8324" i="1"/>
  <c r="D8768" i="1"/>
  <c r="D3984" i="1"/>
  <c r="D8769" i="1"/>
  <c r="D717" i="1"/>
  <c r="D8770" i="1"/>
  <c r="D8379" i="1"/>
  <c r="D8771" i="1"/>
  <c r="D8772" i="1"/>
  <c r="D17745" i="1"/>
  <c r="D17746" i="1"/>
  <c r="D18106" i="1"/>
  <c r="D18107" i="1"/>
  <c r="D2732" i="1"/>
  <c r="D931" i="1"/>
  <c r="D13145" i="1"/>
  <c r="D5388" i="1"/>
  <c r="D5401" i="1"/>
  <c r="D2733" i="1"/>
  <c r="D5103" i="1"/>
  <c r="D1083" i="1"/>
  <c r="D1084" i="1"/>
  <c r="D11598" i="1"/>
  <c r="D11599" i="1"/>
  <c r="D11600" i="1"/>
  <c r="D11601" i="1"/>
  <c r="D11602" i="1"/>
  <c r="D18432" i="1"/>
  <c r="D18433" i="1"/>
  <c r="D18434" i="1"/>
  <c r="D18435" i="1"/>
  <c r="D18436" i="1"/>
  <c r="D18437" i="1"/>
  <c r="D9330" i="1"/>
  <c r="D4411" i="1"/>
  <c r="D9331" i="1"/>
  <c r="D9359" i="1"/>
  <c r="D972" i="1"/>
  <c r="D10349" i="1"/>
  <c r="D10350" i="1"/>
  <c r="D10351" i="1"/>
  <c r="D10352" i="1"/>
  <c r="D1085" i="1"/>
  <c r="D1086" i="1"/>
  <c r="D8132" i="1"/>
  <c r="D8105" i="1"/>
  <c r="D8133" i="1"/>
  <c r="D9397" i="1"/>
  <c r="D9398" i="1"/>
  <c r="D9399" i="1"/>
  <c r="D10081" i="1"/>
  <c r="D15825" i="1"/>
  <c r="D19074" i="1"/>
  <c r="D10073" i="1"/>
  <c r="D10074" i="1"/>
  <c r="D10075" i="1"/>
  <c r="D10076" i="1"/>
  <c r="D10082" i="1"/>
  <c r="D15952" i="1"/>
  <c r="D6704" i="1"/>
  <c r="D7741" i="1"/>
  <c r="D2509" i="1"/>
  <c r="D23288" i="1"/>
  <c r="D23112" i="1"/>
  <c r="D23289" i="1"/>
  <c r="D23290" i="1"/>
  <c r="D23034" i="1"/>
  <c r="D23082" i="1"/>
  <c r="D23291" i="1"/>
  <c r="D23083" i="1"/>
  <c r="D23292" i="1"/>
  <c r="D23293" i="1"/>
  <c r="D23294" i="1"/>
  <c r="D12373" i="1"/>
  <c r="D12374" i="1"/>
  <c r="D17787" i="1"/>
  <c r="D18303" i="1"/>
  <c r="D10896" i="1"/>
  <c r="D9179" i="1"/>
  <c r="D17645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7742" i="1"/>
  <c r="D6720" i="1"/>
  <c r="D7743" i="1"/>
  <c r="D6721" i="1"/>
  <c r="D4096" i="1"/>
  <c r="D24414" i="1"/>
  <c r="D26185" i="1"/>
  <c r="D26186" i="1"/>
  <c r="D26187" i="1"/>
  <c r="D6722" i="1"/>
  <c r="D9259" i="1"/>
  <c r="D9260" i="1"/>
  <c r="D9261" i="1"/>
  <c r="D9262" i="1"/>
  <c r="D18304" i="1"/>
  <c r="D9180" i="1"/>
  <c r="D23035" i="1"/>
  <c r="D23295" i="1"/>
  <c r="D23036" i="1"/>
  <c r="D23296" i="1"/>
  <c r="D23297" i="1"/>
  <c r="D23298" i="1"/>
  <c r="D23141" i="1"/>
  <c r="D6723" i="1"/>
  <c r="D6724" i="1"/>
  <c r="D6725" i="1"/>
  <c r="D2510" i="1"/>
  <c r="D4590" i="1"/>
  <c r="D9181" i="1"/>
  <c r="D23142" i="1"/>
  <c r="D23299" i="1"/>
  <c r="D9182" i="1"/>
  <c r="D12995" i="1"/>
  <c r="D12996" i="1"/>
  <c r="D6726" i="1"/>
  <c r="D23300" i="1"/>
  <c r="D23143" i="1"/>
  <c r="D24415" i="1"/>
  <c r="D24416" i="1"/>
  <c r="D14598" i="1"/>
  <c r="D25969" i="1"/>
  <c r="D6727" i="1"/>
  <c r="D6728" i="1"/>
  <c r="D6729" i="1"/>
  <c r="D1474" i="1"/>
  <c r="D24417" i="1"/>
  <c r="D24418" i="1"/>
  <c r="D14207" i="1"/>
  <c r="D24419" i="1"/>
  <c r="D2492" i="1"/>
  <c r="D3776" i="1"/>
  <c r="D3777" i="1"/>
  <c r="D3778" i="1"/>
  <c r="D9090" i="1"/>
  <c r="D9091" i="1"/>
  <c r="D12953" i="1"/>
  <c r="D12969" i="1"/>
  <c r="D12997" i="1"/>
  <c r="D13106" i="1"/>
  <c r="D12954" i="1"/>
  <c r="D13099" i="1"/>
  <c r="D12998" i="1"/>
  <c r="D9183" i="1"/>
  <c r="D12722" i="1"/>
  <c r="D12723" i="1"/>
  <c r="D12748" i="1"/>
  <c r="D12749" i="1"/>
  <c r="D12724" i="1"/>
  <c r="D12725" i="1"/>
  <c r="D12750" i="1"/>
  <c r="D12726" i="1"/>
  <c r="D12727" i="1"/>
  <c r="D6730" i="1"/>
  <c r="D6731" i="1"/>
  <c r="D24420" i="1"/>
  <c r="D24421" i="1"/>
  <c r="D23547" i="1"/>
  <c r="D23548" i="1"/>
  <c r="D6732" i="1"/>
  <c r="D6733" i="1"/>
  <c r="D7744" i="1"/>
  <c r="D14891" i="1"/>
  <c r="D14892" i="1"/>
  <c r="D14893" i="1"/>
  <c r="D7745" i="1"/>
  <c r="D3572" i="1"/>
  <c r="D9184" i="1"/>
  <c r="D18658" i="1"/>
  <c r="D18659" i="1"/>
  <c r="D4019" i="1"/>
  <c r="D25245" i="1"/>
  <c r="D25288" i="1"/>
  <c r="D25246" i="1"/>
  <c r="D25247" i="1"/>
  <c r="D25289" i="1"/>
  <c r="D25248" i="1"/>
  <c r="D25290" i="1"/>
  <c r="D25249" i="1"/>
  <c r="D25291" i="1"/>
  <c r="D14150" i="1"/>
  <c r="D19232" i="1"/>
  <c r="D19233" i="1"/>
  <c r="D4571" i="1"/>
  <c r="D4572" i="1"/>
  <c r="D4573" i="1"/>
  <c r="D10920" i="1"/>
  <c r="D17446" i="1"/>
  <c r="D3103" i="1"/>
  <c r="D1001" i="1"/>
  <c r="D24492" i="1"/>
  <c r="D14599" i="1"/>
  <c r="D17668" i="1"/>
  <c r="D25435" i="1"/>
  <c r="D23707" i="1"/>
  <c r="D23708" i="1"/>
  <c r="D10681" i="1"/>
  <c r="D10642" i="1"/>
  <c r="D10682" i="1"/>
  <c r="D10643" i="1"/>
  <c r="D10658" i="1"/>
  <c r="D10659" i="1"/>
  <c r="D10660" i="1"/>
  <c r="D10683" i="1"/>
  <c r="D10684" i="1"/>
  <c r="D10685" i="1"/>
  <c r="D15811" i="1"/>
  <c r="D3314" i="1"/>
  <c r="D4471" i="1"/>
  <c r="D23709" i="1"/>
  <c r="D23710" i="1"/>
  <c r="D23711" i="1"/>
  <c r="D23712" i="1"/>
  <c r="D23713" i="1"/>
  <c r="D23714" i="1"/>
  <c r="D23715" i="1"/>
  <c r="D4401" i="1"/>
  <c r="D23716" i="1"/>
  <c r="D23717" i="1"/>
  <c r="D23718" i="1"/>
  <c r="D23719" i="1"/>
  <c r="D13986" i="1"/>
  <c r="D13993" i="1"/>
  <c r="D13987" i="1"/>
  <c r="D12139" i="1"/>
  <c r="D12140" i="1"/>
  <c r="D12141" i="1"/>
  <c r="D12142" i="1"/>
  <c r="D12143" i="1"/>
  <c r="D12144" i="1"/>
  <c r="D12145" i="1"/>
  <c r="D12146" i="1"/>
  <c r="D12147" i="1"/>
  <c r="D18177" i="1"/>
  <c r="D26851" i="1"/>
  <c r="D3414" i="1"/>
  <c r="D24422" i="1"/>
  <c r="D15351" i="1"/>
  <c r="D15352" i="1"/>
  <c r="D15353" i="1"/>
  <c r="D15354" i="1"/>
  <c r="D10205" i="1"/>
  <c r="D4574" i="1"/>
  <c r="D4575" i="1"/>
  <c r="D3217" i="1"/>
  <c r="D3664" i="1"/>
  <c r="D3315" i="1"/>
  <c r="D3316" i="1"/>
  <c r="D27082" i="1"/>
  <c r="D5714" i="1"/>
  <c r="D23720" i="1"/>
  <c r="D10375" i="1"/>
  <c r="D23721" i="1"/>
  <c r="D23722" i="1"/>
  <c r="D23723" i="1"/>
  <c r="D23724" i="1"/>
  <c r="D17877" i="1"/>
  <c r="D12001" i="1"/>
  <c r="D19166" i="1"/>
  <c r="D19167" i="1"/>
  <c r="D26543" i="1"/>
  <c r="D26852" i="1"/>
  <c r="D26472" i="1"/>
  <c r="D25436" i="1"/>
  <c r="D23725" i="1"/>
  <c r="D23726" i="1"/>
  <c r="D23727" i="1"/>
  <c r="D23728" i="1"/>
  <c r="D23729" i="1"/>
  <c r="D23730" i="1"/>
  <c r="D25526" i="1"/>
  <c r="D14463" i="1"/>
  <c r="D19234" i="1"/>
  <c r="D23731" i="1"/>
  <c r="D23732" i="1"/>
  <c r="D19235" i="1"/>
  <c r="D19236" i="1"/>
  <c r="D11455" i="1"/>
  <c r="D23733" i="1"/>
  <c r="D2976" i="1"/>
  <c r="D2977" i="1"/>
  <c r="D2978" i="1"/>
  <c r="D25437" i="1"/>
  <c r="D25438" i="1"/>
  <c r="D18305" i="1"/>
  <c r="D25439" i="1"/>
  <c r="D14033" i="1"/>
  <c r="D13983" i="1"/>
  <c r="D14871" i="1"/>
  <c r="D25440" i="1"/>
  <c r="D3317" i="1"/>
  <c r="D4472" i="1"/>
  <c r="D2979" i="1"/>
  <c r="D2980" i="1"/>
  <c r="D2981" i="1"/>
  <c r="D25441" i="1"/>
  <c r="D2806" i="1"/>
  <c r="D23734" i="1"/>
  <c r="D23735" i="1"/>
  <c r="D23736" i="1"/>
  <c r="D23737" i="1"/>
  <c r="D23738" i="1"/>
  <c r="D23739" i="1"/>
  <c r="D17878" i="1"/>
  <c r="D23740" i="1"/>
  <c r="D23741" i="1"/>
  <c r="D23742" i="1"/>
  <c r="D25372" i="1"/>
  <c r="D23743" i="1"/>
  <c r="D23744" i="1"/>
  <c r="D23745" i="1"/>
  <c r="D23746" i="1"/>
  <c r="D23747" i="1"/>
  <c r="D23748" i="1"/>
  <c r="D23749" i="1"/>
  <c r="D23750" i="1"/>
  <c r="D23751" i="1"/>
  <c r="D23752" i="1"/>
  <c r="D10370" i="1"/>
  <c r="D10398" i="1"/>
  <c r="D10258" i="1"/>
  <c r="D15552" i="1"/>
  <c r="D10172" i="1"/>
  <c r="D10399" i="1"/>
  <c r="D17879" i="1"/>
  <c r="D25442" i="1"/>
  <c r="D25443" i="1"/>
  <c r="D19168" i="1"/>
  <c r="D19169" i="1"/>
  <c r="D17880" i="1"/>
  <c r="D12002" i="1"/>
  <c r="D10400" i="1"/>
  <c r="D25444" i="1"/>
  <c r="D19237" i="1"/>
  <c r="D19238" i="1"/>
  <c r="D18145" i="1"/>
  <c r="D23037" i="1"/>
  <c r="D23301" i="1"/>
  <c r="D23302" i="1"/>
  <c r="D17881" i="1"/>
  <c r="D10211" i="1"/>
  <c r="D17882" i="1"/>
  <c r="D17883" i="1"/>
  <c r="D10553" i="1"/>
  <c r="D10554" i="1"/>
  <c r="D10555" i="1"/>
  <c r="D10556" i="1"/>
  <c r="D10557" i="1"/>
  <c r="D10558" i="1"/>
  <c r="D10559" i="1"/>
  <c r="D10560" i="1"/>
  <c r="D10561" i="1"/>
  <c r="D22844" i="1"/>
  <c r="D17884" i="1"/>
  <c r="D5907" i="1"/>
  <c r="D17885" i="1"/>
  <c r="D1221" i="1"/>
  <c r="D17886" i="1"/>
  <c r="D17887" i="1"/>
  <c r="D13128" i="1"/>
  <c r="D17888" i="1"/>
  <c r="D25633" i="1"/>
  <c r="D25634" i="1"/>
  <c r="D17889" i="1"/>
  <c r="D11159" i="1"/>
  <c r="D26473" i="1"/>
  <c r="D16068" i="1"/>
  <c r="D17890" i="1"/>
  <c r="D5193" i="1"/>
  <c r="D26853" i="1"/>
  <c r="D11160" i="1"/>
  <c r="D2863" i="1"/>
  <c r="D2864" i="1"/>
  <c r="D14036" i="1"/>
  <c r="D23554" i="1"/>
  <c r="D11161" i="1"/>
  <c r="D11162" i="1"/>
  <c r="D567" i="1"/>
  <c r="D11163" i="1"/>
  <c r="D11164" i="1"/>
  <c r="D12563" i="1"/>
  <c r="D10121" i="1"/>
  <c r="D10122" i="1"/>
  <c r="D2734" i="1"/>
  <c r="D15873" i="1"/>
  <c r="D15874" i="1"/>
  <c r="D3318" i="1"/>
  <c r="D24660" i="1"/>
  <c r="D24661" i="1"/>
  <c r="D24662" i="1"/>
  <c r="D24663" i="1"/>
  <c r="D24664" i="1"/>
  <c r="D24665" i="1"/>
  <c r="D24666" i="1"/>
  <c r="D24667" i="1"/>
  <c r="D24668" i="1"/>
  <c r="D24669" i="1"/>
  <c r="D24670" i="1"/>
  <c r="D24671" i="1"/>
  <c r="D24672" i="1"/>
  <c r="D24673" i="1"/>
  <c r="D24674" i="1"/>
  <c r="D24675" i="1"/>
  <c r="D24676" i="1"/>
  <c r="D24677" i="1"/>
  <c r="D24678" i="1"/>
  <c r="D24679" i="1"/>
  <c r="D24680" i="1"/>
  <c r="D24681" i="1"/>
  <c r="D24682" i="1"/>
  <c r="D24683" i="1"/>
  <c r="D24684" i="1"/>
  <c r="D24685" i="1"/>
  <c r="D24686" i="1"/>
  <c r="D24687" i="1"/>
  <c r="D24688" i="1"/>
  <c r="D24689" i="1"/>
  <c r="D3319" i="1"/>
  <c r="D4066" i="1"/>
  <c r="D8090" i="1"/>
  <c r="D2597" i="1"/>
  <c r="D5941" i="1"/>
  <c r="D11858" i="1"/>
  <c r="D26854" i="1"/>
  <c r="D4259" i="1"/>
  <c r="D11165" i="1"/>
  <c r="D18660" i="1"/>
  <c r="D2865" i="1"/>
  <c r="D2866" i="1"/>
  <c r="D11166" i="1"/>
  <c r="D11496" i="1"/>
  <c r="D9461" i="1"/>
  <c r="D11167" i="1"/>
  <c r="D11168" i="1"/>
  <c r="D11497" i="1"/>
  <c r="D11169" i="1"/>
  <c r="D11498" i="1"/>
  <c r="D2867" i="1"/>
  <c r="D22845" i="1"/>
  <c r="D11170" i="1"/>
  <c r="D11171" i="1"/>
  <c r="D26855" i="1"/>
  <c r="D11172" i="1"/>
  <c r="D11499" i="1"/>
  <c r="D10993" i="1"/>
  <c r="D11173" i="1"/>
  <c r="D11500" i="1"/>
  <c r="D2807" i="1"/>
  <c r="D11174" i="1"/>
  <c r="D11175" i="1"/>
  <c r="D15322" i="1"/>
  <c r="D26856" i="1"/>
  <c r="D26857" i="1"/>
  <c r="D26536" i="1"/>
  <c r="D26858" i="1"/>
  <c r="D1483" i="1"/>
  <c r="D3320" i="1"/>
  <c r="D18661" i="1"/>
  <c r="D26859" i="1"/>
  <c r="D18306" i="1"/>
  <c r="D26860" i="1"/>
  <c r="D13266" i="1"/>
  <c r="D11176" i="1"/>
  <c r="D11177" i="1"/>
  <c r="D11501" i="1"/>
  <c r="D25543" i="1"/>
  <c r="D3321" i="1"/>
  <c r="D25970" i="1"/>
  <c r="D3322" i="1"/>
  <c r="D3323" i="1"/>
  <c r="D3324" i="1"/>
  <c r="D2808" i="1"/>
  <c r="D10921" i="1"/>
  <c r="D5194" i="1"/>
  <c r="D22846" i="1"/>
  <c r="D986" i="1"/>
  <c r="D15485" i="1"/>
  <c r="D5738" i="1"/>
  <c r="D5739" i="1"/>
  <c r="D1362" i="1"/>
  <c r="D1363" i="1"/>
  <c r="D6734" i="1"/>
  <c r="D15323" i="1"/>
  <c r="D15324" i="1"/>
  <c r="D12341" i="1"/>
  <c r="D12342" i="1"/>
  <c r="D12343" i="1"/>
  <c r="D12344" i="1"/>
  <c r="D12807" i="1"/>
  <c r="D12808" i="1"/>
  <c r="D12809" i="1"/>
  <c r="D12810" i="1"/>
  <c r="D12811" i="1"/>
  <c r="D12812" i="1"/>
  <c r="D23753" i="1"/>
  <c r="D23754" i="1"/>
  <c r="D23755" i="1"/>
  <c r="D23756" i="1"/>
  <c r="D23757" i="1"/>
  <c r="D23758" i="1"/>
  <c r="D2982" i="1"/>
  <c r="D2983" i="1"/>
  <c r="D23759" i="1"/>
  <c r="D2984" i="1"/>
  <c r="D2985" i="1"/>
  <c r="D2986" i="1"/>
  <c r="D2987" i="1"/>
  <c r="D18307" i="1"/>
  <c r="D10742" i="1"/>
  <c r="D10743" i="1"/>
  <c r="D15628" i="1"/>
  <c r="D5670" i="1"/>
  <c r="D10744" i="1"/>
  <c r="D25013" i="1"/>
  <c r="D2670" i="1"/>
  <c r="D5740" i="1"/>
  <c r="D25971" i="1"/>
  <c r="D25972" i="1"/>
  <c r="D25973" i="1"/>
  <c r="D26160" i="1"/>
  <c r="D10745" i="1"/>
  <c r="D25974" i="1"/>
  <c r="D10267" i="1"/>
  <c r="D7996" i="1"/>
  <c r="D19056" i="1"/>
  <c r="D5741" i="1"/>
  <c r="D1364" i="1"/>
  <c r="D1365" i="1"/>
  <c r="D2988" i="1"/>
  <c r="D25197" i="1"/>
  <c r="D23509" i="1"/>
  <c r="D11178" i="1"/>
  <c r="D12446" i="1"/>
  <c r="D25509" i="1"/>
  <c r="D4587" i="1"/>
  <c r="D20779" i="1"/>
  <c r="D20780" i="1"/>
  <c r="D20781" i="1"/>
  <c r="D20782" i="1"/>
  <c r="D20783" i="1"/>
  <c r="D20784" i="1"/>
  <c r="D20785" i="1"/>
  <c r="D20786" i="1"/>
  <c r="D13937" i="1"/>
  <c r="D15992" i="1"/>
  <c r="D1366" i="1"/>
  <c r="D1367" i="1"/>
  <c r="D26188" i="1"/>
  <c r="D25975" i="1"/>
  <c r="D25976" i="1"/>
  <c r="D25977" i="1"/>
  <c r="D25978" i="1"/>
  <c r="D25979" i="1"/>
  <c r="D25980" i="1"/>
  <c r="D25981" i="1"/>
  <c r="D26189" i="1"/>
  <c r="D25982" i="1"/>
  <c r="D25983" i="1"/>
  <c r="D20787" i="1"/>
  <c r="D20788" i="1"/>
  <c r="D20789" i="1"/>
  <c r="D20790" i="1"/>
  <c r="D20791" i="1"/>
  <c r="D20792" i="1"/>
  <c r="D20793" i="1"/>
  <c r="D20794" i="1"/>
  <c r="D20795" i="1"/>
  <c r="D20796" i="1"/>
  <c r="D20797" i="1"/>
  <c r="D20798" i="1"/>
  <c r="D20799" i="1"/>
  <c r="D20800" i="1"/>
  <c r="D20801" i="1"/>
  <c r="D20802" i="1"/>
  <c r="D20803" i="1"/>
  <c r="D20804" i="1"/>
  <c r="D20805" i="1"/>
  <c r="D20806" i="1"/>
  <c r="D20807" i="1"/>
  <c r="D20808" i="1"/>
  <c r="D20809" i="1"/>
  <c r="D20810" i="1"/>
  <c r="D20811" i="1"/>
  <c r="D20812" i="1"/>
  <c r="D20813" i="1"/>
  <c r="D20814" i="1"/>
  <c r="D20815" i="1"/>
  <c r="D20816" i="1"/>
  <c r="D20817" i="1"/>
  <c r="D20818" i="1"/>
  <c r="D15993" i="1"/>
  <c r="D15994" i="1"/>
  <c r="D15896" i="1"/>
  <c r="D20819" i="1"/>
  <c r="D11179" i="1"/>
  <c r="D20820" i="1"/>
  <c r="D20821" i="1"/>
  <c r="D20822" i="1"/>
  <c r="D20823" i="1"/>
  <c r="D3082" i="1"/>
  <c r="D20824" i="1"/>
  <c r="D26598" i="1"/>
  <c r="D2388" i="1"/>
  <c r="D23760" i="1"/>
  <c r="D23761" i="1"/>
  <c r="D20825" i="1"/>
  <c r="D20826" i="1"/>
  <c r="D20827" i="1"/>
  <c r="D20828" i="1"/>
  <c r="D20829" i="1"/>
  <c r="D20830" i="1"/>
  <c r="D20831" i="1"/>
  <c r="D20832" i="1"/>
  <c r="D20833" i="1"/>
  <c r="D20834" i="1"/>
  <c r="D20835" i="1"/>
  <c r="D20836" i="1"/>
  <c r="D20837" i="1"/>
  <c r="D15011" i="1"/>
  <c r="D26861" i="1"/>
  <c r="D10443" i="1"/>
  <c r="D22847" i="1"/>
  <c r="D22848" i="1"/>
  <c r="D15553" i="1"/>
  <c r="D20838" i="1"/>
  <c r="D20839" i="1"/>
  <c r="D20840" i="1"/>
  <c r="D20841" i="1"/>
  <c r="D20842" i="1"/>
  <c r="D20843" i="1"/>
  <c r="D20844" i="1"/>
  <c r="D20845" i="1"/>
  <c r="D20846" i="1"/>
  <c r="D20847" i="1"/>
  <c r="D20848" i="1"/>
  <c r="D20849" i="1"/>
  <c r="D20850" i="1"/>
  <c r="D20851" i="1"/>
  <c r="D20852" i="1"/>
  <c r="D20853" i="1"/>
  <c r="D20854" i="1"/>
  <c r="D20855" i="1"/>
  <c r="D20856" i="1"/>
  <c r="D20857" i="1"/>
  <c r="D20858" i="1"/>
  <c r="D20859" i="1"/>
  <c r="D20860" i="1"/>
  <c r="D20861" i="1"/>
  <c r="D20862" i="1"/>
  <c r="D20863" i="1"/>
  <c r="D20864" i="1"/>
  <c r="D20865" i="1"/>
  <c r="D20866" i="1"/>
  <c r="D20867" i="1"/>
  <c r="D20868" i="1"/>
  <c r="D20869" i="1"/>
  <c r="D20870" i="1"/>
  <c r="D20871" i="1"/>
  <c r="D20872" i="1"/>
  <c r="D20873" i="1"/>
  <c r="D20874" i="1"/>
  <c r="D20875" i="1"/>
  <c r="D20876" i="1"/>
  <c r="D20877" i="1"/>
  <c r="D20878" i="1"/>
  <c r="D20879" i="1"/>
  <c r="D3104" i="1"/>
  <c r="D2735" i="1"/>
  <c r="D26284" i="1"/>
  <c r="D26862" i="1"/>
  <c r="D20880" i="1"/>
  <c r="D20881" i="1"/>
  <c r="D20882" i="1"/>
  <c r="D20883" i="1"/>
  <c r="D20884" i="1"/>
  <c r="D20885" i="1"/>
  <c r="D20886" i="1"/>
  <c r="D20887" i="1"/>
  <c r="D20888" i="1"/>
  <c r="D20889" i="1"/>
  <c r="D20890" i="1"/>
  <c r="D20891" i="1"/>
  <c r="D20892" i="1"/>
  <c r="D20893" i="1"/>
  <c r="D20894" i="1"/>
  <c r="D11754" i="1"/>
  <c r="D15897" i="1"/>
  <c r="D20895" i="1"/>
  <c r="D20896" i="1"/>
  <c r="D17629" i="1"/>
  <c r="D20897" i="1"/>
  <c r="D20898" i="1"/>
  <c r="D20899" i="1"/>
  <c r="D20900" i="1"/>
  <c r="D20901" i="1"/>
  <c r="D20902" i="1"/>
  <c r="D15995" i="1"/>
  <c r="D5811" i="1"/>
  <c r="D9613" i="1"/>
  <c r="D9839" i="1"/>
  <c r="D9840" i="1"/>
  <c r="D9614" i="1"/>
  <c r="D922" i="1"/>
  <c r="D9615" i="1"/>
  <c r="D9616" i="1"/>
  <c r="D9617" i="1"/>
  <c r="D9618" i="1"/>
  <c r="D20903" i="1"/>
  <c r="D20904" i="1"/>
  <c r="D2809" i="1"/>
  <c r="D11714" i="1"/>
  <c r="D9619" i="1"/>
  <c r="D9620" i="1"/>
  <c r="D9621" i="1"/>
  <c r="D9622" i="1"/>
  <c r="D9841" i="1"/>
  <c r="D9623" i="1"/>
  <c r="D9842" i="1"/>
  <c r="D25510" i="1"/>
  <c r="D25373" i="1"/>
  <c r="D9624" i="1"/>
  <c r="D9625" i="1"/>
  <c r="D15996" i="1"/>
  <c r="D15997" i="1"/>
  <c r="D15012" i="1"/>
  <c r="D20905" i="1"/>
  <c r="D9626" i="1"/>
  <c r="D20906" i="1"/>
  <c r="D9627" i="1"/>
  <c r="D9843" i="1"/>
  <c r="D11743" i="1"/>
  <c r="D2736" i="1"/>
  <c r="D20907" i="1"/>
  <c r="D9628" i="1"/>
  <c r="D9629" i="1"/>
  <c r="D11907" i="1"/>
  <c r="D9844" i="1"/>
  <c r="D20908" i="1"/>
  <c r="D9630" i="1"/>
  <c r="D20909" i="1"/>
  <c r="D20910" i="1"/>
  <c r="D20911" i="1"/>
  <c r="D9631" i="1"/>
  <c r="D1368" i="1"/>
  <c r="D1369" i="1"/>
  <c r="D20912" i="1"/>
  <c r="D9632" i="1"/>
  <c r="D15998" i="1"/>
  <c r="D9633" i="1"/>
  <c r="D18308" i="1"/>
  <c r="D9634" i="1"/>
  <c r="D9909" i="1"/>
  <c r="D20913" i="1"/>
  <c r="D20914" i="1"/>
  <c r="D20915" i="1"/>
  <c r="D20916" i="1"/>
  <c r="D20917" i="1"/>
  <c r="D20918" i="1"/>
  <c r="D20919" i="1"/>
  <c r="D20920" i="1"/>
  <c r="D20921" i="1"/>
  <c r="D20922" i="1"/>
  <c r="D20923" i="1"/>
  <c r="D20924" i="1"/>
  <c r="D15999" i="1"/>
  <c r="D16000" i="1"/>
  <c r="D20925" i="1"/>
  <c r="D20926" i="1"/>
  <c r="D9635" i="1"/>
  <c r="D20927" i="1"/>
  <c r="D20928" i="1"/>
  <c r="D9636" i="1"/>
  <c r="D9637" i="1"/>
  <c r="D1370" i="1"/>
  <c r="D1371" i="1"/>
  <c r="D11715" i="1"/>
  <c r="D11716" i="1"/>
  <c r="D9638" i="1"/>
  <c r="D9639" i="1"/>
  <c r="D9640" i="1"/>
  <c r="D20929" i="1"/>
  <c r="D20930" i="1"/>
  <c r="D20931" i="1"/>
  <c r="D20932" i="1"/>
  <c r="D20933" i="1"/>
  <c r="D9940" i="1"/>
  <c r="D22812" i="1"/>
  <c r="D9845" i="1"/>
  <c r="D9641" i="1"/>
  <c r="D9642" i="1"/>
  <c r="D1372" i="1"/>
  <c r="D1373" i="1"/>
  <c r="D9643" i="1"/>
  <c r="D10496" i="1"/>
  <c r="D26863" i="1"/>
  <c r="D26864" i="1"/>
  <c r="D26865" i="1"/>
  <c r="D11180" i="1"/>
  <c r="D9403" i="1"/>
  <c r="D11181" i="1"/>
  <c r="D26866" i="1"/>
  <c r="D11182" i="1"/>
  <c r="D11183" i="1"/>
  <c r="D23106" i="1"/>
  <c r="D23303" i="1"/>
  <c r="D5742" i="1"/>
  <c r="D18309" i="1"/>
  <c r="D20934" i="1"/>
  <c r="D20935" i="1"/>
  <c r="D20936" i="1"/>
  <c r="D20937" i="1"/>
  <c r="D20938" i="1"/>
  <c r="D20939" i="1"/>
  <c r="D20940" i="1"/>
  <c r="D20941" i="1"/>
  <c r="D20942" i="1"/>
  <c r="D20943" i="1"/>
  <c r="D26867" i="1"/>
  <c r="D3105" i="1"/>
  <c r="D26868" i="1"/>
  <c r="D25797" i="1"/>
  <c r="D20944" i="1"/>
  <c r="D20945" i="1"/>
  <c r="D20946" i="1"/>
  <c r="D1374" i="1"/>
  <c r="D1375" i="1"/>
  <c r="D20947" i="1"/>
  <c r="D20948" i="1"/>
  <c r="D20949" i="1"/>
  <c r="D20950" i="1"/>
  <c r="D20951" i="1"/>
  <c r="D20952" i="1"/>
  <c r="D20953" i="1"/>
  <c r="D20954" i="1"/>
  <c r="D20955" i="1"/>
  <c r="D20956" i="1"/>
  <c r="D20957" i="1"/>
  <c r="D20958" i="1"/>
  <c r="D20959" i="1"/>
  <c r="D20960" i="1"/>
  <c r="D20961" i="1"/>
  <c r="D20962" i="1"/>
  <c r="D20963" i="1"/>
  <c r="D20964" i="1"/>
  <c r="D20965" i="1"/>
  <c r="D20966" i="1"/>
  <c r="D20967" i="1"/>
  <c r="D20968" i="1"/>
  <c r="D20969" i="1"/>
  <c r="D20970" i="1"/>
  <c r="D20971" i="1"/>
  <c r="D20972" i="1"/>
  <c r="D20973" i="1"/>
  <c r="D20974" i="1"/>
  <c r="D20975" i="1"/>
  <c r="D20976" i="1"/>
  <c r="D20977" i="1"/>
  <c r="D20978" i="1"/>
  <c r="D20979" i="1"/>
  <c r="D20980" i="1"/>
  <c r="D20981" i="1"/>
  <c r="D15583" i="1"/>
  <c r="D15584" i="1"/>
  <c r="D15585" i="1"/>
  <c r="D20982" i="1"/>
  <c r="D25445" i="1"/>
  <c r="D1242" i="1"/>
  <c r="D3395" i="1"/>
  <c r="D20983" i="1"/>
  <c r="D20984" i="1"/>
  <c r="D20985" i="1"/>
  <c r="D20986" i="1"/>
  <c r="D20987" i="1"/>
  <c r="D20988" i="1"/>
  <c r="D20989" i="1"/>
  <c r="D20990" i="1"/>
  <c r="D20991" i="1"/>
  <c r="D826" i="1"/>
  <c r="D827" i="1"/>
  <c r="D10746" i="1"/>
  <c r="D10747" i="1"/>
  <c r="D20992" i="1"/>
  <c r="D20993" i="1"/>
  <c r="D20994" i="1"/>
  <c r="D20995" i="1"/>
  <c r="D20996" i="1"/>
  <c r="D20997" i="1"/>
  <c r="D20998" i="1"/>
  <c r="D20999" i="1"/>
  <c r="D21000" i="1"/>
  <c r="D21001" i="1"/>
  <c r="D21002" i="1"/>
  <c r="D21003" i="1"/>
  <c r="D21004" i="1"/>
  <c r="D21005" i="1"/>
  <c r="D21006" i="1"/>
  <c r="D21007" i="1"/>
  <c r="D21008" i="1"/>
  <c r="D21009" i="1"/>
  <c r="D21010" i="1"/>
  <c r="D13245" i="1"/>
  <c r="D19711" i="1"/>
  <c r="D18662" i="1"/>
  <c r="D18663" i="1"/>
  <c r="D11908" i="1"/>
  <c r="D18664" i="1"/>
  <c r="D11673" i="1"/>
  <c r="D11674" i="1"/>
  <c r="D15812" i="1"/>
  <c r="D13121" i="1"/>
  <c r="D2868" i="1"/>
  <c r="D2810" i="1"/>
  <c r="D2811" i="1"/>
  <c r="D2737" i="1"/>
  <c r="D18665" i="1"/>
  <c r="D18666" i="1"/>
  <c r="D9644" i="1"/>
  <c r="D2738" i="1"/>
  <c r="D26161" i="1"/>
  <c r="D9645" i="1"/>
  <c r="D5098" i="1"/>
  <c r="D5104" i="1"/>
  <c r="D14279" i="1"/>
  <c r="D14280" i="1"/>
  <c r="D14281" i="1"/>
  <c r="D14282" i="1"/>
  <c r="D14283" i="1"/>
  <c r="D14284" i="1"/>
  <c r="D14285" i="1"/>
  <c r="D14286" i="1"/>
  <c r="D14287" i="1"/>
  <c r="D14288" i="1"/>
  <c r="D14289" i="1"/>
  <c r="D14436" i="1"/>
  <c r="D14437" i="1"/>
  <c r="D14290" i="1"/>
  <c r="D14291" i="1"/>
  <c r="D8230" i="1"/>
  <c r="D6735" i="1"/>
  <c r="D6736" i="1"/>
  <c r="D6737" i="1"/>
  <c r="D6738" i="1"/>
  <c r="D6739" i="1"/>
  <c r="D6740" i="1"/>
  <c r="D7746" i="1"/>
  <c r="D6741" i="1"/>
  <c r="D6742" i="1"/>
  <c r="D6743" i="1"/>
  <c r="D7747" i="1"/>
  <c r="D5924" i="1"/>
  <c r="D23549" i="1"/>
  <c r="D15119" i="1"/>
  <c r="D21011" i="1"/>
  <c r="D21012" i="1"/>
  <c r="D21013" i="1"/>
  <c r="D21014" i="1"/>
  <c r="D21015" i="1"/>
  <c r="D21016" i="1"/>
  <c r="D21017" i="1"/>
  <c r="D21018" i="1"/>
  <c r="D21019" i="1"/>
  <c r="D21020" i="1"/>
  <c r="D21021" i="1"/>
  <c r="D21022" i="1"/>
  <c r="D21023" i="1"/>
  <c r="D21024" i="1"/>
  <c r="D21025" i="1"/>
  <c r="D21026" i="1"/>
  <c r="D21027" i="1"/>
  <c r="D21028" i="1"/>
  <c r="D21029" i="1"/>
  <c r="D21030" i="1"/>
  <c r="D21031" i="1"/>
  <c r="D17891" i="1"/>
  <c r="D17892" i="1"/>
  <c r="D17893" i="1"/>
  <c r="D17894" i="1"/>
  <c r="D17895" i="1"/>
  <c r="D18538" i="1"/>
  <c r="D18539" i="1"/>
  <c r="D18540" i="1"/>
  <c r="D2371" i="1"/>
  <c r="D15256" i="1"/>
  <c r="D651" i="1"/>
  <c r="D15094" i="1"/>
  <c r="D4402" i="1"/>
  <c r="D16882" i="1"/>
  <c r="D2572" i="1"/>
  <c r="D2574" i="1"/>
  <c r="D4473" i="1"/>
  <c r="D15877" i="1"/>
  <c r="D15878" i="1"/>
  <c r="D3867" i="1"/>
  <c r="D2551" i="1"/>
  <c r="D15844" i="1"/>
  <c r="D24423" i="1"/>
  <c r="D24424" i="1"/>
  <c r="D10264" i="1"/>
  <c r="D17987" i="1"/>
  <c r="D13126" i="1"/>
  <c r="D776" i="1"/>
  <c r="D15780" i="1"/>
  <c r="D8034" i="1"/>
  <c r="D18667" i="1"/>
  <c r="D4097" i="1"/>
  <c r="D16157" i="1"/>
  <c r="D10238" i="1"/>
  <c r="D1222" i="1"/>
  <c r="D18668" i="1"/>
  <c r="D15621" i="1"/>
  <c r="D15622" i="1"/>
  <c r="D13162" i="1"/>
  <c r="D5436" i="1"/>
  <c r="D5437" i="1"/>
  <c r="D5438" i="1"/>
  <c r="D5439" i="1"/>
  <c r="D18310" i="1"/>
  <c r="D18311" i="1"/>
  <c r="D5440" i="1"/>
  <c r="D5441" i="1"/>
  <c r="D6744" i="1"/>
  <c r="D7748" i="1"/>
  <c r="D6745" i="1"/>
  <c r="D7749" i="1"/>
  <c r="D6746" i="1"/>
  <c r="D13163" i="1"/>
  <c r="D5442" i="1"/>
  <c r="D5443" i="1"/>
  <c r="D18046" i="1"/>
  <c r="D18057" i="1"/>
  <c r="D18058" i="1"/>
  <c r="D5444" i="1"/>
  <c r="D13164" i="1"/>
  <c r="D5445" i="1"/>
  <c r="D16883" i="1"/>
  <c r="D1912" i="1"/>
  <c r="D1913" i="1"/>
  <c r="D1914" i="1"/>
  <c r="D1915" i="1"/>
  <c r="D1916" i="1"/>
  <c r="D1917" i="1"/>
  <c r="D16884" i="1"/>
  <c r="D16885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521" i="1"/>
  <c r="D1522" i="1"/>
  <c r="D1523" i="1"/>
  <c r="D1524" i="1"/>
  <c r="D1525" i="1"/>
  <c r="D1526" i="1"/>
  <c r="D1527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6886" i="1"/>
  <c r="D1975" i="1"/>
  <c r="D1976" i="1"/>
  <c r="D1977" i="1"/>
  <c r="D1978" i="1"/>
  <c r="D1979" i="1"/>
  <c r="D16868" i="1"/>
  <c r="D16869" i="1"/>
  <c r="D1980" i="1"/>
  <c r="D1981" i="1"/>
  <c r="D1982" i="1"/>
  <c r="D1983" i="1"/>
  <c r="D1984" i="1"/>
  <c r="D1985" i="1"/>
  <c r="D16887" i="1"/>
  <c r="D1986" i="1"/>
  <c r="D1987" i="1"/>
  <c r="D17340" i="1"/>
  <c r="D1988" i="1"/>
  <c r="D16888" i="1"/>
  <c r="D16889" i="1"/>
  <c r="D16890" i="1"/>
  <c r="D16891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363" i="1"/>
  <c r="D2040" i="1"/>
  <c r="D18669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3762" i="1"/>
  <c r="D23763" i="1"/>
  <c r="D2069" i="1"/>
  <c r="D12624" i="1"/>
  <c r="D17564" i="1"/>
  <c r="D17447" i="1"/>
  <c r="D5826" i="1"/>
  <c r="D11538" i="1"/>
  <c r="D11184" i="1"/>
  <c r="D11185" i="1"/>
  <c r="D11186" i="1"/>
  <c r="D11187" i="1"/>
  <c r="D11188" i="1"/>
  <c r="D11189" i="1"/>
  <c r="D11190" i="1"/>
  <c r="D11191" i="1"/>
  <c r="D11539" i="1"/>
  <c r="D19684" i="1"/>
  <c r="D19685" i="1"/>
  <c r="D19686" i="1"/>
  <c r="D11192" i="1"/>
  <c r="D11193" i="1"/>
  <c r="D11194" i="1"/>
  <c r="D11195" i="1"/>
  <c r="D11196" i="1"/>
  <c r="D5195" i="1"/>
  <c r="D11197" i="1"/>
  <c r="D14644" i="1"/>
  <c r="D14645" i="1"/>
  <c r="D11891" i="1"/>
  <c r="D25781" i="1"/>
  <c r="D18670" i="1"/>
  <c r="D2671" i="1"/>
  <c r="D2672" i="1"/>
  <c r="D12695" i="1"/>
  <c r="D12696" i="1"/>
  <c r="D12697" i="1"/>
  <c r="D3172" i="1"/>
  <c r="D3173" i="1"/>
  <c r="D5908" i="1"/>
  <c r="D15486" i="1"/>
  <c r="D25984" i="1"/>
  <c r="D25985" i="1"/>
  <c r="D14935" i="1"/>
  <c r="D6747" i="1"/>
  <c r="D6748" i="1"/>
  <c r="D6749" i="1"/>
  <c r="D6750" i="1"/>
  <c r="D6751" i="1"/>
  <c r="D6752" i="1"/>
  <c r="D6753" i="1"/>
  <c r="D6754" i="1"/>
  <c r="D6755" i="1"/>
  <c r="D6756" i="1"/>
  <c r="D18018" i="1"/>
  <c r="D18019" i="1"/>
  <c r="D22813" i="1"/>
  <c r="D2812" i="1"/>
  <c r="D25986" i="1"/>
  <c r="D25987" i="1"/>
  <c r="D25988" i="1"/>
  <c r="D25989" i="1"/>
  <c r="D25990" i="1"/>
  <c r="D25991" i="1"/>
  <c r="D25992" i="1"/>
  <c r="D25993" i="1"/>
  <c r="D25994" i="1"/>
  <c r="D25995" i="1"/>
  <c r="D26869" i="1"/>
  <c r="D5196" i="1"/>
  <c r="D5197" i="1"/>
  <c r="D5198" i="1"/>
  <c r="D5199" i="1"/>
  <c r="D5200" i="1"/>
  <c r="D5201" i="1"/>
  <c r="D25996" i="1"/>
  <c r="D26198" i="1"/>
  <c r="D25997" i="1"/>
  <c r="D25837" i="1"/>
  <c r="D25998" i="1"/>
  <c r="D25999" i="1"/>
  <c r="D26000" i="1"/>
  <c r="D25635" i="1"/>
  <c r="D15845" i="1"/>
  <c r="D3605" i="1"/>
  <c r="D3588" i="1"/>
  <c r="D25572" i="1"/>
  <c r="D12484" i="1"/>
  <c r="D12485" i="1"/>
  <c r="D15651" i="1"/>
  <c r="D17779" i="1"/>
  <c r="D5776" i="1"/>
  <c r="D19429" i="1"/>
  <c r="D21032" i="1"/>
  <c r="D21033" i="1"/>
  <c r="D21034" i="1"/>
  <c r="D21035" i="1"/>
  <c r="D21036" i="1"/>
  <c r="D21037" i="1"/>
  <c r="D21038" i="1"/>
  <c r="D21039" i="1"/>
  <c r="D21040" i="1"/>
  <c r="D22946" i="1"/>
  <c r="D835" i="1"/>
  <c r="D10423" i="1"/>
  <c r="D14673" i="1"/>
  <c r="D14674" i="1"/>
  <c r="D14675" i="1"/>
  <c r="D14676" i="1"/>
  <c r="D14677" i="1"/>
  <c r="D19062" i="1"/>
  <c r="D18020" i="1"/>
  <c r="D18021" i="1"/>
  <c r="D4098" i="1"/>
  <c r="D4260" i="1"/>
  <c r="D11440" i="1"/>
  <c r="D25808" i="1"/>
  <c r="D4067" i="1"/>
  <c r="D4261" i="1"/>
  <c r="D13232" i="1"/>
  <c r="D4937" i="1"/>
  <c r="D4945" i="1"/>
  <c r="D4965" i="1"/>
  <c r="D12625" i="1"/>
  <c r="D12626" i="1"/>
  <c r="D4099" i="1"/>
  <c r="D14725" i="1"/>
  <c r="D3462" i="1"/>
  <c r="D775" i="1"/>
  <c r="D4100" i="1"/>
  <c r="D4020" i="1"/>
  <c r="D2456" i="1"/>
  <c r="D777" i="1"/>
  <c r="D4655" i="1"/>
  <c r="D4656" i="1"/>
  <c r="D17780" i="1"/>
  <c r="D19416" i="1"/>
  <c r="D5842" i="1"/>
  <c r="D5843" i="1"/>
  <c r="D5844" i="1"/>
  <c r="D3136" i="1"/>
  <c r="D11782" i="1"/>
  <c r="D3137" i="1"/>
  <c r="D13165" i="1"/>
  <c r="D3149" i="1"/>
  <c r="D13166" i="1"/>
  <c r="D11804" i="1"/>
  <c r="D19127" i="1"/>
  <c r="D595" i="1"/>
  <c r="D14726" i="1"/>
  <c r="D14727" i="1"/>
  <c r="D14728" i="1"/>
  <c r="D13167" i="1"/>
  <c r="D14729" i="1"/>
  <c r="D14730" i="1"/>
  <c r="D13168" i="1"/>
  <c r="D6757" i="1"/>
  <c r="D6758" i="1"/>
  <c r="D6759" i="1"/>
  <c r="D6760" i="1"/>
  <c r="D15630" i="1"/>
  <c r="D15631" i="1"/>
  <c r="D4646" i="1"/>
  <c r="D11783" i="1"/>
  <c r="D11784" i="1"/>
  <c r="D6761" i="1"/>
  <c r="D7750" i="1"/>
  <c r="D23119" i="1"/>
  <c r="D14731" i="1"/>
  <c r="D19128" i="1"/>
  <c r="D11785" i="1"/>
  <c r="D3150" i="1"/>
  <c r="D11786" i="1"/>
  <c r="D14732" i="1"/>
  <c r="D11787" i="1"/>
  <c r="D13169" i="1"/>
  <c r="D596" i="1"/>
  <c r="D3138" i="1"/>
  <c r="D22988" i="1"/>
  <c r="D22989" i="1"/>
  <c r="D13170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10265" i="1"/>
  <c r="D1528" i="1"/>
  <c r="D13966" i="1"/>
  <c r="D793" i="1"/>
  <c r="D5667" i="1"/>
  <c r="D5668" i="1"/>
  <c r="D5669" i="1"/>
  <c r="D2093" i="1"/>
  <c r="D2094" i="1"/>
  <c r="D2095" i="1"/>
  <c r="D2096" i="1"/>
  <c r="D2097" i="1"/>
  <c r="D2098" i="1"/>
  <c r="D2099" i="1"/>
  <c r="D2100" i="1"/>
  <c r="D19658" i="1"/>
  <c r="D19659" i="1"/>
  <c r="D2101" i="1"/>
  <c r="D2102" i="1"/>
  <c r="D2103" i="1"/>
  <c r="D2104" i="1"/>
  <c r="D2105" i="1"/>
  <c r="D2106" i="1"/>
  <c r="D5138" i="1"/>
  <c r="D17448" i="1"/>
  <c r="D17449" i="1"/>
  <c r="D17450" i="1"/>
  <c r="D2107" i="1"/>
  <c r="D2108" i="1"/>
  <c r="D2109" i="1"/>
  <c r="D8193" i="1"/>
  <c r="D4360" i="1"/>
  <c r="D4372" i="1"/>
  <c r="D12627" i="1"/>
  <c r="D22849" i="1"/>
  <c r="D22850" i="1"/>
  <c r="D22851" i="1"/>
  <c r="D829" i="1"/>
  <c r="D10424" i="1"/>
  <c r="D4976" i="1"/>
  <c r="D4977" i="1"/>
  <c r="D4193" i="1"/>
  <c r="D1048" i="1"/>
  <c r="D4194" i="1"/>
  <c r="D1223" i="1"/>
  <c r="D3877" i="1"/>
  <c r="D3878" i="1"/>
  <c r="D23764" i="1"/>
  <c r="D23765" i="1"/>
  <c r="D23766" i="1"/>
  <c r="D19129" i="1"/>
  <c r="D13127" i="1"/>
  <c r="D8035" i="1"/>
  <c r="D8036" i="1"/>
  <c r="D18671" i="1"/>
  <c r="D5822" i="1"/>
  <c r="D5823" i="1"/>
  <c r="D5824" i="1"/>
  <c r="D18672" i="1"/>
  <c r="D15025" i="1"/>
  <c r="D25636" i="1"/>
  <c r="D5656" i="1"/>
  <c r="D6762" i="1"/>
  <c r="D7751" i="1"/>
  <c r="D6763" i="1"/>
  <c r="D7752" i="1"/>
  <c r="D6764" i="1"/>
  <c r="D10268" i="1"/>
  <c r="D19084" i="1"/>
  <c r="D14475" i="1"/>
  <c r="D8084" i="1"/>
  <c r="D597" i="1"/>
  <c r="D6765" i="1"/>
  <c r="D6766" i="1"/>
  <c r="D6767" i="1"/>
  <c r="D6768" i="1"/>
  <c r="D6769" i="1"/>
  <c r="D6770" i="1"/>
  <c r="D6771" i="1"/>
  <c r="D13068" i="1"/>
  <c r="D13069" i="1"/>
  <c r="D5696" i="1"/>
  <c r="D5743" i="1"/>
  <c r="D10136" i="1"/>
  <c r="D10137" i="1"/>
  <c r="D5692" i="1"/>
  <c r="D10239" i="1"/>
  <c r="D12628" i="1"/>
  <c r="D12629" i="1"/>
  <c r="D12630" i="1"/>
  <c r="D598" i="1"/>
  <c r="D5014" i="1"/>
  <c r="D12631" i="1"/>
  <c r="D25527" i="1"/>
  <c r="D25446" i="1"/>
  <c r="D12632" i="1"/>
  <c r="D8037" i="1"/>
  <c r="D12551" i="1"/>
  <c r="D12552" i="1"/>
  <c r="D4405" i="1"/>
  <c r="D26340" i="1"/>
  <c r="D26548" i="1"/>
  <c r="D26678" i="1"/>
  <c r="D10505" i="1"/>
  <c r="D854" i="1"/>
  <c r="D866" i="1"/>
  <c r="D879" i="1"/>
  <c r="D15055" i="1"/>
  <c r="D15623" i="1"/>
  <c r="D26001" i="1"/>
  <c r="D26341" i="1"/>
  <c r="D3689" i="1"/>
  <c r="D3690" i="1"/>
  <c r="D11198" i="1"/>
  <c r="D11199" i="1"/>
  <c r="D11200" i="1"/>
  <c r="D11201" i="1"/>
  <c r="D2692" i="1"/>
  <c r="D19010" i="1"/>
  <c r="D19011" i="1"/>
  <c r="D10294" i="1"/>
  <c r="D1899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6772" i="1"/>
  <c r="D6773" i="1"/>
  <c r="D6774" i="1"/>
  <c r="D6775" i="1"/>
  <c r="D6776" i="1"/>
  <c r="D6777" i="1"/>
  <c r="D6778" i="1"/>
  <c r="D232" i="1"/>
  <c r="D6779" i="1"/>
  <c r="D10173" i="1"/>
  <c r="D10174" i="1"/>
  <c r="D1247" i="1"/>
  <c r="D4195" i="1"/>
  <c r="D18547" i="1"/>
  <c r="D7753" i="1"/>
  <c r="D17630" i="1"/>
  <c r="D10241" i="1"/>
  <c r="D4474" i="1"/>
  <c r="D4978" i="1"/>
  <c r="D4979" i="1"/>
  <c r="D10425" i="1"/>
  <c r="D2917" i="1"/>
  <c r="D599" i="1"/>
  <c r="D17451" i="1"/>
  <c r="D17452" i="1"/>
  <c r="D17453" i="1"/>
  <c r="D17454" i="1"/>
  <c r="D17455" i="1"/>
  <c r="D17456" i="1"/>
  <c r="D10083" i="1"/>
  <c r="D15881" i="1"/>
  <c r="D15882" i="1"/>
  <c r="D909" i="1"/>
  <c r="D8206" i="1"/>
  <c r="D11215" i="1"/>
  <c r="D5" i="1"/>
  <c r="D6" i="1"/>
  <c r="D8106" i="1"/>
  <c r="D8173" i="1"/>
  <c r="D8187" i="1"/>
  <c r="D8107" i="1"/>
  <c r="D8174" i="1"/>
  <c r="D8188" i="1"/>
  <c r="D18942" i="1"/>
  <c r="D18943" i="1"/>
  <c r="D13189" i="1"/>
  <c r="D2813" i="1"/>
  <c r="D4164" i="1"/>
  <c r="D983" i="1"/>
  <c r="D23550" i="1"/>
  <c r="D23551" i="1"/>
  <c r="D14486" i="1"/>
  <c r="D14487" i="1"/>
  <c r="D3563" i="1"/>
  <c r="D25175" i="1"/>
  <c r="D1087" i="1"/>
  <c r="D718" i="1"/>
  <c r="D4101" i="1"/>
  <c r="D4052" i="1"/>
  <c r="D4053" i="1"/>
  <c r="D4054" i="1"/>
  <c r="D4055" i="1"/>
  <c r="D23096" i="1"/>
  <c r="D23107" i="1"/>
  <c r="D23144" i="1"/>
  <c r="D23097" i="1"/>
  <c r="D23145" i="1"/>
  <c r="D12999" i="1"/>
  <c r="D13000" i="1"/>
  <c r="D9263" i="1"/>
  <c r="D9264" i="1"/>
  <c r="D9265" i="1"/>
  <c r="D9266" i="1"/>
  <c r="D10050" i="1"/>
  <c r="D19075" i="1"/>
  <c r="D1088" i="1"/>
  <c r="D1089" i="1"/>
  <c r="D19170" i="1"/>
  <c r="D19171" i="1"/>
  <c r="D4475" i="1"/>
  <c r="D932" i="1"/>
  <c r="D2814" i="1"/>
  <c r="D11216" i="1"/>
  <c r="D11217" i="1"/>
  <c r="D9646" i="1"/>
  <c r="D9647" i="1"/>
  <c r="D9648" i="1"/>
  <c r="D9649" i="1"/>
  <c r="D1090" i="1"/>
  <c r="D1091" i="1"/>
  <c r="D19172" i="1"/>
  <c r="D19173" i="1"/>
  <c r="D589" i="1"/>
  <c r="D13938" i="1"/>
  <c r="D11218" i="1"/>
  <c r="D11219" i="1"/>
  <c r="D2110" i="1"/>
  <c r="D2111" i="1"/>
  <c r="D2112" i="1"/>
  <c r="D25447" i="1"/>
  <c r="D25448" i="1"/>
  <c r="D25449" i="1"/>
  <c r="D13146" i="1"/>
  <c r="D19068" i="1"/>
  <c r="D4657" i="1"/>
  <c r="D10922" i="1"/>
  <c r="D11468" i="1"/>
  <c r="D8091" i="1"/>
  <c r="D19012" i="1"/>
  <c r="D18146" i="1"/>
  <c r="D24425" i="1"/>
  <c r="D23038" i="1"/>
  <c r="D23304" i="1"/>
  <c r="D23120" i="1"/>
  <c r="D18147" i="1"/>
  <c r="D5940" i="1"/>
  <c r="D24375" i="1"/>
  <c r="D3325" i="1"/>
  <c r="D10376" i="1"/>
  <c r="D3326" i="1"/>
  <c r="D10686" i="1"/>
  <c r="D10687" i="1"/>
  <c r="D12942" i="1"/>
  <c r="D12943" i="1"/>
  <c r="D5792" i="1"/>
  <c r="D15955" i="1"/>
  <c r="D18916" i="1"/>
  <c r="D10426" i="1"/>
  <c r="D25450" i="1"/>
  <c r="D25374" i="1"/>
  <c r="D25451" i="1"/>
  <c r="D25452" i="1"/>
  <c r="D25453" i="1"/>
  <c r="D25454" i="1"/>
  <c r="D17714" i="1"/>
  <c r="D10231" i="1"/>
  <c r="D10232" i="1"/>
  <c r="D3415" i="1"/>
  <c r="D23305" i="1"/>
  <c r="D2408" i="1"/>
  <c r="D12281" i="1"/>
  <c r="D12282" i="1"/>
  <c r="D12283" i="1"/>
  <c r="D12284" i="1"/>
  <c r="D12285" i="1"/>
  <c r="D9426" i="1"/>
  <c r="D4102" i="1"/>
  <c r="D4103" i="1"/>
  <c r="D4104" i="1"/>
  <c r="D3992" i="1"/>
  <c r="D4105" i="1"/>
  <c r="D4056" i="1"/>
  <c r="D4106" i="1"/>
  <c r="D5862" i="1"/>
  <c r="D9509" i="1"/>
  <c r="D9510" i="1"/>
  <c r="D9511" i="1"/>
  <c r="D4593" i="1"/>
  <c r="D12813" i="1"/>
  <c r="D12814" i="1"/>
  <c r="D12815" i="1"/>
  <c r="D12816" i="1"/>
  <c r="D12817" i="1"/>
  <c r="D12818" i="1"/>
  <c r="D12819" i="1"/>
  <c r="D12820" i="1"/>
  <c r="D15635" i="1"/>
  <c r="D694" i="1"/>
  <c r="D695" i="1"/>
  <c r="D15193" i="1"/>
  <c r="D15194" i="1"/>
  <c r="D15195" i="1"/>
  <c r="D15617" i="1"/>
  <c r="D12821" i="1"/>
  <c r="D12822" i="1"/>
  <c r="D1137" i="1"/>
  <c r="D12877" i="1"/>
  <c r="D12878" i="1"/>
  <c r="D12879" i="1"/>
  <c r="D12880" i="1"/>
  <c r="D12881" i="1"/>
  <c r="D696" i="1"/>
  <c r="D697" i="1"/>
  <c r="D3416" i="1"/>
  <c r="D3417" i="1"/>
  <c r="D13994" i="1"/>
  <c r="D3434" i="1"/>
  <c r="D18108" i="1"/>
  <c r="D18109" i="1"/>
  <c r="D12573" i="1"/>
  <c r="D8057" i="1"/>
  <c r="D9950" i="1"/>
  <c r="D12574" i="1"/>
  <c r="D25528" i="1"/>
  <c r="D9185" i="1"/>
  <c r="D5808" i="1"/>
  <c r="D9186" i="1"/>
  <c r="D2511" i="1"/>
  <c r="D17457" i="1"/>
  <c r="D11220" i="1"/>
  <c r="D10886" i="1"/>
  <c r="D11221" i="1"/>
  <c r="D12823" i="1"/>
  <c r="D12824" i="1"/>
  <c r="D12825" i="1"/>
  <c r="D12826" i="1"/>
  <c r="D12827" i="1"/>
  <c r="D12828" i="1"/>
  <c r="D9187" i="1"/>
  <c r="D9188" i="1"/>
  <c r="D9189" i="1"/>
  <c r="D9190" i="1"/>
  <c r="D3638" i="1"/>
  <c r="D10748" i="1"/>
  <c r="D10749" i="1"/>
  <c r="D1224" i="1"/>
  <c r="D1225" i="1"/>
  <c r="D2989" i="1"/>
  <c r="D2990" i="1"/>
  <c r="D2991" i="1"/>
  <c r="D23767" i="1"/>
  <c r="D233" i="1"/>
  <c r="D23768" i="1"/>
  <c r="D2992" i="1"/>
  <c r="D2993" i="1"/>
  <c r="D2994" i="1"/>
  <c r="D2995" i="1"/>
  <c r="D2996" i="1"/>
  <c r="D2997" i="1"/>
  <c r="D2998" i="1"/>
  <c r="D2999" i="1"/>
  <c r="D23769" i="1"/>
  <c r="D3000" i="1"/>
  <c r="D6780" i="1"/>
  <c r="D12148" i="1"/>
  <c r="D12149" i="1"/>
  <c r="D18178" i="1"/>
  <c r="D12955" i="1"/>
  <c r="D12970" i="1"/>
  <c r="D13001" i="1"/>
  <c r="D13107" i="1"/>
  <c r="D749" i="1"/>
  <c r="D10015" i="1"/>
  <c r="D10016" i="1"/>
  <c r="D1092" i="1"/>
  <c r="D19239" i="1"/>
  <c r="D19240" i="1"/>
  <c r="D19241" i="1"/>
  <c r="D19242" i="1"/>
  <c r="D19243" i="1"/>
  <c r="D19244" i="1"/>
  <c r="D19245" i="1"/>
  <c r="D19246" i="1"/>
  <c r="D19247" i="1"/>
  <c r="D19248" i="1"/>
  <c r="D23770" i="1"/>
  <c r="D23771" i="1"/>
  <c r="D23772" i="1"/>
  <c r="D23773" i="1"/>
  <c r="D23774" i="1"/>
  <c r="D19249" i="1"/>
  <c r="D19250" i="1"/>
  <c r="D23775" i="1"/>
  <c r="D23776" i="1"/>
  <c r="D23777" i="1"/>
  <c r="D23778" i="1"/>
  <c r="D23779" i="1"/>
  <c r="D23780" i="1"/>
  <c r="D23781" i="1"/>
  <c r="D2378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5827" i="1"/>
  <c r="D12486" i="1"/>
  <c r="D12521" i="1"/>
  <c r="D12487" i="1"/>
  <c r="D12522" i="1"/>
  <c r="D10175" i="1"/>
  <c r="D14484" i="1"/>
  <c r="D14485" i="1"/>
  <c r="D22971" i="1"/>
  <c r="D22972" i="1"/>
  <c r="D12582" i="1"/>
  <c r="D23306" i="1"/>
  <c r="D23146" i="1"/>
  <c r="D12150" i="1"/>
  <c r="D12151" i="1"/>
  <c r="D12152" i="1"/>
  <c r="D12153" i="1"/>
  <c r="D12154" i="1"/>
  <c r="D12155" i="1"/>
  <c r="D12156" i="1"/>
  <c r="D12157" i="1"/>
  <c r="D12158" i="1"/>
  <c r="D12728" i="1"/>
  <c r="D12159" i="1"/>
  <c r="D13002" i="1"/>
  <c r="D8207" i="1"/>
  <c r="D18179" i="1"/>
  <c r="D8773" i="1"/>
  <c r="D8774" i="1"/>
  <c r="D11862" i="1"/>
  <c r="D11641" i="1"/>
  <c r="D11642" i="1"/>
  <c r="D11643" i="1"/>
  <c r="D11644" i="1"/>
  <c r="D14438" i="1"/>
  <c r="D14292" i="1"/>
  <c r="D14293" i="1"/>
  <c r="D14294" i="1"/>
  <c r="D14295" i="1"/>
  <c r="D14296" i="1"/>
  <c r="D14297" i="1"/>
  <c r="D14298" i="1"/>
  <c r="D14299" i="1"/>
  <c r="D14300" i="1"/>
  <c r="D14301" i="1"/>
  <c r="D14302" i="1"/>
  <c r="D14303" i="1"/>
  <c r="D14304" i="1"/>
  <c r="D14305" i="1"/>
  <c r="D14306" i="1"/>
  <c r="D11645" i="1"/>
  <c r="D5828" i="1"/>
  <c r="D11646" i="1"/>
  <c r="D11647" i="1"/>
  <c r="D25250" i="1"/>
  <c r="D25292" i="1"/>
  <c r="D25251" i="1"/>
  <c r="D25293" i="1"/>
  <c r="D25252" i="1"/>
  <c r="D25294" i="1"/>
  <c r="D25253" i="1"/>
  <c r="D25295" i="1"/>
  <c r="D9118" i="1"/>
  <c r="D9119" i="1"/>
  <c r="D10384" i="1"/>
  <c r="D10401" i="1"/>
  <c r="D10402" i="1"/>
  <c r="D15098" i="1"/>
  <c r="D10385" i="1"/>
  <c r="D10403" i="1"/>
  <c r="D23783" i="1"/>
  <c r="D23784" i="1"/>
  <c r="D23785" i="1"/>
  <c r="D23786" i="1"/>
  <c r="D23787" i="1"/>
  <c r="D23788" i="1"/>
  <c r="D23789" i="1"/>
  <c r="D23790" i="1"/>
  <c r="D23791" i="1"/>
  <c r="D23792" i="1"/>
  <c r="D23793" i="1"/>
  <c r="D23794" i="1"/>
  <c r="D12383" i="1"/>
  <c r="D10994" i="1"/>
  <c r="D15325" i="1"/>
  <c r="D5829" i="1"/>
  <c r="D2673" i="1"/>
  <c r="D23795" i="1"/>
  <c r="D15586" i="1"/>
  <c r="D15587" i="1"/>
  <c r="D15588" i="1"/>
  <c r="D15589" i="1"/>
  <c r="D19251" i="1"/>
  <c r="D10923" i="1"/>
  <c r="D3327" i="1"/>
  <c r="D25198" i="1"/>
  <c r="D25199" i="1"/>
  <c r="D17458" i="1"/>
  <c r="D17459" i="1"/>
  <c r="D17460" i="1"/>
  <c r="D17461" i="1"/>
  <c r="D17462" i="1"/>
  <c r="D17463" i="1"/>
  <c r="D15312" i="1"/>
  <c r="D15313" i="1"/>
  <c r="D14894" i="1"/>
  <c r="D14895" i="1"/>
  <c r="D14896" i="1"/>
  <c r="D14897" i="1"/>
  <c r="D14898" i="1"/>
  <c r="D12160" i="1"/>
  <c r="D12161" i="1"/>
  <c r="D12162" i="1"/>
  <c r="D12163" i="1"/>
  <c r="D8134" i="1"/>
  <c r="D8135" i="1"/>
  <c r="D8179" i="1"/>
  <c r="D8190" i="1"/>
  <c r="D17464" i="1"/>
  <c r="D17465" i="1"/>
  <c r="D3328" i="1"/>
  <c r="D3329" i="1"/>
  <c r="D10750" i="1"/>
  <c r="D10751" i="1"/>
  <c r="D10752" i="1"/>
  <c r="D10753" i="1"/>
  <c r="D10562" i="1"/>
  <c r="D10563" i="1"/>
  <c r="D10564" i="1"/>
  <c r="D10565" i="1"/>
  <c r="D10566" i="1"/>
  <c r="D10567" i="1"/>
  <c r="D10568" i="1"/>
  <c r="D10569" i="1"/>
  <c r="D10570" i="1"/>
  <c r="D11717" i="1"/>
  <c r="D11718" i="1"/>
  <c r="D910" i="1"/>
  <c r="D21041" i="1"/>
  <c r="D21042" i="1"/>
  <c r="D21043" i="1"/>
  <c r="D21044" i="1"/>
  <c r="D21045" i="1"/>
  <c r="D21046" i="1"/>
  <c r="D21047" i="1"/>
  <c r="D21048" i="1"/>
  <c r="D21049" i="1"/>
  <c r="D21050" i="1"/>
  <c r="D21051" i="1"/>
  <c r="D21052" i="1"/>
  <c r="D21053" i="1"/>
  <c r="D21054" i="1"/>
  <c r="D21055" i="1"/>
  <c r="D21056" i="1"/>
  <c r="D21057" i="1"/>
  <c r="D21058" i="1"/>
  <c r="D21059" i="1"/>
  <c r="D21060" i="1"/>
  <c r="D21061" i="1"/>
  <c r="D21062" i="1"/>
  <c r="D21063" i="1"/>
  <c r="D21064" i="1"/>
  <c r="D21065" i="1"/>
  <c r="D21066" i="1"/>
  <c r="D21067" i="1"/>
  <c r="D21068" i="1"/>
  <c r="D21069" i="1"/>
  <c r="D21070" i="1"/>
  <c r="D21071" i="1"/>
  <c r="D21072" i="1"/>
  <c r="D21073" i="1"/>
  <c r="D21074" i="1"/>
  <c r="D21075" i="1"/>
  <c r="D21076" i="1"/>
  <c r="D21077" i="1"/>
  <c r="D21078" i="1"/>
  <c r="D21079" i="1"/>
  <c r="D21080" i="1"/>
  <c r="D21081" i="1"/>
  <c r="D21082" i="1"/>
  <c r="D21083" i="1"/>
  <c r="D21084" i="1"/>
  <c r="D21085" i="1"/>
  <c r="D21086" i="1"/>
  <c r="D21087" i="1"/>
  <c r="D21088" i="1"/>
  <c r="D21089" i="1"/>
  <c r="D21090" i="1"/>
  <c r="D21091" i="1"/>
  <c r="D21092" i="1"/>
  <c r="D21093" i="1"/>
  <c r="D21094" i="1"/>
  <c r="D21095" i="1"/>
  <c r="D21096" i="1"/>
  <c r="D21097" i="1"/>
  <c r="D21098" i="1"/>
  <c r="D21099" i="1"/>
  <c r="D21100" i="1"/>
  <c r="D21101" i="1"/>
  <c r="D21102" i="1"/>
  <c r="D21103" i="1"/>
  <c r="D21104" i="1"/>
  <c r="D21105" i="1"/>
  <c r="D21106" i="1"/>
  <c r="D21107" i="1"/>
  <c r="D21108" i="1"/>
  <c r="D21109" i="1"/>
  <c r="D21110" i="1"/>
  <c r="D21111" i="1"/>
  <c r="D21112" i="1"/>
  <c r="D21113" i="1"/>
  <c r="D21114" i="1"/>
  <c r="D21115" i="1"/>
  <c r="D21116" i="1"/>
  <c r="D21117" i="1"/>
  <c r="D21118" i="1"/>
  <c r="D21119" i="1"/>
  <c r="D21120" i="1"/>
  <c r="D21121" i="1"/>
  <c r="D21122" i="1"/>
  <c r="D21123" i="1"/>
  <c r="D21124" i="1"/>
  <c r="D21125" i="1"/>
  <c r="D21126" i="1"/>
  <c r="D21127" i="1"/>
  <c r="D21128" i="1"/>
  <c r="D21129" i="1"/>
  <c r="D21130" i="1"/>
  <c r="D21131" i="1"/>
  <c r="D21132" i="1"/>
  <c r="D21133" i="1"/>
  <c r="D21134" i="1"/>
  <c r="D21135" i="1"/>
  <c r="D21136" i="1"/>
  <c r="D21137" i="1"/>
  <c r="D21138" i="1"/>
  <c r="D21139" i="1"/>
  <c r="D21140" i="1"/>
  <c r="D21141" i="1"/>
  <c r="D21142" i="1"/>
  <c r="D21143" i="1"/>
  <c r="D21144" i="1"/>
  <c r="D21145" i="1"/>
  <c r="D21146" i="1"/>
  <c r="D21147" i="1"/>
  <c r="D21148" i="1"/>
  <c r="D21149" i="1"/>
  <c r="D21150" i="1"/>
  <c r="D21151" i="1"/>
  <c r="D19626" i="1"/>
  <c r="D19638" i="1"/>
  <c r="D19627" i="1"/>
  <c r="D19639" i="1"/>
  <c r="D21152" i="1"/>
  <c r="D21153" i="1"/>
  <c r="D21154" i="1"/>
  <c r="D21155" i="1"/>
  <c r="D21156" i="1"/>
  <c r="D21157" i="1"/>
  <c r="D21158" i="1"/>
  <c r="D21159" i="1"/>
  <c r="D21160" i="1"/>
  <c r="D21161" i="1"/>
  <c r="D21162" i="1"/>
  <c r="D21163" i="1"/>
  <c r="D21164" i="1"/>
  <c r="D21165" i="1"/>
  <c r="D21166" i="1"/>
  <c r="D21167" i="1"/>
  <c r="D21168" i="1"/>
  <c r="D21169" i="1"/>
  <c r="D21170" i="1"/>
  <c r="D21171" i="1"/>
  <c r="D21172" i="1"/>
  <c r="D21173" i="1"/>
  <c r="D2915" i="1"/>
  <c r="D1376" i="1"/>
  <c r="D11689" i="1"/>
  <c r="D11690" i="1"/>
  <c r="D11691" i="1"/>
  <c r="D11692" i="1"/>
  <c r="D11693" i="1"/>
  <c r="D11694" i="1"/>
  <c r="D11695" i="1"/>
  <c r="D11696" i="1"/>
  <c r="D11697" i="1"/>
  <c r="D8775" i="1"/>
  <c r="D13921" i="1"/>
  <c r="D19019" i="1"/>
  <c r="D25455" i="1"/>
  <c r="D25456" i="1"/>
  <c r="D8776" i="1"/>
  <c r="D8777" i="1"/>
  <c r="D27040" i="1"/>
  <c r="D18165" i="1"/>
  <c r="D24426" i="1"/>
  <c r="D24427" i="1"/>
  <c r="D8249" i="1"/>
  <c r="D14134" i="1"/>
  <c r="D24428" i="1"/>
  <c r="D24429" i="1"/>
  <c r="D24430" i="1"/>
  <c r="D24431" i="1"/>
  <c r="D24432" i="1"/>
  <c r="D8778" i="1"/>
  <c r="D2578" i="1"/>
  <c r="D25575" i="1"/>
  <c r="D1475" i="1"/>
  <c r="D3779" i="1"/>
  <c r="D5389" i="1"/>
  <c r="D5390" i="1"/>
  <c r="D5402" i="1"/>
  <c r="D11603" i="1"/>
  <c r="D11604" i="1"/>
  <c r="D11605" i="1"/>
  <c r="D11606" i="1"/>
  <c r="D11607" i="1"/>
  <c r="D13070" i="1"/>
  <c r="D13071" i="1"/>
  <c r="D16001" i="1"/>
  <c r="D16002" i="1"/>
  <c r="D16003" i="1"/>
  <c r="D16004" i="1"/>
  <c r="D16005" i="1"/>
  <c r="D16006" i="1"/>
  <c r="D15414" i="1"/>
  <c r="D16007" i="1"/>
  <c r="D16008" i="1"/>
  <c r="D16009" i="1"/>
  <c r="D23796" i="1"/>
  <c r="D3001" i="1"/>
  <c r="D3002" i="1"/>
  <c r="D23797" i="1"/>
  <c r="D24357" i="1"/>
  <c r="D25296" i="1"/>
  <c r="D23798" i="1"/>
  <c r="D23799" i="1"/>
  <c r="D25297" i="1"/>
  <c r="D23800" i="1"/>
  <c r="D23801" i="1"/>
  <c r="D23802" i="1"/>
  <c r="D23803" i="1"/>
  <c r="D23804" i="1"/>
  <c r="D4262" i="1"/>
  <c r="D4263" i="1"/>
  <c r="D2593" i="1"/>
  <c r="D23307" i="1"/>
  <c r="D23308" i="1"/>
  <c r="D1377" i="1"/>
  <c r="D1378" i="1"/>
  <c r="D2552" i="1"/>
  <c r="D10980" i="1"/>
  <c r="D1379" i="1"/>
  <c r="D1380" i="1"/>
  <c r="D23805" i="1"/>
  <c r="D23806" i="1"/>
  <c r="D3848" i="1"/>
  <c r="D1381" i="1"/>
  <c r="D1382" i="1"/>
  <c r="D1383" i="1"/>
  <c r="D1384" i="1"/>
  <c r="D17631" i="1"/>
  <c r="D23807" i="1"/>
  <c r="D23808" i="1"/>
  <c r="D2532" i="1"/>
  <c r="D2538" i="1"/>
  <c r="D2542" i="1"/>
  <c r="D2553" i="1"/>
  <c r="D13927" i="1"/>
  <c r="D23809" i="1"/>
  <c r="D23810" i="1"/>
  <c r="D9427" i="1"/>
  <c r="D4476" i="1"/>
  <c r="D11009" i="1"/>
  <c r="D25556" i="1"/>
  <c r="D25557" i="1"/>
  <c r="D1484" i="1"/>
  <c r="D1205" i="1"/>
  <c r="D5949" i="1"/>
  <c r="D3106" i="1"/>
  <c r="D3107" i="1"/>
  <c r="D3108" i="1"/>
  <c r="D1385" i="1"/>
  <c r="D10250" i="1"/>
  <c r="D10251" i="1"/>
  <c r="D21174" i="1"/>
  <c r="D16168" i="1"/>
  <c r="D19678" i="1"/>
  <c r="D21175" i="1"/>
  <c r="D21176" i="1"/>
  <c r="D21177" i="1"/>
  <c r="D21178" i="1"/>
  <c r="D21179" i="1"/>
  <c r="D21180" i="1"/>
  <c r="D21181" i="1"/>
  <c r="D21182" i="1"/>
  <c r="D21183" i="1"/>
  <c r="D21184" i="1"/>
  <c r="D21185" i="1"/>
  <c r="D5516" i="1"/>
  <c r="D5552" i="1"/>
  <c r="D21186" i="1"/>
  <c r="D21187" i="1"/>
  <c r="D21188" i="1"/>
  <c r="D21189" i="1"/>
  <c r="D21190" i="1"/>
  <c r="D21191" i="1"/>
  <c r="D21192" i="1"/>
  <c r="D21193" i="1"/>
  <c r="D21194" i="1"/>
  <c r="D21195" i="1"/>
  <c r="D21196" i="1"/>
  <c r="D21197" i="1"/>
  <c r="D21198" i="1"/>
  <c r="D21199" i="1"/>
  <c r="D21200" i="1"/>
  <c r="D21201" i="1"/>
  <c r="D21202" i="1"/>
  <c r="D21203" i="1"/>
  <c r="D21204" i="1"/>
  <c r="D21205" i="1"/>
  <c r="D21206" i="1"/>
  <c r="D21207" i="1"/>
  <c r="D21208" i="1"/>
  <c r="D21209" i="1"/>
  <c r="D21210" i="1"/>
  <c r="D21211" i="1"/>
  <c r="D21212" i="1"/>
  <c r="D21213" i="1"/>
  <c r="D21214" i="1"/>
  <c r="D21215" i="1"/>
  <c r="D21216" i="1"/>
  <c r="D21217" i="1"/>
  <c r="D21218" i="1"/>
  <c r="D21219" i="1"/>
  <c r="D21220" i="1"/>
  <c r="D21221" i="1"/>
  <c r="D21222" i="1"/>
  <c r="D21223" i="1"/>
  <c r="D21224" i="1"/>
  <c r="D21225" i="1"/>
  <c r="D21226" i="1"/>
  <c r="D21227" i="1"/>
  <c r="D21228" i="1"/>
  <c r="D21229" i="1"/>
  <c r="D21230" i="1"/>
  <c r="D21231" i="1"/>
  <c r="D21232" i="1"/>
  <c r="D19628" i="1"/>
  <c r="D19640" i="1"/>
  <c r="D21233" i="1"/>
  <c r="D21234" i="1"/>
  <c r="D21235" i="1"/>
  <c r="D21236" i="1"/>
  <c r="D21237" i="1"/>
  <c r="D21238" i="1"/>
  <c r="D21239" i="1"/>
  <c r="D21240" i="1"/>
  <c r="D21241" i="1"/>
  <c r="D21242" i="1"/>
  <c r="D21243" i="1"/>
  <c r="D21244" i="1"/>
  <c r="D21245" i="1"/>
  <c r="D21246" i="1"/>
  <c r="D21247" i="1"/>
  <c r="D21248" i="1"/>
  <c r="D21249" i="1"/>
  <c r="D21250" i="1"/>
  <c r="D21251" i="1"/>
  <c r="D21252" i="1"/>
  <c r="D9941" i="1"/>
  <c r="D26599" i="1"/>
  <c r="D26870" i="1"/>
  <c r="D26871" i="1"/>
  <c r="D3849" i="1"/>
  <c r="D9650" i="1"/>
  <c r="D9942" i="1"/>
  <c r="D9651" i="1"/>
  <c r="D9652" i="1"/>
  <c r="D21253" i="1"/>
  <c r="D21254" i="1"/>
  <c r="D21255" i="1"/>
  <c r="D21256" i="1"/>
  <c r="D21257" i="1"/>
  <c r="D21258" i="1"/>
  <c r="D21259" i="1"/>
  <c r="D21260" i="1"/>
  <c r="D21261" i="1"/>
  <c r="D2815" i="1"/>
  <c r="D16158" i="1"/>
  <c r="D9653" i="1"/>
  <c r="D9445" i="1"/>
  <c r="D9654" i="1"/>
  <c r="D2816" i="1"/>
  <c r="D9428" i="1"/>
  <c r="D9655" i="1"/>
  <c r="D9656" i="1"/>
  <c r="D9657" i="1"/>
  <c r="D11222" i="1"/>
  <c r="D2389" i="1"/>
  <c r="D9120" i="1"/>
  <c r="D9128" i="1"/>
  <c r="D9658" i="1"/>
  <c r="D9659" i="1"/>
  <c r="D9910" i="1"/>
  <c r="D9911" i="1"/>
  <c r="D9912" i="1"/>
  <c r="D9913" i="1"/>
  <c r="D9660" i="1"/>
  <c r="D2739" i="1"/>
  <c r="D26002" i="1"/>
  <c r="D26003" i="1"/>
  <c r="D26004" i="1"/>
  <c r="D26005" i="1"/>
  <c r="D26006" i="1"/>
  <c r="D26007" i="1"/>
  <c r="D26008" i="1"/>
  <c r="D26009" i="1"/>
  <c r="D26010" i="1"/>
  <c r="D26011" i="1"/>
  <c r="D10288" i="1"/>
  <c r="D14844" i="1"/>
  <c r="D14845" i="1"/>
  <c r="D14846" i="1"/>
  <c r="D14847" i="1"/>
  <c r="D14848" i="1"/>
  <c r="D14849" i="1"/>
  <c r="D24433" i="1"/>
  <c r="D24434" i="1"/>
  <c r="D23811" i="1"/>
  <c r="D23812" i="1"/>
  <c r="D23813" i="1"/>
  <c r="D23814" i="1"/>
  <c r="D23815" i="1"/>
  <c r="D23816" i="1"/>
  <c r="D23817" i="1"/>
  <c r="D23818" i="1"/>
  <c r="D23819" i="1"/>
  <c r="D15879" i="1"/>
  <c r="D23820" i="1"/>
  <c r="D23821" i="1"/>
  <c r="D5063" i="1"/>
  <c r="D5083" i="1"/>
  <c r="D23822" i="1"/>
  <c r="D24690" i="1"/>
  <c r="D24691" i="1"/>
  <c r="D24692" i="1"/>
  <c r="D24693" i="1"/>
  <c r="D24694" i="1"/>
  <c r="D24695" i="1"/>
  <c r="D24696" i="1"/>
  <c r="D24697" i="1"/>
  <c r="D24698" i="1"/>
  <c r="D24699" i="1"/>
  <c r="D24700" i="1"/>
  <c r="D24701" i="1"/>
  <c r="D24702" i="1"/>
  <c r="D24703" i="1"/>
  <c r="D24704" i="1"/>
  <c r="D24705" i="1"/>
  <c r="D24706" i="1"/>
  <c r="D24707" i="1"/>
  <c r="D24708" i="1"/>
  <c r="D24709" i="1"/>
  <c r="D24710" i="1"/>
  <c r="D24711" i="1"/>
  <c r="D24712" i="1"/>
  <c r="D24713" i="1"/>
  <c r="D24714" i="1"/>
  <c r="D24715" i="1"/>
  <c r="D24716" i="1"/>
  <c r="D24717" i="1"/>
  <c r="D24718" i="1"/>
  <c r="D24719" i="1"/>
  <c r="D5064" i="1"/>
  <c r="D5084" i="1"/>
  <c r="D5065" i="1"/>
  <c r="D5085" i="1"/>
  <c r="D5066" i="1"/>
  <c r="D5086" i="1"/>
  <c r="D3330" i="1"/>
  <c r="D3331" i="1"/>
  <c r="D19085" i="1"/>
  <c r="D3332" i="1"/>
  <c r="D3333" i="1"/>
  <c r="D3334" i="1"/>
  <c r="D3335" i="1"/>
  <c r="D3003" i="1"/>
  <c r="D11861" i="1"/>
  <c r="D4107" i="1"/>
  <c r="D17988" i="1"/>
  <c r="D11963" i="1"/>
  <c r="D5130" i="1"/>
  <c r="D5131" i="1"/>
  <c r="D11755" i="1"/>
  <c r="D11744" i="1"/>
  <c r="D11719" i="1"/>
  <c r="D4361" i="1"/>
  <c r="D4373" i="1"/>
  <c r="D21262" i="1"/>
  <c r="D21263" i="1"/>
  <c r="D21264" i="1"/>
  <c r="D21265" i="1"/>
  <c r="D21266" i="1"/>
  <c r="D21267" i="1"/>
  <c r="D21268" i="1"/>
  <c r="D21269" i="1"/>
  <c r="D21270" i="1"/>
  <c r="D21271" i="1"/>
  <c r="D21272" i="1"/>
  <c r="D12633" i="1"/>
  <c r="D21273" i="1"/>
  <c r="D21274" i="1"/>
  <c r="D21275" i="1"/>
  <c r="D21276" i="1"/>
  <c r="D21277" i="1"/>
  <c r="D21278" i="1"/>
  <c r="D21279" i="1"/>
  <c r="D4264" i="1"/>
  <c r="D4265" i="1"/>
  <c r="D4021" i="1"/>
  <c r="D4477" i="1"/>
  <c r="D14165" i="1"/>
  <c r="D4022" i="1"/>
  <c r="D907" i="1"/>
  <c r="D4108" i="1"/>
  <c r="D14630" i="1"/>
  <c r="D4478" i="1"/>
  <c r="D21280" i="1"/>
  <c r="D18992" i="1"/>
  <c r="D18993" i="1"/>
  <c r="D21281" i="1"/>
  <c r="D3850" i="1"/>
  <c r="D4321" i="1"/>
  <c r="D17466" i="1"/>
  <c r="D17341" i="1"/>
  <c r="D14511" i="1"/>
  <c r="D16865" i="1"/>
  <c r="D4266" i="1"/>
  <c r="D25637" i="1"/>
  <c r="D4267" i="1"/>
  <c r="D4268" i="1"/>
  <c r="D9808" i="1"/>
  <c r="D9809" i="1"/>
  <c r="D9810" i="1"/>
  <c r="D9811" i="1"/>
  <c r="D3210" i="1"/>
  <c r="D16827" i="1"/>
  <c r="D16828" i="1"/>
  <c r="D8170" i="1"/>
  <c r="D9812" i="1"/>
  <c r="D2674" i="1"/>
  <c r="D2675" i="1"/>
  <c r="D1386" i="1"/>
  <c r="D14459" i="1"/>
  <c r="D5744" i="1"/>
  <c r="D14646" i="1"/>
  <c r="D14647" i="1"/>
  <c r="D21282" i="1"/>
  <c r="D14152" i="1"/>
  <c r="D744" i="1"/>
  <c r="D14512" i="1"/>
  <c r="D14513" i="1"/>
  <c r="D14514" i="1"/>
  <c r="D14515" i="1"/>
  <c r="D11223" i="1"/>
  <c r="D14516" i="1"/>
  <c r="D11224" i="1"/>
  <c r="D11225" i="1"/>
  <c r="D11226" i="1"/>
  <c r="D11227" i="1"/>
  <c r="D11540" i="1"/>
  <c r="D2817" i="1"/>
  <c r="D11541" i="1"/>
  <c r="D3256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3257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26162" i="1"/>
  <c r="D308" i="1"/>
  <c r="D11228" i="1"/>
  <c r="D18673" i="1"/>
  <c r="D4455" i="1"/>
  <c r="D4196" i="1"/>
  <c r="D2512" i="1"/>
  <c r="D18830" i="1"/>
  <c r="D1226" i="1"/>
  <c r="D2598" i="1"/>
  <c r="D18022" i="1"/>
  <c r="D18023" i="1"/>
  <c r="D18024" i="1"/>
  <c r="D18025" i="1"/>
  <c r="D14517" i="1"/>
  <c r="D14518" i="1"/>
  <c r="D14519" i="1"/>
  <c r="D8085" i="1"/>
  <c r="D14476" i="1"/>
  <c r="D3868" i="1"/>
  <c r="D3869" i="1"/>
  <c r="D12345" i="1"/>
  <c r="D12346" i="1"/>
  <c r="D12347" i="1"/>
  <c r="D3851" i="1"/>
  <c r="D3852" i="1"/>
  <c r="D5673" i="1"/>
  <c r="D3174" i="1"/>
  <c r="D3175" i="1"/>
  <c r="D18412" i="1"/>
  <c r="D4109" i="1"/>
  <c r="D9846" i="1"/>
  <c r="D9847" i="1"/>
  <c r="D9848" i="1"/>
  <c r="D9849" i="1"/>
  <c r="D9850" i="1"/>
  <c r="D5841" i="1"/>
  <c r="D25457" i="1"/>
  <c r="D25458" i="1"/>
  <c r="D25459" i="1"/>
  <c r="D25460" i="1"/>
  <c r="D25461" i="1"/>
  <c r="D4269" i="1"/>
  <c r="D4601" i="1"/>
  <c r="D17" i="1"/>
  <c r="D18" i="1"/>
  <c r="D19" i="1"/>
  <c r="D26012" i="1"/>
  <c r="D22902" i="1"/>
  <c r="D4023" i="1"/>
  <c r="D15076" i="1"/>
  <c r="D17569" i="1"/>
  <c r="D10304" i="1"/>
  <c r="D9851" i="1"/>
  <c r="D9852" i="1"/>
  <c r="D809" i="1"/>
  <c r="D810" i="1"/>
  <c r="D5671" i="1"/>
  <c r="D17579" i="1"/>
  <c r="D17580" i="1"/>
  <c r="D12634" i="1"/>
  <c r="D12635" i="1"/>
  <c r="D26600" i="1"/>
  <c r="D309" i="1"/>
  <c r="D310" i="1"/>
  <c r="D311" i="1"/>
  <c r="D312" i="1"/>
  <c r="D17467" i="1"/>
  <c r="D17468" i="1"/>
  <c r="D17469" i="1"/>
  <c r="D17470" i="1"/>
  <c r="D17471" i="1"/>
  <c r="D17472" i="1"/>
  <c r="D20" i="1"/>
  <c r="D3258" i="1"/>
  <c r="D3259" i="1"/>
  <c r="D11821" i="1"/>
  <c r="D10200" i="1"/>
  <c r="D3260" i="1"/>
  <c r="D19076" i="1"/>
  <c r="D5836" i="1"/>
  <c r="D3004" i="1"/>
  <c r="D3005" i="1"/>
  <c r="D3006" i="1"/>
  <c r="D2740" i="1"/>
  <c r="D18576" i="1"/>
  <c r="D18674" i="1"/>
  <c r="D13975" i="1"/>
  <c r="D2584" i="1"/>
  <c r="D6781" i="1"/>
  <c r="D7754" i="1"/>
  <c r="D14180" i="1"/>
  <c r="D6782" i="1"/>
  <c r="D6783" i="1"/>
  <c r="D6784" i="1"/>
  <c r="D6785" i="1"/>
  <c r="D7755" i="1"/>
  <c r="D6786" i="1"/>
  <c r="D4197" i="1"/>
  <c r="D6787" i="1"/>
  <c r="D7756" i="1"/>
  <c r="D23309" i="1"/>
  <c r="D24435" i="1"/>
  <c r="D24436" i="1"/>
  <c r="D24437" i="1"/>
  <c r="D24438" i="1"/>
  <c r="D1387" i="1"/>
  <c r="D1388" i="1"/>
  <c r="D22957" i="1"/>
  <c r="D26013" i="1"/>
  <c r="D10497" i="1"/>
  <c r="D9661" i="1"/>
  <c r="D9853" i="1"/>
  <c r="D9662" i="1"/>
  <c r="D9663" i="1"/>
  <c r="D9664" i="1"/>
  <c r="D9665" i="1"/>
  <c r="D9666" i="1"/>
  <c r="D9943" i="1"/>
  <c r="D9667" i="1"/>
  <c r="D9668" i="1"/>
  <c r="D2390" i="1"/>
  <c r="D1130" i="1"/>
  <c r="D26601" i="1"/>
  <c r="D9293" i="1"/>
  <c r="D9306" i="1"/>
  <c r="D9294" i="1"/>
  <c r="D9307" i="1"/>
  <c r="D9295" i="1"/>
  <c r="D9308" i="1"/>
  <c r="D9296" i="1"/>
  <c r="D9309" i="1"/>
  <c r="D11876" i="1"/>
  <c r="D11863" i="1"/>
  <c r="D21283" i="1"/>
  <c r="D21284" i="1"/>
  <c r="D21285" i="1"/>
  <c r="D21286" i="1"/>
  <c r="D21287" i="1"/>
  <c r="D21288" i="1"/>
  <c r="D21289" i="1"/>
  <c r="D21290" i="1"/>
  <c r="D21291" i="1"/>
  <c r="D21292" i="1"/>
  <c r="D9914" i="1"/>
  <c r="D9915" i="1"/>
  <c r="D9916" i="1"/>
  <c r="D9917" i="1"/>
  <c r="D15508" i="1"/>
  <c r="D9459" i="1"/>
  <c r="D9460" i="1"/>
  <c r="D2513" i="1"/>
  <c r="D12523" i="1"/>
  <c r="D14561" i="1"/>
  <c r="D21" i="1"/>
  <c r="D22" i="1"/>
  <c r="D4403" i="1"/>
  <c r="D4479" i="1"/>
  <c r="D17473" i="1"/>
  <c r="D17474" i="1"/>
  <c r="D17475" i="1"/>
  <c r="D17476" i="1"/>
  <c r="D17477" i="1"/>
  <c r="D17478" i="1"/>
  <c r="D4110" i="1"/>
  <c r="D10017" i="1"/>
  <c r="D4001" i="1"/>
  <c r="D4111" i="1"/>
  <c r="D12164" i="1"/>
  <c r="D19025" i="1"/>
  <c r="D18944" i="1"/>
  <c r="D12286" i="1"/>
  <c r="D12287" i="1"/>
  <c r="D12288" i="1"/>
  <c r="D12289" i="1"/>
  <c r="D12290" i="1"/>
  <c r="D13003" i="1"/>
  <c r="D18166" i="1"/>
  <c r="D13004" i="1"/>
  <c r="D10273" i="1"/>
  <c r="D23084" i="1"/>
  <c r="D23310" i="1"/>
  <c r="D13147" i="1"/>
  <c r="D8208" i="1"/>
  <c r="D2514" i="1"/>
  <c r="D9191" i="1"/>
  <c r="D9192" i="1"/>
  <c r="D3813" i="1"/>
  <c r="D9193" i="1"/>
  <c r="D8136" i="1"/>
  <c r="D8108" i="1"/>
  <c r="D8137" i="1"/>
  <c r="D9194" i="1"/>
  <c r="D9195" i="1"/>
  <c r="D3336" i="1"/>
  <c r="D3337" i="1"/>
  <c r="D3338" i="1"/>
  <c r="D3339" i="1"/>
  <c r="D12829" i="1"/>
  <c r="D12830" i="1"/>
  <c r="D12831" i="1"/>
  <c r="D12832" i="1"/>
  <c r="D12833" i="1"/>
  <c r="D12834" i="1"/>
  <c r="D11824" i="1"/>
  <c r="D25462" i="1"/>
  <c r="D25463" i="1"/>
  <c r="D25464" i="1"/>
  <c r="D25375" i="1"/>
  <c r="D25465" i="1"/>
  <c r="D25466" i="1"/>
  <c r="D313" i="1"/>
  <c r="D314" i="1"/>
  <c r="D315" i="1"/>
  <c r="D820" i="1"/>
  <c r="D25558" i="1"/>
  <c r="D25559" i="1"/>
  <c r="D18167" i="1"/>
  <c r="D13945" i="1"/>
  <c r="D4024" i="1"/>
  <c r="D4025" i="1"/>
  <c r="D523" i="1"/>
  <c r="D524" i="1"/>
  <c r="D525" i="1"/>
  <c r="D526" i="1"/>
  <c r="D527" i="1"/>
  <c r="D528" i="1"/>
  <c r="D18069" i="1"/>
  <c r="D18070" i="1"/>
  <c r="D2526" i="1"/>
  <c r="D2528" i="1"/>
  <c r="D19691" i="1"/>
  <c r="D10444" i="1"/>
  <c r="D4026" i="1"/>
  <c r="D3418" i="1"/>
  <c r="D14850" i="1"/>
  <c r="D14851" i="1"/>
  <c r="D14852" i="1"/>
  <c r="D14853" i="1"/>
  <c r="D23311" i="1"/>
  <c r="D23005" i="1"/>
  <c r="D23312" i="1"/>
  <c r="D12165" i="1"/>
  <c r="D12166" i="1"/>
  <c r="D12167" i="1"/>
  <c r="D12168" i="1"/>
  <c r="D12169" i="1"/>
  <c r="D12170" i="1"/>
  <c r="D12171" i="1"/>
  <c r="D12172" i="1"/>
  <c r="D12173" i="1"/>
  <c r="D10111" i="1"/>
  <c r="D10112" i="1"/>
  <c r="D10113" i="1"/>
  <c r="D10114" i="1"/>
  <c r="D10115" i="1"/>
  <c r="D10116" i="1"/>
  <c r="D11608" i="1"/>
  <c r="D11609" i="1"/>
  <c r="D11610" i="1"/>
  <c r="D11611" i="1"/>
  <c r="D11612" i="1"/>
  <c r="D5553" i="1"/>
  <c r="D5496" i="1"/>
  <c r="D5517" i="1"/>
  <c r="D5518" i="1"/>
  <c r="D1093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13925" i="1"/>
  <c r="D11448" i="1"/>
  <c r="D12636" i="1"/>
  <c r="D15104" i="1"/>
  <c r="D12174" i="1"/>
  <c r="D12175" i="1"/>
  <c r="D13118" i="1"/>
  <c r="D13119" i="1"/>
  <c r="D5391" i="1"/>
  <c r="D5403" i="1"/>
  <c r="D9267" i="1"/>
  <c r="D9268" i="1"/>
  <c r="D9269" i="1"/>
  <c r="D9270" i="1"/>
  <c r="D14976" i="1"/>
  <c r="D14977" i="1"/>
  <c r="D14978" i="1"/>
  <c r="D14979" i="1"/>
  <c r="D14980" i="1"/>
  <c r="D14981" i="1"/>
  <c r="D14982" i="1"/>
  <c r="D14983" i="1"/>
  <c r="D14984" i="1"/>
  <c r="D14985" i="1"/>
  <c r="D14986" i="1"/>
  <c r="D14987" i="1"/>
  <c r="D14988" i="1"/>
  <c r="D1094" i="1"/>
  <c r="D1095" i="1"/>
  <c r="D15826" i="1"/>
  <c r="D18110" i="1"/>
  <c r="D18111" i="1"/>
  <c r="D1096" i="1"/>
  <c r="D109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14899" i="1"/>
  <c r="D14900" i="1"/>
  <c r="D14901" i="1"/>
  <c r="D14902" i="1"/>
  <c r="D14903" i="1"/>
  <c r="D855" i="1"/>
  <c r="D867" i="1"/>
  <c r="D880" i="1"/>
  <c r="D12327" i="1"/>
  <c r="D9196" i="1"/>
  <c r="D9197" i="1"/>
  <c r="D9198" i="1"/>
  <c r="D9199" i="1"/>
  <c r="D9512" i="1"/>
  <c r="D9513" i="1"/>
  <c r="D9514" i="1"/>
  <c r="D11229" i="1"/>
  <c r="D4270" i="1"/>
  <c r="D11230" i="1"/>
  <c r="D11231" i="1"/>
  <c r="D11961" i="1"/>
  <c r="D27075" i="1"/>
  <c r="D11825" i="1"/>
  <c r="D11845" i="1"/>
  <c r="D11846" i="1"/>
  <c r="D6788" i="1"/>
  <c r="D6789" i="1"/>
  <c r="D3644" i="1"/>
  <c r="D17479" i="1"/>
  <c r="D23823" i="1"/>
  <c r="D23824" i="1"/>
  <c r="D23825" i="1"/>
  <c r="D23826" i="1"/>
  <c r="D6790" i="1"/>
  <c r="D6791" i="1"/>
  <c r="D6792" i="1"/>
  <c r="D6793" i="1"/>
  <c r="D6794" i="1"/>
  <c r="D23827" i="1"/>
  <c r="D23828" i="1"/>
  <c r="D23829" i="1"/>
  <c r="D23830" i="1"/>
  <c r="D23831" i="1"/>
  <c r="D23832" i="1"/>
  <c r="D23833" i="1"/>
  <c r="D23834" i="1"/>
  <c r="D23835" i="1"/>
  <c r="D23836" i="1"/>
  <c r="D6795" i="1"/>
  <c r="D6796" i="1"/>
  <c r="D23837" i="1"/>
  <c r="D23838" i="1"/>
  <c r="D23839" i="1"/>
  <c r="D23840" i="1"/>
  <c r="D23841" i="1"/>
  <c r="D14821" i="1"/>
  <c r="D6797" i="1"/>
  <c r="D7757" i="1"/>
  <c r="D805" i="1"/>
  <c r="D25254" i="1"/>
  <c r="D25298" i="1"/>
  <c r="D25255" i="1"/>
  <c r="D25299" i="1"/>
  <c r="D25256" i="1"/>
  <c r="D25300" i="1"/>
  <c r="D25257" i="1"/>
  <c r="D25301" i="1"/>
  <c r="D23842" i="1"/>
  <c r="D23843" i="1"/>
  <c r="D23844" i="1"/>
  <c r="D23845" i="1"/>
  <c r="D23846" i="1"/>
  <c r="D23847" i="1"/>
  <c r="D3007" i="1"/>
  <c r="D3008" i="1"/>
  <c r="D3009" i="1"/>
  <c r="D3010" i="1"/>
  <c r="D23848" i="1"/>
  <c r="D23849" i="1"/>
  <c r="D6798" i="1"/>
  <c r="D6799" i="1"/>
  <c r="D6800" i="1"/>
  <c r="D6801" i="1"/>
  <c r="D19174" i="1"/>
  <c r="D19175" i="1"/>
  <c r="D23850" i="1"/>
  <c r="D23851" i="1"/>
  <c r="D19679" i="1"/>
  <c r="D19176" i="1"/>
  <c r="D19177" i="1"/>
  <c r="D3011" i="1"/>
  <c r="D3012" i="1"/>
  <c r="D3748" i="1"/>
  <c r="D6802" i="1"/>
  <c r="D7758" i="1"/>
  <c r="D6803" i="1"/>
  <c r="D7759" i="1"/>
  <c r="D6804" i="1"/>
  <c r="D7760" i="1"/>
  <c r="D25529" i="1"/>
  <c r="D23852" i="1"/>
  <c r="D23853" i="1"/>
  <c r="D23854" i="1"/>
  <c r="D23855" i="1"/>
  <c r="D17480" i="1"/>
  <c r="D17481" i="1"/>
  <c r="D23856" i="1"/>
  <c r="D23857" i="1"/>
  <c r="D23858" i="1"/>
  <c r="D23859" i="1"/>
  <c r="D23860" i="1"/>
  <c r="D24439" i="1"/>
  <c r="D3013" i="1"/>
  <c r="D3014" i="1"/>
  <c r="D3015" i="1"/>
  <c r="D23861" i="1"/>
  <c r="D23862" i="1"/>
  <c r="D19252" i="1"/>
  <c r="D19253" i="1"/>
  <c r="D19254" i="1"/>
  <c r="D19255" i="1"/>
  <c r="D19256" i="1"/>
  <c r="D14166" i="1"/>
  <c r="D3151" i="1"/>
  <c r="D19257" i="1"/>
  <c r="D19258" i="1"/>
  <c r="D1179" i="1"/>
  <c r="D3139" i="1"/>
  <c r="D3140" i="1"/>
  <c r="D3152" i="1"/>
  <c r="D18888" i="1"/>
  <c r="D23863" i="1"/>
  <c r="D23864" i="1"/>
  <c r="D9406" i="1"/>
  <c r="D23865" i="1"/>
  <c r="D23866" i="1"/>
  <c r="D23867" i="1"/>
  <c r="D23868" i="1"/>
  <c r="D16010" i="1"/>
  <c r="D16011" i="1"/>
  <c r="D16012" i="1"/>
  <c r="D16013" i="1"/>
  <c r="D16014" i="1"/>
  <c r="D22903" i="1"/>
  <c r="D16015" i="1"/>
  <c r="D16016" i="1"/>
  <c r="D3153" i="1"/>
  <c r="D23147" i="1"/>
  <c r="D23869" i="1"/>
  <c r="D23870" i="1"/>
  <c r="D23871" i="1"/>
  <c r="D23872" i="1"/>
  <c r="D3564" i="1"/>
  <c r="D3573" i="1"/>
  <c r="D9491" i="1"/>
  <c r="D10754" i="1"/>
  <c r="D10755" i="1"/>
  <c r="D5931" i="1"/>
  <c r="D5932" i="1"/>
  <c r="D23873" i="1"/>
  <c r="D23874" i="1"/>
  <c r="D14562" i="1"/>
  <c r="D4027" i="1"/>
  <c r="D4409" i="1"/>
  <c r="D4480" i="1"/>
  <c r="D10756" i="1"/>
  <c r="D10757" i="1"/>
  <c r="D10571" i="1"/>
  <c r="D10572" i="1"/>
  <c r="D10573" i="1"/>
  <c r="D10574" i="1"/>
  <c r="D10575" i="1"/>
  <c r="D10576" i="1"/>
  <c r="D10577" i="1"/>
  <c r="D10578" i="1"/>
  <c r="D10579" i="1"/>
  <c r="D5933" i="1"/>
  <c r="D5934" i="1"/>
  <c r="D9972" i="1"/>
  <c r="D18312" i="1"/>
  <c r="D14439" i="1"/>
  <c r="D3154" i="1"/>
  <c r="D18313" i="1"/>
  <c r="D10758" i="1"/>
  <c r="D14307" i="1"/>
  <c r="D14308" i="1"/>
  <c r="D14309" i="1"/>
  <c r="D3340" i="1"/>
  <c r="D3341" i="1"/>
  <c r="D3342" i="1"/>
  <c r="D3657" i="1"/>
  <c r="D25360" i="1"/>
  <c r="D18314" i="1"/>
  <c r="D18315" i="1"/>
  <c r="D14440" i="1"/>
  <c r="D3343" i="1"/>
  <c r="D10759" i="1"/>
  <c r="D14310" i="1"/>
  <c r="D14311" i="1"/>
  <c r="D14312" i="1"/>
  <c r="D14313" i="1"/>
  <c r="D14314" i="1"/>
  <c r="D14315" i="1"/>
  <c r="D14316" i="1"/>
  <c r="D14317" i="1"/>
  <c r="D14318" i="1"/>
  <c r="D14319" i="1"/>
  <c r="D14320" i="1"/>
  <c r="D14321" i="1"/>
  <c r="D10995" i="1"/>
  <c r="D3344" i="1"/>
  <c r="D3345" i="1"/>
  <c r="D2676" i="1"/>
  <c r="D3802" i="1"/>
  <c r="D3808" i="1"/>
  <c r="D14181" i="1"/>
  <c r="D14182" i="1"/>
  <c r="D1227" i="1"/>
  <c r="D1228" i="1"/>
  <c r="D1389" i="1"/>
  <c r="D1390" i="1"/>
  <c r="D1391" i="1"/>
  <c r="D1392" i="1"/>
  <c r="D1393" i="1"/>
  <c r="D1394" i="1"/>
  <c r="D25638" i="1"/>
  <c r="D14128" i="1"/>
  <c r="D11232" i="1"/>
  <c r="D11233" i="1"/>
  <c r="D3016" i="1"/>
  <c r="D25200" i="1"/>
  <c r="D21293" i="1"/>
  <c r="D21294" i="1"/>
  <c r="D21295" i="1"/>
  <c r="D21296" i="1"/>
  <c r="D21297" i="1"/>
  <c r="D21298" i="1"/>
  <c r="D21299" i="1"/>
  <c r="D21300" i="1"/>
  <c r="D21301" i="1"/>
  <c r="D21302" i="1"/>
  <c r="D21303" i="1"/>
  <c r="D21304" i="1"/>
  <c r="D21305" i="1"/>
  <c r="D11756" i="1"/>
  <c r="D21306" i="1"/>
  <c r="D21307" i="1"/>
  <c r="D21308" i="1"/>
  <c r="D21309" i="1"/>
  <c r="D23875" i="1"/>
  <c r="D23876" i="1"/>
  <c r="D23439" i="1"/>
  <c r="D21310" i="1"/>
  <c r="D21311" i="1"/>
  <c r="D21312" i="1"/>
  <c r="D21313" i="1"/>
  <c r="D21314" i="1"/>
  <c r="D21315" i="1"/>
  <c r="D21316" i="1"/>
  <c r="D21317" i="1"/>
  <c r="D21318" i="1"/>
  <c r="D21319" i="1"/>
  <c r="D21320" i="1"/>
  <c r="D21321" i="1"/>
  <c r="D21322" i="1"/>
  <c r="D21323" i="1"/>
  <c r="D21324" i="1"/>
  <c r="D21325" i="1"/>
  <c r="D21326" i="1"/>
  <c r="D21327" i="1"/>
  <c r="D21328" i="1"/>
  <c r="D21329" i="1"/>
  <c r="D21330" i="1"/>
  <c r="D21331" i="1"/>
  <c r="D21332" i="1"/>
  <c r="D21333" i="1"/>
  <c r="D21334" i="1"/>
  <c r="D21335" i="1"/>
  <c r="D21336" i="1"/>
  <c r="D21337" i="1"/>
  <c r="D21338" i="1"/>
  <c r="D21339" i="1"/>
  <c r="D21340" i="1"/>
  <c r="D21341" i="1"/>
  <c r="D21342" i="1"/>
  <c r="D21343" i="1"/>
  <c r="D21344" i="1"/>
  <c r="D21345" i="1"/>
  <c r="D21346" i="1"/>
  <c r="D21347" i="1"/>
  <c r="D21348" i="1"/>
  <c r="D21349" i="1"/>
  <c r="D21350" i="1"/>
  <c r="D21351" i="1"/>
  <c r="D21352" i="1"/>
  <c r="D21353" i="1"/>
  <c r="D21354" i="1"/>
  <c r="D21355" i="1"/>
  <c r="D21356" i="1"/>
  <c r="D21357" i="1"/>
  <c r="D21358" i="1"/>
  <c r="D21359" i="1"/>
  <c r="D21360" i="1"/>
  <c r="D21361" i="1"/>
  <c r="D21362" i="1"/>
  <c r="D21363" i="1"/>
  <c r="D21364" i="1"/>
  <c r="D21365" i="1"/>
  <c r="D21366" i="1"/>
  <c r="D21367" i="1"/>
  <c r="D21368" i="1"/>
  <c r="D21369" i="1"/>
  <c r="D21370" i="1"/>
  <c r="D21371" i="1"/>
  <c r="D21372" i="1"/>
  <c r="D21373" i="1"/>
  <c r="D21374" i="1"/>
  <c r="D21375" i="1"/>
  <c r="D21376" i="1"/>
  <c r="D21377" i="1"/>
  <c r="D21378" i="1"/>
  <c r="D21379" i="1"/>
  <c r="D21380" i="1"/>
  <c r="D21381" i="1"/>
  <c r="D21382" i="1"/>
  <c r="D21383" i="1"/>
  <c r="D21384" i="1"/>
  <c r="D21385" i="1"/>
  <c r="D21386" i="1"/>
  <c r="D21387" i="1"/>
  <c r="D21388" i="1"/>
  <c r="D21389" i="1"/>
  <c r="D21390" i="1"/>
  <c r="D21391" i="1"/>
  <c r="D21392" i="1"/>
  <c r="D21393" i="1"/>
  <c r="D21394" i="1"/>
  <c r="D21395" i="1"/>
  <c r="D21396" i="1"/>
  <c r="D21397" i="1"/>
  <c r="D21398" i="1"/>
  <c r="D21399" i="1"/>
  <c r="D21400" i="1"/>
  <c r="D21401" i="1"/>
  <c r="D21402" i="1"/>
  <c r="D21403" i="1"/>
  <c r="D21404" i="1"/>
  <c r="D21405" i="1"/>
  <c r="D21406" i="1"/>
  <c r="D21407" i="1"/>
  <c r="D21408" i="1"/>
  <c r="D21409" i="1"/>
  <c r="D21410" i="1"/>
  <c r="D21411" i="1"/>
  <c r="D21412" i="1"/>
  <c r="D21413" i="1"/>
  <c r="D21414" i="1"/>
  <c r="D21415" i="1"/>
  <c r="D21416" i="1"/>
  <c r="D21417" i="1"/>
  <c r="D21418" i="1"/>
  <c r="D21419" i="1"/>
  <c r="D21420" i="1"/>
  <c r="D21421" i="1"/>
  <c r="D21422" i="1"/>
  <c r="D21423" i="1"/>
  <c r="D21424" i="1"/>
  <c r="D21425" i="1"/>
  <c r="D21426" i="1"/>
  <c r="D21427" i="1"/>
  <c r="D21428" i="1"/>
  <c r="D21429" i="1"/>
  <c r="D21430" i="1"/>
  <c r="D21431" i="1"/>
  <c r="D21432" i="1"/>
  <c r="D21433" i="1"/>
  <c r="D21434" i="1"/>
  <c r="D21435" i="1"/>
  <c r="D21436" i="1"/>
  <c r="D21437" i="1"/>
  <c r="D21438" i="1"/>
  <c r="D21439" i="1"/>
  <c r="D21440" i="1"/>
  <c r="D21441" i="1"/>
  <c r="D21442" i="1"/>
  <c r="D21443" i="1"/>
  <c r="D21444" i="1"/>
  <c r="D21445" i="1"/>
  <c r="D21446" i="1"/>
  <c r="D21447" i="1"/>
  <c r="D21448" i="1"/>
  <c r="D21449" i="1"/>
  <c r="D21450" i="1"/>
  <c r="D21451" i="1"/>
  <c r="D21452" i="1"/>
  <c r="D21453" i="1"/>
  <c r="D21454" i="1"/>
  <c r="D21455" i="1"/>
  <c r="D21456" i="1"/>
  <c r="D21457" i="1"/>
  <c r="D18675" i="1"/>
  <c r="D21458" i="1"/>
  <c r="D21459" i="1"/>
  <c r="D21460" i="1"/>
  <c r="D21461" i="1"/>
  <c r="D21462" i="1"/>
  <c r="D21463" i="1"/>
  <c r="D21464" i="1"/>
  <c r="D21465" i="1"/>
  <c r="D21466" i="1"/>
  <c r="D21467" i="1"/>
  <c r="D21468" i="1"/>
  <c r="D21469" i="1"/>
  <c r="D21470" i="1"/>
  <c r="D21471" i="1"/>
  <c r="D21472" i="1"/>
  <c r="D21473" i="1"/>
  <c r="D21474" i="1"/>
  <c r="D21475" i="1"/>
  <c r="D21476" i="1"/>
  <c r="D21477" i="1"/>
  <c r="D21478" i="1"/>
  <c r="D21479" i="1"/>
  <c r="D21480" i="1"/>
  <c r="D21481" i="1"/>
  <c r="D21482" i="1"/>
  <c r="D21483" i="1"/>
  <c r="D21484" i="1"/>
  <c r="D21485" i="1"/>
  <c r="D21486" i="1"/>
  <c r="D21487" i="1"/>
  <c r="D21488" i="1"/>
  <c r="D21489" i="1"/>
  <c r="D21490" i="1"/>
  <c r="D21491" i="1"/>
  <c r="D21492" i="1"/>
  <c r="D21493" i="1"/>
  <c r="D21494" i="1"/>
  <c r="D21495" i="1"/>
  <c r="D26014" i="1"/>
  <c r="D9669" i="1"/>
  <c r="D1151" i="1"/>
  <c r="D1168" i="1"/>
  <c r="D9670" i="1"/>
  <c r="D18676" i="1"/>
  <c r="D18677" i="1"/>
  <c r="D1485" i="1"/>
  <c r="D14784" i="1"/>
  <c r="D14785" i="1"/>
  <c r="D14786" i="1"/>
  <c r="D25790" i="1"/>
  <c r="D23877" i="1"/>
  <c r="D25798" i="1"/>
  <c r="D6805" i="1"/>
  <c r="D7761" i="1"/>
  <c r="D6806" i="1"/>
  <c r="D7762" i="1"/>
  <c r="D6807" i="1"/>
  <c r="D5830" i="1"/>
  <c r="D1476" i="1"/>
  <c r="D26015" i="1"/>
  <c r="D18678" i="1"/>
  <c r="D10924" i="1"/>
  <c r="D4456" i="1"/>
  <c r="D18316" i="1"/>
  <c r="D18317" i="1"/>
  <c r="D26872" i="1"/>
  <c r="D26873" i="1"/>
  <c r="D22852" i="1"/>
  <c r="D22853" i="1"/>
  <c r="D12956" i="1"/>
  <c r="D12971" i="1"/>
  <c r="D13005" i="1"/>
  <c r="D13108" i="1"/>
  <c r="D12957" i="1"/>
  <c r="D13100" i="1"/>
  <c r="D23878" i="1"/>
  <c r="D3109" i="1"/>
  <c r="D1121" i="1"/>
  <c r="D15301" i="1"/>
  <c r="D23879" i="1"/>
  <c r="D23880" i="1"/>
  <c r="D15034" i="1"/>
  <c r="D18318" i="1"/>
  <c r="D3346" i="1"/>
  <c r="D23525" i="1"/>
  <c r="D22904" i="1"/>
  <c r="D22905" i="1"/>
  <c r="D24720" i="1"/>
  <c r="D24721" i="1"/>
  <c r="D24722" i="1"/>
  <c r="D24723" i="1"/>
  <c r="D24724" i="1"/>
  <c r="D24725" i="1"/>
  <c r="D24726" i="1"/>
  <c r="D24727" i="1"/>
  <c r="D24728" i="1"/>
  <c r="D24729" i="1"/>
  <c r="D24730" i="1"/>
  <c r="D24731" i="1"/>
  <c r="D24732" i="1"/>
  <c r="D24733" i="1"/>
  <c r="D24734" i="1"/>
  <c r="D24735" i="1"/>
  <c r="D24736" i="1"/>
  <c r="D24737" i="1"/>
  <c r="D24738" i="1"/>
  <c r="D24739" i="1"/>
  <c r="D24740" i="1"/>
  <c r="D24741" i="1"/>
  <c r="D24742" i="1"/>
  <c r="D24743" i="1"/>
  <c r="D24744" i="1"/>
  <c r="D24745" i="1"/>
  <c r="D24746" i="1"/>
  <c r="D24747" i="1"/>
  <c r="D17655" i="1"/>
  <c r="D6808" i="1"/>
  <c r="D16017" i="1"/>
  <c r="D16018" i="1"/>
  <c r="D6809" i="1"/>
  <c r="D7763" i="1"/>
  <c r="D18945" i="1"/>
  <c r="D18920" i="1"/>
  <c r="D2449" i="1"/>
  <c r="D21496" i="1"/>
  <c r="D18319" i="1"/>
  <c r="D18320" i="1"/>
  <c r="D18321" i="1"/>
  <c r="D18322" i="1"/>
  <c r="D25530" i="1"/>
  <c r="D25467" i="1"/>
  <c r="D1131" i="1"/>
  <c r="D25014" i="1"/>
  <c r="D25015" i="1"/>
  <c r="D25016" i="1"/>
  <c r="D15509" i="1"/>
  <c r="D15554" i="1"/>
  <c r="D25017" i="1"/>
  <c r="D24376" i="1"/>
  <c r="D18148" i="1"/>
  <c r="D15612" i="1"/>
  <c r="D17571" i="1"/>
  <c r="D12176" i="1"/>
  <c r="D12177" i="1"/>
  <c r="D12178" i="1"/>
  <c r="D12179" i="1"/>
  <c r="D18149" i="1"/>
  <c r="D3127" i="1"/>
  <c r="D3780" i="1"/>
  <c r="D3781" i="1"/>
  <c r="D3782" i="1"/>
  <c r="D17565" i="1"/>
  <c r="D17566" i="1"/>
  <c r="D3944" i="1"/>
  <c r="D3945" i="1"/>
  <c r="D3128" i="1"/>
  <c r="D3155" i="1"/>
  <c r="D10377" i="1"/>
  <c r="D10308" i="1"/>
  <c r="D903" i="1"/>
  <c r="D899" i="1"/>
  <c r="D21497" i="1"/>
  <c r="D11720" i="1"/>
  <c r="D13939" i="1"/>
  <c r="D15590" i="1"/>
  <c r="D15591" i="1"/>
  <c r="D15592" i="1"/>
  <c r="D21498" i="1"/>
  <c r="D21499" i="1"/>
  <c r="D21500" i="1"/>
  <c r="D21501" i="1"/>
  <c r="D21502" i="1"/>
  <c r="D21503" i="1"/>
  <c r="D21504" i="1"/>
  <c r="D21505" i="1"/>
  <c r="D21506" i="1"/>
  <c r="D21507" i="1"/>
  <c r="D21508" i="1"/>
  <c r="D21509" i="1"/>
  <c r="D21510" i="1"/>
  <c r="D21511" i="1"/>
  <c r="D21512" i="1"/>
  <c r="D21513" i="1"/>
  <c r="D21514" i="1"/>
  <c r="D21515" i="1"/>
  <c r="D21516" i="1"/>
  <c r="D21517" i="1"/>
  <c r="D21518" i="1"/>
  <c r="D21519" i="1"/>
  <c r="D21520" i="1"/>
  <c r="D21521" i="1"/>
  <c r="D21522" i="1"/>
  <c r="D21523" i="1"/>
  <c r="D21524" i="1"/>
  <c r="D21525" i="1"/>
  <c r="D21526" i="1"/>
  <c r="D10506" i="1"/>
  <c r="D21527" i="1"/>
  <c r="D11234" i="1"/>
  <c r="D21528" i="1"/>
  <c r="D21529" i="1"/>
  <c r="D21530" i="1"/>
  <c r="D21531" i="1"/>
  <c r="D21532" i="1"/>
  <c r="D21533" i="1"/>
  <c r="D21534" i="1"/>
  <c r="D21535" i="1"/>
  <c r="D10404" i="1"/>
  <c r="D3110" i="1"/>
  <c r="D10405" i="1"/>
  <c r="D21536" i="1"/>
  <c r="D10406" i="1"/>
  <c r="D21537" i="1"/>
  <c r="D21538" i="1"/>
  <c r="D21539" i="1"/>
  <c r="D21540" i="1"/>
  <c r="D21541" i="1"/>
  <c r="D21542" i="1"/>
  <c r="D21543" i="1"/>
  <c r="D21544" i="1"/>
  <c r="D21545" i="1"/>
  <c r="D18323" i="1"/>
  <c r="D11542" i="1"/>
  <c r="D3111" i="1"/>
  <c r="D22854" i="1"/>
  <c r="D22855" i="1"/>
  <c r="D10925" i="1"/>
  <c r="D3818" i="1"/>
  <c r="D3819" i="1"/>
  <c r="D15439" i="1"/>
  <c r="D3141" i="1"/>
  <c r="D15440" i="1"/>
  <c r="D2639" i="1"/>
  <c r="D2640" i="1"/>
  <c r="D17762" i="1"/>
  <c r="D17772" i="1"/>
  <c r="D19692" i="1"/>
  <c r="D19693" i="1"/>
  <c r="D2612" i="1"/>
  <c r="D2613" i="1"/>
  <c r="D2614" i="1"/>
  <c r="D17763" i="1"/>
  <c r="D17773" i="1"/>
  <c r="D17774" i="1"/>
  <c r="D23881" i="1"/>
  <c r="D23882" i="1"/>
  <c r="D4271" i="1"/>
  <c r="D8138" i="1"/>
  <c r="D8139" i="1"/>
  <c r="D8096" i="1"/>
  <c r="D8097" i="1"/>
  <c r="D11766" i="1"/>
  <c r="D5475" i="1"/>
  <c r="D5519" i="1"/>
  <c r="D5554" i="1"/>
  <c r="D5594" i="1"/>
  <c r="D25018" i="1"/>
  <c r="D10310" i="1"/>
  <c r="D6810" i="1"/>
  <c r="D6811" i="1"/>
  <c r="D6812" i="1"/>
  <c r="D7554" i="1"/>
  <c r="D6813" i="1"/>
  <c r="D17656" i="1"/>
  <c r="D6814" i="1"/>
  <c r="D6815" i="1"/>
  <c r="D6816" i="1"/>
  <c r="D6817" i="1"/>
  <c r="D6818" i="1"/>
  <c r="D6819" i="1"/>
  <c r="D7548" i="1"/>
  <c r="D7764" i="1"/>
  <c r="D6820" i="1"/>
  <c r="D6821" i="1"/>
  <c r="D6822" i="1"/>
  <c r="D6823" i="1"/>
  <c r="D6824" i="1"/>
  <c r="D22898" i="1"/>
  <c r="D6825" i="1"/>
  <c r="D7765" i="1"/>
  <c r="D3142" i="1"/>
  <c r="D3450" i="1"/>
  <c r="D10066" i="1"/>
  <c r="D11721" i="1"/>
  <c r="D11722" i="1"/>
  <c r="D11745" i="1"/>
  <c r="D17657" i="1"/>
  <c r="D19082" i="1"/>
  <c r="D756" i="1"/>
  <c r="D15035" i="1"/>
  <c r="D12321" i="1"/>
  <c r="D667" i="1"/>
  <c r="D668" i="1"/>
  <c r="D669" i="1"/>
  <c r="D12676" i="1"/>
  <c r="D18128" i="1"/>
  <c r="D10254" i="1"/>
  <c r="D8779" i="1"/>
  <c r="D3988" i="1"/>
  <c r="D8255" i="1"/>
  <c r="D8273" i="1"/>
  <c r="D17800" i="1"/>
  <c r="D19449" i="1"/>
  <c r="D18418" i="1"/>
  <c r="D8780" i="1"/>
  <c r="D8781" i="1"/>
  <c r="D18946" i="1"/>
  <c r="D16159" i="1"/>
  <c r="D15827" i="1"/>
  <c r="D8782" i="1"/>
  <c r="D8256" i="1"/>
  <c r="D4564" i="1"/>
  <c r="D8325" i="1"/>
  <c r="D8783" i="1"/>
  <c r="D8784" i="1"/>
  <c r="D8785" i="1"/>
  <c r="D4481" i="1"/>
  <c r="D8380" i="1"/>
  <c r="D3893" i="1"/>
  <c r="D26254" i="1"/>
  <c r="D8786" i="1"/>
  <c r="D15804" i="1"/>
  <c r="D17658" i="1"/>
  <c r="D9446" i="1"/>
  <c r="D9447" i="1"/>
  <c r="D556" i="1"/>
  <c r="D19453" i="1"/>
  <c r="D5476" i="1"/>
  <c r="D5477" i="1"/>
  <c r="D5478" i="1"/>
  <c r="D15036" i="1"/>
  <c r="D823" i="1"/>
  <c r="D4112" i="1"/>
  <c r="D23039" i="1"/>
  <c r="D23195" i="1"/>
  <c r="D23313" i="1"/>
  <c r="D23040" i="1"/>
  <c r="D23314" i="1"/>
  <c r="D23315" i="1"/>
  <c r="D23113" i="1"/>
  <c r="D23196" i="1"/>
  <c r="D23041" i="1"/>
  <c r="D23316" i="1"/>
  <c r="D3143" i="1"/>
  <c r="D17989" i="1"/>
  <c r="D23317" i="1"/>
  <c r="D22925" i="1"/>
  <c r="D5488" i="1"/>
  <c r="D5491" i="1"/>
  <c r="D3144" i="1"/>
  <c r="D1229" i="1"/>
  <c r="D4057" i="1"/>
  <c r="D4058" i="1"/>
  <c r="D3548" i="1"/>
  <c r="D3574" i="1"/>
  <c r="D12021" i="1"/>
  <c r="D25342" i="1"/>
  <c r="D25720" i="1"/>
  <c r="D25721" i="1"/>
  <c r="D10084" i="1"/>
  <c r="D10085" i="1"/>
  <c r="D15510" i="1"/>
  <c r="D15555" i="1"/>
  <c r="D15860" i="1"/>
  <c r="D11909" i="1"/>
  <c r="D14167" i="1"/>
  <c r="D9121" i="1"/>
  <c r="D10305" i="1"/>
  <c r="D10306" i="1"/>
  <c r="D10307" i="1"/>
  <c r="D6826" i="1"/>
  <c r="D7766" i="1"/>
  <c r="D7767" i="1"/>
  <c r="D26016" i="1"/>
  <c r="D2493" i="1"/>
  <c r="D26221" i="1"/>
  <c r="D24875" i="1"/>
  <c r="D18679" i="1"/>
  <c r="D18324" i="1"/>
  <c r="D6827" i="1"/>
  <c r="D6828" i="1"/>
  <c r="D7768" i="1"/>
  <c r="D25019" i="1"/>
  <c r="D3755" i="1"/>
  <c r="D26342" i="1"/>
  <c r="D9448" i="1"/>
  <c r="D25020" i="1"/>
  <c r="D26017" i="1"/>
  <c r="D26163" i="1"/>
  <c r="D26018" i="1"/>
  <c r="D26019" i="1"/>
  <c r="D26164" i="1"/>
  <c r="D21546" i="1"/>
  <c r="D18680" i="1"/>
  <c r="D18681" i="1"/>
  <c r="D18682" i="1"/>
  <c r="D25021" i="1"/>
  <c r="D25022" i="1"/>
  <c r="D13999" i="1"/>
  <c r="D13946" i="1"/>
  <c r="D6829" i="1"/>
  <c r="D7769" i="1"/>
  <c r="D6830" i="1"/>
  <c r="D7770" i="1"/>
  <c r="D6831" i="1"/>
  <c r="D25023" i="1"/>
  <c r="D25024" i="1"/>
  <c r="D18325" i="1"/>
  <c r="D568" i="1"/>
  <c r="D2677" i="1"/>
  <c r="D2678" i="1"/>
  <c r="D15556" i="1"/>
  <c r="D15027" i="1"/>
  <c r="D5642" i="1"/>
  <c r="D15028" i="1"/>
  <c r="D22961" i="1"/>
  <c r="D22962" i="1"/>
  <c r="D26474" i="1"/>
  <c r="D2741" i="1"/>
  <c r="D2818" i="1"/>
  <c r="D23441" i="1"/>
  <c r="D12913" i="1"/>
  <c r="D12912" i="1"/>
  <c r="D11235" i="1"/>
  <c r="D11236" i="1"/>
  <c r="D18326" i="1"/>
  <c r="D18548" i="1"/>
  <c r="D18549" i="1"/>
  <c r="D11237" i="1"/>
  <c r="D26343" i="1"/>
  <c r="D11543" i="1"/>
  <c r="D1395" i="1"/>
  <c r="D1396" i="1"/>
  <c r="D25025" i="1"/>
  <c r="D11238" i="1"/>
  <c r="D25026" i="1"/>
  <c r="D3267" i="1"/>
  <c r="D15511" i="1"/>
  <c r="D2742" i="1"/>
  <c r="D11456" i="1"/>
  <c r="D25753" i="1"/>
  <c r="D26602" i="1"/>
  <c r="D26285" i="1"/>
  <c r="D629" i="1"/>
  <c r="D630" i="1"/>
  <c r="D18327" i="1"/>
  <c r="D18328" i="1"/>
  <c r="D12415" i="1"/>
  <c r="D26603" i="1"/>
  <c r="D26874" i="1"/>
  <c r="D9671" i="1"/>
  <c r="D3176" i="1"/>
  <c r="D3177" i="1"/>
  <c r="D9918" i="1"/>
  <c r="D9919" i="1"/>
  <c r="D9920" i="1"/>
  <c r="D9921" i="1"/>
  <c r="D9385" i="1"/>
  <c r="D745" i="1"/>
  <c r="D2819" i="1"/>
  <c r="D9922" i="1"/>
  <c r="D9901" i="1"/>
  <c r="D2820" i="1"/>
  <c r="D1152" i="1"/>
  <c r="D1169" i="1"/>
  <c r="D569" i="1"/>
  <c r="D26344" i="1"/>
  <c r="D26345" i="1"/>
  <c r="D14648" i="1"/>
  <c r="D14649" i="1"/>
  <c r="D4946" i="1"/>
  <c r="D4966" i="1"/>
  <c r="D6832" i="1"/>
  <c r="D7555" i="1"/>
  <c r="D7771" i="1"/>
  <c r="D6833" i="1"/>
  <c r="D6834" i="1"/>
  <c r="D7556" i="1"/>
  <c r="D6835" i="1"/>
  <c r="D18683" i="1"/>
  <c r="D26475" i="1"/>
  <c r="D14014" i="1"/>
  <c r="D10051" i="1"/>
  <c r="D15326" i="1"/>
  <c r="D27042" i="1"/>
  <c r="D10041" i="1"/>
  <c r="D10043" i="1"/>
  <c r="D10052" i="1"/>
  <c r="D5831" i="1"/>
  <c r="D12698" i="1"/>
  <c r="D12699" i="1"/>
  <c r="D26875" i="1"/>
  <c r="D18550" i="1"/>
  <c r="D2527" i="1"/>
  <c r="D2529" i="1"/>
  <c r="D26020" i="1"/>
  <c r="D18684" i="1"/>
  <c r="D10498" i="1"/>
  <c r="D18685" i="1"/>
  <c r="D18329" i="1"/>
  <c r="D18330" i="1"/>
  <c r="D26346" i="1"/>
  <c r="D26604" i="1"/>
  <c r="D26347" i="1"/>
  <c r="D18331" i="1"/>
  <c r="D18332" i="1"/>
  <c r="D18333" i="1"/>
  <c r="D18334" i="1"/>
  <c r="D18335" i="1"/>
  <c r="D18336" i="1"/>
  <c r="D26605" i="1"/>
  <c r="D26476" i="1"/>
  <c r="D22856" i="1"/>
  <c r="D22857" i="1"/>
  <c r="D22858" i="1"/>
  <c r="D18337" i="1"/>
  <c r="D18338" i="1"/>
  <c r="D26876" i="1"/>
  <c r="D26348" i="1"/>
  <c r="D26349" i="1"/>
  <c r="D26350" i="1"/>
  <c r="D15861" i="1"/>
  <c r="D2821" i="1"/>
  <c r="D26351" i="1"/>
  <c r="D26352" i="1"/>
  <c r="D11239" i="1"/>
  <c r="D26353" i="1"/>
  <c r="D11240" i="1"/>
  <c r="D2869" i="1"/>
  <c r="D22859" i="1"/>
  <c r="D26354" i="1"/>
  <c r="D26355" i="1"/>
  <c r="D18339" i="1"/>
  <c r="D5202" i="1"/>
  <c r="D18340" i="1"/>
  <c r="D26356" i="1"/>
  <c r="D1049" i="1"/>
  <c r="D26877" i="1"/>
  <c r="D26477" i="1"/>
  <c r="D15512" i="1"/>
  <c r="D15557" i="1"/>
  <c r="D26357" i="1"/>
  <c r="D26358" i="1"/>
  <c r="D26359" i="1"/>
  <c r="D26360" i="1"/>
  <c r="D5203" i="1"/>
  <c r="D26361" i="1"/>
  <c r="D26362" i="1"/>
  <c r="D13267" i="1"/>
  <c r="D26478" i="1"/>
  <c r="D5204" i="1"/>
  <c r="D5205" i="1"/>
  <c r="D26363" i="1"/>
  <c r="D5206" i="1"/>
  <c r="D26364" i="1"/>
  <c r="D11241" i="1"/>
  <c r="D11242" i="1"/>
  <c r="D26365" i="1"/>
  <c r="D11243" i="1"/>
  <c r="D11244" i="1"/>
  <c r="D26366" i="1"/>
  <c r="D26367" i="1"/>
  <c r="D26368" i="1"/>
  <c r="D26369" i="1"/>
  <c r="D26370" i="1"/>
  <c r="D26479" i="1"/>
  <c r="D5366" i="1"/>
  <c r="D856" i="1"/>
  <c r="D868" i="1"/>
  <c r="D881" i="1"/>
  <c r="D26679" i="1"/>
  <c r="D26371" i="1"/>
  <c r="D26878" i="1"/>
  <c r="D26480" i="1"/>
  <c r="D26481" i="1"/>
  <c r="D26482" i="1"/>
  <c r="D26483" i="1"/>
  <c r="D26484" i="1"/>
  <c r="D26372" i="1"/>
  <c r="D26485" i="1"/>
  <c r="D26486" i="1"/>
  <c r="D26487" i="1"/>
  <c r="D26488" i="1"/>
  <c r="D26373" i="1"/>
  <c r="D26879" i="1"/>
  <c r="D26606" i="1"/>
  <c r="D18879" i="1"/>
  <c r="D26880" i="1"/>
  <c r="D9386" i="1"/>
  <c r="D26374" i="1"/>
  <c r="D619" i="1"/>
  <c r="D22860" i="1"/>
  <c r="D22861" i="1"/>
  <c r="D22862" i="1"/>
  <c r="D22863" i="1"/>
  <c r="D5207" i="1"/>
  <c r="D1491" i="1"/>
  <c r="D2822" i="1"/>
  <c r="D5328" i="1"/>
  <c r="D5208" i="1"/>
  <c r="D11502" i="1"/>
  <c r="D18026" i="1"/>
  <c r="D18027" i="1"/>
  <c r="D15862" i="1"/>
  <c r="D15863" i="1"/>
  <c r="D11245" i="1"/>
  <c r="D15385" i="1"/>
  <c r="D2641" i="1"/>
  <c r="D11469" i="1"/>
  <c r="D25319" i="1"/>
  <c r="D2599" i="1"/>
  <c r="D15846" i="1"/>
  <c r="D5209" i="1"/>
  <c r="D26375" i="1"/>
  <c r="D12700" i="1"/>
  <c r="D12701" i="1"/>
  <c r="D12702" i="1"/>
  <c r="D12703" i="1"/>
  <c r="D5210" i="1"/>
  <c r="D26376" i="1"/>
  <c r="D26377" i="1"/>
  <c r="D5363" i="1"/>
  <c r="D5211" i="1"/>
  <c r="D3129" i="1"/>
  <c r="D26489" i="1"/>
  <c r="D4362" i="1"/>
  <c r="D4374" i="1"/>
  <c r="D11457" i="1"/>
  <c r="D10926" i="1"/>
  <c r="D26607" i="1"/>
  <c r="D26608" i="1"/>
  <c r="D26881" i="1"/>
  <c r="D22958" i="1"/>
  <c r="D5555" i="1"/>
  <c r="D22998" i="1"/>
  <c r="D23148" i="1"/>
  <c r="D5556" i="1"/>
  <c r="D17482" i="1"/>
  <c r="D14208" i="1"/>
  <c r="D5745" i="1"/>
  <c r="D5697" i="1"/>
  <c r="D3974" i="1"/>
  <c r="D15327" i="1"/>
  <c r="D18028" i="1"/>
  <c r="D18029" i="1"/>
  <c r="D15356" i="1"/>
  <c r="D19107" i="1"/>
  <c r="D19119" i="1"/>
  <c r="D19108" i="1"/>
  <c r="D19120" i="1"/>
  <c r="D12006" i="1"/>
  <c r="D19083" i="1"/>
  <c r="D4482" i="1"/>
  <c r="D14711" i="1"/>
  <c r="D12637" i="1"/>
  <c r="D10432" i="1"/>
  <c r="D12333" i="1"/>
  <c r="D5212" i="1"/>
  <c r="D26490" i="1"/>
  <c r="D26882" i="1"/>
  <c r="D26491" i="1"/>
  <c r="D26378" i="1"/>
  <c r="D26492" i="1"/>
  <c r="D26493" i="1"/>
  <c r="D4457" i="1"/>
  <c r="D2823" i="1"/>
  <c r="D22864" i="1"/>
  <c r="D11246" i="1"/>
  <c r="D11247" i="1"/>
  <c r="D26208" i="1"/>
  <c r="D26021" i="1"/>
  <c r="D26022" i="1"/>
  <c r="D26023" i="1"/>
  <c r="D3913" i="1"/>
  <c r="D25320" i="1"/>
  <c r="D3946" i="1"/>
  <c r="D3947" i="1"/>
  <c r="D12055" i="1"/>
  <c r="D12065" i="1"/>
  <c r="D23448" i="1"/>
  <c r="D6836" i="1"/>
  <c r="D6837" i="1"/>
  <c r="D7772" i="1"/>
  <c r="D25743" i="1"/>
  <c r="D12638" i="1"/>
  <c r="D17747" i="1"/>
  <c r="D17748" i="1"/>
  <c r="D5213" i="1"/>
  <c r="D26883" i="1"/>
  <c r="D11675" i="1"/>
  <c r="D11676" i="1"/>
  <c r="D26379" i="1"/>
  <c r="D5659" i="1"/>
  <c r="D5329" i="1"/>
  <c r="D26380" i="1"/>
  <c r="D2870" i="1"/>
  <c r="D794" i="1"/>
  <c r="D795" i="1"/>
  <c r="D4381" i="1"/>
  <c r="D4382" i="1"/>
  <c r="D19419" i="1"/>
  <c r="D17896" i="1"/>
  <c r="D4959" i="1"/>
  <c r="D4960" i="1"/>
  <c r="D9471" i="1"/>
  <c r="D4385" i="1"/>
  <c r="D4386" i="1"/>
  <c r="D15037" i="1"/>
  <c r="D1237" i="1"/>
  <c r="D11962" i="1"/>
  <c r="D4658" i="1"/>
  <c r="D6838" i="1"/>
  <c r="D6839" i="1"/>
  <c r="D6840" i="1"/>
  <c r="D6841" i="1"/>
  <c r="D6842" i="1"/>
  <c r="D6843" i="1"/>
  <c r="D6844" i="1"/>
  <c r="D15813" i="1"/>
  <c r="D25176" i="1"/>
  <c r="D19676" i="1"/>
  <c r="D19677" i="1"/>
  <c r="D10086" i="1"/>
  <c r="D15038" i="1"/>
  <c r="D15366" i="1"/>
  <c r="D26884" i="1"/>
  <c r="D26609" i="1"/>
  <c r="D2707" i="1"/>
  <c r="D26381" i="1"/>
  <c r="D5330" i="1"/>
  <c r="D26024" i="1"/>
  <c r="D26190" i="1"/>
  <c r="D26191" i="1"/>
  <c r="D5214" i="1"/>
  <c r="D5215" i="1"/>
  <c r="D3145" i="1"/>
  <c r="D2871" i="1"/>
  <c r="D26382" i="1"/>
  <c r="D26885" i="1"/>
  <c r="D26494" i="1"/>
  <c r="D6845" i="1"/>
  <c r="D7773" i="1"/>
  <c r="D15441" i="1"/>
  <c r="D17328" i="1"/>
  <c r="D17342" i="1"/>
  <c r="D6846" i="1"/>
  <c r="D7774" i="1"/>
  <c r="D12396" i="1"/>
  <c r="D14477" i="1"/>
  <c r="D10064" i="1"/>
  <c r="D8018" i="1"/>
  <c r="D670" i="1"/>
  <c r="D8086" i="1"/>
  <c r="D18686" i="1"/>
  <c r="D5832" i="1"/>
  <c r="D2824" i="1"/>
  <c r="D26886" i="1"/>
  <c r="D13268" i="1"/>
  <c r="D5364" i="1"/>
  <c r="D26025" i="1"/>
  <c r="D14650" i="1"/>
  <c r="D14651" i="1"/>
  <c r="D4671" i="1"/>
  <c r="D2374" i="1"/>
  <c r="D2375" i="1"/>
  <c r="D26279" i="1"/>
  <c r="D18687" i="1"/>
  <c r="D12040" i="1"/>
  <c r="D12041" i="1"/>
  <c r="D11830" i="1"/>
  <c r="D19130" i="1"/>
  <c r="D26383" i="1"/>
  <c r="D6847" i="1"/>
  <c r="D6848" i="1"/>
  <c r="D6849" i="1"/>
  <c r="D6850" i="1"/>
  <c r="D18341" i="1"/>
  <c r="D4165" i="1"/>
  <c r="D13269" i="1"/>
  <c r="D14787" i="1"/>
  <c r="D14788" i="1"/>
  <c r="D14789" i="1"/>
  <c r="D18867" i="1"/>
  <c r="D15386" i="1"/>
  <c r="D26495" i="1"/>
  <c r="D26496" i="1"/>
  <c r="D18846" i="1"/>
  <c r="D11770" i="1"/>
  <c r="D11771" i="1"/>
  <c r="D6851" i="1"/>
  <c r="D6852" i="1"/>
  <c r="D6853" i="1"/>
  <c r="D6854" i="1"/>
  <c r="D6855" i="1"/>
  <c r="D6856" i="1"/>
  <c r="D5216" i="1"/>
  <c r="D26887" i="1"/>
  <c r="D5217" i="1"/>
  <c r="D5365" i="1"/>
  <c r="D5218" i="1"/>
  <c r="D5219" i="1"/>
  <c r="D3156" i="1"/>
  <c r="D4595" i="1"/>
  <c r="D6857" i="1"/>
  <c r="D7775" i="1"/>
  <c r="D6858" i="1"/>
  <c r="D7776" i="1"/>
  <c r="D6859" i="1"/>
  <c r="D7777" i="1"/>
  <c r="D4272" i="1"/>
  <c r="D6860" i="1"/>
  <c r="D7778" i="1"/>
  <c r="D6861" i="1"/>
  <c r="D7779" i="1"/>
  <c r="D6862" i="1"/>
  <c r="D7780" i="1"/>
  <c r="D10053" i="1"/>
  <c r="D631" i="1"/>
  <c r="D5557" i="1"/>
  <c r="D6863" i="1"/>
  <c r="D7781" i="1"/>
  <c r="D6864" i="1"/>
  <c r="D7782" i="1"/>
  <c r="D6865" i="1"/>
  <c r="D7783" i="1"/>
  <c r="D3593" i="1"/>
  <c r="D18342" i="1"/>
  <c r="D2825" i="1"/>
  <c r="D933" i="1"/>
  <c r="D5331" i="1"/>
  <c r="D15802" i="1"/>
  <c r="D26026" i="1"/>
  <c r="D26027" i="1"/>
  <c r="D26028" i="1"/>
  <c r="D26029" i="1"/>
  <c r="D5220" i="1"/>
  <c r="D26888" i="1"/>
  <c r="D5221" i="1"/>
  <c r="D18343" i="1"/>
  <c r="D5222" i="1"/>
  <c r="D5223" i="1"/>
  <c r="D10176" i="1"/>
  <c r="D5224" i="1"/>
  <c r="D5332" i="1"/>
  <c r="D4175" i="1"/>
  <c r="D4176" i="1"/>
  <c r="D5225" i="1"/>
  <c r="D26384" i="1"/>
  <c r="D26889" i="1"/>
  <c r="D9453" i="1"/>
  <c r="D12012" i="1"/>
  <c r="D6866" i="1"/>
  <c r="D7784" i="1"/>
  <c r="D6867" i="1"/>
  <c r="D7785" i="1"/>
  <c r="D14183" i="1"/>
  <c r="D5601" i="1"/>
  <c r="D12042" i="1"/>
  <c r="D5769" i="1"/>
  <c r="D14184" i="1"/>
  <c r="D3658" i="1"/>
  <c r="D22924" i="1"/>
  <c r="D22967" i="1"/>
  <c r="D22968" i="1"/>
  <c r="D540" i="1"/>
  <c r="D6868" i="1"/>
  <c r="D7786" i="1"/>
  <c r="D6869" i="1"/>
  <c r="D7787" i="1"/>
  <c r="D6870" i="1"/>
  <c r="D6871" i="1"/>
  <c r="D7788" i="1"/>
  <c r="D6872" i="1"/>
  <c r="D7789" i="1"/>
  <c r="D6873" i="1"/>
  <c r="D12411" i="1"/>
  <c r="D6874" i="1"/>
  <c r="D7790" i="1"/>
  <c r="D3606" i="1"/>
  <c r="D12397" i="1"/>
  <c r="D27107" i="1"/>
  <c r="D27110" i="1"/>
  <c r="D19705" i="1"/>
  <c r="D19706" i="1"/>
  <c r="D14520" i="1"/>
  <c r="D26497" i="1"/>
  <c r="D26498" i="1"/>
  <c r="D26499" i="1"/>
  <c r="D26385" i="1"/>
  <c r="D25811" i="1"/>
  <c r="D26386" i="1"/>
  <c r="D5368" i="1"/>
  <c r="D9672" i="1"/>
  <c r="D9673" i="1"/>
  <c r="D5226" i="1"/>
  <c r="D15513" i="1"/>
  <c r="D9674" i="1"/>
  <c r="D9675" i="1"/>
  <c r="D9923" i="1"/>
  <c r="D5227" i="1"/>
  <c r="D25219" i="1"/>
  <c r="D25220" i="1"/>
  <c r="D2826" i="1"/>
  <c r="D18404" i="1"/>
  <c r="D5228" i="1"/>
  <c r="D5333" i="1"/>
  <c r="D5229" i="1"/>
  <c r="D9676" i="1"/>
  <c r="D17897" i="1"/>
  <c r="D17898" i="1"/>
  <c r="D9854" i="1"/>
  <c r="D9855" i="1"/>
  <c r="D9856" i="1"/>
  <c r="D9857" i="1"/>
  <c r="D9858" i="1"/>
  <c r="D9859" i="1"/>
  <c r="D9860" i="1"/>
  <c r="D9861" i="1"/>
  <c r="D13988" i="1"/>
  <c r="D13995" i="1"/>
  <c r="D13989" i="1"/>
  <c r="D5558" i="1"/>
  <c r="D5497" i="1"/>
  <c r="D25027" i="1"/>
  <c r="D25028" i="1"/>
  <c r="D25029" i="1"/>
  <c r="D25030" i="1"/>
  <c r="D8787" i="1"/>
  <c r="D8788" i="1"/>
  <c r="D8789" i="1"/>
  <c r="D8790" i="1"/>
  <c r="D8791" i="1"/>
  <c r="D8792" i="1"/>
  <c r="D8793" i="1"/>
  <c r="D8794" i="1"/>
  <c r="D8795" i="1"/>
  <c r="D8326" i="1"/>
  <c r="D8327" i="1"/>
  <c r="D8796" i="1"/>
  <c r="D8797" i="1"/>
  <c r="D8798" i="1"/>
  <c r="D8799" i="1"/>
  <c r="D8800" i="1"/>
  <c r="D8328" i="1"/>
  <c r="D8801" i="1"/>
  <c r="D8802" i="1"/>
  <c r="D8381" i="1"/>
  <c r="D8803" i="1"/>
  <c r="D8804" i="1"/>
  <c r="D8805" i="1"/>
  <c r="D8806" i="1"/>
  <c r="D8329" i="1"/>
  <c r="D8807" i="1"/>
  <c r="D8808" i="1"/>
  <c r="D8809" i="1"/>
  <c r="D8810" i="1"/>
  <c r="D8811" i="1"/>
  <c r="D8330" i="1"/>
  <c r="D8812" i="1"/>
  <c r="D8813" i="1"/>
  <c r="D8331" i="1"/>
  <c r="D8814" i="1"/>
  <c r="D8815" i="1"/>
  <c r="D8816" i="1"/>
  <c r="D8817" i="1"/>
  <c r="D8332" i="1"/>
  <c r="D8818" i="1"/>
  <c r="D8333" i="1"/>
  <c r="D15019" i="1"/>
  <c r="D8225" i="1"/>
  <c r="D12639" i="1"/>
  <c r="D9813" i="1"/>
  <c r="D9862" i="1"/>
  <c r="D12640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12419" i="1"/>
  <c r="D4672" i="1"/>
  <c r="D10353" i="1"/>
  <c r="D10354" i="1"/>
  <c r="D9814" i="1"/>
  <c r="D9815" i="1"/>
  <c r="D25174" i="1"/>
  <c r="D685" i="1"/>
  <c r="D24494" i="1"/>
  <c r="D18688" i="1"/>
  <c r="D25754" i="1"/>
  <c r="D15847" i="1"/>
  <c r="D22978" i="1"/>
  <c r="D18344" i="1"/>
  <c r="D18345" i="1"/>
  <c r="D2827" i="1"/>
  <c r="D3157" i="1"/>
  <c r="D26387" i="1"/>
  <c r="D26388" i="1"/>
  <c r="D26610" i="1"/>
  <c r="D26389" i="1"/>
  <c r="D5230" i="1"/>
  <c r="D934" i="1"/>
  <c r="D13270" i="1"/>
  <c r="D26500" i="1"/>
  <c r="D8038" i="1"/>
  <c r="D15864" i="1"/>
  <c r="D5597" i="1"/>
  <c r="D26390" i="1"/>
  <c r="D17483" i="1"/>
  <c r="D17484" i="1"/>
  <c r="D17485" i="1"/>
  <c r="D17486" i="1"/>
  <c r="D17487" i="1"/>
  <c r="D17488" i="1"/>
  <c r="D5231" i="1"/>
  <c r="D26165" i="1"/>
  <c r="D26166" i="1"/>
  <c r="D26167" i="1"/>
  <c r="D26168" i="1"/>
  <c r="D26030" i="1"/>
  <c r="D26031" i="1"/>
  <c r="D25323" i="1"/>
  <c r="D25324" i="1"/>
  <c r="D25325" i="1"/>
  <c r="D9863" i="1"/>
  <c r="D9677" i="1"/>
  <c r="D13271" i="1"/>
  <c r="D9864" i="1"/>
  <c r="D9678" i="1"/>
  <c r="D9679" i="1"/>
  <c r="D5232" i="1"/>
  <c r="D9680" i="1"/>
  <c r="D9865" i="1"/>
  <c r="D9681" i="1"/>
  <c r="D9866" i="1"/>
  <c r="D9867" i="1"/>
  <c r="D9682" i="1"/>
  <c r="D9868" i="1"/>
  <c r="D15473" i="1"/>
  <c r="D9429" i="1"/>
  <c r="D9430" i="1"/>
  <c r="D10355" i="1"/>
  <c r="D10356" i="1"/>
  <c r="D10357" i="1"/>
  <c r="D10358" i="1"/>
  <c r="D10879" i="1"/>
  <c r="D10880" i="1"/>
  <c r="D17489" i="1"/>
  <c r="D17490" i="1"/>
  <c r="D26890" i="1"/>
  <c r="D8039" i="1"/>
  <c r="D11877" i="1"/>
  <c r="D25768" i="1"/>
  <c r="D19703" i="1"/>
  <c r="D3750" i="1"/>
  <c r="D12056" i="1"/>
  <c r="D12066" i="1"/>
  <c r="D19450" i="1"/>
  <c r="D6887" i="1"/>
  <c r="D6888" i="1"/>
  <c r="D7791" i="1"/>
  <c r="D3437" i="1"/>
  <c r="D3438" i="1"/>
  <c r="D25755" i="1"/>
  <c r="D3246" i="1"/>
  <c r="D2450" i="1"/>
  <c r="D8258" i="1"/>
  <c r="D12641" i="1"/>
  <c r="D15284" i="1"/>
  <c r="D15279" i="1"/>
  <c r="D15285" i="1"/>
  <c r="D8238" i="1"/>
  <c r="D13072" i="1"/>
  <c r="D13073" i="1"/>
  <c r="D12557" i="1"/>
  <c r="D9482" i="1"/>
  <c r="D9483" i="1"/>
  <c r="D15280" i="1"/>
  <c r="D15286" i="1"/>
  <c r="D16903" i="1"/>
  <c r="D16904" i="1"/>
  <c r="D18843" i="1"/>
  <c r="D3703" i="1"/>
  <c r="D11925" i="1"/>
  <c r="D773" i="1"/>
  <c r="D3622" i="1"/>
  <c r="D10177" i="1"/>
  <c r="D5863" i="1"/>
  <c r="D8209" i="1"/>
  <c r="D10927" i="1"/>
  <c r="D17715" i="1"/>
  <c r="D26680" i="1"/>
  <c r="D23546" i="1"/>
  <c r="D18346" i="1"/>
  <c r="D6889" i="1"/>
  <c r="D6890" i="1"/>
  <c r="D7792" i="1"/>
  <c r="D1153" i="1"/>
  <c r="D1170" i="1"/>
  <c r="D18689" i="1"/>
  <c r="D18690" i="1"/>
  <c r="D18691" i="1"/>
  <c r="D5334" i="1"/>
  <c r="D5233" i="1"/>
  <c r="D5369" i="1"/>
  <c r="D5234" i="1"/>
  <c r="D2743" i="1"/>
  <c r="D26391" i="1"/>
  <c r="D10810" i="1"/>
  <c r="D22865" i="1"/>
  <c r="D9683" i="1"/>
  <c r="D9684" i="1"/>
  <c r="D26891" i="1"/>
  <c r="D9685" i="1"/>
  <c r="D9686" i="1"/>
  <c r="D9687" i="1"/>
  <c r="D9688" i="1"/>
  <c r="D9689" i="1"/>
  <c r="D2828" i="1"/>
  <c r="D9944" i="1"/>
  <c r="D9690" i="1"/>
  <c r="D26392" i="1"/>
  <c r="D26393" i="1"/>
  <c r="D17646" i="1"/>
  <c r="D15886" i="1"/>
  <c r="D12642" i="1"/>
  <c r="D18562" i="1"/>
  <c r="D10490" i="1"/>
  <c r="D3754" i="1"/>
  <c r="D5520" i="1"/>
  <c r="D15116" i="1"/>
  <c r="D23318" i="1"/>
  <c r="D23149" i="1"/>
  <c r="D23319" i="1"/>
  <c r="D6891" i="1"/>
  <c r="D6892" i="1"/>
  <c r="D19651" i="1"/>
  <c r="D7981" i="1"/>
  <c r="D18133" i="1"/>
  <c r="D4028" i="1"/>
  <c r="D4068" i="1"/>
  <c r="D4029" i="1"/>
  <c r="D17659" i="1"/>
  <c r="D3834" i="1"/>
  <c r="D4273" i="1"/>
  <c r="D17660" i="1"/>
  <c r="D2585" i="1"/>
  <c r="D17661" i="1"/>
  <c r="D25468" i="1"/>
  <c r="D25469" i="1"/>
  <c r="D25470" i="1"/>
  <c r="D4998" i="1"/>
  <c r="D4999" i="1"/>
  <c r="D5000" i="1"/>
  <c r="D25471" i="1"/>
  <c r="D25472" i="1"/>
  <c r="D9515" i="1"/>
  <c r="D9516" i="1"/>
  <c r="D9517" i="1"/>
  <c r="D1477" i="1"/>
  <c r="D4059" i="1"/>
  <c r="D4113" i="1"/>
  <c r="D5235" i="1"/>
  <c r="D3130" i="1"/>
  <c r="D5236" i="1"/>
  <c r="D5237" i="1"/>
  <c r="D2716" i="1"/>
  <c r="D5238" i="1"/>
  <c r="D10996" i="1"/>
  <c r="D10997" i="1"/>
  <c r="D10998" i="1"/>
  <c r="D10999" i="1"/>
  <c r="D14042" i="1"/>
  <c r="D9976" i="1"/>
  <c r="D9992" i="1"/>
  <c r="D5001" i="1"/>
  <c r="D6893" i="1"/>
  <c r="D6894" i="1"/>
  <c r="D6895" i="1"/>
  <c r="D15328" i="1"/>
  <c r="D15329" i="1"/>
  <c r="D8000" i="1"/>
  <c r="D8819" i="1"/>
  <c r="D25348" i="1"/>
  <c r="D3131" i="1"/>
  <c r="D3146" i="1"/>
  <c r="D3158" i="1"/>
  <c r="D26892" i="1"/>
  <c r="D26893" i="1"/>
  <c r="D26894" i="1"/>
  <c r="D5239" i="1"/>
  <c r="D5240" i="1"/>
  <c r="D15514" i="1"/>
  <c r="D22893" i="1"/>
  <c r="D11896" i="1"/>
  <c r="D26394" i="1"/>
  <c r="D26895" i="1"/>
  <c r="D26395" i="1"/>
  <c r="D26396" i="1"/>
  <c r="D15056" i="1"/>
  <c r="D26611" i="1"/>
  <c r="D935" i="1"/>
  <c r="D26896" i="1"/>
  <c r="D2391" i="1"/>
  <c r="D25031" i="1"/>
  <c r="D15474" i="1"/>
  <c r="D15475" i="1"/>
  <c r="D3545" i="1"/>
  <c r="D3546" i="1"/>
  <c r="D5680" i="1"/>
  <c r="D5793" i="1"/>
  <c r="D5794" i="1"/>
  <c r="D19109" i="1"/>
  <c r="D19110" i="1"/>
  <c r="D3870" i="1"/>
  <c r="D1285" i="1"/>
  <c r="D23495" i="1"/>
  <c r="D23496" i="1"/>
  <c r="D8334" i="1"/>
  <c r="D12643" i="1"/>
  <c r="D4483" i="1"/>
  <c r="D17491" i="1"/>
  <c r="D17492" i="1"/>
  <c r="D17493" i="1"/>
  <c r="D17494" i="1"/>
  <c r="D17495" i="1"/>
  <c r="D17496" i="1"/>
  <c r="D15870" i="1"/>
  <c r="D15281" i="1"/>
  <c r="D15287" i="1"/>
  <c r="D12488" i="1"/>
  <c r="D1098" i="1"/>
  <c r="D2554" i="1"/>
  <c r="D12368" i="1"/>
  <c r="D1230" i="1"/>
  <c r="D1231" i="1"/>
  <c r="D11813" i="1"/>
  <c r="D12013" i="1"/>
  <c r="D5521" i="1"/>
  <c r="D5559" i="1"/>
  <c r="D25032" i="1"/>
  <c r="D25033" i="1"/>
  <c r="D18180" i="1"/>
  <c r="D25034" i="1"/>
  <c r="D23449" i="1"/>
  <c r="D11950" i="1"/>
  <c r="D23320" i="1"/>
  <c r="D23321" i="1"/>
  <c r="D23322" i="1"/>
  <c r="D15828" i="1"/>
  <c r="D6896" i="1"/>
  <c r="D12375" i="1"/>
  <c r="D12376" i="1"/>
  <c r="D18112" i="1"/>
  <c r="D652" i="1"/>
  <c r="D6897" i="1"/>
  <c r="D7793" i="1"/>
  <c r="D7794" i="1"/>
  <c r="D6898" i="1"/>
  <c r="D7795" i="1"/>
  <c r="D6899" i="1"/>
  <c r="D2494" i="1"/>
  <c r="D27108" i="1"/>
  <c r="D27111" i="1"/>
  <c r="D1099" i="1"/>
  <c r="D1100" i="1"/>
  <c r="D6900" i="1"/>
  <c r="D7796" i="1"/>
  <c r="D6901" i="1"/>
  <c r="D7797" i="1"/>
  <c r="D6902" i="1"/>
  <c r="D7798" i="1"/>
  <c r="D3783" i="1"/>
  <c r="D3784" i="1"/>
  <c r="D3800" i="1"/>
  <c r="D19092" i="1"/>
  <c r="D19097" i="1"/>
  <c r="D11977" i="1"/>
  <c r="D11923" i="1"/>
  <c r="D26897" i="1"/>
  <c r="D26397" i="1"/>
  <c r="D3132" i="1"/>
  <c r="D12057" i="1"/>
  <c r="D12058" i="1"/>
  <c r="D3501" i="1"/>
  <c r="D3508" i="1"/>
  <c r="D8140" i="1"/>
  <c r="D8141" i="1"/>
  <c r="D8171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5807" i="1"/>
  <c r="D4404" i="1"/>
  <c r="D12455" i="1"/>
  <c r="D12524" i="1"/>
  <c r="D12525" i="1"/>
  <c r="D12526" i="1"/>
  <c r="D8210" i="1"/>
  <c r="D27092" i="1"/>
  <c r="D25756" i="1"/>
  <c r="D4659" i="1"/>
  <c r="D10295" i="1"/>
  <c r="D23481" i="1"/>
  <c r="D12180" i="1"/>
  <c r="D18150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13148" i="1"/>
  <c r="D6928" i="1"/>
  <c r="D6929" i="1"/>
  <c r="D6930" i="1"/>
  <c r="D6931" i="1"/>
  <c r="D6932" i="1"/>
  <c r="D19417" i="1"/>
  <c r="D15829" i="1"/>
  <c r="D19077" i="1"/>
  <c r="D18113" i="1"/>
  <c r="D18114" i="1"/>
  <c r="D9431" i="1"/>
  <c r="D9432" i="1"/>
  <c r="D9347" i="1"/>
  <c r="D9318" i="1"/>
  <c r="D9319" i="1"/>
  <c r="D9332" i="1"/>
  <c r="D10201" i="1"/>
  <c r="D11866" i="1"/>
  <c r="D10688" i="1"/>
  <c r="D10632" i="1"/>
  <c r="D10644" i="1"/>
  <c r="D10661" i="1"/>
  <c r="D10645" i="1"/>
  <c r="D10662" i="1"/>
  <c r="D10689" i="1"/>
  <c r="D10690" i="1"/>
  <c r="D10637" i="1"/>
  <c r="D10646" i="1"/>
  <c r="D10647" i="1"/>
  <c r="D10663" i="1"/>
  <c r="D10691" i="1"/>
  <c r="D10692" i="1"/>
  <c r="D10693" i="1"/>
  <c r="D10635" i="1"/>
  <c r="D10648" i="1"/>
  <c r="D10694" i="1"/>
  <c r="D18844" i="1"/>
  <c r="D13205" i="1"/>
  <c r="D3347" i="1"/>
  <c r="D3348" i="1"/>
  <c r="D2642" i="1"/>
  <c r="D17899" i="1"/>
  <c r="D17900" i="1"/>
  <c r="D17901" i="1"/>
  <c r="D3349" i="1"/>
  <c r="D3350" i="1"/>
  <c r="D17902" i="1"/>
  <c r="D18563" i="1"/>
  <c r="D4484" i="1"/>
  <c r="D4485" i="1"/>
  <c r="D3017" i="1"/>
  <c r="D3018" i="1"/>
  <c r="D3019" i="1"/>
  <c r="D3020" i="1"/>
  <c r="D3021" i="1"/>
  <c r="D3022" i="1"/>
  <c r="D3023" i="1"/>
  <c r="D3024" i="1"/>
  <c r="D18692" i="1"/>
  <c r="D17558" i="1"/>
  <c r="D17559" i="1"/>
  <c r="D18693" i="1"/>
  <c r="D18694" i="1"/>
  <c r="D3159" i="1"/>
  <c r="D18347" i="1"/>
  <c r="D585" i="1"/>
  <c r="D1286" i="1"/>
  <c r="D12489" i="1"/>
  <c r="D12490" i="1"/>
  <c r="D26398" i="1"/>
  <c r="D26501" i="1"/>
  <c r="D26502" i="1"/>
  <c r="D26503" i="1"/>
  <c r="D26504" i="1"/>
  <c r="D15618" i="1"/>
  <c r="D1287" i="1"/>
  <c r="D6933" i="1"/>
  <c r="D19086" i="1"/>
  <c r="D6934" i="1"/>
  <c r="D6935" i="1"/>
  <c r="D6936" i="1"/>
  <c r="D6937" i="1"/>
  <c r="D7799" i="1"/>
  <c r="D12729" i="1"/>
  <c r="D12751" i="1"/>
  <c r="D12730" i="1"/>
  <c r="D12752" i="1"/>
  <c r="D6938" i="1"/>
  <c r="D7800" i="1"/>
  <c r="D17348" i="1"/>
  <c r="D17497" i="1"/>
  <c r="D17601" i="1"/>
  <c r="D17602" i="1"/>
  <c r="D18994" i="1"/>
  <c r="D5002" i="1"/>
  <c r="D5003" i="1"/>
  <c r="D5004" i="1"/>
  <c r="D5005" i="1"/>
  <c r="D15263" i="1"/>
  <c r="D15268" i="1"/>
  <c r="D23150" i="1"/>
  <c r="D23098" i="1"/>
  <c r="D23323" i="1"/>
  <c r="D23324" i="1"/>
  <c r="D23151" i="1"/>
  <c r="D23325" i="1"/>
  <c r="D23326" i="1"/>
  <c r="D23327" i="1"/>
  <c r="D23085" i="1"/>
  <c r="D23152" i="1"/>
  <c r="D23328" i="1"/>
  <c r="D23329" i="1"/>
  <c r="D23086" i="1"/>
  <c r="D23330" i="1"/>
  <c r="D23042" i="1"/>
  <c r="D23087" i="1"/>
  <c r="D23331" i="1"/>
  <c r="D23332" i="1"/>
  <c r="D6939" i="1"/>
  <c r="D8142" i="1"/>
  <c r="D8109" i="1"/>
  <c r="D8143" i="1"/>
  <c r="D26273" i="1"/>
  <c r="D24440" i="1"/>
  <c r="D17903" i="1"/>
  <c r="D17904" i="1"/>
  <c r="D671" i="1"/>
  <c r="D17905" i="1"/>
  <c r="D17906" i="1"/>
  <c r="D17907" i="1"/>
  <c r="D17908" i="1"/>
  <c r="D23883" i="1"/>
  <c r="D23884" i="1"/>
  <c r="D23885" i="1"/>
  <c r="D23886" i="1"/>
  <c r="D23887" i="1"/>
  <c r="D23888" i="1"/>
  <c r="D23889" i="1"/>
  <c r="D26032" i="1"/>
  <c r="D26033" i="1"/>
  <c r="D26034" i="1"/>
  <c r="D26035" i="1"/>
  <c r="D4274" i="1"/>
  <c r="D23890" i="1"/>
  <c r="D23891" i="1"/>
  <c r="D23892" i="1"/>
  <c r="D12543" i="1"/>
  <c r="D11000" i="1"/>
  <c r="D24352" i="1"/>
  <c r="D10928" i="1"/>
  <c r="D10929" i="1"/>
  <c r="D10930" i="1"/>
  <c r="D10931" i="1"/>
  <c r="D1154" i="1"/>
  <c r="D1171" i="1"/>
  <c r="D18695" i="1"/>
  <c r="D9313" i="1"/>
  <c r="D9314" i="1"/>
  <c r="D12418" i="1"/>
  <c r="D3648" i="1"/>
  <c r="D25560" i="1"/>
  <c r="D25561" i="1"/>
  <c r="D25562" i="1"/>
  <c r="D14748" i="1"/>
  <c r="D703" i="1"/>
  <c r="D735" i="1"/>
  <c r="D4486" i="1"/>
  <c r="D4487" i="1"/>
  <c r="D11826" i="1"/>
  <c r="D15330" i="1"/>
  <c r="D9134" i="1"/>
  <c r="D10695" i="1"/>
  <c r="D811" i="1"/>
  <c r="D812" i="1"/>
  <c r="D12291" i="1"/>
  <c r="D12292" i="1"/>
  <c r="D12293" i="1"/>
  <c r="D12294" i="1"/>
  <c r="D12295" i="1"/>
  <c r="D14933" i="1"/>
  <c r="D14934" i="1"/>
  <c r="D13922" i="1"/>
  <c r="D15331" i="1"/>
  <c r="D10018" i="1"/>
  <c r="D10019" i="1"/>
  <c r="D18151" i="1"/>
  <c r="D18170" i="1"/>
  <c r="D18152" i="1"/>
  <c r="D18171" i="1"/>
  <c r="D18153" i="1"/>
  <c r="D18172" i="1"/>
  <c r="D15332" i="1"/>
  <c r="D23108" i="1"/>
  <c r="D23333" i="1"/>
  <c r="D23043" i="1"/>
  <c r="D23334" i="1"/>
  <c r="D23335" i="1"/>
  <c r="D23336" i="1"/>
  <c r="D23337" i="1"/>
  <c r="D23099" i="1"/>
  <c r="D4729" i="1"/>
  <c r="D9433" i="1"/>
  <c r="D14457" i="1"/>
  <c r="D13006" i="1"/>
  <c r="D13007" i="1"/>
  <c r="D13008" i="1"/>
  <c r="D13009" i="1"/>
  <c r="D13010" i="1"/>
  <c r="D9271" i="1"/>
  <c r="D9272" i="1"/>
  <c r="D9273" i="1"/>
  <c r="D9274" i="1"/>
  <c r="D537" i="1"/>
  <c r="D12007" i="1"/>
  <c r="D3565" i="1"/>
  <c r="D24441" i="1"/>
  <c r="D24442" i="1"/>
  <c r="D22930" i="1"/>
  <c r="D16019" i="1"/>
  <c r="D16020" i="1"/>
  <c r="D24443" i="1"/>
  <c r="D24444" i="1"/>
  <c r="D9200" i="1"/>
  <c r="D9201" i="1"/>
  <c r="D24445" i="1"/>
  <c r="D16021" i="1"/>
  <c r="D9202" i="1"/>
  <c r="D9203" i="1"/>
  <c r="D9204" i="1"/>
  <c r="D9205" i="1"/>
  <c r="D9206" i="1"/>
  <c r="D16022" i="1"/>
  <c r="D5964" i="1"/>
  <c r="D550" i="1"/>
  <c r="D25639" i="1"/>
  <c r="D25722" i="1"/>
  <c r="D25723" i="1"/>
  <c r="D25640" i="1"/>
  <c r="D2409" i="1"/>
  <c r="D2410" i="1"/>
  <c r="D3828" i="1"/>
  <c r="D14790" i="1"/>
  <c r="D14791" i="1"/>
  <c r="D14792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24446" i="1"/>
  <c r="D24447" i="1"/>
  <c r="D24448" i="1"/>
  <c r="D16023" i="1"/>
  <c r="D16024" i="1"/>
  <c r="D9207" i="1"/>
  <c r="D24449" i="1"/>
  <c r="D24450" i="1"/>
  <c r="D9208" i="1"/>
  <c r="D16025" i="1"/>
  <c r="D16026" i="1"/>
  <c r="D16027" i="1"/>
  <c r="D12835" i="1"/>
  <c r="D12836" i="1"/>
  <c r="D4565" i="1"/>
  <c r="D9079" i="1"/>
  <c r="D26255" i="1"/>
  <c r="D12837" i="1"/>
  <c r="D12838" i="1"/>
  <c r="D12839" i="1"/>
  <c r="D12840" i="1"/>
  <c r="D653" i="1"/>
  <c r="D23893" i="1"/>
  <c r="D23894" i="1"/>
  <c r="D23895" i="1"/>
  <c r="D23896" i="1"/>
  <c r="D5392" i="1"/>
  <c r="D5404" i="1"/>
  <c r="D7801" i="1"/>
  <c r="D12958" i="1"/>
  <c r="D12972" i="1"/>
  <c r="D13011" i="1"/>
  <c r="D13109" i="1"/>
  <c r="D13012" i="1"/>
  <c r="D6940" i="1"/>
  <c r="D7802" i="1"/>
  <c r="D6941" i="1"/>
  <c r="D7803" i="1"/>
  <c r="D6942" i="1"/>
  <c r="D3112" i="1"/>
  <c r="D3025" i="1"/>
  <c r="D3026" i="1"/>
  <c r="D23897" i="1"/>
  <c r="D23898" i="1"/>
  <c r="D23899" i="1"/>
  <c r="D23900" i="1"/>
  <c r="D23901" i="1"/>
  <c r="D3027" i="1"/>
  <c r="D3028" i="1"/>
  <c r="D3029" i="1"/>
  <c r="D3030" i="1"/>
  <c r="D23902" i="1"/>
  <c r="D23903" i="1"/>
  <c r="D23904" i="1"/>
  <c r="D23905" i="1"/>
  <c r="D23906" i="1"/>
  <c r="D23907" i="1"/>
  <c r="D23908" i="1"/>
  <c r="D23909" i="1"/>
  <c r="D23910" i="1"/>
  <c r="D19670" i="1"/>
  <c r="D4069" i="1"/>
  <c r="D4114" i="1"/>
  <c r="D4115" i="1"/>
  <c r="D3994" i="1"/>
  <c r="D4070" i="1"/>
  <c r="D23338" i="1"/>
  <c r="D23339" i="1"/>
  <c r="D9977" i="1"/>
  <c r="D9993" i="1"/>
  <c r="D25258" i="1"/>
  <c r="D25302" i="1"/>
  <c r="D25259" i="1"/>
  <c r="D25303" i="1"/>
  <c r="D25260" i="1"/>
  <c r="D25304" i="1"/>
  <c r="D25261" i="1"/>
  <c r="D25305" i="1"/>
  <c r="D12578" i="1"/>
  <c r="D23911" i="1"/>
  <c r="D3888" i="1"/>
  <c r="D9484" i="1"/>
  <c r="D14583" i="1"/>
  <c r="D14591" i="1"/>
  <c r="D11648" i="1"/>
  <c r="D3566" i="1"/>
  <c r="D11649" i="1"/>
  <c r="D10020" i="1"/>
  <c r="D5241" i="1"/>
  <c r="D2829" i="1"/>
  <c r="D3351" i="1"/>
  <c r="D15039" i="1"/>
  <c r="D1397" i="1"/>
  <c r="D1398" i="1"/>
  <c r="D12048" i="1"/>
  <c r="D1399" i="1"/>
  <c r="D1400" i="1"/>
  <c r="D10507" i="1"/>
  <c r="D1401" i="1"/>
  <c r="D1402" i="1"/>
  <c r="D1403" i="1"/>
  <c r="D1404" i="1"/>
  <c r="D10899" i="1"/>
  <c r="D25201" i="1"/>
  <c r="D25202" i="1"/>
  <c r="D5242" i="1"/>
  <c r="D18348" i="1"/>
  <c r="D18349" i="1"/>
  <c r="D5660" i="1"/>
  <c r="D11757" i="1"/>
  <c r="D18696" i="1"/>
  <c r="D21547" i="1"/>
  <c r="D21548" i="1"/>
  <c r="D21549" i="1"/>
  <c r="D21550" i="1"/>
  <c r="D21551" i="1"/>
  <c r="D21552" i="1"/>
  <c r="D21553" i="1"/>
  <c r="D21554" i="1"/>
  <c r="D21555" i="1"/>
  <c r="D21556" i="1"/>
  <c r="D2830" i="1"/>
  <c r="D2831" i="1"/>
  <c r="D21557" i="1"/>
  <c r="D21558" i="1"/>
  <c r="D21559" i="1"/>
  <c r="D21560" i="1"/>
  <c r="D21561" i="1"/>
  <c r="D21562" i="1"/>
  <c r="D21563" i="1"/>
  <c r="D21564" i="1"/>
  <c r="D21565" i="1"/>
  <c r="D21566" i="1"/>
  <c r="D21567" i="1"/>
  <c r="D21568" i="1"/>
  <c r="D21569" i="1"/>
  <c r="D21570" i="1"/>
  <c r="D21571" i="1"/>
  <c r="D21572" i="1"/>
  <c r="D21573" i="1"/>
  <c r="D21574" i="1"/>
  <c r="D21575" i="1"/>
  <c r="D21576" i="1"/>
  <c r="D21577" i="1"/>
  <c r="D21578" i="1"/>
  <c r="D21579" i="1"/>
  <c r="D21580" i="1"/>
  <c r="D21581" i="1"/>
  <c r="D21582" i="1"/>
  <c r="D21583" i="1"/>
  <c r="D21584" i="1"/>
  <c r="D18350" i="1"/>
  <c r="D11723" i="1"/>
  <c r="D21585" i="1"/>
  <c r="D21586" i="1"/>
  <c r="D21587" i="1"/>
  <c r="D21588" i="1"/>
  <c r="D21589" i="1"/>
  <c r="D21590" i="1"/>
  <c r="D21591" i="1"/>
  <c r="D21592" i="1"/>
  <c r="D21593" i="1"/>
  <c r="D5243" i="1"/>
  <c r="D21594" i="1"/>
  <c r="D21595" i="1"/>
  <c r="D21596" i="1"/>
  <c r="D21597" i="1"/>
  <c r="D21598" i="1"/>
  <c r="D21599" i="1"/>
  <c r="D21600" i="1"/>
  <c r="D21601" i="1"/>
  <c r="D21602" i="1"/>
  <c r="D21603" i="1"/>
  <c r="D21604" i="1"/>
  <c r="D5244" i="1"/>
  <c r="D21605" i="1"/>
  <c r="D21606" i="1"/>
  <c r="D21607" i="1"/>
  <c r="D21608" i="1"/>
  <c r="D21609" i="1"/>
  <c r="D21610" i="1"/>
  <c r="D21611" i="1"/>
  <c r="D21612" i="1"/>
  <c r="D21613" i="1"/>
  <c r="D21614" i="1"/>
  <c r="D21615" i="1"/>
  <c r="D21616" i="1"/>
  <c r="D21617" i="1"/>
  <c r="D21618" i="1"/>
  <c r="D21619" i="1"/>
  <c r="D21620" i="1"/>
  <c r="D21621" i="1"/>
  <c r="D21622" i="1"/>
  <c r="D21623" i="1"/>
  <c r="D21624" i="1"/>
  <c r="D21625" i="1"/>
  <c r="D21626" i="1"/>
  <c r="D21627" i="1"/>
  <c r="D21628" i="1"/>
  <c r="D21629" i="1"/>
  <c r="D21630" i="1"/>
  <c r="D21631" i="1"/>
  <c r="D21632" i="1"/>
  <c r="D21633" i="1"/>
  <c r="D21634" i="1"/>
  <c r="D21635" i="1"/>
  <c r="D21636" i="1"/>
  <c r="D21637" i="1"/>
  <c r="D21638" i="1"/>
  <c r="D21639" i="1"/>
  <c r="D21640" i="1"/>
  <c r="D21641" i="1"/>
  <c r="D21642" i="1"/>
  <c r="D21643" i="1"/>
  <c r="D21644" i="1"/>
  <c r="D21645" i="1"/>
  <c r="D3147" i="1"/>
  <c r="D21646" i="1"/>
  <c r="D21647" i="1"/>
  <c r="D21648" i="1"/>
  <c r="D21649" i="1"/>
  <c r="D21650" i="1"/>
  <c r="D21651" i="1"/>
  <c r="D21652" i="1"/>
  <c r="D21653" i="1"/>
  <c r="D21654" i="1"/>
  <c r="D21655" i="1"/>
  <c r="D21656" i="1"/>
  <c r="D21657" i="1"/>
  <c r="D21658" i="1"/>
  <c r="D21659" i="1"/>
  <c r="D21660" i="1"/>
  <c r="D21661" i="1"/>
  <c r="D21662" i="1"/>
  <c r="D21663" i="1"/>
  <c r="D21664" i="1"/>
  <c r="D21665" i="1"/>
  <c r="D21666" i="1"/>
  <c r="D21667" i="1"/>
  <c r="D21668" i="1"/>
  <c r="D21669" i="1"/>
  <c r="D21670" i="1"/>
  <c r="D21671" i="1"/>
  <c r="D21672" i="1"/>
  <c r="D21673" i="1"/>
  <c r="D21674" i="1"/>
  <c r="D21675" i="1"/>
  <c r="D21676" i="1"/>
  <c r="D21677" i="1"/>
  <c r="D21678" i="1"/>
  <c r="D21679" i="1"/>
  <c r="D21680" i="1"/>
  <c r="D21681" i="1"/>
  <c r="D21682" i="1"/>
  <c r="D21683" i="1"/>
  <c r="D21684" i="1"/>
  <c r="D21685" i="1"/>
  <c r="D21686" i="1"/>
  <c r="D21687" i="1"/>
  <c r="D21688" i="1"/>
  <c r="D21689" i="1"/>
  <c r="D21690" i="1"/>
  <c r="D21691" i="1"/>
  <c r="D21692" i="1"/>
  <c r="D21693" i="1"/>
  <c r="D21694" i="1"/>
  <c r="D21695" i="1"/>
  <c r="D21696" i="1"/>
  <c r="D21697" i="1"/>
  <c r="D5245" i="1"/>
  <c r="D21698" i="1"/>
  <c r="D21699" i="1"/>
  <c r="D21700" i="1"/>
  <c r="D21701" i="1"/>
  <c r="D21702" i="1"/>
  <c r="D6943" i="1"/>
  <c r="D7804" i="1"/>
  <c r="D6944" i="1"/>
  <c r="D7805" i="1"/>
  <c r="D6945" i="1"/>
  <c r="D7806" i="1"/>
  <c r="D25641" i="1"/>
  <c r="D25642" i="1"/>
  <c r="D25643" i="1"/>
  <c r="D25644" i="1"/>
  <c r="D25645" i="1"/>
  <c r="D25646" i="1"/>
  <c r="D25647" i="1"/>
  <c r="D12003" i="1"/>
  <c r="D12558" i="1"/>
  <c r="D12559" i="1"/>
  <c r="D19131" i="1"/>
  <c r="D19030" i="1"/>
  <c r="D22947" i="1"/>
  <c r="D5560" i="1"/>
  <c r="D15246" i="1"/>
  <c r="D12194" i="1"/>
  <c r="D12195" i="1"/>
  <c r="D1101" i="1"/>
  <c r="D1102" i="1"/>
  <c r="D10359" i="1"/>
  <c r="D10360" i="1"/>
  <c r="D9092" i="1"/>
  <c r="D9093" i="1"/>
  <c r="D18902" i="1"/>
  <c r="D14904" i="1"/>
  <c r="D14905" i="1"/>
  <c r="D14906" i="1"/>
  <c r="D14907" i="1"/>
  <c r="D12004" i="1"/>
  <c r="D19178" i="1"/>
  <c r="D19179" i="1"/>
  <c r="D19180" i="1"/>
  <c r="D19181" i="1"/>
  <c r="D806" i="1"/>
  <c r="D25769" i="1"/>
  <c r="D10760" i="1"/>
  <c r="D23912" i="1"/>
  <c r="D23913" i="1"/>
  <c r="D23914" i="1"/>
  <c r="D23915" i="1"/>
  <c r="D23916" i="1"/>
  <c r="D27076" i="1"/>
  <c r="D23917" i="1"/>
  <c r="D23918" i="1"/>
  <c r="D23919" i="1"/>
  <c r="D557" i="1"/>
  <c r="D10761" i="1"/>
  <c r="D11805" i="1"/>
  <c r="D10762" i="1"/>
  <c r="D10763" i="1"/>
  <c r="D10764" i="1"/>
  <c r="D10765" i="1"/>
  <c r="D25648" i="1"/>
  <c r="D25649" i="1"/>
  <c r="D25650" i="1"/>
  <c r="D5335" i="1"/>
  <c r="D5246" i="1"/>
  <c r="D3567" i="1"/>
  <c r="D3575" i="1"/>
  <c r="D3352" i="1"/>
  <c r="D3353" i="1"/>
  <c r="D10289" i="1"/>
  <c r="D23920" i="1"/>
  <c r="D3354" i="1"/>
  <c r="D3355" i="1"/>
  <c r="D3356" i="1"/>
  <c r="D3357" i="1"/>
  <c r="D19093" i="1"/>
  <c r="D19259" i="1"/>
  <c r="D19260" i="1"/>
  <c r="D25473" i="1"/>
  <c r="D25474" i="1"/>
  <c r="D25475" i="1"/>
  <c r="D3419" i="1"/>
  <c r="D900" i="1"/>
  <c r="D25531" i="1"/>
  <c r="D25476" i="1"/>
  <c r="D25532" i="1"/>
  <c r="D15404" i="1"/>
  <c r="D758" i="1"/>
  <c r="D5833" i="1"/>
  <c r="D5834" i="1"/>
  <c r="D10580" i="1"/>
  <c r="D10581" i="1"/>
  <c r="D10582" i="1"/>
  <c r="D10583" i="1"/>
  <c r="D10584" i="1"/>
  <c r="D10585" i="1"/>
  <c r="D10586" i="1"/>
  <c r="D10587" i="1"/>
  <c r="D10588" i="1"/>
  <c r="D25799" i="1"/>
  <c r="D12032" i="1"/>
  <c r="D3031" i="1"/>
  <c r="D11724" i="1"/>
  <c r="D11725" i="1"/>
  <c r="D11746" i="1"/>
  <c r="D5336" i="1"/>
  <c r="D21703" i="1"/>
  <c r="D21704" i="1"/>
  <c r="D21705" i="1"/>
  <c r="D21706" i="1"/>
  <c r="D21707" i="1"/>
  <c r="D21708" i="1"/>
  <c r="D21709" i="1"/>
  <c r="D21710" i="1"/>
  <c r="D21711" i="1"/>
  <c r="D21712" i="1"/>
  <c r="D21713" i="1"/>
  <c r="D21714" i="1"/>
  <c r="D21715" i="1"/>
  <c r="D21716" i="1"/>
  <c r="D21717" i="1"/>
  <c r="D21718" i="1"/>
  <c r="D21719" i="1"/>
  <c r="D21720" i="1"/>
  <c r="D21721" i="1"/>
  <c r="D21722" i="1"/>
  <c r="D21723" i="1"/>
  <c r="D21724" i="1"/>
  <c r="D21725" i="1"/>
  <c r="D21726" i="1"/>
  <c r="D21727" i="1"/>
  <c r="D9691" i="1"/>
  <c r="D10932" i="1"/>
  <c r="D9692" i="1"/>
  <c r="D5337" i="1"/>
  <c r="D5338" i="1"/>
  <c r="D9693" i="1"/>
  <c r="D15558" i="1"/>
  <c r="D9694" i="1"/>
  <c r="D9695" i="1"/>
  <c r="D9696" i="1"/>
  <c r="D5247" i="1"/>
  <c r="D5248" i="1"/>
  <c r="D5249" i="1"/>
  <c r="D9697" i="1"/>
  <c r="D26898" i="1"/>
  <c r="D26036" i="1"/>
  <c r="D9698" i="1"/>
  <c r="D5339" i="1"/>
  <c r="D12022" i="1"/>
  <c r="D9699" i="1"/>
  <c r="D15515" i="1"/>
  <c r="D26526" i="1"/>
  <c r="D26527" i="1"/>
  <c r="D26505" i="1"/>
  <c r="D11887" i="1"/>
  <c r="D3148" i="1"/>
  <c r="D936" i="1"/>
  <c r="D19712" i="1"/>
  <c r="D19713" i="1"/>
  <c r="D19714" i="1"/>
  <c r="D19715" i="1"/>
  <c r="D19716" i="1"/>
  <c r="D11888" i="1"/>
  <c r="D11910" i="1"/>
  <c r="D26612" i="1"/>
  <c r="D26506" i="1"/>
  <c r="D2470" i="1"/>
  <c r="D2471" i="1"/>
  <c r="D26681" i="1"/>
  <c r="D26899" i="1"/>
  <c r="D3160" i="1"/>
  <c r="D3133" i="1"/>
  <c r="D26399" i="1"/>
  <c r="D26900" i="1"/>
  <c r="D26901" i="1"/>
  <c r="D10508" i="1"/>
  <c r="D838" i="1"/>
  <c r="D15393" i="1"/>
  <c r="D3090" i="1"/>
  <c r="D6946" i="1"/>
  <c r="D6947" i="1"/>
  <c r="D7807" i="1"/>
  <c r="D7808" i="1"/>
  <c r="D6948" i="1"/>
  <c r="D21728" i="1"/>
  <c r="D18351" i="1"/>
  <c r="D18352" i="1"/>
  <c r="D11248" i="1"/>
  <c r="D11249" i="1"/>
  <c r="D11250" i="1"/>
  <c r="D11251" i="1"/>
  <c r="D14037" i="1"/>
  <c r="D15013" i="1"/>
  <c r="D3396" i="1"/>
  <c r="D11252" i="1"/>
  <c r="D11253" i="1"/>
  <c r="D18353" i="1"/>
  <c r="D11254" i="1"/>
  <c r="D11544" i="1"/>
  <c r="D11255" i="1"/>
  <c r="D4458" i="1"/>
  <c r="D11545" i="1"/>
  <c r="D21729" i="1"/>
  <c r="D11256" i="1"/>
  <c r="D11257" i="1"/>
  <c r="D11258" i="1"/>
  <c r="D25035" i="1"/>
  <c r="D25036" i="1"/>
  <c r="D25037" i="1"/>
  <c r="D27060" i="1"/>
  <c r="D27061" i="1"/>
  <c r="D14854" i="1"/>
  <c r="D14855" i="1"/>
  <c r="D14856" i="1"/>
  <c r="D14857" i="1"/>
  <c r="D14858" i="1"/>
  <c r="D5661" i="1"/>
  <c r="D18129" i="1"/>
  <c r="D15419" i="1"/>
  <c r="D25359" i="1"/>
  <c r="D15420" i="1"/>
  <c r="D15442" i="1"/>
  <c r="D15381" i="1"/>
  <c r="D14627" i="1"/>
  <c r="D10378" i="1"/>
  <c r="D10407" i="1"/>
  <c r="D10178" i="1"/>
  <c r="D6949" i="1"/>
  <c r="D6950" i="1"/>
  <c r="D7809" i="1"/>
  <c r="D6951" i="1"/>
  <c r="D6952" i="1"/>
  <c r="D6953" i="1"/>
  <c r="D7810" i="1"/>
  <c r="D19261" i="1"/>
  <c r="D19262" i="1"/>
  <c r="D19263" i="1"/>
  <c r="D19264" i="1"/>
  <c r="D23921" i="1"/>
  <c r="D23922" i="1"/>
  <c r="D23923" i="1"/>
  <c r="D23924" i="1"/>
  <c r="D5585" i="1"/>
  <c r="D24506" i="1"/>
  <c r="D14144" i="1"/>
  <c r="D15516" i="1"/>
  <c r="D15559" i="1"/>
  <c r="D678" i="1"/>
  <c r="D10696" i="1"/>
  <c r="D18995" i="1"/>
  <c r="D4323" i="1"/>
  <c r="D25734" i="1"/>
  <c r="D8172" i="1"/>
  <c r="D1184" i="1"/>
  <c r="D1190" i="1"/>
  <c r="D1185" i="1"/>
  <c r="D1180" i="1"/>
  <c r="D23925" i="1"/>
  <c r="D23926" i="1"/>
  <c r="D5925" i="1"/>
  <c r="D5250" i="1"/>
  <c r="D4275" i="1"/>
  <c r="D11847" i="1"/>
  <c r="D11848" i="1"/>
  <c r="D11849" i="1"/>
  <c r="D4276" i="1"/>
  <c r="D4277" i="1"/>
  <c r="D4278" i="1"/>
  <c r="D12355" i="1"/>
  <c r="D12356" i="1"/>
  <c r="D12357" i="1"/>
  <c r="D12358" i="1"/>
  <c r="D2744" i="1"/>
  <c r="D834" i="1"/>
  <c r="D25038" i="1"/>
  <c r="D25039" i="1"/>
  <c r="D15344" i="1"/>
  <c r="D25040" i="1"/>
  <c r="D1186" i="1"/>
  <c r="D25041" i="1"/>
  <c r="D16069" i="1"/>
  <c r="D12644" i="1"/>
  <c r="D12645" i="1"/>
  <c r="D12646" i="1"/>
  <c r="D17672" i="1"/>
  <c r="D19671" i="1"/>
  <c r="D19672" i="1"/>
  <c r="D18130" i="1"/>
  <c r="D2376" i="1"/>
  <c r="D18947" i="1"/>
  <c r="D18948" i="1"/>
  <c r="D780" i="1"/>
  <c r="D10985" i="1"/>
  <c r="D18354" i="1"/>
  <c r="D26256" i="1"/>
  <c r="D4488" i="1"/>
  <c r="D8219" i="1"/>
  <c r="D21730" i="1"/>
  <c r="D21731" i="1"/>
  <c r="D21732" i="1"/>
  <c r="D21733" i="1"/>
  <c r="D21734" i="1"/>
  <c r="D21735" i="1"/>
  <c r="D21736" i="1"/>
  <c r="D21737" i="1"/>
  <c r="D17756" i="1"/>
  <c r="D21738" i="1"/>
  <c r="D21739" i="1"/>
  <c r="D21740" i="1"/>
  <c r="D21741" i="1"/>
  <c r="D21742" i="1"/>
  <c r="D21743" i="1"/>
  <c r="D21744" i="1"/>
  <c r="D21745" i="1"/>
  <c r="D21746" i="1"/>
  <c r="D17757" i="1"/>
  <c r="D21747" i="1"/>
  <c r="D21748" i="1"/>
  <c r="D21749" i="1"/>
  <c r="D21750" i="1"/>
  <c r="D21751" i="1"/>
  <c r="D21752" i="1"/>
  <c r="D21753" i="1"/>
  <c r="D21754" i="1"/>
  <c r="D21755" i="1"/>
  <c r="D21756" i="1"/>
  <c r="D21757" i="1"/>
  <c r="D1405" i="1"/>
  <c r="D1406" i="1"/>
  <c r="D1407" i="1"/>
  <c r="D1408" i="1"/>
  <c r="D1409" i="1"/>
  <c r="D1410" i="1"/>
  <c r="D5251" i="1"/>
  <c r="D18355" i="1"/>
  <c r="D13940" i="1"/>
  <c r="D2125" i="1"/>
  <c r="D2126" i="1"/>
  <c r="D2127" i="1"/>
  <c r="D2128" i="1"/>
  <c r="D2129" i="1"/>
  <c r="D2130" i="1"/>
  <c r="D1529" i="1"/>
  <c r="D1530" i="1"/>
  <c r="D1531" i="1"/>
  <c r="D1532" i="1"/>
  <c r="D1533" i="1"/>
  <c r="D1534" i="1"/>
  <c r="D1535" i="1"/>
  <c r="D26400" i="1"/>
  <c r="D2131" i="1"/>
  <c r="D3393" i="1"/>
  <c r="D2132" i="1"/>
  <c r="D2133" i="1"/>
  <c r="D2134" i="1"/>
  <c r="D2135" i="1"/>
  <c r="D2136" i="1"/>
  <c r="D2137" i="1"/>
  <c r="D2138" i="1"/>
  <c r="D2139" i="1"/>
  <c r="D12491" i="1"/>
  <c r="D1232" i="1"/>
  <c r="D2872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13272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5188" i="1"/>
  <c r="D22938" i="1"/>
  <c r="D23927" i="1"/>
  <c r="D3477" i="1"/>
  <c r="D750" i="1"/>
  <c r="D26274" i="1"/>
  <c r="D679" i="1"/>
  <c r="D682" i="1"/>
  <c r="D19454" i="1"/>
  <c r="D16799" i="1"/>
  <c r="D16800" i="1"/>
  <c r="D16831" i="1"/>
  <c r="D26401" i="1"/>
  <c r="D26613" i="1"/>
  <c r="D26402" i="1"/>
  <c r="D26507" i="1"/>
  <c r="D26403" i="1"/>
  <c r="D26404" i="1"/>
  <c r="D26405" i="1"/>
  <c r="D26406" i="1"/>
  <c r="D26407" i="1"/>
  <c r="D26408" i="1"/>
  <c r="D23513" i="1"/>
  <c r="D11613" i="1"/>
  <c r="D11614" i="1"/>
  <c r="D11615" i="1"/>
  <c r="D11616" i="1"/>
  <c r="D11617" i="1"/>
  <c r="D4702" i="1"/>
  <c r="D4730" i="1"/>
  <c r="D19265" i="1"/>
  <c r="D19266" i="1"/>
  <c r="D19267" i="1"/>
  <c r="D23928" i="1"/>
  <c r="D23929" i="1"/>
  <c r="D23930" i="1"/>
  <c r="D23931" i="1"/>
  <c r="D23932" i="1"/>
  <c r="D23933" i="1"/>
  <c r="D26409" i="1"/>
  <c r="D26410" i="1"/>
  <c r="D26411" i="1"/>
  <c r="D26412" i="1"/>
  <c r="D26413" i="1"/>
  <c r="D23934" i="1"/>
  <c r="D23935" i="1"/>
  <c r="D23936" i="1"/>
  <c r="D23937" i="1"/>
  <c r="D23938" i="1"/>
  <c r="D23939" i="1"/>
  <c r="D23940" i="1"/>
  <c r="D10408" i="1"/>
  <c r="D10409" i="1"/>
  <c r="D11878" i="1"/>
  <c r="D5252" i="1"/>
  <c r="D23534" i="1"/>
  <c r="D23450" i="1"/>
  <c r="D3692" i="1"/>
  <c r="D18419" i="1"/>
  <c r="D24748" i="1"/>
  <c r="D24749" i="1"/>
  <c r="D24750" i="1"/>
  <c r="D24751" i="1"/>
  <c r="D24752" i="1"/>
  <c r="D24753" i="1"/>
  <c r="D24754" i="1"/>
  <c r="D24755" i="1"/>
  <c r="D24756" i="1"/>
  <c r="D24757" i="1"/>
  <c r="D24758" i="1"/>
  <c r="D24759" i="1"/>
  <c r="D24760" i="1"/>
  <c r="D24761" i="1"/>
  <c r="D24762" i="1"/>
  <c r="D24763" i="1"/>
  <c r="D24764" i="1"/>
  <c r="D24765" i="1"/>
  <c r="D24766" i="1"/>
  <c r="D24767" i="1"/>
  <c r="D24768" i="1"/>
  <c r="D24769" i="1"/>
  <c r="D24770" i="1"/>
  <c r="D24771" i="1"/>
  <c r="D24772" i="1"/>
  <c r="D24773" i="1"/>
  <c r="D24774" i="1"/>
  <c r="D24775" i="1"/>
  <c r="D24776" i="1"/>
  <c r="D8040" i="1"/>
  <c r="D15593" i="1"/>
  <c r="D15594" i="1"/>
  <c r="D15595" i="1"/>
  <c r="D15596" i="1"/>
  <c r="D1486" i="1"/>
  <c r="D15014" i="1"/>
  <c r="D21758" i="1"/>
  <c r="D21759" i="1"/>
  <c r="D21760" i="1"/>
  <c r="D21761" i="1"/>
  <c r="D21762" i="1"/>
  <c r="D21763" i="1"/>
  <c r="D21764" i="1"/>
  <c r="D21765" i="1"/>
  <c r="D21766" i="1"/>
  <c r="D21767" i="1"/>
  <c r="D21768" i="1"/>
  <c r="D21769" i="1"/>
  <c r="D21770" i="1"/>
  <c r="D21771" i="1"/>
  <c r="D21772" i="1"/>
  <c r="D21773" i="1"/>
  <c r="D21774" i="1"/>
  <c r="D5581" i="1"/>
  <c r="D8244" i="1"/>
  <c r="D5055" i="1"/>
  <c r="D908" i="1"/>
  <c r="D782" i="1"/>
  <c r="D2451" i="1"/>
  <c r="D1197" i="1"/>
  <c r="D25583" i="1"/>
  <c r="D10087" i="1"/>
  <c r="D17990" i="1"/>
  <c r="D13171" i="1"/>
  <c r="D10427" i="1"/>
  <c r="D13172" i="1"/>
  <c r="D25376" i="1"/>
  <c r="D25477" i="1"/>
  <c r="D14322" i="1"/>
  <c r="D14323" i="1"/>
  <c r="D14324" i="1"/>
  <c r="D14325" i="1"/>
  <c r="D14326" i="1"/>
  <c r="D14327" i="1"/>
  <c r="D14328" i="1"/>
  <c r="D14329" i="1"/>
  <c r="D14330" i="1"/>
  <c r="D14331" i="1"/>
  <c r="D14332" i="1"/>
  <c r="D14333" i="1"/>
  <c r="D14334" i="1"/>
  <c r="D14441" i="1"/>
  <c r="D14335" i="1"/>
  <c r="D14336" i="1"/>
  <c r="D14337" i="1"/>
  <c r="D14338" i="1"/>
  <c r="D14339" i="1"/>
  <c r="D14340" i="1"/>
  <c r="D14442" i="1"/>
  <c r="D14443" i="1"/>
  <c r="D4166" i="1"/>
  <c r="D4489" i="1"/>
  <c r="D15015" i="1"/>
  <c r="D13173" i="1"/>
  <c r="D13174" i="1"/>
  <c r="D10933" i="1"/>
  <c r="D13175" i="1"/>
  <c r="D5340" i="1"/>
  <c r="D5341" i="1"/>
  <c r="D26508" i="1"/>
  <c r="D26902" i="1"/>
  <c r="D26414" i="1"/>
  <c r="D26903" i="1"/>
  <c r="D590" i="1"/>
  <c r="D16169" i="1"/>
  <c r="D5342" i="1"/>
  <c r="D5253" i="1"/>
  <c r="D3659" i="1"/>
  <c r="D10219" i="1"/>
  <c r="D10220" i="1"/>
  <c r="D10226" i="1"/>
  <c r="D6954" i="1"/>
  <c r="D7811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7812" i="1"/>
  <c r="D7813" i="1"/>
  <c r="D6971" i="1"/>
  <c r="D7814" i="1"/>
  <c r="D15196" i="1"/>
  <c r="D15197" i="1"/>
  <c r="D15198" i="1"/>
  <c r="D15140" i="1"/>
  <c r="D15120" i="1"/>
  <c r="D15199" i="1"/>
  <c r="D15141" i="1"/>
  <c r="D15121" i="1"/>
  <c r="D15122" i="1"/>
  <c r="D15200" i="1"/>
  <c r="D15201" i="1"/>
  <c r="D15202" i="1"/>
  <c r="D25042" i="1"/>
  <c r="D25043" i="1"/>
  <c r="D15443" i="1"/>
  <c r="D11259" i="1"/>
  <c r="D11260" i="1"/>
  <c r="D11261" i="1"/>
  <c r="D2832" i="1"/>
  <c r="D3113" i="1"/>
  <c r="D3114" i="1"/>
  <c r="D15476" i="1"/>
  <c r="D1462" i="1"/>
  <c r="D15444" i="1"/>
  <c r="D15445" i="1"/>
  <c r="D15446" i="1"/>
  <c r="D3502" i="1"/>
  <c r="D15387" i="1"/>
  <c r="D15447" i="1"/>
  <c r="D15448" i="1"/>
  <c r="D6972" i="1"/>
  <c r="D6973" i="1"/>
  <c r="D6974" i="1"/>
  <c r="D6975" i="1"/>
  <c r="D5492" i="1"/>
  <c r="D5493" i="1"/>
  <c r="D837" i="1"/>
  <c r="D1303" i="1"/>
  <c r="D18356" i="1"/>
  <c r="D18357" i="1"/>
  <c r="D24513" i="1"/>
  <c r="D24514" i="1"/>
  <c r="D26904" i="1"/>
  <c r="D18358" i="1"/>
  <c r="D18359" i="1"/>
  <c r="D5343" i="1"/>
  <c r="D3875" i="1"/>
  <c r="D11911" i="1"/>
  <c r="D2873" i="1"/>
  <c r="D13273" i="1"/>
  <c r="D26905" i="1"/>
  <c r="D19687" i="1"/>
  <c r="D14468" i="1"/>
  <c r="D6976" i="1"/>
  <c r="D6977" i="1"/>
  <c r="D6978" i="1"/>
  <c r="D6979" i="1"/>
  <c r="D7982" i="1"/>
  <c r="D7983" i="1"/>
  <c r="D12647" i="1"/>
  <c r="D10463" i="1"/>
  <c r="D18064" i="1"/>
  <c r="D3514" i="1"/>
  <c r="D25044" i="1"/>
  <c r="D25045" i="1"/>
  <c r="D25046" i="1"/>
  <c r="D25047" i="1"/>
  <c r="D18697" i="1"/>
  <c r="D5112" i="1"/>
  <c r="D18030" i="1"/>
  <c r="D18031" i="1"/>
  <c r="D6980" i="1"/>
  <c r="D6981" i="1"/>
  <c r="D6982" i="1"/>
  <c r="D7815" i="1"/>
  <c r="D6983" i="1"/>
  <c r="D7816" i="1"/>
  <c r="D6984" i="1"/>
  <c r="D7817" i="1"/>
  <c r="D18032" i="1"/>
  <c r="D18033" i="1"/>
  <c r="D9360" i="1"/>
  <c r="D13176" i="1"/>
  <c r="D13177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10146" i="1"/>
  <c r="D3914" i="1"/>
  <c r="D3948" i="1"/>
  <c r="D3949" i="1"/>
  <c r="D3950" i="1"/>
  <c r="D10195" i="1"/>
  <c r="D5254" i="1"/>
  <c r="D15050" i="1"/>
  <c r="D11827" i="1"/>
  <c r="D11262" i="1"/>
  <c r="D3884" i="1"/>
  <c r="D3456" i="1"/>
  <c r="D17662" i="1"/>
  <c r="D18845" i="1"/>
  <c r="D18536" i="1"/>
  <c r="D27104" i="1"/>
  <c r="D14733" i="1"/>
  <c r="D14168" i="1"/>
  <c r="D25365" i="1"/>
  <c r="D18537" i="1"/>
  <c r="D6985" i="1"/>
  <c r="D7818" i="1"/>
  <c r="D6986" i="1"/>
  <c r="D4647" i="1"/>
  <c r="D4731" i="1"/>
  <c r="D4692" i="1"/>
  <c r="D4703" i="1"/>
  <c r="D6987" i="1"/>
  <c r="D7819" i="1"/>
  <c r="D6988" i="1"/>
  <c r="D14734" i="1"/>
  <c r="D14735" i="1"/>
  <c r="D14736" i="1"/>
  <c r="D11449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16892" i="1"/>
  <c r="D16801" i="1"/>
  <c r="D16802" i="1"/>
  <c r="D16893" i="1"/>
  <c r="D11892" i="1"/>
  <c r="D26037" i="1"/>
  <c r="D26038" i="1"/>
  <c r="D26415" i="1"/>
  <c r="D26293" i="1"/>
  <c r="D18246" i="1"/>
  <c r="D23941" i="1"/>
  <c r="D23942" i="1"/>
  <c r="D25048" i="1"/>
  <c r="D25049" i="1"/>
  <c r="D12437" i="1"/>
  <c r="D18360" i="1"/>
  <c r="D13122" i="1"/>
  <c r="D26039" i="1"/>
  <c r="D26040" i="1"/>
  <c r="D26041" i="1"/>
  <c r="D26042" i="1"/>
  <c r="D26043" i="1"/>
  <c r="D26044" i="1"/>
  <c r="D26045" i="1"/>
  <c r="D26046" i="1"/>
  <c r="D26047" i="1"/>
  <c r="D26048" i="1"/>
  <c r="D26049" i="1"/>
  <c r="D26050" i="1"/>
  <c r="D26051" i="1"/>
  <c r="D26052" i="1"/>
  <c r="D26053" i="1"/>
  <c r="D26054" i="1"/>
  <c r="D26055" i="1"/>
  <c r="D26056" i="1"/>
  <c r="D26057" i="1"/>
  <c r="D12492" i="1"/>
  <c r="D12493" i="1"/>
  <c r="D26614" i="1"/>
  <c r="D26906" i="1"/>
  <c r="D843" i="1"/>
  <c r="D10044" i="1"/>
  <c r="D3915" i="1"/>
  <c r="D3951" i="1"/>
  <c r="D3952" i="1"/>
  <c r="D3953" i="1"/>
  <c r="D4131" i="1"/>
  <c r="D4148" i="1"/>
  <c r="D4149" i="1"/>
  <c r="D613" i="1"/>
  <c r="D4150" i="1"/>
  <c r="D5344" i="1"/>
  <c r="D5345" i="1"/>
  <c r="D12529" i="1"/>
  <c r="D12775" i="1"/>
  <c r="D26416" i="1"/>
  <c r="D14521" i="1"/>
  <c r="D14522" i="1"/>
  <c r="D25511" i="1"/>
  <c r="D21775" i="1"/>
  <c r="D2833" i="1"/>
  <c r="D21776" i="1"/>
  <c r="D21777" i="1"/>
  <c r="D21778" i="1"/>
  <c r="D21779" i="1"/>
  <c r="D21780" i="1"/>
  <c r="D21781" i="1"/>
  <c r="D21782" i="1"/>
  <c r="D21783" i="1"/>
  <c r="D26417" i="1"/>
  <c r="D9361" i="1"/>
  <c r="D9362" i="1"/>
  <c r="D7984" i="1"/>
  <c r="D23451" i="1"/>
  <c r="D15871" i="1"/>
  <c r="D15872" i="1"/>
  <c r="D10221" i="1"/>
  <c r="D10222" i="1"/>
  <c r="D5255" i="1"/>
  <c r="D5256" i="1"/>
  <c r="D5257" i="1"/>
  <c r="D9700" i="1"/>
  <c r="D5446" i="1"/>
  <c r="D19132" i="1"/>
  <c r="D27062" i="1"/>
  <c r="D4427" i="1"/>
  <c r="D4428" i="1"/>
  <c r="D11800" i="1"/>
  <c r="D16833" i="1"/>
  <c r="D5447" i="1"/>
  <c r="D600" i="1"/>
  <c r="D11788" i="1"/>
  <c r="D5561" i="1"/>
  <c r="D26257" i="1"/>
  <c r="D11789" i="1"/>
  <c r="D601" i="1"/>
  <c r="D11790" i="1"/>
  <c r="D8282" i="1"/>
  <c r="D2299" i="1"/>
  <c r="D8283" i="1"/>
  <c r="D2300" i="1"/>
  <c r="D8335" i="1"/>
  <c r="D11867" i="1"/>
  <c r="D16870" i="1"/>
  <c r="D16871" i="1"/>
  <c r="D15487" i="1"/>
  <c r="D26537" i="1"/>
  <c r="D26615" i="1"/>
  <c r="D26907" i="1"/>
  <c r="D26418" i="1"/>
  <c r="D5258" i="1"/>
  <c r="D26908" i="1"/>
  <c r="D19680" i="1"/>
  <c r="D19681" i="1"/>
  <c r="D2874" i="1"/>
  <c r="D26419" i="1"/>
  <c r="D26286" i="1"/>
  <c r="D5698" i="1"/>
  <c r="D15517" i="1"/>
  <c r="D15560" i="1"/>
  <c r="D2679" i="1"/>
  <c r="D796" i="1"/>
  <c r="D2443" i="1"/>
  <c r="D2444" i="1"/>
  <c r="D15333" i="1"/>
  <c r="D19694" i="1"/>
  <c r="D26616" i="1"/>
  <c r="D26617" i="1"/>
  <c r="D26287" i="1"/>
  <c r="D15334" i="1"/>
  <c r="D15113" i="1"/>
  <c r="D4363" i="1"/>
  <c r="D4375" i="1"/>
  <c r="D25321" i="1"/>
  <c r="D628" i="1"/>
  <c r="D23482" i="1"/>
  <c r="D5448" i="1"/>
  <c r="D12583" i="1"/>
  <c r="D8820" i="1"/>
  <c r="D18698" i="1"/>
  <c r="D18699" i="1"/>
  <c r="D18700" i="1"/>
  <c r="D18701" i="1"/>
  <c r="D18702" i="1"/>
  <c r="D18703" i="1"/>
  <c r="D26682" i="1"/>
  <c r="D26683" i="1"/>
  <c r="D26909" i="1"/>
  <c r="D3134" i="1"/>
  <c r="D3161" i="1"/>
  <c r="D26618" i="1"/>
  <c r="D9380" i="1"/>
  <c r="D15518" i="1"/>
  <c r="D26509" i="1"/>
  <c r="D3178" i="1"/>
  <c r="D3179" i="1"/>
  <c r="D23153" i="1"/>
  <c r="D23154" i="1"/>
  <c r="D18491" i="1"/>
  <c r="D26058" i="1"/>
  <c r="D15040" i="1"/>
  <c r="D5129" i="1"/>
  <c r="D15041" i="1"/>
  <c r="D4490" i="1"/>
  <c r="D4491" i="1"/>
  <c r="D17909" i="1"/>
  <c r="D5746" i="1"/>
  <c r="D5747" i="1"/>
  <c r="D26420" i="1"/>
  <c r="D26619" i="1"/>
  <c r="D26620" i="1"/>
  <c r="D2834" i="1"/>
  <c r="D15519" i="1"/>
  <c r="D5259" i="1"/>
  <c r="D11893" i="1"/>
  <c r="D26059" i="1"/>
  <c r="D26169" i="1"/>
  <c r="D26060" i="1"/>
  <c r="D26170" i="1"/>
  <c r="D26171" i="1"/>
  <c r="D2835" i="1"/>
  <c r="D25779" i="1"/>
  <c r="D18361" i="1"/>
  <c r="D26421" i="1"/>
  <c r="D926" i="1"/>
  <c r="D15848" i="1"/>
  <c r="D10445" i="1"/>
  <c r="D10446" i="1"/>
  <c r="D26061" i="1"/>
  <c r="D9816" i="1"/>
  <c r="D2836" i="1"/>
  <c r="D26062" i="1"/>
  <c r="D11263" i="1"/>
  <c r="D13274" i="1"/>
  <c r="D11264" i="1"/>
  <c r="D5260" i="1"/>
  <c r="D5261" i="1"/>
  <c r="D2745" i="1"/>
  <c r="D2746" i="1"/>
  <c r="D2747" i="1"/>
  <c r="D5262" i="1"/>
  <c r="D26422" i="1"/>
  <c r="D26423" i="1"/>
  <c r="D26910" i="1"/>
  <c r="D5263" i="1"/>
  <c r="D26911" i="1"/>
  <c r="D26288" i="1"/>
  <c r="D26912" i="1"/>
  <c r="D26289" i="1"/>
  <c r="D26621" i="1"/>
  <c r="D11265" i="1"/>
  <c r="D26913" i="1"/>
  <c r="D5346" i="1"/>
  <c r="D11266" i="1"/>
  <c r="D11267" i="1"/>
  <c r="D2837" i="1"/>
  <c r="D18362" i="1"/>
  <c r="D14523" i="1"/>
  <c r="D14557" i="1"/>
  <c r="D14524" i="1"/>
  <c r="D14525" i="1"/>
  <c r="D14526" i="1"/>
  <c r="D14527" i="1"/>
  <c r="D14558" i="1"/>
  <c r="D14528" i="1"/>
  <c r="D14559" i="1"/>
  <c r="D11268" i="1"/>
  <c r="D11269" i="1"/>
  <c r="D11270" i="1"/>
  <c r="D11503" i="1"/>
  <c r="D22866" i="1"/>
  <c r="D22867" i="1"/>
  <c r="D13275" i="1"/>
  <c r="D11271" i="1"/>
  <c r="D11272" i="1"/>
  <c r="D26424" i="1"/>
  <c r="D11273" i="1"/>
  <c r="D11504" i="1"/>
  <c r="D11274" i="1"/>
  <c r="D11275" i="1"/>
  <c r="D11505" i="1"/>
  <c r="D11276" i="1"/>
  <c r="D11277" i="1"/>
  <c r="D11278" i="1"/>
  <c r="D11279" i="1"/>
  <c r="D11506" i="1"/>
  <c r="D11280" i="1"/>
  <c r="D11507" i="1"/>
  <c r="D26684" i="1"/>
  <c r="D15520" i="1"/>
  <c r="D9387" i="1"/>
  <c r="D26622" i="1"/>
  <c r="D5264" i="1"/>
  <c r="D5265" i="1"/>
  <c r="D12919" i="1"/>
  <c r="D11458" i="1"/>
  <c r="D5748" i="1"/>
  <c r="D18522" i="1"/>
  <c r="D26063" i="1"/>
  <c r="D26064" i="1"/>
  <c r="D26065" i="1"/>
  <c r="D26066" i="1"/>
  <c r="D26067" i="1"/>
  <c r="D26068" i="1"/>
  <c r="D25841" i="1"/>
  <c r="D26069" i="1"/>
  <c r="D26172" i="1"/>
  <c r="D26070" i="1"/>
  <c r="D26173" i="1"/>
  <c r="D26174" i="1"/>
  <c r="D26175" i="1"/>
  <c r="D26176" i="1"/>
  <c r="D26177" i="1"/>
  <c r="D26209" i="1"/>
  <c r="D26071" i="1"/>
  <c r="D5266" i="1"/>
  <c r="D26914" i="1"/>
  <c r="D18363" i="1"/>
  <c r="D5267" i="1"/>
  <c r="D13276" i="1"/>
  <c r="D26915" i="1"/>
  <c r="D15561" i="1"/>
  <c r="D26623" i="1"/>
  <c r="D11281" i="1"/>
  <c r="D813" i="1"/>
  <c r="D18837" i="1"/>
  <c r="D8821" i="1"/>
  <c r="D8822" i="1"/>
  <c r="D9135" i="1"/>
  <c r="D8041" i="1"/>
  <c r="D14009" i="1"/>
  <c r="D6989" i="1"/>
  <c r="D6990" i="1"/>
  <c r="D7820" i="1"/>
  <c r="D23452" i="1"/>
  <c r="D4060" i="1"/>
  <c r="D4071" i="1"/>
  <c r="D21784" i="1"/>
  <c r="D21785" i="1"/>
  <c r="D21786" i="1"/>
  <c r="D21787" i="1"/>
  <c r="D21788" i="1"/>
  <c r="D21789" i="1"/>
  <c r="D21790" i="1"/>
  <c r="D21791" i="1"/>
  <c r="D21792" i="1"/>
  <c r="D21793" i="1"/>
  <c r="D21794" i="1"/>
  <c r="D21795" i="1"/>
  <c r="D21796" i="1"/>
  <c r="D21797" i="1"/>
  <c r="D21798" i="1"/>
  <c r="D21799" i="1"/>
  <c r="D21800" i="1"/>
  <c r="D21801" i="1"/>
  <c r="D21802" i="1"/>
  <c r="D21803" i="1"/>
  <c r="D21804" i="1"/>
  <c r="D18364" i="1"/>
  <c r="D6991" i="1"/>
  <c r="D6992" i="1"/>
  <c r="D7549" i="1"/>
  <c r="D6993" i="1"/>
  <c r="D2445" i="1"/>
  <c r="D2446" i="1"/>
  <c r="D2447" i="1"/>
  <c r="D6994" i="1"/>
  <c r="D7821" i="1"/>
  <c r="D6995" i="1"/>
  <c r="D7822" i="1"/>
  <c r="D6996" i="1"/>
  <c r="D10196" i="1"/>
  <c r="D14793" i="1"/>
  <c r="D14794" i="1"/>
  <c r="D14795" i="1"/>
  <c r="D18079" i="1"/>
  <c r="D13152" i="1"/>
  <c r="D13153" i="1"/>
  <c r="D10281" i="1"/>
  <c r="D10259" i="1"/>
  <c r="D10260" i="1"/>
  <c r="D10261" i="1"/>
  <c r="D10213" i="1"/>
  <c r="D10214" i="1"/>
  <c r="D18779" i="1"/>
  <c r="D18365" i="1"/>
  <c r="D14198" i="1"/>
  <c r="D5421" i="1"/>
  <c r="D5347" i="1"/>
  <c r="D5348" i="1"/>
  <c r="D5422" i="1"/>
  <c r="D1255" i="1"/>
  <c r="D3916" i="1"/>
  <c r="D3954" i="1"/>
  <c r="D3955" i="1"/>
  <c r="D4279" i="1"/>
  <c r="D4280" i="1"/>
  <c r="D4281" i="1"/>
  <c r="D25478" i="1"/>
  <c r="D23044" i="1"/>
  <c r="D23340" i="1"/>
  <c r="D19057" i="1"/>
  <c r="D9472" i="1"/>
  <c r="D18533" i="1"/>
  <c r="D23155" i="1"/>
  <c r="D23156" i="1"/>
  <c r="D23341" i="1"/>
  <c r="D22999" i="1"/>
  <c r="D23342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823" i="1"/>
  <c r="D2533" i="1"/>
  <c r="D2539" i="1"/>
  <c r="D2543" i="1"/>
  <c r="D2544" i="1"/>
  <c r="D2555" i="1"/>
  <c r="D4151" i="1"/>
  <c r="D11850" i="1"/>
  <c r="D11859" i="1"/>
  <c r="D7014" i="1"/>
  <c r="D7015" i="1"/>
  <c r="D7824" i="1"/>
  <c r="D3809" i="1"/>
  <c r="D3810" i="1"/>
  <c r="D3811" i="1"/>
  <c r="D4693" i="1"/>
  <c r="D5349" i="1"/>
  <c r="D7016" i="1"/>
  <c r="D7825" i="1"/>
  <c r="D2495" i="1"/>
  <c r="D18366" i="1"/>
  <c r="D5522" i="1"/>
  <c r="D5651" i="1"/>
  <c r="D11470" i="1"/>
  <c r="D8823" i="1"/>
  <c r="D8824" i="1"/>
  <c r="D8825" i="1"/>
  <c r="D8826" i="1"/>
  <c r="D5449" i="1"/>
  <c r="D14024" i="1"/>
  <c r="D14025" i="1"/>
  <c r="D4980" i="1"/>
  <c r="D4981" i="1"/>
  <c r="D18367" i="1"/>
  <c r="D8827" i="1"/>
  <c r="D8828" i="1"/>
  <c r="D8829" i="1"/>
  <c r="D8830" i="1"/>
  <c r="D8831" i="1"/>
  <c r="D8832" i="1"/>
  <c r="D8336" i="1"/>
  <c r="D8833" i="1"/>
  <c r="D8834" i="1"/>
  <c r="D8835" i="1"/>
  <c r="D8836" i="1"/>
  <c r="D8837" i="1"/>
  <c r="D8838" i="1"/>
  <c r="D8839" i="1"/>
  <c r="D8840" i="1"/>
  <c r="D8382" i="1"/>
  <c r="D2301" i="1"/>
  <c r="D2302" i="1"/>
  <c r="D2303" i="1"/>
  <c r="D2304" i="1"/>
  <c r="D2305" i="1"/>
  <c r="D2306" i="1"/>
  <c r="D2307" i="1"/>
  <c r="D4732" i="1"/>
  <c r="D23343" i="1"/>
  <c r="D4733" i="1"/>
  <c r="D5837" i="1"/>
  <c r="D5450" i="1"/>
  <c r="D4982" i="1"/>
  <c r="D4983" i="1"/>
  <c r="D5451" i="1"/>
  <c r="D18368" i="1"/>
  <c r="D15849" i="1"/>
  <c r="D8841" i="1"/>
  <c r="D8842" i="1"/>
  <c r="D5681" i="1"/>
  <c r="D8843" i="1"/>
  <c r="D8844" i="1"/>
  <c r="D8845" i="1"/>
  <c r="D8846" i="1"/>
  <c r="D2308" i="1"/>
  <c r="D14135" i="1"/>
  <c r="D8383" i="1"/>
  <c r="D8847" i="1"/>
  <c r="D8848" i="1"/>
  <c r="D8849" i="1"/>
  <c r="D8850" i="1"/>
  <c r="D14822" i="1"/>
  <c r="D4061" i="1"/>
  <c r="D4062" i="1"/>
  <c r="D4063" i="1"/>
  <c r="D4064" i="1"/>
  <c r="D17498" i="1"/>
  <c r="D8851" i="1"/>
  <c r="D8852" i="1"/>
  <c r="D17499" i="1"/>
  <c r="D17500" i="1"/>
  <c r="D17501" i="1"/>
  <c r="D2309" i="1"/>
  <c r="D2310" i="1"/>
  <c r="D2311" i="1"/>
  <c r="D2312" i="1"/>
  <c r="D2313" i="1"/>
  <c r="D2314" i="1"/>
  <c r="D8853" i="1"/>
  <c r="D8854" i="1"/>
  <c r="D8855" i="1"/>
  <c r="D18831" i="1"/>
  <c r="D17910" i="1"/>
  <c r="D17911" i="1"/>
  <c r="D17912" i="1"/>
  <c r="D17913" i="1"/>
  <c r="D12778" i="1"/>
  <c r="D16905" i="1"/>
  <c r="D16906" i="1"/>
  <c r="D16907" i="1"/>
  <c r="D2906" i="1"/>
  <c r="D16908" i="1"/>
  <c r="D16909" i="1"/>
  <c r="D16894" i="1"/>
  <c r="D17914" i="1"/>
  <c r="D17915" i="1"/>
  <c r="D1206" i="1"/>
  <c r="D7017" i="1"/>
  <c r="D7826" i="1"/>
  <c r="D7018" i="1"/>
  <c r="D7827" i="1"/>
  <c r="D7019" i="1"/>
  <c r="D14488" i="1"/>
  <c r="D14489" i="1"/>
  <c r="D17916" i="1"/>
  <c r="D24509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10367" i="1"/>
  <c r="D19133" i="1"/>
  <c r="D16895" i="1"/>
  <c r="D16896" i="1"/>
  <c r="D16145" i="1"/>
  <c r="D4282" i="1"/>
  <c r="D815" i="1"/>
  <c r="D14737" i="1"/>
  <c r="D11879" i="1"/>
  <c r="D17917" i="1"/>
  <c r="D17918" i="1"/>
  <c r="D17919" i="1"/>
  <c r="D17920" i="1"/>
  <c r="D22906" i="1"/>
  <c r="D22907" i="1"/>
  <c r="D23647" i="1"/>
  <c r="D18849" i="1"/>
  <c r="D26425" i="1"/>
  <c r="D10480" i="1"/>
  <c r="D4198" i="1"/>
  <c r="D7020" i="1"/>
  <c r="D7828" i="1"/>
  <c r="D7021" i="1"/>
  <c r="D17724" i="1"/>
  <c r="D10934" i="1"/>
  <c r="D10962" i="1"/>
  <c r="D7022" i="1"/>
  <c r="D7829" i="1"/>
  <c r="D7023" i="1"/>
  <c r="D7830" i="1"/>
  <c r="D7024" i="1"/>
  <c r="D7831" i="1"/>
  <c r="D7025" i="1"/>
  <c r="D7832" i="1"/>
  <c r="D7026" i="1"/>
  <c r="D7833" i="1"/>
  <c r="D3568" i="1"/>
  <c r="D7027" i="1"/>
  <c r="D7834" i="1"/>
  <c r="D7835" i="1"/>
  <c r="D7028" i="1"/>
  <c r="D7029" i="1"/>
  <c r="D7030" i="1"/>
  <c r="D7031" i="1"/>
  <c r="D7032" i="1"/>
  <c r="D7033" i="1"/>
  <c r="D18369" i="1"/>
  <c r="D7034" i="1"/>
  <c r="D7836" i="1"/>
  <c r="D7035" i="1"/>
  <c r="D7837" i="1"/>
  <c r="D7036" i="1"/>
  <c r="D1050" i="1"/>
  <c r="D5268" i="1"/>
  <c r="D659" i="1"/>
  <c r="D15883" i="1"/>
  <c r="D4425" i="1"/>
  <c r="D4426" i="1"/>
  <c r="D15482" i="1"/>
  <c r="D4199" i="1"/>
  <c r="D16910" i="1"/>
  <c r="D14458" i="1"/>
  <c r="D14460" i="1"/>
  <c r="D25050" i="1"/>
  <c r="D3503" i="1"/>
  <c r="D3504" i="1"/>
  <c r="D11650" i="1"/>
  <c r="D25051" i="1"/>
  <c r="D3505" i="1"/>
  <c r="D25052" i="1"/>
  <c r="D23511" i="1"/>
  <c r="D25053" i="1"/>
  <c r="D18139" i="1"/>
  <c r="D15449" i="1"/>
  <c r="D25054" i="1"/>
  <c r="D25055" i="1"/>
  <c r="D15234" i="1"/>
  <c r="D18704" i="1"/>
  <c r="D18705" i="1"/>
  <c r="D25056" i="1"/>
  <c r="D937" i="1"/>
  <c r="D17343" i="1"/>
  <c r="D15264" i="1"/>
  <c r="D10245" i="1"/>
  <c r="D25057" i="1"/>
  <c r="D25058" i="1"/>
  <c r="D25059" i="1"/>
  <c r="D7037" i="1"/>
  <c r="D7038" i="1"/>
  <c r="D7838" i="1"/>
  <c r="D25060" i="1"/>
  <c r="D25061" i="1"/>
  <c r="D25062" i="1"/>
  <c r="D25063" i="1"/>
  <c r="D15245" i="1"/>
  <c r="D1272" i="1"/>
  <c r="D1273" i="1"/>
  <c r="D25651" i="1"/>
  <c r="D25652" i="1"/>
  <c r="D25653" i="1"/>
  <c r="D25724" i="1"/>
  <c r="D5269" i="1"/>
  <c r="D4283" i="1"/>
  <c r="D4284" i="1"/>
  <c r="D4285" i="1"/>
  <c r="D4354" i="1"/>
  <c r="D14796" i="1"/>
  <c r="D14797" i="1"/>
  <c r="D14798" i="1"/>
  <c r="D11282" i="1"/>
  <c r="D11283" i="1"/>
  <c r="D11698" i="1"/>
  <c r="D11699" i="1"/>
  <c r="D14015" i="1"/>
  <c r="D3897" i="1"/>
  <c r="D3898" i="1"/>
  <c r="D3899" i="1"/>
  <c r="D3900" i="1"/>
  <c r="D5125" i="1"/>
  <c r="D7039" i="1"/>
  <c r="D7839" i="1"/>
  <c r="D24876" i="1"/>
  <c r="D25064" i="1"/>
  <c r="D14529" i="1"/>
  <c r="D8087" i="1"/>
  <c r="D9473" i="1"/>
  <c r="D12385" i="1"/>
  <c r="D12386" i="1"/>
  <c r="D7040" i="1"/>
  <c r="D7840" i="1"/>
  <c r="D17618" i="1"/>
  <c r="D25065" i="1"/>
  <c r="D25066" i="1"/>
  <c r="D5636" i="1"/>
  <c r="D8144" i="1"/>
  <c r="D8145" i="1"/>
  <c r="D8189" i="1"/>
  <c r="D8146" i="1"/>
  <c r="D8147" i="1"/>
  <c r="D8184" i="1"/>
  <c r="D830" i="1"/>
  <c r="D987" i="1"/>
  <c r="D988" i="1"/>
  <c r="D989" i="1"/>
  <c r="D25322" i="1"/>
  <c r="D19695" i="1"/>
  <c r="D3506" i="1"/>
  <c r="D8092" i="1"/>
  <c r="D4947" i="1"/>
  <c r="D12023" i="1"/>
  <c r="D14530" i="1"/>
  <c r="D886" i="1"/>
  <c r="D12530" i="1"/>
  <c r="D11814" i="1"/>
  <c r="D22923" i="1"/>
  <c r="D14556" i="1"/>
  <c r="D3247" i="1"/>
  <c r="D633" i="1"/>
  <c r="D4492" i="1"/>
  <c r="D3688" i="1"/>
  <c r="D3686" i="1"/>
  <c r="D5715" i="1"/>
  <c r="D5699" i="1"/>
  <c r="D5700" i="1"/>
  <c r="D5944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11798" i="1"/>
  <c r="D26258" i="1"/>
  <c r="D15345" i="1"/>
  <c r="D13074" i="1"/>
  <c r="D13075" i="1"/>
  <c r="D3687" i="1"/>
  <c r="D26426" i="1"/>
  <c r="D26510" i="1"/>
  <c r="D26916" i="1"/>
  <c r="D25479" i="1"/>
  <c r="D26917" i="1"/>
  <c r="D26685" i="1"/>
  <c r="D2624" i="1"/>
  <c r="D5270" i="1"/>
  <c r="D12544" i="1"/>
  <c r="D26918" i="1"/>
  <c r="D2615" i="1"/>
  <c r="D13277" i="1"/>
  <c r="D11886" i="1"/>
  <c r="D5271" i="1"/>
  <c r="D26290" i="1"/>
  <c r="D26427" i="1"/>
  <c r="D5272" i="1"/>
  <c r="D927" i="1"/>
  <c r="D5370" i="1"/>
  <c r="D938" i="1"/>
  <c r="D5273" i="1"/>
  <c r="D26511" i="1"/>
  <c r="D17619" i="1"/>
  <c r="D26291" i="1"/>
  <c r="D26512" i="1"/>
  <c r="D26624" i="1"/>
  <c r="D13278" i="1"/>
  <c r="D26919" i="1"/>
  <c r="D2838" i="1"/>
  <c r="D22868" i="1"/>
  <c r="D15251" i="1"/>
  <c r="D26686" i="1"/>
  <c r="D2616" i="1"/>
  <c r="D2631" i="1"/>
  <c r="D12033" i="1"/>
  <c r="D828" i="1"/>
  <c r="D2426" i="1"/>
  <c r="D4" i="1"/>
  <c r="D1187" i="1"/>
  <c r="D1192" i="1"/>
  <c r="D3581" i="1"/>
  <c r="D26259" i="1"/>
  <c r="D26625" i="1"/>
  <c r="D9388" i="1"/>
  <c r="D24495" i="1"/>
  <c r="D25480" i="1"/>
  <c r="D25481" i="1"/>
  <c r="D2839" i="1"/>
  <c r="D2748" i="1"/>
  <c r="D26920" i="1"/>
  <c r="D5935" i="1"/>
  <c r="D5937" i="1"/>
  <c r="D5936" i="1"/>
  <c r="D5938" i="1"/>
  <c r="D26921" i="1"/>
  <c r="D10212" i="1"/>
  <c r="D10215" i="1"/>
  <c r="D10216" i="1"/>
  <c r="D25757" i="1"/>
  <c r="D12417" i="1"/>
  <c r="D3671" i="1"/>
  <c r="D18370" i="1"/>
  <c r="D5274" i="1"/>
  <c r="D17502" i="1"/>
  <c r="D17503" i="1"/>
  <c r="D17504" i="1"/>
  <c r="D17505" i="1"/>
  <c r="D17506" i="1"/>
  <c r="D17507" i="1"/>
  <c r="D11912" i="1"/>
  <c r="D2840" i="1"/>
  <c r="D22894" i="1"/>
  <c r="D5275" i="1"/>
  <c r="D4389" i="1"/>
  <c r="D26513" i="1"/>
  <c r="D26922" i="1"/>
  <c r="D17749" i="1"/>
  <c r="D17750" i="1"/>
  <c r="D1304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11001" i="1"/>
  <c r="D18706" i="1"/>
  <c r="D18707" i="1"/>
  <c r="D18578" i="1"/>
  <c r="D18708" i="1"/>
  <c r="D18709" i="1"/>
  <c r="D26923" i="1"/>
  <c r="D26428" i="1"/>
  <c r="D4128" i="1"/>
  <c r="D10453" i="1"/>
  <c r="D939" i="1"/>
  <c r="D889" i="1"/>
  <c r="D15521" i="1"/>
  <c r="D13971" i="1"/>
  <c r="D13279" i="1"/>
  <c r="D26626" i="1"/>
  <c r="D15522" i="1"/>
  <c r="D26924" i="1"/>
  <c r="D5276" i="1"/>
  <c r="D2749" i="1"/>
  <c r="D3135" i="1"/>
  <c r="D11677" i="1"/>
  <c r="D11678" i="1"/>
  <c r="D9701" i="1"/>
  <c r="D9702" i="1"/>
  <c r="D9703" i="1"/>
  <c r="D9704" i="1"/>
  <c r="D9924" i="1"/>
  <c r="D9925" i="1"/>
  <c r="D9926" i="1"/>
  <c r="D9927" i="1"/>
  <c r="D9705" i="1"/>
  <c r="D9706" i="1"/>
  <c r="D9707" i="1"/>
  <c r="D9708" i="1"/>
  <c r="D9709" i="1"/>
  <c r="D5277" i="1"/>
  <c r="D14478" i="1"/>
  <c r="D18089" i="1"/>
  <c r="D18091" i="1"/>
  <c r="D18090" i="1"/>
  <c r="D18092" i="1"/>
  <c r="D5278" i="1"/>
  <c r="D1243" i="1"/>
  <c r="D22948" i="1"/>
  <c r="D9978" i="1"/>
  <c r="D11791" i="1"/>
  <c r="D25654" i="1"/>
  <c r="D25655" i="1"/>
  <c r="D25656" i="1"/>
  <c r="D25657" i="1"/>
  <c r="D25658" i="1"/>
  <c r="D10054" i="1"/>
  <c r="D9518" i="1"/>
  <c r="D9519" i="1"/>
  <c r="D9520" i="1"/>
  <c r="D14652" i="1"/>
  <c r="D14653" i="1"/>
  <c r="D14654" i="1"/>
  <c r="D14655" i="1"/>
  <c r="D807" i="1"/>
  <c r="D19451" i="1"/>
  <c r="D19452" i="1"/>
  <c r="D797" i="1"/>
  <c r="D5596" i="1"/>
  <c r="D15814" i="1"/>
  <c r="D2452" i="1"/>
  <c r="D7066" i="1"/>
  <c r="D7841" i="1"/>
  <c r="D7067" i="1"/>
  <c r="D7068" i="1"/>
  <c r="D7842" i="1"/>
  <c r="D7069" i="1"/>
  <c r="D19020" i="1"/>
  <c r="D4588" i="1"/>
  <c r="D9434" i="1"/>
  <c r="D4566" i="1"/>
  <c r="D8211" i="1"/>
  <c r="D10935" i="1"/>
  <c r="D26627" i="1"/>
  <c r="D25758" i="1"/>
  <c r="D25759" i="1"/>
  <c r="D25760" i="1"/>
  <c r="D7070" i="1"/>
  <c r="D7071" i="1"/>
  <c r="D7072" i="1"/>
  <c r="D7073" i="1"/>
  <c r="D17663" i="1"/>
  <c r="D3917" i="1"/>
  <c r="D3956" i="1"/>
  <c r="D3957" i="1"/>
  <c r="D3958" i="1"/>
  <c r="D654" i="1"/>
  <c r="D15850" i="1"/>
  <c r="D15851" i="1"/>
  <c r="D15852" i="1"/>
  <c r="D15853" i="1"/>
  <c r="D15854" i="1"/>
  <c r="D751" i="1"/>
  <c r="D2586" i="1"/>
  <c r="D2919" i="1"/>
  <c r="D22959" i="1"/>
  <c r="D7074" i="1"/>
  <c r="D7075" i="1"/>
  <c r="D7076" i="1"/>
  <c r="D9485" i="1"/>
  <c r="D26260" i="1"/>
  <c r="D12384" i="1"/>
  <c r="D26261" i="1"/>
  <c r="D12648" i="1"/>
  <c r="D12649" i="1"/>
  <c r="D5414" i="1"/>
  <c r="D23114" i="1"/>
  <c r="D23344" i="1"/>
  <c r="D23157" i="1"/>
  <c r="D23345" i="1"/>
  <c r="D23346" i="1"/>
  <c r="D23158" i="1"/>
  <c r="D11951" i="1"/>
  <c r="D10110" i="1"/>
  <c r="D4030" i="1"/>
  <c r="D12650" i="1"/>
  <c r="D12651" i="1"/>
  <c r="D4003" i="1"/>
  <c r="D719" i="1"/>
  <c r="D720" i="1"/>
  <c r="D721" i="1"/>
  <c r="D722" i="1"/>
  <c r="D24451" i="1"/>
  <c r="D24452" i="1"/>
  <c r="D24453" i="1"/>
  <c r="D26925" i="1"/>
  <c r="D26628" i="1"/>
  <c r="D26926" i="1"/>
  <c r="D5350" i="1"/>
  <c r="D15450" i="1"/>
  <c r="D7077" i="1"/>
  <c r="D7843" i="1"/>
  <c r="D7078" i="1"/>
  <c r="D7844" i="1"/>
  <c r="D7079" i="1"/>
  <c r="D7845" i="1"/>
  <c r="D19111" i="1"/>
  <c r="D19112" i="1"/>
  <c r="D2680" i="1"/>
  <c r="D2681" i="1"/>
  <c r="D2879" i="1"/>
  <c r="D12704" i="1"/>
  <c r="D18760" i="1"/>
  <c r="D18761" i="1"/>
  <c r="D18762" i="1"/>
  <c r="D5852" i="1"/>
  <c r="D19455" i="1"/>
  <c r="D12494" i="1"/>
  <c r="D12495" i="1"/>
  <c r="D12496" i="1"/>
  <c r="D12497" i="1"/>
  <c r="D1103" i="1"/>
  <c r="D11284" i="1"/>
  <c r="D26072" i="1"/>
  <c r="D26073" i="1"/>
  <c r="D26074" i="1"/>
  <c r="D10454" i="1"/>
  <c r="D10217" i="1"/>
  <c r="D10218" i="1"/>
  <c r="D10227" i="1"/>
  <c r="D25744" i="1"/>
  <c r="D5853" i="1"/>
  <c r="D2600" i="1"/>
  <c r="D8856" i="1"/>
  <c r="D8337" i="1"/>
  <c r="D8857" i="1"/>
  <c r="D25067" i="1"/>
  <c r="D2377" i="1"/>
  <c r="D2378" i="1"/>
  <c r="D8858" i="1"/>
  <c r="D25068" i="1"/>
  <c r="D8859" i="1"/>
  <c r="D8860" i="1"/>
  <c r="D8861" i="1"/>
  <c r="D8862" i="1"/>
  <c r="D8863" i="1"/>
  <c r="D10881" i="1"/>
  <c r="D5965" i="1"/>
  <c r="D12412" i="1"/>
  <c r="D18489" i="1"/>
  <c r="D844" i="1"/>
  <c r="D7080" i="1"/>
  <c r="D7846" i="1"/>
  <c r="D2453" i="1"/>
  <c r="D18154" i="1"/>
  <c r="D5643" i="1"/>
  <c r="D7081" i="1"/>
  <c r="D7847" i="1"/>
  <c r="D18917" i="1"/>
  <c r="D5523" i="1"/>
  <c r="D23566" i="1"/>
  <c r="D24496" i="1"/>
  <c r="D8864" i="1"/>
  <c r="D17508" i="1"/>
  <c r="D17509" i="1"/>
  <c r="D17510" i="1"/>
  <c r="D17511" i="1"/>
  <c r="D17512" i="1"/>
  <c r="D17513" i="1"/>
  <c r="D18181" i="1"/>
  <c r="D8338" i="1"/>
  <c r="D8865" i="1"/>
  <c r="D23483" i="1"/>
  <c r="D8866" i="1"/>
  <c r="D8867" i="1"/>
  <c r="D8868" i="1"/>
  <c r="D25069" i="1"/>
  <c r="D23045" i="1"/>
  <c r="D23347" i="1"/>
  <c r="D23348" i="1"/>
  <c r="D8869" i="1"/>
  <c r="D8339" i="1"/>
  <c r="D2496" i="1"/>
  <c r="D9951" i="1"/>
  <c r="D18115" i="1"/>
  <c r="D18116" i="1"/>
  <c r="D15830" i="1"/>
  <c r="D10142" i="1"/>
  <c r="D1104" i="1"/>
  <c r="D857" i="1"/>
  <c r="D869" i="1"/>
  <c r="D882" i="1"/>
  <c r="D24454" i="1"/>
  <c r="D24455" i="1"/>
  <c r="D24456" i="1"/>
  <c r="D24457" i="1"/>
  <c r="D24458" i="1"/>
  <c r="D8042" i="1"/>
  <c r="D11651" i="1"/>
  <c r="D11652" i="1"/>
  <c r="D8043" i="1"/>
  <c r="D19182" i="1"/>
  <c r="D19183" i="1"/>
  <c r="D19184" i="1"/>
  <c r="D19185" i="1"/>
  <c r="D11653" i="1"/>
  <c r="D11654" i="1"/>
  <c r="D11655" i="1"/>
  <c r="D16028" i="1"/>
  <c r="D16029" i="1"/>
  <c r="D16030" i="1"/>
  <c r="D16031" i="1"/>
  <c r="D16032" i="1"/>
  <c r="D16033" i="1"/>
  <c r="D16034" i="1"/>
  <c r="D16035" i="1"/>
  <c r="D16036" i="1"/>
  <c r="D11285" i="1"/>
  <c r="D11286" i="1"/>
  <c r="D26075" i="1"/>
  <c r="D26076" i="1"/>
  <c r="D26077" i="1"/>
  <c r="D9435" i="1"/>
  <c r="D26078" i="1"/>
  <c r="D26079" i="1"/>
  <c r="D26429" i="1"/>
  <c r="D26430" i="1"/>
  <c r="D26927" i="1"/>
  <c r="D5351" i="1"/>
  <c r="D4930" i="1"/>
  <c r="D12377" i="1"/>
  <c r="D12378" i="1"/>
  <c r="D7082" i="1"/>
  <c r="D7848" i="1"/>
  <c r="D7083" i="1"/>
  <c r="D2841" i="1"/>
  <c r="D11287" i="1"/>
  <c r="D11288" i="1"/>
  <c r="D11289" i="1"/>
  <c r="D11290" i="1"/>
  <c r="D11291" i="1"/>
  <c r="D11292" i="1"/>
  <c r="D11293" i="1"/>
  <c r="D11294" i="1"/>
  <c r="D11546" i="1"/>
  <c r="D11295" i="1"/>
  <c r="D26080" i="1"/>
  <c r="D26199" i="1"/>
  <c r="D1478" i="1"/>
  <c r="D3032" i="1"/>
  <c r="D3033" i="1"/>
  <c r="D3034" i="1"/>
  <c r="D18371" i="1"/>
  <c r="D18372" i="1"/>
  <c r="D18373" i="1"/>
  <c r="D18374" i="1"/>
  <c r="D3035" i="1"/>
  <c r="D3036" i="1"/>
  <c r="D3037" i="1"/>
  <c r="D18710" i="1"/>
  <c r="D18711" i="1"/>
  <c r="D22869" i="1"/>
  <c r="D15562" i="1"/>
  <c r="D26629" i="1"/>
  <c r="D26431" i="1"/>
  <c r="D5352" i="1"/>
  <c r="D9710" i="1"/>
  <c r="D25482" i="1"/>
  <c r="D25483" i="1"/>
  <c r="D25484" i="1"/>
  <c r="D25485" i="1"/>
  <c r="D25486" i="1"/>
  <c r="D12196" i="1"/>
  <c r="D12197" i="1"/>
  <c r="D12198" i="1"/>
  <c r="D12199" i="1"/>
  <c r="D12200" i="1"/>
  <c r="D12201" i="1"/>
  <c r="D12202" i="1"/>
  <c r="D12203" i="1"/>
  <c r="D12204" i="1"/>
  <c r="D13149" i="1"/>
  <c r="D25782" i="1"/>
  <c r="D25785" i="1"/>
  <c r="D9436" i="1"/>
  <c r="D26687" i="1"/>
  <c r="D2392" i="1"/>
  <c r="D3607" i="1"/>
  <c r="D14465" i="1"/>
  <c r="D15406" i="1"/>
  <c r="D13928" i="1"/>
  <c r="D12498" i="1"/>
  <c r="D602" i="1"/>
  <c r="D2343" i="1"/>
  <c r="D25070" i="1"/>
  <c r="D25071" i="1"/>
  <c r="D25072" i="1"/>
  <c r="D25073" i="1"/>
  <c r="D8340" i="1"/>
  <c r="D25074" i="1"/>
  <c r="D26262" i="1"/>
  <c r="D15388" i="1"/>
  <c r="D15451" i="1"/>
  <c r="D15042" i="1"/>
  <c r="D8094" i="1"/>
  <c r="D27063" i="1"/>
  <c r="D15043" i="1"/>
  <c r="D10936" i="1"/>
  <c r="D2609" i="1"/>
  <c r="D19094" i="1"/>
  <c r="D11926" i="1"/>
  <c r="D12049" i="1"/>
  <c r="D7084" i="1"/>
  <c r="D7085" i="1"/>
  <c r="D7086" i="1"/>
  <c r="D7087" i="1"/>
  <c r="D25075" i="1"/>
  <c r="D25076" i="1"/>
  <c r="D25077" i="1"/>
  <c r="D11554" i="1"/>
  <c r="D11555" i="1"/>
  <c r="D18918" i="1"/>
  <c r="D7088" i="1"/>
  <c r="D7849" i="1"/>
  <c r="D7089" i="1"/>
  <c r="D7850" i="1"/>
  <c r="D7090" i="1"/>
  <c r="D7851" i="1"/>
  <c r="D723" i="1"/>
  <c r="D724" i="1"/>
  <c r="D725" i="1"/>
  <c r="D726" i="1"/>
  <c r="D25078" i="1"/>
  <c r="D19134" i="1"/>
  <c r="D603" i="1"/>
  <c r="D3623" i="1"/>
  <c r="D25079" i="1"/>
  <c r="D12348" i="1"/>
  <c r="D12349" i="1"/>
  <c r="D12350" i="1"/>
  <c r="D12652" i="1"/>
  <c r="D12205" i="1"/>
  <c r="D12206" i="1"/>
  <c r="D3518" i="1"/>
  <c r="D10274" i="1"/>
  <c r="D13214" i="1"/>
  <c r="D13223" i="1"/>
  <c r="D13224" i="1"/>
  <c r="D13215" i="1"/>
  <c r="D13216" i="1"/>
  <c r="D10937" i="1"/>
  <c r="D10938" i="1"/>
  <c r="D10939" i="1"/>
  <c r="D5950" i="1"/>
  <c r="D11002" i="1"/>
  <c r="D5749" i="1"/>
  <c r="D25203" i="1"/>
  <c r="D26928" i="1"/>
  <c r="D26929" i="1"/>
  <c r="D13237" i="1"/>
  <c r="D25340" i="1"/>
  <c r="D746" i="1"/>
  <c r="D9711" i="1"/>
  <c r="D9945" i="1"/>
  <c r="D14145" i="1"/>
  <c r="D26930" i="1"/>
  <c r="D26514" i="1"/>
  <c r="D15101" i="1"/>
  <c r="D26931" i="1"/>
  <c r="D13941" i="1"/>
  <c r="D11296" i="1"/>
  <c r="D11297" i="1"/>
  <c r="D11298" i="1"/>
  <c r="D11299" i="1"/>
  <c r="D3404" i="1"/>
  <c r="D14146" i="1"/>
  <c r="D7985" i="1"/>
  <c r="D3358" i="1"/>
  <c r="D3359" i="1"/>
  <c r="D3360" i="1"/>
  <c r="D17921" i="1"/>
  <c r="D3361" i="1"/>
  <c r="D3879" i="1"/>
  <c r="D3880" i="1"/>
  <c r="D18712" i="1"/>
  <c r="D18713" i="1"/>
  <c r="D21805" i="1"/>
  <c r="D21806" i="1"/>
  <c r="D21807" i="1"/>
  <c r="D21808" i="1"/>
  <c r="D21809" i="1"/>
  <c r="D21810" i="1"/>
  <c r="D21811" i="1"/>
  <c r="D21812" i="1"/>
  <c r="D21813" i="1"/>
  <c r="D21814" i="1"/>
  <c r="D21815" i="1"/>
  <c r="D21816" i="1"/>
  <c r="D21817" i="1"/>
  <c r="D21818" i="1"/>
  <c r="D21819" i="1"/>
  <c r="D21820" i="1"/>
  <c r="D21821" i="1"/>
  <c r="D21822" i="1"/>
  <c r="D21823" i="1"/>
  <c r="D21824" i="1"/>
  <c r="D11992" i="1"/>
  <c r="D4286" i="1"/>
  <c r="D10021" i="1"/>
  <c r="D10022" i="1"/>
  <c r="D8341" i="1"/>
  <c r="D8870" i="1"/>
  <c r="D9209" i="1"/>
  <c r="D9210" i="1"/>
  <c r="D12653" i="1"/>
  <c r="D12959" i="1"/>
  <c r="D13013" i="1"/>
  <c r="D13110" i="1"/>
  <c r="D13014" i="1"/>
  <c r="D18206" i="1"/>
  <c r="D18207" i="1"/>
  <c r="D18208" i="1"/>
  <c r="D18182" i="1"/>
  <c r="D9211" i="1"/>
  <c r="D23088" i="1"/>
  <c r="D23349" i="1"/>
  <c r="D23350" i="1"/>
  <c r="D23351" i="1"/>
  <c r="D23046" i="1"/>
  <c r="D23352" i="1"/>
  <c r="D23089" i="1"/>
  <c r="D23353" i="1"/>
  <c r="D23047" i="1"/>
  <c r="D23354" i="1"/>
  <c r="D18996" i="1"/>
  <c r="D9212" i="1"/>
  <c r="D7091" i="1"/>
  <c r="D7092" i="1"/>
  <c r="D7093" i="1"/>
  <c r="D7094" i="1"/>
  <c r="D7095" i="1"/>
  <c r="D7096" i="1"/>
  <c r="D25080" i="1"/>
  <c r="D8384" i="1"/>
  <c r="D9213" i="1"/>
  <c r="D25081" i="1"/>
  <c r="D12030" i="1"/>
  <c r="D12207" i="1"/>
  <c r="D12882" i="1"/>
  <c r="D12883" i="1"/>
  <c r="D12884" i="1"/>
  <c r="D12885" i="1"/>
  <c r="D12886" i="1"/>
  <c r="D12887" i="1"/>
  <c r="D12888" i="1"/>
  <c r="D12889" i="1"/>
  <c r="D12890" i="1"/>
  <c r="D12891" i="1"/>
  <c r="D19078" i="1"/>
  <c r="D12892" i="1"/>
  <c r="D12893" i="1"/>
  <c r="D12894" i="1"/>
  <c r="D12895" i="1"/>
  <c r="D17344" i="1"/>
  <c r="D24358" i="1"/>
  <c r="D19021" i="1"/>
  <c r="D5562" i="1"/>
  <c r="D5563" i="1"/>
  <c r="D5564" i="1"/>
  <c r="D23355" i="1"/>
  <c r="D26932" i="1"/>
  <c r="D11815" i="1"/>
  <c r="D18410" i="1"/>
  <c r="D18117" i="1"/>
  <c r="D10440" i="1"/>
  <c r="D12896" i="1"/>
  <c r="D8148" i="1"/>
  <c r="D8110" i="1"/>
  <c r="D8149" i="1"/>
  <c r="D5795" i="1"/>
  <c r="D10104" i="1"/>
  <c r="D10105" i="1"/>
  <c r="D2344" i="1"/>
  <c r="D7097" i="1"/>
  <c r="D7098" i="1"/>
  <c r="D14204" i="1"/>
  <c r="D5796" i="1"/>
  <c r="D5797" i="1"/>
  <c r="D10206" i="1"/>
  <c r="D12208" i="1"/>
  <c r="D12209" i="1"/>
  <c r="D12210" i="1"/>
  <c r="D12211" i="1"/>
  <c r="D15613" i="1"/>
  <c r="D14026" i="1"/>
  <c r="D2411" i="1"/>
  <c r="D2412" i="1"/>
  <c r="D604" i="1"/>
  <c r="D17608" i="1"/>
  <c r="D17609" i="1"/>
  <c r="D17610" i="1"/>
  <c r="D25791" i="1"/>
  <c r="D11806" i="1"/>
  <c r="D13996" i="1"/>
  <c r="D15855" i="1"/>
  <c r="D3785" i="1"/>
  <c r="D3786" i="1"/>
  <c r="D3787" i="1"/>
  <c r="D12841" i="1"/>
  <c r="D12842" i="1"/>
  <c r="D12843" i="1"/>
  <c r="D12844" i="1"/>
  <c r="D12845" i="1"/>
  <c r="D12846" i="1"/>
  <c r="D10766" i="1"/>
  <c r="D10767" i="1"/>
  <c r="D22870" i="1"/>
  <c r="D19268" i="1"/>
  <c r="D19269" i="1"/>
  <c r="D19270" i="1"/>
  <c r="D8044" i="1"/>
  <c r="D19271" i="1"/>
  <c r="D19272" i="1"/>
  <c r="D19273" i="1"/>
  <c r="D19274" i="1"/>
  <c r="D19275" i="1"/>
  <c r="D19276" i="1"/>
  <c r="D25725" i="1"/>
  <c r="D17514" i="1"/>
  <c r="D17515" i="1"/>
  <c r="D23943" i="1"/>
  <c r="D16911" i="1"/>
  <c r="D23944" i="1"/>
  <c r="D23945" i="1"/>
  <c r="D23946" i="1"/>
  <c r="D23947" i="1"/>
  <c r="D16912" i="1"/>
  <c r="D23948" i="1"/>
  <c r="D23949" i="1"/>
  <c r="D23950" i="1"/>
  <c r="D23951" i="1"/>
  <c r="D23952" i="1"/>
  <c r="D23953" i="1"/>
  <c r="D22871" i="1"/>
  <c r="D23954" i="1"/>
  <c r="D23955" i="1"/>
  <c r="D23956" i="1"/>
  <c r="D23957" i="1"/>
  <c r="D23958" i="1"/>
  <c r="D23959" i="1"/>
  <c r="D1263" i="1"/>
  <c r="D13926" i="1"/>
  <c r="D10768" i="1"/>
  <c r="D10769" i="1"/>
  <c r="D14738" i="1"/>
  <c r="D5452" i="1"/>
  <c r="D9082" i="1"/>
  <c r="D11726" i="1"/>
  <c r="D11727" i="1"/>
  <c r="D26688" i="1"/>
  <c r="D21825" i="1"/>
  <c r="D21826" i="1"/>
  <c r="D21827" i="1"/>
  <c r="D21828" i="1"/>
  <c r="D21829" i="1"/>
  <c r="D21830" i="1"/>
  <c r="D21831" i="1"/>
  <c r="D21832" i="1"/>
  <c r="D21833" i="1"/>
  <c r="D21834" i="1"/>
  <c r="D21835" i="1"/>
  <c r="D21836" i="1"/>
  <c r="D21837" i="1"/>
  <c r="D21838" i="1"/>
  <c r="D21839" i="1"/>
  <c r="D21840" i="1"/>
  <c r="D21841" i="1"/>
  <c r="D21842" i="1"/>
  <c r="D21843" i="1"/>
  <c r="D21844" i="1"/>
  <c r="D996" i="1"/>
  <c r="D26933" i="1"/>
  <c r="D18375" i="1"/>
  <c r="D21845" i="1"/>
  <c r="D21846" i="1"/>
  <c r="D21847" i="1"/>
  <c r="D21848" i="1"/>
  <c r="D21849" i="1"/>
  <c r="D21850" i="1"/>
  <c r="D21851" i="1"/>
  <c r="D21852" i="1"/>
  <c r="D21853" i="1"/>
  <c r="D21854" i="1"/>
  <c r="D21855" i="1"/>
  <c r="D21856" i="1"/>
  <c r="D21857" i="1"/>
  <c r="D21858" i="1"/>
  <c r="D21859" i="1"/>
  <c r="D21860" i="1"/>
  <c r="D27088" i="1"/>
  <c r="D21861" i="1"/>
  <c r="D21862" i="1"/>
  <c r="D21863" i="1"/>
  <c r="D21864" i="1"/>
  <c r="D21865" i="1"/>
  <c r="D21866" i="1"/>
  <c r="D21867" i="1"/>
  <c r="D11656" i="1"/>
  <c r="D11657" i="1"/>
  <c r="D26630" i="1"/>
  <c r="D19421" i="1"/>
  <c r="D10770" i="1"/>
  <c r="D10771" i="1"/>
  <c r="D10088" i="1"/>
  <c r="D23960" i="1"/>
  <c r="D23961" i="1"/>
  <c r="D23962" i="1"/>
  <c r="D23963" i="1"/>
  <c r="D23964" i="1"/>
  <c r="D23965" i="1"/>
  <c r="D23966" i="1"/>
  <c r="D23967" i="1"/>
  <c r="D23968" i="1"/>
  <c r="D9389" i="1"/>
  <c r="D23969" i="1"/>
  <c r="D23970" i="1"/>
  <c r="D23971" i="1"/>
  <c r="D15203" i="1"/>
  <c r="D1411" i="1"/>
  <c r="D23972" i="1"/>
  <c r="D23973" i="1"/>
  <c r="D23974" i="1"/>
  <c r="D23975" i="1"/>
  <c r="D23976" i="1"/>
  <c r="D23977" i="1"/>
  <c r="D19277" i="1"/>
  <c r="D19278" i="1"/>
  <c r="D1412" i="1"/>
  <c r="D1413" i="1"/>
  <c r="D25082" i="1"/>
  <c r="D3115" i="1"/>
  <c r="D25083" i="1"/>
  <c r="D25084" i="1"/>
  <c r="D25085" i="1"/>
  <c r="D24877" i="1"/>
  <c r="D25086" i="1"/>
  <c r="D23978" i="1"/>
  <c r="D10023" i="1"/>
  <c r="D10024" i="1"/>
  <c r="D3038" i="1"/>
  <c r="D7099" i="1"/>
  <c r="D7852" i="1"/>
  <c r="D7100" i="1"/>
  <c r="D7853" i="1"/>
  <c r="D9214" i="1"/>
  <c r="D9215" i="1"/>
  <c r="D9216" i="1"/>
  <c r="D18155" i="1"/>
  <c r="D18173" i="1"/>
  <c r="D18156" i="1"/>
  <c r="D18174" i="1"/>
  <c r="D18157" i="1"/>
  <c r="D18175" i="1"/>
  <c r="D14859" i="1"/>
  <c r="D14860" i="1"/>
  <c r="D14861" i="1"/>
  <c r="D11618" i="1"/>
  <c r="D11619" i="1"/>
  <c r="D11620" i="1"/>
  <c r="D11621" i="1"/>
  <c r="D11622" i="1"/>
  <c r="D15407" i="1"/>
  <c r="D5411" i="1"/>
  <c r="D5393" i="1"/>
  <c r="D5405" i="1"/>
  <c r="D8220" i="1"/>
  <c r="D25800" i="1"/>
  <c r="D15634" i="1"/>
  <c r="D7101" i="1"/>
  <c r="D7854" i="1"/>
  <c r="D4544" i="1"/>
  <c r="D4551" i="1"/>
  <c r="D4961" i="1"/>
  <c r="D17581" i="1"/>
  <c r="D9094" i="1"/>
  <c r="D9095" i="1"/>
  <c r="D9096" i="1"/>
  <c r="D9097" i="1"/>
  <c r="D11570" i="1"/>
  <c r="D13015" i="1"/>
  <c r="D13016" i="1"/>
  <c r="D13017" i="1"/>
  <c r="D13018" i="1"/>
  <c r="D4493" i="1"/>
  <c r="D4494" i="1"/>
  <c r="D14169" i="1"/>
  <c r="D3403" i="1"/>
  <c r="D15320" i="1"/>
  <c r="D3637" i="1"/>
  <c r="D13217" i="1"/>
  <c r="D13225" i="1"/>
  <c r="D13226" i="1"/>
  <c r="D10089" i="1"/>
  <c r="D10090" i="1"/>
  <c r="D23979" i="1"/>
  <c r="D9474" i="1"/>
  <c r="D19095" i="1"/>
  <c r="D9979" i="1"/>
  <c r="D9994" i="1"/>
  <c r="D7102" i="1"/>
  <c r="D7103" i="1"/>
  <c r="D7104" i="1"/>
  <c r="D7105" i="1"/>
  <c r="D10963" i="1"/>
  <c r="D10964" i="1"/>
  <c r="D7106" i="1"/>
  <c r="D7107" i="1"/>
  <c r="D7108" i="1"/>
  <c r="D23980" i="1"/>
  <c r="D5750" i="1"/>
  <c r="D14136" i="1"/>
  <c r="D26515" i="1"/>
  <c r="D23618" i="1"/>
  <c r="D23619" i="1"/>
  <c r="D23620" i="1"/>
  <c r="D23621" i="1"/>
  <c r="D23622" i="1"/>
  <c r="D23623" i="1"/>
  <c r="D23624" i="1"/>
  <c r="D23625" i="1"/>
  <c r="D10223" i="1"/>
  <c r="D10224" i="1"/>
  <c r="D10225" i="1"/>
  <c r="D7109" i="1"/>
  <c r="D7855" i="1"/>
  <c r="D7110" i="1"/>
  <c r="D7856" i="1"/>
  <c r="D7111" i="1"/>
  <c r="D7857" i="1"/>
  <c r="D7112" i="1"/>
  <c r="D7113" i="1"/>
  <c r="D7114" i="1"/>
  <c r="D7115" i="1"/>
  <c r="D7858" i="1"/>
  <c r="D7116" i="1"/>
  <c r="D7859" i="1"/>
  <c r="D7117" i="1"/>
  <c r="D7860" i="1"/>
  <c r="D7118" i="1"/>
  <c r="D7119" i="1"/>
  <c r="D7861" i="1"/>
  <c r="D14799" i="1"/>
  <c r="D14800" i="1"/>
  <c r="D14801" i="1"/>
  <c r="D12296" i="1"/>
  <c r="D12297" i="1"/>
  <c r="D12298" i="1"/>
  <c r="D12299" i="1"/>
  <c r="D12300" i="1"/>
  <c r="D23626" i="1"/>
  <c r="D9122" i="1"/>
  <c r="D9123" i="1"/>
  <c r="D25262" i="1"/>
  <c r="D25306" i="1"/>
  <c r="D25263" i="1"/>
  <c r="D25307" i="1"/>
  <c r="D25264" i="1"/>
  <c r="D25308" i="1"/>
  <c r="D2515" i="1"/>
  <c r="D1233" i="1"/>
  <c r="D1234" i="1"/>
  <c r="D3451" i="1"/>
  <c r="D4660" i="1"/>
  <c r="D4287" i="1"/>
  <c r="D10242" i="1"/>
  <c r="D4545" i="1"/>
  <c r="D4552" i="1"/>
  <c r="D13154" i="1"/>
  <c r="D23159" i="1"/>
  <c r="D23356" i="1"/>
  <c r="D23160" i="1"/>
  <c r="D23161" i="1"/>
  <c r="D23000" i="1"/>
  <c r="D23162" i="1"/>
  <c r="D23109" i="1"/>
  <c r="D15415" i="1"/>
  <c r="D5524" i="1"/>
  <c r="D5565" i="1"/>
  <c r="D15335" i="1"/>
  <c r="D614" i="1"/>
  <c r="D798" i="1"/>
  <c r="D14908" i="1"/>
  <c r="D14909" i="1"/>
  <c r="D14910" i="1"/>
  <c r="D14911" i="1"/>
  <c r="D14912" i="1"/>
  <c r="D14913" i="1"/>
  <c r="D14914" i="1"/>
  <c r="D14915" i="1"/>
  <c r="D10361" i="1"/>
  <c r="D10362" i="1"/>
  <c r="D1105" i="1"/>
  <c r="D1106" i="1"/>
  <c r="D10434" i="1"/>
  <c r="D9275" i="1"/>
  <c r="D9276" i="1"/>
  <c r="D9277" i="1"/>
  <c r="D17922" i="1"/>
  <c r="D17923" i="1"/>
  <c r="D17924" i="1"/>
  <c r="D17925" i="1"/>
  <c r="D4152" i="1"/>
  <c r="D4153" i="1"/>
  <c r="D5677" i="1"/>
  <c r="D3435" i="1"/>
  <c r="D25563" i="1"/>
  <c r="D25564" i="1"/>
  <c r="D12398" i="1"/>
  <c r="D17926" i="1"/>
  <c r="D17927" i="1"/>
  <c r="D17928" i="1"/>
  <c r="D19051" i="1"/>
  <c r="D17929" i="1"/>
  <c r="D26263" i="1"/>
  <c r="D17930" i="1"/>
  <c r="D10410" i="1"/>
  <c r="D10411" i="1"/>
  <c r="D4437" i="1"/>
  <c r="D4438" i="1"/>
  <c r="D10412" i="1"/>
  <c r="D4288" i="1"/>
  <c r="D23981" i="1"/>
  <c r="D23982" i="1"/>
  <c r="D23983" i="1"/>
  <c r="D7120" i="1"/>
  <c r="D7862" i="1"/>
  <c r="D7121" i="1"/>
  <c r="D23984" i="1"/>
  <c r="D23985" i="1"/>
  <c r="D25487" i="1"/>
  <c r="D25488" i="1"/>
  <c r="D25489" i="1"/>
  <c r="D25490" i="1"/>
  <c r="D25491" i="1"/>
  <c r="D3420" i="1"/>
  <c r="D3421" i="1"/>
  <c r="D3422" i="1"/>
  <c r="D752" i="1"/>
  <c r="D25533" i="1"/>
  <c r="D7122" i="1"/>
  <c r="D7123" i="1"/>
  <c r="D7863" i="1"/>
  <c r="D3039" i="1"/>
  <c r="D3040" i="1"/>
  <c r="D3041" i="1"/>
  <c r="D3042" i="1"/>
  <c r="D11880" i="1"/>
  <c r="D3043" i="1"/>
  <c r="D3044" i="1"/>
  <c r="D23986" i="1"/>
  <c r="D23987" i="1"/>
  <c r="D10589" i="1"/>
  <c r="D10590" i="1"/>
  <c r="D10591" i="1"/>
  <c r="D10592" i="1"/>
  <c r="D10593" i="1"/>
  <c r="D10594" i="1"/>
  <c r="D10595" i="1"/>
  <c r="D10596" i="1"/>
  <c r="D10597" i="1"/>
  <c r="D23988" i="1"/>
  <c r="D23989" i="1"/>
  <c r="D23990" i="1"/>
  <c r="D23991" i="1"/>
  <c r="D23992" i="1"/>
  <c r="D23993" i="1"/>
  <c r="D23994" i="1"/>
  <c r="D23995" i="1"/>
  <c r="D23996" i="1"/>
  <c r="D3362" i="1"/>
  <c r="D1414" i="1"/>
  <c r="D1415" i="1"/>
  <c r="D3363" i="1"/>
  <c r="D26432" i="1"/>
  <c r="D26934" i="1"/>
  <c r="D9869" i="1"/>
  <c r="D9870" i="1"/>
  <c r="D9871" i="1"/>
  <c r="D9872" i="1"/>
  <c r="D9873" i="1"/>
  <c r="D9874" i="1"/>
  <c r="D9875" i="1"/>
  <c r="D9876" i="1"/>
  <c r="D9877" i="1"/>
  <c r="D9878" i="1"/>
  <c r="D26433" i="1"/>
  <c r="D26434" i="1"/>
  <c r="D26435" i="1"/>
  <c r="D26935" i="1"/>
  <c r="D19629" i="1"/>
  <c r="D19641" i="1"/>
  <c r="D9879" i="1"/>
  <c r="D21868" i="1"/>
  <c r="D21869" i="1"/>
  <c r="D21870" i="1"/>
  <c r="D21871" i="1"/>
  <c r="D21872" i="1"/>
  <c r="D21873" i="1"/>
  <c r="D21874" i="1"/>
  <c r="D21875" i="1"/>
  <c r="D21876" i="1"/>
  <c r="D21877" i="1"/>
  <c r="D11300" i="1"/>
  <c r="D11301" i="1"/>
  <c r="D11302" i="1"/>
  <c r="D21878" i="1"/>
  <c r="D21879" i="1"/>
  <c r="D21880" i="1"/>
  <c r="D21881" i="1"/>
  <c r="D21882" i="1"/>
  <c r="D21883" i="1"/>
  <c r="D18541" i="1"/>
  <c r="D18551" i="1"/>
  <c r="D21884" i="1"/>
  <c r="D3364" i="1"/>
  <c r="D15597" i="1"/>
  <c r="D15598" i="1"/>
  <c r="D15599" i="1"/>
  <c r="D21885" i="1"/>
  <c r="D21886" i="1"/>
  <c r="D21887" i="1"/>
  <c r="D21888" i="1"/>
  <c r="D21889" i="1"/>
  <c r="D21890" i="1"/>
  <c r="D21891" i="1"/>
  <c r="D21892" i="1"/>
  <c r="D21893" i="1"/>
  <c r="D21894" i="1"/>
  <c r="D21895" i="1"/>
  <c r="D21896" i="1"/>
  <c r="D21897" i="1"/>
  <c r="D21898" i="1"/>
  <c r="D21899" i="1"/>
  <c r="D21900" i="1"/>
  <c r="D21901" i="1"/>
  <c r="D21902" i="1"/>
  <c r="D21903" i="1"/>
  <c r="D21904" i="1"/>
  <c r="D21905" i="1"/>
  <c r="D21906" i="1"/>
  <c r="D21907" i="1"/>
  <c r="D21908" i="1"/>
  <c r="D21909" i="1"/>
  <c r="D21910" i="1"/>
  <c r="D21911" i="1"/>
  <c r="D21912" i="1"/>
  <c r="D21913" i="1"/>
  <c r="D21914" i="1"/>
  <c r="D21915" i="1"/>
  <c r="D21916" i="1"/>
  <c r="D21917" i="1"/>
  <c r="D21918" i="1"/>
  <c r="D21919" i="1"/>
  <c r="D21920" i="1"/>
  <c r="D21921" i="1"/>
  <c r="D21922" i="1"/>
  <c r="D21923" i="1"/>
  <c r="D26936" i="1"/>
  <c r="D10179" i="1"/>
  <c r="D13280" i="1"/>
  <c r="D4734" i="1"/>
  <c r="D4735" i="1"/>
  <c r="D8871" i="1"/>
  <c r="D19022" i="1"/>
  <c r="D5417" i="1"/>
  <c r="D8872" i="1"/>
  <c r="D18997" i="1"/>
  <c r="D15452" i="1"/>
  <c r="D13281" i="1"/>
  <c r="D18376" i="1"/>
  <c r="D10379" i="1"/>
  <c r="D24777" i="1"/>
  <c r="D24778" i="1"/>
  <c r="D24779" i="1"/>
  <c r="D24780" i="1"/>
  <c r="D24781" i="1"/>
  <c r="D24782" i="1"/>
  <c r="D24783" i="1"/>
  <c r="D24784" i="1"/>
  <c r="D24785" i="1"/>
  <c r="D24786" i="1"/>
  <c r="D24787" i="1"/>
  <c r="D24788" i="1"/>
  <c r="D24789" i="1"/>
  <c r="D24790" i="1"/>
  <c r="D24791" i="1"/>
  <c r="D24792" i="1"/>
  <c r="D24793" i="1"/>
  <c r="D24794" i="1"/>
  <c r="D24795" i="1"/>
  <c r="D24796" i="1"/>
  <c r="D24797" i="1"/>
  <c r="D24798" i="1"/>
  <c r="D24799" i="1"/>
  <c r="D24800" i="1"/>
  <c r="D24801" i="1"/>
  <c r="D24802" i="1"/>
  <c r="D24803" i="1"/>
  <c r="D24804" i="1"/>
  <c r="D24805" i="1"/>
  <c r="D1288" i="1"/>
  <c r="D12499" i="1"/>
  <c r="D12500" i="1"/>
  <c r="D18377" i="1"/>
  <c r="D26937" i="1"/>
  <c r="D26631" i="1"/>
  <c r="D8873" i="1"/>
  <c r="D8874" i="1"/>
  <c r="D8875" i="1"/>
  <c r="D8876" i="1"/>
  <c r="D8877" i="1"/>
  <c r="D8878" i="1"/>
  <c r="D12584" i="1"/>
  <c r="D8879" i="1"/>
  <c r="D8880" i="1"/>
  <c r="D8881" i="1"/>
  <c r="D8882" i="1"/>
  <c r="D21924" i="1"/>
  <c r="D21925" i="1"/>
  <c r="D21926" i="1"/>
  <c r="D21927" i="1"/>
  <c r="D21928" i="1"/>
  <c r="D21929" i="1"/>
  <c r="D21930" i="1"/>
  <c r="D21931" i="1"/>
  <c r="D21932" i="1"/>
  <c r="D21933" i="1"/>
  <c r="D9124" i="1"/>
  <c r="D9125" i="1"/>
  <c r="D23997" i="1"/>
  <c r="D23998" i="1"/>
  <c r="D11547" i="1"/>
  <c r="D3365" i="1"/>
  <c r="D21934" i="1"/>
  <c r="D21935" i="1"/>
  <c r="D21936" i="1"/>
  <c r="D21937" i="1"/>
  <c r="D21938" i="1"/>
  <c r="D21939" i="1"/>
  <c r="D21940" i="1"/>
  <c r="D21941" i="1"/>
  <c r="D21942" i="1"/>
  <c r="D21943" i="1"/>
  <c r="D21944" i="1"/>
  <c r="D21945" i="1"/>
  <c r="D21946" i="1"/>
  <c r="D21947" i="1"/>
  <c r="D21948" i="1"/>
  <c r="D21949" i="1"/>
  <c r="D21950" i="1"/>
  <c r="D21951" i="1"/>
  <c r="D21952" i="1"/>
  <c r="D21953" i="1"/>
  <c r="D21954" i="1"/>
  <c r="D21955" i="1"/>
  <c r="D21956" i="1"/>
  <c r="D21957" i="1"/>
  <c r="D21958" i="1"/>
  <c r="D21959" i="1"/>
  <c r="D2682" i="1"/>
  <c r="D2842" i="1"/>
  <c r="D8883" i="1"/>
  <c r="D12731" i="1"/>
  <c r="D12753" i="1"/>
  <c r="D12732" i="1"/>
  <c r="D12754" i="1"/>
  <c r="D7124" i="1"/>
  <c r="D5682" i="1"/>
  <c r="D12527" i="1"/>
  <c r="D23484" i="1"/>
  <c r="D7998" i="1"/>
  <c r="D8001" i="1"/>
  <c r="D10890" i="1"/>
  <c r="D10893" i="1"/>
  <c r="D3704" i="1"/>
  <c r="D17734" i="1"/>
  <c r="D17751" i="1"/>
  <c r="D17732" i="1"/>
  <c r="D23498" i="1"/>
  <c r="D12438" i="1"/>
  <c r="D25214" i="1"/>
  <c r="D26436" i="1"/>
  <c r="D26437" i="1"/>
  <c r="D26938" i="1"/>
  <c r="D26939" i="1"/>
  <c r="D21960" i="1"/>
  <c r="D21961" i="1"/>
  <c r="D21962" i="1"/>
  <c r="D26438" i="1"/>
  <c r="D10887" i="1"/>
  <c r="D21963" i="1"/>
  <c r="D21964" i="1"/>
  <c r="D21965" i="1"/>
  <c r="D21966" i="1"/>
  <c r="D21967" i="1"/>
  <c r="D21968" i="1"/>
  <c r="D21969" i="1"/>
  <c r="D21970" i="1"/>
  <c r="D21971" i="1"/>
  <c r="D21972" i="1"/>
  <c r="D21973" i="1"/>
  <c r="D21974" i="1"/>
  <c r="D21975" i="1"/>
  <c r="D21976" i="1"/>
  <c r="D5751" i="1"/>
  <c r="D8884" i="1"/>
  <c r="D21977" i="1"/>
  <c r="D21978" i="1"/>
  <c r="D3366" i="1"/>
  <c r="D3367" i="1"/>
  <c r="D15273" i="1"/>
  <c r="D15274" i="1"/>
  <c r="D21979" i="1"/>
  <c r="D19630" i="1"/>
  <c r="D19642" i="1"/>
  <c r="D19631" i="1"/>
  <c r="D19643" i="1"/>
  <c r="D21980" i="1"/>
  <c r="D21981" i="1"/>
  <c r="D21982" i="1"/>
  <c r="D21983" i="1"/>
  <c r="D9823" i="1"/>
  <c r="D1416" i="1"/>
  <c r="D1417" i="1"/>
  <c r="D8885" i="1"/>
  <c r="D8886" i="1"/>
  <c r="D8887" i="1"/>
  <c r="D19058" i="1"/>
  <c r="D21984" i="1"/>
  <c r="D8888" i="1"/>
  <c r="D12024" i="1"/>
  <c r="D21985" i="1"/>
  <c r="D21986" i="1"/>
  <c r="D21987" i="1"/>
  <c r="D8889" i="1"/>
  <c r="D21988" i="1"/>
  <c r="D21989" i="1"/>
  <c r="D21990" i="1"/>
  <c r="D21991" i="1"/>
  <c r="D21992" i="1"/>
  <c r="D21993" i="1"/>
  <c r="D21994" i="1"/>
  <c r="D21995" i="1"/>
  <c r="D21996" i="1"/>
  <c r="D21997" i="1"/>
  <c r="D21998" i="1"/>
  <c r="D21999" i="1"/>
  <c r="D22000" i="1"/>
  <c r="D22001" i="1"/>
  <c r="D22002" i="1"/>
  <c r="D22003" i="1"/>
  <c r="D22004" i="1"/>
  <c r="D22005" i="1"/>
  <c r="D22006" i="1"/>
  <c r="D22007" i="1"/>
  <c r="D22008" i="1"/>
  <c r="D22009" i="1"/>
  <c r="D22010" i="1"/>
  <c r="D22011" i="1"/>
  <c r="D22012" i="1"/>
  <c r="D22895" i="1"/>
  <c r="D22013" i="1"/>
  <c r="D1418" i="1"/>
  <c r="D1419" i="1"/>
  <c r="D8890" i="1"/>
  <c r="D10433" i="1"/>
  <c r="D9712" i="1"/>
  <c r="D9713" i="1"/>
  <c r="D9714" i="1"/>
  <c r="D14444" i="1"/>
  <c r="D14341" i="1"/>
  <c r="D14342" i="1"/>
  <c r="D14343" i="1"/>
  <c r="D14344" i="1"/>
  <c r="D14345" i="1"/>
  <c r="D14346" i="1"/>
  <c r="D14347" i="1"/>
  <c r="D14445" i="1"/>
  <c r="D14348" i="1"/>
  <c r="D14349" i="1"/>
  <c r="D14350" i="1"/>
  <c r="D14351" i="1"/>
  <c r="D14352" i="1"/>
  <c r="D14353" i="1"/>
  <c r="D14354" i="1"/>
  <c r="D14355" i="1"/>
  <c r="D14356" i="1"/>
  <c r="D14357" i="1"/>
  <c r="D14358" i="1"/>
  <c r="D14359" i="1"/>
  <c r="D14360" i="1"/>
  <c r="D14361" i="1"/>
  <c r="D3853" i="1"/>
  <c r="D2843" i="1"/>
  <c r="D8891" i="1"/>
  <c r="D26940" i="1"/>
  <c r="D11556" i="1"/>
  <c r="D22014" i="1"/>
  <c r="D22015" i="1"/>
  <c r="D3368" i="1"/>
  <c r="D691" i="1"/>
  <c r="D698" i="1"/>
  <c r="D14446" i="1"/>
  <c r="D14362" i="1"/>
  <c r="D14363" i="1"/>
  <c r="D22016" i="1"/>
  <c r="D22017" i="1"/>
  <c r="D22018" i="1"/>
  <c r="D22019" i="1"/>
  <c r="D22020" i="1"/>
  <c r="D22021" i="1"/>
  <c r="D22022" i="1"/>
  <c r="D22023" i="1"/>
  <c r="D22024" i="1"/>
  <c r="D22025" i="1"/>
  <c r="D22026" i="1"/>
  <c r="D22027" i="1"/>
  <c r="D22028" i="1"/>
  <c r="D22029" i="1"/>
  <c r="D22030" i="1"/>
  <c r="D22031" i="1"/>
  <c r="D22032" i="1"/>
  <c r="D22033" i="1"/>
  <c r="D22034" i="1"/>
  <c r="D22035" i="1"/>
  <c r="D2898" i="1"/>
  <c r="D26439" i="1"/>
  <c r="D1107" i="1"/>
  <c r="D1108" i="1"/>
  <c r="D7125" i="1"/>
  <c r="D7126" i="1"/>
  <c r="D7864" i="1"/>
  <c r="D7127" i="1"/>
  <c r="D7865" i="1"/>
  <c r="D7128" i="1"/>
  <c r="D7129" i="1"/>
  <c r="D7130" i="1"/>
  <c r="D7131" i="1"/>
  <c r="D7132" i="1"/>
  <c r="D7133" i="1"/>
  <c r="D7134" i="1"/>
  <c r="D7135" i="1"/>
  <c r="D7136" i="1"/>
  <c r="D7137" i="1"/>
  <c r="D11728" i="1"/>
  <c r="D9715" i="1"/>
  <c r="D9817" i="1"/>
  <c r="D4364" i="1"/>
  <c r="D4376" i="1"/>
  <c r="D11747" i="1"/>
  <c r="D11758" i="1"/>
  <c r="D26264" i="1"/>
  <c r="D5006" i="1"/>
  <c r="D5007" i="1"/>
  <c r="D15044" i="1"/>
  <c r="D655" i="1"/>
  <c r="D9995" i="1"/>
  <c r="D4948" i="1"/>
  <c r="D16146" i="1"/>
  <c r="D9449" i="1"/>
  <c r="D16147" i="1"/>
  <c r="D5008" i="1"/>
  <c r="D22908" i="1"/>
  <c r="D15627" i="1"/>
  <c r="D3660" i="1"/>
  <c r="D4406" i="1"/>
  <c r="D10940" i="1"/>
  <c r="D14196" i="1"/>
  <c r="D4495" i="1"/>
  <c r="D18415" i="1"/>
  <c r="D11303" i="1"/>
  <c r="D4949" i="1"/>
  <c r="D22036" i="1"/>
  <c r="D22037" i="1"/>
  <c r="D22038" i="1"/>
  <c r="D22039" i="1"/>
  <c r="D22040" i="1"/>
  <c r="D22041" i="1"/>
  <c r="D22042" i="1"/>
  <c r="D22043" i="1"/>
  <c r="D9966" i="1"/>
  <c r="D5637" i="1"/>
  <c r="D8218" i="1"/>
  <c r="D772" i="1"/>
  <c r="D9475" i="1"/>
  <c r="D17764" i="1"/>
  <c r="D17775" i="1"/>
  <c r="D5857" i="1"/>
  <c r="D1053" i="1"/>
  <c r="D15241" i="1"/>
  <c r="D13282" i="1"/>
  <c r="D13246" i="1"/>
  <c r="D13247" i="1"/>
  <c r="D23999" i="1"/>
  <c r="D24000" i="1"/>
  <c r="D24001" i="1"/>
  <c r="D8892" i="1"/>
  <c r="D8893" i="1"/>
  <c r="D8894" i="1"/>
  <c r="D23512" i="1"/>
  <c r="D3854" i="1"/>
  <c r="D13076" i="1"/>
  <c r="D13077" i="1"/>
  <c r="D8385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1239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8232" i="1"/>
  <c r="D8233" i="1"/>
  <c r="D8234" i="1"/>
  <c r="D8235" i="1"/>
  <c r="D8236" i="1"/>
  <c r="D8237" i="1"/>
  <c r="D656" i="1"/>
  <c r="D9083" i="1"/>
  <c r="D657" i="1"/>
  <c r="D16160" i="1"/>
  <c r="D16161" i="1"/>
  <c r="D16162" i="1"/>
  <c r="D3608" i="1"/>
  <c r="D3609" i="1"/>
  <c r="D3610" i="1"/>
  <c r="D3611" i="1"/>
  <c r="D16070" i="1"/>
  <c r="D4289" i="1"/>
  <c r="D3691" i="1"/>
  <c r="D11851" i="1"/>
  <c r="D7162" i="1"/>
  <c r="D7866" i="1"/>
  <c r="D4736" i="1"/>
  <c r="D23504" i="1"/>
  <c r="D23505" i="1"/>
  <c r="D13078" i="1"/>
  <c r="D13079" i="1"/>
  <c r="D7163" i="1"/>
  <c r="D7867" i="1"/>
  <c r="D7164" i="1"/>
  <c r="D5067" i="1"/>
  <c r="D5087" i="1"/>
  <c r="D25087" i="1"/>
  <c r="D7165" i="1"/>
  <c r="D4984" i="1"/>
  <c r="D4985" i="1"/>
  <c r="D4567" i="1"/>
  <c r="D27084" i="1"/>
  <c r="D22976" i="1"/>
  <c r="D13227" i="1"/>
  <c r="D13228" i="1"/>
  <c r="D10466" i="1"/>
  <c r="D17793" i="1"/>
  <c r="D17794" i="1"/>
  <c r="D17801" i="1"/>
  <c r="D5922" i="1"/>
  <c r="D821" i="1"/>
  <c r="D8386" i="1"/>
  <c r="D2643" i="1"/>
  <c r="D2644" i="1"/>
  <c r="D5644" i="1"/>
  <c r="D2844" i="1"/>
  <c r="D3820" i="1"/>
  <c r="D3821" i="1"/>
  <c r="D13283" i="1"/>
  <c r="D2683" i="1"/>
  <c r="D2684" i="1"/>
  <c r="D4670" i="1"/>
  <c r="D4673" i="1"/>
  <c r="D12447" i="1"/>
  <c r="D12450" i="1"/>
  <c r="D5068" i="1"/>
  <c r="D5088" i="1"/>
  <c r="D5069" i="1"/>
  <c r="D5089" i="1"/>
  <c r="D7166" i="1"/>
  <c r="D7868" i="1"/>
  <c r="D2655" i="1"/>
  <c r="D25088" i="1"/>
  <c r="D7167" i="1"/>
  <c r="D7869" i="1"/>
  <c r="D7168" i="1"/>
  <c r="D7870" i="1"/>
  <c r="D7169" i="1"/>
  <c r="D7871" i="1"/>
  <c r="D1155" i="1"/>
  <c r="D1172" i="1"/>
  <c r="D4674" i="1"/>
  <c r="D1420" i="1"/>
  <c r="D9880" i="1"/>
  <c r="D9881" i="1"/>
  <c r="D25089" i="1"/>
  <c r="D7170" i="1"/>
  <c r="D7171" i="1"/>
  <c r="D7172" i="1"/>
  <c r="D23357" i="1"/>
  <c r="D15898" i="1"/>
  <c r="D4737" i="1"/>
  <c r="D3180" i="1"/>
  <c r="D3181" i="1"/>
  <c r="D5279" i="1"/>
  <c r="D5070" i="1"/>
  <c r="D5071" i="1"/>
  <c r="D9902" i="1"/>
  <c r="D22872" i="1"/>
  <c r="D22873" i="1"/>
  <c r="D9818" i="1"/>
  <c r="D9819" i="1"/>
  <c r="D9820" i="1"/>
  <c r="D22044" i="1"/>
  <c r="D22045" i="1"/>
  <c r="D22046" i="1"/>
  <c r="D22047" i="1"/>
  <c r="D22048" i="1"/>
  <c r="D22049" i="1"/>
  <c r="D22050" i="1"/>
  <c r="D22051" i="1"/>
  <c r="D22052" i="1"/>
  <c r="D26081" i="1"/>
  <c r="D26082" i="1"/>
  <c r="D26083" i="1"/>
  <c r="D26084" i="1"/>
  <c r="D26085" i="1"/>
  <c r="D26086" i="1"/>
  <c r="D26087" i="1"/>
  <c r="D26088" i="1"/>
  <c r="D26089" i="1"/>
  <c r="D26090" i="1"/>
  <c r="D26091" i="1"/>
  <c r="D26092" i="1"/>
  <c r="D11459" i="1"/>
  <c r="D9821" i="1"/>
  <c r="D26516" i="1"/>
  <c r="D26632" i="1"/>
  <c r="D12654" i="1"/>
  <c r="D12655" i="1"/>
  <c r="D637" i="1"/>
  <c r="D5835" i="1"/>
  <c r="D11304" i="1"/>
  <c r="D22874" i="1"/>
  <c r="D2625" i="1"/>
  <c r="D11305" i="1"/>
  <c r="D27037" i="1"/>
  <c r="D11306" i="1"/>
  <c r="D11508" i="1"/>
  <c r="D11307" i="1"/>
  <c r="D11509" i="1"/>
  <c r="D11510" i="1"/>
  <c r="D11308" i="1"/>
  <c r="D12656" i="1"/>
  <c r="D12657" i="1"/>
  <c r="D8229" i="1"/>
  <c r="D1156" i="1"/>
  <c r="D1173" i="1"/>
  <c r="D11450" i="1"/>
  <c r="D12658" i="1"/>
  <c r="D12659" i="1"/>
  <c r="D11309" i="1"/>
  <c r="D26544" i="1"/>
  <c r="D26941" i="1"/>
  <c r="D1487" i="1"/>
  <c r="D5280" i="1"/>
  <c r="D11310" i="1"/>
  <c r="D11311" i="1"/>
  <c r="D26942" i="1"/>
  <c r="D26633" i="1"/>
  <c r="D26634" i="1"/>
  <c r="D26943" i="1"/>
  <c r="D26944" i="1"/>
  <c r="D11312" i="1"/>
  <c r="D10188" i="1"/>
  <c r="D10189" i="1"/>
  <c r="D10190" i="1"/>
  <c r="D10191" i="1"/>
  <c r="D10192" i="1"/>
  <c r="D22053" i="1"/>
  <c r="D8045" i="1"/>
  <c r="D11460" i="1"/>
  <c r="D4649" i="1"/>
  <c r="D15367" i="1"/>
  <c r="D11313" i="1"/>
  <c r="D11314" i="1"/>
  <c r="D11315" i="1"/>
  <c r="D11316" i="1"/>
  <c r="D11511" i="1"/>
  <c r="D26945" i="1"/>
  <c r="D11317" i="1"/>
  <c r="D11512" i="1"/>
  <c r="D26946" i="1"/>
  <c r="D11318" i="1"/>
  <c r="D11319" i="1"/>
  <c r="D11320" i="1"/>
  <c r="D11321" i="1"/>
  <c r="D11322" i="1"/>
  <c r="D11513" i="1"/>
  <c r="D9390" i="1"/>
  <c r="D26538" i="1"/>
  <c r="D26947" i="1"/>
  <c r="D26517" i="1"/>
  <c r="D26948" i="1"/>
  <c r="D23358" i="1"/>
  <c r="D5281" i="1"/>
  <c r="D9333" i="1"/>
  <c r="D9363" i="1"/>
  <c r="D4031" i="1"/>
  <c r="D4116" i="1"/>
  <c r="D24500" i="1"/>
  <c r="D3569" i="1"/>
  <c r="D368" i="1"/>
  <c r="D4209" i="1"/>
  <c r="D26093" i="1"/>
  <c r="D26094" i="1"/>
  <c r="D2845" i="1"/>
  <c r="D18378" i="1"/>
  <c r="D18379" i="1"/>
  <c r="D13190" i="1"/>
  <c r="D13191" i="1"/>
  <c r="D13192" i="1"/>
  <c r="D26440" i="1"/>
  <c r="D26441" i="1"/>
  <c r="D26949" i="1"/>
  <c r="D26950" i="1"/>
  <c r="D26951" i="1"/>
  <c r="D26952" i="1"/>
  <c r="D12439" i="1"/>
  <c r="D17719" i="1"/>
  <c r="D12440" i="1"/>
  <c r="D12441" i="1"/>
  <c r="D23359" i="1"/>
  <c r="D23360" i="1"/>
  <c r="D23361" i="1"/>
  <c r="D23362" i="1"/>
  <c r="D9437" i="1"/>
  <c r="D4496" i="1"/>
  <c r="D18380" i="1"/>
  <c r="D3675" i="1"/>
  <c r="D10428" i="1"/>
  <c r="D4200" i="1"/>
  <c r="D4201" i="1"/>
  <c r="D22054" i="1"/>
  <c r="D7173" i="1"/>
  <c r="D7872" i="1"/>
  <c r="D7174" i="1"/>
  <c r="D7175" i="1"/>
  <c r="D3881" i="1"/>
  <c r="D25512" i="1"/>
  <c r="D22055" i="1"/>
  <c r="D10981" i="1"/>
  <c r="D10982" i="1"/>
  <c r="D15819" i="1"/>
  <c r="D14194" i="1"/>
  <c r="D15271" i="1"/>
  <c r="D15272" i="1"/>
  <c r="D9996" i="1"/>
  <c r="D25659" i="1"/>
  <c r="D25660" i="1"/>
  <c r="D25661" i="1"/>
  <c r="D7176" i="1"/>
  <c r="D10290" i="1"/>
  <c r="D10291" i="1"/>
  <c r="D3116" i="1"/>
  <c r="D3117" i="1"/>
  <c r="D3519" i="1"/>
  <c r="D17994" i="1"/>
  <c r="D5810" i="1"/>
  <c r="D2497" i="1"/>
  <c r="D10429" i="1"/>
  <c r="D22807" i="1"/>
  <c r="D5752" i="1"/>
  <c r="D5753" i="1"/>
  <c r="D26442" i="1"/>
  <c r="D26953" i="1"/>
  <c r="D10072" i="1"/>
  <c r="D10091" i="1"/>
  <c r="D940" i="1"/>
  <c r="D25221" i="1"/>
  <c r="D25222" i="1"/>
  <c r="D941" i="1"/>
  <c r="D17333" i="1"/>
  <c r="D17345" i="1"/>
  <c r="D2472" i="1"/>
  <c r="D2473" i="1"/>
  <c r="D16851" i="1"/>
  <c r="D5905" i="1"/>
  <c r="D5282" i="1"/>
  <c r="D5283" i="1"/>
  <c r="D2846" i="1"/>
  <c r="D942" i="1"/>
  <c r="D4202" i="1"/>
  <c r="D26689" i="1"/>
  <c r="D18381" i="1"/>
  <c r="D1421" i="1"/>
  <c r="D1422" i="1"/>
  <c r="D1423" i="1"/>
  <c r="D1424" i="1"/>
  <c r="D14531" i="1"/>
  <c r="D18714" i="1"/>
  <c r="D943" i="1"/>
  <c r="D944" i="1"/>
  <c r="D26200" i="1"/>
  <c r="D26201" i="1"/>
  <c r="D26095" i="1"/>
  <c r="D26202" i="1"/>
  <c r="D369" i="1"/>
  <c r="D370" i="1"/>
  <c r="D19135" i="1"/>
  <c r="D22056" i="1"/>
  <c r="D13284" i="1"/>
  <c r="D13285" i="1"/>
  <c r="D12915" i="1"/>
  <c r="D15204" i="1"/>
  <c r="D15205" i="1"/>
  <c r="D15206" i="1"/>
  <c r="D15207" i="1"/>
  <c r="D15208" i="1"/>
  <c r="D15209" i="1"/>
  <c r="D15210" i="1"/>
  <c r="D755" i="1"/>
  <c r="D22949" i="1"/>
  <c r="D3889" i="1"/>
  <c r="D8895" i="1"/>
  <c r="D8896" i="1"/>
  <c r="D3895" i="1"/>
  <c r="D4340" i="1"/>
  <c r="D12779" i="1"/>
  <c r="D3855" i="1"/>
  <c r="D3856" i="1"/>
  <c r="D18715" i="1"/>
  <c r="D18716" i="1"/>
  <c r="D18717" i="1"/>
  <c r="D18718" i="1"/>
  <c r="D18719" i="1"/>
  <c r="D18720" i="1"/>
  <c r="D7177" i="1"/>
  <c r="D7873" i="1"/>
  <c r="D7178" i="1"/>
  <c r="D7179" i="1"/>
  <c r="D7180" i="1"/>
  <c r="D7181" i="1"/>
  <c r="D14193" i="1"/>
  <c r="D7182" i="1"/>
  <c r="D7183" i="1"/>
  <c r="D7184" i="1"/>
  <c r="D7185" i="1"/>
  <c r="D7874" i="1"/>
  <c r="D7186" i="1"/>
  <c r="D7875" i="1"/>
  <c r="D7187" i="1"/>
  <c r="D7876" i="1"/>
  <c r="D15045" i="1"/>
  <c r="D8897" i="1"/>
  <c r="D8898" i="1"/>
  <c r="D8899" i="1"/>
  <c r="D15252" i="1"/>
  <c r="D3673" i="1"/>
  <c r="D1193" i="1"/>
  <c r="D1188" i="1"/>
  <c r="D15395" i="1"/>
  <c r="D15396" i="1"/>
  <c r="D15402" i="1"/>
  <c r="D5566" i="1"/>
  <c r="D23363" i="1"/>
  <c r="D5754" i="1"/>
  <c r="D5113" i="1"/>
  <c r="D5126" i="1"/>
  <c r="D4407" i="1"/>
  <c r="D5114" i="1"/>
  <c r="D5127" i="1"/>
  <c r="D8900" i="1"/>
  <c r="D15046" i="1"/>
  <c r="D8901" i="1"/>
  <c r="D8902" i="1"/>
  <c r="D8903" i="1"/>
  <c r="D8904" i="1"/>
  <c r="D8905" i="1"/>
  <c r="D8906" i="1"/>
  <c r="D8907" i="1"/>
  <c r="D8908" i="1"/>
  <c r="D8909" i="1"/>
  <c r="D4704" i="1"/>
  <c r="D7989" i="1"/>
  <c r="D11978" i="1"/>
  <c r="D14170" i="1"/>
  <c r="D10514" i="1"/>
  <c r="D22956" i="1"/>
  <c r="D17516" i="1"/>
  <c r="D25362" i="1"/>
  <c r="D4679" i="1"/>
  <c r="D9956" i="1"/>
  <c r="D17931" i="1"/>
  <c r="D995" i="1"/>
  <c r="D11003" i="1"/>
  <c r="D1264" i="1"/>
  <c r="D12597" i="1"/>
  <c r="D15409" i="1"/>
  <c r="D5674" i="1"/>
  <c r="D615" i="1"/>
  <c r="D8150" i="1"/>
  <c r="D8151" i="1"/>
  <c r="D23364" i="1"/>
  <c r="D23074" i="1"/>
  <c r="D23075" i="1"/>
  <c r="D10321" i="1"/>
  <c r="D10322" i="1"/>
  <c r="D17991" i="1"/>
  <c r="D22909" i="1"/>
  <c r="D2571" i="1"/>
  <c r="D7188" i="1"/>
  <c r="D7877" i="1"/>
  <c r="D7189" i="1"/>
  <c r="D17517" i="1"/>
  <c r="D7190" i="1"/>
  <c r="D7878" i="1"/>
  <c r="D1463" i="1"/>
  <c r="D17932" i="1"/>
  <c r="D17933" i="1"/>
  <c r="D7990" i="1"/>
  <c r="D26275" i="1"/>
  <c r="D8342" i="1"/>
  <c r="D18949" i="1"/>
  <c r="D8284" i="1"/>
  <c r="D4341" i="1"/>
  <c r="D8046" i="1"/>
  <c r="D18406" i="1"/>
  <c r="D18950" i="1"/>
  <c r="D18839" i="1"/>
  <c r="D18951" i="1"/>
  <c r="D18952" i="1"/>
  <c r="D5479" i="1"/>
  <c r="D3249" i="1"/>
  <c r="D8910" i="1"/>
  <c r="D18953" i="1"/>
  <c r="D8259" i="1"/>
  <c r="D8285" i="1"/>
  <c r="D8911" i="1"/>
  <c r="D14600" i="1"/>
  <c r="D11979" i="1"/>
  <c r="D11980" i="1"/>
  <c r="D11974" i="1"/>
  <c r="D11981" i="1"/>
  <c r="D11982" i="1"/>
  <c r="D634" i="1"/>
  <c r="D3582" i="1"/>
  <c r="D18411" i="1"/>
  <c r="D7191" i="1"/>
  <c r="D7879" i="1"/>
  <c r="D7192" i="1"/>
  <c r="D7880" i="1"/>
  <c r="D7193" i="1"/>
  <c r="D7881" i="1"/>
  <c r="D13211" i="1"/>
  <c r="D15020" i="1"/>
  <c r="D4290" i="1"/>
  <c r="D4497" i="1"/>
  <c r="D26954" i="1"/>
  <c r="D26955" i="1"/>
  <c r="D18721" i="1"/>
  <c r="D18722" i="1"/>
  <c r="D3045" i="1"/>
  <c r="D5906" i="1"/>
  <c r="D10965" i="1"/>
  <c r="D2750" i="1"/>
  <c r="D1235" i="1"/>
  <c r="D26539" i="1"/>
  <c r="D26443" i="1"/>
  <c r="D22875" i="1"/>
  <c r="D22876" i="1"/>
  <c r="D22877" i="1"/>
  <c r="D26444" i="1"/>
  <c r="D26956" i="1"/>
  <c r="D26690" i="1"/>
  <c r="D15523" i="1"/>
  <c r="D5284" i="1"/>
  <c r="D2847" i="1"/>
  <c r="D5285" i="1"/>
  <c r="D371" i="1"/>
  <c r="D372" i="1"/>
  <c r="D373" i="1"/>
  <c r="D1157" i="1"/>
  <c r="D1174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5371" i="1"/>
  <c r="D5353" i="1"/>
  <c r="D15524" i="1"/>
  <c r="D26957" i="1"/>
  <c r="D10499" i="1"/>
  <c r="D14936" i="1"/>
  <c r="D945" i="1"/>
  <c r="D398" i="1"/>
  <c r="D399" i="1"/>
  <c r="D400" i="1"/>
  <c r="D25534" i="1"/>
  <c r="D25492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26958" i="1"/>
  <c r="D12660" i="1"/>
  <c r="D858" i="1"/>
  <c r="D870" i="1"/>
  <c r="D883" i="1"/>
  <c r="D11323" i="1"/>
  <c r="D23" i="1"/>
  <c r="D423" i="1"/>
  <c r="D19688" i="1"/>
  <c r="D946" i="1"/>
  <c r="D15865" i="1"/>
  <c r="D14200" i="1"/>
  <c r="D10045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27041" i="1"/>
  <c r="D18034" i="1"/>
  <c r="D18035" i="1"/>
  <c r="D18036" i="1"/>
  <c r="D18037" i="1"/>
  <c r="D17720" i="1"/>
  <c r="D13206" i="1"/>
  <c r="D799" i="1"/>
  <c r="D19113" i="1"/>
  <c r="D19114" i="1"/>
  <c r="D7206" i="1"/>
  <c r="D7882" i="1"/>
  <c r="D14185" i="1"/>
  <c r="D12661" i="1"/>
  <c r="D3517" i="1"/>
  <c r="D18723" i="1"/>
  <c r="D4950" i="1"/>
  <c r="D12662" i="1"/>
  <c r="D5645" i="1"/>
  <c r="D14532" i="1"/>
  <c r="D8088" i="1"/>
  <c r="D12059" i="1"/>
  <c r="D12060" i="1"/>
  <c r="D18765" i="1"/>
  <c r="D14533" i="1"/>
  <c r="D14534" i="1"/>
  <c r="D4602" i="1"/>
  <c r="D26518" i="1"/>
  <c r="D26691" i="1"/>
  <c r="D17752" i="1"/>
  <c r="D1775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14535" i="1"/>
  <c r="D14536" i="1"/>
  <c r="D11324" i="1"/>
  <c r="D11325" i="1"/>
  <c r="D15525" i="1"/>
  <c r="D15899" i="1"/>
  <c r="D5286" i="1"/>
  <c r="D26445" i="1"/>
  <c r="D5287" i="1"/>
  <c r="D26959" i="1"/>
  <c r="D2848" i="1"/>
  <c r="D26096" i="1"/>
  <c r="D26097" i="1"/>
  <c r="D26098" i="1"/>
  <c r="D26099" i="1"/>
  <c r="D3405" i="1"/>
  <c r="D4167" i="1"/>
  <c r="D4173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13929" i="1"/>
  <c r="D13930" i="1"/>
  <c r="D18998" i="1"/>
  <c r="D14631" i="1"/>
  <c r="D3684" i="1"/>
  <c r="D14479" i="1"/>
  <c r="D13080" i="1"/>
  <c r="D13081" i="1"/>
  <c r="D24362" i="1"/>
  <c r="D4291" i="1"/>
  <c r="D22910" i="1"/>
  <c r="D3570" i="1"/>
  <c r="D16803" i="1"/>
  <c r="D16804" i="1"/>
  <c r="D16805" i="1"/>
  <c r="D5683" i="1"/>
  <c r="D5684" i="1"/>
  <c r="D17673" i="1"/>
  <c r="D11924" i="1"/>
  <c r="D4498" i="1"/>
  <c r="D4603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10941" i="1"/>
  <c r="D18724" i="1"/>
  <c r="D18725" i="1"/>
  <c r="D18726" i="1"/>
  <c r="D18727" i="1"/>
  <c r="D9973" i="1"/>
  <c r="D25662" i="1"/>
  <c r="D10437" i="1"/>
  <c r="D9980" i="1"/>
  <c r="D9981" i="1"/>
  <c r="D9986" i="1"/>
  <c r="D9987" i="1"/>
  <c r="D9997" i="1"/>
  <c r="D27064" i="1"/>
  <c r="D740" i="1"/>
  <c r="D9988" i="1"/>
  <c r="D9989" i="1"/>
  <c r="D9998" i="1"/>
  <c r="D7219" i="1"/>
  <c r="D7883" i="1"/>
  <c r="D7220" i="1"/>
  <c r="D7884" i="1"/>
  <c r="D7221" i="1"/>
  <c r="D7885" i="1"/>
  <c r="D7222" i="1"/>
  <c r="D7223" i="1"/>
  <c r="D7886" i="1"/>
  <c r="D7887" i="1"/>
  <c r="D7224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2704" i="1"/>
  <c r="D17934" i="1"/>
  <c r="D17935" i="1"/>
  <c r="D17936" i="1"/>
  <c r="D3261" i="1"/>
  <c r="D11927" i="1"/>
  <c r="D25726" i="1"/>
  <c r="D25663" i="1"/>
  <c r="D25664" i="1"/>
  <c r="D25727" i="1"/>
  <c r="D25728" i="1"/>
  <c r="D25665" i="1"/>
  <c r="D4292" i="1"/>
  <c r="D4293" i="1"/>
  <c r="D4738" i="1"/>
  <c r="D7225" i="1"/>
  <c r="D7226" i="1"/>
  <c r="D7227" i="1"/>
  <c r="D7228" i="1"/>
  <c r="D7229" i="1"/>
  <c r="D529" i="1"/>
  <c r="D530" i="1"/>
  <c r="D531" i="1"/>
  <c r="D532" i="1"/>
  <c r="D533" i="1"/>
  <c r="D534" i="1"/>
  <c r="D535" i="1"/>
  <c r="D12025" i="1"/>
  <c r="D24" i="1"/>
  <c r="D12451" i="1"/>
  <c r="D22878" i="1"/>
  <c r="D504" i="1"/>
  <c r="D505" i="1"/>
  <c r="D25" i="1"/>
  <c r="D18382" i="1"/>
  <c r="D18575" i="1"/>
  <c r="D15477" i="1"/>
  <c r="D25090" i="1"/>
  <c r="D25091" i="1"/>
  <c r="D2413" i="1"/>
  <c r="D2414" i="1"/>
  <c r="D7230" i="1"/>
  <c r="D7888" i="1"/>
  <c r="D7231" i="1"/>
  <c r="D7232" i="1"/>
  <c r="D14802" i="1"/>
  <c r="D14803" i="1"/>
  <c r="D14804" i="1"/>
  <c r="D12400" i="1"/>
  <c r="D12401" i="1"/>
  <c r="D12402" i="1"/>
  <c r="D15321" i="1"/>
  <c r="D3520" i="1"/>
  <c r="D25092" i="1"/>
  <c r="D22921" i="1"/>
  <c r="D25093" i="1"/>
  <c r="D25094" i="1"/>
  <c r="D5115" i="1"/>
  <c r="D5128" i="1"/>
  <c r="D7233" i="1"/>
  <c r="D7234" i="1"/>
  <c r="D7235" i="1"/>
  <c r="D7236" i="1"/>
  <c r="D25095" i="1"/>
  <c r="D25096" i="1"/>
  <c r="D17647" i="1"/>
  <c r="D3857" i="1"/>
  <c r="D11881" i="1"/>
  <c r="D12586" i="1"/>
  <c r="D660" i="1"/>
  <c r="D25317" i="1"/>
  <c r="D3825" i="1"/>
  <c r="D11868" i="1"/>
  <c r="D23497" i="1"/>
  <c r="D3858" i="1"/>
  <c r="D4986" i="1"/>
  <c r="D4604" i="1"/>
  <c r="D17518" i="1"/>
  <c r="D17519" i="1"/>
  <c r="D17520" i="1"/>
  <c r="D17521" i="1"/>
  <c r="D17522" i="1"/>
  <c r="D17523" i="1"/>
  <c r="D19312" i="1"/>
  <c r="D19322" i="1"/>
  <c r="D5586" i="1"/>
  <c r="D19313" i="1"/>
  <c r="D19323" i="1"/>
  <c r="D10143" i="1"/>
  <c r="D4154" i="1"/>
  <c r="D5652" i="1"/>
  <c r="D18728" i="1"/>
  <c r="D18729" i="1"/>
  <c r="D18730" i="1"/>
  <c r="D18731" i="1"/>
  <c r="D5288" i="1"/>
  <c r="D13286" i="1"/>
  <c r="D26692" i="1"/>
  <c r="D26960" i="1"/>
  <c r="D15526" i="1"/>
  <c r="D26519" i="1"/>
  <c r="D15527" i="1"/>
  <c r="D16862" i="1"/>
  <c r="D26100" i="1"/>
  <c r="D26101" i="1"/>
  <c r="D26102" i="1"/>
  <c r="D26103" i="1"/>
  <c r="D26104" i="1"/>
  <c r="D26105" i="1"/>
  <c r="D26178" i="1"/>
  <c r="D5354" i="1"/>
  <c r="D26106" i="1"/>
  <c r="D26179" i="1"/>
  <c r="D26180" i="1"/>
  <c r="D25842" i="1"/>
  <c r="D26107" i="1"/>
  <c r="D26210" i="1"/>
  <c r="D27038" i="1"/>
  <c r="D26108" i="1"/>
  <c r="D3873" i="1"/>
  <c r="D9716" i="1"/>
  <c r="D2439" i="1"/>
  <c r="D672" i="1"/>
  <c r="D12407" i="1"/>
  <c r="D7976" i="1"/>
  <c r="D3859" i="1"/>
  <c r="D26635" i="1"/>
  <c r="D12420" i="1"/>
  <c r="D12663" i="1"/>
  <c r="D19420" i="1"/>
  <c r="D12448" i="1"/>
  <c r="D25223" i="1"/>
  <c r="D5355" i="1"/>
  <c r="D19707" i="1"/>
  <c r="D583" i="1"/>
  <c r="D5289" i="1"/>
  <c r="D26520" i="1"/>
  <c r="D26109" i="1"/>
  <c r="D26110" i="1"/>
  <c r="D26693" i="1"/>
  <c r="D10478" i="1"/>
  <c r="D18509" i="1"/>
  <c r="D17648" i="1"/>
  <c r="D17649" i="1"/>
  <c r="D9824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" i="1"/>
  <c r="D947" i="1"/>
  <c r="D9732" i="1"/>
  <c r="D9733" i="1"/>
  <c r="D26111" i="1"/>
  <c r="D26112" i="1"/>
  <c r="D26113" i="1"/>
  <c r="D10246" i="1"/>
  <c r="D10247" i="1"/>
  <c r="D13287" i="1"/>
  <c r="D3507" i="1"/>
  <c r="D3085" i="1"/>
  <c r="D4661" i="1"/>
  <c r="D506" i="1"/>
  <c r="D507" i="1"/>
  <c r="D508" i="1"/>
  <c r="D509" i="1"/>
  <c r="D510" i="1"/>
  <c r="D511" i="1"/>
  <c r="D3515" i="1"/>
  <c r="D19013" i="1"/>
  <c r="D19026" i="1"/>
  <c r="D19014" i="1"/>
  <c r="D10438" i="1"/>
  <c r="D12413" i="1"/>
  <c r="D7237" i="1"/>
  <c r="D7889" i="1"/>
  <c r="D7238" i="1"/>
  <c r="D7239" i="1"/>
  <c r="D7890" i="1"/>
  <c r="D7240" i="1"/>
  <c r="D7891" i="1"/>
  <c r="D7241" i="1"/>
  <c r="D7892" i="1"/>
  <c r="D2587" i="1"/>
  <c r="D4662" i="1"/>
  <c r="D15368" i="1"/>
  <c r="D4680" i="1"/>
  <c r="D4675" i="1"/>
  <c r="D4663" i="1"/>
  <c r="D5009" i="1"/>
  <c r="D4080" i="1"/>
  <c r="D4117" i="1"/>
  <c r="D7242" i="1"/>
  <c r="D7893" i="1"/>
  <c r="D7894" i="1"/>
  <c r="D7895" i="1"/>
  <c r="D7243" i="1"/>
  <c r="D17611" i="1"/>
  <c r="D17612" i="1"/>
  <c r="D22950" i="1"/>
  <c r="D13288" i="1"/>
  <c r="D13289" i="1"/>
  <c r="D923" i="1"/>
  <c r="D2849" i="1"/>
  <c r="D15528" i="1"/>
  <c r="D18732" i="1"/>
  <c r="D18733" i="1"/>
  <c r="D13290" i="1"/>
  <c r="D22879" i="1"/>
  <c r="D26521" i="1"/>
  <c r="D2393" i="1"/>
  <c r="D4931" i="1"/>
  <c r="D10464" i="1"/>
  <c r="D9999" i="1"/>
  <c r="D3862" i="1"/>
  <c r="D3863" i="1"/>
  <c r="D5525" i="1"/>
  <c r="D18383" i="1"/>
  <c r="D12050" i="1"/>
  <c r="D17524" i="1"/>
  <c r="D17525" i="1"/>
  <c r="D17526" i="1"/>
  <c r="D17527" i="1"/>
  <c r="D17528" i="1"/>
  <c r="D17529" i="1"/>
  <c r="D7244" i="1"/>
  <c r="D7245" i="1"/>
  <c r="D7246" i="1"/>
  <c r="D7247" i="1"/>
  <c r="D14137" i="1"/>
  <c r="D5864" i="1"/>
  <c r="D23048" i="1"/>
  <c r="D23365" i="1"/>
  <c r="D23366" i="1"/>
  <c r="D23197" i="1"/>
  <c r="D23367" i="1"/>
  <c r="D4759" i="1"/>
  <c r="D4760" i="1"/>
  <c r="D8168" i="1"/>
  <c r="D8180" i="1"/>
  <c r="D736" i="1"/>
  <c r="D13082" i="1"/>
  <c r="D13083" i="1"/>
  <c r="D10233" i="1"/>
  <c r="D26265" i="1"/>
  <c r="D5526" i="1"/>
  <c r="D4589" i="1"/>
  <c r="D4591" i="1"/>
  <c r="D4594" i="1"/>
  <c r="D9521" i="1"/>
  <c r="D9522" i="1"/>
  <c r="D9523" i="1"/>
  <c r="D18118" i="1"/>
  <c r="D25573" i="1"/>
  <c r="D15416" i="1"/>
  <c r="D12705" i="1"/>
  <c r="D10302" i="1"/>
  <c r="D7248" i="1"/>
  <c r="D7249" i="1"/>
  <c r="D7896" i="1"/>
  <c r="D1109" i="1"/>
  <c r="D12664" i="1"/>
  <c r="D12665" i="1"/>
  <c r="D12666" i="1"/>
  <c r="D12667" i="1"/>
  <c r="D7250" i="1"/>
  <c r="D7251" i="1"/>
  <c r="D7897" i="1"/>
  <c r="D15123" i="1"/>
  <c r="D15211" i="1"/>
  <c r="D15212" i="1"/>
  <c r="D7252" i="1"/>
  <c r="D7253" i="1"/>
  <c r="D10092" i="1"/>
  <c r="D10093" i="1"/>
  <c r="D8152" i="1"/>
  <c r="D8111" i="1"/>
  <c r="D8112" i="1"/>
  <c r="D8113" i="1"/>
  <c r="D8153" i="1"/>
  <c r="D1110" i="1"/>
  <c r="D1111" i="1"/>
  <c r="D9334" i="1"/>
  <c r="D9364" i="1"/>
  <c r="D13150" i="1"/>
  <c r="D11852" i="1"/>
  <c r="D11853" i="1"/>
  <c r="D11828" i="1"/>
  <c r="D12453" i="1"/>
  <c r="D10628" i="1"/>
  <c r="D10697" i="1"/>
  <c r="D10698" i="1"/>
  <c r="D10664" i="1"/>
  <c r="D4664" i="1"/>
  <c r="D9407" i="1"/>
  <c r="D7254" i="1"/>
  <c r="D7898" i="1"/>
  <c r="D18168" i="1"/>
  <c r="D15336" i="1"/>
  <c r="D15337" i="1"/>
  <c r="D18158" i="1"/>
  <c r="D15831" i="1"/>
  <c r="D18119" i="1"/>
  <c r="D18120" i="1"/>
  <c r="D1112" i="1"/>
  <c r="D1113" i="1"/>
  <c r="D7255" i="1"/>
  <c r="D7256" i="1"/>
  <c r="D7257" i="1"/>
  <c r="D26203" i="1"/>
  <c r="D26211" i="1"/>
  <c r="D26204" i="1"/>
  <c r="D26212" i="1"/>
  <c r="D25844" i="1"/>
  <c r="D26114" i="1"/>
  <c r="D26213" i="1"/>
  <c r="D26115" i="1"/>
  <c r="D26214" i="1"/>
  <c r="D26215" i="1"/>
  <c r="D26216" i="1"/>
  <c r="D26217" i="1"/>
  <c r="D7258" i="1"/>
  <c r="D4408" i="1"/>
  <c r="D4410" i="1"/>
  <c r="D7259" i="1"/>
  <c r="D25493" i="1"/>
  <c r="D24002" i="1"/>
  <c r="D24003" i="1"/>
  <c r="D24004" i="1"/>
  <c r="D3046" i="1"/>
  <c r="D16037" i="1"/>
  <c r="D16038" i="1"/>
  <c r="D16039" i="1"/>
  <c r="D16040" i="1"/>
  <c r="D3047" i="1"/>
  <c r="D3048" i="1"/>
  <c r="D3049" i="1"/>
  <c r="D16041" i="1"/>
  <c r="D24005" i="1"/>
  <c r="D24006" i="1"/>
  <c r="D24007" i="1"/>
  <c r="D24008" i="1"/>
  <c r="D24009" i="1"/>
  <c r="D24010" i="1"/>
  <c r="D24011" i="1"/>
  <c r="D24012" i="1"/>
  <c r="D24013" i="1"/>
  <c r="D24014" i="1"/>
  <c r="D24015" i="1"/>
  <c r="D16042" i="1"/>
  <c r="D24016" i="1"/>
  <c r="D24017" i="1"/>
  <c r="D16043" i="1"/>
  <c r="D16044" i="1"/>
  <c r="D16045" i="1"/>
  <c r="D24018" i="1"/>
  <c r="D24019" i="1"/>
  <c r="D24020" i="1"/>
  <c r="D24021" i="1"/>
  <c r="D17584" i="1"/>
  <c r="D3118" i="1"/>
  <c r="D24022" i="1"/>
  <c r="D24023" i="1"/>
  <c r="D24024" i="1"/>
  <c r="D24025" i="1"/>
  <c r="D24026" i="1"/>
  <c r="D24027" i="1"/>
  <c r="D24028" i="1"/>
  <c r="D24029" i="1"/>
  <c r="D24030" i="1"/>
  <c r="D24031" i="1"/>
  <c r="D5755" i="1"/>
  <c r="D5756" i="1"/>
  <c r="D3959" i="1"/>
  <c r="D3960" i="1"/>
  <c r="D3961" i="1"/>
  <c r="D19673" i="1"/>
  <c r="D15047" i="1"/>
  <c r="D11941" i="1"/>
  <c r="D11942" i="1"/>
  <c r="D11952" i="1"/>
  <c r="D11937" i="1"/>
  <c r="D11953" i="1"/>
  <c r="D2516" i="1"/>
  <c r="D7260" i="1"/>
  <c r="D7261" i="1"/>
  <c r="D7262" i="1"/>
  <c r="D7263" i="1"/>
  <c r="D7264" i="1"/>
  <c r="D10699" i="1"/>
  <c r="D10630" i="1"/>
  <c r="D10700" i="1"/>
  <c r="D10701" i="1"/>
  <c r="D10649" i="1"/>
  <c r="D10702" i="1"/>
  <c r="D10650" i="1"/>
  <c r="D10636" i="1"/>
  <c r="D10703" i="1"/>
  <c r="D10704" i="1"/>
  <c r="D10705" i="1"/>
  <c r="D24032" i="1"/>
  <c r="D24033" i="1"/>
  <c r="D24034" i="1"/>
  <c r="D1195" i="1"/>
  <c r="D26636" i="1"/>
  <c r="D24459" i="1"/>
  <c r="D4676" i="1"/>
  <c r="D26276" i="1"/>
  <c r="D570" i="1"/>
  <c r="D18734" i="1"/>
  <c r="D1425" i="1"/>
  <c r="D1426" i="1"/>
  <c r="D1427" i="1"/>
  <c r="D1428" i="1"/>
  <c r="D19079" i="1"/>
  <c r="D8212" i="1"/>
  <c r="D15453" i="1"/>
  <c r="D15454" i="1"/>
  <c r="D15455" i="1"/>
  <c r="D4032" i="1"/>
  <c r="D12501" i="1"/>
  <c r="D14466" i="1"/>
  <c r="D7265" i="1"/>
  <c r="D7899" i="1"/>
  <c r="D12668" i="1"/>
  <c r="D2517" i="1"/>
  <c r="D5646" i="1"/>
  <c r="D5647" i="1"/>
  <c r="D16148" i="1"/>
  <c r="D8047" i="1"/>
  <c r="D8048" i="1"/>
  <c r="D9297" i="1"/>
  <c r="D9310" i="1"/>
  <c r="D9298" i="1"/>
  <c r="D9311" i="1"/>
  <c r="D9299" i="1"/>
  <c r="D9312" i="1"/>
  <c r="D16136" i="1"/>
  <c r="D16137" i="1"/>
  <c r="D10515" i="1"/>
  <c r="D12403" i="1"/>
  <c r="D11801" i="1"/>
  <c r="D25097" i="1"/>
  <c r="D25098" i="1"/>
  <c r="D23368" i="1"/>
  <c r="D23369" i="1"/>
  <c r="D23049" i="1"/>
  <c r="D23370" i="1"/>
  <c r="D23371" i="1"/>
  <c r="D10025" i="1"/>
  <c r="D10026" i="1"/>
  <c r="D25099" i="1"/>
  <c r="D14862" i="1"/>
  <c r="D14863" i="1"/>
  <c r="D14864" i="1"/>
  <c r="D25100" i="1"/>
  <c r="D12212" i="1"/>
  <c r="D13019" i="1"/>
  <c r="D13020" i="1"/>
  <c r="D13021" i="1"/>
  <c r="D13022" i="1"/>
  <c r="D13023" i="1"/>
  <c r="D7266" i="1"/>
  <c r="D7900" i="1"/>
  <c r="D23050" i="1"/>
  <c r="D23372" i="1"/>
  <c r="D23001" i="1"/>
  <c r="D23090" i="1"/>
  <c r="D23373" i="1"/>
  <c r="D23374" i="1"/>
  <c r="D23375" i="1"/>
  <c r="D23002" i="1"/>
  <c r="D23051" i="1"/>
  <c r="D23376" i="1"/>
  <c r="D23052" i="1"/>
  <c r="D23377" i="1"/>
  <c r="D15265" i="1"/>
  <c r="D2498" i="1"/>
  <c r="D10942" i="1"/>
  <c r="D7267" i="1"/>
  <c r="D12847" i="1"/>
  <c r="D12848" i="1"/>
  <c r="D12849" i="1"/>
  <c r="D12850" i="1"/>
  <c r="D12851" i="1"/>
  <c r="D12852" i="1"/>
  <c r="D9217" i="1"/>
  <c r="D9218" i="1"/>
  <c r="D9219" i="1"/>
  <c r="D18735" i="1"/>
  <c r="D638" i="1"/>
  <c r="D3050" i="1"/>
  <c r="D3051" i="1"/>
  <c r="D3052" i="1"/>
  <c r="D9220" i="1"/>
  <c r="D4352" i="1"/>
  <c r="D3053" i="1"/>
  <c r="D3054" i="1"/>
  <c r="D3055" i="1"/>
  <c r="D3056" i="1"/>
  <c r="D9221" i="1"/>
  <c r="D26446" i="1"/>
  <c r="D26961" i="1"/>
  <c r="D4553" i="1"/>
  <c r="D4557" i="1"/>
  <c r="D3892" i="1"/>
  <c r="D3885" i="1"/>
  <c r="D12960" i="1"/>
  <c r="D12973" i="1"/>
  <c r="D13024" i="1"/>
  <c r="D13111" i="1"/>
  <c r="D13101" i="1"/>
  <c r="D13025" i="1"/>
  <c r="D1468" i="1"/>
  <c r="D3452" i="1"/>
  <c r="D17530" i="1"/>
  <c r="D10380" i="1"/>
  <c r="D11990" i="1"/>
  <c r="D11004" i="1"/>
  <c r="D26637" i="1"/>
  <c r="D26638" i="1"/>
  <c r="D26639" i="1"/>
  <c r="D26447" i="1"/>
  <c r="D1429" i="1"/>
  <c r="D1430" i="1"/>
  <c r="D18384" i="1"/>
  <c r="D1431" i="1"/>
  <c r="D1432" i="1"/>
  <c r="D26962" i="1"/>
  <c r="D10943" i="1"/>
  <c r="D9391" i="1"/>
  <c r="D3962" i="1"/>
  <c r="D3963" i="1"/>
  <c r="D12502" i="1"/>
  <c r="D12503" i="1"/>
  <c r="D24347" i="1"/>
  <c r="D4499" i="1"/>
  <c r="D4294" i="1"/>
  <c r="D8049" i="1"/>
  <c r="D22057" i="1"/>
  <c r="D22058" i="1"/>
  <c r="D22059" i="1"/>
  <c r="D22060" i="1"/>
  <c r="D22061" i="1"/>
  <c r="D22062" i="1"/>
  <c r="D22063" i="1"/>
  <c r="D22064" i="1"/>
  <c r="D22065" i="1"/>
  <c r="D22066" i="1"/>
  <c r="D11326" i="1"/>
  <c r="D948" i="1"/>
  <c r="D11327" i="1"/>
  <c r="D11328" i="1"/>
  <c r="D11329" i="1"/>
  <c r="D22067" i="1"/>
  <c r="D22068" i="1"/>
  <c r="D22069" i="1"/>
  <c r="D22070" i="1"/>
  <c r="D22071" i="1"/>
  <c r="D22072" i="1"/>
  <c r="D22073" i="1"/>
  <c r="D22074" i="1"/>
  <c r="D22075" i="1"/>
  <c r="D22076" i="1"/>
  <c r="D22077" i="1"/>
  <c r="D22078" i="1"/>
  <c r="D22079" i="1"/>
  <c r="D22080" i="1"/>
  <c r="D22081" i="1"/>
  <c r="D22082" i="1"/>
  <c r="D22083" i="1"/>
  <c r="D26640" i="1"/>
  <c r="D22084" i="1"/>
  <c r="D22085" i="1"/>
  <c r="D22086" i="1"/>
  <c r="D11330" i="1"/>
  <c r="D11331" i="1"/>
  <c r="D22087" i="1"/>
  <c r="D26963" i="1"/>
  <c r="D11332" i="1"/>
  <c r="D11333" i="1"/>
  <c r="D11334" i="1"/>
  <c r="D22088" i="1"/>
  <c r="D22089" i="1"/>
  <c r="D22090" i="1"/>
  <c r="D22091" i="1"/>
  <c r="D22092" i="1"/>
  <c r="D22093" i="1"/>
  <c r="D11335" i="1"/>
  <c r="D22094" i="1"/>
  <c r="D22095" i="1"/>
  <c r="D22096" i="1"/>
  <c r="D11336" i="1"/>
  <c r="D11337" i="1"/>
  <c r="D22097" i="1"/>
  <c r="D11338" i="1"/>
  <c r="D11339" i="1"/>
  <c r="D25204" i="1"/>
  <c r="D15338" i="1"/>
  <c r="D16149" i="1"/>
  <c r="D18159" i="1"/>
  <c r="D18183" i="1"/>
  <c r="D5290" i="1"/>
  <c r="D5356" i="1"/>
  <c r="D928" i="1"/>
  <c r="D5291" i="1"/>
  <c r="D11679" i="1"/>
  <c r="D26964" i="1"/>
  <c r="D26965" i="1"/>
  <c r="D26966" i="1"/>
  <c r="D26967" i="1"/>
  <c r="D11340" i="1"/>
  <c r="D11341" i="1"/>
  <c r="D9734" i="1"/>
  <c r="D9882" i="1"/>
  <c r="D11342" i="1"/>
  <c r="D11343" i="1"/>
  <c r="D22098" i="1"/>
  <c r="D22099" i="1"/>
  <c r="D22100" i="1"/>
  <c r="D22101" i="1"/>
  <c r="D22102" i="1"/>
  <c r="D22103" i="1"/>
  <c r="D22104" i="1"/>
  <c r="D22105" i="1"/>
  <c r="D22106" i="1"/>
  <c r="D22107" i="1"/>
  <c r="D22108" i="1"/>
  <c r="D22109" i="1"/>
  <c r="D22110" i="1"/>
  <c r="D22111" i="1"/>
  <c r="D22112" i="1"/>
  <c r="D22113" i="1"/>
  <c r="D22114" i="1"/>
  <c r="D22115" i="1"/>
  <c r="D22116" i="1"/>
  <c r="D22117" i="1"/>
  <c r="D22118" i="1"/>
  <c r="D22119" i="1"/>
  <c r="D22120" i="1"/>
  <c r="D22121" i="1"/>
  <c r="D22122" i="1"/>
  <c r="D22123" i="1"/>
  <c r="D22124" i="1"/>
  <c r="D22125" i="1"/>
  <c r="D22126" i="1"/>
  <c r="D22127" i="1"/>
  <c r="D22128" i="1"/>
  <c r="D22129" i="1"/>
  <c r="D22130" i="1"/>
  <c r="D22131" i="1"/>
  <c r="D22132" i="1"/>
  <c r="D22133" i="1"/>
  <c r="D22134" i="1"/>
  <c r="D22135" i="1"/>
  <c r="D22136" i="1"/>
  <c r="D12424" i="1"/>
  <c r="D23378" i="1"/>
  <c r="D23110" i="1"/>
  <c r="D23091" i="1"/>
  <c r="D23379" i="1"/>
  <c r="D23380" i="1"/>
  <c r="D23163" i="1"/>
  <c r="D23381" i="1"/>
  <c r="D10055" i="1"/>
  <c r="D727" i="1"/>
  <c r="D12213" i="1"/>
  <c r="D12214" i="1"/>
  <c r="D5954" i="1"/>
  <c r="D5955" i="1"/>
  <c r="D5798" i="1"/>
  <c r="D5799" i="1"/>
  <c r="D5800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5960" i="1"/>
  <c r="D5961" i="1"/>
  <c r="D5962" i="1"/>
  <c r="D14047" i="1"/>
  <c r="D14051" i="1"/>
  <c r="D13923" i="1"/>
  <c r="D19104" i="1"/>
  <c r="D3624" i="1"/>
  <c r="D14916" i="1"/>
  <c r="D14917" i="1"/>
  <c r="D14918" i="1"/>
  <c r="D14919" i="1"/>
  <c r="D14920" i="1"/>
  <c r="D14921" i="1"/>
  <c r="D14922" i="1"/>
  <c r="D12215" i="1"/>
  <c r="D12216" i="1"/>
  <c r="D12217" i="1"/>
  <c r="D12218" i="1"/>
  <c r="D12301" i="1"/>
  <c r="D12302" i="1"/>
  <c r="D12303" i="1"/>
  <c r="D12304" i="1"/>
  <c r="D12305" i="1"/>
  <c r="D15866" i="1"/>
  <c r="D9735" i="1"/>
  <c r="D11344" i="1"/>
  <c r="D12219" i="1"/>
  <c r="D12220" i="1"/>
  <c r="D12221" i="1"/>
  <c r="D12222" i="1"/>
  <c r="D12223" i="1"/>
  <c r="D12224" i="1"/>
  <c r="D12225" i="1"/>
  <c r="D12226" i="1"/>
  <c r="D12227" i="1"/>
  <c r="D11345" i="1"/>
  <c r="D11548" i="1"/>
  <c r="D11346" i="1"/>
  <c r="D11759" i="1"/>
  <c r="D11729" i="1"/>
  <c r="D11730" i="1"/>
  <c r="D11748" i="1"/>
  <c r="D11731" i="1"/>
  <c r="D18385" i="1"/>
  <c r="D25224" i="1"/>
  <c r="D25225" i="1"/>
  <c r="D5567" i="1"/>
  <c r="D16150" i="1"/>
  <c r="D747" i="1"/>
  <c r="D2626" i="1"/>
  <c r="D12061" i="1"/>
  <c r="D12062" i="1"/>
  <c r="D26968" i="1"/>
  <c r="D3874" i="1"/>
  <c r="D15529" i="1"/>
  <c r="D10500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26969" i="1"/>
  <c r="D26970" i="1"/>
  <c r="D26280" i="1"/>
  <c r="D10501" i="1"/>
  <c r="D13942" i="1"/>
  <c r="D4295" i="1"/>
  <c r="D10944" i="1"/>
  <c r="D4296" i="1"/>
  <c r="D22137" i="1"/>
  <c r="D22138" i="1"/>
  <c r="D22139" i="1"/>
  <c r="D22140" i="1"/>
  <c r="D22141" i="1"/>
  <c r="D22142" i="1"/>
  <c r="D22143" i="1"/>
  <c r="D22144" i="1"/>
  <c r="D10363" i="1"/>
  <c r="D10364" i="1"/>
  <c r="D22145" i="1"/>
  <c r="D22146" i="1"/>
  <c r="D22147" i="1"/>
  <c r="D22148" i="1"/>
  <c r="D22149" i="1"/>
  <c r="D22150" i="1"/>
  <c r="D22151" i="1"/>
  <c r="D4297" i="1"/>
  <c r="D8912" i="1"/>
  <c r="D8913" i="1"/>
  <c r="D8914" i="1"/>
  <c r="D8915" i="1"/>
  <c r="D12359" i="1"/>
  <c r="D12360" i="1"/>
  <c r="D12361" i="1"/>
  <c r="D12362" i="1"/>
  <c r="D17790" i="1"/>
  <c r="D3788" i="1"/>
  <c r="D3789" i="1"/>
  <c r="D3790" i="1"/>
  <c r="D7292" i="1"/>
  <c r="D7293" i="1"/>
  <c r="D7294" i="1"/>
  <c r="D7295" i="1"/>
  <c r="D7296" i="1"/>
  <c r="D7297" i="1"/>
  <c r="D15456" i="1"/>
  <c r="D8916" i="1"/>
  <c r="D8917" i="1"/>
  <c r="D15457" i="1"/>
  <c r="D15307" i="1"/>
  <c r="D15308" i="1"/>
  <c r="D15213" i="1"/>
  <c r="D753" i="1"/>
  <c r="D14989" i="1"/>
  <c r="D14990" i="1"/>
  <c r="D14991" i="1"/>
  <c r="D14992" i="1"/>
  <c r="D14993" i="1"/>
  <c r="D14994" i="1"/>
  <c r="D14995" i="1"/>
  <c r="D14996" i="1"/>
  <c r="D14997" i="1"/>
  <c r="D14998" i="1"/>
  <c r="D14999" i="1"/>
  <c r="D15000" i="1"/>
  <c r="D15001" i="1"/>
  <c r="D2518" i="1"/>
  <c r="D9222" i="1"/>
  <c r="D9223" i="1"/>
  <c r="D9224" i="1"/>
  <c r="D24035" i="1"/>
  <c r="D24036" i="1"/>
  <c r="D24037" i="1"/>
  <c r="D19279" i="1"/>
  <c r="D19186" i="1"/>
  <c r="D19187" i="1"/>
  <c r="D24038" i="1"/>
  <c r="D10772" i="1"/>
  <c r="D10773" i="1"/>
  <c r="D19188" i="1"/>
  <c r="D19189" i="1"/>
  <c r="D816" i="1"/>
  <c r="D25565" i="1"/>
  <c r="D25566" i="1"/>
  <c r="D9098" i="1"/>
  <c r="D9099" i="1"/>
  <c r="D9100" i="1"/>
  <c r="D23164" i="1"/>
  <c r="D23165" i="1"/>
  <c r="D23166" i="1"/>
  <c r="D23382" i="1"/>
  <c r="D18141" i="1"/>
  <c r="D18142" i="1"/>
  <c r="D1265" i="1"/>
  <c r="D14671" i="1"/>
  <c r="D10774" i="1"/>
  <c r="D10775" i="1"/>
  <c r="D9278" i="1"/>
  <c r="D9279" i="1"/>
  <c r="D9280" i="1"/>
  <c r="D15235" i="1"/>
  <c r="D18834" i="1"/>
  <c r="D25265" i="1"/>
  <c r="D25309" i="1"/>
  <c r="D25266" i="1"/>
  <c r="D25310" i="1"/>
  <c r="D25267" i="1"/>
  <c r="D25311" i="1"/>
  <c r="D24039" i="1"/>
  <c r="D8918" i="1"/>
  <c r="D8221" i="1"/>
  <c r="D9457" i="1"/>
  <c r="D18736" i="1"/>
  <c r="D18737" i="1"/>
  <c r="D18738" i="1"/>
  <c r="D10037" i="1"/>
  <c r="D14171" i="1"/>
  <c r="D8919" i="1"/>
  <c r="D8920" i="1"/>
  <c r="D24040" i="1"/>
  <c r="D24041" i="1"/>
  <c r="D8921" i="1"/>
  <c r="D10413" i="1"/>
  <c r="D8922" i="1"/>
  <c r="D8923" i="1"/>
  <c r="D8387" i="1"/>
  <c r="D8924" i="1"/>
  <c r="D8925" i="1"/>
  <c r="D8926" i="1"/>
  <c r="D8927" i="1"/>
  <c r="D8928" i="1"/>
  <c r="D10776" i="1"/>
  <c r="D10414" i="1"/>
  <c r="D24042" i="1"/>
  <c r="D24043" i="1"/>
  <c r="D8929" i="1"/>
  <c r="D1246" i="1"/>
  <c r="D8265" i="1"/>
  <c r="D8930" i="1"/>
  <c r="D8931" i="1"/>
  <c r="D10415" i="1"/>
  <c r="D24044" i="1"/>
  <c r="D24045" i="1"/>
  <c r="D8932" i="1"/>
  <c r="D4568" i="1"/>
  <c r="D17937" i="1"/>
  <c r="D4342" i="1"/>
  <c r="D4343" i="1"/>
  <c r="D5412" i="1"/>
  <c r="D11623" i="1"/>
  <c r="D11624" i="1"/>
  <c r="D11625" i="1"/>
  <c r="D11626" i="1"/>
  <c r="D11627" i="1"/>
  <c r="D5394" i="1"/>
  <c r="D5406" i="1"/>
  <c r="D16126" i="1"/>
  <c r="D16127" i="1"/>
  <c r="D16128" i="1"/>
  <c r="D8933" i="1"/>
  <c r="D24046" i="1"/>
  <c r="D24047" i="1"/>
  <c r="D8934" i="1"/>
  <c r="D8935" i="1"/>
  <c r="D8936" i="1"/>
  <c r="D8937" i="1"/>
  <c r="D5701" i="1"/>
  <c r="D8938" i="1"/>
  <c r="D24048" i="1"/>
  <c r="D24049" i="1"/>
  <c r="D4500" i="1"/>
  <c r="D24050" i="1"/>
  <c r="D24051" i="1"/>
  <c r="D17938" i="1"/>
  <c r="D17939" i="1"/>
  <c r="D10777" i="1"/>
  <c r="D8939" i="1"/>
  <c r="D8940" i="1"/>
  <c r="D10465" i="1"/>
  <c r="D3369" i="1"/>
  <c r="D3370" i="1"/>
  <c r="D13219" i="1"/>
  <c r="D25801" i="1"/>
  <c r="D3371" i="1"/>
  <c r="D3372" i="1"/>
  <c r="D3373" i="1"/>
  <c r="D3374" i="1"/>
  <c r="D10598" i="1"/>
  <c r="D10599" i="1"/>
  <c r="D10600" i="1"/>
  <c r="D10601" i="1"/>
  <c r="D10602" i="1"/>
  <c r="D10603" i="1"/>
  <c r="D10604" i="1"/>
  <c r="D10605" i="1"/>
  <c r="D10606" i="1"/>
  <c r="D3375" i="1"/>
  <c r="D23167" i="1"/>
  <c r="D23383" i="1"/>
  <c r="D23384" i="1"/>
  <c r="D1236" i="1"/>
  <c r="D4392" i="1"/>
  <c r="D3376" i="1"/>
  <c r="D1240" i="1"/>
  <c r="D19280" i="1"/>
  <c r="D19281" i="1"/>
  <c r="D18909" i="1"/>
  <c r="D3391" i="1"/>
  <c r="D19282" i="1"/>
  <c r="D19283" i="1"/>
  <c r="D16071" i="1"/>
  <c r="D2474" i="1"/>
  <c r="D2475" i="1"/>
  <c r="D15563" i="1"/>
  <c r="D3057" i="1"/>
  <c r="D3058" i="1"/>
  <c r="D3059" i="1"/>
  <c r="D18386" i="1"/>
  <c r="D9964" i="1"/>
  <c r="D25101" i="1"/>
  <c r="D5587" i="1"/>
  <c r="D23485" i="1"/>
  <c r="D15410" i="1"/>
  <c r="D24878" i="1"/>
  <c r="D15614" i="1"/>
  <c r="D23453" i="1"/>
  <c r="D7550" i="1"/>
  <c r="D7298" i="1"/>
  <c r="D7901" i="1"/>
  <c r="D7299" i="1"/>
  <c r="D7902" i="1"/>
  <c r="D7300" i="1"/>
  <c r="D25102" i="1"/>
  <c r="D23168" i="1"/>
  <c r="D23385" i="1"/>
  <c r="D19425" i="1"/>
  <c r="D2645" i="1"/>
  <c r="D2646" i="1"/>
  <c r="D14123" i="1"/>
  <c r="D14124" i="1"/>
  <c r="D24460" i="1"/>
  <c r="D24461" i="1"/>
  <c r="D11347" i="1"/>
  <c r="D3423" i="1"/>
  <c r="D24462" i="1"/>
  <c r="D24463" i="1"/>
  <c r="D24464" i="1"/>
  <c r="D24465" i="1"/>
  <c r="D24466" i="1"/>
  <c r="D8343" i="1"/>
  <c r="D8941" i="1"/>
  <c r="D8942" i="1"/>
  <c r="D8344" i="1"/>
  <c r="D8943" i="1"/>
  <c r="D8944" i="1"/>
  <c r="D8945" i="1"/>
  <c r="D8946" i="1"/>
  <c r="D8947" i="1"/>
  <c r="D8948" i="1"/>
  <c r="D8949" i="1"/>
  <c r="D8950" i="1"/>
  <c r="D8951" i="1"/>
  <c r="D8952" i="1"/>
  <c r="D8953" i="1"/>
  <c r="D8388" i="1"/>
  <c r="D8954" i="1"/>
  <c r="D8955" i="1"/>
  <c r="D8956" i="1"/>
  <c r="D5424" i="1"/>
  <c r="D13084" i="1"/>
  <c r="D13085" i="1"/>
  <c r="D18780" i="1"/>
  <c r="D18781" i="1"/>
  <c r="D18782" i="1"/>
  <c r="D7301" i="1"/>
  <c r="D7903" i="1"/>
  <c r="D7302" i="1"/>
  <c r="D7904" i="1"/>
  <c r="D7303" i="1"/>
  <c r="D7905" i="1"/>
  <c r="D3377" i="1"/>
  <c r="D3378" i="1"/>
  <c r="D25205" i="1"/>
  <c r="D683" i="1"/>
  <c r="D4155" i="1"/>
  <c r="D4156" i="1"/>
  <c r="D23643" i="1"/>
  <c r="D4203" i="1"/>
  <c r="D5638" i="1"/>
  <c r="D27043" i="1"/>
  <c r="D27044" i="1"/>
  <c r="D27045" i="1"/>
  <c r="D22152" i="1"/>
  <c r="D22153" i="1"/>
  <c r="D22154" i="1"/>
  <c r="D22155" i="1"/>
  <c r="D22156" i="1"/>
  <c r="D22157" i="1"/>
  <c r="D22158" i="1"/>
  <c r="D22159" i="1"/>
  <c r="D22160" i="1"/>
  <c r="D22161" i="1"/>
  <c r="D22162" i="1"/>
  <c r="D22163" i="1"/>
  <c r="D22164" i="1"/>
  <c r="D22165" i="1"/>
  <c r="D22166" i="1"/>
  <c r="D22167" i="1"/>
  <c r="D22168" i="1"/>
  <c r="D22169" i="1"/>
  <c r="D22170" i="1"/>
  <c r="D22171" i="1"/>
  <c r="D22172" i="1"/>
  <c r="D22173" i="1"/>
  <c r="D22174" i="1"/>
  <c r="D22175" i="1"/>
  <c r="D22176" i="1"/>
  <c r="D22177" i="1"/>
  <c r="D12585" i="1"/>
  <c r="D22911" i="1"/>
  <c r="D22178" i="1"/>
  <c r="D22179" i="1"/>
  <c r="D22180" i="1"/>
  <c r="D22181" i="1"/>
  <c r="D22182" i="1"/>
  <c r="D22183" i="1"/>
  <c r="D22184" i="1"/>
  <c r="D22185" i="1"/>
  <c r="D23638" i="1"/>
  <c r="D23639" i="1"/>
  <c r="D4204" i="1"/>
  <c r="D22186" i="1"/>
  <c r="D7304" i="1"/>
  <c r="D7906" i="1"/>
  <c r="D7305" i="1"/>
  <c r="D7306" i="1"/>
  <c r="D7307" i="1"/>
  <c r="D7907" i="1"/>
  <c r="D7308" i="1"/>
  <c r="D7309" i="1"/>
  <c r="D22187" i="1"/>
  <c r="D22188" i="1"/>
  <c r="D22189" i="1"/>
  <c r="D22190" i="1"/>
  <c r="D22191" i="1"/>
  <c r="D22192" i="1"/>
  <c r="D22193" i="1"/>
  <c r="D22194" i="1"/>
  <c r="D22195" i="1"/>
  <c r="D22196" i="1"/>
  <c r="D22197" i="1"/>
  <c r="D22198" i="1"/>
  <c r="D22199" i="1"/>
  <c r="D22200" i="1"/>
  <c r="D22201" i="1"/>
  <c r="D22202" i="1"/>
  <c r="D22203" i="1"/>
  <c r="D22204" i="1"/>
  <c r="D22205" i="1"/>
  <c r="D22206" i="1"/>
  <c r="D22207" i="1"/>
  <c r="D22208" i="1"/>
  <c r="D22209" i="1"/>
  <c r="D22210" i="1"/>
  <c r="D22211" i="1"/>
  <c r="D22212" i="1"/>
  <c r="D22213" i="1"/>
  <c r="D22214" i="1"/>
  <c r="D22215" i="1"/>
  <c r="D3091" i="1"/>
  <c r="D22216" i="1"/>
  <c r="D22217" i="1"/>
  <c r="D22218" i="1"/>
  <c r="D22219" i="1"/>
  <c r="D22220" i="1"/>
  <c r="D22221" i="1"/>
  <c r="D22222" i="1"/>
  <c r="D22223" i="1"/>
  <c r="D22224" i="1"/>
  <c r="D22225" i="1"/>
  <c r="D22226" i="1"/>
  <c r="D22227" i="1"/>
  <c r="D22228" i="1"/>
  <c r="D22229" i="1"/>
  <c r="D10706" i="1"/>
  <c r="D10707" i="1"/>
  <c r="D13138" i="1"/>
  <c r="D12367" i="1"/>
  <c r="D512" i="1"/>
  <c r="D513" i="1"/>
  <c r="D514" i="1"/>
  <c r="D515" i="1"/>
  <c r="D516" i="1"/>
  <c r="D14188" i="1"/>
  <c r="D22230" i="1"/>
  <c r="D22231" i="1"/>
  <c r="D22232" i="1"/>
  <c r="D22233" i="1"/>
  <c r="D22234" i="1"/>
  <c r="D22235" i="1"/>
  <c r="D22236" i="1"/>
  <c r="D22237" i="1"/>
  <c r="D22238" i="1"/>
  <c r="D22239" i="1"/>
  <c r="D22240" i="1"/>
  <c r="D22241" i="1"/>
  <c r="D22242" i="1"/>
  <c r="D22243" i="1"/>
  <c r="D22244" i="1"/>
  <c r="D22245" i="1"/>
  <c r="D22246" i="1"/>
  <c r="D22247" i="1"/>
  <c r="D22248" i="1"/>
  <c r="D22249" i="1"/>
  <c r="D22250" i="1"/>
  <c r="D22251" i="1"/>
  <c r="D22252" i="1"/>
  <c r="D22253" i="1"/>
  <c r="D22254" i="1"/>
  <c r="D26225" i="1"/>
  <c r="D10708" i="1"/>
  <c r="D2415" i="1"/>
  <c r="D19665" i="1"/>
  <c r="D19667" i="1"/>
  <c r="D24052" i="1"/>
  <c r="D24053" i="1"/>
  <c r="D14714" i="1"/>
  <c r="D17592" i="1"/>
  <c r="D17605" i="1"/>
  <c r="D17606" i="1"/>
  <c r="D24054" i="1"/>
  <c r="D24055" i="1"/>
  <c r="D24056" i="1"/>
  <c r="D24057" i="1"/>
  <c r="D24058" i="1"/>
  <c r="D14205" i="1"/>
  <c r="D14206" i="1"/>
  <c r="D2617" i="1"/>
  <c r="D2618" i="1"/>
  <c r="D2619" i="1"/>
  <c r="D18413" i="1"/>
  <c r="D17940" i="1"/>
  <c r="D3379" i="1"/>
  <c r="D3612" i="1"/>
  <c r="D3613" i="1"/>
  <c r="D10468" i="1"/>
  <c r="D10469" i="1"/>
  <c r="D10180" i="1"/>
  <c r="D10181" i="1"/>
  <c r="D10470" i="1"/>
  <c r="D10471" i="1"/>
  <c r="D25761" i="1"/>
  <c r="D25765" i="1"/>
  <c r="D2685" i="1"/>
  <c r="D3661" i="1"/>
  <c r="D7310" i="1"/>
  <c r="D7311" i="1"/>
  <c r="D7312" i="1"/>
  <c r="D2876" i="1"/>
  <c r="D17941" i="1"/>
  <c r="D4935" i="1"/>
  <c r="D13229" i="1"/>
  <c r="D15319" i="1"/>
  <c r="D15397" i="1"/>
  <c r="D15403" i="1"/>
  <c r="D5591" i="1"/>
  <c r="D7313" i="1"/>
  <c r="D7908" i="1"/>
  <c r="D7314" i="1"/>
  <c r="D7315" i="1"/>
  <c r="D7316" i="1"/>
  <c r="D7317" i="1"/>
  <c r="D7318" i="1"/>
  <c r="D12564" i="1"/>
  <c r="D7319" i="1"/>
  <c r="D7320" i="1"/>
  <c r="D7909" i="1"/>
  <c r="D15856" i="1"/>
  <c r="D25344" i="1"/>
  <c r="D15253" i="1"/>
  <c r="D15318" i="1"/>
  <c r="D22255" i="1"/>
  <c r="D22256" i="1"/>
  <c r="D22257" i="1"/>
  <c r="D22258" i="1"/>
  <c r="D22259" i="1"/>
  <c r="D22260" i="1"/>
  <c r="D22261" i="1"/>
  <c r="D22262" i="1"/>
  <c r="D22263" i="1"/>
  <c r="D22264" i="1"/>
  <c r="D22265" i="1"/>
  <c r="D22266" i="1"/>
  <c r="D22267" i="1"/>
  <c r="D22268" i="1"/>
  <c r="D22269" i="1"/>
  <c r="D22270" i="1"/>
  <c r="D22271" i="1"/>
  <c r="D22272" i="1"/>
  <c r="D22273" i="1"/>
  <c r="D22274" i="1"/>
  <c r="D22275" i="1"/>
  <c r="D22276" i="1"/>
  <c r="D22277" i="1"/>
  <c r="D22278" i="1"/>
  <c r="D22279" i="1"/>
  <c r="D22280" i="1"/>
  <c r="D22281" i="1"/>
  <c r="D13086" i="1"/>
  <c r="D13087" i="1"/>
  <c r="D2519" i="1"/>
  <c r="D11658" i="1"/>
  <c r="D25494" i="1"/>
  <c r="D25495" i="1"/>
  <c r="D11767" i="1"/>
  <c r="D19136" i="1"/>
  <c r="D24467" i="1"/>
  <c r="D24468" i="1"/>
  <c r="D24469" i="1"/>
  <c r="D800" i="1"/>
  <c r="D3614" i="1"/>
  <c r="D3589" i="1"/>
  <c r="D14172" i="1"/>
  <c r="D3463" i="1"/>
  <c r="D4298" i="1"/>
  <c r="D12669" i="1"/>
  <c r="D12920" i="1"/>
  <c r="D3576" i="1"/>
  <c r="D7321" i="1"/>
  <c r="D7910" i="1"/>
  <c r="D7322" i="1"/>
  <c r="D7911" i="1"/>
  <c r="D7323" i="1"/>
  <c r="D7912" i="1"/>
  <c r="D7324" i="1"/>
  <c r="D14805" i="1"/>
  <c r="D10027" i="1"/>
  <c r="D14806" i="1"/>
  <c r="D14807" i="1"/>
  <c r="D14808" i="1"/>
  <c r="D14048" i="1"/>
  <c r="D14052" i="1"/>
  <c r="D1488" i="1"/>
  <c r="D8005" i="1"/>
  <c r="D8006" i="1"/>
  <c r="D11983" i="1"/>
  <c r="D4344" i="1"/>
  <c r="D4333" i="1"/>
  <c r="D4334" i="1"/>
  <c r="D16806" i="1"/>
  <c r="D12733" i="1"/>
  <c r="D12755" i="1"/>
  <c r="D12734" i="1"/>
  <c r="D12735" i="1"/>
  <c r="D7325" i="1"/>
  <c r="D7326" i="1"/>
  <c r="D7913" i="1"/>
  <c r="D25535" i="1"/>
  <c r="D14447" i="1"/>
  <c r="D14364" i="1"/>
  <c r="D14365" i="1"/>
  <c r="D14366" i="1"/>
  <c r="D14367" i="1"/>
  <c r="D14368" i="1"/>
  <c r="D14369" i="1"/>
  <c r="D14370" i="1"/>
  <c r="D14371" i="1"/>
  <c r="D14372" i="1"/>
  <c r="D14373" i="1"/>
  <c r="D14374" i="1"/>
  <c r="D14375" i="1"/>
  <c r="D14376" i="1"/>
  <c r="D14377" i="1"/>
  <c r="D14378" i="1"/>
  <c r="D14379" i="1"/>
  <c r="D14448" i="1"/>
  <c r="D14449" i="1"/>
  <c r="D14380" i="1"/>
  <c r="D14381" i="1"/>
  <c r="D14382" i="1"/>
  <c r="D14383" i="1"/>
  <c r="D14384" i="1"/>
  <c r="D14385" i="1"/>
  <c r="D4299" i="1"/>
  <c r="D4300" i="1"/>
  <c r="D7327" i="1"/>
  <c r="D7914" i="1"/>
  <c r="D13124" i="1"/>
  <c r="D18954" i="1"/>
  <c r="D18955" i="1"/>
  <c r="D18956" i="1"/>
  <c r="D18957" i="1"/>
  <c r="D18958" i="1"/>
  <c r="D24360" i="1"/>
  <c r="D18959" i="1"/>
  <c r="D18960" i="1"/>
  <c r="D18961" i="1"/>
  <c r="D12043" i="1"/>
  <c r="D18962" i="1"/>
  <c r="D18963" i="1"/>
  <c r="D639" i="1"/>
  <c r="D18964" i="1"/>
  <c r="D19426" i="1"/>
  <c r="D11451" i="1"/>
  <c r="D10058" i="1"/>
  <c r="D25666" i="1"/>
  <c r="D25667" i="1"/>
  <c r="D25668" i="1"/>
  <c r="D26971" i="1"/>
  <c r="D26448" i="1"/>
  <c r="D26972" i="1"/>
  <c r="D2627" i="1"/>
  <c r="D2628" i="1"/>
  <c r="D26641" i="1"/>
  <c r="D26973" i="1"/>
  <c r="D26449" i="1"/>
  <c r="D26974" i="1"/>
  <c r="D26116" i="1"/>
  <c r="D26117" i="1"/>
  <c r="D26118" i="1"/>
  <c r="D26119" i="1"/>
  <c r="D26120" i="1"/>
  <c r="D26121" i="1"/>
  <c r="D25843" i="1"/>
  <c r="D26122" i="1"/>
  <c r="D11348" i="1"/>
  <c r="D11349" i="1"/>
  <c r="D11350" i="1"/>
  <c r="D11351" i="1"/>
  <c r="D11352" i="1"/>
  <c r="D11353" i="1"/>
  <c r="D11514" i="1"/>
  <c r="D11354" i="1"/>
  <c r="D11515" i="1"/>
  <c r="D11355" i="1"/>
  <c r="D11516" i="1"/>
  <c r="D5527" i="1"/>
  <c r="D11356" i="1"/>
  <c r="D11517" i="1"/>
  <c r="D11357" i="1"/>
  <c r="D11358" i="1"/>
  <c r="D737" i="1"/>
  <c r="D22282" i="1"/>
  <c r="D22283" i="1"/>
  <c r="D22284" i="1"/>
  <c r="D22285" i="1"/>
  <c r="D22286" i="1"/>
  <c r="D22287" i="1"/>
  <c r="D22288" i="1"/>
  <c r="D22289" i="1"/>
  <c r="D19059" i="1"/>
  <c r="D18999" i="1"/>
  <c r="D11549" i="1"/>
  <c r="D11359" i="1"/>
  <c r="D11518" i="1"/>
  <c r="D11519" i="1"/>
  <c r="D929" i="1"/>
  <c r="D19717" i="1"/>
  <c r="D4346" i="1"/>
  <c r="D4349" i="1"/>
  <c r="D5716" i="1"/>
  <c r="D12017" i="1"/>
  <c r="D3751" i="1"/>
  <c r="D18890" i="1"/>
  <c r="D18891" i="1"/>
  <c r="D12442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12328" i="1"/>
  <c r="D2601" i="1"/>
  <c r="D1266" i="1"/>
  <c r="D26226" i="1"/>
  <c r="D12560" i="1"/>
  <c r="D8017" i="1"/>
  <c r="D18132" i="1"/>
  <c r="D26642" i="1"/>
  <c r="D3119" i="1"/>
  <c r="D3120" i="1"/>
  <c r="D5702" i="1"/>
  <c r="D5703" i="1"/>
  <c r="D5757" i="1"/>
  <c r="D26266" i="1"/>
  <c r="D2647" i="1"/>
  <c r="D2648" i="1"/>
  <c r="D5528" i="1"/>
  <c r="D1196" i="1"/>
  <c r="D25103" i="1"/>
  <c r="D3086" i="1"/>
  <c r="D15214" i="1"/>
  <c r="D15142" i="1"/>
  <c r="D15215" i="1"/>
  <c r="D15124" i="1"/>
  <c r="D15125" i="1"/>
  <c r="D15216" i="1"/>
  <c r="D15217" i="1"/>
  <c r="D15218" i="1"/>
  <c r="D15126" i="1"/>
  <c r="D15219" i="1"/>
  <c r="D15220" i="1"/>
  <c r="D15458" i="1"/>
  <c r="D2608" i="1"/>
  <c r="D24806" i="1"/>
  <c r="D24807" i="1"/>
  <c r="D24808" i="1"/>
  <c r="D24809" i="1"/>
  <c r="D24810" i="1"/>
  <c r="D24811" i="1"/>
  <c r="D24812" i="1"/>
  <c r="D24813" i="1"/>
  <c r="D24814" i="1"/>
  <c r="D24815" i="1"/>
  <c r="D24816" i="1"/>
  <c r="D24817" i="1"/>
  <c r="D24818" i="1"/>
  <c r="D24819" i="1"/>
  <c r="D24820" i="1"/>
  <c r="D24821" i="1"/>
  <c r="D24822" i="1"/>
  <c r="D24823" i="1"/>
  <c r="D24824" i="1"/>
  <c r="D24825" i="1"/>
  <c r="D24826" i="1"/>
  <c r="D24827" i="1"/>
  <c r="D24828" i="1"/>
  <c r="D24829" i="1"/>
  <c r="D24830" i="1"/>
  <c r="D24831" i="1"/>
  <c r="D24832" i="1"/>
  <c r="D24833" i="1"/>
  <c r="D14569" i="1"/>
  <c r="D14570" i="1"/>
  <c r="D14567" i="1"/>
  <c r="D14568" i="1"/>
  <c r="D14571" i="1"/>
  <c r="D14572" i="1"/>
  <c r="D14573" i="1"/>
  <c r="D14574" i="1"/>
  <c r="D14575" i="1"/>
  <c r="D14576" i="1"/>
  <c r="D14577" i="1"/>
  <c r="D14578" i="1"/>
  <c r="D14579" i="1"/>
  <c r="D15389" i="1"/>
  <c r="D11984" i="1"/>
  <c r="D15106" i="1"/>
  <c r="D15107" i="1"/>
  <c r="D15108" i="1"/>
  <c r="D19656" i="1"/>
  <c r="D19657" i="1"/>
  <c r="D5854" i="1"/>
  <c r="D24059" i="1"/>
  <c r="D22290" i="1"/>
  <c r="D22291" i="1"/>
  <c r="D22292" i="1"/>
  <c r="D22293" i="1"/>
  <c r="D22294" i="1"/>
  <c r="D22295" i="1"/>
  <c r="D22296" i="1"/>
  <c r="D22297" i="1"/>
  <c r="D11360" i="1"/>
  <c r="D19284" i="1"/>
  <c r="D19285" i="1"/>
  <c r="D19286" i="1"/>
  <c r="D19287" i="1"/>
  <c r="D11361" i="1"/>
  <c r="D11362" i="1"/>
  <c r="D3646" i="1"/>
  <c r="D19115" i="1"/>
  <c r="D19116" i="1"/>
  <c r="D26643" i="1"/>
  <c r="D15600" i="1"/>
  <c r="D15601" i="1"/>
  <c r="D15602" i="1"/>
  <c r="D15603" i="1"/>
  <c r="D15604" i="1"/>
  <c r="D15605" i="1"/>
  <c r="D27105" i="1"/>
  <c r="D25104" i="1"/>
  <c r="D3521" i="1"/>
  <c r="D25105" i="1"/>
  <c r="D25106" i="1"/>
  <c r="D25107" i="1"/>
  <c r="D25108" i="1"/>
  <c r="D4365" i="1"/>
  <c r="D4377" i="1"/>
  <c r="D25109" i="1"/>
  <c r="D25110" i="1"/>
  <c r="D9141" i="1"/>
  <c r="D15374" i="1"/>
  <c r="D15375" i="1"/>
  <c r="D15376" i="1"/>
  <c r="D10069" i="1"/>
  <c r="D10094" i="1"/>
  <c r="D3265" i="1"/>
  <c r="D3266" i="1"/>
  <c r="D11471" i="1"/>
  <c r="D1189" i="1"/>
  <c r="D4501" i="1"/>
  <c r="D5485" i="1"/>
  <c r="D5486" i="1"/>
  <c r="D5529" i="1"/>
  <c r="D5568" i="1"/>
  <c r="D10491" i="1"/>
  <c r="D10492" i="1"/>
  <c r="D12565" i="1"/>
  <c r="D4387" i="1"/>
  <c r="D17996" i="1"/>
  <c r="D19096" i="1"/>
  <c r="D12504" i="1"/>
  <c r="D17992" i="1"/>
  <c r="D26267" i="1"/>
  <c r="D10894" i="1"/>
  <c r="D19669" i="1"/>
  <c r="D5374" i="1"/>
  <c r="D5375" i="1"/>
  <c r="D5376" i="1"/>
  <c r="D5377" i="1"/>
  <c r="D5378" i="1"/>
  <c r="D5379" i="1"/>
  <c r="D18903" i="1"/>
  <c r="D3705" i="1"/>
  <c r="D9492" i="1"/>
  <c r="D14043" i="1"/>
  <c r="D18739" i="1"/>
  <c r="D18740" i="1"/>
  <c r="D19137" i="1"/>
  <c r="D12670" i="1"/>
  <c r="D26268" i="1"/>
  <c r="D26277" i="1"/>
  <c r="D9883" i="1"/>
  <c r="D1289" i="1"/>
  <c r="D1290" i="1"/>
  <c r="D16151" i="1"/>
  <c r="D4041" i="1"/>
  <c r="D9335" i="1"/>
  <c r="D9365" i="1"/>
  <c r="D25669" i="1"/>
  <c r="D25670" i="1"/>
  <c r="D25189" i="1"/>
  <c r="D23454" i="1"/>
  <c r="D23455" i="1"/>
  <c r="D14173" i="1"/>
  <c r="D14708" i="1"/>
  <c r="D23169" i="1"/>
  <c r="D23386" i="1"/>
  <c r="D23053" i="1"/>
  <c r="D23170" i="1"/>
  <c r="D23387" i="1"/>
  <c r="D7340" i="1"/>
  <c r="D7341" i="1"/>
  <c r="D7342" i="1"/>
  <c r="D25111" i="1"/>
  <c r="D25112" i="1"/>
  <c r="D23171" i="1"/>
  <c r="D13026" i="1"/>
  <c r="D13027" i="1"/>
  <c r="D25113" i="1"/>
  <c r="D23388" i="1"/>
  <c r="D25114" i="1"/>
  <c r="D25115" i="1"/>
  <c r="D10968" i="1"/>
  <c r="D18741" i="1"/>
  <c r="D18742" i="1"/>
  <c r="D25735" i="1"/>
  <c r="D25116" i="1"/>
  <c r="D14003" i="1"/>
  <c r="D14004" i="1"/>
  <c r="D8050" i="1"/>
  <c r="D9884" i="1"/>
  <c r="D9885" i="1"/>
  <c r="D9886" i="1"/>
  <c r="D9887" i="1"/>
  <c r="D9888" i="1"/>
  <c r="D9889" i="1"/>
  <c r="D25117" i="1"/>
  <c r="D11666" i="1"/>
  <c r="D15808" i="1"/>
  <c r="D25118" i="1"/>
  <c r="D7343" i="1"/>
  <c r="D7915" i="1"/>
  <c r="D7344" i="1"/>
  <c r="D7916" i="1"/>
  <c r="D7345" i="1"/>
  <c r="D7917" i="1"/>
  <c r="D25119" i="1"/>
  <c r="D12780" i="1"/>
  <c r="D7346" i="1"/>
  <c r="D7918" i="1"/>
  <c r="D18387" i="1"/>
  <c r="D2499" i="1"/>
  <c r="D9462" i="1"/>
  <c r="D12961" i="1"/>
  <c r="D13028" i="1"/>
  <c r="D13112" i="1"/>
  <c r="D17346" i="1"/>
  <c r="D18743" i="1"/>
  <c r="D5569" i="1"/>
  <c r="D7347" i="1"/>
  <c r="D7348" i="1"/>
  <c r="D7349" i="1"/>
  <c r="D7350" i="1"/>
  <c r="D7351" i="1"/>
  <c r="D7352" i="1"/>
  <c r="D10897" i="1"/>
  <c r="D22298" i="1"/>
  <c r="D17531" i="1"/>
  <c r="D1158" i="1"/>
  <c r="D1175" i="1"/>
  <c r="D27109" i="1"/>
  <c r="D27112" i="1"/>
  <c r="D541" i="1"/>
  <c r="D18744" i="1"/>
  <c r="D18745" i="1"/>
  <c r="D17532" i="1"/>
  <c r="D8051" i="1"/>
  <c r="D17733" i="1"/>
  <c r="D22299" i="1"/>
  <c r="D3665" i="1"/>
  <c r="D11472" i="1"/>
  <c r="D591" i="1"/>
  <c r="D12671" i="1"/>
  <c r="D15564" i="1"/>
  <c r="D26975" i="1"/>
  <c r="D26694" i="1"/>
  <c r="D26976" i="1"/>
  <c r="D15048" i="1"/>
  <c r="D5292" i="1"/>
  <c r="D2751" i="1"/>
  <c r="D5704" i="1"/>
  <c r="D18490" i="1"/>
  <c r="D2752" i="1"/>
  <c r="D22880" i="1"/>
  <c r="D16834" i="1"/>
  <c r="D26450" i="1"/>
  <c r="D26695" i="1"/>
  <c r="D22881" i="1"/>
  <c r="D13291" i="1"/>
  <c r="D5293" i="1"/>
  <c r="D5758" i="1"/>
  <c r="D26977" i="1"/>
  <c r="D26978" i="1"/>
  <c r="D9890" i="1"/>
  <c r="D9891" i="1"/>
  <c r="D9928" i="1"/>
  <c r="D9929" i="1"/>
  <c r="D9930" i="1"/>
  <c r="D9931" i="1"/>
  <c r="D11913" i="1"/>
  <c r="D4459" i="1"/>
  <c r="D26979" i="1"/>
  <c r="D26696" i="1"/>
  <c r="D11914" i="1"/>
  <c r="D11915" i="1"/>
  <c r="D11363" i="1"/>
  <c r="D2850" i="1"/>
  <c r="D26980" i="1"/>
  <c r="D26981" i="1"/>
  <c r="D26549" i="1"/>
  <c r="D26982" i="1"/>
  <c r="D26522" i="1"/>
  <c r="D26983" i="1"/>
  <c r="D3964" i="1"/>
  <c r="D3965" i="1"/>
  <c r="D3966" i="1"/>
  <c r="D26984" i="1"/>
  <c r="D26123" i="1"/>
  <c r="D26124" i="1"/>
  <c r="D26125" i="1"/>
  <c r="D2753" i="1"/>
  <c r="D17791" i="1"/>
  <c r="D17792" i="1"/>
  <c r="D26126" i="1"/>
  <c r="D26127" i="1"/>
  <c r="D26128" i="1"/>
  <c r="D14011" i="1"/>
  <c r="D23530" i="1"/>
  <c r="D7353" i="1"/>
  <c r="D7919" i="1"/>
  <c r="D7354" i="1"/>
  <c r="D7355" i="1"/>
  <c r="D8957" i="1"/>
  <c r="D8958" i="1"/>
  <c r="D8959" i="1"/>
  <c r="D8960" i="1"/>
  <c r="D8961" i="1"/>
  <c r="D8345" i="1"/>
  <c r="D2710" i="1"/>
  <c r="D26985" i="1"/>
  <c r="D8962" i="1"/>
  <c r="D15530" i="1"/>
  <c r="D8963" i="1"/>
  <c r="D8964" i="1"/>
  <c r="D18388" i="1"/>
  <c r="D18389" i="1"/>
  <c r="D26218" i="1"/>
  <c r="D26129" i="1"/>
  <c r="D26130" i="1"/>
  <c r="D8965" i="1"/>
  <c r="D23389" i="1"/>
  <c r="D4129" i="1"/>
  <c r="D26697" i="1"/>
  <c r="D9400" i="1"/>
  <c r="D26986" i="1"/>
  <c r="D10502" i="1"/>
  <c r="D26131" i="1"/>
  <c r="D26132" i="1"/>
  <c r="D26133" i="1"/>
  <c r="D26134" i="1"/>
  <c r="D13973" i="1"/>
  <c r="D949" i="1"/>
  <c r="D5294" i="1"/>
  <c r="D8966" i="1"/>
  <c r="D8967" i="1"/>
  <c r="D8968" i="1"/>
  <c r="D982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17980" i="1"/>
  <c r="D26222" i="1"/>
  <c r="D15266" i="1"/>
  <c r="D15267" i="1"/>
  <c r="D5570" i="1"/>
  <c r="D5530" i="1"/>
  <c r="D2877" i="1"/>
  <c r="D22300" i="1"/>
  <c r="D13958" i="1"/>
  <c r="D13959" i="1"/>
  <c r="D13960" i="1"/>
  <c r="D13955" i="1"/>
  <c r="D13956" i="1"/>
  <c r="D13957" i="1"/>
  <c r="D7356" i="1"/>
  <c r="D7920" i="1"/>
  <c r="D579" i="1"/>
  <c r="D8052" i="1"/>
  <c r="D8982" i="1"/>
  <c r="D3865" i="1"/>
  <c r="D2442" i="1"/>
  <c r="D686" i="1"/>
  <c r="D3182" i="1"/>
  <c r="D3183" i="1"/>
  <c r="D26451" i="1"/>
  <c r="D26987" i="1"/>
  <c r="D11916" i="1"/>
  <c r="D11917" i="1"/>
  <c r="D10475" i="1"/>
  <c r="D15867" i="1"/>
  <c r="D15868" i="1"/>
  <c r="D22882" i="1"/>
  <c r="D22883" i="1"/>
  <c r="D974" i="1"/>
  <c r="D571" i="1"/>
  <c r="D572" i="1"/>
  <c r="D930" i="1"/>
  <c r="D4546" i="1"/>
  <c r="D4554" i="1"/>
  <c r="D7357" i="1"/>
  <c r="D7358" i="1"/>
  <c r="D7921" i="1"/>
  <c r="D25770" i="1"/>
  <c r="D25771" i="1"/>
  <c r="D7359" i="1"/>
  <c r="D7922" i="1"/>
  <c r="D7360" i="1"/>
  <c r="D7361" i="1"/>
  <c r="D7551" i="1"/>
  <c r="D7923" i="1"/>
  <c r="D7362" i="1"/>
  <c r="D764" i="1"/>
  <c r="D8089" i="1"/>
  <c r="D12051" i="1"/>
  <c r="D1159" i="1"/>
  <c r="D1176" i="1"/>
  <c r="D12924" i="1"/>
  <c r="D5357" i="1"/>
  <c r="D26988" i="1"/>
  <c r="D5358" i="1"/>
  <c r="D26989" i="1"/>
  <c r="D26990" i="1"/>
  <c r="D17981" i="1"/>
  <c r="D17982" i="1"/>
  <c r="D11882" i="1"/>
  <c r="D10455" i="1"/>
  <c r="D13088" i="1"/>
  <c r="D13089" i="1"/>
  <c r="D22928" i="1"/>
  <c r="D8274" i="1"/>
  <c r="D16129" i="1"/>
  <c r="D16130" i="1"/>
  <c r="D16131" i="1"/>
  <c r="D5295" i="1"/>
  <c r="D26991" i="1"/>
  <c r="D950" i="1"/>
  <c r="D1433" i="1"/>
  <c r="D22301" i="1"/>
  <c r="D22302" i="1"/>
  <c r="D22303" i="1"/>
  <c r="D22304" i="1"/>
  <c r="D12063" i="1"/>
  <c r="D18038" i="1"/>
  <c r="D18039" i="1"/>
  <c r="D14628" i="1"/>
  <c r="D18040" i="1"/>
  <c r="D18041" i="1"/>
  <c r="D15459" i="1"/>
  <c r="D2457" i="1"/>
  <c r="D801" i="1"/>
  <c r="D4665" i="1"/>
  <c r="D25120" i="1"/>
  <c r="D25121" i="1"/>
  <c r="D17942" i="1"/>
  <c r="D8983" i="1"/>
  <c r="D17943" i="1"/>
  <c r="D9336" i="1"/>
  <c r="D9337" i="1"/>
  <c r="D10046" i="1"/>
  <c r="D15061" i="1"/>
  <c r="D15062" i="1"/>
  <c r="D4301" i="1"/>
  <c r="D4302" i="1"/>
  <c r="D4303" i="1"/>
  <c r="D4033" i="1"/>
  <c r="D4072" i="1"/>
  <c r="D4118" i="1"/>
  <c r="D4081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8984" i="1"/>
  <c r="D8985" i="1"/>
  <c r="D8986" i="1"/>
  <c r="D14712" i="1"/>
  <c r="D12421" i="1"/>
  <c r="D5759" i="1"/>
  <c r="D4350" i="1"/>
  <c r="D15832" i="1"/>
  <c r="D7375" i="1"/>
  <c r="D7924" i="1"/>
  <c r="D7376" i="1"/>
  <c r="D7925" i="1"/>
  <c r="D7377" i="1"/>
  <c r="D7926" i="1"/>
  <c r="D16835" i="1"/>
  <c r="D4353" i="1"/>
  <c r="D13292" i="1"/>
  <c r="D2714" i="1"/>
  <c r="D7378" i="1"/>
  <c r="D7379" i="1"/>
  <c r="D7927" i="1"/>
  <c r="D7380" i="1"/>
  <c r="D15531" i="1"/>
  <c r="D15532" i="1"/>
  <c r="D26644" i="1"/>
  <c r="D26645" i="1"/>
  <c r="D26992" i="1"/>
  <c r="D15533" i="1"/>
  <c r="D26646" i="1"/>
  <c r="D26698" i="1"/>
  <c r="D15109" i="1"/>
  <c r="D15110" i="1"/>
  <c r="D15111" i="1"/>
  <c r="D15112" i="1"/>
  <c r="D10709" i="1"/>
  <c r="D15238" i="1"/>
  <c r="D15239" i="1"/>
  <c r="D8987" i="1"/>
  <c r="D4502" i="1"/>
  <c r="D14480" i="1"/>
  <c r="D10207" i="1"/>
  <c r="D11807" i="1"/>
  <c r="D5592" i="1"/>
  <c r="D18209" i="1"/>
  <c r="D10208" i="1"/>
  <c r="D26993" i="1"/>
  <c r="D26523" i="1"/>
  <c r="D893" i="1"/>
  <c r="D25762" i="1"/>
  <c r="D10945" i="1"/>
  <c r="D10946" i="1"/>
  <c r="D3464" i="1"/>
  <c r="D3465" i="1"/>
  <c r="D19314" i="1"/>
  <c r="D19315" i="1"/>
  <c r="D19324" i="1"/>
  <c r="D3549" i="1"/>
  <c r="D3571" i="1"/>
  <c r="D14809" i="1"/>
  <c r="D14810" i="1"/>
  <c r="D14811" i="1"/>
  <c r="D7381" i="1"/>
  <c r="D7382" i="1"/>
  <c r="D7928" i="1"/>
  <c r="D7383" i="1"/>
  <c r="D7929" i="1"/>
  <c r="D7384" i="1"/>
  <c r="D11897" i="1"/>
  <c r="D5870" i="1"/>
  <c r="D5871" i="1"/>
  <c r="D19704" i="1"/>
  <c r="D14607" i="1"/>
  <c r="D14608" i="1"/>
  <c r="D14609" i="1"/>
  <c r="D14610" i="1"/>
  <c r="D14611" i="1"/>
  <c r="D14612" i="1"/>
  <c r="D14613" i="1"/>
  <c r="D14614" i="1"/>
  <c r="D14615" i="1"/>
  <c r="D14616" i="1"/>
  <c r="D14617" i="1"/>
  <c r="D14618" i="1"/>
  <c r="D14619" i="1"/>
  <c r="D14620" i="1"/>
  <c r="D10182" i="1"/>
  <c r="D10183" i="1"/>
  <c r="D10184" i="1"/>
  <c r="D10197" i="1"/>
  <c r="D10633" i="1"/>
  <c r="D10710" i="1"/>
  <c r="D23054" i="1"/>
  <c r="D23390" i="1"/>
  <c r="D23055" i="1"/>
  <c r="D23391" i="1"/>
  <c r="D25813" i="1"/>
  <c r="D5571" i="1"/>
  <c r="D5572" i="1"/>
  <c r="D5531" i="1"/>
  <c r="D5573" i="1"/>
  <c r="D5574" i="1"/>
  <c r="D18478" i="1"/>
  <c r="D18474" i="1"/>
  <c r="D18475" i="1"/>
  <c r="D18479" i="1"/>
  <c r="D14661" i="1"/>
  <c r="D14662" i="1"/>
  <c r="D7385" i="1"/>
  <c r="D7930" i="1"/>
  <c r="D4666" i="1"/>
  <c r="D7386" i="1"/>
  <c r="D7931" i="1"/>
  <c r="D25814" i="1"/>
  <c r="D802" i="1"/>
  <c r="D8988" i="1"/>
  <c r="D17944" i="1"/>
  <c r="D8346" i="1"/>
  <c r="D8989" i="1"/>
  <c r="D8347" i="1"/>
  <c r="D8990" i="1"/>
  <c r="D8260" i="1"/>
  <c r="D17945" i="1"/>
  <c r="D17946" i="1"/>
  <c r="D12044" i="1"/>
  <c r="D4420" i="1"/>
  <c r="D4421" i="1"/>
  <c r="D4422" i="1"/>
  <c r="D3871" i="1"/>
  <c r="D25815" i="1"/>
  <c r="D8348" i="1"/>
  <c r="D25671" i="1"/>
  <c r="D25672" i="1"/>
  <c r="D25673" i="1"/>
  <c r="D25122" i="1"/>
  <c r="D25123" i="1"/>
  <c r="D9990" i="1"/>
  <c r="D9991" i="1"/>
  <c r="D25124" i="1"/>
  <c r="D25125" i="1"/>
  <c r="D14665" i="1"/>
  <c r="D25126" i="1"/>
  <c r="D7387" i="1"/>
  <c r="D7388" i="1"/>
  <c r="D7932" i="1"/>
  <c r="D25127" i="1"/>
  <c r="D25128" i="1"/>
  <c r="D25129" i="1"/>
  <c r="D3678" i="1"/>
  <c r="D3679" i="1"/>
  <c r="D25130" i="1"/>
  <c r="D25131" i="1"/>
  <c r="D25132" i="1"/>
  <c r="D5010" i="1"/>
  <c r="D14195" i="1"/>
  <c r="D17947" i="1"/>
  <c r="D25805" i="1"/>
  <c r="D25806" i="1"/>
  <c r="D8053" i="1"/>
  <c r="D1198" i="1"/>
  <c r="D3997" i="1"/>
  <c r="D5911" i="1"/>
  <c r="D5912" i="1"/>
  <c r="D4503" i="1"/>
  <c r="D26647" i="1"/>
  <c r="D18390" i="1"/>
  <c r="D18746" i="1"/>
  <c r="D951" i="1"/>
  <c r="D952" i="1"/>
  <c r="D12925" i="1"/>
  <c r="D953" i="1"/>
  <c r="D10503" i="1"/>
  <c r="D2851" i="1"/>
  <c r="D18523" i="1"/>
  <c r="D954" i="1"/>
  <c r="D3822" i="1"/>
  <c r="D3823" i="1"/>
  <c r="D9736" i="1"/>
  <c r="D9737" i="1"/>
  <c r="D9738" i="1"/>
  <c r="D9739" i="1"/>
  <c r="D9740" i="1"/>
  <c r="D9741" i="1"/>
  <c r="D9742" i="1"/>
  <c r="D9946" i="1"/>
  <c r="D9743" i="1"/>
  <c r="D18552" i="1"/>
  <c r="D18553" i="1"/>
  <c r="D3466" i="1"/>
  <c r="D17650" i="1"/>
  <c r="D9744" i="1"/>
  <c r="D9745" i="1"/>
  <c r="D26135" i="1"/>
  <c r="D12014" i="1"/>
  <c r="D9822" i="1"/>
  <c r="D3985" i="1"/>
  <c r="D18140" i="1"/>
  <c r="D15534" i="1"/>
  <c r="D2345" i="1"/>
  <c r="D2346" i="1"/>
  <c r="D15269" i="1"/>
  <c r="D15270" i="1"/>
  <c r="D15417" i="1"/>
  <c r="D15105" i="1"/>
  <c r="D12572" i="1"/>
  <c r="D1160" i="1"/>
  <c r="D1177" i="1"/>
  <c r="D9746" i="1"/>
  <c r="D9747" i="1"/>
  <c r="D9748" i="1"/>
  <c r="D9749" i="1"/>
  <c r="D9750" i="1"/>
  <c r="D5296" i="1"/>
  <c r="D24879" i="1"/>
  <c r="D25133" i="1"/>
  <c r="D18747" i="1"/>
  <c r="D975" i="1"/>
  <c r="D955" i="1"/>
  <c r="D4739" i="1"/>
  <c r="D4740" i="1"/>
  <c r="D1238" i="1"/>
  <c r="D15049" i="1"/>
  <c r="D3478" i="1"/>
  <c r="D3479" i="1"/>
  <c r="D25211" i="1"/>
  <c r="D4648" i="1"/>
  <c r="D18587" i="1"/>
  <c r="D18748" i="1"/>
  <c r="D18588" i="1"/>
  <c r="D18749" i="1"/>
  <c r="D18750" i="1"/>
  <c r="D18589" i="1"/>
  <c r="D18751" i="1"/>
  <c r="D2396" i="1"/>
  <c r="D2397" i="1"/>
  <c r="D3269" i="1"/>
  <c r="D3826" i="1"/>
  <c r="D18835" i="1"/>
  <c r="D5858" i="1"/>
  <c r="D15460" i="1"/>
  <c r="D2654" i="1"/>
  <c r="D687" i="1"/>
  <c r="D688" i="1"/>
  <c r="D689" i="1"/>
  <c r="D690" i="1"/>
  <c r="D15461" i="1"/>
  <c r="D3431" i="1"/>
  <c r="D9103" i="1"/>
  <c r="D17533" i="1"/>
  <c r="D17534" i="1"/>
  <c r="D17535" i="1"/>
  <c r="D17536" i="1"/>
  <c r="D17537" i="1"/>
  <c r="D17538" i="1"/>
  <c r="D15535" i="1"/>
  <c r="D5898" i="1"/>
  <c r="D5705" i="1"/>
  <c r="D5760" i="1"/>
  <c r="D3967" i="1"/>
  <c r="D3968" i="1"/>
  <c r="D3969" i="1"/>
  <c r="D26269" i="1"/>
  <c r="D10947" i="1"/>
  <c r="D10948" i="1"/>
  <c r="D3901" i="1"/>
  <c r="D3902" i="1"/>
  <c r="D3903" i="1"/>
  <c r="D3904" i="1"/>
  <c r="D15565" i="1"/>
  <c r="D551" i="1"/>
  <c r="D14186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3894" i="1"/>
  <c r="D26223" i="1"/>
  <c r="D3248" i="1"/>
  <c r="D11959" i="1"/>
  <c r="D11960" i="1"/>
  <c r="D19098" i="1"/>
  <c r="D5011" i="1"/>
  <c r="D15536" i="1"/>
  <c r="D26136" i="1"/>
  <c r="D26181" i="1"/>
  <c r="D26137" i="1"/>
  <c r="D26182" i="1"/>
  <c r="D26183" i="1"/>
  <c r="D26994" i="1"/>
  <c r="D26648" i="1"/>
  <c r="D26452" i="1"/>
  <c r="D26649" i="1"/>
  <c r="D26995" i="1"/>
  <c r="D26996" i="1"/>
  <c r="D26997" i="1"/>
  <c r="D12449" i="1"/>
  <c r="D9751" i="1"/>
  <c r="D9752" i="1"/>
  <c r="D9753" i="1"/>
  <c r="D13293" i="1"/>
  <c r="D9754" i="1"/>
  <c r="D9892" i="1"/>
  <c r="D15537" i="1"/>
  <c r="D9755" i="1"/>
  <c r="D9756" i="1"/>
  <c r="D9757" i="1"/>
  <c r="D9758" i="1"/>
  <c r="D13294" i="1"/>
  <c r="D26998" i="1"/>
  <c r="D9392" i="1"/>
  <c r="D13134" i="1"/>
  <c r="D11928" i="1"/>
  <c r="D9476" i="1"/>
  <c r="D9477" i="1"/>
  <c r="D23499" i="1"/>
  <c r="D7401" i="1"/>
  <c r="D7402" i="1"/>
  <c r="D7933" i="1"/>
  <c r="D7403" i="1"/>
  <c r="D7934" i="1"/>
  <c r="D7404" i="1"/>
  <c r="D3649" i="1"/>
  <c r="D23567" i="1"/>
  <c r="D7405" i="1"/>
  <c r="D7406" i="1"/>
  <c r="D7407" i="1"/>
  <c r="D2588" i="1"/>
  <c r="D23494" i="1"/>
  <c r="D14563" i="1"/>
  <c r="D25536" i="1"/>
  <c r="D25496" i="1"/>
  <c r="D3890" i="1"/>
  <c r="D26650" i="1"/>
  <c r="D26999" i="1"/>
  <c r="D15650" i="1"/>
  <c r="D25497" i="1"/>
  <c r="D25792" i="1"/>
  <c r="D9982" i="1"/>
  <c r="D15221" i="1"/>
  <c r="D7408" i="1"/>
  <c r="D7935" i="1"/>
  <c r="D7409" i="1"/>
  <c r="D7410" i="1"/>
  <c r="D7936" i="1"/>
  <c r="D7411" i="1"/>
  <c r="D12052" i="1"/>
  <c r="D754" i="1"/>
  <c r="D19683" i="1"/>
  <c r="D10711" i="1"/>
  <c r="D25816" i="1"/>
  <c r="D25817" i="1"/>
  <c r="D25818" i="1"/>
  <c r="D27000" i="1"/>
  <c r="D4741" i="1"/>
  <c r="D4742" i="1"/>
  <c r="D7412" i="1"/>
  <c r="D7413" i="1"/>
  <c r="D7414" i="1"/>
  <c r="D7415" i="1"/>
  <c r="D7416" i="1"/>
  <c r="D7417" i="1"/>
  <c r="D23491" i="1"/>
  <c r="D10106" i="1"/>
  <c r="D17651" i="1"/>
  <c r="D17652" i="1"/>
  <c r="D12404" i="1"/>
  <c r="D3615" i="1"/>
  <c r="D7418" i="1"/>
  <c r="D7937" i="1"/>
  <c r="D4932" i="1"/>
  <c r="D2878" i="1"/>
  <c r="D2602" i="1"/>
  <c r="D10249" i="1"/>
  <c r="D10253" i="1"/>
  <c r="D25819" i="1"/>
  <c r="D3625" i="1"/>
  <c r="D765" i="1"/>
  <c r="D27001" i="1"/>
  <c r="D25329" i="1"/>
  <c r="D9524" i="1"/>
  <c r="D9525" i="1"/>
  <c r="D9526" i="1"/>
  <c r="D18184" i="1"/>
  <c r="D18160" i="1"/>
  <c r="D17539" i="1"/>
  <c r="D17540" i="1"/>
  <c r="D17541" i="1"/>
  <c r="D17542" i="1"/>
  <c r="D17543" i="1"/>
  <c r="D17544" i="1"/>
  <c r="D18161" i="1"/>
  <c r="D18162" i="1"/>
  <c r="D18163" i="1"/>
  <c r="D22969" i="1"/>
  <c r="D7419" i="1"/>
  <c r="D7420" i="1"/>
  <c r="D7938" i="1"/>
  <c r="D7421" i="1"/>
  <c r="D7939" i="1"/>
  <c r="D7422" i="1"/>
  <c r="D7940" i="1"/>
  <c r="D7423" i="1"/>
  <c r="D7941" i="1"/>
  <c r="D7424" i="1"/>
  <c r="D10234" i="1"/>
  <c r="D10235" i="1"/>
  <c r="D23507" i="1"/>
  <c r="D7425" i="1"/>
  <c r="D19080" i="1"/>
  <c r="D3483" i="1"/>
  <c r="D3484" i="1"/>
  <c r="D7426" i="1"/>
  <c r="D7427" i="1"/>
  <c r="D7428" i="1"/>
  <c r="D7429" i="1"/>
  <c r="D7430" i="1"/>
  <c r="D18121" i="1"/>
  <c r="D18122" i="1"/>
  <c r="D7431" i="1"/>
  <c r="D7432" i="1"/>
  <c r="D7433" i="1"/>
  <c r="D7434" i="1"/>
  <c r="D7435" i="1"/>
  <c r="D7436" i="1"/>
  <c r="D7437" i="1"/>
  <c r="D7438" i="1"/>
  <c r="D7439" i="1"/>
  <c r="D7440" i="1"/>
  <c r="D24060" i="1"/>
  <c r="D24061" i="1"/>
  <c r="D674" i="1"/>
  <c r="D23627" i="1"/>
  <c r="D26270" i="1"/>
  <c r="D5480" i="1"/>
  <c r="D4119" i="1"/>
  <c r="D4034" i="1"/>
  <c r="D4120" i="1"/>
  <c r="D4121" i="1"/>
  <c r="D24062" i="1"/>
  <c r="D24063" i="1"/>
  <c r="D24064" i="1"/>
  <c r="D24065" i="1"/>
  <c r="D24066" i="1"/>
  <c r="D24067" i="1"/>
  <c r="D24068" i="1"/>
  <c r="D3060" i="1"/>
  <c r="D3061" i="1"/>
  <c r="D3062" i="1"/>
  <c r="D3063" i="1"/>
  <c r="D27002" i="1"/>
  <c r="D573" i="1"/>
  <c r="D26453" i="1"/>
  <c r="D18071" i="1"/>
  <c r="D18068" i="1"/>
  <c r="D18072" i="1"/>
  <c r="D19052" i="1"/>
  <c r="D25206" i="1"/>
  <c r="D5297" i="1"/>
  <c r="D956" i="1"/>
  <c r="D25326" i="1"/>
  <c r="D9759" i="1"/>
  <c r="D957" i="1"/>
  <c r="D9760" i="1"/>
  <c r="D11854" i="1"/>
  <c r="D11855" i="1"/>
  <c r="D14129" i="1"/>
  <c r="D18185" i="1"/>
  <c r="D18186" i="1"/>
  <c r="D12370" i="1"/>
  <c r="D5801" i="1"/>
  <c r="D5802" i="1"/>
  <c r="D5803" i="1"/>
  <c r="D9454" i="1"/>
  <c r="D616" i="1"/>
  <c r="D617" i="1"/>
  <c r="D19415" i="1"/>
  <c r="D19418" i="1"/>
  <c r="D10479" i="1"/>
  <c r="D15302" i="1"/>
  <c r="D3975" i="1"/>
  <c r="D15462" i="1"/>
  <c r="D12456" i="1"/>
  <c r="D3453" i="1"/>
  <c r="D3455" i="1"/>
  <c r="D1267" i="1"/>
  <c r="D1268" i="1"/>
  <c r="D24491" i="1"/>
  <c r="D19000" i="1"/>
  <c r="D19001" i="1"/>
  <c r="D19027" i="1"/>
  <c r="D19002" i="1"/>
  <c r="D12443" i="1"/>
  <c r="D25134" i="1"/>
  <c r="D25135" i="1"/>
  <c r="D25136" i="1"/>
  <c r="D25137" i="1"/>
  <c r="D25138" i="1"/>
  <c r="D25139" i="1"/>
  <c r="D3522" i="1"/>
  <c r="D18187" i="1"/>
  <c r="D12228" i="1"/>
  <c r="D12229" i="1"/>
  <c r="D12230" i="1"/>
  <c r="D12231" i="1"/>
  <c r="D25140" i="1"/>
  <c r="D24470" i="1"/>
  <c r="D25141" i="1"/>
  <c r="D25142" i="1"/>
  <c r="D2416" i="1"/>
  <c r="D2417" i="1"/>
  <c r="D25143" i="1"/>
  <c r="D18188" i="1"/>
  <c r="D25144" i="1"/>
  <c r="D25145" i="1"/>
  <c r="D14865" i="1"/>
  <c r="D14866" i="1"/>
  <c r="D14867" i="1"/>
  <c r="D12232" i="1"/>
  <c r="D23100" i="1"/>
  <c r="D23101" i="1"/>
  <c r="D23392" i="1"/>
  <c r="D23393" i="1"/>
  <c r="D23102" i="1"/>
  <c r="D22990" i="1"/>
  <c r="D23056" i="1"/>
  <c r="D23103" i="1"/>
  <c r="D23394" i="1"/>
  <c r="D23395" i="1"/>
  <c r="D23396" i="1"/>
  <c r="D23057" i="1"/>
  <c r="D23397" i="1"/>
  <c r="D23398" i="1"/>
  <c r="D23058" i="1"/>
  <c r="D23172" i="1"/>
  <c r="D23399" i="1"/>
  <c r="D23400" i="1"/>
  <c r="D12962" i="1"/>
  <c r="D13029" i="1"/>
  <c r="D13113" i="1"/>
  <c r="D11628" i="1"/>
  <c r="D11629" i="1"/>
  <c r="D11630" i="1"/>
  <c r="D11631" i="1"/>
  <c r="D11632" i="1"/>
  <c r="D5691" i="1"/>
  <c r="D2500" i="1"/>
  <c r="D8154" i="1"/>
  <c r="D8114" i="1"/>
  <c r="D8155" i="1"/>
  <c r="D8213" i="1"/>
  <c r="D12926" i="1"/>
  <c r="D26224" i="1"/>
  <c r="D24069" i="1"/>
  <c r="D24070" i="1"/>
  <c r="D24071" i="1"/>
  <c r="D24072" i="1"/>
  <c r="D24073" i="1"/>
  <c r="D24074" i="1"/>
  <c r="D24075" i="1"/>
  <c r="D24076" i="1"/>
  <c r="D24077" i="1"/>
  <c r="D24078" i="1"/>
  <c r="D24079" i="1"/>
  <c r="D24080" i="1"/>
  <c r="D24081" i="1"/>
  <c r="D5639" i="1"/>
  <c r="D24082" i="1"/>
  <c r="D24083" i="1"/>
  <c r="D24084" i="1"/>
  <c r="D24085" i="1"/>
  <c r="D24086" i="1"/>
  <c r="D24087" i="1"/>
  <c r="D24088" i="1"/>
  <c r="D8991" i="1"/>
  <c r="D8992" i="1"/>
  <c r="D8993" i="1"/>
  <c r="D3121" i="1"/>
  <c r="D17948" i="1"/>
  <c r="D12706" i="1"/>
  <c r="D2686" i="1"/>
  <c r="D2687" i="1"/>
  <c r="D8994" i="1"/>
  <c r="D13924" i="1"/>
  <c r="D13090" i="1"/>
  <c r="D13091" i="1"/>
  <c r="D8995" i="1"/>
  <c r="D8996" i="1"/>
  <c r="D17949" i="1"/>
  <c r="D8997" i="1"/>
  <c r="D17950" i="1"/>
  <c r="D8998" i="1"/>
  <c r="D8999" i="1"/>
  <c r="D9000" i="1"/>
  <c r="D9001" i="1"/>
  <c r="D9002" i="1"/>
  <c r="D9003" i="1"/>
  <c r="D8349" i="1"/>
  <c r="D5706" i="1"/>
  <c r="D5761" i="1"/>
  <c r="D24471" i="1"/>
  <c r="D24472" i="1"/>
  <c r="D17951" i="1"/>
  <c r="D8222" i="1"/>
  <c r="D4569" i="1"/>
  <c r="D22305" i="1"/>
  <c r="D22306" i="1"/>
  <c r="D22307" i="1"/>
  <c r="D22308" i="1"/>
  <c r="D22309" i="1"/>
  <c r="D22310" i="1"/>
  <c r="D22311" i="1"/>
  <c r="D22312" i="1"/>
  <c r="D22313" i="1"/>
  <c r="D22314" i="1"/>
  <c r="D22315" i="1"/>
  <c r="D22316" i="1"/>
  <c r="D22317" i="1"/>
  <c r="D22318" i="1"/>
  <c r="D22319" i="1"/>
  <c r="D22320" i="1"/>
  <c r="D22321" i="1"/>
  <c r="D22322" i="1"/>
  <c r="D22323" i="1"/>
  <c r="D22324" i="1"/>
  <c r="D22325" i="1"/>
  <c r="D22326" i="1"/>
  <c r="D22327" i="1"/>
  <c r="D22328" i="1"/>
  <c r="D22329" i="1"/>
  <c r="D22330" i="1"/>
  <c r="D22331" i="1"/>
  <c r="D22332" i="1"/>
  <c r="D22333" i="1"/>
  <c r="D22334" i="1"/>
  <c r="D22335" i="1"/>
  <c r="D22336" i="1"/>
  <c r="D7441" i="1"/>
  <c r="D7942" i="1"/>
  <c r="D25729" i="1"/>
  <c r="D25674" i="1"/>
  <c r="D25675" i="1"/>
  <c r="D11938" i="1"/>
  <c r="D728" i="1"/>
  <c r="D3424" i="1"/>
  <c r="D7442" i="1"/>
  <c r="D7943" i="1"/>
  <c r="D13151" i="1"/>
  <c r="D7443" i="1"/>
  <c r="D25537" i="1"/>
  <c r="D7444" i="1"/>
  <c r="D3425" i="1"/>
  <c r="D3426" i="1"/>
  <c r="D7445" i="1"/>
  <c r="D7944" i="1"/>
  <c r="D7945" i="1"/>
  <c r="D7446" i="1"/>
  <c r="D7946" i="1"/>
  <c r="D17545" i="1"/>
  <c r="D9438" i="1"/>
  <c r="D10888" i="1"/>
  <c r="D17546" i="1"/>
  <c r="D17589" i="1"/>
  <c r="D17952" i="1"/>
  <c r="D9961" i="1"/>
  <c r="D3632" i="1"/>
  <c r="D4987" i="1"/>
  <c r="D4988" i="1"/>
  <c r="D10262" i="1"/>
  <c r="D10607" i="1"/>
  <c r="D10608" i="1"/>
  <c r="D10609" i="1"/>
  <c r="D10610" i="1"/>
  <c r="D10611" i="1"/>
  <c r="D10612" i="1"/>
  <c r="D10613" i="1"/>
  <c r="D10614" i="1"/>
  <c r="D10615" i="1"/>
  <c r="D9393" i="1"/>
  <c r="D18391" i="1"/>
  <c r="D1434" i="1"/>
  <c r="D1435" i="1"/>
  <c r="D9761" i="1"/>
  <c r="D9762" i="1"/>
  <c r="D26454" i="1"/>
  <c r="D9763" i="1"/>
  <c r="D976" i="1"/>
  <c r="D977" i="1"/>
  <c r="D978" i="1"/>
  <c r="D979" i="1"/>
  <c r="D27003" i="1"/>
  <c r="D4762" i="1"/>
  <c r="D958" i="1"/>
  <c r="D26528" i="1"/>
  <c r="D27004" i="1"/>
  <c r="D27005" i="1"/>
  <c r="D26138" i="1"/>
  <c r="D26139" i="1"/>
  <c r="D26140" i="1"/>
  <c r="D18392" i="1"/>
  <c r="D18393" i="1"/>
  <c r="D18394" i="1"/>
  <c r="D1436" i="1"/>
  <c r="D1437" i="1"/>
  <c r="D3397" i="1"/>
  <c r="D1438" i="1"/>
  <c r="D1439" i="1"/>
  <c r="D2394" i="1"/>
  <c r="D1440" i="1"/>
  <c r="D1441" i="1"/>
  <c r="D9968" i="1"/>
  <c r="D5762" i="1"/>
  <c r="D11732" i="1"/>
  <c r="D11733" i="1"/>
  <c r="D22337" i="1"/>
  <c r="D22338" i="1"/>
  <c r="D22339" i="1"/>
  <c r="D22340" i="1"/>
  <c r="D22341" i="1"/>
  <c r="D22342" i="1"/>
  <c r="D22343" i="1"/>
  <c r="D22344" i="1"/>
  <c r="D22345" i="1"/>
  <c r="D22346" i="1"/>
  <c r="D22347" i="1"/>
  <c r="D22348" i="1"/>
  <c r="D22349" i="1"/>
  <c r="D22350" i="1"/>
  <c r="D22351" i="1"/>
  <c r="D22352" i="1"/>
  <c r="D22353" i="1"/>
  <c r="D22354" i="1"/>
  <c r="D22355" i="1"/>
  <c r="D22356" i="1"/>
  <c r="D22357" i="1"/>
  <c r="D22358" i="1"/>
  <c r="D22359" i="1"/>
  <c r="D22360" i="1"/>
  <c r="D5675" i="1"/>
  <c r="D16863" i="1"/>
  <c r="D9338" i="1"/>
  <c r="D9366" i="1"/>
  <c r="D15647" i="1"/>
  <c r="D3706" i="1"/>
  <c r="D3708" i="1"/>
  <c r="D23555" i="1"/>
  <c r="D4596" i="1"/>
  <c r="D781" i="1"/>
  <c r="D11883" i="1"/>
  <c r="D24473" i="1"/>
  <c r="D24474" i="1"/>
  <c r="D24475" i="1"/>
  <c r="D24476" i="1"/>
  <c r="D24477" i="1"/>
  <c r="D859" i="1"/>
  <c r="D871" i="1"/>
  <c r="D872" i="1"/>
  <c r="D884" i="1"/>
  <c r="D17547" i="1"/>
  <c r="D24089" i="1"/>
  <c r="D24090" i="1"/>
  <c r="D17548" i="1"/>
  <c r="D17549" i="1"/>
  <c r="D10949" i="1"/>
  <c r="D10983" i="1"/>
  <c r="D24091" i="1"/>
  <c r="D24092" i="1"/>
  <c r="D24093" i="1"/>
  <c r="D24094" i="1"/>
  <c r="D8247" i="1"/>
  <c r="D2694" i="1"/>
  <c r="D8248" i="1"/>
  <c r="D10778" i="1"/>
  <c r="D3380" i="1"/>
  <c r="D16046" i="1"/>
  <c r="D16047" i="1"/>
  <c r="D3381" i="1"/>
  <c r="D3382" i="1"/>
  <c r="D16048" i="1"/>
  <c r="D16049" i="1"/>
  <c r="D3383" i="1"/>
  <c r="D14592" i="1"/>
  <c r="D3384" i="1"/>
  <c r="D10779" i="1"/>
  <c r="D11802" i="1"/>
  <c r="D17653" i="1"/>
  <c r="D17654" i="1"/>
  <c r="D12405" i="1"/>
  <c r="D27047" i="1"/>
  <c r="D11816" i="1"/>
  <c r="D4304" i="1"/>
  <c r="D4305" i="1"/>
  <c r="D4306" i="1"/>
  <c r="D18189" i="1"/>
  <c r="D23059" i="1"/>
  <c r="D23401" i="1"/>
  <c r="D23402" i="1"/>
  <c r="D10028" i="1"/>
  <c r="D10029" i="1"/>
  <c r="D16050" i="1"/>
  <c r="D3385" i="1"/>
  <c r="D16051" i="1"/>
  <c r="D16052" i="1"/>
  <c r="D10780" i="1"/>
  <c r="D10781" i="1"/>
  <c r="D16053" i="1"/>
  <c r="D4597" i="1"/>
  <c r="D5920" i="1"/>
  <c r="D12505" i="1"/>
  <c r="D12506" i="1"/>
  <c r="D12507" i="1"/>
  <c r="D15346" i="1"/>
  <c r="D15347" i="1"/>
  <c r="D3386" i="1"/>
  <c r="D13981" i="1"/>
  <c r="D10782" i="1"/>
  <c r="D10783" i="1"/>
  <c r="D3387" i="1"/>
  <c r="D16054" i="1"/>
  <c r="D3388" i="1"/>
  <c r="D3389" i="1"/>
  <c r="D12587" i="1"/>
  <c r="D5298" i="1"/>
  <c r="D10950" i="1"/>
  <c r="D9478" i="1"/>
  <c r="D5299" i="1"/>
  <c r="D17620" i="1"/>
  <c r="D14039" i="1"/>
  <c r="D24503" i="1"/>
  <c r="D24504" i="1"/>
  <c r="D12233" i="1"/>
  <c r="D12234" i="1"/>
  <c r="D12235" i="1"/>
  <c r="D12236" i="1"/>
  <c r="D12237" i="1"/>
  <c r="D12238" i="1"/>
  <c r="D12239" i="1"/>
  <c r="D12240" i="1"/>
  <c r="D12241" i="1"/>
  <c r="D18190" i="1"/>
  <c r="D5395" i="1"/>
  <c r="D5407" i="1"/>
  <c r="D1489" i="1"/>
  <c r="D11005" i="1"/>
  <c r="D1442" i="1"/>
  <c r="D1443" i="1"/>
  <c r="D1444" i="1"/>
  <c r="D1445" i="1"/>
  <c r="D1446" i="1"/>
  <c r="D1447" i="1"/>
  <c r="D5763" i="1"/>
  <c r="D11734" i="1"/>
  <c r="D11760" i="1"/>
  <c r="D11749" i="1"/>
  <c r="D22361" i="1"/>
  <c r="D22362" i="1"/>
  <c r="D22363" i="1"/>
  <c r="D22364" i="1"/>
  <c r="D22365" i="1"/>
  <c r="D22366" i="1"/>
  <c r="D22367" i="1"/>
  <c r="D22368" i="1"/>
  <c r="D22369" i="1"/>
  <c r="D22370" i="1"/>
  <c r="D22371" i="1"/>
  <c r="D22372" i="1"/>
  <c r="D22373" i="1"/>
  <c r="D22374" i="1"/>
  <c r="D22375" i="1"/>
  <c r="D22376" i="1"/>
  <c r="D22377" i="1"/>
  <c r="D22378" i="1"/>
  <c r="D22379" i="1"/>
  <c r="D22380" i="1"/>
  <c r="D22381" i="1"/>
  <c r="D22382" i="1"/>
  <c r="D22383" i="1"/>
  <c r="D22384" i="1"/>
  <c r="D22385" i="1"/>
  <c r="D22386" i="1"/>
  <c r="D22387" i="1"/>
  <c r="D22388" i="1"/>
  <c r="D22389" i="1"/>
  <c r="D22390" i="1"/>
  <c r="D22391" i="1"/>
  <c r="D22392" i="1"/>
  <c r="D22393" i="1"/>
  <c r="D22394" i="1"/>
  <c r="D22395" i="1"/>
  <c r="D22396" i="1"/>
  <c r="D5359" i="1"/>
  <c r="D5300" i="1"/>
  <c r="D9764" i="1"/>
  <c r="D9765" i="1"/>
  <c r="D26455" i="1"/>
  <c r="D3390" i="1"/>
  <c r="D13295" i="1"/>
  <c r="D22951" i="1"/>
  <c r="D13943" i="1"/>
  <c r="D26141" i="1"/>
  <c r="D4307" i="1"/>
  <c r="D4308" i="1"/>
  <c r="D5588" i="1"/>
  <c r="D10651" i="1"/>
  <c r="D9004" i="1"/>
  <c r="D9005" i="1"/>
  <c r="D2852" i="1"/>
  <c r="D9006" i="1"/>
  <c r="D4504" i="1"/>
  <c r="D4505" i="1"/>
  <c r="D9007" i="1"/>
  <c r="D1114" i="1"/>
  <c r="D7447" i="1"/>
  <c r="D7947" i="1"/>
  <c r="D12508" i="1"/>
  <c r="D12528" i="1"/>
  <c r="D4168" i="1"/>
  <c r="D4174" i="1"/>
  <c r="D5575" i="1"/>
  <c r="D5576" i="1"/>
  <c r="D22884" i="1"/>
  <c r="D22885" i="1"/>
  <c r="D1002" i="1"/>
  <c r="D11918" i="1"/>
  <c r="D4309" i="1"/>
  <c r="D4310" i="1"/>
  <c r="D4311" i="1"/>
  <c r="D4312" i="1"/>
  <c r="D11965" i="1"/>
  <c r="D15222" i="1"/>
  <c r="D12351" i="1"/>
  <c r="D12352" i="1"/>
  <c r="D729" i="1"/>
  <c r="D730" i="1"/>
  <c r="D18169" i="1"/>
  <c r="D12306" i="1"/>
  <c r="D12307" i="1"/>
  <c r="D12308" i="1"/>
  <c r="D12309" i="1"/>
  <c r="D12310" i="1"/>
  <c r="D5582" i="1"/>
  <c r="D9225" i="1"/>
  <c r="D2534" i="1"/>
  <c r="D2540" i="1"/>
  <c r="D2556" i="1"/>
  <c r="D13030" i="1"/>
  <c r="D13031" i="1"/>
  <c r="D13032" i="1"/>
  <c r="D9226" i="1"/>
  <c r="D9281" i="1"/>
  <c r="D9282" i="1"/>
  <c r="D2520" i="1"/>
  <c r="D4677" i="1"/>
  <c r="D9227" i="1"/>
  <c r="D14016" i="1"/>
  <c r="D14017" i="1"/>
  <c r="D14018" i="1"/>
  <c r="D14019" i="1"/>
  <c r="D14020" i="1"/>
  <c r="D14021" i="1"/>
  <c r="D9228" i="1"/>
  <c r="D9229" i="1"/>
  <c r="D9230" i="1"/>
  <c r="D9231" i="1"/>
  <c r="D9232" i="1"/>
  <c r="D5589" i="1"/>
  <c r="D17776" i="1"/>
  <c r="D23173" i="1"/>
  <c r="D17765" i="1"/>
  <c r="D17777" i="1"/>
  <c r="D9233" i="1"/>
  <c r="D24095" i="1"/>
  <c r="D24096" i="1"/>
  <c r="D24097" i="1"/>
  <c r="D24098" i="1"/>
  <c r="D24099" i="1"/>
  <c r="D15240" i="1"/>
  <c r="D24100" i="1"/>
  <c r="D24101" i="1"/>
  <c r="D24102" i="1"/>
  <c r="D24103" i="1"/>
  <c r="D24104" i="1"/>
  <c r="D24105" i="1"/>
  <c r="D24106" i="1"/>
  <c r="D19190" i="1"/>
  <c r="D19191" i="1"/>
  <c r="D24107" i="1"/>
  <c r="D24108" i="1"/>
  <c r="D19192" i="1"/>
  <c r="D19193" i="1"/>
  <c r="D9008" i="1"/>
  <c r="D9009" i="1"/>
  <c r="D9010" i="1"/>
  <c r="D9011" i="1"/>
  <c r="D9012" i="1"/>
  <c r="D9013" i="1"/>
  <c r="D9014" i="1"/>
  <c r="D9015" i="1"/>
  <c r="D10416" i="1"/>
  <c r="D9016" i="1"/>
  <c r="D9017" i="1"/>
  <c r="D10417" i="1"/>
  <c r="D9018" i="1"/>
  <c r="D9019" i="1"/>
  <c r="D19288" i="1"/>
  <c r="D19289" i="1"/>
  <c r="D17953" i="1"/>
  <c r="D23174" i="1"/>
  <c r="D23092" i="1"/>
  <c r="D23175" i="1"/>
  <c r="D23176" i="1"/>
  <c r="D23403" i="1"/>
  <c r="D23076" i="1"/>
  <c r="D23093" i="1"/>
  <c r="D23177" i="1"/>
  <c r="D23178" i="1"/>
  <c r="D23404" i="1"/>
  <c r="D23405" i="1"/>
  <c r="D14812" i="1"/>
  <c r="D14813" i="1"/>
  <c r="D14814" i="1"/>
  <c r="D18143" i="1"/>
  <c r="D25567" i="1"/>
  <c r="D25568" i="1"/>
  <c r="D25820" i="1"/>
  <c r="D19103" i="1"/>
  <c r="D17954" i="1"/>
  <c r="D17955" i="1"/>
  <c r="D15643" i="1"/>
  <c r="D25821" i="1"/>
  <c r="D542" i="1"/>
  <c r="D19087" i="1"/>
  <c r="D19290" i="1"/>
  <c r="D19291" i="1"/>
  <c r="D9020" i="1"/>
  <c r="D9021" i="1"/>
  <c r="D9022" i="1"/>
  <c r="D9023" i="1"/>
  <c r="D9024" i="1"/>
  <c r="D9025" i="1"/>
  <c r="D9026" i="1"/>
  <c r="D10386" i="1"/>
  <c r="D10418" i="1"/>
  <c r="D9027" i="1"/>
  <c r="D19292" i="1"/>
  <c r="D19293" i="1"/>
  <c r="D9028" i="1"/>
  <c r="D9029" i="1"/>
  <c r="D12242" i="1"/>
  <c r="D12243" i="1"/>
  <c r="D8266" i="1"/>
  <c r="D8350" i="1"/>
  <c r="D3523" i="1"/>
  <c r="D9030" i="1"/>
  <c r="D9031" i="1"/>
  <c r="D9032" i="1"/>
  <c r="D9033" i="1"/>
  <c r="D8351" i="1"/>
  <c r="D9034" i="1"/>
  <c r="D17956" i="1"/>
  <c r="D19294" i="1"/>
  <c r="D17957" i="1"/>
  <c r="D9035" i="1"/>
  <c r="D9036" i="1"/>
  <c r="D9037" i="1"/>
  <c r="D10381" i="1"/>
  <c r="D9038" i="1"/>
  <c r="D9039" i="1"/>
  <c r="D9040" i="1"/>
  <c r="D23492" i="1"/>
  <c r="D19063" i="1"/>
  <c r="D19064" i="1"/>
  <c r="D17664" i="1"/>
  <c r="D15887" i="1"/>
  <c r="D4506" i="1"/>
  <c r="D4507" i="1"/>
  <c r="D15316" i="1"/>
  <c r="D5685" i="1"/>
  <c r="D13982" i="1"/>
  <c r="D9983" i="1"/>
  <c r="D27089" i="1"/>
  <c r="D11364" i="1"/>
  <c r="D15348" i="1"/>
  <c r="D25802" i="1"/>
  <c r="D10030" i="1"/>
  <c r="D23493" i="1"/>
  <c r="D25676" i="1"/>
  <c r="D25677" i="1"/>
  <c r="D25678" i="1"/>
  <c r="D25679" i="1"/>
  <c r="D25498" i="1"/>
  <c r="D25499" i="1"/>
  <c r="D10144" i="1"/>
  <c r="D8245" i="1"/>
  <c r="D25822" i="1"/>
  <c r="D25823" i="1"/>
  <c r="D25824" i="1"/>
  <c r="D25825" i="1"/>
  <c r="D9339" i="1"/>
  <c r="D9367" i="1"/>
  <c r="D25826" i="1"/>
  <c r="D17786" i="1"/>
  <c r="D15478" i="1"/>
  <c r="D9041" i="1"/>
  <c r="D3829" i="1"/>
  <c r="D5926" i="1"/>
  <c r="D25268" i="1"/>
  <c r="D25312" i="1"/>
  <c r="D25269" i="1"/>
  <c r="D25313" i="1"/>
  <c r="D2557" i="1"/>
  <c r="D4508" i="1"/>
  <c r="D4509" i="1"/>
  <c r="D2521" i="1"/>
  <c r="D11829" i="1"/>
  <c r="D15798" i="1"/>
  <c r="D15077" i="1"/>
  <c r="D14174" i="1"/>
  <c r="D14450" i="1"/>
  <c r="D18080" i="1"/>
  <c r="D4181" i="1"/>
  <c r="D14451" i="1"/>
  <c r="D14386" i="1"/>
  <c r="D14387" i="1"/>
  <c r="D3666" i="1"/>
  <c r="D14388" i="1"/>
  <c r="D14389" i="1"/>
  <c r="D14452" i="1"/>
  <c r="D10126" i="1"/>
  <c r="D2688" i="1"/>
  <c r="D7448" i="1"/>
  <c r="D7948" i="1"/>
  <c r="D7449" i="1"/>
  <c r="D25146" i="1"/>
  <c r="D25147" i="1"/>
  <c r="D684" i="1"/>
  <c r="D23630" i="1"/>
  <c r="D23635" i="1"/>
  <c r="D7450" i="1"/>
  <c r="D7451" i="1"/>
  <c r="D7452" i="1"/>
  <c r="D5707" i="1"/>
  <c r="D7453" i="1"/>
  <c r="D7552" i="1"/>
  <c r="D7454" i="1"/>
  <c r="D18425" i="1"/>
  <c r="D18426" i="1"/>
  <c r="D18427" i="1"/>
  <c r="D18421" i="1"/>
  <c r="D18422" i="1"/>
  <c r="D18423" i="1"/>
  <c r="D18424" i="1"/>
  <c r="D18428" i="1"/>
  <c r="D18429" i="1"/>
  <c r="D18430" i="1"/>
  <c r="D18431" i="1"/>
  <c r="D7455" i="1"/>
  <c r="D7949" i="1"/>
  <c r="D5012" i="1"/>
  <c r="D5013" i="1"/>
  <c r="D15096" i="1"/>
  <c r="D10951" i="1"/>
  <c r="D18840" i="1"/>
  <c r="D770" i="1"/>
  <c r="D4393" i="1"/>
  <c r="D25148" i="1"/>
  <c r="D7456" i="1"/>
  <c r="D7950" i="1"/>
  <c r="D7457" i="1"/>
  <c r="D7951" i="1"/>
  <c r="D7458" i="1"/>
  <c r="D5708" i="1"/>
  <c r="D4694" i="1"/>
  <c r="D4743" i="1"/>
  <c r="D5825" i="1"/>
  <c r="D25576" i="1"/>
  <c r="D16072" i="1"/>
  <c r="D2558" i="1"/>
  <c r="D640" i="1"/>
  <c r="D12381" i="1"/>
  <c r="D8093" i="1"/>
  <c r="D10966" i="1"/>
  <c r="D15606" i="1"/>
  <c r="D15607" i="1"/>
  <c r="D22397" i="1"/>
  <c r="D22398" i="1"/>
  <c r="D22399" i="1"/>
  <c r="D22400" i="1"/>
  <c r="D22401" i="1"/>
  <c r="D22402" i="1"/>
  <c r="D22403" i="1"/>
  <c r="D22404" i="1"/>
  <c r="D22405" i="1"/>
  <c r="D22406" i="1"/>
  <c r="D22407" i="1"/>
  <c r="D22408" i="1"/>
  <c r="D22409" i="1"/>
  <c r="D22410" i="1"/>
  <c r="D22411" i="1"/>
  <c r="D22412" i="1"/>
  <c r="D22413" i="1"/>
  <c r="D22414" i="1"/>
  <c r="D22415" i="1"/>
  <c r="D22416" i="1"/>
  <c r="D22417" i="1"/>
  <c r="D22418" i="1"/>
  <c r="D22419" i="1"/>
  <c r="D22420" i="1"/>
  <c r="D22421" i="1"/>
  <c r="D22422" i="1"/>
  <c r="D22423" i="1"/>
  <c r="D22424" i="1"/>
  <c r="D22425" i="1"/>
  <c r="D22426" i="1"/>
  <c r="D22427" i="1"/>
  <c r="D22428" i="1"/>
  <c r="D22429" i="1"/>
  <c r="D22430" i="1"/>
  <c r="D22431" i="1"/>
  <c r="D22432" i="1"/>
  <c r="D22433" i="1"/>
  <c r="D22434" i="1"/>
  <c r="D22435" i="1"/>
  <c r="D22436" i="1"/>
  <c r="D22437" i="1"/>
  <c r="D22438" i="1"/>
  <c r="D22439" i="1"/>
  <c r="D22440" i="1"/>
  <c r="D22441" i="1"/>
  <c r="D22442" i="1"/>
  <c r="D22443" i="1"/>
  <c r="D22444" i="1"/>
  <c r="D22445" i="1"/>
  <c r="D13238" i="1"/>
  <c r="D22446" i="1"/>
  <c r="D22447" i="1"/>
  <c r="D22448" i="1"/>
  <c r="D22449" i="1"/>
  <c r="D22450" i="1"/>
  <c r="D22451" i="1"/>
  <c r="D22452" i="1"/>
  <c r="D22453" i="1"/>
  <c r="D22454" i="1"/>
  <c r="D22455" i="1"/>
  <c r="D22456" i="1"/>
  <c r="D22457" i="1"/>
  <c r="D22458" i="1"/>
  <c r="D11898" i="1"/>
  <c r="D22459" i="1"/>
  <c r="D22460" i="1"/>
  <c r="D22461" i="1"/>
  <c r="D22462" i="1"/>
  <c r="D22463" i="1"/>
  <c r="D22464" i="1"/>
  <c r="D22465" i="1"/>
  <c r="D9893" i="1"/>
  <c r="D9894" i="1"/>
  <c r="D9895" i="1"/>
  <c r="D11894" i="1"/>
  <c r="D9896" i="1"/>
  <c r="D9766" i="1"/>
  <c r="D9897" i="1"/>
  <c r="D9767" i="1"/>
  <c r="D9898" i="1"/>
  <c r="D27006" i="1"/>
  <c r="D26456" i="1"/>
  <c r="D26651" i="1"/>
  <c r="D26292" i="1"/>
  <c r="D27007" i="1"/>
  <c r="D27008" i="1"/>
  <c r="D27009" i="1"/>
  <c r="D748" i="1"/>
  <c r="D26699" i="1"/>
  <c r="D980" i="1"/>
  <c r="D959" i="1"/>
  <c r="D960" i="1"/>
  <c r="D22466" i="1"/>
  <c r="D18752" i="1"/>
  <c r="D10952" i="1"/>
  <c r="D18395" i="1"/>
  <c r="D11473" i="1"/>
  <c r="D25538" i="1"/>
  <c r="D15016" i="1"/>
  <c r="D11919" i="1"/>
  <c r="D18396" i="1"/>
  <c r="D22952" i="1"/>
  <c r="D981" i="1"/>
  <c r="D22886" i="1"/>
  <c r="D26457" i="1"/>
  <c r="D27010" i="1"/>
  <c r="D26458" i="1"/>
  <c r="D26540" i="1"/>
  <c r="D26550" i="1"/>
  <c r="D26652" i="1"/>
  <c r="D26700" i="1"/>
  <c r="D11365" i="1"/>
  <c r="D11520" i="1"/>
  <c r="D11366" i="1"/>
  <c r="D11521" i="1"/>
  <c r="D11367" i="1"/>
  <c r="D11522" i="1"/>
  <c r="D11368" i="1"/>
  <c r="D11369" i="1"/>
  <c r="D11523" i="1"/>
  <c r="D11370" i="1"/>
  <c r="D11371" i="1"/>
  <c r="D11372" i="1"/>
  <c r="D11373" i="1"/>
  <c r="D11374" i="1"/>
  <c r="D1152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550" i="1"/>
  <c r="D11389" i="1"/>
  <c r="D11390" i="1"/>
  <c r="D11391" i="1"/>
  <c r="D11392" i="1"/>
  <c r="D11393" i="1"/>
  <c r="D11394" i="1"/>
  <c r="D27011" i="1"/>
  <c r="D14187" i="1"/>
  <c r="D5648" i="1"/>
  <c r="D5649" i="1"/>
  <c r="D5415" i="1"/>
  <c r="D22467" i="1"/>
  <c r="D22468" i="1"/>
  <c r="D25541" i="1"/>
  <c r="D13239" i="1"/>
  <c r="D961" i="1"/>
  <c r="D962" i="1"/>
  <c r="D13240" i="1"/>
  <c r="D963" i="1"/>
  <c r="D964" i="1"/>
  <c r="D26142" i="1"/>
  <c r="D26143" i="1"/>
  <c r="D965" i="1"/>
  <c r="D13241" i="1"/>
  <c r="D22887" i="1"/>
  <c r="D27012" i="1"/>
  <c r="D924" i="1"/>
  <c r="D25327" i="1"/>
  <c r="D15538" i="1"/>
  <c r="D26459" i="1"/>
  <c r="D11551" i="1"/>
  <c r="D27013" i="1"/>
  <c r="D13296" i="1"/>
  <c r="D11395" i="1"/>
  <c r="D11396" i="1"/>
  <c r="D10063" i="1"/>
  <c r="D14390" i="1"/>
  <c r="D14391" i="1"/>
  <c r="D14392" i="1"/>
  <c r="D14393" i="1"/>
  <c r="D14394" i="1"/>
  <c r="D14395" i="1"/>
  <c r="D14396" i="1"/>
  <c r="D14397" i="1"/>
  <c r="D14398" i="1"/>
  <c r="D14399" i="1"/>
  <c r="D14400" i="1"/>
  <c r="D14401" i="1"/>
  <c r="D14402" i="1"/>
  <c r="D14403" i="1"/>
  <c r="D22469" i="1"/>
  <c r="D12736" i="1"/>
  <c r="D12756" i="1"/>
  <c r="D2576" i="1"/>
  <c r="D11397" i="1"/>
  <c r="D11525" i="1"/>
  <c r="D11398" i="1"/>
  <c r="D11399" i="1"/>
  <c r="D7459" i="1"/>
  <c r="D7952" i="1"/>
  <c r="D9368" i="1"/>
  <c r="D9369" i="1"/>
  <c r="D9340" i="1"/>
  <c r="D9341" i="1"/>
  <c r="D9370" i="1"/>
  <c r="D4951" i="1"/>
  <c r="D4952" i="1"/>
  <c r="D10365" i="1"/>
  <c r="D1115" i="1"/>
  <c r="D1116" i="1"/>
  <c r="D12005" i="1"/>
  <c r="D5453" i="1"/>
  <c r="D3467" i="1"/>
  <c r="D19328" i="1"/>
  <c r="D19329" i="1"/>
  <c r="D9408" i="1"/>
  <c r="D1003" i="1"/>
  <c r="D3430" i="1"/>
  <c r="D4313" i="1"/>
  <c r="D4314" i="1"/>
  <c r="D7460" i="1"/>
  <c r="D7953" i="1"/>
  <c r="D7461" i="1"/>
  <c r="D7954" i="1"/>
  <c r="D7462" i="1"/>
  <c r="D7955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1117" i="1"/>
  <c r="D1118" i="1"/>
  <c r="D14923" i="1"/>
  <c r="D14924" i="1"/>
  <c r="D14925" i="1"/>
  <c r="D14926" i="1"/>
  <c r="D7476" i="1"/>
  <c r="D1213" i="1"/>
  <c r="D19316" i="1"/>
  <c r="D19325" i="1"/>
  <c r="D19317" i="1"/>
  <c r="D19326" i="1"/>
  <c r="D27065" i="1"/>
  <c r="D24359" i="1"/>
  <c r="D23060" i="1"/>
  <c r="D23406" i="1"/>
  <c r="D23407" i="1"/>
  <c r="D23408" i="1"/>
  <c r="D23061" i="1"/>
  <c r="D23062" i="1"/>
  <c r="D23409" i="1"/>
  <c r="D23410" i="1"/>
  <c r="D23411" i="1"/>
  <c r="D23412" i="1"/>
  <c r="D7477" i="1"/>
  <c r="D7478" i="1"/>
  <c r="D7956" i="1"/>
  <c r="D7479" i="1"/>
  <c r="D24834" i="1"/>
  <c r="D24835" i="1"/>
  <c r="D24836" i="1"/>
  <c r="D24837" i="1"/>
  <c r="D24838" i="1"/>
  <c r="D24839" i="1"/>
  <c r="D24840" i="1"/>
  <c r="D24841" i="1"/>
  <c r="D24842" i="1"/>
  <c r="D24843" i="1"/>
  <c r="D24844" i="1"/>
  <c r="D24845" i="1"/>
  <c r="D24846" i="1"/>
  <c r="D24847" i="1"/>
  <c r="D24848" i="1"/>
  <c r="D24849" i="1"/>
  <c r="D24850" i="1"/>
  <c r="D24851" i="1"/>
  <c r="D24852" i="1"/>
  <c r="D24853" i="1"/>
  <c r="D24854" i="1"/>
  <c r="D24855" i="1"/>
  <c r="D24856" i="1"/>
  <c r="D24857" i="1"/>
  <c r="D24858" i="1"/>
  <c r="D24859" i="1"/>
  <c r="D24860" i="1"/>
  <c r="D24861" i="1"/>
  <c r="D10185" i="1"/>
  <c r="D27066" i="1"/>
  <c r="D25149" i="1"/>
  <c r="D15888" i="1"/>
  <c r="D18397" i="1"/>
  <c r="D26653" i="1"/>
  <c r="D27014" i="1"/>
  <c r="D3824" i="1"/>
  <c r="D3676" i="1"/>
  <c r="D15017" i="1"/>
  <c r="D23568" i="1"/>
  <c r="D22470" i="1"/>
  <c r="D22471" i="1"/>
  <c r="D22472" i="1"/>
  <c r="D1269" i="1"/>
  <c r="D3122" i="1"/>
  <c r="D3123" i="1"/>
  <c r="D22953" i="1"/>
  <c r="D22473" i="1"/>
  <c r="D22474" i="1"/>
  <c r="D22475" i="1"/>
  <c r="D22476" i="1"/>
  <c r="D22477" i="1"/>
  <c r="D22478" i="1"/>
  <c r="D22479" i="1"/>
  <c r="D22480" i="1"/>
  <c r="D22481" i="1"/>
  <c r="D22482" i="1"/>
  <c r="D22483" i="1"/>
  <c r="D22484" i="1"/>
  <c r="D22485" i="1"/>
  <c r="D22486" i="1"/>
  <c r="D22487" i="1"/>
  <c r="D22488" i="1"/>
  <c r="D22489" i="1"/>
  <c r="D22490" i="1"/>
  <c r="D22491" i="1"/>
  <c r="D22492" i="1"/>
  <c r="D22493" i="1"/>
  <c r="D22494" i="1"/>
  <c r="D22495" i="1"/>
  <c r="D22496" i="1"/>
  <c r="D22497" i="1"/>
  <c r="D22498" i="1"/>
  <c r="D22499" i="1"/>
  <c r="D22500" i="1"/>
  <c r="D22501" i="1"/>
  <c r="D22502" i="1"/>
  <c r="D22503" i="1"/>
  <c r="D22504" i="1"/>
  <c r="D22505" i="1"/>
  <c r="D22506" i="1"/>
  <c r="D22507" i="1"/>
  <c r="D22508" i="1"/>
  <c r="D22509" i="1"/>
  <c r="D11400" i="1"/>
  <c r="D11401" i="1"/>
  <c r="D11402" i="1"/>
  <c r="D22510" i="1"/>
  <c r="D22511" i="1"/>
  <c r="D22512" i="1"/>
  <c r="D22513" i="1"/>
  <c r="D22514" i="1"/>
  <c r="D22515" i="1"/>
  <c r="D22516" i="1"/>
  <c r="D10953" i="1"/>
  <c r="D13218" i="1"/>
  <c r="D7480" i="1"/>
  <c r="D7481" i="1"/>
  <c r="D7482" i="1"/>
  <c r="D7483" i="1"/>
  <c r="D7484" i="1"/>
  <c r="D7957" i="1"/>
  <c r="D14120" i="1"/>
  <c r="D3662" i="1"/>
  <c r="D25150" i="1"/>
  <c r="D7485" i="1"/>
  <c r="D7486" i="1"/>
  <c r="D7958" i="1"/>
  <c r="D11474" i="1"/>
  <c r="D12509" i="1"/>
  <c r="D26654" i="1"/>
  <c r="D27015" i="1"/>
  <c r="D817" i="1"/>
  <c r="D818" i="1"/>
  <c r="D1291" i="1"/>
  <c r="D26655" i="1"/>
  <c r="D27016" i="1"/>
  <c r="D11006" i="1"/>
  <c r="D26656" i="1"/>
  <c r="D27017" i="1"/>
  <c r="D27018" i="1"/>
  <c r="D19105" i="1"/>
  <c r="D11452" i="1"/>
  <c r="D5454" i="1"/>
  <c r="D3669" i="1"/>
  <c r="D8156" i="1"/>
  <c r="D8181" i="1"/>
  <c r="D8157" i="1"/>
  <c r="D8182" i="1"/>
  <c r="D8183" i="1"/>
  <c r="D8002" i="1"/>
  <c r="D8007" i="1"/>
  <c r="D4510" i="1"/>
  <c r="D14815" i="1"/>
  <c r="D14816" i="1"/>
  <c r="D14817" i="1"/>
  <c r="D8158" i="1"/>
  <c r="D8159" i="1"/>
  <c r="D19318" i="1"/>
  <c r="D19327" i="1"/>
  <c r="D19053" i="1"/>
  <c r="D22899" i="1"/>
  <c r="D11958" i="1"/>
  <c r="D1194" i="1"/>
  <c r="D17754" i="1"/>
  <c r="D17755" i="1"/>
  <c r="D10954" i="1"/>
  <c r="D25151" i="1"/>
  <c r="D11929" i="1"/>
  <c r="D25152" i="1"/>
  <c r="D25153" i="1"/>
  <c r="D7487" i="1"/>
  <c r="D7959" i="1"/>
  <c r="D7488" i="1"/>
  <c r="D7960" i="1"/>
  <c r="D7489" i="1"/>
  <c r="D5577" i="1"/>
  <c r="D1464" i="1"/>
  <c r="D1465" i="1"/>
  <c r="D9342" i="1"/>
  <c r="D9371" i="1"/>
  <c r="D9372" i="1"/>
  <c r="D9373" i="1"/>
  <c r="D25154" i="1"/>
  <c r="D25155" i="1"/>
  <c r="D25156" i="1"/>
  <c r="D25157" i="1"/>
  <c r="D11869" i="1"/>
  <c r="D25158" i="1"/>
  <c r="D25159" i="1"/>
  <c r="D7490" i="1"/>
  <c r="D7491" i="1"/>
  <c r="D7961" i="1"/>
  <c r="D25160" i="1"/>
  <c r="D15463" i="1"/>
  <c r="D17796" i="1"/>
  <c r="D17795" i="1"/>
  <c r="D17797" i="1"/>
  <c r="D17802" i="1"/>
  <c r="D17798" i="1"/>
  <c r="D3616" i="1"/>
  <c r="D5899" i="1"/>
  <c r="D5132" i="1"/>
  <c r="D5133" i="1"/>
  <c r="D22912" i="1"/>
  <c r="D22970" i="1"/>
  <c r="D10145" i="1"/>
  <c r="D8217" i="1"/>
  <c r="D15276" i="1"/>
  <c r="D661" i="1"/>
  <c r="D23569" i="1"/>
  <c r="D1316" i="1"/>
  <c r="D1317" i="1"/>
  <c r="D552" i="1"/>
  <c r="D24515" i="1"/>
  <c r="D15566" i="1"/>
  <c r="D1207" i="1"/>
  <c r="D19647" i="1"/>
  <c r="D19648" i="1"/>
  <c r="D8054" i="1"/>
  <c r="D4744" i="1"/>
  <c r="D4745" i="1"/>
  <c r="D7492" i="1"/>
  <c r="D7962" i="1"/>
  <c r="D7493" i="1"/>
  <c r="D7494" i="1"/>
  <c r="D25210" i="1"/>
  <c r="D7495" i="1"/>
  <c r="D7963" i="1"/>
  <c r="D7964" i="1"/>
  <c r="D7496" i="1"/>
  <c r="D5963" i="1"/>
  <c r="D25212" i="1"/>
  <c r="D25161" i="1"/>
  <c r="D1161" i="1"/>
  <c r="D18753" i="1"/>
  <c r="D25513" i="1"/>
  <c r="D12853" i="1"/>
  <c r="D12854" i="1"/>
  <c r="D24109" i="1"/>
  <c r="D24110" i="1"/>
  <c r="D24111" i="1"/>
  <c r="D24112" i="1"/>
  <c r="D24113" i="1"/>
  <c r="D24114" i="1"/>
  <c r="D24115" i="1"/>
  <c r="D12855" i="1"/>
  <c r="D12856" i="1"/>
  <c r="D12857" i="1"/>
  <c r="D12858" i="1"/>
  <c r="D11803" i="1"/>
  <c r="D3064" i="1"/>
  <c r="D3065" i="1"/>
  <c r="D3066" i="1"/>
  <c r="D3067" i="1"/>
  <c r="D27048" i="1"/>
  <c r="D3068" i="1"/>
  <c r="D3069" i="1"/>
  <c r="D14467" i="1"/>
  <c r="D1270" i="1"/>
  <c r="D26657" i="1"/>
  <c r="D27039" i="1"/>
  <c r="D2695" i="1"/>
  <c r="D2696" i="1"/>
  <c r="D1271" i="1"/>
  <c r="D9136" i="1"/>
  <c r="D22517" i="1"/>
  <c r="D22518" i="1"/>
  <c r="D10483" i="1"/>
  <c r="D18065" i="1"/>
  <c r="D22519" i="1"/>
  <c r="D22520" i="1"/>
  <c r="D22521" i="1"/>
  <c r="D22522" i="1"/>
  <c r="D22523" i="1"/>
  <c r="D22524" i="1"/>
  <c r="D22525" i="1"/>
  <c r="D22526" i="1"/>
  <c r="D22527" i="1"/>
  <c r="D23636" i="1"/>
  <c r="D3707" i="1"/>
  <c r="D3696" i="1"/>
  <c r="D25680" i="1"/>
  <c r="D25681" i="1"/>
  <c r="D25190" i="1"/>
  <c r="D10430" i="1"/>
  <c r="D17781" i="1"/>
  <c r="D15479" i="1"/>
  <c r="D19682" i="1"/>
  <c r="D803" i="1"/>
  <c r="D22913" i="1"/>
  <c r="D16836" i="1"/>
  <c r="D16837" i="1"/>
  <c r="D5773" i="1"/>
  <c r="D27019" i="1"/>
  <c r="D4169" i="1"/>
  <c r="D26271" i="1"/>
  <c r="D5578" i="1"/>
  <c r="D12781" i="1"/>
  <c r="D11884" i="1"/>
  <c r="D5579" i="1"/>
  <c r="D11817" i="1"/>
  <c r="D7497" i="1"/>
  <c r="D7965" i="1"/>
  <c r="D7498" i="1"/>
  <c r="D7966" i="1"/>
  <c r="D7499" i="1"/>
  <c r="D7967" i="1"/>
  <c r="D7500" i="1"/>
  <c r="D7968" i="1"/>
  <c r="D19060" i="1"/>
  <c r="D11831" i="1"/>
  <c r="D13136" i="1"/>
  <c r="D25736" i="1"/>
  <c r="D9984" i="1"/>
  <c r="D23413" i="1"/>
  <c r="D3791" i="1"/>
  <c r="D3792" i="1"/>
  <c r="D3793" i="1"/>
  <c r="D23414" i="1"/>
  <c r="D23063" i="1"/>
  <c r="D23415" i="1"/>
  <c r="D23416" i="1"/>
  <c r="D23417" i="1"/>
  <c r="D4957" i="1"/>
  <c r="D4958" i="1"/>
  <c r="D9985" i="1"/>
  <c r="D7501" i="1"/>
  <c r="D7502" i="1"/>
  <c r="D7503" i="1"/>
  <c r="D7504" i="1"/>
  <c r="D4073" i="1"/>
  <c r="D5532" i="1"/>
  <c r="D5580" i="1"/>
  <c r="D16135" i="1"/>
  <c r="D22974" i="1"/>
  <c r="D18892" i="1"/>
  <c r="D18898" i="1"/>
  <c r="D18893" i="1"/>
  <c r="D12425" i="1"/>
  <c r="D12426" i="1"/>
  <c r="D12427" i="1"/>
  <c r="D5900" i="1"/>
  <c r="D5901" i="1"/>
  <c r="D23442" i="1"/>
  <c r="D7505" i="1"/>
  <c r="D10062" i="1"/>
  <c r="D13967" i="1"/>
  <c r="D10060" i="1"/>
  <c r="D18965" i="1"/>
  <c r="D18966" i="1"/>
  <c r="D18967" i="1"/>
  <c r="D18968" i="1"/>
  <c r="D18969" i="1"/>
  <c r="D18970" i="1"/>
  <c r="D5771" i="1"/>
  <c r="D19003" i="1"/>
  <c r="D19004" i="1"/>
  <c r="D18971" i="1"/>
  <c r="D3745" i="1"/>
  <c r="D3746" i="1"/>
  <c r="D3747" i="1"/>
  <c r="D9409" i="1"/>
  <c r="D9439" i="1"/>
  <c r="D9440" i="1"/>
  <c r="D18972" i="1"/>
  <c r="D15223" i="1"/>
  <c r="D15143" i="1"/>
  <c r="D15224" i="1"/>
  <c r="D15225" i="1"/>
  <c r="D15144" i="1"/>
  <c r="D15145" i="1"/>
  <c r="D15146" i="1"/>
  <c r="D15226" i="1"/>
  <c r="D15227" i="1"/>
  <c r="D15228" i="1"/>
  <c r="D15118" i="1"/>
  <c r="D18067" i="1"/>
  <c r="D18838" i="1"/>
  <c r="D25786" i="1"/>
  <c r="D4205" i="1"/>
  <c r="D25787" i="1"/>
  <c r="D4206" i="1"/>
  <c r="D17993" i="1"/>
  <c r="D12672" i="1"/>
  <c r="D1162" i="1"/>
  <c r="D22528" i="1"/>
  <c r="D22529" i="1"/>
  <c r="D22530" i="1"/>
  <c r="D22531" i="1"/>
  <c r="D22532" i="1"/>
  <c r="D22533" i="1"/>
  <c r="D22534" i="1"/>
  <c r="D22535" i="1"/>
  <c r="D22536" i="1"/>
  <c r="D22537" i="1"/>
  <c r="D22538" i="1"/>
  <c r="D22539" i="1"/>
  <c r="D22540" i="1"/>
  <c r="D22541" i="1"/>
  <c r="D22542" i="1"/>
  <c r="D22543" i="1"/>
  <c r="D22544" i="1"/>
  <c r="D22545" i="1"/>
  <c r="D22546" i="1"/>
  <c r="D22547" i="1"/>
  <c r="D22548" i="1"/>
  <c r="D22549" i="1"/>
  <c r="D22550" i="1"/>
  <c r="D22551" i="1"/>
  <c r="D22552" i="1"/>
  <c r="D22553" i="1"/>
  <c r="D22554" i="1"/>
  <c r="D22555" i="1"/>
  <c r="D22556" i="1"/>
  <c r="D27113" i="1"/>
  <c r="D5590" i="1"/>
  <c r="D4705" i="1"/>
  <c r="D16152" i="1"/>
  <c r="D5455" i="1"/>
  <c r="D9042" i="1"/>
  <c r="D4035" i="1"/>
  <c r="D13033" i="1"/>
  <c r="D13034" i="1"/>
  <c r="D13035" i="1"/>
  <c r="D13036" i="1"/>
  <c r="D19138" i="1"/>
  <c r="D13178" i="1"/>
  <c r="D16807" i="1"/>
  <c r="D16808" i="1"/>
  <c r="D16832" i="1"/>
  <c r="D25827" i="1"/>
  <c r="D25828" i="1"/>
  <c r="D14739" i="1"/>
  <c r="D14740" i="1"/>
  <c r="D14741" i="1"/>
  <c r="D13230" i="1"/>
  <c r="D25829" i="1"/>
  <c r="D13231" i="1"/>
  <c r="D894" i="1"/>
  <c r="D605" i="1"/>
  <c r="D4324" i="1"/>
  <c r="D606" i="1"/>
  <c r="D4598" i="1"/>
  <c r="D15418" i="1"/>
  <c r="D15464" i="1"/>
  <c r="D5380" i="1"/>
  <c r="D25830" i="1"/>
  <c r="D25831" i="1"/>
  <c r="D25832" i="1"/>
  <c r="D4036" i="1"/>
  <c r="D7506" i="1"/>
  <c r="D7507" i="1"/>
  <c r="D7508" i="1"/>
  <c r="D7509" i="1"/>
  <c r="D4074" i="1"/>
  <c r="D4122" i="1"/>
  <c r="D12914" i="1"/>
  <c r="D5533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13179" i="1"/>
  <c r="D12963" i="1"/>
  <c r="D13037" i="1"/>
  <c r="D13114" i="1"/>
  <c r="D12964" i="1"/>
  <c r="D7524" i="1"/>
  <c r="D7969" i="1"/>
  <c r="D4511" i="1"/>
  <c r="D4512" i="1"/>
  <c r="D4513" i="1"/>
  <c r="D13180" i="1"/>
  <c r="D5456" i="1"/>
  <c r="D18042" i="1"/>
  <c r="D18043" i="1"/>
  <c r="D5457" i="1"/>
  <c r="D23640" i="1"/>
  <c r="D14742" i="1"/>
  <c r="D11792" i="1"/>
  <c r="D11793" i="1"/>
  <c r="D11794" i="1"/>
  <c r="D11795" i="1"/>
  <c r="D23115" i="1"/>
  <c r="D23418" i="1"/>
  <c r="D23003" i="1"/>
  <c r="D23116" i="1"/>
  <c r="D23104" i="1"/>
  <c r="D7525" i="1"/>
  <c r="D7526" i="1"/>
  <c r="D18973" i="1"/>
  <c r="D9043" i="1"/>
  <c r="D9044" i="1"/>
  <c r="D607" i="1"/>
  <c r="D608" i="1"/>
  <c r="D19023" i="1"/>
  <c r="D19028" i="1"/>
  <c r="D19015" i="1"/>
  <c r="D19024" i="1"/>
  <c r="D19029" i="1"/>
  <c r="D609" i="1"/>
  <c r="D9045" i="1"/>
  <c r="D3524" i="1"/>
  <c r="D8352" i="1"/>
  <c r="D9046" i="1"/>
  <c r="D14743" i="1"/>
  <c r="D22954" i="1"/>
  <c r="D12673" i="1"/>
  <c r="D9047" i="1"/>
  <c r="D9048" i="1"/>
  <c r="D9049" i="1"/>
  <c r="D9050" i="1"/>
  <c r="D9051" i="1"/>
  <c r="D9052" i="1"/>
  <c r="D9053" i="1"/>
  <c r="D9054" i="1"/>
  <c r="D9055" i="1"/>
  <c r="D9056" i="1"/>
  <c r="D17997" i="1"/>
  <c r="D9057" i="1"/>
  <c r="D9455" i="1"/>
  <c r="D8353" i="1"/>
  <c r="D8389" i="1"/>
  <c r="D8354" i="1"/>
  <c r="D13220" i="1"/>
  <c r="D9058" i="1"/>
  <c r="D23532" i="1"/>
  <c r="D15390" i="1"/>
  <c r="D15391" i="1"/>
  <c r="D3996" i="1"/>
  <c r="D4037" i="1"/>
  <c r="D4123" i="1"/>
  <c r="D11797" i="1"/>
  <c r="D2501" i="1"/>
  <c r="D8160" i="1"/>
  <c r="D8095" i="1"/>
  <c r="D1119" i="1"/>
  <c r="D27086" i="1"/>
  <c r="D27087" i="1"/>
  <c r="D1244" i="1"/>
  <c r="D9059" i="1"/>
  <c r="D9060" i="1"/>
  <c r="D1245" i="1"/>
  <c r="D14744" i="1"/>
  <c r="D9061" i="1"/>
  <c r="D13181" i="1"/>
  <c r="D9106" i="1"/>
  <c r="D13182" i="1"/>
  <c r="D13183" i="1"/>
  <c r="D13184" i="1"/>
  <c r="D9062" i="1"/>
  <c r="D8390" i="1"/>
  <c r="D24497" i="1"/>
  <c r="D5458" i="1"/>
  <c r="D9063" i="1"/>
  <c r="D12588" i="1"/>
  <c r="D12589" i="1"/>
  <c r="D12590" i="1"/>
  <c r="D12591" i="1"/>
  <c r="D12592" i="1"/>
  <c r="D12593" i="1"/>
  <c r="D12594" i="1"/>
  <c r="D19139" i="1"/>
  <c r="D9064" i="1"/>
  <c r="D16809" i="1"/>
  <c r="D16810" i="1"/>
  <c r="D5459" i="1"/>
  <c r="D14745" i="1"/>
  <c r="D18044" i="1"/>
  <c r="D18045" i="1"/>
  <c r="D9065" i="1"/>
  <c r="D16811" i="1"/>
  <c r="D16812" i="1"/>
  <c r="D8355" i="1"/>
  <c r="D9066" i="1"/>
  <c r="D13185" i="1"/>
  <c r="D9067" i="1"/>
  <c r="D9343" i="1"/>
  <c r="D9374" i="1"/>
  <c r="D4315" i="1"/>
  <c r="D4316" i="1"/>
  <c r="D4317" i="1"/>
  <c r="D4318" i="1"/>
  <c r="D2649" i="1"/>
  <c r="D2650" i="1"/>
  <c r="D25833" i="1"/>
  <c r="D22987" i="1"/>
  <c r="D11568" i="1"/>
  <c r="D8356" i="1"/>
  <c r="D9068" i="1"/>
  <c r="D9069" i="1"/>
  <c r="D15373" i="1"/>
  <c r="D8391" i="1"/>
  <c r="D9107" i="1"/>
  <c r="D13186" i="1"/>
  <c r="D9070" i="1"/>
  <c r="D5460" i="1"/>
  <c r="D13137" i="1"/>
  <c r="D1136" i="1"/>
  <c r="D1138" i="1"/>
  <c r="D1142" i="1"/>
  <c r="D5461" i="1"/>
  <c r="D8357" i="1"/>
  <c r="D5866" i="1"/>
  <c r="D11799" i="1"/>
  <c r="D1253" i="1"/>
  <c r="D4366" i="1"/>
  <c r="D4378" i="1"/>
  <c r="D11895" i="1"/>
  <c r="D17550" i="1"/>
  <c r="D4182" i="1"/>
  <c r="D12595" i="1"/>
  <c r="D12596" i="1"/>
  <c r="D8214" i="1"/>
  <c r="D19034" i="1"/>
  <c r="D12406" i="1"/>
  <c r="D17551" i="1"/>
  <c r="D15615" i="1"/>
  <c r="D658" i="1"/>
  <c r="D22979" i="1"/>
  <c r="D8055" i="1"/>
  <c r="D5301" i="1"/>
  <c r="D2476" i="1"/>
  <c r="D2477" i="1"/>
  <c r="D8246" i="1"/>
  <c r="D26460" i="1"/>
  <c r="D15539" i="1"/>
  <c r="D14818" i="1"/>
  <c r="D14819" i="1"/>
  <c r="D9394" i="1"/>
  <c r="D14746" i="1"/>
  <c r="D25500" i="1"/>
  <c r="D10486" i="1"/>
  <c r="D2910" i="1"/>
  <c r="D2911" i="1"/>
  <c r="D9493" i="1"/>
  <c r="D14138" i="1"/>
  <c r="D15540" i="1"/>
  <c r="D2364" i="1"/>
  <c r="D5921" i="1"/>
  <c r="D9768" i="1"/>
  <c r="D966" i="1"/>
  <c r="D26144" i="1"/>
  <c r="D26145" i="1"/>
  <c r="D26184" i="1"/>
  <c r="D11856" i="1"/>
  <c r="D18554" i="1"/>
  <c r="D998" i="1"/>
  <c r="D2689" i="1"/>
  <c r="D2690" i="1"/>
  <c r="D635" i="1"/>
  <c r="D5764" i="1"/>
  <c r="D18542" i="1"/>
  <c r="D5116" i="1"/>
  <c r="D5765" i="1"/>
  <c r="D18543" i="1"/>
  <c r="D18555" i="1"/>
  <c r="D574" i="1"/>
  <c r="D575" i="1"/>
  <c r="D25162" i="1"/>
  <c r="D18398" i="1"/>
  <c r="D3184" i="1"/>
  <c r="D3185" i="1"/>
  <c r="D10485" i="1"/>
  <c r="D23419" i="1"/>
  <c r="D23420" i="1"/>
  <c r="D5709" i="1"/>
  <c r="D2365" i="1"/>
  <c r="D16153" i="1"/>
  <c r="D890" i="1"/>
  <c r="D5766" i="1"/>
  <c r="D5767" i="1"/>
  <c r="D10955" i="1"/>
  <c r="D25163" i="1"/>
  <c r="D14584" i="1"/>
  <c r="D14593" i="1"/>
  <c r="D25164" i="1"/>
  <c r="D17958" i="1"/>
  <c r="D12674" i="1"/>
  <c r="D27020" i="1"/>
  <c r="D5302" i="1"/>
  <c r="D26701" i="1"/>
  <c r="D5303" i="1"/>
  <c r="D27021" i="1"/>
  <c r="D967" i="1"/>
  <c r="D27022" i="1"/>
  <c r="D26658" i="1"/>
  <c r="D15541" i="1"/>
  <c r="D25215" i="1"/>
  <c r="D25226" i="1"/>
  <c r="D5917" i="1"/>
  <c r="D19718" i="1"/>
  <c r="D2853" i="1"/>
  <c r="D9769" i="1"/>
  <c r="D25165" i="1"/>
  <c r="D25166" i="1"/>
  <c r="D7527" i="1"/>
  <c r="D7528" i="1"/>
  <c r="D25167" i="1"/>
  <c r="D4607" i="1"/>
  <c r="D18754" i="1"/>
  <c r="D18755" i="1"/>
  <c r="D27093" i="1"/>
  <c r="D16154" i="1"/>
  <c r="D25168" i="1"/>
  <c r="D25169" i="1"/>
  <c r="D5654" i="1"/>
  <c r="D5655" i="1"/>
  <c r="D27023" i="1"/>
  <c r="D2705" i="1"/>
  <c r="D25539" i="1"/>
  <c r="D25501" i="1"/>
  <c r="D18399" i="1"/>
  <c r="D18400" i="1"/>
  <c r="D5809" i="1"/>
  <c r="D15392" i="1"/>
  <c r="D14175" i="1"/>
  <c r="D26146" i="1"/>
  <c r="D26147" i="1"/>
  <c r="D5304" i="1"/>
  <c r="D5772" i="1"/>
  <c r="D1163" i="1"/>
  <c r="D1178" i="1"/>
  <c r="D5305" i="1"/>
  <c r="D27050" i="1"/>
  <c r="D14564" i="1"/>
  <c r="D18401" i="1"/>
  <c r="D16864" i="1"/>
  <c r="D16897" i="1"/>
  <c r="D11701" i="1"/>
  <c r="D25730" i="1"/>
  <c r="D25682" i="1"/>
  <c r="D25683" i="1"/>
  <c r="D25684" i="1"/>
  <c r="D25685" i="1"/>
  <c r="D25686" i="1"/>
  <c r="D25737" i="1"/>
  <c r="D12026" i="1"/>
  <c r="D12028" i="1"/>
  <c r="D26461" i="1"/>
  <c r="D2875" i="1"/>
  <c r="D10889" i="1"/>
  <c r="D10516" i="1"/>
  <c r="D2522" i="1"/>
  <c r="D26462" i="1"/>
  <c r="D27024" i="1"/>
  <c r="D26463" i="1"/>
  <c r="D27025" i="1"/>
  <c r="D15869" i="1"/>
  <c r="D618" i="1"/>
  <c r="D968" i="1"/>
  <c r="D4962" i="1"/>
  <c r="D22931" i="1"/>
  <c r="D22932" i="1"/>
  <c r="D22933" i="1"/>
  <c r="D17959" i="1"/>
  <c r="D22888" i="1"/>
  <c r="D26148" i="1"/>
  <c r="D26149" i="1"/>
  <c r="D26150" i="1"/>
  <c r="D26151" i="1"/>
  <c r="D22814" i="1"/>
  <c r="D969" i="1"/>
  <c r="D5360" i="1"/>
  <c r="D27026" i="1"/>
  <c r="D18066" i="1"/>
  <c r="D581" i="1"/>
  <c r="D11808" i="1"/>
  <c r="D12457" i="1"/>
  <c r="D12782" i="1"/>
  <c r="D27027" i="1"/>
  <c r="D11403" i="1"/>
  <c r="D11404" i="1"/>
  <c r="D5306" i="1"/>
  <c r="D5307" i="1"/>
  <c r="D11405" i="1"/>
  <c r="D27028" i="1"/>
  <c r="D25328" i="1"/>
  <c r="D3918" i="1"/>
  <c r="D3970" i="1"/>
  <c r="D3971" i="1"/>
  <c r="D5361" i="1"/>
  <c r="D27029" i="1"/>
  <c r="D25783" i="1"/>
  <c r="D26464" i="1"/>
  <c r="D11920" i="1"/>
  <c r="D10790" i="1"/>
  <c r="D10791" i="1"/>
  <c r="D9137" i="1"/>
  <c r="D15736" i="1"/>
  <c r="D12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895" i="1"/>
  <c r="D11991" i="1"/>
  <c r="D17725" i="1"/>
  <c r="D3976" i="1"/>
  <c r="D9344" i="1"/>
  <c r="D9345" i="1"/>
  <c r="D9375" i="1"/>
  <c r="D9376" i="1"/>
  <c r="D10243" i="1"/>
  <c r="D10240" i="1"/>
  <c r="D10456" i="1"/>
  <c r="D804" i="1"/>
  <c r="D12566" i="1"/>
  <c r="D17803" i="1"/>
  <c r="D5804" i="1"/>
  <c r="D5805" i="1"/>
  <c r="D4953" i="1"/>
  <c r="D4954" i="1"/>
  <c r="D24498" i="1"/>
  <c r="D17960" i="1"/>
  <c r="D17961" i="1"/>
  <c r="D17962" i="1"/>
  <c r="D22900" i="1"/>
  <c r="D17963" i="1"/>
  <c r="D17964" i="1"/>
  <c r="D17965" i="1"/>
  <c r="D17966" i="1"/>
  <c r="D9770" i="1"/>
  <c r="D10186" i="1"/>
  <c r="D7529" i="1"/>
  <c r="D7970" i="1"/>
  <c r="D7530" i="1"/>
  <c r="D7971" i="1"/>
  <c r="D7531" i="1"/>
  <c r="D8161" i="1"/>
  <c r="D8162" i="1"/>
  <c r="D7532" i="1"/>
  <c r="D7533" i="1"/>
  <c r="D2652" i="1"/>
  <c r="D25763" i="1"/>
  <c r="D5806" i="1"/>
  <c r="D13092" i="1"/>
  <c r="D13093" i="1"/>
  <c r="D25502" i="1"/>
  <c r="D25503" i="1"/>
  <c r="D8163" i="1"/>
  <c r="D8164" i="1"/>
  <c r="D8169" i="1"/>
  <c r="D8165" i="1"/>
  <c r="D8166" i="1"/>
  <c r="D17967" i="1"/>
  <c r="D7534" i="1"/>
  <c r="D4319" i="1"/>
  <c r="D12018" i="1"/>
  <c r="D10095" i="1"/>
  <c r="D10096" i="1"/>
  <c r="D10097" i="1"/>
  <c r="D2589" i="1"/>
  <c r="D4667" i="1"/>
  <c r="D14022" i="1"/>
  <c r="D10123" i="1"/>
  <c r="D13094" i="1"/>
  <c r="D13095" i="1"/>
  <c r="D16913" i="1"/>
  <c r="D7986" i="1"/>
  <c r="D7535" i="1"/>
  <c r="D7536" i="1"/>
  <c r="D3092" i="1"/>
  <c r="D19117" i="1"/>
  <c r="D19118" i="1"/>
  <c r="D4038" i="1"/>
  <c r="D5134" i="1"/>
  <c r="D5135" i="1"/>
  <c r="D17804" i="1"/>
  <c r="D17805" i="1"/>
  <c r="D7537" i="1"/>
  <c r="D15640" i="1"/>
  <c r="D16898" i="1"/>
  <c r="D16899" i="1"/>
  <c r="D2523" i="1"/>
  <c r="D4207" i="1"/>
  <c r="D10107" i="1"/>
  <c r="D10236" i="1"/>
  <c r="D10237" i="1"/>
  <c r="D8226" i="1"/>
  <c r="D8227" i="1"/>
  <c r="D13997" i="1"/>
  <c r="D27046" i="1"/>
  <c r="D12387" i="1"/>
  <c r="D12908" i="1"/>
  <c r="D12909" i="1"/>
  <c r="D12910" i="1"/>
  <c r="D12911" i="1"/>
  <c r="D8022" i="1"/>
  <c r="D11885" i="1"/>
  <c r="D4208" i="1"/>
  <c r="D18974" i="1"/>
  <c r="D18975" i="1"/>
  <c r="D9071" i="1"/>
  <c r="D24478" i="1"/>
  <c r="D24479" i="1"/>
  <c r="D24480" i="1"/>
  <c r="D25581" i="1"/>
  <c r="D9072" i="1"/>
  <c r="D24481" i="1"/>
  <c r="D24482" i="1"/>
  <c r="D9527" i="1"/>
  <c r="D9528" i="1"/>
  <c r="D9529" i="1"/>
  <c r="D19005" i="1"/>
  <c r="D9073" i="1"/>
  <c r="D24483" i="1"/>
  <c r="D24484" i="1"/>
  <c r="D18087" i="1"/>
  <c r="D18088" i="1"/>
  <c r="D731" i="1"/>
  <c r="D1300" i="1"/>
  <c r="D16914" i="1"/>
  <c r="D16915" i="1"/>
  <c r="D16916" i="1"/>
  <c r="D16917" i="1"/>
  <c r="D12510" i="1"/>
  <c r="D12511" i="1"/>
  <c r="D17603" i="1"/>
  <c r="D17604" i="1"/>
  <c r="D9771" i="1"/>
  <c r="D5867" i="1"/>
  <c r="D5868" i="1"/>
  <c r="D7538" i="1"/>
  <c r="D7539" i="1"/>
  <c r="D7972" i="1"/>
  <c r="D23456" i="1"/>
  <c r="D8358" i="1"/>
  <c r="D8359" i="1"/>
  <c r="D25314" i="1"/>
  <c r="D25574" i="1"/>
  <c r="D24871" i="1"/>
  <c r="D8194" i="1"/>
  <c r="D9404" i="1"/>
  <c r="D14461" i="1"/>
  <c r="D9074" i="1"/>
  <c r="D12737" i="1"/>
  <c r="D12757" i="1"/>
  <c r="D12738" i="1"/>
  <c r="D11818" i="1"/>
  <c r="D18976" i="1"/>
  <c r="D18977" i="1"/>
  <c r="D5855" i="1"/>
  <c r="D9075" i="1"/>
  <c r="D4124" i="1"/>
  <c r="D25315" i="1"/>
  <c r="D12379" i="1"/>
  <c r="D12380" i="1"/>
  <c r="D24485" i="1"/>
  <c r="D12244" i="1"/>
  <c r="D12245" i="1"/>
  <c r="D12246" i="1"/>
  <c r="D12247" i="1"/>
  <c r="D2418" i="1"/>
  <c r="D2419" i="1"/>
  <c r="D9076" i="1"/>
  <c r="D15616" i="1"/>
  <c r="D12369" i="1"/>
  <c r="D3590" i="1"/>
  <c r="D5865" i="1"/>
  <c r="D8250" i="1"/>
  <c r="D9077" i="1"/>
  <c r="D15229" i="1"/>
  <c r="D10031" i="1"/>
  <c r="D18978" i="1"/>
  <c r="D3995" i="1"/>
  <c r="D4039" i="1"/>
  <c r="D8360" i="1"/>
  <c r="D27030" i="1"/>
  <c r="D18402" i="1"/>
  <c r="D18164" i="1"/>
  <c r="D27031" i="1"/>
  <c r="D24486" i="1"/>
  <c r="D24487" i="1"/>
  <c r="D24488" i="1"/>
  <c r="D7540" i="1"/>
  <c r="D7973" i="1"/>
  <c r="D7541" i="1"/>
  <c r="D7974" i="1"/>
  <c r="D7542" i="1"/>
  <c r="D7975" i="1"/>
  <c r="D15230" i="1"/>
  <c r="D9078" i="1"/>
  <c r="D19033" i="1"/>
  <c r="D14868" i="1"/>
  <c r="D14869" i="1"/>
  <c r="D14870" i="1"/>
  <c r="D12248" i="1"/>
  <c r="D13096" i="1"/>
  <c r="D13097" i="1"/>
  <c r="D2715" i="1"/>
  <c r="D970" i="1"/>
  <c r="D9346" i="1"/>
  <c r="D9377" i="1"/>
  <c r="D18123" i="1"/>
  <c r="D18124" i="1"/>
  <c r="D9378" i="1"/>
  <c r="D16118" i="1"/>
  <c r="D15833" i="1"/>
  <c r="D12859" i="1"/>
  <c r="D12860" i="1"/>
  <c r="D12861" i="1"/>
  <c r="D12862" i="1"/>
  <c r="D16055" i="1"/>
  <c r="D9234" i="1"/>
  <c r="D9235" i="1"/>
  <c r="D16056" i="1"/>
  <c r="D16057" i="1"/>
  <c r="D9236" i="1"/>
  <c r="D16058" i="1"/>
  <c r="D16059" i="1"/>
  <c r="D9237" i="1"/>
  <c r="D9238" i="1"/>
  <c r="D9239" i="1"/>
  <c r="D9240" i="1"/>
  <c r="D9241" i="1"/>
  <c r="D16060" i="1"/>
  <c r="D16061" i="1"/>
  <c r="D15078" i="1"/>
  <c r="D15079" i="1"/>
  <c r="D16062" i="1"/>
  <c r="D16063" i="1"/>
  <c r="D2502" i="1"/>
  <c r="D3436" i="1"/>
  <c r="D4125" i="1"/>
  <c r="D12863" i="1"/>
  <c r="D12864" i="1"/>
  <c r="D9242" i="1"/>
  <c r="D12311" i="1"/>
  <c r="D12312" i="1"/>
  <c r="D12313" i="1"/>
  <c r="D12314" i="1"/>
  <c r="D12315" i="1"/>
  <c r="D2524" i="1"/>
  <c r="D13038" i="1"/>
  <c r="D13039" i="1"/>
  <c r="D27077" i="1"/>
  <c r="D27078" i="1"/>
  <c r="D9395" i="1"/>
  <c r="D5362" i="1"/>
  <c r="D3872" i="1"/>
  <c r="D22889" i="1"/>
  <c r="D26465" i="1"/>
  <c r="D17552" i="1"/>
  <c r="D15488" i="1"/>
  <c r="D2854" i="1"/>
  <c r="D17553" i="1"/>
  <c r="D17554" i="1"/>
  <c r="D26524" i="1"/>
  <c r="D10792" i="1"/>
  <c r="D24116" i="1"/>
  <c r="D24117" i="1"/>
  <c r="D24118" i="1"/>
  <c r="D24119" i="1"/>
  <c r="D10382" i="1"/>
  <c r="D17667" i="1"/>
  <c r="D10784" i="1"/>
  <c r="D10785" i="1"/>
  <c r="D3070" i="1"/>
  <c r="D3071" i="1"/>
  <c r="D3072" i="1"/>
  <c r="D24120" i="1"/>
  <c r="D24121" i="1"/>
  <c r="D24122" i="1"/>
  <c r="D24123" i="1"/>
  <c r="D24124" i="1"/>
  <c r="D8223" i="1"/>
  <c r="D24125" i="1"/>
  <c r="D10793" i="1"/>
  <c r="D10794" i="1"/>
  <c r="D10786" i="1"/>
  <c r="D24126" i="1"/>
  <c r="D24127" i="1"/>
  <c r="D15732" i="1"/>
  <c r="D19031" i="1"/>
  <c r="D19032" i="1"/>
  <c r="D9142" i="1"/>
  <c r="D25569" i="1"/>
  <c r="D25570" i="1"/>
  <c r="D23421" i="1"/>
  <c r="D23422" i="1"/>
  <c r="D23423" i="1"/>
  <c r="D23424" i="1"/>
  <c r="D8361" i="1"/>
  <c r="D25270" i="1"/>
  <c r="D25271" i="1"/>
  <c r="D25316" i="1"/>
  <c r="D23486" i="1"/>
  <c r="D23457" i="1"/>
  <c r="D23487" i="1"/>
  <c r="D8267" i="1"/>
  <c r="D8362" i="1"/>
  <c r="D3752" i="1"/>
  <c r="D15641" i="1"/>
  <c r="D12249" i="1"/>
  <c r="D12250" i="1"/>
  <c r="D12251" i="1"/>
  <c r="D12252" i="1"/>
  <c r="D12253" i="1"/>
  <c r="D12254" i="1"/>
  <c r="D12255" i="1"/>
  <c r="D12256" i="1"/>
  <c r="D12257" i="1"/>
  <c r="D23425" i="1"/>
  <c r="D23426" i="1"/>
  <c r="D23427" i="1"/>
  <c r="D23428" i="1"/>
  <c r="D23429" i="1"/>
  <c r="D23064" i="1"/>
  <c r="D17613" i="1"/>
  <c r="D10187" i="1"/>
  <c r="D5951" i="1"/>
  <c r="D3073" i="1"/>
  <c r="D10509" i="1"/>
  <c r="D10795" i="1"/>
  <c r="D18403" i="1"/>
  <c r="D24128" i="1"/>
  <c r="D9283" i="1"/>
  <c r="D9284" i="1"/>
  <c r="D9285" i="1"/>
  <c r="D9286" i="1"/>
  <c r="D24129" i="1"/>
  <c r="D24130" i="1"/>
  <c r="D24131" i="1"/>
  <c r="D24132" i="1"/>
  <c r="D24133" i="1"/>
  <c r="D17968" i="1"/>
  <c r="D25803" i="1"/>
  <c r="D3074" i="1"/>
  <c r="D663" i="1"/>
  <c r="D24134" i="1"/>
  <c r="D24135" i="1"/>
  <c r="D10431" i="1"/>
  <c r="D24136" i="1"/>
  <c r="D17666" i="1"/>
  <c r="D10796" i="1"/>
  <c r="D10797" i="1"/>
  <c r="D24137" i="1"/>
  <c r="D24138" i="1"/>
  <c r="D24139" i="1"/>
  <c r="D10787" i="1"/>
  <c r="D10788" i="1"/>
  <c r="D24140" i="1"/>
  <c r="D24141" i="1"/>
  <c r="D24142" i="1"/>
  <c r="D10789" i="1"/>
  <c r="D10798" i="1"/>
  <c r="D3124" i="1"/>
  <c r="D17969" i="1"/>
  <c r="D24143" i="1"/>
  <c r="D24144" i="1"/>
  <c r="D24145" i="1"/>
  <c r="D24146" i="1"/>
  <c r="D24147" i="1"/>
  <c r="D24148" i="1"/>
  <c r="D24149" i="1"/>
  <c r="D24150" i="1"/>
  <c r="D24151" i="1"/>
  <c r="D24152" i="1"/>
  <c r="D24153" i="1"/>
  <c r="D10616" i="1"/>
  <c r="D10617" i="1"/>
  <c r="D10618" i="1"/>
  <c r="D10619" i="1"/>
  <c r="D10620" i="1"/>
  <c r="D10621" i="1"/>
  <c r="D10622" i="1"/>
  <c r="D10623" i="1"/>
  <c r="D10624" i="1"/>
  <c r="D14404" i="1"/>
  <c r="D12363" i="1"/>
  <c r="D12364" i="1"/>
  <c r="D12365" i="1"/>
  <c r="D3427" i="1"/>
  <c r="D896" i="1"/>
  <c r="D16872" i="1"/>
  <c r="D10117" i="1"/>
  <c r="D10118" i="1"/>
  <c r="D14453" i="1"/>
  <c r="D5308" i="1"/>
  <c r="D27032" i="1"/>
  <c r="D5381" i="1"/>
  <c r="D26702" i="1"/>
  <c r="D18756" i="1"/>
  <c r="D18757" i="1"/>
  <c r="D18758" i="1"/>
  <c r="D10665" i="1"/>
  <c r="D10666" i="1"/>
  <c r="D10712" i="1"/>
  <c r="D576" i="1"/>
  <c r="D14605" i="1"/>
  <c r="D11930" i="1"/>
  <c r="D14454" i="1"/>
  <c r="D11007" i="1"/>
  <c r="D14462" i="1"/>
  <c r="D14405" i="1"/>
  <c r="D14406" i="1"/>
  <c r="D14407" i="1"/>
  <c r="D14408" i="1"/>
  <c r="D14409" i="1"/>
  <c r="D14410" i="1"/>
  <c r="D14411" i="1"/>
  <c r="D23065" i="1"/>
  <c r="D23430" i="1"/>
  <c r="D23179" i="1"/>
  <c r="D10629" i="1"/>
  <c r="D10713" i="1"/>
  <c r="D10714" i="1"/>
  <c r="D10077" i="1"/>
  <c r="D10070" i="1"/>
  <c r="D10078" i="1"/>
  <c r="D9101" i="1"/>
  <c r="D9102" i="1"/>
  <c r="D10202" i="1"/>
  <c r="D11939" i="1"/>
  <c r="D11954" i="1"/>
  <c r="D11955" i="1"/>
  <c r="D11943" i="1"/>
  <c r="D11956" i="1"/>
  <c r="D16900" i="1"/>
  <c r="D16901" i="1"/>
  <c r="D9772" i="1"/>
  <c r="D14715" i="1"/>
  <c r="D25780" i="1"/>
  <c r="D9773" i="1"/>
  <c r="D9774" i="1"/>
  <c r="D9899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947" i="1"/>
  <c r="D9790" i="1"/>
  <c r="D15127" i="1"/>
  <c r="D15231" i="1"/>
  <c r="D15147" i="1"/>
  <c r="D15232" i="1"/>
  <c r="D15233" i="1"/>
  <c r="D12675" i="1"/>
  <c r="D9791" i="1"/>
  <c r="D9792" i="1"/>
  <c r="D9793" i="1"/>
  <c r="D9794" i="1"/>
  <c r="D9932" i="1"/>
  <c r="D14412" i="1"/>
  <c r="D14413" i="1"/>
  <c r="D14414" i="1"/>
  <c r="D14415" i="1"/>
  <c r="D14416" i="1"/>
  <c r="D14417" i="1"/>
  <c r="D14418" i="1"/>
  <c r="D14419" i="1"/>
  <c r="D14420" i="1"/>
  <c r="D14421" i="1"/>
  <c r="D14422" i="1"/>
  <c r="D14423" i="1"/>
  <c r="D14424" i="1"/>
  <c r="D14425" i="1"/>
  <c r="D14426" i="1"/>
  <c r="D620" i="1"/>
  <c r="D14455" i="1"/>
  <c r="D25371" i="1"/>
  <c r="D2603" i="1"/>
  <c r="D9795" i="1"/>
  <c r="D9933" i="1"/>
  <c r="D9934" i="1"/>
  <c r="D9935" i="1"/>
  <c r="D9936" i="1"/>
  <c r="D4933" i="1"/>
  <c r="D10071" i="1"/>
  <c r="D10079" i="1"/>
  <c r="D4934" i="1"/>
  <c r="D23180" i="1"/>
  <c r="D25540" i="1"/>
  <c r="D2525" i="1"/>
  <c r="D1292" i="1"/>
  <c r="D15900" i="1"/>
  <c r="D3972" i="1"/>
  <c r="D10799" i="1"/>
  <c r="D10800" i="1"/>
  <c r="D22557" i="1"/>
  <c r="D22558" i="1"/>
  <c r="D22559" i="1"/>
  <c r="D11406" i="1"/>
  <c r="D11407" i="1"/>
  <c r="D22560" i="1"/>
  <c r="D11408" i="1"/>
  <c r="D26703" i="1"/>
  <c r="D22561" i="1"/>
  <c r="D22562" i="1"/>
  <c r="D22563" i="1"/>
  <c r="D22564" i="1"/>
  <c r="D22565" i="1"/>
  <c r="D22566" i="1"/>
  <c r="D22567" i="1"/>
  <c r="D22568" i="1"/>
  <c r="D22569" i="1"/>
  <c r="D22570" i="1"/>
  <c r="D11409" i="1"/>
  <c r="D11526" i="1"/>
  <c r="D22571" i="1"/>
  <c r="D11410" i="1"/>
  <c r="D11552" i="1"/>
  <c r="D10801" i="1"/>
  <c r="D11411" i="1"/>
  <c r="D11412" i="1"/>
  <c r="D22572" i="1"/>
  <c r="D11413" i="1"/>
  <c r="D11527" i="1"/>
  <c r="D11414" i="1"/>
  <c r="D11415" i="1"/>
  <c r="D11528" i="1"/>
  <c r="D11416" i="1"/>
  <c r="D11553" i="1"/>
  <c r="D24154" i="1"/>
  <c r="D24155" i="1"/>
  <c r="D12034" i="1"/>
  <c r="D12027" i="1"/>
  <c r="D11735" i="1"/>
  <c r="D11736" i="1"/>
  <c r="D22573" i="1"/>
  <c r="D22574" i="1"/>
  <c r="D22575" i="1"/>
  <c r="D11417" i="1"/>
  <c r="D11418" i="1"/>
  <c r="D11419" i="1"/>
  <c r="D22576" i="1"/>
  <c r="D22577" i="1"/>
  <c r="D5072" i="1"/>
  <c r="D5090" i="1"/>
  <c r="D22578" i="1"/>
  <c r="D22579" i="1"/>
  <c r="D22580" i="1"/>
  <c r="D22581" i="1"/>
  <c r="D22582" i="1"/>
  <c r="D11008" i="1"/>
  <c r="D22583" i="1"/>
  <c r="D2855" i="1"/>
  <c r="D11420" i="1"/>
  <c r="D11750" i="1"/>
  <c r="D11659" i="1"/>
  <c r="D11660" i="1"/>
  <c r="D11661" i="1"/>
  <c r="D1490" i="1"/>
  <c r="D11421" i="1"/>
  <c r="D22584" i="1"/>
  <c r="D22585" i="1"/>
  <c r="D22586" i="1"/>
  <c r="D22587" i="1"/>
  <c r="D22588" i="1"/>
  <c r="D22589" i="1"/>
  <c r="D22590" i="1"/>
  <c r="D14537" i="1"/>
  <c r="D14538" i="1"/>
  <c r="D14539" i="1"/>
  <c r="D14540" i="1"/>
  <c r="D14541" i="1"/>
  <c r="D14542" i="1"/>
  <c r="D14543" i="1"/>
  <c r="D14544" i="1"/>
  <c r="D1448" i="1"/>
  <c r="D1449" i="1"/>
  <c r="D22591" i="1"/>
  <c r="D22592" i="1"/>
  <c r="D22593" i="1"/>
  <c r="D22594" i="1"/>
  <c r="D22595" i="1"/>
  <c r="D22596" i="1"/>
  <c r="D22597" i="1"/>
  <c r="D22598" i="1"/>
  <c r="D22599" i="1"/>
  <c r="D22600" i="1"/>
  <c r="D22601" i="1"/>
  <c r="D22602" i="1"/>
  <c r="D22603" i="1"/>
  <c r="D22604" i="1"/>
  <c r="D22605" i="1"/>
  <c r="D22606" i="1"/>
  <c r="D22607" i="1"/>
  <c r="D22608" i="1"/>
  <c r="D22609" i="1"/>
  <c r="D22610" i="1"/>
  <c r="D22611" i="1"/>
  <c r="D22612" i="1"/>
  <c r="D22613" i="1"/>
  <c r="D22614" i="1"/>
  <c r="D22615" i="1"/>
  <c r="D22616" i="1"/>
  <c r="D22617" i="1"/>
  <c r="D22618" i="1"/>
  <c r="D22619" i="1"/>
  <c r="D11422" i="1"/>
  <c r="D22620" i="1"/>
  <c r="D2395" i="1"/>
  <c r="D22621" i="1"/>
  <c r="D12316" i="1"/>
  <c r="D12317" i="1"/>
  <c r="D22622" i="1"/>
  <c r="D22623" i="1"/>
  <c r="D22624" i="1"/>
  <c r="D22625" i="1"/>
  <c r="D22626" i="1"/>
  <c r="D22627" i="1"/>
  <c r="D22628" i="1"/>
  <c r="D22629" i="1"/>
  <c r="D22630" i="1"/>
  <c r="D22631" i="1"/>
  <c r="D22632" i="1"/>
  <c r="D22633" i="1"/>
  <c r="D19295" i="1"/>
  <c r="D19296" i="1"/>
  <c r="D22634" i="1"/>
  <c r="D22635" i="1"/>
  <c r="D22636" i="1"/>
  <c r="D22637" i="1"/>
  <c r="D22638" i="1"/>
  <c r="D22639" i="1"/>
  <c r="D22640" i="1"/>
  <c r="D22641" i="1"/>
  <c r="D22642" i="1"/>
  <c r="D22643" i="1"/>
  <c r="D22644" i="1"/>
  <c r="D22645" i="1"/>
  <c r="D22646" i="1"/>
  <c r="D22647" i="1"/>
  <c r="D22648" i="1"/>
  <c r="D22649" i="1"/>
  <c r="D22650" i="1"/>
  <c r="D23066" i="1"/>
  <c r="D23431" i="1"/>
  <c r="D23181" i="1"/>
  <c r="D23067" i="1"/>
  <c r="D23432" i="1"/>
  <c r="D23433" i="1"/>
  <c r="D23182" i="1"/>
  <c r="D23434" i="1"/>
  <c r="D23068" i="1"/>
  <c r="D11662" i="1"/>
  <c r="D11663" i="1"/>
  <c r="D14545" i="1"/>
  <c r="D5413" i="1"/>
  <c r="D27033" i="1"/>
  <c r="D22651" i="1"/>
  <c r="D22652" i="1"/>
  <c r="D22653" i="1"/>
  <c r="D22654" i="1"/>
  <c r="D22655" i="1"/>
  <c r="D22656" i="1"/>
  <c r="D22657" i="1"/>
  <c r="D22658" i="1"/>
  <c r="D22659" i="1"/>
  <c r="D22660" i="1"/>
  <c r="D22661" i="1"/>
  <c r="D11423" i="1"/>
  <c r="D11664" i="1"/>
  <c r="D11665" i="1"/>
  <c r="D22662" i="1"/>
  <c r="D22663" i="1"/>
  <c r="D22664" i="1"/>
  <c r="D22665" i="1"/>
  <c r="D22666" i="1"/>
  <c r="D22667" i="1"/>
  <c r="D22668" i="1"/>
  <c r="D22669" i="1"/>
  <c r="D22670" i="1"/>
  <c r="D22671" i="1"/>
  <c r="D22672" i="1"/>
  <c r="D22673" i="1"/>
  <c r="D14546" i="1"/>
  <c r="D26659" i="1"/>
  <c r="D27034" i="1"/>
  <c r="D22674" i="1"/>
  <c r="D22675" i="1"/>
  <c r="D11424" i="1"/>
  <c r="D577" i="1"/>
  <c r="D22676" i="1"/>
  <c r="D22677" i="1"/>
  <c r="D22678" i="1"/>
  <c r="D22679" i="1"/>
  <c r="D22680" i="1"/>
  <c r="D22681" i="1"/>
  <c r="D22682" i="1"/>
  <c r="D22683" i="1"/>
  <c r="D22684" i="1"/>
  <c r="D22685" i="1"/>
  <c r="D22686" i="1"/>
  <c r="D22687" i="1"/>
  <c r="D22688" i="1"/>
  <c r="D22689" i="1"/>
  <c r="D22690" i="1"/>
  <c r="D22691" i="1"/>
  <c r="D22692" i="1"/>
  <c r="D22693" i="1"/>
  <c r="D22694" i="1"/>
  <c r="D22695" i="1"/>
  <c r="D22696" i="1"/>
  <c r="D22697" i="1"/>
  <c r="D22698" i="1"/>
  <c r="D22699" i="1"/>
  <c r="D22700" i="1"/>
  <c r="D22701" i="1"/>
  <c r="D1450" i="1"/>
  <c r="D1451" i="1"/>
  <c r="D1458" i="1"/>
  <c r="D1459" i="1"/>
  <c r="D16073" i="1"/>
  <c r="D23488" i="1"/>
  <c r="D1452" i="1"/>
  <c r="D1453" i="1"/>
  <c r="D22702" i="1"/>
  <c r="D22703" i="1"/>
  <c r="D22704" i="1"/>
  <c r="D22705" i="1"/>
  <c r="D22706" i="1"/>
  <c r="D22707" i="1"/>
  <c r="D15465" i="1"/>
  <c r="D11425" i="1"/>
  <c r="D2691" i="1"/>
  <c r="D26525" i="1"/>
  <c r="D11426" i="1"/>
  <c r="D14547" i="1"/>
  <c r="D22708" i="1"/>
  <c r="D22709" i="1"/>
  <c r="D2856" i="1"/>
  <c r="D5073" i="1"/>
  <c r="D5091" i="1"/>
  <c r="D5074" i="1"/>
  <c r="D5092" i="1"/>
  <c r="D1460" i="1"/>
  <c r="D25514" i="1"/>
  <c r="D22710" i="1"/>
  <c r="D22711" i="1"/>
  <c r="D22712" i="1"/>
  <c r="D22713" i="1"/>
  <c r="D22714" i="1"/>
  <c r="D22715" i="1"/>
  <c r="D22716" i="1"/>
  <c r="D3075" i="1"/>
  <c r="D3076" i="1"/>
  <c r="D22717" i="1"/>
  <c r="D11427" i="1"/>
  <c r="D11529" i="1"/>
  <c r="D11530" i="1"/>
  <c r="D13944" i="1"/>
  <c r="D22718" i="1"/>
  <c r="D22719" i="1"/>
  <c r="D22720" i="1"/>
  <c r="D22721" i="1"/>
  <c r="D22722" i="1"/>
  <c r="D22723" i="1"/>
  <c r="D22724" i="1"/>
  <c r="D22725" i="1"/>
  <c r="D22726" i="1"/>
  <c r="D22727" i="1"/>
  <c r="D22728" i="1"/>
  <c r="D22729" i="1"/>
  <c r="D22730" i="1"/>
  <c r="D22731" i="1"/>
  <c r="D22732" i="1"/>
  <c r="D22733" i="1"/>
  <c r="D22734" i="1"/>
  <c r="D22735" i="1"/>
  <c r="D22736" i="1"/>
  <c r="D11428" i="1"/>
  <c r="D1454" i="1"/>
  <c r="D1455" i="1"/>
  <c r="D11737" i="1"/>
  <c r="D22737" i="1"/>
  <c r="D22738" i="1"/>
  <c r="D673" i="1"/>
  <c r="D22739" i="1"/>
  <c r="D22740" i="1"/>
  <c r="D22741" i="1"/>
  <c r="D22742" i="1"/>
  <c r="D22743" i="1"/>
  <c r="D22744" i="1"/>
  <c r="D11429" i="1"/>
  <c r="D11430" i="1"/>
  <c r="D27035" i="1"/>
  <c r="D10802" i="1"/>
  <c r="D22745" i="1"/>
  <c r="D22746" i="1"/>
  <c r="D22747" i="1"/>
  <c r="D22748" i="1"/>
  <c r="D22749" i="1"/>
  <c r="D12965" i="1"/>
  <c r="D13040" i="1"/>
  <c r="D13115" i="1"/>
  <c r="D12966" i="1"/>
  <c r="D11431" i="1"/>
  <c r="D14548" i="1"/>
  <c r="D22750" i="1"/>
  <c r="D22751" i="1"/>
  <c r="D22752" i="1"/>
  <c r="D22753" i="1"/>
  <c r="D22754" i="1"/>
  <c r="D22755" i="1"/>
  <c r="D22756" i="1"/>
  <c r="D22757" i="1"/>
  <c r="D11761" i="1"/>
  <c r="D11475" i="1"/>
  <c r="D25582" i="1"/>
  <c r="D22758" i="1"/>
  <c r="D4668" i="1"/>
  <c r="D5075" i="1"/>
  <c r="D5093" i="1"/>
  <c r="D22759" i="1"/>
  <c r="D22760" i="1"/>
  <c r="D22761" i="1"/>
  <c r="D22762" i="1"/>
  <c r="D22763" i="1"/>
  <c r="D22764" i="1"/>
  <c r="D22765" i="1"/>
  <c r="D22766" i="1"/>
  <c r="D22767" i="1"/>
  <c r="D971" i="1"/>
  <c r="D11432" i="1"/>
  <c r="D11433" i="1"/>
  <c r="D11434" i="1"/>
  <c r="D17970" i="1"/>
  <c r="D17971" i="1"/>
  <c r="D17972" i="1"/>
  <c r="D17973" i="1"/>
  <c r="D17974" i="1"/>
  <c r="D17975" i="1"/>
  <c r="D17976" i="1"/>
  <c r="D23435" i="1"/>
  <c r="D23004" i="1"/>
  <c r="D23183" i="1"/>
  <c r="D23436" i="1"/>
  <c r="D23437" i="1"/>
  <c r="D14927" i="1"/>
  <c r="D14928" i="1"/>
  <c r="D14929" i="1"/>
  <c r="D14930" i="1"/>
  <c r="D14931" i="1"/>
  <c r="D14932" i="1"/>
  <c r="D15090" i="1"/>
  <c r="D15091" i="1"/>
  <c r="D17977" i="1"/>
  <c r="D17978" i="1"/>
  <c r="D19297" i="1"/>
  <c r="D19298" i="1"/>
  <c r="D19299" i="1"/>
  <c r="D19300" i="1"/>
  <c r="D3077" i="1"/>
  <c r="D3078" i="1"/>
  <c r="D3079" i="1"/>
  <c r="D3080" i="1"/>
  <c r="D3081" i="1"/>
  <c r="D24156" i="1"/>
  <c r="D24157" i="1"/>
  <c r="D24158" i="1"/>
  <c r="D24159" i="1"/>
  <c r="D24160" i="1"/>
  <c r="D24161" i="1"/>
  <c r="D24162" i="1"/>
  <c r="D14549" i="1"/>
  <c r="D3428" i="1"/>
  <c r="D3429" i="1"/>
  <c r="D9126" i="1"/>
  <c r="D9127" i="1"/>
  <c r="D19194" i="1"/>
  <c r="D19195" i="1"/>
  <c r="D16133" i="1"/>
  <c r="D16134" i="1"/>
  <c r="D2427" i="1"/>
  <c r="D14550" i="1"/>
  <c r="D5385" i="1"/>
  <c r="D18979" i="1"/>
  <c r="D18980" i="1"/>
  <c r="D19632" i="1"/>
  <c r="D19644" i="1"/>
  <c r="D14551" i="1"/>
  <c r="D10210" i="1"/>
  <c r="D3715" i="1"/>
  <c r="D14552" i="1"/>
  <c r="D14553" i="1"/>
  <c r="D22768" i="1"/>
  <c r="D22769" i="1"/>
  <c r="D22770" i="1"/>
  <c r="D22771" i="1"/>
  <c r="D22772" i="1"/>
  <c r="D22773" i="1"/>
  <c r="D22774" i="1"/>
  <c r="D22775" i="1"/>
  <c r="D22776" i="1"/>
  <c r="D19301" i="1"/>
  <c r="D19302" i="1"/>
  <c r="D14554" i="1"/>
  <c r="D22777" i="1"/>
  <c r="D14555" i="1"/>
  <c r="D25207" i="1"/>
  <c r="D25208" i="1"/>
  <c r="D19061" i="1"/>
  <c r="D10419" i="1"/>
  <c r="D19196" i="1"/>
  <c r="D19197" i="1"/>
  <c r="D19303" i="1"/>
  <c r="D19304" i="1"/>
  <c r="D19305" i="1"/>
  <c r="D24163" i="1"/>
  <c r="D24164" i="1"/>
  <c r="D24165" i="1"/>
  <c r="D24166" i="1"/>
  <c r="D24167" i="1"/>
  <c r="D24168" i="1"/>
  <c r="D11435" i="1"/>
  <c r="D11436" i="1"/>
  <c r="D22778" i="1"/>
  <c r="D24169" i="1"/>
  <c r="D24170" i="1"/>
  <c r="D19306" i="1"/>
  <c r="D19307" i="1"/>
  <c r="D2697" i="1"/>
  <c r="D25812" i="1"/>
  <c r="D27036" i="1"/>
  <c r="D3860" i="1"/>
  <c r="D16838" i="1"/>
  <c r="D10420" i="1"/>
  <c r="D24171" i="1"/>
  <c r="D24172" i="1"/>
  <c r="D24173" i="1"/>
  <c r="D10715" i="1"/>
  <c r="D15018" i="1"/>
  <c r="D22779" i="1"/>
  <c r="D22780" i="1"/>
  <c r="D22781" i="1"/>
  <c r="D22782" i="1"/>
  <c r="D22783" i="1"/>
  <c r="D22784" i="1"/>
  <c r="D22785" i="1"/>
  <c r="D22786" i="1"/>
  <c r="D22787" i="1"/>
  <c r="D22788" i="1"/>
  <c r="D22789" i="1"/>
  <c r="D22790" i="1"/>
  <c r="D22791" i="1"/>
  <c r="D22792" i="1"/>
  <c r="D22793" i="1"/>
  <c r="D22794" i="1"/>
  <c r="D22795" i="1"/>
  <c r="D22796" i="1"/>
  <c r="D22797" i="1"/>
  <c r="D22798" i="1"/>
  <c r="D22799" i="1"/>
  <c r="D22800" i="1"/>
  <c r="D22801" i="1"/>
  <c r="D22802" i="1"/>
  <c r="D22803" i="1"/>
  <c r="D22804" i="1"/>
  <c r="D22805" i="1"/>
  <c r="D22806" i="1"/>
  <c r="D25834" i="1"/>
  <c r="D25835" i="1"/>
  <c r="D25836" i="1"/>
  <c r="D11437" i="1"/>
  <c r="D3861" i="1"/>
  <c r="D11438" i="1"/>
  <c r="D11439" i="1"/>
  <c r="D19633" i="1"/>
  <c r="D19645" i="1"/>
  <c r="D19634" i="1"/>
  <c r="D19646" i="1"/>
  <c r="D18081" i="1"/>
  <c r="D18481" i="1"/>
  <c r="D25515" i="1"/>
  <c r="D17347" i="1"/>
  <c r="D15608" i="1"/>
  <c r="D15609" i="1"/>
  <c r="D10032" i="1"/>
  <c r="D10033" i="1"/>
  <c r="D3125" i="1"/>
  <c r="D3126" i="1"/>
  <c r="D4763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4764" i="1"/>
  <c r="D4765" i="1"/>
  <c r="D4766" i="1"/>
  <c r="D476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4768" i="1"/>
  <c r="D4769" i="1"/>
  <c r="D4770" i="1"/>
  <c r="D4771" i="1"/>
  <c r="D4772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4773" i="1"/>
  <c r="D4774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4775" i="1"/>
  <c r="D4776" i="1"/>
  <c r="D4777" i="1"/>
  <c r="D13297" i="1"/>
  <c r="D4778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4779" i="1"/>
  <c r="D4780" i="1"/>
  <c r="D4781" i="1"/>
  <c r="D4782" i="1"/>
  <c r="D4783" i="1"/>
  <c r="D4784" i="1"/>
  <c r="D13442" i="1"/>
  <c r="D13443" i="1"/>
  <c r="D13444" i="1"/>
  <c r="D13445" i="1"/>
  <c r="D13446" i="1"/>
  <c r="D13447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4833" i="1"/>
  <c r="D4834" i="1"/>
  <c r="D4835" i="1"/>
  <c r="D13879" i="1"/>
  <c r="D13880" i="1"/>
  <c r="D13881" i="1"/>
  <c r="D13882" i="1"/>
  <c r="D13883" i="1"/>
  <c r="D13884" i="1"/>
  <c r="D17700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17677" i="1"/>
  <c r="D17701" i="1"/>
  <c r="D13193" i="1"/>
  <c r="D13196" i="1"/>
  <c r="D4875" i="1"/>
  <c r="D13885" i="1"/>
  <c r="D13886" i="1"/>
  <c r="D13887" i="1"/>
  <c r="D2559" i="1"/>
  <c r="D17319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17680" i="1"/>
  <c r="D17681" i="1"/>
  <c r="D17682" i="1"/>
  <c r="D17683" i="1"/>
  <c r="D17684" i="1"/>
  <c r="D17685" i="1"/>
  <c r="D17674" i="1"/>
  <c r="D17678" i="1"/>
  <c r="D17686" i="1"/>
  <c r="D17687" i="1"/>
  <c r="D17688" i="1"/>
  <c r="D17689" i="1"/>
  <c r="D17675" i="1"/>
  <c r="D4900" i="1"/>
  <c r="D4901" i="1"/>
  <c r="D4902" i="1"/>
  <c r="D4903" i="1"/>
  <c r="D4904" i="1"/>
  <c r="D4905" i="1"/>
  <c r="D16186" i="1"/>
  <c r="D2560" i="1"/>
  <c r="D16187" i="1"/>
  <c r="D16188" i="1"/>
  <c r="D16189" i="1"/>
  <c r="D16625" i="1"/>
  <c r="D16478" i="1"/>
  <c r="D16479" i="1"/>
  <c r="D16480" i="1"/>
  <c r="D16190" i="1"/>
  <c r="D16191" i="1"/>
  <c r="D16192" i="1"/>
  <c r="D16178" i="1"/>
  <c r="D17265" i="1"/>
  <c r="D16170" i="1"/>
  <c r="D16171" i="1"/>
  <c r="D16193" i="1"/>
  <c r="D16626" i="1"/>
  <c r="D16194" i="1"/>
  <c r="D17036" i="1"/>
  <c r="D17037" i="1"/>
  <c r="D17132" i="1"/>
  <c r="D17184" i="1"/>
  <c r="D17133" i="1"/>
  <c r="D16195" i="1"/>
  <c r="D16196" i="1"/>
  <c r="D16197" i="1"/>
  <c r="D16627" i="1"/>
  <c r="D16198" i="1"/>
  <c r="D16199" i="1"/>
  <c r="D16628" i="1"/>
  <c r="D16200" i="1"/>
  <c r="D16473" i="1"/>
  <c r="D17038" i="1"/>
  <c r="D17057" i="1"/>
  <c r="D17242" i="1"/>
  <c r="D16201" i="1"/>
  <c r="D16629" i="1"/>
  <c r="D17058" i="1"/>
  <c r="D17320" i="1"/>
  <c r="D17321" i="1"/>
  <c r="D16179" i="1"/>
  <c r="D16202" i="1"/>
  <c r="D16630" i="1"/>
  <c r="D16203" i="1"/>
  <c r="D16204" i="1"/>
  <c r="D16205" i="1"/>
  <c r="D16631" i="1"/>
  <c r="D16632" i="1"/>
  <c r="D16206" i="1"/>
  <c r="D16207" i="1"/>
  <c r="D16208" i="1"/>
  <c r="D16209" i="1"/>
  <c r="D16481" i="1"/>
  <c r="D16210" i="1"/>
  <c r="D17116" i="1"/>
  <c r="D17185" i="1"/>
  <c r="D17268" i="1"/>
  <c r="D17269" i="1"/>
  <c r="D16921" i="1"/>
  <c r="D16922" i="1"/>
  <c r="D16923" i="1"/>
  <c r="D16924" i="1"/>
  <c r="D17039" i="1"/>
  <c r="D17059" i="1"/>
  <c r="D17060" i="1"/>
  <c r="D17061" i="1"/>
  <c r="D17062" i="1"/>
  <c r="D17063" i="1"/>
  <c r="D16925" i="1"/>
  <c r="D16926" i="1"/>
  <c r="D16927" i="1"/>
  <c r="D2885" i="1"/>
  <c r="D2478" i="1"/>
  <c r="D2479" i="1"/>
  <c r="D16211" i="1"/>
  <c r="D16633" i="1"/>
  <c r="D16482" i="1"/>
  <c r="D16483" i="1"/>
  <c r="D17702" i="1"/>
  <c r="D17703" i="1"/>
  <c r="D17704" i="1"/>
  <c r="D2561" i="1"/>
  <c r="D13120" i="1"/>
  <c r="D17040" i="1"/>
  <c r="D17233" i="1"/>
  <c r="D17117" i="1"/>
  <c r="D17186" i="1"/>
  <c r="D17270" i="1"/>
  <c r="D17271" i="1"/>
  <c r="D17064" i="1"/>
  <c r="D17234" i="1"/>
  <c r="D17187" i="1"/>
  <c r="D16928" i="1"/>
  <c r="D16929" i="1"/>
  <c r="D16930" i="1"/>
  <c r="D16931" i="1"/>
  <c r="D16932" i="1"/>
  <c r="D16933" i="1"/>
  <c r="D17065" i="1"/>
  <c r="D17066" i="1"/>
  <c r="D17286" i="1"/>
  <c r="D16934" i="1"/>
  <c r="D16935" i="1"/>
  <c r="D16936" i="1"/>
  <c r="D16937" i="1"/>
  <c r="D16938" i="1"/>
  <c r="D16939" i="1"/>
  <c r="D17188" i="1"/>
  <c r="D17246" i="1"/>
  <c r="D17302" i="1"/>
  <c r="D17067" i="1"/>
  <c r="D16212" i="1"/>
  <c r="D16213" i="1"/>
  <c r="D16214" i="1"/>
  <c r="D16215" i="1"/>
  <c r="D16216" i="1"/>
  <c r="D16217" i="1"/>
  <c r="D16218" i="1"/>
  <c r="D16484" i="1"/>
  <c r="D16219" i="1"/>
  <c r="D16634" i="1"/>
  <c r="D16485" i="1"/>
  <c r="D16486" i="1"/>
  <c r="D16180" i="1"/>
  <c r="D16181" i="1"/>
  <c r="D16172" i="1"/>
  <c r="D16173" i="1"/>
  <c r="D16174" i="1"/>
  <c r="D16220" i="1"/>
  <c r="D16487" i="1"/>
  <c r="D16488" i="1"/>
  <c r="D16635" i="1"/>
  <c r="D16221" i="1"/>
  <c r="D16222" i="1"/>
  <c r="D16223" i="1"/>
  <c r="D16224" i="1"/>
  <c r="D16489" i="1"/>
  <c r="D16490" i="1"/>
  <c r="D16225" i="1"/>
  <c r="D16636" i="1"/>
  <c r="D16226" i="1"/>
  <c r="D2886" i="1"/>
  <c r="D16491" i="1"/>
  <c r="D16492" i="1"/>
  <c r="D16177" i="1"/>
  <c r="D16493" i="1"/>
  <c r="D16494" i="1"/>
  <c r="D4906" i="1"/>
  <c r="D4907" i="1"/>
  <c r="D16227" i="1"/>
  <c r="D16637" i="1"/>
  <c r="D16228" i="1"/>
  <c r="D16638" i="1"/>
  <c r="D3864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298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7690" i="1"/>
  <c r="D17691" i="1"/>
  <c r="D17692" i="1"/>
  <c r="D17693" i="1"/>
  <c r="D17694" i="1"/>
  <c r="D17695" i="1"/>
  <c r="D17676" i="1"/>
  <c r="D17679" i="1"/>
  <c r="D17696" i="1"/>
  <c r="D17697" i="1"/>
  <c r="D17698" i="1"/>
  <c r="D4908" i="1"/>
  <c r="D4909" i="1"/>
  <c r="D2562" i="1"/>
  <c r="D17134" i="1"/>
  <c r="D17041" i="1"/>
  <c r="D17118" i="1"/>
  <c r="D17189" i="1"/>
  <c r="D17272" i="1"/>
  <c r="D17273" i="1"/>
  <c r="D17303" i="1"/>
  <c r="D17042" i="1"/>
  <c r="D17043" i="1"/>
  <c r="D17068" i="1"/>
  <c r="D17247" i="1"/>
  <c r="D17304" i="1"/>
  <c r="D17069" i="1"/>
  <c r="D17190" i="1"/>
  <c r="D17044" i="1"/>
  <c r="D17135" i="1"/>
  <c r="D17177" i="1"/>
  <c r="D17239" i="1"/>
  <c r="D17287" i="1"/>
  <c r="D17322" i="1"/>
  <c r="D17323" i="1"/>
  <c r="D16940" i="1"/>
  <c r="D16941" i="1"/>
  <c r="D16942" i="1"/>
  <c r="D16943" i="1"/>
  <c r="D17049" i="1"/>
  <c r="D17070" i="1"/>
  <c r="D17071" i="1"/>
  <c r="D17072" i="1"/>
  <c r="D16944" i="1"/>
  <c r="D16945" i="1"/>
  <c r="D16946" i="1"/>
  <c r="D16947" i="1"/>
  <c r="D16948" i="1"/>
  <c r="D16949" i="1"/>
  <c r="D16229" i="1"/>
  <c r="D16639" i="1"/>
  <c r="D16230" i="1"/>
  <c r="D16231" i="1"/>
  <c r="D16232" i="1"/>
  <c r="D16233" i="1"/>
  <c r="D16495" i="1"/>
  <c r="D16496" i="1"/>
  <c r="D16497" i="1"/>
  <c r="D16498" i="1"/>
  <c r="D16640" i="1"/>
  <c r="D16641" i="1"/>
  <c r="D16499" i="1"/>
  <c r="D16500" i="1"/>
  <c r="D16501" i="1"/>
  <c r="D16502" i="1"/>
  <c r="D16620" i="1"/>
  <c r="D16234" i="1"/>
  <c r="D16642" i="1"/>
  <c r="D16235" i="1"/>
  <c r="D16236" i="1"/>
  <c r="D16503" i="1"/>
  <c r="D16504" i="1"/>
  <c r="D16505" i="1"/>
  <c r="D16506" i="1"/>
  <c r="D16621" i="1"/>
  <c r="D16237" i="1"/>
  <c r="D16238" i="1"/>
  <c r="D16507" i="1"/>
  <c r="D16239" i="1"/>
  <c r="D16643" i="1"/>
  <c r="D16240" i="1"/>
  <c r="D16241" i="1"/>
  <c r="D16242" i="1"/>
  <c r="D16644" i="1"/>
  <c r="D16645" i="1"/>
  <c r="D16508" i="1"/>
  <c r="D16509" i="1"/>
  <c r="D16243" i="1"/>
  <c r="D16244" i="1"/>
  <c r="D16646" i="1"/>
  <c r="D16245" i="1"/>
  <c r="D16246" i="1"/>
  <c r="D16247" i="1"/>
  <c r="D17191" i="1"/>
  <c r="D17248" i="1"/>
  <c r="D17305" i="1"/>
  <c r="D17136" i="1"/>
  <c r="D17137" i="1"/>
  <c r="D17192" i="1"/>
  <c r="D17193" i="1"/>
  <c r="D17073" i="1"/>
  <c r="D17138" i="1"/>
  <c r="D17139" i="1"/>
  <c r="D4910" i="1"/>
  <c r="D2887" i="1"/>
  <c r="D2563" i="1"/>
  <c r="D17228" i="1"/>
  <c r="D17074" i="1"/>
  <c r="D17140" i="1"/>
  <c r="D17141" i="1"/>
  <c r="D17119" i="1"/>
  <c r="D17129" i="1"/>
  <c r="D17194" i="1"/>
  <c r="D17274" i="1"/>
  <c r="D17275" i="1"/>
  <c r="D16510" i="1"/>
  <c r="D16248" i="1"/>
  <c r="D16249" i="1"/>
  <c r="D16250" i="1"/>
  <c r="D16647" i="1"/>
  <c r="D16251" i="1"/>
  <c r="D16648" i="1"/>
  <c r="D16252" i="1"/>
  <c r="D16253" i="1"/>
  <c r="D16254" i="1"/>
  <c r="D16511" i="1"/>
  <c r="D16649" i="1"/>
  <c r="D16255" i="1"/>
  <c r="D16256" i="1"/>
  <c r="D16650" i="1"/>
  <c r="D16512" i="1"/>
  <c r="D16257" i="1"/>
  <c r="D16651" i="1"/>
  <c r="D16258" i="1"/>
  <c r="D16259" i="1"/>
  <c r="D16260" i="1"/>
  <c r="D16261" i="1"/>
  <c r="D16262" i="1"/>
  <c r="D16263" i="1"/>
  <c r="D16652" i="1"/>
  <c r="D16264" i="1"/>
  <c r="D16653" i="1"/>
  <c r="D16513" i="1"/>
  <c r="D16514" i="1"/>
  <c r="D16265" i="1"/>
  <c r="D16266" i="1"/>
  <c r="D16267" i="1"/>
  <c r="D16268" i="1"/>
  <c r="D16476" i="1"/>
  <c r="D16515" i="1"/>
  <c r="D16516" i="1"/>
  <c r="D16517" i="1"/>
  <c r="D16269" i="1"/>
  <c r="D16270" i="1"/>
  <c r="D16271" i="1"/>
  <c r="D16518" i="1"/>
  <c r="D17195" i="1"/>
  <c r="D17249" i="1"/>
  <c r="D17306" i="1"/>
  <c r="D17307" i="1"/>
  <c r="D17250" i="1"/>
  <c r="D17308" i="1"/>
  <c r="D17196" i="1"/>
  <c r="D17075" i="1"/>
  <c r="D17197" i="1"/>
  <c r="D16272" i="1"/>
  <c r="D16654" i="1"/>
  <c r="D16273" i="1"/>
  <c r="D17142" i="1"/>
  <c r="D17229" i="1"/>
  <c r="D17309" i="1"/>
  <c r="D17251" i="1"/>
  <c r="D16175" i="1"/>
  <c r="D16655" i="1"/>
  <c r="D16274" i="1"/>
  <c r="D16656" i="1"/>
  <c r="D16950" i="1"/>
  <c r="D16951" i="1"/>
  <c r="D16952" i="1"/>
  <c r="D17076" i="1"/>
  <c r="D17077" i="1"/>
  <c r="D17078" i="1"/>
  <c r="D17079" i="1"/>
  <c r="D16953" i="1"/>
  <c r="D16954" i="1"/>
  <c r="D16955" i="1"/>
  <c r="D16956" i="1"/>
  <c r="D16957" i="1"/>
  <c r="D16958" i="1"/>
  <c r="D16756" i="1"/>
  <c r="D16757" i="1"/>
  <c r="D16176" i="1"/>
  <c r="D16758" i="1"/>
  <c r="D2888" i="1"/>
  <c r="D17266" i="1"/>
  <c r="D17143" i="1"/>
  <c r="D17080" i="1"/>
  <c r="D17144" i="1"/>
  <c r="D17145" i="1"/>
  <c r="D16275" i="1"/>
  <c r="D16657" i="1"/>
  <c r="D16276" i="1"/>
  <c r="D16277" i="1"/>
  <c r="D16278" i="1"/>
  <c r="D16279" i="1"/>
  <c r="D16280" i="1"/>
  <c r="D16281" i="1"/>
  <c r="D16519" i="1"/>
  <c r="D16520" i="1"/>
  <c r="D16521" i="1"/>
  <c r="D16522" i="1"/>
  <c r="D16658" i="1"/>
  <c r="D17146" i="1"/>
  <c r="D17147" i="1"/>
  <c r="D17148" i="1"/>
  <c r="D17149" i="1"/>
  <c r="D2480" i="1"/>
  <c r="D2482" i="1"/>
  <c r="D2564" i="1"/>
  <c r="D17288" i="1"/>
  <c r="D17051" i="1"/>
  <c r="D17052" i="1"/>
  <c r="D17150" i="1"/>
  <c r="D17151" i="1"/>
  <c r="D17289" i="1"/>
  <c r="D17081" i="1"/>
  <c r="D17240" i="1"/>
  <c r="D17252" i="1"/>
  <c r="D17235" i="1"/>
  <c r="D17236" i="1"/>
  <c r="D17082" i="1"/>
  <c r="D17152" i="1"/>
  <c r="D17153" i="1"/>
  <c r="D17154" i="1"/>
  <c r="D17155" i="1"/>
  <c r="D17222" i="1"/>
  <c r="D17223" i="1"/>
  <c r="D17253" i="1"/>
  <c r="D17310" i="1"/>
  <c r="D17120" i="1"/>
  <c r="D17198" i="1"/>
  <c r="D17276" i="1"/>
  <c r="D17277" i="1"/>
  <c r="D17156" i="1"/>
  <c r="D16959" i="1"/>
  <c r="D16960" i="1"/>
  <c r="D17083" i="1"/>
  <c r="D17084" i="1"/>
  <c r="D17157" i="1"/>
  <c r="D16961" i="1"/>
  <c r="D16962" i="1"/>
  <c r="D16963" i="1"/>
  <c r="D16964" i="1"/>
  <c r="D16965" i="1"/>
  <c r="D16966" i="1"/>
  <c r="D16967" i="1"/>
  <c r="D16523" i="1"/>
  <c r="D16524" i="1"/>
  <c r="D16525" i="1"/>
  <c r="D16282" i="1"/>
  <c r="D16283" i="1"/>
  <c r="D16526" i="1"/>
  <c r="D16527" i="1"/>
  <c r="D16528" i="1"/>
  <c r="D16284" i="1"/>
  <c r="D16659" i="1"/>
  <c r="D16529" i="1"/>
  <c r="D16530" i="1"/>
  <c r="D16531" i="1"/>
  <c r="D16532" i="1"/>
  <c r="D16533" i="1"/>
  <c r="D16285" i="1"/>
  <c r="D16660" i="1"/>
  <c r="D16286" i="1"/>
  <c r="D16661" i="1"/>
  <c r="D16287" i="1"/>
  <c r="D16662" i="1"/>
  <c r="D16288" i="1"/>
  <c r="D16663" i="1"/>
  <c r="D16289" i="1"/>
  <c r="D16664" i="1"/>
  <c r="D16290" i="1"/>
  <c r="D16665" i="1"/>
  <c r="D16291" i="1"/>
  <c r="D16666" i="1"/>
  <c r="D16292" i="1"/>
  <c r="D16667" i="1"/>
  <c r="D16293" i="1"/>
  <c r="D16668" i="1"/>
  <c r="D16534" i="1"/>
  <c r="D16294" i="1"/>
  <c r="D16295" i="1"/>
  <c r="D16296" i="1"/>
  <c r="D16297" i="1"/>
  <c r="D16535" i="1"/>
  <c r="D16298" i="1"/>
  <c r="D16299" i="1"/>
  <c r="D16300" i="1"/>
  <c r="D16536" i="1"/>
  <c r="D16301" i="1"/>
  <c r="D16302" i="1"/>
  <c r="D16537" i="1"/>
  <c r="D16303" i="1"/>
  <c r="D16669" i="1"/>
  <c r="D16304" i="1"/>
  <c r="D16305" i="1"/>
  <c r="D16306" i="1"/>
  <c r="D16307" i="1"/>
  <c r="D16538" i="1"/>
  <c r="D16539" i="1"/>
  <c r="D16540" i="1"/>
  <c r="D16308" i="1"/>
  <c r="D16670" i="1"/>
  <c r="D16541" i="1"/>
  <c r="D4911" i="1"/>
  <c r="D16309" i="1"/>
  <c r="D16671" i="1"/>
  <c r="D16755" i="1"/>
  <c r="D2889" i="1"/>
  <c r="D16310" i="1"/>
  <c r="D16311" i="1"/>
  <c r="D16672" i="1"/>
  <c r="D16312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7705" i="1"/>
  <c r="D13654" i="1"/>
  <c r="D13655" i="1"/>
  <c r="D13312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769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2565" i="1"/>
  <c r="D4912" i="1"/>
  <c r="D17158" i="1"/>
  <c r="D17085" i="1"/>
  <c r="D17254" i="1"/>
  <c r="D17311" i="1"/>
  <c r="D17086" i="1"/>
  <c r="D13735" i="1"/>
  <c r="D13736" i="1"/>
  <c r="D17159" i="1"/>
  <c r="D17178" i="1"/>
  <c r="D16313" i="1"/>
  <c r="D16542" i="1"/>
  <c r="D16673" i="1"/>
  <c r="D17312" i="1"/>
  <c r="D16543" i="1"/>
  <c r="D16544" i="1"/>
  <c r="D16314" i="1"/>
  <c r="D16545" i="1"/>
  <c r="D16546" i="1"/>
  <c r="D16674" i="1"/>
  <c r="D16547" i="1"/>
  <c r="D16315" i="1"/>
  <c r="D16675" i="1"/>
  <c r="D2890" i="1"/>
  <c r="D17121" i="1"/>
  <c r="D17199" i="1"/>
  <c r="D17255" i="1"/>
  <c r="D17278" i="1"/>
  <c r="D17279" i="1"/>
  <c r="D17313" i="1"/>
  <c r="D17230" i="1"/>
  <c r="D16316" i="1"/>
  <c r="D17087" i="1"/>
  <c r="D17115" i="1"/>
  <c r="D17200" i="1"/>
  <c r="D16548" i="1"/>
  <c r="D16676" i="1"/>
  <c r="D16549" i="1"/>
  <c r="D16677" i="1"/>
  <c r="D16968" i="1"/>
  <c r="D16969" i="1"/>
  <c r="D17088" i="1"/>
  <c r="D17089" i="1"/>
  <c r="D16970" i="1"/>
  <c r="D16971" i="1"/>
  <c r="D16972" i="1"/>
  <c r="D16973" i="1"/>
  <c r="D16974" i="1"/>
  <c r="D16975" i="1"/>
  <c r="D16976" i="1"/>
  <c r="D16977" i="1"/>
  <c r="D16550" i="1"/>
  <c r="D16317" i="1"/>
  <c r="D2566" i="1"/>
  <c r="D17045" i="1"/>
  <c r="D16918" i="1"/>
  <c r="D17090" i="1"/>
  <c r="D17091" i="1"/>
  <c r="D17053" i="1"/>
  <c r="D17243" i="1"/>
  <c r="D16318" i="1"/>
  <c r="D16551" i="1"/>
  <c r="D16319" i="1"/>
  <c r="D16678" i="1"/>
  <c r="D16320" i="1"/>
  <c r="D16679" i="1"/>
  <c r="D16321" i="1"/>
  <c r="D16680" i="1"/>
  <c r="D16552" i="1"/>
  <c r="D16322" i="1"/>
  <c r="D16323" i="1"/>
  <c r="D16681" i="1"/>
  <c r="D16978" i="1"/>
  <c r="D16979" i="1"/>
  <c r="D17092" i="1"/>
  <c r="D17093" i="1"/>
  <c r="D17094" i="1"/>
  <c r="D16980" i="1"/>
  <c r="D16981" i="1"/>
  <c r="D16982" i="1"/>
  <c r="D16983" i="1"/>
  <c r="D16984" i="1"/>
  <c r="D16985" i="1"/>
  <c r="D16986" i="1"/>
  <c r="D16987" i="1"/>
  <c r="D2891" i="1"/>
  <c r="D17122" i="1"/>
  <c r="D17130" i="1"/>
  <c r="D17201" i="1"/>
  <c r="D17264" i="1"/>
  <c r="D17280" i="1"/>
  <c r="D16553" i="1"/>
  <c r="D16554" i="1"/>
  <c r="D17706" i="1"/>
  <c r="D17707" i="1"/>
  <c r="D17708" i="1"/>
  <c r="D2483" i="1"/>
  <c r="D4913" i="1"/>
  <c r="D4914" i="1"/>
  <c r="D4915" i="1"/>
  <c r="D4916" i="1"/>
  <c r="D4917" i="1"/>
  <c r="D4918" i="1"/>
  <c r="D4919" i="1"/>
  <c r="D2567" i="1"/>
  <c r="D17095" i="1"/>
  <c r="D17290" i="1"/>
  <c r="D17160" i="1"/>
  <c r="D17318" i="1"/>
  <c r="D17054" i="1"/>
  <c r="D17202" i="1"/>
  <c r="D16555" i="1"/>
  <c r="D16556" i="1"/>
  <c r="D16182" i="1"/>
  <c r="D16557" i="1"/>
  <c r="D16558" i="1"/>
  <c r="D16324" i="1"/>
  <c r="D16325" i="1"/>
  <c r="D16682" i="1"/>
  <c r="D16683" i="1"/>
  <c r="D16684" i="1"/>
  <c r="D16326" i="1"/>
  <c r="D16559" i="1"/>
  <c r="D16327" i="1"/>
  <c r="D16328" i="1"/>
  <c r="D16329" i="1"/>
  <c r="D16685" i="1"/>
  <c r="D16330" i="1"/>
  <c r="D16331" i="1"/>
  <c r="D16560" i="1"/>
  <c r="D16332" i="1"/>
  <c r="D16333" i="1"/>
  <c r="D16334" i="1"/>
  <c r="D16686" i="1"/>
  <c r="D16335" i="1"/>
  <c r="D16561" i="1"/>
  <c r="D16336" i="1"/>
  <c r="D16337" i="1"/>
  <c r="D16687" i="1"/>
  <c r="D17314" i="1"/>
  <c r="D17123" i="1"/>
  <c r="D17203" i="1"/>
  <c r="D17204" i="1"/>
  <c r="D17281" i="1"/>
  <c r="D16988" i="1"/>
  <c r="D16989" i="1"/>
  <c r="D17096" i="1"/>
  <c r="D17291" i="1"/>
  <c r="D16990" i="1"/>
  <c r="D16991" i="1"/>
  <c r="D16992" i="1"/>
  <c r="D16993" i="1"/>
  <c r="D16994" i="1"/>
  <c r="D16995" i="1"/>
  <c r="D16996" i="1"/>
  <c r="D16997" i="1"/>
  <c r="D16998" i="1"/>
  <c r="D16999" i="1"/>
  <c r="D16562" i="1"/>
  <c r="D17231" i="1"/>
  <c r="D17263" i="1"/>
  <c r="D17161" i="1"/>
  <c r="D17237" i="1"/>
  <c r="D17162" i="1"/>
  <c r="D17097" i="1"/>
  <c r="D17292" i="1"/>
  <c r="D17293" i="1"/>
  <c r="D16338" i="1"/>
  <c r="D16474" i="1"/>
  <c r="D16622" i="1"/>
  <c r="D16688" i="1"/>
  <c r="D16339" i="1"/>
  <c r="D16689" i="1"/>
  <c r="D16340" i="1"/>
  <c r="D16341" i="1"/>
  <c r="D16342" i="1"/>
  <c r="D16343" i="1"/>
  <c r="D16690" i="1"/>
  <c r="D16691" i="1"/>
  <c r="D16344" i="1"/>
  <c r="D16692" i="1"/>
  <c r="D16345" i="1"/>
  <c r="D16346" i="1"/>
  <c r="D16347" i="1"/>
  <c r="D16693" i="1"/>
  <c r="D16348" i="1"/>
  <c r="D16694" i="1"/>
  <c r="D2892" i="1"/>
  <c r="D4920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194" i="1"/>
  <c r="D4921" i="1"/>
  <c r="D4922" i="1"/>
  <c r="D4923" i="1"/>
  <c r="D4924" i="1"/>
  <c r="D4925" i="1"/>
  <c r="D4926" i="1"/>
  <c r="D16695" i="1"/>
  <c r="D16349" i="1"/>
  <c r="D16696" i="1"/>
  <c r="D16697" i="1"/>
  <c r="D16698" i="1"/>
  <c r="D1669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4927" i="1"/>
  <c r="D2568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4178" i="1"/>
  <c r="D14179" i="1"/>
  <c r="D17046" i="1"/>
  <c r="D17098" i="1"/>
  <c r="D16563" i="1"/>
  <c r="D16564" i="1"/>
  <c r="D16350" i="1"/>
  <c r="D16700" i="1"/>
  <c r="D17099" i="1"/>
  <c r="D17205" i="1"/>
  <c r="D16565" i="1"/>
  <c r="D16566" i="1"/>
  <c r="D16567" i="1"/>
  <c r="D16568" i="1"/>
  <c r="D16351" i="1"/>
  <c r="D16352" i="1"/>
  <c r="D16353" i="1"/>
  <c r="D16701" i="1"/>
  <c r="D16354" i="1"/>
  <c r="D16355" i="1"/>
  <c r="D17256" i="1"/>
  <c r="D17257" i="1"/>
  <c r="D16183" i="1"/>
  <c r="D16356" i="1"/>
  <c r="D16569" i="1"/>
  <c r="D16357" i="1"/>
  <c r="D16702" i="1"/>
  <c r="D16358" i="1"/>
  <c r="D16703" i="1"/>
  <c r="D16359" i="1"/>
  <c r="D16360" i="1"/>
  <c r="D16361" i="1"/>
  <c r="D16362" i="1"/>
  <c r="D16363" i="1"/>
  <c r="D16704" i="1"/>
  <c r="D16705" i="1"/>
  <c r="D16706" i="1"/>
  <c r="D16707" i="1"/>
  <c r="D16708" i="1"/>
  <c r="D17124" i="1"/>
  <c r="D17206" i="1"/>
  <c r="D17207" i="1"/>
  <c r="D17282" i="1"/>
  <c r="D17208" i="1"/>
  <c r="D17100" i="1"/>
  <c r="D16570" i="1"/>
  <c r="D16364" i="1"/>
  <c r="D16365" i="1"/>
  <c r="D16366" i="1"/>
  <c r="D16571" i="1"/>
  <c r="D16709" i="1"/>
  <c r="D16367" i="1"/>
  <c r="D16368" i="1"/>
  <c r="D16369" i="1"/>
  <c r="D16710" i="1"/>
  <c r="D16572" i="1"/>
  <c r="D16370" i="1"/>
  <c r="D16573" i="1"/>
  <c r="D16711" i="1"/>
  <c r="D16712" i="1"/>
  <c r="D17163" i="1"/>
  <c r="D17209" i="1"/>
  <c r="D16371" i="1"/>
  <c r="D16372" i="1"/>
  <c r="D16574" i="1"/>
  <c r="D17000" i="1"/>
  <c r="D17101" i="1"/>
  <c r="D17001" i="1"/>
  <c r="D17002" i="1"/>
  <c r="D17003" i="1"/>
  <c r="D17004" i="1"/>
  <c r="D17005" i="1"/>
  <c r="D17006" i="1"/>
  <c r="D17179" i="1"/>
  <c r="D17180" i="1"/>
  <c r="D16619" i="1"/>
  <c r="D16713" i="1"/>
  <c r="D16373" i="1"/>
  <c r="D16714" i="1"/>
  <c r="D16374" i="1"/>
  <c r="D17164" i="1"/>
  <c r="D17165" i="1"/>
  <c r="D17210" i="1"/>
  <c r="D17267" i="1"/>
  <c r="D16375" i="1"/>
  <c r="D16575" i="1"/>
  <c r="D16376" i="1"/>
  <c r="D16715" i="1"/>
  <c r="D16377" i="1"/>
  <c r="D16576" i="1"/>
  <c r="D16716" i="1"/>
  <c r="D16577" i="1"/>
  <c r="D16578" i="1"/>
  <c r="D16579" i="1"/>
  <c r="D16184" i="1"/>
  <c r="D16717" i="1"/>
  <c r="D16580" i="1"/>
  <c r="D16718" i="1"/>
  <c r="D16719" i="1"/>
  <c r="D2893" i="1"/>
  <c r="D17244" i="1"/>
  <c r="D17224" i="1"/>
  <c r="D2569" i="1"/>
  <c r="D17102" i="1"/>
  <c r="D17294" i="1"/>
  <c r="D17295" i="1"/>
  <c r="D17047" i="1"/>
  <c r="D17055" i="1"/>
  <c r="D16581" i="1"/>
  <c r="D16582" i="1"/>
  <c r="D16583" i="1"/>
  <c r="D16378" i="1"/>
  <c r="D16379" i="1"/>
  <c r="D16380" i="1"/>
  <c r="D16381" i="1"/>
  <c r="D16382" i="1"/>
  <c r="D16383" i="1"/>
  <c r="D16384" i="1"/>
  <c r="D16720" i="1"/>
  <c r="D16385" i="1"/>
  <c r="D16721" i="1"/>
  <c r="D16386" i="1"/>
  <c r="D16387" i="1"/>
  <c r="D16388" i="1"/>
  <c r="D16722" i="1"/>
  <c r="D17048" i="1"/>
  <c r="D16584" i="1"/>
  <c r="D16389" i="1"/>
  <c r="D16723" i="1"/>
  <c r="D17125" i="1"/>
  <c r="D17211" i="1"/>
  <c r="D17283" i="1"/>
  <c r="D16585" i="1"/>
  <c r="D16623" i="1"/>
  <c r="D16390" i="1"/>
  <c r="D17103" i="1"/>
  <c r="D17212" i="1"/>
  <c r="D17296" i="1"/>
  <c r="D17315" i="1"/>
  <c r="D17213" i="1"/>
  <c r="D16391" i="1"/>
  <c r="D16392" i="1"/>
  <c r="D16724" i="1"/>
  <c r="D16393" i="1"/>
  <c r="D16394" i="1"/>
  <c r="D16725" i="1"/>
  <c r="D16586" i="1"/>
  <c r="D16587" i="1"/>
  <c r="D16588" i="1"/>
  <c r="D16589" i="1"/>
  <c r="D16590" i="1"/>
  <c r="D2481" i="1"/>
  <c r="D2484" i="1"/>
  <c r="D16185" i="1"/>
  <c r="D16395" i="1"/>
  <c r="D16591" i="1"/>
  <c r="D16396" i="1"/>
  <c r="D16397" i="1"/>
  <c r="D16592" i="1"/>
  <c r="D16593" i="1"/>
  <c r="D16398" i="1"/>
  <c r="D16399" i="1"/>
  <c r="D16400" i="1"/>
  <c r="D16401" i="1"/>
  <c r="D16402" i="1"/>
  <c r="D16403" i="1"/>
  <c r="D16726" i="1"/>
  <c r="D16727" i="1"/>
  <c r="D16728" i="1"/>
  <c r="D16729" i="1"/>
  <c r="D16404" i="1"/>
  <c r="D16475" i="1"/>
  <c r="D16594" i="1"/>
  <c r="D16730" i="1"/>
  <c r="D16405" i="1"/>
  <c r="D17245" i="1"/>
  <c r="D4928" i="1"/>
  <c r="D4929" i="1"/>
  <c r="D2894" i="1"/>
  <c r="D16406" i="1"/>
  <c r="D16407" i="1"/>
  <c r="D16731" i="1"/>
  <c r="D16408" i="1"/>
  <c r="D16409" i="1"/>
  <c r="D16919" i="1"/>
  <c r="D16920" i="1"/>
  <c r="D17104" i="1"/>
  <c r="D17105" i="1"/>
  <c r="D17007" i="1"/>
  <c r="D17008" i="1"/>
  <c r="D17009" i="1"/>
  <c r="D17010" i="1"/>
  <c r="D17011" i="1"/>
  <c r="D17012" i="1"/>
  <c r="D17013" i="1"/>
  <c r="D17014" i="1"/>
  <c r="D17015" i="1"/>
  <c r="D17016" i="1"/>
  <c r="D18076" i="1"/>
  <c r="D18077" i="1"/>
  <c r="D18078" i="1"/>
  <c r="D2570" i="1"/>
  <c r="D17106" i="1"/>
  <c r="D17166" i="1"/>
  <c r="D17167" i="1"/>
  <c r="D17107" i="1"/>
  <c r="D17297" i="1"/>
  <c r="D16595" i="1"/>
  <c r="D16410" i="1"/>
  <c r="D16411" i="1"/>
  <c r="D16412" i="1"/>
  <c r="D16413" i="1"/>
  <c r="D16732" i="1"/>
  <c r="D16733" i="1"/>
  <c r="D16414" i="1"/>
  <c r="D16734" i="1"/>
  <c r="D16735" i="1"/>
  <c r="D16415" i="1"/>
  <c r="D16416" i="1"/>
  <c r="D16417" i="1"/>
  <c r="D17126" i="1"/>
  <c r="D17214" i="1"/>
  <c r="D17284" i="1"/>
  <c r="D17258" i="1"/>
  <c r="D17324" i="1"/>
  <c r="D17325" i="1"/>
  <c r="D16596" i="1"/>
  <c r="D16597" i="1"/>
  <c r="D16598" i="1"/>
  <c r="D16599" i="1"/>
  <c r="D17232" i="1"/>
  <c r="D16418" i="1"/>
  <c r="D16477" i="1"/>
  <c r="D16419" i="1"/>
  <c r="D16420" i="1"/>
  <c r="D16421" i="1"/>
  <c r="D16422" i="1"/>
  <c r="D16423" i="1"/>
  <c r="D16424" i="1"/>
  <c r="D16736" i="1"/>
  <c r="D16425" i="1"/>
  <c r="D16737" i="1"/>
  <c r="D16426" i="1"/>
  <c r="D16738" i="1"/>
  <c r="D16427" i="1"/>
  <c r="D16739" i="1"/>
  <c r="D17056" i="1"/>
  <c r="D17108" i="1"/>
  <c r="D17168" i="1"/>
  <c r="D17181" i="1"/>
  <c r="D17215" i="1"/>
  <c r="D17216" i="1"/>
  <c r="D17225" i="1"/>
  <c r="D17226" i="1"/>
  <c r="D16740" i="1"/>
  <c r="D17169" i="1"/>
  <c r="D17170" i="1"/>
  <c r="D17171" i="1"/>
  <c r="D17172" i="1"/>
  <c r="D17217" i="1"/>
  <c r="D17218" i="1"/>
  <c r="D17259" i="1"/>
  <c r="D16428" i="1"/>
  <c r="D16429" i="1"/>
  <c r="D16430" i="1"/>
  <c r="D16431" i="1"/>
  <c r="D16432" i="1"/>
  <c r="D16741" i="1"/>
  <c r="D16433" i="1"/>
  <c r="D16434" i="1"/>
  <c r="D16435" i="1"/>
  <c r="D17238" i="1"/>
  <c r="D2895" i="1"/>
  <c r="D16436" i="1"/>
  <c r="D16437" i="1"/>
  <c r="D16438" i="1"/>
  <c r="D16439" i="1"/>
  <c r="D16742" i="1"/>
  <c r="D16600" i="1"/>
  <c r="D17260" i="1"/>
  <c r="D17261" i="1"/>
  <c r="D17017" i="1"/>
  <c r="D17109" i="1"/>
  <c r="D17173" i="1"/>
  <c r="D17326" i="1"/>
  <c r="D17018" i="1"/>
  <c r="D17019" i="1"/>
  <c r="D17020" i="1"/>
  <c r="D17021" i="1"/>
  <c r="D17022" i="1"/>
  <c r="D17023" i="1"/>
  <c r="D17024" i="1"/>
  <c r="D17025" i="1"/>
  <c r="D17026" i="1"/>
  <c r="D16440" i="1"/>
  <c r="D16743" i="1"/>
  <c r="D16441" i="1"/>
  <c r="D16442" i="1"/>
  <c r="D16744" i="1"/>
  <c r="D16443" i="1"/>
  <c r="D16601" i="1"/>
  <c r="D16602" i="1"/>
  <c r="D16444" i="1"/>
  <c r="D16603" i="1"/>
  <c r="D16604" i="1"/>
  <c r="D16605" i="1"/>
  <c r="D16606" i="1"/>
  <c r="D16607" i="1"/>
  <c r="D13195" i="1"/>
  <c r="D17174" i="1"/>
  <c r="D17127" i="1"/>
  <c r="D17131" i="1"/>
  <c r="D17219" i="1"/>
  <c r="D17285" i="1"/>
  <c r="D17241" i="1"/>
  <c r="D16608" i="1"/>
  <c r="D16609" i="1"/>
  <c r="D16445" i="1"/>
  <c r="D16446" i="1"/>
  <c r="D16447" i="1"/>
  <c r="D16745" i="1"/>
  <c r="D16448" i="1"/>
  <c r="D16746" i="1"/>
  <c r="D16449" i="1"/>
  <c r="D16747" i="1"/>
  <c r="D16450" i="1"/>
  <c r="D16451" i="1"/>
  <c r="D16748" i="1"/>
  <c r="D16452" i="1"/>
  <c r="D16453" i="1"/>
  <c r="D16454" i="1"/>
  <c r="D16749" i="1"/>
  <c r="D16610" i="1"/>
  <c r="D16455" i="1"/>
  <c r="D16456" i="1"/>
  <c r="D16457" i="1"/>
  <c r="D16611" i="1"/>
  <c r="D16612" i="1"/>
  <c r="D16613" i="1"/>
  <c r="D16458" i="1"/>
  <c r="D16750" i="1"/>
  <c r="D16459" i="1"/>
  <c r="D16460" i="1"/>
  <c r="D16461" i="1"/>
  <c r="D16462" i="1"/>
  <c r="D16751" i="1"/>
  <c r="D16752" i="1"/>
  <c r="D16463" i="1"/>
  <c r="D16464" i="1"/>
  <c r="D16465" i="1"/>
  <c r="D16614" i="1"/>
  <c r="D16466" i="1"/>
  <c r="D16753" i="1"/>
  <c r="D17050" i="1"/>
  <c r="D17110" i="1"/>
  <c r="D17220" i="1"/>
  <c r="D17298" i="1"/>
  <c r="D17316" i="1"/>
  <c r="D17175" i="1"/>
  <c r="D17299" i="1"/>
  <c r="D17111" i="1"/>
  <c r="D17128" i="1"/>
  <c r="D17176" i="1"/>
  <c r="D17182" i="1"/>
  <c r="D17183" i="1"/>
  <c r="D17221" i="1"/>
  <c r="D17227" i="1"/>
  <c r="D17262" i="1"/>
  <c r="D17317" i="1"/>
  <c r="D17112" i="1"/>
  <c r="D2896" i="1"/>
  <c r="D16467" i="1"/>
  <c r="D16468" i="1"/>
  <c r="D16469" i="1"/>
  <c r="D16615" i="1"/>
  <c r="D16616" i="1"/>
  <c r="D16617" i="1"/>
  <c r="D16618" i="1"/>
  <c r="D16624" i="1"/>
  <c r="D16470" i="1"/>
  <c r="D16754" i="1"/>
  <c r="D17027" i="1"/>
  <c r="D17028" i="1"/>
  <c r="D17113" i="1"/>
  <c r="D17114" i="1"/>
  <c r="D17300" i="1"/>
  <c r="D17029" i="1"/>
  <c r="D17030" i="1"/>
  <c r="D17031" i="1"/>
  <c r="D17032" i="1"/>
  <c r="D17033" i="1"/>
  <c r="D17034" i="1"/>
  <c r="D17035" i="1"/>
  <c r="D17301" i="1"/>
  <c r="D16471" i="1"/>
  <c r="D16472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5652" i="1"/>
  <c r="D18861" i="1"/>
  <c r="D18862" i="1"/>
  <c r="D15653" i="1"/>
  <c r="D17784" i="1"/>
  <c r="D15675" i="1"/>
  <c r="D15676" i="1"/>
  <c r="D4747" i="1"/>
  <c r="D4748" i="1"/>
  <c r="D4749" i="1"/>
  <c r="D4750" i="1"/>
  <c r="D4751" i="1"/>
  <c r="D4752" i="1"/>
  <c r="D4753" i="1"/>
  <c r="D4754" i="1"/>
  <c r="D17785" i="1"/>
  <c r="D4755" i="1"/>
  <c r="D4758" i="1"/>
  <c r="D4756" i="1"/>
  <c r="D4757" i="1"/>
  <c r="D13908" i="1"/>
  <c r="D10831" i="1"/>
  <c r="D15677" i="1"/>
  <c r="D15678" i="1"/>
  <c r="D15679" i="1"/>
  <c r="D15680" i="1"/>
  <c r="D15681" i="1"/>
  <c r="D15682" i="1"/>
  <c r="D13909" i="1"/>
  <c r="D13910" i="1"/>
  <c r="D24373" i="1"/>
  <c r="D10832" i="1"/>
  <c r="D15654" i="1"/>
  <c r="D15683" i="1"/>
  <c r="D10812" i="1"/>
  <c r="D15684" i="1"/>
  <c r="D15685" i="1"/>
  <c r="D27070" i="1"/>
  <c r="D27071" i="1"/>
  <c r="D10815" i="1"/>
  <c r="D15686" i="1"/>
  <c r="D13911" i="1"/>
  <c r="D15687" i="1"/>
  <c r="D24363" i="1"/>
  <c r="D15688" i="1"/>
  <c r="D15689" i="1"/>
  <c r="D15690" i="1"/>
  <c r="D10833" i="1"/>
  <c r="D15691" i="1"/>
  <c r="D10816" i="1"/>
  <c r="D10817" i="1"/>
  <c r="D15655" i="1"/>
  <c r="D15656" i="1"/>
  <c r="D15657" i="1"/>
  <c r="D13904" i="1"/>
  <c r="D13905" i="1"/>
  <c r="D10834" i="1"/>
  <c r="D15692" i="1"/>
  <c r="D15670" i="1"/>
  <c r="D10814" i="1"/>
  <c r="D767" i="1"/>
  <c r="D15693" i="1"/>
  <c r="D10488" i="1"/>
  <c r="D15694" i="1"/>
  <c r="D24364" i="1"/>
  <c r="D10835" i="1"/>
  <c r="D10836" i="1"/>
  <c r="D10837" i="1"/>
  <c r="D15695" i="1"/>
  <c r="D15696" i="1"/>
  <c r="D15658" i="1"/>
  <c r="D15697" i="1"/>
  <c r="D15698" i="1"/>
  <c r="D15659" i="1"/>
  <c r="D15671" i="1"/>
  <c r="D18863" i="1"/>
  <c r="D18857" i="1"/>
  <c r="D15699" i="1"/>
  <c r="D15700" i="1"/>
  <c r="D15672" i="1"/>
  <c r="D15701" i="1"/>
  <c r="D18859" i="1"/>
  <c r="D13903" i="1"/>
  <c r="D24365" i="1"/>
  <c r="D15660" i="1"/>
  <c r="D10838" i="1"/>
  <c r="D10839" i="1"/>
  <c r="D10840" i="1"/>
  <c r="D15702" i="1"/>
  <c r="D10841" i="1"/>
  <c r="D18853" i="1"/>
  <c r="D18854" i="1"/>
  <c r="D15703" i="1"/>
  <c r="D15704" i="1"/>
  <c r="D15705" i="1"/>
  <c r="D15706" i="1"/>
  <c r="D10842" i="1"/>
  <c r="D24366" i="1"/>
  <c r="D15636" i="1"/>
  <c r="D10843" i="1"/>
  <c r="D15707" i="1"/>
  <c r="D10844" i="1"/>
  <c r="D10845" i="1"/>
  <c r="D10846" i="1"/>
  <c r="D10847" i="1"/>
  <c r="D10848" i="1"/>
  <c r="D18855" i="1"/>
  <c r="D18856" i="1"/>
  <c r="D10849" i="1"/>
  <c r="D10850" i="1"/>
  <c r="D10851" i="1"/>
  <c r="D24367" i="1"/>
  <c r="D141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24368" i="1"/>
  <c r="D10863" i="1"/>
  <c r="D10864" i="1"/>
  <c r="D15661" i="1"/>
  <c r="D4126" i="1"/>
  <c r="D10865" i="1"/>
  <c r="D11966" i="1"/>
  <c r="D10866" i="1"/>
  <c r="D15708" i="1"/>
  <c r="D15709" i="1"/>
  <c r="D15710" i="1"/>
  <c r="D10867" i="1"/>
  <c r="D15711" i="1"/>
  <c r="D13912" i="1"/>
  <c r="D23582" i="1"/>
  <c r="D10868" i="1"/>
  <c r="D10869" i="1"/>
  <c r="D10870" i="1"/>
  <c r="D15712" i="1"/>
  <c r="D15713" i="1"/>
  <c r="D15714" i="1"/>
  <c r="D24369" i="1"/>
  <c r="D10871" i="1"/>
  <c r="D18860" i="1"/>
  <c r="D15715" i="1"/>
  <c r="D15716" i="1"/>
  <c r="D15673" i="1"/>
  <c r="D10813" i="1"/>
  <c r="D10872" i="1"/>
  <c r="D10873" i="1"/>
  <c r="D18858" i="1"/>
  <c r="D13913" i="1"/>
  <c r="D24370" i="1"/>
  <c r="D13906" i="1"/>
  <c r="D15717" i="1"/>
  <c r="D10874" i="1"/>
  <c r="D10875" i="1"/>
  <c r="D10876" i="1"/>
  <c r="D10877" i="1"/>
  <c r="D15718" i="1"/>
  <c r="D15719" i="1"/>
  <c r="D10819" i="1"/>
  <c r="D15662" i="1"/>
  <c r="D15663" i="1"/>
  <c r="D13907" i="1"/>
  <c r="D15664" i="1"/>
  <c r="D15665" i="1"/>
  <c r="D15666" i="1"/>
  <c r="D15667" i="1"/>
  <c r="D15720" i="1"/>
  <c r="D15721" i="1"/>
  <c r="D15722" i="1"/>
  <c r="D15674" i="1"/>
  <c r="D15723" i="1"/>
  <c r="D15724" i="1"/>
  <c r="D24371" i="1"/>
  <c r="D15725" i="1"/>
  <c r="D10818" i="1"/>
  <c r="D15726" i="1"/>
  <c r="D15727" i="1"/>
  <c r="D10878" i="1"/>
  <c r="D15728" i="1"/>
  <c r="D15668" i="1"/>
  <c r="D15669" i="1"/>
  <c r="D15729" i="1"/>
  <c r="D18864" i="1"/>
  <c r="D18865" i="1"/>
  <c r="D24372" i="1"/>
  <c r="D15730" i="1"/>
  <c r="D15731" i="1"/>
  <c r="D15637" i="1"/>
  <c r="D18852" i="1"/>
  <c r="D14063" i="1"/>
  <c r="D8058" i="1"/>
  <c r="D14064" i="1"/>
  <c r="D14065" i="1"/>
  <c r="D14066" i="1"/>
  <c r="D4516" i="1"/>
  <c r="D5025" i="1"/>
  <c r="D12763" i="1"/>
  <c r="D15766" i="1"/>
  <c r="D5026" i="1"/>
  <c r="D5877" i="1"/>
  <c r="D4517" i="1"/>
  <c r="D15743" i="1"/>
  <c r="D15767" i="1"/>
  <c r="D19354" i="1"/>
  <c r="D19365" i="1"/>
  <c r="D19368" i="1"/>
  <c r="D14067" i="1"/>
  <c r="D8059" i="1"/>
  <c r="D14068" i="1"/>
  <c r="D14069" i="1"/>
  <c r="D5027" i="1"/>
  <c r="D5028" i="1"/>
  <c r="D14070" i="1"/>
  <c r="D16075" i="1"/>
  <c r="D5878" i="1"/>
  <c r="D12764" i="1"/>
  <c r="D4518" i="1"/>
  <c r="D4519" i="1"/>
  <c r="D5020" i="1"/>
  <c r="D5021" i="1"/>
  <c r="D4520" i="1"/>
  <c r="D19370" i="1"/>
  <c r="D19371" i="1"/>
  <c r="D5015" i="1"/>
  <c r="D14054" i="1"/>
  <c r="D19347" i="1"/>
  <c r="D8008" i="1"/>
  <c r="D19348" i="1"/>
  <c r="D8060" i="1"/>
  <c r="D15744" i="1"/>
  <c r="D14071" i="1"/>
  <c r="D4521" i="1"/>
  <c r="D4522" i="1"/>
  <c r="D19372" i="1"/>
  <c r="D19373" i="1"/>
  <c r="D19374" i="1"/>
  <c r="D5029" i="1"/>
  <c r="D14072" i="1"/>
  <c r="D14073" i="1"/>
  <c r="D15768" i="1"/>
  <c r="D5030" i="1"/>
  <c r="D5879" i="1"/>
  <c r="D14074" i="1"/>
  <c r="D12765" i="1"/>
  <c r="D14621" i="1"/>
  <c r="D14622" i="1"/>
  <c r="D24353" i="1"/>
  <c r="D14623" i="1"/>
  <c r="D14624" i="1"/>
  <c r="D8012" i="1"/>
  <c r="D4523" i="1"/>
  <c r="D4524" i="1"/>
  <c r="D4608" i="1"/>
  <c r="D4625" i="1"/>
  <c r="D4609" i="1"/>
  <c r="D4626" i="1"/>
  <c r="D4610" i="1"/>
  <c r="D8009" i="1"/>
  <c r="D8010" i="1"/>
  <c r="D19035" i="1"/>
  <c r="D19036" i="1"/>
  <c r="D19037" i="1"/>
  <c r="D19038" i="1"/>
  <c r="D19039" i="1"/>
  <c r="D15745" i="1"/>
  <c r="D15746" i="1"/>
  <c r="D15923" i="1"/>
  <c r="D15924" i="1"/>
  <c r="D15925" i="1"/>
  <c r="D15926" i="1"/>
  <c r="D15927" i="1"/>
  <c r="D15928" i="1"/>
  <c r="D15929" i="1"/>
  <c r="D19040" i="1"/>
  <c r="D19041" i="1"/>
  <c r="D19042" i="1"/>
  <c r="D5873" i="1"/>
  <c r="D14075" i="1"/>
  <c r="D14076" i="1"/>
  <c r="D5880" i="1"/>
  <c r="D14077" i="1"/>
  <c r="D14078" i="1"/>
  <c r="D12766" i="1"/>
  <c r="D5031" i="1"/>
  <c r="D5032" i="1"/>
  <c r="D4525" i="1"/>
  <c r="D15769" i="1"/>
  <c r="D8061" i="1"/>
  <c r="D4638" i="1"/>
  <c r="D8011" i="1"/>
  <c r="D4526" i="1"/>
  <c r="D19344" i="1"/>
  <c r="D15747" i="1"/>
  <c r="D16074" i="1"/>
  <c r="D16076" i="1"/>
  <c r="D5016" i="1"/>
  <c r="D14079" i="1"/>
  <c r="D12767" i="1"/>
  <c r="D8062" i="1"/>
  <c r="D15770" i="1"/>
  <c r="D5881" i="1"/>
  <c r="D14080" i="1"/>
  <c r="D5033" i="1"/>
  <c r="D4527" i="1"/>
  <c r="D5034" i="1"/>
  <c r="D14081" i="1"/>
  <c r="D19355" i="1"/>
  <c r="D19356" i="1"/>
  <c r="D16077" i="1"/>
  <c r="D16078" i="1"/>
  <c r="D16079" i="1"/>
  <c r="D16080" i="1"/>
  <c r="D14082" i="1"/>
  <c r="D16081" i="1"/>
  <c r="D16082" i="1"/>
  <c r="D16083" i="1"/>
  <c r="D16084" i="1"/>
  <c r="D16085" i="1"/>
  <c r="D16086" i="1"/>
  <c r="D16087" i="1"/>
  <c r="D16088" i="1"/>
  <c r="D16089" i="1"/>
  <c r="D4528" i="1"/>
  <c r="D15748" i="1"/>
  <c r="D15749" i="1"/>
  <c r="D15909" i="1"/>
  <c r="D15910" i="1"/>
  <c r="D15911" i="1"/>
  <c r="D15912" i="1"/>
  <c r="D24354" i="1"/>
  <c r="D4529" i="1"/>
  <c r="D11571" i="1"/>
  <c r="D19358" i="1"/>
  <c r="D8063" i="1"/>
  <c r="D8064" i="1"/>
  <c r="D14083" i="1"/>
  <c r="D14084" i="1"/>
  <c r="D8065" i="1"/>
  <c r="D5035" i="1"/>
  <c r="D15771" i="1"/>
  <c r="D12768" i="1"/>
  <c r="D5882" i="1"/>
  <c r="D14085" i="1"/>
  <c r="D4530" i="1"/>
  <c r="D5036" i="1"/>
  <c r="D14086" i="1"/>
  <c r="D15913" i="1"/>
  <c r="D15914" i="1"/>
  <c r="D15915" i="1"/>
  <c r="D15916" i="1"/>
  <c r="D4531" i="1"/>
  <c r="D19369" i="1"/>
  <c r="D15750" i="1"/>
  <c r="D14055" i="1"/>
  <c r="D9145" i="1"/>
  <c r="D14087" i="1"/>
  <c r="D14088" i="1"/>
  <c r="D14089" i="1"/>
  <c r="D12760" i="1"/>
  <c r="D4611" i="1"/>
  <c r="D4627" i="1"/>
  <c r="D5874" i="1"/>
  <c r="D4612" i="1"/>
  <c r="D4628" i="1"/>
  <c r="D4613" i="1"/>
  <c r="D14056" i="1"/>
  <c r="D4514" i="1"/>
  <c r="D4515" i="1"/>
  <c r="D19357" i="1"/>
  <c r="D19332" i="1"/>
  <c r="D19333" i="1"/>
  <c r="D19334" i="1"/>
  <c r="D19335" i="1"/>
  <c r="D19336" i="1"/>
  <c r="D19337" i="1"/>
  <c r="D12761" i="1"/>
  <c r="D5913" i="1"/>
  <c r="D4624" i="1"/>
  <c r="D14059" i="1"/>
  <c r="D14060" i="1"/>
  <c r="D8066" i="1"/>
  <c r="D14090" i="1"/>
  <c r="D12769" i="1"/>
  <c r="D15772" i="1"/>
  <c r="D5037" i="1"/>
  <c r="D8067" i="1"/>
  <c r="D14091" i="1"/>
  <c r="D12429" i="1"/>
  <c r="D5024" i="1"/>
  <c r="D5038" i="1"/>
  <c r="D5039" i="1"/>
  <c r="D5883" i="1"/>
  <c r="D14092" i="1"/>
  <c r="D14093" i="1"/>
  <c r="D14094" i="1"/>
  <c r="D5040" i="1"/>
  <c r="D4532" i="1"/>
  <c r="D4533" i="1"/>
  <c r="D4639" i="1"/>
  <c r="D4640" i="1"/>
  <c r="D4641" i="1"/>
  <c r="D14095" i="1"/>
  <c r="D14096" i="1"/>
  <c r="D4534" i="1"/>
  <c r="D14097" i="1"/>
  <c r="D5041" i="1"/>
  <c r="D5042" i="1"/>
  <c r="D5884" i="1"/>
  <c r="D19330" i="1"/>
  <c r="D12770" i="1"/>
  <c r="D14098" i="1"/>
  <c r="D8068" i="1"/>
  <c r="D15773" i="1"/>
  <c r="D4535" i="1"/>
  <c r="D24355" i="1"/>
  <c r="D5017" i="1"/>
  <c r="D8013" i="1"/>
  <c r="D5043" i="1"/>
  <c r="D5885" i="1"/>
  <c r="D8069" i="1"/>
  <c r="D4536" i="1"/>
  <c r="D15774" i="1"/>
  <c r="D12771" i="1"/>
  <c r="D4537" i="1"/>
  <c r="D4635" i="1"/>
  <c r="D5044" i="1"/>
  <c r="D14099" i="1"/>
  <c r="D14100" i="1"/>
  <c r="D14101" i="1"/>
  <c r="D16090" i="1"/>
  <c r="D16091" i="1"/>
  <c r="D16092" i="1"/>
  <c r="D16093" i="1"/>
  <c r="D16094" i="1"/>
  <c r="D16095" i="1"/>
  <c r="D16096" i="1"/>
  <c r="D16097" i="1"/>
  <c r="D16098" i="1"/>
  <c r="D14102" i="1"/>
  <c r="D16099" i="1"/>
  <c r="D16100" i="1"/>
  <c r="D16101" i="1"/>
  <c r="D5875" i="1"/>
  <c r="D15778" i="1"/>
  <c r="D4614" i="1"/>
  <c r="D4615" i="1"/>
  <c r="D4616" i="1"/>
  <c r="D4617" i="1"/>
  <c r="D4629" i="1"/>
  <c r="D4618" i="1"/>
  <c r="D4630" i="1"/>
  <c r="D4619" i="1"/>
  <c r="D4631" i="1"/>
  <c r="D4620" i="1"/>
  <c r="D4632" i="1"/>
  <c r="D15751" i="1"/>
  <c r="D14057" i="1"/>
  <c r="D15775" i="1"/>
  <c r="D5045" i="1"/>
  <c r="D5886" i="1"/>
  <c r="D5046" i="1"/>
  <c r="D8070" i="1"/>
  <c r="D16102" i="1"/>
  <c r="D15738" i="1"/>
  <c r="D12772" i="1"/>
  <c r="D4538" i="1"/>
  <c r="D14103" i="1"/>
  <c r="D14104" i="1"/>
  <c r="D14105" i="1"/>
  <c r="D14106" i="1"/>
  <c r="D4539" i="1"/>
  <c r="D15917" i="1"/>
  <c r="D15918" i="1"/>
  <c r="D19367" i="1"/>
  <c r="D12762" i="1"/>
  <c r="D19043" i="1"/>
  <c r="D19044" i="1"/>
  <c r="D19045" i="1"/>
  <c r="D15752" i="1"/>
  <c r="D5887" i="1"/>
  <c r="D5047" i="1"/>
  <c r="D8071" i="1"/>
  <c r="D15762" i="1"/>
  <c r="D15753" i="1"/>
  <c r="D15754" i="1"/>
  <c r="D4636" i="1"/>
  <c r="D4637" i="1"/>
  <c r="D4540" i="1"/>
  <c r="D12430" i="1"/>
  <c r="D14107" i="1"/>
  <c r="D14108" i="1"/>
  <c r="D14109" i="1"/>
  <c r="D5048" i="1"/>
  <c r="D12773" i="1"/>
  <c r="D4541" i="1"/>
  <c r="D14110" i="1"/>
  <c r="D4580" i="1"/>
  <c r="D5018" i="1"/>
  <c r="D15776" i="1"/>
  <c r="D16103" i="1"/>
  <c r="D19046" i="1"/>
  <c r="D15930" i="1"/>
  <c r="D15755" i="1"/>
  <c r="D15756" i="1"/>
  <c r="D15919" i="1"/>
  <c r="D15920" i="1"/>
  <c r="D19345" i="1"/>
  <c r="D14111" i="1"/>
  <c r="D5049" i="1"/>
  <c r="D19366" i="1"/>
  <c r="D14112" i="1"/>
  <c r="D5888" i="1"/>
  <c r="D14113" i="1"/>
  <c r="D14114" i="1"/>
  <c r="D5050" i="1"/>
  <c r="D8072" i="1"/>
  <c r="D19352" i="1"/>
  <c r="D19353" i="1"/>
  <c r="D23515" i="1"/>
  <c r="D23516" i="1"/>
  <c r="D15777" i="1"/>
  <c r="D12774" i="1"/>
  <c r="D15931" i="1"/>
  <c r="D14058" i="1"/>
  <c r="D4542" i="1"/>
  <c r="D19349" i="1"/>
  <c r="D19350" i="1"/>
  <c r="D4621" i="1"/>
  <c r="D4633" i="1"/>
  <c r="D4622" i="1"/>
  <c r="D4623" i="1"/>
  <c r="D4634" i="1"/>
  <c r="D14061" i="1"/>
  <c r="D14062" i="1"/>
  <c r="D4543" i="1"/>
  <c r="D19351" i="1"/>
  <c r="D5022" i="1"/>
  <c r="D5023" i="1"/>
  <c r="D4642" i="1"/>
  <c r="D15921" i="1"/>
  <c r="D15922" i="1"/>
  <c r="D14625" i="1"/>
  <c r="D5876" i="1"/>
  <c r="D15757" i="1"/>
  <c r="D15758" i="1"/>
  <c r="D5914" i="1"/>
  <c r="D14115" i="1"/>
  <c r="D12758" i="1"/>
  <c r="D14116" i="1"/>
  <c r="D4643" i="1"/>
  <c r="D5889" i="1"/>
  <c r="D8073" i="1"/>
  <c r="D8074" i="1"/>
  <c r="D25366" i="1"/>
  <c r="D25367" i="1"/>
  <c r="D24356" i="1"/>
  <c r="D14117" i="1"/>
  <c r="D14118" i="1"/>
  <c r="D12759" i="1"/>
  <c r="D8075" i="1"/>
  <c r="D12431" i="1"/>
  <c r="D19359" i="1"/>
  <c r="D19331" i="1"/>
  <c r="D4644" i="1"/>
  <c r="D19360" i="1"/>
  <c r="D19361" i="1"/>
  <c r="D19338" i="1"/>
  <c r="D19339" i="1"/>
  <c r="D19362" i="1"/>
  <c r="D19340" i="1"/>
  <c r="D19341" i="1"/>
  <c r="D19363" i="1"/>
  <c r="D19342" i="1"/>
  <c r="D19364" i="1"/>
  <c r="D19343" i="1"/>
  <c r="D14119" i="1"/>
  <c r="D14053" i="1"/>
  <c r="D15932" i="1"/>
  <c r="D15940" i="1"/>
  <c r="D15901" i="1"/>
  <c r="D15933" i="1"/>
  <c r="D15941" i="1"/>
  <c r="D15902" i="1"/>
  <c r="D15934" i="1"/>
  <c r="D15942" i="1"/>
  <c r="D15903" i="1"/>
  <c r="D15935" i="1"/>
  <c r="D15943" i="1"/>
  <c r="D15904" i="1"/>
  <c r="D16104" i="1"/>
  <c r="D16105" i="1"/>
  <c r="D16106" i="1"/>
  <c r="D16107" i="1"/>
  <c r="D16108" i="1"/>
  <c r="D16109" i="1"/>
  <c r="D16110" i="1"/>
  <c r="D16111" i="1"/>
  <c r="D16112" i="1"/>
  <c r="D16113" i="1"/>
  <c r="D5872" i="1"/>
  <c r="D16114" i="1"/>
  <c r="D16115" i="1"/>
  <c r="D19346" i="1"/>
  <c r="D15737" i="1"/>
  <c r="D15740" i="1"/>
  <c r="D15741" i="1"/>
  <c r="D15761" i="1"/>
  <c r="D15763" i="1"/>
  <c r="D15764" i="1"/>
  <c r="D15765" i="1"/>
  <c r="D15742" i="1"/>
  <c r="D15739" i="1"/>
  <c r="D15936" i="1"/>
  <c r="D15944" i="1"/>
  <c r="D15905" i="1"/>
  <c r="D15937" i="1"/>
  <c r="D15945" i="1"/>
  <c r="D15906" i="1"/>
  <c r="D15938" i="1"/>
  <c r="D15946" i="1"/>
  <c r="D15907" i="1"/>
  <c r="D15939" i="1"/>
  <c r="D15947" i="1"/>
  <c r="D15908" i="1"/>
  <c r="D15759" i="1"/>
  <c r="D15760" i="1"/>
  <c r="D5019" i="1"/>
  <c r="D5817" i="1"/>
  <c r="D11765" i="1"/>
  <c r="D5973" i="1"/>
  <c r="D5974" i="1"/>
  <c r="D17560" i="1"/>
  <c r="D17561" i="1"/>
  <c r="D5975" i="1"/>
  <c r="D5976" i="1"/>
  <c r="D9974" i="1"/>
  <c r="D9975" i="1"/>
  <c r="D5967" i="1"/>
  <c r="D5968" i="1"/>
  <c r="D5969" i="1"/>
  <c r="D17562" i="1"/>
  <c r="D15649" i="1"/>
  <c r="D5970" i="1"/>
  <c r="D14679" i="1"/>
  <c r="D14684" i="1"/>
  <c r="D14680" i="1"/>
  <c r="D14685" i="1"/>
  <c r="D14681" i="1"/>
  <c r="D14686" i="1"/>
  <c r="D14682" i="1"/>
  <c r="D14687" i="1"/>
  <c r="D14688" i="1"/>
  <c r="D14683" i="1"/>
  <c r="D14689" i="1"/>
  <c r="D19515" i="1"/>
  <c r="D19516" i="1"/>
  <c r="D18558" i="1"/>
  <c r="D19457" i="1"/>
  <c r="D19517" i="1"/>
  <c r="D19607" i="1"/>
  <c r="D19458" i="1"/>
  <c r="D19518" i="1"/>
  <c r="D19608" i="1"/>
  <c r="D19519" i="1"/>
  <c r="D19520" i="1"/>
  <c r="D10129" i="1"/>
  <c r="D5812" i="1"/>
  <c r="D5813" i="1"/>
  <c r="D5814" i="1"/>
  <c r="D19459" i="1"/>
  <c r="D19477" i="1"/>
  <c r="D19521" i="1"/>
  <c r="D19583" i="1"/>
  <c r="D19609" i="1"/>
  <c r="D19460" i="1"/>
  <c r="D19478" i="1"/>
  <c r="D19522" i="1"/>
  <c r="D19584" i="1"/>
  <c r="D19610" i="1"/>
  <c r="D5815" i="1"/>
  <c r="D19523" i="1"/>
  <c r="D19524" i="1"/>
  <c r="D18559" i="1"/>
  <c r="D5816" i="1"/>
  <c r="D10130" i="1"/>
  <c r="D10131" i="1"/>
  <c r="D19461" i="1"/>
  <c r="D19479" i="1"/>
  <c r="D19525" i="1"/>
  <c r="D19526" i="1"/>
  <c r="D19585" i="1"/>
  <c r="D19611" i="1"/>
  <c r="D19462" i="1"/>
  <c r="D19480" i="1"/>
  <c r="D19527" i="1"/>
  <c r="D19528" i="1"/>
  <c r="D19586" i="1"/>
  <c r="D19612" i="1"/>
  <c r="D19529" i="1"/>
  <c r="D19530" i="1"/>
  <c r="D10132" i="1"/>
  <c r="D10133" i="1"/>
  <c r="D10134" i="1"/>
  <c r="D10135" i="1"/>
  <c r="D19531" i="1"/>
  <c r="D19532" i="1"/>
  <c r="D19463" i="1"/>
  <c r="D19481" i="1"/>
  <c r="D19533" i="1"/>
  <c r="D19587" i="1"/>
  <c r="D19613" i="1"/>
  <c r="D19464" i="1"/>
  <c r="D19482" i="1"/>
  <c r="D19534" i="1"/>
  <c r="D19588" i="1"/>
  <c r="D19614" i="1"/>
  <c r="D4599" i="1"/>
  <c r="D4600" i="1"/>
  <c r="D19535" i="1"/>
  <c r="D19536" i="1"/>
  <c r="D18560" i="1"/>
  <c r="D18561" i="1"/>
  <c r="D19483" i="1"/>
  <c r="D19537" i="1"/>
  <c r="D19589" i="1"/>
  <c r="D19484" i="1"/>
  <c r="D19538" i="1"/>
  <c r="D19590" i="1"/>
  <c r="D19539" i="1"/>
  <c r="D19540" i="1"/>
  <c r="D19541" i="1"/>
  <c r="D19617" i="1"/>
  <c r="D19542" i="1"/>
  <c r="D19618" i="1"/>
  <c r="D19485" i="1"/>
  <c r="D19543" i="1"/>
  <c r="D19591" i="1"/>
  <c r="D19486" i="1"/>
  <c r="D19544" i="1"/>
  <c r="D19592" i="1"/>
  <c r="D19545" i="1"/>
  <c r="D19546" i="1"/>
  <c r="D19465" i="1"/>
  <c r="D19487" i="1"/>
  <c r="D19488" i="1"/>
  <c r="D19547" i="1"/>
  <c r="D19593" i="1"/>
  <c r="D19601" i="1"/>
  <c r="D19466" i="1"/>
  <c r="D19489" i="1"/>
  <c r="D19490" i="1"/>
  <c r="D19548" i="1"/>
  <c r="D19594" i="1"/>
  <c r="D19602" i="1"/>
  <c r="D19549" i="1"/>
  <c r="D19550" i="1"/>
  <c r="D19467" i="1"/>
  <c r="D19491" i="1"/>
  <c r="D19492" i="1"/>
  <c r="D19493" i="1"/>
  <c r="D19551" i="1"/>
  <c r="D19552" i="1"/>
  <c r="D19595" i="1"/>
  <c r="D19605" i="1"/>
  <c r="D19468" i="1"/>
  <c r="D19494" i="1"/>
  <c r="D19495" i="1"/>
  <c r="D19496" i="1"/>
  <c r="D19553" i="1"/>
  <c r="D19554" i="1"/>
  <c r="D19596" i="1"/>
  <c r="D19606" i="1"/>
  <c r="D19619" i="1"/>
  <c r="D19620" i="1"/>
  <c r="D10127" i="1"/>
  <c r="D10128" i="1"/>
  <c r="D19555" i="1"/>
  <c r="D19556" i="1"/>
  <c r="D19469" i="1"/>
  <c r="D19497" i="1"/>
  <c r="D19498" i="1"/>
  <c r="D19557" i="1"/>
  <c r="D19597" i="1"/>
  <c r="D19470" i="1"/>
  <c r="D19499" i="1"/>
  <c r="D19500" i="1"/>
  <c r="D19558" i="1"/>
  <c r="D19598" i="1"/>
  <c r="D19621" i="1"/>
  <c r="D19622" i="1"/>
  <c r="D19559" i="1"/>
  <c r="D19560" i="1"/>
  <c r="D19471" i="1"/>
  <c r="D19501" i="1"/>
  <c r="D19502" i="1"/>
  <c r="D19561" i="1"/>
  <c r="D19472" i="1"/>
  <c r="D19503" i="1"/>
  <c r="D19504" i="1"/>
  <c r="D19562" i="1"/>
  <c r="D19505" i="1"/>
  <c r="D19563" i="1"/>
  <c r="D19564" i="1"/>
  <c r="D19603" i="1"/>
  <c r="D19506" i="1"/>
  <c r="D19565" i="1"/>
  <c r="D19566" i="1"/>
  <c r="D19604" i="1"/>
  <c r="D19567" i="1"/>
  <c r="D19579" i="1"/>
  <c r="D19615" i="1"/>
  <c r="D19568" i="1"/>
  <c r="D19580" i="1"/>
  <c r="D19616" i="1"/>
  <c r="D19473" i="1"/>
  <c r="D19507" i="1"/>
  <c r="D19508" i="1"/>
  <c r="D19569" i="1"/>
  <c r="D19581" i="1"/>
  <c r="D19599" i="1"/>
  <c r="D19474" i="1"/>
  <c r="D19509" i="1"/>
  <c r="D19510" i="1"/>
  <c r="D19570" i="1"/>
  <c r="D19582" i="1"/>
  <c r="D19600" i="1"/>
  <c r="D19571" i="1"/>
  <c r="D19572" i="1"/>
  <c r="D19475" i="1"/>
  <c r="D19511" i="1"/>
  <c r="D19512" i="1"/>
  <c r="D19573" i="1"/>
  <c r="D19574" i="1"/>
  <c r="D19476" i="1"/>
  <c r="D19513" i="1"/>
  <c r="D19514" i="1"/>
  <c r="D19575" i="1"/>
  <c r="D19576" i="1"/>
  <c r="D19577" i="1"/>
  <c r="D19578" i="1"/>
  <c r="D23579" i="1"/>
  <c r="D23580" i="1"/>
  <c r="D14490" i="1"/>
  <c r="D14491" i="1"/>
  <c r="D14498" i="1"/>
  <c r="D14492" i="1"/>
  <c r="D14493" i="1"/>
  <c r="D14494" i="1"/>
  <c r="D14495" i="1"/>
  <c r="D14496" i="1"/>
  <c r="D14497" i="1"/>
  <c r="D14499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47FD219-D285-4484-BADF-96B6FEE137E9}" keepAlive="1" name="Kysely – orlalu2025_5000_8200" description="Yhteys kyselyyn orlalu2025_5000_8200 työkirjassa." type="5" refreshedVersion="0" background="1">
    <dbPr connection="Provider=Microsoft.Mashup.OleDb.1;Data Source=$Workbook$;Location=orlalu2025_5000_8200;Extended Properties=&quot;&quot;" command="SELECT * FROM [orlalu2025_5000_8200]"/>
  </connection>
</connections>
</file>

<file path=xl/sharedStrings.xml><?xml version="1.0" encoding="utf-8"?>
<sst xmlns="http://schemas.openxmlformats.org/spreadsheetml/2006/main" count="162666" uniqueCount="3333">
  <si>
    <t>LASKUN NUMERO</t>
  </si>
  <si>
    <t>TOSITEPÄIVÄ</t>
  </si>
  <si>
    <t>TAPAHTUMAPÄIVÄ</t>
  </si>
  <si>
    <t>RIVIN SUMMA</t>
  </si>
  <si>
    <t>VEROTON RIVIN OSUUS</t>
  </si>
  <si>
    <t>VERO RIVIN OSUUS</t>
  </si>
  <si>
    <t>TILIN NIMI</t>
  </si>
  <si>
    <t>MAA</t>
  </si>
  <si>
    <t>CHG-MERIDIAN Finland Oy</t>
  </si>
  <si>
    <t>ICT-laitteiden vuokrat v. 2025</t>
  </si>
  <si>
    <t>Ruoveden lukio/Opetus</t>
  </si>
  <si>
    <t>2126619-0</t>
  </si>
  <si>
    <t>Henkilöstöhallinto</t>
  </si>
  <si>
    <t>Yleishallinto</t>
  </si>
  <si>
    <t>Ylsi/Voionmaa/Hallinto</t>
  </si>
  <si>
    <t>Kon. ja laitt.vuokrat pl. ICT</t>
  </si>
  <si>
    <t>Iisakki/Lähihoitaja PT</t>
  </si>
  <si>
    <t>Iisakki/Raca PT</t>
  </si>
  <si>
    <t>Iisakki/Auto PT</t>
  </si>
  <si>
    <t>Iisakki/Metalli/Hkyrö  PT</t>
  </si>
  <si>
    <t>Iisakki/Metalli/Pno  PT</t>
  </si>
  <si>
    <t>Iisakki/Prosessi  PT</t>
  </si>
  <si>
    <t>Iisakki/Rakennus PT</t>
  </si>
  <si>
    <t>Iisakki/Sähkö  PT</t>
  </si>
  <si>
    <t>Iisakki/Teli/Yht.opetus PT</t>
  </si>
  <si>
    <t>Iisakki/LVI-ala  PT</t>
  </si>
  <si>
    <t>LUPI/Ruokailu/Iisakki Hkyrö</t>
  </si>
  <si>
    <t>LUPI/Koul.järjestäjän hallinto</t>
  </si>
  <si>
    <t>LUPI/Opetuk hall ja muut yht.t</t>
  </si>
  <si>
    <t>LUPI/muu oppilashuolto</t>
  </si>
  <si>
    <t>Kans.väl.toim, hallinto</t>
  </si>
  <si>
    <t>Hanketoiminta, hallinto</t>
  </si>
  <si>
    <t>OPH:n hankkeet, rah.laki 44§</t>
  </si>
  <si>
    <t>Ylsi/Petäjä/Vapaa siv.työ</t>
  </si>
  <si>
    <t>Ylsi/Petäjä/Taiteen per.op.</t>
  </si>
  <si>
    <t>Hankintatoimi</t>
  </si>
  <si>
    <t>Yhteinen opetus/vyörytettävät</t>
  </si>
  <si>
    <t>Yhteinen opetus/Kauphall</t>
  </si>
  <si>
    <t>Koulutuksenjärjestäjän hallint</t>
  </si>
  <si>
    <t>Opetuk. hall. ja muut yht.toim</t>
  </si>
  <si>
    <t>Tietohallintopalvelut</t>
  </si>
  <si>
    <t>KOSOL/Lähihoitaja PT</t>
  </si>
  <si>
    <t>KOSOL/Palvelualat/PuKi PT</t>
  </si>
  <si>
    <t>VAK/Hyvinvointiteknologia</t>
  </si>
  <si>
    <t>KOSOL/Majoitus</t>
  </si>
  <si>
    <t>SASO/Opetuk.hall.ja muut yht</t>
  </si>
  <si>
    <t>SASO/opinto-ohajus</t>
  </si>
  <si>
    <t>SASO/muu oppilashuolto</t>
  </si>
  <si>
    <t>VAK/Hius- ja kauneusala PT</t>
  </si>
  <si>
    <t>VAK/Raca PT</t>
  </si>
  <si>
    <t>VAK/TeLi/Metalli PT</t>
  </si>
  <si>
    <t>VAK/Auto PT</t>
  </si>
  <si>
    <t>VAK/TeLi/Sähkö PT</t>
  </si>
  <si>
    <t>VAK/TeLi/Puu PT</t>
  </si>
  <si>
    <t>VAK/TeLi/Rakennus PT</t>
  </si>
  <si>
    <t>VAK/TeLi/Leipomo PT</t>
  </si>
  <si>
    <t>VAK/TeLi/Kivi PT</t>
  </si>
  <si>
    <t>VAK/TeLi/Pienkonekorjaaja PT</t>
  </si>
  <si>
    <t>VAK/TeLi/Yhteinen opetus PT</t>
  </si>
  <si>
    <t>VAK/Tuva</t>
  </si>
  <si>
    <t>VAK/Majoitus</t>
  </si>
  <si>
    <t>VAK/Ruokailu</t>
  </si>
  <si>
    <t>VAK/Omat tilat</t>
  </si>
  <si>
    <t>VAK/Oppimiskeskus/liikuntah.</t>
  </si>
  <si>
    <t>SASO/Koulutuksenjärj. hall.</t>
  </si>
  <si>
    <t>Tietotek konesali- ja kapasit</t>
  </si>
  <si>
    <t>Ikaalisten lukio/Opetus</t>
  </si>
  <si>
    <t>Taloushallintopalvelut</t>
  </si>
  <si>
    <t>TKTO/Lavasterakennus PT</t>
  </si>
  <si>
    <t>TKTO/Sisustus PT</t>
  </si>
  <si>
    <t>TKTO/Jalometalli PT</t>
  </si>
  <si>
    <t>TPA/Liiketalous</t>
  </si>
  <si>
    <t>TPA/Lähihoitaja PT</t>
  </si>
  <si>
    <t>TPA/Raca PT</t>
  </si>
  <si>
    <t>TPA/Raca/oppilast.PT</t>
  </si>
  <si>
    <t>TPA/Ravintola Wivi PT</t>
  </si>
  <si>
    <t>TPA/Matkailuala PT</t>
  </si>
  <si>
    <t>TPA/Datanomi</t>
  </si>
  <si>
    <t>TPA/Leipomo PT</t>
  </si>
  <si>
    <t>TPA/Tuva</t>
  </si>
  <si>
    <t>TPA/Ruokailu</t>
  </si>
  <si>
    <t>TPA/Koulutuksenjärj. hall.</t>
  </si>
  <si>
    <t>TPA/Opetuksen hall. ja muut yh</t>
  </si>
  <si>
    <t>TPA/opinto-ohjaus</t>
  </si>
  <si>
    <t>TPA/muu oppilashuolto</t>
  </si>
  <si>
    <t>TPA/Tilauskoulutus</t>
  </si>
  <si>
    <t>HuKo/Liiketalous</t>
  </si>
  <si>
    <t>HuKo/Datanomi</t>
  </si>
  <si>
    <t>HuKo/Koul.järj.hall./Huittine</t>
  </si>
  <si>
    <t>HuKo/Op. hall. ja muut yht. to</t>
  </si>
  <si>
    <t>HuKo/opinto-ohjaus</t>
  </si>
  <si>
    <t>Kiinteistöpalvelut omat tilat</t>
  </si>
  <si>
    <t>Viestintä ja markkinointi</t>
  </si>
  <si>
    <t>Kuntayhtymäjohto</t>
  </si>
  <si>
    <t>MSKK/Liiketalous</t>
  </si>
  <si>
    <t>MSKK/Lähihoitaja PT</t>
  </si>
  <si>
    <t>MSKK/Raca PT</t>
  </si>
  <si>
    <t>MSKK/Parturi-kampaaja PT</t>
  </si>
  <si>
    <t>MSKK/Kosmetologi PT</t>
  </si>
  <si>
    <t>MSKK/Paka &amp; kosme/yht.ope PT</t>
  </si>
  <si>
    <t>MSKK/Paka &amp; kosme/oppil PT</t>
  </si>
  <si>
    <t>MSKK/Datanomi</t>
  </si>
  <si>
    <t>MSKK/Metalli  PT</t>
  </si>
  <si>
    <t>MSKK/Sähkö/Automaatio PT</t>
  </si>
  <si>
    <t>MSKK/Auto PT</t>
  </si>
  <si>
    <t>MSKK/TeLi/yhteinen opetus PT</t>
  </si>
  <si>
    <t>MSKK/Leko PT</t>
  </si>
  <si>
    <t>MSKK/Tuva</t>
  </si>
  <si>
    <t>MSKK/Majoitus</t>
  </si>
  <si>
    <t>MSKK/Ruokailu</t>
  </si>
  <si>
    <t>MSKK/Omat tilat</t>
  </si>
  <si>
    <t>MSKK/Koul.järjestäjän hallinto</t>
  </si>
  <si>
    <t>MSKK/Opetuk.hall.ja muut yht.</t>
  </si>
  <si>
    <t>MSKK/opinto-ohjaus</t>
  </si>
  <si>
    <t>MSKK/muu oppilashuolto</t>
  </si>
  <si>
    <t>YlSi/Musari/Taiteen perusop.</t>
  </si>
  <si>
    <t>Ylsi/Voionmaa/kans.opisto</t>
  </si>
  <si>
    <t>HuKo/LuVa/puutar AT/EA</t>
  </si>
  <si>
    <t>HuKo/LuVa/puutarha PT</t>
  </si>
  <si>
    <t>HuKoLuVa/Puutarha/Opetusm. PT</t>
  </si>
  <si>
    <t>HuKo/TeLi  PT</t>
  </si>
  <si>
    <t>HuKo/LuVa/Maatalous PT</t>
  </si>
  <si>
    <t>HuKo/Ruokailu/Kokemäki</t>
  </si>
  <si>
    <t>HuKo/Omat tilat/Kokemäki</t>
  </si>
  <si>
    <t>HuKo/Op hall. ja muut yht. toi</t>
  </si>
  <si>
    <t>HuKo/muu oppilashuolto</t>
  </si>
  <si>
    <t>Kalusto</t>
  </si>
  <si>
    <t>Ikol/Liiketalous</t>
  </si>
  <si>
    <t>Ikol/Datanomi</t>
  </si>
  <si>
    <t>Ikata/Yhteinen opetus PT</t>
  </si>
  <si>
    <t>Lupi/Tuva</t>
  </si>
  <si>
    <t>Ikaalisten lukio/Omat tilat</t>
  </si>
  <si>
    <t>Lupi/Omat tilat/IDEA-kampus</t>
  </si>
  <si>
    <t>Ikaalisten lukio/Ruokailu</t>
  </si>
  <si>
    <t>Ikata/Kitaranrakennus AT/EAT</t>
  </si>
  <si>
    <t>Ikata/Musiikkituot. AT/EAT</t>
  </si>
  <si>
    <t>Ikata/Asesepäntyö PT</t>
  </si>
  <si>
    <t>Ikata/Erikoismetalli PT</t>
  </si>
  <si>
    <t>Ikata/Hienopuuseppä PT</t>
  </si>
  <si>
    <t>Ikata/Kitaranrakennus PT</t>
  </si>
  <si>
    <t>Ikata/Pienoismallinrakennus PT</t>
  </si>
  <si>
    <t>Ikata/Huonek. stailaus ja entP</t>
  </si>
  <si>
    <t>Ikata/Rakennusrestaurointi PT</t>
  </si>
  <si>
    <t>Ikata/3D-tulostus ja mallint.P</t>
  </si>
  <si>
    <t>Ikata/Graafinen suunnittelu PT</t>
  </si>
  <si>
    <t>Ikata/Kädentaitojen ohj.toim P</t>
  </si>
  <si>
    <t>Ikata/Sisustustekstiili PT</t>
  </si>
  <si>
    <t>Ikata/Vaatetus PT</t>
  </si>
  <si>
    <t>Ikata/Lasinpuhallus PT</t>
  </si>
  <si>
    <t>Ikata/Sisustuslasi PT</t>
  </si>
  <si>
    <t>Ikata/Korusuunn. ja valm  PT</t>
  </si>
  <si>
    <t>Ikata/Tapahtuma- ja messurak P</t>
  </si>
  <si>
    <t>Lupi/Ruokailu/IDEA-kampus</t>
  </si>
  <si>
    <t>LUPI/opinto-ohjaus</t>
  </si>
  <si>
    <t>Osara/luonto ja ympäristö</t>
  </si>
  <si>
    <t>Osara/Maatalous PT</t>
  </si>
  <si>
    <t>Osara/Maatal/Opetusm.ja harj P</t>
  </si>
  <si>
    <t>LUPI/Omat tilat/Osara</t>
  </si>
  <si>
    <t>Leadership as a Service Compan</t>
  </si>
  <si>
    <t>Ohjelmistolisenssimaksut</t>
  </si>
  <si>
    <t>3089216-9</t>
  </si>
  <si>
    <t>Secto Automotive Oy</t>
  </si>
  <si>
    <t>Kon, kal, laitt. rak-ja kunn.p</t>
  </si>
  <si>
    <t>2113572-1</t>
  </si>
  <si>
    <t>Noli Studios Finland Oy</t>
  </si>
  <si>
    <t>Majoitus- ja ravitsem.palvelut</t>
  </si>
  <si>
    <t>2835649-8</t>
  </si>
  <si>
    <t>Opiskelijahallintopalvelut</t>
  </si>
  <si>
    <t>Kiinteistö Oy Ikaalisten Työke</t>
  </si>
  <si>
    <t>Rak.- ja huoneistojen vuokrat</t>
  </si>
  <si>
    <t>LUPI/vuokratilat/Ikata</t>
  </si>
  <si>
    <t>0725900-7</t>
  </si>
  <si>
    <t>Röykkä Invest Oy</t>
  </si>
  <si>
    <t>Sähkö</t>
  </si>
  <si>
    <t>Luontoala</t>
  </si>
  <si>
    <t>3275597-7</t>
  </si>
  <si>
    <t>Yhteinen opetus/Tekniikan al A</t>
  </si>
  <si>
    <t>Parkanon Viisi tähteä Oy</t>
  </si>
  <si>
    <t>Ylsi/Petäjä/Vuokratilat</t>
  </si>
  <si>
    <t>2220891-0</t>
  </si>
  <si>
    <t>Linde Gas Oy Ab</t>
  </si>
  <si>
    <t>Kaasu</t>
  </si>
  <si>
    <t>0100346-5</t>
  </si>
  <si>
    <t>MWW Yhtiö Oy</t>
  </si>
  <si>
    <t>Kiinteistöpalvelut vuokratilat</t>
  </si>
  <si>
    <t>1732286-6</t>
  </si>
  <si>
    <t>TPA/Vuokratilat</t>
  </si>
  <si>
    <t>Louhi Net Oy</t>
  </si>
  <si>
    <t>Muut ICT-palvelut</t>
  </si>
  <si>
    <t>1946409-1</t>
  </si>
  <si>
    <t>Securitas Oy</t>
  </si>
  <si>
    <t>Vartiointi- ja turvapalvelut</t>
  </si>
  <si>
    <t>1773518-5</t>
  </si>
  <si>
    <t>KOSOL/Omat tilat</t>
  </si>
  <si>
    <t>TKTO/Omat tilat</t>
  </si>
  <si>
    <t>VAK/Oppimiskesk. maks.pt.</t>
  </si>
  <si>
    <t>TKTO/Tilojen ja kal. vuokraus</t>
  </si>
  <si>
    <t>Quadient Finance Finland Oy</t>
  </si>
  <si>
    <t>Vakuutukset</t>
  </si>
  <si>
    <t>1088955-2</t>
  </si>
  <si>
    <t>Opinsys Oy</t>
  </si>
  <si>
    <t>1847395-7</t>
  </si>
  <si>
    <t>Naava Group Oy</t>
  </si>
  <si>
    <t>Muut palvelut</t>
  </si>
  <si>
    <t>2432661-1</t>
  </si>
  <si>
    <t>Avarn Security Oy</t>
  </si>
  <si>
    <t>0108013-7</t>
  </si>
  <si>
    <t>LUPI/Omat tilat/Iisakki Hkyrö</t>
  </si>
  <si>
    <t>Nomentia Oy</t>
  </si>
  <si>
    <t>2855557-7</t>
  </si>
  <si>
    <t>L&amp;T Kiinteistöhuolto Oy</t>
  </si>
  <si>
    <t>Puhtaanapito- ja pesulapalvel</t>
  </si>
  <si>
    <t>3155934-1</t>
  </si>
  <si>
    <t>TPA/Omat tilat</t>
  </si>
  <si>
    <t>OPEN POS Finland Oy</t>
  </si>
  <si>
    <t>MSKK/Raca/oppilast. PT</t>
  </si>
  <si>
    <t>1578626-1</t>
  </si>
  <si>
    <t>MSKK/Kahvio PT</t>
  </si>
  <si>
    <t>VAK/Ravintola Warelius PT</t>
  </si>
  <si>
    <t>Talgraf Oy</t>
  </si>
  <si>
    <t>2690824-4</t>
  </si>
  <si>
    <t>VAK/TeLi/Metalli AT/EAT</t>
  </si>
  <si>
    <t>Neste Markkinointi Oy</t>
  </si>
  <si>
    <t>Lämmitys</t>
  </si>
  <si>
    <t>1626490-8</t>
  </si>
  <si>
    <t>Suomen MediTuote Oy</t>
  </si>
  <si>
    <t>Siivous- ja puhdistusain/tarv</t>
  </si>
  <si>
    <t>HuKo/Ruokailu/Huittinen</t>
  </si>
  <si>
    <t>2474353-8</t>
  </si>
  <si>
    <t>HuKo/Henk.kunnan ruok./Huitt</t>
  </si>
  <si>
    <t>HuKo/Ravintolan muu myynti/Hui</t>
  </si>
  <si>
    <t>Kiinteistöhuolto V&amp;H Oy</t>
  </si>
  <si>
    <t>Rak.ja al.rak.-ja kunn.pitopal</t>
  </si>
  <si>
    <t>3254963-9</t>
  </si>
  <si>
    <t>Opetus- ja kultt.palv./hlö.ko</t>
  </si>
  <si>
    <t>Prowledge Oy</t>
  </si>
  <si>
    <t>3357503-8</t>
  </si>
  <si>
    <t>Elämys Travel Design Oy</t>
  </si>
  <si>
    <t>2803098-1</t>
  </si>
  <si>
    <t>Präntti Oy</t>
  </si>
  <si>
    <t>Kirjallisuus</t>
  </si>
  <si>
    <t>Ikaalisten lukio/Hallinto</t>
  </si>
  <si>
    <t>2071968-8</t>
  </si>
  <si>
    <t>YlSi/Musari/Hallinto</t>
  </si>
  <si>
    <t>Teknikum Oy</t>
  </si>
  <si>
    <t>VAK/TeLi/Muu palv.toim PT</t>
  </si>
  <si>
    <t>0764527-4</t>
  </si>
  <si>
    <t>Fokus Media Finland Oy</t>
  </si>
  <si>
    <t>3157774-2</t>
  </si>
  <si>
    <t>Hedelmän- ja Marjanvilj liitto</t>
  </si>
  <si>
    <t>Muut kulut</t>
  </si>
  <si>
    <t>0275936-0</t>
  </si>
  <si>
    <t>TPA/Tilojen ja kal. vuokraus</t>
  </si>
  <si>
    <t>Oksidia Oy</t>
  </si>
  <si>
    <t>2452164-4</t>
  </si>
  <si>
    <t>Koodiviidakko Oy</t>
  </si>
  <si>
    <t>1939962-1</t>
  </si>
  <si>
    <t>Webropol Oy</t>
  </si>
  <si>
    <t>1773960-2</t>
  </si>
  <si>
    <t>Agendium Oy</t>
  </si>
  <si>
    <t>2410237-8</t>
  </si>
  <si>
    <t>Oy Poutapilvi web design Ab</t>
  </si>
  <si>
    <t>1528447-2</t>
  </si>
  <si>
    <t>Kone Hissit Oy</t>
  </si>
  <si>
    <t>1904292-1</t>
  </si>
  <si>
    <t>KMV-Turvapalvelut Oy</t>
  </si>
  <si>
    <t>0912727-8</t>
  </si>
  <si>
    <t>MSKK/Omat tilat/Leko</t>
  </si>
  <si>
    <t>Fonecta Oy</t>
  </si>
  <si>
    <t>PirAl/Opetus</t>
  </si>
  <si>
    <t>1755007-6</t>
  </si>
  <si>
    <t>Arval Oy</t>
  </si>
  <si>
    <t>2460633-0</t>
  </si>
  <si>
    <t>Kielikone Oy</t>
  </si>
  <si>
    <t>0694967-1</t>
  </si>
  <si>
    <t>SN-Kiinnike Tampere Oy</t>
  </si>
  <si>
    <t>2808988-7</t>
  </si>
  <si>
    <t>Kesko Oyj</t>
  </si>
  <si>
    <t>Muu materiaali</t>
  </si>
  <si>
    <t>0109862-8</t>
  </si>
  <si>
    <t>Elintarvikkeet</t>
  </si>
  <si>
    <t>LUPI/Henk.kunnan ruokailu</t>
  </si>
  <si>
    <t>VAK/Henk.kunnan ruokailu</t>
  </si>
  <si>
    <t>TPA/Leipomo/oppilast.PT</t>
  </si>
  <si>
    <t>Kalaherkut Oy Nygren</t>
  </si>
  <si>
    <t>0872474-0</t>
  </si>
  <si>
    <t>Muut vuokrat</t>
  </si>
  <si>
    <t>React &amp; Share Oy</t>
  </si>
  <si>
    <t>2726694-1</t>
  </si>
  <si>
    <t>Keystone Educ. Group Oy/Studen</t>
  </si>
  <si>
    <t>Painatukset ja ilmoitukse</t>
  </si>
  <si>
    <t>2342228-1</t>
  </si>
  <si>
    <t>Würth Oy</t>
  </si>
  <si>
    <t>Vaatteisto</t>
  </si>
  <si>
    <t>0202881-6</t>
  </si>
  <si>
    <t>Image Wear Oy</t>
  </si>
  <si>
    <t>Henkilöstön suojavaatetus</t>
  </si>
  <si>
    <t>0689586-1</t>
  </si>
  <si>
    <t>MV-Jäähdytys Oy</t>
  </si>
  <si>
    <t>KOSOL/Ruokailu</t>
  </si>
  <si>
    <t>2487661-3</t>
  </si>
  <si>
    <t>Finlandia Kirja Oy</t>
  </si>
  <si>
    <t>Ikaalisten lukio/opp.mater/väl</t>
  </si>
  <si>
    <t>2903116-9</t>
  </si>
  <si>
    <t>Iisakki/Kahvio PT</t>
  </si>
  <si>
    <t>LUPI/Ruokailu/Osara</t>
  </si>
  <si>
    <t>Storia Oy</t>
  </si>
  <si>
    <t>Ruoveden lukio/opp.mater/välin</t>
  </si>
  <si>
    <t>0110031-0</t>
  </si>
  <si>
    <t>Telia Finland Oyj</t>
  </si>
  <si>
    <t>1475607-9</t>
  </si>
  <si>
    <t>Lekolar-Printel Oy</t>
  </si>
  <si>
    <t>Toimisto- ja koulutarvikkeet</t>
  </si>
  <si>
    <t>1546343-8</t>
  </si>
  <si>
    <t>Konehuolto Jarmo Mäkinen Oy</t>
  </si>
  <si>
    <t>1652358-6</t>
  </si>
  <si>
    <t>Avant Tecno Oy</t>
  </si>
  <si>
    <t>HuKo/LuVa/Maatal/Opetusm. PT</t>
  </si>
  <si>
    <t>0844210-2</t>
  </si>
  <si>
    <t>Vaasan Suojaverho Oy</t>
  </si>
  <si>
    <t>0949742-0</t>
  </si>
  <si>
    <t>Faba osk</t>
  </si>
  <si>
    <t>2122611-3</t>
  </si>
  <si>
    <t>Yhteinen opetus/Maanrak AT/EAT</t>
  </si>
  <si>
    <t>Pispalan Betoni Oy</t>
  </si>
  <si>
    <t>Ylsi/Voionmaa/Vuokratilat</t>
  </si>
  <si>
    <t>0792853-0</t>
  </si>
  <si>
    <t>Lupi/vuokratilat/Voionmaa</t>
  </si>
  <si>
    <t>Toimistopalvelut</t>
  </si>
  <si>
    <t>Kansainvälisyystoiminta</t>
  </si>
  <si>
    <t>Matkustus- ja kuljetuspalv</t>
  </si>
  <si>
    <t>Ikol/Lähihoitaja PT</t>
  </si>
  <si>
    <t>VENI Energia Oy</t>
  </si>
  <si>
    <t>2840712-8</t>
  </si>
  <si>
    <t>Asiantuntijapalvelut</t>
  </si>
  <si>
    <t>Työkalup.Toolservice Grönblom</t>
  </si>
  <si>
    <t>0202765-3</t>
  </si>
  <si>
    <t>Konica Minolta business soluti</t>
  </si>
  <si>
    <t>0113747-1</t>
  </si>
  <si>
    <t>Sevendim Oy</t>
  </si>
  <si>
    <t>Keskener rakennukset</t>
  </si>
  <si>
    <t>IDEA LuPi Rakentaminen</t>
  </si>
  <si>
    <t>2878061-9</t>
  </si>
  <si>
    <t>Vastuu Group Oy</t>
  </si>
  <si>
    <t>2327327-1</t>
  </si>
  <si>
    <t>Historian ja Yhteiskuntaopin Opettajien liitto Hyol r.y.</t>
  </si>
  <si>
    <t>Opetus- ja kulttuuripalvelut</t>
  </si>
  <si>
    <t>0234711-2</t>
  </si>
  <si>
    <t>Haukkis Oy</t>
  </si>
  <si>
    <t>Hoitotarvikkeet</t>
  </si>
  <si>
    <t>2873027-5</t>
  </si>
  <si>
    <t>Rehut</t>
  </si>
  <si>
    <t>Muut kemikaalit</t>
  </si>
  <si>
    <t>Kiviniityn Auto ja Mtal huolto</t>
  </si>
  <si>
    <t>VAK/TeLi/Auto/oppilast. PT</t>
  </si>
  <si>
    <t>0297582-1</t>
  </si>
  <si>
    <t>FleuraMetz Suomi Oy</t>
  </si>
  <si>
    <t>2076532-6</t>
  </si>
  <si>
    <t>Esta Oy</t>
  </si>
  <si>
    <t>0676555-7</t>
  </si>
  <si>
    <t>Fescon Oy</t>
  </si>
  <si>
    <t>0560006-4</t>
  </si>
  <si>
    <t>Loihde Trust Oy</t>
  </si>
  <si>
    <t>0863729-2</t>
  </si>
  <si>
    <t>Huittisten Sanomalehti Oy</t>
  </si>
  <si>
    <t>0132794-5</t>
  </si>
  <si>
    <t>Hilannon Mylly Oy</t>
  </si>
  <si>
    <t>0640961-6</t>
  </si>
  <si>
    <t>Vapaus Bikes Finland Oy</t>
  </si>
  <si>
    <t>2879502-8</t>
  </si>
  <si>
    <t>VR-Yhtymä Oy</t>
  </si>
  <si>
    <t>1003521-5</t>
  </si>
  <si>
    <t>Yhteinen opetus/ei-tutk.j.koul</t>
  </si>
  <si>
    <t>Porin Leipä Oy</t>
  </si>
  <si>
    <t>0304496-5</t>
  </si>
  <si>
    <t>HuKo/Henk.kunnan ruok./Kok</t>
  </si>
  <si>
    <t>HuKo/Opiskelijarav.myynti/Kok</t>
  </si>
  <si>
    <t>Senni-keittiöt Oy</t>
  </si>
  <si>
    <t>3234153-9</t>
  </si>
  <si>
    <t>Tampereen Terä- ja Kone-edustu</t>
  </si>
  <si>
    <t>1025642-1</t>
  </si>
  <si>
    <t>Hankkija Oy</t>
  </si>
  <si>
    <t>0224546-6</t>
  </si>
  <si>
    <t>Etra Oy</t>
  </si>
  <si>
    <t>0107801-0</t>
  </si>
  <si>
    <t>Putkinieminen Oy</t>
  </si>
  <si>
    <t>2768139-5</t>
  </si>
  <si>
    <t>LVI-Asennuspalvelu Marjanen Oy</t>
  </si>
  <si>
    <t>Rakennusmateriaali</t>
  </si>
  <si>
    <t>2499616-4</t>
  </si>
  <si>
    <t>Poltto- ja voiteluaineet</t>
  </si>
  <si>
    <t>HuKo/Asuntojen vuokraus/Kok</t>
  </si>
  <si>
    <t>Futursoft Oy</t>
  </si>
  <si>
    <t>Tietokoneohj lisenssimaksut</t>
  </si>
  <si>
    <t>1494253-3</t>
  </si>
  <si>
    <t>Metos Oy Ab</t>
  </si>
  <si>
    <t>0108466-4</t>
  </si>
  <si>
    <t>Varaosamaailma Oy</t>
  </si>
  <si>
    <t>1780255-2</t>
  </si>
  <si>
    <t>Vuota Oy</t>
  </si>
  <si>
    <t>3187665-4</t>
  </si>
  <si>
    <t>Pirkanmaan Maatalouskauppa Oy</t>
  </si>
  <si>
    <t>2217315-6</t>
  </si>
  <si>
    <t>MSKK/Raca/vankila PT</t>
  </si>
  <si>
    <t>Sinebrychoff</t>
  </si>
  <si>
    <t>0113951-4</t>
  </si>
  <si>
    <t>Mtech Digital Solutions Oy</t>
  </si>
  <si>
    <t>0625796-6</t>
  </si>
  <si>
    <t>Ahlsell Oy</t>
  </si>
  <si>
    <t>1819153-8</t>
  </si>
  <si>
    <t>Honkajoki Oy</t>
  </si>
  <si>
    <t>Eläinjätteen hävityspalvelu</t>
  </si>
  <si>
    <t>0132676-6</t>
  </si>
  <si>
    <t>TM-Rauta Oy</t>
  </si>
  <si>
    <t>0583287-7</t>
  </si>
  <si>
    <t>Aalto Group Oy</t>
  </si>
  <si>
    <t>1702286-3</t>
  </si>
  <si>
    <t>Sanoma Media Finland Oy</t>
  </si>
  <si>
    <t>1515901-4</t>
  </si>
  <si>
    <t>Ouman Oy</t>
  </si>
  <si>
    <t>2447613-4</t>
  </si>
  <si>
    <t>Ikaalisten Auto Oy</t>
  </si>
  <si>
    <t>0133007-9</t>
  </si>
  <si>
    <t>Suomen Hitsausteknillinen Yhdi</t>
  </si>
  <si>
    <t>0220063-9</t>
  </si>
  <si>
    <t>Tamhockey Oy</t>
  </si>
  <si>
    <t>Kansainvälisyystoiminta R</t>
  </si>
  <si>
    <t>1539240-6</t>
  </si>
  <si>
    <t>Kansainvälisyystoiminta I</t>
  </si>
  <si>
    <t>Würth Elektronik Oy</t>
  </si>
  <si>
    <t>0252252-3</t>
  </si>
  <si>
    <t>Sähköinfo Oy</t>
  </si>
  <si>
    <t>0196590-4</t>
  </si>
  <si>
    <t>Kemppi Oy</t>
  </si>
  <si>
    <t>2051826-1</t>
  </si>
  <si>
    <t>Hydri-osa Oy</t>
  </si>
  <si>
    <t>0959656-8</t>
  </si>
  <si>
    <t>Automaatioväylä Oy</t>
  </si>
  <si>
    <t>0840741-1</t>
  </si>
  <si>
    <t>Väri-Komonen Oy</t>
  </si>
  <si>
    <t>0580226-4</t>
  </si>
  <si>
    <t>Laerdal Medical As</t>
  </si>
  <si>
    <t>1779658-6</t>
  </si>
  <si>
    <t>ProDiags Oy</t>
  </si>
  <si>
    <t>0839378-5</t>
  </si>
  <si>
    <t>Knorring Oy Ab</t>
  </si>
  <si>
    <t>0110085-5</t>
  </si>
  <si>
    <t>Ballard Finland Oy</t>
  </si>
  <si>
    <t>1077046-3</t>
  </si>
  <si>
    <t>Tokmanni Oy</t>
  </si>
  <si>
    <t>1928426-9</t>
  </si>
  <si>
    <t>STORM MOTOR OY</t>
  </si>
  <si>
    <t>0140425-0</t>
  </si>
  <si>
    <t>Metsähallitus</t>
  </si>
  <si>
    <t>0116726-7</t>
  </si>
  <si>
    <t>SokoPro Oy</t>
  </si>
  <si>
    <t>3214780-8</t>
  </si>
  <si>
    <t>Rakennustieto Oy</t>
  </si>
  <si>
    <t>MSKK/Rakennus ja talotek PT</t>
  </si>
  <si>
    <t>0113188-9</t>
  </si>
  <si>
    <t>Elisa Oyj</t>
  </si>
  <si>
    <t>Ylsi/Voionmaa/Muu palv.toim.</t>
  </si>
  <si>
    <t>0116510-6</t>
  </si>
  <si>
    <t>Oy Gustav Paulig Ab</t>
  </si>
  <si>
    <t>0835291-6</t>
  </si>
  <si>
    <t>Rautapelto Oy</t>
  </si>
  <si>
    <t>3313713-4</t>
  </si>
  <si>
    <t>Etman Oy</t>
  </si>
  <si>
    <t>2710105-5</t>
  </si>
  <si>
    <t>Verifone Finland Oy</t>
  </si>
  <si>
    <t>Posti- ja kuriiripalvelu</t>
  </si>
  <si>
    <t>0943819-9</t>
  </si>
  <si>
    <t>Rauta-Ana Oy</t>
  </si>
  <si>
    <t>3174413-3</t>
  </si>
  <si>
    <t>LVI-Tamminen Oy</t>
  </si>
  <si>
    <t>0144217-7</t>
  </si>
  <si>
    <t>PirAl/Hallinto</t>
  </si>
  <si>
    <t>SHP-Palvelut Oy</t>
  </si>
  <si>
    <t>3166256-8</t>
  </si>
  <si>
    <t>CGI Suomi Oy</t>
  </si>
  <si>
    <t>0357502-9</t>
  </si>
  <si>
    <t>System Lahti Oy/kotieläintarvi</t>
  </si>
  <si>
    <t>0951651-3</t>
  </si>
  <si>
    <t>Sim Finland Oy</t>
  </si>
  <si>
    <t>2247776-6</t>
  </si>
  <si>
    <t>VAK/Hiusala/oppilast. PT</t>
  </si>
  <si>
    <t>Viestimedia Oy</t>
  </si>
  <si>
    <t>0111165-0</t>
  </si>
  <si>
    <t>Media-ala AT/EAT</t>
  </si>
  <si>
    <t>IKH Retail Oy</t>
  </si>
  <si>
    <t>0844992-9</t>
  </si>
  <si>
    <t>Sodexo Oy</t>
  </si>
  <si>
    <t>0907890-4</t>
  </si>
  <si>
    <t>ARW Huolto Oy</t>
  </si>
  <si>
    <t>2178910-0</t>
  </si>
  <si>
    <t>Rautasoini Oy</t>
  </si>
  <si>
    <t>2519299-3</t>
  </si>
  <si>
    <t>Eners Oy</t>
  </si>
  <si>
    <t>2524822-1</t>
  </si>
  <si>
    <t>Awutek Oy</t>
  </si>
  <si>
    <t>1838289-5</t>
  </si>
  <si>
    <t>3 Step it Oy</t>
  </si>
  <si>
    <t>2161942-7</t>
  </si>
  <si>
    <t>Dustin Finland Oy</t>
  </si>
  <si>
    <t>0935141-3</t>
  </si>
  <si>
    <t>LUPI/Majoitus/Osara</t>
  </si>
  <si>
    <t>TKTO/kulttuuri/yhteinen op PT</t>
  </si>
  <si>
    <t>Limepop Naturals Oy</t>
  </si>
  <si>
    <t>3255939-4</t>
  </si>
  <si>
    <t>Koneosapalvelu Oy</t>
  </si>
  <si>
    <t>0157793-6</t>
  </si>
  <si>
    <t>Maxtech Oy</t>
  </si>
  <si>
    <t>2145296-2</t>
  </si>
  <si>
    <t>Yhtymähallitus</t>
  </si>
  <si>
    <t>Visma Aquila Oy</t>
  </si>
  <si>
    <t>2644028-2</t>
  </si>
  <si>
    <t>AddSecure Oy</t>
  </si>
  <si>
    <t>2841072-2</t>
  </si>
  <si>
    <t>Phoenix Contact Oy</t>
  </si>
  <si>
    <t>0818575-9</t>
  </si>
  <si>
    <t>Telilän Sähkötyö Oy</t>
  </si>
  <si>
    <t>2024940-1</t>
  </si>
  <si>
    <t>Sanoma Pro Oy</t>
  </si>
  <si>
    <t>1970922-0</t>
  </si>
  <si>
    <t>E-J Mustajärvi Oy</t>
  </si>
  <si>
    <t>0832271-7</t>
  </si>
  <si>
    <t>Porin Konttorikone Oy</t>
  </si>
  <si>
    <t>0136774-4</t>
  </si>
  <si>
    <t>Eurohamsteri Oy</t>
  </si>
  <si>
    <t>0900185-1</t>
  </si>
  <si>
    <t>Esa Mäki Oy</t>
  </si>
  <si>
    <t>0992213-2</t>
  </si>
  <si>
    <t>Partnos Oy / Funkkistalo</t>
  </si>
  <si>
    <t>2471456-9</t>
  </si>
  <si>
    <t>H-Plus Oy</t>
  </si>
  <si>
    <t>1858678-3</t>
  </si>
  <si>
    <t>Vitec Hotellinx Oy</t>
  </si>
  <si>
    <t>3204701-4</t>
  </si>
  <si>
    <t>Assa Abloy Entrance Systems Fi</t>
  </si>
  <si>
    <t>0101064-9</t>
  </si>
  <si>
    <t>Strategiarahoitus 2024</t>
  </si>
  <si>
    <t>ElmoNet Oy</t>
  </si>
  <si>
    <t>0215655-1</t>
  </si>
  <si>
    <t>Wulff Oy Ab</t>
  </si>
  <si>
    <t>1717232-7</t>
  </si>
  <si>
    <t>Virtain Pesupalvelu Oy</t>
  </si>
  <si>
    <t>2888974-5</t>
  </si>
  <si>
    <t>Fazer Leipomot Oy</t>
  </si>
  <si>
    <t>1972442-0</t>
  </si>
  <si>
    <t>Puuilo Tavaratalot Oy</t>
  </si>
  <si>
    <t>2431081-2</t>
  </si>
  <si>
    <t>TKTO/Lavasterak./oppilast. PT</t>
  </si>
  <si>
    <t>Imatran Seudun Sähkö Oy</t>
  </si>
  <si>
    <t>VAK/TeLi/Rakennus/oppilast. PT</t>
  </si>
  <si>
    <t>0159029-2</t>
  </si>
  <si>
    <t>Vammalan Moottorikoneistamo Oy</t>
  </si>
  <si>
    <t>0494212-6</t>
  </si>
  <si>
    <t>Caruna Oy</t>
  </si>
  <si>
    <t>1618314-7</t>
  </si>
  <si>
    <t>Open Badge Factory Oy</t>
  </si>
  <si>
    <t>2956862-8</t>
  </si>
  <si>
    <t>Rautarasti Oy</t>
  </si>
  <si>
    <t>2322887-6</t>
  </si>
  <si>
    <t>Etelä-Pohjanmaan Osuuskauppa</t>
  </si>
  <si>
    <t>0567671-2</t>
  </si>
  <si>
    <t>Suomen Hoitolatukku Logistiikk</t>
  </si>
  <si>
    <t>2124095-1</t>
  </si>
  <si>
    <t>Diagno Finland Oy</t>
  </si>
  <si>
    <t>1935917-9</t>
  </si>
  <si>
    <t>Schetelig Oy</t>
  </si>
  <si>
    <t>0113769-0</t>
  </si>
  <si>
    <t>Cutrin Oy</t>
  </si>
  <si>
    <t>2443709-8</t>
  </si>
  <si>
    <t>Oy ER Finland Ab</t>
  </si>
  <si>
    <t>0356329-8</t>
  </si>
  <si>
    <t>Onninen Oy</t>
  </si>
  <si>
    <t>1071207-9</t>
  </si>
  <si>
    <t>JPS Koskela Oy</t>
  </si>
  <si>
    <t>0617687-5</t>
  </si>
  <si>
    <t>Fin Door Oy</t>
  </si>
  <si>
    <t>2854145-8</t>
  </si>
  <si>
    <t>LVI-WaBek Oy</t>
  </si>
  <si>
    <t>1109678-1</t>
  </si>
  <si>
    <t>Lyreco Finland Oy</t>
  </si>
  <si>
    <t>1870837-3</t>
  </si>
  <si>
    <t>Dna Oyj</t>
  </si>
  <si>
    <t>0592509-6</t>
  </si>
  <si>
    <t>Hämeenkyrön Tarvikepiste / Suspek Oy</t>
  </si>
  <si>
    <t>3448733-9</t>
  </si>
  <si>
    <t>FEEDCOWBOY OY</t>
  </si>
  <si>
    <t>2764873-9</t>
  </si>
  <si>
    <t>Solmaster Oy</t>
  </si>
  <si>
    <t>0205256-8</t>
  </si>
  <si>
    <t>Jarvenkyla Oy</t>
  </si>
  <si>
    <t>2259189-2</t>
  </si>
  <si>
    <t>VWR International Oy</t>
  </si>
  <si>
    <t>0614918-0</t>
  </si>
  <si>
    <t>Cloudia Oy</t>
  </si>
  <si>
    <t>1088146-2</t>
  </si>
  <si>
    <t>Kokkonen &amp; Kokkonen Oy Vammala</t>
  </si>
  <si>
    <t>3171012-8</t>
  </si>
  <si>
    <t>PirA/opp.mater/välineet</t>
  </si>
  <si>
    <t>SHT-Tukku Oy</t>
  </si>
  <si>
    <t>0113891-7</t>
  </si>
  <si>
    <t>Ylsi/Petäjä/Hallinto</t>
  </si>
  <si>
    <t>TK-Laitehuolto Oy</t>
  </si>
  <si>
    <t>0907124-3</t>
  </si>
  <si>
    <t>SAR-Machine Oy</t>
  </si>
  <si>
    <t>0477395-9</t>
  </si>
  <si>
    <t>Atea Finland Oy</t>
  </si>
  <si>
    <t>Keskener koneet ja kal</t>
  </si>
  <si>
    <t>Ylsi/Kalusto-ja laiteh.</t>
  </si>
  <si>
    <t>0919156-0</t>
  </si>
  <si>
    <t>Plektra Trading Oy</t>
  </si>
  <si>
    <t>3152593-4</t>
  </si>
  <si>
    <t>Ikata/Asesepäntyö/oppilast. PT</t>
  </si>
  <si>
    <t>Lindström Oy</t>
  </si>
  <si>
    <t>1712792-1</t>
  </si>
  <si>
    <t>Tamrex Oy</t>
  </si>
  <si>
    <t>0765118-0</t>
  </si>
  <si>
    <t>Ikata/Pienoismallinrak./oppi P</t>
  </si>
  <si>
    <t>Sähköpeltoniemi Oy</t>
  </si>
  <si>
    <t>0203804-5</t>
  </si>
  <si>
    <t>Parage Oy</t>
  </si>
  <si>
    <t>2883508-5</t>
  </si>
  <si>
    <t>Kouluelektroniikka Oy</t>
  </si>
  <si>
    <t>0597327-4</t>
  </si>
  <si>
    <t>Haapanen Oy</t>
  </si>
  <si>
    <t>Ikata/Erikoismetalli/opp.t. PT</t>
  </si>
  <si>
    <t>2281273-9</t>
  </si>
  <si>
    <t>Clean Key Oy/ Tampere</t>
  </si>
  <si>
    <t>1962761-2</t>
  </si>
  <si>
    <t>Tonefest Enterprises Oy</t>
  </si>
  <si>
    <t>3387384-4</t>
  </si>
  <si>
    <t>Ikata/Hienopuuseppä/oppilastP.</t>
  </si>
  <si>
    <t>Laatukaasu Oy</t>
  </si>
  <si>
    <t>2831026-2</t>
  </si>
  <si>
    <t>Bauhaus &amp; Co.Ky</t>
  </si>
  <si>
    <t>1580679-5</t>
  </si>
  <si>
    <t>Cibes Amslift Oy</t>
  </si>
  <si>
    <t>2432904-6</t>
  </si>
  <si>
    <t>Hartman Rauta Oy</t>
  </si>
  <si>
    <t>0628046-1</t>
  </si>
  <si>
    <t>ESR-hankkeet</t>
  </si>
  <si>
    <t>Ikaalisten Vesi Oy</t>
  </si>
  <si>
    <t>0133015-9</t>
  </si>
  <si>
    <t>Vesi</t>
  </si>
  <si>
    <t>Percussion Finland Oy</t>
  </si>
  <si>
    <t>2593492-6</t>
  </si>
  <si>
    <t>Disar Oy</t>
  </si>
  <si>
    <t>0921058-1</t>
  </si>
  <si>
    <t>Jalometallitukku Bergman</t>
  </si>
  <si>
    <t>2357022-5</t>
  </si>
  <si>
    <t>Computer Program Unit Oy</t>
  </si>
  <si>
    <t>0635481-1</t>
  </si>
  <si>
    <t>LUPI/Opiskelijarav.myynti</t>
  </si>
  <si>
    <t>Kaarinan Suodatintekniikka Oy</t>
  </si>
  <si>
    <t>HuKo/Majoitus/Kokemäki</t>
  </si>
  <si>
    <t>1935388-5</t>
  </si>
  <si>
    <t>BLASTJET OY</t>
  </si>
  <si>
    <t>3287857-1</t>
  </si>
  <si>
    <t>Pirkan Opiskelija-asunnot Oy</t>
  </si>
  <si>
    <t>Ylsi/Voionmaa/Majoitus</t>
  </si>
  <si>
    <t>0211539-7</t>
  </si>
  <si>
    <t>Yeppis Oy</t>
  </si>
  <si>
    <t>1587359-2</t>
  </si>
  <si>
    <t>Ympäristökustannus Oy</t>
  </si>
  <si>
    <t>0366233-3</t>
  </si>
  <si>
    <t>Quadient Finland Oy</t>
  </si>
  <si>
    <t>0686637-4</t>
  </si>
  <si>
    <t>Sesoma Oy</t>
  </si>
  <si>
    <t>1014672-4</t>
  </si>
  <si>
    <t>A-Katsastus Oy</t>
  </si>
  <si>
    <t>1959705-4</t>
  </si>
  <si>
    <t>Porkka Finland Oy</t>
  </si>
  <si>
    <t>0158104-6</t>
  </si>
  <si>
    <t>GT-osat Vilppula /Kitka-Met Oy</t>
  </si>
  <si>
    <t>0911738-7</t>
  </si>
  <si>
    <t>MSKK/Auto/oppilast. PT</t>
  </si>
  <si>
    <t>ISS Palvelut Oy</t>
  </si>
  <si>
    <t>Ylsi/Voionmaa/Ruokailu</t>
  </si>
  <si>
    <t>0906333-1</t>
  </si>
  <si>
    <t>Painotalo Eloranta Oy</t>
  </si>
  <si>
    <t>1794976-5</t>
  </si>
  <si>
    <t>Vamsafe Oy</t>
  </si>
  <si>
    <t>1081654-8</t>
  </si>
  <si>
    <t>Sat-Electric Oy</t>
  </si>
  <si>
    <t>1656259-3</t>
  </si>
  <si>
    <t>LVI TN Putki Oy</t>
  </si>
  <si>
    <t>2840472-8</t>
  </si>
  <si>
    <t>Puutoimi Tapio Outinen Oy</t>
  </si>
  <si>
    <t>1016474-6</t>
  </si>
  <si>
    <t>0174817-6</t>
  </si>
  <si>
    <t>Dieta Oy</t>
  </si>
  <si>
    <t>0927839-1</t>
  </si>
  <si>
    <t>Kuljetus Olli Lähde Oy</t>
  </si>
  <si>
    <t>1072126-6</t>
  </si>
  <si>
    <t>Käyttölukko Oy</t>
  </si>
  <si>
    <t>0713087-9</t>
  </si>
  <si>
    <t>KOSOL/Henk.kunnan ruokailu</t>
  </si>
  <si>
    <t>Sako Oy</t>
  </si>
  <si>
    <t>0643564-6</t>
  </si>
  <si>
    <t>Suomen Kolibri Oy</t>
  </si>
  <si>
    <t>0833183-2</t>
  </si>
  <si>
    <t>Rakennustoimisto Hato Oy</t>
  </si>
  <si>
    <t>1531823-0</t>
  </si>
  <si>
    <t>Barons Food Oy</t>
  </si>
  <si>
    <t>0635284-0</t>
  </si>
  <si>
    <t>Eurofins Viljavuuspalvelu Oy</t>
  </si>
  <si>
    <t>0115896-9</t>
  </si>
  <si>
    <t>Ravema Oy</t>
  </si>
  <si>
    <t>2158950-4</t>
  </si>
  <si>
    <t>Matka Mäkelä Oy</t>
  </si>
  <si>
    <t>0912033-2</t>
  </si>
  <si>
    <t>giosg.com Oy</t>
  </si>
  <si>
    <t>2388009-8</t>
  </si>
  <si>
    <t>Grano Oy</t>
  </si>
  <si>
    <t>2197935-0</t>
  </si>
  <si>
    <t>2722150-8</t>
  </si>
  <si>
    <t>Resta24/Scanzon Group Finland</t>
  </si>
  <si>
    <t>2733571-6</t>
  </si>
  <si>
    <t>Etelä-Karjalan Osuuskauppa</t>
  </si>
  <si>
    <t>0162170-6</t>
  </si>
  <si>
    <t>Afterglow Music Oy</t>
  </si>
  <si>
    <t>1894911-8</t>
  </si>
  <si>
    <t>Kustannusliike Aluelehdet Oy</t>
  </si>
  <si>
    <t>0415990-8</t>
  </si>
  <si>
    <t>Ikaalisten Kirjakauppa</t>
  </si>
  <si>
    <t>0771037-1</t>
  </si>
  <si>
    <t>BV-Metalli Oy</t>
  </si>
  <si>
    <t>1763377-9</t>
  </si>
  <si>
    <t>Lankava Oy</t>
  </si>
  <si>
    <t>0242800-0</t>
  </si>
  <si>
    <t>Scandic Hotels Oy</t>
  </si>
  <si>
    <t>Tilien ja hall. tarkastus</t>
  </si>
  <si>
    <t>1447914-7</t>
  </si>
  <si>
    <t>Yhteinen/Koul. ja os.myynti</t>
  </si>
  <si>
    <t>Osara LuPi Kalusto- ja laite</t>
  </si>
  <si>
    <t>L'oreal Finland Oy</t>
  </si>
  <si>
    <t>0346279-6</t>
  </si>
  <si>
    <t>Spacos Oy</t>
  </si>
  <si>
    <t>1939016-8</t>
  </si>
  <si>
    <t>VAK/Kauneusala/oppilast. PT</t>
  </si>
  <si>
    <t>Kokemäen Vesihuolto Oy</t>
  </si>
  <si>
    <t>0134171-2</t>
  </si>
  <si>
    <t>Ikea Oy</t>
  </si>
  <si>
    <t>2149172-6</t>
  </si>
  <si>
    <t>Verkkokauppa.com Oyj</t>
  </si>
  <si>
    <t>1456344-5</t>
  </si>
  <si>
    <t>Seco Tools Oy</t>
  </si>
  <si>
    <t>1791027-0</t>
  </si>
  <si>
    <t>Awanic OY</t>
  </si>
  <si>
    <t>2190408-4</t>
  </si>
  <si>
    <t>Semex Finland Oy</t>
  </si>
  <si>
    <t>Siemennyspalvelut</t>
  </si>
  <si>
    <t>2331701-9</t>
  </si>
  <si>
    <t>Toolx Oy</t>
  </si>
  <si>
    <t>2484936-7</t>
  </si>
  <si>
    <t>Bottomland Productions Oy</t>
  </si>
  <si>
    <t>2224284-4</t>
  </si>
  <si>
    <t>Vainion Taljatukku Oy</t>
  </si>
  <si>
    <t>3184542-8</t>
  </si>
  <si>
    <t>Diversey Suomi Oy</t>
  </si>
  <si>
    <t>2451321-4</t>
  </si>
  <si>
    <t>Kokkolan Halpa-Halli Oy</t>
  </si>
  <si>
    <t>0955220-7</t>
  </si>
  <si>
    <t>VAK/Vuokratilat</t>
  </si>
  <si>
    <t>A. Wennström Oy</t>
  </si>
  <si>
    <t>TKTO/Jalometalli AT/EAT</t>
  </si>
  <si>
    <t>0420184-6</t>
  </si>
  <si>
    <t>Innofactor Dynasty Oy</t>
  </si>
  <si>
    <t>3494321-8</t>
  </si>
  <si>
    <t>Parkanon Puupiste Oy</t>
  </si>
  <si>
    <t>2361877-8</t>
  </si>
  <si>
    <t>Siivouspalvelu Taina Pusa Oy</t>
  </si>
  <si>
    <t>0991018-2</t>
  </si>
  <si>
    <t>PTCServices Oy</t>
  </si>
  <si>
    <t>1916929-5</t>
  </si>
  <si>
    <t>Rexel Finland Oy</t>
  </si>
  <si>
    <t>0980994-9</t>
  </si>
  <si>
    <t>Kiinteistöosakeyhtiö Kuntomäki</t>
  </si>
  <si>
    <t>2392918-9</t>
  </si>
  <si>
    <t>Vuokratilat</t>
  </si>
  <si>
    <t>Jaki tuote Oy</t>
  </si>
  <si>
    <t>2120109-8</t>
  </si>
  <si>
    <t>Biltema Suomi Oy</t>
  </si>
  <si>
    <t>1560844-9</t>
  </si>
  <si>
    <t>Teca Oy</t>
  </si>
  <si>
    <t>0306326-9</t>
  </si>
  <si>
    <t>Finn Andersson Film Production</t>
  </si>
  <si>
    <t>2828340-1</t>
  </si>
  <si>
    <t>Consult Lady Oy</t>
  </si>
  <si>
    <t>0643363-2</t>
  </si>
  <si>
    <t>Tampereen Pirkka-Hitsi Oy</t>
  </si>
  <si>
    <t>2306780-6</t>
  </si>
  <si>
    <t>Teroitusliike Teho Oy</t>
  </si>
  <si>
    <t>0225286-9</t>
  </si>
  <si>
    <t>Henkilö- ja yritysarv. Seti Oy</t>
  </si>
  <si>
    <t>1044296-1</t>
  </si>
  <si>
    <t>Lehtosen Konepaja Oy</t>
  </si>
  <si>
    <t>0134132-5</t>
  </si>
  <si>
    <t>Eräsalon Kirjapaino Oy</t>
  </si>
  <si>
    <t>3259737-4</t>
  </si>
  <si>
    <t>Euran Rakennustarvike Oy</t>
  </si>
  <si>
    <t>D-Fence Oy</t>
  </si>
  <si>
    <t>1650666-3</t>
  </si>
  <si>
    <t>Agrikumppanit Oy</t>
  </si>
  <si>
    <t>Työvoiman vuokrau</t>
  </si>
  <si>
    <t>2592520-2</t>
  </si>
  <si>
    <t>Lepistö-Group Oy</t>
  </si>
  <si>
    <t>1002557-8</t>
  </si>
  <si>
    <t>Uustaas Oy ja Kymin Palokärki</t>
  </si>
  <si>
    <t>LUPI/Osara avustus</t>
  </si>
  <si>
    <t>2123109-4</t>
  </si>
  <si>
    <t>Siemenliike Siren Oy</t>
  </si>
  <si>
    <t>0902730-6</t>
  </si>
  <si>
    <t>Iisakki/Auto/oppilast.  PT</t>
  </si>
  <si>
    <t>Lem-Kem Oy</t>
  </si>
  <si>
    <t>0600103-9</t>
  </si>
  <si>
    <t>Otis Oy</t>
  </si>
  <si>
    <t>0632231-8</t>
  </si>
  <si>
    <t>Kuusakoski Oy</t>
  </si>
  <si>
    <t>1589236-3</t>
  </si>
  <si>
    <t>Promo Market Finland Oy</t>
  </si>
  <si>
    <t>2980729-7</t>
  </si>
  <si>
    <t>Kunto-Eura Ky</t>
  </si>
  <si>
    <t>0768256-9</t>
  </si>
  <si>
    <t>IS-Tarvike Oy</t>
  </si>
  <si>
    <t>0734099-9</t>
  </si>
  <si>
    <t>Finnsat Oy</t>
  </si>
  <si>
    <t>2830727-4</t>
  </si>
  <si>
    <t>Wihuri Oy</t>
  </si>
  <si>
    <t>2557856-2</t>
  </si>
  <si>
    <t>Mosarte Ky</t>
  </si>
  <si>
    <t>2109839-3</t>
  </si>
  <si>
    <t>Kasins Oy</t>
  </si>
  <si>
    <t>1014992-5</t>
  </si>
  <si>
    <t>Tyrvään Sähkötyö Oy</t>
  </si>
  <si>
    <t>0729870-0</t>
  </si>
  <si>
    <t>Hei Trading Oy</t>
  </si>
  <si>
    <t>2834427-8</t>
  </si>
  <si>
    <t>Keurustarvike Oy</t>
  </si>
  <si>
    <t>1755877-2</t>
  </si>
  <si>
    <t>VAK/TeLi/Pienkonekorj./opp. PT</t>
  </si>
  <si>
    <t>Hämeen Kuljetus Oy</t>
  </si>
  <si>
    <t>0154049-8</t>
  </si>
  <si>
    <t>Osuuskauppa Hämeenmaa</t>
  </si>
  <si>
    <t>0910257-2</t>
  </si>
  <si>
    <t>Ikata/Sisustustekstiili/opp. P</t>
  </si>
  <si>
    <t>Suomen Elektori Oy</t>
  </si>
  <si>
    <t>0999330-1</t>
  </si>
  <si>
    <t>Liikunta- ja hyvinv kesk Liike</t>
  </si>
  <si>
    <t>MSKK/Koul. ja os. myynti</t>
  </si>
  <si>
    <t>2370942-6</t>
  </si>
  <si>
    <t>Insight cosmetics group</t>
  </si>
  <si>
    <t>2591341-2</t>
  </si>
  <si>
    <t>FunSense (Pro Helmi Oy)</t>
  </si>
  <si>
    <t>3224301-5</t>
  </si>
  <si>
    <t>Iisakki/Metalli/Hkyrö/opp. PT</t>
  </si>
  <si>
    <t>Sastamalan Kiinteistötekniikka</t>
  </si>
  <si>
    <t>1001653-2</t>
  </si>
  <si>
    <t>Ajovarma Oy</t>
  </si>
  <si>
    <t>1033613-0</t>
  </si>
  <si>
    <t>Vammalan Hyötykeräys Oy</t>
  </si>
  <si>
    <t>0854705-1</t>
  </si>
  <si>
    <t>TamControl Oy</t>
  </si>
  <si>
    <t>2605088-2</t>
  </si>
  <si>
    <t>Ylsi/Petäjä/Koul.myynti</t>
  </si>
  <si>
    <t>Vaasan Sähkö Oy</t>
  </si>
  <si>
    <t>0209628-8</t>
  </si>
  <si>
    <t>Matkust/kulj.palv./hlö.kou</t>
  </si>
  <si>
    <t>YlSi/Musari/Vuokratilat</t>
  </si>
  <si>
    <t>MJ Rauta Oy</t>
  </si>
  <si>
    <t>3231640-5</t>
  </si>
  <si>
    <t>Turun Osuuskauppa</t>
  </si>
  <si>
    <t>0142122-9</t>
  </si>
  <si>
    <t>Ruoveden lukio/Majoitus</t>
  </si>
  <si>
    <t>Lauttakylän Putkityö Brunnila</t>
  </si>
  <si>
    <t>0194363-3</t>
  </si>
  <si>
    <t>Toimistotarvike Oy</t>
  </si>
  <si>
    <t>0155208-5</t>
  </si>
  <si>
    <t>Varnia Oy</t>
  </si>
  <si>
    <t>0202891-2</t>
  </si>
  <si>
    <t>Campusravita Oy</t>
  </si>
  <si>
    <t>Majoit.ja ravits.palv/hlö.koul</t>
  </si>
  <si>
    <t>0154084-2</t>
  </si>
  <si>
    <t>Leppäkosken Lämpö Oy</t>
  </si>
  <si>
    <t>0840218-6</t>
  </si>
  <si>
    <t>Wildfrost Oy</t>
  </si>
  <si>
    <t>0627141-8</t>
  </si>
  <si>
    <t>Tools Finland Oy</t>
  </si>
  <si>
    <t>2446396-6</t>
  </si>
  <si>
    <t>Mestarintori Oy, K-Supermarket</t>
  </si>
  <si>
    <t>0702199-8</t>
  </si>
  <si>
    <t>Keurusseudun Ateria- ja tukipa</t>
  </si>
  <si>
    <t>3333796-1</t>
  </si>
  <si>
    <t>Lennu / Ikaalisten-Parkanon Pu</t>
  </si>
  <si>
    <t>Yhteistoim. ja luott.m.toim.</t>
  </si>
  <si>
    <t>0133011-6</t>
  </si>
  <si>
    <t>LUPI/vuokratilat/Iisakki Pno</t>
  </si>
  <si>
    <t>Valio Oy</t>
  </si>
  <si>
    <t>0116297-6</t>
  </si>
  <si>
    <t>Askel Management Oy</t>
  </si>
  <si>
    <t>3237106-8</t>
  </si>
  <si>
    <t>A. Lamminmäki Oy</t>
  </si>
  <si>
    <t>0975291-1</t>
  </si>
  <si>
    <t>Tekstiilipalvelu Oy</t>
  </si>
  <si>
    <t>Ikata/Vaatetus/oppilast. PT</t>
  </si>
  <si>
    <t>0596381-8</t>
  </si>
  <si>
    <t>Kansainvälisyystoiminta M</t>
  </si>
  <si>
    <t>SM Fimac Oy Ltd</t>
  </si>
  <si>
    <t>0969623-5</t>
  </si>
  <si>
    <t>Accountor Finago Oy</t>
  </si>
  <si>
    <t>0836922-4</t>
  </si>
  <si>
    <t>Oy Orient-Occident Ltd</t>
  </si>
  <si>
    <t>0201802-8</t>
  </si>
  <si>
    <t>Asetalo Oy</t>
  </si>
  <si>
    <t>0612062-8</t>
  </si>
  <si>
    <t>Compass Group Finland Oy</t>
  </si>
  <si>
    <t>Ylsi/Voionmaa/Koul.myynti</t>
  </si>
  <si>
    <t>0873697-9</t>
  </si>
  <si>
    <t>St1 Oy</t>
  </si>
  <si>
    <t>0201124-8</t>
  </si>
  <si>
    <t>Mediamaisteri Oy</t>
  </si>
  <si>
    <t>2660036-2</t>
  </si>
  <si>
    <t>Stena Recycling Oy</t>
  </si>
  <si>
    <t>1956402-5</t>
  </si>
  <si>
    <t>LUPI/Tilojen ja kal. vuokraus</t>
  </si>
  <si>
    <t>Osara/Maatalous/Muu palv.toimP</t>
  </si>
  <si>
    <t>Elenia Verkko Oyj</t>
  </si>
  <si>
    <t>3001882-6</t>
  </si>
  <si>
    <t>0133023-9</t>
  </si>
  <si>
    <t>MSKK/Rak ja talotek/opp PT</t>
  </si>
  <si>
    <t>TJ-Teollisuus&amp;Kunnossapito Oy</t>
  </si>
  <si>
    <t>3224565-1</t>
  </si>
  <si>
    <t>ProAgria Keskusten Liitto</t>
  </si>
  <si>
    <t>0201666-3</t>
  </si>
  <si>
    <t>Juvenes-Yhtiöt Oy</t>
  </si>
  <si>
    <t>0155602-7</t>
  </si>
  <si>
    <t>JM Lukko- ja Turvatekniikka Oy</t>
  </si>
  <si>
    <t>2547913-4</t>
  </si>
  <si>
    <t>Löytötex Oy</t>
  </si>
  <si>
    <t>0416711-5</t>
  </si>
  <si>
    <t>Myyntiranta Oy</t>
  </si>
  <si>
    <t>3184292-1</t>
  </si>
  <si>
    <t>Huolto Montonen Oy</t>
  </si>
  <si>
    <t>2834286-2</t>
  </si>
  <si>
    <t>Pyroll Pakkaukset Oy</t>
  </si>
  <si>
    <t>0159902-7</t>
  </si>
  <si>
    <t>Peltityö Korvenperä Oy</t>
  </si>
  <si>
    <t>3104894-7</t>
  </si>
  <si>
    <t>Mäntän Kaukolämpö ja Vesihuolt</t>
  </si>
  <si>
    <t>0713539-7</t>
  </si>
  <si>
    <t>MSKK/Tilojen ja kal. vuokraus</t>
  </si>
  <si>
    <t>Neste Ikaalinen</t>
  </si>
  <si>
    <t>1638811-8</t>
  </si>
  <si>
    <t>MSKK/Asuntojen vuokraus</t>
  </si>
  <si>
    <t>Sastamalan Lämpö Oy</t>
  </si>
  <si>
    <t>1563040-0</t>
  </si>
  <si>
    <t>Tampereen Energia Oy</t>
  </si>
  <si>
    <t>0153791-8</t>
  </si>
  <si>
    <t>Cattipojat Oy</t>
  </si>
  <si>
    <t>0790770-5</t>
  </si>
  <si>
    <t>Kopiosto ry</t>
  </si>
  <si>
    <t>0414755-2</t>
  </si>
  <si>
    <t>Saintrond Factory Oy</t>
  </si>
  <si>
    <t>2972053-8</t>
  </si>
  <si>
    <t>Westport Finland Oy</t>
  </si>
  <si>
    <t>2621205-2</t>
  </si>
  <si>
    <t>Kustannus Oy Duodecim</t>
  </si>
  <si>
    <t>0558287-1</t>
  </si>
  <si>
    <t>European Beauty Way Pro Oy</t>
  </si>
  <si>
    <t>2468891-1</t>
  </si>
  <si>
    <t>Laadunhallinta</t>
  </si>
  <si>
    <t>Posti Jakelu Oy</t>
  </si>
  <si>
    <t>0109357-9</t>
  </si>
  <si>
    <t>Koneurakointi Rita-Kasari Oy</t>
  </si>
  <si>
    <t>3302577-3</t>
  </si>
  <si>
    <t>Mills Enterprises Ltd Oy</t>
  </si>
  <si>
    <t>1007948-8</t>
  </si>
  <si>
    <t>DEKRA Sastamalan Autokatsastus</t>
  </si>
  <si>
    <t>2467455-2</t>
  </si>
  <si>
    <t>L&amp;T Teollisuuspalvelut Oy</t>
  </si>
  <si>
    <t>3155936-8</t>
  </si>
  <si>
    <t>Vammalan Rengaspalvelu Oy</t>
  </si>
  <si>
    <t>2626022-2</t>
  </si>
  <si>
    <t>Foodduck Oy</t>
  </si>
  <si>
    <t>2481756-8</t>
  </si>
  <si>
    <t>Kärkkäinen Web Oy</t>
  </si>
  <si>
    <t>2101586-9</t>
  </si>
  <si>
    <t>Alarm Control Alco Oy Ab</t>
  </si>
  <si>
    <t>1581739-8</t>
  </si>
  <si>
    <t>Paalumedia Oy</t>
  </si>
  <si>
    <t>0971446-4</t>
  </si>
  <si>
    <t>KoVa Security Oy</t>
  </si>
  <si>
    <t>3091262-5</t>
  </si>
  <si>
    <t>Huittisten Keila- ja Pelihalli</t>
  </si>
  <si>
    <t>2561478-9</t>
  </si>
  <si>
    <t>VAK/TeLi/Kivi AT/EAT</t>
  </si>
  <si>
    <t>Kokemäen Lämpö Oy</t>
  </si>
  <si>
    <t>0476252-0</t>
  </si>
  <si>
    <t>SASO/AikoAcademylle myynti</t>
  </si>
  <si>
    <t>Vatajankoski Sähköverkko Oy</t>
  </si>
  <si>
    <t>3169357-5</t>
  </si>
  <si>
    <t>Posti Oy/Logistiikka</t>
  </si>
  <si>
    <t>2344200-4</t>
  </si>
  <si>
    <t>KJS Foods Oy</t>
  </si>
  <si>
    <t>3411764-5</t>
  </si>
  <si>
    <t>L&amp;T Ympäristöpalvelut Oy</t>
  </si>
  <si>
    <t>3155938-4</t>
  </si>
  <si>
    <t>Pauli Keski-Valkama Oy/Pesula</t>
  </si>
  <si>
    <t>0963364-8</t>
  </si>
  <si>
    <t>Tevella Oy</t>
  </si>
  <si>
    <t>2575744-8</t>
  </si>
  <si>
    <t>Tampereen Energia Sähköverkko Oy</t>
  </si>
  <si>
    <t>1950681-0</t>
  </si>
  <si>
    <t>Rejlers Rakentaminen Oy</t>
  </si>
  <si>
    <t>TPA/Rakentaminen</t>
  </si>
  <si>
    <t>3275852-9</t>
  </si>
  <si>
    <t>Lounea Yritysratkaisut Oy</t>
  </si>
  <si>
    <t>0939469-1</t>
  </si>
  <si>
    <t>Eko-Erotus Oy</t>
  </si>
  <si>
    <t>2561144-9</t>
  </si>
  <si>
    <t>PhotoStella</t>
  </si>
  <si>
    <t>2815447-4</t>
  </si>
  <si>
    <t>Siemenet</t>
  </si>
  <si>
    <t>DeLaval Oy Ab</t>
  </si>
  <si>
    <t>1071441-0</t>
  </si>
  <si>
    <t>Visma Solutions Oy/Visma Sign</t>
  </si>
  <si>
    <t>1967543-8</t>
  </si>
  <si>
    <t>HuKo/Koul.järj.hall./Kokemäki</t>
  </si>
  <si>
    <t>HuKo/Tuva</t>
  </si>
  <si>
    <t>Visma Solutions Oy</t>
  </si>
  <si>
    <t>Helsingin kukkatoimitus Oy</t>
  </si>
  <si>
    <t>0937393-8</t>
  </si>
  <si>
    <t>PoweResta Oy</t>
  </si>
  <si>
    <t>3090696-2</t>
  </si>
  <si>
    <t>Trico Avoin yhtiö</t>
  </si>
  <si>
    <t>1929336-8</t>
  </si>
  <si>
    <t>Niemi Palvelut Oy</t>
  </si>
  <si>
    <t>1944860-6</t>
  </si>
  <si>
    <t>Terätoimitus Lehtinen Oy</t>
  </si>
  <si>
    <t>0348761-9</t>
  </si>
  <si>
    <t>Tyrvään Kirjakauppa Oy</t>
  </si>
  <si>
    <t>0459024-7</t>
  </si>
  <si>
    <t>Turunmaan Ase ja Kone Oy</t>
  </si>
  <si>
    <t>0932160-1</t>
  </si>
  <si>
    <t>Punta Oy</t>
  </si>
  <si>
    <t>0494686-4</t>
  </si>
  <si>
    <t>Lounea Palvelut Oy</t>
  </si>
  <si>
    <t>2678132-7</t>
  </si>
  <si>
    <t>Pirkanmaan Kattajat Oy</t>
  </si>
  <si>
    <t>2330452-5</t>
  </si>
  <si>
    <t>NCH Suomi Oy Ab</t>
  </si>
  <si>
    <t>0111921-4</t>
  </si>
  <si>
    <t>Jadeia Oy</t>
  </si>
  <si>
    <t>2867620-5</t>
  </si>
  <si>
    <t>Miraculos Oy</t>
  </si>
  <si>
    <t>1107719-3</t>
  </si>
  <si>
    <t>Porin Laatuvaraosa Oy</t>
  </si>
  <si>
    <t>0307794-3</t>
  </si>
  <si>
    <t>Tampereen Hevosklinikka Oy</t>
  </si>
  <si>
    <t>Eläinlääkäripalvelut</t>
  </si>
  <si>
    <t>2657457-1</t>
  </si>
  <si>
    <t>Lääkkeet</t>
  </si>
  <si>
    <t>Epassi Finland Oy</t>
  </si>
  <si>
    <t>Tyhy-toiminta ja henk.k.virk.</t>
  </si>
  <si>
    <t>3220764-7</t>
  </si>
  <si>
    <t>Ylä-Satakunnan Sanomalehti Oy</t>
  </si>
  <si>
    <t>0214255-5</t>
  </si>
  <si>
    <t>Kestools Oy</t>
  </si>
  <si>
    <t>1712871-3</t>
  </si>
  <si>
    <t>Veijo Kinnunen Oy</t>
  </si>
  <si>
    <t>0576890-8</t>
  </si>
  <si>
    <t>Vidamic Ergonomics</t>
  </si>
  <si>
    <t>Kokemäen Sähkö Oy</t>
  </si>
  <si>
    <t>0203928-3</t>
  </si>
  <si>
    <t>HuKo/Tilojen ja kal.vuokr./Kok</t>
  </si>
  <si>
    <t>Hämeenkyrön Sähköpalvelu Oy</t>
  </si>
  <si>
    <t>3169422-8</t>
  </si>
  <si>
    <t>Veikko Lehti Oy</t>
  </si>
  <si>
    <t>1460563-3</t>
  </si>
  <si>
    <t>Tietotekn as.tunt- ja konsultt</t>
  </si>
  <si>
    <t>1712122-0</t>
  </si>
  <si>
    <t>Cloudpoint Oy</t>
  </si>
  <si>
    <t>2325703-6</t>
  </si>
  <si>
    <t>Suomen Imurikeskus Oy</t>
  </si>
  <si>
    <t>0595084-9</t>
  </si>
  <si>
    <t>Kymppikatsastus Oy</t>
  </si>
  <si>
    <t>1466519-3</t>
  </si>
  <si>
    <t>Suomen Biljardikauppa Oy</t>
  </si>
  <si>
    <t>2423225-2</t>
  </si>
  <si>
    <t>Movet</t>
  </si>
  <si>
    <t>2432051-9</t>
  </si>
  <si>
    <t>Kokemäen Jäähalli Oy</t>
  </si>
  <si>
    <t>2729542-7</t>
  </si>
  <si>
    <t>Ilona IT Oy</t>
  </si>
  <si>
    <t>2319462-9</t>
  </si>
  <si>
    <t>Sastamalan Ruoka- ja Puhtauspa</t>
  </si>
  <si>
    <t>2414170-5</t>
  </si>
  <si>
    <t>Hur Oy Ab</t>
  </si>
  <si>
    <t>2014716-5</t>
  </si>
  <si>
    <t>Saarsalo Oy</t>
  </si>
  <si>
    <t>2066549-9</t>
  </si>
  <si>
    <t>Kukkavarpukka Ky</t>
  </si>
  <si>
    <t>0768843-4</t>
  </si>
  <si>
    <t>Bussi-Manninen Oy</t>
  </si>
  <si>
    <t>0698231-6</t>
  </si>
  <si>
    <t>Eventtec Oy</t>
  </si>
  <si>
    <t>1558199-5</t>
  </si>
  <si>
    <t>Ikata LuPi Kalusto- ja laite</t>
  </si>
  <si>
    <t>Osuuskauppa KPO</t>
  </si>
  <si>
    <t>0242821-1</t>
  </si>
  <si>
    <t>Lvi-talo Kannosto Oy</t>
  </si>
  <si>
    <t>2432915-0</t>
  </si>
  <si>
    <t>Suomen Alfa Cleaning Oy</t>
  </si>
  <si>
    <t>0238741-3</t>
  </si>
  <si>
    <t>Hotel Haaga Oy</t>
  </si>
  <si>
    <t>0889358-7</t>
  </si>
  <si>
    <t>Piritta Mäkinen Oy</t>
  </si>
  <si>
    <t>2842299-3</t>
  </si>
  <si>
    <t>Harri A Mikkola Oy</t>
  </si>
  <si>
    <t>1899175-4</t>
  </si>
  <si>
    <t>Suomen Hevosurheilulehti Oy</t>
  </si>
  <si>
    <t>0729907-6</t>
  </si>
  <si>
    <t>Lismar Oy</t>
  </si>
  <si>
    <t>0469814-3</t>
  </si>
  <si>
    <t>Lannoitteet</t>
  </si>
  <si>
    <t>0217505-8</t>
  </si>
  <si>
    <t>Ikaalisten Auto- ja huoltomest</t>
  </si>
  <si>
    <t>2609440-4</t>
  </si>
  <si>
    <t>Kovatech Oy / Visma Financial</t>
  </si>
  <si>
    <t>2136465-5</t>
  </si>
  <si>
    <t>Nordic Sports Brands Oy</t>
  </si>
  <si>
    <t>2147624-3</t>
  </si>
  <si>
    <t>Tamora Oy</t>
  </si>
  <si>
    <t>2314396-0</t>
  </si>
  <si>
    <t>Nalkas Oy</t>
  </si>
  <si>
    <t>1106578-2</t>
  </si>
  <si>
    <t>Ammatilliset opettajat AO ry / LVI-Jaos</t>
  </si>
  <si>
    <t>2454160-2</t>
  </si>
  <si>
    <t>Keupa Hockey Oy</t>
  </si>
  <si>
    <t>2625089-2</t>
  </si>
  <si>
    <t>TPA/Lähihoitaja/oppilast.PT</t>
  </si>
  <si>
    <t>Karprint Oy</t>
  </si>
  <si>
    <t>0202999-0</t>
  </si>
  <si>
    <t>Suonentieto Oy</t>
  </si>
  <si>
    <t>0721499-2</t>
  </si>
  <si>
    <t>J &amp; S Happonen Oy</t>
  </si>
  <si>
    <t>2226274-9</t>
  </si>
  <si>
    <t>Denios Oy</t>
  </si>
  <si>
    <t>3251404-9</t>
  </si>
  <si>
    <t>Kasvualustat,taimet,pistok</t>
  </si>
  <si>
    <t>Vepsäläinen Oy</t>
  </si>
  <si>
    <t>2111755-8</t>
  </si>
  <si>
    <t>TableOnline Finland Oy</t>
  </si>
  <si>
    <t>2349007-3</t>
  </si>
  <si>
    <t>Wigren Catering Oy</t>
  </si>
  <si>
    <t>2103766-2</t>
  </si>
  <si>
    <t>Toika Oy</t>
  </si>
  <si>
    <t>3108494-8</t>
  </si>
  <si>
    <t>Rautamesta Oy</t>
  </si>
  <si>
    <t>2490663-2</t>
  </si>
  <si>
    <t>Korupaja &amp; Kankurin Aitta Ky</t>
  </si>
  <si>
    <t>Ikata/Korus. ja -valm./opp. PT</t>
  </si>
  <si>
    <t>0758277-9</t>
  </si>
  <si>
    <t>Korvalaanen Oy</t>
  </si>
  <si>
    <t>3126566-9</t>
  </si>
  <si>
    <t>3D Cadsolutions Oy</t>
  </si>
  <si>
    <t>3178740-8</t>
  </si>
  <si>
    <t>Sorvisoppi.com</t>
  </si>
  <si>
    <t>3334544-3</t>
  </si>
  <si>
    <t>Heinon Leipomo Oy</t>
  </si>
  <si>
    <t>0548578-0</t>
  </si>
  <si>
    <t>Tiimiakatemia Global Oy</t>
  </si>
  <si>
    <t>1569781-6</t>
  </si>
  <si>
    <t>Agco Suomi Oy</t>
  </si>
  <si>
    <t>2395797-2</t>
  </si>
  <si>
    <t>Suomen Akut Oy</t>
  </si>
  <si>
    <t>0192039-4</t>
  </si>
  <si>
    <t>Fotonordic Oy</t>
  </si>
  <si>
    <t>1972559-7</t>
  </si>
  <si>
    <t>Ikata/Rakennusrest./opp PT</t>
  </si>
  <si>
    <t>Silver Hyena Oy</t>
  </si>
  <si>
    <t>2803014-8</t>
  </si>
  <si>
    <t>Kärki-Agri Oy</t>
  </si>
  <si>
    <t>2198492-6</t>
  </si>
  <si>
    <t>Silmäasema Optiikka Oy</t>
  </si>
  <si>
    <t>1827711-2</t>
  </si>
  <si>
    <t>Pihlajalinna Lääkärikeskukset</t>
  </si>
  <si>
    <t>Sosiaali- ja terv.palvelut</t>
  </si>
  <si>
    <t>Työterveyshuolto</t>
  </si>
  <si>
    <t>2452505-5</t>
  </si>
  <si>
    <t>Management Institute of Finlan</t>
  </si>
  <si>
    <t>2460281-5</t>
  </si>
  <si>
    <t>Metsänhoitoyhdistys Satakunta</t>
  </si>
  <si>
    <t>0990017-9</t>
  </si>
  <si>
    <t>Oy Woodim Finland ltd</t>
  </si>
  <si>
    <t>1013998-9</t>
  </si>
  <si>
    <t>STS Rengaspalvelu Oy</t>
  </si>
  <si>
    <t>0251676-4</t>
  </si>
  <si>
    <t>Maker3D Oy</t>
  </si>
  <si>
    <t>2468562-2</t>
  </si>
  <si>
    <t>Stén Teräs Oy</t>
  </si>
  <si>
    <t>3372844-4</t>
  </si>
  <si>
    <t>Mediq Suomi Oy</t>
  </si>
  <si>
    <t>2285192-2</t>
  </si>
  <si>
    <t>Kiertoa Oy</t>
  </si>
  <si>
    <t>2690333-9</t>
  </si>
  <si>
    <t>EcoTampere Oy</t>
  </si>
  <si>
    <t>2393677-6</t>
  </si>
  <si>
    <t>Finnparttia Oy</t>
  </si>
  <si>
    <t>0646976-6</t>
  </si>
  <si>
    <t>Yellow Service Oy Grönroos</t>
  </si>
  <si>
    <t>0597382-1</t>
  </si>
  <si>
    <t>Antilan Vesi ja Lämpö Oy</t>
  </si>
  <si>
    <t>0832850-2</t>
  </si>
  <si>
    <t>Jacomp Oy</t>
  </si>
  <si>
    <t>2187294-0</t>
  </si>
  <si>
    <t>Ikaalinen Spa Oy</t>
  </si>
  <si>
    <t>3186123-3</t>
  </si>
  <si>
    <t>Maanpuolustusyhtiö MPY Oy</t>
  </si>
  <si>
    <t>0890286-9</t>
  </si>
  <si>
    <t>Ylöjärven Pienkone Oy</t>
  </si>
  <si>
    <t>2009126-1</t>
  </si>
  <si>
    <t>Puutarhaliike Helle Oy</t>
  </si>
  <si>
    <t>0690165-1</t>
  </si>
  <si>
    <t>Camilla Aho Oy</t>
  </si>
  <si>
    <t>Ompelijanmaailma Oy</t>
  </si>
  <si>
    <t>0624381-2</t>
  </si>
  <si>
    <t>Yhteinen opetus/TalonrakennusA</t>
  </si>
  <si>
    <t>Suomen Ensiapukoulutus Oy</t>
  </si>
  <si>
    <t>2171281-6</t>
  </si>
  <si>
    <t>Pirmediat Oy</t>
  </si>
  <si>
    <t>0150723-3</t>
  </si>
  <si>
    <t>Ritakallion Lähiliha Oy</t>
  </si>
  <si>
    <t>3299367-6</t>
  </si>
  <si>
    <t>Edilex Lakitieto Oy</t>
  </si>
  <si>
    <t>3451297-9</t>
  </si>
  <si>
    <t>SeiLab Oy</t>
  </si>
  <si>
    <t>2442126-4</t>
  </si>
  <si>
    <t>Pohjois-Satakunnan Seutuverkko</t>
  </si>
  <si>
    <t>2381109-2</t>
  </si>
  <si>
    <t>Suomen Leipuriliitto ry</t>
  </si>
  <si>
    <t>0202195-6</t>
  </si>
  <si>
    <t>Cabassi Oy</t>
  </si>
  <si>
    <t>0600127-4</t>
  </si>
  <si>
    <t>Kivikylän Kotipalvaamo Oy</t>
  </si>
  <si>
    <t>0913894-6</t>
  </si>
  <si>
    <t>Aallon Leipomo Oy</t>
  </si>
  <si>
    <t>1593648-5</t>
  </si>
  <si>
    <t>Farnell Finland Oy Ab</t>
  </si>
  <si>
    <t>0823363-4</t>
  </si>
  <si>
    <t>MATTI SAARNIO OY/K-RAUTA JALASJÄRVI</t>
  </si>
  <si>
    <t>0208750-9</t>
  </si>
  <si>
    <t>KP-ServicePartner Oy</t>
  </si>
  <si>
    <t>1818033-7</t>
  </si>
  <si>
    <t>Suomen Rehtorit ry</t>
  </si>
  <si>
    <t>0494129-7</t>
  </si>
  <si>
    <t>Flotiina Oy</t>
  </si>
  <si>
    <t>2132532-2</t>
  </si>
  <si>
    <t>Landemuija Oy</t>
  </si>
  <si>
    <t>3388746-1</t>
  </si>
  <si>
    <t>Archtop Laminates Oy</t>
  </si>
  <si>
    <t>Ikata/Kitaranrak./oppilast. PT</t>
  </si>
  <si>
    <t>3102697-5</t>
  </si>
  <si>
    <t>Projecta Oy</t>
  </si>
  <si>
    <t>2369490-6</t>
  </si>
  <si>
    <t>Finnair Technical Services Ltd</t>
  </si>
  <si>
    <t>2286606-7</t>
  </si>
  <si>
    <t>Salomaan Kirjapaino Oy</t>
  </si>
  <si>
    <t>0432667-3</t>
  </si>
  <si>
    <t>ProMart Oy</t>
  </si>
  <si>
    <t>2287518-2</t>
  </si>
  <si>
    <t>Verotieto Oy</t>
  </si>
  <si>
    <t>0115789-4</t>
  </si>
  <si>
    <t>Witre Oy</t>
  </si>
  <si>
    <t>1517425-7</t>
  </si>
  <si>
    <t>Suomen Biljardimyynti Oy</t>
  </si>
  <si>
    <t>1770973-7</t>
  </si>
  <si>
    <t>Teboil Ylöjärvi Raitteri Oy</t>
  </si>
  <si>
    <t>2858116-9</t>
  </si>
  <si>
    <t>Nucos Oy</t>
  </si>
  <si>
    <t>0678703-5</t>
  </si>
  <si>
    <t>Hotelli Sointu Oy</t>
  </si>
  <si>
    <t>3199108-9</t>
  </si>
  <si>
    <t>JFI Airshow Oy</t>
  </si>
  <si>
    <t>2625259-9</t>
  </si>
  <si>
    <t>Rakennuspuu Jokinen Oy</t>
  </si>
  <si>
    <t>1074909-0</t>
  </si>
  <si>
    <t>Frantsilan tila Oy</t>
  </si>
  <si>
    <t>3449723-8</t>
  </si>
  <si>
    <t>Seran Puhtautta ja Palvelua Oy</t>
  </si>
  <si>
    <t>2874629-3</t>
  </si>
  <si>
    <t>Pyymäen Leipomo Oy</t>
  </si>
  <si>
    <t>0144216-9</t>
  </si>
  <si>
    <t>Pookstaavi Oy</t>
  </si>
  <si>
    <t>2380488-8</t>
  </si>
  <si>
    <t>Berner Osakeyhtiö</t>
  </si>
  <si>
    <t>0107011-5</t>
  </si>
  <si>
    <t>Punomo Networks Oy</t>
  </si>
  <si>
    <t>2337242-1</t>
  </si>
  <si>
    <t>Alppilan Sähkö Oy</t>
  </si>
  <si>
    <t>0715035-1</t>
  </si>
  <si>
    <t>Elintarviketukku Rikainen Oy</t>
  </si>
  <si>
    <t>1769203-1</t>
  </si>
  <si>
    <t>Kiinteistöpalvelu Siiki Oy</t>
  </si>
  <si>
    <t>3325001-4</t>
  </si>
  <si>
    <t>Kone ja Laakeri Lahti Ky</t>
  </si>
  <si>
    <t>1719403-2</t>
  </si>
  <si>
    <t>Satapaine Oy</t>
  </si>
  <si>
    <t>2577886-3</t>
  </si>
  <si>
    <t>Utec Oy</t>
  </si>
  <si>
    <t>3232468-3</t>
  </si>
  <si>
    <t>Vossi Group Oy</t>
  </si>
  <si>
    <t>0910142-2</t>
  </si>
  <si>
    <t>Suomen Terätuonti Oy</t>
  </si>
  <si>
    <t>1736033-6</t>
  </si>
  <si>
    <t>Osaava App Oy</t>
  </si>
  <si>
    <t>2087908-3</t>
  </si>
  <si>
    <t>Motonet Oy</t>
  </si>
  <si>
    <t>0699457-9</t>
  </si>
  <si>
    <t>HRK-Konevuokraamot Oy</t>
  </si>
  <si>
    <t>0147835-6</t>
  </si>
  <si>
    <t>Pirkanmaan Mainospaino Ky</t>
  </si>
  <si>
    <t>2643243-4</t>
  </si>
  <si>
    <t>Helsingin kumi Oy</t>
  </si>
  <si>
    <t>0108723-2</t>
  </si>
  <si>
    <t>Talokkoyhtiöt Oy</t>
  </si>
  <si>
    <t>2560200-8</t>
  </si>
  <si>
    <t>Konecranes Finland Oy</t>
  </si>
  <si>
    <t>0950895-1</t>
  </si>
  <si>
    <t>Garage Corporation Oy</t>
  </si>
  <si>
    <t>2600117-5</t>
  </si>
  <si>
    <t>Mäntän Jääareena Oy</t>
  </si>
  <si>
    <t>2606148-5</t>
  </si>
  <si>
    <t>Rahti-VK Oy</t>
  </si>
  <si>
    <t>1102806-8</t>
  </si>
  <si>
    <t>Tiitiset Oy</t>
  </si>
  <si>
    <t>0988411-3</t>
  </si>
  <si>
    <t>Pirkanmaan Jätehuolto Oy</t>
  </si>
  <si>
    <t>0968008-1</t>
  </si>
  <si>
    <t>Kankaanpään Jätehuolto Jussila</t>
  </si>
  <si>
    <t>0501722-3</t>
  </si>
  <si>
    <t>Remeo Oy</t>
  </si>
  <si>
    <t>0946005-4</t>
  </si>
  <si>
    <t>Eurokangas Oy</t>
  </si>
  <si>
    <t>0364411-9</t>
  </si>
  <si>
    <t>Media-ala/opp. 2 AT/EAT</t>
  </si>
  <si>
    <t>KOSOL/Opiskelijarav.myynti</t>
  </si>
  <si>
    <t>Aliko Oy Ltd</t>
  </si>
  <si>
    <t>Iisakki LuPi Kalusto- ja laite</t>
  </si>
  <si>
    <t>1765191-8</t>
  </si>
  <si>
    <t>K. Nieminen Oy</t>
  </si>
  <si>
    <t>HuKo/Rakentaminen</t>
  </si>
  <si>
    <t>3118946-7</t>
  </si>
  <si>
    <t>Automaatio-Center AC Oy</t>
  </si>
  <si>
    <t>1445528-4</t>
  </si>
  <si>
    <t>Kolmiteho Oy</t>
  </si>
  <si>
    <t>0932544-2</t>
  </si>
  <si>
    <t>Tyrvään Konttorikone Oy</t>
  </si>
  <si>
    <t>1501135-1</t>
  </si>
  <si>
    <t>Salon Group Oy</t>
  </si>
  <si>
    <t>2588753-3</t>
  </si>
  <si>
    <t>Siivoussektori Oy</t>
  </si>
  <si>
    <t>0637494-3</t>
  </si>
  <si>
    <t>Ensimmäinen apteekki Tampere</t>
  </si>
  <si>
    <t>2283872-8</t>
  </si>
  <si>
    <t>Lahdenkylän Charter Oy</t>
  </si>
  <si>
    <t>3351601-1</t>
  </si>
  <si>
    <t>Nordic Marketing Finland Oy</t>
  </si>
  <si>
    <t>2606902-2</t>
  </si>
  <si>
    <t>Työstökoneliike M.Koskela Oy</t>
  </si>
  <si>
    <t>2251536-3</t>
  </si>
  <si>
    <t>JR-Tools Oy</t>
  </si>
  <si>
    <t>0194835-4</t>
  </si>
  <si>
    <t>Norris Cosmetics Oy</t>
  </si>
  <si>
    <t>0433255-5</t>
  </si>
  <si>
    <t>Vilppulan Huoltopalvelu Oy</t>
  </si>
  <si>
    <t>0427162-5</t>
  </si>
  <si>
    <t>HKFoods Finland Oy</t>
  </si>
  <si>
    <t>1951458-9</t>
  </si>
  <si>
    <t>Virtanen Jani Rakennus ja Suun</t>
  </si>
  <si>
    <t>1009122-5</t>
  </si>
  <si>
    <t>Yht.palv/KV-liiketoiminta</t>
  </si>
  <si>
    <t>1013621-9</t>
  </si>
  <si>
    <t>Gym Productions Finland Oy</t>
  </si>
  <si>
    <t>0948871-9</t>
  </si>
  <si>
    <t>Kuljetus ja muutto O Jylhä Oy</t>
  </si>
  <si>
    <t>0736647-8</t>
  </si>
  <si>
    <t>Turner Service Oy</t>
  </si>
  <si>
    <t>3192102-1</t>
  </si>
  <si>
    <t>Konekeskus Mikola Oy</t>
  </si>
  <si>
    <t>0700291-4</t>
  </si>
  <si>
    <t>Pro Growth Consulting Oy</t>
  </si>
  <si>
    <t>2663242-8</t>
  </si>
  <si>
    <t>Paperplast Oy</t>
  </si>
  <si>
    <t>0565712-4</t>
  </si>
  <si>
    <t>Musiikki Aartio Oy, Tampereen Musiikki Oy</t>
  </si>
  <si>
    <t>0986626-5</t>
  </si>
  <si>
    <t>Raumacon Oy</t>
  </si>
  <si>
    <t>2235373-9</t>
  </si>
  <si>
    <t>Leluakatemia</t>
  </si>
  <si>
    <t>3148688-3</t>
  </si>
  <si>
    <t>VAK/Opiskelijarav.myynti</t>
  </si>
  <si>
    <t>KILROY Finland Oy</t>
  </si>
  <si>
    <t>0115306-8</t>
  </si>
  <si>
    <t>Tampereen Öljytukku Oy</t>
  </si>
  <si>
    <t>3319462-2</t>
  </si>
  <si>
    <t>Pohjolan Nuohous Oy</t>
  </si>
  <si>
    <t>2845669-1</t>
  </si>
  <si>
    <t>Intotalo Oy</t>
  </si>
  <si>
    <t>1670700-0</t>
  </si>
  <si>
    <t>Mikkelin Valokuvausliike Oy</t>
  </si>
  <si>
    <t>0165019-5</t>
  </si>
  <si>
    <t>Kalajoen Kylpylähotelli Sani O</t>
  </si>
  <si>
    <t>1996583-0</t>
  </si>
  <si>
    <t>Tamun Musiikki Oy</t>
  </si>
  <si>
    <t>2706599-8</t>
  </si>
  <si>
    <t>LepoTamm Oy</t>
  </si>
  <si>
    <t>3366733-8</t>
  </si>
  <si>
    <t>Kiwa Tarkastus Oy</t>
  </si>
  <si>
    <t>2047308-3</t>
  </si>
  <si>
    <t>Mauste-Sallinen Oy</t>
  </si>
  <si>
    <t>0515224-9</t>
  </si>
  <si>
    <t>Tapola Oy</t>
  </si>
  <si>
    <t>0669223-9</t>
  </si>
  <si>
    <t>Talart Oy</t>
  </si>
  <si>
    <t>1065772-7</t>
  </si>
  <si>
    <t>Lohjan kumi- ja matto Oy</t>
  </si>
  <si>
    <t>0128266-0</t>
  </si>
  <si>
    <t>Pajaservice Oy</t>
  </si>
  <si>
    <t>2989257-5</t>
  </si>
  <si>
    <t>Vammalan Autosähkö Ky</t>
  </si>
  <si>
    <t>2084516-6</t>
  </si>
  <si>
    <t>Miina-N Oy</t>
  </si>
  <si>
    <t>3145961-5</t>
  </si>
  <si>
    <t>Lounaskahvila Miina Oy</t>
  </si>
  <si>
    <t>2766710-4</t>
  </si>
  <si>
    <t>OK-Bussit Oy</t>
  </si>
  <si>
    <t>2272378-7</t>
  </si>
  <si>
    <t>Salmivirta Yhtiöt Oy Korjaamo</t>
  </si>
  <si>
    <t>0580809-2</t>
  </si>
  <si>
    <t>Koskikeskuksen apteekki</t>
  </si>
  <si>
    <t>3292572-9</t>
  </si>
  <si>
    <t>Tampereen Kone- ja Radiokulma</t>
  </si>
  <si>
    <t>0951240-8</t>
  </si>
  <si>
    <t>Finnsiirto Oy</t>
  </si>
  <si>
    <t>0715082-9</t>
  </si>
  <si>
    <t>Lohikari Oy</t>
  </si>
  <si>
    <t>0110957-7</t>
  </si>
  <si>
    <t>Vink Finland Oy</t>
  </si>
  <si>
    <t>0112779-1</t>
  </si>
  <si>
    <t>Tammed Oy</t>
  </si>
  <si>
    <t>0967016-6</t>
  </si>
  <si>
    <t>Granite Partners Oy</t>
  </si>
  <si>
    <t>1972201-1</t>
  </si>
  <si>
    <t>Työsuojelu</t>
  </si>
  <si>
    <t>Ykkös-Teline Oy</t>
  </si>
  <si>
    <t>0727873-4</t>
  </si>
  <si>
    <t>Dex Viihde Oy</t>
  </si>
  <si>
    <t>0548403-2</t>
  </si>
  <si>
    <t>Oy Urban View Ltd</t>
  </si>
  <si>
    <t>2144179-6</t>
  </si>
  <si>
    <t>Dinox Sport Oy</t>
  </si>
  <si>
    <t>2541313-5</t>
  </si>
  <si>
    <t>Leipurin Oyj</t>
  </si>
  <si>
    <t>2216856-8</t>
  </si>
  <si>
    <t>Hautalan sähkömoottori Oy</t>
  </si>
  <si>
    <t>0398823-7</t>
  </si>
  <si>
    <t>Suomen voiteluainekauppa Oy</t>
  </si>
  <si>
    <t>2692137-7</t>
  </si>
  <si>
    <t>Hilton Helsinki Strand</t>
  </si>
  <si>
    <t>Unilever Finland Oy</t>
  </si>
  <si>
    <t>0141907-3</t>
  </si>
  <si>
    <t>Suomalainen Vesiliikuntainstituutti Oy</t>
  </si>
  <si>
    <t>1805418-9</t>
  </si>
  <si>
    <t>Elämys Hub Oy</t>
  </si>
  <si>
    <t>2815557-3</t>
  </si>
  <si>
    <t>Hakasen Leipomo Oy</t>
  </si>
  <si>
    <t>0593803-0</t>
  </si>
  <si>
    <t>Kiinteistöhuolto Ylinen Oy</t>
  </si>
  <si>
    <t>2324561-7</t>
  </si>
  <si>
    <t>Emovet Oy</t>
  </si>
  <si>
    <t>2180802-5</t>
  </si>
  <si>
    <t>Telko Oy</t>
  </si>
  <si>
    <t>0987137-1</t>
  </si>
  <si>
    <t>Masino Fastening Oy</t>
  </si>
  <si>
    <t>0792089-7</t>
  </si>
  <si>
    <t>BLE Koulutus Oy</t>
  </si>
  <si>
    <t>2572095-2</t>
  </si>
  <si>
    <t>Innomac Oy</t>
  </si>
  <si>
    <t>2310890-3</t>
  </si>
  <si>
    <t>Luotain Consulting Oy</t>
  </si>
  <si>
    <t>2385444-7</t>
  </si>
  <si>
    <t>Kyröskosken vesihuolto Oy</t>
  </si>
  <si>
    <t>0194388-7</t>
  </si>
  <si>
    <t>Posti/Postimaksukoneen käyttöv</t>
  </si>
  <si>
    <t>CSF Security Oy</t>
  </si>
  <si>
    <t>2461044-4</t>
  </si>
  <si>
    <t>Lalli Oy</t>
  </si>
  <si>
    <t>0134162-4</t>
  </si>
  <si>
    <t>Strategiarahoitus 2024 KIK</t>
  </si>
  <si>
    <t>Lane Care Oy Kaupin keilahalli</t>
  </si>
  <si>
    <t>2398735-4</t>
  </si>
  <si>
    <t>Korukeidas Oy</t>
  </si>
  <si>
    <t>2545830-9</t>
  </si>
  <si>
    <t>LUKKOTALO - Lukko ja Kone Oy</t>
  </si>
  <si>
    <t>0136998-5</t>
  </si>
  <si>
    <t>AEL-Amiedu Oy</t>
  </si>
  <si>
    <t>3008326-5</t>
  </si>
  <si>
    <t>Schneider Electric Finland Oy</t>
  </si>
  <si>
    <t>0114901-8</t>
  </si>
  <si>
    <t>UralTone amplification Oy</t>
  </si>
  <si>
    <t>2099893-9</t>
  </si>
  <si>
    <t>Pluskate Oy</t>
  </si>
  <si>
    <t>3365104-5</t>
  </si>
  <si>
    <t>Salo IoT Park Oy</t>
  </si>
  <si>
    <t>2821657-5</t>
  </si>
  <si>
    <t>FMS-Service Oy</t>
  </si>
  <si>
    <t>2217329-5</t>
  </si>
  <si>
    <t>Hotelli Seurahovi</t>
  </si>
  <si>
    <t>0901059-8</t>
  </si>
  <si>
    <t>Sf-cosmetics Oy</t>
  </si>
  <si>
    <t>0597549-9</t>
  </si>
  <si>
    <t>FCG Finnish Consulting Group O</t>
  </si>
  <si>
    <t>1940671-3</t>
  </si>
  <si>
    <t>Sarbon Woodwise Oy</t>
  </si>
  <si>
    <t>1014678-3</t>
  </si>
  <si>
    <t>Axon Profil AB</t>
  </si>
  <si>
    <t>VaraosaHinttu Oy</t>
  </si>
  <si>
    <t>3134108-6</t>
  </si>
  <si>
    <t>Koroisten Puutarha Oy</t>
  </si>
  <si>
    <t>0217562-1</t>
  </si>
  <si>
    <t>Iisakki/Metalli/Pno/opp. PT</t>
  </si>
  <si>
    <t>MSKK/Metalli/oppilast. PT</t>
  </si>
  <si>
    <t>M. J. Paasikivi Oy</t>
  </si>
  <si>
    <t>2655928-3</t>
  </si>
  <si>
    <t>Mahnalan LVI-Palvelu ja Teknii</t>
  </si>
  <si>
    <t>2921332-5</t>
  </si>
  <si>
    <t>Kolmostien Terveys Oy</t>
  </si>
  <si>
    <t>LUPI/Ruokailu/Iisakki Pno</t>
  </si>
  <si>
    <t>2674284-6</t>
  </si>
  <si>
    <t>Promego Oy</t>
  </si>
  <si>
    <t>Ruoveden lukio/Hallinto</t>
  </si>
  <si>
    <t>3340824-8</t>
  </si>
  <si>
    <t>Säveltäjäin Tekijänoikeustoimi</t>
  </si>
  <si>
    <t>0117040-7</t>
  </si>
  <si>
    <t>MSKK/Metalli/Muu palv.toim. PT</t>
  </si>
  <si>
    <t>Töpinä Center Oy</t>
  </si>
  <si>
    <t>1090155-8</t>
  </si>
  <si>
    <t>Tampereen Bakery Cafe Oy</t>
  </si>
  <si>
    <t>2739499-4</t>
  </si>
  <si>
    <t>Isku Interior Oy</t>
  </si>
  <si>
    <t>1831497-2</t>
  </si>
  <si>
    <t>Sähköasennus Kärki &amp; Voutilain</t>
  </si>
  <si>
    <t>0364487-2</t>
  </si>
  <si>
    <t>Cooling Reaction Finland Oy</t>
  </si>
  <si>
    <t>3355465-9</t>
  </si>
  <si>
    <t>Kerasil Oy</t>
  </si>
  <si>
    <t>2093486-3</t>
  </si>
  <si>
    <t>Ikata/Kädentait.ohj.toim./oppP</t>
  </si>
  <si>
    <t>Lasipaja Sinisiipi Ky:n konkurssipesä /Asianajotoimisto Fenno Oy</t>
  </si>
  <si>
    <t>1647617-7</t>
  </si>
  <si>
    <t>Eräliike Riistamaa Oy</t>
  </si>
  <si>
    <t>0972028-2</t>
  </si>
  <si>
    <t>Pohjois-Karjalan Osuuskauppa</t>
  </si>
  <si>
    <t>0168170-9</t>
  </si>
  <si>
    <t>Suomen Kukkatarvike Oy</t>
  </si>
  <si>
    <t>3458730-5</t>
  </si>
  <si>
    <t>JP-Systeemi</t>
  </si>
  <si>
    <t>0883555-5</t>
  </si>
  <si>
    <t>Ab TorAFors Oy</t>
  </si>
  <si>
    <t>2292701-8</t>
  </si>
  <si>
    <t>Tekupit Oy</t>
  </si>
  <si>
    <t>2163192-8</t>
  </si>
  <si>
    <t>Padelix Oy</t>
  </si>
  <si>
    <t>3152877-2</t>
  </si>
  <si>
    <t>ATAL Oy</t>
  </si>
  <si>
    <t>2960521-4</t>
  </si>
  <si>
    <t>Maanrakennus Jokinen Oy</t>
  </si>
  <si>
    <t>0556622-2</t>
  </si>
  <si>
    <t>Universal Beauty Oy</t>
  </si>
  <si>
    <t>2198147-7</t>
  </si>
  <si>
    <t>Ohjelmapalvelu Vanhasuola Oy</t>
  </si>
  <si>
    <t>1748908-4</t>
  </si>
  <si>
    <t>Finnair Oyj</t>
  </si>
  <si>
    <t>0108023-3</t>
  </si>
  <si>
    <t>Eristyspalvelu P. Nieminen Oy</t>
  </si>
  <si>
    <t>0666640-1</t>
  </si>
  <si>
    <t>Camcut Oy</t>
  </si>
  <si>
    <t>2618959-3</t>
  </si>
  <si>
    <t>Sokotel Oy</t>
  </si>
  <si>
    <t>0212329-0</t>
  </si>
  <si>
    <t>Arteljee Oy</t>
  </si>
  <si>
    <t>2651263-7</t>
  </si>
  <si>
    <t>Kinnusen Mylly Oy</t>
  </si>
  <si>
    <t>0190151-3</t>
  </si>
  <si>
    <t>Kao Finland Oy</t>
  </si>
  <si>
    <t>0864958-4</t>
  </si>
  <si>
    <t>Urakointi Ollila Oy</t>
  </si>
  <si>
    <t>0504550-7</t>
  </si>
  <si>
    <t>Kemion Oy</t>
  </si>
  <si>
    <t>2557797-3</t>
  </si>
  <si>
    <t>FA-Työkonehuolto Oy</t>
  </si>
  <si>
    <t>0816045-5</t>
  </si>
  <si>
    <t>Domus Classica Oy</t>
  </si>
  <si>
    <t>2185236-8</t>
  </si>
  <si>
    <t>Airtec Danmark</t>
  </si>
  <si>
    <t>2132623-7</t>
  </si>
  <si>
    <t>Huiskula Oy</t>
  </si>
  <si>
    <t>0576858-8</t>
  </si>
  <si>
    <t>Netland Oy</t>
  </si>
  <si>
    <t>1054728-8</t>
  </si>
  <si>
    <t>Emport Oy</t>
  </si>
  <si>
    <t>3399967-4</t>
  </si>
  <si>
    <t>Olsa Ay</t>
  </si>
  <si>
    <t>0494266-0</t>
  </si>
  <si>
    <t>Aurdel Finland Oy</t>
  </si>
  <si>
    <t>1027613-1</t>
  </si>
  <si>
    <t>Viking Line Abp</t>
  </si>
  <si>
    <t>0144983-8</t>
  </si>
  <si>
    <t>WELLA Finland Oy</t>
  </si>
  <si>
    <t>2735896-9</t>
  </si>
  <si>
    <t>ProAgria Etelä-Suomi ry</t>
  </si>
  <si>
    <t>0242886-0</t>
  </si>
  <si>
    <t>Stark Suomi Oy</t>
  </si>
  <si>
    <t>2043575-7</t>
  </si>
  <si>
    <t>Mehiläinen Terveyspalvelut Oy</t>
  </si>
  <si>
    <t>1723156-9</t>
  </si>
  <si>
    <t>Metalvet Oy</t>
  </si>
  <si>
    <t>2276614-6</t>
  </si>
  <si>
    <t>Kärväs Group Oy</t>
  </si>
  <si>
    <t>3456462-1</t>
  </si>
  <si>
    <t>Alumeco Finland Oy Ab</t>
  </si>
  <si>
    <t>1808758-9</t>
  </si>
  <si>
    <t>KOSOL/Palvelualat/Muu palv PT</t>
  </si>
  <si>
    <t>Erkki Salminen Oy</t>
  </si>
  <si>
    <t>0283049-7</t>
  </si>
  <si>
    <t>Naisten Liikuntapiste Pinkki O</t>
  </si>
  <si>
    <t>1815515-8</t>
  </si>
  <si>
    <t>Palvelumuotoilu Palo Oy</t>
  </si>
  <si>
    <t>2541389-9</t>
  </si>
  <si>
    <t>Loimi-Hämeen jätehuolto Oy</t>
  </si>
  <si>
    <t>1027700-3</t>
  </si>
  <si>
    <t>Yöpuu Yhtiö Oy</t>
  </si>
  <si>
    <t>2033270-7</t>
  </si>
  <si>
    <t>Suomen Valokaapeli Oy</t>
  </si>
  <si>
    <t>2395727-8</t>
  </si>
  <si>
    <t>Industria Center Oy</t>
  </si>
  <si>
    <t>0774593-7</t>
  </si>
  <si>
    <t>E-P Mig ja Kone Oy</t>
  </si>
  <si>
    <t>0875106-0</t>
  </si>
  <si>
    <t>Radioduo Oy</t>
  </si>
  <si>
    <t>0113087-8</t>
  </si>
  <si>
    <t>Hevari Oy</t>
  </si>
  <si>
    <t>1532770-0</t>
  </si>
  <si>
    <t>Finlayson Oy</t>
  </si>
  <si>
    <t>1832849-3</t>
  </si>
  <si>
    <t>Biotus Oy</t>
  </si>
  <si>
    <t>1840555-9</t>
  </si>
  <si>
    <t>Kirjovärit Oy</t>
  </si>
  <si>
    <t>1951922-4</t>
  </si>
  <si>
    <t>Camtek Oy</t>
  </si>
  <si>
    <t>0529873-1</t>
  </si>
  <si>
    <t>Oy Alma Group Hotels Ab</t>
  </si>
  <si>
    <t>1700076-0</t>
  </si>
  <si>
    <t>TKTO/Jalometalli/oppilast. PT</t>
  </si>
  <si>
    <t>Funtor Oy</t>
  </si>
  <si>
    <t>2225674-4</t>
  </si>
  <si>
    <t>Kauppapuutarhaliitto ry</t>
  </si>
  <si>
    <t>0201450-2</t>
  </si>
  <si>
    <t>AP Food Oy</t>
  </si>
  <si>
    <t>3286156-9</t>
  </si>
  <si>
    <t>Iisakki/Raca/oppilast. PT</t>
  </si>
  <si>
    <t>Hotelli Samperin Savotta Sampe</t>
  </si>
  <si>
    <t>0947651-5</t>
  </si>
  <si>
    <t>Kehysliike Malkki Oy</t>
  </si>
  <si>
    <t>1924156-8</t>
  </si>
  <si>
    <t>Youpret Oy</t>
  </si>
  <si>
    <t>Tulkkauspalvelut</t>
  </si>
  <si>
    <t>2761915-3</t>
  </si>
  <si>
    <t>Punainen Risti Ensiapu Oy</t>
  </si>
  <si>
    <t>2843118-7</t>
  </si>
  <si>
    <t>Ruoveden lukio/Ruokailu</t>
  </si>
  <si>
    <t>Tampereen Vesi Oy</t>
  </si>
  <si>
    <t>3381716-4</t>
  </si>
  <si>
    <t>Asianajotoimisto Roihu Oy</t>
  </si>
  <si>
    <t>2366974-3</t>
  </si>
  <si>
    <t>Jemex Oy</t>
  </si>
  <si>
    <t>2818554-5</t>
  </si>
  <si>
    <t>Aurinkobussit Oy/Pohjolan matk</t>
  </si>
  <si>
    <t>1442718-7</t>
  </si>
  <si>
    <t>BPhair Oy</t>
  </si>
  <si>
    <t>2550381-9</t>
  </si>
  <si>
    <t>Chemetall AB</t>
  </si>
  <si>
    <t>2234825-1</t>
  </si>
  <si>
    <t>Suomen avoimien tietojärjestelmien keskus - COSS ry</t>
  </si>
  <si>
    <t>2447953-8</t>
  </si>
  <si>
    <t>Spira Oy Hengityshoitokeskus</t>
  </si>
  <si>
    <t>0895346-3</t>
  </si>
  <si>
    <t>Lappajärven värjäämö Oy</t>
  </si>
  <si>
    <t>0307849-5</t>
  </si>
  <si>
    <t>Hollolan Viilu ja Laminaatti Oy</t>
  </si>
  <si>
    <t>3303351-1</t>
  </si>
  <si>
    <t>Widescreen mediatuotanto Oy</t>
  </si>
  <si>
    <t>2520571-5</t>
  </si>
  <si>
    <t>SP-elektroniikka</t>
  </si>
  <si>
    <t>Tuontitukku</t>
  </si>
  <si>
    <t>1041729-9</t>
  </si>
  <si>
    <t>Kuvaamo Into Oy</t>
  </si>
  <si>
    <t>2324510-7</t>
  </si>
  <si>
    <t>Koiviston kotileipomo ky</t>
  </si>
  <si>
    <t>0615384-1</t>
  </si>
  <si>
    <t>Toeboys Craft Oy</t>
  </si>
  <si>
    <t>2932887-8</t>
  </si>
  <si>
    <t>Suomen Palautuspakkaus Oy</t>
  </si>
  <si>
    <t>0864894-4</t>
  </si>
  <si>
    <t>Luentopalv. Helena Pirttisalo</t>
  </si>
  <si>
    <t>2076855-1</t>
  </si>
  <si>
    <t>Oy Frak Ltd</t>
  </si>
  <si>
    <t>2597358-9</t>
  </si>
  <si>
    <t>Lammela Oy</t>
  </si>
  <si>
    <t>2185006-3</t>
  </si>
  <si>
    <t>Froneri Finland Oy</t>
  </si>
  <si>
    <t>2764409-2</t>
  </si>
  <si>
    <t>Pamark Business Oy</t>
  </si>
  <si>
    <t>3141131-2</t>
  </si>
  <si>
    <t>PK-Paino Oy</t>
  </si>
  <si>
    <t>0154650-7</t>
  </si>
  <si>
    <t>Raceman Oy</t>
  </si>
  <si>
    <t>2135826-3</t>
  </si>
  <si>
    <t>Nisulaattori Oy</t>
  </si>
  <si>
    <t>3252090-8</t>
  </si>
  <si>
    <t>Pirkanmaan Voimia Oy</t>
  </si>
  <si>
    <t>2938704-2</t>
  </si>
  <si>
    <t>Suomen 3D-ratkaisut Oy</t>
  </si>
  <si>
    <t>2751247-9</t>
  </si>
  <si>
    <t>Publico Oy</t>
  </si>
  <si>
    <t>0907423-3</t>
  </si>
  <si>
    <t>Lietsu Palvelut Oy</t>
  </si>
  <si>
    <t>2973714-5</t>
  </si>
  <si>
    <t>MKK Toimistotarvike Oy</t>
  </si>
  <si>
    <t>2052307-9</t>
  </si>
  <si>
    <t>Sabora pharma Oy</t>
  </si>
  <si>
    <t>1089311-3</t>
  </si>
  <si>
    <t>Riverty Finland Oy</t>
  </si>
  <si>
    <t>1730113-3</t>
  </si>
  <si>
    <t>NIBE Energy Systems Oy</t>
  </si>
  <si>
    <t>0931427-6</t>
  </si>
  <si>
    <t>HP Finland Oy</t>
  </si>
  <si>
    <t>Iisakki/Raca/Muu palv.toim.P</t>
  </si>
  <si>
    <t>2669473-3</t>
  </si>
  <si>
    <t>Tampereen Ravirata Oy</t>
  </si>
  <si>
    <t>0206154-4</t>
  </si>
  <si>
    <t>Wil-Jam Oy / Mäkilän leipomo</t>
  </si>
  <si>
    <t>0853900-0</t>
  </si>
  <si>
    <t>Grönblom Machines Oy</t>
  </si>
  <si>
    <t>3096280-9</t>
  </si>
  <si>
    <t>Kurikan Hyväkone Oy</t>
  </si>
  <si>
    <t>HuKo/Kalusto-ja laiteh.yht.</t>
  </si>
  <si>
    <t>3340784-3</t>
  </si>
  <si>
    <t>Energiapalvelut Kirmo Oy</t>
  </si>
  <si>
    <t>0988925-6</t>
  </si>
  <si>
    <t>Peipohjan Autovaruste Ay</t>
  </si>
  <si>
    <t>0215454-8</t>
  </si>
  <si>
    <t>Alasin Media Oy</t>
  </si>
  <si>
    <t>1932899-7</t>
  </si>
  <si>
    <t>Otavamedia Oy</t>
  </si>
  <si>
    <t>0196807-2</t>
  </si>
  <si>
    <t>ProPromotion Oy</t>
  </si>
  <si>
    <t>2068663-6</t>
  </si>
  <si>
    <t>Siivoustukku Silläsiisti Oy</t>
  </si>
  <si>
    <t>1064409-6</t>
  </si>
  <si>
    <t>Maanrakennus Reino Isotalo Oy</t>
  </si>
  <si>
    <t>0239482-4</t>
  </si>
  <si>
    <t>Iisakki/LVI-ala/oppilast PT</t>
  </si>
  <si>
    <t>Poppanavakka / SNT-Group Oy</t>
  </si>
  <si>
    <t>2863778-3</t>
  </si>
  <si>
    <t>Kiilto Oy</t>
  </si>
  <si>
    <t>2159756-3</t>
  </si>
  <si>
    <t>Keräämö Oy</t>
  </si>
  <si>
    <t>3344353-7</t>
  </si>
  <si>
    <t>Sähkö- ja teleurakoitsijaliitt</t>
  </si>
  <si>
    <t>0117009-5</t>
  </si>
  <si>
    <t>Keski-Suomen Ilmastointihuolto</t>
  </si>
  <si>
    <t>0346890-1</t>
  </si>
  <si>
    <t>Modeo Oy</t>
  </si>
  <si>
    <t>2028267-4</t>
  </si>
  <si>
    <t>Seinäjoen Pika-Pesu Oy</t>
  </si>
  <si>
    <t>0182093-2</t>
  </si>
  <si>
    <t>Laser Game Finland Oy</t>
  </si>
  <si>
    <t>0939065-8</t>
  </si>
  <si>
    <t>SFD Hair Oy</t>
  </si>
  <si>
    <t>0494509-5</t>
  </si>
  <si>
    <t>Parkanon Rakennussähkö Oy</t>
  </si>
  <si>
    <t>0600565-4</t>
  </si>
  <si>
    <t>Allostiina Oy Heinätori Ravint</t>
  </si>
  <si>
    <t>0983931-2</t>
  </si>
  <si>
    <t>Kodinkoneliike Ykköspiste Oy</t>
  </si>
  <si>
    <t>0157799-5</t>
  </si>
  <si>
    <t>Omasähkäri Oy</t>
  </si>
  <si>
    <t>3229389-9</t>
  </si>
  <si>
    <t>FSM Oy Fonel Security Marketin</t>
  </si>
  <si>
    <t>0848043-2</t>
  </si>
  <si>
    <t>Kankaanpään Kangaspolku Oy</t>
  </si>
  <si>
    <t>0672632-0</t>
  </si>
  <si>
    <t>Electrolux Professional Oy</t>
  </si>
  <si>
    <t>0816444-8</t>
  </si>
  <si>
    <t>Hoteldrift Vanda Oy Ab</t>
  </si>
  <si>
    <t>2720099-3</t>
  </si>
  <si>
    <t>Sastamalan Lukko- ja Avainpalv</t>
  </si>
  <si>
    <t>2596845-6</t>
  </si>
  <si>
    <t>Suomen Suoratoimitus Oy</t>
  </si>
  <si>
    <t>2526717-4</t>
  </si>
  <si>
    <t>Suomen Konehuolto Oy</t>
  </si>
  <si>
    <t>3240079-7</t>
  </si>
  <si>
    <t>Meir Tiffany Oy</t>
  </si>
  <si>
    <t>1500038-8</t>
  </si>
  <si>
    <t>Uittokalusto Oy</t>
  </si>
  <si>
    <t>0108237-8</t>
  </si>
  <si>
    <t>Tamro Oyj</t>
  </si>
  <si>
    <t>0533965-2</t>
  </si>
  <si>
    <t>Parkanon Lasipalvelu Oy</t>
  </si>
  <si>
    <t>2092344-3</t>
  </si>
  <si>
    <t>Aon Assessment (Finland) Oy</t>
  </si>
  <si>
    <t>2355768-8</t>
  </si>
  <si>
    <t>Häijään Säästömarket Oy</t>
  </si>
  <si>
    <t>1035020-7</t>
  </si>
  <si>
    <t>J Industrial Oy</t>
  </si>
  <si>
    <t>3511896-5</t>
  </si>
  <si>
    <t>Weckman Steel Oy</t>
  </si>
  <si>
    <t>0164205-6</t>
  </si>
  <si>
    <t>Naturcom Oy</t>
  </si>
  <si>
    <t>0966779-2</t>
  </si>
  <si>
    <t>Rootstone Oy</t>
  </si>
  <si>
    <t>2266380-9</t>
  </si>
  <si>
    <t>Fintex-Tetrakem Oy</t>
  </si>
  <si>
    <t>2213686-5</t>
  </si>
  <si>
    <t>Kaivosähkö Oy</t>
  </si>
  <si>
    <t>0740569-2</t>
  </si>
  <si>
    <t>Jyväskylän Messut Oy</t>
  </si>
  <si>
    <t>0626505-0</t>
  </si>
  <si>
    <t>Autoxport Oy / Autorentti Oy</t>
  </si>
  <si>
    <t>2197141-2</t>
  </si>
  <si>
    <t>Vaasan Sähkö Myynti Oy</t>
  </si>
  <si>
    <t>3484498-1</t>
  </si>
  <si>
    <t>Hakalan Puutukku Oy</t>
  </si>
  <si>
    <t>0937454-3</t>
  </si>
  <si>
    <t>Mantco Oy</t>
  </si>
  <si>
    <t>2823197-8</t>
  </si>
  <si>
    <t>Äetsän Vuokrakone Oy</t>
  </si>
  <si>
    <t>0530569-8</t>
  </si>
  <si>
    <t>Sick Oy</t>
  </si>
  <si>
    <t>0850072-0</t>
  </si>
  <si>
    <t>Art Pin Oy</t>
  </si>
  <si>
    <t>0997436-2</t>
  </si>
  <si>
    <t>Pispalasi Oy</t>
  </si>
  <si>
    <t>0648585-4</t>
  </si>
  <si>
    <t>Esvi Ky</t>
  </si>
  <si>
    <t>0664470-4</t>
  </si>
  <si>
    <t>Demeca Oy</t>
  </si>
  <si>
    <t>2224040-0</t>
  </si>
  <si>
    <t>JEP Henkilöstöratkaisut Oy</t>
  </si>
  <si>
    <t>2705932-8</t>
  </si>
  <si>
    <t>Keuruun Saha ja Erä Oy</t>
  </si>
  <si>
    <t>0291594-1</t>
  </si>
  <si>
    <t>Manner Taidetarvikkeet Oy</t>
  </si>
  <si>
    <t>0680204-7</t>
  </si>
  <si>
    <t>Ylsi/Petäjä/kotouttamiskoul.</t>
  </si>
  <si>
    <t>Sapoma Oy</t>
  </si>
  <si>
    <t>2289312-9</t>
  </si>
  <si>
    <t>Cronvall Oy</t>
  </si>
  <si>
    <t>2407943-8</t>
  </si>
  <si>
    <t>Helsinki Bofori Oy</t>
  </si>
  <si>
    <t>2558752-2</t>
  </si>
  <si>
    <t>Kemicon Oy</t>
  </si>
  <si>
    <t>3019768-4</t>
  </si>
  <si>
    <t>Inspecta Sertifiointi Oy</t>
  </si>
  <si>
    <t>1065745-2</t>
  </si>
  <si>
    <t>JES-Tuote Oy Ase Seppälä</t>
  </si>
  <si>
    <t>2583151-3</t>
  </si>
  <si>
    <t>J. Kärkkäinen Oy</t>
  </si>
  <si>
    <t>0865108-6</t>
  </si>
  <si>
    <t>Tuurin Lehti Oy</t>
  </si>
  <si>
    <t>1048945-2</t>
  </si>
  <si>
    <t>BF Media Oy</t>
  </si>
  <si>
    <t>0653268-1</t>
  </si>
  <si>
    <t>Autohuolto Tapiainen Oy</t>
  </si>
  <si>
    <t>2870188-8</t>
  </si>
  <si>
    <t>KunnonLiike Oy</t>
  </si>
  <si>
    <t>2252374-2</t>
  </si>
  <si>
    <t>Satakunnan Osuuskauppa</t>
  </si>
  <si>
    <t>0137281-8</t>
  </si>
  <si>
    <t>Remonttitalo Oy</t>
  </si>
  <si>
    <t>0550778-3</t>
  </si>
  <si>
    <t>Biologian ja maantieteen opett</t>
  </si>
  <si>
    <t>0221238-1</t>
  </si>
  <si>
    <t>AMKE Oy Ammattiosaamisen kehit</t>
  </si>
  <si>
    <t>0893138-7</t>
  </si>
  <si>
    <t>Elgood Oy</t>
  </si>
  <si>
    <t>1078149-6</t>
  </si>
  <si>
    <t>Obscure Entertainment Oy</t>
  </si>
  <si>
    <t>2196542-6</t>
  </si>
  <si>
    <t>Valofirma The Light House Oy</t>
  </si>
  <si>
    <t>2010405-0</t>
  </si>
  <si>
    <t>Antti Lauhamo Oy</t>
  </si>
  <si>
    <t>0723486-2</t>
  </si>
  <si>
    <t>Levorannan Autoliike Oy</t>
  </si>
  <si>
    <t>0632208-6</t>
  </si>
  <si>
    <t>2005510-5</t>
  </si>
  <si>
    <t>Paikkakuntalainen Oy</t>
  </si>
  <si>
    <t>0696817-8</t>
  </si>
  <si>
    <t>National Chemicals Oy Ab</t>
  </si>
  <si>
    <t>2397868-5</t>
  </si>
  <si>
    <t>TTT-Teatteripalvelut Oy</t>
  </si>
  <si>
    <t>1009332-7</t>
  </si>
  <si>
    <t>Kukkapuoti Unikko Oy</t>
  </si>
  <si>
    <t>2352488-6</t>
  </si>
  <si>
    <t>Risto Pitkänen Oy</t>
  </si>
  <si>
    <t>2593349-9</t>
  </si>
  <si>
    <t>Veistokone Oy</t>
  </si>
  <si>
    <t>2141880-1</t>
  </si>
  <si>
    <t>Opiks-Tiimi Oy</t>
  </si>
  <si>
    <t>1965165-5</t>
  </si>
  <si>
    <t>Autokeskus Oy</t>
  </si>
  <si>
    <t>1093812-3</t>
  </si>
  <si>
    <t>Kompressorimaailma Oy</t>
  </si>
  <si>
    <t>0667043-5</t>
  </si>
  <si>
    <t>Sastamalan Ympäristöpalvelut O</t>
  </si>
  <si>
    <t>2375946-6</t>
  </si>
  <si>
    <t>Aiko Academy Oy</t>
  </si>
  <si>
    <t>2659325-4</t>
  </si>
  <si>
    <t>Pintaväri Oy</t>
  </si>
  <si>
    <t>0222912-4</t>
  </si>
  <si>
    <t>Vinedu Oy</t>
  </si>
  <si>
    <t>0935345-1</t>
  </si>
  <si>
    <t>Discoland Oy</t>
  </si>
  <si>
    <t>0567844-3</t>
  </si>
  <si>
    <t>Lippupiste Oy</t>
  </si>
  <si>
    <t>1789232-4</t>
  </si>
  <si>
    <t>Pizzeria Demir Oy</t>
  </si>
  <si>
    <t>2661229-1</t>
  </si>
  <si>
    <t>Kyrön Sammutin Oy</t>
  </si>
  <si>
    <t>1449479-3</t>
  </si>
  <si>
    <t>Alpo Malinen Oy / Lantmännen</t>
  </si>
  <si>
    <t>0626005-7</t>
  </si>
  <si>
    <t>Saso/Kalusto-ja laiteh.yht.</t>
  </si>
  <si>
    <t>Lautapelit piste fi Oy</t>
  </si>
  <si>
    <t>1057374-2</t>
  </si>
  <si>
    <t>Jämsän Patalahti Oy</t>
  </si>
  <si>
    <t>MSKK/Raca AT/EAT</t>
  </si>
  <si>
    <t>1026145-8</t>
  </si>
  <si>
    <t>KPMG Oy Ab</t>
  </si>
  <si>
    <t>1805485-9</t>
  </si>
  <si>
    <t>Tokeen Liikenne Oy</t>
  </si>
  <si>
    <t>0619020-4</t>
  </si>
  <si>
    <t>SMC Automation Oy</t>
  </si>
  <si>
    <t>1650102-9</t>
  </si>
  <si>
    <t>Markun Kello ja Koru Ay</t>
  </si>
  <si>
    <t>0648158-9</t>
  </si>
  <si>
    <t>Soraliike Pelkonen Oy</t>
  </si>
  <si>
    <t>0224783-2</t>
  </si>
  <si>
    <t>Lapiomies Oy</t>
  </si>
  <si>
    <t>Ikata/RakennusrestaurointiAT/E</t>
  </si>
  <si>
    <t>2201157-9</t>
  </si>
  <si>
    <t>Katin Kosmetik Oy</t>
  </si>
  <si>
    <t>2260361-1</t>
  </si>
  <si>
    <t>3DBear Oy</t>
  </si>
  <si>
    <t>2778736-8</t>
  </si>
  <si>
    <t>Ase Utra Oy</t>
  </si>
  <si>
    <t>1743053-3</t>
  </si>
  <si>
    <t>Kasvinsuojeluaineet</t>
  </si>
  <si>
    <t>3526064-6</t>
  </si>
  <si>
    <t>Seicotec Oy</t>
  </si>
  <si>
    <t>2262088-4</t>
  </si>
  <si>
    <t>Marron Wood Oy</t>
  </si>
  <si>
    <t>1787466-0</t>
  </si>
  <si>
    <t>Puistokadun Kukkatupa Oy / Rop</t>
  </si>
  <si>
    <t>2358563-8</t>
  </si>
  <si>
    <t>Eerola-Yhtiöt Oy</t>
  </si>
  <si>
    <t>1885536-5</t>
  </si>
  <si>
    <t>Rensi Finland Oy</t>
  </si>
  <si>
    <t>0932478-1</t>
  </si>
  <si>
    <t>EKN-Group Oy</t>
  </si>
  <si>
    <t>1654717-4</t>
  </si>
  <si>
    <t>Maalaustyö T. Nummela Oy</t>
  </si>
  <si>
    <t>2466374-9</t>
  </si>
  <si>
    <t>HuKo/LuVa/Puutarha/opp. AT/EA</t>
  </si>
  <si>
    <t>Suomen Lamello Ky</t>
  </si>
  <si>
    <t>0554963-3</t>
  </si>
  <si>
    <t>Kello ja kulta palmu Oy</t>
  </si>
  <si>
    <t>1867339-3</t>
  </si>
  <si>
    <t>Presto Paloturvallisuus Oy</t>
  </si>
  <si>
    <t>0520704-3</t>
  </si>
  <si>
    <t>Kehäkukka Ahoset</t>
  </si>
  <si>
    <t>1053172-9</t>
  </si>
  <si>
    <t>Annie Advisor Oy</t>
  </si>
  <si>
    <t>3157107-6</t>
  </si>
  <si>
    <t>Nettiniilo Oy</t>
  </si>
  <si>
    <t>2730021-4</t>
  </si>
  <si>
    <t>Pirkanmaan Osuuskauppa</t>
  </si>
  <si>
    <t>0536307-0</t>
  </si>
  <si>
    <t>Stena Confidential Oy</t>
  </si>
  <si>
    <t>2608510-2</t>
  </si>
  <si>
    <t>Revisol Oy</t>
  </si>
  <si>
    <t>0414935-5</t>
  </si>
  <si>
    <t>KYOCERA Document Solutions Finland Oy</t>
  </si>
  <si>
    <t>0472372-4</t>
  </si>
  <si>
    <t>Digiagentti Oy</t>
  </si>
  <si>
    <t>2941983-3</t>
  </si>
  <si>
    <t>Suomen Akuuttipalvelut Oy</t>
  </si>
  <si>
    <t>2668185-2</t>
  </si>
  <si>
    <t>Horze Finland Oy</t>
  </si>
  <si>
    <t>2945989-4</t>
  </si>
  <si>
    <t>SKA-Ravintolat Oy</t>
  </si>
  <si>
    <t>2393643-4</t>
  </si>
  <si>
    <t>Pihanestorit Oy</t>
  </si>
  <si>
    <t>1868268-7</t>
  </si>
  <si>
    <t>Tyrvään Pappila</t>
  </si>
  <si>
    <t>Huittisten Tilausliikenne Oy</t>
  </si>
  <si>
    <t>1947673-8</t>
  </si>
  <si>
    <t>Huolto E. Autio Oy</t>
  </si>
  <si>
    <t>0623050-1</t>
  </si>
  <si>
    <t>Palpa Lasi Oy</t>
  </si>
  <si>
    <t>2443487-4</t>
  </si>
  <si>
    <t>Kylmäverkko Oy</t>
  </si>
  <si>
    <t>2710205-8</t>
  </si>
  <si>
    <t>Kuljetusliike Finska Oy</t>
  </si>
  <si>
    <t>0666557-2</t>
  </si>
  <si>
    <t>Santasport Finland Oy</t>
  </si>
  <si>
    <t>2640679-7</t>
  </si>
  <si>
    <t>Kiinteistöhuolto Ruuska Oy</t>
  </si>
  <si>
    <t>0723797-5</t>
  </si>
  <si>
    <t>Rakennuspalvelu M. Kallioinen</t>
  </si>
  <si>
    <t>1797864-6</t>
  </si>
  <si>
    <t>Retro Auto Moto Retrotechno Oy</t>
  </si>
  <si>
    <t>1102858-6</t>
  </si>
  <si>
    <t>JJJ-Automaatio Oy</t>
  </si>
  <si>
    <t>MSKK/Kalusto-ja laiteh.yht.</t>
  </si>
  <si>
    <t>0892582-5</t>
  </si>
  <si>
    <t>Elfa Distrelec Oy</t>
  </si>
  <si>
    <t>0680452-8</t>
  </si>
  <si>
    <t>Lamminen Works Oy</t>
  </si>
  <si>
    <t>0646920-5</t>
  </si>
  <si>
    <t>Jysk Oy</t>
  </si>
  <si>
    <t>1000514-7</t>
  </si>
  <si>
    <t>Ky:n hallinto/Kal.- ja laiteh.</t>
  </si>
  <si>
    <t>Restel Ravintolat Oy</t>
  </si>
  <si>
    <t>0658353-4</t>
  </si>
  <si>
    <t>Kirjapaino Öhrling Oy</t>
  </si>
  <si>
    <t>0205958-3</t>
  </si>
  <si>
    <t>Kauneus Deea Oy</t>
  </si>
  <si>
    <t>Saranen Consulting Oy</t>
  </si>
  <si>
    <t>2588306-5</t>
  </si>
  <si>
    <t>Gardner Denver Oy</t>
  </si>
  <si>
    <t>1107955-1</t>
  </si>
  <si>
    <t>Niemen Tehtaat Oy</t>
  </si>
  <si>
    <t>0144304-9</t>
  </si>
  <si>
    <t>Ruoveden Sanomalehti Oy</t>
  </si>
  <si>
    <t>0152799-8</t>
  </si>
  <si>
    <t>Kymppitaito Oy</t>
  </si>
  <si>
    <t>0936200-8</t>
  </si>
  <si>
    <t>Seiskatalli Oy</t>
  </si>
  <si>
    <t>2028798-5</t>
  </si>
  <si>
    <t>K &amp; R Elevator Oy</t>
  </si>
  <si>
    <t>MSKK/Rakentaminen</t>
  </si>
  <si>
    <t>2775943-9</t>
  </si>
  <si>
    <t>Teboil Oy Ab</t>
  </si>
  <si>
    <t>0114795-2</t>
  </si>
  <si>
    <t>Power Finland Oy</t>
  </si>
  <si>
    <t>0993774-8</t>
  </si>
  <si>
    <t>Ruokajuhlat Oy</t>
  </si>
  <si>
    <t>1959901-7</t>
  </si>
  <si>
    <t>Sinervön Kauppa Oy</t>
  </si>
  <si>
    <t>1738609-3</t>
  </si>
  <si>
    <t>Junttilan Tila Oy</t>
  </si>
  <si>
    <t>2375666-0</t>
  </si>
  <si>
    <t>Arkkitehdit MY Oy</t>
  </si>
  <si>
    <t>1601691-2</t>
  </si>
  <si>
    <t>PLM Group Suomi Oy</t>
  </si>
  <si>
    <t>1446694-4</t>
  </si>
  <si>
    <t>Taidosto Osuuskunta</t>
  </si>
  <si>
    <t>1900018-2</t>
  </si>
  <si>
    <t>WILLNÄS Oy</t>
  </si>
  <si>
    <t>2620732-5</t>
  </si>
  <si>
    <t>Online Solutions Oy</t>
  </si>
  <si>
    <t>0997879-3</t>
  </si>
  <si>
    <t>Tampereen Messut Oy</t>
  </si>
  <si>
    <t>0155043-4</t>
  </si>
  <si>
    <t>Kaeser Kompressorit Oy</t>
  </si>
  <si>
    <t>0988010-4</t>
  </si>
  <si>
    <t>Elkris Oy Tools</t>
  </si>
  <si>
    <t>Yhteinen opet/Tekniikan alat P</t>
  </si>
  <si>
    <t>2038392-6</t>
  </si>
  <si>
    <t>Hämeenkyrön Rengaspalvelu Oy</t>
  </si>
  <si>
    <t>3216799-9</t>
  </si>
  <si>
    <t>JJ Farm Oy</t>
  </si>
  <si>
    <t>3506958-5</t>
  </si>
  <si>
    <t>A-Paristopiste Oy</t>
  </si>
  <si>
    <t>0969568-9</t>
  </si>
  <si>
    <t>GOLDEN OPPORTUNITY FINLAND OY</t>
  </si>
  <si>
    <t>2280117-5</t>
  </si>
  <si>
    <t>Jäähdytystaso Oy</t>
  </si>
  <si>
    <t>1460482-5</t>
  </si>
  <si>
    <t>Talokuntoon.fi Oy</t>
  </si>
  <si>
    <t>2749165-5</t>
  </si>
  <si>
    <t>Yhteinen opetus/Maa-ja metsätA</t>
  </si>
  <si>
    <t>Kuntaliitto Palvelut Oy</t>
  </si>
  <si>
    <t>2542166-1</t>
  </si>
  <si>
    <t>Finnlines Oyj</t>
  </si>
  <si>
    <t>0201153-9</t>
  </si>
  <si>
    <t>Dog Team Oy</t>
  </si>
  <si>
    <t>3153070-9</t>
  </si>
  <si>
    <t>Sareskoski Oy</t>
  </si>
  <si>
    <t>0654661-0</t>
  </si>
  <si>
    <t>Novarbo Oy</t>
  </si>
  <si>
    <t>2346619-6</t>
  </si>
  <si>
    <t>Auraosa Oy</t>
  </si>
  <si>
    <t>0983553-0</t>
  </si>
  <si>
    <t>Pirkanmaan Hissitekniikka Oy</t>
  </si>
  <si>
    <t>2128124-3</t>
  </si>
  <si>
    <t>Laatupalkinto Virtanen Oy</t>
  </si>
  <si>
    <t>2351245-5</t>
  </si>
  <si>
    <t>Riihimäen Teollisuuspalvelu Oy</t>
  </si>
  <si>
    <t>2398753-0</t>
  </si>
  <si>
    <t>JVT- ja pesutekniikka Oy</t>
  </si>
  <si>
    <t>0831470-9</t>
  </si>
  <si>
    <t>Aleksin Ravintolat Oy</t>
  </si>
  <si>
    <t>0154062-3</t>
  </si>
  <si>
    <t>TKP Tekstiilikalustepesu Oy</t>
  </si>
  <si>
    <t>2372541-8</t>
  </si>
  <si>
    <t>Munkkimiehet Oy</t>
  </si>
  <si>
    <t>0532380-2</t>
  </si>
  <si>
    <t>Valmennustoimisto Sitomo Oy</t>
  </si>
  <si>
    <t>2405929-3</t>
  </si>
  <si>
    <t>Oriveden Eristys Oy</t>
  </si>
  <si>
    <t>0852936-3</t>
  </si>
  <si>
    <t>Lindex Group Oyj /Stockmann Oy</t>
  </si>
  <si>
    <t>0114162-2</t>
  </si>
  <si>
    <t>Tarvikekulma Tampere Oy</t>
  </si>
  <si>
    <t>2389007-7</t>
  </si>
  <si>
    <t>Ilmanvaihto max Oy</t>
  </si>
  <si>
    <t>2727373-8</t>
  </si>
  <si>
    <t>Pipu Ky</t>
  </si>
  <si>
    <t>0589204-4</t>
  </si>
  <si>
    <t>Pathtrace Oy</t>
  </si>
  <si>
    <t>0884401-3</t>
  </si>
  <si>
    <t>A-Lehdet Oy</t>
  </si>
  <si>
    <t>1708790-7</t>
  </si>
  <si>
    <t>Suomen Rakennuskone Oy</t>
  </si>
  <si>
    <t>0900009-0</t>
  </si>
  <si>
    <t>Studiotec Oy</t>
  </si>
  <si>
    <t>0369434-3</t>
  </si>
  <si>
    <t>Hämeen Erikoistyö Oy</t>
  </si>
  <si>
    <t>0863652-1</t>
  </si>
  <si>
    <t>Keskener kiint.rak. ja laitt</t>
  </si>
  <si>
    <t>PeDaTa Oy</t>
  </si>
  <si>
    <t>2521004-7</t>
  </si>
  <si>
    <t>Tiitus Group Oy</t>
  </si>
  <si>
    <t>2736664-3</t>
  </si>
  <si>
    <t>Osaran Kartano Oy</t>
  </si>
  <si>
    <t>0132939-3</t>
  </si>
  <si>
    <t>Tecalemit Oy</t>
  </si>
  <si>
    <t>2200221-8</t>
  </si>
  <si>
    <t>TCD Consulting and Research Oy</t>
  </si>
  <si>
    <t>2572597-2</t>
  </si>
  <si>
    <t>FMA Creations Oy</t>
  </si>
  <si>
    <t>2673987-4</t>
  </si>
  <si>
    <t>Swegon ILTO Oy</t>
  </si>
  <si>
    <t>1615732-8</t>
  </si>
  <si>
    <t>Konepaja Survonen Oy</t>
  </si>
  <si>
    <t>2181178-5</t>
  </si>
  <si>
    <t>Honkapuu Nieminen Oy</t>
  </si>
  <si>
    <t>0805577-8</t>
  </si>
  <si>
    <t>Vilomix Finland Oy</t>
  </si>
  <si>
    <t>0472472-7</t>
  </si>
  <si>
    <t>Toolfin Oy</t>
  </si>
  <si>
    <t>2789246-7</t>
  </si>
  <si>
    <t>Avs-yhtiöt Oy</t>
  </si>
  <si>
    <t>0880158-2</t>
  </si>
  <si>
    <t>Turun Sähkökoulutus Oy</t>
  </si>
  <si>
    <t>3410220-8</t>
  </si>
  <si>
    <t>Aspenhill Advisory Oy</t>
  </si>
  <si>
    <t>3446309-7</t>
  </si>
  <si>
    <t>Frameda Oy</t>
  </si>
  <si>
    <t>2634753-9</t>
  </si>
  <si>
    <t>Luomajärven Hevoskievari Oy</t>
  </si>
  <si>
    <t>2099364-4</t>
  </si>
  <si>
    <t>J&amp;J Loukko Oy</t>
  </si>
  <si>
    <t>0946584-0</t>
  </si>
  <si>
    <t>Kristiinankaupungin Elinkeinokeskus Oy</t>
  </si>
  <si>
    <t>2373314-3</t>
  </si>
  <si>
    <t>Algol Chemicals Oy</t>
  </si>
  <si>
    <t>0777485-0</t>
  </si>
  <si>
    <t>Aimo Junttila Oy</t>
  </si>
  <si>
    <t>2077583-1</t>
  </si>
  <si>
    <t>Kyröskosken polkupyöräliike ky</t>
  </si>
  <si>
    <t>2343078-3</t>
  </si>
  <si>
    <t>Handshake Finland Oy</t>
  </si>
  <si>
    <t>2304112-0</t>
  </si>
  <si>
    <t>Salhydro Oy</t>
  </si>
  <si>
    <t>0786606-9</t>
  </si>
  <si>
    <t>Marko Mustajärvi Oy</t>
  </si>
  <si>
    <t>0952557-5</t>
  </si>
  <si>
    <t>Foiltek Oy</t>
  </si>
  <si>
    <t>0567548-8</t>
  </si>
  <si>
    <t>Oy Skandinaviska Träimport AB</t>
  </si>
  <si>
    <t>0149406-5</t>
  </si>
  <si>
    <t>Mäntän Rengaspiste Oy</t>
  </si>
  <si>
    <t>2177044-2</t>
  </si>
  <si>
    <t>Supersteel Oy</t>
  </si>
  <si>
    <t>2644208-5</t>
  </si>
  <si>
    <t>Tiketti Oy</t>
  </si>
  <si>
    <t>0116189-3</t>
  </si>
  <si>
    <t>Tammerpihat Oy</t>
  </si>
  <si>
    <t>3200979-8</t>
  </si>
  <si>
    <t>Labroc Oy</t>
  </si>
  <si>
    <t>2544332-6</t>
  </si>
  <si>
    <t>Mediseam Oy</t>
  </si>
  <si>
    <t>0640976-3</t>
  </si>
  <si>
    <t>Hissiryhmä L&amp;L Oy</t>
  </si>
  <si>
    <t>1898511-9</t>
  </si>
  <si>
    <t>Tampereen Opastemestarit Oy</t>
  </si>
  <si>
    <t>0397717-5</t>
  </si>
  <si>
    <t>Muut satunnaiset kulut</t>
  </si>
  <si>
    <t>Omat tilat</t>
  </si>
  <si>
    <t>Kevra Oy</t>
  </si>
  <si>
    <t>0220078-6</t>
  </si>
  <si>
    <t>Luonnollisesti ympäristötoimi Osuuskunta</t>
  </si>
  <si>
    <t>3263955-4</t>
  </si>
  <si>
    <t>Häijään Urheilutarvike Oy</t>
  </si>
  <si>
    <t>0397864-5</t>
  </si>
  <si>
    <t>Ahjoco Oy</t>
  </si>
  <si>
    <t>0725504-9</t>
  </si>
  <si>
    <t>Hautala Service Oy</t>
  </si>
  <si>
    <t>1451821-4</t>
  </si>
  <si>
    <t>Teräsrenki Oy</t>
  </si>
  <si>
    <t>0518513-9</t>
  </si>
  <si>
    <t>Ämyri Productions Oy</t>
  </si>
  <si>
    <t>3215099-4</t>
  </si>
  <si>
    <t>Pro TT-yhtymä Oy</t>
  </si>
  <si>
    <t>2699091-1</t>
  </si>
  <si>
    <t>Metsä-Tappura Oy</t>
  </si>
  <si>
    <t>1064889-8</t>
  </si>
  <si>
    <t>AJ Tuotteet Oy Ab</t>
  </si>
  <si>
    <t>0643009-5</t>
  </si>
  <si>
    <t>VeliMark Oy</t>
  </si>
  <si>
    <t>2246772-8</t>
  </si>
  <si>
    <t>Liikennekoulu Koskinen Ky</t>
  </si>
  <si>
    <t>2443129-4</t>
  </si>
  <si>
    <t>Tekopaikka Suomi Oy</t>
  </si>
  <si>
    <t>2384874-1</t>
  </si>
  <si>
    <t>ER-Pakkaus Oy</t>
  </si>
  <si>
    <t>0923090-2</t>
  </si>
  <si>
    <t>Ki-Sal Oy</t>
  </si>
  <si>
    <t>0963595-0</t>
  </si>
  <si>
    <t>Länsilinjat Oy</t>
  </si>
  <si>
    <t>0944671-1</t>
  </si>
  <si>
    <t>Lift Control Finland Oy</t>
  </si>
  <si>
    <t>3192272-9</t>
  </si>
  <si>
    <t>Suomen Laakerikeskus</t>
  </si>
  <si>
    <t>2385964-3</t>
  </si>
  <si>
    <t>Focusing EL Oy</t>
  </si>
  <si>
    <t>3110871-9</t>
  </si>
  <si>
    <t>Kouvolan Matkatoimisto Oy</t>
  </si>
  <si>
    <t>0638666-1</t>
  </si>
  <si>
    <t>Euran Erikoispaperit Oy</t>
  </si>
  <si>
    <t>0958670-6</t>
  </si>
  <si>
    <t>Treko Oy c/o Samirent</t>
  </si>
  <si>
    <t>2798019-2</t>
  </si>
  <si>
    <t>Mekowest Oy</t>
  </si>
  <si>
    <t>3337505-2</t>
  </si>
  <si>
    <t>MSKK/Liiketalous verkko-opetus</t>
  </si>
  <si>
    <t>Talotekniikka-julkaisut Oy</t>
  </si>
  <si>
    <t>0961195-9</t>
  </si>
  <si>
    <t>Fatrio Oy aputoiminimi X-Parts</t>
  </si>
  <si>
    <t>2843405-4</t>
  </si>
  <si>
    <t>HuKo/Liiketalous verkko-opetus</t>
  </si>
  <si>
    <t>Porin Konehuolto Oy</t>
  </si>
  <si>
    <t>2018212-0</t>
  </si>
  <si>
    <t>Kerko Group Oy</t>
  </si>
  <si>
    <t>2161589-9</t>
  </si>
  <si>
    <t>Taperoll Oy</t>
  </si>
  <si>
    <t>0920266-1</t>
  </si>
  <si>
    <t>Sähkösuomilammi Oy</t>
  </si>
  <si>
    <t>0470722-2</t>
  </si>
  <si>
    <t>Sähköhuolto Tissari Oy</t>
  </si>
  <si>
    <t>0643624-3</t>
  </si>
  <si>
    <t>Osara LuPi Rakentaminen</t>
  </si>
  <si>
    <t>Arskametalli Oy</t>
  </si>
  <si>
    <t>0747454-0</t>
  </si>
  <si>
    <t>Villen Kello Oy</t>
  </si>
  <si>
    <t>2335703-7</t>
  </si>
  <si>
    <t>Arctic River Resort Oy</t>
  </si>
  <si>
    <t>3321034-6</t>
  </si>
  <si>
    <t>Tapio Palvelut Oy</t>
  </si>
  <si>
    <t>0498749-8</t>
  </si>
  <si>
    <t>Kilita Puhtauspalvelut Oy</t>
  </si>
  <si>
    <t>1905832-5</t>
  </si>
  <si>
    <t>Simsotec Oy</t>
  </si>
  <si>
    <t>1795219-8</t>
  </si>
  <si>
    <t>Vastuu Services Oy</t>
  </si>
  <si>
    <t>3496594-3</t>
  </si>
  <si>
    <t>Thoolen International B.V.</t>
  </si>
  <si>
    <t>Tuovilan Gummi Oy</t>
  </si>
  <si>
    <t>0763211-5</t>
  </si>
  <si>
    <t>Isännöinti- ja tilipalv Makari</t>
  </si>
  <si>
    <t>1799322-1</t>
  </si>
  <si>
    <t>Ikaalisten Valokuvaamo Oy</t>
  </si>
  <si>
    <t>3180648-8</t>
  </si>
  <si>
    <t>Beautynix Oy</t>
  </si>
  <si>
    <t>2107939-5</t>
  </si>
  <si>
    <t>Saunatemppeli Oy</t>
  </si>
  <si>
    <t>3176292-1</t>
  </si>
  <si>
    <t>Kymen Seudun Osuuskauppa</t>
  </si>
  <si>
    <t>2467766-5</t>
  </si>
  <si>
    <t>Yhteinen/Saku kilpailut</t>
  </si>
  <si>
    <t>Gigantti Oy Ab</t>
  </si>
  <si>
    <t>1523846-8</t>
  </si>
  <si>
    <t>Pirkan Kello Oy</t>
  </si>
  <si>
    <t>2982083-8</t>
  </si>
  <si>
    <t>Sorcolor Oy</t>
  </si>
  <si>
    <t>2557889-6</t>
  </si>
  <si>
    <t>Kuorma-autokorjaamo Mäkelä Oy</t>
  </si>
  <si>
    <t>Kustannusosakeyhtiö Pohjantähti - Polestar Oy</t>
  </si>
  <si>
    <t>0811410-9</t>
  </si>
  <si>
    <t>Zoner Oy</t>
  </si>
  <si>
    <t>1985221-1</t>
  </si>
  <si>
    <t>Ikata/Sisustuslasi/oppilast. P</t>
  </si>
  <si>
    <t>MK Componet Oy</t>
  </si>
  <si>
    <t>2902100-8</t>
  </si>
  <si>
    <t>Hotelldrift Vantaa Airport Oy</t>
  </si>
  <si>
    <t>2996944-8</t>
  </si>
  <si>
    <t>Scandinavian Photo Oy</t>
  </si>
  <si>
    <t>3300635-3</t>
  </si>
  <si>
    <t>Contex Oy</t>
  </si>
  <si>
    <t>1567280-3</t>
  </si>
  <si>
    <t>Tehokuivaus Oy</t>
  </si>
  <si>
    <t>1767199-4</t>
  </si>
  <si>
    <t>Putkikierre Oy</t>
  </si>
  <si>
    <t>0113012-2</t>
  </si>
  <si>
    <t>Muototerä Oy</t>
  </si>
  <si>
    <t>0154490-7</t>
  </si>
  <si>
    <t>Suomen Englanninopettajat Ry, Engelsklärarna i Finland rf</t>
  </si>
  <si>
    <t>0224255-6</t>
  </si>
  <si>
    <t>Iledea Oy</t>
  </si>
  <si>
    <t>2727704-2</t>
  </si>
  <si>
    <t>Napakka Oy</t>
  </si>
  <si>
    <t>0581025-6</t>
  </si>
  <si>
    <t>Speakersforum Finland Oy Ab</t>
  </si>
  <si>
    <t>1544233-8</t>
  </si>
  <si>
    <t>Nordic BIM Finland Oy</t>
  </si>
  <si>
    <t>2959032-3</t>
  </si>
  <si>
    <t>Käyttöauto Oy</t>
  </si>
  <si>
    <t>0653423-0</t>
  </si>
  <si>
    <t>PerforMission Oy Ab</t>
  </si>
  <si>
    <t>2774366-4</t>
  </si>
  <si>
    <t>Brownells Finland Oy</t>
  </si>
  <si>
    <t>1831106-9</t>
  </si>
  <si>
    <t>Suomen Kauppakeskustekniikka O</t>
  </si>
  <si>
    <t>2904602-9</t>
  </si>
  <si>
    <t>OPH:n hankkeet, rah.laki 44§ I</t>
  </si>
  <si>
    <t>KOSOL/Palvelualat/PuKi AT/EAT</t>
  </si>
  <si>
    <t>Jani Kaasalainen Oy</t>
  </si>
  <si>
    <t>2484005-5</t>
  </si>
  <si>
    <t>Paja Hiili Ky</t>
  </si>
  <si>
    <t>0738832-7</t>
  </si>
  <si>
    <t>K Auto Retail Oy</t>
  </si>
  <si>
    <t>1900190-0</t>
  </si>
  <si>
    <t>Laurin Metalli Oy</t>
  </si>
  <si>
    <t>0178860-2</t>
  </si>
  <si>
    <t>PuuKärppä Ky</t>
  </si>
  <si>
    <t>2991955-5</t>
  </si>
  <si>
    <t>Puutarha-Sanomat PS Oy</t>
  </si>
  <si>
    <t>2278674-5</t>
  </si>
  <si>
    <t>Hiekkapuhallus Jukka Nurminen</t>
  </si>
  <si>
    <t>1493671-5</t>
  </si>
  <si>
    <t>GT Musiikkiluvat Oy</t>
  </si>
  <si>
    <t>2647504-7</t>
  </si>
  <si>
    <t>Metanoia Instituutti Oy</t>
  </si>
  <si>
    <t>2358515-2</t>
  </si>
  <si>
    <t>Apricolor Oy</t>
  </si>
  <si>
    <t>2171005-2</t>
  </si>
  <si>
    <t>Teräsmyynti Suomi Oy</t>
  </si>
  <si>
    <t>1109405-7</t>
  </si>
  <si>
    <t>Finnbakels Oy</t>
  </si>
  <si>
    <t>0596824-8</t>
  </si>
  <si>
    <t>Kemin Nahkatarvike Oy</t>
  </si>
  <si>
    <t>0684560-2</t>
  </si>
  <si>
    <t>LVI Kurikka Oy</t>
  </si>
  <si>
    <t>3021983-9</t>
  </si>
  <si>
    <t>Martela Oyj</t>
  </si>
  <si>
    <t>0114891-2</t>
  </si>
  <si>
    <t>AP Rengashuolto Oy</t>
  </si>
  <si>
    <t>2597954-2</t>
  </si>
  <si>
    <t>Kekkilä Oy</t>
  </si>
  <si>
    <t>0558734-9</t>
  </si>
  <si>
    <t>Ferob Oy</t>
  </si>
  <si>
    <t>2404310-1</t>
  </si>
  <si>
    <t>Camfil Oy</t>
  </si>
  <si>
    <t>0350949-4</t>
  </si>
  <si>
    <t>Sporty World Oy</t>
  </si>
  <si>
    <t>2749667-5</t>
  </si>
  <si>
    <t>Kansainvälisyystoiminta P</t>
  </si>
  <si>
    <t>TPA/Avustus Talouskoulun sääti</t>
  </si>
  <si>
    <t>Elektrolinna Oy</t>
  </si>
  <si>
    <t>0820785-8</t>
  </si>
  <si>
    <t>Tilkasten Tila Oy</t>
  </si>
  <si>
    <t>3232678-5</t>
  </si>
  <si>
    <t>HuKo/Vuokratilat/Huittinen</t>
  </si>
  <si>
    <t>Eckerö Line Ab Oy</t>
  </si>
  <si>
    <t>0967682-4</t>
  </si>
  <si>
    <t>Artemiia Oy</t>
  </si>
  <si>
    <t>0873430-8</t>
  </si>
  <si>
    <t>IHP Tampere Oy</t>
  </si>
  <si>
    <t>0884846-0</t>
  </si>
  <si>
    <t>Linkosuon Kahvila Oy</t>
  </si>
  <si>
    <t>0154374-4</t>
  </si>
  <si>
    <t>0985620-0</t>
  </si>
  <si>
    <t>Mamageri Oy</t>
  </si>
  <si>
    <t>3021591-8</t>
  </si>
  <si>
    <t>Kuljetus A. Härmä Oy</t>
  </si>
  <si>
    <t>1522200-1</t>
  </si>
  <si>
    <t>Auto-Lamminsivu Oy</t>
  </si>
  <si>
    <t>0654176-4</t>
  </si>
  <si>
    <t>Ylöjärven Puu Oy</t>
  </si>
  <si>
    <t>0803711-5</t>
  </si>
  <si>
    <t>Tampereen Penli Oy</t>
  </si>
  <si>
    <t>1057166-7</t>
  </si>
  <si>
    <t>Rajaniemi Ravintolat Oy</t>
  </si>
  <si>
    <t>2770599-1</t>
  </si>
  <si>
    <t>Ikol/Liiketalous verkko-opetus</t>
  </si>
  <si>
    <t>Muovikum Oy</t>
  </si>
  <si>
    <t>1852508-3</t>
  </si>
  <si>
    <t>Pyynikin Munkkikahvila Oy</t>
  </si>
  <si>
    <t>2050008-8</t>
  </si>
  <si>
    <t>Linna Trade Oy</t>
  </si>
  <si>
    <t>2795522-9</t>
  </si>
  <si>
    <t>Pequ Nieminen Oy</t>
  </si>
  <si>
    <t>2517159-4</t>
  </si>
  <si>
    <t>Kosken Autokeskus Oy</t>
  </si>
  <si>
    <t>2776811-6</t>
  </si>
  <si>
    <t>Kiivia Oy</t>
  </si>
  <si>
    <t>2159307-9</t>
  </si>
  <si>
    <t>Kalevantuli Oy</t>
  </si>
  <si>
    <t>2770216-8</t>
  </si>
  <si>
    <t>FinnMate Oy</t>
  </si>
  <si>
    <t>3544270-6</t>
  </si>
  <si>
    <t>HuKo/Elintarvike  PT</t>
  </si>
  <si>
    <t>Lapin Akkumaailma Oy</t>
  </si>
  <si>
    <t>2484394-2</t>
  </si>
  <si>
    <t>Kattokeskus Huoltopalvelut Oy</t>
  </si>
  <si>
    <t>3333472-8</t>
  </si>
  <si>
    <t>DMG MORI Finland Oy Ab</t>
  </si>
  <si>
    <t>2657339-2</t>
  </si>
  <si>
    <t>Kirjapaino Hermes Oy</t>
  </si>
  <si>
    <t>0908742-1</t>
  </si>
  <si>
    <t>Heittolan Monitoimi Oy</t>
  </si>
  <si>
    <t>2216421-7</t>
  </si>
  <si>
    <t>Fimtest Oy</t>
  </si>
  <si>
    <t>2237166-2</t>
  </si>
  <si>
    <t>GORILLASPORTS.FI/YRITYSLASKU</t>
  </si>
  <si>
    <t>2465546-6</t>
  </si>
  <si>
    <t>Sandex Group Oy/Jasmine Jewels</t>
  </si>
  <si>
    <t>2546169-8</t>
  </si>
  <si>
    <t>Peltityö Lehtimäki Oy</t>
  </si>
  <si>
    <t>2771951-7</t>
  </si>
  <si>
    <t>OPH:n hankkeet, rah.laki 44§ P</t>
  </si>
  <si>
    <t>Mäntänvuoren Terveys Oy</t>
  </si>
  <si>
    <t>2517663-5</t>
  </si>
  <si>
    <t>Festool Suomi Oy</t>
  </si>
  <si>
    <t>1790989-4</t>
  </si>
  <si>
    <t>Korja-Kumi Oy</t>
  </si>
  <si>
    <t>0205973-5</t>
  </si>
  <si>
    <t>Autoklinikka-yhtiöt Oy</t>
  </si>
  <si>
    <t>2225675-2</t>
  </si>
  <si>
    <t>Musact Oy</t>
  </si>
  <si>
    <t>1594510-3</t>
  </si>
  <si>
    <t>Delmac Oy</t>
  </si>
  <si>
    <t>0529987-3</t>
  </si>
  <si>
    <t>Suomen Teollisuustyökalut Oy</t>
  </si>
  <si>
    <t>1087645-2</t>
  </si>
  <si>
    <t>Omakoru Oy</t>
  </si>
  <si>
    <t>2310735-3</t>
  </si>
  <si>
    <t>Suomen Messut Oyj</t>
  </si>
  <si>
    <t>0116322-3</t>
  </si>
  <si>
    <t>Oriveden Sammutinhuolto</t>
  </si>
  <si>
    <t>0833443-5</t>
  </si>
  <si>
    <t>Valtavuokraus Oy</t>
  </si>
  <si>
    <t>1070464-2</t>
  </si>
  <si>
    <t>Joenniemen Ravintolat Oy</t>
  </si>
  <si>
    <t>2602340-3</t>
  </si>
  <si>
    <t>Länkivet Oy</t>
  </si>
  <si>
    <t>3156808-8</t>
  </si>
  <si>
    <t>Koulutus Peltomäki Oy</t>
  </si>
  <si>
    <t>2242938-5</t>
  </si>
  <si>
    <t>Rakcia Oy</t>
  </si>
  <si>
    <t>2941953-4</t>
  </si>
  <si>
    <t>Terapiaperhonen Oy</t>
  </si>
  <si>
    <t>2450832-7</t>
  </si>
  <si>
    <t>Frantsilan Luomuyrttitila Oy</t>
  </si>
  <si>
    <t>0775726-8</t>
  </si>
  <si>
    <t>JanLa Oy</t>
  </si>
  <si>
    <t>Iisakki/Rakennus/opp. PT</t>
  </si>
  <si>
    <t>1929014-0</t>
  </si>
  <si>
    <t>Kestomuovi Oy</t>
  </si>
  <si>
    <t>2118270-4</t>
  </si>
  <si>
    <t>Migmen Oy</t>
  </si>
  <si>
    <t>0947338-1</t>
  </si>
  <si>
    <t>Abb Oy</t>
  </si>
  <si>
    <t>0763403-0</t>
  </si>
  <si>
    <t>Lasisiipi Oy</t>
  </si>
  <si>
    <t>2837932-3</t>
  </si>
  <si>
    <t>Ramari Oy/Viitalan kotileipomo</t>
  </si>
  <si>
    <t>2721742-9</t>
  </si>
  <si>
    <t>Fysioline Oy</t>
  </si>
  <si>
    <t>0927611-8</t>
  </si>
  <si>
    <t>Hööks Hevosurheilu Oy</t>
  </si>
  <si>
    <t>1859735-1</t>
  </si>
  <si>
    <t>Akku-Ässä Oy</t>
  </si>
  <si>
    <t>0832872-1</t>
  </si>
  <si>
    <t>Tapio Päkki Oy</t>
  </si>
  <si>
    <t>0662934-4</t>
  </si>
  <si>
    <t>Be Group Oy Ab</t>
  </si>
  <si>
    <t>1544976-7</t>
  </si>
  <si>
    <t>HHT-Rakennus Oy</t>
  </si>
  <si>
    <t>2724613-1</t>
  </si>
  <si>
    <t>Cepton Finland Oy</t>
  </si>
  <si>
    <t>1863187-1</t>
  </si>
  <si>
    <t>Mikan Konemyynti Oy</t>
  </si>
  <si>
    <t>1506343-4</t>
  </si>
  <si>
    <t>Tamkopio Oy</t>
  </si>
  <si>
    <t>0459613-9</t>
  </si>
  <si>
    <t>Slurrytec Oy</t>
  </si>
  <si>
    <t>3138053-6</t>
  </si>
  <si>
    <t>Puusepänliike Lauri-Poika Oy</t>
  </si>
  <si>
    <t>2086236-1</t>
  </si>
  <si>
    <t>Suomen Ruotsinopettajat Ry, Svensklärarna i Finland rf</t>
  </si>
  <si>
    <t>0202278-0</t>
  </si>
  <si>
    <t>Booky.fi Oy</t>
  </si>
  <si>
    <t>2131125-4</t>
  </si>
  <si>
    <t>0728151-1</t>
  </si>
  <si>
    <t>Suomen Palopäällystöliitto ry</t>
  </si>
  <si>
    <t>0202246-5</t>
  </si>
  <si>
    <t>AirWell Oy</t>
  </si>
  <si>
    <t>3311227-9</t>
  </si>
  <si>
    <t>NoHo Partners Oyj</t>
  </si>
  <si>
    <t>71952494-7</t>
  </si>
  <si>
    <t>Pedro Oy</t>
  </si>
  <si>
    <t>2039928-2</t>
  </si>
  <si>
    <t>Ikata/Graaf. suunn./oppilast.P</t>
  </si>
  <si>
    <t>Suodatinkeskus Suomi Oy</t>
  </si>
  <si>
    <t>2485703-3</t>
  </si>
  <si>
    <t>Lapland Hotels Lappi Oy</t>
  </si>
  <si>
    <t>2199747-9</t>
  </si>
  <si>
    <t>E. Ahlström Oy</t>
  </si>
  <si>
    <t>2570110-2</t>
  </si>
  <si>
    <t>Iisalmen Teräpalvelu Oy</t>
  </si>
  <si>
    <t>0576522-1</t>
  </si>
  <si>
    <t>Raitala Music Oy</t>
  </si>
  <si>
    <t>2820057-3</t>
  </si>
  <si>
    <t>Raimo Olkkonen Oy</t>
  </si>
  <si>
    <t>1031490-0</t>
  </si>
  <si>
    <t>New Tide Oy</t>
  </si>
  <si>
    <t>2693945-4</t>
  </si>
  <si>
    <t>KOY Tampereen Monitoimiareena</t>
  </si>
  <si>
    <t>2792951-4</t>
  </si>
  <si>
    <t>Akun Tehdas Oy</t>
  </si>
  <si>
    <t>2238644-2</t>
  </si>
  <si>
    <t>Marikan Kukkaputiikki Oy</t>
  </si>
  <si>
    <t>2610437-7</t>
  </si>
  <si>
    <t>Beanflow Oy</t>
  </si>
  <si>
    <t>3536225-5</t>
  </si>
  <si>
    <t>Pirkanmaan Lounaskahvilat Oy</t>
  </si>
  <si>
    <t>1528794-8</t>
  </si>
  <si>
    <t>Puteli Oy</t>
  </si>
  <si>
    <t>1002147-0</t>
  </si>
  <si>
    <t>Tampere-talo Osakeyhtiö</t>
  </si>
  <si>
    <t>0706363-7</t>
  </si>
  <si>
    <t>Fabricol Oy</t>
  </si>
  <si>
    <t>2156406-7</t>
  </si>
  <si>
    <t>Zoro Ky/Think Today</t>
  </si>
  <si>
    <t>2152315-0</t>
  </si>
  <si>
    <t>Rauman Tehopakkaus Oy</t>
  </si>
  <si>
    <t>0921476-9</t>
  </si>
  <si>
    <t>Hitcon Oy</t>
  </si>
  <si>
    <t>0427204-6</t>
  </si>
  <si>
    <t>Tapals Oy</t>
  </si>
  <si>
    <t>0589742-7</t>
  </si>
  <si>
    <t>InCar Oy Ylöjärvi</t>
  </si>
  <si>
    <t>0829741-9</t>
  </si>
  <si>
    <t>Pohjois-Satakunnan Liikenne Oy</t>
  </si>
  <si>
    <t>2356135-3</t>
  </si>
  <si>
    <t>Ikata/3D-tul ja mall./opp PT</t>
  </si>
  <si>
    <t>SLÖJD-DETALJER I SKARA AKTIEBOLAG</t>
  </si>
  <si>
    <t>1624630-4</t>
  </si>
  <si>
    <t>Osuuskauppa Peeässä</t>
  </si>
  <si>
    <t>0864235-8</t>
  </si>
  <si>
    <t>VAK/Muu maks.palvelut.</t>
  </si>
  <si>
    <t>Alpo Viitaniemi Oy</t>
  </si>
  <si>
    <t>0975955-8</t>
  </si>
  <si>
    <t>NDT-Team Oy</t>
  </si>
  <si>
    <t>2196107-0</t>
  </si>
  <si>
    <t>Softatalo Aida Oy</t>
  </si>
  <si>
    <t>0992832-3</t>
  </si>
  <si>
    <t>Pirssi Hämäläinen Oy</t>
  </si>
  <si>
    <t>2927421-6</t>
  </si>
  <si>
    <t>Hidasta elämää Suomi Oy</t>
  </si>
  <si>
    <t>2634850-7</t>
  </si>
  <si>
    <t>Kustom Rug Finland Oy</t>
  </si>
  <si>
    <t>3388783-2</t>
  </si>
  <si>
    <t>Wolttinen Oy</t>
  </si>
  <si>
    <t>2655749-9</t>
  </si>
  <si>
    <t>PK-Osat Ky</t>
  </si>
  <si>
    <t>0652350-7</t>
  </si>
  <si>
    <t>Hotel Helsinki City Center Oy</t>
  </si>
  <si>
    <t>3433734-9</t>
  </si>
  <si>
    <t>Plasthill Oy</t>
  </si>
  <si>
    <t>1064726-2</t>
  </si>
  <si>
    <t>Finland Restaurants Oy</t>
  </si>
  <si>
    <t>2389639-9</t>
  </si>
  <si>
    <t>Pepper Catering Oy</t>
  </si>
  <si>
    <t>3232476-3</t>
  </si>
  <si>
    <t>Nellen Oy</t>
  </si>
  <si>
    <t>2128670-6</t>
  </si>
  <si>
    <t>Pyynikin Hiekkarannat Oy</t>
  </si>
  <si>
    <t>2902051-5</t>
  </si>
  <si>
    <t>Motoworks Finland Oy</t>
  </si>
  <si>
    <t>2334900-2</t>
  </si>
  <si>
    <t>Veho Oy Ab Tampere</t>
  </si>
  <si>
    <t>0115761-6</t>
  </si>
  <si>
    <t>Comfort Family Hotel Oy Ab</t>
  </si>
  <si>
    <t>1994968-9</t>
  </si>
  <si>
    <t>Suomen Saksanopettajat - Tysklärarna i Finland - Finnischer Deutschlehrerverban</t>
  </si>
  <si>
    <t>0217179-4</t>
  </si>
  <si>
    <t>Kamavaja Oy</t>
  </si>
  <si>
    <t>0708225-6</t>
  </si>
  <si>
    <t>Erikoistyö J. Koskinen Oy</t>
  </si>
  <si>
    <t>2183319-1</t>
  </si>
  <si>
    <t>KK Ilma Oy</t>
  </si>
  <si>
    <t>3470261-7</t>
  </si>
  <si>
    <t>Kansallinen Kirjakauppa Oy</t>
  </si>
  <si>
    <t>0141804-6</t>
  </si>
  <si>
    <t>M.Paalasmaa Oy</t>
  </si>
  <si>
    <t>2932267-9</t>
  </si>
  <si>
    <t>Nisula Forest Oy</t>
  </si>
  <si>
    <t>0584096-5</t>
  </si>
  <si>
    <t>TourBus Finland Oy</t>
  </si>
  <si>
    <t>1734514-4</t>
  </si>
  <si>
    <t>Rubio Monocoat Finland Oy</t>
  </si>
  <si>
    <t>3270037-8</t>
  </si>
  <si>
    <t>Kuljetus J &amp; T Laikko Oy</t>
  </si>
  <si>
    <t>2557810-8</t>
  </si>
  <si>
    <t>TKTO/Sisustus/oppilast. PT</t>
  </si>
  <si>
    <t>Veljekset Mattila Oy</t>
  </si>
  <si>
    <t>0158064-1</t>
  </si>
  <si>
    <t>TTS Kehitys Oy</t>
  </si>
  <si>
    <t>2128066-2</t>
  </si>
  <si>
    <t>AIP Pikamallinnus Oy</t>
  </si>
  <si>
    <t>2466384-5</t>
  </si>
  <si>
    <t>MeramaTec Oy</t>
  </si>
  <si>
    <t>0590971-5</t>
  </si>
  <si>
    <t>Koneboss Oy</t>
  </si>
  <si>
    <t>0141971-9</t>
  </si>
  <si>
    <t>Lauhatuotanto Oy</t>
  </si>
  <si>
    <t>1560741-1</t>
  </si>
  <si>
    <t>Neonpalvelu Oy</t>
  </si>
  <si>
    <t>0901362-5</t>
  </si>
  <si>
    <t>Ikata/Lasinpuhallus/oppilast.P</t>
  </si>
  <si>
    <t>Korpi Outdoors Oy</t>
  </si>
  <si>
    <t>3229312-7</t>
  </si>
  <si>
    <t>Expomatto Oy</t>
  </si>
  <si>
    <t>0696597-0</t>
  </si>
  <si>
    <t>Idhair Finland Oy</t>
  </si>
  <si>
    <t>1885241-2</t>
  </si>
  <si>
    <t>Ropna innovations osk</t>
  </si>
  <si>
    <t>3437234-7</t>
  </si>
  <si>
    <t>Doorway Finland Oy</t>
  </si>
  <si>
    <t>2487811-7</t>
  </si>
  <si>
    <t>Ikata/Huonekalujen stail.  PT</t>
  </si>
  <si>
    <t>Ikata/Lasinpuhallus AT/EAT</t>
  </si>
  <si>
    <t>Roosters House Oy</t>
  </si>
  <si>
    <t>3010559-1</t>
  </si>
  <si>
    <t>3D Import Company Finland</t>
  </si>
  <si>
    <t>3136027-9</t>
  </si>
  <si>
    <t>Taikinatassu Oy</t>
  </si>
  <si>
    <t>3436345-9</t>
  </si>
  <si>
    <t>Puhtaustieto PT Oy</t>
  </si>
  <si>
    <t>0721413-2</t>
  </si>
  <si>
    <t>Joensuun Kustannus Oy Yritysma</t>
  </si>
  <si>
    <t>1022232-8</t>
  </si>
  <si>
    <t>Oy Pamon Ab</t>
  </si>
  <si>
    <t>0975000-0</t>
  </si>
  <si>
    <t>Sitowise Oy</t>
  </si>
  <si>
    <t>2335445-0</t>
  </si>
  <si>
    <t>SafeAid Oy</t>
  </si>
  <si>
    <t>2758273-3</t>
  </si>
  <si>
    <t>UniqAir Oy</t>
  </si>
  <si>
    <t>2626040-9</t>
  </si>
  <si>
    <t>Honka Trading Oy</t>
  </si>
  <si>
    <t>0783453-4</t>
  </si>
  <si>
    <t>Visual Recycling Oy</t>
  </si>
  <si>
    <t>2423196-2</t>
  </si>
  <si>
    <t>Mestaripuuseppä Tingander Oy</t>
  </si>
  <si>
    <t>2757661-6</t>
  </si>
  <si>
    <t>Depend Cosmetic Oy</t>
  </si>
  <si>
    <t>0116088-2</t>
  </si>
  <si>
    <t>Tampereen Ilmastointimiehet Oy</t>
  </si>
  <si>
    <t>2000094-8</t>
  </si>
  <si>
    <t>Equine Innovations Oy Ltd</t>
  </si>
  <si>
    <t>2588058-5</t>
  </si>
  <si>
    <t>Parkanon Kodinkone Oy</t>
  </si>
  <si>
    <t>0604757-1</t>
  </si>
  <si>
    <t>Felt Faction Ky</t>
  </si>
  <si>
    <t>3413202-8</t>
  </si>
  <si>
    <t>Kantakievari Oy</t>
  </si>
  <si>
    <t>3472321-5</t>
  </si>
  <si>
    <t>Ilmastointitohtorit Oy</t>
  </si>
  <si>
    <t>2092313-6</t>
  </si>
  <si>
    <t>Kiitoskauppa Oy</t>
  </si>
  <si>
    <t>2933183-1</t>
  </si>
  <si>
    <t>Q-Kenkä Ky</t>
  </si>
  <si>
    <t>2045334-9</t>
  </si>
  <si>
    <t>Carneval Oy</t>
  </si>
  <si>
    <t>0673451-5</t>
  </si>
  <si>
    <t>Vanterä Oy</t>
  </si>
  <si>
    <t>0773892-1</t>
  </si>
  <si>
    <t>Ravintola Astor Oy</t>
  </si>
  <si>
    <t>0700729-9</t>
  </si>
  <si>
    <t>Tampereen Väripalvelu Oy</t>
  </si>
  <si>
    <t>2215930-3</t>
  </si>
  <si>
    <t>Duroy Beauty Oy</t>
  </si>
  <si>
    <t>3405737-1</t>
  </si>
  <si>
    <t>Lavikko, Lanka- ja käsityöliik</t>
  </si>
  <si>
    <t>1830825-7</t>
  </si>
  <si>
    <t>Sorella Oy</t>
  </si>
  <si>
    <t>0678312-2</t>
  </si>
  <si>
    <t>Sirkus Kumiankka Oy</t>
  </si>
  <si>
    <t>2289053-4</t>
  </si>
  <si>
    <t>Jukka Saari Oy</t>
  </si>
  <si>
    <t>3130079-4</t>
  </si>
  <si>
    <t>NLC Ferry Ab Oy</t>
  </si>
  <si>
    <t>2490732-8</t>
  </si>
  <si>
    <t>Sateen ääni Oy</t>
  </si>
  <si>
    <t>0549992-0</t>
  </si>
  <si>
    <t>Oulun Yrityskalusto Oy</t>
  </si>
  <si>
    <t>1983718-5</t>
  </si>
  <si>
    <t>JST Kuljetuspalvelut Oy</t>
  </si>
  <si>
    <t>2196994-5</t>
  </si>
  <si>
    <t>Suomen Taloushallintoliitto ry</t>
  </si>
  <si>
    <t>0116616-8</t>
  </si>
  <si>
    <t>Öljycenter Finland Oy</t>
  </si>
  <si>
    <t>2494106-7</t>
  </si>
  <si>
    <t>Helsingin Rauta Oy</t>
  </si>
  <si>
    <t>0176744-9</t>
  </si>
  <si>
    <t>TPA/Henk.kunnan ruokailu</t>
  </si>
  <si>
    <t>Konecon Oy</t>
  </si>
  <si>
    <t>2196943-5</t>
  </si>
  <si>
    <t>Vammaspaino Oy</t>
  </si>
  <si>
    <t>0144252-1</t>
  </si>
  <si>
    <t>Musacorner Oy</t>
  </si>
  <si>
    <t>2517402-3</t>
  </si>
  <si>
    <t>Tokki Oy</t>
  </si>
  <si>
    <t>2257910-5</t>
  </si>
  <si>
    <t>Sähkötyö Ari Heinonen Oy</t>
  </si>
  <si>
    <t>1542206-2</t>
  </si>
  <si>
    <t>Leguan Lifts Oy</t>
  </si>
  <si>
    <t>0793358-3</t>
  </si>
  <si>
    <t>Chipsters Food Oy Ab</t>
  </si>
  <si>
    <t>0109575-0</t>
  </si>
  <si>
    <t>Kasvihuonerakennus J &amp; P Kurki</t>
  </si>
  <si>
    <t>0913698-3</t>
  </si>
  <si>
    <t>TPA/opiskelijarav.myynti</t>
  </si>
  <si>
    <t>Hämeen Sähkö Oy</t>
  </si>
  <si>
    <t>1861826-3</t>
  </si>
  <si>
    <t>Ympäristörakennus Ahola Oy</t>
  </si>
  <si>
    <t>1833243-3</t>
  </si>
  <si>
    <t>Leppäkosken Sähkö Oy</t>
  </si>
  <si>
    <t>3086071-4</t>
  </si>
  <si>
    <t>Ruoveden Kukka- ja Hautauspalv</t>
  </si>
  <si>
    <t>2641367-1</t>
  </si>
  <si>
    <t>Calderys Finland Oy</t>
  </si>
  <si>
    <t>0114966-7</t>
  </si>
  <si>
    <t>Asianajotoimisto Facta Oy</t>
  </si>
  <si>
    <t>0923391-9</t>
  </si>
  <si>
    <t>0477690-6</t>
  </si>
  <si>
    <t>Smartblock Oy</t>
  </si>
  <si>
    <t>2725173-1</t>
  </si>
  <si>
    <t>Kulta-Center Jokela Oy</t>
  </si>
  <si>
    <t>0166661-3</t>
  </si>
  <si>
    <t>KILT Oy</t>
  </si>
  <si>
    <t>1054242-8</t>
  </si>
  <si>
    <t>Pirilän Kukkatalo Oy</t>
  </si>
  <si>
    <t>2426224-0</t>
  </si>
  <si>
    <t>Siemenkauppiaitten Yhdistys ry</t>
  </si>
  <si>
    <t>1480057-8</t>
  </si>
  <si>
    <t>Ruoto Oy</t>
  </si>
  <si>
    <t>2517147-1</t>
  </si>
  <si>
    <t>Asianajotoimisto Pouta Oy</t>
  </si>
  <si>
    <t>3525754-3</t>
  </si>
  <si>
    <t>TPA/Vuokratilat/Muut</t>
  </si>
  <si>
    <t>Aimo Park Finland Oy</t>
  </si>
  <si>
    <t>2208141-1</t>
  </si>
  <si>
    <t>SataSafety Oy</t>
  </si>
  <si>
    <t>2126860-4</t>
  </si>
  <si>
    <t>KWC Nordics Oy</t>
  </si>
  <si>
    <t>0958736-2</t>
  </si>
  <si>
    <t>FireSec Oy</t>
  </si>
  <si>
    <t>2997154-8</t>
  </si>
  <si>
    <t>Suomen Bioturva Oy</t>
  </si>
  <si>
    <t>0474051-6</t>
  </si>
  <si>
    <t>If Vahinkovakuutus Oyj, Suomen sivuliike</t>
  </si>
  <si>
    <t>1602149-8</t>
  </si>
  <si>
    <t>OP Yrityspankki Oyj</t>
  </si>
  <si>
    <t>0199920-7</t>
  </si>
  <si>
    <t>Yhteinen opetus/muu opp.huolto</t>
  </si>
  <si>
    <t>PirA/Muu oppilashuolto</t>
  </si>
  <si>
    <t>Ruoved lukio/Muu oppilashuolto</t>
  </si>
  <si>
    <t>Ikaalisten lukio/Muu opp.huol</t>
  </si>
  <si>
    <t>Yhtymäkokous</t>
  </si>
  <si>
    <t>Yht.palv/AikoAcadem.myynti</t>
  </si>
  <si>
    <t>Siemens Financial Services Ab</t>
  </si>
  <si>
    <t>2008697-2</t>
  </si>
  <si>
    <t>Novum Oy</t>
  </si>
  <si>
    <t>1445101-3</t>
  </si>
  <si>
    <t>SEB Kort Bank AB, Helsingin sl</t>
  </si>
  <si>
    <t>1597729-5</t>
  </si>
  <si>
    <t>S-Business Oy</t>
  </si>
  <si>
    <t>2389183-8</t>
  </si>
  <si>
    <t>VAK/Tilojen ja kal. vuokraus</t>
  </si>
  <si>
    <t>Rahoitus- ja pankkipalvelu</t>
  </si>
  <si>
    <t>Nets Denmark A/S FinnishBranch</t>
  </si>
  <si>
    <t>2858201-4</t>
  </si>
  <si>
    <t>Edenred Finland Oy</t>
  </si>
  <si>
    <t>1057825-2</t>
  </si>
  <si>
    <t>De Lage Landen Finans AB</t>
  </si>
  <si>
    <t>1921185-2</t>
  </si>
  <si>
    <t>Gamla Consulting Oy Playroll</t>
  </si>
  <si>
    <t>2067590-2</t>
  </si>
  <si>
    <t>Stipendit ja apurahat</t>
  </si>
  <si>
    <t>Paytrail Oyj</t>
  </si>
  <si>
    <t>2122839-7</t>
  </si>
  <si>
    <t>S-Pankki Oyj</t>
  </si>
  <si>
    <t>2557308-3</t>
  </si>
  <si>
    <t>Liikenne- ja viestintävirasto</t>
  </si>
  <si>
    <t>Välilliset verot</t>
  </si>
  <si>
    <t>2924753-3</t>
  </si>
  <si>
    <t>Ruokavirasto</t>
  </si>
  <si>
    <t>2911686-7</t>
  </si>
  <si>
    <t>Suomen valtio/Poliisihallitus</t>
  </si>
  <si>
    <t>2288666-6</t>
  </si>
  <si>
    <t>Opetushallitus</t>
  </si>
  <si>
    <t>2769790-1</t>
  </si>
  <si>
    <t>Sisä-Suomen Poliisilaitos</t>
  </si>
  <si>
    <t>Hätäkeskuslaitos</t>
  </si>
  <si>
    <t>2409452-3</t>
  </si>
  <si>
    <t>MSKK/AikoAcademylle myynti</t>
  </si>
  <si>
    <t>Valtiokonttori</t>
  </si>
  <si>
    <t>0245440-1</t>
  </si>
  <si>
    <t>Yleisradio Oy</t>
  </si>
  <si>
    <t>0215438-8</t>
  </si>
  <si>
    <t>LUPI/AikoAcademylle myynti</t>
  </si>
  <si>
    <t>Aluehallintovirasto</t>
  </si>
  <si>
    <t>2284140-9</t>
  </si>
  <si>
    <t>Rikosseuraamuslaitos</t>
  </si>
  <si>
    <t>0312081-7</t>
  </si>
  <si>
    <t>Leijona Catering Oy</t>
  </si>
  <si>
    <t>2449777-9</t>
  </si>
  <si>
    <t>Patentti- ja Rekisterihallitus</t>
  </si>
  <si>
    <t>0244683-1</t>
  </si>
  <si>
    <t>Hansel Oy</t>
  </si>
  <si>
    <t>0988084-1</t>
  </si>
  <si>
    <t>Maanmittauslaitos</t>
  </si>
  <si>
    <t>0245954-4</t>
  </si>
  <si>
    <t>TPA/Raca/Koul.ja os.myyntiPT</t>
  </si>
  <si>
    <t>Työterveyslaitos</t>
  </si>
  <si>
    <t>0220266-9</t>
  </si>
  <si>
    <t>Suomen valtio/Pirkanmaan käräj</t>
  </si>
  <si>
    <t>3006157-6</t>
  </si>
  <si>
    <t>Parkanon kaupunki</t>
  </si>
  <si>
    <t>0136311-0</t>
  </si>
  <si>
    <t>Kihniön kunta</t>
  </si>
  <si>
    <t>0133862-8</t>
  </si>
  <si>
    <t>Huittisten kaupunki</t>
  </si>
  <si>
    <t>0203762-4</t>
  </si>
  <si>
    <t>Ikaalisten kaupunki</t>
  </si>
  <si>
    <t>0203797-4</t>
  </si>
  <si>
    <t>Mänttä-Vilppulan kaupunki</t>
  </si>
  <si>
    <t>MSKK/Vuokratilat</t>
  </si>
  <si>
    <t>0157867-2</t>
  </si>
  <si>
    <t>Ruoveden kunta</t>
  </si>
  <si>
    <t>Ruoveden lukio/Vuokratilat</t>
  </si>
  <si>
    <t>0152842-1</t>
  </si>
  <si>
    <t>Kankaanpään kaupunki</t>
  </si>
  <si>
    <t>0133596-1</t>
  </si>
  <si>
    <t>Tampereen kaupunki</t>
  </si>
  <si>
    <t>0211675-2</t>
  </si>
  <si>
    <t>Sastamalan Vesi liikelaitos</t>
  </si>
  <si>
    <t>0144411-3</t>
  </si>
  <si>
    <t>HuKo/Tilojen ja kal.vuokr./Hui</t>
  </si>
  <si>
    <t>Lukio-opetuksen ost</t>
  </si>
  <si>
    <t>Hämeenkyrön kunta</t>
  </si>
  <si>
    <t>0132947-3</t>
  </si>
  <si>
    <t>Keuruun kaupunki</t>
  </si>
  <si>
    <t>0208388-2</t>
  </si>
  <si>
    <t>Karvian kunta</t>
  </si>
  <si>
    <t>0133735-0</t>
  </si>
  <si>
    <t>Pirkkalan kunta</t>
  </si>
  <si>
    <t>0152084-1</t>
  </si>
  <si>
    <t>Valkeakosken kaupunki</t>
  </si>
  <si>
    <t>0157568-2</t>
  </si>
  <si>
    <t>Säkylän Kunta</t>
  </si>
  <si>
    <t>0139937-5</t>
  </si>
  <si>
    <t>Sastamalan kaupunki</t>
  </si>
  <si>
    <t>Lohjan kaupunki</t>
  </si>
  <si>
    <t>1068322-0</t>
  </si>
  <si>
    <t>Kokemäen kaupunki</t>
  </si>
  <si>
    <t>0203925-9</t>
  </si>
  <si>
    <t>Maa- ja vesialueiden vuokrat</t>
  </si>
  <si>
    <t>Mikkelin kaupunki</t>
  </si>
  <si>
    <t>0165116-3</t>
  </si>
  <si>
    <t>Ikaalisten lukio/Vuokratilat</t>
  </si>
  <si>
    <t>Enn.maks ja kesk (aineettom.)</t>
  </si>
  <si>
    <t>Hyvinkään kaupunki</t>
  </si>
  <si>
    <t>0125866-0</t>
  </si>
  <si>
    <t>Turun kaupunki</t>
  </si>
  <si>
    <t>0204819-8</t>
  </si>
  <si>
    <t>Keskener maa- ja vesialue</t>
  </si>
  <si>
    <t>Virtain kaupunki</t>
  </si>
  <si>
    <t>0206333-9</t>
  </si>
  <si>
    <t>0204964-1</t>
  </si>
  <si>
    <t>Jyväskylän koulutuskuntayhtym</t>
  </si>
  <si>
    <t>0208201-1</t>
  </si>
  <si>
    <t>Luksia Länsi-Uudenmaan ky</t>
  </si>
  <si>
    <t>0203167-9</t>
  </si>
  <si>
    <t>Keski-Uudenmaan koulutuskuntay</t>
  </si>
  <si>
    <t>0213834-5</t>
  </si>
  <si>
    <t>Seinäjoen koulutuskuntayhtymä</t>
  </si>
  <si>
    <t>1007629-5</t>
  </si>
  <si>
    <t>Koulutuskeskus Salpaus -kuntay</t>
  </si>
  <si>
    <t>0993644-6</t>
  </si>
  <si>
    <t>Keski-Pohjanmaan koulutusyhtym</t>
  </si>
  <si>
    <t>0208916-8</t>
  </si>
  <si>
    <t>Rovaniemen Koulutuskuntayhtymä</t>
  </si>
  <si>
    <t>0973110-9</t>
  </si>
  <si>
    <t>Pohjois-Karjalan koulutuskunta</t>
  </si>
  <si>
    <t>0212371-7</t>
  </si>
  <si>
    <t>Tampereen Tilapalvelut Oy</t>
  </si>
  <si>
    <t>2863261-6</t>
  </si>
  <si>
    <t>Suomen Kuntaliitto ry</t>
  </si>
  <si>
    <t>0926151-4</t>
  </si>
  <si>
    <t>Muut yhteistoimintaosuudet</t>
  </si>
  <si>
    <t>Kunta- ja hyvinvointialuetyöna</t>
  </si>
  <si>
    <t>3222663-7</t>
  </si>
  <si>
    <t>Jyväskylän ammattikorkeakoulu</t>
  </si>
  <si>
    <t>1006550-2</t>
  </si>
  <si>
    <t>Hämeen ammattikorkeakoulu Oy</t>
  </si>
  <si>
    <t>2617489-3</t>
  </si>
  <si>
    <t>Työllisyysrahasto</t>
  </si>
  <si>
    <t>1098099-7</t>
  </si>
  <si>
    <t>Pirkanmaan hyvinvointialue</t>
  </si>
  <si>
    <t>3221308-6</t>
  </si>
  <si>
    <t>Tampereen korkeakoulusäätiö sr</t>
  </si>
  <si>
    <t>2844561-8</t>
  </si>
  <si>
    <t>Kuvataidekoulujen liitto ry</t>
  </si>
  <si>
    <t>0879889-7</t>
  </si>
  <si>
    <t>Tampereen Talouskoulun säätiö sr</t>
  </si>
  <si>
    <t>2769213-1</t>
  </si>
  <si>
    <t>Suomen Musiikkioppilaitosten l</t>
  </si>
  <si>
    <t>0291514-0</t>
  </si>
  <si>
    <t>Pohjola-Norden ry</t>
  </si>
  <si>
    <t>0201868-5</t>
  </si>
  <si>
    <t>Suomen Hippos Ry</t>
  </si>
  <si>
    <t>0116928-9</t>
  </si>
  <si>
    <t>Palkansaajienkoulutussäätiö sr</t>
  </si>
  <si>
    <t>0882817-9</t>
  </si>
  <si>
    <t>Suomen Näytelmäkirjailijat ja Käsikirjoittajat - Finlands Dramatiker och Manusf</t>
  </si>
  <si>
    <t>0202237-7</t>
  </si>
  <si>
    <t>Työturvallisuuskeskus ry</t>
  </si>
  <si>
    <t>0202500-9</t>
  </si>
  <si>
    <t>Sähköinsinööriliitto ry</t>
  </si>
  <si>
    <t>0117037-8</t>
  </si>
  <si>
    <t>Suomen ammatillisen koulutuksen kulttuuri- ja urheiluliitto, SAKU ry</t>
  </si>
  <si>
    <t>0158588-0</t>
  </si>
  <si>
    <t>Suomen Lasitaiteilijat LASITA ry</t>
  </si>
  <si>
    <t>2723307-4</t>
  </si>
  <si>
    <t>PSYKOLOGIANOPETTAJAT PSOP RY</t>
  </si>
  <si>
    <t>1787044-0</t>
  </si>
  <si>
    <t>Tampereen Aikuiskoulutussäätiö</t>
  </si>
  <si>
    <t>0155651-0</t>
  </si>
  <si>
    <t>Suomen Pelastusalan Keskusjärj</t>
  </si>
  <si>
    <t>0912934-5</t>
  </si>
  <si>
    <t>Satakunnan lammaskerho RY</t>
  </si>
  <si>
    <t>3050218-3</t>
  </si>
  <si>
    <t>Ylsi/Voionmaa/Tilojen ja kal.</t>
  </si>
  <si>
    <t>Käsi- ja taideteollisuusliitto</t>
  </si>
  <si>
    <t>0201527-3</t>
  </si>
  <si>
    <t>Ruoveden Kanoottipurjehtijat r</t>
  </si>
  <si>
    <t>1024286-3</t>
  </si>
  <si>
    <t>Tampereen seudun Työllistämisyhdistys Etappi ry</t>
  </si>
  <si>
    <t>Ilmavoimien reserviupseerikurssin oppilaat ry</t>
  </si>
  <si>
    <t>3409262-8</t>
  </si>
  <si>
    <t>Suomen ympäristöopisto Sykli</t>
  </si>
  <si>
    <t>0681365-1</t>
  </si>
  <si>
    <t>Rastor-instituutti ry</t>
  </si>
  <si>
    <t>0201689-0</t>
  </si>
  <si>
    <t>Hyötykasviyhdistys ry</t>
  </si>
  <si>
    <t>0669145-5</t>
  </si>
  <si>
    <t>Kasvinsuojeluseura ry</t>
  </si>
  <si>
    <t>0275942-4</t>
  </si>
  <si>
    <t>Pääkaupunkiseudun Partiosäätiö sr</t>
  </si>
  <si>
    <t>1802417-4</t>
  </si>
  <si>
    <t>SUOMEN MUUSIKKOJEN LIITTO RY</t>
  </si>
  <si>
    <t>0202229-7</t>
  </si>
  <si>
    <t>Hämeenkyrön Talviuimarit ry</t>
  </si>
  <si>
    <t>1846136-6</t>
  </si>
  <si>
    <t>Käsityö verkossa ry</t>
  </si>
  <si>
    <t>2621416-2</t>
  </si>
  <si>
    <t>Keski-Suomen ilmailumuseo</t>
  </si>
  <si>
    <t>0490281-0</t>
  </si>
  <si>
    <t>Löylynlyöjät ry</t>
  </si>
  <si>
    <t>1090387-9</t>
  </si>
  <si>
    <t>Keurusselän nuorkauppakamari</t>
  </si>
  <si>
    <t>3044394-5</t>
  </si>
  <si>
    <t>AVA-Instituutin kannatusyhdist</t>
  </si>
  <si>
    <t>0211060-9</t>
  </si>
  <si>
    <t>Skills Finland ry</t>
  </si>
  <si>
    <t>1085970-8</t>
  </si>
  <si>
    <t>Helsinki Business College Oy</t>
  </si>
  <si>
    <t>2162576-3</t>
  </si>
  <si>
    <t>Kankaanpään Opisto</t>
  </si>
  <si>
    <t>Yhteinen opetus/Terv. ja hyv A</t>
  </si>
  <si>
    <t>0280690-5</t>
  </si>
  <si>
    <t>Kansalaisopistojen liitto Kol</t>
  </si>
  <si>
    <t>0201433-4</t>
  </si>
  <si>
    <t>Ahlmanin koulun säätiö</t>
  </si>
  <si>
    <t>0155402-1</t>
  </si>
  <si>
    <t>Eräjärven Työväen Näyttämö ry</t>
  </si>
  <si>
    <t>1108198-5</t>
  </si>
  <si>
    <t>Satakunnan Karjakerho ry</t>
  </si>
  <si>
    <t>0426211-2</t>
  </si>
  <si>
    <t>Opetusalan ammattijärj OAJ ry</t>
  </si>
  <si>
    <t>0116769-7</t>
  </si>
  <si>
    <t>Ruoveden lukion op.kunn.</t>
  </si>
  <si>
    <t>IKAALISTEN WANHAN KAUPPALAN KOTISEUTUYHDISTYS OMA TUPA RY</t>
  </si>
  <si>
    <t>1639592-4</t>
  </si>
  <si>
    <t>Filmihullu ry</t>
  </si>
  <si>
    <t>1018222-3</t>
  </si>
  <si>
    <t>Luomuliitto Ry</t>
  </si>
  <si>
    <t>0641419-1</t>
  </si>
  <si>
    <t>Pirkanmaan elokuvakeskus ry</t>
  </si>
  <si>
    <t>0580240-8</t>
  </si>
  <si>
    <t>Gösta Serlachiuksen taidesääti</t>
  </si>
  <si>
    <t>0151144-3</t>
  </si>
  <si>
    <t>Tähtitieteellinen yhdistys Tampereen Ursa ry.</t>
  </si>
  <si>
    <t>2082023-3</t>
  </si>
  <si>
    <t>Suomen Yrittäjäopisto</t>
  </si>
  <si>
    <t>0208850-1</t>
  </si>
  <si>
    <t>TAMPEREEN ELOKUVAJUHLAT TAMPERE FILM FESTIVAL RY</t>
  </si>
  <si>
    <t>0723831-0</t>
  </si>
  <si>
    <t>Okka-säätiö</t>
  </si>
  <si>
    <t>1098899-9</t>
  </si>
  <si>
    <t>Suomen Luontoyrittäjyysverkost</t>
  </si>
  <si>
    <t>1797439-7</t>
  </si>
  <si>
    <t>Alvar Aalto -säätiö</t>
  </si>
  <si>
    <t>0714145-5</t>
  </si>
  <si>
    <t>Sutemi Ry</t>
  </si>
  <si>
    <t>1047642-4</t>
  </si>
  <si>
    <t>Ylä-Satakunnan ympäristöyhdistys ry</t>
  </si>
  <si>
    <t>Muut avustukset yhteisöille</t>
  </si>
  <si>
    <t>2957673-2</t>
  </si>
  <si>
    <t>Suomen vanhan kirjallisuuden p</t>
  </si>
  <si>
    <t>0745664-1</t>
  </si>
  <si>
    <t>Suomen Kansanopistoyhdistys</t>
  </si>
  <si>
    <t>0202143-8</t>
  </si>
  <si>
    <t>Marjasuon Metsästysseura r.y.</t>
  </si>
  <si>
    <t>2694748-9</t>
  </si>
  <si>
    <t>Hämeenkyrön Osaran Martat ry</t>
  </si>
  <si>
    <t>3027214-6</t>
  </si>
  <si>
    <t>Suomen Kansanmusiikkiliitto</t>
  </si>
  <si>
    <t>0202253-7</t>
  </si>
  <si>
    <t>Veneskosken kyläyhdistys ry</t>
  </si>
  <si>
    <t>1555024-0</t>
  </si>
  <si>
    <t>Länsirannikon Koulutus Oy</t>
  </si>
  <si>
    <t>2245018-4</t>
  </si>
  <si>
    <t>Venesjärven maamiesseura</t>
  </si>
  <si>
    <t>0846834-5</t>
  </si>
  <si>
    <t>Poikkitaiteilijat ry</t>
  </si>
  <si>
    <t>3095592-4</t>
  </si>
  <si>
    <t>Pohjois-Parkanon Nuorisoseura</t>
  </si>
  <si>
    <t>0136331-3</t>
  </si>
  <si>
    <t>Koillis - Karvian Metsästysseura r.y.</t>
  </si>
  <si>
    <t>2341465-2</t>
  </si>
  <si>
    <t>Yhteinen/Skills kilpailut</t>
  </si>
  <si>
    <t>Lions Club Oripää Ry</t>
  </si>
  <si>
    <t>1049858-6</t>
  </si>
  <si>
    <t>Pirkanmaan kuvataideopettajat</t>
  </si>
  <si>
    <t>Svenska samskolan i Tammerfors</t>
  </si>
  <si>
    <t>0218219-4</t>
  </si>
  <si>
    <t>Kovesjoen kyläyhdistys ry</t>
  </si>
  <si>
    <t>1616650-7</t>
  </si>
  <si>
    <t>Syöpäpotilaiden hoitokotisääti</t>
  </si>
  <si>
    <t>0665679-9</t>
  </si>
  <si>
    <t>Varalan Säätiö</t>
  </si>
  <si>
    <t>0155689-5</t>
  </si>
  <si>
    <t>Elintarviketieteiden seura ry</t>
  </si>
  <si>
    <t>0986550-2</t>
  </si>
  <si>
    <t>Mll:n Hämeen Piiri ry</t>
  </si>
  <si>
    <t>0155471-8</t>
  </si>
  <si>
    <t>Pispalan saunayhdistys ry</t>
  </si>
  <si>
    <t>1458754-3</t>
  </si>
  <si>
    <t>TampereenTalviuimarit ry</t>
  </si>
  <si>
    <t>0155644-9</t>
  </si>
  <si>
    <t>Pirkanmaan musiikkiopisto</t>
  </si>
  <si>
    <t>0214461-4</t>
  </si>
  <si>
    <t>Varhaiskasv Opettajien liitto</t>
  </si>
  <si>
    <t>0201585-5</t>
  </si>
  <si>
    <t>Ikaalisten Urheilijat ry</t>
  </si>
  <si>
    <t>0133049-0</t>
  </si>
  <si>
    <t>Julkisal. koulut. neuvottelujä</t>
  </si>
  <si>
    <t>0987895-2</t>
  </si>
  <si>
    <t>Pohjois-Parkanon kyläseura ry</t>
  </si>
  <si>
    <t>1908118-9</t>
  </si>
  <si>
    <t>Snellman-Instituutti ry</t>
  </si>
  <si>
    <t>0870056-2</t>
  </si>
  <si>
    <t>Aikuislukioliitto ry</t>
  </si>
  <si>
    <t>1625172-8</t>
  </si>
  <si>
    <t>Kiipulasäätiö</t>
  </si>
  <si>
    <t>0147520-0</t>
  </si>
  <si>
    <t>Viherympäristöliitto ry</t>
  </si>
  <si>
    <t>1000370-7</t>
  </si>
  <si>
    <t>Niilo Mäki -säätiö</t>
  </si>
  <si>
    <t>0920779-6</t>
  </si>
  <si>
    <t>Arktiset Aromit ry</t>
  </si>
  <si>
    <t>1005061-8</t>
  </si>
  <si>
    <t>Orjapaaden Tieyhdistys</t>
  </si>
  <si>
    <t>Puutarhaliitto ry</t>
  </si>
  <si>
    <t>0201910-0</t>
  </si>
  <si>
    <t>Tridentti ry</t>
  </si>
  <si>
    <t>3038658-1</t>
  </si>
  <si>
    <t>Tampereen Sivistysyhdistys ry</t>
  </si>
  <si>
    <t>0906783-4</t>
  </si>
  <si>
    <t>Työväen Musiikkitapahtuma ry</t>
  </si>
  <si>
    <t>0869273-4</t>
  </si>
  <si>
    <t>Hämeen Liikunta ja Urheilu ry</t>
  </si>
  <si>
    <t>0954859-0</t>
  </si>
  <si>
    <t>Suomen Ilmailumuseosäätiö</t>
  </si>
  <si>
    <t>1442039-9</t>
  </si>
  <si>
    <t>Kotimaiset Kasvikset ry</t>
  </si>
  <si>
    <t>0816315-4</t>
  </si>
  <si>
    <t>Tampereen Teatteri</t>
  </si>
  <si>
    <t>0206172-0</t>
  </si>
  <si>
    <t>Suomen Urheiluliitto ry</t>
  </si>
  <si>
    <t>0202318-5</t>
  </si>
  <si>
    <t>Suomen Melonta- ja Soutuliitto</t>
  </si>
  <si>
    <t>2436130-2</t>
  </si>
  <si>
    <t>Katutaidetoimisto ry</t>
  </si>
  <si>
    <t>3515711-2</t>
  </si>
  <si>
    <t>Taito Pirkanmaa Ry</t>
  </si>
  <si>
    <t>0205929-2</t>
  </si>
  <si>
    <t>Kehitysvammaliitto ry</t>
  </si>
  <si>
    <t>0116608-8</t>
  </si>
  <si>
    <t>Suomen Oppisopimusosaajat ry</t>
  </si>
  <si>
    <t>1913010-4</t>
  </si>
  <si>
    <t>Kankaanpää Seura r.y.</t>
  </si>
  <si>
    <t>1496419-3</t>
  </si>
  <si>
    <t>Tanssiteatteri Mobita/Danscon</t>
  </si>
  <si>
    <t>0722372-5</t>
  </si>
  <si>
    <t>Parkano-Seura ry</t>
  </si>
  <si>
    <t>1076226-0</t>
  </si>
  <si>
    <t>Suomen lasimuseon ystävät ry</t>
  </si>
  <si>
    <t>0733928-5</t>
  </si>
  <si>
    <t>Liik ja terv.tiedon opettajat</t>
  </si>
  <si>
    <t>0202200-0</t>
  </si>
  <si>
    <t>Tampereen yliopiston kameraseura Vastavalo ry</t>
  </si>
  <si>
    <t>3176018-4</t>
  </si>
  <si>
    <t>Turun taideyhdistys</t>
  </si>
  <si>
    <t>0217567-2</t>
  </si>
  <si>
    <t>Tampereen Pyrintö r.y.</t>
  </si>
  <si>
    <t>0155615-8</t>
  </si>
  <si>
    <t>Suomen opinto-ohjaajat ry</t>
  </si>
  <si>
    <t>1530344-2</t>
  </si>
  <si>
    <t>Irti Maasta Oy</t>
  </si>
  <si>
    <t>2659037-9</t>
  </si>
  <si>
    <t>Hämeenkyrön vapaaehtoiset Rönsy ry</t>
  </si>
  <si>
    <t>2899620-9</t>
  </si>
  <si>
    <t>Leipätiedotus Ry</t>
  </si>
  <si>
    <t>0201598-6</t>
  </si>
  <si>
    <t>Suomen Helluntaikirkko</t>
  </si>
  <si>
    <t>2222014-3</t>
  </si>
  <si>
    <t>Kuluttajatiet.edistämisyhdisty</t>
  </si>
  <si>
    <t>2578683-9</t>
  </si>
  <si>
    <t>Tampereen kesäyliopisto</t>
  </si>
  <si>
    <t>0155581-7</t>
  </si>
  <si>
    <t>Pirkanmaan Kansanterveys ry</t>
  </si>
  <si>
    <t>0211653-3</t>
  </si>
  <si>
    <t>Myllyhoitoyhdistys ry</t>
  </si>
  <si>
    <t>0564313-6</t>
  </si>
  <si>
    <t>Ikaalisten Tennisseura r.y.</t>
  </si>
  <si>
    <t>1104998-5</t>
  </si>
  <si>
    <t>Sandelving Aerospace GmbH</t>
  </si>
  <si>
    <t>DE297129843</t>
  </si>
  <si>
    <t>Spezialglashutte Kugler Colors</t>
  </si>
  <si>
    <t>DE285275316</t>
  </si>
  <si>
    <t>Visma Plandisc A/S</t>
  </si>
  <si>
    <t>berlinbeads 2</t>
  </si>
  <si>
    <t>DE358779001</t>
  </si>
  <si>
    <t>JAK Eurotrading Ltd</t>
  </si>
  <si>
    <t>MT2402-9222</t>
  </si>
  <si>
    <t>Mobi Direkt UG</t>
  </si>
  <si>
    <t>DE323017089</t>
  </si>
  <si>
    <t>Sagitta Pedagog AB</t>
  </si>
  <si>
    <t>E-Tzik Fuerteventura S.L.</t>
  </si>
  <si>
    <t>B76213479</t>
  </si>
  <si>
    <t>Medeko Cast s.r.o</t>
  </si>
  <si>
    <t>SK2020439938</t>
  </si>
  <si>
    <t>Ibis Budget Hotel Wien Sankt Marx</t>
  </si>
  <si>
    <t>U72300949</t>
  </si>
  <si>
    <t>Tenstar Simulation Ab</t>
  </si>
  <si>
    <t>SE5567865570</t>
  </si>
  <si>
    <t>Thomann GmbH</t>
  </si>
  <si>
    <t>TGK GmbH</t>
  </si>
  <si>
    <t>DE126961272</t>
  </si>
  <si>
    <t>Europass SRL</t>
  </si>
  <si>
    <t>IK Upeslaci</t>
  </si>
  <si>
    <t>LV4240201385</t>
  </si>
  <si>
    <t>MARAWE GmbH &amp; Co. KG</t>
  </si>
  <si>
    <t>DE298627890</t>
  </si>
  <si>
    <t>Europass Teacher Academy</t>
  </si>
  <si>
    <t>IE3642930JH</t>
  </si>
  <si>
    <t>MIKC Latgales muzikas un makslas vidusskola</t>
  </si>
  <si>
    <t>Netinvet</t>
  </si>
  <si>
    <t>Jam V Products</t>
  </si>
  <si>
    <t>NL001783015B</t>
  </si>
  <si>
    <t>education mobility</t>
  </si>
  <si>
    <t>ESB95975751</t>
  </si>
  <si>
    <t>Castolin Scandinavia AB</t>
  </si>
  <si>
    <t>SE5560021080</t>
  </si>
  <si>
    <t>Parkhotel Neustadt</t>
  </si>
  <si>
    <t>DE305630812</t>
  </si>
  <si>
    <t>Barclay Hotell AS</t>
  </si>
  <si>
    <t>EE100035331</t>
  </si>
  <si>
    <t>Careerbridge Europe</t>
  </si>
  <si>
    <t>B09906645</t>
  </si>
  <si>
    <t>Kitman Thulema AS</t>
  </si>
  <si>
    <t>EE101740023</t>
  </si>
  <si>
    <t>Avaxa Plants B.V.</t>
  </si>
  <si>
    <t>NL857840630B</t>
  </si>
  <si>
    <t>Ai Lumi B&amp;B and holiday home</t>
  </si>
  <si>
    <t>Baltic Restaurants Estonia AS</t>
  </si>
  <si>
    <t>EE101174259</t>
  </si>
  <si>
    <t>Sinerconsult</t>
  </si>
  <si>
    <t>PT505153157</t>
  </si>
  <si>
    <t>Swan Training Institute</t>
  </si>
  <si>
    <t>STOWARZYSZENIE EDUKACJI ROLNICZEJ I LESNEJEUROPEA POLSKA</t>
  </si>
  <si>
    <t>Eesti Maaülikool</t>
  </si>
  <si>
    <t>EE100018015</t>
  </si>
  <si>
    <t>FermeTech</t>
  </si>
  <si>
    <t>EE101338558</t>
  </si>
  <si>
    <t>Lothar Walther Feinwerkzeugbau</t>
  </si>
  <si>
    <t>DE812138499</t>
  </si>
  <si>
    <t>OS ID Stallmästaren AB</t>
  </si>
  <si>
    <t>SE5565820148</t>
  </si>
  <si>
    <t>Servicon Sweden AB</t>
  </si>
  <si>
    <t>SE556611-967</t>
  </si>
  <si>
    <t>Prima Printer Nordic AB</t>
  </si>
  <si>
    <t>SE5569572927</t>
  </si>
  <si>
    <t>Education &amp; Mobility B</t>
  </si>
  <si>
    <t>Stage Malta Limited</t>
  </si>
  <si>
    <t>MT20664524</t>
  </si>
  <si>
    <t>Maiasmokk Oü</t>
  </si>
  <si>
    <t>EE100104518</t>
  </si>
  <si>
    <t>NL857935252B</t>
  </si>
  <si>
    <t>Expondo GmbH</t>
  </si>
  <si>
    <t>DE263760174</t>
  </si>
  <si>
    <t>Röda Tråden AB</t>
  </si>
  <si>
    <t>SE5564740354</t>
  </si>
  <si>
    <t>Piteå kommun</t>
  </si>
  <si>
    <t>SE2120002759</t>
  </si>
  <si>
    <t>TOIMITTAJAN NIMI</t>
  </si>
  <si>
    <t>KUNTAYHTYMÄN NIMI</t>
  </si>
  <si>
    <t>KUNTAYHTYMÄN Y-TUNNUS</t>
  </si>
  <si>
    <t>KIRJANPIDON TILI</t>
  </si>
  <si>
    <t>KOKONAISSUMMA</t>
  </si>
  <si>
    <t>TOIMITTAJAN Y-TUNNUS</t>
  </si>
  <si>
    <t>Apropos lingua-käännöststo</t>
  </si>
  <si>
    <t>2326867-5</t>
  </si>
  <si>
    <t>2745801-1</t>
  </si>
  <si>
    <t>Botnia Trailer</t>
  </si>
  <si>
    <t>0889260-5</t>
  </si>
  <si>
    <t>1947360-9</t>
  </si>
  <si>
    <t>3155982-7</t>
  </si>
  <si>
    <t>L&amp;T Siivous Oy</t>
  </si>
  <si>
    <t>Sisuline Oy</t>
  </si>
  <si>
    <t>2615891-4</t>
  </si>
  <si>
    <t>SASKY koulutuskuntayhtymä</t>
  </si>
  <si>
    <t xml:space="preserve">TOSITENUMERO </t>
  </si>
  <si>
    <t>KUSTANNUSPAIKAN NIMI</t>
  </si>
  <si>
    <t>KUSTANNUSPAIKAN NUMERO</t>
  </si>
  <si>
    <t>2942840-6</t>
  </si>
  <si>
    <t>Superior Sales Oy</t>
  </si>
  <si>
    <t>A. Honko Oy</t>
  </si>
  <si>
    <t>Finnpelti Oy</t>
  </si>
  <si>
    <t>1516241-6</t>
  </si>
  <si>
    <t>Ikaalisten Autovaruste Oy</t>
  </si>
  <si>
    <t>2418752-7</t>
  </si>
  <si>
    <t>KMV Ympäristöhuolto Oy</t>
  </si>
  <si>
    <t>3117030-1</t>
  </si>
  <si>
    <t>0974059-0</t>
  </si>
  <si>
    <t>1817910-9</t>
  </si>
  <si>
    <t>Maalauspalvelu Laine Oy</t>
  </si>
  <si>
    <t>Suomen Kukkatarvike</t>
  </si>
  <si>
    <t>Suomen Turvaopaste Oy</t>
  </si>
  <si>
    <t>3416542-8</t>
  </si>
  <si>
    <t>0905092-8</t>
  </si>
  <si>
    <t>Tamsam Oy</t>
  </si>
  <si>
    <t>3261562-4</t>
  </si>
  <si>
    <t>NL005402815B01</t>
  </si>
  <si>
    <t>Etelä-Suomen Media Oy</t>
  </si>
  <si>
    <t>1027957-8</t>
  </si>
  <si>
    <t>Keski-Suomen Media Oy</t>
  </si>
  <si>
    <t>Päijänne Media Oy</t>
  </si>
  <si>
    <t>C&amp;C Finland Oy</t>
  </si>
  <si>
    <t>Thinking Portfolio Oy</t>
  </si>
  <si>
    <t>Neova Oy</t>
  </si>
  <si>
    <t>OP Koti Satapirkka Oy LKV</t>
  </si>
  <si>
    <t>Kokemäen Liikenneopisto</t>
  </si>
  <si>
    <t>Capari Oy/Liikenneopisto</t>
  </si>
  <si>
    <t>VR Expert B.V.</t>
  </si>
  <si>
    <t>Hämeen Teräsasennus Oy</t>
  </si>
  <si>
    <t>Häfele SE &amp; Co KG</t>
  </si>
  <si>
    <t>Rouhia 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</si>
</sst>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4" fillId="0" borderId="0" xfId="0" applyFont="1"/>
    <xf numFmtId="0" fontId="14" fillId="33" borderId="0" xfId="0" applyFont="1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9" fillId="0" borderId="0" xfId="0" applyFont="1"/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18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3B48113-DC1E-43F8-881A-319B557AA313}" name="Taulukko4" displayName="Taulukko4" ref="A1:Q27113" totalsRowShown="0" headerRowDxfId="17">
  <autoFilter ref="A1:Q27113" xr:uid="{43B48113-DC1E-43F8-881A-319B557AA313}"/>
  <sortState xmlns:xlrd2="http://schemas.microsoft.com/office/spreadsheetml/2017/richdata2" ref="A2:Q27113">
    <sortCondition ref="E1:E27113"/>
  </sortState>
  <tableColumns count="17">
    <tableColumn id="1" xr3:uid="{B95A3196-4812-4FFE-BD22-95E6C968E410}" name="KUNTAYHTYMÄN NIMI" dataDxfId="16"/>
    <tableColumn id="2" xr3:uid="{8AE77176-1F40-4162-96C9-0EDA594FF58F}" name="KUNTAYHTYMÄN Y-TUNNUS" dataDxfId="15"/>
    <tableColumn id="4" xr3:uid="{13D3186C-6CA9-4D8D-8E4D-6960F6568832}" name="TOSITENUMERO " dataDxfId="14"/>
    <tableColumn id="5" xr3:uid="{916B12CC-B997-4E19-97F9-045C3DADD463}" name="LASKUN NUMERO" dataDxfId="13"/>
    <tableColumn id="7" xr3:uid="{860017CC-DA08-464C-9D40-F7CC554F8CB7}" name="TOIMITTAJAN NIMI" dataDxfId="12"/>
    <tableColumn id="8" xr3:uid="{BD8D6C51-BDA5-42AC-8262-574216FB0F03}" name="TOIMITTAJAN Y-TUNNUS" dataDxfId="11"/>
    <tableColumn id="9" xr3:uid="{2EA64DB5-FEBD-4507-9C2A-C0F8BC897E41}" name="RIVIN SUMMA" dataDxfId="10"/>
    <tableColumn id="10" xr3:uid="{F28DDCC5-EB20-4F27-AE31-FD5D33E4A3DF}" name="TOSITEPÄIVÄ" dataDxfId="9"/>
    <tableColumn id="11" xr3:uid="{48547D16-453D-4B32-B615-8FC0FD3049C2}" name="KIRJANPIDON TILI" dataDxfId="8"/>
    <tableColumn id="12" xr3:uid="{B3C83206-EEC1-458B-B382-83EB0F7346CE}" name="TILIN NIMI" dataDxfId="7"/>
    <tableColumn id="13" xr3:uid="{A4D5964B-32FE-4AD9-B04F-FD0ADCB782C1}" name="KOKONAISSUMMA" dataDxfId="6"/>
    <tableColumn id="14" xr3:uid="{F14658EB-3BE9-4282-9E3B-9598A6E8F809}" name="VERO RIVIN OSUUS" dataDxfId="5"/>
    <tableColumn id="15" xr3:uid="{4ED8068B-B479-4031-B5E0-D8DEA7E39F49}" name="KUSTANNUSPAIKAN NUMERO" dataDxfId="4"/>
    <tableColumn id="16" xr3:uid="{82126DB1-4A43-434E-B0E4-58592B7B145D}" name="KUSTANNUSPAIKAN NIMI" dataDxfId="3"/>
    <tableColumn id="17" xr3:uid="{FAF23DE0-8BEA-414A-BCCD-01E9039F1430}" name="TAPAHTUMAPÄIVÄ" dataDxfId="2"/>
    <tableColumn id="18" xr3:uid="{58D7E560-72AD-4751-A28A-E5262EA49154}" name="VEROTON RIVIN OSUUS" dataDxfId="1"/>
    <tableColumn id="23" xr3:uid="{B9C766CA-2F8E-4EA1-A662-D8400BADBDF6}" name="MA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2D887-F6FA-41F4-BB2C-AA24F753232E}">
  <dimension ref="A1:Q27113"/>
  <sheetViews>
    <sheetView tabSelected="1" topLeftCell="A27095" workbookViewId="0">
      <selection activeCell="Q27115" sqref="Q27115"/>
    </sheetView>
  </sheetViews>
  <sheetFormatPr defaultRowHeight="15" x14ac:dyDescent="0.25"/>
  <cols>
    <col min="1" max="1" width="27.5703125" customWidth="1"/>
    <col min="2" max="2" width="16.42578125" customWidth="1"/>
    <col min="3" max="3" width="15.42578125" customWidth="1"/>
    <col min="4" max="4" width="18.85546875" customWidth="1"/>
    <col min="5" max="5" width="38.42578125" customWidth="1"/>
    <col min="6" max="6" width="12.28515625" customWidth="1"/>
    <col min="7" max="7" width="15.28515625" customWidth="1"/>
    <col min="8" max="8" width="14.5703125" customWidth="1"/>
    <col min="9" max="9" width="21.28515625" customWidth="1"/>
    <col min="10" max="10" width="29" customWidth="1"/>
    <col min="11" max="12" width="20.28515625" customWidth="1"/>
    <col min="13" max="13" width="20.7109375" customWidth="1"/>
    <col min="14" max="14" width="25" customWidth="1"/>
    <col min="15" max="15" width="19.140625" customWidth="1"/>
    <col min="16" max="16" width="24.140625" customWidth="1"/>
  </cols>
  <sheetData>
    <row r="1" spans="1:17" s="3" customFormat="1" ht="30" x14ac:dyDescent="0.25">
      <c r="A1" s="5" t="s">
        <v>3281</v>
      </c>
      <c r="B1" s="5" t="s">
        <v>3282</v>
      </c>
      <c r="C1" s="5" t="s">
        <v>3297</v>
      </c>
      <c r="D1" s="5" t="s">
        <v>0</v>
      </c>
      <c r="E1" s="5" t="s">
        <v>3280</v>
      </c>
      <c r="F1" s="5" t="s">
        <v>3285</v>
      </c>
      <c r="G1" s="5" t="s">
        <v>3</v>
      </c>
      <c r="H1" s="5" t="s">
        <v>1</v>
      </c>
      <c r="I1" s="5" t="s">
        <v>3283</v>
      </c>
      <c r="J1" s="5" t="s">
        <v>6</v>
      </c>
      <c r="K1" s="5" t="s">
        <v>3284</v>
      </c>
      <c r="L1" s="5" t="s">
        <v>5</v>
      </c>
      <c r="M1" s="5" t="s">
        <v>3299</v>
      </c>
      <c r="N1" s="5" t="s">
        <v>3298</v>
      </c>
      <c r="O1" s="5" t="s">
        <v>2</v>
      </c>
      <c r="P1" s="5" t="s">
        <v>4</v>
      </c>
      <c r="Q1" s="6" t="s">
        <v>7</v>
      </c>
    </row>
    <row r="2" spans="1:17" x14ac:dyDescent="0.25">
      <c r="A2" t="s">
        <v>3296</v>
      </c>
      <c r="B2" t="s">
        <v>2931</v>
      </c>
      <c r="C2">
        <v>589</v>
      </c>
      <c r="D2" t="str">
        <f>"684910      "</f>
        <v xml:space="preserve">684910      </v>
      </c>
      <c r="E2" t="s">
        <v>501</v>
      </c>
      <c r="F2" t="s">
        <v>502</v>
      </c>
      <c r="G2">
        <v>457.64</v>
      </c>
      <c r="H2">
        <v>250116</v>
      </c>
      <c r="I2" s="7">
        <v>4366</v>
      </c>
      <c r="J2" t="s">
        <v>65</v>
      </c>
      <c r="K2">
        <v>457.64</v>
      </c>
      <c r="L2">
        <v>92.99</v>
      </c>
      <c r="M2">
        <v>13501</v>
      </c>
      <c r="N2" t="s">
        <v>66</v>
      </c>
      <c r="O2">
        <v>250124</v>
      </c>
      <c r="P2">
        <v>364.65</v>
      </c>
    </row>
    <row r="3" spans="1:17" x14ac:dyDescent="0.25">
      <c r="A3" t="s">
        <v>3296</v>
      </c>
      <c r="B3" t="s">
        <v>2931</v>
      </c>
      <c r="C3">
        <v>416</v>
      </c>
      <c r="D3" t="str">
        <f>"683325      "</f>
        <v xml:space="preserve">683325      </v>
      </c>
      <c r="E3" t="s">
        <v>501</v>
      </c>
      <c r="F3" t="s">
        <v>502</v>
      </c>
      <c r="G3">
        <v>12.2</v>
      </c>
      <c r="H3">
        <v>250115</v>
      </c>
      <c r="I3">
        <v>4369</v>
      </c>
      <c r="J3" t="s">
        <v>188</v>
      </c>
      <c r="K3">
        <v>12.2</v>
      </c>
      <c r="L3">
        <v>2.48</v>
      </c>
      <c r="M3">
        <v>13801</v>
      </c>
      <c r="N3" t="s">
        <v>33</v>
      </c>
      <c r="O3">
        <v>250122</v>
      </c>
      <c r="P3">
        <v>9.7200000000000006</v>
      </c>
    </row>
    <row r="4" spans="1:17" x14ac:dyDescent="0.25">
      <c r="A4" t="s">
        <v>3296</v>
      </c>
      <c r="B4" t="s">
        <v>2931</v>
      </c>
      <c r="C4">
        <v>12806</v>
      </c>
      <c r="D4" t="str">
        <f>"703820      "</f>
        <v xml:space="preserve">703820      </v>
      </c>
      <c r="E4" t="s">
        <v>501</v>
      </c>
      <c r="F4" t="s">
        <v>502</v>
      </c>
      <c r="G4">
        <v>25.1</v>
      </c>
      <c r="H4">
        <v>250924</v>
      </c>
      <c r="I4">
        <v>4369</v>
      </c>
      <c r="J4" t="s">
        <v>188</v>
      </c>
      <c r="K4">
        <v>25.1</v>
      </c>
      <c r="L4">
        <v>5.0999999999999996</v>
      </c>
      <c r="M4">
        <v>17711</v>
      </c>
      <c r="N4" t="s">
        <v>155</v>
      </c>
      <c r="O4">
        <v>250930</v>
      </c>
      <c r="P4">
        <v>20</v>
      </c>
    </row>
    <row r="5" spans="1:17" x14ac:dyDescent="0.25">
      <c r="A5" t="s">
        <v>3296</v>
      </c>
      <c r="B5" t="s">
        <v>2931</v>
      </c>
      <c r="C5">
        <v>9278</v>
      </c>
      <c r="D5" t="str">
        <f>"697533      "</f>
        <v xml:space="preserve">697533      </v>
      </c>
      <c r="E5" t="s">
        <v>501</v>
      </c>
      <c r="F5" t="s">
        <v>502</v>
      </c>
      <c r="G5">
        <v>200.8</v>
      </c>
      <c r="H5">
        <v>250625</v>
      </c>
      <c r="I5">
        <v>4420</v>
      </c>
      <c r="J5" t="s">
        <v>330</v>
      </c>
      <c r="K5">
        <v>301.2</v>
      </c>
      <c r="L5">
        <v>40.799999999999997</v>
      </c>
      <c r="M5">
        <v>14972</v>
      </c>
      <c r="N5" t="s">
        <v>82</v>
      </c>
      <c r="O5">
        <v>250701</v>
      </c>
      <c r="P5">
        <v>160</v>
      </c>
    </row>
    <row r="6" spans="1:17" x14ac:dyDescent="0.25">
      <c r="A6" t="s">
        <v>3296</v>
      </c>
      <c r="B6" t="s">
        <v>2931</v>
      </c>
      <c r="C6">
        <v>9278</v>
      </c>
      <c r="D6" t="str">
        <f>"697533      "</f>
        <v xml:space="preserve">697533      </v>
      </c>
      <c r="E6" t="s">
        <v>501</v>
      </c>
      <c r="F6" t="s">
        <v>502</v>
      </c>
      <c r="G6">
        <v>100.4</v>
      </c>
      <c r="H6">
        <v>250625</v>
      </c>
      <c r="I6">
        <v>4420</v>
      </c>
      <c r="J6" t="s">
        <v>330</v>
      </c>
      <c r="K6">
        <v>301.2</v>
      </c>
      <c r="L6">
        <v>20.399999999999999</v>
      </c>
      <c r="M6">
        <v>59504</v>
      </c>
      <c r="N6" t="s">
        <v>193</v>
      </c>
      <c r="O6">
        <v>250701</v>
      </c>
      <c r="P6">
        <v>80</v>
      </c>
    </row>
    <row r="7" spans="1:17" x14ac:dyDescent="0.25">
      <c r="A7" t="s">
        <v>3296</v>
      </c>
      <c r="B7" t="s">
        <v>2931</v>
      </c>
      <c r="C7">
        <v>517</v>
      </c>
      <c r="D7" t="str">
        <f>"686450      "</f>
        <v xml:space="preserve">686450      </v>
      </c>
      <c r="E7" t="s">
        <v>501</v>
      </c>
      <c r="F7" t="s">
        <v>502</v>
      </c>
      <c r="G7">
        <v>251</v>
      </c>
      <c r="H7">
        <v>250120</v>
      </c>
      <c r="I7">
        <v>4580</v>
      </c>
      <c r="J7" t="s">
        <v>126</v>
      </c>
      <c r="K7">
        <v>1204.8</v>
      </c>
      <c r="L7">
        <v>51</v>
      </c>
      <c r="M7">
        <v>14121</v>
      </c>
      <c r="N7" t="s">
        <v>71</v>
      </c>
      <c r="O7">
        <v>250123</v>
      </c>
      <c r="P7">
        <v>200</v>
      </c>
    </row>
    <row r="8" spans="1:17" x14ac:dyDescent="0.25">
      <c r="A8" t="s">
        <v>3296</v>
      </c>
      <c r="B8" t="s">
        <v>2931</v>
      </c>
      <c r="C8">
        <v>517</v>
      </c>
      <c r="D8" t="str">
        <f>"686450      "</f>
        <v xml:space="preserve">686450      </v>
      </c>
      <c r="E8" t="s">
        <v>501</v>
      </c>
      <c r="F8" t="s">
        <v>502</v>
      </c>
      <c r="G8">
        <v>702.8</v>
      </c>
      <c r="H8">
        <v>250120</v>
      </c>
      <c r="I8">
        <v>4580</v>
      </c>
      <c r="J8" t="s">
        <v>126</v>
      </c>
      <c r="K8">
        <v>1204.8</v>
      </c>
      <c r="L8">
        <v>142.80000000000001</v>
      </c>
      <c r="M8">
        <v>14422</v>
      </c>
      <c r="N8" t="s">
        <v>73</v>
      </c>
      <c r="O8">
        <v>250123</v>
      </c>
      <c r="P8">
        <v>560</v>
      </c>
    </row>
    <row r="9" spans="1:17" x14ac:dyDescent="0.25">
      <c r="A9" t="s">
        <v>3296</v>
      </c>
      <c r="B9" t="s">
        <v>2931</v>
      </c>
      <c r="C9">
        <v>517</v>
      </c>
      <c r="D9" t="str">
        <f>"686450      "</f>
        <v xml:space="preserve">686450      </v>
      </c>
      <c r="E9" t="s">
        <v>501</v>
      </c>
      <c r="F9" t="s">
        <v>502</v>
      </c>
      <c r="G9">
        <v>251</v>
      </c>
      <c r="H9">
        <v>250120</v>
      </c>
      <c r="I9">
        <v>4580</v>
      </c>
      <c r="J9" t="s">
        <v>126</v>
      </c>
      <c r="K9">
        <v>1204.8</v>
      </c>
      <c r="L9">
        <v>51</v>
      </c>
      <c r="M9">
        <v>14640</v>
      </c>
      <c r="N9" t="s">
        <v>78</v>
      </c>
      <c r="O9">
        <v>250123</v>
      </c>
      <c r="P9">
        <v>200</v>
      </c>
    </row>
    <row r="10" spans="1:17" x14ac:dyDescent="0.25">
      <c r="A10" t="s">
        <v>3296</v>
      </c>
      <c r="B10" t="s">
        <v>2931</v>
      </c>
      <c r="C10">
        <v>790</v>
      </c>
      <c r="D10" t="str">
        <f>"686451      "</f>
        <v xml:space="preserve">686451      </v>
      </c>
      <c r="E10" t="s">
        <v>501</v>
      </c>
      <c r="F10" t="s">
        <v>502</v>
      </c>
      <c r="G10">
        <v>200.8</v>
      </c>
      <c r="H10">
        <v>250120</v>
      </c>
      <c r="I10">
        <v>4580</v>
      </c>
      <c r="J10" t="s">
        <v>126</v>
      </c>
      <c r="K10">
        <v>200.8</v>
      </c>
      <c r="L10">
        <v>40.799999999999997</v>
      </c>
      <c r="M10">
        <v>18982</v>
      </c>
      <c r="N10" t="s">
        <v>736</v>
      </c>
      <c r="O10">
        <v>250129</v>
      </c>
      <c r="P10">
        <v>160</v>
      </c>
    </row>
    <row r="11" spans="1:17" x14ac:dyDescent="0.25">
      <c r="A11" t="s">
        <v>3296</v>
      </c>
      <c r="B11" t="s">
        <v>2931</v>
      </c>
      <c r="C11">
        <v>1569</v>
      </c>
      <c r="D11" t="str">
        <f>"686453      "</f>
        <v xml:space="preserve">686453      </v>
      </c>
      <c r="E11" t="s">
        <v>501</v>
      </c>
      <c r="F11" t="s">
        <v>502</v>
      </c>
      <c r="G11">
        <v>150.6</v>
      </c>
      <c r="H11">
        <v>250120</v>
      </c>
      <c r="I11">
        <v>4580</v>
      </c>
      <c r="J11" t="s">
        <v>126</v>
      </c>
      <c r="K11">
        <v>502</v>
      </c>
      <c r="L11">
        <v>30.6</v>
      </c>
      <c r="M11">
        <v>56566</v>
      </c>
      <c r="N11" t="s">
        <v>58</v>
      </c>
      <c r="O11">
        <v>250211</v>
      </c>
      <c r="P11">
        <v>120</v>
      </c>
    </row>
    <row r="12" spans="1:17" x14ac:dyDescent="0.25">
      <c r="A12" t="s">
        <v>3296</v>
      </c>
      <c r="B12" t="s">
        <v>2931</v>
      </c>
      <c r="C12">
        <v>1569</v>
      </c>
      <c r="D12" t="str">
        <f>"686453      "</f>
        <v xml:space="preserve">686453      </v>
      </c>
      <c r="E12" t="s">
        <v>501</v>
      </c>
      <c r="F12" t="s">
        <v>502</v>
      </c>
      <c r="G12">
        <v>200.8</v>
      </c>
      <c r="H12">
        <v>250120</v>
      </c>
      <c r="I12">
        <v>4580</v>
      </c>
      <c r="J12" t="s">
        <v>126</v>
      </c>
      <c r="K12">
        <v>502</v>
      </c>
      <c r="L12">
        <v>40.799999999999997</v>
      </c>
      <c r="M12">
        <v>58601</v>
      </c>
      <c r="N12" t="s">
        <v>59</v>
      </c>
      <c r="O12">
        <v>250211</v>
      </c>
      <c r="P12">
        <v>160</v>
      </c>
    </row>
    <row r="13" spans="1:17" x14ac:dyDescent="0.25">
      <c r="A13" t="s">
        <v>3296</v>
      </c>
      <c r="B13" t="s">
        <v>2931</v>
      </c>
      <c r="C13">
        <v>1569</v>
      </c>
      <c r="D13" t="str">
        <f>"686453      "</f>
        <v xml:space="preserve">686453      </v>
      </c>
      <c r="E13" t="s">
        <v>501</v>
      </c>
      <c r="F13" t="s">
        <v>502</v>
      </c>
      <c r="G13">
        <v>150.6</v>
      </c>
      <c r="H13">
        <v>250120</v>
      </c>
      <c r="I13">
        <v>4580</v>
      </c>
      <c r="J13" t="s">
        <v>126</v>
      </c>
      <c r="K13">
        <v>502</v>
      </c>
      <c r="L13">
        <v>30.6</v>
      </c>
      <c r="M13">
        <v>59701</v>
      </c>
      <c r="N13" t="s">
        <v>64</v>
      </c>
      <c r="O13">
        <v>250211</v>
      </c>
      <c r="P13">
        <v>120</v>
      </c>
    </row>
    <row r="14" spans="1:17" x14ac:dyDescent="0.25">
      <c r="A14" t="s">
        <v>3296</v>
      </c>
      <c r="B14" t="s">
        <v>2931</v>
      </c>
      <c r="C14">
        <v>6160</v>
      </c>
      <c r="D14" t="str">
        <f>"693626      "</f>
        <v xml:space="preserve">693626      </v>
      </c>
      <c r="E14" t="s">
        <v>501</v>
      </c>
      <c r="F14" t="s">
        <v>502</v>
      </c>
      <c r="G14">
        <v>464.35</v>
      </c>
      <c r="H14">
        <v>250424</v>
      </c>
      <c r="I14">
        <v>4580</v>
      </c>
      <c r="J14" t="s">
        <v>126</v>
      </c>
      <c r="K14">
        <v>464.35</v>
      </c>
      <c r="L14">
        <v>94.35</v>
      </c>
      <c r="M14">
        <v>11801</v>
      </c>
      <c r="N14" t="s">
        <v>40</v>
      </c>
      <c r="O14">
        <v>250509</v>
      </c>
      <c r="P14">
        <v>370</v>
      </c>
    </row>
    <row r="15" spans="1:17" x14ac:dyDescent="0.25">
      <c r="A15" t="s">
        <v>3296</v>
      </c>
      <c r="B15" t="s">
        <v>2931</v>
      </c>
      <c r="C15">
        <v>6162</v>
      </c>
      <c r="D15" t="str">
        <f>"693625      "</f>
        <v xml:space="preserve">693625      </v>
      </c>
      <c r="E15" t="s">
        <v>501</v>
      </c>
      <c r="F15" t="s">
        <v>502</v>
      </c>
      <c r="G15">
        <v>1255</v>
      </c>
      <c r="H15">
        <v>250424</v>
      </c>
      <c r="I15">
        <v>4580</v>
      </c>
      <c r="J15" t="s">
        <v>126</v>
      </c>
      <c r="K15">
        <v>1443.25</v>
      </c>
      <c r="L15">
        <v>255</v>
      </c>
      <c r="M15">
        <v>65222</v>
      </c>
      <c r="N15" t="s">
        <v>87</v>
      </c>
      <c r="O15">
        <v>250509</v>
      </c>
      <c r="P15">
        <v>1000</v>
      </c>
    </row>
    <row r="16" spans="1:17" x14ac:dyDescent="0.25">
      <c r="A16" t="s">
        <v>3296</v>
      </c>
      <c r="B16" t="s">
        <v>2931</v>
      </c>
      <c r="C16">
        <v>6162</v>
      </c>
      <c r="D16" t="str">
        <f>"693625      "</f>
        <v xml:space="preserve">693625      </v>
      </c>
      <c r="E16" t="s">
        <v>501</v>
      </c>
      <c r="F16" t="s">
        <v>502</v>
      </c>
      <c r="G16">
        <v>188.25</v>
      </c>
      <c r="H16">
        <v>250424</v>
      </c>
      <c r="I16">
        <v>4580</v>
      </c>
      <c r="J16" t="s">
        <v>126</v>
      </c>
      <c r="K16">
        <v>1443.25</v>
      </c>
      <c r="L16">
        <v>38.25</v>
      </c>
      <c r="M16">
        <v>66754</v>
      </c>
      <c r="N16" t="s">
        <v>119</v>
      </c>
      <c r="O16">
        <v>250509</v>
      </c>
      <c r="P16">
        <v>150</v>
      </c>
    </row>
    <row r="17" spans="1:16" x14ac:dyDescent="0.25">
      <c r="A17" t="s">
        <v>3296</v>
      </c>
      <c r="B17" t="s">
        <v>2931</v>
      </c>
      <c r="C17">
        <v>9889</v>
      </c>
      <c r="D17" t="str">
        <f>"700917      "</f>
        <v xml:space="preserve">700917      </v>
      </c>
      <c r="E17" t="s">
        <v>501</v>
      </c>
      <c r="F17" t="s">
        <v>502</v>
      </c>
      <c r="G17">
        <v>175.7</v>
      </c>
      <c r="H17">
        <v>250717</v>
      </c>
      <c r="I17">
        <v>4580</v>
      </c>
      <c r="J17" t="s">
        <v>126</v>
      </c>
      <c r="K17">
        <v>175.7</v>
      </c>
      <c r="L17">
        <v>35.700000000000003</v>
      </c>
      <c r="M17">
        <v>11101</v>
      </c>
      <c r="N17" t="s">
        <v>67</v>
      </c>
      <c r="O17">
        <v>250801</v>
      </c>
      <c r="P17">
        <v>140</v>
      </c>
    </row>
    <row r="18" spans="1:16" x14ac:dyDescent="0.25">
      <c r="A18" t="s">
        <v>3296</v>
      </c>
      <c r="B18" t="s">
        <v>2931</v>
      </c>
      <c r="C18">
        <v>9890</v>
      </c>
      <c r="D18" t="str">
        <f>"700914      "</f>
        <v xml:space="preserve">700914      </v>
      </c>
      <c r="E18" t="s">
        <v>501</v>
      </c>
      <c r="F18" t="s">
        <v>502</v>
      </c>
      <c r="G18">
        <v>188.25</v>
      </c>
      <c r="H18">
        <v>250717</v>
      </c>
      <c r="I18">
        <v>4580</v>
      </c>
      <c r="J18" t="s">
        <v>126</v>
      </c>
      <c r="K18">
        <v>363.95</v>
      </c>
      <c r="L18">
        <v>38.25</v>
      </c>
      <c r="M18">
        <v>46222</v>
      </c>
      <c r="N18" t="s">
        <v>101</v>
      </c>
      <c r="O18">
        <v>250801</v>
      </c>
      <c r="P18">
        <v>150</v>
      </c>
    </row>
    <row r="19" spans="1:16" x14ac:dyDescent="0.25">
      <c r="A19" t="s">
        <v>3296</v>
      </c>
      <c r="B19" t="s">
        <v>2931</v>
      </c>
      <c r="C19">
        <v>9890</v>
      </c>
      <c r="D19" t="str">
        <f>"700914      "</f>
        <v xml:space="preserve">700914      </v>
      </c>
      <c r="E19" t="s">
        <v>501</v>
      </c>
      <c r="F19" t="s">
        <v>502</v>
      </c>
      <c r="G19">
        <v>175.7</v>
      </c>
      <c r="H19">
        <v>250717</v>
      </c>
      <c r="I19">
        <v>4580</v>
      </c>
      <c r="J19" t="s">
        <v>126</v>
      </c>
      <c r="K19">
        <v>363.95</v>
      </c>
      <c r="L19">
        <v>35.700000000000003</v>
      </c>
      <c r="M19">
        <v>46555</v>
      </c>
      <c r="N19" t="s">
        <v>103</v>
      </c>
      <c r="O19">
        <v>250801</v>
      </c>
      <c r="P19">
        <v>140</v>
      </c>
    </row>
    <row r="20" spans="1:16" x14ac:dyDescent="0.25">
      <c r="A20" t="s">
        <v>3296</v>
      </c>
      <c r="B20" t="s">
        <v>2931</v>
      </c>
      <c r="C20">
        <v>9913</v>
      </c>
      <c r="D20" t="str">
        <f>"700916      "</f>
        <v xml:space="preserve">700916      </v>
      </c>
      <c r="E20" t="s">
        <v>501</v>
      </c>
      <c r="F20" t="s">
        <v>502</v>
      </c>
      <c r="G20">
        <v>251</v>
      </c>
      <c r="H20">
        <v>250717</v>
      </c>
      <c r="I20">
        <v>4580</v>
      </c>
      <c r="J20" t="s">
        <v>126</v>
      </c>
      <c r="K20">
        <v>251</v>
      </c>
      <c r="L20">
        <v>51</v>
      </c>
      <c r="M20">
        <v>53222</v>
      </c>
      <c r="N20" t="s">
        <v>41</v>
      </c>
      <c r="O20">
        <v>250804</v>
      </c>
      <c r="P20">
        <v>200</v>
      </c>
    </row>
    <row r="21" spans="1:16" x14ac:dyDescent="0.25">
      <c r="A21" t="s">
        <v>3296</v>
      </c>
      <c r="B21" t="s">
        <v>2931</v>
      </c>
      <c r="C21">
        <v>9975</v>
      </c>
      <c r="D21" t="str">
        <f>"700915      "</f>
        <v xml:space="preserve">700915      </v>
      </c>
      <c r="E21" t="s">
        <v>501</v>
      </c>
      <c r="F21" t="s">
        <v>502</v>
      </c>
      <c r="G21">
        <v>100.4</v>
      </c>
      <c r="H21">
        <v>250701</v>
      </c>
      <c r="I21">
        <v>4580</v>
      </c>
      <c r="J21" t="s">
        <v>126</v>
      </c>
      <c r="K21">
        <v>301.2</v>
      </c>
      <c r="L21">
        <v>20.399999999999999</v>
      </c>
      <c r="M21">
        <v>13540</v>
      </c>
      <c r="N21" t="s">
        <v>131</v>
      </c>
      <c r="O21">
        <v>250806</v>
      </c>
      <c r="P21">
        <v>80</v>
      </c>
    </row>
    <row r="22" spans="1:16" x14ac:dyDescent="0.25">
      <c r="A22" t="s">
        <v>3296</v>
      </c>
      <c r="B22" t="s">
        <v>2931</v>
      </c>
      <c r="C22">
        <v>9975</v>
      </c>
      <c r="D22" t="str">
        <f>"700915      "</f>
        <v xml:space="preserve">700915      </v>
      </c>
      <c r="E22" t="s">
        <v>501</v>
      </c>
      <c r="F22" t="s">
        <v>502</v>
      </c>
      <c r="G22">
        <v>200.8</v>
      </c>
      <c r="H22">
        <v>250701</v>
      </c>
      <c r="I22">
        <v>4580</v>
      </c>
      <c r="J22" t="s">
        <v>126</v>
      </c>
      <c r="K22">
        <v>301.2</v>
      </c>
      <c r="L22">
        <v>40.799999999999997</v>
      </c>
      <c r="M22">
        <v>17950</v>
      </c>
      <c r="N22" t="s">
        <v>132</v>
      </c>
      <c r="O22">
        <v>250806</v>
      </c>
      <c r="P22">
        <v>160</v>
      </c>
    </row>
    <row r="23" spans="1:16" x14ac:dyDescent="0.25">
      <c r="A23" t="s">
        <v>3296</v>
      </c>
      <c r="B23" t="s">
        <v>2931</v>
      </c>
      <c r="C23">
        <v>14187</v>
      </c>
      <c r="D23" t="str">
        <f>"707797      "</f>
        <v xml:space="preserve">707797      </v>
      </c>
      <c r="E23" t="s">
        <v>501</v>
      </c>
      <c r="F23" t="s">
        <v>502</v>
      </c>
      <c r="G23">
        <v>112.95</v>
      </c>
      <c r="H23">
        <v>251021</v>
      </c>
      <c r="I23">
        <v>4580</v>
      </c>
      <c r="J23" t="s">
        <v>126</v>
      </c>
      <c r="K23">
        <v>112.95</v>
      </c>
      <c r="L23">
        <v>22.95</v>
      </c>
      <c r="M23">
        <v>69702</v>
      </c>
      <c r="N23" t="s">
        <v>124</v>
      </c>
      <c r="O23">
        <v>251024</v>
      </c>
      <c r="P23">
        <v>90</v>
      </c>
    </row>
    <row r="24" spans="1:16" x14ac:dyDescent="0.25">
      <c r="A24" t="s">
        <v>3296</v>
      </c>
      <c r="B24" t="s">
        <v>2931</v>
      </c>
      <c r="C24">
        <v>14334</v>
      </c>
      <c r="D24" t="str">
        <f>"707798      "</f>
        <v xml:space="preserve">707798      </v>
      </c>
      <c r="E24" t="s">
        <v>501</v>
      </c>
      <c r="F24" t="s">
        <v>502</v>
      </c>
      <c r="G24">
        <v>87.85</v>
      </c>
      <c r="H24">
        <v>251021</v>
      </c>
      <c r="I24">
        <v>4580</v>
      </c>
      <c r="J24" t="s">
        <v>126</v>
      </c>
      <c r="K24">
        <v>87.85</v>
      </c>
      <c r="L24">
        <v>17.850000000000001</v>
      </c>
      <c r="M24">
        <v>13401</v>
      </c>
      <c r="N24" t="s">
        <v>10</v>
      </c>
      <c r="O24">
        <v>251029</v>
      </c>
      <c r="P24">
        <v>70</v>
      </c>
    </row>
    <row r="25" spans="1:16" x14ac:dyDescent="0.25">
      <c r="A25" t="s">
        <v>3296</v>
      </c>
      <c r="B25" t="s">
        <v>2931</v>
      </c>
      <c r="C25">
        <v>14338</v>
      </c>
      <c r="D25" t="str">
        <f>"707799      "</f>
        <v xml:space="preserve">707799      </v>
      </c>
      <c r="E25" t="s">
        <v>501</v>
      </c>
      <c r="F25" t="s">
        <v>502</v>
      </c>
      <c r="G25">
        <v>175.7</v>
      </c>
      <c r="H25">
        <v>251021</v>
      </c>
      <c r="I25">
        <v>4580</v>
      </c>
      <c r="J25" t="s">
        <v>126</v>
      </c>
      <c r="K25">
        <v>175.7</v>
      </c>
      <c r="L25">
        <v>35.700000000000003</v>
      </c>
      <c r="M25">
        <v>46222</v>
      </c>
      <c r="N25" t="s">
        <v>101</v>
      </c>
      <c r="O25">
        <v>251029</v>
      </c>
      <c r="P25">
        <v>140</v>
      </c>
    </row>
    <row r="26" spans="1:16" x14ac:dyDescent="0.25">
      <c r="A26" t="s">
        <v>3296</v>
      </c>
      <c r="B26" t="s">
        <v>2931</v>
      </c>
      <c r="C26">
        <v>619</v>
      </c>
      <c r="D26" t="str">
        <f>"682337      "</f>
        <v xml:space="preserve">682337      </v>
      </c>
      <c r="E26" t="s">
        <v>501</v>
      </c>
      <c r="F26" t="s">
        <v>502</v>
      </c>
      <c r="G26">
        <v>31.37</v>
      </c>
      <c r="H26">
        <v>250101</v>
      </c>
      <c r="I26">
        <v>4600</v>
      </c>
      <c r="J26" t="s">
        <v>278</v>
      </c>
      <c r="K26">
        <v>125.5</v>
      </c>
      <c r="L26">
        <v>6.37</v>
      </c>
      <c r="M26">
        <v>14972</v>
      </c>
      <c r="N26" t="s">
        <v>82</v>
      </c>
      <c r="O26">
        <v>250124</v>
      </c>
      <c r="P26">
        <v>25</v>
      </c>
    </row>
    <row r="27" spans="1:16" x14ac:dyDescent="0.25">
      <c r="A27" t="s">
        <v>3296</v>
      </c>
      <c r="B27" t="s">
        <v>2931</v>
      </c>
      <c r="C27">
        <v>619</v>
      </c>
      <c r="D27" t="str">
        <f>"682337      "</f>
        <v xml:space="preserve">682337      </v>
      </c>
      <c r="E27" t="s">
        <v>501</v>
      </c>
      <c r="F27" t="s">
        <v>502</v>
      </c>
      <c r="G27">
        <v>31.38</v>
      </c>
      <c r="H27">
        <v>250101</v>
      </c>
      <c r="I27">
        <v>4600</v>
      </c>
      <c r="J27" t="s">
        <v>278</v>
      </c>
      <c r="K27">
        <v>125.5</v>
      </c>
      <c r="L27">
        <v>6.38</v>
      </c>
      <c r="M27">
        <v>17538</v>
      </c>
      <c r="N27" t="s">
        <v>129</v>
      </c>
      <c r="O27">
        <v>250124</v>
      </c>
      <c r="P27">
        <v>25</v>
      </c>
    </row>
    <row r="28" spans="1:16" x14ac:dyDescent="0.25">
      <c r="A28" t="s">
        <v>3296</v>
      </c>
      <c r="B28" t="s">
        <v>2931</v>
      </c>
      <c r="C28">
        <v>619</v>
      </c>
      <c r="D28" t="str">
        <f>"682337      "</f>
        <v xml:space="preserve">682337      </v>
      </c>
      <c r="E28" t="s">
        <v>501</v>
      </c>
      <c r="F28" t="s">
        <v>502</v>
      </c>
      <c r="G28">
        <v>31.38</v>
      </c>
      <c r="H28">
        <v>250101</v>
      </c>
      <c r="I28">
        <v>4600</v>
      </c>
      <c r="J28" t="s">
        <v>278</v>
      </c>
      <c r="K28">
        <v>125.5</v>
      </c>
      <c r="L28">
        <v>6.38</v>
      </c>
      <c r="M28">
        <v>17808</v>
      </c>
      <c r="N28" t="s">
        <v>24</v>
      </c>
      <c r="O28">
        <v>250124</v>
      </c>
      <c r="P28">
        <v>25</v>
      </c>
    </row>
    <row r="29" spans="1:16" x14ac:dyDescent="0.25">
      <c r="A29" t="s">
        <v>3296</v>
      </c>
      <c r="B29" t="s">
        <v>2931</v>
      </c>
      <c r="C29">
        <v>619</v>
      </c>
      <c r="D29" t="str">
        <f>"682337      "</f>
        <v xml:space="preserve">682337      </v>
      </c>
      <c r="E29" t="s">
        <v>501</v>
      </c>
      <c r="F29" t="s">
        <v>502</v>
      </c>
      <c r="G29">
        <v>31.37</v>
      </c>
      <c r="H29">
        <v>250101</v>
      </c>
      <c r="I29">
        <v>4600</v>
      </c>
      <c r="J29" t="s">
        <v>278</v>
      </c>
      <c r="K29">
        <v>125.5</v>
      </c>
      <c r="L29">
        <v>6.37</v>
      </c>
      <c r="M29">
        <v>49702</v>
      </c>
      <c r="N29" t="s">
        <v>112</v>
      </c>
      <c r="O29">
        <v>250124</v>
      </c>
      <c r="P29">
        <v>25</v>
      </c>
    </row>
    <row r="30" spans="1:16" x14ac:dyDescent="0.25">
      <c r="A30" t="s">
        <v>3296</v>
      </c>
      <c r="B30" t="s">
        <v>2931</v>
      </c>
      <c r="C30">
        <v>419</v>
      </c>
      <c r="D30" t="str">
        <f>"684906      "</f>
        <v xml:space="preserve">684906      </v>
      </c>
      <c r="E30" t="s">
        <v>501</v>
      </c>
      <c r="F30" t="s">
        <v>502</v>
      </c>
      <c r="G30">
        <v>255.78</v>
      </c>
      <c r="H30">
        <v>250116</v>
      </c>
      <c r="I30">
        <v>4841</v>
      </c>
      <c r="J30" t="s">
        <v>9</v>
      </c>
      <c r="K30">
        <v>255.78</v>
      </c>
      <c r="L30">
        <v>51.97</v>
      </c>
      <c r="M30">
        <v>13401</v>
      </c>
      <c r="N30" t="s">
        <v>10</v>
      </c>
      <c r="O30">
        <v>250122</v>
      </c>
      <c r="P30">
        <v>203.81</v>
      </c>
    </row>
    <row r="31" spans="1:16" x14ac:dyDescent="0.25">
      <c r="A31" t="s">
        <v>3296</v>
      </c>
      <c r="B31" t="s">
        <v>2931</v>
      </c>
      <c r="C31">
        <v>420</v>
      </c>
      <c r="D31" t="str">
        <f t="shared" ref="D31:D36" si="0">"684911      "</f>
        <v xml:space="preserve">684911      </v>
      </c>
      <c r="E31" t="s">
        <v>501</v>
      </c>
      <c r="F31" t="s">
        <v>502</v>
      </c>
      <c r="G31">
        <v>68.63</v>
      </c>
      <c r="H31">
        <v>250116</v>
      </c>
      <c r="I31">
        <v>4841</v>
      </c>
      <c r="J31" t="s">
        <v>9</v>
      </c>
      <c r="K31">
        <v>182.31</v>
      </c>
      <c r="L31">
        <v>13.94</v>
      </c>
      <c r="M31">
        <v>17131</v>
      </c>
      <c r="N31" t="s">
        <v>154</v>
      </c>
      <c r="O31">
        <v>250122</v>
      </c>
      <c r="P31">
        <v>54.69</v>
      </c>
    </row>
    <row r="32" spans="1:16" x14ac:dyDescent="0.25">
      <c r="A32" t="s">
        <v>3296</v>
      </c>
      <c r="B32" t="s">
        <v>2931</v>
      </c>
      <c r="C32">
        <v>420</v>
      </c>
      <c r="D32" t="str">
        <f t="shared" si="0"/>
        <v xml:space="preserve">684911      </v>
      </c>
      <c r="E32" t="s">
        <v>501</v>
      </c>
      <c r="F32" t="s">
        <v>502</v>
      </c>
      <c r="G32">
        <v>55.12</v>
      </c>
      <c r="H32">
        <v>250116</v>
      </c>
      <c r="I32">
        <v>4841</v>
      </c>
      <c r="J32" t="s">
        <v>9</v>
      </c>
      <c r="K32">
        <v>182.31</v>
      </c>
      <c r="L32">
        <v>11.2</v>
      </c>
      <c r="M32">
        <v>17711</v>
      </c>
      <c r="N32" t="s">
        <v>155</v>
      </c>
      <c r="O32">
        <v>250122</v>
      </c>
      <c r="P32">
        <v>43.92</v>
      </c>
    </row>
    <row r="33" spans="1:16" x14ac:dyDescent="0.25">
      <c r="A33" t="s">
        <v>3296</v>
      </c>
      <c r="B33" t="s">
        <v>2931</v>
      </c>
      <c r="C33">
        <v>420</v>
      </c>
      <c r="D33" t="str">
        <f t="shared" si="0"/>
        <v xml:space="preserve">684911      </v>
      </c>
      <c r="E33" t="s">
        <v>501</v>
      </c>
      <c r="F33" t="s">
        <v>502</v>
      </c>
      <c r="G33">
        <v>7.98</v>
      </c>
      <c r="H33">
        <v>250116</v>
      </c>
      <c r="I33">
        <v>4841</v>
      </c>
      <c r="J33" t="s">
        <v>9</v>
      </c>
      <c r="K33">
        <v>182.31</v>
      </c>
      <c r="L33">
        <v>1.62</v>
      </c>
      <c r="M33">
        <v>17737</v>
      </c>
      <c r="N33" t="s">
        <v>156</v>
      </c>
      <c r="O33">
        <v>250122</v>
      </c>
      <c r="P33">
        <v>6.36</v>
      </c>
    </row>
    <row r="34" spans="1:16" x14ac:dyDescent="0.25">
      <c r="A34" t="s">
        <v>3296</v>
      </c>
      <c r="B34" t="s">
        <v>2931</v>
      </c>
      <c r="C34">
        <v>420</v>
      </c>
      <c r="D34" t="str">
        <f t="shared" si="0"/>
        <v xml:space="preserve">684911      </v>
      </c>
      <c r="E34" t="s">
        <v>501</v>
      </c>
      <c r="F34" t="s">
        <v>502</v>
      </c>
      <c r="G34">
        <v>7.98</v>
      </c>
      <c r="H34">
        <v>250116</v>
      </c>
      <c r="I34">
        <v>4841</v>
      </c>
      <c r="J34" t="s">
        <v>9</v>
      </c>
      <c r="K34">
        <v>182.31</v>
      </c>
      <c r="L34">
        <v>1.62</v>
      </c>
      <c r="M34">
        <v>17912</v>
      </c>
      <c r="N34" t="s">
        <v>505</v>
      </c>
      <c r="O34">
        <v>250122</v>
      </c>
      <c r="P34">
        <v>6.36</v>
      </c>
    </row>
    <row r="35" spans="1:16" x14ac:dyDescent="0.25">
      <c r="A35" t="s">
        <v>3296</v>
      </c>
      <c r="B35" t="s">
        <v>2931</v>
      </c>
      <c r="C35">
        <v>420</v>
      </c>
      <c r="D35" t="str">
        <f t="shared" si="0"/>
        <v xml:space="preserve">684911      </v>
      </c>
      <c r="E35" t="s">
        <v>501</v>
      </c>
      <c r="F35" t="s">
        <v>502</v>
      </c>
      <c r="G35">
        <v>23.89</v>
      </c>
      <c r="H35">
        <v>250116</v>
      </c>
      <c r="I35">
        <v>4841</v>
      </c>
      <c r="J35" t="s">
        <v>9</v>
      </c>
      <c r="K35">
        <v>182.31</v>
      </c>
      <c r="L35">
        <v>4.8499999999999996</v>
      </c>
      <c r="M35">
        <v>17952</v>
      </c>
      <c r="N35" t="s">
        <v>157</v>
      </c>
      <c r="O35">
        <v>250122</v>
      </c>
      <c r="P35">
        <v>19.04</v>
      </c>
    </row>
    <row r="36" spans="1:16" x14ac:dyDescent="0.25">
      <c r="A36" t="s">
        <v>3296</v>
      </c>
      <c r="B36" t="s">
        <v>2931</v>
      </c>
      <c r="C36">
        <v>420</v>
      </c>
      <c r="D36" t="str">
        <f t="shared" si="0"/>
        <v xml:space="preserve">684911      </v>
      </c>
      <c r="E36" t="s">
        <v>501</v>
      </c>
      <c r="F36" t="s">
        <v>502</v>
      </c>
      <c r="G36">
        <v>18.71</v>
      </c>
      <c r="H36">
        <v>250116</v>
      </c>
      <c r="I36">
        <v>4841</v>
      </c>
      <c r="J36" t="s">
        <v>9</v>
      </c>
      <c r="K36">
        <v>182.31</v>
      </c>
      <c r="L36">
        <v>3.8</v>
      </c>
      <c r="M36">
        <v>17972</v>
      </c>
      <c r="N36" t="s">
        <v>28</v>
      </c>
      <c r="O36">
        <v>250122</v>
      </c>
      <c r="P36">
        <v>14.91</v>
      </c>
    </row>
    <row r="37" spans="1:16" x14ac:dyDescent="0.25">
      <c r="A37" t="s">
        <v>3296</v>
      </c>
      <c r="B37" t="s">
        <v>2931</v>
      </c>
      <c r="C37">
        <v>421</v>
      </c>
      <c r="D37" t="str">
        <f>"684904      "</f>
        <v xml:space="preserve">684904      </v>
      </c>
      <c r="E37" t="s">
        <v>501</v>
      </c>
      <c r="F37" t="s">
        <v>502</v>
      </c>
      <c r="G37">
        <v>73.459999999999994</v>
      </c>
      <c r="H37">
        <v>250116</v>
      </c>
      <c r="I37">
        <v>4841</v>
      </c>
      <c r="J37" t="s">
        <v>9</v>
      </c>
      <c r="K37">
        <v>73.459999999999994</v>
      </c>
      <c r="L37">
        <v>14.93</v>
      </c>
      <c r="M37">
        <v>56526</v>
      </c>
      <c r="N37" t="s">
        <v>506</v>
      </c>
      <c r="O37">
        <v>250122</v>
      </c>
      <c r="P37">
        <v>58.53</v>
      </c>
    </row>
    <row r="38" spans="1:16" x14ac:dyDescent="0.25">
      <c r="A38" t="s">
        <v>3296</v>
      </c>
      <c r="B38" t="s">
        <v>2931</v>
      </c>
      <c r="C38">
        <v>424</v>
      </c>
      <c r="D38" t="str">
        <f>"684908      "</f>
        <v xml:space="preserve">684908      </v>
      </c>
      <c r="E38" t="s">
        <v>501</v>
      </c>
      <c r="F38" t="s">
        <v>502</v>
      </c>
      <c r="G38">
        <v>40.69</v>
      </c>
      <c r="H38">
        <v>250116</v>
      </c>
      <c r="I38">
        <v>4841</v>
      </c>
      <c r="J38" t="s">
        <v>9</v>
      </c>
      <c r="K38">
        <v>136.54</v>
      </c>
      <c r="L38">
        <v>8.27</v>
      </c>
      <c r="M38">
        <v>18010</v>
      </c>
      <c r="N38" t="s">
        <v>36</v>
      </c>
      <c r="O38">
        <v>250122</v>
      </c>
      <c r="P38">
        <v>32.42</v>
      </c>
    </row>
    <row r="39" spans="1:16" x14ac:dyDescent="0.25">
      <c r="A39" t="s">
        <v>3296</v>
      </c>
      <c r="B39" t="s">
        <v>2931</v>
      </c>
      <c r="C39">
        <v>424</v>
      </c>
      <c r="D39" t="str">
        <f>"684908      "</f>
        <v xml:space="preserve">684908      </v>
      </c>
      <c r="E39" t="s">
        <v>501</v>
      </c>
      <c r="F39" t="s">
        <v>502</v>
      </c>
      <c r="G39">
        <v>89.83</v>
      </c>
      <c r="H39">
        <v>250116</v>
      </c>
      <c r="I39">
        <v>4841</v>
      </c>
      <c r="J39" t="s">
        <v>9</v>
      </c>
      <c r="K39">
        <v>136.54</v>
      </c>
      <c r="L39">
        <v>18.25</v>
      </c>
      <c r="M39">
        <v>18120</v>
      </c>
      <c r="N39" t="s">
        <v>37</v>
      </c>
      <c r="O39">
        <v>250122</v>
      </c>
      <c r="P39">
        <v>71.58</v>
      </c>
    </row>
    <row r="40" spans="1:16" x14ac:dyDescent="0.25">
      <c r="A40" t="s">
        <v>3296</v>
      </c>
      <c r="B40" t="s">
        <v>2931</v>
      </c>
      <c r="C40">
        <v>424</v>
      </c>
      <c r="D40" t="str">
        <f>"684908      "</f>
        <v xml:space="preserve">684908      </v>
      </c>
      <c r="E40" t="s">
        <v>501</v>
      </c>
      <c r="F40" t="s">
        <v>502</v>
      </c>
      <c r="G40">
        <v>6.02</v>
      </c>
      <c r="H40">
        <v>250116</v>
      </c>
      <c r="I40">
        <v>4841</v>
      </c>
      <c r="J40" t="s">
        <v>9</v>
      </c>
      <c r="K40">
        <v>136.54</v>
      </c>
      <c r="L40">
        <v>1.22</v>
      </c>
      <c r="M40">
        <v>18972</v>
      </c>
      <c r="N40" t="s">
        <v>39</v>
      </c>
      <c r="O40">
        <v>250122</v>
      </c>
      <c r="P40">
        <v>4.8</v>
      </c>
    </row>
    <row r="41" spans="1:16" x14ac:dyDescent="0.25">
      <c r="A41" t="s">
        <v>3296</v>
      </c>
      <c r="B41" t="s">
        <v>2931</v>
      </c>
      <c r="C41">
        <v>425</v>
      </c>
      <c r="D41" t="str">
        <f>"684914      "</f>
        <v xml:space="preserve">684914      </v>
      </c>
      <c r="E41" t="s">
        <v>501</v>
      </c>
      <c r="F41" t="s">
        <v>502</v>
      </c>
      <c r="G41">
        <v>13.7</v>
      </c>
      <c r="H41">
        <v>250116</v>
      </c>
      <c r="I41">
        <v>4841</v>
      </c>
      <c r="J41" t="s">
        <v>9</v>
      </c>
      <c r="K41">
        <v>13.7</v>
      </c>
      <c r="L41">
        <v>2.78</v>
      </c>
      <c r="M41">
        <v>17538</v>
      </c>
      <c r="N41" t="s">
        <v>129</v>
      </c>
      <c r="O41">
        <v>250122</v>
      </c>
      <c r="P41">
        <v>10.92</v>
      </c>
    </row>
    <row r="42" spans="1:16" x14ac:dyDescent="0.25">
      <c r="A42" t="s">
        <v>3296</v>
      </c>
      <c r="B42" t="s">
        <v>2931</v>
      </c>
      <c r="C42">
        <v>429</v>
      </c>
      <c r="D42" t="str">
        <f>"684902      "</f>
        <v xml:space="preserve">684902      </v>
      </c>
      <c r="E42" t="s">
        <v>501</v>
      </c>
      <c r="F42" t="s">
        <v>502</v>
      </c>
      <c r="G42">
        <v>28.79</v>
      </c>
      <c r="H42">
        <v>250116</v>
      </c>
      <c r="I42">
        <v>4841</v>
      </c>
      <c r="J42" t="s">
        <v>9</v>
      </c>
      <c r="K42">
        <v>135.34</v>
      </c>
      <c r="L42">
        <v>5.85</v>
      </c>
      <c r="M42">
        <v>54222</v>
      </c>
      <c r="N42" t="s">
        <v>48</v>
      </c>
      <c r="O42">
        <v>250122</v>
      </c>
      <c r="P42">
        <v>22.94</v>
      </c>
    </row>
    <row r="43" spans="1:16" x14ac:dyDescent="0.25">
      <c r="A43" t="s">
        <v>3296</v>
      </c>
      <c r="B43" t="s">
        <v>2931</v>
      </c>
      <c r="C43">
        <v>429</v>
      </c>
      <c r="D43" t="str">
        <f>"684902      "</f>
        <v xml:space="preserve">684902      </v>
      </c>
      <c r="E43" t="s">
        <v>501</v>
      </c>
      <c r="F43" t="s">
        <v>502</v>
      </c>
      <c r="G43">
        <v>22.63</v>
      </c>
      <c r="H43">
        <v>250116</v>
      </c>
      <c r="I43">
        <v>4841</v>
      </c>
      <c r="J43" t="s">
        <v>9</v>
      </c>
      <c r="K43">
        <v>135.34</v>
      </c>
      <c r="L43">
        <v>4.5999999999999996</v>
      </c>
      <c r="M43">
        <v>56558</v>
      </c>
      <c r="N43" t="s">
        <v>50</v>
      </c>
      <c r="O43">
        <v>250122</v>
      </c>
      <c r="P43">
        <v>18.03</v>
      </c>
    </row>
    <row r="44" spans="1:16" x14ac:dyDescent="0.25">
      <c r="A44" t="s">
        <v>3296</v>
      </c>
      <c r="B44" t="s">
        <v>2931</v>
      </c>
      <c r="C44">
        <v>429</v>
      </c>
      <c r="D44" t="str">
        <f>"684902      "</f>
        <v xml:space="preserve">684902      </v>
      </c>
      <c r="E44" t="s">
        <v>501</v>
      </c>
      <c r="F44" t="s">
        <v>502</v>
      </c>
      <c r="G44">
        <v>6.1</v>
      </c>
      <c r="H44">
        <v>250116</v>
      </c>
      <c r="I44">
        <v>4841</v>
      </c>
      <c r="J44" t="s">
        <v>9</v>
      </c>
      <c r="K44">
        <v>135.34</v>
      </c>
      <c r="L44">
        <v>1.24</v>
      </c>
      <c r="M44">
        <v>56562</v>
      </c>
      <c r="N44" t="s">
        <v>54</v>
      </c>
      <c r="O44">
        <v>250122</v>
      </c>
      <c r="P44">
        <v>4.8600000000000003</v>
      </c>
    </row>
    <row r="45" spans="1:16" x14ac:dyDescent="0.25">
      <c r="A45" t="s">
        <v>3296</v>
      </c>
      <c r="B45" t="s">
        <v>2931</v>
      </c>
      <c r="C45">
        <v>429</v>
      </c>
      <c r="D45" t="str">
        <f>"684902      "</f>
        <v xml:space="preserve">684902      </v>
      </c>
      <c r="E45" t="s">
        <v>501</v>
      </c>
      <c r="F45" t="s">
        <v>502</v>
      </c>
      <c r="G45">
        <v>10.37</v>
      </c>
      <c r="H45">
        <v>250116</v>
      </c>
      <c r="I45">
        <v>4841</v>
      </c>
      <c r="J45" t="s">
        <v>9</v>
      </c>
      <c r="K45">
        <v>135.34</v>
      </c>
      <c r="L45">
        <v>2.11</v>
      </c>
      <c r="M45">
        <v>56566</v>
      </c>
      <c r="N45" t="s">
        <v>58</v>
      </c>
      <c r="O45">
        <v>250122</v>
      </c>
      <c r="P45">
        <v>8.26</v>
      </c>
    </row>
    <row r="46" spans="1:16" x14ac:dyDescent="0.25">
      <c r="A46" t="s">
        <v>3296</v>
      </c>
      <c r="B46" t="s">
        <v>2931</v>
      </c>
      <c r="C46">
        <v>429</v>
      </c>
      <c r="D46" t="str">
        <f>"684902      "</f>
        <v xml:space="preserve">684902      </v>
      </c>
      <c r="E46" t="s">
        <v>501</v>
      </c>
      <c r="F46" t="s">
        <v>502</v>
      </c>
      <c r="G46">
        <v>67.45</v>
      </c>
      <c r="H46">
        <v>250116</v>
      </c>
      <c r="I46">
        <v>4841</v>
      </c>
      <c r="J46" t="s">
        <v>9</v>
      </c>
      <c r="K46">
        <v>135.34</v>
      </c>
      <c r="L46">
        <v>13.7</v>
      </c>
      <c r="M46">
        <v>59702</v>
      </c>
      <c r="N46" t="s">
        <v>45</v>
      </c>
      <c r="O46">
        <v>250122</v>
      </c>
      <c r="P46">
        <v>53.75</v>
      </c>
    </row>
    <row r="47" spans="1:16" x14ac:dyDescent="0.25">
      <c r="A47" t="s">
        <v>3296</v>
      </c>
      <c r="B47" t="s">
        <v>2931</v>
      </c>
      <c r="C47">
        <v>430</v>
      </c>
      <c r="D47" t="str">
        <f t="shared" ref="D47:D57" si="1">"684909      "</f>
        <v xml:space="preserve">684909      </v>
      </c>
      <c r="E47" t="s">
        <v>501</v>
      </c>
      <c r="F47" t="s">
        <v>502</v>
      </c>
      <c r="G47">
        <v>55.12</v>
      </c>
      <c r="H47">
        <v>250116</v>
      </c>
      <c r="I47">
        <v>4841</v>
      </c>
      <c r="J47" t="s">
        <v>9</v>
      </c>
      <c r="K47">
        <v>522.16</v>
      </c>
      <c r="L47">
        <v>11.2</v>
      </c>
      <c r="M47">
        <v>16121</v>
      </c>
      <c r="N47" t="s">
        <v>127</v>
      </c>
      <c r="O47">
        <v>250122</v>
      </c>
      <c r="P47">
        <v>43.92</v>
      </c>
    </row>
    <row r="48" spans="1:16" x14ac:dyDescent="0.25">
      <c r="A48" t="s">
        <v>3296</v>
      </c>
      <c r="B48" t="s">
        <v>2931</v>
      </c>
      <c r="C48">
        <v>430</v>
      </c>
      <c r="D48" t="str">
        <f t="shared" si="1"/>
        <v xml:space="preserve">684909      </v>
      </c>
      <c r="E48" t="s">
        <v>501</v>
      </c>
      <c r="F48" t="s">
        <v>502</v>
      </c>
      <c r="G48">
        <v>14.42</v>
      </c>
      <c r="H48">
        <v>250116</v>
      </c>
      <c r="I48">
        <v>4841</v>
      </c>
      <c r="J48" t="s">
        <v>9</v>
      </c>
      <c r="K48">
        <v>522.16</v>
      </c>
      <c r="L48">
        <v>2.93</v>
      </c>
      <c r="M48">
        <v>17522</v>
      </c>
      <c r="N48" t="s">
        <v>137</v>
      </c>
      <c r="O48">
        <v>250122</v>
      </c>
      <c r="P48">
        <v>11.49</v>
      </c>
    </row>
    <row r="49" spans="1:16" x14ac:dyDescent="0.25">
      <c r="A49" t="s">
        <v>3296</v>
      </c>
      <c r="B49" t="s">
        <v>2931</v>
      </c>
      <c r="C49">
        <v>430</v>
      </c>
      <c r="D49" t="str">
        <f t="shared" si="1"/>
        <v xml:space="preserve">684909      </v>
      </c>
      <c r="E49" t="s">
        <v>501</v>
      </c>
      <c r="F49" t="s">
        <v>502</v>
      </c>
      <c r="G49">
        <v>50.19</v>
      </c>
      <c r="H49">
        <v>250116</v>
      </c>
      <c r="I49">
        <v>4841</v>
      </c>
      <c r="J49" t="s">
        <v>9</v>
      </c>
      <c r="K49">
        <v>522.16</v>
      </c>
      <c r="L49">
        <v>10.199999999999999</v>
      </c>
      <c r="M49">
        <v>17524</v>
      </c>
      <c r="N49" t="s">
        <v>139</v>
      </c>
      <c r="O49">
        <v>250122</v>
      </c>
      <c r="P49">
        <v>39.99</v>
      </c>
    </row>
    <row r="50" spans="1:16" x14ac:dyDescent="0.25">
      <c r="A50" t="s">
        <v>3296</v>
      </c>
      <c r="B50" t="s">
        <v>2931</v>
      </c>
      <c r="C50">
        <v>430</v>
      </c>
      <c r="D50" t="str">
        <f t="shared" si="1"/>
        <v xml:space="preserve">684909      </v>
      </c>
      <c r="E50" t="s">
        <v>501</v>
      </c>
      <c r="F50" t="s">
        <v>502</v>
      </c>
      <c r="G50">
        <v>13.24</v>
      </c>
      <c r="H50">
        <v>250116</v>
      </c>
      <c r="I50">
        <v>4841</v>
      </c>
      <c r="J50" t="s">
        <v>9</v>
      </c>
      <c r="K50">
        <v>522.16</v>
      </c>
      <c r="L50">
        <v>2.69</v>
      </c>
      <c r="M50">
        <v>17527</v>
      </c>
      <c r="N50" t="s">
        <v>142</v>
      </c>
      <c r="O50">
        <v>250122</v>
      </c>
      <c r="P50">
        <v>10.55</v>
      </c>
    </row>
    <row r="51" spans="1:16" x14ac:dyDescent="0.25">
      <c r="A51" t="s">
        <v>3296</v>
      </c>
      <c r="B51" t="s">
        <v>2931</v>
      </c>
      <c r="C51">
        <v>430</v>
      </c>
      <c r="D51" t="str">
        <f t="shared" si="1"/>
        <v xml:space="preserve">684909      </v>
      </c>
      <c r="E51" t="s">
        <v>501</v>
      </c>
      <c r="F51" t="s">
        <v>502</v>
      </c>
      <c r="G51">
        <v>19.57</v>
      </c>
      <c r="H51">
        <v>250116</v>
      </c>
      <c r="I51">
        <v>4841</v>
      </c>
      <c r="J51" t="s">
        <v>9</v>
      </c>
      <c r="K51">
        <v>522.16</v>
      </c>
      <c r="L51">
        <v>3.98</v>
      </c>
      <c r="M51">
        <v>17529</v>
      </c>
      <c r="N51" t="s">
        <v>143</v>
      </c>
      <c r="O51">
        <v>250122</v>
      </c>
      <c r="P51">
        <v>15.59</v>
      </c>
    </row>
    <row r="52" spans="1:16" x14ac:dyDescent="0.25">
      <c r="A52" t="s">
        <v>3296</v>
      </c>
      <c r="B52" t="s">
        <v>2931</v>
      </c>
      <c r="C52">
        <v>430</v>
      </c>
      <c r="D52" t="str">
        <f t="shared" si="1"/>
        <v xml:space="preserve">684909      </v>
      </c>
      <c r="E52" t="s">
        <v>501</v>
      </c>
      <c r="F52" t="s">
        <v>502</v>
      </c>
      <c r="G52">
        <v>28.38</v>
      </c>
      <c r="H52">
        <v>250116</v>
      </c>
      <c r="I52">
        <v>4841</v>
      </c>
      <c r="J52" t="s">
        <v>9</v>
      </c>
      <c r="K52">
        <v>522.16</v>
      </c>
      <c r="L52">
        <v>5.77</v>
      </c>
      <c r="M52">
        <v>17529</v>
      </c>
      <c r="N52" t="s">
        <v>143</v>
      </c>
      <c r="O52">
        <v>250122</v>
      </c>
      <c r="P52">
        <v>22.61</v>
      </c>
    </row>
    <row r="53" spans="1:16" x14ac:dyDescent="0.25">
      <c r="A53" t="s">
        <v>3296</v>
      </c>
      <c r="B53" t="s">
        <v>2931</v>
      </c>
      <c r="C53">
        <v>430</v>
      </c>
      <c r="D53" t="str">
        <f t="shared" si="1"/>
        <v xml:space="preserve">684909      </v>
      </c>
      <c r="E53" t="s">
        <v>501</v>
      </c>
      <c r="F53" t="s">
        <v>502</v>
      </c>
      <c r="G53">
        <v>39.72</v>
      </c>
      <c r="H53">
        <v>250116</v>
      </c>
      <c r="I53">
        <v>4841</v>
      </c>
      <c r="J53" t="s">
        <v>9</v>
      </c>
      <c r="K53">
        <v>522.16</v>
      </c>
      <c r="L53">
        <v>8.07</v>
      </c>
      <c r="M53">
        <v>17530</v>
      </c>
      <c r="N53" t="s">
        <v>144</v>
      </c>
      <c r="O53">
        <v>250122</v>
      </c>
      <c r="P53">
        <v>31.65</v>
      </c>
    </row>
    <row r="54" spans="1:16" x14ac:dyDescent="0.25">
      <c r="A54" t="s">
        <v>3296</v>
      </c>
      <c r="B54" t="s">
        <v>2931</v>
      </c>
      <c r="C54">
        <v>430</v>
      </c>
      <c r="D54" t="str">
        <f t="shared" si="1"/>
        <v xml:space="preserve">684909      </v>
      </c>
      <c r="E54" t="s">
        <v>501</v>
      </c>
      <c r="F54" t="s">
        <v>502</v>
      </c>
      <c r="G54">
        <v>28.25</v>
      </c>
      <c r="H54">
        <v>250116</v>
      </c>
      <c r="I54">
        <v>4841</v>
      </c>
      <c r="J54" t="s">
        <v>9</v>
      </c>
      <c r="K54">
        <v>522.16</v>
      </c>
      <c r="L54">
        <v>5.74</v>
      </c>
      <c r="M54">
        <v>17535</v>
      </c>
      <c r="N54" t="s">
        <v>149</v>
      </c>
      <c r="O54">
        <v>250122</v>
      </c>
      <c r="P54">
        <v>22.51</v>
      </c>
    </row>
    <row r="55" spans="1:16" x14ac:dyDescent="0.25">
      <c r="A55" t="s">
        <v>3296</v>
      </c>
      <c r="B55" t="s">
        <v>2931</v>
      </c>
      <c r="C55">
        <v>430</v>
      </c>
      <c r="D55" t="str">
        <f t="shared" si="1"/>
        <v xml:space="preserve">684909      </v>
      </c>
      <c r="E55" t="s">
        <v>501</v>
      </c>
      <c r="F55" t="s">
        <v>502</v>
      </c>
      <c r="G55">
        <v>32.43</v>
      </c>
      <c r="H55">
        <v>250116</v>
      </c>
      <c r="I55">
        <v>4841</v>
      </c>
      <c r="J55" t="s">
        <v>9</v>
      </c>
      <c r="K55">
        <v>522.16</v>
      </c>
      <c r="L55">
        <v>6.59</v>
      </c>
      <c r="M55">
        <v>17537</v>
      </c>
      <c r="N55" t="s">
        <v>151</v>
      </c>
      <c r="O55">
        <v>250122</v>
      </c>
      <c r="P55">
        <v>25.84</v>
      </c>
    </row>
    <row r="56" spans="1:16" x14ac:dyDescent="0.25">
      <c r="A56" t="s">
        <v>3296</v>
      </c>
      <c r="B56" t="s">
        <v>2931</v>
      </c>
      <c r="C56">
        <v>430</v>
      </c>
      <c r="D56" t="str">
        <f t="shared" si="1"/>
        <v xml:space="preserve">684909      </v>
      </c>
      <c r="E56" t="s">
        <v>501</v>
      </c>
      <c r="F56" t="s">
        <v>502</v>
      </c>
      <c r="G56">
        <v>168.63</v>
      </c>
      <c r="H56">
        <v>250116</v>
      </c>
      <c r="I56">
        <v>4841</v>
      </c>
      <c r="J56" t="s">
        <v>9</v>
      </c>
      <c r="K56">
        <v>522.16</v>
      </c>
      <c r="L56">
        <v>34.26</v>
      </c>
      <c r="M56">
        <v>17538</v>
      </c>
      <c r="N56" t="s">
        <v>129</v>
      </c>
      <c r="O56">
        <v>250122</v>
      </c>
      <c r="P56">
        <v>134.37</v>
      </c>
    </row>
    <row r="57" spans="1:16" x14ac:dyDescent="0.25">
      <c r="A57" t="s">
        <v>3296</v>
      </c>
      <c r="B57" t="s">
        <v>2931</v>
      </c>
      <c r="C57">
        <v>430</v>
      </c>
      <c r="D57" t="str">
        <f t="shared" si="1"/>
        <v xml:space="preserve">684909      </v>
      </c>
      <c r="E57" t="s">
        <v>501</v>
      </c>
      <c r="F57" t="s">
        <v>502</v>
      </c>
      <c r="G57">
        <v>72.209999999999994</v>
      </c>
      <c r="H57">
        <v>250116</v>
      </c>
      <c r="I57">
        <v>4841</v>
      </c>
      <c r="J57" t="s">
        <v>9</v>
      </c>
      <c r="K57">
        <v>522.16</v>
      </c>
      <c r="L57">
        <v>14.67</v>
      </c>
      <c r="M57">
        <v>17971</v>
      </c>
      <c r="N57" t="s">
        <v>27</v>
      </c>
      <c r="O57">
        <v>250122</v>
      </c>
      <c r="P57">
        <v>57.54</v>
      </c>
    </row>
    <row r="58" spans="1:16" x14ac:dyDescent="0.25">
      <c r="A58" t="s">
        <v>3296</v>
      </c>
      <c r="B58" t="s">
        <v>2931</v>
      </c>
      <c r="C58">
        <v>431</v>
      </c>
      <c r="D58" t="str">
        <f t="shared" ref="D58:D68" si="2">"684907      "</f>
        <v xml:space="preserve">684907      </v>
      </c>
      <c r="E58" t="s">
        <v>501</v>
      </c>
      <c r="F58" t="s">
        <v>502</v>
      </c>
      <c r="G58">
        <v>28.25</v>
      </c>
      <c r="H58">
        <v>250116</v>
      </c>
      <c r="I58">
        <v>4841</v>
      </c>
      <c r="J58" t="s">
        <v>9</v>
      </c>
      <c r="K58">
        <v>510.63</v>
      </c>
      <c r="L58">
        <v>5.74</v>
      </c>
      <c r="M58">
        <v>13601</v>
      </c>
      <c r="N58" t="s">
        <v>115</v>
      </c>
      <c r="O58">
        <v>250122</v>
      </c>
      <c r="P58">
        <v>22.51</v>
      </c>
    </row>
    <row r="59" spans="1:16" x14ac:dyDescent="0.25">
      <c r="A59" t="s">
        <v>3296</v>
      </c>
      <c r="B59" t="s">
        <v>2931</v>
      </c>
      <c r="C59">
        <v>431</v>
      </c>
      <c r="D59" t="str">
        <f t="shared" si="2"/>
        <v xml:space="preserve">684907      </v>
      </c>
      <c r="E59" t="s">
        <v>501</v>
      </c>
      <c r="F59" t="s">
        <v>502</v>
      </c>
      <c r="G59">
        <v>26.48</v>
      </c>
      <c r="H59">
        <v>250116</v>
      </c>
      <c r="I59">
        <v>4841</v>
      </c>
      <c r="J59" t="s">
        <v>9</v>
      </c>
      <c r="K59">
        <v>510.63</v>
      </c>
      <c r="L59">
        <v>5.38</v>
      </c>
      <c r="M59">
        <v>13801</v>
      </c>
      <c r="N59" t="s">
        <v>33</v>
      </c>
      <c r="O59">
        <v>250122</v>
      </c>
      <c r="P59">
        <v>21.1</v>
      </c>
    </row>
    <row r="60" spans="1:16" x14ac:dyDescent="0.25">
      <c r="A60" t="s">
        <v>3296</v>
      </c>
      <c r="B60" t="s">
        <v>2931</v>
      </c>
      <c r="C60">
        <v>431</v>
      </c>
      <c r="D60" t="str">
        <f t="shared" si="2"/>
        <v xml:space="preserve">684907      </v>
      </c>
      <c r="E60" t="s">
        <v>501</v>
      </c>
      <c r="F60" t="s">
        <v>502</v>
      </c>
      <c r="G60">
        <v>2.0299999999999998</v>
      </c>
      <c r="H60">
        <v>250116</v>
      </c>
      <c r="I60">
        <v>4841</v>
      </c>
      <c r="J60" t="s">
        <v>9</v>
      </c>
      <c r="K60">
        <v>510.63</v>
      </c>
      <c r="L60">
        <v>0.41</v>
      </c>
      <c r="M60">
        <v>16321</v>
      </c>
      <c r="N60" t="s">
        <v>16</v>
      </c>
      <c r="O60">
        <v>250122</v>
      </c>
      <c r="P60">
        <v>1.62</v>
      </c>
    </row>
    <row r="61" spans="1:16" x14ac:dyDescent="0.25">
      <c r="A61" t="s">
        <v>3296</v>
      </c>
      <c r="B61" t="s">
        <v>2931</v>
      </c>
      <c r="C61">
        <v>431</v>
      </c>
      <c r="D61" t="str">
        <f t="shared" si="2"/>
        <v xml:space="preserve">684907      </v>
      </c>
      <c r="E61" t="s">
        <v>501</v>
      </c>
      <c r="F61" t="s">
        <v>502</v>
      </c>
      <c r="G61">
        <v>12.81</v>
      </c>
      <c r="H61">
        <v>250116</v>
      </c>
      <c r="I61">
        <v>4841</v>
      </c>
      <c r="J61" t="s">
        <v>9</v>
      </c>
      <c r="K61">
        <v>510.63</v>
      </c>
      <c r="L61">
        <v>2.6</v>
      </c>
      <c r="M61">
        <v>16431</v>
      </c>
      <c r="N61" t="s">
        <v>17</v>
      </c>
      <c r="O61">
        <v>250122</v>
      </c>
      <c r="P61">
        <v>10.210000000000001</v>
      </c>
    </row>
    <row r="62" spans="1:16" x14ac:dyDescent="0.25">
      <c r="A62" t="s">
        <v>3296</v>
      </c>
      <c r="B62" t="s">
        <v>2931</v>
      </c>
      <c r="C62">
        <v>431</v>
      </c>
      <c r="D62" t="str">
        <f t="shared" si="2"/>
        <v xml:space="preserve">684907      </v>
      </c>
      <c r="E62" t="s">
        <v>501</v>
      </c>
      <c r="F62" t="s">
        <v>502</v>
      </c>
      <c r="G62">
        <v>36.39</v>
      </c>
      <c r="H62">
        <v>250116</v>
      </c>
      <c r="I62">
        <v>4841</v>
      </c>
      <c r="J62" t="s">
        <v>9</v>
      </c>
      <c r="K62">
        <v>510.63</v>
      </c>
      <c r="L62">
        <v>7.39</v>
      </c>
      <c r="M62">
        <v>17802</v>
      </c>
      <c r="N62" t="s">
        <v>18</v>
      </c>
      <c r="O62">
        <v>250122</v>
      </c>
      <c r="P62">
        <v>29</v>
      </c>
    </row>
    <row r="63" spans="1:16" x14ac:dyDescent="0.25">
      <c r="A63" t="s">
        <v>3296</v>
      </c>
      <c r="B63" t="s">
        <v>2931</v>
      </c>
      <c r="C63">
        <v>431</v>
      </c>
      <c r="D63" t="str">
        <f t="shared" si="2"/>
        <v xml:space="preserve">684907      </v>
      </c>
      <c r="E63" t="s">
        <v>501</v>
      </c>
      <c r="F63" t="s">
        <v>502</v>
      </c>
      <c r="G63">
        <v>135.01</v>
      </c>
      <c r="H63">
        <v>250116</v>
      </c>
      <c r="I63">
        <v>4841</v>
      </c>
      <c r="J63" t="s">
        <v>9</v>
      </c>
      <c r="K63">
        <v>510.63</v>
      </c>
      <c r="L63">
        <v>27.43</v>
      </c>
      <c r="M63">
        <v>17804</v>
      </c>
      <c r="N63" t="s">
        <v>20</v>
      </c>
      <c r="O63">
        <v>250122</v>
      </c>
      <c r="P63">
        <v>107.58</v>
      </c>
    </row>
    <row r="64" spans="1:16" x14ac:dyDescent="0.25">
      <c r="A64" t="s">
        <v>3296</v>
      </c>
      <c r="B64" t="s">
        <v>2931</v>
      </c>
      <c r="C64">
        <v>431</v>
      </c>
      <c r="D64" t="str">
        <f t="shared" si="2"/>
        <v xml:space="preserve">684907      </v>
      </c>
      <c r="E64" t="s">
        <v>501</v>
      </c>
      <c r="F64" t="s">
        <v>502</v>
      </c>
      <c r="G64">
        <v>4.07</v>
      </c>
      <c r="H64">
        <v>250116</v>
      </c>
      <c r="I64">
        <v>4841</v>
      </c>
      <c r="J64" t="s">
        <v>9</v>
      </c>
      <c r="K64">
        <v>510.63</v>
      </c>
      <c r="L64">
        <v>0.83</v>
      </c>
      <c r="M64">
        <v>17805</v>
      </c>
      <c r="N64" t="s">
        <v>21</v>
      </c>
      <c r="O64">
        <v>250122</v>
      </c>
      <c r="P64">
        <v>3.24</v>
      </c>
    </row>
    <row r="65" spans="1:16" x14ac:dyDescent="0.25">
      <c r="A65" t="s">
        <v>3296</v>
      </c>
      <c r="B65" t="s">
        <v>2931</v>
      </c>
      <c r="C65">
        <v>431</v>
      </c>
      <c r="D65" t="str">
        <f t="shared" si="2"/>
        <v xml:space="preserve">684907      </v>
      </c>
      <c r="E65" t="s">
        <v>501</v>
      </c>
      <c r="F65" t="s">
        <v>502</v>
      </c>
      <c r="G65">
        <v>8.36</v>
      </c>
      <c r="H65">
        <v>250116</v>
      </c>
      <c r="I65">
        <v>4841</v>
      </c>
      <c r="J65" t="s">
        <v>9</v>
      </c>
      <c r="K65">
        <v>510.63</v>
      </c>
      <c r="L65">
        <v>1.7</v>
      </c>
      <c r="M65">
        <v>17806</v>
      </c>
      <c r="N65" t="s">
        <v>22</v>
      </c>
      <c r="O65">
        <v>250122</v>
      </c>
      <c r="P65">
        <v>6.66</v>
      </c>
    </row>
    <row r="66" spans="1:16" x14ac:dyDescent="0.25">
      <c r="A66" t="s">
        <v>3296</v>
      </c>
      <c r="B66" t="s">
        <v>2931</v>
      </c>
      <c r="C66">
        <v>431</v>
      </c>
      <c r="D66" t="str">
        <f t="shared" si="2"/>
        <v xml:space="preserve">684907      </v>
      </c>
      <c r="E66" t="s">
        <v>501</v>
      </c>
      <c r="F66" t="s">
        <v>502</v>
      </c>
      <c r="G66">
        <v>59.93</v>
      </c>
      <c r="H66">
        <v>250116</v>
      </c>
      <c r="I66">
        <v>4841</v>
      </c>
      <c r="J66" t="s">
        <v>9</v>
      </c>
      <c r="K66">
        <v>510.63</v>
      </c>
      <c r="L66">
        <v>12.18</v>
      </c>
      <c r="M66">
        <v>17807</v>
      </c>
      <c r="N66" t="s">
        <v>23</v>
      </c>
      <c r="O66">
        <v>250122</v>
      </c>
      <c r="P66">
        <v>47.75</v>
      </c>
    </row>
    <row r="67" spans="1:16" x14ac:dyDescent="0.25">
      <c r="A67" t="s">
        <v>3296</v>
      </c>
      <c r="B67" t="s">
        <v>2931</v>
      </c>
      <c r="C67">
        <v>431</v>
      </c>
      <c r="D67" t="str">
        <f t="shared" si="2"/>
        <v xml:space="preserve">684907      </v>
      </c>
      <c r="E67" t="s">
        <v>501</v>
      </c>
      <c r="F67" t="s">
        <v>502</v>
      </c>
      <c r="G67">
        <v>121.01</v>
      </c>
      <c r="H67">
        <v>250116</v>
      </c>
      <c r="I67">
        <v>4841</v>
      </c>
      <c r="J67" t="s">
        <v>9</v>
      </c>
      <c r="K67">
        <v>510.63</v>
      </c>
      <c r="L67">
        <v>24.59</v>
      </c>
      <c r="M67">
        <v>17808</v>
      </c>
      <c r="N67" t="s">
        <v>24</v>
      </c>
      <c r="O67">
        <v>250122</v>
      </c>
      <c r="P67">
        <v>96.42</v>
      </c>
    </row>
    <row r="68" spans="1:16" x14ac:dyDescent="0.25">
      <c r="A68" t="s">
        <v>3296</v>
      </c>
      <c r="B68" t="s">
        <v>2931</v>
      </c>
      <c r="C68">
        <v>431</v>
      </c>
      <c r="D68" t="str">
        <f t="shared" si="2"/>
        <v xml:space="preserve">684907      </v>
      </c>
      <c r="E68" t="s">
        <v>501</v>
      </c>
      <c r="F68" t="s">
        <v>502</v>
      </c>
      <c r="G68">
        <v>76.290000000000006</v>
      </c>
      <c r="H68">
        <v>250116</v>
      </c>
      <c r="I68">
        <v>4841</v>
      </c>
      <c r="J68" t="s">
        <v>9</v>
      </c>
      <c r="K68">
        <v>510.63</v>
      </c>
      <c r="L68">
        <v>15.5</v>
      </c>
      <c r="M68">
        <v>17971</v>
      </c>
      <c r="N68" t="s">
        <v>27</v>
      </c>
      <c r="O68">
        <v>250122</v>
      </c>
      <c r="P68">
        <v>60.79</v>
      </c>
    </row>
    <row r="69" spans="1:16" x14ac:dyDescent="0.25">
      <c r="A69" t="s">
        <v>3296</v>
      </c>
      <c r="B69" t="s">
        <v>2931</v>
      </c>
      <c r="C69">
        <v>433</v>
      </c>
      <c r="D69" t="str">
        <f>"684915      "</f>
        <v xml:space="preserve">684915      </v>
      </c>
      <c r="E69" t="s">
        <v>501</v>
      </c>
      <c r="F69" t="s">
        <v>502</v>
      </c>
      <c r="G69">
        <v>28.25</v>
      </c>
      <c r="H69">
        <v>250116</v>
      </c>
      <c r="I69">
        <v>4841</v>
      </c>
      <c r="J69" t="s">
        <v>9</v>
      </c>
      <c r="K69">
        <v>28.25</v>
      </c>
      <c r="L69">
        <v>5.74</v>
      </c>
      <c r="M69">
        <v>13601</v>
      </c>
      <c r="N69" t="s">
        <v>115</v>
      </c>
      <c r="O69">
        <v>250122</v>
      </c>
      <c r="P69">
        <v>22.51</v>
      </c>
    </row>
    <row r="70" spans="1:16" x14ac:dyDescent="0.25">
      <c r="A70" t="s">
        <v>3296</v>
      </c>
      <c r="B70" t="s">
        <v>2931</v>
      </c>
      <c r="C70">
        <v>434</v>
      </c>
      <c r="D70" t="str">
        <f>"684917      "</f>
        <v xml:space="preserve">684917      </v>
      </c>
      <c r="E70" t="s">
        <v>501</v>
      </c>
      <c r="F70" t="s">
        <v>502</v>
      </c>
      <c r="G70">
        <v>269.57</v>
      </c>
      <c r="H70">
        <v>250116</v>
      </c>
      <c r="I70">
        <v>4841</v>
      </c>
      <c r="J70" t="s">
        <v>9</v>
      </c>
      <c r="K70">
        <v>269.57</v>
      </c>
      <c r="L70">
        <v>54.77</v>
      </c>
      <c r="M70">
        <v>11903</v>
      </c>
      <c r="N70" t="s">
        <v>32</v>
      </c>
      <c r="O70">
        <v>250122</v>
      </c>
      <c r="P70">
        <v>214.8</v>
      </c>
    </row>
    <row r="71" spans="1:16" x14ac:dyDescent="0.25">
      <c r="A71" t="s">
        <v>3296</v>
      </c>
      <c r="B71" t="s">
        <v>2931</v>
      </c>
      <c r="C71">
        <v>437</v>
      </c>
      <c r="D71" t="str">
        <f>"684913      "</f>
        <v xml:space="preserve">684913      </v>
      </c>
      <c r="E71" t="s">
        <v>501</v>
      </c>
      <c r="F71" t="s">
        <v>502</v>
      </c>
      <c r="G71">
        <v>57.08</v>
      </c>
      <c r="H71">
        <v>250116</v>
      </c>
      <c r="I71">
        <v>4841</v>
      </c>
      <c r="J71" t="s">
        <v>9</v>
      </c>
      <c r="K71">
        <v>64.61</v>
      </c>
      <c r="L71">
        <v>11.6</v>
      </c>
      <c r="M71">
        <v>53222</v>
      </c>
      <c r="N71" t="s">
        <v>41</v>
      </c>
      <c r="O71">
        <v>250122</v>
      </c>
      <c r="P71">
        <v>45.48</v>
      </c>
    </row>
    <row r="72" spans="1:16" x14ac:dyDescent="0.25">
      <c r="A72" t="s">
        <v>3296</v>
      </c>
      <c r="B72" t="s">
        <v>2931</v>
      </c>
      <c r="C72">
        <v>437</v>
      </c>
      <c r="D72" t="str">
        <f>"684913      "</f>
        <v xml:space="preserve">684913      </v>
      </c>
      <c r="E72" t="s">
        <v>501</v>
      </c>
      <c r="F72" t="s">
        <v>502</v>
      </c>
      <c r="G72">
        <v>7.53</v>
      </c>
      <c r="H72">
        <v>250116</v>
      </c>
      <c r="I72">
        <v>4841</v>
      </c>
      <c r="J72" t="s">
        <v>9</v>
      </c>
      <c r="K72">
        <v>64.61</v>
      </c>
      <c r="L72">
        <v>1.53</v>
      </c>
      <c r="M72">
        <v>59702</v>
      </c>
      <c r="N72" t="s">
        <v>45</v>
      </c>
      <c r="O72">
        <v>250122</v>
      </c>
      <c r="P72">
        <v>6</v>
      </c>
    </row>
    <row r="73" spans="1:16" x14ac:dyDescent="0.25">
      <c r="A73" t="s">
        <v>3296</v>
      </c>
      <c r="B73" t="s">
        <v>2931</v>
      </c>
      <c r="C73">
        <v>438</v>
      </c>
      <c r="D73" t="str">
        <f t="shared" ref="D73:D78" si="3">"684912      "</f>
        <v xml:space="preserve">684912      </v>
      </c>
      <c r="E73" t="s">
        <v>501</v>
      </c>
      <c r="F73" t="s">
        <v>502</v>
      </c>
      <c r="G73">
        <v>285.99</v>
      </c>
      <c r="H73">
        <v>250116</v>
      </c>
      <c r="I73">
        <v>4841</v>
      </c>
      <c r="J73" t="s">
        <v>9</v>
      </c>
      <c r="K73">
        <v>842.33</v>
      </c>
      <c r="L73">
        <v>58.11</v>
      </c>
      <c r="M73">
        <v>10002</v>
      </c>
      <c r="N73" t="s">
        <v>513</v>
      </c>
      <c r="O73">
        <v>250122</v>
      </c>
      <c r="P73">
        <v>227.88</v>
      </c>
    </row>
    <row r="74" spans="1:16" x14ac:dyDescent="0.25">
      <c r="A74" t="s">
        <v>3296</v>
      </c>
      <c r="B74" t="s">
        <v>2931</v>
      </c>
      <c r="C74">
        <v>438</v>
      </c>
      <c r="D74" t="str">
        <f t="shared" si="3"/>
        <v xml:space="preserve">684912      </v>
      </c>
      <c r="E74" t="s">
        <v>501</v>
      </c>
      <c r="F74" t="s">
        <v>502</v>
      </c>
      <c r="G74">
        <v>37.590000000000003</v>
      </c>
      <c r="H74">
        <v>250116</v>
      </c>
      <c r="I74">
        <v>4841</v>
      </c>
      <c r="J74" t="s">
        <v>9</v>
      </c>
      <c r="K74">
        <v>842.33</v>
      </c>
      <c r="L74">
        <v>7.64</v>
      </c>
      <c r="M74">
        <v>11101</v>
      </c>
      <c r="N74" t="s">
        <v>67</v>
      </c>
      <c r="O74">
        <v>250122</v>
      </c>
      <c r="P74">
        <v>29.95</v>
      </c>
    </row>
    <row r="75" spans="1:16" x14ac:dyDescent="0.25">
      <c r="A75" t="s">
        <v>3296</v>
      </c>
      <c r="B75" t="s">
        <v>2931</v>
      </c>
      <c r="C75">
        <v>438</v>
      </c>
      <c r="D75" t="str">
        <f t="shared" si="3"/>
        <v xml:space="preserve">684912      </v>
      </c>
      <c r="E75" t="s">
        <v>501</v>
      </c>
      <c r="F75" t="s">
        <v>502</v>
      </c>
      <c r="G75">
        <v>233.27</v>
      </c>
      <c r="H75">
        <v>250116</v>
      </c>
      <c r="I75">
        <v>4841</v>
      </c>
      <c r="J75" t="s">
        <v>9</v>
      </c>
      <c r="K75">
        <v>842.33</v>
      </c>
      <c r="L75">
        <v>47.4</v>
      </c>
      <c r="M75">
        <v>11301</v>
      </c>
      <c r="N75" t="s">
        <v>92</v>
      </c>
      <c r="O75">
        <v>250122</v>
      </c>
      <c r="P75">
        <v>185.87</v>
      </c>
    </row>
    <row r="76" spans="1:16" x14ac:dyDescent="0.25">
      <c r="A76" t="s">
        <v>3296</v>
      </c>
      <c r="B76" t="s">
        <v>2931</v>
      </c>
      <c r="C76">
        <v>438</v>
      </c>
      <c r="D76" t="str">
        <f t="shared" si="3"/>
        <v xml:space="preserve">684912      </v>
      </c>
      <c r="E76" t="s">
        <v>501</v>
      </c>
      <c r="F76" t="s">
        <v>502</v>
      </c>
      <c r="G76">
        <v>256.36</v>
      </c>
      <c r="H76">
        <v>250116</v>
      </c>
      <c r="I76">
        <v>4841</v>
      </c>
      <c r="J76" t="s">
        <v>9</v>
      </c>
      <c r="K76">
        <v>842.33</v>
      </c>
      <c r="L76">
        <v>52.09</v>
      </c>
      <c r="M76">
        <v>11801</v>
      </c>
      <c r="N76" t="s">
        <v>40</v>
      </c>
      <c r="O76">
        <v>250122</v>
      </c>
      <c r="P76">
        <v>204.27</v>
      </c>
    </row>
    <row r="77" spans="1:16" x14ac:dyDescent="0.25">
      <c r="A77" t="s">
        <v>3296</v>
      </c>
      <c r="B77" t="s">
        <v>2931</v>
      </c>
      <c r="C77">
        <v>438</v>
      </c>
      <c r="D77" t="str">
        <f t="shared" si="3"/>
        <v xml:space="preserve">684912      </v>
      </c>
      <c r="E77" t="s">
        <v>501</v>
      </c>
      <c r="F77" t="s">
        <v>502</v>
      </c>
      <c r="G77">
        <v>4.18</v>
      </c>
      <c r="H77">
        <v>250116</v>
      </c>
      <c r="I77">
        <v>4841</v>
      </c>
      <c r="J77" t="s">
        <v>9</v>
      </c>
      <c r="K77">
        <v>842.33</v>
      </c>
      <c r="L77">
        <v>0.85</v>
      </c>
      <c r="M77">
        <v>13201</v>
      </c>
      <c r="N77" t="s">
        <v>269</v>
      </c>
      <c r="O77">
        <v>250122</v>
      </c>
      <c r="P77">
        <v>3.33</v>
      </c>
    </row>
    <row r="78" spans="1:16" x14ac:dyDescent="0.25">
      <c r="A78" t="s">
        <v>3296</v>
      </c>
      <c r="B78" t="s">
        <v>2931</v>
      </c>
      <c r="C78">
        <v>438</v>
      </c>
      <c r="D78" t="str">
        <f t="shared" si="3"/>
        <v xml:space="preserve">684912      </v>
      </c>
      <c r="E78" t="s">
        <v>501</v>
      </c>
      <c r="F78" t="s">
        <v>502</v>
      </c>
      <c r="G78">
        <v>24.94</v>
      </c>
      <c r="H78">
        <v>250116</v>
      </c>
      <c r="I78">
        <v>4841</v>
      </c>
      <c r="J78" t="s">
        <v>9</v>
      </c>
      <c r="K78">
        <v>842.33</v>
      </c>
      <c r="L78">
        <v>5.07</v>
      </c>
      <c r="M78">
        <v>13501</v>
      </c>
      <c r="N78" t="s">
        <v>66</v>
      </c>
      <c r="O78">
        <v>250122</v>
      </c>
      <c r="P78">
        <v>19.87</v>
      </c>
    </row>
    <row r="79" spans="1:16" x14ac:dyDescent="0.25">
      <c r="A79" t="s">
        <v>3296</v>
      </c>
      <c r="B79" t="s">
        <v>2931</v>
      </c>
      <c r="C79">
        <v>587</v>
      </c>
      <c r="D79" t="str">
        <f>"684905      "</f>
        <v xml:space="preserve">684905      </v>
      </c>
      <c r="E79" t="s">
        <v>501</v>
      </c>
      <c r="F79" t="s">
        <v>502</v>
      </c>
      <c r="G79">
        <v>2.04</v>
      </c>
      <c r="H79">
        <v>250116</v>
      </c>
      <c r="I79">
        <v>4841</v>
      </c>
      <c r="J79" t="s">
        <v>9</v>
      </c>
      <c r="K79">
        <v>161.09</v>
      </c>
      <c r="L79">
        <v>0.41</v>
      </c>
      <c r="M79">
        <v>11601</v>
      </c>
      <c r="N79" t="s">
        <v>12</v>
      </c>
      <c r="O79">
        <v>250124</v>
      </c>
      <c r="P79">
        <v>1.63</v>
      </c>
    </row>
    <row r="80" spans="1:16" x14ac:dyDescent="0.25">
      <c r="A80" t="s">
        <v>3296</v>
      </c>
      <c r="B80" t="s">
        <v>2931</v>
      </c>
      <c r="C80">
        <v>587</v>
      </c>
      <c r="D80" t="str">
        <f>"684905      "</f>
        <v xml:space="preserve">684905      </v>
      </c>
      <c r="E80" t="s">
        <v>501</v>
      </c>
      <c r="F80" t="s">
        <v>502</v>
      </c>
      <c r="G80">
        <v>17.09</v>
      </c>
      <c r="H80">
        <v>250116</v>
      </c>
      <c r="I80">
        <v>4841</v>
      </c>
      <c r="J80" t="s">
        <v>9</v>
      </c>
      <c r="K80">
        <v>161.09</v>
      </c>
      <c r="L80">
        <v>3.47</v>
      </c>
      <c r="M80">
        <v>14121</v>
      </c>
      <c r="N80" t="s">
        <v>71</v>
      </c>
      <c r="O80">
        <v>250124</v>
      </c>
      <c r="P80">
        <v>13.62</v>
      </c>
    </row>
    <row r="81" spans="1:16" x14ac:dyDescent="0.25">
      <c r="A81" t="s">
        <v>3296</v>
      </c>
      <c r="B81" t="s">
        <v>2931</v>
      </c>
      <c r="C81">
        <v>587</v>
      </c>
      <c r="D81" t="str">
        <f>"684905      "</f>
        <v xml:space="preserve">684905      </v>
      </c>
      <c r="E81" t="s">
        <v>501</v>
      </c>
      <c r="F81" t="s">
        <v>502</v>
      </c>
      <c r="G81">
        <v>141.96</v>
      </c>
      <c r="H81">
        <v>250116</v>
      </c>
      <c r="I81">
        <v>4841</v>
      </c>
      <c r="J81" t="s">
        <v>9</v>
      </c>
      <c r="K81">
        <v>161.09</v>
      </c>
      <c r="L81">
        <v>28.84</v>
      </c>
      <c r="M81">
        <v>14972</v>
      </c>
      <c r="N81" t="s">
        <v>82</v>
      </c>
      <c r="O81">
        <v>250124</v>
      </c>
      <c r="P81">
        <v>113.12</v>
      </c>
    </row>
    <row r="82" spans="1:16" x14ac:dyDescent="0.25">
      <c r="A82" t="s">
        <v>3296</v>
      </c>
      <c r="B82" t="s">
        <v>2931</v>
      </c>
      <c r="C82">
        <v>785</v>
      </c>
      <c r="D82" t="str">
        <f t="shared" ref="D82:D91" si="4">"684916      "</f>
        <v xml:space="preserve">684916      </v>
      </c>
      <c r="E82" t="s">
        <v>501</v>
      </c>
      <c r="F82" t="s">
        <v>502</v>
      </c>
      <c r="G82">
        <v>69.62</v>
      </c>
      <c r="H82">
        <v>250116</v>
      </c>
      <c r="I82">
        <v>4841</v>
      </c>
      <c r="J82" t="s">
        <v>9</v>
      </c>
      <c r="K82">
        <v>1194.6600000000001</v>
      </c>
      <c r="L82">
        <v>14.15</v>
      </c>
      <c r="M82">
        <v>43222</v>
      </c>
      <c r="N82" t="s">
        <v>95</v>
      </c>
      <c r="O82">
        <v>250129</v>
      </c>
      <c r="P82">
        <v>55.47</v>
      </c>
    </row>
    <row r="83" spans="1:16" x14ac:dyDescent="0.25">
      <c r="A83" t="s">
        <v>3296</v>
      </c>
      <c r="B83" t="s">
        <v>2931</v>
      </c>
      <c r="C83">
        <v>785</v>
      </c>
      <c r="D83" t="str">
        <f t="shared" si="4"/>
        <v xml:space="preserve">684916      </v>
      </c>
      <c r="E83" t="s">
        <v>501</v>
      </c>
      <c r="F83" t="s">
        <v>502</v>
      </c>
      <c r="G83">
        <v>51.89</v>
      </c>
      <c r="H83">
        <v>250116</v>
      </c>
      <c r="I83">
        <v>4841</v>
      </c>
      <c r="J83" t="s">
        <v>9</v>
      </c>
      <c r="K83">
        <v>1194.6600000000001</v>
      </c>
      <c r="L83">
        <v>10.54</v>
      </c>
      <c r="M83">
        <v>46554</v>
      </c>
      <c r="N83" t="s">
        <v>102</v>
      </c>
      <c r="O83">
        <v>250129</v>
      </c>
      <c r="P83">
        <v>41.35</v>
      </c>
    </row>
    <row r="84" spans="1:16" x14ac:dyDescent="0.25">
      <c r="A84" t="s">
        <v>3296</v>
      </c>
      <c r="B84" t="s">
        <v>2931</v>
      </c>
      <c r="C84">
        <v>785</v>
      </c>
      <c r="D84" t="str">
        <f t="shared" si="4"/>
        <v xml:space="preserve">684916      </v>
      </c>
      <c r="E84" t="s">
        <v>501</v>
      </c>
      <c r="F84" t="s">
        <v>502</v>
      </c>
      <c r="G84">
        <v>96.07</v>
      </c>
      <c r="H84">
        <v>250116</v>
      </c>
      <c r="I84">
        <v>4841</v>
      </c>
      <c r="J84" t="s">
        <v>9</v>
      </c>
      <c r="K84">
        <v>1194.6600000000001</v>
      </c>
      <c r="L84">
        <v>19.52</v>
      </c>
      <c r="M84">
        <v>46554</v>
      </c>
      <c r="N84" t="s">
        <v>102</v>
      </c>
      <c r="O84">
        <v>250129</v>
      </c>
      <c r="P84">
        <v>76.55</v>
      </c>
    </row>
    <row r="85" spans="1:16" x14ac:dyDescent="0.25">
      <c r="A85" t="s">
        <v>3296</v>
      </c>
      <c r="B85" t="s">
        <v>2931</v>
      </c>
      <c r="C85">
        <v>785</v>
      </c>
      <c r="D85" t="str">
        <f t="shared" si="4"/>
        <v xml:space="preserve">684916      </v>
      </c>
      <c r="E85" t="s">
        <v>501</v>
      </c>
      <c r="F85" t="s">
        <v>502</v>
      </c>
      <c r="G85">
        <v>47.2</v>
      </c>
      <c r="H85">
        <v>250116</v>
      </c>
      <c r="I85">
        <v>4841</v>
      </c>
      <c r="J85" t="s">
        <v>9</v>
      </c>
      <c r="K85">
        <v>1194.6600000000001</v>
      </c>
      <c r="L85">
        <v>9.59</v>
      </c>
      <c r="M85">
        <v>46556</v>
      </c>
      <c r="N85" t="s">
        <v>458</v>
      </c>
      <c r="O85">
        <v>250129</v>
      </c>
      <c r="P85">
        <v>37.61</v>
      </c>
    </row>
    <row r="86" spans="1:16" x14ac:dyDescent="0.25">
      <c r="A86" t="s">
        <v>3296</v>
      </c>
      <c r="B86" t="s">
        <v>2931</v>
      </c>
      <c r="C86">
        <v>785</v>
      </c>
      <c r="D86" t="str">
        <f t="shared" si="4"/>
        <v xml:space="preserve">684916      </v>
      </c>
      <c r="E86" t="s">
        <v>501</v>
      </c>
      <c r="F86" t="s">
        <v>502</v>
      </c>
      <c r="G86">
        <v>216.01</v>
      </c>
      <c r="H86">
        <v>250116</v>
      </c>
      <c r="I86">
        <v>4841</v>
      </c>
      <c r="J86" t="s">
        <v>9</v>
      </c>
      <c r="K86">
        <v>1194.6600000000001</v>
      </c>
      <c r="L86">
        <v>43.89</v>
      </c>
      <c r="M86">
        <v>47522</v>
      </c>
      <c r="N86" t="s">
        <v>106</v>
      </c>
      <c r="O86">
        <v>250129</v>
      </c>
      <c r="P86">
        <v>172.12</v>
      </c>
    </row>
    <row r="87" spans="1:16" x14ac:dyDescent="0.25">
      <c r="A87" t="s">
        <v>3296</v>
      </c>
      <c r="B87" t="s">
        <v>2931</v>
      </c>
      <c r="C87">
        <v>785</v>
      </c>
      <c r="D87" t="str">
        <f t="shared" si="4"/>
        <v xml:space="preserve">684916      </v>
      </c>
      <c r="E87" t="s">
        <v>501</v>
      </c>
      <c r="F87" t="s">
        <v>502</v>
      </c>
      <c r="G87">
        <v>4.18</v>
      </c>
      <c r="H87">
        <v>250116</v>
      </c>
      <c r="I87">
        <v>4841</v>
      </c>
      <c r="J87" t="s">
        <v>9</v>
      </c>
      <c r="K87">
        <v>1194.6600000000001</v>
      </c>
      <c r="L87">
        <v>0.85</v>
      </c>
      <c r="M87">
        <v>48601</v>
      </c>
      <c r="N87" t="s">
        <v>107</v>
      </c>
      <c r="O87">
        <v>250129</v>
      </c>
      <c r="P87">
        <v>3.33</v>
      </c>
    </row>
    <row r="88" spans="1:16" x14ac:dyDescent="0.25">
      <c r="A88" t="s">
        <v>3296</v>
      </c>
      <c r="B88" t="s">
        <v>2931</v>
      </c>
      <c r="C88">
        <v>785</v>
      </c>
      <c r="D88" t="str">
        <f t="shared" si="4"/>
        <v xml:space="preserve">684916      </v>
      </c>
      <c r="E88" t="s">
        <v>501</v>
      </c>
      <c r="F88" t="s">
        <v>502</v>
      </c>
      <c r="G88">
        <v>532.16</v>
      </c>
      <c r="H88">
        <v>250116</v>
      </c>
      <c r="I88">
        <v>4841</v>
      </c>
      <c r="J88" t="s">
        <v>9</v>
      </c>
      <c r="K88">
        <v>1194.6600000000001</v>
      </c>
      <c r="L88">
        <v>108.13</v>
      </c>
      <c r="M88">
        <v>48601</v>
      </c>
      <c r="N88" t="s">
        <v>107</v>
      </c>
      <c r="O88">
        <v>250129</v>
      </c>
      <c r="P88">
        <v>424.03</v>
      </c>
    </row>
    <row r="89" spans="1:16" x14ac:dyDescent="0.25">
      <c r="A89" t="s">
        <v>3296</v>
      </c>
      <c r="B89" t="s">
        <v>2931</v>
      </c>
      <c r="C89">
        <v>785</v>
      </c>
      <c r="D89" t="str">
        <f t="shared" si="4"/>
        <v xml:space="preserve">684916      </v>
      </c>
      <c r="E89" t="s">
        <v>501</v>
      </c>
      <c r="F89" t="s">
        <v>502</v>
      </c>
      <c r="G89">
        <v>89.34</v>
      </c>
      <c r="H89">
        <v>250116</v>
      </c>
      <c r="I89">
        <v>4841</v>
      </c>
      <c r="J89" t="s">
        <v>9</v>
      </c>
      <c r="K89">
        <v>1194.6600000000001</v>
      </c>
      <c r="L89">
        <v>18.149999999999999</v>
      </c>
      <c r="M89">
        <v>49501</v>
      </c>
      <c r="N89" t="s">
        <v>110</v>
      </c>
      <c r="O89">
        <v>250129</v>
      </c>
      <c r="P89">
        <v>71.19</v>
      </c>
    </row>
    <row r="90" spans="1:16" x14ac:dyDescent="0.25">
      <c r="A90" t="s">
        <v>3296</v>
      </c>
      <c r="B90" t="s">
        <v>2931</v>
      </c>
      <c r="C90">
        <v>785</v>
      </c>
      <c r="D90" t="str">
        <f t="shared" si="4"/>
        <v xml:space="preserve">684916      </v>
      </c>
      <c r="E90" t="s">
        <v>501</v>
      </c>
      <c r="F90" t="s">
        <v>502</v>
      </c>
      <c r="G90">
        <v>10.38</v>
      </c>
      <c r="H90">
        <v>250116</v>
      </c>
      <c r="I90">
        <v>4841</v>
      </c>
      <c r="J90" t="s">
        <v>9</v>
      </c>
      <c r="K90">
        <v>1194.6600000000001</v>
      </c>
      <c r="L90">
        <v>2.11</v>
      </c>
      <c r="M90">
        <v>49701</v>
      </c>
      <c r="N90" t="s">
        <v>111</v>
      </c>
      <c r="O90">
        <v>250129</v>
      </c>
      <c r="P90">
        <v>8.27</v>
      </c>
    </row>
    <row r="91" spans="1:16" x14ac:dyDescent="0.25">
      <c r="A91" t="s">
        <v>3296</v>
      </c>
      <c r="B91" t="s">
        <v>2931</v>
      </c>
      <c r="C91">
        <v>785</v>
      </c>
      <c r="D91" t="str">
        <f t="shared" si="4"/>
        <v xml:space="preserve">684916      </v>
      </c>
      <c r="E91" t="s">
        <v>501</v>
      </c>
      <c r="F91" t="s">
        <v>502</v>
      </c>
      <c r="G91">
        <v>77.81</v>
      </c>
      <c r="H91">
        <v>250116</v>
      </c>
      <c r="I91">
        <v>4841</v>
      </c>
      <c r="J91" t="s">
        <v>9</v>
      </c>
      <c r="K91">
        <v>1194.6600000000001</v>
      </c>
      <c r="L91">
        <v>15.81</v>
      </c>
      <c r="M91">
        <v>49702</v>
      </c>
      <c r="N91" t="s">
        <v>112</v>
      </c>
      <c r="O91">
        <v>250129</v>
      </c>
      <c r="P91">
        <v>62</v>
      </c>
    </row>
    <row r="92" spans="1:16" x14ac:dyDescent="0.25">
      <c r="A92" t="s">
        <v>3296</v>
      </c>
      <c r="B92" t="s">
        <v>2931</v>
      </c>
      <c r="C92">
        <v>788</v>
      </c>
      <c r="D92" t="str">
        <f>"686452      "</f>
        <v xml:space="preserve">686452      </v>
      </c>
      <c r="E92" t="s">
        <v>501</v>
      </c>
      <c r="F92" t="s">
        <v>502</v>
      </c>
      <c r="G92">
        <v>125.5</v>
      </c>
      <c r="H92">
        <v>250120</v>
      </c>
      <c r="I92">
        <v>4841</v>
      </c>
      <c r="J92" t="s">
        <v>9</v>
      </c>
      <c r="K92">
        <v>125.5</v>
      </c>
      <c r="L92">
        <v>25.5</v>
      </c>
      <c r="M92">
        <v>43222</v>
      </c>
      <c r="N92" t="s">
        <v>95</v>
      </c>
      <c r="O92">
        <v>250129</v>
      </c>
      <c r="P92">
        <v>100</v>
      </c>
    </row>
    <row r="93" spans="1:16" x14ac:dyDescent="0.25">
      <c r="A93" t="s">
        <v>3296</v>
      </c>
      <c r="B93" t="s">
        <v>2931</v>
      </c>
      <c r="C93">
        <v>871</v>
      </c>
      <c r="D93" t="str">
        <f t="shared" ref="D93:D104" si="5">"684903      "</f>
        <v xml:space="preserve">684903      </v>
      </c>
      <c r="E93" t="s">
        <v>501</v>
      </c>
      <c r="F93" t="s">
        <v>502</v>
      </c>
      <c r="G93">
        <v>8.36</v>
      </c>
      <c r="H93">
        <v>250116</v>
      </c>
      <c r="I93">
        <v>4841</v>
      </c>
      <c r="J93" t="s">
        <v>9</v>
      </c>
      <c r="K93">
        <v>965.55</v>
      </c>
      <c r="L93">
        <v>1.7</v>
      </c>
      <c r="M93">
        <v>11751</v>
      </c>
      <c r="N93" t="s">
        <v>167</v>
      </c>
      <c r="O93">
        <v>250130</v>
      </c>
      <c r="P93">
        <v>6.66</v>
      </c>
    </row>
    <row r="94" spans="1:16" x14ac:dyDescent="0.25">
      <c r="A94" t="s">
        <v>3296</v>
      </c>
      <c r="B94" t="s">
        <v>2931</v>
      </c>
      <c r="C94">
        <v>871</v>
      </c>
      <c r="D94" t="str">
        <f t="shared" si="5"/>
        <v xml:space="preserve">684903      </v>
      </c>
      <c r="E94" t="s">
        <v>501</v>
      </c>
      <c r="F94" t="s">
        <v>502</v>
      </c>
      <c r="G94">
        <v>258.43</v>
      </c>
      <c r="H94">
        <v>250116</v>
      </c>
      <c r="I94">
        <v>4841</v>
      </c>
      <c r="J94" t="s">
        <v>9</v>
      </c>
      <c r="K94">
        <v>965.55</v>
      </c>
      <c r="L94">
        <v>52.51</v>
      </c>
      <c r="M94">
        <v>61122</v>
      </c>
      <c r="N94" t="s">
        <v>86</v>
      </c>
      <c r="O94">
        <v>250130</v>
      </c>
      <c r="P94">
        <v>205.92</v>
      </c>
    </row>
    <row r="95" spans="1:16" x14ac:dyDescent="0.25">
      <c r="A95" t="s">
        <v>3296</v>
      </c>
      <c r="B95" t="s">
        <v>2931</v>
      </c>
      <c r="C95">
        <v>871</v>
      </c>
      <c r="D95" t="str">
        <f t="shared" si="5"/>
        <v xml:space="preserve">684903      </v>
      </c>
      <c r="E95" t="s">
        <v>501</v>
      </c>
      <c r="F95" t="s">
        <v>502</v>
      </c>
      <c r="G95">
        <v>12.81</v>
      </c>
      <c r="H95">
        <v>250116</v>
      </c>
      <c r="I95">
        <v>4841</v>
      </c>
      <c r="J95" t="s">
        <v>9</v>
      </c>
      <c r="K95">
        <v>965.55</v>
      </c>
      <c r="L95">
        <v>2.6</v>
      </c>
      <c r="M95">
        <v>61122</v>
      </c>
      <c r="N95" t="s">
        <v>86</v>
      </c>
      <c r="O95">
        <v>250130</v>
      </c>
      <c r="P95">
        <v>10.210000000000001</v>
      </c>
    </row>
    <row r="96" spans="1:16" x14ac:dyDescent="0.25">
      <c r="A96" t="s">
        <v>3296</v>
      </c>
      <c r="B96" t="s">
        <v>2931</v>
      </c>
      <c r="C96">
        <v>871</v>
      </c>
      <c r="D96" t="str">
        <f t="shared" si="5"/>
        <v xml:space="preserve">684903      </v>
      </c>
      <c r="E96" t="s">
        <v>501</v>
      </c>
      <c r="F96" t="s">
        <v>502</v>
      </c>
      <c r="G96">
        <v>230.38</v>
      </c>
      <c r="H96">
        <v>250116</v>
      </c>
      <c r="I96">
        <v>4841</v>
      </c>
      <c r="J96" t="s">
        <v>9</v>
      </c>
      <c r="K96">
        <v>965.55</v>
      </c>
      <c r="L96">
        <v>46.81</v>
      </c>
      <c r="M96">
        <v>65222</v>
      </c>
      <c r="N96" t="s">
        <v>87</v>
      </c>
      <c r="O96">
        <v>250130</v>
      </c>
      <c r="P96">
        <v>183.57</v>
      </c>
    </row>
    <row r="97" spans="1:16" x14ac:dyDescent="0.25">
      <c r="A97" t="s">
        <v>3296</v>
      </c>
      <c r="B97" t="s">
        <v>2931</v>
      </c>
      <c r="C97">
        <v>871</v>
      </c>
      <c r="D97" t="str">
        <f t="shared" si="5"/>
        <v xml:space="preserve">684903      </v>
      </c>
      <c r="E97" t="s">
        <v>501</v>
      </c>
      <c r="F97" t="s">
        <v>502</v>
      </c>
      <c r="G97">
        <v>25.63</v>
      </c>
      <c r="H97">
        <v>250116</v>
      </c>
      <c r="I97">
        <v>4841</v>
      </c>
      <c r="J97" t="s">
        <v>9</v>
      </c>
      <c r="K97">
        <v>965.55</v>
      </c>
      <c r="L97">
        <v>5.21</v>
      </c>
      <c r="M97">
        <v>66722</v>
      </c>
      <c r="N97" t="s">
        <v>118</v>
      </c>
      <c r="O97">
        <v>250130</v>
      </c>
      <c r="P97">
        <v>20.420000000000002</v>
      </c>
    </row>
    <row r="98" spans="1:16" x14ac:dyDescent="0.25">
      <c r="A98" t="s">
        <v>3296</v>
      </c>
      <c r="B98" t="s">
        <v>2931</v>
      </c>
      <c r="C98">
        <v>871</v>
      </c>
      <c r="D98" t="str">
        <f t="shared" si="5"/>
        <v xml:space="preserve">684903      </v>
      </c>
      <c r="E98" t="s">
        <v>501</v>
      </c>
      <c r="F98" t="s">
        <v>502</v>
      </c>
      <c r="G98">
        <v>14.18</v>
      </c>
      <c r="H98">
        <v>250116</v>
      </c>
      <c r="I98">
        <v>4841</v>
      </c>
      <c r="J98" t="s">
        <v>9</v>
      </c>
      <c r="K98">
        <v>965.55</v>
      </c>
      <c r="L98">
        <v>2.88</v>
      </c>
      <c r="M98">
        <v>66754</v>
      </c>
      <c r="N98" t="s">
        <v>119</v>
      </c>
      <c r="O98">
        <v>250130</v>
      </c>
      <c r="P98">
        <v>11.3</v>
      </c>
    </row>
    <row r="99" spans="1:16" x14ac:dyDescent="0.25">
      <c r="A99" t="s">
        <v>3296</v>
      </c>
      <c r="B99" t="s">
        <v>2931</v>
      </c>
      <c r="C99">
        <v>871</v>
      </c>
      <c r="D99" t="str">
        <f t="shared" si="5"/>
        <v xml:space="preserve">684903      </v>
      </c>
      <c r="E99" t="s">
        <v>501</v>
      </c>
      <c r="F99" t="s">
        <v>502</v>
      </c>
      <c r="G99">
        <v>59.78</v>
      </c>
      <c r="H99">
        <v>250116</v>
      </c>
      <c r="I99">
        <v>4841</v>
      </c>
      <c r="J99" t="s">
        <v>9</v>
      </c>
      <c r="K99">
        <v>965.55</v>
      </c>
      <c r="L99">
        <v>12.15</v>
      </c>
      <c r="M99">
        <v>66756</v>
      </c>
      <c r="N99" t="s">
        <v>120</v>
      </c>
      <c r="O99">
        <v>250130</v>
      </c>
      <c r="P99">
        <v>47.63</v>
      </c>
    </row>
    <row r="100" spans="1:16" x14ac:dyDescent="0.25">
      <c r="A100" t="s">
        <v>3296</v>
      </c>
      <c r="B100" t="s">
        <v>2931</v>
      </c>
      <c r="C100">
        <v>871</v>
      </c>
      <c r="D100" t="str">
        <f t="shared" si="5"/>
        <v xml:space="preserve">684903      </v>
      </c>
      <c r="E100" t="s">
        <v>501</v>
      </c>
      <c r="F100" t="s">
        <v>502</v>
      </c>
      <c r="G100">
        <v>25.62</v>
      </c>
      <c r="H100">
        <v>250116</v>
      </c>
      <c r="I100">
        <v>4841</v>
      </c>
      <c r="J100" t="s">
        <v>9</v>
      </c>
      <c r="K100">
        <v>965.55</v>
      </c>
      <c r="L100">
        <v>5.21</v>
      </c>
      <c r="M100">
        <v>67522</v>
      </c>
      <c r="N100" t="s">
        <v>121</v>
      </c>
      <c r="O100">
        <v>250130</v>
      </c>
      <c r="P100">
        <v>20.41</v>
      </c>
    </row>
    <row r="101" spans="1:16" x14ac:dyDescent="0.25">
      <c r="A101" t="s">
        <v>3296</v>
      </c>
      <c r="B101" t="s">
        <v>2931</v>
      </c>
      <c r="C101">
        <v>871</v>
      </c>
      <c r="D101" t="str">
        <f t="shared" si="5"/>
        <v xml:space="preserve">684903      </v>
      </c>
      <c r="E101" t="s">
        <v>501</v>
      </c>
      <c r="F101" t="s">
        <v>502</v>
      </c>
      <c r="G101">
        <v>12.81</v>
      </c>
      <c r="H101">
        <v>250116</v>
      </c>
      <c r="I101">
        <v>4841</v>
      </c>
      <c r="J101" t="s">
        <v>9</v>
      </c>
      <c r="K101">
        <v>965.55</v>
      </c>
      <c r="L101">
        <v>2.6</v>
      </c>
      <c r="M101">
        <v>69111</v>
      </c>
      <c r="N101" t="s">
        <v>657</v>
      </c>
      <c r="O101">
        <v>250130</v>
      </c>
      <c r="P101">
        <v>10.210000000000001</v>
      </c>
    </row>
    <row r="102" spans="1:16" x14ac:dyDescent="0.25">
      <c r="A102" t="s">
        <v>3296</v>
      </c>
      <c r="B102" t="s">
        <v>2931</v>
      </c>
      <c r="C102">
        <v>871</v>
      </c>
      <c r="D102" t="str">
        <f t="shared" si="5"/>
        <v xml:space="preserve">684903      </v>
      </c>
      <c r="E102" t="s">
        <v>501</v>
      </c>
      <c r="F102" t="s">
        <v>502</v>
      </c>
      <c r="G102">
        <v>162.26</v>
      </c>
      <c r="H102">
        <v>250116</v>
      </c>
      <c r="I102">
        <v>4841</v>
      </c>
      <c r="J102" t="s">
        <v>9</v>
      </c>
      <c r="K102">
        <v>965.55</v>
      </c>
      <c r="L102">
        <v>32.97</v>
      </c>
      <c r="M102">
        <v>69702</v>
      </c>
      <c r="N102" t="s">
        <v>124</v>
      </c>
      <c r="O102">
        <v>250130</v>
      </c>
      <c r="P102">
        <v>129.29</v>
      </c>
    </row>
    <row r="103" spans="1:16" x14ac:dyDescent="0.25">
      <c r="A103" t="s">
        <v>3296</v>
      </c>
      <c r="B103" t="s">
        <v>2931</v>
      </c>
      <c r="C103">
        <v>871</v>
      </c>
      <c r="D103" t="str">
        <f t="shared" si="5"/>
        <v xml:space="preserve">684903      </v>
      </c>
      <c r="E103" t="s">
        <v>501</v>
      </c>
      <c r="F103" t="s">
        <v>502</v>
      </c>
      <c r="G103">
        <v>132.34</v>
      </c>
      <c r="H103">
        <v>250116</v>
      </c>
      <c r="I103">
        <v>4841</v>
      </c>
      <c r="J103" t="s">
        <v>9</v>
      </c>
      <c r="K103">
        <v>965.55</v>
      </c>
      <c r="L103">
        <v>26.89</v>
      </c>
      <c r="M103">
        <v>69704</v>
      </c>
      <c r="N103" t="s">
        <v>89</v>
      </c>
      <c r="O103">
        <v>250130</v>
      </c>
      <c r="P103">
        <v>105.45</v>
      </c>
    </row>
    <row r="104" spans="1:16" x14ac:dyDescent="0.25">
      <c r="A104" t="s">
        <v>3296</v>
      </c>
      <c r="B104" t="s">
        <v>2931</v>
      </c>
      <c r="C104">
        <v>871</v>
      </c>
      <c r="D104" t="str">
        <f t="shared" si="5"/>
        <v xml:space="preserve">684903      </v>
      </c>
      <c r="E104" t="s">
        <v>501</v>
      </c>
      <c r="F104" t="s">
        <v>502</v>
      </c>
      <c r="G104">
        <v>22.95</v>
      </c>
      <c r="H104">
        <v>250116</v>
      </c>
      <c r="I104">
        <v>4841</v>
      </c>
      <c r="J104" t="s">
        <v>9</v>
      </c>
      <c r="K104">
        <v>965.55</v>
      </c>
      <c r="L104">
        <v>4.66</v>
      </c>
      <c r="M104">
        <v>69707</v>
      </c>
      <c r="N104" t="s">
        <v>90</v>
      </c>
      <c r="O104">
        <v>250130</v>
      </c>
      <c r="P104">
        <v>18.29</v>
      </c>
    </row>
    <row r="105" spans="1:16" x14ac:dyDescent="0.25">
      <c r="A105" t="s">
        <v>3296</v>
      </c>
      <c r="B105" t="s">
        <v>2931</v>
      </c>
      <c r="C105">
        <v>2411</v>
      </c>
      <c r="D105" t="str">
        <f>"687328      "</f>
        <v xml:space="preserve">687328      </v>
      </c>
      <c r="E105" t="s">
        <v>501</v>
      </c>
      <c r="F105" t="s">
        <v>502</v>
      </c>
      <c r="G105">
        <v>10.38</v>
      </c>
      <c r="H105">
        <v>250217</v>
      </c>
      <c r="I105">
        <v>4841</v>
      </c>
      <c r="J105" t="s">
        <v>9</v>
      </c>
      <c r="K105">
        <v>20.76</v>
      </c>
      <c r="L105">
        <v>2.11</v>
      </c>
      <c r="M105">
        <v>46555</v>
      </c>
      <c r="N105" t="s">
        <v>103</v>
      </c>
      <c r="O105">
        <v>250225</v>
      </c>
      <c r="P105">
        <v>8.27</v>
      </c>
    </row>
    <row r="106" spans="1:16" x14ac:dyDescent="0.25">
      <c r="A106" t="s">
        <v>3296</v>
      </c>
      <c r="B106" t="s">
        <v>2931</v>
      </c>
      <c r="C106">
        <v>2411</v>
      </c>
      <c r="D106" t="str">
        <f>"687328      "</f>
        <v xml:space="preserve">687328      </v>
      </c>
      <c r="E106" t="s">
        <v>501</v>
      </c>
      <c r="F106" t="s">
        <v>502</v>
      </c>
      <c r="G106">
        <v>10.38</v>
      </c>
      <c r="H106">
        <v>250217</v>
      </c>
      <c r="I106">
        <v>4841</v>
      </c>
      <c r="J106" t="s">
        <v>9</v>
      </c>
      <c r="K106">
        <v>20.76</v>
      </c>
      <c r="L106">
        <v>2.11</v>
      </c>
      <c r="M106">
        <v>47522</v>
      </c>
      <c r="N106" t="s">
        <v>106</v>
      </c>
      <c r="O106">
        <v>250225</v>
      </c>
      <c r="P106">
        <v>8.27</v>
      </c>
    </row>
    <row r="107" spans="1:16" x14ac:dyDescent="0.25">
      <c r="A107" t="s">
        <v>3296</v>
      </c>
      <c r="B107" t="s">
        <v>2931</v>
      </c>
      <c r="C107">
        <v>2845</v>
      </c>
      <c r="D107" t="str">
        <f>"687771      "</f>
        <v xml:space="preserve">687771      </v>
      </c>
      <c r="E107" t="s">
        <v>501</v>
      </c>
      <c r="F107" t="s">
        <v>502</v>
      </c>
      <c r="G107">
        <v>12.27</v>
      </c>
      <c r="H107">
        <v>250201</v>
      </c>
      <c r="I107">
        <v>4841</v>
      </c>
      <c r="J107" t="s">
        <v>9</v>
      </c>
      <c r="K107">
        <v>12.27</v>
      </c>
      <c r="L107">
        <v>2.4900000000000002</v>
      </c>
      <c r="M107">
        <v>56526</v>
      </c>
      <c r="N107" t="s">
        <v>506</v>
      </c>
      <c r="O107">
        <v>250312</v>
      </c>
      <c r="P107">
        <v>9.7799999999999994</v>
      </c>
    </row>
    <row r="108" spans="1:16" x14ac:dyDescent="0.25">
      <c r="A108" t="s">
        <v>3296</v>
      </c>
      <c r="B108" t="s">
        <v>2931</v>
      </c>
      <c r="C108">
        <v>4819</v>
      </c>
      <c r="D108" t="str">
        <f>"689794      "</f>
        <v xml:space="preserve">689794      </v>
      </c>
      <c r="E108" t="s">
        <v>501</v>
      </c>
      <c r="F108" t="s">
        <v>502</v>
      </c>
      <c r="G108">
        <v>50.2</v>
      </c>
      <c r="H108">
        <v>250326</v>
      </c>
      <c r="I108">
        <v>4841</v>
      </c>
      <c r="J108" t="s">
        <v>9</v>
      </c>
      <c r="K108">
        <v>75.3</v>
      </c>
      <c r="L108">
        <v>10.199999999999999</v>
      </c>
      <c r="M108">
        <v>49702</v>
      </c>
      <c r="N108" t="s">
        <v>112</v>
      </c>
      <c r="O108">
        <v>250415</v>
      </c>
      <c r="P108">
        <v>40</v>
      </c>
    </row>
    <row r="109" spans="1:16" x14ac:dyDescent="0.25">
      <c r="A109" t="s">
        <v>3296</v>
      </c>
      <c r="B109" t="s">
        <v>2931</v>
      </c>
      <c r="C109">
        <v>4819</v>
      </c>
      <c r="D109" t="str">
        <f>"689794      "</f>
        <v xml:space="preserve">689794      </v>
      </c>
      <c r="E109" t="s">
        <v>501</v>
      </c>
      <c r="F109" t="s">
        <v>502</v>
      </c>
      <c r="G109">
        <v>25.1</v>
      </c>
      <c r="H109">
        <v>250326</v>
      </c>
      <c r="I109">
        <v>4841</v>
      </c>
      <c r="J109" t="s">
        <v>9</v>
      </c>
      <c r="K109">
        <v>75.3</v>
      </c>
      <c r="L109">
        <v>5.0999999999999996</v>
      </c>
      <c r="M109">
        <v>59702</v>
      </c>
      <c r="N109" t="s">
        <v>45</v>
      </c>
      <c r="O109">
        <v>250415</v>
      </c>
      <c r="P109">
        <v>20</v>
      </c>
    </row>
    <row r="110" spans="1:16" x14ac:dyDescent="0.25">
      <c r="A110" t="s">
        <v>3296</v>
      </c>
      <c r="B110" t="s">
        <v>2931</v>
      </c>
      <c r="C110">
        <v>4841</v>
      </c>
      <c r="D110" t="str">
        <f>"689981      "</f>
        <v xml:space="preserve">689981      </v>
      </c>
      <c r="E110" t="s">
        <v>501</v>
      </c>
      <c r="F110" t="s">
        <v>502</v>
      </c>
      <c r="G110">
        <v>87.85</v>
      </c>
      <c r="H110">
        <v>250327</v>
      </c>
      <c r="I110">
        <v>4841</v>
      </c>
      <c r="J110" t="s">
        <v>9</v>
      </c>
      <c r="K110">
        <v>87.85</v>
      </c>
      <c r="L110">
        <v>17.850000000000001</v>
      </c>
      <c r="M110">
        <v>56526</v>
      </c>
      <c r="N110" t="s">
        <v>506</v>
      </c>
      <c r="O110">
        <v>250415</v>
      </c>
      <c r="P110">
        <v>70</v>
      </c>
    </row>
    <row r="111" spans="1:16" x14ac:dyDescent="0.25">
      <c r="A111" t="s">
        <v>3296</v>
      </c>
      <c r="B111" t="s">
        <v>2931</v>
      </c>
      <c r="C111">
        <v>5253</v>
      </c>
      <c r="D111" t="str">
        <f>"690141      "</f>
        <v xml:space="preserve">690141      </v>
      </c>
      <c r="E111" t="s">
        <v>501</v>
      </c>
      <c r="F111" t="s">
        <v>502</v>
      </c>
      <c r="G111">
        <v>100.4</v>
      </c>
      <c r="H111">
        <v>250401</v>
      </c>
      <c r="I111">
        <v>4841</v>
      </c>
      <c r="J111" t="s">
        <v>9</v>
      </c>
      <c r="K111">
        <v>100.4</v>
      </c>
      <c r="L111">
        <v>20.399999999999999</v>
      </c>
      <c r="M111">
        <v>11801</v>
      </c>
      <c r="N111" t="s">
        <v>40</v>
      </c>
      <c r="O111">
        <v>250423</v>
      </c>
      <c r="P111">
        <v>80</v>
      </c>
    </row>
    <row r="112" spans="1:16" x14ac:dyDescent="0.25">
      <c r="A112" t="s">
        <v>3296</v>
      </c>
      <c r="B112" t="s">
        <v>2931</v>
      </c>
      <c r="C112">
        <v>5333</v>
      </c>
      <c r="D112" t="str">
        <f>"690387      "</f>
        <v xml:space="preserve">690387      </v>
      </c>
      <c r="E112" t="s">
        <v>501</v>
      </c>
      <c r="F112" t="s">
        <v>502</v>
      </c>
      <c r="G112">
        <v>451.8</v>
      </c>
      <c r="H112">
        <v>250402</v>
      </c>
      <c r="I112">
        <v>4841</v>
      </c>
      <c r="J112" t="s">
        <v>9</v>
      </c>
      <c r="K112">
        <v>451.8</v>
      </c>
      <c r="L112">
        <v>91.8</v>
      </c>
      <c r="M112">
        <v>11801</v>
      </c>
      <c r="N112" t="s">
        <v>40</v>
      </c>
      <c r="O112">
        <v>250423</v>
      </c>
      <c r="P112">
        <v>360</v>
      </c>
    </row>
    <row r="113" spans="1:16" x14ac:dyDescent="0.25">
      <c r="A113" t="s">
        <v>3296</v>
      </c>
      <c r="B113" t="s">
        <v>2931</v>
      </c>
      <c r="C113">
        <v>5657</v>
      </c>
      <c r="D113" t="str">
        <f>"692144      "</f>
        <v xml:space="preserve">692144      </v>
      </c>
      <c r="E113" t="s">
        <v>501</v>
      </c>
      <c r="F113" t="s">
        <v>502</v>
      </c>
      <c r="G113">
        <v>308.48</v>
      </c>
      <c r="H113">
        <v>250417</v>
      </c>
      <c r="I113">
        <v>4841</v>
      </c>
      <c r="J113" t="s">
        <v>9</v>
      </c>
      <c r="K113">
        <v>308.48</v>
      </c>
      <c r="L113">
        <v>62.68</v>
      </c>
      <c r="M113">
        <v>13401</v>
      </c>
      <c r="N113" t="s">
        <v>10</v>
      </c>
      <c r="O113">
        <v>250428</v>
      </c>
      <c r="P113">
        <v>245.8</v>
      </c>
    </row>
    <row r="114" spans="1:16" x14ac:dyDescent="0.25">
      <c r="A114" t="s">
        <v>3296</v>
      </c>
      <c r="B114" t="s">
        <v>2931</v>
      </c>
      <c r="C114">
        <v>5658</v>
      </c>
      <c r="D114" t="str">
        <f>"692145      "</f>
        <v xml:space="preserve">692145      </v>
      </c>
      <c r="E114" t="s">
        <v>501</v>
      </c>
      <c r="F114" t="s">
        <v>502</v>
      </c>
      <c r="G114">
        <v>28.25</v>
      </c>
      <c r="H114">
        <v>250417</v>
      </c>
      <c r="I114">
        <v>4841</v>
      </c>
      <c r="J114" t="s">
        <v>9</v>
      </c>
      <c r="K114">
        <v>154.85</v>
      </c>
      <c r="L114">
        <v>5.74</v>
      </c>
      <c r="M114">
        <v>56524</v>
      </c>
      <c r="N114" t="s">
        <v>69</v>
      </c>
      <c r="O114">
        <v>250428</v>
      </c>
      <c r="P114">
        <v>22.51</v>
      </c>
    </row>
    <row r="115" spans="1:16" x14ac:dyDescent="0.25">
      <c r="A115" t="s">
        <v>3296</v>
      </c>
      <c r="B115" t="s">
        <v>2931</v>
      </c>
      <c r="C115">
        <v>5658</v>
      </c>
      <c r="D115" t="str">
        <f>"692145      "</f>
        <v xml:space="preserve">692145      </v>
      </c>
      <c r="E115" t="s">
        <v>501</v>
      </c>
      <c r="F115" t="s">
        <v>502</v>
      </c>
      <c r="G115">
        <v>126.6</v>
      </c>
      <c r="H115">
        <v>250417</v>
      </c>
      <c r="I115">
        <v>4841</v>
      </c>
      <c r="J115" t="s">
        <v>9</v>
      </c>
      <c r="K115">
        <v>154.85</v>
      </c>
      <c r="L115">
        <v>25.72</v>
      </c>
      <c r="M115">
        <v>56526</v>
      </c>
      <c r="N115" t="s">
        <v>506</v>
      </c>
      <c r="O115">
        <v>250428</v>
      </c>
      <c r="P115">
        <v>100.88</v>
      </c>
    </row>
    <row r="116" spans="1:16" x14ac:dyDescent="0.25">
      <c r="A116" t="s">
        <v>3296</v>
      </c>
      <c r="B116" t="s">
        <v>2931</v>
      </c>
      <c r="C116">
        <v>5659</v>
      </c>
      <c r="D116" t="str">
        <f>"692153      "</f>
        <v xml:space="preserve">692153      </v>
      </c>
      <c r="E116" t="s">
        <v>501</v>
      </c>
      <c r="F116" t="s">
        <v>502</v>
      </c>
      <c r="G116">
        <v>57.07</v>
      </c>
      <c r="H116">
        <v>250417</v>
      </c>
      <c r="I116">
        <v>4841</v>
      </c>
      <c r="J116" t="s">
        <v>9</v>
      </c>
      <c r="K116">
        <v>71.33</v>
      </c>
      <c r="L116">
        <v>11.6</v>
      </c>
      <c r="M116">
        <v>53222</v>
      </c>
      <c r="N116" t="s">
        <v>41</v>
      </c>
      <c r="O116">
        <v>250428</v>
      </c>
      <c r="P116">
        <v>45.47</v>
      </c>
    </row>
    <row r="117" spans="1:16" x14ac:dyDescent="0.25">
      <c r="A117" t="s">
        <v>3296</v>
      </c>
      <c r="B117" t="s">
        <v>2931</v>
      </c>
      <c r="C117">
        <v>5659</v>
      </c>
      <c r="D117" t="str">
        <f>"692153      "</f>
        <v xml:space="preserve">692153      </v>
      </c>
      <c r="E117" t="s">
        <v>501</v>
      </c>
      <c r="F117" t="s">
        <v>502</v>
      </c>
      <c r="G117">
        <v>7.53</v>
      </c>
      <c r="H117">
        <v>250417</v>
      </c>
      <c r="I117">
        <v>4841</v>
      </c>
      <c r="J117" t="s">
        <v>9</v>
      </c>
      <c r="K117">
        <v>71.33</v>
      </c>
      <c r="L117">
        <v>1.53</v>
      </c>
      <c r="M117">
        <v>59702</v>
      </c>
      <c r="N117" t="s">
        <v>45</v>
      </c>
      <c r="O117">
        <v>250428</v>
      </c>
      <c r="P117">
        <v>6</v>
      </c>
    </row>
    <row r="118" spans="1:16" x14ac:dyDescent="0.25">
      <c r="A118" t="s">
        <v>3296</v>
      </c>
      <c r="B118" t="s">
        <v>2931</v>
      </c>
      <c r="C118">
        <v>5659</v>
      </c>
      <c r="D118" t="str">
        <f>"692153      "</f>
        <v xml:space="preserve">692153      </v>
      </c>
      <c r="E118" t="s">
        <v>501</v>
      </c>
      <c r="F118" t="s">
        <v>502</v>
      </c>
      <c r="G118">
        <v>6.73</v>
      </c>
      <c r="H118">
        <v>250417</v>
      </c>
      <c r="I118">
        <v>4841</v>
      </c>
      <c r="J118" t="s">
        <v>9</v>
      </c>
      <c r="K118">
        <v>71.33</v>
      </c>
      <c r="L118">
        <v>1.37</v>
      </c>
      <c r="M118">
        <v>59704</v>
      </c>
      <c r="N118" t="s">
        <v>46</v>
      </c>
      <c r="O118">
        <v>250428</v>
      </c>
      <c r="P118">
        <v>5.36</v>
      </c>
    </row>
    <row r="119" spans="1:16" x14ac:dyDescent="0.25">
      <c r="A119" t="s">
        <v>3296</v>
      </c>
      <c r="B119" t="s">
        <v>2931</v>
      </c>
      <c r="C119">
        <v>5660</v>
      </c>
      <c r="D119" t="str">
        <f>"692137      "</f>
        <v xml:space="preserve">692137      </v>
      </c>
      <c r="E119" t="s">
        <v>501</v>
      </c>
      <c r="F119" t="s">
        <v>502</v>
      </c>
      <c r="G119">
        <v>466.87</v>
      </c>
      <c r="H119">
        <v>250417</v>
      </c>
      <c r="I119">
        <v>4841</v>
      </c>
      <c r="J119" t="s">
        <v>9</v>
      </c>
      <c r="K119">
        <v>466.87</v>
      </c>
      <c r="L119">
        <v>94.86</v>
      </c>
      <c r="M119">
        <v>13501</v>
      </c>
      <c r="N119" t="s">
        <v>66</v>
      </c>
      <c r="O119">
        <v>250428</v>
      </c>
      <c r="P119">
        <v>372.01</v>
      </c>
    </row>
    <row r="120" spans="1:16" x14ac:dyDescent="0.25">
      <c r="A120" t="s">
        <v>3296</v>
      </c>
      <c r="B120" t="s">
        <v>2931</v>
      </c>
      <c r="C120">
        <v>5661</v>
      </c>
      <c r="D120" t="str">
        <f>"692152      "</f>
        <v xml:space="preserve">692152      </v>
      </c>
      <c r="E120" t="s">
        <v>501</v>
      </c>
      <c r="F120" t="s">
        <v>502</v>
      </c>
      <c r="G120">
        <v>13.7</v>
      </c>
      <c r="H120">
        <v>250417</v>
      </c>
      <c r="I120">
        <v>4841</v>
      </c>
      <c r="J120" t="s">
        <v>9</v>
      </c>
      <c r="K120">
        <v>40.06</v>
      </c>
      <c r="L120">
        <v>2.78</v>
      </c>
      <c r="M120">
        <v>17538</v>
      </c>
      <c r="N120" t="s">
        <v>129</v>
      </c>
      <c r="O120">
        <v>250428</v>
      </c>
      <c r="P120">
        <v>10.92</v>
      </c>
    </row>
    <row r="121" spans="1:16" x14ac:dyDescent="0.25">
      <c r="A121" t="s">
        <v>3296</v>
      </c>
      <c r="B121" t="s">
        <v>2931</v>
      </c>
      <c r="C121">
        <v>5661</v>
      </c>
      <c r="D121" t="str">
        <f>"692152      "</f>
        <v xml:space="preserve">692152      </v>
      </c>
      <c r="E121" t="s">
        <v>501</v>
      </c>
      <c r="F121" t="s">
        <v>502</v>
      </c>
      <c r="G121">
        <v>26.36</v>
      </c>
      <c r="H121">
        <v>250417</v>
      </c>
      <c r="I121">
        <v>4841</v>
      </c>
      <c r="J121" t="s">
        <v>9</v>
      </c>
      <c r="K121">
        <v>40.06</v>
      </c>
      <c r="L121">
        <v>5.36</v>
      </c>
      <c r="M121">
        <v>17974</v>
      </c>
      <c r="N121" t="s">
        <v>153</v>
      </c>
      <c r="O121">
        <v>250428</v>
      </c>
      <c r="P121">
        <v>21</v>
      </c>
    </row>
    <row r="122" spans="1:16" x14ac:dyDescent="0.25">
      <c r="A122" t="s">
        <v>3296</v>
      </c>
      <c r="B122" t="s">
        <v>2931</v>
      </c>
      <c r="C122">
        <v>5662</v>
      </c>
      <c r="D122" t="str">
        <f t="shared" ref="D122:D128" si="6">"692142      "</f>
        <v xml:space="preserve">692142      </v>
      </c>
      <c r="E122" t="s">
        <v>501</v>
      </c>
      <c r="F122" t="s">
        <v>502</v>
      </c>
      <c r="G122">
        <v>68.61</v>
      </c>
      <c r="H122">
        <v>250417</v>
      </c>
      <c r="I122">
        <v>4841</v>
      </c>
      <c r="J122" t="s">
        <v>9</v>
      </c>
      <c r="K122">
        <v>351.59</v>
      </c>
      <c r="L122">
        <v>13.94</v>
      </c>
      <c r="M122">
        <v>17131</v>
      </c>
      <c r="N122" t="s">
        <v>154</v>
      </c>
      <c r="O122">
        <v>250428</v>
      </c>
      <c r="P122">
        <v>54.67</v>
      </c>
    </row>
    <row r="123" spans="1:16" x14ac:dyDescent="0.25">
      <c r="A123" t="s">
        <v>3296</v>
      </c>
      <c r="B123" t="s">
        <v>2931</v>
      </c>
      <c r="C123">
        <v>5662</v>
      </c>
      <c r="D123" t="str">
        <f t="shared" si="6"/>
        <v xml:space="preserve">692142      </v>
      </c>
      <c r="E123" t="s">
        <v>501</v>
      </c>
      <c r="F123" t="s">
        <v>502</v>
      </c>
      <c r="G123">
        <v>55.12</v>
      </c>
      <c r="H123">
        <v>250417</v>
      </c>
      <c r="I123">
        <v>4841</v>
      </c>
      <c r="J123" t="s">
        <v>9</v>
      </c>
      <c r="K123">
        <v>351.59</v>
      </c>
      <c r="L123">
        <v>11.2</v>
      </c>
      <c r="M123">
        <v>17711</v>
      </c>
      <c r="N123" t="s">
        <v>155</v>
      </c>
      <c r="O123">
        <v>250428</v>
      </c>
      <c r="P123">
        <v>43.92</v>
      </c>
    </row>
    <row r="124" spans="1:16" x14ac:dyDescent="0.25">
      <c r="A124" t="s">
        <v>3296</v>
      </c>
      <c r="B124" t="s">
        <v>2931</v>
      </c>
      <c r="C124">
        <v>5662</v>
      </c>
      <c r="D124" t="str">
        <f t="shared" si="6"/>
        <v xml:space="preserve">692142      </v>
      </c>
      <c r="E124" t="s">
        <v>501</v>
      </c>
      <c r="F124" t="s">
        <v>502</v>
      </c>
      <c r="G124">
        <v>169.28</v>
      </c>
      <c r="H124">
        <v>250417</v>
      </c>
      <c r="I124">
        <v>4841</v>
      </c>
      <c r="J124" t="s">
        <v>9</v>
      </c>
      <c r="K124">
        <v>351.59</v>
      </c>
      <c r="L124">
        <v>34.4</v>
      </c>
      <c r="M124">
        <v>17711</v>
      </c>
      <c r="N124" t="s">
        <v>155</v>
      </c>
      <c r="O124">
        <v>250428</v>
      </c>
      <c r="P124">
        <v>134.88</v>
      </c>
    </row>
    <row r="125" spans="1:16" x14ac:dyDescent="0.25">
      <c r="A125" t="s">
        <v>3296</v>
      </c>
      <c r="B125" t="s">
        <v>2931</v>
      </c>
      <c r="C125">
        <v>5662</v>
      </c>
      <c r="D125" t="str">
        <f t="shared" si="6"/>
        <v xml:space="preserve">692142      </v>
      </c>
      <c r="E125" t="s">
        <v>501</v>
      </c>
      <c r="F125" t="s">
        <v>502</v>
      </c>
      <c r="G125">
        <v>7.98</v>
      </c>
      <c r="H125">
        <v>250417</v>
      </c>
      <c r="I125">
        <v>4841</v>
      </c>
      <c r="J125" t="s">
        <v>9</v>
      </c>
      <c r="K125">
        <v>351.59</v>
      </c>
      <c r="L125">
        <v>1.62</v>
      </c>
      <c r="M125">
        <v>17737</v>
      </c>
      <c r="N125" t="s">
        <v>156</v>
      </c>
      <c r="O125">
        <v>250428</v>
      </c>
      <c r="P125">
        <v>6.36</v>
      </c>
    </row>
    <row r="126" spans="1:16" x14ac:dyDescent="0.25">
      <c r="A126" t="s">
        <v>3296</v>
      </c>
      <c r="B126" t="s">
        <v>2931</v>
      </c>
      <c r="C126">
        <v>5662</v>
      </c>
      <c r="D126" t="str">
        <f t="shared" si="6"/>
        <v xml:space="preserve">692142      </v>
      </c>
      <c r="E126" t="s">
        <v>501</v>
      </c>
      <c r="F126" t="s">
        <v>502</v>
      </c>
      <c r="G126">
        <v>7.96</v>
      </c>
      <c r="H126">
        <v>250417</v>
      </c>
      <c r="I126">
        <v>4841</v>
      </c>
      <c r="J126" t="s">
        <v>9</v>
      </c>
      <c r="K126">
        <v>351.59</v>
      </c>
      <c r="L126">
        <v>1.62</v>
      </c>
      <c r="M126">
        <v>17912</v>
      </c>
      <c r="N126" t="s">
        <v>505</v>
      </c>
      <c r="O126">
        <v>250428</v>
      </c>
      <c r="P126">
        <v>6.34</v>
      </c>
    </row>
    <row r="127" spans="1:16" x14ac:dyDescent="0.25">
      <c r="A127" t="s">
        <v>3296</v>
      </c>
      <c r="B127" t="s">
        <v>2931</v>
      </c>
      <c r="C127">
        <v>5662</v>
      </c>
      <c r="D127" t="str">
        <f t="shared" si="6"/>
        <v xml:space="preserve">692142      </v>
      </c>
      <c r="E127" t="s">
        <v>501</v>
      </c>
      <c r="F127" t="s">
        <v>502</v>
      </c>
      <c r="G127">
        <v>23.92</v>
      </c>
      <c r="H127">
        <v>250417</v>
      </c>
      <c r="I127">
        <v>4841</v>
      </c>
      <c r="J127" t="s">
        <v>9</v>
      </c>
      <c r="K127">
        <v>351.59</v>
      </c>
      <c r="L127">
        <v>4.8600000000000003</v>
      </c>
      <c r="M127">
        <v>17952</v>
      </c>
      <c r="N127" t="s">
        <v>157</v>
      </c>
      <c r="O127">
        <v>250428</v>
      </c>
      <c r="P127">
        <v>19.059999999999999</v>
      </c>
    </row>
    <row r="128" spans="1:16" x14ac:dyDescent="0.25">
      <c r="A128" t="s">
        <v>3296</v>
      </c>
      <c r="B128" t="s">
        <v>2931</v>
      </c>
      <c r="C128">
        <v>5662</v>
      </c>
      <c r="D128" t="str">
        <f t="shared" si="6"/>
        <v xml:space="preserve">692142      </v>
      </c>
      <c r="E128" t="s">
        <v>501</v>
      </c>
      <c r="F128" t="s">
        <v>502</v>
      </c>
      <c r="G128">
        <v>18.72</v>
      </c>
      <c r="H128">
        <v>250417</v>
      </c>
      <c r="I128">
        <v>4841</v>
      </c>
      <c r="J128" t="s">
        <v>9</v>
      </c>
      <c r="K128">
        <v>351.59</v>
      </c>
      <c r="L128">
        <v>3.8</v>
      </c>
      <c r="M128">
        <v>17972</v>
      </c>
      <c r="N128" t="s">
        <v>28</v>
      </c>
      <c r="O128">
        <v>250428</v>
      </c>
      <c r="P128">
        <v>14.92</v>
      </c>
    </row>
    <row r="129" spans="1:16" x14ac:dyDescent="0.25">
      <c r="A129" t="s">
        <v>3296</v>
      </c>
      <c r="B129" t="s">
        <v>2931</v>
      </c>
      <c r="C129">
        <v>5663</v>
      </c>
      <c r="D129" t="str">
        <f t="shared" ref="D129:D141" si="7">"692150      "</f>
        <v xml:space="preserve">692150      </v>
      </c>
      <c r="E129" t="s">
        <v>501</v>
      </c>
      <c r="F129" t="s">
        <v>502</v>
      </c>
      <c r="G129">
        <v>8.36</v>
      </c>
      <c r="H129">
        <v>250417</v>
      </c>
      <c r="I129">
        <v>4841</v>
      </c>
      <c r="J129" t="s">
        <v>9</v>
      </c>
      <c r="K129">
        <v>1066.72</v>
      </c>
      <c r="L129">
        <v>1.7</v>
      </c>
      <c r="M129">
        <v>11751</v>
      </c>
      <c r="N129" t="s">
        <v>167</v>
      </c>
      <c r="O129">
        <v>250428</v>
      </c>
      <c r="P129">
        <v>6.66</v>
      </c>
    </row>
    <row r="130" spans="1:16" x14ac:dyDescent="0.25">
      <c r="A130" t="s">
        <v>3296</v>
      </c>
      <c r="B130" t="s">
        <v>2931</v>
      </c>
      <c r="C130">
        <v>5663</v>
      </c>
      <c r="D130" t="str">
        <f t="shared" si="7"/>
        <v xml:space="preserve">692150      </v>
      </c>
      <c r="E130" t="s">
        <v>501</v>
      </c>
      <c r="F130" t="s">
        <v>502</v>
      </c>
      <c r="G130">
        <v>25.62</v>
      </c>
      <c r="H130">
        <v>250417</v>
      </c>
      <c r="I130">
        <v>4841</v>
      </c>
      <c r="J130" t="s">
        <v>9</v>
      </c>
      <c r="K130">
        <v>1066.72</v>
      </c>
      <c r="L130">
        <v>5.21</v>
      </c>
      <c r="M130">
        <v>61122</v>
      </c>
      <c r="N130" t="s">
        <v>86</v>
      </c>
      <c r="O130">
        <v>250428</v>
      </c>
      <c r="P130">
        <v>20.41</v>
      </c>
    </row>
    <row r="131" spans="1:16" x14ac:dyDescent="0.25">
      <c r="A131" t="s">
        <v>3296</v>
      </c>
      <c r="B131" t="s">
        <v>2931</v>
      </c>
      <c r="C131">
        <v>5663</v>
      </c>
      <c r="D131" t="str">
        <f t="shared" si="7"/>
        <v xml:space="preserve">692150      </v>
      </c>
      <c r="E131" t="s">
        <v>501</v>
      </c>
      <c r="F131" t="s">
        <v>502</v>
      </c>
      <c r="G131">
        <v>12.82</v>
      </c>
      <c r="H131">
        <v>250417</v>
      </c>
      <c r="I131">
        <v>4841</v>
      </c>
      <c r="J131" t="s">
        <v>9</v>
      </c>
      <c r="K131">
        <v>1066.72</v>
      </c>
      <c r="L131">
        <v>2.6</v>
      </c>
      <c r="M131">
        <v>61122</v>
      </c>
      <c r="N131" t="s">
        <v>86</v>
      </c>
      <c r="O131">
        <v>250428</v>
      </c>
      <c r="P131">
        <v>10.220000000000001</v>
      </c>
    </row>
    <row r="132" spans="1:16" x14ac:dyDescent="0.25">
      <c r="A132" t="s">
        <v>3296</v>
      </c>
      <c r="B132" t="s">
        <v>2931</v>
      </c>
      <c r="C132">
        <v>5663</v>
      </c>
      <c r="D132" t="str">
        <f t="shared" si="7"/>
        <v xml:space="preserve">692150      </v>
      </c>
      <c r="E132" t="s">
        <v>501</v>
      </c>
      <c r="F132" t="s">
        <v>502</v>
      </c>
      <c r="G132">
        <v>54.52</v>
      </c>
      <c r="H132">
        <v>250417</v>
      </c>
      <c r="I132">
        <v>4841</v>
      </c>
      <c r="J132" t="s">
        <v>9</v>
      </c>
      <c r="K132">
        <v>1066.72</v>
      </c>
      <c r="L132">
        <v>11.08</v>
      </c>
      <c r="M132">
        <v>65222</v>
      </c>
      <c r="N132" t="s">
        <v>87</v>
      </c>
      <c r="O132">
        <v>250428</v>
      </c>
      <c r="P132">
        <v>43.44</v>
      </c>
    </row>
    <row r="133" spans="1:16" x14ac:dyDescent="0.25">
      <c r="A133" t="s">
        <v>3296</v>
      </c>
      <c r="B133" t="s">
        <v>2931</v>
      </c>
      <c r="C133">
        <v>5663</v>
      </c>
      <c r="D133" t="str">
        <f t="shared" si="7"/>
        <v xml:space="preserve">692150      </v>
      </c>
      <c r="E133" t="s">
        <v>501</v>
      </c>
      <c r="F133" t="s">
        <v>502</v>
      </c>
      <c r="G133">
        <v>25.62</v>
      </c>
      <c r="H133">
        <v>250417</v>
      </c>
      <c r="I133">
        <v>4841</v>
      </c>
      <c r="J133" t="s">
        <v>9</v>
      </c>
      <c r="K133">
        <v>1066.72</v>
      </c>
      <c r="L133">
        <v>5.21</v>
      </c>
      <c r="M133">
        <v>66722</v>
      </c>
      <c r="N133" t="s">
        <v>118</v>
      </c>
      <c r="O133">
        <v>250428</v>
      </c>
      <c r="P133">
        <v>20.41</v>
      </c>
    </row>
    <row r="134" spans="1:16" x14ac:dyDescent="0.25">
      <c r="A134" t="s">
        <v>3296</v>
      </c>
      <c r="B134" t="s">
        <v>2931</v>
      </c>
      <c r="C134">
        <v>5663</v>
      </c>
      <c r="D134" t="str">
        <f t="shared" si="7"/>
        <v xml:space="preserve">692150      </v>
      </c>
      <c r="E134" t="s">
        <v>501</v>
      </c>
      <c r="F134" t="s">
        <v>502</v>
      </c>
      <c r="G134">
        <v>76.349999999999994</v>
      </c>
      <c r="H134">
        <v>250417</v>
      </c>
      <c r="I134">
        <v>4841</v>
      </c>
      <c r="J134" t="s">
        <v>9</v>
      </c>
      <c r="K134">
        <v>1066.72</v>
      </c>
      <c r="L134">
        <v>15.51</v>
      </c>
      <c r="M134">
        <v>66756</v>
      </c>
      <c r="N134" t="s">
        <v>120</v>
      </c>
      <c r="O134">
        <v>250428</v>
      </c>
      <c r="P134">
        <v>60.84</v>
      </c>
    </row>
    <row r="135" spans="1:16" x14ac:dyDescent="0.25">
      <c r="A135" t="s">
        <v>3296</v>
      </c>
      <c r="B135" t="s">
        <v>2931</v>
      </c>
      <c r="C135">
        <v>5663</v>
      </c>
      <c r="D135" t="str">
        <f t="shared" si="7"/>
        <v xml:space="preserve">692150      </v>
      </c>
      <c r="E135" t="s">
        <v>501</v>
      </c>
      <c r="F135" t="s">
        <v>502</v>
      </c>
      <c r="G135">
        <v>25.62</v>
      </c>
      <c r="H135">
        <v>250417</v>
      </c>
      <c r="I135">
        <v>4841</v>
      </c>
      <c r="J135" t="s">
        <v>9</v>
      </c>
      <c r="K135">
        <v>1066.72</v>
      </c>
      <c r="L135">
        <v>5.21</v>
      </c>
      <c r="M135">
        <v>67522</v>
      </c>
      <c r="N135" t="s">
        <v>121</v>
      </c>
      <c r="O135">
        <v>250428</v>
      </c>
      <c r="P135">
        <v>20.41</v>
      </c>
    </row>
    <row r="136" spans="1:16" x14ac:dyDescent="0.25">
      <c r="A136" t="s">
        <v>3296</v>
      </c>
      <c r="B136" t="s">
        <v>2931</v>
      </c>
      <c r="C136">
        <v>5663</v>
      </c>
      <c r="D136" t="str">
        <f t="shared" si="7"/>
        <v xml:space="preserve">692150      </v>
      </c>
      <c r="E136" t="s">
        <v>501</v>
      </c>
      <c r="F136" t="s">
        <v>502</v>
      </c>
      <c r="G136">
        <v>14.84</v>
      </c>
      <c r="H136">
        <v>250417</v>
      </c>
      <c r="I136">
        <v>4841</v>
      </c>
      <c r="J136" t="s">
        <v>9</v>
      </c>
      <c r="K136">
        <v>1066.72</v>
      </c>
      <c r="L136">
        <v>3.02</v>
      </c>
      <c r="M136">
        <v>69111</v>
      </c>
      <c r="N136" t="s">
        <v>657</v>
      </c>
      <c r="O136">
        <v>250428</v>
      </c>
      <c r="P136">
        <v>11.82</v>
      </c>
    </row>
    <row r="137" spans="1:16" x14ac:dyDescent="0.25">
      <c r="A137" t="s">
        <v>3296</v>
      </c>
      <c r="B137" t="s">
        <v>2931</v>
      </c>
      <c r="C137">
        <v>5663</v>
      </c>
      <c r="D137" t="str">
        <f t="shared" si="7"/>
        <v xml:space="preserve">692150      </v>
      </c>
      <c r="E137" t="s">
        <v>501</v>
      </c>
      <c r="F137" t="s">
        <v>502</v>
      </c>
      <c r="G137">
        <v>7.98</v>
      </c>
      <c r="H137">
        <v>250417</v>
      </c>
      <c r="I137">
        <v>4841</v>
      </c>
      <c r="J137" t="s">
        <v>9</v>
      </c>
      <c r="K137">
        <v>1066.72</v>
      </c>
      <c r="L137">
        <v>1.62</v>
      </c>
      <c r="M137">
        <v>69501</v>
      </c>
      <c r="N137" t="s">
        <v>123</v>
      </c>
      <c r="O137">
        <v>250428</v>
      </c>
      <c r="P137">
        <v>6.36</v>
      </c>
    </row>
    <row r="138" spans="1:16" x14ac:dyDescent="0.25">
      <c r="A138" t="s">
        <v>3296</v>
      </c>
      <c r="B138" t="s">
        <v>2931</v>
      </c>
      <c r="C138">
        <v>5663</v>
      </c>
      <c r="D138" t="str">
        <f t="shared" si="7"/>
        <v xml:space="preserve">692150      </v>
      </c>
      <c r="E138" t="s">
        <v>501</v>
      </c>
      <c r="F138" t="s">
        <v>502</v>
      </c>
      <c r="G138">
        <v>14.52</v>
      </c>
      <c r="H138">
        <v>250417</v>
      </c>
      <c r="I138">
        <v>4841</v>
      </c>
      <c r="J138" t="s">
        <v>9</v>
      </c>
      <c r="K138">
        <v>1066.72</v>
      </c>
      <c r="L138">
        <v>2.95</v>
      </c>
      <c r="M138">
        <v>69702</v>
      </c>
      <c r="N138" t="s">
        <v>124</v>
      </c>
      <c r="O138">
        <v>250428</v>
      </c>
      <c r="P138">
        <v>11.57</v>
      </c>
    </row>
    <row r="139" spans="1:16" x14ac:dyDescent="0.25">
      <c r="A139" t="s">
        <v>3296</v>
      </c>
      <c r="B139" t="s">
        <v>2931</v>
      </c>
      <c r="C139">
        <v>5663</v>
      </c>
      <c r="D139" t="str">
        <f t="shared" si="7"/>
        <v xml:space="preserve">692150      </v>
      </c>
      <c r="E139" t="s">
        <v>501</v>
      </c>
      <c r="F139" t="s">
        <v>502</v>
      </c>
      <c r="G139">
        <v>649.38</v>
      </c>
      <c r="H139">
        <v>250417</v>
      </c>
      <c r="I139">
        <v>4841</v>
      </c>
      <c r="J139" t="s">
        <v>9</v>
      </c>
      <c r="K139">
        <v>1066.72</v>
      </c>
      <c r="L139">
        <v>131.94999999999999</v>
      </c>
      <c r="M139">
        <v>69702</v>
      </c>
      <c r="N139" t="s">
        <v>124</v>
      </c>
      <c r="O139">
        <v>250428</v>
      </c>
      <c r="P139">
        <v>517.42999999999995</v>
      </c>
    </row>
    <row r="140" spans="1:16" x14ac:dyDescent="0.25">
      <c r="A140" t="s">
        <v>3296</v>
      </c>
      <c r="B140" t="s">
        <v>2931</v>
      </c>
      <c r="C140">
        <v>5663</v>
      </c>
      <c r="D140" t="str">
        <f t="shared" si="7"/>
        <v xml:space="preserve">692150      </v>
      </c>
      <c r="E140" t="s">
        <v>501</v>
      </c>
      <c r="F140" t="s">
        <v>502</v>
      </c>
      <c r="G140">
        <v>128.15</v>
      </c>
      <c r="H140">
        <v>250417</v>
      </c>
      <c r="I140">
        <v>4841</v>
      </c>
      <c r="J140" t="s">
        <v>9</v>
      </c>
      <c r="K140">
        <v>1066.72</v>
      </c>
      <c r="L140">
        <v>26.04</v>
      </c>
      <c r="M140">
        <v>69704</v>
      </c>
      <c r="N140" t="s">
        <v>89</v>
      </c>
      <c r="O140">
        <v>250428</v>
      </c>
      <c r="P140">
        <v>102.11</v>
      </c>
    </row>
    <row r="141" spans="1:16" x14ac:dyDescent="0.25">
      <c r="A141" t="s">
        <v>3296</v>
      </c>
      <c r="B141" t="s">
        <v>2931</v>
      </c>
      <c r="C141">
        <v>5663</v>
      </c>
      <c r="D141" t="str">
        <f t="shared" si="7"/>
        <v xml:space="preserve">692150      </v>
      </c>
      <c r="E141" t="s">
        <v>501</v>
      </c>
      <c r="F141" t="s">
        <v>502</v>
      </c>
      <c r="G141">
        <v>22.94</v>
      </c>
      <c r="H141">
        <v>250417</v>
      </c>
      <c r="I141">
        <v>4841</v>
      </c>
      <c r="J141" t="s">
        <v>9</v>
      </c>
      <c r="K141">
        <v>1066.72</v>
      </c>
      <c r="L141">
        <v>4.66</v>
      </c>
      <c r="M141">
        <v>69707</v>
      </c>
      <c r="N141" t="s">
        <v>90</v>
      </c>
      <c r="O141">
        <v>250428</v>
      </c>
      <c r="P141">
        <v>18.28</v>
      </c>
    </row>
    <row r="142" spans="1:16" x14ac:dyDescent="0.25">
      <c r="A142" t="s">
        <v>3296</v>
      </c>
      <c r="B142" t="s">
        <v>2931</v>
      </c>
      <c r="C142">
        <v>5664</v>
      </c>
      <c r="D142" t="str">
        <f>"692146      "</f>
        <v xml:space="preserve">692146      </v>
      </c>
      <c r="E142" t="s">
        <v>501</v>
      </c>
      <c r="F142" t="s">
        <v>502</v>
      </c>
      <c r="G142">
        <v>216.07</v>
      </c>
      <c r="H142">
        <v>250417</v>
      </c>
      <c r="I142">
        <v>4841</v>
      </c>
      <c r="J142" t="s">
        <v>9</v>
      </c>
      <c r="K142">
        <v>267.93</v>
      </c>
      <c r="L142">
        <v>43.9</v>
      </c>
      <c r="M142">
        <v>11903</v>
      </c>
      <c r="N142" t="s">
        <v>32</v>
      </c>
      <c r="O142">
        <v>250428</v>
      </c>
      <c r="P142">
        <v>172.17</v>
      </c>
    </row>
    <row r="143" spans="1:16" x14ac:dyDescent="0.25">
      <c r="A143" t="s">
        <v>3296</v>
      </c>
      <c r="B143" t="s">
        <v>2931</v>
      </c>
      <c r="C143">
        <v>5664</v>
      </c>
      <c r="D143" t="str">
        <f>"692146      "</f>
        <v xml:space="preserve">692146      </v>
      </c>
      <c r="E143" t="s">
        <v>501</v>
      </c>
      <c r="F143" t="s">
        <v>502</v>
      </c>
      <c r="G143">
        <v>10.38</v>
      </c>
      <c r="H143">
        <v>250417</v>
      </c>
      <c r="I143">
        <v>4841</v>
      </c>
      <c r="J143" t="s">
        <v>9</v>
      </c>
      <c r="K143">
        <v>267.93</v>
      </c>
      <c r="L143">
        <v>2.11</v>
      </c>
      <c r="M143">
        <v>11903</v>
      </c>
      <c r="N143" t="s">
        <v>32</v>
      </c>
      <c r="O143">
        <v>250428</v>
      </c>
      <c r="P143">
        <v>8.27</v>
      </c>
    </row>
    <row r="144" spans="1:16" x14ac:dyDescent="0.25">
      <c r="A144" t="s">
        <v>3296</v>
      </c>
      <c r="B144" t="s">
        <v>2931</v>
      </c>
      <c r="C144">
        <v>5664</v>
      </c>
      <c r="D144" t="str">
        <f>"692146      "</f>
        <v xml:space="preserve">692146      </v>
      </c>
      <c r="E144" t="s">
        <v>501</v>
      </c>
      <c r="F144" t="s">
        <v>502</v>
      </c>
      <c r="G144">
        <v>30.9</v>
      </c>
      <c r="H144">
        <v>250417</v>
      </c>
      <c r="I144">
        <v>4841</v>
      </c>
      <c r="J144" t="s">
        <v>9</v>
      </c>
      <c r="K144">
        <v>267.93</v>
      </c>
      <c r="L144">
        <v>6.28</v>
      </c>
      <c r="M144">
        <v>12500</v>
      </c>
      <c r="N144" t="s">
        <v>1502</v>
      </c>
      <c r="O144">
        <v>250428</v>
      </c>
      <c r="P144">
        <v>24.62</v>
      </c>
    </row>
    <row r="145" spans="1:16" x14ac:dyDescent="0.25">
      <c r="A145" t="s">
        <v>3296</v>
      </c>
      <c r="B145" t="s">
        <v>2931</v>
      </c>
      <c r="C145">
        <v>5664</v>
      </c>
      <c r="D145" t="str">
        <f>"692146      "</f>
        <v xml:space="preserve">692146      </v>
      </c>
      <c r="E145" t="s">
        <v>501</v>
      </c>
      <c r="F145" t="s">
        <v>502</v>
      </c>
      <c r="G145">
        <v>10.58</v>
      </c>
      <c r="H145">
        <v>250417</v>
      </c>
      <c r="I145">
        <v>4841</v>
      </c>
      <c r="J145" t="s">
        <v>9</v>
      </c>
      <c r="K145">
        <v>267.93</v>
      </c>
      <c r="L145">
        <v>2.15</v>
      </c>
      <c r="M145">
        <v>18993</v>
      </c>
      <c r="N145" t="s">
        <v>540</v>
      </c>
      <c r="O145">
        <v>250428</v>
      </c>
      <c r="P145">
        <v>8.43</v>
      </c>
    </row>
    <row r="146" spans="1:16" x14ac:dyDescent="0.25">
      <c r="A146" t="s">
        <v>3296</v>
      </c>
      <c r="B146" t="s">
        <v>2931</v>
      </c>
      <c r="C146">
        <v>5680</v>
      </c>
      <c r="D146" t="str">
        <f t="shared" ref="D146:D164" si="8">"692141      "</f>
        <v xml:space="preserve">692141      </v>
      </c>
      <c r="E146" t="s">
        <v>501</v>
      </c>
      <c r="F146" t="s">
        <v>502</v>
      </c>
      <c r="G146">
        <v>29.95</v>
      </c>
      <c r="H146">
        <v>250417</v>
      </c>
      <c r="I146">
        <v>4841</v>
      </c>
      <c r="J146" t="s">
        <v>9</v>
      </c>
      <c r="K146">
        <v>2390.36</v>
      </c>
      <c r="L146">
        <v>6.09</v>
      </c>
      <c r="M146">
        <v>41126</v>
      </c>
      <c r="N146" t="s">
        <v>94</v>
      </c>
      <c r="O146">
        <v>250428</v>
      </c>
      <c r="P146">
        <v>23.86</v>
      </c>
    </row>
    <row r="147" spans="1:16" x14ac:dyDescent="0.25">
      <c r="A147" t="s">
        <v>3296</v>
      </c>
      <c r="B147" t="s">
        <v>2931</v>
      </c>
      <c r="C147">
        <v>5680</v>
      </c>
      <c r="D147" t="str">
        <f t="shared" si="8"/>
        <v xml:space="preserve">692141      </v>
      </c>
      <c r="E147" t="s">
        <v>501</v>
      </c>
      <c r="F147" t="s">
        <v>502</v>
      </c>
      <c r="G147">
        <v>41.7</v>
      </c>
      <c r="H147">
        <v>250417</v>
      </c>
      <c r="I147">
        <v>4841</v>
      </c>
      <c r="J147" t="s">
        <v>9</v>
      </c>
      <c r="K147">
        <v>2390.36</v>
      </c>
      <c r="L147">
        <v>8.4700000000000006</v>
      </c>
      <c r="M147">
        <v>43222</v>
      </c>
      <c r="N147" t="s">
        <v>95</v>
      </c>
      <c r="O147">
        <v>250428</v>
      </c>
      <c r="P147">
        <v>33.229999999999997</v>
      </c>
    </row>
    <row r="148" spans="1:16" x14ac:dyDescent="0.25">
      <c r="A148" t="s">
        <v>3296</v>
      </c>
      <c r="B148" t="s">
        <v>2931</v>
      </c>
      <c r="C148">
        <v>5680</v>
      </c>
      <c r="D148" t="str">
        <f t="shared" si="8"/>
        <v xml:space="preserve">692141      </v>
      </c>
      <c r="E148" t="s">
        <v>501</v>
      </c>
      <c r="F148" t="s">
        <v>502</v>
      </c>
      <c r="G148">
        <v>60.09</v>
      </c>
      <c r="H148">
        <v>250417</v>
      </c>
      <c r="I148">
        <v>4841</v>
      </c>
      <c r="J148" t="s">
        <v>9</v>
      </c>
      <c r="K148">
        <v>2390.36</v>
      </c>
      <c r="L148">
        <v>12.21</v>
      </c>
      <c r="M148">
        <v>44222</v>
      </c>
      <c r="N148" t="s">
        <v>96</v>
      </c>
      <c r="O148">
        <v>250428</v>
      </c>
      <c r="P148">
        <v>47.88</v>
      </c>
    </row>
    <row r="149" spans="1:16" x14ac:dyDescent="0.25">
      <c r="A149" t="s">
        <v>3296</v>
      </c>
      <c r="B149" t="s">
        <v>2931</v>
      </c>
      <c r="C149">
        <v>5680</v>
      </c>
      <c r="D149" t="str">
        <f t="shared" si="8"/>
        <v xml:space="preserve">692141      </v>
      </c>
      <c r="E149" t="s">
        <v>501</v>
      </c>
      <c r="F149" t="s">
        <v>502</v>
      </c>
      <c r="G149">
        <v>60.3</v>
      </c>
      <c r="H149">
        <v>250417</v>
      </c>
      <c r="I149">
        <v>4841</v>
      </c>
      <c r="J149" t="s">
        <v>9</v>
      </c>
      <c r="K149">
        <v>2390.36</v>
      </c>
      <c r="L149">
        <v>12.25</v>
      </c>
      <c r="M149">
        <v>44424</v>
      </c>
      <c r="N149" t="s">
        <v>99</v>
      </c>
      <c r="O149">
        <v>250428</v>
      </c>
      <c r="P149">
        <v>48.05</v>
      </c>
    </row>
    <row r="150" spans="1:16" x14ac:dyDescent="0.25">
      <c r="A150" t="s">
        <v>3296</v>
      </c>
      <c r="B150" t="s">
        <v>2931</v>
      </c>
      <c r="C150">
        <v>5680</v>
      </c>
      <c r="D150" t="str">
        <f t="shared" si="8"/>
        <v xml:space="preserve">692141      </v>
      </c>
      <c r="E150" t="s">
        <v>501</v>
      </c>
      <c r="F150" t="s">
        <v>502</v>
      </c>
      <c r="G150">
        <v>21.16</v>
      </c>
      <c r="H150">
        <v>250417</v>
      </c>
      <c r="I150">
        <v>4841</v>
      </c>
      <c r="J150" t="s">
        <v>9</v>
      </c>
      <c r="K150">
        <v>2390.36</v>
      </c>
      <c r="L150">
        <v>4.3</v>
      </c>
      <c r="M150">
        <v>46222</v>
      </c>
      <c r="N150" t="s">
        <v>101</v>
      </c>
      <c r="O150">
        <v>250428</v>
      </c>
      <c r="P150">
        <v>16.86</v>
      </c>
    </row>
    <row r="151" spans="1:16" x14ac:dyDescent="0.25">
      <c r="A151" t="s">
        <v>3296</v>
      </c>
      <c r="B151" t="s">
        <v>2931</v>
      </c>
      <c r="C151">
        <v>5680</v>
      </c>
      <c r="D151" t="str">
        <f t="shared" si="8"/>
        <v xml:space="preserve">692141      </v>
      </c>
      <c r="E151" t="s">
        <v>501</v>
      </c>
      <c r="F151" t="s">
        <v>502</v>
      </c>
      <c r="G151">
        <v>62.27</v>
      </c>
      <c r="H151">
        <v>250417</v>
      </c>
      <c r="I151">
        <v>4841</v>
      </c>
      <c r="J151" t="s">
        <v>9</v>
      </c>
      <c r="K151">
        <v>2390.36</v>
      </c>
      <c r="L151">
        <v>12.65</v>
      </c>
      <c r="M151">
        <v>46554</v>
      </c>
      <c r="N151" t="s">
        <v>102</v>
      </c>
      <c r="O151">
        <v>250428</v>
      </c>
      <c r="P151">
        <v>49.62</v>
      </c>
    </row>
    <row r="152" spans="1:16" x14ac:dyDescent="0.25">
      <c r="A152" t="s">
        <v>3296</v>
      </c>
      <c r="B152" t="s">
        <v>2931</v>
      </c>
      <c r="C152">
        <v>5680</v>
      </c>
      <c r="D152" t="str">
        <f t="shared" si="8"/>
        <v xml:space="preserve">692141      </v>
      </c>
      <c r="E152" t="s">
        <v>501</v>
      </c>
      <c r="F152" t="s">
        <v>502</v>
      </c>
      <c r="G152">
        <v>47.4</v>
      </c>
      <c r="H152">
        <v>250417</v>
      </c>
      <c r="I152">
        <v>4841</v>
      </c>
      <c r="J152" t="s">
        <v>9</v>
      </c>
      <c r="K152">
        <v>2390.36</v>
      </c>
      <c r="L152">
        <v>9.6300000000000008</v>
      </c>
      <c r="M152">
        <v>46554</v>
      </c>
      <c r="N152" t="s">
        <v>102</v>
      </c>
      <c r="O152">
        <v>250428</v>
      </c>
      <c r="P152">
        <v>37.770000000000003</v>
      </c>
    </row>
    <row r="153" spans="1:16" x14ac:dyDescent="0.25">
      <c r="A153" t="s">
        <v>3296</v>
      </c>
      <c r="B153" t="s">
        <v>2931</v>
      </c>
      <c r="C153">
        <v>5680</v>
      </c>
      <c r="D153" t="str">
        <f t="shared" si="8"/>
        <v xml:space="preserve">692141      </v>
      </c>
      <c r="E153" t="s">
        <v>501</v>
      </c>
      <c r="F153" t="s">
        <v>502</v>
      </c>
      <c r="G153">
        <v>40.33</v>
      </c>
      <c r="H153">
        <v>250417</v>
      </c>
      <c r="I153">
        <v>4841</v>
      </c>
      <c r="J153" t="s">
        <v>9</v>
      </c>
      <c r="K153">
        <v>2390.36</v>
      </c>
      <c r="L153">
        <v>8.19</v>
      </c>
      <c r="M153">
        <v>46555</v>
      </c>
      <c r="N153" t="s">
        <v>103</v>
      </c>
      <c r="O153">
        <v>250428</v>
      </c>
      <c r="P153">
        <v>32.14</v>
      </c>
    </row>
    <row r="154" spans="1:16" x14ac:dyDescent="0.25">
      <c r="A154" t="s">
        <v>3296</v>
      </c>
      <c r="B154" t="s">
        <v>2931</v>
      </c>
      <c r="C154">
        <v>5680</v>
      </c>
      <c r="D154" t="str">
        <f t="shared" si="8"/>
        <v xml:space="preserve">692141      </v>
      </c>
      <c r="E154" t="s">
        <v>501</v>
      </c>
      <c r="F154" t="s">
        <v>502</v>
      </c>
      <c r="G154">
        <v>161.78</v>
      </c>
      <c r="H154">
        <v>250417</v>
      </c>
      <c r="I154">
        <v>4841</v>
      </c>
      <c r="J154" t="s">
        <v>9</v>
      </c>
      <c r="K154">
        <v>2390.36</v>
      </c>
      <c r="L154">
        <v>32.869999999999997</v>
      </c>
      <c r="M154">
        <v>46556</v>
      </c>
      <c r="N154" t="s">
        <v>458</v>
      </c>
      <c r="O154">
        <v>250428</v>
      </c>
      <c r="P154">
        <v>128.91</v>
      </c>
    </row>
    <row r="155" spans="1:16" x14ac:dyDescent="0.25">
      <c r="A155" t="s">
        <v>3296</v>
      </c>
      <c r="B155" t="s">
        <v>2931</v>
      </c>
      <c r="C155">
        <v>5680</v>
      </c>
      <c r="D155" t="str">
        <f t="shared" si="8"/>
        <v xml:space="preserve">692141      </v>
      </c>
      <c r="E155" t="s">
        <v>501</v>
      </c>
      <c r="F155" t="s">
        <v>502</v>
      </c>
      <c r="G155">
        <v>12.82</v>
      </c>
      <c r="H155">
        <v>250417</v>
      </c>
      <c r="I155">
        <v>4841</v>
      </c>
      <c r="J155" t="s">
        <v>9</v>
      </c>
      <c r="K155">
        <v>2390.36</v>
      </c>
      <c r="L155">
        <v>2.6</v>
      </c>
      <c r="M155">
        <v>46557</v>
      </c>
      <c r="N155" t="s">
        <v>104</v>
      </c>
      <c r="O155">
        <v>250428</v>
      </c>
      <c r="P155">
        <v>10.220000000000001</v>
      </c>
    </row>
    <row r="156" spans="1:16" x14ac:dyDescent="0.25">
      <c r="A156" t="s">
        <v>3296</v>
      </c>
      <c r="B156" t="s">
        <v>2931</v>
      </c>
      <c r="C156">
        <v>5680</v>
      </c>
      <c r="D156" t="str">
        <f t="shared" si="8"/>
        <v xml:space="preserve">692141      </v>
      </c>
      <c r="E156" t="s">
        <v>501</v>
      </c>
      <c r="F156" t="s">
        <v>502</v>
      </c>
      <c r="G156">
        <v>603.28</v>
      </c>
      <c r="H156">
        <v>250417</v>
      </c>
      <c r="I156">
        <v>4841</v>
      </c>
      <c r="J156" t="s">
        <v>9</v>
      </c>
      <c r="K156">
        <v>2390.36</v>
      </c>
      <c r="L156">
        <v>122.58</v>
      </c>
      <c r="M156">
        <v>46559</v>
      </c>
      <c r="N156" t="s">
        <v>105</v>
      </c>
      <c r="O156">
        <v>250428</v>
      </c>
      <c r="P156">
        <v>480.7</v>
      </c>
    </row>
    <row r="157" spans="1:16" x14ac:dyDescent="0.25">
      <c r="A157" t="s">
        <v>3296</v>
      </c>
      <c r="B157" t="s">
        <v>2931</v>
      </c>
      <c r="C157">
        <v>5680</v>
      </c>
      <c r="D157" t="str">
        <f t="shared" si="8"/>
        <v xml:space="preserve">692141      </v>
      </c>
      <c r="E157" t="s">
        <v>501</v>
      </c>
      <c r="F157" t="s">
        <v>502</v>
      </c>
      <c r="G157">
        <v>338.63</v>
      </c>
      <c r="H157">
        <v>250417</v>
      </c>
      <c r="I157">
        <v>4841</v>
      </c>
      <c r="J157" t="s">
        <v>9</v>
      </c>
      <c r="K157">
        <v>2390.36</v>
      </c>
      <c r="L157">
        <v>68.81</v>
      </c>
      <c r="M157">
        <v>47522</v>
      </c>
      <c r="N157" t="s">
        <v>106</v>
      </c>
      <c r="O157">
        <v>250428</v>
      </c>
      <c r="P157">
        <v>269.82</v>
      </c>
    </row>
    <row r="158" spans="1:16" x14ac:dyDescent="0.25">
      <c r="A158" t="s">
        <v>3296</v>
      </c>
      <c r="B158" t="s">
        <v>2931</v>
      </c>
      <c r="C158">
        <v>5680</v>
      </c>
      <c r="D158" t="str">
        <f t="shared" si="8"/>
        <v xml:space="preserve">692141      </v>
      </c>
      <c r="E158" t="s">
        <v>501</v>
      </c>
      <c r="F158" t="s">
        <v>502</v>
      </c>
      <c r="G158">
        <v>4.18</v>
      </c>
      <c r="H158">
        <v>250417</v>
      </c>
      <c r="I158">
        <v>4841</v>
      </c>
      <c r="J158" t="s">
        <v>9</v>
      </c>
      <c r="K158">
        <v>2390.36</v>
      </c>
      <c r="L158">
        <v>0.85</v>
      </c>
      <c r="M158">
        <v>48601</v>
      </c>
      <c r="N158" t="s">
        <v>107</v>
      </c>
      <c r="O158">
        <v>250428</v>
      </c>
      <c r="P158">
        <v>3.33</v>
      </c>
    </row>
    <row r="159" spans="1:16" x14ac:dyDescent="0.25">
      <c r="A159" t="s">
        <v>3296</v>
      </c>
      <c r="B159" t="s">
        <v>2931</v>
      </c>
      <c r="C159">
        <v>5680</v>
      </c>
      <c r="D159" t="str">
        <f t="shared" si="8"/>
        <v xml:space="preserve">692141      </v>
      </c>
      <c r="E159" t="s">
        <v>501</v>
      </c>
      <c r="F159" t="s">
        <v>502</v>
      </c>
      <c r="G159">
        <v>636.35</v>
      </c>
      <c r="H159">
        <v>250417</v>
      </c>
      <c r="I159">
        <v>4841</v>
      </c>
      <c r="J159" t="s">
        <v>9</v>
      </c>
      <c r="K159">
        <v>2390.36</v>
      </c>
      <c r="L159">
        <v>129.30000000000001</v>
      </c>
      <c r="M159">
        <v>48601</v>
      </c>
      <c r="N159" t="s">
        <v>107</v>
      </c>
      <c r="O159">
        <v>250428</v>
      </c>
      <c r="P159">
        <v>507.05</v>
      </c>
    </row>
    <row r="160" spans="1:16" x14ac:dyDescent="0.25">
      <c r="A160" t="s">
        <v>3296</v>
      </c>
      <c r="B160" t="s">
        <v>2931</v>
      </c>
      <c r="C160">
        <v>5680</v>
      </c>
      <c r="D160" t="str">
        <f t="shared" si="8"/>
        <v xml:space="preserve">692141      </v>
      </c>
      <c r="E160" t="s">
        <v>501</v>
      </c>
      <c r="F160" t="s">
        <v>502</v>
      </c>
      <c r="G160">
        <v>10.58</v>
      </c>
      <c r="H160">
        <v>250417</v>
      </c>
      <c r="I160">
        <v>4841</v>
      </c>
      <c r="J160" t="s">
        <v>9</v>
      </c>
      <c r="K160">
        <v>2390.36</v>
      </c>
      <c r="L160">
        <v>2.15</v>
      </c>
      <c r="M160">
        <v>49112</v>
      </c>
      <c r="N160" t="s">
        <v>109</v>
      </c>
      <c r="O160">
        <v>250428</v>
      </c>
      <c r="P160">
        <v>8.43</v>
      </c>
    </row>
    <row r="161" spans="1:16" x14ac:dyDescent="0.25">
      <c r="A161" t="s">
        <v>3296</v>
      </c>
      <c r="B161" t="s">
        <v>2931</v>
      </c>
      <c r="C161">
        <v>5680</v>
      </c>
      <c r="D161" t="str">
        <f t="shared" si="8"/>
        <v xml:space="preserve">692141      </v>
      </c>
      <c r="E161" t="s">
        <v>501</v>
      </c>
      <c r="F161" t="s">
        <v>502</v>
      </c>
      <c r="G161">
        <v>120.69</v>
      </c>
      <c r="H161">
        <v>250417</v>
      </c>
      <c r="I161">
        <v>4841</v>
      </c>
      <c r="J161" t="s">
        <v>9</v>
      </c>
      <c r="K161">
        <v>2390.36</v>
      </c>
      <c r="L161">
        <v>24.52</v>
      </c>
      <c r="M161">
        <v>49501</v>
      </c>
      <c r="N161" t="s">
        <v>110</v>
      </c>
      <c r="O161">
        <v>250428</v>
      </c>
      <c r="P161">
        <v>96.17</v>
      </c>
    </row>
    <row r="162" spans="1:16" x14ac:dyDescent="0.25">
      <c r="A162" t="s">
        <v>3296</v>
      </c>
      <c r="B162" t="s">
        <v>2931</v>
      </c>
      <c r="C162">
        <v>5680</v>
      </c>
      <c r="D162" t="str">
        <f t="shared" si="8"/>
        <v xml:space="preserve">692141      </v>
      </c>
      <c r="E162" t="s">
        <v>501</v>
      </c>
      <c r="F162" t="s">
        <v>502</v>
      </c>
      <c r="G162">
        <v>10.37</v>
      </c>
      <c r="H162">
        <v>250417</v>
      </c>
      <c r="I162">
        <v>4841</v>
      </c>
      <c r="J162" t="s">
        <v>9</v>
      </c>
      <c r="K162">
        <v>2390.36</v>
      </c>
      <c r="L162">
        <v>2.11</v>
      </c>
      <c r="M162">
        <v>49701</v>
      </c>
      <c r="N162" t="s">
        <v>111</v>
      </c>
      <c r="O162">
        <v>250428</v>
      </c>
      <c r="P162">
        <v>8.26</v>
      </c>
    </row>
    <row r="163" spans="1:16" x14ac:dyDescent="0.25">
      <c r="A163" t="s">
        <v>3296</v>
      </c>
      <c r="B163" t="s">
        <v>2931</v>
      </c>
      <c r="C163">
        <v>5680</v>
      </c>
      <c r="D163" t="str">
        <f t="shared" si="8"/>
        <v xml:space="preserve">692141      </v>
      </c>
      <c r="E163" t="s">
        <v>501</v>
      </c>
      <c r="F163" t="s">
        <v>502</v>
      </c>
      <c r="G163">
        <v>118.11</v>
      </c>
      <c r="H163">
        <v>250417</v>
      </c>
      <c r="I163">
        <v>4841</v>
      </c>
      <c r="J163" t="s">
        <v>9</v>
      </c>
      <c r="K163">
        <v>2390.36</v>
      </c>
      <c r="L163">
        <v>24</v>
      </c>
      <c r="M163">
        <v>49702</v>
      </c>
      <c r="N163" t="s">
        <v>112</v>
      </c>
      <c r="O163">
        <v>250428</v>
      </c>
      <c r="P163">
        <v>94.11</v>
      </c>
    </row>
    <row r="164" spans="1:16" x14ac:dyDescent="0.25">
      <c r="A164" t="s">
        <v>3296</v>
      </c>
      <c r="B164" t="s">
        <v>2931</v>
      </c>
      <c r="C164">
        <v>5680</v>
      </c>
      <c r="D164" t="str">
        <f t="shared" si="8"/>
        <v xml:space="preserve">692141      </v>
      </c>
      <c r="E164" t="s">
        <v>501</v>
      </c>
      <c r="F164" t="s">
        <v>502</v>
      </c>
      <c r="G164">
        <v>10.37</v>
      </c>
      <c r="H164">
        <v>250417</v>
      </c>
      <c r="I164">
        <v>4841</v>
      </c>
      <c r="J164" t="s">
        <v>9</v>
      </c>
      <c r="K164">
        <v>2390.36</v>
      </c>
      <c r="L164">
        <v>2.11</v>
      </c>
      <c r="M164">
        <v>49704</v>
      </c>
      <c r="N164" t="s">
        <v>113</v>
      </c>
      <c r="O164">
        <v>250428</v>
      </c>
      <c r="P164">
        <v>8.26</v>
      </c>
    </row>
    <row r="165" spans="1:16" x14ac:dyDescent="0.25">
      <c r="A165" t="s">
        <v>3296</v>
      </c>
      <c r="B165" t="s">
        <v>2931</v>
      </c>
      <c r="C165">
        <v>5681</v>
      </c>
      <c r="D165" t="str">
        <f t="shared" ref="D165:D172" si="9">"692139      "</f>
        <v xml:space="preserve">692139      </v>
      </c>
      <c r="E165" t="s">
        <v>501</v>
      </c>
      <c r="F165" t="s">
        <v>502</v>
      </c>
      <c r="G165">
        <v>28.79</v>
      </c>
      <c r="H165">
        <v>250417</v>
      </c>
      <c r="I165">
        <v>4841</v>
      </c>
      <c r="J165" t="s">
        <v>9</v>
      </c>
      <c r="K165">
        <v>394.22</v>
      </c>
      <c r="L165">
        <v>5.85</v>
      </c>
      <c r="M165">
        <v>54222</v>
      </c>
      <c r="N165" t="s">
        <v>48</v>
      </c>
      <c r="O165">
        <v>250428</v>
      </c>
      <c r="P165">
        <v>22.94</v>
      </c>
    </row>
    <row r="166" spans="1:16" x14ac:dyDescent="0.25">
      <c r="A166" t="s">
        <v>3296</v>
      </c>
      <c r="B166" t="s">
        <v>2931</v>
      </c>
      <c r="C166">
        <v>5681</v>
      </c>
      <c r="D166" t="str">
        <f t="shared" si="9"/>
        <v xml:space="preserve">692139      </v>
      </c>
      <c r="E166" t="s">
        <v>501</v>
      </c>
      <c r="F166" t="s">
        <v>502</v>
      </c>
      <c r="G166">
        <v>28.25</v>
      </c>
      <c r="H166">
        <v>250417</v>
      </c>
      <c r="I166">
        <v>4841</v>
      </c>
      <c r="J166" t="s">
        <v>9</v>
      </c>
      <c r="K166">
        <v>394.22</v>
      </c>
      <c r="L166">
        <v>5.74</v>
      </c>
      <c r="M166">
        <v>54422</v>
      </c>
      <c r="N166" t="s">
        <v>49</v>
      </c>
      <c r="O166">
        <v>250428</v>
      </c>
      <c r="P166">
        <v>22.51</v>
      </c>
    </row>
    <row r="167" spans="1:16" x14ac:dyDescent="0.25">
      <c r="A167" t="s">
        <v>3296</v>
      </c>
      <c r="B167" t="s">
        <v>2931</v>
      </c>
      <c r="C167">
        <v>5681</v>
      </c>
      <c r="D167" t="str">
        <f t="shared" si="9"/>
        <v xml:space="preserve">692139      </v>
      </c>
      <c r="E167" t="s">
        <v>501</v>
      </c>
      <c r="F167" t="s">
        <v>502</v>
      </c>
      <c r="G167">
        <v>61.75</v>
      </c>
      <c r="H167">
        <v>250417</v>
      </c>
      <c r="I167">
        <v>4841</v>
      </c>
      <c r="J167" t="s">
        <v>9</v>
      </c>
      <c r="K167">
        <v>394.22</v>
      </c>
      <c r="L167">
        <v>12.55</v>
      </c>
      <c r="M167">
        <v>56558</v>
      </c>
      <c r="N167" t="s">
        <v>50</v>
      </c>
      <c r="O167">
        <v>250428</v>
      </c>
      <c r="P167">
        <v>49.2</v>
      </c>
    </row>
    <row r="168" spans="1:16" x14ac:dyDescent="0.25">
      <c r="A168" t="s">
        <v>3296</v>
      </c>
      <c r="B168" t="s">
        <v>2931</v>
      </c>
      <c r="C168">
        <v>5681</v>
      </c>
      <c r="D168" t="str">
        <f t="shared" si="9"/>
        <v xml:space="preserve">692139      </v>
      </c>
      <c r="E168" t="s">
        <v>501</v>
      </c>
      <c r="F168" t="s">
        <v>502</v>
      </c>
      <c r="G168">
        <v>19.559999999999999</v>
      </c>
      <c r="H168">
        <v>250417</v>
      </c>
      <c r="I168">
        <v>4841</v>
      </c>
      <c r="J168" t="s">
        <v>9</v>
      </c>
      <c r="K168">
        <v>394.22</v>
      </c>
      <c r="L168">
        <v>3.97</v>
      </c>
      <c r="M168">
        <v>56559</v>
      </c>
      <c r="N168" t="s">
        <v>51</v>
      </c>
      <c r="O168">
        <v>250428</v>
      </c>
      <c r="P168">
        <v>15.59</v>
      </c>
    </row>
    <row r="169" spans="1:16" x14ac:dyDescent="0.25">
      <c r="A169" t="s">
        <v>3296</v>
      </c>
      <c r="B169" t="s">
        <v>2931</v>
      </c>
      <c r="C169">
        <v>5681</v>
      </c>
      <c r="D169" t="str">
        <f t="shared" si="9"/>
        <v xml:space="preserve">692139      </v>
      </c>
      <c r="E169" t="s">
        <v>501</v>
      </c>
      <c r="F169" t="s">
        <v>502</v>
      </c>
      <c r="G169">
        <v>59.25</v>
      </c>
      <c r="H169">
        <v>250417</v>
      </c>
      <c r="I169">
        <v>4841</v>
      </c>
      <c r="J169" t="s">
        <v>9</v>
      </c>
      <c r="K169">
        <v>394.22</v>
      </c>
      <c r="L169">
        <v>12.04</v>
      </c>
      <c r="M169">
        <v>56562</v>
      </c>
      <c r="N169" t="s">
        <v>54</v>
      </c>
      <c r="O169">
        <v>250428</v>
      </c>
      <c r="P169">
        <v>47.21</v>
      </c>
    </row>
    <row r="170" spans="1:16" x14ac:dyDescent="0.25">
      <c r="A170" t="s">
        <v>3296</v>
      </c>
      <c r="B170" t="s">
        <v>2931</v>
      </c>
      <c r="C170">
        <v>5681</v>
      </c>
      <c r="D170" t="str">
        <f t="shared" si="9"/>
        <v xml:space="preserve">692139      </v>
      </c>
      <c r="E170" t="s">
        <v>501</v>
      </c>
      <c r="F170" t="s">
        <v>502</v>
      </c>
      <c r="G170">
        <v>63.53</v>
      </c>
      <c r="H170">
        <v>250417</v>
      </c>
      <c r="I170">
        <v>4841</v>
      </c>
      <c r="J170" t="s">
        <v>9</v>
      </c>
      <c r="K170">
        <v>394.22</v>
      </c>
      <c r="L170">
        <v>12.91</v>
      </c>
      <c r="M170">
        <v>56566</v>
      </c>
      <c r="N170" t="s">
        <v>58</v>
      </c>
      <c r="O170">
        <v>250428</v>
      </c>
      <c r="P170">
        <v>50.62</v>
      </c>
    </row>
    <row r="171" spans="1:16" x14ac:dyDescent="0.25">
      <c r="A171" t="s">
        <v>3296</v>
      </c>
      <c r="B171" t="s">
        <v>2931</v>
      </c>
      <c r="C171">
        <v>5681</v>
      </c>
      <c r="D171" t="str">
        <f t="shared" si="9"/>
        <v xml:space="preserve">692139      </v>
      </c>
      <c r="E171" t="s">
        <v>501</v>
      </c>
      <c r="F171" t="s">
        <v>502</v>
      </c>
      <c r="G171">
        <v>53.15</v>
      </c>
      <c r="H171">
        <v>250417</v>
      </c>
      <c r="I171">
        <v>4841</v>
      </c>
      <c r="J171" t="s">
        <v>9</v>
      </c>
      <c r="K171">
        <v>394.22</v>
      </c>
      <c r="L171">
        <v>10.8</v>
      </c>
      <c r="M171">
        <v>59701</v>
      </c>
      <c r="N171" t="s">
        <v>64</v>
      </c>
      <c r="O171">
        <v>250428</v>
      </c>
      <c r="P171">
        <v>42.35</v>
      </c>
    </row>
    <row r="172" spans="1:16" x14ac:dyDescent="0.25">
      <c r="A172" t="s">
        <v>3296</v>
      </c>
      <c r="B172" t="s">
        <v>2931</v>
      </c>
      <c r="C172">
        <v>5681</v>
      </c>
      <c r="D172" t="str">
        <f t="shared" si="9"/>
        <v xml:space="preserve">692139      </v>
      </c>
      <c r="E172" t="s">
        <v>501</v>
      </c>
      <c r="F172" t="s">
        <v>502</v>
      </c>
      <c r="G172">
        <v>79.94</v>
      </c>
      <c r="H172">
        <v>250417</v>
      </c>
      <c r="I172">
        <v>4841</v>
      </c>
      <c r="J172" t="s">
        <v>9</v>
      </c>
      <c r="K172">
        <v>394.22</v>
      </c>
      <c r="L172">
        <v>16.239999999999998</v>
      </c>
      <c r="M172">
        <v>59702</v>
      </c>
      <c r="N172" t="s">
        <v>45</v>
      </c>
      <c r="O172">
        <v>250428</v>
      </c>
      <c r="P172">
        <v>63.7</v>
      </c>
    </row>
    <row r="173" spans="1:16" x14ac:dyDescent="0.25">
      <c r="A173" t="s">
        <v>3296</v>
      </c>
      <c r="B173" t="s">
        <v>2931</v>
      </c>
      <c r="C173">
        <v>5683</v>
      </c>
      <c r="D173" t="str">
        <f t="shared" ref="D173:D186" si="10">"692143      "</f>
        <v xml:space="preserve">692143      </v>
      </c>
      <c r="E173" t="s">
        <v>501</v>
      </c>
      <c r="F173" t="s">
        <v>502</v>
      </c>
      <c r="G173">
        <v>56.21</v>
      </c>
      <c r="H173">
        <v>250417</v>
      </c>
      <c r="I173">
        <v>4841</v>
      </c>
      <c r="J173" t="s">
        <v>9</v>
      </c>
      <c r="K173">
        <v>852.53</v>
      </c>
      <c r="L173">
        <v>11.42</v>
      </c>
      <c r="M173">
        <v>13540</v>
      </c>
      <c r="N173" t="s">
        <v>131</v>
      </c>
      <c r="O173">
        <v>250428</v>
      </c>
      <c r="P173">
        <v>44.79</v>
      </c>
    </row>
    <row r="174" spans="1:16" x14ac:dyDescent="0.25">
      <c r="A174" t="s">
        <v>3296</v>
      </c>
      <c r="B174" t="s">
        <v>2931</v>
      </c>
      <c r="C174">
        <v>5683</v>
      </c>
      <c r="D174" t="str">
        <f t="shared" si="10"/>
        <v xml:space="preserve">692143      </v>
      </c>
      <c r="E174" t="s">
        <v>501</v>
      </c>
      <c r="F174" t="s">
        <v>502</v>
      </c>
      <c r="G174">
        <v>55.12</v>
      </c>
      <c r="H174">
        <v>250417</v>
      </c>
      <c r="I174">
        <v>4841</v>
      </c>
      <c r="J174" t="s">
        <v>9</v>
      </c>
      <c r="K174">
        <v>852.53</v>
      </c>
      <c r="L174">
        <v>11.2</v>
      </c>
      <c r="M174">
        <v>16121</v>
      </c>
      <c r="N174" t="s">
        <v>127</v>
      </c>
      <c r="O174">
        <v>250428</v>
      </c>
      <c r="P174">
        <v>43.92</v>
      </c>
    </row>
    <row r="175" spans="1:16" x14ac:dyDescent="0.25">
      <c r="A175" t="s">
        <v>3296</v>
      </c>
      <c r="B175" t="s">
        <v>2931</v>
      </c>
      <c r="C175">
        <v>5683</v>
      </c>
      <c r="D175" t="str">
        <f t="shared" si="10"/>
        <v xml:space="preserve">692143      </v>
      </c>
      <c r="E175" t="s">
        <v>501</v>
      </c>
      <c r="F175" t="s">
        <v>502</v>
      </c>
      <c r="G175">
        <v>14.52</v>
      </c>
      <c r="H175">
        <v>250417</v>
      </c>
      <c r="I175">
        <v>4841</v>
      </c>
      <c r="J175" t="s">
        <v>9</v>
      </c>
      <c r="K175">
        <v>852.53</v>
      </c>
      <c r="L175">
        <v>2.95</v>
      </c>
      <c r="M175">
        <v>17521</v>
      </c>
      <c r="N175" t="s">
        <v>136</v>
      </c>
      <c r="O175">
        <v>250428</v>
      </c>
      <c r="P175">
        <v>11.57</v>
      </c>
    </row>
    <row r="176" spans="1:16" x14ac:dyDescent="0.25">
      <c r="A176" t="s">
        <v>3296</v>
      </c>
      <c r="B176" t="s">
        <v>2931</v>
      </c>
      <c r="C176">
        <v>5683</v>
      </c>
      <c r="D176" t="str">
        <f t="shared" si="10"/>
        <v xml:space="preserve">692143      </v>
      </c>
      <c r="E176" t="s">
        <v>501</v>
      </c>
      <c r="F176" t="s">
        <v>502</v>
      </c>
      <c r="G176">
        <v>27.39</v>
      </c>
      <c r="H176">
        <v>250417</v>
      </c>
      <c r="I176">
        <v>4841</v>
      </c>
      <c r="J176" t="s">
        <v>9</v>
      </c>
      <c r="K176">
        <v>852.53</v>
      </c>
      <c r="L176">
        <v>5.57</v>
      </c>
      <c r="M176">
        <v>17522</v>
      </c>
      <c r="N176" t="s">
        <v>137</v>
      </c>
      <c r="O176">
        <v>250428</v>
      </c>
      <c r="P176">
        <v>21.82</v>
      </c>
    </row>
    <row r="177" spans="1:16" x14ac:dyDescent="0.25">
      <c r="A177" t="s">
        <v>3296</v>
      </c>
      <c r="B177" t="s">
        <v>2931</v>
      </c>
      <c r="C177">
        <v>5683</v>
      </c>
      <c r="D177" t="str">
        <f t="shared" si="10"/>
        <v xml:space="preserve">692143      </v>
      </c>
      <c r="E177" t="s">
        <v>501</v>
      </c>
      <c r="F177" t="s">
        <v>502</v>
      </c>
      <c r="G177">
        <v>50.18</v>
      </c>
      <c r="H177">
        <v>250417</v>
      </c>
      <c r="I177">
        <v>4841</v>
      </c>
      <c r="J177" t="s">
        <v>9</v>
      </c>
      <c r="K177">
        <v>852.53</v>
      </c>
      <c r="L177">
        <v>10.199999999999999</v>
      </c>
      <c r="M177">
        <v>17524</v>
      </c>
      <c r="N177" t="s">
        <v>139</v>
      </c>
      <c r="O177">
        <v>250428</v>
      </c>
      <c r="P177">
        <v>39.979999999999997</v>
      </c>
    </row>
    <row r="178" spans="1:16" x14ac:dyDescent="0.25">
      <c r="A178" t="s">
        <v>3296</v>
      </c>
      <c r="B178" t="s">
        <v>2931</v>
      </c>
      <c r="C178">
        <v>5683</v>
      </c>
      <c r="D178" t="str">
        <f t="shared" si="10"/>
        <v xml:space="preserve">692143      </v>
      </c>
      <c r="E178" t="s">
        <v>501</v>
      </c>
      <c r="F178" t="s">
        <v>502</v>
      </c>
      <c r="G178">
        <v>26.05</v>
      </c>
      <c r="H178">
        <v>250417</v>
      </c>
      <c r="I178">
        <v>4841</v>
      </c>
      <c r="J178" t="s">
        <v>9</v>
      </c>
      <c r="K178">
        <v>852.53</v>
      </c>
      <c r="L178">
        <v>5.29</v>
      </c>
      <c r="M178">
        <v>17527</v>
      </c>
      <c r="N178" t="s">
        <v>142</v>
      </c>
      <c r="O178">
        <v>250428</v>
      </c>
      <c r="P178">
        <v>20.76</v>
      </c>
    </row>
    <row r="179" spans="1:16" x14ac:dyDescent="0.25">
      <c r="A179" t="s">
        <v>3296</v>
      </c>
      <c r="B179" t="s">
        <v>2931</v>
      </c>
      <c r="C179">
        <v>5683</v>
      </c>
      <c r="D179" t="str">
        <f t="shared" si="10"/>
        <v xml:space="preserve">692143      </v>
      </c>
      <c r="E179" t="s">
        <v>501</v>
      </c>
      <c r="F179" t="s">
        <v>502</v>
      </c>
      <c r="G179">
        <v>19.57</v>
      </c>
      <c r="H179">
        <v>250417</v>
      </c>
      <c r="I179">
        <v>4841</v>
      </c>
      <c r="J179" t="s">
        <v>9</v>
      </c>
      <c r="K179">
        <v>852.53</v>
      </c>
      <c r="L179">
        <v>3.98</v>
      </c>
      <c r="M179">
        <v>17529</v>
      </c>
      <c r="N179" t="s">
        <v>143</v>
      </c>
      <c r="O179">
        <v>250428</v>
      </c>
      <c r="P179">
        <v>15.59</v>
      </c>
    </row>
    <row r="180" spans="1:16" x14ac:dyDescent="0.25">
      <c r="A180" t="s">
        <v>3296</v>
      </c>
      <c r="B180" t="s">
        <v>2931</v>
      </c>
      <c r="C180">
        <v>5683</v>
      </c>
      <c r="D180" t="str">
        <f t="shared" si="10"/>
        <v xml:space="preserve">692143      </v>
      </c>
      <c r="E180" t="s">
        <v>501</v>
      </c>
      <c r="F180" t="s">
        <v>502</v>
      </c>
      <c r="G180">
        <v>62.89</v>
      </c>
      <c r="H180">
        <v>250417</v>
      </c>
      <c r="I180">
        <v>4841</v>
      </c>
      <c r="J180" t="s">
        <v>9</v>
      </c>
      <c r="K180">
        <v>852.53</v>
      </c>
      <c r="L180">
        <v>12.78</v>
      </c>
      <c r="M180">
        <v>17530</v>
      </c>
      <c r="N180" t="s">
        <v>144</v>
      </c>
      <c r="O180">
        <v>250428</v>
      </c>
      <c r="P180">
        <v>50.11</v>
      </c>
    </row>
    <row r="181" spans="1:16" x14ac:dyDescent="0.25">
      <c r="A181" t="s">
        <v>3296</v>
      </c>
      <c r="B181" t="s">
        <v>2931</v>
      </c>
      <c r="C181">
        <v>5683</v>
      </c>
      <c r="D181" t="str">
        <f t="shared" si="10"/>
        <v xml:space="preserve">692143      </v>
      </c>
      <c r="E181" t="s">
        <v>501</v>
      </c>
      <c r="F181" t="s">
        <v>502</v>
      </c>
      <c r="G181">
        <v>28.25</v>
      </c>
      <c r="H181">
        <v>250417</v>
      </c>
      <c r="I181">
        <v>4841</v>
      </c>
      <c r="J181" t="s">
        <v>9</v>
      </c>
      <c r="K181">
        <v>852.53</v>
      </c>
      <c r="L181">
        <v>5.74</v>
      </c>
      <c r="M181">
        <v>17535</v>
      </c>
      <c r="N181" t="s">
        <v>149</v>
      </c>
      <c r="O181">
        <v>250428</v>
      </c>
      <c r="P181">
        <v>22.51</v>
      </c>
    </row>
    <row r="182" spans="1:16" x14ac:dyDescent="0.25">
      <c r="A182" t="s">
        <v>3296</v>
      </c>
      <c r="B182" t="s">
        <v>2931</v>
      </c>
      <c r="C182">
        <v>5683</v>
      </c>
      <c r="D182" t="str">
        <f t="shared" si="10"/>
        <v xml:space="preserve">692143      </v>
      </c>
      <c r="E182" t="s">
        <v>501</v>
      </c>
      <c r="F182" t="s">
        <v>502</v>
      </c>
      <c r="G182">
        <v>10.49</v>
      </c>
      <c r="H182">
        <v>250417</v>
      </c>
      <c r="I182">
        <v>4841</v>
      </c>
      <c r="J182" t="s">
        <v>9</v>
      </c>
      <c r="K182">
        <v>852.53</v>
      </c>
      <c r="L182">
        <v>2.13</v>
      </c>
      <c r="M182">
        <v>17536</v>
      </c>
      <c r="N182" t="s">
        <v>150</v>
      </c>
      <c r="O182">
        <v>250428</v>
      </c>
      <c r="P182">
        <v>8.36</v>
      </c>
    </row>
    <row r="183" spans="1:16" x14ac:dyDescent="0.25">
      <c r="A183" t="s">
        <v>3296</v>
      </c>
      <c r="B183" t="s">
        <v>2931</v>
      </c>
      <c r="C183">
        <v>5683</v>
      </c>
      <c r="D183" t="str">
        <f t="shared" si="10"/>
        <v xml:space="preserve">692143      </v>
      </c>
      <c r="E183" t="s">
        <v>501</v>
      </c>
      <c r="F183" t="s">
        <v>502</v>
      </c>
      <c r="G183">
        <v>278.5</v>
      </c>
      <c r="H183">
        <v>250417</v>
      </c>
      <c r="I183">
        <v>4841</v>
      </c>
      <c r="J183" t="s">
        <v>9</v>
      </c>
      <c r="K183">
        <v>852.53</v>
      </c>
      <c r="L183">
        <v>56.59</v>
      </c>
      <c r="M183">
        <v>17537</v>
      </c>
      <c r="N183" t="s">
        <v>151</v>
      </c>
      <c r="O183">
        <v>250428</v>
      </c>
      <c r="P183">
        <v>221.91</v>
      </c>
    </row>
    <row r="184" spans="1:16" x14ac:dyDescent="0.25">
      <c r="A184" t="s">
        <v>3296</v>
      </c>
      <c r="B184" t="s">
        <v>2931</v>
      </c>
      <c r="C184">
        <v>5683</v>
      </c>
      <c r="D184" t="str">
        <f t="shared" si="10"/>
        <v xml:space="preserve">692143      </v>
      </c>
      <c r="E184" t="s">
        <v>501</v>
      </c>
      <c r="F184" t="s">
        <v>502</v>
      </c>
      <c r="G184">
        <v>28.36</v>
      </c>
      <c r="H184">
        <v>250417</v>
      </c>
      <c r="I184">
        <v>4841</v>
      </c>
      <c r="J184" t="s">
        <v>9</v>
      </c>
      <c r="K184">
        <v>852.53</v>
      </c>
      <c r="L184">
        <v>5.76</v>
      </c>
      <c r="M184">
        <v>17538</v>
      </c>
      <c r="N184" t="s">
        <v>129</v>
      </c>
      <c r="O184">
        <v>250428</v>
      </c>
      <c r="P184">
        <v>22.6</v>
      </c>
    </row>
    <row r="185" spans="1:16" x14ac:dyDescent="0.25">
      <c r="A185" t="s">
        <v>3296</v>
      </c>
      <c r="B185" t="s">
        <v>2931</v>
      </c>
      <c r="C185">
        <v>5683</v>
      </c>
      <c r="D185" t="str">
        <f t="shared" si="10"/>
        <v xml:space="preserve">692143      </v>
      </c>
      <c r="E185" t="s">
        <v>501</v>
      </c>
      <c r="F185" t="s">
        <v>502</v>
      </c>
      <c r="G185">
        <v>112.41</v>
      </c>
      <c r="H185">
        <v>250417</v>
      </c>
      <c r="I185">
        <v>4841</v>
      </c>
      <c r="J185" t="s">
        <v>9</v>
      </c>
      <c r="K185">
        <v>852.53</v>
      </c>
      <c r="L185">
        <v>22.84</v>
      </c>
      <c r="M185">
        <v>17950</v>
      </c>
      <c r="N185" t="s">
        <v>132</v>
      </c>
      <c r="O185">
        <v>250428</v>
      </c>
      <c r="P185">
        <v>89.57</v>
      </c>
    </row>
    <row r="186" spans="1:16" x14ac:dyDescent="0.25">
      <c r="A186" t="s">
        <v>3296</v>
      </c>
      <c r="B186" t="s">
        <v>2931</v>
      </c>
      <c r="C186">
        <v>5683</v>
      </c>
      <c r="D186" t="str">
        <f t="shared" si="10"/>
        <v xml:space="preserve">692143      </v>
      </c>
      <c r="E186" t="s">
        <v>501</v>
      </c>
      <c r="F186" t="s">
        <v>502</v>
      </c>
      <c r="G186">
        <v>82.59</v>
      </c>
      <c r="H186">
        <v>250417</v>
      </c>
      <c r="I186">
        <v>4841</v>
      </c>
      <c r="J186" t="s">
        <v>9</v>
      </c>
      <c r="K186">
        <v>852.53</v>
      </c>
      <c r="L186">
        <v>16.78</v>
      </c>
      <c r="M186">
        <v>17971</v>
      </c>
      <c r="N186" t="s">
        <v>27</v>
      </c>
      <c r="O186">
        <v>250428</v>
      </c>
      <c r="P186">
        <v>65.81</v>
      </c>
    </row>
    <row r="187" spans="1:16" x14ac:dyDescent="0.25">
      <c r="A187" t="s">
        <v>3296</v>
      </c>
      <c r="B187" t="s">
        <v>2931</v>
      </c>
      <c r="C187">
        <v>5824</v>
      </c>
      <c r="D187" t="str">
        <f>"692149      "</f>
        <v xml:space="preserve">692149      </v>
      </c>
      <c r="E187" t="s">
        <v>501</v>
      </c>
      <c r="F187" t="s">
        <v>502</v>
      </c>
      <c r="G187">
        <v>28.25</v>
      </c>
      <c r="H187">
        <v>250417</v>
      </c>
      <c r="I187">
        <v>4841</v>
      </c>
      <c r="J187" t="s">
        <v>9</v>
      </c>
      <c r="K187">
        <v>50.87</v>
      </c>
      <c r="L187">
        <v>5.74</v>
      </c>
      <c r="M187">
        <v>13601</v>
      </c>
      <c r="N187" t="s">
        <v>115</v>
      </c>
      <c r="O187">
        <v>250505</v>
      </c>
      <c r="P187">
        <v>22.51</v>
      </c>
    </row>
    <row r="188" spans="1:16" x14ac:dyDescent="0.25">
      <c r="A188" t="s">
        <v>3296</v>
      </c>
      <c r="B188" t="s">
        <v>2931</v>
      </c>
      <c r="C188">
        <v>5824</v>
      </c>
      <c r="D188" t="str">
        <f>"692149      "</f>
        <v xml:space="preserve">692149      </v>
      </c>
      <c r="E188" t="s">
        <v>501</v>
      </c>
      <c r="F188" t="s">
        <v>502</v>
      </c>
      <c r="G188">
        <v>22.62</v>
      </c>
      <c r="H188">
        <v>250417</v>
      </c>
      <c r="I188">
        <v>4841</v>
      </c>
      <c r="J188" t="s">
        <v>9</v>
      </c>
      <c r="K188">
        <v>50.87</v>
      </c>
      <c r="L188">
        <v>4.5999999999999996</v>
      </c>
      <c r="M188">
        <v>13601</v>
      </c>
      <c r="N188" t="s">
        <v>115</v>
      </c>
      <c r="O188">
        <v>250505</v>
      </c>
      <c r="P188">
        <v>18.02</v>
      </c>
    </row>
    <row r="189" spans="1:16" x14ac:dyDescent="0.25">
      <c r="A189" t="s">
        <v>3296</v>
      </c>
      <c r="B189" t="s">
        <v>2931</v>
      </c>
      <c r="C189">
        <v>5825</v>
      </c>
      <c r="D189" t="str">
        <f>"692138      "</f>
        <v xml:space="preserve">692138      </v>
      </c>
      <c r="E189" t="s">
        <v>501</v>
      </c>
      <c r="F189" t="s">
        <v>502</v>
      </c>
      <c r="G189">
        <v>10.38</v>
      </c>
      <c r="H189">
        <v>250417</v>
      </c>
      <c r="I189">
        <v>4841</v>
      </c>
      <c r="J189" t="s">
        <v>9</v>
      </c>
      <c r="K189">
        <v>47.8</v>
      </c>
      <c r="L189">
        <v>2.11</v>
      </c>
      <c r="M189">
        <v>18010</v>
      </c>
      <c r="N189" t="s">
        <v>36</v>
      </c>
      <c r="O189">
        <v>250505</v>
      </c>
      <c r="P189">
        <v>8.27</v>
      </c>
    </row>
    <row r="190" spans="1:16" x14ac:dyDescent="0.25">
      <c r="A190" t="s">
        <v>3296</v>
      </c>
      <c r="B190" t="s">
        <v>2931</v>
      </c>
      <c r="C190">
        <v>5825</v>
      </c>
      <c r="D190" t="str">
        <f>"692138      "</f>
        <v xml:space="preserve">692138      </v>
      </c>
      <c r="E190" t="s">
        <v>501</v>
      </c>
      <c r="F190" t="s">
        <v>502</v>
      </c>
      <c r="G190">
        <v>4.0599999999999996</v>
      </c>
      <c r="H190">
        <v>250417</v>
      </c>
      <c r="I190">
        <v>4841</v>
      </c>
      <c r="J190" t="s">
        <v>9</v>
      </c>
      <c r="K190">
        <v>47.8</v>
      </c>
      <c r="L190">
        <v>0.82</v>
      </c>
      <c r="M190">
        <v>18120</v>
      </c>
      <c r="N190" t="s">
        <v>37</v>
      </c>
      <c r="O190">
        <v>250505</v>
      </c>
      <c r="P190">
        <v>3.24</v>
      </c>
    </row>
    <row r="191" spans="1:16" x14ac:dyDescent="0.25">
      <c r="A191" t="s">
        <v>3296</v>
      </c>
      <c r="B191" t="s">
        <v>2931</v>
      </c>
      <c r="C191">
        <v>5825</v>
      </c>
      <c r="D191" t="str">
        <f>"692138      "</f>
        <v xml:space="preserve">692138      </v>
      </c>
      <c r="E191" t="s">
        <v>501</v>
      </c>
      <c r="F191" t="s">
        <v>502</v>
      </c>
      <c r="G191">
        <v>12.81</v>
      </c>
      <c r="H191">
        <v>250417</v>
      </c>
      <c r="I191">
        <v>4841</v>
      </c>
      <c r="J191" t="s">
        <v>9</v>
      </c>
      <c r="K191">
        <v>47.8</v>
      </c>
      <c r="L191">
        <v>2.6</v>
      </c>
      <c r="M191">
        <v>18972</v>
      </c>
      <c r="N191" t="s">
        <v>39</v>
      </c>
      <c r="O191">
        <v>250505</v>
      </c>
      <c r="P191">
        <v>10.210000000000001</v>
      </c>
    </row>
    <row r="192" spans="1:16" x14ac:dyDescent="0.25">
      <c r="A192" t="s">
        <v>3296</v>
      </c>
      <c r="B192" t="s">
        <v>2931</v>
      </c>
      <c r="C192">
        <v>5825</v>
      </c>
      <c r="D192" t="str">
        <f>"692138      "</f>
        <v xml:space="preserve">692138      </v>
      </c>
      <c r="E192" t="s">
        <v>501</v>
      </c>
      <c r="F192" t="s">
        <v>502</v>
      </c>
      <c r="G192">
        <v>20.55</v>
      </c>
      <c r="H192">
        <v>250417</v>
      </c>
      <c r="I192">
        <v>4841</v>
      </c>
      <c r="J192" t="s">
        <v>9</v>
      </c>
      <c r="K192">
        <v>47.8</v>
      </c>
      <c r="L192">
        <v>4.18</v>
      </c>
      <c r="M192">
        <v>18972</v>
      </c>
      <c r="N192" t="s">
        <v>39</v>
      </c>
      <c r="O192">
        <v>250505</v>
      </c>
      <c r="P192">
        <v>16.37</v>
      </c>
    </row>
    <row r="193" spans="1:16" x14ac:dyDescent="0.25">
      <c r="A193" t="s">
        <v>3296</v>
      </c>
      <c r="B193" t="s">
        <v>2931</v>
      </c>
      <c r="C193">
        <v>5827</v>
      </c>
      <c r="D193" t="str">
        <f t="shared" ref="D193:D202" si="11">"692140      "</f>
        <v xml:space="preserve">692140      </v>
      </c>
      <c r="E193" t="s">
        <v>501</v>
      </c>
      <c r="F193" t="s">
        <v>502</v>
      </c>
      <c r="G193">
        <v>286</v>
      </c>
      <c r="H193">
        <v>250417</v>
      </c>
      <c r="I193">
        <v>4841</v>
      </c>
      <c r="J193" t="s">
        <v>9</v>
      </c>
      <c r="K193">
        <v>757.51</v>
      </c>
      <c r="L193">
        <v>58.11</v>
      </c>
      <c r="M193">
        <v>10002</v>
      </c>
      <c r="N193" t="s">
        <v>513</v>
      </c>
      <c r="O193">
        <v>250505</v>
      </c>
      <c r="P193">
        <v>227.89</v>
      </c>
    </row>
    <row r="194" spans="1:16" x14ac:dyDescent="0.25">
      <c r="A194" t="s">
        <v>3296</v>
      </c>
      <c r="B194" t="s">
        <v>2931</v>
      </c>
      <c r="C194">
        <v>5827</v>
      </c>
      <c r="D194" t="str">
        <f t="shared" si="11"/>
        <v xml:space="preserve">692140      </v>
      </c>
      <c r="E194" t="s">
        <v>501</v>
      </c>
      <c r="F194" t="s">
        <v>502</v>
      </c>
      <c r="G194">
        <v>12.28</v>
      </c>
      <c r="H194">
        <v>250417</v>
      </c>
      <c r="I194">
        <v>4841</v>
      </c>
      <c r="J194" t="s">
        <v>9</v>
      </c>
      <c r="K194">
        <v>757.51</v>
      </c>
      <c r="L194">
        <v>2.5</v>
      </c>
      <c r="M194">
        <v>11001</v>
      </c>
      <c r="N194" t="s">
        <v>93</v>
      </c>
      <c r="O194">
        <v>250505</v>
      </c>
      <c r="P194">
        <v>9.7799999999999994</v>
      </c>
    </row>
    <row r="195" spans="1:16" x14ac:dyDescent="0.25">
      <c r="A195" t="s">
        <v>3296</v>
      </c>
      <c r="B195" t="s">
        <v>2931</v>
      </c>
      <c r="C195">
        <v>5827</v>
      </c>
      <c r="D195" t="str">
        <f t="shared" si="11"/>
        <v xml:space="preserve">692140      </v>
      </c>
      <c r="E195" t="s">
        <v>501</v>
      </c>
      <c r="F195" t="s">
        <v>502</v>
      </c>
      <c r="G195">
        <v>37.590000000000003</v>
      </c>
      <c r="H195">
        <v>250417</v>
      </c>
      <c r="I195">
        <v>4841</v>
      </c>
      <c r="J195" t="s">
        <v>9</v>
      </c>
      <c r="K195">
        <v>757.51</v>
      </c>
      <c r="L195">
        <v>7.64</v>
      </c>
      <c r="M195">
        <v>11101</v>
      </c>
      <c r="N195" t="s">
        <v>67</v>
      </c>
      <c r="O195">
        <v>250505</v>
      </c>
      <c r="P195">
        <v>29.95</v>
      </c>
    </row>
    <row r="196" spans="1:16" x14ac:dyDescent="0.25">
      <c r="A196" t="s">
        <v>3296</v>
      </c>
      <c r="B196" t="s">
        <v>2931</v>
      </c>
      <c r="C196">
        <v>5827</v>
      </c>
      <c r="D196" t="str">
        <f t="shared" si="11"/>
        <v xml:space="preserve">692140      </v>
      </c>
      <c r="E196" t="s">
        <v>501</v>
      </c>
      <c r="F196" t="s">
        <v>502</v>
      </c>
      <c r="G196">
        <v>233.26</v>
      </c>
      <c r="H196">
        <v>250417</v>
      </c>
      <c r="I196">
        <v>4841</v>
      </c>
      <c r="J196" t="s">
        <v>9</v>
      </c>
      <c r="K196">
        <v>757.51</v>
      </c>
      <c r="L196">
        <v>47.4</v>
      </c>
      <c r="M196">
        <v>11301</v>
      </c>
      <c r="N196" t="s">
        <v>92</v>
      </c>
      <c r="O196">
        <v>250505</v>
      </c>
      <c r="P196">
        <v>185.86</v>
      </c>
    </row>
    <row r="197" spans="1:16" x14ac:dyDescent="0.25">
      <c r="A197" t="s">
        <v>3296</v>
      </c>
      <c r="B197" t="s">
        <v>2931</v>
      </c>
      <c r="C197">
        <v>5827</v>
      </c>
      <c r="D197" t="str">
        <f t="shared" si="11"/>
        <v xml:space="preserve">692140      </v>
      </c>
      <c r="E197" t="s">
        <v>501</v>
      </c>
      <c r="F197" t="s">
        <v>502</v>
      </c>
      <c r="G197">
        <v>12.81</v>
      </c>
      <c r="H197">
        <v>250417</v>
      </c>
      <c r="I197">
        <v>4841</v>
      </c>
      <c r="J197" t="s">
        <v>9</v>
      </c>
      <c r="K197">
        <v>757.51</v>
      </c>
      <c r="L197">
        <v>2.6</v>
      </c>
      <c r="M197">
        <v>11401</v>
      </c>
      <c r="N197" t="s">
        <v>91</v>
      </c>
      <c r="O197">
        <v>250505</v>
      </c>
      <c r="P197">
        <v>10.210000000000001</v>
      </c>
    </row>
    <row r="198" spans="1:16" x14ac:dyDescent="0.25">
      <c r="A198" t="s">
        <v>3296</v>
      </c>
      <c r="B198" t="s">
        <v>2931</v>
      </c>
      <c r="C198">
        <v>5827</v>
      </c>
      <c r="D198" t="str">
        <f t="shared" si="11"/>
        <v xml:space="preserve">692140      </v>
      </c>
      <c r="E198" t="s">
        <v>501</v>
      </c>
      <c r="F198" t="s">
        <v>502</v>
      </c>
      <c r="G198">
        <v>68.459999999999994</v>
      </c>
      <c r="H198">
        <v>250417</v>
      </c>
      <c r="I198">
        <v>4841</v>
      </c>
      <c r="J198" t="s">
        <v>9</v>
      </c>
      <c r="K198">
        <v>757.51</v>
      </c>
      <c r="L198">
        <v>13.91</v>
      </c>
      <c r="M198">
        <v>11501</v>
      </c>
      <c r="N198" t="s">
        <v>13</v>
      </c>
      <c r="O198">
        <v>250505</v>
      </c>
      <c r="P198">
        <v>54.55</v>
      </c>
    </row>
    <row r="199" spans="1:16" x14ac:dyDescent="0.25">
      <c r="A199" t="s">
        <v>3296</v>
      </c>
      <c r="B199" t="s">
        <v>2931</v>
      </c>
      <c r="C199">
        <v>5827</v>
      </c>
      <c r="D199" t="str">
        <f t="shared" si="11"/>
        <v xml:space="preserve">692140      </v>
      </c>
      <c r="E199" t="s">
        <v>501</v>
      </c>
      <c r="F199" t="s">
        <v>502</v>
      </c>
      <c r="G199">
        <v>14.52</v>
      </c>
      <c r="H199">
        <v>250417</v>
      </c>
      <c r="I199">
        <v>4841</v>
      </c>
      <c r="J199" t="s">
        <v>9</v>
      </c>
      <c r="K199">
        <v>757.51</v>
      </c>
      <c r="L199">
        <v>2.95</v>
      </c>
      <c r="M199">
        <v>11601</v>
      </c>
      <c r="N199" t="s">
        <v>12</v>
      </c>
      <c r="O199">
        <v>250505</v>
      </c>
      <c r="P199">
        <v>11.57</v>
      </c>
    </row>
    <row r="200" spans="1:16" x14ac:dyDescent="0.25">
      <c r="A200" t="s">
        <v>3296</v>
      </c>
      <c r="B200" t="s">
        <v>2931</v>
      </c>
      <c r="C200">
        <v>5827</v>
      </c>
      <c r="D200" t="str">
        <f t="shared" si="11"/>
        <v xml:space="preserve">692140      </v>
      </c>
      <c r="E200" t="s">
        <v>501</v>
      </c>
      <c r="F200" t="s">
        <v>502</v>
      </c>
      <c r="G200">
        <v>10.38</v>
      </c>
      <c r="H200">
        <v>250417</v>
      </c>
      <c r="I200">
        <v>4841</v>
      </c>
      <c r="J200" t="s">
        <v>9</v>
      </c>
      <c r="K200">
        <v>757.51</v>
      </c>
      <c r="L200">
        <v>2.11</v>
      </c>
      <c r="M200">
        <v>11751</v>
      </c>
      <c r="N200" t="s">
        <v>167</v>
      </c>
      <c r="O200">
        <v>250505</v>
      </c>
      <c r="P200">
        <v>8.27</v>
      </c>
    </row>
    <row r="201" spans="1:16" x14ac:dyDescent="0.25">
      <c r="A201" t="s">
        <v>3296</v>
      </c>
      <c r="B201" t="s">
        <v>2931</v>
      </c>
      <c r="C201">
        <v>5827</v>
      </c>
      <c r="D201" t="str">
        <f t="shared" si="11"/>
        <v xml:space="preserve">692140      </v>
      </c>
      <c r="E201" t="s">
        <v>501</v>
      </c>
      <c r="F201" t="s">
        <v>502</v>
      </c>
      <c r="G201">
        <v>78.03</v>
      </c>
      <c r="H201">
        <v>250417</v>
      </c>
      <c r="I201">
        <v>4841</v>
      </c>
      <c r="J201" t="s">
        <v>9</v>
      </c>
      <c r="K201">
        <v>757.51</v>
      </c>
      <c r="L201">
        <v>15.85</v>
      </c>
      <c r="M201">
        <v>11801</v>
      </c>
      <c r="N201" t="s">
        <v>40</v>
      </c>
      <c r="O201">
        <v>250505</v>
      </c>
      <c r="P201">
        <v>62.18</v>
      </c>
    </row>
    <row r="202" spans="1:16" x14ac:dyDescent="0.25">
      <c r="A202" t="s">
        <v>3296</v>
      </c>
      <c r="B202" t="s">
        <v>2931</v>
      </c>
      <c r="C202">
        <v>5827</v>
      </c>
      <c r="D202" t="str">
        <f t="shared" si="11"/>
        <v xml:space="preserve">692140      </v>
      </c>
      <c r="E202" t="s">
        <v>501</v>
      </c>
      <c r="F202" t="s">
        <v>502</v>
      </c>
      <c r="G202">
        <v>4.18</v>
      </c>
      <c r="H202">
        <v>250417</v>
      </c>
      <c r="I202">
        <v>4841</v>
      </c>
      <c r="J202" t="s">
        <v>9</v>
      </c>
      <c r="K202">
        <v>757.51</v>
      </c>
      <c r="L202">
        <v>0.85</v>
      </c>
      <c r="M202">
        <v>13201</v>
      </c>
      <c r="N202" t="s">
        <v>269</v>
      </c>
      <c r="O202">
        <v>250505</v>
      </c>
      <c r="P202">
        <v>3.33</v>
      </c>
    </row>
    <row r="203" spans="1:16" x14ac:dyDescent="0.25">
      <c r="A203" t="s">
        <v>3296</v>
      </c>
      <c r="B203" t="s">
        <v>2931</v>
      </c>
      <c r="C203">
        <v>5828</v>
      </c>
      <c r="D203" t="str">
        <f t="shared" ref="D203:D218" si="12">"692151      "</f>
        <v xml:space="preserve">692151      </v>
      </c>
      <c r="E203" t="s">
        <v>501</v>
      </c>
      <c r="F203" t="s">
        <v>502</v>
      </c>
      <c r="G203">
        <v>12.81</v>
      </c>
      <c r="H203">
        <v>250417</v>
      </c>
      <c r="I203">
        <v>4841</v>
      </c>
      <c r="J203" t="s">
        <v>9</v>
      </c>
      <c r="K203">
        <v>870.13</v>
      </c>
      <c r="L203">
        <v>2.6</v>
      </c>
      <c r="M203">
        <v>11900</v>
      </c>
      <c r="N203" t="s">
        <v>30</v>
      </c>
      <c r="O203">
        <v>250505</v>
      </c>
      <c r="P203">
        <v>10.210000000000001</v>
      </c>
    </row>
    <row r="204" spans="1:16" x14ac:dyDescent="0.25">
      <c r="A204" t="s">
        <v>3296</v>
      </c>
      <c r="B204" t="s">
        <v>2931</v>
      </c>
      <c r="C204">
        <v>5828</v>
      </c>
      <c r="D204" t="str">
        <f t="shared" si="12"/>
        <v xml:space="preserve">692151      </v>
      </c>
      <c r="E204" t="s">
        <v>501</v>
      </c>
      <c r="F204" t="s">
        <v>502</v>
      </c>
      <c r="G204">
        <v>7.67</v>
      </c>
      <c r="H204">
        <v>250417</v>
      </c>
      <c r="I204">
        <v>4841</v>
      </c>
      <c r="J204" t="s">
        <v>9</v>
      </c>
      <c r="K204">
        <v>870.13</v>
      </c>
      <c r="L204">
        <v>1.56</v>
      </c>
      <c r="M204">
        <v>13201</v>
      </c>
      <c r="N204" t="s">
        <v>269</v>
      </c>
      <c r="O204">
        <v>250505</v>
      </c>
      <c r="P204">
        <v>6.11</v>
      </c>
    </row>
    <row r="205" spans="1:16" x14ac:dyDescent="0.25">
      <c r="A205" t="s">
        <v>3296</v>
      </c>
      <c r="B205" t="s">
        <v>2931</v>
      </c>
      <c r="C205">
        <v>5828</v>
      </c>
      <c r="D205" t="str">
        <f t="shared" si="12"/>
        <v xml:space="preserve">692151      </v>
      </c>
      <c r="E205" t="s">
        <v>501</v>
      </c>
      <c r="F205" t="s">
        <v>502</v>
      </c>
      <c r="G205">
        <v>28.25</v>
      </c>
      <c r="H205">
        <v>250417</v>
      </c>
      <c r="I205">
        <v>4841</v>
      </c>
      <c r="J205" t="s">
        <v>9</v>
      </c>
      <c r="K205">
        <v>870.13</v>
      </c>
      <c r="L205">
        <v>5.74</v>
      </c>
      <c r="M205">
        <v>13601</v>
      </c>
      <c r="N205" t="s">
        <v>115</v>
      </c>
      <c r="O205">
        <v>250505</v>
      </c>
      <c r="P205">
        <v>22.51</v>
      </c>
    </row>
    <row r="206" spans="1:16" x14ac:dyDescent="0.25">
      <c r="A206" t="s">
        <v>3296</v>
      </c>
      <c r="B206" t="s">
        <v>2931</v>
      </c>
      <c r="C206">
        <v>5828</v>
      </c>
      <c r="D206" t="str">
        <f t="shared" si="12"/>
        <v xml:space="preserve">692151      </v>
      </c>
      <c r="E206" t="s">
        <v>501</v>
      </c>
      <c r="F206" t="s">
        <v>502</v>
      </c>
      <c r="G206">
        <v>26.48</v>
      </c>
      <c r="H206">
        <v>250417</v>
      </c>
      <c r="I206">
        <v>4841</v>
      </c>
      <c r="J206" t="s">
        <v>9</v>
      </c>
      <c r="K206">
        <v>870.13</v>
      </c>
      <c r="L206">
        <v>5.38</v>
      </c>
      <c r="M206">
        <v>13801</v>
      </c>
      <c r="N206" t="s">
        <v>33</v>
      </c>
      <c r="O206">
        <v>250505</v>
      </c>
      <c r="P206">
        <v>21.1</v>
      </c>
    </row>
    <row r="207" spans="1:16" x14ac:dyDescent="0.25">
      <c r="A207" t="s">
        <v>3296</v>
      </c>
      <c r="B207" t="s">
        <v>2931</v>
      </c>
      <c r="C207">
        <v>5828</v>
      </c>
      <c r="D207" t="str">
        <f t="shared" si="12"/>
        <v xml:space="preserve">692151      </v>
      </c>
      <c r="E207" t="s">
        <v>501</v>
      </c>
      <c r="F207" t="s">
        <v>502</v>
      </c>
      <c r="G207">
        <v>2.04</v>
      </c>
      <c r="H207">
        <v>250417</v>
      </c>
      <c r="I207">
        <v>4841</v>
      </c>
      <c r="J207" t="s">
        <v>9</v>
      </c>
      <c r="K207">
        <v>870.13</v>
      </c>
      <c r="L207">
        <v>0.41</v>
      </c>
      <c r="M207">
        <v>16321</v>
      </c>
      <c r="N207" t="s">
        <v>16</v>
      </c>
      <c r="O207">
        <v>250505</v>
      </c>
      <c r="P207">
        <v>1.63</v>
      </c>
    </row>
    <row r="208" spans="1:16" x14ac:dyDescent="0.25">
      <c r="A208" t="s">
        <v>3296</v>
      </c>
      <c r="B208" t="s">
        <v>2931</v>
      </c>
      <c r="C208">
        <v>5828</v>
      </c>
      <c r="D208" t="str">
        <f t="shared" si="12"/>
        <v xml:space="preserve">692151      </v>
      </c>
      <c r="E208" t="s">
        <v>501</v>
      </c>
      <c r="F208" t="s">
        <v>502</v>
      </c>
      <c r="G208">
        <v>137.53</v>
      </c>
      <c r="H208">
        <v>250417</v>
      </c>
      <c r="I208">
        <v>4841</v>
      </c>
      <c r="J208" t="s">
        <v>9</v>
      </c>
      <c r="K208">
        <v>870.13</v>
      </c>
      <c r="L208">
        <v>27.94</v>
      </c>
      <c r="M208">
        <v>16321</v>
      </c>
      <c r="N208" t="s">
        <v>16</v>
      </c>
      <c r="O208">
        <v>250505</v>
      </c>
      <c r="P208">
        <v>109.59</v>
      </c>
    </row>
    <row r="209" spans="1:16" x14ac:dyDescent="0.25">
      <c r="A209" t="s">
        <v>3296</v>
      </c>
      <c r="B209" t="s">
        <v>2931</v>
      </c>
      <c r="C209">
        <v>5828</v>
      </c>
      <c r="D209" t="str">
        <f t="shared" si="12"/>
        <v xml:space="preserve">692151      </v>
      </c>
      <c r="E209" t="s">
        <v>501</v>
      </c>
      <c r="F209" t="s">
        <v>502</v>
      </c>
      <c r="G209">
        <v>12.82</v>
      </c>
      <c r="H209">
        <v>250417</v>
      </c>
      <c r="I209">
        <v>4841</v>
      </c>
      <c r="J209" t="s">
        <v>9</v>
      </c>
      <c r="K209">
        <v>870.13</v>
      </c>
      <c r="L209">
        <v>2.6</v>
      </c>
      <c r="M209">
        <v>16431</v>
      </c>
      <c r="N209" t="s">
        <v>17</v>
      </c>
      <c r="O209">
        <v>250505</v>
      </c>
      <c r="P209">
        <v>10.220000000000001</v>
      </c>
    </row>
    <row r="210" spans="1:16" x14ac:dyDescent="0.25">
      <c r="A210" t="s">
        <v>3296</v>
      </c>
      <c r="B210" t="s">
        <v>2931</v>
      </c>
      <c r="C210">
        <v>5828</v>
      </c>
      <c r="D210" t="str">
        <f t="shared" si="12"/>
        <v xml:space="preserve">692151      </v>
      </c>
      <c r="E210" t="s">
        <v>501</v>
      </c>
      <c r="F210" t="s">
        <v>502</v>
      </c>
      <c r="G210">
        <v>36.4</v>
      </c>
      <c r="H210">
        <v>250417</v>
      </c>
      <c r="I210">
        <v>4841</v>
      </c>
      <c r="J210" t="s">
        <v>9</v>
      </c>
      <c r="K210">
        <v>870.13</v>
      </c>
      <c r="L210">
        <v>7.4</v>
      </c>
      <c r="M210">
        <v>17802</v>
      </c>
      <c r="N210" t="s">
        <v>18</v>
      </c>
      <c r="O210">
        <v>250505</v>
      </c>
      <c r="P210">
        <v>29</v>
      </c>
    </row>
    <row r="211" spans="1:16" x14ac:dyDescent="0.25">
      <c r="A211" t="s">
        <v>3296</v>
      </c>
      <c r="B211" t="s">
        <v>2931</v>
      </c>
      <c r="C211">
        <v>5828</v>
      </c>
      <c r="D211" t="str">
        <f t="shared" si="12"/>
        <v xml:space="preserve">692151      </v>
      </c>
      <c r="E211" t="s">
        <v>501</v>
      </c>
      <c r="F211" t="s">
        <v>502</v>
      </c>
      <c r="G211">
        <v>138.82</v>
      </c>
      <c r="H211">
        <v>250417</v>
      </c>
      <c r="I211">
        <v>4841</v>
      </c>
      <c r="J211" t="s">
        <v>9</v>
      </c>
      <c r="K211">
        <v>870.13</v>
      </c>
      <c r="L211">
        <v>28.21</v>
      </c>
      <c r="M211">
        <v>17804</v>
      </c>
      <c r="N211" t="s">
        <v>20</v>
      </c>
      <c r="O211">
        <v>250505</v>
      </c>
      <c r="P211">
        <v>110.61</v>
      </c>
    </row>
    <row r="212" spans="1:16" x14ac:dyDescent="0.25">
      <c r="A212" t="s">
        <v>3296</v>
      </c>
      <c r="B212" t="s">
        <v>2931</v>
      </c>
      <c r="C212">
        <v>5828</v>
      </c>
      <c r="D212" t="str">
        <f t="shared" si="12"/>
        <v xml:space="preserve">692151      </v>
      </c>
      <c r="E212" t="s">
        <v>501</v>
      </c>
      <c r="F212" t="s">
        <v>502</v>
      </c>
      <c r="G212">
        <v>4.0599999999999996</v>
      </c>
      <c r="H212">
        <v>250417</v>
      </c>
      <c r="I212">
        <v>4841</v>
      </c>
      <c r="J212" t="s">
        <v>9</v>
      </c>
      <c r="K212">
        <v>870.13</v>
      </c>
      <c r="L212">
        <v>0.82</v>
      </c>
      <c r="M212">
        <v>17805</v>
      </c>
      <c r="N212" t="s">
        <v>21</v>
      </c>
      <c r="O212">
        <v>250505</v>
      </c>
      <c r="P212">
        <v>3.24</v>
      </c>
    </row>
    <row r="213" spans="1:16" x14ac:dyDescent="0.25">
      <c r="A213" t="s">
        <v>3296</v>
      </c>
      <c r="B213" t="s">
        <v>2931</v>
      </c>
      <c r="C213">
        <v>5828</v>
      </c>
      <c r="D213" t="str">
        <f t="shared" si="12"/>
        <v xml:space="preserve">692151      </v>
      </c>
      <c r="E213" t="s">
        <v>501</v>
      </c>
      <c r="F213" t="s">
        <v>502</v>
      </c>
      <c r="G213">
        <v>8.36</v>
      </c>
      <c r="H213">
        <v>250417</v>
      </c>
      <c r="I213">
        <v>4841</v>
      </c>
      <c r="J213" t="s">
        <v>9</v>
      </c>
      <c r="K213">
        <v>870.13</v>
      </c>
      <c r="L213">
        <v>1.7</v>
      </c>
      <c r="M213">
        <v>17806</v>
      </c>
      <c r="N213" t="s">
        <v>22</v>
      </c>
      <c r="O213">
        <v>250505</v>
      </c>
      <c r="P213">
        <v>6.66</v>
      </c>
    </row>
    <row r="214" spans="1:16" x14ac:dyDescent="0.25">
      <c r="A214" t="s">
        <v>3296</v>
      </c>
      <c r="B214" t="s">
        <v>2931</v>
      </c>
      <c r="C214">
        <v>5828</v>
      </c>
      <c r="D214" t="str">
        <f t="shared" si="12"/>
        <v xml:space="preserve">692151      </v>
      </c>
      <c r="E214" t="s">
        <v>501</v>
      </c>
      <c r="F214" t="s">
        <v>502</v>
      </c>
      <c r="G214">
        <v>59.91</v>
      </c>
      <c r="H214">
        <v>250417</v>
      </c>
      <c r="I214">
        <v>4841</v>
      </c>
      <c r="J214" t="s">
        <v>9</v>
      </c>
      <c r="K214">
        <v>870.13</v>
      </c>
      <c r="L214">
        <v>12.17</v>
      </c>
      <c r="M214">
        <v>17807</v>
      </c>
      <c r="N214" t="s">
        <v>23</v>
      </c>
      <c r="O214">
        <v>250505</v>
      </c>
      <c r="P214">
        <v>47.74</v>
      </c>
    </row>
    <row r="215" spans="1:16" x14ac:dyDescent="0.25">
      <c r="A215" t="s">
        <v>3296</v>
      </c>
      <c r="B215" t="s">
        <v>2931</v>
      </c>
      <c r="C215">
        <v>5828</v>
      </c>
      <c r="D215" t="str">
        <f t="shared" si="12"/>
        <v xml:space="preserve">692151      </v>
      </c>
      <c r="E215" t="s">
        <v>501</v>
      </c>
      <c r="F215" t="s">
        <v>502</v>
      </c>
      <c r="G215">
        <v>123.05</v>
      </c>
      <c r="H215">
        <v>250417</v>
      </c>
      <c r="I215">
        <v>4841</v>
      </c>
      <c r="J215" t="s">
        <v>9</v>
      </c>
      <c r="K215">
        <v>870.13</v>
      </c>
      <c r="L215">
        <v>25</v>
      </c>
      <c r="M215">
        <v>17808</v>
      </c>
      <c r="N215" t="s">
        <v>24</v>
      </c>
      <c r="O215">
        <v>250505</v>
      </c>
      <c r="P215">
        <v>98.05</v>
      </c>
    </row>
    <row r="216" spans="1:16" x14ac:dyDescent="0.25">
      <c r="A216" t="s">
        <v>3296</v>
      </c>
      <c r="B216" t="s">
        <v>2931</v>
      </c>
      <c r="C216">
        <v>5828</v>
      </c>
      <c r="D216" t="str">
        <f t="shared" si="12"/>
        <v xml:space="preserve">692151      </v>
      </c>
      <c r="E216" t="s">
        <v>501</v>
      </c>
      <c r="F216" t="s">
        <v>502</v>
      </c>
      <c r="G216">
        <v>169.28</v>
      </c>
      <c r="H216">
        <v>250417</v>
      </c>
      <c r="I216">
        <v>4841</v>
      </c>
      <c r="J216" t="s">
        <v>9</v>
      </c>
      <c r="K216">
        <v>870.13</v>
      </c>
      <c r="L216">
        <v>34.4</v>
      </c>
      <c r="M216">
        <v>17808</v>
      </c>
      <c r="N216" t="s">
        <v>24</v>
      </c>
      <c r="O216">
        <v>250505</v>
      </c>
      <c r="P216">
        <v>134.88</v>
      </c>
    </row>
    <row r="217" spans="1:16" x14ac:dyDescent="0.25">
      <c r="A217" t="s">
        <v>3296</v>
      </c>
      <c r="B217" t="s">
        <v>2931</v>
      </c>
      <c r="C217">
        <v>5828</v>
      </c>
      <c r="D217" t="str">
        <f t="shared" si="12"/>
        <v xml:space="preserve">692151      </v>
      </c>
      <c r="E217" t="s">
        <v>501</v>
      </c>
      <c r="F217" t="s">
        <v>502</v>
      </c>
      <c r="G217">
        <v>76.290000000000006</v>
      </c>
      <c r="H217">
        <v>250417</v>
      </c>
      <c r="I217">
        <v>4841</v>
      </c>
      <c r="J217" t="s">
        <v>9</v>
      </c>
      <c r="K217">
        <v>870.13</v>
      </c>
      <c r="L217">
        <v>15.5</v>
      </c>
      <c r="M217">
        <v>17971</v>
      </c>
      <c r="N217" t="s">
        <v>27</v>
      </c>
      <c r="O217">
        <v>250505</v>
      </c>
      <c r="P217">
        <v>60.79</v>
      </c>
    </row>
    <row r="218" spans="1:16" x14ac:dyDescent="0.25">
      <c r="A218" t="s">
        <v>3296</v>
      </c>
      <c r="B218" t="s">
        <v>2931</v>
      </c>
      <c r="C218">
        <v>5828</v>
      </c>
      <c r="D218" t="str">
        <f t="shared" si="12"/>
        <v xml:space="preserve">692151      </v>
      </c>
      <c r="E218" t="s">
        <v>501</v>
      </c>
      <c r="F218" t="s">
        <v>502</v>
      </c>
      <c r="G218">
        <v>26.36</v>
      </c>
      <c r="H218">
        <v>250417</v>
      </c>
      <c r="I218">
        <v>4841</v>
      </c>
      <c r="J218" t="s">
        <v>9</v>
      </c>
      <c r="K218">
        <v>870.13</v>
      </c>
      <c r="L218">
        <v>5.36</v>
      </c>
      <c r="M218">
        <v>17972</v>
      </c>
      <c r="N218" t="s">
        <v>28</v>
      </c>
      <c r="O218">
        <v>250505</v>
      </c>
      <c r="P218">
        <v>21</v>
      </c>
    </row>
    <row r="219" spans="1:16" x14ac:dyDescent="0.25">
      <c r="A219" t="s">
        <v>3296</v>
      </c>
      <c r="B219" t="s">
        <v>2931</v>
      </c>
      <c r="C219">
        <v>5910</v>
      </c>
      <c r="D219" t="str">
        <f t="shared" ref="D219:D230" si="13">"692147      "</f>
        <v xml:space="preserve">692147      </v>
      </c>
      <c r="E219" t="s">
        <v>501</v>
      </c>
      <c r="F219" t="s">
        <v>502</v>
      </c>
      <c r="G219">
        <v>2.04</v>
      </c>
      <c r="H219">
        <v>250417</v>
      </c>
      <c r="I219">
        <v>4841</v>
      </c>
      <c r="J219" t="s">
        <v>9</v>
      </c>
      <c r="K219">
        <v>851.86</v>
      </c>
      <c r="L219">
        <v>0.41</v>
      </c>
      <c r="M219">
        <v>11601</v>
      </c>
      <c r="N219" t="s">
        <v>12</v>
      </c>
      <c r="O219">
        <v>250507</v>
      </c>
      <c r="P219">
        <v>1.63</v>
      </c>
    </row>
    <row r="220" spans="1:16" x14ac:dyDescent="0.25">
      <c r="A220" t="s">
        <v>3296</v>
      </c>
      <c r="B220" t="s">
        <v>2931</v>
      </c>
      <c r="C220">
        <v>5910</v>
      </c>
      <c r="D220" t="str">
        <f t="shared" si="13"/>
        <v xml:space="preserve">692147      </v>
      </c>
      <c r="E220" t="s">
        <v>501</v>
      </c>
      <c r="F220" t="s">
        <v>502</v>
      </c>
      <c r="G220">
        <v>21.15</v>
      </c>
      <c r="H220">
        <v>250417</v>
      </c>
      <c r="I220">
        <v>4841</v>
      </c>
      <c r="J220" t="s">
        <v>9</v>
      </c>
      <c r="K220">
        <v>851.86</v>
      </c>
      <c r="L220">
        <v>4.3</v>
      </c>
      <c r="M220">
        <v>14121</v>
      </c>
      <c r="N220" t="s">
        <v>71</v>
      </c>
      <c r="O220">
        <v>250507</v>
      </c>
      <c r="P220">
        <v>16.850000000000001</v>
      </c>
    </row>
    <row r="221" spans="1:16" x14ac:dyDescent="0.25">
      <c r="A221" t="s">
        <v>3296</v>
      </c>
      <c r="B221" t="s">
        <v>2931</v>
      </c>
      <c r="C221">
        <v>5910</v>
      </c>
      <c r="D221" t="str">
        <f t="shared" si="13"/>
        <v xml:space="preserve">692147      </v>
      </c>
      <c r="E221" t="s">
        <v>501</v>
      </c>
      <c r="F221" t="s">
        <v>502</v>
      </c>
      <c r="G221">
        <v>334.33</v>
      </c>
      <c r="H221">
        <v>250417</v>
      </c>
      <c r="I221">
        <v>4841</v>
      </c>
      <c r="J221" t="s">
        <v>9</v>
      </c>
      <c r="K221">
        <v>851.86</v>
      </c>
      <c r="L221">
        <v>67.930000000000007</v>
      </c>
      <c r="M221">
        <v>14121</v>
      </c>
      <c r="N221" t="s">
        <v>71</v>
      </c>
      <c r="O221">
        <v>250507</v>
      </c>
      <c r="P221">
        <v>266.39999999999998</v>
      </c>
    </row>
    <row r="222" spans="1:16" x14ac:dyDescent="0.25">
      <c r="A222" t="s">
        <v>3296</v>
      </c>
      <c r="B222" t="s">
        <v>2931</v>
      </c>
      <c r="C222">
        <v>5910</v>
      </c>
      <c r="D222" t="str">
        <f t="shared" si="13"/>
        <v xml:space="preserve">692147      </v>
      </c>
      <c r="E222" t="s">
        <v>501</v>
      </c>
      <c r="F222" t="s">
        <v>502</v>
      </c>
      <c r="G222">
        <v>25.04</v>
      </c>
      <c r="H222">
        <v>250417</v>
      </c>
      <c r="I222">
        <v>4841</v>
      </c>
      <c r="J222" t="s">
        <v>9</v>
      </c>
      <c r="K222">
        <v>851.86</v>
      </c>
      <c r="L222">
        <v>5.09</v>
      </c>
      <c r="M222">
        <v>14321</v>
      </c>
      <c r="N222" t="s">
        <v>72</v>
      </c>
      <c r="O222">
        <v>250507</v>
      </c>
      <c r="P222">
        <v>19.95</v>
      </c>
    </row>
    <row r="223" spans="1:16" x14ac:dyDescent="0.25">
      <c r="A223" t="s">
        <v>3296</v>
      </c>
      <c r="B223" t="s">
        <v>2931</v>
      </c>
      <c r="C223">
        <v>5910</v>
      </c>
      <c r="D223" t="str">
        <f t="shared" si="13"/>
        <v xml:space="preserve">692147      </v>
      </c>
      <c r="E223" t="s">
        <v>501</v>
      </c>
      <c r="F223" t="s">
        <v>502</v>
      </c>
      <c r="G223">
        <v>151.51</v>
      </c>
      <c r="H223">
        <v>250417</v>
      </c>
      <c r="I223">
        <v>4841</v>
      </c>
      <c r="J223" t="s">
        <v>9</v>
      </c>
      <c r="K223">
        <v>851.86</v>
      </c>
      <c r="L223">
        <v>30.78</v>
      </c>
      <c r="M223">
        <v>14321</v>
      </c>
      <c r="N223" t="s">
        <v>72</v>
      </c>
      <c r="O223">
        <v>250507</v>
      </c>
      <c r="P223">
        <v>120.73</v>
      </c>
    </row>
    <row r="224" spans="1:16" x14ac:dyDescent="0.25">
      <c r="A224" t="s">
        <v>3296</v>
      </c>
      <c r="B224" t="s">
        <v>2931</v>
      </c>
      <c r="C224">
        <v>5910</v>
      </c>
      <c r="D224" t="str">
        <f t="shared" si="13"/>
        <v xml:space="preserve">692147      </v>
      </c>
      <c r="E224" t="s">
        <v>501</v>
      </c>
      <c r="F224" t="s">
        <v>502</v>
      </c>
      <c r="G224">
        <v>12.09</v>
      </c>
      <c r="H224">
        <v>250417</v>
      </c>
      <c r="I224">
        <v>4841</v>
      </c>
      <c r="J224" t="s">
        <v>9</v>
      </c>
      <c r="K224">
        <v>851.86</v>
      </c>
      <c r="L224">
        <v>2.46</v>
      </c>
      <c r="M224">
        <v>14422</v>
      </c>
      <c r="N224" t="s">
        <v>73</v>
      </c>
      <c r="O224">
        <v>250507</v>
      </c>
      <c r="P224">
        <v>9.6300000000000008</v>
      </c>
    </row>
    <row r="225" spans="1:16" x14ac:dyDescent="0.25">
      <c r="A225" t="s">
        <v>3296</v>
      </c>
      <c r="B225" t="s">
        <v>2931</v>
      </c>
      <c r="C225">
        <v>5910</v>
      </c>
      <c r="D225" t="str">
        <f t="shared" si="13"/>
        <v xml:space="preserve">692147      </v>
      </c>
      <c r="E225" t="s">
        <v>501</v>
      </c>
      <c r="F225" t="s">
        <v>502</v>
      </c>
      <c r="G225">
        <v>13.48</v>
      </c>
      <c r="H225">
        <v>250417</v>
      </c>
      <c r="I225">
        <v>4841</v>
      </c>
      <c r="J225" t="s">
        <v>9</v>
      </c>
      <c r="K225">
        <v>851.86</v>
      </c>
      <c r="L225">
        <v>2.74</v>
      </c>
      <c r="M225">
        <v>14432</v>
      </c>
      <c r="N225" t="s">
        <v>75</v>
      </c>
      <c r="O225">
        <v>250507</v>
      </c>
      <c r="P225">
        <v>10.74</v>
      </c>
    </row>
    <row r="226" spans="1:16" x14ac:dyDescent="0.25">
      <c r="A226" t="s">
        <v>3296</v>
      </c>
      <c r="B226" t="s">
        <v>2931</v>
      </c>
      <c r="C226">
        <v>5910</v>
      </c>
      <c r="D226" t="str">
        <f t="shared" si="13"/>
        <v xml:space="preserve">692147      </v>
      </c>
      <c r="E226" t="s">
        <v>501</v>
      </c>
      <c r="F226" t="s">
        <v>502</v>
      </c>
      <c r="G226">
        <v>45.71</v>
      </c>
      <c r="H226">
        <v>250417</v>
      </c>
      <c r="I226">
        <v>4841</v>
      </c>
      <c r="J226" t="s">
        <v>9</v>
      </c>
      <c r="K226">
        <v>851.86</v>
      </c>
      <c r="L226">
        <v>9.2899999999999991</v>
      </c>
      <c r="M226">
        <v>14622</v>
      </c>
      <c r="N226" t="s">
        <v>77</v>
      </c>
      <c r="O226">
        <v>250507</v>
      </c>
      <c r="P226">
        <v>36.42</v>
      </c>
    </row>
    <row r="227" spans="1:16" x14ac:dyDescent="0.25">
      <c r="A227" t="s">
        <v>3296</v>
      </c>
      <c r="B227" t="s">
        <v>2931</v>
      </c>
      <c r="C227">
        <v>5910</v>
      </c>
      <c r="D227" t="str">
        <f t="shared" si="13"/>
        <v xml:space="preserve">692147      </v>
      </c>
      <c r="E227" t="s">
        <v>501</v>
      </c>
      <c r="F227" t="s">
        <v>502</v>
      </c>
      <c r="G227">
        <v>10.58</v>
      </c>
      <c r="H227">
        <v>250417</v>
      </c>
      <c r="I227">
        <v>4841</v>
      </c>
      <c r="J227" t="s">
        <v>9</v>
      </c>
      <c r="K227">
        <v>851.86</v>
      </c>
      <c r="L227">
        <v>2.15</v>
      </c>
      <c r="M227">
        <v>14912</v>
      </c>
      <c r="N227" t="s">
        <v>80</v>
      </c>
      <c r="O227">
        <v>250507</v>
      </c>
      <c r="P227">
        <v>8.43</v>
      </c>
    </row>
    <row r="228" spans="1:16" x14ac:dyDescent="0.25">
      <c r="A228" t="s">
        <v>3296</v>
      </c>
      <c r="B228" t="s">
        <v>2931</v>
      </c>
      <c r="C228">
        <v>5910</v>
      </c>
      <c r="D228" t="str">
        <f t="shared" si="13"/>
        <v xml:space="preserve">692147      </v>
      </c>
      <c r="E228" t="s">
        <v>501</v>
      </c>
      <c r="F228" t="s">
        <v>502</v>
      </c>
      <c r="G228">
        <v>201.01</v>
      </c>
      <c r="H228">
        <v>250417</v>
      </c>
      <c r="I228">
        <v>4841</v>
      </c>
      <c r="J228" t="s">
        <v>9</v>
      </c>
      <c r="K228">
        <v>851.86</v>
      </c>
      <c r="L228">
        <v>40.840000000000003</v>
      </c>
      <c r="M228">
        <v>14972</v>
      </c>
      <c r="N228" t="s">
        <v>82</v>
      </c>
      <c r="O228">
        <v>250507</v>
      </c>
      <c r="P228">
        <v>160.16999999999999</v>
      </c>
    </row>
    <row r="229" spans="1:16" x14ac:dyDescent="0.25">
      <c r="A229" t="s">
        <v>3296</v>
      </c>
      <c r="B229" t="s">
        <v>2931</v>
      </c>
      <c r="C229">
        <v>5910</v>
      </c>
      <c r="D229" t="str">
        <f t="shared" si="13"/>
        <v xml:space="preserve">692147      </v>
      </c>
      <c r="E229" t="s">
        <v>501</v>
      </c>
      <c r="F229" t="s">
        <v>502</v>
      </c>
      <c r="G229">
        <v>10.38</v>
      </c>
      <c r="H229">
        <v>250417</v>
      </c>
      <c r="I229">
        <v>4841</v>
      </c>
      <c r="J229" t="s">
        <v>9</v>
      </c>
      <c r="K229">
        <v>851.86</v>
      </c>
      <c r="L229">
        <v>2.11</v>
      </c>
      <c r="M229">
        <v>14974</v>
      </c>
      <c r="N229" t="s">
        <v>83</v>
      </c>
      <c r="O229">
        <v>250507</v>
      </c>
      <c r="P229">
        <v>8.27</v>
      </c>
    </row>
    <row r="230" spans="1:16" x14ac:dyDescent="0.25">
      <c r="A230" t="s">
        <v>3296</v>
      </c>
      <c r="B230" t="s">
        <v>2931</v>
      </c>
      <c r="C230">
        <v>5910</v>
      </c>
      <c r="D230" t="str">
        <f t="shared" si="13"/>
        <v xml:space="preserve">692147      </v>
      </c>
      <c r="E230" t="s">
        <v>501</v>
      </c>
      <c r="F230" t="s">
        <v>502</v>
      </c>
      <c r="G230">
        <v>24.54</v>
      </c>
      <c r="H230">
        <v>250417</v>
      </c>
      <c r="I230">
        <v>4841</v>
      </c>
      <c r="J230" t="s">
        <v>9</v>
      </c>
      <c r="K230">
        <v>851.86</v>
      </c>
      <c r="L230">
        <v>4.99</v>
      </c>
      <c r="M230">
        <v>18972</v>
      </c>
      <c r="N230" t="s">
        <v>39</v>
      </c>
      <c r="O230">
        <v>250507</v>
      </c>
      <c r="P230">
        <v>19.55</v>
      </c>
    </row>
    <row r="231" spans="1:16" x14ac:dyDescent="0.25">
      <c r="A231" t="s">
        <v>3296</v>
      </c>
      <c r="B231" t="s">
        <v>2931</v>
      </c>
      <c r="C231">
        <v>6259</v>
      </c>
      <c r="D231" t="str">
        <f>"693624      "</f>
        <v xml:space="preserve">693624      </v>
      </c>
      <c r="E231" t="s">
        <v>501</v>
      </c>
      <c r="F231" t="s">
        <v>502</v>
      </c>
      <c r="G231">
        <v>213.35</v>
      </c>
      <c r="H231">
        <v>250424</v>
      </c>
      <c r="I231">
        <v>4841</v>
      </c>
      <c r="J231" t="s">
        <v>9</v>
      </c>
      <c r="K231">
        <v>213.35</v>
      </c>
      <c r="L231">
        <v>43.35</v>
      </c>
      <c r="M231">
        <v>13501</v>
      </c>
      <c r="N231" t="s">
        <v>66</v>
      </c>
      <c r="O231">
        <v>250512</v>
      </c>
      <c r="P231">
        <v>170</v>
      </c>
    </row>
    <row r="232" spans="1:16" x14ac:dyDescent="0.25">
      <c r="A232" t="s">
        <v>3296</v>
      </c>
      <c r="B232" t="s">
        <v>2931</v>
      </c>
      <c r="C232">
        <v>9240</v>
      </c>
      <c r="D232" t="str">
        <f>"695332      "</f>
        <v xml:space="preserve">695332      </v>
      </c>
      <c r="E232" t="s">
        <v>501</v>
      </c>
      <c r="F232" t="s">
        <v>502</v>
      </c>
      <c r="G232">
        <v>363.95</v>
      </c>
      <c r="H232">
        <v>250603</v>
      </c>
      <c r="I232">
        <v>4841</v>
      </c>
      <c r="J232" t="s">
        <v>9</v>
      </c>
      <c r="K232">
        <v>363.95</v>
      </c>
      <c r="L232">
        <v>73.95</v>
      </c>
      <c r="M232">
        <v>59702</v>
      </c>
      <c r="N232" t="s">
        <v>45</v>
      </c>
      <c r="O232">
        <v>250701</v>
      </c>
      <c r="P232">
        <v>290</v>
      </c>
    </row>
    <row r="233" spans="1:16" x14ac:dyDescent="0.25">
      <c r="A233" t="s">
        <v>3296</v>
      </c>
      <c r="B233" t="s">
        <v>2931</v>
      </c>
      <c r="C233">
        <v>9449</v>
      </c>
      <c r="D233" t="str">
        <f>"697283      "</f>
        <v xml:space="preserve">697283      </v>
      </c>
      <c r="E233" t="s">
        <v>501</v>
      </c>
      <c r="F233" t="s">
        <v>502</v>
      </c>
      <c r="G233">
        <v>50.2</v>
      </c>
      <c r="H233">
        <v>250623</v>
      </c>
      <c r="I233">
        <v>4841</v>
      </c>
      <c r="J233" t="s">
        <v>9</v>
      </c>
      <c r="K233">
        <v>50.2</v>
      </c>
      <c r="L233">
        <v>10.199999999999999</v>
      </c>
      <c r="M233">
        <v>59702</v>
      </c>
      <c r="N233" t="s">
        <v>45</v>
      </c>
      <c r="O233">
        <v>250707</v>
      </c>
      <c r="P233">
        <v>40</v>
      </c>
    </row>
    <row r="234" spans="1:16" x14ac:dyDescent="0.25">
      <c r="A234" t="s">
        <v>3296</v>
      </c>
      <c r="B234" t="s">
        <v>2931</v>
      </c>
      <c r="C234">
        <v>9825</v>
      </c>
      <c r="D234" t="str">
        <f t="shared" ref="D234:D242" si="14">"699453      "</f>
        <v xml:space="preserve">699453      </v>
      </c>
      <c r="E234" t="s">
        <v>501</v>
      </c>
      <c r="F234" t="s">
        <v>502</v>
      </c>
      <c r="G234">
        <v>285.99</v>
      </c>
      <c r="H234">
        <v>250715</v>
      </c>
      <c r="I234">
        <v>4841</v>
      </c>
      <c r="J234" t="s">
        <v>9</v>
      </c>
      <c r="K234">
        <v>680.3</v>
      </c>
      <c r="L234">
        <v>58.11</v>
      </c>
      <c r="M234">
        <v>10002</v>
      </c>
      <c r="N234" t="s">
        <v>513</v>
      </c>
      <c r="O234">
        <v>250729</v>
      </c>
      <c r="P234">
        <v>227.88</v>
      </c>
    </row>
    <row r="235" spans="1:16" x14ac:dyDescent="0.25">
      <c r="A235" t="s">
        <v>3296</v>
      </c>
      <c r="B235" t="s">
        <v>2931</v>
      </c>
      <c r="C235">
        <v>9825</v>
      </c>
      <c r="D235" t="str">
        <f t="shared" si="14"/>
        <v xml:space="preserve">699453      </v>
      </c>
      <c r="E235" t="s">
        <v>501</v>
      </c>
      <c r="F235" t="s">
        <v>502</v>
      </c>
      <c r="G235">
        <v>51.93</v>
      </c>
      <c r="H235">
        <v>250715</v>
      </c>
      <c r="I235">
        <v>4841</v>
      </c>
      <c r="J235" t="s">
        <v>9</v>
      </c>
      <c r="K235">
        <v>680.3</v>
      </c>
      <c r="L235">
        <v>10.55</v>
      </c>
      <c r="M235">
        <v>11001</v>
      </c>
      <c r="N235" t="s">
        <v>93</v>
      </c>
      <c r="O235">
        <v>250729</v>
      </c>
      <c r="P235">
        <v>41.38</v>
      </c>
    </row>
    <row r="236" spans="1:16" x14ac:dyDescent="0.25">
      <c r="A236" t="s">
        <v>3296</v>
      </c>
      <c r="B236" t="s">
        <v>2931</v>
      </c>
      <c r="C236">
        <v>9825</v>
      </c>
      <c r="D236" t="str">
        <f t="shared" si="14"/>
        <v xml:space="preserve">699453      </v>
      </c>
      <c r="E236" t="s">
        <v>501</v>
      </c>
      <c r="F236" t="s">
        <v>502</v>
      </c>
      <c r="G236">
        <v>14.52</v>
      </c>
      <c r="H236">
        <v>250715</v>
      </c>
      <c r="I236">
        <v>4841</v>
      </c>
      <c r="J236" t="s">
        <v>9</v>
      </c>
      <c r="K236">
        <v>680.3</v>
      </c>
      <c r="L236">
        <v>2.95</v>
      </c>
      <c r="M236">
        <v>11101</v>
      </c>
      <c r="N236" t="s">
        <v>67</v>
      </c>
      <c r="O236">
        <v>250729</v>
      </c>
      <c r="P236">
        <v>11.57</v>
      </c>
    </row>
    <row r="237" spans="1:16" x14ac:dyDescent="0.25">
      <c r="A237" t="s">
        <v>3296</v>
      </c>
      <c r="B237" t="s">
        <v>2931</v>
      </c>
      <c r="C237">
        <v>9825</v>
      </c>
      <c r="D237" t="str">
        <f t="shared" si="14"/>
        <v xml:space="preserve">699453      </v>
      </c>
      <c r="E237" t="s">
        <v>501</v>
      </c>
      <c r="F237" t="s">
        <v>502</v>
      </c>
      <c r="G237">
        <v>65.510000000000005</v>
      </c>
      <c r="H237">
        <v>250715</v>
      </c>
      <c r="I237">
        <v>4841</v>
      </c>
      <c r="J237" t="s">
        <v>9</v>
      </c>
      <c r="K237">
        <v>680.3</v>
      </c>
      <c r="L237">
        <v>13.31</v>
      </c>
      <c r="M237">
        <v>11301</v>
      </c>
      <c r="N237" t="s">
        <v>92</v>
      </c>
      <c r="O237">
        <v>250729</v>
      </c>
      <c r="P237">
        <v>52.2</v>
      </c>
    </row>
    <row r="238" spans="1:16" x14ac:dyDescent="0.25">
      <c r="A238" t="s">
        <v>3296</v>
      </c>
      <c r="B238" t="s">
        <v>2931</v>
      </c>
      <c r="C238">
        <v>9825</v>
      </c>
      <c r="D238" t="str">
        <f t="shared" si="14"/>
        <v xml:space="preserve">699453      </v>
      </c>
      <c r="E238" t="s">
        <v>501</v>
      </c>
      <c r="F238" t="s">
        <v>502</v>
      </c>
      <c r="G238">
        <v>52.5</v>
      </c>
      <c r="H238">
        <v>250715</v>
      </c>
      <c r="I238">
        <v>4841</v>
      </c>
      <c r="J238" t="s">
        <v>9</v>
      </c>
      <c r="K238">
        <v>680.3</v>
      </c>
      <c r="L238">
        <v>10.67</v>
      </c>
      <c r="M238">
        <v>11401</v>
      </c>
      <c r="N238" t="s">
        <v>91</v>
      </c>
      <c r="O238">
        <v>250729</v>
      </c>
      <c r="P238">
        <v>41.83</v>
      </c>
    </row>
    <row r="239" spans="1:16" x14ac:dyDescent="0.25">
      <c r="A239" t="s">
        <v>3296</v>
      </c>
      <c r="B239" t="s">
        <v>2931</v>
      </c>
      <c r="C239">
        <v>9825</v>
      </c>
      <c r="D239" t="str">
        <f t="shared" si="14"/>
        <v xml:space="preserve">699453      </v>
      </c>
      <c r="E239" t="s">
        <v>501</v>
      </c>
      <c r="F239" t="s">
        <v>502</v>
      </c>
      <c r="G239">
        <v>68.459999999999994</v>
      </c>
      <c r="H239">
        <v>250715</v>
      </c>
      <c r="I239">
        <v>4841</v>
      </c>
      <c r="J239" t="s">
        <v>9</v>
      </c>
      <c r="K239">
        <v>680.3</v>
      </c>
      <c r="L239">
        <v>13.91</v>
      </c>
      <c r="M239">
        <v>11501</v>
      </c>
      <c r="N239" t="s">
        <v>13</v>
      </c>
      <c r="O239">
        <v>250729</v>
      </c>
      <c r="P239">
        <v>54.55</v>
      </c>
    </row>
    <row r="240" spans="1:16" x14ac:dyDescent="0.25">
      <c r="A240" t="s">
        <v>3296</v>
      </c>
      <c r="B240" t="s">
        <v>2931</v>
      </c>
      <c r="C240">
        <v>9825</v>
      </c>
      <c r="D240" t="str">
        <f t="shared" si="14"/>
        <v xml:space="preserve">699453      </v>
      </c>
      <c r="E240" t="s">
        <v>501</v>
      </c>
      <c r="F240" t="s">
        <v>502</v>
      </c>
      <c r="G240">
        <v>14.53</v>
      </c>
      <c r="H240">
        <v>250715</v>
      </c>
      <c r="I240">
        <v>4841</v>
      </c>
      <c r="J240" t="s">
        <v>9</v>
      </c>
      <c r="K240">
        <v>680.3</v>
      </c>
      <c r="L240">
        <v>2.95</v>
      </c>
      <c r="M240">
        <v>11601</v>
      </c>
      <c r="N240" t="s">
        <v>12</v>
      </c>
      <c r="O240">
        <v>250729</v>
      </c>
      <c r="P240">
        <v>11.58</v>
      </c>
    </row>
    <row r="241" spans="1:16" x14ac:dyDescent="0.25">
      <c r="A241" t="s">
        <v>3296</v>
      </c>
      <c r="B241" t="s">
        <v>2931</v>
      </c>
      <c r="C241">
        <v>9825</v>
      </c>
      <c r="D241" t="str">
        <f t="shared" si="14"/>
        <v xml:space="preserve">699453      </v>
      </c>
      <c r="E241" t="s">
        <v>501</v>
      </c>
      <c r="F241" t="s">
        <v>502</v>
      </c>
      <c r="G241">
        <v>122.68</v>
      </c>
      <c r="H241">
        <v>250715</v>
      </c>
      <c r="I241">
        <v>4841</v>
      </c>
      <c r="J241" t="s">
        <v>9</v>
      </c>
      <c r="K241">
        <v>680.3</v>
      </c>
      <c r="L241">
        <v>24.93</v>
      </c>
      <c r="M241">
        <v>11801</v>
      </c>
      <c r="N241" t="s">
        <v>40</v>
      </c>
      <c r="O241">
        <v>250729</v>
      </c>
      <c r="P241">
        <v>97.75</v>
      </c>
    </row>
    <row r="242" spans="1:16" x14ac:dyDescent="0.25">
      <c r="A242" t="s">
        <v>3296</v>
      </c>
      <c r="B242" t="s">
        <v>2931</v>
      </c>
      <c r="C242">
        <v>9825</v>
      </c>
      <c r="D242" t="str">
        <f t="shared" si="14"/>
        <v xml:space="preserve">699453      </v>
      </c>
      <c r="E242" t="s">
        <v>501</v>
      </c>
      <c r="F242" t="s">
        <v>502</v>
      </c>
      <c r="G242">
        <v>4.18</v>
      </c>
      <c r="H242">
        <v>250715</v>
      </c>
      <c r="I242">
        <v>4841</v>
      </c>
      <c r="J242" t="s">
        <v>9</v>
      </c>
      <c r="K242">
        <v>680.3</v>
      </c>
      <c r="L242">
        <v>0.85</v>
      </c>
      <c r="M242">
        <v>13201</v>
      </c>
      <c r="N242" t="s">
        <v>269</v>
      </c>
      <c r="O242">
        <v>250729</v>
      </c>
      <c r="P242">
        <v>3.33</v>
      </c>
    </row>
    <row r="243" spans="1:16" x14ac:dyDescent="0.25">
      <c r="A243" t="s">
        <v>3296</v>
      </c>
      <c r="B243" t="s">
        <v>2931</v>
      </c>
      <c r="C243">
        <v>9826</v>
      </c>
      <c r="D243" t="str">
        <f t="shared" ref="D243:D262" si="15">"699458      "</f>
        <v xml:space="preserve">699458      </v>
      </c>
      <c r="E243" t="s">
        <v>501</v>
      </c>
      <c r="F243" t="s">
        <v>502</v>
      </c>
      <c r="G243">
        <v>8.36</v>
      </c>
      <c r="H243">
        <v>250715</v>
      </c>
      <c r="I243">
        <v>4841</v>
      </c>
      <c r="J243" t="s">
        <v>9</v>
      </c>
      <c r="K243">
        <v>1258.92</v>
      </c>
      <c r="L243">
        <v>1.7</v>
      </c>
      <c r="M243">
        <v>11751</v>
      </c>
      <c r="N243" t="s">
        <v>167</v>
      </c>
      <c r="O243">
        <v>250729</v>
      </c>
      <c r="P243">
        <v>6.66</v>
      </c>
    </row>
    <row r="244" spans="1:16" x14ac:dyDescent="0.25">
      <c r="A244" t="s">
        <v>3296</v>
      </c>
      <c r="B244" t="s">
        <v>2931</v>
      </c>
      <c r="C244">
        <v>9826</v>
      </c>
      <c r="D244" t="str">
        <f t="shared" si="15"/>
        <v xml:space="preserve">699458      </v>
      </c>
      <c r="E244" t="s">
        <v>501</v>
      </c>
      <c r="F244" t="s">
        <v>502</v>
      </c>
      <c r="G244">
        <v>88.52</v>
      </c>
      <c r="H244">
        <v>250715</v>
      </c>
      <c r="I244">
        <v>4841</v>
      </c>
      <c r="J244" t="s">
        <v>9</v>
      </c>
      <c r="K244">
        <v>1258.92</v>
      </c>
      <c r="L244">
        <v>17.989999999999998</v>
      </c>
      <c r="M244">
        <v>61122</v>
      </c>
      <c r="N244" t="s">
        <v>86</v>
      </c>
      <c r="O244">
        <v>250729</v>
      </c>
      <c r="P244">
        <v>70.53</v>
      </c>
    </row>
    <row r="245" spans="1:16" x14ac:dyDescent="0.25">
      <c r="A245" t="s">
        <v>3296</v>
      </c>
      <c r="B245" t="s">
        <v>2931</v>
      </c>
      <c r="C245">
        <v>9826</v>
      </c>
      <c r="D245" t="str">
        <f t="shared" si="15"/>
        <v xml:space="preserve">699458      </v>
      </c>
      <c r="E245" t="s">
        <v>501</v>
      </c>
      <c r="F245" t="s">
        <v>502</v>
      </c>
      <c r="G245">
        <v>12.81</v>
      </c>
      <c r="H245">
        <v>250715</v>
      </c>
      <c r="I245">
        <v>4841</v>
      </c>
      <c r="J245" t="s">
        <v>9</v>
      </c>
      <c r="K245">
        <v>1258.92</v>
      </c>
      <c r="L245">
        <v>2.6</v>
      </c>
      <c r="M245">
        <v>61122</v>
      </c>
      <c r="N245" t="s">
        <v>86</v>
      </c>
      <c r="O245">
        <v>250729</v>
      </c>
      <c r="P245">
        <v>10.210000000000001</v>
      </c>
    </row>
    <row r="246" spans="1:16" x14ac:dyDescent="0.25">
      <c r="A246" t="s">
        <v>3296</v>
      </c>
      <c r="B246" t="s">
        <v>2931</v>
      </c>
      <c r="C246">
        <v>9826</v>
      </c>
      <c r="D246" t="str">
        <f t="shared" si="15"/>
        <v xml:space="preserve">699458      </v>
      </c>
      <c r="E246" t="s">
        <v>501</v>
      </c>
      <c r="F246" t="s">
        <v>502</v>
      </c>
      <c r="G246">
        <v>54.52</v>
      </c>
      <c r="H246">
        <v>250715</v>
      </c>
      <c r="I246">
        <v>4841</v>
      </c>
      <c r="J246" t="s">
        <v>9</v>
      </c>
      <c r="K246">
        <v>1258.92</v>
      </c>
      <c r="L246">
        <v>11.08</v>
      </c>
      <c r="M246">
        <v>65222</v>
      </c>
      <c r="N246" t="s">
        <v>87</v>
      </c>
      <c r="O246">
        <v>250729</v>
      </c>
      <c r="P246">
        <v>43.44</v>
      </c>
    </row>
    <row r="247" spans="1:16" x14ac:dyDescent="0.25">
      <c r="A247" t="s">
        <v>3296</v>
      </c>
      <c r="B247" t="s">
        <v>2931</v>
      </c>
      <c r="C247">
        <v>9826</v>
      </c>
      <c r="D247" t="str">
        <f t="shared" si="15"/>
        <v xml:space="preserve">699458      </v>
      </c>
      <c r="E247" t="s">
        <v>501</v>
      </c>
      <c r="F247" t="s">
        <v>502</v>
      </c>
      <c r="G247">
        <v>25.63</v>
      </c>
      <c r="H247">
        <v>250715</v>
      </c>
      <c r="I247">
        <v>4841</v>
      </c>
      <c r="J247" t="s">
        <v>9</v>
      </c>
      <c r="K247">
        <v>1258.92</v>
      </c>
      <c r="L247">
        <v>5.21</v>
      </c>
      <c r="M247">
        <v>66722</v>
      </c>
      <c r="N247" t="s">
        <v>118</v>
      </c>
      <c r="O247">
        <v>250729</v>
      </c>
      <c r="P247">
        <v>20.420000000000002</v>
      </c>
    </row>
    <row r="248" spans="1:16" x14ac:dyDescent="0.25">
      <c r="A248" t="s">
        <v>3296</v>
      </c>
      <c r="B248" t="s">
        <v>2931</v>
      </c>
      <c r="C248">
        <v>9826</v>
      </c>
      <c r="D248" t="str">
        <f t="shared" si="15"/>
        <v xml:space="preserve">699458      </v>
      </c>
      <c r="E248" t="s">
        <v>501</v>
      </c>
      <c r="F248" t="s">
        <v>502</v>
      </c>
      <c r="G248">
        <v>102.48</v>
      </c>
      <c r="H248">
        <v>250715</v>
      </c>
      <c r="I248">
        <v>4841</v>
      </c>
      <c r="J248" t="s">
        <v>9</v>
      </c>
      <c r="K248">
        <v>1258.92</v>
      </c>
      <c r="L248">
        <v>20.82</v>
      </c>
      <c r="M248">
        <v>66756</v>
      </c>
      <c r="N248" t="s">
        <v>120</v>
      </c>
      <c r="O248">
        <v>250729</v>
      </c>
      <c r="P248">
        <v>81.66</v>
      </c>
    </row>
    <row r="249" spans="1:16" x14ac:dyDescent="0.25">
      <c r="A249" t="s">
        <v>3296</v>
      </c>
      <c r="B249" t="s">
        <v>2931</v>
      </c>
      <c r="C249">
        <v>9826</v>
      </c>
      <c r="D249" t="str">
        <f t="shared" si="15"/>
        <v xml:space="preserve">699458      </v>
      </c>
      <c r="E249" t="s">
        <v>501</v>
      </c>
      <c r="F249" t="s">
        <v>502</v>
      </c>
      <c r="G249">
        <v>39.229999999999997</v>
      </c>
      <c r="H249">
        <v>250715</v>
      </c>
      <c r="I249">
        <v>4841</v>
      </c>
      <c r="J249" t="s">
        <v>9</v>
      </c>
      <c r="K249">
        <v>1258.92</v>
      </c>
      <c r="L249">
        <v>7.97</v>
      </c>
      <c r="M249">
        <v>67522</v>
      </c>
      <c r="N249" t="s">
        <v>121</v>
      </c>
      <c r="O249">
        <v>250729</v>
      </c>
      <c r="P249">
        <v>31.26</v>
      </c>
    </row>
    <row r="250" spans="1:16" x14ac:dyDescent="0.25">
      <c r="A250" t="s">
        <v>3296</v>
      </c>
      <c r="B250" t="s">
        <v>2931</v>
      </c>
      <c r="C250">
        <v>9826</v>
      </c>
      <c r="D250" t="str">
        <f t="shared" si="15"/>
        <v xml:space="preserve">699458      </v>
      </c>
      <c r="E250" t="s">
        <v>501</v>
      </c>
      <c r="F250" t="s">
        <v>502</v>
      </c>
      <c r="G250">
        <v>25.63</v>
      </c>
      <c r="H250">
        <v>250715</v>
      </c>
      <c r="I250">
        <v>4841</v>
      </c>
      <c r="J250" t="s">
        <v>9</v>
      </c>
      <c r="K250">
        <v>1258.92</v>
      </c>
      <c r="L250">
        <v>5.21</v>
      </c>
      <c r="M250">
        <v>67522</v>
      </c>
      <c r="N250" t="s">
        <v>121</v>
      </c>
      <c r="O250">
        <v>250729</v>
      </c>
      <c r="P250">
        <v>20.420000000000002</v>
      </c>
    </row>
    <row r="251" spans="1:16" x14ac:dyDescent="0.25">
      <c r="A251" t="s">
        <v>3296</v>
      </c>
      <c r="B251" t="s">
        <v>2931</v>
      </c>
      <c r="C251">
        <v>9826</v>
      </c>
      <c r="D251" t="str">
        <f t="shared" si="15"/>
        <v xml:space="preserve">699458      </v>
      </c>
      <c r="E251" t="s">
        <v>501</v>
      </c>
      <c r="F251" t="s">
        <v>502</v>
      </c>
      <c r="G251">
        <v>13.05</v>
      </c>
      <c r="H251">
        <v>250715</v>
      </c>
      <c r="I251">
        <v>4841</v>
      </c>
      <c r="J251" t="s">
        <v>9</v>
      </c>
      <c r="K251">
        <v>1258.92</v>
      </c>
      <c r="L251">
        <v>2.65</v>
      </c>
      <c r="M251">
        <v>67554</v>
      </c>
      <c r="N251" t="s">
        <v>317</v>
      </c>
      <c r="O251">
        <v>250729</v>
      </c>
      <c r="P251">
        <v>10.4</v>
      </c>
    </row>
    <row r="252" spans="1:16" x14ac:dyDescent="0.25">
      <c r="A252" t="s">
        <v>3296</v>
      </c>
      <c r="B252" t="s">
        <v>2931</v>
      </c>
      <c r="C252">
        <v>9826</v>
      </c>
      <c r="D252" t="str">
        <f t="shared" si="15"/>
        <v xml:space="preserve">699458      </v>
      </c>
      <c r="E252" t="s">
        <v>501</v>
      </c>
      <c r="F252" t="s">
        <v>502</v>
      </c>
      <c r="G252">
        <v>14.85</v>
      </c>
      <c r="H252">
        <v>250715</v>
      </c>
      <c r="I252">
        <v>4841</v>
      </c>
      <c r="J252" t="s">
        <v>9</v>
      </c>
      <c r="K252">
        <v>1258.92</v>
      </c>
      <c r="L252">
        <v>3.02</v>
      </c>
      <c r="M252">
        <v>69111</v>
      </c>
      <c r="N252" t="s">
        <v>657</v>
      </c>
      <c r="O252">
        <v>250729</v>
      </c>
      <c r="P252">
        <v>11.83</v>
      </c>
    </row>
    <row r="253" spans="1:16" x14ac:dyDescent="0.25">
      <c r="A253" t="s">
        <v>3296</v>
      </c>
      <c r="B253" t="s">
        <v>2931</v>
      </c>
      <c r="C253">
        <v>9826</v>
      </c>
      <c r="D253" t="str">
        <f t="shared" si="15"/>
        <v xml:space="preserve">699458      </v>
      </c>
      <c r="E253" t="s">
        <v>501</v>
      </c>
      <c r="F253" t="s">
        <v>502</v>
      </c>
      <c r="G253">
        <v>13.09</v>
      </c>
      <c r="H253">
        <v>250715</v>
      </c>
      <c r="I253">
        <v>4841</v>
      </c>
      <c r="J253" t="s">
        <v>9</v>
      </c>
      <c r="K253">
        <v>1258.92</v>
      </c>
      <c r="L253">
        <v>2.66</v>
      </c>
      <c r="M253">
        <v>69112</v>
      </c>
      <c r="N253" t="s">
        <v>227</v>
      </c>
      <c r="O253">
        <v>250729</v>
      </c>
      <c r="P253">
        <v>10.43</v>
      </c>
    </row>
    <row r="254" spans="1:16" x14ac:dyDescent="0.25">
      <c r="A254" t="s">
        <v>3296</v>
      </c>
      <c r="B254" t="s">
        <v>2931</v>
      </c>
      <c r="C254">
        <v>9826</v>
      </c>
      <c r="D254" t="str">
        <f t="shared" si="15"/>
        <v xml:space="preserve">699458      </v>
      </c>
      <c r="E254" t="s">
        <v>501</v>
      </c>
      <c r="F254" t="s">
        <v>502</v>
      </c>
      <c r="G254">
        <v>7.97</v>
      </c>
      <c r="H254">
        <v>250715</v>
      </c>
      <c r="I254">
        <v>4841</v>
      </c>
      <c r="J254" t="s">
        <v>9</v>
      </c>
      <c r="K254">
        <v>1258.92</v>
      </c>
      <c r="L254">
        <v>1.62</v>
      </c>
      <c r="M254">
        <v>69501</v>
      </c>
      <c r="N254" t="s">
        <v>123</v>
      </c>
      <c r="O254">
        <v>250729</v>
      </c>
      <c r="P254">
        <v>6.35</v>
      </c>
    </row>
    <row r="255" spans="1:16" x14ac:dyDescent="0.25">
      <c r="A255" t="s">
        <v>3296</v>
      </c>
      <c r="B255" t="s">
        <v>2931</v>
      </c>
      <c r="C255">
        <v>9826</v>
      </c>
      <c r="D255" t="str">
        <f t="shared" si="15"/>
        <v xml:space="preserve">699458      </v>
      </c>
      <c r="E255" t="s">
        <v>501</v>
      </c>
      <c r="F255" t="s">
        <v>502</v>
      </c>
      <c r="G255">
        <v>4.18</v>
      </c>
      <c r="H255">
        <v>250715</v>
      </c>
      <c r="I255">
        <v>4841</v>
      </c>
      <c r="J255" t="s">
        <v>9</v>
      </c>
      <c r="K255">
        <v>1258.92</v>
      </c>
      <c r="L255">
        <v>0.85</v>
      </c>
      <c r="M255">
        <v>69701</v>
      </c>
      <c r="N255" t="s">
        <v>1030</v>
      </c>
      <c r="O255">
        <v>250729</v>
      </c>
      <c r="P255">
        <v>3.33</v>
      </c>
    </row>
    <row r="256" spans="1:16" x14ac:dyDescent="0.25">
      <c r="A256" t="s">
        <v>3296</v>
      </c>
      <c r="B256" t="s">
        <v>2931</v>
      </c>
      <c r="C256">
        <v>9826</v>
      </c>
      <c r="D256" t="str">
        <f t="shared" si="15"/>
        <v xml:space="preserve">699458      </v>
      </c>
      <c r="E256" t="s">
        <v>501</v>
      </c>
      <c r="F256" t="s">
        <v>502</v>
      </c>
      <c r="G256">
        <v>14.52</v>
      </c>
      <c r="H256">
        <v>250715</v>
      </c>
      <c r="I256">
        <v>4841</v>
      </c>
      <c r="J256" t="s">
        <v>9</v>
      </c>
      <c r="K256">
        <v>1258.92</v>
      </c>
      <c r="L256">
        <v>2.95</v>
      </c>
      <c r="M256">
        <v>69702</v>
      </c>
      <c r="N256" t="s">
        <v>124</v>
      </c>
      <c r="O256">
        <v>250729</v>
      </c>
      <c r="P256">
        <v>11.57</v>
      </c>
    </row>
    <row r="257" spans="1:16" x14ac:dyDescent="0.25">
      <c r="A257" t="s">
        <v>3296</v>
      </c>
      <c r="B257" t="s">
        <v>2931</v>
      </c>
      <c r="C257">
        <v>9826</v>
      </c>
      <c r="D257" t="str">
        <f t="shared" si="15"/>
        <v xml:space="preserve">699458      </v>
      </c>
      <c r="E257" t="s">
        <v>501</v>
      </c>
      <c r="F257" t="s">
        <v>502</v>
      </c>
      <c r="G257">
        <v>661.58</v>
      </c>
      <c r="H257">
        <v>250715</v>
      </c>
      <c r="I257">
        <v>4841</v>
      </c>
      <c r="J257" t="s">
        <v>9</v>
      </c>
      <c r="K257">
        <v>1258.92</v>
      </c>
      <c r="L257">
        <v>134.41999999999999</v>
      </c>
      <c r="M257">
        <v>69702</v>
      </c>
      <c r="N257" t="s">
        <v>124</v>
      </c>
      <c r="O257">
        <v>250729</v>
      </c>
      <c r="P257">
        <v>527.16</v>
      </c>
    </row>
    <row r="258" spans="1:16" x14ac:dyDescent="0.25">
      <c r="A258" t="s">
        <v>3296</v>
      </c>
      <c r="B258" t="s">
        <v>2931</v>
      </c>
      <c r="C258">
        <v>9826</v>
      </c>
      <c r="D258" t="str">
        <f t="shared" si="15"/>
        <v xml:space="preserve">699458      </v>
      </c>
      <c r="E258" t="s">
        <v>501</v>
      </c>
      <c r="F258" t="s">
        <v>502</v>
      </c>
      <c r="G258">
        <v>4.18</v>
      </c>
      <c r="H258">
        <v>250715</v>
      </c>
      <c r="I258">
        <v>4841</v>
      </c>
      <c r="J258" t="s">
        <v>9</v>
      </c>
      <c r="K258">
        <v>1258.92</v>
      </c>
      <c r="L258">
        <v>0.85</v>
      </c>
      <c r="M258">
        <v>69703</v>
      </c>
      <c r="N258" t="s">
        <v>88</v>
      </c>
      <c r="O258">
        <v>250729</v>
      </c>
      <c r="P258">
        <v>3.33</v>
      </c>
    </row>
    <row r="259" spans="1:16" x14ac:dyDescent="0.25">
      <c r="A259" t="s">
        <v>3296</v>
      </c>
      <c r="B259" t="s">
        <v>2931</v>
      </c>
      <c r="C259">
        <v>9826</v>
      </c>
      <c r="D259" t="str">
        <f t="shared" si="15"/>
        <v xml:space="preserve">699458      </v>
      </c>
      <c r="E259" t="s">
        <v>501</v>
      </c>
      <c r="F259" t="s">
        <v>502</v>
      </c>
      <c r="G259">
        <v>4.18</v>
      </c>
      <c r="H259">
        <v>250715</v>
      </c>
      <c r="I259">
        <v>4841</v>
      </c>
      <c r="J259" t="s">
        <v>9</v>
      </c>
      <c r="K259">
        <v>1258.92</v>
      </c>
      <c r="L259">
        <v>0.85</v>
      </c>
      <c r="M259">
        <v>69704</v>
      </c>
      <c r="N259" t="s">
        <v>89</v>
      </c>
      <c r="O259">
        <v>250729</v>
      </c>
      <c r="P259">
        <v>3.33</v>
      </c>
    </row>
    <row r="260" spans="1:16" x14ac:dyDescent="0.25">
      <c r="A260" t="s">
        <v>3296</v>
      </c>
      <c r="B260" t="s">
        <v>2931</v>
      </c>
      <c r="C260">
        <v>9826</v>
      </c>
      <c r="D260" t="str">
        <f t="shared" si="15"/>
        <v xml:space="preserve">699458      </v>
      </c>
      <c r="E260" t="s">
        <v>501</v>
      </c>
      <c r="F260" t="s">
        <v>502</v>
      </c>
      <c r="G260">
        <v>128.15</v>
      </c>
      <c r="H260">
        <v>250715</v>
      </c>
      <c r="I260">
        <v>4841</v>
      </c>
      <c r="J260" t="s">
        <v>9</v>
      </c>
      <c r="K260">
        <v>1258.92</v>
      </c>
      <c r="L260">
        <v>26.04</v>
      </c>
      <c r="M260">
        <v>69704</v>
      </c>
      <c r="N260" t="s">
        <v>89</v>
      </c>
      <c r="O260">
        <v>250729</v>
      </c>
      <c r="P260">
        <v>102.11</v>
      </c>
    </row>
    <row r="261" spans="1:16" x14ac:dyDescent="0.25">
      <c r="A261" t="s">
        <v>3296</v>
      </c>
      <c r="B261" t="s">
        <v>2931</v>
      </c>
      <c r="C261">
        <v>9826</v>
      </c>
      <c r="D261" t="str">
        <f t="shared" si="15"/>
        <v xml:space="preserve">699458      </v>
      </c>
      <c r="E261" t="s">
        <v>501</v>
      </c>
      <c r="F261" t="s">
        <v>502</v>
      </c>
      <c r="G261">
        <v>22.94</v>
      </c>
      <c r="H261">
        <v>250715</v>
      </c>
      <c r="I261">
        <v>4841</v>
      </c>
      <c r="J261" t="s">
        <v>9</v>
      </c>
      <c r="K261">
        <v>1258.92</v>
      </c>
      <c r="L261">
        <v>4.66</v>
      </c>
      <c r="M261">
        <v>69707</v>
      </c>
      <c r="N261" t="s">
        <v>90</v>
      </c>
      <c r="O261">
        <v>250729</v>
      </c>
      <c r="P261">
        <v>18.28</v>
      </c>
    </row>
    <row r="262" spans="1:16" x14ac:dyDescent="0.25">
      <c r="A262" t="s">
        <v>3296</v>
      </c>
      <c r="B262" t="s">
        <v>2931</v>
      </c>
      <c r="C262">
        <v>9826</v>
      </c>
      <c r="D262" t="str">
        <f t="shared" si="15"/>
        <v xml:space="preserve">699458      </v>
      </c>
      <c r="E262" t="s">
        <v>501</v>
      </c>
      <c r="F262" t="s">
        <v>502</v>
      </c>
      <c r="G262">
        <v>13.05</v>
      </c>
      <c r="H262">
        <v>250715</v>
      </c>
      <c r="I262">
        <v>4841</v>
      </c>
      <c r="J262" t="s">
        <v>9</v>
      </c>
      <c r="K262">
        <v>1258.92</v>
      </c>
      <c r="L262">
        <v>2.65</v>
      </c>
      <c r="M262">
        <v>69708</v>
      </c>
      <c r="N262" t="s">
        <v>125</v>
      </c>
      <c r="O262">
        <v>250729</v>
      </c>
      <c r="P262">
        <v>10.4</v>
      </c>
    </row>
    <row r="263" spans="1:16" x14ac:dyDescent="0.25">
      <c r="A263" t="s">
        <v>3296</v>
      </c>
      <c r="B263" t="s">
        <v>2931</v>
      </c>
      <c r="C263">
        <v>9827</v>
      </c>
      <c r="D263" t="str">
        <f>"699464      "</f>
        <v xml:space="preserve">699464      </v>
      </c>
      <c r="E263" t="s">
        <v>501</v>
      </c>
      <c r="F263" t="s">
        <v>502</v>
      </c>
      <c r="G263">
        <v>194.11</v>
      </c>
      <c r="H263">
        <v>250715</v>
      </c>
      <c r="I263">
        <v>4841</v>
      </c>
      <c r="J263" t="s">
        <v>9</v>
      </c>
      <c r="K263">
        <v>194.11</v>
      </c>
      <c r="L263">
        <v>39.44</v>
      </c>
      <c r="M263">
        <v>17974</v>
      </c>
      <c r="N263" t="s">
        <v>153</v>
      </c>
      <c r="O263">
        <v>250729</v>
      </c>
      <c r="P263">
        <v>154.66999999999999</v>
      </c>
    </row>
    <row r="264" spans="1:16" x14ac:dyDescent="0.25">
      <c r="A264" t="s">
        <v>3296</v>
      </c>
      <c r="B264" t="s">
        <v>2931</v>
      </c>
      <c r="C264">
        <v>9828</v>
      </c>
      <c r="D264" t="str">
        <f>"699456      "</f>
        <v xml:space="preserve">699456      </v>
      </c>
      <c r="E264" t="s">
        <v>501</v>
      </c>
      <c r="F264" t="s">
        <v>502</v>
      </c>
      <c r="G264">
        <v>7.54</v>
      </c>
      <c r="H264">
        <v>250715</v>
      </c>
      <c r="I264">
        <v>4841</v>
      </c>
      <c r="J264" t="s">
        <v>9</v>
      </c>
      <c r="K264">
        <v>14.26</v>
      </c>
      <c r="L264">
        <v>1.53</v>
      </c>
      <c r="M264">
        <v>59702</v>
      </c>
      <c r="N264" t="s">
        <v>45</v>
      </c>
      <c r="O264">
        <v>250729</v>
      </c>
      <c r="P264">
        <v>6.01</v>
      </c>
    </row>
    <row r="265" spans="1:16" x14ac:dyDescent="0.25">
      <c r="A265" t="s">
        <v>3296</v>
      </c>
      <c r="B265" t="s">
        <v>2931</v>
      </c>
      <c r="C265">
        <v>9828</v>
      </c>
      <c r="D265" t="str">
        <f>"699456      "</f>
        <v xml:space="preserve">699456      </v>
      </c>
      <c r="E265" t="s">
        <v>501</v>
      </c>
      <c r="F265" t="s">
        <v>502</v>
      </c>
      <c r="G265">
        <v>6.72</v>
      </c>
      <c r="H265">
        <v>250715</v>
      </c>
      <c r="I265">
        <v>4841</v>
      </c>
      <c r="J265" t="s">
        <v>9</v>
      </c>
      <c r="K265">
        <v>14.26</v>
      </c>
      <c r="L265">
        <v>1.37</v>
      </c>
      <c r="M265">
        <v>59704</v>
      </c>
      <c r="N265" t="s">
        <v>46</v>
      </c>
      <c r="O265">
        <v>250729</v>
      </c>
      <c r="P265">
        <v>5.35</v>
      </c>
    </row>
    <row r="266" spans="1:16" x14ac:dyDescent="0.25">
      <c r="A266" t="s">
        <v>3296</v>
      </c>
      <c r="B266" t="s">
        <v>2931</v>
      </c>
      <c r="C266">
        <v>9830</v>
      </c>
      <c r="D266" t="str">
        <f>"699461      "</f>
        <v xml:space="preserve">699461      </v>
      </c>
      <c r="E266" t="s">
        <v>501</v>
      </c>
      <c r="F266" t="s">
        <v>502</v>
      </c>
      <c r="G266">
        <v>61.01</v>
      </c>
      <c r="H266">
        <v>250715</v>
      </c>
      <c r="I266">
        <v>4841</v>
      </c>
      <c r="J266" t="s">
        <v>9</v>
      </c>
      <c r="K266">
        <v>116.19</v>
      </c>
      <c r="L266">
        <v>12.4</v>
      </c>
      <c r="M266">
        <v>56524</v>
      </c>
      <c r="N266" t="s">
        <v>69</v>
      </c>
      <c r="O266">
        <v>250729</v>
      </c>
      <c r="P266">
        <v>48.61</v>
      </c>
    </row>
    <row r="267" spans="1:16" x14ac:dyDescent="0.25">
      <c r="A267" t="s">
        <v>3296</v>
      </c>
      <c r="B267" t="s">
        <v>2931</v>
      </c>
      <c r="C267">
        <v>9830</v>
      </c>
      <c r="D267" t="str">
        <f>"699461      "</f>
        <v xml:space="preserve">699461      </v>
      </c>
      <c r="E267" t="s">
        <v>501</v>
      </c>
      <c r="F267" t="s">
        <v>502</v>
      </c>
      <c r="G267">
        <v>53.15</v>
      </c>
      <c r="H267">
        <v>250715</v>
      </c>
      <c r="I267">
        <v>4841</v>
      </c>
      <c r="J267" t="s">
        <v>9</v>
      </c>
      <c r="K267">
        <v>116.19</v>
      </c>
      <c r="L267">
        <v>10.8</v>
      </c>
      <c r="M267">
        <v>56526</v>
      </c>
      <c r="N267" t="s">
        <v>506</v>
      </c>
      <c r="O267">
        <v>250729</v>
      </c>
      <c r="P267">
        <v>42.35</v>
      </c>
    </row>
    <row r="268" spans="1:16" x14ac:dyDescent="0.25">
      <c r="A268" t="s">
        <v>3296</v>
      </c>
      <c r="B268" t="s">
        <v>2931</v>
      </c>
      <c r="C268">
        <v>9830</v>
      </c>
      <c r="D268" t="str">
        <f>"699461      "</f>
        <v xml:space="preserve">699461      </v>
      </c>
      <c r="E268" t="s">
        <v>501</v>
      </c>
      <c r="F268" t="s">
        <v>502</v>
      </c>
      <c r="G268">
        <v>2.0299999999999998</v>
      </c>
      <c r="H268">
        <v>250715</v>
      </c>
      <c r="I268">
        <v>4841</v>
      </c>
      <c r="J268" t="s">
        <v>9</v>
      </c>
      <c r="K268">
        <v>116.19</v>
      </c>
      <c r="L268">
        <v>0.41</v>
      </c>
      <c r="M268">
        <v>59704</v>
      </c>
      <c r="N268" t="s">
        <v>46</v>
      </c>
      <c r="O268">
        <v>250729</v>
      </c>
      <c r="P268">
        <v>1.62</v>
      </c>
    </row>
    <row r="269" spans="1:16" x14ac:dyDescent="0.25">
      <c r="A269" t="s">
        <v>3296</v>
      </c>
      <c r="B269" t="s">
        <v>2931</v>
      </c>
      <c r="C269">
        <v>9831</v>
      </c>
      <c r="D269" t="str">
        <f>"699459      "</f>
        <v xml:space="preserve">699459      </v>
      </c>
      <c r="E269" t="s">
        <v>501</v>
      </c>
      <c r="F269" t="s">
        <v>502</v>
      </c>
      <c r="G269">
        <v>28.25</v>
      </c>
      <c r="H269">
        <v>250715</v>
      </c>
      <c r="I269">
        <v>4841</v>
      </c>
      <c r="J269" t="s">
        <v>9</v>
      </c>
      <c r="K269">
        <v>50.87</v>
      </c>
      <c r="L269">
        <v>5.74</v>
      </c>
      <c r="M269">
        <v>13601</v>
      </c>
      <c r="N269" t="s">
        <v>115</v>
      </c>
      <c r="O269">
        <v>250729</v>
      </c>
      <c r="P269">
        <v>22.51</v>
      </c>
    </row>
    <row r="270" spans="1:16" x14ac:dyDescent="0.25">
      <c r="A270" t="s">
        <v>3296</v>
      </c>
      <c r="B270" t="s">
        <v>2931</v>
      </c>
      <c r="C270">
        <v>9831</v>
      </c>
      <c r="D270" t="str">
        <f>"699459      "</f>
        <v xml:space="preserve">699459      </v>
      </c>
      <c r="E270" t="s">
        <v>501</v>
      </c>
      <c r="F270" t="s">
        <v>502</v>
      </c>
      <c r="G270">
        <v>22.62</v>
      </c>
      <c r="H270">
        <v>250715</v>
      </c>
      <c r="I270">
        <v>4841</v>
      </c>
      <c r="J270" t="s">
        <v>9</v>
      </c>
      <c r="K270">
        <v>50.87</v>
      </c>
      <c r="L270">
        <v>4.5999999999999996</v>
      </c>
      <c r="M270">
        <v>13601</v>
      </c>
      <c r="N270" t="s">
        <v>115</v>
      </c>
      <c r="O270">
        <v>250729</v>
      </c>
      <c r="P270">
        <v>18.02</v>
      </c>
    </row>
    <row r="271" spans="1:16" x14ac:dyDescent="0.25">
      <c r="A271" t="s">
        <v>3296</v>
      </c>
      <c r="B271" t="s">
        <v>2931</v>
      </c>
      <c r="C271">
        <v>9832</v>
      </c>
      <c r="D271" t="str">
        <f>"699462      "</f>
        <v xml:space="preserve">699462      </v>
      </c>
      <c r="E271" t="s">
        <v>501</v>
      </c>
      <c r="F271" t="s">
        <v>502</v>
      </c>
      <c r="G271">
        <v>453.63</v>
      </c>
      <c r="H271">
        <v>250715</v>
      </c>
      <c r="I271">
        <v>4841</v>
      </c>
      <c r="J271" t="s">
        <v>9</v>
      </c>
      <c r="K271">
        <v>453.63</v>
      </c>
      <c r="L271">
        <v>92.17</v>
      </c>
      <c r="M271">
        <v>13501</v>
      </c>
      <c r="N271" t="s">
        <v>66</v>
      </c>
      <c r="O271">
        <v>250729</v>
      </c>
      <c r="P271">
        <v>361.46</v>
      </c>
    </row>
    <row r="272" spans="1:16" x14ac:dyDescent="0.25">
      <c r="A272" t="s">
        <v>3296</v>
      </c>
      <c r="B272" t="s">
        <v>2931</v>
      </c>
      <c r="C272">
        <v>9833</v>
      </c>
      <c r="D272" t="str">
        <f>"699455      "</f>
        <v xml:space="preserve">699455      </v>
      </c>
      <c r="E272" t="s">
        <v>501</v>
      </c>
      <c r="F272" t="s">
        <v>502</v>
      </c>
      <c r="G272">
        <v>89.04</v>
      </c>
      <c r="H272">
        <v>250715</v>
      </c>
      <c r="I272">
        <v>4841</v>
      </c>
      <c r="J272" t="s">
        <v>9</v>
      </c>
      <c r="K272">
        <v>89.04</v>
      </c>
      <c r="L272">
        <v>18.09</v>
      </c>
      <c r="M272">
        <v>13401</v>
      </c>
      <c r="N272" t="s">
        <v>10</v>
      </c>
      <c r="O272">
        <v>250729</v>
      </c>
      <c r="P272">
        <v>70.95</v>
      </c>
    </row>
    <row r="273" spans="1:16" x14ac:dyDescent="0.25">
      <c r="A273" t="s">
        <v>3296</v>
      </c>
      <c r="B273" t="s">
        <v>2931</v>
      </c>
      <c r="C273">
        <v>9834</v>
      </c>
      <c r="D273" t="str">
        <f t="shared" ref="D273:D290" si="16">"699467      "</f>
        <v xml:space="preserve">699467      </v>
      </c>
      <c r="E273" t="s">
        <v>501</v>
      </c>
      <c r="F273" t="s">
        <v>502</v>
      </c>
      <c r="G273">
        <v>12.81</v>
      </c>
      <c r="H273">
        <v>250715</v>
      </c>
      <c r="I273">
        <v>4841</v>
      </c>
      <c r="J273" t="s">
        <v>9</v>
      </c>
      <c r="K273">
        <v>969.4</v>
      </c>
      <c r="L273">
        <v>2.6</v>
      </c>
      <c r="M273">
        <v>11902</v>
      </c>
      <c r="N273" t="s">
        <v>329</v>
      </c>
      <c r="O273">
        <v>250729</v>
      </c>
      <c r="P273">
        <v>10.210000000000001</v>
      </c>
    </row>
    <row r="274" spans="1:16" x14ac:dyDescent="0.25">
      <c r="A274" t="s">
        <v>3296</v>
      </c>
      <c r="B274" t="s">
        <v>2931</v>
      </c>
      <c r="C274">
        <v>9834</v>
      </c>
      <c r="D274" t="str">
        <f t="shared" si="16"/>
        <v xml:space="preserve">699467      </v>
      </c>
      <c r="E274" t="s">
        <v>501</v>
      </c>
      <c r="F274" t="s">
        <v>502</v>
      </c>
      <c r="G274">
        <v>7.66</v>
      </c>
      <c r="H274">
        <v>250715</v>
      </c>
      <c r="I274">
        <v>4841</v>
      </c>
      <c r="J274" t="s">
        <v>9</v>
      </c>
      <c r="K274">
        <v>969.4</v>
      </c>
      <c r="L274">
        <v>1.56</v>
      </c>
      <c r="M274">
        <v>13201</v>
      </c>
      <c r="N274" t="s">
        <v>269</v>
      </c>
      <c r="O274">
        <v>250729</v>
      </c>
      <c r="P274">
        <v>6.1</v>
      </c>
    </row>
    <row r="275" spans="1:16" x14ac:dyDescent="0.25">
      <c r="A275" t="s">
        <v>3296</v>
      </c>
      <c r="B275" t="s">
        <v>2931</v>
      </c>
      <c r="C275">
        <v>9834</v>
      </c>
      <c r="D275" t="str">
        <f t="shared" si="16"/>
        <v xml:space="preserve">699467      </v>
      </c>
      <c r="E275" t="s">
        <v>501</v>
      </c>
      <c r="F275" t="s">
        <v>502</v>
      </c>
      <c r="G275">
        <v>28.25</v>
      </c>
      <c r="H275">
        <v>250715</v>
      </c>
      <c r="I275">
        <v>4841</v>
      </c>
      <c r="J275" t="s">
        <v>9</v>
      </c>
      <c r="K275">
        <v>969.4</v>
      </c>
      <c r="L275">
        <v>5.74</v>
      </c>
      <c r="M275">
        <v>13801</v>
      </c>
      <c r="N275" t="s">
        <v>33</v>
      </c>
      <c r="O275">
        <v>250729</v>
      </c>
      <c r="P275">
        <v>22.51</v>
      </c>
    </row>
    <row r="276" spans="1:16" x14ac:dyDescent="0.25">
      <c r="A276" t="s">
        <v>3296</v>
      </c>
      <c r="B276" t="s">
        <v>2931</v>
      </c>
      <c r="C276">
        <v>9834</v>
      </c>
      <c r="D276" t="str">
        <f t="shared" si="16"/>
        <v xml:space="preserve">699467      </v>
      </c>
      <c r="E276" t="s">
        <v>501</v>
      </c>
      <c r="F276" t="s">
        <v>502</v>
      </c>
      <c r="G276">
        <v>26.48</v>
      </c>
      <c r="H276">
        <v>250715</v>
      </c>
      <c r="I276">
        <v>4841</v>
      </c>
      <c r="J276" t="s">
        <v>9</v>
      </c>
      <c r="K276">
        <v>969.4</v>
      </c>
      <c r="L276">
        <v>5.38</v>
      </c>
      <c r="M276">
        <v>13801</v>
      </c>
      <c r="N276" t="s">
        <v>33</v>
      </c>
      <c r="O276">
        <v>250729</v>
      </c>
      <c r="P276">
        <v>21.1</v>
      </c>
    </row>
    <row r="277" spans="1:16" x14ac:dyDescent="0.25">
      <c r="A277" t="s">
        <v>3296</v>
      </c>
      <c r="B277" t="s">
        <v>2931</v>
      </c>
      <c r="C277">
        <v>9834</v>
      </c>
      <c r="D277" t="str">
        <f t="shared" si="16"/>
        <v xml:space="preserve">699467      </v>
      </c>
      <c r="E277" t="s">
        <v>501</v>
      </c>
      <c r="F277" t="s">
        <v>502</v>
      </c>
      <c r="G277">
        <v>2.0299999999999998</v>
      </c>
      <c r="H277">
        <v>250715</v>
      </c>
      <c r="I277">
        <v>4841</v>
      </c>
      <c r="J277" t="s">
        <v>9</v>
      </c>
      <c r="K277">
        <v>969.4</v>
      </c>
      <c r="L277">
        <v>0.41</v>
      </c>
      <c r="M277">
        <v>16321</v>
      </c>
      <c r="N277" t="s">
        <v>16</v>
      </c>
      <c r="O277">
        <v>250729</v>
      </c>
      <c r="P277">
        <v>1.62</v>
      </c>
    </row>
    <row r="278" spans="1:16" x14ac:dyDescent="0.25">
      <c r="A278" t="s">
        <v>3296</v>
      </c>
      <c r="B278" t="s">
        <v>2931</v>
      </c>
      <c r="C278">
        <v>9834</v>
      </c>
      <c r="D278" t="str">
        <f t="shared" si="16"/>
        <v xml:space="preserve">699467      </v>
      </c>
      <c r="E278" t="s">
        <v>501</v>
      </c>
      <c r="F278" t="s">
        <v>502</v>
      </c>
      <c r="G278">
        <v>95.22</v>
      </c>
      <c r="H278">
        <v>250715</v>
      </c>
      <c r="I278">
        <v>4841</v>
      </c>
      <c r="J278" t="s">
        <v>9</v>
      </c>
      <c r="K278">
        <v>969.4</v>
      </c>
      <c r="L278">
        <v>19.350000000000001</v>
      </c>
      <c r="M278">
        <v>16321</v>
      </c>
      <c r="N278" t="s">
        <v>16</v>
      </c>
      <c r="O278">
        <v>250729</v>
      </c>
      <c r="P278">
        <v>75.87</v>
      </c>
    </row>
    <row r="279" spans="1:16" x14ac:dyDescent="0.25">
      <c r="A279" t="s">
        <v>3296</v>
      </c>
      <c r="B279" t="s">
        <v>2931</v>
      </c>
      <c r="C279">
        <v>9834</v>
      </c>
      <c r="D279" t="str">
        <f t="shared" si="16"/>
        <v xml:space="preserve">699467      </v>
      </c>
      <c r="E279" t="s">
        <v>501</v>
      </c>
      <c r="F279" t="s">
        <v>502</v>
      </c>
      <c r="G279">
        <v>12.81</v>
      </c>
      <c r="H279">
        <v>250715</v>
      </c>
      <c r="I279">
        <v>4841</v>
      </c>
      <c r="J279" t="s">
        <v>9</v>
      </c>
      <c r="K279">
        <v>969.4</v>
      </c>
      <c r="L279">
        <v>2.6</v>
      </c>
      <c r="M279">
        <v>16431</v>
      </c>
      <c r="N279" t="s">
        <v>17</v>
      </c>
      <c r="O279">
        <v>250729</v>
      </c>
      <c r="P279">
        <v>10.210000000000001</v>
      </c>
    </row>
    <row r="280" spans="1:16" x14ac:dyDescent="0.25">
      <c r="A280" t="s">
        <v>3296</v>
      </c>
      <c r="B280" t="s">
        <v>2931</v>
      </c>
      <c r="C280">
        <v>9834</v>
      </c>
      <c r="D280" t="str">
        <f t="shared" si="16"/>
        <v xml:space="preserve">699467      </v>
      </c>
      <c r="E280" t="s">
        <v>501</v>
      </c>
      <c r="F280" t="s">
        <v>502</v>
      </c>
      <c r="G280">
        <v>36.4</v>
      </c>
      <c r="H280">
        <v>250715</v>
      </c>
      <c r="I280">
        <v>4841</v>
      </c>
      <c r="J280" t="s">
        <v>9</v>
      </c>
      <c r="K280">
        <v>969.4</v>
      </c>
      <c r="L280">
        <v>7.4</v>
      </c>
      <c r="M280">
        <v>17802</v>
      </c>
      <c r="N280" t="s">
        <v>18</v>
      </c>
      <c r="O280">
        <v>250729</v>
      </c>
      <c r="P280">
        <v>29</v>
      </c>
    </row>
    <row r="281" spans="1:16" x14ac:dyDescent="0.25">
      <c r="A281" t="s">
        <v>3296</v>
      </c>
      <c r="B281" t="s">
        <v>2931</v>
      </c>
      <c r="C281">
        <v>9834</v>
      </c>
      <c r="D281" t="str">
        <f t="shared" si="16"/>
        <v xml:space="preserve">699467      </v>
      </c>
      <c r="E281" t="s">
        <v>501</v>
      </c>
      <c r="F281" t="s">
        <v>502</v>
      </c>
      <c r="G281">
        <v>138.82</v>
      </c>
      <c r="H281">
        <v>250715</v>
      </c>
      <c r="I281">
        <v>4841</v>
      </c>
      <c r="J281" t="s">
        <v>9</v>
      </c>
      <c r="K281">
        <v>969.4</v>
      </c>
      <c r="L281">
        <v>28.21</v>
      </c>
      <c r="M281">
        <v>17804</v>
      </c>
      <c r="N281" t="s">
        <v>20</v>
      </c>
      <c r="O281">
        <v>250729</v>
      </c>
      <c r="P281">
        <v>110.61</v>
      </c>
    </row>
    <row r="282" spans="1:16" x14ac:dyDescent="0.25">
      <c r="A282" t="s">
        <v>3296</v>
      </c>
      <c r="B282" t="s">
        <v>2931</v>
      </c>
      <c r="C282">
        <v>9834</v>
      </c>
      <c r="D282" t="str">
        <f t="shared" si="16"/>
        <v xml:space="preserve">699467      </v>
      </c>
      <c r="E282" t="s">
        <v>501</v>
      </c>
      <c r="F282" t="s">
        <v>502</v>
      </c>
      <c r="G282">
        <v>4.07</v>
      </c>
      <c r="H282">
        <v>250715</v>
      </c>
      <c r="I282">
        <v>4841</v>
      </c>
      <c r="J282" t="s">
        <v>9</v>
      </c>
      <c r="K282">
        <v>969.4</v>
      </c>
      <c r="L282">
        <v>0.83</v>
      </c>
      <c r="M282">
        <v>17805</v>
      </c>
      <c r="N282" t="s">
        <v>21</v>
      </c>
      <c r="O282">
        <v>250729</v>
      </c>
      <c r="P282">
        <v>3.24</v>
      </c>
    </row>
    <row r="283" spans="1:16" x14ac:dyDescent="0.25">
      <c r="A283" t="s">
        <v>3296</v>
      </c>
      <c r="B283" t="s">
        <v>2931</v>
      </c>
      <c r="C283">
        <v>9834</v>
      </c>
      <c r="D283" t="str">
        <f t="shared" si="16"/>
        <v xml:space="preserve">699467      </v>
      </c>
      <c r="E283" t="s">
        <v>501</v>
      </c>
      <c r="F283" t="s">
        <v>502</v>
      </c>
      <c r="G283">
        <v>22.77</v>
      </c>
      <c r="H283">
        <v>250715</v>
      </c>
      <c r="I283">
        <v>4841</v>
      </c>
      <c r="J283" t="s">
        <v>9</v>
      </c>
      <c r="K283">
        <v>969.4</v>
      </c>
      <c r="L283">
        <v>4.63</v>
      </c>
      <c r="M283">
        <v>17806</v>
      </c>
      <c r="N283" t="s">
        <v>22</v>
      </c>
      <c r="O283">
        <v>250729</v>
      </c>
      <c r="P283">
        <v>18.14</v>
      </c>
    </row>
    <row r="284" spans="1:16" x14ac:dyDescent="0.25">
      <c r="A284" t="s">
        <v>3296</v>
      </c>
      <c r="B284" t="s">
        <v>2931</v>
      </c>
      <c r="C284">
        <v>9834</v>
      </c>
      <c r="D284" t="str">
        <f t="shared" si="16"/>
        <v xml:space="preserve">699467      </v>
      </c>
      <c r="E284" t="s">
        <v>501</v>
      </c>
      <c r="F284" t="s">
        <v>502</v>
      </c>
      <c r="G284">
        <v>59.93</v>
      </c>
      <c r="H284">
        <v>250715</v>
      </c>
      <c r="I284">
        <v>4841</v>
      </c>
      <c r="J284" t="s">
        <v>9</v>
      </c>
      <c r="K284">
        <v>969.4</v>
      </c>
      <c r="L284">
        <v>12.18</v>
      </c>
      <c r="M284">
        <v>17807</v>
      </c>
      <c r="N284" t="s">
        <v>23</v>
      </c>
      <c r="O284">
        <v>250729</v>
      </c>
      <c r="P284">
        <v>47.75</v>
      </c>
    </row>
    <row r="285" spans="1:16" x14ac:dyDescent="0.25">
      <c r="A285" t="s">
        <v>3296</v>
      </c>
      <c r="B285" t="s">
        <v>2931</v>
      </c>
      <c r="C285">
        <v>9834</v>
      </c>
      <c r="D285" t="str">
        <f t="shared" si="16"/>
        <v xml:space="preserve">699467      </v>
      </c>
      <c r="E285" t="s">
        <v>501</v>
      </c>
      <c r="F285" t="s">
        <v>502</v>
      </c>
      <c r="G285">
        <v>169.27</v>
      </c>
      <c r="H285">
        <v>250715</v>
      </c>
      <c r="I285">
        <v>4841</v>
      </c>
      <c r="J285" t="s">
        <v>9</v>
      </c>
      <c r="K285">
        <v>969.4</v>
      </c>
      <c r="L285">
        <v>34.39</v>
      </c>
      <c r="M285">
        <v>17808</v>
      </c>
      <c r="N285" t="s">
        <v>24</v>
      </c>
      <c r="O285">
        <v>250729</v>
      </c>
      <c r="P285">
        <v>134.88</v>
      </c>
    </row>
    <row r="286" spans="1:16" x14ac:dyDescent="0.25">
      <c r="A286" t="s">
        <v>3296</v>
      </c>
      <c r="B286" t="s">
        <v>2931</v>
      </c>
      <c r="C286">
        <v>9834</v>
      </c>
      <c r="D286" t="str">
        <f t="shared" si="16"/>
        <v xml:space="preserve">699467      </v>
      </c>
      <c r="E286" t="s">
        <v>501</v>
      </c>
      <c r="F286" t="s">
        <v>502</v>
      </c>
      <c r="G286">
        <v>188.85</v>
      </c>
      <c r="H286">
        <v>250715</v>
      </c>
      <c r="I286">
        <v>4841</v>
      </c>
      <c r="J286" t="s">
        <v>9</v>
      </c>
      <c r="K286">
        <v>969.4</v>
      </c>
      <c r="L286">
        <v>38.369999999999997</v>
      </c>
      <c r="M286">
        <v>17808</v>
      </c>
      <c r="N286" t="s">
        <v>24</v>
      </c>
      <c r="O286">
        <v>250729</v>
      </c>
      <c r="P286">
        <v>150.47999999999999</v>
      </c>
    </row>
    <row r="287" spans="1:16" x14ac:dyDescent="0.25">
      <c r="A287" t="s">
        <v>3296</v>
      </c>
      <c r="B287" t="s">
        <v>2931</v>
      </c>
      <c r="C287">
        <v>9834</v>
      </c>
      <c r="D287" t="str">
        <f t="shared" si="16"/>
        <v xml:space="preserve">699467      </v>
      </c>
      <c r="E287" t="s">
        <v>501</v>
      </c>
      <c r="F287" t="s">
        <v>502</v>
      </c>
      <c r="G287">
        <v>15.94</v>
      </c>
      <c r="H287">
        <v>250715</v>
      </c>
      <c r="I287">
        <v>4841</v>
      </c>
      <c r="J287" t="s">
        <v>9</v>
      </c>
      <c r="K287">
        <v>969.4</v>
      </c>
      <c r="L287">
        <v>3.24</v>
      </c>
      <c r="M287">
        <v>17913</v>
      </c>
      <c r="N287" t="s">
        <v>26</v>
      </c>
      <c r="O287">
        <v>250729</v>
      </c>
      <c r="P287">
        <v>12.7</v>
      </c>
    </row>
    <row r="288" spans="1:16" x14ac:dyDescent="0.25">
      <c r="A288" t="s">
        <v>3296</v>
      </c>
      <c r="B288" t="s">
        <v>2931</v>
      </c>
      <c r="C288">
        <v>9834</v>
      </c>
      <c r="D288" t="str">
        <f t="shared" si="16"/>
        <v xml:space="preserve">699467      </v>
      </c>
      <c r="E288" t="s">
        <v>501</v>
      </c>
      <c r="F288" t="s">
        <v>502</v>
      </c>
      <c r="G288">
        <v>39.5</v>
      </c>
      <c r="H288">
        <v>250715</v>
      </c>
      <c r="I288">
        <v>4841</v>
      </c>
      <c r="J288" t="s">
        <v>9</v>
      </c>
      <c r="K288">
        <v>969.4</v>
      </c>
      <c r="L288">
        <v>8.0299999999999994</v>
      </c>
      <c r="M288">
        <v>17951</v>
      </c>
      <c r="N288" t="s">
        <v>207</v>
      </c>
      <c r="O288">
        <v>250729</v>
      </c>
      <c r="P288">
        <v>31.47</v>
      </c>
    </row>
    <row r="289" spans="1:17" x14ac:dyDescent="0.25">
      <c r="A289" t="s">
        <v>3296</v>
      </c>
      <c r="B289" t="s">
        <v>2931</v>
      </c>
      <c r="C289">
        <v>9834</v>
      </c>
      <c r="D289" t="str">
        <f t="shared" si="16"/>
        <v xml:space="preserve">699467      </v>
      </c>
      <c r="E289" t="s">
        <v>501</v>
      </c>
      <c r="F289" t="s">
        <v>502</v>
      </c>
      <c r="G289">
        <v>76.290000000000006</v>
      </c>
      <c r="H289">
        <v>250715</v>
      </c>
      <c r="I289">
        <v>4841</v>
      </c>
      <c r="J289" t="s">
        <v>9</v>
      </c>
      <c r="K289">
        <v>969.4</v>
      </c>
      <c r="L289">
        <v>15.5</v>
      </c>
      <c r="M289">
        <v>17971</v>
      </c>
      <c r="N289" t="s">
        <v>27</v>
      </c>
      <c r="O289">
        <v>250729</v>
      </c>
      <c r="P289">
        <v>60.79</v>
      </c>
    </row>
    <row r="290" spans="1:17" x14ac:dyDescent="0.25">
      <c r="A290" t="s">
        <v>3296</v>
      </c>
      <c r="B290" t="s">
        <v>2931</v>
      </c>
      <c r="C290">
        <v>9834</v>
      </c>
      <c r="D290" t="str">
        <f t="shared" si="16"/>
        <v xml:space="preserve">699467      </v>
      </c>
      <c r="E290" t="s">
        <v>501</v>
      </c>
      <c r="F290" t="s">
        <v>502</v>
      </c>
      <c r="G290">
        <v>32.299999999999997</v>
      </c>
      <c r="H290">
        <v>250715</v>
      </c>
      <c r="I290">
        <v>4841</v>
      </c>
      <c r="J290" t="s">
        <v>9</v>
      </c>
      <c r="K290">
        <v>969.4</v>
      </c>
      <c r="L290">
        <v>6.56</v>
      </c>
      <c r="M290">
        <v>17972</v>
      </c>
      <c r="N290" t="s">
        <v>28</v>
      </c>
      <c r="O290">
        <v>250729</v>
      </c>
      <c r="P290">
        <v>25.74</v>
      </c>
    </row>
    <row r="291" spans="1:17" x14ac:dyDescent="0.25">
      <c r="A291" t="s">
        <v>3296</v>
      </c>
      <c r="B291" t="s">
        <v>2931</v>
      </c>
      <c r="C291">
        <v>9835</v>
      </c>
      <c r="D291" t="str">
        <f t="shared" ref="D291:D297" si="17">"699466      "</f>
        <v xml:space="preserve">699466      </v>
      </c>
      <c r="E291" t="s">
        <v>501</v>
      </c>
      <c r="F291" t="s">
        <v>502</v>
      </c>
      <c r="G291">
        <v>68.64</v>
      </c>
      <c r="H291">
        <v>250715</v>
      </c>
      <c r="I291">
        <v>4841</v>
      </c>
      <c r="J291" t="s">
        <v>9</v>
      </c>
      <c r="K291">
        <v>190.28</v>
      </c>
      <c r="L291">
        <v>13.95</v>
      </c>
      <c r="M291">
        <v>17131</v>
      </c>
      <c r="N291" t="s">
        <v>154</v>
      </c>
      <c r="O291">
        <v>250729</v>
      </c>
      <c r="P291">
        <v>54.69</v>
      </c>
    </row>
    <row r="292" spans="1:17" x14ac:dyDescent="0.25">
      <c r="A292" t="s">
        <v>3296</v>
      </c>
      <c r="B292" t="s">
        <v>2931</v>
      </c>
      <c r="C292">
        <v>9835</v>
      </c>
      <c r="D292" t="str">
        <f t="shared" si="17"/>
        <v xml:space="preserve">699466      </v>
      </c>
      <c r="E292" t="s">
        <v>501</v>
      </c>
      <c r="F292" t="s">
        <v>502</v>
      </c>
      <c r="G292">
        <v>55.12</v>
      </c>
      <c r="H292">
        <v>250715</v>
      </c>
      <c r="I292">
        <v>4841</v>
      </c>
      <c r="J292" t="s">
        <v>9</v>
      </c>
      <c r="K292">
        <v>190.28</v>
      </c>
      <c r="L292">
        <v>11.2</v>
      </c>
      <c r="M292">
        <v>17711</v>
      </c>
      <c r="N292" t="s">
        <v>155</v>
      </c>
      <c r="O292">
        <v>250729</v>
      </c>
      <c r="P292">
        <v>43.92</v>
      </c>
    </row>
    <row r="293" spans="1:17" s="1" customFormat="1" x14ac:dyDescent="0.25">
      <c r="A293" t="s">
        <v>3296</v>
      </c>
      <c r="B293" t="s">
        <v>2931</v>
      </c>
      <c r="C293">
        <v>9835</v>
      </c>
      <c r="D293" t="str">
        <f t="shared" si="17"/>
        <v xml:space="preserve">699466      </v>
      </c>
      <c r="E293" t="s">
        <v>501</v>
      </c>
      <c r="F293" t="s">
        <v>502</v>
      </c>
      <c r="G293">
        <v>7.96</v>
      </c>
      <c r="H293">
        <v>250715</v>
      </c>
      <c r="I293">
        <v>4841</v>
      </c>
      <c r="J293" t="s">
        <v>9</v>
      </c>
      <c r="K293">
        <v>190.28</v>
      </c>
      <c r="L293">
        <v>1.62</v>
      </c>
      <c r="M293">
        <v>17737</v>
      </c>
      <c r="N293" t="s">
        <v>156</v>
      </c>
      <c r="O293">
        <v>250729</v>
      </c>
      <c r="P293">
        <v>6.34</v>
      </c>
      <c r="Q293"/>
    </row>
    <row r="294" spans="1:17" s="1" customFormat="1" x14ac:dyDescent="0.25">
      <c r="A294" t="s">
        <v>3296</v>
      </c>
      <c r="B294" t="s">
        <v>2931</v>
      </c>
      <c r="C294">
        <v>9835</v>
      </c>
      <c r="D294" t="str">
        <f t="shared" si="17"/>
        <v xml:space="preserve">699466      </v>
      </c>
      <c r="E294" t="s">
        <v>501</v>
      </c>
      <c r="F294" t="s">
        <v>502</v>
      </c>
      <c r="G294">
        <v>7.97</v>
      </c>
      <c r="H294">
        <v>250715</v>
      </c>
      <c r="I294">
        <v>4841</v>
      </c>
      <c r="J294" t="s">
        <v>9</v>
      </c>
      <c r="K294">
        <v>190.28</v>
      </c>
      <c r="L294">
        <v>1.62</v>
      </c>
      <c r="M294">
        <v>17737</v>
      </c>
      <c r="N294" t="s">
        <v>156</v>
      </c>
      <c r="O294">
        <v>250729</v>
      </c>
      <c r="P294">
        <v>6.35</v>
      </c>
      <c r="Q294"/>
    </row>
    <row r="295" spans="1:17" s="1" customFormat="1" x14ac:dyDescent="0.25">
      <c r="A295" t="s">
        <v>3296</v>
      </c>
      <c r="B295" t="s">
        <v>2931</v>
      </c>
      <c r="C295">
        <v>9835</v>
      </c>
      <c r="D295" t="str">
        <f t="shared" si="17"/>
        <v xml:space="preserve">699466      </v>
      </c>
      <c r="E295" t="s">
        <v>501</v>
      </c>
      <c r="F295" t="s">
        <v>502</v>
      </c>
      <c r="G295">
        <v>7.98</v>
      </c>
      <c r="H295">
        <v>250715</v>
      </c>
      <c r="I295">
        <v>4841</v>
      </c>
      <c r="J295" t="s">
        <v>9</v>
      </c>
      <c r="K295">
        <v>190.28</v>
      </c>
      <c r="L295">
        <v>1.62</v>
      </c>
      <c r="M295">
        <v>17912</v>
      </c>
      <c r="N295" t="s">
        <v>505</v>
      </c>
      <c r="O295">
        <v>250729</v>
      </c>
      <c r="P295">
        <v>6.36</v>
      </c>
      <c r="Q295"/>
    </row>
    <row r="296" spans="1:17" s="1" customFormat="1" x14ac:dyDescent="0.25">
      <c r="A296" t="s">
        <v>3296</v>
      </c>
      <c r="B296" t="s">
        <v>2931</v>
      </c>
      <c r="C296">
        <v>9835</v>
      </c>
      <c r="D296" t="str">
        <f t="shared" si="17"/>
        <v xml:space="preserve">699466      </v>
      </c>
      <c r="E296" t="s">
        <v>501</v>
      </c>
      <c r="F296" t="s">
        <v>502</v>
      </c>
      <c r="G296">
        <v>23.9</v>
      </c>
      <c r="H296">
        <v>250715</v>
      </c>
      <c r="I296">
        <v>4841</v>
      </c>
      <c r="J296" t="s">
        <v>9</v>
      </c>
      <c r="K296">
        <v>190.28</v>
      </c>
      <c r="L296">
        <v>4.8600000000000003</v>
      </c>
      <c r="M296">
        <v>17952</v>
      </c>
      <c r="N296" t="s">
        <v>157</v>
      </c>
      <c r="O296">
        <v>250729</v>
      </c>
      <c r="P296">
        <v>19.04</v>
      </c>
      <c r="Q296"/>
    </row>
    <row r="297" spans="1:17" s="1" customFormat="1" x14ac:dyDescent="0.25">
      <c r="A297" t="s">
        <v>3296</v>
      </c>
      <c r="B297" t="s">
        <v>2931</v>
      </c>
      <c r="C297">
        <v>9835</v>
      </c>
      <c r="D297" t="str">
        <f t="shared" si="17"/>
        <v xml:space="preserve">699466      </v>
      </c>
      <c r="E297" t="s">
        <v>501</v>
      </c>
      <c r="F297" t="s">
        <v>502</v>
      </c>
      <c r="G297">
        <v>18.71</v>
      </c>
      <c r="H297">
        <v>250715</v>
      </c>
      <c r="I297">
        <v>4841</v>
      </c>
      <c r="J297" t="s">
        <v>9</v>
      </c>
      <c r="K297">
        <v>190.28</v>
      </c>
      <c r="L297">
        <v>3.8</v>
      </c>
      <c r="M297">
        <v>17972</v>
      </c>
      <c r="N297" t="s">
        <v>28</v>
      </c>
      <c r="O297">
        <v>250729</v>
      </c>
      <c r="P297">
        <v>14.91</v>
      </c>
      <c r="Q297"/>
    </row>
    <row r="298" spans="1:17" s="1" customFormat="1" x14ac:dyDescent="0.25">
      <c r="A298" t="s">
        <v>3296</v>
      </c>
      <c r="B298" t="s">
        <v>2931</v>
      </c>
      <c r="C298">
        <v>9836</v>
      </c>
      <c r="D298" t="str">
        <f t="shared" ref="D298:D307" si="18">"699452      "</f>
        <v xml:space="preserve">699452      </v>
      </c>
      <c r="E298" t="s">
        <v>501</v>
      </c>
      <c r="F298" t="s">
        <v>502</v>
      </c>
      <c r="G298">
        <v>30.83</v>
      </c>
      <c r="H298">
        <v>250715</v>
      </c>
      <c r="I298">
        <v>4841</v>
      </c>
      <c r="J298" t="s">
        <v>9</v>
      </c>
      <c r="K298">
        <v>467.81</v>
      </c>
      <c r="L298">
        <v>6.26</v>
      </c>
      <c r="M298">
        <v>54222</v>
      </c>
      <c r="N298" t="s">
        <v>48</v>
      </c>
      <c r="O298">
        <v>250729</v>
      </c>
      <c r="P298">
        <v>24.57</v>
      </c>
      <c r="Q298"/>
    </row>
    <row r="299" spans="1:17" s="1" customFormat="1" x14ac:dyDescent="0.25">
      <c r="A299" t="s">
        <v>3296</v>
      </c>
      <c r="B299" t="s">
        <v>2931</v>
      </c>
      <c r="C299">
        <v>9836</v>
      </c>
      <c r="D299" t="str">
        <f t="shared" si="18"/>
        <v xml:space="preserve">699452      </v>
      </c>
      <c r="E299" t="s">
        <v>501</v>
      </c>
      <c r="F299" t="s">
        <v>502</v>
      </c>
      <c r="G299">
        <v>28.25</v>
      </c>
      <c r="H299">
        <v>250715</v>
      </c>
      <c r="I299">
        <v>4841</v>
      </c>
      <c r="J299" t="s">
        <v>9</v>
      </c>
      <c r="K299">
        <v>467.81</v>
      </c>
      <c r="L299">
        <v>5.74</v>
      </c>
      <c r="M299">
        <v>54422</v>
      </c>
      <c r="N299" t="s">
        <v>49</v>
      </c>
      <c r="O299">
        <v>250729</v>
      </c>
      <c r="P299">
        <v>22.51</v>
      </c>
      <c r="Q299"/>
    </row>
    <row r="300" spans="1:17" s="1" customFormat="1" x14ac:dyDescent="0.25">
      <c r="A300" t="s">
        <v>3296</v>
      </c>
      <c r="B300" t="s">
        <v>2931</v>
      </c>
      <c r="C300">
        <v>9836</v>
      </c>
      <c r="D300" t="str">
        <f t="shared" si="18"/>
        <v xml:space="preserve">699452      </v>
      </c>
      <c r="E300" t="s">
        <v>501</v>
      </c>
      <c r="F300" t="s">
        <v>502</v>
      </c>
      <c r="G300">
        <v>88.55</v>
      </c>
      <c r="H300">
        <v>250715</v>
      </c>
      <c r="I300">
        <v>4841</v>
      </c>
      <c r="J300" t="s">
        <v>9</v>
      </c>
      <c r="K300">
        <v>467.81</v>
      </c>
      <c r="L300">
        <v>17.989999999999998</v>
      </c>
      <c r="M300">
        <v>56558</v>
      </c>
      <c r="N300" t="s">
        <v>50</v>
      </c>
      <c r="O300">
        <v>250729</v>
      </c>
      <c r="P300">
        <v>70.56</v>
      </c>
      <c r="Q300"/>
    </row>
    <row r="301" spans="1:17" s="1" customFormat="1" x14ac:dyDescent="0.25">
      <c r="A301" t="s">
        <v>3296</v>
      </c>
      <c r="B301" t="s">
        <v>2931</v>
      </c>
      <c r="C301">
        <v>9836</v>
      </c>
      <c r="D301" t="str">
        <f t="shared" si="18"/>
        <v xml:space="preserve">699452      </v>
      </c>
      <c r="E301" t="s">
        <v>501</v>
      </c>
      <c r="F301" t="s">
        <v>502</v>
      </c>
      <c r="G301">
        <v>19.57</v>
      </c>
      <c r="H301">
        <v>250715</v>
      </c>
      <c r="I301">
        <v>4841</v>
      </c>
      <c r="J301" t="s">
        <v>9</v>
      </c>
      <c r="K301">
        <v>467.81</v>
      </c>
      <c r="L301">
        <v>3.98</v>
      </c>
      <c r="M301">
        <v>56559</v>
      </c>
      <c r="N301" t="s">
        <v>51</v>
      </c>
      <c r="O301">
        <v>250729</v>
      </c>
      <c r="P301">
        <v>15.59</v>
      </c>
      <c r="Q301"/>
    </row>
    <row r="302" spans="1:17" s="1" customFormat="1" x14ac:dyDescent="0.25">
      <c r="A302" t="s">
        <v>3296</v>
      </c>
      <c r="B302" t="s">
        <v>2931</v>
      </c>
      <c r="C302">
        <v>9836</v>
      </c>
      <c r="D302" t="str">
        <f t="shared" si="18"/>
        <v xml:space="preserve">699452      </v>
      </c>
      <c r="E302" t="s">
        <v>501</v>
      </c>
      <c r="F302" t="s">
        <v>502</v>
      </c>
      <c r="G302">
        <v>13.08</v>
      </c>
      <c r="H302">
        <v>250715</v>
      </c>
      <c r="I302">
        <v>4841</v>
      </c>
      <c r="J302" t="s">
        <v>9</v>
      </c>
      <c r="K302">
        <v>467.81</v>
      </c>
      <c r="L302">
        <v>2.66</v>
      </c>
      <c r="M302">
        <v>56560</v>
      </c>
      <c r="N302" t="s">
        <v>52</v>
      </c>
      <c r="O302">
        <v>250729</v>
      </c>
      <c r="P302">
        <v>10.42</v>
      </c>
      <c r="Q302"/>
    </row>
    <row r="303" spans="1:17" s="1" customFormat="1" x14ac:dyDescent="0.25">
      <c r="A303" t="s">
        <v>3296</v>
      </c>
      <c r="B303" t="s">
        <v>2931</v>
      </c>
      <c r="C303">
        <v>9836</v>
      </c>
      <c r="D303" t="str">
        <f t="shared" si="18"/>
        <v xml:space="preserve">699452      </v>
      </c>
      <c r="E303" t="s">
        <v>501</v>
      </c>
      <c r="F303" t="s">
        <v>502</v>
      </c>
      <c r="G303">
        <v>59.25</v>
      </c>
      <c r="H303">
        <v>250715</v>
      </c>
      <c r="I303">
        <v>4841</v>
      </c>
      <c r="J303" t="s">
        <v>9</v>
      </c>
      <c r="K303">
        <v>467.81</v>
      </c>
      <c r="L303">
        <v>12.04</v>
      </c>
      <c r="M303">
        <v>56562</v>
      </c>
      <c r="N303" t="s">
        <v>54</v>
      </c>
      <c r="O303">
        <v>250729</v>
      </c>
      <c r="P303">
        <v>47.21</v>
      </c>
      <c r="Q303"/>
    </row>
    <row r="304" spans="1:17" s="1" customFormat="1" x14ac:dyDescent="0.25">
      <c r="A304" t="s">
        <v>3296</v>
      </c>
      <c r="B304" t="s">
        <v>2931</v>
      </c>
      <c r="C304">
        <v>9836</v>
      </c>
      <c r="D304" t="str">
        <f t="shared" si="18"/>
        <v xml:space="preserve">699452      </v>
      </c>
      <c r="E304" t="s">
        <v>501</v>
      </c>
      <c r="F304" t="s">
        <v>502</v>
      </c>
      <c r="G304">
        <v>13.09</v>
      </c>
      <c r="H304">
        <v>250715</v>
      </c>
      <c r="I304">
        <v>4841</v>
      </c>
      <c r="J304" t="s">
        <v>9</v>
      </c>
      <c r="K304">
        <v>467.81</v>
      </c>
      <c r="L304">
        <v>2.66</v>
      </c>
      <c r="M304">
        <v>56565</v>
      </c>
      <c r="N304" t="s">
        <v>57</v>
      </c>
      <c r="O304">
        <v>250729</v>
      </c>
      <c r="P304">
        <v>10.43</v>
      </c>
      <c r="Q304"/>
    </row>
    <row r="305" spans="1:17" s="1" customFormat="1" x14ac:dyDescent="0.25">
      <c r="A305" t="s">
        <v>3296</v>
      </c>
      <c r="B305" t="s">
        <v>2931</v>
      </c>
      <c r="C305">
        <v>9836</v>
      </c>
      <c r="D305" t="str">
        <f t="shared" si="18"/>
        <v xml:space="preserve">699452      </v>
      </c>
      <c r="E305" t="s">
        <v>501</v>
      </c>
      <c r="F305" t="s">
        <v>502</v>
      </c>
      <c r="G305">
        <v>63.53</v>
      </c>
      <c r="H305">
        <v>250715</v>
      </c>
      <c r="I305">
        <v>4841</v>
      </c>
      <c r="J305" t="s">
        <v>9</v>
      </c>
      <c r="K305">
        <v>467.81</v>
      </c>
      <c r="L305">
        <v>12.91</v>
      </c>
      <c r="M305">
        <v>56566</v>
      </c>
      <c r="N305" t="s">
        <v>58</v>
      </c>
      <c r="O305">
        <v>250729</v>
      </c>
      <c r="P305">
        <v>50.62</v>
      </c>
      <c r="Q305"/>
    </row>
    <row r="306" spans="1:17" s="1" customFormat="1" x14ac:dyDescent="0.25">
      <c r="A306" t="s">
        <v>3296</v>
      </c>
      <c r="B306" t="s">
        <v>2931</v>
      </c>
      <c r="C306">
        <v>9836</v>
      </c>
      <c r="D306" t="str">
        <f t="shared" si="18"/>
        <v xml:space="preserve">699452      </v>
      </c>
      <c r="E306" t="s">
        <v>501</v>
      </c>
      <c r="F306" t="s">
        <v>502</v>
      </c>
      <c r="G306">
        <v>53.15</v>
      </c>
      <c r="H306">
        <v>250715</v>
      </c>
      <c r="I306">
        <v>4841</v>
      </c>
      <c r="J306" t="s">
        <v>9</v>
      </c>
      <c r="K306">
        <v>467.81</v>
      </c>
      <c r="L306">
        <v>10.8</v>
      </c>
      <c r="M306">
        <v>59701</v>
      </c>
      <c r="N306" t="s">
        <v>64</v>
      </c>
      <c r="O306">
        <v>250729</v>
      </c>
      <c r="P306">
        <v>42.35</v>
      </c>
      <c r="Q306"/>
    </row>
    <row r="307" spans="1:17" s="1" customFormat="1" x14ac:dyDescent="0.25">
      <c r="A307" t="s">
        <v>3296</v>
      </c>
      <c r="B307" t="s">
        <v>2931</v>
      </c>
      <c r="C307">
        <v>9836</v>
      </c>
      <c r="D307" t="str">
        <f t="shared" si="18"/>
        <v xml:space="preserve">699452      </v>
      </c>
      <c r="E307" t="s">
        <v>501</v>
      </c>
      <c r="F307" t="s">
        <v>502</v>
      </c>
      <c r="G307">
        <v>98.51</v>
      </c>
      <c r="H307">
        <v>250715</v>
      </c>
      <c r="I307">
        <v>4841</v>
      </c>
      <c r="J307" t="s">
        <v>9</v>
      </c>
      <c r="K307">
        <v>467.81</v>
      </c>
      <c r="L307">
        <v>20.02</v>
      </c>
      <c r="M307">
        <v>59702</v>
      </c>
      <c r="N307" t="s">
        <v>45</v>
      </c>
      <c r="O307">
        <v>250729</v>
      </c>
      <c r="P307">
        <v>78.489999999999995</v>
      </c>
      <c r="Q307"/>
    </row>
    <row r="308" spans="1:17" s="1" customFormat="1" x14ac:dyDescent="0.25">
      <c r="A308" t="s">
        <v>3296</v>
      </c>
      <c r="B308" t="s">
        <v>2931</v>
      </c>
      <c r="C308">
        <v>9838</v>
      </c>
      <c r="D308" t="str">
        <f>"700106      "</f>
        <v xml:space="preserve">700106      </v>
      </c>
      <c r="E308" t="s">
        <v>501</v>
      </c>
      <c r="F308" t="s">
        <v>502</v>
      </c>
      <c r="G308">
        <v>5.94</v>
      </c>
      <c r="H308">
        <v>250717</v>
      </c>
      <c r="I308">
        <v>4841</v>
      </c>
      <c r="J308" t="s">
        <v>9</v>
      </c>
      <c r="K308">
        <v>5.94</v>
      </c>
      <c r="L308">
        <v>1.21</v>
      </c>
      <c r="M308">
        <v>13801</v>
      </c>
      <c r="N308" t="s">
        <v>33</v>
      </c>
      <c r="O308">
        <v>250729</v>
      </c>
      <c r="P308">
        <v>4.7300000000000004</v>
      </c>
      <c r="Q308"/>
    </row>
    <row r="309" spans="1:17" s="1" customFormat="1" x14ac:dyDescent="0.25">
      <c r="A309" t="s">
        <v>3296</v>
      </c>
      <c r="B309" t="s">
        <v>2931</v>
      </c>
      <c r="C309">
        <v>9911</v>
      </c>
      <c r="D309" t="str">
        <f>"699460      "</f>
        <v xml:space="preserve">699460      </v>
      </c>
      <c r="E309" t="s">
        <v>501</v>
      </c>
      <c r="F309" t="s">
        <v>502</v>
      </c>
      <c r="G309">
        <v>169.1</v>
      </c>
      <c r="H309">
        <v>250715</v>
      </c>
      <c r="I309">
        <v>4841</v>
      </c>
      <c r="J309" t="s">
        <v>9</v>
      </c>
      <c r="K309">
        <v>220.96</v>
      </c>
      <c r="L309">
        <v>34.36</v>
      </c>
      <c r="M309">
        <v>11903</v>
      </c>
      <c r="N309" t="s">
        <v>32</v>
      </c>
      <c r="O309">
        <v>250804</v>
      </c>
      <c r="P309">
        <v>134.74</v>
      </c>
      <c r="Q309"/>
    </row>
    <row r="310" spans="1:17" s="1" customFormat="1" x14ac:dyDescent="0.25">
      <c r="A310" t="s">
        <v>3296</v>
      </c>
      <c r="B310" t="s">
        <v>2931</v>
      </c>
      <c r="C310">
        <v>9911</v>
      </c>
      <c r="D310" t="str">
        <f>"699460      "</f>
        <v xml:space="preserve">699460      </v>
      </c>
      <c r="E310" t="s">
        <v>501</v>
      </c>
      <c r="F310" t="s">
        <v>502</v>
      </c>
      <c r="G310">
        <v>10.38</v>
      </c>
      <c r="H310">
        <v>250715</v>
      </c>
      <c r="I310">
        <v>4841</v>
      </c>
      <c r="J310" t="s">
        <v>9</v>
      </c>
      <c r="K310">
        <v>220.96</v>
      </c>
      <c r="L310">
        <v>2.11</v>
      </c>
      <c r="M310">
        <v>11903</v>
      </c>
      <c r="N310" t="s">
        <v>32</v>
      </c>
      <c r="O310">
        <v>250804</v>
      </c>
      <c r="P310">
        <v>8.27</v>
      </c>
      <c r="Q310"/>
    </row>
    <row r="311" spans="1:17" s="1" customFormat="1" x14ac:dyDescent="0.25">
      <c r="A311" t="s">
        <v>3296</v>
      </c>
      <c r="B311" t="s">
        <v>2931</v>
      </c>
      <c r="C311">
        <v>9911</v>
      </c>
      <c r="D311" t="str">
        <f>"699460      "</f>
        <v xml:space="preserve">699460      </v>
      </c>
      <c r="E311" t="s">
        <v>501</v>
      </c>
      <c r="F311" t="s">
        <v>502</v>
      </c>
      <c r="G311">
        <v>30.9</v>
      </c>
      <c r="H311">
        <v>250715</v>
      </c>
      <c r="I311">
        <v>4841</v>
      </c>
      <c r="J311" t="s">
        <v>9</v>
      </c>
      <c r="K311">
        <v>220.96</v>
      </c>
      <c r="L311">
        <v>6.28</v>
      </c>
      <c r="M311">
        <v>12500</v>
      </c>
      <c r="N311" t="s">
        <v>1502</v>
      </c>
      <c r="O311">
        <v>250804</v>
      </c>
      <c r="P311">
        <v>24.62</v>
      </c>
      <c r="Q311"/>
    </row>
    <row r="312" spans="1:17" s="1" customFormat="1" x14ac:dyDescent="0.25">
      <c r="A312" t="s">
        <v>3296</v>
      </c>
      <c r="B312" t="s">
        <v>2931</v>
      </c>
      <c r="C312">
        <v>9911</v>
      </c>
      <c r="D312" t="str">
        <f>"699460      "</f>
        <v xml:space="preserve">699460      </v>
      </c>
      <c r="E312" t="s">
        <v>501</v>
      </c>
      <c r="F312" t="s">
        <v>502</v>
      </c>
      <c r="G312">
        <v>10.58</v>
      </c>
      <c r="H312">
        <v>250715</v>
      </c>
      <c r="I312">
        <v>4841</v>
      </c>
      <c r="J312" t="s">
        <v>9</v>
      </c>
      <c r="K312">
        <v>220.96</v>
      </c>
      <c r="L312">
        <v>2.15</v>
      </c>
      <c r="M312">
        <v>18993</v>
      </c>
      <c r="N312" t="s">
        <v>540</v>
      </c>
      <c r="O312">
        <v>250804</v>
      </c>
      <c r="P312">
        <v>8.43</v>
      </c>
      <c r="Q312"/>
    </row>
    <row r="313" spans="1:17" s="1" customFormat="1" x14ac:dyDescent="0.25">
      <c r="A313" t="s">
        <v>3296</v>
      </c>
      <c r="B313" t="s">
        <v>2931</v>
      </c>
      <c r="C313">
        <v>10016</v>
      </c>
      <c r="D313" t="str">
        <f>"699457      "</f>
        <v xml:space="preserve">699457      </v>
      </c>
      <c r="E313" t="s">
        <v>501</v>
      </c>
      <c r="F313" t="s">
        <v>502</v>
      </c>
      <c r="G313">
        <v>14.56</v>
      </c>
      <c r="H313">
        <v>250715</v>
      </c>
      <c r="I313">
        <v>4841</v>
      </c>
      <c r="J313" t="s">
        <v>9</v>
      </c>
      <c r="K313">
        <v>52.07</v>
      </c>
      <c r="L313">
        <v>2.96</v>
      </c>
      <c r="M313">
        <v>18010</v>
      </c>
      <c r="N313" t="s">
        <v>36</v>
      </c>
      <c r="O313">
        <v>250807</v>
      </c>
      <c r="P313">
        <v>11.6</v>
      </c>
      <c r="Q313"/>
    </row>
    <row r="314" spans="1:17" s="1" customFormat="1" x14ac:dyDescent="0.25">
      <c r="A314" t="s">
        <v>3296</v>
      </c>
      <c r="B314" t="s">
        <v>2931</v>
      </c>
      <c r="C314">
        <v>10016</v>
      </c>
      <c r="D314" t="str">
        <f>"699457      "</f>
        <v xml:space="preserve">699457      </v>
      </c>
      <c r="E314" t="s">
        <v>501</v>
      </c>
      <c r="F314" t="s">
        <v>502</v>
      </c>
      <c r="G314">
        <v>4.07</v>
      </c>
      <c r="H314">
        <v>250715</v>
      </c>
      <c r="I314">
        <v>4841</v>
      </c>
      <c r="J314" t="s">
        <v>9</v>
      </c>
      <c r="K314">
        <v>52.07</v>
      </c>
      <c r="L314">
        <v>0.83</v>
      </c>
      <c r="M314">
        <v>18120</v>
      </c>
      <c r="N314" t="s">
        <v>37</v>
      </c>
      <c r="O314">
        <v>250807</v>
      </c>
      <c r="P314">
        <v>3.24</v>
      </c>
      <c r="Q314"/>
    </row>
    <row r="315" spans="1:17" s="1" customFormat="1" x14ac:dyDescent="0.25">
      <c r="A315" t="s">
        <v>3296</v>
      </c>
      <c r="B315" t="s">
        <v>2931</v>
      </c>
      <c r="C315">
        <v>10016</v>
      </c>
      <c r="D315" t="str">
        <f>"699457      "</f>
        <v xml:space="preserve">699457      </v>
      </c>
      <c r="E315" t="s">
        <v>501</v>
      </c>
      <c r="F315" t="s">
        <v>502</v>
      </c>
      <c r="G315">
        <v>33.44</v>
      </c>
      <c r="H315">
        <v>250715</v>
      </c>
      <c r="I315">
        <v>4841</v>
      </c>
      <c r="J315" t="s">
        <v>9</v>
      </c>
      <c r="K315">
        <v>52.07</v>
      </c>
      <c r="L315">
        <v>6.79</v>
      </c>
      <c r="M315">
        <v>18972</v>
      </c>
      <c r="N315" t="s">
        <v>39</v>
      </c>
      <c r="O315">
        <v>250807</v>
      </c>
      <c r="P315">
        <v>26.65</v>
      </c>
      <c r="Q315"/>
    </row>
    <row r="316" spans="1:17" s="1" customFormat="1" x14ac:dyDescent="0.25">
      <c r="A316" t="s">
        <v>3296</v>
      </c>
      <c r="B316" t="s">
        <v>2931</v>
      </c>
      <c r="C316">
        <v>10050</v>
      </c>
      <c r="D316" t="str">
        <f t="shared" ref="D316:D334" si="19">"699465      "</f>
        <v xml:space="preserve">699465      </v>
      </c>
      <c r="E316" t="s">
        <v>501</v>
      </c>
      <c r="F316" t="s">
        <v>502</v>
      </c>
      <c r="G316">
        <v>29.95</v>
      </c>
      <c r="H316">
        <v>250715</v>
      </c>
      <c r="I316">
        <v>4841</v>
      </c>
      <c r="J316" t="s">
        <v>9</v>
      </c>
      <c r="K316">
        <v>2432.38</v>
      </c>
      <c r="L316">
        <v>6.09</v>
      </c>
      <c r="M316">
        <v>41126</v>
      </c>
      <c r="N316" t="s">
        <v>94</v>
      </c>
      <c r="O316">
        <v>250811</v>
      </c>
      <c r="P316">
        <v>23.86</v>
      </c>
      <c r="Q316"/>
    </row>
    <row r="317" spans="1:17" s="1" customFormat="1" x14ac:dyDescent="0.25">
      <c r="A317" t="s">
        <v>3296</v>
      </c>
      <c r="B317" t="s">
        <v>2931</v>
      </c>
      <c r="C317">
        <v>10050</v>
      </c>
      <c r="D317" t="str">
        <f t="shared" si="19"/>
        <v xml:space="preserve">699465      </v>
      </c>
      <c r="E317" t="s">
        <v>501</v>
      </c>
      <c r="F317" t="s">
        <v>502</v>
      </c>
      <c r="G317">
        <v>41.7</v>
      </c>
      <c r="H317">
        <v>250715</v>
      </c>
      <c r="I317">
        <v>4841</v>
      </c>
      <c r="J317" t="s">
        <v>9</v>
      </c>
      <c r="K317">
        <v>2432.38</v>
      </c>
      <c r="L317">
        <v>8.4700000000000006</v>
      </c>
      <c r="M317">
        <v>43222</v>
      </c>
      <c r="N317" t="s">
        <v>95</v>
      </c>
      <c r="O317">
        <v>250811</v>
      </c>
      <c r="P317">
        <v>33.229999999999997</v>
      </c>
      <c r="Q317"/>
    </row>
    <row r="318" spans="1:17" s="1" customFormat="1" x14ac:dyDescent="0.25">
      <c r="A318" t="s">
        <v>3296</v>
      </c>
      <c r="B318" t="s">
        <v>2931</v>
      </c>
      <c r="C318">
        <v>10050</v>
      </c>
      <c r="D318" t="str">
        <f t="shared" si="19"/>
        <v xml:space="preserve">699465      </v>
      </c>
      <c r="E318" t="s">
        <v>501</v>
      </c>
      <c r="F318" t="s">
        <v>502</v>
      </c>
      <c r="G318">
        <v>60.09</v>
      </c>
      <c r="H318">
        <v>250715</v>
      </c>
      <c r="I318">
        <v>4841</v>
      </c>
      <c r="J318" t="s">
        <v>9</v>
      </c>
      <c r="K318">
        <v>2432.38</v>
      </c>
      <c r="L318">
        <v>12.21</v>
      </c>
      <c r="M318">
        <v>44222</v>
      </c>
      <c r="N318" t="s">
        <v>96</v>
      </c>
      <c r="O318">
        <v>250811</v>
      </c>
      <c r="P318">
        <v>47.88</v>
      </c>
      <c r="Q318"/>
    </row>
    <row r="319" spans="1:17" s="1" customFormat="1" x14ac:dyDescent="0.25">
      <c r="A319" t="s">
        <v>3296</v>
      </c>
      <c r="B319" t="s">
        <v>2931</v>
      </c>
      <c r="C319">
        <v>10050</v>
      </c>
      <c r="D319" t="str">
        <f t="shared" si="19"/>
        <v xml:space="preserve">699465      </v>
      </c>
      <c r="E319" t="s">
        <v>501</v>
      </c>
      <c r="F319" t="s">
        <v>502</v>
      </c>
      <c r="G319">
        <v>271.64</v>
      </c>
      <c r="H319">
        <v>250715</v>
      </c>
      <c r="I319">
        <v>4841</v>
      </c>
      <c r="J319" t="s">
        <v>9</v>
      </c>
      <c r="K319">
        <v>2432.38</v>
      </c>
      <c r="L319">
        <v>55.19</v>
      </c>
      <c r="M319">
        <v>44424</v>
      </c>
      <c r="N319" t="s">
        <v>99</v>
      </c>
      <c r="O319">
        <v>250811</v>
      </c>
      <c r="P319">
        <v>216.45</v>
      </c>
      <c r="Q319"/>
    </row>
    <row r="320" spans="1:17" s="1" customFormat="1" x14ac:dyDescent="0.25">
      <c r="A320" t="s">
        <v>3296</v>
      </c>
      <c r="B320" t="s">
        <v>2931</v>
      </c>
      <c r="C320">
        <v>10050</v>
      </c>
      <c r="D320" t="str">
        <f t="shared" si="19"/>
        <v xml:space="preserve">699465      </v>
      </c>
      <c r="E320" t="s">
        <v>501</v>
      </c>
      <c r="F320" t="s">
        <v>502</v>
      </c>
      <c r="G320">
        <v>10.58</v>
      </c>
      <c r="H320">
        <v>250715</v>
      </c>
      <c r="I320">
        <v>4841</v>
      </c>
      <c r="J320" t="s">
        <v>9</v>
      </c>
      <c r="K320">
        <v>2432.38</v>
      </c>
      <c r="L320">
        <v>2.15</v>
      </c>
      <c r="M320">
        <v>46222</v>
      </c>
      <c r="N320" t="s">
        <v>101</v>
      </c>
      <c r="O320">
        <v>250811</v>
      </c>
      <c r="P320">
        <v>8.43</v>
      </c>
      <c r="Q320"/>
    </row>
    <row r="321" spans="1:17" s="1" customFormat="1" x14ac:dyDescent="0.25">
      <c r="A321" t="s">
        <v>3296</v>
      </c>
      <c r="B321" t="s">
        <v>2931</v>
      </c>
      <c r="C321">
        <v>10050</v>
      </c>
      <c r="D321" t="str">
        <f t="shared" si="19"/>
        <v xml:space="preserve">699465      </v>
      </c>
      <c r="E321" t="s">
        <v>501</v>
      </c>
      <c r="F321" t="s">
        <v>502</v>
      </c>
      <c r="G321">
        <v>62.27</v>
      </c>
      <c r="H321">
        <v>250715</v>
      </c>
      <c r="I321">
        <v>4841</v>
      </c>
      <c r="J321" t="s">
        <v>9</v>
      </c>
      <c r="K321">
        <v>2432.38</v>
      </c>
      <c r="L321">
        <v>12.65</v>
      </c>
      <c r="M321">
        <v>46554</v>
      </c>
      <c r="N321" t="s">
        <v>102</v>
      </c>
      <c r="O321">
        <v>250811</v>
      </c>
      <c r="P321">
        <v>49.62</v>
      </c>
      <c r="Q321"/>
    </row>
    <row r="322" spans="1:17" s="1" customFormat="1" x14ac:dyDescent="0.25">
      <c r="A322" t="s">
        <v>3296</v>
      </c>
      <c r="B322" t="s">
        <v>2931</v>
      </c>
      <c r="C322">
        <v>10050</v>
      </c>
      <c r="D322" t="str">
        <f t="shared" si="19"/>
        <v xml:space="preserve">699465      </v>
      </c>
      <c r="E322" t="s">
        <v>501</v>
      </c>
      <c r="F322" t="s">
        <v>502</v>
      </c>
      <c r="G322">
        <v>55.76</v>
      </c>
      <c r="H322">
        <v>250715</v>
      </c>
      <c r="I322">
        <v>4841</v>
      </c>
      <c r="J322" t="s">
        <v>9</v>
      </c>
      <c r="K322">
        <v>2432.38</v>
      </c>
      <c r="L322">
        <v>11.33</v>
      </c>
      <c r="M322">
        <v>46554</v>
      </c>
      <c r="N322" t="s">
        <v>102</v>
      </c>
      <c r="O322">
        <v>250811</v>
      </c>
      <c r="P322">
        <v>44.43</v>
      </c>
      <c r="Q322"/>
    </row>
    <row r="323" spans="1:17" s="1" customFormat="1" x14ac:dyDescent="0.25">
      <c r="A323" t="s">
        <v>3296</v>
      </c>
      <c r="B323" t="s">
        <v>2931</v>
      </c>
      <c r="C323">
        <v>10050</v>
      </c>
      <c r="D323" t="str">
        <f t="shared" si="19"/>
        <v xml:space="preserve">699465      </v>
      </c>
      <c r="E323" t="s">
        <v>501</v>
      </c>
      <c r="F323" t="s">
        <v>502</v>
      </c>
      <c r="G323">
        <v>29.95</v>
      </c>
      <c r="H323">
        <v>250715</v>
      </c>
      <c r="I323">
        <v>4841</v>
      </c>
      <c r="J323" t="s">
        <v>9</v>
      </c>
      <c r="K323">
        <v>2432.38</v>
      </c>
      <c r="L323">
        <v>6.09</v>
      </c>
      <c r="M323">
        <v>46555</v>
      </c>
      <c r="N323" t="s">
        <v>103</v>
      </c>
      <c r="O323">
        <v>250811</v>
      </c>
      <c r="P323">
        <v>23.86</v>
      </c>
      <c r="Q323"/>
    </row>
    <row r="324" spans="1:17" s="1" customFormat="1" x14ac:dyDescent="0.25">
      <c r="A324" t="s">
        <v>3296</v>
      </c>
      <c r="B324" t="s">
        <v>2931</v>
      </c>
      <c r="C324">
        <v>10050</v>
      </c>
      <c r="D324" t="str">
        <f t="shared" si="19"/>
        <v xml:space="preserve">699465      </v>
      </c>
      <c r="E324" t="s">
        <v>501</v>
      </c>
      <c r="F324" t="s">
        <v>502</v>
      </c>
      <c r="G324">
        <v>161.80000000000001</v>
      </c>
      <c r="H324">
        <v>250715</v>
      </c>
      <c r="I324">
        <v>4841</v>
      </c>
      <c r="J324" t="s">
        <v>9</v>
      </c>
      <c r="K324">
        <v>2432.38</v>
      </c>
      <c r="L324">
        <v>32.880000000000003</v>
      </c>
      <c r="M324">
        <v>46556</v>
      </c>
      <c r="N324" t="s">
        <v>458</v>
      </c>
      <c r="O324">
        <v>250811</v>
      </c>
      <c r="P324">
        <v>128.91999999999999</v>
      </c>
      <c r="Q324"/>
    </row>
    <row r="325" spans="1:17" s="1" customFormat="1" x14ac:dyDescent="0.25">
      <c r="A325" t="s">
        <v>3296</v>
      </c>
      <c r="B325" t="s">
        <v>2931</v>
      </c>
      <c r="C325">
        <v>10050</v>
      </c>
      <c r="D325" t="str">
        <f t="shared" si="19"/>
        <v xml:space="preserve">699465      </v>
      </c>
      <c r="E325" t="s">
        <v>501</v>
      </c>
      <c r="F325" t="s">
        <v>502</v>
      </c>
      <c r="G325">
        <v>12.82</v>
      </c>
      <c r="H325">
        <v>250715</v>
      </c>
      <c r="I325">
        <v>4841</v>
      </c>
      <c r="J325" t="s">
        <v>9</v>
      </c>
      <c r="K325">
        <v>2432.38</v>
      </c>
      <c r="L325">
        <v>2.6</v>
      </c>
      <c r="M325">
        <v>46557</v>
      </c>
      <c r="N325" t="s">
        <v>104</v>
      </c>
      <c r="O325">
        <v>250811</v>
      </c>
      <c r="P325">
        <v>10.220000000000001</v>
      </c>
      <c r="Q325"/>
    </row>
    <row r="326" spans="1:17" s="1" customFormat="1" x14ac:dyDescent="0.25">
      <c r="A326" t="s">
        <v>3296</v>
      </c>
      <c r="B326" t="s">
        <v>2931</v>
      </c>
      <c r="C326">
        <v>10050</v>
      </c>
      <c r="D326" t="str">
        <f t="shared" si="19"/>
        <v xml:space="preserve">699465      </v>
      </c>
      <c r="E326" t="s">
        <v>501</v>
      </c>
      <c r="F326" t="s">
        <v>502</v>
      </c>
      <c r="G326">
        <v>491.69</v>
      </c>
      <c r="H326">
        <v>250715</v>
      </c>
      <c r="I326">
        <v>4841</v>
      </c>
      <c r="J326" t="s">
        <v>9</v>
      </c>
      <c r="K326">
        <v>2432.38</v>
      </c>
      <c r="L326">
        <v>99.91</v>
      </c>
      <c r="M326">
        <v>46559</v>
      </c>
      <c r="N326" t="s">
        <v>105</v>
      </c>
      <c r="O326">
        <v>250811</v>
      </c>
      <c r="P326">
        <v>391.78</v>
      </c>
      <c r="Q326"/>
    </row>
    <row r="327" spans="1:17" s="1" customFormat="1" x14ac:dyDescent="0.25">
      <c r="A327" t="s">
        <v>3296</v>
      </c>
      <c r="B327" t="s">
        <v>2931</v>
      </c>
      <c r="C327">
        <v>10050</v>
      </c>
      <c r="D327" t="str">
        <f t="shared" si="19"/>
        <v xml:space="preserve">699465      </v>
      </c>
      <c r="E327" t="s">
        <v>501</v>
      </c>
      <c r="F327" t="s">
        <v>502</v>
      </c>
      <c r="G327">
        <v>338.64</v>
      </c>
      <c r="H327">
        <v>250715</v>
      </c>
      <c r="I327">
        <v>4841</v>
      </c>
      <c r="J327" t="s">
        <v>9</v>
      </c>
      <c r="K327">
        <v>2432.38</v>
      </c>
      <c r="L327">
        <v>68.81</v>
      </c>
      <c r="M327">
        <v>47522</v>
      </c>
      <c r="N327" t="s">
        <v>106</v>
      </c>
      <c r="O327">
        <v>250811</v>
      </c>
      <c r="P327">
        <v>269.83</v>
      </c>
      <c r="Q327"/>
    </row>
    <row r="328" spans="1:17" s="1" customFormat="1" x14ac:dyDescent="0.25">
      <c r="A328" t="s">
        <v>3296</v>
      </c>
      <c r="B328" t="s">
        <v>2931</v>
      </c>
      <c r="C328">
        <v>10050</v>
      </c>
      <c r="D328" t="str">
        <f t="shared" si="19"/>
        <v xml:space="preserve">699465      </v>
      </c>
      <c r="E328" t="s">
        <v>501</v>
      </c>
      <c r="F328" t="s">
        <v>502</v>
      </c>
      <c r="G328">
        <v>17.12</v>
      </c>
      <c r="H328">
        <v>250715</v>
      </c>
      <c r="I328">
        <v>4841</v>
      </c>
      <c r="J328" t="s">
        <v>9</v>
      </c>
      <c r="K328">
        <v>2432.38</v>
      </c>
      <c r="L328">
        <v>3.48</v>
      </c>
      <c r="M328">
        <v>48601</v>
      </c>
      <c r="N328" t="s">
        <v>107</v>
      </c>
      <c r="O328">
        <v>250811</v>
      </c>
      <c r="P328">
        <v>13.64</v>
      </c>
      <c r="Q328"/>
    </row>
    <row r="329" spans="1:17" s="1" customFormat="1" x14ac:dyDescent="0.25">
      <c r="A329" t="s">
        <v>3296</v>
      </c>
      <c r="B329" t="s">
        <v>2931</v>
      </c>
      <c r="C329">
        <v>10050</v>
      </c>
      <c r="D329" t="str">
        <f t="shared" si="19"/>
        <v xml:space="preserve">699465      </v>
      </c>
      <c r="E329" t="s">
        <v>501</v>
      </c>
      <c r="F329" t="s">
        <v>502</v>
      </c>
      <c r="G329">
        <v>574.05999999999995</v>
      </c>
      <c r="H329">
        <v>250715</v>
      </c>
      <c r="I329">
        <v>4841</v>
      </c>
      <c r="J329" t="s">
        <v>9</v>
      </c>
      <c r="K329">
        <v>2432.38</v>
      </c>
      <c r="L329">
        <v>116.64</v>
      </c>
      <c r="M329">
        <v>48601</v>
      </c>
      <c r="N329" t="s">
        <v>107</v>
      </c>
      <c r="O329">
        <v>250811</v>
      </c>
      <c r="P329">
        <v>457.42</v>
      </c>
      <c r="Q329"/>
    </row>
    <row r="330" spans="1:17" s="1" customFormat="1" x14ac:dyDescent="0.25">
      <c r="A330" t="s">
        <v>3296</v>
      </c>
      <c r="B330" t="s">
        <v>2931</v>
      </c>
      <c r="C330">
        <v>10050</v>
      </c>
      <c r="D330" t="str">
        <f t="shared" si="19"/>
        <v xml:space="preserve">699465      </v>
      </c>
      <c r="E330" t="s">
        <v>501</v>
      </c>
      <c r="F330" t="s">
        <v>502</v>
      </c>
      <c r="G330">
        <v>10.58</v>
      </c>
      <c r="H330">
        <v>250715</v>
      </c>
      <c r="I330">
        <v>4841</v>
      </c>
      <c r="J330" t="s">
        <v>9</v>
      </c>
      <c r="K330">
        <v>2432.38</v>
      </c>
      <c r="L330">
        <v>2.15</v>
      </c>
      <c r="M330">
        <v>49112</v>
      </c>
      <c r="N330" t="s">
        <v>109</v>
      </c>
      <c r="O330">
        <v>250811</v>
      </c>
      <c r="P330">
        <v>8.43</v>
      </c>
      <c r="Q330"/>
    </row>
    <row r="331" spans="1:17" s="1" customFormat="1" x14ac:dyDescent="0.25">
      <c r="A331" t="s">
        <v>3296</v>
      </c>
      <c r="B331" t="s">
        <v>2931</v>
      </c>
      <c r="C331">
        <v>10050</v>
      </c>
      <c r="D331" t="str">
        <f t="shared" si="19"/>
        <v xml:space="preserve">699465      </v>
      </c>
      <c r="E331" t="s">
        <v>501</v>
      </c>
      <c r="F331" t="s">
        <v>502</v>
      </c>
      <c r="G331">
        <v>120.67</v>
      </c>
      <c r="H331">
        <v>250715</v>
      </c>
      <c r="I331">
        <v>4841</v>
      </c>
      <c r="J331" t="s">
        <v>9</v>
      </c>
      <c r="K331">
        <v>2432.38</v>
      </c>
      <c r="L331">
        <v>24.52</v>
      </c>
      <c r="M331">
        <v>49501</v>
      </c>
      <c r="N331" t="s">
        <v>110</v>
      </c>
      <c r="O331">
        <v>250811</v>
      </c>
      <c r="P331">
        <v>96.15</v>
      </c>
      <c r="Q331"/>
    </row>
    <row r="332" spans="1:17" s="1" customFormat="1" x14ac:dyDescent="0.25">
      <c r="A332" t="s">
        <v>3296</v>
      </c>
      <c r="B332" t="s">
        <v>2931</v>
      </c>
      <c r="C332">
        <v>10050</v>
      </c>
      <c r="D332" t="str">
        <f t="shared" si="19"/>
        <v xml:space="preserve">699465      </v>
      </c>
      <c r="E332" t="s">
        <v>501</v>
      </c>
      <c r="F332" t="s">
        <v>502</v>
      </c>
      <c r="G332">
        <v>10.38</v>
      </c>
      <c r="H332">
        <v>250715</v>
      </c>
      <c r="I332">
        <v>4841</v>
      </c>
      <c r="J332" t="s">
        <v>9</v>
      </c>
      <c r="K332">
        <v>2432.38</v>
      </c>
      <c r="L332">
        <v>2.11</v>
      </c>
      <c r="M332">
        <v>49701</v>
      </c>
      <c r="N332" t="s">
        <v>111</v>
      </c>
      <c r="O332">
        <v>250811</v>
      </c>
      <c r="P332">
        <v>8.27</v>
      </c>
      <c r="Q332"/>
    </row>
    <row r="333" spans="1:17" s="1" customFormat="1" x14ac:dyDescent="0.25">
      <c r="A333" t="s">
        <v>3296</v>
      </c>
      <c r="B333" t="s">
        <v>2931</v>
      </c>
      <c r="C333">
        <v>10050</v>
      </c>
      <c r="D333" t="str">
        <f t="shared" si="19"/>
        <v xml:space="preserve">699465      </v>
      </c>
      <c r="E333" t="s">
        <v>501</v>
      </c>
      <c r="F333" t="s">
        <v>502</v>
      </c>
      <c r="G333">
        <v>122.3</v>
      </c>
      <c r="H333">
        <v>250715</v>
      </c>
      <c r="I333">
        <v>4841</v>
      </c>
      <c r="J333" t="s">
        <v>9</v>
      </c>
      <c r="K333">
        <v>2432.38</v>
      </c>
      <c r="L333">
        <v>24.85</v>
      </c>
      <c r="M333">
        <v>49702</v>
      </c>
      <c r="N333" t="s">
        <v>112</v>
      </c>
      <c r="O333">
        <v>250811</v>
      </c>
      <c r="P333">
        <v>97.45</v>
      </c>
      <c r="Q333"/>
    </row>
    <row r="334" spans="1:17" s="1" customFormat="1" x14ac:dyDescent="0.25">
      <c r="A334" t="s">
        <v>3296</v>
      </c>
      <c r="B334" t="s">
        <v>2931</v>
      </c>
      <c r="C334">
        <v>10050</v>
      </c>
      <c r="D334" t="str">
        <f t="shared" si="19"/>
        <v xml:space="preserve">699465      </v>
      </c>
      <c r="E334" t="s">
        <v>501</v>
      </c>
      <c r="F334" t="s">
        <v>502</v>
      </c>
      <c r="G334">
        <v>10.38</v>
      </c>
      <c r="H334">
        <v>250715</v>
      </c>
      <c r="I334">
        <v>4841</v>
      </c>
      <c r="J334" t="s">
        <v>9</v>
      </c>
      <c r="K334">
        <v>2432.38</v>
      </c>
      <c r="L334">
        <v>2.11</v>
      </c>
      <c r="M334">
        <v>49704</v>
      </c>
      <c r="N334" t="s">
        <v>113</v>
      </c>
      <c r="O334">
        <v>250811</v>
      </c>
      <c r="P334">
        <v>8.27</v>
      </c>
      <c r="Q334"/>
    </row>
    <row r="335" spans="1:17" s="1" customFormat="1" x14ac:dyDescent="0.25">
      <c r="A335" t="s">
        <v>3296</v>
      </c>
      <c r="B335" t="s">
        <v>2931</v>
      </c>
      <c r="C335">
        <v>10051</v>
      </c>
      <c r="D335" t="str">
        <f t="shared" ref="D335:D347" si="20">"699451      "</f>
        <v xml:space="preserve">699451      </v>
      </c>
      <c r="E335" t="s">
        <v>501</v>
      </c>
      <c r="F335" t="s">
        <v>502</v>
      </c>
      <c r="G335">
        <v>39.369999999999997</v>
      </c>
      <c r="H335">
        <v>250715</v>
      </c>
      <c r="I335">
        <v>4841</v>
      </c>
      <c r="J335" t="s">
        <v>9</v>
      </c>
      <c r="K335">
        <v>1038.2</v>
      </c>
      <c r="L335">
        <v>8</v>
      </c>
      <c r="M335">
        <v>11301</v>
      </c>
      <c r="N335" t="s">
        <v>92</v>
      </c>
      <c r="O335">
        <v>250811</v>
      </c>
      <c r="P335">
        <v>31.37</v>
      </c>
      <c r="Q335"/>
    </row>
    <row r="336" spans="1:17" s="1" customFormat="1" x14ac:dyDescent="0.25">
      <c r="A336" t="s">
        <v>3296</v>
      </c>
      <c r="B336" t="s">
        <v>2931</v>
      </c>
      <c r="C336">
        <v>10051</v>
      </c>
      <c r="D336" t="str">
        <f t="shared" si="20"/>
        <v xml:space="preserve">699451      </v>
      </c>
      <c r="E336" t="s">
        <v>501</v>
      </c>
      <c r="F336" t="s">
        <v>502</v>
      </c>
      <c r="G336">
        <v>2.0299999999999998</v>
      </c>
      <c r="H336">
        <v>250715</v>
      </c>
      <c r="I336">
        <v>4841</v>
      </c>
      <c r="J336" t="s">
        <v>9</v>
      </c>
      <c r="K336">
        <v>1038.2</v>
      </c>
      <c r="L336">
        <v>0.41</v>
      </c>
      <c r="M336">
        <v>11601</v>
      </c>
      <c r="N336" t="s">
        <v>12</v>
      </c>
      <c r="O336">
        <v>250811</v>
      </c>
      <c r="P336">
        <v>1.62</v>
      </c>
      <c r="Q336"/>
    </row>
    <row r="337" spans="1:17" s="1" customFormat="1" x14ac:dyDescent="0.25">
      <c r="A337" t="s">
        <v>3296</v>
      </c>
      <c r="B337" t="s">
        <v>2931</v>
      </c>
      <c r="C337">
        <v>10051</v>
      </c>
      <c r="D337" t="str">
        <f t="shared" si="20"/>
        <v xml:space="preserve">699451      </v>
      </c>
      <c r="E337" t="s">
        <v>501</v>
      </c>
      <c r="F337" t="s">
        <v>502</v>
      </c>
      <c r="G337">
        <v>21.16</v>
      </c>
      <c r="H337">
        <v>250715</v>
      </c>
      <c r="I337">
        <v>4841</v>
      </c>
      <c r="J337" t="s">
        <v>9</v>
      </c>
      <c r="K337">
        <v>1038.2</v>
      </c>
      <c r="L337">
        <v>4.3</v>
      </c>
      <c r="M337">
        <v>14121</v>
      </c>
      <c r="N337" t="s">
        <v>71</v>
      </c>
      <c r="O337">
        <v>250811</v>
      </c>
      <c r="P337">
        <v>16.86</v>
      </c>
      <c r="Q337"/>
    </row>
    <row r="338" spans="1:17" s="1" customFormat="1" x14ac:dyDescent="0.25">
      <c r="A338" t="s">
        <v>3296</v>
      </c>
      <c r="B338" t="s">
        <v>2931</v>
      </c>
      <c r="C338">
        <v>10051</v>
      </c>
      <c r="D338" t="str">
        <f t="shared" si="20"/>
        <v xml:space="preserve">699451      </v>
      </c>
      <c r="E338" t="s">
        <v>501</v>
      </c>
      <c r="F338" t="s">
        <v>502</v>
      </c>
      <c r="G338">
        <v>334.31</v>
      </c>
      <c r="H338">
        <v>250715</v>
      </c>
      <c r="I338">
        <v>4841</v>
      </c>
      <c r="J338" t="s">
        <v>9</v>
      </c>
      <c r="K338">
        <v>1038.2</v>
      </c>
      <c r="L338">
        <v>67.930000000000007</v>
      </c>
      <c r="M338">
        <v>14121</v>
      </c>
      <c r="N338" t="s">
        <v>71</v>
      </c>
      <c r="O338">
        <v>250811</v>
      </c>
      <c r="P338">
        <v>266.38</v>
      </c>
      <c r="Q338"/>
    </row>
    <row r="339" spans="1:17" s="1" customFormat="1" x14ac:dyDescent="0.25">
      <c r="A339" t="s">
        <v>3296</v>
      </c>
      <c r="B339" t="s">
        <v>2931</v>
      </c>
      <c r="C339">
        <v>10051</v>
      </c>
      <c r="D339" t="str">
        <f t="shared" si="20"/>
        <v xml:space="preserve">699451      </v>
      </c>
      <c r="E339" t="s">
        <v>501</v>
      </c>
      <c r="F339" t="s">
        <v>502</v>
      </c>
      <c r="G339">
        <v>47.14</v>
      </c>
      <c r="H339">
        <v>250715</v>
      </c>
      <c r="I339">
        <v>4841</v>
      </c>
      <c r="J339" t="s">
        <v>9</v>
      </c>
      <c r="K339">
        <v>1038.2</v>
      </c>
      <c r="L339">
        <v>9.58</v>
      </c>
      <c r="M339">
        <v>14321</v>
      </c>
      <c r="N339" t="s">
        <v>72</v>
      </c>
      <c r="O339">
        <v>250811</v>
      </c>
      <c r="P339">
        <v>37.56</v>
      </c>
      <c r="Q339"/>
    </row>
    <row r="340" spans="1:17" s="1" customFormat="1" x14ac:dyDescent="0.25">
      <c r="A340" t="s">
        <v>3296</v>
      </c>
      <c r="B340" t="s">
        <v>2931</v>
      </c>
      <c r="C340">
        <v>10051</v>
      </c>
      <c r="D340" t="str">
        <f t="shared" si="20"/>
        <v xml:space="preserve">699451      </v>
      </c>
      <c r="E340" t="s">
        <v>501</v>
      </c>
      <c r="F340" t="s">
        <v>502</v>
      </c>
      <c r="G340">
        <v>151.52000000000001</v>
      </c>
      <c r="H340">
        <v>250715</v>
      </c>
      <c r="I340">
        <v>4841</v>
      </c>
      <c r="J340" t="s">
        <v>9</v>
      </c>
      <c r="K340">
        <v>1038.2</v>
      </c>
      <c r="L340">
        <v>30.79</v>
      </c>
      <c r="M340">
        <v>14321</v>
      </c>
      <c r="N340" t="s">
        <v>72</v>
      </c>
      <c r="O340">
        <v>250811</v>
      </c>
      <c r="P340">
        <v>120.73</v>
      </c>
      <c r="Q340"/>
    </row>
    <row r="341" spans="1:17" s="1" customFormat="1" x14ac:dyDescent="0.25">
      <c r="A341" t="s">
        <v>3296</v>
      </c>
      <c r="B341" t="s">
        <v>2931</v>
      </c>
      <c r="C341">
        <v>10051</v>
      </c>
      <c r="D341" t="str">
        <f t="shared" si="20"/>
        <v xml:space="preserve">699451      </v>
      </c>
      <c r="E341" t="s">
        <v>501</v>
      </c>
      <c r="F341" t="s">
        <v>502</v>
      </c>
      <c r="G341">
        <v>12.08</v>
      </c>
      <c r="H341">
        <v>250715</v>
      </c>
      <c r="I341">
        <v>4841</v>
      </c>
      <c r="J341" t="s">
        <v>9</v>
      </c>
      <c r="K341">
        <v>1038.2</v>
      </c>
      <c r="L341">
        <v>2.4500000000000002</v>
      </c>
      <c r="M341">
        <v>14422</v>
      </c>
      <c r="N341" t="s">
        <v>73</v>
      </c>
      <c r="O341">
        <v>250811</v>
      </c>
      <c r="P341">
        <v>9.6300000000000008</v>
      </c>
      <c r="Q341"/>
    </row>
    <row r="342" spans="1:17" s="1" customFormat="1" x14ac:dyDescent="0.25">
      <c r="A342" t="s">
        <v>3296</v>
      </c>
      <c r="B342" t="s">
        <v>2931</v>
      </c>
      <c r="C342">
        <v>10051</v>
      </c>
      <c r="D342" t="str">
        <f t="shared" si="20"/>
        <v xml:space="preserve">699451      </v>
      </c>
      <c r="E342" t="s">
        <v>501</v>
      </c>
      <c r="F342" t="s">
        <v>502</v>
      </c>
      <c r="G342">
        <v>13.48</v>
      </c>
      <c r="H342">
        <v>250715</v>
      </c>
      <c r="I342">
        <v>4841</v>
      </c>
      <c r="J342" t="s">
        <v>9</v>
      </c>
      <c r="K342">
        <v>1038.2</v>
      </c>
      <c r="L342">
        <v>2.74</v>
      </c>
      <c r="M342">
        <v>14432</v>
      </c>
      <c r="N342" t="s">
        <v>75</v>
      </c>
      <c r="O342">
        <v>250811</v>
      </c>
      <c r="P342">
        <v>10.74</v>
      </c>
      <c r="Q342"/>
    </row>
    <row r="343" spans="1:17" s="1" customFormat="1" x14ac:dyDescent="0.25">
      <c r="A343" t="s">
        <v>3296</v>
      </c>
      <c r="B343" t="s">
        <v>2931</v>
      </c>
      <c r="C343">
        <v>10051</v>
      </c>
      <c r="D343" t="str">
        <f t="shared" si="20"/>
        <v xml:space="preserve">699451      </v>
      </c>
      <c r="E343" t="s">
        <v>501</v>
      </c>
      <c r="F343" t="s">
        <v>502</v>
      </c>
      <c r="G343">
        <v>45.72</v>
      </c>
      <c r="H343">
        <v>250715</v>
      </c>
      <c r="I343">
        <v>4841</v>
      </c>
      <c r="J343" t="s">
        <v>9</v>
      </c>
      <c r="K343">
        <v>1038.2</v>
      </c>
      <c r="L343">
        <v>9.2899999999999991</v>
      </c>
      <c r="M343">
        <v>14622</v>
      </c>
      <c r="N343" t="s">
        <v>77</v>
      </c>
      <c r="O343">
        <v>250811</v>
      </c>
      <c r="P343">
        <v>36.43</v>
      </c>
      <c r="Q343"/>
    </row>
    <row r="344" spans="1:17" s="1" customFormat="1" x14ac:dyDescent="0.25">
      <c r="A344" t="s">
        <v>3296</v>
      </c>
      <c r="B344" t="s">
        <v>2931</v>
      </c>
      <c r="C344">
        <v>10051</v>
      </c>
      <c r="D344" t="str">
        <f t="shared" si="20"/>
        <v xml:space="preserve">699451      </v>
      </c>
      <c r="E344" t="s">
        <v>501</v>
      </c>
      <c r="F344" t="s">
        <v>502</v>
      </c>
      <c r="G344">
        <v>10.58</v>
      </c>
      <c r="H344">
        <v>250715</v>
      </c>
      <c r="I344">
        <v>4841</v>
      </c>
      <c r="J344" t="s">
        <v>9</v>
      </c>
      <c r="K344">
        <v>1038.2</v>
      </c>
      <c r="L344">
        <v>2.15</v>
      </c>
      <c r="M344">
        <v>14912</v>
      </c>
      <c r="N344" t="s">
        <v>80</v>
      </c>
      <c r="O344">
        <v>250811</v>
      </c>
      <c r="P344">
        <v>8.43</v>
      </c>
      <c r="Q344"/>
    </row>
    <row r="345" spans="1:17" s="1" customFormat="1" x14ac:dyDescent="0.25">
      <c r="A345" t="s">
        <v>3296</v>
      </c>
      <c r="B345" t="s">
        <v>2931</v>
      </c>
      <c r="C345">
        <v>10051</v>
      </c>
      <c r="D345" t="str">
        <f t="shared" si="20"/>
        <v xml:space="preserve">699451      </v>
      </c>
      <c r="E345" t="s">
        <v>501</v>
      </c>
      <c r="F345" t="s">
        <v>502</v>
      </c>
      <c r="G345">
        <v>325.89</v>
      </c>
      <c r="H345">
        <v>250715</v>
      </c>
      <c r="I345">
        <v>4841</v>
      </c>
      <c r="J345" t="s">
        <v>9</v>
      </c>
      <c r="K345">
        <v>1038.2</v>
      </c>
      <c r="L345">
        <v>66.22</v>
      </c>
      <c r="M345">
        <v>14972</v>
      </c>
      <c r="N345" t="s">
        <v>82</v>
      </c>
      <c r="O345">
        <v>250811</v>
      </c>
      <c r="P345">
        <v>259.67</v>
      </c>
      <c r="Q345"/>
    </row>
    <row r="346" spans="1:17" s="1" customFormat="1" x14ac:dyDescent="0.25">
      <c r="A346" t="s">
        <v>3296</v>
      </c>
      <c r="B346" t="s">
        <v>2931</v>
      </c>
      <c r="C346">
        <v>10051</v>
      </c>
      <c r="D346" t="str">
        <f t="shared" si="20"/>
        <v xml:space="preserve">699451      </v>
      </c>
      <c r="E346" t="s">
        <v>501</v>
      </c>
      <c r="F346" t="s">
        <v>502</v>
      </c>
      <c r="G346">
        <v>10.38</v>
      </c>
      <c r="H346">
        <v>250715</v>
      </c>
      <c r="I346">
        <v>4841</v>
      </c>
      <c r="J346" t="s">
        <v>9</v>
      </c>
      <c r="K346">
        <v>1038.2</v>
      </c>
      <c r="L346">
        <v>2.11</v>
      </c>
      <c r="M346">
        <v>14974</v>
      </c>
      <c r="N346" t="s">
        <v>83</v>
      </c>
      <c r="O346">
        <v>250811</v>
      </c>
      <c r="P346">
        <v>8.27</v>
      </c>
      <c r="Q346"/>
    </row>
    <row r="347" spans="1:17" s="1" customFormat="1" x14ac:dyDescent="0.25">
      <c r="A347" t="s">
        <v>3296</v>
      </c>
      <c r="B347" t="s">
        <v>2931</v>
      </c>
      <c r="C347">
        <v>10051</v>
      </c>
      <c r="D347" t="str">
        <f t="shared" si="20"/>
        <v xml:space="preserve">699451      </v>
      </c>
      <c r="E347" t="s">
        <v>501</v>
      </c>
      <c r="F347" t="s">
        <v>502</v>
      </c>
      <c r="G347">
        <v>24.54</v>
      </c>
      <c r="H347">
        <v>250715</v>
      </c>
      <c r="I347">
        <v>4841</v>
      </c>
      <c r="J347" t="s">
        <v>9</v>
      </c>
      <c r="K347">
        <v>1038.2</v>
      </c>
      <c r="L347">
        <v>4.99</v>
      </c>
      <c r="M347">
        <v>18972</v>
      </c>
      <c r="N347" t="s">
        <v>39</v>
      </c>
      <c r="O347">
        <v>250811</v>
      </c>
      <c r="P347">
        <v>19.55</v>
      </c>
      <c r="Q347"/>
    </row>
    <row r="348" spans="1:17" s="1" customFormat="1" x14ac:dyDescent="0.25">
      <c r="A348" t="s">
        <v>3296</v>
      </c>
      <c r="B348" t="s">
        <v>2931</v>
      </c>
      <c r="C348">
        <v>10074</v>
      </c>
      <c r="D348" t="str">
        <f t="shared" ref="D348:D367" si="21">"699463      "</f>
        <v xml:space="preserve">699463      </v>
      </c>
      <c r="E348" t="s">
        <v>501</v>
      </c>
      <c r="F348" t="s">
        <v>502</v>
      </c>
      <c r="G348">
        <v>55.12</v>
      </c>
      <c r="H348">
        <v>250715</v>
      </c>
      <c r="I348">
        <v>4841</v>
      </c>
      <c r="J348" t="s">
        <v>9</v>
      </c>
      <c r="K348">
        <v>1243.24</v>
      </c>
      <c r="L348">
        <v>11.2</v>
      </c>
      <c r="M348">
        <v>16121</v>
      </c>
      <c r="N348" t="s">
        <v>127</v>
      </c>
      <c r="O348">
        <v>250811</v>
      </c>
      <c r="P348">
        <v>43.92</v>
      </c>
      <c r="Q348"/>
    </row>
    <row r="349" spans="1:17" s="1" customFormat="1" x14ac:dyDescent="0.25">
      <c r="A349" t="s">
        <v>3296</v>
      </c>
      <c r="B349" t="s">
        <v>2931</v>
      </c>
      <c r="C349">
        <v>10074</v>
      </c>
      <c r="D349" t="str">
        <f t="shared" si="21"/>
        <v xml:space="preserve">699463      </v>
      </c>
      <c r="E349" t="s">
        <v>501</v>
      </c>
      <c r="F349" t="s">
        <v>502</v>
      </c>
      <c r="G349">
        <v>68.72</v>
      </c>
      <c r="H349">
        <v>250715</v>
      </c>
      <c r="I349">
        <v>4841</v>
      </c>
      <c r="J349" t="s">
        <v>9</v>
      </c>
      <c r="K349">
        <v>1243.24</v>
      </c>
      <c r="L349">
        <v>13.96</v>
      </c>
      <c r="M349">
        <v>17521</v>
      </c>
      <c r="N349" t="s">
        <v>136</v>
      </c>
      <c r="O349">
        <v>250811</v>
      </c>
      <c r="P349">
        <v>54.76</v>
      </c>
      <c r="Q349"/>
    </row>
    <row r="350" spans="1:17" s="1" customFormat="1" x14ac:dyDescent="0.25">
      <c r="A350" t="s">
        <v>3296</v>
      </c>
      <c r="B350" t="s">
        <v>2931</v>
      </c>
      <c r="C350">
        <v>10074</v>
      </c>
      <c r="D350" t="str">
        <f t="shared" si="21"/>
        <v xml:space="preserve">699463      </v>
      </c>
      <c r="E350" t="s">
        <v>501</v>
      </c>
      <c r="F350" t="s">
        <v>502</v>
      </c>
      <c r="G350">
        <v>27.36</v>
      </c>
      <c r="H350">
        <v>250715</v>
      </c>
      <c r="I350">
        <v>4841</v>
      </c>
      <c r="J350" t="s">
        <v>9</v>
      </c>
      <c r="K350">
        <v>1243.24</v>
      </c>
      <c r="L350">
        <v>5.56</v>
      </c>
      <c r="M350">
        <v>17522</v>
      </c>
      <c r="N350" t="s">
        <v>137</v>
      </c>
      <c r="O350">
        <v>250811</v>
      </c>
      <c r="P350">
        <v>21.8</v>
      </c>
      <c r="Q350"/>
    </row>
    <row r="351" spans="1:17" s="1" customFormat="1" x14ac:dyDescent="0.25">
      <c r="A351" t="s">
        <v>3296</v>
      </c>
      <c r="B351" t="s">
        <v>2931</v>
      </c>
      <c r="C351">
        <v>10074</v>
      </c>
      <c r="D351" t="str">
        <f t="shared" si="21"/>
        <v xml:space="preserve">699463      </v>
      </c>
      <c r="E351" t="s">
        <v>501</v>
      </c>
      <c r="F351" t="s">
        <v>502</v>
      </c>
      <c r="G351">
        <v>32.79</v>
      </c>
      <c r="H351">
        <v>250715</v>
      </c>
      <c r="I351">
        <v>4841</v>
      </c>
      <c r="J351" t="s">
        <v>9</v>
      </c>
      <c r="K351">
        <v>1243.24</v>
      </c>
      <c r="L351">
        <v>6.66</v>
      </c>
      <c r="M351">
        <v>17523</v>
      </c>
      <c r="N351" t="s">
        <v>138</v>
      </c>
      <c r="O351">
        <v>250811</v>
      </c>
      <c r="P351">
        <v>26.13</v>
      </c>
      <c r="Q351"/>
    </row>
    <row r="352" spans="1:17" s="1" customFormat="1" x14ac:dyDescent="0.25">
      <c r="A352" t="s">
        <v>3296</v>
      </c>
      <c r="B352" t="s">
        <v>2931</v>
      </c>
      <c r="C352">
        <v>10074</v>
      </c>
      <c r="D352" t="str">
        <f t="shared" si="21"/>
        <v xml:space="preserve">699463      </v>
      </c>
      <c r="E352" t="s">
        <v>501</v>
      </c>
      <c r="F352" t="s">
        <v>502</v>
      </c>
      <c r="G352">
        <v>69.75</v>
      </c>
      <c r="H352">
        <v>250715</v>
      </c>
      <c r="I352">
        <v>4841</v>
      </c>
      <c r="J352" t="s">
        <v>9</v>
      </c>
      <c r="K352">
        <v>1243.24</v>
      </c>
      <c r="L352">
        <v>14.17</v>
      </c>
      <c r="M352">
        <v>17524</v>
      </c>
      <c r="N352" t="s">
        <v>139</v>
      </c>
      <c r="O352">
        <v>250811</v>
      </c>
      <c r="P352">
        <v>55.58</v>
      </c>
      <c r="Q352"/>
    </row>
    <row r="353" spans="1:17" s="1" customFormat="1" x14ac:dyDescent="0.25">
      <c r="A353" t="s">
        <v>3296</v>
      </c>
      <c r="B353" t="s">
        <v>2931</v>
      </c>
      <c r="C353">
        <v>10074</v>
      </c>
      <c r="D353" t="str">
        <f t="shared" si="21"/>
        <v xml:space="preserve">699463      </v>
      </c>
      <c r="E353" t="s">
        <v>501</v>
      </c>
      <c r="F353" t="s">
        <v>502</v>
      </c>
      <c r="G353">
        <v>19.559999999999999</v>
      </c>
      <c r="H353">
        <v>250715</v>
      </c>
      <c r="I353">
        <v>4841</v>
      </c>
      <c r="J353" t="s">
        <v>9</v>
      </c>
      <c r="K353">
        <v>1243.24</v>
      </c>
      <c r="L353">
        <v>3.97</v>
      </c>
      <c r="M353">
        <v>17526</v>
      </c>
      <c r="N353" t="s">
        <v>141</v>
      </c>
      <c r="O353">
        <v>250811</v>
      </c>
      <c r="P353">
        <v>15.59</v>
      </c>
      <c r="Q353"/>
    </row>
    <row r="354" spans="1:17" s="1" customFormat="1" x14ac:dyDescent="0.25">
      <c r="A354" t="s">
        <v>3296</v>
      </c>
      <c r="B354" t="s">
        <v>2931</v>
      </c>
      <c r="C354">
        <v>10074</v>
      </c>
      <c r="D354" t="str">
        <f t="shared" si="21"/>
        <v xml:space="preserve">699463      </v>
      </c>
      <c r="E354" t="s">
        <v>501</v>
      </c>
      <c r="F354" t="s">
        <v>502</v>
      </c>
      <c r="G354">
        <v>45.63</v>
      </c>
      <c r="H354">
        <v>250715</v>
      </c>
      <c r="I354">
        <v>4841</v>
      </c>
      <c r="J354" t="s">
        <v>9</v>
      </c>
      <c r="K354">
        <v>1243.24</v>
      </c>
      <c r="L354">
        <v>9.27</v>
      </c>
      <c r="M354">
        <v>17527</v>
      </c>
      <c r="N354" t="s">
        <v>142</v>
      </c>
      <c r="O354">
        <v>250811</v>
      </c>
      <c r="P354">
        <v>36.36</v>
      </c>
      <c r="Q354"/>
    </row>
    <row r="355" spans="1:17" s="1" customFormat="1" x14ac:dyDescent="0.25">
      <c r="A355" t="s">
        <v>3296</v>
      </c>
      <c r="B355" t="s">
        <v>2931</v>
      </c>
      <c r="C355">
        <v>10074</v>
      </c>
      <c r="D355" t="str">
        <f t="shared" si="21"/>
        <v xml:space="preserve">699463      </v>
      </c>
      <c r="E355" t="s">
        <v>501</v>
      </c>
      <c r="F355" t="s">
        <v>502</v>
      </c>
      <c r="G355">
        <v>19.57</v>
      </c>
      <c r="H355">
        <v>250715</v>
      </c>
      <c r="I355">
        <v>4841</v>
      </c>
      <c r="J355" t="s">
        <v>9</v>
      </c>
      <c r="K355">
        <v>1243.24</v>
      </c>
      <c r="L355">
        <v>3.98</v>
      </c>
      <c r="M355">
        <v>17529</v>
      </c>
      <c r="N355" t="s">
        <v>143</v>
      </c>
      <c r="O355">
        <v>250811</v>
      </c>
      <c r="P355">
        <v>15.59</v>
      </c>
      <c r="Q355"/>
    </row>
    <row r="356" spans="1:17" s="1" customFormat="1" x14ac:dyDescent="0.25">
      <c r="A356" t="s">
        <v>3296</v>
      </c>
      <c r="B356" t="s">
        <v>2931</v>
      </c>
      <c r="C356">
        <v>10074</v>
      </c>
      <c r="D356" t="str">
        <f t="shared" si="21"/>
        <v xml:space="preserve">699463      </v>
      </c>
      <c r="E356" t="s">
        <v>501</v>
      </c>
      <c r="F356" t="s">
        <v>502</v>
      </c>
      <c r="G356">
        <v>62.88</v>
      </c>
      <c r="H356">
        <v>250715</v>
      </c>
      <c r="I356">
        <v>4841</v>
      </c>
      <c r="J356" t="s">
        <v>9</v>
      </c>
      <c r="K356">
        <v>1243.24</v>
      </c>
      <c r="L356">
        <v>12.78</v>
      </c>
      <c r="M356">
        <v>17530</v>
      </c>
      <c r="N356" t="s">
        <v>144</v>
      </c>
      <c r="O356">
        <v>250811</v>
      </c>
      <c r="P356">
        <v>50.1</v>
      </c>
      <c r="Q356"/>
    </row>
    <row r="357" spans="1:17" s="1" customFormat="1" x14ac:dyDescent="0.25">
      <c r="A357" t="s">
        <v>3296</v>
      </c>
      <c r="B357" t="s">
        <v>2931</v>
      </c>
      <c r="C357">
        <v>10074</v>
      </c>
      <c r="D357" t="str">
        <f t="shared" si="21"/>
        <v xml:space="preserve">699463      </v>
      </c>
      <c r="E357" t="s">
        <v>501</v>
      </c>
      <c r="F357" t="s">
        <v>502</v>
      </c>
      <c r="G357">
        <v>26.36</v>
      </c>
      <c r="H357">
        <v>250715</v>
      </c>
      <c r="I357">
        <v>4841</v>
      </c>
      <c r="J357" t="s">
        <v>9</v>
      </c>
      <c r="K357">
        <v>1243.24</v>
      </c>
      <c r="L357">
        <v>5.36</v>
      </c>
      <c r="M357">
        <v>17531</v>
      </c>
      <c r="N357" t="s">
        <v>145</v>
      </c>
      <c r="O357">
        <v>250811</v>
      </c>
      <c r="P357">
        <v>21</v>
      </c>
      <c r="Q357"/>
    </row>
    <row r="358" spans="1:17" s="1" customFormat="1" x14ac:dyDescent="0.25">
      <c r="A358" t="s">
        <v>3296</v>
      </c>
      <c r="B358" t="s">
        <v>2931</v>
      </c>
      <c r="C358">
        <v>10074</v>
      </c>
      <c r="D358" t="str">
        <f t="shared" si="21"/>
        <v xml:space="preserve">699463      </v>
      </c>
      <c r="E358" t="s">
        <v>501</v>
      </c>
      <c r="F358" t="s">
        <v>502</v>
      </c>
      <c r="G358">
        <v>23.34</v>
      </c>
      <c r="H358">
        <v>250715</v>
      </c>
      <c r="I358">
        <v>4841</v>
      </c>
      <c r="J358" t="s">
        <v>9</v>
      </c>
      <c r="K358">
        <v>1243.24</v>
      </c>
      <c r="L358">
        <v>4.74</v>
      </c>
      <c r="M358">
        <v>17532</v>
      </c>
      <c r="N358" t="s">
        <v>146</v>
      </c>
      <c r="O358">
        <v>250811</v>
      </c>
      <c r="P358">
        <v>18.600000000000001</v>
      </c>
      <c r="Q358"/>
    </row>
    <row r="359" spans="1:17" s="1" customFormat="1" x14ac:dyDescent="0.25">
      <c r="A359" t="s">
        <v>3296</v>
      </c>
      <c r="B359" t="s">
        <v>2931</v>
      </c>
      <c r="C359">
        <v>10074</v>
      </c>
      <c r="D359" t="str">
        <f t="shared" si="21"/>
        <v xml:space="preserve">699463      </v>
      </c>
      <c r="E359" t="s">
        <v>501</v>
      </c>
      <c r="F359" t="s">
        <v>502</v>
      </c>
      <c r="G359">
        <v>45.92</v>
      </c>
      <c r="H359">
        <v>250715</v>
      </c>
      <c r="I359">
        <v>4841</v>
      </c>
      <c r="J359" t="s">
        <v>9</v>
      </c>
      <c r="K359">
        <v>1243.24</v>
      </c>
      <c r="L359">
        <v>9.33</v>
      </c>
      <c r="M359">
        <v>17533</v>
      </c>
      <c r="N359" t="s">
        <v>147</v>
      </c>
      <c r="O359">
        <v>250811</v>
      </c>
      <c r="P359">
        <v>36.590000000000003</v>
      </c>
      <c r="Q359"/>
    </row>
    <row r="360" spans="1:17" s="1" customFormat="1" x14ac:dyDescent="0.25">
      <c r="A360" t="s">
        <v>3296</v>
      </c>
      <c r="B360" t="s">
        <v>2931</v>
      </c>
      <c r="C360">
        <v>10074</v>
      </c>
      <c r="D360" t="str">
        <f t="shared" si="21"/>
        <v xml:space="preserve">699463      </v>
      </c>
      <c r="E360" t="s">
        <v>501</v>
      </c>
      <c r="F360" t="s">
        <v>502</v>
      </c>
      <c r="G360">
        <v>28.25</v>
      </c>
      <c r="H360">
        <v>250715</v>
      </c>
      <c r="I360">
        <v>4841</v>
      </c>
      <c r="J360" t="s">
        <v>9</v>
      </c>
      <c r="K360">
        <v>1243.24</v>
      </c>
      <c r="L360">
        <v>5.74</v>
      </c>
      <c r="M360">
        <v>17535</v>
      </c>
      <c r="N360" t="s">
        <v>149</v>
      </c>
      <c r="O360">
        <v>250811</v>
      </c>
      <c r="P360">
        <v>22.51</v>
      </c>
      <c r="Q360"/>
    </row>
    <row r="361" spans="1:17" s="1" customFormat="1" x14ac:dyDescent="0.25">
      <c r="A361" t="s">
        <v>3296</v>
      </c>
      <c r="B361" t="s">
        <v>2931</v>
      </c>
      <c r="C361">
        <v>10074</v>
      </c>
      <c r="D361" t="str">
        <f t="shared" si="21"/>
        <v xml:space="preserve">699463      </v>
      </c>
      <c r="E361" t="s">
        <v>501</v>
      </c>
      <c r="F361" t="s">
        <v>502</v>
      </c>
      <c r="G361">
        <v>10.49</v>
      </c>
      <c r="H361">
        <v>250715</v>
      </c>
      <c r="I361">
        <v>4841</v>
      </c>
      <c r="J361" t="s">
        <v>9</v>
      </c>
      <c r="K361">
        <v>1243.24</v>
      </c>
      <c r="L361">
        <v>2.13</v>
      </c>
      <c r="M361">
        <v>17536</v>
      </c>
      <c r="N361" t="s">
        <v>150</v>
      </c>
      <c r="O361">
        <v>250811</v>
      </c>
      <c r="P361">
        <v>8.36</v>
      </c>
      <c r="Q361"/>
    </row>
    <row r="362" spans="1:17" s="1" customFormat="1" x14ac:dyDescent="0.25">
      <c r="A362" t="s">
        <v>3296</v>
      </c>
      <c r="B362" t="s">
        <v>2931</v>
      </c>
      <c r="C362">
        <v>10074</v>
      </c>
      <c r="D362" t="str">
        <f t="shared" si="21"/>
        <v xml:space="preserve">699463      </v>
      </c>
      <c r="E362" t="s">
        <v>501</v>
      </c>
      <c r="F362" t="s">
        <v>502</v>
      </c>
      <c r="G362">
        <v>4.0599999999999996</v>
      </c>
      <c r="H362">
        <v>250715</v>
      </c>
      <c r="I362">
        <v>4841</v>
      </c>
      <c r="J362" t="s">
        <v>9</v>
      </c>
      <c r="K362">
        <v>1243.24</v>
      </c>
      <c r="L362">
        <v>0.82</v>
      </c>
      <c r="M362">
        <v>17537</v>
      </c>
      <c r="N362" t="s">
        <v>151</v>
      </c>
      <c r="O362">
        <v>250811</v>
      </c>
      <c r="P362">
        <v>3.24</v>
      </c>
      <c r="Q362"/>
    </row>
    <row r="363" spans="1:17" s="2" customFormat="1" x14ac:dyDescent="0.25">
      <c r="A363" t="s">
        <v>3296</v>
      </c>
      <c r="B363" t="s">
        <v>2931</v>
      </c>
      <c r="C363">
        <v>10074</v>
      </c>
      <c r="D363" t="str">
        <f t="shared" si="21"/>
        <v xml:space="preserve">699463      </v>
      </c>
      <c r="E363" t="s">
        <v>501</v>
      </c>
      <c r="F363" t="s">
        <v>502</v>
      </c>
      <c r="G363">
        <v>293.42</v>
      </c>
      <c r="H363">
        <v>250715</v>
      </c>
      <c r="I363">
        <v>4841</v>
      </c>
      <c r="J363" t="s">
        <v>9</v>
      </c>
      <c r="K363">
        <v>1243.24</v>
      </c>
      <c r="L363">
        <v>59.62</v>
      </c>
      <c r="M363">
        <v>17537</v>
      </c>
      <c r="N363" t="s">
        <v>151</v>
      </c>
      <c r="O363">
        <v>250811</v>
      </c>
      <c r="P363">
        <v>233.8</v>
      </c>
      <c r="Q363"/>
    </row>
    <row r="364" spans="1:17" s="2" customFormat="1" x14ac:dyDescent="0.25">
      <c r="A364" t="s">
        <v>3296</v>
      </c>
      <c r="B364" t="s">
        <v>2931</v>
      </c>
      <c r="C364">
        <v>10074</v>
      </c>
      <c r="D364" t="str">
        <f t="shared" si="21"/>
        <v xml:space="preserve">699463      </v>
      </c>
      <c r="E364" t="s">
        <v>501</v>
      </c>
      <c r="F364" t="s">
        <v>502</v>
      </c>
      <c r="G364">
        <v>234.79</v>
      </c>
      <c r="H364">
        <v>250715</v>
      </c>
      <c r="I364">
        <v>4841</v>
      </c>
      <c r="J364" t="s">
        <v>9</v>
      </c>
      <c r="K364">
        <v>1243.24</v>
      </c>
      <c r="L364">
        <v>47.71</v>
      </c>
      <c r="M364">
        <v>17538</v>
      </c>
      <c r="N364" t="s">
        <v>129</v>
      </c>
      <c r="O364">
        <v>250811</v>
      </c>
      <c r="P364">
        <v>187.08</v>
      </c>
      <c r="Q364"/>
    </row>
    <row r="365" spans="1:17" s="2" customFormat="1" x14ac:dyDescent="0.25">
      <c r="A365" t="s">
        <v>3296</v>
      </c>
      <c r="B365" t="s">
        <v>2931</v>
      </c>
      <c r="C365">
        <v>10074</v>
      </c>
      <c r="D365" t="str">
        <f t="shared" si="21"/>
        <v xml:space="preserve">699463      </v>
      </c>
      <c r="E365" t="s">
        <v>501</v>
      </c>
      <c r="F365" t="s">
        <v>502</v>
      </c>
      <c r="G365">
        <v>37.47</v>
      </c>
      <c r="H365">
        <v>250715</v>
      </c>
      <c r="I365">
        <v>4841</v>
      </c>
      <c r="J365" t="s">
        <v>9</v>
      </c>
      <c r="K365">
        <v>1243.24</v>
      </c>
      <c r="L365">
        <v>7.61</v>
      </c>
      <c r="M365">
        <v>17950</v>
      </c>
      <c r="N365" t="s">
        <v>132</v>
      </c>
      <c r="O365">
        <v>250811</v>
      </c>
      <c r="P365">
        <v>29.86</v>
      </c>
      <c r="Q365"/>
    </row>
    <row r="366" spans="1:17" s="2" customFormat="1" x14ac:dyDescent="0.25">
      <c r="A366" t="s">
        <v>3296</v>
      </c>
      <c r="B366" t="s">
        <v>2931</v>
      </c>
      <c r="C366">
        <v>10074</v>
      </c>
      <c r="D366" t="str">
        <f t="shared" si="21"/>
        <v xml:space="preserve">699463      </v>
      </c>
      <c r="E366" t="s">
        <v>501</v>
      </c>
      <c r="F366" t="s">
        <v>502</v>
      </c>
      <c r="G366">
        <v>109.02</v>
      </c>
      <c r="H366">
        <v>250715</v>
      </c>
      <c r="I366">
        <v>4841</v>
      </c>
      <c r="J366" t="s">
        <v>9</v>
      </c>
      <c r="K366">
        <v>1243.24</v>
      </c>
      <c r="L366">
        <v>22.15</v>
      </c>
      <c r="M366">
        <v>17971</v>
      </c>
      <c r="N366" t="s">
        <v>27</v>
      </c>
      <c r="O366">
        <v>250811</v>
      </c>
      <c r="P366">
        <v>86.87</v>
      </c>
      <c r="Q366"/>
    </row>
    <row r="367" spans="1:17" s="1" customFormat="1" x14ac:dyDescent="0.25">
      <c r="A367" t="s">
        <v>3296</v>
      </c>
      <c r="B367" t="s">
        <v>2931</v>
      </c>
      <c r="C367">
        <v>10074</v>
      </c>
      <c r="D367" t="str">
        <f t="shared" si="21"/>
        <v xml:space="preserve">699463      </v>
      </c>
      <c r="E367" t="s">
        <v>501</v>
      </c>
      <c r="F367" t="s">
        <v>502</v>
      </c>
      <c r="G367">
        <v>28.74</v>
      </c>
      <c r="H367">
        <v>250715</v>
      </c>
      <c r="I367">
        <v>4841</v>
      </c>
      <c r="J367" t="s">
        <v>9</v>
      </c>
      <c r="K367">
        <v>1243.24</v>
      </c>
      <c r="L367">
        <v>5.84</v>
      </c>
      <c r="M367">
        <v>17975</v>
      </c>
      <c r="N367" t="s">
        <v>29</v>
      </c>
      <c r="O367">
        <v>250811</v>
      </c>
      <c r="P367">
        <v>22.9</v>
      </c>
      <c r="Q367"/>
    </row>
    <row r="368" spans="1:17" s="1" customFormat="1" x14ac:dyDescent="0.25">
      <c r="A368" t="s">
        <v>3296</v>
      </c>
      <c r="B368" t="s">
        <v>2931</v>
      </c>
      <c r="C368">
        <v>13923</v>
      </c>
      <c r="D368" t="str">
        <f>"706363      "</f>
        <v xml:space="preserve">706363      </v>
      </c>
      <c r="E368" t="s">
        <v>501</v>
      </c>
      <c r="F368" t="s">
        <v>502</v>
      </c>
      <c r="G368">
        <v>557.4</v>
      </c>
      <c r="H368">
        <v>251017</v>
      </c>
      <c r="I368">
        <v>4841</v>
      </c>
      <c r="J368" t="s">
        <v>9</v>
      </c>
      <c r="K368">
        <v>557.4</v>
      </c>
      <c r="L368">
        <v>113.26</v>
      </c>
      <c r="M368">
        <v>13501</v>
      </c>
      <c r="N368" t="s">
        <v>66</v>
      </c>
      <c r="O368">
        <v>251020</v>
      </c>
      <c r="P368">
        <v>444.14</v>
      </c>
      <c r="Q368"/>
    </row>
    <row r="369" spans="1:17" s="1" customFormat="1" x14ac:dyDescent="0.25">
      <c r="A369" t="s">
        <v>3296</v>
      </c>
      <c r="B369" t="s">
        <v>2931</v>
      </c>
      <c r="C369">
        <v>14009</v>
      </c>
      <c r="D369" t="str">
        <f>"706356      "</f>
        <v xml:space="preserve">706356      </v>
      </c>
      <c r="E369" t="s">
        <v>501</v>
      </c>
      <c r="F369" t="s">
        <v>502</v>
      </c>
      <c r="G369">
        <v>13.18</v>
      </c>
      <c r="H369">
        <v>251017</v>
      </c>
      <c r="I369">
        <v>4841</v>
      </c>
      <c r="J369" t="s">
        <v>9</v>
      </c>
      <c r="K369">
        <v>72.209999999999994</v>
      </c>
      <c r="L369">
        <v>2.68</v>
      </c>
      <c r="M369">
        <v>11982</v>
      </c>
      <c r="N369" t="s">
        <v>2468</v>
      </c>
      <c r="O369">
        <v>251021</v>
      </c>
      <c r="P369">
        <v>10.5</v>
      </c>
      <c r="Q369"/>
    </row>
    <row r="370" spans="1:17" s="1" customFormat="1" x14ac:dyDescent="0.25">
      <c r="A370" t="s">
        <v>3296</v>
      </c>
      <c r="B370" t="s">
        <v>2931</v>
      </c>
      <c r="C370">
        <v>14009</v>
      </c>
      <c r="D370" t="str">
        <f>"706356      "</f>
        <v xml:space="preserve">706356      </v>
      </c>
      <c r="E370" t="s">
        <v>501</v>
      </c>
      <c r="F370" t="s">
        <v>502</v>
      </c>
      <c r="G370">
        <v>59.03</v>
      </c>
      <c r="H370">
        <v>251017</v>
      </c>
      <c r="I370">
        <v>4841</v>
      </c>
      <c r="J370" t="s">
        <v>9</v>
      </c>
      <c r="K370">
        <v>72.209999999999994</v>
      </c>
      <c r="L370">
        <v>11.99</v>
      </c>
      <c r="M370">
        <v>13801</v>
      </c>
      <c r="N370" t="s">
        <v>33</v>
      </c>
      <c r="O370">
        <v>251021</v>
      </c>
      <c r="P370">
        <v>47.04</v>
      </c>
      <c r="Q370"/>
    </row>
    <row r="371" spans="1:17" s="1" customFormat="1" x14ac:dyDescent="0.25">
      <c r="A371" t="s">
        <v>3296</v>
      </c>
      <c r="B371" t="s">
        <v>2931</v>
      </c>
      <c r="C371">
        <v>14161</v>
      </c>
      <c r="D371" t="str">
        <f>"706367      "</f>
        <v xml:space="preserve">706367      </v>
      </c>
      <c r="E371" t="s">
        <v>501</v>
      </c>
      <c r="F371" t="s">
        <v>502</v>
      </c>
      <c r="G371">
        <v>2.0299999999999998</v>
      </c>
      <c r="H371">
        <v>251017</v>
      </c>
      <c r="I371">
        <v>4841</v>
      </c>
      <c r="J371" t="s">
        <v>9</v>
      </c>
      <c r="K371">
        <v>198.18</v>
      </c>
      <c r="L371">
        <v>0.41</v>
      </c>
      <c r="M371">
        <v>11900</v>
      </c>
      <c r="N371" t="s">
        <v>30</v>
      </c>
      <c r="O371">
        <v>251024</v>
      </c>
      <c r="P371">
        <v>1.62</v>
      </c>
      <c r="Q371"/>
    </row>
    <row r="372" spans="1:17" s="1" customFormat="1" x14ac:dyDescent="0.25">
      <c r="A372" t="s">
        <v>3296</v>
      </c>
      <c r="B372" t="s">
        <v>2931</v>
      </c>
      <c r="C372">
        <v>14161</v>
      </c>
      <c r="D372" t="str">
        <f>"706367      "</f>
        <v xml:space="preserve">706367      </v>
      </c>
      <c r="E372" t="s">
        <v>501</v>
      </c>
      <c r="F372" t="s">
        <v>502</v>
      </c>
      <c r="G372">
        <v>2.0299999999999998</v>
      </c>
      <c r="H372">
        <v>251017</v>
      </c>
      <c r="I372">
        <v>4841</v>
      </c>
      <c r="J372" t="s">
        <v>9</v>
      </c>
      <c r="K372">
        <v>198.18</v>
      </c>
      <c r="L372">
        <v>0.41</v>
      </c>
      <c r="M372">
        <v>17538</v>
      </c>
      <c r="N372" t="s">
        <v>129</v>
      </c>
      <c r="O372">
        <v>251024</v>
      </c>
      <c r="P372">
        <v>1.62</v>
      </c>
      <c r="Q372"/>
    </row>
    <row r="373" spans="1:17" s="1" customFormat="1" x14ac:dyDescent="0.25">
      <c r="A373" t="s">
        <v>3296</v>
      </c>
      <c r="B373" t="s">
        <v>2931</v>
      </c>
      <c r="C373">
        <v>14161</v>
      </c>
      <c r="D373" t="str">
        <f>"706367      "</f>
        <v xml:space="preserve">706367      </v>
      </c>
      <c r="E373" t="s">
        <v>501</v>
      </c>
      <c r="F373" t="s">
        <v>502</v>
      </c>
      <c r="G373">
        <v>194.12</v>
      </c>
      <c r="H373">
        <v>251017</v>
      </c>
      <c r="I373">
        <v>4841</v>
      </c>
      <c r="J373" t="s">
        <v>9</v>
      </c>
      <c r="K373">
        <v>198.18</v>
      </c>
      <c r="L373">
        <v>39.44</v>
      </c>
      <c r="M373">
        <v>17974</v>
      </c>
      <c r="N373" t="s">
        <v>153</v>
      </c>
      <c r="O373">
        <v>251024</v>
      </c>
      <c r="P373">
        <v>154.68</v>
      </c>
      <c r="Q373"/>
    </row>
    <row r="374" spans="1:17" s="1" customFormat="1" x14ac:dyDescent="0.25">
      <c r="A374" t="s">
        <v>3296</v>
      </c>
      <c r="B374" t="s">
        <v>2931</v>
      </c>
      <c r="C374">
        <v>14163</v>
      </c>
      <c r="D374" t="str">
        <f>"706362      "</f>
        <v xml:space="preserve">706362      </v>
      </c>
      <c r="E374" t="s">
        <v>501</v>
      </c>
      <c r="F374" t="s">
        <v>502</v>
      </c>
      <c r="G374">
        <v>12.6</v>
      </c>
      <c r="H374">
        <v>251017</v>
      </c>
      <c r="I374">
        <v>4841</v>
      </c>
      <c r="J374" t="s">
        <v>9</v>
      </c>
      <c r="K374">
        <v>12.6</v>
      </c>
      <c r="L374">
        <v>2.56</v>
      </c>
      <c r="M374">
        <v>13401</v>
      </c>
      <c r="N374" t="s">
        <v>10</v>
      </c>
      <c r="O374">
        <v>251024</v>
      </c>
      <c r="P374">
        <v>10.039999999999999</v>
      </c>
      <c r="Q374"/>
    </row>
    <row r="375" spans="1:17" s="1" customFormat="1" x14ac:dyDescent="0.25">
      <c r="A375" t="s">
        <v>3296</v>
      </c>
      <c r="B375" t="s">
        <v>2931</v>
      </c>
      <c r="C375">
        <v>14164</v>
      </c>
      <c r="D375" t="str">
        <f>"706364      "</f>
        <v xml:space="preserve">706364      </v>
      </c>
      <c r="E375" t="s">
        <v>501</v>
      </c>
      <c r="F375" t="s">
        <v>502</v>
      </c>
      <c r="G375">
        <v>28.25</v>
      </c>
      <c r="H375">
        <v>251017</v>
      </c>
      <c r="I375">
        <v>4841</v>
      </c>
      <c r="J375" t="s">
        <v>9</v>
      </c>
      <c r="K375">
        <v>50.87</v>
      </c>
      <c r="L375">
        <v>5.74</v>
      </c>
      <c r="M375">
        <v>13601</v>
      </c>
      <c r="N375" t="s">
        <v>115</v>
      </c>
      <c r="O375">
        <v>251024</v>
      </c>
      <c r="P375">
        <v>22.51</v>
      </c>
      <c r="Q375"/>
    </row>
    <row r="376" spans="1:17" s="1" customFormat="1" x14ac:dyDescent="0.25">
      <c r="A376" t="s">
        <v>3296</v>
      </c>
      <c r="B376" t="s">
        <v>2931</v>
      </c>
      <c r="C376">
        <v>14164</v>
      </c>
      <c r="D376" t="str">
        <f>"706364      "</f>
        <v xml:space="preserve">706364      </v>
      </c>
      <c r="E376" t="s">
        <v>501</v>
      </c>
      <c r="F376" t="s">
        <v>502</v>
      </c>
      <c r="G376">
        <v>22.62</v>
      </c>
      <c r="H376">
        <v>251017</v>
      </c>
      <c r="I376">
        <v>4841</v>
      </c>
      <c r="J376" t="s">
        <v>9</v>
      </c>
      <c r="K376">
        <v>50.87</v>
      </c>
      <c r="L376">
        <v>4.5999999999999996</v>
      </c>
      <c r="M376">
        <v>13601</v>
      </c>
      <c r="N376" t="s">
        <v>115</v>
      </c>
      <c r="O376">
        <v>251024</v>
      </c>
      <c r="P376">
        <v>18.02</v>
      </c>
      <c r="Q376"/>
    </row>
    <row r="377" spans="1:17" s="1" customFormat="1" x14ac:dyDescent="0.25">
      <c r="A377" t="s">
        <v>3296</v>
      </c>
      <c r="B377" t="s">
        <v>2931</v>
      </c>
      <c r="C377">
        <v>14165</v>
      </c>
      <c r="D377" t="str">
        <f>"706358      "</f>
        <v xml:space="preserve">706358      </v>
      </c>
      <c r="E377" t="s">
        <v>501</v>
      </c>
      <c r="F377" t="s">
        <v>502</v>
      </c>
      <c r="G377">
        <v>7.54</v>
      </c>
      <c r="H377">
        <v>251017</v>
      </c>
      <c r="I377">
        <v>4841</v>
      </c>
      <c r="J377" t="s">
        <v>9</v>
      </c>
      <c r="K377">
        <v>14.26</v>
      </c>
      <c r="L377">
        <v>1.53</v>
      </c>
      <c r="M377">
        <v>59702</v>
      </c>
      <c r="N377" t="s">
        <v>45</v>
      </c>
      <c r="O377">
        <v>251024</v>
      </c>
      <c r="P377">
        <v>6.01</v>
      </c>
      <c r="Q377"/>
    </row>
    <row r="378" spans="1:17" s="1" customFormat="1" x14ac:dyDescent="0.25">
      <c r="A378" t="s">
        <v>3296</v>
      </c>
      <c r="B378" t="s">
        <v>2931</v>
      </c>
      <c r="C378">
        <v>14165</v>
      </c>
      <c r="D378" t="str">
        <f>"706358      "</f>
        <v xml:space="preserve">706358      </v>
      </c>
      <c r="E378" t="s">
        <v>501</v>
      </c>
      <c r="F378" t="s">
        <v>502</v>
      </c>
      <c r="G378">
        <v>6.72</v>
      </c>
      <c r="H378">
        <v>251017</v>
      </c>
      <c r="I378">
        <v>4841</v>
      </c>
      <c r="J378" t="s">
        <v>9</v>
      </c>
      <c r="K378">
        <v>14.26</v>
      </c>
      <c r="L378">
        <v>1.37</v>
      </c>
      <c r="M378">
        <v>59704</v>
      </c>
      <c r="N378" t="s">
        <v>46</v>
      </c>
      <c r="O378">
        <v>251024</v>
      </c>
      <c r="P378">
        <v>5.35</v>
      </c>
      <c r="Q378"/>
    </row>
    <row r="379" spans="1:17" s="1" customFormat="1" x14ac:dyDescent="0.25">
      <c r="A379" t="s">
        <v>3296</v>
      </c>
      <c r="B379" t="s">
        <v>2931</v>
      </c>
      <c r="C379">
        <v>14166</v>
      </c>
      <c r="D379" t="str">
        <f t="shared" ref="D379:D385" si="22">"706370      "</f>
        <v xml:space="preserve">706370      </v>
      </c>
      <c r="E379" t="s">
        <v>501</v>
      </c>
      <c r="F379" t="s">
        <v>502</v>
      </c>
      <c r="G379">
        <v>68.64</v>
      </c>
      <c r="H379">
        <v>251017</v>
      </c>
      <c r="I379">
        <v>4841</v>
      </c>
      <c r="J379" t="s">
        <v>9</v>
      </c>
      <c r="K379">
        <v>190.28</v>
      </c>
      <c r="L379">
        <v>13.95</v>
      </c>
      <c r="M379">
        <v>17131</v>
      </c>
      <c r="N379" t="s">
        <v>154</v>
      </c>
      <c r="O379">
        <v>251024</v>
      </c>
      <c r="P379">
        <v>54.69</v>
      </c>
      <c r="Q379"/>
    </row>
    <row r="380" spans="1:17" s="1" customFormat="1" x14ac:dyDescent="0.25">
      <c r="A380" t="s">
        <v>3296</v>
      </c>
      <c r="B380" t="s">
        <v>2931</v>
      </c>
      <c r="C380">
        <v>14166</v>
      </c>
      <c r="D380" t="str">
        <f t="shared" si="22"/>
        <v xml:space="preserve">706370      </v>
      </c>
      <c r="E380" t="s">
        <v>501</v>
      </c>
      <c r="F380" t="s">
        <v>502</v>
      </c>
      <c r="G380">
        <v>55.12</v>
      </c>
      <c r="H380">
        <v>251017</v>
      </c>
      <c r="I380">
        <v>4841</v>
      </c>
      <c r="J380" t="s">
        <v>9</v>
      </c>
      <c r="K380">
        <v>190.28</v>
      </c>
      <c r="L380">
        <v>11.2</v>
      </c>
      <c r="M380">
        <v>17711</v>
      </c>
      <c r="N380" t="s">
        <v>155</v>
      </c>
      <c r="O380">
        <v>251024</v>
      </c>
      <c r="P380">
        <v>43.92</v>
      </c>
      <c r="Q380"/>
    </row>
    <row r="381" spans="1:17" s="1" customFormat="1" x14ac:dyDescent="0.25">
      <c r="A381" t="s">
        <v>3296</v>
      </c>
      <c r="B381" t="s">
        <v>2931</v>
      </c>
      <c r="C381">
        <v>14166</v>
      </c>
      <c r="D381" t="str">
        <f t="shared" si="22"/>
        <v xml:space="preserve">706370      </v>
      </c>
      <c r="E381" t="s">
        <v>501</v>
      </c>
      <c r="F381" t="s">
        <v>502</v>
      </c>
      <c r="G381">
        <v>7.97</v>
      </c>
      <c r="H381">
        <v>251017</v>
      </c>
      <c r="I381">
        <v>4841</v>
      </c>
      <c r="J381" t="s">
        <v>9</v>
      </c>
      <c r="K381">
        <v>190.28</v>
      </c>
      <c r="L381">
        <v>1.62</v>
      </c>
      <c r="M381">
        <v>17737</v>
      </c>
      <c r="N381" t="s">
        <v>156</v>
      </c>
      <c r="O381">
        <v>251024</v>
      </c>
      <c r="P381">
        <v>6.35</v>
      </c>
      <c r="Q381"/>
    </row>
    <row r="382" spans="1:17" s="1" customFormat="1" x14ac:dyDescent="0.25">
      <c r="A382" t="s">
        <v>3296</v>
      </c>
      <c r="B382" t="s">
        <v>2931</v>
      </c>
      <c r="C382">
        <v>14166</v>
      </c>
      <c r="D382" t="str">
        <f t="shared" si="22"/>
        <v xml:space="preserve">706370      </v>
      </c>
      <c r="E382" t="s">
        <v>501</v>
      </c>
      <c r="F382" t="s">
        <v>502</v>
      </c>
      <c r="G382">
        <v>7.96</v>
      </c>
      <c r="H382">
        <v>251017</v>
      </c>
      <c r="I382">
        <v>4841</v>
      </c>
      <c r="J382" t="s">
        <v>9</v>
      </c>
      <c r="K382">
        <v>190.28</v>
      </c>
      <c r="L382">
        <v>1.62</v>
      </c>
      <c r="M382">
        <v>17737</v>
      </c>
      <c r="N382" t="s">
        <v>156</v>
      </c>
      <c r="O382">
        <v>251024</v>
      </c>
      <c r="P382">
        <v>6.34</v>
      </c>
      <c r="Q382"/>
    </row>
    <row r="383" spans="1:17" s="1" customFormat="1" x14ac:dyDescent="0.25">
      <c r="A383" t="s">
        <v>3296</v>
      </c>
      <c r="B383" t="s">
        <v>2931</v>
      </c>
      <c r="C383">
        <v>14166</v>
      </c>
      <c r="D383" t="str">
        <f t="shared" si="22"/>
        <v xml:space="preserve">706370      </v>
      </c>
      <c r="E383" t="s">
        <v>501</v>
      </c>
      <c r="F383" t="s">
        <v>502</v>
      </c>
      <c r="G383">
        <v>7.96</v>
      </c>
      <c r="H383">
        <v>251017</v>
      </c>
      <c r="I383">
        <v>4841</v>
      </c>
      <c r="J383" t="s">
        <v>9</v>
      </c>
      <c r="K383">
        <v>190.28</v>
      </c>
      <c r="L383">
        <v>1.62</v>
      </c>
      <c r="M383">
        <v>17912</v>
      </c>
      <c r="N383" t="s">
        <v>505</v>
      </c>
      <c r="O383">
        <v>251024</v>
      </c>
      <c r="P383">
        <v>6.34</v>
      </c>
      <c r="Q383"/>
    </row>
    <row r="384" spans="1:17" s="1" customFormat="1" x14ac:dyDescent="0.25">
      <c r="A384" t="s">
        <v>3296</v>
      </c>
      <c r="B384" t="s">
        <v>2931</v>
      </c>
      <c r="C384">
        <v>14166</v>
      </c>
      <c r="D384" t="str">
        <f t="shared" si="22"/>
        <v xml:space="preserve">706370      </v>
      </c>
      <c r="E384" t="s">
        <v>501</v>
      </c>
      <c r="F384" t="s">
        <v>502</v>
      </c>
      <c r="G384">
        <v>23.91</v>
      </c>
      <c r="H384">
        <v>251017</v>
      </c>
      <c r="I384">
        <v>4841</v>
      </c>
      <c r="J384" t="s">
        <v>9</v>
      </c>
      <c r="K384">
        <v>190.28</v>
      </c>
      <c r="L384">
        <v>4.8600000000000003</v>
      </c>
      <c r="M384">
        <v>17952</v>
      </c>
      <c r="N384" t="s">
        <v>157</v>
      </c>
      <c r="O384">
        <v>251024</v>
      </c>
      <c r="P384">
        <v>19.05</v>
      </c>
      <c r="Q384"/>
    </row>
    <row r="385" spans="1:17" s="1" customFormat="1" x14ac:dyDescent="0.25">
      <c r="A385" t="s">
        <v>3296</v>
      </c>
      <c r="B385" t="s">
        <v>2931</v>
      </c>
      <c r="C385">
        <v>14166</v>
      </c>
      <c r="D385" t="str">
        <f t="shared" si="22"/>
        <v xml:space="preserve">706370      </v>
      </c>
      <c r="E385" t="s">
        <v>501</v>
      </c>
      <c r="F385" t="s">
        <v>502</v>
      </c>
      <c r="G385">
        <v>18.72</v>
      </c>
      <c r="H385">
        <v>251017</v>
      </c>
      <c r="I385">
        <v>4841</v>
      </c>
      <c r="J385" t="s">
        <v>9</v>
      </c>
      <c r="K385">
        <v>190.28</v>
      </c>
      <c r="L385">
        <v>3.8</v>
      </c>
      <c r="M385">
        <v>17972</v>
      </c>
      <c r="N385" t="s">
        <v>28</v>
      </c>
      <c r="O385">
        <v>251024</v>
      </c>
      <c r="P385">
        <v>14.92</v>
      </c>
      <c r="Q385"/>
    </row>
    <row r="386" spans="1:17" s="1" customFormat="1" x14ac:dyDescent="0.25">
      <c r="A386" t="s">
        <v>3296</v>
      </c>
      <c r="B386" t="s">
        <v>2931</v>
      </c>
      <c r="C386">
        <v>14167</v>
      </c>
      <c r="D386" t="str">
        <f t="shared" ref="D386:D397" si="23">"706359      "</f>
        <v xml:space="preserve">706359      </v>
      </c>
      <c r="E386" t="s">
        <v>501</v>
      </c>
      <c r="F386" t="s">
        <v>502</v>
      </c>
      <c r="G386">
        <v>2.0299999999999998</v>
      </c>
      <c r="H386">
        <v>251017</v>
      </c>
      <c r="I386">
        <v>4841</v>
      </c>
      <c r="J386" t="s">
        <v>9</v>
      </c>
      <c r="K386">
        <v>460.43</v>
      </c>
      <c r="L386">
        <v>0.41</v>
      </c>
      <c r="M386">
        <v>54222</v>
      </c>
      <c r="N386" t="s">
        <v>48</v>
      </c>
      <c r="O386">
        <v>251024</v>
      </c>
      <c r="P386">
        <v>1.62</v>
      </c>
      <c r="Q386"/>
    </row>
    <row r="387" spans="1:17" s="1" customFormat="1" x14ac:dyDescent="0.25">
      <c r="A387" t="s">
        <v>3296</v>
      </c>
      <c r="B387" t="s">
        <v>2931</v>
      </c>
      <c r="C387">
        <v>14167</v>
      </c>
      <c r="D387" t="str">
        <f t="shared" si="23"/>
        <v xml:space="preserve">706359      </v>
      </c>
      <c r="E387" t="s">
        <v>501</v>
      </c>
      <c r="F387" t="s">
        <v>502</v>
      </c>
      <c r="G387">
        <v>10.38</v>
      </c>
      <c r="H387">
        <v>251017</v>
      </c>
      <c r="I387">
        <v>4841</v>
      </c>
      <c r="J387" t="s">
        <v>9</v>
      </c>
      <c r="K387">
        <v>460.43</v>
      </c>
      <c r="L387">
        <v>2.11</v>
      </c>
      <c r="M387">
        <v>54422</v>
      </c>
      <c r="N387" t="s">
        <v>49</v>
      </c>
      <c r="O387">
        <v>251024</v>
      </c>
      <c r="P387">
        <v>8.27</v>
      </c>
      <c r="Q387"/>
    </row>
    <row r="388" spans="1:17" s="1" customFormat="1" x14ac:dyDescent="0.25">
      <c r="A388" t="s">
        <v>3296</v>
      </c>
      <c r="B388" t="s">
        <v>2931</v>
      </c>
      <c r="C388">
        <v>14167</v>
      </c>
      <c r="D388" t="str">
        <f t="shared" si="23"/>
        <v xml:space="preserve">706359      </v>
      </c>
      <c r="E388" t="s">
        <v>501</v>
      </c>
      <c r="F388" t="s">
        <v>502</v>
      </c>
      <c r="G388">
        <v>28.25</v>
      </c>
      <c r="H388">
        <v>251017</v>
      </c>
      <c r="I388">
        <v>4841</v>
      </c>
      <c r="J388" t="s">
        <v>9</v>
      </c>
      <c r="K388">
        <v>460.43</v>
      </c>
      <c r="L388">
        <v>5.74</v>
      </c>
      <c r="M388">
        <v>54422</v>
      </c>
      <c r="N388" t="s">
        <v>49</v>
      </c>
      <c r="O388">
        <v>251024</v>
      </c>
      <c r="P388">
        <v>22.51</v>
      </c>
      <c r="Q388"/>
    </row>
    <row r="389" spans="1:17" s="1" customFormat="1" x14ac:dyDescent="0.25">
      <c r="A389" t="s">
        <v>3296</v>
      </c>
      <c r="B389" t="s">
        <v>2931</v>
      </c>
      <c r="C389">
        <v>14167</v>
      </c>
      <c r="D389" t="str">
        <f t="shared" si="23"/>
        <v xml:space="preserve">706359      </v>
      </c>
      <c r="E389" t="s">
        <v>501</v>
      </c>
      <c r="F389" t="s">
        <v>502</v>
      </c>
      <c r="G389">
        <v>73.42</v>
      </c>
      <c r="H389">
        <v>251017</v>
      </c>
      <c r="I389">
        <v>4841</v>
      </c>
      <c r="J389" t="s">
        <v>9</v>
      </c>
      <c r="K389">
        <v>460.43</v>
      </c>
      <c r="L389">
        <v>14.92</v>
      </c>
      <c r="M389">
        <v>56558</v>
      </c>
      <c r="N389" t="s">
        <v>50</v>
      </c>
      <c r="O389">
        <v>251024</v>
      </c>
      <c r="P389">
        <v>58.5</v>
      </c>
      <c r="Q389"/>
    </row>
    <row r="390" spans="1:17" s="1" customFormat="1" x14ac:dyDescent="0.25">
      <c r="A390" t="s">
        <v>3296</v>
      </c>
      <c r="B390" t="s">
        <v>2931</v>
      </c>
      <c r="C390">
        <v>14167</v>
      </c>
      <c r="D390" t="str">
        <f t="shared" si="23"/>
        <v xml:space="preserve">706359      </v>
      </c>
      <c r="E390" t="s">
        <v>501</v>
      </c>
      <c r="F390" t="s">
        <v>502</v>
      </c>
      <c r="G390">
        <v>19.559999999999999</v>
      </c>
      <c r="H390">
        <v>251017</v>
      </c>
      <c r="I390">
        <v>4841</v>
      </c>
      <c r="J390" t="s">
        <v>9</v>
      </c>
      <c r="K390">
        <v>460.43</v>
      </c>
      <c r="L390">
        <v>3.97</v>
      </c>
      <c r="M390">
        <v>56559</v>
      </c>
      <c r="N390" t="s">
        <v>51</v>
      </c>
      <c r="O390">
        <v>251024</v>
      </c>
      <c r="P390">
        <v>15.59</v>
      </c>
      <c r="Q390"/>
    </row>
    <row r="391" spans="1:17" s="1" customFormat="1" x14ac:dyDescent="0.25">
      <c r="A391" t="s">
        <v>3296</v>
      </c>
      <c r="B391" t="s">
        <v>2931</v>
      </c>
      <c r="C391">
        <v>14167</v>
      </c>
      <c r="D391" t="str">
        <f t="shared" si="23"/>
        <v xml:space="preserve">706359      </v>
      </c>
      <c r="E391" t="s">
        <v>501</v>
      </c>
      <c r="F391" t="s">
        <v>502</v>
      </c>
      <c r="G391">
        <v>13.09</v>
      </c>
      <c r="H391">
        <v>251017</v>
      </c>
      <c r="I391">
        <v>4841</v>
      </c>
      <c r="J391" t="s">
        <v>9</v>
      </c>
      <c r="K391">
        <v>460.43</v>
      </c>
      <c r="L391">
        <v>2.66</v>
      </c>
      <c r="M391">
        <v>56560</v>
      </c>
      <c r="N391" t="s">
        <v>52</v>
      </c>
      <c r="O391">
        <v>251024</v>
      </c>
      <c r="P391">
        <v>10.43</v>
      </c>
      <c r="Q391"/>
    </row>
    <row r="392" spans="1:17" s="1" customFormat="1" x14ac:dyDescent="0.25">
      <c r="A392" t="s">
        <v>3296</v>
      </c>
      <c r="B392" t="s">
        <v>2931</v>
      </c>
      <c r="C392">
        <v>14167</v>
      </c>
      <c r="D392" t="str">
        <f t="shared" si="23"/>
        <v xml:space="preserve">706359      </v>
      </c>
      <c r="E392" t="s">
        <v>501</v>
      </c>
      <c r="F392" t="s">
        <v>502</v>
      </c>
      <c r="G392">
        <v>59.25</v>
      </c>
      <c r="H392">
        <v>251017</v>
      </c>
      <c r="I392">
        <v>4841</v>
      </c>
      <c r="J392" t="s">
        <v>9</v>
      </c>
      <c r="K392">
        <v>460.43</v>
      </c>
      <c r="L392">
        <v>12.04</v>
      </c>
      <c r="M392">
        <v>56562</v>
      </c>
      <c r="N392" t="s">
        <v>54</v>
      </c>
      <c r="O392">
        <v>251024</v>
      </c>
      <c r="P392">
        <v>47.21</v>
      </c>
      <c r="Q392"/>
    </row>
    <row r="393" spans="1:17" s="1" customFormat="1" x14ac:dyDescent="0.25">
      <c r="A393" t="s">
        <v>3296</v>
      </c>
      <c r="B393" t="s">
        <v>2931</v>
      </c>
      <c r="C393">
        <v>14167</v>
      </c>
      <c r="D393" t="str">
        <f t="shared" si="23"/>
        <v xml:space="preserve">706359      </v>
      </c>
      <c r="E393" t="s">
        <v>501</v>
      </c>
      <c r="F393" t="s">
        <v>502</v>
      </c>
      <c r="G393">
        <v>13.09</v>
      </c>
      <c r="H393">
        <v>251017</v>
      </c>
      <c r="I393">
        <v>4841</v>
      </c>
      <c r="J393" t="s">
        <v>9</v>
      </c>
      <c r="K393">
        <v>460.43</v>
      </c>
      <c r="L393">
        <v>2.66</v>
      </c>
      <c r="M393">
        <v>56565</v>
      </c>
      <c r="N393" t="s">
        <v>57</v>
      </c>
      <c r="O393">
        <v>251024</v>
      </c>
      <c r="P393">
        <v>10.43</v>
      </c>
      <c r="Q393"/>
    </row>
    <row r="394" spans="1:17" s="1" customFormat="1" x14ac:dyDescent="0.25">
      <c r="A394" t="s">
        <v>3296</v>
      </c>
      <c r="B394" t="s">
        <v>2931</v>
      </c>
      <c r="C394">
        <v>14167</v>
      </c>
      <c r="D394" t="str">
        <f t="shared" si="23"/>
        <v xml:space="preserve">706359      </v>
      </c>
      <c r="E394" t="s">
        <v>501</v>
      </c>
      <c r="F394" t="s">
        <v>502</v>
      </c>
      <c r="G394">
        <v>76.58</v>
      </c>
      <c r="H394">
        <v>251017</v>
      </c>
      <c r="I394">
        <v>4841</v>
      </c>
      <c r="J394" t="s">
        <v>9</v>
      </c>
      <c r="K394">
        <v>460.43</v>
      </c>
      <c r="L394">
        <v>15.56</v>
      </c>
      <c r="M394">
        <v>56566</v>
      </c>
      <c r="N394" t="s">
        <v>58</v>
      </c>
      <c r="O394">
        <v>251024</v>
      </c>
      <c r="P394">
        <v>61.02</v>
      </c>
      <c r="Q394"/>
    </row>
    <row r="395" spans="1:17" s="1" customFormat="1" x14ac:dyDescent="0.25">
      <c r="A395" t="s">
        <v>3296</v>
      </c>
      <c r="B395" t="s">
        <v>2931</v>
      </c>
      <c r="C395">
        <v>14167</v>
      </c>
      <c r="D395" t="str">
        <f t="shared" si="23"/>
        <v xml:space="preserve">706359      </v>
      </c>
      <c r="E395" t="s">
        <v>501</v>
      </c>
      <c r="F395" t="s">
        <v>502</v>
      </c>
      <c r="G395">
        <v>53.15</v>
      </c>
      <c r="H395">
        <v>251017</v>
      </c>
      <c r="I395">
        <v>4841</v>
      </c>
      <c r="J395" t="s">
        <v>9</v>
      </c>
      <c r="K395">
        <v>460.43</v>
      </c>
      <c r="L395">
        <v>10.8</v>
      </c>
      <c r="M395">
        <v>59701</v>
      </c>
      <c r="N395" t="s">
        <v>64</v>
      </c>
      <c r="O395">
        <v>251024</v>
      </c>
      <c r="P395">
        <v>42.35</v>
      </c>
      <c r="Q395"/>
    </row>
    <row r="396" spans="1:17" s="1" customFormat="1" x14ac:dyDescent="0.25">
      <c r="A396" t="s">
        <v>3296</v>
      </c>
      <c r="B396" t="s">
        <v>2931</v>
      </c>
      <c r="C396">
        <v>14167</v>
      </c>
      <c r="D396" t="str">
        <f t="shared" si="23"/>
        <v xml:space="preserve">706359      </v>
      </c>
      <c r="E396" t="s">
        <v>501</v>
      </c>
      <c r="F396" t="s">
        <v>502</v>
      </c>
      <c r="G396">
        <v>98.51</v>
      </c>
      <c r="H396">
        <v>251017</v>
      </c>
      <c r="I396">
        <v>4841</v>
      </c>
      <c r="J396" t="s">
        <v>9</v>
      </c>
      <c r="K396">
        <v>460.43</v>
      </c>
      <c r="L396">
        <v>20.02</v>
      </c>
      <c r="M396">
        <v>59702</v>
      </c>
      <c r="N396" t="s">
        <v>45</v>
      </c>
      <c r="O396">
        <v>251024</v>
      </c>
      <c r="P396">
        <v>78.489999999999995</v>
      </c>
      <c r="Q396"/>
    </row>
    <row r="397" spans="1:17" s="1" customFormat="1" x14ac:dyDescent="0.25">
      <c r="A397" t="s">
        <v>3296</v>
      </c>
      <c r="B397" t="s">
        <v>2931</v>
      </c>
      <c r="C397">
        <v>14167</v>
      </c>
      <c r="D397" t="str">
        <f t="shared" si="23"/>
        <v xml:space="preserve">706359      </v>
      </c>
      <c r="E397" t="s">
        <v>501</v>
      </c>
      <c r="F397" t="s">
        <v>502</v>
      </c>
      <c r="G397">
        <v>13.12</v>
      </c>
      <c r="H397">
        <v>251017</v>
      </c>
      <c r="I397">
        <v>4841</v>
      </c>
      <c r="J397" t="s">
        <v>9</v>
      </c>
      <c r="K397">
        <v>460.43</v>
      </c>
      <c r="L397">
        <v>2.67</v>
      </c>
      <c r="M397">
        <v>59704</v>
      </c>
      <c r="N397" t="s">
        <v>46</v>
      </c>
      <c r="O397">
        <v>251024</v>
      </c>
      <c r="P397">
        <v>10.45</v>
      </c>
      <c r="Q397"/>
    </row>
    <row r="398" spans="1:17" s="1" customFormat="1" x14ac:dyDescent="0.25">
      <c r="A398" t="s">
        <v>3296</v>
      </c>
      <c r="B398" t="s">
        <v>2931</v>
      </c>
      <c r="C398">
        <v>14178</v>
      </c>
      <c r="D398" t="str">
        <f>"706357      "</f>
        <v xml:space="preserve">706357      </v>
      </c>
      <c r="E398" t="s">
        <v>501</v>
      </c>
      <c r="F398" t="s">
        <v>502</v>
      </c>
      <c r="G398">
        <v>28.25</v>
      </c>
      <c r="H398">
        <v>251017</v>
      </c>
      <c r="I398">
        <v>4841</v>
      </c>
      <c r="J398" t="s">
        <v>9</v>
      </c>
      <c r="K398">
        <v>83.43</v>
      </c>
      <c r="L398">
        <v>5.74</v>
      </c>
      <c r="M398">
        <v>56524</v>
      </c>
      <c r="N398" t="s">
        <v>69</v>
      </c>
      <c r="O398">
        <v>251024</v>
      </c>
      <c r="P398">
        <v>22.51</v>
      </c>
      <c r="Q398"/>
    </row>
    <row r="399" spans="1:17" s="1" customFormat="1" x14ac:dyDescent="0.25">
      <c r="A399" t="s">
        <v>3296</v>
      </c>
      <c r="B399" t="s">
        <v>2931</v>
      </c>
      <c r="C399">
        <v>14178</v>
      </c>
      <c r="D399" t="str">
        <f>"706357      "</f>
        <v xml:space="preserve">706357      </v>
      </c>
      <c r="E399" t="s">
        <v>501</v>
      </c>
      <c r="F399" t="s">
        <v>502</v>
      </c>
      <c r="G399">
        <v>53.15</v>
      </c>
      <c r="H399">
        <v>251017</v>
      </c>
      <c r="I399">
        <v>4841</v>
      </c>
      <c r="J399" t="s">
        <v>9</v>
      </c>
      <c r="K399">
        <v>83.43</v>
      </c>
      <c r="L399">
        <v>10.8</v>
      </c>
      <c r="M399">
        <v>56526</v>
      </c>
      <c r="N399" t="s">
        <v>506</v>
      </c>
      <c r="O399">
        <v>251024</v>
      </c>
      <c r="P399">
        <v>42.35</v>
      </c>
      <c r="Q399"/>
    </row>
    <row r="400" spans="1:17" s="1" customFormat="1" x14ac:dyDescent="0.25">
      <c r="A400" t="s">
        <v>3296</v>
      </c>
      <c r="B400" t="s">
        <v>2931</v>
      </c>
      <c r="C400">
        <v>14178</v>
      </c>
      <c r="D400" t="str">
        <f>"706357      "</f>
        <v xml:space="preserve">706357      </v>
      </c>
      <c r="E400" t="s">
        <v>501</v>
      </c>
      <c r="F400" t="s">
        <v>502</v>
      </c>
      <c r="G400">
        <v>2.0299999999999998</v>
      </c>
      <c r="H400">
        <v>251017</v>
      </c>
      <c r="I400">
        <v>4841</v>
      </c>
      <c r="J400" t="s">
        <v>9</v>
      </c>
      <c r="K400">
        <v>83.43</v>
      </c>
      <c r="L400">
        <v>0.41</v>
      </c>
      <c r="M400">
        <v>59704</v>
      </c>
      <c r="N400" t="s">
        <v>46</v>
      </c>
      <c r="O400">
        <v>251024</v>
      </c>
      <c r="P400">
        <v>1.62</v>
      </c>
      <c r="Q400"/>
    </row>
    <row r="401" spans="1:17" s="1" customFormat="1" x14ac:dyDescent="0.25">
      <c r="A401" t="s">
        <v>3296</v>
      </c>
      <c r="B401" t="s">
        <v>2931</v>
      </c>
      <c r="C401">
        <v>14180</v>
      </c>
      <c r="D401" t="str">
        <f t="shared" ref="D401:D422" si="24">"706365      "</f>
        <v xml:space="preserve">706365      </v>
      </c>
      <c r="E401" t="s">
        <v>501</v>
      </c>
      <c r="F401" t="s">
        <v>502</v>
      </c>
      <c r="G401">
        <v>4.12</v>
      </c>
      <c r="H401">
        <v>251017</v>
      </c>
      <c r="I401">
        <v>4841</v>
      </c>
      <c r="J401" t="s">
        <v>9</v>
      </c>
      <c r="K401">
        <v>1299.97</v>
      </c>
      <c r="L401">
        <v>0.84</v>
      </c>
      <c r="M401">
        <v>13540</v>
      </c>
      <c r="N401" t="s">
        <v>131</v>
      </c>
      <c r="O401">
        <v>251024</v>
      </c>
      <c r="P401">
        <v>3.28</v>
      </c>
      <c r="Q401"/>
    </row>
    <row r="402" spans="1:17" s="1" customFormat="1" x14ac:dyDescent="0.25">
      <c r="A402" t="s">
        <v>3296</v>
      </c>
      <c r="B402" t="s">
        <v>2931</v>
      </c>
      <c r="C402">
        <v>14180</v>
      </c>
      <c r="D402" t="str">
        <f t="shared" si="24"/>
        <v xml:space="preserve">706365      </v>
      </c>
      <c r="E402" t="s">
        <v>501</v>
      </c>
      <c r="F402" t="s">
        <v>502</v>
      </c>
      <c r="G402">
        <v>55.12</v>
      </c>
      <c r="H402">
        <v>251017</v>
      </c>
      <c r="I402">
        <v>4841</v>
      </c>
      <c r="J402" t="s">
        <v>9</v>
      </c>
      <c r="K402">
        <v>1299.97</v>
      </c>
      <c r="L402">
        <v>11.2</v>
      </c>
      <c r="M402">
        <v>16121</v>
      </c>
      <c r="N402" t="s">
        <v>127</v>
      </c>
      <c r="O402">
        <v>251024</v>
      </c>
      <c r="P402">
        <v>43.92</v>
      </c>
      <c r="Q402"/>
    </row>
    <row r="403" spans="1:17" s="1" customFormat="1" x14ac:dyDescent="0.25">
      <c r="A403" t="s">
        <v>3296</v>
      </c>
      <c r="B403" t="s">
        <v>2931</v>
      </c>
      <c r="C403">
        <v>14180</v>
      </c>
      <c r="D403" t="str">
        <f t="shared" si="24"/>
        <v xml:space="preserve">706365      </v>
      </c>
      <c r="E403" t="s">
        <v>501</v>
      </c>
      <c r="F403" t="s">
        <v>502</v>
      </c>
      <c r="G403">
        <v>2.04</v>
      </c>
      <c r="H403">
        <v>251017</v>
      </c>
      <c r="I403">
        <v>4841</v>
      </c>
      <c r="J403" t="s">
        <v>9</v>
      </c>
      <c r="K403">
        <v>1299.97</v>
      </c>
      <c r="L403">
        <v>0.41</v>
      </c>
      <c r="M403">
        <v>16930</v>
      </c>
      <c r="N403" t="s">
        <v>135</v>
      </c>
      <c r="O403">
        <v>251024</v>
      </c>
      <c r="P403">
        <v>1.63</v>
      </c>
      <c r="Q403"/>
    </row>
    <row r="404" spans="1:17" s="1" customFormat="1" x14ac:dyDescent="0.25">
      <c r="A404" t="s">
        <v>3296</v>
      </c>
      <c r="B404" t="s">
        <v>2931</v>
      </c>
      <c r="C404">
        <v>14180</v>
      </c>
      <c r="D404" t="str">
        <f t="shared" si="24"/>
        <v xml:space="preserve">706365      </v>
      </c>
      <c r="E404" t="s">
        <v>501</v>
      </c>
      <c r="F404" t="s">
        <v>502</v>
      </c>
      <c r="G404">
        <v>68.72</v>
      </c>
      <c r="H404">
        <v>251017</v>
      </c>
      <c r="I404">
        <v>4841</v>
      </c>
      <c r="J404" t="s">
        <v>9</v>
      </c>
      <c r="K404">
        <v>1299.97</v>
      </c>
      <c r="L404">
        <v>13.96</v>
      </c>
      <c r="M404">
        <v>17521</v>
      </c>
      <c r="N404" t="s">
        <v>136</v>
      </c>
      <c r="O404">
        <v>251024</v>
      </c>
      <c r="P404">
        <v>54.76</v>
      </c>
      <c r="Q404"/>
    </row>
    <row r="405" spans="1:17" s="1" customFormat="1" x14ac:dyDescent="0.25">
      <c r="A405" t="s">
        <v>3296</v>
      </c>
      <c r="B405" t="s">
        <v>2931</v>
      </c>
      <c r="C405">
        <v>14180</v>
      </c>
      <c r="D405" t="str">
        <f t="shared" si="24"/>
        <v xml:space="preserve">706365      </v>
      </c>
      <c r="E405" t="s">
        <v>501</v>
      </c>
      <c r="F405" t="s">
        <v>502</v>
      </c>
      <c r="G405">
        <v>27.36</v>
      </c>
      <c r="H405">
        <v>251017</v>
      </c>
      <c r="I405">
        <v>4841</v>
      </c>
      <c r="J405" t="s">
        <v>9</v>
      </c>
      <c r="K405">
        <v>1299.97</v>
      </c>
      <c r="L405">
        <v>5.56</v>
      </c>
      <c r="M405">
        <v>17522</v>
      </c>
      <c r="N405" t="s">
        <v>137</v>
      </c>
      <c r="O405">
        <v>251024</v>
      </c>
      <c r="P405">
        <v>21.8</v>
      </c>
      <c r="Q405"/>
    </row>
    <row r="406" spans="1:17" s="1" customFormat="1" x14ac:dyDescent="0.25">
      <c r="A406" t="s">
        <v>3296</v>
      </c>
      <c r="B406" t="s">
        <v>2931</v>
      </c>
      <c r="C406">
        <v>14180</v>
      </c>
      <c r="D406" t="str">
        <f t="shared" si="24"/>
        <v xml:space="preserve">706365      </v>
      </c>
      <c r="E406" t="s">
        <v>501</v>
      </c>
      <c r="F406" t="s">
        <v>502</v>
      </c>
      <c r="G406">
        <v>32.78</v>
      </c>
      <c r="H406">
        <v>251017</v>
      </c>
      <c r="I406">
        <v>4841</v>
      </c>
      <c r="J406" t="s">
        <v>9</v>
      </c>
      <c r="K406">
        <v>1299.97</v>
      </c>
      <c r="L406">
        <v>6.66</v>
      </c>
      <c r="M406">
        <v>17523</v>
      </c>
      <c r="N406" t="s">
        <v>138</v>
      </c>
      <c r="O406">
        <v>251024</v>
      </c>
      <c r="P406">
        <v>26.12</v>
      </c>
      <c r="Q406"/>
    </row>
    <row r="407" spans="1:17" s="1" customFormat="1" x14ac:dyDescent="0.25">
      <c r="A407" t="s">
        <v>3296</v>
      </c>
      <c r="B407" t="s">
        <v>2931</v>
      </c>
      <c r="C407">
        <v>14180</v>
      </c>
      <c r="D407" t="str">
        <f t="shared" si="24"/>
        <v xml:space="preserve">706365      </v>
      </c>
      <c r="E407" t="s">
        <v>501</v>
      </c>
      <c r="F407" t="s">
        <v>502</v>
      </c>
      <c r="G407">
        <v>69.739999999999995</v>
      </c>
      <c r="H407">
        <v>251017</v>
      </c>
      <c r="I407">
        <v>4841</v>
      </c>
      <c r="J407" t="s">
        <v>9</v>
      </c>
      <c r="K407">
        <v>1299.97</v>
      </c>
      <c r="L407">
        <v>14.17</v>
      </c>
      <c r="M407">
        <v>17524</v>
      </c>
      <c r="N407" t="s">
        <v>139</v>
      </c>
      <c r="O407">
        <v>251024</v>
      </c>
      <c r="P407">
        <v>55.57</v>
      </c>
      <c r="Q407"/>
    </row>
    <row r="408" spans="1:17" s="1" customFormat="1" x14ac:dyDescent="0.25">
      <c r="A408" t="s">
        <v>3296</v>
      </c>
      <c r="B408" t="s">
        <v>2931</v>
      </c>
      <c r="C408">
        <v>14180</v>
      </c>
      <c r="D408" t="str">
        <f t="shared" si="24"/>
        <v xml:space="preserve">706365      </v>
      </c>
      <c r="E408" t="s">
        <v>501</v>
      </c>
      <c r="F408" t="s">
        <v>502</v>
      </c>
      <c r="G408">
        <v>19.559999999999999</v>
      </c>
      <c r="H408">
        <v>251017</v>
      </c>
      <c r="I408">
        <v>4841</v>
      </c>
      <c r="J408" t="s">
        <v>9</v>
      </c>
      <c r="K408">
        <v>1299.97</v>
      </c>
      <c r="L408">
        <v>3.97</v>
      </c>
      <c r="M408">
        <v>17526</v>
      </c>
      <c r="N408" t="s">
        <v>141</v>
      </c>
      <c r="O408">
        <v>251024</v>
      </c>
      <c r="P408">
        <v>15.59</v>
      </c>
      <c r="Q408"/>
    </row>
    <row r="409" spans="1:17" s="1" customFormat="1" x14ac:dyDescent="0.25">
      <c r="A409" t="s">
        <v>3296</v>
      </c>
      <c r="B409" t="s">
        <v>2931</v>
      </c>
      <c r="C409">
        <v>14180</v>
      </c>
      <c r="D409" t="str">
        <f t="shared" si="24"/>
        <v xml:space="preserve">706365      </v>
      </c>
      <c r="E409" t="s">
        <v>501</v>
      </c>
      <c r="F409" t="s">
        <v>502</v>
      </c>
      <c r="G409">
        <v>45.62</v>
      </c>
      <c r="H409">
        <v>251017</v>
      </c>
      <c r="I409">
        <v>4841</v>
      </c>
      <c r="J409" t="s">
        <v>9</v>
      </c>
      <c r="K409">
        <v>1299.97</v>
      </c>
      <c r="L409">
        <v>9.27</v>
      </c>
      <c r="M409">
        <v>17527</v>
      </c>
      <c r="N409" t="s">
        <v>142</v>
      </c>
      <c r="O409">
        <v>251024</v>
      </c>
      <c r="P409">
        <v>36.35</v>
      </c>
      <c r="Q409"/>
    </row>
    <row r="410" spans="1:17" s="1" customFormat="1" x14ac:dyDescent="0.25">
      <c r="A410" t="s">
        <v>3296</v>
      </c>
      <c r="B410" t="s">
        <v>2931</v>
      </c>
      <c r="C410">
        <v>14180</v>
      </c>
      <c r="D410" t="str">
        <f t="shared" si="24"/>
        <v xml:space="preserve">706365      </v>
      </c>
      <c r="E410" t="s">
        <v>501</v>
      </c>
      <c r="F410" t="s">
        <v>502</v>
      </c>
      <c r="G410">
        <v>19.57</v>
      </c>
      <c r="H410">
        <v>251017</v>
      </c>
      <c r="I410">
        <v>4841</v>
      </c>
      <c r="J410" t="s">
        <v>9</v>
      </c>
      <c r="K410">
        <v>1299.97</v>
      </c>
      <c r="L410">
        <v>3.98</v>
      </c>
      <c r="M410">
        <v>17529</v>
      </c>
      <c r="N410" t="s">
        <v>143</v>
      </c>
      <c r="O410">
        <v>251024</v>
      </c>
      <c r="P410">
        <v>15.59</v>
      </c>
      <c r="Q410"/>
    </row>
    <row r="411" spans="1:17" s="1" customFormat="1" x14ac:dyDescent="0.25">
      <c r="A411" t="s">
        <v>3296</v>
      </c>
      <c r="B411" t="s">
        <v>2931</v>
      </c>
      <c r="C411">
        <v>14180</v>
      </c>
      <c r="D411" t="str">
        <f t="shared" si="24"/>
        <v xml:space="preserve">706365      </v>
      </c>
      <c r="E411" t="s">
        <v>501</v>
      </c>
      <c r="F411" t="s">
        <v>502</v>
      </c>
      <c r="G411">
        <v>62.89</v>
      </c>
      <c r="H411">
        <v>251017</v>
      </c>
      <c r="I411">
        <v>4841</v>
      </c>
      <c r="J411" t="s">
        <v>9</v>
      </c>
      <c r="K411">
        <v>1299.97</v>
      </c>
      <c r="L411">
        <v>12.78</v>
      </c>
      <c r="M411">
        <v>17530</v>
      </c>
      <c r="N411" t="s">
        <v>144</v>
      </c>
      <c r="O411">
        <v>251024</v>
      </c>
      <c r="P411">
        <v>50.11</v>
      </c>
      <c r="Q411"/>
    </row>
    <row r="412" spans="1:17" s="1" customFormat="1" x14ac:dyDescent="0.25">
      <c r="A412" t="s">
        <v>3296</v>
      </c>
      <c r="B412" t="s">
        <v>2931</v>
      </c>
      <c r="C412">
        <v>14180</v>
      </c>
      <c r="D412" t="str">
        <f t="shared" si="24"/>
        <v xml:space="preserve">706365      </v>
      </c>
      <c r="E412" t="s">
        <v>501</v>
      </c>
      <c r="F412" t="s">
        <v>502</v>
      </c>
      <c r="G412">
        <v>13.18</v>
      </c>
      <c r="H412">
        <v>251017</v>
      </c>
      <c r="I412">
        <v>4841</v>
      </c>
      <c r="J412" t="s">
        <v>9</v>
      </c>
      <c r="K412">
        <v>1299.97</v>
      </c>
      <c r="L412">
        <v>2.68</v>
      </c>
      <c r="M412">
        <v>17531</v>
      </c>
      <c r="N412" t="s">
        <v>145</v>
      </c>
      <c r="O412">
        <v>251024</v>
      </c>
      <c r="P412">
        <v>10.5</v>
      </c>
      <c r="Q412"/>
    </row>
    <row r="413" spans="1:17" s="1" customFormat="1" x14ac:dyDescent="0.25">
      <c r="A413" t="s">
        <v>3296</v>
      </c>
      <c r="B413" t="s">
        <v>2931</v>
      </c>
      <c r="C413">
        <v>14180</v>
      </c>
      <c r="D413" t="str">
        <f t="shared" si="24"/>
        <v xml:space="preserve">706365      </v>
      </c>
      <c r="E413" t="s">
        <v>501</v>
      </c>
      <c r="F413" t="s">
        <v>502</v>
      </c>
      <c r="G413">
        <v>23.32</v>
      </c>
      <c r="H413">
        <v>251017</v>
      </c>
      <c r="I413">
        <v>4841</v>
      </c>
      <c r="J413" t="s">
        <v>9</v>
      </c>
      <c r="K413">
        <v>1299.97</v>
      </c>
      <c r="L413">
        <v>4.74</v>
      </c>
      <c r="M413">
        <v>17532</v>
      </c>
      <c r="N413" t="s">
        <v>146</v>
      </c>
      <c r="O413">
        <v>251024</v>
      </c>
      <c r="P413">
        <v>18.579999999999998</v>
      </c>
      <c r="Q413"/>
    </row>
    <row r="414" spans="1:17" s="1" customFormat="1" x14ac:dyDescent="0.25">
      <c r="A414" t="s">
        <v>3296</v>
      </c>
      <c r="B414" t="s">
        <v>2931</v>
      </c>
      <c r="C414">
        <v>14180</v>
      </c>
      <c r="D414" t="str">
        <f t="shared" si="24"/>
        <v xml:space="preserve">706365      </v>
      </c>
      <c r="E414" t="s">
        <v>501</v>
      </c>
      <c r="F414" t="s">
        <v>502</v>
      </c>
      <c r="G414">
        <v>45.93</v>
      </c>
      <c r="H414">
        <v>251017</v>
      </c>
      <c r="I414">
        <v>4841</v>
      </c>
      <c r="J414" t="s">
        <v>9</v>
      </c>
      <c r="K414">
        <v>1299.97</v>
      </c>
      <c r="L414">
        <v>9.33</v>
      </c>
      <c r="M414">
        <v>17533</v>
      </c>
      <c r="N414" t="s">
        <v>147</v>
      </c>
      <c r="O414">
        <v>251024</v>
      </c>
      <c r="P414">
        <v>36.6</v>
      </c>
      <c r="Q414"/>
    </row>
    <row r="415" spans="1:17" s="1" customFormat="1" x14ac:dyDescent="0.25">
      <c r="A415" t="s">
        <v>3296</v>
      </c>
      <c r="B415" t="s">
        <v>2931</v>
      </c>
      <c r="C415">
        <v>14180</v>
      </c>
      <c r="D415" t="str">
        <f t="shared" si="24"/>
        <v xml:space="preserve">706365      </v>
      </c>
      <c r="E415" t="s">
        <v>501</v>
      </c>
      <c r="F415" t="s">
        <v>502</v>
      </c>
      <c r="G415">
        <v>28.25</v>
      </c>
      <c r="H415">
        <v>251017</v>
      </c>
      <c r="I415">
        <v>4841</v>
      </c>
      <c r="J415" t="s">
        <v>9</v>
      </c>
      <c r="K415">
        <v>1299.97</v>
      </c>
      <c r="L415">
        <v>5.74</v>
      </c>
      <c r="M415">
        <v>17535</v>
      </c>
      <c r="N415" t="s">
        <v>149</v>
      </c>
      <c r="O415">
        <v>251024</v>
      </c>
      <c r="P415">
        <v>22.51</v>
      </c>
      <c r="Q415"/>
    </row>
    <row r="416" spans="1:17" s="1" customFormat="1" x14ac:dyDescent="0.25">
      <c r="A416" t="s">
        <v>3296</v>
      </c>
      <c r="B416" t="s">
        <v>2931</v>
      </c>
      <c r="C416">
        <v>14180</v>
      </c>
      <c r="D416" t="str">
        <f t="shared" si="24"/>
        <v xml:space="preserve">706365      </v>
      </c>
      <c r="E416" t="s">
        <v>501</v>
      </c>
      <c r="F416" t="s">
        <v>502</v>
      </c>
      <c r="G416">
        <v>10.49</v>
      </c>
      <c r="H416">
        <v>251017</v>
      </c>
      <c r="I416">
        <v>4841</v>
      </c>
      <c r="J416" t="s">
        <v>9</v>
      </c>
      <c r="K416">
        <v>1299.97</v>
      </c>
      <c r="L416">
        <v>2.13</v>
      </c>
      <c r="M416">
        <v>17536</v>
      </c>
      <c r="N416" t="s">
        <v>150</v>
      </c>
      <c r="O416">
        <v>251024</v>
      </c>
      <c r="P416">
        <v>8.36</v>
      </c>
      <c r="Q416"/>
    </row>
    <row r="417" spans="1:17" s="1" customFormat="1" x14ac:dyDescent="0.25">
      <c r="A417" t="s">
        <v>3296</v>
      </c>
      <c r="B417" t="s">
        <v>2931</v>
      </c>
      <c r="C417">
        <v>14180</v>
      </c>
      <c r="D417" t="str">
        <f t="shared" si="24"/>
        <v xml:space="preserve">706365      </v>
      </c>
      <c r="E417" t="s">
        <v>501</v>
      </c>
      <c r="F417" t="s">
        <v>502</v>
      </c>
      <c r="G417">
        <v>4.07</v>
      </c>
      <c r="H417">
        <v>251017</v>
      </c>
      <c r="I417">
        <v>4841</v>
      </c>
      <c r="J417" t="s">
        <v>9</v>
      </c>
      <c r="K417">
        <v>1299.97</v>
      </c>
      <c r="L417">
        <v>0.83</v>
      </c>
      <c r="M417">
        <v>17537</v>
      </c>
      <c r="N417" t="s">
        <v>151</v>
      </c>
      <c r="O417">
        <v>251024</v>
      </c>
      <c r="P417">
        <v>3.24</v>
      </c>
      <c r="Q417"/>
    </row>
    <row r="418" spans="1:17" s="1" customFormat="1" x14ac:dyDescent="0.25">
      <c r="A418" t="s">
        <v>3296</v>
      </c>
      <c r="B418" t="s">
        <v>2931</v>
      </c>
      <c r="C418">
        <v>14180</v>
      </c>
      <c r="D418" t="str">
        <f t="shared" si="24"/>
        <v xml:space="preserve">706365      </v>
      </c>
      <c r="E418" t="s">
        <v>501</v>
      </c>
      <c r="F418" t="s">
        <v>502</v>
      </c>
      <c r="G418">
        <v>361.28</v>
      </c>
      <c r="H418">
        <v>251017</v>
      </c>
      <c r="I418">
        <v>4841</v>
      </c>
      <c r="J418" t="s">
        <v>9</v>
      </c>
      <c r="K418">
        <v>1299.97</v>
      </c>
      <c r="L418">
        <v>73.41</v>
      </c>
      <c r="M418">
        <v>17537</v>
      </c>
      <c r="N418" t="s">
        <v>151</v>
      </c>
      <c r="O418">
        <v>251024</v>
      </c>
      <c r="P418">
        <v>287.87</v>
      </c>
      <c r="Q418"/>
    </row>
    <row r="419" spans="1:17" s="1" customFormat="1" x14ac:dyDescent="0.25">
      <c r="A419" t="s">
        <v>3296</v>
      </c>
      <c r="B419" t="s">
        <v>2931</v>
      </c>
      <c r="C419">
        <v>14180</v>
      </c>
      <c r="D419" t="str">
        <f t="shared" si="24"/>
        <v xml:space="preserve">706365      </v>
      </c>
      <c r="E419" t="s">
        <v>501</v>
      </c>
      <c r="F419" t="s">
        <v>502</v>
      </c>
      <c r="G419">
        <v>234.81</v>
      </c>
      <c r="H419">
        <v>251017</v>
      </c>
      <c r="I419">
        <v>4841</v>
      </c>
      <c r="J419" t="s">
        <v>9</v>
      </c>
      <c r="K419">
        <v>1299.97</v>
      </c>
      <c r="L419">
        <v>47.71</v>
      </c>
      <c r="M419">
        <v>17538</v>
      </c>
      <c r="N419" t="s">
        <v>129</v>
      </c>
      <c r="O419">
        <v>251024</v>
      </c>
      <c r="P419">
        <v>187.1</v>
      </c>
      <c r="Q419"/>
    </row>
    <row r="420" spans="1:17" s="1" customFormat="1" x14ac:dyDescent="0.25">
      <c r="A420" t="s">
        <v>3296</v>
      </c>
      <c r="B420" t="s">
        <v>2931</v>
      </c>
      <c r="C420">
        <v>14180</v>
      </c>
      <c r="D420" t="str">
        <f t="shared" si="24"/>
        <v xml:space="preserve">706365      </v>
      </c>
      <c r="E420" t="s">
        <v>501</v>
      </c>
      <c r="F420" t="s">
        <v>502</v>
      </c>
      <c r="G420">
        <v>33.36</v>
      </c>
      <c r="H420">
        <v>251017</v>
      </c>
      <c r="I420">
        <v>4841</v>
      </c>
      <c r="J420" t="s">
        <v>9</v>
      </c>
      <c r="K420">
        <v>1299.97</v>
      </c>
      <c r="L420">
        <v>6.78</v>
      </c>
      <c r="M420">
        <v>17950</v>
      </c>
      <c r="N420" t="s">
        <v>132</v>
      </c>
      <c r="O420">
        <v>251024</v>
      </c>
      <c r="P420">
        <v>26.58</v>
      </c>
      <c r="Q420"/>
    </row>
    <row r="421" spans="1:17" s="1" customFormat="1" x14ac:dyDescent="0.25">
      <c r="A421" t="s">
        <v>3296</v>
      </c>
      <c r="B421" t="s">
        <v>2931</v>
      </c>
      <c r="C421">
        <v>14180</v>
      </c>
      <c r="D421" t="str">
        <f t="shared" si="24"/>
        <v xml:space="preserve">706365      </v>
      </c>
      <c r="E421" t="s">
        <v>501</v>
      </c>
      <c r="F421" t="s">
        <v>502</v>
      </c>
      <c r="G421">
        <v>109.02</v>
      </c>
      <c r="H421">
        <v>251017</v>
      </c>
      <c r="I421">
        <v>4841</v>
      </c>
      <c r="J421" t="s">
        <v>9</v>
      </c>
      <c r="K421">
        <v>1299.97</v>
      </c>
      <c r="L421">
        <v>22.15</v>
      </c>
      <c r="M421">
        <v>17971</v>
      </c>
      <c r="N421" t="s">
        <v>27</v>
      </c>
      <c r="O421">
        <v>251024</v>
      </c>
      <c r="P421">
        <v>86.87</v>
      </c>
      <c r="Q421"/>
    </row>
    <row r="422" spans="1:17" s="1" customFormat="1" x14ac:dyDescent="0.25">
      <c r="A422" t="s">
        <v>3296</v>
      </c>
      <c r="B422" t="s">
        <v>2931</v>
      </c>
      <c r="C422">
        <v>14180</v>
      </c>
      <c r="D422" t="str">
        <f t="shared" si="24"/>
        <v xml:space="preserve">706365      </v>
      </c>
      <c r="E422" t="s">
        <v>501</v>
      </c>
      <c r="F422" t="s">
        <v>502</v>
      </c>
      <c r="G422">
        <v>28.74</v>
      </c>
      <c r="H422">
        <v>251017</v>
      </c>
      <c r="I422">
        <v>4841</v>
      </c>
      <c r="J422" t="s">
        <v>9</v>
      </c>
      <c r="K422">
        <v>1299.97</v>
      </c>
      <c r="L422">
        <v>5.84</v>
      </c>
      <c r="M422">
        <v>17975</v>
      </c>
      <c r="N422" t="s">
        <v>29</v>
      </c>
      <c r="O422">
        <v>251024</v>
      </c>
      <c r="P422">
        <v>22.9</v>
      </c>
      <c r="Q422"/>
    </row>
    <row r="423" spans="1:17" s="1" customFormat="1" x14ac:dyDescent="0.25">
      <c r="A423" t="s">
        <v>3296</v>
      </c>
      <c r="B423" t="s">
        <v>2931</v>
      </c>
      <c r="C423">
        <v>14188</v>
      </c>
      <c r="D423" t="str">
        <f>"707801      "</f>
        <v xml:space="preserve">707801      </v>
      </c>
      <c r="E423" t="s">
        <v>501</v>
      </c>
      <c r="F423" t="s">
        <v>502</v>
      </c>
      <c r="G423">
        <v>451.8</v>
      </c>
      <c r="H423">
        <v>251021</v>
      </c>
      <c r="I423">
        <v>4841</v>
      </c>
      <c r="J423" t="s">
        <v>9</v>
      </c>
      <c r="K423">
        <v>451.8</v>
      </c>
      <c r="L423">
        <v>91.8</v>
      </c>
      <c r="M423">
        <v>13501</v>
      </c>
      <c r="N423" t="s">
        <v>66</v>
      </c>
      <c r="O423">
        <v>251024</v>
      </c>
      <c r="P423">
        <v>360</v>
      </c>
      <c r="Q423"/>
    </row>
    <row r="424" spans="1:17" s="1" customFormat="1" x14ac:dyDescent="0.25">
      <c r="A424" t="s">
        <v>3296</v>
      </c>
      <c r="B424" t="s">
        <v>2931</v>
      </c>
      <c r="C424">
        <v>14229</v>
      </c>
      <c r="D424" t="str">
        <f>"706360      "</f>
        <v xml:space="preserve">706360      </v>
      </c>
      <c r="E424" t="s">
        <v>501</v>
      </c>
      <c r="F424" t="s">
        <v>502</v>
      </c>
      <c r="G424">
        <v>14.56</v>
      </c>
      <c r="H424">
        <v>251017</v>
      </c>
      <c r="I424">
        <v>4841</v>
      </c>
      <c r="J424" t="s">
        <v>9</v>
      </c>
      <c r="K424">
        <v>60.62</v>
      </c>
      <c r="L424">
        <v>2.96</v>
      </c>
      <c r="M424">
        <v>18010</v>
      </c>
      <c r="N424" t="s">
        <v>36</v>
      </c>
      <c r="O424">
        <v>251027</v>
      </c>
      <c r="P424">
        <v>11.6</v>
      </c>
      <c r="Q424"/>
    </row>
    <row r="425" spans="1:17" s="1" customFormat="1" x14ac:dyDescent="0.25">
      <c r="A425" t="s">
        <v>3296</v>
      </c>
      <c r="B425" t="s">
        <v>2931</v>
      </c>
      <c r="C425">
        <v>14229</v>
      </c>
      <c r="D425" t="str">
        <f>"706360      "</f>
        <v xml:space="preserve">706360      </v>
      </c>
      <c r="E425" t="s">
        <v>501</v>
      </c>
      <c r="F425" t="s">
        <v>502</v>
      </c>
      <c r="G425">
        <v>8.16</v>
      </c>
      <c r="H425">
        <v>251017</v>
      </c>
      <c r="I425">
        <v>4841</v>
      </c>
      <c r="J425" t="s">
        <v>9</v>
      </c>
      <c r="K425">
        <v>60.62</v>
      </c>
      <c r="L425">
        <v>1.66</v>
      </c>
      <c r="M425">
        <v>18120</v>
      </c>
      <c r="N425" t="s">
        <v>37</v>
      </c>
      <c r="O425">
        <v>251027</v>
      </c>
      <c r="P425">
        <v>6.5</v>
      </c>
      <c r="Q425"/>
    </row>
    <row r="426" spans="1:17" s="1" customFormat="1" x14ac:dyDescent="0.25">
      <c r="A426" t="s">
        <v>3296</v>
      </c>
      <c r="B426" t="s">
        <v>2931</v>
      </c>
      <c r="C426">
        <v>14229</v>
      </c>
      <c r="D426" t="str">
        <f>"706360      "</f>
        <v xml:space="preserve">706360      </v>
      </c>
      <c r="E426" t="s">
        <v>501</v>
      </c>
      <c r="F426" t="s">
        <v>502</v>
      </c>
      <c r="G426">
        <v>4.07</v>
      </c>
      <c r="H426">
        <v>251017</v>
      </c>
      <c r="I426">
        <v>4841</v>
      </c>
      <c r="J426" t="s">
        <v>9</v>
      </c>
      <c r="K426">
        <v>60.62</v>
      </c>
      <c r="L426">
        <v>0.83</v>
      </c>
      <c r="M426">
        <v>18972</v>
      </c>
      <c r="N426" t="s">
        <v>39</v>
      </c>
      <c r="O426">
        <v>251027</v>
      </c>
      <c r="P426">
        <v>3.24</v>
      </c>
      <c r="Q426"/>
    </row>
    <row r="427" spans="1:17" s="1" customFormat="1" x14ac:dyDescent="0.25">
      <c r="A427" t="s">
        <v>3296</v>
      </c>
      <c r="B427" t="s">
        <v>2931</v>
      </c>
      <c r="C427">
        <v>14229</v>
      </c>
      <c r="D427" t="str">
        <f>"706360      "</f>
        <v xml:space="preserve">706360      </v>
      </c>
      <c r="E427" t="s">
        <v>501</v>
      </c>
      <c r="F427" t="s">
        <v>502</v>
      </c>
      <c r="G427">
        <v>33.83</v>
      </c>
      <c r="H427">
        <v>251017</v>
      </c>
      <c r="I427">
        <v>4841</v>
      </c>
      <c r="J427" t="s">
        <v>9</v>
      </c>
      <c r="K427">
        <v>60.62</v>
      </c>
      <c r="L427">
        <v>6.87</v>
      </c>
      <c r="M427">
        <v>18972</v>
      </c>
      <c r="N427" t="s">
        <v>39</v>
      </c>
      <c r="O427">
        <v>251027</v>
      </c>
      <c r="P427">
        <v>26.96</v>
      </c>
      <c r="Q427"/>
    </row>
    <row r="428" spans="1:17" s="1" customFormat="1" x14ac:dyDescent="0.25">
      <c r="A428" t="s">
        <v>3296</v>
      </c>
      <c r="B428" t="s">
        <v>2931</v>
      </c>
      <c r="C428">
        <v>14230</v>
      </c>
      <c r="D428" t="str">
        <f t="shared" ref="D428:D450" si="25">"706369      "</f>
        <v xml:space="preserve">706369      </v>
      </c>
      <c r="E428" t="s">
        <v>501</v>
      </c>
      <c r="F428" t="s">
        <v>502</v>
      </c>
      <c r="G428">
        <v>8.36</v>
      </c>
      <c r="H428">
        <v>251017</v>
      </c>
      <c r="I428">
        <v>4841</v>
      </c>
      <c r="J428" t="s">
        <v>9</v>
      </c>
      <c r="K428">
        <v>1340.59</v>
      </c>
      <c r="L428">
        <v>1.7</v>
      </c>
      <c r="M428">
        <v>11751</v>
      </c>
      <c r="N428" t="s">
        <v>167</v>
      </c>
      <c r="O428">
        <v>251027</v>
      </c>
      <c r="P428">
        <v>6.66</v>
      </c>
      <c r="Q428"/>
    </row>
    <row r="429" spans="1:17" s="1" customFormat="1" x14ac:dyDescent="0.25">
      <c r="A429" t="s">
        <v>3296</v>
      </c>
      <c r="B429" t="s">
        <v>2931</v>
      </c>
      <c r="C429">
        <v>14230</v>
      </c>
      <c r="D429" t="str">
        <f t="shared" si="25"/>
        <v xml:space="preserve">706369      </v>
      </c>
      <c r="E429" t="s">
        <v>501</v>
      </c>
      <c r="F429" t="s">
        <v>502</v>
      </c>
      <c r="G429">
        <v>107.1</v>
      </c>
      <c r="H429">
        <v>251017</v>
      </c>
      <c r="I429">
        <v>4841</v>
      </c>
      <c r="J429" t="s">
        <v>9</v>
      </c>
      <c r="K429">
        <v>1340.59</v>
      </c>
      <c r="L429">
        <v>21.76</v>
      </c>
      <c r="M429">
        <v>61122</v>
      </c>
      <c r="N429" t="s">
        <v>86</v>
      </c>
      <c r="O429">
        <v>251027</v>
      </c>
      <c r="P429">
        <v>85.34</v>
      </c>
      <c r="Q429"/>
    </row>
    <row r="430" spans="1:17" s="1" customFormat="1" x14ac:dyDescent="0.25">
      <c r="A430" t="s">
        <v>3296</v>
      </c>
      <c r="B430" t="s">
        <v>2931</v>
      </c>
      <c r="C430">
        <v>14230</v>
      </c>
      <c r="D430" t="str">
        <f t="shared" si="25"/>
        <v xml:space="preserve">706369      </v>
      </c>
      <c r="E430" t="s">
        <v>501</v>
      </c>
      <c r="F430" t="s">
        <v>502</v>
      </c>
      <c r="G430">
        <v>12.81</v>
      </c>
      <c r="H430">
        <v>251017</v>
      </c>
      <c r="I430">
        <v>4841</v>
      </c>
      <c r="J430" t="s">
        <v>9</v>
      </c>
      <c r="K430">
        <v>1340.59</v>
      </c>
      <c r="L430">
        <v>2.6</v>
      </c>
      <c r="M430">
        <v>61122</v>
      </c>
      <c r="N430" t="s">
        <v>86</v>
      </c>
      <c r="O430">
        <v>251027</v>
      </c>
      <c r="P430">
        <v>10.210000000000001</v>
      </c>
      <c r="Q430"/>
    </row>
    <row r="431" spans="1:17" s="1" customFormat="1" x14ac:dyDescent="0.25">
      <c r="A431" t="s">
        <v>3296</v>
      </c>
      <c r="B431" t="s">
        <v>2931</v>
      </c>
      <c r="C431">
        <v>14230</v>
      </c>
      <c r="D431" t="str">
        <f t="shared" si="25"/>
        <v xml:space="preserve">706369      </v>
      </c>
      <c r="E431" t="s">
        <v>501</v>
      </c>
      <c r="F431" t="s">
        <v>502</v>
      </c>
      <c r="G431">
        <v>94.56</v>
      </c>
      <c r="H431">
        <v>251017</v>
      </c>
      <c r="I431">
        <v>4841</v>
      </c>
      <c r="J431" t="s">
        <v>9</v>
      </c>
      <c r="K431">
        <v>1340.59</v>
      </c>
      <c r="L431">
        <v>19.21</v>
      </c>
      <c r="M431">
        <v>65222</v>
      </c>
      <c r="N431" t="s">
        <v>87</v>
      </c>
      <c r="O431">
        <v>251027</v>
      </c>
      <c r="P431">
        <v>75.349999999999994</v>
      </c>
      <c r="Q431"/>
    </row>
    <row r="432" spans="1:17" s="1" customFormat="1" x14ac:dyDescent="0.25">
      <c r="A432" t="s">
        <v>3296</v>
      </c>
      <c r="B432" t="s">
        <v>2931</v>
      </c>
      <c r="C432">
        <v>14230</v>
      </c>
      <c r="D432" t="str">
        <f t="shared" si="25"/>
        <v xml:space="preserve">706369      </v>
      </c>
      <c r="E432" t="s">
        <v>501</v>
      </c>
      <c r="F432" t="s">
        <v>502</v>
      </c>
      <c r="G432">
        <v>2.0299999999999998</v>
      </c>
      <c r="H432">
        <v>251017</v>
      </c>
      <c r="I432">
        <v>4841</v>
      </c>
      <c r="J432" t="s">
        <v>9</v>
      </c>
      <c r="K432">
        <v>1340.59</v>
      </c>
      <c r="L432">
        <v>0.41</v>
      </c>
      <c r="M432">
        <v>65422</v>
      </c>
      <c r="N432" t="s">
        <v>117</v>
      </c>
      <c r="O432">
        <v>251027</v>
      </c>
      <c r="P432">
        <v>1.62</v>
      </c>
      <c r="Q432"/>
    </row>
    <row r="433" spans="1:17" s="1" customFormat="1" x14ac:dyDescent="0.25">
      <c r="A433" t="s">
        <v>3296</v>
      </c>
      <c r="B433" t="s">
        <v>2931</v>
      </c>
      <c r="C433">
        <v>14230</v>
      </c>
      <c r="D433" t="str">
        <f t="shared" si="25"/>
        <v xml:space="preserve">706369      </v>
      </c>
      <c r="E433" t="s">
        <v>501</v>
      </c>
      <c r="F433" t="s">
        <v>502</v>
      </c>
      <c r="G433">
        <v>29.69</v>
      </c>
      <c r="H433">
        <v>251017</v>
      </c>
      <c r="I433">
        <v>4841</v>
      </c>
      <c r="J433" t="s">
        <v>9</v>
      </c>
      <c r="K433">
        <v>1340.59</v>
      </c>
      <c r="L433">
        <v>6.03</v>
      </c>
      <c r="M433">
        <v>66722</v>
      </c>
      <c r="N433" t="s">
        <v>118</v>
      </c>
      <c r="O433">
        <v>251027</v>
      </c>
      <c r="P433">
        <v>23.66</v>
      </c>
      <c r="Q433"/>
    </row>
    <row r="434" spans="1:17" s="1" customFormat="1" x14ac:dyDescent="0.25">
      <c r="A434" t="s">
        <v>3296</v>
      </c>
      <c r="B434" t="s">
        <v>2931</v>
      </c>
      <c r="C434">
        <v>14230</v>
      </c>
      <c r="D434" t="str">
        <f t="shared" si="25"/>
        <v xml:space="preserve">706369      </v>
      </c>
      <c r="E434" t="s">
        <v>501</v>
      </c>
      <c r="F434" t="s">
        <v>502</v>
      </c>
      <c r="G434">
        <v>104.52</v>
      </c>
      <c r="H434">
        <v>251017</v>
      </c>
      <c r="I434">
        <v>4841</v>
      </c>
      <c r="J434" t="s">
        <v>9</v>
      </c>
      <c r="K434">
        <v>1340.59</v>
      </c>
      <c r="L434">
        <v>21.24</v>
      </c>
      <c r="M434">
        <v>66756</v>
      </c>
      <c r="N434" t="s">
        <v>120</v>
      </c>
      <c r="O434">
        <v>251027</v>
      </c>
      <c r="P434">
        <v>83.28</v>
      </c>
      <c r="Q434"/>
    </row>
    <row r="435" spans="1:17" s="1" customFormat="1" x14ac:dyDescent="0.25">
      <c r="A435" t="s">
        <v>3296</v>
      </c>
      <c r="B435" t="s">
        <v>2931</v>
      </c>
      <c r="C435">
        <v>14230</v>
      </c>
      <c r="D435" t="str">
        <f t="shared" si="25"/>
        <v xml:space="preserve">706369      </v>
      </c>
      <c r="E435" t="s">
        <v>501</v>
      </c>
      <c r="F435" t="s">
        <v>502</v>
      </c>
      <c r="G435">
        <v>43.3</v>
      </c>
      <c r="H435">
        <v>251017</v>
      </c>
      <c r="I435">
        <v>4841</v>
      </c>
      <c r="J435" t="s">
        <v>9</v>
      </c>
      <c r="K435">
        <v>1340.59</v>
      </c>
      <c r="L435">
        <v>8.8000000000000007</v>
      </c>
      <c r="M435">
        <v>67522</v>
      </c>
      <c r="N435" t="s">
        <v>121</v>
      </c>
      <c r="O435">
        <v>251027</v>
      </c>
      <c r="P435">
        <v>34.5</v>
      </c>
      <c r="Q435"/>
    </row>
    <row r="436" spans="1:17" s="1" customFormat="1" x14ac:dyDescent="0.25">
      <c r="A436" t="s">
        <v>3296</v>
      </c>
      <c r="B436" t="s">
        <v>2931</v>
      </c>
      <c r="C436">
        <v>14230</v>
      </c>
      <c r="D436" t="str">
        <f t="shared" si="25"/>
        <v xml:space="preserve">706369      </v>
      </c>
      <c r="E436" t="s">
        <v>501</v>
      </c>
      <c r="F436" t="s">
        <v>502</v>
      </c>
      <c r="G436">
        <v>38.72</v>
      </c>
      <c r="H436">
        <v>251017</v>
      </c>
      <c r="I436">
        <v>4841</v>
      </c>
      <c r="J436" t="s">
        <v>9</v>
      </c>
      <c r="K436">
        <v>1340.59</v>
      </c>
      <c r="L436">
        <v>7.87</v>
      </c>
      <c r="M436">
        <v>67522</v>
      </c>
      <c r="N436" t="s">
        <v>121</v>
      </c>
      <c r="O436">
        <v>251027</v>
      </c>
      <c r="P436">
        <v>30.85</v>
      </c>
      <c r="Q436"/>
    </row>
    <row r="437" spans="1:17" s="1" customFormat="1" x14ac:dyDescent="0.25">
      <c r="A437" t="s">
        <v>3296</v>
      </c>
      <c r="B437" t="s">
        <v>2931</v>
      </c>
      <c r="C437">
        <v>14230</v>
      </c>
      <c r="D437" t="str">
        <f t="shared" si="25"/>
        <v xml:space="preserve">706369      </v>
      </c>
      <c r="E437" t="s">
        <v>501</v>
      </c>
      <c r="F437" t="s">
        <v>502</v>
      </c>
      <c r="G437">
        <v>13.05</v>
      </c>
      <c r="H437">
        <v>251017</v>
      </c>
      <c r="I437">
        <v>4841</v>
      </c>
      <c r="J437" t="s">
        <v>9</v>
      </c>
      <c r="K437">
        <v>1340.59</v>
      </c>
      <c r="L437">
        <v>2.65</v>
      </c>
      <c r="M437">
        <v>67554</v>
      </c>
      <c r="N437" t="s">
        <v>317</v>
      </c>
      <c r="O437">
        <v>251027</v>
      </c>
      <c r="P437">
        <v>10.4</v>
      </c>
      <c r="Q437"/>
    </row>
    <row r="438" spans="1:17" s="1" customFormat="1" x14ac:dyDescent="0.25">
      <c r="A438" t="s">
        <v>3296</v>
      </c>
      <c r="B438" t="s">
        <v>2931</v>
      </c>
      <c r="C438">
        <v>14230</v>
      </c>
      <c r="D438" t="str">
        <f t="shared" si="25"/>
        <v xml:space="preserve">706369      </v>
      </c>
      <c r="E438" t="s">
        <v>501</v>
      </c>
      <c r="F438" t="s">
        <v>502</v>
      </c>
      <c r="G438">
        <v>2.0299999999999998</v>
      </c>
      <c r="H438">
        <v>251017</v>
      </c>
      <c r="I438">
        <v>4841</v>
      </c>
      <c r="J438" t="s">
        <v>9</v>
      </c>
      <c r="K438">
        <v>1340.59</v>
      </c>
      <c r="L438">
        <v>0.41</v>
      </c>
      <c r="M438">
        <v>67554</v>
      </c>
      <c r="N438" t="s">
        <v>317</v>
      </c>
      <c r="O438">
        <v>251027</v>
      </c>
      <c r="P438">
        <v>1.62</v>
      </c>
      <c r="Q438"/>
    </row>
    <row r="439" spans="1:17" s="1" customFormat="1" x14ac:dyDescent="0.25">
      <c r="A439" t="s">
        <v>3296</v>
      </c>
      <c r="B439" t="s">
        <v>2931</v>
      </c>
      <c r="C439">
        <v>14230</v>
      </c>
      <c r="D439" t="str">
        <f t="shared" si="25"/>
        <v xml:space="preserve">706369      </v>
      </c>
      <c r="E439" t="s">
        <v>501</v>
      </c>
      <c r="F439" t="s">
        <v>502</v>
      </c>
      <c r="G439">
        <v>2.0299999999999998</v>
      </c>
      <c r="H439">
        <v>251017</v>
      </c>
      <c r="I439">
        <v>4841</v>
      </c>
      <c r="J439" t="s">
        <v>9</v>
      </c>
      <c r="K439">
        <v>1340.59</v>
      </c>
      <c r="L439">
        <v>0.41</v>
      </c>
      <c r="M439">
        <v>67554</v>
      </c>
      <c r="N439" t="s">
        <v>317</v>
      </c>
      <c r="O439">
        <v>251027</v>
      </c>
      <c r="P439">
        <v>1.62</v>
      </c>
      <c r="Q439"/>
    </row>
    <row r="440" spans="1:17" s="1" customFormat="1" x14ac:dyDescent="0.25">
      <c r="A440" t="s">
        <v>3296</v>
      </c>
      <c r="B440" t="s">
        <v>2931</v>
      </c>
      <c r="C440">
        <v>14230</v>
      </c>
      <c r="D440" t="str">
        <f t="shared" si="25"/>
        <v xml:space="preserve">706369      </v>
      </c>
      <c r="E440" t="s">
        <v>501</v>
      </c>
      <c r="F440" t="s">
        <v>502</v>
      </c>
      <c r="G440">
        <v>14.85</v>
      </c>
      <c r="H440">
        <v>251017</v>
      </c>
      <c r="I440">
        <v>4841</v>
      </c>
      <c r="J440" t="s">
        <v>9</v>
      </c>
      <c r="K440">
        <v>1340.59</v>
      </c>
      <c r="L440">
        <v>3.02</v>
      </c>
      <c r="M440">
        <v>69111</v>
      </c>
      <c r="N440" t="s">
        <v>657</v>
      </c>
      <c r="O440">
        <v>251027</v>
      </c>
      <c r="P440">
        <v>11.83</v>
      </c>
      <c r="Q440"/>
    </row>
    <row r="441" spans="1:17" s="1" customFormat="1" x14ac:dyDescent="0.25">
      <c r="A441" t="s">
        <v>3296</v>
      </c>
      <c r="B441" t="s">
        <v>2931</v>
      </c>
      <c r="C441">
        <v>14230</v>
      </c>
      <c r="D441" t="str">
        <f t="shared" si="25"/>
        <v xml:space="preserve">706369      </v>
      </c>
      <c r="E441" t="s">
        <v>501</v>
      </c>
      <c r="F441" t="s">
        <v>502</v>
      </c>
      <c r="G441">
        <v>13.09</v>
      </c>
      <c r="H441">
        <v>251017</v>
      </c>
      <c r="I441">
        <v>4841</v>
      </c>
      <c r="J441" t="s">
        <v>9</v>
      </c>
      <c r="K441">
        <v>1340.59</v>
      </c>
      <c r="L441">
        <v>2.66</v>
      </c>
      <c r="M441">
        <v>69112</v>
      </c>
      <c r="N441" t="s">
        <v>227</v>
      </c>
      <c r="O441">
        <v>251027</v>
      </c>
      <c r="P441">
        <v>10.43</v>
      </c>
      <c r="Q441"/>
    </row>
    <row r="442" spans="1:17" s="1" customFormat="1" x14ac:dyDescent="0.25">
      <c r="A442" t="s">
        <v>3296</v>
      </c>
      <c r="B442" t="s">
        <v>2931</v>
      </c>
      <c r="C442">
        <v>14230</v>
      </c>
      <c r="D442" t="str">
        <f t="shared" si="25"/>
        <v xml:space="preserve">706369      </v>
      </c>
      <c r="E442" t="s">
        <v>501</v>
      </c>
      <c r="F442" t="s">
        <v>502</v>
      </c>
      <c r="G442">
        <v>10</v>
      </c>
      <c r="H442">
        <v>251017</v>
      </c>
      <c r="I442">
        <v>4841</v>
      </c>
      <c r="J442" t="s">
        <v>9</v>
      </c>
      <c r="K442">
        <v>1340.59</v>
      </c>
      <c r="L442">
        <v>2.0299999999999998</v>
      </c>
      <c r="M442">
        <v>69501</v>
      </c>
      <c r="N442" t="s">
        <v>123</v>
      </c>
      <c r="O442">
        <v>251027</v>
      </c>
      <c r="P442">
        <v>7.97</v>
      </c>
      <c r="Q442"/>
    </row>
    <row r="443" spans="1:17" s="1" customFormat="1" x14ac:dyDescent="0.25">
      <c r="A443" t="s">
        <v>3296</v>
      </c>
      <c r="B443" t="s">
        <v>2931</v>
      </c>
      <c r="C443">
        <v>14230</v>
      </c>
      <c r="D443" t="str">
        <f t="shared" si="25"/>
        <v xml:space="preserve">706369      </v>
      </c>
      <c r="E443" t="s">
        <v>501</v>
      </c>
      <c r="F443" t="s">
        <v>502</v>
      </c>
      <c r="G443">
        <v>4.18</v>
      </c>
      <c r="H443">
        <v>251017</v>
      </c>
      <c r="I443">
        <v>4841</v>
      </c>
      <c r="J443" t="s">
        <v>9</v>
      </c>
      <c r="K443">
        <v>1340.59</v>
      </c>
      <c r="L443">
        <v>0.85</v>
      </c>
      <c r="M443">
        <v>69701</v>
      </c>
      <c r="N443" t="s">
        <v>1030</v>
      </c>
      <c r="O443">
        <v>251027</v>
      </c>
      <c r="P443">
        <v>3.33</v>
      </c>
      <c r="Q443"/>
    </row>
    <row r="444" spans="1:17" s="1" customFormat="1" x14ac:dyDescent="0.25">
      <c r="A444" t="s">
        <v>3296</v>
      </c>
      <c r="B444" t="s">
        <v>2931</v>
      </c>
      <c r="C444">
        <v>14230</v>
      </c>
      <c r="D444" t="str">
        <f t="shared" si="25"/>
        <v xml:space="preserve">706369      </v>
      </c>
      <c r="E444" t="s">
        <v>501</v>
      </c>
      <c r="F444" t="s">
        <v>502</v>
      </c>
      <c r="G444">
        <v>14.52</v>
      </c>
      <c r="H444">
        <v>251017</v>
      </c>
      <c r="I444">
        <v>4841</v>
      </c>
      <c r="J444" t="s">
        <v>9</v>
      </c>
      <c r="K444">
        <v>1340.59</v>
      </c>
      <c r="L444">
        <v>2.95</v>
      </c>
      <c r="M444">
        <v>69702</v>
      </c>
      <c r="N444" t="s">
        <v>124</v>
      </c>
      <c r="O444">
        <v>251027</v>
      </c>
      <c r="P444">
        <v>11.57</v>
      </c>
      <c r="Q444"/>
    </row>
    <row r="445" spans="1:17" s="1" customFormat="1" x14ac:dyDescent="0.25">
      <c r="A445" t="s">
        <v>3296</v>
      </c>
      <c r="B445" t="s">
        <v>2931</v>
      </c>
      <c r="C445">
        <v>14230</v>
      </c>
      <c r="D445" t="str">
        <f t="shared" si="25"/>
        <v xml:space="preserve">706369      </v>
      </c>
      <c r="E445" t="s">
        <v>501</v>
      </c>
      <c r="F445" t="s">
        <v>502</v>
      </c>
      <c r="G445">
        <v>653.24</v>
      </c>
      <c r="H445">
        <v>251017</v>
      </c>
      <c r="I445">
        <v>4841</v>
      </c>
      <c r="J445" t="s">
        <v>9</v>
      </c>
      <c r="K445">
        <v>1340.59</v>
      </c>
      <c r="L445">
        <v>132.72999999999999</v>
      </c>
      <c r="M445">
        <v>69702</v>
      </c>
      <c r="N445" t="s">
        <v>124</v>
      </c>
      <c r="O445">
        <v>251027</v>
      </c>
      <c r="P445">
        <v>520.51</v>
      </c>
      <c r="Q445"/>
    </row>
    <row r="446" spans="1:17" s="1" customFormat="1" x14ac:dyDescent="0.25">
      <c r="A446" t="s">
        <v>3296</v>
      </c>
      <c r="B446" t="s">
        <v>2931</v>
      </c>
      <c r="C446">
        <v>14230</v>
      </c>
      <c r="D446" t="str">
        <f t="shared" si="25"/>
        <v xml:space="preserve">706369      </v>
      </c>
      <c r="E446" t="s">
        <v>501</v>
      </c>
      <c r="F446" t="s">
        <v>502</v>
      </c>
      <c r="G446">
        <v>4.1900000000000004</v>
      </c>
      <c r="H446">
        <v>251017</v>
      </c>
      <c r="I446">
        <v>4841</v>
      </c>
      <c r="J446" t="s">
        <v>9</v>
      </c>
      <c r="K446">
        <v>1340.59</v>
      </c>
      <c r="L446">
        <v>0.85</v>
      </c>
      <c r="M446">
        <v>69703</v>
      </c>
      <c r="N446" t="s">
        <v>88</v>
      </c>
      <c r="O446">
        <v>251027</v>
      </c>
      <c r="P446">
        <v>3.34</v>
      </c>
      <c r="Q446"/>
    </row>
    <row r="447" spans="1:17" s="1" customFormat="1" x14ac:dyDescent="0.25">
      <c r="A447" t="s">
        <v>3296</v>
      </c>
      <c r="B447" t="s">
        <v>2931</v>
      </c>
      <c r="C447">
        <v>14230</v>
      </c>
      <c r="D447" t="str">
        <f t="shared" si="25"/>
        <v xml:space="preserve">706369      </v>
      </c>
      <c r="E447" t="s">
        <v>501</v>
      </c>
      <c r="F447" t="s">
        <v>502</v>
      </c>
      <c r="G447">
        <v>4.18</v>
      </c>
      <c r="H447">
        <v>251017</v>
      </c>
      <c r="I447">
        <v>4841</v>
      </c>
      <c r="J447" t="s">
        <v>9</v>
      </c>
      <c r="K447">
        <v>1340.59</v>
      </c>
      <c r="L447">
        <v>0.85</v>
      </c>
      <c r="M447">
        <v>69704</v>
      </c>
      <c r="N447" t="s">
        <v>89</v>
      </c>
      <c r="O447">
        <v>251027</v>
      </c>
      <c r="P447">
        <v>3.33</v>
      </c>
      <c r="Q447"/>
    </row>
    <row r="448" spans="1:17" s="1" customFormat="1" x14ac:dyDescent="0.25">
      <c r="A448" t="s">
        <v>3296</v>
      </c>
      <c r="B448" t="s">
        <v>2931</v>
      </c>
      <c r="C448">
        <v>14230</v>
      </c>
      <c r="D448" t="str">
        <f t="shared" si="25"/>
        <v xml:space="preserve">706369      </v>
      </c>
      <c r="E448" t="s">
        <v>501</v>
      </c>
      <c r="F448" t="s">
        <v>502</v>
      </c>
      <c r="G448">
        <v>128.15</v>
      </c>
      <c r="H448">
        <v>251017</v>
      </c>
      <c r="I448">
        <v>4841</v>
      </c>
      <c r="J448" t="s">
        <v>9</v>
      </c>
      <c r="K448">
        <v>1340.59</v>
      </c>
      <c r="L448">
        <v>26.04</v>
      </c>
      <c r="M448">
        <v>69704</v>
      </c>
      <c r="N448" t="s">
        <v>89</v>
      </c>
      <c r="O448">
        <v>251027</v>
      </c>
      <c r="P448">
        <v>102.11</v>
      </c>
      <c r="Q448"/>
    </row>
    <row r="449" spans="1:17" s="1" customFormat="1" x14ac:dyDescent="0.25">
      <c r="A449" t="s">
        <v>3296</v>
      </c>
      <c r="B449" t="s">
        <v>2931</v>
      </c>
      <c r="C449">
        <v>14230</v>
      </c>
      <c r="D449" t="str">
        <f t="shared" si="25"/>
        <v xml:space="preserve">706369      </v>
      </c>
      <c r="E449" t="s">
        <v>501</v>
      </c>
      <c r="F449" t="s">
        <v>502</v>
      </c>
      <c r="G449">
        <v>22.94</v>
      </c>
      <c r="H449">
        <v>251017</v>
      </c>
      <c r="I449">
        <v>4841</v>
      </c>
      <c r="J449" t="s">
        <v>9</v>
      </c>
      <c r="K449">
        <v>1340.59</v>
      </c>
      <c r="L449">
        <v>4.66</v>
      </c>
      <c r="M449">
        <v>69707</v>
      </c>
      <c r="N449" t="s">
        <v>90</v>
      </c>
      <c r="O449">
        <v>251027</v>
      </c>
      <c r="P449">
        <v>18.28</v>
      </c>
      <c r="Q449"/>
    </row>
    <row r="450" spans="1:17" s="1" customFormat="1" x14ac:dyDescent="0.25">
      <c r="A450" t="s">
        <v>3296</v>
      </c>
      <c r="B450" t="s">
        <v>2931</v>
      </c>
      <c r="C450">
        <v>14230</v>
      </c>
      <c r="D450" t="str">
        <f t="shared" si="25"/>
        <v xml:space="preserve">706369      </v>
      </c>
      <c r="E450" t="s">
        <v>501</v>
      </c>
      <c r="F450" t="s">
        <v>502</v>
      </c>
      <c r="G450">
        <v>13.05</v>
      </c>
      <c r="H450">
        <v>251017</v>
      </c>
      <c r="I450">
        <v>4841</v>
      </c>
      <c r="J450" t="s">
        <v>9</v>
      </c>
      <c r="K450">
        <v>1340.59</v>
      </c>
      <c r="L450">
        <v>2.65</v>
      </c>
      <c r="M450">
        <v>69708</v>
      </c>
      <c r="N450" t="s">
        <v>125</v>
      </c>
      <c r="O450">
        <v>251027</v>
      </c>
      <c r="P450">
        <v>10.4</v>
      </c>
      <c r="Q450"/>
    </row>
    <row r="451" spans="1:17" s="1" customFormat="1" x14ac:dyDescent="0.25">
      <c r="A451" t="s">
        <v>3296</v>
      </c>
      <c r="B451" t="s">
        <v>2931</v>
      </c>
      <c r="C451">
        <v>14287</v>
      </c>
      <c r="D451" t="str">
        <f t="shared" ref="D451:D467" si="26">"706368      "</f>
        <v xml:space="preserve">706368      </v>
      </c>
      <c r="E451" t="s">
        <v>501</v>
      </c>
      <c r="F451" t="s">
        <v>502</v>
      </c>
      <c r="G451">
        <v>12.81</v>
      </c>
      <c r="H451">
        <v>251017</v>
      </c>
      <c r="I451">
        <v>4841</v>
      </c>
      <c r="J451" t="s">
        <v>9</v>
      </c>
      <c r="K451">
        <v>970.67</v>
      </c>
      <c r="L451">
        <v>2.6</v>
      </c>
      <c r="M451">
        <v>11900</v>
      </c>
      <c r="N451" t="s">
        <v>30</v>
      </c>
      <c r="O451">
        <v>251028</v>
      </c>
      <c r="P451">
        <v>10.210000000000001</v>
      </c>
      <c r="Q451"/>
    </row>
    <row r="452" spans="1:17" s="1" customFormat="1" x14ac:dyDescent="0.25">
      <c r="A452" t="s">
        <v>3296</v>
      </c>
      <c r="B452" t="s">
        <v>2931</v>
      </c>
      <c r="C452">
        <v>14287</v>
      </c>
      <c r="D452" t="str">
        <f t="shared" si="26"/>
        <v xml:space="preserve">706368      </v>
      </c>
      <c r="E452" t="s">
        <v>501</v>
      </c>
      <c r="F452" t="s">
        <v>502</v>
      </c>
      <c r="G452">
        <v>28.26</v>
      </c>
      <c r="H452">
        <v>251017</v>
      </c>
      <c r="I452">
        <v>4841</v>
      </c>
      <c r="J452" t="s">
        <v>9</v>
      </c>
      <c r="K452">
        <v>970.67</v>
      </c>
      <c r="L452">
        <v>5.74</v>
      </c>
      <c r="M452">
        <v>13601</v>
      </c>
      <c r="N452" t="s">
        <v>115</v>
      </c>
      <c r="O452">
        <v>251028</v>
      </c>
      <c r="P452">
        <v>22.52</v>
      </c>
      <c r="Q452"/>
    </row>
    <row r="453" spans="1:17" s="1" customFormat="1" x14ac:dyDescent="0.25">
      <c r="A453" t="s">
        <v>3296</v>
      </c>
      <c r="B453" t="s">
        <v>2931</v>
      </c>
      <c r="C453">
        <v>14287</v>
      </c>
      <c r="D453" t="str">
        <f t="shared" si="26"/>
        <v xml:space="preserve">706368      </v>
      </c>
      <c r="E453" t="s">
        <v>501</v>
      </c>
      <c r="F453" t="s">
        <v>502</v>
      </c>
      <c r="G453">
        <v>26.48</v>
      </c>
      <c r="H453">
        <v>251017</v>
      </c>
      <c r="I453">
        <v>4841</v>
      </c>
      <c r="J453" t="s">
        <v>9</v>
      </c>
      <c r="K453">
        <v>970.67</v>
      </c>
      <c r="L453">
        <v>5.38</v>
      </c>
      <c r="M453">
        <v>13801</v>
      </c>
      <c r="N453" t="s">
        <v>33</v>
      </c>
      <c r="O453">
        <v>251028</v>
      </c>
      <c r="P453">
        <v>21.1</v>
      </c>
      <c r="Q453"/>
    </row>
    <row r="454" spans="1:17" s="1" customFormat="1" x14ac:dyDescent="0.25">
      <c r="A454" t="s">
        <v>3296</v>
      </c>
      <c r="B454" t="s">
        <v>2931</v>
      </c>
      <c r="C454">
        <v>14287</v>
      </c>
      <c r="D454" t="str">
        <f t="shared" si="26"/>
        <v xml:space="preserve">706368      </v>
      </c>
      <c r="E454" t="s">
        <v>501</v>
      </c>
      <c r="F454" t="s">
        <v>502</v>
      </c>
      <c r="G454">
        <v>2.0299999999999998</v>
      </c>
      <c r="H454">
        <v>251017</v>
      </c>
      <c r="I454">
        <v>4841</v>
      </c>
      <c r="J454" t="s">
        <v>9</v>
      </c>
      <c r="K454">
        <v>970.67</v>
      </c>
      <c r="L454">
        <v>0.41</v>
      </c>
      <c r="M454">
        <v>16321</v>
      </c>
      <c r="N454" t="s">
        <v>16</v>
      </c>
      <c r="O454">
        <v>251028</v>
      </c>
      <c r="P454">
        <v>1.62</v>
      </c>
      <c r="Q454"/>
    </row>
    <row r="455" spans="1:17" s="1" customFormat="1" x14ac:dyDescent="0.25">
      <c r="A455" t="s">
        <v>3296</v>
      </c>
      <c r="B455" t="s">
        <v>2931</v>
      </c>
      <c r="C455">
        <v>14287</v>
      </c>
      <c r="D455" t="str">
        <f t="shared" si="26"/>
        <v xml:space="preserve">706368      </v>
      </c>
      <c r="E455" t="s">
        <v>501</v>
      </c>
      <c r="F455" t="s">
        <v>502</v>
      </c>
      <c r="G455">
        <v>10.58</v>
      </c>
      <c r="H455">
        <v>251017</v>
      </c>
      <c r="I455">
        <v>4841</v>
      </c>
      <c r="J455" t="s">
        <v>9</v>
      </c>
      <c r="K455">
        <v>970.67</v>
      </c>
      <c r="L455">
        <v>2.15</v>
      </c>
      <c r="M455">
        <v>16321</v>
      </c>
      <c r="N455" t="s">
        <v>16</v>
      </c>
      <c r="O455">
        <v>251028</v>
      </c>
      <c r="P455">
        <v>8.43</v>
      </c>
      <c r="Q455"/>
    </row>
    <row r="456" spans="1:17" s="1" customFormat="1" x14ac:dyDescent="0.25">
      <c r="A456" t="s">
        <v>3296</v>
      </c>
      <c r="B456" t="s">
        <v>2931</v>
      </c>
      <c r="C456">
        <v>14287</v>
      </c>
      <c r="D456" t="str">
        <f t="shared" si="26"/>
        <v xml:space="preserve">706368      </v>
      </c>
      <c r="E456" t="s">
        <v>501</v>
      </c>
      <c r="F456" t="s">
        <v>502</v>
      </c>
      <c r="G456">
        <v>12.82</v>
      </c>
      <c r="H456">
        <v>251017</v>
      </c>
      <c r="I456">
        <v>4841</v>
      </c>
      <c r="J456" t="s">
        <v>9</v>
      </c>
      <c r="K456">
        <v>970.67</v>
      </c>
      <c r="L456">
        <v>2.6</v>
      </c>
      <c r="M456">
        <v>16431</v>
      </c>
      <c r="N456" t="s">
        <v>17</v>
      </c>
      <c r="O456">
        <v>251028</v>
      </c>
      <c r="P456">
        <v>10.220000000000001</v>
      </c>
      <c r="Q456"/>
    </row>
    <row r="457" spans="1:17" s="1" customFormat="1" x14ac:dyDescent="0.25">
      <c r="A457" t="s">
        <v>3296</v>
      </c>
      <c r="B457" t="s">
        <v>2931</v>
      </c>
      <c r="C457">
        <v>14287</v>
      </c>
      <c r="D457" t="str">
        <f t="shared" si="26"/>
        <v xml:space="preserve">706368      </v>
      </c>
      <c r="E457" t="s">
        <v>501</v>
      </c>
      <c r="F457" t="s">
        <v>502</v>
      </c>
      <c r="G457">
        <v>36.39</v>
      </c>
      <c r="H457">
        <v>251017</v>
      </c>
      <c r="I457">
        <v>4841</v>
      </c>
      <c r="J457" t="s">
        <v>9</v>
      </c>
      <c r="K457">
        <v>970.67</v>
      </c>
      <c r="L457">
        <v>7.39</v>
      </c>
      <c r="M457">
        <v>17802</v>
      </c>
      <c r="N457" t="s">
        <v>18</v>
      </c>
      <c r="O457">
        <v>251028</v>
      </c>
      <c r="P457">
        <v>29</v>
      </c>
      <c r="Q457"/>
    </row>
    <row r="458" spans="1:17" s="1" customFormat="1" x14ac:dyDescent="0.25">
      <c r="A458" t="s">
        <v>3296</v>
      </c>
      <c r="B458" t="s">
        <v>2931</v>
      </c>
      <c r="C458">
        <v>14287</v>
      </c>
      <c r="D458" t="str">
        <f t="shared" si="26"/>
        <v xml:space="preserve">706368      </v>
      </c>
      <c r="E458" t="s">
        <v>501</v>
      </c>
      <c r="F458" t="s">
        <v>502</v>
      </c>
      <c r="G458">
        <v>138.82</v>
      </c>
      <c r="H458">
        <v>251017</v>
      </c>
      <c r="I458">
        <v>4841</v>
      </c>
      <c r="J458" t="s">
        <v>9</v>
      </c>
      <c r="K458">
        <v>970.67</v>
      </c>
      <c r="L458">
        <v>28.21</v>
      </c>
      <c r="M458">
        <v>17804</v>
      </c>
      <c r="N458" t="s">
        <v>20</v>
      </c>
      <c r="O458">
        <v>251028</v>
      </c>
      <c r="P458">
        <v>110.61</v>
      </c>
      <c r="Q458"/>
    </row>
    <row r="459" spans="1:17" s="1" customFormat="1" x14ac:dyDescent="0.25">
      <c r="A459" t="s">
        <v>3296</v>
      </c>
      <c r="B459" t="s">
        <v>2931</v>
      </c>
      <c r="C459">
        <v>14287</v>
      </c>
      <c r="D459" t="str">
        <f t="shared" si="26"/>
        <v xml:space="preserve">706368      </v>
      </c>
      <c r="E459" t="s">
        <v>501</v>
      </c>
      <c r="F459" t="s">
        <v>502</v>
      </c>
      <c r="G459">
        <v>4.07</v>
      </c>
      <c r="H459">
        <v>251017</v>
      </c>
      <c r="I459">
        <v>4841</v>
      </c>
      <c r="J459" t="s">
        <v>9</v>
      </c>
      <c r="K459">
        <v>970.67</v>
      </c>
      <c r="L459">
        <v>0.83</v>
      </c>
      <c r="M459">
        <v>17805</v>
      </c>
      <c r="N459" t="s">
        <v>21</v>
      </c>
      <c r="O459">
        <v>251028</v>
      </c>
      <c r="P459">
        <v>3.24</v>
      </c>
      <c r="Q459"/>
    </row>
    <row r="460" spans="1:17" s="1" customFormat="1" x14ac:dyDescent="0.25">
      <c r="A460" t="s">
        <v>3296</v>
      </c>
      <c r="B460" t="s">
        <v>2931</v>
      </c>
      <c r="C460">
        <v>14287</v>
      </c>
      <c r="D460" t="str">
        <f t="shared" si="26"/>
        <v xml:space="preserve">706368      </v>
      </c>
      <c r="E460" t="s">
        <v>501</v>
      </c>
      <c r="F460" t="s">
        <v>502</v>
      </c>
      <c r="G460">
        <v>22.77</v>
      </c>
      <c r="H460">
        <v>251017</v>
      </c>
      <c r="I460">
        <v>4841</v>
      </c>
      <c r="J460" t="s">
        <v>9</v>
      </c>
      <c r="K460">
        <v>970.67</v>
      </c>
      <c r="L460">
        <v>4.63</v>
      </c>
      <c r="M460">
        <v>17806</v>
      </c>
      <c r="N460" t="s">
        <v>22</v>
      </c>
      <c r="O460">
        <v>251028</v>
      </c>
      <c r="P460">
        <v>18.14</v>
      </c>
      <c r="Q460"/>
    </row>
    <row r="461" spans="1:17" s="1" customFormat="1" x14ac:dyDescent="0.25">
      <c r="A461" t="s">
        <v>3296</v>
      </c>
      <c r="B461" t="s">
        <v>2931</v>
      </c>
      <c r="C461">
        <v>14287</v>
      </c>
      <c r="D461" t="str">
        <f t="shared" si="26"/>
        <v xml:space="preserve">706368      </v>
      </c>
      <c r="E461" t="s">
        <v>501</v>
      </c>
      <c r="F461" t="s">
        <v>502</v>
      </c>
      <c r="G461">
        <v>59.92</v>
      </c>
      <c r="H461">
        <v>251017</v>
      </c>
      <c r="I461">
        <v>4841</v>
      </c>
      <c r="J461" t="s">
        <v>9</v>
      </c>
      <c r="K461">
        <v>970.67</v>
      </c>
      <c r="L461">
        <v>12.17</v>
      </c>
      <c r="M461">
        <v>17807</v>
      </c>
      <c r="N461" t="s">
        <v>23</v>
      </c>
      <c r="O461">
        <v>251028</v>
      </c>
      <c r="P461">
        <v>47.75</v>
      </c>
      <c r="Q461"/>
    </row>
    <row r="462" spans="1:17" s="1" customFormat="1" x14ac:dyDescent="0.25">
      <c r="A462" t="s">
        <v>3296</v>
      </c>
      <c r="B462" t="s">
        <v>2931</v>
      </c>
      <c r="C462">
        <v>14287</v>
      </c>
      <c r="D462" t="str">
        <f t="shared" si="26"/>
        <v xml:space="preserve">706368      </v>
      </c>
      <c r="E462" t="s">
        <v>501</v>
      </c>
      <c r="F462" t="s">
        <v>502</v>
      </c>
      <c r="G462">
        <v>169.27</v>
      </c>
      <c r="H462">
        <v>251017</v>
      </c>
      <c r="I462">
        <v>4841</v>
      </c>
      <c r="J462" t="s">
        <v>9</v>
      </c>
      <c r="K462">
        <v>970.67</v>
      </c>
      <c r="L462">
        <v>34.39</v>
      </c>
      <c r="M462">
        <v>17808</v>
      </c>
      <c r="N462" t="s">
        <v>24</v>
      </c>
      <c r="O462">
        <v>251028</v>
      </c>
      <c r="P462">
        <v>134.88</v>
      </c>
      <c r="Q462"/>
    </row>
    <row r="463" spans="1:17" s="1" customFormat="1" x14ac:dyDescent="0.25">
      <c r="A463" t="s">
        <v>3296</v>
      </c>
      <c r="B463" t="s">
        <v>2931</v>
      </c>
      <c r="C463">
        <v>14287</v>
      </c>
      <c r="D463" t="str">
        <f t="shared" si="26"/>
        <v xml:space="preserve">706368      </v>
      </c>
      <c r="E463" t="s">
        <v>501</v>
      </c>
      <c r="F463" t="s">
        <v>502</v>
      </c>
      <c r="G463">
        <v>282.42</v>
      </c>
      <c r="H463">
        <v>251017</v>
      </c>
      <c r="I463">
        <v>4841</v>
      </c>
      <c r="J463" t="s">
        <v>9</v>
      </c>
      <c r="K463">
        <v>970.67</v>
      </c>
      <c r="L463">
        <v>57.38</v>
      </c>
      <c r="M463">
        <v>17808</v>
      </c>
      <c r="N463" t="s">
        <v>24</v>
      </c>
      <c r="O463">
        <v>251028</v>
      </c>
      <c r="P463">
        <v>225.04</v>
      </c>
      <c r="Q463"/>
    </row>
    <row r="464" spans="1:17" s="1" customFormat="1" x14ac:dyDescent="0.25">
      <c r="A464" t="s">
        <v>3296</v>
      </c>
      <c r="B464" t="s">
        <v>2931</v>
      </c>
      <c r="C464">
        <v>14287</v>
      </c>
      <c r="D464" t="str">
        <f t="shared" si="26"/>
        <v xml:space="preserve">706368      </v>
      </c>
      <c r="E464" t="s">
        <v>501</v>
      </c>
      <c r="F464" t="s">
        <v>502</v>
      </c>
      <c r="G464">
        <v>15.93</v>
      </c>
      <c r="H464">
        <v>251017</v>
      </c>
      <c r="I464">
        <v>4841</v>
      </c>
      <c r="J464" t="s">
        <v>9</v>
      </c>
      <c r="K464">
        <v>970.67</v>
      </c>
      <c r="L464">
        <v>3.24</v>
      </c>
      <c r="M464">
        <v>17913</v>
      </c>
      <c r="N464" t="s">
        <v>26</v>
      </c>
      <c r="O464">
        <v>251028</v>
      </c>
      <c r="P464">
        <v>12.69</v>
      </c>
      <c r="Q464"/>
    </row>
    <row r="465" spans="1:17" s="1" customFormat="1" x14ac:dyDescent="0.25">
      <c r="A465" t="s">
        <v>3296</v>
      </c>
      <c r="B465" t="s">
        <v>2931</v>
      </c>
      <c r="C465">
        <v>14287</v>
      </c>
      <c r="D465" t="str">
        <f t="shared" si="26"/>
        <v xml:space="preserve">706368      </v>
      </c>
      <c r="E465" t="s">
        <v>501</v>
      </c>
      <c r="F465" t="s">
        <v>502</v>
      </c>
      <c r="G465">
        <v>39.51</v>
      </c>
      <c r="H465">
        <v>251017</v>
      </c>
      <c r="I465">
        <v>4841</v>
      </c>
      <c r="J465" t="s">
        <v>9</v>
      </c>
      <c r="K465">
        <v>970.67</v>
      </c>
      <c r="L465">
        <v>8.0299999999999994</v>
      </c>
      <c r="M465">
        <v>17951</v>
      </c>
      <c r="N465" t="s">
        <v>207</v>
      </c>
      <c r="O465">
        <v>251028</v>
      </c>
      <c r="P465">
        <v>31.48</v>
      </c>
      <c r="Q465"/>
    </row>
    <row r="466" spans="1:17" s="1" customFormat="1" x14ac:dyDescent="0.25">
      <c r="A466" t="s">
        <v>3296</v>
      </c>
      <c r="B466" t="s">
        <v>2931</v>
      </c>
      <c r="C466">
        <v>14287</v>
      </c>
      <c r="D466" t="str">
        <f t="shared" si="26"/>
        <v xml:space="preserve">706368      </v>
      </c>
      <c r="E466" t="s">
        <v>501</v>
      </c>
      <c r="F466" t="s">
        <v>502</v>
      </c>
      <c r="G466">
        <v>76.3</v>
      </c>
      <c r="H466">
        <v>251017</v>
      </c>
      <c r="I466">
        <v>4841</v>
      </c>
      <c r="J466" t="s">
        <v>9</v>
      </c>
      <c r="K466">
        <v>970.67</v>
      </c>
      <c r="L466">
        <v>15.5</v>
      </c>
      <c r="M466">
        <v>17971</v>
      </c>
      <c r="N466" t="s">
        <v>27</v>
      </c>
      <c r="O466">
        <v>251028</v>
      </c>
      <c r="P466">
        <v>60.8</v>
      </c>
      <c r="Q466"/>
    </row>
    <row r="467" spans="1:17" s="1" customFormat="1" x14ac:dyDescent="0.25">
      <c r="A467" t="s">
        <v>3296</v>
      </c>
      <c r="B467" t="s">
        <v>2931</v>
      </c>
      <c r="C467">
        <v>14287</v>
      </c>
      <c r="D467" t="str">
        <f t="shared" si="26"/>
        <v xml:space="preserve">706368      </v>
      </c>
      <c r="E467" t="s">
        <v>501</v>
      </c>
      <c r="F467" t="s">
        <v>502</v>
      </c>
      <c r="G467">
        <v>32.29</v>
      </c>
      <c r="H467">
        <v>251017</v>
      </c>
      <c r="I467">
        <v>4841</v>
      </c>
      <c r="J467" t="s">
        <v>9</v>
      </c>
      <c r="K467">
        <v>970.67</v>
      </c>
      <c r="L467">
        <v>6.56</v>
      </c>
      <c r="M467">
        <v>17972</v>
      </c>
      <c r="N467" t="s">
        <v>28</v>
      </c>
      <c r="O467">
        <v>251028</v>
      </c>
      <c r="P467">
        <v>25.73</v>
      </c>
      <c r="Q467"/>
    </row>
    <row r="468" spans="1:17" s="1" customFormat="1" x14ac:dyDescent="0.25">
      <c r="A468" t="s">
        <v>3296</v>
      </c>
      <c r="B468" t="s">
        <v>2931</v>
      </c>
      <c r="C468">
        <v>14314</v>
      </c>
      <c r="D468" t="str">
        <f t="shared" ref="D468:D486" si="27">"706371      "</f>
        <v xml:space="preserve">706371      </v>
      </c>
      <c r="E468" t="s">
        <v>501</v>
      </c>
      <c r="F468" t="s">
        <v>502</v>
      </c>
      <c r="G468">
        <v>19.559999999999999</v>
      </c>
      <c r="H468">
        <v>251017</v>
      </c>
      <c r="I468">
        <v>4841</v>
      </c>
      <c r="J468" t="s">
        <v>9</v>
      </c>
      <c r="K468">
        <v>2342.65</v>
      </c>
      <c r="L468">
        <v>3.97</v>
      </c>
      <c r="M468">
        <v>41126</v>
      </c>
      <c r="N468" t="s">
        <v>94</v>
      </c>
      <c r="O468">
        <v>251029</v>
      </c>
      <c r="P468">
        <v>15.59</v>
      </c>
      <c r="Q468"/>
    </row>
    <row r="469" spans="1:17" s="1" customFormat="1" x14ac:dyDescent="0.25">
      <c r="A469" t="s">
        <v>3296</v>
      </c>
      <c r="B469" t="s">
        <v>2931</v>
      </c>
      <c r="C469">
        <v>14314</v>
      </c>
      <c r="D469" t="str">
        <f t="shared" si="27"/>
        <v xml:space="preserve">706371      </v>
      </c>
      <c r="E469" t="s">
        <v>501</v>
      </c>
      <c r="F469" t="s">
        <v>502</v>
      </c>
      <c r="G469">
        <v>41.72</v>
      </c>
      <c r="H469">
        <v>251017</v>
      </c>
      <c r="I469">
        <v>4841</v>
      </c>
      <c r="J469" t="s">
        <v>9</v>
      </c>
      <c r="K469">
        <v>2342.65</v>
      </c>
      <c r="L469">
        <v>8.48</v>
      </c>
      <c r="M469">
        <v>43222</v>
      </c>
      <c r="N469" t="s">
        <v>95</v>
      </c>
      <c r="O469">
        <v>251029</v>
      </c>
      <c r="P469">
        <v>33.24</v>
      </c>
      <c r="Q469"/>
    </row>
    <row r="470" spans="1:17" s="1" customFormat="1" x14ac:dyDescent="0.25">
      <c r="A470" t="s">
        <v>3296</v>
      </c>
      <c r="B470" t="s">
        <v>2931</v>
      </c>
      <c r="C470">
        <v>14314</v>
      </c>
      <c r="D470" t="str">
        <f t="shared" si="27"/>
        <v xml:space="preserve">706371      </v>
      </c>
      <c r="E470" t="s">
        <v>501</v>
      </c>
      <c r="F470" t="s">
        <v>502</v>
      </c>
      <c r="G470">
        <v>60.1</v>
      </c>
      <c r="H470">
        <v>251017</v>
      </c>
      <c r="I470">
        <v>4841</v>
      </c>
      <c r="J470" t="s">
        <v>9</v>
      </c>
      <c r="K470">
        <v>2342.65</v>
      </c>
      <c r="L470">
        <v>12.21</v>
      </c>
      <c r="M470">
        <v>44222</v>
      </c>
      <c r="N470" t="s">
        <v>96</v>
      </c>
      <c r="O470">
        <v>251029</v>
      </c>
      <c r="P470">
        <v>47.89</v>
      </c>
      <c r="Q470"/>
    </row>
    <row r="471" spans="1:17" s="1" customFormat="1" x14ac:dyDescent="0.25">
      <c r="A471" t="s">
        <v>3296</v>
      </c>
      <c r="B471" t="s">
        <v>2931</v>
      </c>
      <c r="C471">
        <v>14314</v>
      </c>
      <c r="D471" t="str">
        <f t="shared" si="27"/>
        <v xml:space="preserve">706371      </v>
      </c>
      <c r="E471" t="s">
        <v>501</v>
      </c>
      <c r="F471" t="s">
        <v>502</v>
      </c>
      <c r="G471">
        <v>271.64</v>
      </c>
      <c r="H471">
        <v>251017</v>
      </c>
      <c r="I471">
        <v>4841</v>
      </c>
      <c r="J471" t="s">
        <v>9</v>
      </c>
      <c r="K471">
        <v>2342.65</v>
      </c>
      <c r="L471">
        <v>55.19</v>
      </c>
      <c r="M471">
        <v>44424</v>
      </c>
      <c r="N471" t="s">
        <v>99</v>
      </c>
      <c r="O471">
        <v>251029</v>
      </c>
      <c r="P471">
        <v>216.45</v>
      </c>
      <c r="Q471"/>
    </row>
    <row r="472" spans="1:17" s="1" customFormat="1" x14ac:dyDescent="0.25">
      <c r="A472" t="s">
        <v>3296</v>
      </c>
      <c r="B472" t="s">
        <v>2931</v>
      </c>
      <c r="C472">
        <v>14314</v>
      </c>
      <c r="D472" t="str">
        <f t="shared" si="27"/>
        <v xml:space="preserve">706371      </v>
      </c>
      <c r="E472" t="s">
        <v>501</v>
      </c>
      <c r="F472" t="s">
        <v>502</v>
      </c>
      <c r="G472">
        <v>8.66</v>
      </c>
      <c r="H472">
        <v>251017</v>
      </c>
      <c r="I472">
        <v>4841</v>
      </c>
      <c r="J472" t="s">
        <v>9</v>
      </c>
      <c r="K472">
        <v>2342.65</v>
      </c>
      <c r="L472">
        <v>1.76</v>
      </c>
      <c r="M472">
        <v>44453</v>
      </c>
      <c r="N472" t="s">
        <v>100</v>
      </c>
      <c r="O472">
        <v>251029</v>
      </c>
      <c r="P472">
        <v>6.9</v>
      </c>
      <c r="Q472"/>
    </row>
    <row r="473" spans="1:17" s="1" customFormat="1" x14ac:dyDescent="0.25">
      <c r="A473" t="s">
        <v>3296</v>
      </c>
      <c r="B473" t="s">
        <v>2931</v>
      </c>
      <c r="C473">
        <v>14314</v>
      </c>
      <c r="D473" t="str">
        <f t="shared" si="27"/>
        <v xml:space="preserve">706371      </v>
      </c>
      <c r="E473" t="s">
        <v>501</v>
      </c>
      <c r="F473" t="s">
        <v>502</v>
      </c>
      <c r="G473">
        <v>10.38</v>
      </c>
      <c r="H473">
        <v>251017</v>
      </c>
      <c r="I473">
        <v>4841</v>
      </c>
      <c r="J473" t="s">
        <v>9</v>
      </c>
      <c r="K473">
        <v>2342.65</v>
      </c>
      <c r="L473">
        <v>2.11</v>
      </c>
      <c r="M473">
        <v>46554</v>
      </c>
      <c r="N473" t="s">
        <v>102</v>
      </c>
      <c r="O473">
        <v>251029</v>
      </c>
      <c r="P473">
        <v>8.27</v>
      </c>
      <c r="Q473"/>
    </row>
    <row r="474" spans="1:17" s="1" customFormat="1" x14ac:dyDescent="0.25">
      <c r="A474" t="s">
        <v>3296</v>
      </c>
      <c r="B474" t="s">
        <v>2931</v>
      </c>
      <c r="C474">
        <v>14314</v>
      </c>
      <c r="D474" t="str">
        <f t="shared" si="27"/>
        <v xml:space="preserve">706371      </v>
      </c>
      <c r="E474" t="s">
        <v>501</v>
      </c>
      <c r="F474" t="s">
        <v>502</v>
      </c>
      <c r="G474">
        <v>133.80000000000001</v>
      </c>
      <c r="H474">
        <v>251017</v>
      </c>
      <c r="I474">
        <v>4841</v>
      </c>
      <c r="J474" t="s">
        <v>9</v>
      </c>
      <c r="K474">
        <v>2342.65</v>
      </c>
      <c r="L474">
        <v>27.19</v>
      </c>
      <c r="M474">
        <v>46554</v>
      </c>
      <c r="N474" t="s">
        <v>102</v>
      </c>
      <c r="O474">
        <v>251029</v>
      </c>
      <c r="P474">
        <v>106.61</v>
      </c>
      <c r="Q474"/>
    </row>
    <row r="475" spans="1:17" s="1" customFormat="1" x14ac:dyDescent="0.25">
      <c r="A475" t="s">
        <v>3296</v>
      </c>
      <c r="B475" t="s">
        <v>2931</v>
      </c>
      <c r="C475">
        <v>14314</v>
      </c>
      <c r="D475" t="str">
        <f t="shared" si="27"/>
        <v xml:space="preserve">706371      </v>
      </c>
      <c r="E475" t="s">
        <v>501</v>
      </c>
      <c r="F475" t="s">
        <v>502</v>
      </c>
      <c r="G475">
        <v>19.559999999999999</v>
      </c>
      <c r="H475">
        <v>251017</v>
      </c>
      <c r="I475">
        <v>4841</v>
      </c>
      <c r="J475" t="s">
        <v>9</v>
      </c>
      <c r="K475">
        <v>2342.65</v>
      </c>
      <c r="L475">
        <v>3.97</v>
      </c>
      <c r="M475">
        <v>46555</v>
      </c>
      <c r="N475" t="s">
        <v>103</v>
      </c>
      <c r="O475">
        <v>251029</v>
      </c>
      <c r="P475">
        <v>15.59</v>
      </c>
      <c r="Q475"/>
    </row>
    <row r="476" spans="1:17" s="1" customFormat="1" x14ac:dyDescent="0.25">
      <c r="A476" t="s">
        <v>3296</v>
      </c>
      <c r="B476" t="s">
        <v>2931</v>
      </c>
      <c r="C476">
        <v>14314</v>
      </c>
      <c r="D476" t="str">
        <f t="shared" si="27"/>
        <v xml:space="preserve">706371      </v>
      </c>
      <c r="E476" t="s">
        <v>501</v>
      </c>
      <c r="F476" t="s">
        <v>502</v>
      </c>
      <c r="G476">
        <v>161.77000000000001</v>
      </c>
      <c r="H476">
        <v>251017</v>
      </c>
      <c r="I476">
        <v>4841</v>
      </c>
      <c r="J476" t="s">
        <v>9</v>
      </c>
      <c r="K476">
        <v>2342.65</v>
      </c>
      <c r="L476">
        <v>32.869999999999997</v>
      </c>
      <c r="M476">
        <v>46556</v>
      </c>
      <c r="N476" t="s">
        <v>458</v>
      </c>
      <c r="O476">
        <v>251029</v>
      </c>
      <c r="P476">
        <v>128.9</v>
      </c>
      <c r="Q476"/>
    </row>
    <row r="477" spans="1:17" s="1" customFormat="1" x14ac:dyDescent="0.25">
      <c r="A477" t="s">
        <v>3296</v>
      </c>
      <c r="B477" t="s">
        <v>2931</v>
      </c>
      <c r="C477">
        <v>14314</v>
      </c>
      <c r="D477" t="str">
        <f t="shared" si="27"/>
        <v xml:space="preserve">706371      </v>
      </c>
      <c r="E477" t="s">
        <v>501</v>
      </c>
      <c r="F477" t="s">
        <v>502</v>
      </c>
      <c r="G477">
        <v>12.81</v>
      </c>
      <c r="H477">
        <v>251017</v>
      </c>
      <c r="I477">
        <v>4841</v>
      </c>
      <c r="J477" t="s">
        <v>9</v>
      </c>
      <c r="K477">
        <v>2342.65</v>
      </c>
      <c r="L477">
        <v>2.6</v>
      </c>
      <c r="M477">
        <v>46557</v>
      </c>
      <c r="N477" t="s">
        <v>104</v>
      </c>
      <c r="O477">
        <v>251029</v>
      </c>
      <c r="P477">
        <v>10.210000000000001</v>
      </c>
      <c r="Q477"/>
    </row>
    <row r="478" spans="1:17" s="1" customFormat="1" x14ac:dyDescent="0.25">
      <c r="A478" t="s">
        <v>3296</v>
      </c>
      <c r="B478" t="s">
        <v>2931</v>
      </c>
      <c r="C478">
        <v>14314</v>
      </c>
      <c r="D478" t="str">
        <f t="shared" si="27"/>
        <v xml:space="preserve">706371      </v>
      </c>
      <c r="E478" t="s">
        <v>501</v>
      </c>
      <c r="F478" t="s">
        <v>502</v>
      </c>
      <c r="G478">
        <v>457.86</v>
      </c>
      <c r="H478">
        <v>251017</v>
      </c>
      <c r="I478">
        <v>4841</v>
      </c>
      <c r="J478" t="s">
        <v>9</v>
      </c>
      <c r="K478">
        <v>2342.65</v>
      </c>
      <c r="L478">
        <v>93.03</v>
      </c>
      <c r="M478">
        <v>46559</v>
      </c>
      <c r="N478" t="s">
        <v>105</v>
      </c>
      <c r="O478">
        <v>251029</v>
      </c>
      <c r="P478">
        <v>364.83</v>
      </c>
      <c r="Q478"/>
    </row>
    <row r="479" spans="1:17" s="1" customFormat="1" x14ac:dyDescent="0.25">
      <c r="A479" t="s">
        <v>3296</v>
      </c>
      <c r="B479" t="s">
        <v>2931</v>
      </c>
      <c r="C479">
        <v>14314</v>
      </c>
      <c r="D479" t="str">
        <f t="shared" si="27"/>
        <v xml:space="preserve">706371      </v>
      </c>
      <c r="E479" t="s">
        <v>501</v>
      </c>
      <c r="F479" t="s">
        <v>502</v>
      </c>
      <c r="G479">
        <v>328.25</v>
      </c>
      <c r="H479">
        <v>251017</v>
      </c>
      <c r="I479">
        <v>4841</v>
      </c>
      <c r="J479" t="s">
        <v>9</v>
      </c>
      <c r="K479">
        <v>2342.65</v>
      </c>
      <c r="L479">
        <v>66.7</v>
      </c>
      <c r="M479">
        <v>47522</v>
      </c>
      <c r="N479" t="s">
        <v>106</v>
      </c>
      <c r="O479">
        <v>251029</v>
      </c>
      <c r="P479">
        <v>261.55</v>
      </c>
      <c r="Q479"/>
    </row>
    <row r="480" spans="1:17" s="1" customFormat="1" x14ac:dyDescent="0.25">
      <c r="A480" t="s">
        <v>3296</v>
      </c>
      <c r="B480" t="s">
        <v>2931</v>
      </c>
      <c r="C480">
        <v>14314</v>
      </c>
      <c r="D480" t="str">
        <f t="shared" si="27"/>
        <v xml:space="preserve">706371      </v>
      </c>
      <c r="E480" t="s">
        <v>501</v>
      </c>
      <c r="F480" t="s">
        <v>502</v>
      </c>
      <c r="G480">
        <v>17.12</v>
      </c>
      <c r="H480">
        <v>251017</v>
      </c>
      <c r="I480">
        <v>4841</v>
      </c>
      <c r="J480" t="s">
        <v>9</v>
      </c>
      <c r="K480">
        <v>2342.65</v>
      </c>
      <c r="L480">
        <v>3.48</v>
      </c>
      <c r="M480">
        <v>48601</v>
      </c>
      <c r="N480" t="s">
        <v>107</v>
      </c>
      <c r="O480">
        <v>251029</v>
      </c>
      <c r="P480">
        <v>13.64</v>
      </c>
      <c r="Q480"/>
    </row>
    <row r="481" spans="1:17" s="1" customFormat="1" x14ac:dyDescent="0.25">
      <c r="A481" t="s">
        <v>3296</v>
      </c>
      <c r="B481" t="s">
        <v>2931</v>
      </c>
      <c r="C481">
        <v>14314</v>
      </c>
      <c r="D481" t="str">
        <f t="shared" si="27"/>
        <v xml:space="preserve">706371      </v>
      </c>
      <c r="E481" t="s">
        <v>501</v>
      </c>
      <c r="F481" t="s">
        <v>502</v>
      </c>
      <c r="G481">
        <v>546.04999999999995</v>
      </c>
      <c r="H481">
        <v>251017</v>
      </c>
      <c r="I481">
        <v>4841</v>
      </c>
      <c r="J481" t="s">
        <v>9</v>
      </c>
      <c r="K481">
        <v>2342.65</v>
      </c>
      <c r="L481">
        <v>110.95</v>
      </c>
      <c r="M481">
        <v>48601</v>
      </c>
      <c r="N481" t="s">
        <v>107</v>
      </c>
      <c r="O481">
        <v>251029</v>
      </c>
      <c r="P481">
        <v>435.1</v>
      </c>
      <c r="Q481"/>
    </row>
    <row r="482" spans="1:17" s="1" customFormat="1" x14ac:dyDescent="0.25">
      <c r="A482" t="s">
        <v>3296</v>
      </c>
      <c r="B482" t="s">
        <v>2931</v>
      </c>
      <c r="C482">
        <v>14314</v>
      </c>
      <c r="D482" t="str">
        <f t="shared" si="27"/>
        <v xml:space="preserve">706371      </v>
      </c>
      <c r="E482" t="s">
        <v>501</v>
      </c>
      <c r="F482" t="s">
        <v>502</v>
      </c>
      <c r="G482">
        <v>10.58</v>
      </c>
      <c r="H482">
        <v>251017</v>
      </c>
      <c r="I482">
        <v>4841</v>
      </c>
      <c r="J482" t="s">
        <v>9</v>
      </c>
      <c r="K482">
        <v>2342.65</v>
      </c>
      <c r="L482">
        <v>2.15</v>
      </c>
      <c r="M482">
        <v>49112</v>
      </c>
      <c r="N482" t="s">
        <v>109</v>
      </c>
      <c r="O482">
        <v>251029</v>
      </c>
      <c r="P482">
        <v>8.43</v>
      </c>
      <c r="Q482"/>
    </row>
    <row r="483" spans="1:17" s="1" customFormat="1" x14ac:dyDescent="0.25">
      <c r="A483" t="s">
        <v>3296</v>
      </c>
      <c r="B483" t="s">
        <v>2931</v>
      </c>
      <c r="C483">
        <v>14314</v>
      </c>
      <c r="D483" t="str">
        <f t="shared" si="27"/>
        <v xml:space="preserve">706371      </v>
      </c>
      <c r="E483" t="s">
        <v>501</v>
      </c>
      <c r="F483" t="s">
        <v>502</v>
      </c>
      <c r="G483">
        <v>99.73</v>
      </c>
      <c r="H483">
        <v>251017</v>
      </c>
      <c r="I483">
        <v>4841</v>
      </c>
      <c r="J483" t="s">
        <v>9</v>
      </c>
      <c r="K483">
        <v>2342.65</v>
      </c>
      <c r="L483">
        <v>20.260000000000002</v>
      </c>
      <c r="M483">
        <v>49501</v>
      </c>
      <c r="N483" t="s">
        <v>110</v>
      </c>
      <c r="O483">
        <v>251029</v>
      </c>
      <c r="P483">
        <v>79.47</v>
      </c>
      <c r="Q483"/>
    </row>
    <row r="484" spans="1:17" s="1" customFormat="1" x14ac:dyDescent="0.25">
      <c r="A484" t="s">
        <v>3296</v>
      </c>
      <c r="B484" t="s">
        <v>2931</v>
      </c>
      <c r="C484">
        <v>14314</v>
      </c>
      <c r="D484" t="str">
        <f t="shared" si="27"/>
        <v xml:space="preserve">706371      </v>
      </c>
      <c r="E484" t="s">
        <v>501</v>
      </c>
      <c r="F484" t="s">
        <v>502</v>
      </c>
      <c r="G484">
        <v>10.38</v>
      </c>
      <c r="H484">
        <v>251017</v>
      </c>
      <c r="I484">
        <v>4841</v>
      </c>
      <c r="J484" t="s">
        <v>9</v>
      </c>
      <c r="K484">
        <v>2342.65</v>
      </c>
      <c r="L484">
        <v>2.11</v>
      </c>
      <c r="M484">
        <v>49701</v>
      </c>
      <c r="N484" t="s">
        <v>111</v>
      </c>
      <c r="O484">
        <v>251029</v>
      </c>
      <c r="P484">
        <v>8.27</v>
      </c>
      <c r="Q484"/>
    </row>
    <row r="485" spans="1:17" s="1" customFormat="1" x14ac:dyDescent="0.25">
      <c r="A485" t="s">
        <v>3296</v>
      </c>
      <c r="B485" t="s">
        <v>2931</v>
      </c>
      <c r="C485">
        <v>14314</v>
      </c>
      <c r="D485" t="str">
        <f t="shared" si="27"/>
        <v xml:space="preserve">706371      </v>
      </c>
      <c r="E485" t="s">
        <v>501</v>
      </c>
      <c r="F485" t="s">
        <v>502</v>
      </c>
      <c r="G485">
        <v>122.3</v>
      </c>
      <c r="H485">
        <v>251017</v>
      </c>
      <c r="I485">
        <v>4841</v>
      </c>
      <c r="J485" t="s">
        <v>9</v>
      </c>
      <c r="K485">
        <v>2342.65</v>
      </c>
      <c r="L485">
        <v>24.85</v>
      </c>
      <c r="M485">
        <v>49702</v>
      </c>
      <c r="N485" t="s">
        <v>112</v>
      </c>
      <c r="O485">
        <v>251029</v>
      </c>
      <c r="P485">
        <v>97.45</v>
      </c>
      <c r="Q485"/>
    </row>
    <row r="486" spans="1:17" s="1" customFormat="1" x14ac:dyDescent="0.25">
      <c r="A486" t="s">
        <v>3296</v>
      </c>
      <c r="B486" t="s">
        <v>2931</v>
      </c>
      <c r="C486">
        <v>14314</v>
      </c>
      <c r="D486" t="str">
        <f t="shared" si="27"/>
        <v xml:space="preserve">706371      </v>
      </c>
      <c r="E486" t="s">
        <v>501</v>
      </c>
      <c r="F486" t="s">
        <v>502</v>
      </c>
      <c r="G486">
        <v>10.38</v>
      </c>
      <c r="H486">
        <v>251017</v>
      </c>
      <c r="I486">
        <v>4841</v>
      </c>
      <c r="J486" t="s">
        <v>9</v>
      </c>
      <c r="K486">
        <v>2342.65</v>
      </c>
      <c r="L486">
        <v>2.11</v>
      </c>
      <c r="M486">
        <v>49704</v>
      </c>
      <c r="N486" t="s">
        <v>113</v>
      </c>
      <c r="O486">
        <v>251029</v>
      </c>
      <c r="P486">
        <v>8.27</v>
      </c>
      <c r="Q486"/>
    </row>
    <row r="487" spans="1:17" s="1" customFormat="1" x14ac:dyDescent="0.25">
      <c r="A487" t="s">
        <v>3296</v>
      </c>
      <c r="B487" t="s">
        <v>2931</v>
      </c>
      <c r="C487">
        <v>14315</v>
      </c>
      <c r="D487" t="str">
        <f t="shared" ref="D487:D503" si="28">"706366      "</f>
        <v xml:space="preserve">706366      </v>
      </c>
      <c r="E487" t="s">
        <v>501</v>
      </c>
      <c r="F487" t="s">
        <v>502</v>
      </c>
      <c r="G487">
        <v>39.369999999999997</v>
      </c>
      <c r="H487">
        <v>251017</v>
      </c>
      <c r="I487">
        <v>4841</v>
      </c>
      <c r="J487" t="s">
        <v>9</v>
      </c>
      <c r="K487">
        <v>1029.6500000000001</v>
      </c>
      <c r="L487">
        <v>8</v>
      </c>
      <c r="M487">
        <v>11301</v>
      </c>
      <c r="N487" t="s">
        <v>92</v>
      </c>
      <c r="O487">
        <v>251029</v>
      </c>
      <c r="P487">
        <v>31.37</v>
      </c>
      <c r="Q487"/>
    </row>
    <row r="488" spans="1:17" s="1" customFormat="1" x14ac:dyDescent="0.25">
      <c r="A488" t="s">
        <v>3296</v>
      </c>
      <c r="B488" t="s">
        <v>2931</v>
      </c>
      <c r="C488">
        <v>14315</v>
      </c>
      <c r="D488" t="str">
        <f t="shared" si="28"/>
        <v xml:space="preserve">706366      </v>
      </c>
      <c r="E488" t="s">
        <v>501</v>
      </c>
      <c r="F488" t="s">
        <v>502</v>
      </c>
      <c r="G488">
        <v>2.0299999999999998</v>
      </c>
      <c r="H488">
        <v>251017</v>
      </c>
      <c r="I488">
        <v>4841</v>
      </c>
      <c r="J488" t="s">
        <v>9</v>
      </c>
      <c r="K488">
        <v>1029.6500000000001</v>
      </c>
      <c r="L488">
        <v>0.41</v>
      </c>
      <c r="M488">
        <v>11601</v>
      </c>
      <c r="N488" t="s">
        <v>12</v>
      </c>
      <c r="O488">
        <v>251029</v>
      </c>
      <c r="P488">
        <v>1.62</v>
      </c>
      <c r="Q488"/>
    </row>
    <row r="489" spans="1:17" s="1" customFormat="1" x14ac:dyDescent="0.25">
      <c r="A489" t="s">
        <v>3296</v>
      </c>
      <c r="B489" t="s">
        <v>2931</v>
      </c>
      <c r="C489">
        <v>14315</v>
      </c>
      <c r="D489" t="str">
        <f t="shared" si="28"/>
        <v xml:space="preserve">706366      </v>
      </c>
      <c r="E489" t="s">
        <v>501</v>
      </c>
      <c r="F489" t="s">
        <v>502</v>
      </c>
      <c r="G489">
        <v>7.83</v>
      </c>
      <c r="H489">
        <v>251017</v>
      </c>
      <c r="I489">
        <v>4841</v>
      </c>
      <c r="J489" t="s">
        <v>9</v>
      </c>
      <c r="K489">
        <v>1029.6500000000001</v>
      </c>
      <c r="L489">
        <v>1.59</v>
      </c>
      <c r="M489">
        <v>14121</v>
      </c>
      <c r="N489" t="s">
        <v>71</v>
      </c>
      <c r="O489">
        <v>251029</v>
      </c>
      <c r="P489">
        <v>6.24</v>
      </c>
      <c r="Q489"/>
    </row>
    <row r="490" spans="1:17" s="1" customFormat="1" x14ac:dyDescent="0.25">
      <c r="A490" t="s">
        <v>3296</v>
      </c>
      <c r="B490" t="s">
        <v>2931</v>
      </c>
      <c r="C490">
        <v>14315</v>
      </c>
      <c r="D490" t="str">
        <f t="shared" si="28"/>
        <v xml:space="preserve">706366      </v>
      </c>
      <c r="E490" t="s">
        <v>501</v>
      </c>
      <c r="F490" t="s">
        <v>502</v>
      </c>
      <c r="G490">
        <v>334.32</v>
      </c>
      <c r="H490">
        <v>251017</v>
      </c>
      <c r="I490">
        <v>4841</v>
      </c>
      <c r="J490" t="s">
        <v>9</v>
      </c>
      <c r="K490">
        <v>1029.6500000000001</v>
      </c>
      <c r="L490">
        <v>67.930000000000007</v>
      </c>
      <c r="M490">
        <v>14121</v>
      </c>
      <c r="N490" t="s">
        <v>71</v>
      </c>
      <c r="O490">
        <v>251029</v>
      </c>
      <c r="P490">
        <v>266.39</v>
      </c>
      <c r="Q490"/>
    </row>
    <row r="491" spans="1:17" s="1" customFormat="1" x14ac:dyDescent="0.25">
      <c r="A491" t="s">
        <v>3296</v>
      </c>
      <c r="B491" t="s">
        <v>2931</v>
      </c>
      <c r="C491">
        <v>14315</v>
      </c>
      <c r="D491" t="str">
        <f t="shared" si="28"/>
        <v xml:space="preserve">706366      </v>
      </c>
      <c r="E491" t="s">
        <v>501</v>
      </c>
      <c r="F491" t="s">
        <v>502</v>
      </c>
      <c r="G491">
        <v>26.18</v>
      </c>
      <c r="H491">
        <v>251017</v>
      </c>
      <c r="I491">
        <v>4841</v>
      </c>
      <c r="J491" t="s">
        <v>9</v>
      </c>
      <c r="K491">
        <v>1029.6500000000001</v>
      </c>
      <c r="L491">
        <v>5.32</v>
      </c>
      <c r="M491">
        <v>14321</v>
      </c>
      <c r="N491" t="s">
        <v>72</v>
      </c>
      <c r="O491">
        <v>251029</v>
      </c>
      <c r="P491">
        <v>20.86</v>
      </c>
      <c r="Q491"/>
    </row>
    <row r="492" spans="1:17" s="1" customFormat="1" x14ac:dyDescent="0.25">
      <c r="A492" t="s">
        <v>3296</v>
      </c>
      <c r="B492" t="s">
        <v>2931</v>
      </c>
      <c r="C492">
        <v>14315</v>
      </c>
      <c r="D492" t="str">
        <f t="shared" si="28"/>
        <v xml:space="preserve">706366      </v>
      </c>
      <c r="E492" t="s">
        <v>501</v>
      </c>
      <c r="F492" t="s">
        <v>502</v>
      </c>
      <c r="G492">
        <v>151.5</v>
      </c>
      <c r="H492">
        <v>251017</v>
      </c>
      <c r="I492">
        <v>4841</v>
      </c>
      <c r="J492" t="s">
        <v>9</v>
      </c>
      <c r="K492">
        <v>1029.6500000000001</v>
      </c>
      <c r="L492">
        <v>30.78</v>
      </c>
      <c r="M492">
        <v>14321</v>
      </c>
      <c r="N492" t="s">
        <v>72</v>
      </c>
      <c r="O492">
        <v>251029</v>
      </c>
      <c r="P492">
        <v>120.72</v>
      </c>
      <c r="Q492"/>
    </row>
    <row r="493" spans="1:17" s="1" customFormat="1" x14ac:dyDescent="0.25">
      <c r="A493" t="s">
        <v>3296</v>
      </c>
      <c r="B493" t="s">
        <v>2931</v>
      </c>
      <c r="C493">
        <v>14315</v>
      </c>
      <c r="D493" t="str">
        <f t="shared" si="28"/>
        <v xml:space="preserve">706366      </v>
      </c>
      <c r="E493" t="s">
        <v>501</v>
      </c>
      <c r="F493" t="s">
        <v>502</v>
      </c>
      <c r="G493">
        <v>12.09</v>
      </c>
      <c r="H493">
        <v>251017</v>
      </c>
      <c r="I493">
        <v>4841</v>
      </c>
      <c r="J493" t="s">
        <v>9</v>
      </c>
      <c r="K493">
        <v>1029.6500000000001</v>
      </c>
      <c r="L493">
        <v>2.46</v>
      </c>
      <c r="M493">
        <v>14422</v>
      </c>
      <c r="N493" t="s">
        <v>73</v>
      </c>
      <c r="O493">
        <v>251029</v>
      </c>
      <c r="P493">
        <v>9.6300000000000008</v>
      </c>
      <c r="Q493"/>
    </row>
    <row r="494" spans="1:17" s="1" customFormat="1" x14ac:dyDescent="0.25">
      <c r="A494" t="s">
        <v>3296</v>
      </c>
      <c r="B494" t="s">
        <v>2931</v>
      </c>
      <c r="C494">
        <v>14315</v>
      </c>
      <c r="D494" t="str">
        <f t="shared" si="28"/>
        <v xml:space="preserve">706366      </v>
      </c>
      <c r="E494" t="s">
        <v>501</v>
      </c>
      <c r="F494" t="s">
        <v>502</v>
      </c>
      <c r="G494">
        <v>13.48</v>
      </c>
      <c r="H494">
        <v>251017</v>
      </c>
      <c r="I494">
        <v>4841</v>
      </c>
      <c r="J494" t="s">
        <v>9</v>
      </c>
      <c r="K494">
        <v>1029.6500000000001</v>
      </c>
      <c r="L494">
        <v>2.74</v>
      </c>
      <c r="M494">
        <v>14432</v>
      </c>
      <c r="N494" t="s">
        <v>75</v>
      </c>
      <c r="O494">
        <v>251029</v>
      </c>
      <c r="P494">
        <v>10.74</v>
      </c>
      <c r="Q494"/>
    </row>
    <row r="495" spans="1:17" s="1" customFormat="1" x14ac:dyDescent="0.25">
      <c r="A495" t="s">
        <v>3296</v>
      </c>
      <c r="B495" t="s">
        <v>2931</v>
      </c>
      <c r="C495">
        <v>14315</v>
      </c>
      <c r="D495" t="str">
        <f t="shared" si="28"/>
        <v xml:space="preserve">706366      </v>
      </c>
      <c r="E495" t="s">
        <v>501</v>
      </c>
      <c r="F495" t="s">
        <v>502</v>
      </c>
      <c r="G495">
        <v>22.85</v>
      </c>
      <c r="H495">
        <v>251017</v>
      </c>
      <c r="I495">
        <v>4841</v>
      </c>
      <c r="J495" t="s">
        <v>9</v>
      </c>
      <c r="K495">
        <v>1029.6500000000001</v>
      </c>
      <c r="L495">
        <v>4.6399999999999997</v>
      </c>
      <c r="M495">
        <v>14541</v>
      </c>
      <c r="N495" t="s">
        <v>76</v>
      </c>
      <c r="O495">
        <v>251029</v>
      </c>
      <c r="P495">
        <v>18.21</v>
      </c>
      <c r="Q495"/>
    </row>
    <row r="496" spans="1:17" s="1" customFormat="1" x14ac:dyDescent="0.25">
      <c r="A496" t="s">
        <v>3296</v>
      </c>
      <c r="B496" t="s">
        <v>2931</v>
      </c>
      <c r="C496">
        <v>14315</v>
      </c>
      <c r="D496" t="str">
        <f t="shared" si="28"/>
        <v xml:space="preserve">706366      </v>
      </c>
      <c r="E496" t="s">
        <v>501</v>
      </c>
      <c r="F496" t="s">
        <v>502</v>
      </c>
      <c r="G496">
        <v>13.33</v>
      </c>
      <c r="H496">
        <v>251017</v>
      </c>
      <c r="I496">
        <v>4841</v>
      </c>
      <c r="J496" t="s">
        <v>9</v>
      </c>
      <c r="K496">
        <v>1029.6500000000001</v>
      </c>
      <c r="L496">
        <v>2.71</v>
      </c>
      <c r="M496">
        <v>14622</v>
      </c>
      <c r="N496" t="s">
        <v>77</v>
      </c>
      <c r="O496">
        <v>251029</v>
      </c>
      <c r="P496">
        <v>10.62</v>
      </c>
      <c r="Q496"/>
    </row>
    <row r="497" spans="1:17" s="1" customFormat="1" x14ac:dyDescent="0.25">
      <c r="A497" t="s">
        <v>3296</v>
      </c>
      <c r="B497" t="s">
        <v>2931</v>
      </c>
      <c r="C497">
        <v>14315</v>
      </c>
      <c r="D497" t="str">
        <f t="shared" si="28"/>
        <v xml:space="preserve">706366      </v>
      </c>
      <c r="E497" t="s">
        <v>501</v>
      </c>
      <c r="F497" t="s">
        <v>502</v>
      </c>
      <c r="G497">
        <v>35.14</v>
      </c>
      <c r="H497">
        <v>251017</v>
      </c>
      <c r="I497">
        <v>4841</v>
      </c>
      <c r="J497" t="s">
        <v>9</v>
      </c>
      <c r="K497">
        <v>1029.6500000000001</v>
      </c>
      <c r="L497">
        <v>7.14</v>
      </c>
      <c r="M497">
        <v>14622</v>
      </c>
      <c r="N497" t="s">
        <v>77</v>
      </c>
      <c r="O497">
        <v>251029</v>
      </c>
      <c r="P497">
        <v>28</v>
      </c>
      <c r="Q497"/>
    </row>
    <row r="498" spans="1:17" s="1" customFormat="1" x14ac:dyDescent="0.25">
      <c r="A498" t="s">
        <v>3296</v>
      </c>
      <c r="B498" t="s">
        <v>2931</v>
      </c>
      <c r="C498">
        <v>14315</v>
      </c>
      <c r="D498" t="str">
        <f t="shared" si="28"/>
        <v xml:space="preserve">706366      </v>
      </c>
      <c r="E498" t="s">
        <v>501</v>
      </c>
      <c r="F498" t="s">
        <v>502</v>
      </c>
      <c r="G498">
        <v>10.58</v>
      </c>
      <c r="H498">
        <v>251017</v>
      </c>
      <c r="I498">
        <v>4841</v>
      </c>
      <c r="J498" t="s">
        <v>9</v>
      </c>
      <c r="K498">
        <v>1029.6500000000001</v>
      </c>
      <c r="L498">
        <v>2.15</v>
      </c>
      <c r="M498">
        <v>14912</v>
      </c>
      <c r="N498" t="s">
        <v>80</v>
      </c>
      <c r="O498">
        <v>251029</v>
      </c>
      <c r="P498">
        <v>8.43</v>
      </c>
      <c r="Q498"/>
    </row>
    <row r="499" spans="1:17" s="1" customFormat="1" x14ac:dyDescent="0.25">
      <c r="A499" t="s">
        <v>3296</v>
      </c>
      <c r="B499" t="s">
        <v>2931</v>
      </c>
      <c r="C499">
        <v>14315</v>
      </c>
      <c r="D499" t="str">
        <f t="shared" si="28"/>
        <v xml:space="preserve">706366      </v>
      </c>
      <c r="E499" t="s">
        <v>501</v>
      </c>
      <c r="F499" t="s">
        <v>502</v>
      </c>
      <c r="G499">
        <v>325.88</v>
      </c>
      <c r="H499">
        <v>251017</v>
      </c>
      <c r="I499">
        <v>4841</v>
      </c>
      <c r="J499" t="s">
        <v>9</v>
      </c>
      <c r="K499">
        <v>1029.6500000000001</v>
      </c>
      <c r="L499">
        <v>66.209999999999994</v>
      </c>
      <c r="M499">
        <v>14972</v>
      </c>
      <c r="N499" t="s">
        <v>82</v>
      </c>
      <c r="O499">
        <v>251029</v>
      </c>
      <c r="P499">
        <v>259.67</v>
      </c>
      <c r="Q499"/>
    </row>
    <row r="500" spans="1:17" s="1" customFormat="1" x14ac:dyDescent="0.25">
      <c r="A500" t="s">
        <v>3296</v>
      </c>
      <c r="B500" t="s">
        <v>2931</v>
      </c>
      <c r="C500">
        <v>14315</v>
      </c>
      <c r="D500" t="str">
        <f t="shared" si="28"/>
        <v xml:space="preserve">706366      </v>
      </c>
      <c r="E500" t="s">
        <v>501</v>
      </c>
      <c r="F500" t="s">
        <v>502</v>
      </c>
      <c r="G500">
        <v>10.38</v>
      </c>
      <c r="H500">
        <v>251017</v>
      </c>
      <c r="I500">
        <v>4841</v>
      </c>
      <c r="J500" t="s">
        <v>9</v>
      </c>
      <c r="K500">
        <v>1029.6500000000001</v>
      </c>
      <c r="L500">
        <v>2.11</v>
      </c>
      <c r="M500">
        <v>14974</v>
      </c>
      <c r="N500" t="s">
        <v>83</v>
      </c>
      <c r="O500">
        <v>251029</v>
      </c>
      <c r="P500">
        <v>8.27</v>
      </c>
      <c r="Q500"/>
    </row>
    <row r="501" spans="1:17" s="1" customFormat="1" x14ac:dyDescent="0.25">
      <c r="A501" t="s">
        <v>3296</v>
      </c>
      <c r="B501" t="s">
        <v>2931</v>
      </c>
      <c r="C501">
        <v>14315</v>
      </c>
      <c r="D501" t="str">
        <f t="shared" si="28"/>
        <v xml:space="preserve">706366      </v>
      </c>
      <c r="E501" t="s">
        <v>501</v>
      </c>
      <c r="F501" t="s">
        <v>502</v>
      </c>
      <c r="G501">
        <v>2.04</v>
      </c>
      <c r="H501">
        <v>251017</v>
      </c>
      <c r="I501">
        <v>4841</v>
      </c>
      <c r="J501" t="s">
        <v>9</v>
      </c>
      <c r="K501">
        <v>1029.6500000000001</v>
      </c>
      <c r="L501">
        <v>0.41</v>
      </c>
      <c r="M501">
        <v>14975</v>
      </c>
      <c r="N501" t="s">
        <v>84</v>
      </c>
      <c r="O501">
        <v>251029</v>
      </c>
      <c r="P501">
        <v>1.63</v>
      </c>
      <c r="Q501"/>
    </row>
    <row r="502" spans="1:17" s="1" customFormat="1" x14ac:dyDescent="0.25">
      <c r="A502" t="s">
        <v>3296</v>
      </c>
      <c r="B502" t="s">
        <v>2931</v>
      </c>
      <c r="C502">
        <v>14315</v>
      </c>
      <c r="D502" t="str">
        <f t="shared" si="28"/>
        <v xml:space="preserve">706366      </v>
      </c>
      <c r="E502" t="s">
        <v>501</v>
      </c>
      <c r="F502" t="s">
        <v>502</v>
      </c>
      <c r="G502">
        <v>10.38</v>
      </c>
      <c r="H502">
        <v>251017</v>
      </c>
      <c r="I502">
        <v>4841</v>
      </c>
      <c r="J502" t="s">
        <v>9</v>
      </c>
      <c r="K502">
        <v>1029.6500000000001</v>
      </c>
      <c r="L502">
        <v>2.11</v>
      </c>
      <c r="M502">
        <v>14990</v>
      </c>
      <c r="N502" t="s">
        <v>85</v>
      </c>
      <c r="O502">
        <v>251029</v>
      </c>
      <c r="P502">
        <v>8.27</v>
      </c>
      <c r="Q502"/>
    </row>
    <row r="503" spans="1:17" s="1" customFormat="1" x14ac:dyDescent="0.25">
      <c r="A503" t="s">
        <v>3296</v>
      </c>
      <c r="B503" t="s">
        <v>2931</v>
      </c>
      <c r="C503">
        <v>14315</v>
      </c>
      <c r="D503" t="str">
        <f t="shared" si="28"/>
        <v xml:space="preserve">706366      </v>
      </c>
      <c r="E503" t="s">
        <v>501</v>
      </c>
      <c r="F503" t="s">
        <v>502</v>
      </c>
      <c r="G503">
        <v>12.27</v>
      </c>
      <c r="H503">
        <v>251017</v>
      </c>
      <c r="I503">
        <v>4841</v>
      </c>
      <c r="J503" t="s">
        <v>9</v>
      </c>
      <c r="K503">
        <v>1029.6500000000001</v>
      </c>
      <c r="L503">
        <v>2.4900000000000002</v>
      </c>
      <c r="M503">
        <v>18972</v>
      </c>
      <c r="N503" t="s">
        <v>39</v>
      </c>
      <c r="O503">
        <v>251029</v>
      </c>
      <c r="P503">
        <v>9.7799999999999994</v>
      </c>
      <c r="Q503"/>
    </row>
    <row r="504" spans="1:17" s="1" customFormat="1" x14ac:dyDescent="0.25">
      <c r="A504" t="s">
        <v>3296</v>
      </c>
      <c r="B504" t="s">
        <v>2931</v>
      </c>
      <c r="C504">
        <v>14337</v>
      </c>
      <c r="D504" t="str">
        <f>"707800      "</f>
        <v xml:space="preserve">707800      </v>
      </c>
      <c r="E504" t="s">
        <v>501</v>
      </c>
      <c r="F504" t="s">
        <v>502</v>
      </c>
      <c r="G504">
        <v>907.27</v>
      </c>
      <c r="H504">
        <v>251021</v>
      </c>
      <c r="I504">
        <v>4841</v>
      </c>
      <c r="J504" t="s">
        <v>9</v>
      </c>
      <c r="K504">
        <v>911.88</v>
      </c>
      <c r="L504">
        <v>184.35</v>
      </c>
      <c r="M504">
        <v>11801</v>
      </c>
      <c r="N504" t="s">
        <v>40</v>
      </c>
      <c r="O504">
        <v>251029</v>
      </c>
      <c r="P504">
        <v>722.92</v>
      </c>
      <c r="Q504"/>
    </row>
    <row r="505" spans="1:17" s="1" customFormat="1" x14ac:dyDescent="0.25">
      <c r="A505" t="s">
        <v>3296</v>
      </c>
      <c r="B505" t="s">
        <v>2931</v>
      </c>
      <c r="C505">
        <v>14337</v>
      </c>
      <c r="D505" t="str">
        <f>"707800      "</f>
        <v xml:space="preserve">707800      </v>
      </c>
      <c r="E505" t="s">
        <v>501</v>
      </c>
      <c r="F505" t="s">
        <v>502</v>
      </c>
      <c r="G505">
        <v>4.6100000000000003</v>
      </c>
      <c r="H505">
        <v>251021</v>
      </c>
      <c r="I505">
        <v>4841</v>
      </c>
      <c r="J505" t="s">
        <v>9</v>
      </c>
      <c r="K505">
        <v>911.88</v>
      </c>
      <c r="L505">
        <v>0.94</v>
      </c>
      <c r="M505">
        <v>13201</v>
      </c>
      <c r="N505" t="s">
        <v>269</v>
      </c>
      <c r="O505">
        <v>251029</v>
      </c>
      <c r="P505">
        <v>3.67</v>
      </c>
      <c r="Q505"/>
    </row>
    <row r="506" spans="1:17" s="1" customFormat="1" x14ac:dyDescent="0.25">
      <c r="A506" t="s">
        <v>3296</v>
      </c>
      <c r="B506" t="s">
        <v>2931</v>
      </c>
      <c r="C506">
        <v>14469</v>
      </c>
      <c r="D506" t="str">
        <f t="shared" ref="D506:D511" si="29">"706355      "</f>
        <v xml:space="preserve">706355      </v>
      </c>
      <c r="E506" t="s">
        <v>501</v>
      </c>
      <c r="F506" t="s">
        <v>502</v>
      </c>
      <c r="G506">
        <v>51.94</v>
      </c>
      <c r="H506">
        <v>251017</v>
      </c>
      <c r="I506">
        <v>4841</v>
      </c>
      <c r="J506" t="s">
        <v>9</v>
      </c>
      <c r="K506">
        <v>391.89</v>
      </c>
      <c r="L506">
        <v>10.55</v>
      </c>
      <c r="M506">
        <v>11001</v>
      </c>
      <c r="N506" t="s">
        <v>93</v>
      </c>
      <c r="O506">
        <v>251103</v>
      </c>
      <c r="P506">
        <v>41.39</v>
      </c>
      <c r="Q506"/>
    </row>
    <row r="507" spans="1:17" s="1" customFormat="1" x14ac:dyDescent="0.25">
      <c r="A507" t="s">
        <v>3296</v>
      </c>
      <c r="B507" t="s">
        <v>2931</v>
      </c>
      <c r="C507">
        <v>14469</v>
      </c>
      <c r="D507" t="str">
        <f t="shared" si="29"/>
        <v xml:space="preserve">706355      </v>
      </c>
      <c r="E507" t="s">
        <v>501</v>
      </c>
      <c r="F507" t="s">
        <v>502</v>
      </c>
      <c r="G507">
        <v>4.18</v>
      </c>
      <c r="H507">
        <v>251017</v>
      </c>
      <c r="I507">
        <v>4841</v>
      </c>
      <c r="J507" t="s">
        <v>9</v>
      </c>
      <c r="K507">
        <v>391.89</v>
      </c>
      <c r="L507">
        <v>0.85</v>
      </c>
      <c r="M507">
        <v>11101</v>
      </c>
      <c r="N507" t="s">
        <v>67</v>
      </c>
      <c r="O507">
        <v>251103</v>
      </c>
      <c r="P507">
        <v>3.33</v>
      </c>
      <c r="Q507"/>
    </row>
    <row r="508" spans="1:17" s="1" customFormat="1" x14ac:dyDescent="0.25">
      <c r="A508" t="s">
        <v>3296</v>
      </c>
      <c r="B508" t="s">
        <v>2931</v>
      </c>
      <c r="C508">
        <v>14469</v>
      </c>
      <c r="D508" t="str">
        <f t="shared" si="29"/>
        <v xml:space="preserve">706355      </v>
      </c>
      <c r="E508" t="s">
        <v>501</v>
      </c>
      <c r="F508" t="s">
        <v>502</v>
      </c>
      <c r="G508">
        <v>39.69</v>
      </c>
      <c r="H508">
        <v>251017</v>
      </c>
      <c r="I508">
        <v>4841</v>
      </c>
      <c r="J508" t="s">
        <v>9</v>
      </c>
      <c r="K508">
        <v>391.89</v>
      </c>
      <c r="L508">
        <v>8.06</v>
      </c>
      <c r="M508">
        <v>11401</v>
      </c>
      <c r="N508" t="s">
        <v>91</v>
      </c>
      <c r="O508">
        <v>251103</v>
      </c>
      <c r="P508">
        <v>31.63</v>
      </c>
      <c r="Q508"/>
    </row>
    <row r="509" spans="1:17" s="1" customFormat="1" x14ac:dyDescent="0.25">
      <c r="A509" t="s">
        <v>3296</v>
      </c>
      <c r="B509" t="s">
        <v>2931</v>
      </c>
      <c r="C509">
        <v>14469</v>
      </c>
      <c r="D509" t="str">
        <f t="shared" si="29"/>
        <v xml:space="preserve">706355      </v>
      </c>
      <c r="E509" t="s">
        <v>501</v>
      </c>
      <c r="F509" t="s">
        <v>502</v>
      </c>
      <c r="G509">
        <v>58.08</v>
      </c>
      <c r="H509">
        <v>251017</v>
      </c>
      <c r="I509">
        <v>4841</v>
      </c>
      <c r="J509" t="s">
        <v>9</v>
      </c>
      <c r="K509">
        <v>391.89</v>
      </c>
      <c r="L509">
        <v>11.8</v>
      </c>
      <c r="M509">
        <v>11501</v>
      </c>
      <c r="N509" t="s">
        <v>13</v>
      </c>
      <c r="O509">
        <v>251103</v>
      </c>
      <c r="P509">
        <v>46.28</v>
      </c>
      <c r="Q509"/>
    </row>
    <row r="510" spans="1:17" s="1" customFormat="1" x14ac:dyDescent="0.25">
      <c r="A510" t="s">
        <v>3296</v>
      </c>
      <c r="B510" t="s">
        <v>2931</v>
      </c>
      <c r="C510">
        <v>14469</v>
      </c>
      <c r="D510" t="str">
        <f t="shared" si="29"/>
        <v xml:space="preserve">706355      </v>
      </c>
      <c r="E510" t="s">
        <v>501</v>
      </c>
      <c r="F510" t="s">
        <v>502</v>
      </c>
      <c r="G510">
        <v>233.82</v>
      </c>
      <c r="H510">
        <v>251017</v>
      </c>
      <c r="I510">
        <v>4841</v>
      </c>
      <c r="J510" t="s">
        <v>9</v>
      </c>
      <c r="K510">
        <v>391.89</v>
      </c>
      <c r="L510">
        <v>47.51</v>
      </c>
      <c r="M510">
        <v>11801</v>
      </c>
      <c r="N510" t="s">
        <v>40</v>
      </c>
      <c r="O510">
        <v>251103</v>
      </c>
      <c r="P510">
        <v>186.31</v>
      </c>
      <c r="Q510"/>
    </row>
    <row r="511" spans="1:17" s="1" customFormat="1" x14ac:dyDescent="0.25">
      <c r="A511" t="s">
        <v>3296</v>
      </c>
      <c r="B511" t="s">
        <v>2931</v>
      </c>
      <c r="C511">
        <v>14469</v>
      </c>
      <c r="D511" t="str">
        <f t="shared" si="29"/>
        <v xml:space="preserve">706355      </v>
      </c>
      <c r="E511" t="s">
        <v>501</v>
      </c>
      <c r="F511" t="s">
        <v>502</v>
      </c>
      <c r="G511">
        <v>4.18</v>
      </c>
      <c r="H511">
        <v>251017</v>
      </c>
      <c r="I511">
        <v>4841</v>
      </c>
      <c r="J511" t="s">
        <v>9</v>
      </c>
      <c r="K511">
        <v>391.89</v>
      </c>
      <c r="L511">
        <v>0.85</v>
      </c>
      <c r="M511">
        <v>13201</v>
      </c>
      <c r="N511" t="s">
        <v>269</v>
      </c>
      <c r="O511">
        <v>251103</v>
      </c>
      <c r="P511">
        <v>3.33</v>
      </c>
      <c r="Q511"/>
    </row>
    <row r="512" spans="1:17" s="1" customFormat="1" x14ac:dyDescent="0.25">
      <c r="A512" t="s">
        <v>3296</v>
      </c>
      <c r="B512" t="s">
        <v>2931</v>
      </c>
      <c r="C512">
        <v>15130</v>
      </c>
      <c r="D512" t="str">
        <f>"706361      "</f>
        <v xml:space="preserve">706361      </v>
      </c>
      <c r="E512" t="s">
        <v>501</v>
      </c>
      <c r="F512" t="s">
        <v>502</v>
      </c>
      <c r="G512">
        <v>220.99</v>
      </c>
      <c r="H512">
        <v>251017</v>
      </c>
      <c r="I512">
        <v>4841</v>
      </c>
      <c r="J512" t="s">
        <v>9</v>
      </c>
      <c r="K512">
        <v>272.85000000000002</v>
      </c>
      <c r="L512">
        <v>44.9</v>
      </c>
      <c r="M512">
        <v>11903</v>
      </c>
      <c r="N512" t="s">
        <v>32</v>
      </c>
      <c r="O512">
        <v>251112</v>
      </c>
      <c r="P512">
        <v>176.09</v>
      </c>
      <c r="Q512"/>
    </row>
    <row r="513" spans="1:17" s="1" customFormat="1" x14ac:dyDescent="0.25">
      <c r="A513" t="s">
        <v>3296</v>
      </c>
      <c r="B513" t="s">
        <v>2931</v>
      </c>
      <c r="C513">
        <v>15130</v>
      </c>
      <c r="D513" t="str">
        <f>"706361      "</f>
        <v xml:space="preserve">706361      </v>
      </c>
      <c r="E513" t="s">
        <v>501</v>
      </c>
      <c r="F513" t="s">
        <v>502</v>
      </c>
      <c r="G513">
        <v>10.58</v>
      </c>
      <c r="H513">
        <v>251017</v>
      </c>
      <c r="I513">
        <v>4841</v>
      </c>
      <c r="J513" t="s">
        <v>9</v>
      </c>
      <c r="K513">
        <v>272.85000000000002</v>
      </c>
      <c r="L513">
        <v>2.15</v>
      </c>
      <c r="M513">
        <v>11903</v>
      </c>
      <c r="N513" t="s">
        <v>32</v>
      </c>
      <c r="O513">
        <v>251112</v>
      </c>
      <c r="P513">
        <v>8.43</v>
      </c>
      <c r="Q513"/>
    </row>
    <row r="514" spans="1:17" s="1" customFormat="1" x14ac:dyDescent="0.25">
      <c r="A514" t="s">
        <v>3296</v>
      </c>
      <c r="B514" t="s">
        <v>2931</v>
      </c>
      <c r="C514">
        <v>15130</v>
      </c>
      <c r="D514" t="str">
        <f>"706361      "</f>
        <v xml:space="preserve">706361      </v>
      </c>
      <c r="E514" t="s">
        <v>501</v>
      </c>
      <c r="F514" t="s">
        <v>502</v>
      </c>
      <c r="G514">
        <v>10.38</v>
      </c>
      <c r="H514">
        <v>251017</v>
      </c>
      <c r="I514">
        <v>4841</v>
      </c>
      <c r="J514" t="s">
        <v>9</v>
      </c>
      <c r="K514">
        <v>272.85000000000002</v>
      </c>
      <c r="L514">
        <v>2.11</v>
      </c>
      <c r="M514">
        <v>11903</v>
      </c>
      <c r="N514" t="s">
        <v>32</v>
      </c>
      <c r="O514">
        <v>251112</v>
      </c>
      <c r="P514">
        <v>8.27</v>
      </c>
      <c r="Q514"/>
    </row>
    <row r="515" spans="1:17" s="1" customFormat="1" x14ac:dyDescent="0.25">
      <c r="A515" t="s">
        <v>3296</v>
      </c>
      <c r="B515" t="s">
        <v>2931</v>
      </c>
      <c r="C515">
        <v>15130</v>
      </c>
      <c r="D515" t="str">
        <f>"706361      "</f>
        <v xml:space="preserve">706361      </v>
      </c>
      <c r="E515" t="s">
        <v>501</v>
      </c>
      <c r="F515" t="s">
        <v>502</v>
      </c>
      <c r="G515">
        <v>15.45</v>
      </c>
      <c r="H515">
        <v>251017</v>
      </c>
      <c r="I515">
        <v>4841</v>
      </c>
      <c r="J515" t="s">
        <v>9</v>
      </c>
      <c r="K515">
        <v>272.85000000000002</v>
      </c>
      <c r="L515">
        <v>3.14</v>
      </c>
      <c r="M515">
        <v>12500</v>
      </c>
      <c r="N515" t="s">
        <v>1502</v>
      </c>
      <c r="O515">
        <v>251112</v>
      </c>
      <c r="P515">
        <v>12.31</v>
      </c>
      <c r="Q515"/>
    </row>
    <row r="516" spans="1:17" s="1" customFormat="1" x14ac:dyDescent="0.25">
      <c r="A516" t="s">
        <v>3296</v>
      </c>
      <c r="B516" t="s">
        <v>2931</v>
      </c>
      <c r="C516">
        <v>15130</v>
      </c>
      <c r="D516" t="str">
        <f>"706361      "</f>
        <v xml:space="preserve">706361      </v>
      </c>
      <c r="E516" t="s">
        <v>501</v>
      </c>
      <c r="F516" t="s">
        <v>502</v>
      </c>
      <c r="G516">
        <v>15.45</v>
      </c>
      <c r="H516">
        <v>251017</v>
      </c>
      <c r="I516">
        <v>4841</v>
      </c>
      <c r="J516" t="s">
        <v>9</v>
      </c>
      <c r="K516">
        <v>272.85000000000002</v>
      </c>
      <c r="L516">
        <v>3.14</v>
      </c>
      <c r="M516">
        <v>12500</v>
      </c>
      <c r="N516" t="s">
        <v>1502</v>
      </c>
      <c r="O516">
        <v>251112</v>
      </c>
      <c r="P516">
        <v>12.31</v>
      </c>
      <c r="Q516"/>
    </row>
    <row r="517" spans="1:17" s="1" customFormat="1" x14ac:dyDescent="0.25">
      <c r="A517" t="s">
        <v>3296</v>
      </c>
      <c r="B517" t="s">
        <v>2931</v>
      </c>
      <c r="C517">
        <v>736</v>
      </c>
      <c r="D517" t="str">
        <f>"684901      "</f>
        <v xml:space="preserve">684901      </v>
      </c>
      <c r="E517" t="s">
        <v>501</v>
      </c>
      <c r="F517" t="s">
        <v>502</v>
      </c>
      <c r="G517">
        <v>119.19</v>
      </c>
      <c r="H517">
        <v>250116</v>
      </c>
      <c r="I517">
        <v>4842</v>
      </c>
      <c r="J517" t="s">
        <v>15</v>
      </c>
      <c r="K517">
        <v>132.43</v>
      </c>
      <c r="L517">
        <v>24.22</v>
      </c>
      <c r="M517">
        <v>16121</v>
      </c>
      <c r="N517" t="s">
        <v>127</v>
      </c>
      <c r="O517">
        <v>250128</v>
      </c>
      <c r="P517">
        <v>94.97</v>
      </c>
      <c r="Q517"/>
    </row>
    <row r="518" spans="1:17" s="1" customFormat="1" x14ac:dyDescent="0.25">
      <c r="A518" t="s">
        <v>3296</v>
      </c>
      <c r="B518" t="s">
        <v>2931</v>
      </c>
      <c r="C518">
        <v>736</v>
      </c>
      <c r="D518" t="str">
        <f>"684901      "</f>
        <v xml:space="preserve">684901      </v>
      </c>
      <c r="E518" t="s">
        <v>501</v>
      </c>
      <c r="F518" t="s">
        <v>502</v>
      </c>
      <c r="G518">
        <v>13.24</v>
      </c>
      <c r="H518">
        <v>250116</v>
      </c>
      <c r="I518">
        <v>4842</v>
      </c>
      <c r="J518" t="s">
        <v>15</v>
      </c>
      <c r="K518">
        <v>132.43</v>
      </c>
      <c r="L518">
        <v>2.69</v>
      </c>
      <c r="M518">
        <v>17530</v>
      </c>
      <c r="N518" t="s">
        <v>144</v>
      </c>
      <c r="O518">
        <v>250128</v>
      </c>
      <c r="P518">
        <v>10.55</v>
      </c>
      <c r="Q518"/>
    </row>
    <row r="519" spans="1:17" s="1" customFormat="1" x14ac:dyDescent="0.25">
      <c r="A519" t="s">
        <v>3296</v>
      </c>
      <c r="B519" t="s">
        <v>2931</v>
      </c>
      <c r="C519">
        <v>5821</v>
      </c>
      <c r="D519" t="str">
        <f>"692148      "</f>
        <v xml:space="preserve">692148      </v>
      </c>
      <c r="E519" t="s">
        <v>501</v>
      </c>
      <c r="F519" t="s">
        <v>502</v>
      </c>
      <c r="G519">
        <v>129.66999999999999</v>
      </c>
      <c r="H519">
        <v>250417</v>
      </c>
      <c r="I519">
        <v>4842</v>
      </c>
      <c r="J519" t="s">
        <v>15</v>
      </c>
      <c r="K519">
        <v>283.5</v>
      </c>
      <c r="L519">
        <v>26.35</v>
      </c>
      <c r="M519">
        <v>16121</v>
      </c>
      <c r="N519" t="s">
        <v>127</v>
      </c>
      <c r="O519">
        <v>250505</v>
      </c>
      <c r="P519">
        <v>103.32</v>
      </c>
      <c r="Q519"/>
    </row>
    <row r="520" spans="1:17" s="1" customFormat="1" x14ac:dyDescent="0.25">
      <c r="A520" t="s">
        <v>3296</v>
      </c>
      <c r="B520" t="s">
        <v>2931</v>
      </c>
      <c r="C520">
        <v>5821</v>
      </c>
      <c r="D520" t="str">
        <f>"692148      "</f>
        <v xml:space="preserve">692148      </v>
      </c>
      <c r="E520" t="s">
        <v>501</v>
      </c>
      <c r="F520" t="s">
        <v>502</v>
      </c>
      <c r="G520">
        <v>115.59</v>
      </c>
      <c r="H520">
        <v>250417</v>
      </c>
      <c r="I520">
        <v>4842</v>
      </c>
      <c r="J520" t="s">
        <v>15</v>
      </c>
      <c r="K520">
        <v>283.5</v>
      </c>
      <c r="L520">
        <v>23.49</v>
      </c>
      <c r="M520">
        <v>16121</v>
      </c>
      <c r="N520" t="s">
        <v>127</v>
      </c>
      <c r="O520">
        <v>250505</v>
      </c>
      <c r="P520">
        <v>92.1</v>
      </c>
      <c r="Q520"/>
    </row>
    <row r="521" spans="1:17" s="1" customFormat="1" x14ac:dyDescent="0.25">
      <c r="A521" t="s">
        <v>3296</v>
      </c>
      <c r="B521" t="s">
        <v>2931</v>
      </c>
      <c r="C521">
        <v>5821</v>
      </c>
      <c r="D521" t="str">
        <f>"692148      "</f>
        <v xml:space="preserve">692148      </v>
      </c>
      <c r="E521" t="s">
        <v>501</v>
      </c>
      <c r="F521" t="s">
        <v>502</v>
      </c>
      <c r="G521">
        <v>13.24</v>
      </c>
      <c r="H521">
        <v>250417</v>
      </c>
      <c r="I521">
        <v>4842</v>
      </c>
      <c r="J521" t="s">
        <v>15</v>
      </c>
      <c r="K521">
        <v>283.5</v>
      </c>
      <c r="L521">
        <v>2.69</v>
      </c>
      <c r="M521">
        <v>17530</v>
      </c>
      <c r="N521" t="s">
        <v>144</v>
      </c>
      <c r="O521">
        <v>250505</v>
      </c>
      <c r="P521">
        <v>10.55</v>
      </c>
      <c r="Q521"/>
    </row>
    <row r="522" spans="1:17" s="1" customFormat="1" x14ac:dyDescent="0.25">
      <c r="A522" t="s">
        <v>3296</v>
      </c>
      <c r="B522" t="s">
        <v>2931</v>
      </c>
      <c r="C522">
        <v>5821</v>
      </c>
      <c r="D522" t="str">
        <f>"692148      "</f>
        <v xml:space="preserve">692148      </v>
      </c>
      <c r="E522" t="s">
        <v>501</v>
      </c>
      <c r="F522" t="s">
        <v>502</v>
      </c>
      <c r="G522">
        <v>25</v>
      </c>
      <c r="H522">
        <v>250417</v>
      </c>
      <c r="I522">
        <v>4842</v>
      </c>
      <c r="J522" t="s">
        <v>15</v>
      </c>
      <c r="K522">
        <v>283.5</v>
      </c>
      <c r="L522">
        <v>5.08</v>
      </c>
      <c r="M522">
        <v>17974</v>
      </c>
      <c r="N522" t="s">
        <v>153</v>
      </c>
      <c r="O522">
        <v>250505</v>
      </c>
      <c r="P522">
        <v>19.920000000000002</v>
      </c>
      <c r="Q522"/>
    </row>
    <row r="523" spans="1:17" s="1" customFormat="1" x14ac:dyDescent="0.25">
      <c r="A523" t="s">
        <v>3296</v>
      </c>
      <c r="B523" t="s">
        <v>2931</v>
      </c>
      <c r="C523">
        <v>10029</v>
      </c>
      <c r="D523" t="str">
        <f t="shared" ref="D523:D528" si="30">"699454      "</f>
        <v xml:space="preserve">699454      </v>
      </c>
      <c r="E523" t="s">
        <v>501</v>
      </c>
      <c r="F523" t="s">
        <v>502</v>
      </c>
      <c r="G523">
        <v>105.09</v>
      </c>
      <c r="H523">
        <v>250715</v>
      </c>
      <c r="I523">
        <v>4842</v>
      </c>
      <c r="J523" t="s">
        <v>15</v>
      </c>
      <c r="K523">
        <v>312.98</v>
      </c>
      <c r="L523">
        <v>21.35</v>
      </c>
      <c r="M523">
        <v>16121</v>
      </c>
      <c r="N523" t="s">
        <v>127</v>
      </c>
      <c r="O523">
        <v>250808</v>
      </c>
      <c r="P523">
        <v>83.74</v>
      </c>
      <c r="Q523"/>
    </row>
    <row r="524" spans="1:17" s="1" customFormat="1" x14ac:dyDescent="0.25">
      <c r="A524" t="s">
        <v>3296</v>
      </c>
      <c r="B524" t="s">
        <v>2931</v>
      </c>
      <c r="C524">
        <v>10029</v>
      </c>
      <c r="D524" t="str">
        <f t="shared" si="30"/>
        <v xml:space="preserve">699454      </v>
      </c>
      <c r="E524" t="s">
        <v>501</v>
      </c>
      <c r="F524" t="s">
        <v>502</v>
      </c>
      <c r="G524">
        <v>129.66999999999999</v>
      </c>
      <c r="H524">
        <v>250715</v>
      </c>
      <c r="I524">
        <v>4842</v>
      </c>
      <c r="J524" t="s">
        <v>15</v>
      </c>
      <c r="K524">
        <v>312.98</v>
      </c>
      <c r="L524">
        <v>26.35</v>
      </c>
      <c r="M524">
        <v>16121</v>
      </c>
      <c r="N524" t="s">
        <v>127</v>
      </c>
      <c r="O524">
        <v>250808</v>
      </c>
      <c r="P524">
        <v>103.32</v>
      </c>
      <c r="Q524"/>
    </row>
    <row r="525" spans="1:17" s="1" customFormat="1" x14ac:dyDescent="0.25">
      <c r="A525" t="s">
        <v>3296</v>
      </c>
      <c r="B525" t="s">
        <v>2931</v>
      </c>
      <c r="C525">
        <v>10029</v>
      </c>
      <c r="D525" t="str">
        <f t="shared" si="30"/>
        <v xml:space="preserve">699454      </v>
      </c>
      <c r="E525" t="s">
        <v>501</v>
      </c>
      <c r="F525" t="s">
        <v>502</v>
      </c>
      <c r="G525">
        <v>13.22</v>
      </c>
      <c r="H525">
        <v>250715</v>
      </c>
      <c r="I525">
        <v>4842</v>
      </c>
      <c r="J525" t="s">
        <v>15</v>
      </c>
      <c r="K525">
        <v>312.98</v>
      </c>
      <c r="L525">
        <v>2.69</v>
      </c>
      <c r="M525">
        <v>16820</v>
      </c>
      <c r="N525" t="s">
        <v>128</v>
      </c>
      <c r="O525">
        <v>250808</v>
      </c>
      <c r="P525">
        <v>10.53</v>
      </c>
      <c r="Q525"/>
    </row>
    <row r="526" spans="1:17" s="1" customFormat="1" x14ac:dyDescent="0.25">
      <c r="A526" t="s">
        <v>3296</v>
      </c>
      <c r="B526" t="s">
        <v>2931</v>
      </c>
      <c r="C526">
        <v>10029</v>
      </c>
      <c r="D526" t="str">
        <f t="shared" si="30"/>
        <v xml:space="preserve">699454      </v>
      </c>
      <c r="E526" t="s">
        <v>501</v>
      </c>
      <c r="F526" t="s">
        <v>502</v>
      </c>
      <c r="G526">
        <v>13.24</v>
      </c>
      <c r="H526">
        <v>250715</v>
      </c>
      <c r="I526">
        <v>4842</v>
      </c>
      <c r="J526" t="s">
        <v>15</v>
      </c>
      <c r="K526">
        <v>312.98</v>
      </c>
      <c r="L526">
        <v>2.69</v>
      </c>
      <c r="M526">
        <v>17530</v>
      </c>
      <c r="N526" t="s">
        <v>144</v>
      </c>
      <c r="O526">
        <v>250808</v>
      </c>
      <c r="P526">
        <v>10.55</v>
      </c>
      <c r="Q526"/>
    </row>
    <row r="527" spans="1:17" s="1" customFormat="1" x14ac:dyDescent="0.25">
      <c r="A527" t="s">
        <v>3296</v>
      </c>
      <c r="B527" t="s">
        <v>2931</v>
      </c>
      <c r="C527">
        <v>10029</v>
      </c>
      <c r="D527" t="str">
        <f t="shared" si="30"/>
        <v xml:space="preserve">699454      </v>
      </c>
      <c r="E527" t="s">
        <v>501</v>
      </c>
      <c r="F527" t="s">
        <v>502</v>
      </c>
      <c r="G527">
        <v>13.71</v>
      </c>
      <c r="H527">
        <v>250715</v>
      </c>
      <c r="I527">
        <v>4842</v>
      </c>
      <c r="J527" t="s">
        <v>15</v>
      </c>
      <c r="K527">
        <v>312.98</v>
      </c>
      <c r="L527">
        <v>2.79</v>
      </c>
      <c r="M527">
        <v>17538</v>
      </c>
      <c r="N527" t="s">
        <v>129</v>
      </c>
      <c r="O527">
        <v>250808</v>
      </c>
      <c r="P527">
        <v>10.92</v>
      </c>
      <c r="Q527"/>
    </row>
    <row r="528" spans="1:17" s="1" customFormat="1" x14ac:dyDescent="0.25">
      <c r="A528" t="s">
        <v>3296</v>
      </c>
      <c r="B528" t="s">
        <v>2931</v>
      </c>
      <c r="C528">
        <v>10029</v>
      </c>
      <c r="D528" t="str">
        <f t="shared" si="30"/>
        <v xml:space="preserve">699454      </v>
      </c>
      <c r="E528" t="s">
        <v>501</v>
      </c>
      <c r="F528" t="s">
        <v>502</v>
      </c>
      <c r="G528">
        <v>38.049999999999997</v>
      </c>
      <c r="H528">
        <v>250715</v>
      </c>
      <c r="I528">
        <v>4842</v>
      </c>
      <c r="J528" t="s">
        <v>15</v>
      </c>
      <c r="K528">
        <v>312.98</v>
      </c>
      <c r="L528">
        <v>7.73</v>
      </c>
      <c r="M528">
        <v>17974</v>
      </c>
      <c r="N528" t="s">
        <v>153</v>
      </c>
      <c r="O528">
        <v>250808</v>
      </c>
      <c r="P528">
        <v>30.32</v>
      </c>
      <c r="Q528"/>
    </row>
    <row r="529" spans="1:17" s="1" customFormat="1" x14ac:dyDescent="0.25">
      <c r="A529" t="s">
        <v>3296</v>
      </c>
      <c r="B529" t="s">
        <v>2931</v>
      </c>
      <c r="C529">
        <v>14332</v>
      </c>
      <c r="D529" t="str">
        <f t="shared" ref="D529:D535" si="31">"706354      "</f>
        <v xml:space="preserve">706354      </v>
      </c>
      <c r="E529" t="s">
        <v>501</v>
      </c>
      <c r="F529" t="s">
        <v>502</v>
      </c>
      <c r="G529">
        <v>145.61000000000001</v>
      </c>
      <c r="H529">
        <v>251017</v>
      </c>
      <c r="I529">
        <v>4842</v>
      </c>
      <c r="J529" t="s">
        <v>15</v>
      </c>
      <c r="K529">
        <v>344.86</v>
      </c>
      <c r="L529">
        <v>29.59</v>
      </c>
      <c r="M529">
        <v>16121</v>
      </c>
      <c r="N529" t="s">
        <v>127</v>
      </c>
      <c r="O529">
        <v>251029</v>
      </c>
      <c r="P529">
        <v>116.02</v>
      </c>
      <c r="Q529"/>
    </row>
    <row r="530" spans="1:17" s="1" customFormat="1" x14ac:dyDescent="0.25">
      <c r="A530" t="s">
        <v>3296</v>
      </c>
      <c r="B530" t="s">
        <v>2931</v>
      </c>
      <c r="C530">
        <v>14332</v>
      </c>
      <c r="D530" t="str">
        <f t="shared" si="31"/>
        <v xml:space="preserve">706354      </v>
      </c>
      <c r="E530" t="s">
        <v>501</v>
      </c>
      <c r="F530" t="s">
        <v>502</v>
      </c>
      <c r="G530">
        <v>105.1</v>
      </c>
      <c r="H530">
        <v>251017</v>
      </c>
      <c r="I530">
        <v>4842</v>
      </c>
      <c r="J530" t="s">
        <v>15</v>
      </c>
      <c r="K530">
        <v>344.86</v>
      </c>
      <c r="L530">
        <v>21.35</v>
      </c>
      <c r="M530">
        <v>16121</v>
      </c>
      <c r="N530" t="s">
        <v>127</v>
      </c>
      <c r="O530">
        <v>251029</v>
      </c>
      <c r="P530">
        <v>83.75</v>
      </c>
      <c r="Q530"/>
    </row>
    <row r="531" spans="1:17" s="1" customFormat="1" x14ac:dyDescent="0.25">
      <c r="A531" t="s">
        <v>3296</v>
      </c>
      <c r="B531" t="s">
        <v>2931</v>
      </c>
      <c r="C531">
        <v>14332</v>
      </c>
      <c r="D531" t="str">
        <f t="shared" si="31"/>
        <v xml:space="preserve">706354      </v>
      </c>
      <c r="E531" t="s">
        <v>501</v>
      </c>
      <c r="F531" t="s">
        <v>502</v>
      </c>
      <c r="G531">
        <v>15.95</v>
      </c>
      <c r="H531">
        <v>251017</v>
      </c>
      <c r="I531">
        <v>4842</v>
      </c>
      <c r="J531" t="s">
        <v>15</v>
      </c>
      <c r="K531">
        <v>344.86</v>
      </c>
      <c r="L531">
        <v>3.24</v>
      </c>
      <c r="M531">
        <v>16322</v>
      </c>
      <c r="N531" t="s">
        <v>331</v>
      </c>
      <c r="O531">
        <v>251029</v>
      </c>
      <c r="P531">
        <v>12.71</v>
      </c>
      <c r="Q531"/>
    </row>
    <row r="532" spans="1:17" s="1" customFormat="1" x14ac:dyDescent="0.25">
      <c r="A532" t="s">
        <v>3296</v>
      </c>
      <c r="B532" t="s">
        <v>2931</v>
      </c>
      <c r="C532">
        <v>14332</v>
      </c>
      <c r="D532" t="str">
        <f t="shared" si="31"/>
        <v xml:space="preserve">706354      </v>
      </c>
      <c r="E532" t="s">
        <v>501</v>
      </c>
      <c r="F532" t="s">
        <v>502</v>
      </c>
      <c r="G532">
        <v>13.21</v>
      </c>
      <c r="H532">
        <v>251017</v>
      </c>
      <c r="I532">
        <v>4842</v>
      </c>
      <c r="J532" t="s">
        <v>15</v>
      </c>
      <c r="K532">
        <v>344.86</v>
      </c>
      <c r="L532">
        <v>2.68</v>
      </c>
      <c r="M532">
        <v>16820</v>
      </c>
      <c r="N532" t="s">
        <v>128</v>
      </c>
      <c r="O532">
        <v>251029</v>
      </c>
      <c r="P532">
        <v>10.53</v>
      </c>
      <c r="Q532"/>
    </row>
    <row r="533" spans="1:17" s="1" customFormat="1" x14ac:dyDescent="0.25">
      <c r="A533" t="s">
        <v>3296</v>
      </c>
      <c r="B533" t="s">
        <v>2931</v>
      </c>
      <c r="C533">
        <v>14332</v>
      </c>
      <c r="D533" t="str">
        <f t="shared" si="31"/>
        <v xml:space="preserve">706354      </v>
      </c>
      <c r="E533" t="s">
        <v>501</v>
      </c>
      <c r="F533" t="s">
        <v>502</v>
      </c>
      <c r="G533">
        <v>13.24</v>
      </c>
      <c r="H533">
        <v>251017</v>
      </c>
      <c r="I533">
        <v>4842</v>
      </c>
      <c r="J533" t="s">
        <v>15</v>
      </c>
      <c r="K533">
        <v>344.86</v>
      </c>
      <c r="L533">
        <v>2.69</v>
      </c>
      <c r="M533">
        <v>17530</v>
      </c>
      <c r="N533" t="s">
        <v>144</v>
      </c>
      <c r="O533">
        <v>251029</v>
      </c>
      <c r="P533">
        <v>10.55</v>
      </c>
      <c r="Q533"/>
    </row>
    <row r="534" spans="1:17" s="1" customFormat="1" x14ac:dyDescent="0.25">
      <c r="A534" t="s">
        <v>3296</v>
      </c>
      <c r="B534" t="s">
        <v>2931</v>
      </c>
      <c r="C534">
        <v>14332</v>
      </c>
      <c r="D534" t="str">
        <f t="shared" si="31"/>
        <v xml:space="preserve">706354      </v>
      </c>
      <c r="E534" t="s">
        <v>501</v>
      </c>
      <c r="F534" t="s">
        <v>502</v>
      </c>
      <c r="G534">
        <v>13.7</v>
      </c>
      <c r="H534">
        <v>251017</v>
      </c>
      <c r="I534">
        <v>4842</v>
      </c>
      <c r="J534" t="s">
        <v>15</v>
      </c>
      <c r="K534">
        <v>344.86</v>
      </c>
      <c r="L534">
        <v>2.78</v>
      </c>
      <c r="M534">
        <v>17538</v>
      </c>
      <c r="N534" t="s">
        <v>129</v>
      </c>
      <c r="O534">
        <v>251029</v>
      </c>
      <c r="P534">
        <v>10.92</v>
      </c>
      <c r="Q534"/>
    </row>
    <row r="535" spans="1:17" s="1" customFormat="1" x14ac:dyDescent="0.25">
      <c r="A535" t="s">
        <v>3296</v>
      </c>
      <c r="B535" t="s">
        <v>2931</v>
      </c>
      <c r="C535">
        <v>14332</v>
      </c>
      <c r="D535" t="str">
        <f t="shared" si="31"/>
        <v xml:space="preserve">706354      </v>
      </c>
      <c r="E535" t="s">
        <v>501</v>
      </c>
      <c r="F535" t="s">
        <v>502</v>
      </c>
      <c r="G535">
        <v>38.049999999999997</v>
      </c>
      <c r="H535">
        <v>251017</v>
      </c>
      <c r="I535">
        <v>4842</v>
      </c>
      <c r="J535" t="s">
        <v>15</v>
      </c>
      <c r="K535">
        <v>344.86</v>
      </c>
      <c r="L535">
        <v>7.73</v>
      </c>
      <c r="M535">
        <v>17974</v>
      </c>
      <c r="N535" t="s">
        <v>153</v>
      </c>
      <c r="O535">
        <v>251029</v>
      </c>
      <c r="P535">
        <v>30.32</v>
      </c>
      <c r="Q535"/>
    </row>
    <row r="536" spans="1:17" s="1" customFormat="1" x14ac:dyDescent="0.25">
      <c r="A536" t="s">
        <v>3296</v>
      </c>
      <c r="B536" t="s">
        <v>2931</v>
      </c>
      <c r="C536">
        <v>3638</v>
      </c>
      <c r="D536" t="str">
        <f>"102136      "</f>
        <v xml:space="preserve">102136      </v>
      </c>
      <c r="E536" t="s">
        <v>1168</v>
      </c>
      <c r="F536" t="s">
        <v>1169</v>
      </c>
      <c r="G536">
        <v>222.07</v>
      </c>
      <c r="H536">
        <v>250317</v>
      </c>
      <c r="I536">
        <v>4580</v>
      </c>
      <c r="J536" t="s">
        <v>126</v>
      </c>
      <c r="K536">
        <v>247.57</v>
      </c>
      <c r="L536">
        <v>45.12</v>
      </c>
      <c r="M536">
        <v>17529</v>
      </c>
      <c r="N536" t="s">
        <v>143</v>
      </c>
      <c r="O536">
        <v>250327</v>
      </c>
      <c r="P536">
        <v>176.95</v>
      </c>
      <c r="Q536"/>
    </row>
    <row r="537" spans="1:17" s="1" customFormat="1" x14ac:dyDescent="0.25">
      <c r="A537" t="s">
        <v>3296</v>
      </c>
      <c r="B537" t="s">
        <v>2931</v>
      </c>
      <c r="C537">
        <v>11526</v>
      </c>
      <c r="D537" t="str">
        <f>"102351      "</f>
        <v xml:space="preserve">102351      </v>
      </c>
      <c r="E537" t="s">
        <v>1168</v>
      </c>
      <c r="F537" t="s">
        <v>1169</v>
      </c>
      <c r="G537">
        <v>2788.61</v>
      </c>
      <c r="H537">
        <v>250901</v>
      </c>
      <c r="I537">
        <v>4580</v>
      </c>
      <c r="J537" t="s">
        <v>126</v>
      </c>
      <c r="K537">
        <v>2788.61</v>
      </c>
      <c r="L537">
        <v>566.61</v>
      </c>
      <c r="M537">
        <v>17529</v>
      </c>
      <c r="N537" t="s">
        <v>143</v>
      </c>
      <c r="O537">
        <v>250908</v>
      </c>
      <c r="P537">
        <v>2222</v>
      </c>
      <c r="Q537"/>
    </row>
    <row r="538" spans="1:17" s="1" customFormat="1" x14ac:dyDescent="0.25">
      <c r="A538" t="s">
        <v>3296</v>
      </c>
      <c r="B538" t="s">
        <v>2931</v>
      </c>
      <c r="C538">
        <v>1954</v>
      </c>
      <c r="D538" t="str">
        <f>"102069      "</f>
        <v xml:space="preserve">102069      </v>
      </c>
      <c r="E538" t="s">
        <v>1168</v>
      </c>
      <c r="F538" t="s">
        <v>1169</v>
      </c>
      <c r="G538">
        <v>48</v>
      </c>
      <c r="H538">
        <v>250207</v>
      </c>
      <c r="I538">
        <v>4600</v>
      </c>
      <c r="J538" t="s">
        <v>278</v>
      </c>
      <c r="K538">
        <v>48</v>
      </c>
      <c r="L538">
        <v>9.75</v>
      </c>
      <c r="M538">
        <v>17529</v>
      </c>
      <c r="N538" t="s">
        <v>143</v>
      </c>
      <c r="O538">
        <v>250218</v>
      </c>
      <c r="P538">
        <v>38.25</v>
      </c>
      <c r="Q538"/>
    </row>
    <row r="539" spans="1:17" s="1" customFormat="1" x14ac:dyDescent="0.25">
      <c r="A539" t="s">
        <v>3296</v>
      </c>
      <c r="B539" t="s">
        <v>2931</v>
      </c>
      <c r="C539">
        <v>3638</v>
      </c>
      <c r="D539" t="str">
        <f>"102136      "</f>
        <v xml:space="preserve">102136      </v>
      </c>
      <c r="E539" t="s">
        <v>1168</v>
      </c>
      <c r="F539" t="s">
        <v>1169</v>
      </c>
      <c r="G539">
        <v>25.5</v>
      </c>
      <c r="H539">
        <v>250317</v>
      </c>
      <c r="I539">
        <v>4600</v>
      </c>
      <c r="J539" t="s">
        <v>278</v>
      </c>
      <c r="K539">
        <v>247.57</v>
      </c>
      <c r="L539">
        <v>5.18</v>
      </c>
      <c r="M539">
        <v>17529</v>
      </c>
      <c r="N539" t="s">
        <v>143</v>
      </c>
      <c r="O539">
        <v>250327</v>
      </c>
      <c r="P539">
        <v>20.32</v>
      </c>
      <c r="Q539"/>
    </row>
    <row r="540" spans="1:17" s="1" customFormat="1" x14ac:dyDescent="0.25">
      <c r="A540" t="s">
        <v>3296</v>
      </c>
      <c r="B540" t="s">
        <v>2931</v>
      </c>
      <c r="C540">
        <v>10978</v>
      </c>
      <c r="D540" t="str">
        <f>"102340      "</f>
        <v xml:space="preserve">102340      </v>
      </c>
      <c r="E540" t="s">
        <v>1168</v>
      </c>
      <c r="F540" t="s">
        <v>1169</v>
      </c>
      <c r="G540">
        <v>180</v>
      </c>
      <c r="H540">
        <v>250825</v>
      </c>
      <c r="I540">
        <v>4600</v>
      </c>
      <c r="J540" t="s">
        <v>278</v>
      </c>
      <c r="K540">
        <v>180</v>
      </c>
      <c r="L540">
        <v>36.57</v>
      </c>
      <c r="M540">
        <v>17529</v>
      </c>
      <c r="N540" t="s">
        <v>143</v>
      </c>
      <c r="O540">
        <v>250828</v>
      </c>
      <c r="P540">
        <v>143.43</v>
      </c>
      <c r="Q540"/>
    </row>
    <row r="541" spans="1:17" s="1" customFormat="1" x14ac:dyDescent="0.25">
      <c r="A541" t="s">
        <v>3296</v>
      </c>
      <c r="B541" t="s">
        <v>2931</v>
      </c>
      <c r="C541">
        <v>15503</v>
      </c>
      <c r="D541" t="str">
        <f>"102506      "</f>
        <v xml:space="preserve">102506      </v>
      </c>
      <c r="E541" t="s">
        <v>1168</v>
      </c>
      <c r="F541" t="s">
        <v>1169</v>
      </c>
      <c r="G541">
        <v>129.06</v>
      </c>
      <c r="H541">
        <v>251118</v>
      </c>
      <c r="I541">
        <v>4600</v>
      </c>
      <c r="J541" t="s">
        <v>278</v>
      </c>
      <c r="K541">
        <v>129.06</v>
      </c>
      <c r="L541">
        <v>26.22</v>
      </c>
      <c r="M541">
        <v>17640</v>
      </c>
      <c r="N541" t="s">
        <v>2594</v>
      </c>
      <c r="O541">
        <v>251121</v>
      </c>
      <c r="P541">
        <v>102.84</v>
      </c>
      <c r="Q541"/>
    </row>
    <row r="542" spans="1:17" s="1" customFormat="1" x14ac:dyDescent="0.25">
      <c r="A542" t="s">
        <v>3296</v>
      </c>
      <c r="B542" t="s">
        <v>2931</v>
      </c>
      <c r="C542">
        <v>16562</v>
      </c>
      <c r="D542" t="str">
        <f>"AS/2025/4398"</f>
        <v>AS/2025/4398</v>
      </c>
      <c r="E542" t="s">
        <v>2684</v>
      </c>
      <c r="F542" t="s">
        <v>2685</v>
      </c>
      <c r="G542">
        <v>455.85</v>
      </c>
      <c r="H542">
        <v>251203</v>
      </c>
      <c r="I542">
        <v>4580</v>
      </c>
      <c r="J542" t="s">
        <v>126</v>
      </c>
      <c r="K542">
        <v>455.85</v>
      </c>
      <c r="L542">
        <v>92.62</v>
      </c>
      <c r="M542">
        <v>17805</v>
      </c>
      <c r="N542" t="s">
        <v>21</v>
      </c>
      <c r="O542">
        <v>251210</v>
      </c>
      <c r="P542">
        <v>363.23</v>
      </c>
      <c r="Q542"/>
    </row>
    <row r="543" spans="1:17" s="1" customFormat="1" x14ac:dyDescent="0.25">
      <c r="A543" t="s">
        <v>3296</v>
      </c>
      <c r="B543" t="s">
        <v>2931</v>
      </c>
      <c r="C543">
        <v>7451</v>
      </c>
      <c r="D543" t="str">
        <f>"602         "</f>
        <v xml:space="preserve">602         </v>
      </c>
      <c r="E543" t="s">
        <v>1968</v>
      </c>
      <c r="F543" t="s">
        <v>1969</v>
      </c>
      <c r="G543">
        <v>3275.55</v>
      </c>
      <c r="H543">
        <v>250528</v>
      </c>
      <c r="I543">
        <v>4367</v>
      </c>
      <c r="J543" t="s">
        <v>159</v>
      </c>
      <c r="K543">
        <v>5647.5</v>
      </c>
      <c r="L543">
        <v>665.55</v>
      </c>
      <c r="M543">
        <v>18972</v>
      </c>
      <c r="N543" t="s">
        <v>39</v>
      </c>
      <c r="O543">
        <v>250603</v>
      </c>
      <c r="P543">
        <v>2610</v>
      </c>
      <c r="Q543"/>
    </row>
    <row r="544" spans="1:17" s="1" customFormat="1" x14ac:dyDescent="0.25">
      <c r="A544" t="s">
        <v>3296</v>
      </c>
      <c r="B544" t="s">
        <v>2931</v>
      </c>
      <c r="C544">
        <v>1229</v>
      </c>
      <c r="D544" t="str">
        <f>"1864        "</f>
        <v xml:space="preserve">1864        </v>
      </c>
      <c r="E544" t="s">
        <v>904</v>
      </c>
      <c r="F544" t="s">
        <v>905</v>
      </c>
      <c r="G544">
        <v>2622</v>
      </c>
      <c r="H544">
        <v>250131</v>
      </c>
      <c r="I544">
        <v>4420</v>
      </c>
      <c r="J544" t="s">
        <v>330</v>
      </c>
      <c r="K544">
        <v>3350</v>
      </c>
      <c r="L544">
        <v>322</v>
      </c>
      <c r="M544">
        <v>11941</v>
      </c>
      <c r="N544" t="s">
        <v>426</v>
      </c>
      <c r="O544">
        <v>250206</v>
      </c>
      <c r="P544">
        <v>2300</v>
      </c>
      <c r="Q544"/>
    </row>
    <row r="545" spans="1:17" s="1" customFormat="1" x14ac:dyDescent="0.25">
      <c r="A545" t="s">
        <v>3296</v>
      </c>
      <c r="B545" t="s">
        <v>2931</v>
      </c>
      <c r="C545">
        <v>1229</v>
      </c>
      <c r="D545" t="str">
        <f>"1864        "</f>
        <v xml:space="preserve">1864        </v>
      </c>
      <c r="E545" t="s">
        <v>904</v>
      </c>
      <c r="F545" t="s">
        <v>905</v>
      </c>
      <c r="G545">
        <v>728</v>
      </c>
      <c r="H545">
        <v>250131</v>
      </c>
      <c r="I545">
        <v>4420</v>
      </c>
      <c r="J545" t="s">
        <v>330</v>
      </c>
      <c r="K545">
        <v>3350</v>
      </c>
      <c r="L545">
        <v>89.4</v>
      </c>
      <c r="M545">
        <v>11951</v>
      </c>
      <c r="N545" t="s">
        <v>428</v>
      </c>
      <c r="O545">
        <v>250206</v>
      </c>
      <c r="P545">
        <v>638.6</v>
      </c>
      <c r="Q545"/>
    </row>
    <row r="546" spans="1:17" s="1" customFormat="1" x14ac:dyDescent="0.25">
      <c r="A546" t="s">
        <v>3296</v>
      </c>
      <c r="B546" t="s">
        <v>2931</v>
      </c>
      <c r="C546">
        <v>3237</v>
      </c>
      <c r="D546" t="str">
        <f>"2009        "</f>
        <v xml:space="preserve">2009        </v>
      </c>
      <c r="E546" t="s">
        <v>904</v>
      </c>
      <c r="F546" t="s">
        <v>905</v>
      </c>
      <c r="G546">
        <v>560</v>
      </c>
      <c r="H546">
        <v>250312</v>
      </c>
      <c r="I546">
        <v>4420</v>
      </c>
      <c r="J546" t="s">
        <v>330</v>
      </c>
      <c r="K546">
        <v>560</v>
      </c>
      <c r="L546">
        <v>68.77</v>
      </c>
      <c r="M546">
        <v>59702</v>
      </c>
      <c r="N546" t="s">
        <v>45</v>
      </c>
      <c r="O546">
        <v>250317</v>
      </c>
      <c r="P546">
        <v>491.23</v>
      </c>
      <c r="Q546"/>
    </row>
    <row r="547" spans="1:17" s="1" customFormat="1" x14ac:dyDescent="0.25">
      <c r="A547" t="s">
        <v>3296</v>
      </c>
      <c r="B547" t="s">
        <v>2931</v>
      </c>
      <c r="C547">
        <v>6704</v>
      </c>
      <c r="D547" t="str">
        <f>"2264        "</f>
        <v xml:space="preserve">2264        </v>
      </c>
      <c r="E547" t="s">
        <v>904</v>
      </c>
      <c r="F547" t="s">
        <v>905</v>
      </c>
      <c r="G547">
        <v>622.5</v>
      </c>
      <c r="H547">
        <v>250513</v>
      </c>
      <c r="I547">
        <v>4420</v>
      </c>
      <c r="J547" t="s">
        <v>330</v>
      </c>
      <c r="K547">
        <v>1245</v>
      </c>
      <c r="L547">
        <v>76.45</v>
      </c>
      <c r="M547">
        <v>11941</v>
      </c>
      <c r="N547" t="s">
        <v>426</v>
      </c>
      <c r="O547">
        <v>250515</v>
      </c>
      <c r="P547">
        <v>546.04999999999995</v>
      </c>
      <c r="Q547"/>
    </row>
    <row r="548" spans="1:17" s="1" customFormat="1" x14ac:dyDescent="0.25">
      <c r="A548" t="s">
        <v>3296</v>
      </c>
      <c r="B548" t="s">
        <v>2931</v>
      </c>
      <c r="C548">
        <v>7280</v>
      </c>
      <c r="D548" t="str">
        <f>"2316        "</f>
        <v xml:space="preserve">2316        </v>
      </c>
      <c r="E548" t="s">
        <v>904</v>
      </c>
      <c r="F548" t="s">
        <v>905</v>
      </c>
      <c r="G548">
        <v>485</v>
      </c>
      <c r="H548">
        <v>250526</v>
      </c>
      <c r="I548">
        <v>4420</v>
      </c>
      <c r="J548" t="s">
        <v>330</v>
      </c>
      <c r="K548">
        <v>485</v>
      </c>
      <c r="L548">
        <v>59.56</v>
      </c>
      <c r="M548">
        <v>16321</v>
      </c>
      <c r="N548" t="s">
        <v>16</v>
      </c>
      <c r="O548">
        <v>250602</v>
      </c>
      <c r="P548">
        <v>425.44</v>
      </c>
      <c r="Q548"/>
    </row>
    <row r="549" spans="1:17" s="1" customFormat="1" x14ac:dyDescent="0.25">
      <c r="A549" t="s">
        <v>3296</v>
      </c>
      <c r="B549" t="s">
        <v>2931</v>
      </c>
      <c r="C549">
        <v>7307</v>
      </c>
      <c r="D549" t="str">
        <f>"2294        "</f>
        <v xml:space="preserve">2294        </v>
      </c>
      <c r="E549" t="s">
        <v>904</v>
      </c>
      <c r="F549" t="s">
        <v>905</v>
      </c>
      <c r="G549">
        <v>790</v>
      </c>
      <c r="H549">
        <v>250526</v>
      </c>
      <c r="I549">
        <v>4420</v>
      </c>
      <c r="J549" t="s">
        <v>330</v>
      </c>
      <c r="K549">
        <v>790</v>
      </c>
      <c r="L549">
        <v>97.02</v>
      </c>
      <c r="M549">
        <v>17972</v>
      </c>
      <c r="N549" t="s">
        <v>28</v>
      </c>
      <c r="O549">
        <v>250603</v>
      </c>
      <c r="P549">
        <v>692.98</v>
      </c>
      <c r="Q549"/>
    </row>
    <row r="550" spans="1:17" s="1" customFormat="1" x14ac:dyDescent="0.25">
      <c r="A550" t="s">
        <v>3296</v>
      </c>
      <c r="B550" t="s">
        <v>2931</v>
      </c>
      <c r="C550">
        <v>11542</v>
      </c>
      <c r="D550" t="str">
        <f>"2709        "</f>
        <v xml:space="preserve">2709        </v>
      </c>
      <c r="E550" t="s">
        <v>904</v>
      </c>
      <c r="F550" t="s">
        <v>905</v>
      </c>
      <c r="G550">
        <v>350</v>
      </c>
      <c r="H550">
        <v>250831</v>
      </c>
      <c r="I550">
        <v>4420</v>
      </c>
      <c r="J550" t="s">
        <v>330</v>
      </c>
      <c r="K550">
        <v>350</v>
      </c>
      <c r="L550">
        <v>42.98</v>
      </c>
      <c r="M550">
        <v>13801</v>
      </c>
      <c r="N550" t="s">
        <v>33</v>
      </c>
      <c r="O550">
        <v>250908</v>
      </c>
      <c r="P550">
        <v>307.02</v>
      </c>
      <c r="Q550"/>
    </row>
    <row r="551" spans="1:17" s="1" customFormat="1" x14ac:dyDescent="0.25">
      <c r="A551" t="s">
        <v>3296</v>
      </c>
      <c r="B551" t="s">
        <v>2931</v>
      </c>
      <c r="C551">
        <v>15959</v>
      </c>
      <c r="D551" t="str">
        <f>"3034        "</f>
        <v xml:space="preserve">3034        </v>
      </c>
      <c r="E551" t="s">
        <v>904</v>
      </c>
      <c r="F551" t="s">
        <v>905</v>
      </c>
      <c r="G551">
        <v>400</v>
      </c>
      <c r="H551">
        <v>251128</v>
      </c>
      <c r="I551">
        <v>4420</v>
      </c>
      <c r="J551" t="s">
        <v>330</v>
      </c>
      <c r="K551">
        <v>400</v>
      </c>
      <c r="L551">
        <v>49.12</v>
      </c>
      <c r="M551">
        <v>17808</v>
      </c>
      <c r="N551" t="s">
        <v>24</v>
      </c>
      <c r="O551">
        <v>251201</v>
      </c>
      <c r="P551">
        <v>350.88</v>
      </c>
      <c r="Q551"/>
    </row>
    <row r="552" spans="1:17" s="1" customFormat="1" x14ac:dyDescent="0.25">
      <c r="A552" t="s">
        <v>3296</v>
      </c>
      <c r="B552" t="s">
        <v>2931</v>
      </c>
      <c r="C552">
        <v>17075</v>
      </c>
      <c r="D552" t="str">
        <f>"3100        "</f>
        <v xml:space="preserve">3100        </v>
      </c>
      <c r="E552" t="s">
        <v>904</v>
      </c>
      <c r="F552" t="s">
        <v>905</v>
      </c>
      <c r="G552">
        <v>510</v>
      </c>
      <c r="H552">
        <v>251209</v>
      </c>
      <c r="I552">
        <v>4420</v>
      </c>
      <c r="J552" t="s">
        <v>330</v>
      </c>
      <c r="K552">
        <v>510</v>
      </c>
      <c r="L552">
        <v>62.63</v>
      </c>
      <c r="M552">
        <v>11605</v>
      </c>
      <c r="N552" t="s">
        <v>1066</v>
      </c>
      <c r="O552">
        <v>251217</v>
      </c>
      <c r="P552">
        <v>447.37</v>
      </c>
      <c r="Q552"/>
    </row>
    <row r="553" spans="1:17" s="1" customFormat="1" x14ac:dyDescent="0.25">
      <c r="A553" t="s">
        <v>3296</v>
      </c>
      <c r="B553" t="s">
        <v>2931</v>
      </c>
      <c r="C553">
        <v>874</v>
      </c>
      <c r="D553" t="str">
        <f>"37580       "</f>
        <v xml:space="preserve">37580       </v>
      </c>
      <c r="E553" t="s">
        <v>767</v>
      </c>
      <c r="F553" t="s">
        <v>769</v>
      </c>
      <c r="G553">
        <v>100.99</v>
      </c>
      <c r="H553">
        <v>250129</v>
      </c>
      <c r="I553">
        <v>4600</v>
      </c>
      <c r="J553" t="s">
        <v>278</v>
      </c>
      <c r="K553">
        <v>100.99</v>
      </c>
      <c r="L553">
        <v>20.52</v>
      </c>
      <c r="M553">
        <v>55255</v>
      </c>
      <c r="N553" t="s">
        <v>768</v>
      </c>
      <c r="O553">
        <v>250130</v>
      </c>
      <c r="P553">
        <v>80.47</v>
      </c>
      <c r="Q553"/>
    </row>
    <row r="554" spans="1:17" s="1" customFormat="1" x14ac:dyDescent="0.25">
      <c r="A554" t="s">
        <v>3296</v>
      </c>
      <c r="B554" t="s">
        <v>2931</v>
      </c>
      <c r="C554">
        <v>5294</v>
      </c>
      <c r="D554" t="str">
        <f>"37818       "</f>
        <v xml:space="preserve">37818       </v>
      </c>
      <c r="E554" t="s">
        <v>767</v>
      </c>
      <c r="F554" t="s">
        <v>769</v>
      </c>
      <c r="G554">
        <v>40.1</v>
      </c>
      <c r="H554">
        <v>250410</v>
      </c>
      <c r="I554">
        <v>4600</v>
      </c>
      <c r="J554" t="s">
        <v>278</v>
      </c>
      <c r="K554">
        <v>447.91</v>
      </c>
      <c r="L554">
        <v>8.15</v>
      </c>
      <c r="M554">
        <v>17531</v>
      </c>
      <c r="N554" t="s">
        <v>145</v>
      </c>
      <c r="O554">
        <v>250423</v>
      </c>
      <c r="P554">
        <v>31.95</v>
      </c>
      <c r="Q554"/>
    </row>
    <row r="555" spans="1:17" s="1" customFormat="1" x14ac:dyDescent="0.25">
      <c r="A555" t="s">
        <v>3296</v>
      </c>
      <c r="B555" t="s">
        <v>2931</v>
      </c>
      <c r="C555">
        <v>5294</v>
      </c>
      <c r="D555" t="str">
        <f>"37818       "</f>
        <v xml:space="preserve">37818       </v>
      </c>
      <c r="E555" t="s">
        <v>767</v>
      </c>
      <c r="F555" t="s">
        <v>769</v>
      </c>
      <c r="G555">
        <v>407.81</v>
      </c>
      <c r="H555">
        <v>250410</v>
      </c>
      <c r="I555">
        <v>4600</v>
      </c>
      <c r="J555" t="s">
        <v>278</v>
      </c>
      <c r="K555">
        <v>447.91</v>
      </c>
      <c r="L555">
        <v>82.86</v>
      </c>
      <c r="M555">
        <v>17532</v>
      </c>
      <c r="N555" t="s">
        <v>146</v>
      </c>
      <c r="O555">
        <v>250423</v>
      </c>
      <c r="P555">
        <v>324.95</v>
      </c>
      <c r="Q555"/>
    </row>
    <row r="556" spans="1:17" s="1" customFormat="1" x14ac:dyDescent="0.25">
      <c r="A556" t="s">
        <v>3296</v>
      </c>
      <c r="B556" t="s">
        <v>2931</v>
      </c>
      <c r="C556">
        <v>10493</v>
      </c>
      <c r="D556" t="str">
        <f>"38094       "</f>
        <v xml:space="preserve">38094       </v>
      </c>
      <c r="E556" t="s">
        <v>767</v>
      </c>
      <c r="F556" t="s">
        <v>769</v>
      </c>
      <c r="G556">
        <v>410.46</v>
      </c>
      <c r="H556">
        <v>250814</v>
      </c>
      <c r="I556">
        <v>4600</v>
      </c>
      <c r="J556" t="s">
        <v>278</v>
      </c>
      <c r="K556">
        <v>410.46</v>
      </c>
      <c r="L556">
        <v>83.4</v>
      </c>
      <c r="M556">
        <v>13802</v>
      </c>
      <c r="N556" t="s">
        <v>34</v>
      </c>
      <c r="O556">
        <v>250820</v>
      </c>
      <c r="P556">
        <v>327.06</v>
      </c>
      <c r="Q556"/>
    </row>
    <row r="557" spans="1:17" s="1" customFormat="1" x14ac:dyDescent="0.25">
      <c r="A557" t="s">
        <v>3296</v>
      </c>
      <c r="B557" t="s">
        <v>2931</v>
      </c>
      <c r="C557">
        <v>11704</v>
      </c>
      <c r="D557" t="str">
        <f>"38181       "</f>
        <v xml:space="preserve">38181       </v>
      </c>
      <c r="E557" t="s">
        <v>767</v>
      </c>
      <c r="F557" t="s">
        <v>769</v>
      </c>
      <c r="G557">
        <v>104.99</v>
      </c>
      <c r="H557">
        <v>250831</v>
      </c>
      <c r="I557">
        <v>4600</v>
      </c>
      <c r="J557" t="s">
        <v>278</v>
      </c>
      <c r="K557">
        <v>104.99</v>
      </c>
      <c r="L557">
        <v>21.33</v>
      </c>
      <c r="M557">
        <v>55255</v>
      </c>
      <c r="N557" t="s">
        <v>768</v>
      </c>
      <c r="O557">
        <v>250910</v>
      </c>
      <c r="P557">
        <v>83.66</v>
      </c>
      <c r="Q557"/>
    </row>
    <row r="558" spans="1:17" s="1" customFormat="1" x14ac:dyDescent="0.25">
      <c r="A558" t="s">
        <v>3296</v>
      </c>
      <c r="B558" t="s">
        <v>2931</v>
      </c>
      <c r="C558">
        <v>2356</v>
      </c>
      <c r="D558" t="str">
        <f>"468961      "</f>
        <v xml:space="preserve">468961      </v>
      </c>
      <c r="E558" t="s">
        <v>1249</v>
      </c>
      <c r="F558" t="s">
        <v>1250</v>
      </c>
      <c r="G558">
        <v>51.98</v>
      </c>
      <c r="H558">
        <v>250215</v>
      </c>
      <c r="I558">
        <v>4520</v>
      </c>
      <c r="J558" t="s">
        <v>280</v>
      </c>
      <c r="K558">
        <v>51.98</v>
      </c>
      <c r="L558">
        <v>6.38</v>
      </c>
      <c r="M558">
        <v>17915</v>
      </c>
      <c r="N558" t="s">
        <v>305</v>
      </c>
      <c r="O558">
        <v>250224</v>
      </c>
      <c r="P558">
        <v>45.6</v>
      </c>
      <c r="Q558"/>
    </row>
    <row r="559" spans="1:17" s="1" customFormat="1" x14ac:dyDescent="0.25">
      <c r="A559" t="s">
        <v>3296</v>
      </c>
      <c r="B559" t="s">
        <v>2931</v>
      </c>
      <c r="C559">
        <v>3049</v>
      </c>
      <c r="D559" t="str">
        <f>"469151      "</f>
        <v xml:space="preserve">469151      </v>
      </c>
      <c r="E559" t="s">
        <v>1249</v>
      </c>
      <c r="F559" t="s">
        <v>1250</v>
      </c>
      <c r="G559">
        <v>36.94</v>
      </c>
      <c r="H559">
        <v>250228</v>
      </c>
      <c r="I559">
        <v>4520</v>
      </c>
      <c r="J559" t="s">
        <v>280</v>
      </c>
      <c r="K559">
        <v>36.94</v>
      </c>
      <c r="L559">
        <v>4.54</v>
      </c>
      <c r="M559">
        <v>17984</v>
      </c>
      <c r="N559" t="s">
        <v>655</v>
      </c>
      <c r="O559">
        <v>250314</v>
      </c>
      <c r="P559">
        <v>32.4</v>
      </c>
      <c r="Q559"/>
    </row>
    <row r="560" spans="1:17" s="1" customFormat="1" x14ac:dyDescent="0.25">
      <c r="A560" t="s">
        <v>3296</v>
      </c>
      <c r="B560" t="s">
        <v>2931</v>
      </c>
      <c r="C560">
        <v>3309</v>
      </c>
      <c r="D560" t="str">
        <f>"469152      "</f>
        <v xml:space="preserve">469152      </v>
      </c>
      <c r="E560" t="s">
        <v>1249</v>
      </c>
      <c r="F560" t="s">
        <v>1250</v>
      </c>
      <c r="G560">
        <v>22.08</v>
      </c>
      <c r="H560">
        <v>250228</v>
      </c>
      <c r="I560">
        <v>4520</v>
      </c>
      <c r="J560" t="s">
        <v>280</v>
      </c>
      <c r="K560">
        <v>110.28</v>
      </c>
      <c r="L560">
        <v>2.71</v>
      </c>
      <c r="M560">
        <v>17913</v>
      </c>
      <c r="N560" t="s">
        <v>26</v>
      </c>
      <c r="O560">
        <v>250318</v>
      </c>
      <c r="P560">
        <v>19.37</v>
      </c>
      <c r="Q560"/>
    </row>
    <row r="561" spans="1:17" s="1" customFormat="1" x14ac:dyDescent="0.25">
      <c r="A561" t="s">
        <v>3296</v>
      </c>
      <c r="B561" t="s">
        <v>2931</v>
      </c>
      <c r="C561">
        <v>3309</v>
      </c>
      <c r="D561" t="str">
        <f>"469152      "</f>
        <v xml:space="preserve">469152      </v>
      </c>
      <c r="E561" t="s">
        <v>1249</v>
      </c>
      <c r="F561" t="s">
        <v>1250</v>
      </c>
      <c r="G561">
        <v>88.2</v>
      </c>
      <c r="H561">
        <v>250228</v>
      </c>
      <c r="I561">
        <v>4520</v>
      </c>
      <c r="J561" t="s">
        <v>280</v>
      </c>
      <c r="K561">
        <v>110.28</v>
      </c>
      <c r="L561">
        <v>10.83</v>
      </c>
      <c r="M561">
        <v>17984</v>
      </c>
      <c r="N561" t="s">
        <v>655</v>
      </c>
      <c r="O561">
        <v>250318</v>
      </c>
      <c r="P561">
        <v>77.37</v>
      </c>
      <c r="Q561"/>
    </row>
    <row r="562" spans="1:17" s="1" customFormat="1" x14ac:dyDescent="0.25">
      <c r="A562" t="s">
        <v>3296</v>
      </c>
      <c r="B562" t="s">
        <v>2931</v>
      </c>
      <c r="C562">
        <v>4018</v>
      </c>
      <c r="D562" t="str">
        <f>"469339      "</f>
        <v xml:space="preserve">469339      </v>
      </c>
      <c r="E562" t="s">
        <v>1249</v>
      </c>
      <c r="F562" t="s">
        <v>1250</v>
      </c>
      <c r="G562">
        <v>104.26</v>
      </c>
      <c r="H562">
        <v>250315</v>
      </c>
      <c r="I562">
        <v>4520</v>
      </c>
      <c r="J562" t="s">
        <v>280</v>
      </c>
      <c r="K562">
        <v>104.26</v>
      </c>
      <c r="L562">
        <v>12.8</v>
      </c>
      <c r="M562">
        <v>17913</v>
      </c>
      <c r="N562" t="s">
        <v>26</v>
      </c>
      <c r="O562">
        <v>250407</v>
      </c>
      <c r="P562">
        <v>91.46</v>
      </c>
      <c r="Q562"/>
    </row>
    <row r="563" spans="1:17" s="1" customFormat="1" x14ac:dyDescent="0.25">
      <c r="A563" t="s">
        <v>3296</v>
      </c>
      <c r="B563" t="s">
        <v>2931</v>
      </c>
      <c r="C563">
        <v>4043</v>
      </c>
      <c r="D563" t="str">
        <f>"469338      "</f>
        <v xml:space="preserve">469338      </v>
      </c>
      <c r="E563" t="s">
        <v>1249</v>
      </c>
      <c r="F563" t="s">
        <v>1250</v>
      </c>
      <c r="G563">
        <v>106.99</v>
      </c>
      <c r="H563">
        <v>250315</v>
      </c>
      <c r="I563">
        <v>4520</v>
      </c>
      <c r="J563" t="s">
        <v>280</v>
      </c>
      <c r="K563">
        <v>118.89</v>
      </c>
      <c r="L563">
        <v>13.14</v>
      </c>
      <c r="M563">
        <v>17915</v>
      </c>
      <c r="N563" t="s">
        <v>305</v>
      </c>
      <c r="O563">
        <v>250407</v>
      </c>
      <c r="P563">
        <v>93.85</v>
      </c>
      <c r="Q563"/>
    </row>
    <row r="564" spans="1:17" s="1" customFormat="1" x14ac:dyDescent="0.25">
      <c r="A564" t="s">
        <v>3296</v>
      </c>
      <c r="B564" t="s">
        <v>2931</v>
      </c>
      <c r="C564">
        <v>4043</v>
      </c>
      <c r="D564" t="str">
        <f>"469338      "</f>
        <v xml:space="preserve">469338      </v>
      </c>
      <c r="E564" t="s">
        <v>1249</v>
      </c>
      <c r="F564" t="s">
        <v>1250</v>
      </c>
      <c r="G564">
        <v>11.9</v>
      </c>
      <c r="H564">
        <v>250315</v>
      </c>
      <c r="I564">
        <v>4520</v>
      </c>
      <c r="J564" t="s">
        <v>280</v>
      </c>
      <c r="K564">
        <v>118.89</v>
      </c>
      <c r="L564">
        <v>1.46</v>
      </c>
      <c r="M564">
        <v>17982</v>
      </c>
      <c r="N564" t="s">
        <v>281</v>
      </c>
      <c r="O564">
        <v>250407</v>
      </c>
      <c r="P564">
        <v>10.44</v>
      </c>
      <c r="Q564"/>
    </row>
    <row r="565" spans="1:17" s="1" customFormat="1" x14ac:dyDescent="0.25">
      <c r="A565" t="s">
        <v>3296</v>
      </c>
      <c r="B565" t="s">
        <v>2931</v>
      </c>
      <c r="C565">
        <v>6310</v>
      </c>
      <c r="D565" t="str">
        <f>"469958      "</f>
        <v xml:space="preserve">469958      </v>
      </c>
      <c r="E565" t="s">
        <v>1249</v>
      </c>
      <c r="F565" t="s">
        <v>1250</v>
      </c>
      <c r="G565">
        <v>37.35</v>
      </c>
      <c r="H565">
        <v>250430</v>
      </c>
      <c r="I565">
        <v>4520</v>
      </c>
      <c r="J565" t="s">
        <v>280</v>
      </c>
      <c r="K565">
        <v>41.5</v>
      </c>
      <c r="L565">
        <v>4.59</v>
      </c>
      <c r="M565">
        <v>17915</v>
      </c>
      <c r="N565" t="s">
        <v>305</v>
      </c>
      <c r="O565">
        <v>250512</v>
      </c>
      <c r="P565">
        <v>32.76</v>
      </c>
      <c r="Q565"/>
    </row>
    <row r="566" spans="1:17" s="1" customFormat="1" x14ac:dyDescent="0.25">
      <c r="A566" t="s">
        <v>3296</v>
      </c>
      <c r="B566" t="s">
        <v>2931</v>
      </c>
      <c r="C566">
        <v>6310</v>
      </c>
      <c r="D566" t="str">
        <f>"469958      "</f>
        <v xml:space="preserve">469958      </v>
      </c>
      <c r="E566" t="s">
        <v>1249</v>
      </c>
      <c r="F566" t="s">
        <v>1250</v>
      </c>
      <c r="G566">
        <v>4.1500000000000004</v>
      </c>
      <c r="H566">
        <v>250430</v>
      </c>
      <c r="I566">
        <v>4520</v>
      </c>
      <c r="J566" t="s">
        <v>280</v>
      </c>
      <c r="K566">
        <v>41.5</v>
      </c>
      <c r="L566">
        <v>0.51</v>
      </c>
      <c r="M566">
        <v>17982</v>
      </c>
      <c r="N566" t="s">
        <v>281</v>
      </c>
      <c r="O566">
        <v>250512</v>
      </c>
      <c r="P566">
        <v>3.64</v>
      </c>
      <c r="Q566"/>
    </row>
    <row r="567" spans="1:17" s="1" customFormat="1" x14ac:dyDescent="0.25">
      <c r="A567" t="s">
        <v>3296</v>
      </c>
      <c r="B567" t="s">
        <v>2931</v>
      </c>
      <c r="C567">
        <v>8388</v>
      </c>
      <c r="D567" t="str">
        <f>"470357      "</f>
        <v xml:space="preserve">470357      </v>
      </c>
      <c r="E567" t="s">
        <v>1249</v>
      </c>
      <c r="F567" t="s">
        <v>1250</v>
      </c>
      <c r="G567">
        <v>333.88</v>
      </c>
      <c r="H567">
        <v>250531</v>
      </c>
      <c r="I567">
        <v>4520</v>
      </c>
      <c r="J567" t="s">
        <v>280</v>
      </c>
      <c r="K567">
        <v>333.88</v>
      </c>
      <c r="L567">
        <v>41</v>
      </c>
      <c r="M567">
        <v>17915</v>
      </c>
      <c r="N567" t="s">
        <v>305</v>
      </c>
      <c r="O567">
        <v>250613</v>
      </c>
      <c r="P567">
        <v>292.88</v>
      </c>
      <c r="Q567"/>
    </row>
    <row r="568" spans="1:17" s="1" customFormat="1" x14ac:dyDescent="0.25">
      <c r="A568" t="s">
        <v>3296</v>
      </c>
      <c r="B568" t="s">
        <v>2931</v>
      </c>
      <c r="C568">
        <v>10571</v>
      </c>
      <c r="D568" t="str">
        <f>"471261      "</f>
        <v xml:space="preserve">471261      </v>
      </c>
      <c r="E568" t="s">
        <v>1249</v>
      </c>
      <c r="F568" t="s">
        <v>1250</v>
      </c>
      <c r="G568">
        <v>156.97999999999999</v>
      </c>
      <c r="H568">
        <v>250815</v>
      </c>
      <c r="I568">
        <v>4520</v>
      </c>
      <c r="J568" t="s">
        <v>280</v>
      </c>
      <c r="K568">
        <v>156.97999999999999</v>
      </c>
      <c r="L568">
        <v>19.28</v>
      </c>
      <c r="M568">
        <v>17984</v>
      </c>
      <c r="N568" t="s">
        <v>655</v>
      </c>
      <c r="O568">
        <v>250820</v>
      </c>
      <c r="P568">
        <v>137.69999999999999</v>
      </c>
      <c r="Q568"/>
    </row>
    <row r="569" spans="1:17" s="1" customFormat="1" x14ac:dyDescent="0.25">
      <c r="A569" t="s">
        <v>3296</v>
      </c>
      <c r="B569" t="s">
        <v>2931</v>
      </c>
      <c r="C569">
        <v>10619</v>
      </c>
      <c r="D569" t="str">
        <f>"471260      "</f>
        <v xml:space="preserve">471260      </v>
      </c>
      <c r="E569" t="s">
        <v>1249</v>
      </c>
      <c r="F569" t="s">
        <v>1250</v>
      </c>
      <c r="G569">
        <v>193.48</v>
      </c>
      <c r="H569">
        <v>250815</v>
      </c>
      <c r="I569">
        <v>4520</v>
      </c>
      <c r="J569" t="s">
        <v>280</v>
      </c>
      <c r="K569">
        <v>193.48</v>
      </c>
      <c r="L569">
        <v>23.76</v>
      </c>
      <c r="M569">
        <v>17984</v>
      </c>
      <c r="N569" t="s">
        <v>655</v>
      </c>
      <c r="O569">
        <v>250820</v>
      </c>
      <c r="P569">
        <v>169.72</v>
      </c>
      <c r="Q569"/>
    </row>
    <row r="570" spans="1:17" s="1" customFormat="1" x14ac:dyDescent="0.25">
      <c r="A570" t="s">
        <v>3296</v>
      </c>
      <c r="B570" t="s">
        <v>2931</v>
      </c>
      <c r="C570">
        <v>14661</v>
      </c>
      <c r="D570" t="str">
        <f>"472176      "</f>
        <v xml:space="preserve">472176      </v>
      </c>
      <c r="E570" t="s">
        <v>1249</v>
      </c>
      <c r="F570" t="s">
        <v>1250</v>
      </c>
      <c r="G570">
        <v>88.48</v>
      </c>
      <c r="H570">
        <v>251031</v>
      </c>
      <c r="I570">
        <v>4520</v>
      </c>
      <c r="J570" t="s">
        <v>280</v>
      </c>
      <c r="K570">
        <v>88.48</v>
      </c>
      <c r="L570">
        <v>10.87</v>
      </c>
      <c r="M570">
        <v>17984</v>
      </c>
      <c r="N570" t="s">
        <v>655</v>
      </c>
      <c r="O570">
        <v>251105</v>
      </c>
      <c r="P570">
        <v>77.61</v>
      </c>
      <c r="Q570"/>
    </row>
    <row r="571" spans="1:17" s="1" customFormat="1" x14ac:dyDescent="0.25">
      <c r="A571" t="s">
        <v>3296</v>
      </c>
      <c r="B571" t="s">
        <v>2931</v>
      </c>
      <c r="C571">
        <v>15645</v>
      </c>
      <c r="D571" t="str">
        <f>"472383      "</f>
        <v xml:space="preserve">472383      </v>
      </c>
      <c r="E571" t="s">
        <v>1249</v>
      </c>
      <c r="F571" t="s">
        <v>1250</v>
      </c>
      <c r="G571">
        <v>89.97</v>
      </c>
      <c r="H571">
        <v>251115</v>
      </c>
      <c r="I571">
        <v>4520</v>
      </c>
      <c r="J571" t="s">
        <v>280</v>
      </c>
      <c r="K571">
        <v>209.97</v>
      </c>
      <c r="L571">
        <v>11.05</v>
      </c>
      <c r="M571">
        <v>17913</v>
      </c>
      <c r="N571" t="s">
        <v>26</v>
      </c>
      <c r="O571">
        <v>251124</v>
      </c>
      <c r="P571">
        <v>78.92</v>
      </c>
      <c r="Q571"/>
    </row>
    <row r="572" spans="1:17" s="1" customFormat="1" x14ac:dyDescent="0.25">
      <c r="A572" t="s">
        <v>3296</v>
      </c>
      <c r="B572" t="s">
        <v>2931</v>
      </c>
      <c r="C572">
        <v>15645</v>
      </c>
      <c r="D572" t="str">
        <f>"472383      "</f>
        <v xml:space="preserve">472383      </v>
      </c>
      <c r="E572" t="s">
        <v>1249</v>
      </c>
      <c r="F572" t="s">
        <v>1250</v>
      </c>
      <c r="G572">
        <v>120</v>
      </c>
      <c r="H572">
        <v>251115</v>
      </c>
      <c r="I572">
        <v>4520</v>
      </c>
      <c r="J572" t="s">
        <v>280</v>
      </c>
      <c r="K572">
        <v>209.97</v>
      </c>
      <c r="L572">
        <v>14.74</v>
      </c>
      <c r="M572">
        <v>17984</v>
      </c>
      <c r="N572" t="s">
        <v>655</v>
      </c>
      <c r="O572">
        <v>251124</v>
      </c>
      <c r="P572">
        <v>105.26</v>
      </c>
      <c r="Q572"/>
    </row>
    <row r="573" spans="1:17" s="1" customFormat="1" x14ac:dyDescent="0.25">
      <c r="A573" t="s">
        <v>3296</v>
      </c>
      <c r="B573" t="s">
        <v>2931</v>
      </c>
      <c r="C573">
        <v>16112</v>
      </c>
      <c r="D573" t="str">
        <f>"472564      "</f>
        <v xml:space="preserve">472564      </v>
      </c>
      <c r="E573" t="s">
        <v>1249</v>
      </c>
      <c r="F573" t="s">
        <v>1250</v>
      </c>
      <c r="G573">
        <v>103.11</v>
      </c>
      <c r="H573">
        <v>251130</v>
      </c>
      <c r="I573">
        <v>4520</v>
      </c>
      <c r="J573" t="s">
        <v>280</v>
      </c>
      <c r="K573">
        <v>103.11</v>
      </c>
      <c r="L573">
        <v>12.66</v>
      </c>
      <c r="M573">
        <v>17984</v>
      </c>
      <c r="N573" t="s">
        <v>655</v>
      </c>
      <c r="O573">
        <v>251203</v>
      </c>
      <c r="P573">
        <v>90.45</v>
      </c>
      <c r="Q573"/>
    </row>
    <row r="574" spans="1:17" s="1" customFormat="1" x14ac:dyDescent="0.25">
      <c r="A574" t="s">
        <v>3296</v>
      </c>
      <c r="B574" t="s">
        <v>2931</v>
      </c>
      <c r="C574">
        <v>17701</v>
      </c>
      <c r="D574" t="str">
        <f>"472762      "</f>
        <v xml:space="preserve">472762      </v>
      </c>
      <c r="E574" t="s">
        <v>1249</v>
      </c>
      <c r="F574" t="s">
        <v>1250</v>
      </c>
      <c r="G574">
        <v>47.2</v>
      </c>
      <c r="H574">
        <v>251215</v>
      </c>
      <c r="I574">
        <v>4520</v>
      </c>
      <c r="J574" t="s">
        <v>280</v>
      </c>
      <c r="K574">
        <v>78.3</v>
      </c>
      <c r="L574">
        <v>5.8</v>
      </c>
      <c r="M574">
        <v>17913</v>
      </c>
      <c r="N574" t="s">
        <v>26</v>
      </c>
      <c r="O574">
        <v>251229</v>
      </c>
      <c r="P574">
        <v>41.4</v>
      </c>
      <c r="Q574"/>
    </row>
    <row r="575" spans="1:17" s="1" customFormat="1" x14ac:dyDescent="0.25">
      <c r="A575" t="s">
        <v>3296</v>
      </c>
      <c r="B575" t="s">
        <v>2931</v>
      </c>
      <c r="C575">
        <v>17701</v>
      </c>
      <c r="D575" t="str">
        <f>"472762      "</f>
        <v xml:space="preserve">472762      </v>
      </c>
      <c r="E575" t="s">
        <v>1249</v>
      </c>
      <c r="F575" t="s">
        <v>1250</v>
      </c>
      <c r="G575">
        <v>31.1</v>
      </c>
      <c r="H575">
        <v>251215</v>
      </c>
      <c r="I575">
        <v>4520</v>
      </c>
      <c r="J575" t="s">
        <v>280</v>
      </c>
      <c r="K575">
        <v>78.3</v>
      </c>
      <c r="L575">
        <v>3.82</v>
      </c>
      <c r="M575">
        <v>17984</v>
      </c>
      <c r="N575" t="s">
        <v>655</v>
      </c>
      <c r="O575">
        <v>251229</v>
      </c>
      <c r="P575">
        <v>27.28</v>
      </c>
      <c r="Q575"/>
    </row>
    <row r="576" spans="1:17" s="1" customFormat="1" x14ac:dyDescent="0.25">
      <c r="A576" t="s">
        <v>3296</v>
      </c>
      <c r="B576" t="s">
        <v>2931</v>
      </c>
      <c r="C576">
        <v>18226</v>
      </c>
      <c r="D576" t="str">
        <f>"472939      "</f>
        <v xml:space="preserve">472939      </v>
      </c>
      <c r="E576" t="s">
        <v>1249</v>
      </c>
      <c r="F576" t="s">
        <v>1250</v>
      </c>
      <c r="G576">
        <v>121.88</v>
      </c>
      <c r="H576">
        <v>251231</v>
      </c>
      <c r="I576">
        <v>4520</v>
      </c>
      <c r="J576" t="s">
        <v>280</v>
      </c>
      <c r="K576">
        <v>121.88</v>
      </c>
      <c r="L576">
        <v>14.97</v>
      </c>
      <c r="M576">
        <v>17915</v>
      </c>
      <c r="N576" t="s">
        <v>305</v>
      </c>
      <c r="O576">
        <v>260112</v>
      </c>
      <c r="P576">
        <v>106.91</v>
      </c>
      <c r="Q576"/>
    </row>
    <row r="577" spans="1:17" s="1" customFormat="1" x14ac:dyDescent="0.25">
      <c r="A577" t="s">
        <v>3296</v>
      </c>
      <c r="B577" t="s">
        <v>2931</v>
      </c>
      <c r="C577">
        <v>18424</v>
      </c>
      <c r="D577" t="str">
        <f>"472940      "</f>
        <v xml:space="preserve">472940      </v>
      </c>
      <c r="E577" t="s">
        <v>1249</v>
      </c>
      <c r="F577" t="s">
        <v>1250</v>
      </c>
      <c r="G577">
        <v>248.83</v>
      </c>
      <c r="H577">
        <v>251231</v>
      </c>
      <c r="I577">
        <v>4520</v>
      </c>
      <c r="J577" t="s">
        <v>280</v>
      </c>
      <c r="K577">
        <v>248.83</v>
      </c>
      <c r="L577">
        <v>30.56</v>
      </c>
      <c r="M577">
        <v>17913</v>
      </c>
      <c r="N577" t="s">
        <v>26</v>
      </c>
      <c r="O577">
        <v>260113</v>
      </c>
      <c r="P577">
        <v>218.27</v>
      </c>
      <c r="Q577"/>
    </row>
    <row r="578" spans="1:17" s="1" customFormat="1" x14ac:dyDescent="0.25">
      <c r="A578" t="s">
        <v>3296</v>
      </c>
      <c r="B578" t="s">
        <v>2931</v>
      </c>
      <c r="C578">
        <v>324</v>
      </c>
      <c r="D578" t="str">
        <f>"3558678     "</f>
        <v xml:space="preserve">3558678     </v>
      </c>
      <c r="E578" t="s">
        <v>415</v>
      </c>
      <c r="F578" t="s">
        <v>416</v>
      </c>
      <c r="G578">
        <v>235.69</v>
      </c>
      <c r="H578">
        <v>250115</v>
      </c>
      <c r="I578">
        <v>4600</v>
      </c>
      <c r="J578" t="s">
        <v>278</v>
      </c>
      <c r="K578">
        <v>235.69</v>
      </c>
      <c r="L578">
        <v>47.89</v>
      </c>
      <c r="M578">
        <v>17131</v>
      </c>
      <c r="N578" t="s">
        <v>154</v>
      </c>
      <c r="O578">
        <v>250121</v>
      </c>
      <c r="P578">
        <v>187.8</v>
      </c>
      <c r="Q578"/>
    </row>
    <row r="579" spans="1:17" s="1" customFormat="1" x14ac:dyDescent="0.25">
      <c r="A579" t="s">
        <v>3296</v>
      </c>
      <c r="B579" t="s">
        <v>2931</v>
      </c>
      <c r="C579">
        <v>15621</v>
      </c>
      <c r="D579" t="str">
        <f>"4012167     "</f>
        <v xml:space="preserve">4012167     </v>
      </c>
      <c r="E579" t="s">
        <v>415</v>
      </c>
      <c r="F579" t="s">
        <v>416</v>
      </c>
      <c r="G579">
        <v>162.63999999999999</v>
      </c>
      <c r="H579">
        <v>251118</v>
      </c>
      <c r="I579">
        <v>4600</v>
      </c>
      <c r="J579" t="s">
        <v>278</v>
      </c>
      <c r="K579">
        <v>162.63999999999999</v>
      </c>
      <c r="L579">
        <v>33.049999999999997</v>
      </c>
      <c r="M579">
        <v>17131</v>
      </c>
      <c r="N579" t="s">
        <v>154</v>
      </c>
      <c r="O579">
        <v>251124</v>
      </c>
      <c r="P579">
        <v>129.59</v>
      </c>
      <c r="Q579"/>
    </row>
    <row r="580" spans="1:17" s="1" customFormat="1" x14ac:dyDescent="0.25">
      <c r="A580" t="s">
        <v>3296</v>
      </c>
      <c r="B580" t="s">
        <v>2931</v>
      </c>
      <c r="C580">
        <v>4121</v>
      </c>
      <c r="D580" t="str">
        <f>"1250400001  "</f>
        <v xml:space="preserve">1250400001  </v>
      </c>
      <c r="E580" t="s">
        <v>1572</v>
      </c>
      <c r="F580" t="s">
        <v>1573</v>
      </c>
      <c r="G580">
        <v>167.2</v>
      </c>
      <c r="H580">
        <v>250401</v>
      </c>
      <c r="I580">
        <v>4580</v>
      </c>
      <c r="J580" t="s">
        <v>126</v>
      </c>
      <c r="K580">
        <v>167.2</v>
      </c>
      <c r="L580">
        <v>33.97</v>
      </c>
      <c r="M580">
        <v>47522</v>
      </c>
      <c r="N580" t="s">
        <v>106</v>
      </c>
      <c r="O580">
        <v>250407</v>
      </c>
      <c r="P580">
        <v>133.22999999999999</v>
      </c>
      <c r="Q580"/>
    </row>
    <row r="581" spans="1:17" s="1" customFormat="1" x14ac:dyDescent="0.25">
      <c r="A581" t="s">
        <v>3296</v>
      </c>
      <c r="B581" t="s">
        <v>2931</v>
      </c>
      <c r="C581">
        <v>17835</v>
      </c>
      <c r="D581" t="str">
        <f>"1251200056  "</f>
        <v xml:space="preserve">1251200056  </v>
      </c>
      <c r="E581" t="s">
        <v>1572</v>
      </c>
      <c r="F581" t="s">
        <v>1573</v>
      </c>
      <c r="G581">
        <v>1900</v>
      </c>
      <c r="H581">
        <v>251219</v>
      </c>
      <c r="I581">
        <v>4580</v>
      </c>
      <c r="J581" t="s">
        <v>126</v>
      </c>
      <c r="K581">
        <v>1900</v>
      </c>
      <c r="L581">
        <v>386.06</v>
      </c>
      <c r="M581">
        <v>46554</v>
      </c>
      <c r="N581" t="s">
        <v>102</v>
      </c>
      <c r="O581">
        <v>251230</v>
      </c>
      <c r="P581">
        <v>1513.94</v>
      </c>
      <c r="Q581"/>
    </row>
    <row r="582" spans="1:17" s="1" customFormat="1" x14ac:dyDescent="0.25">
      <c r="A582" t="s">
        <v>3296</v>
      </c>
      <c r="B582" t="s">
        <v>2931</v>
      </c>
      <c r="C582">
        <v>6835</v>
      </c>
      <c r="D582" t="str">
        <f>"1250500037  "</f>
        <v xml:space="preserve">1250500037  </v>
      </c>
      <c r="E582" t="s">
        <v>1572</v>
      </c>
      <c r="F582" t="s">
        <v>1573</v>
      </c>
      <c r="G582">
        <v>48.5</v>
      </c>
      <c r="H582">
        <v>250514</v>
      </c>
      <c r="I582">
        <v>4600</v>
      </c>
      <c r="J582" t="s">
        <v>278</v>
      </c>
      <c r="K582">
        <v>48.5</v>
      </c>
      <c r="L582">
        <v>9.85</v>
      </c>
      <c r="M582">
        <v>47522</v>
      </c>
      <c r="N582" t="s">
        <v>106</v>
      </c>
      <c r="O582">
        <v>250519</v>
      </c>
      <c r="P582">
        <v>38.65</v>
      </c>
      <c r="Q582"/>
    </row>
    <row r="583" spans="1:17" s="1" customFormat="1" x14ac:dyDescent="0.25">
      <c r="A583" t="s">
        <v>3296</v>
      </c>
      <c r="B583" t="s">
        <v>2931</v>
      </c>
      <c r="C583">
        <v>14436</v>
      </c>
      <c r="D583" t="str">
        <f>"2191136778  "</f>
        <v xml:space="preserve">2191136778  </v>
      </c>
      <c r="E583" t="s">
        <v>2510</v>
      </c>
      <c r="F583" t="s">
        <v>2511</v>
      </c>
      <c r="G583">
        <v>250.96</v>
      </c>
      <c r="H583">
        <v>251024</v>
      </c>
      <c r="I583">
        <v>4580</v>
      </c>
      <c r="J583" t="s">
        <v>126</v>
      </c>
      <c r="K583">
        <v>250.96</v>
      </c>
      <c r="L583">
        <v>50.99</v>
      </c>
      <c r="M583">
        <v>46555</v>
      </c>
      <c r="N583" t="s">
        <v>103</v>
      </c>
      <c r="O583">
        <v>251031</v>
      </c>
      <c r="P583">
        <v>199.97</v>
      </c>
      <c r="Q583"/>
    </row>
    <row r="584" spans="1:17" s="1" customFormat="1" x14ac:dyDescent="0.25">
      <c r="A584" t="s">
        <v>3296</v>
      </c>
      <c r="B584" t="s">
        <v>2931</v>
      </c>
      <c r="C584">
        <v>1241</v>
      </c>
      <c r="D584" t="str">
        <f>"9202142108  "</f>
        <v xml:space="preserve">9202142108  </v>
      </c>
      <c r="E584" t="s">
        <v>912</v>
      </c>
      <c r="F584" t="s">
        <v>913</v>
      </c>
      <c r="G584">
        <v>188.25</v>
      </c>
      <c r="H584">
        <v>250131</v>
      </c>
      <c r="I584">
        <v>4367</v>
      </c>
      <c r="J584" t="s">
        <v>159</v>
      </c>
      <c r="K584">
        <v>188.25</v>
      </c>
      <c r="L584">
        <v>38.25</v>
      </c>
      <c r="M584">
        <v>41126</v>
      </c>
      <c r="N584" t="s">
        <v>94</v>
      </c>
      <c r="O584">
        <v>250206</v>
      </c>
      <c r="P584">
        <v>150</v>
      </c>
      <c r="Q584"/>
    </row>
    <row r="585" spans="1:17" s="1" customFormat="1" x14ac:dyDescent="0.25">
      <c r="A585" t="s">
        <v>3296</v>
      </c>
      <c r="B585" t="s">
        <v>2931</v>
      </c>
      <c r="C585">
        <v>11425</v>
      </c>
      <c r="D585" t="str">
        <f>"9202466005  "</f>
        <v xml:space="preserve">9202466005  </v>
      </c>
      <c r="E585" t="s">
        <v>912</v>
      </c>
      <c r="F585" t="s">
        <v>913</v>
      </c>
      <c r="G585">
        <v>188.25</v>
      </c>
      <c r="H585">
        <v>250831</v>
      </c>
      <c r="I585">
        <v>4368</v>
      </c>
      <c r="J585" t="s">
        <v>1082</v>
      </c>
      <c r="K585">
        <v>188.25</v>
      </c>
      <c r="L585">
        <v>38.25</v>
      </c>
      <c r="M585">
        <v>41127</v>
      </c>
      <c r="N585" t="s">
        <v>2273</v>
      </c>
      <c r="O585">
        <v>250905</v>
      </c>
      <c r="P585">
        <v>150</v>
      </c>
      <c r="Q585"/>
    </row>
    <row r="586" spans="1:17" s="1" customFormat="1" x14ac:dyDescent="0.25">
      <c r="A586" t="s">
        <v>3296</v>
      </c>
      <c r="B586" t="s">
        <v>2931</v>
      </c>
      <c r="C586">
        <v>441</v>
      </c>
      <c r="D586" t="str">
        <f>"300332667   "</f>
        <v xml:space="preserve">300332667   </v>
      </c>
      <c r="E586" t="s">
        <v>516</v>
      </c>
      <c r="F586" t="s">
        <v>517</v>
      </c>
      <c r="G586">
        <v>183.96</v>
      </c>
      <c r="H586">
        <v>250113</v>
      </c>
      <c r="I586">
        <v>4369</v>
      </c>
      <c r="J586" t="s">
        <v>188</v>
      </c>
      <c r="K586">
        <v>183.96</v>
      </c>
      <c r="L586">
        <v>37.380000000000003</v>
      </c>
      <c r="M586">
        <v>69501</v>
      </c>
      <c r="N586" t="s">
        <v>123</v>
      </c>
      <c r="O586">
        <v>250122</v>
      </c>
      <c r="P586">
        <v>146.58000000000001</v>
      </c>
      <c r="Q586"/>
    </row>
    <row r="587" spans="1:17" s="1" customFormat="1" x14ac:dyDescent="0.25">
      <c r="A587" t="s">
        <v>3296</v>
      </c>
      <c r="B587" t="s">
        <v>2931</v>
      </c>
      <c r="C587">
        <v>3995</v>
      </c>
      <c r="D587" t="str">
        <f>"300347385   "</f>
        <v xml:space="preserve">300347385   </v>
      </c>
      <c r="E587" t="s">
        <v>516</v>
      </c>
      <c r="F587" t="s">
        <v>517</v>
      </c>
      <c r="G587">
        <v>183.96</v>
      </c>
      <c r="H587">
        <v>250305</v>
      </c>
      <c r="I587">
        <v>4369</v>
      </c>
      <c r="J587" t="s">
        <v>188</v>
      </c>
      <c r="K587">
        <v>183.96</v>
      </c>
      <c r="L587">
        <v>37.380000000000003</v>
      </c>
      <c r="M587">
        <v>69501</v>
      </c>
      <c r="N587" t="s">
        <v>123</v>
      </c>
      <c r="O587">
        <v>250404</v>
      </c>
      <c r="P587">
        <v>146.58000000000001</v>
      </c>
      <c r="Q587"/>
    </row>
    <row r="588" spans="1:17" s="1" customFormat="1" x14ac:dyDescent="0.25">
      <c r="A588" t="s">
        <v>3296</v>
      </c>
      <c r="B588" t="s">
        <v>2931</v>
      </c>
      <c r="C588">
        <v>6679</v>
      </c>
      <c r="D588" t="str">
        <f>"300361494   "</f>
        <v xml:space="preserve">300361494   </v>
      </c>
      <c r="E588" t="s">
        <v>516</v>
      </c>
      <c r="F588" t="s">
        <v>517</v>
      </c>
      <c r="G588">
        <v>183.96</v>
      </c>
      <c r="H588">
        <v>250502</v>
      </c>
      <c r="I588">
        <v>4369</v>
      </c>
      <c r="J588" t="s">
        <v>188</v>
      </c>
      <c r="K588">
        <v>183.96</v>
      </c>
      <c r="L588">
        <v>37.380000000000003</v>
      </c>
      <c r="M588">
        <v>69501</v>
      </c>
      <c r="N588" t="s">
        <v>123</v>
      </c>
      <c r="O588">
        <v>250515</v>
      </c>
      <c r="P588">
        <v>146.58000000000001</v>
      </c>
      <c r="Q588"/>
    </row>
    <row r="589" spans="1:17" s="1" customFormat="1" x14ac:dyDescent="0.25">
      <c r="A589" t="s">
        <v>3296</v>
      </c>
      <c r="B589" t="s">
        <v>2931</v>
      </c>
      <c r="C589">
        <v>9337</v>
      </c>
      <c r="D589" t="str">
        <f>"300375477   "</f>
        <v xml:space="preserve">300375477   </v>
      </c>
      <c r="E589" t="s">
        <v>516</v>
      </c>
      <c r="F589" t="s">
        <v>517</v>
      </c>
      <c r="G589">
        <v>183.96</v>
      </c>
      <c r="H589">
        <v>250701</v>
      </c>
      <c r="I589">
        <v>4369</v>
      </c>
      <c r="J589" t="s">
        <v>188</v>
      </c>
      <c r="K589">
        <v>183.96</v>
      </c>
      <c r="L589">
        <v>37.380000000000003</v>
      </c>
      <c r="M589">
        <v>69501</v>
      </c>
      <c r="N589" t="s">
        <v>123</v>
      </c>
      <c r="O589">
        <v>250703</v>
      </c>
      <c r="P589">
        <v>146.58000000000001</v>
      </c>
      <c r="Q589"/>
    </row>
    <row r="590" spans="1:17" s="1" customFormat="1" x14ac:dyDescent="0.25">
      <c r="A590" t="s">
        <v>3296</v>
      </c>
      <c r="B590" t="s">
        <v>2931</v>
      </c>
      <c r="C590">
        <v>12054</v>
      </c>
      <c r="D590" t="str">
        <f>"300389630   "</f>
        <v xml:space="preserve">300389630   </v>
      </c>
      <c r="E590" t="s">
        <v>516</v>
      </c>
      <c r="F590" t="s">
        <v>517</v>
      </c>
      <c r="G590">
        <v>183.96</v>
      </c>
      <c r="H590">
        <v>250901</v>
      </c>
      <c r="I590">
        <v>4369</v>
      </c>
      <c r="J590" t="s">
        <v>188</v>
      </c>
      <c r="K590">
        <v>183.96</v>
      </c>
      <c r="L590">
        <v>37.380000000000003</v>
      </c>
      <c r="M590">
        <v>69501</v>
      </c>
      <c r="N590" t="s">
        <v>123</v>
      </c>
      <c r="O590">
        <v>250915</v>
      </c>
      <c r="P590">
        <v>146.58000000000001</v>
      </c>
      <c r="Q590"/>
    </row>
    <row r="591" spans="1:17" s="1" customFormat="1" x14ac:dyDescent="0.25">
      <c r="A591" t="s">
        <v>3296</v>
      </c>
      <c r="B591" t="s">
        <v>2931</v>
      </c>
      <c r="C591">
        <v>15513</v>
      </c>
      <c r="D591" t="str">
        <f>"300405378   "</f>
        <v xml:space="preserve">300405378   </v>
      </c>
      <c r="E591" t="s">
        <v>516</v>
      </c>
      <c r="F591" t="s">
        <v>517</v>
      </c>
      <c r="G591">
        <v>183.96</v>
      </c>
      <c r="H591">
        <v>251103</v>
      </c>
      <c r="I591">
        <v>4369</v>
      </c>
      <c r="J591" t="s">
        <v>188</v>
      </c>
      <c r="K591">
        <v>183.96</v>
      </c>
      <c r="L591">
        <v>37.380000000000003</v>
      </c>
      <c r="M591">
        <v>69501</v>
      </c>
      <c r="N591" t="s">
        <v>123</v>
      </c>
      <c r="O591">
        <v>251121</v>
      </c>
      <c r="P591">
        <v>146.58000000000001</v>
      </c>
      <c r="Q591"/>
    </row>
    <row r="592" spans="1:17" s="1" customFormat="1" x14ac:dyDescent="0.25">
      <c r="A592" t="s">
        <v>3296</v>
      </c>
      <c r="B592" t="s">
        <v>2931</v>
      </c>
      <c r="C592">
        <v>3813</v>
      </c>
      <c r="D592" t="str">
        <f>"2041859     "</f>
        <v xml:space="preserve">2041859     </v>
      </c>
      <c r="E592" t="s">
        <v>1509</v>
      </c>
      <c r="F592" t="s">
        <v>1510</v>
      </c>
      <c r="G592">
        <v>5500</v>
      </c>
      <c r="H592">
        <v>250319</v>
      </c>
      <c r="I592">
        <v>4440</v>
      </c>
      <c r="J592" t="s">
        <v>346</v>
      </c>
      <c r="K592">
        <v>5500</v>
      </c>
      <c r="L592">
        <v>0</v>
      </c>
      <c r="M592">
        <v>18120</v>
      </c>
      <c r="N592" t="s">
        <v>37</v>
      </c>
      <c r="O592">
        <v>250402</v>
      </c>
      <c r="P592">
        <v>5500</v>
      </c>
      <c r="Q592"/>
    </row>
    <row r="593" spans="1:17" s="1" customFormat="1" x14ac:dyDescent="0.25">
      <c r="A593" t="s">
        <v>3296</v>
      </c>
      <c r="B593" t="s">
        <v>2931</v>
      </c>
      <c r="C593">
        <v>3862</v>
      </c>
      <c r="D593" t="str">
        <f>"2041858     "</f>
        <v xml:space="preserve">2041858     </v>
      </c>
      <c r="E593" t="s">
        <v>1509</v>
      </c>
      <c r="F593" t="s">
        <v>1510</v>
      </c>
      <c r="G593">
        <v>7667</v>
      </c>
      <c r="H593">
        <v>250319</v>
      </c>
      <c r="I593">
        <v>4440</v>
      </c>
      <c r="J593" t="s">
        <v>346</v>
      </c>
      <c r="K593">
        <v>7667</v>
      </c>
      <c r="L593">
        <v>0</v>
      </c>
      <c r="M593">
        <v>18120</v>
      </c>
      <c r="N593" t="s">
        <v>37</v>
      </c>
      <c r="O593">
        <v>250402</v>
      </c>
      <c r="P593">
        <v>7667</v>
      </c>
      <c r="Q593"/>
    </row>
    <row r="594" spans="1:17" s="1" customFormat="1" x14ac:dyDescent="0.25">
      <c r="A594" t="s">
        <v>3296</v>
      </c>
      <c r="B594" t="s">
        <v>2931</v>
      </c>
      <c r="C594">
        <v>3870</v>
      </c>
      <c r="D594" t="str">
        <f>"2041860     "</f>
        <v xml:space="preserve">2041860     </v>
      </c>
      <c r="E594" t="s">
        <v>1509</v>
      </c>
      <c r="F594" t="s">
        <v>1510</v>
      </c>
      <c r="G594">
        <v>2500</v>
      </c>
      <c r="H594">
        <v>250319</v>
      </c>
      <c r="I594">
        <v>4440</v>
      </c>
      <c r="J594" t="s">
        <v>346</v>
      </c>
      <c r="K594">
        <v>2500</v>
      </c>
      <c r="L594">
        <v>0</v>
      </c>
      <c r="M594">
        <v>18120</v>
      </c>
      <c r="N594" t="s">
        <v>37</v>
      </c>
      <c r="O594">
        <v>250402</v>
      </c>
      <c r="P594">
        <v>2500</v>
      </c>
      <c r="Q594"/>
    </row>
    <row r="595" spans="1:17" s="1" customFormat="1" x14ac:dyDescent="0.25">
      <c r="A595" t="s">
        <v>3296</v>
      </c>
      <c r="B595" t="s">
        <v>2931</v>
      </c>
      <c r="C595">
        <v>9063</v>
      </c>
      <c r="D595" t="str">
        <f>"2044078     "</f>
        <v xml:space="preserve">2044078     </v>
      </c>
      <c r="E595" t="s">
        <v>1509</v>
      </c>
      <c r="F595" t="s">
        <v>1510</v>
      </c>
      <c r="G595">
        <v>2500</v>
      </c>
      <c r="H595">
        <v>250616</v>
      </c>
      <c r="I595">
        <v>4440</v>
      </c>
      <c r="J595" t="s">
        <v>346</v>
      </c>
      <c r="K595">
        <v>2500</v>
      </c>
      <c r="L595">
        <v>0</v>
      </c>
      <c r="M595">
        <v>18120</v>
      </c>
      <c r="N595" t="s">
        <v>37</v>
      </c>
      <c r="O595">
        <v>250626</v>
      </c>
      <c r="P595">
        <v>2500</v>
      </c>
      <c r="Q595"/>
    </row>
    <row r="596" spans="1:17" s="1" customFormat="1" x14ac:dyDescent="0.25">
      <c r="A596" t="s">
        <v>3296</v>
      </c>
      <c r="B596" t="s">
        <v>2931</v>
      </c>
      <c r="C596">
        <v>9106</v>
      </c>
      <c r="D596" t="str">
        <f>"2044080     "</f>
        <v xml:space="preserve">2044080     </v>
      </c>
      <c r="E596" t="s">
        <v>1509</v>
      </c>
      <c r="F596" t="s">
        <v>1510</v>
      </c>
      <c r="G596">
        <v>5333</v>
      </c>
      <c r="H596">
        <v>250616</v>
      </c>
      <c r="I596">
        <v>4440</v>
      </c>
      <c r="J596" t="s">
        <v>346</v>
      </c>
      <c r="K596">
        <v>5333</v>
      </c>
      <c r="L596">
        <v>0</v>
      </c>
      <c r="M596">
        <v>18120</v>
      </c>
      <c r="N596" t="s">
        <v>37</v>
      </c>
      <c r="O596">
        <v>250626</v>
      </c>
      <c r="P596">
        <v>5333</v>
      </c>
      <c r="Q596"/>
    </row>
    <row r="597" spans="1:17" s="1" customFormat="1" x14ac:dyDescent="0.25">
      <c r="A597" t="s">
        <v>3296</v>
      </c>
      <c r="B597" t="s">
        <v>2931</v>
      </c>
      <c r="C597">
        <v>9187</v>
      </c>
      <c r="D597" t="str">
        <f>"2044147     "</f>
        <v xml:space="preserve">2044147     </v>
      </c>
      <c r="E597" t="s">
        <v>1509</v>
      </c>
      <c r="F597" t="s">
        <v>1510</v>
      </c>
      <c r="G597">
        <v>1830</v>
      </c>
      <c r="H597">
        <v>250623</v>
      </c>
      <c r="I597">
        <v>4440</v>
      </c>
      <c r="J597" t="s">
        <v>346</v>
      </c>
      <c r="K597">
        <v>1830</v>
      </c>
      <c r="L597">
        <v>0</v>
      </c>
      <c r="M597">
        <v>18482</v>
      </c>
      <c r="N597" t="s">
        <v>2107</v>
      </c>
      <c r="O597">
        <v>250627</v>
      </c>
      <c r="P597">
        <v>1830</v>
      </c>
      <c r="Q597"/>
    </row>
    <row r="598" spans="1:17" s="1" customFormat="1" x14ac:dyDescent="0.25">
      <c r="A598" t="s">
        <v>3296</v>
      </c>
      <c r="B598" t="s">
        <v>2931</v>
      </c>
      <c r="C598">
        <v>9200</v>
      </c>
      <c r="D598" t="str">
        <f>"2044157     "</f>
        <v xml:space="preserve">2044157     </v>
      </c>
      <c r="E598" t="s">
        <v>1509</v>
      </c>
      <c r="F598" t="s">
        <v>1510</v>
      </c>
      <c r="G598">
        <v>4165</v>
      </c>
      <c r="H598">
        <v>250625</v>
      </c>
      <c r="I598">
        <v>4440</v>
      </c>
      <c r="J598" t="s">
        <v>346</v>
      </c>
      <c r="K598">
        <v>4165</v>
      </c>
      <c r="L598">
        <v>0</v>
      </c>
      <c r="M598">
        <v>18120</v>
      </c>
      <c r="N598" t="s">
        <v>37</v>
      </c>
      <c r="O598">
        <v>250627</v>
      </c>
      <c r="P598">
        <v>4165</v>
      </c>
      <c r="Q598"/>
    </row>
    <row r="599" spans="1:17" s="1" customFormat="1" x14ac:dyDescent="0.25">
      <c r="A599" t="s">
        <v>3296</v>
      </c>
      <c r="B599" t="s">
        <v>2931</v>
      </c>
      <c r="C599">
        <v>9263</v>
      </c>
      <c r="D599" t="str">
        <f>"2044166     "</f>
        <v xml:space="preserve">2044166     </v>
      </c>
      <c r="E599" t="s">
        <v>1509</v>
      </c>
      <c r="F599" t="s">
        <v>1510</v>
      </c>
      <c r="G599">
        <v>5500</v>
      </c>
      <c r="H599">
        <v>250626</v>
      </c>
      <c r="I599">
        <v>4440</v>
      </c>
      <c r="J599" t="s">
        <v>346</v>
      </c>
      <c r="K599">
        <v>5500</v>
      </c>
      <c r="L599">
        <v>0</v>
      </c>
      <c r="M599">
        <v>18120</v>
      </c>
      <c r="N599" t="s">
        <v>37</v>
      </c>
      <c r="O599">
        <v>250701</v>
      </c>
      <c r="P599">
        <v>5500</v>
      </c>
      <c r="Q599"/>
    </row>
    <row r="600" spans="1:17" s="1" customFormat="1" x14ac:dyDescent="0.25">
      <c r="A600" t="s">
        <v>3296</v>
      </c>
      <c r="B600" t="s">
        <v>2931</v>
      </c>
      <c r="C600">
        <v>12274</v>
      </c>
      <c r="D600" t="str">
        <f>"2045075     "</f>
        <v xml:space="preserve">2045075     </v>
      </c>
      <c r="E600" t="s">
        <v>1509</v>
      </c>
      <c r="F600" t="s">
        <v>1510</v>
      </c>
      <c r="G600">
        <v>5000</v>
      </c>
      <c r="H600">
        <v>250916</v>
      </c>
      <c r="I600">
        <v>4440</v>
      </c>
      <c r="J600" t="s">
        <v>346</v>
      </c>
      <c r="K600">
        <v>5000</v>
      </c>
      <c r="L600">
        <v>0</v>
      </c>
      <c r="M600">
        <v>18120</v>
      </c>
      <c r="N600" t="s">
        <v>37</v>
      </c>
      <c r="O600">
        <v>250918</v>
      </c>
      <c r="P600">
        <v>5000</v>
      </c>
      <c r="Q600"/>
    </row>
    <row r="601" spans="1:17" s="1" customFormat="1" x14ac:dyDescent="0.25">
      <c r="A601" t="s">
        <v>3296</v>
      </c>
      <c r="B601" t="s">
        <v>2931</v>
      </c>
      <c r="C601">
        <v>12280</v>
      </c>
      <c r="D601" t="str">
        <f>"2045077     "</f>
        <v xml:space="preserve">2045077     </v>
      </c>
      <c r="E601" t="s">
        <v>1509</v>
      </c>
      <c r="F601" t="s">
        <v>1510</v>
      </c>
      <c r="G601">
        <v>2500</v>
      </c>
      <c r="H601">
        <v>250916</v>
      </c>
      <c r="I601">
        <v>4440</v>
      </c>
      <c r="J601" t="s">
        <v>346</v>
      </c>
      <c r="K601">
        <v>2500</v>
      </c>
      <c r="L601">
        <v>0</v>
      </c>
      <c r="M601">
        <v>18120</v>
      </c>
      <c r="N601" t="s">
        <v>37</v>
      </c>
      <c r="O601">
        <v>250918</v>
      </c>
      <c r="P601">
        <v>2500</v>
      </c>
      <c r="Q601"/>
    </row>
    <row r="602" spans="1:17" s="1" customFormat="1" x14ac:dyDescent="0.25">
      <c r="A602" t="s">
        <v>3296</v>
      </c>
      <c r="B602" t="s">
        <v>2931</v>
      </c>
      <c r="C602">
        <v>13096</v>
      </c>
      <c r="D602" t="str">
        <f>"2045076     "</f>
        <v xml:space="preserve">2045076     </v>
      </c>
      <c r="E602" t="s">
        <v>1509</v>
      </c>
      <c r="F602" t="s">
        <v>1510</v>
      </c>
      <c r="G602">
        <v>6900</v>
      </c>
      <c r="H602">
        <v>250916</v>
      </c>
      <c r="I602">
        <v>4440</v>
      </c>
      <c r="J602" t="s">
        <v>346</v>
      </c>
      <c r="K602">
        <v>6900</v>
      </c>
      <c r="L602">
        <v>0</v>
      </c>
      <c r="M602">
        <v>18120</v>
      </c>
      <c r="N602" t="s">
        <v>37</v>
      </c>
      <c r="O602">
        <v>251006</v>
      </c>
      <c r="P602">
        <v>6900</v>
      </c>
      <c r="Q602"/>
    </row>
    <row r="603" spans="1:17" s="1" customFormat="1" x14ac:dyDescent="0.25">
      <c r="A603" t="s">
        <v>3296</v>
      </c>
      <c r="B603" t="s">
        <v>2931</v>
      </c>
      <c r="C603">
        <v>13129</v>
      </c>
      <c r="D603" t="str">
        <f>"2045413     "</f>
        <v xml:space="preserve">2045413     </v>
      </c>
      <c r="E603" t="s">
        <v>1509</v>
      </c>
      <c r="F603" t="s">
        <v>1510</v>
      </c>
      <c r="G603">
        <v>2692.5</v>
      </c>
      <c r="H603">
        <v>250930</v>
      </c>
      <c r="I603">
        <v>4440</v>
      </c>
      <c r="J603" t="s">
        <v>346</v>
      </c>
      <c r="K603">
        <v>2692.5</v>
      </c>
      <c r="L603">
        <v>0</v>
      </c>
      <c r="M603">
        <v>18120</v>
      </c>
      <c r="N603" t="s">
        <v>37</v>
      </c>
      <c r="O603">
        <v>251006</v>
      </c>
      <c r="P603">
        <v>2692.5</v>
      </c>
      <c r="Q603"/>
    </row>
    <row r="604" spans="1:17" s="1" customFormat="1" x14ac:dyDescent="0.25">
      <c r="A604" t="s">
        <v>3296</v>
      </c>
      <c r="B604" t="s">
        <v>2931</v>
      </c>
      <c r="C604">
        <v>13243</v>
      </c>
      <c r="D604" t="str">
        <f>"2045414     "</f>
        <v xml:space="preserve">2045414     </v>
      </c>
      <c r="E604" t="s">
        <v>1509</v>
      </c>
      <c r="F604" t="s">
        <v>1510</v>
      </c>
      <c r="G604">
        <v>7595</v>
      </c>
      <c r="H604">
        <v>250930</v>
      </c>
      <c r="I604">
        <v>4440</v>
      </c>
      <c r="J604" t="s">
        <v>346</v>
      </c>
      <c r="K604">
        <v>7595</v>
      </c>
      <c r="L604">
        <v>1543.21</v>
      </c>
      <c r="M604">
        <v>18120</v>
      </c>
      <c r="N604" t="s">
        <v>37</v>
      </c>
      <c r="O604">
        <v>251007</v>
      </c>
      <c r="P604">
        <v>6051.79</v>
      </c>
      <c r="Q604"/>
    </row>
    <row r="605" spans="1:17" s="1" customFormat="1" x14ac:dyDescent="0.25">
      <c r="A605" t="s">
        <v>3296</v>
      </c>
      <c r="B605" t="s">
        <v>2931</v>
      </c>
      <c r="C605">
        <v>17302</v>
      </c>
      <c r="D605" t="str">
        <f>"2047318     "</f>
        <v xml:space="preserve">2047318     </v>
      </c>
      <c r="E605" t="s">
        <v>1509</v>
      </c>
      <c r="F605" t="s">
        <v>1510</v>
      </c>
      <c r="G605">
        <v>2500</v>
      </c>
      <c r="H605">
        <v>251210</v>
      </c>
      <c r="I605">
        <v>4440</v>
      </c>
      <c r="J605" t="s">
        <v>346</v>
      </c>
      <c r="K605">
        <v>2500</v>
      </c>
      <c r="L605">
        <v>0</v>
      </c>
      <c r="M605">
        <v>18120</v>
      </c>
      <c r="N605" t="s">
        <v>37</v>
      </c>
      <c r="O605">
        <v>251219</v>
      </c>
      <c r="P605">
        <v>2500</v>
      </c>
      <c r="Q605"/>
    </row>
    <row r="606" spans="1:17" s="1" customFormat="1" x14ac:dyDescent="0.25">
      <c r="A606" t="s">
        <v>3296</v>
      </c>
      <c r="B606" t="s">
        <v>2931</v>
      </c>
      <c r="C606">
        <v>17304</v>
      </c>
      <c r="D606" t="str">
        <f>"2047335     "</f>
        <v xml:space="preserve">2047335     </v>
      </c>
      <c r="E606" t="s">
        <v>1509</v>
      </c>
      <c r="F606" t="s">
        <v>1510</v>
      </c>
      <c r="G606">
        <v>5990</v>
      </c>
      <c r="H606">
        <v>251210</v>
      </c>
      <c r="I606">
        <v>4440</v>
      </c>
      <c r="J606" t="s">
        <v>346</v>
      </c>
      <c r="K606">
        <v>5990</v>
      </c>
      <c r="L606">
        <v>0</v>
      </c>
      <c r="M606">
        <v>18120</v>
      </c>
      <c r="N606" t="s">
        <v>37</v>
      </c>
      <c r="O606">
        <v>251219</v>
      </c>
      <c r="P606">
        <v>5990</v>
      </c>
      <c r="Q606"/>
    </row>
    <row r="607" spans="1:17" s="1" customFormat="1" x14ac:dyDescent="0.25">
      <c r="A607" t="s">
        <v>3296</v>
      </c>
      <c r="B607" t="s">
        <v>2931</v>
      </c>
      <c r="C607">
        <v>17428</v>
      </c>
      <c r="D607" t="str">
        <f>"2047476     "</f>
        <v xml:space="preserve">2047476     </v>
      </c>
      <c r="E607" t="s">
        <v>1509</v>
      </c>
      <c r="F607" t="s">
        <v>1510</v>
      </c>
      <c r="G607">
        <v>7227.5</v>
      </c>
      <c r="H607">
        <v>251216</v>
      </c>
      <c r="I607">
        <v>4440</v>
      </c>
      <c r="J607" t="s">
        <v>346</v>
      </c>
      <c r="K607">
        <v>7227.5</v>
      </c>
      <c r="L607">
        <v>0</v>
      </c>
      <c r="M607">
        <v>18120</v>
      </c>
      <c r="N607" t="s">
        <v>37</v>
      </c>
      <c r="O607">
        <v>251219</v>
      </c>
      <c r="P607">
        <v>7227.5</v>
      </c>
      <c r="Q607"/>
    </row>
    <row r="608" spans="1:17" s="1" customFormat="1" x14ac:dyDescent="0.25">
      <c r="A608" t="s">
        <v>3296</v>
      </c>
      <c r="B608" t="s">
        <v>2931</v>
      </c>
      <c r="C608">
        <v>17429</v>
      </c>
      <c r="D608" t="str">
        <f>"2047450     "</f>
        <v xml:space="preserve">2047450     </v>
      </c>
      <c r="E608" t="s">
        <v>1509</v>
      </c>
      <c r="F608" t="s">
        <v>1510</v>
      </c>
      <c r="G608">
        <v>10098.209999999999</v>
      </c>
      <c r="H608">
        <v>251216</v>
      </c>
      <c r="I608">
        <v>4440</v>
      </c>
      <c r="J608" t="s">
        <v>346</v>
      </c>
      <c r="K608">
        <v>10098.209999999999</v>
      </c>
      <c r="L608">
        <v>0</v>
      </c>
      <c r="M608">
        <v>18120</v>
      </c>
      <c r="N608" t="s">
        <v>37</v>
      </c>
      <c r="O608">
        <v>251219</v>
      </c>
      <c r="P608">
        <v>10098.209999999999</v>
      </c>
      <c r="Q608"/>
    </row>
    <row r="609" spans="1:17" s="1" customFormat="1" x14ac:dyDescent="0.25">
      <c r="A609" t="s">
        <v>3296</v>
      </c>
      <c r="B609" t="s">
        <v>2931</v>
      </c>
      <c r="C609">
        <v>17431</v>
      </c>
      <c r="D609" t="str">
        <f>"2047449     "</f>
        <v xml:space="preserve">2047449     </v>
      </c>
      <c r="E609" t="s">
        <v>1509</v>
      </c>
      <c r="F609" t="s">
        <v>1510</v>
      </c>
      <c r="G609">
        <v>4157</v>
      </c>
      <c r="H609">
        <v>251216</v>
      </c>
      <c r="I609">
        <v>4440</v>
      </c>
      <c r="J609" t="s">
        <v>346</v>
      </c>
      <c r="K609">
        <v>4157</v>
      </c>
      <c r="L609">
        <v>0</v>
      </c>
      <c r="M609">
        <v>18120</v>
      </c>
      <c r="N609" t="s">
        <v>37</v>
      </c>
      <c r="O609">
        <v>251219</v>
      </c>
      <c r="P609">
        <v>4157</v>
      </c>
      <c r="Q609"/>
    </row>
    <row r="610" spans="1:17" s="1" customFormat="1" x14ac:dyDescent="0.25">
      <c r="A610" t="s">
        <v>3296</v>
      </c>
      <c r="B610" t="s">
        <v>2931</v>
      </c>
      <c r="C610">
        <v>769</v>
      </c>
      <c r="D610" t="str">
        <f>"266         "</f>
        <v xml:space="preserve">266         </v>
      </c>
      <c r="E610" t="s">
        <v>723</v>
      </c>
      <c r="F610" t="s">
        <v>724</v>
      </c>
      <c r="G610">
        <v>502</v>
      </c>
      <c r="H610">
        <v>250128</v>
      </c>
      <c r="I610">
        <v>4440</v>
      </c>
      <c r="J610" t="s">
        <v>346</v>
      </c>
      <c r="K610">
        <v>502</v>
      </c>
      <c r="L610">
        <v>102</v>
      </c>
      <c r="M610">
        <v>16930</v>
      </c>
      <c r="N610" t="s">
        <v>135</v>
      </c>
      <c r="O610">
        <v>250129</v>
      </c>
      <c r="P610">
        <v>400</v>
      </c>
      <c r="Q610"/>
    </row>
    <row r="611" spans="1:17" s="1" customFormat="1" x14ac:dyDescent="0.25">
      <c r="A611" t="s">
        <v>3296</v>
      </c>
      <c r="B611" t="s">
        <v>2931</v>
      </c>
      <c r="C611">
        <v>2711</v>
      </c>
      <c r="D611" t="str">
        <f>"267         "</f>
        <v xml:space="preserve">267         </v>
      </c>
      <c r="E611" t="s">
        <v>723</v>
      </c>
      <c r="F611" t="s">
        <v>724</v>
      </c>
      <c r="G611">
        <v>1004</v>
      </c>
      <c r="H611">
        <v>250306</v>
      </c>
      <c r="I611">
        <v>4440</v>
      </c>
      <c r="J611" t="s">
        <v>346</v>
      </c>
      <c r="K611">
        <v>1004</v>
      </c>
      <c r="L611">
        <v>204</v>
      </c>
      <c r="M611">
        <v>16930</v>
      </c>
      <c r="N611" t="s">
        <v>135</v>
      </c>
      <c r="O611">
        <v>250311</v>
      </c>
      <c r="P611">
        <v>800</v>
      </c>
      <c r="Q611"/>
    </row>
    <row r="612" spans="1:17" s="1" customFormat="1" x14ac:dyDescent="0.25">
      <c r="A612" t="s">
        <v>3296</v>
      </c>
      <c r="B612" t="s">
        <v>2931</v>
      </c>
      <c r="C612">
        <v>6057</v>
      </c>
      <c r="D612" t="str">
        <f>"277         "</f>
        <v xml:space="preserve">277         </v>
      </c>
      <c r="E612" t="s">
        <v>723</v>
      </c>
      <c r="F612" t="s">
        <v>724</v>
      </c>
      <c r="G612">
        <v>1305.2</v>
      </c>
      <c r="H612">
        <v>250506</v>
      </c>
      <c r="I612">
        <v>4440</v>
      </c>
      <c r="J612" t="s">
        <v>346</v>
      </c>
      <c r="K612">
        <v>1305.2</v>
      </c>
      <c r="L612">
        <v>265.2</v>
      </c>
      <c r="M612">
        <v>16930</v>
      </c>
      <c r="N612" t="s">
        <v>135</v>
      </c>
      <c r="O612">
        <v>250508</v>
      </c>
      <c r="P612">
        <v>1040</v>
      </c>
      <c r="Q612"/>
    </row>
    <row r="613" spans="1:17" s="1" customFormat="1" x14ac:dyDescent="0.25">
      <c r="A613" t="s">
        <v>3296</v>
      </c>
      <c r="B613" t="s">
        <v>2931</v>
      </c>
      <c r="C613">
        <v>12241</v>
      </c>
      <c r="D613" t="str">
        <f>"292         "</f>
        <v xml:space="preserve">292         </v>
      </c>
      <c r="E613" t="s">
        <v>723</v>
      </c>
      <c r="F613" t="s">
        <v>724</v>
      </c>
      <c r="G613">
        <v>1004</v>
      </c>
      <c r="H613">
        <v>250916</v>
      </c>
      <c r="I613">
        <v>4440</v>
      </c>
      <c r="J613" t="s">
        <v>346</v>
      </c>
      <c r="K613">
        <v>1004</v>
      </c>
      <c r="L613">
        <v>204</v>
      </c>
      <c r="M613">
        <v>16930</v>
      </c>
      <c r="N613" t="s">
        <v>135</v>
      </c>
      <c r="O613">
        <v>250918</v>
      </c>
      <c r="P613">
        <v>800</v>
      </c>
      <c r="Q613"/>
    </row>
    <row r="614" spans="1:17" s="1" customFormat="1" x14ac:dyDescent="0.25">
      <c r="A614" t="s">
        <v>3296</v>
      </c>
      <c r="B614" t="s">
        <v>2931</v>
      </c>
      <c r="C614">
        <v>13446</v>
      </c>
      <c r="D614" t="str">
        <f>"294         "</f>
        <v xml:space="preserve">294         </v>
      </c>
      <c r="E614" t="s">
        <v>723</v>
      </c>
      <c r="F614" t="s">
        <v>724</v>
      </c>
      <c r="G614">
        <v>2409.6</v>
      </c>
      <c r="H614">
        <v>251007</v>
      </c>
      <c r="I614">
        <v>4440</v>
      </c>
      <c r="J614" t="s">
        <v>346</v>
      </c>
      <c r="K614">
        <v>2409.6</v>
      </c>
      <c r="L614">
        <v>489.6</v>
      </c>
      <c r="M614">
        <v>16930</v>
      </c>
      <c r="N614" t="s">
        <v>135</v>
      </c>
      <c r="O614">
        <v>251010</v>
      </c>
      <c r="P614">
        <v>1920</v>
      </c>
      <c r="Q614"/>
    </row>
    <row r="615" spans="1:17" s="1" customFormat="1" x14ac:dyDescent="0.25">
      <c r="A615" t="s">
        <v>3296</v>
      </c>
      <c r="B615" t="s">
        <v>2931</v>
      </c>
      <c r="C615">
        <v>14090</v>
      </c>
      <c r="D615" t="str">
        <f>"296         "</f>
        <v xml:space="preserve">296         </v>
      </c>
      <c r="E615" t="s">
        <v>723</v>
      </c>
      <c r="F615" t="s">
        <v>724</v>
      </c>
      <c r="G615">
        <v>1004</v>
      </c>
      <c r="H615">
        <v>251021</v>
      </c>
      <c r="I615">
        <v>4440</v>
      </c>
      <c r="J615" t="s">
        <v>346</v>
      </c>
      <c r="K615">
        <v>1004</v>
      </c>
      <c r="L615">
        <v>204</v>
      </c>
      <c r="M615">
        <v>16930</v>
      </c>
      <c r="N615" t="s">
        <v>135</v>
      </c>
      <c r="O615">
        <v>251023</v>
      </c>
      <c r="P615">
        <v>800</v>
      </c>
      <c r="Q615"/>
    </row>
    <row r="616" spans="1:17" s="1" customFormat="1" x14ac:dyDescent="0.25">
      <c r="A616" t="s">
        <v>3296</v>
      </c>
      <c r="B616" t="s">
        <v>2931</v>
      </c>
      <c r="C616">
        <v>16141</v>
      </c>
      <c r="D616" t="str">
        <f>"299         "</f>
        <v xml:space="preserve">299         </v>
      </c>
      <c r="E616" t="s">
        <v>723</v>
      </c>
      <c r="F616" t="s">
        <v>724</v>
      </c>
      <c r="G616">
        <v>1506</v>
      </c>
      <c r="H616">
        <v>251127</v>
      </c>
      <c r="I616">
        <v>4440</v>
      </c>
      <c r="J616" t="s">
        <v>346</v>
      </c>
      <c r="K616">
        <v>1849</v>
      </c>
      <c r="L616">
        <v>306</v>
      </c>
      <c r="M616">
        <v>16930</v>
      </c>
      <c r="N616" t="s">
        <v>135</v>
      </c>
      <c r="O616">
        <v>251204</v>
      </c>
      <c r="P616">
        <v>1200</v>
      </c>
      <c r="Q616"/>
    </row>
    <row r="617" spans="1:17" s="1" customFormat="1" x14ac:dyDescent="0.25">
      <c r="A617" t="s">
        <v>3296</v>
      </c>
      <c r="B617" t="s">
        <v>2931</v>
      </c>
      <c r="C617">
        <v>16141</v>
      </c>
      <c r="D617" t="str">
        <f>"299         "</f>
        <v xml:space="preserve">299         </v>
      </c>
      <c r="E617" t="s">
        <v>723</v>
      </c>
      <c r="F617" t="s">
        <v>724</v>
      </c>
      <c r="G617">
        <v>343</v>
      </c>
      <c r="H617">
        <v>251127</v>
      </c>
      <c r="I617">
        <v>4440</v>
      </c>
      <c r="J617" t="s">
        <v>346</v>
      </c>
      <c r="K617">
        <v>1849</v>
      </c>
      <c r="L617">
        <v>69.69</v>
      </c>
      <c r="M617">
        <v>17530</v>
      </c>
      <c r="N617" t="s">
        <v>144</v>
      </c>
      <c r="O617">
        <v>251204</v>
      </c>
      <c r="P617">
        <v>273.31</v>
      </c>
      <c r="Q617"/>
    </row>
    <row r="618" spans="1:17" s="1" customFormat="1" x14ac:dyDescent="0.25">
      <c r="A618" t="s">
        <v>3296</v>
      </c>
      <c r="B618" t="s">
        <v>2931</v>
      </c>
      <c r="C618">
        <v>17810</v>
      </c>
      <c r="D618" t="str">
        <f>"823008669   "</f>
        <v xml:space="preserve">823008669   </v>
      </c>
      <c r="E618" t="s">
        <v>1176</v>
      </c>
      <c r="F618" t="s">
        <v>1177</v>
      </c>
      <c r="G618">
        <v>967.42</v>
      </c>
      <c r="H618">
        <v>251216</v>
      </c>
      <c r="I618">
        <v>4400</v>
      </c>
      <c r="J618" t="s">
        <v>162</v>
      </c>
      <c r="K618">
        <v>967.42</v>
      </c>
      <c r="L618">
        <v>196.57</v>
      </c>
      <c r="M618">
        <v>67554</v>
      </c>
      <c r="N618" t="s">
        <v>317</v>
      </c>
      <c r="O618">
        <v>251230</v>
      </c>
      <c r="P618">
        <v>770.85</v>
      </c>
      <c r="Q618"/>
    </row>
    <row r="619" spans="1:17" s="1" customFormat="1" x14ac:dyDescent="0.25">
      <c r="A619" t="s">
        <v>3296</v>
      </c>
      <c r="B619" t="s">
        <v>2931</v>
      </c>
      <c r="C619">
        <v>10732</v>
      </c>
      <c r="D619" t="str">
        <f>"883015039   "</f>
        <v xml:space="preserve">883015039   </v>
      </c>
      <c r="E619" t="s">
        <v>1176</v>
      </c>
      <c r="F619" t="s">
        <v>1177</v>
      </c>
      <c r="G619">
        <v>60.4</v>
      </c>
      <c r="H619">
        <v>250815</v>
      </c>
      <c r="I619">
        <v>4560</v>
      </c>
      <c r="J619" t="s">
        <v>390</v>
      </c>
      <c r="K619">
        <v>60.4</v>
      </c>
      <c r="L619">
        <v>12.27</v>
      </c>
      <c r="M619">
        <v>17711</v>
      </c>
      <c r="N619" t="s">
        <v>155</v>
      </c>
      <c r="O619">
        <v>250821</v>
      </c>
      <c r="P619">
        <v>48.13</v>
      </c>
      <c r="Q619"/>
    </row>
    <row r="620" spans="1:17" s="1" customFormat="1" x14ac:dyDescent="0.25">
      <c r="A620" t="s">
        <v>3296</v>
      </c>
      <c r="B620" t="s">
        <v>2931</v>
      </c>
      <c r="C620">
        <v>18302</v>
      </c>
      <c r="D620" t="str">
        <f>"887004193   "</f>
        <v xml:space="preserve">887004193   </v>
      </c>
      <c r="E620" t="s">
        <v>1176</v>
      </c>
      <c r="F620" t="s">
        <v>1177</v>
      </c>
      <c r="G620">
        <v>6275</v>
      </c>
      <c r="H620">
        <v>251229</v>
      </c>
      <c r="I620">
        <v>4580</v>
      </c>
      <c r="J620" t="s">
        <v>126</v>
      </c>
      <c r="K620">
        <v>6275</v>
      </c>
      <c r="L620">
        <v>1275</v>
      </c>
      <c r="M620">
        <v>17711</v>
      </c>
      <c r="N620" t="s">
        <v>155</v>
      </c>
      <c r="O620">
        <v>260113</v>
      </c>
      <c r="P620">
        <v>5000</v>
      </c>
      <c r="Q620"/>
    </row>
    <row r="621" spans="1:17" s="1" customFormat="1" x14ac:dyDescent="0.25">
      <c r="A621" t="s">
        <v>3296</v>
      </c>
      <c r="B621" t="s">
        <v>2931</v>
      </c>
      <c r="C621">
        <v>1983</v>
      </c>
      <c r="D621" t="str">
        <f>"823007377   "</f>
        <v xml:space="preserve">823007377   </v>
      </c>
      <c r="E621" t="s">
        <v>1176</v>
      </c>
      <c r="F621" t="s">
        <v>1177</v>
      </c>
      <c r="G621">
        <v>143.08000000000001</v>
      </c>
      <c r="H621">
        <v>250204</v>
      </c>
      <c r="I621">
        <v>4600</v>
      </c>
      <c r="J621" t="s">
        <v>278</v>
      </c>
      <c r="K621">
        <v>143.08000000000001</v>
      </c>
      <c r="L621">
        <v>29.07</v>
      </c>
      <c r="M621">
        <v>67554</v>
      </c>
      <c r="N621" t="s">
        <v>317</v>
      </c>
      <c r="O621">
        <v>250218</v>
      </c>
      <c r="P621">
        <v>114.01</v>
      </c>
      <c r="Q621"/>
    </row>
    <row r="622" spans="1:17" s="1" customFormat="1" x14ac:dyDescent="0.25">
      <c r="A622" t="s">
        <v>3296</v>
      </c>
      <c r="B622" t="s">
        <v>2931</v>
      </c>
      <c r="C622">
        <v>2173</v>
      </c>
      <c r="D622" t="str">
        <f>"823007414   "</f>
        <v xml:space="preserve">823007414   </v>
      </c>
      <c r="E622" t="s">
        <v>1176</v>
      </c>
      <c r="F622" t="s">
        <v>1177</v>
      </c>
      <c r="G622">
        <v>219.85</v>
      </c>
      <c r="H622">
        <v>250213</v>
      </c>
      <c r="I622">
        <v>4600</v>
      </c>
      <c r="J622" t="s">
        <v>278</v>
      </c>
      <c r="K622">
        <v>219.85</v>
      </c>
      <c r="L622">
        <v>44.67</v>
      </c>
      <c r="M622">
        <v>67554</v>
      </c>
      <c r="N622" t="s">
        <v>317</v>
      </c>
      <c r="O622">
        <v>250220</v>
      </c>
      <c r="P622">
        <v>175.18</v>
      </c>
      <c r="Q622"/>
    </row>
    <row r="623" spans="1:17" s="1" customFormat="1" x14ac:dyDescent="0.25">
      <c r="A623" t="s">
        <v>3296</v>
      </c>
      <c r="B623" t="s">
        <v>2931</v>
      </c>
      <c r="C623">
        <v>6440</v>
      </c>
      <c r="D623" t="str">
        <f>"823007648   "</f>
        <v xml:space="preserve">823007648   </v>
      </c>
      <c r="E623" t="s">
        <v>1176</v>
      </c>
      <c r="F623" t="s">
        <v>1177</v>
      </c>
      <c r="G623">
        <v>22.5</v>
      </c>
      <c r="H623">
        <v>250422</v>
      </c>
      <c r="I623">
        <v>4600</v>
      </c>
      <c r="J623" t="s">
        <v>278</v>
      </c>
      <c r="K623">
        <v>22.5</v>
      </c>
      <c r="L623">
        <v>4.57</v>
      </c>
      <c r="M623">
        <v>67554</v>
      </c>
      <c r="N623" t="s">
        <v>317</v>
      </c>
      <c r="O623">
        <v>250513</v>
      </c>
      <c r="P623">
        <v>17.93</v>
      </c>
      <c r="Q623"/>
    </row>
    <row r="624" spans="1:17" s="1" customFormat="1" x14ac:dyDescent="0.25">
      <c r="A624" t="s">
        <v>3296</v>
      </c>
      <c r="B624" t="s">
        <v>2931</v>
      </c>
      <c r="C624">
        <v>141</v>
      </c>
      <c r="D624" t="str">
        <f>"3293        "</f>
        <v xml:space="preserve">3293        </v>
      </c>
      <c r="E624" t="s">
        <v>259</v>
      </c>
      <c r="F624" t="s">
        <v>260</v>
      </c>
      <c r="G624">
        <v>2008</v>
      </c>
      <c r="H624">
        <v>250101</v>
      </c>
      <c r="I624">
        <v>4367</v>
      </c>
      <c r="J624" t="s">
        <v>159</v>
      </c>
      <c r="K624">
        <v>8032</v>
      </c>
      <c r="L624">
        <v>408</v>
      </c>
      <c r="M624">
        <v>11801</v>
      </c>
      <c r="N624" t="s">
        <v>40</v>
      </c>
      <c r="O624">
        <v>250113</v>
      </c>
      <c r="P624">
        <v>1600</v>
      </c>
      <c r="Q624"/>
    </row>
    <row r="625" spans="1:17" s="1" customFormat="1" x14ac:dyDescent="0.25">
      <c r="A625" t="s">
        <v>3296</v>
      </c>
      <c r="B625" t="s">
        <v>2931</v>
      </c>
      <c r="C625">
        <v>1002</v>
      </c>
      <c r="D625" t="str">
        <f>"1166        "</f>
        <v xml:space="preserve">1166        </v>
      </c>
      <c r="E625" t="s">
        <v>806</v>
      </c>
      <c r="F625" t="s">
        <v>808</v>
      </c>
      <c r="G625">
        <v>3656.99</v>
      </c>
      <c r="H625">
        <v>250130</v>
      </c>
      <c r="I625">
        <v>4365</v>
      </c>
      <c r="J625" t="s">
        <v>807</v>
      </c>
      <c r="K625">
        <v>3656.99</v>
      </c>
      <c r="L625">
        <v>743.05</v>
      </c>
      <c r="M625">
        <v>17737</v>
      </c>
      <c r="N625" t="s">
        <v>156</v>
      </c>
      <c r="O625">
        <v>250203</v>
      </c>
      <c r="P625">
        <v>2913.94</v>
      </c>
      <c r="Q625"/>
    </row>
    <row r="626" spans="1:17" s="1" customFormat="1" x14ac:dyDescent="0.25">
      <c r="A626" t="s">
        <v>3296</v>
      </c>
      <c r="B626" t="s">
        <v>2931</v>
      </c>
      <c r="C626">
        <v>3600</v>
      </c>
      <c r="D626" t="str">
        <f>"1205        "</f>
        <v xml:space="preserve">1205        </v>
      </c>
      <c r="E626" t="s">
        <v>806</v>
      </c>
      <c r="F626" t="s">
        <v>808</v>
      </c>
      <c r="G626">
        <v>3099.59</v>
      </c>
      <c r="H626">
        <v>250314</v>
      </c>
      <c r="I626">
        <v>4365</v>
      </c>
      <c r="J626" t="s">
        <v>807</v>
      </c>
      <c r="K626">
        <v>3099.59</v>
      </c>
      <c r="L626">
        <v>629.79999999999995</v>
      </c>
      <c r="M626">
        <v>17737</v>
      </c>
      <c r="N626" t="s">
        <v>156</v>
      </c>
      <c r="O626">
        <v>250326</v>
      </c>
      <c r="P626">
        <v>2469.79</v>
      </c>
      <c r="Q626"/>
    </row>
    <row r="627" spans="1:17" s="1" customFormat="1" x14ac:dyDescent="0.25">
      <c r="A627" t="s">
        <v>3296</v>
      </c>
      <c r="B627" t="s">
        <v>2931</v>
      </c>
      <c r="C627">
        <v>6865</v>
      </c>
      <c r="D627" t="str">
        <f>"1288        "</f>
        <v xml:space="preserve">1288        </v>
      </c>
      <c r="E627" t="s">
        <v>806</v>
      </c>
      <c r="F627" t="s">
        <v>808</v>
      </c>
      <c r="G627">
        <v>1503.21</v>
      </c>
      <c r="H627">
        <v>250514</v>
      </c>
      <c r="I627">
        <v>4365</v>
      </c>
      <c r="J627" t="s">
        <v>807</v>
      </c>
      <c r="K627">
        <v>1503.21</v>
      </c>
      <c r="L627">
        <v>305.43</v>
      </c>
      <c r="M627">
        <v>17737</v>
      </c>
      <c r="N627" t="s">
        <v>156</v>
      </c>
      <c r="O627">
        <v>250519</v>
      </c>
      <c r="P627">
        <v>1197.78</v>
      </c>
      <c r="Q627"/>
    </row>
    <row r="628" spans="1:17" s="1" customFormat="1" x14ac:dyDescent="0.25">
      <c r="A628" t="s">
        <v>3296</v>
      </c>
      <c r="B628" t="s">
        <v>2931</v>
      </c>
      <c r="C628">
        <v>12319</v>
      </c>
      <c r="D628" t="str">
        <f>"1433        "</f>
        <v xml:space="preserve">1433        </v>
      </c>
      <c r="E628" t="s">
        <v>806</v>
      </c>
      <c r="F628" t="s">
        <v>808</v>
      </c>
      <c r="G628">
        <v>769.32</v>
      </c>
      <c r="H628">
        <v>250915</v>
      </c>
      <c r="I628">
        <v>4365</v>
      </c>
      <c r="J628" t="s">
        <v>807</v>
      </c>
      <c r="K628">
        <v>769.32</v>
      </c>
      <c r="L628">
        <v>156.32</v>
      </c>
      <c r="M628">
        <v>67554</v>
      </c>
      <c r="N628" t="s">
        <v>317</v>
      </c>
      <c r="O628">
        <v>250919</v>
      </c>
      <c r="P628">
        <v>613</v>
      </c>
      <c r="Q628"/>
    </row>
    <row r="629" spans="1:17" s="1" customFormat="1" x14ac:dyDescent="0.25">
      <c r="A629" t="s">
        <v>3296</v>
      </c>
      <c r="B629" t="s">
        <v>2931</v>
      </c>
      <c r="C629">
        <v>10602</v>
      </c>
      <c r="D629" t="str">
        <f>"1393        "</f>
        <v xml:space="preserve">1393        </v>
      </c>
      <c r="E629" t="s">
        <v>806</v>
      </c>
      <c r="F629" t="s">
        <v>808</v>
      </c>
      <c r="G629">
        <v>1557.32</v>
      </c>
      <c r="H629">
        <v>250819</v>
      </c>
      <c r="I629">
        <v>4420</v>
      </c>
      <c r="J629" t="s">
        <v>330</v>
      </c>
      <c r="K629">
        <v>4125.0600000000004</v>
      </c>
      <c r="L629">
        <v>316.43</v>
      </c>
      <c r="M629">
        <v>17737</v>
      </c>
      <c r="N629" t="s">
        <v>156</v>
      </c>
      <c r="O629">
        <v>250820</v>
      </c>
      <c r="P629">
        <v>1240.8900000000001</v>
      </c>
      <c r="Q629"/>
    </row>
    <row r="630" spans="1:17" s="1" customFormat="1" x14ac:dyDescent="0.25">
      <c r="A630" t="s">
        <v>3296</v>
      </c>
      <c r="B630" t="s">
        <v>2931</v>
      </c>
      <c r="C630">
        <v>10602</v>
      </c>
      <c r="D630" t="str">
        <f>"1393        "</f>
        <v xml:space="preserve">1393        </v>
      </c>
      <c r="E630" t="s">
        <v>806</v>
      </c>
      <c r="F630" t="s">
        <v>808</v>
      </c>
      <c r="G630">
        <v>2567.7399999999998</v>
      </c>
      <c r="H630">
        <v>250819</v>
      </c>
      <c r="I630">
        <v>4470</v>
      </c>
      <c r="J630" t="s">
        <v>203</v>
      </c>
      <c r="K630">
        <v>4125.0600000000004</v>
      </c>
      <c r="L630">
        <v>521.73</v>
      </c>
      <c r="M630">
        <v>17737</v>
      </c>
      <c r="N630" t="s">
        <v>156</v>
      </c>
      <c r="O630">
        <v>250820</v>
      </c>
      <c r="P630">
        <v>2046.01</v>
      </c>
      <c r="Q630"/>
    </row>
    <row r="631" spans="1:17" s="1" customFormat="1" x14ac:dyDescent="0.25">
      <c r="A631" t="s">
        <v>3296</v>
      </c>
      <c r="B631" t="s">
        <v>2931</v>
      </c>
      <c r="C631">
        <v>10937</v>
      </c>
      <c r="D631" t="str">
        <f>"10859       "</f>
        <v xml:space="preserve">10859       </v>
      </c>
      <c r="E631" t="s">
        <v>2233</v>
      </c>
      <c r="F631" t="s">
        <v>2234</v>
      </c>
      <c r="G631">
        <v>150</v>
      </c>
      <c r="H631">
        <v>250821</v>
      </c>
      <c r="I631">
        <v>4470</v>
      </c>
      <c r="J631" t="s">
        <v>203</v>
      </c>
      <c r="K631">
        <v>150</v>
      </c>
      <c r="L631">
        <v>30.48</v>
      </c>
      <c r="M631">
        <v>67554</v>
      </c>
      <c r="N631" t="s">
        <v>317</v>
      </c>
      <c r="O631">
        <v>250827</v>
      </c>
      <c r="P631">
        <v>119.52</v>
      </c>
      <c r="Q631"/>
    </row>
    <row r="632" spans="1:17" s="1" customFormat="1" x14ac:dyDescent="0.25">
      <c r="A632" t="s">
        <v>3296</v>
      </c>
      <c r="B632" t="s">
        <v>2931</v>
      </c>
      <c r="C632">
        <v>3604</v>
      </c>
      <c r="D632" t="str">
        <f>"25370026    "</f>
        <v xml:space="preserve">25370026    </v>
      </c>
      <c r="E632" t="s">
        <v>3036</v>
      </c>
      <c r="F632" t="s">
        <v>3037</v>
      </c>
      <c r="G632">
        <v>129</v>
      </c>
      <c r="H632">
        <v>250314</v>
      </c>
      <c r="I632">
        <v>4410</v>
      </c>
      <c r="J632" t="s">
        <v>165</v>
      </c>
      <c r="K632">
        <v>129</v>
      </c>
      <c r="L632">
        <v>15.84</v>
      </c>
      <c r="M632">
        <v>11903</v>
      </c>
      <c r="N632" t="s">
        <v>32</v>
      </c>
      <c r="O632">
        <v>250326</v>
      </c>
      <c r="P632">
        <v>113.16</v>
      </c>
      <c r="Q632"/>
    </row>
    <row r="633" spans="1:17" s="1" customFormat="1" x14ac:dyDescent="0.25">
      <c r="A633" t="s">
        <v>3296</v>
      </c>
      <c r="B633" t="s">
        <v>2931</v>
      </c>
      <c r="C633">
        <v>12756</v>
      </c>
      <c r="D633" t="str">
        <f>"70371725    "</f>
        <v xml:space="preserve">70371725    </v>
      </c>
      <c r="E633" t="s">
        <v>408</v>
      </c>
      <c r="F633" t="s">
        <v>409</v>
      </c>
      <c r="G633">
        <v>1141.2</v>
      </c>
      <c r="H633">
        <v>250924</v>
      </c>
      <c r="I633">
        <v>4580</v>
      </c>
      <c r="J633" t="s">
        <v>126</v>
      </c>
      <c r="K633">
        <v>1141.2</v>
      </c>
      <c r="L633">
        <v>231.88</v>
      </c>
      <c r="M633">
        <v>17807</v>
      </c>
      <c r="N633" t="s">
        <v>23</v>
      </c>
      <c r="O633">
        <v>250930</v>
      </c>
      <c r="P633">
        <v>909.32</v>
      </c>
      <c r="Q633"/>
    </row>
    <row r="634" spans="1:17" s="1" customFormat="1" x14ac:dyDescent="0.25">
      <c r="A634" t="s">
        <v>3296</v>
      </c>
      <c r="B634" t="s">
        <v>2931</v>
      </c>
      <c r="C634">
        <v>14131</v>
      </c>
      <c r="D634" t="str">
        <f>"70513314    "</f>
        <v xml:space="preserve">70513314    </v>
      </c>
      <c r="E634" t="s">
        <v>408</v>
      </c>
      <c r="F634" t="s">
        <v>409</v>
      </c>
      <c r="G634">
        <v>126.67</v>
      </c>
      <c r="H634">
        <v>251021</v>
      </c>
      <c r="I634">
        <v>4580</v>
      </c>
      <c r="J634" t="s">
        <v>126</v>
      </c>
      <c r="K634">
        <v>126.67</v>
      </c>
      <c r="L634">
        <v>25.74</v>
      </c>
      <c r="M634">
        <v>17807</v>
      </c>
      <c r="N634" t="s">
        <v>23</v>
      </c>
      <c r="O634">
        <v>251024</v>
      </c>
      <c r="P634">
        <v>100.93</v>
      </c>
      <c r="Q634"/>
    </row>
    <row r="635" spans="1:17" s="1" customFormat="1" x14ac:dyDescent="0.25">
      <c r="A635" t="s">
        <v>3296</v>
      </c>
      <c r="B635" t="s">
        <v>2931</v>
      </c>
      <c r="C635">
        <v>17691</v>
      </c>
      <c r="D635" t="str">
        <f>"70675618    "</f>
        <v xml:space="preserve">70675618    </v>
      </c>
      <c r="E635" t="s">
        <v>408</v>
      </c>
      <c r="F635" t="s">
        <v>409</v>
      </c>
      <c r="G635">
        <v>258.64</v>
      </c>
      <c r="H635">
        <v>251219</v>
      </c>
      <c r="I635">
        <v>4580</v>
      </c>
      <c r="J635" t="s">
        <v>126</v>
      </c>
      <c r="K635">
        <v>258.64</v>
      </c>
      <c r="L635">
        <v>52.55</v>
      </c>
      <c r="M635">
        <v>17807</v>
      </c>
      <c r="N635" t="s">
        <v>23</v>
      </c>
      <c r="O635">
        <v>251229</v>
      </c>
      <c r="P635">
        <v>206.09</v>
      </c>
      <c r="Q635"/>
    </row>
    <row r="636" spans="1:17" s="1" customFormat="1" x14ac:dyDescent="0.25">
      <c r="A636" t="s">
        <v>3296</v>
      </c>
      <c r="B636" t="s">
        <v>2931</v>
      </c>
      <c r="C636">
        <v>5577</v>
      </c>
      <c r="D636" t="str">
        <f>"70081186    "</f>
        <v xml:space="preserve">70081186    </v>
      </c>
      <c r="E636" t="s">
        <v>408</v>
      </c>
      <c r="F636" t="s">
        <v>409</v>
      </c>
      <c r="G636">
        <v>1405.91</v>
      </c>
      <c r="H636">
        <v>250422</v>
      </c>
      <c r="I636">
        <v>4590</v>
      </c>
      <c r="J636" t="s">
        <v>388</v>
      </c>
      <c r="K636">
        <v>1405.91</v>
      </c>
      <c r="L636">
        <v>285.66000000000003</v>
      </c>
      <c r="M636">
        <v>66756</v>
      </c>
      <c r="N636" t="s">
        <v>120</v>
      </c>
      <c r="O636">
        <v>250425</v>
      </c>
      <c r="P636">
        <v>1120.25</v>
      </c>
      <c r="Q636"/>
    </row>
    <row r="637" spans="1:17" s="1" customFormat="1" x14ac:dyDescent="0.25">
      <c r="A637" t="s">
        <v>3296</v>
      </c>
      <c r="B637" t="s">
        <v>2931</v>
      </c>
      <c r="C637">
        <v>13863</v>
      </c>
      <c r="D637" t="str">
        <f>"70493285    "</f>
        <v xml:space="preserve">70493285    </v>
      </c>
      <c r="E637" t="s">
        <v>408</v>
      </c>
      <c r="F637" t="s">
        <v>409</v>
      </c>
      <c r="G637">
        <v>2637.64</v>
      </c>
      <c r="H637">
        <v>251014</v>
      </c>
      <c r="I637">
        <v>4590</v>
      </c>
      <c r="J637" t="s">
        <v>388</v>
      </c>
      <c r="K637">
        <v>2637.64</v>
      </c>
      <c r="L637">
        <v>535.92999999999995</v>
      </c>
      <c r="M637">
        <v>66756</v>
      </c>
      <c r="N637" t="s">
        <v>120</v>
      </c>
      <c r="O637">
        <v>251020</v>
      </c>
      <c r="P637">
        <v>2101.71</v>
      </c>
      <c r="Q637"/>
    </row>
    <row r="638" spans="1:17" s="1" customFormat="1" x14ac:dyDescent="0.25">
      <c r="A638" t="s">
        <v>3296</v>
      </c>
      <c r="B638" t="s">
        <v>2931</v>
      </c>
      <c r="C638">
        <v>14729</v>
      </c>
      <c r="D638" t="str">
        <f>"70548681    "</f>
        <v xml:space="preserve">70548681    </v>
      </c>
      <c r="E638" t="s">
        <v>408</v>
      </c>
      <c r="F638" t="s">
        <v>409</v>
      </c>
      <c r="G638">
        <v>686.41</v>
      </c>
      <c r="H638">
        <v>251104</v>
      </c>
      <c r="I638">
        <v>4590</v>
      </c>
      <c r="J638" t="s">
        <v>388</v>
      </c>
      <c r="K638">
        <v>686.41</v>
      </c>
      <c r="L638">
        <v>139.47</v>
      </c>
      <c r="M638">
        <v>66756</v>
      </c>
      <c r="N638" t="s">
        <v>120</v>
      </c>
      <c r="O638">
        <v>251106</v>
      </c>
      <c r="P638">
        <v>546.94000000000005</v>
      </c>
      <c r="Q638"/>
    </row>
    <row r="639" spans="1:17" s="1" customFormat="1" x14ac:dyDescent="0.25">
      <c r="A639" t="s">
        <v>3296</v>
      </c>
      <c r="B639" t="s">
        <v>2931</v>
      </c>
      <c r="C639">
        <v>15262</v>
      </c>
      <c r="D639" t="str">
        <f>"70566804    "</f>
        <v xml:space="preserve">70566804    </v>
      </c>
      <c r="E639" t="s">
        <v>408</v>
      </c>
      <c r="F639" t="s">
        <v>409</v>
      </c>
      <c r="G639">
        <v>40.21</v>
      </c>
      <c r="H639">
        <v>251031</v>
      </c>
      <c r="I639">
        <v>4590</v>
      </c>
      <c r="J639" t="s">
        <v>388</v>
      </c>
      <c r="K639">
        <v>40.21</v>
      </c>
      <c r="L639">
        <v>8.17</v>
      </c>
      <c r="M639">
        <v>66756</v>
      </c>
      <c r="N639" t="s">
        <v>120</v>
      </c>
      <c r="O639">
        <v>251117</v>
      </c>
      <c r="P639">
        <v>32.04</v>
      </c>
      <c r="Q639"/>
    </row>
    <row r="640" spans="1:17" s="1" customFormat="1" x14ac:dyDescent="0.25">
      <c r="A640" t="s">
        <v>3296</v>
      </c>
      <c r="B640" t="s">
        <v>2931</v>
      </c>
      <c r="C640">
        <v>16713</v>
      </c>
      <c r="D640" t="str">
        <f>"70644050    "</f>
        <v xml:space="preserve">70644050    </v>
      </c>
      <c r="E640" t="s">
        <v>408</v>
      </c>
      <c r="F640" t="s">
        <v>409</v>
      </c>
      <c r="G640">
        <v>1524</v>
      </c>
      <c r="H640">
        <v>251209</v>
      </c>
      <c r="I640">
        <v>4590</v>
      </c>
      <c r="J640" t="s">
        <v>388</v>
      </c>
      <c r="K640">
        <v>1524</v>
      </c>
      <c r="L640">
        <v>309.66000000000003</v>
      </c>
      <c r="M640">
        <v>66756</v>
      </c>
      <c r="N640" t="s">
        <v>120</v>
      </c>
      <c r="O640">
        <v>251211</v>
      </c>
      <c r="P640">
        <v>1214.3399999999999</v>
      </c>
      <c r="Q640"/>
    </row>
    <row r="641" spans="1:17" s="1" customFormat="1" x14ac:dyDescent="0.25">
      <c r="A641" t="s">
        <v>3296</v>
      </c>
      <c r="B641" t="s">
        <v>2931</v>
      </c>
      <c r="C641">
        <v>312</v>
      </c>
      <c r="D641" t="str">
        <f>"69855663    "</f>
        <v xml:space="preserve">69855663    </v>
      </c>
      <c r="E641" t="s">
        <v>408</v>
      </c>
      <c r="F641" t="s">
        <v>409</v>
      </c>
      <c r="G641">
        <v>1444.04</v>
      </c>
      <c r="H641">
        <v>250114</v>
      </c>
      <c r="I641">
        <v>4600</v>
      </c>
      <c r="J641" t="s">
        <v>278</v>
      </c>
      <c r="K641">
        <v>1444.04</v>
      </c>
      <c r="L641">
        <v>293.41000000000003</v>
      </c>
      <c r="M641">
        <v>66756</v>
      </c>
      <c r="N641" t="s">
        <v>120</v>
      </c>
      <c r="O641">
        <v>250121</v>
      </c>
      <c r="P641">
        <v>1150.6300000000001</v>
      </c>
      <c r="Q641"/>
    </row>
    <row r="642" spans="1:17" s="1" customFormat="1" x14ac:dyDescent="0.25">
      <c r="A642" t="s">
        <v>3296</v>
      </c>
      <c r="B642" t="s">
        <v>2931</v>
      </c>
      <c r="C642">
        <v>993</v>
      </c>
      <c r="D642" t="str">
        <f>"69889081    "</f>
        <v xml:space="preserve">69889081    </v>
      </c>
      <c r="E642" t="s">
        <v>408</v>
      </c>
      <c r="F642" t="s">
        <v>409</v>
      </c>
      <c r="G642">
        <v>4.18</v>
      </c>
      <c r="H642">
        <v>250128</v>
      </c>
      <c r="I642">
        <v>4600</v>
      </c>
      <c r="J642" t="s">
        <v>278</v>
      </c>
      <c r="K642">
        <v>4.18</v>
      </c>
      <c r="L642">
        <v>0.85</v>
      </c>
      <c r="M642">
        <v>66756</v>
      </c>
      <c r="N642" t="s">
        <v>120</v>
      </c>
      <c r="O642">
        <v>250131</v>
      </c>
      <c r="P642">
        <v>3.33</v>
      </c>
      <c r="Q642"/>
    </row>
    <row r="643" spans="1:17" s="1" customFormat="1" x14ac:dyDescent="0.25">
      <c r="A643" t="s">
        <v>3296</v>
      </c>
      <c r="B643" t="s">
        <v>2931</v>
      </c>
      <c r="C643">
        <v>1804</v>
      </c>
      <c r="D643" t="str">
        <f>"69923138    "</f>
        <v xml:space="preserve">69923138    </v>
      </c>
      <c r="E643" t="s">
        <v>408</v>
      </c>
      <c r="F643" t="s">
        <v>409</v>
      </c>
      <c r="G643">
        <v>3415.6</v>
      </c>
      <c r="H643">
        <v>250211</v>
      </c>
      <c r="I643">
        <v>4600</v>
      </c>
      <c r="J643" t="s">
        <v>278</v>
      </c>
      <c r="K643">
        <v>3415.6</v>
      </c>
      <c r="L643">
        <v>694.01</v>
      </c>
      <c r="M643">
        <v>66756</v>
      </c>
      <c r="N643" t="s">
        <v>120</v>
      </c>
      <c r="O643">
        <v>250214</v>
      </c>
      <c r="P643">
        <v>2721.59</v>
      </c>
      <c r="Q643"/>
    </row>
    <row r="644" spans="1:17" s="1" customFormat="1" x14ac:dyDescent="0.25">
      <c r="A644" t="s">
        <v>3296</v>
      </c>
      <c r="B644" t="s">
        <v>2931</v>
      </c>
      <c r="C644">
        <v>2663</v>
      </c>
      <c r="D644" t="str">
        <f>"69955093    "</f>
        <v xml:space="preserve">69955093    </v>
      </c>
      <c r="E644" t="s">
        <v>408</v>
      </c>
      <c r="F644" t="s">
        <v>409</v>
      </c>
      <c r="G644">
        <v>15.94</v>
      </c>
      <c r="H644">
        <v>250225</v>
      </c>
      <c r="I644">
        <v>4600</v>
      </c>
      <c r="J644" t="s">
        <v>278</v>
      </c>
      <c r="K644">
        <v>15.94</v>
      </c>
      <c r="L644">
        <v>3.24</v>
      </c>
      <c r="M644">
        <v>66756</v>
      </c>
      <c r="N644" t="s">
        <v>120</v>
      </c>
      <c r="O644">
        <v>250310</v>
      </c>
      <c r="P644">
        <v>12.7</v>
      </c>
      <c r="Q644"/>
    </row>
    <row r="645" spans="1:17" s="1" customFormat="1" x14ac:dyDescent="0.25">
      <c r="A645" t="s">
        <v>3296</v>
      </c>
      <c r="B645" t="s">
        <v>2931</v>
      </c>
      <c r="C645">
        <v>3521</v>
      </c>
      <c r="D645" t="str">
        <f>"69986500    "</f>
        <v xml:space="preserve">69986500    </v>
      </c>
      <c r="E645" t="s">
        <v>408</v>
      </c>
      <c r="F645" t="s">
        <v>409</v>
      </c>
      <c r="G645">
        <v>2580.6799999999998</v>
      </c>
      <c r="H645">
        <v>250311</v>
      </c>
      <c r="I645">
        <v>4600</v>
      </c>
      <c r="J645" t="s">
        <v>278</v>
      </c>
      <c r="K645">
        <v>2580.6799999999998</v>
      </c>
      <c r="L645">
        <v>524.36</v>
      </c>
      <c r="M645">
        <v>66756</v>
      </c>
      <c r="N645" t="s">
        <v>120</v>
      </c>
      <c r="O645">
        <v>250325</v>
      </c>
      <c r="P645">
        <v>2056.3200000000002</v>
      </c>
      <c r="Q645"/>
    </row>
    <row r="646" spans="1:17" s="1" customFormat="1" x14ac:dyDescent="0.25">
      <c r="A646" t="s">
        <v>3296</v>
      </c>
      <c r="B646" t="s">
        <v>2931</v>
      </c>
      <c r="C646">
        <v>4112</v>
      </c>
      <c r="D646" t="str">
        <f>"70018161    "</f>
        <v xml:space="preserve">70018161    </v>
      </c>
      <c r="E646" t="s">
        <v>408</v>
      </c>
      <c r="F646" t="s">
        <v>409</v>
      </c>
      <c r="G646">
        <v>326.02</v>
      </c>
      <c r="H646">
        <v>250325</v>
      </c>
      <c r="I646">
        <v>4600</v>
      </c>
      <c r="J646" t="s">
        <v>278</v>
      </c>
      <c r="K646">
        <v>326.02</v>
      </c>
      <c r="L646">
        <v>66.239999999999995</v>
      </c>
      <c r="M646">
        <v>46555</v>
      </c>
      <c r="N646" t="s">
        <v>103</v>
      </c>
      <c r="O646">
        <v>250407</v>
      </c>
      <c r="P646">
        <v>259.77999999999997</v>
      </c>
      <c r="Q646"/>
    </row>
    <row r="647" spans="1:17" s="1" customFormat="1" x14ac:dyDescent="0.25">
      <c r="A647" t="s">
        <v>3296</v>
      </c>
      <c r="B647" t="s">
        <v>2931</v>
      </c>
      <c r="C647">
        <v>4958</v>
      </c>
      <c r="D647" t="str">
        <f>"70052691    "</f>
        <v xml:space="preserve">70052691    </v>
      </c>
      <c r="E647" t="s">
        <v>408</v>
      </c>
      <c r="F647" t="s">
        <v>409</v>
      </c>
      <c r="G647">
        <v>228.14</v>
      </c>
      <c r="H647">
        <v>250408</v>
      </c>
      <c r="I647">
        <v>4600</v>
      </c>
      <c r="J647" t="s">
        <v>278</v>
      </c>
      <c r="K647">
        <v>228.14</v>
      </c>
      <c r="L647">
        <v>46.36</v>
      </c>
      <c r="M647">
        <v>46555</v>
      </c>
      <c r="N647" t="s">
        <v>103</v>
      </c>
      <c r="O647">
        <v>250416</v>
      </c>
      <c r="P647">
        <v>181.78</v>
      </c>
      <c r="Q647"/>
    </row>
    <row r="648" spans="1:17" s="1" customFormat="1" x14ac:dyDescent="0.25">
      <c r="A648" t="s">
        <v>3296</v>
      </c>
      <c r="B648" t="s">
        <v>2931</v>
      </c>
      <c r="C648">
        <v>5502</v>
      </c>
      <c r="D648" t="str">
        <f>"70070629    "</f>
        <v xml:space="preserve">70070629    </v>
      </c>
      <c r="E648" t="s">
        <v>408</v>
      </c>
      <c r="F648" t="s">
        <v>409</v>
      </c>
      <c r="G648">
        <v>1208.1400000000001</v>
      </c>
      <c r="H648">
        <v>250415</v>
      </c>
      <c r="I648">
        <v>4600</v>
      </c>
      <c r="J648" t="s">
        <v>278</v>
      </c>
      <c r="K648">
        <v>1208.1400000000001</v>
      </c>
      <c r="L648">
        <v>245.48</v>
      </c>
      <c r="M648">
        <v>66756</v>
      </c>
      <c r="N648" t="s">
        <v>120</v>
      </c>
      <c r="O648">
        <v>250425</v>
      </c>
      <c r="P648">
        <v>962.66</v>
      </c>
      <c r="Q648"/>
    </row>
    <row r="649" spans="1:17" s="1" customFormat="1" x14ac:dyDescent="0.25">
      <c r="A649" t="s">
        <v>3296</v>
      </c>
      <c r="B649" t="s">
        <v>2931</v>
      </c>
      <c r="C649">
        <v>6981</v>
      </c>
      <c r="D649" t="str">
        <f>"70128912    "</f>
        <v xml:space="preserve">70128912    </v>
      </c>
      <c r="E649" t="s">
        <v>408</v>
      </c>
      <c r="F649" t="s">
        <v>409</v>
      </c>
      <c r="G649">
        <v>66.540000000000006</v>
      </c>
      <c r="H649">
        <v>250513</v>
      </c>
      <c r="I649">
        <v>4600</v>
      </c>
      <c r="J649" t="s">
        <v>278</v>
      </c>
      <c r="K649">
        <v>66.540000000000006</v>
      </c>
      <c r="L649">
        <v>13.52</v>
      </c>
      <c r="M649">
        <v>56560</v>
      </c>
      <c r="N649" t="s">
        <v>52</v>
      </c>
      <c r="O649">
        <v>250521</v>
      </c>
      <c r="P649">
        <v>53.02</v>
      </c>
      <c r="Q649"/>
    </row>
    <row r="650" spans="1:17" s="1" customFormat="1" x14ac:dyDescent="0.25">
      <c r="A650" t="s">
        <v>3296</v>
      </c>
      <c r="B650" t="s">
        <v>2931</v>
      </c>
      <c r="C650">
        <v>7571</v>
      </c>
      <c r="D650" t="str">
        <f>"70162743    "</f>
        <v xml:space="preserve">70162743    </v>
      </c>
      <c r="E650" t="s">
        <v>408</v>
      </c>
      <c r="F650" t="s">
        <v>409</v>
      </c>
      <c r="G650">
        <v>1833.42</v>
      </c>
      <c r="H650">
        <v>250527</v>
      </c>
      <c r="I650">
        <v>4600</v>
      </c>
      <c r="J650" t="s">
        <v>278</v>
      </c>
      <c r="K650">
        <v>1833.42</v>
      </c>
      <c r="L650">
        <v>372.53</v>
      </c>
      <c r="M650">
        <v>66756</v>
      </c>
      <c r="N650" t="s">
        <v>120</v>
      </c>
      <c r="O650">
        <v>250604</v>
      </c>
      <c r="P650">
        <v>1460.89</v>
      </c>
      <c r="Q650"/>
    </row>
    <row r="651" spans="1:17" s="1" customFormat="1" x14ac:dyDescent="0.25">
      <c r="A651" t="s">
        <v>3296</v>
      </c>
      <c r="B651" t="s">
        <v>2931</v>
      </c>
      <c r="C651">
        <v>8794</v>
      </c>
      <c r="D651" t="str">
        <f>"70195417    "</f>
        <v xml:space="preserve">70195417    </v>
      </c>
      <c r="E651" t="s">
        <v>408</v>
      </c>
      <c r="F651" t="s">
        <v>409</v>
      </c>
      <c r="G651">
        <v>54.61</v>
      </c>
      <c r="H651">
        <v>250610</v>
      </c>
      <c r="I651">
        <v>4600</v>
      </c>
      <c r="J651" t="s">
        <v>278</v>
      </c>
      <c r="K651">
        <v>54.61</v>
      </c>
      <c r="L651">
        <v>11.1</v>
      </c>
      <c r="M651">
        <v>66756</v>
      </c>
      <c r="N651" t="s">
        <v>120</v>
      </c>
      <c r="O651">
        <v>250618</v>
      </c>
      <c r="P651">
        <v>43.51</v>
      </c>
      <c r="Q651"/>
    </row>
    <row r="652" spans="1:17" s="1" customFormat="1" x14ac:dyDescent="0.25">
      <c r="A652" t="s">
        <v>3296</v>
      </c>
      <c r="B652" t="s">
        <v>2931</v>
      </c>
      <c r="C652">
        <v>11325</v>
      </c>
      <c r="D652" t="str">
        <f>"70376543    "</f>
        <v xml:space="preserve">70376543    </v>
      </c>
      <c r="E652" t="s">
        <v>408</v>
      </c>
      <c r="F652" t="s">
        <v>409</v>
      </c>
      <c r="G652">
        <v>1110.1300000000001</v>
      </c>
      <c r="H652">
        <v>250901</v>
      </c>
      <c r="I652">
        <v>4600</v>
      </c>
      <c r="J652" t="s">
        <v>278</v>
      </c>
      <c r="K652">
        <v>1110.1300000000001</v>
      </c>
      <c r="L652">
        <v>225.56</v>
      </c>
      <c r="M652">
        <v>17807</v>
      </c>
      <c r="N652" t="s">
        <v>23</v>
      </c>
      <c r="O652">
        <v>250903</v>
      </c>
      <c r="P652">
        <v>884.57</v>
      </c>
      <c r="Q652"/>
    </row>
    <row r="653" spans="1:17" s="1" customFormat="1" x14ac:dyDescent="0.25">
      <c r="A653" t="s">
        <v>3296</v>
      </c>
      <c r="B653" t="s">
        <v>2931</v>
      </c>
      <c r="C653">
        <v>11565</v>
      </c>
      <c r="D653" t="str">
        <f>"70384948    "</f>
        <v xml:space="preserve">70384948    </v>
      </c>
      <c r="E653" t="s">
        <v>408</v>
      </c>
      <c r="F653" t="s">
        <v>409</v>
      </c>
      <c r="G653">
        <v>362.8</v>
      </c>
      <c r="H653">
        <v>250903</v>
      </c>
      <c r="I653">
        <v>4600</v>
      </c>
      <c r="J653" t="s">
        <v>278</v>
      </c>
      <c r="K653">
        <v>362.8</v>
      </c>
      <c r="L653">
        <v>73.72</v>
      </c>
      <c r="M653">
        <v>17807</v>
      </c>
      <c r="N653" t="s">
        <v>23</v>
      </c>
      <c r="O653">
        <v>250908</v>
      </c>
      <c r="P653">
        <v>289.08</v>
      </c>
      <c r="Q653"/>
    </row>
    <row r="654" spans="1:17" s="1" customFormat="1" x14ac:dyDescent="0.25">
      <c r="A654" t="s">
        <v>3296</v>
      </c>
      <c r="B654" t="s">
        <v>2931</v>
      </c>
      <c r="C654">
        <v>12919</v>
      </c>
      <c r="D654" t="str">
        <f>"70436328    "</f>
        <v xml:space="preserve">70436328    </v>
      </c>
      <c r="E654" t="s">
        <v>408</v>
      </c>
      <c r="F654" t="s">
        <v>409</v>
      </c>
      <c r="G654">
        <v>1395.2</v>
      </c>
      <c r="H654">
        <v>250923</v>
      </c>
      <c r="I654">
        <v>4600</v>
      </c>
      <c r="J654" t="s">
        <v>278</v>
      </c>
      <c r="K654">
        <v>1395.2</v>
      </c>
      <c r="L654">
        <v>283.49</v>
      </c>
      <c r="M654">
        <v>66756</v>
      </c>
      <c r="N654" t="s">
        <v>120</v>
      </c>
      <c r="O654">
        <v>251002</v>
      </c>
      <c r="P654">
        <v>1111.71</v>
      </c>
      <c r="Q654"/>
    </row>
    <row r="655" spans="1:17" s="1" customFormat="1" x14ac:dyDescent="0.25">
      <c r="A655" t="s">
        <v>3296</v>
      </c>
      <c r="B655" t="s">
        <v>2931</v>
      </c>
      <c r="C655">
        <v>13718</v>
      </c>
      <c r="D655" t="str">
        <f>"70475211    "</f>
        <v xml:space="preserve">70475211    </v>
      </c>
      <c r="E655" t="s">
        <v>408</v>
      </c>
      <c r="F655" t="s">
        <v>409</v>
      </c>
      <c r="G655">
        <v>136.1</v>
      </c>
      <c r="H655">
        <v>251007</v>
      </c>
      <c r="I655">
        <v>4600</v>
      </c>
      <c r="J655" t="s">
        <v>278</v>
      </c>
      <c r="K655">
        <v>136.1</v>
      </c>
      <c r="L655">
        <v>27.65</v>
      </c>
      <c r="M655">
        <v>66756</v>
      </c>
      <c r="N655" t="s">
        <v>120</v>
      </c>
      <c r="O655">
        <v>251017</v>
      </c>
      <c r="P655">
        <v>108.45</v>
      </c>
      <c r="Q655"/>
    </row>
    <row r="656" spans="1:17" s="1" customFormat="1" x14ac:dyDescent="0.25">
      <c r="A656" t="s">
        <v>3296</v>
      </c>
      <c r="B656" t="s">
        <v>2931</v>
      </c>
      <c r="C656">
        <v>13786</v>
      </c>
      <c r="D656" t="str">
        <f>"70482477    "</f>
        <v xml:space="preserve">70482477    </v>
      </c>
      <c r="E656" t="s">
        <v>408</v>
      </c>
      <c r="F656" t="s">
        <v>409</v>
      </c>
      <c r="G656">
        <v>90.86</v>
      </c>
      <c r="H656">
        <v>251009</v>
      </c>
      <c r="I656">
        <v>4600</v>
      </c>
      <c r="J656" t="s">
        <v>278</v>
      </c>
      <c r="K656">
        <v>90.86</v>
      </c>
      <c r="L656">
        <v>18.46</v>
      </c>
      <c r="M656">
        <v>17807</v>
      </c>
      <c r="N656" t="s">
        <v>23</v>
      </c>
      <c r="O656">
        <v>251020</v>
      </c>
      <c r="P656">
        <v>72.400000000000006</v>
      </c>
      <c r="Q656"/>
    </row>
    <row r="657" spans="1:17" s="1" customFormat="1" x14ac:dyDescent="0.25">
      <c r="A657" t="s">
        <v>3296</v>
      </c>
      <c r="B657" t="s">
        <v>2931</v>
      </c>
      <c r="C657">
        <v>13788</v>
      </c>
      <c r="D657" t="str">
        <f>"70486596    "</f>
        <v xml:space="preserve">70486596    </v>
      </c>
      <c r="E657" t="s">
        <v>408</v>
      </c>
      <c r="F657" t="s">
        <v>409</v>
      </c>
      <c r="G657">
        <v>11.24</v>
      </c>
      <c r="H657">
        <v>251010</v>
      </c>
      <c r="I657">
        <v>4600</v>
      </c>
      <c r="J657" t="s">
        <v>278</v>
      </c>
      <c r="K657">
        <v>11.24</v>
      </c>
      <c r="L657">
        <v>2.2799999999999998</v>
      </c>
      <c r="M657">
        <v>17807</v>
      </c>
      <c r="N657" t="s">
        <v>23</v>
      </c>
      <c r="O657">
        <v>251020</v>
      </c>
      <c r="P657">
        <v>8.9600000000000009</v>
      </c>
      <c r="Q657"/>
    </row>
    <row r="658" spans="1:17" s="1" customFormat="1" x14ac:dyDescent="0.25">
      <c r="A658" t="s">
        <v>3296</v>
      </c>
      <c r="B658" t="s">
        <v>2931</v>
      </c>
      <c r="C658">
        <v>17655</v>
      </c>
      <c r="D658" t="str">
        <f>"70674585    "</f>
        <v xml:space="preserve">70674585    </v>
      </c>
      <c r="E658" t="s">
        <v>408</v>
      </c>
      <c r="F658" t="s">
        <v>409</v>
      </c>
      <c r="G658">
        <v>67.27</v>
      </c>
      <c r="H658">
        <v>251219</v>
      </c>
      <c r="I658">
        <v>4600</v>
      </c>
      <c r="J658" t="s">
        <v>278</v>
      </c>
      <c r="K658">
        <v>67.27</v>
      </c>
      <c r="L658">
        <v>13.67</v>
      </c>
      <c r="M658">
        <v>17807</v>
      </c>
      <c r="N658" t="s">
        <v>23</v>
      </c>
      <c r="O658">
        <v>251229</v>
      </c>
      <c r="P658">
        <v>53.6</v>
      </c>
      <c r="Q658"/>
    </row>
    <row r="659" spans="1:17" s="1" customFormat="1" x14ac:dyDescent="0.25">
      <c r="A659" t="s">
        <v>3296</v>
      </c>
      <c r="B659" t="s">
        <v>2931</v>
      </c>
      <c r="C659">
        <v>12662</v>
      </c>
      <c r="D659" t="str">
        <f>"70429769    "</f>
        <v xml:space="preserve">70429769    </v>
      </c>
      <c r="E659" t="s">
        <v>408</v>
      </c>
      <c r="F659" t="s">
        <v>409</v>
      </c>
      <c r="G659">
        <v>296.54000000000002</v>
      </c>
      <c r="H659">
        <v>250919</v>
      </c>
      <c r="I659">
        <v>4940</v>
      </c>
      <c r="J659" t="s">
        <v>250</v>
      </c>
      <c r="K659">
        <v>296.54000000000002</v>
      </c>
      <c r="L659">
        <v>60.25</v>
      </c>
      <c r="M659">
        <v>17951</v>
      </c>
      <c r="N659" t="s">
        <v>207</v>
      </c>
      <c r="O659">
        <v>250929</v>
      </c>
      <c r="P659">
        <v>236.29</v>
      </c>
      <c r="Q659"/>
    </row>
    <row r="660" spans="1:17" s="1" customFormat="1" x14ac:dyDescent="0.25">
      <c r="A660" t="s">
        <v>3296</v>
      </c>
      <c r="B660" t="s">
        <v>2931</v>
      </c>
      <c r="C660">
        <v>14369</v>
      </c>
      <c r="D660" t="str">
        <f>"70531896    "</f>
        <v xml:space="preserve">70531896    </v>
      </c>
      <c r="E660" t="s">
        <v>408</v>
      </c>
      <c r="F660" t="s">
        <v>409</v>
      </c>
      <c r="G660">
        <v>104.7</v>
      </c>
      <c r="H660">
        <v>251028</v>
      </c>
      <c r="I660">
        <v>4940</v>
      </c>
      <c r="J660" t="s">
        <v>250</v>
      </c>
      <c r="K660">
        <v>104.7</v>
      </c>
      <c r="L660">
        <v>21.27</v>
      </c>
      <c r="M660">
        <v>17951</v>
      </c>
      <c r="N660" t="s">
        <v>207</v>
      </c>
      <c r="O660">
        <v>251030</v>
      </c>
      <c r="P660">
        <v>83.43</v>
      </c>
      <c r="Q660"/>
    </row>
    <row r="661" spans="1:17" s="1" customFormat="1" x14ac:dyDescent="0.25">
      <c r="A661" t="s">
        <v>3296</v>
      </c>
      <c r="B661" t="s">
        <v>2931</v>
      </c>
      <c r="C661">
        <v>17071</v>
      </c>
      <c r="D661" t="str">
        <f>"70655734    "</f>
        <v xml:space="preserve">70655734    </v>
      </c>
      <c r="E661" t="s">
        <v>408</v>
      </c>
      <c r="F661" t="s">
        <v>409</v>
      </c>
      <c r="G661">
        <v>421.46</v>
      </c>
      <c r="H661">
        <v>251212</v>
      </c>
      <c r="I661">
        <v>4940</v>
      </c>
      <c r="J661" t="s">
        <v>250</v>
      </c>
      <c r="K661">
        <v>421.46</v>
      </c>
      <c r="L661">
        <v>85.64</v>
      </c>
      <c r="M661">
        <v>17951</v>
      </c>
      <c r="N661" t="s">
        <v>207</v>
      </c>
      <c r="O661">
        <v>251216</v>
      </c>
      <c r="P661">
        <v>335.82</v>
      </c>
      <c r="Q661"/>
    </row>
    <row r="662" spans="1:17" s="1" customFormat="1" x14ac:dyDescent="0.25">
      <c r="A662" t="s">
        <v>3296</v>
      </c>
      <c r="B662" t="s">
        <v>2931</v>
      </c>
      <c r="C662">
        <v>6700</v>
      </c>
      <c r="D662" t="str">
        <f>"47/25       "</f>
        <v xml:space="preserve">47/25       </v>
      </c>
      <c r="E662" t="s">
        <v>3249</v>
      </c>
      <c r="F662" s="4">
        <v>2889070815</v>
      </c>
      <c r="G662">
        <v>491</v>
      </c>
      <c r="H662">
        <v>250509</v>
      </c>
      <c r="I662">
        <v>4410</v>
      </c>
      <c r="J662" t="s">
        <v>165</v>
      </c>
      <c r="K662">
        <v>491</v>
      </c>
      <c r="L662">
        <v>0</v>
      </c>
      <c r="M662">
        <v>11951</v>
      </c>
      <c r="N662" t="s">
        <v>428</v>
      </c>
      <c r="O662">
        <v>250515</v>
      </c>
      <c r="P662">
        <v>491</v>
      </c>
      <c r="Q662"/>
    </row>
    <row r="663" spans="1:17" s="1" customFormat="1" x14ac:dyDescent="0.25">
      <c r="A663" t="s">
        <v>3296</v>
      </c>
      <c r="B663" t="s">
        <v>2931</v>
      </c>
      <c r="C663">
        <v>18175</v>
      </c>
      <c r="D663" t="str">
        <f>"918         "</f>
        <v xml:space="preserve">918         </v>
      </c>
      <c r="E663" t="s">
        <v>1931</v>
      </c>
      <c r="F663" t="s">
        <v>1932</v>
      </c>
      <c r="G663">
        <v>165</v>
      </c>
      <c r="H663">
        <v>251231</v>
      </c>
      <c r="I663">
        <v>4440</v>
      </c>
      <c r="J663" t="s">
        <v>346</v>
      </c>
      <c r="K663">
        <v>165</v>
      </c>
      <c r="L663">
        <v>33.53</v>
      </c>
      <c r="M663">
        <v>11903</v>
      </c>
      <c r="N663" t="s">
        <v>32</v>
      </c>
      <c r="O663">
        <v>260109</v>
      </c>
      <c r="P663">
        <v>131.47</v>
      </c>
      <c r="Q663"/>
    </row>
    <row r="664" spans="1:17" s="1" customFormat="1" x14ac:dyDescent="0.25">
      <c r="A664" t="s">
        <v>3296</v>
      </c>
      <c r="B664" t="s">
        <v>2931</v>
      </c>
      <c r="C664">
        <v>7209</v>
      </c>
      <c r="D664" t="str">
        <f>"837         "</f>
        <v xml:space="preserve">837         </v>
      </c>
      <c r="E664" t="s">
        <v>1931</v>
      </c>
      <c r="F664" t="s">
        <v>1932</v>
      </c>
      <c r="G664">
        <v>351.4</v>
      </c>
      <c r="H664">
        <v>250514</v>
      </c>
      <c r="I664">
        <v>4441</v>
      </c>
      <c r="J664" t="s">
        <v>234</v>
      </c>
      <c r="K664">
        <v>702.8</v>
      </c>
      <c r="L664">
        <v>71.400000000000006</v>
      </c>
      <c r="M664">
        <v>13461</v>
      </c>
      <c r="N664" t="s">
        <v>1544</v>
      </c>
      <c r="O664">
        <v>250527</v>
      </c>
      <c r="P664">
        <v>280</v>
      </c>
      <c r="Q664"/>
    </row>
    <row r="665" spans="1:17" s="1" customFormat="1" x14ac:dyDescent="0.25">
      <c r="A665" t="s">
        <v>3296</v>
      </c>
      <c r="B665" t="s">
        <v>2931</v>
      </c>
      <c r="C665">
        <v>7209</v>
      </c>
      <c r="D665" t="str">
        <f>"837         "</f>
        <v xml:space="preserve">837         </v>
      </c>
      <c r="E665" t="s">
        <v>1931</v>
      </c>
      <c r="F665" t="s">
        <v>1932</v>
      </c>
      <c r="G665">
        <v>351.4</v>
      </c>
      <c r="H665">
        <v>250514</v>
      </c>
      <c r="I665">
        <v>4441</v>
      </c>
      <c r="J665" t="s">
        <v>234</v>
      </c>
      <c r="K665">
        <v>702.8</v>
      </c>
      <c r="L665">
        <v>71.400000000000006</v>
      </c>
      <c r="M665">
        <v>13561</v>
      </c>
      <c r="N665" t="s">
        <v>241</v>
      </c>
      <c r="O665">
        <v>250527</v>
      </c>
      <c r="P665">
        <v>280</v>
      </c>
      <c r="Q665"/>
    </row>
    <row r="666" spans="1:17" s="1" customFormat="1" x14ac:dyDescent="0.25">
      <c r="A666" t="s">
        <v>3296</v>
      </c>
      <c r="B666" t="s">
        <v>2931</v>
      </c>
      <c r="C666">
        <v>9906</v>
      </c>
      <c r="D666" t="str">
        <f>"140         "</f>
        <v xml:space="preserve">140         </v>
      </c>
      <c r="E666" t="s">
        <v>3126</v>
      </c>
      <c r="F666" t="s">
        <v>3127</v>
      </c>
      <c r="G666">
        <v>100</v>
      </c>
      <c r="H666">
        <v>250708</v>
      </c>
      <c r="I666">
        <v>4460</v>
      </c>
      <c r="J666" t="s">
        <v>2952</v>
      </c>
      <c r="K666">
        <v>100</v>
      </c>
      <c r="L666">
        <v>0</v>
      </c>
      <c r="M666">
        <v>13201</v>
      </c>
      <c r="N666" t="s">
        <v>269</v>
      </c>
      <c r="O666">
        <v>250804</v>
      </c>
      <c r="P666">
        <v>100</v>
      </c>
      <c r="Q666"/>
    </row>
    <row r="667" spans="1:17" s="1" customFormat="1" x14ac:dyDescent="0.25">
      <c r="A667" t="s">
        <v>3296</v>
      </c>
      <c r="B667" t="s">
        <v>2931</v>
      </c>
      <c r="C667">
        <v>10456</v>
      </c>
      <c r="D667" t="str">
        <f>"10166       "</f>
        <v xml:space="preserve">10166       </v>
      </c>
      <c r="E667" t="s">
        <v>2195</v>
      </c>
      <c r="F667" t="s">
        <v>2196</v>
      </c>
      <c r="G667">
        <v>10000</v>
      </c>
      <c r="H667">
        <v>250810</v>
      </c>
      <c r="I667">
        <v>1196</v>
      </c>
      <c r="J667" t="s">
        <v>340</v>
      </c>
      <c r="K667">
        <v>10000</v>
      </c>
      <c r="L667">
        <v>0</v>
      </c>
      <c r="M667">
        <v>96501</v>
      </c>
      <c r="N667" t="s">
        <v>2066</v>
      </c>
      <c r="O667">
        <v>250820</v>
      </c>
      <c r="P667">
        <v>10000</v>
      </c>
      <c r="Q667"/>
    </row>
    <row r="668" spans="1:17" s="1" customFormat="1" x14ac:dyDescent="0.25">
      <c r="A668" t="s">
        <v>3296</v>
      </c>
      <c r="B668" t="s">
        <v>2931</v>
      </c>
      <c r="C668">
        <v>10458</v>
      </c>
      <c r="D668" t="str">
        <f>"10165       "</f>
        <v xml:space="preserve">10165       </v>
      </c>
      <c r="E668" t="s">
        <v>2195</v>
      </c>
      <c r="F668" t="s">
        <v>2196</v>
      </c>
      <c r="G668">
        <v>25000</v>
      </c>
      <c r="H668">
        <v>250810</v>
      </c>
      <c r="I668">
        <v>1196</v>
      </c>
      <c r="J668" t="s">
        <v>340</v>
      </c>
      <c r="K668">
        <v>30650</v>
      </c>
      <c r="L668">
        <v>0</v>
      </c>
      <c r="M668">
        <v>97501</v>
      </c>
      <c r="N668" t="s">
        <v>1354</v>
      </c>
      <c r="O668">
        <v>250820</v>
      </c>
      <c r="P668">
        <v>25000</v>
      </c>
      <c r="Q668"/>
    </row>
    <row r="669" spans="1:17" s="1" customFormat="1" x14ac:dyDescent="0.25">
      <c r="A669" t="s">
        <v>3296</v>
      </c>
      <c r="B669" t="s">
        <v>2931</v>
      </c>
      <c r="C669">
        <v>10458</v>
      </c>
      <c r="D669" t="str">
        <f>"10165       "</f>
        <v xml:space="preserve">10165       </v>
      </c>
      <c r="E669" t="s">
        <v>2195</v>
      </c>
      <c r="F669" t="s">
        <v>2196</v>
      </c>
      <c r="G669">
        <v>5650</v>
      </c>
      <c r="H669">
        <v>250810</v>
      </c>
      <c r="I669">
        <v>1196</v>
      </c>
      <c r="J669" t="s">
        <v>340</v>
      </c>
      <c r="K669">
        <v>30650</v>
      </c>
      <c r="L669">
        <v>0</v>
      </c>
      <c r="M669">
        <v>97501</v>
      </c>
      <c r="N669" t="s">
        <v>1354</v>
      </c>
      <c r="O669">
        <v>250820</v>
      </c>
      <c r="P669">
        <v>5650</v>
      </c>
      <c r="Q669"/>
    </row>
    <row r="670" spans="1:17" s="1" customFormat="1" x14ac:dyDescent="0.25">
      <c r="A670" t="s">
        <v>3296</v>
      </c>
      <c r="B670" t="s">
        <v>2931</v>
      </c>
      <c r="C670">
        <v>10880</v>
      </c>
      <c r="D670" t="str">
        <f>"10170       "</f>
        <v xml:space="preserve">10170       </v>
      </c>
      <c r="E670" t="s">
        <v>2195</v>
      </c>
      <c r="F670" t="s">
        <v>2196</v>
      </c>
      <c r="G670">
        <v>19000</v>
      </c>
      <c r="H670">
        <v>250821</v>
      </c>
      <c r="I670">
        <v>1196</v>
      </c>
      <c r="J670" t="s">
        <v>340</v>
      </c>
      <c r="K670">
        <v>19000</v>
      </c>
      <c r="L670">
        <v>0</v>
      </c>
      <c r="M670">
        <v>96501</v>
      </c>
      <c r="N670" t="s">
        <v>2066</v>
      </c>
      <c r="O670">
        <v>250826</v>
      </c>
      <c r="P670">
        <v>19000</v>
      </c>
      <c r="Q670"/>
    </row>
    <row r="671" spans="1:17" s="1" customFormat="1" x14ac:dyDescent="0.25">
      <c r="A671" t="s">
        <v>3296</v>
      </c>
      <c r="B671" t="s">
        <v>2931</v>
      </c>
      <c r="C671">
        <v>11459</v>
      </c>
      <c r="D671" t="str">
        <f>"10172       "</f>
        <v xml:space="preserve">10172       </v>
      </c>
      <c r="E671" t="s">
        <v>2195</v>
      </c>
      <c r="F671" t="s">
        <v>2196</v>
      </c>
      <c r="G671">
        <v>33400</v>
      </c>
      <c r="H671">
        <v>250903</v>
      </c>
      <c r="I671">
        <v>1196</v>
      </c>
      <c r="J671" t="s">
        <v>340</v>
      </c>
      <c r="K671">
        <v>33400</v>
      </c>
      <c r="L671">
        <v>0</v>
      </c>
      <c r="M671">
        <v>97501</v>
      </c>
      <c r="N671" t="s">
        <v>1354</v>
      </c>
      <c r="O671">
        <v>250905</v>
      </c>
      <c r="P671">
        <v>33400</v>
      </c>
      <c r="Q671"/>
    </row>
    <row r="672" spans="1:17" s="1" customFormat="1" x14ac:dyDescent="0.25">
      <c r="A672" t="s">
        <v>3296</v>
      </c>
      <c r="B672" t="s">
        <v>2931</v>
      </c>
      <c r="C672">
        <v>14420</v>
      </c>
      <c r="D672" t="str">
        <f>"10177       "</f>
        <v xml:space="preserve">10177       </v>
      </c>
      <c r="E672" t="s">
        <v>2195</v>
      </c>
      <c r="F672" t="s">
        <v>2196</v>
      </c>
      <c r="G672">
        <v>13285</v>
      </c>
      <c r="H672">
        <v>251022</v>
      </c>
      <c r="I672">
        <v>1196</v>
      </c>
      <c r="J672" t="s">
        <v>340</v>
      </c>
      <c r="K672">
        <v>13285</v>
      </c>
      <c r="L672">
        <v>0</v>
      </c>
      <c r="M672">
        <v>96501</v>
      </c>
      <c r="N672" t="s">
        <v>2066</v>
      </c>
      <c r="O672">
        <v>251031</v>
      </c>
      <c r="P672">
        <v>13285</v>
      </c>
      <c r="Q672"/>
    </row>
    <row r="673" spans="1:17" s="1" customFormat="1" x14ac:dyDescent="0.25">
      <c r="A673" t="s">
        <v>3296</v>
      </c>
      <c r="B673" t="s">
        <v>2931</v>
      </c>
      <c r="C673">
        <v>18465</v>
      </c>
      <c r="D673" t="str">
        <f>"571707      "</f>
        <v xml:space="preserve">571707      </v>
      </c>
      <c r="E673" t="s">
        <v>2802</v>
      </c>
      <c r="F673" t="s">
        <v>2803</v>
      </c>
      <c r="G673">
        <v>19</v>
      </c>
      <c r="H673">
        <v>251218</v>
      </c>
      <c r="I673">
        <v>4420</v>
      </c>
      <c r="J673" t="s">
        <v>330</v>
      </c>
      <c r="K673">
        <v>19</v>
      </c>
      <c r="L673">
        <v>3.86</v>
      </c>
      <c r="M673">
        <v>11001</v>
      </c>
      <c r="N673" t="s">
        <v>93</v>
      </c>
      <c r="O673">
        <v>260114</v>
      </c>
      <c r="P673">
        <v>15.14</v>
      </c>
      <c r="Q673"/>
    </row>
    <row r="674" spans="1:17" s="1" customFormat="1" x14ac:dyDescent="0.25">
      <c r="A674" t="s">
        <v>3296</v>
      </c>
      <c r="B674" t="s">
        <v>2931</v>
      </c>
      <c r="C674">
        <v>16094</v>
      </c>
      <c r="D674" t="str">
        <f>"190130131   "</f>
        <v xml:space="preserve">190130131   </v>
      </c>
      <c r="E674" t="s">
        <v>2659</v>
      </c>
      <c r="F674" t="s">
        <v>2660</v>
      </c>
      <c r="G674">
        <v>390.31</v>
      </c>
      <c r="H674">
        <v>251120</v>
      </c>
      <c r="I674">
        <v>4600</v>
      </c>
      <c r="J674" t="s">
        <v>278</v>
      </c>
      <c r="K674">
        <v>390.31</v>
      </c>
      <c r="L674">
        <v>79.31</v>
      </c>
      <c r="M674">
        <v>46554</v>
      </c>
      <c r="N674" t="s">
        <v>102</v>
      </c>
      <c r="O674">
        <v>251203</v>
      </c>
      <c r="P674">
        <v>311</v>
      </c>
      <c r="Q674"/>
    </row>
    <row r="675" spans="1:17" s="1" customFormat="1" x14ac:dyDescent="0.25">
      <c r="A675" t="s">
        <v>3296</v>
      </c>
      <c r="B675" t="s">
        <v>2931</v>
      </c>
      <c r="C675">
        <v>4270</v>
      </c>
      <c r="D675" t="str">
        <f>"BSF107529   "</f>
        <v xml:space="preserve">BSF107529   </v>
      </c>
      <c r="E675" t="s">
        <v>1608</v>
      </c>
      <c r="F675" t="s">
        <v>1609</v>
      </c>
      <c r="G675">
        <v>439.25</v>
      </c>
      <c r="H675">
        <v>250328</v>
      </c>
      <c r="I675">
        <v>4369</v>
      </c>
      <c r="J675" t="s">
        <v>188</v>
      </c>
      <c r="K675">
        <v>471.89</v>
      </c>
      <c r="L675">
        <v>89.25</v>
      </c>
      <c r="M675">
        <v>17524</v>
      </c>
      <c r="N675" t="s">
        <v>139</v>
      </c>
      <c r="O675">
        <v>250410</v>
      </c>
      <c r="P675">
        <v>350</v>
      </c>
      <c r="Q675"/>
    </row>
    <row r="676" spans="1:17" s="1" customFormat="1" x14ac:dyDescent="0.25">
      <c r="A676" t="s">
        <v>3296</v>
      </c>
      <c r="B676" t="s">
        <v>2931</v>
      </c>
      <c r="C676">
        <v>4265</v>
      </c>
      <c r="D676" t="str">
        <f>"BSF107528   "</f>
        <v xml:space="preserve">BSF107528   </v>
      </c>
      <c r="E676" t="s">
        <v>1608</v>
      </c>
      <c r="F676" t="s">
        <v>1609</v>
      </c>
      <c r="G676">
        <v>73.59</v>
      </c>
      <c r="H676">
        <v>250328</v>
      </c>
      <c r="I676">
        <v>4390</v>
      </c>
      <c r="J676" t="s">
        <v>232</v>
      </c>
      <c r="K676">
        <v>669</v>
      </c>
      <c r="L676">
        <v>14.95</v>
      </c>
      <c r="M676">
        <v>13540</v>
      </c>
      <c r="N676" t="s">
        <v>131</v>
      </c>
      <c r="O676">
        <v>250409</v>
      </c>
      <c r="P676">
        <v>58.64</v>
      </c>
      <c r="Q676"/>
    </row>
    <row r="677" spans="1:17" s="1" customFormat="1" x14ac:dyDescent="0.25">
      <c r="A677" t="s">
        <v>3296</v>
      </c>
      <c r="B677" t="s">
        <v>2931</v>
      </c>
      <c r="C677">
        <v>4265</v>
      </c>
      <c r="D677" t="str">
        <f>"BSF107528   "</f>
        <v xml:space="preserve">BSF107528   </v>
      </c>
      <c r="E677" t="s">
        <v>1608</v>
      </c>
      <c r="F677" t="s">
        <v>1609</v>
      </c>
      <c r="G677">
        <v>595.41</v>
      </c>
      <c r="H677">
        <v>250328</v>
      </c>
      <c r="I677">
        <v>4390</v>
      </c>
      <c r="J677" t="s">
        <v>232</v>
      </c>
      <c r="K677">
        <v>669</v>
      </c>
      <c r="L677">
        <v>120.98</v>
      </c>
      <c r="M677">
        <v>17950</v>
      </c>
      <c r="N677" t="s">
        <v>132</v>
      </c>
      <c r="O677">
        <v>250409</v>
      </c>
      <c r="P677">
        <v>474.43</v>
      </c>
      <c r="Q677"/>
    </row>
    <row r="678" spans="1:17" s="1" customFormat="1" x14ac:dyDescent="0.25">
      <c r="A678" t="s">
        <v>3296</v>
      </c>
      <c r="B678" t="s">
        <v>2931</v>
      </c>
      <c r="C678">
        <v>11870</v>
      </c>
      <c r="D678" t="str">
        <f>"BSF107906   "</f>
        <v xml:space="preserve">BSF107906   </v>
      </c>
      <c r="E678" t="s">
        <v>1608</v>
      </c>
      <c r="F678" t="s">
        <v>1609</v>
      </c>
      <c r="G678">
        <v>476.84</v>
      </c>
      <c r="H678">
        <v>250826</v>
      </c>
      <c r="I678">
        <v>4400</v>
      </c>
      <c r="J678" t="s">
        <v>162</v>
      </c>
      <c r="K678">
        <v>476.84</v>
      </c>
      <c r="L678">
        <v>96.89</v>
      </c>
      <c r="M678">
        <v>17523</v>
      </c>
      <c r="N678" t="s">
        <v>138</v>
      </c>
      <c r="O678">
        <v>250911</v>
      </c>
      <c r="P678">
        <v>379.95</v>
      </c>
      <c r="Q678"/>
    </row>
    <row r="679" spans="1:17" s="1" customFormat="1" x14ac:dyDescent="0.25">
      <c r="A679" t="s">
        <v>3296</v>
      </c>
      <c r="B679" t="s">
        <v>2931</v>
      </c>
      <c r="C679">
        <v>11963</v>
      </c>
      <c r="D679" t="str">
        <f>"BSF107907   "</f>
        <v xml:space="preserve">BSF107907   </v>
      </c>
      <c r="E679" t="s">
        <v>1608</v>
      </c>
      <c r="F679" t="s">
        <v>1609</v>
      </c>
      <c r="G679">
        <v>545.77</v>
      </c>
      <c r="H679">
        <v>250826</v>
      </c>
      <c r="I679">
        <v>4400</v>
      </c>
      <c r="J679" t="s">
        <v>162</v>
      </c>
      <c r="K679">
        <v>570.64</v>
      </c>
      <c r="L679">
        <v>110.89</v>
      </c>
      <c r="M679">
        <v>17524</v>
      </c>
      <c r="N679" t="s">
        <v>139</v>
      </c>
      <c r="O679">
        <v>250912</v>
      </c>
      <c r="P679">
        <v>434.88</v>
      </c>
      <c r="Q679"/>
    </row>
    <row r="680" spans="1:17" s="1" customFormat="1" x14ac:dyDescent="0.25">
      <c r="A680" t="s">
        <v>3296</v>
      </c>
      <c r="B680" t="s">
        <v>2931</v>
      </c>
      <c r="C680">
        <v>4270</v>
      </c>
      <c r="D680" t="str">
        <f>"BSF107529   "</f>
        <v xml:space="preserve">BSF107529   </v>
      </c>
      <c r="E680" t="s">
        <v>1608</v>
      </c>
      <c r="F680" t="s">
        <v>1609</v>
      </c>
      <c r="G680">
        <v>8.48</v>
      </c>
      <c r="H680">
        <v>250328</v>
      </c>
      <c r="I680">
        <v>4470</v>
      </c>
      <c r="J680" t="s">
        <v>203</v>
      </c>
      <c r="K680">
        <v>471.89</v>
      </c>
      <c r="L680">
        <v>1.72</v>
      </c>
      <c r="M680">
        <v>17524</v>
      </c>
      <c r="N680" t="s">
        <v>139</v>
      </c>
      <c r="O680">
        <v>250410</v>
      </c>
      <c r="P680">
        <v>6.76</v>
      </c>
      <c r="Q680"/>
    </row>
    <row r="681" spans="1:17" s="1" customFormat="1" x14ac:dyDescent="0.25">
      <c r="A681" t="s">
        <v>3296</v>
      </c>
      <c r="B681" t="s">
        <v>2931</v>
      </c>
      <c r="C681">
        <v>4270</v>
      </c>
      <c r="D681" t="str">
        <f>"BSF107529   "</f>
        <v xml:space="preserve">BSF107529   </v>
      </c>
      <c r="E681" t="s">
        <v>1608</v>
      </c>
      <c r="F681" t="s">
        <v>1609</v>
      </c>
      <c r="G681">
        <v>24.16</v>
      </c>
      <c r="H681">
        <v>250328</v>
      </c>
      <c r="I681">
        <v>4580</v>
      </c>
      <c r="J681" t="s">
        <v>126</v>
      </c>
      <c r="K681">
        <v>471.89</v>
      </c>
      <c r="L681">
        <v>4.91</v>
      </c>
      <c r="M681">
        <v>17524</v>
      </c>
      <c r="N681" t="s">
        <v>139</v>
      </c>
      <c r="O681">
        <v>250410</v>
      </c>
      <c r="P681">
        <v>19.25</v>
      </c>
      <c r="Q681"/>
    </row>
    <row r="682" spans="1:17" s="1" customFormat="1" x14ac:dyDescent="0.25">
      <c r="A682" t="s">
        <v>3296</v>
      </c>
      <c r="B682" t="s">
        <v>2931</v>
      </c>
      <c r="C682">
        <v>11963</v>
      </c>
      <c r="D682" t="str">
        <f>"BSF107907   "</f>
        <v xml:space="preserve">BSF107907   </v>
      </c>
      <c r="E682" t="s">
        <v>1608</v>
      </c>
      <c r="F682" t="s">
        <v>1609</v>
      </c>
      <c r="G682">
        <v>24.87</v>
      </c>
      <c r="H682">
        <v>250826</v>
      </c>
      <c r="I682">
        <v>4580</v>
      </c>
      <c r="J682" t="s">
        <v>126</v>
      </c>
      <c r="K682">
        <v>570.64</v>
      </c>
      <c r="L682">
        <v>5.05</v>
      </c>
      <c r="M682">
        <v>17524</v>
      </c>
      <c r="N682" t="s">
        <v>139</v>
      </c>
      <c r="O682">
        <v>250912</v>
      </c>
      <c r="P682">
        <v>19.82</v>
      </c>
      <c r="Q682"/>
    </row>
    <row r="683" spans="1:17" s="1" customFormat="1" x14ac:dyDescent="0.25">
      <c r="A683" t="s">
        <v>3296</v>
      </c>
      <c r="B683" t="s">
        <v>2931</v>
      </c>
      <c r="C683">
        <v>15105</v>
      </c>
      <c r="D683" t="str">
        <f>"6750        "</f>
        <v xml:space="preserve">6750        </v>
      </c>
      <c r="E683" t="s">
        <v>2545</v>
      </c>
      <c r="F683" t="s">
        <v>2546</v>
      </c>
      <c r="G683">
        <v>693.91</v>
      </c>
      <c r="H683">
        <v>251106</v>
      </c>
      <c r="I683">
        <v>4400</v>
      </c>
      <c r="J683" t="s">
        <v>162</v>
      </c>
      <c r="K683">
        <v>693.91</v>
      </c>
      <c r="L683">
        <v>140.99</v>
      </c>
      <c r="M683">
        <v>51151</v>
      </c>
      <c r="N683" t="s">
        <v>221</v>
      </c>
      <c r="O683">
        <v>251111</v>
      </c>
      <c r="P683">
        <v>552.91999999999996</v>
      </c>
      <c r="Q683"/>
    </row>
    <row r="684" spans="1:17" s="1" customFormat="1" x14ac:dyDescent="0.25">
      <c r="A684" t="s">
        <v>3296</v>
      </c>
      <c r="B684" t="s">
        <v>2931</v>
      </c>
      <c r="C684">
        <v>16679</v>
      </c>
      <c r="D684" t="str">
        <f>"8074996     "</f>
        <v xml:space="preserve">8074996     </v>
      </c>
      <c r="E684" t="s">
        <v>2245</v>
      </c>
      <c r="F684" t="s">
        <v>2246</v>
      </c>
      <c r="G684">
        <v>2457.64</v>
      </c>
      <c r="H684">
        <v>251208</v>
      </c>
      <c r="I684">
        <v>4400</v>
      </c>
      <c r="J684" t="s">
        <v>162</v>
      </c>
      <c r="K684">
        <v>2457.64</v>
      </c>
      <c r="L684">
        <v>499.36</v>
      </c>
      <c r="M684">
        <v>18993</v>
      </c>
      <c r="N684" t="s">
        <v>540</v>
      </c>
      <c r="O684">
        <v>251211</v>
      </c>
      <c r="P684">
        <v>1958.28</v>
      </c>
      <c r="Q684"/>
    </row>
    <row r="685" spans="1:17" s="1" customFormat="1" x14ac:dyDescent="0.25">
      <c r="A685" t="s">
        <v>3296</v>
      </c>
      <c r="B685" t="s">
        <v>2931</v>
      </c>
      <c r="C685">
        <v>11075</v>
      </c>
      <c r="D685" t="str">
        <f>"8066573     "</f>
        <v xml:space="preserve">8066573     </v>
      </c>
      <c r="E685" t="s">
        <v>2245</v>
      </c>
      <c r="F685" t="s">
        <v>2246</v>
      </c>
      <c r="G685">
        <v>397.79</v>
      </c>
      <c r="H685">
        <v>250825</v>
      </c>
      <c r="I685">
        <v>4580</v>
      </c>
      <c r="J685" t="s">
        <v>126</v>
      </c>
      <c r="K685">
        <v>397.79</v>
      </c>
      <c r="L685">
        <v>80.83</v>
      </c>
      <c r="M685">
        <v>56559</v>
      </c>
      <c r="N685" t="s">
        <v>51</v>
      </c>
      <c r="O685">
        <v>250829</v>
      </c>
      <c r="P685">
        <v>316.95999999999998</v>
      </c>
      <c r="Q685"/>
    </row>
    <row r="686" spans="1:17" s="1" customFormat="1" x14ac:dyDescent="0.25">
      <c r="A686" t="s">
        <v>3296</v>
      </c>
      <c r="B686" t="s">
        <v>2931</v>
      </c>
      <c r="C686">
        <v>15627</v>
      </c>
      <c r="D686" t="str">
        <f>"8072945     "</f>
        <v xml:space="preserve">8072945     </v>
      </c>
      <c r="E686" t="s">
        <v>2245</v>
      </c>
      <c r="F686" t="s">
        <v>2246</v>
      </c>
      <c r="G686">
        <v>2059.46</v>
      </c>
      <c r="H686">
        <v>251113</v>
      </c>
      <c r="I686">
        <v>4580</v>
      </c>
      <c r="J686" t="s">
        <v>126</v>
      </c>
      <c r="K686">
        <v>2059.46</v>
      </c>
      <c r="L686">
        <v>418.46</v>
      </c>
      <c r="M686">
        <v>13201</v>
      </c>
      <c r="N686" t="s">
        <v>269</v>
      </c>
      <c r="O686">
        <v>251124</v>
      </c>
      <c r="P686">
        <v>1641</v>
      </c>
      <c r="Q686"/>
    </row>
    <row r="687" spans="1:17" s="1" customFormat="1" x14ac:dyDescent="0.25">
      <c r="A687" t="s">
        <v>3296</v>
      </c>
      <c r="B687" t="s">
        <v>2931</v>
      </c>
      <c r="C687">
        <v>15937</v>
      </c>
      <c r="D687" t="str">
        <f>"8073386     "</f>
        <v xml:space="preserve">8073386     </v>
      </c>
      <c r="E687" t="s">
        <v>2245</v>
      </c>
      <c r="F687" t="s">
        <v>2246</v>
      </c>
      <c r="G687">
        <v>55.29</v>
      </c>
      <c r="H687">
        <v>251119</v>
      </c>
      <c r="I687">
        <v>4580</v>
      </c>
      <c r="J687" t="s">
        <v>126</v>
      </c>
      <c r="K687">
        <v>936.13</v>
      </c>
      <c r="L687">
        <v>11.23</v>
      </c>
      <c r="M687">
        <v>13281</v>
      </c>
      <c r="N687" t="s">
        <v>476</v>
      </c>
      <c r="O687">
        <v>251201</v>
      </c>
      <c r="P687">
        <v>44.06</v>
      </c>
      <c r="Q687"/>
    </row>
    <row r="688" spans="1:17" s="1" customFormat="1" x14ac:dyDescent="0.25">
      <c r="A688" t="s">
        <v>3296</v>
      </c>
      <c r="B688" t="s">
        <v>2931</v>
      </c>
      <c r="C688">
        <v>15937</v>
      </c>
      <c r="D688" t="str">
        <f>"8073386     "</f>
        <v xml:space="preserve">8073386     </v>
      </c>
      <c r="E688" t="s">
        <v>2245</v>
      </c>
      <c r="F688" t="s">
        <v>2246</v>
      </c>
      <c r="G688">
        <v>100.09</v>
      </c>
      <c r="H688">
        <v>251119</v>
      </c>
      <c r="I688">
        <v>4580</v>
      </c>
      <c r="J688" t="s">
        <v>126</v>
      </c>
      <c r="K688">
        <v>936.13</v>
      </c>
      <c r="L688">
        <v>20.34</v>
      </c>
      <c r="M688">
        <v>17538</v>
      </c>
      <c r="N688" t="s">
        <v>129</v>
      </c>
      <c r="O688">
        <v>251201</v>
      </c>
      <c r="P688">
        <v>79.75</v>
      </c>
      <c r="Q688"/>
    </row>
    <row r="689" spans="1:17" s="1" customFormat="1" x14ac:dyDescent="0.25">
      <c r="A689" t="s">
        <v>3296</v>
      </c>
      <c r="B689" t="s">
        <v>2931</v>
      </c>
      <c r="C689">
        <v>15937</v>
      </c>
      <c r="D689" t="str">
        <f>"8073386     "</f>
        <v xml:space="preserve">8073386     </v>
      </c>
      <c r="E689" t="s">
        <v>2245</v>
      </c>
      <c r="F689" t="s">
        <v>2246</v>
      </c>
      <c r="G689">
        <v>335.08</v>
      </c>
      <c r="H689">
        <v>251119</v>
      </c>
      <c r="I689">
        <v>4580</v>
      </c>
      <c r="J689" t="s">
        <v>126</v>
      </c>
      <c r="K689">
        <v>936.13</v>
      </c>
      <c r="L689">
        <v>68.08</v>
      </c>
      <c r="M689">
        <v>17538</v>
      </c>
      <c r="N689" t="s">
        <v>129</v>
      </c>
      <c r="O689">
        <v>251201</v>
      </c>
      <c r="P689">
        <v>267</v>
      </c>
      <c r="Q689"/>
    </row>
    <row r="690" spans="1:17" s="1" customFormat="1" x14ac:dyDescent="0.25">
      <c r="A690" t="s">
        <v>3296</v>
      </c>
      <c r="B690" t="s">
        <v>2931</v>
      </c>
      <c r="C690">
        <v>15937</v>
      </c>
      <c r="D690" t="str">
        <f>"8073386     "</f>
        <v xml:space="preserve">8073386     </v>
      </c>
      <c r="E690" t="s">
        <v>2245</v>
      </c>
      <c r="F690" t="s">
        <v>2246</v>
      </c>
      <c r="G690">
        <v>445.67</v>
      </c>
      <c r="H690">
        <v>251119</v>
      </c>
      <c r="I690">
        <v>4580</v>
      </c>
      <c r="J690" t="s">
        <v>126</v>
      </c>
      <c r="K690">
        <v>936.13</v>
      </c>
      <c r="L690">
        <v>90.55</v>
      </c>
      <c r="M690">
        <v>17971</v>
      </c>
      <c r="N690" t="s">
        <v>27</v>
      </c>
      <c r="O690">
        <v>251201</v>
      </c>
      <c r="P690">
        <v>355.12</v>
      </c>
      <c r="Q690"/>
    </row>
    <row r="691" spans="1:17" s="1" customFormat="1" x14ac:dyDescent="0.25">
      <c r="A691" t="s">
        <v>3296</v>
      </c>
      <c r="B691" t="s">
        <v>2931</v>
      </c>
      <c r="C691">
        <v>13684</v>
      </c>
      <c r="D691" t="str">
        <f>"112048445   "</f>
        <v xml:space="preserve">112048445   </v>
      </c>
      <c r="E691" t="s">
        <v>861</v>
      </c>
      <c r="F691" t="s">
        <v>862</v>
      </c>
      <c r="G691">
        <v>6</v>
      </c>
      <c r="H691">
        <v>250930</v>
      </c>
      <c r="I691">
        <v>4347</v>
      </c>
      <c r="J691" t="s">
        <v>328</v>
      </c>
      <c r="K691">
        <v>84</v>
      </c>
      <c r="L691">
        <v>1.22</v>
      </c>
      <c r="M691">
        <v>17711</v>
      </c>
      <c r="N691" t="s">
        <v>155</v>
      </c>
      <c r="O691">
        <v>251014</v>
      </c>
      <c r="P691">
        <v>4.78</v>
      </c>
      <c r="Q691"/>
    </row>
    <row r="692" spans="1:17" s="1" customFormat="1" x14ac:dyDescent="0.25">
      <c r="A692" t="s">
        <v>3296</v>
      </c>
      <c r="B692" t="s">
        <v>2931</v>
      </c>
      <c r="C692">
        <v>1150</v>
      </c>
      <c r="D692" t="str">
        <f>"112036233   "</f>
        <v xml:space="preserve">112036233   </v>
      </c>
      <c r="E692" t="s">
        <v>861</v>
      </c>
      <c r="F692" t="s">
        <v>862</v>
      </c>
      <c r="G692">
        <v>3</v>
      </c>
      <c r="H692">
        <v>250131</v>
      </c>
      <c r="I692">
        <v>4440</v>
      </c>
      <c r="J692" t="s">
        <v>346</v>
      </c>
      <c r="K692">
        <v>163</v>
      </c>
      <c r="L692">
        <v>0.61</v>
      </c>
      <c r="M692">
        <v>17711</v>
      </c>
      <c r="N692" t="s">
        <v>155</v>
      </c>
      <c r="O692">
        <v>250205</v>
      </c>
      <c r="P692">
        <v>2.39</v>
      </c>
      <c r="Q692"/>
    </row>
    <row r="693" spans="1:17" s="1" customFormat="1" x14ac:dyDescent="0.25">
      <c r="A693" t="s">
        <v>3296</v>
      </c>
      <c r="B693" t="s">
        <v>2931</v>
      </c>
      <c r="C693">
        <v>1150</v>
      </c>
      <c r="D693" t="str">
        <f>"112036233   "</f>
        <v xml:space="preserve">112036233   </v>
      </c>
      <c r="E693" t="s">
        <v>861</v>
      </c>
      <c r="F693" t="s">
        <v>862</v>
      </c>
      <c r="G693">
        <v>160</v>
      </c>
      <c r="H693">
        <v>250131</v>
      </c>
      <c r="I693">
        <v>4440</v>
      </c>
      <c r="J693" t="s">
        <v>346</v>
      </c>
      <c r="K693">
        <v>163</v>
      </c>
      <c r="L693">
        <v>0</v>
      </c>
      <c r="M693">
        <v>17711</v>
      </c>
      <c r="N693" t="s">
        <v>155</v>
      </c>
      <c r="O693">
        <v>250205</v>
      </c>
      <c r="P693">
        <v>160</v>
      </c>
      <c r="Q693"/>
    </row>
    <row r="694" spans="1:17" s="1" customFormat="1" x14ac:dyDescent="0.25">
      <c r="A694" t="s">
        <v>3296</v>
      </c>
      <c r="B694" t="s">
        <v>2931</v>
      </c>
      <c r="C694">
        <v>9400</v>
      </c>
      <c r="D694" t="str">
        <f>"112044168   "</f>
        <v xml:space="preserve">112044168   </v>
      </c>
      <c r="E694" t="s">
        <v>861</v>
      </c>
      <c r="F694" t="s">
        <v>862</v>
      </c>
      <c r="G694">
        <v>6</v>
      </c>
      <c r="H694">
        <v>250630</v>
      </c>
      <c r="I694">
        <v>4470</v>
      </c>
      <c r="J694" t="s">
        <v>203</v>
      </c>
      <c r="K694">
        <v>46</v>
      </c>
      <c r="L694">
        <v>1.22</v>
      </c>
      <c r="M694">
        <v>17711</v>
      </c>
      <c r="N694" t="s">
        <v>155</v>
      </c>
      <c r="O694">
        <v>250707</v>
      </c>
      <c r="P694">
        <v>4.78</v>
      </c>
      <c r="Q694"/>
    </row>
    <row r="695" spans="1:17" s="1" customFormat="1" x14ac:dyDescent="0.25">
      <c r="A695" t="s">
        <v>3296</v>
      </c>
      <c r="B695" t="s">
        <v>2931</v>
      </c>
      <c r="C695">
        <v>9400</v>
      </c>
      <c r="D695" t="str">
        <f>"112044168   "</f>
        <v xml:space="preserve">112044168   </v>
      </c>
      <c r="E695" t="s">
        <v>861</v>
      </c>
      <c r="F695" t="s">
        <v>862</v>
      </c>
      <c r="G695">
        <v>40</v>
      </c>
      <c r="H695">
        <v>250630</v>
      </c>
      <c r="I695">
        <v>4470</v>
      </c>
      <c r="J695" t="s">
        <v>203</v>
      </c>
      <c r="K695">
        <v>46</v>
      </c>
      <c r="L695">
        <v>0</v>
      </c>
      <c r="M695">
        <v>17711</v>
      </c>
      <c r="N695" t="s">
        <v>155</v>
      </c>
      <c r="O695">
        <v>250707</v>
      </c>
      <c r="P695">
        <v>40</v>
      </c>
      <c r="Q695"/>
    </row>
    <row r="696" spans="1:17" s="1" customFormat="1" x14ac:dyDescent="0.25">
      <c r="A696" t="s">
        <v>3296</v>
      </c>
      <c r="B696" t="s">
        <v>2931</v>
      </c>
      <c r="C696">
        <v>9409</v>
      </c>
      <c r="D696" t="str">
        <f>"112044246   "</f>
        <v xml:space="preserve">112044246   </v>
      </c>
      <c r="E696" t="s">
        <v>861</v>
      </c>
      <c r="F696" t="s">
        <v>862</v>
      </c>
      <c r="G696">
        <v>3</v>
      </c>
      <c r="H696">
        <v>250630</v>
      </c>
      <c r="I696">
        <v>4470</v>
      </c>
      <c r="J696" t="s">
        <v>203</v>
      </c>
      <c r="K696">
        <v>43</v>
      </c>
      <c r="L696">
        <v>0.61</v>
      </c>
      <c r="M696">
        <v>17711</v>
      </c>
      <c r="N696" t="s">
        <v>155</v>
      </c>
      <c r="O696">
        <v>250707</v>
      </c>
      <c r="P696">
        <v>2.39</v>
      </c>
      <c r="Q696"/>
    </row>
    <row r="697" spans="1:17" s="1" customFormat="1" x14ac:dyDescent="0.25">
      <c r="A697" t="s">
        <v>3296</v>
      </c>
      <c r="B697" t="s">
        <v>2931</v>
      </c>
      <c r="C697">
        <v>9409</v>
      </c>
      <c r="D697" t="str">
        <f>"112044246   "</f>
        <v xml:space="preserve">112044246   </v>
      </c>
      <c r="E697" t="s">
        <v>861</v>
      </c>
      <c r="F697" t="s">
        <v>862</v>
      </c>
      <c r="G697">
        <v>40</v>
      </c>
      <c r="H697">
        <v>250630</v>
      </c>
      <c r="I697">
        <v>4470</v>
      </c>
      <c r="J697" t="s">
        <v>203</v>
      </c>
      <c r="K697">
        <v>43</v>
      </c>
      <c r="L697">
        <v>0</v>
      </c>
      <c r="M697">
        <v>17711</v>
      </c>
      <c r="N697" t="s">
        <v>155</v>
      </c>
      <c r="O697">
        <v>250707</v>
      </c>
      <c r="P697">
        <v>40</v>
      </c>
      <c r="Q697"/>
    </row>
    <row r="698" spans="1:17" s="1" customFormat="1" x14ac:dyDescent="0.25">
      <c r="A698" t="s">
        <v>3296</v>
      </c>
      <c r="B698" t="s">
        <v>2931</v>
      </c>
      <c r="C698">
        <v>13684</v>
      </c>
      <c r="D698" t="str">
        <f>"112048445   "</f>
        <v xml:space="preserve">112048445   </v>
      </c>
      <c r="E698" t="s">
        <v>861</v>
      </c>
      <c r="F698" t="s">
        <v>862</v>
      </c>
      <c r="G698">
        <v>78</v>
      </c>
      <c r="H698">
        <v>250930</v>
      </c>
      <c r="I698">
        <v>4470</v>
      </c>
      <c r="J698" t="s">
        <v>203</v>
      </c>
      <c r="K698">
        <v>84</v>
      </c>
      <c r="L698">
        <v>0</v>
      </c>
      <c r="M698">
        <v>17711</v>
      </c>
      <c r="N698" t="s">
        <v>155</v>
      </c>
      <c r="O698">
        <v>251014</v>
      </c>
      <c r="P698">
        <v>78</v>
      </c>
      <c r="Q698"/>
    </row>
    <row r="699" spans="1:17" s="1" customFormat="1" x14ac:dyDescent="0.25">
      <c r="A699" t="s">
        <v>3296</v>
      </c>
      <c r="B699" t="s">
        <v>2931</v>
      </c>
      <c r="C699">
        <v>2447</v>
      </c>
      <c r="D699" t="str">
        <f>"502151637   "</f>
        <v xml:space="preserve">502151637   </v>
      </c>
      <c r="E699" t="s">
        <v>672</v>
      </c>
      <c r="F699" t="s">
        <v>673</v>
      </c>
      <c r="G699">
        <v>36.880000000000003</v>
      </c>
      <c r="H699">
        <v>250215</v>
      </c>
      <c r="I699">
        <v>4400</v>
      </c>
      <c r="J699" t="s">
        <v>162</v>
      </c>
      <c r="K699">
        <v>122</v>
      </c>
      <c r="L699">
        <v>7.49</v>
      </c>
      <c r="M699">
        <v>17131</v>
      </c>
      <c r="N699" t="s">
        <v>154</v>
      </c>
      <c r="O699">
        <v>250227</v>
      </c>
      <c r="P699">
        <v>29.39</v>
      </c>
      <c r="Q699"/>
    </row>
    <row r="700" spans="1:17" s="1" customFormat="1" x14ac:dyDescent="0.25">
      <c r="A700" t="s">
        <v>3296</v>
      </c>
      <c r="B700" t="s">
        <v>2931</v>
      </c>
      <c r="C700">
        <v>2447</v>
      </c>
      <c r="D700" t="str">
        <f>"502151637   "</f>
        <v xml:space="preserve">502151637   </v>
      </c>
      <c r="E700" t="s">
        <v>672</v>
      </c>
      <c r="F700" t="s">
        <v>673</v>
      </c>
      <c r="G700">
        <v>36.869999999999997</v>
      </c>
      <c r="H700">
        <v>250215</v>
      </c>
      <c r="I700">
        <v>4400</v>
      </c>
      <c r="J700" t="s">
        <v>162</v>
      </c>
      <c r="K700">
        <v>122</v>
      </c>
      <c r="L700">
        <v>7.49</v>
      </c>
      <c r="M700">
        <v>17711</v>
      </c>
      <c r="N700" t="s">
        <v>155</v>
      </c>
      <c r="O700">
        <v>250227</v>
      </c>
      <c r="P700">
        <v>29.38</v>
      </c>
      <c r="Q700"/>
    </row>
    <row r="701" spans="1:17" s="1" customFormat="1" x14ac:dyDescent="0.25">
      <c r="A701" t="s">
        <v>3296</v>
      </c>
      <c r="B701" t="s">
        <v>2931</v>
      </c>
      <c r="C701">
        <v>2447</v>
      </c>
      <c r="D701" t="str">
        <f>"502151637   "</f>
        <v xml:space="preserve">502151637   </v>
      </c>
      <c r="E701" t="s">
        <v>672</v>
      </c>
      <c r="F701" t="s">
        <v>673</v>
      </c>
      <c r="G701">
        <v>48.25</v>
      </c>
      <c r="H701">
        <v>250215</v>
      </c>
      <c r="I701">
        <v>4400</v>
      </c>
      <c r="J701" t="s">
        <v>162</v>
      </c>
      <c r="K701">
        <v>122</v>
      </c>
      <c r="L701">
        <v>9.8000000000000007</v>
      </c>
      <c r="M701">
        <v>17812</v>
      </c>
      <c r="N701" t="s">
        <v>816</v>
      </c>
      <c r="O701">
        <v>250227</v>
      </c>
      <c r="P701">
        <v>38.450000000000003</v>
      </c>
      <c r="Q701"/>
    </row>
    <row r="702" spans="1:17" s="1" customFormat="1" x14ac:dyDescent="0.25">
      <c r="A702" t="s">
        <v>3296</v>
      </c>
      <c r="B702" t="s">
        <v>2931</v>
      </c>
      <c r="C702">
        <v>4403</v>
      </c>
      <c r="D702" t="str">
        <f>"502160847   "</f>
        <v xml:space="preserve">502160847   </v>
      </c>
      <c r="E702" t="s">
        <v>672</v>
      </c>
      <c r="F702" t="s">
        <v>673</v>
      </c>
      <c r="G702">
        <v>48.25</v>
      </c>
      <c r="H702">
        <v>250331</v>
      </c>
      <c r="I702">
        <v>4400</v>
      </c>
      <c r="J702" t="s">
        <v>162</v>
      </c>
      <c r="K702">
        <v>96.5</v>
      </c>
      <c r="L702">
        <v>9.8000000000000007</v>
      </c>
      <c r="M702">
        <v>17808</v>
      </c>
      <c r="N702" t="s">
        <v>24</v>
      </c>
      <c r="O702">
        <v>250411</v>
      </c>
      <c r="P702">
        <v>38.450000000000003</v>
      </c>
      <c r="Q702"/>
    </row>
    <row r="703" spans="1:17" s="1" customFormat="1" x14ac:dyDescent="0.25">
      <c r="A703" t="s">
        <v>3296</v>
      </c>
      <c r="B703" t="s">
        <v>2931</v>
      </c>
      <c r="C703">
        <v>11499</v>
      </c>
      <c r="D703" t="str">
        <f>"502192334   "</f>
        <v xml:space="preserve">502192334   </v>
      </c>
      <c r="E703" t="s">
        <v>672</v>
      </c>
      <c r="F703" t="s">
        <v>673</v>
      </c>
      <c r="G703">
        <v>80.55</v>
      </c>
      <c r="H703">
        <v>250831</v>
      </c>
      <c r="I703">
        <v>4400</v>
      </c>
      <c r="J703" t="s">
        <v>162</v>
      </c>
      <c r="K703">
        <v>154.30000000000001</v>
      </c>
      <c r="L703">
        <v>16.37</v>
      </c>
      <c r="M703">
        <v>17808</v>
      </c>
      <c r="N703" t="s">
        <v>24</v>
      </c>
      <c r="O703">
        <v>250905</v>
      </c>
      <c r="P703">
        <v>64.180000000000007</v>
      </c>
      <c r="Q703"/>
    </row>
    <row r="704" spans="1:17" s="1" customFormat="1" x14ac:dyDescent="0.25">
      <c r="A704" t="s">
        <v>3296</v>
      </c>
      <c r="B704" t="s">
        <v>2931</v>
      </c>
      <c r="C704">
        <v>698</v>
      </c>
      <c r="D704" t="str">
        <f>"502145046   "</f>
        <v xml:space="preserve">502145046   </v>
      </c>
      <c r="E704" t="s">
        <v>672</v>
      </c>
      <c r="F704" t="s">
        <v>673</v>
      </c>
      <c r="G704">
        <v>116</v>
      </c>
      <c r="H704">
        <v>250115</v>
      </c>
      <c r="I704">
        <v>4470</v>
      </c>
      <c r="J704" t="s">
        <v>203</v>
      </c>
      <c r="K704">
        <v>116</v>
      </c>
      <c r="L704">
        <v>23.57</v>
      </c>
      <c r="M704">
        <v>49701</v>
      </c>
      <c r="N704" t="s">
        <v>111</v>
      </c>
      <c r="O704">
        <v>250128</v>
      </c>
      <c r="P704">
        <v>92.43</v>
      </c>
      <c r="Q704"/>
    </row>
    <row r="705" spans="1:17" s="1" customFormat="1" x14ac:dyDescent="0.25">
      <c r="A705" t="s">
        <v>3296</v>
      </c>
      <c r="B705" t="s">
        <v>2931</v>
      </c>
      <c r="C705">
        <v>715</v>
      </c>
      <c r="D705" t="str">
        <f>"502146552   "</f>
        <v xml:space="preserve">502146552   </v>
      </c>
      <c r="E705" t="s">
        <v>672</v>
      </c>
      <c r="F705" t="s">
        <v>673</v>
      </c>
      <c r="G705">
        <v>116</v>
      </c>
      <c r="H705">
        <v>250123</v>
      </c>
      <c r="I705">
        <v>4470</v>
      </c>
      <c r="J705" t="s">
        <v>203</v>
      </c>
      <c r="K705">
        <v>116</v>
      </c>
      <c r="L705">
        <v>23.57</v>
      </c>
      <c r="M705">
        <v>49701</v>
      </c>
      <c r="N705" t="s">
        <v>111</v>
      </c>
      <c r="O705">
        <v>250128</v>
      </c>
      <c r="P705">
        <v>92.43</v>
      </c>
      <c r="Q705"/>
    </row>
    <row r="706" spans="1:17" s="1" customFormat="1" x14ac:dyDescent="0.25">
      <c r="A706" t="s">
        <v>3296</v>
      </c>
      <c r="B706" t="s">
        <v>2931</v>
      </c>
      <c r="C706">
        <v>2605</v>
      </c>
      <c r="D706" t="str">
        <f>"502152845   "</f>
        <v xml:space="preserve">502152845   </v>
      </c>
      <c r="E706" t="s">
        <v>672</v>
      </c>
      <c r="F706" t="s">
        <v>673</v>
      </c>
      <c r="G706">
        <v>147</v>
      </c>
      <c r="H706">
        <v>250223</v>
      </c>
      <c r="I706">
        <v>4470</v>
      </c>
      <c r="J706" t="s">
        <v>203</v>
      </c>
      <c r="K706">
        <v>147</v>
      </c>
      <c r="L706">
        <v>29.87</v>
      </c>
      <c r="M706">
        <v>49701</v>
      </c>
      <c r="N706" t="s">
        <v>111</v>
      </c>
      <c r="O706">
        <v>250307</v>
      </c>
      <c r="P706">
        <v>117.13</v>
      </c>
      <c r="Q706"/>
    </row>
    <row r="707" spans="1:17" s="1" customFormat="1" x14ac:dyDescent="0.25">
      <c r="A707" t="s">
        <v>3296</v>
      </c>
      <c r="B707" t="s">
        <v>2931</v>
      </c>
      <c r="C707">
        <v>4360</v>
      </c>
      <c r="D707" t="str">
        <f>"502160848   "</f>
        <v xml:space="preserve">502160848   </v>
      </c>
      <c r="E707" t="s">
        <v>672</v>
      </c>
      <c r="F707" t="s">
        <v>673</v>
      </c>
      <c r="G707">
        <v>30</v>
      </c>
      <c r="H707">
        <v>250331</v>
      </c>
      <c r="I707">
        <v>4470</v>
      </c>
      <c r="J707" t="s">
        <v>203</v>
      </c>
      <c r="K707">
        <v>146</v>
      </c>
      <c r="L707">
        <v>6.1</v>
      </c>
      <c r="M707">
        <v>46564</v>
      </c>
      <c r="N707" t="s">
        <v>678</v>
      </c>
      <c r="O707">
        <v>250411</v>
      </c>
      <c r="P707">
        <v>23.9</v>
      </c>
      <c r="Q707"/>
    </row>
    <row r="708" spans="1:17" s="1" customFormat="1" x14ac:dyDescent="0.25">
      <c r="A708" t="s">
        <v>3296</v>
      </c>
      <c r="B708" t="s">
        <v>2931</v>
      </c>
      <c r="C708">
        <v>4360</v>
      </c>
      <c r="D708" t="str">
        <f>"502160848   "</f>
        <v xml:space="preserve">502160848   </v>
      </c>
      <c r="E708" t="s">
        <v>672</v>
      </c>
      <c r="F708" t="s">
        <v>673</v>
      </c>
      <c r="G708">
        <v>116</v>
      </c>
      <c r="H708">
        <v>250331</v>
      </c>
      <c r="I708">
        <v>4470</v>
      </c>
      <c r="J708" t="s">
        <v>203</v>
      </c>
      <c r="K708">
        <v>146</v>
      </c>
      <c r="L708">
        <v>23.57</v>
      </c>
      <c r="M708">
        <v>49701</v>
      </c>
      <c r="N708" t="s">
        <v>111</v>
      </c>
      <c r="O708">
        <v>250411</v>
      </c>
      <c r="P708">
        <v>92.43</v>
      </c>
      <c r="Q708"/>
    </row>
    <row r="709" spans="1:17" s="1" customFormat="1" x14ac:dyDescent="0.25">
      <c r="A709" t="s">
        <v>3296</v>
      </c>
      <c r="B709" t="s">
        <v>2931</v>
      </c>
      <c r="C709">
        <v>6078</v>
      </c>
      <c r="D709" t="str">
        <f>"502167345   "</f>
        <v xml:space="preserve">502167345   </v>
      </c>
      <c r="E709" t="s">
        <v>672</v>
      </c>
      <c r="F709" t="s">
        <v>673</v>
      </c>
      <c r="G709">
        <v>56</v>
      </c>
      <c r="H709">
        <v>250430</v>
      </c>
      <c r="I709">
        <v>4470</v>
      </c>
      <c r="J709" t="s">
        <v>203</v>
      </c>
      <c r="K709">
        <v>205</v>
      </c>
      <c r="L709">
        <v>11.38</v>
      </c>
      <c r="M709">
        <v>46564</v>
      </c>
      <c r="N709" t="s">
        <v>678</v>
      </c>
      <c r="O709">
        <v>250508</v>
      </c>
      <c r="P709">
        <v>44.62</v>
      </c>
      <c r="Q709"/>
    </row>
    <row r="710" spans="1:17" s="1" customFormat="1" x14ac:dyDescent="0.25">
      <c r="A710" t="s">
        <v>3296</v>
      </c>
      <c r="B710" t="s">
        <v>2931</v>
      </c>
      <c r="C710">
        <v>6078</v>
      </c>
      <c r="D710" t="str">
        <f>"502167345   "</f>
        <v xml:space="preserve">502167345   </v>
      </c>
      <c r="E710" t="s">
        <v>672</v>
      </c>
      <c r="F710" t="s">
        <v>673</v>
      </c>
      <c r="G710">
        <v>149</v>
      </c>
      <c r="H710">
        <v>250430</v>
      </c>
      <c r="I710">
        <v>4470</v>
      </c>
      <c r="J710" t="s">
        <v>203</v>
      </c>
      <c r="K710">
        <v>205</v>
      </c>
      <c r="L710">
        <v>30.27</v>
      </c>
      <c r="M710">
        <v>49701</v>
      </c>
      <c r="N710" t="s">
        <v>111</v>
      </c>
      <c r="O710">
        <v>250508</v>
      </c>
      <c r="P710">
        <v>118.73</v>
      </c>
      <c r="Q710"/>
    </row>
    <row r="711" spans="1:17" s="1" customFormat="1" x14ac:dyDescent="0.25">
      <c r="A711" t="s">
        <v>3296</v>
      </c>
      <c r="B711" t="s">
        <v>2931</v>
      </c>
      <c r="C711">
        <v>6874</v>
      </c>
      <c r="D711" t="str">
        <f>"502170581   "</f>
        <v xml:space="preserve">502170581   </v>
      </c>
      <c r="E711" t="s">
        <v>672</v>
      </c>
      <c r="F711" t="s">
        <v>673</v>
      </c>
      <c r="G711">
        <v>150</v>
      </c>
      <c r="H711">
        <v>250515</v>
      </c>
      <c r="I711">
        <v>4470</v>
      </c>
      <c r="J711" t="s">
        <v>203</v>
      </c>
      <c r="K711">
        <v>150</v>
      </c>
      <c r="L711">
        <v>30.48</v>
      </c>
      <c r="M711">
        <v>17527</v>
      </c>
      <c r="N711" t="s">
        <v>142</v>
      </c>
      <c r="O711">
        <v>250520</v>
      </c>
      <c r="P711">
        <v>119.52</v>
      </c>
      <c r="Q711"/>
    </row>
    <row r="712" spans="1:17" s="1" customFormat="1" x14ac:dyDescent="0.25">
      <c r="A712" t="s">
        <v>3296</v>
      </c>
      <c r="B712" t="s">
        <v>2931</v>
      </c>
      <c r="C712">
        <v>6877</v>
      </c>
      <c r="D712" t="str">
        <f>"502170070   "</f>
        <v xml:space="preserve">502170070   </v>
      </c>
      <c r="E712" t="s">
        <v>672</v>
      </c>
      <c r="F712" t="s">
        <v>673</v>
      </c>
      <c r="G712">
        <v>46</v>
      </c>
      <c r="H712">
        <v>250515</v>
      </c>
      <c r="I712">
        <v>4470</v>
      </c>
      <c r="J712" t="s">
        <v>203</v>
      </c>
      <c r="K712">
        <v>230</v>
      </c>
      <c r="L712">
        <v>9.35</v>
      </c>
      <c r="M712">
        <v>66756</v>
      </c>
      <c r="N712" t="s">
        <v>120</v>
      </c>
      <c r="O712">
        <v>250520</v>
      </c>
      <c r="P712">
        <v>36.65</v>
      </c>
      <c r="Q712"/>
    </row>
    <row r="713" spans="1:17" s="1" customFormat="1" x14ac:dyDescent="0.25">
      <c r="A713" t="s">
        <v>3296</v>
      </c>
      <c r="B713" t="s">
        <v>2931</v>
      </c>
      <c r="C713">
        <v>6877</v>
      </c>
      <c r="D713" t="str">
        <f>"502170070   "</f>
        <v xml:space="preserve">502170070   </v>
      </c>
      <c r="E713" t="s">
        <v>672</v>
      </c>
      <c r="F713" t="s">
        <v>673</v>
      </c>
      <c r="G713">
        <v>46</v>
      </c>
      <c r="H713">
        <v>250515</v>
      </c>
      <c r="I713">
        <v>4470</v>
      </c>
      <c r="J713" t="s">
        <v>203</v>
      </c>
      <c r="K713">
        <v>230</v>
      </c>
      <c r="L713">
        <v>9.35</v>
      </c>
      <c r="M713">
        <v>67522</v>
      </c>
      <c r="N713" t="s">
        <v>121</v>
      </c>
      <c r="O713">
        <v>250520</v>
      </c>
      <c r="P713">
        <v>36.65</v>
      </c>
      <c r="Q713"/>
    </row>
    <row r="714" spans="1:17" s="1" customFormat="1" x14ac:dyDescent="0.25">
      <c r="A714" t="s">
        <v>3296</v>
      </c>
      <c r="B714" t="s">
        <v>2931</v>
      </c>
      <c r="C714">
        <v>6877</v>
      </c>
      <c r="D714" t="str">
        <f>"502170070   "</f>
        <v xml:space="preserve">502170070   </v>
      </c>
      <c r="E714" t="s">
        <v>672</v>
      </c>
      <c r="F714" t="s">
        <v>673</v>
      </c>
      <c r="G714">
        <v>46</v>
      </c>
      <c r="H714">
        <v>250515</v>
      </c>
      <c r="I714">
        <v>4470</v>
      </c>
      <c r="J714" t="s">
        <v>203</v>
      </c>
      <c r="K714">
        <v>230</v>
      </c>
      <c r="L714">
        <v>9.35</v>
      </c>
      <c r="M714">
        <v>69111</v>
      </c>
      <c r="N714" t="s">
        <v>657</v>
      </c>
      <c r="O714">
        <v>250520</v>
      </c>
      <c r="P714">
        <v>36.65</v>
      </c>
      <c r="Q714"/>
    </row>
    <row r="715" spans="1:17" s="1" customFormat="1" x14ac:dyDescent="0.25">
      <c r="A715" t="s">
        <v>3296</v>
      </c>
      <c r="B715" t="s">
        <v>2931</v>
      </c>
      <c r="C715">
        <v>6877</v>
      </c>
      <c r="D715" t="str">
        <f>"502170070   "</f>
        <v xml:space="preserve">502170070   </v>
      </c>
      <c r="E715" t="s">
        <v>672</v>
      </c>
      <c r="F715" t="s">
        <v>673</v>
      </c>
      <c r="G715">
        <v>46</v>
      </c>
      <c r="H715">
        <v>250515</v>
      </c>
      <c r="I715">
        <v>4470</v>
      </c>
      <c r="J715" t="s">
        <v>203</v>
      </c>
      <c r="K715">
        <v>230</v>
      </c>
      <c r="L715">
        <v>9.35</v>
      </c>
      <c r="M715">
        <v>69501</v>
      </c>
      <c r="N715" t="s">
        <v>123</v>
      </c>
      <c r="O715">
        <v>250520</v>
      </c>
      <c r="P715">
        <v>36.65</v>
      </c>
      <c r="Q715"/>
    </row>
    <row r="716" spans="1:17" s="1" customFormat="1" x14ac:dyDescent="0.25">
      <c r="A716" t="s">
        <v>3296</v>
      </c>
      <c r="B716" t="s">
        <v>2931</v>
      </c>
      <c r="C716">
        <v>6877</v>
      </c>
      <c r="D716" t="str">
        <f>"502170070   "</f>
        <v xml:space="preserve">502170070   </v>
      </c>
      <c r="E716" t="s">
        <v>672</v>
      </c>
      <c r="F716" t="s">
        <v>673</v>
      </c>
      <c r="G716">
        <v>46</v>
      </c>
      <c r="H716">
        <v>250515</v>
      </c>
      <c r="I716">
        <v>4470</v>
      </c>
      <c r="J716" t="s">
        <v>203</v>
      </c>
      <c r="K716">
        <v>230</v>
      </c>
      <c r="L716">
        <v>9.35</v>
      </c>
      <c r="M716">
        <v>69702</v>
      </c>
      <c r="N716" t="s">
        <v>124</v>
      </c>
      <c r="O716">
        <v>250520</v>
      </c>
      <c r="P716">
        <v>36.65</v>
      </c>
      <c r="Q716"/>
    </row>
    <row r="717" spans="1:17" s="1" customFormat="1" x14ac:dyDescent="0.25">
      <c r="A717" t="s">
        <v>3296</v>
      </c>
      <c r="B717" t="s">
        <v>2931</v>
      </c>
      <c r="C717">
        <v>8027</v>
      </c>
      <c r="D717" t="str">
        <f>"502174097   "</f>
        <v xml:space="preserve">502174097   </v>
      </c>
      <c r="E717" t="s">
        <v>672</v>
      </c>
      <c r="F717" t="s">
        <v>673</v>
      </c>
      <c r="G717">
        <v>37</v>
      </c>
      <c r="H717">
        <v>250531</v>
      </c>
      <c r="I717">
        <v>4470</v>
      </c>
      <c r="J717" t="s">
        <v>203</v>
      </c>
      <c r="K717">
        <v>37</v>
      </c>
      <c r="L717">
        <v>7.52</v>
      </c>
      <c r="M717">
        <v>46564</v>
      </c>
      <c r="N717" t="s">
        <v>678</v>
      </c>
      <c r="O717">
        <v>250611</v>
      </c>
      <c r="P717">
        <v>29.48</v>
      </c>
      <c r="Q717"/>
    </row>
    <row r="718" spans="1:17" s="1" customFormat="1" x14ac:dyDescent="0.25">
      <c r="A718" t="s">
        <v>3296</v>
      </c>
      <c r="B718" t="s">
        <v>2931</v>
      </c>
      <c r="C718">
        <v>9312</v>
      </c>
      <c r="D718" t="str">
        <f>"502179435   "</f>
        <v xml:space="preserve">502179435   </v>
      </c>
      <c r="E718" t="s">
        <v>672</v>
      </c>
      <c r="F718" t="s">
        <v>673</v>
      </c>
      <c r="G718">
        <v>92</v>
      </c>
      <c r="H718">
        <v>250630</v>
      </c>
      <c r="I718">
        <v>4470</v>
      </c>
      <c r="J718" t="s">
        <v>203</v>
      </c>
      <c r="K718">
        <v>92</v>
      </c>
      <c r="L718">
        <v>18.690000000000001</v>
      </c>
      <c r="M718">
        <v>67554</v>
      </c>
      <c r="N718" t="s">
        <v>317</v>
      </c>
      <c r="O718">
        <v>250703</v>
      </c>
      <c r="P718">
        <v>73.31</v>
      </c>
      <c r="Q718"/>
    </row>
    <row r="719" spans="1:17" s="1" customFormat="1" x14ac:dyDescent="0.25">
      <c r="A719" t="s">
        <v>3296</v>
      </c>
      <c r="B719" t="s">
        <v>2931</v>
      </c>
      <c r="C719">
        <v>12943</v>
      </c>
      <c r="D719" t="str">
        <f>"502198506   "</f>
        <v xml:space="preserve">502198506   </v>
      </c>
      <c r="E719" t="s">
        <v>672</v>
      </c>
      <c r="F719" t="s">
        <v>673</v>
      </c>
      <c r="G719">
        <v>49.5</v>
      </c>
      <c r="H719">
        <v>250930</v>
      </c>
      <c r="I719">
        <v>4470</v>
      </c>
      <c r="J719" t="s">
        <v>203</v>
      </c>
      <c r="K719">
        <v>99</v>
      </c>
      <c r="L719">
        <v>10.06</v>
      </c>
      <c r="M719">
        <v>17131</v>
      </c>
      <c r="N719" t="s">
        <v>154</v>
      </c>
      <c r="O719">
        <v>251002</v>
      </c>
      <c r="P719">
        <v>39.44</v>
      </c>
      <c r="Q719"/>
    </row>
    <row r="720" spans="1:17" s="1" customFormat="1" x14ac:dyDescent="0.25">
      <c r="A720" t="s">
        <v>3296</v>
      </c>
      <c r="B720" t="s">
        <v>2931</v>
      </c>
      <c r="C720">
        <v>12943</v>
      </c>
      <c r="D720" t="str">
        <f>"502198506   "</f>
        <v xml:space="preserve">502198506   </v>
      </c>
      <c r="E720" t="s">
        <v>672</v>
      </c>
      <c r="F720" t="s">
        <v>673</v>
      </c>
      <c r="G720">
        <v>49.5</v>
      </c>
      <c r="H720">
        <v>250930</v>
      </c>
      <c r="I720">
        <v>4470</v>
      </c>
      <c r="J720" t="s">
        <v>203</v>
      </c>
      <c r="K720">
        <v>99</v>
      </c>
      <c r="L720">
        <v>10.06</v>
      </c>
      <c r="M720">
        <v>17711</v>
      </c>
      <c r="N720" t="s">
        <v>155</v>
      </c>
      <c r="O720">
        <v>251002</v>
      </c>
      <c r="P720">
        <v>39.44</v>
      </c>
      <c r="Q720"/>
    </row>
    <row r="721" spans="1:17" s="1" customFormat="1" x14ac:dyDescent="0.25">
      <c r="A721" t="s">
        <v>3296</v>
      </c>
      <c r="B721" t="s">
        <v>2931</v>
      </c>
      <c r="C721">
        <v>12944</v>
      </c>
      <c r="D721" t="str">
        <f>"502198781   "</f>
        <v xml:space="preserve">502198781   </v>
      </c>
      <c r="E721" t="s">
        <v>672</v>
      </c>
      <c r="F721" t="s">
        <v>673</v>
      </c>
      <c r="G721">
        <v>14.25</v>
      </c>
      <c r="H721">
        <v>250930</v>
      </c>
      <c r="I721">
        <v>4470</v>
      </c>
      <c r="J721" t="s">
        <v>203</v>
      </c>
      <c r="K721">
        <v>28.5</v>
      </c>
      <c r="L721">
        <v>2.9</v>
      </c>
      <c r="M721">
        <v>17131</v>
      </c>
      <c r="N721" t="s">
        <v>154</v>
      </c>
      <c r="O721">
        <v>251002</v>
      </c>
      <c r="P721">
        <v>11.35</v>
      </c>
      <c r="Q721"/>
    </row>
    <row r="722" spans="1:17" s="1" customFormat="1" x14ac:dyDescent="0.25">
      <c r="A722" t="s">
        <v>3296</v>
      </c>
      <c r="B722" t="s">
        <v>2931</v>
      </c>
      <c r="C722">
        <v>12944</v>
      </c>
      <c r="D722" t="str">
        <f>"502198781   "</f>
        <v xml:space="preserve">502198781   </v>
      </c>
      <c r="E722" t="s">
        <v>672</v>
      </c>
      <c r="F722" t="s">
        <v>673</v>
      </c>
      <c r="G722">
        <v>14.25</v>
      </c>
      <c r="H722">
        <v>250930</v>
      </c>
      <c r="I722">
        <v>4470</v>
      </c>
      <c r="J722" t="s">
        <v>203</v>
      </c>
      <c r="K722">
        <v>28.5</v>
      </c>
      <c r="L722">
        <v>2.9</v>
      </c>
      <c r="M722">
        <v>17711</v>
      </c>
      <c r="N722" t="s">
        <v>155</v>
      </c>
      <c r="O722">
        <v>251002</v>
      </c>
      <c r="P722">
        <v>11.35</v>
      </c>
      <c r="Q722"/>
    </row>
    <row r="723" spans="1:17" s="1" customFormat="1" x14ac:dyDescent="0.25">
      <c r="A723" t="s">
        <v>3296</v>
      </c>
      <c r="B723" t="s">
        <v>2931</v>
      </c>
      <c r="C723">
        <v>13126</v>
      </c>
      <c r="D723" t="str">
        <f>"502198780   "</f>
        <v xml:space="preserve">502198780   </v>
      </c>
      <c r="E723" t="s">
        <v>672</v>
      </c>
      <c r="F723" t="s">
        <v>673</v>
      </c>
      <c r="G723">
        <v>4.95</v>
      </c>
      <c r="H723">
        <v>250930</v>
      </c>
      <c r="I723">
        <v>4470</v>
      </c>
      <c r="J723" t="s">
        <v>203</v>
      </c>
      <c r="K723">
        <v>99</v>
      </c>
      <c r="L723">
        <v>1.01</v>
      </c>
      <c r="M723">
        <v>13501</v>
      </c>
      <c r="N723" t="s">
        <v>66</v>
      </c>
      <c r="O723">
        <v>251006</v>
      </c>
      <c r="P723">
        <v>3.94</v>
      </c>
      <c r="Q723"/>
    </row>
    <row r="724" spans="1:17" s="1" customFormat="1" x14ac:dyDescent="0.25">
      <c r="A724" t="s">
        <v>3296</v>
      </c>
      <c r="B724" t="s">
        <v>2931</v>
      </c>
      <c r="C724">
        <v>13126</v>
      </c>
      <c r="D724" t="str">
        <f>"502198780   "</f>
        <v xml:space="preserve">502198780   </v>
      </c>
      <c r="E724" t="s">
        <v>672</v>
      </c>
      <c r="F724" t="s">
        <v>673</v>
      </c>
      <c r="G724">
        <v>23.51</v>
      </c>
      <c r="H724">
        <v>250930</v>
      </c>
      <c r="I724">
        <v>4470</v>
      </c>
      <c r="J724" t="s">
        <v>203</v>
      </c>
      <c r="K724">
        <v>99</v>
      </c>
      <c r="L724">
        <v>4.78</v>
      </c>
      <c r="M724">
        <v>16121</v>
      </c>
      <c r="N724" t="s">
        <v>127</v>
      </c>
      <c r="O724">
        <v>251006</v>
      </c>
      <c r="P724">
        <v>18.73</v>
      </c>
      <c r="Q724"/>
    </row>
    <row r="725" spans="1:17" s="1" customFormat="1" x14ac:dyDescent="0.25">
      <c r="A725" t="s">
        <v>3296</v>
      </c>
      <c r="B725" t="s">
        <v>2931</v>
      </c>
      <c r="C725">
        <v>13126</v>
      </c>
      <c r="D725" t="str">
        <f>"502198780   "</f>
        <v xml:space="preserve">502198780   </v>
      </c>
      <c r="E725" t="s">
        <v>672</v>
      </c>
      <c r="F725" t="s">
        <v>673</v>
      </c>
      <c r="G725">
        <v>23.51</v>
      </c>
      <c r="H725">
        <v>250930</v>
      </c>
      <c r="I725">
        <v>4470</v>
      </c>
      <c r="J725" t="s">
        <v>203</v>
      </c>
      <c r="K725">
        <v>99</v>
      </c>
      <c r="L725">
        <v>4.78</v>
      </c>
      <c r="M725">
        <v>16820</v>
      </c>
      <c r="N725" t="s">
        <v>128</v>
      </c>
      <c r="O725">
        <v>251006</v>
      </c>
      <c r="P725">
        <v>18.73</v>
      </c>
      <c r="Q725"/>
    </row>
    <row r="726" spans="1:17" s="1" customFormat="1" x14ac:dyDescent="0.25">
      <c r="A726" t="s">
        <v>3296</v>
      </c>
      <c r="B726" t="s">
        <v>2931</v>
      </c>
      <c r="C726">
        <v>13126</v>
      </c>
      <c r="D726" t="str">
        <f>"502198780   "</f>
        <v xml:space="preserve">502198780   </v>
      </c>
      <c r="E726" t="s">
        <v>672</v>
      </c>
      <c r="F726" t="s">
        <v>673</v>
      </c>
      <c r="G726">
        <v>47.03</v>
      </c>
      <c r="H726">
        <v>250930</v>
      </c>
      <c r="I726">
        <v>4470</v>
      </c>
      <c r="J726" t="s">
        <v>203</v>
      </c>
      <c r="K726">
        <v>99</v>
      </c>
      <c r="L726">
        <v>9.56</v>
      </c>
      <c r="M726">
        <v>17538</v>
      </c>
      <c r="N726" t="s">
        <v>129</v>
      </c>
      <c r="O726">
        <v>251006</v>
      </c>
      <c r="P726">
        <v>37.47</v>
      </c>
      <c r="Q726"/>
    </row>
    <row r="727" spans="1:17" s="1" customFormat="1" x14ac:dyDescent="0.25">
      <c r="A727" t="s">
        <v>3296</v>
      </c>
      <c r="B727" t="s">
        <v>2931</v>
      </c>
      <c r="C727">
        <v>14824</v>
      </c>
      <c r="D727" t="str">
        <f>"502204347   "</f>
        <v xml:space="preserve">502204347   </v>
      </c>
      <c r="E727" t="s">
        <v>672</v>
      </c>
      <c r="F727" t="s">
        <v>673</v>
      </c>
      <c r="G727">
        <v>80</v>
      </c>
      <c r="H727">
        <v>251031</v>
      </c>
      <c r="I727">
        <v>4470</v>
      </c>
      <c r="J727" t="s">
        <v>203</v>
      </c>
      <c r="K727">
        <v>80</v>
      </c>
      <c r="L727">
        <v>16.25</v>
      </c>
      <c r="M727">
        <v>69501</v>
      </c>
      <c r="N727" t="s">
        <v>123</v>
      </c>
      <c r="O727">
        <v>251107</v>
      </c>
      <c r="P727">
        <v>63.75</v>
      </c>
      <c r="Q727"/>
    </row>
    <row r="728" spans="1:17" s="1" customFormat="1" x14ac:dyDescent="0.25">
      <c r="A728" t="s">
        <v>3296</v>
      </c>
      <c r="B728" t="s">
        <v>2931</v>
      </c>
      <c r="C728">
        <v>16261</v>
      </c>
      <c r="D728" t="str">
        <f>"502211086   "</f>
        <v xml:space="preserve">502211086   </v>
      </c>
      <c r="E728" t="s">
        <v>672</v>
      </c>
      <c r="F728" t="s">
        <v>673</v>
      </c>
      <c r="G728">
        <v>92</v>
      </c>
      <c r="H728">
        <v>251130</v>
      </c>
      <c r="I728">
        <v>4470</v>
      </c>
      <c r="J728" t="s">
        <v>203</v>
      </c>
      <c r="K728">
        <v>92</v>
      </c>
      <c r="L728">
        <v>18.690000000000001</v>
      </c>
      <c r="M728">
        <v>49701</v>
      </c>
      <c r="N728" t="s">
        <v>111</v>
      </c>
      <c r="O728">
        <v>251205</v>
      </c>
      <c r="P728">
        <v>73.31</v>
      </c>
      <c r="Q728"/>
    </row>
    <row r="729" spans="1:17" s="1" customFormat="1" x14ac:dyDescent="0.25">
      <c r="A729" t="s">
        <v>3296</v>
      </c>
      <c r="B729" t="s">
        <v>2931</v>
      </c>
      <c r="C729">
        <v>16483</v>
      </c>
      <c r="D729" t="str">
        <f>"502210282   "</f>
        <v xml:space="preserve">502210282   </v>
      </c>
      <c r="E729" t="s">
        <v>672</v>
      </c>
      <c r="F729" t="s">
        <v>673</v>
      </c>
      <c r="G729">
        <v>46</v>
      </c>
      <c r="H729">
        <v>251130</v>
      </c>
      <c r="I729">
        <v>4470</v>
      </c>
      <c r="J729" t="s">
        <v>203</v>
      </c>
      <c r="K729">
        <v>92</v>
      </c>
      <c r="L729">
        <v>9.35</v>
      </c>
      <c r="M729">
        <v>66756</v>
      </c>
      <c r="N729" t="s">
        <v>120</v>
      </c>
      <c r="O729">
        <v>251209</v>
      </c>
      <c r="P729">
        <v>36.65</v>
      </c>
      <c r="Q729"/>
    </row>
    <row r="730" spans="1:17" s="1" customFormat="1" x14ac:dyDescent="0.25">
      <c r="A730" t="s">
        <v>3296</v>
      </c>
      <c r="B730" t="s">
        <v>2931</v>
      </c>
      <c r="C730">
        <v>16483</v>
      </c>
      <c r="D730" t="str">
        <f>"502210282   "</f>
        <v xml:space="preserve">502210282   </v>
      </c>
      <c r="E730" t="s">
        <v>672</v>
      </c>
      <c r="F730" t="s">
        <v>673</v>
      </c>
      <c r="G730">
        <v>46</v>
      </c>
      <c r="H730">
        <v>251130</v>
      </c>
      <c r="I730">
        <v>4470</v>
      </c>
      <c r="J730" t="s">
        <v>203</v>
      </c>
      <c r="K730">
        <v>92</v>
      </c>
      <c r="L730">
        <v>9.35</v>
      </c>
      <c r="M730">
        <v>67522</v>
      </c>
      <c r="N730" t="s">
        <v>121</v>
      </c>
      <c r="O730">
        <v>251209</v>
      </c>
      <c r="P730">
        <v>36.65</v>
      </c>
      <c r="Q730"/>
    </row>
    <row r="731" spans="1:17" s="1" customFormat="1" x14ac:dyDescent="0.25">
      <c r="A731" t="s">
        <v>3296</v>
      </c>
      <c r="B731" t="s">
        <v>2931</v>
      </c>
      <c r="C731">
        <v>17995</v>
      </c>
      <c r="D731" t="str">
        <f>"502215014   "</f>
        <v xml:space="preserve">502215014   </v>
      </c>
      <c r="E731" t="s">
        <v>672</v>
      </c>
      <c r="F731" t="s">
        <v>673</v>
      </c>
      <c r="G731">
        <v>118</v>
      </c>
      <c r="H731">
        <v>251223</v>
      </c>
      <c r="I731">
        <v>4470</v>
      </c>
      <c r="J731" t="s">
        <v>203</v>
      </c>
      <c r="K731">
        <v>118</v>
      </c>
      <c r="L731">
        <v>23.98</v>
      </c>
      <c r="M731">
        <v>46564</v>
      </c>
      <c r="N731" t="s">
        <v>678</v>
      </c>
      <c r="O731">
        <v>260108</v>
      </c>
      <c r="P731">
        <v>94.02</v>
      </c>
      <c r="Q731"/>
    </row>
    <row r="732" spans="1:17" s="1" customFormat="1" x14ac:dyDescent="0.25">
      <c r="A732" t="s">
        <v>3296</v>
      </c>
      <c r="B732" t="s">
        <v>2931</v>
      </c>
      <c r="C732">
        <v>1719</v>
      </c>
      <c r="D732" t="str">
        <f>"502148634   "</f>
        <v xml:space="preserve">502148634   </v>
      </c>
      <c r="E732" t="s">
        <v>672</v>
      </c>
      <c r="F732" t="s">
        <v>673</v>
      </c>
      <c r="G732">
        <v>49.75</v>
      </c>
      <c r="H732">
        <v>250131</v>
      </c>
      <c r="I732">
        <v>4600</v>
      </c>
      <c r="J732" t="s">
        <v>278</v>
      </c>
      <c r="K732">
        <v>49.75</v>
      </c>
      <c r="L732">
        <v>10.11</v>
      </c>
      <c r="M732">
        <v>17812</v>
      </c>
      <c r="N732" t="s">
        <v>816</v>
      </c>
      <c r="O732">
        <v>250213</v>
      </c>
      <c r="P732">
        <v>39.64</v>
      </c>
      <c r="Q732"/>
    </row>
    <row r="733" spans="1:17" s="1" customFormat="1" x14ac:dyDescent="0.25">
      <c r="A733" t="s">
        <v>3296</v>
      </c>
      <c r="B733" t="s">
        <v>2931</v>
      </c>
      <c r="C733">
        <v>2791</v>
      </c>
      <c r="D733" t="str">
        <f>"502154629   "</f>
        <v xml:space="preserve">502154629   </v>
      </c>
      <c r="E733" t="s">
        <v>672</v>
      </c>
      <c r="F733" t="s">
        <v>673</v>
      </c>
      <c r="G733">
        <v>28.5</v>
      </c>
      <c r="H733">
        <v>250228</v>
      </c>
      <c r="I733">
        <v>4600</v>
      </c>
      <c r="J733" t="s">
        <v>278</v>
      </c>
      <c r="K733">
        <v>28.5</v>
      </c>
      <c r="L733">
        <v>5.79</v>
      </c>
      <c r="M733">
        <v>17802</v>
      </c>
      <c r="N733" t="s">
        <v>18</v>
      </c>
      <c r="O733">
        <v>250312</v>
      </c>
      <c r="P733">
        <v>22.71</v>
      </c>
      <c r="Q733"/>
    </row>
    <row r="734" spans="1:17" s="1" customFormat="1" x14ac:dyDescent="0.25">
      <c r="A734" t="s">
        <v>3296</v>
      </c>
      <c r="B734" t="s">
        <v>2931</v>
      </c>
      <c r="C734">
        <v>4403</v>
      </c>
      <c r="D734" t="str">
        <f>"502160847   "</f>
        <v xml:space="preserve">502160847   </v>
      </c>
      <c r="E734" t="s">
        <v>672</v>
      </c>
      <c r="F734" t="s">
        <v>673</v>
      </c>
      <c r="G734">
        <v>48.25</v>
      </c>
      <c r="H734">
        <v>250331</v>
      </c>
      <c r="I734">
        <v>4600</v>
      </c>
      <c r="J734" t="s">
        <v>278</v>
      </c>
      <c r="K734">
        <v>96.5</v>
      </c>
      <c r="L734">
        <v>9.8000000000000007</v>
      </c>
      <c r="M734">
        <v>17812</v>
      </c>
      <c r="N734" t="s">
        <v>816</v>
      </c>
      <c r="O734">
        <v>250411</v>
      </c>
      <c r="P734">
        <v>38.450000000000003</v>
      </c>
      <c r="Q734"/>
    </row>
    <row r="735" spans="1:17" s="1" customFormat="1" x14ac:dyDescent="0.25">
      <c r="A735" t="s">
        <v>3296</v>
      </c>
      <c r="B735" t="s">
        <v>2931</v>
      </c>
      <c r="C735">
        <v>11499</v>
      </c>
      <c r="D735" t="str">
        <f>"502192334   "</f>
        <v xml:space="preserve">502192334   </v>
      </c>
      <c r="E735" t="s">
        <v>672</v>
      </c>
      <c r="F735" t="s">
        <v>673</v>
      </c>
      <c r="G735">
        <v>73.75</v>
      </c>
      <c r="H735">
        <v>250831</v>
      </c>
      <c r="I735">
        <v>4600</v>
      </c>
      <c r="J735" t="s">
        <v>278</v>
      </c>
      <c r="K735">
        <v>154.30000000000001</v>
      </c>
      <c r="L735">
        <v>14.99</v>
      </c>
      <c r="M735">
        <v>17812</v>
      </c>
      <c r="N735" t="s">
        <v>816</v>
      </c>
      <c r="O735">
        <v>250905</v>
      </c>
      <c r="P735">
        <v>58.76</v>
      </c>
      <c r="Q735"/>
    </row>
    <row r="736" spans="1:17" s="1" customFormat="1" x14ac:dyDescent="0.25">
      <c r="A736" t="s">
        <v>3296</v>
      </c>
      <c r="B736" t="s">
        <v>2931</v>
      </c>
      <c r="C736">
        <v>14532</v>
      </c>
      <c r="D736" t="str">
        <f>"14706       "</f>
        <v xml:space="preserve">14706       </v>
      </c>
      <c r="E736" t="s">
        <v>2520</v>
      </c>
      <c r="F736" t="s">
        <v>2521</v>
      </c>
      <c r="G736">
        <v>36.4</v>
      </c>
      <c r="H736">
        <v>251030</v>
      </c>
      <c r="I736">
        <v>4580</v>
      </c>
      <c r="J736" t="s">
        <v>126</v>
      </c>
      <c r="K736">
        <v>36.4</v>
      </c>
      <c r="L736">
        <v>7.4</v>
      </c>
      <c r="M736">
        <v>17521</v>
      </c>
      <c r="N736" t="s">
        <v>136</v>
      </c>
      <c r="O736">
        <v>251104</v>
      </c>
      <c r="P736">
        <v>29</v>
      </c>
      <c r="Q736"/>
    </row>
    <row r="737" spans="1:17" s="1" customFormat="1" x14ac:dyDescent="0.25">
      <c r="A737" t="s">
        <v>3296</v>
      </c>
      <c r="B737" t="s">
        <v>2931</v>
      </c>
      <c r="C737">
        <v>15283</v>
      </c>
      <c r="D737" t="str">
        <f>"18917       "</f>
        <v xml:space="preserve">18917       </v>
      </c>
      <c r="E737" t="s">
        <v>2568</v>
      </c>
      <c r="F737" t="s">
        <v>2569</v>
      </c>
      <c r="G737">
        <v>778.93</v>
      </c>
      <c r="H737">
        <v>251031</v>
      </c>
      <c r="I737">
        <v>4860</v>
      </c>
      <c r="J737" t="s">
        <v>286</v>
      </c>
      <c r="K737">
        <v>778.93</v>
      </c>
      <c r="L737">
        <v>158.27000000000001</v>
      </c>
      <c r="M737">
        <v>11301</v>
      </c>
      <c r="N737" t="s">
        <v>92</v>
      </c>
      <c r="O737">
        <v>251117</v>
      </c>
      <c r="P737">
        <v>620.66</v>
      </c>
      <c r="Q737"/>
    </row>
    <row r="738" spans="1:17" s="1" customFormat="1" x14ac:dyDescent="0.25">
      <c r="A738" t="s">
        <v>3296</v>
      </c>
      <c r="B738" t="s">
        <v>2931</v>
      </c>
      <c r="C738">
        <v>6434</v>
      </c>
      <c r="D738" t="str">
        <f>"125/1975    "</f>
        <v xml:space="preserve">125/1975    </v>
      </c>
      <c r="E738" t="s">
        <v>990</v>
      </c>
      <c r="F738" t="s">
        <v>991</v>
      </c>
      <c r="G738">
        <v>495.72</v>
      </c>
      <c r="H738">
        <v>250507</v>
      </c>
      <c r="I738">
        <v>4346</v>
      </c>
      <c r="J738" t="s">
        <v>334</v>
      </c>
      <c r="K738">
        <v>495.72</v>
      </c>
      <c r="L738">
        <v>100.72</v>
      </c>
      <c r="M738">
        <v>49501</v>
      </c>
      <c r="N738" t="s">
        <v>110</v>
      </c>
      <c r="O738">
        <v>250513</v>
      </c>
      <c r="P738">
        <v>395</v>
      </c>
      <c r="Q738"/>
    </row>
    <row r="739" spans="1:17" s="1" customFormat="1" x14ac:dyDescent="0.25">
      <c r="A739" t="s">
        <v>3296</v>
      </c>
      <c r="B739" t="s">
        <v>2931</v>
      </c>
      <c r="C739">
        <v>6437</v>
      </c>
      <c r="D739" t="str">
        <f>"125/1961    "</f>
        <v xml:space="preserve">125/1961    </v>
      </c>
      <c r="E739" t="s">
        <v>990</v>
      </c>
      <c r="F739" t="s">
        <v>991</v>
      </c>
      <c r="G739">
        <v>614.95000000000005</v>
      </c>
      <c r="H739">
        <v>250507</v>
      </c>
      <c r="I739">
        <v>4346</v>
      </c>
      <c r="J739" t="s">
        <v>334</v>
      </c>
      <c r="K739">
        <v>614.95000000000005</v>
      </c>
      <c r="L739">
        <v>124.95</v>
      </c>
      <c r="M739">
        <v>49501</v>
      </c>
      <c r="N739" t="s">
        <v>110</v>
      </c>
      <c r="O739">
        <v>250513</v>
      </c>
      <c r="P739">
        <v>490</v>
      </c>
      <c r="Q739"/>
    </row>
    <row r="740" spans="1:17" s="1" customFormat="1" x14ac:dyDescent="0.25">
      <c r="A740" t="s">
        <v>3296</v>
      </c>
      <c r="B740" t="s">
        <v>2931</v>
      </c>
      <c r="C740">
        <v>14307</v>
      </c>
      <c r="D740" t="str">
        <f>"125/4533    "</f>
        <v xml:space="preserve">125/4533    </v>
      </c>
      <c r="E740" t="s">
        <v>990</v>
      </c>
      <c r="F740" t="s">
        <v>991</v>
      </c>
      <c r="G740">
        <v>602.4</v>
      </c>
      <c r="H740">
        <v>251022</v>
      </c>
      <c r="I740">
        <v>4390</v>
      </c>
      <c r="J740" t="s">
        <v>232</v>
      </c>
      <c r="K740">
        <v>602.4</v>
      </c>
      <c r="L740">
        <v>122.4</v>
      </c>
      <c r="M740">
        <v>59502</v>
      </c>
      <c r="N740" t="s">
        <v>63</v>
      </c>
      <c r="O740">
        <v>251029</v>
      </c>
      <c r="P740">
        <v>480</v>
      </c>
      <c r="Q740"/>
    </row>
    <row r="741" spans="1:17" s="1" customFormat="1" x14ac:dyDescent="0.25">
      <c r="A741" t="s">
        <v>3296</v>
      </c>
      <c r="B741" t="s">
        <v>2931</v>
      </c>
      <c r="C741">
        <v>1444</v>
      </c>
      <c r="D741" t="str">
        <f>"125/512     "</f>
        <v xml:space="preserve">125/512     </v>
      </c>
      <c r="E741" t="s">
        <v>990</v>
      </c>
      <c r="F741" t="s">
        <v>991</v>
      </c>
      <c r="G741">
        <v>884.77</v>
      </c>
      <c r="H741">
        <v>250206</v>
      </c>
      <c r="I741">
        <v>4470</v>
      </c>
      <c r="J741" t="s">
        <v>203</v>
      </c>
      <c r="K741">
        <v>884.77</v>
      </c>
      <c r="L741">
        <v>179.77</v>
      </c>
      <c r="M741">
        <v>17951</v>
      </c>
      <c r="N741" t="s">
        <v>207</v>
      </c>
      <c r="O741">
        <v>250210</v>
      </c>
      <c r="P741">
        <v>705</v>
      </c>
      <c r="Q741"/>
    </row>
    <row r="742" spans="1:17" s="1" customFormat="1" x14ac:dyDescent="0.25">
      <c r="A742" t="s">
        <v>3296</v>
      </c>
      <c r="B742" t="s">
        <v>2931</v>
      </c>
      <c r="C742">
        <v>5594</v>
      </c>
      <c r="D742" t="str">
        <f>"963         "</f>
        <v xml:space="preserve">963         </v>
      </c>
      <c r="E742" t="s">
        <v>1766</v>
      </c>
      <c r="F742" t="s">
        <v>1767</v>
      </c>
      <c r="G742">
        <v>963.42</v>
      </c>
      <c r="H742">
        <v>250409</v>
      </c>
      <c r="I742">
        <v>4440</v>
      </c>
      <c r="J742" t="s">
        <v>346</v>
      </c>
      <c r="K742">
        <v>1926.84</v>
      </c>
      <c r="L742">
        <v>195.75</v>
      </c>
      <c r="M742">
        <v>13901</v>
      </c>
      <c r="N742" t="s">
        <v>116</v>
      </c>
      <c r="O742">
        <v>250425</v>
      </c>
      <c r="P742">
        <v>767.67</v>
      </c>
      <c r="Q742"/>
    </row>
    <row r="743" spans="1:17" s="1" customFormat="1" x14ac:dyDescent="0.25">
      <c r="A743" t="s">
        <v>3296</v>
      </c>
      <c r="B743" t="s">
        <v>2931</v>
      </c>
      <c r="C743">
        <v>5594</v>
      </c>
      <c r="D743" t="str">
        <f>"963         "</f>
        <v xml:space="preserve">963         </v>
      </c>
      <c r="E743" t="s">
        <v>1766</v>
      </c>
      <c r="F743" t="s">
        <v>1767</v>
      </c>
      <c r="G743">
        <v>963.42</v>
      </c>
      <c r="H743">
        <v>250409</v>
      </c>
      <c r="I743">
        <v>4440</v>
      </c>
      <c r="J743" t="s">
        <v>346</v>
      </c>
      <c r="K743">
        <v>1926.84</v>
      </c>
      <c r="L743">
        <v>195.75</v>
      </c>
      <c r="M743">
        <v>13901</v>
      </c>
      <c r="N743" t="s">
        <v>116</v>
      </c>
      <c r="O743">
        <v>250425</v>
      </c>
      <c r="P743">
        <v>767.67</v>
      </c>
      <c r="Q743"/>
    </row>
    <row r="744" spans="1:17" s="1" customFormat="1" x14ac:dyDescent="0.25">
      <c r="A744" t="s">
        <v>3296</v>
      </c>
      <c r="B744" t="s">
        <v>2931</v>
      </c>
      <c r="C744">
        <v>9808</v>
      </c>
      <c r="D744" t="str">
        <f>"S3078081    "</f>
        <v xml:space="preserve">S3078081    </v>
      </c>
      <c r="E744" t="s">
        <v>2148</v>
      </c>
      <c r="F744" t="s">
        <v>2149</v>
      </c>
      <c r="G744">
        <v>24.95</v>
      </c>
      <c r="H744">
        <v>250707</v>
      </c>
      <c r="I744">
        <v>4510</v>
      </c>
      <c r="J744" t="s">
        <v>240</v>
      </c>
      <c r="K744">
        <v>24.95</v>
      </c>
      <c r="L744">
        <v>2.27</v>
      </c>
      <c r="M744">
        <v>13802</v>
      </c>
      <c r="N744" t="s">
        <v>34</v>
      </c>
      <c r="O744">
        <v>250729</v>
      </c>
      <c r="P744">
        <v>22.68</v>
      </c>
      <c r="Q744"/>
    </row>
    <row r="745" spans="1:17" s="1" customFormat="1" x14ac:dyDescent="0.25">
      <c r="A745" t="s">
        <v>3296</v>
      </c>
      <c r="B745" t="s">
        <v>2931</v>
      </c>
      <c r="C745">
        <v>10613</v>
      </c>
      <c r="D745" t="str">
        <f>"S3078081/2  "</f>
        <v xml:space="preserve">S3078081/2  </v>
      </c>
      <c r="E745" t="s">
        <v>2148</v>
      </c>
      <c r="F745" t="s">
        <v>2149</v>
      </c>
      <c r="G745">
        <v>24.95</v>
      </c>
      <c r="H745">
        <v>250811</v>
      </c>
      <c r="I745">
        <v>4510</v>
      </c>
      <c r="J745" t="s">
        <v>240</v>
      </c>
      <c r="K745">
        <v>24.95</v>
      </c>
      <c r="L745">
        <v>2.27</v>
      </c>
      <c r="M745">
        <v>13802</v>
      </c>
      <c r="N745" t="s">
        <v>34</v>
      </c>
      <c r="O745">
        <v>250820</v>
      </c>
      <c r="P745">
        <v>22.68</v>
      </c>
      <c r="Q745"/>
    </row>
    <row r="746" spans="1:17" s="1" customFormat="1" x14ac:dyDescent="0.25">
      <c r="A746" t="s">
        <v>3296</v>
      </c>
      <c r="B746" t="s">
        <v>2931</v>
      </c>
      <c r="C746">
        <v>13153</v>
      </c>
      <c r="D746" t="str">
        <f>"S3700809    "</f>
        <v xml:space="preserve">S3700809    </v>
      </c>
      <c r="E746" t="s">
        <v>2148</v>
      </c>
      <c r="F746" t="s">
        <v>2149</v>
      </c>
      <c r="G746">
        <v>24.97</v>
      </c>
      <c r="H746">
        <v>251001</v>
      </c>
      <c r="I746">
        <v>4510</v>
      </c>
      <c r="J746" t="s">
        <v>240</v>
      </c>
      <c r="K746">
        <v>24.97</v>
      </c>
      <c r="L746">
        <v>2.27</v>
      </c>
      <c r="M746">
        <v>56559</v>
      </c>
      <c r="N746" t="s">
        <v>51</v>
      </c>
      <c r="O746">
        <v>251006</v>
      </c>
      <c r="P746">
        <v>22.7</v>
      </c>
      <c r="Q746"/>
    </row>
    <row r="747" spans="1:17" s="1" customFormat="1" x14ac:dyDescent="0.25">
      <c r="A747" t="s">
        <v>3296</v>
      </c>
      <c r="B747" t="s">
        <v>2931</v>
      </c>
      <c r="C747">
        <v>14868</v>
      </c>
      <c r="D747" t="str">
        <f>"S3700809/2  "</f>
        <v xml:space="preserve">S3700809/2  </v>
      </c>
      <c r="E747" t="s">
        <v>2148</v>
      </c>
      <c r="F747" t="s">
        <v>2149</v>
      </c>
      <c r="G747">
        <v>24.97</v>
      </c>
      <c r="H747">
        <v>251103</v>
      </c>
      <c r="I747">
        <v>4510</v>
      </c>
      <c r="J747" t="s">
        <v>240</v>
      </c>
      <c r="K747">
        <v>24.97</v>
      </c>
      <c r="L747">
        <v>2.27</v>
      </c>
      <c r="M747">
        <v>56559</v>
      </c>
      <c r="N747" t="s">
        <v>51</v>
      </c>
      <c r="O747">
        <v>251107</v>
      </c>
      <c r="P747">
        <v>22.7</v>
      </c>
      <c r="Q747"/>
    </row>
    <row r="748" spans="1:17" s="1" customFormat="1" x14ac:dyDescent="0.25">
      <c r="A748" t="s">
        <v>3296</v>
      </c>
      <c r="B748" t="s">
        <v>2931</v>
      </c>
      <c r="C748">
        <v>16752</v>
      </c>
      <c r="D748" t="str">
        <f>"S3700809 3/3"</f>
        <v>S3700809 3/3</v>
      </c>
      <c r="E748" t="s">
        <v>2148</v>
      </c>
      <c r="F748" t="s">
        <v>2149</v>
      </c>
      <c r="G748">
        <v>24.96</v>
      </c>
      <c r="H748">
        <v>251203</v>
      </c>
      <c r="I748">
        <v>4510</v>
      </c>
      <c r="J748" t="s">
        <v>240</v>
      </c>
      <c r="K748">
        <v>24.96</v>
      </c>
      <c r="L748">
        <v>2.27</v>
      </c>
      <c r="M748">
        <v>56559</v>
      </c>
      <c r="N748" t="s">
        <v>51</v>
      </c>
      <c r="O748">
        <v>251211</v>
      </c>
      <c r="P748">
        <v>22.69</v>
      </c>
      <c r="Q748"/>
    </row>
    <row r="749" spans="1:17" s="1" customFormat="1" x14ac:dyDescent="0.25">
      <c r="A749" t="s">
        <v>3296</v>
      </c>
      <c r="B749" t="s">
        <v>2931</v>
      </c>
      <c r="C749">
        <v>9462</v>
      </c>
      <c r="D749" t="str">
        <f>"2001927     "</f>
        <v xml:space="preserve">2001927     </v>
      </c>
      <c r="E749" t="s">
        <v>2128</v>
      </c>
      <c r="F749" t="s">
        <v>2129</v>
      </c>
      <c r="G749">
        <v>92</v>
      </c>
      <c r="H749">
        <v>250625</v>
      </c>
      <c r="I749">
        <v>4410</v>
      </c>
      <c r="J749" t="s">
        <v>165</v>
      </c>
      <c r="K749">
        <v>92</v>
      </c>
      <c r="L749">
        <v>0</v>
      </c>
      <c r="M749">
        <v>11001</v>
      </c>
      <c r="N749" t="s">
        <v>93</v>
      </c>
      <c r="O749">
        <v>250708</v>
      </c>
      <c r="P749">
        <v>92</v>
      </c>
      <c r="Q749"/>
    </row>
    <row r="750" spans="1:17" s="1" customFormat="1" x14ac:dyDescent="0.25">
      <c r="A750" t="s">
        <v>3296</v>
      </c>
      <c r="B750" t="s">
        <v>2931</v>
      </c>
      <c r="C750">
        <v>11958</v>
      </c>
      <c r="D750" t="str">
        <f>"2002050     "</f>
        <v xml:space="preserve">2002050     </v>
      </c>
      <c r="E750" t="s">
        <v>2128</v>
      </c>
      <c r="F750" t="s">
        <v>2129</v>
      </c>
      <c r="G750">
        <v>1800</v>
      </c>
      <c r="H750">
        <v>250905</v>
      </c>
      <c r="I750">
        <v>4410</v>
      </c>
      <c r="J750" t="s">
        <v>165</v>
      </c>
      <c r="K750">
        <v>1800</v>
      </c>
      <c r="L750">
        <v>0</v>
      </c>
      <c r="M750">
        <v>11001</v>
      </c>
      <c r="N750" t="s">
        <v>93</v>
      </c>
      <c r="O750">
        <v>250912</v>
      </c>
      <c r="P750">
        <v>1800</v>
      </c>
      <c r="Q750"/>
    </row>
    <row r="751" spans="1:17" s="1" customFormat="1" x14ac:dyDescent="0.25">
      <c r="A751" t="s">
        <v>3296</v>
      </c>
      <c r="B751" t="s">
        <v>2931</v>
      </c>
      <c r="C751">
        <v>12922</v>
      </c>
      <c r="D751" t="str">
        <f>"2002077     "</f>
        <v xml:space="preserve">2002077     </v>
      </c>
      <c r="E751" t="s">
        <v>2128</v>
      </c>
      <c r="F751" t="s">
        <v>2129</v>
      </c>
      <c r="G751">
        <v>208</v>
      </c>
      <c r="H751">
        <v>250918</v>
      </c>
      <c r="I751">
        <v>4410</v>
      </c>
      <c r="J751" t="s">
        <v>165</v>
      </c>
      <c r="K751">
        <v>208</v>
      </c>
      <c r="L751">
        <v>25.54</v>
      </c>
      <c r="M751">
        <v>14986</v>
      </c>
      <c r="N751" t="s">
        <v>2405</v>
      </c>
      <c r="O751">
        <v>251002</v>
      </c>
      <c r="P751">
        <v>182.46</v>
      </c>
      <c r="Q751"/>
    </row>
    <row r="752" spans="1:17" s="1" customFormat="1" x14ac:dyDescent="0.25">
      <c r="A752" t="s">
        <v>3296</v>
      </c>
      <c r="B752" t="s">
        <v>2931</v>
      </c>
      <c r="C752">
        <v>13506</v>
      </c>
      <c r="D752" t="str">
        <f>"2002105     "</f>
        <v xml:space="preserve">2002105     </v>
      </c>
      <c r="E752" t="s">
        <v>2128</v>
      </c>
      <c r="F752" t="s">
        <v>2129</v>
      </c>
      <c r="G752">
        <v>150</v>
      </c>
      <c r="H752">
        <v>250930</v>
      </c>
      <c r="I752">
        <v>4410</v>
      </c>
      <c r="J752" t="s">
        <v>165</v>
      </c>
      <c r="K752">
        <v>150</v>
      </c>
      <c r="L752">
        <v>18.420000000000002</v>
      </c>
      <c r="M752">
        <v>11603</v>
      </c>
      <c r="N752" t="s">
        <v>897</v>
      </c>
      <c r="O752">
        <v>251010</v>
      </c>
      <c r="P752">
        <v>131.58000000000001</v>
      </c>
      <c r="Q752"/>
    </row>
    <row r="753" spans="1:17" s="1" customFormat="1" x14ac:dyDescent="0.25">
      <c r="A753" t="s">
        <v>3296</v>
      </c>
      <c r="B753" t="s">
        <v>2931</v>
      </c>
      <c r="C753">
        <v>14919</v>
      </c>
      <c r="D753" t="str">
        <f>"2002168     "</f>
        <v xml:space="preserve">2002168     </v>
      </c>
      <c r="E753" t="s">
        <v>2128</v>
      </c>
      <c r="F753" t="s">
        <v>2129</v>
      </c>
      <c r="G753">
        <v>93.6</v>
      </c>
      <c r="H753">
        <v>251030</v>
      </c>
      <c r="I753">
        <v>4410</v>
      </c>
      <c r="J753" t="s">
        <v>165</v>
      </c>
      <c r="K753">
        <v>93.6</v>
      </c>
      <c r="L753">
        <v>11.49</v>
      </c>
      <c r="M753">
        <v>11001</v>
      </c>
      <c r="N753" t="s">
        <v>93</v>
      </c>
      <c r="O753">
        <v>251110</v>
      </c>
      <c r="P753">
        <v>82.11</v>
      </c>
      <c r="Q753"/>
    </row>
    <row r="754" spans="1:17" s="1" customFormat="1" x14ac:dyDescent="0.25">
      <c r="A754" t="s">
        <v>3296</v>
      </c>
      <c r="B754" t="s">
        <v>2931</v>
      </c>
      <c r="C754">
        <v>16034</v>
      </c>
      <c r="D754" t="str">
        <f>"2002227     "</f>
        <v xml:space="preserve">2002227     </v>
      </c>
      <c r="E754" t="s">
        <v>2128</v>
      </c>
      <c r="F754" t="s">
        <v>2129</v>
      </c>
      <c r="G754">
        <v>359</v>
      </c>
      <c r="H754">
        <v>251114</v>
      </c>
      <c r="I754">
        <v>4410</v>
      </c>
      <c r="J754" t="s">
        <v>165</v>
      </c>
      <c r="K754">
        <v>359</v>
      </c>
      <c r="L754">
        <v>0</v>
      </c>
      <c r="M754">
        <v>10002</v>
      </c>
      <c r="N754" t="s">
        <v>513</v>
      </c>
      <c r="O754">
        <v>251202</v>
      </c>
      <c r="P754">
        <v>359</v>
      </c>
      <c r="Q754"/>
    </row>
    <row r="755" spans="1:17" s="1" customFormat="1" x14ac:dyDescent="0.25">
      <c r="A755" t="s">
        <v>3296</v>
      </c>
      <c r="B755" t="s">
        <v>2931</v>
      </c>
      <c r="C755">
        <v>14021</v>
      </c>
      <c r="D755" t="str">
        <f>"2002121     "</f>
        <v xml:space="preserve">2002121     </v>
      </c>
      <c r="E755" t="s">
        <v>2128</v>
      </c>
      <c r="F755" t="s">
        <v>2129</v>
      </c>
      <c r="G755">
        <v>70.400000000000006</v>
      </c>
      <c r="H755">
        <v>251007</v>
      </c>
      <c r="I755">
        <v>4520</v>
      </c>
      <c r="J755" t="s">
        <v>280</v>
      </c>
      <c r="K755">
        <v>70.400000000000006</v>
      </c>
      <c r="L755">
        <v>8.65</v>
      </c>
      <c r="M755">
        <v>14986</v>
      </c>
      <c r="N755" t="s">
        <v>2405</v>
      </c>
      <c r="O755">
        <v>251022</v>
      </c>
      <c r="P755">
        <v>61.75</v>
      </c>
      <c r="Q755"/>
    </row>
    <row r="756" spans="1:17" s="1" customFormat="1" x14ac:dyDescent="0.25">
      <c r="A756" t="s">
        <v>3296</v>
      </c>
      <c r="B756" t="s">
        <v>2931</v>
      </c>
      <c r="C756">
        <v>10451</v>
      </c>
      <c r="D756" t="str">
        <f>"10256034    "</f>
        <v xml:space="preserve">10256034    </v>
      </c>
      <c r="E756" t="s">
        <v>2193</v>
      </c>
      <c r="F756" t="s">
        <v>2194</v>
      </c>
      <c r="G756">
        <v>1303.6099999999999</v>
      </c>
      <c r="H756">
        <v>250812</v>
      </c>
      <c r="I756">
        <v>4600</v>
      </c>
      <c r="J756" t="s">
        <v>278</v>
      </c>
      <c r="K756">
        <v>1303.6099999999999</v>
      </c>
      <c r="L756">
        <v>264.88</v>
      </c>
      <c r="M756">
        <v>17521</v>
      </c>
      <c r="N756" t="s">
        <v>136</v>
      </c>
      <c r="O756">
        <v>250819</v>
      </c>
      <c r="P756">
        <v>1038.73</v>
      </c>
      <c r="Q756"/>
    </row>
    <row r="757" spans="1:17" s="1" customFormat="1" x14ac:dyDescent="0.25">
      <c r="A757" t="s">
        <v>3296</v>
      </c>
      <c r="B757" t="s">
        <v>2931</v>
      </c>
      <c r="C757">
        <v>2772</v>
      </c>
      <c r="D757" t="str">
        <f>"05559       "</f>
        <v xml:space="preserve">05559       </v>
      </c>
      <c r="E757" t="s">
        <v>1350</v>
      </c>
      <c r="F757" t="s">
        <v>1352</v>
      </c>
      <c r="G757">
        <v>9367.82</v>
      </c>
      <c r="H757">
        <v>250310</v>
      </c>
      <c r="I757">
        <v>1198</v>
      </c>
      <c r="J757" t="s">
        <v>610</v>
      </c>
      <c r="K757">
        <v>9367.82</v>
      </c>
      <c r="L757">
        <v>1903.42</v>
      </c>
      <c r="M757">
        <v>97627</v>
      </c>
      <c r="N757" t="s">
        <v>1351</v>
      </c>
      <c r="O757">
        <v>250312</v>
      </c>
      <c r="P757">
        <v>7464.4</v>
      </c>
      <c r="Q757"/>
    </row>
    <row r="758" spans="1:17" s="1" customFormat="1" x14ac:dyDescent="0.25">
      <c r="A758" t="s">
        <v>3296</v>
      </c>
      <c r="B758" t="s">
        <v>2931</v>
      </c>
      <c r="C758">
        <v>11736</v>
      </c>
      <c r="D758" t="str">
        <f>"05972       "</f>
        <v xml:space="preserve">05972       </v>
      </c>
      <c r="E758" t="s">
        <v>1350</v>
      </c>
      <c r="F758" t="s">
        <v>1352</v>
      </c>
      <c r="G758">
        <v>9367.82</v>
      </c>
      <c r="H758">
        <v>250905</v>
      </c>
      <c r="I758">
        <v>1198</v>
      </c>
      <c r="J758" t="s">
        <v>610</v>
      </c>
      <c r="K758">
        <v>9367.82</v>
      </c>
      <c r="L758">
        <v>1903.42</v>
      </c>
      <c r="M758">
        <v>97627</v>
      </c>
      <c r="N758" t="s">
        <v>1351</v>
      </c>
      <c r="O758">
        <v>250910</v>
      </c>
      <c r="P758">
        <v>7464.4</v>
      </c>
      <c r="Q758"/>
    </row>
    <row r="759" spans="1:17" s="1" customFormat="1" x14ac:dyDescent="0.25">
      <c r="A759" t="s">
        <v>3296</v>
      </c>
      <c r="B759" t="s">
        <v>2931</v>
      </c>
      <c r="C759">
        <v>5758</v>
      </c>
      <c r="D759" t="str">
        <f>"1116        "</f>
        <v xml:space="preserve">1116        </v>
      </c>
      <c r="E759" t="s">
        <v>1797</v>
      </c>
      <c r="F759" t="s">
        <v>1798</v>
      </c>
      <c r="G759">
        <v>184.26</v>
      </c>
      <c r="H759">
        <v>250414</v>
      </c>
      <c r="I759">
        <v>4410</v>
      </c>
      <c r="J759" t="s">
        <v>165</v>
      </c>
      <c r="K759">
        <v>859.9</v>
      </c>
      <c r="L759">
        <v>22.63</v>
      </c>
      <c r="M759">
        <v>16431</v>
      </c>
      <c r="N759" t="s">
        <v>17</v>
      </c>
      <c r="O759">
        <v>250430</v>
      </c>
      <c r="P759">
        <v>161.63</v>
      </c>
      <c r="Q759"/>
    </row>
    <row r="760" spans="1:17" s="1" customFormat="1" x14ac:dyDescent="0.25">
      <c r="A760" t="s">
        <v>3296</v>
      </c>
      <c r="B760" t="s">
        <v>2931</v>
      </c>
      <c r="C760">
        <v>5758</v>
      </c>
      <c r="D760" t="str">
        <f>"1116        "</f>
        <v xml:space="preserve">1116        </v>
      </c>
      <c r="E760" t="s">
        <v>1797</v>
      </c>
      <c r="F760" t="s">
        <v>1798</v>
      </c>
      <c r="G760">
        <v>307.08999999999997</v>
      </c>
      <c r="H760">
        <v>250414</v>
      </c>
      <c r="I760">
        <v>4410</v>
      </c>
      <c r="J760" t="s">
        <v>165</v>
      </c>
      <c r="K760">
        <v>859.9</v>
      </c>
      <c r="L760">
        <v>37.71</v>
      </c>
      <c r="M760">
        <v>44222</v>
      </c>
      <c r="N760" t="s">
        <v>96</v>
      </c>
      <c r="O760">
        <v>250430</v>
      </c>
      <c r="P760">
        <v>269.38</v>
      </c>
      <c r="Q760"/>
    </row>
    <row r="761" spans="1:17" s="1" customFormat="1" x14ac:dyDescent="0.25">
      <c r="A761" t="s">
        <v>3296</v>
      </c>
      <c r="B761" t="s">
        <v>2931</v>
      </c>
      <c r="C761">
        <v>5758</v>
      </c>
      <c r="D761" t="str">
        <f>"1116        "</f>
        <v xml:space="preserve">1116        </v>
      </c>
      <c r="E761" t="s">
        <v>1797</v>
      </c>
      <c r="F761" t="s">
        <v>1798</v>
      </c>
      <c r="G761">
        <v>122.85</v>
      </c>
      <c r="H761">
        <v>250414</v>
      </c>
      <c r="I761">
        <v>4410</v>
      </c>
      <c r="J761" t="s">
        <v>165</v>
      </c>
      <c r="K761">
        <v>859.9</v>
      </c>
      <c r="L761">
        <v>15.09</v>
      </c>
      <c r="M761">
        <v>54422</v>
      </c>
      <c r="N761" t="s">
        <v>49</v>
      </c>
      <c r="O761">
        <v>250430</v>
      </c>
      <c r="P761">
        <v>107.76</v>
      </c>
      <c r="Q761"/>
    </row>
    <row r="762" spans="1:17" s="1" customFormat="1" x14ac:dyDescent="0.25">
      <c r="A762" t="s">
        <v>3296</v>
      </c>
      <c r="B762" t="s">
        <v>2931</v>
      </c>
      <c r="C762">
        <v>5758</v>
      </c>
      <c r="D762" t="str">
        <f>"1116        "</f>
        <v xml:space="preserve">1116        </v>
      </c>
      <c r="E762" t="s">
        <v>1797</v>
      </c>
      <c r="F762" t="s">
        <v>1798</v>
      </c>
      <c r="G762">
        <v>245.7</v>
      </c>
      <c r="H762">
        <v>250414</v>
      </c>
      <c r="I762">
        <v>4412</v>
      </c>
      <c r="J762" t="s">
        <v>884</v>
      </c>
      <c r="K762">
        <v>859.9</v>
      </c>
      <c r="L762">
        <v>30.17</v>
      </c>
      <c r="M762">
        <v>14422</v>
      </c>
      <c r="N762" t="s">
        <v>73</v>
      </c>
      <c r="O762">
        <v>250430</v>
      </c>
      <c r="P762">
        <v>215.53</v>
      </c>
      <c r="Q762"/>
    </row>
    <row r="763" spans="1:17" s="1" customFormat="1" x14ac:dyDescent="0.25">
      <c r="A763" t="s">
        <v>3296</v>
      </c>
      <c r="B763" t="s">
        <v>2931</v>
      </c>
      <c r="C763">
        <v>7308</v>
      </c>
      <c r="D763" t="str">
        <f>"298813      "</f>
        <v xml:space="preserve">298813      </v>
      </c>
      <c r="E763" t="s">
        <v>1945</v>
      </c>
      <c r="F763" t="s">
        <v>1946</v>
      </c>
      <c r="G763">
        <v>9450</v>
      </c>
      <c r="H763">
        <v>250526</v>
      </c>
      <c r="I763">
        <v>4580</v>
      </c>
      <c r="J763" t="s">
        <v>126</v>
      </c>
      <c r="K763">
        <v>9450</v>
      </c>
      <c r="L763">
        <v>1920.12</v>
      </c>
      <c r="M763">
        <v>67554</v>
      </c>
      <c r="N763" t="s">
        <v>317</v>
      </c>
      <c r="O763">
        <v>250603</v>
      </c>
      <c r="P763">
        <v>7529.88</v>
      </c>
      <c r="Q763"/>
    </row>
    <row r="764" spans="1:17" s="1" customFormat="1" x14ac:dyDescent="0.25">
      <c r="A764" t="s">
        <v>3296</v>
      </c>
      <c r="B764" t="s">
        <v>2931</v>
      </c>
      <c r="C764">
        <v>15655</v>
      </c>
      <c r="D764" t="str">
        <f>"686         "</f>
        <v xml:space="preserve">686         </v>
      </c>
      <c r="E764" t="s">
        <v>2600</v>
      </c>
      <c r="F764" t="s">
        <v>2601</v>
      </c>
      <c r="G764">
        <v>7762.9</v>
      </c>
      <c r="H764">
        <v>251119</v>
      </c>
      <c r="I764">
        <v>4390</v>
      </c>
      <c r="J764" t="s">
        <v>232</v>
      </c>
      <c r="K764">
        <v>7762.9</v>
      </c>
      <c r="L764">
        <v>0</v>
      </c>
      <c r="M764">
        <v>17952</v>
      </c>
      <c r="N764" t="s">
        <v>157</v>
      </c>
      <c r="O764">
        <v>251124</v>
      </c>
      <c r="P764">
        <v>7762.9</v>
      </c>
      <c r="Q764"/>
    </row>
    <row r="765" spans="1:17" s="1" customFormat="1" x14ac:dyDescent="0.25">
      <c r="A765" t="s">
        <v>3296</v>
      </c>
      <c r="B765" t="s">
        <v>2931</v>
      </c>
      <c r="C765">
        <v>16063</v>
      </c>
      <c r="D765" t="str">
        <f>"695         "</f>
        <v xml:space="preserve">695         </v>
      </c>
      <c r="E765" t="s">
        <v>2600</v>
      </c>
      <c r="F765" t="s">
        <v>2601</v>
      </c>
      <c r="G765">
        <v>549.79999999999995</v>
      </c>
      <c r="H765">
        <v>251129</v>
      </c>
      <c r="I765">
        <v>4390</v>
      </c>
      <c r="J765" t="s">
        <v>232</v>
      </c>
      <c r="K765">
        <v>549.79999999999995</v>
      </c>
      <c r="L765">
        <v>0</v>
      </c>
      <c r="M765">
        <v>17950</v>
      </c>
      <c r="N765" t="s">
        <v>132</v>
      </c>
      <c r="O765">
        <v>251203</v>
      </c>
      <c r="P765">
        <v>549.79999999999995</v>
      </c>
      <c r="Q765"/>
    </row>
    <row r="766" spans="1:17" s="1" customFormat="1" x14ac:dyDescent="0.25">
      <c r="A766" t="s">
        <v>3296</v>
      </c>
      <c r="B766" t="s">
        <v>2931</v>
      </c>
      <c r="C766">
        <v>2532</v>
      </c>
      <c r="D766" t="str">
        <f>"21080       "</f>
        <v xml:space="preserve">21080       </v>
      </c>
      <c r="E766" t="s">
        <v>1302</v>
      </c>
      <c r="F766" t="s">
        <v>1303</v>
      </c>
      <c r="G766">
        <v>47.09</v>
      </c>
      <c r="H766">
        <v>250220</v>
      </c>
      <c r="I766">
        <v>4600</v>
      </c>
      <c r="J766" t="s">
        <v>278</v>
      </c>
      <c r="K766">
        <v>47.09</v>
      </c>
      <c r="L766">
        <v>9.57</v>
      </c>
      <c r="M766">
        <v>17809</v>
      </c>
      <c r="N766" t="s">
        <v>25</v>
      </c>
      <c r="O766">
        <v>250303</v>
      </c>
      <c r="P766">
        <v>37.520000000000003</v>
      </c>
      <c r="Q766"/>
    </row>
    <row r="767" spans="1:17" s="1" customFormat="1" x14ac:dyDescent="0.25">
      <c r="A767" t="s">
        <v>3296</v>
      </c>
      <c r="B767" t="s">
        <v>2931</v>
      </c>
      <c r="C767">
        <v>5849</v>
      </c>
      <c r="D767" t="str">
        <f>"3604086781  "</f>
        <v xml:space="preserve">3604086781  </v>
      </c>
      <c r="E767" t="s">
        <v>2863</v>
      </c>
      <c r="F767" t="s">
        <v>2864</v>
      </c>
      <c r="G767">
        <v>105</v>
      </c>
      <c r="H767">
        <v>250423</v>
      </c>
      <c r="I767">
        <v>4940</v>
      </c>
      <c r="J767" t="s">
        <v>250</v>
      </c>
      <c r="K767">
        <v>105</v>
      </c>
      <c r="L767">
        <v>0</v>
      </c>
      <c r="M767">
        <v>14432</v>
      </c>
      <c r="N767" t="s">
        <v>75</v>
      </c>
      <c r="O767">
        <v>250505</v>
      </c>
      <c r="P767">
        <v>105</v>
      </c>
      <c r="Q767"/>
    </row>
    <row r="768" spans="1:17" s="1" customFormat="1" x14ac:dyDescent="0.25">
      <c r="A768" t="s">
        <v>3296</v>
      </c>
      <c r="B768" t="s">
        <v>2931</v>
      </c>
      <c r="C768">
        <v>5766</v>
      </c>
      <c r="D768" t="str">
        <f>"5000031465  "</f>
        <v xml:space="preserve">5000031465  </v>
      </c>
      <c r="E768" t="s">
        <v>1634</v>
      </c>
      <c r="F768" t="s">
        <v>1635</v>
      </c>
      <c r="G768">
        <v>315.43</v>
      </c>
      <c r="H768">
        <v>250423</v>
      </c>
      <c r="I768">
        <v>4580</v>
      </c>
      <c r="J768" t="s">
        <v>126</v>
      </c>
      <c r="K768">
        <v>315.43</v>
      </c>
      <c r="L768">
        <v>64.09</v>
      </c>
      <c r="M768">
        <v>17521</v>
      </c>
      <c r="N768" t="s">
        <v>136</v>
      </c>
      <c r="O768">
        <v>250430</v>
      </c>
      <c r="P768">
        <v>251.34</v>
      </c>
      <c r="Q768"/>
    </row>
    <row r="769" spans="1:17" s="1" customFormat="1" x14ac:dyDescent="0.25">
      <c r="A769" t="s">
        <v>3296</v>
      </c>
      <c r="B769" t="s">
        <v>2931</v>
      </c>
      <c r="C769">
        <v>4529</v>
      </c>
      <c r="D769" t="str">
        <f>"5000030489  "</f>
        <v xml:space="preserve">5000030489  </v>
      </c>
      <c r="E769" t="s">
        <v>1634</v>
      </c>
      <c r="F769" t="s">
        <v>1635</v>
      </c>
      <c r="G769">
        <v>373.04</v>
      </c>
      <c r="H769">
        <v>250401</v>
      </c>
      <c r="I769">
        <v>4600</v>
      </c>
      <c r="J769" t="s">
        <v>278</v>
      </c>
      <c r="K769">
        <v>373.04</v>
      </c>
      <c r="L769">
        <v>75.8</v>
      </c>
      <c r="M769">
        <v>17521</v>
      </c>
      <c r="N769" t="s">
        <v>136</v>
      </c>
      <c r="O769">
        <v>250414</v>
      </c>
      <c r="P769">
        <v>297.24</v>
      </c>
      <c r="Q769"/>
    </row>
    <row r="770" spans="1:17" s="1" customFormat="1" x14ac:dyDescent="0.25">
      <c r="A770" t="s">
        <v>3296</v>
      </c>
      <c r="B770" t="s">
        <v>2931</v>
      </c>
      <c r="C770">
        <v>16699</v>
      </c>
      <c r="D770" t="str">
        <f>"5000041866  "</f>
        <v xml:space="preserve">5000041866  </v>
      </c>
      <c r="E770" t="s">
        <v>1634</v>
      </c>
      <c r="F770" t="s">
        <v>1635</v>
      </c>
      <c r="G770">
        <v>700.74</v>
      </c>
      <c r="H770">
        <v>251208</v>
      </c>
      <c r="I770">
        <v>4600</v>
      </c>
      <c r="J770" t="s">
        <v>278</v>
      </c>
      <c r="K770">
        <v>700.74</v>
      </c>
      <c r="L770">
        <v>142.38</v>
      </c>
      <c r="M770">
        <v>17521</v>
      </c>
      <c r="N770" t="s">
        <v>136</v>
      </c>
      <c r="O770">
        <v>251211</v>
      </c>
      <c r="P770">
        <v>558.36</v>
      </c>
      <c r="Q770"/>
    </row>
    <row r="771" spans="1:17" s="1" customFormat="1" x14ac:dyDescent="0.25">
      <c r="A771" t="s">
        <v>3296</v>
      </c>
      <c r="B771" t="s">
        <v>2931</v>
      </c>
      <c r="C771">
        <v>5518</v>
      </c>
      <c r="D771" t="str">
        <f>"2500058     "</f>
        <v xml:space="preserve">2500058     </v>
      </c>
      <c r="E771" t="s">
        <v>3065</v>
      </c>
      <c r="F771" t="s">
        <v>3066</v>
      </c>
      <c r="G771">
        <v>105.4</v>
      </c>
      <c r="H771">
        <v>250417</v>
      </c>
      <c r="I771">
        <v>4441</v>
      </c>
      <c r="J771" t="s">
        <v>234</v>
      </c>
      <c r="K771">
        <v>105.4</v>
      </c>
      <c r="L771">
        <v>21.42</v>
      </c>
      <c r="M771">
        <v>17527</v>
      </c>
      <c r="N771" t="s">
        <v>142</v>
      </c>
      <c r="O771">
        <v>250425</v>
      </c>
      <c r="P771">
        <v>83.98</v>
      </c>
      <c r="Q771"/>
    </row>
    <row r="772" spans="1:17" s="1" customFormat="1" x14ac:dyDescent="0.25">
      <c r="A772" t="s">
        <v>3296</v>
      </c>
      <c r="B772" t="s">
        <v>2931</v>
      </c>
      <c r="C772">
        <v>13751</v>
      </c>
      <c r="D772" t="str">
        <f>"2469        "</f>
        <v xml:space="preserve">2469        </v>
      </c>
      <c r="E772" t="s">
        <v>1898</v>
      </c>
      <c r="F772" t="s">
        <v>1899</v>
      </c>
      <c r="G772">
        <v>363.95</v>
      </c>
      <c r="H772">
        <v>251009</v>
      </c>
      <c r="I772">
        <v>4412</v>
      </c>
      <c r="J772" t="s">
        <v>884</v>
      </c>
      <c r="K772">
        <v>363.95</v>
      </c>
      <c r="L772">
        <v>73.95</v>
      </c>
      <c r="M772">
        <v>11301</v>
      </c>
      <c r="N772" t="s">
        <v>92</v>
      </c>
      <c r="O772">
        <v>251017</v>
      </c>
      <c r="P772">
        <v>290</v>
      </c>
      <c r="Q772"/>
    </row>
    <row r="773" spans="1:17" s="1" customFormat="1" x14ac:dyDescent="0.25">
      <c r="A773" t="s">
        <v>3296</v>
      </c>
      <c r="B773" t="s">
        <v>2931</v>
      </c>
      <c r="C773">
        <v>11167</v>
      </c>
      <c r="D773" t="str">
        <f>"2452        "</f>
        <v xml:space="preserve">2452        </v>
      </c>
      <c r="E773" t="s">
        <v>1898</v>
      </c>
      <c r="F773" t="s">
        <v>1899</v>
      </c>
      <c r="G773">
        <v>119.23</v>
      </c>
      <c r="H773">
        <v>250828</v>
      </c>
      <c r="I773">
        <v>4425</v>
      </c>
      <c r="J773" t="s">
        <v>870</v>
      </c>
      <c r="K773">
        <v>119.23</v>
      </c>
      <c r="L773">
        <v>24.23</v>
      </c>
      <c r="M773">
        <v>11301</v>
      </c>
      <c r="N773" t="s">
        <v>92</v>
      </c>
      <c r="O773">
        <v>250901</v>
      </c>
      <c r="P773">
        <v>95</v>
      </c>
      <c r="Q773"/>
    </row>
    <row r="774" spans="1:17" s="1" customFormat="1" x14ac:dyDescent="0.25">
      <c r="A774" t="s">
        <v>3296</v>
      </c>
      <c r="B774" t="s">
        <v>2931</v>
      </c>
      <c r="C774">
        <v>6858</v>
      </c>
      <c r="D774" t="str">
        <f>"2341        "</f>
        <v xml:space="preserve">2341        </v>
      </c>
      <c r="E774" t="s">
        <v>1898</v>
      </c>
      <c r="F774" t="s">
        <v>1899</v>
      </c>
      <c r="G774">
        <v>338.85</v>
      </c>
      <c r="H774">
        <v>250514</v>
      </c>
      <c r="I774">
        <v>4440</v>
      </c>
      <c r="J774" t="s">
        <v>346</v>
      </c>
      <c r="K774">
        <v>338.85</v>
      </c>
      <c r="L774">
        <v>68.849999999999994</v>
      </c>
      <c r="M774">
        <v>11501</v>
      </c>
      <c r="N774" t="s">
        <v>13</v>
      </c>
      <c r="O774">
        <v>250519</v>
      </c>
      <c r="P774">
        <v>270</v>
      </c>
      <c r="Q774"/>
    </row>
    <row r="775" spans="1:17" s="1" customFormat="1" x14ac:dyDescent="0.25">
      <c r="A775" t="s">
        <v>3296</v>
      </c>
      <c r="B775" t="s">
        <v>2931</v>
      </c>
      <c r="C775">
        <v>9039</v>
      </c>
      <c r="D775" t="str">
        <f>"2428        "</f>
        <v xml:space="preserve">2428        </v>
      </c>
      <c r="E775" t="s">
        <v>1898</v>
      </c>
      <c r="F775" t="s">
        <v>1899</v>
      </c>
      <c r="G775">
        <v>803.2</v>
      </c>
      <c r="H775">
        <v>250613</v>
      </c>
      <c r="I775">
        <v>4440</v>
      </c>
      <c r="J775" t="s">
        <v>346</v>
      </c>
      <c r="K775">
        <v>803.2</v>
      </c>
      <c r="L775">
        <v>163.19999999999999</v>
      </c>
      <c r="M775">
        <v>17913</v>
      </c>
      <c r="N775" t="s">
        <v>26</v>
      </c>
      <c r="O775">
        <v>250626</v>
      </c>
      <c r="P775">
        <v>640</v>
      </c>
      <c r="Q775"/>
    </row>
    <row r="776" spans="1:17" s="1" customFormat="1" x14ac:dyDescent="0.25">
      <c r="A776" t="s">
        <v>3296</v>
      </c>
      <c r="B776" t="s">
        <v>2931</v>
      </c>
      <c r="C776">
        <v>8815</v>
      </c>
      <c r="D776" t="str">
        <f>"2397        "</f>
        <v xml:space="preserve">2397        </v>
      </c>
      <c r="E776" t="s">
        <v>1898</v>
      </c>
      <c r="F776" t="s">
        <v>1899</v>
      </c>
      <c r="G776">
        <v>583.58000000000004</v>
      </c>
      <c r="H776">
        <v>250612</v>
      </c>
      <c r="I776">
        <v>4441</v>
      </c>
      <c r="J776" t="s">
        <v>234</v>
      </c>
      <c r="K776">
        <v>583.58000000000004</v>
      </c>
      <c r="L776">
        <v>118.58</v>
      </c>
      <c r="M776">
        <v>11101</v>
      </c>
      <c r="N776" t="s">
        <v>67</v>
      </c>
      <c r="O776">
        <v>250618</v>
      </c>
      <c r="P776">
        <v>465</v>
      </c>
      <c r="Q776"/>
    </row>
    <row r="777" spans="1:17" s="1" customFormat="1" x14ac:dyDescent="0.25">
      <c r="A777" t="s">
        <v>3296</v>
      </c>
      <c r="B777" t="s">
        <v>2931</v>
      </c>
      <c r="C777">
        <v>9044</v>
      </c>
      <c r="D777" t="str">
        <f>"2431        "</f>
        <v xml:space="preserve">2431        </v>
      </c>
      <c r="E777" t="s">
        <v>1898</v>
      </c>
      <c r="F777" t="s">
        <v>1899</v>
      </c>
      <c r="G777">
        <v>401.6</v>
      </c>
      <c r="H777">
        <v>250613</v>
      </c>
      <c r="I777">
        <v>4441</v>
      </c>
      <c r="J777" t="s">
        <v>234</v>
      </c>
      <c r="K777">
        <v>401.6</v>
      </c>
      <c r="L777">
        <v>81.599999999999994</v>
      </c>
      <c r="M777">
        <v>54451</v>
      </c>
      <c r="N777" t="s">
        <v>218</v>
      </c>
      <c r="O777">
        <v>250626</v>
      </c>
      <c r="P777">
        <v>320</v>
      </c>
      <c r="Q777"/>
    </row>
    <row r="778" spans="1:17" s="1" customFormat="1" x14ac:dyDescent="0.25">
      <c r="A778" t="s">
        <v>3296</v>
      </c>
      <c r="B778" t="s">
        <v>2931</v>
      </c>
      <c r="C778">
        <v>1831</v>
      </c>
      <c r="D778" t="str">
        <f>"1/070225    "</f>
        <v xml:space="preserve">1/070225    </v>
      </c>
      <c r="E778" t="s">
        <v>1139</v>
      </c>
      <c r="F778" t="s">
        <v>1140</v>
      </c>
      <c r="G778">
        <v>232</v>
      </c>
      <c r="H778">
        <v>250207</v>
      </c>
      <c r="I778">
        <v>4441</v>
      </c>
      <c r="J778" t="s">
        <v>234</v>
      </c>
      <c r="K778">
        <v>232</v>
      </c>
      <c r="L778">
        <v>0</v>
      </c>
      <c r="M778">
        <v>54222</v>
      </c>
      <c r="N778" t="s">
        <v>48</v>
      </c>
      <c r="O778">
        <v>250214</v>
      </c>
      <c r="P778">
        <v>232</v>
      </c>
      <c r="Q778"/>
    </row>
    <row r="779" spans="1:17" s="1" customFormat="1" x14ac:dyDescent="0.25">
      <c r="A779" t="s">
        <v>3296</v>
      </c>
      <c r="B779" t="s">
        <v>2931</v>
      </c>
      <c r="C779">
        <v>7845</v>
      </c>
      <c r="D779" t="str">
        <f>"210         "</f>
        <v xml:space="preserve">210         </v>
      </c>
      <c r="E779" t="s">
        <v>1997</v>
      </c>
      <c r="F779" t="s">
        <v>1998</v>
      </c>
      <c r="G779">
        <v>4392.5</v>
      </c>
      <c r="H779">
        <v>250530</v>
      </c>
      <c r="I779">
        <v>4346</v>
      </c>
      <c r="J779" t="s">
        <v>334</v>
      </c>
      <c r="K779">
        <v>4392.5</v>
      </c>
      <c r="L779">
        <v>892.5</v>
      </c>
      <c r="M779">
        <v>11903</v>
      </c>
      <c r="N779" t="s">
        <v>32</v>
      </c>
      <c r="O779">
        <v>250609</v>
      </c>
      <c r="P779">
        <v>3500</v>
      </c>
      <c r="Q779"/>
    </row>
    <row r="780" spans="1:17" s="1" customFormat="1" x14ac:dyDescent="0.25">
      <c r="A780" t="s">
        <v>3296</v>
      </c>
      <c r="B780" t="s">
        <v>2931</v>
      </c>
      <c r="C780">
        <v>11912</v>
      </c>
      <c r="D780" t="str">
        <f>"232         "</f>
        <v xml:space="preserve">232         </v>
      </c>
      <c r="E780" t="s">
        <v>1997</v>
      </c>
      <c r="F780" t="s">
        <v>1998</v>
      </c>
      <c r="G780">
        <v>1458</v>
      </c>
      <c r="H780">
        <v>250831</v>
      </c>
      <c r="I780">
        <v>4367</v>
      </c>
      <c r="J780" t="s">
        <v>159</v>
      </c>
      <c r="K780">
        <v>4392.5</v>
      </c>
      <c r="L780">
        <v>296.25</v>
      </c>
      <c r="M780">
        <v>18972</v>
      </c>
      <c r="N780" t="s">
        <v>39</v>
      </c>
      <c r="O780">
        <v>250912</v>
      </c>
      <c r="P780">
        <v>1161.75</v>
      </c>
      <c r="Q780"/>
    </row>
    <row r="781" spans="1:17" s="1" customFormat="1" x14ac:dyDescent="0.25">
      <c r="A781" t="s">
        <v>3296</v>
      </c>
      <c r="B781" t="s">
        <v>2931</v>
      </c>
      <c r="C781">
        <v>16343</v>
      </c>
      <c r="D781" t="str">
        <f>"246         "</f>
        <v xml:space="preserve">246         </v>
      </c>
      <c r="E781" t="s">
        <v>1997</v>
      </c>
      <c r="F781" t="s">
        <v>1998</v>
      </c>
      <c r="G781">
        <v>847.13</v>
      </c>
      <c r="H781">
        <v>251128</v>
      </c>
      <c r="I781">
        <v>4367</v>
      </c>
      <c r="J781" t="s">
        <v>159</v>
      </c>
      <c r="K781">
        <v>847.13</v>
      </c>
      <c r="L781">
        <v>172.13</v>
      </c>
      <c r="M781">
        <v>18972</v>
      </c>
      <c r="N781" t="s">
        <v>39</v>
      </c>
      <c r="O781">
        <v>251208</v>
      </c>
      <c r="P781">
        <v>675</v>
      </c>
      <c r="Q781"/>
    </row>
    <row r="782" spans="1:17" s="1" customFormat="1" x14ac:dyDescent="0.25">
      <c r="A782" t="s">
        <v>3296</v>
      </c>
      <c r="B782" t="s">
        <v>2931</v>
      </c>
      <c r="C782">
        <v>12018</v>
      </c>
      <c r="D782" t="str">
        <f>"37510       "</f>
        <v xml:space="preserve">37510       </v>
      </c>
      <c r="E782" t="s">
        <v>1215</v>
      </c>
      <c r="F782" t="s">
        <v>1216</v>
      </c>
      <c r="G782">
        <v>103.39</v>
      </c>
      <c r="H782">
        <v>250909</v>
      </c>
      <c r="I782">
        <v>1196</v>
      </c>
      <c r="J782" t="s">
        <v>340</v>
      </c>
      <c r="K782">
        <v>103.39</v>
      </c>
      <c r="L782">
        <v>21.01</v>
      </c>
      <c r="M782">
        <v>97604</v>
      </c>
      <c r="N782" t="s">
        <v>341</v>
      </c>
      <c r="O782">
        <v>250915</v>
      </c>
      <c r="P782">
        <v>82.38</v>
      </c>
      <c r="Q782"/>
    </row>
    <row r="783" spans="1:17" s="1" customFormat="1" x14ac:dyDescent="0.25">
      <c r="A783" t="s">
        <v>3296</v>
      </c>
      <c r="B783" t="s">
        <v>2931</v>
      </c>
      <c r="C783">
        <v>2197</v>
      </c>
      <c r="D783" t="str">
        <f>"37021       "</f>
        <v xml:space="preserve">37021       </v>
      </c>
      <c r="E783" t="s">
        <v>1215</v>
      </c>
      <c r="F783" t="s">
        <v>1216</v>
      </c>
      <c r="G783">
        <v>377.67</v>
      </c>
      <c r="H783">
        <v>250219</v>
      </c>
      <c r="I783">
        <v>4390</v>
      </c>
      <c r="J783" t="s">
        <v>232</v>
      </c>
      <c r="K783">
        <v>377.67</v>
      </c>
      <c r="L783">
        <v>0</v>
      </c>
      <c r="M783">
        <v>17952</v>
      </c>
      <c r="N783" t="s">
        <v>157</v>
      </c>
      <c r="O783">
        <v>250221</v>
      </c>
      <c r="P783">
        <v>377.67</v>
      </c>
      <c r="Q783"/>
    </row>
    <row r="784" spans="1:17" s="1" customFormat="1" x14ac:dyDescent="0.25">
      <c r="A784" t="s">
        <v>3296</v>
      </c>
      <c r="B784" t="s">
        <v>2931</v>
      </c>
      <c r="C784">
        <v>2530</v>
      </c>
      <c r="D784" t="str">
        <f>"37037       "</f>
        <v xml:space="preserve">37037       </v>
      </c>
      <c r="E784" t="s">
        <v>1215</v>
      </c>
      <c r="F784" t="s">
        <v>1216</v>
      </c>
      <c r="G784">
        <v>39.1</v>
      </c>
      <c r="H784">
        <v>250227</v>
      </c>
      <c r="I784">
        <v>4390</v>
      </c>
      <c r="J784" t="s">
        <v>232</v>
      </c>
      <c r="K784">
        <v>355.49</v>
      </c>
      <c r="L784">
        <v>0</v>
      </c>
      <c r="M784">
        <v>13540</v>
      </c>
      <c r="N784" t="s">
        <v>131</v>
      </c>
      <c r="O784">
        <v>250303</v>
      </c>
      <c r="P784">
        <v>39.1</v>
      </c>
      <c r="Q784"/>
    </row>
    <row r="785" spans="1:17" s="1" customFormat="1" x14ac:dyDescent="0.25">
      <c r="A785" t="s">
        <v>3296</v>
      </c>
      <c r="B785" t="s">
        <v>2931</v>
      </c>
      <c r="C785">
        <v>2530</v>
      </c>
      <c r="D785" t="str">
        <f>"37037       "</f>
        <v xml:space="preserve">37037       </v>
      </c>
      <c r="E785" t="s">
        <v>1215</v>
      </c>
      <c r="F785" t="s">
        <v>1216</v>
      </c>
      <c r="G785">
        <v>316.39</v>
      </c>
      <c r="H785">
        <v>250227</v>
      </c>
      <c r="I785">
        <v>4390</v>
      </c>
      <c r="J785" t="s">
        <v>232</v>
      </c>
      <c r="K785">
        <v>355.49</v>
      </c>
      <c r="L785">
        <v>0</v>
      </c>
      <c r="M785">
        <v>17950</v>
      </c>
      <c r="N785" t="s">
        <v>132</v>
      </c>
      <c r="O785">
        <v>250303</v>
      </c>
      <c r="P785">
        <v>316.39</v>
      </c>
      <c r="Q785"/>
    </row>
    <row r="786" spans="1:17" s="1" customFormat="1" x14ac:dyDescent="0.25">
      <c r="A786" t="s">
        <v>3296</v>
      </c>
      <c r="B786" t="s">
        <v>2931</v>
      </c>
      <c r="C786">
        <v>4185</v>
      </c>
      <c r="D786" t="str">
        <f>"37109       "</f>
        <v xml:space="preserve">37109       </v>
      </c>
      <c r="E786" t="s">
        <v>1215</v>
      </c>
      <c r="F786" t="s">
        <v>1216</v>
      </c>
      <c r="G786">
        <v>146.08000000000001</v>
      </c>
      <c r="H786">
        <v>250403</v>
      </c>
      <c r="I786">
        <v>4390</v>
      </c>
      <c r="J786" t="s">
        <v>232</v>
      </c>
      <c r="K786">
        <v>146.08000000000001</v>
      </c>
      <c r="L786">
        <v>0</v>
      </c>
      <c r="M786">
        <v>17952</v>
      </c>
      <c r="N786" t="s">
        <v>157</v>
      </c>
      <c r="O786">
        <v>250408</v>
      </c>
      <c r="P786">
        <v>146.08000000000001</v>
      </c>
      <c r="Q786"/>
    </row>
    <row r="787" spans="1:17" s="1" customFormat="1" x14ac:dyDescent="0.25">
      <c r="A787" t="s">
        <v>3296</v>
      </c>
      <c r="B787" t="s">
        <v>2931</v>
      </c>
      <c r="C787">
        <v>6064</v>
      </c>
      <c r="D787" t="str">
        <f>"37198       "</f>
        <v xml:space="preserve">37198       </v>
      </c>
      <c r="E787" t="s">
        <v>1215</v>
      </c>
      <c r="F787" t="s">
        <v>1216</v>
      </c>
      <c r="G787">
        <v>244.71</v>
      </c>
      <c r="H787">
        <v>250507</v>
      </c>
      <c r="I787">
        <v>4390</v>
      </c>
      <c r="J787" t="s">
        <v>232</v>
      </c>
      <c r="K787">
        <v>244.71</v>
      </c>
      <c r="L787">
        <v>0</v>
      </c>
      <c r="M787">
        <v>17952</v>
      </c>
      <c r="N787" t="s">
        <v>157</v>
      </c>
      <c r="O787">
        <v>250508</v>
      </c>
      <c r="P787">
        <v>244.71</v>
      </c>
      <c r="Q787"/>
    </row>
    <row r="788" spans="1:17" s="1" customFormat="1" x14ac:dyDescent="0.25">
      <c r="A788" t="s">
        <v>3296</v>
      </c>
      <c r="B788" t="s">
        <v>2931</v>
      </c>
      <c r="C788">
        <v>6247</v>
      </c>
      <c r="D788" t="str">
        <f>"37204       "</f>
        <v xml:space="preserve">37204       </v>
      </c>
      <c r="E788" t="s">
        <v>1215</v>
      </c>
      <c r="F788" t="s">
        <v>1216</v>
      </c>
      <c r="G788">
        <v>128.93</v>
      </c>
      <c r="H788">
        <v>250510</v>
      </c>
      <c r="I788">
        <v>4390</v>
      </c>
      <c r="J788" t="s">
        <v>232</v>
      </c>
      <c r="K788">
        <v>128.93</v>
      </c>
      <c r="L788">
        <v>0</v>
      </c>
      <c r="M788">
        <v>17952</v>
      </c>
      <c r="N788" t="s">
        <v>157</v>
      </c>
      <c r="O788">
        <v>250512</v>
      </c>
      <c r="P788">
        <v>128.93</v>
      </c>
      <c r="Q788"/>
    </row>
    <row r="789" spans="1:17" s="1" customFormat="1" x14ac:dyDescent="0.25">
      <c r="A789" t="s">
        <v>3296</v>
      </c>
      <c r="B789" t="s">
        <v>2931</v>
      </c>
      <c r="C789">
        <v>7837</v>
      </c>
      <c r="D789" t="str">
        <f>"37251       "</f>
        <v xml:space="preserve">37251       </v>
      </c>
      <c r="E789" t="s">
        <v>1215</v>
      </c>
      <c r="F789" t="s">
        <v>1216</v>
      </c>
      <c r="G789">
        <v>95.33</v>
      </c>
      <c r="H789">
        <v>250531</v>
      </c>
      <c r="I789">
        <v>4390</v>
      </c>
      <c r="J789" t="s">
        <v>232</v>
      </c>
      <c r="K789">
        <v>95.33</v>
      </c>
      <c r="L789">
        <v>0</v>
      </c>
      <c r="M789">
        <v>17950</v>
      </c>
      <c r="N789" t="s">
        <v>132</v>
      </c>
      <c r="O789">
        <v>250609</v>
      </c>
      <c r="P789">
        <v>95.33</v>
      </c>
      <c r="Q789"/>
    </row>
    <row r="790" spans="1:17" s="1" customFormat="1" x14ac:dyDescent="0.25">
      <c r="A790" t="s">
        <v>3296</v>
      </c>
      <c r="B790" t="s">
        <v>2931</v>
      </c>
      <c r="C790">
        <v>7844</v>
      </c>
      <c r="D790" t="str">
        <f>"37252       "</f>
        <v xml:space="preserve">37252       </v>
      </c>
      <c r="E790" t="s">
        <v>1215</v>
      </c>
      <c r="F790" t="s">
        <v>1216</v>
      </c>
      <c r="G790">
        <v>136.16</v>
      </c>
      <c r="H790">
        <v>250606</v>
      </c>
      <c r="I790">
        <v>4390</v>
      </c>
      <c r="J790" t="s">
        <v>232</v>
      </c>
      <c r="K790">
        <v>136.16</v>
      </c>
      <c r="L790">
        <v>0</v>
      </c>
      <c r="M790">
        <v>17950</v>
      </c>
      <c r="N790" t="s">
        <v>132</v>
      </c>
      <c r="O790">
        <v>250609</v>
      </c>
      <c r="P790">
        <v>136.16</v>
      </c>
      <c r="Q790"/>
    </row>
    <row r="791" spans="1:17" s="1" customFormat="1" x14ac:dyDescent="0.25">
      <c r="A791" t="s">
        <v>3296</v>
      </c>
      <c r="B791" t="s">
        <v>2931</v>
      </c>
      <c r="C791">
        <v>7896</v>
      </c>
      <c r="D791" t="str">
        <f>"37247       "</f>
        <v xml:space="preserve">37247       </v>
      </c>
      <c r="E791" t="s">
        <v>1215</v>
      </c>
      <c r="F791" t="s">
        <v>1216</v>
      </c>
      <c r="G791">
        <v>199.41</v>
      </c>
      <c r="H791">
        <v>250606</v>
      </c>
      <c r="I791">
        <v>4390</v>
      </c>
      <c r="J791" t="s">
        <v>232</v>
      </c>
      <c r="K791">
        <v>199.41</v>
      </c>
      <c r="L791">
        <v>0</v>
      </c>
      <c r="M791">
        <v>17950</v>
      </c>
      <c r="N791" t="s">
        <v>132</v>
      </c>
      <c r="O791">
        <v>250610</v>
      </c>
      <c r="P791">
        <v>199.41</v>
      </c>
      <c r="Q791"/>
    </row>
    <row r="792" spans="1:17" s="1" customFormat="1" x14ac:dyDescent="0.25">
      <c r="A792" t="s">
        <v>3296</v>
      </c>
      <c r="B792" t="s">
        <v>2931</v>
      </c>
      <c r="C792">
        <v>7926</v>
      </c>
      <c r="D792" t="str">
        <f>"37250       "</f>
        <v xml:space="preserve">37250       </v>
      </c>
      <c r="E792" t="s">
        <v>1215</v>
      </c>
      <c r="F792" t="s">
        <v>1216</v>
      </c>
      <c r="G792">
        <v>631.21</v>
      </c>
      <c r="H792">
        <v>250531</v>
      </c>
      <c r="I792">
        <v>4390</v>
      </c>
      <c r="J792" t="s">
        <v>232</v>
      </c>
      <c r="K792">
        <v>631.21</v>
      </c>
      <c r="L792">
        <v>0</v>
      </c>
      <c r="M792">
        <v>17956</v>
      </c>
      <c r="N792" t="s">
        <v>170</v>
      </c>
      <c r="O792">
        <v>250610</v>
      </c>
      <c r="P792">
        <v>631.21</v>
      </c>
      <c r="Q792"/>
    </row>
    <row r="793" spans="1:17" s="1" customFormat="1" x14ac:dyDescent="0.25">
      <c r="A793" t="s">
        <v>3296</v>
      </c>
      <c r="B793" t="s">
        <v>2931</v>
      </c>
      <c r="C793">
        <v>9126</v>
      </c>
      <c r="D793" t="str">
        <f>"37274       "</f>
        <v xml:space="preserve">37274       </v>
      </c>
      <c r="E793" t="s">
        <v>1215</v>
      </c>
      <c r="F793" t="s">
        <v>1216</v>
      </c>
      <c r="G793">
        <v>400.23</v>
      </c>
      <c r="H793">
        <v>250624</v>
      </c>
      <c r="I793">
        <v>4390</v>
      </c>
      <c r="J793" t="s">
        <v>232</v>
      </c>
      <c r="K793">
        <v>400.23</v>
      </c>
      <c r="L793">
        <v>81.319999999999993</v>
      </c>
      <c r="M793">
        <v>17952</v>
      </c>
      <c r="N793" t="s">
        <v>157</v>
      </c>
      <c r="O793">
        <v>250626</v>
      </c>
      <c r="P793">
        <v>318.91000000000003</v>
      </c>
      <c r="Q793"/>
    </row>
    <row r="794" spans="1:17" s="1" customFormat="1" x14ac:dyDescent="0.25">
      <c r="A794" t="s">
        <v>3296</v>
      </c>
      <c r="B794" t="s">
        <v>2931</v>
      </c>
      <c r="C794">
        <v>10829</v>
      </c>
      <c r="D794" t="str">
        <f>"37460       "</f>
        <v xml:space="preserve">37460       </v>
      </c>
      <c r="E794" t="s">
        <v>1215</v>
      </c>
      <c r="F794" t="s">
        <v>1216</v>
      </c>
      <c r="G794">
        <v>173.02</v>
      </c>
      <c r="H794">
        <v>250821</v>
      </c>
      <c r="I794">
        <v>4390</v>
      </c>
      <c r="J794" t="s">
        <v>232</v>
      </c>
      <c r="K794">
        <v>1572.87</v>
      </c>
      <c r="L794">
        <v>35.159999999999997</v>
      </c>
      <c r="M794">
        <v>13540</v>
      </c>
      <c r="N794" t="s">
        <v>131</v>
      </c>
      <c r="O794">
        <v>250825</v>
      </c>
      <c r="P794">
        <v>137.86000000000001</v>
      </c>
      <c r="Q794"/>
    </row>
    <row r="795" spans="1:17" s="1" customFormat="1" x14ac:dyDescent="0.25">
      <c r="A795" t="s">
        <v>3296</v>
      </c>
      <c r="B795" t="s">
        <v>2931</v>
      </c>
      <c r="C795">
        <v>10829</v>
      </c>
      <c r="D795" t="str">
        <f>"37460       "</f>
        <v xml:space="preserve">37460       </v>
      </c>
      <c r="E795" t="s">
        <v>1215</v>
      </c>
      <c r="F795" t="s">
        <v>1216</v>
      </c>
      <c r="G795">
        <v>1399.85</v>
      </c>
      <c r="H795">
        <v>250821</v>
      </c>
      <c r="I795">
        <v>4390</v>
      </c>
      <c r="J795" t="s">
        <v>232</v>
      </c>
      <c r="K795">
        <v>1572.87</v>
      </c>
      <c r="L795">
        <v>284.43</v>
      </c>
      <c r="M795">
        <v>17950</v>
      </c>
      <c r="N795" t="s">
        <v>132</v>
      </c>
      <c r="O795">
        <v>250825</v>
      </c>
      <c r="P795">
        <v>1115.42</v>
      </c>
      <c r="Q795"/>
    </row>
    <row r="796" spans="1:17" s="1" customFormat="1" x14ac:dyDescent="0.25">
      <c r="A796" t="s">
        <v>3296</v>
      </c>
      <c r="B796" t="s">
        <v>2931</v>
      </c>
      <c r="C796">
        <v>12307</v>
      </c>
      <c r="D796" t="str">
        <f>"37526       "</f>
        <v xml:space="preserve">37526       </v>
      </c>
      <c r="E796" t="s">
        <v>1215</v>
      </c>
      <c r="F796" t="s">
        <v>1216</v>
      </c>
      <c r="G796">
        <v>245.82</v>
      </c>
      <c r="H796">
        <v>250916</v>
      </c>
      <c r="I796">
        <v>4390</v>
      </c>
      <c r="J796" t="s">
        <v>232</v>
      </c>
      <c r="K796">
        <v>245.82</v>
      </c>
      <c r="L796">
        <v>0</v>
      </c>
      <c r="M796">
        <v>17950</v>
      </c>
      <c r="N796" t="s">
        <v>132</v>
      </c>
      <c r="O796">
        <v>250919</v>
      </c>
      <c r="P796">
        <v>245.82</v>
      </c>
      <c r="Q796"/>
    </row>
    <row r="797" spans="1:17" s="1" customFormat="1" x14ac:dyDescent="0.25">
      <c r="A797" t="s">
        <v>3296</v>
      </c>
      <c r="B797" t="s">
        <v>2931</v>
      </c>
      <c r="C797">
        <v>12900</v>
      </c>
      <c r="D797" t="str">
        <f>"37571       "</f>
        <v xml:space="preserve">37571       </v>
      </c>
      <c r="E797" t="s">
        <v>1215</v>
      </c>
      <c r="F797" t="s">
        <v>1216</v>
      </c>
      <c r="G797">
        <v>323.24</v>
      </c>
      <c r="H797">
        <v>250930</v>
      </c>
      <c r="I797">
        <v>4390</v>
      </c>
      <c r="J797" t="s">
        <v>232</v>
      </c>
      <c r="K797">
        <v>323.24</v>
      </c>
      <c r="L797">
        <v>0</v>
      </c>
      <c r="M797">
        <v>17952</v>
      </c>
      <c r="N797" t="s">
        <v>157</v>
      </c>
      <c r="O797">
        <v>251001</v>
      </c>
      <c r="P797">
        <v>323.24</v>
      </c>
      <c r="Q797"/>
    </row>
    <row r="798" spans="1:17" s="1" customFormat="1" x14ac:dyDescent="0.25">
      <c r="A798" t="s">
        <v>3296</v>
      </c>
      <c r="B798" t="s">
        <v>2931</v>
      </c>
      <c r="C798">
        <v>13447</v>
      </c>
      <c r="D798" t="str">
        <f>"37590       "</f>
        <v xml:space="preserve">37590       </v>
      </c>
      <c r="E798" t="s">
        <v>1215</v>
      </c>
      <c r="F798" t="s">
        <v>1216</v>
      </c>
      <c r="G798">
        <v>109.68</v>
      </c>
      <c r="H798">
        <v>251008</v>
      </c>
      <c r="I798">
        <v>4390</v>
      </c>
      <c r="J798" t="s">
        <v>232</v>
      </c>
      <c r="K798">
        <v>109.68</v>
      </c>
      <c r="L798">
        <v>0</v>
      </c>
      <c r="M798">
        <v>17952</v>
      </c>
      <c r="N798" t="s">
        <v>157</v>
      </c>
      <c r="O798">
        <v>251010</v>
      </c>
      <c r="P798">
        <v>109.68</v>
      </c>
      <c r="Q798"/>
    </row>
    <row r="799" spans="1:17" s="1" customFormat="1" x14ac:dyDescent="0.25">
      <c r="A799" t="s">
        <v>3296</v>
      </c>
      <c r="B799" t="s">
        <v>2931</v>
      </c>
      <c r="C799">
        <v>14200</v>
      </c>
      <c r="D799" t="str">
        <f>"37618       "</f>
        <v xml:space="preserve">37618       </v>
      </c>
      <c r="E799" t="s">
        <v>1215</v>
      </c>
      <c r="F799" t="s">
        <v>1216</v>
      </c>
      <c r="G799">
        <v>79.84</v>
      </c>
      <c r="H799">
        <v>251023</v>
      </c>
      <c r="I799">
        <v>4390</v>
      </c>
      <c r="J799" t="s">
        <v>232</v>
      </c>
      <c r="K799">
        <v>79.84</v>
      </c>
      <c r="L799">
        <v>0</v>
      </c>
      <c r="M799">
        <v>17952</v>
      </c>
      <c r="N799" t="s">
        <v>157</v>
      </c>
      <c r="O799">
        <v>251027</v>
      </c>
      <c r="P799">
        <v>79.84</v>
      </c>
      <c r="Q799"/>
    </row>
    <row r="800" spans="1:17" s="1" customFormat="1" x14ac:dyDescent="0.25">
      <c r="A800" t="s">
        <v>3296</v>
      </c>
      <c r="B800" t="s">
        <v>2931</v>
      </c>
      <c r="C800">
        <v>15201</v>
      </c>
      <c r="D800" t="str">
        <f>"37682       "</f>
        <v xml:space="preserve">37682       </v>
      </c>
      <c r="E800" t="s">
        <v>1215</v>
      </c>
      <c r="F800" t="s">
        <v>1216</v>
      </c>
      <c r="G800">
        <v>912.29</v>
      </c>
      <c r="H800">
        <v>251111</v>
      </c>
      <c r="I800">
        <v>4390</v>
      </c>
      <c r="J800" t="s">
        <v>232</v>
      </c>
      <c r="K800">
        <v>912.29</v>
      </c>
      <c r="L800">
        <v>0</v>
      </c>
      <c r="M800">
        <v>17952</v>
      </c>
      <c r="N800" t="s">
        <v>157</v>
      </c>
      <c r="O800">
        <v>251114</v>
      </c>
      <c r="P800">
        <v>912.29</v>
      </c>
      <c r="Q800"/>
    </row>
    <row r="801" spans="1:17" s="1" customFormat="1" x14ac:dyDescent="0.25">
      <c r="A801" t="s">
        <v>3296</v>
      </c>
      <c r="B801" t="s">
        <v>2931</v>
      </c>
      <c r="C801">
        <v>15689</v>
      </c>
      <c r="D801" t="str">
        <f>"37720       "</f>
        <v xml:space="preserve">37720       </v>
      </c>
      <c r="E801" t="s">
        <v>1215</v>
      </c>
      <c r="F801" t="s">
        <v>1216</v>
      </c>
      <c r="G801">
        <v>2931</v>
      </c>
      <c r="H801">
        <v>251124</v>
      </c>
      <c r="I801">
        <v>4390</v>
      </c>
      <c r="J801" t="s">
        <v>232</v>
      </c>
      <c r="K801">
        <v>2931</v>
      </c>
      <c r="L801">
        <v>0</v>
      </c>
      <c r="M801">
        <v>17952</v>
      </c>
      <c r="N801" t="s">
        <v>157</v>
      </c>
      <c r="O801">
        <v>251125</v>
      </c>
      <c r="P801">
        <v>2931</v>
      </c>
      <c r="Q801"/>
    </row>
    <row r="802" spans="1:17" s="1" customFormat="1" x14ac:dyDescent="0.25">
      <c r="A802" t="s">
        <v>3296</v>
      </c>
      <c r="B802" t="s">
        <v>2931</v>
      </c>
      <c r="C802">
        <v>15795</v>
      </c>
      <c r="D802" t="str">
        <f>"37724       "</f>
        <v xml:space="preserve">37724       </v>
      </c>
      <c r="E802" t="s">
        <v>1215</v>
      </c>
      <c r="F802" t="s">
        <v>1216</v>
      </c>
      <c r="G802">
        <v>142.85</v>
      </c>
      <c r="H802">
        <v>251125</v>
      </c>
      <c r="I802">
        <v>4390</v>
      </c>
      <c r="J802" t="s">
        <v>232</v>
      </c>
      <c r="K802">
        <v>142.85</v>
      </c>
      <c r="L802">
        <v>0</v>
      </c>
      <c r="M802">
        <v>17950</v>
      </c>
      <c r="N802" t="s">
        <v>132</v>
      </c>
      <c r="O802">
        <v>251127</v>
      </c>
      <c r="P802">
        <v>142.85</v>
      </c>
      <c r="Q802"/>
    </row>
    <row r="803" spans="1:17" s="1" customFormat="1" x14ac:dyDescent="0.25">
      <c r="A803" t="s">
        <v>3296</v>
      </c>
      <c r="B803" t="s">
        <v>2931</v>
      </c>
      <c r="C803">
        <v>17168</v>
      </c>
      <c r="D803" t="str">
        <f>"37795       "</f>
        <v xml:space="preserve">37795       </v>
      </c>
      <c r="E803" t="s">
        <v>1215</v>
      </c>
      <c r="F803" t="s">
        <v>1216</v>
      </c>
      <c r="G803">
        <v>223.99</v>
      </c>
      <c r="H803">
        <v>251217</v>
      </c>
      <c r="I803">
        <v>4390</v>
      </c>
      <c r="J803" t="s">
        <v>232</v>
      </c>
      <c r="K803">
        <v>223.99</v>
      </c>
      <c r="L803">
        <v>45.51</v>
      </c>
      <c r="M803">
        <v>17950</v>
      </c>
      <c r="N803" t="s">
        <v>132</v>
      </c>
      <c r="O803">
        <v>251218</v>
      </c>
      <c r="P803">
        <v>178.48</v>
      </c>
      <c r="Q803"/>
    </row>
    <row r="804" spans="1:17" s="1" customFormat="1" x14ac:dyDescent="0.25">
      <c r="A804" t="s">
        <v>3296</v>
      </c>
      <c r="B804" t="s">
        <v>2931</v>
      </c>
      <c r="C804">
        <v>17893</v>
      </c>
      <c r="D804" t="str">
        <f>"37813       "</f>
        <v xml:space="preserve">37813       </v>
      </c>
      <c r="E804" t="s">
        <v>1215</v>
      </c>
      <c r="F804" t="s">
        <v>1216</v>
      </c>
      <c r="G804">
        <v>223.36</v>
      </c>
      <c r="H804">
        <v>251231</v>
      </c>
      <c r="I804">
        <v>4390</v>
      </c>
      <c r="J804" t="s">
        <v>232</v>
      </c>
      <c r="K804">
        <v>223.36</v>
      </c>
      <c r="L804">
        <v>0</v>
      </c>
      <c r="M804">
        <v>17952</v>
      </c>
      <c r="N804" t="s">
        <v>157</v>
      </c>
      <c r="O804">
        <v>260102</v>
      </c>
      <c r="P804">
        <v>223.36</v>
      </c>
      <c r="Q804"/>
    </row>
    <row r="805" spans="1:17" s="1" customFormat="1" x14ac:dyDescent="0.25">
      <c r="A805" t="s">
        <v>3296</v>
      </c>
      <c r="B805" t="s">
        <v>2931</v>
      </c>
      <c r="C805">
        <v>10112</v>
      </c>
      <c r="D805" t="str">
        <f>"37408       "</f>
        <v xml:space="preserve">37408       </v>
      </c>
      <c r="E805" t="s">
        <v>1215</v>
      </c>
      <c r="F805" t="s">
        <v>1216</v>
      </c>
      <c r="G805">
        <v>2596.41</v>
      </c>
      <c r="H805">
        <v>250811</v>
      </c>
      <c r="I805">
        <v>4400</v>
      </c>
      <c r="J805" t="s">
        <v>162</v>
      </c>
      <c r="K805">
        <v>2596.41</v>
      </c>
      <c r="L805">
        <v>0</v>
      </c>
      <c r="M805">
        <v>17952</v>
      </c>
      <c r="N805" t="s">
        <v>157</v>
      </c>
      <c r="O805">
        <v>250812</v>
      </c>
      <c r="P805">
        <v>2596.41</v>
      </c>
      <c r="Q805"/>
    </row>
    <row r="806" spans="1:17" s="1" customFormat="1" x14ac:dyDescent="0.25">
      <c r="A806" t="s">
        <v>3296</v>
      </c>
      <c r="B806" t="s">
        <v>2931</v>
      </c>
      <c r="C806">
        <v>11692</v>
      </c>
      <c r="D806" t="str">
        <f>"37509       "</f>
        <v xml:space="preserve">37509       </v>
      </c>
      <c r="E806" t="s">
        <v>1215</v>
      </c>
      <c r="F806" t="s">
        <v>1216</v>
      </c>
      <c r="G806">
        <v>196.98</v>
      </c>
      <c r="H806">
        <v>250827</v>
      </c>
      <c r="I806">
        <v>4400</v>
      </c>
      <c r="J806" t="s">
        <v>162</v>
      </c>
      <c r="K806">
        <v>196.98</v>
      </c>
      <c r="L806">
        <v>40.020000000000003</v>
      </c>
      <c r="M806">
        <v>17523</v>
      </c>
      <c r="N806" t="s">
        <v>138</v>
      </c>
      <c r="O806">
        <v>250910</v>
      </c>
      <c r="P806">
        <v>156.96</v>
      </c>
      <c r="Q806"/>
    </row>
    <row r="807" spans="1:17" s="1" customFormat="1" x14ac:dyDescent="0.25">
      <c r="A807" t="s">
        <v>3296</v>
      </c>
      <c r="B807" t="s">
        <v>2931</v>
      </c>
      <c r="C807">
        <v>12898</v>
      </c>
      <c r="D807" t="str">
        <f>"37549       "</f>
        <v xml:space="preserve">37549       </v>
      </c>
      <c r="E807" t="s">
        <v>1215</v>
      </c>
      <c r="F807" t="s">
        <v>1216</v>
      </c>
      <c r="G807">
        <v>128.28</v>
      </c>
      <c r="H807">
        <v>250925</v>
      </c>
      <c r="I807">
        <v>4400</v>
      </c>
      <c r="J807" t="s">
        <v>162</v>
      </c>
      <c r="K807">
        <v>128.28</v>
      </c>
      <c r="L807">
        <v>26.06</v>
      </c>
      <c r="M807">
        <v>17529</v>
      </c>
      <c r="N807" t="s">
        <v>143</v>
      </c>
      <c r="O807">
        <v>251001</v>
      </c>
      <c r="P807">
        <v>102.22</v>
      </c>
      <c r="Q807"/>
    </row>
    <row r="808" spans="1:17" s="1" customFormat="1" x14ac:dyDescent="0.25">
      <c r="A808" t="s">
        <v>3296</v>
      </c>
      <c r="B808" t="s">
        <v>2931</v>
      </c>
      <c r="C808">
        <v>5885</v>
      </c>
      <c r="D808" t="str">
        <f>"37153       "</f>
        <v xml:space="preserve">37153       </v>
      </c>
      <c r="E808" t="s">
        <v>1215</v>
      </c>
      <c r="F808" t="s">
        <v>1216</v>
      </c>
      <c r="G808">
        <v>84</v>
      </c>
      <c r="H808">
        <v>250430</v>
      </c>
      <c r="I808">
        <v>4580</v>
      </c>
      <c r="J808" t="s">
        <v>126</v>
      </c>
      <c r="K808">
        <v>84</v>
      </c>
      <c r="L808">
        <v>17.07</v>
      </c>
      <c r="M808">
        <v>17534</v>
      </c>
      <c r="N808" t="s">
        <v>148</v>
      </c>
      <c r="O808">
        <v>250507</v>
      </c>
      <c r="P808">
        <v>66.930000000000007</v>
      </c>
      <c r="Q808"/>
    </row>
    <row r="809" spans="1:17" s="1" customFormat="1" x14ac:dyDescent="0.25">
      <c r="A809" t="s">
        <v>3296</v>
      </c>
      <c r="B809" t="s">
        <v>2931</v>
      </c>
      <c r="C809">
        <v>9902</v>
      </c>
      <c r="D809" t="str">
        <f>"37384       "</f>
        <v xml:space="preserve">37384       </v>
      </c>
      <c r="E809" t="s">
        <v>1215</v>
      </c>
      <c r="F809" t="s">
        <v>1216</v>
      </c>
      <c r="G809">
        <v>9.4</v>
      </c>
      <c r="H809">
        <v>250729</v>
      </c>
      <c r="I809">
        <v>4580</v>
      </c>
      <c r="J809" t="s">
        <v>126</v>
      </c>
      <c r="K809">
        <v>85.44</v>
      </c>
      <c r="L809">
        <v>1.91</v>
      </c>
      <c r="M809">
        <v>13540</v>
      </c>
      <c r="N809" t="s">
        <v>131</v>
      </c>
      <c r="O809">
        <v>250804</v>
      </c>
      <c r="P809">
        <v>7.49</v>
      </c>
      <c r="Q809"/>
    </row>
    <row r="810" spans="1:17" s="1" customFormat="1" x14ac:dyDescent="0.25">
      <c r="A810" t="s">
        <v>3296</v>
      </c>
      <c r="B810" t="s">
        <v>2931</v>
      </c>
      <c r="C810">
        <v>9902</v>
      </c>
      <c r="D810" t="str">
        <f>"37384       "</f>
        <v xml:space="preserve">37384       </v>
      </c>
      <c r="E810" t="s">
        <v>1215</v>
      </c>
      <c r="F810" t="s">
        <v>1216</v>
      </c>
      <c r="G810">
        <v>76.040000000000006</v>
      </c>
      <c r="H810">
        <v>250729</v>
      </c>
      <c r="I810">
        <v>4580</v>
      </c>
      <c r="J810" t="s">
        <v>126</v>
      </c>
      <c r="K810">
        <v>85.44</v>
      </c>
      <c r="L810">
        <v>15.45</v>
      </c>
      <c r="M810">
        <v>17950</v>
      </c>
      <c r="N810" t="s">
        <v>132</v>
      </c>
      <c r="O810">
        <v>250804</v>
      </c>
      <c r="P810">
        <v>60.59</v>
      </c>
      <c r="Q810"/>
    </row>
    <row r="811" spans="1:17" s="1" customFormat="1" x14ac:dyDescent="0.25">
      <c r="A811" t="s">
        <v>3296</v>
      </c>
      <c r="B811" t="s">
        <v>2931</v>
      </c>
      <c r="C811">
        <v>11507</v>
      </c>
      <c r="D811" t="str">
        <f>"37490       "</f>
        <v xml:space="preserve">37490       </v>
      </c>
      <c r="E811" t="s">
        <v>1215</v>
      </c>
      <c r="F811" t="s">
        <v>1216</v>
      </c>
      <c r="G811">
        <v>157.94999999999999</v>
      </c>
      <c r="H811">
        <v>250831</v>
      </c>
      <c r="I811">
        <v>4580</v>
      </c>
      <c r="J811" t="s">
        <v>126</v>
      </c>
      <c r="K811">
        <v>315.91000000000003</v>
      </c>
      <c r="L811">
        <v>32.090000000000003</v>
      </c>
      <c r="M811">
        <v>13540</v>
      </c>
      <c r="N811" t="s">
        <v>131</v>
      </c>
      <c r="O811">
        <v>250908</v>
      </c>
      <c r="P811">
        <v>125.86</v>
      </c>
      <c r="Q811"/>
    </row>
    <row r="812" spans="1:17" s="1" customFormat="1" x14ac:dyDescent="0.25">
      <c r="A812" t="s">
        <v>3296</v>
      </c>
      <c r="B812" t="s">
        <v>2931</v>
      </c>
      <c r="C812">
        <v>11507</v>
      </c>
      <c r="D812" t="str">
        <f>"37490       "</f>
        <v xml:space="preserve">37490       </v>
      </c>
      <c r="E812" t="s">
        <v>1215</v>
      </c>
      <c r="F812" t="s">
        <v>1216</v>
      </c>
      <c r="G812">
        <v>157.96</v>
      </c>
      <c r="H812">
        <v>250831</v>
      </c>
      <c r="I812">
        <v>4580</v>
      </c>
      <c r="J812" t="s">
        <v>126</v>
      </c>
      <c r="K812">
        <v>315.91000000000003</v>
      </c>
      <c r="L812">
        <v>32.1</v>
      </c>
      <c r="M812">
        <v>17950</v>
      </c>
      <c r="N812" t="s">
        <v>132</v>
      </c>
      <c r="O812">
        <v>250908</v>
      </c>
      <c r="P812">
        <v>125.86</v>
      </c>
      <c r="Q812"/>
    </row>
    <row r="813" spans="1:17" s="1" customFormat="1" x14ac:dyDescent="0.25">
      <c r="A813" t="s">
        <v>3296</v>
      </c>
      <c r="B813" t="s">
        <v>2931</v>
      </c>
      <c r="C813">
        <v>12431</v>
      </c>
      <c r="D813" t="str">
        <f>"37511       "</f>
        <v xml:space="preserve">37511       </v>
      </c>
      <c r="E813" t="s">
        <v>1215</v>
      </c>
      <c r="F813" t="s">
        <v>1216</v>
      </c>
      <c r="G813">
        <v>71.78</v>
      </c>
      <c r="H813">
        <v>250901</v>
      </c>
      <c r="I813">
        <v>4580</v>
      </c>
      <c r="J813" t="s">
        <v>126</v>
      </c>
      <c r="K813">
        <v>71.78</v>
      </c>
      <c r="L813">
        <v>14.58</v>
      </c>
      <c r="M813">
        <v>17526</v>
      </c>
      <c r="N813" t="s">
        <v>141</v>
      </c>
      <c r="O813">
        <v>250922</v>
      </c>
      <c r="P813">
        <v>57.2</v>
      </c>
      <c r="Q813"/>
    </row>
    <row r="814" spans="1:17" s="1" customFormat="1" x14ac:dyDescent="0.25">
      <c r="A814" t="s">
        <v>3296</v>
      </c>
      <c r="B814" t="s">
        <v>2931</v>
      </c>
      <c r="C814">
        <v>2652</v>
      </c>
      <c r="D814" t="str">
        <f>"37048       "</f>
        <v xml:space="preserve">37048       </v>
      </c>
      <c r="E814" t="s">
        <v>1215</v>
      </c>
      <c r="F814" t="s">
        <v>1216</v>
      </c>
      <c r="G814">
        <v>1025.33</v>
      </c>
      <c r="H814">
        <v>250304</v>
      </c>
      <c r="I814">
        <v>4590</v>
      </c>
      <c r="J814" t="s">
        <v>388</v>
      </c>
      <c r="K814">
        <v>1025.33</v>
      </c>
      <c r="L814">
        <v>208.33</v>
      </c>
      <c r="M814">
        <v>17952</v>
      </c>
      <c r="N814" t="s">
        <v>157</v>
      </c>
      <c r="O814">
        <v>250310</v>
      </c>
      <c r="P814">
        <v>817</v>
      </c>
      <c r="Q814"/>
    </row>
    <row r="815" spans="1:17" s="1" customFormat="1" x14ac:dyDescent="0.25">
      <c r="A815" t="s">
        <v>3296</v>
      </c>
      <c r="B815" t="s">
        <v>2931</v>
      </c>
      <c r="C815">
        <v>12633</v>
      </c>
      <c r="D815" t="str">
        <f>"37550       "</f>
        <v xml:space="preserve">37550       </v>
      </c>
      <c r="E815" t="s">
        <v>1215</v>
      </c>
      <c r="F815" t="s">
        <v>1216</v>
      </c>
      <c r="G815">
        <v>20.079999999999998</v>
      </c>
      <c r="H815">
        <v>250925</v>
      </c>
      <c r="I815">
        <v>4590</v>
      </c>
      <c r="J815" t="s">
        <v>388</v>
      </c>
      <c r="K815">
        <v>20.079999999999998</v>
      </c>
      <c r="L815">
        <v>4.08</v>
      </c>
      <c r="M815">
        <v>17951</v>
      </c>
      <c r="N815" t="s">
        <v>207</v>
      </c>
      <c r="O815">
        <v>250929</v>
      </c>
      <c r="P815">
        <v>16</v>
      </c>
      <c r="Q815"/>
    </row>
    <row r="816" spans="1:17" s="1" customFormat="1" x14ac:dyDescent="0.25">
      <c r="A816" t="s">
        <v>3296</v>
      </c>
      <c r="B816" t="s">
        <v>2931</v>
      </c>
      <c r="C816">
        <v>14929</v>
      </c>
      <c r="D816" t="str">
        <f>"37651       "</f>
        <v xml:space="preserve">37651       </v>
      </c>
      <c r="E816" t="s">
        <v>1215</v>
      </c>
      <c r="F816" t="s">
        <v>1216</v>
      </c>
      <c r="G816">
        <v>53.98</v>
      </c>
      <c r="H816">
        <v>251029</v>
      </c>
      <c r="I816">
        <v>4590</v>
      </c>
      <c r="J816" t="s">
        <v>388</v>
      </c>
      <c r="K816">
        <v>53.98</v>
      </c>
      <c r="L816">
        <v>10.97</v>
      </c>
      <c r="M816">
        <v>17950</v>
      </c>
      <c r="N816" t="s">
        <v>132</v>
      </c>
      <c r="O816">
        <v>251110</v>
      </c>
      <c r="P816">
        <v>43.01</v>
      </c>
      <c r="Q816"/>
    </row>
    <row r="817" spans="1:17" s="1" customFormat="1" x14ac:dyDescent="0.25">
      <c r="A817" t="s">
        <v>3296</v>
      </c>
      <c r="B817" t="s">
        <v>2931</v>
      </c>
      <c r="C817">
        <v>16979</v>
      </c>
      <c r="D817" t="str">
        <f>"37776       "</f>
        <v xml:space="preserve">37776       </v>
      </c>
      <c r="E817" t="s">
        <v>1215</v>
      </c>
      <c r="F817" t="s">
        <v>1216</v>
      </c>
      <c r="G817">
        <v>17.02</v>
      </c>
      <c r="H817">
        <v>251212</v>
      </c>
      <c r="I817">
        <v>4590</v>
      </c>
      <c r="J817" t="s">
        <v>388</v>
      </c>
      <c r="K817">
        <v>154.76</v>
      </c>
      <c r="L817">
        <v>3.46</v>
      </c>
      <c r="M817">
        <v>13540</v>
      </c>
      <c r="N817" t="s">
        <v>131</v>
      </c>
      <c r="O817">
        <v>251216</v>
      </c>
      <c r="P817">
        <v>13.56</v>
      </c>
      <c r="Q817"/>
    </row>
    <row r="818" spans="1:17" s="1" customFormat="1" x14ac:dyDescent="0.25">
      <c r="A818" t="s">
        <v>3296</v>
      </c>
      <c r="B818" t="s">
        <v>2931</v>
      </c>
      <c r="C818">
        <v>16979</v>
      </c>
      <c r="D818" t="str">
        <f>"37776       "</f>
        <v xml:space="preserve">37776       </v>
      </c>
      <c r="E818" t="s">
        <v>1215</v>
      </c>
      <c r="F818" t="s">
        <v>1216</v>
      </c>
      <c r="G818">
        <v>137.74</v>
      </c>
      <c r="H818">
        <v>251212</v>
      </c>
      <c r="I818">
        <v>4590</v>
      </c>
      <c r="J818" t="s">
        <v>388</v>
      </c>
      <c r="K818">
        <v>154.76</v>
      </c>
      <c r="L818">
        <v>27.99</v>
      </c>
      <c r="M818">
        <v>17950</v>
      </c>
      <c r="N818" t="s">
        <v>132</v>
      </c>
      <c r="O818">
        <v>251216</v>
      </c>
      <c r="P818">
        <v>109.75</v>
      </c>
      <c r="Q818"/>
    </row>
    <row r="819" spans="1:17" s="1" customFormat="1" x14ac:dyDescent="0.25">
      <c r="A819" t="s">
        <v>3296</v>
      </c>
      <c r="B819" t="s">
        <v>2931</v>
      </c>
      <c r="C819">
        <v>6936</v>
      </c>
      <c r="D819" t="str">
        <f>"200525      "</f>
        <v xml:space="preserve">200525      </v>
      </c>
      <c r="E819" t="s">
        <v>1906</v>
      </c>
      <c r="F819" t="s">
        <v>1907</v>
      </c>
      <c r="G819">
        <v>1470.6</v>
      </c>
      <c r="H819">
        <v>250512</v>
      </c>
      <c r="I819">
        <v>4420</v>
      </c>
      <c r="J819" t="s">
        <v>330</v>
      </c>
      <c r="K819">
        <v>1470.6</v>
      </c>
      <c r="L819">
        <v>180.6</v>
      </c>
      <c r="M819">
        <v>59702</v>
      </c>
      <c r="N819" t="s">
        <v>45</v>
      </c>
      <c r="O819">
        <v>250520</v>
      </c>
      <c r="P819">
        <v>1290</v>
      </c>
      <c r="Q819"/>
    </row>
    <row r="820" spans="1:17" s="1" customFormat="1" x14ac:dyDescent="0.25">
      <c r="A820" t="s">
        <v>3296</v>
      </c>
      <c r="B820" t="s">
        <v>2931</v>
      </c>
      <c r="C820">
        <v>10019</v>
      </c>
      <c r="D820" t="str">
        <f>"16170       "</f>
        <v xml:space="preserve">16170       </v>
      </c>
      <c r="E820" t="s">
        <v>1906</v>
      </c>
      <c r="F820" t="s">
        <v>1907</v>
      </c>
      <c r="G820">
        <v>900</v>
      </c>
      <c r="H820">
        <v>250804</v>
      </c>
      <c r="I820">
        <v>4420</v>
      </c>
      <c r="J820" t="s">
        <v>330</v>
      </c>
      <c r="K820">
        <v>900</v>
      </c>
      <c r="L820">
        <v>110.53</v>
      </c>
      <c r="M820">
        <v>11605</v>
      </c>
      <c r="N820" t="s">
        <v>1066</v>
      </c>
      <c r="O820">
        <v>250807</v>
      </c>
      <c r="P820">
        <v>789.47</v>
      </c>
      <c r="Q820"/>
    </row>
    <row r="821" spans="1:17" s="1" customFormat="1" x14ac:dyDescent="0.25">
      <c r="A821" t="s">
        <v>3296</v>
      </c>
      <c r="B821" t="s">
        <v>2931</v>
      </c>
      <c r="C821">
        <v>13817</v>
      </c>
      <c r="D821" t="str">
        <f>"16302       "</f>
        <v xml:space="preserve">16302       </v>
      </c>
      <c r="E821" t="s">
        <v>1906</v>
      </c>
      <c r="F821" t="s">
        <v>1907</v>
      </c>
      <c r="G821">
        <v>684</v>
      </c>
      <c r="H821">
        <v>251013</v>
      </c>
      <c r="I821">
        <v>4420</v>
      </c>
      <c r="J821" t="s">
        <v>330</v>
      </c>
      <c r="K821">
        <v>684</v>
      </c>
      <c r="L821">
        <v>84</v>
      </c>
      <c r="M821">
        <v>54222</v>
      </c>
      <c r="N821" t="s">
        <v>48</v>
      </c>
      <c r="O821">
        <v>251020</v>
      </c>
      <c r="P821">
        <v>600</v>
      </c>
      <c r="Q821"/>
    </row>
    <row r="822" spans="1:17" s="1" customFormat="1" x14ac:dyDescent="0.25">
      <c r="A822" t="s">
        <v>3296</v>
      </c>
      <c r="B822" t="s">
        <v>2931</v>
      </c>
      <c r="C822">
        <v>5949</v>
      </c>
      <c r="D822" t="str">
        <f>"I003-0001197"</f>
        <v>I003-0001197</v>
      </c>
      <c r="E822" t="s">
        <v>1825</v>
      </c>
      <c r="F822" t="s">
        <v>1826</v>
      </c>
      <c r="G822">
        <v>564.75</v>
      </c>
      <c r="H822">
        <v>250430</v>
      </c>
      <c r="I822">
        <v>4346</v>
      </c>
      <c r="J822" t="s">
        <v>334</v>
      </c>
      <c r="K822">
        <v>564.75</v>
      </c>
      <c r="L822">
        <v>114.75</v>
      </c>
      <c r="M822">
        <v>47522</v>
      </c>
      <c r="N822" t="s">
        <v>106</v>
      </c>
      <c r="O822">
        <v>250507</v>
      </c>
      <c r="P822">
        <v>450</v>
      </c>
      <c r="Q822"/>
    </row>
    <row r="823" spans="1:17" s="1" customFormat="1" x14ac:dyDescent="0.25">
      <c r="A823" t="s">
        <v>3296</v>
      </c>
      <c r="B823" t="s">
        <v>2931</v>
      </c>
      <c r="C823">
        <v>10503</v>
      </c>
      <c r="D823" t="str">
        <f>"I003-0001274"</f>
        <v>I003-0001274</v>
      </c>
      <c r="E823" t="s">
        <v>1825</v>
      </c>
      <c r="F823" t="s">
        <v>1826</v>
      </c>
      <c r="G823">
        <v>125.5</v>
      </c>
      <c r="H823">
        <v>250814</v>
      </c>
      <c r="I823">
        <v>4470</v>
      </c>
      <c r="J823" t="s">
        <v>203</v>
      </c>
      <c r="K823">
        <v>125.5</v>
      </c>
      <c r="L823">
        <v>25.5</v>
      </c>
      <c r="M823">
        <v>47522</v>
      </c>
      <c r="N823" t="s">
        <v>106</v>
      </c>
      <c r="O823">
        <v>250820</v>
      </c>
      <c r="P823">
        <v>100</v>
      </c>
      <c r="Q823"/>
    </row>
    <row r="824" spans="1:17" x14ac:dyDescent="0.25">
      <c r="A824" t="s">
        <v>3296</v>
      </c>
      <c r="B824" t="s">
        <v>2931</v>
      </c>
      <c r="C824">
        <v>4906</v>
      </c>
      <c r="D824" t="str">
        <f>"2560292676  "</f>
        <v xml:space="preserve">2560292676  </v>
      </c>
      <c r="E824" t="s">
        <v>1672</v>
      </c>
      <c r="F824" t="s">
        <v>1673</v>
      </c>
      <c r="G824">
        <v>0.26</v>
      </c>
      <c r="H824">
        <v>250331</v>
      </c>
      <c r="I824">
        <v>4520</v>
      </c>
      <c r="J824" t="s">
        <v>280</v>
      </c>
      <c r="K824">
        <v>30.99</v>
      </c>
      <c r="L824">
        <v>0.05</v>
      </c>
      <c r="M824">
        <v>13401</v>
      </c>
      <c r="N824" t="s">
        <v>10</v>
      </c>
      <c r="O824">
        <v>250416</v>
      </c>
      <c r="P824">
        <v>0.21</v>
      </c>
    </row>
    <row r="825" spans="1:17" x14ac:dyDescent="0.25">
      <c r="A825" t="s">
        <v>3296</v>
      </c>
      <c r="B825" t="s">
        <v>2931</v>
      </c>
      <c r="C825">
        <v>4906</v>
      </c>
      <c r="D825" t="str">
        <f>"2560292676  "</f>
        <v xml:space="preserve">2560292676  </v>
      </c>
      <c r="E825" t="s">
        <v>1672</v>
      </c>
      <c r="F825" t="s">
        <v>1673</v>
      </c>
      <c r="G825">
        <v>30.73</v>
      </c>
      <c r="H825">
        <v>250331</v>
      </c>
      <c r="I825">
        <v>4520</v>
      </c>
      <c r="J825" t="s">
        <v>280</v>
      </c>
      <c r="K825">
        <v>30.99</v>
      </c>
      <c r="L825">
        <v>3.77</v>
      </c>
      <c r="M825">
        <v>13401</v>
      </c>
      <c r="N825" t="s">
        <v>10</v>
      </c>
      <c r="O825">
        <v>250416</v>
      </c>
      <c r="P825">
        <v>26.96</v>
      </c>
    </row>
    <row r="826" spans="1:17" x14ac:dyDescent="0.25">
      <c r="A826" t="s">
        <v>3296</v>
      </c>
      <c r="B826" t="s">
        <v>2931</v>
      </c>
      <c r="C826">
        <v>8721</v>
      </c>
      <c r="D826" t="str">
        <f>"2560501925  "</f>
        <v xml:space="preserve">2560501925  </v>
      </c>
      <c r="E826" t="s">
        <v>1672</v>
      </c>
      <c r="F826" t="s">
        <v>1673</v>
      </c>
      <c r="G826">
        <v>0.39</v>
      </c>
      <c r="H826">
        <v>250531</v>
      </c>
      <c r="I826">
        <v>4520</v>
      </c>
      <c r="J826" t="s">
        <v>280</v>
      </c>
      <c r="K826">
        <v>10.53</v>
      </c>
      <c r="L826">
        <v>0.08</v>
      </c>
      <c r="M826">
        <v>13401</v>
      </c>
      <c r="N826" t="s">
        <v>10</v>
      </c>
      <c r="O826">
        <v>250617</v>
      </c>
      <c r="P826">
        <v>0.31</v>
      </c>
    </row>
    <row r="827" spans="1:17" x14ac:dyDescent="0.25">
      <c r="A827" t="s">
        <v>3296</v>
      </c>
      <c r="B827" t="s">
        <v>2931</v>
      </c>
      <c r="C827">
        <v>8721</v>
      </c>
      <c r="D827" t="str">
        <f>"2560501925  "</f>
        <v xml:space="preserve">2560501925  </v>
      </c>
      <c r="E827" t="s">
        <v>1672</v>
      </c>
      <c r="F827" t="s">
        <v>1673</v>
      </c>
      <c r="G827">
        <v>10.14</v>
      </c>
      <c r="H827">
        <v>250531</v>
      </c>
      <c r="I827">
        <v>4520</v>
      </c>
      <c r="J827" t="s">
        <v>280</v>
      </c>
      <c r="K827">
        <v>10.53</v>
      </c>
      <c r="L827">
        <v>1.25</v>
      </c>
      <c r="M827">
        <v>13401</v>
      </c>
      <c r="N827" t="s">
        <v>10</v>
      </c>
      <c r="O827">
        <v>250617</v>
      </c>
      <c r="P827">
        <v>8.89</v>
      </c>
    </row>
    <row r="828" spans="1:17" x14ac:dyDescent="0.25">
      <c r="A828" t="s">
        <v>3296</v>
      </c>
      <c r="B828" t="s">
        <v>2931</v>
      </c>
      <c r="C828">
        <v>12804</v>
      </c>
      <c r="D828" t="str">
        <f>"17296       "</f>
        <v xml:space="preserve">17296       </v>
      </c>
      <c r="E828" t="s">
        <v>2394</v>
      </c>
      <c r="F828" t="s">
        <v>2395</v>
      </c>
      <c r="G828">
        <v>180</v>
      </c>
      <c r="H828">
        <v>250919</v>
      </c>
      <c r="I828">
        <v>4470</v>
      </c>
      <c r="J828" t="s">
        <v>203</v>
      </c>
      <c r="K828">
        <v>180</v>
      </c>
      <c r="L828">
        <v>36.57</v>
      </c>
      <c r="M828">
        <v>17711</v>
      </c>
      <c r="N828" t="s">
        <v>155</v>
      </c>
      <c r="O828">
        <v>250930</v>
      </c>
      <c r="P828">
        <v>143.43</v>
      </c>
    </row>
    <row r="829" spans="1:17" x14ac:dyDescent="0.25">
      <c r="A829" t="s">
        <v>3296</v>
      </c>
      <c r="B829" t="s">
        <v>2931</v>
      </c>
      <c r="C829">
        <v>9148</v>
      </c>
      <c r="D829" t="str">
        <f>"2478        "</f>
        <v xml:space="preserve">2478        </v>
      </c>
      <c r="E829" t="s">
        <v>2099</v>
      </c>
      <c r="F829" t="s">
        <v>2100</v>
      </c>
      <c r="G829">
        <v>32.630000000000003</v>
      </c>
      <c r="H829">
        <v>250618</v>
      </c>
      <c r="I829">
        <v>4600</v>
      </c>
      <c r="J829" t="s">
        <v>278</v>
      </c>
      <c r="K829">
        <v>32.630000000000003</v>
      </c>
      <c r="L829">
        <v>6.63</v>
      </c>
      <c r="M829">
        <v>17525</v>
      </c>
      <c r="N829" t="s">
        <v>140</v>
      </c>
      <c r="O829">
        <v>250627</v>
      </c>
      <c r="P829">
        <v>26</v>
      </c>
    </row>
    <row r="830" spans="1:17" x14ac:dyDescent="0.25">
      <c r="A830" t="s">
        <v>3296</v>
      </c>
      <c r="B830" t="s">
        <v>2931</v>
      </c>
      <c r="C830">
        <v>12739</v>
      </c>
      <c r="D830" t="str">
        <f>"20250326    "</f>
        <v xml:space="preserve">20250326    </v>
      </c>
      <c r="E830" t="s">
        <v>2382</v>
      </c>
      <c r="F830" t="s">
        <v>2383</v>
      </c>
      <c r="G830">
        <v>865.32</v>
      </c>
      <c r="H830">
        <v>250923</v>
      </c>
      <c r="I830">
        <v>4500</v>
      </c>
      <c r="J830" t="s">
        <v>312</v>
      </c>
      <c r="K830">
        <v>865.32</v>
      </c>
      <c r="L830">
        <v>175.82</v>
      </c>
      <c r="M830">
        <v>13801</v>
      </c>
      <c r="N830" t="s">
        <v>33</v>
      </c>
      <c r="O830">
        <v>250929</v>
      </c>
      <c r="P830">
        <v>689.5</v>
      </c>
    </row>
    <row r="831" spans="1:17" x14ac:dyDescent="0.25">
      <c r="A831" t="s">
        <v>3296</v>
      </c>
      <c r="B831" t="s">
        <v>2931</v>
      </c>
      <c r="C831">
        <v>6553</v>
      </c>
      <c r="D831" t="str">
        <f>"12342       "</f>
        <v xml:space="preserve">12342       </v>
      </c>
      <c r="E831" t="s">
        <v>3286</v>
      </c>
      <c r="F831" t="s">
        <v>3287</v>
      </c>
      <c r="G831">
        <v>552.20000000000005</v>
      </c>
      <c r="H831">
        <v>250509</v>
      </c>
      <c r="I831">
        <v>4346</v>
      </c>
      <c r="J831" t="s">
        <v>334</v>
      </c>
      <c r="K831">
        <v>552.20000000000005</v>
      </c>
      <c r="L831">
        <v>112.2</v>
      </c>
      <c r="M831">
        <v>11903</v>
      </c>
      <c r="N831" t="s">
        <v>32</v>
      </c>
      <c r="O831">
        <v>250514</v>
      </c>
      <c r="P831">
        <v>440</v>
      </c>
    </row>
    <row r="832" spans="1:17" x14ac:dyDescent="0.25">
      <c r="A832" t="s">
        <v>3296</v>
      </c>
      <c r="B832" t="s">
        <v>2931</v>
      </c>
      <c r="C832">
        <v>2391</v>
      </c>
      <c r="D832" t="str">
        <f>"1179        "</f>
        <v xml:space="preserve">1179        </v>
      </c>
      <c r="E832" t="s">
        <v>1263</v>
      </c>
      <c r="F832" t="s">
        <v>1265</v>
      </c>
      <c r="G832">
        <v>1487.18</v>
      </c>
      <c r="H832">
        <v>250213</v>
      </c>
      <c r="I832">
        <v>4600</v>
      </c>
      <c r="J832" t="s">
        <v>278</v>
      </c>
      <c r="K832">
        <v>1487.18</v>
      </c>
      <c r="L832">
        <v>302.18</v>
      </c>
      <c r="M832">
        <v>17635</v>
      </c>
      <c r="N832" t="s">
        <v>1264</v>
      </c>
      <c r="O832">
        <v>250225</v>
      </c>
      <c r="P832">
        <v>1185</v>
      </c>
    </row>
    <row r="833" spans="1:16" x14ac:dyDescent="0.25">
      <c r="A833" t="s">
        <v>3296</v>
      </c>
      <c r="B833" t="s">
        <v>2931</v>
      </c>
      <c r="C833">
        <v>4519</v>
      </c>
      <c r="D833" t="str">
        <f>"1184        "</f>
        <v xml:space="preserve">1184        </v>
      </c>
      <c r="E833" t="s">
        <v>1263</v>
      </c>
      <c r="F833" t="s">
        <v>1265</v>
      </c>
      <c r="G833">
        <v>611.17999999999995</v>
      </c>
      <c r="H833">
        <v>250401</v>
      </c>
      <c r="I833">
        <v>4600</v>
      </c>
      <c r="J833" t="s">
        <v>278</v>
      </c>
      <c r="K833">
        <v>611.17999999999995</v>
      </c>
      <c r="L833">
        <v>124.18</v>
      </c>
      <c r="M833">
        <v>17635</v>
      </c>
      <c r="N833" t="s">
        <v>1264</v>
      </c>
      <c r="O833">
        <v>250414</v>
      </c>
      <c r="P833">
        <v>487</v>
      </c>
    </row>
    <row r="834" spans="1:16" x14ac:dyDescent="0.25">
      <c r="A834" t="s">
        <v>3296</v>
      </c>
      <c r="B834" t="s">
        <v>2931</v>
      </c>
      <c r="C834">
        <v>11892</v>
      </c>
      <c r="D834" t="str">
        <f>"719         "</f>
        <v xml:space="preserve">719         </v>
      </c>
      <c r="E834" t="s">
        <v>2294</v>
      </c>
      <c r="F834" t="s">
        <v>2295</v>
      </c>
      <c r="G834">
        <v>350</v>
      </c>
      <c r="H834">
        <v>250908</v>
      </c>
      <c r="I834">
        <v>4410</v>
      </c>
      <c r="J834" t="s">
        <v>165</v>
      </c>
      <c r="K834">
        <v>350</v>
      </c>
      <c r="L834">
        <v>42.98</v>
      </c>
      <c r="M834">
        <v>17131</v>
      </c>
      <c r="N834" t="s">
        <v>154</v>
      </c>
      <c r="O834">
        <v>250912</v>
      </c>
      <c r="P834">
        <v>307.02</v>
      </c>
    </row>
    <row r="835" spans="1:16" x14ac:dyDescent="0.25">
      <c r="A835" t="s">
        <v>3296</v>
      </c>
      <c r="B835" t="s">
        <v>2931</v>
      </c>
      <c r="C835">
        <v>8993</v>
      </c>
      <c r="D835" t="str">
        <f>"10792       "</f>
        <v xml:space="preserve">10792       </v>
      </c>
      <c r="E835" t="s">
        <v>2078</v>
      </c>
      <c r="F835" t="s">
        <v>2079</v>
      </c>
      <c r="G835">
        <v>12499.8</v>
      </c>
      <c r="H835">
        <v>250604</v>
      </c>
      <c r="I835">
        <v>1196</v>
      </c>
      <c r="J835" t="s">
        <v>340</v>
      </c>
      <c r="K835">
        <v>12499.8</v>
      </c>
      <c r="L835">
        <v>2539.8000000000002</v>
      </c>
      <c r="M835">
        <v>97701</v>
      </c>
      <c r="N835" t="s">
        <v>1017</v>
      </c>
      <c r="O835">
        <v>250624</v>
      </c>
      <c r="P835">
        <v>9960</v>
      </c>
    </row>
    <row r="836" spans="1:16" x14ac:dyDescent="0.25">
      <c r="A836" t="s">
        <v>3296</v>
      </c>
      <c r="B836" t="s">
        <v>2931</v>
      </c>
      <c r="C836">
        <v>11426</v>
      </c>
      <c r="D836" t="str">
        <f>"188         "</f>
        <v xml:space="preserve">188         </v>
      </c>
      <c r="E836" t="s">
        <v>3134</v>
      </c>
      <c r="F836" t="s">
        <v>3135</v>
      </c>
      <c r="G836">
        <v>473.68</v>
      </c>
      <c r="H836">
        <v>250827</v>
      </c>
      <c r="I836">
        <v>4440</v>
      </c>
      <c r="J836" t="s">
        <v>346</v>
      </c>
      <c r="K836">
        <v>473.68</v>
      </c>
      <c r="L836">
        <v>96.25</v>
      </c>
      <c r="M836">
        <v>17131</v>
      </c>
      <c r="N836" t="s">
        <v>154</v>
      </c>
      <c r="O836">
        <v>250905</v>
      </c>
      <c r="P836">
        <v>377.43</v>
      </c>
    </row>
    <row r="837" spans="1:16" x14ac:dyDescent="0.25">
      <c r="A837" t="s">
        <v>3296</v>
      </c>
      <c r="B837" t="s">
        <v>2931</v>
      </c>
      <c r="C837">
        <v>12098</v>
      </c>
      <c r="D837" t="str">
        <f>"32891       "</f>
        <v xml:space="preserve">32891       </v>
      </c>
      <c r="E837" t="s">
        <v>2290</v>
      </c>
      <c r="F837" t="s">
        <v>2291</v>
      </c>
      <c r="G837">
        <v>1956.42</v>
      </c>
      <c r="H837">
        <v>250909</v>
      </c>
      <c r="I837">
        <v>4400</v>
      </c>
      <c r="J837" t="s">
        <v>162</v>
      </c>
      <c r="K837">
        <v>1956.42</v>
      </c>
      <c r="L837">
        <v>397.52</v>
      </c>
      <c r="M837">
        <v>17737</v>
      </c>
      <c r="N837" t="s">
        <v>156</v>
      </c>
      <c r="O837">
        <v>250916</v>
      </c>
      <c r="P837">
        <v>1558.9</v>
      </c>
    </row>
    <row r="838" spans="1:16" x14ac:dyDescent="0.25">
      <c r="A838" t="s">
        <v>3296</v>
      </c>
      <c r="B838" t="s">
        <v>2931</v>
      </c>
      <c r="C838">
        <v>11790</v>
      </c>
      <c r="D838" t="str">
        <f>"32874       "</f>
        <v xml:space="preserve">32874       </v>
      </c>
      <c r="E838" t="s">
        <v>2290</v>
      </c>
      <c r="F838" t="s">
        <v>2291</v>
      </c>
      <c r="G838">
        <v>1333.44</v>
      </c>
      <c r="H838">
        <v>250908</v>
      </c>
      <c r="I838">
        <v>4600</v>
      </c>
      <c r="J838" t="s">
        <v>278</v>
      </c>
      <c r="K838">
        <v>1333.44</v>
      </c>
      <c r="L838">
        <v>270.94</v>
      </c>
      <c r="M838">
        <v>17737</v>
      </c>
      <c r="N838" t="s">
        <v>156</v>
      </c>
      <c r="O838">
        <v>250910</v>
      </c>
      <c r="P838">
        <v>1062.5</v>
      </c>
    </row>
    <row r="839" spans="1:16" x14ac:dyDescent="0.25">
      <c r="A839" t="s">
        <v>3296</v>
      </c>
      <c r="B839" t="s">
        <v>2931</v>
      </c>
      <c r="C839">
        <v>6194</v>
      </c>
      <c r="D839" t="str">
        <f>"7353        "</f>
        <v xml:space="preserve">7353        </v>
      </c>
      <c r="E839" t="s">
        <v>1855</v>
      </c>
      <c r="F839" t="s">
        <v>1856</v>
      </c>
      <c r="G839">
        <v>20</v>
      </c>
      <c r="H839">
        <v>250430</v>
      </c>
      <c r="I839">
        <v>4380</v>
      </c>
      <c r="J839" t="s">
        <v>211</v>
      </c>
      <c r="K839">
        <v>602.29999999999995</v>
      </c>
      <c r="L839">
        <v>4.0599999999999996</v>
      </c>
      <c r="M839">
        <v>16952</v>
      </c>
      <c r="N839" t="s">
        <v>1348</v>
      </c>
      <c r="O839">
        <v>250509</v>
      </c>
      <c r="P839">
        <v>15.94</v>
      </c>
    </row>
    <row r="840" spans="1:16" x14ac:dyDescent="0.25">
      <c r="A840" t="s">
        <v>3296</v>
      </c>
      <c r="B840" t="s">
        <v>2931</v>
      </c>
      <c r="C840">
        <v>6194</v>
      </c>
      <c r="D840" t="str">
        <f>"7353        "</f>
        <v xml:space="preserve">7353        </v>
      </c>
      <c r="E840" t="s">
        <v>1855</v>
      </c>
      <c r="F840" t="s">
        <v>1856</v>
      </c>
      <c r="G840">
        <v>582.29999999999995</v>
      </c>
      <c r="H840">
        <v>250430</v>
      </c>
      <c r="I840">
        <v>4410</v>
      </c>
      <c r="J840" t="s">
        <v>165</v>
      </c>
      <c r="K840">
        <v>602.29999999999995</v>
      </c>
      <c r="L840">
        <v>71.510000000000005</v>
      </c>
      <c r="M840">
        <v>16952</v>
      </c>
      <c r="N840" t="s">
        <v>1348</v>
      </c>
      <c r="O840">
        <v>250509</v>
      </c>
      <c r="P840">
        <v>510.79</v>
      </c>
    </row>
    <row r="841" spans="1:16" x14ac:dyDescent="0.25">
      <c r="A841" t="s">
        <v>3296</v>
      </c>
      <c r="B841" t="s">
        <v>2931</v>
      </c>
      <c r="C841">
        <v>4212</v>
      </c>
      <c r="D841" t="str">
        <f>"2320        "</f>
        <v xml:space="preserve">2320        </v>
      </c>
      <c r="E841" t="s">
        <v>1594</v>
      </c>
      <c r="F841" t="s">
        <v>1595</v>
      </c>
      <c r="G841">
        <v>37.840000000000003</v>
      </c>
      <c r="H841">
        <v>250327</v>
      </c>
      <c r="I841">
        <v>4580</v>
      </c>
      <c r="J841" t="s">
        <v>126</v>
      </c>
      <c r="K841">
        <v>53.76</v>
      </c>
      <c r="L841">
        <v>7.69</v>
      </c>
      <c r="M841">
        <v>17531</v>
      </c>
      <c r="N841" t="s">
        <v>145</v>
      </c>
      <c r="O841">
        <v>250409</v>
      </c>
      <c r="P841">
        <v>30.15</v>
      </c>
    </row>
    <row r="842" spans="1:16" x14ac:dyDescent="0.25">
      <c r="A842" t="s">
        <v>3296</v>
      </c>
      <c r="B842" t="s">
        <v>2931</v>
      </c>
      <c r="C842">
        <v>4212</v>
      </c>
      <c r="D842" t="str">
        <f>"2320        "</f>
        <v xml:space="preserve">2320        </v>
      </c>
      <c r="E842" t="s">
        <v>1594</v>
      </c>
      <c r="F842" t="s">
        <v>1595</v>
      </c>
      <c r="G842">
        <v>15.92</v>
      </c>
      <c r="H842">
        <v>250327</v>
      </c>
      <c r="I842">
        <v>4600</v>
      </c>
      <c r="J842" t="s">
        <v>278</v>
      </c>
      <c r="K842">
        <v>53.76</v>
      </c>
      <c r="L842">
        <v>3.23</v>
      </c>
      <c r="M842">
        <v>17531</v>
      </c>
      <c r="N842" t="s">
        <v>145</v>
      </c>
      <c r="O842">
        <v>250409</v>
      </c>
      <c r="P842">
        <v>12.69</v>
      </c>
    </row>
    <row r="843" spans="1:16" x14ac:dyDescent="0.25">
      <c r="A843" t="s">
        <v>3296</v>
      </c>
      <c r="B843" t="s">
        <v>2931</v>
      </c>
      <c r="C843">
        <v>12237</v>
      </c>
      <c r="D843" t="str">
        <f>"2391        "</f>
        <v xml:space="preserve">2391        </v>
      </c>
      <c r="E843" t="s">
        <v>1594</v>
      </c>
      <c r="F843" t="s">
        <v>1595</v>
      </c>
      <c r="G843">
        <v>303.83999999999997</v>
      </c>
      <c r="H843">
        <v>250903</v>
      </c>
      <c r="I843">
        <v>4600</v>
      </c>
      <c r="J843" t="s">
        <v>278</v>
      </c>
      <c r="K843">
        <v>303.83999999999997</v>
      </c>
      <c r="L843">
        <v>61.74</v>
      </c>
      <c r="M843">
        <v>17538</v>
      </c>
      <c r="N843" t="s">
        <v>129</v>
      </c>
      <c r="O843">
        <v>250918</v>
      </c>
      <c r="P843">
        <v>242.1</v>
      </c>
    </row>
    <row r="844" spans="1:16" x14ac:dyDescent="0.25">
      <c r="A844" t="s">
        <v>3296</v>
      </c>
      <c r="B844" t="s">
        <v>2931</v>
      </c>
      <c r="C844">
        <v>12992</v>
      </c>
      <c r="D844" t="str">
        <f>"1897        "</f>
        <v xml:space="preserve">1897        </v>
      </c>
      <c r="E844" t="s">
        <v>2413</v>
      </c>
      <c r="F844" t="s">
        <v>2414</v>
      </c>
      <c r="G844">
        <v>200</v>
      </c>
      <c r="H844">
        <v>250929</v>
      </c>
      <c r="I844">
        <v>4600</v>
      </c>
      <c r="J844" t="s">
        <v>278</v>
      </c>
      <c r="K844">
        <v>200</v>
      </c>
      <c r="L844">
        <v>40.64</v>
      </c>
      <c r="M844">
        <v>54422</v>
      </c>
      <c r="N844" t="s">
        <v>49</v>
      </c>
      <c r="O844">
        <v>251003</v>
      </c>
      <c r="P844">
        <v>159.36000000000001</v>
      </c>
    </row>
    <row r="845" spans="1:16" x14ac:dyDescent="0.25">
      <c r="A845" t="s">
        <v>3296</v>
      </c>
      <c r="B845" t="s">
        <v>2931</v>
      </c>
      <c r="C845">
        <v>4456</v>
      </c>
      <c r="D845" t="str">
        <f>"21371823    "</f>
        <v xml:space="preserve">21371823    </v>
      </c>
      <c r="E845" t="s">
        <v>271</v>
      </c>
      <c r="F845" t="s">
        <v>272</v>
      </c>
      <c r="G845">
        <v>19.899999999999999</v>
      </c>
      <c r="H845">
        <v>250315</v>
      </c>
      <c r="I845">
        <v>4380</v>
      </c>
      <c r="J845" t="s">
        <v>211</v>
      </c>
      <c r="K845">
        <v>1115.0899999999999</v>
      </c>
      <c r="L845">
        <v>0</v>
      </c>
      <c r="M845">
        <v>18972</v>
      </c>
      <c r="N845" t="s">
        <v>39</v>
      </c>
      <c r="O845">
        <v>250411</v>
      </c>
      <c r="P845">
        <v>19.899999999999999</v>
      </c>
    </row>
    <row r="846" spans="1:16" x14ac:dyDescent="0.25">
      <c r="A846" t="s">
        <v>3296</v>
      </c>
      <c r="B846" t="s">
        <v>2931</v>
      </c>
      <c r="C846">
        <v>6089</v>
      </c>
      <c r="D846" t="str">
        <f>"21375079    "</f>
        <v xml:space="preserve">21375079    </v>
      </c>
      <c r="E846" t="s">
        <v>271</v>
      </c>
      <c r="F846" t="s">
        <v>272</v>
      </c>
      <c r="G846">
        <v>59.7</v>
      </c>
      <c r="H846">
        <v>250501</v>
      </c>
      <c r="I846">
        <v>4380</v>
      </c>
      <c r="J846" t="s">
        <v>211</v>
      </c>
      <c r="K846">
        <v>1190.32</v>
      </c>
      <c r="L846">
        <v>0</v>
      </c>
      <c r="M846">
        <v>18972</v>
      </c>
      <c r="N846" t="s">
        <v>39</v>
      </c>
      <c r="O846">
        <v>250508</v>
      </c>
      <c r="P846">
        <v>59.7</v>
      </c>
    </row>
    <row r="847" spans="1:16" x14ac:dyDescent="0.25">
      <c r="A847" t="s">
        <v>3296</v>
      </c>
      <c r="B847" t="s">
        <v>2931</v>
      </c>
      <c r="C847">
        <v>7941</v>
      </c>
      <c r="D847" t="str">
        <f>"21378566    "</f>
        <v xml:space="preserve">21378566    </v>
      </c>
      <c r="E847" t="s">
        <v>271</v>
      </c>
      <c r="F847" t="s">
        <v>272</v>
      </c>
      <c r="G847">
        <v>19.899999999999999</v>
      </c>
      <c r="H847">
        <v>250515</v>
      </c>
      <c r="I847">
        <v>4380</v>
      </c>
      <c r="J847" t="s">
        <v>211</v>
      </c>
      <c r="K847">
        <v>1068.9100000000001</v>
      </c>
      <c r="L847">
        <v>0</v>
      </c>
      <c r="M847">
        <v>18972</v>
      </c>
      <c r="N847" t="s">
        <v>39</v>
      </c>
      <c r="O847">
        <v>250610</v>
      </c>
      <c r="P847">
        <v>19.899999999999999</v>
      </c>
    </row>
    <row r="848" spans="1:16" x14ac:dyDescent="0.25">
      <c r="A848" t="s">
        <v>3296</v>
      </c>
      <c r="B848" t="s">
        <v>2931</v>
      </c>
      <c r="C848">
        <v>149</v>
      </c>
      <c r="D848" t="str">
        <f>"21362057    "</f>
        <v xml:space="preserve">21362057    </v>
      </c>
      <c r="E848" t="s">
        <v>271</v>
      </c>
      <c r="F848" t="s">
        <v>272</v>
      </c>
      <c r="G848">
        <v>6.28</v>
      </c>
      <c r="H848">
        <v>250101</v>
      </c>
      <c r="I848">
        <v>4470</v>
      </c>
      <c r="J848" t="s">
        <v>203</v>
      </c>
      <c r="K848">
        <v>1099.44</v>
      </c>
      <c r="L848">
        <v>0</v>
      </c>
      <c r="M848">
        <v>18972</v>
      </c>
      <c r="N848" t="s">
        <v>39</v>
      </c>
      <c r="O848">
        <v>250114</v>
      </c>
      <c r="P848">
        <v>6.28</v>
      </c>
    </row>
    <row r="849" spans="1:16" x14ac:dyDescent="0.25">
      <c r="A849" t="s">
        <v>3296</v>
      </c>
      <c r="B849" t="s">
        <v>2931</v>
      </c>
      <c r="C849">
        <v>525</v>
      </c>
      <c r="D849" t="str">
        <f>"21365257    "</f>
        <v xml:space="preserve">21365257    </v>
      </c>
      <c r="E849" t="s">
        <v>271</v>
      </c>
      <c r="F849" t="s">
        <v>272</v>
      </c>
      <c r="G849">
        <v>6.28</v>
      </c>
      <c r="H849">
        <v>250201</v>
      </c>
      <c r="I849">
        <v>4470</v>
      </c>
      <c r="J849" t="s">
        <v>203</v>
      </c>
      <c r="K849">
        <v>1085.82</v>
      </c>
      <c r="L849">
        <v>0</v>
      </c>
      <c r="M849">
        <v>18972</v>
      </c>
      <c r="N849" t="s">
        <v>39</v>
      </c>
      <c r="O849">
        <v>250123</v>
      </c>
      <c r="P849">
        <v>6.28</v>
      </c>
    </row>
    <row r="850" spans="1:16" x14ac:dyDescent="0.25">
      <c r="A850" t="s">
        <v>3296</v>
      </c>
      <c r="B850" t="s">
        <v>2931</v>
      </c>
      <c r="C850">
        <v>3024</v>
      </c>
      <c r="D850" t="str">
        <f>"21368672    "</f>
        <v xml:space="preserve">21368672    </v>
      </c>
      <c r="E850" t="s">
        <v>271</v>
      </c>
      <c r="F850" t="s">
        <v>272</v>
      </c>
      <c r="G850">
        <v>12.4</v>
      </c>
      <c r="H850">
        <v>250301</v>
      </c>
      <c r="I850">
        <v>4470</v>
      </c>
      <c r="J850" t="s">
        <v>203</v>
      </c>
      <c r="K850">
        <v>1243.2</v>
      </c>
      <c r="L850">
        <v>0</v>
      </c>
      <c r="M850">
        <v>18972</v>
      </c>
      <c r="N850" t="s">
        <v>39</v>
      </c>
      <c r="O850">
        <v>250314</v>
      </c>
      <c r="P850">
        <v>12.4</v>
      </c>
    </row>
    <row r="851" spans="1:16" x14ac:dyDescent="0.25">
      <c r="A851" t="s">
        <v>3296</v>
      </c>
      <c r="B851" t="s">
        <v>2931</v>
      </c>
      <c r="C851">
        <v>4456</v>
      </c>
      <c r="D851" t="str">
        <f>"21371823    "</f>
        <v xml:space="preserve">21371823    </v>
      </c>
      <c r="E851" t="s">
        <v>271</v>
      </c>
      <c r="F851" t="s">
        <v>272</v>
      </c>
      <c r="G851">
        <v>6.27</v>
      </c>
      <c r="H851">
        <v>250315</v>
      </c>
      <c r="I851">
        <v>4470</v>
      </c>
      <c r="J851" t="s">
        <v>203</v>
      </c>
      <c r="K851">
        <v>1115.0899999999999</v>
      </c>
      <c r="L851">
        <v>0</v>
      </c>
      <c r="M851">
        <v>18972</v>
      </c>
      <c r="N851" t="s">
        <v>39</v>
      </c>
      <c r="O851">
        <v>250411</v>
      </c>
      <c r="P851">
        <v>6.27</v>
      </c>
    </row>
    <row r="852" spans="1:16" x14ac:dyDescent="0.25">
      <c r="A852" t="s">
        <v>3296</v>
      </c>
      <c r="B852" t="s">
        <v>2931</v>
      </c>
      <c r="C852">
        <v>6089</v>
      </c>
      <c r="D852" t="str">
        <f>"21375079    "</f>
        <v xml:space="preserve">21375079    </v>
      </c>
      <c r="E852" t="s">
        <v>271</v>
      </c>
      <c r="F852" t="s">
        <v>272</v>
      </c>
      <c r="G852">
        <v>6.27</v>
      </c>
      <c r="H852">
        <v>250501</v>
      </c>
      <c r="I852">
        <v>4470</v>
      </c>
      <c r="J852" t="s">
        <v>203</v>
      </c>
      <c r="K852">
        <v>1190.32</v>
      </c>
      <c r="L852">
        <v>0</v>
      </c>
      <c r="M852">
        <v>18972</v>
      </c>
      <c r="N852" t="s">
        <v>39</v>
      </c>
      <c r="O852">
        <v>250508</v>
      </c>
      <c r="P852">
        <v>6.27</v>
      </c>
    </row>
    <row r="853" spans="1:16" x14ac:dyDescent="0.25">
      <c r="A853" t="s">
        <v>3296</v>
      </c>
      <c r="B853" t="s">
        <v>2931</v>
      </c>
      <c r="C853">
        <v>7941</v>
      </c>
      <c r="D853" t="str">
        <f>"21378566    "</f>
        <v xml:space="preserve">21378566    </v>
      </c>
      <c r="E853" t="s">
        <v>271</v>
      </c>
      <c r="F853" t="s">
        <v>272</v>
      </c>
      <c r="G853">
        <v>6.27</v>
      </c>
      <c r="H853">
        <v>250515</v>
      </c>
      <c r="I853">
        <v>4470</v>
      </c>
      <c r="J853" t="s">
        <v>203</v>
      </c>
      <c r="K853">
        <v>1068.9100000000001</v>
      </c>
      <c r="L853">
        <v>0</v>
      </c>
      <c r="M853">
        <v>18972</v>
      </c>
      <c r="N853" t="s">
        <v>39</v>
      </c>
      <c r="O853">
        <v>250610</v>
      </c>
      <c r="P853">
        <v>6.27</v>
      </c>
    </row>
    <row r="854" spans="1:16" x14ac:dyDescent="0.25">
      <c r="A854" t="s">
        <v>3296</v>
      </c>
      <c r="B854" t="s">
        <v>2931</v>
      </c>
      <c r="C854">
        <v>9211</v>
      </c>
      <c r="D854" t="str">
        <f>"21382095    "</f>
        <v xml:space="preserve">21382095    </v>
      </c>
      <c r="E854" t="s">
        <v>271</v>
      </c>
      <c r="F854" t="s">
        <v>272</v>
      </c>
      <c r="G854">
        <v>6.28</v>
      </c>
      <c r="H854">
        <v>250615</v>
      </c>
      <c r="I854">
        <v>4470</v>
      </c>
      <c r="J854" t="s">
        <v>203</v>
      </c>
      <c r="K854">
        <v>1090.48</v>
      </c>
      <c r="L854">
        <v>0</v>
      </c>
      <c r="M854">
        <v>18972</v>
      </c>
      <c r="N854" t="s">
        <v>39</v>
      </c>
      <c r="O854">
        <v>250627</v>
      </c>
      <c r="P854">
        <v>6.28</v>
      </c>
    </row>
    <row r="855" spans="1:16" x14ac:dyDescent="0.25">
      <c r="A855" t="s">
        <v>3296</v>
      </c>
      <c r="B855" t="s">
        <v>2931</v>
      </c>
      <c r="C855">
        <v>10076</v>
      </c>
      <c r="D855" t="str">
        <f>"21385637    "</f>
        <v xml:space="preserve">21385637    </v>
      </c>
      <c r="E855" t="s">
        <v>271</v>
      </c>
      <c r="F855" t="s">
        <v>272</v>
      </c>
      <c r="G855">
        <v>30.17</v>
      </c>
      <c r="H855">
        <v>250801</v>
      </c>
      <c r="I855">
        <v>4470</v>
      </c>
      <c r="J855" t="s">
        <v>203</v>
      </c>
      <c r="K855">
        <v>1072.27</v>
      </c>
      <c r="L855">
        <v>0</v>
      </c>
      <c r="M855">
        <v>18972</v>
      </c>
      <c r="N855" t="s">
        <v>39</v>
      </c>
      <c r="O855">
        <v>250811</v>
      </c>
      <c r="P855">
        <v>30.17</v>
      </c>
    </row>
    <row r="856" spans="1:16" x14ac:dyDescent="0.25">
      <c r="A856" t="s">
        <v>3296</v>
      </c>
      <c r="B856" t="s">
        <v>2931</v>
      </c>
      <c r="C856">
        <v>10722</v>
      </c>
      <c r="D856" t="str">
        <f>"21389254    "</f>
        <v xml:space="preserve">21389254    </v>
      </c>
      <c r="E856" t="s">
        <v>271</v>
      </c>
      <c r="F856" t="s">
        <v>272</v>
      </c>
      <c r="G856">
        <v>32.18</v>
      </c>
      <c r="H856">
        <v>250901</v>
      </c>
      <c r="I856">
        <v>4470</v>
      </c>
      <c r="J856" t="s">
        <v>203</v>
      </c>
      <c r="K856">
        <v>1100.3900000000001</v>
      </c>
      <c r="L856">
        <v>0</v>
      </c>
      <c r="M856">
        <v>18972</v>
      </c>
      <c r="N856" t="s">
        <v>39</v>
      </c>
      <c r="O856">
        <v>250821</v>
      </c>
      <c r="P856">
        <v>32.18</v>
      </c>
    </row>
    <row r="857" spans="1:16" x14ac:dyDescent="0.25">
      <c r="A857" t="s">
        <v>3296</v>
      </c>
      <c r="B857" t="s">
        <v>2931</v>
      </c>
      <c r="C857">
        <v>13023</v>
      </c>
      <c r="D857" t="str">
        <f>"21393082    "</f>
        <v xml:space="preserve">21393082    </v>
      </c>
      <c r="E857" t="s">
        <v>271</v>
      </c>
      <c r="F857" t="s">
        <v>272</v>
      </c>
      <c r="G857">
        <v>30.17</v>
      </c>
      <c r="H857">
        <v>250915</v>
      </c>
      <c r="I857">
        <v>4470</v>
      </c>
      <c r="J857" t="s">
        <v>203</v>
      </c>
      <c r="K857">
        <v>1142.82</v>
      </c>
      <c r="L857">
        <v>0</v>
      </c>
      <c r="M857">
        <v>18972</v>
      </c>
      <c r="N857" t="s">
        <v>39</v>
      </c>
      <c r="O857">
        <v>251003</v>
      </c>
      <c r="P857">
        <v>30.17</v>
      </c>
    </row>
    <row r="858" spans="1:16" x14ac:dyDescent="0.25">
      <c r="A858" t="s">
        <v>3296</v>
      </c>
      <c r="B858" t="s">
        <v>2931</v>
      </c>
      <c r="C858">
        <v>14185</v>
      </c>
      <c r="D858" t="str">
        <f>"21396934    "</f>
        <v xml:space="preserve">21396934    </v>
      </c>
      <c r="E858" t="s">
        <v>271</v>
      </c>
      <c r="F858" t="s">
        <v>272</v>
      </c>
      <c r="G858">
        <v>50.07</v>
      </c>
      <c r="H858">
        <v>251101</v>
      </c>
      <c r="I858">
        <v>4470</v>
      </c>
      <c r="J858" t="s">
        <v>203</v>
      </c>
      <c r="K858">
        <v>1150.0899999999999</v>
      </c>
      <c r="L858">
        <v>0</v>
      </c>
      <c r="M858">
        <v>18972</v>
      </c>
      <c r="N858" t="s">
        <v>39</v>
      </c>
      <c r="O858">
        <v>251024</v>
      </c>
      <c r="P858">
        <v>50.07</v>
      </c>
    </row>
    <row r="859" spans="1:16" x14ac:dyDescent="0.25">
      <c r="A859" t="s">
        <v>3296</v>
      </c>
      <c r="B859" t="s">
        <v>2931</v>
      </c>
      <c r="C859">
        <v>16352</v>
      </c>
      <c r="D859" t="str">
        <f>"21400928    "</f>
        <v xml:space="preserve">21400928    </v>
      </c>
      <c r="E859" t="s">
        <v>271</v>
      </c>
      <c r="F859" t="s">
        <v>272</v>
      </c>
      <c r="G859">
        <v>557.27</v>
      </c>
      <c r="H859">
        <v>251115</v>
      </c>
      <c r="I859">
        <v>4470</v>
      </c>
      <c r="J859" t="s">
        <v>203</v>
      </c>
      <c r="K859">
        <v>1601.39</v>
      </c>
      <c r="L859">
        <v>0</v>
      </c>
      <c r="M859">
        <v>18972</v>
      </c>
      <c r="N859" t="s">
        <v>39</v>
      </c>
      <c r="O859">
        <v>251208</v>
      </c>
      <c r="P859">
        <v>557.27</v>
      </c>
    </row>
    <row r="860" spans="1:16" x14ac:dyDescent="0.25">
      <c r="A860" t="s">
        <v>3296</v>
      </c>
      <c r="B860" t="s">
        <v>2931</v>
      </c>
      <c r="C860">
        <v>149</v>
      </c>
      <c r="D860" t="str">
        <f>"21362057    "</f>
        <v xml:space="preserve">21362057    </v>
      </c>
      <c r="E860" t="s">
        <v>271</v>
      </c>
      <c r="F860" t="s">
        <v>272</v>
      </c>
      <c r="G860">
        <v>147.81</v>
      </c>
      <c r="H860">
        <v>250101</v>
      </c>
      <c r="I860">
        <v>4572</v>
      </c>
      <c r="J860" t="s">
        <v>173</v>
      </c>
      <c r="K860">
        <v>1099.44</v>
      </c>
      <c r="L860">
        <v>0</v>
      </c>
      <c r="M860">
        <v>18972</v>
      </c>
      <c r="N860" t="s">
        <v>39</v>
      </c>
      <c r="O860">
        <v>250114</v>
      </c>
      <c r="P860">
        <v>147.81</v>
      </c>
    </row>
    <row r="861" spans="1:16" x14ac:dyDescent="0.25">
      <c r="A861" t="s">
        <v>3296</v>
      </c>
      <c r="B861" t="s">
        <v>2931</v>
      </c>
      <c r="C861">
        <v>525</v>
      </c>
      <c r="D861" t="str">
        <f>"21365257    "</f>
        <v xml:space="preserve">21365257    </v>
      </c>
      <c r="E861" t="s">
        <v>271</v>
      </c>
      <c r="F861" t="s">
        <v>272</v>
      </c>
      <c r="G861">
        <v>134.19</v>
      </c>
      <c r="H861">
        <v>250201</v>
      </c>
      <c r="I861">
        <v>4572</v>
      </c>
      <c r="J861" t="s">
        <v>173</v>
      </c>
      <c r="K861">
        <v>1085.82</v>
      </c>
      <c r="L861">
        <v>0</v>
      </c>
      <c r="M861">
        <v>18972</v>
      </c>
      <c r="N861" t="s">
        <v>39</v>
      </c>
      <c r="O861">
        <v>250123</v>
      </c>
      <c r="P861">
        <v>134.19</v>
      </c>
    </row>
    <row r="862" spans="1:16" x14ac:dyDescent="0.25">
      <c r="A862" t="s">
        <v>3296</v>
      </c>
      <c r="B862" t="s">
        <v>2931</v>
      </c>
      <c r="C862">
        <v>3024</v>
      </c>
      <c r="D862" t="str">
        <f>"21368672    "</f>
        <v xml:space="preserve">21368672    </v>
      </c>
      <c r="E862" t="s">
        <v>271</v>
      </c>
      <c r="F862" t="s">
        <v>272</v>
      </c>
      <c r="G862">
        <v>285.45</v>
      </c>
      <c r="H862">
        <v>250301</v>
      </c>
      <c r="I862">
        <v>4572</v>
      </c>
      <c r="J862" t="s">
        <v>173</v>
      </c>
      <c r="K862">
        <v>1243.2</v>
      </c>
      <c r="L862">
        <v>0</v>
      </c>
      <c r="M862">
        <v>18972</v>
      </c>
      <c r="N862" t="s">
        <v>39</v>
      </c>
      <c r="O862">
        <v>250314</v>
      </c>
      <c r="P862">
        <v>285.45</v>
      </c>
    </row>
    <row r="863" spans="1:16" x14ac:dyDescent="0.25">
      <c r="A863" t="s">
        <v>3296</v>
      </c>
      <c r="B863" t="s">
        <v>2931</v>
      </c>
      <c r="C863">
        <v>4456</v>
      </c>
      <c r="D863" t="str">
        <f>"21371823    "</f>
        <v xml:space="preserve">21371823    </v>
      </c>
      <c r="E863" t="s">
        <v>271</v>
      </c>
      <c r="F863" t="s">
        <v>272</v>
      </c>
      <c r="G863">
        <v>143.57</v>
      </c>
      <c r="H863">
        <v>250315</v>
      </c>
      <c r="I863">
        <v>4572</v>
      </c>
      <c r="J863" t="s">
        <v>173</v>
      </c>
      <c r="K863">
        <v>1115.0899999999999</v>
      </c>
      <c r="L863">
        <v>0</v>
      </c>
      <c r="M863">
        <v>18972</v>
      </c>
      <c r="N863" t="s">
        <v>39</v>
      </c>
      <c r="O863">
        <v>250411</v>
      </c>
      <c r="P863">
        <v>143.57</v>
      </c>
    </row>
    <row r="864" spans="1:16" x14ac:dyDescent="0.25">
      <c r="A864" t="s">
        <v>3296</v>
      </c>
      <c r="B864" t="s">
        <v>2931</v>
      </c>
      <c r="C864">
        <v>6089</v>
      </c>
      <c r="D864" t="str">
        <f>"21375079    "</f>
        <v xml:space="preserve">21375079    </v>
      </c>
      <c r="E864" t="s">
        <v>271</v>
      </c>
      <c r="F864" t="s">
        <v>272</v>
      </c>
      <c r="G864">
        <v>178.98</v>
      </c>
      <c r="H864">
        <v>250501</v>
      </c>
      <c r="I864">
        <v>4572</v>
      </c>
      <c r="J864" t="s">
        <v>173</v>
      </c>
      <c r="K864">
        <v>1190.32</v>
      </c>
      <c r="L864">
        <v>0</v>
      </c>
      <c r="M864">
        <v>18972</v>
      </c>
      <c r="N864" t="s">
        <v>39</v>
      </c>
      <c r="O864">
        <v>250508</v>
      </c>
      <c r="P864">
        <v>178.98</v>
      </c>
    </row>
    <row r="865" spans="1:16" x14ac:dyDescent="0.25">
      <c r="A865" t="s">
        <v>3296</v>
      </c>
      <c r="B865" t="s">
        <v>2931</v>
      </c>
      <c r="C865">
        <v>7941</v>
      </c>
      <c r="D865" t="str">
        <f>"21378566    "</f>
        <v xml:space="preserve">21378566    </v>
      </c>
      <c r="E865" t="s">
        <v>271</v>
      </c>
      <c r="F865" t="s">
        <v>272</v>
      </c>
      <c r="G865">
        <v>97.39</v>
      </c>
      <c r="H865">
        <v>250515</v>
      </c>
      <c r="I865">
        <v>4572</v>
      </c>
      <c r="J865" t="s">
        <v>173</v>
      </c>
      <c r="K865">
        <v>1068.9100000000001</v>
      </c>
      <c r="L865">
        <v>0</v>
      </c>
      <c r="M865">
        <v>18972</v>
      </c>
      <c r="N865" t="s">
        <v>39</v>
      </c>
      <c r="O865">
        <v>250610</v>
      </c>
      <c r="P865">
        <v>97.39</v>
      </c>
    </row>
    <row r="866" spans="1:16" x14ac:dyDescent="0.25">
      <c r="A866" t="s">
        <v>3296</v>
      </c>
      <c r="B866" t="s">
        <v>2931</v>
      </c>
      <c r="C866">
        <v>9211</v>
      </c>
      <c r="D866" t="str">
        <f>"21382095    "</f>
        <v xml:space="preserve">21382095    </v>
      </c>
      <c r="E866" t="s">
        <v>271</v>
      </c>
      <c r="F866" t="s">
        <v>272</v>
      </c>
      <c r="G866">
        <v>138.85</v>
      </c>
      <c r="H866">
        <v>250615</v>
      </c>
      <c r="I866">
        <v>4572</v>
      </c>
      <c r="J866" t="s">
        <v>173</v>
      </c>
      <c r="K866">
        <v>1090.48</v>
      </c>
      <c r="L866">
        <v>0</v>
      </c>
      <c r="M866">
        <v>18972</v>
      </c>
      <c r="N866" t="s">
        <v>39</v>
      </c>
      <c r="O866">
        <v>250627</v>
      </c>
      <c r="P866">
        <v>138.85</v>
      </c>
    </row>
    <row r="867" spans="1:16" x14ac:dyDescent="0.25">
      <c r="A867" t="s">
        <v>3296</v>
      </c>
      <c r="B867" t="s">
        <v>2931</v>
      </c>
      <c r="C867">
        <v>10076</v>
      </c>
      <c r="D867" t="str">
        <f>"21385637    "</f>
        <v xml:space="preserve">21385637    </v>
      </c>
      <c r="E867" t="s">
        <v>271</v>
      </c>
      <c r="F867" t="s">
        <v>272</v>
      </c>
      <c r="G867">
        <v>96.75</v>
      </c>
      <c r="H867">
        <v>250801</v>
      </c>
      <c r="I867">
        <v>4572</v>
      </c>
      <c r="J867" t="s">
        <v>173</v>
      </c>
      <c r="K867">
        <v>1072.27</v>
      </c>
      <c r="L867">
        <v>0</v>
      </c>
      <c r="M867">
        <v>18972</v>
      </c>
      <c r="N867" t="s">
        <v>39</v>
      </c>
      <c r="O867">
        <v>250811</v>
      </c>
      <c r="P867">
        <v>96.75</v>
      </c>
    </row>
    <row r="868" spans="1:16" x14ac:dyDescent="0.25">
      <c r="A868" t="s">
        <v>3296</v>
      </c>
      <c r="B868" t="s">
        <v>2931</v>
      </c>
      <c r="C868">
        <v>10722</v>
      </c>
      <c r="D868" t="str">
        <f>"21389254    "</f>
        <v xml:space="preserve">21389254    </v>
      </c>
      <c r="E868" t="s">
        <v>271</v>
      </c>
      <c r="F868" t="s">
        <v>272</v>
      </c>
      <c r="G868">
        <v>122.86</v>
      </c>
      <c r="H868">
        <v>250901</v>
      </c>
      <c r="I868">
        <v>4572</v>
      </c>
      <c r="J868" t="s">
        <v>173</v>
      </c>
      <c r="K868">
        <v>1100.3900000000001</v>
      </c>
      <c r="L868">
        <v>0</v>
      </c>
      <c r="M868">
        <v>18972</v>
      </c>
      <c r="N868" t="s">
        <v>39</v>
      </c>
      <c r="O868">
        <v>250821</v>
      </c>
      <c r="P868">
        <v>122.86</v>
      </c>
    </row>
    <row r="869" spans="1:16" x14ac:dyDescent="0.25">
      <c r="A869" t="s">
        <v>3296</v>
      </c>
      <c r="B869" t="s">
        <v>2931</v>
      </c>
      <c r="C869">
        <v>13023</v>
      </c>
      <c r="D869" t="str">
        <f>"21393082    "</f>
        <v xml:space="preserve">21393082    </v>
      </c>
      <c r="E869" t="s">
        <v>271</v>
      </c>
      <c r="F869" t="s">
        <v>272</v>
      </c>
      <c r="G869">
        <v>167.3</v>
      </c>
      <c r="H869">
        <v>250915</v>
      </c>
      <c r="I869">
        <v>4572</v>
      </c>
      <c r="J869" t="s">
        <v>173</v>
      </c>
      <c r="K869">
        <v>1142.82</v>
      </c>
      <c r="L869">
        <v>0</v>
      </c>
      <c r="M869">
        <v>18972</v>
      </c>
      <c r="N869" t="s">
        <v>39</v>
      </c>
      <c r="O869">
        <v>251003</v>
      </c>
      <c r="P869">
        <v>167.3</v>
      </c>
    </row>
    <row r="870" spans="1:16" x14ac:dyDescent="0.25">
      <c r="A870" t="s">
        <v>3296</v>
      </c>
      <c r="B870" t="s">
        <v>2931</v>
      </c>
      <c r="C870">
        <v>14185</v>
      </c>
      <c r="D870" t="str">
        <f>"21396934    "</f>
        <v xml:space="preserve">21396934    </v>
      </c>
      <c r="E870" t="s">
        <v>271</v>
      </c>
      <c r="F870" t="s">
        <v>272</v>
      </c>
      <c r="G870">
        <v>154.66999999999999</v>
      </c>
      <c r="H870">
        <v>251101</v>
      </c>
      <c r="I870">
        <v>4572</v>
      </c>
      <c r="J870" t="s">
        <v>173</v>
      </c>
      <c r="K870">
        <v>1150.0899999999999</v>
      </c>
      <c r="L870">
        <v>0</v>
      </c>
      <c r="M870">
        <v>18972</v>
      </c>
      <c r="N870" t="s">
        <v>39</v>
      </c>
      <c r="O870">
        <v>251024</v>
      </c>
      <c r="P870">
        <v>154.66999999999999</v>
      </c>
    </row>
    <row r="871" spans="1:16" x14ac:dyDescent="0.25">
      <c r="A871" t="s">
        <v>3296</v>
      </c>
      <c r="B871" t="s">
        <v>2931</v>
      </c>
      <c r="C871">
        <v>16352</v>
      </c>
      <c r="D871" t="str">
        <f>"21400928    "</f>
        <v xml:space="preserve">21400928    </v>
      </c>
      <c r="E871" t="s">
        <v>271</v>
      </c>
      <c r="F871" t="s">
        <v>272</v>
      </c>
      <c r="G871">
        <v>32.57</v>
      </c>
      <c r="H871">
        <v>251115</v>
      </c>
      <c r="I871">
        <v>4572</v>
      </c>
      <c r="J871" t="s">
        <v>173</v>
      </c>
      <c r="K871">
        <v>1601.39</v>
      </c>
      <c r="L871">
        <v>0</v>
      </c>
      <c r="M871">
        <v>18972</v>
      </c>
      <c r="N871" t="s">
        <v>39</v>
      </c>
      <c r="O871">
        <v>251208</v>
      </c>
      <c r="P871">
        <v>32.57</v>
      </c>
    </row>
    <row r="872" spans="1:16" x14ac:dyDescent="0.25">
      <c r="A872" t="s">
        <v>3296</v>
      </c>
      <c r="B872" t="s">
        <v>2931</v>
      </c>
      <c r="C872">
        <v>16352</v>
      </c>
      <c r="D872" t="str">
        <f>"21400928    "</f>
        <v xml:space="preserve">21400928    </v>
      </c>
      <c r="E872" t="s">
        <v>271</v>
      </c>
      <c r="F872" t="s">
        <v>272</v>
      </c>
      <c r="G872">
        <v>66.2</v>
      </c>
      <c r="H872">
        <v>251115</v>
      </c>
      <c r="I872">
        <v>4572</v>
      </c>
      <c r="J872" t="s">
        <v>173</v>
      </c>
      <c r="K872">
        <v>1601.39</v>
      </c>
      <c r="L872">
        <v>0</v>
      </c>
      <c r="M872">
        <v>18972</v>
      </c>
      <c r="N872" t="s">
        <v>39</v>
      </c>
      <c r="O872">
        <v>251208</v>
      </c>
      <c r="P872">
        <v>66.2</v>
      </c>
    </row>
    <row r="873" spans="1:16" x14ac:dyDescent="0.25">
      <c r="A873" t="s">
        <v>3296</v>
      </c>
      <c r="B873" t="s">
        <v>2931</v>
      </c>
      <c r="C873">
        <v>149</v>
      </c>
      <c r="D873" t="str">
        <f>"21362057    "</f>
        <v xml:space="preserve">21362057    </v>
      </c>
      <c r="E873" t="s">
        <v>271</v>
      </c>
      <c r="F873" t="s">
        <v>272</v>
      </c>
      <c r="G873">
        <v>945.35</v>
      </c>
      <c r="H873">
        <v>250101</v>
      </c>
      <c r="I873">
        <v>4842</v>
      </c>
      <c r="J873" t="s">
        <v>15</v>
      </c>
      <c r="K873">
        <v>1099.44</v>
      </c>
      <c r="L873">
        <v>0</v>
      </c>
      <c r="M873">
        <v>18972</v>
      </c>
      <c r="N873" t="s">
        <v>39</v>
      </c>
      <c r="O873">
        <v>250114</v>
      </c>
      <c r="P873">
        <v>945.35</v>
      </c>
    </row>
    <row r="874" spans="1:16" x14ac:dyDescent="0.25">
      <c r="A874" t="s">
        <v>3296</v>
      </c>
      <c r="B874" t="s">
        <v>2931</v>
      </c>
      <c r="C874">
        <v>525</v>
      </c>
      <c r="D874" t="str">
        <f>"21365257    "</f>
        <v xml:space="preserve">21365257    </v>
      </c>
      <c r="E874" t="s">
        <v>271</v>
      </c>
      <c r="F874" t="s">
        <v>272</v>
      </c>
      <c r="G874">
        <v>945.35</v>
      </c>
      <c r="H874">
        <v>250201</v>
      </c>
      <c r="I874">
        <v>4842</v>
      </c>
      <c r="J874" t="s">
        <v>15</v>
      </c>
      <c r="K874">
        <v>1085.82</v>
      </c>
      <c r="L874">
        <v>0</v>
      </c>
      <c r="M874">
        <v>18972</v>
      </c>
      <c r="N874" t="s">
        <v>39</v>
      </c>
      <c r="O874">
        <v>250123</v>
      </c>
      <c r="P874">
        <v>945.35</v>
      </c>
    </row>
    <row r="875" spans="1:16" x14ac:dyDescent="0.25">
      <c r="A875" t="s">
        <v>3296</v>
      </c>
      <c r="B875" t="s">
        <v>2931</v>
      </c>
      <c r="C875">
        <v>3024</v>
      </c>
      <c r="D875" t="str">
        <f>"21368672    "</f>
        <v xml:space="preserve">21368672    </v>
      </c>
      <c r="E875" t="s">
        <v>271</v>
      </c>
      <c r="F875" t="s">
        <v>272</v>
      </c>
      <c r="G875">
        <v>945.35</v>
      </c>
      <c r="H875">
        <v>250301</v>
      </c>
      <c r="I875">
        <v>4842</v>
      </c>
      <c r="J875" t="s">
        <v>15</v>
      </c>
      <c r="K875">
        <v>1243.2</v>
      </c>
      <c r="L875">
        <v>0</v>
      </c>
      <c r="M875">
        <v>18972</v>
      </c>
      <c r="N875" t="s">
        <v>39</v>
      </c>
      <c r="O875">
        <v>250314</v>
      </c>
      <c r="P875">
        <v>945.35</v>
      </c>
    </row>
    <row r="876" spans="1:16" x14ac:dyDescent="0.25">
      <c r="A876" t="s">
        <v>3296</v>
      </c>
      <c r="B876" t="s">
        <v>2931</v>
      </c>
      <c r="C876">
        <v>4456</v>
      </c>
      <c r="D876" t="str">
        <f>"21371823    "</f>
        <v xml:space="preserve">21371823    </v>
      </c>
      <c r="E876" t="s">
        <v>271</v>
      </c>
      <c r="F876" t="s">
        <v>272</v>
      </c>
      <c r="G876">
        <v>945.35</v>
      </c>
      <c r="H876">
        <v>250315</v>
      </c>
      <c r="I876">
        <v>4842</v>
      </c>
      <c r="J876" t="s">
        <v>15</v>
      </c>
      <c r="K876">
        <v>1115.0899999999999</v>
      </c>
      <c r="L876">
        <v>0</v>
      </c>
      <c r="M876">
        <v>18972</v>
      </c>
      <c r="N876" t="s">
        <v>39</v>
      </c>
      <c r="O876">
        <v>250411</v>
      </c>
      <c r="P876">
        <v>945.35</v>
      </c>
    </row>
    <row r="877" spans="1:16" x14ac:dyDescent="0.25">
      <c r="A877" t="s">
        <v>3296</v>
      </c>
      <c r="B877" t="s">
        <v>2931</v>
      </c>
      <c r="C877">
        <v>6089</v>
      </c>
      <c r="D877" t="str">
        <f>"21375079    "</f>
        <v xml:space="preserve">21375079    </v>
      </c>
      <c r="E877" t="s">
        <v>271</v>
      </c>
      <c r="F877" t="s">
        <v>272</v>
      </c>
      <c r="G877">
        <v>945.37</v>
      </c>
      <c r="H877">
        <v>250501</v>
      </c>
      <c r="I877">
        <v>4842</v>
      </c>
      <c r="J877" t="s">
        <v>15</v>
      </c>
      <c r="K877">
        <v>1190.32</v>
      </c>
      <c r="L877">
        <v>0</v>
      </c>
      <c r="M877">
        <v>18972</v>
      </c>
      <c r="N877" t="s">
        <v>39</v>
      </c>
      <c r="O877">
        <v>250508</v>
      </c>
      <c r="P877">
        <v>945.37</v>
      </c>
    </row>
    <row r="878" spans="1:16" x14ac:dyDescent="0.25">
      <c r="A878" t="s">
        <v>3296</v>
      </c>
      <c r="B878" t="s">
        <v>2931</v>
      </c>
      <c r="C878">
        <v>7941</v>
      </c>
      <c r="D878" t="str">
        <f>"21378566    "</f>
        <v xml:space="preserve">21378566    </v>
      </c>
      <c r="E878" t="s">
        <v>271</v>
      </c>
      <c r="F878" t="s">
        <v>272</v>
      </c>
      <c r="G878">
        <v>945.35</v>
      </c>
      <c r="H878">
        <v>250515</v>
      </c>
      <c r="I878">
        <v>4842</v>
      </c>
      <c r="J878" t="s">
        <v>15</v>
      </c>
      <c r="K878">
        <v>1068.9100000000001</v>
      </c>
      <c r="L878">
        <v>0</v>
      </c>
      <c r="M878">
        <v>18972</v>
      </c>
      <c r="N878" t="s">
        <v>39</v>
      </c>
      <c r="O878">
        <v>250610</v>
      </c>
      <c r="P878">
        <v>945.35</v>
      </c>
    </row>
    <row r="879" spans="1:16" x14ac:dyDescent="0.25">
      <c r="A879" t="s">
        <v>3296</v>
      </c>
      <c r="B879" t="s">
        <v>2931</v>
      </c>
      <c r="C879">
        <v>9211</v>
      </c>
      <c r="D879" t="str">
        <f>"21382095    "</f>
        <v xml:space="preserve">21382095    </v>
      </c>
      <c r="E879" t="s">
        <v>271</v>
      </c>
      <c r="F879" t="s">
        <v>272</v>
      </c>
      <c r="G879">
        <v>945.35</v>
      </c>
      <c r="H879">
        <v>250615</v>
      </c>
      <c r="I879">
        <v>4842</v>
      </c>
      <c r="J879" t="s">
        <v>15</v>
      </c>
      <c r="K879">
        <v>1090.48</v>
      </c>
      <c r="L879">
        <v>0</v>
      </c>
      <c r="M879">
        <v>18972</v>
      </c>
      <c r="N879" t="s">
        <v>39</v>
      </c>
      <c r="O879">
        <v>250627</v>
      </c>
      <c r="P879">
        <v>945.35</v>
      </c>
    </row>
    <row r="880" spans="1:16" x14ac:dyDescent="0.25">
      <c r="A880" t="s">
        <v>3296</v>
      </c>
      <c r="B880" t="s">
        <v>2931</v>
      </c>
      <c r="C880">
        <v>10076</v>
      </c>
      <c r="D880" t="str">
        <f>"21385637    "</f>
        <v xml:space="preserve">21385637    </v>
      </c>
      <c r="E880" t="s">
        <v>271</v>
      </c>
      <c r="F880" t="s">
        <v>272</v>
      </c>
      <c r="G880">
        <v>945.35</v>
      </c>
      <c r="H880">
        <v>250801</v>
      </c>
      <c r="I880">
        <v>4842</v>
      </c>
      <c r="J880" t="s">
        <v>15</v>
      </c>
      <c r="K880">
        <v>1072.27</v>
      </c>
      <c r="L880">
        <v>0</v>
      </c>
      <c r="M880">
        <v>18972</v>
      </c>
      <c r="N880" t="s">
        <v>39</v>
      </c>
      <c r="O880">
        <v>250811</v>
      </c>
      <c r="P880">
        <v>945.35</v>
      </c>
    </row>
    <row r="881" spans="1:16" x14ac:dyDescent="0.25">
      <c r="A881" t="s">
        <v>3296</v>
      </c>
      <c r="B881" t="s">
        <v>2931</v>
      </c>
      <c r="C881">
        <v>10722</v>
      </c>
      <c r="D881" t="str">
        <f>"21389254    "</f>
        <v xml:space="preserve">21389254    </v>
      </c>
      <c r="E881" t="s">
        <v>271</v>
      </c>
      <c r="F881" t="s">
        <v>272</v>
      </c>
      <c r="G881">
        <v>945.35</v>
      </c>
      <c r="H881">
        <v>250901</v>
      </c>
      <c r="I881">
        <v>4842</v>
      </c>
      <c r="J881" t="s">
        <v>15</v>
      </c>
      <c r="K881">
        <v>1100.3900000000001</v>
      </c>
      <c r="L881">
        <v>0</v>
      </c>
      <c r="M881">
        <v>18972</v>
      </c>
      <c r="N881" t="s">
        <v>39</v>
      </c>
      <c r="O881">
        <v>250821</v>
      </c>
      <c r="P881">
        <v>945.35</v>
      </c>
    </row>
    <row r="882" spans="1:16" x14ac:dyDescent="0.25">
      <c r="A882" t="s">
        <v>3296</v>
      </c>
      <c r="B882" t="s">
        <v>2931</v>
      </c>
      <c r="C882">
        <v>13023</v>
      </c>
      <c r="D882" t="str">
        <f>"21393082    "</f>
        <v xml:space="preserve">21393082    </v>
      </c>
      <c r="E882" t="s">
        <v>271</v>
      </c>
      <c r="F882" t="s">
        <v>272</v>
      </c>
      <c r="G882">
        <v>945.35</v>
      </c>
      <c r="H882">
        <v>250915</v>
      </c>
      <c r="I882">
        <v>4842</v>
      </c>
      <c r="J882" t="s">
        <v>15</v>
      </c>
      <c r="K882">
        <v>1142.82</v>
      </c>
      <c r="L882">
        <v>0</v>
      </c>
      <c r="M882">
        <v>18972</v>
      </c>
      <c r="N882" t="s">
        <v>39</v>
      </c>
      <c r="O882">
        <v>251003</v>
      </c>
      <c r="P882">
        <v>945.35</v>
      </c>
    </row>
    <row r="883" spans="1:16" x14ac:dyDescent="0.25">
      <c r="A883" t="s">
        <v>3296</v>
      </c>
      <c r="B883" t="s">
        <v>2931</v>
      </c>
      <c r="C883">
        <v>14185</v>
      </c>
      <c r="D883" t="str">
        <f>"21396934    "</f>
        <v xml:space="preserve">21396934    </v>
      </c>
      <c r="E883" t="s">
        <v>271</v>
      </c>
      <c r="F883" t="s">
        <v>272</v>
      </c>
      <c r="G883">
        <v>945.35</v>
      </c>
      <c r="H883">
        <v>251101</v>
      </c>
      <c r="I883">
        <v>4842</v>
      </c>
      <c r="J883" t="s">
        <v>15</v>
      </c>
      <c r="K883">
        <v>1150.0899999999999</v>
      </c>
      <c r="L883">
        <v>0</v>
      </c>
      <c r="M883">
        <v>18972</v>
      </c>
      <c r="N883" t="s">
        <v>39</v>
      </c>
      <c r="O883">
        <v>251024</v>
      </c>
      <c r="P883">
        <v>945.35</v>
      </c>
    </row>
    <row r="884" spans="1:16" x14ac:dyDescent="0.25">
      <c r="A884" t="s">
        <v>3296</v>
      </c>
      <c r="B884" t="s">
        <v>2931</v>
      </c>
      <c r="C884">
        <v>16352</v>
      </c>
      <c r="D884" t="str">
        <f>"21400928    "</f>
        <v xml:space="preserve">21400928    </v>
      </c>
      <c r="E884" t="s">
        <v>271</v>
      </c>
      <c r="F884" t="s">
        <v>272</v>
      </c>
      <c r="G884">
        <v>945.35</v>
      </c>
      <c r="H884">
        <v>251115</v>
      </c>
      <c r="I884">
        <v>4842</v>
      </c>
      <c r="J884" t="s">
        <v>15</v>
      </c>
      <c r="K884">
        <v>1601.39</v>
      </c>
      <c r="L884">
        <v>0</v>
      </c>
      <c r="M884">
        <v>18972</v>
      </c>
      <c r="N884" t="s">
        <v>39</v>
      </c>
      <c r="O884">
        <v>251208</v>
      </c>
      <c r="P884">
        <v>945.35</v>
      </c>
    </row>
    <row r="885" spans="1:16" x14ac:dyDescent="0.25">
      <c r="A885" t="s">
        <v>3296</v>
      </c>
      <c r="B885" t="s">
        <v>2931</v>
      </c>
      <c r="C885">
        <v>403</v>
      </c>
      <c r="D885" t="str">
        <f>"124/1943    "</f>
        <v xml:space="preserve">124/1943    </v>
      </c>
      <c r="E885" t="s">
        <v>493</v>
      </c>
      <c r="F885" t="s">
        <v>494</v>
      </c>
      <c r="G885">
        <v>103.26</v>
      </c>
      <c r="H885">
        <v>250120</v>
      </c>
      <c r="I885">
        <v>4400</v>
      </c>
      <c r="J885" t="s">
        <v>162</v>
      </c>
      <c r="K885">
        <v>103.26</v>
      </c>
      <c r="L885">
        <v>20.98</v>
      </c>
      <c r="M885">
        <v>13841</v>
      </c>
      <c r="N885" t="s">
        <v>178</v>
      </c>
      <c r="O885">
        <v>250122</v>
      </c>
      <c r="P885">
        <v>82.28</v>
      </c>
    </row>
    <row r="886" spans="1:16" x14ac:dyDescent="0.25">
      <c r="A886" t="s">
        <v>3296</v>
      </c>
      <c r="B886" t="s">
        <v>2931</v>
      </c>
      <c r="C886">
        <v>12749</v>
      </c>
      <c r="D886" t="str">
        <f>"125/1046    "</f>
        <v xml:space="preserve">125/1046    </v>
      </c>
      <c r="E886" t="s">
        <v>493</v>
      </c>
      <c r="F886" t="s">
        <v>494</v>
      </c>
      <c r="G886">
        <v>1028.3599999999999</v>
      </c>
      <c r="H886">
        <v>250923</v>
      </c>
      <c r="I886">
        <v>4580</v>
      </c>
      <c r="J886" t="s">
        <v>126</v>
      </c>
      <c r="K886">
        <v>1028.3599999999999</v>
      </c>
      <c r="L886">
        <v>208.95</v>
      </c>
      <c r="M886">
        <v>13841</v>
      </c>
      <c r="N886" t="s">
        <v>178</v>
      </c>
      <c r="O886">
        <v>250930</v>
      </c>
      <c r="P886">
        <v>819.41</v>
      </c>
    </row>
    <row r="887" spans="1:16" x14ac:dyDescent="0.25">
      <c r="A887" t="s">
        <v>3296</v>
      </c>
      <c r="B887" t="s">
        <v>2931</v>
      </c>
      <c r="C887">
        <v>7452</v>
      </c>
      <c r="D887" t="str">
        <f>"250304      "</f>
        <v xml:space="preserve">250304      </v>
      </c>
      <c r="E887" t="s">
        <v>1970</v>
      </c>
      <c r="F887" t="s">
        <v>1971</v>
      </c>
      <c r="G887">
        <v>607.57000000000005</v>
      </c>
      <c r="H887">
        <v>250521</v>
      </c>
      <c r="I887">
        <v>4600</v>
      </c>
      <c r="J887" t="s">
        <v>278</v>
      </c>
      <c r="K887">
        <v>607.57000000000005</v>
      </c>
      <c r="L887">
        <v>123.45</v>
      </c>
      <c r="M887">
        <v>17521</v>
      </c>
      <c r="N887" t="s">
        <v>136</v>
      </c>
      <c r="O887">
        <v>250604</v>
      </c>
      <c r="P887">
        <v>484.12</v>
      </c>
    </row>
    <row r="888" spans="1:16" x14ac:dyDescent="0.25">
      <c r="A888" t="s">
        <v>3296</v>
      </c>
      <c r="B888" t="s">
        <v>2931</v>
      </c>
      <c r="C888">
        <v>7453</v>
      </c>
      <c r="D888" t="str">
        <f>"250253      "</f>
        <v xml:space="preserve">250253      </v>
      </c>
      <c r="E888" t="s">
        <v>1970</v>
      </c>
      <c r="F888" t="s">
        <v>1971</v>
      </c>
      <c r="G888">
        <v>3767.38</v>
      </c>
      <c r="H888">
        <v>250501</v>
      </c>
      <c r="I888">
        <v>4600</v>
      </c>
      <c r="J888" t="s">
        <v>278</v>
      </c>
      <c r="K888">
        <v>3767.38</v>
      </c>
      <c r="L888">
        <v>765.48</v>
      </c>
      <c r="M888">
        <v>17632</v>
      </c>
      <c r="N888" t="s">
        <v>615</v>
      </c>
      <c r="O888">
        <v>250604</v>
      </c>
      <c r="P888">
        <v>3001.9</v>
      </c>
    </row>
    <row r="889" spans="1:16" x14ac:dyDescent="0.25">
      <c r="A889" t="s">
        <v>3296</v>
      </c>
      <c r="B889" t="s">
        <v>2931</v>
      </c>
      <c r="C889">
        <v>12854</v>
      </c>
      <c r="D889" t="str">
        <f>"250620      "</f>
        <v xml:space="preserve">250620      </v>
      </c>
      <c r="E889" t="s">
        <v>1970</v>
      </c>
      <c r="F889" t="s">
        <v>1971</v>
      </c>
      <c r="G889">
        <v>2013.03</v>
      </c>
      <c r="H889">
        <v>250924</v>
      </c>
      <c r="I889">
        <v>4600</v>
      </c>
      <c r="J889" t="s">
        <v>278</v>
      </c>
      <c r="K889">
        <v>2013.03</v>
      </c>
      <c r="L889">
        <v>409.02</v>
      </c>
      <c r="M889">
        <v>17521</v>
      </c>
      <c r="N889" t="s">
        <v>136</v>
      </c>
      <c r="O889">
        <v>250930</v>
      </c>
      <c r="P889">
        <v>1604.01</v>
      </c>
    </row>
    <row r="890" spans="1:16" x14ac:dyDescent="0.25">
      <c r="A890" t="s">
        <v>3296</v>
      </c>
      <c r="B890" t="s">
        <v>2931</v>
      </c>
      <c r="C890">
        <v>17711</v>
      </c>
      <c r="D890" t="str">
        <f>"250802      "</f>
        <v xml:space="preserve">250802      </v>
      </c>
      <c r="E890" t="s">
        <v>1970</v>
      </c>
      <c r="F890" t="s">
        <v>1971</v>
      </c>
      <c r="G890">
        <v>1525.01</v>
      </c>
      <c r="H890">
        <v>251205</v>
      </c>
      <c r="I890">
        <v>4600</v>
      </c>
      <c r="J890" t="s">
        <v>278</v>
      </c>
      <c r="K890">
        <v>1525.01</v>
      </c>
      <c r="L890">
        <v>309.86</v>
      </c>
      <c r="M890">
        <v>17521</v>
      </c>
      <c r="N890" t="s">
        <v>136</v>
      </c>
      <c r="O890">
        <v>251229</v>
      </c>
      <c r="P890">
        <v>1215.1500000000001</v>
      </c>
    </row>
    <row r="891" spans="1:16" x14ac:dyDescent="0.25">
      <c r="A891" t="s">
        <v>3296</v>
      </c>
      <c r="B891" t="s">
        <v>2931</v>
      </c>
      <c r="C891">
        <v>6684</v>
      </c>
      <c r="D891" t="str">
        <f>"126773      "</f>
        <v xml:space="preserve">126773      </v>
      </c>
      <c r="E891" t="s">
        <v>916</v>
      </c>
      <c r="F891" t="s">
        <v>917</v>
      </c>
      <c r="G891">
        <v>90</v>
      </c>
      <c r="H891">
        <v>250508</v>
      </c>
      <c r="I891">
        <v>4580</v>
      </c>
      <c r="J891" t="s">
        <v>126</v>
      </c>
      <c r="K891">
        <v>90</v>
      </c>
      <c r="L891">
        <v>18.29</v>
      </c>
      <c r="M891">
        <v>17521</v>
      </c>
      <c r="N891" t="s">
        <v>136</v>
      </c>
      <c r="O891">
        <v>250515</v>
      </c>
      <c r="P891">
        <v>71.709999999999994</v>
      </c>
    </row>
    <row r="892" spans="1:16" x14ac:dyDescent="0.25">
      <c r="A892" t="s">
        <v>3296</v>
      </c>
      <c r="B892" t="s">
        <v>2931</v>
      </c>
      <c r="C892">
        <v>1250</v>
      </c>
      <c r="D892" t="str">
        <f>"125726      "</f>
        <v xml:space="preserve">125726      </v>
      </c>
      <c r="E892" t="s">
        <v>916</v>
      </c>
      <c r="F892" t="s">
        <v>917</v>
      </c>
      <c r="G892">
        <v>85</v>
      </c>
      <c r="H892">
        <v>250131</v>
      </c>
      <c r="I892">
        <v>4600</v>
      </c>
      <c r="J892" t="s">
        <v>278</v>
      </c>
      <c r="K892">
        <v>85</v>
      </c>
      <c r="L892">
        <v>17.27</v>
      </c>
      <c r="M892">
        <v>17521</v>
      </c>
      <c r="N892" t="s">
        <v>136</v>
      </c>
      <c r="O892">
        <v>250206</v>
      </c>
      <c r="P892">
        <v>67.73</v>
      </c>
    </row>
    <row r="893" spans="1:16" x14ac:dyDescent="0.25">
      <c r="A893" t="s">
        <v>3296</v>
      </c>
      <c r="B893" t="s">
        <v>2931</v>
      </c>
      <c r="C893">
        <v>15753</v>
      </c>
      <c r="D893" t="str">
        <f>"128588      "</f>
        <v xml:space="preserve">128588      </v>
      </c>
      <c r="E893" t="s">
        <v>916</v>
      </c>
      <c r="F893" t="s">
        <v>917</v>
      </c>
      <c r="G893">
        <v>900</v>
      </c>
      <c r="H893">
        <v>251107</v>
      </c>
      <c r="I893">
        <v>4600</v>
      </c>
      <c r="J893" t="s">
        <v>278</v>
      </c>
      <c r="K893">
        <v>900</v>
      </c>
      <c r="L893">
        <v>182.87</v>
      </c>
      <c r="M893">
        <v>17521</v>
      </c>
      <c r="N893" t="s">
        <v>136</v>
      </c>
      <c r="O893">
        <v>251126</v>
      </c>
      <c r="P893">
        <v>717.13</v>
      </c>
    </row>
    <row r="894" spans="1:16" x14ac:dyDescent="0.25">
      <c r="A894" t="s">
        <v>3296</v>
      </c>
      <c r="B894" t="s">
        <v>2931</v>
      </c>
      <c r="C894">
        <v>17300</v>
      </c>
      <c r="D894" t="str">
        <f>"128775      "</f>
        <v xml:space="preserve">128775      </v>
      </c>
      <c r="E894" t="s">
        <v>916</v>
      </c>
      <c r="F894" t="s">
        <v>917</v>
      </c>
      <c r="G894">
        <v>418</v>
      </c>
      <c r="H894">
        <v>251201</v>
      </c>
      <c r="I894">
        <v>4600</v>
      </c>
      <c r="J894" t="s">
        <v>278</v>
      </c>
      <c r="K894">
        <v>418</v>
      </c>
      <c r="L894">
        <v>84.93</v>
      </c>
      <c r="M894">
        <v>17632</v>
      </c>
      <c r="N894" t="s">
        <v>615</v>
      </c>
      <c r="O894">
        <v>251219</v>
      </c>
      <c r="P894">
        <v>333.07</v>
      </c>
    </row>
    <row r="895" spans="1:16" x14ac:dyDescent="0.25">
      <c r="A895" t="s">
        <v>3296</v>
      </c>
      <c r="B895" t="s">
        <v>2931</v>
      </c>
      <c r="C895">
        <v>17884</v>
      </c>
      <c r="D895" t="str">
        <f>"16434       "</f>
        <v xml:space="preserve">16434       </v>
      </c>
      <c r="E895" t="s">
        <v>2784</v>
      </c>
      <c r="F895" t="s">
        <v>2785</v>
      </c>
      <c r="G895">
        <v>1270.69</v>
      </c>
      <c r="H895">
        <v>251218</v>
      </c>
      <c r="I895">
        <v>4346</v>
      </c>
      <c r="J895" t="s">
        <v>334</v>
      </c>
      <c r="K895">
        <v>1270.69</v>
      </c>
      <c r="L895">
        <v>258.19</v>
      </c>
      <c r="M895">
        <v>11501</v>
      </c>
      <c r="N895" t="s">
        <v>13</v>
      </c>
      <c r="O895">
        <v>251231</v>
      </c>
      <c r="P895">
        <v>1012.5</v>
      </c>
    </row>
    <row r="896" spans="1:16" x14ac:dyDescent="0.25">
      <c r="A896" t="s">
        <v>3296</v>
      </c>
      <c r="B896" t="s">
        <v>2931</v>
      </c>
      <c r="C896">
        <v>18209</v>
      </c>
      <c r="D896" t="str">
        <f>"439         "</f>
        <v xml:space="preserve">439         </v>
      </c>
      <c r="E896" t="s">
        <v>2799</v>
      </c>
      <c r="F896" t="s">
        <v>2800</v>
      </c>
      <c r="G896">
        <v>608.67999999999995</v>
      </c>
      <c r="H896">
        <v>251231</v>
      </c>
      <c r="I896">
        <v>4346</v>
      </c>
      <c r="J896" t="s">
        <v>334</v>
      </c>
      <c r="K896">
        <v>608.67999999999995</v>
      </c>
      <c r="L896">
        <v>123.68</v>
      </c>
      <c r="M896">
        <v>11601</v>
      </c>
      <c r="N896" t="s">
        <v>12</v>
      </c>
      <c r="O896">
        <v>260112</v>
      </c>
      <c r="P896">
        <v>485</v>
      </c>
    </row>
    <row r="897" spans="1:16" x14ac:dyDescent="0.25">
      <c r="A897" t="s">
        <v>3296</v>
      </c>
      <c r="B897" t="s">
        <v>2931</v>
      </c>
      <c r="C897">
        <v>5171</v>
      </c>
      <c r="D897" t="str">
        <f>"19347       "</f>
        <v xml:space="preserve">19347       </v>
      </c>
      <c r="E897" t="s">
        <v>1687</v>
      </c>
      <c r="F897" t="s">
        <v>1688</v>
      </c>
      <c r="G897">
        <v>1098.1300000000001</v>
      </c>
      <c r="H897">
        <v>250331</v>
      </c>
      <c r="I897">
        <v>4346</v>
      </c>
      <c r="J897" t="s">
        <v>334</v>
      </c>
      <c r="K897">
        <v>1098.1300000000001</v>
      </c>
      <c r="L897">
        <v>223.13</v>
      </c>
      <c r="M897">
        <v>11601</v>
      </c>
      <c r="N897" t="s">
        <v>12</v>
      </c>
      <c r="O897">
        <v>250417</v>
      </c>
      <c r="P897">
        <v>875</v>
      </c>
    </row>
    <row r="898" spans="1:16" x14ac:dyDescent="0.25">
      <c r="A898" t="s">
        <v>3296</v>
      </c>
      <c r="B898" t="s">
        <v>2931</v>
      </c>
      <c r="C898">
        <v>6910</v>
      </c>
      <c r="D898" t="str">
        <f>"19713       "</f>
        <v xml:space="preserve">19713       </v>
      </c>
      <c r="E898" t="s">
        <v>1687</v>
      </c>
      <c r="F898" t="s">
        <v>1688</v>
      </c>
      <c r="G898">
        <v>2043.27</v>
      </c>
      <c r="H898">
        <v>250516</v>
      </c>
      <c r="I898">
        <v>4346</v>
      </c>
      <c r="J898" t="s">
        <v>334</v>
      </c>
      <c r="K898">
        <v>2043.27</v>
      </c>
      <c r="L898">
        <v>415.17</v>
      </c>
      <c r="M898">
        <v>56571</v>
      </c>
      <c r="N898" t="s">
        <v>553</v>
      </c>
      <c r="O898">
        <v>250520</v>
      </c>
      <c r="P898">
        <v>1628.1</v>
      </c>
    </row>
    <row r="899" spans="1:16" x14ac:dyDescent="0.25">
      <c r="A899" t="s">
        <v>3296</v>
      </c>
      <c r="B899" t="s">
        <v>2931</v>
      </c>
      <c r="C899">
        <v>10357</v>
      </c>
      <c r="D899" t="str">
        <f>"20416       "</f>
        <v xml:space="preserve">20416       </v>
      </c>
      <c r="E899" t="s">
        <v>1687</v>
      </c>
      <c r="F899" t="s">
        <v>1688</v>
      </c>
      <c r="G899">
        <v>627.5</v>
      </c>
      <c r="H899">
        <v>250731</v>
      </c>
      <c r="I899">
        <v>4346</v>
      </c>
      <c r="J899" t="s">
        <v>334</v>
      </c>
      <c r="K899">
        <v>627.5</v>
      </c>
      <c r="L899">
        <v>127.5</v>
      </c>
      <c r="M899">
        <v>11601</v>
      </c>
      <c r="N899" t="s">
        <v>12</v>
      </c>
      <c r="O899">
        <v>250818</v>
      </c>
      <c r="P899">
        <v>500</v>
      </c>
    </row>
    <row r="900" spans="1:16" x14ac:dyDescent="0.25">
      <c r="A900" t="s">
        <v>3296</v>
      </c>
      <c r="B900" t="s">
        <v>2931</v>
      </c>
      <c r="C900">
        <v>11732</v>
      </c>
      <c r="D900" t="str">
        <f>"20503       "</f>
        <v xml:space="preserve">20503       </v>
      </c>
      <c r="E900" t="s">
        <v>1687</v>
      </c>
      <c r="F900" t="s">
        <v>1688</v>
      </c>
      <c r="G900">
        <v>78.44</v>
      </c>
      <c r="H900">
        <v>250828</v>
      </c>
      <c r="I900">
        <v>4346</v>
      </c>
      <c r="J900" t="s">
        <v>334</v>
      </c>
      <c r="K900">
        <v>78.44</v>
      </c>
      <c r="L900">
        <v>15.94</v>
      </c>
      <c r="M900">
        <v>11601</v>
      </c>
      <c r="N900" t="s">
        <v>12</v>
      </c>
      <c r="O900">
        <v>250910</v>
      </c>
      <c r="P900">
        <v>62.5</v>
      </c>
    </row>
    <row r="901" spans="1:16" x14ac:dyDescent="0.25">
      <c r="A901" t="s">
        <v>3296</v>
      </c>
      <c r="B901" t="s">
        <v>2931</v>
      </c>
      <c r="C901">
        <v>1224</v>
      </c>
      <c r="D901" t="str">
        <f>"229         "</f>
        <v xml:space="preserve">229         </v>
      </c>
      <c r="E901" t="s">
        <v>902</v>
      </c>
      <c r="F901" t="s">
        <v>903</v>
      </c>
      <c r="G901">
        <v>256.02</v>
      </c>
      <c r="H901">
        <v>250130</v>
      </c>
      <c r="I901">
        <v>4440</v>
      </c>
      <c r="J901" t="s">
        <v>346</v>
      </c>
      <c r="K901">
        <v>512.04</v>
      </c>
      <c r="L901">
        <v>52.02</v>
      </c>
      <c r="M901">
        <v>14121</v>
      </c>
      <c r="N901" t="s">
        <v>71</v>
      </c>
      <c r="O901">
        <v>250206</v>
      </c>
      <c r="P901">
        <v>204</v>
      </c>
    </row>
    <row r="902" spans="1:16" x14ac:dyDescent="0.25">
      <c r="A902" t="s">
        <v>3296</v>
      </c>
      <c r="B902" t="s">
        <v>2931</v>
      </c>
      <c r="C902">
        <v>1224</v>
      </c>
      <c r="D902" t="str">
        <f>"229         "</f>
        <v xml:space="preserve">229         </v>
      </c>
      <c r="E902" t="s">
        <v>902</v>
      </c>
      <c r="F902" t="s">
        <v>903</v>
      </c>
      <c r="G902">
        <v>256.02</v>
      </c>
      <c r="H902">
        <v>250130</v>
      </c>
      <c r="I902">
        <v>4440</v>
      </c>
      <c r="J902" t="s">
        <v>346</v>
      </c>
      <c r="K902">
        <v>512.04</v>
      </c>
      <c r="L902">
        <v>52.02</v>
      </c>
      <c r="M902">
        <v>14541</v>
      </c>
      <c r="N902" t="s">
        <v>76</v>
      </c>
      <c r="O902">
        <v>250206</v>
      </c>
      <c r="P902">
        <v>204</v>
      </c>
    </row>
    <row r="903" spans="1:16" x14ac:dyDescent="0.25">
      <c r="A903" t="s">
        <v>3296</v>
      </c>
      <c r="B903" t="s">
        <v>2931</v>
      </c>
      <c r="C903">
        <v>10356</v>
      </c>
      <c r="D903" t="str">
        <f>"15          "</f>
        <v xml:space="preserve">15          </v>
      </c>
      <c r="E903" t="s">
        <v>2183</v>
      </c>
      <c r="F903" t="s">
        <v>2184</v>
      </c>
      <c r="G903">
        <v>77.52</v>
      </c>
      <c r="H903">
        <v>250806</v>
      </c>
      <c r="I903">
        <v>4440</v>
      </c>
      <c r="J903" t="s">
        <v>346</v>
      </c>
      <c r="K903">
        <v>77.52</v>
      </c>
      <c r="L903">
        <v>15.75</v>
      </c>
      <c r="M903">
        <v>41126</v>
      </c>
      <c r="N903" t="s">
        <v>94</v>
      </c>
      <c r="O903">
        <v>250818</v>
      </c>
      <c r="P903">
        <v>61.77</v>
      </c>
    </row>
    <row r="904" spans="1:16" x14ac:dyDescent="0.25">
      <c r="A904" t="s">
        <v>3296</v>
      </c>
      <c r="B904" t="s">
        <v>2931</v>
      </c>
      <c r="C904">
        <v>472</v>
      </c>
      <c r="D904" t="str">
        <f>"INV0143333  "</f>
        <v xml:space="preserve">INV0143333  </v>
      </c>
      <c r="E904" t="s">
        <v>538</v>
      </c>
      <c r="F904" t="s">
        <v>539</v>
      </c>
      <c r="G904">
        <v>89.6</v>
      </c>
      <c r="H904">
        <v>250115</v>
      </c>
      <c r="I904">
        <v>4390</v>
      </c>
      <c r="J904" t="s">
        <v>232</v>
      </c>
      <c r="K904">
        <v>89.6</v>
      </c>
      <c r="L904">
        <v>0</v>
      </c>
      <c r="M904">
        <v>59501</v>
      </c>
      <c r="N904" t="s">
        <v>62</v>
      </c>
      <c r="O904">
        <v>250123</v>
      </c>
      <c r="P904">
        <v>89.6</v>
      </c>
    </row>
    <row r="905" spans="1:16" x14ac:dyDescent="0.25">
      <c r="A905" t="s">
        <v>3296</v>
      </c>
      <c r="B905" t="s">
        <v>2931</v>
      </c>
      <c r="C905">
        <v>1175</v>
      </c>
      <c r="D905" t="str">
        <f>"INV0144025  "</f>
        <v xml:space="preserve">INV0144025  </v>
      </c>
      <c r="E905" t="s">
        <v>538</v>
      </c>
      <c r="F905" t="s">
        <v>539</v>
      </c>
      <c r="G905">
        <v>781.66</v>
      </c>
      <c r="H905">
        <v>250121</v>
      </c>
      <c r="I905">
        <v>4390</v>
      </c>
      <c r="J905" t="s">
        <v>232</v>
      </c>
      <c r="K905">
        <v>781.66</v>
      </c>
      <c r="L905">
        <v>0</v>
      </c>
      <c r="M905">
        <v>59501</v>
      </c>
      <c r="N905" t="s">
        <v>62</v>
      </c>
      <c r="O905">
        <v>250205</v>
      </c>
      <c r="P905">
        <v>781.66</v>
      </c>
    </row>
    <row r="906" spans="1:16" x14ac:dyDescent="0.25">
      <c r="A906" t="s">
        <v>3296</v>
      </c>
      <c r="B906" t="s">
        <v>2931</v>
      </c>
      <c r="C906">
        <v>7591</v>
      </c>
      <c r="D906" t="str">
        <f>"INV0159017  "</f>
        <v xml:space="preserve">INV0159017  </v>
      </c>
      <c r="E906" t="s">
        <v>538</v>
      </c>
      <c r="F906" t="s">
        <v>539</v>
      </c>
      <c r="G906">
        <v>363.2</v>
      </c>
      <c r="H906">
        <v>250520</v>
      </c>
      <c r="I906">
        <v>4390</v>
      </c>
      <c r="J906" t="s">
        <v>232</v>
      </c>
      <c r="K906">
        <v>363.2</v>
      </c>
      <c r="L906">
        <v>0</v>
      </c>
      <c r="M906">
        <v>59501</v>
      </c>
      <c r="N906" t="s">
        <v>62</v>
      </c>
      <c r="O906">
        <v>250604</v>
      </c>
      <c r="P906">
        <v>363.2</v>
      </c>
    </row>
    <row r="907" spans="1:16" x14ac:dyDescent="0.25">
      <c r="A907" t="s">
        <v>3296</v>
      </c>
      <c r="B907" t="s">
        <v>2931</v>
      </c>
      <c r="C907">
        <v>9757</v>
      </c>
      <c r="D907" t="str">
        <f>"INV0161999  "</f>
        <v xml:space="preserve">INV0161999  </v>
      </c>
      <c r="E907" t="s">
        <v>538</v>
      </c>
      <c r="F907" t="s">
        <v>539</v>
      </c>
      <c r="G907">
        <v>39.74</v>
      </c>
      <c r="H907">
        <v>250613</v>
      </c>
      <c r="I907">
        <v>4390</v>
      </c>
      <c r="J907" t="s">
        <v>232</v>
      </c>
      <c r="K907">
        <v>39.74</v>
      </c>
      <c r="L907">
        <v>0</v>
      </c>
      <c r="M907">
        <v>59501</v>
      </c>
      <c r="N907" t="s">
        <v>62</v>
      </c>
      <c r="O907">
        <v>250728</v>
      </c>
      <c r="P907">
        <v>39.74</v>
      </c>
    </row>
    <row r="908" spans="1:16" x14ac:dyDescent="0.25">
      <c r="A908" t="s">
        <v>3296</v>
      </c>
      <c r="B908" t="s">
        <v>2931</v>
      </c>
      <c r="C908">
        <v>12017</v>
      </c>
      <c r="D908" t="str">
        <f>"CN00006229  "</f>
        <v xml:space="preserve">CN00006229  </v>
      </c>
      <c r="E908" t="s">
        <v>538</v>
      </c>
      <c r="F908" t="s">
        <v>539</v>
      </c>
      <c r="G908">
        <v>-39.74</v>
      </c>
      <c r="H908">
        <v>250801</v>
      </c>
      <c r="I908">
        <v>4390</v>
      </c>
      <c r="J908" t="s">
        <v>232</v>
      </c>
      <c r="K908">
        <v>-39.74</v>
      </c>
      <c r="L908">
        <v>0</v>
      </c>
      <c r="M908">
        <v>59501</v>
      </c>
      <c r="N908" t="s">
        <v>62</v>
      </c>
      <c r="O908">
        <v>250915</v>
      </c>
      <c r="P908">
        <v>-39.74</v>
      </c>
    </row>
    <row r="909" spans="1:16" x14ac:dyDescent="0.25">
      <c r="A909" t="s">
        <v>3296</v>
      </c>
      <c r="B909" t="s">
        <v>2931</v>
      </c>
      <c r="C909">
        <v>9270</v>
      </c>
      <c r="D909" t="str">
        <f>"INV0162139  "</f>
        <v xml:space="preserve">INV0162139  </v>
      </c>
      <c r="E909" t="s">
        <v>538</v>
      </c>
      <c r="F909" t="s">
        <v>539</v>
      </c>
      <c r="G909">
        <v>294.48</v>
      </c>
      <c r="H909">
        <v>250617</v>
      </c>
      <c r="I909">
        <v>4400</v>
      </c>
      <c r="J909" t="s">
        <v>162</v>
      </c>
      <c r="K909">
        <v>294.48</v>
      </c>
      <c r="L909">
        <v>0</v>
      </c>
      <c r="M909">
        <v>69501</v>
      </c>
      <c r="N909" t="s">
        <v>123</v>
      </c>
      <c r="O909">
        <v>250701</v>
      </c>
      <c r="P909">
        <v>294.48</v>
      </c>
    </row>
    <row r="910" spans="1:16" x14ac:dyDescent="0.25">
      <c r="A910" t="s">
        <v>3296</v>
      </c>
      <c r="B910" t="s">
        <v>2931</v>
      </c>
      <c r="C910">
        <v>9551</v>
      </c>
      <c r="D910" t="str">
        <f>"INV0164080  "</f>
        <v xml:space="preserve">INV0164080  </v>
      </c>
      <c r="E910" t="s">
        <v>538</v>
      </c>
      <c r="F910" t="s">
        <v>539</v>
      </c>
      <c r="G910">
        <v>452.96</v>
      </c>
      <c r="H910">
        <v>250703</v>
      </c>
      <c r="I910">
        <v>4400</v>
      </c>
      <c r="J910" t="s">
        <v>162</v>
      </c>
      <c r="K910">
        <v>452.96</v>
      </c>
      <c r="L910">
        <v>0</v>
      </c>
      <c r="M910">
        <v>69501</v>
      </c>
      <c r="N910" t="s">
        <v>123</v>
      </c>
      <c r="O910">
        <v>250711</v>
      </c>
      <c r="P910">
        <v>452.96</v>
      </c>
    </row>
    <row r="911" spans="1:16" x14ac:dyDescent="0.25">
      <c r="A911" t="s">
        <v>3296</v>
      </c>
      <c r="B911" t="s">
        <v>2931</v>
      </c>
      <c r="C911">
        <v>6439</v>
      </c>
      <c r="D911" t="str">
        <f>"65353       "</f>
        <v xml:space="preserve">65353       </v>
      </c>
      <c r="E911" t="s">
        <v>1578</v>
      </c>
      <c r="F911" t="s">
        <v>1579</v>
      </c>
      <c r="G911">
        <v>6.4</v>
      </c>
      <c r="H911">
        <v>250512</v>
      </c>
      <c r="I911">
        <v>4420</v>
      </c>
      <c r="J911" t="s">
        <v>330</v>
      </c>
      <c r="K911">
        <v>272.36</v>
      </c>
      <c r="L911">
        <v>0.79</v>
      </c>
      <c r="M911">
        <v>67522</v>
      </c>
      <c r="N911" t="s">
        <v>121</v>
      </c>
      <c r="O911">
        <v>250513</v>
      </c>
      <c r="P911">
        <v>5.61</v>
      </c>
    </row>
    <row r="912" spans="1:16" x14ac:dyDescent="0.25">
      <c r="A912" t="s">
        <v>3296</v>
      </c>
      <c r="B912" t="s">
        <v>2931</v>
      </c>
      <c r="C912">
        <v>6439</v>
      </c>
      <c r="D912" t="str">
        <f>"65353       "</f>
        <v xml:space="preserve">65353       </v>
      </c>
      <c r="E912" t="s">
        <v>1578</v>
      </c>
      <c r="F912" t="s">
        <v>1579</v>
      </c>
      <c r="G912">
        <v>22.5</v>
      </c>
      <c r="H912">
        <v>250512</v>
      </c>
      <c r="I912">
        <v>4420</v>
      </c>
      <c r="J912" t="s">
        <v>330</v>
      </c>
      <c r="K912">
        <v>272.36</v>
      </c>
      <c r="L912">
        <v>4.57</v>
      </c>
      <c r="M912">
        <v>67522</v>
      </c>
      <c r="N912" t="s">
        <v>121</v>
      </c>
      <c r="O912">
        <v>250513</v>
      </c>
      <c r="P912">
        <v>17.93</v>
      </c>
    </row>
    <row r="913" spans="1:16" x14ac:dyDescent="0.25">
      <c r="A913" t="s">
        <v>3296</v>
      </c>
      <c r="B913" t="s">
        <v>2931</v>
      </c>
      <c r="C913">
        <v>4130</v>
      </c>
      <c r="D913" t="str">
        <f>"64016       "</f>
        <v xml:space="preserve">64016       </v>
      </c>
      <c r="E913" t="s">
        <v>1578</v>
      </c>
      <c r="F913" t="s">
        <v>1579</v>
      </c>
      <c r="G913">
        <v>107.35</v>
      </c>
      <c r="H913">
        <v>250326</v>
      </c>
      <c r="I913">
        <v>4554</v>
      </c>
      <c r="J913" t="s">
        <v>351</v>
      </c>
      <c r="K913">
        <v>107.35</v>
      </c>
      <c r="L913">
        <v>13.18</v>
      </c>
      <c r="M913">
        <v>67522</v>
      </c>
      <c r="N913" t="s">
        <v>121</v>
      </c>
      <c r="O913">
        <v>250407</v>
      </c>
      <c r="P913">
        <v>94.17</v>
      </c>
    </row>
    <row r="914" spans="1:16" x14ac:dyDescent="0.25">
      <c r="A914" t="s">
        <v>3296</v>
      </c>
      <c r="B914" t="s">
        <v>2931</v>
      </c>
      <c r="C914">
        <v>6439</v>
      </c>
      <c r="D914" t="str">
        <f>"65353       "</f>
        <v xml:space="preserve">65353       </v>
      </c>
      <c r="E914" t="s">
        <v>1578</v>
      </c>
      <c r="F914" t="s">
        <v>1579</v>
      </c>
      <c r="G914">
        <v>53.86</v>
      </c>
      <c r="H914">
        <v>250512</v>
      </c>
      <c r="I914">
        <v>4554</v>
      </c>
      <c r="J914" t="s">
        <v>351</v>
      </c>
      <c r="K914">
        <v>272.36</v>
      </c>
      <c r="L914">
        <v>6.61</v>
      </c>
      <c r="M914">
        <v>67522</v>
      </c>
      <c r="N914" t="s">
        <v>121</v>
      </c>
      <c r="O914">
        <v>250513</v>
      </c>
      <c r="P914">
        <v>47.25</v>
      </c>
    </row>
    <row r="915" spans="1:16" x14ac:dyDescent="0.25">
      <c r="A915" t="s">
        <v>3296</v>
      </c>
      <c r="B915" t="s">
        <v>2931</v>
      </c>
      <c r="C915">
        <v>6439</v>
      </c>
      <c r="D915" t="str">
        <f>"65353       "</f>
        <v xml:space="preserve">65353       </v>
      </c>
      <c r="E915" t="s">
        <v>1578</v>
      </c>
      <c r="F915" t="s">
        <v>1579</v>
      </c>
      <c r="G915">
        <v>161.69999999999999</v>
      </c>
      <c r="H915">
        <v>250512</v>
      </c>
      <c r="I915">
        <v>4572</v>
      </c>
      <c r="J915" t="s">
        <v>173</v>
      </c>
      <c r="K915">
        <v>272.36</v>
      </c>
      <c r="L915">
        <v>32.86</v>
      </c>
      <c r="M915">
        <v>67522</v>
      </c>
      <c r="N915" t="s">
        <v>121</v>
      </c>
      <c r="O915">
        <v>250513</v>
      </c>
      <c r="P915">
        <v>128.84</v>
      </c>
    </row>
    <row r="916" spans="1:16" x14ac:dyDescent="0.25">
      <c r="A916" t="s">
        <v>3296</v>
      </c>
      <c r="B916" t="s">
        <v>2931</v>
      </c>
      <c r="C916">
        <v>6439</v>
      </c>
      <c r="D916" t="str">
        <f>"65353       "</f>
        <v xml:space="preserve">65353       </v>
      </c>
      <c r="E916" t="s">
        <v>1578</v>
      </c>
      <c r="F916" t="s">
        <v>1579</v>
      </c>
      <c r="G916">
        <v>27.9</v>
      </c>
      <c r="H916">
        <v>250512</v>
      </c>
      <c r="I916">
        <v>4600</v>
      </c>
      <c r="J916" t="s">
        <v>278</v>
      </c>
      <c r="K916">
        <v>272.36</v>
      </c>
      <c r="L916">
        <v>5.67</v>
      </c>
      <c r="M916">
        <v>67522</v>
      </c>
      <c r="N916" t="s">
        <v>121</v>
      </c>
      <c r="O916">
        <v>250513</v>
      </c>
      <c r="P916">
        <v>22.23</v>
      </c>
    </row>
    <row r="917" spans="1:16" x14ac:dyDescent="0.25">
      <c r="A917" t="s">
        <v>3296</v>
      </c>
      <c r="B917" t="s">
        <v>2931</v>
      </c>
      <c r="C917">
        <v>5034</v>
      </c>
      <c r="D917" t="str">
        <f>"51979081    "</f>
        <v xml:space="preserve">51979081    </v>
      </c>
      <c r="E917" t="s">
        <v>609</v>
      </c>
      <c r="F917" t="s">
        <v>612</v>
      </c>
      <c r="G917">
        <v>24.72</v>
      </c>
      <c r="H917">
        <v>250327</v>
      </c>
      <c r="I917">
        <v>1196</v>
      </c>
      <c r="J917" t="s">
        <v>340</v>
      </c>
      <c r="K917">
        <v>24.72</v>
      </c>
      <c r="L917">
        <v>5.0199999999999996</v>
      </c>
      <c r="M917">
        <v>97604</v>
      </c>
      <c r="N917" t="s">
        <v>341</v>
      </c>
      <c r="O917">
        <v>250416</v>
      </c>
      <c r="P917">
        <v>19.7</v>
      </c>
    </row>
    <row r="918" spans="1:16" x14ac:dyDescent="0.25">
      <c r="A918" t="s">
        <v>3296</v>
      </c>
      <c r="B918" t="s">
        <v>2931</v>
      </c>
      <c r="C918">
        <v>5096</v>
      </c>
      <c r="D918" t="str">
        <f>"51980286    "</f>
        <v xml:space="preserve">51980286    </v>
      </c>
      <c r="E918" t="s">
        <v>609</v>
      </c>
      <c r="F918" t="s">
        <v>612</v>
      </c>
      <c r="G918">
        <v>874.16</v>
      </c>
      <c r="H918">
        <v>250331</v>
      </c>
      <c r="I918">
        <v>1196</v>
      </c>
      <c r="J918" t="s">
        <v>340</v>
      </c>
      <c r="K918">
        <v>874.16</v>
      </c>
      <c r="L918">
        <v>177.62</v>
      </c>
      <c r="M918">
        <v>97604</v>
      </c>
      <c r="N918" t="s">
        <v>341</v>
      </c>
      <c r="O918">
        <v>250416</v>
      </c>
      <c r="P918">
        <v>696.54</v>
      </c>
    </row>
    <row r="919" spans="1:16" x14ac:dyDescent="0.25">
      <c r="A919" t="s">
        <v>3296</v>
      </c>
      <c r="B919" t="s">
        <v>2931</v>
      </c>
      <c r="C919">
        <v>605</v>
      </c>
      <c r="D919" t="str">
        <f>"51942915    "</f>
        <v xml:space="preserve">51942915    </v>
      </c>
      <c r="E919" t="s">
        <v>609</v>
      </c>
      <c r="F919" t="s">
        <v>612</v>
      </c>
      <c r="G919">
        <v>874.16</v>
      </c>
      <c r="H919">
        <v>250115</v>
      </c>
      <c r="I919">
        <v>1198</v>
      </c>
      <c r="J919" t="s">
        <v>610</v>
      </c>
      <c r="K919">
        <v>874.16</v>
      </c>
      <c r="L919">
        <v>177.62</v>
      </c>
      <c r="M919">
        <v>98110</v>
      </c>
      <c r="N919" t="s">
        <v>611</v>
      </c>
      <c r="O919">
        <v>250127</v>
      </c>
      <c r="P919">
        <v>696.54</v>
      </c>
    </row>
    <row r="920" spans="1:16" x14ac:dyDescent="0.25">
      <c r="A920" t="s">
        <v>3296</v>
      </c>
      <c r="B920" t="s">
        <v>2931</v>
      </c>
      <c r="C920">
        <v>1051</v>
      </c>
      <c r="D920" t="str">
        <f>"51951566    "</f>
        <v xml:space="preserve">51951566    </v>
      </c>
      <c r="E920" t="s">
        <v>609</v>
      </c>
      <c r="F920" t="s">
        <v>612</v>
      </c>
      <c r="G920">
        <v>1676.3</v>
      </c>
      <c r="H920">
        <v>250131</v>
      </c>
      <c r="I920">
        <v>1198</v>
      </c>
      <c r="J920" t="s">
        <v>610</v>
      </c>
      <c r="K920">
        <v>1676.3</v>
      </c>
      <c r="L920">
        <v>340.6</v>
      </c>
      <c r="M920">
        <v>97628</v>
      </c>
      <c r="N920" t="s">
        <v>737</v>
      </c>
      <c r="O920">
        <v>250203</v>
      </c>
      <c r="P920">
        <v>1335.7</v>
      </c>
    </row>
    <row r="921" spans="1:16" x14ac:dyDescent="0.25">
      <c r="A921" t="s">
        <v>3296</v>
      </c>
      <c r="B921" t="s">
        <v>2931</v>
      </c>
      <c r="C921">
        <v>6674</v>
      </c>
      <c r="D921" t="str">
        <f>"51994361    "</f>
        <v xml:space="preserve">51994361    </v>
      </c>
      <c r="E921" t="s">
        <v>609</v>
      </c>
      <c r="F921" t="s">
        <v>612</v>
      </c>
      <c r="G921">
        <v>125.45</v>
      </c>
      <c r="H921">
        <v>250430</v>
      </c>
      <c r="I921">
        <v>1198</v>
      </c>
      <c r="J921" t="s">
        <v>610</v>
      </c>
      <c r="K921">
        <v>125.45</v>
      </c>
      <c r="L921">
        <v>25.49</v>
      </c>
      <c r="M921">
        <v>98110</v>
      </c>
      <c r="N921" t="s">
        <v>611</v>
      </c>
      <c r="O921">
        <v>250515</v>
      </c>
      <c r="P921">
        <v>99.96</v>
      </c>
    </row>
    <row r="922" spans="1:16" x14ac:dyDescent="0.25">
      <c r="A922" t="s">
        <v>3296</v>
      </c>
      <c r="B922" t="s">
        <v>2931</v>
      </c>
      <c r="C922">
        <v>8612</v>
      </c>
      <c r="D922" t="str">
        <f>"52007789    "</f>
        <v xml:space="preserve">52007789    </v>
      </c>
      <c r="E922" t="s">
        <v>609</v>
      </c>
      <c r="F922" t="s">
        <v>612</v>
      </c>
      <c r="G922">
        <v>87265.67</v>
      </c>
      <c r="H922">
        <v>250528</v>
      </c>
      <c r="I922">
        <v>1198</v>
      </c>
      <c r="J922" t="s">
        <v>610</v>
      </c>
      <c r="K922">
        <v>87265.67</v>
      </c>
      <c r="L922">
        <v>17731.27</v>
      </c>
      <c r="M922">
        <v>98511</v>
      </c>
      <c r="N922" t="s">
        <v>2047</v>
      </c>
      <c r="O922">
        <v>250617</v>
      </c>
      <c r="P922">
        <v>69534.399999999994</v>
      </c>
    </row>
    <row r="923" spans="1:16" x14ac:dyDescent="0.25">
      <c r="A923" t="s">
        <v>3296</v>
      </c>
      <c r="B923" t="s">
        <v>2931</v>
      </c>
      <c r="C923">
        <v>14498</v>
      </c>
      <c r="D923" t="str">
        <f>"52072295    "</f>
        <v xml:space="preserve">52072295    </v>
      </c>
      <c r="E923" t="s">
        <v>609</v>
      </c>
      <c r="F923" t="s">
        <v>612</v>
      </c>
      <c r="G923">
        <v>1562.22</v>
      </c>
      <c r="H923">
        <v>251029</v>
      </c>
      <c r="I923">
        <v>1198</v>
      </c>
      <c r="J923" t="s">
        <v>610</v>
      </c>
      <c r="K923">
        <v>1562.22</v>
      </c>
      <c r="L923">
        <v>317.42</v>
      </c>
      <c r="M923">
        <v>98511</v>
      </c>
      <c r="N923" t="s">
        <v>2047</v>
      </c>
      <c r="O923">
        <v>251103</v>
      </c>
      <c r="P923">
        <v>1244.8</v>
      </c>
    </row>
    <row r="924" spans="1:16" x14ac:dyDescent="0.25">
      <c r="A924" t="s">
        <v>3296</v>
      </c>
      <c r="B924" t="s">
        <v>2931</v>
      </c>
      <c r="C924">
        <v>16814</v>
      </c>
      <c r="D924" t="str">
        <f>"52090649    "</f>
        <v xml:space="preserve">52090649    </v>
      </c>
      <c r="E924" t="s">
        <v>609</v>
      </c>
      <c r="F924" t="s">
        <v>612</v>
      </c>
      <c r="G924">
        <v>821.7</v>
      </c>
      <c r="H924">
        <v>251203</v>
      </c>
      <c r="I924">
        <v>1198</v>
      </c>
      <c r="J924" t="s">
        <v>610</v>
      </c>
      <c r="K924">
        <v>821.7</v>
      </c>
      <c r="L924">
        <v>166.96</v>
      </c>
      <c r="M924">
        <v>97628</v>
      </c>
      <c r="N924" t="s">
        <v>737</v>
      </c>
      <c r="O924">
        <v>251212</v>
      </c>
      <c r="P924">
        <v>654.74</v>
      </c>
    </row>
    <row r="925" spans="1:16" x14ac:dyDescent="0.25">
      <c r="A925" t="s">
        <v>3296</v>
      </c>
      <c r="B925" t="s">
        <v>2931</v>
      </c>
      <c r="C925">
        <v>3307</v>
      </c>
      <c r="D925" t="str">
        <f>"51965216    "</f>
        <v xml:space="preserve">51965216    </v>
      </c>
      <c r="E925" t="s">
        <v>609</v>
      </c>
      <c r="F925" t="s">
        <v>612</v>
      </c>
      <c r="G925">
        <v>51.78</v>
      </c>
      <c r="H925">
        <v>250226</v>
      </c>
      <c r="I925">
        <v>4500</v>
      </c>
      <c r="J925" t="s">
        <v>312</v>
      </c>
      <c r="K925">
        <v>51.78</v>
      </c>
      <c r="L925">
        <v>10.52</v>
      </c>
      <c r="M925">
        <v>65222</v>
      </c>
      <c r="N925" t="s">
        <v>87</v>
      </c>
      <c r="O925">
        <v>250318</v>
      </c>
      <c r="P925">
        <v>41.26</v>
      </c>
    </row>
    <row r="926" spans="1:16" x14ac:dyDescent="0.25">
      <c r="A926" t="s">
        <v>3296</v>
      </c>
      <c r="B926" t="s">
        <v>2931</v>
      </c>
      <c r="C926">
        <v>12364</v>
      </c>
      <c r="D926" t="str">
        <f>"52045958    "</f>
        <v xml:space="preserve">52045958    </v>
      </c>
      <c r="E926" t="s">
        <v>609</v>
      </c>
      <c r="F926" t="s">
        <v>612</v>
      </c>
      <c r="G926">
        <v>554.13</v>
      </c>
      <c r="H926">
        <v>250908</v>
      </c>
      <c r="I926">
        <v>4500</v>
      </c>
      <c r="J926" t="s">
        <v>312</v>
      </c>
      <c r="K926">
        <v>554.13</v>
      </c>
      <c r="L926">
        <v>112.59</v>
      </c>
      <c r="M926">
        <v>13801</v>
      </c>
      <c r="N926" t="s">
        <v>33</v>
      </c>
      <c r="O926">
        <v>250919</v>
      </c>
      <c r="P926">
        <v>441.54</v>
      </c>
    </row>
    <row r="927" spans="1:16" x14ac:dyDescent="0.25">
      <c r="A927" t="s">
        <v>3296</v>
      </c>
      <c r="B927" t="s">
        <v>2931</v>
      </c>
      <c r="C927">
        <v>12788</v>
      </c>
      <c r="D927" t="str">
        <f>"52050911    "</f>
        <v xml:space="preserve">52050911    </v>
      </c>
      <c r="E927" t="s">
        <v>609</v>
      </c>
      <c r="F927" t="s">
        <v>612</v>
      </c>
      <c r="G927">
        <v>26.18</v>
      </c>
      <c r="H927">
        <v>250917</v>
      </c>
      <c r="I927">
        <v>4500</v>
      </c>
      <c r="J927" t="s">
        <v>312</v>
      </c>
      <c r="K927">
        <v>26.18</v>
      </c>
      <c r="L927">
        <v>5.32</v>
      </c>
      <c r="M927">
        <v>69702</v>
      </c>
      <c r="N927" t="s">
        <v>124</v>
      </c>
      <c r="O927">
        <v>250930</v>
      </c>
      <c r="P927">
        <v>20.86</v>
      </c>
    </row>
    <row r="928" spans="1:16" x14ac:dyDescent="0.25">
      <c r="A928" t="s">
        <v>3296</v>
      </c>
      <c r="B928" t="s">
        <v>2931</v>
      </c>
      <c r="C928">
        <v>14793</v>
      </c>
      <c r="D928" t="str">
        <f>"52072478    "</f>
        <v xml:space="preserve">52072478    </v>
      </c>
      <c r="E928" t="s">
        <v>609</v>
      </c>
      <c r="F928" t="s">
        <v>612</v>
      </c>
      <c r="G928">
        <v>554.13</v>
      </c>
      <c r="H928">
        <v>251030</v>
      </c>
      <c r="I928">
        <v>4500</v>
      </c>
      <c r="J928" t="s">
        <v>312</v>
      </c>
      <c r="K928">
        <v>554.13</v>
      </c>
      <c r="L928">
        <v>112.59</v>
      </c>
      <c r="M928">
        <v>13802</v>
      </c>
      <c r="N928" t="s">
        <v>34</v>
      </c>
      <c r="O928">
        <v>251106</v>
      </c>
      <c r="P928">
        <v>441.54</v>
      </c>
    </row>
    <row r="929" spans="1:16" x14ac:dyDescent="0.25">
      <c r="A929" t="s">
        <v>3296</v>
      </c>
      <c r="B929" t="s">
        <v>2931</v>
      </c>
      <c r="C929">
        <v>15290</v>
      </c>
      <c r="D929" t="str">
        <f>"52075238    "</f>
        <v xml:space="preserve">52075238    </v>
      </c>
      <c r="E929" t="s">
        <v>609</v>
      </c>
      <c r="F929" t="s">
        <v>612</v>
      </c>
      <c r="G929">
        <v>30.13</v>
      </c>
      <c r="H929">
        <v>251103</v>
      </c>
      <c r="I929">
        <v>4500</v>
      </c>
      <c r="J929" t="s">
        <v>312</v>
      </c>
      <c r="K929">
        <v>30.13</v>
      </c>
      <c r="L929">
        <v>6.12</v>
      </c>
      <c r="M929">
        <v>12500</v>
      </c>
      <c r="N929" t="s">
        <v>1502</v>
      </c>
      <c r="O929">
        <v>251117</v>
      </c>
      <c r="P929">
        <v>24.01</v>
      </c>
    </row>
    <row r="930" spans="1:16" x14ac:dyDescent="0.25">
      <c r="A930" t="s">
        <v>3296</v>
      </c>
      <c r="B930" t="s">
        <v>2931</v>
      </c>
      <c r="C930">
        <v>15646</v>
      </c>
      <c r="D930" t="str">
        <f>"52077276    "</f>
        <v xml:space="preserve">52077276    </v>
      </c>
      <c r="E930" t="s">
        <v>609</v>
      </c>
      <c r="F930" t="s">
        <v>612</v>
      </c>
      <c r="G930">
        <v>547.67999999999995</v>
      </c>
      <c r="H930">
        <v>251106</v>
      </c>
      <c r="I930">
        <v>4500</v>
      </c>
      <c r="J930" t="s">
        <v>312</v>
      </c>
      <c r="K930">
        <v>547.67999999999995</v>
      </c>
      <c r="L930">
        <v>111.28</v>
      </c>
      <c r="M930">
        <v>69702</v>
      </c>
      <c r="N930" t="s">
        <v>124</v>
      </c>
      <c r="O930">
        <v>251124</v>
      </c>
      <c r="P930">
        <v>436.4</v>
      </c>
    </row>
    <row r="931" spans="1:16" x14ac:dyDescent="0.25">
      <c r="A931" t="s">
        <v>3296</v>
      </c>
      <c r="B931" t="s">
        <v>2931</v>
      </c>
      <c r="C931">
        <v>8035</v>
      </c>
      <c r="D931" t="str">
        <f>"52002309    "</f>
        <v xml:space="preserve">52002309    </v>
      </c>
      <c r="E931" t="s">
        <v>609</v>
      </c>
      <c r="F931" t="s">
        <v>612</v>
      </c>
      <c r="G931">
        <v>250.21</v>
      </c>
      <c r="H931">
        <v>250516</v>
      </c>
      <c r="I931">
        <v>4580</v>
      </c>
      <c r="J931" t="s">
        <v>126</v>
      </c>
      <c r="K931">
        <v>250.21</v>
      </c>
      <c r="L931">
        <v>50.84</v>
      </c>
      <c r="M931">
        <v>56524</v>
      </c>
      <c r="N931" t="s">
        <v>69</v>
      </c>
      <c r="O931">
        <v>250611</v>
      </c>
      <c r="P931">
        <v>199.37</v>
      </c>
    </row>
    <row r="932" spans="1:16" x14ac:dyDescent="0.25">
      <c r="A932" t="s">
        <v>3296</v>
      </c>
      <c r="B932" t="s">
        <v>2931</v>
      </c>
      <c r="C932">
        <v>9327</v>
      </c>
      <c r="D932" t="str">
        <f>"52018955    "</f>
        <v xml:space="preserve">52018955    </v>
      </c>
      <c r="E932" t="s">
        <v>609</v>
      </c>
      <c r="F932" t="s">
        <v>612</v>
      </c>
      <c r="G932">
        <v>120.61</v>
      </c>
      <c r="H932">
        <v>250625</v>
      </c>
      <c r="I932">
        <v>4580</v>
      </c>
      <c r="J932" t="s">
        <v>126</v>
      </c>
      <c r="K932">
        <v>120.61</v>
      </c>
      <c r="L932">
        <v>24.51</v>
      </c>
      <c r="M932">
        <v>11801</v>
      </c>
      <c r="N932" t="s">
        <v>40</v>
      </c>
      <c r="O932">
        <v>250703</v>
      </c>
      <c r="P932">
        <v>96.1</v>
      </c>
    </row>
    <row r="933" spans="1:16" x14ac:dyDescent="0.25">
      <c r="A933" t="s">
        <v>3296</v>
      </c>
      <c r="B933" t="s">
        <v>2931</v>
      </c>
      <c r="C933">
        <v>10945</v>
      </c>
      <c r="D933" t="str">
        <f>"52038842    "</f>
        <v xml:space="preserve">52038842    </v>
      </c>
      <c r="E933" t="s">
        <v>609</v>
      </c>
      <c r="F933" t="s">
        <v>612</v>
      </c>
      <c r="G933">
        <v>434.15</v>
      </c>
      <c r="H933">
        <v>250822</v>
      </c>
      <c r="I933">
        <v>4580</v>
      </c>
      <c r="J933" t="s">
        <v>126</v>
      </c>
      <c r="K933">
        <v>434.15</v>
      </c>
      <c r="L933">
        <v>88.21</v>
      </c>
      <c r="M933">
        <v>69111</v>
      </c>
      <c r="N933" t="s">
        <v>657</v>
      </c>
      <c r="O933">
        <v>250827</v>
      </c>
      <c r="P933">
        <v>345.94</v>
      </c>
    </row>
    <row r="934" spans="1:16" x14ac:dyDescent="0.25">
      <c r="A934" t="s">
        <v>3296</v>
      </c>
      <c r="B934" t="s">
        <v>2931</v>
      </c>
      <c r="C934">
        <v>11089</v>
      </c>
      <c r="D934" t="str">
        <f>"52038913    "</f>
        <v xml:space="preserve">52038913    </v>
      </c>
      <c r="E934" t="s">
        <v>609</v>
      </c>
      <c r="F934" t="s">
        <v>612</v>
      </c>
      <c r="G934">
        <v>156.93</v>
      </c>
      <c r="H934">
        <v>250822</v>
      </c>
      <c r="I934">
        <v>4580</v>
      </c>
      <c r="J934" t="s">
        <v>126</v>
      </c>
      <c r="K934">
        <v>156.93</v>
      </c>
      <c r="L934">
        <v>31.89</v>
      </c>
      <c r="M934">
        <v>11801</v>
      </c>
      <c r="N934" t="s">
        <v>40</v>
      </c>
      <c r="O934">
        <v>250829</v>
      </c>
      <c r="P934">
        <v>125.04</v>
      </c>
    </row>
    <row r="935" spans="1:16" x14ac:dyDescent="0.25">
      <c r="A935" t="s">
        <v>3296</v>
      </c>
      <c r="B935" t="s">
        <v>2931</v>
      </c>
      <c r="C935">
        <v>11274</v>
      </c>
      <c r="D935" t="str">
        <f>"52041399    "</f>
        <v xml:space="preserve">52041399    </v>
      </c>
      <c r="E935" t="s">
        <v>609</v>
      </c>
      <c r="F935" t="s">
        <v>612</v>
      </c>
      <c r="G935">
        <v>1551.81</v>
      </c>
      <c r="H935">
        <v>250829</v>
      </c>
      <c r="I935">
        <v>4580</v>
      </c>
      <c r="J935" t="s">
        <v>126</v>
      </c>
      <c r="K935">
        <v>1551.81</v>
      </c>
      <c r="L935">
        <v>315.31</v>
      </c>
      <c r="M935">
        <v>17530</v>
      </c>
      <c r="N935" t="s">
        <v>144</v>
      </c>
      <c r="O935">
        <v>250902</v>
      </c>
      <c r="P935">
        <v>1236.5</v>
      </c>
    </row>
    <row r="936" spans="1:16" x14ac:dyDescent="0.25">
      <c r="A936" t="s">
        <v>3296</v>
      </c>
      <c r="B936" t="s">
        <v>2931</v>
      </c>
      <c r="C936">
        <v>11775</v>
      </c>
      <c r="D936" t="str">
        <f>"52041092    "</f>
        <v xml:space="preserve">52041092    </v>
      </c>
      <c r="E936" t="s">
        <v>609</v>
      </c>
      <c r="F936" t="s">
        <v>612</v>
      </c>
      <c r="G936">
        <v>15.51</v>
      </c>
      <c r="H936">
        <v>250828</v>
      </c>
      <c r="I936">
        <v>4580</v>
      </c>
      <c r="J936" t="s">
        <v>126</v>
      </c>
      <c r="K936">
        <v>15.51</v>
      </c>
      <c r="L936">
        <v>3.15</v>
      </c>
      <c r="M936">
        <v>69111</v>
      </c>
      <c r="N936" t="s">
        <v>657</v>
      </c>
      <c r="O936">
        <v>250910</v>
      </c>
      <c r="P936">
        <v>12.36</v>
      </c>
    </row>
    <row r="937" spans="1:16" x14ac:dyDescent="0.25">
      <c r="A937" t="s">
        <v>3296</v>
      </c>
      <c r="B937" t="s">
        <v>2931</v>
      </c>
      <c r="C937">
        <v>12688</v>
      </c>
      <c r="D937" t="str">
        <f>"52044611    "</f>
        <v xml:space="preserve">52044611    </v>
      </c>
      <c r="E937" t="s">
        <v>609</v>
      </c>
      <c r="F937" t="s">
        <v>612</v>
      </c>
      <c r="G937">
        <v>80.73</v>
      </c>
      <c r="H937">
        <v>250903</v>
      </c>
      <c r="I937">
        <v>4580</v>
      </c>
      <c r="J937" t="s">
        <v>126</v>
      </c>
      <c r="K937">
        <v>80.73</v>
      </c>
      <c r="L937">
        <v>16.399999999999999</v>
      </c>
      <c r="M937">
        <v>46554</v>
      </c>
      <c r="N937" t="s">
        <v>102</v>
      </c>
      <c r="O937">
        <v>250929</v>
      </c>
      <c r="P937">
        <v>64.33</v>
      </c>
    </row>
    <row r="938" spans="1:16" x14ac:dyDescent="0.25">
      <c r="A938" t="s">
        <v>3296</v>
      </c>
      <c r="B938" t="s">
        <v>2931</v>
      </c>
      <c r="C938">
        <v>12790</v>
      </c>
      <c r="D938" t="str">
        <f>"52051007    "</f>
        <v xml:space="preserve">52051007    </v>
      </c>
      <c r="E938" t="s">
        <v>609</v>
      </c>
      <c r="F938" t="s">
        <v>612</v>
      </c>
      <c r="G938">
        <v>35.33</v>
      </c>
      <c r="H938">
        <v>250918</v>
      </c>
      <c r="I938">
        <v>4580</v>
      </c>
      <c r="J938" t="s">
        <v>126</v>
      </c>
      <c r="K938">
        <v>35.33</v>
      </c>
      <c r="L938">
        <v>7.18</v>
      </c>
      <c r="M938">
        <v>69702</v>
      </c>
      <c r="N938" t="s">
        <v>124</v>
      </c>
      <c r="O938">
        <v>250930</v>
      </c>
      <c r="P938">
        <v>28.15</v>
      </c>
    </row>
    <row r="939" spans="1:16" x14ac:dyDescent="0.25">
      <c r="A939" t="s">
        <v>3296</v>
      </c>
      <c r="B939" t="s">
        <v>2931</v>
      </c>
      <c r="C939">
        <v>12851</v>
      </c>
      <c r="D939" t="str">
        <f>"52052329    "</f>
        <v xml:space="preserve">52052329    </v>
      </c>
      <c r="E939" t="s">
        <v>609</v>
      </c>
      <c r="F939" t="s">
        <v>612</v>
      </c>
      <c r="G939">
        <v>935.34</v>
      </c>
      <c r="H939">
        <v>250919</v>
      </c>
      <c r="I939">
        <v>4580</v>
      </c>
      <c r="J939" t="s">
        <v>126</v>
      </c>
      <c r="K939">
        <v>935.34</v>
      </c>
      <c r="L939">
        <v>190.05</v>
      </c>
      <c r="M939">
        <v>47522</v>
      </c>
      <c r="N939" t="s">
        <v>106</v>
      </c>
      <c r="O939">
        <v>250930</v>
      </c>
      <c r="P939">
        <v>745.29</v>
      </c>
    </row>
    <row r="940" spans="1:16" x14ac:dyDescent="0.25">
      <c r="A940" t="s">
        <v>3296</v>
      </c>
      <c r="B940" t="s">
        <v>2931</v>
      </c>
      <c r="C940">
        <v>13982</v>
      </c>
      <c r="D940" t="str">
        <f>"52059141    "</f>
        <v xml:space="preserve">52059141    </v>
      </c>
      <c r="E940" t="s">
        <v>609</v>
      </c>
      <c r="F940" t="s">
        <v>612</v>
      </c>
      <c r="G940">
        <v>143.63</v>
      </c>
      <c r="H940">
        <v>251002</v>
      </c>
      <c r="I940">
        <v>4580</v>
      </c>
      <c r="J940" t="s">
        <v>126</v>
      </c>
      <c r="K940">
        <v>143.63</v>
      </c>
      <c r="L940">
        <v>29.18</v>
      </c>
      <c r="M940">
        <v>69112</v>
      </c>
      <c r="N940" t="s">
        <v>227</v>
      </c>
      <c r="O940">
        <v>251021</v>
      </c>
      <c r="P940">
        <v>114.45</v>
      </c>
    </row>
    <row r="941" spans="1:16" x14ac:dyDescent="0.25">
      <c r="A941" t="s">
        <v>3296</v>
      </c>
      <c r="B941" t="s">
        <v>2931</v>
      </c>
      <c r="C941">
        <v>13984</v>
      </c>
      <c r="D941" t="str">
        <f>"52059142    "</f>
        <v xml:space="preserve">52059142    </v>
      </c>
      <c r="E941" t="s">
        <v>609</v>
      </c>
      <c r="F941" t="s">
        <v>612</v>
      </c>
      <c r="G941">
        <v>143.63</v>
      </c>
      <c r="H941">
        <v>251002</v>
      </c>
      <c r="I941">
        <v>4580</v>
      </c>
      <c r="J941" t="s">
        <v>126</v>
      </c>
      <c r="K941">
        <v>143.63</v>
      </c>
      <c r="L941">
        <v>29.18</v>
      </c>
      <c r="M941">
        <v>69501</v>
      </c>
      <c r="N941" t="s">
        <v>123</v>
      </c>
      <c r="O941">
        <v>251021</v>
      </c>
      <c r="P941">
        <v>114.45</v>
      </c>
    </row>
    <row r="942" spans="1:16" x14ac:dyDescent="0.25">
      <c r="A942" t="s">
        <v>3296</v>
      </c>
      <c r="B942" t="s">
        <v>2931</v>
      </c>
      <c r="C942">
        <v>13992</v>
      </c>
      <c r="D942" t="str">
        <f>"52059996    "</f>
        <v xml:space="preserve">52059996    </v>
      </c>
      <c r="E942" t="s">
        <v>609</v>
      </c>
      <c r="F942" t="s">
        <v>612</v>
      </c>
      <c r="G942">
        <v>138.93</v>
      </c>
      <c r="H942">
        <v>251003</v>
      </c>
      <c r="I942">
        <v>4580</v>
      </c>
      <c r="J942" t="s">
        <v>126</v>
      </c>
      <c r="K942">
        <v>138.93</v>
      </c>
      <c r="L942">
        <v>28.23</v>
      </c>
      <c r="M942">
        <v>65222</v>
      </c>
      <c r="N942" t="s">
        <v>87</v>
      </c>
      <c r="O942">
        <v>251021</v>
      </c>
      <c r="P942">
        <v>110.7</v>
      </c>
    </row>
    <row r="943" spans="1:16" x14ac:dyDescent="0.25">
      <c r="A943" t="s">
        <v>3296</v>
      </c>
      <c r="B943" t="s">
        <v>2931</v>
      </c>
      <c r="C943">
        <v>14006</v>
      </c>
      <c r="D943" t="str">
        <f>"52063363    "</f>
        <v xml:space="preserve">52063363    </v>
      </c>
      <c r="E943" t="s">
        <v>609</v>
      </c>
      <c r="F943" t="s">
        <v>612</v>
      </c>
      <c r="G943">
        <v>71.819999999999993</v>
      </c>
      <c r="H943">
        <v>251010</v>
      </c>
      <c r="I943">
        <v>4580</v>
      </c>
      <c r="J943" t="s">
        <v>126</v>
      </c>
      <c r="K943">
        <v>143.63</v>
      </c>
      <c r="L943">
        <v>14.59</v>
      </c>
      <c r="M943">
        <v>66754</v>
      </c>
      <c r="N943" t="s">
        <v>119</v>
      </c>
      <c r="O943">
        <v>251021</v>
      </c>
      <c r="P943">
        <v>57.23</v>
      </c>
    </row>
    <row r="944" spans="1:16" x14ac:dyDescent="0.25">
      <c r="A944" t="s">
        <v>3296</v>
      </c>
      <c r="B944" t="s">
        <v>2931</v>
      </c>
      <c r="C944">
        <v>14006</v>
      </c>
      <c r="D944" t="str">
        <f>"52063363    "</f>
        <v xml:space="preserve">52063363    </v>
      </c>
      <c r="E944" t="s">
        <v>609</v>
      </c>
      <c r="F944" t="s">
        <v>612</v>
      </c>
      <c r="G944">
        <v>71.81</v>
      </c>
      <c r="H944">
        <v>251010</v>
      </c>
      <c r="I944">
        <v>4580</v>
      </c>
      <c r="J944" t="s">
        <v>126</v>
      </c>
      <c r="K944">
        <v>143.63</v>
      </c>
      <c r="L944">
        <v>14.59</v>
      </c>
      <c r="M944">
        <v>67554</v>
      </c>
      <c r="N944" t="s">
        <v>317</v>
      </c>
      <c r="O944">
        <v>251021</v>
      </c>
      <c r="P944">
        <v>57.22</v>
      </c>
    </row>
    <row r="945" spans="1:16" x14ac:dyDescent="0.25">
      <c r="A945" t="s">
        <v>3296</v>
      </c>
      <c r="B945" t="s">
        <v>2931</v>
      </c>
      <c r="C945">
        <v>14177</v>
      </c>
      <c r="D945" t="str">
        <f>"52067714    "</f>
        <v xml:space="preserve">52067714    </v>
      </c>
      <c r="E945" t="s">
        <v>609</v>
      </c>
      <c r="F945" t="s">
        <v>612</v>
      </c>
      <c r="G945">
        <v>108.23</v>
      </c>
      <c r="H945">
        <v>251020</v>
      </c>
      <c r="I945">
        <v>4580</v>
      </c>
      <c r="J945" t="s">
        <v>126</v>
      </c>
      <c r="K945">
        <v>108.23</v>
      </c>
      <c r="L945">
        <v>21.99</v>
      </c>
      <c r="M945">
        <v>46557</v>
      </c>
      <c r="N945" t="s">
        <v>104</v>
      </c>
      <c r="O945">
        <v>251024</v>
      </c>
      <c r="P945">
        <v>86.24</v>
      </c>
    </row>
    <row r="946" spans="1:16" x14ac:dyDescent="0.25">
      <c r="A946" t="s">
        <v>3296</v>
      </c>
      <c r="B946" t="s">
        <v>2931</v>
      </c>
      <c r="C946">
        <v>14190</v>
      </c>
      <c r="D946" t="str">
        <f>"52066477    "</f>
        <v xml:space="preserve">52066477    </v>
      </c>
      <c r="E946" t="s">
        <v>609</v>
      </c>
      <c r="F946" t="s">
        <v>612</v>
      </c>
      <c r="G946">
        <v>143.63</v>
      </c>
      <c r="H946">
        <v>251017</v>
      </c>
      <c r="I946">
        <v>4580</v>
      </c>
      <c r="J946" t="s">
        <v>126</v>
      </c>
      <c r="K946">
        <v>143.63</v>
      </c>
      <c r="L946">
        <v>29.18</v>
      </c>
      <c r="M946">
        <v>69707</v>
      </c>
      <c r="N946" t="s">
        <v>90</v>
      </c>
      <c r="O946">
        <v>251024</v>
      </c>
      <c r="P946">
        <v>114.45</v>
      </c>
    </row>
    <row r="947" spans="1:16" x14ac:dyDescent="0.25">
      <c r="A947" t="s">
        <v>3296</v>
      </c>
      <c r="B947" t="s">
        <v>2931</v>
      </c>
      <c r="C947">
        <v>14459</v>
      </c>
      <c r="D947" t="str">
        <f>"52072603    "</f>
        <v xml:space="preserve">52072603    </v>
      </c>
      <c r="E947" t="s">
        <v>609</v>
      </c>
      <c r="F947" t="s">
        <v>612</v>
      </c>
      <c r="G947">
        <v>223.48</v>
      </c>
      <c r="H947">
        <v>251030</v>
      </c>
      <c r="I947">
        <v>4580</v>
      </c>
      <c r="J947" t="s">
        <v>126</v>
      </c>
      <c r="K947">
        <v>223.48</v>
      </c>
      <c r="L947">
        <v>45.41</v>
      </c>
      <c r="M947">
        <v>59815</v>
      </c>
      <c r="N947" t="s">
        <v>1001</v>
      </c>
      <c r="O947">
        <v>251031</v>
      </c>
      <c r="P947">
        <v>178.07</v>
      </c>
    </row>
    <row r="948" spans="1:16" x14ac:dyDescent="0.25">
      <c r="A948" t="s">
        <v>3296</v>
      </c>
      <c r="B948" t="s">
        <v>2931</v>
      </c>
      <c r="C948">
        <v>14767</v>
      </c>
      <c r="D948" t="str">
        <f>"52076453    "</f>
        <v xml:space="preserve">52076453    </v>
      </c>
      <c r="E948" t="s">
        <v>609</v>
      </c>
      <c r="F948" t="s">
        <v>612</v>
      </c>
      <c r="G948">
        <v>51.51</v>
      </c>
      <c r="H948">
        <v>251105</v>
      </c>
      <c r="I948">
        <v>4580</v>
      </c>
      <c r="J948" t="s">
        <v>126</v>
      </c>
      <c r="K948">
        <v>51.51</v>
      </c>
      <c r="L948">
        <v>10.47</v>
      </c>
      <c r="M948">
        <v>17862</v>
      </c>
      <c r="N948" t="s">
        <v>130</v>
      </c>
      <c r="O948">
        <v>251106</v>
      </c>
      <c r="P948">
        <v>41.04</v>
      </c>
    </row>
    <row r="949" spans="1:16" x14ac:dyDescent="0.25">
      <c r="A949" t="s">
        <v>3296</v>
      </c>
      <c r="B949" t="s">
        <v>2931</v>
      </c>
      <c r="C949">
        <v>15587</v>
      </c>
      <c r="D949" t="str">
        <f>"52081998    "</f>
        <v xml:space="preserve">52081998    </v>
      </c>
      <c r="E949" t="s">
        <v>609</v>
      </c>
      <c r="F949" t="s">
        <v>612</v>
      </c>
      <c r="G949">
        <v>537.11</v>
      </c>
      <c r="H949">
        <v>251117</v>
      </c>
      <c r="I949">
        <v>4580</v>
      </c>
      <c r="J949" t="s">
        <v>126</v>
      </c>
      <c r="K949">
        <v>537.11</v>
      </c>
      <c r="L949">
        <v>109.13</v>
      </c>
      <c r="M949">
        <v>66754</v>
      </c>
      <c r="N949" t="s">
        <v>119</v>
      </c>
      <c r="O949">
        <v>251121</v>
      </c>
      <c r="P949">
        <v>427.98</v>
      </c>
    </row>
    <row r="950" spans="1:16" x14ac:dyDescent="0.25">
      <c r="A950" t="s">
        <v>3296</v>
      </c>
      <c r="B950" t="s">
        <v>2931</v>
      </c>
      <c r="C950">
        <v>15678</v>
      </c>
      <c r="D950" t="str">
        <f>"52081299    "</f>
        <v xml:space="preserve">52081299    </v>
      </c>
      <c r="E950" t="s">
        <v>609</v>
      </c>
      <c r="F950" t="s">
        <v>612</v>
      </c>
      <c r="G950">
        <v>633.65</v>
      </c>
      <c r="H950">
        <v>251115</v>
      </c>
      <c r="I950">
        <v>4580</v>
      </c>
      <c r="J950" t="s">
        <v>126</v>
      </c>
      <c r="K950">
        <v>633.65</v>
      </c>
      <c r="L950">
        <v>128.75</v>
      </c>
      <c r="M950">
        <v>13501</v>
      </c>
      <c r="N950" t="s">
        <v>66</v>
      </c>
      <c r="O950">
        <v>251124</v>
      </c>
      <c r="P950">
        <v>504.9</v>
      </c>
    </row>
    <row r="951" spans="1:16" x14ac:dyDescent="0.25">
      <c r="A951" t="s">
        <v>3296</v>
      </c>
      <c r="B951" t="s">
        <v>2931</v>
      </c>
      <c r="C951">
        <v>15859</v>
      </c>
      <c r="D951" t="str">
        <f>"52082297    "</f>
        <v xml:space="preserve">52082297    </v>
      </c>
      <c r="E951" t="s">
        <v>609</v>
      </c>
      <c r="F951" t="s">
        <v>612</v>
      </c>
      <c r="G951">
        <v>20.309999999999999</v>
      </c>
      <c r="H951">
        <v>251118</v>
      </c>
      <c r="I951">
        <v>4580</v>
      </c>
      <c r="J951" t="s">
        <v>126</v>
      </c>
      <c r="K951">
        <v>20.309999999999999</v>
      </c>
      <c r="L951">
        <v>4.13</v>
      </c>
      <c r="M951">
        <v>17803</v>
      </c>
      <c r="N951" t="s">
        <v>19</v>
      </c>
      <c r="O951">
        <v>251127</v>
      </c>
      <c r="P951">
        <v>16.18</v>
      </c>
    </row>
    <row r="952" spans="1:16" x14ac:dyDescent="0.25">
      <c r="A952" t="s">
        <v>3296</v>
      </c>
      <c r="B952" t="s">
        <v>2931</v>
      </c>
      <c r="C952">
        <v>15860</v>
      </c>
      <c r="D952" t="str">
        <f>"52082616    "</f>
        <v xml:space="preserve">52082616    </v>
      </c>
      <c r="E952" t="s">
        <v>609</v>
      </c>
      <c r="F952" t="s">
        <v>612</v>
      </c>
      <c r="G952">
        <v>1493.99</v>
      </c>
      <c r="H952">
        <v>251119</v>
      </c>
      <c r="I952">
        <v>4580</v>
      </c>
      <c r="J952" t="s">
        <v>126</v>
      </c>
      <c r="K952">
        <v>1493.99</v>
      </c>
      <c r="L952">
        <v>303.56</v>
      </c>
      <c r="M952">
        <v>17803</v>
      </c>
      <c r="N952" t="s">
        <v>19</v>
      </c>
      <c r="O952">
        <v>251127</v>
      </c>
      <c r="P952">
        <v>1190.43</v>
      </c>
    </row>
    <row r="953" spans="1:16" x14ac:dyDescent="0.25">
      <c r="A953" t="s">
        <v>3296</v>
      </c>
      <c r="B953" t="s">
        <v>2931</v>
      </c>
      <c r="C953">
        <v>15862</v>
      </c>
      <c r="D953" t="str">
        <f>"52083297    "</f>
        <v xml:space="preserve">52083297    </v>
      </c>
      <c r="E953" t="s">
        <v>609</v>
      </c>
      <c r="F953" t="s">
        <v>612</v>
      </c>
      <c r="G953">
        <v>109.83</v>
      </c>
      <c r="H953">
        <v>251119</v>
      </c>
      <c r="I953">
        <v>4580</v>
      </c>
      <c r="J953" t="s">
        <v>126</v>
      </c>
      <c r="K953">
        <v>109.83</v>
      </c>
      <c r="L953">
        <v>22.32</v>
      </c>
      <c r="M953">
        <v>17803</v>
      </c>
      <c r="N953" t="s">
        <v>19</v>
      </c>
      <c r="O953">
        <v>251127</v>
      </c>
      <c r="P953">
        <v>87.51</v>
      </c>
    </row>
    <row r="954" spans="1:16" x14ac:dyDescent="0.25">
      <c r="A954" t="s">
        <v>3296</v>
      </c>
      <c r="B954" t="s">
        <v>2931</v>
      </c>
      <c r="C954">
        <v>15871</v>
      </c>
      <c r="D954" t="str">
        <f>"52085079    "</f>
        <v xml:space="preserve">52085079    </v>
      </c>
      <c r="E954" t="s">
        <v>609</v>
      </c>
      <c r="F954" t="s">
        <v>612</v>
      </c>
      <c r="G954">
        <v>821.7</v>
      </c>
      <c r="H954">
        <v>251124</v>
      </c>
      <c r="I954">
        <v>4580</v>
      </c>
      <c r="J954" t="s">
        <v>126</v>
      </c>
      <c r="K954">
        <v>821.7</v>
      </c>
      <c r="L954">
        <v>166.96</v>
      </c>
      <c r="M954">
        <v>17807</v>
      </c>
      <c r="N954" t="s">
        <v>23</v>
      </c>
      <c r="O954">
        <v>251127</v>
      </c>
      <c r="P954">
        <v>654.74</v>
      </c>
    </row>
    <row r="955" spans="1:16" x14ac:dyDescent="0.25">
      <c r="A955" t="s">
        <v>3296</v>
      </c>
      <c r="B955" t="s">
        <v>2931</v>
      </c>
      <c r="C955">
        <v>15915</v>
      </c>
      <c r="D955" t="str">
        <f>"52085996    "</f>
        <v xml:space="preserve">52085996    </v>
      </c>
      <c r="E955" t="s">
        <v>609</v>
      </c>
      <c r="F955" t="s">
        <v>612</v>
      </c>
      <c r="G955">
        <v>137.32</v>
      </c>
      <c r="H955">
        <v>251125</v>
      </c>
      <c r="I955">
        <v>4580</v>
      </c>
      <c r="J955" t="s">
        <v>126</v>
      </c>
      <c r="K955">
        <v>137.32</v>
      </c>
      <c r="L955">
        <v>26.58</v>
      </c>
      <c r="M955">
        <v>56562</v>
      </c>
      <c r="N955" t="s">
        <v>54</v>
      </c>
      <c r="O955">
        <v>251128</v>
      </c>
      <c r="P955">
        <v>110.74</v>
      </c>
    </row>
    <row r="956" spans="1:16" x14ac:dyDescent="0.25">
      <c r="A956" t="s">
        <v>3296</v>
      </c>
      <c r="B956" t="s">
        <v>2931</v>
      </c>
      <c r="C956">
        <v>16120</v>
      </c>
      <c r="D956" t="str">
        <f>"52085189    "</f>
        <v xml:space="preserve">52085189    </v>
      </c>
      <c r="E956" t="s">
        <v>609</v>
      </c>
      <c r="F956" t="s">
        <v>612</v>
      </c>
      <c r="G956">
        <v>1339.85</v>
      </c>
      <c r="H956">
        <v>251124</v>
      </c>
      <c r="I956">
        <v>4580</v>
      </c>
      <c r="J956" t="s">
        <v>126</v>
      </c>
      <c r="K956">
        <v>1339.85</v>
      </c>
      <c r="L956">
        <v>272.24</v>
      </c>
      <c r="M956">
        <v>17802</v>
      </c>
      <c r="N956" t="s">
        <v>18</v>
      </c>
      <c r="O956">
        <v>251203</v>
      </c>
      <c r="P956">
        <v>1067.6099999999999</v>
      </c>
    </row>
    <row r="957" spans="1:16" x14ac:dyDescent="0.25">
      <c r="A957" t="s">
        <v>3296</v>
      </c>
      <c r="B957" t="s">
        <v>2931</v>
      </c>
      <c r="C957">
        <v>16124</v>
      </c>
      <c r="D957" t="str">
        <f>"52086630    "</f>
        <v xml:space="preserve">52086630    </v>
      </c>
      <c r="E957" t="s">
        <v>609</v>
      </c>
      <c r="F957" t="s">
        <v>612</v>
      </c>
      <c r="G957">
        <v>94.58</v>
      </c>
      <c r="H957">
        <v>251126</v>
      </c>
      <c r="I957">
        <v>4580</v>
      </c>
      <c r="J957" t="s">
        <v>126</v>
      </c>
      <c r="K957">
        <v>94.58</v>
      </c>
      <c r="L957">
        <v>19.22</v>
      </c>
      <c r="M957">
        <v>11602</v>
      </c>
      <c r="N957" t="s">
        <v>1457</v>
      </c>
      <c r="O957">
        <v>251203</v>
      </c>
      <c r="P957">
        <v>75.36</v>
      </c>
    </row>
    <row r="958" spans="1:16" x14ac:dyDescent="0.25">
      <c r="A958" t="s">
        <v>3296</v>
      </c>
      <c r="B958" t="s">
        <v>2931</v>
      </c>
      <c r="C958">
        <v>16301</v>
      </c>
      <c r="D958" t="str">
        <f>"52088437    "</f>
        <v xml:space="preserve">52088437    </v>
      </c>
      <c r="E958" t="s">
        <v>609</v>
      </c>
      <c r="F958" t="s">
        <v>612</v>
      </c>
      <c r="G958">
        <v>214.48</v>
      </c>
      <c r="H958">
        <v>251128</v>
      </c>
      <c r="I958">
        <v>4580</v>
      </c>
      <c r="J958" t="s">
        <v>126</v>
      </c>
      <c r="K958">
        <v>214.48</v>
      </c>
      <c r="L958">
        <v>43.58</v>
      </c>
      <c r="M958">
        <v>11602</v>
      </c>
      <c r="N958" t="s">
        <v>1457</v>
      </c>
      <c r="O958">
        <v>251205</v>
      </c>
      <c r="P958">
        <v>170.9</v>
      </c>
    </row>
    <row r="959" spans="1:16" x14ac:dyDescent="0.25">
      <c r="A959" t="s">
        <v>3296</v>
      </c>
      <c r="B959" t="s">
        <v>2931</v>
      </c>
      <c r="C959">
        <v>16755</v>
      </c>
      <c r="D959" t="str">
        <f>"52088375    "</f>
        <v xml:space="preserve">52088375    </v>
      </c>
      <c r="E959" t="s">
        <v>609</v>
      </c>
      <c r="F959" t="s">
        <v>612</v>
      </c>
      <c r="G959">
        <v>199.87</v>
      </c>
      <c r="H959">
        <v>251128</v>
      </c>
      <c r="I959">
        <v>4580</v>
      </c>
      <c r="J959" t="s">
        <v>126</v>
      </c>
      <c r="K959">
        <v>199.87</v>
      </c>
      <c r="L959">
        <v>40.61</v>
      </c>
      <c r="M959">
        <v>69704</v>
      </c>
      <c r="N959" t="s">
        <v>89</v>
      </c>
      <c r="O959">
        <v>251211</v>
      </c>
      <c r="P959">
        <v>159.26</v>
      </c>
    </row>
    <row r="960" spans="1:16" x14ac:dyDescent="0.25">
      <c r="A960" t="s">
        <v>3296</v>
      </c>
      <c r="B960" t="s">
        <v>2931</v>
      </c>
      <c r="C960">
        <v>16756</v>
      </c>
      <c r="D960" t="str">
        <f>"52088317    "</f>
        <v xml:space="preserve">52088317    </v>
      </c>
      <c r="E960" t="s">
        <v>609</v>
      </c>
      <c r="F960" t="s">
        <v>612</v>
      </c>
      <c r="G960">
        <v>130.32</v>
      </c>
      <c r="H960">
        <v>251128</v>
      </c>
      <c r="I960">
        <v>4580</v>
      </c>
      <c r="J960" t="s">
        <v>126</v>
      </c>
      <c r="K960">
        <v>130.32</v>
      </c>
      <c r="L960">
        <v>26.48</v>
      </c>
      <c r="M960">
        <v>69704</v>
      </c>
      <c r="N960" t="s">
        <v>89</v>
      </c>
      <c r="O960">
        <v>251211</v>
      </c>
      <c r="P960">
        <v>103.84</v>
      </c>
    </row>
    <row r="961" spans="1:16" x14ac:dyDescent="0.25">
      <c r="A961" t="s">
        <v>3296</v>
      </c>
      <c r="B961" t="s">
        <v>2931</v>
      </c>
      <c r="C961">
        <v>16806</v>
      </c>
      <c r="D961" t="str">
        <f>"52091172    "</f>
        <v xml:space="preserve">52091172    </v>
      </c>
      <c r="E961" t="s">
        <v>609</v>
      </c>
      <c r="F961" t="s">
        <v>612</v>
      </c>
      <c r="G961">
        <v>84.99</v>
      </c>
      <c r="H961">
        <v>251203</v>
      </c>
      <c r="I961">
        <v>4580</v>
      </c>
      <c r="J961" t="s">
        <v>126</v>
      </c>
      <c r="K961">
        <v>169.98</v>
      </c>
      <c r="L961">
        <v>17.27</v>
      </c>
      <c r="M961">
        <v>17974</v>
      </c>
      <c r="N961" t="s">
        <v>153</v>
      </c>
      <c r="O961">
        <v>251212</v>
      </c>
      <c r="P961">
        <v>67.72</v>
      </c>
    </row>
    <row r="962" spans="1:16" x14ac:dyDescent="0.25">
      <c r="A962" t="s">
        <v>3296</v>
      </c>
      <c r="B962" t="s">
        <v>2931</v>
      </c>
      <c r="C962">
        <v>16806</v>
      </c>
      <c r="D962" t="str">
        <f>"52091172    "</f>
        <v xml:space="preserve">52091172    </v>
      </c>
      <c r="E962" t="s">
        <v>609</v>
      </c>
      <c r="F962" t="s">
        <v>612</v>
      </c>
      <c r="G962">
        <v>84.99</v>
      </c>
      <c r="H962">
        <v>251203</v>
      </c>
      <c r="I962">
        <v>4580</v>
      </c>
      <c r="J962" t="s">
        <v>126</v>
      </c>
      <c r="K962">
        <v>169.98</v>
      </c>
      <c r="L962">
        <v>17.27</v>
      </c>
      <c r="M962">
        <v>17975</v>
      </c>
      <c r="N962" t="s">
        <v>29</v>
      </c>
      <c r="O962">
        <v>251212</v>
      </c>
      <c r="P962">
        <v>67.72</v>
      </c>
    </row>
    <row r="963" spans="1:16" x14ac:dyDescent="0.25">
      <c r="A963" t="s">
        <v>3296</v>
      </c>
      <c r="B963" t="s">
        <v>2931</v>
      </c>
      <c r="C963">
        <v>16808</v>
      </c>
      <c r="D963" t="str">
        <f>"52091025    "</f>
        <v xml:space="preserve">52091025    </v>
      </c>
      <c r="E963" t="s">
        <v>609</v>
      </c>
      <c r="F963" t="s">
        <v>612</v>
      </c>
      <c r="G963">
        <v>684.97</v>
      </c>
      <c r="H963">
        <v>251203</v>
      </c>
      <c r="I963">
        <v>4580</v>
      </c>
      <c r="J963" t="s">
        <v>126</v>
      </c>
      <c r="K963">
        <v>1369.93</v>
      </c>
      <c r="L963">
        <v>139.18</v>
      </c>
      <c r="M963">
        <v>17974</v>
      </c>
      <c r="N963" t="s">
        <v>153</v>
      </c>
      <c r="O963">
        <v>251212</v>
      </c>
      <c r="P963">
        <v>545.79</v>
      </c>
    </row>
    <row r="964" spans="1:16" x14ac:dyDescent="0.25">
      <c r="A964" t="s">
        <v>3296</v>
      </c>
      <c r="B964" t="s">
        <v>2931</v>
      </c>
      <c r="C964">
        <v>16808</v>
      </c>
      <c r="D964" t="str">
        <f>"52091025    "</f>
        <v xml:space="preserve">52091025    </v>
      </c>
      <c r="E964" t="s">
        <v>609</v>
      </c>
      <c r="F964" t="s">
        <v>612</v>
      </c>
      <c r="G964">
        <v>684.96</v>
      </c>
      <c r="H964">
        <v>251203</v>
      </c>
      <c r="I964">
        <v>4580</v>
      </c>
      <c r="J964" t="s">
        <v>126</v>
      </c>
      <c r="K964">
        <v>1369.93</v>
      </c>
      <c r="L964">
        <v>139.18</v>
      </c>
      <c r="M964">
        <v>17975</v>
      </c>
      <c r="N964" t="s">
        <v>29</v>
      </c>
      <c r="O964">
        <v>251212</v>
      </c>
      <c r="P964">
        <v>545.78</v>
      </c>
    </row>
    <row r="965" spans="1:16" x14ac:dyDescent="0.25">
      <c r="A965" t="s">
        <v>3296</v>
      </c>
      <c r="B965" t="s">
        <v>2931</v>
      </c>
      <c r="C965">
        <v>16810</v>
      </c>
      <c r="D965" t="str">
        <f>"52091086    "</f>
        <v xml:space="preserve">52091086    </v>
      </c>
      <c r="E965" t="s">
        <v>609</v>
      </c>
      <c r="F965" t="s">
        <v>612</v>
      </c>
      <c r="G965">
        <v>41.28</v>
      </c>
      <c r="H965">
        <v>251203</v>
      </c>
      <c r="I965">
        <v>4580</v>
      </c>
      <c r="J965" t="s">
        <v>126</v>
      </c>
      <c r="K965">
        <v>41.28</v>
      </c>
      <c r="L965">
        <v>8.39</v>
      </c>
      <c r="M965">
        <v>17808</v>
      </c>
      <c r="N965" t="s">
        <v>24</v>
      </c>
      <c r="O965">
        <v>251212</v>
      </c>
      <c r="P965">
        <v>32.89</v>
      </c>
    </row>
    <row r="966" spans="1:16" x14ac:dyDescent="0.25">
      <c r="A966" t="s">
        <v>3296</v>
      </c>
      <c r="B966" t="s">
        <v>2931</v>
      </c>
      <c r="C966">
        <v>17680</v>
      </c>
      <c r="D966" t="str">
        <f>"52091944    "</f>
        <v xml:space="preserve">52091944    </v>
      </c>
      <c r="E966" t="s">
        <v>609</v>
      </c>
      <c r="F966" t="s">
        <v>612</v>
      </c>
      <c r="G966">
        <v>2243.0100000000002</v>
      </c>
      <c r="H966">
        <v>251205</v>
      </c>
      <c r="I966">
        <v>4580</v>
      </c>
      <c r="J966" t="s">
        <v>126</v>
      </c>
      <c r="K966">
        <v>2243.0100000000002</v>
      </c>
      <c r="L966">
        <v>455.75</v>
      </c>
      <c r="M966">
        <v>11905</v>
      </c>
      <c r="N966" t="s">
        <v>643</v>
      </c>
      <c r="O966">
        <v>251229</v>
      </c>
      <c r="P966">
        <v>1787.26</v>
      </c>
    </row>
    <row r="967" spans="1:16" x14ac:dyDescent="0.25">
      <c r="A967" t="s">
        <v>3296</v>
      </c>
      <c r="B967" t="s">
        <v>2931</v>
      </c>
      <c r="C967">
        <v>17728</v>
      </c>
      <c r="D967" t="str">
        <f>"52091608    "</f>
        <v xml:space="preserve">52091608    </v>
      </c>
      <c r="E967" t="s">
        <v>609</v>
      </c>
      <c r="F967" t="s">
        <v>612</v>
      </c>
      <c r="G967">
        <v>24.25</v>
      </c>
      <c r="H967">
        <v>251204</v>
      </c>
      <c r="I967">
        <v>4580</v>
      </c>
      <c r="J967" t="s">
        <v>126</v>
      </c>
      <c r="K967">
        <v>24.25</v>
      </c>
      <c r="L967">
        <v>4.93</v>
      </c>
      <c r="M967">
        <v>17534</v>
      </c>
      <c r="N967" t="s">
        <v>148</v>
      </c>
      <c r="O967">
        <v>251230</v>
      </c>
      <c r="P967">
        <v>19.32</v>
      </c>
    </row>
    <row r="968" spans="1:16" x14ac:dyDescent="0.25">
      <c r="A968" t="s">
        <v>3296</v>
      </c>
      <c r="B968" t="s">
        <v>2931</v>
      </c>
      <c r="C968">
        <v>17812</v>
      </c>
      <c r="D968" t="str">
        <f>"52096852    "</f>
        <v xml:space="preserve">52096852    </v>
      </c>
      <c r="E968" t="s">
        <v>609</v>
      </c>
      <c r="F968" t="s">
        <v>612</v>
      </c>
      <c r="G968">
        <v>554.13</v>
      </c>
      <c r="H968">
        <v>251216</v>
      </c>
      <c r="I968">
        <v>4580</v>
      </c>
      <c r="J968" t="s">
        <v>126</v>
      </c>
      <c r="K968">
        <v>554.13</v>
      </c>
      <c r="L968">
        <v>112.59</v>
      </c>
      <c r="M968">
        <v>17802</v>
      </c>
      <c r="N968" t="s">
        <v>18</v>
      </c>
      <c r="O968">
        <v>251230</v>
      </c>
      <c r="P968">
        <v>441.54</v>
      </c>
    </row>
    <row r="969" spans="1:16" x14ac:dyDescent="0.25">
      <c r="A969" t="s">
        <v>3296</v>
      </c>
      <c r="B969" t="s">
        <v>2931</v>
      </c>
      <c r="C969">
        <v>17822</v>
      </c>
      <c r="D969" t="str">
        <f>"52097365    "</f>
        <v xml:space="preserve">52097365    </v>
      </c>
      <c r="E969" t="s">
        <v>609</v>
      </c>
      <c r="F969" t="s">
        <v>612</v>
      </c>
      <c r="G969">
        <v>75.81</v>
      </c>
      <c r="H969">
        <v>251217</v>
      </c>
      <c r="I969">
        <v>4580</v>
      </c>
      <c r="J969" t="s">
        <v>126</v>
      </c>
      <c r="K969">
        <v>75.81</v>
      </c>
      <c r="L969">
        <v>15.4</v>
      </c>
      <c r="M969">
        <v>17808</v>
      </c>
      <c r="N969" t="s">
        <v>24</v>
      </c>
      <c r="O969">
        <v>251230</v>
      </c>
      <c r="P969">
        <v>60.41</v>
      </c>
    </row>
    <row r="970" spans="1:16" x14ac:dyDescent="0.25">
      <c r="A970" t="s">
        <v>3296</v>
      </c>
      <c r="B970" t="s">
        <v>2931</v>
      </c>
      <c r="C970">
        <v>18059</v>
      </c>
      <c r="D970" t="str">
        <f>"52097144    "</f>
        <v xml:space="preserve">52097144    </v>
      </c>
      <c r="E970" t="s">
        <v>609</v>
      </c>
      <c r="F970" t="s">
        <v>612</v>
      </c>
      <c r="G970">
        <v>537.11</v>
      </c>
      <c r="H970">
        <v>251216</v>
      </c>
      <c r="I970">
        <v>4580</v>
      </c>
      <c r="J970" t="s">
        <v>126</v>
      </c>
      <c r="K970">
        <v>537.11</v>
      </c>
      <c r="L970">
        <v>109.13</v>
      </c>
      <c r="M970">
        <v>66756</v>
      </c>
      <c r="N970" t="s">
        <v>120</v>
      </c>
      <c r="O970">
        <v>260108</v>
      </c>
      <c r="P970">
        <v>427.98</v>
      </c>
    </row>
    <row r="971" spans="1:16" x14ac:dyDescent="0.25">
      <c r="A971" t="s">
        <v>3296</v>
      </c>
      <c r="B971" t="s">
        <v>2931</v>
      </c>
      <c r="C971">
        <v>18489</v>
      </c>
      <c r="D971" t="str">
        <f>"52103583    "</f>
        <v xml:space="preserve">52103583    </v>
      </c>
      <c r="E971" t="s">
        <v>609</v>
      </c>
      <c r="F971" t="s">
        <v>612</v>
      </c>
      <c r="G971">
        <v>174.12</v>
      </c>
      <c r="H971">
        <v>251231</v>
      </c>
      <c r="I971">
        <v>4580</v>
      </c>
      <c r="J971" t="s">
        <v>126</v>
      </c>
      <c r="K971">
        <v>174.12</v>
      </c>
      <c r="L971">
        <v>35.380000000000003</v>
      </c>
      <c r="M971">
        <v>13201</v>
      </c>
      <c r="N971" t="s">
        <v>269</v>
      </c>
      <c r="O971">
        <v>260114</v>
      </c>
      <c r="P971">
        <v>138.74</v>
      </c>
    </row>
    <row r="972" spans="1:16" x14ac:dyDescent="0.25">
      <c r="A972" t="s">
        <v>3296</v>
      </c>
      <c r="B972" t="s">
        <v>2931</v>
      </c>
      <c r="C972">
        <v>8052</v>
      </c>
      <c r="D972" t="str">
        <f>"52001754    "</f>
        <v xml:space="preserve">52001754    </v>
      </c>
      <c r="E972" t="s">
        <v>609</v>
      </c>
      <c r="F972" t="s">
        <v>612</v>
      </c>
      <c r="G972">
        <v>479.07</v>
      </c>
      <c r="H972">
        <v>250516</v>
      </c>
      <c r="I972">
        <v>4600</v>
      </c>
      <c r="J972" t="s">
        <v>278</v>
      </c>
      <c r="K972">
        <v>479.07</v>
      </c>
      <c r="L972">
        <v>97.34</v>
      </c>
      <c r="M972">
        <v>65222</v>
      </c>
      <c r="N972" t="s">
        <v>87</v>
      </c>
      <c r="O972">
        <v>250611</v>
      </c>
      <c r="P972">
        <v>381.73</v>
      </c>
    </row>
    <row r="973" spans="1:16" x14ac:dyDescent="0.25">
      <c r="A973" t="s">
        <v>3296</v>
      </c>
      <c r="B973" t="s">
        <v>2931</v>
      </c>
      <c r="C973">
        <v>14458</v>
      </c>
      <c r="D973" t="str">
        <f>"52072766    "</f>
        <v xml:space="preserve">52072766    </v>
      </c>
      <c r="E973" t="s">
        <v>609</v>
      </c>
      <c r="F973" t="s">
        <v>612</v>
      </c>
      <c r="G973">
        <v>3.59</v>
      </c>
      <c r="H973">
        <v>251030</v>
      </c>
      <c r="I973">
        <v>4600</v>
      </c>
      <c r="J973" t="s">
        <v>278</v>
      </c>
      <c r="K973">
        <v>3.59</v>
      </c>
      <c r="L973">
        <v>0.73</v>
      </c>
      <c r="M973">
        <v>59815</v>
      </c>
      <c r="N973" t="s">
        <v>1001</v>
      </c>
      <c r="O973">
        <v>251031</v>
      </c>
      <c r="P973">
        <v>2.86</v>
      </c>
    </row>
    <row r="974" spans="1:16" x14ac:dyDescent="0.25">
      <c r="A974" t="s">
        <v>3296</v>
      </c>
      <c r="B974" t="s">
        <v>2931</v>
      </c>
      <c r="C974">
        <v>15644</v>
      </c>
      <c r="D974" t="str">
        <f>"52077300    "</f>
        <v xml:space="preserve">52077300    </v>
      </c>
      <c r="E974" t="s">
        <v>609</v>
      </c>
      <c r="F974" t="s">
        <v>612</v>
      </c>
      <c r="G974">
        <v>41.53</v>
      </c>
      <c r="H974">
        <v>251106</v>
      </c>
      <c r="I974">
        <v>4600</v>
      </c>
      <c r="J974" t="s">
        <v>278</v>
      </c>
      <c r="K974">
        <v>41.53</v>
      </c>
      <c r="L974">
        <v>8.44</v>
      </c>
      <c r="M974">
        <v>11601</v>
      </c>
      <c r="N974" t="s">
        <v>12</v>
      </c>
      <c r="O974">
        <v>251124</v>
      </c>
      <c r="P974">
        <v>33.090000000000003</v>
      </c>
    </row>
    <row r="975" spans="1:16" x14ac:dyDescent="0.25">
      <c r="A975" t="s">
        <v>3296</v>
      </c>
      <c r="B975" t="s">
        <v>2931</v>
      </c>
      <c r="C975">
        <v>15914</v>
      </c>
      <c r="D975" t="str">
        <f>"52085023    "</f>
        <v xml:space="preserve">52085023    </v>
      </c>
      <c r="E975" t="s">
        <v>609</v>
      </c>
      <c r="F975" t="s">
        <v>612</v>
      </c>
      <c r="G975">
        <v>202.38</v>
      </c>
      <c r="H975">
        <v>251124</v>
      </c>
      <c r="I975">
        <v>4600</v>
      </c>
      <c r="J975" t="s">
        <v>278</v>
      </c>
      <c r="K975">
        <v>202.38</v>
      </c>
      <c r="L975">
        <v>41.12</v>
      </c>
      <c r="M975">
        <v>54422</v>
      </c>
      <c r="N975" t="s">
        <v>49</v>
      </c>
      <c r="O975">
        <v>251128</v>
      </c>
      <c r="P975">
        <v>161.26</v>
      </c>
    </row>
    <row r="976" spans="1:16" x14ac:dyDescent="0.25">
      <c r="A976" t="s">
        <v>3296</v>
      </c>
      <c r="B976" t="s">
        <v>2931</v>
      </c>
      <c r="C976">
        <v>16298</v>
      </c>
      <c r="D976" t="str">
        <f>"52087853    "</f>
        <v xml:space="preserve">52087853    </v>
      </c>
      <c r="E976" t="s">
        <v>609</v>
      </c>
      <c r="F976" t="s">
        <v>612</v>
      </c>
      <c r="G976">
        <v>182.89</v>
      </c>
      <c r="H976">
        <v>251128</v>
      </c>
      <c r="I976">
        <v>4600</v>
      </c>
      <c r="J976" t="s">
        <v>278</v>
      </c>
      <c r="K976">
        <v>731.59</v>
      </c>
      <c r="L976">
        <v>37.159999999999997</v>
      </c>
      <c r="M976">
        <v>55222</v>
      </c>
      <c r="N976" t="s">
        <v>43</v>
      </c>
      <c r="O976">
        <v>251205</v>
      </c>
      <c r="P976">
        <v>145.72999999999999</v>
      </c>
    </row>
    <row r="977" spans="1:16" x14ac:dyDescent="0.25">
      <c r="A977" t="s">
        <v>3296</v>
      </c>
      <c r="B977" t="s">
        <v>2931</v>
      </c>
      <c r="C977">
        <v>16298</v>
      </c>
      <c r="D977" t="str">
        <f>"52087853    "</f>
        <v xml:space="preserve">52087853    </v>
      </c>
      <c r="E977" t="s">
        <v>609</v>
      </c>
      <c r="F977" t="s">
        <v>612</v>
      </c>
      <c r="G977">
        <v>182.92</v>
      </c>
      <c r="H977">
        <v>251128</v>
      </c>
      <c r="I977">
        <v>4600</v>
      </c>
      <c r="J977" t="s">
        <v>278</v>
      </c>
      <c r="K977">
        <v>731.59</v>
      </c>
      <c r="L977">
        <v>37.17</v>
      </c>
      <c r="M977">
        <v>56522</v>
      </c>
      <c r="N977" t="s">
        <v>68</v>
      </c>
      <c r="O977">
        <v>251205</v>
      </c>
      <c r="P977">
        <v>145.75</v>
      </c>
    </row>
    <row r="978" spans="1:16" x14ac:dyDescent="0.25">
      <c r="A978" t="s">
        <v>3296</v>
      </c>
      <c r="B978" t="s">
        <v>2931</v>
      </c>
      <c r="C978">
        <v>16298</v>
      </c>
      <c r="D978" t="str">
        <f>"52087853    "</f>
        <v xml:space="preserve">52087853    </v>
      </c>
      <c r="E978" t="s">
        <v>609</v>
      </c>
      <c r="F978" t="s">
        <v>612</v>
      </c>
      <c r="G978">
        <v>182.89</v>
      </c>
      <c r="H978">
        <v>251128</v>
      </c>
      <c r="I978">
        <v>4600</v>
      </c>
      <c r="J978" t="s">
        <v>278</v>
      </c>
      <c r="K978">
        <v>731.59</v>
      </c>
      <c r="L978">
        <v>37.159999999999997</v>
      </c>
      <c r="M978">
        <v>56528</v>
      </c>
      <c r="N978" t="s">
        <v>70</v>
      </c>
      <c r="O978">
        <v>251205</v>
      </c>
      <c r="P978">
        <v>145.72999999999999</v>
      </c>
    </row>
    <row r="979" spans="1:16" x14ac:dyDescent="0.25">
      <c r="A979" t="s">
        <v>3296</v>
      </c>
      <c r="B979" t="s">
        <v>2931</v>
      </c>
      <c r="C979">
        <v>16298</v>
      </c>
      <c r="D979" t="str">
        <f>"52087853    "</f>
        <v xml:space="preserve">52087853    </v>
      </c>
      <c r="E979" t="s">
        <v>609</v>
      </c>
      <c r="F979" t="s">
        <v>612</v>
      </c>
      <c r="G979">
        <v>182.89</v>
      </c>
      <c r="H979">
        <v>251128</v>
      </c>
      <c r="I979">
        <v>4600</v>
      </c>
      <c r="J979" t="s">
        <v>278</v>
      </c>
      <c r="K979">
        <v>731.59</v>
      </c>
      <c r="L979">
        <v>37.159999999999997</v>
      </c>
      <c r="M979">
        <v>56558</v>
      </c>
      <c r="N979" t="s">
        <v>50</v>
      </c>
      <c r="O979">
        <v>251205</v>
      </c>
      <c r="P979">
        <v>145.72999999999999</v>
      </c>
    </row>
    <row r="980" spans="1:16" x14ac:dyDescent="0.25">
      <c r="A980" t="s">
        <v>3296</v>
      </c>
      <c r="B980" t="s">
        <v>2931</v>
      </c>
      <c r="C980">
        <v>16754</v>
      </c>
      <c r="D980" t="str">
        <f>"52088445    "</f>
        <v xml:space="preserve">52088445    </v>
      </c>
      <c r="E980" t="s">
        <v>609</v>
      </c>
      <c r="F980" t="s">
        <v>612</v>
      </c>
      <c r="G980">
        <v>193.27</v>
      </c>
      <c r="H980">
        <v>251128</v>
      </c>
      <c r="I980">
        <v>4600</v>
      </c>
      <c r="J980" t="s">
        <v>278</v>
      </c>
      <c r="K980">
        <v>193.27</v>
      </c>
      <c r="L980">
        <v>39.270000000000003</v>
      </c>
      <c r="M980">
        <v>69704</v>
      </c>
      <c r="N980" t="s">
        <v>89</v>
      </c>
      <c r="O980">
        <v>251211</v>
      </c>
      <c r="P980">
        <v>154</v>
      </c>
    </row>
    <row r="981" spans="1:16" x14ac:dyDescent="0.25">
      <c r="A981" t="s">
        <v>3296</v>
      </c>
      <c r="B981" t="s">
        <v>2931</v>
      </c>
      <c r="C981">
        <v>16767</v>
      </c>
      <c r="D981" t="str">
        <f>"52089364    "</f>
        <v xml:space="preserve">52089364    </v>
      </c>
      <c r="E981" t="s">
        <v>609</v>
      </c>
      <c r="F981" t="s">
        <v>612</v>
      </c>
      <c r="G981">
        <v>130.43</v>
      </c>
      <c r="H981">
        <v>251130</v>
      </c>
      <c r="I981">
        <v>4600</v>
      </c>
      <c r="J981" t="s">
        <v>278</v>
      </c>
      <c r="K981">
        <v>130.43</v>
      </c>
      <c r="L981">
        <v>26.5</v>
      </c>
      <c r="M981">
        <v>69704</v>
      </c>
      <c r="N981" t="s">
        <v>89</v>
      </c>
      <c r="O981">
        <v>251211</v>
      </c>
      <c r="P981">
        <v>103.93</v>
      </c>
    </row>
    <row r="982" spans="1:16" x14ac:dyDescent="0.25">
      <c r="A982" t="s">
        <v>3296</v>
      </c>
      <c r="B982" t="s">
        <v>2931</v>
      </c>
      <c r="C982">
        <v>15592</v>
      </c>
      <c r="D982" t="str">
        <f>"52083200    "</f>
        <v xml:space="preserve">52083200    </v>
      </c>
      <c r="E982" t="s">
        <v>609</v>
      </c>
      <c r="F982" t="s">
        <v>612</v>
      </c>
      <c r="G982">
        <v>26.82</v>
      </c>
      <c r="H982">
        <v>251119</v>
      </c>
      <c r="I982">
        <v>4940</v>
      </c>
      <c r="J982" t="s">
        <v>250</v>
      </c>
      <c r="K982">
        <v>26.82</v>
      </c>
      <c r="L982">
        <v>5.45</v>
      </c>
      <c r="M982">
        <v>53222</v>
      </c>
      <c r="N982" t="s">
        <v>41</v>
      </c>
      <c r="O982">
        <v>251121</v>
      </c>
      <c r="P982">
        <v>21.37</v>
      </c>
    </row>
    <row r="983" spans="1:16" x14ac:dyDescent="0.25">
      <c r="A983" t="s">
        <v>3296</v>
      </c>
      <c r="B983" t="s">
        <v>2931</v>
      </c>
      <c r="C983">
        <v>9299</v>
      </c>
      <c r="D983" t="str">
        <f>"14560       "</f>
        <v xml:space="preserve">14560       </v>
      </c>
      <c r="E983" t="s">
        <v>2118</v>
      </c>
      <c r="F983" t="s">
        <v>2119</v>
      </c>
      <c r="G983">
        <v>1368.48</v>
      </c>
      <c r="H983">
        <v>250623</v>
      </c>
      <c r="I983">
        <v>4600</v>
      </c>
      <c r="J983" t="s">
        <v>278</v>
      </c>
      <c r="K983">
        <v>1368.48</v>
      </c>
      <c r="L983">
        <v>278.06</v>
      </c>
      <c r="M983">
        <v>67554</v>
      </c>
      <c r="N983" t="s">
        <v>317</v>
      </c>
      <c r="O983">
        <v>250703</v>
      </c>
      <c r="P983">
        <v>1090.42</v>
      </c>
    </row>
    <row r="984" spans="1:16" x14ac:dyDescent="0.25">
      <c r="A984" t="s">
        <v>3296</v>
      </c>
      <c r="B984" t="s">
        <v>2931</v>
      </c>
      <c r="C984">
        <v>4322</v>
      </c>
      <c r="D984" t="str">
        <f>"21377542    "</f>
        <v xml:space="preserve">21377542    </v>
      </c>
      <c r="E984" t="s">
        <v>1618</v>
      </c>
      <c r="F984" t="s">
        <v>1619</v>
      </c>
      <c r="G984">
        <v>271.93</v>
      </c>
      <c r="H984">
        <v>250313</v>
      </c>
      <c r="I984">
        <v>1196</v>
      </c>
      <c r="J984" t="s">
        <v>340</v>
      </c>
      <c r="K984">
        <v>271.93</v>
      </c>
      <c r="L984">
        <v>55.25</v>
      </c>
      <c r="M984">
        <v>97604</v>
      </c>
      <c r="N984" t="s">
        <v>341</v>
      </c>
      <c r="O984">
        <v>250411</v>
      </c>
      <c r="P984">
        <v>216.68</v>
      </c>
    </row>
    <row r="985" spans="1:16" x14ac:dyDescent="0.25">
      <c r="A985" t="s">
        <v>3296</v>
      </c>
      <c r="B985" t="s">
        <v>2931</v>
      </c>
      <c r="C985">
        <v>5636</v>
      </c>
      <c r="D985" t="str">
        <f>"21380942    "</f>
        <v xml:space="preserve">21380942    </v>
      </c>
      <c r="E985" t="s">
        <v>1618</v>
      </c>
      <c r="F985" t="s">
        <v>1619</v>
      </c>
      <c r="G985">
        <v>19.11</v>
      </c>
      <c r="H985">
        <v>250408</v>
      </c>
      <c r="I985">
        <v>1198</v>
      </c>
      <c r="J985" t="s">
        <v>610</v>
      </c>
      <c r="K985">
        <v>19.11</v>
      </c>
      <c r="L985">
        <v>3.88</v>
      </c>
      <c r="M985">
        <v>97629</v>
      </c>
      <c r="N985" t="s">
        <v>1110</v>
      </c>
      <c r="O985">
        <v>250428</v>
      </c>
      <c r="P985">
        <v>15.23</v>
      </c>
    </row>
    <row r="986" spans="1:16" x14ac:dyDescent="0.25">
      <c r="A986" t="s">
        <v>3296</v>
      </c>
      <c r="B986" t="s">
        <v>2931</v>
      </c>
      <c r="C986">
        <v>8459</v>
      </c>
      <c r="D986" t="str">
        <f>"21386110    "</f>
        <v xml:space="preserve">21386110    </v>
      </c>
      <c r="E986" t="s">
        <v>1618</v>
      </c>
      <c r="F986" t="s">
        <v>1619</v>
      </c>
      <c r="G986">
        <v>53.9</v>
      </c>
      <c r="H986">
        <v>250523</v>
      </c>
      <c r="I986">
        <v>4500</v>
      </c>
      <c r="J986" t="s">
        <v>312</v>
      </c>
      <c r="K986">
        <v>53.9</v>
      </c>
      <c r="L986">
        <v>10.95</v>
      </c>
      <c r="M986">
        <v>13601</v>
      </c>
      <c r="N986" t="s">
        <v>115</v>
      </c>
      <c r="O986">
        <v>250613</v>
      </c>
      <c r="P986">
        <v>42.95</v>
      </c>
    </row>
    <row r="987" spans="1:16" x14ac:dyDescent="0.25">
      <c r="A987" t="s">
        <v>3296</v>
      </c>
      <c r="B987" t="s">
        <v>2931</v>
      </c>
      <c r="C987">
        <v>12741</v>
      </c>
      <c r="D987" t="str">
        <f>"21396649    "</f>
        <v xml:space="preserve">21396649    </v>
      </c>
      <c r="E987" t="s">
        <v>1618</v>
      </c>
      <c r="F987" t="s">
        <v>1619</v>
      </c>
      <c r="G987">
        <v>81.900000000000006</v>
      </c>
      <c r="H987">
        <v>250904</v>
      </c>
      <c r="I987">
        <v>4580</v>
      </c>
      <c r="J987" t="s">
        <v>126</v>
      </c>
      <c r="K987">
        <v>116.85</v>
      </c>
      <c r="L987">
        <v>16.64</v>
      </c>
      <c r="M987">
        <v>11801</v>
      </c>
      <c r="N987" t="s">
        <v>40</v>
      </c>
      <c r="O987">
        <v>250930</v>
      </c>
      <c r="P987">
        <v>65.260000000000005</v>
      </c>
    </row>
    <row r="988" spans="1:16" x14ac:dyDescent="0.25">
      <c r="A988" t="s">
        <v>3296</v>
      </c>
      <c r="B988" t="s">
        <v>2931</v>
      </c>
      <c r="C988">
        <v>12741</v>
      </c>
      <c r="D988" t="str">
        <f>"21396649    "</f>
        <v xml:space="preserve">21396649    </v>
      </c>
      <c r="E988" t="s">
        <v>1618</v>
      </c>
      <c r="F988" t="s">
        <v>1619</v>
      </c>
      <c r="G988">
        <v>17.47</v>
      </c>
      <c r="H988">
        <v>250904</v>
      </c>
      <c r="I988">
        <v>4580</v>
      </c>
      <c r="J988" t="s">
        <v>126</v>
      </c>
      <c r="K988">
        <v>116.85</v>
      </c>
      <c r="L988">
        <v>3.55</v>
      </c>
      <c r="M988">
        <v>14321</v>
      </c>
      <c r="N988" t="s">
        <v>72</v>
      </c>
      <c r="O988">
        <v>250930</v>
      </c>
      <c r="P988">
        <v>13.92</v>
      </c>
    </row>
    <row r="989" spans="1:16" x14ac:dyDescent="0.25">
      <c r="A989" t="s">
        <v>3296</v>
      </c>
      <c r="B989" t="s">
        <v>2931</v>
      </c>
      <c r="C989">
        <v>12741</v>
      </c>
      <c r="D989" t="str">
        <f>"21396649    "</f>
        <v xml:space="preserve">21396649    </v>
      </c>
      <c r="E989" t="s">
        <v>1618</v>
      </c>
      <c r="F989" t="s">
        <v>1619</v>
      </c>
      <c r="G989">
        <v>17.48</v>
      </c>
      <c r="H989">
        <v>250904</v>
      </c>
      <c r="I989">
        <v>4580</v>
      </c>
      <c r="J989" t="s">
        <v>126</v>
      </c>
      <c r="K989">
        <v>116.85</v>
      </c>
      <c r="L989">
        <v>3.55</v>
      </c>
      <c r="M989">
        <v>14422</v>
      </c>
      <c r="N989" t="s">
        <v>73</v>
      </c>
      <c r="O989">
        <v>250930</v>
      </c>
      <c r="P989">
        <v>13.93</v>
      </c>
    </row>
    <row r="990" spans="1:16" x14ac:dyDescent="0.25">
      <c r="A990" t="s">
        <v>3296</v>
      </c>
      <c r="B990" t="s">
        <v>2931</v>
      </c>
      <c r="C990">
        <v>5199</v>
      </c>
      <c r="D990" t="str">
        <f>"00505449    "</f>
        <v xml:space="preserve">00505449    </v>
      </c>
      <c r="E990" t="s">
        <v>1691</v>
      </c>
      <c r="F990" t="s">
        <v>1692</v>
      </c>
      <c r="G990">
        <v>2040</v>
      </c>
      <c r="H990">
        <v>250331</v>
      </c>
      <c r="I990">
        <v>4420</v>
      </c>
      <c r="J990" t="s">
        <v>330</v>
      </c>
      <c r="K990">
        <v>2040</v>
      </c>
      <c r="L990">
        <v>250.53</v>
      </c>
      <c r="M990">
        <v>17132</v>
      </c>
      <c r="N990" t="s">
        <v>174</v>
      </c>
      <c r="O990">
        <v>250422</v>
      </c>
      <c r="P990">
        <v>1789.47</v>
      </c>
    </row>
    <row r="991" spans="1:16" x14ac:dyDescent="0.25">
      <c r="A991" t="s">
        <v>3296</v>
      </c>
      <c r="B991" t="s">
        <v>2931</v>
      </c>
      <c r="C991">
        <v>6768</v>
      </c>
      <c r="D991" t="str">
        <f>"3347        "</f>
        <v xml:space="preserve">3347        </v>
      </c>
      <c r="E991" t="s">
        <v>1888</v>
      </c>
      <c r="F991" t="s">
        <v>1889</v>
      </c>
      <c r="G991">
        <v>1</v>
      </c>
      <c r="H991">
        <v>250511</v>
      </c>
      <c r="I991">
        <v>4390</v>
      </c>
      <c r="J991" t="s">
        <v>232</v>
      </c>
      <c r="K991">
        <v>50</v>
      </c>
      <c r="L991">
        <v>0.2</v>
      </c>
      <c r="M991">
        <v>13501</v>
      </c>
      <c r="N991" t="s">
        <v>66</v>
      </c>
      <c r="O991">
        <v>250516</v>
      </c>
      <c r="P991">
        <v>0.8</v>
      </c>
    </row>
    <row r="992" spans="1:16" x14ac:dyDescent="0.25">
      <c r="A992" t="s">
        <v>3296</v>
      </c>
      <c r="B992" t="s">
        <v>2931</v>
      </c>
      <c r="C992">
        <v>6768</v>
      </c>
      <c r="D992" t="str">
        <f>"3347        "</f>
        <v xml:space="preserve">3347        </v>
      </c>
      <c r="E992" t="s">
        <v>1888</v>
      </c>
      <c r="F992" t="s">
        <v>1889</v>
      </c>
      <c r="G992">
        <v>24.5</v>
      </c>
      <c r="H992">
        <v>250511</v>
      </c>
      <c r="I992">
        <v>4600</v>
      </c>
      <c r="J992" t="s">
        <v>278</v>
      </c>
      <c r="K992">
        <v>50</v>
      </c>
      <c r="L992">
        <v>4.9800000000000004</v>
      </c>
      <c r="M992">
        <v>16820</v>
      </c>
      <c r="N992" t="s">
        <v>128</v>
      </c>
      <c r="O992">
        <v>250516</v>
      </c>
      <c r="P992">
        <v>19.52</v>
      </c>
    </row>
    <row r="993" spans="1:16" x14ac:dyDescent="0.25">
      <c r="A993" t="s">
        <v>3296</v>
      </c>
      <c r="B993" t="s">
        <v>2931</v>
      </c>
      <c r="C993">
        <v>6768</v>
      </c>
      <c r="D993" t="str">
        <f>"3347        "</f>
        <v xml:space="preserve">3347        </v>
      </c>
      <c r="E993" t="s">
        <v>1888</v>
      </c>
      <c r="F993" t="s">
        <v>1889</v>
      </c>
      <c r="G993">
        <v>24.5</v>
      </c>
      <c r="H993">
        <v>250511</v>
      </c>
      <c r="I993">
        <v>4600</v>
      </c>
      <c r="J993" t="s">
        <v>278</v>
      </c>
      <c r="K993">
        <v>50</v>
      </c>
      <c r="L993">
        <v>4.9800000000000004</v>
      </c>
      <c r="M993">
        <v>17538</v>
      </c>
      <c r="N993" t="s">
        <v>129</v>
      </c>
      <c r="O993">
        <v>250516</v>
      </c>
      <c r="P993">
        <v>19.52</v>
      </c>
    </row>
    <row r="994" spans="1:16" x14ac:dyDescent="0.25">
      <c r="A994" t="s">
        <v>3296</v>
      </c>
      <c r="B994" t="s">
        <v>2931</v>
      </c>
      <c r="C994">
        <v>7161</v>
      </c>
      <c r="D994" t="str">
        <f>"20370391    "</f>
        <v xml:space="preserve">20370391    </v>
      </c>
      <c r="E994" t="s">
        <v>1925</v>
      </c>
      <c r="F994" t="s">
        <v>1926</v>
      </c>
      <c r="G994">
        <v>45.17</v>
      </c>
      <c r="H994">
        <v>250516</v>
      </c>
      <c r="I994">
        <v>4400</v>
      </c>
      <c r="J994" t="s">
        <v>162</v>
      </c>
      <c r="K994">
        <v>45.17</v>
      </c>
      <c r="L994">
        <v>0</v>
      </c>
      <c r="M994">
        <v>11001</v>
      </c>
      <c r="N994" t="s">
        <v>93</v>
      </c>
      <c r="O994">
        <v>250526</v>
      </c>
      <c r="P994">
        <v>45.17</v>
      </c>
    </row>
    <row r="995" spans="1:16" x14ac:dyDescent="0.25">
      <c r="A995" t="s">
        <v>3296</v>
      </c>
      <c r="B995" t="s">
        <v>2931</v>
      </c>
      <c r="C995">
        <v>14084</v>
      </c>
      <c r="D995" t="str">
        <f>"3000012272  "</f>
        <v xml:space="preserve">3000012272  </v>
      </c>
      <c r="E995" t="s">
        <v>2475</v>
      </c>
      <c r="F995" t="s">
        <v>2476</v>
      </c>
      <c r="G995">
        <v>500</v>
      </c>
      <c r="H995">
        <v>251014</v>
      </c>
      <c r="I995">
        <v>4400</v>
      </c>
      <c r="J995" t="s">
        <v>162</v>
      </c>
      <c r="K995">
        <v>500</v>
      </c>
      <c r="L995">
        <v>0</v>
      </c>
      <c r="M995">
        <v>18971</v>
      </c>
      <c r="N995" t="s">
        <v>38</v>
      </c>
      <c r="O995">
        <v>251023</v>
      </c>
      <c r="P995">
        <v>500</v>
      </c>
    </row>
    <row r="996" spans="1:16" x14ac:dyDescent="0.25">
      <c r="A996" t="s">
        <v>3296</v>
      </c>
      <c r="B996" t="s">
        <v>2931</v>
      </c>
      <c r="C996">
        <v>13300</v>
      </c>
      <c r="D996" t="str">
        <f>"216097      "</f>
        <v xml:space="preserve">216097      </v>
      </c>
      <c r="E996" t="s">
        <v>2424</v>
      </c>
      <c r="F996" t="s">
        <v>2425</v>
      </c>
      <c r="G996">
        <v>565</v>
      </c>
      <c r="H996">
        <v>250926</v>
      </c>
      <c r="I996">
        <v>4600</v>
      </c>
      <c r="J996" t="s">
        <v>278</v>
      </c>
      <c r="K996">
        <v>565</v>
      </c>
      <c r="L996">
        <v>114.8</v>
      </c>
      <c r="M996">
        <v>17802</v>
      </c>
      <c r="N996" t="s">
        <v>18</v>
      </c>
      <c r="O996">
        <v>251007</v>
      </c>
      <c r="P996">
        <v>450.2</v>
      </c>
    </row>
    <row r="997" spans="1:16" x14ac:dyDescent="0.25">
      <c r="A997" t="s">
        <v>3296</v>
      </c>
      <c r="B997" t="s">
        <v>2931</v>
      </c>
      <c r="C997">
        <v>2784</v>
      </c>
      <c r="D997" t="str">
        <f>"1001028628  "</f>
        <v xml:space="preserve">1001028628  </v>
      </c>
      <c r="E997" t="s">
        <v>1356</v>
      </c>
      <c r="F997" t="s">
        <v>1357</v>
      </c>
      <c r="G997">
        <v>6670.41</v>
      </c>
      <c r="H997">
        <v>250227</v>
      </c>
      <c r="I997">
        <v>4390</v>
      </c>
      <c r="J997" t="s">
        <v>232</v>
      </c>
      <c r="K997">
        <v>6670.41</v>
      </c>
      <c r="L997">
        <v>0</v>
      </c>
      <c r="M997">
        <v>17951</v>
      </c>
      <c r="N997" t="s">
        <v>207</v>
      </c>
      <c r="O997">
        <v>250312</v>
      </c>
      <c r="P997">
        <v>6670.41</v>
      </c>
    </row>
    <row r="998" spans="1:16" x14ac:dyDescent="0.25">
      <c r="A998" t="s">
        <v>3296</v>
      </c>
      <c r="B998" t="s">
        <v>2931</v>
      </c>
      <c r="C998">
        <v>17687</v>
      </c>
      <c r="D998" t="str">
        <f>"1001030291  "</f>
        <v xml:space="preserve">1001030291  </v>
      </c>
      <c r="E998" t="s">
        <v>1356</v>
      </c>
      <c r="F998" t="s">
        <v>1357</v>
      </c>
      <c r="G998">
        <v>666</v>
      </c>
      <c r="H998">
        <v>251222</v>
      </c>
      <c r="I998">
        <v>4390</v>
      </c>
      <c r="J998" t="s">
        <v>232</v>
      </c>
      <c r="K998">
        <v>666</v>
      </c>
      <c r="L998">
        <v>0</v>
      </c>
      <c r="M998">
        <v>17952</v>
      </c>
      <c r="N998" t="s">
        <v>157</v>
      </c>
      <c r="O998">
        <v>251229</v>
      </c>
      <c r="P998">
        <v>666</v>
      </c>
    </row>
    <row r="999" spans="1:16" x14ac:dyDescent="0.25">
      <c r="A999" t="s">
        <v>3296</v>
      </c>
      <c r="B999" t="s">
        <v>2931</v>
      </c>
      <c r="C999">
        <v>342</v>
      </c>
      <c r="D999" t="str">
        <f>"417178      "</f>
        <v xml:space="preserve">417178      </v>
      </c>
      <c r="E999" t="s">
        <v>437</v>
      </c>
      <c r="F999" t="s">
        <v>438</v>
      </c>
      <c r="G999">
        <v>90</v>
      </c>
      <c r="H999">
        <v>250113</v>
      </c>
      <c r="I999">
        <v>4510</v>
      </c>
      <c r="J999" t="s">
        <v>240</v>
      </c>
      <c r="K999">
        <v>90</v>
      </c>
      <c r="L999">
        <v>8.18</v>
      </c>
      <c r="M999">
        <v>46555</v>
      </c>
      <c r="N999" t="s">
        <v>103</v>
      </c>
      <c r="O999">
        <v>250122</v>
      </c>
      <c r="P999">
        <v>81.819999999999993</v>
      </c>
    </row>
    <row r="1000" spans="1:16" x14ac:dyDescent="0.25">
      <c r="A1000" t="s">
        <v>3296</v>
      </c>
      <c r="B1000" t="s">
        <v>2931</v>
      </c>
      <c r="C1000">
        <v>6123</v>
      </c>
      <c r="D1000" t="str">
        <f>"3396420     "</f>
        <v xml:space="preserve">3396420     </v>
      </c>
      <c r="E1000" t="s">
        <v>1843</v>
      </c>
      <c r="F1000" t="s">
        <v>1844</v>
      </c>
      <c r="G1000">
        <v>369.48</v>
      </c>
      <c r="H1000">
        <v>250430</v>
      </c>
      <c r="I1000">
        <v>4420</v>
      </c>
      <c r="J1000" t="s">
        <v>330</v>
      </c>
      <c r="K1000">
        <v>369.48</v>
      </c>
      <c r="L1000">
        <v>75.069999999999993</v>
      </c>
      <c r="M1000">
        <v>13901</v>
      </c>
      <c r="N1000" t="s">
        <v>116</v>
      </c>
      <c r="O1000">
        <v>250509</v>
      </c>
      <c r="P1000">
        <v>294.41000000000003</v>
      </c>
    </row>
    <row r="1001" spans="1:16" x14ac:dyDescent="0.25">
      <c r="A1001" t="s">
        <v>3296</v>
      </c>
      <c r="B1001" t="s">
        <v>2931</v>
      </c>
      <c r="C1001">
        <v>8195</v>
      </c>
      <c r="D1001" t="str">
        <f>"3449349     "</f>
        <v xml:space="preserve">3449349     </v>
      </c>
      <c r="E1001" t="s">
        <v>1843</v>
      </c>
      <c r="F1001" t="s">
        <v>1844</v>
      </c>
      <c r="G1001">
        <v>885.23</v>
      </c>
      <c r="H1001">
        <v>250530</v>
      </c>
      <c r="I1001">
        <v>4420</v>
      </c>
      <c r="J1001" t="s">
        <v>330</v>
      </c>
      <c r="K1001">
        <v>885.23</v>
      </c>
      <c r="L1001">
        <v>179.87</v>
      </c>
      <c r="M1001">
        <v>13901</v>
      </c>
      <c r="N1001" t="s">
        <v>116</v>
      </c>
      <c r="O1001">
        <v>250612</v>
      </c>
      <c r="P1001">
        <v>705.36</v>
      </c>
    </row>
    <row r="1002" spans="1:16" x14ac:dyDescent="0.25">
      <c r="A1002" t="s">
        <v>3296</v>
      </c>
      <c r="B1002" t="s">
        <v>2931</v>
      </c>
      <c r="C1002">
        <v>16476</v>
      </c>
      <c r="D1002" t="str">
        <f>"3764398     "</f>
        <v xml:space="preserve">3764398     </v>
      </c>
      <c r="E1002" t="s">
        <v>1843</v>
      </c>
      <c r="F1002" t="s">
        <v>1844</v>
      </c>
      <c r="G1002">
        <v>175</v>
      </c>
      <c r="H1002">
        <v>251205</v>
      </c>
      <c r="I1002">
        <v>4860</v>
      </c>
      <c r="J1002" t="s">
        <v>286</v>
      </c>
      <c r="K1002">
        <v>175</v>
      </c>
      <c r="L1002">
        <v>35.56</v>
      </c>
      <c r="M1002">
        <v>13901</v>
      </c>
      <c r="N1002" t="s">
        <v>116</v>
      </c>
      <c r="O1002">
        <v>251209</v>
      </c>
      <c r="P1002">
        <v>139.44</v>
      </c>
    </row>
    <row r="1003" spans="1:16" x14ac:dyDescent="0.25">
      <c r="A1003" t="s">
        <v>3296</v>
      </c>
      <c r="B1003" t="s">
        <v>2931</v>
      </c>
      <c r="C1003">
        <v>16861</v>
      </c>
      <c r="D1003" t="str">
        <f>"3773234     "</f>
        <v xml:space="preserve">3773234     </v>
      </c>
      <c r="E1003" t="s">
        <v>1843</v>
      </c>
      <c r="F1003" t="s">
        <v>1844</v>
      </c>
      <c r="G1003">
        <v>175</v>
      </c>
      <c r="H1003">
        <v>251211</v>
      </c>
      <c r="I1003">
        <v>4860</v>
      </c>
      <c r="J1003" t="s">
        <v>286</v>
      </c>
      <c r="K1003">
        <v>175</v>
      </c>
      <c r="L1003">
        <v>35.56</v>
      </c>
      <c r="M1003">
        <v>13901</v>
      </c>
      <c r="N1003" t="s">
        <v>116</v>
      </c>
      <c r="O1003">
        <v>251215</v>
      </c>
      <c r="P1003">
        <v>139.44</v>
      </c>
    </row>
    <row r="1004" spans="1:16" x14ac:dyDescent="0.25">
      <c r="A1004" t="s">
        <v>3296</v>
      </c>
      <c r="B1004" t="s">
        <v>2931</v>
      </c>
      <c r="C1004">
        <v>3105</v>
      </c>
      <c r="D1004" t="str">
        <f>"41001324    "</f>
        <v xml:space="preserve">41001324    </v>
      </c>
      <c r="E1004" t="s">
        <v>3025</v>
      </c>
      <c r="F1004" t="s">
        <v>3026</v>
      </c>
      <c r="G1004">
        <v>9600.75</v>
      </c>
      <c r="H1004">
        <v>250228</v>
      </c>
      <c r="I1004">
        <v>4440</v>
      </c>
      <c r="J1004" t="s">
        <v>346</v>
      </c>
      <c r="K1004">
        <v>9600.75</v>
      </c>
      <c r="L1004">
        <v>1950.75</v>
      </c>
      <c r="M1004">
        <v>18820</v>
      </c>
      <c r="N1004" t="s">
        <v>372</v>
      </c>
      <c r="O1004">
        <v>250314</v>
      </c>
      <c r="P1004">
        <v>7650</v>
      </c>
    </row>
    <row r="1005" spans="1:16" x14ac:dyDescent="0.25">
      <c r="A1005" t="s">
        <v>3296</v>
      </c>
      <c r="B1005" t="s">
        <v>2931</v>
      </c>
      <c r="C1005">
        <v>3112</v>
      </c>
      <c r="D1005" t="str">
        <f>"41001326    "</f>
        <v xml:space="preserve">41001326    </v>
      </c>
      <c r="E1005" t="s">
        <v>3025</v>
      </c>
      <c r="F1005" t="s">
        <v>3026</v>
      </c>
      <c r="G1005">
        <v>8330</v>
      </c>
      <c r="H1005">
        <v>250228</v>
      </c>
      <c r="I1005">
        <v>4440</v>
      </c>
      <c r="J1005" t="s">
        <v>346</v>
      </c>
      <c r="K1005">
        <v>8330</v>
      </c>
      <c r="L1005">
        <v>0</v>
      </c>
      <c r="M1005">
        <v>18120</v>
      </c>
      <c r="N1005" t="s">
        <v>37</v>
      </c>
      <c r="O1005">
        <v>250314</v>
      </c>
      <c r="P1005">
        <v>8330</v>
      </c>
    </row>
    <row r="1006" spans="1:16" x14ac:dyDescent="0.25">
      <c r="A1006" t="s">
        <v>3296</v>
      </c>
      <c r="B1006" t="s">
        <v>2931</v>
      </c>
      <c r="C1006">
        <v>3123</v>
      </c>
      <c r="D1006" t="str">
        <f>"41001318    "</f>
        <v xml:space="preserve">41001318    </v>
      </c>
      <c r="E1006" t="s">
        <v>3025</v>
      </c>
      <c r="F1006" t="s">
        <v>3026</v>
      </c>
      <c r="G1006">
        <v>1600.13</v>
      </c>
      <c r="H1006">
        <v>250228</v>
      </c>
      <c r="I1006">
        <v>4440</v>
      </c>
      <c r="J1006" t="s">
        <v>346</v>
      </c>
      <c r="K1006">
        <v>1600.13</v>
      </c>
      <c r="L1006">
        <v>325.13</v>
      </c>
      <c r="M1006">
        <v>18820</v>
      </c>
      <c r="N1006" t="s">
        <v>372</v>
      </c>
      <c r="O1006">
        <v>250314</v>
      </c>
      <c r="P1006">
        <v>1275</v>
      </c>
    </row>
    <row r="1007" spans="1:16" x14ac:dyDescent="0.25">
      <c r="A1007" t="s">
        <v>3296</v>
      </c>
      <c r="B1007" t="s">
        <v>2931</v>
      </c>
      <c r="C1007">
        <v>3172</v>
      </c>
      <c r="D1007" t="str">
        <f>"41001328    "</f>
        <v xml:space="preserve">41001328    </v>
      </c>
      <c r="E1007" t="s">
        <v>3025</v>
      </c>
      <c r="F1007" t="s">
        <v>3026</v>
      </c>
      <c r="G1007">
        <v>1928</v>
      </c>
      <c r="H1007">
        <v>250228</v>
      </c>
      <c r="I1007">
        <v>4440</v>
      </c>
      <c r="J1007" t="s">
        <v>346</v>
      </c>
      <c r="K1007">
        <v>1928</v>
      </c>
      <c r="L1007">
        <v>0</v>
      </c>
      <c r="M1007">
        <v>18120</v>
      </c>
      <c r="N1007" t="s">
        <v>37</v>
      </c>
      <c r="O1007">
        <v>250314</v>
      </c>
      <c r="P1007">
        <v>1928</v>
      </c>
    </row>
    <row r="1008" spans="1:16" x14ac:dyDescent="0.25">
      <c r="A1008" t="s">
        <v>3296</v>
      </c>
      <c r="B1008" t="s">
        <v>2931</v>
      </c>
      <c r="C1008">
        <v>3285</v>
      </c>
      <c r="D1008" t="str">
        <f>"41001327    "</f>
        <v xml:space="preserve">41001327    </v>
      </c>
      <c r="E1008" t="s">
        <v>3025</v>
      </c>
      <c r="F1008" t="s">
        <v>3026</v>
      </c>
      <c r="G1008">
        <v>5800.2</v>
      </c>
      <c r="H1008">
        <v>250331</v>
      </c>
      <c r="I1008">
        <v>4440</v>
      </c>
      <c r="J1008" t="s">
        <v>346</v>
      </c>
      <c r="K1008">
        <v>5800.2</v>
      </c>
      <c r="L1008">
        <v>0</v>
      </c>
      <c r="M1008">
        <v>18120</v>
      </c>
      <c r="N1008" t="s">
        <v>37</v>
      </c>
      <c r="O1008">
        <v>250318</v>
      </c>
      <c r="P1008">
        <v>5800.2</v>
      </c>
    </row>
    <row r="1009" spans="1:16" x14ac:dyDescent="0.25">
      <c r="A1009" t="s">
        <v>3296</v>
      </c>
      <c r="B1009" t="s">
        <v>2931</v>
      </c>
      <c r="C1009">
        <v>3289</v>
      </c>
      <c r="D1009" t="str">
        <f>"41001329    "</f>
        <v xml:space="preserve">41001329    </v>
      </c>
      <c r="E1009" t="s">
        <v>3025</v>
      </c>
      <c r="F1009" t="s">
        <v>3026</v>
      </c>
      <c r="G1009">
        <v>5547.1</v>
      </c>
      <c r="H1009">
        <v>250301</v>
      </c>
      <c r="I1009">
        <v>4440</v>
      </c>
      <c r="J1009" t="s">
        <v>346</v>
      </c>
      <c r="K1009">
        <v>5547.1</v>
      </c>
      <c r="L1009">
        <v>1127.0999999999999</v>
      </c>
      <c r="M1009">
        <v>18820</v>
      </c>
      <c r="N1009" t="s">
        <v>372</v>
      </c>
      <c r="O1009">
        <v>250318</v>
      </c>
      <c r="P1009">
        <v>4420</v>
      </c>
    </row>
    <row r="1010" spans="1:16" x14ac:dyDescent="0.25">
      <c r="A1010" t="s">
        <v>3296</v>
      </c>
      <c r="B1010" t="s">
        <v>2931</v>
      </c>
      <c r="C1010">
        <v>3391</v>
      </c>
      <c r="D1010" t="str">
        <f>"41001322    "</f>
        <v xml:space="preserve">41001322    </v>
      </c>
      <c r="E1010" t="s">
        <v>3025</v>
      </c>
      <c r="F1010" t="s">
        <v>3026</v>
      </c>
      <c r="G1010">
        <v>9310</v>
      </c>
      <c r="H1010">
        <v>250301</v>
      </c>
      <c r="I1010">
        <v>4440</v>
      </c>
      <c r="J1010" t="s">
        <v>346</v>
      </c>
      <c r="K1010">
        <v>9310</v>
      </c>
      <c r="L1010">
        <v>0</v>
      </c>
      <c r="M1010">
        <v>18120</v>
      </c>
      <c r="N1010" t="s">
        <v>37</v>
      </c>
      <c r="O1010">
        <v>250320</v>
      </c>
      <c r="P1010">
        <v>9310</v>
      </c>
    </row>
    <row r="1011" spans="1:16" x14ac:dyDescent="0.25">
      <c r="A1011" t="s">
        <v>3296</v>
      </c>
      <c r="B1011" t="s">
        <v>2931</v>
      </c>
      <c r="C1011">
        <v>3392</v>
      </c>
      <c r="D1011" t="str">
        <f>"41001321    "</f>
        <v xml:space="preserve">41001321    </v>
      </c>
      <c r="E1011" t="s">
        <v>3025</v>
      </c>
      <c r="F1011" t="s">
        <v>3026</v>
      </c>
      <c r="G1011">
        <v>7008.29</v>
      </c>
      <c r="H1011">
        <v>250301</v>
      </c>
      <c r="I1011">
        <v>4440</v>
      </c>
      <c r="J1011" t="s">
        <v>346</v>
      </c>
      <c r="K1011">
        <v>7008.29</v>
      </c>
      <c r="L1011">
        <v>0</v>
      </c>
      <c r="M1011">
        <v>18120</v>
      </c>
      <c r="N1011" t="s">
        <v>37</v>
      </c>
      <c r="O1011">
        <v>250320</v>
      </c>
      <c r="P1011">
        <v>7008.29</v>
      </c>
    </row>
    <row r="1012" spans="1:16" x14ac:dyDescent="0.25">
      <c r="A1012" t="s">
        <v>3296</v>
      </c>
      <c r="B1012" t="s">
        <v>2931</v>
      </c>
      <c r="C1012">
        <v>3394</v>
      </c>
      <c r="D1012" t="str">
        <f>"41001330    "</f>
        <v xml:space="preserve">41001330    </v>
      </c>
      <c r="E1012" t="s">
        <v>3025</v>
      </c>
      <c r="F1012" t="s">
        <v>3026</v>
      </c>
      <c r="G1012">
        <v>8605.1200000000008</v>
      </c>
      <c r="H1012">
        <v>250301</v>
      </c>
      <c r="I1012">
        <v>4440</v>
      </c>
      <c r="J1012" t="s">
        <v>346</v>
      </c>
      <c r="K1012">
        <v>8605.1200000000008</v>
      </c>
      <c r="L1012">
        <v>1748.45</v>
      </c>
      <c r="M1012">
        <v>18820</v>
      </c>
      <c r="N1012" t="s">
        <v>372</v>
      </c>
      <c r="O1012">
        <v>250320</v>
      </c>
      <c r="P1012">
        <v>6856.67</v>
      </c>
    </row>
    <row r="1013" spans="1:16" x14ac:dyDescent="0.25">
      <c r="A1013" t="s">
        <v>3296</v>
      </c>
      <c r="B1013" t="s">
        <v>2931</v>
      </c>
      <c r="C1013">
        <v>3632</v>
      </c>
      <c r="D1013" t="str">
        <f>"41001332    "</f>
        <v xml:space="preserve">41001332    </v>
      </c>
      <c r="E1013" t="s">
        <v>3025</v>
      </c>
      <c r="F1013" t="s">
        <v>3026</v>
      </c>
      <c r="G1013">
        <v>4819.2</v>
      </c>
      <c r="H1013">
        <v>250317</v>
      </c>
      <c r="I1013">
        <v>4440</v>
      </c>
      <c r="J1013" t="s">
        <v>346</v>
      </c>
      <c r="K1013">
        <v>4819.2</v>
      </c>
      <c r="L1013">
        <v>979.2</v>
      </c>
      <c r="M1013">
        <v>18120</v>
      </c>
      <c r="N1013" t="s">
        <v>37</v>
      </c>
      <c r="O1013">
        <v>250327</v>
      </c>
      <c r="P1013">
        <v>3840</v>
      </c>
    </row>
    <row r="1014" spans="1:16" x14ac:dyDescent="0.25">
      <c r="A1014" t="s">
        <v>3296</v>
      </c>
      <c r="B1014" t="s">
        <v>2931</v>
      </c>
      <c r="C1014">
        <v>3818</v>
      </c>
      <c r="D1014" t="str">
        <f>"41001336    "</f>
        <v xml:space="preserve">41001336    </v>
      </c>
      <c r="E1014" t="s">
        <v>3025</v>
      </c>
      <c r="F1014" t="s">
        <v>3026</v>
      </c>
      <c r="G1014">
        <v>5490.63</v>
      </c>
      <c r="H1014">
        <v>250319</v>
      </c>
      <c r="I1014">
        <v>4440</v>
      </c>
      <c r="J1014" t="s">
        <v>346</v>
      </c>
      <c r="K1014">
        <v>5490.63</v>
      </c>
      <c r="L1014">
        <v>1115.6300000000001</v>
      </c>
      <c r="M1014">
        <v>18120</v>
      </c>
      <c r="N1014" t="s">
        <v>37</v>
      </c>
      <c r="O1014">
        <v>250402</v>
      </c>
      <c r="P1014">
        <v>4375</v>
      </c>
    </row>
    <row r="1015" spans="1:16" x14ac:dyDescent="0.25">
      <c r="A1015" t="s">
        <v>3296</v>
      </c>
      <c r="B1015" t="s">
        <v>2931</v>
      </c>
      <c r="C1015">
        <v>8756</v>
      </c>
      <c r="D1015" t="str">
        <f>"41001372    "</f>
        <v xml:space="preserve">41001372    </v>
      </c>
      <c r="E1015" t="s">
        <v>3025</v>
      </c>
      <c r="F1015" t="s">
        <v>3026</v>
      </c>
      <c r="G1015">
        <v>483.35</v>
      </c>
      <c r="H1015">
        <v>250531</v>
      </c>
      <c r="I1015">
        <v>4440</v>
      </c>
      <c r="J1015" t="s">
        <v>346</v>
      </c>
      <c r="K1015">
        <v>483.35</v>
      </c>
      <c r="L1015">
        <v>0</v>
      </c>
      <c r="M1015">
        <v>18120</v>
      </c>
      <c r="N1015" t="s">
        <v>37</v>
      </c>
      <c r="O1015">
        <v>250618</v>
      </c>
      <c r="P1015">
        <v>483.35</v>
      </c>
    </row>
    <row r="1016" spans="1:16" x14ac:dyDescent="0.25">
      <c r="A1016" t="s">
        <v>3296</v>
      </c>
      <c r="B1016" t="s">
        <v>2931</v>
      </c>
      <c r="C1016">
        <v>8833</v>
      </c>
      <c r="D1016" t="str">
        <f>"41001386    "</f>
        <v xml:space="preserve">41001386    </v>
      </c>
      <c r="E1016" t="s">
        <v>3025</v>
      </c>
      <c r="F1016" t="s">
        <v>3026</v>
      </c>
      <c r="G1016">
        <v>4128.95</v>
      </c>
      <c r="H1016">
        <v>250616</v>
      </c>
      <c r="I1016">
        <v>4440</v>
      </c>
      <c r="J1016" t="s">
        <v>346</v>
      </c>
      <c r="K1016">
        <v>4128.95</v>
      </c>
      <c r="L1016">
        <v>838.95</v>
      </c>
      <c r="M1016">
        <v>18120</v>
      </c>
      <c r="N1016" t="s">
        <v>37</v>
      </c>
      <c r="O1016">
        <v>250618</v>
      </c>
      <c r="P1016">
        <v>3290</v>
      </c>
    </row>
    <row r="1017" spans="1:16" x14ac:dyDescent="0.25">
      <c r="A1017" t="s">
        <v>3296</v>
      </c>
      <c r="B1017" t="s">
        <v>2931</v>
      </c>
      <c r="C1017">
        <v>8836</v>
      </c>
      <c r="D1017" t="str">
        <f>"41001378    "</f>
        <v xml:space="preserve">41001378    </v>
      </c>
      <c r="E1017" t="s">
        <v>3025</v>
      </c>
      <c r="F1017" t="s">
        <v>3026</v>
      </c>
      <c r="G1017">
        <v>9067.3799999999992</v>
      </c>
      <c r="H1017">
        <v>250616</v>
      </c>
      <c r="I1017">
        <v>4440</v>
      </c>
      <c r="J1017" t="s">
        <v>346</v>
      </c>
      <c r="K1017">
        <v>9067.3799999999992</v>
      </c>
      <c r="L1017">
        <v>1842.38</v>
      </c>
      <c r="M1017">
        <v>18820</v>
      </c>
      <c r="N1017" t="s">
        <v>372</v>
      </c>
      <c r="O1017">
        <v>250618</v>
      </c>
      <c r="P1017">
        <v>7225</v>
      </c>
    </row>
    <row r="1018" spans="1:16" x14ac:dyDescent="0.25">
      <c r="A1018" t="s">
        <v>3296</v>
      </c>
      <c r="B1018" t="s">
        <v>2931</v>
      </c>
      <c r="C1018">
        <v>8851</v>
      </c>
      <c r="D1018" t="str">
        <f>"41001377    "</f>
        <v xml:space="preserve">41001377    </v>
      </c>
      <c r="E1018" t="s">
        <v>3025</v>
      </c>
      <c r="F1018" t="s">
        <v>3026</v>
      </c>
      <c r="G1018">
        <v>5547.1</v>
      </c>
      <c r="H1018">
        <v>250616</v>
      </c>
      <c r="I1018">
        <v>4440</v>
      </c>
      <c r="J1018" t="s">
        <v>346</v>
      </c>
      <c r="K1018">
        <v>5547.1</v>
      </c>
      <c r="L1018">
        <v>1127.0999999999999</v>
      </c>
      <c r="M1018">
        <v>18820</v>
      </c>
      <c r="N1018" t="s">
        <v>372</v>
      </c>
      <c r="O1018">
        <v>250618</v>
      </c>
      <c r="P1018">
        <v>4420</v>
      </c>
    </row>
    <row r="1019" spans="1:16" x14ac:dyDescent="0.25">
      <c r="A1019" t="s">
        <v>3296</v>
      </c>
      <c r="B1019" t="s">
        <v>2931</v>
      </c>
      <c r="C1019">
        <v>8852</v>
      </c>
      <c r="D1019" t="str">
        <f>"41001379    "</f>
        <v xml:space="preserve">41001379    </v>
      </c>
      <c r="E1019" t="s">
        <v>3025</v>
      </c>
      <c r="F1019" t="s">
        <v>3026</v>
      </c>
      <c r="G1019">
        <v>8534</v>
      </c>
      <c r="H1019">
        <v>250616</v>
      </c>
      <c r="I1019">
        <v>4440</v>
      </c>
      <c r="J1019" t="s">
        <v>346</v>
      </c>
      <c r="K1019">
        <v>8534</v>
      </c>
      <c r="L1019">
        <v>1734</v>
      </c>
      <c r="M1019">
        <v>18820</v>
      </c>
      <c r="N1019" t="s">
        <v>372</v>
      </c>
      <c r="O1019">
        <v>250618</v>
      </c>
      <c r="P1019">
        <v>6800</v>
      </c>
    </row>
    <row r="1020" spans="1:16" x14ac:dyDescent="0.25">
      <c r="A1020" t="s">
        <v>3296</v>
      </c>
      <c r="B1020" t="s">
        <v>2931</v>
      </c>
      <c r="C1020">
        <v>9034</v>
      </c>
      <c r="D1020" t="str">
        <f>"41001373    "</f>
        <v xml:space="preserve">41001373    </v>
      </c>
      <c r="E1020" t="s">
        <v>3025</v>
      </c>
      <c r="F1020" t="s">
        <v>3026</v>
      </c>
      <c r="G1020">
        <v>5316.85</v>
      </c>
      <c r="H1020">
        <v>250613</v>
      </c>
      <c r="I1020">
        <v>4440</v>
      </c>
      <c r="J1020" t="s">
        <v>346</v>
      </c>
      <c r="K1020">
        <v>5316.85</v>
      </c>
      <c r="L1020">
        <v>0</v>
      </c>
      <c r="M1020">
        <v>18120</v>
      </c>
      <c r="N1020" t="s">
        <v>37</v>
      </c>
      <c r="O1020">
        <v>250626</v>
      </c>
      <c r="P1020">
        <v>5316.85</v>
      </c>
    </row>
    <row r="1021" spans="1:16" x14ac:dyDescent="0.25">
      <c r="A1021" t="s">
        <v>3296</v>
      </c>
      <c r="B1021" t="s">
        <v>2931</v>
      </c>
      <c r="C1021">
        <v>9065</v>
      </c>
      <c r="D1021" t="str">
        <f>"41001374    "</f>
        <v xml:space="preserve">41001374    </v>
      </c>
      <c r="E1021" t="s">
        <v>3025</v>
      </c>
      <c r="F1021" t="s">
        <v>3026</v>
      </c>
      <c r="G1021">
        <v>9310</v>
      </c>
      <c r="H1021">
        <v>250616</v>
      </c>
      <c r="I1021">
        <v>4440</v>
      </c>
      <c r="J1021" t="s">
        <v>346</v>
      </c>
      <c r="K1021">
        <v>9310</v>
      </c>
      <c r="L1021">
        <v>0</v>
      </c>
      <c r="M1021">
        <v>18120</v>
      </c>
      <c r="N1021" t="s">
        <v>37</v>
      </c>
      <c r="O1021">
        <v>250626</v>
      </c>
      <c r="P1021">
        <v>9310</v>
      </c>
    </row>
    <row r="1022" spans="1:16" x14ac:dyDescent="0.25">
      <c r="A1022" t="s">
        <v>3296</v>
      </c>
      <c r="B1022" t="s">
        <v>2931</v>
      </c>
      <c r="C1022">
        <v>9084</v>
      </c>
      <c r="D1022" t="str">
        <f>"41001375    "</f>
        <v xml:space="preserve">41001375    </v>
      </c>
      <c r="E1022" t="s">
        <v>3025</v>
      </c>
      <c r="F1022" t="s">
        <v>3026</v>
      </c>
      <c r="G1022">
        <v>8330</v>
      </c>
      <c r="H1022">
        <v>250616</v>
      </c>
      <c r="I1022">
        <v>4440</v>
      </c>
      <c r="J1022" t="s">
        <v>346</v>
      </c>
      <c r="K1022">
        <v>8330</v>
      </c>
      <c r="L1022">
        <v>0</v>
      </c>
      <c r="M1022">
        <v>18120</v>
      </c>
      <c r="N1022" t="s">
        <v>37</v>
      </c>
      <c r="O1022">
        <v>250626</v>
      </c>
      <c r="P1022">
        <v>8330</v>
      </c>
    </row>
    <row r="1023" spans="1:16" x14ac:dyDescent="0.25">
      <c r="A1023" t="s">
        <v>3296</v>
      </c>
      <c r="B1023" t="s">
        <v>2931</v>
      </c>
      <c r="C1023">
        <v>9087</v>
      </c>
      <c r="D1023" t="str">
        <f>"41001390    "</f>
        <v xml:space="preserve">41001390    </v>
      </c>
      <c r="E1023" t="s">
        <v>3025</v>
      </c>
      <c r="F1023" t="s">
        <v>3026</v>
      </c>
      <c r="G1023">
        <v>14571.43</v>
      </c>
      <c r="H1023">
        <v>250616</v>
      </c>
      <c r="I1023">
        <v>4440</v>
      </c>
      <c r="J1023" t="s">
        <v>346</v>
      </c>
      <c r="K1023">
        <v>14571.43</v>
      </c>
      <c r="L1023">
        <v>0</v>
      </c>
      <c r="M1023">
        <v>18120</v>
      </c>
      <c r="N1023" t="s">
        <v>37</v>
      </c>
      <c r="O1023">
        <v>250626</v>
      </c>
      <c r="P1023">
        <v>14571.43</v>
      </c>
    </row>
    <row r="1024" spans="1:16" x14ac:dyDescent="0.25">
      <c r="A1024" t="s">
        <v>3296</v>
      </c>
      <c r="B1024" t="s">
        <v>2931</v>
      </c>
      <c r="C1024">
        <v>9112</v>
      </c>
      <c r="D1024" t="str">
        <f>"41001393    "</f>
        <v xml:space="preserve">41001393    </v>
      </c>
      <c r="E1024" t="s">
        <v>3025</v>
      </c>
      <c r="F1024" t="s">
        <v>3026</v>
      </c>
      <c r="G1024">
        <v>3953.25</v>
      </c>
      <c r="H1024">
        <v>250617</v>
      </c>
      <c r="I1024">
        <v>4440</v>
      </c>
      <c r="J1024" t="s">
        <v>346</v>
      </c>
      <c r="K1024">
        <v>3953.25</v>
      </c>
      <c r="L1024">
        <v>803.25</v>
      </c>
      <c r="M1024">
        <v>18120</v>
      </c>
      <c r="N1024" t="s">
        <v>37</v>
      </c>
      <c r="O1024">
        <v>250626</v>
      </c>
      <c r="P1024">
        <v>3150</v>
      </c>
    </row>
    <row r="1025" spans="1:16" x14ac:dyDescent="0.25">
      <c r="A1025" t="s">
        <v>3296</v>
      </c>
      <c r="B1025" t="s">
        <v>2931</v>
      </c>
      <c r="C1025">
        <v>9144</v>
      </c>
      <c r="D1025" t="str">
        <f>"41001395    "</f>
        <v xml:space="preserve">41001395    </v>
      </c>
      <c r="E1025" t="s">
        <v>3025</v>
      </c>
      <c r="F1025" t="s">
        <v>3026</v>
      </c>
      <c r="G1025">
        <v>2706.09</v>
      </c>
      <c r="H1025">
        <v>250618</v>
      </c>
      <c r="I1025">
        <v>4440</v>
      </c>
      <c r="J1025" t="s">
        <v>346</v>
      </c>
      <c r="K1025">
        <v>2706.09</v>
      </c>
      <c r="L1025">
        <v>549.84</v>
      </c>
      <c r="M1025">
        <v>18120</v>
      </c>
      <c r="N1025" t="s">
        <v>37</v>
      </c>
      <c r="O1025">
        <v>250627</v>
      </c>
      <c r="P1025">
        <v>2156.25</v>
      </c>
    </row>
    <row r="1026" spans="1:16" x14ac:dyDescent="0.25">
      <c r="A1026" t="s">
        <v>3296</v>
      </c>
      <c r="B1026" t="s">
        <v>2931</v>
      </c>
      <c r="C1026">
        <v>12170</v>
      </c>
      <c r="D1026" t="str">
        <f>"41001435    "</f>
        <v xml:space="preserve">41001435    </v>
      </c>
      <c r="E1026" t="s">
        <v>3025</v>
      </c>
      <c r="F1026" t="s">
        <v>3026</v>
      </c>
      <c r="G1026">
        <v>8534</v>
      </c>
      <c r="H1026">
        <v>250909</v>
      </c>
      <c r="I1026">
        <v>4440</v>
      </c>
      <c r="J1026" t="s">
        <v>346</v>
      </c>
      <c r="K1026">
        <v>8534</v>
      </c>
      <c r="L1026">
        <v>1734</v>
      </c>
      <c r="M1026">
        <v>18820</v>
      </c>
      <c r="N1026" t="s">
        <v>372</v>
      </c>
      <c r="O1026">
        <v>250917</v>
      </c>
      <c r="P1026">
        <v>6800</v>
      </c>
    </row>
    <row r="1027" spans="1:16" x14ac:dyDescent="0.25">
      <c r="A1027" t="s">
        <v>3296</v>
      </c>
      <c r="B1027" t="s">
        <v>2931</v>
      </c>
      <c r="C1027">
        <v>12179</v>
      </c>
      <c r="D1027" t="str">
        <f>"41001436    "</f>
        <v xml:space="preserve">41001436    </v>
      </c>
      <c r="E1027" t="s">
        <v>3025</v>
      </c>
      <c r="F1027" t="s">
        <v>3026</v>
      </c>
      <c r="G1027">
        <v>3953.25</v>
      </c>
      <c r="H1027">
        <v>250912</v>
      </c>
      <c r="I1027">
        <v>4440</v>
      </c>
      <c r="J1027" t="s">
        <v>346</v>
      </c>
      <c r="K1027">
        <v>3953.25</v>
      </c>
      <c r="L1027">
        <v>803.25</v>
      </c>
      <c r="M1027">
        <v>18120</v>
      </c>
      <c r="N1027" t="s">
        <v>37</v>
      </c>
      <c r="O1027">
        <v>250917</v>
      </c>
      <c r="P1027">
        <v>3150</v>
      </c>
    </row>
    <row r="1028" spans="1:16" x14ac:dyDescent="0.25">
      <c r="A1028" t="s">
        <v>3296</v>
      </c>
      <c r="B1028" t="s">
        <v>2931</v>
      </c>
      <c r="C1028">
        <v>12180</v>
      </c>
      <c r="D1028" t="str">
        <f>"41001437    "</f>
        <v xml:space="preserve">41001437    </v>
      </c>
      <c r="E1028" t="s">
        <v>3025</v>
      </c>
      <c r="F1028" t="s">
        <v>3026</v>
      </c>
      <c r="G1028">
        <v>4086.59</v>
      </c>
      <c r="H1028">
        <v>250912</v>
      </c>
      <c r="I1028">
        <v>4440</v>
      </c>
      <c r="J1028" t="s">
        <v>346</v>
      </c>
      <c r="K1028">
        <v>4086.59</v>
      </c>
      <c r="L1028">
        <v>830.34</v>
      </c>
      <c r="M1028">
        <v>18120</v>
      </c>
      <c r="N1028" t="s">
        <v>37</v>
      </c>
      <c r="O1028">
        <v>250917</v>
      </c>
      <c r="P1028">
        <v>3256.25</v>
      </c>
    </row>
    <row r="1029" spans="1:16" x14ac:dyDescent="0.25">
      <c r="A1029" t="s">
        <v>3296</v>
      </c>
      <c r="B1029" t="s">
        <v>2931</v>
      </c>
      <c r="C1029">
        <v>12269</v>
      </c>
      <c r="D1029" t="str">
        <f>"41001443    "</f>
        <v xml:space="preserve">41001443    </v>
      </c>
      <c r="E1029" t="s">
        <v>3025</v>
      </c>
      <c r="F1029" t="s">
        <v>3026</v>
      </c>
      <c r="G1029">
        <v>7840</v>
      </c>
      <c r="H1029">
        <v>250915</v>
      </c>
      <c r="I1029">
        <v>4440</v>
      </c>
      <c r="J1029" t="s">
        <v>346</v>
      </c>
      <c r="K1029">
        <v>7840</v>
      </c>
      <c r="L1029">
        <v>0</v>
      </c>
      <c r="M1029">
        <v>18120</v>
      </c>
      <c r="N1029" t="s">
        <v>37</v>
      </c>
      <c r="O1029">
        <v>250918</v>
      </c>
      <c r="P1029">
        <v>7840</v>
      </c>
    </row>
    <row r="1030" spans="1:16" x14ac:dyDescent="0.25">
      <c r="A1030" t="s">
        <v>3296</v>
      </c>
      <c r="B1030" t="s">
        <v>2931</v>
      </c>
      <c r="C1030">
        <v>12270</v>
      </c>
      <c r="D1030" t="str">
        <f>"41001444    "</f>
        <v xml:space="preserve">41001444    </v>
      </c>
      <c r="E1030" t="s">
        <v>3025</v>
      </c>
      <c r="F1030" t="s">
        <v>3026</v>
      </c>
      <c r="G1030">
        <v>8330</v>
      </c>
      <c r="H1030">
        <v>250915</v>
      </c>
      <c r="I1030">
        <v>4440</v>
      </c>
      <c r="J1030" t="s">
        <v>346</v>
      </c>
      <c r="K1030">
        <v>8330</v>
      </c>
      <c r="L1030">
        <v>0</v>
      </c>
      <c r="M1030">
        <v>18120</v>
      </c>
      <c r="N1030" t="s">
        <v>37</v>
      </c>
      <c r="O1030">
        <v>250918</v>
      </c>
      <c r="P1030">
        <v>8330</v>
      </c>
    </row>
    <row r="1031" spans="1:16" x14ac:dyDescent="0.25">
      <c r="A1031" t="s">
        <v>3296</v>
      </c>
      <c r="B1031" t="s">
        <v>2931</v>
      </c>
      <c r="C1031">
        <v>12323</v>
      </c>
      <c r="D1031" t="str">
        <f>"41001447    "</f>
        <v xml:space="preserve">41001447    </v>
      </c>
      <c r="E1031" t="s">
        <v>3025</v>
      </c>
      <c r="F1031" t="s">
        <v>3026</v>
      </c>
      <c r="G1031">
        <v>9067.3799999999992</v>
      </c>
      <c r="H1031">
        <v>250916</v>
      </c>
      <c r="I1031">
        <v>4440</v>
      </c>
      <c r="J1031" t="s">
        <v>346</v>
      </c>
      <c r="K1031">
        <v>9067.3799999999992</v>
      </c>
      <c r="L1031">
        <v>1842.38</v>
      </c>
      <c r="M1031">
        <v>18820</v>
      </c>
      <c r="N1031" t="s">
        <v>372</v>
      </c>
      <c r="O1031">
        <v>250919</v>
      </c>
      <c r="P1031">
        <v>7225</v>
      </c>
    </row>
    <row r="1032" spans="1:16" x14ac:dyDescent="0.25">
      <c r="A1032" t="s">
        <v>3296</v>
      </c>
      <c r="B1032" t="s">
        <v>2931</v>
      </c>
      <c r="C1032">
        <v>13174</v>
      </c>
      <c r="D1032" t="str">
        <f>"41001455    "</f>
        <v xml:space="preserve">41001455    </v>
      </c>
      <c r="E1032" t="s">
        <v>3025</v>
      </c>
      <c r="F1032" t="s">
        <v>3026</v>
      </c>
      <c r="G1032">
        <v>9781.43</v>
      </c>
      <c r="H1032">
        <v>250930</v>
      </c>
      <c r="I1032">
        <v>4440</v>
      </c>
      <c r="J1032" t="s">
        <v>346</v>
      </c>
      <c r="K1032">
        <v>9781.43</v>
      </c>
      <c r="L1032">
        <v>0</v>
      </c>
      <c r="M1032">
        <v>18120</v>
      </c>
      <c r="N1032" t="s">
        <v>37</v>
      </c>
      <c r="O1032">
        <v>251006</v>
      </c>
      <c r="P1032">
        <v>9781.43</v>
      </c>
    </row>
    <row r="1033" spans="1:16" x14ac:dyDescent="0.25">
      <c r="A1033" t="s">
        <v>3296</v>
      </c>
      <c r="B1033" t="s">
        <v>2931</v>
      </c>
      <c r="C1033">
        <v>13509</v>
      </c>
      <c r="D1033" t="str">
        <f>"41001457    "</f>
        <v xml:space="preserve">41001457    </v>
      </c>
      <c r="E1033" t="s">
        <v>3025</v>
      </c>
      <c r="F1033" t="s">
        <v>3026</v>
      </c>
      <c r="G1033">
        <v>21347.55</v>
      </c>
      <c r="H1033">
        <v>250930</v>
      </c>
      <c r="I1033">
        <v>4440</v>
      </c>
      <c r="J1033" t="s">
        <v>346</v>
      </c>
      <c r="K1033">
        <v>21347.55</v>
      </c>
      <c r="L1033">
        <v>4337.55</v>
      </c>
      <c r="M1033">
        <v>18820</v>
      </c>
      <c r="N1033" t="s">
        <v>372</v>
      </c>
      <c r="O1033">
        <v>251010</v>
      </c>
      <c r="P1033">
        <v>17010</v>
      </c>
    </row>
    <row r="1034" spans="1:16" x14ac:dyDescent="0.25">
      <c r="A1034" t="s">
        <v>3296</v>
      </c>
      <c r="B1034" t="s">
        <v>2931</v>
      </c>
      <c r="C1034">
        <v>17041</v>
      </c>
      <c r="D1034" t="str">
        <f>"41001484    "</f>
        <v xml:space="preserve">41001484    </v>
      </c>
      <c r="E1034" t="s">
        <v>3025</v>
      </c>
      <c r="F1034" t="s">
        <v>3026</v>
      </c>
      <c r="G1034">
        <v>2700</v>
      </c>
      <c r="H1034">
        <v>251215</v>
      </c>
      <c r="I1034">
        <v>4440</v>
      </c>
      <c r="J1034" t="s">
        <v>346</v>
      </c>
      <c r="K1034">
        <v>2700</v>
      </c>
      <c r="L1034">
        <v>0</v>
      </c>
      <c r="M1034">
        <v>18120</v>
      </c>
      <c r="N1034" t="s">
        <v>37</v>
      </c>
      <c r="O1034">
        <v>251216</v>
      </c>
      <c r="P1034">
        <v>2700</v>
      </c>
    </row>
    <row r="1035" spans="1:16" x14ac:dyDescent="0.25">
      <c r="A1035" t="s">
        <v>3296</v>
      </c>
      <c r="B1035" t="s">
        <v>2931</v>
      </c>
      <c r="C1035">
        <v>17046</v>
      </c>
      <c r="D1035" t="str">
        <f>"41001483    "</f>
        <v xml:space="preserve">41001483    </v>
      </c>
      <c r="E1035" t="s">
        <v>3025</v>
      </c>
      <c r="F1035" t="s">
        <v>3026</v>
      </c>
      <c r="G1035">
        <v>9911.36</v>
      </c>
      <c r="H1035">
        <v>251215</v>
      </c>
      <c r="I1035">
        <v>4440</v>
      </c>
      <c r="J1035" t="s">
        <v>346</v>
      </c>
      <c r="K1035">
        <v>9911.36</v>
      </c>
      <c r="L1035">
        <v>0</v>
      </c>
      <c r="M1035">
        <v>18820</v>
      </c>
      <c r="N1035" t="s">
        <v>372</v>
      </c>
      <c r="O1035">
        <v>251216</v>
      </c>
      <c r="P1035">
        <v>9911.36</v>
      </c>
    </row>
    <row r="1036" spans="1:16" x14ac:dyDescent="0.25">
      <c r="A1036" t="s">
        <v>3296</v>
      </c>
      <c r="B1036" t="s">
        <v>2931</v>
      </c>
      <c r="C1036">
        <v>17320</v>
      </c>
      <c r="D1036" t="str">
        <f>"41001480    "</f>
        <v xml:space="preserve">41001480    </v>
      </c>
      <c r="E1036" t="s">
        <v>3025</v>
      </c>
      <c r="F1036" t="s">
        <v>3026</v>
      </c>
      <c r="G1036">
        <v>2660</v>
      </c>
      <c r="H1036">
        <v>251215</v>
      </c>
      <c r="I1036">
        <v>4440</v>
      </c>
      <c r="J1036" t="s">
        <v>346</v>
      </c>
      <c r="K1036">
        <v>2660</v>
      </c>
      <c r="L1036">
        <v>0</v>
      </c>
      <c r="M1036">
        <v>18120</v>
      </c>
      <c r="N1036" t="s">
        <v>37</v>
      </c>
      <c r="O1036">
        <v>251219</v>
      </c>
      <c r="P1036">
        <v>2660</v>
      </c>
    </row>
    <row r="1037" spans="1:16" x14ac:dyDescent="0.25">
      <c r="A1037" t="s">
        <v>3296</v>
      </c>
      <c r="B1037" t="s">
        <v>2931</v>
      </c>
      <c r="C1037">
        <v>17344</v>
      </c>
      <c r="D1037" t="str">
        <f>"41001475    "</f>
        <v xml:space="preserve">41001475    </v>
      </c>
      <c r="E1037" t="s">
        <v>3025</v>
      </c>
      <c r="F1037" t="s">
        <v>3026</v>
      </c>
      <c r="G1037">
        <v>1411.88</v>
      </c>
      <c r="H1037">
        <v>251217</v>
      </c>
      <c r="I1037">
        <v>4440</v>
      </c>
      <c r="J1037" t="s">
        <v>346</v>
      </c>
      <c r="K1037">
        <v>1411.88</v>
      </c>
      <c r="L1037">
        <v>286.88</v>
      </c>
      <c r="M1037">
        <v>18120</v>
      </c>
      <c r="N1037" t="s">
        <v>37</v>
      </c>
      <c r="O1037">
        <v>251219</v>
      </c>
      <c r="P1037">
        <v>1125</v>
      </c>
    </row>
    <row r="1038" spans="1:16" x14ac:dyDescent="0.25">
      <c r="A1038" t="s">
        <v>3296</v>
      </c>
      <c r="B1038" t="s">
        <v>2931</v>
      </c>
      <c r="C1038">
        <v>17413</v>
      </c>
      <c r="D1038" t="str">
        <f>"41001478    "</f>
        <v xml:space="preserve">41001478    </v>
      </c>
      <c r="E1038" t="s">
        <v>3025</v>
      </c>
      <c r="F1038" t="s">
        <v>3026</v>
      </c>
      <c r="G1038">
        <v>1807.2</v>
      </c>
      <c r="H1038">
        <v>251215</v>
      </c>
      <c r="I1038">
        <v>4440</v>
      </c>
      <c r="J1038" t="s">
        <v>346</v>
      </c>
      <c r="K1038">
        <v>1807.2</v>
      </c>
      <c r="L1038">
        <v>367.2</v>
      </c>
      <c r="M1038">
        <v>18120</v>
      </c>
      <c r="N1038" t="s">
        <v>37</v>
      </c>
      <c r="O1038">
        <v>251219</v>
      </c>
      <c r="P1038">
        <v>1440</v>
      </c>
    </row>
    <row r="1039" spans="1:16" x14ac:dyDescent="0.25">
      <c r="A1039" t="s">
        <v>3296</v>
      </c>
      <c r="B1039" t="s">
        <v>2931</v>
      </c>
      <c r="C1039">
        <v>17415</v>
      </c>
      <c r="D1039" t="str">
        <f>"41001476    "</f>
        <v xml:space="preserve">41001476    </v>
      </c>
      <c r="E1039" t="s">
        <v>3025</v>
      </c>
      <c r="F1039" t="s">
        <v>3026</v>
      </c>
      <c r="G1039">
        <v>7840</v>
      </c>
      <c r="H1039">
        <v>251215</v>
      </c>
      <c r="I1039">
        <v>4440</v>
      </c>
      <c r="J1039" t="s">
        <v>346</v>
      </c>
      <c r="K1039">
        <v>7840</v>
      </c>
      <c r="L1039">
        <v>0</v>
      </c>
      <c r="M1039">
        <v>18120</v>
      </c>
      <c r="N1039" t="s">
        <v>37</v>
      </c>
      <c r="O1039">
        <v>251219</v>
      </c>
      <c r="P1039">
        <v>7840</v>
      </c>
    </row>
    <row r="1040" spans="1:16" x14ac:dyDescent="0.25">
      <c r="A1040" t="s">
        <v>3296</v>
      </c>
      <c r="B1040" t="s">
        <v>2931</v>
      </c>
      <c r="C1040">
        <v>17418</v>
      </c>
      <c r="D1040" t="str">
        <f>"41001479    "</f>
        <v xml:space="preserve">41001479    </v>
      </c>
      <c r="E1040" t="s">
        <v>3025</v>
      </c>
      <c r="F1040" t="s">
        <v>3026</v>
      </c>
      <c r="G1040">
        <v>7650</v>
      </c>
      <c r="H1040">
        <v>251215</v>
      </c>
      <c r="I1040">
        <v>4440</v>
      </c>
      <c r="J1040" t="s">
        <v>346</v>
      </c>
      <c r="K1040">
        <v>7650</v>
      </c>
      <c r="L1040">
        <v>0</v>
      </c>
      <c r="M1040">
        <v>18120</v>
      </c>
      <c r="N1040" t="s">
        <v>37</v>
      </c>
      <c r="O1040">
        <v>251219</v>
      </c>
      <c r="P1040">
        <v>7650</v>
      </c>
    </row>
    <row r="1041" spans="1:16" x14ac:dyDescent="0.25">
      <c r="A1041" t="s">
        <v>3296</v>
      </c>
      <c r="B1041" t="s">
        <v>2931</v>
      </c>
      <c r="C1041">
        <v>17420</v>
      </c>
      <c r="D1041" t="str">
        <f>"41001481    "</f>
        <v xml:space="preserve">41001481    </v>
      </c>
      <c r="E1041" t="s">
        <v>3025</v>
      </c>
      <c r="F1041" t="s">
        <v>3026</v>
      </c>
      <c r="G1041">
        <v>8107.3</v>
      </c>
      <c r="H1041">
        <v>251215</v>
      </c>
      <c r="I1041">
        <v>4440</v>
      </c>
      <c r="J1041" t="s">
        <v>346</v>
      </c>
      <c r="K1041">
        <v>8107.3</v>
      </c>
      <c r="L1041">
        <v>1647.3</v>
      </c>
      <c r="M1041">
        <v>18820</v>
      </c>
      <c r="N1041" t="s">
        <v>372</v>
      </c>
      <c r="O1041">
        <v>251219</v>
      </c>
      <c r="P1041">
        <v>6460</v>
      </c>
    </row>
    <row r="1042" spans="1:16" x14ac:dyDescent="0.25">
      <c r="A1042" t="s">
        <v>3296</v>
      </c>
      <c r="B1042" t="s">
        <v>2931</v>
      </c>
      <c r="C1042">
        <v>17490</v>
      </c>
      <c r="D1042" t="str">
        <f>"41001477    "</f>
        <v xml:space="preserve">41001477    </v>
      </c>
      <c r="E1042" t="s">
        <v>3025</v>
      </c>
      <c r="F1042" t="s">
        <v>3026</v>
      </c>
      <c r="G1042">
        <v>7624.13</v>
      </c>
      <c r="H1042">
        <v>251215</v>
      </c>
      <c r="I1042">
        <v>4440</v>
      </c>
      <c r="J1042" t="s">
        <v>346</v>
      </c>
      <c r="K1042">
        <v>7624.13</v>
      </c>
      <c r="L1042">
        <v>1549.13</v>
      </c>
      <c r="M1042">
        <v>18820</v>
      </c>
      <c r="N1042" t="s">
        <v>372</v>
      </c>
      <c r="O1042">
        <v>251222</v>
      </c>
      <c r="P1042">
        <v>6075</v>
      </c>
    </row>
    <row r="1043" spans="1:16" x14ac:dyDescent="0.25">
      <c r="A1043" t="s">
        <v>3296</v>
      </c>
      <c r="B1043" t="s">
        <v>2931</v>
      </c>
      <c r="C1043">
        <v>17587</v>
      </c>
      <c r="D1043" t="str">
        <f>"41001474    "</f>
        <v xml:space="preserve">41001474    </v>
      </c>
      <c r="E1043" t="s">
        <v>3025</v>
      </c>
      <c r="F1043" t="s">
        <v>3026</v>
      </c>
      <c r="G1043">
        <v>966.7</v>
      </c>
      <c r="H1043">
        <v>251217</v>
      </c>
      <c r="I1043">
        <v>4440</v>
      </c>
      <c r="J1043" t="s">
        <v>346</v>
      </c>
      <c r="K1043">
        <v>966.7</v>
      </c>
      <c r="L1043">
        <v>0</v>
      </c>
      <c r="M1043">
        <v>18120</v>
      </c>
      <c r="N1043" t="s">
        <v>37</v>
      </c>
      <c r="O1043">
        <v>251222</v>
      </c>
      <c r="P1043">
        <v>966.7</v>
      </c>
    </row>
    <row r="1044" spans="1:16" x14ac:dyDescent="0.25">
      <c r="A1044" t="s">
        <v>3296</v>
      </c>
      <c r="B1044" t="s">
        <v>2931</v>
      </c>
      <c r="C1044">
        <v>17700</v>
      </c>
      <c r="D1044" t="str">
        <f>"41001487    "</f>
        <v xml:space="preserve">41001487    </v>
      </c>
      <c r="E1044" t="s">
        <v>3025</v>
      </c>
      <c r="F1044" t="s">
        <v>3026</v>
      </c>
      <c r="G1044">
        <v>2541.38</v>
      </c>
      <c r="H1044">
        <v>251219</v>
      </c>
      <c r="I1044">
        <v>4440</v>
      </c>
      <c r="J1044" t="s">
        <v>346</v>
      </c>
      <c r="K1044">
        <v>2541.38</v>
      </c>
      <c r="L1044">
        <v>516.38</v>
      </c>
      <c r="M1044">
        <v>18820</v>
      </c>
      <c r="N1044" t="s">
        <v>372</v>
      </c>
      <c r="O1044">
        <v>251229</v>
      </c>
      <c r="P1044">
        <v>2025</v>
      </c>
    </row>
    <row r="1045" spans="1:16" x14ac:dyDescent="0.25">
      <c r="A1045" t="s">
        <v>3296</v>
      </c>
      <c r="B1045" t="s">
        <v>2931</v>
      </c>
      <c r="C1045">
        <v>17747</v>
      </c>
      <c r="D1045" t="str">
        <f>"41001489    "</f>
        <v xml:space="preserve">41001489    </v>
      </c>
      <c r="E1045" t="s">
        <v>3025</v>
      </c>
      <c r="F1045" t="s">
        <v>3026</v>
      </c>
      <c r="G1045">
        <v>2033.1</v>
      </c>
      <c r="H1045">
        <v>251219</v>
      </c>
      <c r="I1045">
        <v>4440</v>
      </c>
      <c r="J1045" t="s">
        <v>346</v>
      </c>
      <c r="K1045">
        <v>2033.1</v>
      </c>
      <c r="L1045">
        <v>413.1</v>
      </c>
      <c r="M1045">
        <v>18120</v>
      </c>
      <c r="N1045" t="s">
        <v>37</v>
      </c>
      <c r="O1045">
        <v>251230</v>
      </c>
      <c r="P1045">
        <v>1620</v>
      </c>
    </row>
    <row r="1046" spans="1:16" x14ac:dyDescent="0.25">
      <c r="A1046" t="s">
        <v>3296</v>
      </c>
      <c r="B1046" t="s">
        <v>2931</v>
      </c>
      <c r="C1046">
        <v>2557</v>
      </c>
      <c r="D1046" t="str">
        <f>"13097799    "</f>
        <v xml:space="preserve">13097799    </v>
      </c>
      <c r="E1046" t="s">
        <v>316</v>
      </c>
      <c r="F1046" t="s">
        <v>318</v>
      </c>
      <c r="G1046">
        <v>700.24</v>
      </c>
      <c r="H1046">
        <v>250214</v>
      </c>
      <c r="I1046">
        <v>4400</v>
      </c>
      <c r="J1046" t="s">
        <v>162</v>
      </c>
      <c r="K1046">
        <v>700.24</v>
      </c>
      <c r="L1046">
        <v>142.28</v>
      </c>
      <c r="M1046">
        <v>17737</v>
      </c>
      <c r="N1046" t="s">
        <v>156</v>
      </c>
      <c r="O1046">
        <v>250305</v>
      </c>
      <c r="P1046">
        <v>557.96</v>
      </c>
    </row>
    <row r="1047" spans="1:16" x14ac:dyDescent="0.25">
      <c r="A1047" t="s">
        <v>3296</v>
      </c>
      <c r="B1047" t="s">
        <v>2931</v>
      </c>
      <c r="C1047">
        <v>6760</v>
      </c>
      <c r="D1047" t="str">
        <f>"13102903    "</f>
        <v xml:space="preserve">13102903    </v>
      </c>
      <c r="E1047" t="s">
        <v>316</v>
      </c>
      <c r="F1047" t="s">
        <v>318</v>
      </c>
      <c r="G1047">
        <v>3258.28</v>
      </c>
      <c r="H1047">
        <v>250509</v>
      </c>
      <c r="I1047">
        <v>4400</v>
      </c>
      <c r="J1047" t="s">
        <v>162</v>
      </c>
      <c r="K1047">
        <v>3258.28</v>
      </c>
      <c r="L1047">
        <v>662.04</v>
      </c>
      <c r="M1047">
        <v>17737</v>
      </c>
      <c r="N1047" t="s">
        <v>156</v>
      </c>
      <c r="O1047">
        <v>250516</v>
      </c>
      <c r="P1047">
        <v>2596.2399999999998</v>
      </c>
    </row>
    <row r="1048" spans="1:16" x14ac:dyDescent="0.25">
      <c r="A1048" t="s">
        <v>3296</v>
      </c>
      <c r="B1048" t="s">
        <v>2931</v>
      </c>
      <c r="C1048">
        <v>9158</v>
      </c>
      <c r="D1048" t="str">
        <f>"13106086    "</f>
        <v xml:space="preserve">13106086    </v>
      </c>
      <c r="E1048" t="s">
        <v>316</v>
      </c>
      <c r="F1048" t="s">
        <v>318</v>
      </c>
      <c r="G1048">
        <v>109.99</v>
      </c>
      <c r="H1048">
        <v>250619</v>
      </c>
      <c r="I1048">
        <v>4580</v>
      </c>
      <c r="J1048" t="s">
        <v>126</v>
      </c>
      <c r="K1048">
        <v>109.99</v>
      </c>
      <c r="L1048">
        <v>22.35</v>
      </c>
      <c r="M1048">
        <v>17711</v>
      </c>
      <c r="N1048" t="s">
        <v>155</v>
      </c>
      <c r="O1048">
        <v>250627</v>
      </c>
      <c r="P1048">
        <v>87.64</v>
      </c>
    </row>
    <row r="1049" spans="1:16" x14ac:dyDescent="0.25">
      <c r="A1049" t="s">
        <v>3296</v>
      </c>
      <c r="B1049" t="s">
        <v>2931</v>
      </c>
      <c r="C1049">
        <v>10690</v>
      </c>
      <c r="D1049" t="str">
        <f>"13109186    "</f>
        <v xml:space="preserve">13109186    </v>
      </c>
      <c r="E1049" t="s">
        <v>316</v>
      </c>
      <c r="F1049" t="s">
        <v>318</v>
      </c>
      <c r="G1049">
        <v>33.58</v>
      </c>
      <c r="H1049">
        <v>250819</v>
      </c>
      <c r="I1049">
        <v>4580</v>
      </c>
      <c r="J1049" t="s">
        <v>126</v>
      </c>
      <c r="K1049">
        <v>33.58</v>
      </c>
      <c r="L1049">
        <v>6.82</v>
      </c>
      <c r="M1049">
        <v>66754</v>
      </c>
      <c r="N1049" t="s">
        <v>119</v>
      </c>
      <c r="O1049">
        <v>250821</v>
      </c>
      <c r="P1049">
        <v>26.76</v>
      </c>
    </row>
    <row r="1050" spans="1:16" x14ac:dyDescent="0.25">
      <c r="A1050" t="s">
        <v>3296</v>
      </c>
      <c r="B1050" t="s">
        <v>2931</v>
      </c>
      <c r="C1050">
        <v>12659</v>
      </c>
      <c r="D1050" t="str">
        <f>"13111153    "</f>
        <v xml:space="preserve">13111153    </v>
      </c>
      <c r="E1050" t="s">
        <v>316</v>
      </c>
      <c r="F1050" t="s">
        <v>318</v>
      </c>
      <c r="G1050">
        <v>418.54</v>
      </c>
      <c r="H1050">
        <v>250919</v>
      </c>
      <c r="I1050">
        <v>4580</v>
      </c>
      <c r="J1050" t="s">
        <v>126</v>
      </c>
      <c r="K1050">
        <v>418.54</v>
      </c>
      <c r="L1050">
        <v>85.04</v>
      </c>
      <c r="M1050">
        <v>69501</v>
      </c>
      <c r="N1050" t="s">
        <v>123</v>
      </c>
      <c r="O1050">
        <v>250929</v>
      </c>
      <c r="P1050">
        <v>333.5</v>
      </c>
    </row>
    <row r="1051" spans="1:16" x14ac:dyDescent="0.25">
      <c r="A1051" t="s">
        <v>3296</v>
      </c>
      <c r="B1051" t="s">
        <v>2931</v>
      </c>
      <c r="C1051">
        <v>192</v>
      </c>
      <c r="D1051" t="str">
        <f>"13095577    "</f>
        <v xml:space="preserve">13095577    </v>
      </c>
      <c r="E1051" t="s">
        <v>316</v>
      </c>
      <c r="F1051" t="s">
        <v>318</v>
      </c>
      <c r="G1051">
        <v>464.66</v>
      </c>
      <c r="H1051">
        <v>250110</v>
      </c>
      <c r="I1051">
        <v>4600</v>
      </c>
      <c r="J1051" t="s">
        <v>278</v>
      </c>
      <c r="K1051">
        <v>464.66</v>
      </c>
      <c r="L1051">
        <v>94.41</v>
      </c>
      <c r="M1051">
        <v>67554</v>
      </c>
      <c r="N1051" t="s">
        <v>317</v>
      </c>
      <c r="O1051">
        <v>250115</v>
      </c>
      <c r="P1051">
        <v>370.25</v>
      </c>
    </row>
    <row r="1052" spans="1:16" x14ac:dyDescent="0.25">
      <c r="A1052" t="s">
        <v>3296</v>
      </c>
      <c r="B1052" t="s">
        <v>2931</v>
      </c>
      <c r="C1052">
        <v>3795</v>
      </c>
      <c r="D1052" t="str">
        <f>"13099507    "</f>
        <v xml:space="preserve">13099507    </v>
      </c>
      <c r="E1052" t="s">
        <v>316</v>
      </c>
      <c r="F1052" t="s">
        <v>318</v>
      </c>
      <c r="G1052">
        <v>49.45</v>
      </c>
      <c r="H1052">
        <v>250318</v>
      </c>
      <c r="I1052">
        <v>4600</v>
      </c>
      <c r="J1052" t="s">
        <v>278</v>
      </c>
      <c r="K1052">
        <v>49.45</v>
      </c>
      <c r="L1052">
        <v>10.050000000000001</v>
      </c>
      <c r="M1052">
        <v>67554</v>
      </c>
      <c r="N1052" t="s">
        <v>317</v>
      </c>
      <c r="O1052">
        <v>250401</v>
      </c>
      <c r="P1052">
        <v>39.4</v>
      </c>
    </row>
    <row r="1053" spans="1:16" x14ac:dyDescent="0.25">
      <c r="A1053" t="s">
        <v>3296</v>
      </c>
      <c r="B1053" t="s">
        <v>2931</v>
      </c>
      <c r="C1053">
        <v>13764</v>
      </c>
      <c r="D1053" t="str">
        <f>"13112537    "</f>
        <v xml:space="preserve">13112537    </v>
      </c>
      <c r="E1053" t="s">
        <v>316</v>
      </c>
      <c r="F1053" t="s">
        <v>318</v>
      </c>
      <c r="G1053">
        <v>349.98</v>
      </c>
      <c r="H1053">
        <v>251010</v>
      </c>
      <c r="I1053">
        <v>4600</v>
      </c>
      <c r="J1053" t="s">
        <v>278</v>
      </c>
      <c r="K1053">
        <v>349.98</v>
      </c>
      <c r="L1053">
        <v>71.11</v>
      </c>
      <c r="M1053">
        <v>67554</v>
      </c>
      <c r="N1053" t="s">
        <v>317</v>
      </c>
      <c r="O1053">
        <v>251017</v>
      </c>
      <c r="P1053">
        <v>278.87</v>
      </c>
    </row>
    <row r="1054" spans="1:16" x14ac:dyDescent="0.25">
      <c r="A1054" t="s">
        <v>3296</v>
      </c>
      <c r="B1054" t="s">
        <v>2931</v>
      </c>
      <c r="C1054">
        <v>107</v>
      </c>
      <c r="D1054" t="str">
        <f>"60000573967 "</f>
        <v xml:space="preserve">60000573967 </v>
      </c>
      <c r="E1054" t="s">
        <v>205</v>
      </c>
      <c r="F1054" t="s">
        <v>206</v>
      </c>
      <c r="G1054">
        <v>1023.48</v>
      </c>
      <c r="H1054">
        <v>250101</v>
      </c>
      <c r="I1054">
        <v>4471</v>
      </c>
      <c r="J1054" t="s">
        <v>191</v>
      </c>
      <c r="K1054">
        <v>1023.48</v>
      </c>
      <c r="L1054">
        <v>207.96</v>
      </c>
      <c r="M1054">
        <v>14951</v>
      </c>
      <c r="N1054" t="s">
        <v>186</v>
      </c>
      <c r="O1054">
        <v>250109</v>
      </c>
      <c r="P1054">
        <v>815.52</v>
      </c>
    </row>
    <row r="1055" spans="1:16" x14ac:dyDescent="0.25">
      <c r="A1055" t="s">
        <v>3296</v>
      </c>
      <c r="B1055" t="s">
        <v>2931</v>
      </c>
      <c r="C1055">
        <v>136</v>
      </c>
      <c r="D1055" t="str">
        <f>"60000577072 "</f>
        <v xml:space="preserve">60000577072 </v>
      </c>
      <c r="E1055" t="s">
        <v>205</v>
      </c>
      <c r="F1055" t="s">
        <v>206</v>
      </c>
      <c r="G1055">
        <v>73.34</v>
      </c>
      <c r="H1055">
        <v>250101</v>
      </c>
      <c r="I1055">
        <v>4471</v>
      </c>
      <c r="J1055" t="s">
        <v>191</v>
      </c>
      <c r="K1055">
        <v>244.47</v>
      </c>
      <c r="L1055">
        <v>14.9</v>
      </c>
      <c r="M1055">
        <v>14952</v>
      </c>
      <c r="N1055" t="s">
        <v>213</v>
      </c>
      <c r="O1055">
        <v>250113</v>
      </c>
      <c r="P1055">
        <v>58.44</v>
      </c>
    </row>
    <row r="1056" spans="1:16" x14ac:dyDescent="0.25">
      <c r="A1056" t="s">
        <v>3296</v>
      </c>
      <c r="B1056" t="s">
        <v>2931</v>
      </c>
      <c r="C1056">
        <v>136</v>
      </c>
      <c r="D1056" t="str">
        <f>"60000577072 "</f>
        <v xml:space="preserve">60000577072 </v>
      </c>
      <c r="E1056" t="s">
        <v>205</v>
      </c>
      <c r="F1056" t="s">
        <v>206</v>
      </c>
      <c r="G1056">
        <v>171.13</v>
      </c>
      <c r="H1056">
        <v>250101</v>
      </c>
      <c r="I1056">
        <v>4471</v>
      </c>
      <c r="J1056" t="s">
        <v>191</v>
      </c>
      <c r="K1056">
        <v>244.47</v>
      </c>
      <c r="L1056">
        <v>34.770000000000003</v>
      </c>
      <c r="M1056">
        <v>14981</v>
      </c>
      <c r="N1056" t="s">
        <v>252</v>
      </c>
      <c r="O1056">
        <v>250113</v>
      </c>
      <c r="P1056">
        <v>136.36000000000001</v>
      </c>
    </row>
    <row r="1057" spans="1:16" x14ac:dyDescent="0.25">
      <c r="A1057" t="s">
        <v>3296</v>
      </c>
      <c r="B1057" t="s">
        <v>2931</v>
      </c>
      <c r="C1057">
        <v>142</v>
      </c>
      <c r="D1057" t="str">
        <f>"60000575905 "</f>
        <v xml:space="preserve">60000575905 </v>
      </c>
      <c r="E1057" t="s">
        <v>205</v>
      </c>
      <c r="F1057" t="s">
        <v>206</v>
      </c>
      <c r="G1057">
        <v>277.20999999999998</v>
      </c>
      <c r="H1057">
        <v>250101</v>
      </c>
      <c r="I1057">
        <v>4471</v>
      </c>
      <c r="J1057" t="s">
        <v>191</v>
      </c>
      <c r="K1057">
        <v>831.63</v>
      </c>
      <c r="L1057">
        <v>56.33</v>
      </c>
      <c r="M1057">
        <v>11401</v>
      </c>
      <c r="N1057" t="s">
        <v>91</v>
      </c>
      <c r="O1057">
        <v>250113</v>
      </c>
      <c r="P1057">
        <v>220.88</v>
      </c>
    </row>
    <row r="1058" spans="1:16" x14ac:dyDescent="0.25">
      <c r="A1058" t="s">
        <v>3296</v>
      </c>
      <c r="B1058" t="s">
        <v>2931</v>
      </c>
      <c r="C1058">
        <v>142</v>
      </c>
      <c r="D1058" t="str">
        <f>"60000575905 "</f>
        <v xml:space="preserve">60000575905 </v>
      </c>
      <c r="E1058" t="s">
        <v>205</v>
      </c>
      <c r="F1058" t="s">
        <v>206</v>
      </c>
      <c r="G1058">
        <v>554.41999999999996</v>
      </c>
      <c r="H1058">
        <v>250101</v>
      </c>
      <c r="I1058">
        <v>4471</v>
      </c>
      <c r="J1058" t="s">
        <v>191</v>
      </c>
      <c r="K1058">
        <v>831.63</v>
      </c>
      <c r="L1058">
        <v>112.65</v>
      </c>
      <c r="M1058">
        <v>14952</v>
      </c>
      <c r="N1058" t="s">
        <v>213</v>
      </c>
      <c r="O1058">
        <v>250113</v>
      </c>
      <c r="P1058">
        <v>441.77</v>
      </c>
    </row>
    <row r="1059" spans="1:16" x14ac:dyDescent="0.25">
      <c r="A1059" t="s">
        <v>3296</v>
      </c>
      <c r="B1059" t="s">
        <v>2931</v>
      </c>
      <c r="C1059">
        <v>143</v>
      </c>
      <c r="D1059" t="str">
        <f>"60000573495 "</f>
        <v xml:space="preserve">60000573495 </v>
      </c>
      <c r="E1059" t="s">
        <v>205</v>
      </c>
      <c r="F1059" t="s">
        <v>206</v>
      </c>
      <c r="G1059">
        <v>150.22</v>
      </c>
      <c r="H1059">
        <v>250101</v>
      </c>
      <c r="I1059">
        <v>4471</v>
      </c>
      <c r="J1059" t="s">
        <v>191</v>
      </c>
      <c r="K1059">
        <v>150.22</v>
      </c>
      <c r="L1059">
        <v>30.52</v>
      </c>
      <c r="M1059">
        <v>14951</v>
      </c>
      <c r="N1059" t="s">
        <v>186</v>
      </c>
      <c r="O1059">
        <v>250113</v>
      </c>
      <c r="P1059">
        <v>119.7</v>
      </c>
    </row>
    <row r="1060" spans="1:16" x14ac:dyDescent="0.25">
      <c r="A1060" t="s">
        <v>3296</v>
      </c>
      <c r="B1060" t="s">
        <v>2931</v>
      </c>
      <c r="C1060">
        <v>1083</v>
      </c>
      <c r="D1060" t="str">
        <f>"60000580746 "</f>
        <v xml:space="preserve">60000580746 </v>
      </c>
      <c r="E1060" t="s">
        <v>205</v>
      </c>
      <c r="F1060" t="s">
        <v>206</v>
      </c>
      <c r="G1060">
        <v>1023.48</v>
      </c>
      <c r="H1060">
        <v>250201</v>
      </c>
      <c r="I1060">
        <v>4471</v>
      </c>
      <c r="J1060" t="s">
        <v>191</v>
      </c>
      <c r="K1060">
        <v>1023.48</v>
      </c>
      <c r="L1060">
        <v>207.96</v>
      </c>
      <c r="M1060">
        <v>14951</v>
      </c>
      <c r="N1060" t="s">
        <v>186</v>
      </c>
      <c r="O1060">
        <v>250204</v>
      </c>
      <c r="P1060">
        <v>815.52</v>
      </c>
    </row>
    <row r="1061" spans="1:16" x14ac:dyDescent="0.25">
      <c r="A1061" t="s">
        <v>3296</v>
      </c>
      <c r="B1061" t="s">
        <v>2931</v>
      </c>
      <c r="C1061">
        <v>1103</v>
      </c>
      <c r="D1061" t="str">
        <f>"60000583184 "</f>
        <v xml:space="preserve">60000583184 </v>
      </c>
      <c r="E1061" t="s">
        <v>205</v>
      </c>
      <c r="F1061" t="s">
        <v>206</v>
      </c>
      <c r="G1061">
        <v>73.34</v>
      </c>
      <c r="H1061">
        <v>250201</v>
      </c>
      <c r="I1061">
        <v>4471</v>
      </c>
      <c r="J1061" t="s">
        <v>191</v>
      </c>
      <c r="K1061">
        <v>244.47</v>
      </c>
      <c r="L1061">
        <v>14.9</v>
      </c>
      <c r="M1061">
        <v>14952</v>
      </c>
      <c r="N1061" t="s">
        <v>213</v>
      </c>
      <c r="O1061">
        <v>250204</v>
      </c>
      <c r="P1061">
        <v>58.44</v>
      </c>
    </row>
    <row r="1062" spans="1:16" x14ac:dyDescent="0.25">
      <c r="A1062" t="s">
        <v>3296</v>
      </c>
      <c r="B1062" t="s">
        <v>2931</v>
      </c>
      <c r="C1062">
        <v>1103</v>
      </c>
      <c r="D1062" t="str">
        <f>"60000583184 "</f>
        <v xml:space="preserve">60000583184 </v>
      </c>
      <c r="E1062" t="s">
        <v>205</v>
      </c>
      <c r="F1062" t="s">
        <v>206</v>
      </c>
      <c r="G1062">
        <v>171.13</v>
      </c>
      <c r="H1062">
        <v>250201</v>
      </c>
      <c r="I1062">
        <v>4471</v>
      </c>
      <c r="J1062" t="s">
        <v>191</v>
      </c>
      <c r="K1062">
        <v>244.47</v>
      </c>
      <c r="L1062">
        <v>34.770000000000003</v>
      </c>
      <c r="M1062">
        <v>14981</v>
      </c>
      <c r="N1062" t="s">
        <v>252</v>
      </c>
      <c r="O1062">
        <v>250204</v>
      </c>
      <c r="P1062">
        <v>136.36000000000001</v>
      </c>
    </row>
    <row r="1063" spans="1:16" x14ac:dyDescent="0.25">
      <c r="A1063" t="s">
        <v>3296</v>
      </c>
      <c r="B1063" t="s">
        <v>2931</v>
      </c>
      <c r="C1063">
        <v>1153</v>
      </c>
      <c r="D1063" t="str">
        <f>"60000582623 "</f>
        <v xml:space="preserve">60000582623 </v>
      </c>
      <c r="E1063" t="s">
        <v>205</v>
      </c>
      <c r="F1063" t="s">
        <v>206</v>
      </c>
      <c r="G1063">
        <v>277.20999999999998</v>
      </c>
      <c r="H1063">
        <v>250201</v>
      </c>
      <c r="I1063">
        <v>4471</v>
      </c>
      <c r="J1063" t="s">
        <v>191</v>
      </c>
      <c r="K1063">
        <v>831.63</v>
      </c>
      <c r="L1063">
        <v>56.33</v>
      </c>
      <c r="M1063">
        <v>11401</v>
      </c>
      <c r="N1063" t="s">
        <v>91</v>
      </c>
      <c r="O1063">
        <v>250205</v>
      </c>
      <c r="P1063">
        <v>220.88</v>
      </c>
    </row>
    <row r="1064" spans="1:16" x14ac:dyDescent="0.25">
      <c r="A1064" t="s">
        <v>3296</v>
      </c>
      <c r="B1064" t="s">
        <v>2931</v>
      </c>
      <c r="C1064">
        <v>1153</v>
      </c>
      <c r="D1064" t="str">
        <f>"60000582623 "</f>
        <v xml:space="preserve">60000582623 </v>
      </c>
      <c r="E1064" t="s">
        <v>205</v>
      </c>
      <c r="F1064" t="s">
        <v>206</v>
      </c>
      <c r="G1064">
        <v>554.41999999999996</v>
      </c>
      <c r="H1064">
        <v>250201</v>
      </c>
      <c r="I1064">
        <v>4471</v>
      </c>
      <c r="J1064" t="s">
        <v>191</v>
      </c>
      <c r="K1064">
        <v>831.63</v>
      </c>
      <c r="L1064">
        <v>112.65</v>
      </c>
      <c r="M1064">
        <v>14952</v>
      </c>
      <c r="N1064" t="s">
        <v>213</v>
      </c>
      <c r="O1064">
        <v>250205</v>
      </c>
      <c r="P1064">
        <v>441.77</v>
      </c>
    </row>
    <row r="1065" spans="1:16" x14ac:dyDescent="0.25">
      <c r="A1065" t="s">
        <v>3296</v>
      </c>
      <c r="B1065" t="s">
        <v>2931</v>
      </c>
      <c r="C1065">
        <v>2659</v>
      </c>
      <c r="D1065" t="str">
        <f>"60000587762 "</f>
        <v xml:space="preserve">60000587762 </v>
      </c>
      <c r="E1065" t="s">
        <v>205</v>
      </c>
      <c r="F1065" t="s">
        <v>206</v>
      </c>
      <c r="G1065">
        <v>1023.48</v>
      </c>
      <c r="H1065">
        <v>250301</v>
      </c>
      <c r="I1065">
        <v>4471</v>
      </c>
      <c r="J1065" t="s">
        <v>191</v>
      </c>
      <c r="K1065">
        <v>1023.48</v>
      </c>
      <c r="L1065">
        <v>207.96</v>
      </c>
      <c r="M1065">
        <v>14951</v>
      </c>
      <c r="N1065" t="s">
        <v>186</v>
      </c>
      <c r="O1065">
        <v>250310</v>
      </c>
      <c r="P1065">
        <v>815.52</v>
      </c>
    </row>
    <row r="1066" spans="1:16" x14ac:dyDescent="0.25">
      <c r="A1066" t="s">
        <v>3296</v>
      </c>
      <c r="B1066" t="s">
        <v>2931</v>
      </c>
      <c r="C1066">
        <v>2841</v>
      </c>
      <c r="D1066" t="str">
        <f>"60000591199 "</f>
        <v xml:space="preserve">60000591199 </v>
      </c>
      <c r="E1066" t="s">
        <v>205</v>
      </c>
      <c r="F1066" t="s">
        <v>206</v>
      </c>
      <c r="G1066">
        <v>73.34</v>
      </c>
      <c r="H1066">
        <v>250301</v>
      </c>
      <c r="I1066">
        <v>4471</v>
      </c>
      <c r="J1066" t="s">
        <v>191</v>
      </c>
      <c r="K1066">
        <v>244.47</v>
      </c>
      <c r="L1066">
        <v>14.9</v>
      </c>
      <c r="M1066">
        <v>14952</v>
      </c>
      <c r="N1066" t="s">
        <v>213</v>
      </c>
      <c r="O1066">
        <v>250312</v>
      </c>
      <c r="P1066">
        <v>58.44</v>
      </c>
    </row>
    <row r="1067" spans="1:16" x14ac:dyDescent="0.25">
      <c r="A1067" t="s">
        <v>3296</v>
      </c>
      <c r="B1067" t="s">
        <v>2931</v>
      </c>
      <c r="C1067">
        <v>2841</v>
      </c>
      <c r="D1067" t="str">
        <f>"60000591199 "</f>
        <v xml:space="preserve">60000591199 </v>
      </c>
      <c r="E1067" t="s">
        <v>205</v>
      </c>
      <c r="F1067" t="s">
        <v>206</v>
      </c>
      <c r="G1067">
        <v>171.13</v>
      </c>
      <c r="H1067">
        <v>250301</v>
      </c>
      <c r="I1067">
        <v>4471</v>
      </c>
      <c r="J1067" t="s">
        <v>191</v>
      </c>
      <c r="K1067">
        <v>244.47</v>
      </c>
      <c r="L1067">
        <v>34.770000000000003</v>
      </c>
      <c r="M1067">
        <v>14981</v>
      </c>
      <c r="N1067" t="s">
        <v>252</v>
      </c>
      <c r="O1067">
        <v>250312</v>
      </c>
      <c r="P1067">
        <v>136.36000000000001</v>
      </c>
    </row>
    <row r="1068" spans="1:16" x14ac:dyDescent="0.25">
      <c r="A1068" t="s">
        <v>3296</v>
      </c>
      <c r="B1068" t="s">
        <v>2931</v>
      </c>
      <c r="C1068">
        <v>2842</v>
      </c>
      <c r="D1068" t="str">
        <f>"60000590387 "</f>
        <v xml:space="preserve">60000590387 </v>
      </c>
      <c r="E1068" t="s">
        <v>205</v>
      </c>
      <c r="F1068" t="s">
        <v>206</v>
      </c>
      <c r="G1068">
        <v>277.20999999999998</v>
      </c>
      <c r="H1068">
        <v>250301</v>
      </c>
      <c r="I1068">
        <v>4471</v>
      </c>
      <c r="J1068" t="s">
        <v>191</v>
      </c>
      <c r="K1068">
        <v>831.63</v>
      </c>
      <c r="L1068">
        <v>56.33</v>
      </c>
      <c r="M1068">
        <v>11401</v>
      </c>
      <c r="N1068" t="s">
        <v>91</v>
      </c>
      <c r="O1068">
        <v>250312</v>
      </c>
      <c r="P1068">
        <v>220.88</v>
      </c>
    </row>
    <row r="1069" spans="1:16" x14ac:dyDescent="0.25">
      <c r="A1069" t="s">
        <v>3296</v>
      </c>
      <c r="B1069" t="s">
        <v>2931</v>
      </c>
      <c r="C1069">
        <v>2842</v>
      </c>
      <c r="D1069" t="str">
        <f>"60000590387 "</f>
        <v xml:space="preserve">60000590387 </v>
      </c>
      <c r="E1069" t="s">
        <v>205</v>
      </c>
      <c r="F1069" t="s">
        <v>206</v>
      </c>
      <c r="G1069">
        <v>554.41999999999996</v>
      </c>
      <c r="H1069">
        <v>250301</v>
      </c>
      <c r="I1069">
        <v>4471</v>
      </c>
      <c r="J1069" t="s">
        <v>191</v>
      </c>
      <c r="K1069">
        <v>831.63</v>
      </c>
      <c r="L1069">
        <v>112.65</v>
      </c>
      <c r="M1069">
        <v>14952</v>
      </c>
      <c r="N1069" t="s">
        <v>213</v>
      </c>
      <c r="O1069">
        <v>250312</v>
      </c>
      <c r="P1069">
        <v>441.77</v>
      </c>
    </row>
    <row r="1070" spans="1:16" x14ac:dyDescent="0.25">
      <c r="A1070" t="s">
        <v>3296</v>
      </c>
      <c r="B1070" t="s">
        <v>2931</v>
      </c>
      <c r="C1070">
        <v>4264</v>
      </c>
      <c r="D1070" t="str">
        <f>"60000595926 "</f>
        <v xml:space="preserve">60000595926 </v>
      </c>
      <c r="E1070" t="s">
        <v>205</v>
      </c>
      <c r="F1070" t="s">
        <v>206</v>
      </c>
      <c r="G1070">
        <v>1023.48</v>
      </c>
      <c r="H1070">
        <v>250401</v>
      </c>
      <c r="I1070">
        <v>4471</v>
      </c>
      <c r="J1070" t="s">
        <v>191</v>
      </c>
      <c r="K1070">
        <v>1023.48</v>
      </c>
      <c r="L1070">
        <v>207.96</v>
      </c>
      <c r="M1070">
        <v>14951</v>
      </c>
      <c r="N1070" t="s">
        <v>186</v>
      </c>
      <c r="O1070">
        <v>250409</v>
      </c>
      <c r="P1070">
        <v>815.52</v>
      </c>
    </row>
    <row r="1071" spans="1:16" x14ac:dyDescent="0.25">
      <c r="A1071" t="s">
        <v>3296</v>
      </c>
      <c r="B1071" t="s">
        <v>2931</v>
      </c>
      <c r="C1071">
        <v>4506</v>
      </c>
      <c r="D1071" t="str">
        <f>"60000599023 "</f>
        <v xml:space="preserve">60000599023 </v>
      </c>
      <c r="E1071" t="s">
        <v>205</v>
      </c>
      <c r="F1071" t="s">
        <v>206</v>
      </c>
      <c r="G1071">
        <v>73.34</v>
      </c>
      <c r="H1071">
        <v>250401</v>
      </c>
      <c r="I1071">
        <v>4471</v>
      </c>
      <c r="J1071" t="s">
        <v>191</v>
      </c>
      <c r="K1071">
        <v>244.47</v>
      </c>
      <c r="L1071">
        <v>14.9</v>
      </c>
      <c r="M1071">
        <v>14952</v>
      </c>
      <c r="N1071" t="s">
        <v>213</v>
      </c>
      <c r="O1071">
        <v>250414</v>
      </c>
      <c r="P1071">
        <v>58.44</v>
      </c>
    </row>
    <row r="1072" spans="1:16" x14ac:dyDescent="0.25">
      <c r="A1072" t="s">
        <v>3296</v>
      </c>
      <c r="B1072" t="s">
        <v>2931</v>
      </c>
      <c r="C1072">
        <v>4506</v>
      </c>
      <c r="D1072" t="str">
        <f>"60000599023 "</f>
        <v xml:space="preserve">60000599023 </v>
      </c>
      <c r="E1072" t="s">
        <v>205</v>
      </c>
      <c r="F1072" t="s">
        <v>206</v>
      </c>
      <c r="G1072">
        <v>171.13</v>
      </c>
      <c r="H1072">
        <v>250401</v>
      </c>
      <c r="I1072">
        <v>4471</v>
      </c>
      <c r="J1072" t="s">
        <v>191</v>
      </c>
      <c r="K1072">
        <v>244.47</v>
      </c>
      <c r="L1072">
        <v>34.770000000000003</v>
      </c>
      <c r="M1072">
        <v>14981</v>
      </c>
      <c r="N1072" t="s">
        <v>252</v>
      </c>
      <c r="O1072">
        <v>250414</v>
      </c>
      <c r="P1072">
        <v>136.36000000000001</v>
      </c>
    </row>
    <row r="1073" spans="1:16" x14ac:dyDescent="0.25">
      <c r="A1073" t="s">
        <v>3296</v>
      </c>
      <c r="B1073" t="s">
        <v>2931</v>
      </c>
      <c r="C1073">
        <v>4533</v>
      </c>
      <c r="D1073" t="str">
        <f>"60000595571 "</f>
        <v xml:space="preserve">60000595571 </v>
      </c>
      <c r="E1073" t="s">
        <v>205</v>
      </c>
      <c r="F1073" t="s">
        <v>206</v>
      </c>
      <c r="G1073">
        <v>150.22</v>
      </c>
      <c r="H1073">
        <v>250401</v>
      </c>
      <c r="I1073">
        <v>4471</v>
      </c>
      <c r="J1073" t="s">
        <v>191</v>
      </c>
      <c r="K1073">
        <v>150.22</v>
      </c>
      <c r="L1073">
        <v>30.52</v>
      </c>
      <c r="M1073">
        <v>14951</v>
      </c>
      <c r="N1073" t="s">
        <v>186</v>
      </c>
      <c r="O1073">
        <v>250414</v>
      </c>
      <c r="P1073">
        <v>119.7</v>
      </c>
    </row>
    <row r="1074" spans="1:16" x14ac:dyDescent="0.25">
      <c r="A1074" t="s">
        <v>3296</v>
      </c>
      <c r="B1074" t="s">
        <v>2931</v>
      </c>
      <c r="C1074">
        <v>4611</v>
      </c>
      <c r="D1074" t="str">
        <f>"60000597810 "</f>
        <v xml:space="preserve">60000597810 </v>
      </c>
      <c r="E1074" t="s">
        <v>205</v>
      </c>
      <c r="F1074" t="s">
        <v>206</v>
      </c>
      <c r="G1074">
        <v>277.20999999999998</v>
      </c>
      <c r="H1074">
        <v>250401</v>
      </c>
      <c r="I1074">
        <v>4471</v>
      </c>
      <c r="J1074" t="s">
        <v>191</v>
      </c>
      <c r="K1074">
        <v>831.63</v>
      </c>
      <c r="L1074">
        <v>56.33</v>
      </c>
      <c r="M1074">
        <v>11401</v>
      </c>
      <c r="N1074" t="s">
        <v>91</v>
      </c>
      <c r="O1074">
        <v>250414</v>
      </c>
      <c r="P1074">
        <v>220.88</v>
      </c>
    </row>
    <row r="1075" spans="1:16" x14ac:dyDescent="0.25">
      <c r="A1075" t="s">
        <v>3296</v>
      </c>
      <c r="B1075" t="s">
        <v>2931</v>
      </c>
      <c r="C1075">
        <v>4611</v>
      </c>
      <c r="D1075" t="str">
        <f>"60000597810 "</f>
        <v xml:space="preserve">60000597810 </v>
      </c>
      <c r="E1075" t="s">
        <v>205</v>
      </c>
      <c r="F1075" t="s">
        <v>206</v>
      </c>
      <c r="G1075">
        <v>554.41999999999996</v>
      </c>
      <c r="H1075">
        <v>250401</v>
      </c>
      <c r="I1075">
        <v>4471</v>
      </c>
      <c r="J1075" t="s">
        <v>191</v>
      </c>
      <c r="K1075">
        <v>831.63</v>
      </c>
      <c r="L1075">
        <v>112.65</v>
      </c>
      <c r="M1075">
        <v>14952</v>
      </c>
      <c r="N1075" t="s">
        <v>213</v>
      </c>
      <c r="O1075">
        <v>250414</v>
      </c>
      <c r="P1075">
        <v>441.77</v>
      </c>
    </row>
    <row r="1076" spans="1:16" x14ac:dyDescent="0.25">
      <c r="A1076" t="s">
        <v>3296</v>
      </c>
      <c r="B1076" t="s">
        <v>2931</v>
      </c>
      <c r="C1076">
        <v>5898</v>
      </c>
      <c r="D1076" t="str">
        <f>"60000602782 "</f>
        <v xml:space="preserve">60000602782 </v>
      </c>
      <c r="E1076" t="s">
        <v>205</v>
      </c>
      <c r="F1076" t="s">
        <v>206</v>
      </c>
      <c r="G1076">
        <v>1023.48</v>
      </c>
      <c r="H1076">
        <v>250501</v>
      </c>
      <c r="I1076">
        <v>4471</v>
      </c>
      <c r="J1076" t="s">
        <v>191</v>
      </c>
      <c r="K1076">
        <v>1023.48</v>
      </c>
      <c r="L1076">
        <v>207.96</v>
      </c>
      <c r="M1076">
        <v>14951</v>
      </c>
      <c r="N1076" t="s">
        <v>186</v>
      </c>
      <c r="O1076">
        <v>250507</v>
      </c>
      <c r="P1076">
        <v>815.52</v>
      </c>
    </row>
    <row r="1077" spans="1:16" x14ac:dyDescent="0.25">
      <c r="A1077" t="s">
        <v>3296</v>
      </c>
      <c r="B1077" t="s">
        <v>2931</v>
      </c>
      <c r="C1077">
        <v>6387</v>
      </c>
      <c r="D1077" t="str">
        <f>"60000605102 "</f>
        <v xml:space="preserve">60000605102 </v>
      </c>
      <c r="E1077" t="s">
        <v>205</v>
      </c>
      <c r="F1077" t="s">
        <v>206</v>
      </c>
      <c r="G1077">
        <v>277.20999999999998</v>
      </c>
      <c r="H1077">
        <v>250501</v>
      </c>
      <c r="I1077">
        <v>4471</v>
      </c>
      <c r="J1077" t="s">
        <v>191</v>
      </c>
      <c r="K1077">
        <v>831.63</v>
      </c>
      <c r="L1077">
        <v>56.33</v>
      </c>
      <c r="M1077">
        <v>11401</v>
      </c>
      <c r="N1077" t="s">
        <v>91</v>
      </c>
      <c r="O1077">
        <v>250513</v>
      </c>
      <c r="P1077">
        <v>220.88</v>
      </c>
    </row>
    <row r="1078" spans="1:16" x14ac:dyDescent="0.25">
      <c r="A1078" t="s">
        <v>3296</v>
      </c>
      <c r="B1078" t="s">
        <v>2931</v>
      </c>
      <c r="C1078">
        <v>6387</v>
      </c>
      <c r="D1078" t="str">
        <f>"60000605102 "</f>
        <v xml:space="preserve">60000605102 </v>
      </c>
      <c r="E1078" t="s">
        <v>205</v>
      </c>
      <c r="F1078" t="s">
        <v>206</v>
      </c>
      <c r="G1078">
        <v>554.41999999999996</v>
      </c>
      <c r="H1078">
        <v>250501</v>
      </c>
      <c r="I1078">
        <v>4471</v>
      </c>
      <c r="J1078" t="s">
        <v>191</v>
      </c>
      <c r="K1078">
        <v>831.63</v>
      </c>
      <c r="L1078">
        <v>112.65</v>
      </c>
      <c r="M1078">
        <v>14952</v>
      </c>
      <c r="N1078" t="s">
        <v>213</v>
      </c>
      <c r="O1078">
        <v>250513</v>
      </c>
      <c r="P1078">
        <v>441.77</v>
      </c>
    </row>
    <row r="1079" spans="1:16" x14ac:dyDescent="0.25">
      <c r="A1079" t="s">
        <v>3296</v>
      </c>
      <c r="B1079" t="s">
        <v>2931</v>
      </c>
      <c r="C1079">
        <v>6388</v>
      </c>
      <c r="D1079" t="str">
        <f>"60000605814 "</f>
        <v xml:space="preserve">60000605814 </v>
      </c>
      <c r="E1079" t="s">
        <v>205</v>
      </c>
      <c r="F1079" t="s">
        <v>206</v>
      </c>
      <c r="G1079">
        <v>73.34</v>
      </c>
      <c r="H1079">
        <v>250501</v>
      </c>
      <c r="I1079">
        <v>4471</v>
      </c>
      <c r="J1079" t="s">
        <v>191</v>
      </c>
      <c r="K1079">
        <v>244.47</v>
      </c>
      <c r="L1079">
        <v>14.9</v>
      </c>
      <c r="M1079">
        <v>14952</v>
      </c>
      <c r="N1079" t="s">
        <v>213</v>
      </c>
      <c r="O1079">
        <v>250513</v>
      </c>
      <c r="P1079">
        <v>58.44</v>
      </c>
    </row>
    <row r="1080" spans="1:16" x14ac:dyDescent="0.25">
      <c r="A1080" t="s">
        <v>3296</v>
      </c>
      <c r="B1080" t="s">
        <v>2931</v>
      </c>
      <c r="C1080">
        <v>6388</v>
      </c>
      <c r="D1080" t="str">
        <f>"60000605814 "</f>
        <v xml:space="preserve">60000605814 </v>
      </c>
      <c r="E1080" t="s">
        <v>205</v>
      </c>
      <c r="F1080" t="s">
        <v>206</v>
      </c>
      <c r="G1080">
        <v>171.13</v>
      </c>
      <c r="H1080">
        <v>250501</v>
      </c>
      <c r="I1080">
        <v>4471</v>
      </c>
      <c r="J1080" t="s">
        <v>191</v>
      </c>
      <c r="K1080">
        <v>244.47</v>
      </c>
      <c r="L1080">
        <v>34.770000000000003</v>
      </c>
      <c r="M1080">
        <v>14981</v>
      </c>
      <c r="N1080" t="s">
        <v>252</v>
      </c>
      <c r="O1080">
        <v>250513</v>
      </c>
      <c r="P1080">
        <v>136.36000000000001</v>
      </c>
    </row>
    <row r="1081" spans="1:16" x14ac:dyDescent="0.25">
      <c r="A1081" t="s">
        <v>3296</v>
      </c>
      <c r="B1081" t="s">
        <v>2931</v>
      </c>
      <c r="C1081">
        <v>7777</v>
      </c>
      <c r="D1081" t="str">
        <f>"60000609731 "</f>
        <v xml:space="preserve">60000609731 </v>
      </c>
      <c r="E1081" t="s">
        <v>205</v>
      </c>
      <c r="F1081" t="s">
        <v>206</v>
      </c>
      <c r="G1081">
        <v>1023.48</v>
      </c>
      <c r="H1081">
        <v>250601</v>
      </c>
      <c r="I1081">
        <v>4471</v>
      </c>
      <c r="J1081" t="s">
        <v>191</v>
      </c>
      <c r="K1081">
        <v>1023.48</v>
      </c>
      <c r="L1081">
        <v>207.96</v>
      </c>
      <c r="M1081">
        <v>14951</v>
      </c>
      <c r="N1081" t="s">
        <v>186</v>
      </c>
      <c r="O1081">
        <v>250609</v>
      </c>
      <c r="P1081">
        <v>815.52</v>
      </c>
    </row>
    <row r="1082" spans="1:16" x14ac:dyDescent="0.25">
      <c r="A1082" t="s">
        <v>3296</v>
      </c>
      <c r="B1082" t="s">
        <v>2931</v>
      </c>
      <c r="C1082">
        <v>8019</v>
      </c>
      <c r="D1082" t="str">
        <f>"60000614172 "</f>
        <v xml:space="preserve">60000614172 </v>
      </c>
      <c r="E1082" t="s">
        <v>205</v>
      </c>
      <c r="F1082" t="s">
        <v>206</v>
      </c>
      <c r="G1082">
        <v>111.7</v>
      </c>
      <c r="H1082">
        <v>250531</v>
      </c>
      <c r="I1082">
        <v>4471</v>
      </c>
      <c r="J1082" t="s">
        <v>191</v>
      </c>
      <c r="K1082">
        <v>111.7</v>
      </c>
      <c r="L1082">
        <v>22.7</v>
      </c>
      <c r="M1082">
        <v>14951</v>
      </c>
      <c r="N1082" t="s">
        <v>186</v>
      </c>
      <c r="O1082">
        <v>250611</v>
      </c>
      <c r="P1082">
        <v>89</v>
      </c>
    </row>
    <row r="1083" spans="1:16" x14ac:dyDescent="0.25">
      <c r="A1083" t="s">
        <v>3296</v>
      </c>
      <c r="B1083" t="s">
        <v>2931</v>
      </c>
      <c r="C1083">
        <v>8041</v>
      </c>
      <c r="D1083" t="str">
        <f>"60000612183 "</f>
        <v xml:space="preserve">60000612183 </v>
      </c>
      <c r="E1083" t="s">
        <v>205</v>
      </c>
      <c r="F1083" t="s">
        <v>206</v>
      </c>
      <c r="G1083">
        <v>73.34</v>
      </c>
      <c r="H1083">
        <v>250601</v>
      </c>
      <c r="I1083">
        <v>4471</v>
      </c>
      <c r="J1083" t="s">
        <v>191</v>
      </c>
      <c r="K1083">
        <v>244.47</v>
      </c>
      <c r="L1083">
        <v>14.9</v>
      </c>
      <c r="M1083">
        <v>14952</v>
      </c>
      <c r="N1083" t="s">
        <v>213</v>
      </c>
      <c r="O1083">
        <v>250611</v>
      </c>
      <c r="P1083">
        <v>58.44</v>
      </c>
    </row>
    <row r="1084" spans="1:16" x14ac:dyDescent="0.25">
      <c r="A1084" t="s">
        <v>3296</v>
      </c>
      <c r="B1084" t="s">
        <v>2931</v>
      </c>
      <c r="C1084">
        <v>8041</v>
      </c>
      <c r="D1084" t="str">
        <f>"60000612183 "</f>
        <v xml:space="preserve">60000612183 </v>
      </c>
      <c r="E1084" t="s">
        <v>205</v>
      </c>
      <c r="F1084" t="s">
        <v>206</v>
      </c>
      <c r="G1084">
        <v>171.13</v>
      </c>
      <c r="H1084">
        <v>250601</v>
      </c>
      <c r="I1084">
        <v>4471</v>
      </c>
      <c r="J1084" t="s">
        <v>191</v>
      </c>
      <c r="K1084">
        <v>244.47</v>
      </c>
      <c r="L1084">
        <v>34.770000000000003</v>
      </c>
      <c r="M1084">
        <v>14981</v>
      </c>
      <c r="N1084" t="s">
        <v>252</v>
      </c>
      <c r="O1084">
        <v>250611</v>
      </c>
      <c r="P1084">
        <v>136.36000000000001</v>
      </c>
    </row>
    <row r="1085" spans="1:16" x14ac:dyDescent="0.25">
      <c r="A1085" t="s">
        <v>3296</v>
      </c>
      <c r="B1085" t="s">
        <v>2931</v>
      </c>
      <c r="C1085">
        <v>8054</v>
      </c>
      <c r="D1085" t="str">
        <f>"60000611653 "</f>
        <v xml:space="preserve">60000611653 </v>
      </c>
      <c r="E1085" t="s">
        <v>205</v>
      </c>
      <c r="F1085" t="s">
        <v>206</v>
      </c>
      <c r="G1085">
        <v>277.20999999999998</v>
      </c>
      <c r="H1085">
        <v>250601</v>
      </c>
      <c r="I1085">
        <v>4471</v>
      </c>
      <c r="J1085" t="s">
        <v>191</v>
      </c>
      <c r="K1085">
        <v>831.63</v>
      </c>
      <c r="L1085">
        <v>56.33</v>
      </c>
      <c r="M1085">
        <v>11401</v>
      </c>
      <c r="N1085" t="s">
        <v>91</v>
      </c>
      <c r="O1085">
        <v>250611</v>
      </c>
      <c r="P1085">
        <v>220.88</v>
      </c>
    </row>
    <row r="1086" spans="1:16" x14ac:dyDescent="0.25">
      <c r="A1086" t="s">
        <v>3296</v>
      </c>
      <c r="B1086" t="s">
        <v>2931</v>
      </c>
      <c r="C1086">
        <v>8054</v>
      </c>
      <c r="D1086" t="str">
        <f>"60000611653 "</f>
        <v xml:space="preserve">60000611653 </v>
      </c>
      <c r="E1086" t="s">
        <v>205</v>
      </c>
      <c r="F1086" t="s">
        <v>206</v>
      </c>
      <c r="G1086">
        <v>554.41999999999996</v>
      </c>
      <c r="H1086">
        <v>250601</v>
      </c>
      <c r="I1086">
        <v>4471</v>
      </c>
      <c r="J1086" t="s">
        <v>191</v>
      </c>
      <c r="K1086">
        <v>831.63</v>
      </c>
      <c r="L1086">
        <v>112.65</v>
      </c>
      <c r="M1086">
        <v>14952</v>
      </c>
      <c r="N1086" t="s">
        <v>213</v>
      </c>
      <c r="O1086">
        <v>250611</v>
      </c>
      <c r="P1086">
        <v>441.77</v>
      </c>
    </row>
    <row r="1087" spans="1:16" x14ac:dyDescent="0.25">
      <c r="A1087" t="s">
        <v>3296</v>
      </c>
      <c r="B1087" t="s">
        <v>2931</v>
      </c>
      <c r="C1087">
        <v>9310</v>
      </c>
      <c r="D1087" t="str">
        <f>"60000618321 "</f>
        <v xml:space="preserve">60000618321 </v>
      </c>
      <c r="E1087" t="s">
        <v>205</v>
      </c>
      <c r="F1087" t="s">
        <v>206</v>
      </c>
      <c r="G1087">
        <v>1029.76</v>
      </c>
      <c r="H1087">
        <v>250701</v>
      </c>
      <c r="I1087">
        <v>4471</v>
      </c>
      <c r="J1087" t="s">
        <v>191</v>
      </c>
      <c r="K1087">
        <v>1029.76</v>
      </c>
      <c r="L1087">
        <v>209.23</v>
      </c>
      <c r="M1087">
        <v>14951</v>
      </c>
      <c r="N1087" t="s">
        <v>186</v>
      </c>
      <c r="O1087">
        <v>250703</v>
      </c>
      <c r="P1087">
        <v>820.53</v>
      </c>
    </row>
    <row r="1088" spans="1:16" x14ac:dyDescent="0.25">
      <c r="A1088" t="s">
        <v>3296</v>
      </c>
      <c r="B1088" t="s">
        <v>2931</v>
      </c>
      <c r="C1088">
        <v>9321</v>
      </c>
      <c r="D1088" t="str">
        <f>"60000620501 "</f>
        <v xml:space="preserve">60000620501 </v>
      </c>
      <c r="E1088" t="s">
        <v>205</v>
      </c>
      <c r="F1088" t="s">
        <v>206</v>
      </c>
      <c r="G1088">
        <v>175.53</v>
      </c>
      <c r="H1088">
        <v>250701</v>
      </c>
      <c r="I1088">
        <v>4471</v>
      </c>
      <c r="J1088" t="s">
        <v>191</v>
      </c>
      <c r="K1088">
        <v>250.75</v>
      </c>
      <c r="L1088">
        <v>35.67</v>
      </c>
      <c r="M1088">
        <v>14952</v>
      </c>
      <c r="N1088" t="s">
        <v>213</v>
      </c>
      <c r="O1088">
        <v>250703</v>
      </c>
      <c r="P1088">
        <v>139.86000000000001</v>
      </c>
    </row>
    <row r="1089" spans="1:16" x14ac:dyDescent="0.25">
      <c r="A1089" t="s">
        <v>3296</v>
      </c>
      <c r="B1089" t="s">
        <v>2931</v>
      </c>
      <c r="C1089">
        <v>9321</v>
      </c>
      <c r="D1089" t="str">
        <f>"60000620501 "</f>
        <v xml:space="preserve">60000620501 </v>
      </c>
      <c r="E1089" t="s">
        <v>205</v>
      </c>
      <c r="F1089" t="s">
        <v>206</v>
      </c>
      <c r="G1089">
        <v>75.22</v>
      </c>
      <c r="H1089">
        <v>250701</v>
      </c>
      <c r="I1089">
        <v>4471</v>
      </c>
      <c r="J1089" t="s">
        <v>191</v>
      </c>
      <c r="K1089">
        <v>250.75</v>
      </c>
      <c r="L1089">
        <v>15.28</v>
      </c>
      <c r="M1089">
        <v>14981</v>
      </c>
      <c r="N1089" t="s">
        <v>252</v>
      </c>
      <c r="O1089">
        <v>250703</v>
      </c>
      <c r="P1089">
        <v>59.94</v>
      </c>
    </row>
    <row r="1090" spans="1:16" x14ac:dyDescent="0.25">
      <c r="A1090" t="s">
        <v>3296</v>
      </c>
      <c r="B1090" t="s">
        <v>2931</v>
      </c>
      <c r="C1090">
        <v>9335</v>
      </c>
      <c r="D1090" t="str">
        <f>"60000620009 "</f>
        <v xml:space="preserve">60000620009 </v>
      </c>
      <c r="E1090" t="s">
        <v>205</v>
      </c>
      <c r="F1090" t="s">
        <v>206</v>
      </c>
      <c r="G1090">
        <v>279.3</v>
      </c>
      <c r="H1090">
        <v>250701</v>
      </c>
      <c r="I1090">
        <v>4471</v>
      </c>
      <c r="J1090" t="s">
        <v>191</v>
      </c>
      <c r="K1090">
        <v>837.91</v>
      </c>
      <c r="L1090">
        <v>56.75</v>
      </c>
      <c r="M1090">
        <v>11401</v>
      </c>
      <c r="N1090" t="s">
        <v>91</v>
      </c>
      <c r="O1090">
        <v>250703</v>
      </c>
      <c r="P1090">
        <v>222.55</v>
      </c>
    </row>
    <row r="1091" spans="1:16" x14ac:dyDescent="0.25">
      <c r="A1091" t="s">
        <v>3296</v>
      </c>
      <c r="B1091" t="s">
        <v>2931</v>
      </c>
      <c r="C1091">
        <v>9335</v>
      </c>
      <c r="D1091" t="str">
        <f>"60000620009 "</f>
        <v xml:space="preserve">60000620009 </v>
      </c>
      <c r="E1091" t="s">
        <v>205</v>
      </c>
      <c r="F1091" t="s">
        <v>206</v>
      </c>
      <c r="G1091">
        <v>558.61</v>
      </c>
      <c r="H1091">
        <v>250701</v>
      </c>
      <c r="I1091">
        <v>4471</v>
      </c>
      <c r="J1091" t="s">
        <v>191</v>
      </c>
      <c r="K1091">
        <v>837.91</v>
      </c>
      <c r="L1091">
        <v>113.5</v>
      </c>
      <c r="M1091">
        <v>14952</v>
      </c>
      <c r="N1091" t="s">
        <v>213</v>
      </c>
      <c r="O1091">
        <v>250703</v>
      </c>
      <c r="P1091">
        <v>445.11</v>
      </c>
    </row>
    <row r="1092" spans="1:16" x14ac:dyDescent="0.25">
      <c r="A1092" t="s">
        <v>3296</v>
      </c>
      <c r="B1092" t="s">
        <v>2931</v>
      </c>
      <c r="C1092">
        <v>9464</v>
      </c>
      <c r="D1092" t="str">
        <f>"60000617949 "</f>
        <v xml:space="preserve">60000617949 </v>
      </c>
      <c r="E1092" t="s">
        <v>205</v>
      </c>
      <c r="F1092" t="s">
        <v>206</v>
      </c>
      <c r="G1092">
        <v>156.5</v>
      </c>
      <c r="H1092">
        <v>250701</v>
      </c>
      <c r="I1092">
        <v>4471</v>
      </c>
      <c r="J1092" t="s">
        <v>191</v>
      </c>
      <c r="K1092">
        <v>156.5</v>
      </c>
      <c r="L1092">
        <v>31.8</v>
      </c>
      <c r="M1092">
        <v>14951</v>
      </c>
      <c r="N1092" t="s">
        <v>186</v>
      </c>
      <c r="O1092">
        <v>250708</v>
      </c>
      <c r="P1092">
        <v>124.7</v>
      </c>
    </row>
    <row r="1093" spans="1:16" x14ac:dyDescent="0.25">
      <c r="A1093" t="s">
        <v>3296</v>
      </c>
      <c r="B1093" t="s">
        <v>2931</v>
      </c>
      <c r="C1093">
        <v>10049</v>
      </c>
      <c r="D1093" t="str">
        <f>"60000625103 "</f>
        <v xml:space="preserve">60000625103 </v>
      </c>
      <c r="E1093" t="s">
        <v>205</v>
      </c>
      <c r="F1093" t="s">
        <v>206</v>
      </c>
      <c r="G1093">
        <v>1029.76</v>
      </c>
      <c r="H1093">
        <v>250801</v>
      </c>
      <c r="I1093">
        <v>4471</v>
      </c>
      <c r="J1093" t="s">
        <v>191</v>
      </c>
      <c r="K1093">
        <v>1029.76</v>
      </c>
      <c r="L1093">
        <v>209.23</v>
      </c>
      <c r="M1093">
        <v>14951</v>
      </c>
      <c r="N1093" t="s">
        <v>186</v>
      </c>
      <c r="O1093">
        <v>250808</v>
      </c>
      <c r="P1093">
        <v>820.53</v>
      </c>
    </row>
    <row r="1094" spans="1:16" x14ac:dyDescent="0.25">
      <c r="A1094" t="s">
        <v>3296</v>
      </c>
      <c r="B1094" t="s">
        <v>2931</v>
      </c>
      <c r="C1094">
        <v>10069</v>
      </c>
      <c r="D1094" t="str">
        <f>"60000627290 "</f>
        <v xml:space="preserve">60000627290 </v>
      </c>
      <c r="E1094" t="s">
        <v>205</v>
      </c>
      <c r="F1094" t="s">
        <v>206</v>
      </c>
      <c r="G1094">
        <v>175.53</v>
      </c>
      <c r="H1094">
        <v>250801</v>
      </c>
      <c r="I1094">
        <v>4471</v>
      </c>
      <c r="J1094" t="s">
        <v>191</v>
      </c>
      <c r="K1094">
        <v>250.75</v>
      </c>
      <c r="L1094">
        <v>35.67</v>
      </c>
      <c r="M1094">
        <v>14952</v>
      </c>
      <c r="N1094" t="s">
        <v>213</v>
      </c>
      <c r="O1094">
        <v>250811</v>
      </c>
      <c r="P1094">
        <v>139.86000000000001</v>
      </c>
    </row>
    <row r="1095" spans="1:16" x14ac:dyDescent="0.25">
      <c r="A1095" t="s">
        <v>3296</v>
      </c>
      <c r="B1095" t="s">
        <v>2931</v>
      </c>
      <c r="C1095">
        <v>10069</v>
      </c>
      <c r="D1095" t="str">
        <f>"60000627290 "</f>
        <v xml:space="preserve">60000627290 </v>
      </c>
      <c r="E1095" t="s">
        <v>205</v>
      </c>
      <c r="F1095" t="s">
        <v>206</v>
      </c>
      <c r="G1095">
        <v>75.22</v>
      </c>
      <c r="H1095">
        <v>250801</v>
      </c>
      <c r="I1095">
        <v>4471</v>
      </c>
      <c r="J1095" t="s">
        <v>191</v>
      </c>
      <c r="K1095">
        <v>250.75</v>
      </c>
      <c r="L1095">
        <v>15.28</v>
      </c>
      <c r="M1095">
        <v>14981</v>
      </c>
      <c r="N1095" t="s">
        <v>252</v>
      </c>
      <c r="O1095">
        <v>250811</v>
      </c>
      <c r="P1095">
        <v>59.94</v>
      </c>
    </row>
    <row r="1096" spans="1:16" x14ac:dyDescent="0.25">
      <c r="A1096" t="s">
        <v>3296</v>
      </c>
      <c r="B1096" t="s">
        <v>2931</v>
      </c>
      <c r="C1096">
        <v>10073</v>
      </c>
      <c r="D1096" t="str">
        <f>"60000626681 "</f>
        <v xml:space="preserve">60000626681 </v>
      </c>
      <c r="E1096" t="s">
        <v>205</v>
      </c>
      <c r="F1096" t="s">
        <v>206</v>
      </c>
      <c r="G1096">
        <v>279.3</v>
      </c>
      <c r="H1096">
        <v>250801</v>
      </c>
      <c r="I1096">
        <v>4471</v>
      </c>
      <c r="J1096" t="s">
        <v>191</v>
      </c>
      <c r="K1096">
        <v>837.91</v>
      </c>
      <c r="L1096">
        <v>56.75</v>
      </c>
      <c r="M1096">
        <v>11401</v>
      </c>
      <c r="N1096" t="s">
        <v>91</v>
      </c>
      <c r="O1096">
        <v>250811</v>
      </c>
      <c r="P1096">
        <v>222.55</v>
      </c>
    </row>
    <row r="1097" spans="1:16" x14ac:dyDescent="0.25">
      <c r="A1097" t="s">
        <v>3296</v>
      </c>
      <c r="B1097" t="s">
        <v>2931</v>
      </c>
      <c r="C1097">
        <v>10073</v>
      </c>
      <c r="D1097" t="str">
        <f>"60000626681 "</f>
        <v xml:space="preserve">60000626681 </v>
      </c>
      <c r="E1097" t="s">
        <v>205</v>
      </c>
      <c r="F1097" t="s">
        <v>206</v>
      </c>
      <c r="G1097">
        <v>558.61</v>
      </c>
      <c r="H1097">
        <v>250801</v>
      </c>
      <c r="I1097">
        <v>4471</v>
      </c>
      <c r="J1097" t="s">
        <v>191</v>
      </c>
      <c r="K1097">
        <v>837.91</v>
      </c>
      <c r="L1097">
        <v>113.5</v>
      </c>
      <c r="M1097">
        <v>14952</v>
      </c>
      <c r="N1097" t="s">
        <v>213</v>
      </c>
      <c r="O1097">
        <v>250811</v>
      </c>
      <c r="P1097">
        <v>445.11</v>
      </c>
    </row>
    <row r="1098" spans="1:16" x14ac:dyDescent="0.25">
      <c r="A1098" t="s">
        <v>3296</v>
      </c>
      <c r="B1098" t="s">
        <v>2931</v>
      </c>
      <c r="C1098">
        <v>11301</v>
      </c>
      <c r="D1098" t="str">
        <f>"60000631915 "</f>
        <v xml:space="preserve">60000631915 </v>
      </c>
      <c r="E1098" t="s">
        <v>205</v>
      </c>
      <c r="F1098" t="s">
        <v>206</v>
      </c>
      <c r="G1098">
        <v>1029.76</v>
      </c>
      <c r="H1098">
        <v>250901</v>
      </c>
      <c r="I1098">
        <v>4471</v>
      </c>
      <c r="J1098" t="s">
        <v>191</v>
      </c>
      <c r="K1098">
        <v>1029.76</v>
      </c>
      <c r="L1098">
        <v>209.23</v>
      </c>
      <c r="M1098">
        <v>14951</v>
      </c>
      <c r="N1098" t="s">
        <v>186</v>
      </c>
      <c r="O1098">
        <v>250903</v>
      </c>
      <c r="P1098">
        <v>820.53</v>
      </c>
    </row>
    <row r="1099" spans="1:16" x14ac:dyDescent="0.25">
      <c r="A1099" t="s">
        <v>3296</v>
      </c>
      <c r="B1099" t="s">
        <v>2931</v>
      </c>
      <c r="C1099">
        <v>11334</v>
      </c>
      <c r="D1099" t="str">
        <f>"60000633967 "</f>
        <v xml:space="preserve">60000633967 </v>
      </c>
      <c r="E1099" t="s">
        <v>205</v>
      </c>
      <c r="F1099" t="s">
        <v>206</v>
      </c>
      <c r="G1099">
        <v>175.53</v>
      </c>
      <c r="H1099">
        <v>250901</v>
      </c>
      <c r="I1099">
        <v>4471</v>
      </c>
      <c r="J1099" t="s">
        <v>191</v>
      </c>
      <c r="K1099">
        <v>250.75</v>
      </c>
      <c r="L1099">
        <v>35.67</v>
      </c>
      <c r="M1099">
        <v>14952</v>
      </c>
      <c r="N1099" t="s">
        <v>213</v>
      </c>
      <c r="O1099">
        <v>250903</v>
      </c>
      <c r="P1099">
        <v>139.86000000000001</v>
      </c>
    </row>
    <row r="1100" spans="1:16" x14ac:dyDescent="0.25">
      <c r="A1100" t="s">
        <v>3296</v>
      </c>
      <c r="B1100" t="s">
        <v>2931</v>
      </c>
      <c r="C1100">
        <v>11334</v>
      </c>
      <c r="D1100" t="str">
        <f>"60000633967 "</f>
        <v xml:space="preserve">60000633967 </v>
      </c>
      <c r="E1100" t="s">
        <v>205</v>
      </c>
      <c r="F1100" t="s">
        <v>206</v>
      </c>
      <c r="G1100">
        <v>75.22</v>
      </c>
      <c r="H1100">
        <v>250901</v>
      </c>
      <c r="I1100">
        <v>4471</v>
      </c>
      <c r="J1100" t="s">
        <v>191</v>
      </c>
      <c r="K1100">
        <v>250.75</v>
      </c>
      <c r="L1100">
        <v>15.28</v>
      </c>
      <c r="M1100">
        <v>14981</v>
      </c>
      <c r="N1100" t="s">
        <v>252</v>
      </c>
      <c r="O1100">
        <v>250903</v>
      </c>
      <c r="P1100">
        <v>59.94</v>
      </c>
    </row>
    <row r="1101" spans="1:16" x14ac:dyDescent="0.25">
      <c r="A1101" t="s">
        <v>3296</v>
      </c>
      <c r="B1101" t="s">
        <v>2931</v>
      </c>
      <c r="C1101">
        <v>11682</v>
      </c>
      <c r="D1101" t="str">
        <f>"60000633491 "</f>
        <v xml:space="preserve">60000633491 </v>
      </c>
      <c r="E1101" t="s">
        <v>205</v>
      </c>
      <c r="F1101" t="s">
        <v>206</v>
      </c>
      <c r="G1101">
        <v>251.37</v>
      </c>
      <c r="H1101">
        <v>250901</v>
      </c>
      <c r="I1101">
        <v>4471</v>
      </c>
      <c r="J1101" t="s">
        <v>191</v>
      </c>
      <c r="K1101">
        <v>837.91</v>
      </c>
      <c r="L1101">
        <v>51.08</v>
      </c>
      <c r="M1101">
        <v>11401</v>
      </c>
      <c r="N1101" t="s">
        <v>91</v>
      </c>
      <c r="O1101">
        <v>250910</v>
      </c>
      <c r="P1101">
        <v>200.29</v>
      </c>
    </row>
    <row r="1102" spans="1:16" x14ac:dyDescent="0.25">
      <c r="A1102" t="s">
        <v>3296</v>
      </c>
      <c r="B1102" t="s">
        <v>2931</v>
      </c>
      <c r="C1102">
        <v>11682</v>
      </c>
      <c r="D1102" t="str">
        <f>"60000633491 "</f>
        <v xml:space="preserve">60000633491 </v>
      </c>
      <c r="E1102" t="s">
        <v>205</v>
      </c>
      <c r="F1102" t="s">
        <v>206</v>
      </c>
      <c r="G1102">
        <v>586.54</v>
      </c>
      <c r="H1102">
        <v>250901</v>
      </c>
      <c r="I1102">
        <v>4471</v>
      </c>
      <c r="J1102" t="s">
        <v>191</v>
      </c>
      <c r="K1102">
        <v>837.91</v>
      </c>
      <c r="L1102">
        <v>119.18</v>
      </c>
      <c r="M1102">
        <v>14952</v>
      </c>
      <c r="N1102" t="s">
        <v>213</v>
      </c>
      <c r="O1102">
        <v>250910</v>
      </c>
      <c r="P1102">
        <v>467.36</v>
      </c>
    </row>
    <row r="1103" spans="1:16" x14ac:dyDescent="0.25">
      <c r="A1103" t="s">
        <v>3296</v>
      </c>
      <c r="B1103" t="s">
        <v>2931</v>
      </c>
      <c r="C1103">
        <v>12965</v>
      </c>
      <c r="D1103" t="str">
        <f>"60000638708 "</f>
        <v xml:space="preserve">60000638708 </v>
      </c>
      <c r="E1103" t="s">
        <v>205</v>
      </c>
      <c r="F1103" t="s">
        <v>206</v>
      </c>
      <c r="G1103">
        <v>1029.76</v>
      </c>
      <c r="H1103">
        <v>251001</v>
      </c>
      <c r="I1103">
        <v>4471</v>
      </c>
      <c r="J1103" t="s">
        <v>191</v>
      </c>
      <c r="K1103">
        <v>1029.76</v>
      </c>
      <c r="L1103">
        <v>209.23</v>
      </c>
      <c r="M1103">
        <v>14951</v>
      </c>
      <c r="N1103" t="s">
        <v>186</v>
      </c>
      <c r="O1103">
        <v>251003</v>
      </c>
      <c r="P1103">
        <v>820.53</v>
      </c>
    </row>
    <row r="1104" spans="1:16" x14ac:dyDescent="0.25">
      <c r="A1104" t="s">
        <v>3296</v>
      </c>
      <c r="B1104" t="s">
        <v>2931</v>
      </c>
      <c r="C1104">
        <v>13022</v>
      </c>
      <c r="D1104" t="str">
        <f>"60000643294 "</f>
        <v xml:space="preserve">60000643294 </v>
      </c>
      <c r="E1104" t="s">
        <v>205</v>
      </c>
      <c r="F1104" t="s">
        <v>206</v>
      </c>
      <c r="G1104">
        <v>156.5</v>
      </c>
      <c r="H1104">
        <v>251001</v>
      </c>
      <c r="I1104">
        <v>4471</v>
      </c>
      <c r="J1104" t="s">
        <v>191</v>
      </c>
      <c r="K1104">
        <v>156.5</v>
      </c>
      <c r="L1104">
        <v>31.8</v>
      </c>
      <c r="M1104">
        <v>14951</v>
      </c>
      <c r="N1104" t="s">
        <v>186</v>
      </c>
      <c r="O1104">
        <v>251003</v>
      </c>
      <c r="P1104">
        <v>124.7</v>
      </c>
    </row>
    <row r="1105" spans="1:16" x14ac:dyDescent="0.25">
      <c r="A1105" t="s">
        <v>3296</v>
      </c>
      <c r="B1105" t="s">
        <v>2931</v>
      </c>
      <c r="C1105">
        <v>13450</v>
      </c>
      <c r="D1105" t="str">
        <f>"60000640707 "</f>
        <v xml:space="preserve">60000640707 </v>
      </c>
      <c r="E1105" t="s">
        <v>205</v>
      </c>
      <c r="F1105" t="s">
        <v>206</v>
      </c>
      <c r="G1105">
        <v>175.53</v>
      </c>
      <c r="H1105">
        <v>251001</v>
      </c>
      <c r="I1105">
        <v>4471</v>
      </c>
      <c r="J1105" t="s">
        <v>191</v>
      </c>
      <c r="K1105">
        <v>250.75</v>
      </c>
      <c r="L1105">
        <v>35.67</v>
      </c>
      <c r="M1105">
        <v>14952</v>
      </c>
      <c r="N1105" t="s">
        <v>213</v>
      </c>
      <c r="O1105">
        <v>251010</v>
      </c>
      <c r="P1105">
        <v>139.86000000000001</v>
      </c>
    </row>
    <row r="1106" spans="1:16" x14ac:dyDescent="0.25">
      <c r="A1106" t="s">
        <v>3296</v>
      </c>
      <c r="B1106" t="s">
        <v>2931</v>
      </c>
      <c r="C1106">
        <v>13450</v>
      </c>
      <c r="D1106" t="str">
        <f>"60000640707 "</f>
        <v xml:space="preserve">60000640707 </v>
      </c>
      <c r="E1106" t="s">
        <v>205</v>
      </c>
      <c r="F1106" t="s">
        <v>206</v>
      </c>
      <c r="G1106">
        <v>75.22</v>
      </c>
      <c r="H1106">
        <v>251001</v>
      </c>
      <c r="I1106">
        <v>4471</v>
      </c>
      <c r="J1106" t="s">
        <v>191</v>
      </c>
      <c r="K1106">
        <v>250.75</v>
      </c>
      <c r="L1106">
        <v>15.28</v>
      </c>
      <c r="M1106">
        <v>14981</v>
      </c>
      <c r="N1106" t="s">
        <v>252</v>
      </c>
      <c r="O1106">
        <v>251010</v>
      </c>
      <c r="P1106">
        <v>59.94</v>
      </c>
    </row>
    <row r="1107" spans="1:16" x14ac:dyDescent="0.25">
      <c r="A1107" t="s">
        <v>3296</v>
      </c>
      <c r="B1107" t="s">
        <v>2931</v>
      </c>
      <c r="C1107">
        <v>13696</v>
      </c>
      <c r="D1107" t="str">
        <f>"60000640298 "</f>
        <v xml:space="preserve">60000640298 </v>
      </c>
      <c r="E1107" t="s">
        <v>205</v>
      </c>
      <c r="F1107" t="s">
        <v>206</v>
      </c>
      <c r="G1107">
        <v>251.37</v>
      </c>
      <c r="H1107">
        <v>251001</v>
      </c>
      <c r="I1107">
        <v>4471</v>
      </c>
      <c r="J1107" t="s">
        <v>191</v>
      </c>
      <c r="K1107">
        <v>837.91</v>
      </c>
      <c r="L1107">
        <v>51.08</v>
      </c>
      <c r="M1107">
        <v>11401</v>
      </c>
      <c r="N1107" t="s">
        <v>91</v>
      </c>
      <c r="O1107">
        <v>251015</v>
      </c>
      <c r="P1107">
        <v>200.29</v>
      </c>
    </row>
    <row r="1108" spans="1:16" x14ac:dyDescent="0.25">
      <c r="A1108" t="s">
        <v>3296</v>
      </c>
      <c r="B1108" t="s">
        <v>2931</v>
      </c>
      <c r="C1108">
        <v>13696</v>
      </c>
      <c r="D1108" t="str">
        <f>"60000640298 "</f>
        <v xml:space="preserve">60000640298 </v>
      </c>
      <c r="E1108" t="s">
        <v>205</v>
      </c>
      <c r="F1108" t="s">
        <v>206</v>
      </c>
      <c r="G1108">
        <v>586.54</v>
      </c>
      <c r="H1108">
        <v>251001</v>
      </c>
      <c r="I1108">
        <v>4471</v>
      </c>
      <c r="J1108" t="s">
        <v>191</v>
      </c>
      <c r="K1108">
        <v>837.91</v>
      </c>
      <c r="L1108">
        <v>119.18</v>
      </c>
      <c r="M1108">
        <v>14952</v>
      </c>
      <c r="N1108" t="s">
        <v>213</v>
      </c>
      <c r="O1108">
        <v>251015</v>
      </c>
      <c r="P1108">
        <v>467.36</v>
      </c>
    </row>
    <row r="1109" spans="1:16" x14ac:dyDescent="0.25">
      <c r="A1109" t="s">
        <v>3296</v>
      </c>
      <c r="B1109" t="s">
        <v>2931</v>
      </c>
      <c r="C1109">
        <v>14550</v>
      </c>
      <c r="D1109" t="str">
        <f>"60000646926 "</f>
        <v xml:space="preserve">60000646926 </v>
      </c>
      <c r="E1109" t="s">
        <v>205</v>
      </c>
      <c r="F1109" t="s">
        <v>206</v>
      </c>
      <c r="G1109">
        <v>1029.76</v>
      </c>
      <c r="H1109">
        <v>251101</v>
      </c>
      <c r="I1109">
        <v>4471</v>
      </c>
      <c r="J1109" t="s">
        <v>191</v>
      </c>
      <c r="K1109">
        <v>1029.76</v>
      </c>
      <c r="L1109">
        <v>209.23</v>
      </c>
      <c r="M1109">
        <v>14951</v>
      </c>
      <c r="N1109" t="s">
        <v>186</v>
      </c>
      <c r="O1109">
        <v>251104</v>
      </c>
      <c r="P1109">
        <v>820.53</v>
      </c>
    </row>
    <row r="1110" spans="1:16" x14ac:dyDescent="0.25">
      <c r="A1110" t="s">
        <v>3296</v>
      </c>
      <c r="B1110" t="s">
        <v>2931</v>
      </c>
      <c r="C1110">
        <v>14566</v>
      </c>
      <c r="D1110" t="str">
        <f>"60000648945 "</f>
        <v xml:space="preserve">60000648945 </v>
      </c>
      <c r="E1110" t="s">
        <v>205</v>
      </c>
      <c r="F1110" t="s">
        <v>206</v>
      </c>
      <c r="G1110">
        <v>175.53</v>
      </c>
      <c r="H1110">
        <v>251101</v>
      </c>
      <c r="I1110">
        <v>4471</v>
      </c>
      <c r="J1110" t="s">
        <v>191</v>
      </c>
      <c r="K1110">
        <v>250.75</v>
      </c>
      <c r="L1110">
        <v>35.67</v>
      </c>
      <c r="M1110">
        <v>14952</v>
      </c>
      <c r="N1110" t="s">
        <v>213</v>
      </c>
      <c r="O1110">
        <v>251104</v>
      </c>
      <c r="P1110">
        <v>139.86000000000001</v>
      </c>
    </row>
    <row r="1111" spans="1:16" x14ac:dyDescent="0.25">
      <c r="A1111" t="s">
        <v>3296</v>
      </c>
      <c r="B1111" t="s">
        <v>2931</v>
      </c>
      <c r="C1111">
        <v>14566</v>
      </c>
      <c r="D1111" t="str">
        <f>"60000648945 "</f>
        <v xml:space="preserve">60000648945 </v>
      </c>
      <c r="E1111" t="s">
        <v>205</v>
      </c>
      <c r="F1111" t="s">
        <v>206</v>
      </c>
      <c r="G1111">
        <v>75.22</v>
      </c>
      <c r="H1111">
        <v>251101</v>
      </c>
      <c r="I1111">
        <v>4471</v>
      </c>
      <c r="J1111" t="s">
        <v>191</v>
      </c>
      <c r="K1111">
        <v>250.75</v>
      </c>
      <c r="L1111">
        <v>15.28</v>
      </c>
      <c r="M1111">
        <v>14981</v>
      </c>
      <c r="N1111" t="s">
        <v>252</v>
      </c>
      <c r="O1111">
        <v>251104</v>
      </c>
      <c r="P1111">
        <v>59.94</v>
      </c>
    </row>
    <row r="1112" spans="1:16" x14ac:dyDescent="0.25">
      <c r="A1112" t="s">
        <v>3296</v>
      </c>
      <c r="B1112" t="s">
        <v>2931</v>
      </c>
      <c r="C1112">
        <v>14592</v>
      </c>
      <c r="D1112" t="str">
        <f>"60000648380 "</f>
        <v xml:space="preserve">60000648380 </v>
      </c>
      <c r="E1112" t="s">
        <v>205</v>
      </c>
      <c r="F1112" t="s">
        <v>206</v>
      </c>
      <c r="G1112">
        <v>279.3</v>
      </c>
      <c r="H1112">
        <v>251101</v>
      </c>
      <c r="I1112">
        <v>4471</v>
      </c>
      <c r="J1112" t="s">
        <v>191</v>
      </c>
      <c r="K1112">
        <v>837.91</v>
      </c>
      <c r="L1112">
        <v>56.75</v>
      </c>
      <c r="M1112">
        <v>11401</v>
      </c>
      <c r="N1112" t="s">
        <v>91</v>
      </c>
      <c r="O1112">
        <v>251105</v>
      </c>
      <c r="P1112">
        <v>222.55</v>
      </c>
    </row>
    <row r="1113" spans="1:16" x14ac:dyDescent="0.25">
      <c r="A1113" t="s">
        <v>3296</v>
      </c>
      <c r="B1113" t="s">
        <v>2931</v>
      </c>
      <c r="C1113">
        <v>14592</v>
      </c>
      <c r="D1113" t="str">
        <f>"60000648380 "</f>
        <v xml:space="preserve">60000648380 </v>
      </c>
      <c r="E1113" t="s">
        <v>205</v>
      </c>
      <c r="F1113" t="s">
        <v>206</v>
      </c>
      <c r="G1113">
        <v>558.61</v>
      </c>
      <c r="H1113">
        <v>251101</v>
      </c>
      <c r="I1113">
        <v>4471</v>
      </c>
      <c r="J1113" t="s">
        <v>191</v>
      </c>
      <c r="K1113">
        <v>837.91</v>
      </c>
      <c r="L1113">
        <v>113.5</v>
      </c>
      <c r="M1113">
        <v>14952</v>
      </c>
      <c r="N1113" t="s">
        <v>213</v>
      </c>
      <c r="O1113">
        <v>251105</v>
      </c>
      <c r="P1113">
        <v>445.11</v>
      </c>
    </row>
    <row r="1114" spans="1:16" x14ac:dyDescent="0.25">
      <c r="A1114" t="s">
        <v>3296</v>
      </c>
      <c r="B1114" t="s">
        <v>2931</v>
      </c>
      <c r="C1114">
        <v>16464</v>
      </c>
      <c r="D1114" t="str">
        <f>"60000656977 "</f>
        <v xml:space="preserve">60000656977 </v>
      </c>
      <c r="E1114" t="s">
        <v>205</v>
      </c>
      <c r="F1114" t="s">
        <v>206</v>
      </c>
      <c r="G1114">
        <v>1029.76</v>
      </c>
      <c r="H1114">
        <v>251201</v>
      </c>
      <c r="I1114">
        <v>4471</v>
      </c>
      <c r="J1114" t="s">
        <v>191</v>
      </c>
      <c r="K1114">
        <v>1029.76</v>
      </c>
      <c r="L1114">
        <v>209.23</v>
      </c>
      <c r="M1114">
        <v>14951</v>
      </c>
      <c r="N1114" t="s">
        <v>186</v>
      </c>
      <c r="O1114">
        <v>251209</v>
      </c>
      <c r="P1114">
        <v>820.53</v>
      </c>
    </row>
    <row r="1115" spans="1:16" x14ac:dyDescent="0.25">
      <c r="A1115" t="s">
        <v>3296</v>
      </c>
      <c r="B1115" t="s">
        <v>2931</v>
      </c>
      <c r="C1115">
        <v>16841</v>
      </c>
      <c r="D1115" t="str">
        <f>"60000658903 "</f>
        <v xml:space="preserve">60000658903 </v>
      </c>
      <c r="E1115" t="s">
        <v>205</v>
      </c>
      <c r="F1115" t="s">
        <v>206</v>
      </c>
      <c r="G1115">
        <v>175.53</v>
      </c>
      <c r="H1115">
        <v>251201</v>
      </c>
      <c r="I1115">
        <v>4471</v>
      </c>
      <c r="J1115" t="s">
        <v>191</v>
      </c>
      <c r="K1115">
        <v>250.75</v>
      </c>
      <c r="L1115">
        <v>35.67</v>
      </c>
      <c r="M1115">
        <v>14952</v>
      </c>
      <c r="N1115" t="s">
        <v>213</v>
      </c>
      <c r="O1115">
        <v>251212</v>
      </c>
      <c r="P1115">
        <v>139.86000000000001</v>
      </c>
    </row>
    <row r="1116" spans="1:16" x14ac:dyDescent="0.25">
      <c r="A1116" t="s">
        <v>3296</v>
      </c>
      <c r="B1116" t="s">
        <v>2931</v>
      </c>
      <c r="C1116">
        <v>16841</v>
      </c>
      <c r="D1116" t="str">
        <f>"60000658903 "</f>
        <v xml:space="preserve">60000658903 </v>
      </c>
      <c r="E1116" t="s">
        <v>205</v>
      </c>
      <c r="F1116" t="s">
        <v>206</v>
      </c>
      <c r="G1116">
        <v>75.22</v>
      </c>
      <c r="H1116">
        <v>251201</v>
      </c>
      <c r="I1116">
        <v>4471</v>
      </c>
      <c r="J1116" t="s">
        <v>191</v>
      </c>
      <c r="K1116">
        <v>250.75</v>
      </c>
      <c r="L1116">
        <v>15.28</v>
      </c>
      <c r="M1116">
        <v>14981</v>
      </c>
      <c r="N1116" t="s">
        <v>252</v>
      </c>
      <c r="O1116">
        <v>251212</v>
      </c>
      <c r="P1116">
        <v>59.94</v>
      </c>
    </row>
    <row r="1117" spans="1:16" x14ac:dyDescent="0.25">
      <c r="A1117" t="s">
        <v>3296</v>
      </c>
      <c r="B1117" t="s">
        <v>2931</v>
      </c>
      <c r="C1117">
        <v>16876</v>
      </c>
      <c r="D1117" t="str">
        <f>"60000658444 "</f>
        <v xml:space="preserve">60000658444 </v>
      </c>
      <c r="E1117" t="s">
        <v>205</v>
      </c>
      <c r="F1117" t="s">
        <v>206</v>
      </c>
      <c r="G1117">
        <v>251.37</v>
      </c>
      <c r="H1117">
        <v>251201</v>
      </c>
      <c r="I1117">
        <v>4471</v>
      </c>
      <c r="J1117" t="s">
        <v>191</v>
      </c>
      <c r="K1117">
        <v>837.91</v>
      </c>
      <c r="L1117">
        <v>51.08</v>
      </c>
      <c r="M1117">
        <v>11401</v>
      </c>
      <c r="N1117" t="s">
        <v>91</v>
      </c>
      <c r="O1117">
        <v>251215</v>
      </c>
      <c r="P1117">
        <v>200.29</v>
      </c>
    </row>
    <row r="1118" spans="1:16" x14ac:dyDescent="0.25">
      <c r="A1118" t="s">
        <v>3296</v>
      </c>
      <c r="B1118" t="s">
        <v>2931</v>
      </c>
      <c r="C1118">
        <v>16876</v>
      </c>
      <c r="D1118" t="str">
        <f>"60000658444 "</f>
        <v xml:space="preserve">60000658444 </v>
      </c>
      <c r="E1118" t="s">
        <v>205</v>
      </c>
      <c r="F1118" t="s">
        <v>206</v>
      </c>
      <c r="G1118">
        <v>586.54</v>
      </c>
      <c r="H1118">
        <v>251201</v>
      </c>
      <c r="I1118">
        <v>4471</v>
      </c>
      <c r="J1118" t="s">
        <v>191</v>
      </c>
      <c r="K1118">
        <v>837.91</v>
      </c>
      <c r="L1118">
        <v>119.18</v>
      </c>
      <c r="M1118">
        <v>14952</v>
      </c>
      <c r="N1118" t="s">
        <v>213</v>
      </c>
      <c r="O1118">
        <v>251215</v>
      </c>
      <c r="P1118">
        <v>467.36</v>
      </c>
    </row>
    <row r="1119" spans="1:16" x14ac:dyDescent="0.25">
      <c r="A1119" t="s">
        <v>3296</v>
      </c>
      <c r="B1119" t="s">
        <v>2931</v>
      </c>
      <c r="C1119">
        <v>17495</v>
      </c>
      <c r="D1119" t="str">
        <f>"60000662168 "</f>
        <v xml:space="preserve">60000662168 </v>
      </c>
      <c r="E1119" t="s">
        <v>205</v>
      </c>
      <c r="F1119" t="s">
        <v>206</v>
      </c>
      <c r="G1119">
        <v>117.98</v>
      </c>
      <c r="H1119">
        <v>251215</v>
      </c>
      <c r="I1119">
        <v>4471</v>
      </c>
      <c r="J1119" t="s">
        <v>191</v>
      </c>
      <c r="K1119">
        <v>117.98</v>
      </c>
      <c r="L1119">
        <v>23.97</v>
      </c>
      <c r="M1119">
        <v>14951</v>
      </c>
      <c r="N1119" t="s">
        <v>186</v>
      </c>
      <c r="O1119">
        <v>251222</v>
      </c>
      <c r="P1119">
        <v>94.01</v>
      </c>
    </row>
    <row r="1120" spans="1:16" x14ac:dyDescent="0.25">
      <c r="A1120" t="s">
        <v>3296</v>
      </c>
      <c r="B1120" t="s">
        <v>2931</v>
      </c>
      <c r="C1120">
        <v>6669</v>
      </c>
      <c r="D1120" t="str">
        <f>"12777       "</f>
        <v xml:space="preserve">12777       </v>
      </c>
      <c r="E1120" t="s">
        <v>3247</v>
      </c>
      <c r="F1120" t="s">
        <v>3248</v>
      </c>
      <c r="G1120">
        <v>1539.9</v>
      </c>
      <c r="H1120">
        <v>250425</v>
      </c>
      <c r="I1120">
        <v>4557</v>
      </c>
      <c r="J1120" t="s">
        <v>1152</v>
      </c>
      <c r="K1120">
        <v>1539.9</v>
      </c>
      <c r="L1120">
        <v>0</v>
      </c>
      <c r="M1120">
        <v>66754</v>
      </c>
      <c r="N1120" t="s">
        <v>119</v>
      </c>
      <c r="O1120">
        <v>250515</v>
      </c>
      <c r="P1120">
        <v>1539.9</v>
      </c>
    </row>
    <row r="1121" spans="1:16" x14ac:dyDescent="0.25">
      <c r="A1121" t="s">
        <v>3296</v>
      </c>
      <c r="B1121" t="s">
        <v>2931</v>
      </c>
      <c r="C1121">
        <v>10303</v>
      </c>
      <c r="D1121" t="str">
        <f>"000450089   "</f>
        <v xml:space="preserve">000450089   </v>
      </c>
      <c r="E1121" t="s">
        <v>2179</v>
      </c>
      <c r="F1121" t="s">
        <v>2180</v>
      </c>
      <c r="G1121">
        <v>1015.86</v>
      </c>
      <c r="H1121">
        <v>250731</v>
      </c>
      <c r="I1121">
        <v>4400</v>
      </c>
      <c r="J1121" t="s">
        <v>162</v>
      </c>
      <c r="K1121">
        <v>1015.86</v>
      </c>
      <c r="L1121">
        <v>206.41</v>
      </c>
      <c r="M1121">
        <v>17711</v>
      </c>
      <c r="N1121" t="s">
        <v>155</v>
      </c>
      <c r="O1121">
        <v>250814</v>
      </c>
      <c r="P1121">
        <v>809.45</v>
      </c>
    </row>
    <row r="1122" spans="1:16" x14ac:dyDescent="0.25">
      <c r="A1122" t="s">
        <v>3296</v>
      </c>
      <c r="B1122" t="s">
        <v>2931</v>
      </c>
      <c r="C1122">
        <v>843</v>
      </c>
      <c r="D1122" t="str">
        <f>"30462009390 "</f>
        <v xml:space="preserve">30462009390 </v>
      </c>
      <c r="E1122" t="s">
        <v>751</v>
      </c>
      <c r="F1122" t="s">
        <v>752</v>
      </c>
      <c r="G1122">
        <v>423.56</v>
      </c>
      <c r="H1122">
        <v>250127</v>
      </c>
      <c r="I1122">
        <v>4367</v>
      </c>
      <c r="J1122" t="s">
        <v>159</v>
      </c>
      <c r="K1122">
        <v>1694.25</v>
      </c>
      <c r="L1122">
        <v>86.06</v>
      </c>
      <c r="M1122">
        <v>14321</v>
      </c>
      <c r="N1122" t="s">
        <v>72</v>
      </c>
      <c r="O1122">
        <v>250129</v>
      </c>
      <c r="P1122">
        <v>337.5</v>
      </c>
    </row>
    <row r="1123" spans="1:16" x14ac:dyDescent="0.25">
      <c r="A1123" t="s">
        <v>3296</v>
      </c>
      <c r="B1123" t="s">
        <v>2931</v>
      </c>
      <c r="C1123">
        <v>843</v>
      </c>
      <c r="D1123" t="str">
        <f>"30462009390 "</f>
        <v xml:space="preserve">30462009390 </v>
      </c>
      <c r="E1123" t="s">
        <v>751</v>
      </c>
      <c r="F1123" t="s">
        <v>752</v>
      </c>
      <c r="G1123">
        <v>211.78</v>
      </c>
      <c r="H1123">
        <v>250127</v>
      </c>
      <c r="I1123">
        <v>4367</v>
      </c>
      <c r="J1123" t="s">
        <v>159</v>
      </c>
      <c r="K1123">
        <v>1694.25</v>
      </c>
      <c r="L1123">
        <v>43.03</v>
      </c>
      <c r="M1123">
        <v>16321</v>
      </c>
      <c r="N1123" t="s">
        <v>16</v>
      </c>
      <c r="O1123">
        <v>250129</v>
      </c>
      <c r="P1123">
        <v>168.75</v>
      </c>
    </row>
    <row r="1124" spans="1:16" x14ac:dyDescent="0.25">
      <c r="A1124" t="s">
        <v>3296</v>
      </c>
      <c r="B1124" t="s">
        <v>2931</v>
      </c>
      <c r="C1124">
        <v>843</v>
      </c>
      <c r="D1124" t="str">
        <f>"30462009390 "</f>
        <v xml:space="preserve">30462009390 </v>
      </c>
      <c r="E1124" t="s">
        <v>751</v>
      </c>
      <c r="F1124" t="s">
        <v>752</v>
      </c>
      <c r="G1124">
        <v>211.78</v>
      </c>
      <c r="H1124">
        <v>250127</v>
      </c>
      <c r="I1124">
        <v>4367</v>
      </c>
      <c r="J1124" t="s">
        <v>159</v>
      </c>
      <c r="K1124">
        <v>1694.25</v>
      </c>
      <c r="L1124">
        <v>43.03</v>
      </c>
      <c r="M1124">
        <v>16322</v>
      </c>
      <c r="N1124" t="s">
        <v>331</v>
      </c>
      <c r="O1124">
        <v>250129</v>
      </c>
      <c r="P1124">
        <v>168.75</v>
      </c>
    </row>
    <row r="1125" spans="1:16" x14ac:dyDescent="0.25">
      <c r="A1125" t="s">
        <v>3296</v>
      </c>
      <c r="B1125" t="s">
        <v>2931</v>
      </c>
      <c r="C1125">
        <v>843</v>
      </c>
      <c r="D1125" t="str">
        <f>"30462009390 "</f>
        <v xml:space="preserve">30462009390 </v>
      </c>
      <c r="E1125" t="s">
        <v>751</v>
      </c>
      <c r="F1125" t="s">
        <v>752</v>
      </c>
      <c r="G1125">
        <v>423.57</v>
      </c>
      <c r="H1125">
        <v>250127</v>
      </c>
      <c r="I1125">
        <v>4367</v>
      </c>
      <c r="J1125" t="s">
        <v>159</v>
      </c>
      <c r="K1125">
        <v>1694.25</v>
      </c>
      <c r="L1125">
        <v>86.06</v>
      </c>
      <c r="M1125">
        <v>43222</v>
      </c>
      <c r="N1125" t="s">
        <v>95</v>
      </c>
      <c r="O1125">
        <v>250129</v>
      </c>
      <c r="P1125">
        <v>337.51</v>
      </c>
    </row>
    <row r="1126" spans="1:16" x14ac:dyDescent="0.25">
      <c r="A1126" t="s">
        <v>3296</v>
      </c>
      <c r="B1126" t="s">
        <v>2931</v>
      </c>
      <c r="C1126">
        <v>843</v>
      </c>
      <c r="D1126" t="str">
        <f>"30462009390 "</f>
        <v xml:space="preserve">30462009390 </v>
      </c>
      <c r="E1126" t="s">
        <v>751</v>
      </c>
      <c r="F1126" t="s">
        <v>752</v>
      </c>
      <c r="G1126">
        <v>423.56</v>
      </c>
      <c r="H1126">
        <v>250127</v>
      </c>
      <c r="I1126">
        <v>4367</v>
      </c>
      <c r="J1126" t="s">
        <v>159</v>
      </c>
      <c r="K1126">
        <v>1694.25</v>
      </c>
      <c r="L1126">
        <v>86.06</v>
      </c>
      <c r="M1126">
        <v>53222</v>
      </c>
      <c r="N1126" t="s">
        <v>41</v>
      </c>
      <c r="O1126">
        <v>250129</v>
      </c>
      <c r="P1126">
        <v>337.5</v>
      </c>
    </row>
    <row r="1127" spans="1:16" x14ac:dyDescent="0.25">
      <c r="A1127" t="s">
        <v>3296</v>
      </c>
      <c r="B1127" t="s">
        <v>2931</v>
      </c>
      <c r="C1127">
        <v>414</v>
      </c>
      <c r="D1127" t="str">
        <f>"51460       "</f>
        <v xml:space="preserve">51460       </v>
      </c>
      <c r="E1127" t="s">
        <v>499</v>
      </c>
      <c r="F1127" t="s">
        <v>500</v>
      </c>
      <c r="G1127">
        <v>482.3</v>
      </c>
      <c r="H1127">
        <v>250110</v>
      </c>
      <c r="I1127">
        <v>4400</v>
      </c>
      <c r="J1127" t="s">
        <v>162</v>
      </c>
      <c r="K1127">
        <v>482.3</v>
      </c>
      <c r="L1127">
        <v>98</v>
      </c>
      <c r="M1127">
        <v>17523</v>
      </c>
      <c r="N1127" t="s">
        <v>138</v>
      </c>
      <c r="O1127">
        <v>250122</v>
      </c>
      <c r="P1127">
        <v>384.3</v>
      </c>
    </row>
    <row r="1128" spans="1:16" x14ac:dyDescent="0.25">
      <c r="A1128" t="s">
        <v>3296</v>
      </c>
      <c r="B1128" t="s">
        <v>2931</v>
      </c>
      <c r="C1128">
        <v>583</v>
      </c>
      <c r="D1128" t="str">
        <f>"51459       "</f>
        <v xml:space="preserve">51459       </v>
      </c>
      <c r="E1128" t="s">
        <v>499</v>
      </c>
      <c r="F1128" t="s">
        <v>500</v>
      </c>
      <c r="G1128">
        <v>481.1</v>
      </c>
      <c r="H1128">
        <v>250110</v>
      </c>
      <c r="I1128">
        <v>4400</v>
      </c>
      <c r="J1128" t="s">
        <v>162</v>
      </c>
      <c r="K1128">
        <v>481.1</v>
      </c>
      <c r="L1128">
        <v>97.75</v>
      </c>
      <c r="M1128">
        <v>17526</v>
      </c>
      <c r="N1128" t="s">
        <v>141</v>
      </c>
      <c r="O1128">
        <v>250124</v>
      </c>
      <c r="P1128">
        <v>383.35</v>
      </c>
    </row>
    <row r="1129" spans="1:16" x14ac:dyDescent="0.25">
      <c r="A1129" t="s">
        <v>3296</v>
      </c>
      <c r="B1129" t="s">
        <v>2931</v>
      </c>
      <c r="C1129">
        <v>797</v>
      </c>
      <c r="D1129" t="str">
        <f>"51502       "</f>
        <v xml:space="preserve">51502       </v>
      </c>
      <c r="E1129" t="s">
        <v>499</v>
      </c>
      <c r="F1129" t="s">
        <v>500</v>
      </c>
      <c r="G1129">
        <v>365.39</v>
      </c>
      <c r="H1129">
        <v>250117</v>
      </c>
      <c r="I1129">
        <v>4400</v>
      </c>
      <c r="J1129" t="s">
        <v>162</v>
      </c>
      <c r="K1129">
        <v>365.39</v>
      </c>
      <c r="L1129">
        <v>74.239999999999995</v>
      </c>
      <c r="M1129">
        <v>17523</v>
      </c>
      <c r="N1129" t="s">
        <v>138</v>
      </c>
      <c r="O1129">
        <v>250129</v>
      </c>
      <c r="P1129">
        <v>291.14999999999998</v>
      </c>
    </row>
    <row r="1130" spans="1:16" x14ac:dyDescent="0.25">
      <c r="A1130" t="s">
        <v>3296</v>
      </c>
      <c r="B1130" t="s">
        <v>2931</v>
      </c>
      <c r="C1130">
        <v>9951</v>
      </c>
      <c r="D1130" t="str">
        <f>"52759       "</f>
        <v xml:space="preserve">52759       </v>
      </c>
      <c r="E1130" t="s">
        <v>499</v>
      </c>
      <c r="F1130" t="s">
        <v>500</v>
      </c>
      <c r="G1130">
        <v>261.04000000000002</v>
      </c>
      <c r="H1130">
        <v>250731</v>
      </c>
      <c r="I1130">
        <v>4400</v>
      </c>
      <c r="J1130" t="s">
        <v>162</v>
      </c>
      <c r="K1130">
        <v>261.04000000000002</v>
      </c>
      <c r="L1130">
        <v>53.04</v>
      </c>
      <c r="M1130">
        <v>17523</v>
      </c>
      <c r="N1130" t="s">
        <v>138</v>
      </c>
      <c r="O1130">
        <v>250805</v>
      </c>
      <c r="P1130">
        <v>208</v>
      </c>
    </row>
    <row r="1131" spans="1:16" x14ac:dyDescent="0.25">
      <c r="A1131" t="s">
        <v>3296</v>
      </c>
      <c r="B1131" t="s">
        <v>2931</v>
      </c>
      <c r="C1131">
        <v>10330</v>
      </c>
      <c r="D1131" t="str">
        <f>"52817       "</f>
        <v xml:space="preserve">52817       </v>
      </c>
      <c r="E1131" t="s">
        <v>499</v>
      </c>
      <c r="F1131" t="s">
        <v>500</v>
      </c>
      <c r="G1131">
        <v>223.39</v>
      </c>
      <c r="H1131">
        <v>250731</v>
      </c>
      <c r="I1131">
        <v>4400</v>
      </c>
      <c r="J1131" t="s">
        <v>162</v>
      </c>
      <c r="K1131">
        <v>223.39</v>
      </c>
      <c r="L1131">
        <v>45.39</v>
      </c>
      <c r="M1131">
        <v>17523</v>
      </c>
      <c r="N1131" t="s">
        <v>138</v>
      </c>
      <c r="O1131">
        <v>250814</v>
      </c>
      <c r="P1131">
        <v>178</v>
      </c>
    </row>
    <row r="1132" spans="1:16" x14ac:dyDescent="0.25">
      <c r="A1132" t="s">
        <v>3296</v>
      </c>
      <c r="B1132" t="s">
        <v>2931</v>
      </c>
      <c r="C1132">
        <v>542</v>
      </c>
      <c r="D1132" t="str">
        <f>"51473       "</f>
        <v xml:space="preserve">51473       </v>
      </c>
      <c r="E1132" t="s">
        <v>499</v>
      </c>
      <c r="F1132" t="s">
        <v>500</v>
      </c>
      <c r="G1132">
        <v>739.2</v>
      </c>
      <c r="H1132">
        <v>250117</v>
      </c>
      <c r="I1132">
        <v>4580</v>
      </c>
      <c r="J1132" t="s">
        <v>126</v>
      </c>
      <c r="K1132">
        <v>739.2</v>
      </c>
      <c r="L1132">
        <v>150.19999999999999</v>
      </c>
      <c r="M1132">
        <v>17526</v>
      </c>
      <c r="N1132" t="s">
        <v>141</v>
      </c>
      <c r="O1132">
        <v>250123</v>
      </c>
      <c r="P1132">
        <v>589</v>
      </c>
    </row>
    <row r="1133" spans="1:16" x14ac:dyDescent="0.25">
      <c r="A1133" t="s">
        <v>3296</v>
      </c>
      <c r="B1133" t="s">
        <v>2931</v>
      </c>
      <c r="C1133">
        <v>5317</v>
      </c>
      <c r="D1133" t="str">
        <f>"52148       "</f>
        <v xml:space="preserve">52148       </v>
      </c>
      <c r="E1133" t="s">
        <v>499</v>
      </c>
      <c r="F1133" t="s">
        <v>500</v>
      </c>
      <c r="G1133">
        <v>135.54</v>
      </c>
      <c r="H1133">
        <v>250411</v>
      </c>
      <c r="I1133">
        <v>4580</v>
      </c>
      <c r="J1133" t="s">
        <v>126</v>
      </c>
      <c r="K1133">
        <v>135.54</v>
      </c>
      <c r="L1133">
        <v>27.54</v>
      </c>
      <c r="M1133">
        <v>46556</v>
      </c>
      <c r="N1133" t="s">
        <v>458</v>
      </c>
      <c r="O1133">
        <v>250423</v>
      </c>
      <c r="P1133">
        <v>108</v>
      </c>
    </row>
    <row r="1134" spans="1:16" x14ac:dyDescent="0.25">
      <c r="A1134" t="s">
        <v>3296</v>
      </c>
      <c r="B1134" t="s">
        <v>2931</v>
      </c>
      <c r="C1134">
        <v>3915</v>
      </c>
      <c r="D1134" t="str">
        <f>"85365       "</f>
        <v xml:space="preserve">85365       </v>
      </c>
      <c r="E1134" t="s">
        <v>1529</v>
      </c>
      <c r="G1134">
        <v>2670.36</v>
      </c>
      <c r="H1134">
        <v>250301</v>
      </c>
      <c r="I1134">
        <v>4600</v>
      </c>
      <c r="J1134" t="s">
        <v>278</v>
      </c>
      <c r="K1134">
        <v>2670.36</v>
      </c>
      <c r="L1134">
        <v>0</v>
      </c>
      <c r="M1134">
        <v>44222</v>
      </c>
      <c r="N1134" t="s">
        <v>96</v>
      </c>
      <c r="O1134">
        <v>250404</v>
      </c>
      <c r="P1134">
        <v>2670.36</v>
      </c>
    </row>
    <row r="1135" spans="1:16" x14ac:dyDescent="0.25">
      <c r="A1135" t="s">
        <v>3296</v>
      </c>
      <c r="B1135" t="s">
        <v>2931</v>
      </c>
      <c r="C1135">
        <v>635</v>
      </c>
      <c r="D1135" t="str">
        <f>"1250100010  "</f>
        <v xml:space="preserve">1250100010  </v>
      </c>
      <c r="E1135" t="s">
        <v>447</v>
      </c>
      <c r="F1135" t="s">
        <v>448</v>
      </c>
      <c r="G1135">
        <v>259.79000000000002</v>
      </c>
      <c r="H1135">
        <v>250120</v>
      </c>
      <c r="I1135">
        <v>4500</v>
      </c>
      <c r="J1135" t="s">
        <v>312</v>
      </c>
      <c r="K1135">
        <v>259.79000000000002</v>
      </c>
      <c r="L1135">
        <v>52.79</v>
      </c>
      <c r="M1135">
        <v>17971</v>
      </c>
      <c r="N1135" t="s">
        <v>27</v>
      </c>
      <c r="O1135">
        <v>250124</v>
      </c>
      <c r="P1135">
        <v>207</v>
      </c>
    </row>
    <row r="1136" spans="1:16" x14ac:dyDescent="0.25">
      <c r="A1136" t="s">
        <v>3296</v>
      </c>
      <c r="B1136" t="s">
        <v>2931</v>
      </c>
      <c r="C1136">
        <v>17628</v>
      </c>
      <c r="D1136" t="str">
        <f>"1251200010  "</f>
        <v xml:space="preserve">1251200010  </v>
      </c>
      <c r="E1136" t="s">
        <v>447</v>
      </c>
      <c r="F1136" t="s">
        <v>448</v>
      </c>
      <c r="G1136">
        <v>3702.25</v>
      </c>
      <c r="H1136">
        <v>251217</v>
      </c>
      <c r="I1136">
        <v>4500</v>
      </c>
      <c r="J1136" t="s">
        <v>312</v>
      </c>
      <c r="K1136">
        <v>14599.42</v>
      </c>
      <c r="L1136">
        <v>752.25</v>
      </c>
      <c r="M1136">
        <v>11301</v>
      </c>
      <c r="N1136" t="s">
        <v>92</v>
      </c>
      <c r="O1136">
        <v>251223</v>
      </c>
      <c r="P1136">
        <v>2950</v>
      </c>
    </row>
    <row r="1137" spans="1:16" x14ac:dyDescent="0.25">
      <c r="A1137" t="s">
        <v>3296</v>
      </c>
      <c r="B1137" t="s">
        <v>2931</v>
      </c>
      <c r="C1137">
        <v>9405</v>
      </c>
      <c r="D1137" t="str">
        <f>"1250600004  "</f>
        <v xml:space="preserve">1250600004  </v>
      </c>
      <c r="E1137" t="s">
        <v>447</v>
      </c>
      <c r="F1137" t="s">
        <v>448</v>
      </c>
      <c r="G1137">
        <v>2530.08</v>
      </c>
      <c r="H1137">
        <v>250603</v>
      </c>
      <c r="I1137">
        <v>4520</v>
      </c>
      <c r="J1137" t="s">
        <v>280</v>
      </c>
      <c r="K1137">
        <v>2530.08</v>
      </c>
      <c r="L1137">
        <v>514.08000000000004</v>
      </c>
      <c r="M1137">
        <v>11301</v>
      </c>
      <c r="N1137" t="s">
        <v>92</v>
      </c>
      <c r="O1137">
        <v>250707</v>
      </c>
      <c r="P1137">
        <v>2016</v>
      </c>
    </row>
    <row r="1138" spans="1:16" x14ac:dyDescent="0.25">
      <c r="A1138" t="s">
        <v>3296</v>
      </c>
      <c r="B1138" t="s">
        <v>2931</v>
      </c>
      <c r="C1138">
        <v>17628</v>
      </c>
      <c r="D1138" t="str">
        <f>"1251200010  "</f>
        <v xml:space="preserve">1251200010  </v>
      </c>
      <c r="E1138" t="s">
        <v>447</v>
      </c>
      <c r="F1138" t="s">
        <v>448</v>
      </c>
      <c r="G1138">
        <v>3005.73</v>
      </c>
      <c r="H1138">
        <v>251217</v>
      </c>
      <c r="I1138">
        <v>4520</v>
      </c>
      <c r="J1138" t="s">
        <v>280</v>
      </c>
      <c r="K1138">
        <v>14599.42</v>
      </c>
      <c r="L1138">
        <v>610.73</v>
      </c>
      <c r="M1138">
        <v>11301</v>
      </c>
      <c r="N1138" t="s">
        <v>92</v>
      </c>
      <c r="O1138">
        <v>251223</v>
      </c>
      <c r="P1138">
        <v>2395</v>
      </c>
    </row>
    <row r="1139" spans="1:16" x14ac:dyDescent="0.25">
      <c r="A1139" t="s">
        <v>3296</v>
      </c>
      <c r="B1139" t="s">
        <v>2931</v>
      </c>
      <c r="C1139">
        <v>350</v>
      </c>
      <c r="D1139" t="str">
        <f>"1250100007  "</f>
        <v xml:space="preserve">1250100007  </v>
      </c>
      <c r="E1139" t="s">
        <v>447</v>
      </c>
      <c r="F1139" t="s">
        <v>448</v>
      </c>
      <c r="G1139">
        <v>2974.35</v>
      </c>
      <c r="H1139">
        <v>250115</v>
      </c>
      <c r="I1139">
        <v>4600</v>
      </c>
      <c r="J1139" t="s">
        <v>278</v>
      </c>
      <c r="K1139">
        <v>2974.35</v>
      </c>
      <c r="L1139">
        <v>604.35</v>
      </c>
      <c r="M1139">
        <v>11301</v>
      </c>
      <c r="N1139" t="s">
        <v>92</v>
      </c>
      <c r="O1139">
        <v>250122</v>
      </c>
      <c r="P1139">
        <v>2370</v>
      </c>
    </row>
    <row r="1140" spans="1:16" x14ac:dyDescent="0.25">
      <c r="A1140" t="s">
        <v>3296</v>
      </c>
      <c r="B1140" t="s">
        <v>2931</v>
      </c>
      <c r="C1140">
        <v>687</v>
      </c>
      <c r="D1140" t="str">
        <f>"1250100012  "</f>
        <v xml:space="preserve">1250100012  </v>
      </c>
      <c r="E1140" t="s">
        <v>447</v>
      </c>
      <c r="F1140" t="s">
        <v>448</v>
      </c>
      <c r="G1140">
        <v>2620.44</v>
      </c>
      <c r="H1140">
        <v>250124</v>
      </c>
      <c r="I1140">
        <v>4600</v>
      </c>
      <c r="J1140" t="s">
        <v>278</v>
      </c>
      <c r="K1140">
        <v>2620.44</v>
      </c>
      <c r="L1140">
        <v>532.44000000000005</v>
      </c>
      <c r="M1140">
        <v>11301</v>
      </c>
      <c r="N1140" t="s">
        <v>92</v>
      </c>
      <c r="O1140">
        <v>250127</v>
      </c>
      <c r="P1140">
        <v>2088</v>
      </c>
    </row>
    <row r="1141" spans="1:16" x14ac:dyDescent="0.25">
      <c r="A1141" t="s">
        <v>3296</v>
      </c>
      <c r="B1141" t="s">
        <v>2931</v>
      </c>
      <c r="C1141">
        <v>1100</v>
      </c>
      <c r="D1141" t="str">
        <f>"1250100019  "</f>
        <v xml:space="preserve">1250100019  </v>
      </c>
      <c r="E1141" t="s">
        <v>447</v>
      </c>
      <c r="F1141" t="s">
        <v>448</v>
      </c>
      <c r="G1141">
        <v>4540.59</v>
      </c>
      <c r="H1141">
        <v>250131</v>
      </c>
      <c r="I1141">
        <v>4600</v>
      </c>
      <c r="J1141" t="s">
        <v>278</v>
      </c>
      <c r="K1141">
        <v>4540.59</v>
      </c>
      <c r="L1141">
        <v>922.59</v>
      </c>
      <c r="M1141">
        <v>11301</v>
      </c>
      <c r="N1141" t="s">
        <v>92</v>
      </c>
      <c r="O1141">
        <v>250204</v>
      </c>
      <c r="P1141">
        <v>3618</v>
      </c>
    </row>
    <row r="1142" spans="1:16" x14ac:dyDescent="0.25">
      <c r="A1142" t="s">
        <v>3296</v>
      </c>
      <c r="B1142" t="s">
        <v>2931</v>
      </c>
      <c r="C1142">
        <v>17628</v>
      </c>
      <c r="D1142" t="str">
        <f>"1251200010  "</f>
        <v xml:space="preserve">1251200010  </v>
      </c>
      <c r="E1142" t="s">
        <v>447</v>
      </c>
      <c r="F1142" t="s">
        <v>448</v>
      </c>
      <c r="G1142">
        <v>7891.44</v>
      </c>
      <c r="H1142">
        <v>251217</v>
      </c>
      <c r="I1142">
        <v>4600</v>
      </c>
      <c r="J1142" t="s">
        <v>278</v>
      </c>
      <c r="K1142">
        <v>14599.42</v>
      </c>
      <c r="L1142">
        <v>1603.44</v>
      </c>
      <c r="M1142">
        <v>11301</v>
      </c>
      <c r="N1142" t="s">
        <v>92</v>
      </c>
      <c r="O1142">
        <v>251223</v>
      </c>
      <c r="P1142">
        <v>6288</v>
      </c>
    </row>
    <row r="1143" spans="1:16" x14ac:dyDescent="0.25">
      <c r="A1143" t="s">
        <v>3296</v>
      </c>
      <c r="B1143" t="s">
        <v>2931</v>
      </c>
      <c r="C1143">
        <v>6703</v>
      </c>
      <c r="D1143" t="str">
        <f>"8319/484    "</f>
        <v xml:space="preserve">8319/484    </v>
      </c>
      <c r="E1143" t="s">
        <v>3250</v>
      </c>
      <c r="F1143" t="s">
        <v>3251</v>
      </c>
      <c r="G1143">
        <v>76</v>
      </c>
      <c r="H1143">
        <v>250509</v>
      </c>
      <c r="I1143">
        <v>4410</v>
      </c>
      <c r="J1143" t="s">
        <v>165</v>
      </c>
      <c r="K1143">
        <v>76</v>
      </c>
      <c r="L1143">
        <v>0</v>
      </c>
      <c r="M1143">
        <v>11941</v>
      </c>
      <c r="N1143" t="s">
        <v>426</v>
      </c>
      <c r="O1143">
        <v>250515</v>
      </c>
      <c r="P1143">
        <v>76</v>
      </c>
    </row>
    <row r="1144" spans="1:16" x14ac:dyDescent="0.25">
      <c r="A1144" t="s">
        <v>3296</v>
      </c>
      <c r="B1144" t="s">
        <v>2931</v>
      </c>
      <c r="C1144">
        <v>5669</v>
      </c>
      <c r="D1144" t="str">
        <f>"roforma 1308"</f>
        <v>roforma 1308</v>
      </c>
      <c r="E1144" t="s">
        <v>3241</v>
      </c>
      <c r="F1144" t="s">
        <v>3242</v>
      </c>
      <c r="G1144">
        <v>2290</v>
      </c>
      <c r="H1144">
        <v>250422</v>
      </c>
      <c r="I1144">
        <v>4410</v>
      </c>
      <c r="J1144" t="s">
        <v>165</v>
      </c>
      <c r="K1144">
        <v>2290</v>
      </c>
      <c r="L1144">
        <v>0</v>
      </c>
      <c r="M1144">
        <v>11941</v>
      </c>
      <c r="N1144" t="s">
        <v>426</v>
      </c>
      <c r="O1144">
        <v>250428</v>
      </c>
      <c r="P1144">
        <v>2290</v>
      </c>
    </row>
    <row r="1145" spans="1:16" x14ac:dyDescent="0.25">
      <c r="A1145" t="s">
        <v>3296</v>
      </c>
      <c r="B1145" t="s">
        <v>2931</v>
      </c>
      <c r="C1145">
        <v>744</v>
      </c>
      <c r="D1145" t="str">
        <f>"226498      "</f>
        <v xml:space="preserve">226498      </v>
      </c>
      <c r="E1145" t="s">
        <v>706</v>
      </c>
      <c r="F1145" t="s">
        <v>707</v>
      </c>
      <c r="G1145">
        <v>332.22</v>
      </c>
      <c r="H1145">
        <v>250121</v>
      </c>
      <c r="I1145">
        <v>4520</v>
      </c>
      <c r="J1145" t="s">
        <v>280</v>
      </c>
      <c r="K1145">
        <v>344.77</v>
      </c>
      <c r="L1145">
        <v>40.799999999999997</v>
      </c>
      <c r="M1145">
        <v>54422</v>
      </c>
      <c r="N1145" t="s">
        <v>49</v>
      </c>
      <c r="O1145">
        <v>250128</v>
      </c>
      <c r="P1145">
        <v>291.42</v>
      </c>
    </row>
    <row r="1146" spans="1:16" x14ac:dyDescent="0.25">
      <c r="A1146" t="s">
        <v>3296</v>
      </c>
      <c r="B1146" t="s">
        <v>2931</v>
      </c>
      <c r="C1146">
        <v>877</v>
      </c>
      <c r="D1146" t="str">
        <f>"227213      "</f>
        <v xml:space="preserve">227213      </v>
      </c>
      <c r="E1146" t="s">
        <v>706</v>
      </c>
      <c r="F1146" t="s">
        <v>707</v>
      </c>
      <c r="G1146">
        <v>364.23</v>
      </c>
      <c r="H1146">
        <v>250128</v>
      </c>
      <c r="I1146">
        <v>4520</v>
      </c>
      <c r="J1146" t="s">
        <v>280</v>
      </c>
      <c r="K1146">
        <v>376.78</v>
      </c>
      <c r="L1146">
        <v>44.73</v>
      </c>
      <c r="M1146">
        <v>54422</v>
      </c>
      <c r="N1146" t="s">
        <v>49</v>
      </c>
      <c r="O1146">
        <v>250130</v>
      </c>
      <c r="P1146">
        <v>319.5</v>
      </c>
    </row>
    <row r="1147" spans="1:16" x14ac:dyDescent="0.25">
      <c r="A1147" t="s">
        <v>3296</v>
      </c>
      <c r="B1147" t="s">
        <v>2931</v>
      </c>
      <c r="C1147">
        <v>1039</v>
      </c>
      <c r="D1147" t="str">
        <f>"227451      "</f>
        <v xml:space="preserve">227451      </v>
      </c>
      <c r="E1147" t="s">
        <v>706</v>
      </c>
      <c r="F1147" t="s">
        <v>707</v>
      </c>
      <c r="G1147">
        <v>366.94</v>
      </c>
      <c r="H1147">
        <v>250130</v>
      </c>
      <c r="I1147">
        <v>4520</v>
      </c>
      <c r="J1147" t="s">
        <v>280</v>
      </c>
      <c r="K1147">
        <v>379.49</v>
      </c>
      <c r="L1147">
        <v>45.06</v>
      </c>
      <c r="M1147">
        <v>54422</v>
      </c>
      <c r="N1147" t="s">
        <v>49</v>
      </c>
      <c r="O1147">
        <v>250203</v>
      </c>
      <c r="P1147">
        <v>321.88</v>
      </c>
    </row>
    <row r="1148" spans="1:16" x14ac:dyDescent="0.25">
      <c r="A1148" t="s">
        <v>3296</v>
      </c>
      <c r="B1148" t="s">
        <v>2931</v>
      </c>
      <c r="C1148">
        <v>3560</v>
      </c>
      <c r="D1148" t="str">
        <f>"230909      "</f>
        <v xml:space="preserve">230909      </v>
      </c>
      <c r="E1148" t="s">
        <v>706</v>
      </c>
      <c r="F1148" t="s">
        <v>707</v>
      </c>
      <c r="G1148">
        <v>15.06</v>
      </c>
      <c r="H1148">
        <v>250306</v>
      </c>
      <c r="I1148">
        <v>4520</v>
      </c>
      <c r="J1148" t="s">
        <v>280</v>
      </c>
      <c r="K1148">
        <v>918.54</v>
      </c>
      <c r="L1148">
        <v>3.06</v>
      </c>
      <c r="M1148">
        <v>54451</v>
      </c>
      <c r="N1148" t="s">
        <v>218</v>
      </c>
      <c r="O1148">
        <v>250325</v>
      </c>
      <c r="P1148">
        <v>12</v>
      </c>
    </row>
    <row r="1149" spans="1:16" x14ac:dyDescent="0.25">
      <c r="A1149" t="s">
        <v>3296</v>
      </c>
      <c r="B1149" t="s">
        <v>2931</v>
      </c>
      <c r="C1149">
        <v>3560</v>
      </c>
      <c r="D1149" t="str">
        <f>"230909      "</f>
        <v xml:space="preserve">230909      </v>
      </c>
      <c r="E1149" t="s">
        <v>706</v>
      </c>
      <c r="F1149" t="s">
        <v>707</v>
      </c>
      <c r="G1149">
        <v>903.48</v>
      </c>
      <c r="H1149">
        <v>250306</v>
      </c>
      <c r="I1149">
        <v>4520</v>
      </c>
      <c r="J1149" t="s">
        <v>280</v>
      </c>
      <c r="K1149">
        <v>918.54</v>
      </c>
      <c r="L1149">
        <v>110.95</v>
      </c>
      <c r="M1149">
        <v>54451</v>
      </c>
      <c r="N1149" t="s">
        <v>218</v>
      </c>
      <c r="O1149">
        <v>250325</v>
      </c>
      <c r="P1149">
        <v>792.53</v>
      </c>
    </row>
    <row r="1150" spans="1:16" x14ac:dyDescent="0.25">
      <c r="A1150" t="s">
        <v>3296</v>
      </c>
      <c r="B1150" t="s">
        <v>2931</v>
      </c>
      <c r="C1150">
        <v>5293</v>
      </c>
      <c r="D1150" t="str">
        <f>"233672      "</f>
        <v xml:space="preserve">233672      </v>
      </c>
      <c r="E1150" t="s">
        <v>706</v>
      </c>
      <c r="F1150" t="s">
        <v>707</v>
      </c>
      <c r="G1150">
        <v>353.51</v>
      </c>
      <c r="H1150">
        <v>250403</v>
      </c>
      <c r="I1150">
        <v>4520</v>
      </c>
      <c r="J1150" t="s">
        <v>280</v>
      </c>
      <c r="K1150">
        <v>368.57</v>
      </c>
      <c r="L1150">
        <v>43.41</v>
      </c>
      <c r="M1150">
        <v>54451</v>
      </c>
      <c r="N1150" t="s">
        <v>218</v>
      </c>
      <c r="O1150">
        <v>250423</v>
      </c>
      <c r="P1150">
        <v>310.10000000000002</v>
      </c>
    </row>
    <row r="1151" spans="1:16" x14ac:dyDescent="0.25">
      <c r="A1151" t="s">
        <v>3296</v>
      </c>
      <c r="B1151" t="s">
        <v>2931</v>
      </c>
      <c r="C1151">
        <v>10278</v>
      </c>
      <c r="D1151" t="str">
        <f>"245221      "</f>
        <v xml:space="preserve">245221      </v>
      </c>
      <c r="E1151" t="s">
        <v>706</v>
      </c>
      <c r="F1151" t="s">
        <v>707</v>
      </c>
      <c r="G1151">
        <v>346.79</v>
      </c>
      <c r="H1151">
        <v>250807</v>
      </c>
      <c r="I1151">
        <v>4520</v>
      </c>
      <c r="J1151" t="s">
        <v>280</v>
      </c>
      <c r="K1151">
        <v>361.85</v>
      </c>
      <c r="L1151">
        <v>42.59</v>
      </c>
      <c r="M1151">
        <v>54422</v>
      </c>
      <c r="N1151" t="s">
        <v>49</v>
      </c>
      <c r="O1151">
        <v>250813</v>
      </c>
      <c r="P1151">
        <v>304.2</v>
      </c>
    </row>
    <row r="1152" spans="1:16" x14ac:dyDescent="0.25">
      <c r="A1152" t="s">
        <v>3296</v>
      </c>
      <c r="B1152" t="s">
        <v>2931</v>
      </c>
      <c r="C1152">
        <v>10618</v>
      </c>
      <c r="D1152" t="str">
        <f>"245890      "</f>
        <v xml:space="preserve">245890      </v>
      </c>
      <c r="E1152" t="s">
        <v>706</v>
      </c>
      <c r="F1152" t="s">
        <v>707</v>
      </c>
      <c r="G1152">
        <v>384.37</v>
      </c>
      <c r="H1152">
        <v>250814</v>
      </c>
      <c r="I1152">
        <v>4520</v>
      </c>
      <c r="J1152" t="s">
        <v>280</v>
      </c>
      <c r="K1152">
        <v>399.43</v>
      </c>
      <c r="L1152">
        <v>47.2</v>
      </c>
      <c r="M1152">
        <v>54422</v>
      </c>
      <c r="N1152" t="s">
        <v>49</v>
      </c>
      <c r="O1152">
        <v>250820</v>
      </c>
      <c r="P1152">
        <v>337.17</v>
      </c>
    </row>
    <row r="1153" spans="1:16" x14ac:dyDescent="0.25">
      <c r="A1153" t="s">
        <v>3296</v>
      </c>
      <c r="B1153" t="s">
        <v>2931</v>
      </c>
      <c r="C1153">
        <v>11178</v>
      </c>
      <c r="D1153" t="str">
        <f>"246983      "</f>
        <v xml:space="preserve">246983      </v>
      </c>
      <c r="E1153" t="s">
        <v>706</v>
      </c>
      <c r="F1153" t="s">
        <v>707</v>
      </c>
      <c r="G1153">
        <v>367.23</v>
      </c>
      <c r="H1153">
        <v>250826</v>
      </c>
      <c r="I1153">
        <v>4520</v>
      </c>
      <c r="J1153" t="s">
        <v>280</v>
      </c>
      <c r="K1153">
        <v>382.29</v>
      </c>
      <c r="L1153">
        <v>45.1</v>
      </c>
      <c r="M1153">
        <v>54422</v>
      </c>
      <c r="N1153" t="s">
        <v>49</v>
      </c>
      <c r="O1153">
        <v>250901</v>
      </c>
      <c r="P1153">
        <v>322.13</v>
      </c>
    </row>
    <row r="1154" spans="1:16" x14ac:dyDescent="0.25">
      <c r="A1154" t="s">
        <v>3296</v>
      </c>
      <c r="B1154" t="s">
        <v>2931</v>
      </c>
      <c r="C1154">
        <v>11489</v>
      </c>
      <c r="D1154" t="str">
        <f>"247698      "</f>
        <v xml:space="preserve">247698      </v>
      </c>
      <c r="E1154" t="s">
        <v>706</v>
      </c>
      <c r="F1154" t="s">
        <v>707</v>
      </c>
      <c r="G1154">
        <v>352.81</v>
      </c>
      <c r="H1154">
        <v>250902</v>
      </c>
      <c r="I1154">
        <v>4520</v>
      </c>
      <c r="J1154" t="s">
        <v>280</v>
      </c>
      <c r="K1154">
        <v>367.87</v>
      </c>
      <c r="L1154">
        <v>43.33</v>
      </c>
      <c r="M1154">
        <v>54422</v>
      </c>
      <c r="N1154" t="s">
        <v>49</v>
      </c>
      <c r="O1154">
        <v>250905</v>
      </c>
      <c r="P1154">
        <v>309.48</v>
      </c>
    </row>
    <row r="1155" spans="1:16" x14ac:dyDescent="0.25">
      <c r="A1155" t="s">
        <v>3296</v>
      </c>
      <c r="B1155" t="s">
        <v>2931</v>
      </c>
      <c r="C1155">
        <v>13835</v>
      </c>
      <c r="D1155" t="str">
        <f>"250810      "</f>
        <v xml:space="preserve">250810      </v>
      </c>
      <c r="E1155" t="s">
        <v>706</v>
      </c>
      <c r="F1155" t="s">
        <v>707</v>
      </c>
      <c r="G1155">
        <v>630.75</v>
      </c>
      <c r="H1155">
        <v>251006</v>
      </c>
      <c r="I1155">
        <v>4520</v>
      </c>
      <c r="J1155" t="s">
        <v>280</v>
      </c>
      <c r="K1155">
        <v>645.80999999999995</v>
      </c>
      <c r="L1155">
        <v>77.459999999999994</v>
      </c>
      <c r="M1155">
        <v>54422</v>
      </c>
      <c r="N1155" t="s">
        <v>49</v>
      </c>
      <c r="O1155">
        <v>251020</v>
      </c>
      <c r="P1155">
        <v>553.29</v>
      </c>
    </row>
    <row r="1156" spans="1:16" x14ac:dyDescent="0.25">
      <c r="A1156" t="s">
        <v>3296</v>
      </c>
      <c r="B1156" t="s">
        <v>2931</v>
      </c>
      <c r="C1156">
        <v>13875</v>
      </c>
      <c r="D1156" t="str">
        <f>"250964      "</f>
        <v xml:space="preserve">250964      </v>
      </c>
      <c r="E1156" t="s">
        <v>706</v>
      </c>
      <c r="F1156" t="s">
        <v>707</v>
      </c>
      <c r="G1156">
        <v>332.29</v>
      </c>
      <c r="H1156">
        <v>251007</v>
      </c>
      <c r="I1156">
        <v>4520</v>
      </c>
      <c r="J1156" t="s">
        <v>280</v>
      </c>
      <c r="K1156">
        <v>347.35</v>
      </c>
      <c r="L1156">
        <v>40.81</v>
      </c>
      <c r="M1156">
        <v>54451</v>
      </c>
      <c r="N1156" t="s">
        <v>218</v>
      </c>
      <c r="O1156">
        <v>251020</v>
      </c>
      <c r="P1156">
        <v>291.48</v>
      </c>
    </row>
    <row r="1157" spans="1:16" x14ac:dyDescent="0.25">
      <c r="A1157" t="s">
        <v>3296</v>
      </c>
      <c r="B1157" t="s">
        <v>2931</v>
      </c>
      <c r="C1157">
        <v>14162</v>
      </c>
      <c r="D1157" t="str">
        <f>"252205      "</f>
        <v xml:space="preserve">252205      </v>
      </c>
      <c r="E1157" t="s">
        <v>706</v>
      </c>
      <c r="F1157" t="s">
        <v>707</v>
      </c>
      <c r="G1157">
        <v>272.37</v>
      </c>
      <c r="H1157">
        <v>251021</v>
      </c>
      <c r="I1157">
        <v>4520</v>
      </c>
      <c r="J1157" t="s">
        <v>280</v>
      </c>
      <c r="K1157">
        <v>287.43</v>
      </c>
      <c r="L1157">
        <v>33.450000000000003</v>
      </c>
      <c r="M1157">
        <v>54451</v>
      </c>
      <c r="N1157" t="s">
        <v>218</v>
      </c>
      <c r="O1157">
        <v>251024</v>
      </c>
      <c r="P1157">
        <v>238.92</v>
      </c>
    </row>
    <row r="1158" spans="1:16" x14ac:dyDescent="0.25">
      <c r="A1158" t="s">
        <v>3296</v>
      </c>
      <c r="B1158" t="s">
        <v>2931</v>
      </c>
      <c r="C1158">
        <v>15501</v>
      </c>
      <c r="D1158" t="str">
        <f>"253944      "</f>
        <v xml:space="preserve">253944      </v>
      </c>
      <c r="E1158" t="s">
        <v>706</v>
      </c>
      <c r="F1158" t="s">
        <v>707</v>
      </c>
      <c r="G1158">
        <v>351.55</v>
      </c>
      <c r="H1158">
        <v>251111</v>
      </c>
      <c r="I1158">
        <v>4520</v>
      </c>
      <c r="J1158" t="s">
        <v>280</v>
      </c>
      <c r="K1158">
        <v>366.61</v>
      </c>
      <c r="L1158">
        <v>43.17</v>
      </c>
      <c r="M1158">
        <v>54451</v>
      </c>
      <c r="N1158" t="s">
        <v>218</v>
      </c>
      <c r="O1158">
        <v>251121</v>
      </c>
      <c r="P1158">
        <v>308.38</v>
      </c>
    </row>
    <row r="1159" spans="1:16" x14ac:dyDescent="0.25">
      <c r="A1159" t="s">
        <v>3296</v>
      </c>
      <c r="B1159" t="s">
        <v>2931</v>
      </c>
      <c r="C1159">
        <v>15659</v>
      </c>
      <c r="D1159" t="str">
        <f>"254551      "</f>
        <v xml:space="preserve">254551      </v>
      </c>
      <c r="E1159" t="s">
        <v>706</v>
      </c>
      <c r="F1159" t="s">
        <v>707</v>
      </c>
      <c r="G1159">
        <v>411.24</v>
      </c>
      <c r="H1159">
        <v>251118</v>
      </c>
      <c r="I1159">
        <v>4520</v>
      </c>
      <c r="J1159" t="s">
        <v>280</v>
      </c>
      <c r="K1159">
        <v>426.3</v>
      </c>
      <c r="L1159">
        <v>50.5</v>
      </c>
      <c r="M1159">
        <v>54451</v>
      </c>
      <c r="N1159" t="s">
        <v>218</v>
      </c>
      <c r="O1159">
        <v>251124</v>
      </c>
      <c r="P1159">
        <v>360.74</v>
      </c>
    </row>
    <row r="1160" spans="1:16" x14ac:dyDescent="0.25">
      <c r="A1160" t="s">
        <v>3296</v>
      </c>
      <c r="B1160" t="s">
        <v>2931</v>
      </c>
      <c r="C1160">
        <v>15905</v>
      </c>
      <c r="D1160" t="str">
        <f>"255369      "</f>
        <v xml:space="preserve">255369      </v>
      </c>
      <c r="E1160" t="s">
        <v>706</v>
      </c>
      <c r="F1160" t="s">
        <v>707</v>
      </c>
      <c r="G1160">
        <v>365.83</v>
      </c>
      <c r="H1160">
        <v>251127</v>
      </c>
      <c r="I1160">
        <v>4520</v>
      </c>
      <c r="J1160" t="s">
        <v>280</v>
      </c>
      <c r="K1160">
        <v>380.89</v>
      </c>
      <c r="L1160">
        <v>44.93</v>
      </c>
      <c r="M1160">
        <v>54451</v>
      </c>
      <c r="N1160" t="s">
        <v>218</v>
      </c>
      <c r="O1160">
        <v>251128</v>
      </c>
      <c r="P1160">
        <v>320.89999999999998</v>
      </c>
    </row>
    <row r="1161" spans="1:16" x14ac:dyDescent="0.25">
      <c r="A1161" t="s">
        <v>3296</v>
      </c>
      <c r="B1161" t="s">
        <v>2931</v>
      </c>
      <c r="C1161">
        <v>17097</v>
      </c>
      <c r="D1161" t="str">
        <f>"256412      "</f>
        <v xml:space="preserve">256412      </v>
      </c>
      <c r="E1161" t="s">
        <v>706</v>
      </c>
      <c r="F1161" t="s">
        <v>707</v>
      </c>
      <c r="G1161">
        <v>241.52</v>
      </c>
      <c r="H1161">
        <v>251209</v>
      </c>
      <c r="I1161">
        <v>4520</v>
      </c>
      <c r="J1161" t="s">
        <v>280</v>
      </c>
      <c r="K1161">
        <v>241.52</v>
      </c>
      <c r="L1161">
        <v>29.66</v>
      </c>
      <c r="M1161">
        <v>54451</v>
      </c>
      <c r="N1161" t="s">
        <v>218</v>
      </c>
      <c r="O1161">
        <v>251217</v>
      </c>
      <c r="P1161">
        <v>211.86</v>
      </c>
    </row>
    <row r="1162" spans="1:16" x14ac:dyDescent="0.25">
      <c r="A1162" t="s">
        <v>3296</v>
      </c>
      <c r="B1162" t="s">
        <v>2931</v>
      </c>
      <c r="C1162">
        <v>17270</v>
      </c>
      <c r="D1162" t="str">
        <f>"256540      "</f>
        <v xml:space="preserve">256540      </v>
      </c>
      <c r="E1162" t="s">
        <v>706</v>
      </c>
      <c r="F1162" t="s">
        <v>707</v>
      </c>
      <c r="G1162">
        <v>52.44</v>
      </c>
      <c r="H1162">
        <v>251210</v>
      </c>
      <c r="I1162">
        <v>4520</v>
      </c>
      <c r="J1162" t="s">
        <v>280</v>
      </c>
      <c r="K1162">
        <v>52.44</v>
      </c>
      <c r="L1162">
        <v>6.44</v>
      </c>
      <c r="M1162">
        <v>54451</v>
      </c>
      <c r="N1162" t="s">
        <v>218</v>
      </c>
      <c r="O1162">
        <v>251218</v>
      </c>
      <c r="P1162">
        <v>46</v>
      </c>
    </row>
    <row r="1163" spans="1:16" x14ac:dyDescent="0.25">
      <c r="A1163" t="s">
        <v>3296</v>
      </c>
      <c r="B1163" t="s">
        <v>2931</v>
      </c>
      <c r="C1163">
        <v>17770</v>
      </c>
      <c r="D1163" t="str">
        <f>"257268      "</f>
        <v xml:space="preserve">257268      </v>
      </c>
      <c r="E1163" t="s">
        <v>706</v>
      </c>
      <c r="F1163" t="s">
        <v>707</v>
      </c>
      <c r="G1163">
        <v>382.81</v>
      </c>
      <c r="H1163">
        <v>251218</v>
      </c>
      <c r="I1163">
        <v>4520</v>
      </c>
      <c r="J1163" t="s">
        <v>280</v>
      </c>
      <c r="K1163">
        <v>397.87</v>
      </c>
      <c r="L1163">
        <v>47.01</v>
      </c>
      <c r="M1163">
        <v>54451</v>
      </c>
      <c r="N1163" t="s">
        <v>218</v>
      </c>
      <c r="O1163">
        <v>251230</v>
      </c>
      <c r="P1163">
        <v>335.8</v>
      </c>
    </row>
    <row r="1164" spans="1:16" x14ac:dyDescent="0.25">
      <c r="A1164" t="s">
        <v>3296</v>
      </c>
      <c r="B1164" t="s">
        <v>2931</v>
      </c>
      <c r="C1164">
        <v>744</v>
      </c>
      <c r="D1164" t="str">
        <f>"226498      "</f>
        <v xml:space="preserve">226498      </v>
      </c>
      <c r="E1164" t="s">
        <v>706</v>
      </c>
      <c r="F1164" t="s">
        <v>707</v>
      </c>
      <c r="G1164">
        <v>12.55</v>
      </c>
      <c r="H1164">
        <v>250121</v>
      </c>
      <c r="I1164">
        <v>4600</v>
      </c>
      <c r="J1164" t="s">
        <v>278</v>
      </c>
      <c r="K1164">
        <v>344.77</v>
      </c>
      <c r="L1164">
        <v>2.5499999999999998</v>
      </c>
      <c r="M1164">
        <v>54451</v>
      </c>
      <c r="N1164" t="s">
        <v>218</v>
      </c>
      <c r="O1164">
        <v>250128</v>
      </c>
      <c r="P1164">
        <v>10</v>
      </c>
    </row>
    <row r="1165" spans="1:16" x14ac:dyDescent="0.25">
      <c r="A1165" t="s">
        <v>3296</v>
      </c>
      <c r="B1165" t="s">
        <v>2931</v>
      </c>
      <c r="C1165">
        <v>877</v>
      </c>
      <c r="D1165" t="str">
        <f>"227213      "</f>
        <v xml:space="preserve">227213      </v>
      </c>
      <c r="E1165" t="s">
        <v>706</v>
      </c>
      <c r="F1165" t="s">
        <v>707</v>
      </c>
      <c r="G1165">
        <v>12.55</v>
      </c>
      <c r="H1165">
        <v>250128</v>
      </c>
      <c r="I1165">
        <v>4600</v>
      </c>
      <c r="J1165" t="s">
        <v>278</v>
      </c>
      <c r="K1165">
        <v>376.78</v>
      </c>
      <c r="L1165">
        <v>2.5499999999999998</v>
      </c>
      <c r="M1165">
        <v>54451</v>
      </c>
      <c r="N1165" t="s">
        <v>218</v>
      </c>
      <c r="O1165">
        <v>250130</v>
      </c>
      <c r="P1165">
        <v>10</v>
      </c>
    </row>
    <row r="1166" spans="1:16" x14ac:dyDescent="0.25">
      <c r="A1166" t="s">
        <v>3296</v>
      </c>
      <c r="B1166" t="s">
        <v>2931</v>
      </c>
      <c r="C1166">
        <v>1039</v>
      </c>
      <c r="D1166" t="str">
        <f>"227451      "</f>
        <v xml:space="preserve">227451      </v>
      </c>
      <c r="E1166" t="s">
        <v>706</v>
      </c>
      <c r="F1166" t="s">
        <v>707</v>
      </c>
      <c r="G1166">
        <v>12.55</v>
      </c>
      <c r="H1166">
        <v>250130</v>
      </c>
      <c r="I1166">
        <v>4600</v>
      </c>
      <c r="J1166" t="s">
        <v>278</v>
      </c>
      <c r="K1166">
        <v>379.49</v>
      </c>
      <c r="L1166">
        <v>2.5499999999999998</v>
      </c>
      <c r="M1166">
        <v>54451</v>
      </c>
      <c r="N1166" t="s">
        <v>218</v>
      </c>
      <c r="O1166">
        <v>250203</v>
      </c>
      <c r="P1166">
        <v>10</v>
      </c>
    </row>
    <row r="1167" spans="1:16" x14ac:dyDescent="0.25">
      <c r="A1167" t="s">
        <v>3296</v>
      </c>
      <c r="B1167" t="s">
        <v>2931</v>
      </c>
      <c r="C1167">
        <v>5293</v>
      </c>
      <c r="D1167" t="str">
        <f>"233672      "</f>
        <v xml:space="preserve">233672      </v>
      </c>
      <c r="E1167" t="s">
        <v>706</v>
      </c>
      <c r="F1167" t="s">
        <v>707</v>
      </c>
      <c r="G1167">
        <v>15.06</v>
      </c>
      <c r="H1167">
        <v>250403</v>
      </c>
      <c r="I1167">
        <v>4600</v>
      </c>
      <c r="J1167" t="s">
        <v>278</v>
      </c>
      <c r="K1167">
        <v>368.57</v>
      </c>
      <c r="L1167">
        <v>3.06</v>
      </c>
      <c r="M1167">
        <v>54451</v>
      </c>
      <c r="N1167" t="s">
        <v>218</v>
      </c>
      <c r="O1167">
        <v>250423</v>
      </c>
      <c r="P1167">
        <v>12</v>
      </c>
    </row>
    <row r="1168" spans="1:16" x14ac:dyDescent="0.25">
      <c r="A1168" t="s">
        <v>3296</v>
      </c>
      <c r="B1168" t="s">
        <v>2931</v>
      </c>
      <c r="C1168">
        <v>10278</v>
      </c>
      <c r="D1168" t="str">
        <f>"245221      "</f>
        <v xml:space="preserve">245221      </v>
      </c>
      <c r="E1168" t="s">
        <v>706</v>
      </c>
      <c r="F1168" t="s">
        <v>707</v>
      </c>
      <c r="G1168">
        <v>15.06</v>
      </c>
      <c r="H1168">
        <v>250807</v>
      </c>
      <c r="I1168">
        <v>4600</v>
      </c>
      <c r="J1168" t="s">
        <v>278</v>
      </c>
      <c r="K1168">
        <v>361.85</v>
      </c>
      <c r="L1168">
        <v>3.06</v>
      </c>
      <c r="M1168">
        <v>54451</v>
      </c>
      <c r="N1168" t="s">
        <v>218</v>
      </c>
      <c r="O1168">
        <v>250813</v>
      </c>
      <c r="P1168">
        <v>12</v>
      </c>
    </row>
    <row r="1169" spans="1:16" x14ac:dyDescent="0.25">
      <c r="A1169" t="s">
        <v>3296</v>
      </c>
      <c r="B1169" t="s">
        <v>2931</v>
      </c>
      <c r="C1169">
        <v>10618</v>
      </c>
      <c r="D1169" t="str">
        <f>"245890      "</f>
        <v xml:space="preserve">245890      </v>
      </c>
      <c r="E1169" t="s">
        <v>706</v>
      </c>
      <c r="F1169" t="s">
        <v>707</v>
      </c>
      <c r="G1169">
        <v>15.06</v>
      </c>
      <c r="H1169">
        <v>250814</v>
      </c>
      <c r="I1169">
        <v>4600</v>
      </c>
      <c r="J1169" t="s">
        <v>278</v>
      </c>
      <c r="K1169">
        <v>399.43</v>
      </c>
      <c r="L1169">
        <v>3.06</v>
      </c>
      <c r="M1169">
        <v>54451</v>
      </c>
      <c r="N1169" t="s">
        <v>218</v>
      </c>
      <c r="O1169">
        <v>250820</v>
      </c>
      <c r="P1169">
        <v>12</v>
      </c>
    </row>
    <row r="1170" spans="1:16" x14ac:dyDescent="0.25">
      <c r="A1170" t="s">
        <v>3296</v>
      </c>
      <c r="B1170" t="s">
        <v>2931</v>
      </c>
      <c r="C1170">
        <v>11178</v>
      </c>
      <c r="D1170" t="str">
        <f>"246983      "</f>
        <v xml:space="preserve">246983      </v>
      </c>
      <c r="E1170" t="s">
        <v>706</v>
      </c>
      <c r="F1170" t="s">
        <v>707</v>
      </c>
      <c r="G1170">
        <v>15.06</v>
      </c>
      <c r="H1170">
        <v>250826</v>
      </c>
      <c r="I1170">
        <v>4600</v>
      </c>
      <c r="J1170" t="s">
        <v>278</v>
      </c>
      <c r="K1170">
        <v>382.29</v>
      </c>
      <c r="L1170">
        <v>3.06</v>
      </c>
      <c r="M1170">
        <v>54451</v>
      </c>
      <c r="N1170" t="s">
        <v>218</v>
      </c>
      <c r="O1170">
        <v>250901</v>
      </c>
      <c r="P1170">
        <v>12</v>
      </c>
    </row>
    <row r="1171" spans="1:16" x14ac:dyDescent="0.25">
      <c r="A1171" t="s">
        <v>3296</v>
      </c>
      <c r="B1171" t="s">
        <v>2931</v>
      </c>
      <c r="C1171">
        <v>11489</v>
      </c>
      <c r="D1171" t="str">
        <f>"247698      "</f>
        <v xml:space="preserve">247698      </v>
      </c>
      <c r="E1171" t="s">
        <v>706</v>
      </c>
      <c r="F1171" t="s">
        <v>707</v>
      </c>
      <c r="G1171">
        <v>15.06</v>
      </c>
      <c r="H1171">
        <v>250902</v>
      </c>
      <c r="I1171">
        <v>4600</v>
      </c>
      <c r="J1171" t="s">
        <v>278</v>
      </c>
      <c r="K1171">
        <v>367.87</v>
      </c>
      <c r="L1171">
        <v>3.06</v>
      </c>
      <c r="M1171">
        <v>54451</v>
      </c>
      <c r="N1171" t="s">
        <v>218</v>
      </c>
      <c r="O1171">
        <v>250905</v>
      </c>
      <c r="P1171">
        <v>12</v>
      </c>
    </row>
    <row r="1172" spans="1:16" x14ac:dyDescent="0.25">
      <c r="A1172" t="s">
        <v>3296</v>
      </c>
      <c r="B1172" t="s">
        <v>2931</v>
      </c>
      <c r="C1172">
        <v>13835</v>
      </c>
      <c r="D1172" t="str">
        <f>"250810      "</f>
        <v xml:space="preserve">250810      </v>
      </c>
      <c r="E1172" t="s">
        <v>706</v>
      </c>
      <c r="F1172" t="s">
        <v>707</v>
      </c>
      <c r="G1172">
        <v>15.06</v>
      </c>
      <c r="H1172">
        <v>251006</v>
      </c>
      <c r="I1172">
        <v>4600</v>
      </c>
      <c r="J1172" t="s">
        <v>278</v>
      </c>
      <c r="K1172">
        <v>645.80999999999995</v>
      </c>
      <c r="L1172">
        <v>3.06</v>
      </c>
      <c r="M1172">
        <v>54451</v>
      </c>
      <c r="N1172" t="s">
        <v>218</v>
      </c>
      <c r="O1172">
        <v>251020</v>
      </c>
      <c r="P1172">
        <v>12</v>
      </c>
    </row>
    <row r="1173" spans="1:16" x14ac:dyDescent="0.25">
      <c r="A1173" t="s">
        <v>3296</v>
      </c>
      <c r="B1173" t="s">
        <v>2931</v>
      </c>
      <c r="C1173">
        <v>13875</v>
      </c>
      <c r="D1173" t="str">
        <f>"250964      "</f>
        <v xml:space="preserve">250964      </v>
      </c>
      <c r="E1173" t="s">
        <v>706</v>
      </c>
      <c r="F1173" t="s">
        <v>707</v>
      </c>
      <c r="G1173">
        <v>15.06</v>
      </c>
      <c r="H1173">
        <v>251007</v>
      </c>
      <c r="I1173">
        <v>4600</v>
      </c>
      <c r="J1173" t="s">
        <v>278</v>
      </c>
      <c r="K1173">
        <v>347.35</v>
      </c>
      <c r="L1173">
        <v>3.06</v>
      </c>
      <c r="M1173">
        <v>54451</v>
      </c>
      <c r="N1173" t="s">
        <v>218</v>
      </c>
      <c r="O1173">
        <v>251020</v>
      </c>
      <c r="P1173">
        <v>12</v>
      </c>
    </row>
    <row r="1174" spans="1:16" x14ac:dyDescent="0.25">
      <c r="A1174" t="s">
        <v>3296</v>
      </c>
      <c r="B1174" t="s">
        <v>2931</v>
      </c>
      <c r="C1174">
        <v>14162</v>
      </c>
      <c r="D1174" t="str">
        <f>"252205      "</f>
        <v xml:space="preserve">252205      </v>
      </c>
      <c r="E1174" t="s">
        <v>706</v>
      </c>
      <c r="F1174" t="s">
        <v>707</v>
      </c>
      <c r="G1174">
        <v>15.06</v>
      </c>
      <c r="H1174">
        <v>251021</v>
      </c>
      <c r="I1174">
        <v>4600</v>
      </c>
      <c r="J1174" t="s">
        <v>278</v>
      </c>
      <c r="K1174">
        <v>287.43</v>
      </c>
      <c r="L1174">
        <v>3.06</v>
      </c>
      <c r="M1174">
        <v>54451</v>
      </c>
      <c r="N1174" t="s">
        <v>218</v>
      </c>
      <c r="O1174">
        <v>251024</v>
      </c>
      <c r="P1174">
        <v>12</v>
      </c>
    </row>
    <row r="1175" spans="1:16" x14ac:dyDescent="0.25">
      <c r="A1175" t="s">
        <v>3296</v>
      </c>
      <c r="B1175" t="s">
        <v>2931</v>
      </c>
      <c r="C1175">
        <v>15501</v>
      </c>
      <c r="D1175" t="str">
        <f>"253944      "</f>
        <v xml:space="preserve">253944      </v>
      </c>
      <c r="E1175" t="s">
        <v>706</v>
      </c>
      <c r="F1175" t="s">
        <v>707</v>
      </c>
      <c r="G1175">
        <v>15.06</v>
      </c>
      <c r="H1175">
        <v>251111</v>
      </c>
      <c r="I1175">
        <v>4600</v>
      </c>
      <c r="J1175" t="s">
        <v>278</v>
      </c>
      <c r="K1175">
        <v>366.61</v>
      </c>
      <c r="L1175">
        <v>3.06</v>
      </c>
      <c r="M1175">
        <v>54451</v>
      </c>
      <c r="N1175" t="s">
        <v>218</v>
      </c>
      <c r="O1175">
        <v>251121</v>
      </c>
      <c r="P1175">
        <v>12</v>
      </c>
    </row>
    <row r="1176" spans="1:16" x14ac:dyDescent="0.25">
      <c r="A1176" t="s">
        <v>3296</v>
      </c>
      <c r="B1176" t="s">
        <v>2931</v>
      </c>
      <c r="C1176">
        <v>15659</v>
      </c>
      <c r="D1176" t="str">
        <f>"254551      "</f>
        <v xml:space="preserve">254551      </v>
      </c>
      <c r="E1176" t="s">
        <v>706</v>
      </c>
      <c r="F1176" t="s">
        <v>707</v>
      </c>
      <c r="G1176">
        <v>15.06</v>
      </c>
      <c r="H1176">
        <v>251118</v>
      </c>
      <c r="I1176">
        <v>4600</v>
      </c>
      <c r="J1176" t="s">
        <v>278</v>
      </c>
      <c r="K1176">
        <v>426.3</v>
      </c>
      <c r="L1176">
        <v>3.06</v>
      </c>
      <c r="M1176">
        <v>54451</v>
      </c>
      <c r="N1176" t="s">
        <v>218</v>
      </c>
      <c r="O1176">
        <v>251124</v>
      </c>
      <c r="P1176">
        <v>12</v>
      </c>
    </row>
    <row r="1177" spans="1:16" x14ac:dyDescent="0.25">
      <c r="A1177" t="s">
        <v>3296</v>
      </c>
      <c r="B1177" t="s">
        <v>2931</v>
      </c>
      <c r="C1177">
        <v>15905</v>
      </c>
      <c r="D1177" t="str">
        <f>"255369      "</f>
        <v xml:space="preserve">255369      </v>
      </c>
      <c r="E1177" t="s">
        <v>706</v>
      </c>
      <c r="F1177" t="s">
        <v>707</v>
      </c>
      <c r="G1177">
        <v>15.06</v>
      </c>
      <c r="H1177">
        <v>251127</v>
      </c>
      <c r="I1177">
        <v>4600</v>
      </c>
      <c r="J1177" t="s">
        <v>278</v>
      </c>
      <c r="K1177">
        <v>380.89</v>
      </c>
      <c r="L1177">
        <v>3.06</v>
      </c>
      <c r="M1177">
        <v>54451</v>
      </c>
      <c r="N1177" t="s">
        <v>218</v>
      </c>
      <c r="O1177">
        <v>251128</v>
      </c>
      <c r="P1177">
        <v>12</v>
      </c>
    </row>
    <row r="1178" spans="1:16" x14ac:dyDescent="0.25">
      <c r="A1178" t="s">
        <v>3296</v>
      </c>
      <c r="B1178" t="s">
        <v>2931</v>
      </c>
      <c r="C1178">
        <v>17770</v>
      </c>
      <c r="D1178" t="str">
        <f>"257268      "</f>
        <v xml:space="preserve">257268      </v>
      </c>
      <c r="E1178" t="s">
        <v>706</v>
      </c>
      <c r="F1178" t="s">
        <v>707</v>
      </c>
      <c r="G1178">
        <v>15.06</v>
      </c>
      <c r="H1178">
        <v>251218</v>
      </c>
      <c r="I1178">
        <v>4600</v>
      </c>
      <c r="J1178" t="s">
        <v>278</v>
      </c>
      <c r="K1178">
        <v>397.87</v>
      </c>
      <c r="L1178">
        <v>3.06</v>
      </c>
      <c r="M1178">
        <v>54451</v>
      </c>
      <c r="N1178" t="s">
        <v>218</v>
      </c>
      <c r="O1178">
        <v>251230</v>
      </c>
      <c r="P1178">
        <v>12</v>
      </c>
    </row>
    <row r="1179" spans="1:16" x14ac:dyDescent="0.25">
      <c r="A1179" t="s">
        <v>3296</v>
      </c>
      <c r="B1179" t="s">
        <v>2931</v>
      </c>
      <c r="C1179">
        <v>10154</v>
      </c>
      <c r="D1179" t="str">
        <f>"0487044383  "</f>
        <v xml:space="preserve">0487044383  </v>
      </c>
      <c r="E1179" t="s">
        <v>637</v>
      </c>
      <c r="F1179" t="s">
        <v>638</v>
      </c>
      <c r="G1179">
        <v>1254.96</v>
      </c>
      <c r="H1179">
        <v>250805</v>
      </c>
      <c r="I1179">
        <v>4400</v>
      </c>
      <c r="J1179" t="s">
        <v>162</v>
      </c>
      <c r="K1179">
        <v>1254.96</v>
      </c>
      <c r="L1179">
        <v>254.99</v>
      </c>
      <c r="M1179">
        <v>17523</v>
      </c>
      <c r="N1179" t="s">
        <v>138</v>
      </c>
      <c r="O1179">
        <v>250812</v>
      </c>
      <c r="P1179">
        <v>999.97</v>
      </c>
    </row>
    <row r="1180" spans="1:16" x14ac:dyDescent="0.25">
      <c r="A1180" t="s">
        <v>3296</v>
      </c>
      <c r="B1180" t="s">
        <v>2931</v>
      </c>
      <c r="C1180">
        <v>11878</v>
      </c>
      <c r="D1180" t="str">
        <f>"0487051701  "</f>
        <v xml:space="preserve">0487051701  </v>
      </c>
      <c r="E1180" t="s">
        <v>637</v>
      </c>
      <c r="F1180" t="s">
        <v>638</v>
      </c>
      <c r="G1180">
        <v>152.54</v>
      </c>
      <c r="H1180">
        <v>250902</v>
      </c>
      <c r="I1180">
        <v>4470</v>
      </c>
      <c r="J1180" t="s">
        <v>203</v>
      </c>
      <c r="K1180">
        <v>241.65</v>
      </c>
      <c r="L1180">
        <v>30.99</v>
      </c>
      <c r="M1180">
        <v>17957</v>
      </c>
      <c r="N1180" t="s">
        <v>812</v>
      </c>
      <c r="O1180">
        <v>250911</v>
      </c>
      <c r="P1180">
        <v>121.55</v>
      </c>
    </row>
    <row r="1181" spans="1:16" x14ac:dyDescent="0.25">
      <c r="A1181" t="s">
        <v>3296</v>
      </c>
      <c r="B1181" t="s">
        <v>2931</v>
      </c>
      <c r="C1181">
        <v>636</v>
      </c>
      <c r="D1181" t="str">
        <f>"0487003195  "</f>
        <v xml:space="preserve">0487003195  </v>
      </c>
      <c r="E1181" t="s">
        <v>637</v>
      </c>
      <c r="F1181" t="s">
        <v>638</v>
      </c>
      <c r="G1181">
        <v>201.15</v>
      </c>
      <c r="H1181">
        <v>250120</v>
      </c>
      <c r="I1181">
        <v>4580</v>
      </c>
      <c r="J1181" t="s">
        <v>126</v>
      </c>
      <c r="K1181">
        <v>201.15</v>
      </c>
      <c r="L1181">
        <v>40.869999999999997</v>
      </c>
      <c r="M1181">
        <v>17523</v>
      </c>
      <c r="N1181" t="s">
        <v>138</v>
      </c>
      <c r="O1181">
        <v>250124</v>
      </c>
      <c r="P1181">
        <v>160.28</v>
      </c>
    </row>
    <row r="1182" spans="1:16" x14ac:dyDescent="0.25">
      <c r="A1182" t="s">
        <v>3296</v>
      </c>
      <c r="B1182" t="s">
        <v>2931</v>
      </c>
      <c r="C1182">
        <v>4233</v>
      </c>
      <c r="D1182" t="str">
        <f>"0487015254  "</f>
        <v xml:space="preserve">0487015254  </v>
      </c>
      <c r="E1182" t="s">
        <v>637</v>
      </c>
      <c r="F1182" t="s">
        <v>638</v>
      </c>
      <c r="G1182">
        <v>182.4</v>
      </c>
      <c r="H1182">
        <v>250325</v>
      </c>
      <c r="I1182">
        <v>4580</v>
      </c>
      <c r="J1182" t="s">
        <v>126</v>
      </c>
      <c r="K1182">
        <v>547.20000000000005</v>
      </c>
      <c r="L1182">
        <v>37.06</v>
      </c>
      <c r="M1182">
        <v>11401</v>
      </c>
      <c r="N1182" t="s">
        <v>91</v>
      </c>
      <c r="O1182">
        <v>250409</v>
      </c>
      <c r="P1182">
        <v>145.34</v>
      </c>
    </row>
    <row r="1183" spans="1:16" x14ac:dyDescent="0.25">
      <c r="A1183" t="s">
        <v>3296</v>
      </c>
      <c r="B1183" t="s">
        <v>2931</v>
      </c>
      <c r="C1183">
        <v>4233</v>
      </c>
      <c r="D1183" t="str">
        <f>"0487015254  "</f>
        <v xml:space="preserve">0487015254  </v>
      </c>
      <c r="E1183" t="s">
        <v>637</v>
      </c>
      <c r="F1183" t="s">
        <v>638</v>
      </c>
      <c r="G1183">
        <v>364.8</v>
      </c>
      <c r="H1183">
        <v>250325</v>
      </c>
      <c r="I1183">
        <v>4580</v>
      </c>
      <c r="J1183" t="s">
        <v>126</v>
      </c>
      <c r="K1183">
        <v>547.20000000000005</v>
      </c>
      <c r="L1183">
        <v>74.12</v>
      </c>
      <c r="M1183">
        <v>14952</v>
      </c>
      <c r="N1183" t="s">
        <v>213</v>
      </c>
      <c r="O1183">
        <v>250409</v>
      </c>
      <c r="P1183">
        <v>290.68</v>
      </c>
    </row>
    <row r="1184" spans="1:16" x14ac:dyDescent="0.25">
      <c r="A1184" t="s">
        <v>3296</v>
      </c>
      <c r="B1184" t="s">
        <v>2931</v>
      </c>
      <c r="C1184">
        <v>11876</v>
      </c>
      <c r="D1184" t="str">
        <f>"0487051391  "</f>
        <v xml:space="preserve">0487051391  </v>
      </c>
      <c r="E1184" t="s">
        <v>637</v>
      </c>
      <c r="F1184" t="s">
        <v>638</v>
      </c>
      <c r="G1184">
        <v>712.8</v>
      </c>
      <c r="H1184">
        <v>250901</v>
      </c>
      <c r="I1184">
        <v>4580</v>
      </c>
      <c r="J1184" t="s">
        <v>126</v>
      </c>
      <c r="K1184">
        <v>832.95</v>
      </c>
      <c r="L1184">
        <v>144.83000000000001</v>
      </c>
      <c r="M1184">
        <v>17524</v>
      </c>
      <c r="N1184" t="s">
        <v>139</v>
      </c>
      <c r="O1184">
        <v>250911</v>
      </c>
      <c r="P1184">
        <v>567.97</v>
      </c>
    </row>
    <row r="1185" spans="1:16" x14ac:dyDescent="0.25">
      <c r="A1185" t="s">
        <v>3296</v>
      </c>
      <c r="B1185" t="s">
        <v>2931</v>
      </c>
      <c r="C1185">
        <v>11878</v>
      </c>
      <c r="D1185" t="str">
        <f>"0487051701  "</f>
        <v xml:space="preserve">0487051701  </v>
      </c>
      <c r="E1185" t="s">
        <v>637</v>
      </c>
      <c r="F1185" t="s">
        <v>638</v>
      </c>
      <c r="G1185">
        <v>89.11</v>
      </c>
      <c r="H1185">
        <v>250902</v>
      </c>
      <c r="I1185">
        <v>4580</v>
      </c>
      <c r="J1185" t="s">
        <v>126</v>
      </c>
      <c r="K1185">
        <v>241.65</v>
      </c>
      <c r="L1185">
        <v>18.11</v>
      </c>
      <c r="M1185">
        <v>17527</v>
      </c>
      <c r="N1185" t="s">
        <v>142</v>
      </c>
      <c r="O1185">
        <v>250911</v>
      </c>
      <c r="P1185">
        <v>71</v>
      </c>
    </row>
    <row r="1186" spans="1:16" x14ac:dyDescent="0.25">
      <c r="A1186" t="s">
        <v>3296</v>
      </c>
      <c r="B1186" t="s">
        <v>2931</v>
      </c>
      <c r="C1186">
        <v>11898</v>
      </c>
      <c r="D1186" t="str">
        <f>"0487053122  "</f>
        <v xml:space="preserve">0487053122  </v>
      </c>
      <c r="E1186" t="s">
        <v>637</v>
      </c>
      <c r="F1186" t="s">
        <v>638</v>
      </c>
      <c r="G1186">
        <v>25.02</v>
      </c>
      <c r="H1186">
        <v>250908</v>
      </c>
      <c r="I1186">
        <v>4580</v>
      </c>
      <c r="J1186" t="s">
        <v>126</v>
      </c>
      <c r="K1186">
        <v>25.02</v>
      </c>
      <c r="L1186">
        <v>5.08</v>
      </c>
      <c r="M1186">
        <v>17521</v>
      </c>
      <c r="N1186" t="s">
        <v>136</v>
      </c>
      <c r="O1186">
        <v>250912</v>
      </c>
      <c r="P1186">
        <v>19.940000000000001</v>
      </c>
    </row>
    <row r="1187" spans="1:16" x14ac:dyDescent="0.25">
      <c r="A1187" t="s">
        <v>3296</v>
      </c>
      <c r="B1187" t="s">
        <v>2931</v>
      </c>
      <c r="C1187">
        <v>12807</v>
      </c>
      <c r="D1187" t="str">
        <f>"0487057192  "</f>
        <v xml:space="preserve">0487057192  </v>
      </c>
      <c r="E1187" t="s">
        <v>637</v>
      </c>
      <c r="F1187" t="s">
        <v>638</v>
      </c>
      <c r="G1187">
        <v>67.239999999999995</v>
      </c>
      <c r="H1187">
        <v>250925</v>
      </c>
      <c r="I1187">
        <v>4580</v>
      </c>
      <c r="J1187" t="s">
        <v>126</v>
      </c>
      <c r="K1187">
        <v>224.14</v>
      </c>
      <c r="L1187">
        <v>13.66</v>
      </c>
      <c r="M1187">
        <v>17527</v>
      </c>
      <c r="N1187" t="s">
        <v>142</v>
      </c>
      <c r="O1187">
        <v>250930</v>
      </c>
      <c r="P1187">
        <v>53.58</v>
      </c>
    </row>
    <row r="1188" spans="1:16" x14ac:dyDescent="0.25">
      <c r="A1188" t="s">
        <v>3296</v>
      </c>
      <c r="B1188" t="s">
        <v>2931</v>
      </c>
      <c r="C1188">
        <v>14047</v>
      </c>
      <c r="D1188" t="str">
        <f>"0487060688  "</f>
        <v xml:space="preserve">0487060688  </v>
      </c>
      <c r="E1188" t="s">
        <v>637</v>
      </c>
      <c r="F1188" t="s">
        <v>638</v>
      </c>
      <c r="G1188">
        <v>188.98</v>
      </c>
      <c r="H1188">
        <v>251009</v>
      </c>
      <c r="I1188">
        <v>4580</v>
      </c>
      <c r="J1188" t="s">
        <v>126</v>
      </c>
      <c r="K1188">
        <v>629.92999999999995</v>
      </c>
      <c r="L1188">
        <v>38.4</v>
      </c>
      <c r="M1188">
        <v>17638</v>
      </c>
      <c r="N1188" t="s">
        <v>1182</v>
      </c>
      <c r="O1188">
        <v>251022</v>
      </c>
      <c r="P1188">
        <v>150.58000000000001</v>
      </c>
    </row>
    <row r="1189" spans="1:16" x14ac:dyDescent="0.25">
      <c r="A1189" t="s">
        <v>3296</v>
      </c>
      <c r="B1189" t="s">
        <v>2931</v>
      </c>
      <c r="C1189">
        <v>15401</v>
      </c>
      <c r="D1189" t="str">
        <f>"0487068527  "</f>
        <v xml:space="preserve">0487068527  </v>
      </c>
      <c r="E1189" t="s">
        <v>637</v>
      </c>
      <c r="F1189" t="s">
        <v>638</v>
      </c>
      <c r="G1189">
        <v>188.94</v>
      </c>
      <c r="H1189">
        <v>251112</v>
      </c>
      <c r="I1189">
        <v>4580</v>
      </c>
      <c r="J1189" t="s">
        <v>126</v>
      </c>
      <c r="K1189">
        <v>188.94</v>
      </c>
      <c r="L1189">
        <v>38.39</v>
      </c>
      <c r="M1189">
        <v>17521</v>
      </c>
      <c r="N1189" t="s">
        <v>136</v>
      </c>
      <c r="O1189">
        <v>251120</v>
      </c>
      <c r="P1189">
        <v>150.55000000000001</v>
      </c>
    </row>
    <row r="1190" spans="1:16" x14ac:dyDescent="0.25">
      <c r="A1190" t="s">
        <v>3296</v>
      </c>
      <c r="B1190" t="s">
        <v>2931</v>
      </c>
      <c r="C1190">
        <v>11876</v>
      </c>
      <c r="D1190" t="str">
        <f>"0487051391  "</f>
        <v xml:space="preserve">0487051391  </v>
      </c>
      <c r="E1190" t="s">
        <v>637</v>
      </c>
      <c r="F1190" t="s">
        <v>638</v>
      </c>
      <c r="G1190">
        <v>120.15</v>
      </c>
      <c r="H1190">
        <v>250901</v>
      </c>
      <c r="I1190">
        <v>4590</v>
      </c>
      <c r="J1190" t="s">
        <v>388</v>
      </c>
      <c r="K1190">
        <v>832.95</v>
      </c>
      <c r="L1190">
        <v>24.41</v>
      </c>
      <c r="M1190">
        <v>17524</v>
      </c>
      <c r="N1190" t="s">
        <v>139</v>
      </c>
      <c r="O1190">
        <v>250911</v>
      </c>
      <c r="P1190">
        <v>95.74</v>
      </c>
    </row>
    <row r="1191" spans="1:16" x14ac:dyDescent="0.25">
      <c r="A1191" t="s">
        <v>3296</v>
      </c>
      <c r="B1191" t="s">
        <v>2931</v>
      </c>
      <c r="C1191">
        <v>2115</v>
      </c>
      <c r="D1191" t="str">
        <f>"0487007410  "</f>
        <v xml:space="preserve">0487007410  </v>
      </c>
      <c r="E1191" t="s">
        <v>637</v>
      </c>
      <c r="F1191" t="s">
        <v>638</v>
      </c>
      <c r="G1191">
        <v>103.47</v>
      </c>
      <c r="H1191">
        <v>250213</v>
      </c>
      <c r="I1191">
        <v>4600</v>
      </c>
      <c r="J1191" t="s">
        <v>278</v>
      </c>
      <c r="K1191">
        <v>103.47</v>
      </c>
      <c r="L1191">
        <v>21.02</v>
      </c>
      <c r="M1191">
        <v>17523</v>
      </c>
      <c r="N1191" t="s">
        <v>138</v>
      </c>
      <c r="O1191">
        <v>250220</v>
      </c>
      <c r="P1191">
        <v>82.45</v>
      </c>
    </row>
    <row r="1192" spans="1:16" x14ac:dyDescent="0.25">
      <c r="A1192" t="s">
        <v>3296</v>
      </c>
      <c r="B1192" t="s">
        <v>2931</v>
      </c>
      <c r="C1192">
        <v>12807</v>
      </c>
      <c r="D1192" t="str">
        <f>"0487057192  "</f>
        <v xml:space="preserve">0487057192  </v>
      </c>
      <c r="E1192" t="s">
        <v>637</v>
      </c>
      <c r="F1192" t="s">
        <v>638</v>
      </c>
      <c r="G1192">
        <v>156.9</v>
      </c>
      <c r="H1192">
        <v>250925</v>
      </c>
      <c r="I1192">
        <v>4600</v>
      </c>
      <c r="J1192" t="s">
        <v>278</v>
      </c>
      <c r="K1192">
        <v>224.14</v>
      </c>
      <c r="L1192">
        <v>31.88</v>
      </c>
      <c r="M1192">
        <v>17638</v>
      </c>
      <c r="N1192" t="s">
        <v>1182</v>
      </c>
      <c r="O1192">
        <v>250930</v>
      </c>
      <c r="P1192">
        <v>125.02</v>
      </c>
    </row>
    <row r="1193" spans="1:16" x14ac:dyDescent="0.25">
      <c r="A1193" t="s">
        <v>3296</v>
      </c>
      <c r="B1193" t="s">
        <v>2931</v>
      </c>
      <c r="C1193">
        <v>14047</v>
      </c>
      <c r="D1193" t="str">
        <f>"0487060688  "</f>
        <v xml:space="preserve">0487060688  </v>
      </c>
      <c r="E1193" t="s">
        <v>637</v>
      </c>
      <c r="F1193" t="s">
        <v>638</v>
      </c>
      <c r="G1193">
        <v>440.95</v>
      </c>
      <c r="H1193">
        <v>251009</v>
      </c>
      <c r="I1193">
        <v>4600</v>
      </c>
      <c r="J1193" t="s">
        <v>278</v>
      </c>
      <c r="K1193">
        <v>629.92999999999995</v>
      </c>
      <c r="L1193">
        <v>89.6</v>
      </c>
      <c r="M1193">
        <v>17527</v>
      </c>
      <c r="N1193" t="s">
        <v>142</v>
      </c>
      <c r="O1193">
        <v>251022</v>
      </c>
      <c r="P1193">
        <v>351.35</v>
      </c>
    </row>
    <row r="1194" spans="1:16" x14ac:dyDescent="0.25">
      <c r="A1194" t="s">
        <v>3296</v>
      </c>
      <c r="B1194" t="s">
        <v>2931</v>
      </c>
      <c r="C1194">
        <v>17020</v>
      </c>
      <c r="D1194" t="str">
        <f>"0487076544  "</f>
        <v xml:space="preserve">0487076544  </v>
      </c>
      <c r="E1194" t="s">
        <v>637</v>
      </c>
      <c r="F1194" t="s">
        <v>638</v>
      </c>
      <c r="G1194">
        <v>97.24</v>
      </c>
      <c r="H1194">
        <v>251211</v>
      </c>
      <c r="I1194">
        <v>4600</v>
      </c>
      <c r="J1194" t="s">
        <v>278</v>
      </c>
      <c r="K1194">
        <v>97.24</v>
      </c>
      <c r="L1194">
        <v>19.760000000000002</v>
      </c>
      <c r="M1194">
        <v>17634</v>
      </c>
      <c r="N1194" t="s">
        <v>634</v>
      </c>
      <c r="O1194">
        <v>251216</v>
      </c>
      <c r="P1194">
        <v>77.48</v>
      </c>
    </row>
    <row r="1195" spans="1:16" x14ac:dyDescent="0.25">
      <c r="A1195" t="s">
        <v>3296</v>
      </c>
      <c r="B1195" t="s">
        <v>2931</v>
      </c>
      <c r="C1195">
        <v>14656</v>
      </c>
      <c r="D1195" t="str">
        <f>"1052583     "</f>
        <v xml:space="preserve">1052583     </v>
      </c>
      <c r="E1195" t="s">
        <v>2524</v>
      </c>
      <c r="F1195" t="s">
        <v>2525</v>
      </c>
      <c r="G1195">
        <v>2329.92</v>
      </c>
      <c r="H1195">
        <v>251030</v>
      </c>
      <c r="I1195">
        <v>4600</v>
      </c>
      <c r="J1195" t="s">
        <v>278</v>
      </c>
      <c r="K1195">
        <v>2329.92</v>
      </c>
      <c r="L1195">
        <v>473.41</v>
      </c>
      <c r="M1195">
        <v>46554</v>
      </c>
      <c r="N1195" t="s">
        <v>102</v>
      </c>
      <c r="O1195">
        <v>251105</v>
      </c>
      <c r="P1195">
        <v>1856.51</v>
      </c>
    </row>
    <row r="1196" spans="1:16" x14ac:dyDescent="0.25">
      <c r="A1196" t="s">
        <v>3296</v>
      </c>
      <c r="B1196" t="s">
        <v>2931</v>
      </c>
      <c r="C1196">
        <v>15328</v>
      </c>
      <c r="D1196" t="str">
        <f>"58          "</f>
        <v xml:space="preserve">58          </v>
      </c>
      <c r="E1196" t="s">
        <v>2572</v>
      </c>
      <c r="F1196" t="s">
        <v>2573</v>
      </c>
      <c r="G1196">
        <v>57.8</v>
      </c>
      <c r="H1196">
        <v>251112</v>
      </c>
      <c r="I1196">
        <v>4600</v>
      </c>
      <c r="J1196" t="s">
        <v>278</v>
      </c>
      <c r="K1196">
        <v>57.8</v>
      </c>
      <c r="L1196">
        <v>11.74</v>
      </c>
      <c r="M1196">
        <v>54451</v>
      </c>
      <c r="N1196" t="s">
        <v>218</v>
      </c>
      <c r="O1196">
        <v>251118</v>
      </c>
      <c r="P1196">
        <v>46.06</v>
      </c>
    </row>
    <row r="1197" spans="1:16" x14ac:dyDescent="0.25">
      <c r="A1197" t="s">
        <v>3296</v>
      </c>
      <c r="B1197" t="s">
        <v>2931</v>
      </c>
      <c r="C1197">
        <v>12021</v>
      </c>
      <c r="D1197" t="str">
        <f>"547         "</f>
        <v xml:space="preserve">547         </v>
      </c>
      <c r="E1197" t="s">
        <v>2311</v>
      </c>
      <c r="F1197" t="s">
        <v>2312</v>
      </c>
      <c r="G1197">
        <v>439.53</v>
      </c>
      <c r="H1197">
        <v>250912</v>
      </c>
      <c r="I1197">
        <v>4534</v>
      </c>
      <c r="J1197" t="s">
        <v>349</v>
      </c>
      <c r="K1197">
        <v>439.53</v>
      </c>
      <c r="L1197">
        <v>89.31</v>
      </c>
      <c r="M1197">
        <v>54222</v>
      </c>
      <c r="N1197" t="s">
        <v>48</v>
      </c>
      <c r="O1197">
        <v>250915</v>
      </c>
      <c r="P1197">
        <v>350.22</v>
      </c>
    </row>
    <row r="1198" spans="1:16" x14ac:dyDescent="0.25">
      <c r="A1198" t="s">
        <v>3296</v>
      </c>
      <c r="B1198" t="s">
        <v>2931</v>
      </c>
      <c r="C1198">
        <v>15847</v>
      </c>
      <c r="D1198" t="str">
        <f>"757         "</f>
        <v xml:space="preserve">757         </v>
      </c>
      <c r="E1198" t="s">
        <v>2311</v>
      </c>
      <c r="F1198" t="s">
        <v>2312</v>
      </c>
      <c r="G1198">
        <v>1708.58</v>
      </c>
      <c r="H1198">
        <v>251126</v>
      </c>
      <c r="I1198">
        <v>4600</v>
      </c>
      <c r="J1198" t="s">
        <v>278</v>
      </c>
      <c r="K1198">
        <v>1708.58</v>
      </c>
      <c r="L1198">
        <v>347.16</v>
      </c>
      <c r="M1198">
        <v>54252</v>
      </c>
      <c r="N1198" t="s">
        <v>742</v>
      </c>
      <c r="O1198">
        <v>251127</v>
      </c>
      <c r="P1198">
        <v>1361.42</v>
      </c>
    </row>
    <row r="1199" spans="1:16" x14ac:dyDescent="0.25">
      <c r="A1199" t="s">
        <v>3296</v>
      </c>
      <c r="B1199" t="s">
        <v>2931</v>
      </c>
      <c r="C1199">
        <v>640</v>
      </c>
      <c r="D1199" t="str">
        <f>"Z18256      "</f>
        <v xml:space="preserve">Z18256      </v>
      </c>
      <c r="E1199" t="s">
        <v>3206</v>
      </c>
      <c r="F1199" t="s">
        <v>3207</v>
      </c>
      <c r="G1199">
        <v>163.69999999999999</v>
      </c>
      <c r="H1199">
        <v>250122</v>
      </c>
      <c r="I1199">
        <v>4600</v>
      </c>
      <c r="J1199" t="s">
        <v>278</v>
      </c>
      <c r="K1199">
        <v>163.69999999999999</v>
      </c>
      <c r="L1199">
        <v>0</v>
      </c>
      <c r="M1199">
        <v>17650</v>
      </c>
      <c r="N1199" t="s">
        <v>1164</v>
      </c>
      <c r="O1199">
        <v>250127</v>
      </c>
      <c r="P1199">
        <v>163.69999999999999</v>
      </c>
    </row>
    <row r="1200" spans="1:16" x14ac:dyDescent="0.25">
      <c r="A1200" t="s">
        <v>3296</v>
      </c>
      <c r="B1200" t="s">
        <v>2931</v>
      </c>
      <c r="C1200">
        <v>641</v>
      </c>
      <c r="D1200" t="str">
        <f>"Z18255      "</f>
        <v xml:space="preserve">Z18255      </v>
      </c>
      <c r="E1200" t="s">
        <v>3206</v>
      </c>
      <c r="F1200" t="s">
        <v>3207</v>
      </c>
      <c r="G1200">
        <v>342.16</v>
      </c>
      <c r="H1200">
        <v>250122</v>
      </c>
      <c r="I1200">
        <v>4600</v>
      </c>
      <c r="J1200" t="s">
        <v>278</v>
      </c>
      <c r="K1200">
        <v>342.16</v>
      </c>
      <c r="L1200">
        <v>0</v>
      </c>
      <c r="M1200">
        <v>17650</v>
      </c>
      <c r="N1200" t="s">
        <v>1164</v>
      </c>
      <c r="O1200">
        <v>250127</v>
      </c>
      <c r="P1200">
        <v>342.16</v>
      </c>
    </row>
    <row r="1201" spans="1:16" x14ac:dyDescent="0.25">
      <c r="A1201" t="s">
        <v>3296</v>
      </c>
      <c r="B1201" t="s">
        <v>2931</v>
      </c>
      <c r="C1201">
        <v>2510</v>
      </c>
      <c r="D1201" t="str">
        <f>"251021124   "</f>
        <v xml:space="preserve">251021124   </v>
      </c>
      <c r="E1201" t="s">
        <v>1298</v>
      </c>
      <c r="F1201" t="s">
        <v>1299</v>
      </c>
      <c r="G1201">
        <v>125.17</v>
      </c>
      <c r="H1201">
        <v>250218</v>
      </c>
      <c r="I1201">
        <v>4534</v>
      </c>
      <c r="J1201" t="s">
        <v>349</v>
      </c>
      <c r="K1201">
        <v>250.33</v>
      </c>
      <c r="L1201">
        <v>25.43</v>
      </c>
      <c r="M1201">
        <v>54222</v>
      </c>
      <c r="N1201" t="s">
        <v>48</v>
      </c>
      <c r="O1201">
        <v>250303</v>
      </c>
      <c r="P1201">
        <v>99.74</v>
      </c>
    </row>
    <row r="1202" spans="1:16" x14ac:dyDescent="0.25">
      <c r="A1202" t="s">
        <v>3296</v>
      </c>
      <c r="B1202" t="s">
        <v>2931</v>
      </c>
      <c r="C1202">
        <v>2510</v>
      </c>
      <c r="D1202" t="str">
        <f>"251021124   "</f>
        <v xml:space="preserve">251021124   </v>
      </c>
      <c r="E1202" t="s">
        <v>1298</v>
      </c>
      <c r="F1202" t="s">
        <v>1299</v>
      </c>
      <c r="G1202">
        <v>125.16</v>
      </c>
      <c r="H1202">
        <v>250218</v>
      </c>
      <c r="I1202">
        <v>4534</v>
      </c>
      <c r="J1202" t="s">
        <v>349</v>
      </c>
      <c r="K1202">
        <v>250.33</v>
      </c>
      <c r="L1202">
        <v>25.43</v>
      </c>
      <c r="M1202">
        <v>54252</v>
      </c>
      <c r="N1202" t="s">
        <v>742</v>
      </c>
      <c r="O1202">
        <v>250303</v>
      </c>
      <c r="P1202">
        <v>99.73</v>
      </c>
    </row>
    <row r="1203" spans="1:16" x14ac:dyDescent="0.25">
      <c r="A1203" t="s">
        <v>3296</v>
      </c>
      <c r="B1203" t="s">
        <v>2931</v>
      </c>
      <c r="C1203">
        <v>3648</v>
      </c>
      <c r="D1203" t="str">
        <f>"251035013   "</f>
        <v xml:space="preserve">251035013   </v>
      </c>
      <c r="E1203" t="s">
        <v>1298</v>
      </c>
      <c r="F1203" t="s">
        <v>1299</v>
      </c>
      <c r="G1203">
        <v>119.57</v>
      </c>
      <c r="H1203">
        <v>250317</v>
      </c>
      <c r="I1203">
        <v>4534</v>
      </c>
      <c r="J1203" t="s">
        <v>349</v>
      </c>
      <c r="K1203">
        <v>239.14</v>
      </c>
      <c r="L1203">
        <v>24.3</v>
      </c>
      <c r="M1203">
        <v>54222</v>
      </c>
      <c r="N1203" t="s">
        <v>48</v>
      </c>
      <c r="O1203">
        <v>250327</v>
      </c>
      <c r="P1203">
        <v>95.27</v>
      </c>
    </row>
    <row r="1204" spans="1:16" x14ac:dyDescent="0.25">
      <c r="A1204" t="s">
        <v>3296</v>
      </c>
      <c r="B1204" t="s">
        <v>2931</v>
      </c>
      <c r="C1204">
        <v>3648</v>
      </c>
      <c r="D1204" t="str">
        <f>"251035013   "</f>
        <v xml:space="preserve">251035013   </v>
      </c>
      <c r="E1204" t="s">
        <v>1298</v>
      </c>
      <c r="F1204" t="s">
        <v>1299</v>
      </c>
      <c r="G1204">
        <v>119.57</v>
      </c>
      <c r="H1204">
        <v>250317</v>
      </c>
      <c r="I1204">
        <v>4534</v>
      </c>
      <c r="J1204" t="s">
        <v>349</v>
      </c>
      <c r="K1204">
        <v>239.14</v>
      </c>
      <c r="L1204">
        <v>24.3</v>
      </c>
      <c r="M1204">
        <v>54252</v>
      </c>
      <c r="N1204" t="s">
        <v>742</v>
      </c>
      <c r="O1204">
        <v>250327</v>
      </c>
      <c r="P1204">
        <v>95.27</v>
      </c>
    </row>
    <row r="1205" spans="1:16" x14ac:dyDescent="0.25">
      <c r="A1205" t="s">
        <v>3296</v>
      </c>
      <c r="B1205" t="s">
        <v>2931</v>
      </c>
      <c r="C1205">
        <v>9637</v>
      </c>
      <c r="D1205" t="str">
        <f>"251108818   "</f>
        <v xml:space="preserve">251108818   </v>
      </c>
      <c r="E1205" t="s">
        <v>1298</v>
      </c>
      <c r="F1205" t="s">
        <v>1299</v>
      </c>
      <c r="G1205">
        <v>410.95</v>
      </c>
      <c r="H1205">
        <v>250709</v>
      </c>
      <c r="I1205">
        <v>4553</v>
      </c>
      <c r="J1205" t="s">
        <v>1972</v>
      </c>
      <c r="K1205">
        <v>410.95</v>
      </c>
      <c r="L1205">
        <v>83.5</v>
      </c>
      <c r="M1205">
        <v>66754</v>
      </c>
      <c r="N1205" t="s">
        <v>119</v>
      </c>
      <c r="O1205">
        <v>250723</v>
      </c>
      <c r="P1205">
        <v>327.45</v>
      </c>
    </row>
    <row r="1206" spans="1:16" x14ac:dyDescent="0.25">
      <c r="A1206" t="s">
        <v>3296</v>
      </c>
      <c r="B1206" t="s">
        <v>2931</v>
      </c>
      <c r="C1206">
        <v>12615</v>
      </c>
      <c r="D1206" t="str">
        <f>"251144191   "</f>
        <v xml:space="preserve">251144191   </v>
      </c>
      <c r="E1206" t="s">
        <v>1298</v>
      </c>
      <c r="F1206" t="s">
        <v>1299</v>
      </c>
      <c r="G1206">
        <v>317.02</v>
      </c>
      <c r="H1206">
        <v>250916</v>
      </c>
      <c r="I1206">
        <v>4600</v>
      </c>
      <c r="J1206" t="s">
        <v>278</v>
      </c>
      <c r="K1206">
        <v>317.02</v>
      </c>
      <c r="L1206">
        <v>64.41</v>
      </c>
      <c r="M1206">
        <v>54222</v>
      </c>
      <c r="N1206" t="s">
        <v>48</v>
      </c>
      <c r="O1206">
        <v>250929</v>
      </c>
      <c r="P1206">
        <v>252.61</v>
      </c>
    </row>
    <row r="1207" spans="1:16" x14ac:dyDescent="0.25">
      <c r="A1207" t="s">
        <v>3296</v>
      </c>
      <c r="B1207" t="s">
        <v>2931</v>
      </c>
      <c r="C1207">
        <v>17081</v>
      </c>
      <c r="D1207" t="str">
        <f>"251189124   "</f>
        <v xml:space="preserve">251189124   </v>
      </c>
      <c r="E1207" t="s">
        <v>1298</v>
      </c>
      <c r="F1207" t="s">
        <v>1299</v>
      </c>
      <c r="G1207">
        <v>404.84</v>
      </c>
      <c r="H1207">
        <v>251212</v>
      </c>
      <c r="I1207">
        <v>4600</v>
      </c>
      <c r="J1207" t="s">
        <v>278</v>
      </c>
      <c r="K1207">
        <v>404.84</v>
      </c>
      <c r="L1207">
        <v>82.26</v>
      </c>
      <c r="M1207">
        <v>54252</v>
      </c>
      <c r="N1207" t="s">
        <v>742</v>
      </c>
      <c r="O1207">
        <v>251217</v>
      </c>
      <c r="P1207">
        <v>322.58</v>
      </c>
    </row>
    <row r="1208" spans="1:16" x14ac:dyDescent="0.25">
      <c r="A1208" t="s">
        <v>3296</v>
      </c>
      <c r="B1208" t="s">
        <v>2931</v>
      </c>
      <c r="C1208">
        <v>6766</v>
      </c>
      <c r="D1208" t="str">
        <f>"3025156     "</f>
        <v xml:space="preserve">3025156     </v>
      </c>
      <c r="E1208" t="s">
        <v>1886</v>
      </c>
      <c r="F1208" t="s">
        <v>1887</v>
      </c>
      <c r="G1208">
        <v>1882.5</v>
      </c>
      <c r="H1208">
        <v>250514</v>
      </c>
      <c r="I1208">
        <v>4350</v>
      </c>
      <c r="J1208" t="s">
        <v>290</v>
      </c>
      <c r="K1208">
        <v>1882.5</v>
      </c>
      <c r="L1208">
        <v>382.5</v>
      </c>
      <c r="M1208">
        <v>49702</v>
      </c>
      <c r="N1208" t="s">
        <v>112</v>
      </c>
      <c r="O1208">
        <v>250516</v>
      </c>
      <c r="P1208">
        <v>1500</v>
      </c>
    </row>
    <row r="1209" spans="1:16" x14ac:dyDescent="0.25">
      <c r="A1209" t="s">
        <v>3296</v>
      </c>
      <c r="B1209" t="s">
        <v>2931</v>
      </c>
      <c r="C1209">
        <v>919</v>
      </c>
      <c r="D1209" t="str">
        <f>"25000814    "</f>
        <v xml:space="preserve">25000814    </v>
      </c>
      <c r="E1209" t="s">
        <v>785</v>
      </c>
      <c r="F1209" t="s">
        <v>786</v>
      </c>
      <c r="G1209">
        <v>16.190000000000001</v>
      </c>
      <c r="H1209">
        <v>250121</v>
      </c>
      <c r="I1209">
        <v>4580</v>
      </c>
      <c r="J1209" t="s">
        <v>126</v>
      </c>
      <c r="K1209">
        <v>32.39</v>
      </c>
      <c r="L1209">
        <v>3.29</v>
      </c>
      <c r="M1209">
        <v>17525</v>
      </c>
      <c r="N1209" t="s">
        <v>140</v>
      </c>
      <c r="O1209">
        <v>250131</v>
      </c>
      <c r="P1209">
        <v>12.9</v>
      </c>
    </row>
    <row r="1210" spans="1:16" x14ac:dyDescent="0.25">
      <c r="A1210" t="s">
        <v>3296</v>
      </c>
      <c r="B1210" t="s">
        <v>2931</v>
      </c>
      <c r="C1210">
        <v>5397</v>
      </c>
      <c r="D1210" t="str">
        <f>"25005179    "</f>
        <v xml:space="preserve">25005179    </v>
      </c>
      <c r="E1210" t="s">
        <v>785</v>
      </c>
      <c r="F1210" t="s">
        <v>786</v>
      </c>
      <c r="G1210">
        <v>35.24</v>
      </c>
      <c r="H1210">
        <v>250415</v>
      </c>
      <c r="I1210">
        <v>4580</v>
      </c>
      <c r="J1210" t="s">
        <v>126</v>
      </c>
      <c r="K1210">
        <v>35.24</v>
      </c>
      <c r="L1210">
        <v>7.16</v>
      </c>
      <c r="M1210">
        <v>17525</v>
      </c>
      <c r="N1210" t="s">
        <v>140</v>
      </c>
      <c r="O1210">
        <v>250424</v>
      </c>
      <c r="P1210">
        <v>28.08</v>
      </c>
    </row>
    <row r="1211" spans="1:16" x14ac:dyDescent="0.25">
      <c r="A1211" t="s">
        <v>3296</v>
      </c>
      <c r="B1211" t="s">
        <v>2931</v>
      </c>
      <c r="C1211">
        <v>919</v>
      </c>
      <c r="D1211" t="str">
        <f>"25000814    "</f>
        <v xml:space="preserve">25000814    </v>
      </c>
      <c r="E1211" t="s">
        <v>785</v>
      </c>
      <c r="F1211" t="s">
        <v>786</v>
      </c>
      <c r="G1211">
        <v>16.2</v>
      </c>
      <c r="H1211">
        <v>250121</v>
      </c>
      <c r="I1211">
        <v>4600</v>
      </c>
      <c r="J1211" t="s">
        <v>278</v>
      </c>
      <c r="K1211">
        <v>32.39</v>
      </c>
      <c r="L1211">
        <v>3.29</v>
      </c>
      <c r="M1211">
        <v>17636</v>
      </c>
      <c r="N1211" t="s">
        <v>620</v>
      </c>
      <c r="O1211">
        <v>250131</v>
      </c>
      <c r="P1211">
        <v>12.91</v>
      </c>
    </row>
    <row r="1212" spans="1:16" x14ac:dyDescent="0.25">
      <c r="A1212" t="s">
        <v>3296</v>
      </c>
      <c r="B1212" t="s">
        <v>2931</v>
      </c>
      <c r="C1212">
        <v>1620</v>
      </c>
      <c r="D1212" t="str">
        <f>"25001607    "</f>
        <v xml:space="preserve">25001607    </v>
      </c>
      <c r="E1212" t="s">
        <v>785</v>
      </c>
      <c r="F1212" t="s">
        <v>786</v>
      </c>
      <c r="G1212">
        <v>45.24</v>
      </c>
      <c r="H1212">
        <v>250204</v>
      </c>
      <c r="I1212">
        <v>4600</v>
      </c>
      <c r="J1212" t="s">
        <v>278</v>
      </c>
      <c r="K1212">
        <v>45.24</v>
      </c>
      <c r="L1212">
        <v>9.19</v>
      </c>
      <c r="M1212">
        <v>13802</v>
      </c>
      <c r="N1212" t="s">
        <v>34</v>
      </c>
      <c r="O1212">
        <v>250211</v>
      </c>
      <c r="P1212">
        <v>36.049999999999997</v>
      </c>
    </row>
    <row r="1213" spans="1:16" x14ac:dyDescent="0.25">
      <c r="A1213" t="s">
        <v>3296</v>
      </c>
      <c r="B1213" t="s">
        <v>2931</v>
      </c>
      <c r="C1213">
        <v>16880</v>
      </c>
      <c r="D1213" t="str">
        <f>"1354        "</f>
        <v xml:space="preserve">1354        </v>
      </c>
      <c r="E1213" t="s">
        <v>1896</v>
      </c>
      <c r="F1213" t="s">
        <v>1897</v>
      </c>
      <c r="G1213">
        <v>140</v>
      </c>
      <c r="H1213">
        <v>251208</v>
      </c>
      <c r="I1213">
        <v>4440</v>
      </c>
      <c r="J1213" t="s">
        <v>346</v>
      </c>
      <c r="K1213">
        <v>140</v>
      </c>
      <c r="L1213">
        <v>0</v>
      </c>
      <c r="M1213">
        <v>13202</v>
      </c>
      <c r="N1213" t="s">
        <v>601</v>
      </c>
      <c r="O1213">
        <v>251215</v>
      </c>
      <c r="P1213">
        <v>140</v>
      </c>
    </row>
    <row r="1214" spans="1:16" x14ac:dyDescent="0.25">
      <c r="A1214" t="s">
        <v>3296</v>
      </c>
      <c r="B1214" t="s">
        <v>2931</v>
      </c>
      <c r="C1214">
        <v>6807</v>
      </c>
      <c r="D1214" t="str">
        <f>"1283        "</f>
        <v xml:space="preserve">1283        </v>
      </c>
      <c r="E1214" t="s">
        <v>1896</v>
      </c>
      <c r="F1214" t="s">
        <v>1897</v>
      </c>
      <c r="G1214">
        <v>70</v>
      </c>
      <c r="H1214">
        <v>250513</v>
      </c>
      <c r="I1214">
        <v>4600</v>
      </c>
      <c r="J1214" t="s">
        <v>278</v>
      </c>
      <c r="K1214">
        <v>70</v>
      </c>
      <c r="L1214">
        <v>0</v>
      </c>
      <c r="M1214">
        <v>13401</v>
      </c>
      <c r="N1214" t="s">
        <v>10</v>
      </c>
      <c r="O1214">
        <v>250516</v>
      </c>
      <c r="P1214">
        <v>70</v>
      </c>
    </row>
    <row r="1215" spans="1:16" x14ac:dyDescent="0.25">
      <c r="A1215" t="s">
        <v>3296</v>
      </c>
      <c r="B1215" t="s">
        <v>2931</v>
      </c>
      <c r="C1215">
        <v>4806</v>
      </c>
      <c r="D1215" t="str">
        <f>"NV/2025/2056"</f>
        <v>NV/2025/2056</v>
      </c>
      <c r="E1215" t="s">
        <v>1659</v>
      </c>
      <c r="F1215" t="s">
        <v>1660</v>
      </c>
      <c r="G1215">
        <v>143.30000000000001</v>
      </c>
      <c r="H1215">
        <v>250404</v>
      </c>
      <c r="I1215">
        <v>4600</v>
      </c>
      <c r="J1215" t="s">
        <v>278</v>
      </c>
      <c r="K1215">
        <v>214.3</v>
      </c>
      <c r="L1215">
        <v>29.12</v>
      </c>
      <c r="M1215">
        <v>66754</v>
      </c>
      <c r="N1215" t="s">
        <v>119</v>
      </c>
      <c r="O1215">
        <v>250415</v>
      </c>
      <c r="P1215">
        <v>114.18</v>
      </c>
    </row>
    <row r="1216" spans="1:16" x14ac:dyDescent="0.25">
      <c r="A1216" t="s">
        <v>3296</v>
      </c>
      <c r="B1216" t="s">
        <v>2931</v>
      </c>
      <c r="C1216">
        <v>4806</v>
      </c>
      <c r="D1216" t="str">
        <f>"NV/2025/2056"</f>
        <v>NV/2025/2056</v>
      </c>
      <c r="E1216" t="s">
        <v>1659</v>
      </c>
      <c r="F1216" t="s">
        <v>1660</v>
      </c>
      <c r="G1216">
        <v>71</v>
      </c>
      <c r="H1216">
        <v>250404</v>
      </c>
      <c r="I1216">
        <v>4600</v>
      </c>
      <c r="J1216" t="s">
        <v>278</v>
      </c>
      <c r="K1216">
        <v>214.3</v>
      </c>
      <c r="L1216">
        <v>14.43</v>
      </c>
      <c r="M1216">
        <v>66754</v>
      </c>
      <c r="N1216" t="s">
        <v>119</v>
      </c>
      <c r="O1216">
        <v>250415</v>
      </c>
      <c r="P1216">
        <v>56.57</v>
      </c>
    </row>
    <row r="1217" spans="1:16" x14ac:dyDescent="0.25">
      <c r="A1217" t="s">
        <v>3296</v>
      </c>
      <c r="B1217" t="s">
        <v>2931</v>
      </c>
      <c r="C1217">
        <v>5644</v>
      </c>
      <c r="D1217" t="str">
        <f>"NV/2025/2580"</f>
        <v>NV/2025/2580</v>
      </c>
      <c r="E1217" t="s">
        <v>1659</v>
      </c>
      <c r="F1217" t="s">
        <v>1660</v>
      </c>
      <c r="G1217">
        <v>216.73</v>
      </c>
      <c r="H1217">
        <v>250424</v>
      </c>
      <c r="I1217">
        <v>4600</v>
      </c>
      <c r="J1217" t="s">
        <v>278</v>
      </c>
      <c r="K1217">
        <v>361.05</v>
      </c>
      <c r="L1217">
        <v>44.04</v>
      </c>
      <c r="M1217">
        <v>66754</v>
      </c>
      <c r="N1217" t="s">
        <v>119</v>
      </c>
      <c r="O1217">
        <v>250428</v>
      </c>
      <c r="P1217">
        <v>172.69</v>
      </c>
    </row>
    <row r="1218" spans="1:16" x14ac:dyDescent="0.25">
      <c r="A1218" t="s">
        <v>3296</v>
      </c>
      <c r="B1218" t="s">
        <v>2931</v>
      </c>
      <c r="C1218">
        <v>5644</v>
      </c>
      <c r="D1218" t="str">
        <f>"NV/2025/2580"</f>
        <v>NV/2025/2580</v>
      </c>
      <c r="E1218" t="s">
        <v>1659</v>
      </c>
      <c r="F1218" t="s">
        <v>1660</v>
      </c>
      <c r="G1218">
        <v>144.32</v>
      </c>
      <c r="H1218">
        <v>250424</v>
      </c>
      <c r="I1218">
        <v>4600</v>
      </c>
      <c r="J1218" t="s">
        <v>278</v>
      </c>
      <c r="K1218">
        <v>361.05</v>
      </c>
      <c r="L1218">
        <v>29.32</v>
      </c>
      <c r="M1218">
        <v>66754</v>
      </c>
      <c r="N1218" t="s">
        <v>119</v>
      </c>
      <c r="O1218">
        <v>250428</v>
      </c>
      <c r="P1218">
        <v>115</v>
      </c>
    </row>
    <row r="1219" spans="1:16" x14ac:dyDescent="0.25">
      <c r="A1219" t="s">
        <v>3296</v>
      </c>
      <c r="B1219" t="s">
        <v>2931</v>
      </c>
      <c r="C1219">
        <v>6918</v>
      </c>
      <c r="D1219" t="str">
        <f>"NV/2025/3999"</f>
        <v>NV/2025/3999</v>
      </c>
      <c r="E1219" t="s">
        <v>1659</v>
      </c>
      <c r="F1219" t="s">
        <v>1660</v>
      </c>
      <c r="G1219">
        <v>191.93</v>
      </c>
      <c r="H1219">
        <v>250516</v>
      </c>
      <c r="I1219">
        <v>4600</v>
      </c>
      <c r="J1219" t="s">
        <v>278</v>
      </c>
      <c r="K1219">
        <v>191.93</v>
      </c>
      <c r="L1219">
        <v>39</v>
      </c>
      <c r="M1219">
        <v>66754</v>
      </c>
      <c r="N1219" t="s">
        <v>119</v>
      </c>
      <c r="O1219">
        <v>250520</v>
      </c>
      <c r="P1219">
        <v>152.93</v>
      </c>
    </row>
    <row r="1220" spans="1:16" x14ac:dyDescent="0.25">
      <c r="A1220" t="s">
        <v>3296</v>
      </c>
      <c r="B1220" t="s">
        <v>2931</v>
      </c>
      <c r="C1220">
        <v>7486</v>
      </c>
      <c r="D1220" t="str">
        <f>"NV/2025/4399"</f>
        <v>NV/2025/4399</v>
      </c>
      <c r="E1220" t="s">
        <v>1659</v>
      </c>
      <c r="F1220" t="s">
        <v>1660</v>
      </c>
      <c r="G1220">
        <v>119.65</v>
      </c>
      <c r="H1220">
        <v>250523</v>
      </c>
      <c r="I1220">
        <v>4600</v>
      </c>
      <c r="J1220" t="s">
        <v>278</v>
      </c>
      <c r="K1220">
        <v>119.65</v>
      </c>
      <c r="L1220">
        <v>24.31</v>
      </c>
      <c r="M1220">
        <v>66754</v>
      </c>
      <c r="N1220" t="s">
        <v>119</v>
      </c>
      <c r="O1220">
        <v>250604</v>
      </c>
      <c r="P1220">
        <v>95.34</v>
      </c>
    </row>
    <row r="1221" spans="1:16" x14ac:dyDescent="0.25">
      <c r="A1221" t="s">
        <v>3296</v>
      </c>
      <c r="B1221" t="s">
        <v>2931</v>
      </c>
      <c r="C1221">
        <v>8361</v>
      </c>
      <c r="D1221" t="str">
        <f>"NV/2025/4832"</f>
        <v>NV/2025/4832</v>
      </c>
      <c r="E1221" t="s">
        <v>1659</v>
      </c>
      <c r="F1221" t="s">
        <v>1660</v>
      </c>
      <c r="G1221">
        <v>316.82</v>
      </c>
      <c r="H1221">
        <v>250606</v>
      </c>
      <c r="I1221">
        <v>4600</v>
      </c>
      <c r="J1221" t="s">
        <v>278</v>
      </c>
      <c r="K1221">
        <v>316.82</v>
      </c>
      <c r="L1221">
        <v>64.37</v>
      </c>
      <c r="M1221">
        <v>66754</v>
      </c>
      <c r="N1221" t="s">
        <v>119</v>
      </c>
      <c r="O1221">
        <v>250613</v>
      </c>
      <c r="P1221">
        <v>252.45</v>
      </c>
    </row>
    <row r="1222" spans="1:16" x14ac:dyDescent="0.25">
      <c r="A1222" t="s">
        <v>3296</v>
      </c>
      <c r="B1222" t="s">
        <v>2931</v>
      </c>
      <c r="C1222">
        <v>8829</v>
      </c>
      <c r="D1222" t="str">
        <f>"NV/2025/5106"</f>
        <v>NV/2025/5106</v>
      </c>
      <c r="E1222" t="s">
        <v>1659</v>
      </c>
      <c r="F1222" t="s">
        <v>1660</v>
      </c>
      <c r="G1222">
        <v>85.29</v>
      </c>
      <c r="H1222">
        <v>250613</v>
      </c>
      <c r="I1222">
        <v>4600</v>
      </c>
      <c r="J1222" t="s">
        <v>278</v>
      </c>
      <c r="K1222">
        <v>85.29</v>
      </c>
      <c r="L1222">
        <v>17.329999999999998</v>
      </c>
      <c r="M1222">
        <v>66754</v>
      </c>
      <c r="N1222" t="s">
        <v>119</v>
      </c>
      <c r="O1222">
        <v>250618</v>
      </c>
      <c r="P1222">
        <v>67.959999999999994</v>
      </c>
    </row>
    <row r="1223" spans="1:16" x14ac:dyDescent="0.25">
      <c r="A1223" t="s">
        <v>3296</v>
      </c>
      <c r="B1223" t="s">
        <v>2931</v>
      </c>
      <c r="C1223">
        <v>9160</v>
      </c>
      <c r="D1223" t="str">
        <f>"NV/2025/5947"</f>
        <v>NV/2025/5947</v>
      </c>
      <c r="E1223" t="s">
        <v>1659</v>
      </c>
      <c r="F1223" t="s">
        <v>1660</v>
      </c>
      <c r="G1223">
        <v>186.36</v>
      </c>
      <c r="H1223">
        <v>250619</v>
      </c>
      <c r="I1223">
        <v>4600</v>
      </c>
      <c r="J1223" t="s">
        <v>278</v>
      </c>
      <c r="K1223">
        <v>186.36</v>
      </c>
      <c r="L1223">
        <v>37.869999999999997</v>
      </c>
      <c r="M1223">
        <v>66754</v>
      </c>
      <c r="N1223" t="s">
        <v>119</v>
      </c>
      <c r="O1223">
        <v>250627</v>
      </c>
      <c r="P1223">
        <v>148.49</v>
      </c>
    </row>
    <row r="1224" spans="1:16" x14ac:dyDescent="0.25">
      <c r="A1224" t="s">
        <v>3296</v>
      </c>
      <c r="B1224" t="s">
        <v>2931</v>
      </c>
      <c r="C1224">
        <v>9446</v>
      </c>
      <c r="D1224" t="str">
        <f>"NV/2025/6781"</f>
        <v>NV/2025/6781</v>
      </c>
      <c r="E1224" t="s">
        <v>1659</v>
      </c>
      <c r="F1224" t="s">
        <v>1660</v>
      </c>
      <c r="G1224">
        <v>118.52</v>
      </c>
      <c r="H1224">
        <v>250704</v>
      </c>
      <c r="I1224">
        <v>4600</v>
      </c>
      <c r="J1224" t="s">
        <v>278</v>
      </c>
      <c r="K1224">
        <v>175.07</v>
      </c>
      <c r="L1224">
        <v>24.08</v>
      </c>
      <c r="M1224">
        <v>66754</v>
      </c>
      <c r="N1224" t="s">
        <v>119</v>
      </c>
      <c r="O1224">
        <v>250707</v>
      </c>
      <c r="P1224">
        <v>94.44</v>
      </c>
    </row>
    <row r="1225" spans="1:16" x14ac:dyDescent="0.25">
      <c r="A1225" t="s">
        <v>3296</v>
      </c>
      <c r="B1225" t="s">
        <v>2931</v>
      </c>
      <c r="C1225">
        <v>9446</v>
      </c>
      <c r="D1225" t="str">
        <f>"NV/2025/6781"</f>
        <v>NV/2025/6781</v>
      </c>
      <c r="E1225" t="s">
        <v>1659</v>
      </c>
      <c r="F1225" t="s">
        <v>1660</v>
      </c>
      <c r="G1225">
        <v>56.55</v>
      </c>
      <c r="H1225">
        <v>250704</v>
      </c>
      <c r="I1225">
        <v>4600</v>
      </c>
      <c r="J1225" t="s">
        <v>278</v>
      </c>
      <c r="K1225">
        <v>175.07</v>
      </c>
      <c r="L1225">
        <v>11.49</v>
      </c>
      <c r="M1225">
        <v>66754</v>
      </c>
      <c r="N1225" t="s">
        <v>119</v>
      </c>
      <c r="O1225">
        <v>250707</v>
      </c>
      <c r="P1225">
        <v>45.06</v>
      </c>
    </row>
    <row r="1226" spans="1:16" x14ac:dyDescent="0.25">
      <c r="A1226" t="s">
        <v>3296</v>
      </c>
      <c r="B1226" t="s">
        <v>2931</v>
      </c>
      <c r="C1226">
        <v>9847</v>
      </c>
      <c r="D1226" t="str">
        <f>"NV/2025/7550"</f>
        <v>NV/2025/7550</v>
      </c>
      <c r="E1226" t="s">
        <v>1659</v>
      </c>
      <c r="F1226" t="s">
        <v>1660</v>
      </c>
      <c r="G1226">
        <v>66.95</v>
      </c>
      <c r="H1226">
        <v>250725</v>
      </c>
      <c r="I1226">
        <v>4600</v>
      </c>
      <c r="J1226" t="s">
        <v>278</v>
      </c>
      <c r="K1226">
        <v>66.95</v>
      </c>
      <c r="L1226">
        <v>13.6</v>
      </c>
      <c r="M1226">
        <v>66754</v>
      </c>
      <c r="N1226" t="s">
        <v>119</v>
      </c>
      <c r="O1226">
        <v>250729</v>
      </c>
      <c r="P1226">
        <v>53.35</v>
      </c>
    </row>
    <row r="1227" spans="1:16" x14ac:dyDescent="0.25">
      <c r="A1227" t="s">
        <v>3296</v>
      </c>
      <c r="B1227" t="s">
        <v>2931</v>
      </c>
      <c r="C1227">
        <v>10223</v>
      </c>
      <c r="D1227" t="str">
        <f>"NV/2025/8316"</f>
        <v>NV/2025/8316</v>
      </c>
      <c r="E1227" t="s">
        <v>1659</v>
      </c>
      <c r="F1227" t="s">
        <v>1660</v>
      </c>
      <c r="G1227">
        <v>83.59</v>
      </c>
      <c r="H1227">
        <v>250808</v>
      </c>
      <c r="I1227">
        <v>4600</v>
      </c>
      <c r="J1227" t="s">
        <v>278</v>
      </c>
      <c r="K1227">
        <v>133.54</v>
      </c>
      <c r="L1227">
        <v>16.98</v>
      </c>
      <c r="M1227">
        <v>66754</v>
      </c>
      <c r="N1227" t="s">
        <v>119</v>
      </c>
      <c r="O1227">
        <v>250813</v>
      </c>
      <c r="P1227">
        <v>66.61</v>
      </c>
    </row>
    <row r="1228" spans="1:16" x14ac:dyDescent="0.25">
      <c r="A1228" t="s">
        <v>3296</v>
      </c>
      <c r="B1228" t="s">
        <v>2931</v>
      </c>
      <c r="C1228">
        <v>10223</v>
      </c>
      <c r="D1228" t="str">
        <f>"NV/2025/8316"</f>
        <v>NV/2025/8316</v>
      </c>
      <c r="E1228" t="s">
        <v>1659</v>
      </c>
      <c r="F1228" t="s">
        <v>1660</v>
      </c>
      <c r="G1228">
        <v>49.95</v>
      </c>
      <c r="H1228">
        <v>250808</v>
      </c>
      <c r="I1228">
        <v>4600</v>
      </c>
      <c r="J1228" t="s">
        <v>278</v>
      </c>
      <c r="K1228">
        <v>133.54</v>
      </c>
      <c r="L1228">
        <v>10.15</v>
      </c>
      <c r="M1228">
        <v>66754</v>
      </c>
      <c r="N1228" t="s">
        <v>119</v>
      </c>
      <c r="O1228">
        <v>250813</v>
      </c>
      <c r="P1228">
        <v>39.799999999999997</v>
      </c>
    </row>
    <row r="1229" spans="1:16" x14ac:dyDescent="0.25">
      <c r="A1229" t="s">
        <v>3296</v>
      </c>
      <c r="B1229" t="s">
        <v>2931</v>
      </c>
      <c r="C1229">
        <v>10519</v>
      </c>
      <c r="D1229" t="str">
        <f>"NV/2025/8404"</f>
        <v>NV/2025/8404</v>
      </c>
      <c r="E1229" t="s">
        <v>1659</v>
      </c>
      <c r="F1229" t="s">
        <v>1660</v>
      </c>
      <c r="G1229">
        <v>240.15</v>
      </c>
      <c r="H1229">
        <v>250815</v>
      </c>
      <c r="I1229">
        <v>4600</v>
      </c>
      <c r="J1229" t="s">
        <v>278</v>
      </c>
      <c r="K1229">
        <v>240.15</v>
      </c>
      <c r="L1229">
        <v>48.8</v>
      </c>
      <c r="M1229">
        <v>66754</v>
      </c>
      <c r="N1229" t="s">
        <v>119</v>
      </c>
      <c r="O1229">
        <v>250820</v>
      </c>
      <c r="P1229">
        <v>191.35</v>
      </c>
    </row>
    <row r="1230" spans="1:16" x14ac:dyDescent="0.25">
      <c r="A1230" t="s">
        <v>3296</v>
      </c>
      <c r="B1230" t="s">
        <v>2931</v>
      </c>
      <c r="C1230">
        <v>11305</v>
      </c>
      <c r="D1230" t="str">
        <f>"NV/2025/9040"</f>
        <v>NV/2025/9040</v>
      </c>
      <c r="E1230" t="s">
        <v>1659</v>
      </c>
      <c r="F1230" t="s">
        <v>1660</v>
      </c>
      <c r="G1230">
        <v>197.41</v>
      </c>
      <c r="H1230">
        <v>250829</v>
      </c>
      <c r="I1230">
        <v>4600</v>
      </c>
      <c r="J1230" t="s">
        <v>278</v>
      </c>
      <c r="K1230">
        <v>285.99</v>
      </c>
      <c r="L1230">
        <v>40.11</v>
      </c>
      <c r="M1230">
        <v>66754</v>
      </c>
      <c r="N1230" t="s">
        <v>119</v>
      </c>
      <c r="O1230">
        <v>250903</v>
      </c>
      <c r="P1230">
        <v>157.30000000000001</v>
      </c>
    </row>
    <row r="1231" spans="1:16" x14ac:dyDescent="0.25">
      <c r="A1231" t="s">
        <v>3296</v>
      </c>
      <c r="B1231" t="s">
        <v>2931</v>
      </c>
      <c r="C1231">
        <v>11305</v>
      </c>
      <c r="D1231" t="str">
        <f>"NV/2025/9040"</f>
        <v>NV/2025/9040</v>
      </c>
      <c r="E1231" t="s">
        <v>1659</v>
      </c>
      <c r="F1231" t="s">
        <v>1660</v>
      </c>
      <c r="G1231">
        <v>88.58</v>
      </c>
      <c r="H1231">
        <v>250829</v>
      </c>
      <c r="I1231">
        <v>4600</v>
      </c>
      <c r="J1231" t="s">
        <v>278</v>
      </c>
      <c r="K1231">
        <v>285.99</v>
      </c>
      <c r="L1231">
        <v>18</v>
      </c>
      <c r="M1231">
        <v>66754</v>
      </c>
      <c r="N1231" t="s">
        <v>119</v>
      </c>
      <c r="O1231">
        <v>250903</v>
      </c>
      <c r="P1231">
        <v>70.58</v>
      </c>
    </row>
    <row r="1232" spans="1:16" x14ac:dyDescent="0.25">
      <c r="A1232" t="s">
        <v>3296</v>
      </c>
      <c r="B1232" t="s">
        <v>2931</v>
      </c>
      <c r="C1232">
        <v>11942</v>
      </c>
      <c r="D1232" t="str">
        <f>"NV/2025/9359"</f>
        <v>NV/2025/9359</v>
      </c>
      <c r="E1232" t="s">
        <v>1659</v>
      </c>
      <c r="F1232" t="s">
        <v>1660</v>
      </c>
      <c r="G1232">
        <v>269.43</v>
      </c>
      <c r="H1232">
        <v>250912</v>
      </c>
      <c r="I1232">
        <v>4600</v>
      </c>
      <c r="J1232" t="s">
        <v>278</v>
      </c>
      <c r="K1232">
        <v>269.43</v>
      </c>
      <c r="L1232">
        <v>54.74</v>
      </c>
      <c r="M1232">
        <v>66754</v>
      </c>
      <c r="N1232" t="s">
        <v>119</v>
      </c>
      <c r="O1232">
        <v>250912</v>
      </c>
      <c r="P1232">
        <v>214.69</v>
      </c>
    </row>
    <row r="1233" spans="1:16" x14ac:dyDescent="0.25">
      <c r="A1233" t="s">
        <v>3296</v>
      </c>
      <c r="B1233" t="s">
        <v>2931</v>
      </c>
      <c r="C1233">
        <v>13428</v>
      </c>
      <c r="D1233" t="str">
        <f>"NV/2025/9703"</f>
        <v>NV/2025/9703</v>
      </c>
      <c r="E1233" t="s">
        <v>1659</v>
      </c>
      <c r="F1233" t="s">
        <v>1660</v>
      </c>
      <c r="G1233">
        <v>28.87</v>
      </c>
      <c r="H1233">
        <v>251003</v>
      </c>
      <c r="I1233">
        <v>4600</v>
      </c>
      <c r="J1233" t="s">
        <v>278</v>
      </c>
      <c r="K1233">
        <v>232</v>
      </c>
      <c r="L1233">
        <v>5.87</v>
      </c>
      <c r="M1233">
        <v>66722</v>
      </c>
      <c r="N1233" t="s">
        <v>118</v>
      </c>
      <c r="O1233">
        <v>251009</v>
      </c>
      <c r="P1233">
        <v>23</v>
      </c>
    </row>
    <row r="1234" spans="1:16" x14ac:dyDescent="0.25">
      <c r="A1234" t="s">
        <v>3296</v>
      </c>
      <c r="B1234" t="s">
        <v>2931</v>
      </c>
      <c r="C1234">
        <v>13428</v>
      </c>
      <c r="D1234" t="str">
        <f>"NV/2025/9703"</f>
        <v>NV/2025/9703</v>
      </c>
      <c r="E1234" t="s">
        <v>1659</v>
      </c>
      <c r="F1234" t="s">
        <v>1660</v>
      </c>
      <c r="G1234">
        <v>203.13</v>
      </c>
      <c r="H1234">
        <v>251003</v>
      </c>
      <c r="I1234">
        <v>4600</v>
      </c>
      <c r="J1234" t="s">
        <v>278</v>
      </c>
      <c r="K1234">
        <v>232</v>
      </c>
      <c r="L1234">
        <v>41.27</v>
      </c>
      <c r="M1234">
        <v>66754</v>
      </c>
      <c r="N1234" t="s">
        <v>119</v>
      </c>
      <c r="O1234">
        <v>251009</v>
      </c>
      <c r="P1234">
        <v>161.86000000000001</v>
      </c>
    </row>
    <row r="1235" spans="1:16" x14ac:dyDescent="0.25">
      <c r="A1235" t="s">
        <v>3296</v>
      </c>
      <c r="B1235" t="s">
        <v>2931</v>
      </c>
      <c r="C1235">
        <v>14151</v>
      </c>
      <c r="D1235" t="str">
        <f>"V/2025/10641"</f>
        <v>V/2025/10641</v>
      </c>
      <c r="E1235" t="s">
        <v>1659</v>
      </c>
      <c r="F1235" t="s">
        <v>1660</v>
      </c>
      <c r="G1235">
        <v>255.06</v>
      </c>
      <c r="H1235">
        <v>251024</v>
      </c>
      <c r="I1235">
        <v>4600</v>
      </c>
      <c r="J1235" t="s">
        <v>278</v>
      </c>
      <c r="K1235">
        <v>255.06</v>
      </c>
      <c r="L1235">
        <v>51.82</v>
      </c>
      <c r="M1235">
        <v>66754</v>
      </c>
      <c r="N1235" t="s">
        <v>119</v>
      </c>
      <c r="O1235">
        <v>251024</v>
      </c>
      <c r="P1235">
        <v>203.24</v>
      </c>
    </row>
    <row r="1236" spans="1:16" x14ac:dyDescent="0.25">
      <c r="A1236" t="s">
        <v>3296</v>
      </c>
      <c r="B1236" t="s">
        <v>2931</v>
      </c>
      <c r="C1236">
        <v>15018</v>
      </c>
      <c r="D1236" t="str">
        <f>"V/2025/10937"</f>
        <v>V/2025/10937</v>
      </c>
      <c r="E1236" t="s">
        <v>1659</v>
      </c>
      <c r="F1236" t="s">
        <v>1660</v>
      </c>
      <c r="G1236">
        <v>161.88</v>
      </c>
      <c r="H1236">
        <v>251106</v>
      </c>
      <c r="I1236">
        <v>4600</v>
      </c>
      <c r="J1236" t="s">
        <v>278</v>
      </c>
      <c r="K1236">
        <v>161.88</v>
      </c>
      <c r="L1236">
        <v>32.89</v>
      </c>
      <c r="M1236">
        <v>66754</v>
      </c>
      <c r="N1236" t="s">
        <v>119</v>
      </c>
      <c r="O1236">
        <v>251110</v>
      </c>
      <c r="P1236">
        <v>128.99</v>
      </c>
    </row>
    <row r="1237" spans="1:16" x14ac:dyDescent="0.25">
      <c r="A1237" t="s">
        <v>3296</v>
      </c>
      <c r="B1237" t="s">
        <v>2931</v>
      </c>
      <c r="C1237">
        <v>10843</v>
      </c>
      <c r="D1237" t="str">
        <f>"505         "</f>
        <v xml:space="preserve">505         </v>
      </c>
      <c r="E1237" t="s">
        <v>659</v>
      </c>
      <c r="F1237" t="s">
        <v>660</v>
      </c>
      <c r="G1237">
        <v>569.54999999999995</v>
      </c>
      <c r="H1237">
        <v>250811</v>
      </c>
      <c r="I1237">
        <v>4400</v>
      </c>
      <c r="J1237" t="s">
        <v>162</v>
      </c>
      <c r="K1237">
        <v>569.54999999999995</v>
      </c>
      <c r="L1237">
        <v>115.73</v>
      </c>
      <c r="M1237">
        <v>17802</v>
      </c>
      <c r="N1237" t="s">
        <v>18</v>
      </c>
      <c r="O1237">
        <v>250825</v>
      </c>
      <c r="P1237">
        <v>453.82</v>
      </c>
    </row>
    <row r="1238" spans="1:16" x14ac:dyDescent="0.25">
      <c r="A1238" t="s">
        <v>3296</v>
      </c>
      <c r="B1238" t="s">
        <v>2931</v>
      </c>
      <c r="C1238">
        <v>15918</v>
      </c>
      <c r="D1238" t="str">
        <f>"588         "</f>
        <v xml:space="preserve">588         </v>
      </c>
      <c r="E1238" t="s">
        <v>659</v>
      </c>
      <c r="F1238" t="s">
        <v>660</v>
      </c>
      <c r="G1238">
        <v>54.59</v>
      </c>
      <c r="H1238">
        <v>251114</v>
      </c>
      <c r="I1238">
        <v>4400</v>
      </c>
      <c r="J1238" t="s">
        <v>162</v>
      </c>
      <c r="K1238">
        <v>54.59</v>
      </c>
      <c r="L1238">
        <v>11.09</v>
      </c>
      <c r="M1238">
        <v>17802</v>
      </c>
      <c r="N1238" t="s">
        <v>18</v>
      </c>
      <c r="O1238">
        <v>251201</v>
      </c>
      <c r="P1238">
        <v>43.5</v>
      </c>
    </row>
    <row r="1239" spans="1:16" x14ac:dyDescent="0.25">
      <c r="A1239" t="s">
        <v>3296</v>
      </c>
      <c r="B1239" t="s">
        <v>2931</v>
      </c>
      <c r="C1239">
        <v>672</v>
      </c>
      <c r="D1239" t="str">
        <f>"368         "</f>
        <v xml:space="preserve">368         </v>
      </c>
      <c r="E1239" t="s">
        <v>659</v>
      </c>
      <c r="F1239" t="s">
        <v>660</v>
      </c>
      <c r="G1239">
        <v>117.66</v>
      </c>
      <c r="H1239">
        <v>250122</v>
      </c>
      <c r="I1239">
        <v>4580</v>
      </c>
      <c r="J1239" t="s">
        <v>126</v>
      </c>
      <c r="K1239">
        <v>117.66</v>
      </c>
      <c r="L1239">
        <v>23.91</v>
      </c>
      <c r="M1239">
        <v>17521</v>
      </c>
      <c r="N1239" t="s">
        <v>136</v>
      </c>
      <c r="O1239">
        <v>250127</v>
      </c>
      <c r="P1239">
        <v>93.75</v>
      </c>
    </row>
    <row r="1240" spans="1:16" x14ac:dyDescent="0.25">
      <c r="A1240" t="s">
        <v>3296</v>
      </c>
      <c r="B1240" t="s">
        <v>2931</v>
      </c>
      <c r="C1240">
        <v>15022</v>
      </c>
      <c r="D1240" t="str">
        <f>"577         "</f>
        <v xml:space="preserve">577         </v>
      </c>
      <c r="E1240" t="s">
        <v>659</v>
      </c>
      <c r="F1240" t="s">
        <v>660</v>
      </c>
      <c r="G1240">
        <v>117.66</v>
      </c>
      <c r="H1240">
        <v>251107</v>
      </c>
      <c r="I1240">
        <v>4580</v>
      </c>
      <c r="J1240" t="s">
        <v>126</v>
      </c>
      <c r="K1240">
        <v>117.66</v>
      </c>
      <c r="L1240">
        <v>23.91</v>
      </c>
      <c r="M1240">
        <v>17521</v>
      </c>
      <c r="N1240" t="s">
        <v>136</v>
      </c>
      <c r="O1240">
        <v>251110</v>
      </c>
      <c r="P1240">
        <v>93.75</v>
      </c>
    </row>
    <row r="1241" spans="1:16" x14ac:dyDescent="0.25">
      <c r="A1241" t="s">
        <v>3296</v>
      </c>
      <c r="B1241" t="s">
        <v>2931</v>
      </c>
      <c r="C1241">
        <v>3653</v>
      </c>
      <c r="D1241" t="str">
        <f>"9517        "</f>
        <v xml:space="preserve">9517        </v>
      </c>
      <c r="E1241" t="s">
        <v>1489</v>
      </c>
      <c r="F1241" t="s">
        <v>1490</v>
      </c>
      <c r="G1241">
        <v>11684.05</v>
      </c>
      <c r="H1241">
        <v>250314</v>
      </c>
      <c r="I1241">
        <v>4440</v>
      </c>
      <c r="J1241" t="s">
        <v>346</v>
      </c>
      <c r="K1241">
        <v>11684.05</v>
      </c>
      <c r="L1241">
        <v>2374.0500000000002</v>
      </c>
      <c r="M1241">
        <v>18820</v>
      </c>
      <c r="N1241" t="s">
        <v>372</v>
      </c>
      <c r="O1241">
        <v>250327</v>
      </c>
      <c r="P1241">
        <v>9310</v>
      </c>
    </row>
    <row r="1242" spans="1:16" x14ac:dyDescent="0.25">
      <c r="A1242" t="s">
        <v>3296</v>
      </c>
      <c r="B1242" t="s">
        <v>2931</v>
      </c>
      <c r="C1242">
        <v>8715</v>
      </c>
      <c r="D1242" t="str">
        <f>"9534        "</f>
        <v xml:space="preserve">9534        </v>
      </c>
      <c r="E1242" t="s">
        <v>1489</v>
      </c>
      <c r="F1242" t="s">
        <v>1490</v>
      </c>
      <c r="G1242">
        <v>11207.15</v>
      </c>
      <c r="H1242">
        <v>250601</v>
      </c>
      <c r="I1242">
        <v>4440</v>
      </c>
      <c r="J1242" t="s">
        <v>346</v>
      </c>
      <c r="K1242">
        <v>11207.15</v>
      </c>
      <c r="L1242">
        <v>2277.15</v>
      </c>
      <c r="M1242">
        <v>18820</v>
      </c>
      <c r="N1242" t="s">
        <v>372</v>
      </c>
      <c r="O1242">
        <v>250617</v>
      </c>
      <c r="P1242">
        <v>8930</v>
      </c>
    </row>
    <row r="1243" spans="1:16" x14ac:dyDescent="0.25">
      <c r="A1243" t="s">
        <v>3296</v>
      </c>
      <c r="B1243" t="s">
        <v>2931</v>
      </c>
      <c r="C1243">
        <v>12885</v>
      </c>
      <c r="D1243" t="str">
        <f>"9545        "</f>
        <v xml:space="preserve">9545        </v>
      </c>
      <c r="E1243" t="s">
        <v>1489</v>
      </c>
      <c r="F1243" t="s">
        <v>1490</v>
      </c>
      <c r="G1243">
        <v>11495.8</v>
      </c>
      <c r="H1243">
        <v>250925</v>
      </c>
      <c r="I1243">
        <v>4440</v>
      </c>
      <c r="J1243" t="s">
        <v>346</v>
      </c>
      <c r="K1243">
        <v>11495.8</v>
      </c>
      <c r="L1243">
        <v>2335.8000000000002</v>
      </c>
      <c r="M1243">
        <v>18820</v>
      </c>
      <c r="N1243" t="s">
        <v>372</v>
      </c>
      <c r="O1243">
        <v>251001</v>
      </c>
      <c r="P1243">
        <v>9160</v>
      </c>
    </row>
    <row r="1244" spans="1:16" x14ac:dyDescent="0.25">
      <c r="A1244" t="s">
        <v>3296</v>
      </c>
      <c r="B1244" t="s">
        <v>2931</v>
      </c>
      <c r="C1244">
        <v>17498</v>
      </c>
      <c r="D1244" t="str">
        <f>"9554        "</f>
        <v xml:space="preserve">9554        </v>
      </c>
      <c r="E1244" t="s">
        <v>1489</v>
      </c>
      <c r="F1244" t="s">
        <v>1490</v>
      </c>
      <c r="G1244">
        <v>12048</v>
      </c>
      <c r="H1244">
        <v>251217</v>
      </c>
      <c r="I1244">
        <v>4440</v>
      </c>
      <c r="J1244" t="s">
        <v>346</v>
      </c>
      <c r="K1244">
        <v>12048</v>
      </c>
      <c r="L1244">
        <v>2448</v>
      </c>
      <c r="M1244">
        <v>18820</v>
      </c>
      <c r="N1244" t="s">
        <v>372</v>
      </c>
      <c r="O1244">
        <v>251222</v>
      </c>
      <c r="P1244">
        <v>9600</v>
      </c>
    </row>
    <row r="1245" spans="1:16" x14ac:dyDescent="0.25">
      <c r="A1245" t="s">
        <v>3296</v>
      </c>
      <c r="B1245" t="s">
        <v>2931</v>
      </c>
      <c r="C1245">
        <v>17519</v>
      </c>
      <c r="D1245" t="str">
        <f>"9553        "</f>
        <v xml:space="preserve">9553        </v>
      </c>
      <c r="E1245" t="s">
        <v>1489</v>
      </c>
      <c r="F1245" t="s">
        <v>1490</v>
      </c>
      <c r="G1245">
        <v>12048</v>
      </c>
      <c r="H1245">
        <v>251217</v>
      </c>
      <c r="I1245">
        <v>4440</v>
      </c>
      <c r="J1245" t="s">
        <v>346</v>
      </c>
      <c r="K1245">
        <v>12048</v>
      </c>
      <c r="L1245">
        <v>2448</v>
      </c>
      <c r="M1245">
        <v>18820</v>
      </c>
      <c r="N1245" t="s">
        <v>372</v>
      </c>
      <c r="O1245">
        <v>251222</v>
      </c>
      <c r="P1245">
        <v>9600</v>
      </c>
    </row>
    <row r="1246" spans="1:16" x14ac:dyDescent="0.25">
      <c r="A1246" t="s">
        <v>3296</v>
      </c>
      <c r="B1246" t="s">
        <v>2931</v>
      </c>
      <c r="C1246">
        <v>14972</v>
      </c>
      <c r="D1246" t="str">
        <f>"5394355     "</f>
        <v xml:space="preserve">5394355     </v>
      </c>
      <c r="E1246" t="s">
        <v>2540</v>
      </c>
      <c r="F1246" t="s">
        <v>2541</v>
      </c>
      <c r="G1246">
        <v>52.3</v>
      </c>
      <c r="H1246">
        <v>251105</v>
      </c>
      <c r="I1246">
        <v>4510</v>
      </c>
      <c r="J1246" t="s">
        <v>240</v>
      </c>
      <c r="K1246">
        <v>52.3</v>
      </c>
      <c r="L1246">
        <v>10.63</v>
      </c>
      <c r="M1246">
        <v>67522</v>
      </c>
      <c r="N1246" t="s">
        <v>121</v>
      </c>
      <c r="O1246">
        <v>251110</v>
      </c>
      <c r="P1246">
        <v>41.67</v>
      </c>
    </row>
    <row r="1247" spans="1:16" x14ac:dyDescent="0.25">
      <c r="A1247" t="s">
        <v>3296</v>
      </c>
      <c r="B1247" t="s">
        <v>2931</v>
      </c>
      <c r="C1247">
        <v>9244</v>
      </c>
      <c r="D1247" t="str">
        <f>"1023        "</f>
        <v xml:space="preserve">1023        </v>
      </c>
      <c r="E1247" t="s">
        <v>3289</v>
      </c>
      <c r="F1247" t="s">
        <v>3288</v>
      </c>
      <c r="G1247">
        <v>512</v>
      </c>
      <c r="H1247">
        <v>250626</v>
      </c>
      <c r="I1247">
        <v>4400</v>
      </c>
      <c r="J1247" t="s">
        <v>162</v>
      </c>
      <c r="K1247">
        <v>512</v>
      </c>
      <c r="L1247">
        <v>104.03</v>
      </c>
      <c r="M1247">
        <v>17538</v>
      </c>
      <c r="N1247" t="s">
        <v>129</v>
      </c>
      <c r="O1247">
        <v>250701</v>
      </c>
      <c r="P1247">
        <v>407.97</v>
      </c>
    </row>
    <row r="1248" spans="1:16" x14ac:dyDescent="0.25">
      <c r="A1248" t="s">
        <v>3296</v>
      </c>
      <c r="B1248" t="s">
        <v>2931</v>
      </c>
      <c r="C1248">
        <v>2723</v>
      </c>
      <c r="D1248" t="str">
        <f>"88          "</f>
        <v xml:space="preserve">88          </v>
      </c>
      <c r="E1248" t="s">
        <v>758</v>
      </c>
      <c r="F1248" t="s">
        <v>759</v>
      </c>
      <c r="G1248">
        <v>658.88</v>
      </c>
      <c r="H1248">
        <v>250303</v>
      </c>
      <c r="I1248">
        <v>4820</v>
      </c>
      <c r="J1248" t="s">
        <v>169</v>
      </c>
      <c r="K1248">
        <v>1411.88</v>
      </c>
      <c r="L1248">
        <v>133.88</v>
      </c>
      <c r="M1248">
        <v>13901</v>
      </c>
      <c r="N1248" t="s">
        <v>116</v>
      </c>
      <c r="O1248">
        <v>250311</v>
      </c>
      <c r="P1248">
        <v>525</v>
      </c>
    </row>
    <row r="1249" spans="1:16" x14ac:dyDescent="0.25">
      <c r="A1249" t="s">
        <v>3296</v>
      </c>
      <c r="B1249" t="s">
        <v>2931</v>
      </c>
      <c r="C1249">
        <v>862</v>
      </c>
      <c r="D1249" t="str">
        <f>"82          "</f>
        <v xml:space="preserve">82          </v>
      </c>
      <c r="E1249" t="s">
        <v>758</v>
      </c>
      <c r="F1249" t="s">
        <v>759</v>
      </c>
      <c r="G1249">
        <v>1606.4</v>
      </c>
      <c r="H1249">
        <v>250127</v>
      </c>
      <c r="I1249">
        <v>4842</v>
      </c>
      <c r="J1249" t="s">
        <v>15</v>
      </c>
      <c r="K1249">
        <v>1606.4</v>
      </c>
      <c r="L1249">
        <v>326.39999999999998</v>
      </c>
      <c r="M1249">
        <v>13901</v>
      </c>
      <c r="N1249" t="s">
        <v>116</v>
      </c>
      <c r="O1249">
        <v>250130</v>
      </c>
      <c r="P1249">
        <v>1280</v>
      </c>
    </row>
    <row r="1250" spans="1:16" x14ac:dyDescent="0.25">
      <c r="A1250" t="s">
        <v>3296</v>
      </c>
      <c r="B1250" t="s">
        <v>2931</v>
      </c>
      <c r="C1250">
        <v>2723</v>
      </c>
      <c r="D1250" t="str">
        <f>"88          "</f>
        <v xml:space="preserve">88          </v>
      </c>
      <c r="E1250" t="s">
        <v>758</v>
      </c>
      <c r="F1250" t="s">
        <v>759</v>
      </c>
      <c r="G1250">
        <v>753</v>
      </c>
      <c r="H1250">
        <v>250303</v>
      </c>
      <c r="I1250">
        <v>4842</v>
      </c>
      <c r="J1250" t="s">
        <v>15</v>
      </c>
      <c r="K1250">
        <v>1411.88</v>
      </c>
      <c r="L1250">
        <v>153</v>
      </c>
      <c r="M1250">
        <v>13901</v>
      </c>
      <c r="N1250" t="s">
        <v>116</v>
      </c>
      <c r="O1250">
        <v>250311</v>
      </c>
      <c r="P1250">
        <v>600</v>
      </c>
    </row>
    <row r="1251" spans="1:16" x14ac:dyDescent="0.25">
      <c r="A1251" t="s">
        <v>3296</v>
      </c>
      <c r="B1251" t="s">
        <v>2931</v>
      </c>
      <c r="C1251">
        <v>3411</v>
      </c>
      <c r="D1251" t="str">
        <f>"90          "</f>
        <v xml:space="preserve">90          </v>
      </c>
      <c r="E1251" t="s">
        <v>758</v>
      </c>
      <c r="F1251" t="s">
        <v>759</v>
      </c>
      <c r="G1251">
        <v>351.4</v>
      </c>
      <c r="H1251">
        <v>250310</v>
      </c>
      <c r="I1251">
        <v>4842</v>
      </c>
      <c r="J1251" t="s">
        <v>15</v>
      </c>
      <c r="K1251">
        <v>351.4</v>
      </c>
      <c r="L1251">
        <v>71.400000000000006</v>
      </c>
      <c r="M1251">
        <v>13901</v>
      </c>
      <c r="N1251" t="s">
        <v>116</v>
      </c>
      <c r="O1251">
        <v>250320</v>
      </c>
      <c r="P1251">
        <v>280</v>
      </c>
    </row>
    <row r="1252" spans="1:16" x14ac:dyDescent="0.25">
      <c r="A1252" t="s">
        <v>3296</v>
      </c>
      <c r="B1252" t="s">
        <v>2931</v>
      </c>
      <c r="C1252">
        <v>7946</v>
      </c>
      <c r="D1252" t="str">
        <f>"110         "</f>
        <v xml:space="preserve">110         </v>
      </c>
      <c r="E1252" t="s">
        <v>758</v>
      </c>
      <c r="F1252" t="s">
        <v>759</v>
      </c>
      <c r="G1252">
        <v>2133.5</v>
      </c>
      <c r="H1252">
        <v>250604</v>
      </c>
      <c r="I1252">
        <v>4842</v>
      </c>
      <c r="J1252" t="s">
        <v>15</v>
      </c>
      <c r="K1252">
        <v>2133.5</v>
      </c>
      <c r="L1252">
        <v>433.5</v>
      </c>
      <c r="M1252">
        <v>13901</v>
      </c>
      <c r="N1252" t="s">
        <v>116</v>
      </c>
      <c r="O1252">
        <v>250610</v>
      </c>
      <c r="P1252">
        <v>1700</v>
      </c>
    </row>
    <row r="1253" spans="1:16" x14ac:dyDescent="0.25">
      <c r="A1253" t="s">
        <v>3296</v>
      </c>
      <c r="B1253" t="s">
        <v>2931</v>
      </c>
      <c r="C1253">
        <v>17639</v>
      </c>
      <c r="D1253" t="str">
        <f>"143         "</f>
        <v xml:space="preserve">143         </v>
      </c>
      <c r="E1253" t="s">
        <v>758</v>
      </c>
      <c r="F1253" t="s">
        <v>759</v>
      </c>
      <c r="G1253">
        <v>1643.42</v>
      </c>
      <c r="H1253">
        <v>251217</v>
      </c>
      <c r="I1253">
        <v>4860</v>
      </c>
      <c r="J1253" t="s">
        <v>286</v>
      </c>
      <c r="K1253">
        <v>1643.42</v>
      </c>
      <c r="L1253">
        <v>333.92</v>
      </c>
      <c r="M1253">
        <v>13901</v>
      </c>
      <c r="N1253" t="s">
        <v>116</v>
      </c>
      <c r="O1253">
        <v>251229</v>
      </c>
      <c r="P1253">
        <v>1309.5</v>
      </c>
    </row>
    <row r="1254" spans="1:16" x14ac:dyDescent="0.25">
      <c r="A1254" t="s">
        <v>3296</v>
      </c>
      <c r="B1254" t="s">
        <v>2931</v>
      </c>
      <c r="C1254">
        <v>5216</v>
      </c>
      <c r="D1254" t="str">
        <f>"2013027349  "</f>
        <v xml:space="preserve">2013027349  </v>
      </c>
      <c r="E1254" t="s">
        <v>1693</v>
      </c>
      <c r="F1254" t="s">
        <v>1694</v>
      </c>
      <c r="G1254">
        <v>212.63</v>
      </c>
      <c r="H1254">
        <v>250407</v>
      </c>
      <c r="I1254">
        <v>4600</v>
      </c>
      <c r="J1254" t="s">
        <v>278</v>
      </c>
      <c r="K1254">
        <v>212.63</v>
      </c>
      <c r="L1254">
        <v>43.2</v>
      </c>
      <c r="M1254">
        <v>44422</v>
      </c>
      <c r="N1254" t="s">
        <v>97</v>
      </c>
      <c r="O1254">
        <v>250422</v>
      </c>
      <c r="P1254">
        <v>169.43</v>
      </c>
    </row>
    <row r="1255" spans="1:16" x14ac:dyDescent="0.25">
      <c r="A1255" t="s">
        <v>3296</v>
      </c>
      <c r="B1255" t="s">
        <v>2931</v>
      </c>
      <c r="C1255">
        <v>12485</v>
      </c>
      <c r="D1255" t="str">
        <f>"226569      "</f>
        <v xml:space="preserve">226569      </v>
      </c>
      <c r="E1255" t="s">
        <v>2358</v>
      </c>
      <c r="F1255" t="s">
        <v>2359</v>
      </c>
      <c r="G1255">
        <v>109.8</v>
      </c>
      <c r="H1255">
        <v>250902</v>
      </c>
      <c r="I1255">
        <v>4580</v>
      </c>
      <c r="J1255" t="s">
        <v>126</v>
      </c>
      <c r="K1255">
        <v>109.8</v>
      </c>
      <c r="L1255">
        <v>22.31</v>
      </c>
      <c r="M1255">
        <v>17521</v>
      </c>
      <c r="N1255" t="s">
        <v>136</v>
      </c>
      <c r="O1255">
        <v>250925</v>
      </c>
      <c r="P1255">
        <v>87.49</v>
      </c>
    </row>
    <row r="1256" spans="1:16" x14ac:dyDescent="0.25">
      <c r="A1256" t="s">
        <v>3296</v>
      </c>
      <c r="B1256" t="s">
        <v>2931</v>
      </c>
      <c r="C1256">
        <v>1772</v>
      </c>
      <c r="D1256" t="str">
        <f>"1283        "</f>
        <v xml:space="preserve">1283        </v>
      </c>
      <c r="E1256" t="s">
        <v>1106</v>
      </c>
      <c r="F1256" t="s">
        <v>1107</v>
      </c>
      <c r="G1256">
        <v>57</v>
      </c>
      <c r="H1256">
        <v>250212</v>
      </c>
      <c r="I1256">
        <v>4420</v>
      </c>
      <c r="J1256" t="s">
        <v>330</v>
      </c>
      <c r="K1256">
        <v>57</v>
      </c>
      <c r="L1256">
        <v>7</v>
      </c>
      <c r="M1256">
        <v>13401</v>
      </c>
      <c r="N1256" t="s">
        <v>10</v>
      </c>
      <c r="O1256">
        <v>250213</v>
      </c>
      <c r="P1256">
        <v>50</v>
      </c>
    </row>
    <row r="1257" spans="1:16" x14ac:dyDescent="0.25">
      <c r="A1257" t="s">
        <v>3296</v>
      </c>
      <c r="B1257" t="s">
        <v>2931</v>
      </c>
      <c r="C1257">
        <v>2554</v>
      </c>
      <c r="D1257" t="str">
        <f>"1293        "</f>
        <v xml:space="preserve">1293        </v>
      </c>
      <c r="E1257" t="s">
        <v>1106</v>
      </c>
      <c r="F1257" t="s">
        <v>1107</v>
      </c>
      <c r="G1257">
        <v>840</v>
      </c>
      <c r="H1257">
        <v>250225</v>
      </c>
      <c r="I1257">
        <v>4420</v>
      </c>
      <c r="J1257" t="s">
        <v>330</v>
      </c>
      <c r="K1257">
        <v>840</v>
      </c>
      <c r="L1257">
        <v>103.16</v>
      </c>
      <c r="M1257">
        <v>13401</v>
      </c>
      <c r="N1257" t="s">
        <v>10</v>
      </c>
      <c r="O1257">
        <v>250304</v>
      </c>
      <c r="P1257">
        <v>736.84</v>
      </c>
    </row>
    <row r="1258" spans="1:16" x14ac:dyDescent="0.25">
      <c r="A1258" t="s">
        <v>3296</v>
      </c>
      <c r="B1258" t="s">
        <v>2931</v>
      </c>
      <c r="C1258">
        <v>6084</v>
      </c>
      <c r="D1258" t="str">
        <f>"1358        "</f>
        <v xml:space="preserve">1358        </v>
      </c>
      <c r="E1258" t="s">
        <v>1106</v>
      </c>
      <c r="F1258" t="s">
        <v>1107</v>
      </c>
      <c r="G1258">
        <v>320</v>
      </c>
      <c r="H1258">
        <v>250429</v>
      </c>
      <c r="I1258">
        <v>4420</v>
      </c>
      <c r="J1258" t="s">
        <v>330</v>
      </c>
      <c r="K1258">
        <v>320</v>
      </c>
      <c r="L1258">
        <v>39.299999999999997</v>
      </c>
      <c r="M1258">
        <v>13401</v>
      </c>
      <c r="N1258" t="s">
        <v>10</v>
      </c>
      <c r="O1258">
        <v>250508</v>
      </c>
      <c r="P1258">
        <v>280.7</v>
      </c>
    </row>
    <row r="1259" spans="1:16" x14ac:dyDescent="0.25">
      <c r="A1259" t="s">
        <v>3296</v>
      </c>
      <c r="B1259" t="s">
        <v>2931</v>
      </c>
      <c r="C1259">
        <v>6827</v>
      </c>
      <c r="D1259" t="str">
        <f>"1363        "</f>
        <v xml:space="preserve">1363        </v>
      </c>
      <c r="E1259" t="s">
        <v>1106</v>
      </c>
      <c r="F1259" t="s">
        <v>1107</v>
      </c>
      <c r="G1259">
        <v>293.33999999999997</v>
      </c>
      <c r="H1259">
        <v>250508</v>
      </c>
      <c r="I1259">
        <v>4420</v>
      </c>
      <c r="J1259" t="s">
        <v>330</v>
      </c>
      <c r="K1259">
        <v>880</v>
      </c>
      <c r="L1259">
        <v>36.020000000000003</v>
      </c>
      <c r="M1259">
        <v>44222</v>
      </c>
      <c r="N1259" t="s">
        <v>96</v>
      </c>
      <c r="O1259">
        <v>250519</v>
      </c>
      <c r="P1259">
        <v>257.32</v>
      </c>
    </row>
    <row r="1260" spans="1:16" x14ac:dyDescent="0.25">
      <c r="A1260" t="s">
        <v>3296</v>
      </c>
      <c r="B1260" t="s">
        <v>2931</v>
      </c>
      <c r="C1260">
        <v>6827</v>
      </c>
      <c r="D1260" t="str">
        <f>"1363        "</f>
        <v xml:space="preserve">1363        </v>
      </c>
      <c r="E1260" t="s">
        <v>1106</v>
      </c>
      <c r="F1260" t="s">
        <v>1107</v>
      </c>
      <c r="G1260">
        <v>293.33</v>
      </c>
      <c r="H1260">
        <v>250508</v>
      </c>
      <c r="I1260">
        <v>4420</v>
      </c>
      <c r="J1260" t="s">
        <v>330</v>
      </c>
      <c r="K1260">
        <v>880</v>
      </c>
      <c r="L1260">
        <v>36.020000000000003</v>
      </c>
      <c r="M1260">
        <v>44422</v>
      </c>
      <c r="N1260" t="s">
        <v>97</v>
      </c>
      <c r="O1260">
        <v>250519</v>
      </c>
      <c r="P1260">
        <v>257.31</v>
      </c>
    </row>
    <row r="1261" spans="1:16" x14ac:dyDescent="0.25">
      <c r="A1261" t="s">
        <v>3296</v>
      </c>
      <c r="B1261" t="s">
        <v>2931</v>
      </c>
      <c r="C1261">
        <v>6827</v>
      </c>
      <c r="D1261" t="str">
        <f>"1363        "</f>
        <v xml:space="preserve">1363        </v>
      </c>
      <c r="E1261" t="s">
        <v>1106</v>
      </c>
      <c r="F1261" t="s">
        <v>1107</v>
      </c>
      <c r="G1261">
        <v>293.33</v>
      </c>
      <c r="H1261">
        <v>250508</v>
      </c>
      <c r="I1261">
        <v>4420</v>
      </c>
      <c r="J1261" t="s">
        <v>330</v>
      </c>
      <c r="K1261">
        <v>880</v>
      </c>
      <c r="L1261">
        <v>36.020000000000003</v>
      </c>
      <c r="M1261">
        <v>46554</v>
      </c>
      <c r="N1261" t="s">
        <v>102</v>
      </c>
      <c r="O1261">
        <v>250519</v>
      </c>
      <c r="P1261">
        <v>257.31</v>
      </c>
    </row>
    <row r="1262" spans="1:16" x14ac:dyDescent="0.25">
      <c r="A1262" t="s">
        <v>3296</v>
      </c>
      <c r="B1262" t="s">
        <v>2931</v>
      </c>
      <c r="C1262">
        <v>7003</v>
      </c>
      <c r="D1262" t="str">
        <f>"1371        "</f>
        <v xml:space="preserve">1371        </v>
      </c>
      <c r="E1262" t="s">
        <v>1106</v>
      </c>
      <c r="F1262" t="s">
        <v>1107</v>
      </c>
      <c r="G1262">
        <v>595</v>
      </c>
      <c r="H1262">
        <v>250520</v>
      </c>
      <c r="I1262">
        <v>4420</v>
      </c>
      <c r="J1262" t="s">
        <v>330</v>
      </c>
      <c r="K1262">
        <v>595</v>
      </c>
      <c r="L1262">
        <v>73.069999999999993</v>
      </c>
      <c r="M1262">
        <v>13401</v>
      </c>
      <c r="N1262" t="s">
        <v>10</v>
      </c>
      <c r="O1262">
        <v>250521</v>
      </c>
      <c r="P1262">
        <v>521.92999999999995</v>
      </c>
    </row>
    <row r="1263" spans="1:16" x14ac:dyDescent="0.25">
      <c r="A1263" t="s">
        <v>3296</v>
      </c>
      <c r="B1263" t="s">
        <v>2931</v>
      </c>
      <c r="C1263">
        <v>13286</v>
      </c>
      <c r="D1263" t="str">
        <f>"1506        "</f>
        <v xml:space="preserve">1506        </v>
      </c>
      <c r="E1263" t="s">
        <v>1106</v>
      </c>
      <c r="F1263" t="s">
        <v>1107</v>
      </c>
      <c r="G1263">
        <v>660</v>
      </c>
      <c r="H1263">
        <v>250930</v>
      </c>
      <c r="I1263">
        <v>4420</v>
      </c>
      <c r="J1263" t="s">
        <v>330</v>
      </c>
      <c r="K1263">
        <v>660</v>
      </c>
      <c r="L1263">
        <v>81.05</v>
      </c>
      <c r="M1263">
        <v>13401</v>
      </c>
      <c r="N1263" t="s">
        <v>10</v>
      </c>
      <c r="O1263">
        <v>251007</v>
      </c>
      <c r="P1263">
        <v>578.95000000000005</v>
      </c>
    </row>
    <row r="1264" spans="1:16" x14ac:dyDescent="0.25">
      <c r="A1264" t="s">
        <v>3296</v>
      </c>
      <c r="B1264" t="s">
        <v>2931</v>
      </c>
      <c r="C1264">
        <v>14086</v>
      </c>
      <c r="D1264" t="str">
        <f>"1519        "</f>
        <v xml:space="preserve">1519        </v>
      </c>
      <c r="E1264" t="s">
        <v>1106</v>
      </c>
      <c r="F1264" t="s">
        <v>1107</v>
      </c>
      <c r="G1264">
        <v>1050</v>
      </c>
      <c r="H1264">
        <v>251013</v>
      </c>
      <c r="I1264">
        <v>4420</v>
      </c>
      <c r="J1264" t="s">
        <v>330</v>
      </c>
      <c r="K1264">
        <v>1050</v>
      </c>
      <c r="L1264">
        <v>128.94999999999999</v>
      </c>
      <c r="M1264">
        <v>44424</v>
      </c>
      <c r="N1264" t="s">
        <v>99</v>
      </c>
      <c r="O1264">
        <v>251023</v>
      </c>
      <c r="P1264">
        <v>921.05</v>
      </c>
    </row>
    <row r="1265" spans="1:16" x14ac:dyDescent="0.25">
      <c r="A1265" t="s">
        <v>3296</v>
      </c>
      <c r="B1265" t="s">
        <v>2931</v>
      </c>
      <c r="C1265">
        <v>14938</v>
      </c>
      <c r="D1265" t="str">
        <f>"1543        "</f>
        <v xml:space="preserve">1543        </v>
      </c>
      <c r="E1265" t="s">
        <v>1106</v>
      </c>
      <c r="F1265" t="s">
        <v>1107</v>
      </c>
      <c r="G1265">
        <v>990</v>
      </c>
      <c r="H1265">
        <v>251105</v>
      </c>
      <c r="I1265">
        <v>4420</v>
      </c>
      <c r="J1265" t="s">
        <v>330</v>
      </c>
      <c r="K1265">
        <v>990</v>
      </c>
      <c r="L1265">
        <v>121.58</v>
      </c>
      <c r="M1265">
        <v>13401</v>
      </c>
      <c r="N1265" t="s">
        <v>10</v>
      </c>
      <c r="O1265">
        <v>251110</v>
      </c>
      <c r="P1265">
        <v>868.42</v>
      </c>
    </row>
    <row r="1266" spans="1:16" x14ac:dyDescent="0.25">
      <c r="A1266" t="s">
        <v>3296</v>
      </c>
      <c r="B1266" t="s">
        <v>2931</v>
      </c>
      <c r="C1266">
        <v>15307</v>
      </c>
      <c r="D1266" t="str">
        <f>"1558        "</f>
        <v xml:space="preserve">1558        </v>
      </c>
      <c r="E1266" t="s">
        <v>1106</v>
      </c>
      <c r="F1266" t="s">
        <v>1107</v>
      </c>
      <c r="G1266">
        <v>180</v>
      </c>
      <c r="H1266">
        <v>251031</v>
      </c>
      <c r="I1266">
        <v>4420</v>
      </c>
      <c r="J1266" t="s">
        <v>330</v>
      </c>
      <c r="K1266">
        <v>180</v>
      </c>
      <c r="L1266">
        <v>22.11</v>
      </c>
      <c r="M1266">
        <v>13401</v>
      </c>
      <c r="N1266" t="s">
        <v>10</v>
      </c>
      <c r="O1266">
        <v>251118</v>
      </c>
      <c r="P1266">
        <v>157.88999999999999</v>
      </c>
    </row>
    <row r="1267" spans="1:16" x14ac:dyDescent="0.25">
      <c r="A1267" t="s">
        <v>3296</v>
      </c>
      <c r="B1267" t="s">
        <v>2931</v>
      </c>
      <c r="C1267">
        <v>16155</v>
      </c>
      <c r="D1267" t="str">
        <f>"1570        "</f>
        <v xml:space="preserve">1570        </v>
      </c>
      <c r="E1267" t="s">
        <v>1106</v>
      </c>
      <c r="F1267" t="s">
        <v>1107</v>
      </c>
      <c r="G1267">
        <v>880</v>
      </c>
      <c r="H1267">
        <v>251128</v>
      </c>
      <c r="I1267">
        <v>4420</v>
      </c>
      <c r="J1267" t="s">
        <v>330</v>
      </c>
      <c r="K1267">
        <v>880</v>
      </c>
      <c r="L1267">
        <v>108.07</v>
      </c>
      <c r="M1267">
        <v>13401</v>
      </c>
      <c r="N1267" t="s">
        <v>10</v>
      </c>
      <c r="O1267">
        <v>251204</v>
      </c>
      <c r="P1267">
        <v>771.93</v>
      </c>
    </row>
    <row r="1268" spans="1:16" x14ac:dyDescent="0.25">
      <c r="A1268" t="s">
        <v>3296</v>
      </c>
      <c r="B1268" t="s">
        <v>2931</v>
      </c>
      <c r="C1268">
        <v>16156</v>
      </c>
      <c r="D1268" t="str">
        <f>"1571        "</f>
        <v xml:space="preserve">1571        </v>
      </c>
      <c r="E1268" t="s">
        <v>1106</v>
      </c>
      <c r="F1268" t="s">
        <v>1107</v>
      </c>
      <c r="G1268">
        <v>530</v>
      </c>
      <c r="H1268">
        <v>251128</v>
      </c>
      <c r="I1268">
        <v>4420</v>
      </c>
      <c r="J1268" t="s">
        <v>330</v>
      </c>
      <c r="K1268">
        <v>530</v>
      </c>
      <c r="L1268">
        <v>65.09</v>
      </c>
      <c r="M1268">
        <v>13401</v>
      </c>
      <c r="N1268" t="s">
        <v>10</v>
      </c>
      <c r="O1268">
        <v>251204</v>
      </c>
      <c r="P1268">
        <v>464.91</v>
      </c>
    </row>
    <row r="1269" spans="1:16" x14ac:dyDescent="0.25">
      <c r="A1269" t="s">
        <v>3296</v>
      </c>
      <c r="B1269" t="s">
        <v>2931</v>
      </c>
      <c r="C1269">
        <v>16927</v>
      </c>
      <c r="D1269" t="str">
        <f>"1593        "</f>
        <v xml:space="preserve">1593        </v>
      </c>
      <c r="E1269" t="s">
        <v>1106</v>
      </c>
      <c r="F1269" t="s">
        <v>1107</v>
      </c>
      <c r="G1269">
        <v>150</v>
      </c>
      <c r="H1269">
        <v>251130</v>
      </c>
      <c r="I1269">
        <v>4420</v>
      </c>
      <c r="J1269" t="s">
        <v>330</v>
      </c>
      <c r="K1269">
        <v>150</v>
      </c>
      <c r="L1269">
        <v>18.420000000000002</v>
      </c>
      <c r="M1269">
        <v>13401</v>
      </c>
      <c r="N1269" t="s">
        <v>10</v>
      </c>
      <c r="O1269">
        <v>251216</v>
      </c>
      <c r="P1269">
        <v>131.58000000000001</v>
      </c>
    </row>
    <row r="1270" spans="1:16" x14ac:dyDescent="0.25">
      <c r="A1270" t="s">
        <v>3296</v>
      </c>
      <c r="B1270" t="s">
        <v>2931</v>
      </c>
      <c r="C1270">
        <v>17122</v>
      </c>
      <c r="D1270" t="str">
        <f>"1596        "</f>
        <v xml:space="preserve">1596        </v>
      </c>
      <c r="E1270" t="s">
        <v>1106</v>
      </c>
      <c r="F1270" t="s">
        <v>1107</v>
      </c>
      <c r="G1270">
        <v>2190</v>
      </c>
      <c r="H1270">
        <v>251212</v>
      </c>
      <c r="I1270">
        <v>4420</v>
      </c>
      <c r="J1270" t="s">
        <v>330</v>
      </c>
      <c r="K1270">
        <v>2190</v>
      </c>
      <c r="L1270">
        <v>268.95</v>
      </c>
      <c r="M1270">
        <v>11941</v>
      </c>
      <c r="N1270" t="s">
        <v>426</v>
      </c>
      <c r="O1270">
        <v>251217</v>
      </c>
      <c r="P1270">
        <v>1921.05</v>
      </c>
    </row>
    <row r="1271" spans="1:16" x14ac:dyDescent="0.25">
      <c r="A1271" t="s">
        <v>3296</v>
      </c>
      <c r="B1271" t="s">
        <v>2931</v>
      </c>
      <c r="C1271">
        <v>17132</v>
      </c>
      <c r="D1271" t="str">
        <f>"1589        "</f>
        <v xml:space="preserve">1589        </v>
      </c>
      <c r="E1271" t="s">
        <v>1106</v>
      </c>
      <c r="F1271" t="s">
        <v>1107</v>
      </c>
      <c r="G1271">
        <v>600</v>
      </c>
      <c r="H1271">
        <v>251130</v>
      </c>
      <c r="I1271">
        <v>4420</v>
      </c>
      <c r="J1271" t="s">
        <v>330</v>
      </c>
      <c r="K1271">
        <v>600</v>
      </c>
      <c r="L1271">
        <v>73.680000000000007</v>
      </c>
      <c r="M1271">
        <v>11941</v>
      </c>
      <c r="N1271" t="s">
        <v>426</v>
      </c>
      <c r="O1271">
        <v>251217</v>
      </c>
      <c r="P1271">
        <v>526.32000000000005</v>
      </c>
    </row>
    <row r="1272" spans="1:16" x14ac:dyDescent="0.25">
      <c r="A1272" t="s">
        <v>3296</v>
      </c>
      <c r="B1272" t="s">
        <v>2931</v>
      </c>
      <c r="C1272">
        <v>12705</v>
      </c>
      <c r="D1272" t="str">
        <f>"12628       "</f>
        <v xml:space="preserve">12628       </v>
      </c>
      <c r="E1272" t="s">
        <v>729</v>
      </c>
      <c r="F1272" t="s">
        <v>730</v>
      </c>
      <c r="G1272">
        <v>1405</v>
      </c>
      <c r="H1272">
        <v>250919</v>
      </c>
      <c r="I1272">
        <v>4580</v>
      </c>
      <c r="J1272" t="s">
        <v>126</v>
      </c>
      <c r="K1272">
        <v>3563.3</v>
      </c>
      <c r="L1272">
        <v>285.48</v>
      </c>
      <c r="M1272">
        <v>17803</v>
      </c>
      <c r="N1272" t="s">
        <v>19</v>
      </c>
      <c r="O1272">
        <v>250929</v>
      </c>
      <c r="P1272">
        <v>1119.52</v>
      </c>
    </row>
    <row r="1273" spans="1:16" x14ac:dyDescent="0.25">
      <c r="A1273" t="s">
        <v>3296</v>
      </c>
      <c r="B1273" t="s">
        <v>2931</v>
      </c>
      <c r="C1273">
        <v>12705</v>
      </c>
      <c r="D1273" t="str">
        <f>"12628       "</f>
        <v xml:space="preserve">12628       </v>
      </c>
      <c r="E1273" t="s">
        <v>729</v>
      </c>
      <c r="F1273" t="s">
        <v>730</v>
      </c>
      <c r="G1273">
        <v>2158.3000000000002</v>
      </c>
      <c r="H1273">
        <v>250919</v>
      </c>
      <c r="I1273">
        <v>4580</v>
      </c>
      <c r="J1273" t="s">
        <v>126</v>
      </c>
      <c r="K1273">
        <v>3563.3</v>
      </c>
      <c r="L1273">
        <v>438.54</v>
      </c>
      <c r="M1273">
        <v>17804</v>
      </c>
      <c r="N1273" t="s">
        <v>20</v>
      </c>
      <c r="O1273">
        <v>250929</v>
      </c>
      <c r="P1273">
        <v>1719.76</v>
      </c>
    </row>
    <row r="1274" spans="1:16" x14ac:dyDescent="0.25">
      <c r="A1274" t="s">
        <v>3296</v>
      </c>
      <c r="B1274" t="s">
        <v>2931</v>
      </c>
      <c r="C1274">
        <v>777</v>
      </c>
      <c r="D1274" t="str">
        <f>"12393       "</f>
        <v xml:space="preserve">12393       </v>
      </c>
      <c r="E1274" t="s">
        <v>729</v>
      </c>
      <c r="F1274" t="s">
        <v>730</v>
      </c>
      <c r="G1274">
        <v>452.23</v>
      </c>
      <c r="H1274">
        <v>250124</v>
      </c>
      <c r="I1274">
        <v>4600</v>
      </c>
      <c r="J1274" t="s">
        <v>278</v>
      </c>
      <c r="K1274">
        <v>452.23</v>
      </c>
      <c r="L1274">
        <v>91.89</v>
      </c>
      <c r="M1274">
        <v>56558</v>
      </c>
      <c r="N1274" t="s">
        <v>50</v>
      </c>
      <c r="O1274">
        <v>250129</v>
      </c>
      <c r="P1274">
        <v>360.34</v>
      </c>
    </row>
    <row r="1275" spans="1:16" x14ac:dyDescent="0.25">
      <c r="A1275" t="s">
        <v>3296</v>
      </c>
      <c r="B1275" t="s">
        <v>2931</v>
      </c>
      <c r="C1275">
        <v>1073</v>
      </c>
      <c r="D1275" t="str">
        <f>"12391       "</f>
        <v xml:space="preserve">12391       </v>
      </c>
      <c r="E1275" t="s">
        <v>729</v>
      </c>
      <c r="F1275" t="s">
        <v>730</v>
      </c>
      <c r="G1275">
        <v>3859.94</v>
      </c>
      <c r="H1275">
        <v>250123</v>
      </c>
      <c r="I1275">
        <v>4600</v>
      </c>
      <c r="J1275" t="s">
        <v>278</v>
      </c>
      <c r="K1275">
        <v>3859.94</v>
      </c>
      <c r="L1275">
        <v>784.29</v>
      </c>
      <c r="M1275">
        <v>46554</v>
      </c>
      <c r="N1275" t="s">
        <v>102</v>
      </c>
      <c r="O1275">
        <v>250204</v>
      </c>
      <c r="P1275">
        <v>3075.65</v>
      </c>
    </row>
    <row r="1276" spans="1:16" x14ac:dyDescent="0.25">
      <c r="A1276" t="s">
        <v>3296</v>
      </c>
      <c r="B1276" t="s">
        <v>2931</v>
      </c>
      <c r="C1276">
        <v>1074</v>
      </c>
      <c r="D1276" t="str">
        <f>"12394       "</f>
        <v xml:space="preserve">12394       </v>
      </c>
      <c r="E1276" t="s">
        <v>729</v>
      </c>
      <c r="F1276" t="s">
        <v>730</v>
      </c>
      <c r="G1276">
        <v>1716.81</v>
      </c>
      <c r="H1276">
        <v>250124</v>
      </c>
      <c r="I1276">
        <v>4600</v>
      </c>
      <c r="J1276" t="s">
        <v>278</v>
      </c>
      <c r="K1276">
        <v>1716.81</v>
      </c>
      <c r="L1276">
        <v>348.83</v>
      </c>
      <c r="M1276">
        <v>51151</v>
      </c>
      <c r="N1276" t="s">
        <v>221</v>
      </c>
      <c r="O1276">
        <v>250204</v>
      </c>
      <c r="P1276">
        <v>1367.98</v>
      </c>
    </row>
    <row r="1277" spans="1:16" x14ac:dyDescent="0.25">
      <c r="A1277" t="s">
        <v>3296</v>
      </c>
      <c r="B1277" t="s">
        <v>2931</v>
      </c>
      <c r="C1277">
        <v>3436</v>
      </c>
      <c r="D1277" t="str">
        <f>"12428       "</f>
        <v xml:space="preserve">12428       </v>
      </c>
      <c r="E1277" t="s">
        <v>729</v>
      </c>
      <c r="F1277" t="s">
        <v>730</v>
      </c>
      <c r="G1277">
        <v>2810.7</v>
      </c>
      <c r="H1277">
        <v>250308</v>
      </c>
      <c r="I1277">
        <v>4600</v>
      </c>
      <c r="J1277" t="s">
        <v>278</v>
      </c>
      <c r="K1277">
        <v>2810.7</v>
      </c>
      <c r="L1277">
        <v>571.1</v>
      </c>
      <c r="M1277">
        <v>46555</v>
      </c>
      <c r="N1277" t="s">
        <v>103</v>
      </c>
      <c r="O1277">
        <v>250321</v>
      </c>
      <c r="P1277">
        <v>2239.6</v>
      </c>
    </row>
    <row r="1278" spans="1:16" x14ac:dyDescent="0.25">
      <c r="A1278" t="s">
        <v>3296</v>
      </c>
      <c r="B1278" t="s">
        <v>2931</v>
      </c>
      <c r="C1278">
        <v>3978</v>
      </c>
      <c r="D1278" t="str">
        <f>"12440       "</f>
        <v xml:space="preserve">12440       </v>
      </c>
      <c r="E1278" t="s">
        <v>729</v>
      </c>
      <c r="F1278" t="s">
        <v>730</v>
      </c>
      <c r="G1278">
        <v>1373.23</v>
      </c>
      <c r="H1278">
        <v>250321</v>
      </c>
      <c r="I1278">
        <v>4600</v>
      </c>
      <c r="J1278" t="s">
        <v>278</v>
      </c>
      <c r="K1278">
        <v>1373.23</v>
      </c>
      <c r="L1278">
        <v>279.02</v>
      </c>
      <c r="M1278">
        <v>46561</v>
      </c>
      <c r="N1278" t="s">
        <v>1535</v>
      </c>
      <c r="O1278">
        <v>250404</v>
      </c>
      <c r="P1278">
        <v>1094.21</v>
      </c>
    </row>
    <row r="1279" spans="1:16" x14ac:dyDescent="0.25">
      <c r="A1279" t="s">
        <v>3296</v>
      </c>
      <c r="B1279" t="s">
        <v>2931</v>
      </c>
      <c r="C1279">
        <v>4190</v>
      </c>
      <c r="D1279" t="str">
        <f>"12433       "</f>
        <v xml:space="preserve">12433       </v>
      </c>
      <c r="E1279" t="s">
        <v>729</v>
      </c>
      <c r="F1279" t="s">
        <v>730</v>
      </c>
      <c r="G1279">
        <v>3022.2</v>
      </c>
      <c r="H1279">
        <v>250315</v>
      </c>
      <c r="I1279">
        <v>4600</v>
      </c>
      <c r="J1279" t="s">
        <v>278</v>
      </c>
      <c r="K1279">
        <v>3022.2</v>
      </c>
      <c r="L1279">
        <v>614.07000000000005</v>
      </c>
      <c r="M1279">
        <v>51151</v>
      </c>
      <c r="N1279" t="s">
        <v>221</v>
      </c>
      <c r="O1279">
        <v>250409</v>
      </c>
      <c r="P1279">
        <v>2408.13</v>
      </c>
    </row>
    <row r="1280" spans="1:16" x14ac:dyDescent="0.25">
      <c r="A1280" t="s">
        <v>3296</v>
      </c>
      <c r="B1280" t="s">
        <v>2931</v>
      </c>
      <c r="C1280">
        <v>4827</v>
      </c>
      <c r="D1280" t="str">
        <f>"12459       "</f>
        <v xml:space="preserve">12459       </v>
      </c>
      <c r="E1280" t="s">
        <v>729</v>
      </c>
      <c r="F1280" t="s">
        <v>730</v>
      </c>
      <c r="G1280">
        <v>2153.13</v>
      </c>
      <c r="H1280">
        <v>250404</v>
      </c>
      <c r="I1280">
        <v>4600</v>
      </c>
      <c r="J1280" t="s">
        <v>278</v>
      </c>
      <c r="K1280">
        <v>2153.13</v>
      </c>
      <c r="L1280">
        <v>437.49</v>
      </c>
      <c r="M1280">
        <v>46561</v>
      </c>
      <c r="N1280" t="s">
        <v>1535</v>
      </c>
      <c r="O1280">
        <v>250415</v>
      </c>
      <c r="P1280">
        <v>1715.64</v>
      </c>
    </row>
    <row r="1281" spans="1:16" x14ac:dyDescent="0.25">
      <c r="A1281" t="s">
        <v>3296</v>
      </c>
      <c r="B1281" t="s">
        <v>2931</v>
      </c>
      <c r="C1281">
        <v>6974</v>
      </c>
      <c r="D1281" t="str">
        <f>"12502       "</f>
        <v xml:space="preserve">12502       </v>
      </c>
      <c r="E1281" t="s">
        <v>729</v>
      </c>
      <c r="F1281" t="s">
        <v>730</v>
      </c>
      <c r="G1281">
        <v>1239.31</v>
      </c>
      <c r="H1281">
        <v>250513</v>
      </c>
      <c r="I1281">
        <v>4600</v>
      </c>
      <c r="J1281" t="s">
        <v>278</v>
      </c>
      <c r="K1281">
        <v>1239.31</v>
      </c>
      <c r="L1281">
        <v>251.81</v>
      </c>
      <c r="M1281">
        <v>51151</v>
      </c>
      <c r="N1281" t="s">
        <v>221</v>
      </c>
      <c r="O1281">
        <v>250521</v>
      </c>
      <c r="P1281">
        <v>987.5</v>
      </c>
    </row>
    <row r="1282" spans="1:16" x14ac:dyDescent="0.25">
      <c r="A1282" t="s">
        <v>3296</v>
      </c>
      <c r="B1282" t="s">
        <v>2931</v>
      </c>
      <c r="C1282">
        <v>7146</v>
      </c>
      <c r="D1282" t="str">
        <f>"12495       "</f>
        <v xml:space="preserve">12495       </v>
      </c>
      <c r="E1282" t="s">
        <v>729</v>
      </c>
      <c r="F1282" t="s">
        <v>730</v>
      </c>
      <c r="G1282">
        <v>856.96</v>
      </c>
      <c r="H1282">
        <v>250501</v>
      </c>
      <c r="I1282">
        <v>4600</v>
      </c>
      <c r="J1282" t="s">
        <v>278</v>
      </c>
      <c r="K1282">
        <v>2435.96</v>
      </c>
      <c r="L1282">
        <v>174.12</v>
      </c>
      <c r="M1282">
        <v>46554</v>
      </c>
      <c r="N1282" t="s">
        <v>102</v>
      </c>
      <c r="O1282">
        <v>250526</v>
      </c>
      <c r="P1282">
        <v>682.84</v>
      </c>
    </row>
    <row r="1283" spans="1:16" x14ac:dyDescent="0.25">
      <c r="A1283" t="s">
        <v>3296</v>
      </c>
      <c r="B1283" t="s">
        <v>2931</v>
      </c>
      <c r="C1283">
        <v>7146</v>
      </c>
      <c r="D1283" t="str">
        <f>"12495       "</f>
        <v xml:space="preserve">12495       </v>
      </c>
      <c r="E1283" t="s">
        <v>729</v>
      </c>
      <c r="F1283" t="s">
        <v>730</v>
      </c>
      <c r="G1283">
        <v>1579</v>
      </c>
      <c r="H1283">
        <v>250501</v>
      </c>
      <c r="I1283">
        <v>4600</v>
      </c>
      <c r="J1283" t="s">
        <v>278</v>
      </c>
      <c r="K1283">
        <v>2435.96</v>
      </c>
      <c r="L1283">
        <v>320.83</v>
      </c>
      <c r="M1283">
        <v>46561</v>
      </c>
      <c r="N1283" t="s">
        <v>1535</v>
      </c>
      <c r="O1283">
        <v>250526</v>
      </c>
      <c r="P1283">
        <v>1258.17</v>
      </c>
    </row>
    <row r="1284" spans="1:16" x14ac:dyDescent="0.25">
      <c r="A1284" t="s">
        <v>3296</v>
      </c>
      <c r="B1284" t="s">
        <v>2931</v>
      </c>
      <c r="C1284">
        <v>7424</v>
      </c>
      <c r="D1284" t="str">
        <f>"12509       "</f>
        <v xml:space="preserve">12509       </v>
      </c>
      <c r="E1284" t="s">
        <v>729</v>
      </c>
      <c r="F1284" t="s">
        <v>730</v>
      </c>
      <c r="G1284">
        <v>1904.59</v>
      </c>
      <c r="H1284">
        <v>250518</v>
      </c>
      <c r="I1284">
        <v>4600</v>
      </c>
      <c r="J1284" t="s">
        <v>278</v>
      </c>
      <c r="K1284">
        <v>1904.59</v>
      </c>
      <c r="L1284">
        <v>386.99</v>
      </c>
      <c r="M1284">
        <v>46554</v>
      </c>
      <c r="N1284" t="s">
        <v>102</v>
      </c>
      <c r="O1284">
        <v>250603</v>
      </c>
      <c r="P1284">
        <v>1517.6</v>
      </c>
    </row>
    <row r="1285" spans="1:16" x14ac:dyDescent="0.25">
      <c r="A1285" t="s">
        <v>3296</v>
      </c>
      <c r="B1285" t="s">
        <v>2931</v>
      </c>
      <c r="C1285">
        <v>11288</v>
      </c>
      <c r="D1285" t="str">
        <f>"12569       "</f>
        <v xml:space="preserve">12569       </v>
      </c>
      <c r="E1285" t="s">
        <v>729</v>
      </c>
      <c r="F1285" t="s">
        <v>730</v>
      </c>
      <c r="G1285">
        <v>1659.21</v>
      </c>
      <c r="H1285">
        <v>250825</v>
      </c>
      <c r="I1285">
        <v>4600</v>
      </c>
      <c r="J1285" t="s">
        <v>278</v>
      </c>
      <c r="K1285">
        <v>1659.21</v>
      </c>
      <c r="L1285">
        <v>337.13</v>
      </c>
      <c r="M1285">
        <v>51151</v>
      </c>
      <c r="N1285" t="s">
        <v>221</v>
      </c>
      <c r="O1285">
        <v>250903</v>
      </c>
      <c r="P1285">
        <v>1322.08</v>
      </c>
    </row>
    <row r="1286" spans="1:16" x14ac:dyDescent="0.25">
      <c r="A1286" t="s">
        <v>3296</v>
      </c>
      <c r="B1286" t="s">
        <v>2931</v>
      </c>
      <c r="C1286">
        <v>11427</v>
      </c>
      <c r="D1286" t="str">
        <f>"12577       "</f>
        <v xml:space="preserve">12577       </v>
      </c>
      <c r="E1286" t="s">
        <v>729</v>
      </c>
      <c r="F1286" t="s">
        <v>730</v>
      </c>
      <c r="G1286">
        <v>3128.56</v>
      </c>
      <c r="H1286">
        <v>250828</v>
      </c>
      <c r="I1286">
        <v>4600</v>
      </c>
      <c r="J1286" t="s">
        <v>278</v>
      </c>
      <c r="K1286">
        <v>3128.56</v>
      </c>
      <c r="L1286">
        <v>635.67999999999995</v>
      </c>
      <c r="M1286">
        <v>46554</v>
      </c>
      <c r="N1286" t="s">
        <v>102</v>
      </c>
      <c r="O1286">
        <v>250905</v>
      </c>
      <c r="P1286">
        <v>2492.88</v>
      </c>
    </row>
    <row r="1287" spans="1:16" x14ac:dyDescent="0.25">
      <c r="A1287" t="s">
        <v>3296</v>
      </c>
      <c r="B1287" t="s">
        <v>2931</v>
      </c>
      <c r="C1287">
        <v>11432</v>
      </c>
      <c r="D1287" t="str">
        <f>"12582       "</f>
        <v xml:space="preserve">12582       </v>
      </c>
      <c r="E1287" t="s">
        <v>729</v>
      </c>
      <c r="F1287" t="s">
        <v>730</v>
      </c>
      <c r="G1287">
        <v>3531.7</v>
      </c>
      <c r="H1287">
        <v>250831</v>
      </c>
      <c r="I1287">
        <v>4600</v>
      </c>
      <c r="J1287" t="s">
        <v>278</v>
      </c>
      <c r="K1287">
        <v>3531.7</v>
      </c>
      <c r="L1287">
        <v>717.6</v>
      </c>
      <c r="M1287">
        <v>46561</v>
      </c>
      <c r="N1287" t="s">
        <v>1535</v>
      </c>
      <c r="O1287">
        <v>250905</v>
      </c>
      <c r="P1287">
        <v>2814.1</v>
      </c>
    </row>
    <row r="1288" spans="1:16" x14ac:dyDescent="0.25">
      <c r="A1288" t="s">
        <v>3296</v>
      </c>
      <c r="B1288" t="s">
        <v>2931</v>
      </c>
      <c r="C1288">
        <v>13572</v>
      </c>
      <c r="D1288" t="str">
        <f>"12653       "</f>
        <v xml:space="preserve">12653       </v>
      </c>
      <c r="E1288" t="s">
        <v>729</v>
      </c>
      <c r="F1288" t="s">
        <v>730</v>
      </c>
      <c r="G1288">
        <v>3285.33</v>
      </c>
      <c r="H1288">
        <v>251003</v>
      </c>
      <c r="I1288">
        <v>4600</v>
      </c>
      <c r="J1288" t="s">
        <v>278</v>
      </c>
      <c r="K1288">
        <v>3285.33</v>
      </c>
      <c r="L1288">
        <v>667.54</v>
      </c>
      <c r="M1288">
        <v>51151</v>
      </c>
      <c r="N1288" t="s">
        <v>221</v>
      </c>
      <c r="O1288">
        <v>251013</v>
      </c>
      <c r="P1288">
        <v>2617.79</v>
      </c>
    </row>
    <row r="1289" spans="1:16" x14ac:dyDescent="0.25">
      <c r="A1289" t="s">
        <v>3296</v>
      </c>
      <c r="B1289" t="s">
        <v>2931</v>
      </c>
      <c r="C1289">
        <v>15436</v>
      </c>
      <c r="D1289" t="str">
        <f>"12716       "</f>
        <v xml:space="preserve">12716       </v>
      </c>
      <c r="E1289" t="s">
        <v>729</v>
      </c>
      <c r="F1289" t="s">
        <v>730</v>
      </c>
      <c r="G1289">
        <v>2984.43</v>
      </c>
      <c r="H1289">
        <v>251114</v>
      </c>
      <c r="I1289">
        <v>4600</v>
      </c>
      <c r="J1289" t="s">
        <v>278</v>
      </c>
      <c r="K1289">
        <v>3984.43</v>
      </c>
      <c r="L1289">
        <v>606.4</v>
      </c>
      <c r="M1289">
        <v>46554</v>
      </c>
      <c r="N1289" t="s">
        <v>102</v>
      </c>
      <c r="O1289">
        <v>251120</v>
      </c>
      <c r="P1289">
        <v>2378.0300000000002</v>
      </c>
    </row>
    <row r="1290" spans="1:16" x14ac:dyDescent="0.25">
      <c r="A1290" t="s">
        <v>3296</v>
      </c>
      <c r="B1290" t="s">
        <v>2931</v>
      </c>
      <c r="C1290">
        <v>15436</v>
      </c>
      <c r="D1290" t="str">
        <f>"12716       "</f>
        <v xml:space="preserve">12716       </v>
      </c>
      <c r="E1290" t="s">
        <v>729</v>
      </c>
      <c r="F1290" t="s">
        <v>730</v>
      </c>
      <c r="G1290">
        <v>1000</v>
      </c>
      <c r="H1290">
        <v>251114</v>
      </c>
      <c r="I1290">
        <v>4600</v>
      </c>
      <c r="J1290" t="s">
        <v>278</v>
      </c>
      <c r="K1290">
        <v>3984.43</v>
      </c>
      <c r="L1290">
        <v>203.19</v>
      </c>
      <c r="M1290">
        <v>46561</v>
      </c>
      <c r="N1290" t="s">
        <v>1535</v>
      </c>
      <c r="O1290">
        <v>251120</v>
      </c>
      <c r="P1290">
        <v>796.81</v>
      </c>
    </row>
    <row r="1291" spans="1:16" x14ac:dyDescent="0.25">
      <c r="A1291" t="s">
        <v>3296</v>
      </c>
      <c r="B1291" t="s">
        <v>2931</v>
      </c>
      <c r="C1291">
        <v>16982</v>
      </c>
      <c r="D1291" t="str">
        <f>"12755       "</f>
        <v xml:space="preserve">12755       </v>
      </c>
      <c r="E1291" t="s">
        <v>729</v>
      </c>
      <c r="F1291" t="s">
        <v>730</v>
      </c>
      <c r="G1291">
        <v>1912.42</v>
      </c>
      <c r="H1291">
        <v>251206</v>
      </c>
      <c r="I1291">
        <v>4600</v>
      </c>
      <c r="J1291" t="s">
        <v>278</v>
      </c>
      <c r="K1291">
        <v>1912.42</v>
      </c>
      <c r="L1291">
        <v>388.58</v>
      </c>
      <c r="M1291">
        <v>46554</v>
      </c>
      <c r="N1291" t="s">
        <v>102</v>
      </c>
      <c r="O1291">
        <v>251216</v>
      </c>
      <c r="P1291">
        <v>1523.84</v>
      </c>
    </row>
    <row r="1292" spans="1:16" x14ac:dyDescent="0.25">
      <c r="A1292" t="s">
        <v>3296</v>
      </c>
      <c r="B1292" t="s">
        <v>2931</v>
      </c>
      <c r="C1292">
        <v>18320</v>
      </c>
      <c r="D1292" t="str">
        <f>"12782       "</f>
        <v xml:space="preserve">12782       </v>
      </c>
      <c r="E1292" t="s">
        <v>729</v>
      </c>
      <c r="F1292" t="s">
        <v>730</v>
      </c>
      <c r="G1292">
        <v>3008.11</v>
      </c>
      <c r="H1292">
        <v>251230</v>
      </c>
      <c r="I1292">
        <v>4600</v>
      </c>
      <c r="J1292" t="s">
        <v>278</v>
      </c>
      <c r="K1292">
        <v>3008.11</v>
      </c>
      <c r="L1292">
        <v>611.21</v>
      </c>
      <c r="M1292">
        <v>46554</v>
      </c>
      <c r="N1292" t="s">
        <v>102</v>
      </c>
      <c r="O1292">
        <v>260113</v>
      </c>
      <c r="P1292">
        <v>2396.9</v>
      </c>
    </row>
    <row r="1293" spans="1:16" x14ac:dyDescent="0.25">
      <c r="A1293" t="s">
        <v>3296</v>
      </c>
      <c r="B1293" t="s">
        <v>2931</v>
      </c>
      <c r="C1293">
        <v>3893</v>
      </c>
      <c r="D1293" t="str">
        <f>"260325      "</f>
        <v xml:space="preserve">260325      </v>
      </c>
      <c r="E1293" t="s">
        <v>3301</v>
      </c>
      <c r="F1293" t="s">
        <v>3300</v>
      </c>
      <c r="G1293">
        <v>100</v>
      </c>
      <c r="H1293">
        <v>250321</v>
      </c>
      <c r="I1293">
        <v>4470</v>
      </c>
      <c r="J1293" t="s">
        <v>203</v>
      </c>
      <c r="K1293">
        <v>100</v>
      </c>
      <c r="L1293">
        <v>0</v>
      </c>
      <c r="M1293">
        <v>14971</v>
      </c>
      <c r="N1293" t="s">
        <v>81</v>
      </c>
      <c r="O1293">
        <v>250403</v>
      </c>
      <c r="P1293">
        <v>100</v>
      </c>
    </row>
    <row r="1294" spans="1:16" x14ac:dyDescent="0.25">
      <c r="A1294" t="s">
        <v>3296</v>
      </c>
      <c r="B1294" t="s">
        <v>2931</v>
      </c>
      <c r="C1294">
        <v>3904</v>
      </c>
      <c r="D1294" t="str">
        <f>"260325/2    "</f>
        <v xml:space="preserve">260325/2    </v>
      </c>
      <c r="E1294" t="s">
        <v>3301</v>
      </c>
      <c r="F1294" t="s">
        <v>3300</v>
      </c>
      <c r="G1294">
        <v>100</v>
      </c>
      <c r="H1294">
        <v>250321</v>
      </c>
      <c r="I1294">
        <v>4470</v>
      </c>
      <c r="J1294" t="s">
        <v>203</v>
      </c>
      <c r="K1294">
        <v>100</v>
      </c>
      <c r="L1294">
        <v>0</v>
      </c>
      <c r="M1294">
        <v>14971</v>
      </c>
      <c r="N1294" t="s">
        <v>81</v>
      </c>
      <c r="O1294">
        <v>250403</v>
      </c>
      <c r="P1294">
        <v>100</v>
      </c>
    </row>
    <row r="1295" spans="1:16" x14ac:dyDescent="0.25">
      <c r="A1295" t="s">
        <v>3296</v>
      </c>
      <c r="B1295" t="s">
        <v>2931</v>
      </c>
      <c r="C1295">
        <v>2344</v>
      </c>
      <c r="D1295" t="str">
        <f>"6477        "</f>
        <v xml:space="preserve">6477        </v>
      </c>
      <c r="E1295" t="s">
        <v>1245</v>
      </c>
      <c r="F1295" t="s">
        <v>1246</v>
      </c>
      <c r="G1295">
        <v>484.43</v>
      </c>
      <c r="H1295">
        <v>250220</v>
      </c>
      <c r="I1295">
        <v>4600</v>
      </c>
      <c r="J1295" t="s">
        <v>278</v>
      </c>
      <c r="K1295">
        <v>484.43</v>
      </c>
      <c r="L1295">
        <v>98.43</v>
      </c>
      <c r="M1295">
        <v>44453</v>
      </c>
      <c r="N1295" t="s">
        <v>100</v>
      </c>
      <c r="O1295">
        <v>250224</v>
      </c>
      <c r="P1295">
        <v>386</v>
      </c>
    </row>
    <row r="1296" spans="1:16" x14ac:dyDescent="0.25">
      <c r="A1296" t="s">
        <v>3296</v>
      </c>
      <c r="B1296" t="s">
        <v>2931</v>
      </c>
      <c r="C1296">
        <v>17879</v>
      </c>
      <c r="D1296" t="str">
        <f>"3259501277  "</f>
        <v xml:space="preserve">3259501277  </v>
      </c>
      <c r="E1296" t="s">
        <v>2782</v>
      </c>
      <c r="F1296" t="s">
        <v>2783</v>
      </c>
      <c r="G1296">
        <v>667.82</v>
      </c>
      <c r="H1296">
        <v>251212</v>
      </c>
      <c r="I1296">
        <v>4400</v>
      </c>
      <c r="J1296" t="s">
        <v>162</v>
      </c>
      <c r="K1296">
        <v>667.82</v>
      </c>
      <c r="L1296">
        <v>135.69</v>
      </c>
      <c r="M1296">
        <v>17534</v>
      </c>
      <c r="N1296" t="s">
        <v>148</v>
      </c>
      <c r="O1296">
        <v>251231</v>
      </c>
      <c r="P1296">
        <v>532.13</v>
      </c>
    </row>
    <row r="1297" spans="1:16" x14ac:dyDescent="0.25">
      <c r="A1297" t="s">
        <v>3296</v>
      </c>
      <c r="B1297" t="s">
        <v>2931</v>
      </c>
      <c r="C1297">
        <v>4189</v>
      </c>
      <c r="D1297" t="str">
        <f>"2996        "</f>
        <v xml:space="preserve">2996        </v>
      </c>
      <c r="E1297" t="s">
        <v>1590</v>
      </c>
      <c r="F1297" t="s">
        <v>1591</v>
      </c>
      <c r="G1297">
        <v>521.87</v>
      </c>
      <c r="H1297">
        <v>250315</v>
      </c>
      <c r="I1297">
        <v>4367</v>
      </c>
      <c r="J1297" t="s">
        <v>159</v>
      </c>
      <c r="K1297">
        <v>6262.45</v>
      </c>
      <c r="L1297">
        <v>106.04</v>
      </c>
      <c r="M1297">
        <v>17803</v>
      </c>
      <c r="N1297" t="s">
        <v>19</v>
      </c>
      <c r="O1297">
        <v>250409</v>
      </c>
      <c r="P1297">
        <v>415.83</v>
      </c>
    </row>
    <row r="1298" spans="1:16" x14ac:dyDescent="0.25">
      <c r="A1298" t="s">
        <v>3296</v>
      </c>
      <c r="B1298" t="s">
        <v>2931</v>
      </c>
      <c r="C1298">
        <v>4189</v>
      </c>
      <c r="D1298" t="str">
        <f>"2996        "</f>
        <v xml:space="preserve">2996        </v>
      </c>
      <c r="E1298" t="s">
        <v>1590</v>
      </c>
      <c r="F1298" t="s">
        <v>1591</v>
      </c>
      <c r="G1298">
        <v>521.87</v>
      </c>
      <c r="H1298">
        <v>250315</v>
      </c>
      <c r="I1298">
        <v>4367</v>
      </c>
      <c r="J1298" t="s">
        <v>159</v>
      </c>
      <c r="K1298">
        <v>6262.45</v>
      </c>
      <c r="L1298">
        <v>106.04</v>
      </c>
      <c r="M1298">
        <v>46554</v>
      </c>
      <c r="N1298" t="s">
        <v>102</v>
      </c>
      <c r="O1298">
        <v>250409</v>
      </c>
      <c r="P1298">
        <v>415.83</v>
      </c>
    </row>
    <row r="1299" spans="1:16" x14ac:dyDescent="0.25">
      <c r="A1299" t="s">
        <v>3296</v>
      </c>
      <c r="B1299" t="s">
        <v>2931</v>
      </c>
      <c r="C1299">
        <v>4189</v>
      </c>
      <c r="D1299" t="str">
        <f>"2996        "</f>
        <v xml:space="preserve">2996        </v>
      </c>
      <c r="E1299" t="s">
        <v>1590</v>
      </c>
      <c r="F1299" t="s">
        <v>1591</v>
      </c>
      <c r="G1299">
        <v>521.87</v>
      </c>
      <c r="H1299">
        <v>250315</v>
      </c>
      <c r="I1299">
        <v>4367</v>
      </c>
      <c r="J1299" t="s">
        <v>159</v>
      </c>
      <c r="K1299">
        <v>6262.45</v>
      </c>
      <c r="L1299">
        <v>106.04</v>
      </c>
      <c r="M1299">
        <v>56558</v>
      </c>
      <c r="N1299" t="s">
        <v>50</v>
      </c>
      <c r="O1299">
        <v>250409</v>
      </c>
      <c r="P1299">
        <v>415.83</v>
      </c>
    </row>
    <row r="1300" spans="1:16" x14ac:dyDescent="0.25">
      <c r="A1300" t="s">
        <v>3296</v>
      </c>
      <c r="B1300" t="s">
        <v>2931</v>
      </c>
      <c r="C1300">
        <v>17997</v>
      </c>
      <c r="D1300" t="str">
        <f>"4731        "</f>
        <v xml:space="preserve">4731        </v>
      </c>
      <c r="E1300" t="s">
        <v>1590</v>
      </c>
      <c r="F1300" t="s">
        <v>1591</v>
      </c>
      <c r="G1300">
        <v>4894.51</v>
      </c>
      <c r="H1300">
        <v>251219</v>
      </c>
      <c r="I1300">
        <v>4367</v>
      </c>
      <c r="J1300" t="s">
        <v>159</v>
      </c>
      <c r="K1300">
        <v>4894.51</v>
      </c>
      <c r="L1300">
        <v>994.5</v>
      </c>
      <c r="M1300">
        <v>46554</v>
      </c>
      <c r="N1300" t="s">
        <v>102</v>
      </c>
      <c r="O1300">
        <v>260108</v>
      </c>
      <c r="P1300">
        <v>3900.01</v>
      </c>
    </row>
    <row r="1301" spans="1:16" x14ac:dyDescent="0.25">
      <c r="A1301" t="s">
        <v>3296</v>
      </c>
      <c r="B1301" t="s">
        <v>2931</v>
      </c>
      <c r="C1301">
        <v>5738</v>
      </c>
      <c r="D1301" t="str">
        <f>"3149        "</f>
        <v xml:space="preserve">3149        </v>
      </c>
      <c r="E1301" t="s">
        <v>1590</v>
      </c>
      <c r="F1301" t="s">
        <v>1591</v>
      </c>
      <c r="G1301">
        <v>1757.53</v>
      </c>
      <c r="H1301">
        <v>250404</v>
      </c>
      <c r="I1301">
        <v>4425</v>
      </c>
      <c r="J1301" t="s">
        <v>870</v>
      </c>
      <c r="K1301">
        <v>3407.53</v>
      </c>
      <c r="L1301">
        <v>357.11</v>
      </c>
      <c r="M1301">
        <v>56558</v>
      </c>
      <c r="N1301" t="s">
        <v>50</v>
      </c>
      <c r="O1301">
        <v>250429</v>
      </c>
      <c r="P1301">
        <v>1400.42</v>
      </c>
    </row>
    <row r="1302" spans="1:16" x14ac:dyDescent="0.25">
      <c r="A1302" t="s">
        <v>3296</v>
      </c>
      <c r="B1302" t="s">
        <v>2931</v>
      </c>
      <c r="C1302">
        <v>5738</v>
      </c>
      <c r="D1302" t="str">
        <f>"3149        "</f>
        <v xml:space="preserve">3149        </v>
      </c>
      <c r="E1302" t="s">
        <v>1590</v>
      </c>
      <c r="F1302" t="s">
        <v>1591</v>
      </c>
      <c r="G1302">
        <v>1650</v>
      </c>
      <c r="H1302">
        <v>250404</v>
      </c>
      <c r="I1302">
        <v>4441</v>
      </c>
      <c r="J1302" t="s">
        <v>234</v>
      </c>
      <c r="K1302">
        <v>3407.53</v>
      </c>
      <c r="L1302">
        <v>335.26</v>
      </c>
      <c r="M1302">
        <v>56558</v>
      </c>
      <c r="N1302" t="s">
        <v>50</v>
      </c>
      <c r="O1302">
        <v>250429</v>
      </c>
      <c r="P1302">
        <v>1314.74</v>
      </c>
    </row>
    <row r="1303" spans="1:16" x14ac:dyDescent="0.25">
      <c r="A1303" t="s">
        <v>3296</v>
      </c>
      <c r="B1303" t="s">
        <v>2931</v>
      </c>
      <c r="C1303">
        <v>12100</v>
      </c>
      <c r="D1303" t="str">
        <f>"4004        "</f>
        <v xml:space="preserve">4004        </v>
      </c>
      <c r="E1303" t="s">
        <v>1590</v>
      </c>
      <c r="F1303" t="s">
        <v>1591</v>
      </c>
      <c r="G1303">
        <v>191.6</v>
      </c>
      <c r="H1303">
        <v>250910</v>
      </c>
      <c r="I1303">
        <v>4580</v>
      </c>
      <c r="J1303" t="s">
        <v>126</v>
      </c>
      <c r="K1303">
        <v>191.6</v>
      </c>
      <c r="L1303">
        <v>38.93</v>
      </c>
      <c r="M1303">
        <v>56558</v>
      </c>
      <c r="N1303" t="s">
        <v>50</v>
      </c>
      <c r="O1303">
        <v>250916</v>
      </c>
      <c r="P1303">
        <v>152.66999999999999</v>
      </c>
    </row>
    <row r="1304" spans="1:16" x14ac:dyDescent="0.25">
      <c r="A1304" t="s">
        <v>3296</v>
      </c>
      <c r="B1304" t="s">
        <v>2931</v>
      </c>
      <c r="C1304">
        <v>12837</v>
      </c>
      <c r="D1304" t="str">
        <f>"20042988    "</f>
        <v xml:space="preserve">20042988    </v>
      </c>
      <c r="E1304" t="s">
        <v>2400</v>
      </c>
      <c r="F1304" t="s">
        <v>2401</v>
      </c>
      <c r="G1304">
        <v>2532.65</v>
      </c>
      <c r="H1304">
        <v>250929</v>
      </c>
      <c r="I1304">
        <v>4600</v>
      </c>
      <c r="J1304" t="s">
        <v>278</v>
      </c>
      <c r="K1304">
        <v>2532.65</v>
      </c>
      <c r="L1304">
        <v>514.6</v>
      </c>
      <c r="M1304">
        <v>17951</v>
      </c>
      <c r="N1304" t="s">
        <v>207</v>
      </c>
      <c r="O1304">
        <v>250930</v>
      </c>
      <c r="P1304">
        <v>2018.05</v>
      </c>
    </row>
    <row r="1305" spans="1:16" x14ac:dyDescent="0.25">
      <c r="A1305" t="s">
        <v>3296</v>
      </c>
      <c r="B1305" t="s">
        <v>2931</v>
      </c>
      <c r="C1305">
        <v>2229</v>
      </c>
      <c r="D1305" t="str">
        <f>"44147       "</f>
        <v xml:space="preserve">44147       </v>
      </c>
      <c r="E1305" t="s">
        <v>1227</v>
      </c>
      <c r="F1305" t="s">
        <v>1524</v>
      </c>
      <c r="G1305">
        <v>1621.05</v>
      </c>
      <c r="H1305">
        <v>250212</v>
      </c>
      <c r="I1305">
        <v>4555</v>
      </c>
      <c r="J1305" t="s">
        <v>352</v>
      </c>
      <c r="K1305">
        <v>1621.05</v>
      </c>
      <c r="L1305">
        <v>329.38</v>
      </c>
      <c r="M1305">
        <v>44453</v>
      </c>
      <c r="N1305" t="s">
        <v>100</v>
      </c>
      <c r="O1305">
        <v>250221</v>
      </c>
      <c r="P1305">
        <v>1291.67</v>
      </c>
    </row>
    <row r="1306" spans="1:16" x14ac:dyDescent="0.25">
      <c r="A1306" t="s">
        <v>3296</v>
      </c>
      <c r="B1306" t="s">
        <v>2931</v>
      </c>
      <c r="C1306">
        <v>2365</v>
      </c>
      <c r="D1306" t="str">
        <f>"44305       "</f>
        <v xml:space="preserve">44305       </v>
      </c>
      <c r="E1306" t="s">
        <v>1227</v>
      </c>
      <c r="F1306" t="s">
        <v>1524</v>
      </c>
      <c r="G1306">
        <v>412.02</v>
      </c>
      <c r="H1306">
        <v>250217</v>
      </c>
      <c r="I1306">
        <v>4555</v>
      </c>
      <c r="J1306" t="s">
        <v>352</v>
      </c>
      <c r="K1306">
        <v>412.02</v>
      </c>
      <c r="L1306">
        <v>83.72</v>
      </c>
      <c r="M1306">
        <v>44453</v>
      </c>
      <c r="N1306" t="s">
        <v>100</v>
      </c>
      <c r="O1306">
        <v>250224</v>
      </c>
      <c r="P1306">
        <v>328.3</v>
      </c>
    </row>
    <row r="1307" spans="1:16" x14ac:dyDescent="0.25">
      <c r="A1307" t="s">
        <v>3296</v>
      </c>
      <c r="B1307" t="s">
        <v>2931</v>
      </c>
      <c r="C1307">
        <v>1186</v>
      </c>
      <c r="D1307" t="str">
        <f>"8872        "</f>
        <v xml:space="preserve">8872        </v>
      </c>
      <c r="E1307" t="s">
        <v>883</v>
      </c>
      <c r="F1307" t="s">
        <v>885</v>
      </c>
      <c r="G1307">
        <v>3</v>
      </c>
      <c r="H1307">
        <v>250131</v>
      </c>
      <c r="I1307">
        <v>4412</v>
      </c>
      <c r="J1307" t="s">
        <v>884</v>
      </c>
      <c r="K1307">
        <v>145.5</v>
      </c>
      <c r="L1307">
        <v>0.61</v>
      </c>
      <c r="M1307">
        <v>18972</v>
      </c>
      <c r="N1307" t="s">
        <v>39</v>
      </c>
      <c r="O1307">
        <v>250205</v>
      </c>
      <c r="P1307">
        <v>2.39</v>
      </c>
    </row>
    <row r="1308" spans="1:16" x14ac:dyDescent="0.25">
      <c r="A1308" t="s">
        <v>3296</v>
      </c>
      <c r="B1308" t="s">
        <v>2931</v>
      </c>
      <c r="C1308">
        <v>1186</v>
      </c>
      <c r="D1308" t="str">
        <f>"8872        "</f>
        <v xml:space="preserve">8872        </v>
      </c>
      <c r="E1308" t="s">
        <v>883</v>
      </c>
      <c r="F1308" t="s">
        <v>885</v>
      </c>
      <c r="G1308">
        <v>142.5</v>
      </c>
      <c r="H1308">
        <v>250131</v>
      </c>
      <c r="I1308">
        <v>4412</v>
      </c>
      <c r="J1308" t="s">
        <v>884</v>
      </c>
      <c r="K1308">
        <v>145.5</v>
      </c>
      <c r="L1308">
        <v>17.5</v>
      </c>
      <c r="M1308">
        <v>18972</v>
      </c>
      <c r="N1308" t="s">
        <v>39</v>
      </c>
      <c r="O1308">
        <v>250205</v>
      </c>
      <c r="P1308">
        <v>125</v>
      </c>
    </row>
    <row r="1309" spans="1:16" x14ac:dyDescent="0.25">
      <c r="A1309" t="s">
        <v>3296</v>
      </c>
      <c r="B1309" t="s">
        <v>2931</v>
      </c>
      <c r="C1309">
        <v>4842</v>
      </c>
      <c r="D1309" t="str">
        <f>"13938       "</f>
        <v xml:space="preserve">13938       </v>
      </c>
      <c r="E1309" t="s">
        <v>1663</v>
      </c>
      <c r="F1309" t="s">
        <v>1664</v>
      </c>
      <c r="G1309">
        <v>705.95</v>
      </c>
      <c r="H1309">
        <v>250401</v>
      </c>
      <c r="I1309">
        <v>4367</v>
      </c>
      <c r="J1309" t="s">
        <v>159</v>
      </c>
      <c r="K1309">
        <v>941.25</v>
      </c>
      <c r="L1309">
        <v>143.44</v>
      </c>
      <c r="M1309">
        <v>46554</v>
      </c>
      <c r="N1309" t="s">
        <v>102</v>
      </c>
      <c r="O1309">
        <v>250415</v>
      </c>
      <c r="P1309">
        <v>562.51</v>
      </c>
    </row>
    <row r="1310" spans="1:16" x14ac:dyDescent="0.25">
      <c r="A1310" t="s">
        <v>3296</v>
      </c>
      <c r="B1310" t="s">
        <v>2931</v>
      </c>
      <c r="C1310">
        <v>6420</v>
      </c>
      <c r="D1310" t="str">
        <f>"13956       "</f>
        <v xml:space="preserve">13956       </v>
      </c>
      <c r="E1310" t="s">
        <v>1663</v>
      </c>
      <c r="F1310" t="s">
        <v>1664</v>
      </c>
      <c r="G1310">
        <v>324.33</v>
      </c>
      <c r="H1310">
        <v>250506</v>
      </c>
      <c r="I1310">
        <v>4367</v>
      </c>
      <c r="J1310" t="s">
        <v>159</v>
      </c>
      <c r="K1310">
        <v>966.36</v>
      </c>
      <c r="L1310">
        <v>65.900000000000006</v>
      </c>
      <c r="M1310">
        <v>17803</v>
      </c>
      <c r="N1310" t="s">
        <v>19</v>
      </c>
      <c r="O1310">
        <v>250513</v>
      </c>
      <c r="P1310">
        <v>258.43</v>
      </c>
    </row>
    <row r="1311" spans="1:16" x14ac:dyDescent="0.25">
      <c r="A1311" t="s">
        <v>3296</v>
      </c>
      <c r="B1311" t="s">
        <v>2931</v>
      </c>
      <c r="C1311">
        <v>6420</v>
      </c>
      <c r="D1311" t="str">
        <f>"13956       "</f>
        <v xml:space="preserve">13956       </v>
      </c>
      <c r="E1311" t="s">
        <v>1663</v>
      </c>
      <c r="F1311" t="s">
        <v>1664</v>
      </c>
      <c r="G1311">
        <v>324.33</v>
      </c>
      <c r="H1311">
        <v>250506</v>
      </c>
      <c r="I1311">
        <v>4367</v>
      </c>
      <c r="J1311" t="s">
        <v>159</v>
      </c>
      <c r="K1311">
        <v>966.36</v>
      </c>
      <c r="L1311">
        <v>65.900000000000006</v>
      </c>
      <c r="M1311">
        <v>17804</v>
      </c>
      <c r="N1311" t="s">
        <v>20</v>
      </c>
      <c r="O1311">
        <v>250513</v>
      </c>
      <c r="P1311">
        <v>258.43</v>
      </c>
    </row>
    <row r="1312" spans="1:16" x14ac:dyDescent="0.25">
      <c r="A1312" t="s">
        <v>3296</v>
      </c>
      <c r="B1312" t="s">
        <v>2931</v>
      </c>
      <c r="C1312">
        <v>5864</v>
      </c>
      <c r="D1312" t="str">
        <f>"20/290425   "</f>
        <v xml:space="preserve">20/290425   </v>
      </c>
      <c r="E1312" t="s">
        <v>3243</v>
      </c>
      <c r="F1312" t="s">
        <v>3244</v>
      </c>
      <c r="G1312">
        <v>1736</v>
      </c>
      <c r="H1312">
        <v>250429</v>
      </c>
      <c r="I1312">
        <v>4410</v>
      </c>
      <c r="J1312" t="s">
        <v>165</v>
      </c>
      <c r="K1312">
        <v>2551</v>
      </c>
      <c r="L1312">
        <v>0</v>
      </c>
      <c r="M1312">
        <v>11902</v>
      </c>
      <c r="N1312" t="s">
        <v>329</v>
      </c>
      <c r="O1312">
        <v>250506</v>
      </c>
      <c r="P1312">
        <v>1736</v>
      </c>
    </row>
    <row r="1313" spans="1:16" x14ac:dyDescent="0.25">
      <c r="A1313" t="s">
        <v>3296</v>
      </c>
      <c r="B1313" t="s">
        <v>2931</v>
      </c>
      <c r="C1313">
        <v>5864</v>
      </c>
      <c r="D1313" t="str">
        <f>"20/290425   "</f>
        <v xml:space="preserve">20/290425   </v>
      </c>
      <c r="E1313" t="s">
        <v>3243</v>
      </c>
      <c r="F1313" t="s">
        <v>3244</v>
      </c>
      <c r="G1313">
        <v>115</v>
      </c>
      <c r="H1313">
        <v>250429</v>
      </c>
      <c r="I1313">
        <v>4420</v>
      </c>
      <c r="J1313" t="s">
        <v>330</v>
      </c>
      <c r="K1313">
        <v>2551</v>
      </c>
      <c r="L1313">
        <v>0</v>
      </c>
      <c r="M1313">
        <v>11902</v>
      </c>
      <c r="N1313" t="s">
        <v>329</v>
      </c>
      <c r="O1313">
        <v>250506</v>
      </c>
      <c r="P1313">
        <v>115</v>
      </c>
    </row>
    <row r="1314" spans="1:16" x14ac:dyDescent="0.25">
      <c r="A1314" t="s">
        <v>3296</v>
      </c>
      <c r="B1314" t="s">
        <v>2931</v>
      </c>
      <c r="C1314">
        <v>5864</v>
      </c>
      <c r="D1314" t="str">
        <f>"20/290425   "</f>
        <v xml:space="preserve">20/290425   </v>
      </c>
      <c r="E1314" t="s">
        <v>3243</v>
      </c>
      <c r="F1314" t="s">
        <v>3244</v>
      </c>
      <c r="G1314">
        <v>400</v>
      </c>
      <c r="H1314">
        <v>250429</v>
      </c>
      <c r="I1314">
        <v>4440</v>
      </c>
      <c r="J1314" t="s">
        <v>346</v>
      </c>
      <c r="K1314">
        <v>2551</v>
      </c>
      <c r="L1314">
        <v>0</v>
      </c>
      <c r="M1314">
        <v>11902</v>
      </c>
      <c r="N1314" t="s">
        <v>329</v>
      </c>
      <c r="O1314">
        <v>250506</v>
      </c>
      <c r="P1314">
        <v>400</v>
      </c>
    </row>
    <row r="1315" spans="1:16" x14ac:dyDescent="0.25">
      <c r="A1315" t="s">
        <v>3296</v>
      </c>
      <c r="B1315" t="s">
        <v>2931</v>
      </c>
      <c r="C1315">
        <v>5864</v>
      </c>
      <c r="D1315" t="str">
        <f>"20/290425   "</f>
        <v xml:space="preserve">20/290425   </v>
      </c>
      <c r="E1315" t="s">
        <v>3243</v>
      </c>
      <c r="F1315" t="s">
        <v>3244</v>
      </c>
      <c r="G1315">
        <v>300</v>
      </c>
      <c r="H1315">
        <v>250429</v>
      </c>
      <c r="I1315">
        <v>4440</v>
      </c>
      <c r="J1315" t="s">
        <v>346</v>
      </c>
      <c r="K1315">
        <v>2551</v>
      </c>
      <c r="L1315">
        <v>0</v>
      </c>
      <c r="M1315">
        <v>11902</v>
      </c>
      <c r="N1315" t="s">
        <v>329</v>
      </c>
      <c r="O1315">
        <v>250506</v>
      </c>
      <c r="P1315">
        <v>300</v>
      </c>
    </row>
    <row r="1316" spans="1:16" x14ac:dyDescent="0.25">
      <c r="A1316" t="s">
        <v>3296</v>
      </c>
      <c r="B1316" t="s">
        <v>2931</v>
      </c>
      <c r="C1316">
        <v>17074</v>
      </c>
      <c r="D1316" t="str">
        <f>"11147       "</f>
        <v xml:space="preserve">11147       </v>
      </c>
      <c r="E1316" t="s">
        <v>2724</v>
      </c>
      <c r="F1316" t="s">
        <v>2725</v>
      </c>
      <c r="G1316">
        <v>90</v>
      </c>
      <c r="H1316">
        <v>251128</v>
      </c>
      <c r="I1316">
        <v>4520</v>
      </c>
      <c r="J1316" t="s">
        <v>280</v>
      </c>
      <c r="K1316">
        <v>1381.2</v>
      </c>
      <c r="L1316">
        <v>18.29</v>
      </c>
      <c r="M1316">
        <v>11605</v>
      </c>
      <c r="N1316" t="s">
        <v>1066</v>
      </c>
      <c r="O1316">
        <v>251217</v>
      </c>
      <c r="P1316">
        <v>71.709999999999994</v>
      </c>
    </row>
    <row r="1317" spans="1:16" x14ac:dyDescent="0.25">
      <c r="A1317" t="s">
        <v>3296</v>
      </c>
      <c r="B1317" t="s">
        <v>2931</v>
      </c>
      <c r="C1317">
        <v>17074</v>
      </c>
      <c r="D1317" t="str">
        <f>"11147       "</f>
        <v xml:space="preserve">11147       </v>
      </c>
      <c r="E1317" t="s">
        <v>2724</v>
      </c>
      <c r="F1317" t="s">
        <v>2725</v>
      </c>
      <c r="G1317">
        <v>1291.2</v>
      </c>
      <c r="H1317">
        <v>251128</v>
      </c>
      <c r="I1317">
        <v>4520</v>
      </c>
      <c r="J1317" t="s">
        <v>280</v>
      </c>
      <c r="K1317">
        <v>1381.2</v>
      </c>
      <c r="L1317">
        <v>158.57</v>
      </c>
      <c r="M1317">
        <v>11605</v>
      </c>
      <c r="N1317" t="s">
        <v>1066</v>
      </c>
      <c r="O1317">
        <v>251217</v>
      </c>
      <c r="P1317">
        <v>1132.6300000000001</v>
      </c>
    </row>
    <row r="1318" spans="1:16" x14ac:dyDescent="0.25">
      <c r="A1318" t="s">
        <v>3296</v>
      </c>
      <c r="B1318" t="s">
        <v>2931</v>
      </c>
      <c r="C1318">
        <v>495</v>
      </c>
      <c r="D1318" t="str">
        <f>"318155117   "</f>
        <v xml:space="preserve">318155117   </v>
      </c>
      <c r="E1318" t="s">
        <v>557</v>
      </c>
      <c r="F1318" t="s">
        <v>558</v>
      </c>
      <c r="G1318">
        <v>239</v>
      </c>
      <c r="H1318">
        <v>250101</v>
      </c>
      <c r="I1318">
        <v>4572</v>
      </c>
      <c r="J1318" t="s">
        <v>173</v>
      </c>
      <c r="K1318">
        <v>239</v>
      </c>
      <c r="L1318">
        <v>48.56</v>
      </c>
      <c r="M1318">
        <v>56571</v>
      </c>
      <c r="N1318" t="s">
        <v>553</v>
      </c>
      <c r="O1318">
        <v>250123</v>
      </c>
      <c r="P1318">
        <v>190.44</v>
      </c>
    </row>
    <row r="1319" spans="1:16" x14ac:dyDescent="0.25">
      <c r="A1319" t="s">
        <v>3296</v>
      </c>
      <c r="B1319" t="s">
        <v>2931</v>
      </c>
      <c r="C1319">
        <v>497</v>
      </c>
      <c r="D1319" t="str">
        <f>"318130311   "</f>
        <v xml:space="preserve">318130311   </v>
      </c>
      <c r="E1319" t="s">
        <v>557</v>
      </c>
      <c r="F1319" t="s">
        <v>558</v>
      </c>
      <c r="G1319">
        <v>212.55</v>
      </c>
      <c r="H1319">
        <v>250101</v>
      </c>
      <c r="I1319">
        <v>4572</v>
      </c>
      <c r="J1319" t="s">
        <v>173</v>
      </c>
      <c r="K1319">
        <v>212.55</v>
      </c>
      <c r="L1319">
        <v>43.19</v>
      </c>
      <c r="M1319">
        <v>56571</v>
      </c>
      <c r="N1319" t="s">
        <v>553</v>
      </c>
      <c r="O1319">
        <v>250123</v>
      </c>
      <c r="P1319">
        <v>169.36</v>
      </c>
    </row>
    <row r="1320" spans="1:16" x14ac:dyDescent="0.25">
      <c r="A1320" t="s">
        <v>3296</v>
      </c>
      <c r="B1320" t="s">
        <v>2931</v>
      </c>
      <c r="C1320">
        <v>1123</v>
      </c>
      <c r="D1320" t="str">
        <f>"318302647   "</f>
        <v xml:space="preserve">318302647   </v>
      </c>
      <c r="E1320" t="s">
        <v>557</v>
      </c>
      <c r="F1320" t="s">
        <v>558</v>
      </c>
      <c r="G1320">
        <v>621.82000000000005</v>
      </c>
      <c r="H1320">
        <v>250131</v>
      </c>
      <c r="I1320">
        <v>4572</v>
      </c>
      <c r="J1320" t="s">
        <v>173</v>
      </c>
      <c r="K1320">
        <v>2303.04</v>
      </c>
      <c r="L1320">
        <v>126.35</v>
      </c>
      <c r="M1320">
        <v>59112</v>
      </c>
      <c r="N1320" t="s">
        <v>44</v>
      </c>
      <c r="O1320">
        <v>250204</v>
      </c>
      <c r="P1320">
        <v>495.47</v>
      </c>
    </row>
    <row r="1321" spans="1:16" x14ac:dyDescent="0.25">
      <c r="A1321" t="s">
        <v>3296</v>
      </c>
      <c r="B1321" t="s">
        <v>2931</v>
      </c>
      <c r="C1321">
        <v>1123</v>
      </c>
      <c r="D1321" t="str">
        <f>"318302647   "</f>
        <v xml:space="preserve">318302647   </v>
      </c>
      <c r="E1321" t="s">
        <v>557</v>
      </c>
      <c r="F1321" t="s">
        <v>558</v>
      </c>
      <c r="G1321">
        <v>1681.22</v>
      </c>
      <c r="H1321">
        <v>250131</v>
      </c>
      <c r="I1321">
        <v>4572</v>
      </c>
      <c r="J1321" t="s">
        <v>173</v>
      </c>
      <c r="K1321">
        <v>2303.04</v>
      </c>
      <c r="L1321">
        <v>341.6</v>
      </c>
      <c r="M1321">
        <v>59504</v>
      </c>
      <c r="N1321" t="s">
        <v>193</v>
      </c>
      <c r="O1321">
        <v>250204</v>
      </c>
      <c r="P1321">
        <v>1339.62</v>
      </c>
    </row>
    <row r="1322" spans="1:16" x14ac:dyDescent="0.25">
      <c r="A1322" t="s">
        <v>3296</v>
      </c>
      <c r="B1322" t="s">
        <v>2931</v>
      </c>
      <c r="C1322">
        <v>1218</v>
      </c>
      <c r="D1322" t="str">
        <f>"318298574   "</f>
        <v xml:space="preserve">318298574   </v>
      </c>
      <c r="E1322" t="s">
        <v>557</v>
      </c>
      <c r="F1322" t="s">
        <v>558</v>
      </c>
      <c r="G1322">
        <v>1482.32</v>
      </c>
      <c r="H1322">
        <v>250131</v>
      </c>
      <c r="I1322">
        <v>4572</v>
      </c>
      <c r="J1322" t="s">
        <v>173</v>
      </c>
      <c r="K1322">
        <v>1684.45</v>
      </c>
      <c r="L1322">
        <v>301.19</v>
      </c>
      <c r="M1322">
        <v>59505</v>
      </c>
      <c r="N1322" t="s">
        <v>194</v>
      </c>
      <c r="O1322">
        <v>250205</v>
      </c>
      <c r="P1322">
        <v>1181.1300000000001</v>
      </c>
    </row>
    <row r="1323" spans="1:16" x14ac:dyDescent="0.25">
      <c r="A1323" t="s">
        <v>3296</v>
      </c>
      <c r="B1323" t="s">
        <v>2931</v>
      </c>
      <c r="C1323">
        <v>1218</v>
      </c>
      <c r="D1323" t="str">
        <f>"318298574   "</f>
        <v xml:space="preserve">318298574   </v>
      </c>
      <c r="E1323" t="s">
        <v>557</v>
      </c>
      <c r="F1323" t="s">
        <v>558</v>
      </c>
      <c r="G1323">
        <v>202.13</v>
      </c>
      <c r="H1323">
        <v>250131</v>
      </c>
      <c r="I1323">
        <v>4572</v>
      </c>
      <c r="J1323" t="s">
        <v>173</v>
      </c>
      <c r="K1323">
        <v>1684.45</v>
      </c>
      <c r="L1323">
        <v>41.07</v>
      </c>
      <c r="M1323">
        <v>59812</v>
      </c>
      <c r="N1323" t="s">
        <v>196</v>
      </c>
      <c r="O1323">
        <v>250205</v>
      </c>
      <c r="P1323">
        <v>161.06</v>
      </c>
    </row>
    <row r="1324" spans="1:16" x14ac:dyDescent="0.25">
      <c r="A1324" t="s">
        <v>3296</v>
      </c>
      <c r="B1324" t="s">
        <v>2931</v>
      </c>
      <c r="C1324">
        <v>1219</v>
      </c>
      <c r="D1324" t="str">
        <f>"318297433   "</f>
        <v xml:space="preserve">318297433   </v>
      </c>
      <c r="E1324" t="s">
        <v>557</v>
      </c>
      <c r="F1324" t="s">
        <v>558</v>
      </c>
      <c r="G1324">
        <v>527.54999999999995</v>
      </c>
      <c r="H1324">
        <v>250131</v>
      </c>
      <c r="I1324">
        <v>4572</v>
      </c>
      <c r="J1324" t="s">
        <v>173</v>
      </c>
      <c r="K1324">
        <v>8792.58</v>
      </c>
      <c r="L1324">
        <v>107.19</v>
      </c>
      <c r="M1324">
        <v>59111</v>
      </c>
      <c r="N1324" t="s">
        <v>60</v>
      </c>
      <c r="O1324">
        <v>250205</v>
      </c>
      <c r="P1324">
        <v>420.36</v>
      </c>
    </row>
    <row r="1325" spans="1:16" x14ac:dyDescent="0.25">
      <c r="A1325" t="s">
        <v>3296</v>
      </c>
      <c r="B1325" t="s">
        <v>2931</v>
      </c>
      <c r="C1325">
        <v>1219</v>
      </c>
      <c r="D1325" t="str">
        <f>"318297433   "</f>
        <v xml:space="preserve">318297433   </v>
      </c>
      <c r="E1325" t="s">
        <v>557</v>
      </c>
      <c r="F1325" t="s">
        <v>558</v>
      </c>
      <c r="G1325">
        <v>8265.0300000000007</v>
      </c>
      <c r="H1325">
        <v>250131</v>
      </c>
      <c r="I1325">
        <v>4572</v>
      </c>
      <c r="J1325" t="s">
        <v>173</v>
      </c>
      <c r="K1325">
        <v>8792.58</v>
      </c>
      <c r="L1325">
        <v>1679.35</v>
      </c>
      <c r="M1325">
        <v>59501</v>
      </c>
      <c r="N1325" t="s">
        <v>62</v>
      </c>
      <c r="O1325">
        <v>250205</v>
      </c>
      <c r="P1325">
        <v>6585.68</v>
      </c>
    </row>
    <row r="1326" spans="1:16" x14ac:dyDescent="0.25">
      <c r="A1326" t="s">
        <v>3296</v>
      </c>
      <c r="B1326" t="s">
        <v>2931</v>
      </c>
      <c r="C1326">
        <v>1220</v>
      </c>
      <c r="D1326" t="str">
        <f>"318309558   "</f>
        <v xml:space="preserve">318309558   </v>
      </c>
      <c r="E1326" t="s">
        <v>557</v>
      </c>
      <c r="F1326" t="s">
        <v>558</v>
      </c>
      <c r="G1326">
        <v>2768.78</v>
      </c>
      <c r="H1326">
        <v>250131</v>
      </c>
      <c r="I1326">
        <v>4572</v>
      </c>
      <c r="J1326" t="s">
        <v>173</v>
      </c>
      <c r="K1326">
        <v>4538.9799999999996</v>
      </c>
      <c r="L1326">
        <v>562.58000000000004</v>
      </c>
      <c r="M1326">
        <v>59502</v>
      </c>
      <c r="N1326" t="s">
        <v>63</v>
      </c>
      <c r="O1326">
        <v>250205</v>
      </c>
      <c r="P1326">
        <v>2206.1999999999998</v>
      </c>
    </row>
    <row r="1327" spans="1:16" x14ac:dyDescent="0.25">
      <c r="A1327" t="s">
        <v>3296</v>
      </c>
      <c r="B1327" t="s">
        <v>2931</v>
      </c>
      <c r="C1327">
        <v>1220</v>
      </c>
      <c r="D1327" t="str">
        <f>"318309558   "</f>
        <v xml:space="preserve">318309558   </v>
      </c>
      <c r="E1327" t="s">
        <v>557</v>
      </c>
      <c r="F1327" t="s">
        <v>558</v>
      </c>
      <c r="G1327">
        <v>1770.2</v>
      </c>
      <c r="H1327">
        <v>250131</v>
      </c>
      <c r="I1327">
        <v>4572</v>
      </c>
      <c r="J1327" t="s">
        <v>173</v>
      </c>
      <c r="K1327">
        <v>4538.9799999999996</v>
      </c>
      <c r="L1327">
        <v>359.68</v>
      </c>
      <c r="M1327">
        <v>59802</v>
      </c>
      <c r="N1327" t="s">
        <v>195</v>
      </c>
      <c r="O1327">
        <v>250205</v>
      </c>
      <c r="P1327">
        <v>1410.52</v>
      </c>
    </row>
    <row r="1328" spans="1:16" x14ac:dyDescent="0.25">
      <c r="A1328" t="s">
        <v>3296</v>
      </c>
      <c r="B1328" t="s">
        <v>2931</v>
      </c>
      <c r="C1328">
        <v>1931</v>
      </c>
      <c r="D1328" t="str">
        <f>"318461234   "</f>
        <v xml:space="preserve">318461234   </v>
      </c>
      <c r="E1328" t="s">
        <v>557</v>
      </c>
      <c r="F1328" t="s">
        <v>558</v>
      </c>
      <c r="G1328">
        <v>59.42</v>
      </c>
      <c r="H1328">
        <v>250131</v>
      </c>
      <c r="I1328">
        <v>4572</v>
      </c>
      <c r="J1328" t="s">
        <v>173</v>
      </c>
      <c r="K1328">
        <v>59.42</v>
      </c>
      <c r="L1328">
        <v>12.07</v>
      </c>
      <c r="M1328">
        <v>59505</v>
      </c>
      <c r="N1328" t="s">
        <v>194</v>
      </c>
      <c r="O1328">
        <v>250217</v>
      </c>
      <c r="P1328">
        <v>47.35</v>
      </c>
    </row>
    <row r="1329" spans="1:16" x14ac:dyDescent="0.25">
      <c r="A1329" t="s">
        <v>3296</v>
      </c>
      <c r="B1329" t="s">
        <v>2931</v>
      </c>
      <c r="C1329">
        <v>2980</v>
      </c>
      <c r="D1329" t="str">
        <f>"318670363   "</f>
        <v xml:space="preserve">318670363   </v>
      </c>
      <c r="E1329" t="s">
        <v>557</v>
      </c>
      <c r="F1329" t="s">
        <v>558</v>
      </c>
      <c r="G1329">
        <v>13.84</v>
      </c>
      <c r="H1329">
        <v>250228</v>
      </c>
      <c r="I1329">
        <v>4572</v>
      </c>
      <c r="J1329" t="s">
        <v>173</v>
      </c>
      <c r="K1329">
        <v>51.25</v>
      </c>
      <c r="L1329">
        <v>2.81</v>
      </c>
      <c r="M1329">
        <v>59112</v>
      </c>
      <c r="N1329" t="s">
        <v>44</v>
      </c>
      <c r="O1329">
        <v>250313</v>
      </c>
      <c r="P1329">
        <v>11.03</v>
      </c>
    </row>
    <row r="1330" spans="1:16" x14ac:dyDescent="0.25">
      <c r="A1330" t="s">
        <v>3296</v>
      </c>
      <c r="B1330" t="s">
        <v>2931</v>
      </c>
      <c r="C1330">
        <v>2980</v>
      </c>
      <c r="D1330" t="str">
        <f>"318670363   "</f>
        <v xml:space="preserve">318670363   </v>
      </c>
      <c r="E1330" t="s">
        <v>557</v>
      </c>
      <c r="F1330" t="s">
        <v>558</v>
      </c>
      <c r="G1330">
        <v>37.409999999999997</v>
      </c>
      <c r="H1330">
        <v>250228</v>
      </c>
      <c r="I1330">
        <v>4572</v>
      </c>
      <c r="J1330" t="s">
        <v>173</v>
      </c>
      <c r="K1330">
        <v>51.25</v>
      </c>
      <c r="L1330">
        <v>7.6</v>
      </c>
      <c r="M1330">
        <v>59504</v>
      </c>
      <c r="N1330" t="s">
        <v>193</v>
      </c>
      <c r="O1330">
        <v>250313</v>
      </c>
      <c r="P1330">
        <v>29.81</v>
      </c>
    </row>
    <row r="1331" spans="1:16" x14ac:dyDescent="0.25">
      <c r="A1331" t="s">
        <v>3296</v>
      </c>
      <c r="B1331" t="s">
        <v>2931</v>
      </c>
      <c r="C1331">
        <v>3053</v>
      </c>
      <c r="D1331" t="str">
        <f>"318641625   "</f>
        <v xml:space="preserve">318641625   </v>
      </c>
      <c r="E1331" t="s">
        <v>557</v>
      </c>
      <c r="F1331" t="s">
        <v>558</v>
      </c>
      <c r="G1331">
        <v>12.8</v>
      </c>
      <c r="H1331">
        <v>250228</v>
      </c>
      <c r="I1331">
        <v>4572</v>
      </c>
      <c r="J1331" t="s">
        <v>173</v>
      </c>
      <c r="K1331">
        <v>47.41</v>
      </c>
      <c r="L1331">
        <v>2.6</v>
      </c>
      <c r="M1331">
        <v>59112</v>
      </c>
      <c r="N1331" t="s">
        <v>44</v>
      </c>
      <c r="O1331">
        <v>250314</v>
      </c>
      <c r="P1331">
        <v>10.199999999999999</v>
      </c>
    </row>
    <row r="1332" spans="1:16" x14ac:dyDescent="0.25">
      <c r="A1332" t="s">
        <v>3296</v>
      </c>
      <c r="B1332" t="s">
        <v>2931</v>
      </c>
      <c r="C1332">
        <v>3053</v>
      </c>
      <c r="D1332" t="str">
        <f>"318641625   "</f>
        <v xml:space="preserve">318641625   </v>
      </c>
      <c r="E1332" t="s">
        <v>557</v>
      </c>
      <c r="F1332" t="s">
        <v>558</v>
      </c>
      <c r="G1332">
        <v>34.61</v>
      </c>
      <c r="H1332">
        <v>250228</v>
      </c>
      <c r="I1332">
        <v>4572</v>
      </c>
      <c r="J1332" t="s">
        <v>173</v>
      </c>
      <c r="K1332">
        <v>47.41</v>
      </c>
      <c r="L1332">
        <v>7.03</v>
      </c>
      <c r="M1332">
        <v>59504</v>
      </c>
      <c r="N1332" t="s">
        <v>193</v>
      </c>
      <c r="O1332">
        <v>250314</v>
      </c>
      <c r="P1332">
        <v>27.58</v>
      </c>
    </row>
    <row r="1333" spans="1:16" x14ac:dyDescent="0.25">
      <c r="A1333" t="s">
        <v>3296</v>
      </c>
      <c r="B1333" t="s">
        <v>2931</v>
      </c>
      <c r="C1333">
        <v>3077</v>
      </c>
      <c r="D1333" t="str">
        <f>"318588956   "</f>
        <v xml:space="preserve">318588956   </v>
      </c>
      <c r="E1333" t="s">
        <v>557</v>
      </c>
      <c r="F1333" t="s">
        <v>558</v>
      </c>
      <c r="G1333">
        <v>55.9</v>
      </c>
      <c r="H1333">
        <v>250228</v>
      </c>
      <c r="I1333">
        <v>4572</v>
      </c>
      <c r="J1333" t="s">
        <v>173</v>
      </c>
      <c r="K1333">
        <v>207.02</v>
      </c>
      <c r="L1333">
        <v>11.36</v>
      </c>
      <c r="M1333">
        <v>59112</v>
      </c>
      <c r="N1333" t="s">
        <v>44</v>
      </c>
      <c r="O1333">
        <v>250314</v>
      </c>
      <c r="P1333">
        <v>44.54</v>
      </c>
    </row>
    <row r="1334" spans="1:16" x14ac:dyDescent="0.25">
      <c r="A1334" t="s">
        <v>3296</v>
      </c>
      <c r="B1334" t="s">
        <v>2931</v>
      </c>
      <c r="C1334">
        <v>3077</v>
      </c>
      <c r="D1334" t="str">
        <f>"318588956   "</f>
        <v xml:space="preserve">318588956   </v>
      </c>
      <c r="E1334" t="s">
        <v>557</v>
      </c>
      <c r="F1334" t="s">
        <v>558</v>
      </c>
      <c r="G1334">
        <v>151.12</v>
      </c>
      <c r="H1334">
        <v>250228</v>
      </c>
      <c r="I1334">
        <v>4572</v>
      </c>
      <c r="J1334" t="s">
        <v>173</v>
      </c>
      <c r="K1334">
        <v>207.02</v>
      </c>
      <c r="L1334">
        <v>30.71</v>
      </c>
      <c r="M1334">
        <v>59504</v>
      </c>
      <c r="N1334" t="s">
        <v>193</v>
      </c>
      <c r="O1334">
        <v>250314</v>
      </c>
      <c r="P1334">
        <v>120.41</v>
      </c>
    </row>
    <row r="1335" spans="1:16" x14ac:dyDescent="0.25">
      <c r="A1335" t="s">
        <v>3296</v>
      </c>
      <c r="B1335" t="s">
        <v>2931</v>
      </c>
      <c r="C1335">
        <v>3081</v>
      </c>
      <c r="D1335" t="str">
        <f>"318541596   "</f>
        <v xml:space="preserve">318541596   </v>
      </c>
      <c r="E1335" t="s">
        <v>557</v>
      </c>
      <c r="F1335" t="s">
        <v>558</v>
      </c>
      <c r="G1335">
        <v>467.63</v>
      </c>
      <c r="H1335">
        <v>250228</v>
      </c>
      <c r="I1335">
        <v>4572</v>
      </c>
      <c r="J1335" t="s">
        <v>173</v>
      </c>
      <c r="K1335">
        <v>7793.9</v>
      </c>
      <c r="L1335">
        <v>95.02</v>
      </c>
      <c r="M1335">
        <v>59111</v>
      </c>
      <c r="N1335" t="s">
        <v>60</v>
      </c>
      <c r="O1335">
        <v>250314</v>
      </c>
      <c r="P1335">
        <v>372.61</v>
      </c>
    </row>
    <row r="1336" spans="1:16" x14ac:dyDescent="0.25">
      <c r="A1336" t="s">
        <v>3296</v>
      </c>
      <c r="B1336" t="s">
        <v>2931</v>
      </c>
      <c r="C1336">
        <v>3081</v>
      </c>
      <c r="D1336" t="str">
        <f>"318541596   "</f>
        <v xml:space="preserve">318541596   </v>
      </c>
      <c r="E1336" t="s">
        <v>557</v>
      </c>
      <c r="F1336" t="s">
        <v>558</v>
      </c>
      <c r="G1336">
        <v>7326.27</v>
      </c>
      <c r="H1336">
        <v>250228</v>
      </c>
      <c r="I1336">
        <v>4572</v>
      </c>
      <c r="J1336" t="s">
        <v>173</v>
      </c>
      <c r="K1336">
        <v>7793.9</v>
      </c>
      <c r="L1336">
        <v>1488.6</v>
      </c>
      <c r="M1336">
        <v>59501</v>
      </c>
      <c r="N1336" t="s">
        <v>62</v>
      </c>
      <c r="O1336">
        <v>250314</v>
      </c>
      <c r="P1336">
        <v>5837.67</v>
      </c>
    </row>
    <row r="1337" spans="1:16" x14ac:dyDescent="0.25">
      <c r="A1337" t="s">
        <v>3296</v>
      </c>
      <c r="B1337" t="s">
        <v>2931</v>
      </c>
      <c r="C1337">
        <v>3088</v>
      </c>
      <c r="D1337" t="str">
        <f>"318569508   "</f>
        <v xml:space="preserve">318569508   </v>
      </c>
      <c r="E1337" t="s">
        <v>557</v>
      </c>
      <c r="F1337" t="s">
        <v>558</v>
      </c>
      <c r="G1337">
        <v>599.49</v>
      </c>
      <c r="H1337">
        <v>250228</v>
      </c>
      <c r="I1337">
        <v>4572</v>
      </c>
      <c r="J1337" t="s">
        <v>173</v>
      </c>
      <c r="K1337">
        <v>2220.33</v>
      </c>
      <c r="L1337">
        <v>121.81</v>
      </c>
      <c r="M1337">
        <v>59112</v>
      </c>
      <c r="N1337" t="s">
        <v>44</v>
      </c>
      <c r="O1337">
        <v>250314</v>
      </c>
      <c r="P1337">
        <v>477.68</v>
      </c>
    </row>
    <row r="1338" spans="1:16" x14ac:dyDescent="0.25">
      <c r="A1338" t="s">
        <v>3296</v>
      </c>
      <c r="B1338" t="s">
        <v>2931</v>
      </c>
      <c r="C1338">
        <v>3088</v>
      </c>
      <c r="D1338" t="str">
        <f>"318569508   "</f>
        <v xml:space="preserve">318569508   </v>
      </c>
      <c r="E1338" t="s">
        <v>557</v>
      </c>
      <c r="F1338" t="s">
        <v>558</v>
      </c>
      <c r="G1338">
        <v>1620.84</v>
      </c>
      <c r="H1338">
        <v>250228</v>
      </c>
      <c r="I1338">
        <v>4572</v>
      </c>
      <c r="J1338" t="s">
        <v>173</v>
      </c>
      <c r="K1338">
        <v>2220.33</v>
      </c>
      <c r="L1338">
        <v>329.33</v>
      </c>
      <c r="M1338">
        <v>59504</v>
      </c>
      <c r="N1338" t="s">
        <v>193</v>
      </c>
      <c r="O1338">
        <v>250314</v>
      </c>
      <c r="P1338">
        <v>1291.51</v>
      </c>
    </row>
    <row r="1339" spans="1:16" x14ac:dyDescent="0.25">
      <c r="A1339" t="s">
        <v>3296</v>
      </c>
      <c r="B1339" t="s">
        <v>2931</v>
      </c>
      <c r="C1339">
        <v>3118</v>
      </c>
      <c r="D1339" t="str">
        <f>"318586922   "</f>
        <v xml:space="preserve">318586922   </v>
      </c>
      <c r="E1339" t="s">
        <v>557</v>
      </c>
      <c r="F1339" t="s">
        <v>558</v>
      </c>
      <c r="G1339">
        <v>1349.66</v>
      </c>
      <c r="H1339">
        <v>250228</v>
      </c>
      <c r="I1339">
        <v>4572</v>
      </c>
      <c r="J1339" t="s">
        <v>173</v>
      </c>
      <c r="K1339">
        <v>1533.7</v>
      </c>
      <c r="L1339">
        <v>274.23</v>
      </c>
      <c r="M1339">
        <v>59505</v>
      </c>
      <c r="N1339" t="s">
        <v>194</v>
      </c>
      <c r="O1339">
        <v>250314</v>
      </c>
      <c r="P1339">
        <v>1075.43</v>
      </c>
    </row>
    <row r="1340" spans="1:16" x14ac:dyDescent="0.25">
      <c r="A1340" t="s">
        <v>3296</v>
      </c>
      <c r="B1340" t="s">
        <v>2931</v>
      </c>
      <c r="C1340">
        <v>3118</v>
      </c>
      <c r="D1340" t="str">
        <f>"318586922   "</f>
        <v xml:space="preserve">318586922   </v>
      </c>
      <c r="E1340" t="s">
        <v>557</v>
      </c>
      <c r="F1340" t="s">
        <v>558</v>
      </c>
      <c r="G1340">
        <v>184.04</v>
      </c>
      <c r="H1340">
        <v>250228</v>
      </c>
      <c r="I1340">
        <v>4572</v>
      </c>
      <c r="J1340" t="s">
        <v>173</v>
      </c>
      <c r="K1340">
        <v>1533.7</v>
      </c>
      <c r="L1340">
        <v>37.39</v>
      </c>
      <c r="M1340">
        <v>59812</v>
      </c>
      <c r="N1340" t="s">
        <v>196</v>
      </c>
      <c r="O1340">
        <v>250314</v>
      </c>
      <c r="P1340">
        <v>146.65</v>
      </c>
    </row>
    <row r="1341" spans="1:16" x14ac:dyDescent="0.25">
      <c r="A1341" t="s">
        <v>3296</v>
      </c>
      <c r="B1341" t="s">
        <v>2931</v>
      </c>
      <c r="C1341">
        <v>3242</v>
      </c>
      <c r="D1341" t="str">
        <f>"318546930   "</f>
        <v xml:space="preserve">318546930   </v>
      </c>
      <c r="E1341" t="s">
        <v>557</v>
      </c>
      <c r="F1341" t="s">
        <v>558</v>
      </c>
      <c r="G1341">
        <v>2471.56</v>
      </c>
      <c r="H1341">
        <v>250228</v>
      </c>
      <c r="I1341">
        <v>4572</v>
      </c>
      <c r="J1341" t="s">
        <v>173</v>
      </c>
      <c r="K1341">
        <v>4051.73</v>
      </c>
      <c r="L1341">
        <v>502.19</v>
      </c>
      <c r="M1341">
        <v>59502</v>
      </c>
      <c r="N1341" t="s">
        <v>63</v>
      </c>
      <c r="O1341">
        <v>250317</v>
      </c>
      <c r="P1341">
        <v>1969.37</v>
      </c>
    </row>
    <row r="1342" spans="1:16" x14ac:dyDescent="0.25">
      <c r="A1342" t="s">
        <v>3296</v>
      </c>
      <c r="B1342" t="s">
        <v>2931</v>
      </c>
      <c r="C1342">
        <v>3242</v>
      </c>
      <c r="D1342" t="str">
        <f>"318546930   "</f>
        <v xml:space="preserve">318546930   </v>
      </c>
      <c r="E1342" t="s">
        <v>557</v>
      </c>
      <c r="F1342" t="s">
        <v>558</v>
      </c>
      <c r="G1342">
        <v>1580.17</v>
      </c>
      <c r="H1342">
        <v>250228</v>
      </c>
      <c r="I1342">
        <v>4572</v>
      </c>
      <c r="J1342" t="s">
        <v>173</v>
      </c>
      <c r="K1342">
        <v>4051.73</v>
      </c>
      <c r="L1342">
        <v>321.07</v>
      </c>
      <c r="M1342">
        <v>59802</v>
      </c>
      <c r="N1342" t="s">
        <v>195</v>
      </c>
      <c r="O1342">
        <v>250317</v>
      </c>
      <c r="P1342">
        <v>1259.0999999999999</v>
      </c>
    </row>
    <row r="1343" spans="1:16" x14ac:dyDescent="0.25">
      <c r="A1343" t="s">
        <v>3296</v>
      </c>
      <c r="B1343" t="s">
        <v>2931</v>
      </c>
      <c r="C1343">
        <v>4888</v>
      </c>
      <c r="D1343" t="str">
        <f>"318834415   "</f>
        <v xml:space="preserve">318834415   </v>
      </c>
      <c r="E1343" t="s">
        <v>557</v>
      </c>
      <c r="F1343" t="s">
        <v>558</v>
      </c>
      <c r="G1343">
        <v>1441.97</v>
      </c>
      <c r="H1343">
        <v>250331</v>
      </c>
      <c r="I1343">
        <v>4572</v>
      </c>
      <c r="J1343" t="s">
        <v>173</v>
      </c>
      <c r="K1343">
        <v>1638.6</v>
      </c>
      <c r="L1343">
        <v>292.99</v>
      </c>
      <c r="M1343">
        <v>59505</v>
      </c>
      <c r="N1343" t="s">
        <v>194</v>
      </c>
      <c r="O1343">
        <v>250416</v>
      </c>
      <c r="P1343">
        <v>1148.98</v>
      </c>
    </row>
    <row r="1344" spans="1:16" x14ac:dyDescent="0.25">
      <c r="A1344" t="s">
        <v>3296</v>
      </c>
      <c r="B1344" t="s">
        <v>2931</v>
      </c>
      <c r="C1344">
        <v>4888</v>
      </c>
      <c r="D1344" t="str">
        <f>"318834415   "</f>
        <v xml:space="preserve">318834415   </v>
      </c>
      <c r="E1344" t="s">
        <v>557</v>
      </c>
      <c r="F1344" t="s">
        <v>558</v>
      </c>
      <c r="G1344">
        <v>196.63</v>
      </c>
      <c r="H1344">
        <v>250331</v>
      </c>
      <c r="I1344">
        <v>4572</v>
      </c>
      <c r="J1344" t="s">
        <v>173</v>
      </c>
      <c r="K1344">
        <v>1638.6</v>
      </c>
      <c r="L1344">
        <v>39.950000000000003</v>
      </c>
      <c r="M1344">
        <v>59812</v>
      </c>
      <c r="N1344" t="s">
        <v>196</v>
      </c>
      <c r="O1344">
        <v>250416</v>
      </c>
      <c r="P1344">
        <v>156.68</v>
      </c>
    </row>
    <row r="1345" spans="1:16" x14ac:dyDescent="0.25">
      <c r="A1345" t="s">
        <v>3296</v>
      </c>
      <c r="B1345" t="s">
        <v>2931</v>
      </c>
      <c r="C1345">
        <v>4898</v>
      </c>
      <c r="D1345" t="str">
        <f>"318816552   "</f>
        <v xml:space="preserve">318816552   </v>
      </c>
      <c r="E1345" t="s">
        <v>557</v>
      </c>
      <c r="F1345" t="s">
        <v>558</v>
      </c>
      <c r="G1345">
        <v>504.53</v>
      </c>
      <c r="H1345">
        <v>250331</v>
      </c>
      <c r="I1345">
        <v>4572</v>
      </c>
      <c r="J1345" t="s">
        <v>173</v>
      </c>
      <c r="K1345">
        <v>8408.7999999999993</v>
      </c>
      <c r="L1345">
        <v>102.51</v>
      </c>
      <c r="M1345">
        <v>59111</v>
      </c>
      <c r="N1345" t="s">
        <v>60</v>
      </c>
      <c r="O1345">
        <v>250416</v>
      </c>
      <c r="P1345">
        <v>402.02</v>
      </c>
    </row>
    <row r="1346" spans="1:16" x14ac:dyDescent="0.25">
      <c r="A1346" t="s">
        <v>3296</v>
      </c>
      <c r="B1346" t="s">
        <v>2931</v>
      </c>
      <c r="C1346">
        <v>4898</v>
      </c>
      <c r="D1346" t="str">
        <f>"318816552   "</f>
        <v xml:space="preserve">318816552   </v>
      </c>
      <c r="E1346" t="s">
        <v>557</v>
      </c>
      <c r="F1346" t="s">
        <v>558</v>
      </c>
      <c r="G1346">
        <v>7904.27</v>
      </c>
      <c r="H1346">
        <v>250331</v>
      </c>
      <c r="I1346">
        <v>4572</v>
      </c>
      <c r="J1346" t="s">
        <v>173</v>
      </c>
      <c r="K1346">
        <v>8408.7999999999993</v>
      </c>
      <c r="L1346">
        <v>1606.05</v>
      </c>
      <c r="M1346">
        <v>59501</v>
      </c>
      <c r="N1346" t="s">
        <v>62</v>
      </c>
      <c r="O1346">
        <v>250416</v>
      </c>
      <c r="P1346">
        <v>6298.22</v>
      </c>
    </row>
    <row r="1347" spans="1:16" x14ac:dyDescent="0.25">
      <c r="A1347" t="s">
        <v>3296</v>
      </c>
      <c r="B1347" t="s">
        <v>2931</v>
      </c>
      <c r="C1347">
        <v>4910</v>
      </c>
      <c r="D1347" t="str">
        <f>"318826177   "</f>
        <v xml:space="preserve">318826177   </v>
      </c>
      <c r="E1347" t="s">
        <v>557</v>
      </c>
      <c r="F1347" t="s">
        <v>558</v>
      </c>
      <c r="G1347">
        <v>2634.74</v>
      </c>
      <c r="H1347">
        <v>250331</v>
      </c>
      <c r="I1347">
        <v>4572</v>
      </c>
      <c r="J1347" t="s">
        <v>173</v>
      </c>
      <c r="K1347">
        <v>4319.25</v>
      </c>
      <c r="L1347">
        <v>535.35</v>
      </c>
      <c r="M1347">
        <v>59502</v>
      </c>
      <c r="N1347" t="s">
        <v>63</v>
      </c>
      <c r="O1347">
        <v>250416</v>
      </c>
      <c r="P1347">
        <v>2099.39</v>
      </c>
    </row>
    <row r="1348" spans="1:16" x14ac:dyDescent="0.25">
      <c r="A1348" t="s">
        <v>3296</v>
      </c>
      <c r="B1348" t="s">
        <v>2931</v>
      </c>
      <c r="C1348">
        <v>4910</v>
      </c>
      <c r="D1348" t="str">
        <f>"318826177   "</f>
        <v xml:space="preserve">318826177   </v>
      </c>
      <c r="E1348" t="s">
        <v>557</v>
      </c>
      <c r="F1348" t="s">
        <v>558</v>
      </c>
      <c r="G1348">
        <v>1684.51</v>
      </c>
      <c r="H1348">
        <v>250331</v>
      </c>
      <c r="I1348">
        <v>4572</v>
      </c>
      <c r="J1348" t="s">
        <v>173</v>
      </c>
      <c r="K1348">
        <v>4319.25</v>
      </c>
      <c r="L1348">
        <v>342.27</v>
      </c>
      <c r="M1348">
        <v>59802</v>
      </c>
      <c r="N1348" t="s">
        <v>195</v>
      </c>
      <c r="O1348">
        <v>250416</v>
      </c>
      <c r="P1348">
        <v>1342.24</v>
      </c>
    </row>
    <row r="1349" spans="1:16" x14ac:dyDescent="0.25">
      <c r="A1349" t="s">
        <v>3296</v>
      </c>
      <c r="B1349" t="s">
        <v>2931</v>
      </c>
      <c r="C1349">
        <v>4951</v>
      </c>
      <c r="D1349" t="str">
        <f>"318830004   "</f>
        <v xml:space="preserve">318830004   </v>
      </c>
      <c r="E1349" t="s">
        <v>557</v>
      </c>
      <c r="F1349" t="s">
        <v>558</v>
      </c>
      <c r="G1349">
        <v>595.27</v>
      </c>
      <c r="H1349">
        <v>250331</v>
      </c>
      <c r="I1349">
        <v>4572</v>
      </c>
      <c r="J1349" t="s">
        <v>173</v>
      </c>
      <c r="K1349">
        <v>2204.71</v>
      </c>
      <c r="L1349">
        <v>120.95</v>
      </c>
      <c r="M1349">
        <v>59112</v>
      </c>
      <c r="N1349" t="s">
        <v>44</v>
      </c>
      <c r="O1349">
        <v>250416</v>
      </c>
      <c r="P1349">
        <v>474.32</v>
      </c>
    </row>
    <row r="1350" spans="1:16" x14ac:dyDescent="0.25">
      <c r="A1350" t="s">
        <v>3296</v>
      </c>
      <c r="B1350" t="s">
        <v>2931</v>
      </c>
      <c r="C1350">
        <v>4951</v>
      </c>
      <c r="D1350" t="str">
        <f>"318830004   "</f>
        <v xml:space="preserve">318830004   </v>
      </c>
      <c r="E1350" t="s">
        <v>557</v>
      </c>
      <c r="F1350" t="s">
        <v>558</v>
      </c>
      <c r="G1350">
        <v>1609.44</v>
      </c>
      <c r="H1350">
        <v>250331</v>
      </c>
      <c r="I1350">
        <v>4572</v>
      </c>
      <c r="J1350" t="s">
        <v>173</v>
      </c>
      <c r="K1350">
        <v>2204.71</v>
      </c>
      <c r="L1350">
        <v>327.02</v>
      </c>
      <c r="M1350">
        <v>59504</v>
      </c>
      <c r="N1350" t="s">
        <v>193</v>
      </c>
      <c r="O1350">
        <v>250416</v>
      </c>
      <c r="P1350">
        <v>1282.42</v>
      </c>
    </row>
    <row r="1351" spans="1:16" x14ac:dyDescent="0.25">
      <c r="A1351" t="s">
        <v>3296</v>
      </c>
      <c r="B1351" t="s">
        <v>2931</v>
      </c>
      <c r="C1351">
        <v>5226</v>
      </c>
      <c r="D1351" t="str">
        <f>"318854598   "</f>
        <v xml:space="preserve">318854598   </v>
      </c>
      <c r="E1351" t="s">
        <v>557</v>
      </c>
      <c r="F1351" t="s">
        <v>558</v>
      </c>
      <c r="G1351">
        <v>236.24</v>
      </c>
      <c r="H1351">
        <v>250331</v>
      </c>
      <c r="I1351">
        <v>4572</v>
      </c>
      <c r="J1351" t="s">
        <v>173</v>
      </c>
      <c r="K1351">
        <v>236.24</v>
      </c>
      <c r="L1351">
        <v>48</v>
      </c>
      <c r="M1351">
        <v>56571</v>
      </c>
      <c r="N1351" t="s">
        <v>553</v>
      </c>
      <c r="O1351">
        <v>250422</v>
      </c>
      <c r="P1351">
        <v>188.24</v>
      </c>
    </row>
    <row r="1352" spans="1:16" x14ac:dyDescent="0.25">
      <c r="A1352" t="s">
        <v>3296</v>
      </c>
      <c r="B1352" t="s">
        <v>2931</v>
      </c>
      <c r="C1352">
        <v>5235</v>
      </c>
      <c r="D1352" t="str">
        <f>"318849838   "</f>
        <v xml:space="preserve">318849838   </v>
      </c>
      <c r="E1352" t="s">
        <v>557</v>
      </c>
      <c r="F1352" t="s">
        <v>558</v>
      </c>
      <c r="G1352">
        <v>226.48</v>
      </c>
      <c r="H1352">
        <v>250331</v>
      </c>
      <c r="I1352">
        <v>4572</v>
      </c>
      <c r="J1352" t="s">
        <v>173</v>
      </c>
      <c r="K1352">
        <v>226.48</v>
      </c>
      <c r="L1352">
        <v>46.02</v>
      </c>
      <c r="M1352">
        <v>56571</v>
      </c>
      <c r="N1352" t="s">
        <v>553</v>
      </c>
      <c r="O1352">
        <v>250422</v>
      </c>
      <c r="P1352">
        <v>180.46</v>
      </c>
    </row>
    <row r="1353" spans="1:16" x14ac:dyDescent="0.25">
      <c r="A1353" t="s">
        <v>3296</v>
      </c>
      <c r="B1353" t="s">
        <v>2931</v>
      </c>
      <c r="C1353">
        <v>5527</v>
      </c>
      <c r="D1353" t="str">
        <f>"318986889   "</f>
        <v xml:space="preserve">318986889   </v>
      </c>
      <c r="E1353" t="s">
        <v>557</v>
      </c>
      <c r="F1353" t="s">
        <v>558</v>
      </c>
      <c r="G1353">
        <v>59.42</v>
      </c>
      <c r="H1353">
        <v>250414</v>
      </c>
      <c r="I1353">
        <v>4572</v>
      </c>
      <c r="J1353" t="s">
        <v>173</v>
      </c>
      <c r="K1353">
        <v>59.42</v>
      </c>
      <c r="L1353">
        <v>0</v>
      </c>
      <c r="M1353">
        <v>59505</v>
      </c>
      <c r="N1353" t="s">
        <v>194</v>
      </c>
      <c r="O1353">
        <v>250425</v>
      </c>
      <c r="P1353">
        <v>59.42</v>
      </c>
    </row>
    <row r="1354" spans="1:16" x14ac:dyDescent="0.25">
      <c r="A1354" t="s">
        <v>3296</v>
      </c>
      <c r="B1354" t="s">
        <v>2931</v>
      </c>
      <c r="C1354">
        <v>6510</v>
      </c>
      <c r="D1354" t="str">
        <f>"319060329   "</f>
        <v xml:space="preserve">319060329   </v>
      </c>
      <c r="E1354" t="s">
        <v>557</v>
      </c>
      <c r="F1354" t="s">
        <v>558</v>
      </c>
      <c r="G1354">
        <v>2372.2399999999998</v>
      </c>
      <c r="H1354">
        <v>250430</v>
      </c>
      <c r="I1354">
        <v>4572</v>
      </c>
      <c r="J1354" t="s">
        <v>173</v>
      </c>
      <c r="K1354">
        <v>3888.92</v>
      </c>
      <c r="L1354">
        <v>482.01</v>
      </c>
      <c r="M1354">
        <v>59502</v>
      </c>
      <c r="N1354" t="s">
        <v>63</v>
      </c>
      <c r="O1354">
        <v>250513</v>
      </c>
      <c r="P1354">
        <v>1890.23</v>
      </c>
    </row>
    <row r="1355" spans="1:16" x14ac:dyDescent="0.25">
      <c r="A1355" t="s">
        <v>3296</v>
      </c>
      <c r="B1355" t="s">
        <v>2931</v>
      </c>
      <c r="C1355">
        <v>6510</v>
      </c>
      <c r="D1355" t="str">
        <f>"319060329   "</f>
        <v xml:space="preserve">319060329   </v>
      </c>
      <c r="E1355" t="s">
        <v>557</v>
      </c>
      <c r="F1355" t="s">
        <v>558</v>
      </c>
      <c r="G1355">
        <v>1516.68</v>
      </c>
      <c r="H1355">
        <v>250430</v>
      </c>
      <c r="I1355">
        <v>4572</v>
      </c>
      <c r="J1355" t="s">
        <v>173</v>
      </c>
      <c r="K1355">
        <v>3888.92</v>
      </c>
      <c r="L1355">
        <v>308.17</v>
      </c>
      <c r="M1355">
        <v>59802</v>
      </c>
      <c r="N1355" t="s">
        <v>195</v>
      </c>
      <c r="O1355">
        <v>250513</v>
      </c>
      <c r="P1355">
        <v>1208.51</v>
      </c>
    </row>
    <row r="1356" spans="1:16" x14ac:dyDescent="0.25">
      <c r="A1356" t="s">
        <v>3296</v>
      </c>
      <c r="B1356" t="s">
        <v>2931</v>
      </c>
      <c r="C1356">
        <v>6514</v>
      </c>
      <c r="D1356" t="str">
        <f>"319040747   "</f>
        <v xml:space="preserve">319040747   </v>
      </c>
      <c r="E1356" t="s">
        <v>557</v>
      </c>
      <c r="F1356" t="s">
        <v>558</v>
      </c>
      <c r="G1356">
        <v>452.73</v>
      </c>
      <c r="H1356">
        <v>250430</v>
      </c>
      <c r="I1356">
        <v>4572</v>
      </c>
      <c r="J1356" t="s">
        <v>173</v>
      </c>
      <c r="K1356">
        <v>7545.49</v>
      </c>
      <c r="L1356">
        <v>91.99</v>
      </c>
      <c r="M1356">
        <v>59111</v>
      </c>
      <c r="N1356" t="s">
        <v>60</v>
      </c>
      <c r="O1356">
        <v>250513</v>
      </c>
      <c r="P1356">
        <v>360.74</v>
      </c>
    </row>
    <row r="1357" spans="1:16" x14ac:dyDescent="0.25">
      <c r="A1357" t="s">
        <v>3296</v>
      </c>
      <c r="B1357" t="s">
        <v>2931</v>
      </c>
      <c r="C1357">
        <v>6514</v>
      </c>
      <c r="D1357" t="str">
        <f>"319040747   "</f>
        <v xml:space="preserve">319040747   </v>
      </c>
      <c r="E1357" t="s">
        <v>557</v>
      </c>
      <c r="F1357" t="s">
        <v>558</v>
      </c>
      <c r="G1357">
        <v>7092.76</v>
      </c>
      <c r="H1357">
        <v>250430</v>
      </c>
      <c r="I1357">
        <v>4572</v>
      </c>
      <c r="J1357" t="s">
        <v>173</v>
      </c>
      <c r="K1357">
        <v>7545.49</v>
      </c>
      <c r="L1357">
        <v>1441.16</v>
      </c>
      <c r="M1357">
        <v>59501</v>
      </c>
      <c r="N1357" t="s">
        <v>62</v>
      </c>
      <c r="O1357">
        <v>250513</v>
      </c>
      <c r="P1357">
        <v>5651.6</v>
      </c>
    </row>
    <row r="1358" spans="1:16" x14ac:dyDescent="0.25">
      <c r="A1358" t="s">
        <v>3296</v>
      </c>
      <c r="B1358" t="s">
        <v>2931</v>
      </c>
      <c r="C1358">
        <v>6521</v>
      </c>
      <c r="D1358" t="str">
        <f>"319056864   "</f>
        <v xml:space="preserve">319056864   </v>
      </c>
      <c r="E1358" t="s">
        <v>557</v>
      </c>
      <c r="F1358" t="s">
        <v>558</v>
      </c>
      <c r="G1358">
        <v>530.6</v>
      </c>
      <c r="H1358">
        <v>250430</v>
      </c>
      <c r="I1358">
        <v>4572</v>
      </c>
      <c r="J1358" t="s">
        <v>173</v>
      </c>
      <c r="K1358">
        <v>1965.2</v>
      </c>
      <c r="L1358">
        <v>107.81</v>
      </c>
      <c r="M1358">
        <v>59112</v>
      </c>
      <c r="N1358" t="s">
        <v>44</v>
      </c>
      <c r="O1358">
        <v>250513</v>
      </c>
      <c r="P1358">
        <v>422.79</v>
      </c>
    </row>
    <row r="1359" spans="1:16" x14ac:dyDescent="0.25">
      <c r="A1359" t="s">
        <v>3296</v>
      </c>
      <c r="B1359" t="s">
        <v>2931</v>
      </c>
      <c r="C1359">
        <v>6521</v>
      </c>
      <c r="D1359" t="str">
        <f>"319056864   "</f>
        <v xml:space="preserve">319056864   </v>
      </c>
      <c r="E1359" t="s">
        <v>557</v>
      </c>
      <c r="F1359" t="s">
        <v>558</v>
      </c>
      <c r="G1359">
        <v>1434.6</v>
      </c>
      <c r="H1359">
        <v>250430</v>
      </c>
      <c r="I1359">
        <v>4572</v>
      </c>
      <c r="J1359" t="s">
        <v>173</v>
      </c>
      <c r="K1359">
        <v>1965.2</v>
      </c>
      <c r="L1359">
        <v>291.49</v>
      </c>
      <c r="M1359">
        <v>59504</v>
      </c>
      <c r="N1359" t="s">
        <v>193</v>
      </c>
      <c r="O1359">
        <v>250513</v>
      </c>
      <c r="P1359">
        <v>1143.1099999999999</v>
      </c>
    </row>
    <row r="1360" spans="1:16" x14ac:dyDescent="0.25">
      <c r="A1360" t="s">
        <v>3296</v>
      </c>
      <c r="B1360" t="s">
        <v>2931</v>
      </c>
      <c r="C1360">
        <v>6527</v>
      </c>
      <c r="D1360" t="str">
        <f>"319095777   "</f>
        <v xml:space="preserve">319095777   </v>
      </c>
      <c r="E1360" t="s">
        <v>557</v>
      </c>
      <c r="F1360" t="s">
        <v>558</v>
      </c>
      <c r="G1360">
        <v>1420.36</v>
      </c>
      <c r="H1360">
        <v>250430</v>
      </c>
      <c r="I1360">
        <v>4572</v>
      </c>
      <c r="J1360" t="s">
        <v>173</v>
      </c>
      <c r="K1360">
        <v>1614.04</v>
      </c>
      <c r="L1360">
        <v>288.60000000000002</v>
      </c>
      <c r="M1360">
        <v>59505</v>
      </c>
      <c r="N1360" t="s">
        <v>194</v>
      </c>
      <c r="O1360">
        <v>250513</v>
      </c>
      <c r="P1360">
        <v>1131.76</v>
      </c>
    </row>
    <row r="1361" spans="1:16" x14ac:dyDescent="0.25">
      <c r="A1361" t="s">
        <v>3296</v>
      </c>
      <c r="B1361" t="s">
        <v>2931</v>
      </c>
      <c r="C1361">
        <v>6527</v>
      </c>
      <c r="D1361" t="str">
        <f>"319095777   "</f>
        <v xml:space="preserve">319095777   </v>
      </c>
      <c r="E1361" t="s">
        <v>557</v>
      </c>
      <c r="F1361" t="s">
        <v>558</v>
      </c>
      <c r="G1361">
        <v>193.68</v>
      </c>
      <c r="H1361">
        <v>250430</v>
      </c>
      <c r="I1361">
        <v>4572</v>
      </c>
      <c r="J1361" t="s">
        <v>173</v>
      </c>
      <c r="K1361">
        <v>1614.04</v>
      </c>
      <c r="L1361">
        <v>39.35</v>
      </c>
      <c r="M1361">
        <v>59812</v>
      </c>
      <c r="N1361" t="s">
        <v>196</v>
      </c>
      <c r="O1361">
        <v>250513</v>
      </c>
      <c r="P1361">
        <v>154.33000000000001</v>
      </c>
    </row>
    <row r="1362" spans="1:16" x14ac:dyDescent="0.25">
      <c r="A1362" t="s">
        <v>3296</v>
      </c>
      <c r="B1362" t="s">
        <v>2931</v>
      </c>
      <c r="C1362">
        <v>8465</v>
      </c>
      <c r="D1362" t="str">
        <f>"319329748   "</f>
        <v xml:space="preserve">319329748   </v>
      </c>
      <c r="E1362" t="s">
        <v>557</v>
      </c>
      <c r="F1362" t="s">
        <v>558</v>
      </c>
      <c r="G1362">
        <v>497.12</v>
      </c>
      <c r="H1362">
        <v>250531</v>
      </c>
      <c r="I1362">
        <v>4572</v>
      </c>
      <c r="J1362" t="s">
        <v>173</v>
      </c>
      <c r="K1362">
        <v>1841.2</v>
      </c>
      <c r="L1362">
        <v>101.01</v>
      </c>
      <c r="M1362">
        <v>59112</v>
      </c>
      <c r="N1362" t="s">
        <v>44</v>
      </c>
      <c r="O1362">
        <v>250613</v>
      </c>
      <c r="P1362">
        <v>396.11</v>
      </c>
    </row>
    <row r="1363" spans="1:16" x14ac:dyDescent="0.25">
      <c r="A1363" t="s">
        <v>3296</v>
      </c>
      <c r="B1363" t="s">
        <v>2931</v>
      </c>
      <c r="C1363">
        <v>8465</v>
      </c>
      <c r="D1363" t="str">
        <f>"319329748   "</f>
        <v xml:space="preserve">319329748   </v>
      </c>
      <c r="E1363" t="s">
        <v>557</v>
      </c>
      <c r="F1363" t="s">
        <v>558</v>
      </c>
      <c r="G1363">
        <v>1344.08</v>
      </c>
      <c r="H1363">
        <v>250531</v>
      </c>
      <c r="I1363">
        <v>4572</v>
      </c>
      <c r="J1363" t="s">
        <v>173</v>
      </c>
      <c r="K1363">
        <v>1841.2</v>
      </c>
      <c r="L1363">
        <v>273.10000000000002</v>
      </c>
      <c r="M1363">
        <v>59504</v>
      </c>
      <c r="N1363" t="s">
        <v>193</v>
      </c>
      <c r="O1363">
        <v>250613</v>
      </c>
      <c r="P1363">
        <v>1070.98</v>
      </c>
    </row>
    <row r="1364" spans="1:16" x14ac:dyDescent="0.25">
      <c r="A1364" t="s">
        <v>3296</v>
      </c>
      <c r="B1364" t="s">
        <v>2931</v>
      </c>
      <c r="C1364">
        <v>8545</v>
      </c>
      <c r="D1364" t="str">
        <f>"319308366   "</f>
        <v xml:space="preserve">319308366   </v>
      </c>
      <c r="E1364" t="s">
        <v>557</v>
      </c>
      <c r="F1364" t="s">
        <v>558</v>
      </c>
      <c r="G1364">
        <v>414.89</v>
      </c>
      <c r="H1364">
        <v>250531</v>
      </c>
      <c r="I1364">
        <v>4572</v>
      </c>
      <c r="J1364" t="s">
        <v>173</v>
      </c>
      <c r="K1364">
        <v>6914.89</v>
      </c>
      <c r="L1364">
        <v>84.3</v>
      </c>
      <c r="M1364">
        <v>59111</v>
      </c>
      <c r="N1364" t="s">
        <v>60</v>
      </c>
      <c r="O1364">
        <v>250617</v>
      </c>
      <c r="P1364">
        <v>330.59</v>
      </c>
    </row>
    <row r="1365" spans="1:16" x14ac:dyDescent="0.25">
      <c r="A1365" t="s">
        <v>3296</v>
      </c>
      <c r="B1365" t="s">
        <v>2931</v>
      </c>
      <c r="C1365">
        <v>8545</v>
      </c>
      <c r="D1365" t="str">
        <f>"319308366   "</f>
        <v xml:space="preserve">319308366   </v>
      </c>
      <c r="E1365" t="s">
        <v>557</v>
      </c>
      <c r="F1365" t="s">
        <v>558</v>
      </c>
      <c r="G1365">
        <v>6500</v>
      </c>
      <c r="H1365">
        <v>250531</v>
      </c>
      <c r="I1365">
        <v>4572</v>
      </c>
      <c r="J1365" t="s">
        <v>173</v>
      </c>
      <c r="K1365">
        <v>6914.89</v>
      </c>
      <c r="L1365">
        <v>1320.72</v>
      </c>
      <c r="M1365">
        <v>59501</v>
      </c>
      <c r="N1365" t="s">
        <v>62</v>
      </c>
      <c r="O1365">
        <v>250617</v>
      </c>
      <c r="P1365">
        <v>5179.28</v>
      </c>
    </row>
    <row r="1366" spans="1:16" x14ac:dyDescent="0.25">
      <c r="A1366" t="s">
        <v>3296</v>
      </c>
      <c r="B1366" t="s">
        <v>2931</v>
      </c>
      <c r="C1366">
        <v>8559</v>
      </c>
      <c r="D1366" t="str">
        <f>"319358034   "</f>
        <v xml:space="preserve">319358034   </v>
      </c>
      <c r="E1366" t="s">
        <v>557</v>
      </c>
      <c r="F1366" t="s">
        <v>558</v>
      </c>
      <c r="G1366">
        <v>12.58</v>
      </c>
      <c r="H1366">
        <v>250531</v>
      </c>
      <c r="I1366">
        <v>4572</v>
      </c>
      <c r="J1366" t="s">
        <v>173</v>
      </c>
      <c r="K1366">
        <v>46.59</v>
      </c>
      <c r="L1366">
        <v>2.56</v>
      </c>
      <c r="M1366">
        <v>59112</v>
      </c>
      <c r="N1366" t="s">
        <v>44</v>
      </c>
      <c r="O1366">
        <v>250617</v>
      </c>
      <c r="P1366">
        <v>10.02</v>
      </c>
    </row>
    <row r="1367" spans="1:16" x14ac:dyDescent="0.25">
      <c r="A1367" t="s">
        <v>3296</v>
      </c>
      <c r="B1367" t="s">
        <v>2931</v>
      </c>
      <c r="C1367">
        <v>8559</v>
      </c>
      <c r="D1367" t="str">
        <f>"319358034   "</f>
        <v xml:space="preserve">319358034   </v>
      </c>
      <c r="E1367" t="s">
        <v>557</v>
      </c>
      <c r="F1367" t="s">
        <v>558</v>
      </c>
      <c r="G1367">
        <v>34.01</v>
      </c>
      <c r="H1367">
        <v>250531</v>
      </c>
      <c r="I1367">
        <v>4572</v>
      </c>
      <c r="J1367" t="s">
        <v>173</v>
      </c>
      <c r="K1367">
        <v>46.59</v>
      </c>
      <c r="L1367">
        <v>6.91</v>
      </c>
      <c r="M1367">
        <v>59504</v>
      </c>
      <c r="N1367" t="s">
        <v>193</v>
      </c>
      <c r="O1367">
        <v>250617</v>
      </c>
      <c r="P1367">
        <v>27.1</v>
      </c>
    </row>
    <row r="1368" spans="1:16" x14ac:dyDescent="0.25">
      <c r="A1368" t="s">
        <v>3296</v>
      </c>
      <c r="B1368" t="s">
        <v>2931</v>
      </c>
      <c r="C1368">
        <v>8653</v>
      </c>
      <c r="D1368" t="str">
        <f>"319296680   "</f>
        <v xml:space="preserve">319296680   </v>
      </c>
      <c r="E1368" t="s">
        <v>557</v>
      </c>
      <c r="F1368" t="s">
        <v>558</v>
      </c>
      <c r="G1368">
        <v>1350.46</v>
      </c>
      <c r="H1368">
        <v>250531</v>
      </c>
      <c r="I1368">
        <v>4572</v>
      </c>
      <c r="J1368" t="s">
        <v>173</v>
      </c>
      <c r="K1368">
        <v>1534.61</v>
      </c>
      <c r="L1368">
        <v>274.39999999999998</v>
      </c>
      <c r="M1368">
        <v>59505</v>
      </c>
      <c r="N1368" t="s">
        <v>194</v>
      </c>
      <c r="O1368">
        <v>250617</v>
      </c>
      <c r="P1368">
        <v>1076.06</v>
      </c>
    </row>
    <row r="1369" spans="1:16" x14ac:dyDescent="0.25">
      <c r="A1369" t="s">
        <v>3296</v>
      </c>
      <c r="B1369" t="s">
        <v>2931</v>
      </c>
      <c r="C1369">
        <v>8653</v>
      </c>
      <c r="D1369" t="str">
        <f>"319296680   "</f>
        <v xml:space="preserve">319296680   </v>
      </c>
      <c r="E1369" t="s">
        <v>557</v>
      </c>
      <c r="F1369" t="s">
        <v>558</v>
      </c>
      <c r="G1369">
        <v>184.15</v>
      </c>
      <c r="H1369">
        <v>250531</v>
      </c>
      <c r="I1369">
        <v>4572</v>
      </c>
      <c r="J1369" t="s">
        <v>173</v>
      </c>
      <c r="K1369">
        <v>1534.61</v>
      </c>
      <c r="L1369">
        <v>37.42</v>
      </c>
      <c r="M1369">
        <v>59812</v>
      </c>
      <c r="N1369" t="s">
        <v>196</v>
      </c>
      <c r="O1369">
        <v>250617</v>
      </c>
      <c r="P1369">
        <v>146.72999999999999</v>
      </c>
    </row>
    <row r="1370" spans="1:16" x14ac:dyDescent="0.25">
      <c r="A1370" t="s">
        <v>3296</v>
      </c>
      <c r="B1370" t="s">
        <v>2931</v>
      </c>
      <c r="C1370">
        <v>8671</v>
      </c>
      <c r="D1370" t="str">
        <f>"319413155   "</f>
        <v xml:space="preserve">319413155   </v>
      </c>
      <c r="E1370" t="s">
        <v>557</v>
      </c>
      <c r="F1370" t="s">
        <v>558</v>
      </c>
      <c r="G1370">
        <v>13.11</v>
      </c>
      <c r="H1370">
        <v>250531</v>
      </c>
      <c r="I1370">
        <v>4572</v>
      </c>
      <c r="J1370" t="s">
        <v>173</v>
      </c>
      <c r="K1370">
        <v>48.56</v>
      </c>
      <c r="L1370">
        <v>2.66</v>
      </c>
      <c r="M1370">
        <v>59112</v>
      </c>
      <c r="N1370" t="s">
        <v>44</v>
      </c>
      <c r="O1370">
        <v>250617</v>
      </c>
      <c r="P1370">
        <v>10.45</v>
      </c>
    </row>
    <row r="1371" spans="1:16" x14ac:dyDescent="0.25">
      <c r="A1371" t="s">
        <v>3296</v>
      </c>
      <c r="B1371" t="s">
        <v>2931</v>
      </c>
      <c r="C1371">
        <v>8671</v>
      </c>
      <c r="D1371" t="str">
        <f>"319413155   "</f>
        <v xml:space="preserve">319413155   </v>
      </c>
      <c r="E1371" t="s">
        <v>557</v>
      </c>
      <c r="F1371" t="s">
        <v>558</v>
      </c>
      <c r="G1371">
        <v>35.450000000000003</v>
      </c>
      <c r="H1371">
        <v>250531</v>
      </c>
      <c r="I1371">
        <v>4572</v>
      </c>
      <c r="J1371" t="s">
        <v>173</v>
      </c>
      <c r="K1371">
        <v>48.56</v>
      </c>
      <c r="L1371">
        <v>7.2</v>
      </c>
      <c r="M1371">
        <v>59504</v>
      </c>
      <c r="N1371" t="s">
        <v>193</v>
      </c>
      <c r="O1371">
        <v>250617</v>
      </c>
      <c r="P1371">
        <v>28.25</v>
      </c>
    </row>
    <row r="1372" spans="1:16" x14ac:dyDescent="0.25">
      <c r="A1372" t="s">
        <v>3296</v>
      </c>
      <c r="B1372" t="s">
        <v>2931</v>
      </c>
      <c r="C1372">
        <v>8682</v>
      </c>
      <c r="D1372" t="str">
        <f>"319322886   "</f>
        <v xml:space="preserve">319322886   </v>
      </c>
      <c r="E1372" t="s">
        <v>557</v>
      </c>
      <c r="F1372" t="s">
        <v>558</v>
      </c>
      <c r="G1372">
        <v>2195.84</v>
      </c>
      <c r="H1372">
        <v>250531</v>
      </c>
      <c r="I1372">
        <v>4572</v>
      </c>
      <c r="J1372" t="s">
        <v>173</v>
      </c>
      <c r="K1372">
        <v>3599.73</v>
      </c>
      <c r="L1372">
        <v>446.17</v>
      </c>
      <c r="M1372">
        <v>59502</v>
      </c>
      <c r="N1372" t="s">
        <v>63</v>
      </c>
      <c r="O1372">
        <v>250617</v>
      </c>
      <c r="P1372">
        <v>1749.67</v>
      </c>
    </row>
    <row r="1373" spans="1:16" x14ac:dyDescent="0.25">
      <c r="A1373" t="s">
        <v>3296</v>
      </c>
      <c r="B1373" t="s">
        <v>2931</v>
      </c>
      <c r="C1373">
        <v>8682</v>
      </c>
      <c r="D1373" t="str">
        <f>"319322886   "</f>
        <v xml:space="preserve">319322886   </v>
      </c>
      <c r="E1373" t="s">
        <v>557</v>
      </c>
      <c r="F1373" t="s">
        <v>558</v>
      </c>
      <c r="G1373">
        <v>1403.89</v>
      </c>
      <c r="H1373">
        <v>250531</v>
      </c>
      <c r="I1373">
        <v>4572</v>
      </c>
      <c r="J1373" t="s">
        <v>173</v>
      </c>
      <c r="K1373">
        <v>3599.73</v>
      </c>
      <c r="L1373">
        <v>285.25</v>
      </c>
      <c r="M1373">
        <v>59802</v>
      </c>
      <c r="N1373" t="s">
        <v>195</v>
      </c>
      <c r="O1373">
        <v>250617</v>
      </c>
      <c r="P1373">
        <v>1118.6400000000001</v>
      </c>
    </row>
    <row r="1374" spans="1:16" x14ac:dyDescent="0.25">
      <c r="A1374" t="s">
        <v>3296</v>
      </c>
      <c r="B1374" t="s">
        <v>2931</v>
      </c>
      <c r="C1374">
        <v>8708</v>
      </c>
      <c r="D1374" t="str">
        <f>"319353288   "</f>
        <v xml:space="preserve">319353288   </v>
      </c>
      <c r="E1374" t="s">
        <v>557</v>
      </c>
      <c r="F1374" t="s">
        <v>558</v>
      </c>
      <c r="G1374">
        <v>36</v>
      </c>
      <c r="H1374">
        <v>250531</v>
      </c>
      <c r="I1374">
        <v>4572</v>
      </c>
      <c r="J1374" t="s">
        <v>173</v>
      </c>
      <c r="K1374">
        <v>133.33000000000001</v>
      </c>
      <c r="L1374">
        <v>7.31</v>
      </c>
      <c r="M1374">
        <v>59112</v>
      </c>
      <c r="N1374" t="s">
        <v>44</v>
      </c>
      <c r="O1374">
        <v>250617</v>
      </c>
      <c r="P1374">
        <v>28.69</v>
      </c>
    </row>
    <row r="1375" spans="1:16" x14ac:dyDescent="0.25">
      <c r="A1375" t="s">
        <v>3296</v>
      </c>
      <c r="B1375" t="s">
        <v>2931</v>
      </c>
      <c r="C1375">
        <v>8708</v>
      </c>
      <c r="D1375" t="str">
        <f>"319353288   "</f>
        <v xml:space="preserve">319353288   </v>
      </c>
      <c r="E1375" t="s">
        <v>557</v>
      </c>
      <c r="F1375" t="s">
        <v>558</v>
      </c>
      <c r="G1375">
        <v>97.33</v>
      </c>
      <c r="H1375">
        <v>250531</v>
      </c>
      <c r="I1375">
        <v>4572</v>
      </c>
      <c r="J1375" t="s">
        <v>173</v>
      </c>
      <c r="K1375">
        <v>133.33000000000001</v>
      </c>
      <c r="L1375">
        <v>19.78</v>
      </c>
      <c r="M1375">
        <v>59504</v>
      </c>
      <c r="N1375" t="s">
        <v>193</v>
      </c>
      <c r="O1375">
        <v>250617</v>
      </c>
      <c r="P1375">
        <v>77.55</v>
      </c>
    </row>
    <row r="1376" spans="1:16" x14ac:dyDescent="0.25">
      <c r="A1376" t="s">
        <v>3296</v>
      </c>
      <c r="B1376" t="s">
        <v>2931</v>
      </c>
      <c r="C1376">
        <v>9569</v>
      </c>
      <c r="D1376" t="str">
        <f>"319457857   "</f>
        <v xml:space="preserve">319457857   </v>
      </c>
      <c r="E1376" t="s">
        <v>557</v>
      </c>
      <c r="F1376" t="s">
        <v>558</v>
      </c>
      <c r="G1376">
        <v>59.42</v>
      </c>
      <c r="H1376">
        <v>250616</v>
      </c>
      <c r="I1376">
        <v>4572</v>
      </c>
      <c r="J1376" t="s">
        <v>173</v>
      </c>
      <c r="K1376">
        <v>59.42</v>
      </c>
      <c r="L1376">
        <v>12.07</v>
      </c>
      <c r="M1376">
        <v>59505</v>
      </c>
      <c r="N1376" t="s">
        <v>194</v>
      </c>
      <c r="O1376">
        <v>250721</v>
      </c>
      <c r="P1376">
        <v>47.35</v>
      </c>
    </row>
    <row r="1377" spans="1:16" x14ac:dyDescent="0.25">
      <c r="A1377" t="s">
        <v>3296</v>
      </c>
      <c r="B1377" t="s">
        <v>2931</v>
      </c>
      <c r="C1377">
        <v>9617</v>
      </c>
      <c r="D1377" t="str">
        <f>"319539946   "</f>
        <v xml:space="preserve">319539946   </v>
      </c>
      <c r="E1377" t="s">
        <v>557</v>
      </c>
      <c r="F1377" t="s">
        <v>558</v>
      </c>
      <c r="G1377">
        <v>271.18</v>
      </c>
      <c r="H1377">
        <v>250630</v>
      </c>
      <c r="I1377">
        <v>4572</v>
      </c>
      <c r="J1377" t="s">
        <v>173</v>
      </c>
      <c r="K1377">
        <v>4519.71</v>
      </c>
      <c r="L1377">
        <v>55.1</v>
      </c>
      <c r="M1377">
        <v>59111</v>
      </c>
      <c r="N1377" t="s">
        <v>60</v>
      </c>
      <c r="O1377">
        <v>250721</v>
      </c>
      <c r="P1377">
        <v>216.08</v>
      </c>
    </row>
    <row r="1378" spans="1:16" x14ac:dyDescent="0.25">
      <c r="A1378" t="s">
        <v>3296</v>
      </c>
      <c r="B1378" t="s">
        <v>2931</v>
      </c>
      <c r="C1378">
        <v>9617</v>
      </c>
      <c r="D1378" t="str">
        <f>"319539946   "</f>
        <v xml:space="preserve">319539946   </v>
      </c>
      <c r="E1378" t="s">
        <v>557</v>
      </c>
      <c r="F1378" t="s">
        <v>558</v>
      </c>
      <c r="G1378">
        <v>4248.53</v>
      </c>
      <c r="H1378">
        <v>250630</v>
      </c>
      <c r="I1378">
        <v>4572</v>
      </c>
      <c r="J1378" t="s">
        <v>173</v>
      </c>
      <c r="K1378">
        <v>4519.71</v>
      </c>
      <c r="L1378">
        <v>863.25</v>
      </c>
      <c r="M1378">
        <v>59501</v>
      </c>
      <c r="N1378" t="s">
        <v>62</v>
      </c>
      <c r="O1378">
        <v>250721</v>
      </c>
      <c r="P1378">
        <v>3385.28</v>
      </c>
    </row>
    <row r="1379" spans="1:16" x14ac:dyDescent="0.25">
      <c r="A1379" t="s">
        <v>3296</v>
      </c>
      <c r="B1379" t="s">
        <v>2931</v>
      </c>
      <c r="C1379">
        <v>9620</v>
      </c>
      <c r="D1379" t="str">
        <f>"319549636   "</f>
        <v xml:space="preserve">319549636   </v>
      </c>
      <c r="E1379" t="s">
        <v>557</v>
      </c>
      <c r="F1379" t="s">
        <v>558</v>
      </c>
      <c r="G1379">
        <v>1051.4000000000001</v>
      </c>
      <c r="H1379">
        <v>250630</v>
      </c>
      <c r="I1379">
        <v>4572</v>
      </c>
      <c r="J1379" t="s">
        <v>173</v>
      </c>
      <c r="K1379">
        <v>1194.77</v>
      </c>
      <c r="L1379">
        <v>213.63</v>
      </c>
      <c r="M1379">
        <v>59505</v>
      </c>
      <c r="N1379" t="s">
        <v>194</v>
      </c>
      <c r="O1379">
        <v>250721</v>
      </c>
      <c r="P1379">
        <v>837.77</v>
      </c>
    </row>
    <row r="1380" spans="1:16" x14ac:dyDescent="0.25">
      <c r="A1380" t="s">
        <v>3296</v>
      </c>
      <c r="B1380" t="s">
        <v>2931</v>
      </c>
      <c r="C1380">
        <v>9620</v>
      </c>
      <c r="D1380" t="str">
        <f>"319549636   "</f>
        <v xml:space="preserve">319549636   </v>
      </c>
      <c r="E1380" t="s">
        <v>557</v>
      </c>
      <c r="F1380" t="s">
        <v>558</v>
      </c>
      <c r="G1380">
        <v>143.37</v>
      </c>
      <c r="H1380">
        <v>250630</v>
      </c>
      <c r="I1380">
        <v>4572</v>
      </c>
      <c r="J1380" t="s">
        <v>173</v>
      </c>
      <c r="K1380">
        <v>1194.77</v>
      </c>
      <c r="L1380">
        <v>29.13</v>
      </c>
      <c r="M1380">
        <v>59812</v>
      </c>
      <c r="N1380" t="s">
        <v>196</v>
      </c>
      <c r="O1380">
        <v>250721</v>
      </c>
      <c r="P1380">
        <v>114.24</v>
      </c>
    </row>
    <row r="1381" spans="1:16" x14ac:dyDescent="0.25">
      <c r="A1381" t="s">
        <v>3296</v>
      </c>
      <c r="B1381" t="s">
        <v>2931</v>
      </c>
      <c r="C1381">
        <v>9623</v>
      </c>
      <c r="D1381" t="str">
        <f>"319540960   "</f>
        <v xml:space="preserve">319540960   </v>
      </c>
      <c r="E1381" t="s">
        <v>557</v>
      </c>
      <c r="F1381" t="s">
        <v>558</v>
      </c>
      <c r="G1381">
        <v>2430.36</v>
      </c>
      <c r="H1381">
        <v>250630</v>
      </c>
      <c r="I1381">
        <v>4572</v>
      </c>
      <c r="J1381" t="s">
        <v>173</v>
      </c>
      <c r="K1381">
        <v>3984.19</v>
      </c>
      <c r="L1381">
        <v>493.82</v>
      </c>
      <c r="M1381">
        <v>59502</v>
      </c>
      <c r="N1381" t="s">
        <v>63</v>
      </c>
      <c r="O1381">
        <v>250721</v>
      </c>
      <c r="P1381">
        <v>1936.54</v>
      </c>
    </row>
    <row r="1382" spans="1:16" x14ac:dyDescent="0.25">
      <c r="A1382" t="s">
        <v>3296</v>
      </c>
      <c r="B1382" t="s">
        <v>2931</v>
      </c>
      <c r="C1382">
        <v>9623</v>
      </c>
      <c r="D1382" t="str">
        <f>"319540960   "</f>
        <v xml:space="preserve">319540960   </v>
      </c>
      <c r="E1382" t="s">
        <v>557</v>
      </c>
      <c r="F1382" t="s">
        <v>558</v>
      </c>
      <c r="G1382">
        <v>1553.83</v>
      </c>
      <c r="H1382">
        <v>250630</v>
      </c>
      <c r="I1382">
        <v>4572</v>
      </c>
      <c r="J1382" t="s">
        <v>173</v>
      </c>
      <c r="K1382">
        <v>3984.19</v>
      </c>
      <c r="L1382">
        <v>315.72000000000003</v>
      </c>
      <c r="M1382">
        <v>59802</v>
      </c>
      <c r="N1382" t="s">
        <v>195</v>
      </c>
      <c r="O1382">
        <v>250721</v>
      </c>
      <c r="P1382">
        <v>1238.1099999999999</v>
      </c>
    </row>
    <row r="1383" spans="1:16" x14ac:dyDescent="0.25">
      <c r="A1383" t="s">
        <v>3296</v>
      </c>
      <c r="B1383" t="s">
        <v>2931</v>
      </c>
      <c r="C1383">
        <v>9624</v>
      </c>
      <c r="D1383" t="str">
        <f>"319544977   "</f>
        <v xml:space="preserve">319544977   </v>
      </c>
      <c r="E1383" t="s">
        <v>557</v>
      </c>
      <c r="F1383" t="s">
        <v>558</v>
      </c>
      <c r="G1383">
        <v>352.94</v>
      </c>
      <c r="H1383">
        <v>250630</v>
      </c>
      <c r="I1383">
        <v>4572</v>
      </c>
      <c r="J1383" t="s">
        <v>173</v>
      </c>
      <c r="K1383">
        <v>1307.2</v>
      </c>
      <c r="L1383">
        <v>71.709999999999994</v>
      </c>
      <c r="M1383">
        <v>59112</v>
      </c>
      <c r="N1383" t="s">
        <v>44</v>
      </c>
      <c r="O1383">
        <v>250721</v>
      </c>
      <c r="P1383">
        <v>281.23</v>
      </c>
    </row>
    <row r="1384" spans="1:16" x14ac:dyDescent="0.25">
      <c r="A1384" t="s">
        <v>3296</v>
      </c>
      <c r="B1384" t="s">
        <v>2931</v>
      </c>
      <c r="C1384">
        <v>9624</v>
      </c>
      <c r="D1384" t="str">
        <f>"319544977   "</f>
        <v xml:space="preserve">319544977   </v>
      </c>
      <c r="E1384" t="s">
        <v>557</v>
      </c>
      <c r="F1384" t="s">
        <v>558</v>
      </c>
      <c r="G1384">
        <v>954.26</v>
      </c>
      <c r="H1384">
        <v>250630</v>
      </c>
      <c r="I1384">
        <v>4572</v>
      </c>
      <c r="J1384" t="s">
        <v>173</v>
      </c>
      <c r="K1384">
        <v>1307.2</v>
      </c>
      <c r="L1384">
        <v>193.89</v>
      </c>
      <c r="M1384">
        <v>59504</v>
      </c>
      <c r="N1384" t="s">
        <v>193</v>
      </c>
      <c r="O1384">
        <v>250721</v>
      </c>
      <c r="P1384">
        <v>760.37</v>
      </c>
    </row>
    <row r="1385" spans="1:16" x14ac:dyDescent="0.25">
      <c r="A1385" t="s">
        <v>3296</v>
      </c>
      <c r="B1385" t="s">
        <v>2931</v>
      </c>
      <c r="C1385">
        <v>9642</v>
      </c>
      <c r="D1385" t="str">
        <f>"319568127   "</f>
        <v xml:space="preserve">319568127   </v>
      </c>
      <c r="E1385" t="s">
        <v>557</v>
      </c>
      <c r="F1385" t="s">
        <v>558</v>
      </c>
      <c r="G1385">
        <v>143.65</v>
      </c>
      <c r="H1385">
        <v>250630</v>
      </c>
      <c r="I1385">
        <v>4572</v>
      </c>
      <c r="J1385" t="s">
        <v>173</v>
      </c>
      <c r="K1385">
        <v>143.65</v>
      </c>
      <c r="L1385">
        <v>29.19</v>
      </c>
      <c r="M1385">
        <v>56571</v>
      </c>
      <c r="N1385" t="s">
        <v>553</v>
      </c>
      <c r="O1385">
        <v>250724</v>
      </c>
      <c r="P1385">
        <v>114.46</v>
      </c>
    </row>
    <row r="1386" spans="1:16" x14ac:dyDescent="0.25">
      <c r="A1386" t="s">
        <v>3296</v>
      </c>
      <c r="B1386" t="s">
        <v>2931</v>
      </c>
      <c r="C1386">
        <v>9792</v>
      </c>
      <c r="D1386" t="str">
        <f>"319671292   "</f>
        <v xml:space="preserve">319671292   </v>
      </c>
      <c r="E1386" t="s">
        <v>557</v>
      </c>
      <c r="F1386" t="s">
        <v>558</v>
      </c>
      <c r="G1386">
        <v>144.78</v>
      </c>
      <c r="H1386">
        <v>250630</v>
      </c>
      <c r="I1386">
        <v>4572</v>
      </c>
      <c r="J1386" t="s">
        <v>173</v>
      </c>
      <c r="K1386">
        <v>144.78</v>
      </c>
      <c r="L1386">
        <v>29.42</v>
      </c>
      <c r="M1386">
        <v>56571</v>
      </c>
      <c r="N1386" t="s">
        <v>553</v>
      </c>
      <c r="O1386">
        <v>250729</v>
      </c>
      <c r="P1386">
        <v>115.36</v>
      </c>
    </row>
    <row r="1387" spans="1:16" x14ac:dyDescent="0.25">
      <c r="A1387" t="s">
        <v>3296</v>
      </c>
      <c r="B1387" t="s">
        <v>2931</v>
      </c>
      <c r="C1387">
        <v>9936</v>
      </c>
      <c r="D1387" t="str">
        <f>"319822592   "</f>
        <v xml:space="preserve">319822592   </v>
      </c>
      <c r="E1387" t="s">
        <v>557</v>
      </c>
      <c r="F1387" t="s">
        <v>558</v>
      </c>
      <c r="G1387">
        <v>317.12</v>
      </c>
      <c r="H1387">
        <v>250731</v>
      </c>
      <c r="I1387">
        <v>4572</v>
      </c>
      <c r="J1387" t="s">
        <v>173</v>
      </c>
      <c r="K1387">
        <v>1174.5</v>
      </c>
      <c r="L1387">
        <v>64.430000000000007</v>
      </c>
      <c r="M1387">
        <v>59112</v>
      </c>
      <c r="N1387" t="s">
        <v>44</v>
      </c>
      <c r="O1387">
        <v>250805</v>
      </c>
      <c r="P1387">
        <v>252.69</v>
      </c>
    </row>
    <row r="1388" spans="1:16" x14ac:dyDescent="0.25">
      <c r="A1388" t="s">
        <v>3296</v>
      </c>
      <c r="B1388" t="s">
        <v>2931</v>
      </c>
      <c r="C1388">
        <v>9936</v>
      </c>
      <c r="D1388" t="str">
        <f>"319822592   "</f>
        <v xml:space="preserve">319822592   </v>
      </c>
      <c r="E1388" t="s">
        <v>557</v>
      </c>
      <c r="F1388" t="s">
        <v>558</v>
      </c>
      <c r="G1388">
        <v>857.38</v>
      </c>
      <c r="H1388">
        <v>250731</v>
      </c>
      <c r="I1388">
        <v>4572</v>
      </c>
      <c r="J1388" t="s">
        <v>173</v>
      </c>
      <c r="K1388">
        <v>1174.5</v>
      </c>
      <c r="L1388">
        <v>174.21</v>
      </c>
      <c r="M1388">
        <v>59504</v>
      </c>
      <c r="N1388" t="s">
        <v>193</v>
      </c>
      <c r="O1388">
        <v>250805</v>
      </c>
      <c r="P1388">
        <v>683.17</v>
      </c>
    </row>
    <row r="1389" spans="1:16" x14ac:dyDescent="0.25">
      <c r="A1389" t="s">
        <v>3296</v>
      </c>
      <c r="B1389" t="s">
        <v>2931</v>
      </c>
      <c r="C1389">
        <v>10226</v>
      </c>
      <c r="D1389" t="str">
        <f>"319829964   "</f>
        <v xml:space="preserve">319829964   </v>
      </c>
      <c r="E1389" t="s">
        <v>557</v>
      </c>
      <c r="F1389" t="s">
        <v>558</v>
      </c>
      <c r="G1389">
        <v>2616.65</v>
      </c>
      <c r="H1389">
        <v>250731</v>
      </c>
      <c r="I1389">
        <v>4572</v>
      </c>
      <c r="J1389" t="s">
        <v>173</v>
      </c>
      <c r="K1389">
        <v>4289.59</v>
      </c>
      <c r="L1389">
        <v>531.66999999999996</v>
      </c>
      <c r="M1389">
        <v>59502</v>
      </c>
      <c r="N1389" t="s">
        <v>63</v>
      </c>
      <c r="O1389">
        <v>250813</v>
      </c>
      <c r="P1389">
        <v>2084.98</v>
      </c>
    </row>
    <row r="1390" spans="1:16" x14ac:dyDescent="0.25">
      <c r="A1390" t="s">
        <v>3296</v>
      </c>
      <c r="B1390" t="s">
        <v>2931</v>
      </c>
      <c r="C1390">
        <v>10226</v>
      </c>
      <c r="D1390" t="str">
        <f>"319829964   "</f>
        <v xml:space="preserve">319829964   </v>
      </c>
      <c r="E1390" t="s">
        <v>557</v>
      </c>
      <c r="F1390" t="s">
        <v>558</v>
      </c>
      <c r="G1390">
        <v>1672.94</v>
      </c>
      <c r="H1390">
        <v>250731</v>
      </c>
      <c r="I1390">
        <v>4572</v>
      </c>
      <c r="J1390" t="s">
        <v>173</v>
      </c>
      <c r="K1390">
        <v>4289.59</v>
      </c>
      <c r="L1390">
        <v>339.92</v>
      </c>
      <c r="M1390">
        <v>59802</v>
      </c>
      <c r="N1390" t="s">
        <v>195</v>
      </c>
      <c r="O1390">
        <v>250813</v>
      </c>
      <c r="P1390">
        <v>1333.02</v>
      </c>
    </row>
    <row r="1391" spans="1:16" x14ac:dyDescent="0.25">
      <c r="A1391" t="s">
        <v>3296</v>
      </c>
      <c r="B1391" t="s">
        <v>2931</v>
      </c>
      <c r="C1391">
        <v>10228</v>
      </c>
      <c r="D1391" t="str">
        <f>"319856773   "</f>
        <v xml:space="preserve">319856773   </v>
      </c>
      <c r="E1391" t="s">
        <v>557</v>
      </c>
      <c r="F1391" t="s">
        <v>558</v>
      </c>
      <c r="G1391">
        <v>1020.83</v>
      </c>
      <c r="H1391">
        <v>250731</v>
      </c>
      <c r="I1391">
        <v>4572</v>
      </c>
      <c r="J1391" t="s">
        <v>173</v>
      </c>
      <c r="K1391">
        <v>1160.03</v>
      </c>
      <c r="L1391">
        <v>207.42</v>
      </c>
      <c r="M1391">
        <v>59505</v>
      </c>
      <c r="N1391" t="s">
        <v>194</v>
      </c>
      <c r="O1391">
        <v>250813</v>
      </c>
      <c r="P1391">
        <v>813.41</v>
      </c>
    </row>
    <row r="1392" spans="1:16" x14ac:dyDescent="0.25">
      <c r="A1392" t="s">
        <v>3296</v>
      </c>
      <c r="B1392" t="s">
        <v>2931</v>
      </c>
      <c r="C1392">
        <v>10228</v>
      </c>
      <c r="D1392" t="str">
        <f>"319856773   "</f>
        <v xml:space="preserve">319856773   </v>
      </c>
      <c r="E1392" t="s">
        <v>557</v>
      </c>
      <c r="F1392" t="s">
        <v>558</v>
      </c>
      <c r="G1392">
        <v>139.19999999999999</v>
      </c>
      <c r="H1392">
        <v>250731</v>
      </c>
      <c r="I1392">
        <v>4572</v>
      </c>
      <c r="J1392" t="s">
        <v>173</v>
      </c>
      <c r="K1392">
        <v>1160.03</v>
      </c>
      <c r="L1392">
        <v>28.28</v>
      </c>
      <c r="M1392">
        <v>59812</v>
      </c>
      <c r="N1392" t="s">
        <v>196</v>
      </c>
      <c r="O1392">
        <v>250813</v>
      </c>
      <c r="P1392">
        <v>110.92</v>
      </c>
    </row>
    <row r="1393" spans="1:16" x14ac:dyDescent="0.25">
      <c r="A1393" t="s">
        <v>3296</v>
      </c>
      <c r="B1393" t="s">
        <v>2931</v>
      </c>
      <c r="C1393">
        <v>10230</v>
      </c>
      <c r="D1393" t="str">
        <f>"319820427   "</f>
        <v xml:space="preserve">319820427   </v>
      </c>
      <c r="E1393" t="s">
        <v>557</v>
      </c>
      <c r="F1393" t="s">
        <v>558</v>
      </c>
      <c r="G1393">
        <v>275.77</v>
      </c>
      <c r="H1393">
        <v>250731</v>
      </c>
      <c r="I1393">
        <v>4572</v>
      </c>
      <c r="J1393" t="s">
        <v>173</v>
      </c>
      <c r="K1393">
        <v>4596.1099999999997</v>
      </c>
      <c r="L1393">
        <v>56.03</v>
      </c>
      <c r="M1393">
        <v>59111</v>
      </c>
      <c r="N1393" t="s">
        <v>60</v>
      </c>
      <c r="O1393">
        <v>250813</v>
      </c>
      <c r="P1393">
        <v>219.74</v>
      </c>
    </row>
    <row r="1394" spans="1:16" x14ac:dyDescent="0.25">
      <c r="A1394" t="s">
        <v>3296</v>
      </c>
      <c r="B1394" t="s">
        <v>2931</v>
      </c>
      <c r="C1394">
        <v>10230</v>
      </c>
      <c r="D1394" t="str">
        <f>"319820427   "</f>
        <v xml:space="preserve">319820427   </v>
      </c>
      <c r="E1394" t="s">
        <v>557</v>
      </c>
      <c r="F1394" t="s">
        <v>558</v>
      </c>
      <c r="G1394">
        <v>4320.34</v>
      </c>
      <c r="H1394">
        <v>250731</v>
      </c>
      <c r="I1394">
        <v>4572</v>
      </c>
      <c r="J1394" t="s">
        <v>173</v>
      </c>
      <c r="K1394">
        <v>4596.1099999999997</v>
      </c>
      <c r="L1394">
        <v>877.84</v>
      </c>
      <c r="M1394">
        <v>59501</v>
      </c>
      <c r="N1394" t="s">
        <v>62</v>
      </c>
      <c r="O1394">
        <v>250813</v>
      </c>
      <c r="P1394">
        <v>3442.5</v>
      </c>
    </row>
    <row r="1395" spans="1:16" x14ac:dyDescent="0.25">
      <c r="A1395" t="s">
        <v>3296</v>
      </c>
      <c r="B1395" t="s">
        <v>2931</v>
      </c>
      <c r="C1395">
        <v>10591</v>
      </c>
      <c r="D1395" t="str">
        <f>"320003739   "</f>
        <v xml:space="preserve">320003739   </v>
      </c>
      <c r="E1395" t="s">
        <v>557</v>
      </c>
      <c r="F1395" t="s">
        <v>558</v>
      </c>
      <c r="G1395">
        <v>56.77</v>
      </c>
      <c r="H1395">
        <v>250814</v>
      </c>
      <c r="I1395">
        <v>4572</v>
      </c>
      <c r="J1395" t="s">
        <v>173</v>
      </c>
      <c r="K1395">
        <v>64.510000000000005</v>
      </c>
      <c r="L1395">
        <v>11.53</v>
      </c>
      <c r="M1395">
        <v>59505</v>
      </c>
      <c r="N1395" t="s">
        <v>194</v>
      </c>
      <c r="O1395">
        <v>250820</v>
      </c>
      <c r="P1395">
        <v>45.24</v>
      </c>
    </row>
    <row r="1396" spans="1:16" x14ac:dyDescent="0.25">
      <c r="A1396" t="s">
        <v>3296</v>
      </c>
      <c r="B1396" t="s">
        <v>2931</v>
      </c>
      <c r="C1396">
        <v>10591</v>
      </c>
      <c r="D1396" t="str">
        <f>"320003739   "</f>
        <v xml:space="preserve">320003739   </v>
      </c>
      <c r="E1396" t="s">
        <v>557</v>
      </c>
      <c r="F1396" t="s">
        <v>558</v>
      </c>
      <c r="G1396">
        <v>7.74</v>
      </c>
      <c r="H1396">
        <v>250814</v>
      </c>
      <c r="I1396">
        <v>4572</v>
      </c>
      <c r="J1396" t="s">
        <v>173</v>
      </c>
      <c r="K1396">
        <v>64.510000000000005</v>
      </c>
      <c r="L1396">
        <v>1.57</v>
      </c>
      <c r="M1396">
        <v>59812</v>
      </c>
      <c r="N1396" t="s">
        <v>196</v>
      </c>
      <c r="O1396">
        <v>250820</v>
      </c>
      <c r="P1396">
        <v>6.17</v>
      </c>
    </row>
    <row r="1397" spans="1:16" x14ac:dyDescent="0.25">
      <c r="A1397" t="s">
        <v>3296</v>
      </c>
      <c r="B1397" t="s">
        <v>2931</v>
      </c>
      <c r="C1397">
        <v>11617</v>
      </c>
      <c r="D1397" t="str">
        <f>"320109990   "</f>
        <v xml:space="preserve">320109990   </v>
      </c>
      <c r="E1397" t="s">
        <v>557</v>
      </c>
      <c r="F1397" t="s">
        <v>558</v>
      </c>
      <c r="G1397">
        <v>1288.02</v>
      </c>
      <c r="H1397">
        <v>250831</v>
      </c>
      <c r="I1397">
        <v>4572</v>
      </c>
      <c r="J1397" t="s">
        <v>173</v>
      </c>
      <c r="K1397">
        <v>1463.66</v>
      </c>
      <c r="L1397">
        <v>261.70999999999998</v>
      </c>
      <c r="M1397">
        <v>59505</v>
      </c>
      <c r="N1397" t="s">
        <v>194</v>
      </c>
      <c r="O1397">
        <v>250909</v>
      </c>
      <c r="P1397">
        <v>1026.31</v>
      </c>
    </row>
    <row r="1398" spans="1:16" x14ac:dyDescent="0.25">
      <c r="A1398" t="s">
        <v>3296</v>
      </c>
      <c r="B1398" t="s">
        <v>2931</v>
      </c>
      <c r="C1398">
        <v>11617</v>
      </c>
      <c r="D1398" t="str">
        <f>"320109990   "</f>
        <v xml:space="preserve">320109990   </v>
      </c>
      <c r="E1398" t="s">
        <v>557</v>
      </c>
      <c r="F1398" t="s">
        <v>558</v>
      </c>
      <c r="G1398">
        <v>175.64</v>
      </c>
      <c r="H1398">
        <v>250831</v>
      </c>
      <c r="I1398">
        <v>4572</v>
      </c>
      <c r="J1398" t="s">
        <v>173</v>
      </c>
      <c r="K1398">
        <v>1463.66</v>
      </c>
      <c r="L1398">
        <v>35.69</v>
      </c>
      <c r="M1398">
        <v>59812</v>
      </c>
      <c r="N1398" t="s">
        <v>196</v>
      </c>
      <c r="O1398">
        <v>250909</v>
      </c>
      <c r="P1398">
        <v>139.94999999999999</v>
      </c>
    </row>
    <row r="1399" spans="1:16" x14ac:dyDescent="0.25">
      <c r="A1399" t="s">
        <v>3296</v>
      </c>
      <c r="B1399" t="s">
        <v>2931</v>
      </c>
      <c r="C1399">
        <v>11619</v>
      </c>
      <c r="D1399" t="str">
        <f>"320067879   "</f>
        <v xml:space="preserve">320067879   </v>
      </c>
      <c r="E1399" t="s">
        <v>557</v>
      </c>
      <c r="F1399" t="s">
        <v>558</v>
      </c>
      <c r="G1399">
        <v>426.28</v>
      </c>
      <c r="H1399">
        <v>250831</v>
      </c>
      <c r="I1399">
        <v>4572</v>
      </c>
      <c r="J1399" t="s">
        <v>173</v>
      </c>
      <c r="K1399">
        <v>7104.66</v>
      </c>
      <c r="L1399">
        <v>86.61</v>
      </c>
      <c r="M1399">
        <v>59111</v>
      </c>
      <c r="N1399" t="s">
        <v>60</v>
      </c>
      <c r="O1399">
        <v>250909</v>
      </c>
      <c r="P1399">
        <v>339.67</v>
      </c>
    </row>
    <row r="1400" spans="1:16" x14ac:dyDescent="0.25">
      <c r="A1400" t="s">
        <v>3296</v>
      </c>
      <c r="B1400" t="s">
        <v>2931</v>
      </c>
      <c r="C1400">
        <v>11619</v>
      </c>
      <c r="D1400" t="str">
        <f>"320067879   "</f>
        <v xml:space="preserve">320067879   </v>
      </c>
      <c r="E1400" t="s">
        <v>557</v>
      </c>
      <c r="F1400" t="s">
        <v>558</v>
      </c>
      <c r="G1400">
        <v>6678.38</v>
      </c>
      <c r="H1400">
        <v>250831</v>
      </c>
      <c r="I1400">
        <v>4572</v>
      </c>
      <c r="J1400" t="s">
        <v>173</v>
      </c>
      <c r="K1400">
        <v>7104.66</v>
      </c>
      <c r="L1400">
        <v>1356.96</v>
      </c>
      <c r="M1400">
        <v>59501</v>
      </c>
      <c r="N1400" t="s">
        <v>62</v>
      </c>
      <c r="O1400">
        <v>250909</v>
      </c>
      <c r="P1400">
        <v>5321.42</v>
      </c>
    </row>
    <row r="1401" spans="1:16" x14ac:dyDescent="0.25">
      <c r="A1401" t="s">
        <v>3296</v>
      </c>
      <c r="B1401" t="s">
        <v>2931</v>
      </c>
      <c r="C1401">
        <v>11621</v>
      </c>
      <c r="D1401" t="str">
        <f>"320077829   "</f>
        <v xml:space="preserve">320077829   </v>
      </c>
      <c r="E1401" t="s">
        <v>557</v>
      </c>
      <c r="F1401" t="s">
        <v>558</v>
      </c>
      <c r="G1401">
        <v>2930.95</v>
      </c>
      <c r="H1401">
        <v>250831</v>
      </c>
      <c r="I1401">
        <v>4572</v>
      </c>
      <c r="J1401" t="s">
        <v>173</v>
      </c>
      <c r="K1401">
        <v>4804.84</v>
      </c>
      <c r="L1401">
        <v>595.53</v>
      </c>
      <c r="M1401">
        <v>59502</v>
      </c>
      <c r="N1401" t="s">
        <v>63</v>
      </c>
      <c r="O1401">
        <v>250909</v>
      </c>
      <c r="P1401">
        <v>2335.42</v>
      </c>
    </row>
    <row r="1402" spans="1:16" x14ac:dyDescent="0.25">
      <c r="A1402" t="s">
        <v>3296</v>
      </c>
      <c r="B1402" t="s">
        <v>2931</v>
      </c>
      <c r="C1402">
        <v>11621</v>
      </c>
      <c r="D1402" t="str">
        <f>"320077829   "</f>
        <v xml:space="preserve">320077829   </v>
      </c>
      <c r="E1402" t="s">
        <v>557</v>
      </c>
      <c r="F1402" t="s">
        <v>558</v>
      </c>
      <c r="G1402">
        <v>1873.89</v>
      </c>
      <c r="H1402">
        <v>250831</v>
      </c>
      <c r="I1402">
        <v>4572</v>
      </c>
      <c r="J1402" t="s">
        <v>173</v>
      </c>
      <c r="K1402">
        <v>4804.84</v>
      </c>
      <c r="L1402">
        <v>380.75</v>
      </c>
      <c r="M1402">
        <v>59802</v>
      </c>
      <c r="N1402" t="s">
        <v>195</v>
      </c>
      <c r="O1402">
        <v>250909</v>
      </c>
      <c r="P1402">
        <v>1493.14</v>
      </c>
    </row>
    <row r="1403" spans="1:16" x14ac:dyDescent="0.25">
      <c r="A1403" t="s">
        <v>3296</v>
      </c>
      <c r="B1403" t="s">
        <v>2931</v>
      </c>
      <c r="C1403">
        <v>11622</v>
      </c>
      <c r="D1403" t="str">
        <f>"320104672   "</f>
        <v xml:space="preserve">320104672   </v>
      </c>
      <c r="E1403" t="s">
        <v>557</v>
      </c>
      <c r="F1403" t="s">
        <v>558</v>
      </c>
      <c r="G1403">
        <v>407.54</v>
      </c>
      <c r="H1403">
        <v>250831</v>
      </c>
      <c r="I1403">
        <v>4572</v>
      </c>
      <c r="J1403" t="s">
        <v>173</v>
      </c>
      <c r="K1403">
        <v>1509.41</v>
      </c>
      <c r="L1403">
        <v>82.81</v>
      </c>
      <c r="M1403">
        <v>59112</v>
      </c>
      <c r="N1403" t="s">
        <v>44</v>
      </c>
      <c r="O1403">
        <v>250909</v>
      </c>
      <c r="P1403">
        <v>324.73</v>
      </c>
    </row>
    <row r="1404" spans="1:16" x14ac:dyDescent="0.25">
      <c r="A1404" t="s">
        <v>3296</v>
      </c>
      <c r="B1404" t="s">
        <v>2931</v>
      </c>
      <c r="C1404">
        <v>11622</v>
      </c>
      <c r="D1404" t="str">
        <f>"320104672   "</f>
        <v xml:space="preserve">320104672   </v>
      </c>
      <c r="E1404" t="s">
        <v>557</v>
      </c>
      <c r="F1404" t="s">
        <v>558</v>
      </c>
      <c r="G1404">
        <v>1101.8699999999999</v>
      </c>
      <c r="H1404">
        <v>250831</v>
      </c>
      <c r="I1404">
        <v>4572</v>
      </c>
      <c r="J1404" t="s">
        <v>173</v>
      </c>
      <c r="K1404">
        <v>1509.41</v>
      </c>
      <c r="L1404">
        <v>223.89</v>
      </c>
      <c r="M1404">
        <v>59504</v>
      </c>
      <c r="N1404" t="s">
        <v>193</v>
      </c>
      <c r="O1404">
        <v>250909</v>
      </c>
      <c r="P1404">
        <v>877.98</v>
      </c>
    </row>
    <row r="1405" spans="1:16" x14ac:dyDescent="0.25">
      <c r="A1405" t="s">
        <v>3296</v>
      </c>
      <c r="B1405" t="s">
        <v>2931</v>
      </c>
      <c r="C1405">
        <v>11926</v>
      </c>
      <c r="D1405" t="str">
        <f>"320164212   "</f>
        <v xml:space="preserve">320164212   </v>
      </c>
      <c r="E1405" t="s">
        <v>557</v>
      </c>
      <c r="F1405" t="s">
        <v>558</v>
      </c>
      <c r="G1405">
        <v>12.63</v>
      </c>
      <c r="H1405">
        <v>250831</v>
      </c>
      <c r="I1405">
        <v>4572</v>
      </c>
      <c r="J1405" t="s">
        <v>173</v>
      </c>
      <c r="K1405">
        <v>46.77</v>
      </c>
      <c r="L1405">
        <v>2.57</v>
      </c>
      <c r="M1405">
        <v>59112</v>
      </c>
      <c r="N1405" t="s">
        <v>44</v>
      </c>
      <c r="O1405">
        <v>250912</v>
      </c>
      <c r="P1405">
        <v>10.06</v>
      </c>
    </row>
    <row r="1406" spans="1:16" x14ac:dyDescent="0.25">
      <c r="A1406" t="s">
        <v>3296</v>
      </c>
      <c r="B1406" t="s">
        <v>2931</v>
      </c>
      <c r="C1406">
        <v>11926</v>
      </c>
      <c r="D1406" t="str">
        <f>"320164212   "</f>
        <v xml:space="preserve">320164212   </v>
      </c>
      <c r="E1406" t="s">
        <v>557</v>
      </c>
      <c r="F1406" t="s">
        <v>558</v>
      </c>
      <c r="G1406">
        <v>34.14</v>
      </c>
      <c r="H1406">
        <v>250831</v>
      </c>
      <c r="I1406">
        <v>4572</v>
      </c>
      <c r="J1406" t="s">
        <v>173</v>
      </c>
      <c r="K1406">
        <v>46.77</v>
      </c>
      <c r="L1406">
        <v>6.94</v>
      </c>
      <c r="M1406">
        <v>59504</v>
      </c>
      <c r="N1406" t="s">
        <v>193</v>
      </c>
      <c r="O1406">
        <v>250912</v>
      </c>
      <c r="P1406">
        <v>27.2</v>
      </c>
    </row>
    <row r="1407" spans="1:16" x14ac:dyDescent="0.25">
      <c r="A1407" t="s">
        <v>3296</v>
      </c>
      <c r="B1407" t="s">
        <v>2931</v>
      </c>
      <c r="C1407">
        <v>11928</v>
      </c>
      <c r="D1407" t="str">
        <f>"320176904   "</f>
        <v xml:space="preserve">320176904   </v>
      </c>
      <c r="E1407" t="s">
        <v>557</v>
      </c>
      <c r="F1407" t="s">
        <v>558</v>
      </c>
      <c r="G1407">
        <v>20.98</v>
      </c>
      <c r="H1407">
        <v>250831</v>
      </c>
      <c r="I1407">
        <v>4572</v>
      </c>
      <c r="J1407" t="s">
        <v>173</v>
      </c>
      <c r="K1407">
        <v>77.709999999999994</v>
      </c>
      <c r="L1407">
        <v>4.26</v>
      </c>
      <c r="M1407">
        <v>59112</v>
      </c>
      <c r="N1407" t="s">
        <v>44</v>
      </c>
      <c r="O1407">
        <v>250912</v>
      </c>
      <c r="P1407">
        <v>16.72</v>
      </c>
    </row>
    <row r="1408" spans="1:16" x14ac:dyDescent="0.25">
      <c r="A1408" t="s">
        <v>3296</v>
      </c>
      <c r="B1408" t="s">
        <v>2931</v>
      </c>
      <c r="C1408">
        <v>11928</v>
      </c>
      <c r="D1408" t="str">
        <f>"320176904   "</f>
        <v xml:space="preserve">320176904   </v>
      </c>
      <c r="E1408" t="s">
        <v>557</v>
      </c>
      <c r="F1408" t="s">
        <v>558</v>
      </c>
      <c r="G1408">
        <v>56.73</v>
      </c>
      <c r="H1408">
        <v>250831</v>
      </c>
      <c r="I1408">
        <v>4572</v>
      </c>
      <c r="J1408" t="s">
        <v>173</v>
      </c>
      <c r="K1408">
        <v>77.709999999999994</v>
      </c>
      <c r="L1408">
        <v>11.53</v>
      </c>
      <c r="M1408">
        <v>59504</v>
      </c>
      <c r="N1408" t="s">
        <v>193</v>
      </c>
      <c r="O1408">
        <v>250912</v>
      </c>
      <c r="P1408">
        <v>45.2</v>
      </c>
    </row>
    <row r="1409" spans="1:16" x14ac:dyDescent="0.25">
      <c r="A1409" t="s">
        <v>3296</v>
      </c>
      <c r="B1409" t="s">
        <v>2931</v>
      </c>
      <c r="C1409">
        <v>11929</v>
      </c>
      <c r="D1409" t="str">
        <f>"320117142   "</f>
        <v xml:space="preserve">320117142   </v>
      </c>
      <c r="E1409" t="s">
        <v>557</v>
      </c>
      <c r="F1409" t="s">
        <v>558</v>
      </c>
      <c r="G1409">
        <v>12.54</v>
      </c>
      <c r="H1409">
        <v>250831</v>
      </c>
      <c r="I1409">
        <v>4572</v>
      </c>
      <c r="J1409" t="s">
        <v>173</v>
      </c>
      <c r="K1409">
        <v>46.43</v>
      </c>
      <c r="L1409">
        <v>2.5499999999999998</v>
      </c>
      <c r="M1409">
        <v>59112</v>
      </c>
      <c r="N1409" t="s">
        <v>44</v>
      </c>
      <c r="O1409">
        <v>250912</v>
      </c>
      <c r="P1409">
        <v>9.99</v>
      </c>
    </row>
    <row r="1410" spans="1:16" x14ac:dyDescent="0.25">
      <c r="A1410" t="s">
        <v>3296</v>
      </c>
      <c r="B1410" t="s">
        <v>2931</v>
      </c>
      <c r="C1410">
        <v>11929</v>
      </c>
      <c r="D1410" t="str">
        <f>"320117142   "</f>
        <v xml:space="preserve">320117142   </v>
      </c>
      <c r="E1410" t="s">
        <v>557</v>
      </c>
      <c r="F1410" t="s">
        <v>558</v>
      </c>
      <c r="G1410">
        <v>33.89</v>
      </c>
      <c r="H1410">
        <v>250831</v>
      </c>
      <c r="I1410">
        <v>4572</v>
      </c>
      <c r="J1410" t="s">
        <v>173</v>
      </c>
      <c r="K1410">
        <v>46.43</v>
      </c>
      <c r="L1410">
        <v>6.89</v>
      </c>
      <c r="M1410">
        <v>59504</v>
      </c>
      <c r="N1410" t="s">
        <v>193</v>
      </c>
      <c r="O1410">
        <v>250912</v>
      </c>
      <c r="P1410">
        <v>27</v>
      </c>
    </row>
    <row r="1411" spans="1:16" x14ac:dyDescent="0.25">
      <c r="A1411" t="s">
        <v>3296</v>
      </c>
      <c r="B1411" t="s">
        <v>2931</v>
      </c>
      <c r="C1411">
        <v>13326</v>
      </c>
      <c r="D1411" t="str">
        <f>"320307256   "</f>
        <v xml:space="preserve">320307256   </v>
      </c>
      <c r="E1411" t="s">
        <v>557</v>
      </c>
      <c r="F1411" t="s">
        <v>558</v>
      </c>
      <c r="G1411">
        <v>114.55</v>
      </c>
      <c r="H1411">
        <v>250930</v>
      </c>
      <c r="I1411">
        <v>4572</v>
      </c>
      <c r="J1411" t="s">
        <v>173</v>
      </c>
      <c r="K1411">
        <v>114.55</v>
      </c>
      <c r="L1411">
        <v>23.28</v>
      </c>
      <c r="M1411">
        <v>56571</v>
      </c>
      <c r="N1411" t="s">
        <v>553</v>
      </c>
      <c r="O1411">
        <v>251008</v>
      </c>
      <c r="P1411">
        <v>91.27</v>
      </c>
    </row>
    <row r="1412" spans="1:16" x14ac:dyDescent="0.25">
      <c r="A1412" t="s">
        <v>3296</v>
      </c>
      <c r="B1412" t="s">
        <v>2931</v>
      </c>
      <c r="C1412">
        <v>13332</v>
      </c>
      <c r="D1412" t="str">
        <f>"320326285   "</f>
        <v xml:space="preserve">320326285   </v>
      </c>
      <c r="E1412" t="s">
        <v>557</v>
      </c>
      <c r="F1412" t="s">
        <v>558</v>
      </c>
      <c r="G1412">
        <v>385.72</v>
      </c>
      <c r="H1412">
        <v>250930</v>
      </c>
      <c r="I1412">
        <v>4572</v>
      </c>
      <c r="J1412" t="s">
        <v>173</v>
      </c>
      <c r="K1412">
        <v>1428.58</v>
      </c>
      <c r="L1412">
        <v>78.37</v>
      </c>
      <c r="M1412">
        <v>59112</v>
      </c>
      <c r="N1412" t="s">
        <v>44</v>
      </c>
      <c r="O1412">
        <v>251008</v>
      </c>
      <c r="P1412">
        <v>307.35000000000002</v>
      </c>
    </row>
    <row r="1413" spans="1:16" x14ac:dyDescent="0.25">
      <c r="A1413" t="s">
        <v>3296</v>
      </c>
      <c r="B1413" t="s">
        <v>2931</v>
      </c>
      <c r="C1413">
        <v>13332</v>
      </c>
      <c r="D1413" t="str">
        <f>"320326285   "</f>
        <v xml:space="preserve">320326285   </v>
      </c>
      <c r="E1413" t="s">
        <v>557</v>
      </c>
      <c r="F1413" t="s">
        <v>558</v>
      </c>
      <c r="G1413">
        <v>1042.8599999999999</v>
      </c>
      <c r="H1413">
        <v>250930</v>
      </c>
      <c r="I1413">
        <v>4572</v>
      </c>
      <c r="J1413" t="s">
        <v>173</v>
      </c>
      <c r="K1413">
        <v>1428.58</v>
      </c>
      <c r="L1413">
        <v>211.9</v>
      </c>
      <c r="M1413">
        <v>59504</v>
      </c>
      <c r="N1413" t="s">
        <v>193</v>
      </c>
      <c r="O1413">
        <v>251008</v>
      </c>
      <c r="P1413">
        <v>830.96</v>
      </c>
    </row>
    <row r="1414" spans="1:16" x14ac:dyDescent="0.25">
      <c r="A1414" t="s">
        <v>3296</v>
      </c>
      <c r="B1414" t="s">
        <v>2931</v>
      </c>
      <c r="C1414">
        <v>13523</v>
      </c>
      <c r="D1414" t="str">
        <f>"320310092   "</f>
        <v xml:space="preserve">320310092   </v>
      </c>
      <c r="E1414" t="s">
        <v>557</v>
      </c>
      <c r="F1414" t="s">
        <v>558</v>
      </c>
      <c r="G1414">
        <v>1377.95</v>
      </c>
      <c r="H1414">
        <v>250930</v>
      </c>
      <c r="I1414">
        <v>4572</v>
      </c>
      <c r="J1414" t="s">
        <v>173</v>
      </c>
      <c r="K1414">
        <v>1565.85</v>
      </c>
      <c r="L1414">
        <v>279.98</v>
      </c>
      <c r="M1414">
        <v>59505</v>
      </c>
      <c r="N1414" t="s">
        <v>194</v>
      </c>
      <c r="O1414">
        <v>251010</v>
      </c>
      <c r="P1414">
        <v>1097.97</v>
      </c>
    </row>
    <row r="1415" spans="1:16" x14ac:dyDescent="0.25">
      <c r="A1415" t="s">
        <v>3296</v>
      </c>
      <c r="B1415" t="s">
        <v>2931</v>
      </c>
      <c r="C1415">
        <v>13523</v>
      </c>
      <c r="D1415" t="str">
        <f>"320310092   "</f>
        <v xml:space="preserve">320310092   </v>
      </c>
      <c r="E1415" t="s">
        <v>557</v>
      </c>
      <c r="F1415" t="s">
        <v>558</v>
      </c>
      <c r="G1415">
        <v>187.9</v>
      </c>
      <c r="H1415">
        <v>250930</v>
      </c>
      <c r="I1415">
        <v>4572</v>
      </c>
      <c r="J1415" t="s">
        <v>173</v>
      </c>
      <c r="K1415">
        <v>1565.85</v>
      </c>
      <c r="L1415">
        <v>38.18</v>
      </c>
      <c r="M1415">
        <v>59812</v>
      </c>
      <c r="N1415" t="s">
        <v>196</v>
      </c>
      <c r="O1415">
        <v>251010</v>
      </c>
      <c r="P1415">
        <v>149.72</v>
      </c>
    </row>
    <row r="1416" spans="1:16" x14ac:dyDescent="0.25">
      <c r="A1416" t="s">
        <v>3296</v>
      </c>
      <c r="B1416" t="s">
        <v>2931</v>
      </c>
      <c r="C1416">
        <v>13644</v>
      </c>
      <c r="D1416" t="str">
        <f>"320322686   "</f>
        <v xml:space="preserve">320322686   </v>
      </c>
      <c r="E1416" t="s">
        <v>557</v>
      </c>
      <c r="F1416" t="s">
        <v>558</v>
      </c>
      <c r="G1416">
        <v>2790.82</v>
      </c>
      <c r="H1416">
        <v>250930</v>
      </c>
      <c r="I1416">
        <v>4572</v>
      </c>
      <c r="J1416" t="s">
        <v>173</v>
      </c>
      <c r="K1416">
        <v>4575.12</v>
      </c>
      <c r="L1416">
        <v>567.05999999999995</v>
      </c>
      <c r="M1416">
        <v>59502</v>
      </c>
      <c r="N1416" t="s">
        <v>63</v>
      </c>
      <c r="O1416">
        <v>251013</v>
      </c>
      <c r="P1416">
        <v>2223.7600000000002</v>
      </c>
    </row>
    <row r="1417" spans="1:16" x14ac:dyDescent="0.25">
      <c r="A1417" t="s">
        <v>3296</v>
      </c>
      <c r="B1417" t="s">
        <v>2931</v>
      </c>
      <c r="C1417">
        <v>13644</v>
      </c>
      <c r="D1417" t="str">
        <f>"320322686   "</f>
        <v xml:space="preserve">320322686   </v>
      </c>
      <c r="E1417" t="s">
        <v>557</v>
      </c>
      <c r="F1417" t="s">
        <v>558</v>
      </c>
      <c r="G1417">
        <v>1784.3</v>
      </c>
      <c r="H1417">
        <v>250930</v>
      </c>
      <c r="I1417">
        <v>4572</v>
      </c>
      <c r="J1417" t="s">
        <v>173</v>
      </c>
      <c r="K1417">
        <v>4575.12</v>
      </c>
      <c r="L1417">
        <v>362.55</v>
      </c>
      <c r="M1417">
        <v>59802</v>
      </c>
      <c r="N1417" t="s">
        <v>195</v>
      </c>
      <c r="O1417">
        <v>251013</v>
      </c>
      <c r="P1417">
        <v>1421.75</v>
      </c>
    </row>
    <row r="1418" spans="1:16" x14ac:dyDescent="0.25">
      <c r="A1418" t="s">
        <v>3296</v>
      </c>
      <c r="B1418" t="s">
        <v>2931</v>
      </c>
      <c r="C1418">
        <v>13663</v>
      </c>
      <c r="D1418" t="str">
        <f>"320316716   "</f>
        <v xml:space="preserve">320316716   </v>
      </c>
      <c r="E1418" t="s">
        <v>557</v>
      </c>
      <c r="F1418" t="s">
        <v>558</v>
      </c>
      <c r="G1418">
        <v>450.42</v>
      </c>
      <c r="H1418">
        <v>250930</v>
      </c>
      <c r="I1418">
        <v>4572</v>
      </c>
      <c r="J1418" t="s">
        <v>173</v>
      </c>
      <c r="K1418">
        <v>7507.07</v>
      </c>
      <c r="L1418">
        <v>91.52</v>
      </c>
      <c r="M1418">
        <v>59111</v>
      </c>
      <c r="N1418" t="s">
        <v>60</v>
      </c>
      <c r="O1418">
        <v>251013</v>
      </c>
      <c r="P1418">
        <v>358.9</v>
      </c>
    </row>
    <row r="1419" spans="1:16" x14ac:dyDescent="0.25">
      <c r="A1419" t="s">
        <v>3296</v>
      </c>
      <c r="B1419" t="s">
        <v>2931</v>
      </c>
      <c r="C1419">
        <v>13663</v>
      </c>
      <c r="D1419" t="str">
        <f>"320316716   "</f>
        <v xml:space="preserve">320316716   </v>
      </c>
      <c r="E1419" t="s">
        <v>557</v>
      </c>
      <c r="F1419" t="s">
        <v>558</v>
      </c>
      <c r="G1419">
        <v>7056.65</v>
      </c>
      <c r="H1419">
        <v>250930</v>
      </c>
      <c r="I1419">
        <v>4572</v>
      </c>
      <c r="J1419" t="s">
        <v>173</v>
      </c>
      <c r="K1419">
        <v>7507.07</v>
      </c>
      <c r="L1419">
        <v>1433.82</v>
      </c>
      <c r="M1419">
        <v>59501</v>
      </c>
      <c r="N1419" t="s">
        <v>62</v>
      </c>
      <c r="O1419">
        <v>251013</v>
      </c>
      <c r="P1419">
        <v>5622.83</v>
      </c>
    </row>
    <row r="1420" spans="1:16" x14ac:dyDescent="0.25">
      <c r="A1420" t="s">
        <v>3296</v>
      </c>
      <c r="B1420" t="s">
        <v>2931</v>
      </c>
      <c r="C1420">
        <v>13837</v>
      </c>
      <c r="D1420" t="str">
        <f>"320373077   "</f>
        <v xml:space="preserve">320373077   </v>
      </c>
      <c r="E1420" t="s">
        <v>557</v>
      </c>
      <c r="F1420" t="s">
        <v>558</v>
      </c>
      <c r="G1420">
        <v>117.67</v>
      </c>
      <c r="H1420">
        <v>251001</v>
      </c>
      <c r="I1420">
        <v>4572</v>
      </c>
      <c r="J1420" t="s">
        <v>173</v>
      </c>
      <c r="K1420">
        <v>117.67</v>
      </c>
      <c r="L1420">
        <v>23.91</v>
      </c>
      <c r="M1420">
        <v>56571</v>
      </c>
      <c r="N1420" t="s">
        <v>553</v>
      </c>
      <c r="O1420">
        <v>251020</v>
      </c>
      <c r="P1420">
        <v>93.76</v>
      </c>
    </row>
    <row r="1421" spans="1:16" x14ac:dyDescent="0.25">
      <c r="A1421" t="s">
        <v>3296</v>
      </c>
      <c r="B1421" t="s">
        <v>2931</v>
      </c>
      <c r="C1421">
        <v>13997</v>
      </c>
      <c r="D1421" t="str">
        <f>"320467483   "</f>
        <v xml:space="preserve">320467483   </v>
      </c>
      <c r="E1421" t="s">
        <v>557</v>
      </c>
      <c r="F1421" t="s">
        <v>558</v>
      </c>
      <c r="G1421">
        <v>52.29</v>
      </c>
      <c r="H1421">
        <v>251001</v>
      </c>
      <c r="I1421">
        <v>4572</v>
      </c>
      <c r="J1421" t="s">
        <v>173</v>
      </c>
      <c r="K1421">
        <v>59.42</v>
      </c>
      <c r="L1421">
        <v>10.62</v>
      </c>
      <c r="M1421">
        <v>59505</v>
      </c>
      <c r="N1421" t="s">
        <v>194</v>
      </c>
      <c r="O1421">
        <v>251021</v>
      </c>
      <c r="P1421">
        <v>41.67</v>
      </c>
    </row>
    <row r="1422" spans="1:16" x14ac:dyDescent="0.25">
      <c r="A1422" t="s">
        <v>3296</v>
      </c>
      <c r="B1422" t="s">
        <v>2931</v>
      </c>
      <c r="C1422">
        <v>13997</v>
      </c>
      <c r="D1422" t="str">
        <f>"320467483   "</f>
        <v xml:space="preserve">320467483   </v>
      </c>
      <c r="E1422" t="s">
        <v>557</v>
      </c>
      <c r="F1422" t="s">
        <v>558</v>
      </c>
      <c r="G1422">
        <v>7.13</v>
      </c>
      <c r="H1422">
        <v>251001</v>
      </c>
      <c r="I1422">
        <v>4572</v>
      </c>
      <c r="J1422" t="s">
        <v>173</v>
      </c>
      <c r="K1422">
        <v>59.42</v>
      </c>
      <c r="L1422">
        <v>1.45</v>
      </c>
      <c r="M1422">
        <v>59812</v>
      </c>
      <c r="N1422" t="s">
        <v>196</v>
      </c>
      <c r="O1422">
        <v>251021</v>
      </c>
      <c r="P1422">
        <v>5.68</v>
      </c>
    </row>
    <row r="1423" spans="1:16" x14ac:dyDescent="0.25">
      <c r="A1423" t="s">
        <v>3296</v>
      </c>
      <c r="B1423" t="s">
        <v>2931</v>
      </c>
      <c r="C1423">
        <v>13998</v>
      </c>
      <c r="D1423" t="str">
        <f>"320467610   "</f>
        <v xml:space="preserve">320467610   </v>
      </c>
      <c r="E1423" t="s">
        <v>557</v>
      </c>
      <c r="F1423" t="s">
        <v>558</v>
      </c>
      <c r="G1423">
        <v>5.9</v>
      </c>
      <c r="H1423">
        <v>251001</v>
      </c>
      <c r="I1423">
        <v>4572</v>
      </c>
      <c r="J1423" t="s">
        <v>173</v>
      </c>
      <c r="K1423">
        <v>6.7</v>
      </c>
      <c r="L1423">
        <v>1.2</v>
      </c>
      <c r="M1423">
        <v>59505</v>
      </c>
      <c r="N1423" t="s">
        <v>194</v>
      </c>
      <c r="O1423">
        <v>251021</v>
      </c>
      <c r="P1423">
        <v>4.7</v>
      </c>
    </row>
    <row r="1424" spans="1:16" x14ac:dyDescent="0.25">
      <c r="A1424" t="s">
        <v>3296</v>
      </c>
      <c r="B1424" t="s">
        <v>2931</v>
      </c>
      <c r="C1424">
        <v>13998</v>
      </c>
      <c r="D1424" t="str">
        <f>"320467610   "</f>
        <v xml:space="preserve">320467610   </v>
      </c>
      <c r="E1424" t="s">
        <v>557</v>
      </c>
      <c r="F1424" t="s">
        <v>558</v>
      </c>
      <c r="G1424">
        <v>0.8</v>
      </c>
      <c r="H1424">
        <v>251001</v>
      </c>
      <c r="I1424">
        <v>4572</v>
      </c>
      <c r="J1424" t="s">
        <v>173</v>
      </c>
      <c r="K1424">
        <v>6.7</v>
      </c>
      <c r="L1424">
        <v>0.16</v>
      </c>
      <c r="M1424">
        <v>59812</v>
      </c>
      <c r="N1424" t="s">
        <v>196</v>
      </c>
      <c r="O1424">
        <v>251021</v>
      </c>
      <c r="P1424">
        <v>0.64</v>
      </c>
    </row>
    <row r="1425" spans="1:16" x14ac:dyDescent="0.25">
      <c r="A1425" t="s">
        <v>3296</v>
      </c>
      <c r="B1425" t="s">
        <v>2931</v>
      </c>
      <c r="C1425">
        <v>14664</v>
      </c>
      <c r="D1425" t="str">
        <f>"320572038   "</f>
        <v xml:space="preserve">320572038   </v>
      </c>
      <c r="E1425" t="s">
        <v>557</v>
      </c>
      <c r="F1425" t="s">
        <v>558</v>
      </c>
      <c r="G1425">
        <v>430.68</v>
      </c>
      <c r="H1425">
        <v>251031</v>
      </c>
      <c r="I1425">
        <v>4572</v>
      </c>
      <c r="J1425" t="s">
        <v>173</v>
      </c>
      <c r="K1425">
        <v>7177.95</v>
      </c>
      <c r="L1425">
        <v>87.51</v>
      </c>
      <c r="M1425">
        <v>59111</v>
      </c>
      <c r="N1425" t="s">
        <v>60</v>
      </c>
      <c r="O1425">
        <v>251105</v>
      </c>
      <c r="P1425">
        <v>343.17</v>
      </c>
    </row>
    <row r="1426" spans="1:16" x14ac:dyDescent="0.25">
      <c r="A1426" t="s">
        <v>3296</v>
      </c>
      <c r="B1426" t="s">
        <v>2931</v>
      </c>
      <c r="C1426">
        <v>14664</v>
      </c>
      <c r="D1426" t="str">
        <f>"320572038   "</f>
        <v xml:space="preserve">320572038   </v>
      </c>
      <c r="E1426" t="s">
        <v>557</v>
      </c>
      <c r="F1426" t="s">
        <v>558</v>
      </c>
      <c r="G1426">
        <v>6747.27</v>
      </c>
      <c r="H1426">
        <v>251031</v>
      </c>
      <c r="I1426">
        <v>4572</v>
      </c>
      <c r="J1426" t="s">
        <v>173</v>
      </c>
      <c r="K1426">
        <v>7177.95</v>
      </c>
      <c r="L1426">
        <v>1370.96</v>
      </c>
      <c r="M1426">
        <v>59501</v>
      </c>
      <c r="N1426" t="s">
        <v>62</v>
      </c>
      <c r="O1426">
        <v>251105</v>
      </c>
      <c r="P1426">
        <v>5376.31</v>
      </c>
    </row>
    <row r="1427" spans="1:16" x14ac:dyDescent="0.25">
      <c r="A1427" t="s">
        <v>3296</v>
      </c>
      <c r="B1427" t="s">
        <v>2931</v>
      </c>
      <c r="C1427">
        <v>14665</v>
      </c>
      <c r="D1427" t="str">
        <f>"320579055   "</f>
        <v xml:space="preserve">320579055   </v>
      </c>
      <c r="E1427" t="s">
        <v>557</v>
      </c>
      <c r="F1427" t="s">
        <v>558</v>
      </c>
      <c r="G1427">
        <v>1267.17</v>
      </c>
      <c r="H1427">
        <v>251031</v>
      </c>
      <c r="I1427">
        <v>4572</v>
      </c>
      <c r="J1427" t="s">
        <v>173</v>
      </c>
      <c r="K1427">
        <v>1439.97</v>
      </c>
      <c r="L1427">
        <v>257.47000000000003</v>
      </c>
      <c r="M1427">
        <v>59505</v>
      </c>
      <c r="N1427" t="s">
        <v>194</v>
      </c>
      <c r="O1427">
        <v>251105</v>
      </c>
      <c r="P1427">
        <v>1009.7</v>
      </c>
    </row>
    <row r="1428" spans="1:16" x14ac:dyDescent="0.25">
      <c r="A1428" t="s">
        <v>3296</v>
      </c>
      <c r="B1428" t="s">
        <v>2931</v>
      </c>
      <c r="C1428">
        <v>14665</v>
      </c>
      <c r="D1428" t="str">
        <f>"320579055   "</f>
        <v xml:space="preserve">320579055   </v>
      </c>
      <c r="E1428" t="s">
        <v>557</v>
      </c>
      <c r="F1428" t="s">
        <v>558</v>
      </c>
      <c r="G1428">
        <v>172.8</v>
      </c>
      <c r="H1428">
        <v>251031</v>
      </c>
      <c r="I1428">
        <v>4572</v>
      </c>
      <c r="J1428" t="s">
        <v>173</v>
      </c>
      <c r="K1428">
        <v>1439.97</v>
      </c>
      <c r="L1428">
        <v>35.11</v>
      </c>
      <c r="M1428">
        <v>59812</v>
      </c>
      <c r="N1428" t="s">
        <v>196</v>
      </c>
      <c r="O1428">
        <v>251105</v>
      </c>
      <c r="P1428">
        <v>137.69</v>
      </c>
    </row>
    <row r="1429" spans="1:16" x14ac:dyDescent="0.25">
      <c r="A1429" t="s">
        <v>3296</v>
      </c>
      <c r="B1429" t="s">
        <v>2931</v>
      </c>
      <c r="C1429">
        <v>14751</v>
      </c>
      <c r="D1429" t="str">
        <f>"320574865   "</f>
        <v xml:space="preserve">320574865   </v>
      </c>
      <c r="E1429" t="s">
        <v>557</v>
      </c>
      <c r="F1429" t="s">
        <v>558</v>
      </c>
      <c r="G1429">
        <v>498.48</v>
      </c>
      <c r="H1429">
        <v>251031</v>
      </c>
      <c r="I1429">
        <v>4572</v>
      </c>
      <c r="J1429" t="s">
        <v>173</v>
      </c>
      <c r="K1429">
        <v>1846.21</v>
      </c>
      <c r="L1429">
        <v>101.28</v>
      </c>
      <c r="M1429">
        <v>59112</v>
      </c>
      <c r="N1429" t="s">
        <v>44</v>
      </c>
      <c r="O1429">
        <v>251106</v>
      </c>
      <c r="P1429">
        <v>397.2</v>
      </c>
    </row>
    <row r="1430" spans="1:16" x14ac:dyDescent="0.25">
      <c r="A1430" t="s">
        <v>3296</v>
      </c>
      <c r="B1430" t="s">
        <v>2931</v>
      </c>
      <c r="C1430">
        <v>14751</v>
      </c>
      <c r="D1430" t="str">
        <f>"320574865   "</f>
        <v xml:space="preserve">320574865   </v>
      </c>
      <c r="E1430" t="s">
        <v>557</v>
      </c>
      <c r="F1430" t="s">
        <v>558</v>
      </c>
      <c r="G1430">
        <v>1347.73</v>
      </c>
      <c r="H1430">
        <v>251031</v>
      </c>
      <c r="I1430">
        <v>4572</v>
      </c>
      <c r="J1430" t="s">
        <v>173</v>
      </c>
      <c r="K1430">
        <v>1846.21</v>
      </c>
      <c r="L1430">
        <v>273.83999999999997</v>
      </c>
      <c r="M1430">
        <v>59504</v>
      </c>
      <c r="N1430" t="s">
        <v>193</v>
      </c>
      <c r="O1430">
        <v>251106</v>
      </c>
      <c r="P1430">
        <v>1073.8900000000001</v>
      </c>
    </row>
    <row r="1431" spans="1:16" x14ac:dyDescent="0.25">
      <c r="A1431" t="s">
        <v>3296</v>
      </c>
      <c r="B1431" t="s">
        <v>2931</v>
      </c>
      <c r="C1431">
        <v>14753</v>
      </c>
      <c r="D1431" t="str">
        <f>"320585493   "</f>
        <v xml:space="preserve">320585493   </v>
      </c>
      <c r="E1431" t="s">
        <v>557</v>
      </c>
      <c r="F1431" t="s">
        <v>558</v>
      </c>
      <c r="G1431">
        <v>2744.96</v>
      </c>
      <c r="H1431">
        <v>251031</v>
      </c>
      <c r="I1431">
        <v>4572</v>
      </c>
      <c r="J1431" t="s">
        <v>173</v>
      </c>
      <c r="K1431">
        <v>4499.9399999999996</v>
      </c>
      <c r="L1431">
        <v>557.74</v>
      </c>
      <c r="M1431">
        <v>59502</v>
      </c>
      <c r="N1431" t="s">
        <v>63</v>
      </c>
      <c r="O1431">
        <v>251106</v>
      </c>
      <c r="P1431">
        <v>2187.2199999999998</v>
      </c>
    </row>
    <row r="1432" spans="1:16" x14ac:dyDescent="0.25">
      <c r="A1432" t="s">
        <v>3296</v>
      </c>
      <c r="B1432" t="s">
        <v>2931</v>
      </c>
      <c r="C1432">
        <v>14753</v>
      </c>
      <c r="D1432" t="str">
        <f>"320585493   "</f>
        <v xml:space="preserve">320585493   </v>
      </c>
      <c r="E1432" t="s">
        <v>557</v>
      </c>
      <c r="F1432" t="s">
        <v>558</v>
      </c>
      <c r="G1432">
        <v>1754.98</v>
      </c>
      <c r="H1432">
        <v>251031</v>
      </c>
      <c r="I1432">
        <v>4572</v>
      </c>
      <c r="J1432" t="s">
        <v>173</v>
      </c>
      <c r="K1432">
        <v>4499.9399999999996</v>
      </c>
      <c r="L1432">
        <v>356.59</v>
      </c>
      <c r="M1432">
        <v>59802</v>
      </c>
      <c r="N1432" t="s">
        <v>195</v>
      </c>
      <c r="O1432">
        <v>251106</v>
      </c>
      <c r="P1432">
        <v>1398.39</v>
      </c>
    </row>
    <row r="1433" spans="1:16" x14ac:dyDescent="0.25">
      <c r="A1433" t="s">
        <v>3296</v>
      </c>
      <c r="B1433" t="s">
        <v>2931</v>
      </c>
      <c r="C1433">
        <v>15679</v>
      </c>
      <c r="D1433" t="str">
        <f>"320569539   "</f>
        <v xml:space="preserve">320569539   </v>
      </c>
      <c r="E1433" t="s">
        <v>557</v>
      </c>
      <c r="F1433" t="s">
        <v>558</v>
      </c>
      <c r="G1433">
        <v>36.659999999999997</v>
      </c>
      <c r="H1433">
        <v>251101</v>
      </c>
      <c r="I1433">
        <v>4572</v>
      </c>
      <c r="J1433" t="s">
        <v>173</v>
      </c>
      <c r="K1433">
        <v>36.659999999999997</v>
      </c>
      <c r="L1433">
        <v>7.45</v>
      </c>
      <c r="M1433">
        <v>56571</v>
      </c>
      <c r="N1433" t="s">
        <v>553</v>
      </c>
      <c r="O1433">
        <v>251125</v>
      </c>
      <c r="P1433">
        <v>29.21</v>
      </c>
    </row>
    <row r="1434" spans="1:16" x14ac:dyDescent="0.25">
      <c r="A1434" t="s">
        <v>3296</v>
      </c>
      <c r="B1434" t="s">
        <v>2931</v>
      </c>
      <c r="C1434">
        <v>16292</v>
      </c>
      <c r="D1434" t="str">
        <f>"320953328   "</f>
        <v xml:space="preserve">320953328   </v>
      </c>
      <c r="E1434" t="s">
        <v>557</v>
      </c>
      <c r="F1434" t="s">
        <v>558</v>
      </c>
      <c r="G1434">
        <v>12.69</v>
      </c>
      <c r="H1434">
        <v>251130</v>
      </c>
      <c r="I1434">
        <v>4572</v>
      </c>
      <c r="J1434" t="s">
        <v>173</v>
      </c>
      <c r="K1434">
        <v>46.99</v>
      </c>
      <c r="L1434">
        <v>2.58</v>
      </c>
      <c r="M1434">
        <v>59112</v>
      </c>
      <c r="N1434" t="s">
        <v>44</v>
      </c>
      <c r="O1434">
        <v>251205</v>
      </c>
      <c r="P1434">
        <v>10.11</v>
      </c>
    </row>
    <row r="1435" spans="1:16" x14ac:dyDescent="0.25">
      <c r="A1435" t="s">
        <v>3296</v>
      </c>
      <c r="B1435" t="s">
        <v>2931</v>
      </c>
      <c r="C1435">
        <v>16292</v>
      </c>
      <c r="D1435" t="str">
        <f>"320953328   "</f>
        <v xml:space="preserve">320953328   </v>
      </c>
      <c r="E1435" t="s">
        <v>557</v>
      </c>
      <c r="F1435" t="s">
        <v>558</v>
      </c>
      <c r="G1435">
        <v>34.299999999999997</v>
      </c>
      <c r="H1435">
        <v>251130</v>
      </c>
      <c r="I1435">
        <v>4572</v>
      </c>
      <c r="J1435" t="s">
        <v>173</v>
      </c>
      <c r="K1435">
        <v>46.99</v>
      </c>
      <c r="L1435">
        <v>6.97</v>
      </c>
      <c r="M1435">
        <v>59504</v>
      </c>
      <c r="N1435" t="s">
        <v>193</v>
      </c>
      <c r="O1435">
        <v>251205</v>
      </c>
      <c r="P1435">
        <v>27.33</v>
      </c>
    </row>
    <row r="1436" spans="1:16" x14ac:dyDescent="0.25">
      <c r="A1436" t="s">
        <v>3296</v>
      </c>
      <c r="B1436" t="s">
        <v>2931</v>
      </c>
      <c r="C1436">
        <v>16309</v>
      </c>
      <c r="D1436" t="str">
        <f>"320861502   "</f>
        <v xml:space="preserve">320861502   </v>
      </c>
      <c r="E1436" t="s">
        <v>557</v>
      </c>
      <c r="F1436" t="s">
        <v>558</v>
      </c>
      <c r="G1436">
        <v>546.71</v>
      </c>
      <c r="H1436">
        <v>251130</v>
      </c>
      <c r="I1436">
        <v>4572</v>
      </c>
      <c r="J1436" t="s">
        <v>173</v>
      </c>
      <c r="K1436">
        <v>2024.87</v>
      </c>
      <c r="L1436">
        <v>111.08</v>
      </c>
      <c r="M1436">
        <v>59112</v>
      </c>
      <c r="N1436" t="s">
        <v>44</v>
      </c>
      <c r="O1436">
        <v>251205</v>
      </c>
      <c r="P1436">
        <v>435.63</v>
      </c>
    </row>
    <row r="1437" spans="1:16" x14ac:dyDescent="0.25">
      <c r="A1437" t="s">
        <v>3296</v>
      </c>
      <c r="B1437" t="s">
        <v>2931</v>
      </c>
      <c r="C1437">
        <v>16309</v>
      </c>
      <c r="D1437" t="str">
        <f>"320861502   "</f>
        <v xml:space="preserve">320861502   </v>
      </c>
      <c r="E1437" t="s">
        <v>557</v>
      </c>
      <c r="F1437" t="s">
        <v>558</v>
      </c>
      <c r="G1437">
        <v>1478.16</v>
      </c>
      <c r="H1437">
        <v>251130</v>
      </c>
      <c r="I1437">
        <v>4572</v>
      </c>
      <c r="J1437" t="s">
        <v>173</v>
      </c>
      <c r="K1437">
        <v>2024.87</v>
      </c>
      <c r="L1437">
        <v>300.33999999999997</v>
      </c>
      <c r="M1437">
        <v>59504</v>
      </c>
      <c r="N1437" t="s">
        <v>193</v>
      </c>
      <c r="O1437">
        <v>251205</v>
      </c>
      <c r="P1437">
        <v>1177.82</v>
      </c>
    </row>
    <row r="1438" spans="1:16" x14ac:dyDescent="0.25">
      <c r="A1438" t="s">
        <v>3296</v>
      </c>
      <c r="B1438" t="s">
        <v>2931</v>
      </c>
      <c r="C1438">
        <v>16311</v>
      </c>
      <c r="D1438" t="str">
        <f>"320954378   "</f>
        <v xml:space="preserve">320954378   </v>
      </c>
      <c r="E1438" t="s">
        <v>557</v>
      </c>
      <c r="F1438" t="s">
        <v>558</v>
      </c>
      <c r="G1438">
        <v>13.95</v>
      </c>
      <c r="H1438">
        <v>251130</v>
      </c>
      <c r="I1438">
        <v>4572</v>
      </c>
      <c r="J1438" t="s">
        <v>173</v>
      </c>
      <c r="K1438">
        <v>51.65</v>
      </c>
      <c r="L1438">
        <v>2.83</v>
      </c>
      <c r="M1438">
        <v>59112</v>
      </c>
      <c r="N1438" t="s">
        <v>44</v>
      </c>
      <c r="O1438">
        <v>251205</v>
      </c>
      <c r="P1438">
        <v>11.12</v>
      </c>
    </row>
    <row r="1439" spans="1:16" x14ac:dyDescent="0.25">
      <c r="A1439" t="s">
        <v>3296</v>
      </c>
      <c r="B1439" t="s">
        <v>2931</v>
      </c>
      <c r="C1439">
        <v>16311</v>
      </c>
      <c r="D1439" t="str">
        <f>"320954378   "</f>
        <v xml:space="preserve">320954378   </v>
      </c>
      <c r="E1439" t="s">
        <v>557</v>
      </c>
      <c r="F1439" t="s">
        <v>558</v>
      </c>
      <c r="G1439">
        <v>37.700000000000003</v>
      </c>
      <c r="H1439">
        <v>251130</v>
      </c>
      <c r="I1439">
        <v>4572</v>
      </c>
      <c r="J1439" t="s">
        <v>173</v>
      </c>
      <c r="K1439">
        <v>51.65</v>
      </c>
      <c r="L1439">
        <v>7.66</v>
      </c>
      <c r="M1439">
        <v>59504</v>
      </c>
      <c r="N1439" t="s">
        <v>193</v>
      </c>
      <c r="O1439">
        <v>251205</v>
      </c>
      <c r="P1439">
        <v>30.04</v>
      </c>
    </row>
    <row r="1440" spans="1:16" x14ac:dyDescent="0.25">
      <c r="A1440" t="s">
        <v>3296</v>
      </c>
      <c r="B1440" t="s">
        <v>2931</v>
      </c>
      <c r="C1440">
        <v>16313</v>
      </c>
      <c r="D1440" t="str">
        <f>"320940739   "</f>
        <v xml:space="preserve">320940739   </v>
      </c>
      <c r="E1440" t="s">
        <v>557</v>
      </c>
      <c r="F1440" t="s">
        <v>558</v>
      </c>
      <c r="G1440">
        <v>66.83</v>
      </c>
      <c r="H1440">
        <v>251130</v>
      </c>
      <c r="I1440">
        <v>4572</v>
      </c>
      <c r="J1440" t="s">
        <v>173</v>
      </c>
      <c r="K1440">
        <v>247.51</v>
      </c>
      <c r="L1440">
        <v>13.58</v>
      </c>
      <c r="M1440">
        <v>59112</v>
      </c>
      <c r="N1440" t="s">
        <v>44</v>
      </c>
      <c r="O1440">
        <v>251205</v>
      </c>
      <c r="P1440">
        <v>53.25</v>
      </c>
    </row>
    <row r="1441" spans="1:16" x14ac:dyDescent="0.25">
      <c r="A1441" t="s">
        <v>3296</v>
      </c>
      <c r="B1441" t="s">
        <v>2931</v>
      </c>
      <c r="C1441">
        <v>16313</v>
      </c>
      <c r="D1441" t="str">
        <f>"320940739   "</f>
        <v xml:space="preserve">320940739   </v>
      </c>
      <c r="E1441" t="s">
        <v>557</v>
      </c>
      <c r="F1441" t="s">
        <v>558</v>
      </c>
      <c r="G1441">
        <v>180.68</v>
      </c>
      <c r="H1441">
        <v>251130</v>
      </c>
      <c r="I1441">
        <v>4572</v>
      </c>
      <c r="J1441" t="s">
        <v>173</v>
      </c>
      <c r="K1441">
        <v>247.51</v>
      </c>
      <c r="L1441">
        <v>36.71</v>
      </c>
      <c r="M1441">
        <v>59504</v>
      </c>
      <c r="N1441" t="s">
        <v>193</v>
      </c>
      <c r="O1441">
        <v>251205</v>
      </c>
      <c r="P1441">
        <v>143.97</v>
      </c>
    </row>
    <row r="1442" spans="1:16" x14ac:dyDescent="0.25">
      <c r="A1442" t="s">
        <v>3296</v>
      </c>
      <c r="B1442" t="s">
        <v>2931</v>
      </c>
      <c r="C1442">
        <v>16430</v>
      </c>
      <c r="D1442" t="str">
        <f>"320863234   "</f>
        <v xml:space="preserve">320863234   </v>
      </c>
      <c r="E1442" t="s">
        <v>557</v>
      </c>
      <c r="F1442" t="s">
        <v>558</v>
      </c>
      <c r="G1442">
        <v>1254.77</v>
      </c>
      <c r="H1442">
        <v>251130</v>
      </c>
      <c r="I1442">
        <v>4572</v>
      </c>
      <c r="J1442" t="s">
        <v>173</v>
      </c>
      <c r="K1442">
        <v>1425.87</v>
      </c>
      <c r="L1442">
        <v>254.95</v>
      </c>
      <c r="M1442">
        <v>59505</v>
      </c>
      <c r="N1442" t="s">
        <v>194</v>
      </c>
      <c r="O1442">
        <v>251208</v>
      </c>
      <c r="P1442">
        <v>999.82</v>
      </c>
    </row>
    <row r="1443" spans="1:16" x14ac:dyDescent="0.25">
      <c r="A1443" t="s">
        <v>3296</v>
      </c>
      <c r="B1443" t="s">
        <v>2931</v>
      </c>
      <c r="C1443">
        <v>16430</v>
      </c>
      <c r="D1443" t="str">
        <f>"320863234   "</f>
        <v xml:space="preserve">320863234   </v>
      </c>
      <c r="E1443" t="s">
        <v>557</v>
      </c>
      <c r="F1443" t="s">
        <v>558</v>
      </c>
      <c r="G1443">
        <v>171.1</v>
      </c>
      <c r="H1443">
        <v>251130</v>
      </c>
      <c r="I1443">
        <v>4572</v>
      </c>
      <c r="J1443" t="s">
        <v>173</v>
      </c>
      <c r="K1443">
        <v>1425.87</v>
      </c>
      <c r="L1443">
        <v>34.770000000000003</v>
      </c>
      <c r="M1443">
        <v>59812</v>
      </c>
      <c r="N1443" t="s">
        <v>196</v>
      </c>
      <c r="O1443">
        <v>251208</v>
      </c>
      <c r="P1443">
        <v>136.33000000000001</v>
      </c>
    </row>
    <row r="1444" spans="1:16" x14ac:dyDescent="0.25">
      <c r="A1444" t="s">
        <v>3296</v>
      </c>
      <c r="B1444" t="s">
        <v>2931</v>
      </c>
      <c r="C1444">
        <v>16433</v>
      </c>
      <c r="D1444" t="str">
        <f>"320859244   "</f>
        <v xml:space="preserve">320859244   </v>
      </c>
      <c r="E1444" t="s">
        <v>557</v>
      </c>
      <c r="F1444" t="s">
        <v>558</v>
      </c>
      <c r="G1444">
        <v>465.27</v>
      </c>
      <c r="H1444">
        <v>251130</v>
      </c>
      <c r="I1444">
        <v>4572</v>
      </c>
      <c r="J1444" t="s">
        <v>173</v>
      </c>
      <c r="K1444">
        <v>7754.51</v>
      </c>
      <c r="L1444">
        <v>94.54</v>
      </c>
      <c r="M1444">
        <v>59111</v>
      </c>
      <c r="N1444" t="s">
        <v>60</v>
      </c>
      <c r="O1444">
        <v>251208</v>
      </c>
      <c r="P1444">
        <v>370.73</v>
      </c>
    </row>
    <row r="1445" spans="1:16" x14ac:dyDescent="0.25">
      <c r="A1445" t="s">
        <v>3296</v>
      </c>
      <c r="B1445" t="s">
        <v>2931</v>
      </c>
      <c r="C1445">
        <v>16433</v>
      </c>
      <c r="D1445" t="str">
        <f>"320859244   "</f>
        <v xml:space="preserve">320859244   </v>
      </c>
      <c r="E1445" t="s">
        <v>557</v>
      </c>
      <c r="F1445" t="s">
        <v>558</v>
      </c>
      <c r="G1445">
        <v>7289.24</v>
      </c>
      <c r="H1445">
        <v>251130</v>
      </c>
      <c r="I1445">
        <v>4572</v>
      </c>
      <c r="J1445" t="s">
        <v>173</v>
      </c>
      <c r="K1445">
        <v>7754.51</v>
      </c>
      <c r="L1445">
        <v>1481.08</v>
      </c>
      <c r="M1445">
        <v>59501</v>
      </c>
      <c r="N1445" t="s">
        <v>62</v>
      </c>
      <c r="O1445">
        <v>251208</v>
      </c>
      <c r="P1445">
        <v>5808.16</v>
      </c>
    </row>
    <row r="1446" spans="1:16" x14ac:dyDescent="0.25">
      <c r="A1446" t="s">
        <v>3296</v>
      </c>
      <c r="B1446" t="s">
        <v>2931</v>
      </c>
      <c r="C1446">
        <v>16434</v>
      </c>
      <c r="D1446" t="str">
        <f>"320846773   "</f>
        <v xml:space="preserve">320846773   </v>
      </c>
      <c r="E1446" t="s">
        <v>557</v>
      </c>
      <c r="F1446" t="s">
        <v>558</v>
      </c>
      <c r="G1446">
        <v>2639.37</v>
      </c>
      <c r="H1446">
        <v>251130</v>
      </c>
      <c r="I1446">
        <v>4572</v>
      </c>
      <c r="J1446" t="s">
        <v>173</v>
      </c>
      <c r="K1446">
        <v>4326.84</v>
      </c>
      <c r="L1446">
        <v>536.29</v>
      </c>
      <c r="M1446">
        <v>59502</v>
      </c>
      <c r="N1446" t="s">
        <v>63</v>
      </c>
      <c r="O1446">
        <v>251208</v>
      </c>
      <c r="P1446">
        <v>2103.08</v>
      </c>
    </row>
    <row r="1447" spans="1:16" x14ac:dyDescent="0.25">
      <c r="A1447" t="s">
        <v>3296</v>
      </c>
      <c r="B1447" t="s">
        <v>2931</v>
      </c>
      <c r="C1447">
        <v>16434</v>
      </c>
      <c r="D1447" t="str">
        <f>"320846773   "</f>
        <v xml:space="preserve">320846773   </v>
      </c>
      <c r="E1447" t="s">
        <v>557</v>
      </c>
      <c r="F1447" t="s">
        <v>558</v>
      </c>
      <c r="G1447">
        <v>1687.47</v>
      </c>
      <c r="H1447">
        <v>251130</v>
      </c>
      <c r="I1447">
        <v>4572</v>
      </c>
      <c r="J1447" t="s">
        <v>173</v>
      </c>
      <c r="K1447">
        <v>4326.84</v>
      </c>
      <c r="L1447">
        <v>342.87</v>
      </c>
      <c r="M1447">
        <v>59802</v>
      </c>
      <c r="N1447" t="s">
        <v>195</v>
      </c>
      <c r="O1447">
        <v>251208</v>
      </c>
      <c r="P1447">
        <v>1344.6</v>
      </c>
    </row>
    <row r="1448" spans="1:16" x14ac:dyDescent="0.25">
      <c r="A1448" t="s">
        <v>3296</v>
      </c>
      <c r="B1448" t="s">
        <v>2931</v>
      </c>
      <c r="C1448">
        <v>18384</v>
      </c>
      <c r="D1448" t="str">
        <f>"321091818   "</f>
        <v xml:space="preserve">321091818   </v>
      </c>
      <c r="E1448" t="s">
        <v>557</v>
      </c>
      <c r="F1448" t="s">
        <v>558</v>
      </c>
      <c r="G1448">
        <v>2783.72</v>
      </c>
      <c r="H1448">
        <v>251231</v>
      </c>
      <c r="I1448">
        <v>4572</v>
      </c>
      <c r="J1448" t="s">
        <v>173</v>
      </c>
      <c r="K1448">
        <v>4563.47</v>
      </c>
      <c r="L1448">
        <v>565.62</v>
      </c>
      <c r="M1448">
        <v>59502</v>
      </c>
      <c r="N1448" t="s">
        <v>63</v>
      </c>
      <c r="O1448">
        <v>260113</v>
      </c>
      <c r="P1448">
        <v>2218.1</v>
      </c>
    </row>
    <row r="1449" spans="1:16" x14ac:dyDescent="0.25">
      <c r="A1449" t="s">
        <v>3296</v>
      </c>
      <c r="B1449" t="s">
        <v>2931</v>
      </c>
      <c r="C1449">
        <v>18384</v>
      </c>
      <c r="D1449" t="str">
        <f>"321091818   "</f>
        <v xml:space="preserve">321091818   </v>
      </c>
      <c r="E1449" t="s">
        <v>557</v>
      </c>
      <c r="F1449" t="s">
        <v>558</v>
      </c>
      <c r="G1449">
        <v>1779.75</v>
      </c>
      <c r="H1449">
        <v>251231</v>
      </c>
      <c r="I1449">
        <v>4572</v>
      </c>
      <c r="J1449" t="s">
        <v>173</v>
      </c>
      <c r="K1449">
        <v>4563.47</v>
      </c>
      <c r="L1449">
        <v>361.62</v>
      </c>
      <c r="M1449">
        <v>59802</v>
      </c>
      <c r="N1449" t="s">
        <v>195</v>
      </c>
      <c r="O1449">
        <v>260113</v>
      </c>
      <c r="P1449">
        <v>1418.13</v>
      </c>
    </row>
    <row r="1450" spans="1:16" x14ac:dyDescent="0.25">
      <c r="A1450" t="s">
        <v>3296</v>
      </c>
      <c r="B1450" t="s">
        <v>2931</v>
      </c>
      <c r="C1450">
        <v>18427</v>
      </c>
      <c r="D1450" t="str">
        <f>"321140351   "</f>
        <v xml:space="preserve">321140351   </v>
      </c>
      <c r="E1450" t="s">
        <v>557</v>
      </c>
      <c r="F1450" t="s">
        <v>558</v>
      </c>
      <c r="G1450">
        <v>1263.8399999999999</v>
      </c>
      <c r="H1450">
        <v>251231</v>
      </c>
      <c r="I1450">
        <v>4572</v>
      </c>
      <c r="J1450" t="s">
        <v>173</v>
      </c>
      <c r="K1450">
        <v>1436.18</v>
      </c>
      <c r="L1450">
        <v>256.8</v>
      </c>
      <c r="M1450">
        <v>59505</v>
      </c>
      <c r="N1450" t="s">
        <v>194</v>
      </c>
      <c r="O1450">
        <v>260113</v>
      </c>
      <c r="P1450">
        <v>1007.04</v>
      </c>
    </row>
    <row r="1451" spans="1:16" x14ac:dyDescent="0.25">
      <c r="A1451" t="s">
        <v>3296</v>
      </c>
      <c r="B1451" t="s">
        <v>2931</v>
      </c>
      <c r="C1451">
        <v>18427</v>
      </c>
      <c r="D1451" t="str">
        <f>"321140351   "</f>
        <v xml:space="preserve">321140351   </v>
      </c>
      <c r="E1451" t="s">
        <v>557</v>
      </c>
      <c r="F1451" t="s">
        <v>558</v>
      </c>
      <c r="G1451">
        <v>172.34</v>
      </c>
      <c r="H1451">
        <v>251231</v>
      </c>
      <c r="I1451">
        <v>4572</v>
      </c>
      <c r="J1451" t="s">
        <v>173</v>
      </c>
      <c r="K1451">
        <v>1436.18</v>
      </c>
      <c r="L1451">
        <v>35.020000000000003</v>
      </c>
      <c r="M1451">
        <v>59812</v>
      </c>
      <c r="N1451" t="s">
        <v>196</v>
      </c>
      <c r="O1451">
        <v>260113</v>
      </c>
      <c r="P1451">
        <v>137.32</v>
      </c>
    </row>
    <row r="1452" spans="1:16" x14ac:dyDescent="0.25">
      <c r="A1452" t="s">
        <v>3296</v>
      </c>
      <c r="B1452" t="s">
        <v>2931</v>
      </c>
      <c r="C1452">
        <v>18432</v>
      </c>
      <c r="D1452" t="str">
        <f>"321096065   "</f>
        <v xml:space="preserve">321096065   </v>
      </c>
      <c r="E1452" t="s">
        <v>557</v>
      </c>
      <c r="F1452" t="s">
        <v>558</v>
      </c>
      <c r="G1452">
        <v>454.1</v>
      </c>
      <c r="H1452">
        <v>251231</v>
      </c>
      <c r="I1452">
        <v>4572</v>
      </c>
      <c r="J1452" t="s">
        <v>173</v>
      </c>
      <c r="K1452">
        <v>7568.32</v>
      </c>
      <c r="L1452">
        <v>92.27</v>
      </c>
      <c r="M1452">
        <v>59111</v>
      </c>
      <c r="N1452" t="s">
        <v>60</v>
      </c>
      <c r="O1452">
        <v>260113</v>
      </c>
      <c r="P1452">
        <v>361.83</v>
      </c>
    </row>
    <row r="1453" spans="1:16" x14ac:dyDescent="0.25">
      <c r="A1453" t="s">
        <v>3296</v>
      </c>
      <c r="B1453" t="s">
        <v>2931</v>
      </c>
      <c r="C1453">
        <v>18432</v>
      </c>
      <c r="D1453" t="str">
        <f>"321096065   "</f>
        <v xml:space="preserve">321096065   </v>
      </c>
      <c r="E1453" t="s">
        <v>557</v>
      </c>
      <c r="F1453" t="s">
        <v>558</v>
      </c>
      <c r="G1453">
        <v>7114.22</v>
      </c>
      <c r="H1453">
        <v>251231</v>
      </c>
      <c r="I1453">
        <v>4572</v>
      </c>
      <c r="J1453" t="s">
        <v>173</v>
      </c>
      <c r="K1453">
        <v>7568.32</v>
      </c>
      <c r="L1453">
        <v>1445.52</v>
      </c>
      <c r="M1453">
        <v>59501</v>
      </c>
      <c r="N1453" t="s">
        <v>62</v>
      </c>
      <c r="O1453">
        <v>260113</v>
      </c>
      <c r="P1453">
        <v>5668.7</v>
      </c>
    </row>
    <row r="1454" spans="1:16" x14ac:dyDescent="0.25">
      <c r="A1454" t="s">
        <v>3296</v>
      </c>
      <c r="B1454" t="s">
        <v>2931</v>
      </c>
      <c r="C1454">
        <v>18461</v>
      </c>
      <c r="D1454" t="str">
        <f>"321122908   "</f>
        <v xml:space="preserve">321122908   </v>
      </c>
      <c r="E1454" t="s">
        <v>557</v>
      </c>
      <c r="F1454" t="s">
        <v>558</v>
      </c>
      <c r="G1454">
        <v>563.78</v>
      </c>
      <c r="H1454">
        <v>251231</v>
      </c>
      <c r="I1454">
        <v>4572</v>
      </c>
      <c r="J1454" t="s">
        <v>173</v>
      </c>
      <c r="K1454">
        <v>2088.06</v>
      </c>
      <c r="L1454">
        <v>114.55</v>
      </c>
      <c r="M1454">
        <v>59112</v>
      </c>
      <c r="N1454" t="s">
        <v>44</v>
      </c>
      <c r="O1454">
        <v>260113</v>
      </c>
      <c r="P1454">
        <v>449.23</v>
      </c>
    </row>
    <row r="1455" spans="1:16" x14ac:dyDescent="0.25">
      <c r="A1455" t="s">
        <v>3296</v>
      </c>
      <c r="B1455" t="s">
        <v>2931</v>
      </c>
      <c r="C1455">
        <v>18461</v>
      </c>
      <c r="D1455" t="str">
        <f>"321122908   "</f>
        <v xml:space="preserve">321122908   </v>
      </c>
      <c r="E1455" t="s">
        <v>557</v>
      </c>
      <c r="F1455" t="s">
        <v>558</v>
      </c>
      <c r="G1455">
        <v>1524.28</v>
      </c>
      <c r="H1455">
        <v>251231</v>
      </c>
      <c r="I1455">
        <v>4572</v>
      </c>
      <c r="J1455" t="s">
        <v>173</v>
      </c>
      <c r="K1455">
        <v>2088.06</v>
      </c>
      <c r="L1455">
        <v>309.70999999999998</v>
      </c>
      <c r="M1455">
        <v>59504</v>
      </c>
      <c r="N1455" t="s">
        <v>193</v>
      </c>
      <c r="O1455">
        <v>260113</v>
      </c>
      <c r="P1455">
        <v>1214.57</v>
      </c>
    </row>
    <row r="1456" spans="1:16" x14ac:dyDescent="0.25">
      <c r="A1456" t="s">
        <v>3296</v>
      </c>
      <c r="B1456" t="s">
        <v>2931</v>
      </c>
      <c r="C1456">
        <v>4980</v>
      </c>
      <c r="D1456" t="str">
        <f>"2220000813  "</f>
        <v xml:space="preserve">2220000813  </v>
      </c>
      <c r="E1456" t="s">
        <v>3237</v>
      </c>
      <c r="F1456" t="s">
        <v>3238</v>
      </c>
      <c r="G1456">
        <v>164.96</v>
      </c>
      <c r="H1456">
        <v>250321</v>
      </c>
      <c r="I1456">
        <v>4580</v>
      </c>
      <c r="J1456" t="s">
        <v>126</v>
      </c>
      <c r="K1456">
        <v>164.96</v>
      </c>
      <c r="L1456">
        <v>0</v>
      </c>
      <c r="M1456">
        <v>17521</v>
      </c>
      <c r="N1456" t="s">
        <v>136</v>
      </c>
      <c r="O1456">
        <v>250416</v>
      </c>
      <c r="P1456">
        <v>164.96</v>
      </c>
    </row>
    <row r="1457" spans="1:16" x14ac:dyDescent="0.25">
      <c r="A1457" t="s">
        <v>3296</v>
      </c>
      <c r="B1457" t="s">
        <v>2931</v>
      </c>
      <c r="C1457">
        <v>16016</v>
      </c>
      <c r="D1457" t="str">
        <f>"2220002152  "</f>
        <v xml:space="preserve">2220002152  </v>
      </c>
      <c r="E1457" t="s">
        <v>3237</v>
      </c>
      <c r="F1457" t="s">
        <v>3238</v>
      </c>
      <c r="G1457">
        <v>704</v>
      </c>
      <c r="H1457">
        <v>251101</v>
      </c>
      <c r="I1457">
        <v>4600</v>
      </c>
      <c r="J1457" t="s">
        <v>278</v>
      </c>
      <c r="K1457">
        <v>704</v>
      </c>
      <c r="L1457">
        <v>0</v>
      </c>
      <c r="M1457">
        <v>17521</v>
      </c>
      <c r="N1457" t="s">
        <v>136</v>
      </c>
      <c r="O1457">
        <v>251202</v>
      </c>
      <c r="P1457">
        <v>704</v>
      </c>
    </row>
    <row r="1458" spans="1:16" x14ac:dyDescent="0.25">
      <c r="A1458" t="s">
        <v>3296</v>
      </c>
      <c r="B1458" t="s">
        <v>2931</v>
      </c>
      <c r="C1458">
        <v>18428</v>
      </c>
      <c r="D1458" t="str">
        <f>"6025120088  "</f>
        <v xml:space="preserve">6025120088  </v>
      </c>
      <c r="E1458" t="s">
        <v>961</v>
      </c>
      <c r="F1458" t="s">
        <v>962</v>
      </c>
      <c r="G1458">
        <v>250</v>
      </c>
      <c r="H1458">
        <v>251231</v>
      </c>
      <c r="I1458">
        <v>4380</v>
      </c>
      <c r="J1458" t="s">
        <v>211</v>
      </c>
      <c r="K1458">
        <v>483.18</v>
      </c>
      <c r="L1458">
        <v>50.8</v>
      </c>
      <c r="M1458">
        <v>59501</v>
      </c>
      <c r="N1458" t="s">
        <v>62</v>
      </c>
      <c r="O1458">
        <v>260113</v>
      </c>
      <c r="P1458">
        <v>199.2</v>
      </c>
    </row>
    <row r="1459" spans="1:16" x14ac:dyDescent="0.25">
      <c r="A1459" t="s">
        <v>3296</v>
      </c>
      <c r="B1459" t="s">
        <v>2931</v>
      </c>
      <c r="C1459">
        <v>18428</v>
      </c>
      <c r="D1459" t="str">
        <f>"6025120088  "</f>
        <v xml:space="preserve">6025120088  </v>
      </c>
      <c r="E1459" t="s">
        <v>961</v>
      </c>
      <c r="F1459" t="s">
        <v>962</v>
      </c>
      <c r="G1459">
        <v>233.18</v>
      </c>
      <c r="H1459">
        <v>251231</v>
      </c>
      <c r="I1459">
        <v>4380</v>
      </c>
      <c r="J1459" t="s">
        <v>211</v>
      </c>
      <c r="K1459">
        <v>483.18</v>
      </c>
      <c r="L1459">
        <v>47.38</v>
      </c>
      <c r="M1459">
        <v>59502</v>
      </c>
      <c r="N1459" t="s">
        <v>63</v>
      </c>
      <c r="O1459">
        <v>260113</v>
      </c>
      <c r="P1459">
        <v>185.8</v>
      </c>
    </row>
    <row r="1460" spans="1:16" x14ac:dyDescent="0.25">
      <c r="A1460" t="s">
        <v>3296</v>
      </c>
      <c r="B1460" t="s">
        <v>2931</v>
      </c>
      <c r="C1460">
        <v>18445</v>
      </c>
      <c r="D1460" t="str">
        <f>"6025120081  "</f>
        <v xml:space="preserve">6025120081  </v>
      </c>
      <c r="E1460" t="s">
        <v>961</v>
      </c>
      <c r="F1460" t="s">
        <v>962</v>
      </c>
      <c r="G1460">
        <v>194.84</v>
      </c>
      <c r="H1460">
        <v>251231</v>
      </c>
      <c r="I1460">
        <v>4400</v>
      </c>
      <c r="J1460" t="s">
        <v>162</v>
      </c>
      <c r="K1460">
        <v>194.84</v>
      </c>
      <c r="L1460">
        <v>39.590000000000003</v>
      </c>
      <c r="M1460">
        <v>56564</v>
      </c>
      <c r="N1460" t="s">
        <v>56</v>
      </c>
      <c r="O1460">
        <v>260113</v>
      </c>
      <c r="P1460">
        <v>155.25</v>
      </c>
    </row>
    <row r="1461" spans="1:16" x14ac:dyDescent="0.25">
      <c r="A1461" t="s">
        <v>3296</v>
      </c>
      <c r="B1461" t="s">
        <v>2931</v>
      </c>
      <c r="C1461">
        <v>1360</v>
      </c>
      <c r="D1461" t="str">
        <f>"6025010033  "</f>
        <v xml:space="preserve">6025010033  </v>
      </c>
      <c r="E1461" t="s">
        <v>961</v>
      </c>
      <c r="F1461" t="s">
        <v>962</v>
      </c>
      <c r="G1461">
        <v>521.75</v>
      </c>
      <c r="H1461">
        <v>250131</v>
      </c>
      <c r="I1461">
        <v>4590</v>
      </c>
      <c r="J1461" t="s">
        <v>388</v>
      </c>
      <c r="K1461">
        <v>521.75</v>
      </c>
      <c r="L1461">
        <v>106.01</v>
      </c>
      <c r="M1461">
        <v>59504</v>
      </c>
      <c r="N1461" t="s">
        <v>193</v>
      </c>
      <c r="O1461">
        <v>250207</v>
      </c>
      <c r="P1461">
        <v>415.74</v>
      </c>
    </row>
    <row r="1462" spans="1:16" x14ac:dyDescent="0.25">
      <c r="A1462" t="s">
        <v>3296</v>
      </c>
      <c r="B1462" t="s">
        <v>2931</v>
      </c>
      <c r="C1462">
        <v>12088</v>
      </c>
      <c r="D1462" t="str">
        <f>"6025080056  "</f>
        <v xml:space="preserve">6025080056  </v>
      </c>
      <c r="E1462" t="s">
        <v>961</v>
      </c>
      <c r="F1462" t="s">
        <v>962</v>
      </c>
      <c r="G1462">
        <v>205.23</v>
      </c>
      <c r="H1462">
        <v>250825</v>
      </c>
      <c r="I1462">
        <v>4590</v>
      </c>
      <c r="J1462" t="s">
        <v>388</v>
      </c>
      <c r="K1462">
        <v>205.23</v>
      </c>
      <c r="L1462">
        <v>41.7</v>
      </c>
      <c r="M1462">
        <v>56564</v>
      </c>
      <c r="N1462" t="s">
        <v>56</v>
      </c>
      <c r="O1462">
        <v>250916</v>
      </c>
      <c r="P1462">
        <v>163.53</v>
      </c>
    </row>
    <row r="1463" spans="1:16" x14ac:dyDescent="0.25">
      <c r="A1463" t="s">
        <v>3296</v>
      </c>
      <c r="B1463" t="s">
        <v>2931</v>
      </c>
      <c r="C1463">
        <v>14103</v>
      </c>
      <c r="D1463" t="str">
        <f>"6025100027  "</f>
        <v xml:space="preserve">6025100027  </v>
      </c>
      <c r="E1463" t="s">
        <v>961</v>
      </c>
      <c r="F1463" t="s">
        <v>962</v>
      </c>
      <c r="G1463">
        <v>564.98</v>
      </c>
      <c r="H1463">
        <v>251020</v>
      </c>
      <c r="I1463">
        <v>4590</v>
      </c>
      <c r="J1463" t="s">
        <v>388</v>
      </c>
      <c r="K1463">
        <v>564.98</v>
      </c>
      <c r="L1463">
        <v>114.8</v>
      </c>
      <c r="M1463">
        <v>59504</v>
      </c>
      <c r="N1463" t="s">
        <v>193</v>
      </c>
      <c r="O1463">
        <v>251024</v>
      </c>
      <c r="P1463">
        <v>450.18</v>
      </c>
    </row>
    <row r="1464" spans="1:16" x14ac:dyDescent="0.25">
      <c r="A1464" t="s">
        <v>3296</v>
      </c>
      <c r="B1464" t="s">
        <v>2931</v>
      </c>
      <c r="C1464">
        <v>17030</v>
      </c>
      <c r="D1464" t="str">
        <f>"6025120013  "</f>
        <v xml:space="preserve">6025120013  </v>
      </c>
      <c r="E1464" t="s">
        <v>961</v>
      </c>
      <c r="F1464" t="s">
        <v>962</v>
      </c>
      <c r="G1464">
        <v>197.55</v>
      </c>
      <c r="H1464">
        <v>251215</v>
      </c>
      <c r="I1464">
        <v>4590</v>
      </c>
      <c r="J1464" t="s">
        <v>388</v>
      </c>
      <c r="K1464">
        <v>731.67</v>
      </c>
      <c r="L1464">
        <v>40.14</v>
      </c>
      <c r="M1464">
        <v>59112</v>
      </c>
      <c r="N1464" t="s">
        <v>44</v>
      </c>
      <c r="O1464">
        <v>251216</v>
      </c>
      <c r="P1464">
        <v>157.41</v>
      </c>
    </row>
    <row r="1465" spans="1:16" x14ac:dyDescent="0.25">
      <c r="A1465" t="s">
        <v>3296</v>
      </c>
      <c r="B1465" t="s">
        <v>2931</v>
      </c>
      <c r="C1465">
        <v>17030</v>
      </c>
      <c r="D1465" t="str">
        <f>"6025120013  "</f>
        <v xml:space="preserve">6025120013  </v>
      </c>
      <c r="E1465" t="s">
        <v>961</v>
      </c>
      <c r="F1465" t="s">
        <v>962</v>
      </c>
      <c r="G1465">
        <v>534.12</v>
      </c>
      <c r="H1465">
        <v>251215</v>
      </c>
      <c r="I1465">
        <v>4590</v>
      </c>
      <c r="J1465" t="s">
        <v>388</v>
      </c>
      <c r="K1465">
        <v>731.67</v>
      </c>
      <c r="L1465">
        <v>108.53</v>
      </c>
      <c r="M1465">
        <v>59504</v>
      </c>
      <c r="N1465" t="s">
        <v>193</v>
      </c>
      <c r="O1465">
        <v>251216</v>
      </c>
      <c r="P1465">
        <v>425.59</v>
      </c>
    </row>
    <row r="1466" spans="1:16" x14ac:dyDescent="0.25">
      <c r="A1466" t="s">
        <v>3296</v>
      </c>
      <c r="B1466" t="s">
        <v>2931</v>
      </c>
      <c r="C1466">
        <v>2508</v>
      </c>
      <c r="D1466" t="str">
        <f>"6025020007  "</f>
        <v xml:space="preserve">6025020007  </v>
      </c>
      <c r="E1466" t="s">
        <v>961</v>
      </c>
      <c r="F1466" t="s">
        <v>962</v>
      </c>
      <c r="G1466">
        <v>474.89</v>
      </c>
      <c r="H1466">
        <v>250217</v>
      </c>
      <c r="I1466">
        <v>4600</v>
      </c>
      <c r="J1466" t="s">
        <v>278</v>
      </c>
      <c r="K1466">
        <v>474.89</v>
      </c>
      <c r="L1466">
        <v>96.49</v>
      </c>
      <c r="M1466">
        <v>59501</v>
      </c>
      <c r="N1466" t="s">
        <v>62</v>
      </c>
      <c r="O1466">
        <v>250303</v>
      </c>
      <c r="P1466">
        <v>378.4</v>
      </c>
    </row>
    <row r="1467" spans="1:16" x14ac:dyDescent="0.25">
      <c r="A1467" t="s">
        <v>3296</v>
      </c>
      <c r="B1467" t="s">
        <v>2931</v>
      </c>
      <c r="C1467">
        <v>7515</v>
      </c>
      <c r="D1467" t="str">
        <f>"6025050037  "</f>
        <v xml:space="preserve">6025050037  </v>
      </c>
      <c r="E1467" t="s">
        <v>961</v>
      </c>
      <c r="F1467" t="s">
        <v>962</v>
      </c>
      <c r="G1467">
        <v>406.62</v>
      </c>
      <c r="H1467">
        <v>250519</v>
      </c>
      <c r="I1467">
        <v>4860</v>
      </c>
      <c r="J1467" t="s">
        <v>286</v>
      </c>
      <c r="K1467">
        <v>406.62</v>
      </c>
      <c r="L1467">
        <v>82.62</v>
      </c>
      <c r="M1467">
        <v>56564</v>
      </c>
      <c r="N1467" t="s">
        <v>56</v>
      </c>
      <c r="O1467">
        <v>250604</v>
      </c>
      <c r="P1467">
        <v>324</v>
      </c>
    </row>
    <row r="1468" spans="1:16" x14ac:dyDescent="0.25">
      <c r="A1468" t="s">
        <v>3296</v>
      </c>
      <c r="B1468" t="s">
        <v>2931</v>
      </c>
      <c r="C1468">
        <v>14741</v>
      </c>
      <c r="D1468" t="str">
        <f>"11094       "</f>
        <v xml:space="preserve">11094       </v>
      </c>
      <c r="E1468" t="s">
        <v>2528</v>
      </c>
      <c r="F1468" t="s">
        <v>2529</v>
      </c>
      <c r="G1468">
        <v>599.14</v>
      </c>
      <c r="H1468">
        <v>251031</v>
      </c>
      <c r="I1468">
        <v>4600</v>
      </c>
      <c r="J1468" t="s">
        <v>278</v>
      </c>
      <c r="K1468">
        <v>599.14</v>
      </c>
      <c r="L1468">
        <v>121.74</v>
      </c>
      <c r="M1468">
        <v>17951</v>
      </c>
      <c r="N1468" t="s">
        <v>207</v>
      </c>
      <c r="O1468">
        <v>251106</v>
      </c>
      <c r="P1468">
        <v>477.4</v>
      </c>
    </row>
    <row r="1469" spans="1:16" x14ac:dyDescent="0.25">
      <c r="A1469" t="s">
        <v>3296</v>
      </c>
      <c r="B1469" t="s">
        <v>2931</v>
      </c>
      <c r="C1469">
        <v>387</v>
      </c>
      <c r="D1469" t="str">
        <f>"EU030370240 "</f>
        <v xml:space="preserve">EU030370240 </v>
      </c>
      <c r="E1469" t="s">
        <v>479</v>
      </c>
      <c r="F1469" t="s">
        <v>480</v>
      </c>
      <c r="G1469">
        <v>733.77</v>
      </c>
      <c r="H1469">
        <v>250117</v>
      </c>
      <c r="I1469">
        <v>4366</v>
      </c>
      <c r="J1469" t="s">
        <v>65</v>
      </c>
      <c r="K1469">
        <v>733.77</v>
      </c>
      <c r="L1469">
        <v>149.09</v>
      </c>
      <c r="M1469">
        <v>11801</v>
      </c>
      <c r="N1469" t="s">
        <v>40</v>
      </c>
      <c r="O1469">
        <v>250122</v>
      </c>
      <c r="P1469">
        <v>584.67999999999995</v>
      </c>
    </row>
    <row r="1470" spans="1:16" x14ac:dyDescent="0.25">
      <c r="A1470" t="s">
        <v>3296</v>
      </c>
      <c r="B1470" t="s">
        <v>2931</v>
      </c>
      <c r="C1470">
        <v>1409</v>
      </c>
      <c r="D1470" t="str">
        <f>"EU030371899 "</f>
        <v xml:space="preserve">EU030371899 </v>
      </c>
      <c r="E1470" t="s">
        <v>479</v>
      </c>
      <c r="F1470" t="s">
        <v>480</v>
      </c>
      <c r="G1470">
        <v>733.77</v>
      </c>
      <c r="H1470">
        <v>250201</v>
      </c>
      <c r="I1470">
        <v>4366</v>
      </c>
      <c r="J1470" t="s">
        <v>65</v>
      </c>
      <c r="K1470">
        <v>733.77</v>
      </c>
      <c r="L1470">
        <v>149.09</v>
      </c>
      <c r="M1470">
        <v>11801</v>
      </c>
      <c r="N1470" t="s">
        <v>40</v>
      </c>
      <c r="O1470">
        <v>250210</v>
      </c>
      <c r="P1470">
        <v>584.67999999999995</v>
      </c>
    </row>
    <row r="1471" spans="1:16" x14ac:dyDescent="0.25">
      <c r="A1471" t="s">
        <v>3296</v>
      </c>
      <c r="B1471" t="s">
        <v>2931</v>
      </c>
      <c r="C1471">
        <v>3525</v>
      </c>
      <c r="D1471" t="str">
        <f>"EU030379858 "</f>
        <v xml:space="preserve">EU030379858 </v>
      </c>
      <c r="E1471" t="s">
        <v>479</v>
      </c>
      <c r="F1471" t="s">
        <v>480</v>
      </c>
      <c r="G1471">
        <v>733.77</v>
      </c>
      <c r="H1471">
        <v>250311</v>
      </c>
      <c r="I1471">
        <v>4366</v>
      </c>
      <c r="J1471" t="s">
        <v>65</v>
      </c>
      <c r="K1471">
        <v>733.77</v>
      </c>
      <c r="L1471">
        <v>149.09</v>
      </c>
      <c r="M1471">
        <v>11801</v>
      </c>
      <c r="N1471" t="s">
        <v>40</v>
      </c>
      <c r="O1471">
        <v>250325</v>
      </c>
      <c r="P1471">
        <v>584.67999999999995</v>
      </c>
    </row>
    <row r="1472" spans="1:16" x14ac:dyDescent="0.25">
      <c r="A1472" t="s">
        <v>3296</v>
      </c>
      <c r="B1472" t="s">
        <v>2931</v>
      </c>
      <c r="C1472">
        <v>6113</v>
      </c>
      <c r="D1472" t="str">
        <f>"EU030389241 "</f>
        <v xml:space="preserve">EU030389241 </v>
      </c>
      <c r="E1472" t="s">
        <v>479</v>
      </c>
      <c r="F1472" t="s">
        <v>480</v>
      </c>
      <c r="G1472">
        <v>733.77</v>
      </c>
      <c r="H1472">
        <v>250430</v>
      </c>
      <c r="I1472">
        <v>4366</v>
      </c>
      <c r="J1472" t="s">
        <v>65</v>
      </c>
      <c r="K1472">
        <v>733.77</v>
      </c>
      <c r="L1472">
        <v>149.09</v>
      </c>
      <c r="M1472">
        <v>11801</v>
      </c>
      <c r="N1472" t="s">
        <v>40</v>
      </c>
      <c r="O1472">
        <v>250509</v>
      </c>
      <c r="P1472">
        <v>584.67999999999995</v>
      </c>
    </row>
    <row r="1473" spans="1:16" x14ac:dyDescent="0.25">
      <c r="A1473" t="s">
        <v>3296</v>
      </c>
      <c r="B1473" t="s">
        <v>2931</v>
      </c>
      <c r="C1473">
        <v>6134</v>
      </c>
      <c r="D1473" t="str">
        <f>"EU030389240 "</f>
        <v xml:space="preserve">EU030389240 </v>
      </c>
      <c r="E1473" t="s">
        <v>479</v>
      </c>
      <c r="F1473" t="s">
        <v>480</v>
      </c>
      <c r="G1473">
        <v>733.77</v>
      </c>
      <c r="H1473">
        <v>250501</v>
      </c>
      <c r="I1473">
        <v>4366</v>
      </c>
      <c r="J1473" t="s">
        <v>65</v>
      </c>
      <c r="K1473">
        <v>733.77</v>
      </c>
      <c r="L1473">
        <v>149.09</v>
      </c>
      <c r="M1473">
        <v>11801</v>
      </c>
      <c r="N1473" t="s">
        <v>40</v>
      </c>
      <c r="O1473">
        <v>250509</v>
      </c>
      <c r="P1473">
        <v>584.67999999999995</v>
      </c>
    </row>
    <row r="1474" spans="1:16" x14ac:dyDescent="0.25">
      <c r="A1474" t="s">
        <v>3296</v>
      </c>
      <c r="B1474" t="s">
        <v>2931</v>
      </c>
      <c r="C1474">
        <v>8149</v>
      </c>
      <c r="D1474" t="str">
        <f>"EU030394486 "</f>
        <v xml:space="preserve">EU030394486 </v>
      </c>
      <c r="E1474" t="s">
        <v>479</v>
      </c>
      <c r="F1474" t="s">
        <v>480</v>
      </c>
      <c r="G1474">
        <v>733.77</v>
      </c>
      <c r="H1474">
        <v>250602</v>
      </c>
      <c r="I1474">
        <v>4366</v>
      </c>
      <c r="J1474" t="s">
        <v>65</v>
      </c>
      <c r="K1474">
        <v>733.77</v>
      </c>
      <c r="L1474">
        <v>149.09</v>
      </c>
      <c r="M1474">
        <v>11801</v>
      </c>
      <c r="N1474" t="s">
        <v>40</v>
      </c>
      <c r="O1474">
        <v>250611</v>
      </c>
      <c r="P1474">
        <v>584.67999999999995</v>
      </c>
    </row>
    <row r="1475" spans="1:16" x14ac:dyDescent="0.25">
      <c r="A1475" t="s">
        <v>3296</v>
      </c>
      <c r="B1475" t="s">
        <v>2931</v>
      </c>
      <c r="C1475">
        <v>9590</v>
      </c>
      <c r="D1475" t="str">
        <f>"EU030399756 "</f>
        <v xml:space="preserve">EU030399756 </v>
      </c>
      <c r="E1475" t="s">
        <v>479</v>
      </c>
      <c r="F1475" t="s">
        <v>480</v>
      </c>
      <c r="G1475">
        <v>733.77</v>
      </c>
      <c r="H1475">
        <v>250701</v>
      </c>
      <c r="I1475">
        <v>4366</v>
      </c>
      <c r="J1475" t="s">
        <v>65</v>
      </c>
      <c r="K1475">
        <v>733.77</v>
      </c>
      <c r="L1475">
        <v>149.09</v>
      </c>
      <c r="M1475">
        <v>11801</v>
      </c>
      <c r="N1475" t="s">
        <v>40</v>
      </c>
      <c r="O1475">
        <v>250721</v>
      </c>
      <c r="P1475">
        <v>584.67999999999995</v>
      </c>
    </row>
    <row r="1476" spans="1:16" x14ac:dyDescent="0.25">
      <c r="A1476" t="s">
        <v>3296</v>
      </c>
      <c r="B1476" t="s">
        <v>2931</v>
      </c>
      <c r="C1476">
        <v>10289</v>
      </c>
      <c r="D1476" t="str">
        <f>"EU030406764 "</f>
        <v xml:space="preserve">EU030406764 </v>
      </c>
      <c r="E1476" t="s">
        <v>479</v>
      </c>
      <c r="F1476" t="s">
        <v>480</v>
      </c>
      <c r="G1476">
        <v>733.77</v>
      </c>
      <c r="H1476">
        <v>250811</v>
      </c>
      <c r="I1476">
        <v>4366</v>
      </c>
      <c r="J1476" t="s">
        <v>65</v>
      </c>
      <c r="K1476">
        <v>733.77</v>
      </c>
      <c r="L1476">
        <v>149.09</v>
      </c>
      <c r="M1476">
        <v>11801</v>
      </c>
      <c r="N1476" t="s">
        <v>40</v>
      </c>
      <c r="O1476">
        <v>250813</v>
      </c>
      <c r="P1476">
        <v>584.67999999999995</v>
      </c>
    </row>
    <row r="1477" spans="1:16" x14ac:dyDescent="0.25">
      <c r="A1477" t="s">
        <v>3296</v>
      </c>
      <c r="B1477" t="s">
        <v>2931</v>
      </c>
      <c r="C1477">
        <v>11239</v>
      </c>
      <c r="D1477" t="str">
        <f>"EU030409637 "</f>
        <v xml:space="preserve">EU030409637 </v>
      </c>
      <c r="E1477" t="s">
        <v>479</v>
      </c>
      <c r="F1477" t="s">
        <v>480</v>
      </c>
      <c r="G1477">
        <v>733.77</v>
      </c>
      <c r="H1477">
        <v>250901</v>
      </c>
      <c r="I1477">
        <v>4366</v>
      </c>
      <c r="J1477" t="s">
        <v>65</v>
      </c>
      <c r="K1477">
        <v>733.77</v>
      </c>
      <c r="L1477">
        <v>149.09</v>
      </c>
      <c r="M1477">
        <v>11801</v>
      </c>
      <c r="N1477" t="s">
        <v>40</v>
      </c>
      <c r="O1477">
        <v>250902</v>
      </c>
      <c r="P1477">
        <v>584.67999999999995</v>
      </c>
    </row>
    <row r="1478" spans="1:16" x14ac:dyDescent="0.25">
      <c r="A1478" t="s">
        <v>3296</v>
      </c>
      <c r="B1478" t="s">
        <v>2931</v>
      </c>
      <c r="C1478">
        <v>13067</v>
      </c>
      <c r="D1478" t="str">
        <f>"EU030416087 "</f>
        <v xml:space="preserve">EU030416087 </v>
      </c>
      <c r="E1478" t="s">
        <v>479</v>
      </c>
      <c r="F1478" t="s">
        <v>480</v>
      </c>
      <c r="G1478">
        <v>733.77</v>
      </c>
      <c r="H1478">
        <v>251003</v>
      </c>
      <c r="I1478">
        <v>4366</v>
      </c>
      <c r="J1478" t="s">
        <v>65</v>
      </c>
      <c r="K1478">
        <v>733.77</v>
      </c>
      <c r="L1478">
        <v>149.09</v>
      </c>
      <c r="M1478">
        <v>11801</v>
      </c>
      <c r="N1478" t="s">
        <v>40</v>
      </c>
      <c r="O1478">
        <v>251003</v>
      </c>
      <c r="P1478">
        <v>584.67999999999995</v>
      </c>
    </row>
    <row r="1479" spans="1:16" x14ac:dyDescent="0.25">
      <c r="A1479" t="s">
        <v>3296</v>
      </c>
      <c r="B1479" t="s">
        <v>2931</v>
      </c>
      <c r="C1479">
        <v>1448</v>
      </c>
      <c r="D1479" t="str">
        <f>"EU030373479 "</f>
        <v xml:space="preserve">EU030373479 </v>
      </c>
      <c r="E1479" t="s">
        <v>479</v>
      </c>
      <c r="F1479" t="s">
        <v>480</v>
      </c>
      <c r="G1479">
        <v>1649.3</v>
      </c>
      <c r="H1479">
        <v>250131</v>
      </c>
      <c r="I1479">
        <v>4369</v>
      </c>
      <c r="J1479" t="s">
        <v>188</v>
      </c>
      <c r="K1479">
        <v>1649.3</v>
      </c>
      <c r="L1479">
        <v>335.12</v>
      </c>
      <c r="M1479">
        <v>11801</v>
      </c>
      <c r="N1479" t="s">
        <v>40</v>
      </c>
      <c r="O1479">
        <v>250210</v>
      </c>
      <c r="P1479">
        <v>1314.18</v>
      </c>
    </row>
    <row r="1480" spans="1:16" x14ac:dyDescent="0.25">
      <c r="A1480" t="s">
        <v>3296</v>
      </c>
      <c r="B1480" t="s">
        <v>2931</v>
      </c>
      <c r="C1480">
        <v>3325</v>
      </c>
      <c r="D1480" t="str">
        <f>"EU030380219 "</f>
        <v xml:space="preserve">EU030380219 </v>
      </c>
      <c r="E1480" t="s">
        <v>479</v>
      </c>
      <c r="F1480" t="s">
        <v>480</v>
      </c>
      <c r="G1480">
        <v>2904.57</v>
      </c>
      <c r="H1480">
        <v>250228</v>
      </c>
      <c r="I1480">
        <v>4369</v>
      </c>
      <c r="J1480" t="s">
        <v>188</v>
      </c>
      <c r="K1480">
        <v>2904.57</v>
      </c>
      <c r="L1480">
        <v>590.16999999999996</v>
      </c>
      <c r="M1480">
        <v>11801</v>
      </c>
      <c r="N1480" t="s">
        <v>40</v>
      </c>
      <c r="O1480">
        <v>250318</v>
      </c>
      <c r="P1480">
        <v>2314.4</v>
      </c>
    </row>
    <row r="1481" spans="1:16" x14ac:dyDescent="0.25">
      <c r="A1481" t="s">
        <v>3296</v>
      </c>
      <c r="B1481" t="s">
        <v>2931</v>
      </c>
      <c r="C1481">
        <v>5031</v>
      </c>
      <c r="D1481" t="str">
        <f>"EU030385706 "</f>
        <v xml:space="preserve">EU030385706 </v>
      </c>
      <c r="E1481" t="s">
        <v>479</v>
      </c>
      <c r="F1481" t="s">
        <v>480</v>
      </c>
      <c r="G1481">
        <v>2074.84</v>
      </c>
      <c r="H1481">
        <v>250331</v>
      </c>
      <c r="I1481">
        <v>4369</v>
      </c>
      <c r="J1481" t="s">
        <v>188</v>
      </c>
      <c r="K1481">
        <v>2074.84</v>
      </c>
      <c r="L1481">
        <v>421.58</v>
      </c>
      <c r="M1481">
        <v>11801</v>
      </c>
      <c r="N1481" t="s">
        <v>40</v>
      </c>
      <c r="O1481">
        <v>250416</v>
      </c>
      <c r="P1481">
        <v>1653.26</v>
      </c>
    </row>
    <row r="1482" spans="1:16" x14ac:dyDescent="0.25">
      <c r="A1482" t="s">
        <v>3296</v>
      </c>
      <c r="B1482" t="s">
        <v>2931</v>
      </c>
      <c r="C1482">
        <v>6735</v>
      </c>
      <c r="D1482" t="str">
        <f>"EU030392038 "</f>
        <v xml:space="preserve">EU030392038 </v>
      </c>
      <c r="E1482" t="s">
        <v>479</v>
      </c>
      <c r="F1482" t="s">
        <v>480</v>
      </c>
      <c r="G1482">
        <v>1096.81</v>
      </c>
      <c r="H1482">
        <v>250430</v>
      </c>
      <c r="I1482">
        <v>4369</v>
      </c>
      <c r="J1482" t="s">
        <v>188</v>
      </c>
      <c r="K1482">
        <v>1096.81</v>
      </c>
      <c r="L1482">
        <v>222.86</v>
      </c>
      <c r="M1482">
        <v>11801</v>
      </c>
      <c r="N1482" t="s">
        <v>40</v>
      </c>
      <c r="O1482">
        <v>250516</v>
      </c>
      <c r="P1482">
        <v>873.95</v>
      </c>
    </row>
    <row r="1483" spans="1:16" x14ac:dyDescent="0.25">
      <c r="A1483" t="s">
        <v>3296</v>
      </c>
      <c r="B1483" t="s">
        <v>2931</v>
      </c>
      <c r="C1483">
        <v>8434</v>
      </c>
      <c r="D1483" t="str">
        <f>"EU030395897 "</f>
        <v xml:space="preserve">EU030395897 </v>
      </c>
      <c r="E1483" t="s">
        <v>479</v>
      </c>
      <c r="F1483" t="s">
        <v>480</v>
      </c>
      <c r="G1483">
        <v>992.12</v>
      </c>
      <c r="H1483">
        <v>250531</v>
      </c>
      <c r="I1483">
        <v>4369</v>
      </c>
      <c r="J1483" t="s">
        <v>188</v>
      </c>
      <c r="K1483">
        <v>992.12</v>
      </c>
      <c r="L1483">
        <v>201.59</v>
      </c>
      <c r="M1483">
        <v>11801</v>
      </c>
      <c r="N1483" t="s">
        <v>40</v>
      </c>
      <c r="O1483">
        <v>250613</v>
      </c>
      <c r="P1483">
        <v>790.53</v>
      </c>
    </row>
    <row r="1484" spans="1:16" x14ac:dyDescent="0.25">
      <c r="A1484" t="s">
        <v>3296</v>
      </c>
      <c r="B1484" t="s">
        <v>2931</v>
      </c>
      <c r="C1484">
        <v>9636</v>
      </c>
      <c r="D1484" t="str">
        <f>"EU030402403 "</f>
        <v xml:space="preserve">EU030402403 </v>
      </c>
      <c r="E1484" t="s">
        <v>479</v>
      </c>
      <c r="F1484" t="s">
        <v>480</v>
      </c>
      <c r="G1484">
        <v>1055.94</v>
      </c>
      <c r="H1484">
        <v>250630</v>
      </c>
      <c r="I1484">
        <v>4369</v>
      </c>
      <c r="J1484" t="s">
        <v>188</v>
      </c>
      <c r="K1484">
        <v>1055.94</v>
      </c>
      <c r="L1484">
        <v>214.55</v>
      </c>
      <c r="M1484">
        <v>11801</v>
      </c>
      <c r="N1484" t="s">
        <v>40</v>
      </c>
      <c r="O1484">
        <v>250723</v>
      </c>
      <c r="P1484">
        <v>841.39</v>
      </c>
    </row>
    <row r="1485" spans="1:16" x14ac:dyDescent="0.25">
      <c r="A1485" t="s">
        <v>3296</v>
      </c>
      <c r="B1485" t="s">
        <v>2931</v>
      </c>
      <c r="C1485">
        <v>10281</v>
      </c>
      <c r="D1485" t="str">
        <f>"EU030406252 "</f>
        <v xml:space="preserve">EU030406252 </v>
      </c>
      <c r="E1485" t="s">
        <v>479</v>
      </c>
      <c r="F1485" t="s">
        <v>480</v>
      </c>
      <c r="G1485">
        <v>395.9</v>
      </c>
      <c r="H1485">
        <v>250731</v>
      </c>
      <c r="I1485">
        <v>4369</v>
      </c>
      <c r="J1485" t="s">
        <v>188</v>
      </c>
      <c r="K1485">
        <v>395.9</v>
      </c>
      <c r="L1485">
        <v>80.44</v>
      </c>
      <c r="M1485">
        <v>11801</v>
      </c>
      <c r="N1485" t="s">
        <v>40</v>
      </c>
      <c r="O1485">
        <v>250813</v>
      </c>
      <c r="P1485">
        <v>315.45999999999998</v>
      </c>
    </row>
    <row r="1486" spans="1:16" x14ac:dyDescent="0.25">
      <c r="A1486" t="s">
        <v>3296</v>
      </c>
      <c r="B1486" t="s">
        <v>2931</v>
      </c>
      <c r="C1486">
        <v>12008</v>
      </c>
      <c r="D1486" t="str">
        <f>"EU030412061 "</f>
        <v xml:space="preserve">EU030412061 </v>
      </c>
      <c r="E1486" t="s">
        <v>479</v>
      </c>
      <c r="F1486" t="s">
        <v>480</v>
      </c>
      <c r="G1486">
        <v>834.79</v>
      </c>
      <c r="H1486">
        <v>250831</v>
      </c>
      <c r="I1486">
        <v>4369</v>
      </c>
      <c r="J1486" t="s">
        <v>188</v>
      </c>
      <c r="K1486">
        <v>834.79</v>
      </c>
      <c r="L1486">
        <v>169.62</v>
      </c>
      <c r="M1486">
        <v>11801</v>
      </c>
      <c r="N1486" t="s">
        <v>40</v>
      </c>
      <c r="O1486">
        <v>250915</v>
      </c>
      <c r="P1486">
        <v>665.17</v>
      </c>
    </row>
    <row r="1487" spans="1:16" x14ac:dyDescent="0.25">
      <c r="A1487" t="s">
        <v>3296</v>
      </c>
      <c r="B1487" t="s">
        <v>2931</v>
      </c>
      <c r="C1487">
        <v>13881</v>
      </c>
      <c r="D1487" t="str">
        <f>"EU030417365 "</f>
        <v xml:space="preserve">EU030417365 </v>
      </c>
      <c r="E1487" t="s">
        <v>479</v>
      </c>
      <c r="F1487" t="s">
        <v>480</v>
      </c>
      <c r="G1487">
        <v>847.25</v>
      </c>
      <c r="H1487">
        <v>251009</v>
      </c>
      <c r="I1487">
        <v>4369</v>
      </c>
      <c r="J1487" t="s">
        <v>188</v>
      </c>
      <c r="K1487">
        <v>847.25</v>
      </c>
      <c r="L1487">
        <v>172.15</v>
      </c>
      <c r="M1487">
        <v>11801</v>
      </c>
      <c r="N1487" t="s">
        <v>40</v>
      </c>
      <c r="O1487">
        <v>251020</v>
      </c>
      <c r="P1487">
        <v>675.1</v>
      </c>
    </row>
    <row r="1488" spans="1:16" x14ac:dyDescent="0.25">
      <c r="A1488" t="s">
        <v>3296</v>
      </c>
      <c r="B1488" t="s">
        <v>2931</v>
      </c>
      <c r="C1488">
        <v>15222</v>
      </c>
      <c r="D1488" t="str">
        <f>"EU030423281 "</f>
        <v xml:space="preserve">EU030423281 </v>
      </c>
      <c r="E1488" t="s">
        <v>479</v>
      </c>
      <c r="F1488" t="s">
        <v>480</v>
      </c>
      <c r="G1488">
        <v>4338.0600000000004</v>
      </c>
      <c r="H1488">
        <v>251031</v>
      </c>
      <c r="I1488">
        <v>4369</v>
      </c>
      <c r="J1488" t="s">
        <v>188</v>
      </c>
      <c r="K1488">
        <v>4338.0600000000004</v>
      </c>
      <c r="L1488">
        <v>881.44</v>
      </c>
      <c r="M1488">
        <v>11801</v>
      </c>
      <c r="N1488" t="s">
        <v>40</v>
      </c>
      <c r="O1488">
        <v>251114</v>
      </c>
      <c r="P1488">
        <v>3456.62</v>
      </c>
    </row>
    <row r="1489" spans="1:16" x14ac:dyDescent="0.25">
      <c r="A1489" t="s">
        <v>3296</v>
      </c>
      <c r="B1489" t="s">
        <v>2931</v>
      </c>
      <c r="C1489">
        <v>16427</v>
      </c>
      <c r="D1489" t="str">
        <f>"EU030427442 "</f>
        <v xml:space="preserve">EU030427442 </v>
      </c>
      <c r="E1489" t="s">
        <v>479</v>
      </c>
      <c r="F1489" t="s">
        <v>480</v>
      </c>
      <c r="G1489">
        <v>1266.03</v>
      </c>
      <c r="H1489">
        <v>251130</v>
      </c>
      <c r="I1489">
        <v>4369</v>
      </c>
      <c r="J1489" t="s">
        <v>188</v>
      </c>
      <c r="K1489">
        <v>1266.03</v>
      </c>
      <c r="L1489">
        <v>257.24</v>
      </c>
      <c r="M1489">
        <v>11801</v>
      </c>
      <c r="N1489" t="s">
        <v>40</v>
      </c>
      <c r="O1489">
        <v>251208</v>
      </c>
      <c r="P1489">
        <v>1008.79</v>
      </c>
    </row>
    <row r="1490" spans="1:16" x14ac:dyDescent="0.25">
      <c r="A1490" t="s">
        <v>3296</v>
      </c>
      <c r="B1490" t="s">
        <v>2931</v>
      </c>
      <c r="C1490">
        <v>18379</v>
      </c>
      <c r="D1490" t="str">
        <f>"EU030436290 "</f>
        <v xml:space="preserve">EU030436290 </v>
      </c>
      <c r="E1490" t="s">
        <v>479</v>
      </c>
      <c r="F1490" t="s">
        <v>480</v>
      </c>
      <c r="G1490">
        <v>758.92</v>
      </c>
      <c r="H1490">
        <v>251231</v>
      </c>
      <c r="I1490">
        <v>4369</v>
      </c>
      <c r="J1490" t="s">
        <v>188</v>
      </c>
      <c r="K1490">
        <v>758.92</v>
      </c>
      <c r="L1490">
        <v>154.19999999999999</v>
      </c>
      <c r="M1490">
        <v>11801</v>
      </c>
      <c r="N1490" t="s">
        <v>40</v>
      </c>
      <c r="O1490">
        <v>260113</v>
      </c>
      <c r="P1490">
        <v>604.72</v>
      </c>
    </row>
    <row r="1491" spans="1:16" x14ac:dyDescent="0.25">
      <c r="A1491" t="s">
        <v>3296</v>
      </c>
      <c r="B1491" t="s">
        <v>2931</v>
      </c>
      <c r="C1491">
        <v>10738</v>
      </c>
      <c r="D1491" t="str">
        <f>"9312940563  "</f>
        <v xml:space="preserve">9312940563  </v>
      </c>
      <c r="E1491" t="s">
        <v>1695</v>
      </c>
      <c r="F1491" t="s">
        <v>1696</v>
      </c>
      <c r="G1491">
        <v>527.1</v>
      </c>
      <c r="H1491">
        <v>250819</v>
      </c>
      <c r="I1491">
        <v>4555</v>
      </c>
      <c r="J1491" t="s">
        <v>352</v>
      </c>
      <c r="K1491">
        <v>527.1</v>
      </c>
      <c r="L1491">
        <v>107.1</v>
      </c>
      <c r="M1491">
        <v>56558</v>
      </c>
      <c r="N1491" t="s">
        <v>50</v>
      </c>
      <c r="O1491">
        <v>250821</v>
      </c>
      <c r="P1491">
        <v>420</v>
      </c>
    </row>
    <row r="1492" spans="1:16" x14ac:dyDescent="0.25">
      <c r="A1492" t="s">
        <v>3296</v>
      </c>
      <c r="B1492" t="s">
        <v>2931</v>
      </c>
      <c r="C1492">
        <v>5223</v>
      </c>
      <c r="D1492" t="str">
        <f>"9312939868  "</f>
        <v xml:space="preserve">9312939868  </v>
      </c>
      <c r="E1492" t="s">
        <v>1695</v>
      </c>
      <c r="F1492" t="s">
        <v>1696</v>
      </c>
      <c r="G1492">
        <v>263.55</v>
      </c>
      <c r="H1492">
        <v>250319</v>
      </c>
      <c r="I1492">
        <v>4560</v>
      </c>
      <c r="J1492" t="s">
        <v>390</v>
      </c>
      <c r="K1492">
        <v>263.55</v>
      </c>
      <c r="L1492">
        <v>53.55</v>
      </c>
      <c r="M1492">
        <v>56558</v>
      </c>
      <c r="N1492" t="s">
        <v>50</v>
      </c>
      <c r="O1492">
        <v>250422</v>
      </c>
      <c r="P1492">
        <v>210</v>
      </c>
    </row>
    <row r="1493" spans="1:16" x14ac:dyDescent="0.25">
      <c r="A1493" t="s">
        <v>3296</v>
      </c>
      <c r="B1493" t="s">
        <v>2931</v>
      </c>
      <c r="C1493">
        <v>26</v>
      </c>
      <c r="D1493" t="str">
        <f>"5009593     "</f>
        <v xml:space="preserve">5009593     </v>
      </c>
      <c r="E1493" t="s">
        <v>8</v>
      </c>
      <c r="F1493" t="s">
        <v>11</v>
      </c>
      <c r="G1493">
        <v>5235.78</v>
      </c>
      <c r="H1493">
        <v>250101</v>
      </c>
      <c r="I1493">
        <v>4366</v>
      </c>
      <c r="J1493" t="s">
        <v>65</v>
      </c>
      <c r="K1493">
        <v>5316.36</v>
      </c>
      <c r="L1493">
        <v>1063.8399999999999</v>
      </c>
      <c r="M1493">
        <v>13501</v>
      </c>
      <c r="N1493" t="s">
        <v>66</v>
      </c>
      <c r="O1493">
        <v>241231</v>
      </c>
      <c r="P1493">
        <v>4171.9399999999996</v>
      </c>
    </row>
    <row r="1494" spans="1:16" x14ac:dyDescent="0.25">
      <c r="A1494" t="s">
        <v>3296</v>
      </c>
      <c r="B1494" t="s">
        <v>2931</v>
      </c>
      <c r="C1494">
        <v>26</v>
      </c>
      <c r="D1494" t="str">
        <f>"5009593     "</f>
        <v xml:space="preserve">5009593     </v>
      </c>
      <c r="E1494" t="s">
        <v>8</v>
      </c>
      <c r="F1494" t="s">
        <v>11</v>
      </c>
      <c r="G1494">
        <v>80.58</v>
      </c>
      <c r="H1494">
        <v>250101</v>
      </c>
      <c r="I1494">
        <v>4366</v>
      </c>
      <c r="J1494" t="s">
        <v>65</v>
      </c>
      <c r="K1494">
        <v>5316.36</v>
      </c>
      <c r="L1494">
        <v>16.37</v>
      </c>
      <c r="M1494">
        <v>13501</v>
      </c>
      <c r="N1494" t="s">
        <v>66</v>
      </c>
      <c r="O1494">
        <v>241231</v>
      </c>
      <c r="P1494">
        <v>64.209999999999994</v>
      </c>
    </row>
    <row r="1495" spans="1:16" x14ac:dyDescent="0.25">
      <c r="A1495" t="s">
        <v>3296</v>
      </c>
      <c r="B1495" t="s">
        <v>2931</v>
      </c>
      <c r="C1495">
        <v>38</v>
      </c>
      <c r="D1495" t="str">
        <f>"5009616     "</f>
        <v xml:space="preserve">5009616     </v>
      </c>
      <c r="E1495" t="s">
        <v>8</v>
      </c>
      <c r="F1495" t="s">
        <v>11</v>
      </c>
      <c r="G1495">
        <v>13.88</v>
      </c>
      <c r="H1495">
        <v>250101</v>
      </c>
      <c r="I1495">
        <v>4366</v>
      </c>
      <c r="J1495" t="s">
        <v>65</v>
      </c>
      <c r="K1495">
        <v>13.88</v>
      </c>
      <c r="L1495">
        <v>2.82</v>
      </c>
      <c r="M1495">
        <v>13501</v>
      </c>
      <c r="N1495" t="s">
        <v>66</v>
      </c>
      <c r="O1495">
        <v>241231</v>
      </c>
      <c r="P1495">
        <v>11.06</v>
      </c>
    </row>
    <row r="1496" spans="1:16" x14ac:dyDescent="0.25">
      <c r="A1496" t="s">
        <v>3296</v>
      </c>
      <c r="B1496" t="s">
        <v>2931</v>
      </c>
      <c r="C1496">
        <v>3729</v>
      </c>
      <c r="D1496" t="str">
        <f>"5011619     "</f>
        <v xml:space="preserve">5011619     </v>
      </c>
      <c r="E1496" t="s">
        <v>8</v>
      </c>
      <c r="F1496" t="s">
        <v>11</v>
      </c>
      <c r="G1496">
        <v>13.88</v>
      </c>
      <c r="H1496">
        <v>250401</v>
      </c>
      <c r="I1496">
        <v>4366</v>
      </c>
      <c r="J1496" t="s">
        <v>65</v>
      </c>
      <c r="K1496">
        <v>13.88</v>
      </c>
      <c r="L1496">
        <v>2.82</v>
      </c>
      <c r="M1496">
        <v>13501</v>
      </c>
      <c r="N1496" t="s">
        <v>66</v>
      </c>
      <c r="O1496">
        <v>250401</v>
      </c>
      <c r="P1496">
        <v>11.06</v>
      </c>
    </row>
    <row r="1497" spans="1:16" x14ac:dyDescent="0.25">
      <c r="A1497" t="s">
        <v>3296</v>
      </c>
      <c r="B1497" t="s">
        <v>2931</v>
      </c>
      <c r="C1497">
        <v>3737</v>
      </c>
      <c r="D1497" t="str">
        <f>"5011602     "</f>
        <v xml:space="preserve">5011602     </v>
      </c>
      <c r="E1497" t="s">
        <v>8</v>
      </c>
      <c r="F1497" t="s">
        <v>11</v>
      </c>
      <c r="G1497">
        <v>5351.38</v>
      </c>
      <c r="H1497">
        <v>250401</v>
      </c>
      <c r="I1497">
        <v>4366</v>
      </c>
      <c r="J1497" t="s">
        <v>65</v>
      </c>
      <c r="K1497">
        <v>5598.88</v>
      </c>
      <c r="L1497">
        <v>1087.33</v>
      </c>
      <c r="M1497">
        <v>13501</v>
      </c>
      <c r="N1497" t="s">
        <v>66</v>
      </c>
      <c r="O1497">
        <v>250401</v>
      </c>
      <c r="P1497">
        <v>4264.05</v>
      </c>
    </row>
    <row r="1498" spans="1:16" x14ac:dyDescent="0.25">
      <c r="A1498" t="s">
        <v>3296</v>
      </c>
      <c r="B1498" t="s">
        <v>2931</v>
      </c>
      <c r="C1498">
        <v>3737</v>
      </c>
      <c r="D1498" t="str">
        <f>"5011602     "</f>
        <v xml:space="preserve">5011602     </v>
      </c>
      <c r="E1498" t="s">
        <v>8</v>
      </c>
      <c r="F1498" t="s">
        <v>11</v>
      </c>
      <c r="G1498">
        <v>247.5</v>
      </c>
      <c r="H1498">
        <v>250401</v>
      </c>
      <c r="I1498">
        <v>4366</v>
      </c>
      <c r="J1498" t="s">
        <v>65</v>
      </c>
      <c r="K1498">
        <v>5598.88</v>
      </c>
      <c r="L1498">
        <v>50.29</v>
      </c>
      <c r="M1498">
        <v>13501</v>
      </c>
      <c r="N1498" t="s">
        <v>66</v>
      </c>
      <c r="O1498">
        <v>250401</v>
      </c>
      <c r="P1498">
        <v>197.21</v>
      </c>
    </row>
    <row r="1499" spans="1:16" x14ac:dyDescent="0.25">
      <c r="A1499" t="s">
        <v>3296</v>
      </c>
      <c r="B1499" t="s">
        <v>2931</v>
      </c>
      <c r="C1499">
        <v>3771</v>
      </c>
      <c r="D1499" t="str">
        <f>"5011613     "</f>
        <v xml:space="preserve">5011613     </v>
      </c>
      <c r="E1499" t="s">
        <v>8</v>
      </c>
      <c r="F1499" t="s">
        <v>11</v>
      </c>
      <c r="G1499">
        <v>57.81</v>
      </c>
      <c r="H1499">
        <v>250401</v>
      </c>
      <c r="I1499">
        <v>4366</v>
      </c>
      <c r="J1499" t="s">
        <v>65</v>
      </c>
      <c r="K1499">
        <v>57.81</v>
      </c>
      <c r="L1499">
        <v>11.75</v>
      </c>
      <c r="M1499">
        <v>13201</v>
      </c>
      <c r="N1499" t="s">
        <v>269</v>
      </c>
      <c r="O1499">
        <v>250401</v>
      </c>
      <c r="P1499">
        <v>46.06</v>
      </c>
    </row>
    <row r="1500" spans="1:16" x14ac:dyDescent="0.25">
      <c r="A1500" t="s">
        <v>3296</v>
      </c>
      <c r="B1500" t="s">
        <v>2931</v>
      </c>
      <c r="C1500">
        <v>3799</v>
      </c>
      <c r="D1500" t="str">
        <f>"5011612     "</f>
        <v xml:space="preserve">5011612     </v>
      </c>
      <c r="E1500" t="s">
        <v>8</v>
      </c>
      <c r="F1500" t="s">
        <v>11</v>
      </c>
      <c r="G1500">
        <v>365.35</v>
      </c>
      <c r="H1500">
        <v>250401</v>
      </c>
      <c r="I1500">
        <v>4366</v>
      </c>
      <c r="J1500" t="s">
        <v>65</v>
      </c>
      <c r="K1500">
        <v>588.87</v>
      </c>
      <c r="L1500">
        <v>74.23</v>
      </c>
      <c r="M1500">
        <v>13921</v>
      </c>
      <c r="N1500" t="s">
        <v>325</v>
      </c>
      <c r="O1500">
        <v>250401</v>
      </c>
      <c r="P1500">
        <v>291.12</v>
      </c>
    </row>
    <row r="1501" spans="1:16" x14ac:dyDescent="0.25">
      <c r="A1501" t="s">
        <v>3296</v>
      </c>
      <c r="B1501" t="s">
        <v>2931</v>
      </c>
      <c r="C1501">
        <v>54</v>
      </c>
      <c r="D1501" t="str">
        <f t="shared" ref="D1501:D1507" si="32">"5009591     "</f>
        <v xml:space="preserve">5009591     </v>
      </c>
      <c r="E1501" t="s">
        <v>8</v>
      </c>
      <c r="F1501" t="s">
        <v>11</v>
      </c>
      <c r="G1501">
        <v>606.44000000000005</v>
      </c>
      <c r="H1501">
        <v>250101</v>
      </c>
      <c r="I1501">
        <v>4580</v>
      </c>
      <c r="J1501" t="s">
        <v>126</v>
      </c>
      <c r="K1501">
        <v>6937.93</v>
      </c>
      <c r="L1501">
        <v>123.22</v>
      </c>
      <c r="M1501">
        <v>16121</v>
      </c>
      <c r="N1501" t="s">
        <v>127</v>
      </c>
      <c r="O1501">
        <v>250102</v>
      </c>
      <c r="P1501">
        <v>483.22</v>
      </c>
    </row>
    <row r="1502" spans="1:16" x14ac:dyDescent="0.25">
      <c r="A1502" t="s">
        <v>3296</v>
      </c>
      <c r="B1502" t="s">
        <v>2931</v>
      </c>
      <c r="C1502">
        <v>54</v>
      </c>
      <c r="D1502" t="str">
        <f t="shared" si="32"/>
        <v xml:space="preserve">5009591     </v>
      </c>
      <c r="E1502" t="s">
        <v>8</v>
      </c>
      <c r="F1502" t="s">
        <v>11</v>
      </c>
      <c r="G1502">
        <v>5320.47</v>
      </c>
      <c r="H1502">
        <v>250101</v>
      </c>
      <c r="I1502">
        <v>4580</v>
      </c>
      <c r="J1502" t="s">
        <v>126</v>
      </c>
      <c r="K1502">
        <v>6937.93</v>
      </c>
      <c r="L1502">
        <v>1081.05</v>
      </c>
      <c r="M1502">
        <v>16820</v>
      </c>
      <c r="N1502" t="s">
        <v>128</v>
      </c>
      <c r="O1502">
        <v>250102</v>
      </c>
      <c r="P1502">
        <v>4239.42</v>
      </c>
    </row>
    <row r="1503" spans="1:16" x14ac:dyDescent="0.25">
      <c r="A1503" t="s">
        <v>3296</v>
      </c>
      <c r="B1503" t="s">
        <v>2931</v>
      </c>
      <c r="C1503">
        <v>54</v>
      </c>
      <c r="D1503" t="str">
        <f t="shared" si="32"/>
        <v xml:space="preserve">5009591     </v>
      </c>
      <c r="E1503" t="s">
        <v>8</v>
      </c>
      <c r="F1503" t="s">
        <v>11</v>
      </c>
      <c r="G1503">
        <v>12.44</v>
      </c>
      <c r="H1503">
        <v>250101</v>
      </c>
      <c r="I1503">
        <v>4580</v>
      </c>
      <c r="J1503" t="s">
        <v>126</v>
      </c>
      <c r="K1503">
        <v>6937.93</v>
      </c>
      <c r="L1503">
        <v>2.5299999999999998</v>
      </c>
      <c r="M1503">
        <v>17538</v>
      </c>
      <c r="N1503" t="s">
        <v>129</v>
      </c>
      <c r="O1503">
        <v>250102</v>
      </c>
      <c r="P1503">
        <v>9.91</v>
      </c>
    </row>
    <row r="1504" spans="1:16" x14ac:dyDescent="0.25">
      <c r="A1504" t="s">
        <v>3296</v>
      </c>
      <c r="B1504" t="s">
        <v>2931</v>
      </c>
      <c r="C1504">
        <v>54</v>
      </c>
      <c r="D1504" t="str">
        <f t="shared" si="32"/>
        <v xml:space="preserve">5009591     </v>
      </c>
      <c r="E1504" t="s">
        <v>8</v>
      </c>
      <c r="F1504" t="s">
        <v>11</v>
      </c>
      <c r="G1504">
        <v>83.5</v>
      </c>
      <c r="H1504">
        <v>250101</v>
      </c>
      <c r="I1504">
        <v>4580</v>
      </c>
      <c r="J1504" t="s">
        <v>126</v>
      </c>
      <c r="K1504">
        <v>6937.93</v>
      </c>
      <c r="L1504">
        <v>16.97</v>
      </c>
      <c r="M1504">
        <v>17862</v>
      </c>
      <c r="N1504" t="s">
        <v>130</v>
      </c>
      <c r="O1504">
        <v>250102</v>
      </c>
      <c r="P1504">
        <v>66.53</v>
      </c>
    </row>
    <row r="1505" spans="1:16" x14ac:dyDescent="0.25">
      <c r="A1505" t="s">
        <v>3296</v>
      </c>
      <c r="B1505" t="s">
        <v>2931</v>
      </c>
      <c r="C1505">
        <v>54</v>
      </c>
      <c r="D1505" t="str">
        <f t="shared" si="32"/>
        <v xml:space="preserve">5009591     </v>
      </c>
      <c r="E1505" t="s">
        <v>8</v>
      </c>
      <c r="F1505" t="s">
        <v>11</v>
      </c>
      <c r="G1505">
        <v>617.98</v>
      </c>
      <c r="H1505">
        <v>250101</v>
      </c>
      <c r="I1505">
        <v>4580</v>
      </c>
      <c r="J1505" t="s">
        <v>126</v>
      </c>
      <c r="K1505">
        <v>6937.93</v>
      </c>
      <c r="L1505">
        <v>125.57</v>
      </c>
      <c r="M1505">
        <v>17862</v>
      </c>
      <c r="N1505" t="s">
        <v>130</v>
      </c>
      <c r="O1505">
        <v>250102</v>
      </c>
      <c r="P1505">
        <v>492.41</v>
      </c>
    </row>
    <row r="1506" spans="1:16" x14ac:dyDescent="0.25">
      <c r="A1506" t="s">
        <v>3296</v>
      </c>
      <c r="B1506" t="s">
        <v>2931</v>
      </c>
      <c r="C1506">
        <v>54</v>
      </c>
      <c r="D1506" t="str">
        <f t="shared" si="32"/>
        <v xml:space="preserve">5009591     </v>
      </c>
      <c r="E1506" t="s">
        <v>8</v>
      </c>
      <c r="F1506" t="s">
        <v>11</v>
      </c>
      <c r="G1506">
        <v>108.57</v>
      </c>
      <c r="H1506">
        <v>250101</v>
      </c>
      <c r="I1506">
        <v>4580</v>
      </c>
      <c r="J1506" t="s">
        <v>126</v>
      </c>
      <c r="K1506">
        <v>6937.93</v>
      </c>
      <c r="L1506">
        <v>22.06</v>
      </c>
      <c r="M1506">
        <v>17971</v>
      </c>
      <c r="N1506" t="s">
        <v>27</v>
      </c>
      <c r="O1506">
        <v>250102</v>
      </c>
      <c r="P1506">
        <v>86.51</v>
      </c>
    </row>
    <row r="1507" spans="1:16" x14ac:dyDescent="0.25">
      <c r="A1507" t="s">
        <v>3296</v>
      </c>
      <c r="B1507" t="s">
        <v>2931</v>
      </c>
      <c r="C1507">
        <v>54</v>
      </c>
      <c r="D1507" t="str">
        <f t="shared" si="32"/>
        <v xml:space="preserve">5009591     </v>
      </c>
      <c r="E1507" t="s">
        <v>8</v>
      </c>
      <c r="F1507" t="s">
        <v>11</v>
      </c>
      <c r="G1507">
        <v>188.53</v>
      </c>
      <c r="H1507">
        <v>250101</v>
      </c>
      <c r="I1507">
        <v>4580</v>
      </c>
      <c r="J1507" t="s">
        <v>126</v>
      </c>
      <c r="K1507">
        <v>6937.93</v>
      </c>
      <c r="L1507">
        <v>38.31</v>
      </c>
      <c r="M1507">
        <v>17972</v>
      </c>
      <c r="N1507" t="s">
        <v>28</v>
      </c>
      <c r="O1507">
        <v>250102</v>
      </c>
      <c r="P1507">
        <v>150.22</v>
      </c>
    </row>
    <row r="1508" spans="1:16" x14ac:dyDescent="0.25">
      <c r="A1508" t="s">
        <v>3296</v>
      </c>
      <c r="B1508" t="s">
        <v>2931</v>
      </c>
      <c r="C1508">
        <v>3776</v>
      </c>
      <c r="D1508" t="str">
        <f t="shared" ref="D1508:D1514" si="33">"5011621     "</f>
        <v xml:space="preserve">5011621     </v>
      </c>
      <c r="E1508" t="s">
        <v>8</v>
      </c>
      <c r="F1508" t="s">
        <v>11</v>
      </c>
      <c r="G1508">
        <v>630.69000000000005</v>
      </c>
      <c r="H1508">
        <v>250401</v>
      </c>
      <c r="I1508">
        <v>4580</v>
      </c>
      <c r="J1508" t="s">
        <v>126</v>
      </c>
      <c r="K1508">
        <v>6962.18</v>
      </c>
      <c r="L1508">
        <v>128.15</v>
      </c>
      <c r="M1508">
        <v>16121</v>
      </c>
      <c r="N1508" t="s">
        <v>127</v>
      </c>
      <c r="O1508">
        <v>250401</v>
      </c>
      <c r="P1508">
        <v>502.54</v>
      </c>
    </row>
    <row r="1509" spans="1:16" x14ac:dyDescent="0.25">
      <c r="A1509" t="s">
        <v>3296</v>
      </c>
      <c r="B1509" t="s">
        <v>2931</v>
      </c>
      <c r="C1509">
        <v>3776</v>
      </c>
      <c r="D1509" t="str">
        <f t="shared" si="33"/>
        <v xml:space="preserve">5011621     </v>
      </c>
      <c r="E1509" t="s">
        <v>8</v>
      </c>
      <c r="F1509" t="s">
        <v>11</v>
      </c>
      <c r="G1509">
        <v>5320.47</v>
      </c>
      <c r="H1509">
        <v>250401</v>
      </c>
      <c r="I1509">
        <v>4580</v>
      </c>
      <c r="J1509" t="s">
        <v>126</v>
      </c>
      <c r="K1509">
        <v>6962.18</v>
      </c>
      <c r="L1509">
        <v>1081.05</v>
      </c>
      <c r="M1509">
        <v>16820</v>
      </c>
      <c r="N1509" t="s">
        <v>128</v>
      </c>
      <c r="O1509">
        <v>250401</v>
      </c>
      <c r="P1509">
        <v>4239.42</v>
      </c>
    </row>
    <row r="1510" spans="1:16" x14ac:dyDescent="0.25">
      <c r="A1510" t="s">
        <v>3296</v>
      </c>
      <c r="B1510" t="s">
        <v>2931</v>
      </c>
      <c r="C1510">
        <v>3776</v>
      </c>
      <c r="D1510" t="str">
        <f t="shared" si="33"/>
        <v xml:space="preserve">5011621     </v>
      </c>
      <c r="E1510" t="s">
        <v>8</v>
      </c>
      <c r="F1510" t="s">
        <v>11</v>
      </c>
      <c r="G1510">
        <v>12.44</v>
      </c>
      <c r="H1510">
        <v>250401</v>
      </c>
      <c r="I1510">
        <v>4580</v>
      </c>
      <c r="J1510" t="s">
        <v>126</v>
      </c>
      <c r="K1510">
        <v>6962.18</v>
      </c>
      <c r="L1510">
        <v>2.5299999999999998</v>
      </c>
      <c r="M1510">
        <v>17538</v>
      </c>
      <c r="N1510" t="s">
        <v>129</v>
      </c>
      <c r="O1510">
        <v>250401</v>
      </c>
      <c r="P1510">
        <v>9.91</v>
      </c>
    </row>
    <row r="1511" spans="1:16" x14ac:dyDescent="0.25">
      <c r="A1511" t="s">
        <v>3296</v>
      </c>
      <c r="B1511" t="s">
        <v>2931</v>
      </c>
      <c r="C1511">
        <v>3776</v>
      </c>
      <c r="D1511" t="str">
        <f t="shared" si="33"/>
        <v xml:space="preserve">5011621     </v>
      </c>
      <c r="E1511" t="s">
        <v>8</v>
      </c>
      <c r="F1511" t="s">
        <v>11</v>
      </c>
      <c r="G1511">
        <v>83.49</v>
      </c>
      <c r="H1511">
        <v>250401</v>
      </c>
      <c r="I1511">
        <v>4580</v>
      </c>
      <c r="J1511" t="s">
        <v>126</v>
      </c>
      <c r="K1511">
        <v>6962.18</v>
      </c>
      <c r="L1511">
        <v>16.96</v>
      </c>
      <c r="M1511">
        <v>17862</v>
      </c>
      <c r="N1511" t="s">
        <v>130</v>
      </c>
      <c r="O1511">
        <v>250401</v>
      </c>
      <c r="P1511">
        <v>66.53</v>
      </c>
    </row>
    <row r="1512" spans="1:16" x14ac:dyDescent="0.25">
      <c r="A1512" t="s">
        <v>3296</v>
      </c>
      <c r="B1512" t="s">
        <v>2931</v>
      </c>
      <c r="C1512">
        <v>3776</v>
      </c>
      <c r="D1512" t="str">
        <f t="shared" si="33"/>
        <v xml:space="preserve">5011621     </v>
      </c>
      <c r="E1512" t="s">
        <v>8</v>
      </c>
      <c r="F1512" t="s">
        <v>11</v>
      </c>
      <c r="G1512">
        <v>617.99</v>
      </c>
      <c r="H1512">
        <v>250401</v>
      </c>
      <c r="I1512">
        <v>4580</v>
      </c>
      <c r="J1512" t="s">
        <v>126</v>
      </c>
      <c r="K1512">
        <v>6962.18</v>
      </c>
      <c r="L1512">
        <v>125.57</v>
      </c>
      <c r="M1512">
        <v>17862</v>
      </c>
      <c r="N1512" t="s">
        <v>130</v>
      </c>
      <c r="O1512">
        <v>250401</v>
      </c>
      <c r="P1512">
        <v>492.42</v>
      </c>
    </row>
    <row r="1513" spans="1:16" x14ac:dyDescent="0.25">
      <c r="A1513" t="s">
        <v>3296</v>
      </c>
      <c r="B1513" t="s">
        <v>2931</v>
      </c>
      <c r="C1513">
        <v>3776</v>
      </c>
      <c r="D1513" t="str">
        <f t="shared" si="33"/>
        <v xml:space="preserve">5011621     </v>
      </c>
      <c r="E1513" t="s">
        <v>8</v>
      </c>
      <c r="F1513" t="s">
        <v>11</v>
      </c>
      <c r="G1513">
        <v>108.57</v>
      </c>
      <c r="H1513">
        <v>250401</v>
      </c>
      <c r="I1513">
        <v>4580</v>
      </c>
      <c r="J1513" t="s">
        <v>126</v>
      </c>
      <c r="K1513">
        <v>6962.18</v>
      </c>
      <c r="L1513">
        <v>22.06</v>
      </c>
      <c r="M1513">
        <v>17971</v>
      </c>
      <c r="N1513" t="s">
        <v>27</v>
      </c>
      <c r="O1513">
        <v>250401</v>
      </c>
      <c r="P1513">
        <v>86.51</v>
      </c>
    </row>
    <row r="1514" spans="1:16" x14ac:dyDescent="0.25">
      <c r="A1514" t="s">
        <v>3296</v>
      </c>
      <c r="B1514" t="s">
        <v>2931</v>
      </c>
      <c r="C1514">
        <v>3776</v>
      </c>
      <c r="D1514" t="str">
        <f t="shared" si="33"/>
        <v xml:space="preserve">5011621     </v>
      </c>
      <c r="E1514" t="s">
        <v>8</v>
      </c>
      <c r="F1514" t="s">
        <v>11</v>
      </c>
      <c r="G1514">
        <v>188.53</v>
      </c>
      <c r="H1514">
        <v>250401</v>
      </c>
      <c r="I1514">
        <v>4580</v>
      </c>
      <c r="J1514" t="s">
        <v>126</v>
      </c>
      <c r="K1514">
        <v>6962.18</v>
      </c>
      <c r="L1514">
        <v>38.31</v>
      </c>
      <c r="M1514">
        <v>17972</v>
      </c>
      <c r="N1514" t="s">
        <v>28</v>
      </c>
      <c r="O1514">
        <v>250401</v>
      </c>
      <c r="P1514">
        <v>150.22</v>
      </c>
    </row>
    <row r="1515" spans="1:16" x14ac:dyDescent="0.25">
      <c r="A1515" t="s">
        <v>3296</v>
      </c>
      <c r="B1515" t="s">
        <v>2931</v>
      </c>
      <c r="C1515">
        <v>3799</v>
      </c>
      <c r="D1515" t="str">
        <f t="shared" ref="D1515:D1520" si="34">"5011612     "</f>
        <v xml:space="preserve">5011612     </v>
      </c>
      <c r="E1515" t="s">
        <v>8</v>
      </c>
      <c r="F1515" t="s">
        <v>11</v>
      </c>
      <c r="G1515">
        <v>41.55</v>
      </c>
      <c r="H1515">
        <v>250401</v>
      </c>
      <c r="I1515">
        <v>4580</v>
      </c>
      <c r="J1515" t="s">
        <v>126</v>
      </c>
      <c r="K1515">
        <v>588.87</v>
      </c>
      <c r="L1515">
        <v>8.44</v>
      </c>
      <c r="M1515">
        <v>13901</v>
      </c>
      <c r="N1515" t="s">
        <v>116</v>
      </c>
      <c r="O1515">
        <v>250401</v>
      </c>
      <c r="P1515">
        <v>33.11</v>
      </c>
    </row>
    <row r="1516" spans="1:16" x14ac:dyDescent="0.25">
      <c r="A1516" t="s">
        <v>3296</v>
      </c>
      <c r="B1516" t="s">
        <v>2931</v>
      </c>
      <c r="C1516">
        <v>3799</v>
      </c>
      <c r="D1516" t="str">
        <f t="shared" si="34"/>
        <v xml:space="preserve">5011612     </v>
      </c>
      <c r="E1516" t="s">
        <v>8</v>
      </c>
      <c r="F1516" t="s">
        <v>11</v>
      </c>
      <c r="G1516">
        <v>20.22</v>
      </c>
      <c r="H1516">
        <v>250401</v>
      </c>
      <c r="I1516">
        <v>4580</v>
      </c>
      <c r="J1516" t="s">
        <v>126</v>
      </c>
      <c r="K1516">
        <v>588.87</v>
      </c>
      <c r="L1516">
        <v>4.1100000000000003</v>
      </c>
      <c r="M1516">
        <v>13901</v>
      </c>
      <c r="N1516" t="s">
        <v>116</v>
      </c>
      <c r="O1516">
        <v>250401</v>
      </c>
      <c r="P1516">
        <v>16.11</v>
      </c>
    </row>
    <row r="1517" spans="1:16" x14ac:dyDescent="0.25">
      <c r="A1517" t="s">
        <v>3296</v>
      </c>
      <c r="B1517" t="s">
        <v>2931</v>
      </c>
      <c r="C1517">
        <v>3799</v>
      </c>
      <c r="D1517" t="str">
        <f t="shared" si="34"/>
        <v xml:space="preserve">5011612     </v>
      </c>
      <c r="E1517" t="s">
        <v>8</v>
      </c>
      <c r="F1517" t="s">
        <v>11</v>
      </c>
      <c r="G1517">
        <v>40.44</v>
      </c>
      <c r="H1517">
        <v>250401</v>
      </c>
      <c r="I1517">
        <v>4580</v>
      </c>
      <c r="J1517" t="s">
        <v>126</v>
      </c>
      <c r="K1517">
        <v>588.87</v>
      </c>
      <c r="L1517">
        <v>8.2200000000000006</v>
      </c>
      <c r="M1517">
        <v>13901</v>
      </c>
      <c r="N1517" t="s">
        <v>116</v>
      </c>
      <c r="O1517">
        <v>250401</v>
      </c>
      <c r="P1517">
        <v>32.22</v>
      </c>
    </row>
    <row r="1518" spans="1:16" x14ac:dyDescent="0.25">
      <c r="A1518" t="s">
        <v>3296</v>
      </c>
      <c r="B1518" t="s">
        <v>2931</v>
      </c>
      <c r="C1518">
        <v>3799</v>
      </c>
      <c r="D1518" t="str">
        <f t="shared" si="34"/>
        <v xml:space="preserve">5011612     </v>
      </c>
      <c r="E1518" t="s">
        <v>8</v>
      </c>
      <c r="F1518" t="s">
        <v>11</v>
      </c>
      <c r="G1518">
        <v>20.22</v>
      </c>
      <c r="H1518">
        <v>250401</v>
      </c>
      <c r="I1518">
        <v>4580</v>
      </c>
      <c r="J1518" t="s">
        <v>126</v>
      </c>
      <c r="K1518">
        <v>588.87</v>
      </c>
      <c r="L1518">
        <v>4.1100000000000003</v>
      </c>
      <c r="M1518">
        <v>13901</v>
      </c>
      <c r="N1518" t="s">
        <v>116</v>
      </c>
      <c r="O1518">
        <v>250401</v>
      </c>
      <c r="P1518">
        <v>16.11</v>
      </c>
    </row>
    <row r="1519" spans="1:16" x14ac:dyDescent="0.25">
      <c r="A1519" t="s">
        <v>3296</v>
      </c>
      <c r="B1519" t="s">
        <v>2931</v>
      </c>
      <c r="C1519">
        <v>3799</v>
      </c>
      <c r="D1519" t="str">
        <f t="shared" si="34"/>
        <v xml:space="preserve">5011612     </v>
      </c>
      <c r="E1519" t="s">
        <v>8</v>
      </c>
      <c r="F1519" t="s">
        <v>11</v>
      </c>
      <c r="G1519">
        <v>20.22</v>
      </c>
      <c r="H1519">
        <v>250401</v>
      </c>
      <c r="I1519">
        <v>4580</v>
      </c>
      <c r="J1519" t="s">
        <v>126</v>
      </c>
      <c r="K1519">
        <v>588.87</v>
      </c>
      <c r="L1519">
        <v>4.1100000000000003</v>
      </c>
      <c r="M1519">
        <v>13901</v>
      </c>
      <c r="N1519" t="s">
        <v>116</v>
      </c>
      <c r="O1519">
        <v>250401</v>
      </c>
      <c r="P1519">
        <v>16.11</v>
      </c>
    </row>
    <row r="1520" spans="1:16" x14ac:dyDescent="0.25">
      <c r="A1520" t="s">
        <v>3296</v>
      </c>
      <c r="B1520" t="s">
        <v>2931</v>
      </c>
      <c r="C1520">
        <v>3799</v>
      </c>
      <c r="D1520" t="str">
        <f t="shared" si="34"/>
        <v xml:space="preserve">5011612     </v>
      </c>
      <c r="E1520" t="s">
        <v>8</v>
      </c>
      <c r="F1520" t="s">
        <v>11</v>
      </c>
      <c r="G1520">
        <v>80.87</v>
      </c>
      <c r="H1520">
        <v>250401</v>
      </c>
      <c r="I1520">
        <v>4580</v>
      </c>
      <c r="J1520" t="s">
        <v>126</v>
      </c>
      <c r="K1520">
        <v>588.87</v>
      </c>
      <c r="L1520">
        <v>16.43</v>
      </c>
      <c r="M1520">
        <v>13901</v>
      </c>
      <c r="N1520" t="s">
        <v>116</v>
      </c>
      <c r="O1520">
        <v>250401</v>
      </c>
      <c r="P1520">
        <v>64.44</v>
      </c>
    </row>
    <row r="1521" spans="1:16" x14ac:dyDescent="0.25">
      <c r="A1521" t="s">
        <v>3296</v>
      </c>
      <c r="B1521" t="s">
        <v>2931</v>
      </c>
      <c r="C1521">
        <v>8867</v>
      </c>
      <c r="D1521" t="str">
        <f t="shared" ref="D1521:D1527" si="35">"5013912     "</f>
        <v xml:space="preserve">5013912     </v>
      </c>
      <c r="E1521" t="s">
        <v>8</v>
      </c>
      <c r="F1521" t="s">
        <v>11</v>
      </c>
      <c r="G1521">
        <v>630.69000000000005</v>
      </c>
      <c r="H1521">
        <v>250701</v>
      </c>
      <c r="I1521">
        <v>4580</v>
      </c>
      <c r="J1521" t="s">
        <v>126</v>
      </c>
      <c r="K1521">
        <v>6962.18</v>
      </c>
      <c r="L1521">
        <v>128.15</v>
      </c>
      <c r="M1521">
        <v>16121</v>
      </c>
      <c r="N1521" t="s">
        <v>127</v>
      </c>
      <c r="O1521">
        <v>250618</v>
      </c>
      <c r="P1521">
        <v>502.54</v>
      </c>
    </row>
    <row r="1522" spans="1:16" x14ac:dyDescent="0.25">
      <c r="A1522" t="s">
        <v>3296</v>
      </c>
      <c r="B1522" t="s">
        <v>2931</v>
      </c>
      <c r="C1522">
        <v>8867</v>
      </c>
      <c r="D1522" t="str">
        <f t="shared" si="35"/>
        <v xml:space="preserve">5013912     </v>
      </c>
      <c r="E1522" t="s">
        <v>8</v>
      </c>
      <c r="F1522" t="s">
        <v>11</v>
      </c>
      <c r="G1522">
        <v>5320.47</v>
      </c>
      <c r="H1522">
        <v>250701</v>
      </c>
      <c r="I1522">
        <v>4580</v>
      </c>
      <c r="J1522" t="s">
        <v>126</v>
      </c>
      <c r="K1522">
        <v>6962.18</v>
      </c>
      <c r="L1522">
        <v>1081.05</v>
      </c>
      <c r="M1522">
        <v>16820</v>
      </c>
      <c r="N1522" t="s">
        <v>128</v>
      </c>
      <c r="O1522">
        <v>250618</v>
      </c>
      <c r="P1522">
        <v>4239.42</v>
      </c>
    </row>
    <row r="1523" spans="1:16" x14ac:dyDescent="0.25">
      <c r="A1523" t="s">
        <v>3296</v>
      </c>
      <c r="B1523" t="s">
        <v>2931</v>
      </c>
      <c r="C1523">
        <v>8867</v>
      </c>
      <c r="D1523" t="str">
        <f t="shared" si="35"/>
        <v xml:space="preserve">5013912     </v>
      </c>
      <c r="E1523" t="s">
        <v>8</v>
      </c>
      <c r="F1523" t="s">
        <v>11</v>
      </c>
      <c r="G1523">
        <v>12.44</v>
      </c>
      <c r="H1523">
        <v>250701</v>
      </c>
      <c r="I1523">
        <v>4580</v>
      </c>
      <c r="J1523" t="s">
        <v>126</v>
      </c>
      <c r="K1523">
        <v>6962.18</v>
      </c>
      <c r="L1523">
        <v>2.5299999999999998</v>
      </c>
      <c r="M1523">
        <v>17538</v>
      </c>
      <c r="N1523" t="s">
        <v>129</v>
      </c>
      <c r="O1523">
        <v>250618</v>
      </c>
      <c r="P1523">
        <v>9.91</v>
      </c>
    </row>
    <row r="1524" spans="1:16" x14ac:dyDescent="0.25">
      <c r="A1524" t="s">
        <v>3296</v>
      </c>
      <c r="B1524" t="s">
        <v>2931</v>
      </c>
      <c r="C1524">
        <v>8867</v>
      </c>
      <c r="D1524" t="str">
        <f t="shared" si="35"/>
        <v xml:space="preserve">5013912     </v>
      </c>
      <c r="E1524" t="s">
        <v>8</v>
      </c>
      <c r="F1524" t="s">
        <v>11</v>
      </c>
      <c r="G1524">
        <v>83.49</v>
      </c>
      <c r="H1524">
        <v>250701</v>
      </c>
      <c r="I1524">
        <v>4580</v>
      </c>
      <c r="J1524" t="s">
        <v>126</v>
      </c>
      <c r="K1524">
        <v>6962.18</v>
      </c>
      <c r="L1524">
        <v>16.96</v>
      </c>
      <c r="M1524">
        <v>17862</v>
      </c>
      <c r="N1524" t="s">
        <v>130</v>
      </c>
      <c r="O1524">
        <v>250618</v>
      </c>
      <c r="P1524">
        <v>66.53</v>
      </c>
    </row>
    <row r="1525" spans="1:16" x14ac:dyDescent="0.25">
      <c r="A1525" t="s">
        <v>3296</v>
      </c>
      <c r="B1525" t="s">
        <v>2931</v>
      </c>
      <c r="C1525">
        <v>8867</v>
      </c>
      <c r="D1525" t="str">
        <f t="shared" si="35"/>
        <v xml:space="preserve">5013912     </v>
      </c>
      <c r="E1525" t="s">
        <v>8</v>
      </c>
      <c r="F1525" t="s">
        <v>11</v>
      </c>
      <c r="G1525">
        <v>617.99</v>
      </c>
      <c r="H1525">
        <v>250701</v>
      </c>
      <c r="I1525">
        <v>4580</v>
      </c>
      <c r="J1525" t="s">
        <v>126</v>
      </c>
      <c r="K1525">
        <v>6962.18</v>
      </c>
      <c r="L1525">
        <v>125.57</v>
      </c>
      <c r="M1525">
        <v>17862</v>
      </c>
      <c r="N1525" t="s">
        <v>130</v>
      </c>
      <c r="O1525">
        <v>250618</v>
      </c>
      <c r="P1525">
        <v>492.42</v>
      </c>
    </row>
    <row r="1526" spans="1:16" x14ac:dyDescent="0.25">
      <c r="A1526" t="s">
        <v>3296</v>
      </c>
      <c r="B1526" t="s">
        <v>2931</v>
      </c>
      <c r="C1526">
        <v>8867</v>
      </c>
      <c r="D1526" t="str">
        <f t="shared" si="35"/>
        <v xml:space="preserve">5013912     </v>
      </c>
      <c r="E1526" t="s">
        <v>8</v>
      </c>
      <c r="F1526" t="s">
        <v>11</v>
      </c>
      <c r="G1526">
        <v>108.57</v>
      </c>
      <c r="H1526">
        <v>250701</v>
      </c>
      <c r="I1526">
        <v>4580</v>
      </c>
      <c r="J1526" t="s">
        <v>126</v>
      </c>
      <c r="K1526">
        <v>6962.18</v>
      </c>
      <c r="L1526">
        <v>22.06</v>
      </c>
      <c r="M1526">
        <v>17971</v>
      </c>
      <c r="N1526" t="s">
        <v>27</v>
      </c>
      <c r="O1526">
        <v>250618</v>
      </c>
      <c r="P1526">
        <v>86.51</v>
      </c>
    </row>
    <row r="1527" spans="1:16" x14ac:dyDescent="0.25">
      <c r="A1527" t="s">
        <v>3296</v>
      </c>
      <c r="B1527" t="s">
        <v>2931</v>
      </c>
      <c r="C1527">
        <v>8867</v>
      </c>
      <c r="D1527" t="str">
        <f t="shared" si="35"/>
        <v xml:space="preserve">5013912     </v>
      </c>
      <c r="E1527" t="s">
        <v>8</v>
      </c>
      <c r="F1527" t="s">
        <v>11</v>
      </c>
      <c r="G1527">
        <v>188.53</v>
      </c>
      <c r="H1527">
        <v>250701</v>
      </c>
      <c r="I1527">
        <v>4580</v>
      </c>
      <c r="J1527" t="s">
        <v>126</v>
      </c>
      <c r="K1527">
        <v>6962.18</v>
      </c>
      <c r="L1527">
        <v>38.31</v>
      </c>
      <c r="M1527">
        <v>17972</v>
      </c>
      <c r="N1527" t="s">
        <v>28</v>
      </c>
      <c r="O1527">
        <v>250618</v>
      </c>
      <c r="P1527">
        <v>150.22</v>
      </c>
    </row>
    <row r="1528" spans="1:16" x14ac:dyDescent="0.25">
      <c r="A1528" t="s">
        <v>3296</v>
      </c>
      <c r="B1528" t="s">
        <v>2931</v>
      </c>
      <c r="C1528">
        <v>9123</v>
      </c>
      <c r="D1528" t="str">
        <f>"17036796    "</f>
        <v xml:space="preserve">17036796    </v>
      </c>
      <c r="E1528" t="s">
        <v>8</v>
      </c>
      <c r="F1528" t="s">
        <v>11</v>
      </c>
      <c r="G1528">
        <v>10.17</v>
      </c>
      <c r="H1528">
        <v>250601</v>
      </c>
      <c r="I1528">
        <v>4580</v>
      </c>
      <c r="J1528" t="s">
        <v>126</v>
      </c>
      <c r="K1528">
        <v>10.17</v>
      </c>
      <c r="L1528">
        <v>2.0699999999999998</v>
      </c>
      <c r="M1528">
        <v>11001</v>
      </c>
      <c r="N1528" t="s">
        <v>93</v>
      </c>
      <c r="O1528">
        <v>250626</v>
      </c>
      <c r="P1528">
        <v>8.1</v>
      </c>
    </row>
    <row r="1529" spans="1:16" x14ac:dyDescent="0.25">
      <c r="A1529" t="s">
        <v>3296</v>
      </c>
      <c r="B1529" t="s">
        <v>2931</v>
      </c>
      <c r="C1529">
        <v>11935</v>
      </c>
      <c r="D1529" t="str">
        <f t="shared" ref="D1529:D1535" si="36">"5016559     "</f>
        <v xml:space="preserve">5016559     </v>
      </c>
      <c r="E1529" t="s">
        <v>8</v>
      </c>
      <c r="F1529" t="s">
        <v>11</v>
      </c>
      <c r="G1529">
        <v>699.11</v>
      </c>
      <c r="H1529">
        <v>251001</v>
      </c>
      <c r="I1529">
        <v>4580</v>
      </c>
      <c r="J1529" t="s">
        <v>126</v>
      </c>
      <c r="K1529">
        <v>7030.6</v>
      </c>
      <c r="L1529">
        <v>142.05000000000001</v>
      </c>
      <c r="M1529">
        <v>16121</v>
      </c>
      <c r="N1529" t="s">
        <v>127</v>
      </c>
      <c r="O1529">
        <v>250912</v>
      </c>
      <c r="P1529">
        <v>557.05999999999995</v>
      </c>
    </row>
    <row r="1530" spans="1:16" x14ac:dyDescent="0.25">
      <c r="A1530" t="s">
        <v>3296</v>
      </c>
      <c r="B1530" t="s">
        <v>2931</v>
      </c>
      <c r="C1530">
        <v>11935</v>
      </c>
      <c r="D1530" t="str">
        <f t="shared" si="36"/>
        <v xml:space="preserve">5016559     </v>
      </c>
      <c r="E1530" t="s">
        <v>8</v>
      </c>
      <c r="F1530" t="s">
        <v>11</v>
      </c>
      <c r="G1530">
        <v>5320.47</v>
      </c>
      <c r="H1530">
        <v>251001</v>
      </c>
      <c r="I1530">
        <v>4580</v>
      </c>
      <c r="J1530" t="s">
        <v>126</v>
      </c>
      <c r="K1530">
        <v>7030.6</v>
      </c>
      <c r="L1530">
        <v>1081.05</v>
      </c>
      <c r="M1530">
        <v>16820</v>
      </c>
      <c r="N1530" t="s">
        <v>128</v>
      </c>
      <c r="O1530">
        <v>250912</v>
      </c>
      <c r="P1530">
        <v>4239.42</v>
      </c>
    </row>
    <row r="1531" spans="1:16" x14ac:dyDescent="0.25">
      <c r="A1531" t="s">
        <v>3296</v>
      </c>
      <c r="B1531" t="s">
        <v>2931</v>
      </c>
      <c r="C1531">
        <v>11935</v>
      </c>
      <c r="D1531" t="str">
        <f t="shared" si="36"/>
        <v xml:space="preserve">5016559     </v>
      </c>
      <c r="E1531" t="s">
        <v>8</v>
      </c>
      <c r="F1531" t="s">
        <v>11</v>
      </c>
      <c r="G1531">
        <v>12.44</v>
      </c>
      <c r="H1531">
        <v>251001</v>
      </c>
      <c r="I1531">
        <v>4580</v>
      </c>
      <c r="J1531" t="s">
        <v>126</v>
      </c>
      <c r="K1531">
        <v>7030.6</v>
      </c>
      <c r="L1531">
        <v>2.5299999999999998</v>
      </c>
      <c r="M1531">
        <v>17538</v>
      </c>
      <c r="N1531" t="s">
        <v>129</v>
      </c>
      <c r="O1531">
        <v>250912</v>
      </c>
      <c r="P1531">
        <v>9.91</v>
      </c>
    </row>
    <row r="1532" spans="1:16" x14ac:dyDescent="0.25">
      <c r="A1532" t="s">
        <v>3296</v>
      </c>
      <c r="B1532" t="s">
        <v>2931</v>
      </c>
      <c r="C1532">
        <v>11935</v>
      </c>
      <c r="D1532" t="str">
        <f t="shared" si="36"/>
        <v xml:space="preserve">5016559     </v>
      </c>
      <c r="E1532" t="s">
        <v>8</v>
      </c>
      <c r="F1532" t="s">
        <v>11</v>
      </c>
      <c r="G1532">
        <v>83.49</v>
      </c>
      <c r="H1532">
        <v>251001</v>
      </c>
      <c r="I1532">
        <v>4580</v>
      </c>
      <c r="J1532" t="s">
        <v>126</v>
      </c>
      <c r="K1532">
        <v>7030.6</v>
      </c>
      <c r="L1532">
        <v>16.96</v>
      </c>
      <c r="M1532">
        <v>17862</v>
      </c>
      <c r="N1532" t="s">
        <v>130</v>
      </c>
      <c r="O1532">
        <v>250912</v>
      </c>
      <c r="P1532">
        <v>66.53</v>
      </c>
    </row>
    <row r="1533" spans="1:16" x14ac:dyDescent="0.25">
      <c r="A1533" t="s">
        <v>3296</v>
      </c>
      <c r="B1533" t="s">
        <v>2931</v>
      </c>
      <c r="C1533">
        <v>11935</v>
      </c>
      <c r="D1533" t="str">
        <f t="shared" si="36"/>
        <v xml:space="preserve">5016559     </v>
      </c>
      <c r="E1533" t="s">
        <v>8</v>
      </c>
      <c r="F1533" t="s">
        <v>11</v>
      </c>
      <c r="G1533">
        <v>617.99</v>
      </c>
      <c r="H1533">
        <v>251001</v>
      </c>
      <c r="I1533">
        <v>4580</v>
      </c>
      <c r="J1533" t="s">
        <v>126</v>
      </c>
      <c r="K1533">
        <v>7030.6</v>
      </c>
      <c r="L1533">
        <v>125.57</v>
      </c>
      <c r="M1533">
        <v>17862</v>
      </c>
      <c r="N1533" t="s">
        <v>130</v>
      </c>
      <c r="O1533">
        <v>250912</v>
      </c>
      <c r="P1533">
        <v>492.42</v>
      </c>
    </row>
    <row r="1534" spans="1:16" x14ac:dyDescent="0.25">
      <c r="A1534" t="s">
        <v>3296</v>
      </c>
      <c r="B1534" t="s">
        <v>2931</v>
      </c>
      <c r="C1534">
        <v>11935</v>
      </c>
      <c r="D1534" t="str">
        <f t="shared" si="36"/>
        <v xml:space="preserve">5016559     </v>
      </c>
      <c r="E1534" t="s">
        <v>8</v>
      </c>
      <c r="F1534" t="s">
        <v>11</v>
      </c>
      <c r="G1534">
        <v>108.57</v>
      </c>
      <c r="H1534">
        <v>251001</v>
      </c>
      <c r="I1534">
        <v>4580</v>
      </c>
      <c r="J1534" t="s">
        <v>126</v>
      </c>
      <c r="K1534">
        <v>7030.6</v>
      </c>
      <c r="L1534">
        <v>22.06</v>
      </c>
      <c r="M1534">
        <v>17971</v>
      </c>
      <c r="N1534" t="s">
        <v>27</v>
      </c>
      <c r="O1534">
        <v>250912</v>
      </c>
      <c r="P1534">
        <v>86.51</v>
      </c>
    </row>
    <row r="1535" spans="1:16" x14ac:dyDescent="0.25">
      <c r="A1535" t="s">
        <v>3296</v>
      </c>
      <c r="B1535" t="s">
        <v>2931</v>
      </c>
      <c r="C1535">
        <v>11935</v>
      </c>
      <c r="D1535" t="str">
        <f t="shared" si="36"/>
        <v xml:space="preserve">5016559     </v>
      </c>
      <c r="E1535" t="s">
        <v>8</v>
      </c>
      <c r="F1535" t="s">
        <v>11</v>
      </c>
      <c r="G1535">
        <v>188.53</v>
      </c>
      <c r="H1535">
        <v>251001</v>
      </c>
      <c r="I1535">
        <v>4580</v>
      </c>
      <c r="J1535" t="s">
        <v>126</v>
      </c>
      <c r="K1535">
        <v>7030.6</v>
      </c>
      <c r="L1535">
        <v>38.31</v>
      </c>
      <c r="M1535">
        <v>17972</v>
      </c>
      <c r="N1535" t="s">
        <v>28</v>
      </c>
      <c r="O1535">
        <v>250912</v>
      </c>
      <c r="P1535">
        <v>150.22</v>
      </c>
    </row>
    <row r="1536" spans="1:16" x14ac:dyDescent="0.25">
      <c r="A1536" t="s">
        <v>3296</v>
      </c>
      <c r="B1536" t="s">
        <v>2931</v>
      </c>
      <c r="C1536">
        <v>1</v>
      </c>
      <c r="D1536" t="str">
        <f>"5009605     "</f>
        <v xml:space="preserve">5009605     </v>
      </c>
      <c r="E1536" t="s">
        <v>8</v>
      </c>
      <c r="F1536" t="s">
        <v>11</v>
      </c>
      <c r="G1536">
        <v>5455.53</v>
      </c>
      <c r="H1536">
        <v>250101</v>
      </c>
      <c r="I1536">
        <v>4841</v>
      </c>
      <c r="J1536" t="s">
        <v>9</v>
      </c>
      <c r="K1536">
        <v>5745.64</v>
      </c>
      <c r="L1536">
        <v>1108.49</v>
      </c>
      <c r="M1536">
        <v>13401</v>
      </c>
      <c r="N1536" t="s">
        <v>10</v>
      </c>
      <c r="O1536">
        <v>241231</v>
      </c>
      <c r="P1536">
        <v>4347.04</v>
      </c>
    </row>
    <row r="1537" spans="1:16" x14ac:dyDescent="0.25">
      <c r="A1537" t="s">
        <v>3296</v>
      </c>
      <c r="B1537" t="s">
        <v>2931</v>
      </c>
      <c r="C1537">
        <v>1</v>
      </c>
      <c r="D1537" t="str">
        <f>"5009605     "</f>
        <v xml:space="preserve">5009605     </v>
      </c>
      <c r="E1537" t="s">
        <v>8</v>
      </c>
      <c r="F1537" t="s">
        <v>11</v>
      </c>
      <c r="G1537">
        <v>223.16</v>
      </c>
      <c r="H1537">
        <v>250101</v>
      </c>
      <c r="I1537">
        <v>4841</v>
      </c>
      <c r="J1537" t="s">
        <v>9</v>
      </c>
      <c r="K1537">
        <v>5745.64</v>
      </c>
      <c r="L1537">
        <v>45.34</v>
      </c>
      <c r="M1537">
        <v>13401</v>
      </c>
      <c r="N1537" t="s">
        <v>10</v>
      </c>
      <c r="O1537">
        <v>241231</v>
      </c>
      <c r="P1537">
        <v>177.82</v>
      </c>
    </row>
    <row r="1538" spans="1:16" x14ac:dyDescent="0.25">
      <c r="A1538" t="s">
        <v>3296</v>
      </c>
      <c r="B1538" t="s">
        <v>2931</v>
      </c>
      <c r="C1538">
        <v>1</v>
      </c>
      <c r="D1538" t="str">
        <f>"5009605     "</f>
        <v xml:space="preserve">5009605     </v>
      </c>
      <c r="E1538" t="s">
        <v>8</v>
      </c>
      <c r="F1538" t="s">
        <v>11</v>
      </c>
      <c r="G1538">
        <v>66.95</v>
      </c>
      <c r="H1538">
        <v>250101</v>
      </c>
      <c r="I1538">
        <v>4841</v>
      </c>
      <c r="J1538" t="s">
        <v>9</v>
      </c>
      <c r="K1538">
        <v>5745.64</v>
      </c>
      <c r="L1538">
        <v>13.6</v>
      </c>
      <c r="M1538">
        <v>13401</v>
      </c>
      <c r="N1538" t="s">
        <v>10</v>
      </c>
      <c r="O1538">
        <v>241231</v>
      </c>
      <c r="P1538">
        <v>53.35</v>
      </c>
    </row>
    <row r="1539" spans="1:16" x14ac:dyDescent="0.25">
      <c r="A1539" t="s">
        <v>3296</v>
      </c>
      <c r="B1539" t="s">
        <v>2931</v>
      </c>
      <c r="C1539">
        <v>3</v>
      </c>
      <c r="D1539" t="str">
        <f>"5009590     "</f>
        <v xml:space="preserve">5009590     </v>
      </c>
      <c r="E1539" t="s">
        <v>8</v>
      </c>
      <c r="F1539" t="s">
        <v>11</v>
      </c>
      <c r="G1539">
        <v>310.94</v>
      </c>
      <c r="H1539">
        <v>250101</v>
      </c>
      <c r="I1539">
        <v>4841</v>
      </c>
      <c r="J1539" t="s">
        <v>9</v>
      </c>
      <c r="K1539">
        <v>310.94</v>
      </c>
      <c r="L1539">
        <v>63.18</v>
      </c>
      <c r="M1539">
        <v>11601</v>
      </c>
      <c r="N1539" t="s">
        <v>12</v>
      </c>
      <c r="O1539">
        <v>241231</v>
      </c>
      <c r="P1539">
        <v>247.76</v>
      </c>
    </row>
    <row r="1540" spans="1:16" x14ac:dyDescent="0.25">
      <c r="A1540" t="s">
        <v>3296</v>
      </c>
      <c r="B1540" t="s">
        <v>2931</v>
      </c>
      <c r="C1540">
        <v>4</v>
      </c>
      <c r="D1540" t="str">
        <f>"5009587     "</f>
        <v xml:space="preserve">5009587     </v>
      </c>
      <c r="E1540" t="s">
        <v>8</v>
      </c>
      <c r="F1540" t="s">
        <v>11</v>
      </c>
      <c r="G1540">
        <v>330.81</v>
      </c>
      <c r="H1540">
        <v>250101</v>
      </c>
      <c r="I1540">
        <v>4841</v>
      </c>
      <c r="J1540" t="s">
        <v>9</v>
      </c>
      <c r="K1540">
        <v>330.81</v>
      </c>
      <c r="L1540">
        <v>67.22</v>
      </c>
      <c r="M1540">
        <v>11501</v>
      </c>
      <c r="N1540" t="s">
        <v>13</v>
      </c>
      <c r="O1540">
        <v>241231</v>
      </c>
      <c r="P1540">
        <v>263.58999999999997</v>
      </c>
    </row>
    <row r="1541" spans="1:16" x14ac:dyDescent="0.25">
      <c r="A1541" t="s">
        <v>3296</v>
      </c>
      <c r="B1541" t="s">
        <v>2931</v>
      </c>
      <c r="C1541">
        <v>5</v>
      </c>
      <c r="D1541" t="str">
        <f>"5009620     "</f>
        <v xml:space="preserve">5009620     </v>
      </c>
      <c r="E1541" t="s">
        <v>8</v>
      </c>
      <c r="F1541" t="s">
        <v>11</v>
      </c>
      <c r="G1541">
        <v>365.36</v>
      </c>
      <c r="H1541">
        <v>250101</v>
      </c>
      <c r="I1541">
        <v>4841</v>
      </c>
      <c r="J1541" t="s">
        <v>9</v>
      </c>
      <c r="K1541">
        <v>365.36</v>
      </c>
      <c r="L1541">
        <v>74.239999999999995</v>
      </c>
      <c r="M1541">
        <v>13940</v>
      </c>
      <c r="N1541" t="s">
        <v>14</v>
      </c>
      <c r="O1541">
        <v>241231</v>
      </c>
      <c r="P1541">
        <v>291.12</v>
      </c>
    </row>
    <row r="1542" spans="1:16" x14ac:dyDescent="0.25">
      <c r="A1542" t="s">
        <v>3296</v>
      </c>
      <c r="B1542" t="s">
        <v>2931</v>
      </c>
      <c r="C1542">
        <v>9</v>
      </c>
      <c r="D1542" t="str">
        <f t="shared" ref="D1542:D1548" si="37">"5009595     "</f>
        <v xml:space="preserve">5009595     </v>
      </c>
      <c r="E1542" t="s">
        <v>8</v>
      </c>
      <c r="F1542" t="s">
        <v>11</v>
      </c>
      <c r="G1542">
        <v>167.2</v>
      </c>
      <c r="H1542">
        <v>250101</v>
      </c>
      <c r="I1542">
        <v>4841</v>
      </c>
      <c r="J1542" t="s">
        <v>9</v>
      </c>
      <c r="K1542">
        <v>1269.93</v>
      </c>
      <c r="L1542">
        <v>33.97</v>
      </c>
      <c r="M1542">
        <v>11900</v>
      </c>
      <c r="N1542" t="s">
        <v>30</v>
      </c>
      <c r="O1542">
        <v>241231</v>
      </c>
      <c r="P1542">
        <v>133.22999999999999</v>
      </c>
    </row>
    <row r="1543" spans="1:16" x14ac:dyDescent="0.25">
      <c r="A1543" t="s">
        <v>3296</v>
      </c>
      <c r="B1543" t="s">
        <v>2931</v>
      </c>
      <c r="C1543">
        <v>9</v>
      </c>
      <c r="D1543" t="str">
        <f t="shared" si="37"/>
        <v xml:space="preserve">5009595     </v>
      </c>
      <c r="E1543" t="s">
        <v>8</v>
      </c>
      <c r="F1543" t="s">
        <v>11</v>
      </c>
      <c r="G1543">
        <v>82.4</v>
      </c>
      <c r="H1543">
        <v>250101</v>
      </c>
      <c r="I1543">
        <v>4841</v>
      </c>
      <c r="J1543" t="s">
        <v>9</v>
      </c>
      <c r="K1543">
        <v>1269.93</v>
      </c>
      <c r="L1543">
        <v>16.739999999999998</v>
      </c>
      <c r="M1543">
        <v>11901</v>
      </c>
      <c r="N1543" t="s">
        <v>31</v>
      </c>
      <c r="O1543">
        <v>241231</v>
      </c>
      <c r="P1543">
        <v>65.66</v>
      </c>
    </row>
    <row r="1544" spans="1:16" x14ac:dyDescent="0.25">
      <c r="A1544" t="s">
        <v>3296</v>
      </c>
      <c r="B1544" t="s">
        <v>2931</v>
      </c>
      <c r="C1544">
        <v>9</v>
      </c>
      <c r="D1544" t="str">
        <f t="shared" si="37"/>
        <v xml:space="preserve">5009595     </v>
      </c>
      <c r="E1544" t="s">
        <v>8</v>
      </c>
      <c r="F1544" t="s">
        <v>11</v>
      </c>
      <c r="G1544">
        <v>422.46</v>
      </c>
      <c r="H1544">
        <v>250101</v>
      </c>
      <c r="I1544">
        <v>4841</v>
      </c>
      <c r="J1544" t="s">
        <v>9</v>
      </c>
      <c r="K1544">
        <v>1269.93</v>
      </c>
      <c r="L1544">
        <v>85.84</v>
      </c>
      <c r="M1544">
        <v>11901</v>
      </c>
      <c r="N1544" t="s">
        <v>31</v>
      </c>
      <c r="O1544">
        <v>241231</v>
      </c>
      <c r="P1544">
        <v>336.62</v>
      </c>
    </row>
    <row r="1545" spans="1:16" x14ac:dyDescent="0.25">
      <c r="A1545" t="s">
        <v>3296</v>
      </c>
      <c r="B1545" t="s">
        <v>2931</v>
      </c>
      <c r="C1545">
        <v>9</v>
      </c>
      <c r="D1545" t="str">
        <f t="shared" si="37"/>
        <v xml:space="preserve">5009595     </v>
      </c>
      <c r="E1545" t="s">
        <v>8</v>
      </c>
      <c r="F1545" t="s">
        <v>11</v>
      </c>
      <c r="G1545">
        <v>16.16</v>
      </c>
      <c r="H1545">
        <v>250101</v>
      </c>
      <c r="I1545">
        <v>4841</v>
      </c>
      <c r="J1545" t="s">
        <v>9</v>
      </c>
      <c r="K1545">
        <v>1269.93</v>
      </c>
      <c r="L1545">
        <v>3.28</v>
      </c>
      <c r="M1545">
        <v>11903</v>
      </c>
      <c r="N1545" t="s">
        <v>32</v>
      </c>
      <c r="O1545">
        <v>241231</v>
      </c>
      <c r="P1545">
        <v>12.88</v>
      </c>
    </row>
    <row r="1546" spans="1:16" x14ac:dyDescent="0.25">
      <c r="A1546" t="s">
        <v>3296</v>
      </c>
      <c r="B1546" t="s">
        <v>2931</v>
      </c>
      <c r="C1546">
        <v>9</v>
      </c>
      <c r="D1546" t="str">
        <f t="shared" si="37"/>
        <v xml:space="preserve">5009595     </v>
      </c>
      <c r="E1546" t="s">
        <v>8</v>
      </c>
      <c r="F1546" t="s">
        <v>11</v>
      </c>
      <c r="G1546">
        <v>182.33</v>
      </c>
      <c r="H1546">
        <v>250101</v>
      </c>
      <c r="I1546">
        <v>4841</v>
      </c>
      <c r="J1546" t="s">
        <v>9</v>
      </c>
      <c r="K1546">
        <v>1269.93</v>
      </c>
      <c r="L1546">
        <v>37.049999999999997</v>
      </c>
      <c r="M1546">
        <v>11903</v>
      </c>
      <c r="N1546" t="s">
        <v>32</v>
      </c>
      <c r="O1546">
        <v>241231</v>
      </c>
      <c r="P1546">
        <v>145.28</v>
      </c>
    </row>
    <row r="1547" spans="1:16" x14ac:dyDescent="0.25">
      <c r="A1547" t="s">
        <v>3296</v>
      </c>
      <c r="B1547" t="s">
        <v>2931</v>
      </c>
      <c r="C1547">
        <v>9</v>
      </c>
      <c r="D1547" t="str">
        <f t="shared" si="37"/>
        <v xml:space="preserve">5009595     </v>
      </c>
      <c r="E1547" t="s">
        <v>8</v>
      </c>
      <c r="F1547" t="s">
        <v>11</v>
      </c>
      <c r="G1547">
        <v>314.2</v>
      </c>
      <c r="H1547">
        <v>250101</v>
      </c>
      <c r="I1547">
        <v>4841</v>
      </c>
      <c r="J1547" t="s">
        <v>9</v>
      </c>
      <c r="K1547">
        <v>1269.93</v>
      </c>
      <c r="L1547">
        <v>63.84</v>
      </c>
      <c r="M1547">
        <v>11903</v>
      </c>
      <c r="N1547" t="s">
        <v>32</v>
      </c>
      <c r="O1547">
        <v>241231</v>
      </c>
      <c r="P1547">
        <v>250.36</v>
      </c>
    </row>
    <row r="1548" spans="1:16" x14ac:dyDescent="0.25">
      <c r="A1548" t="s">
        <v>3296</v>
      </c>
      <c r="B1548" t="s">
        <v>2931</v>
      </c>
      <c r="C1548">
        <v>9</v>
      </c>
      <c r="D1548" t="str">
        <f t="shared" si="37"/>
        <v xml:space="preserve">5009595     </v>
      </c>
      <c r="E1548" t="s">
        <v>8</v>
      </c>
      <c r="F1548" t="s">
        <v>11</v>
      </c>
      <c r="G1548">
        <v>85.18</v>
      </c>
      <c r="H1548">
        <v>250101</v>
      </c>
      <c r="I1548">
        <v>4841</v>
      </c>
      <c r="J1548" t="s">
        <v>9</v>
      </c>
      <c r="K1548">
        <v>1269.93</v>
      </c>
      <c r="L1548">
        <v>17.309999999999999</v>
      </c>
      <c r="M1548">
        <v>11903</v>
      </c>
      <c r="N1548" t="s">
        <v>32</v>
      </c>
      <c r="O1548">
        <v>241231</v>
      </c>
      <c r="P1548">
        <v>67.87</v>
      </c>
    </row>
    <row r="1549" spans="1:16" x14ac:dyDescent="0.25">
      <c r="A1549" t="s">
        <v>3296</v>
      </c>
      <c r="B1549" t="s">
        <v>2931</v>
      </c>
      <c r="C1549">
        <v>10</v>
      </c>
      <c r="D1549" t="str">
        <f>"5009604     "</f>
        <v xml:space="preserve">5009604     </v>
      </c>
      <c r="E1549" t="s">
        <v>8</v>
      </c>
      <c r="F1549" t="s">
        <v>11</v>
      </c>
      <c r="G1549">
        <v>1591</v>
      </c>
      <c r="H1549">
        <v>250101</v>
      </c>
      <c r="I1549">
        <v>4841</v>
      </c>
      <c r="J1549" t="s">
        <v>9</v>
      </c>
      <c r="K1549">
        <v>2081.5700000000002</v>
      </c>
      <c r="L1549">
        <v>323.27</v>
      </c>
      <c r="M1549">
        <v>13801</v>
      </c>
      <c r="N1549" t="s">
        <v>33</v>
      </c>
      <c r="O1549">
        <v>241231</v>
      </c>
      <c r="P1549">
        <v>1267.73</v>
      </c>
    </row>
    <row r="1550" spans="1:16" x14ac:dyDescent="0.25">
      <c r="A1550" t="s">
        <v>3296</v>
      </c>
      <c r="B1550" t="s">
        <v>2931</v>
      </c>
      <c r="C1550">
        <v>10</v>
      </c>
      <c r="D1550" t="str">
        <f>"5009604     "</f>
        <v xml:space="preserve">5009604     </v>
      </c>
      <c r="E1550" t="s">
        <v>8</v>
      </c>
      <c r="F1550" t="s">
        <v>11</v>
      </c>
      <c r="G1550">
        <v>340.9</v>
      </c>
      <c r="H1550">
        <v>250101</v>
      </c>
      <c r="I1550">
        <v>4841</v>
      </c>
      <c r="J1550" t="s">
        <v>9</v>
      </c>
      <c r="K1550">
        <v>2081.5700000000002</v>
      </c>
      <c r="L1550">
        <v>69.27</v>
      </c>
      <c r="M1550">
        <v>13801</v>
      </c>
      <c r="N1550" t="s">
        <v>33</v>
      </c>
      <c r="O1550">
        <v>241231</v>
      </c>
      <c r="P1550">
        <v>271.63</v>
      </c>
    </row>
    <row r="1551" spans="1:16" x14ac:dyDescent="0.25">
      <c r="A1551" t="s">
        <v>3296</v>
      </c>
      <c r="B1551" t="s">
        <v>2931</v>
      </c>
      <c r="C1551">
        <v>10</v>
      </c>
      <c r="D1551" t="str">
        <f>"5009604     "</f>
        <v xml:space="preserve">5009604     </v>
      </c>
      <c r="E1551" t="s">
        <v>8</v>
      </c>
      <c r="F1551" t="s">
        <v>11</v>
      </c>
      <c r="G1551">
        <v>149.66999999999999</v>
      </c>
      <c r="H1551">
        <v>250101</v>
      </c>
      <c r="I1551">
        <v>4841</v>
      </c>
      <c r="J1551" t="s">
        <v>9</v>
      </c>
      <c r="K1551">
        <v>2081.5700000000002</v>
      </c>
      <c r="L1551">
        <v>30.41</v>
      </c>
      <c r="M1551">
        <v>13802</v>
      </c>
      <c r="N1551" t="s">
        <v>34</v>
      </c>
      <c r="O1551">
        <v>241231</v>
      </c>
      <c r="P1551">
        <v>119.26</v>
      </c>
    </row>
    <row r="1552" spans="1:16" x14ac:dyDescent="0.25">
      <c r="A1552" t="s">
        <v>3296</v>
      </c>
      <c r="B1552" t="s">
        <v>2931</v>
      </c>
      <c r="C1552">
        <v>11</v>
      </c>
      <c r="D1552" t="str">
        <f>"5009589     "</f>
        <v xml:space="preserve">5009589     </v>
      </c>
      <c r="E1552" t="s">
        <v>8</v>
      </c>
      <c r="F1552" t="s">
        <v>11</v>
      </c>
      <c r="G1552">
        <v>94.73</v>
      </c>
      <c r="H1552">
        <v>250101</v>
      </c>
      <c r="I1552">
        <v>4841</v>
      </c>
      <c r="J1552" t="s">
        <v>9</v>
      </c>
      <c r="K1552">
        <v>94.73</v>
      </c>
      <c r="L1552">
        <v>19.25</v>
      </c>
      <c r="M1552">
        <v>11201</v>
      </c>
      <c r="N1552" t="s">
        <v>35</v>
      </c>
      <c r="O1552">
        <v>241231</v>
      </c>
      <c r="P1552">
        <v>75.48</v>
      </c>
    </row>
    <row r="1553" spans="1:16" x14ac:dyDescent="0.25">
      <c r="A1553" t="s">
        <v>3296</v>
      </c>
      <c r="B1553" t="s">
        <v>2931</v>
      </c>
      <c r="C1553">
        <v>12</v>
      </c>
      <c r="D1553" t="str">
        <f>"5009598     "</f>
        <v xml:space="preserve">5009598     </v>
      </c>
      <c r="E1553" t="s">
        <v>8</v>
      </c>
      <c r="F1553" t="s">
        <v>11</v>
      </c>
      <c r="G1553">
        <v>13.79</v>
      </c>
      <c r="H1553">
        <v>250101</v>
      </c>
      <c r="I1553">
        <v>4841</v>
      </c>
      <c r="J1553" t="s">
        <v>9</v>
      </c>
      <c r="K1553">
        <v>13.79</v>
      </c>
      <c r="L1553">
        <v>2.8</v>
      </c>
      <c r="M1553">
        <v>17972</v>
      </c>
      <c r="N1553" t="s">
        <v>28</v>
      </c>
      <c r="O1553">
        <v>241231</v>
      </c>
      <c r="P1553">
        <v>10.99</v>
      </c>
    </row>
    <row r="1554" spans="1:16" x14ac:dyDescent="0.25">
      <c r="A1554" t="s">
        <v>3296</v>
      </c>
      <c r="B1554" t="s">
        <v>2931</v>
      </c>
      <c r="C1554">
        <v>14</v>
      </c>
      <c r="D1554" t="str">
        <f>"5009606     "</f>
        <v xml:space="preserve">5009606     </v>
      </c>
      <c r="E1554" t="s">
        <v>8</v>
      </c>
      <c r="F1554" t="s">
        <v>11</v>
      </c>
      <c r="G1554">
        <v>21.15</v>
      </c>
      <c r="H1554">
        <v>250101</v>
      </c>
      <c r="I1554">
        <v>4841</v>
      </c>
      <c r="J1554" t="s">
        <v>9</v>
      </c>
      <c r="K1554">
        <v>726.87</v>
      </c>
      <c r="L1554">
        <v>4.3</v>
      </c>
      <c r="M1554">
        <v>18010</v>
      </c>
      <c r="N1554" t="s">
        <v>36</v>
      </c>
      <c r="O1554">
        <v>241231</v>
      </c>
      <c r="P1554">
        <v>16.850000000000001</v>
      </c>
    </row>
    <row r="1555" spans="1:16" x14ac:dyDescent="0.25">
      <c r="A1555" t="s">
        <v>3296</v>
      </c>
      <c r="B1555" t="s">
        <v>2931</v>
      </c>
      <c r="C1555">
        <v>14</v>
      </c>
      <c r="D1555" t="str">
        <f>"5009606     "</f>
        <v xml:space="preserve">5009606     </v>
      </c>
      <c r="E1555" t="s">
        <v>8</v>
      </c>
      <c r="F1555" t="s">
        <v>11</v>
      </c>
      <c r="G1555">
        <v>156.88</v>
      </c>
      <c r="H1555">
        <v>250101</v>
      </c>
      <c r="I1555">
        <v>4841</v>
      </c>
      <c r="J1555" t="s">
        <v>9</v>
      </c>
      <c r="K1555">
        <v>726.87</v>
      </c>
      <c r="L1555">
        <v>31.88</v>
      </c>
      <c r="M1555">
        <v>18120</v>
      </c>
      <c r="N1555" t="s">
        <v>37</v>
      </c>
      <c r="O1555">
        <v>241231</v>
      </c>
      <c r="P1555">
        <v>125</v>
      </c>
    </row>
    <row r="1556" spans="1:16" x14ac:dyDescent="0.25">
      <c r="A1556" t="s">
        <v>3296</v>
      </c>
      <c r="B1556" t="s">
        <v>2931</v>
      </c>
      <c r="C1556">
        <v>14</v>
      </c>
      <c r="D1556" t="str">
        <f>"5009606     "</f>
        <v xml:space="preserve">5009606     </v>
      </c>
      <c r="E1556" t="s">
        <v>8</v>
      </c>
      <c r="F1556" t="s">
        <v>11</v>
      </c>
      <c r="G1556">
        <v>174.97</v>
      </c>
      <c r="H1556">
        <v>250101</v>
      </c>
      <c r="I1556">
        <v>4841</v>
      </c>
      <c r="J1556" t="s">
        <v>9</v>
      </c>
      <c r="K1556">
        <v>726.87</v>
      </c>
      <c r="L1556">
        <v>35.549999999999997</v>
      </c>
      <c r="M1556">
        <v>18971</v>
      </c>
      <c r="N1556" t="s">
        <v>38</v>
      </c>
      <c r="O1556">
        <v>241231</v>
      </c>
      <c r="P1556">
        <v>139.41999999999999</v>
      </c>
    </row>
    <row r="1557" spans="1:16" x14ac:dyDescent="0.25">
      <c r="A1557" t="s">
        <v>3296</v>
      </c>
      <c r="B1557" t="s">
        <v>2931</v>
      </c>
      <c r="C1557">
        <v>14</v>
      </c>
      <c r="D1557" t="str">
        <f>"5009606     "</f>
        <v xml:space="preserve">5009606     </v>
      </c>
      <c r="E1557" t="s">
        <v>8</v>
      </c>
      <c r="F1557" t="s">
        <v>11</v>
      </c>
      <c r="G1557">
        <v>373.87</v>
      </c>
      <c r="H1557">
        <v>250101</v>
      </c>
      <c r="I1557">
        <v>4841</v>
      </c>
      <c r="J1557" t="s">
        <v>9</v>
      </c>
      <c r="K1557">
        <v>726.87</v>
      </c>
      <c r="L1557">
        <v>75.97</v>
      </c>
      <c r="M1557">
        <v>18972</v>
      </c>
      <c r="N1557" t="s">
        <v>39</v>
      </c>
      <c r="O1557">
        <v>241231</v>
      </c>
      <c r="P1557">
        <v>297.89999999999998</v>
      </c>
    </row>
    <row r="1558" spans="1:16" x14ac:dyDescent="0.25">
      <c r="A1558" t="s">
        <v>3296</v>
      </c>
      <c r="B1558" t="s">
        <v>2931</v>
      </c>
      <c r="C1558">
        <v>20</v>
      </c>
      <c r="D1558" t="str">
        <f>"5009608     "</f>
        <v xml:space="preserve">5009608     </v>
      </c>
      <c r="E1558" t="s">
        <v>8</v>
      </c>
      <c r="F1558" t="s">
        <v>11</v>
      </c>
      <c r="G1558">
        <v>1632.79</v>
      </c>
      <c r="H1558">
        <v>250101</v>
      </c>
      <c r="I1558">
        <v>4841</v>
      </c>
      <c r="J1558" t="s">
        <v>9</v>
      </c>
      <c r="K1558">
        <v>1632.79</v>
      </c>
      <c r="L1558">
        <v>331.76</v>
      </c>
      <c r="M1558">
        <v>11801</v>
      </c>
      <c r="N1558" t="s">
        <v>40</v>
      </c>
      <c r="O1558">
        <v>241231</v>
      </c>
      <c r="P1558">
        <v>1301.03</v>
      </c>
    </row>
    <row r="1559" spans="1:16" x14ac:dyDescent="0.25">
      <c r="A1559" t="s">
        <v>3296</v>
      </c>
      <c r="B1559" t="s">
        <v>2931</v>
      </c>
      <c r="C1559">
        <v>21</v>
      </c>
      <c r="D1559" t="str">
        <f t="shared" ref="D1559:D1565" si="38">"5009596     "</f>
        <v xml:space="preserve">5009596     </v>
      </c>
      <c r="E1559" t="s">
        <v>8</v>
      </c>
      <c r="F1559" t="s">
        <v>11</v>
      </c>
      <c r="G1559">
        <v>1300.74</v>
      </c>
      <c r="H1559">
        <v>250101</v>
      </c>
      <c r="I1559">
        <v>4841</v>
      </c>
      <c r="J1559" t="s">
        <v>9</v>
      </c>
      <c r="K1559">
        <v>2363.83</v>
      </c>
      <c r="L1559">
        <v>264.29000000000002</v>
      </c>
      <c r="M1559">
        <v>53222</v>
      </c>
      <c r="N1559" t="s">
        <v>41</v>
      </c>
      <c r="O1559">
        <v>241231</v>
      </c>
      <c r="P1559">
        <v>1036.45</v>
      </c>
    </row>
    <row r="1560" spans="1:16" x14ac:dyDescent="0.25">
      <c r="A1560" t="s">
        <v>3296</v>
      </c>
      <c r="B1560" t="s">
        <v>2931</v>
      </c>
      <c r="C1560">
        <v>21</v>
      </c>
      <c r="D1560" t="str">
        <f t="shared" si="38"/>
        <v xml:space="preserve">5009596     </v>
      </c>
      <c r="E1560" t="s">
        <v>8</v>
      </c>
      <c r="F1560" t="s">
        <v>11</v>
      </c>
      <c r="G1560">
        <v>284.66000000000003</v>
      </c>
      <c r="H1560">
        <v>250101</v>
      </c>
      <c r="I1560">
        <v>4841</v>
      </c>
      <c r="J1560" t="s">
        <v>9</v>
      </c>
      <c r="K1560">
        <v>2363.83</v>
      </c>
      <c r="L1560">
        <v>57.84</v>
      </c>
      <c r="M1560">
        <v>54622</v>
      </c>
      <c r="N1560" t="s">
        <v>42</v>
      </c>
      <c r="O1560">
        <v>241231</v>
      </c>
      <c r="P1560">
        <v>226.82</v>
      </c>
    </row>
    <row r="1561" spans="1:16" x14ac:dyDescent="0.25">
      <c r="A1561" t="s">
        <v>3296</v>
      </c>
      <c r="B1561" t="s">
        <v>2931</v>
      </c>
      <c r="C1561">
        <v>21</v>
      </c>
      <c r="D1561" t="str">
        <f t="shared" si="38"/>
        <v xml:space="preserve">5009596     </v>
      </c>
      <c r="E1561" t="s">
        <v>8</v>
      </c>
      <c r="F1561" t="s">
        <v>11</v>
      </c>
      <c r="G1561">
        <v>500.32</v>
      </c>
      <c r="H1561">
        <v>250101</v>
      </c>
      <c r="I1561">
        <v>4841</v>
      </c>
      <c r="J1561" t="s">
        <v>9</v>
      </c>
      <c r="K1561">
        <v>2363.83</v>
      </c>
      <c r="L1561">
        <v>101.66</v>
      </c>
      <c r="M1561">
        <v>55222</v>
      </c>
      <c r="N1561" t="s">
        <v>43</v>
      </c>
      <c r="O1561">
        <v>241231</v>
      </c>
      <c r="P1561">
        <v>398.66</v>
      </c>
    </row>
    <row r="1562" spans="1:16" x14ac:dyDescent="0.25">
      <c r="A1562" t="s">
        <v>3296</v>
      </c>
      <c r="B1562" t="s">
        <v>2931</v>
      </c>
      <c r="C1562">
        <v>21</v>
      </c>
      <c r="D1562" t="str">
        <f t="shared" si="38"/>
        <v xml:space="preserve">5009596     </v>
      </c>
      <c r="E1562" t="s">
        <v>8</v>
      </c>
      <c r="F1562" t="s">
        <v>11</v>
      </c>
      <c r="G1562">
        <v>67.34</v>
      </c>
      <c r="H1562">
        <v>250101</v>
      </c>
      <c r="I1562">
        <v>4841</v>
      </c>
      <c r="J1562" t="s">
        <v>9</v>
      </c>
      <c r="K1562">
        <v>2363.83</v>
      </c>
      <c r="L1562">
        <v>13.68</v>
      </c>
      <c r="M1562">
        <v>59112</v>
      </c>
      <c r="N1562" t="s">
        <v>44</v>
      </c>
      <c r="O1562">
        <v>241231</v>
      </c>
      <c r="P1562">
        <v>53.66</v>
      </c>
    </row>
    <row r="1563" spans="1:16" x14ac:dyDescent="0.25">
      <c r="A1563" t="s">
        <v>3296</v>
      </c>
      <c r="B1563" t="s">
        <v>2931</v>
      </c>
      <c r="C1563">
        <v>21</v>
      </c>
      <c r="D1563" t="str">
        <f t="shared" si="38"/>
        <v xml:space="preserve">5009596     </v>
      </c>
      <c r="E1563" t="s">
        <v>8</v>
      </c>
      <c r="F1563" t="s">
        <v>11</v>
      </c>
      <c r="G1563">
        <v>67.64</v>
      </c>
      <c r="H1563">
        <v>250101</v>
      </c>
      <c r="I1563">
        <v>4841</v>
      </c>
      <c r="J1563" t="s">
        <v>9</v>
      </c>
      <c r="K1563">
        <v>2363.83</v>
      </c>
      <c r="L1563">
        <v>13.74</v>
      </c>
      <c r="M1563">
        <v>59702</v>
      </c>
      <c r="N1563" t="s">
        <v>45</v>
      </c>
      <c r="O1563">
        <v>241231</v>
      </c>
      <c r="P1563">
        <v>53.9</v>
      </c>
    </row>
    <row r="1564" spans="1:16" x14ac:dyDescent="0.25">
      <c r="A1564" t="s">
        <v>3296</v>
      </c>
      <c r="B1564" t="s">
        <v>2931</v>
      </c>
      <c r="C1564">
        <v>21</v>
      </c>
      <c r="D1564" t="str">
        <f t="shared" si="38"/>
        <v xml:space="preserve">5009596     </v>
      </c>
      <c r="E1564" t="s">
        <v>8</v>
      </c>
      <c r="F1564" t="s">
        <v>11</v>
      </c>
      <c r="G1564">
        <v>130.77000000000001</v>
      </c>
      <c r="H1564">
        <v>250101</v>
      </c>
      <c r="I1564">
        <v>4841</v>
      </c>
      <c r="J1564" t="s">
        <v>9</v>
      </c>
      <c r="K1564">
        <v>2363.83</v>
      </c>
      <c r="L1564">
        <v>26.57</v>
      </c>
      <c r="M1564">
        <v>59704</v>
      </c>
      <c r="N1564" t="s">
        <v>46</v>
      </c>
      <c r="O1564">
        <v>241231</v>
      </c>
      <c r="P1564">
        <v>104.2</v>
      </c>
    </row>
    <row r="1565" spans="1:16" x14ac:dyDescent="0.25">
      <c r="A1565" t="s">
        <v>3296</v>
      </c>
      <c r="B1565" t="s">
        <v>2931</v>
      </c>
      <c r="C1565">
        <v>21</v>
      </c>
      <c r="D1565" t="str">
        <f t="shared" si="38"/>
        <v xml:space="preserve">5009596     </v>
      </c>
      <c r="E1565" t="s">
        <v>8</v>
      </c>
      <c r="F1565" t="s">
        <v>11</v>
      </c>
      <c r="G1565">
        <v>12.36</v>
      </c>
      <c r="H1565">
        <v>250101</v>
      </c>
      <c r="I1565">
        <v>4841</v>
      </c>
      <c r="J1565" t="s">
        <v>9</v>
      </c>
      <c r="K1565">
        <v>2363.83</v>
      </c>
      <c r="L1565">
        <v>2.5099999999999998</v>
      </c>
      <c r="M1565">
        <v>59705</v>
      </c>
      <c r="N1565" t="s">
        <v>47</v>
      </c>
      <c r="O1565">
        <v>241231</v>
      </c>
      <c r="P1565">
        <v>9.85</v>
      </c>
    </row>
    <row r="1566" spans="1:16" x14ac:dyDescent="0.25">
      <c r="A1566" t="s">
        <v>3296</v>
      </c>
      <c r="B1566" t="s">
        <v>2931</v>
      </c>
      <c r="C1566">
        <v>22</v>
      </c>
      <c r="D1566" t="str">
        <f t="shared" ref="D1566:D1587" si="39">"5009612     "</f>
        <v xml:space="preserve">5009612     </v>
      </c>
      <c r="E1566" t="s">
        <v>8</v>
      </c>
      <c r="F1566" t="s">
        <v>11</v>
      </c>
      <c r="G1566">
        <v>668.04</v>
      </c>
      <c r="H1566">
        <v>250101</v>
      </c>
      <c r="I1566">
        <v>4841</v>
      </c>
      <c r="J1566" t="s">
        <v>9</v>
      </c>
      <c r="K1566">
        <v>6252.56</v>
      </c>
      <c r="L1566">
        <v>135.74</v>
      </c>
      <c r="M1566">
        <v>54222</v>
      </c>
      <c r="N1566" t="s">
        <v>48</v>
      </c>
      <c r="O1566">
        <v>241231</v>
      </c>
      <c r="P1566">
        <v>532.29999999999995</v>
      </c>
    </row>
    <row r="1567" spans="1:16" x14ac:dyDescent="0.25">
      <c r="A1567" t="s">
        <v>3296</v>
      </c>
      <c r="B1567" t="s">
        <v>2931</v>
      </c>
      <c r="C1567">
        <v>22</v>
      </c>
      <c r="D1567" t="str">
        <f t="shared" si="39"/>
        <v xml:space="preserve">5009612     </v>
      </c>
      <c r="E1567" t="s">
        <v>8</v>
      </c>
      <c r="F1567" t="s">
        <v>11</v>
      </c>
      <c r="G1567">
        <v>47.31</v>
      </c>
      <c r="H1567">
        <v>250101</v>
      </c>
      <c r="I1567">
        <v>4841</v>
      </c>
      <c r="J1567" t="s">
        <v>9</v>
      </c>
      <c r="K1567">
        <v>6252.56</v>
      </c>
      <c r="L1567">
        <v>9.61</v>
      </c>
      <c r="M1567">
        <v>54422</v>
      </c>
      <c r="N1567" t="s">
        <v>49</v>
      </c>
      <c r="O1567">
        <v>241231</v>
      </c>
      <c r="P1567">
        <v>37.700000000000003</v>
      </c>
    </row>
    <row r="1568" spans="1:16" x14ac:dyDescent="0.25">
      <c r="A1568" t="s">
        <v>3296</v>
      </c>
      <c r="B1568" t="s">
        <v>2931</v>
      </c>
      <c r="C1568">
        <v>22</v>
      </c>
      <c r="D1568" t="str">
        <f t="shared" si="39"/>
        <v xml:space="preserve">5009612     </v>
      </c>
      <c r="E1568" t="s">
        <v>8</v>
      </c>
      <c r="F1568" t="s">
        <v>11</v>
      </c>
      <c r="G1568">
        <v>407.64</v>
      </c>
      <c r="H1568">
        <v>250101</v>
      </c>
      <c r="I1568">
        <v>4841</v>
      </c>
      <c r="J1568" t="s">
        <v>9</v>
      </c>
      <c r="K1568">
        <v>6252.56</v>
      </c>
      <c r="L1568">
        <v>82.83</v>
      </c>
      <c r="M1568">
        <v>54422</v>
      </c>
      <c r="N1568" t="s">
        <v>49</v>
      </c>
      <c r="O1568">
        <v>241231</v>
      </c>
      <c r="P1568">
        <v>324.81</v>
      </c>
    </row>
    <row r="1569" spans="1:16" x14ac:dyDescent="0.25">
      <c r="A1569" t="s">
        <v>3296</v>
      </c>
      <c r="B1569" t="s">
        <v>2931</v>
      </c>
      <c r="C1569">
        <v>22</v>
      </c>
      <c r="D1569" t="str">
        <f t="shared" si="39"/>
        <v xml:space="preserve">5009612     </v>
      </c>
      <c r="E1569" t="s">
        <v>8</v>
      </c>
      <c r="F1569" t="s">
        <v>11</v>
      </c>
      <c r="G1569">
        <v>562.57000000000005</v>
      </c>
      <c r="H1569">
        <v>250101</v>
      </c>
      <c r="I1569">
        <v>4841</v>
      </c>
      <c r="J1569" t="s">
        <v>9</v>
      </c>
      <c r="K1569">
        <v>6252.56</v>
      </c>
      <c r="L1569">
        <v>114.31</v>
      </c>
      <c r="M1569">
        <v>56558</v>
      </c>
      <c r="N1569" t="s">
        <v>50</v>
      </c>
      <c r="O1569">
        <v>241231</v>
      </c>
      <c r="P1569">
        <v>448.26</v>
      </c>
    </row>
    <row r="1570" spans="1:16" x14ac:dyDescent="0.25">
      <c r="A1570" t="s">
        <v>3296</v>
      </c>
      <c r="B1570" t="s">
        <v>2931</v>
      </c>
      <c r="C1570">
        <v>22</v>
      </c>
      <c r="D1570" t="str">
        <f t="shared" si="39"/>
        <v xml:space="preserve">5009612     </v>
      </c>
      <c r="E1570" t="s">
        <v>8</v>
      </c>
      <c r="F1570" t="s">
        <v>11</v>
      </c>
      <c r="G1570">
        <v>294.54000000000002</v>
      </c>
      <c r="H1570">
        <v>250101</v>
      </c>
      <c r="I1570">
        <v>4841</v>
      </c>
      <c r="J1570" t="s">
        <v>9</v>
      </c>
      <c r="K1570">
        <v>6252.56</v>
      </c>
      <c r="L1570">
        <v>59.85</v>
      </c>
      <c r="M1570">
        <v>56559</v>
      </c>
      <c r="N1570" t="s">
        <v>51</v>
      </c>
      <c r="O1570">
        <v>241231</v>
      </c>
      <c r="P1570">
        <v>234.69</v>
      </c>
    </row>
    <row r="1571" spans="1:16" x14ac:dyDescent="0.25">
      <c r="A1571" t="s">
        <v>3296</v>
      </c>
      <c r="B1571" t="s">
        <v>2931</v>
      </c>
      <c r="C1571">
        <v>22</v>
      </c>
      <c r="D1571" t="str">
        <f t="shared" si="39"/>
        <v xml:space="preserve">5009612     </v>
      </c>
      <c r="E1571" t="s">
        <v>8</v>
      </c>
      <c r="F1571" t="s">
        <v>11</v>
      </c>
      <c r="G1571">
        <v>105.26</v>
      </c>
      <c r="H1571">
        <v>250101</v>
      </c>
      <c r="I1571">
        <v>4841</v>
      </c>
      <c r="J1571" t="s">
        <v>9</v>
      </c>
      <c r="K1571">
        <v>6252.56</v>
      </c>
      <c r="L1571">
        <v>21.39</v>
      </c>
      <c r="M1571">
        <v>56560</v>
      </c>
      <c r="N1571" t="s">
        <v>52</v>
      </c>
      <c r="O1571">
        <v>241231</v>
      </c>
      <c r="P1571">
        <v>83.87</v>
      </c>
    </row>
    <row r="1572" spans="1:16" x14ac:dyDescent="0.25">
      <c r="A1572" t="s">
        <v>3296</v>
      </c>
      <c r="B1572" t="s">
        <v>2931</v>
      </c>
      <c r="C1572">
        <v>22</v>
      </c>
      <c r="D1572" t="str">
        <f t="shared" si="39"/>
        <v xml:space="preserve">5009612     </v>
      </c>
      <c r="E1572" t="s">
        <v>8</v>
      </c>
      <c r="F1572" t="s">
        <v>11</v>
      </c>
      <c r="G1572">
        <v>66.680000000000007</v>
      </c>
      <c r="H1572">
        <v>250101</v>
      </c>
      <c r="I1572">
        <v>4841</v>
      </c>
      <c r="J1572" t="s">
        <v>9</v>
      </c>
      <c r="K1572">
        <v>6252.56</v>
      </c>
      <c r="L1572">
        <v>13.55</v>
      </c>
      <c r="M1572">
        <v>56561</v>
      </c>
      <c r="N1572" t="s">
        <v>53</v>
      </c>
      <c r="O1572">
        <v>241231</v>
      </c>
      <c r="P1572">
        <v>53.13</v>
      </c>
    </row>
    <row r="1573" spans="1:16" x14ac:dyDescent="0.25">
      <c r="A1573" t="s">
        <v>3296</v>
      </c>
      <c r="B1573" t="s">
        <v>2931</v>
      </c>
      <c r="C1573">
        <v>22</v>
      </c>
      <c r="D1573" t="str">
        <f t="shared" si="39"/>
        <v xml:space="preserve">5009612     </v>
      </c>
      <c r="E1573" t="s">
        <v>8</v>
      </c>
      <c r="F1573" t="s">
        <v>11</v>
      </c>
      <c r="G1573">
        <v>148.76</v>
      </c>
      <c r="H1573">
        <v>250101</v>
      </c>
      <c r="I1573">
        <v>4841</v>
      </c>
      <c r="J1573" t="s">
        <v>9</v>
      </c>
      <c r="K1573">
        <v>6252.56</v>
      </c>
      <c r="L1573">
        <v>30.23</v>
      </c>
      <c r="M1573">
        <v>56562</v>
      </c>
      <c r="N1573" t="s">
        <v>54</v>
      </c>
      <c r="O1573">
        <v>241231</v>
      </c>
      <c r="P1573">
        <v>118.53</v>
      </c>
    </row>
    <row r="1574" spans="1:16" x14ac:dyDescent="0.25">
      <c r="A1574" t="s">
        <v>3296</v>
      </c>
      <c r="B1574" t="s">
        <v>2931</v>
      </c>
      <c r="C1574">
        <v>22</v>
      </c>
      <c r="D1574" t="str">
        <f t="shared" si="39"/>
        <v xml:space="preserve">5009612     </v>
      </c>
      <c r="E1574" t="s">
        <v>8</v>
      </c>
      <c r="F1574" t="s">
        <v>11</v>
      </c>
      <c r="G1574">
        <v>130.03</v>
      </c>
      <c r="H1574">
        <v>250101</v>
      </c>
      <c r="I1574">
        <v>4841</v>
      </c>
      <c r="J1574" t="s">
        <v>9</v>
      </c>
      <c r="K1574">
        <v>6252.56</v>
      </c>
      <c r="L1574">
        <v>26.42</v>
      </c>
      <c r="M1574">
        <v>56563</v>
      </c>
      <c r="N1574" t="s">
        <v>55</v>
      </c>
      <c r="O1574">
        <v>241231</v>
      </c>
      <c r="P1574">
        <v>103.61</v>
      </c>
    </row>
    <row r="1575" spans="1:16" x14ac:dyDescent="0.25">
      <c r="A1575" t="s">
        <v>3296</v>
      </c>
      <c r="B1575" t="s">
        <v>2931</v>
      </c>
      <c r="C1575">
        <v>22</v>
      </c>
      <c r="D1575" t="str">
        <f t="shared" si="39"/>
        <v xml:space="preserve">5009612     </v>
      </c>
      <c r="E1575" t="s">
        <v>8</v>
      </c>
      <c r="F1575" t="s">
        <v>11</v>
      </c>
      <c r="G1575">
        <v>442.16</v>
      </c>
      <c r="H1575">
        <v>250101</v>
      </c>
      <c r="I1575">
        <v>4841</v>
      </c>
      <c r="J1575" t="s">
        <v>9</v>
      </c>
      <c r="K1575">
        <v>6252.56</v>
      </c>
      <c r="L1575">
        <v>89.84</v>
      </c>
      <c r="M1575">
        <v>56564</v>
      </c>
      <c r="N1575" t="s">
        <v>56</v>
      </c>
      <c r="O1575">
        <v>241231</v>
      </c>
      <c r="P1575">
        <v>352.32</v>
      </c>
    </row>
    <row r="1576" spans="1:16" x14ac:dyDescent="0.25">
      <c r="A1576" t="s">
        <v>3296</v>
      </c>
      <c r="B1576" t="s">
        <v>2931</v>
      </c>
      <c r="C1576">
        <v>22</v>
      </c>
      <c r="D1576" t="str">
        <f t="shared" si="39"/>
        <v xml:space="preserve">5009612     </v>
      </c>
      <c r="E1576" t="s">
        <v>8</v>
      </c>
      <c r="F1576" t="s">
        <v>11</v>
      </c>
      <c r="G1576">
        <v>71.77</v>
      </c>
      <c r="H1576">
        <v>250101</v>
      </c>
      <c r="I1576">
        <v>4841</v>
      </c>
      <c r="J1576" t="s">
        <v>9</v>
      </c>
      <c r="K1576">
        <v>6252.56</v>
      </c>
      <c r="L1576">
        <v>14.58</v>
      </c>
      <c r="M1576">
        <v>56565</v>
      </c>
      <c r="N1576" t="s">
        <v>57</v>
      </c>
      <c r="O1576">
        <v>241231</v>
      </c>
      <c r="P1576">
        <v>57.19</v>
      </c>
    </row>
    <row r="1577" spans="1:16" x14ac:dyDescent="0.25">
      <c r="A1577" t="s">
        <v>3296</v>
      </c>
      <c r="B1577" t="s">
        <v>2931</v>
      </c>
      <c r="C1577">
        <v>22</v>
      </c>
      <c r="D1577" t="str">
        <f t="shared" si="39"/>
        <v xml:space="preserve">5009612     </v>
      </c>
      <c r="E1577" t="s">
        <v>8</v>
      </c>
      <c r="F1577" t="s">
        <v>11</v>
      </c>
      <c r="G1577">
        <v>1853.82</v>
      </c>
      <c r="H1577">
        <v>250101</v>
      </c>
      <c r="I1577">
        <v>4841</v>
      </c>
      <c r="J1577" t="s">
        <v>9</v>
      </c>
      <c r="K1577">
        <v>6252.56</v>
      </c>
      <c r="L1577">
        <v>376.67</v>
      </c>
      <c r="M1577">
        <v>56566</v>
      </c>
      <c r="N1577" t="s">
        <v>58</v>
      </c>
      <c r="O1577">
        <v>241231</v>
      </c>
      <c r="P1577">
        <v>1477.15</v>
      </c>
    </row>
    <row r="1578" spans="1:16" x14ac:dyDescent="0.25">
      <c r="A1578" t="s">
        <v>3296</v>
      </c>
      <c r="B1578" t="s">
        <v>2931</v>
      </c>
      <c r="C1578">
        <v>22</v>
      </c>
      <c r="D1578" t="str">
        <f t="shared" si="39"/>
        <v xml:space="preserve">5009612     </v>
      </c>
      <c r="E1578" t="s">
        <v>8</v>
      </c>
      <c r="F1578" t="s">
        <v>11</v>
      </c>
      <c r="G1578">
        <v>146.04</v>
      </c>
      <c r="H1578">
        <v>250101</v>
      </c>
      <c r="I1578">
        <v>4841</v>
      </c>
      <c r="J1578" t="s">
        <v>9</v>
      </c>
      <c r="K1578">
        <v>6252.56</v>
      </c>
      <c r="L1578">
        <v>29.67</v>
      </c>
      <c r="M1578">
        <v>58601</v>
      </c>
      <c r="N1578" t="s">
        <v>59</v>
      </c>
      <c r="O1578">
        <v>241231</v>
      </c>
      <c r="P1578">
        <v>116.37</v>
      </c>
    </row>
    <row r="1579" spans="1:16" x14ac:dyDescent="0.25">
      <c r="A1579" t="s">
        <v>3296</v>
      </c>
      <c r="B1579" t="s">
        <v>2931</v>
      </c>
      <c r="C1579">
        <v>22</v>
      </c>
      <c r="D1579" t="str">
        <f t="shared" si="39"/>
        <v xml:space="preserve">5009612     </v>
      </c>
      <c r="E1579" t="s">
        <v>8</v>
      </c>
      <c r="F1579" t="s">
        <v>11</v>
      </c>
      <c r="G1579">
        <v>68.2</v>
      </c>
      <c r="H1579">
        <v>250101</v>
      </c>
      <c r="I1579">
        <v>4841</v>
      </c>
      <c r="J1579" t="s">
        <v>9</v>
      </c>
      <c r="K1579">
        <v>6252.56</v>
      </c>
      <c r="L1579">
        <v>13.86</v>
      </c>
      <c r="M1579">
        <v>59111</v>
      </c>
      <c r="N1579" t="s">
        <v>60</v>
      </c>
      <c r="O1579">
        <v>241231</v>
      </c>
      <c r="P1579">
        <v>54.34</v>
      </c>
    </row>
    <row r="1580" spans="1:16" x14ac:dyDescent="0.25">
      <c r="A1580" t="s">
        <v>3296</v>
      </c>
      <c r="B1580" t="s">
        <v>2931</v>
      </c>
      <c r="C1580">
        <v>22</v>
      </c>
      <c r="D1580" t="str">
        <f t="shared" si="39"/>
        <v xml:space="preserve">5009612     </v>
      </c>
      <c r="E1580" t="s">
        <v>8</v>
      </c>
      <c r="F1580" t="s">
        <v>11</v>
      </c>
      <c r="G1580">
        <v>20.420000000000002</v>
      </c>
      <c r="H1580">
        <v>250101</v>
      </c>
      <c r="I1580">
        <v>4841</v>
      </c>
      <c r="J1580" t="s">
        <v>9</v>
      </c>
      <c r="K1580">
        <v>6252.56</v>
      </c>
      <c r="L1580">
        <v>4.1500000000000004</v>
      </c>
      <c r="M1580">
        <v>59112</v>
      </c>
      <c r="N1580" t="s">
        <v>44</v>
      </c>
      <c r="O1580">
        <v>241231</v>
      </c>
      <c r="P1580">
        <v>16.27</v>
      </c>
    </row>
    <row r="1581" spans="1:16" x14ac:dyDescent="0.25">
      <c r="A1581" t="s">
        <v>3296</v>
      </c>
      <c r="B1581" t="s">
        <v>2931</v>
      </c>
      <c r="C1581">
        <v>22</v>
      </c>
      <c r="D1581" t="str">
        <f t="shared" si="39"/>
        <v xml:space="preserve">5009612     </v>
      </c>
      <c r="E1581" t="s">
        <v>8</v>
      </c>
      <c r="F1581" t="s">
        <v>11</v>
      </c>
      <c r="G1581">
        <v>59.42</v>
      </c>
      <c r="H1581">
        <v>250101</v>
      </c>
      <c r="I1581">
        <v>4841</v>
      </c>
      <c r="J1581" t="s">
        <v>9</v>
      </c>
      <c r="K1581">
        <v>6252.56</v>
      </c>
      <c r="L1581">
        <v>12.07</v>
      </c>
      <c r="M1581">
        <v>59113</v>
      </c>
      <c r="N1581" t="s">
        <v>61</v>
      </c>
      <c r="O1581">
        <v>241231</v>
      </c>
      <c r="P1581">
        <v>47.35</v>
      </c>
    </row>
    <row r="1582" spans="1:16" x14ac:dyDescent="0.25">
      <c r="A1582" t="s">
        <v>3296</v>
      </c>
      <c r="B1582" t="s">
        <v>2931</v>
      </c>
      <c r="C1582">
        <v>22</v>
      </c>
      <c r="D1582" t="str">
        <f t="shared" si="39"/>
        <v xml:space="preserve">5009612     </v>
      </c>
      <c r="E1582" t="s">
        <v>8</v>
      </c>
      <c r="F1582" t="s">
        <v>11</v>
      </c>
      <c r="G1582">
        <v>106.35</v>
      </c>
      <c r="H1582">
        <v>250101</v>
      </c>
      <c r="I1582">
        <v>4841</v>
      </c>
      <c r="J1582" t="s">
        <v>9</v>
      </c>
      <c r="K1582">
        <v>6252.56</v>
      </c>
      <c r="L1582">
        <v>21.61</v>
      </c>
      <c r="M1582">
        <v>59501</v>
      </c>
      <c r="N1582" t="s">
        <v>62</v>
      </c>
      <c r="O1582">
        <v>241231</v>
      </c>
      <c r="P1582">
        <v>84.74</v>
      </c>
    </row>
    <row r="1583" spans="1:16" x14ac:dyDescent="0.25">
      <c r="A1583" t="s">
        <v>3296</v>
      </c>
      <c r="B1583" t="s">
        <v>2931</v>
      </c>
      <c r="C1583">
        <v>22</v>
      </c>
      <c r="D1583" t="str">
        <f t="shared" si="39"/>
        <v xml:space="preserve">5009612     </v>
      </c>
      <c r="E1583" t="s">
        <v>8</v>
      </c>
      <c r="F1583" t="s">
        <v>11</v>
      </c>
      <c r="G1583">
        <v>415.38</v>
      </c>
      <c r="H1583">
        <v>250101</v>
      </c>
      <c r="I1583">
        <v>4841</v>
      </c>
      <c r="J1583" t="s">
        <v>9</v>
      </c>
      <c r="K1583">
        <v>6252.56</v>
      </c>
      <c r="L1583">
        <v>84.4</v>
      </c>
      <c r="M1583">
        <v>59502</v>
      </c>
      <c r="N1583" t="s">
        <v>63</v>
      </c>
      <c r="O1583">
        <v>241231</v>
      </c>
      <c r="P1583">
        <v>330.98</v>
      </c>
    </row>
    <row r="1584" spans="1:16" x14ac:dyDescent="0.25">
      <c r="A1584" t="s">
        <v>3296</v>
      </c>
      <c r="B1584" t="s">
        <v>2931</v>
      </c>
      <c r="C1584">
        <v>22</v>
      </c>
      <c r="D1584" t="str">
        <f t="shared" si="39"/>
        <v xml:space="preserve">5009612     </v>
      </c>
      <c r="E1584" t="s">
        <v>8</v>
      </c>
      <c r="F1584" t="s">
        <v>11</v>
      </c>
      <c r="G1584">
        <v>171.76</v>
      </c>
      <c r="H1584">
        <v>250101</v>
      </c>
      <c r="I1584">
        <v>4841</v>
      </c>
      <c r="J1584" t="s">
        <v>9</v>
      </c>
      <c r="K1584">
        <v>6252.56</v>
      </c>
      <c r="L1584">
        <v>34.9</v>
      </c>
      <c r="M1584">
        <v>59701</v>
      </c>
      <c r="N1584" t="s">
        <v>64</v>
      </c>
      <c r="O1584">
        <v>241231</v>
      </c>
      <c r="P1584">
        <v>136.86000000000001</v>
      </c>
    </row>
    <row r="1585" spans="1:16" x14ac:dyDescent="0.25">
      <c r="A1585" t="s">
        <v>3296</v>
      </c>
      <c r="B1585" t="s">
        <v>2931</v>
      </c>
      <c r="C1585">
        <v>22</v>
      </c>
      <c r="D1585" t="str">
        <f t="shared" si="39"/>
        <v xml:space="preserve">5009612     </v>
      </c>
      <c r="E1585" t="s">
        <v>8</v>
      </c>
      <c r="F1585" t="s">
        <v>11</v>
      </c>
      <c r="G1585">
        <v>327.22000000000003</v>
      </c>
      <c r="H1585">
        <v>250101</v>
      </c>
      <c r="I1585">
        <v>4841</v>
      </c>
      <c r="J1585" t="s">
        <v>9</v>
      </c>
      <c r="K1585">
        <v>6252.56</v>
      </c>
      <c r="L1585">
        <v>66.489999999999995</v>
      </c>
      <c r="M1585">
        <v>59702</v>
      </c>
      <c r="N1585" t="s">
        <v>45</v>
      </c>
      <c r="O1585">
        <v>241231</v>
      </c>
      <c r="P1585">
        <v>260.73</v>
      </c>
    </row>
    <row r="1586" spans="1:16" x14ac:dyDescent="0.25">
      <c r="A1586" t="s">
        <v>3296</v>
      </c>
      <c r="B1586" t="s">
        <v>2931</v>
      </c>
      <c r="C1586">
        <v>22</v>
      </c>
      <c r="D1586" t="str">
        <f t="shared" si="39"/>
        <v xml:space="preserve">5009612     </v>
      </c>
      <c r="E1586" t="s">
        <v>8</v>
      </c>
      <c r="F1586" t="s">
        <v>11</v>
      </c>
      <c r="G1586">
        <v>126.86</v>
      </c>
      <c r="H1586">
        <v>250101</v>
      </c>
      <c r="I1586">
        <v>4841</v>
      </c>
      <c r="J1586" t="s">
        <v>9</v>
      </c>
      <c r="K1586">
        <v>6252.56</v>
      </c>
      <c r="L1586">
        <v>25.78</v>
      </c>
      <c r="M1586">
        <v>59704</v>
      </c>
      <c r="N1586" t="s">
        <v>46</v>
      </c>
      <c r="O1586">
        <v>241231</v>
      </c>
      <c r="P1586">
        <v>101.08</v>
      </c>
    </row>
    <row r="1587" spans="1:16" x14ac:dyDescent="0.25">
      <c r="A1587" t="s">
        <v>3296</v>
      </c>
      <c r="B1587" t="s">
        <v>2931</v>
      </c>
      <c r="C1587">
        <v>22</v>
      </c>
      <c r="D1587" t="str">
        <f t="shared" si="39"/>
        <v xml:space="preserve">5009612     </v>
      </c>
      <c r="E1587" t="s">
        <v>8</v>
      </c>
      <c r="F1587" t="s">
        <v>11</v>
      </c>
      <c r="G1587">
        <v>12.33</v>
      </c>
      <c r="H1587">
        <v>250101</v>
      </c>
      <c r="I1587">
        <v>4841</v>
      </c>
      <c r="J1587" t="s">
        <v>9</v>
      </c>
      <c r="K1587">
        <v>6252.56</v>
      </c>
      <c r="L1587">
        <v>2.5099999999999998</v>
      </c>
      <c r="M1587">
        <v>59705</v>
      </c>
      <c r="N1587" t="s">
        <v>47</v>
      </c>
      <c r="O1587">
        <v>241231</v>
      </c>
      <c r="P1587">
        <v>9.82</v>
      </c>
    </row>
    <row r="1588" spans="1:16" x14ac:dyDescent="0.25">
      <c r="A1588" t="s">
        <v>3296</v>
      </c>
      <c r="B1588" t="s">
        <v>2931</v>
      </c>
      <c r="C1588">
        <v>30</v>
      </c>
      <c r="D1588" t="str">
        <f>"5009607     "</f>
        <v xml:space="preserve">5009607     </v>
      </c>
      <c r="E1588" t="s">
        <v>8</v>
      </c>
      <c r="F1588" t="s">
        <v>11</v>
      </c>
      <c r="G1588">
        <v>398.12</v>
      </c>
      <c r="H1588">
        <v>250101</v>
      </c>
      <c r="I1588">
        <v>4841</v>
      </c>
      <c r="J1588" t="s">
        <v>9</v>
      </c>
      <c r="K1588">
        <v>398.12</v>
      </c>
      <c r="L1588">
        <v>80.89</v>
      </c>
      <c r="M1588">
        <v>11101</v>
      </c>
      <c r="N1588" t="s">
        <v>67</v>
      </c>
      <c r="O1588">
        <v>241231</v>
      </c>
      <c r="P1588">
        <v>317.23</v>
      </c>
    </row>
    <row r="1589" spans="1:16" x14ac:dyDescent="0.25">
      <c r="A1589" t="s">
        <v>3296</v>
      </c>
      <c r="B1589" t="s">
        <v>2931</v>
      </c>
      <c r="C1589">
        <v>33</v>
      </c>
      <c r="D1589" t="str">
        <f>"5009609     "</f>
        <v xml:space="preserve">5009609     </v>
      </c>
      <c r="E1589" t="s">
        <v>8</v>
      </c>
      <c r="F1589" t="s">
        <v>11</v>
      </c>
      <c r="G1589">
        <v>118.85</v>
      </c>
      <c r="H1589">
        <v>250101</v>
      </c>
      <c r="I1589">
        <v>4841</v>
      </c>
      <c r="J1589" t="s">
        <v>9</v>
      </c>
      <c r="K1589">
        <v>2859.99</v>
      </c>
      <c r="L1589">
        <v>24.15</v>
      </c>
      <c r="M1589">
        <v>56522</v>
      </c>
      <c r="N1589" t="s">
        <v>68</v>
      </c>
      <c r="O1589">
        <v>241231</v>
      </c>
      <c r="P1589">
        <v>94.7</v>
      </c>
    </row>
    <row r="1590" spans="1:16" x14ac:dyDescent="0.25">
      <c r="A1590" t="s">
        <v>3296</v>
      </c>
      <c r="B1590" t="s">
        <v>2931</v>
      </c>
      <c r="C1590">
        <v>33</v>
      </c>
      <c r="D1590" t="str">
        <f>"5009609     "</f>
        <v xml:space="preserve">5009609     </v>
      </c>
      <c r="E1590" t="s">
        <v>8</v>
      </c>
      <c r="F1590" t="s">
        <v>11</v>
      </c>
      <c r="G1590">
        <v>2368.0700000000002</v>
      </c>
      <c r="H1590">
        <v>250101</v>
      </c>
      <c r="I1590">
        <v>4841</v>
      </c>
      <c r="J1590" t="s">
        <v>9</v>
      </c>
      <c r="K1590">
        <v>2859.99</v>
      </c>
      <c r="L1590">
        <v>481.16</v>
      </c>
      <c r="M1590">
        <v>56524</v>
      </c>
      <c r="N1590" t="s">
        <v>69</v>
      </c>
      <c r="O1590">
        <v>241231</v>
      </c>
      <c r="P1590">
        <v>1886.91</v>
      </c>
    </row>
    <row r="1591" spans="1:16" x14ac:dyDescent="0.25">
      <c r="A1591" t="s">
        <v>3296</v>
      </c>
      <c r="B1591" t="s">
        <v>2931</v>
      </c>
      <c r="C1591">
        <v>33</v>
      </c>
      <c r="D1591" t="str">
        <f>"5009609     "</f>
        <v xml:space="preserve">5009609     </v>
      </c>
      <c r="E1591" t="s">
        <v>8</v>
      </c>
      <c r="F1591" t="s">
        <v>11</v>
      </c>
      <c r="G1591">
        <v>373.07</v>
      </c>
      <c r="H1591">
        <v>250101</v>
      </c>
      <c r="I1591">
        <v>4841</v>
      </c>
      <c r="J1591" t="s">
        <v>9</v>
      </c>
      <c r="K1591">
        <v>2859.99</v>
      </c>
      <c r="L1591">
        <v>75.8</v>
      </c>
      <c r="M1591">
        <v>56528</v>
      </c>
      <c r="N1591" t="s">
        <v>70</v>
      </c>
      <c r="O1591">
        <v>241231</v>
      </c>
      <c r="P1591">
        <v>297.27</v>
      </c>
    </row>
    <row r="1592" spans="1:16" x14ac:dyDescent="0.25">
      <c r="A1592" t="s">
        <v>3296</v>
      </c>
      <c r="B1592" t="s">
        <v>2931</v>
      </c>
      <c r="C1592">
        <v>36</v>
      </c>
      <c r="D1592" t="str">
        <f t="shared" ref="D1592:D1617" si="40">"5009610     "</f>
        <v xml:space="preserve">5009610     </v>
      </c>
      <c r="E1592" t="s">
        <v>8</v>
      </c>
      <c r="F1592" t="s">
        <v>11</v>
      </c>
      <c r="G1592">
        <v>432.09</v>
      </c>
      <c r="H1592">
        <v>250101</v>
      </c>
      <c r="I1592">
        <v>4841</v>
      </c>
      <c r="J1592" t="s">
        <v>9</v>
      </c>
      <c r="K1592">
        <v>15062.41</v>
      </c>
      <c r="L1592">
        <v>87.8</v>
      </c>
      <c r="M1592">
        <v>14121</v>
      </c>
      <c r="N1592" t="s">
        <v>71</v>
      </c>
      <c r="O1592">
        <v>241231</v>
      </c>
      <c r="P1592">
        <v>344.29</v>
      </c>
    </row>
    <row r="1593" spans="1:16" x14ac:dyDescent="0.25">
      <c r="A1593" t="s">
        <v>3296</v>
      </c>
      <c r="B1593" t="s">
        <v>2931</v>
      </c>
      <c r="C1593">
        <v>36</v>
      </c>
      <c r="D1593" t="str">
        <f t="shared" si="40"/>
        <v xml:space="preserve">5009610     </v>
      </c>
      <c r="E1593" t="s">
        <v>8</v>
      </c>
      <c r="F1593" t="s">
        <v>11</v>
      </c>
      <c r="G1593">
        <v>2855.48</v>
      </c>
      <c r="H1593">
        <v>250101</v>
      </c>
      <c r="I1593">
        <v>4841</v>
      </c>
      <c r="J1593" t="s">
        <v>9</v>
      </c>
      <c r="K1593">
        <v>15062.41</v>
      </c>
      <c r="L1593">
        <v>580.20000000000005</v>
      </c>
      <c r="M1593">
        <v>14121</v>
      </c>
      <c r="N1593" t="s">
        <v>71</v>
      </c>
      <c r="O1593">
        <v>241231</v>
      </c>
      <c r="P1593">
        <v>2275.2800000000002</v>
      </c>
    </row>
    <row r="1594" spans="1:16" x14ac:dyDescent="0.25">
      <c r="A1594" t="s">
        <v>3296</v>
      </c>
      <c r="B1594" t="s">
        <v>2931</v>
      </c>
      <c r="C1594">
        <v>36</v>
      </c>
      <c r="D1594" t="str">
        <f t="shared" si="40"/>
        <v xml:space="preserve">5009610     </v>
      </c>
      <c r="E1594" t="s">
        <v>8</v>
      </c>
      <c r="F1594" t="s">
        <v>11</v>
      </c>
      <c r="G1594">
        <v>684.57</v>
      </c>
      <c r="H1594">
        <v>250101</v>
      </c>
      <c r="I1594">
        <v>4841</v>
      </c>
      <c r="J1594" t="s">
        <v>9</v>
      </c>
      <c r="K1594">
        <v>15062.41</v>
      </c>
      <c r="L1594">
        <v>139.1</v>
      </c>
      <c r="M1594">
        <v>14321</v>
      </c>
      <c r="N1594" t="s">
        <v>72</v>
      </c>
      <c r="O1594">
        <v>241231</v>
      </c>
      <c r="P1594">
        <v>545.47</v>
      </c>
    </row>
    <row r="1595" spans="1:16" x14ac:dyDescent="0.25">
      <c r="A1595" t="s">
        <v>3296</v>
      </c>
      <c r="B1595" t="s">
        <v>2931</v>
      </c>
      <c r="C1595">
        <v>36</v>
      </c>
      <c r="D1595" t="str">
        <f t="shared" si="40"/>
        <v xml:space="preserve">5009610     </v>
      </c>
      <c r="E1595" t="s">
        <v>8</v>
      </c>
      <c r="F1595" t="s">
        <v>11</v>
      </c>
      <c r="G1595">
        <v>611.34</v>
      </c>
      <c r="H1595">
        <v>250101</v>
      </c>
      <c r="I1595">
        <v>4841</v>
      </c>
      <c r="J1595" t="s">
        <v>9</v>
      </c>
      <c r="K1595">
        <v>15062.41</v>
      </c>
      <c r="L1595">
        <v>124.22</v>
      </c>
      <c r="M1595">
        <v>14321</v>
      </c>
      <c r="N1595" t="s">
        <v>72</v>
      </c>
      <c r="O1595">
        <v>241231</v>
      </c>
      <c r="P1595">
        <v>487.12</v>
      </c>
    </row>
    <row r="1596" spans="1:16" x14ac:dyDescent="0.25">
      <c r="A1596" t="s">
        <v>3296</v>
      </c>
      <c r="B1596" t="s">
        <v>2931</v>
      </c>
      <c r="C1596">
        <v>36</v>
      </c>
      <c r="D1596" t="str">
        <f t="shared" si="40"/>
        <v xml:space="preserve">5009610     </v>
      </c>
      <c r="E1596" t="s">
        <v>8</v>
      </c>
      <c r="F1596" t="s">
        <v>11</v>
      </c>
      <c r="G1596">
        <v>1176.83</v>
      </c>
      <c r="H1596">
        <v>250101</v>
      </c>
      <c r="I1596">
        <v>4841</v>
      </c>
      <c r="J1596" t="s">
        <v>9</v>
      </c>
      <c r="K1596">
        <v>15062.41</v>
      </c>
      <c r="L1596">
        <v>239.12</v>
      </c>
      <c r="M1596">
        <v>14422</v>
      </c>
      <c r="N1596" t="s">
        <v>73</v>
      </c>
      <c r="O1596">
        <v>241231</v>
      </c>
      <c r="P1596">
        <v>937.71</v>
      </c>
    </row>
    <row r="1597" spans="1:16" x14ac:dyDescent="0.25">
      <c r="A1597" t="s">
        <v>3296</v>
      </c>
      <c r="B1597" t="s">
        <v>2931</v>
      </c>
      <c r="C1597">
        <v>36</v>
      </c>
      <c r="D1597" t="str">
        <f t="shared" si="40"/>
        <v xml:space="preserve">5009610     </v>
      </c>
      <c r="E1597" t="s">
        <v>8</v>
      </c>
      <c r="F1597" t="s">
        <v>11</v>
      </c>
      <c r="G1597">
        <v>563.24</v>
      </c>
      <c r="H1597">
        <v>250101</v>
      </c>
      <c r="I1597">
        <v>4841</v>
      </c>
      <c r="J1597" t="s">
        <v>9</v>
      </c>
      <c r="K1597">
        <v>15062.41</v>
      </c>
      <c r="L1597">
        <v>114.44</v>
      </c>
      <c r="M1597">
        <v>14422</v>
      </c>
      <c r="N1597" t="s">
        <v>73</v>
      </c>
      <c r="O1597">
        <v>241231</v>
      </c>
      <c r="P1597">
        <v>448.8</v>
      </c>
    </row>
    <row r="1598" spans="1:16" x14ac:dyDescent="0.25">
      <c r="A1598" t="s">
        <v>3296</v>
      </c>
      <c r="B1598" t="s">
        <v>2931</v>
      </c>
      <c r="C1598">
        <v>36</v>
      </c>
      <c r="D1598" t="str">
        <f t="shared" si="40"/>
        <v xml:space="preserve">5009610     </v>
      </c>
      <c r="E1598" t="s">
        <v>8</v>
      </c>
      <c r="F1598" t="s">
        <v>11</v>
      </c>
      <c r="G1598">
        <v>12.44</v>
      </c>
      <c r="H1598">
        <v>250101</v>
      </c>
      <c r="I1598">
        <v>4841</v>
      </c>
      <c r="J1598" t="s">
        <v>9</v>
      </c>
      <c r="K1598">
        <v>15062.41</v>
      </c>
      <c r="L1598">
        <v>2.5299999999999998</v>
      </c>
      <c r="M1598">
        <v>14431</v>
      </c>
      <c r="N1598" t="s">
        <v>74</v>
      </c>
      <c r="O1598">
        <v>241231</v>
      </c>
      <c r="P1598">
        <v>9.91</v>
      </c>
    </row>
    <row r="1599" spans="1:16" x14ac:dyDescent="0.25">
      <c r="A1599" t="s">
        <v>3296</v>
      </c>
      <c r="B1599" t="s">
        <v>2931</v>
      </c>
      <c r="C1599">
        <v>36</v>
      </c>
      <c r="D1599" t="str">
        <f t="shared" si="40"/>
        <v xml:space="preserve">5009610     </v>
      </c>
      <c r="E1599" t="s">
        <v>8</v>
      </c>
      <c r="F1599" t="s">
        <v>11</v>
      </c>
      <c r="G1599">
        <v>59.38</v>
      </c>
      <c r="H1599">
        <v>250101</v>
      </c>
      <c r="I1599">
        <v>4841</v>
      </c>
      <c r="J1599" t="s">
        <v>9</v>
      </c>
      <c r="K1599">
        <v>15062.41</v>
      </c>
      <c r="L1599">
        <v>12.07</v>
      </c>
      <c r="M1599">
        <v>14432</v>
      </c>
      <c r="N1599" t="s">
        <v>75</v>
      </c>
      <c r="O1599">
        <v>241231</v>
      </c>
      <c r="P1599">
        <v>47.31</v>
      </c>
    </row>
    <row r="1600" spans="1:16" x14ac:dyDescent="0.25">
      <c r="A1600" t="s">
        <v>3296</v>
      </c>
      <c r="B1600" t="s">
        <v>2931</v>
      </c>
      <c r="C1600">
        <v>36</v>
      </c>
      <c r="D1600" t="str">
        <f t="shared" si="40"/>
        <v xml:space="preserve">5009610     </v>
      </c>
      <c r="E1600" t="s">
        <v>8</v>
      </c>
      <c r="F1600" t="s">
        <v>11</v>
      </c>
      <c r="G1600">
        <v>80.430000000000007</v>
      </c>
      <c r="H1600">
        <v>250101</v>
      </c>
      <c r="I1600">
        <v>4841</v>
      </c>
      <c r="J1600" t="s">
        <v>9</v>
      </c>
      <c r="K1600">
        <v>15062.41</v>
      </c>
      <c r="L1600">
        <v>16.34</v>
      </c>
      <c r="M1600">
        <v>14541</v>
      </c>
      <c r="N1600" t="s">
        <v>76</v>
      </c>
      <c r="O1600">
        <v>241231</v>
      </c>
      <c r="P1600">
        <v>64.09</v>
      </c>
    </row>
    <row r="1601" spans="1:16" x14ac:dyDescent="0.25">
      <c r="A1601" t="s">
        <v>3296</v>
      </c>
      <c r="B1601" t="s">
        <v>2931</v>
      </c>
      <c r="C1601">
        <v>36</v>
      </c>
      <c r="D1601" t="str">
        <f t="shared" si="40"/>
        <v xml:space="preserve">5009610     </v>
      </c>
      <c r="E1601" t="s">
        <v>8</v>
      </c>
      <c r="F1601" t="s">
        <v>11</v>
      </c>
      <c r="G1601">
        <v>991.9</v>
      </c>
      <c r="H1601">
        <v>250101</v>
      </c>
      <c r="I1601">
        <v>4841</v>
      </c>
      <c r="J1601" t="s">
        <v>9</v>
      </c>
      <c r="K1601">
        <v>15062.41</v>
      </c>
      <c r="L1601">
        <v>201.54</v>
      </c>
      <c r="M1601">
        <v>14541</v>
      </c>
      <c r="N1601" t="s">
        <v>76</v>
      </c>
      <c r="O1601">
        <v>241231</v>
      </c>
      <c r="P1601">
        <v>790.36</v>
      </c>
    </row>
    <row r="1602" spans="1:16" x14ac:dyDescent="0.25">
      <c r="A1602" t="s">
        <v>3296</v>
      </c>
      <c r="B1602" t="s">
        <v>2931</v>
      </c>
      <c r="C1602">
        <v>36</v>
      </c>
      <c r="D1602" t="str">
        <f t="shared" si="40"/>
        <v xml:space="preserve">5009610     </v>
      </c>
      <c r="E1602" t="s">
        <v>8</v>
      </c>
      <c r="F1602" t="s">
        <v>11</v>
      </c>
      <c r="G1602">
        <v>2794.36</v>
      </c>
      <c r="H1602">
        <v>250101</v>
      </c>
      <c r="I1602">
        <v>4841</v>
      </c>
      <c r="J1602" t="s">
        <v>9</v>
      </c>
      <c r="K1602">
        <v>15062.41</v>
      </c>
      <c r="L1602">
        <v>567.78</v>
      </c>
      <c r="M1602">
        <v>14622</v>
      </c>
      <c r="N1602" t="s">
        <v>77</v>
      </c>
      <c r="O1602">
        <v>241231</v>
      </c>
      <c r="P1602">
        <v>2226.58</v>
      </c>
    </row>
    <row r="1603" spans="1:16" x14ac:dyDescent="0.25">
      <c r="A1603" t="s">
        <v>3296</v>
      </c>
      <c r="B1603" t="s">
        <v>2931</v>
      </c>
      <c r="C1603">
        <v>36</v>
      </c>
      <c r="D1603" t="str">
        <f t="shared" si="40"/>
        <v xml:space="preserve">5009610     </v>
      </c>
      <c r="E1603" t="s">
        <v>8</v>
      </c>
      <c r="F1603" t="s">
        <v>11</v>
      </c>
      <c r="G1603">
        <v>1839.37</v>
      </c>
      <c r="H1603">
        <v>250101</v>
      </c>
      <c r="I1603">
        <v>4841</v>
      </c>
      <c r="J1603" t="s">
        <v>9</v>
      </c>
      <c r="K1603">
        <v>15062.41</v>
      </c>
      <c r="L1603">
        <v>373.74</v>
      </c>
      <c r="M1603">
        <v>14622</v>
      </c>
      <c r="N1603" t="s">
        <v>77</v>
      </c>
      <c r="O1603">
        <v>241231</v>
      </c>
      <c r="P1603">
        <v>1465.63</v>
      </c>
    </row>
    <row r="1604" spans="1:16" x14ac:dyDescent="0.25">
      <c r="A1604" t="s">
        <v>3296</v>
      </c>
      <c r="B1604" t="s">
        <v>2931</v>
      </c>
      <c r="C1604">
        <v>36</v>
      </c>
      <c r="D1604" t="str">
        <f t="shared" si="40"/>
        <v xml:space="preserve">5009610     </v>
      </c>
      <c r="E1604" t="s">
        <v>8</v>
      </c>
      <c r="F1604" t="s">
        <v>11</v>
      </c>
      <c r="G1604">
        <v>126.15</v>
      </c>
      <c r="H1604">
        <v>250101</v>
      </c>
      <c r="I1604">
        <v>4841</v>
      </c>
      <c r="J1604" t="s">
        <v>9</v>
      </c>
      <c r="K1604">
        <v>15062.41</v>
      </c>
      <c r="L1604">
        <v>25.63</v>
      </c>
      <c r="M1604">
        <v>14640</v>
      </c>
      <c r="N1604" t="s">
        <v>78</v>
      </c>
      <c r="O1604">
        <v>241231</v>
      </c>
      <c r="P1604">
        <v>100.52</v>
      </c>
    </row>
    <row r="1605" spans="1:16" x14ac:dyDescent="0.25">
      <c r="A1605" t="s">
        <v>3296</v>
      </c>
      <c r="B1605" t="s">
        <v>2931</v>
      </c>
      <c r="C1605">
        <v>36</v>
      </c>
      <c r="D1605" t="str">
        <f t="shared" si="40"/>
        <v xml:space="preserve">5009610     </v>
      </c>
      <c r="E1605" t="s">
        <v>8</v>
      </c>
      <c r="F1605" t="s">
        <v>11</v>
      </c>
      <c r="G1605">
        <v>281.62</v>
      </c>
      <c r="H1605">
        <v>250101</v>
      </c>
      <c r="I1605">
        <v>4841</v>
      </c>
      <c r="J1605" t="s">
        <v>9</v>
      </c>
      <c r="K1605">
        <v>15062.41</v>
      </c>
      <c r="L1605">
        <v>57.22</v>
      </c>
      <c r="M1605">
        <v>14640</v>
      </c>
      <c r="N1605" t="s">
        <v>78</v>
      </c>
      <c r="O1605">
        <v>241231</v>
      </c>
      <c r="P1605">
        <v>224.4</v>
      </c>
    </row>
    <row r="1606" spans="1:16" x14ac:dyDescent="0.25">
      <c r="A1606" t="s">
        <v>3296</v>
      </c>
      <c r="B1606" t="s">
        <v>2931</v>
      </c>
      <c r="C1606">
        <v>36</v>
      </c>
      <c r="D1606" t="str">
        <f t="shared" si="40"/>
        <v xml:space="preserve">5009610     </v>
      </c>
      <c r="E1606" t="s">
        <v>8</v>
      </c>
      <c r="F1606" t="s">
        <v>11</v>
      </c>
      <c r="G1606">
        <v>777.45</v>
      </c>
      <c r="H1606">
        <v>250101</v>
      </c>
      <c r="I1606">
        <v>4841</v>
      </c>
      <c r="J1606" t="s">
        <v>9</v>
      </c>
      <c r="K1606">
        <v>15062.41</v>
      </c>
      <c r="L1606">
        <v>157.97</v>
      </c>
      <c r="M1606">
        <v>14861</v>
      </c>
      <c r="N1606" t="s">
        <v>79</v>
      </c>
      <c r="O1606">
        <v>241231</v>
      </c>
      <c r="P1606">
        <v>619.48</v>
      </c>
    </row>
    <row r="1607" spans="1:16" x14ac:dyDescent="0.25">
      <c r="A1607" t="s">
        <v>3296</v>
      </c>
      <c r="B1607" t="s">
        <v>2931</v>
      </c>
      <c r="C1607">
        <v>36</v>
      </c>
      <c r="D1607" t="str">
        <f t="shared" si="40"/>
        <v xml:space="preserve">5009610     </v>
      </c>
      <c r="E1607" t="s">
        <v>8</v>
      </c>
      <c r="F1607" t="s">
        <v>11</v>
      </c>
      <c r="G1607">
        <v>189.3</v>
      </c>
      <c r="H1607">
        <v>250101</v>
      </c>
      <c r="I1607">
        <v>4841</v>
      </c>
      <c r="J1607" t="s">
        <v>9</v>
      </c>
      <c r="K1607">
        <v>15062.41</v>
      </c>
      <c r="L1607">
        <v>38.46</v>
      </c>
      <c r="M1607">
        <v>14861</v>
      </c>
      <c r="N1607" t="s">
        <v>79</v>
      </c>
      <c r="O1607">
        <v>241231</v>
      </c>
      <c r="P1607">
        <v>150.84</v>
      </c>
    </row>
    <row r="1608" spans="1:16" x14ac:dyDescent="0.25">
      <c r="A1608" t="s">
        <v>3296</v>
      </c>
      <c r="B1608" t="s">
        <v>2931</v>
      </c>
      <c r="C1608">
        <v>36</v>
      </c>
      <c r="D1608" t="str">
        <f t="shared" si="40"/>
        <v xml:space="preserve">5009610     </v>
      </c>
      <c r="E1608" t="s">
        <v>8</v>
      </c>
      <c r="F1608" t="s">
        <v>11</v>
      </c>
      <c r="G1608">
        <v>46.93</v>
      </c>
      <c r="H1608">
        <v>250101</v>
      </c>
      <c r="I1608">
        <v>4841</v>
      </c>
      <c r="J1608" t="s">
        <v>9</v>
      </c>
      <c r="K1608">
        <v>15062.41</v>
      </c>
      <c r="L1608">
        <v>9.5399999999999991</v>
      </c>
      <c r="M1608">
        <v>14912</v>
      </c>
      <c r="N1608" t="s">
        <v>80</v>
      </c>
      <c r="O1608">
        <v>241231</v>
      </c>
      <c r="P1608">
        <v>37.39</v>
      </c>
    </row>
    <row r="1609" spans="1:16" x14ac:dyDescent="0.25">
      <c r="A1609" t="s">
        <v>3296</v>
      </c>
      <c r="B1609" t="s">
        <v>2931</v>
      </c>
      <c r="C1609">
        <v>36</v>
      </c>
      <c r="D1609" t="str">
        <f t="shared" si="40"/>
        <v xml:space="preserve">5009610     </v>
      </c>
      <c r="E1609" t="s">
        <v>8</v>
      </c>
      <c r="F1609" t="s">
        <v>11</v>
      </c>
      <c r="G1609">
        <v>81.14</v>
      </c>
      <c r="H1609">
        <v>250101</v>
      </c>
      <c r="I1609">
        <v>4841</v>
      </c>
      <c r="J1609" t="s">
        <v>9</v>
      </c>
      <c r="K1609">
        <v>15062.41</v>
      </c>
      <c r="L1609">
        <v>16.489999999999998</v>
      </c>
      <c r="M1609">
        <v>14971</v>
      </c>
      <c r="N1609" t="s">
        <v>81</v>
      </c>
      <c r="O1609">
        <v>241231</v>
      </c>
      <c r="P1609">
        <v>64.650000000000006</v>
      </c>
    </row>
    <row r="1610" spans="1:16" x14ac:dyDescent="0.25">
      <c r="A1610" t="s">
        <v>3296</v>
      </c>
      <c r="B1610" t="s">
        <v>2931</v>
      </c>
      <c r="C1610">
        <v>36</v>
      </c>
      <c r="D1610" t="str">
        <f t="shared" si="40"/>
        <v xml:space="preserve">5009610     </v>
      </c>
      <c r="E1610" t="s">
        <v>8</v>
      </c>
      <c r="F1610" t="s">
        <v>11</v>
      </c>
      <c r="G1610">
        <v>476.49</v>
      </c>
      <c r="H1610">
        <v>250101</v>
      </c>
      <c r="I1610">
        <v>4841</v>
      </c>
      <c r="J1610" t="s">
        <v>9</v>
      </c>
      <c r="K1610">
        <v>15062.41</v>
      </c>
      <c r="L1610">
        <v>96.82</v>
      </c>
      <c r="M1610">
        <v>14972</v>
      </c>
      <c r="N1610" t="s">
        <v>82</v>
      </c>
      <c r="O1610">
        <v>241231</v>
      </c>
      <c r="P1610">
        <v>379.67</v>
      </c>
    </row>
    <row r="1611" spans="1:16" x14ac:dyDescent="0.25">
      <c r="A1611" t="s">
        <v>3296</v>
      </c>
      <c r="B1611" t="s">
        <v>2931</v>
      </c>
      <c r="C1611">
        <v>36</v>
      </c>
      <c r="D1611" t="str">
        <f t="shared" si="40"/>
        <v xml:space="preserve">5009610     </v>
      </c>
      <c r="E1611" t="s">
        <v>8</v>
      </c>
      <c r="F1611" t="s">
        <v>11</v>
      </c>
      <c r="G1611">
        <v>32.96</v>
      </c>
      <c r="H1611">
        <v>250101</v>
      </c>
      <c r="I1611">
        <v>4841</v>
      </c>
      <c r="J1611" t="s">
        <v>9</v>
      </c>
      <c r="K1611">
        <v>15062.41</v>
      </c>
      <c r="L1611">
        <v>6.7</v>
      </c>
      <c r="M1611">
        <v>14974</v>
      </c>
      <c r="N1611" t="s">
        <v>83</v>
      </c>
      <c r="O1611">
        <v>241231</v>
      </c>
      <c r="P1611">
        <v>26.26</v>
      </c>
    </row>
    <row r="1612" spans="1:16" x14ac:dyDescent="0.25">
      <c r="A1612" t="s">
        <v>3296</v>
      </c>
      <c r="B1612" t="s">
        <v>2931</v>
      </c>
      <c r="C1612">
        <v>36</v>
      </c>
      <c r="D1612" t="str">
        <f t="shared" si="40"/>
        <v xml:space="preserve">5009610     </v>
      </c>
      <c r="E1612" t="s">
        <v>8</v>
      </c>
      <c r="F1612" t="s">
        <v>11</v>
      </c>
      <c r="G1612">
        <v>21.05</v>
      </c>
      <c r="H1612">
        <v>250101</v>
      </c>
      <c r="I1612">
        <v>4841</v>
      </c>
      <c r="J1612" t="s">
        <v>9</v>
      </c>
      <c r="K1612">
        <v>15062.41</v>
      </c>
      <c r="L1612">
        <v>4.28</v>
      </c>
      <c r="M1612">
        <v>14975</v>
      </c>
      <c r="N1612" t="s">
        <v>84</v>
      </c>
      <c r="O1612">
        <v>241231</v>
      </c>
      <c r="P1612">
        <v>16.77</v>
      </c>
    </row>
    <row r="1613" spans="1:16" x14ac:dyDescent="0.25">
      <c r="A1613" t="s">
        <v>3296</v>
      </c>
      <c r="B1613" t="s">
        <v>2931</v>
      </c>
      <c r="C1613">
        <v>36</v>
      </c>
      <c r="D1613" t="str">
        <f t="shared" si="40"/>
        <v xml:space="preserve">5009610     </v>
      </c>
      <c r="E1613" t="s">
        <v>8</v>
      </c>
      <c r="F1613" t="s">
        <v>11</v>
      </c>
      <c r="G1613">
        <v>94.57</v>
      </c>
      <c r="H1613">
        <v>250101</v>
      </c>
      <c r="I1613">
        <v>4841</v>
      </c>
      <c r="J1613" t="s">
        <v>9</v>
      </c>
      <c r="K1613">
        <v>15062.41</v>
      </c>
      <c r="L1613">
        <v>19.22</v>
      </c>
      <c r="M1613">
        <v>14975</v>
      </c>
      <c r="N1613" t="s">
        <v>84</v>
      </c>
      <c r="O1613">
        <v>241231</v>
      </c>
      <c r="P1613">
        <v>75.349999999999994</v>
      </c>
    </row>
    <row r="1614" spans="1:16" x14ac:dyDescent="0.25">
      <c r="A1614" t="s">
        <v>3296</v>
      </c>
      <c r="B1614" t="s">
        <v>2931</v>
      </c>
      <c r="C1614">
        <v>36</v>
      </c>
      <c r="D1614" t="str">
        <f t="shared" si="40"/>
        <v xml:space="preserve">5009610     </v>
      </c>
      <c r="E1614" t="s">
        <v>8</v>
      </c>
      <c r="F1614" t="s">
        <v>11</v>
      </c>
      <c r="G1614">
        <v>81.709999999999994</v>
      </c>
      <c r="H1614">
        <v>250101</v>
      </c>
      <c r="I1614">
        <v>4841</v>
      </c>
      <c r="J1614" t="s">
        <v>9</v>
      </c>
      <c r="K1614">
        <v>15062.41</v>
      </c>
      <c r="L1614">
        <v>16.600000000000001</v>
      </c>
      <c r="M1614">
        <v>14990</v>
      </c>
      <c r="N1614" t="s">
        <v>85</v>
      </c>
      <c r="O1614">
        <v>241231</v>
      </c>
      <c r="P1614">
        <v>65.11</v>
      </c>
    </row>
    <row r="1615" spans="1:16" x14ac:dyDescent="0.25">
      <c r="A1615" t="s">
        <v>3296</v>
      </c>
      <c r="B1615" t="s">
        <v>2931</v>
      </c>
      <c r="C1615">
        <v>36</v>
      </c>
      <c r="D1615" t="str">
        <f t="shared" si="40"/>
        <v xml:space="preserve">5009610     </v>
      </c>
      <c r="E1615" t="s">
        <v>8</v>
      </c>
      <c r="F1615" t="s">
        <v>11</v>
      </c>
      <c r="G1615">
        <v>12.17</v>
      </c>
      <c r="H1615">
        <v>250101</v>
      </c>
      <c r="I1615">
        <v>4841</v>
      </c>
      <c r="J1615" t="s">
        <v>9</v>
      </c>
      <c r="K1615">
        <v>15062.41</v>
      </c>
      <c r="L1615">
        <v>2.4700000000000002</v>
      </c>
      <c r="M1615">
        <v>14990</v>
      </c>
      <c r="N1615" t="s">
        <v>85</v>
      </c>
      <c r="O1615">
        <v>241231</v>
      </c>
      <c r="P1615">
        <v>9.6999999999999993</v>
      </c>
    </row>
    <row r="1616" spans="1:16" x14ac:dyDescent="0.25">
      <c r="A1616" t="s">
        <v>3296</v>
      </c>
      <c r="B1616" t="s">
        <v>2931</v>
      </c>
      <c r="C1616">
        <v>36</v>
      </c>
      <c r="D1616" t="str">
        <f t="shared" si="40"/>
        <v xml:space="preserve">5009610     </v>
      </c>
      <c r="E1616" t="s">
        <v>8</v>
      </c>
      <c r="F1616" t="s">
        <v>11</v>
      </c>
      <c r="G1616">
        <v>21.1</v>
      </c>
      <c r="H1616">
        <v>250101</v>
      </c>
      <c r="I1616">
        <v>4841</v>
      </c>
      <c r="J1616" t="s">
        <v>9</v>
      </c>
      <c r="K1616">
        <v>15062.41</v>
      </c>
      <c r="L1616">
        <v>4.29</v>
      </c>
      <c r="M1616">
        <v>18120</v>
      </c>
      <c r="N1616" t="s">
        <v>37</v>
      </c>
      <c r="O1616">
        <v>241231</v>
      </c>
      <c r="P1616">
        <v>16.809999999999999</v>
      </c>
    </row>
    <row r="1617" spans="1:16" x14ac:dyDescent="0.25">
      <c r="A1617" t="s">
        <v>3296</v>
      </c>
      <c r="B1617" t="s">
        <v>2931</v>
      </c>
      <c r="C1617">
        <v>36</v>
      </c>
      <c r="D1617" t="str">
        <f t="shared" si="40"/>
        <v xml:space="preserve">5009610     </v>
      </c>
      <c r="E1617" t="s">
        <v>8</v>
      </c>
      <c r="F1617" t="s">
        <v>11</v>
      </c>
      <c r="G1617">
        <v>718.34</v>
      </c>
      <c r="H1617">
        <v>250101</v>
      </c>
      <c r="I1617">
        <v>4841</v>
      </c>
      <c r="J1617" t="s">
        <v>9</v>
      </c>
      <c r="K1617">
        <v>15062.41</v>
      </c>
      <c r="L1617">
        <v>145.96</v>
      </c>
      <c r="M1617">
        <v>18972</v>
      </c>
      <c r="N1617" t="s">
        <v>39</v>
      </c>
      <c r="O1617">
        <v>241231</v>
      </c>
      <c r="P1617">
        <v>572.38</v>
      </c>
    </row>
    <row r="1618" spans="1:16" x14ac:dyDescent="0.25">
      <c r="A1618" t="s">
        <v>3296</v>
      </c>
      <c r="B1618" t="s">
        <v>2931</v>
      </c>
      <c r="C1618">
        <v>37</v>
      </c>
      <c r="D1618" t="str">
        <f t="shared" ref="D1618:D1623" si="41">"5009618     "</f>
        <v xml:space="preserve">5009618     </v>
      </c>
      <c r="E1618" t="s">
        <v>8</v>
      </c>
      <c r="F1618" t="s">
        <v>11</v>
      </c>
      <c r="G1618">
        <v>225.55</v>
      </c>
      <c r="H1618">
        <v>250101</v>
      </c>
      <c r="I1618">
        <v>4841</v>
      </c>
      <c r="J1618" t="s">
        <v>9</v>
      </c>
      <c r="K1618">
        <v>671.16</v>
      </c>
      <c r="L1618">
        <v>45.83</v>
      </c>
      <c r="M1618">
        <v>61122</v>
      </c>
      <c r="N1618" t="s">
        <v>86</v>
      </c>
      <c r="O1618">
        <v>241231</v>
      </c>
      <c r="P1618">
        <v>179.72</v>
      </c>
    </row>
    <row r="1619" spans="1:16" x14ac:dyDescent="0.25">
      <c r="A1619" t="s">
        <v>3296</v>
      </c>
      <c r="B1619" t="s">
        <v>2931</v>
      </c>
      <c r="C1619">
        <v>37</v>
      </c>
      <c r="D1619" t="str">
        <f t="shared" si="41"/>
        <v xml:space="preserve">5009618     </v>
      </c>
      <c r="E1619" t="s">
        <v>8</v>
      </c>
      <c r="F1619" t="s">
        <v>11</v>
      </c>
      <c r="G1619">
        <v>12.44</v>
      </c>
      <c r="H1619">
        <v>250101</v>
      </c>
      <c r="I1619">
        <v>4841</v>
      </c>
      <c r="J1619" t="s">
        <v>9</v>
      </c>
      <c r="K1619">
        <v>671.16</v>
      </c>
      <c r="L1619">
        <v>2.5299999999999998</v>
      </c>
      <c r="M1619">
        <v>61122</v>
      </c>
      <c r="N1619" t="s">
        <v>86</v>
      </c>
      <c r="O1619">
        <v>241231</v>
      </c>
      <c r="P1619">
        <v>9.91</v>
      </c>
    </row>
    <row r="1620" spans="1:16" x14ac:dyDescent="0.25">
      <c r="A1620" t="s">
        <v>3296</v>
      </c>
      <c r="B1620" t="s">
        <v>2931</v>
      </c>
      <c r="C1620">
        <v>37</v>
      </c>
      <c r="D1620" t="str">
        <f t="shared" si="41"/>
        <v xml:space="preserve">5009618     </v>
      </c>
      <c r="E1620" t="s">
        <v>8</v>
      </c>
      <c r="F1620" t="s">
        <v>11</v>
      </c>
      <c r="G1620">
        <v>142.27000000000001</v>
      </c>
      <c r="H1620">
        <v>250101</v>
      </c>
      <c r="I1620">
        <v>4841</v>
      </c>
      <c r="J1620" t="s">
        <v>9</v>
      </c>
      <c r="K1620">
        <v>671.16</v>
      </c>
      <c r="L1620">
        <v>28.91</v>
      </c>
      <c r="M1620">
        <v>65222</v>
      </c>
      <c r="N1620" t="s">
        <v>87</v>
      </c>
      <c r="O1620">
        <v>241231</v>
      </c>
      <c r="P1620">
        <v>113.36</v>
      </c>
    </row>
    <row r="1621" spans="1:16" x14ac:dyDescent="0.25">
      <c r="A1621" t="s">
        <v>3296</v>
      </c>
      <c r="B1621" t="s">
        <v>2931</v>
      </c>
      <c r="C1621">
        <v>37</v>
      </c>
      <c r="D1621" t="str">
        <f t="shared" si="41"/>
        <v xml:space="preserve">5009618     </v>
      </c>
      <c r="E1621" t="s">
        <v>8</v>
      </c>
      <c r="F1621" t="s">
        <v>11</v>
      </c>
      <c r="G1621">
        <v>111.71</v>
      </c>
      <c r="H1621">
        <v>250101</v>
      </c>
      <c r="I1621">
        <v>4841</v>
      </c>
      <c r="J1621" t="s">
        <v>9</v>
      </c>
      <c r="K1621">
        <v>671.16</v>
      </c>
      <c r="L1621">
        <v>22.7</v>
      </c>
      <c r="M1621">
        <v>69703</v>
      </c>
      <c r="N1621" t="s">
        <v>88</v>
      </c>
      <c r="O1621">
        <v>241231</v>
      </c>
      <c r="P1621">
        <v>89.01</v>
      </c>
    </row>
    <row r="1622" spans="1:16" x14ac:dyDescent="0.25">
      <c r="A1622" t="s">
        <v>3296</v>
      </c>
      <c r="B1622" t="s">
        <v>2931</v>
      </c>
      <c r="C1622">
        <v>37</v>
      </c>
      <c r="D1622" t="str">
        <f t="shared" si="41"/>
        <v xml:space="preserve">5009618     </v>
      </c>
      <c r="E1622" t="s">
        <v>8</v>
      </c>
      <c r="F1622" t="s">
        <v>11</v>
      </c>
      <c r="G1622">
        <v>75.14</v>
      </c>
      <c r="H1622">
        <v>250101</v>
      </c>
      <c r="I1622">
        <v>4841</v>
      </c>
      <c r="J1622" t="s">
        <v>9</v>
      </c>
      <c r="K1622">
        <v>671.16</v>
      </c>
      <c r="L1622">
        <v>15.27</v>
      </c>
      <c r="M1622">
        <v>69704</v>
      </c>
      <c r="N1622" t="s">
        <v>89</v>
      </c>
      <c r="O1622">
        <v>241231</v>
      </c>
      <c r="P1622">
        <v>59.87</v>
      </c>
    </row>
    <row r="1623" spans="1:16" x14ac:dyDescent="0.25">
      <c r="A1623" t="s">
        <v>3296</v>
      </c>
      <c r="B1623" t="s">
        <v>2931</v>
      </c>
      <c r="C1623">
        <v>37</v>
      </c>
      <c r="D1623" t="str">
        <f t="shared" si="41"/>
        <v xml:space="preserve">5009618     </v>
      </c>
      <c r="E1623" t="s">
        <v>8</v>
      </c>
      <c r="F1623" t="s">
        <v>11</v>
      </c>
      <c r="G1623">
        <v>104.05</v>
      </c>
      <c r="H1623">
        <v>250101</v>
      </c>
      <c r="I1623">
        <v>4841</v>
      </c>
      <c r="J1623" t="s">
        <v>9</v>
      </c>
      <c r="K1623">
        <v>671.16</v>
      </c>
      <c r="L1623">
        <v>21.14</v>
      </c>
      <c r="M1623">
        <v>69707</v>
      </c>
      <c r="N1623" t="s">
        <v>90</v>
      </c>
      <c r="O1623">
        <v>241231</v>
      </c>
      <c r="P1623">
        <v>82.91</v>
      </c>
    </row>
    <row r="1624" spans="1:16" x14ac:dyDescent="0.25">
      <c r="A1624" t="s">
        <v>3296</v>
      </c>
      <c r="B1624" t="s">
        <v>2931</v>
      </c>
      <c r="C1624">
        <v>39</v>
      </c>
      <c r="D1624" t="str">
        <f>"5009617     "</f>
        <v xml:space="preserve">5009617     </v>
      </c>
      <c r="E1624" t="s">
        <v>8</v>
      </c>
      <c r="F1624" t="s">
        <v>11</v>
      </c>
      <c r="G1624">
        <v>181.05</v>
      </c>
      <c r="H1624">
        <v>250101</v>
      </c>
      <c r="I1624">
        <v>4841</v>
      </c>
      <c r="J1624" t="s">
        <v>9</v>
      </c>
      <c r="K1624">
        <v>181.05</v>
      </c>
      <c r="L1624">
        <v>36.79</v>
      </c>
      <c r="M1624">
        <v>11401</v>
      </c>
      <c r="N1624" t="s">
        <v>91</v>
      </c>
      <c r="O1624">
        <v>241231</v>
      </c>
      <c r="P1624">
        <v>144.26</v>
      </c>
    </row>
    <row r="1625" spans="1:16" x14ac:dyDescent="0.25">
      <c r="A1625" t="s">
        <v>3296</v>
      </c>
      <c r="B1625" t="s">
        <v>2931</v>
      </c>
      <c r="C1625">
        <v>40</v>
      </c>
      <c r="D1625" t="str">
        <f>"5009613     "</f>
        <v xml:space="preserve">5009613     </v>
      </c>
      <c r="E1625" t="s">
        <v>8</v>
      </c>
      <c r="F1625" t="s">
        <v>11</v>
      </c>
      <c r="G1625">
        <v>1044.74</v>
      </c>
      <c r="H1625">
        <v>250101</v>
      </c>
      <c r="I1625">
        <v>4841</v>
      </c>
      <c r="J1625" t="s">
        <v>9</v>
      </c>
      <c r="K1625">
        <v>1044.74</v>
      </c>
      <c r="L1625">
        <v>212.28</v>
      </c>
      <c r="M1625">
        <v>11301</v>
      </c>
      <c r="N1625" t="s">
        <v>92</v>
      </c>
      <c r="O1625">
        <v>241231</v>
      </c>
      <c r="P1625">
        <v>832.46</v>
      </c>
    </row>
    <row r="1626" spans="1:16" x14ac:dyDescent="0.25">
      <c r="A1626" t="s">
        <v>3296</v>
      </c>
      <c r="B1626" t="s">
        <v>2931</v>
      </c>
      <c r="C1626">
        <v>42</v>
      </c>
      <c r="D1626" t="str">
        <f>"5009588     "</f>
        <v xml:space="preserve">5009588     </v>
      </c>
      <c r="E1626" t="s">
        <v>8</v>
      </c>
      <c r="F1626" t="s">
        <v>11</v>
      </c>
      <c r="G1626">
        <v>119.06</v>
      </c>
      <c r="H1626">
        <v>250101</v>
      </c>
      <c r="I1626">
        <v>4841</v>
      </c>
      <c r="J1626" t="s">
        <v>9</v>
      </c>
      <c r="K1626">
        <v>119.06</v>
      </c>
      <c r="L1626">
        <v>24.19</v>
      </c>
      <c r="M1626">
        <v>11001</v>
      </c>
      <c r="N1626" t="s">
        <v>93</v>
      </c>
      <c r="O1626">
        <v>241231</v>
      </c>
      <c r="P1626">
        <v>94.87</v>
      </c>
    </row>
    <row r="1627" spans="1:16" x14ac:dyDescent="0.25">
      <c r="A1627" t="s">
        <v>3296</v>
      </c>
      <c r="B1627" t="s">
        <v>2931</v>
      </c>
      <c r="C1627">
        <v>43</v>
      </c>
      <c r="D1627" t="str">
        <f t="shared" ref="D1627:D1649" si="42">"5009600     "</f>
        <v xml:space="preserve">5009600     </v>
      </c>
      <c r="E1627" t="s">
        <v>8</v>
      </c>
      <c r="F1627" t="s">
        <v>11</v>
      </c>
      <c r="G1627">
        <v>82.6</v>
      </c>
      <c r="H1627">
        <v>250101</v>
      </c>
      <c r="I1627">
        <v>4841</v>
      </c>
      <c r="J1627" t="s">
        <v>9</v>
      </c>
      <c r="K1627">
        <v>18765.86</v>
      </c>
      <c r="L1627">
        <v>16.78</v>
      </c>
      <c r="M1627">
        <v>11601</v>
      </c>
      <c r="N1627" t="s">
        <v>12</v>
      </c>
      <c r="O1627">
        <v>241231</v>
      </c>
      <c r="P1627">
        <v>65.819999999999993</v>
      </c>
    </row>
    <row r="1628" spans="1:16" x14ac:dyDescent="0.25">
      <c r="A1628" t="s">
        <v>3296</v>
      </c>
      <c r="B1628" t="s">
        <v>2931</v>
      </c>
      <c r="C1628">
        <v>43</v>
      </c>
      <c r="D1628" t="str">
        <f t="shared" si="42"/>
        <v xml:space="preserve">5009600     </v>
      </c>
      <c r="E1628" t="s">
        <v>8</v>
      </c>
      <c r="F1628" t="s">
        <v>11</v>
      </c>
      <c r="G1628">
        <v>2481.9899999999998</v>
      </c>
      <c r="H1628">
        <v>250101</v>
      </c>
      <c r="I1628">
        <v>4841</v>
      </c>
      <c r="J1628" t="s">
        <v>9</v>
      </c>
      <c r="K1628">
        <v>18765.86</v>
      </c>
      <c r="L1628">
        <v>504.31</v>
      </c>
      <c r="M1628">
        <v>41126</v>
      </c>
      <c r="N1628" t="s">
        <v>94</v>
      </c>
      <c r="O1628">
        <v>241231</v>
      </c>
      <c r="P1628">
        <v>1977.68</v>
      </c>
    </row>
    <row r="1629" spans="1:16" x14ac:dyDescent="0.25">
      <c r="A1629" t="s">
        <v>3296</v>
      </c>
      <c r="B1629" t="s">
        <v>2931</v>
      </c>
      <c r="C1629">
        <v>43</v>
      </c>
      <c r="D1629" t="str">
        <f t="shared" si="42"/>
        <v xml:space="preserve">5009600     </v>
      </c>
      <c r="E1629" t="s">
        <v>8</v>
      </c>
      <c r="F1629" t="s">
        <v>11</v>
      </c>
      <c r="G1629">
        <v>1492.52</v>
      </c>
      <c r="H1629">
        <v>250101</v>
      </c>
      <c r="I1629">
        <v>4841</v>
      </c>
      <c r="J1629" t="s">
        <v>9</v>
      </c>
      <c r="K1629">
        <v>18765.86</v>
      </c>
      <c r="L1629">
        <v>303.26</v>
      </c>
      <c r="M1629">
        <v>43222</v>
      </c>
      <c r="N1629" t="s">
        <v>95</v>
      </c>
      <c r="O1629">
        <v>241231</v>
      </c>
      <c r="P1629">
        <v>1189.26</v>
      </c>
    </row>
    <row r="1630" spans="1:16" x14ac:dyDescent="0.25">
      <c r="A1630" t="s">
        <v>3296</v>
      </c>
      <c r="B1630" t="s">
        <v>2931</v>
      </c>
      <c r="C1630">
        <v>43</v>
      </c>
      <c r="D1630" t="str">
        <f t="shared" si="42"/>
        <v xml:space="preserve">5009600     </v>
      </c>
      <c r="E1630" t="s">
        <v>8</v>
      </c>
      <c r="F1630" t="s">
        <v>11</v>
      </c>
      <c r="G1630">
        <v>74.02</v>
      </c>
      <c r="H1630">
        <v>250101</v>
      </c>
      <c r="I1630">
        <v>4841</v>
      </c>
      <c r="J1630" t="s">
        <v>9</v>
      </c>
      <c r="K1630">
        <v>18765.86</v>
      </c>
      <c r="L1630">
        <v>15.04</v>
      </c>
      <c r="M1630">
        <v>44222</v>
      </c>
      <c r="N1630" t="s">
        <v>96</v>
      </c>
      <c r="O1630">
        <v>241231</v>
      </c>
      <c r="P1630">
        <v>58.98</v>
      </c>
    </row>
    <row r="1631" spans="1:16" x14ac:dyDescent="0.25">
      <c r="A1631" t="s">
        <v>3296</v>
      </c>
      <c r="B1631" t="s">
        <v>2931</v>
      </c>
      <c r="C1631">
        <v>43</v>
      </c>
      <c r="D1631" t="str">
        <f t="shared" si="42"/>
        <v xml:space="preserve">5009600     </v>
      </c>
      <c r="E1631" t="s">
        <v>8</v>
      </c>
      <c r="F1631" t="s">
        <v>11</v>
      </c>
      <c r="G1631">
        <v>662.46</v>
      </c>
      <c r="H1631">
        <v>250101</v>
      </c>
      <c r="I1631">
        <v>4841</v>
      </c>
      <c r="J1631" t="s">
        <v>9</v>
      </c>
      <c r="K1631">
        <v>18765.86</v>
      </c>
      <c r="L1631">
        <v>134.6</v>
      </c>
      <c r="M1631">
        <v>44222</v>
      </c>
      <c r="N1631" t="s">
        <v>96</v>
      </c>
      <c r="O1631">
        <v>241231</v>
      </c>
      <c r="P1631">
        <v>527.86</v>
      </c>
    </row>
    <row r="1632" spans="1:16" x14ac:dyDescent="0.25">
      <c r="A1632" t="s">
        <v>3296</v>
      </c>
      <c r="B1632" t="s">
        <v>2931</v>
      </c>
      <c r="C1632">
        <v>43</v>
      </c>
      <c r="D1632" t="str">
        <f t="shared" si="42"/>
        <v xml:space="preserve">5009600     </v>
      </c>
      <c r="E1632" t="s">
        <v>8</v>
      </c>
      <c r="F1632" t="s">
        <v>11</v>
      </c>
      <c r="G1632">
        <v>46.64</v>
      </c>
      <c r="H1632">
        <v>250101</v>
      </c>
      <c r="I1632">
        <v>4841</v>
      </c>
      <c r="J1632" t="s">
        <v>9</v>
      </c>
      <c r="K1632">
        <v>18765.86</v>
      </c>
      <c r="L1632">
        <v>9.48</v>
      </c>
      <c r="M1632">
        <v>44422</v>
      </c>
      <c r="N1632" t="s">
        <v>97</v>
      </c>
      <c r="O1632">
        <v>241231</v>
      </c>
      <c r="P1632">
        <v>37.159999999999997</v>
      </c>
    </row>
    <row r="1633" spans="1:16" x14ac:dyDescent="0.25">
      <c r="A1633" t="s">
        <v>3296</v>
      </c>
      <c r="B1633" t="s">
        <v>2931</v>
      </c>
      <c r="C1633">
        <v>43</v>
      </c>
      <c r="D1633" t="str">
        <f t="shared" si="42"/>
        <v xml:space="preserve">5009600     </v>
      </c>
      <c r="E1633" t="s">
        <v>8</v>
      </c>
      <c r="F1633" t="s">
        <v>11</v>
      </c>
      <c r="G1633">
        <v>94.09</v>
      </c>
      <c r="H1633">
        <v>250101</v>
      </c>
      <c r="I1633">
        <v>4841</v>
      </c>
      <c r="J1633" t="s">
        <v>9</v>
      </c>
      <c r="K1633">
        <v>18765.86</v>
      </c>
      <c r="L1633">
        <v>19.12</v>
      </c>
      <c r="M1633">
        <v>44423</v>
      </c>
      <c r="N1633" t="s">
        <v>98</v>
      </c>
      <c r="O1633">
        <v>241231</v>
      </c>
      <c r="P1633">
        <v>74.97</v>
      </c>
    </row>
    <row r="1634" spans="1:16" x14ac:dyDescent="0.25">
      <c r="A1634" t="s">
        <v>3296</v>
      </c>
      <c r="B1634" t="s">
        <v>2931</v>
      </c>
      <c r="C1634">
        <v>43</v>
      </c>
      <c r="D1634" t="str">
        <f t="shared" si="42"/>
        <v xml:space="preserve">5009600     </v>
      </c>
      <c r="E1634" t="s">
        <v>8</v>
      </c>
      <c r="F1634" t="s">
        <v>11</v>
      </c>
      <c r="G1634">
        <v>811.08</v>
      </c>
      <c r="H1634">
        <v>250101</v>
      </c>
      <c r="I1634">
        <v>4841</v>
      </c>
      <c r="J1634" t="s">
        <v>9</v>
      </c>
      <c r="K1634">
        <v>18765.86</v>
      </c>
      <c r="L1634">
        <v>164.8</v>
      </c>
      <c r="M1634">
        <v>44424</v>
      </c>
      <c r="N1634" t="s">
        <v>99</v>
      </c>
      <c r="O1634">
        <v>241231</v>
      </c>
      <c r="P1634">
        <v>646.28</v>
      </c>
    </row>
    <row r="1635" spans="1:16" x14ac:dyDescent="0.25">
      <c r="A1635" t="s">
        <v>3296</v>
      </c>
      <c r="B1635" t="s">
        <v>2931</v>
      </c>
      <c r="C1635">
        <v>43</v>
      </c>
      <c r="D1635" t="str">
        <f t="shared" si="42"/>
        <v xml:space="preserve">5009600     </v>
      </c>
      <c r="E1635" t="s">
        <v>8</v>
      </c>
      <c r="F1635" t="s">
        <v>11</v>
      </c>
      <c r="G1635">
        <v>12.47</v>
      </c>
      <c r="H1635">
        <v>250101</v>
      </c>
      <c r="I1635">
        <v>4841</v>
      </c>
      <c r="J1635" t="s">
        <v>9</v>
      </c>
      <c r="K1635">
        <v>18765.86</v>
      </c>
      <c r="L1635">
        <v>2.5299999999999998</v>
      </c>
      <c r="M1635">
        <v>44453</v>
      </c>
      <c r="N1635" t="s">
        <v>100</v>
      </c>
      <c r="O1635">
        <v>241231</v>
      </c>
      <c r="P1635">
        <v>9.94</v>
      </c>
    </row>
    <row r="1636" spans="1:16" x14ac:dyDescent="0.25">
      <c r="A1636" t="s">
        <v>3296</v>
      </c>
      <c r="B1636" t="s">
        <v>2931</v>
      </c>
      <c r="C1636">
        <v>43</v>
      </c>
      <c r="D1636" t="str">
        <f t="shared" si="42"/>
        <v xml:space="preserve">5009600     </v>
      </c>
      <c r="E1636" t="s">
        <v>8</v>
      </c>
      <c r="F1636" t="s">
        <v>11</v>
      </c>
      <c r="G1636">
        <v>4645.3599999999997</v>
      </c>
      <c r="H1636">
        <v>250101</v>
      </c>
      <c r="I1636">
        <v>4841</v>
      </c>
      <c r="J1636" t="s">
        <v>9</v>
      </c>
      <c r="K1636">
        <v>18765.86</v>
      </c>
      <c r="L1636">
        <v>943.88</v>
      </c>
      <c r="M1636">
        <v>46222</v>
      </c>
      <c r="N1636" t="s">
        <v>101</v>
      </c>
      <c r="O1636">
        <v>241231</v>
      </c>
      <c r="P1636">
        <v>3701.48</v>
      </c>
    </row>
    <row r="1637" spans="1:16" x14ac:dyDescent="0.25">
      <c r="A1637" t="s">
        <v>3296</v>
      </c>
      <c r="B1637" t="s">
        <v>2931</v>
      </c>
      <c r="C1637">
        <v>43</v>
      </c>
      <c r="D1637" t="str">
        <f t="shared" si="42"/>
        <v xml:space="preserve">5009600     </v>
      </c>
      <c r="E1637" t="s">
        <v>8</v>
      </c>
      <c r="F1637" t="s">
        <v>11</v>
      </c>
      <c r="G1637">
        <v>958.85</v>
      </c>
      <c r="H1637">
        <v>250101</v>
      </c>
      <c r="I1637">
        <v>4841</v>
      </c>
      <c r="J1637" t="s">
        <v>9</v>
      </c>
      <c r="K1637">
        <v>18765.86</v>
      </c>
      <c r="L1637">
        <v>194.83</v>
      </c>
      <c r="M1637">
        <v>46554</v>
      </c>
      <c r="N1637" t="s">
        <v>102</v>
      </c>
      <c r="O1637">
        <v>241231</v>
      </c>
      <c r="P1637">
        <v>764.02</v>
      </c>
    </row>
    <row r="1638" spans="1:16" x14ac:dyDescent="0.25">
      <c r="A1638" t="s">
        <v>3296</v>
      </c>
      <c r="B1638" t="s">
        <v>2931</v>
      </c>
      <c r="C1638">
        <v>43</v>
      </c>
      <c r="D1638" t="str">
        <f t="shared" si="42"/>
        <v xml:space="preserve">5009600     </v>
      </c>
      <c r="E1638" t="s">
        <v>8</v>
      </c>
      <c r="F1638" t="s">
        <v>11</v>
      </c>
      <c r="G1638">
        <v>1977.53</v>
      </c>
      <c r="H1638">
        <v>250101</v>
      </c>
      <c r="I1638">
        <v>4841</v>
      </c>
      <c r="J1638" t="s">
        <v>9</v>
      </c>
      <c r="K1638">
        <v>18765.86</v>
      </c>
      <c r="L1638">
        <v>401.81</v>
      </c>
      <c r="M1638">
        <v>46555</v>
      </c>
      <c r="N1638" t="s">
        <v>103</v>
      </c>
      <c r="O1638">
        <v>241231</v>
      </c>
      <c r="P1638">
        <v>1575.72</v>
      </c>
    </row>
    <row r="1639" spans="1:16" x14ac:dyDescent="0.25">
      <c r="A1639" t="s">
        <v>3296</v>
      </c>
      <c r="B1639" t="s">
        <v>2931</v>
      </c>
      <c r="C1639">
        <v>43</v>
      </c>
      <c r="D1639" t="str">
        <f t="shared" si="42"/>
        <v xml:space="preserve">5009600     </v>
      </c>
      <c r="E1639" t="s">
        <v>8</v>
      </c>
      <c r="F1639" t="s">
        <v>11</v>
      </c>
      <c r="G1639">
        <v>1038.94</v>
      </c>
      <c r="H1639">
        <v>250101</v>
      </c>
      <c r="I1639">
        <v>4841</v>
      </c>
      <c r="J1639" t="s">
        <v>9</v>
      </c>
      <c r="K1639">
        <v>18765.86</v>
      </c>
      <c r="L1639">
        <v>211.1</v>
      </c>
      <c r="M1639">
        <v>46557</v>
      </c>
      <c r="N1639" t="s">
        <v>104</v>
      </c>
      <c r="O1639">
        <v>241231</v>
      </c>
      <c r="P1639">
        <v>827.84</v>
      </c>
    </row>
    <row r="1640" spans="1:16" x14ac:dyDescent="0.25">
      <c r="A1640" t="s">
        <v>3296</v>
      </c>
      <c r="B1640" t="s">
        <v>2931</v>
      </c>
      <c r="C1640">
        <v>43</v>
      </c>
      <c r="D1640" t="str">
        <f t="shared" si="42"/>
        <v xml:space="preserve">5009600     </v>
      </c>
      <c r="E1640" t="s">
        <v>8</v>
      </c>
      <c r="F1640" t="s">
        <v>11</v>
      </c>
      <c r="G1640">
        <v>264.3</v>
      </c>
      <c r="H1640">
        <v>250101</v>
      </c>
      <c r="I1640">
        <v>4841</v>
      </c>
      <c r="J1640" t="s">
        <v>9</v>
      </c>
      <c r="K1640">
        <v>18765.86</v>
      </c>
      <c r="L1640">
        <v>53.7</v>
      </c>
      <c r="M1640">
        <v>46559</v>
      </c>
      <c r="N1640" t="s">
        <v>105</v>
      </c>
      <c r="O1640">
        <v>241231</v>
      </c>
      <c r="P1640">
        <v>210.6</v>
      </c>
    </row>
    <row r="1641" spans="1:16" x14ac:dyDescent="0.25">
      <c r="A1641" t="s">
        <v>3296</v>
      </c>
      <c r="B1641" t="s">
        <v>2931</v>
      </c>
      <c r="C1641">
        <v>43</v>
      </c>
      <c r="D1641" t="str">
        <f t="shared" si="42"/>
        <v xml:space="preserve">5009600     </v>
      </c>
      <c r="E1641" t="s">
        <v>8</v>
      </c>
      <c r="F1641" t="s">
        <v>11</v>
      </c>
      <c r="G1641">
        <v>2399.48</v>
      </c>
      <c r="H1641">
        <v>250101</v>
      </c>
      <c r="I1641">
        <v>4841</v>
      </c>
      <c r="J1641" t="s">
        <v>9</v>
      </c>
      <c r="K1641">
        <v>18765.86</v>
      </c>
      <c r="L1641">
        <v>487.54</v>
      </c>
      <c r="M1641">
        <v>47522</v>
      </c>
      <c r="N1641" t="s">
        <v>106</v>
      </c>
      <c r="O1641">
        <v>241231</v>
      </c>
      <c r="P1641">
        <v>1911.94</v>
      </c>
    </row>
    <row r="1642" spans="1:16" x14ac:dyDescent="0.25">
      <c r="A1642" t="s">
        <v>3296</v>
      </c>
      <c r="B1642" t="s">
        <v>2931</v>
      </c>
      <c r="C1642">
        <v>43</v>
      </c>
      <c r="D1642" t="str">
        <f t="shared" si="42"/>
        <v xml:space="preserve">5009600     </v>
      </c>
      <c r="E1642" t="s">
        <v>8</v>
      </c>
      <c r="F1642" t="s">
        <v>11</v>
      </c>
      <c r="G1642">
        <v>118.7</v>
      </c>
      <c r="H1642">
        <v>250101</v>
      </c>
      <c r="I1642">
        <v>4841</v>
      </c>
      <c r="J1642" t="s">
        <v>9</v>
      </c>
      <c r="K1642">
        <v>18765.86</v>
      </c>
      <c r="L1642">
        <v>24.12</v>
      </c>
      <c r="M1642">
        <v>48601</v>
      </c>
      <c r="N1642" t="s">
        <v>107</v>
      </c>
      <c r="O1642">
        <v>241231</v>
      </c>
      <c r="P1642">
        <v>94.58</v>
      </c>
    </row>
    <row r="1643" spans="1:16" x14ac:dyDescent="0.25">
      <c r="A1643" t="s">
        <v>3296</v>
      </c>
      <c r="B1643" t="s">
        <v>2931</v>
      </c>
      <c r="C1643">
        <v>43</v>
      </c>
      <c r="D1643" t="str">
        <f t="shared" si="42"/>
        <v xml:space="preserve">5009600     </v>
      </c>
      <c r="E1643" t="s">
        <v>8</v>
      </c>
      <c r="F1643" t="s">
        <v>11</v>
      </c>
      <c r="G1643">
        <v>46.89</v>
      </c>
      <c r="H1643">
        <v>250101</v>
      </c>
      <c r="I1643">
        <v>4841</v>
      </c>
      <c r="J1643" t="s">
        <v>9</v>
      </c>
      <c r="K1643">
        <v>18765.86</v>
      </c>
      <c r="L1643">
        <v>9.5299999999999994</v>
      </c>
      <c r="M1643">
        <v>49111</v>
      </c>
      <c r="N1643" t="s">
        <v>108</v>
      </c>
      <c r="O1643">
        <v>241231</v>
      </c>
      <c r="P1643">
        <v>37.36</v>
      </c>
    </row>
    <row r="1644" spans="1:16" x14ac:dyDescent="0.25">
      <c r="A1644" t="s">
        <v>3296</v>
      </c>
      <c r="B1644" t="s">
        <v>2931</v>
      </c>
      <c r="C1644">
        <v>43</v>
      </c>
      <c r="D1644" t="str">
        <f t="shared" si="42"/>
        <v xml:space="preserve">5009600     </v>
      </c>
      <c r="E1644" t="s">
        <v>8</v>
      </c>
      <c r="F1644" t="s">
        <v>11</v>
      </c>
      <c r="G1644">
        <v>27.79</v>
      </c>
      <c r="H1644">
        <v>250101</v>
      </c>
      <c r="I1644">
        <v>4841</v>
      </c>
      <c r="J1644" t="s">
        <v>9</v>
      </c>
      <c r="K1644">
        <v>18765.86</v>
      </c>
      <c r="L1644">
        <v>5.65</v>
      </c>
      <c r="M1644">
        <v>49112</v>
      </c>
      <c r="N1644" t="s">
        <v>109</v>
      </c>
      <c r="O1644">
        <v>241231</v>
      </c>
      <c r="P1644">
        <v>22.14</v>
      </c>
    </row>
    <row r="1645" spans="1:16" x14ac:dyDescent="0.25">
      <c r="A1645" t="s">
        <v>3296</v>
      </c>
      <c r="B1645" t="s">
        <v>2931</v>
      </c>
      <c r="C1645">
        <v>43</v>
      </c>
      <c r="D1645" t="str">
        <f t="shared" si="42"/>
        <v xml:space="preserve">5009600     </v>
      </c>
      <c r="E1645" t="s">
        <v>8</v>
      </c>
      <c r="F1645" t="s">
        <v>11</v>
      </c>
      <c r="G1645">
        <v>263.14999999999998</v>
      </c>
      <c r="H1645">
        <v>250101</v>
      </c>
      <c r="I1645">
        <v>4841</v>
      </c>
      <c r="J1645" t="s">
        <v>9</v>
      </c>
      <c r="K1645">
        <v>18765.86</v>
      </c>
      <c r="L1645">
        <v>53.47</v>
      </c>
      <c r="M1645">
        <v>49501</v>
      </c>
      <c r="N1645" t="s">
        <v>110</v>
      </c>
      <c r="O1645">
        <v>241231</v>
      </c>
      <c r="P1645">
        <v>209.68</v>
      </c>
    </row>
    <row r="1646" spans="1:16" x14ac:dyDescent="0.25">
      <c r="A1646" t="s">
        <v>3296</v>
      </c>
      <c r="B1646" t="s">
        <v>2931</v>
      </c>
      <c r="C1646">
        <v>43</v>
      </c>
      <c r="D1646" t="str">
        <f t="shared" si="42"/>
        <v xml:space="preserve">5009600     </v>
      </c>
      <c r="E1646" t="s">
        <v>8</v>
      </c>
      <c r="F1646" t="s">
        <v>11</v>
      </c>
      <c r="G1646">
        <v>260.24</v>
      </c>
      <c r="H1646">
        <v>250101</v>
      </c>
      <c r="I1646">
        <v>4841</v>
      </c>
      <c r="J1646" t="s">
        <v>9</v>
      </c>
      <c r="K1646">
        <v>18765.86</v>
      </c>
      <c r="L1646">
        <v>52.88</v>
      </c>
      <c r="M1646">
        <v>49701</v>
      </c>
      <c r="N1646" t="s">
        <v>111</v>
      </c>
      <c r="O1646">
        <v>241231</v>
      </c>
      <c r="P1646">
        <v>207.36</v>
      </c>
    </row>
    <row r="1647" spans="1:16" x14ac:dyDescent="0.25">
      <c r="A1647" t="s">
        <v>3296</v>
      </c>
      <c r="B1647" t="s">
        <v>2931</v>
      </c>
      <c r="C1647">
        <v>43</v>
      </c>
      <c r="D1647" t="str">
        <f t="shared" si="42"/>
        <v xml:space="preserve">5009600     </v>
      </c>
      <c r="E1647" t="s">
        <v>8</v>
      </c>
      <c r="F1647" t="s">
        <v>11</v>
      </c>
      <c r="G1647">
        <v>355.06</v>
      </c>
      <c r="H1647">
        <v>250101</v>
      </c>
      <c r="I1647">
        <v>4841</v>
      </c>
      <c r="J1647" t="s">
        <v>9</v>
      </c>
      <c r="K1647">
        <v>18765.86</v>
      </c>
      <c r="L1647">
        <v>72.14</v>
      </c>
      <c r="M1647">
        <v>49702</v>
      </c>
      <c r="N1647" t="s">
        <v>112</v>
      </c>
      <c r="O1647">
        <v>241231</v>
      </c>
      <c r="P1647">
        <v>282.92</v>
      </c>
    </row>
    <row r="1648" spans="1:16" x14ac:dyDescent="0.25">
      <c r="A1648" t="s">
        <v>3296</v>
      </c>
      <c r="B1648" t="s">
        <v>2931</v>
      </c>
      <c r="C1648">
        <v>43</v>
      </c>
      <c r="D1648" t="str">
        <f t="shared" si="42"/>
        <v xml:space="preserve">5009600     </v>
      </c>
      <c r="E1648" t="s">
        <v>8</v>
      </c>
      <c r="F1648" t="s">
        <v>11</v>
      </c>
      <c r="G1648">
        <v>109.8</v>
      </c>
      <c r="H1648">
        <v>250101</v>
      </c>
      <c r="I1648">
        <v>4841</v>
      </c>
      <c r="J1648" t="s">
        <v>9</v>
      </c>
      <c r="K1648">
        <v>18765.86</v>
      </c>
      <c r="L1648">
        <v>22.31</v>
      </c>
      <c r="M1648">
        <v>49704</v>
      </c>
      <c r="N1648" t="s">
        <v>113</v>
      </c>
      <c r="O1648">
        <v>241231</v>
      </c>
      <c r="P1648">
        <v>87.49</v>
      </c>
    </row>
    <row r="1649" spans="1:16" x14ac:dyDescent="0.25">
      <c r="A1649" t="s">
        <v>3296</v>
      </c>
      <c r="B1649" t="s">
        <v>2931</v>
      </c>
      <c r="C1649">
        <v>43</v>
      </c>
      <c r="D1649" t="str">
        <f t="shared" si="42"/>
        <v xml:space="preserve">5009600     </v>
      </c>
      <c r="E1649" t="s">
        <v>8</v>
      </c>
      <c r="F1649" t="s">
        <v>11</v>
      </c>
      <c r="G1649">
        <v>541.9</v>
      </c>
      <c r="H1649">
        <v>250101</v>
      </c>
      <c r="I1649">
        <v>4841</v>
      </c>
      <c r="J1649" t="s">
        <v>9</v>
      </c>
      <c r="K1649">
        <v>18765.86</v>
      </c>
      <c r="L1649">
        <v>110.11</v>
      </c>
      <c r="M1649">
        <v>49705</v>
      </c>
      <c r="N1649" t="s">
        <v>114</v>
      </c>
      <c r="O1649">
        <v>241231</v>
      </c>
      <c r="P1649">
        <v>431.79</v>
      </c>
    </row>
    <row r="1650" spans="1:16" x14ac:dyDescent="0.25">
      <c r="A1650" t="s">
        <v>3296</v>
      </c>
      <c r="B1650" t="s">
        <v>2931</v>
      </c>
      <c r="C1650">
        <v>44</v>
      </c>
      <c r="D1650" t="str">
        <f>"5009601     "</f>
        <v xml:space="preserve">5009601     </v>
      </c>
      <c r="E1650" t="s">
        <v>8</v>
      </c>
      <c r="F1650" t="s">
        <v>11</v>
      </c>
      <c r="G1650">
        <v>1141.9000000000001</v>
      </c>
      <c r="H1650">
        <v>250101</v>
      </c>
      <c r="I1650">
        <v>4841</v>
      </c>
      <c r="J1650" t="s">
        <v>9</v>
      </c>
      <c r="K1650">
        <v>1231.46</v>
      </c>
      <c r="L1650">
        <v>232.02</v>
      </c>
      <c r="M1650">
        <v>13601</v>
      </c>
      <c r="N1650" t="s">
        <v>115</v>
      </c>
      <c r="O1650">
        <v>241231</v>
      </c>
      <c r="P1650">
        <v>909.88</v>
      </c>
    </row>
    <row r="1651" spans="1:16" x14ac:dyDescent="0.25">
      <c r="A1651" t="s">
        <v>3296</v>
      </c>
      <c r="B1651" t="s">
        <v>2931</v>
      </c>
      <c r="C1651">
        <v>44</v>
      </c>
      <c r="D1651" t="str">
        <f>"5009601     "</f>
        <v xml:space="preserve">5009601     </v>
      </c>
      <c r="E1651" t="s">
        <v>8</v>
      </c>
      <c r="F1651" t="s">
        <v>11</v>
      </c>
      <c r="G1651">
        <v>89.56</v>
      </c>
      <c r="H1651">
        <v>250101</v>
      </c>
      <c r="I1651">
        <v>4841</v>
      </c>
      <c r="J1651" t="s">
        <v>9</v>
      </c>
      <c r="K1651">
        <v>1231.46</v>
      </c>
      <c r="L1651">
        <v>18.2</v>
      </c>
      <c r="M1651">
        <v>13601</v>
      </c>
      <c r="N1651" t="s">
        <v>115</v>
      </c>
      <c r="O1651">
        <v>241231</v>
      </c>
      <c r="P1651">
        <v>71.36</v>
      </c>
    </row>
    <row r="1652" spans="1:16" x14ac:dyDescent="0.25">
      <c r="A1652" t="s">
        <v>3296</v>
      </c>
      <c r="B1652" t="s">
        <v>2931</v>
      </c>
      <c r="C1652">
        <v>49</v>
      </c>
      <c r="D1652" t="str">
        <f>"5009599     "</f>
        <v xml:space="preserve">5009599     </v>
      </c>
      <c r="E1652" t="s">
        <v>8</v>
      </c>
      <c r="F1652" t="s">
        <v>11</v>
      </c>
      <c r="G1652">
        <v>462.09</v>
      </c>
      <c r="H1652">
        <v>250101</v>
      </c>
      <c r="I1652">
        <v>4841</v>
      </c>
      <c r="J1652" t="s">
        <v>9</v>
      </c>
      <c r="K1652">
        <v>462.09</v>
      </c>
      <c r="L1652">
        <v>93.89</v>
      </c>
      <c r="M1652">
        <v>13901</v>
      </c>
      <c r="N1652" t="s">
        <v>116</v>
      </c>
      <c r="O1652">
        <v>241231</v>
      </c>
      <c r="P1652">
        <v>368.2</v>
      </c>
    </row>
    <row r="1653" spans="1:16" x14ac:dyDescent="0.25">
      <c r="A1653" t="s">
        <v>3296</v>
      </c>
      <c r="B1653" t="s">
        <v>2931</v>
      </c>
      <c r="C1653">
        <v>50</v>
      </c>
      <c r="D1653" t="str">
        <f>"5009611     "</f>
        <v xml:space="preserve">5009611     </v>
      </c>
      <c r="E1653" t="s">
        <v>8</v>
      </c>
      <c r="F1653" t="s">
        <v>11</v>
      </c>
      <c r="G1653">
        <v>301.95</v>
      </c>
      <c r="H1653">
        <v>250101</v>
      </c>
      <c r="I1653">
        <v>4841</v>
      </c>
      <c r="J1653" t="s">
        <v>9</v>
      </c>
      <c r="K1653">
        <v>301.95</v>
      </c>
      <c r="L1653">
        <v>61.35</v>
      </c>
      <c r="M1653">
        <v>13901</v>
      </c>
      <c r="N1653" t="s">
        <v>116</v>
      </c>
      <c r="O1653">
        <v>241231</v>
      </c>
      <c r="P1653">
        <v>240.6</v>
      </c>
    </row>
    <row r="1654" spans="1:16" x14ac:dyDescent="0.25">
      <c r="A1654" t="s">
        <v>3296</v>
      </c>
      <c r="B1654" t="s">
        <v>2931</v>
      </c>
      <c r="C1654">
        <v>51</v>
      </c>
      <c r="D1654" t="str">
        <f t="shared" ref="D1654:D1665" si="43">"5009619     "</f>
        <v xml:space="preserve">5009619     </v>
      </c>
      <c r="E1654" t="s">
        <v>8</v>
      </c>
      <c r="F1654" t="s">
        <v>11</v>
      </c>
      <c r="G1654">
        <v>310.97000000000003</v>
      </c>
      <c r="H1654">
        <v>250101</v>
      </c>
      <c r="I1654">
        <v>4841</v>
      </c>
      <c r="J1654" t="s">
        <v>9</v>
      </c>
      <c r="K1654">
        <v>5423.88</v>
      </c>
      <c r="L1654">
        <v>63.19</v>
      </c>
      <c r="M1654">
        <v>11301</v>
      </c>
      <c r="N1654" t="s">
        <v>92</v>
      </c>
      <c r="O1654">
        <v>250102</v>
      </c>
      <c r="P1654">
        <v>247.78</v>
      </c>
    </row>
    <row r="1655" spans="1:16" x14ac:dyDescent="0.25">
      <c r="A1655" t="s">
        <v>3296</v>
      </c>
      <c r="B1655" t="s">
        <v>2931</v>
      </c>
      <c r="C1655">
        <v>51</v>
      </c>
      <c r="D1655" t="str">
        <f t="shared" si="43"/>
        <v xml:space="preserve">5009619     </v>
      </c>
      <c r="E1655" t="s">
        <v>8</v>
      </c>
      <c r="F1655" t="s">
        <v>11</v>
      </c>
      <c r="G1655">
        <v>69.739999999999995</v>
      </c>
      <c r="H1655">
        <v>250101</v>
      </c>
      <c r="I1655">
        <v>4841</v>
      </c>
      <c r="J1655" t="s">
        <v>9</v>
      </c>
      <c r="K1655">
        <v>5423.88</v>
      </c>
      <c r="L1655">
        <v>14.17</v>
      </c>
      <c r="M1655">
        <v>65422</v>
      </c>
      <c r="N1655" t="s">
        <v>117</v>
      </c>
      <c r="O1655">
        <v>250102</v>
      </c>
      <c r="P1655">
        <v>55.57</v>
      </c>
    </row>
    <row r="1656" spans="1:16" x14ac:dyDescent="0.25">
      <c r="A1656" t="s">
        <v>3296</v>
      </c>
      <c r="B1656" t="s">
        <v>2931</v>
      </c>
      <c r="C1656">
        <v>51</v>
      </c>
      <c r="D1656" t="str">
        <f t="shared" si="43"/>
        <v xml:space="preserve">5009619     </v>
      </c>
      <c r="E1656" t="s">
        <v>8</v>
      </c>
      <c r="F1656" t="s">
        <v>11</v>
      </c>
      <c r="G1656">
        <v>57.94</v>
      </c>
      <c r="H1656">
        <v>250101</v>
      </c>
      <c r="I1656">
        <v>4841</v>
      </c>
      <c r="J1656" t="s">
        <v>9</v>
      </c>
      <c r="K1656">
        <v>5423.88</v>
      </c>
      <c r="L1656">
        <v>11.77</v>
      </c>
      <c r="M1656">
        <v>66722</v>
      </c>
      <c r="N1656" t="s">
        <v>118</v>
      </c>
      <c r="O1656">
        <v>250102</v>
      </c>
      <c r="P1656">
        <v>46.17</v>
      </c>
    </row>
    <row r="1657" spans="1:16" x14ac:dyDescent="0.25">
      <c r="A1657" t="s">
        <v>3296</v>
      </c>
      <c r="B1657" t="s">
        <v>2931</v>
      </c>
      <c r="C1657">
        <v>51</v>
      </c>
      <c r="D1657" t="str">
        <f t="shared" si="43"/>
        <v xml:space="preserve">5009619     </v>
      </c>
      <c r="E1657" t="s">
        <v>8</v>
      </c>
      <c r="F1657" t="s">
        <v>11</v>
      </c>
      <c r="G1657">
        <v>20.77</v>
      </c>
      <c r="H1657">
        <v>250101</v>
      </c>
      <c r="I1657">
        <v>4841</v>
      </c>
      <c r="J1657" t="s">
        <v>9</v>
      </c>
      <c r="K1657">
        <v>5423.88</v>
      </c>
      <c r="L1657">
        <v>4.22</v>
      </c>
      <c r="M1657">
        <v>66754</v>
      </c>
      <c r="N1657" t="s">
        <v>119</v>
      </c>
      <c r="O1657">
        <v>250102</v>
      </c>
      <c r="P1657">
        <v>16.55</v>
      </c>
    </row>
    <row r="1658" spans="1:16" x14ac:dyDescent="0.25">
      <c r="A1658" t="s">
        <v>3296</v>
      </c>
      <c r="B1658" t="s">
        <v>2931</v>
      </c>
      <c r="C1658">
        <v>51</v>
      </c>
      <c r="D1658" t="str">
        <f t="shared" si="43"/>
        <v xml:space="preserve">5009619     </v>
      </c>
      <c r="E1658" t="s">
        <v>8</v>
      </c>
      <c r="F1658" t="s">
        <v>11</v>
      </c>
      <c r="G1658">
        <v>58.85</v>
      </c>
      <c r="H1658">
        <v>250101</v>
      </c>
      <c r="I1658">
        <v>4841</v>
      </c>
      <c r="J1658" t="s">
        <v>9</v>
      </c>
      <c r="K1658">
        <v>5423.88</v>
      </c>
      <c r="L1658">
        <v>11.96</v>
      </c>
      <c r="M1658">
        <v>66754</v>
      </c>
      <c r="N1658" t="s">
        <v>119</v>
      </c>
      <c r="O1658">
        <v>250102</v>
      </c>
      <c r="P1658">
        <v>46.89</v>
      </c>
    </row>
    <row r="1659" spans="1:16" x14ac:dyDescent="0.25">
      <c r="A1659" t="s">
        <v>3296</v>
      </c>
      <c r="B1659" t="s">
        <v>2931</v>
      </c>
      <c r="C1659">
        <v>51</v>
      </c>
      <c r="D1659" t="str">
        <f t="shared" si="43"/>
        <v xml:space="preserve">5009619     </v>
      </c>
      <c r="E1659" t="s">
        <v>8</v>
      </c>
      <c r="F1659" t="s">
        <v>11</v>
      </c>
      <c r="G1659">
        <v>42.51</v>
      </c>
      <c r="H1659">
        <v>250101</v>
      </c>
      <c r="I1659">
        <v>4841</v>
      </c>
      <c r="J1659" t="s">
        <v>9</v>
      </c>
      <c r="K1659">
        <v>5423.88</v>
      </c>
      <c r="L1659">
        <v>8.64</v>
      </c>
      <c r="M1659">
        <v>66756</v>
      </c>
      <c r="N1659" t="s">
        <v>120</v>
      </c>
      <c r="O1659">
        <v>250102</v>
      </c>
      <c r="P1659">
        <v>33.869999999999997</v>
      </c>
    </row>
    <row r="1660" spans="1:16" x14ac:dyDescent="0.25">
      <c r="A1660" t="s">
        <v>3296</v>
      </c>
      <c r="B1660" t="s">
        <v>2931</v>
      </c>
      <c r="C1660">
        <v>51</v>
      </c>
      <c r="D1660" t="str">
        <f t="shared" si="43"/>
        <v xml:space="preserve">5009619     </v>
      </c>
      <c r="E1660" t="s">
        <v>8</v>
      </c>
      <c r="F1660" t="s">
        <v>11</v>
      </c>
      <c r="G1660">
        <v>110.49</v>
      </c>
      <c r="H1660">
        <v>250101</v>
      </c>
      <c r="I1660">
        <v>4841</v>
      </c>
      <c r="J1660" t="s">
        <v>9</v>
      </c>
      <c r="K1660">
        <v>5423.88</v>
      </c>
      <c r="L1660">
        <v>22.45</v>
      </c>
      <c r="M1660">
        <v>67522</v>
      </c>
      <c r="N1660" t="s">
        <v>121</v>
      </c>
      <c r="O1660">
        <v>250102</v>
      </c>
      <c r="P1660">
        <v>88.04</v>
      </c>
    </row>
    <row r="1661" spans="1:16" x14ac:dyDescent="0.25">
      <c r="A1661" t="s">
        <v>3296</v>
      </c>
      <c r="B1661" t="s">
        <v>2931</v>
      </c>
      <c r="C1661">
        <v>51</v>
      </c>
      <c r="D1661" t="str">
        <f t="shared" si="43"/>
        <v xml:space="preserve">5009619     </v>
      </c>
      <c r="E1661" t="s">
        <v>8</v>
      </c>
      <c r="F1661" t="s">
        <v>11</v>
      </c>
      <c r="G1661">
        <v>12.46</v>
      </c>
      <c r="H1661">
        <v>250101</v>
      </c>
      <c r="I1661">
        <v>4841</v>
      </c>
      <c r="J1661" t="s">
        <v>9</v>
      </c>
      <c r="K1661">
        <v>5423.88</v>
      </c>
      <c r="L1661">
        <v>2.5299999999999998</v>
      </c>
      <c r="M1661">
        <v>67522</v>
      </c>
      <c r="N1661" t="s">
        <v>121</v>
      </c>
      <c r="O1661">
        <v>250102</v>
      </c>
      <c r="P1661">
        <v>9.93</v>
      </c>
    </row>
    <row r="1662" spans="1:16" x14ac:dyDescent="0.25">
      <c r="A1662" t="s">
        <v>3296</v>
      </c>
      <c r="B1662" t="s">
        <v>2931</v>
      </c>
      <c r="C1662">
        <v>51</v>
      </c>
      <c r="D1662" t="str">
        <f t="shared" si="43"/>
        <v xml:space="preserve">5009619     </v>
      </c>
      <c r="E1662" t="s">
        <v>8</v>
      </c>
      <c r="F1662" t="s">
        <v>11</v>
      </c>
      <c r="G1662">
        <v>46.9</v>
      </c>
      <c r="H1662">
        <v>250101</v>
      </c>
      <c r="I1662">
        <v>4841</v>
      </c>
      <c r="J1662" t="s">
        <v>9</v>
      </c>
      <c r="K1662">
        <v>5423.88</v>
      </c>
      <c r="L1662">
        <v>9.5299999999999994</v>
      </c>
      <c r="M1662">
        <v>69113</v>
      </c>
      <c r="N1662" t="s">
        <v>122</v>
      </c>
      <c r="O1662">
        <v>250102</v>
      </c>
      <c r="P1662">
        <v>37.369999999999997</v>
      </c>
    </row>
    <row r="1663" spans="1:16" x14ac:dyDescent="0.25">
      <c r="A1663" t="s">
        <v>3296</v>
      </c>
      <c r="B1663" t="s">
        <v>2931</v>
      </c>
      <c r="C1663">
        <v>51</v>
      </c>
      <c r="D1663" t="str">
        <f t="shared" si="43"/>
        <v xml:space="preserve">5009619     </v>
      </c>
      <c r="E1663" t="s">
        <v>8</v>
      </c>
      <c r="F1663" t="s">
        <v>11</v>
      </c>
      <c r="G1663">
        <v>97.25</v>
      </c>
      <c r="H1663">
        <v>250101</v>
      </c>
      <c r="I1663">
        <v>4841</v>
      </c>
      <c r="J1663" t="s">
        <v>9</v>
      </c>
      <c r="K1663">
        <v>5423.88</v>
      </c>
      <c r="L1663">
        <v>19.760000000000002</v>
      </c>
      <c r="M1663">
        <v>69501</v>
      </c>
      <c r="N1663" t="s">
        <v>123</v>
      </c>
      <c r="O1663">
        <v>250102</v>
      </c>
      <c r="P1663">
        <v>77.489999999999995</v>
      </c>
    </row>
    <row r="1664" spans="1:16" x14ac:dyDescent="0.25">
      <c r="A1664" t="s">
        <v>3296</v>
      </c>
      <c r="B1664" t="s">
        <v>2931</v>
      </c>
      <c r="C1664">
        <v>51</v>
      </c>
      <c r="D1664" t="str">
        <f t="shared" si="43"/>
        <v xml:space="preserve">5009619     </v>
      </c>
      <c r="E1664" t="s">
        <v>8</v>
      </c>
      <c r="F1664" t="s">
        <v>11</v>
      </c>
      <c r="G1664">
        <v>4462.93</v>
      </c>
      <c r="H1664">
        <v>250101</v>
      </c>
      <c r="I1664">
        <v>4841</v>
      </c>
      <c r="J1664" t="s">
        <v>9</v>
      </c>
      <c r="K1664">
        <v>5423.88</v>
      </c>
      <c r="L1664">
        <v>906.81</v>
      </c>
      <c r="M1664">
        <v>69702</v>
      </c>
      <c r="N1664" t="s">
        <v>124</v>
      </c>
      <c r="O1664">
        <v>250102</v>
      </c>
      <c r="P1664">
        <v>3556.12</v>
      </c>
    </row>
    <row r="1665" spans="1:16" x14ac:dyDescent="0.25">
      <c r="A1665" t="s">
        <v>3296</v>
      </c>
      <c r="B1665" t="s">
        <v>2931</v>
      </c>
      <c r="C1665">
        <v>51</v>
      </c>
      <c r="D1665" t="str">
        <f t="shared" si="43"/>
        <v xml:space="preserve">5009619     </v>
      </c>
      <c r="E1665" t="s">
        <v>8</v>
      </c>
      <c r="F1665" t="s">
        <v>11</v>
      </c>
      <c r="G1665">
        <v>133.07</v>
      </c>
      <c r="H1665">
        <v>250101</v>
      </c>
      <c r="I1665">
        <v>4841</v>
      </c>
      <c r="J1665" t="s">
        <v>9</v>
      </c>
      <c r="K1665">
        <v>5423.88</v>
      </c>
      <c r="L1665">
        <v>27.04</v>
      </c>
      <c r="M1665">
        <v>69708</v>
      </c>
      <c r="N1665" t="s">
        <v>125</v>
      </c>
      <c r="O1665">
        <v>250102</v>
      </c>
      <c r="P1665">
        <v>106.03</v>
      </c>
    </row>
    <row r="1666" spans="1:16" x14ac:dyDescent="0.25">
      <c r="A1666" t="s">
        <v>3296</v>
      </c>
      <c r="B1666" t="s">
        <v>2931</v>
      </c>
      <c r="C1666">
        <v>57</v>
      </c>
      <c r="D1666" t="str">
        <f>"5009597     "</f>
        <v xml:space="preserve">5009597     </v>
      </c>
      <c r="E1666" t="s">
        <v>8</v>
      </c>
      <c r="F1666" t="s">
        <v>11</v>
      </c>
      <c r="G1666">
        <v>13.21</v>
      </c>
      <c r="H1666">
        <v>250101</v>
      </c>
      <c r="I1666">
        <v>4841</v>
      </c>
      <c r="J1666" t="s">
        <v>9</v>
      </c>
      <c r="K1666">
        <v>350.02</v>
      </c>
      <c r="L1666">
        <v>2.68</v>
      </c>
      <c r="M1666">
        <v>13540</v>
      </c>
      <c r="N1666" t="s">
        <v>131</v>
      </c>
      <c r="O1666">
        <v>250102</v>
      </c>
      <c r="P1666">
        <v>10.53</v>
      </c>
    </row>
    <row r="1667" spans="1:16" x14ac:dyDescent="0.25">
      <c r="A1667" t="s">
        <v>3296</v>
      </c>
      <c r="B1667" t="s">
        <v>2931</v>
      </c>
      <c r="C1667">
        <v>57</v>
      </c>
      <c r="D1667" t="str">
        <f>"5009597     "</f>
        <v xml:space="preserve">5009597     </v>
      </c>
      <c r="E1667" t="s">
        <v>8</v>
      </c>
      <c r="F1667" t="s">
        <v>11</v>
      </c>
      <c r="G1667">
        <v>161.16999999999999</v>
      </c>
      <c r="H1667">
        <v>250101</v>
      </c>
      <c r="I1667">
        <v>4841</v>
      </c>
      <c r="J1667" t="s">
        <v>9</v>
      </c>
      <c r="K1667">
        <v>350.02</v>
      </c>
      <c r="L1667">
        <v>32.75</v>
      </c>
      <c r="M1667">
        <v>17538</v>
      </c>
      <c r="N1667" t="s">
        <v>129</v>
      </c>
      <c r="O1667">
        <v>250102</v>
      </c>
      <c r="P1667">
        <v>128.41999999999999</v>
      </c>
    </row>
    <row r="1668" spans="1:16" x14ac:dyDescent="0.25">
      <c r="A1668" t="s">
        <v>3296</v>
      </c>
      <c r="B1668" t="s">
        <v>2931</v>
      </c>
      <c r="C1668">
        <v>57</v>
      </c>
      <c r="D1668" t="str">
        <f>"5009597     "</f>
        <v xml:space="preserve">5009597     </v>
      </c>
      <c r="E1668" t="s">
        <v>8</v>
      </c>
      <c r="F1668" t="s">
        <v>11</v>
      </c>
      <c r="G1668">
        <v>68.8</v>
      </c>
      <c r="H1668">
        <v>250101</v>
      </c>
      <c r="I1668">
        <v>4841</v>
      </c>
      <c r="J1668" t="s">
        <v>9</v>
      </c>
      <c r="K1668">
        <v>350.02</v>
      </c>
      <c r="L1668">
        <v>13.98</v>
      </c>
      <c r="M1668">
        <v>17808</v>
      </c>
      <c r="N1668" t="s">
        <v>24</v>
      </c>
      <c r="O1668">
        <v>250102</v>
      </c>
      <c r="P1668">
        <v>54.82</v>
      </c>
    </row>
    <row r="1669" spans="1:16" x14ac:dyDescent="0.25">
      <c r="A1669" t="s">
        <v>3296</v>
      </c>
      <c r="B1669" t="s">
        <v>2931</v>
      </c>
      <c r="C1669">
        <v>57</v>
      </c>
      <c r="D1669" t="str">
        <f>"5009597     "</f>
        <v xml:space="preserve">5009597     </v>
      </c>
      <c r="E1669" t="s">
        <v>8</v>
      </c>
      <c r="F1669" t="s">
        <v>11</v>
      </c>
      <c r="G1669">
        <v>106.84</v>
      </c>
      <c r="H1669">
        <v>250101</v>
      </c>
      <c r="I1669">
        <v>4841</v>
      </c>
      <c r="J1669" t="s">
        <v>9</v>
      </c>
      <c r="K1669">
        <v>350.02</v>
      </c>
      <c r="L1669">
        <v>21.71</v>
      </c>
      <c r="M1669">
        <v>17950</v>
      </c>
      <c r="N1669" t="s">
        <v>132</v>
      </c>
      <c r="O1669">
        <v>250102</v>
      </c>
      <c r="P1669">
        <v>85.13</v>
      </c>
    </row>
    <row r="1670" spans="1:16" x14ac:dyDescent="0.25">
      <c r="A1670" t="s">
        <v>3296</v>
      </c>
      <c r="B1670" t="s">
        <v>2931</v>
      </c>
      <c r="C1670">
        <v>60</v>
      </c>
      <c r="D1670" t="str">
        <f t="shared" ref="D1670:D1697" si="44">"5009615     "</f>
        <v xml:space="preserve">5009615     </v>
      </c>
      <c r="E1670" t="s">
        <v>8</v>
      </c>
      <c r="F1670" t="s">
        <v>11</v>
      </c>
      <c r="G1670">
        <v>23.82</v>
      </c>
      <c r="H1670">
        <v>250101</v>
      </c>
      <c r="I1670">
        <v>4841</v>
      </c>
      <c r="J1670" t="s">
        <v>9</v>
      </c>
      <c r="K1670">
        <v>21487.18</v>
      </c>
      <c r="L1670">
        <v>4.84</v>
      </c>
      <c r="M1670">
        <v>13540</v>
      </c>
      <c r="N1670" t="s">
        <v>131</v>
      </c>
      <c r="O1670">
        <v>250102</v>
      </c>
      <c r="P1670">
        <v>18.98</v>
      </c>
    </row>
    <row r="1671" spans="1:16" x14ac:dyDescent="0.25">
      <c r="A1671" t="s">
        <v>3296</v>
      </c>
      <c r="B1671" t="s">
        <v>2931</v>
      </c>
      <c r="C1671">
        <v>60</v>
      </c>
      <c r="D1671" t="str">
        <f t="shared" si="44"/>
        <v xml:space="preserve">5009615     </v>
      </c>
      <c r="E1671" t="s">
        <v>8</v>
      </c>
      <c r="F1671" t="s">
        <v>11</v>
      </c>
      <c r="G1671">
        <v>10.57</v>
      </c>
      <c r="H1671">
        <v>250101</v>
      </c>
      <c r="I1671">
        <v>4841</v>
      </c>
      <c r="J1671" t="s">
        <v>9</v>
      </c>
      <c r="K1671">
        <v>21487.18</v>
      </c>
      <c r="L1671">
        <v>2.15</v>
      </c>
      <c r="M1671">
        <v>13552</v>
      </c>
      <c r="N1671" t="s">
        <v>133</v>
      </c>
      <c r="O1671">
        <v>250102</v>
      </c>
      <c r="P1671">
        <v>8.42</v>
      </c>
    </row>
    <row r="1672" spans="1:16" x14ac:dyDescent="0.25">
      <c r="A1672" t="s">
        <v>3296</v>
      </c>
      <c r="B1672" t="s">
        <v>2931</v>
      </c>
      <c r="C1672">
        <v>60</v>
      </c>
      <c r="D1672" t="str">
        <f t="shared" si="44"/>
        <v xml:space="preserve">5009615     </v>
      </c>
      <c r="E1672" t="s">
        <v>8</v>
      </c>
      <c r="F1672" t="s">
        <v>11</v>
      </c>
      <c r="G1672">
        <v>80.58</v>
      </c>
      <c r="H1672">
        <v>250101</v>
      </c>
      <c r="I1672">
        <v>4841</v>
      </c>
      <c r="J1672" t="s">
        <v>9</v>
      </c>
      <c r="K1672">
        <v>21487.18</v>
      </c>
      <c r="L1672">
        <v>16.37</v>
      </c>
      <c r="M1672">
        <v>16915</v>
      </c>
      <c r="N1672" t="s">
        <v>134</v>
      </c>
      <c r="O1672">
        <v>250102</v>
      </c>
      <c r="P1672">
        <v>64.209999999999994</v>
      </c>
    </row>
    <row r="1673" spans="1:16" x14ac:dyDescent="0.25">
      <c r="A1673" t="s">
        <v>3296</v>
      </c>
      <c r="B1673" t="s">
        <v>2931</v>
      </c>
      <c r="C1673">
        <v>60</v>
      </c>
      <c r="D1673" t="str">
        <f t="shared" si="44"/>
        <v xml:space="preserve">5009615     </v>
      </c>
      <c r="E1673" t="s">
        <v>8</v>
      </c>
      <c r="F1673" t="s">
        <v>11</v>
      </c>
      <c r="G1673">
        <v>302.77</v>
      </c>
      <c r="H1673">
        <v>250101</v>
      </c>
      <c r="I1673">
        <v>4841</v>
      </c>
      <c r="J1673" t="s">
        <v>9</v>
      </c>
      <c r="K1673">
        <v>21487.18</v>
      </c>
      <c r="L1673">
        <v>61.52</v>
      </c>
      <c r="M1673">
        <v>16930</v>
      </c>
      <c r="N1673" t="s">
        <v>135</v>
      </c>
      <c r="O1673">
        <v>250102</v>
      </c>
      <c r="P1673">
        <v>241.25</v>
      </c>
    </row>
    <row r="1674" spans="1:16" x14ac:dyDescent="0.25">
      <c r="A1674" t="s">
        <v>3296</v>
      </c>
      <c r="B1674" t="s">
        <v>2931</v>
      </c>
      <c r="C1674">
        <v>60</v>
      </c>
      <c r="D1674" t="str">
        <f t="shared" si="44"/>
        <v xml:space="preserve">5009615     </v>
      </c>
      <c r="E1674" t="s">
        <v>8</v>
      </c>
      <c r="F1674" t="s">
        <v>11</v>
      </c>
      <c r="G1674">
        <v>1453.79</v>
      </c>
      <c r="H1674">
        <v>250101</v>
      </c>
      <c r="I1674">
        <v>4841</v>
      </c>
      <c r="J1674" t="s">
        <v>9</v>
      </c>
      <c r="K1674">
        <v>21487.18</v>
      </c>
      <c r="L1674">
        <v>295.39</v>
      </c>
      <c r="M1674">
        <v>17521</v>
      </c>
      <c r="N1674" t="s">
        <v>136</v>
      </c>
      <c r="O1674">
        <v>250102</v>
      </c>
      <c r="P1674">
        <v>1158.4000000000001</v>
      </c>
    </row>
    <row r="1675" spans="1:16" x14ac:dyDescent="0.25">
      <c r="A1675" t="s">
        <v>3296</v>
      </c>
      <c r="B1675" t="s">
        <v>2931</v>
      </c>
      <c r="C1675">
        <v>60</v>
      </c>
      <c r="D1675" t="str">
        <f t="shared" si="44"/>
        <v xml:space="preserve">5009615     </v>
      </c>
      <c r="E1675" t="s">
        <v>8</v>
      </c>
      <c r="F1675" t="s">
        <v>11</v>
      </c>
      <c r="G1675">
        <v>783.21</v>
      </c>
      <c r="H1675">
        <v>250101</v>
      </c>
      <c r="I1675">
        <v>4841</v>
      </c>
      <c r="J1675" t="s">
        <v>9</v>
      </c>
      <c r="K1675">
        <v>21487.18</v>
      </c>
      <c r="L1675">
        <v>159.13999999999999</v>
      </c>
      <c r="M1675">
        <v>17522</v>
      </c>
      <c r="N1675" t="s">
        <v>137</v>
      </c>
      <c r="O1675">
        <v>250102</v>
      </c>
      <c r="P1675">
        <v>624.07000000000005</v>
      </c>
    </row>
    <row r="1676" spans="1:16" x14ac:dyDescent="0.25">
      <c r="A1676" t="s">
        <v>3296</v>
      </c>
      <c r="B1676" t="s">
        <v>2931</v>
      </c>
      <c r="C1676">
        <v>60</v>
      </c>
      <c r="D1676" t="str">
        <f t="shared" si="44"/>
        <v xml:space="preserve">5009615     </v>
      </c>
      <c r="E1676" t="s">
        <v>8</v>
      </c>
      <c r="F1676" t="s">
        <v>11</v>
      </c>
      <c r="G1676">
        <v>933.58</v>
      </c>
      <c r="H1676">
        <v>250101</v>
      </c>
      <c r="I1676">
        <v>4841</v>
      </c>
      <c r="J1676" t="s">
        <v>9</v>
      </c>
      <c r="K1676">
        <v>21487.18</v>
      </c>
      <c r="L1676">
        <v>189.69</v>
      </c>
      <c r="M1676">
        <v>17523</v>
      </c>
      <c r="N1676" t="s">
        <v>138</v>
      </c>
      <c r="O1676">
        <v>250102</v>
      </c>
      <c r="P1676">
        <v>743.89</v>
      </c>
    </row>
    <row r="1677" spans="1:16" x14ac:dyDescent="0.25">
      <c r="A1677" t="s">
        <v>3296</v>
      </c>
      <c r="B1677" t="s">
        <v>2931</v>
      </c>
      <c r="C1677">
        <v>60</v>
      </c>
      <c r="D1677" t="str">
        <f t="shared" si="44"/>
        <v xml:space="preserve">5009615     </v>
      </c>
      <c r="E1677" t="s">
        <v>8</v>
      </c>
      <c r="F1677" t="s">
        <v>11</v>
      </c>
      <c r="G1677">
        <v>321.45999999999998</v>
      </c>
      <c r="H1677">
        <v>250101</v>
      </c>
      <c r="I1677">
        <v>4841</v>
      </c>
      <c r="J1677" t="s">
        <v>9</v>
      </c>
      <c r="K1677">
        <v>21487.18</v>
      </c>
      <c r="L1677">
        <v>65.319999999999993</v>
      </c>
      <c r="M1677">
        <v>17524</v>
      </c>
      <c r="N1677" t="s">
        <v>139</v>
      </c>
      <c r="O1677">
        <v>250102</v>
      </c>
      <c r="P1677">
        <v>256.14</v>
      </c>
    </row>
    <row r="1678" spans="1:16" x14ac:dyDescent="0.25">
      <c r="A1678" t="s">
        <v>3296</v>
      </c>
      <c r="B1678" t="s">
        <v>2931</v>
      </c>
      <c r="C1678">
        <v>60</v>
      </c>
      <c r="D1678" t="str">
        <f t="shared" si="44"/>
        <v xml:space="preserve">5009615     </v>
      </c>
      <c r="E1678" t="s">
        <v>8</v>
      </c>
      <c r="F1678" t="s">
        <v>11</v>
      </c>
      <c r="G1678">
        <v>146.85</v>
      </c>
      <c r="H1678">
        <v>250101</v>
      </c>
      <c r="I1678">
        <v>4841</v>
      </c>
      <c r="J1678" t="s">
        <v>9</v>
      </c>
      <c r="K1678">
        <v>21487.18</v>
      </c>
      <c r="L1678">
        <v>29.84</v>
      </c>
      <c r="M1678">
        <v>17525</v>
      </c>
      <c r="N1678" t="s">
        <v>140</v>
      </c>
      <c r="O1678">
        <v>250102</v>
      </c>
      <c r="P1678">
        <v>117.01</v>
      </c>
    </row>
    <row r="1679" spans="1:16" x14ac:dyDescent="0.25">
      <c r="A1679" t="s">
        <v>3296</v>
      </c>
      <c r="B1679" t="s">
        <v>2931</v>
      </c>
      <c r="C1679">
        <v>60</v>
      </c>
      <c r="D1679" t="str">
        <f t="shared" si="44"/>
        <v xml:space="preserve">5009615     </v>
      </c>
      <c r="E1679" t="s">
        <v>8</v>
      </c>
      <c r="F1679" t="s">
        <v>11</v>
      </c>
      <c r="G1679">
        <v>224.46</v>
      </c>
      <c r="H1679">
        <v>250101</v>
      </c>
      <c r="I1679">
        <v>4841</v>
      </c>
      <c r="J1679" t="s">
        <v>9</v>
      </c>
      <c r="K1679">
        <v>21487.18</v>
      </c>
      <c r="L1679">
        <v>45.61</v>
      </c>
      <c r="M1679">
        <v>17526</v>
      </c>
      <c r="N1679" t="s">
        <v>141</v>
      </c>
      <c r="O1679">
        <v>250102</v>
      </c>
      <c r="P1679">
        <v>178.85</v>
      </c>
    </row>
    <row r="1680" spans="1:16" x14ac:dyDescent="0.25">
      <c r="A1680" t="s">
        <v>3296</v>
      </c>
      <c r="B1680" t="s">
        <v>2931</v>
      </c>
      <c r="C1680">
        <v>60</v>
      </c>
      <c r="D1680" t="str">
        <f t="shared" si="44"/>
        <v xml:space="preserve">5009615     </v>
      </c>
      <c r="E1680" t="s">
        <v>8</v>
      </c>
      <c r="F1680" t="s">
        <v>11</v>
      </c>
      <c r="G1680">
        <v>634.84</v>
      </c>
      <c r="H1680">
        <v>250101</v>
      </c>
      <c r="I1680">
        <v>4841</v>
      </c>
      <c r="J1680" t="s">
        <v>9</v>
      </c>
      <c r="K1680">
        <v>21487.18</v>
      </c>
      <c r="L1680">
        <v>128.99</v>
      </c>
      <c r="M1680">
        <v>17527</v>
      </c>
      <c r="N1680" t="s">
        <v>142</v>
      </c>
      <c r="O1680">
        <v>250102</v>
      </c>
      <c r="P1680">
        <v>505.85</v>
      </c>
    </row>
    <row r="1681" spans="1:16" x14ac:dyDescent="0.25">
      <c r="A1681" t="s">
        <v>3296</v>
      </c>
      <c r="B1681" t="s">
        <v>2931</v>
      </c>
      <c r="C1681">
        <v>60</v>
      </c>
      <c r="D1681" t="str">
        <f t="shared" si="44"/>
        <v xml:space="preserve">5009615     </v>
      </c>
      <c r="E1681" t="s">
        <v>8</v>
      </c>
      <c r="F1681" t="s">
        <v>11</v>
      </c>
      <c r="G1681">
        <v>5687.87</v>
      </c>
      <c r="H1681">
        <v>250101</v>
      </c>
      <c r="I1681">
        <v>4841</v>
      </c>
      <c r="J1681" t="s">
        <v>9</v>
      </c>
      <c r="K1681">
        <v>21487.18</v>
      </c>
      <c r="L1681">
        <v>1155.7</v>
      </c>
      <c r="M1681">
        <v>17529</v>
      </c>
      <c r="N1681" t="s">
        <v>143</v>
      </c>
      <c r="O1681">
        <v>250102</v>
      </c>
      <c r="P1681">
        <v>4532.17</v>
      </c>
    </row>
    <row r="1682" spans="1:16" x14ac:dyDescent="0.25">
      <c r="A1682" t="s">
        <v>3296</v>
      </c>
      <c r="B1682" t="s">
        <v>2931</v>
      </c>
      <c r="C1682">
        <v>60</v>
      </c>
      <c r="D1682" t="str">
        <f t="shared" si="44"/>
        <v xml:space="preserve">5009615     </v>
      </c>
      <c r="E1682" t="s">
        <v>8</v>
      </c>
      <c r="F1682" t="s">
        <v>11</v>
      </c>
      <c r="G1682">
        <v>6783.73</v>
      </c>
      <c r="H1682">
        <v>250101</v>
      </c>
      <c r="I1682">
        <v>4841</v>
      </c>
      <c r="J1682" t="s">
        <v>9</v>
      </c>
      <c r="K1682">
        <v>21487.18</v>
      </c>
      <c r="L1682">
        <v>1378.37</v>
      </c>
      <c r="M1682">
        <v>17530</v>
      </c>
      <c r="N1682" t="s">
        <v>144</v>
      </c>
      <c r="O1682">
        <v>250102</v>
      </c>
      <c r="P1682">
        <v>5405.36</v>
      </c>
    </row>
    <row r="1683" spans="1:16" x14ac:dyDescent="0.25">
      <c r="A1683" t="s">
        <v>3296</v>
      </c>
      <c r="B1683" t="s">
        <v>2931</v>
      </c>
      <c r="C1683">
        <v>60</v>
      </c>
      <c r="D1683" t="str">
        <f t="shared" si="44"/>
        <v xml:space="preserve">5009615     </v>
      </c>
      <c r="E1683" t="s">
        <v>8</v>
      </c>
      <c r="F1683" t="s">
        <v>11</v>
      </c>
      <c r="G1683">
        <v>184.41</v>
      </c>
      <c r="H1683">
        <v>250101</v>
      </c>
      <c r="I1683">
        <v>4841</v>
      </c>
      <c r="J1683" t="s">
        <v>9</v>
      </c>
      <c r="K1683">
        <v>21487.18</v>
      </c>
      <c r="L1683">
        <v>37.47</v>
      </c>
      <c r="M1683">
        <v>17531</v>
      </c>
      <c r="N1683" t="s">
        <v>145</v>
      </c>
      <c r="O1683">
        <v>250102</v>
      </c>
      <c r="P1683">
        <v>146.94</v>
      </c>
    </row>
    <row r="1684" spans="1:16" x14ac:dyDescent="0.25">
      <c r="A1684" t="s">
        <v>3296</v>
      </c>
      <c r="B1684" t="s">
        <v>2931</v>
      </c>
      <c r="C1684">
        <v>60</v>
      </c>
      <c r="D1684" t="str">
        <f t="shared" si="44"/>
        <v xml:space="preserve">5009615     </v>
      </c>
      <c r="E1684" t="s">
        <v>8</v>
      </c>
      <c r="F1684" t="s">
        <v>11</v>
      </c>
      <c r="G1684">
        <v>297.36</v>
      </c>
      <c r="H1684">
        <v>250101</v>
      </c>
      <c r="I1684">
        <v>4841</v>
      </c>
      <c r="J1684" t="s">
        <v>9</v>
      </c>
      <c r="K1684">
        <v>21487.18</v>
      </c>
      <c r="L1684">
        <v>60.42</v>
      </c>
      <c r="M1684">
        <v>17532</v>
      </c>
      <c r="N1684" t="s">
        <v>146</v>
      </c>
      <c r="O1684">
        <v>250102</v>
      </c>
      <c r="P1684">
        <v>236.94</v>
      </c>
    </row>
    <row r="1685" spans="1:16" x14ac:dyDescent="0.25">
      <c r="A1685" t="s">
        <v>3296</v>
      </c>
      <c r="B1685" t="s">
        <v>2931</v>
      </c>
      <c r="C1685">
        <v>60</v>
      </c>
      <c r="D1685" t="str">
        <f t="shared" si="44"/>
        <v xml:space="preserve">5009615     </v>
      </c>
      <c r="E1685" t="s">
        <v>8</v>
      </c>
      <c r="F1685" t="s">
        <v>11</v>
      </c>
      <c r="G1685">
        <v>24.55</v>
      </c>
      <c r="H1685">
        <v>250101</v>
      </c>
      <c r="I1685">
        <v>4841</v>
      </c>
      <c r="J1685" t="s">
        <v>9</v>
      </c>
      <c r="K1685">
        <v>21487.18</v>
      </c>
      <c r="L1685">
        <v>4.99</v>
      </c>
      <c r="M1685">
        <v>17533</v>
      </c>
      <c r="N1685" t="s">
        <v>147</v>
      </c>
      <c r="O1685">
        <v>250102</v>
      </c>
      <c r="P1685">
        <v>19.559999999999999</v>
      </c>
    </row>
    <row r="1686" spans="1:16" x14ac:dyDescent="0.25">
      <c r="A1686" t="s">
        <v>3296</v>
      </c>
      <c r="B1686" t="s">
        <v>2931</v>
      </c>
      <c r="C1686">
        <v>60</v>
      </c>
      <c r="D1686" t="str">
        <f t="shared" si="44"/>
        <v xml:space="preserve">5009615     </v>
      </c>
      <c r="E1686" t="s">
        <v>8</v>
      </c>
      <c r="F1686" t="s">
        <v>11</v>
      </c>
      <c r="G1686">
        <v>92.93</v>
      </c>
      <c r="H1686">
        <v>250101</v>
      </c>
      <c r="I1686">
        <v>4841</v>
      </c>
      <c r="J1686" t="s">
        <v>9</v>
      </c>
      <c r="K1686">
        <v>21487.18</v>
      </c>
      <c r="L1686">
        <v>18.88</v>
      </c>
      <c r="M1686">
        <v>17534</v>
      </c>
      <c r="N1686" t="s">
        <v>148</v>
      </c>
      <c r="O1686">
        <v>250102</v>
      </c>
      <c r="P1686">
        <v>74.05</v>
      </c>
    </row>
    <row r="1687" spans="1:16" x14ac:dyDescent="0.25">
      <c r="A1687" t="s">
        <v>3296</v>
      </c>
      <c r="B1687" t="s">
        <v>2931</v>
      </c>
      <c r="C1687">
        <v>60</v>
      </c>
      <c r="D1687" t="str">
        <f t="shared" si="44"/>
        <v xml:space="preserve">5009615     </v>
      </c>
      <c r="E1687" t="s">
        <v>8</v>
      </c>
      <c r="F1687" t="s">
        <v>11</v>
      </c>
      <c r="G1687">
        <v>444.36</v>
      </c>
      <c r="H1687">
        <v>250101</v>
      </c>
      <c r="I1687">
        <v>4841</v>
      </c>
      <c r="J1687" t="s">
        <v>9</v>
      </c>
      <c r="K1687">
        <v>21487.18</v>
      </c>
      <c r="L1687">
        <v>90.29</v>
      </c>
      <c r="M1687">
        <v>17535</v>
      </c>
      <c r="N1687" t="s">
        <v>149</v>
      </c>
      <c r="O1687">
        <v>250102</v>
      </c>
      <c r="P1687">
        <v>354.07</v>
      </c>
    </row>
    <row r="1688" spans="1:16" x14ac:dyDescent="0.25">
      <c r="A1688" t="s">
        <v>3296</v>
      </c>
      <c r="B1688" t="s">
        <v>2931</v>
      </c>
      <c r="C1688">
        <v>60</v>
      </c>
      <c r="D1688" t="str">
        <f t="shared" si="44"/>
        <v xml:space="preserve">5009615     </v>
      </c>
      <c r="E1688" t="s">
        <v>8</v>
      </c>
      <c r="F1688" t="s">
        <v>11</v>
      </c>
      <c r="G1688">
        <v>92.93</v>
      </c>
      <c r="H1688">
        <v>250101</v>
      </c>
      <c r="I1688">
        <v>4841</v>
      </c>
      <c r="J1688" t="s">
        <v>9</v>
      </c>
      <c r="K1688">
        <v>21487.18</v>
      </c>
      <c r="L1688">
        <v>18.88</v>
      </c>
      <c r="M1688">
        <v>17536</v>
      </c>
      <c r="N1688" t="s">
        <v>150</v>
      </c>
      <c r="O1688">
        <v>250102</v>
      </c>
      <c r="P1688">
        <v>74.05</v>
      </c>
    </row>
    <row r="1689" spans="1:16" x14ac:dyDescent="0.25">
      <c r="A1689" t="s">
        <v>3296</v>
      </c>
      <c r="B1689" t="s">
        <v>2931</v>
      </c>
      <c r="C1689">
        <v>60</v>
      </c>
      <c r="D1689" t="str">
        <f t="shared" si="44"/>
        <v xml:space="preserve">5009615     </v>
      </c>
      <c r="E1689" t="s">
        <v>8</v>
      </c>
      <c r="F1689" t="s">
        <v>11</v>
      </c>
      <c r="G1689">
        <v>697.55</v>
      </c>
      <c r="H1689">
        <v>250101</v>
      </c>
      <c r="I1689">
        <v>4841</v>
      </c>
      <c r="J1689" t="s">
        <v>9</v>
      </c>
      <c r="K1689">
        <v>21487.18</v>
      </c>
      <c r="L1689">
        <v>141.72999999999999</v>
      </c>
      <c r="M1689">
        <v>17537</v>
      </c>
      <c r="N1689" t="s">
        <v>151</v>
      </c>
      <c r="O1689">
        <v>250102</v>
      </c>
      <c r="P1689">
        <v>555.82000000000005</v>
      </c>
    </row>
    <row r="1690" spans="1:16" x14ac:dyDescent="0.25">
      <c r="A1690" t="s">
        <v>3296</v>
      </c>
      <c r="B1690" t="s">
        <v>2931</v>
      </c>
      <c r="C1690">
        <v>60</v>
      </c>
      <c r="D1690" t="str">
        <f t="shared" si="44"/>
        <v xml:space="preserve">5009615     </v>
      </c>
      <c r="E1690" t="s">
        <v>8</v>
      </c>
      <c r="F1690" t="s">
        <v>11</v>
      </c>
      <c r="G1690">
        <v>83.66</v>
      </c>
      <c r="H1690">
        <v>250101</v>
      </c>
      <c r="I1690">
        <v>4841</v>
      </c>
      <c r="J1690" t="s">
        <v>9</v>
      </c>
      <c r="K1690">
        <v>21487.18</v>
      </c>
      <c r="L1690">
        <v>17</v>
      </c>
      <c r="M1690">
        <v>17538</v>
      </c>
      <c r="N1690" t="s">
        <v>129</v>
      </c>
      <c r="O1690">
        <v>250102</v>
      </c>
      <c r="P1690">
        <v>66.66</v>
      </c>
    </row>
    <row r="1691" spans="1:16" x14ac:dyDescent="0.25">
      <c r="A1691" t="s">
        <v>3296</v>
      </c>
      <c r="B1691" t="s">
        <v>2931</v>
      </c>
      <c r="C1691">
        <v>60</v>
      </c>
      <c r="D1691" t="str">
        <f t="shared" si="44"/>
        <v xml:space="preserve">5009615     </v>
      </c>
      <c r="E1691" t="s">
        <v>8</v>
      </c>
      <c r="F1691" t="s">
        <v>11</v>
      </c>
      <c r="G1691">
        <v>1369.93</v>
      </c>
      <c r="H1691">
        <v>250101</v>
      </c>
      <c r="I1691">
        <v>4841</v>
      </c>
      <c r="J1691" t="s">
        <v>9</v>
      </c>
      <c r="K1691">
        <v>21487.18</v>
      </c>
      <c r="L1691">
        <v>278.35000000000002</v>
      </c>
      <c r="M1691">
        <v>17538</v>
      </c>
      <c r="N1691" t="s">
        <v>129</v>
      </c>
      <c r="O1691">
        <v>250102</v>
      </c>
      <c r="P1691">
        <v>1091.58</v>
      </c>
    </row>
    <row r="1692" spans="1:16" x14ac:dyDescent="0.25">
      <c r="A1692" t="s">
        <v>3296</v>
      </c>
      <c r="B1692" t="s">
        <v>2931</v>
      </c>
      <c r="C1692">
        <v>60</v>
      </c>
      <c r="D1692" t="str">
        <f t="shared" si="44"/>
        <v xml:space="preserve">5009615     </v>
      </c>
      <c r="E1692" t="s">
        <v>8</v>
      </c>
      <c r="F1692" t="s">
        <v>11</v>
      </c>
      <c r="G1692">
        <v>85.5</v>
      </c>
      <c r="H1692">
        <v>250101</v>
      </c>
      <c r="I1692">
        <v>4841</v>
      </c>
      <c r="J1692" t="s">
        <v>9</v>
      </c>
      <c r="K1692">
        <v>21487.18</v>
      </c>
      <c r="L1692">
        <v>17.37</v>
      </c>
      <c r="M1692">
        <v>17918</v>
      </c>
      <c r="N1692" t="s">
        <v>152</v>
      </c>
      <c r="O1692">
        <v>250102</v>
      </c>
      <c r="P1692">
        <v>68.13</v>
      </c>
    </row>
    <row r="1693" spans="1:16" x14ac:dyDescent="0.25">
      <c r="A1693" t="s">
        <v>3296</v>
      </c>
      <c r="B1693" t="s">
        <v>2931</v>
      </c>
      <c r="C1693">
        <v>60</v>
      </c>
      <c r="D1693" t="str">
        <f t="shared" si="44"/>
        <v xml:space="preserve">5009615     </v>
      </c>
      <c r="E1693" t="s">
        <v>8</v>
      </c>
      <c r="F1693" t="s">
        <v>11</v>
      </c>
      <c r="G1693">
        <v>63.23</v>
      </c>
      <c r="H1693">
        <v>250101</v>
      </c>
      <c r="I1693">
        <v>4841</v>
      </c>
      <c r="J1693" t="s">
        <v>9</v>
      </c>
      <c r="K1693">
        <v>21487.18</v>
      </c>
      <c r="L1693">
        <v>12.85</v>
      </c>
      <c r="M1693">
        <v>17950</v>
      </c>
      <c r="N1693" t="s">
        <v>132</v>
      </c>
      <c r="O1693">
        <v>250102</v>
      </c>
      <c r="P1693">
        <v>50.38</v>
      </c>
    </row>
    <row r="1694" spans="1:16" x14ac:dyDescent="0.25">
      <c r="A1694" t="s">
        <v>3296</v>
      </c>
      <c r="B1694" t="s">
        <v>2931</v>
      </c>
      <c r="C1694">
        <v>60</v>
      </c>
      <c r="D1694" t="str">
        <f t="shared" si="44"/>
        <v xml:space="preserve">5009615     </v>
      </c>
      <c r="E1694" t="s">
        <v>8</v>
      </c>
      <c r="F1694" t="s">
        <v>11</v>
      </c>
      <c r="G1694">
        <v>129.5</v>
      </c>
      <c r="H1694">
        <v>250101</v>
      </c>
      <c r="I1694">
        <v>4841</v>
      </c>
      <c r="J1694" t="s">
        <v>9</v>
      </c>
      <c r="K1694">
        <v>21487.18</v>
      </c>
      <c r="L1694">
        <v>26.31</v>
      </c>
      <c r="M1694">
        <v>17950</v>
      </c>
      <c r="N1694" t="s">
        <v>132</v>
      </c>
      <c r="O1694">
        <v>250102</v>
      </c>
      <c r="P1694">
        <v>103.19</v>
      </c>
    </row>
    <row r="1695" spans="1:16" x14ac:dyDescent="0.25">
      <c r="A1695" t="s">
        <v>3296</v>
      </c>
      <c r="B1695" t="s">
        <v>2931</v>
      </c>
      <c r="C1695">
        <v>60</v>
      </c>
      <c r="D1695" t="str">
        <f t="shared" si="44"/>
        <v xml:space="preserve">5009615     </v>
      </c>
      <c r="E1695" t="s">
        <v>8</v>
      </c>
      <c r="F1695" t="s">
        <v>11</v>
      </c>
      <c r="G1695">
        <v>110.57</v>
      </c>
      <c r="H1695">
        <v>250101</v>
      </c>
      <c r="I1695">
        <v>4841</v>
      </c>
      <c r="J1695" t="s">
        <v>9</v>
      </c>
      <c r="K1695">
        <v>21487.18</v>
      </c>
      <c r="L1695">
        <v>22.47</v>
      </c>
      <c r="M1695">
        <v>17971</v>
      </c>
      <c r="N1695" t="s">
        <v>27</v>
      </c>
      <c r="O1695">
        <v>250102</v>
      </c>
      <c r="P1695">
        <v>88.1</v>
      </c>
    </row>
    <row r="1696" spans="1:16" x14ac:dyDescent="0.25">
      <c r="A1696" t="s">
        <v>3296</v>
      </c>
      <c r="B1696" t="s">
        <v>2931</v>
      </c>
      <c r="C1696">
        <v>60</v>
      </c>
      <c r="D1696" t="str">
        <f t="shared" si="44"/>
        <v xml:space="preserve">5009615     </v>
      </c>
      <c r="E1696" t="s">
        <v>8</v>
      </c>
      <c r="F1696" t="s">
        <v>11</v>
      </c>
      <c r="G1696">
        <v>326.38</v>
      </c>
      <c r="H1696">
        <v>250101</v>
      </c>
      <c r="I1696">
        <v>4841</v>
      </c>
      <c r="J1696" t="s">
        <v>9</v>
      </c>
      <c r="K1696">
        <v>21487.18</v>
      </c>
      <c r="L1696">
        <v>66.319999999999993</v>
      </c>
      <c r="M1696">
        <v>17972</v>
      </c>
      <c r="N1696" t="s">
        <v>28</v>
      </c>
      <c r="O1696">
        <v>250102</v>
      </c>
      <c r="P1696">
        <v>260.06</v>
      </c>
    </row>
    <row r="1697" spans="1:16" x14ac:dyDescent="0.25">
      <c r="A1697" t="s">
        <v>3296</v>
      </c>
      <c r="B1697" t="s">
        <v>2931</v>
      </c>
      <c r="C1697">
        <v>60</v>
      </c>
      <c r="D1697" t="str">
        <f t="shared" si="44"/>
        <v xml:space="preserve">5009615     </v>
      </c>
      <c r="E1697" t="s">
        <v>8</v>
      </c>
      <c r="F1697" t="s">
        <v>11</v>
      </c>
      <c r="G1697">
        <v>96.79</v>
      </c>
      <c r="H1697">
        <v>250101</v>
      </c>
      <c r="I1697">
        <v>4841</v>
      </c>
      <c r="J1697" t="s">
        <v>9</v>
      </c>
      <c r="K1697">
        <v>21487.18</v>
      </c>
      <c r="L1697">
        <v>19.670000000000002</v>
      </c>
      <c r="M1697">
        <v>17974</v>
      </c>
      <c r="N1697" t="s">
        <v>153</v>
      </c>
      <c r="O1697">
        <v>250102</v>
      </c>
      <c r="P1697">
        <v>77.12</v>
      </c>
    </row>
    <row r="1698" spans="1:16" x14ac:dyDescent="0.25">
      <c r="A1698" t="s">
        <v>3296</v>
      </c>
      <c r="B1698" t="s">
        <v>2931</v>
      </c>
      <c r="C1698">
        <v>62</v>
      </c>
      <c r="D1698" t="str">
        <f t="shared" ref="D1698:D1703" si="45">"5009603     "</f>
        <v xml:space="preserve">5009603     </v>
      </c>
      <c r="E1698" t="s">
        <v>8</v>
      </c>
      <c r="F1698" t="s">
        <v>11</v>
      </c>
      <c r="G1698">
        <v>787.07</v>
      </c>
      <c r="H1698">
        <v>250101</v>
      </c>
      <c r="I1698">
        <v>4841</v>
      </c>
      <c r="J1698" t="s">
        <v>9</v>
      </c>
      <c r="K1698">
        <v>1953.75</v>
      </c>
      <c r="L1698">
        <v>159.91999999999999</v>
      </c>
      <c r="M1698">
        <v>17131</v>
      </c>
      <c r="N1698" t="s">
        <v>154</v>
      </c>
      <c r="O1698">
        <v>250102</v>
      </c>
      <c r="P1698">
        <v>627.15</v>
      </c>
    </row>
    <row r="1699" spans="1:16" x14ac:dyDescent="0.25">
      <c r="A1699" t="s">
        <v>3296</v>
      </c>
      <c r="B1699" t="s">
        <v>2931</v>
      </c>
      <c r="C1699">
        <v>62</v>
      </c>
      <c r="D1699" t="str">
        <f t="shared" si="45"/>
        <v xml:space="preserve">5009603     </v>
      </c>
      <c r="E1699" t="s">
        <v>8</v>
      </c>
      <c r="F1699" t="s">
        <v>11</v>
      </c>
      <c r="G1699">
        <v>414.28</v>
      </c>
      <c r="H1699">
        <v>250101</v>
      </c>
      <c r="I1699">
        <v>4841</v>
      </c>
      <c r="J1699" t="s">
        <v>9</v>
      </c>
      <c r="K1699">
        <v>1953.75</v>
      </c>
      <c r="L1699">
        <v>84.18</v>
      </c>
      <c r="M1699">
        <v>17711</v>
      </c>
      <c r="N1699" t="s">
        <v>155</v>
      </c>
      <c r="O1699">
        <v>250102</v>
      </c>
      <c r="P1699">
        <v>330.1</v>
      </c>
    </row>
    <row r="1700" spans="1:16" x14ac:dyDescent="0.25">
      <c r="A1700" t="s">
        <v>3296</v>
      </c>
      <c r="B1700" t="s">
        <v>2931</v>
      </c>
      <c r="C1700">
        <v>62</v>
      </c>
      <c r="D1700" t="str">
        <f t="shared" si="45"/>
        <v xml:space="preserve">5009603     </v>
      </c>
      <c r="E1700" t="s">
        <v>8</v>
      </c>
      <c r="F1700" t="s">
        <v>11</v>
      </c>
      <c r="G1700">
        <v>82.86</v>
      </c>
      <c r="H1700">
        <v>250101</v>
      </c>
      <c r="I1700">
        <v>4841</v>
      </c>
      <c r="J1700" t="s">
        <v>9</v>
      </c>
      <c r="K1700">
        <v>1953.75</v>
      </c>
      <c r="L1700">
        <v>16.84</v>
      </c>
      <c r="M1700">
        <v>17737</v>
      </c>
      <c r="N1700" t="s">
        <v>156</v>
      </c>
      <c r="O1700">
        <v>250102</v>
      </c>
      <c r="P1700">
        <v>66.02</v>
      </c>
    </row>
    <row r="1701" spans="1:16" x14ac:dyDescent="0.25">
      <c r="A1701" t="s">
        <v>3296</v>
      </c>
      <c r="B1701" t="s">
        <v>2931</v>
      </c>
      <c r="C1701">
        <v>62</v>
      </c>
      <c r="D1701" t="str">
        <f t="shared" si="45"/>
        <v xml:space="preserve">5009603     </v>
      </c>
      <c r="E1701" t="s">
        <v>8</v>
      </c>
      <c r="F1701" t="s">
        <v>11</v>
      </c>
      <c r="G1701">
        <v>342.95</v>
      </c>
      <c r="H1701">
        <v>250101</v>
      </c>
      <c r="I1701">
        <v>4841</v>
      </c>
      <c r="J1701" t="s">
        <v>9</v>
      </c>
      <c r="K1701">
        <v>1953.75</v>
      </c>
      <c r="L1701">
        <v>69.680000000000007</v>
      </c>
      <c r="M1701">
        <v>17952</v>
      </c>
      <c r="N1701" t="s">
        <v>157</v>
      </c>
      <c r="O1701">
        <v>250102</v>
      </c>
      <c r="P1701">
        <v>273.27</v>
      </c>
    </row>
    <row r="1702" spans="1:16" x14ac:dyDescent="0.25">
      <c r="A1702" t="s">
        <v>3296</v>
      </c>
      <c r="B1702" t="s">
        <v>2931</v>
      </c>
      <c r="C1702">
        <v>62</v>
      </c>
      <c r="D1702" t="str">
        <f t="shared" si="45"/>
        <v xml:space="preserve">5009603     </v>
      </c>
      <c r="E1702" t="s">
        <v>8</v>
      </c>
      <c r="F1702" t="s">
        <v>11</v>
      </c>
      <c r="G1702">
        <v>82.86</v>
      </c>
      <c r="H1702">
        <v>250101</v>
      </c>
      <c r="I1702">
        <v>4841</v>
      </c>
      <c r="J1702" t="s">
        <v>9</v>
      </c>
      <c r="K1702">
        <v>1953.75</v>
      </c>
      <c r="L1702">
        <v>16.84</v>
      </c>
      <c r="M1702">
        <v>17971</v>
      </c>
      <c r="N1702" t="s">
        <v>27</v>
      </c>
      <c r="O1702">
        <v>250102</v>
      </c>
      <c r="P1702">
        <v>66.02</v>
      </c>
    </row>
    <row r="1703" spans="1:16" x14ac:dyDescent="0.25">
      <c r="A1703" t="s">
        <v>3296</v>
      </c>
      <c r="B1703" t="s">
        <v>2931</v>
      </c>
      <c r="C1703">
        <v>62</v>
      </c>
      <c r="D1703" t="str">
        <f t="shared" si="45"/>
        <v xml:space="preserve">5009603     </v>
      </c>
      <c r="E1703" t="s">
        <v>8</v>
      </c>
      <c r="F1703" t="s">
        <v>11</v>
      </c>
      <c r="G1703">
        <v>243.73</v>
      </c>
      <c r="H1703">
        <v>250101</v>
      </c>
      <c r="I1703">
        <v>4841</v>
      </c>
      <c r="J1703" t="s">
        <v>9</v>
      </c>
      <c r="K1703">
        <v>1953.75</v>
      </c>
      <c r="L1703">
        <v>49.52</v>
      </c>
      <c r="M1703">
        <v>17972</v>
      </c>
      <c r="N1703" t="s">
        <v>28</v>
      </c>
      <c r="O1703">
        <v>250102</v>
      </c>
      <c r="P1703">
        <v>194.21</v>
      </c>
    </row>
    <row r="1704" spans="1:16" x14ac:dyDescent="0.25">
      <c r="A1704" t="s">
        <v>3296</v>
      </c>
      <c r="B1704" t="s">
        <v>2931</v>
      </c>
      <c r="C1704">
        <v>70</v>
      </c>
      <c r="D1704" t="str">
        <f>"5009594     "</f>
        <v xml:space="preserve">5009594     </v>
      </c>
      <c r="E1704" t="s">
        <v>8</v>
      </c>
      <c r="F1704" t="s">
        <v>11</v>
      </c>
      <c r="G1704">
        <v>311.77999999999997</v>
      </c>
      <c r="H1704">
        <v>250101</v>
      </c>
      <c r="I1704">
        <v>4841</v>
      </c>
      <c r="J1704" t="s">
        <v>9</v>
      </c>
      <c r="K1704">
        <v>1574.03</v>
      </c>
      <c r="L1704">
        <v>63.35</v>
      </c>
      <c r="M1704">
        <v>11001</v>
      </c>
      <c r="N1704" t="s">
        <v>93</v>
      </c>
      <c r="O1704">
        <v>250102</v>
      </c>
      <c r="P1704">
        <v>248.43</v>
      </c>
    </row>
    <row r="1705" spans="1:16" x14ac:dyDescent="0.25">
      <c r="A1705" t="s">
        <v>3296</v>
      </c>
      <c r="B1705" t="s">
        <v>2931</v>
      </c>
      <c r="C1705">
        <v>70</v>
      </c>
      <c r="D1705" t="str">
        <f>"5009594     "</f>
        <v xml:space="preserve">5009594     </v>
      </c>
      <c r="E1705" t="s">
        <v>8</v>
      </c>
      <c r="F1705" t="s">
        <v>11</v>
      </c>
      <c r="G1705">
        <v>950.51</v>
      </c>
      <c r="H1705">
        <v>250101</v>
      </c>
      <c r="I1705">
        <v>4841</v>
      </c>
      <c r="J1705" t="s">
        <v>9</v>
      </c>
      <c r="K1705">
        <v>1574.03</v>
      </c>
      <c r="L1705">
        <v>193.13</v>
      </c>
      <c r="M1705">
        <v>11001</v>
      </c>
      <c r="N1705" t="s">
        <v>93</v>
      </c>
      <c r="O1705">
        <v>250102</v>
      </c>
      <c r="P1705">
        <v>757.38</v>
      </c>
    </row>
    <row r="1706" spans="1:16" x14ac:dyDescent="0.25">
      <c r="A1706" t="s">
        <v>3296</v>
      </c>
      <c r="B1706" t="s">
        <v>2931</v>
      </c>
      <c r="C1706">
        <v>70</v>
      </c>
      <c r="D1706" t="str">
        <f>"5009594     "</f>
        <v xml:space="preserve">5009594     </v>
      </c>
      <c r="E1706" t="s">
        <v>8</v>
      </c>
      <c r="F1706" t="s">
        <v>11</v>
      </c>
      <c r="G1706">
        <v>95.56</v>
      </c>
      <c r="H1706">
        <v>250101</v>
      </c>
      <c r="I1706">
        <v>4841</v>
      </c>
      <c r="J1706" t="s">
        <v>9</v>
      </c>
      <c r="K1706">
        <v>1574.03</v>
      </c>
      <c r="L1706">
        <v>19.420000000000002</v>
      </c>
      <c r="M1706">
        <v>11101</v>
      </c>
      <c r="N1706" t="s">
        <v>67</v>
      </c>
      <c r="O1706">
        <v>250102</v>
      </c>
      <c r="P1706">
        <v>76.14</v>
      </c>
    </row>
    <row r="1707" spans="1:16" x14ac:dyDescent="0.25">
      <c r="A1707" t="s">
        <v>3296</v>
      </c>
      <c r="B1707" t="s">
        <v>2931</v>
      </c>
      <c r="C1707">
        <v>70</v>
      </c>
      <c r="D1707" t="str">
        <f>"5009594     "</f>
        <v xml:space="preserve">5009594     </v>
      </c>
      <c r="E1707" t="s">
        <v>8</v>
      </c>
      <c r="F1707" t="s">
        <v>11</v>
      </c>
      <c r="G1707">
        <v>216.18</v>
      </c>
      <c r="H1707">
        <v>250101</v>
      </c>
      <c r="I1707">
        <v>4841</v>
      </c>
      <c r="J1707" t="s">
        <v>9</v>
      </c>
      <c r="K1707">
        <v>1574.03</v>
      </c>
      <c r="L1707">
        <v>43.93</v>
      </c>
      <c r="M1707">
        <v>11501</v>
      </c>
      <c r="N1707" t="s">
        <v>13</v>
      </c>
      <c r="O1707">
        <v>250102</v>
      </c>
      <c r="P1707">
        <v>172.25</v>
      </c>
    </row>
    <row r="1708" spans="1:16" x14ac:dyDescent="0.25">
      <c r="A1708" t="s">
        <v>3296</v>
      </c>
      <c r="B1708" t="s">
        <v>2931</v>
      </c>
      <c r="C1708">
        <v>74</v>
      </c>
      <c r="D1708" t="str">
        <f>"5009602     "</f>
        <v xml:space="preserve">5009602     </v>
      </c>
      <c r="E1708" t="s">
        <v>8</v>
      </c>
      <c r="F1708" t="s">
        <v>11</v>
      </c>
      <c r="G1708">
        <v>125</v>
      </c>
      <c r="H1708">
        <v>250101</v>
      </c>
      <c r="I1708">
        <v>4841</v>
      </c>
      <c r="J1708" t="s">
        <v>9</v>
      </c>
      <c r="K1708">
        <v>125</v>
      </c>
      <c r="L1708">
        <v>25.4</v>
      </c>
      <c r="M1708">
        <v>11751</v>
      </c>
      <c r="N1708" t="s">
        <v>167</v>
      </c>
      <c r="O1708">
        <v>250107</v>
      </c>
      <c r="P1708">
        <v>99.6</v>
      </c>
    </row>
    <row r="1709" spans="1:16" x14ac:dyDescent="0.25">
      <c r="A1709" t="s">
        <v>3296</v>
      </c>
      <c r="B1709" t="s">
        <v>2931</v>
      </c>
      <c r="C1709">
        <v>3716</v>
      </c>
      <c r="D1709" t="str">
        <f t="shared" ref="D1709:D1732" si="46">"5011616     "</f>
        <v xml:space="preserve">5011616     </v>
      </c>
      <c r="E1709" t="s">
        <v>8</v>
      </c>
      <c r="F1709" t="s">
        <v>11</v>
      </c>
      <c r="G1709">
        <v>82.6</v>
      </c>
      <c r="H1709">
        <v>250401</v>
      </c>
      <c r="I1709">
        <v>4841</v>
      </c>
      <c r="J1709" t="s">
        <v>9</v>
      </c>
      <c r="K1709">
        <v>19433.830000000002</v>
      </c>
      <c r="L1709">
        <v>16.78</v>
      </c>
      <c r="M1709">
        <v>11601</v>
      </c>
      <c r="N1709" t="s">
        <v>12</v>
      </c>
      <c r="O1709">
        <v>250328</v>
      </c>
      <c r="P1709">
        <v>65.819999999999993</v>
      </c>
    </row>
    <row r="1710" spans="1:16" x14ac:dyDescent="0.25">
      <c r="A1710" t="s">
        <v>3296</v>
      </c>
      <c r="B1710" t="s">
        <v>2931</v>
      </c>
      <c r="C1710">
        <v>3716</v>
      </c>
      <c r="D1710" t="str">
        <f t="shared" si="46"/>
        <v xml:space="preserve">5011616     </v>
      </c>
      <c r="E1710" t="s">
        <v>8</v>
      </c>
      <c r="F1710" t="s">
        <v>11</v>
      </c>
      <c r="G1710">
        <v>2539.25</v>
      </c>
      <c r="H1710">
        <v>250401</v>
      </c>
      <c r="I1710">
        <v>4841</v>
      </c>
      <c r="J1710" t="s">
        <v>9</v>
      </c>
      <c r="K1710">
        <v>19433.830000000002</v>
      </c>
      <c r="L1710">
        <v>515.94000000000005</v>
      </c>
      <c r="M1710">
        <v>41126</v>
      </c>
      <c r="N1710" t="s">
        <v>94</v>
      </c>
      <c r="O1710">
        <v>250328</v>
      </c>
      <c r="P1710">
        <v>2023.31</v>
      </c>
    </row>
    <row r="1711" spans="1:16" x14ac:dyDescent="0.25">
      <c r="A1711" t="s">
        <v>3296</v>
      </c>
      <c r="B1711" t="s">
        <v>2931</v>
      </c>
      <c r="C1711">
        <v>3716</v>
      </c>
      <c r="D1711" t="str">
        <f t="shared" si="46"/>
        <v xml:space="preserve">5011616     </v>
      </c>
      <c r="E1711" t="s">
        <v>8</v>
      </c>
      <c r="F1711" t="s">
        <v>11</v>
      </c>
      <c r="G1711">
        <v>1592.32</v>
      </c>
      <c r="H1711">
        <v>250401</v>
      </c>
      <c r="I1711">
        <v>4841</v>
      </c>
      <c r="J1711" t="s">
        <v>9</v>
      </c>
      <c r="K1711">
        <v>19433.830000000002</v>
      </c>
      <c r="L1711">
        <v>323.54000000000002</v>
      </c>
      <c r="M1711">
        <v>43222</v>
      </c>
      <c r="N1711" t="s">
        <v>95</v>
      </c>
      <c r="O1711">
        <v>250328</v>
      </c>
      <c r="P1711">
        <v>1268.78</v>
      </c>
    </row>
    <row r="1712" spans="1:16" x14ac:dyDescent="0.25">
      <c r="A1712" t="s">
        <v>3296</v>
      </c>
      <c r="B1712" t="s">
        <v>2931</v>
      </c>
      <c r="C1712">
        <v>3716</v>
      </c>
      <c r="D1712" t="str">
        <f t="shared" si="46"/>
        <v xml:space="preserve">5011616     </v>
      </c>
      <c r="E1712" t="s">
        <v>8</v>
      </c>
      <c r="F1712" t="s">
        <v>11</v>
      </c>
      <c r="G1712">
        <v>74.02</v>
      </c>
      <c r="H1712">
        <v>250401</v>
      </c>
      <c r="I1712">
        <v>4841</v>
      </c>
      <c r="J1712" t="s">
        <v>9</v>
      </c>
      <c r="K1712">
        <v>19433.830000000002</v>
      </c>
      <c r="L1712">
        <v>15.04</v>
      </c>
      <c r="M1712">
        <v>44222</v>
      </c>
      <c r="N1712" t="s">
        <v>96</v>
      </c>
      <c r="O1712">
        <v>250328</v>
      </c>
      <c r="P1712">
        <v>58.98</v>
      </c>
    </row>
    <row r="1713" spans="1:16" x14ac:dyDescent="0.25">
      <c r="A1713" t="s">
        <v>3296</v>
      </c>
      <c r="B1713" t="s">
        <v>2931</v>
      </c>
      <c r="C1713">
        <v>3716</v>
      </c>
      <c r="D1713" t="str">
        <f t="shared" si="46"/>
        <v xml:space="preserve">5011616     </v>
      </c>
      <c r="E1713" t="s">
        <v>8</v>
      </c>
      <c r="F1713" t="s">
        <v>11</v>
      </c>
      <c r="G1713">
        <v>716.06</v>
      </c>
      <c r="H1713">
        <v>250401</v>
      </c>
      <c r="I1713">
        <v>4841</v>
      </c>
      <c r="J1713" t="s">
        <v>9</v>
      </c>
      <c r="K1713">
        <v>19433.830000000002</v>
      </c>
      <c r="L1713">
        <v>145.49</v>
      </c>
      <c r="M1713">
        <v>44222</v>
      </c>
      <c r="N1713" t="s">
        <v>96</v>
      </c>
      <c r="O1713">
        <v>250328</v>
      </c>
      <c r="P1713">
        <v>570.57000000000005</v>
      </c>
    </row>
    <row r="1714" spans="1:16" x14ac:dyDescent="0.25">
      <c r="A1714" t="s">
        <v>3296</v>
      </c>
      <c r="B1714" t="s">
        <v>2931</v>
      </c>
      <c r="C1714">
        <v>3716</v>
      </c>
      <c r="D1714" t="str">
        <f t="shared" si="46"/>
        <v xml:space="preserve">5011616     </v>
      </c>
      <c r="E1714" t="s">
        <v>8</v>
      </c>
      <c r="F1714" t="s">
        <v>11</v>
      </c>
      <c r="G1714">
        <v>46.64</v>
      </c>
      <c r="H1714">
        <v>250401</v>
      </c>
      <c r="I1714">
        <v>4841</v>
      </c>
      <c r="J1714" t="s">
        <v>9</v>
      </c>
      <c r="K1714">
        <v>19433.830000000002</v>
      </c>
      <c r="L1714">
        <v>9.48</v>
      </c>
      <c r="M1714">
        <v>44422</v>
      </c>
      <c r="N1714" t="s">
        <v>97</v>
      </c>
      <c r="O1714">
        <v>250328</v>
      </c>
      <c r="P1714">
        <v>37.159999999999997</v>
      </c>
    </row>
    <row r="1715" spans="1:16" x14ac:dyDescent="0.25">
      <c r="A1715" t="s">
        <v>3296</v>
      </c>
      <c r="B1715" t="s">
        <v>2931</v>
      </c>
      <c r="C1715">
        <v>3716</v>
      </c>
      <c r="D1715" t="str">
        <f t="shared" si="46"/>
        <v xml:space="preserve">5011616     </v>
      </c>
      <c r="E1715" t="s">
        <v>8</v>
      </c>
      <c r="F1715" t="s">
        <v>11</v>
      </c>
      <c r="G1715">
        <v>94.09</v>
      </c>
      <c r="H1715">
        <v>250401</v>
      </c>
      <c r="I1715">
        <v>4841</v>
      </c>
      <c r="J1715" t="s">
        <v>9</v>
      </c>
      <c r="K1715">
        <v>19433.830000000002</v>
      </c>
      <c r="L1715">
        <v>19.12</v>
      </c>
      <c r="M1715">
        <v>44423</v>
      </c>
      <c r="N1715" t="s">
        <v>98</v>
      </c>
      <c r="O1715">
        <v>250328</v>
      </c>
      <c r="P1715">
        <v>74.97</v>
      </c>
    </row>
    <row r="1716" spans="1:16" x14ac:dyDescent="0.25">
      <c r="A1716" t="s">
        <v>3296</v>
      </c>
      <c r="B1716" t="s">
        <v>2931</v>
      </c>
      <c r="C1716">
        <v>3716</v>
      </c>
      <c r="D1716" t="str">
        <f t="shared" si="46"/>
        <v xml:space="preserve">5011616     </v>
      </c>
      <c r="E1716" t="s">
        <v>8</v>
      </c>
      <c r="F1716" t="s">
        <v>11</v>
      </c>
      <c r="G1716">
        <v>822.05</v>
      </c>
      <c r="H1716">
        <v>250401</v>
      </c>
      <c r="I1716">
        <v>4841</v>
      </c>
      <c r="J1716" t="s">
        <v>9</v>
      </c>
      <c r="K1716">
        <v>19433.830000000002</v>
      </c>
      <c r="L1716">
        <v>167.03</v>
      </c>
      <c r="M1716">
        <v>44424</v>
      </c>
      <c r="N1716" t="s">
        <v>99</v>
      </c>
      <c r="O1716">
        <v>250328</v>
      </c>
      <c r="P1716">
        <v>655.02</v>
      </c>
    </row>
    <row r="1717" spans="1:16" x14ac:dyDescent="0.25">
      <c r="A1717" t="s">
        <v>3296</v>
      </c>
      <c r="B1717" t="s">
        <v>2931</v>
      </c>
      <c r="C1717">
        <v>3716</v>
      </c>
      <c r="D1717" t="str">
        <f t="shared" si="46"/>
        <v xml:space="preserve">5011616     </v>
      </c>
      <c r="E1717" t="s">
        <v>8</v>
      </c>
      <c r="F1717" t="s">
        <v>11</v>
      </c>
      <c r="G1717">
        <v>12.47</v>
      </c>
      <c r="H1717">
        <v>250401</v>
      </c>
      <c r="I1717">
        <v>4841</v>
      </c>
      <c r="J1717" t="s">
        <v>9</v>
      </c>
      <c r="K1717">
        <v>19433.830000000002</v>
      </c>
      <c r="L1717">
        <v>2.5299999999999998</v>
      </c>
      <c r="M1717">
        <v>44453</v>
      </c>
      <c r="N1717" t="s">
        <v>100</v>
      </c>
      <c r="O1717">
        <v>250328</v>
      </c>
      <c r="P1717">
        <v>9.94</v>
      </c>
    </row>
    <row r="1718" spans="1:16" x14ac:dyDescent="0.25">
      <c r="A1718" t="s">
        <v>3296</v>
      </c>
      <c r="B1718" t="s">
        <v>2931</v>
      </c>
      <c r="C1718">
        <v>3716</v>
      </c>
      <c r="D1718" t="str">
        <f t="shared" si="46"/>
        <v xml:space="preserve">5011616     </v>
      </c>
      <c r="E1718" t="s">
        <v>8</v>
      </c>
      <c r="F1718" t="s">
        <v>11</v>
      </c>
      <c r="G1718">
        <v>4649.0200000000004</v>
      </c>
      <c r="H1718">
        <v>250401</v>
      </c>
      <c r="I1718">
        <v>4841</v>
      </c>
      <c r="J1718" t="s">
        <v>9</v>
      </c>
      <c r="K1718">
        <v>19433.830000000002</v>
      </c>
      <c r="L1718">
        <v>944.62</v>
      </c>
      <c r="M1718">
        <v>46222</v>
      </c>
      <c r="N1718" t="s">
        <v>101</v>
      </c>
      <c r="O1718">
        <v>250328</v>
      </c>
      <c r="P1718">
        <v>3704.4</v>
      </c>
    </row>
    <row r="1719" spans="1:16" x14ac:dyDescent="0.25">
      <c r="A1719" t="s">
        <v>3296</v>
      </c>
      <c r="B1719" t="s">
        <v>2931</v>
      </c>
      <c r="C1719">
        <v>3716</v>
      </c>
      <c r="D1719" t="str">
        <f t="shared" si="46"/>
        <v xml:space="preserve">5011616     </v>
      </c>
      <c r="E1719" t="s">
        <v>8</v>
      </c>
      <c r="F1719" t="s">
        <v>11</v>
      </c>
      <c r="G1719">
        <v>46.21</v>
      </c>
      <c r="H1719">
        <v>250401</v>
      </c>
      <c r="I1719">
        <v>4841</v>
      </c>
      <c r="J1719" t="s">
        <v>9</v>
      </c>
      <c r="K1719">
        <v>19433.830000000002</v>
      </c>
      <c r="L1719">
        <v>9.39</v>
      </c>
      <c r="M1719">
        <v>46554</v>
      </c>
      <c r="N1719" t="s">
        <v>102</v>
      </c>
      <c r="O1719">
        <v>250328</v>
      </c>
      <c r="P1719">
        <v>36.82</v>
      </c>
    </row>
    <row r="1720" spans="1:16" x14ac:dyDescent="0.25">
      <c r="A1720" t="s">
        <v>3296</v>
      </c>
      <c r="B1720" t="s">
        <v>2931</v>
      </c>
      <c r="C1720">
        <v>3716</v>
      </c>
      <c r="D1720" t="str">
        <f t="shared" si="46"/>
        <v xml:space="preserve">5011616     </v>
      </c>
      <c r="E1720" t="s">
        <v>8</v>
      </c>
      <c r="F1720" t="s">
        <v>11</v>
      </c>
      <c r="G1720">
        <v>958.85</v>
      </c>
      <c r="H1720">
        <v>250401</v>
      </c>
      <c r="I1720">
        <v>4841</v>
      </c>
      <c r="J1720" t="s">
        <v>9</v>
      </c>
      <c r="K1720">
        <v>19433.830000000002</v>
      </c>
      <c r="L1720">
        <v>194.83</v>
      </c>
      <c r="M1720">
        <v>46554</v>
      </c>
      <c r="N1720" t="s">
        <v>102</v>
      </c>
      <c r="O1720">
        <v>250328</v>
      </c>
      <c r="P1720">
        <v>764.02</v>
      </c>
    </row>
    <row r="1721" spans="1:16" x14ac:dyDescent="0.25">
      <c r="A1721" t="s">
        <v>3296</v>
      </c>
      <c r="B1721" t="s">
        <v>2931</v>
      </c>
      <c r="C1721">
        <v>3716</v>
      </c>
      <c r="D1721" t="str">
        <f t="shared" si="46"/>
        <v xml:space="preserve">5011616     </v>
      </c>
      <c r="E1721" t="s">
        <v>8</v>
      </c>
      <c r="F1721" t="s">
        <v>11</v>
      </c>
      <c r="G1721">
        <v>2023.74</v>
      </c>
      <c r="H1721">
        <v>250401</v>
      </c>
      <c r="I1721">
        <v>4841</v>
      </c>
      <c r="J1721" t="s">
        <v>9</v>
      </c>
      <c r="K1721">
        <v>19433.830000000002</v>
      </c>
      <c r="L1721">
        <v>411.2</v>
      </c>
      <c r="M1721">
        <v>46555</v>
      </c>
      <c r="N1721" t="s">
        <v>103</v>
      </c>
      <c r="O1721">
        <v>250328</v>
      </c>
      <c r="P1721">
        <v>1612.54</v>
      </c>
    </row>
    <row r="1722" spans="1:16" x14ac:dyDescent="0.25">
      <c r="A1722" t="s">
        <v>3296</v>
      </c>
      <c r="B1722" t="s">
        <v>2931</v>
      </c>
      <c r="C1722">
        <v>3716</v>
      </c>
      <c r="D1722" t="str">
        <f t="shared" si="46"/>
        <v xml:space="preserve">5011616     </v>
      </c>
      <c r="E1722" t="s">
        <v>8</v>
      </c>
      <c r="F1722" t="s">
        <v>11</v>
      </c>
      <c r="G1722">
        <v>1099.05</v>
      </c>
      <c r="H1722">
        <v>250401</v>
      </c>
      <c r="I1722">
        <v>4841</v>
      </c>
      <c r="J1722" t="s">
        <v>9</v>
      </c>
      <c r="K1722">
        <v>19433.830000000002</v>
      </c>
      <c r="L1722">
        <v>223.31</v>
      </c>
      <c r="M1722">
        <v>46557</v>
      </c>
      <c r="N1722" t="s">
        <v>104</v>
      </c>
      <c r="O1722">
        <v>250328</v>
      </c>
      <c r="P1722">
        <v>875.74</v>
      </c>
    </row>
    <row r="1723" spans="1:16" x14ac:dyDescent="0.25">
      <c r="A1723" t="s">
        <v>3296</v>
      </c>
      <c r="B1723" t="s">
        <v>2931</v>
      </c>
      <c r="C1723">
        <v>3716</v>
      </c>
      <c r="D1723" t="str">
        <f t="shared" si="46"/>
        <v xml:space="preserve">5011616     </v>
      </c>
      <c r="E1723" t="s">
        <v>8</v>
      </c>
      <c r="F1723" t="s">
        <v>11</v>
      </c>
      <c r="G1723">
        <v>293.58</v>
      </c>
      <c r="H1723">
        <v>250401</v>
      </c>
      <c r="I1723">
        <v>4841</v>
      </c>
      <c r="J1723" t="s">
        <v>9</v>
      </c>
      <c r="K1723">
        <v>19433.830000000002</v>
      </c>
      <c r="L1723">
        <v>59.65</v>
      </c>
      <c r="M1723">
        <v>46559</v>
      </c>
      <c r="N1723" t="s">
        <v>105</v>
      </c>
      <c r="O1723">
        <v>250328</v>
      </c>
      <c r="P1723">
        <v>233.93</v>
      </c>
    </row>
    <row r="1724" spans="1:16" x14ac:dyDescent="0.25">
      <c r="A1724" t="s">
        <v>3296</v>
      </c>
      <c r="B1724" t="s">
        <v>2931</v>
      </c>
      <c r="C1724">
        <v>3716</v>
      </c>
      <c r="D1724" t="str">
        <f t="shared" si="46"/>
        <v xml:space="preserve">5011616     </v>
      </c>
      <c r="E1724" t="s">
        <v>8</v>
      </c>
      <c r="F1724" t="s">
        <v>11</v>
      </c>
      <c r="G1724">
        <v>2328.7399999999998</v>
      </c>
      <c r="H1724">
        <v>250401</v>
      </c>
      <c r="I1724">
        <v>4841</v>
      </c>
      <c r="J1724" t="s">
        <v>9</v>
      </c>
      <c r="K1724">
        <v>19433.830000000002</v>
      </c>
      <c r="L1724">
        <v>473.17</v>
      </c>
      <c r="M1724">
        <v>47522</v>
      </c>
      <c r="N1724" t="s">
        <v>106</v>
      </c>
      <c r="O1724">
        <v>250328</v>
      </c>
      <c r="P1724">
        <v>1855.57</v>
      </c>
    </row>
    <row r="1725" spans="1:16" x14ac:dyDescent="0.25">
      <c r="A1725" t="s">
        <v>3296</v>
      </c>
      <c r="B1725" t="s">
        <v>2931</v>
      </c>
      <c r="C1725">
        <v>3716</v>
      </c>
      <c r="D1725" t="str">
        <f t="shared" si="46"/>
        <v xml:space="preserve">5011616     </v>
      </c>
      <c r="E1725" t="s">
        <v>8</v>
      </c>
      <c r="F1725" t="s">
        <v>11</v>
      </c>
      <c r="G1725">
        <v>176.87</v>
      </c>
      <c r="H1725">
        <v>250401</v>
      </c>
      <c r="I1725">
        <v>4841</v>
      </c>
      <c r="J1725" t="s">
        <v>9</v>
      </c>
      <c r="K1725">
        <v>19433.830000000002</v>
      </c>
      <c r="L1725">
        <v>35.94</v>
      </c>
      <c r="M1725">
        <v>48601</v>
      </c>
      <c r="N1725" t="s">
        <v>107</v>
      </c>
      <c r="O1725">
        <v>250328</v>
      </c>
      <c r="P1725">
        <v>140.93</v>
      </c>
    </row>
    <row r="1726" spans="1:16" x14ac:dyDescent="0.25">
      <c r="A1726" t="s">
        <v>3296</v>
      </c>
      <c r="B1726" t="s">
        <v>2931</v>
      </c>
      <c r="C1726">
        <v>3716</v>
      </c>
      <c r="D1726" t="str">
        <f t="shared" si="46"/>
        <v xml:space="preserve">5011616     </v>
      </c>
      <c r="E1726" t="s">
        <v>8</v>
      </c>
      <c r="F1726" t="s">
        <v>11</v>
      </c>
      <c r="G1726">
        <v>46.89</v>
      </c>
      <c r="H1726">
        <v>250401</v>
      </c>
      <c r="I1726">
        <v>4841</v>
      </c>
      <c r="J1726" t="s">
        <v>9</v>
      </c>
      <c r="K1726">
        <v>19433.830000000002</v>
      </c>
      <c r="L1726">
        <v>9.5299999999999994</v>
      </c>
      <c r="M1726">
        <v>49111</v>
      </c>
      <c r="N1726" t="s">
        <v>108</v>
      </c>
      <c r="O1726">
        <v>250328</v>
      </c>
      <c r="P1726">
        <v>37.36</v>
      </c>
    </row>
    <row r="1727" spans="1:16" x14ac:dyDescent="0.25">
      <c r="A1727" t="s">
        <v>3296</v>
      </c>
      <c r="B1727" t="s">
        <v>2931</v>
      </c>
      <c r="C1727">
        <v>3716</v>
      </c>
      <c r="D1727" t="str">
        <f t="shared" si="46"/>
        <v xml:space="preserve">5011616     </v>
      </c>
      <c r="E1727" t="s">
        <v>8</v>
      </c>
      <c r="F1727" t="s">
        <v>11</v>
      </c>
      <c r="G1727">
        <v>27.79</v>
      </c>
      <c r="H1727">
        <v>250401</v>
      </c>
      <c r="I1727">
        <v>4841</v>
      </c>
      <c r="J1727" t="s">
        <v>9</v>
      </c>
      <c r="K1727">
        <v>19433.830000000002</v>
      </c>
      <c r="L1727">
        <v>5.65</v>
      </c>
      <c r="M1727">
        <v>49112</v>
      </c>
      <c r="N1727" t="s">
        <v>109</v>
      </c>
      <c r="O1727">
        <v>250328</v>
      </c>
      <c r="P1727">
        <v>22.14</v>
      </c>
    </row>
    <row r="1728" spans="1:16" x14ac:dyDescent="0.25">
      <c r="A1728" t="s">
        <v>3296</v>
      </c>
      <c r="B1728" t="s">
        <v>2931</v>
      </c>
      <c r="C1728">
        <v>3716</v>
      </c>
      <c r="D1728" t="str">
        <f t="shared" si="46"/>
        <v xml:space="preserve">5011616     </v>
      </c>
      <c r="E1728" t="s">
        <v>8</v>
      </c>
      <c r="F1728" t="s">
        <v>11</v>
      </c>
      <c r="G1728">
        <v>355.63</v>
      </c>
      <c r="H1728">
        <v>250401</v>
      </c>
      <c r="I1728">
        <v>4841</v>
      </c>
      <c r="J1728" t="s">
        <v>9</v>
      </c>
      <c r="K1728">
        <v>19433.830000000002</v>
      </c>
      <c r="L1728">
        <v>72.260000000000005</v>
      </c>
      <c r="M1728">
        <v>49501</v>
      </c>
      <c r="N1728" t="s">
        <v>110</v>
      </c>
      <c r="O1728">
        <v>250328</v>
      </c>
      <c r="P1728">
        <v>283.37</v>
      </c>
    </row>
    <row r="1729" spans="1:16" x14ac:dyDescent="0.25">
      <c r="A1729" t="s">
        <v>3296</v>
      </c>
      <c r="B1729" t="s">
        <v>2931</v>
      </c>
      <c r="C1729">
        <v>3716</v>
      </c>
      <c r="D1729" t="str">
        <f t="shared" si="46"/>
        <v xml:space="preserve">5011616     </v>
      </c>
      <c r="E1729" t="s">
        <v>8</v>
      </c>
      <c r="F1729" t="s">
        <v>11</v>
      </c>
      <c r="G1729">
        <v>260.24</v>
      </c>
      <c r="H1729">
        <v>250401</v>
      </c>
      <c r="I1729">
        <v>4841</v>
      </c>
      <c r="J1729" t="s">
        <v>9</v>
      </c>
      <c r="K1729">
        <v>19433.830000000002</v>
      </c>
      <c r="L1729">
        <v>52.88</v>
      </c>
      <c r="M1729">
        <v>49701</v>
      </c>
      <c r="N1729" t="s">
        <v>111</v>
      </c>
      <c r="O1729">
        <v>250328</v>
      </c>
      <c r="P1729">
        <v>207.36</v>
      </c>
    </row>
    <row r="1730" spans="1:16" x14ac:dyDescent="0.25">
      <c r="A1730" t="s">
        <v>3296</v>
      </c>
      <c r="B1730" t="s">
        <v>2931</v>
      </c>
      <c r="C1730">
        <v>3716</v>
      </c>
      <c r="D1730" t="str">
        <f t="shared" si="46"/>
        <v xml:space="preserve">5011616     </v>
      </c>
      <c r="E1730" t="s">
        <v>8</v>
      </c>
      <c r="F1730" t="s">
        <v>11</v>
      </c>
      <c r="G1730">
        <v>443.54</v>
      </c>
      <c r="H1730">
        <v>250401</v>
      </c>
      <c r="I1730">
        <v>4841</v>
      </c>
      <c r="J1730" t="s">
        <v>9</v>
      </c>
      <c r="K1730">
        <v>19433.830000000002</v>
      </c>
      <c r="L1730">
        <v>90.12</v>
      </c>
      <c r="M1730">
        <v>49702</v>
      </c>
      <c r="N1730" t="s">
        <v>112</v>
      </c>
      <c r="O1730">
        <v>250328</v>
      </c>
      <c r="P1730">
        <v>353.42</v>
      </c>
    </row>
    <row r="1731" spans="1:16" x14ac:dyDescent="0.25">
      <c r="A1731" t="s">
        <v>3296</v>
      </c>
      <c r="B1731" t="s">
        <v>2931</v>
      </c>
      <c r="C1731">
        <v>3716</v>
      </c>
      <c r="D1731" t="str">
        <f t="shared" si="46"/>
        <v xml:space="preserve">5011616     </v>
      </c>
      <c r="E1731" t="s">
        <v>8</v>
      </c>
      <c r="F1731" t="s">
        <v>11</v>
      </c>
      <c r="G1731">
        <v>156.07</v>
      </c>
      <c r="H1731">
        <v>250401</v>
      </c>
      <c r="I1731">
        <v>4841</v>
      </c>
      <c r="J1731" t="s">
        <v>9</v>
      </c>
      <c r="K1731">
        <v>19433.830000000002</v>
      </c>
      <c r="L1731">
        <v>31.71</v>
      </c>
      <c r="M1731">
        <v>49704</v>
      </c>
      <c r="N1731" t="s">
        <v>113</v>
      </c>
      <c r="O1731">
        <v>250328</v>
      </c>
      <c r="P1731">
        <v>124.36</v>
      </c>
    </row>
    <row r="1732" spans="1:16" x14ac:dyDescent="0.25">
      <c r="A1732" t="s">
        <v>3296</v>
      </c>
      <c r="B1732" t="s">
        <v>2931</v>
      </c>
      <c r="C1732">
        <v>3716</v>
      </c>
      <c r="D1732" t="str">
        <f t="shared" si="46"/>
        <v xml:space="preserve">5011616     </v>
      </c>
      <c r="E1732" t="s">
        <v>8</v>
      </c>
      <c r="F1732" t="s">
        <v>11</v>
      </c>
      <c r="G1732">
        <v>588.11</v>
      </c>
      <c r="H1732">
        <v>250401</v>
      </c>
      <c r="I1732">
        <v>4841</v>
      </c>
      <c r="J1732" t="s">
        <v>9</v>
      </c>
      <c r="K1732">
        <v>19433.830000000002</v>
      </c>
      <c r="L1732">
        <v>119.5</v>
      </c>
      <c r="M1732">
        <v>49705</v>
      </c>
      <c r="N1732" t="s">
        <v>114</v>
      </c>
      <c r="O1732">
        <v>250328</v>
      </c>
      <c r="P1732">
        <v>468.61</v>
      </c>
    </row>
    <row r="1733" spans="1:16" x14ac:dyDescent="0.25">
      <c r="A1733" t="s">
        <v>3296</v>
      </c>
      <c r="B1733" t="s">
        <v>2931</v>
      </c>
      <c r="C1733">
        <v>3717</v>
      </c>
      <c r="D1733" t="str">
        <f t="shared" ref="D1733:D1738" si="47">"5011617     "</f>
        <v xml:space="preserve">5011617     </v>
      </c>
      <c r="E1733" t="s">
        <v>8</v>
      </c>
      <c r="F1733" t="s">
        <v>11</v>
      </c>
      <c r="G1733">
        <v>92.42</v>
      </c>
      <c r="H1733">
        <v>250401</v>
      </c>
      <c r="I1733">
        <v>4841</v>
      </c>
      <c r="J1733" t="s">
        <v>9</v>
      </c>
      <c r="K1733">
        <v>323.45999999999998</v>
      </c>
      <c r="L1733">
        <v>18.78</v>
      </c>
      <c r="M1733">
        <v>13901</v>
      </c>
      <c r="N1733" t="s">
        <v>116</v>
      </c>
      <c r="O1733">
        <v>250328</v>
      </c>
      <c r="P1733">
        <v>73.64</v>
      </c>
    </row>
    <row r="1734" spans="1:16" x14ac:dyDescent="0.25">
      <c r="A1734" t="s">
        <v>3296</v>
      </c>
      <c r="B1734" t="s">
        <v>2931</v>
      </c>
      <c r="C1734">
        <v>3717</v>
      </c>
      <c r="D1734" t="str">
        <f t="shared" si="47"/>
        <v xml:space="preserve">5011617     </v>
      </c>
      <c r="E1734" t="s">
        <v>8</v>
      </c>
      <c r="F1734" t="s">
        <v>11</v>
      </c>
      <c r="G1734">
        <v>46.21</v>
      </c>
      <c r="H1734">
        <v>250401</v>
      </c>
      <c r="I1734">
        <v>4841</v>
      </c>
      <c r="J1734" t="s">
        <v>9</v>
      </c>
      <c r="K1734">
        <v>323.45999999999998</v>
      </c>
      <c r="L1734">
        <v>9.39</v>
      </c>
      <c r="M1734">
        <v>13901</v>
      </c>
      <c r="N1734" t="s">
        <v>116</v>
      </c>
      <c r="O1734">
        <v>250328</v>
      </c>
      <c r="P1734">
        <v>36.82</v>
      </c>
    </row>
    <row r="1735" spans="1:16" x14ac:dyDescent="0.25">
      <c r="A1735" t="s">
        <v>3296</v>
      </c>
      <c r="B1735" t="s">
        <v>2931</v>
      </c>
      <c r="C1735">
        <v>3717</v>
      </c>
      <c r="D1735" t="str">
        <f t="shared" si="47"/>
        <v xml:space="preserve">5011617     </v>
      </c>
      <c r="E1735" t="s">
        <v>8</v>
      </c>
      <c r="F1735" t="s">
        <v>11</v>
      </c>
      <c r="G1735">
        <v>46.21</v>
      </c>
      <c r="H1735">
        <v>250401</v>
      </c>
      <c r="I1735">
        <v>4841</v>
      </c>
      <c r="J1735" t="s">
        <v>9</v>
      </c>
      <c r="K1735">
        <v>323.45999999999998</v>
      </c>
      <c r="L1735">
        <v>9.39</v>
      </c>
      <c r="M1735">
        <v>13901</v>
      </c>
      <c r="N1735" t="s">
        <v>116</v>
      </c>
      <c r="O1735">
        <v>250328</v>
      </c>
      <c r="P1735">
        <v>36.82</v>
      </c>
    </row>
    <row r="1736" spans="1:16" x14ac:dyDescent="0.25">
      <c r="A1736" t="s">
        <v>3296</v>
      </c>
      <c r="B1736" t="s">
        <v>2931</v>
      </c>
      <c r="C1736">
        <v>3717</v>
      </c>
      <c r="D1736" t="str">
        <f t="shared" si="47"/>
        <v xml:space="preserve">5011617     </v>
      </c>
      <c r="E1736" t="s">
        <v>8</v>
      </c>
      <c r="F1736" t="s">
        <v>11</v>
      </c>
      <c r="G1736">
        <v>46.21</v>
      </c>
      <c r="H1736">
        <v>250401</v>
      </c>
      <c r="I1736">
        <v>4841</v>
      </c>
      <c r="J1736" t="s">
        <v>9</v>
      </c>
      <c r="K1736">
        <v>323.45999999999998</v>
      </c>
      <c r="L1736">
        <v>9.39</v>
      </c>
      <c r="M1736">
        <v>13901</v>
      </c>
      <c r="N1736" t="s">
        <v>116</v>
      </c>
      <c r="O1736">
        <v>250328</v>
      </c>
      <c r="P1736">
        <v>36.82</v>
      </c>
    </row>
    <row r="1737" spans="1:16" x14ac:dyDescent="0.25">
      <c r="A1737" t="s">
        <v>3296</v>
      </c>
      <c r="B1737" t="s">
        <v>2931</v>
      </c>
      <c r="C1737">
        <v>3717</v>
      </c>
      <c r="D1737" t="str">
        <f t="shared" si="47"/>
        <v xml:space="preserve">5011617     </v>
      </c>
      <c r="E1737" t="s">
        <v>8</v>
      </c>
      <c r="F1737" t="s">
        <v>11</v>
      </c>
      <c r="G1737">
        <v>46.21</v>
      </c>
      <c r="H1737">
        <v>250401</v>
      </c>
      <c r="I1737">
        <v>4841</v>
      </c>
      <c r="J1737" t="s">
        <v>9</v>
      </c>
      <c r="K1737">
        <v>323.45999999999998</v>
      </c>
      <c r="L1737">
        <v>9.39</v>
      </c>
      <c r="M1737">
        <v>13901</v>
      </c>
      <c r="N1737" t="s">
        <v>116</v>
      </c>
      <c r="O1737">
        <v>250328</v>
      </c>
      <c r="P1737">
        <v>36.82</v>
      </c>
    </row>
    <row r="1738" spans="1:16" x14ac:dyDescent="0.25">
      <c r="A1738" t="s">
        <v>3296</v>
      </c>
      <c r="B1738" t="s">
        <v>2931</v>
      </c>
      <c r="C1738">
        <v>3717</v>
      </c>
      <c r="D1738" t="str">
        <f t="shared" si="47"/>
        <v xml:space="preserve">5011617     </v>
      </c>
      <c r="E1738" t="s">
        <v>8</v>
      </c>
      <c r="F1738" t="s">
        <v>11</v>
      </c>
      <c r="G1738">
        <v>46.2</v>
      </c>
      <c r="H1738">
        <v>250401</v>
      </c>
      <c r="I1738">
        <v>4841</v>
      </c>
      <c r="J1738" t="s">
        <v>9</v>
      </c>
      <c r="K1738">
        <v>323.45999999999998</v>
      </c>
      <c r="L1738">
        <v>9.39</v>
      </c>
      <c r="M1738">
        <v>13901</v>
      </c>
      <c r="N1738" t="s">
        <v>116</v>
      </c>
      <c r="O1738">
        <v>250328</v>
      </c>
      <c r="P1738">
        <v>36.81</v>
      </c>
    </row>
    <row r="1739" spans="1:16" x14ac:dyDescent="0.25">
      <c r="A1739" t="s">
        <v>3296</v>
      </c>
      <c r="B1739" t="s">
        <v>2931</v>
      </c>
      <c r="C1739">
        <v>3718</v>
      </c>
      <c r="D1739" t="str">
        <f>"5011624     "</f>
        <v xml:space="preserve">5011624     </v>
      </c>
      <c r="E1739" t="s">
        <v>8</v>
      </c>
      <c r="F1739" t="s">
        <v>11</v>
      </c>
      <c r="G1739">
        <v>226.46</v>
      </c>
      <c r="H1739">
        <v>250401</v>
      </c>
      <c r="I1739">
        <v>4841</v>
      </c>
      <c r="J1739" t="s">
        <v>9</v>
      </c>
      <c r="K1739">
        <v>226.46</v>
      </c>
      <c r="L1739">
        <v>46.01</v>
      </c>
      <c r="M1739">
        <v>13940</v>
      </c>
      <c r="N1739" t="s">
        <v>14</v>
      </c>
      <c r="O1739">
        <v>250328</v>
      </c>
      <c r="P1739">
        <v>180.45</v>
      </c>
    </row>
    <row r="1740" spans="1:16" x14ac:dyDescent="0.25">
      <c r="A1740" t="s">
        <v>3296</v>
      </c>
      <c r="B1740" t="s">
        <v>2931</v>
      </c>
      <c r="C1740">
        <v>3720</v>
      </c>
      <c r="D1740" t="str">
        <f t="shared" ref="D1740:D1746" si="48">"5011609     "</f>
        <v xml:space="preserve">5011609     </v>
      </c>
      <c r="E1740" t="s">
        <v>8</v>
      </c>
      <c r="F1740" t="s">
        <v>11</v>
      </c>
      <c r="G1740">
        <v>1718.69</v>
      </c>
      <c r="H1740">
        <v>250401</v>
      </c>
      <c r="I1740">
        <v>4841</v>
      </c>
      <c r="J1740" t="s">
        <v>9</v>
      </c>
      <c r="K1740">
        <v>3123.19</v>
      </c>
      <c r="L1740">
        <v>349.22</v>
      </c>
      <c r="M1740">
        <v>53222</v>
      </c>
      <c r="N1740" t="s">
        <v>41</v>
      </c>
      <c r="O1740">
        <v>250328</v>
      </c>
      <c r="P1740">
        <v>1369.47</v>
      </c>
    </row>
    <row r="1741" spans="1:16" x14ac:dyDescent="0.25">
      <c r="A1741" t="s">
        <v>3296</v>
      </c>
      <c r="B1741" t="s">
        <v>2931</v>
      </c>
      <c r="C1741">
        <v>3720</v>
      </c>
      <c r="D1741" t="str">
        <f t="shared" si="48"/>
        <v xml:space="preserve">5011609     </v>
      </c>
      <c r="E1741" t="s">
        <v>8</v>
      </c>
      <c r="F1741" t="s">
        <v>11</v>
      </c>
      <c r="G1741">
        <v>376.03</v>
      </c>
      <c r="H1741">
        <v>250401</v>
      </c>
      <c r="I1741">
        <v>4841</v>
      </c>
      <c r="J1741" t="s">
        <v>9</v>
      </c>
      <c r="K1741">
        <v>3123.19</v>
      </c>
      <c r="L1741">
        <v>76.400000000000006</v>
      </c>
      <c r="M1741">
        <v>54622</v>
      </c>
      <c r="N1741" t="s">
        <v>42</v>
      </c>
      <c r="O1741">
        <v>250328</v>
      </c>
      <c r="P1741">
        <v>299.63</v>
      </c>
    </row>
    <row r="1742" spans="1:16" x14ac:dyDescent="0.25">
      <c r="A1742" t="s">
        <v>3296</v>
      </c>
      <c r="B1742" t="s">
        <v>2931</v>
      </c>
      <c r="C1742">
        <v>3720</v>
      </c>
      <c r="D1742" t="str">
        <f t="shared" si="48"/>
        <v xml:space="preserve">5011609     </v>
      </c>
      <c r="E1742" t="s">
        <v>8</v>
      </c>
      <c r="F1742" t="s">
        <v>11</v>
      </c>
      <c r="G1742">
        <v>661.18</v>
      </c>
      <c r="H1742">
        <v>250401</v>
      </c>
      <c r="I1742">
        <v>4841</v>
      </c>
      <c r="J1742" t="s">
        <v>9</v>
      </c>
      <c r="K1742">
        <v>3123.19</v>
      </c>
      <c r="L1742">
        <v>134.34</v>
      </c>
      <c r="M1742">
        <v>55222</v>
      </c>
      <c r="N1742" t="s">
        <v>43</v>
      </c>
      <c r="O1742">
        <v>250328</v>
      </c>
      <c r="P1742">
        <v>526.84</v>
      </c>
    </row>
    <row r="1743" spans="1:16" x14ac:dyDescent="0.25">
      <c r="A1743" t="s">
        <v>3296</v>
      </c>
      <c r="B1743" t="s">
        <v>2931</v>
      </c>
      <c r="C1743">
        <v>3720</v>
      </c>
      <c r="D1743" t="str">
        <f t="shared" si="48"/>
        <v xml:space="preserve">5011609     </v>
      </c>
      <c r="E1743" t="s">
        <v>8</v>
      </c>
      <c r="F1743" t="s">
        <v>11</v>
      </c>
      <c r="G1743">
        <v>89.01</v>
      </c>
      <c r="H1743">
        <v>250401</v>
      </c>
      <c r="I1743">
        <v>4841</v>
      </c>
      <c r="J1743" t="s">
        <v>9</v>
      </c>
      <c r="K1743">
        <v>3123.19</v>
      </c>
      <c r="L1743">
        <v>18.09</v>
      </c>
      <c r="M1743">
        <v>59112</v>
      </c>
      <c r="N1743" t="s">
        <v>44</v>
      </c>
      <c r="O1743">
        <v>250328</v>
      </c>
      <c r="P1743">
        <v>70.92</v>
      </c>
    </row>
    <row r="1744" spans="1:16" x14ac:dyDescent="0.25">
      <c r="A1744" t="s">
        <v>3296</v>
      </c>
      <c r="B1744" t="s">
        <v>2931</v>
      </c>
      <c r="C1744">
        <v>3720</v>
      </c>
      <c r="D1744" t="str">
        <f t="shared" si="48"/>
        <v xml:space="preserve">5011609     </v>
      </c>
      <c r="E1744" t="s">
        <v>8</v>
      </c>
      <c r="F1744" t="s">
        <v>11</v>
      </c>
      <c r="G1744">
        <v>89.32</v>
      </c>
      <c r="H1744">
        <v>250401</v>
      </c>
      <c r="I1744">
        <v>4841</v>
      </c>
      <c r="J1744" t="s">
        <v>9</v>
      </c>
      <c r="K1744">
        <v>3123.19</v>
      </c>
      <c r="L1744">
        <v>18.149999999999999</v>
      </c>
      <c r="M1744">
        <v>59702</v>
      </c>
      <c r="N1744" t="s">
        <v>45</v>
      </c>
      <c r="O1744">
        <v>250328</v>
      </c>
      <c r="P1744">
        <v>71.17</v>
      </c>
    </row>
    <row r="1745" spans="1:16" x14ac:dyDescent="0.25">
      <c r="A1745" t="s">
        <v>3296</v>
      </c>
      <c r="B1745" t="s">
        <v>2931</v>
      </c>
      <c r="C1745">
        <v>3720</v>
      </c>
      <c r="D1745" t="str">
        <f t="shared" si="48"/>
        <v xml:space="preserve">5011609     </v>
      </c>
      <c r="E1745" t="s">
        <v>8</v>
      </c>
      <c r="F1745" t="s">
        <v>11</v>
      </c>
      <c r="G1745">
        <v>172.71</v>
      </c>
      <c r="H1745">
        <v>250401</v>
      </c>
      <c r="I1745">
        <v>4841</v>
      </c>
      <c r="J1745" t="s">
        <v>9</v>
      </c>
      <c r="K1745">
        <v>3123.19</v>
      </c>
      <c r="L1745">
        <v>35.090000000000003</v>
      </c>
      <c r="M1745">
        <v>59704</v>
      </c>
      <c r="N1745" t="s">
        <v>46</v>
      </c>
      <c r="O1745">
        <v>250328</v>
      </c>
      <c r="P1745">
        <v>137.62</v>
      </c>
    </row>
    <row r="1746" spans="1:16" x14ac:dyDescent="0.25">
      <c r="A1746" t="s">
        <v>3296</v>
      </c>
      <c r="B1746" t="s">
        <v>2931</v>
      </c>
      <c r="C1746">
        <v>3720</v>
      </c>
      <c r="D1746" t="str">
        <f t="shared" si="48"/>
        <v xml:space="preserve">5011609     </v>
      </c>
      <c r="E1746" t="s">
        <v>8</v>
      </c>
      <c r="F1746" t="s">
        <v>11</v>
      </c>
      <c r="G1746">
        <v>16.25</v>
      </c>
      <c r="H1746">
        <v>250401</v>
      </c>
      <c r="I1746">
        <v>4841</v>
      </c>
      <c r="J1746" t="s">
        <v>9</v>
      </c>
      <c r="K1746">
        <v>3123.19</v>
      </c>
      <c r="L1746">
        <v>3.3</v>
      </c>
      <c r="M1746">
        <v>59705</v>
      </c>
      <c r="N1746" t="s">
        <v>47</v>
      </c>
      <c r="O1746">
        <v>250328</v>
      </c>
      <c r="P1746">
        <v>12.95</v>
      </c>
    </row>
    <row r="1747" spans="1:16" x14ac:dyDescent="0.25">
      <c r="A1747" t="s">
        <v>3296</v>
      </c>
      <c r="B1747" t="s">
        <v>2931</v>
      </c>
      <c r="C1747">
        <v>3723</v>
      </c>
      <c r="D1747" t="str">
        <f t="shared" ref="D1747:D1764" si="49">"5011622     "</f>
        <v xml:space="preserve">5011622     </v>
      </c>
      <c r="E1747" t="s">
        <v>8</v>
      </c>
      <c r="F1747" t="s">
        <v>11</v>
      </c>
      <c r="G1747">
        <v>364.33</v>
      </c>
      <c r="H1747">
        <v>250401</v>
      </c>
      <c r="I1747">
        <v>4841</v>
      </c>
      <c r="J1747" t="s">
        <v>9</v>
      </c>
      <c r="K1747">
        <v>9776.64</v>
      </c>
      <c r="L1747">
        <v>74.03</v>
      </c>
      <c r="M1747">
        <v>16321</v>
      </c>
      <c r="N1747" t="s">
        <v>16</v>
      </c>
      <c r="O1747">
        <v>250328</v>
      </c>
      <c r="P1747">
        <v>290.3</v>
      </c>
    </row>
    <row r="1748" spans="1:16" x14ac:dyDescent="0.25">
      <c r="A1748" t="s">
        <v>3296</v>
      </c>
      <c r="B1748" t="s">
        <v>2931</v>
      </c>
      <c r="C1748">
        <v>3723</v>
      </c>
      <c r="D1748" t="str">
        <f t="shared" si="49"/>
        <v xml:space="preserve">5011622     </v>
      </c>
      <c r="E1748" t="s">
        <v>8</v>
      </c>
      <c r="F1748" t="s">
        <v>11</v>
      </c>
      <c r="G1748">
        <v>830.41</v>
      </c>
      <c r="H1748">
        <v>250401</v>
      </c>
      <c r="I1748">
        <v>4841</v>
      </c>
      <c r="J1748" t="s">
        <v>9</v>
      </c>
      <c r="K1748">
        <v>9776.64</v>
      </c>
      <c r="L1748">
        <v>168.73</v>
      </c>
      <c r="M1748">
        <v>16321</v>
      </c>
      <c r="N1748" t="s">
        <v>16</v>
      </c>
      <c r="O1748">
        <v>250328</v>
      </c>
      <c r="P1748">
        <v>661.68</v>
      </c>
    </row>
    <row r="1749" spans="1:16" x14ac:dyDescent="0.25">
      <c r="A1749" t="s">
        <v>3296</v>
      </c>
      <c r="B1749" t="s">
        <v>2931</v>
      </c>
      <c r="C1749">
        <v>3723</v>
      </c>
      <c r="D1749" t="str">
        <f t="shared" si="49"/>
        <v xml:space="preserve">5011622     </v>
      </c>
      <c r="E1749" t="s">
        <v>8</v>
      </c>
      <c r="F1749" t="s">
        <v>11</v>
      </c>
      <c r="G1749">
        <v>185.79</v>
      </c>
      <c r="H1749">
        <v>250401</v>
      </c>
      <c r="I1749">
        <v>4841</v>
      </c>
      <c r="J1749" t="s">
        <v>9</v>
      </c>
      <c r="K1749">
        <v>9776.64</v>
      </c>
      <c r="L1749">
        <v>37.75</v>
      </c>
      <c r="M1749">
        <v>16321</v>
      </c>
      <c r="N1749" t="s">
        <v>16</v>
      </c>
      <c r="O1749">
        <v>250328</v>
      </c>
      <c r="P1749">
        <v>148.04</v>
      </c>
    </row>
    <row r="1750" spans="1:16" x14ac:dyDescent="0.25">
      <c r="A1750" t="s">
        <v>3296</v>
      </c>
      <c r="B1750" t="s">
        <v>2931</v>
      </c>
      <c r="C1750">
        <v>3723</v>
      </c>
      <c r="D1750" t="str">
        <f t="shared" si="49"/>
        <v xml:space="preserve">5011622     </v>
      </c>
      <c r="E1750" t="s">
        <v>8</v>
      </c>
      <c r="F1750" t="s">
        <v>11</v>
      </c>
      <c r="G1750">
        <v>504.11</v>
      </c>
      <c r="H1750">
        <v>250401</v>
      </c>
      <c r="I1750">
        <v>4841</v>
      </c>
      <c r="J1750" t="s">
        <v>9</v>
      </c>
      <c r="K1750">
        <v>9776.64</v>
      </c>
      <c r="L1750">
        <v>102.43</v>
      </c>
      <c r="M1750">
        <v>16431</v>
      </c>
      <c r="N1750" t="s">
        <v>17</v>
      </c>
      <c r="O1750">
        <v>250328</v>
      </c>
      <c r="P1750">
        <v>401.68</v>
      </c>
    </row>
    <row r="1751" spans="1:16" x14ac:dyDescent="0.25">
      <c r="A1751" t="s">
        <v>3296</v>
      </c>
      <c r="B1751" t="s">
        <v>2931</v>
      </c>
      <c r="C1751">
        <v>3723</v>
      </c>
      <c r="D1751" t="str">
        <f t="shared" si="49"/>
        <v xml:space="preserve">5011622     </v>
      </c>
      <c r="E1751" t="s">
        <v>8</v>
      </c>
      <c r="F1751" t="s">
        <v>11</v>
      </c>
      <c r="G1751">
        <v>423.5</v>
      </c>
      <c r="H1751">
        <v>250401</v>
      </c>
      <c r="I1751">
        <v>4841</v>
      </c>
      <c r="J1751" t="s">
        <v>9</v>
      </c>
      <c r="K1751">
        <v>9776.64</v>
      </c>
      <c r="L1751">
        <v>86.05</v>
      </c>
      <c r="M1751">
        <v>17802</v>
      </c>
      <c r="N1751" t="s">
        <v>18</v>
      </c>
      <c r="O1751">
        <v>250328</v>
      </c>
      <c r="P1751">
        <v>337.45</v>
      </c>
    </row>
    <row r="1752" spans="1:16" x14ac:dyDescent="0.25">
      <c r="A1752" t="s">
        <v>3296</v>
      </c>
      <c r="B1752" t="s">
        <v>2931</v>
      </c>
      <c r="C1752">
        <v>3723</v>
      </c>
      <c r="D1752" t="str">
        <f t="shared" si="49"/>
        <v xml:space="preserve">5011622     </v>
      </c>
      <c r="E1752" t="s">
        <v>8</v>
      </c>
      <c r="F1752" t="s">
        <v>11</v>
      </c>
      <c r="G1752">
        <v>1535.97</v>
      </c>
      <c r="H1752">
        <v>250401</v>
      </c>
      <c r="I1752">
        <v>4841</v>
      </c>
      <c r="J1752" t="s">
        <v>9</v>
      </c>
      <c r="K1752">
        <v>9776.64</v>
      </c>
      <c r="L1752">
        <v>312.08999999999997</v>
      </c>
      <c r="M1752">
        <v>17803</v>
      </c>
      <c r="N1752" t="s">
        <v>19</v>
      </c>
      <c r="O1752">
        <v>250328</v>
      </c>
      <c r="P1752">
        <v>1223.8800000000001</v>
      </c>
    </row>
    <row r="1753" spans="1:16" x14ac:dyDescent="0.25">
      <c r="A1753" t="s">
        <v>3296</v>
      </c>
      <c r="B1753" t="s">
        <v>2931</v>
      </c>
      <c r="C1753">
        <v>3723</v>
      </c>
      <c r="D1753" t="str">
        <f t="shared" si="49"/>
        <v xml:space="preserve">5011622     </v>
      </c>
      <c r="E1753" t="s">
        <v>8</v>
      </c>
      <c r="F1753" t="s">
        <v>11</v>
      </c>
      <c r="G1753">
        <v>315.82</v>
      </c>
      <c r="H1753">
        <v>250401</v>
      </c>
      <c r="I1753">
        <v>4841</v>
      </c>
      <c r="J1753" t="s">
        <v>9</v>
      </c>
      <c r="K1753">
        <v>9776.64</v>
      </c>
      <c r="L1753">
        <v>64.17</v>
      </c>
      <c r="M1753">
        <v>17804</v>
      </c>
      <c r="N1753" t="s">
        <v>20</v>
      </c>
      <c r="O1753">
        <v>250328</v>
      </c>
      <c r="P1753">
        <v>251.65</v>
      </c>
    </row>
    <row r="1754" spans="1:16" x14ac:dyDescent="0.25">
      <c r="A1754" t="s">
        <v>3296</v>
      </c>
      <c r="B1754" t="s">
        <v>2931</v>
      </c>
      <c r="C1754">
        <v>3723</v>
      </c>
      <c r="D1754" t="str">
        <f t="shared" si="49"/>
        <v xml:space="preserve">5011622     </v>
      </c>
      <c r="E1754" t="s">
        <v>8</v>
      </c>
      <c r="F1754" t="s">
        <v>11</v>
      </c>
      <c r="G1754">
        <v>92.87</v>
      </c>
      <c r="H1754">
        <v>250401</v>
      </c>
      <c r="I1754">
        <v>4841</v>
      </c>
      <c r="J1754" t="s">
        <v>9</v>
      </c>
      <c r="K1754">
        <v>9776.64</v>
      </c>
      <c r="L1754">
        <v>18.87</v>
      </c>
      <c r="M1754">
        <v>17804</v>
      </c>
      <c r="N1754" t="s">
        <v>20</v>
      </c>
      <c r="O1754">
        <v>250328</v>
      </c>
      <c r="P1754">
        <v>74</v>
      </c>
    </row>
    <row r="1755" spans="1:16" x14ac:dyDescent="0.25">
      <c r="A1755" t="s">
        <v>3296</v>
      </c>
      <c r="B1755" t="s">
        <v>2931</v>
      </c>
      <c r="C1755">
        <v>3723</v>
      </c>
      <c r="D1755" t="str">
        <f t="shared" si="49"/>
        <v xml:space="preserve">5011622     </v>
      </c>
      <c r="E1755" t="s">
        <v>8</v>
      </c>
      <c r="F1755" t="s">
        <v>11</v>
      </c>
      <c r="G1755">
        <v>83.21</v>
      </c>
      <c r="H1755">
        <v>250401</v>
      </c>
      <c r="I1755">
        <v>4841</v>
      </c>
      <c r="J1755" t="s">
        <v>9</v>
      </c>
      <c r="K1755">
        <v>9776.64</v>
      </c>
      <c r="L1755">
        <v>16.91</v>
      </c>
      <c r="M1755">
        <v>17805</v>
      </c>
      <c r="N1755" t="s">
        <v>21</v>
      </c>
      <c r="O1755">
        <v>250328</v>
      </c>
      <c r="P1755">
        <v>66.3</v>
      </c>
    </row>
    <row r="1756" spans="1:16" x14ac:dyDescent="0.25">
      <c r="A1756" t="s">
        <v>3296</v>
      </c>
      <c r="B1756" t="s">
        <v>2931</v>
      </c>
      <c r="C1756">
        <v>3723</v>
      </c>
      <c r="D1756" t="str">
        <f t="shared" si="49"/>
        <v xml:space="preserve">5011622     </v>
      </c>
      <c r="E1756" t="s">
        <v>8</v>
      </c>
      <c r="F1756" t="s">
        <v>11</v>
      </c>
      <c r="G1756">
        <v>349.42</v>
      </c>
      <c r="H1756">
        <v>250401</v>
      </c>
      <c r="I1756">
        <v>4841</v>
      </c>
      <c r="J1756" t="s">
        <v>9</v>
      </c>
      <c r="K1756">
        <v>9776.64</v>
      </c>
      <c r="L1756">
        <v>71</v>
      </c>
      <c r="M1756">
        <v>17806</v>
      </c>
      <c r="N1756" t="s">
        <v>22</v>
      </c>
      <c r="O1756">
        <v>250328</v>
      </c>
      <c r="P1756">
        <v>278.42</v>
      </c>
    </row>
    <row r="1757" spans="1:16" x14ac:dyDescent="0.25">
      <c r="A1757" t="s">
        <v>3296</v>
      </c>
      <c r="B1757" t="s">
        <v>2931</v>
      </c>
      <c r="C1757">
        <v>3723</v>
      </c>
      <c r="D1757" t="str">
        <f t="shared" si="49"/>
        <v xml:space="preserve">5011622     </v>
      </c>
      <c r="E1757" t="s">
        <v>8</v>
      </c>
      <c r="F1757" t="s">
        <v>11</v>
      </c>
      <c r="G1757">
        <v>163.28</v>
      </c>
      <c r="H1757">
        <v>250401</v>
      </c>
      <c r="I1757">
        <v>4841</v>
      </c>
      <c r="J1757" t="s">
        <v>9</v>
      </c>
      <c r="K1757">
        <v>9776.64</v>
      </c>
      <c r="L1757">
        <v>33.18</v>
      </c>
      <c r="M1757">
        <v>17807</v>
      </c>
      <c r="N1757" t="s">
        <v>23</v>
      </c>
      <c r="O1757">
        <v>250328</v>
      </c>
      <c r="P1757">
        <v>130.1</v>
      </c>
    </row>
    <row r="1758" spans="1:16" x14ac:dyDescent="0.25">
      <c r="A1758" t="s">
        <v>3296</v>
      </c>
      <c r="B1758" t="s">
        <v>2931</v>
      </c>
      <c r="C1758">
        <v>3723</v>
      </c>
      <c r="D1758" t="str">
        <f t="shared" si="49"/>
        <v xml:space="preserve">5011622     </v>
      </c>
      <c r="E1758" t="s">
        <v>8</v>
      </c>
      <c r="F1758" t="s">
        <v>11</v>
      </c>
      <c r="G1758">
        <v>3494.54</v>
      </c>
      <c r="H1758">
        <v>250401</v>
      </c>
      <c r="I1758">
        <v>4841</v>
      </c>
      <c r="J1758" t="s">
        <v>9</v>
      </c>
      <c r="K1758">
        <v>9776.64</v>
      </c>
      <c r="L1758">
        <v>710.05</v>
      </c>
      <c r="M1758">
        <v>17808</v>
      </c>
      <c r="N1758" t="s">
        <v>24</v>
      </c>
      <c r="O1758">
        <v>250328</v>
      </c>
      <c r="P1758">
        <v>2784.49</v>
      </c>
    </row>
    <row r="1759" spans="1:16" x14ac:dyDescent="0.25">
      <c r="A1759" t="s">
        <v>3296</v>
      </c>
      <c r="B1759" t="s">
        <v>2931</v>
      </c>
      <c r="C1759">
        <v>3723</v>
      </c>
      <c r="D1759" t="str">
        <f t="shared" si="49"/>
        <v xml:space="preserve">5011622     </v>
      </c>
      <c r="E1759" t="s">
        <v>8</v>
      </c>
      <c r="F1759" t="s">
        <v>11</v>
      </c>
      <c r="G1759">
        <v>725.55</v>
      </c>
      <c r="H1759">
        <v>250401</v>
      </c>
      <c r="I1759">
        <v>4841</v>
      </c>
      <c r="J1759" t="s">
        <v>9</v>
      </c>
      <c r="K1759">
        <v>9776.64</v>
      </c>
      <c r="L1759">
        <v>147.41999999999999</v>
      </c>
      <c r="M1759">
        <v>17808</v>
      </c>
      <c r="N1759" t="s">
        <v>24</v>
      </c>
      <c r="O1759">
        <v>250328</v>
      </c>
      <c r="P1759">
        <v>578.13</v>
      </c>
    </row>
    <row r="1760" spans="1:16" x14ac:dyDescent="0.25">
      <c r="A1760" t="s">
        <v>3296</v>
      </c>
      <c r="B1760" t="s">
        <v>2931</v>
      </c>
      <c r="C1760">
        <v>3723</v>
      </c>
      <c r="D1760" t="str">
        <f t="shared" si="49"/>
        <v xml:space="preserve">5011622     </v>
      </c>
      <c r="E1760" t="s">
        <v>8</v>
      </c>
      <c r="F1760" t="s">
        <v>11</v>
      </c>
      <c r="G1760">
        <v>176.99</v>
      </c>
      <c r="H1760">
        <v>250401</v>
      </c>
      <c r="I1760">
        <v>4841</v>
      </c>
      <c r="J1760" t="s">
        <v>9</v>
      </c>
      <c r="K1760">
        <v>9776.64</v>
      </c>
      <c r="L1760">
        <v>35.96</v>
      </c>
      <c r="M1760">
        <v>17809</v>
      </c>
      <c r="N1760" t="s">
        <v>25</v>
      </c>
      <c r="O1760">
        <v>250328</v>
      </c>
      <c r="P1760">
        <v>141.03</v>
      </c>
    </row>
    <row r="1761" spans="1:16" x14ac:dyDescent="0.25">
      <c r="A1761" t="s">
        <v>3296</v>
      </c>
      <c r="B1761" t="s">
        <v>2931</v>
      </c>
      <c r="C1761">
        <v>3723</v>
      </c>
      <c r="D1761" t="str">
        <f t="shared" si="49"/>
        <v xml:space="preserve">5011622     </v>
      </c>
      <c r="E1761" t="s">
        <v>8</v>
      </c>
      <c r="F1761" t="s">
        <v>11</v>
      </c>
      <c r="G1761">
        <v>81.93</v>
      </c>
      <c r="H1761">
        <v>250401</v>
      </c>
      <c r="I1761">
        <v>4841</v>
      </c>
      <c r="J1761" t="s">
        <v>9</v>
      </c>
      <c r="K1761">
        <v>9776.64</v>
      </c>
      <c r="L1761">
        <v>16.649999999999999</v>
      </c>
      <c r="M1761">
        <v>17913</v>
      </c>
      <c r="N1761" t="s">
        <v>26</v>
      </c>
      <c r="O1761">
        <v>250328</v>
      </c>
      <c r="P1761">
        <v>65.28</v>
      </c>
    </row>
    <row r="1762" spans="1:16" x14ac:dyDescent="0.25">
      <c r="A1762" t="s">
        <v>3296</v>
      </c>
      <c r="B1762" t="s">
        <v>2931</v>
      </c>
      <c r="C1762">
        <v>3723</v>
      </c>
      <c r="D1762" t="str">
        <f t="shared" si="49"/>
        <v xml:space="preserve">5011622     </v>
      </c>
      <c r="E1762" t="s">
        <v>8</v>
      </c>
      <c r="F1762" t="s">
        <v>11</v>
      </c>
      <c r="G1762">
        <v>219.91</v>
      </c>
      <c r="H1762">
        <v>250401</v>
      </c>
      <c r="I1762">
        <v>4841</v>
      </c>
      <c r="J1762" t="s">
        <v>9</v>
      </c>
      <c r="K1762">
        <v>9776.64</v>
      </c>
      <c r="L1762">
        <v>44.68</v>
      </c>
      <c r="M1762">
        <v>17971</v>
      </c>
      <c r="N1762" t="s">
        <v>27</v>
      </c>
      <c r="O1762">
        <v>250328</v>
      </c>
      <c r="P1762">
        <v>175.23</v>
      </c>
    </row>
    <row r="1763" spans="1:16" x14ac:dyDescent="0.25">
      <c r="A1763" t="s">
        <v>3296</v>
      </c>
      <c r="B1763" t="s">
        <v>2931</v>
      </c>
      <c r="C1763">
        <v>3723</v>
      </c>
      <c r="D1763" t="str">
        <f t="shared" si="49"/>
        <v xml:space="preserve">5011622     </v>
      </c>
      <c r="E1763" t="s">
        <v>8</v>
      </c>
      <c r="F1763" t="s">
        <v>11</v>
      </c>
      <c r="G1763">
        <v>154.44</v>
      </c>
      <c r="H1763">
        <v>250401</v>
      </c>
      <c r="I1763">
        <v>4841</v>
      </c>
      <c r="J1763" t="s">
        <v>9</v>
      </c>
      <c r="K1763">
        <v>9776.64</v>
      </c>
      <c r="L1763">
        <v>31.38</v>
      </c>
      <c r="M1763">
        <v>17972</v>
      </c>
      <c r="N1763" t="s">
        <v>28</v>
      </c>
      <c r="O1763">
        <v>250328</v>
      </c>
      <c r="P1763">
        <v>123.06</v>
      </c>
    </row>
    <row r="1764" spans="1:16" x14ac:dyDescent="0.25">
      <c r="A1764" t="s">
        <v>3296</v>
      </c>
      <c r="B1764" t="s">
        <v>2931</v>
      </c>
      <c r="C1764">
        <v>3723</v>
      </c>
      <c r="D1764" t="str">
        <f t="shared" si="49"/>
        <v xml:space="preserve">5011622     </v>
      </c>
      <c r="E1764" t="s">
        <v>8</v>
      </c>
      <c r="F1764" t="s">
        <v>11</v>
      </c>
      <c r="G1764">
        <v>74.569999999999993</v>
      </c>
      <c r="H1764">
        <v>250401</v>
      </c>
      <c r="I1764">
        <v>4841</v>
      </c>
      <c r="J1764" t="s">
        <v>9</v>
      </c>
      <c r="K1764">
        <v>9776.64</v>
      </c>
      <c r="L1764">
        <v>15.15</v>
      </c>
      <c r="M1764">
        <v>17975</v>
      </c>
      <c r="N1764" t="s">
        <v>29</v>
      </c>
      <c r="O1764">
        <v>250328</v>
      </c>
      <c r="P1764">
        <v>59.42</v>
      </c>
    </row>
    <row r="1765" spans="1:16" x14ac:dyDescent="0.25">
      <c r="A1765" t="s">
        <v>3296</v>
      </c>
      <c r="B1765" t="s">
        <v>2931</v>
      </c>
      <c r="C1765">
        <v>3731</v>
      </c>
      <c r="D1765" t="str">
        <f>"5011611     "</f>
        <v xml:space="preserve">5011611     </v>
      </c>
      <c r="E1765" t="s">
        <v>8</v>
      </c>
      <c r="F1765" t="s">
        <v>11</v>
      </c>
      <c r="G1765">
        <v>181.05</v>
      </c>
      <c r="H1765">
        <v>250401</v>
      </c>
      <c r="I1765">
        <v>4841</v>
      </c>
      <c r="J1765" t="s">
        <v>9</v>
      </c>
      <c r="K1765">
        <v>181.05</v>
      </c>
      <c r="L1765">
        <v>36.79</v>
      </c>
      <c r="M1765">
        <v>11401</v>
      </c>
      <c r="N1765" t="s">
        <v>91</v>
      </c>
      <c r="O1765">
        <v>250401</v>
      </c>
      <c r="P1765">
        <v>144.26</v>
      </c>
    </row>
    <row r="1766" spans="1:16" x14ac:dyDescent="0.25">
      <c r="A1766" t="s">
        <v>3296</v>
      </c>
      <c r="B1766" t="s">
        <v>2931</v>
      </c>
      <c r="C1766">
        <v>3738</v>
      </c>
      <c r="D1766" t="str">
        <f>"5011603     "</f>
        <v xml:space="preserve">5011603     </v>
      </c>
      <c r="E1766" t="s">
        <v>8</v>
      </c>
      <c r="F1766" t="s">
        <v>11</v>
      </c>
      <c r="G1766">
        <v>138.53</v>
      </c>
      <c r="H1766">
        <v>250401</v>
      </c>
      <c r="I1766">
        <v>4841</v>
      </c>
      <c r="J1766" t="s">
        <v>9</v>
      </c>
      <c r="K1766">
        <v>3329.99</v>
      </c>
      <c r="L1766">
        <v>28.15</v>
      </c>
      <c r="M1766">
        <v>56522</v>
      </c>
      <c r="N1766" t="s">
        <v>68</v>
      </c>
      <c r="O1766">
        <v>250401</v>
      </c>
      <c r="P1766">
        <v>110.38</v>
      </c>
    </row>
    <row r="1767" spans="1:16" x14ac:dyDescent="0.25">
      <c r="A1767" t="s">
        <v>3296</v>
      </c>
      <c r="B1767" t="s">
        <v>2931</v>
      </c>
      <c r="C1767">
        <v>3738</v>
      </c>
      <c r="D1767" t="str">
        <f>"5011603     "</f>
        <v xml:space="preserve">5011603     </v>
      </c>
      <c r="E1767" t="s">
        <v>8</v>
      </c>
      <c r="F1767" t="s">
        <v>11</v>
      </c>
      <c r="G1767">
        <v>2757.23</v>
      </c>
      <c r="H1767">
        <v>250401</v>
      </c>
      <c r="I1767">
        <v>4841</v>
      </c>
      <c r="J1767" t="s">
        <v>9</v>
      </c>
      <c r="K1767">
        <v>3329.99</v>
      </c>
      <c r="L1767">
        <v>560.23</v>
      </c>
      <c r="M1767">
        <v>56524</v>
      </c>
      <c r="N1767" t="s">
        <v>69</v>
      </c>
      <c r="O1767">
        <v>250401</v>
      </c>
      <c r="P1767">
        <v>2197</v>
      </c>
    </row>
    <row r="1768" spans="1:16" x14ac:dyDescent="0.25">
      <c r="A1768" t="s">
        <v>3296</v>
      </c>
      <c r="B1768" t="s">
        <v>2931</v>
      </c>
      <c r="C1768">
        <v>3738</v>
      </c>
      <c r="D1768" t="str">
        <f>"5011603     "</f>
        <v xml:space="preserve">5011603     </v>
      </c>
      <c r="E1768" t="s">
        <v>8</v>
      </c>
      <c r="F1768" t="s">
        <v>11</v>
      </c>
      <c r="G1768">
        <v>434.23</v>
      </c>
      <c r="H1768">
        <v>250401</v>
      </c>
      <c r="I1768">
        <v>4841</v>
      </c>
      <c r="J1768" t="s">
        <v>9</v>
      </c>
      <c r="K1768">
        <v>3329.99</v>
      </c>
      <c r="L1768">
        <v>88.23</v>
      </c>
      <c r="M1768">
        <v>56528</v>
      </c>
      <c r="N1768" t="s">
        <v>70</v>
      </c>
      <c r="O1768">
        <v>250401</v>
      </c>
      <c r="P1768">
        <v>346</v>
      </c>
    </row>
    <row r="1769" spans="1:16" x14ac:dyDescent="0.25">
      <c r="A1769" t="s">
        <v>3296</v>
      </c>
      <c r="B1769" t="s">
        <v>2931</v>
      </c>
      <c r="C1769">
        <v>3740</v>
      </c>
      <c r="D1769" t="str">
        <f t="shared" ref="D1769:D1780" si="50">"5011597     "</f>
        <v xml:space="preserve">5011597     </v>
      </c>
      <c r="E1769" t="s">
        <v>8</v>
      </c>
      <c r="F1769" t="s">
        <v>11</v>
      </c>
      <c r="G1769">
        <v>310.97000000000003</v>
      </c>
      <c r="H1769">
        <v>250401</v>
      </c>
      <c r="I1769">
        <v>4841</v>
      </c>
      <c r="J1769" t="s">
        <v>9</v>
      </c>
      <c r="K1769">
        <v>5423.88</v>
      </c>
      <c r="L1769">
        <v>63.19</v>
      </c>
      <c r="M1769">
        <v>11301</v>
      </c>
      <c r="N1769" t="s">
        <v>92</v>
      </c>
      <c r="O1769">
        <v>250401</v>
      </c>
      <c r="P1769">
        <v>247.78</v>
      </c>
    </row>
    <row r="1770" spans="1:16" x14ac:dyDescent="0.25">
      <c r="A1770" t="s">
        <v>3296</v>
      </c>
      <c r="B1770" t="s">
        <v>2931</v>
      </c>
      <c r="C1770">
        <v>3740</v>
      </c>
      <c r="D1770" t="str">
        <f t="shared" si="50"/>
        <v xml:space="preserve">5011597     </v>
      </c>
      <c r="E1770" t="s">
        <v>8</v>
      </c>
      <c r="F1770" t="s">
        <v>11</v>
      </c>
      <c r="G1770">
        <v>69.739999999999995</v>
      </c>
      <c r="H1770">
        <v>250401</v>
      </c>
      <c r="I1770">
        <v>4841</v>
      </c>
      <c r="J1770" t="s">
        <v>9</v>
      </c>
      <c r="K1770">
        <v>5423.88</v>
      </c>
      <c r="L1770">
        <v>14.17</v>
      </c>
      <c r="M1770">
        <v>65422</v>
      </c>
      <c r="N1770" t="s">
        <v>117</v>
      </c>
      <c r="O1770">
        <v>250401</v>
      </c>
      <c r="P1770">
        <v>55.57</v>
      </c>
    </row>
    <row r="1771" spans="1:16" x14ac:dyDescent="0.25">
      <c r="A1771" t="s">
        <v>3296</v>
      </c>
      <c r="B1771" t="s">
        <v>2931</v>
      </c>
      <c r="C1771">
        <v>3740</v>
      </c>
      <c r="D1771" t="str">
        <f t="shared" si="50"/>
        <v xml:space="preserve">5011597     </v>
      </c>
      <c r="E1771" t="s">
        <v>8</v>
      </c>
      <c r="F1771" t="s">
        <v>11</v>
      </c>
      <c r="G1771">
        <v>57.94</v>
      </c>
      <c r="H1771">
        <v>250401</v>
      </c>
      <c r="I1771">
        <v>4841</v>
      </c>
      <c r="J1771" t="s">
        <v>9</v>
      </c>
      <c r="K1771">
        <v>5423.88</v>
      </c>
      <c r="L1771">
        <v>11.77</v>
      </c>
      <c r="M1771">
        <v>66722</v>
      </c>
      <c r="N1771" t="s">
        <v>118</v>
      </c>
      <c r="O1771">
        <v>250401</v>
      </c>
      <c r="P1771">
        <v>46.17</v>
      </c>
    </row>
    <row r="1772" spans="1:16" x14ac:dyDescent="0.25">
      <c r="A1772" t="s">
        <v>3296</v>
      </c>
      <c r="B1772" t="s">
        <v>2931</v>
      </c>
      <c r="C1772">
        <v>3740</v>
      </c>
      <c r="D1772" t="str">
        <f t="shared" si="50"/>
        <v xml:space="preserve">5011597     </v>
      </c>
      <c r="E1772" t="s">
        <v>8</v>
      </c>
      <c r="F1772" t="s">
        <v>11</v>
      </c>
      <c r="G1772">
        <v>20.77</v>
      </c>
      <c r="H1772">
        <v>250401</v>
      </c>
      <c r="I1772">
        <v>4841</v>
      </c>
      <c r="J1772" t="s">
        <v>9</v>
      </c>
      <c r="K1772">
        <v>5423.88</v>
      </c>
      <c r="L1772">
        <v>4.22</v>
      </c>
      <c r="M1772">
        <v>66754</v>
      </c>
      <c r="N1772" t="s">
        <v>119</v>
      </c>
      <c r="O1772">
        <v>250401</v>
      </c>
      <c r="P1772">
        <v>16.55</v>
      </c>
    </row>
    <row r="1773" spans="1:16" x14ac:dyDescent="0.25">
      <c r="A1773" t="s">
        <v>3296</v>
      </c>
      <c r="B1773" t="s">
        <v>2931</v>
      </c>
      <c r="C1773">
        <v>3740</v>
      </c>
      <c r="D1773" t="str">
        <f t="shared" si="50"/>
        <v xml:space="preserve">5011597     </v>
      </c>
      <c r="E1773" t="s">
        <v>8</v>
      </c>
      <c r="F1773" t="s">
        <v>11</v>
      </c>
      <c r="G1773">
        <v>58.85</v>
      </c>
      <c r="H1773">
        <v>250401</v>
      </c>
      <c r="I1773">
        <v>4841</v>
      </c>
      <c r="J1773" t="s">
        <v>9</v>
      </c>
      <c r="K1773">
        <v>5423.88</v>
      </c>
      <c r="L1773">
        <v>11.96</v>
      </c>
      <c r="M1773">
        <v>66754</v>
      </c>
      <c r="N1773" t="s">
        <v>119</v>
      </c>
      <c r="O1773">
        <v>250401</v>
      </c>
      <c r="P1773">
        <v>46.89</v>
      </c>
    </row>
    <row r="1774" spans="1:16" x14ac:dyDescent="0.25">
      <c r="A1774" t="s">
        <v>3296</v>
      </c>
      <c r="B1774" t="s">
        <v>2931</v>
      </c>
      <c r="C1774">
        <v>3740</v>
      </c>
      <c r="D1774" t="str">
        <f t="shared" si="50"/>
        <v xml:space="preserve">5011597     </v>
      </c>
      <c r="E1774" t="s">
        <v>8</v>
      </c>
      <c r="F1774" t="s">
        <v>11</v>
      </c>
      <c r="G1774">
        <v>42.51</v>
      </c>
      <c r="H1774">
        <v>250401</v>
      </c>
      <c r="I1774">
        <v>4841</v>
      </c>
      <c r="J1774" t="s">
        <v>9</v>
      </c>
      <c r="K1774">
        <v>5423.88</v>
      </c>
      <c r="L1774">
        <v>8.64</v>
      </c>
      <c r="M1774">
        <v>66756</v>
      </c>
      <c r="N1774" t="s">
        <v>120</v>
      </c>
      <c r="O1774">
        <v>250401</v>
      </c>
      <c r="P1774">
        <v>33.869999999999997</v>
      </c>
    </row>
    <row r="1775" spans="1:16" x14ac:dyDescent="0.25">
      <c r="A1775" t="s">
        <v>3296</v>
      </c>
      <c r="B1775" t="s">
        <v>2931</v>
      </c>
      <c r="C1775">
        <v>3740</v>
      </c>
      <c r="D1775" t="str">
        <f t="shared" si="50"/>
        <v xml:space="preserve">5011597     </v>
      </c>
      <c r="E1775" t="s">
        <v>8</v>
      </c>
      <c r="F1775" t="s">
        <v>11</v>
      </c>
      <c r="G1775">
        <v>110.49</v>
      </c>
      <c r="H1775">
        <v>250401</v>
      </c>
      <c r="I1775">
        <v>4841</v>
      </c>
      <c r="J1775" t="s">
        <v>9</v>
      </c>
      <c r="K1775">
        <v>5423.88</v>
      </c>
      <c r="L1775">
        <v>22.45</v>
      </c>
      <c r="M1775">
        <v>67522</v>
      </c>
      <c r="N1775" t="s">
        <v>121</v>
      </c>
      <c r="O1775">
        <v>250401</v>
      </c>
      <c r="P1775">
        <v>88.04</v>
      </c>
    </row>
    <row r="1776" spans="1:16" x14ac:dyDescent="0.25">
      <c r="A1776" t="s">
        <v>3296</v>
      </c>
      <c r="B1776" t="s">
        <v>2931</v>
      </c>
      <c r="C1776">
        <v>3740</v>
      </c>
      <c r="D1776" t="str">
        <f t="shared" si="50"/>
        <v xml:space="preserve">5011597     </v>
      </c>
      <c r="E1776" t="s">
        <v>8</v>
      </c>
      <c r="F1776" t="s">
        <v>11</v>
      </c>
      <c r="G1776">
        <v>12.46</v>
      </c>
      <c r="H1776">
        <v>250401</v>
      </c>
      <c r="I1776">
        <v>4841</v>
      </c>
      <c r="J1776" t="s">
        <v>9</v>
      </c>
      <c r="K1776">
        <v>5423.88</v>
      </c>
      <c r="L1776">
        <v>2.5299999999999998</v>
      </c>
      <c r="M1776">
        <v>67522</v>
      </c>
      <c r="N1776" t="s">
        <v>121</v>
      </c>
      <c r="O1776">
        <v>250401</v>
      </c>
      <c r="P1776">
        <v>9.93</v>
      </c>
    </row>
    <row r="1777" spans="1:16" x14ac:dyDescent="0.25">
      <c r="A1777" t="s">
        <v>3296</v>
      </c>
      <c r="B1777" t="s">
        <v>2931</v>
      </c>
      <c r="C1777">
        <v>3740</v>
      </c>
      <c r="D1777" t="str">
        <f t="shared" si="50"/>
        <v xml:space="preserve">5011597     </v>
      </c>
      <c r="E1777" t="s">
        <v>8</v>
      </c>
      <c r="F1777" t="s">
        <v>11</v>
      </c>
      <c r="G1777">
        <v>46.9</v>
      </c>
      <c r="H1777">
        <v>250401</v>
      </c>
      <c r="I1777">
        <v>4841</v>
      </c>
      <c r="J1777" t="s">
        <v>9</v>
      </c>
      <c r="K1777">
        <v>5423.88</v>
      </c>
      <c r="L1777">
        <v>9.5299999999999994</v>
      </c>
      <c r="M1777">
        <v>69113</v>
      </c>
      <c r="N1777" t="s">
        <v>122</v>
      </c>
      <c r="O1777">
        <v>250401</v>
      </c>
      <c r="P1777">
        <v>37.369999999999997</v>
      </c>
    </row>
    <row r="1778" spans="1:16" x14ac:dyDescent="0.25">
      <c r="A1778" t="s">
        <v>3296</v>
      </c>
      <c r="B1778" t="s">
        <v>2931</v>
      </c>
      <c r="C1778">
        <v>3740</v>
      </c>
      <c r="D1778" t="str">
        <f t="shared" si="50"/>
        <v xml:space="preserve">5011597     </v>
      </c>
      <c r="E1778" t="s">
        <v>8</v>
      </c>
      <c r="F1778" t="s">
        <v>11</v>
      </c>
      <c r="G1778">
        <v>97.25</v>
      </c>
      <c r="H1778">
        <v>250401</v>
      </c>
      <c r="I1778">
        <v>4841</v>
      </c>
      <c r="J1778" t="s">
        <v>9</v>
      </c>
      <c r="K1778">
        <v>5423.88</v>
      </c>
      <c r="L1778">
        <v>19.760000000000002</v>
      </c>
      <c r="M1778">
        <v>69501</v>
      </c>
      <c r="N1778" t="s">
        <v>123</v>
      </c>
      <c r="O1778">
        <v>250401</v>
      </c>
      <c r="P1778">
        <v>77.489999999999995</v>
      </c>
    </row>
    <row r="1779" spans="1:16" x14ac:dyDescent="0.25">
      <c r="A1779" t="s">
        <v>3296</v>
      </c>
      <c r="B1779" t="s">
        <v>2931</v>
      </c>
      <c r="C1779">
        <v>3740</v>
      </c>
      <c r="D1779" t="str">
        <f t="shared" si="50"/>
        <v xml:space="preserve">5011597     </v>
      </c>
      <c r="E1779" t="s">
        <v>8</v>
      </c>
      <c r="F1779" t="s">
        <v>11</v>
      </c>
      <c r="G1779">
        <v>4462.93</v>
      </c>
      <c r="H1779">
        <v>250401</v>
      </c>
      <c r="I1779">
        <v>4841</v>
      </c>
      <c r="J1779" t="s">
        <v>9</v>
      </c>
      <c r="K1779">
        <v>5423.88</v>
      </c>
      <c r="L1779">
        <v>906.81</v>
      </c>
      <c r="M1779">
        <v>69702</v>
      </c>
      <c r="N1779" t="s">
        <v>124</v>
      </c>
      <c r="O1779">
        <v>250401</v>
      </c>
      <c r="P1779">
        <v>3556.12</v>
      </c>
    </row>
    <row r="1780" spans="1:16" x14ac:dyDescent="0.25">
      <c r="A1780" t="s">
        <v>3296</v>
      </c>
      <c r="B1780" t="s">
        <v>2931</v>
      </c>
      <c r="C1780">
        <v>3740</v>
      </c>
      <c r="D1780" t="str">
        <f t="shared" si="50"/>
        <v xml:space="preserve">5011597     </v>
      </c>
      <c r="E1780" t="s">
        <v>8</v>
      </c>
      <c r="F1780" t="s">
        <v>11</v>
      </c>
      <c r="G1780">
        <v>133.07</v>
      </c>
      <c r="H1780">
        <v>250401</v>
      </c>
      <c r="I1780">
        <v>4841</v>
      </c>
      <c r="J1780" t="s">
        <v>9</v>
      </c>
      <c r="K1780">
        <v>5423.88</v>
      </c>
      <c r="L1780">
        <v>27.04</v>
      </c>
      <c r="M1780">
        <v>69708</v>
      </c>
      <c r="N1780" t="s">
        <v>125</v>
      </c>
      <c r="O1780">
        <v>250401</v>
      </c>
      <c r="P1780">
        <v>106.03</v>
      </c>
    </row>
    <row r="1781" spans="1:16" x14ac:dyDescent="0.25">
      <c r="A1781" t="s">
        <v>3296</v>
      </c>
      <c r="B1781" t="s">
        <v>2931</v>
      </c>
      <c r="C1781">
        <v>3741</v>
      </c>
      <c r="D1781" t="str">
        <f>"5011591     "</f>
        <v xml:space="preserve">5011591     </v>
      </c>
      <c r="E1781" t="s">
        <v>8</v>
      </c>
      <c r="F1781" t="s">
        <v>11</v>
      </c>
      <c r="G1781">
        <v>94.73</v>
      </c>
      <c r="H1781">
        <v>250401</v>
      </c>
      <c r="I1781">
        <v>4841</v>
      </c>
      <c r="J1781" t="s">
        <v>9</v>
      </c>
      <c r="K1781">
        <v>94.73</v>
      </c>
      <c r="L1781">
        <v>19.25</v>
      </c>
      <c r="M1781">
        <v>11201</v>
      </c>
      <c r="N1781" t="s">
        <v>35</v>
      </c>
      <c r="O1781">
        <v>250401</v>
      </c>
      <c r="P1781">
        <v>75.48</v>
      </c>
    </row>
    <row r="1782" spans="1:16" x14ac:dyDescent="0.25">
      <c r="A1782" t="s">
        <v>3296</v>
      </c>
      <c r="B1782" t="s">
        <v>2931</v>
      </c>
      <c r="C1782">
        <v>3742</v>
      </c>
      <c r="D1782" t="str">
        <f>"5011604     "</f>
        <v xml:space="preserve">5011604     </v>
      </c>
      <c r="E1782" t="s">
        <v>8</v>
      </c>
      <c r="F1782" t="s">
        <v>11</v>
      </c>
      <c r="G1782">
        <v>1251.8900000000001</v>
      </c>
      <c r="H1782">
        <v>250401</v>
      </c>
      <c r="I1782">
        <v>4841</v>
      </c>
      <c r="J1782" t="s">
        <v>9</v>
      </c>
      <c r="K1782">
        <v>1251.8900000000001</v>
      </c>
      <c r="L1782">
        <v>254.37</v>
      </c>
      <c r="M1782">
        <v>11301</v>
      </c>
      <c r="N1782" t="s">
        <v>92</v>
      </c>
      <c r="O1782">
        <v>250401</v>
      </c>
      <c r="P1782">
        <v>997.52</v>
      </c>
    </row>
    <row r="1783" spans="1:16" x14ac:dyDescent="0.25">
      <c r="A1783" t="s">
        <v>3296</v>
      </c>
      <c r="B1783" t="s">
        <v>2931</v>
      </c>
      <c r="C1783">
        <v>3743</v>
      </c>
      <c r="D1783" t="str">
        <f>"5011599     "</f>
        <v xml:space="preserve">5011599     </v>
      </c>
      <c r="E1783" t="s">
        <v>8</v>
      </c>
      <c r="F1783" t="s">
        <v>11</v>
      </c>
      <c r="G1783">
        <v>1747.65</v>
      </c>
      <c r="H1783">
        <v>250401</v>
      </c>
      <c r="I1783">
        <v>4841</v>
      </c>
      <c r="J1783" t="s">
        <v>9</v>
      </c>
      <c r="K1783">
        <v>1747.65</v>
      </c>
      <c r="L1783">
        <v>355.1</v>
      </c>
      <c r="M1783">
        <v>11801</v>
      </c>
      <c r="N1783" t="s">
        <v>40</v>
      </c>
      <c r="O1783">
        <v>250401</v>
      </c>
      <c r="P1783">
        <v>1392.55</v>
      </c>
    </row>
    <row r="1784" spans="1:16" x14ac:dyDescent="0.25">
      <c r="A1784" t="s">
        <v>3296</v>
      </c>
      <c r="B1784" t="s">
        <v>2931</v>
      </c>
      <c r="C1784">
        <v>3745</v>
      </c>
      <c r="D1784" t="str">
        <f>"5011615     "</f>
        <v xml:space="preserve">5011615     </v>
      </c>
      <c r="E1784" t="s">
        <v>8</v>
      </c>
      <c r="F1784" t="s">
        <v>11</v>
      </c>
      <c r="G1784">
        <v>119.06</v>
      </c>
      <c r="H1784">
        <v>250401</v>
      </c>
      <c r="I1784">
        <v>4841</v>
      </c>
      <c r="J1784" t="s">
        <v>9</v>
      </c>
      <c r="K1784">
        <v>119.06</v>
      </c>
      <c r="L1784">
        <v>24.19</v>
      </c>
      <c r="M1784">
        <v>11001</v>
      </c>
      <c r="N1784" t="s">
        <v>93</v>
      </c>
      <c r="O1784">
        <v>250401</v>
      </c>
      <c r="P1784">
        <v>94.87</v>
      </c>
    </row>
    <row r="1785" spans="1:16" x14ac:dyDescent="0.25">
      <c r="A1785" t="s">
        <v>3296</v>
      </c>
      <c r="B1785" t="s">
        <v>2931</v>
      </c>
      <c r="C1785">
        <v>3749</v>
      </c>
      <c r="D1785" t="str">
        <f t="shared" ref="D1785:D1791" si="51">"5011596     "</f>
        <v xml:space="preserve">5011596     </v>
      </c>
      <c r="E1785" t="s">
        <v>8</v>
      </c>
      <c r="F1785" t="s">
        <v>11</v>
      </c>
      <c r="G1785">
        <v>787.07</v>
      </c>
      <c r="H1785">
        <v>250401</v>
      </c>
      <c r="I1785">
        <v>4841</v>
      </c>
      <c r="J1785" t="s">
        <v>9</v>
      </c>
      <c r="K1785">
        <v>2025.67</v>
      </c>
      <c r="L1785">
        <v>159.91999999999999</v>
      </c>
      <c r="M1785">
        <v>17131</v>
      </c>
      <c r="N1785" t="s">
        <v>154</v>
      </c>
      <c r="O1785">
        <v>250401</v>
      </c>
      <c r="P1785">
        <v>627.15</v>
      </c>
    </row>
    <row r="1786" spans="1:16" x14ac:dyDescent="0.25">
      <c r="A1786" t="s">
        <v>3296</v>
      </c>
      <c r="B1786" t="s">
        <v>2931</v>
      </c>
      <c r="C1786">
        <v>3749</v>
      </c>
      <c r="D1786" t="str">
        <f t="shared" si="51"/>
        <v xml:space="preserve">5011596     </v>
      </c>
      <c r="E1786" t="s">
        <v>8</v>
      </c>
      <c r="F1786" t="s">
        <v>11</v>
      </c>
      <c r="G1786">
        <v>71.92</v>
      </c>
      <c r="H1786">
        <v>250401</v>
      </c>
      <c r="I1786">
        <v>4841</v>
      </c>
      <c r="J1786" t="s">
        <v>9</v>
      </c>
      <c r="K1786">
        <v>2025.67</v>
      </c>
      <c r="L1786">
        <v>14.61</v>
      </c>
      <c r="M1786">
        <v>17132</v>
      </c>
      <c r="N1786" t="s">
        <v>174</v>
      </c>
      <c r="O1786">
        <v>250401</v>
      </c>
      <c r="P1786">
        <v>57.31</v>
      </c>
    </row>
    <row r="1787" spans="1:16" x14ac:dyDescent="0.25">
      <c r="A1787" t="s">
        <v>3296</v>
      </c>
      <c r="B1787" t="s">
        <v>2931</v>
      </c>
      <c r="C1787">
        <v>3749</v>
      </c>
      <c r="D1787" t="str">
        <f t="shared" si="51"/>
        <v xml:space="preserve">5011596     </v>
      </c>
      <c r="E1787" t="s">
        <v>8</v>
      </c>
      <c r="F1787" t="s">
        <v>11</v>
      </c>
      <c r="G1787">
        <v>414.28</v>
      </c>
      <c r="H1787">
        <v>250401</v>
      </c>
      <c r="I1787">
        <v>4841</v>
      </c>
      <c r="J1787" t="s">
        <v>9</v>
      </c>
      <c r="K1787">
        <v>2025.67</v>
      </c>
      <c r="L1787">
        <v>84.18</v>
      </c>
      <c r="M1787">
        <v>17711</v>
      </c>
      <c r="N1787" t="s">
        <v>155</v>
      </c>
      <c r="O1787">
        <v>250401</v>
      </c>
      <c r="P1787">
        <v>330.1</v>
      </c>
    </row>
    <row r="1788" spans="1:16" x14ac:dyDescent="0.25">
      <c r="A1788" t="s">
        <v>3296</v>
      </c>
      <c r="B1788" t="s">
        <v>2931</v>
      </c>
      <c r="C1788">
        <v>3749</v>
      </c>
      <c r="D1788" t="str">
        <f t="shared" si="51"/>
        <v xml:space="preserve">5011596     </v>
      </c>
      <c r="E1788" t="s">
        <v>8</v>
      </c>
      <c r="F1788" t="s">
        <v>11</v>
      </c>
      <c r="G1788">
        <v>82.86</v>
      </c>
      <c r="H1788">
        <v>250401</v>
      </c>
      <c r="I1788">
        <v>4841</v>
      </c>
      <c r="J1788" t="s">
        <v>9</v>
      </c>
      <c r="K1788">
        <v>2025.67</v>
      </c>
      <c r="L1788">
        <v>16.84</v>
      </c>
      <c r="M1788">
        <v>17737</v>
      </c>
      <c r="N1788" t="s">
        <v>156</v>
      </c>
      <c r="O1788">
        <v>250401</v>
      </c>
      <c r="P1788">
        <v>66.02</v>
      </c>
    </row>
    <row r="1789" spans="1:16" x14ac:dyDescent="0.25">
      <c r="A1789" t="s">
        <v>3296</v>
      </c>
      <c r="B1789" t="s">
        <v>2931</v>
      </c>
      <c r="C1789">
        <v>3749</v>
      </c>
      <c r="D1789" t="str">
        <f t="shared" si="51"/>
        <v xml:space="preserve">5011596     </v>
      </c>
      <c r="E1789" t="s">
        <v>8</v>
      </c>
      <c r="F1789" t="s">
        <v>11</v>
      </c>
      <c r="G1789">
        <v>342.95</v>
      </c>
      <c r="H1789">
        <v>250401</v>
      </c>
      <c r="I1789">
        <v>4841</v>
      </c>
      <c r="J1789" t="s">
        <v>9</v>
      </c>
      <c r="K1789">
        <v>2025.67</v>
      </c>
      <c r="L1789">
        <v>69.680000000000007</v>
      </c>
      <c r="M1789">
        <v>17952</v>
      </c>
      <c r="N1789" t="s">
        <v>157</v>
      </c>
      <c r="O1789">
        <v>250401</v>
      </c>
      <c r="P1789">
        <v>273.27</v>
      </c>
    </row>
    <row r="1790" spans="1:16" x14ac:dyDescent="0.25">
      <c r="A1790" t="s">
        <v>3296</v>
      </c>
      <c r="B1790" t="s">
        <v>2931</v>
      </c>
      <c r="C1790">
        <v>3749</v>
      </c>
      <c r="D1790" t="str">
        <f t="shared" si="51"/>
        <v xml:space="preserve">5011596     </v>
      </c>
      <c r="E1790" t="s">
        <v>8</v>
      </c>
      <c r="F1790" t="s">
        <v>11</v>
      </c>
      <c r="G1790">
        <v>82.86</v>
      </c>
      <c r="H1790">
        <v>250401</v>
      </c>
      <c r="I1790">
        <v>4841</v>
      </c>
      <c r="J1790" t="s">
        <v>9</v>
      </c>
      <c r="K1790">
        <v>2025.67</v>
      </c>
      <c r="L1790">
        <v>16.84</v>
      </c>
      <c r="M1790">
        <v>17971</v>
      </c>
      <c r="N1790" t="s">
        <v>27</v>
      </c>
      <c r="O1790">
        <v>250401</v>
      </c>
      <c r="P1790">
        <v>66.02</v>
      </c>
    </row>
    <row r="1791" spans="1:16" x14ac:dyDescent="0.25">
      <c r="A1791" t="s">
        <v>3296</v>
      </c>
      <c r="B1791" t="s">
        <v>2931</v>
      </c>
      <c r="C1791">
        <v>3749</v>
      </c>
      <c r="D1791" t="str">
        <f t="shared" si="51"/>
        <v xml:space="preserve">5011596     </v>
      </c>
      <c r="E1791" t="s">
        <v>8</v>
      </c>
      <c r="F1791" t="s">
        <v>11</v>
      </c>
      <c r="G1791">
        <v>243.73</v>
      </c>
      <c r="H1791">
        <v>250401</v>
      </c>
      <c r="I1791">
        <v>4841</v>
      </c>
      <c r="J1791" t="s">
        <v>9</v>
      </c>
      <c r="K1791">
        <v>2025.67</v>
      </c>
      <c r="L1791">
        <v>49.52</v>
      </c>
      <c r="M1791">
        <v>17972</v>
      </c>
      <c r="N1791" t="s">
        <v>28</v>
      </c>
      <c r="O1791">
        <v>250401</v>
      </c>
      <c r="P1791">
        <v>194.21</v>
      </c>
    </row>
    <row r="1792" spans="1:16" x14ac:dyDescent="0.25">
      <c r="A1792" t="s">
        <v>3296</v>
      </c>
      <c r="B1792" t="s">
        <v>2931</v>
      </c>
      <c r="C1792">
        <v>3751</v>
      </c>
      <c r="D1792" t="str">
        <f>"5011606     "</f>
        <v xml:space="preserve">5011606     </v>
      </c>
      <c r="E1792" t="s">
        <v>8</v>
      </c>
      <c r="F1792" t="s">
        <v>11</v>
      </c>
      <c r="G1792">
        <v>1826.22</v>
      </c>
      <c r="H1792">
        <v>250401</v>
      </c>
      <c r="I1792">
        <v>4841</v>
      </c>
      <c r="J1792" t="s">
        <v>9</v>
      </c>
      <c r="K1792">
        <v>2384.88</v>
      </c>
      <c r="L1792">
        <v>371.06</v>
      </c>
      <c r="M1792">
        <v>13801</v>
      </c>
      <c r="N1792" t="s">
        <v>33</v>
      </c>
      <c r="O1792">
        <v>250401</v>
      </c>
      <c r="P1792">
        <v>1455.16</v>
      </c>
    </row>
    <row r="1793" spans="1:16" x14ac:dyDescent="0.25">
      <c r="A1793" t="s">
        <v>3296</v>
      </c>
      <c r="B1793" t="s">
        <v>2931</v>
      </c>
      <c r="C1793">
        <v>3751</v>
      </c>
      <c r="D1793" t="str">
        <f>"5011606     "</f>
        <v xml:space="preserve">5011606     </v>
      </c>
      <c r="E1793" t="s">
        <v>8</v>
      </c>
      <c r="F1793" t="s">
        <v>11</v>
      </c>
      <c r="G1793">
        <v>408.97</v>
      </c>
      <c r="H1793">
        <v>250401</v>
      </c>
      <c r="I1793">
        <v>4841</v>
      </c>
      <c r="J1793" t="s">
        <v>9</v>
      </c>
      <c r="K1793">
        <v>2384.88</v>
      </c>
      <c r="L1793">
        <v>83.1</v>
      </c>
      <c r="M1793">
        <v>13801</v>
      </c>
      <c r="N1793" t="s">
        <v>33</v>
      </c>
      <c r="O1793">
        <v>250401</v>
      </c>
      <c r="P1793">
        <v>325.87</v>
      </c>
    </row>
    <row r="1794" spans="1:16" x14ac:dyDescent="0.25">
      <c r="A1794" t="s">
        <v>3296</v>
      </c>
      <c r="B1794" t="s">
        <v>2931</v>
      </c>
      <c r="C1794">
        <v>3751</v>
      </c>
      <c r="D1794" t="str">
        <f>"5011606     "</f>
        <v xml:space="preserve">5011606     </v>
      </c>
      <c r="E1794" t="s">
        <v>8</v>
      </c>
      <c r="F1794" t="s">
        <v>11</v>
      </c>
      <c r="G1794">
        <v>149.69</v>
      </c>
      <c r="H1794">
        <v>250401</v>
      </c>
      <c r="I1794">
        <v>4841</v>
      </c>
      <c r="J1794" t="s">
        <v>9</v>
      </c>
      <c r="K1794">
        <v>2384.88</v>
      </c>
      <c r="L1794">
        <v>30.42</v>
      </c>
      <c r="M1794">
        <v>13802</v>
      </c>
      <c r="N1794" t="s">
        <v>34</v>
      </c>
      <c r="O1794">
        <v>250401</v>
      </c>
      <c r="P1794">
        <v>119.27</v>
      </c>
    </row>
    <row r="1795" spans="1:16" x14ac:dyDescent="0.25">
      <c r="A1795" t="s">
        <v>3296</v>
      </c>
      <c r="B1795" t="s">
        <v>2931</v>
      </c>
      <c r="C1795">
        <v>3752</v>
      </c>
      <c r="D1795" t="str">
        <f>"5011595     "</f>
        <v xml:space="preserve">5011595     </v>
      </c>
      <c r="E1795" t="s">
        <v>8</v>
      </c>
      <c r="F1795" t="s">
        <v>11</v>
      </c>
      <c r="G1795">
        <v>1194.8699999999999</v>
      </c>
      <c r="H1795">
        <v>250401</v>
      </c>
      <c r="I1795">
        <v>4841</v>
      </c>
      <c r="J1795" t="s">
        <v>9</v>
      </c>
      <c r="K1795">
        <v>1312.1</v>
      </c>
      <c r="L1795">
        <v>242.78</v>
      </c>
      <c r="M1795">
        <v>13601</v>
      </c>
      <c r="N1795" t="s">
        <v>115</v>
      </c>
      <c r="O1795">
        <v>250401</v>
      </c>
      <c r="P1795">
        <v>952.09</v>
      </c>
    </row>
    <row r="1796" spans="1:16" x14ac:dyDescent="0.25">
      <c r="A1796" t="s">
        <v>3296</v>
      </c>
      <c r="B1796" t="s">
        <v>2931</v>
      </c>
      <c r="C1796">
        <v>3752</v>
      </c>
      <c r="D1796" t="str">
        <f>"5011595     "</f>
        <v xml:space="preserve">5011595     </v>
      </c>
      <c r="E1796" t="s">
        <v>8</v>
      </c>
      <c r="F1796" t="s">
        <v>11</v>
      </c>
      <c r="G1796">
        <v>103.37</v>
      </c>
      <c r="H1796">
        <v>250401</v>
      </c>
      <c r="I1796">
        <v>4841</v>
      </c>
      <c r="J1796" t="s">
        <v>9</v>
      </c>
      <c r="K1796">
        <v>1312.1</v>
      </c>
      <c r="L1796">
        <v>21</v>
      </c>
      <c r="M1796">
        <v>13601</v>
      </c>
      <c r="N1796" t="s">
        <v>115</v>
      </c>
      <c r="O1796">
        <v>250401</v>
      </c>
      <c r="P1796">
        <v>82.37</v>
      </c>
    </row>
    <row r="1797" spans="1:16" x14ac:dyDescent="0.25">
      <c r="A1797" t="s">
        <v>3296</v>
      </c>
      <c r="B1797" t="s">
        <v>2931</v>
      </c>
      <c r="C1797">
        <v>3752</v>
      </c>
      <c r="D1797" t="str">
        <f>"5011595     "</f>
        <v xml:space="preserve">5011595     </v>
      </c>
      <c r="E1797" t="s">
        <v>8</v>
      </c>
      <c r="F1797" t="s">
        <v>11</v>
      </c>
      <c r="G1797">
        <v>13.86</v>
      </c>
      <c r="H1797">
        <v>250401</v>
      </c>
      <c r="I1797">
        <v>4841</v>
      </c>
      <c r="J1797" t="s">
        <v>9</v>
      </c>
      <c r="K1797">
        <v>1312.1</v>
      </c>
      <c r="L1797">
        <v>2.82</v>
      </c>
      <c r="M1797">
        <v>13801</v>
      </c>
      <c r="N1797" t="s">
        <v>33</v>
      </c>
      <c r="O1797">
        <v>250401</v>
      </c>
      <c r="P1797">
        <v>11.04</v>
      </c>
    </row>
    <row r="1798" spans="1:16" x14ac:dyDescent="0.25">
      <c r="A1798" t="s">
        <v>3296</v>
      </c>
      <c r="B1798" t="s">
        <v>2931</v>
      </c>
      <c r="C1798">
        <v>3756</v>
      </c>
      <c r="D1798" t="str">
        <f>"5011608     "</f>
        <v xml:space="preserve">5011608     </v>
      </c>
      <c r="E1798" t="s">
        <v>8</v>
      </c>
      <c r="F1798" t="s">
        <v>11</v>
      </c>
      <c r="G1798">
        <v>392.75</v>
      </c>
      <c r="H1798">
        <v>250401</v>
      </c>
      <c r="I1798">
        <v>4841</v>
      </c>
      <c r="J1798" t="s">
        <v>9</v>
      </c>
      <c r="K1798">
        <v>392.75</v>
      </c>
      <c r="L1798">
        <v>79.8</v>
      </c>
      <c r="M1798">
        <v>11601</v>
      </c>
      <c r="N1798" t="s">
        <v>12</v>
      </c>
      <c r="O1798">
        <v>250401</v>
      </c>
      <c r="P1798">
        <v>312.95</v>
      </c>
    </row>
    <row r="1799" spans="1:16" x14ac:dyDescent="0.25">
      <c r="A1799" t="s">
        <v>3296</v>
      </c>
      <c r="B1799" t="s">
        <v>2931</v>
      </c>
      <c r="C1799">
        <v>3758</v>
      </c>
      <c r="D1799" t="str">
        <f>"5011593     "</f>
        <v xml:space="preserve">5011593     </v>
      </c>
      <c r="E1799" t="s">
        <v>8</v>
      </c>
      <c r="F1799" t="s">
        <v>11</v>
      </c>
      <c r="G1799">
        <v>161.16999999999999</v>
      </c>
      <c r="H1799">
        <v>250401</v>
      </c>
      <c r="I1799">
        <v>4841</v>
      </c>
      <c r="J1799" t="s">
        <v>9</v>
      </c>
      <c r="K1799">
        <v>289.99</v>
      </c>
      <c r="L1799">
        <v>32.75</v>
      </c>
      <c r="M1799">
        <v>17538</v>
      </c>
      <c r="N1799" t="s">
        <v>129</v>
      </c>
      <c r="O1799">
        <v>250401</v>
      </c>
      <c r="P1799">
        <v>128.41999999999999</v>
      </c>
    </row>
    <row r="1800" spans="1:16" x14ac:dyDescent="0.25">
      <c r="A1800" t="s">
        <v>3296</v>
      </c>
      <c r="B1800" t="s">
        <v>2931</v>
      </c>
      <c r="C1800">
        <v>3758</v>
      </c>
      <c r="D1800" t="str">
        <f>"5011593     "</f>
        <v xml:space="preserve">5011593     </v>
      </c>
      <c r="E1800" t="s">
        <v>8</v>
      </c>
      <c r="F1800" t="s">
        <v>11</v>
      </c>
      <c r="G1800">
        <v>68.8</v>
      </c>
      <c r="H1800">
        <v>250401</v>
      </c>
      <c r="I1800">
        <v>4841</v>
      </c>
      <c r="J1800" t="s">
        <v>9</v>
      </c>
      <c r="K1800">
        <v>289.99</v>
      </c>
      <c r="L1800">
        <v>13.98</v>
      </c>
      <c r="M1800">
        <v>17808</v>
      </c>
      <c r="N1800" t="s">
        <v>24</v>
      </c>
      <c r="O1800">
        <v>250401</v>
      </c>
      <c r="P1800">
        <v>54.82</v>
      </c>
    </row>
    <row r="1801" spans="1:16" x14ac:dyDescent="0.25">
      <c r="A1801" t="s">
        <v>3296</v>
      </c>
      <c r="B1801" t="s">
        <v>2931</v>
      </c>
      <c r="C1801">
        <v>3758</v>
      </c>
      <c r="D1801" t="str">
        <f>"5011593     "</f>
        <v xml:space="preserve">5011593     </v>
      </c>
      <c r="E1801" t="s">
        <v>8</v>
      </c>
      <c r="F1801" t="s">
        <v>11</v>
      </c>
      <c r="G1801">
        <v>60.02</v>
      </c>
      <c r="H1801">
        <v>250401</v>
      </c>
      <c r="I1801">
        <v>4841</v>
      </c>
      <c r="J1801" t="s">
        <v>9</v>
      </c>
      <c r="K1801">
        <v>289.99</v>
      </c>
      <c r="L1801">
        <v>12.2</v>
      </c>
      <c r="M1801">
        <v>17951</v>
      </c>
      <c r="N1801" t="s">
        <v>207</v>
      </c>
      <c r="O1801">
        <v>250401</v>
      </c>
      <c r="P1801">
        <v>47.82</v>
      </c>
    </row>
    <row r="1802" spans="1:16" x14ac:dyDescent="0.25">
      <c r="A1802" t="s">
        <v>3296</v>
      </c>
      <c r="B1802" t="s">
        <v>2931</v>
      </c>
      <c r="C1802">
        <v>3759</v>
      </c>
      <c r="D1802" t="str">
        <f>"5011614     "</f>
        <v xml:space="preserve">5011614     </v>
      </c>
      <c r="E1802" t="s">
        <v>8</v>
      </c>
      <c r="F1802" t="s">
        <v>11</v>
      </c>
      <c r="G1802">
        <v>88.84</v>
      </c>
      <c r="H1802">
        <v>250401</v>
      </c>
      <c r="I1802">
        <v>4841</v>
      </c>
      <c r="J1802" t="s">
        <v>9</v>
      </c>
      <c r="K1802">
        <v>330.81</v>
      </c>
      <c r="L1802">
        <v>18.05</v>
      </c>
      <c r="M1802">
        <v>11501</v>
      </c>
      <c r="N1802" t="s">
        <v>13</v>
      </c>
      <c r="O1802">
        <v>250401</v>
      </c>
      <c r="P1802">
        <v>70.790000000000006</v>
      </c>
    </row>
    <row r="1803" spans="1:16" x14ac:dyDescent="0.25">
      <c r="A1803" t="s">
        <v>3296</v>
      </c>
      <c r="B1803" t="s">
        <v>2931</v>
      </c>
      <c r="C1803">
        <v>3759</v>
      </c>
      <c r="D1803" t="str">
        <f>"5011614     "</f>
        <v xml:space="preserve">5011614     </v>
      </c>
      <c r="E1803" t="s">
        <v>8</v>
      </c>
      <c r="F1803" t="s">
        <v>11</v>
      </c>
      <c r="G1803">
        <v>241.97</v>
      </c>
      <c r="H1803">
        <v>250401</v>
      </c>
      <c r="I1803">
        <v>4841</v>
      </c>
      <c r="J1803" t="s">
        <v>9</v>
      </c>
      <c r="K1803">
        <v>330.81</v>
      </c>
      <c r="L1803">
        <v>49.17</v>
      </c>
      <c r="M1803">
        <v>11501</v>
      </c>
      <c r="N1803" t="s">
        <v>13</v>
      </c>
      <c r="O1803">
        <v>250401</v>
      </c>
      <c r="P1803">
        <v>192.8</v>
      </c>
    </row>
    <row r="1804" spans="1:16" x14ac:dyDescent="0.25">
      <c r="A1804" t="s">
        <v>3296</v>
      </c>
      <c r="B1804" t="s">
        <v>2931</v>
      </c>
      <c r="C1804">
        <v>3765</v>
      </c>
      <c r="D1804" t="str">
        <f>"5011610     "</f>
        <v xml:space="preserve">5011610     </v>
      </c>
      <c r="E1804" t="s">
        <v>8</v>
      </c>
      <c r="F1804" t="s">
        <v>11</v>
      </c>
      <c r="G1804">
        <v>5455.53</v>
      </c>
      <c r="H1804">
        <v>250401</v>
      </c>
      <c r="I1804">
        <v>4841</v>
      </c>
      <c r="J1804" t="s">
        <v>9</v>
      </c>
      <c r="K1804">
        <v>5745.64</v>
      </c>
      <c r="L1804">
        <v>1108.49</v>
      </c>
      <c r="M1804">
        <v>13401</v>
      </c>
      <c r="N1804" t="s">
        <v>10</v>
      </c>
      <c r="O1804">
        <v>250401</v>
      </c>
      <c r="P1804">
        <v>4347.04</v>
      </c>
    </row>
    <row r="1805" spans="1:16" x14ac:dyDescent="0.25">
      <c r="A1805" t="s">
        <v>3296</v>
      </c>
      <c r="B1805" t="s">
        <v>2931</v>
      </c>
      <c r="C1805">
        <v>3765</v>
      </c>
      <c r="D1805" t="str">
        <f>"5011610     "</f>
        <v xml:space="preserve">5011610     </v>
      </c>
      <c r="E1805" t="s">
        <v>8</v>
      </c>
      <c r="F1805" t="s">
        <v>11</v>
      </c>
      <c r="G1805">
        <v>223.16</v>
      </c>
      <c r="H1805">
        <v>250401</v>
      </c>
      <c r="I1805">
        <v>4841</v>
      </c>
      <c r="J1805" t="s">
        <v>9</v>
      </c>
      <c r="K1805">
        <v>5745.64</v>
      </c>
      <c r="L1805">
        <v>45.34</v>
      </c>
      <c r="M1805">
        <v>13401</v>
      </c>
      <c r="N1805" t="s">
        <v>10</v>
      </c>
      <c r="O1805">
        <v>250401</v>
      </c>
      <c r="P1805">
        <v>177.82</v>
      </c>
    </row>
    <row r="1806" spans="1:16" x14ac:dyDescent="0.25">
      <c r="A1806" t="s">
        <v>3296</v>
      </c>
      <c r="B1806" t="s">
        <v>2931</v>
      </c>
      <c r="C1806">
        <v>3765</v>
      </c>
      <c r="D1806" t="str">
        <f>"5011610     "</f>
        <v xml:space="preserve">5011610     </v>
      </c>
      <c r="E1806" t="s">
        <v>8</v>
      </c>
      <c r="F1806" t="s">
        <v>11</v>
      </c>
      <c r="G1806">
        <v>66.95</v>
      </c>
      <c r="H1806">
        <v>250401</v>
      </c>
      <c r="I1806">
        <v>4841</v>
      </c>
      <c r="J1806" t="s">
        <v>9</v>
      </c>
      <c r="K1806">
        <v>5745.64</v>
      </c>
      <c r="L1806">
        <v>13.6</v>
      </c>
      <c r="M1806">
        <v>13401</v>
      </c>
      <c r="N1806" t="s">
        <v>10</v>
      </c>
      <c r="O1806">
        <v>250401</v>
      </c>
      <c r="P1806">
        <v>53.35</v>
      </c>
    </row>
    <row r="1807" spans="1:16" x14ac:dyDescent="0.25">
      <c r="A1807" t="s">
        <v>3296</v>
      </c>
      <c r="B1807" t="s">
        <v>2931</v>
      </c>
      <c r="C1807">
        <v>3766</v>
      </c>
      <c r="D1807" t="str">
        <f t="shared" ref="D1807:D1814" si="52">"5011592     "</f>
        <v xml:space="preserve">5011592     </v>
      </c>
      <c r="E1807" t="s">
        <v>8</v>
      </c>
      <c r="F1807" t="s">
        <v>11</v>
      </c>
      <c r="G1807">
        <v>273.04000000000002</v>
      </c>
      <c r="H1807">
        <v>250401</v>
      </c>
      <c r="I1807">
        <v>4841</v>
      </c>
      <c r="J1807" t="s">
        <v>9</v>
      </c>
      <c r="K1807">
        <v>1416.43</v>
      </c>
      <c r="L1807">
        <v>55.48</v>
      </c>
      <c r="M1807">
        <v>11900</v>
      </c>
      <c r="N1807" t="s">
        <v>30</v>
      </c>
      <c r="O1807">
        <v>250401</v>
      </c>
      <c r="P1807">
        <v>217.56</v>
      </c>
    </row>
    <row r="1808" spans="1:16" x14ac:dyDescent="0.25">
      <c r="A1808" t="s">
        <v>3296</v>
      </c>
      <c r="B1808" t="s">
        <v>2931</v>
      </c>
      <c r="C1808">
        <v>3766</v>
      </c>
      <c r="D1808" t="str">
        <f t="shared" si="52"/>
        <v xml:space="preserve">5011592     </v>
      </c>
      <c r="E1808" t="s">
        <v>8</v>
      </c>
      <c r="F1808" t="s">
        <v>11</v>
      </c>
      <c r="G1808">
        <v>354.98</v>
      </c>
      <c r="H1808">
        <v>250401</v>
      </c>
      <c r="I1808">
        <v>4841</v>
      </c>
      <c r="J1808" t="s">
        <v>9</v>
      </c>
      <c r="K1808">
        <v>1416.43</v>
      </c>
      <c r="L1808">
        <v>72.13</v>
      </c>
      <c r="M1808">
        <v>11901</v>
      </c>
      <c r="N1808" t="s">
        <v>31</v>
      </c>
      <c r="O1808">
        <v>250401</v>
      </c>
      <c r="P1808">
        <v>282.85000000000002</v>
      </c>
    </row>
    <row r="1809" spans="1:16" x14ac:dyDescent="0.25">
      <c r="A1809" t="s">
        <v>3296</v>
      </c>
      <c r="B1809" t="s">
        <v>2931</v>
      </c>
      <c r="C1809">
        <v>3766</v>
      </c>
      <c r="D1809" t="str">
        <f t="shared" si="52"/>
        <v xml:space="preserve">5011592     </v>
      </c>
      <c r="E1809" t="s">
        <v>8</v>
      </c>
      <c r="F1809" t="s">
        <v>11</v>
      </c>
      <c r="G1809">
        <v>209.96</v>
      </c>
      <c r="H1809">
        <v>250401</v>
      </c>
      <c r="I1809">
        <v>4841</v>
      </c>
      <c r="J1809" t="s">
        <v>9</v>
      </c>
      <c r="K1809">
        <v>1416.43</v>
      </c>
      <c r="L1809">
        <v>42.66</v>
      </c>
      <c r="M1809">
        <v>11903</v>
      </c>
      <c r="N1809" t="s">
        <v>32</v>
      </c>
      <c r="O1809">
        <v>250401</v>
      </c>
      <c r="P1809">
        <v>167.3</v>
      </c>
    </row>
    <row r="1810" spans="1:16" x14ac:dyDescent="0.25">
      <c r="A1810" t="s">
        <v>3296</v>
      </c>
      <c r="B1810" t="s">
        <v>2931</v>
      </c>
      <c r="C1810">
        <v>3766</v>
      </c>
      <c r="D1810" t="str">
        <f t="shared" si="52"/>
        <v xml:space="preserve">5011592     </v>
      </c>
      <c r="E1810" t="s">
        <v>8</v>
      </c>
      <c r="F1810" t="s">
        <v>11</v>
      </c>
      <c r="G1810">
        <v>328.02</v>
      </c>
      <c r="H1810">
        <v>250401</v>
      </c>
      <c r="I1810">
        <v>4841</v>
      </c>
      <c r="J1810" t="s">
        <v>9</v>
      </c>
      <c r="K1810">
        <v>1416.43</v>
      </c>
      <c r="L1810">
        <v>66.650000000000006</v>
      </c>
      <c r="M1810">
        <v>11903</v>
      </c>
      <c r="N1810" t="s">
        <v>32</v>
      </c>
      <c r="O1810">
        <v>250401</v>
      </c>
      <c r="P1810">
        <v>261.37</v>
      </c>
    </row>
    <row r="1811" spans="1:16" x14ac:dyDescent="0.25">
      <c r="A1811" t="s">
        <v>3296</v>
      </c>
      <c r="B1811" t="s">
        <v>2931</v>
      </c>
      <c r="C1811">
        <v>3766</v>
      </c>
      <c r="D1811" t="str">
        <f t="shared" si="52"/>
        <v xml:space="preserve">5011592     </v>
      </c>
      <c r="E1811" t="s">
        <v>8</v>
      </c>
      <c r="F1811" t="s">
        <v>11</v>
      </c>
      <c r="G1811">
        <v>85.18</v>
      </c>
      <c r="H1811">
        <v>250401</v>
      </c>
      <c r="I1811">
        <v>4841</v>
      </c>
      <c r="J1811" t="s">
        <v>9</v>
      </c>
      <c r="K1811">
        <v>1416.43</v>
      </c>
      <c r="L1811">
        <v>17.309999999999999</v>
      </c>
      <c r="M1811">
        <v>11903</v>
      </c>
      <c r="N1811" t="s">
        <v>32</v>
      </c>
      <c r="O1811">
        <v>250401</v>
      </c>
      <c r="P1811">
        <v>67.87</v>
      </c>
    </row>
    <row r="1812" spans="1:16" x14ac:dyDescent="0.25">
      <c r="A1812" t="s">
        <v>3296</v>
      </c>
      <c r="B1812" t="s">
        <v>2931</v>
      </c>
      <c r="C1812">
        <v>3766</v>
      </c>
      <c r="D1812" t="str">
        <f t="shared" si="52"/>
        <v xml:space="preserve">5011592     </v>
      </c>
      <c r="E1812" t="s">
        <v>8</v>
      </c>
      <c r="F1812" t="s">
        <v>11</v>
      </c>
      <c r="G1812">
        <v>16.16</v>
      </c>
      <c r="H1812">
        <v>250401</v>
      </c>
      <c r="I1812">
        <v>4841</v>
      </c>
      <c r="J1812" t="s">
        <v>9</v>
      </c>
      <c r="K1812">
        <v>1416.43</v>
      </c>
      <c r="L1812">
        <v>3.28</v>
      </c>
      <c r="M1812">
        <v>11903</v>
      </c>
      <c r="N1812" t="s">
        <v>32</v>
      </c>
      <c r="O1812">
        <v>250401</v>
      </c>
      <c r="P1812">
        <v>12.88</v>
      </c>
    </row>
    <row r="1813" spans="1:16" x14ac:dyDescent="0.25">
      <c r="A1813" t="s">
        <v>3296</v>
      </c>
      <c r="B1813" t="s">
        <v>2931</v>
      </c>
      <c r="C1813">
        <v>3766</v>
      </c>
      <c r="D1813" t="str">
        <f t="shared" si="52"/>
        <v xml:space="preserve">5011592     </v>
      </c>
      <c r="E1813" t="s">
        <v>8</v>
      </c>
      <c r="F1813" t="s">
        <v>11</v>
      </c>
      <c r="G1813">
        <v>66.69</v>
      </c>
      <c r="H1813">
        <v>250401</v>
      </c>
      <c r="I1813">
        <v>4841</v>
      </c>
      <c r="J1813" t="s">
        <v>9</v>
      </c>
      <c r="K1813">
        <v>1416.43</v>
      </c>
      <c r="L1813">
        <v>13.55</v>
      </c>
      <c r="M1813">
        <v>11905</v>
      </c>
      <c r="N1813" t="s">
        <v>643</v>
      </c>
      <c r="O1813">
        <v>250401</v>
      </c>
      <c r="P1813">
        <v>53.14</v>
      </c>
    </row>
    <row r="1814" spans="1:16" x14ac:dyDescent="0.25">
      <c r="A1814" t="s">
        <v>3296</v>
      </c>
      <c r="B1814" t="s">
        <v>2931</v>
      </c>
      <c r="C1814">
        <v>3766</v>
      </c>
      <c r="D1814" t="str">
        <f t="shared" si="52"/>
        <v xml:space="preserve">5011592     </v>
      </c>
      <c r="E1814" t="s">
        <v>8</v>
      </c>
      <c r="F1814" t="s">
        <v>11</v>
      </c>
      <c r="G1814">
        <v>82.4</v>
      </c>
      <c r="H1814">
        <v>250401</v>
      </c>
      <c r="I1814">
        <v>4841</v>
      </c>
      <c r="J1814" t="s">
        <v>9</v>
      </c>
      <c r="K1814">
        <v>1416.43</v>
      </c>
      <c r="L1814">
        <v>16.739999999999998</v>
      </c>
      <c r="M1814">
        <v>12500</v>
      </c>
      <c r="N1814" t="s">
        <v>1502</v>
      </c>
      <c r="O1814">
        <v>250401</v>
      </c>
      <c r="P1814">
        <v>65.66</v>
      </c>
    </row>
    <row r="1815" spans="1:16" x14ac:dyDescent="0.25">
      <c r="A1815" t="s">
        <v>3296</v>
      </c>
      <c r="B1815" t="s">
        <v>2931</v>
      </c>
      <c r="C1815">
        <v>3770</v>
      </c>
      <c r="D1815" t="str">
        <f t="shared" ref="D1815:D1821" si="53">"5011607     "</f>
        <v xml:space="preserve">5011607     </v>
      </c>
      <c r="E1815" t="s">
        <v>8</v>
      </c>
      <c r="F1815" t="s">
        <v>11</v>
      </c>
      <c r="G1815">
        <v>4252.9399999999996</v>
      </c>
      <c r="H1815">
        <v>250401</v>
      </c>
      <c r="I1815">
        <v>4841</v>
      </c>
      <c r="J1815" t="s">
        <v>9</v>
      </c>
      <c r="K1815">
        <v>6311.96</v>
      </c>
      <c r="L1815">
        <v>864.14</v>
      </c>
      <c r="M1815">
        <v>61122</v>
      </c>
      <c r="N1815" t="s">
        <v>86</v>
      </c>
      <c r="O1815">
        <v>250401</v>
      </c>
      <c r="P1815">
        <v>3388.8</v>
      </c>
    </row>
    <row r="1816" spans="1:16" x14ac:dyDescent="0.25">
      <c r="A1816" t="s">
        <v>3296</v>
      </c>
      <c r="B1816" t="s">
        <v>2931</v>
      </c>
      <c r="C1816">
        <v>3770</v>
      </c>
      <c r="D1816" t="str">
        <f t="shared" si="53"/>
        <v xml:space="preserve">5011607     </v>
      </c>
      <c r="E1816" t="s">
        <v>8</v>
      </c>
      <c r="F1816" t="s">
        <v>11</v>
      </c>
      <c r="G1816">
        <v>79.23</v>
      </c>
      <c r="H1816">
        <v>250401</v>
      </c>
      <c r="I1816">
        <v>4841</v>
      </c>
      <c r="J1816" t="s">
        <v>9</v>
      </c>
      <c r="K1816">
        <v>6311.96</v>
      </c>
      <c r="L1816">
        <v>16.100000000000001</v>
      </c>
      <c r="M1816">
        <v>61122</v>
      </c>
      <c r="N1816" t="s">
        <v>86</v>
      </c>
      <c r="O1816">
        <v>250401</v>
      </c>
      <c r="P1816">
        <v>63.13</v>
      </c>
    </row>
    <row r="1817" spans="1:16" x14ac:dyDescent="0.25">
      <c r="A1817" t="s">
        <v>3296</v>
      </c>
      <c r="B1817" t="s">
        <v>2931</v>
      </c>
      <c r="C1817">
        <v>3770</v>
      </c>
      <c r="D1817" t="str">
        <f t="shared" si="53"/>
        <v xml:space="preserve">5011607     </v>
      </c>
      <c r="E1817" t="s">
        <v>8</v>
      </c>
      <c r="F1817" t="s">
        <v>11</v>
      </c>
      <c r="G1817">
        <v>1663.29</v>
      </c>
      <c r="H1817">
        <v>250401</v>
      </c>
      <c r="I1817">
        <v>4841</v>
      </c>
      <c r="J1817" t="s">
        <v>9</v>
      </c>
      <c r="K1817">
        <v>6311.96</v>
      </c>
      <c r="L1817">
        <v>337.96</v>
      </c>
      <c r="M1817">
        <v>65222</v>
      </c>
      <c r="N1817" t="s">
        <v>87</v>
      </c>
      <c r="O1817">
        <v>250401</v>
      </c>
      <c r="P1817">
        <v>1325.33</v>
      </c>
    </row>
    <row r="1818" spans="1:16" x14ac:dyDescent="0.25">
      <c r="A1818" t="s">
        <v>3296</v>
      </c>
      <c r="B1818" t="s">
        <v>2931</v>
      </c>
      <c r="C1818">
        <v>3770</v>
      </c>
      <c r="D1818" t="str">
        <f t="shared" si="53"/>
        <v xml:space="preserve">5011607     </v>
      </c>
      <c r="E1818" t="s">
        <v>8</v>
      </c>
      <c r="F1818" t="s">
        <v>11</v>
      </c>
      <c r="G1818">
        <v>111.71</v>
      </c>
      <c r="H1818">
        <v>250401</v>
      </c>
      <c r="I1818">
        <v>4841</v>
      </c>
      <c r="J1818" t="s">
        <v>9</v>
      </c>
      <c r="K1818">
        <v>6311.96</v>
      </c>
      <c r="L1818">
        <v>22.7</v>
      </c>
      <c r="M1818">
        <v>69703</v>
      </c>
      <c r="N1818" t="s">
        <v>88</v>
      </c>
      <c r="O1818">
        <v>250401</v>
      </c>
      <c r="P1818">
        <v>89.01</v>
      </c>
    </row>
    <row r="1819" spans="1:16" x14ac:dyDescent="0.25">
      <c r="A1819" t="s">
        <v>3296</v>
      </c>
      <c r="B1819" t="s">
        <v>2931</v>
      </c>
      <c r="C1819">
        <v>3770</v>
      </c>
      <c r="D1819" t="str">
        <f t="shared" si="53"/>
        <v xml:space="preserve">5011607     </v>
      </c>
      <c r="E1819" t="s">
        <v>8</v>
      </c>
      <c r="F1819" t="s">
        <v>11</v>
      </c>
      <c r="G1819">
        <v>94.41</v>
      </c>
      <c r="H1819">
        <v>250401</v>
      </c>
      <c r="I1819">
        <v>4841</v>
      </c>
      <c r="J1819" t="s">
        <v>9</v>
      </c>
      <c r="K1819">
        <v>6311.96</v>
      </c>
      <c r="L1819">
        <v>19.18</v>
      </c>
      <c r="M1819">
        <v>69704</v>
      </c>
      <c r="N1819" t="s">
        <v>89</v>
      </c>
      <c r="O1819">
        <v>250401</v>
      </c>
      <c r="P1819">
        <v>75.23</v>
      </c>
    </row>
    <row r="1820" spans="1:16" x14ac:dyDescent="0.25">
      <c r="A1820" t="s">
        <v>3296</v>
      </c>
      <c r="B1820" t="s">
        <v>2931</v>
      </c>
      <c r="C1820">
        <v>3770</v>
      </c>
      <c r="D1820" t="str">
        <f t="shared" si="53"/>
        <v xml:space="preserve">5011607     </v>
      </c>
      <c r="E1820" t="s">
        <v>8</v>
      </c>
      <c r="F1820" t="s">
        <v>11</v>
      </c>
      <c r="G1820">
        <v>97.94</v>
      </c>
      <c r="H1820">
        <v>250401</v>
      </c>
      <c r="I1820">
        <v>4841</v>
      </c>
      <c r="J1820" t="s">
        <v>9</v>
      </c>
      <c r="K1820">
        <v>6311.96</v>
      </c>
      <c r="L1820">
        <v>19.899999999999999</v>
      </c>
      <c r="M1820">
        <v>69704</v>
      </c>
      <c r="N1820" t="s">
        <v>89</v>
      </c>
      <c r="O1820">
        <v>250401</v>
      </c>
      <c r="P1820">
        <v>78.040000000000006</v>
      </c>
    </row>
    <row r="1821" spans="1:16" x14ac:dyDescent="0.25">
      <c r="A1821" t="s">
        <v>3296</v>
      </c>
      <c r="B1821" t="s">
        <v>2931</v>
      </c>
      <c r="C1821">
        <v>3770</v>
      </c>
      <c r="D1821" t="str">
        <f t="shared" si="53"/>
        <v xml:space="preserve">5011607     </v>
      </c>
      <c r="E1821" t="s">
        <v>8</v>
      </c>
      <c r="F1821" t="s">
        <v>11</v>
      </c>
      <c r="G1821">
        <v>12.44</v>
      </c>
      <c r="H1821">
        <v>250401</v>
      </c>
      <c r="I1821">
        <v>4841</v>
      </c>
      <c r="J1821" t="s">
        <v>9</v>
      </c>
      <c r="K1821">
        <v>6311.96</v>
      </c>
      <c r="L1821">
        <v>2.5299999999999998</v>
      </c>
      <c r="M1821">
        <v>69707</v>
      </c>
      <c r="N1821" t="s">
        <v>90</v>
      </c>
      <c r="O1821">
        <v>250401</v>
      </c>
      <c r="P1821">
        <v>9.91</v>
      </c>
    </row>
    <row r="1822" spans="1:16" x14ac:dyDescent="0.25">
      <c r="A1822" t="s">
        <v>3296</v>
      </c>
      <c r="B1822" t="s">
        <v>2931</v>
      </c>
      <c r="C1822">
        <v>3772</v>
      </c>
      <c r="D1822" t="str">
        <f>"5011618     "</f>
        <v xml:space="preserve">5011618     </v>
      </c>
      <c r="E1822" t="s">
        <v>8</v>
      </c>
      <c r="F1822" t="s">
        <v>11</v>
      </c>
      <c r="G1822">
        <v>530.58000000000004</v>
      </c>
      <c r="H1822">
        <v>250401</v>
      </c>
      <c r="I1822">
        <v>4841</v>
      </c>
      <c r="J1822" t="s">
        <v>9</v>
      </c>
      <c r="K1822">
        <v>530.58000000000004</v>
      </c>
      <c r="L1822">
        <v>107.81</v>
      </c>
      <c r="M1822">
        <v>11101</v>
      </c>
      <c r="N1822" t="s">
        <v>67</v>
      </c>
      <c r="O1822">
        <v>250401</v>
      </c>
      <c r="P1822">
        <v>422.77</v>
      </c>
    </row>
    <row r="1823" spans="1:16" x14ac:dyDescent="0.25">
      <c r="A1823" t="s">
        <v>3296</v>
      </c>
      <c r="B1823" t="s">
        <v>2931</v>
      </c>
      <c r="C1823">
        <v>3778</v>
      </c>
      <c r="D1823" t="str">
        <f>"5011600     "</f>
        <v xml:space="preserve">5011600     </v>
      </c>
      <c r="E1823" t="s">
        <v>8</v>
      </c>
      <c r="F1823" t="s">
        <v>11</v>
      </c>
      <c r="G1823">
        <v>463.22</v>
      </c>
      <c r="H1823">
        <v>250401</v>
      </c>
      <c r="I1823">
        <v>4841</v>
      </c>
      <c r="J1823" t="s">
        <v>9</v>
      </c>
      <c r="K1823">
        <v>463.22</v>
      </c>
      <c r="L1823">
        <v>94.12</v>
      </c>
      <c r="M1823">
        <v>47522</v>
      </c>
      <c r="N1823" t="s">
        <v>106</v>
      </c>
      <c r="O1823">
        <v>250401</v>
      </c>
      <c r="P1823">
        <v>369.1</v>
      </c>
    </row>
    <row r="1824" spans="1:16" x14ac:dyDescent="0.25">
      <c r="A1824" t="s">
        <v>3296</v>
      </c>
      <c r="B1824" t="s">
        <v>2931</v>
      </c>
      <c r="C1824">
        <v>3779</v>
      </c>
      <c r="D1824" t="str">
        <f t="shared" ref="D1824:D1851" si="54">"5011620     "</f>
        <v xml:space="preserve">5011620     </v>
      </c>
      <c r="E1824" t="s">
        <v>8</v>
      </c>
      <c r="F1824" t="s">
        <v>11</v>
      </c>
      <c r="G1824">
        <v>23.82</v>
      </c>
      <c r="H1824">
        <v>250401</v>
      </c>
      <c r="I1824">
        <v>4841</v>
      </c>
      <c r="J1824" t="s">
        <v>9</v>
      </c>
      <c r="K1824">
        <v>22210.74</v>
      </c>
      <c r="L1824">
        <v>4.84</v>
      </c>
      <c r="M1824">
        <v>13540</v>
      </c>
      <c r="N1824" t="s">
        <v>131</v>
      </c>
      <c r="O1824">
        <v>250401</v>
      </c>
      <c r="P1824">
        <v>18.98</v>
      </c>
    </row>
    <row r="1825" spans="1:16" x14ac:dyDescent="0.25">
      <c r="A1825" t="s">
        <v>3296</v>
      </c>
      <c r="B1825" t="s">
        <v>2931</v>
      </c>
      <c r="C1825">
        <v>3779</v>
      </c>
      <c r="D1825" t="str">
        <f t="shared" si="54"/>
        <v xml:space="preserve">5011620     </v>
      </c>
      <c r="E1825" t="s">
        <v>8</v>
      </c>
      <c r="F1825" t="s">
        <v>11</v>
      </c>
      <c r="G1825">
        <v>80.58</v>
      </c>
      <c r="H1825">
        <v>250401</v>
      </c>
      <c r="I1825">
        <v>4841</v>
      </c>
      <c r="J1825" t="s">
        <v>9</v>
      </c>
      <c r="K1825">
        <v>22210.74</v>
      </c>
      <c r="L1825">
        <v>16.37</v>
      </c>
      <c r="M1825">
        <v>16915</v>
      </c>
      <c r="N1825" t="s">
        <v>134</v>
      </c>
      <c r="O1825">
        <v>250401</v>
      </c>
      <c r="P1825">
        <v>64.209999999999994</v>
      </c>
    </row>
    <row r="1826" spans="1:16" x14ac:dyDescent="0.25">
      <c r="A1826" t="s">
        <v>3296</v>
      </c>
      <c r="B1826" t="s">
        <v>2931</v>
      </c>
      <c r="C1826">
        <v>3779</v>
      </c>
      <c r="D1826" t="str">
        <f t="shared" si="54"/>
        <v xml:space="preserve">5011620     </v>
      </c>
      <c r="E1826" t="s">
        <v>8</v>
      </c>
      <c r="F1826" t="s">
        <v>11</v>
      </c>
      <c r="G1826">
        <v>302.77</v>
      </c>
      <c r="H1826">
        <v>250401</v>
      </c>
      <c r="I1826">
        <v>4841</v>
      </c>
      <c r="J1826" t="s">
        <v>9</v>
      </c>
      <c r="K1826">
        <v>22210.74</v>
      </c>
      <c r="L1826">
        <v>61.52</v>
      </c>
      <c r="M1826">
        <v>16930</v>
      </c>
      <c r="N1826" t="s">
        <v>135</v>
      </c>
      <c r="O1826">
        <v>250401</v>
      </c>
      <c r="P1826">
        <v>241.25</v>
      </c>
    </row>
    <row r="1827" spans="1:16" x14ac:dyDescent="0.25">
      <c r="A1827" t="s">
        <v>3296</v>
      </c>
      <c r="B1827" t="s">
        <v>2931</v>
      </c>
      <c r="C1827">
        <v>3779</v>
      </c>
      <c r="D1827" t="str">
        <f t="shared" si="54"/>
        <v xml:space="preserve">5011620     </v>
      </c>
      <c r="E1827" t="s">
        <v>8</v>
      </c>
      <c r="F1827" t="s">
        <v>11</v>
      </c>
      <c r="G1827">
        <v>1369.93</v>
      </c>
      <c r="H1827">
        <v>250401</v>
      </c>
      <c r="I1827">
        <v>4841</v>
      </c>
      <c r="J1827" t="s">
        <v>9</v>
      </c>
      <c r="K1827">
        <v>22210.74</v>
      </c>
      <c r="L1827">
        <v>278.35000000000002</v>
      </c>
      <c r="M1827">
        <v>16930</v>
      </c>
      <c r="N1827" t="s">
        <v>135</v>
      </c>
      <c r="O1827">
        <v>250401</v>
      </c>
      <c r="P1827">
        <v>1091.58</v>
      </c>
    </row>
    <row r="1828" spans="1:16" x14ac:dyDescent="0.25">
      <c r="A1828" t="s">
        <v>3296</v>
      </c>
      <c r="B1828" t="s">
        <v>2931</v>
      </c>
      <c r="C1828">
        <v>3779</v>
      </c>
      <c r="D1828" t="str">
        <f t="shared" si="54"/>
        <v xml:space="preserve">5011620     </v>
      </c>
      <c r="E1828" t="s">
        <v>8</v>
      </c>
      <c r="F1828" t="s">
        <v>11</v>
      </c>
      <c r="G1828">
        <v>66.400000000000006</v>
      </c>
      <c r="H1828">
        <v>250401</v>
      </c>
      <c r="I1828">
        <v>4841</v>
      </c>
      <c r="J1828" t="s">
        <v>9</v>
      </c>
      <c r="K1828">
        <v>22210.74</v>
      </c>
      <c r="L1828">
        <v>13.49</v>
      </c>
      <c r="M1828">
        <v>16951</v>
      </c>
      <c r="N1828" t="s">
        <v>488</v>
      </c>
      <c r="O1828">
        <v>250401</v>
      </c>
      <c r="P1828">
        <v>52.91</v>
      </c>
    </row>
    <row r="1829" spans="1:16" x14ac:dyDescent="0.25">
      <c r="A1829" t="s">
        <v>3296</v>
      </c>
      <c r="B1829" t="s">
        <v>2931</v>
      </c>
      <c r="C1829">
        <v>3779</v>
      </c>
      <c r="D1829" t="str">
        <f t="shared" si="54"/>
        <v xml:space="preserve">5011620     </v>
      </c>
      <c r="E1829" t="s">
        <v>8</v>
      </c>
      <c r="F1829" t="s">
        <v>11</v>
      </c>
      <c r="G1829">
        <v>1520.31</v>
      </c>
      <c r="H1829">
        <v>250401</v>
      </c>
      <c r="I1829">
        <v>4841</v>
      </c>
      <c r="J1829" t="s">
        <v>9</v>
      </c>
      <c r="K1829">
        <v>22210.74</v>
      </c>
      <c r="L1829">
        <v>308.91000000000003</v>
      </c>
      <c r="M1829">
        <v>17521</v>
      </c>
      <c r="N1829" t="s">
        <v>136</v>
      </c>
      <c r="O1829">
        <v>250401</v>
      </c>
      <c r="P1829">
        <v>1211.4000000000001</v>
      </c>
    </row>
    <row r="1830" spans="1:16" x14ac:dyDescent="0.25">
      <c r="A1830" t="s">
        <v>3296</v>
      </c>
      <c r="B1830" t="s">
        <v>2931</v>
      </c>
      <c r="C1830">
        <v>3779</v>
      </c>
      <c r="D1830" t="str">
        <f t="shared" si="54"/>
        <v xml:space="preserve">5011620     </v>
      </c>
      <c r="E1830" t="s">
        <v>8</v>
      </c>
      <c r="F1830" t="s">
        <v>11</v>
      </c>
      <c r="G1830">
        <v>783.21</v>
      </c>
      <c r="H1830">
        <v>250401</v>
      </c>
      <c r="I1830">
        <v>4841</v>
      </c>
      <c r="J1830" t="s">
        <v>9</v>
      </c>
      <c r="K1830">
        <v>22210.74</v>
      </c>
      <c r="L1830">
        <v>159.13999999999999</v>
      </c>
      <c r="M1830">
        <v>17522</v>
      </c>
      <c r="N1830" t="s">
        <v>137</v>
      </c>
      <c r="O1830">
        <v>250401</v>
      </c>
      <c r="P1830">
        <v>624.07000000000005</v>
      </c>
    </row>
    <row r="1831" spans="1:16" x14ac:dyDescent="0.25">
      <c r="A1831" t="s">
        <v>3296</v>
      </c>
      <c r="B1831" t="s">
        <v>2931</v>
      </c>
      <c r="C1831">
        <v>3779</v>
      </c>
      <c r="D1831" t="str">
        <f t="shared" si="54"/>
        <v xml:space="preserve">5011620     </v>
      </c>
      <c r="E1831" t="s">
        <v>8</v>
      </c>
      <c r="F1831" t="s">
        <v>11</v>
      </c>
      <c r="G1831">
        <v>933.58</v>
      </c>
      <c r="H1831">
        <v>250401</v>
      </c>
      <c r="I1831">
        <v>4841</v>
      </c>
      <c r="J1831" t="s">
        <v>9</v>
      </c>
      <c r="K1831">
        <v>22210.74</v>
      </c>
      <c r="L1831">
        <v>189.69</v>
      </c>
      <c r="M1831">
        <v>17523</v>
      </c>
      <c r="N1831" t="s">
        <v>138</v>
      </c>
      <c r="O1831">
        <v>250401</v>
      </c>
      <c r="P1831">
        <v>743.89</v>
      </c>
    </row>
    <row r="1832" spans="1:16" x14ac:dyDescent="0.25">
      <c r="A1832" t="s">
        <v>3296</v>
      </c>
      <c r="B1832" t="s">
        <v>2931</v>
      </c>
      <c r="C1832">
        <v>3779</v>
      </c>
      <c r="D1832" t="str">
        <f t="shared" si="54"/>
        <v xml:space="preserve">5011620     </v>
      </c>
      <c r="E1832" t="s">
        <v>8</v>
      </c>
      <c r="F1832" t="s">
        <v>11</v>
      </c>
      <c r="G1832">
        <v>321.45999999999998</v>
      </c>
      <c r="H1832">
        <v>250401</v>
      </c>
      <c r="I1832">
        <v>4841</v>
      </c>
      <c r="J1832" t="s">
        <v>9</v>
      </c>
      <c r="K1832">
        <v>22210.74</v>
      </c>
      <c r="L1832">
        <v>65.319999999999993</v>
      </c>
      <c r="M1832">
        <v>17524</v>
      </c>
      <c r="N1832" t="s">
        <v>139</v>
      </c>
      <c r="O1832">
        <v>250401</v>
      </c>
      <c r="P1832">
        <v>256.14</v>
      </c>
    </row>
    <row r="1833" spans="1:16" x14ac:dyDescent="0.25">
      <c r="A1833" t="s">
        <v>3296</v>
      </c>
      <c r="B1833" t="s">
        <v>2931</v>
      </c>
      <c r="C1833">
        <v>3779</v>
      </c>
      <c r="D1833" t="str">
        <f t="shared" si="54"/>
        <v xml:space="preserve">5011620     </v>
      </c>
      <c r="E1833" t="s">
        <v>8</v>
      </c>
      <c r="F1833" t="s">
        <v>11</v>
      </c>
      <c r="G1833">
        <v>146.85</v>
      </c>
      <c r="H1833">
        <v>250401</v>
      </c>
      <c r="I1833">
        <v>4841</v>
      </c>
      <c r="J1833" t="s">
        <v>9</v>
      </c>
      <c r="K1833">
        <v>22210.74</v>
      </c>
      <c r="L1833">
        <v>29.84</v>
      </c>
      <c r="M1833">
        <v>17525</v>
      </c>
      <c r="N1833" t="s">
        <v>140</v>
      </c>
      <c r="O1833">
        <v>250401</v>
      </c>
      <c r="P1833">
        <v>117.01</v>
      </c>
    </row>
    <row r="1834" spans="1:16" x14ac:dyDescent="0.25">
      <c r="A1834" t="s">
        <v>3296</v>
      </c>
      <c r="B1834" t="s">
        <v>2931</v>
      </c>
      <c r="C1834">
        <v>3779</v>
      </c>
      <c r="D1834" t="str">
        <f t="shared" si="54"/>
        <v xml:space="preserve">5011620     </v>
      </c>
      <c r="E1834" t="s">
        <v>8</v>
      </c>
      <c r="F1834" t="s">
        <v>11</v>
      </c>
      <c r="G1834">
        <v>224.46</v>
      </c>
      <c r="H1834">
        <v>250401</v>
      </c>
      <c r="I1834">
        <v>4841</v>
      </c>
      <c r="J1834" t="s">
        <v>9</v>
      </c>
      <c r="K1834">
        <v>22210.74</v>
      </c>
      <c r="L1834">
        <v>45.61</v>
      </c>
      <c r="M1834">
        <v>17526</v>
      </c>
      <c r="N1834" t="s">
        <v>141</v>
      </c>
      <c r="O1834">
        <v>250401</v>
      </c>
      <c r="P1834">
        <v>178.85</v>
      </c>
    </row>
    <row r="1835" spans="1:16" x14ac:dyDescent="0.25">
      <c r="A1835" t="s">
        <v>3296</v>
      </c>
      <c r="B1835" t="s">
        <v>2931</v>
      </c>
      <c r="C1835">
        <v>3779</v>
      </c>
      <c r="D1835" t="str">
        <f t="shared" si="54"/>
        <v xml:space="preserve">5011620     </v>
      </c>
      <c r="E1835" t="s">
        <v>8</v>
      </c>
      <c r="F1835" t="s">
        <v>11</v>
      </c>
      <c r="G1835">
        <v>634.84</v>
      </c>
      <c r="H1835">
        <v>250401</v>
      </c>
      <c r="I1835">
        <v>4841</v>
      </c>
      <c r="J1835" t="s">
        <v>9</v>
      </c>
      <c r="K1835">
        <v>22210.74</v>
      </c>
      <c r="L1835">
        <v>128.99</v>
      </c>
      <c r="M1835">
        <v>17527</v>
      </c>
      <c r="N1835" t="s">
        <v>142</v>
      </c>
      <c r="O1835">
        <v>250401</v>
      </c>
      <c r="P1835">
        <v>505.85</v>
      </c>
    </row>
    <row r="1836" spans="1:16" x14ac:dyDescent="0.25">
      <c r="A1836" t="s">
        <v>3296</v>
      </c>
      <c r="B1836" t="s">
        <v>2931</v>
      </c>
      <c r="C1836">
        <v>3779</v>
      </c>
      <c r="D1836" t="str">
        <f t="shared" si="54"/>
        <v xml:space="preserve">5011620     </v>
      </c>
      <c r="E1836" t="s">
        <v>8</v>
      </c>
      <c r="F1836" t="s">
        <v>11</v>
      </c>
      <c r="G1836">
        <v>5746.02</v>
      </c>
      <c r="H1836">
        <v>250401</v>
      </c>
      <c r="I1836">
        <v>4841</v>
      </c>
      <c r="J1836" t="s">
        <v>9</v>
      </c>
      <c r="K1836">
        <v>22210.74</v>
      </c>
      <c r="L1836">
        <v>1167.52</v>
      </c>
      <c r="M1836">
        <v>17529</v>
      </c>
      <c r="N1836" t="s">
        <v>143</v>
      </c>
      <c r="O1836">
        <v>250401</v>
      </c>
      <c r="P1836">
        <v>4578.5</v>
      </c>
    </row>
    <row r="1837" spans="1:16" x14ac:dyDescent="0.25">
      <c r="A1837" t="s">
        <v>3296</v>
      </c>
      <c r="B1837" t="s">
        <v>2931</v>
      </c>
      <c r="C1837">
        <v>3779</v>
      </c>
      <c r="D1837" t="str">
        <f t="shared" si="54"/>
        <v xml:space="preserve">5011620     </v>
      </c>
      <c r="E1837" t="s">
        <v>8</v>
      </c>
      <c r="F1837" t="s">
        <v>11</v>
      </c>
      <c r="G1837">
        <v>7070.72</v>
      </c>
      <c r="H1837">
        <v>250401</v>
      </c>
      <c r="I1837">
        <v>4841</v>
      </c>
      <c r="J1837" t="s">
        <v>9</v>
      </c>
      <c r="K1837">
        <v>22210.74</v>
      </c>
      <c r="L1837">
        <v>1436.68</v>
      </c>
      <c r="M1837">
        <v>17530</v>
      </c>
      <c r="N1837" t="s">
        <v>144</v>
      </c>
      <c r="O1837">
        <v>250401</v>
      </c>
      <c r="P1837">
        <v>5634.04</v>
      </c>
    </row>
    <row r="1838" spans="1:16" x14ac:dyDescent="0.25">
      <c r="A1838" t="s">
        <v>3296</v>
      </c>
      <c r="B1838" t="s">
        <v>2931</v>
      </c>
      <c r="C1838">
        <v>3779</v>
      </c>
      <c r="D1838" t="str">
        <f t="shared" si="54"/>
        <v xml:space="preserve">5011620     </v>
      </c>
      <c r="E1838" t="s">
        <v>8</v>
      </c>
      <c r="F1838" t="s">
        <v>11</v>
      </c>
      <c r="G1838">
        <v>184.41</v>
      </c>
      <c r="H1838">
        <v>250401</v>
      </c>
      <c r="I1838">
        <v>4841</v>
      </c>
      <c r="J1838" t="s">
        <v>9</v>
      </c>
      <c r="K1838">
        <v>22210.74</v>
      </c>
      <c r="L1838">
        <v>37.47</v>
      </c>
      <c r="M1838">
        <v>17531</v>
      </c>
      <c r="N1838" t="s">
        <v>145</v>
      </c>
      <c r="O1838">
        <v>250401</v>
      </c>
      <c r="P1838">
        <v>146.94</v>
      </c>
    </row>
    <row r="1839" spans="1:16" x14ac:dyDescent="0.25">
      <c r="A1839" t="s">
        <v>3296</v>
      </c>
      <c r="B1839" t="s">
        <v>2931</v>
      </c>
      <c r="C1839">
        <v>3779</v>
      </c>
      <c r="D1839" t="str">
        <f t="shared" si="54"/>
        <v xml:space="preserve">5011620     </v>
      </c>
      <c r="E1839" t="s">
        <v>8</v>
      </c>
      <c r="F1839" t="s">
        <v>11</v>
      </c>
      <c r="G1839">
        <v>297.36</v>
      </c>
      <c r="H1839">
        <v>250401</v>
      </c>
      <c r="I1839">
        <v>4841</v>
      </c>
      <c r="J1839" t="s">
        <v>9</v>
      </c>
      <c r="K1839">
        <v>22210.74</v>
      </c>
      <c r="L1839">
        <v>60.42</v>
      </c>
      <c r="M1839">
        <v>17532</v>
      </c>
      <c r="N1839" t="s">
        <v>146</v>
      </c>
      <c r="O1839">
        <v>250401</v>
      </c>
      <c r="P1839">
        <v>236.94</v>
      </c>
    </row>
    <row r="1840" spans="1:16" x14ac:dyDescent="0.25">
      <c r="A1840" t="s">
        <v>3296</v>
      </c>
      <c r="B1840" t="s">
        <v>2931</v>
      </c>
      <c r="C1840">
        <v>3779</v>
      </c>
      <c r="D1840" t="str">
        <f t="shared" si="54"/>
        <v xml:space="preserve">5011620     </v>
      </c>
      <c r="E1840" t="s">
        <v>8</v>
      </c>
      <c r="F1840" t="s">
        <v>11</v>
      </c>
      <c r="G1840">
        <v>270.02999999999997</v>
      </c>
      <c r="H1840">
        <v>250401</v>
      </c>
      <c r="I1840">
        <v>4841</v>
      </c>
      <c r="J1840" t="s">
        <v>9</v>
      </c>
      <c r="K1840">
        <v>22210.74</v>
      </c>
      <c r="L1840">
        <v>54.87</v>
      </c>
      <c r="M1840">
        <v>17533</v>
      </c>
      <c r="N1840" t="s">
        <v>147</v>
      </c>
      <c r="O1840">
        <v>250401</v>
      </c>
      <c r="P1840">
        <v>215.16</v>
      </c>
    </row>
    <row r="1841" spans="1:16" x14ac:dyDescent="0.25">
      <c r="A1841" t="s">
        <v>3296</v>
      </c>
      <c r="B1841" t="s">
        <v>2931</v>
      </c>
      <c r="C1841">
        <v>3779</v>
      </c>
      <c r="D1841" t="str">
        <f t="shared" si="54"/>
        <v xml:space="preserve">5011620     </v>
      </c>
      <c r="E1841" t="s">
        <v>8</v>
      </c>
      <c r="F1841" t="s">
        <v>11</v>
      </c>
      <c r="G1841">
        <v>92.93</v>
      </c>
      <c r="H1841">
        <v>250401</v>
      </c>
      <c r="I1841">
        <v>4841</v>
      </c>
      <c r="J1841" t="s">
        <v>9</v>
      </c>
      <c r="K1841">
        <v>22210.74</v>
      </c>
      <c r="L1841">
        <v>18.88</v>
      </c>
      <c r="M1841">
        <v>17534</v>
      </c>
      <c r="N1841" t="s">
        <v>148</v>
      </c>
      <c r="O1841">
        <v>250401</v>
      </c>
      <c r="P1841">
        <v>74.05</v>
      </c>
    </row>
    <row r="1842" spans="1:16" x14ac:dyDescent="0.25">
      <c r="A1842" t="s">
        <v>3296</v>
      </c>
      <c r="B1842" t="s">
        <v>2931</v>
      </c>
      <c r="C1842">
        <v>3779</v>
      </c>
      <c r="D1842" t="str">
        <f t="shared" si="54"/>
        <v xml:space="preserve">5011620     </v>
      </c>
      <c r="E1842" t="s">
        <v>8</v>
      </c>
      <c r="F1842" t="s">
        <v>11</v>
      </c>
      <c r="G1842">
        <v>444.36</v>
      </c>
      <c r="H1842">
        <v>250401</v>
      </c>
      <c r="I1842">
        <v>4841</v>
      </c>
      <c r="J1842" t="s">
        <v>9</v>
      </c>
      <c r="K1842">
        <v>22210.74</v>
      </c>
      <c r="L1842">
        <v>90.29</v>
      </c>
      <c r="M1842">
        <v>17535</v>
      </c>
      <c r="N1842" t="s">
        <v>149</v>
      </c>
      <c r="O1842">
        <v>250401</v>
      </c>
      <c r="P1842">
        <v>354.07</v>
      </c>
    </row>
    <row r="1843" spans="1:16" x14ac:dyDescent="0.25">
      <c r="A1843" t="s">
        <v>3296</v>
      </c>
      <c r="B1843" t="s">
        <v>2931</v>
      </c>
      <c r="C1843">
        <v>3779</v>
      </c>
      <c r="D1843" t="str">
        <f t="shared" si="54"/>
        <v xml:space="preserve">5011620     </v>
      </c>
      <c r="E1843" t="s">
        <v>8</v>
      </c>
      <c r="F1843" t="s">
        <v>11</v>
      </c>
      <c r="G1843">
        <v>92.93</v>
      </c>
      <c r="H1843">
        <v>250401</v>
      </c>
      <c r="I1843">
        <v>4841</v>
      </c>
      <c r="J1843" t="s">
        <v>9</v>
      </c>
      <c r="K1843">
        <v>22210.74</v>
      </c>
      <c r="L1843">
        <v>18.88</v>
      </c>
      <c r="M1843">
        <v>17536</v>
      </c>
      <c r="N1843" t="s">
        <v>150</v>
      </c>
      <c r="O1843">
        <v>250401</v>
      </c>
      <c r="P1843">
        <v>74.05</v>
      </c>
    </row>
    <row r="1844" spans="1:16" x14ac:dyDescent="0.25">
      <c r="A1844" t="s">
        <v>3296</v>
      </c>
      <c r="B1844" t="s">
        <v>2931</v>
      </c>
      <c r="C1844">
        <v>3779</v>
      </c>
      <c r="D1844" t="str">
        <f t="shared" si="54"/>
        <v xml:space="preserve">5011620     </v>
      </c>
      <c r="E1844" t="s">
        <v>8</v>
      </c>
      <c r="F1844" t="s">
        <v>11</v>
      </c>
      <c r="G1844">
        <v>697.55</v>
      </c>
      <c r="H1844">
        <v>250401</v>
      </c>
      <c r="I1844">
        <v>4841</v>
      </c>
      <c r="J1844" t="s">
        <v>9</v>
      </c>
      <c r="K1844">
        <v>22210.74</v>
      </c>
      <c r="L1844">
        <v>141.72999999999999</v>
      </c>
      <c r="M1844">
        <v>17537</v>
      </c>
      <c r="N1844" t="s">
        <v>151</v>
      </c>
      <c r="O1844">
        <v>250401</v>
      </c>
      <c r="P1844">
        <v>555.82000000000005</v>
      </c>
    </row>
    <row r="1845" spans="1:16" x14ac:dyDescent="0.25">
      <c r="A1845" t="s">
        <v>3296</v>
      </c>
      <c r="B1845" t="s">
        <v>2931</v>
      </c>
      <c r="C1845">
        <v>3779</v>
      </c>
      <c r="D1845" t="str">
        <f t="shared" si="54"/>
        <v xml:space="preserve">5011620     </v>
      </c>
      <c r="E1845" t="s">
        <v>8</v>
      </c>
      <c r="F1845" t="s">
        <v>11</v>
      </c>
      <c r="G1845">
        <v>83.66</v>
      </c>
      <c r="H1845">
        <v>250401</v>
      </c>
      <c r="I1845">
        <v>4841</v>
      </c>
      <c r="J1845" t="s">
        <v>9</v>
      </c>
      <c r="K1845">
        <v>22210.74</v>
      </c>
      <c r="L1845">
        <v>17</v>
      </c>
      <c r="M1845">
        <v>17538</v>
      </c>
      <c r="N1845" t="s">
        <v>129</v>
      </c>
      <c r="O1845">
        <v>250401</v>
      </c>
      <c r="P1845">
        <v>66.66</v>
      </c>
    </row>
    <row r="1846" spans="1:16" x14ac:dyDescent="0.25">
      <c r="A1846" t="s">
        <v>3296</v>
      </c>
      <c r="B1846" t="s">
        <v>2931</v>
      </c>
      <c r="C1846">
        <v>3779</v>
      </c>
      <c r="D1846" t="str">
        <f t="shared" si="54"/>
        <v xml:space="preserve">5011620     </v>
      </c>
      <c r="E1846" t="s">
        <v>8</v>
      </c>
      <c r="F1846" t="s">
        <v>11</v>
      </c>
      <c r="G1846">
        <v>96.07</v>
      </c>
      <c r="H1846">
        <v>250401</v>
      </c>
      <c r="I1846">
        <v>4841</v>
      </c>
      <c r="J1846" t="s">
        <v>9</v>
      </c>
      <c r="K1846">
        <v>22210.74</v>
      </c>
      <c r="L1846">
        <v>19.52</v>
      </c>
      <c r="M1846">
        <v>17918</v>
      </c>
      <c r="N1846" t="s">
        <v>152</v>
      </c>
      <c r="O1846">
        <v>250401</v>
      </c>
      <c r="P1846">
        <v>76.55</v>
      </c>
    </row>
    <row r="1847" spans="1:16" x14ac:dyDescent="0.25">
      <c r="A1847" t="s">
        <v>3296</v>
      </c>
      <c r="B1847" t="s">
        <v>2931</v>
      </c>
      <c r="C1847">
        <v>3779</v>
      </c>
      <c r="D1847" t="str">
        <f t="shared" si="54"/>
        <v xml:space="preserve">5011620     </v>
      </c>
      <c r="E1847" t="s">
        <v>8</v>
      </c>
      <c r="F1847" t="s">
        <v>11</v>
      </c>
      <c r="G1847">
        <v>192.75</v>
      </c>
      <c r="H1847">
        <v>250401</v>
      </c>
      <c r="I1847">
        <v>4841</v>
      </c>
      <c r="J1847" t="s">
        <v>9</v>
      </c>
      <c r="K1847">
        <v>22210.74</v>
      </c>
      <c r="L1847">
        <v>39.159999999999997</v>
      </c>
      <c r="M1847">
        <v>17950</v>
      </c>
      <c r="N1847" t="s">
        <v>132</v>
      </c>
      <c r="O1847">
        <v>250401</v>
      </c>
      <c r="P1847">
        <v>153.59</v>
      </c>
    </row>
    <row r="1848" spans="1:16" x14ac:dyDescent="0.25">
      <c r="A1848" t="s">
        <v>3296</v>
      </c>
      <c r="B1848" t="s">
        <v>2931</v>
      </c>
      <c r="C1848">
        <v>3779</v>
      </c>
      <c r="D1848" t="str">
        <f t="shared" si="54"/>
        <v xml:space="preserve">5011620     </v>
      </c>
      <c r="E1848" t="s">
        <v>8</v>
      </c>
      <c r="F1848" t="s">
        <v>11</v>
      </c>
      <c r="G1848">
        <v>0</v>
      </c>
      <c r="H1848">
        <v>250401</v>
      </c>
      <c r="I1848">
        <v>4841</v>
      </c>
      <c r="J1848" t="s">
        <v>9</v>
      </c>
      <c r="K1848">
        <v>22210.74</v>
      </c>
      <c r="L1848">
        <v>0</v>
      </c>
      <c r="M1848">
        <v>17956</v>
      </c>
      <c r="N1848" t="s">
        <v>170</v>
      </c>
      <c r="O1848">
        <v>250401</v>
      </c>
      <c r="P1848">
        <v>0</v>
      </c>
    </row>
    <row r="1849" spans="1:16" x14ac:dyDescent="0.25">
      <c r="A1849" t="s">
        <v>3296</v>
      </c>
      <c r="B1849" t="s">
        <v>2931</v>
      </c>
      <c r="C1849">
        <v>3779</v>
      </c>
      <c r="D1849" t="str">
        <f t="shared" si="54"/>
        <v xml:space="preserve">5011620     </v>
      </c>
      <c r="E1849" t="s">
        <v>8</v>
      </c>
      <c r="F1849" t="s">
        <v>11</v>
      </c>
      <c r="G1849">
        <v>110.57</v>
      </c>
      <c r="H1849">
        <v>250401</v>
      </c>
      <c r="I1849">
        <v>4841</v>
      </c>
      <c r="J1849" t="s">
        <v>9</v>
      </c>
      <c r="K1849">
        <v>22210.74</v>
      </c>
      <c r="L1849">
        <v>22.47</v>
      </c>
      <c r="M1849">
        <v>17971</v>
      </c>
      <c r="N1849" t="s">
        <v>27</v>
      </c>
      <c r="O1849">
        <v>250401</v>
      </c>
      <c r="P1849">
        <v>88.1</v>
      </c>
    </row>
    <row r="1850" spans="1:16" x14ac:dyDescent="0.25">
      <c r="A1850" t="s">
        <v>3296</v>
      </c>
      <c r="B1850" t="s">
        <v>2931</v>
      </c>
      <c r="C1850">
        <v>3779</v>
      </c>
      <c r="D1850" t="str">
        <f t="shared" si="54"/>
        <v xml:space="preserve">5011620     </v>
      </c>
      <c r="E1850" t="s">
        <v>8</v>
      </c>
      <c r="F1850" t="s">
        <v>11</v>
      </c>
      <c r="G1850">
        <v>326.38</v>
      </c>
      <c r="H1850">
        <v>250401</v>
      </c>
      <c r="I1850">
        <v>4841</v>
      </c>
      <c r="J1850" t="s">
        <v>9</v>
      </c>
      <c r="K1850">
        <v>22210.74</v>
      </c>
      <c r="L1850">
        <v>66.319999999999993</v>
      </c>
      <c r="M1850">
        <v>17972</v>
      </c>
      <c r="N1850" t="s">
        <v>28</v>
      </c>
      <c r="O1850">
        <v>250401</v>
      </c>
      <c r="P1850">
        <v>260.06</v>
      </c>
    </row>
    <row r="1851" spans="1:16" x14ac:dyDescent="0.25">
      <c r="A1851" t="s">
        <v>3296</v>
      </c>
      <c r="B1851" t="s">
        <v>2931</v>
      </c>
      <c r="C1851">
        <v>3779</v>
      </c>
      <c r="D1851" t="str">
        <f t="shared" si="54"/>
        <v xml:space="preserve">5011620     </v>
      </c>
      <c r="E1851" t="s">
        <v>8</v>
      </c>
      <c r="F1851" t="s">
        <v>11</v>
      </c>
      <c r="G1851">
        <v>96.79</v>
      </c>
      <c r="H1851">
        <v>250401</v>
      </c>
      <c r="I1851">
        <v>4841</v>
      </c>
      <c r="J1851" t="s">
        <v>9</v>
      </c>
      <c r="K1851">
        <v>22210.74</v>
      </c>
      <c r="L1851">
        <v>19.670000000000002</v>
      </c>
      <c r="M1851">
        <v>17974</v>
      </c>
      <c r="N1851" t="s">
        <v>153</v>
      </c>
      <c r="O1851">
        <v>250401</v>
      </c>
      <c r="P1851">
        <v>77.12</v>
      </c>
    </row>
    <row r="1852" spans="1:16" x14ac:dyDescent="0.25">
      <c r="A1852" t="s">
        <v>3296</v>
      </c>
      <c r="B1852" t="s">
        <v>2931</v>
      </c>
      <c r="C1852">
        <v>3785</v>
      </c>
      <c r="D1852" t="str">
        <f t="shared" ref="D1852:D1873" si="55">"5011626     "</f>
        <v xml:space="preserve">5011626     </v>
      </c>
      <c r="E1852" t="s">
        <v>8</v>
      </c>
      <c r="F1852" t="s">
        <v>11</v>
      </c>
      <c r="G1852">
        <v>1458.02</v>
      </c>
      <c r="H1852">
        <v>250401</v>
      </c>
      <c r="I1852">
        <v>4841</v>
      </c>
      <c r="J1852" t="s">
        <v>9</v>
      </c>
      <c r="K1852">
        <v>13664.68</v>
      </c>
      <c r="L1852">
        <v>296.25</v>
      </c>
      <c r="M1852">
        <v>54222</v>
      </c>
      <c r="N1852" t="s">
        <v>48</v>
      </c>
      <c r="O1852">
        <v>250401</v>
      </c>
      <c r="P1852">
        <v>1161.77</v>
      </c>
    </row>
    <row r="1853" spans="1:16" x14ac:dyDescent="0.25">
      <c r="A1853" t="s">
        <v>3296</v>
      </c>
      <c r="B1853" t="s">
        <v>2931</v>
      </c>
      <c r="C1853">
        <v>3785</v>
      </c>
      <c r="D1853" t="str">
        <f t="shared" si="55"/>
        <v xml:space="preserve">5011626     </v>
      </c>
      <c r="E1853" t="s">
        <v>8</v>
      </c>
      <c r="F1853" t="s">
        <v>11</v>
      </c>
      <c r="G1853">
        <v>103.85</v>
      </c>
      <c r="H1853">
        <v>250401</v>
      </c>
      <c r="I1853">
        <v>4841</v>
      </c>
      <c r="J1853" t="s">
        <v>9</v>
      </c>
      <c r="K1853">
        <v>13664.68</v>
      </c>
      <c r="L1853">
        <v>21.1</v>
      </c>
      <c r="M1853">
        <v>54422</v>
      </c>
      <c r="N1853" t="s">
        <v>49</v>
      </c>
      <c r="O1853">
        <v>250401</v>
      </c>
      <c r="P1853">
        <v>82.75</v>
      </c>
    </row>
    <row r="1854" spans="1:16" x14ac:dyDescent="0.25">
      <c r="A1854" t="s">
        <v>3296</v>
      </c>
      <c r="B1854" t="s">
        <v>2931</v>
      </c>
      <c r="C1854">
        <v>3785</v>
      </c>
      <c r="D1854" t="str">
        <f t="shared" si="55"/>
        <v xml:space="preserve">5011626     </v>
      </c>
      <c r="E1854" t="s">
        <v>8</v>
      </c>
      <c r="F1854" t="s">
        <v>11</v>
      </c>
      <c r="G1854">
        <v>890.94</v>
      </c>
      <c r="H1854">
        <v>250401</v>
      </c>
      <c r="I1854">
        <v>4841</v>
      </c>
      <c r="J1854" t="s">
        <v>9</v>
      </c>
      <c r="K1854">
        <v>13664.68</v>
      </c>
      <c r="L1854">
        <v>181.03</v>
      </c>
      <c r="M1854">
        <v>54422</v>
      </c>
      <c r="N1854" t="s">
        <v>49</v>
      </c>
      <c r="O1854">
        <v>250401</v>
      </c>
      <c r="P1854">
        <v>709.91</v>
      </c>
    </row>
    <row r="1855" spans="1:16" x14ac:dyDescent="0.25">
      <c r="A1855" t="s">
        <v>3296</v>
      </c>
      <c r="B1855" t="s">
        <v>2931</v>
      </c>
      <c r="C1855">
        <v>3785</v>
      </c>
      <c r="D1855" t="str">
        <f t="shared" si="55"/>
        <v xml:space="preserve">5011626     </v>
      </c>
      <c r="E1855" t="s">
        <v>8</v>
      </c>
      <c r="F1855" t="s">
        <v>11</v>
      </c>
      <c r="G1855">
        <v>1229.82</v>
      </c>
      <c r="H1855">
        <v>250401</v>
      </c>
      <c r="I1855">
        <v>4841</v>
      </c>
      <c r="J1855" t="s">
        <v>9</v>
      </c>
      <c r="K1855">
        <v>13664.68</v>
      </c>
      <c r="L1855">
        <v>249.88</v>
      </c>
      <c r="M1855">
        <v>56558</v>
      </c>
      <c r="N1855" t="s">
        <v>50</v>
      </c>
      <c r="O1855">
        <v>250401</v>
      </c>
      <c r="P1855">
        <v>979.94</v>
      </c>
    </row>
    <row r="1856" spans="1:16" x14ac:dyDescent="0.25">
      <c r="A1856" t="s">
        <v>3296</v>
      </c>
      <c r="B1856" t="s">
        <v>2931</v>
      </c>
      <c r="C1856">
        <v>3785</v>
      </c>
      <c r="D1856" t="str">
        <f t="shared" si="55"/>
        <v xml:space="preserve">5011626     </v>
      </c>
      <c r="E1856" t="s">
        <v>8</v>
      </c>
      <c r="F1856" t="s">
        <v>11</v>
      </c>
      <c r="G1856">
        <v>643.61</v>
      </c>
      <c r="H1856">
        <v>250401</v>
      </c>
      <c r="I1856">
        <v>4841</v>
      </c>
      <c r="J1856" t="s">
        <v>9</v>
      </c>
      <c r="K1856">
        <v>13664.68</v>
      </c>
      <c r="L1856">
        <v>130.77000000000001</v>
      </c>
      <c r="M1856">
        <v>56559</v>
      </c>
      <c r="N1856" t="s">
        <v>51</v>
      </c>
      <c r="O1856">
        <v>250401</v>
      </c>
      <c r="P1856">
        <v>512.84</v>
      </c>
    </row>
    <row r="1857" spans="1:16" x14ac:dyDescent="0.25">
      <c r="A1857" t="s">
        <v>3296</v>
      </c>
      <c r="B1857" t="s">
        <v>2931</v>
      </c>
      <c r="C1857">
        <v>3785</v>
      </c>
      <c r="D1857" t="str">
        <f t="shared" si="55"/>
        <v xml:space="preserve">5011626     </v>
      </c>
      <c r="E1857" t="s">
        <v>8</v>
      </c>
      <c r="F1857" t="s">
        <v>11</v>
      </c>
      <c r="G1857">
        <v>229.57</v>
      </c>
      <c r="H1857">
        <v>250401</v>
      </c>
      <c r="I1857">
        <v>4841</v>
      </c>
      <c r="J1857" t="s">
        <v>9</v>
      </c>
      <c r="K1857">
        <v>13664.68</v>
      </c>
      <c r="L1857">
        <v>46.65</v>
      </c>
      <c r="M1857">
        <v>56560</v>
      </c>
      <c r="N1857" t="s">
        <v>52</v>
      </c>
      <c r="O1857">
        <v>250401</v>
      </c>
      <c r="P1857">
        <v>182.92</v>
      </c>
    </row>
    <row r="1858" spans="1:16" x14ac:dyDescent="0.25">
      <c r="A1858" t="s">
        <v>3296</v>
      </c>
      <c r="B1858" t="s">
        <v>2931</v>
      </c>
      <c r="C1858">
        <v>3785</v>
      </c>
      <c r="D1858" t="str">
        <f t="shared" si="55"/>
        <v xml:space="preserve">5011626     </v>
      </c>
      <c r="E1858" t="s">
        <v>8</v>
      </c>
      <c r="F1858" t="s">
        <v>11</v>
      </c>
      <c r="G1858">
        <v>146.21</v>
      </c>
      <c r="H1858">
        <v>250401</v>
      </c>
      <c r="I1858">
        <v>4841</v>
      </c>
      <c r="J1858" t="s">
        <v>9</v>
      </c>
      <c r="K1858">
        <v>13664.68</v>
      </c>
      <c r="L1858">
        <v>29.71</v>
      </c>
      <c r="M1858">
        <v>56561</v>
      </c>
      <c r="N1858" t="s">
        <v>53</v>
      </c>
      <c r="O1858">
        <v>250401</v>
      </c>
      <c r="P1858">
        <v>116.5</v>
      </c>
    </row>
    <row r="1859" spans="1:16" x14ac:dyDescent="0.25">
      <c r="A1859" t="s">
        <v>3296</v>
      </c>
      <c r="B1859" t="s">
        <v>2931</v>
      </c>
      <c r="C1859">
        <v>3785</v>
      </c>
      <c r="D1859" t="str">
        <f t="shared" si="55"/>
        <v xml:space="preserve">5011626     </v>
      </c>
      <c r="E1859" t="s">
        <v>8</v>
      </c>
      <c r="F1859" t="s">
        <v>11</v>
      </c>
      <c r="G1859">
        <v>325.22000000000003</v>
      </c>
      <c r="H1859">
        <v>250401</v>
      </c>
      <c r="I1859">
        <v>4841</v>
      </c>
      <c r="J1859" t="s">
        <v>9</v>
      </c>
      <c r="K1859">
        <v>13664.68</v>
      </c>
      <c r="L1859">
        <v>66.08</v>
      </c>
      <c r="M1859">
        <v>56562</v>
      </c>
      <c r="N1859" t="s">
        <v>54</v>
      </c>
      <c r="O1859">
        <v>250401</v>
      </c>
      <c r="P1859">
        <v>259.14</v>
      </c>
    </row>
    <row r="1860" spans="1:16" x14ac:dyDescent="0.25">
      <c r="A1860" t="s">
        <v>3296</v>
      </c>
      <c r="B1860" t="s">
        <v>2931</v>
      </c>
      <c r="C1860">
        <v>3785</v>
      </c>
      <c r="D1860" t="str">
        <f t="shared" si="55"/>
        <v xml:space="preserve">5011626     </v>
      </c>
      <c r="E1860" t="s">
        <v>8</v>
      </c>
      <c r="F1860" t="s">
        <v>11</v>
      </c>
      <c r="G1860">
        <v>284.23</v>
      </c>
      <c r="H1860">
        <v>250401</v>
      </c>
      <c r="I1860">
        <v>4841</v>
      </c>
      <c r="J1860" t="s">
        <v>9</v>
      </c>
      <c r="K1860">
        <v>13664.68</v>
      </c>
      <c r="L1860">
        <v>57.75</v>
      </c>
      <c r="M1860">
        <v>56563</v>
      </c>
      <c r="N1860" t="s">
        <v>55</v>
      </c>
      <c r="O1860">
        <v>250401</v>
      </c>
      <c r="P1860">
        <v>226.48</v>
      </c>
    </row>
    <row r="1861" spans="1:16" x14ac:dyDescent="0.25">
      <c r="A1861" t="s">
        <v>3296</v>
      </c>
      <c r="B1861" t="s">
        <v>2931</v>
      </c>
      <c r="C1861">
        <v>3785</v>
      </c>
      <c r="D1861" t="str">
        <f t="shared" si="55"/>
        <v xml:space="preserve">5011626     </v>
      </c>
      <c r="E1861" t="s">
        <v>8</v>
      </c>
      <c r="F1861" t="s">
        <v>11</v>
      </c>
      <c r="G1861">
        <v>966.09</v>
      </c>
      <c r="H1861">
        <v>250401</v>
      </c>
      <c r="I1861">
        <v>4841</v>
      </c>
      <c r="J1861" t="s">
        <v>9</v>
      </c>
      <c r="K1861">
        <v>13664.68</v>
      </c>
      <c r="L1861">
        <v>196.3</v>
      </c>
      <c r="M1861">
        <v>56564</v>
      </c>
      <c r="N1861" t="s">
        <v>56</v>
      </c>
      <c r="O1861">
        <v>250401</v>
      </c>
      <c r="P1861">
        <v>769.79</v>
      </c>
    </row>
    <row r="1862" spans="1:16" x14ac:dyDescent="0.25">
      <c r="A1862" t="s">
        <v>3296</v>
      </c>
      <c r="B1862" t="s">
        <v>2931</v>
      </c>
      <c r="C1862">
        <v>3785</v>
      </c>
      <c r="D1862" t="str">
        <f t="shared" si="55"/>
        <v xml:space="preserve">5011626     </v>
      </c>
      <c r="E1862" t="s">
        <v>8</v>
      </c>
      <c r="F1862" t="s">
        <v>11</v>
      </c>
      <c r="G1862">
        <v>157.13999999999999</v>
      </c>
      <c r="H1862">
        <v>250401</v>
      </c>
      <c r="I1862">
        <v>4841</v>
      </c>
      <c r="J1862" t="s">
        <v>9</v>
      </c>
      <c r="K1862">
        <v>13664.68</v>
      </c>
      <c r="L1862">
        <v>31.93</v>
      </c>
      <c r="M1862">
        <v>56565</v>
      </c>
      <c r="N1862" t="s">
        <v>57</v>
      </c>
      <c r="O1862">
        <v>250401</v>
      </c>
      <c r="P1862">
        <v>125.21</v>
      </c>
    </row>
    <row r="1863" spans="1:16" x14ac:dyDescent="0.25">
      <c r="A1863" t="s">
        <v>3296</v>
      </c>
      <c r="B1863" t="s">
        <v>2931</v>
      </c>
      <c r="C1863">
        <v>3785</v>
      </c>
      <c r="D1863" t="str">
        <f t="shared" si="55"/>
        <v xml:space="preserve">5011626     </v>
      </c>
      <c r="E1863" t="s">
        <v>8</v>
      </c>
      <c r="F1863" t="s">
        <v>11</v>
      </c>
      <c r="G1863">
        <v>4051.58</v>
      </c>
      <c r="H1863">
        <v>250401</v>
      </c>
      <c r="I1863">
        <v>4841</v>
      </c>
      <c r="J1863" t="s">
        <v>9</v>
      </c>
      <c r="K1863">
        <v>13664.68</v>
      </c>
      <c r="L1863">
        <v>823.23</v>
      </c>
      <c r="M1863">
        <v>56566</v>
      </c>
      <c r="N1863" t="s">
        <v>58</v>
      </c>
      <c r="O1863">
        <v>250401</v>
      </c>
      <c r="P1863">
        <v>3228.35</v>
      </c>
    </row>
    <row r="1864" spans="1:16" x14ac:dyDescent="0.25">
      <c r="A1864" t="s">
        <v>3296</v>
      </c>
      <c r="B1864" t="s">
        <v>2931</v>
      </c>
      <c r="C1864">
        <v>3785</v>
      </c>
      <c r="D1864" t="str">
        <f t="shared" si="55"/>
        <v xml:space="preserve">5011626     </v>
      </c>
      <c r="E1864" t="s">
        <v>8</v>
      </c>
      <c r="F1864" t="s">
        <v>11</v>
      </c>
      <c r="G1864">
        <v>319.75</v>
      </c>
      <c r="H1864">
        <v>250401</v>
      </c>
      <c r="I1864">
        <v>4841</v>
      </c>
      <c r="J1864" t="s">
        <v>9</v>
      </c>
      <c r="K1864">
        <v>13664.68</v>
      </c>
      <c r="L1864">
        <v>64.97</v>
      </c>
      <c r="M1864">
        <v>58601</v>
      </c>
      <c r="N1864" t="s">
        <v>59</v>
      </c>
      <c r="O1864">
        <v>250401</v>
      </c>
      <c r="P1864">
        <v>254.78</v>
      </c>
    </row>
    <row r="1865" spans="1:16" x14ac:dyDescent="0.25">
      <c r="A1865" t="s">
        <v>3296</v>
      </c>
      <c r="B1865" t="s">
        <v>2931</v>
      </c>
      <c r="C1865">
        <v>3785</v>
      </c>
      <c r="D1865" t="str">
        <f t="shared" si="55"/>
        <v xml:space="preserve">5011626     </v>
      </c>
      <c r="E1865" t="s">
        <v>8</v>
      </c>
      <c r="F1865" t="s">
        <v>11</v>
      </c>
      <c r="G1865">
        <v>148.94999999999999</v>
      </c>
      <c r="H1865">
        <v>250401</v>
      </c>
      <c r="I1865">
        <v>4841</v>
      </c>
      <c r="J1865" t="s">
        <v>9</v>
      </c>
      <c r="K1865">
        <v>13664.68</v>
      </c>
      <c r="L1865">
        <v>30.26</v>
      </c>
      <c r="M1865">
        <v>59111</v>
      </c>
      <c r="N1865" t="s">
        <v>60</v>
      </c>
      <c r="O1865">
        <v>250401</v>
      </c>
      <c r="P1865">
        <v>118.69</v>
      </c>
    </row>
    <row r="1866" spans="1:16" x14ac:dyDescent="0.25">
      <c r="A1866" t="s">
        <v>3296</v>
      </c>
      <c r="B1866" t="s">
        <v>2931</v>
      </c>
      <c r="C1866">
        <v>3785</v>
      </c>
      <c r="D1866" t="str">
        <f t="shared" si="55"/>
        <v xml:space="preserve">5011626     </v>
      </c>
      <c r="E1866" t="s">
        <v>8</v>
      </c>
      <c r="F1866" t="s">
        <v>11</v>
      </c>
      <c r="G1866">
        <v>45.09</v>
      </c>
      <c r="H1866">
        <v>250401</v>
      </c>
      <c r="I1866">
        <v>4841</v>
      </c>
      <c r="J1866" t="s">
        <v>9</v>
      </c>
      <c r="K1866">
        <v>13664.68</v>
      </c>
      <c r="L1866">
        <v>9.16</v>
      </c>
      <c r="M1866">
        <v>59112</v>
      </c>
      <c r="N1866" t="s">
        <v>44</v>
      </c>
      <c r="O1866">
        <v>250401</v>
      </c>
      <c r="P1866">
        <v>35.93</v>
      </c>
    </row>
    <row r="1867" spans="1:16" x14ac:dyDescent="0.25">
      <c r="A1867" t="s">
        <v>3296</v>
      </c>
      <c r="B1867" t="s">
        <v>2931</v>
      </c>
      <c r="C1867">
        <v>3785</v>
      </c>
      <c r="D1867" t="str">
        <f t="shared" si="55"/>
        <v xml:space="preserve">5011626     </v>
      </c>
      <c r="E1867" t="s">
        <v>8</v>
      </c>
      <c r="F1867" t="s">
        <v>11</v>
      </c>
      <c r="G1867">
        <v>129.81</v>
      </c>
      <c r="H1867">
        <v>250401</v>
      </c>
      <c r="I1867">
        <v>4841</v>
      </c>
      <c r="J1867" t="s">
        <v>9</v>
      </c>
      <c r="K1867">
        <v>13664.68</v>
      </c>
      <c r="L1867">
        <v>26.38</v>
      </c>
      <c r="M1867">
        <v>59113</v>
      </c>
      <c r="N1867" t="s">
        <v>61</v>
      </c>
      <c r="O1867">
        <v>250401</v>
      </c>
      <c r="P1867">
        <v>103.43</v>
      </c>
    </row>
    <row r="1868" spans="1:16" x14ac:dyDescent="0.25">
      <c r="A1868" t="s">
        <v>3296</v>
      </c>
      <c r="B1868" t="s">
        <v>2931</v>
      </c>
      <c r="C1868">
        <v>3785</v>
      </c>
      <c r="D1868" t="str">
        <f t="shared" si="55"/>
        <v xml:space="preserve">5011626     </v>
      </c>
      <c r="E1868" t="s">
        <v>8</v>
      </c>
      <c r="F1868" t="s">
        <v>11</v>
      </c>
      <c r="G1868">
        <v>232.3</v>
      </c>
      <c r="H1868">
        <v>250401</v>
      </c>
      <c r="I1868">
        <v>4841</v>
      </c>
      <c r="J1868" t="s">
        <v>9</v>
      </c>
      <c r="K1868">
        <v>13664.68</v>
      </c>
      <c r="L1868">
        <v>47.2</v>
      </c>
      <c r="M1868">
        <v>59501</v>
      </c>
      <c r="N1868" t="s">
        <v>62</v>
      </c>
      <c r="O1868">
        <v>250401</v>
      </c>
      <c r="P1868">
        <v>185.1</v>
      </c>
    </row>
    <row r="1869" spans="1:16" x14ac:dyDescent="0.25">
      <c r="A1869" t="s">
        <v>3296</v>
      </c>
      <c r="B1869" t="s">
        <v>2931</v>
      </c>
      <c r="C1869">
        <v>3785</v>
      </c>
      <c r="D1869" t="str">
        <f t="shared" si="55"/>
        <v xml:space="preserve">5011626     </v>
      </c>
      <c r="E1869" t="s">
        <v>8</v>
      </c>
      <c r="F1869" t="s">
        <v>11</v>
      </c>
      <c r="G1869">
        <v>907.33</v>
      </c>
      <c r="H1869">
        <v>250401</v>
      </c>
      <c r="I1869">
        <v>4841</v>
      </c>
      <c r="J1869" t="s">
        <v>9</v>
      </c>
      <c r="K1869">
        <v>13664.68</v>
      </c>
      <c r="L1869">
        <v>184.36</v>
      </c>
      <c r="M1869">
        <v>59502</v>
      </c>
      <c r="N1869" t="s">
        <v>63</v>
      </c>
      <c r="O1869">
        <v>250401</v>
      </c>
      <c r="P1869">
        <v>722.97</v>
      </c>
    </row>
    <row r="1870" spans="1:16" x14ac:dyDescent="0.25">
      <c r="A1870" t="s">
        <v>3296</v>
      </c>
      <c r="B1870" t="s">
        <v>2931</v>
      </c>
      <c r="C1870">
        <v>3785</v>
      </c>
      <c r="D1870" t="str">
        <f t="shared" si="55"/>
        <v xml:space="preserve">5011626     </v>
      </c>
      <c r="E1870" t="s">
        <v>8</v>
      </c>
      <c r="F1870" t="s">
        <v>11</v>
      </c>
      <c r="G1870">
        <v>375.78</v>
      </c>
      <c r="H1870">
        <v>250401</v>
      </c>
      <c r="I1870">
        <v>4841</v>
      </c>
      <c r="J1870" t="s">
        <v>9</v>
      </c>
      <c r="K1870">
        <v>13664.68</v>
      </c>
      <c r="L1870">
        <v>76.349999999999994</v>
      </c>
      <c r="M1870">
        <v>59701</v>
      </c>
      <c r="N1870" t="s">
        <v>64</v>
      </c>
      <c r="O1870">
        <v>250401</v>
      </c>
      <c r="P1870">
        <v>299.43</v>
      </c>
    </row>
    <row r="1871" spans="1:16" x14ac:dyDescent="0.25">
      <c r="A1871" t="s">
        <v>3296</v>
      </c>
      <c r="B1871" t="s">
        <v>2931</v>
      </c>
      <c r="C1871">
        <v>3785</v>
      </c>
      <c r="D1871" t="str">
        <f t="shared" si="55"/>
        <v xml:space="preserve">5011626     </v>
      </c>
      <c r="E1871" t="s">
        <v>8</v>
      </c>
      <c r="F1871" t="s">
        <v>11</v>
      </c>
      <c r="G1871">
        <v>714.66</v>
      </c>
      <c r="H1871">
        <v>250401</v>
      </c>
      <c r="I1871">
        <v>4841</v>
      </c>
      <c r="J1871" t="s">
        <v>9</v>
      </c>
      <c r="K1871">
        <v>13664.68</v>
      </c>
      <c r="L1871">
        <v>145.21</v>
      </c>
      <c r="M1871">
        <v>59702</v>
      </c>
      <c r="N1871" t="s">
        <v>45</v>
      </c>
      <c r="O1871">
        <v>250401</v>
      </c>
      <c r="P1871">
        <v>569.45000000000005</v>
      </c>
    </row>
    <row r="1872" spans="1:16" x14ac:dyDescent="0.25">
      <c r="A1872" t="s">
        <v>3296</v>
      </c>
      <c r="B1872" t="s">
        <v>2931</v>
      </c>
      <c r="C1872">
        <v>3785</v>
      </c>
      <c r="D1872" t="str">
        <f t="shared" si="55"/>
        <v xml:space="preserve">5011626     </v>
      </c>
      <c r="E1872" t="s">
        <v>8</v>
      </c>
      <c r="F1872" t="s">
        <v>11</v>
      </c>
      <c r="G1872">
        <v>277.39</v>
      </c>
      <c r="H1872">
        <v>250401</v>
      </c>
      <c r="I1872">
        <v>4841</v>
      </c>
      <c r="J1872" t="s">
        <v>9</v>
      </c>
      <c r="K1872">
        <v>13664.68</v>
      </c>
      <c r="L1872">
        <v>56.36</v>
      </c>
      <c r="M1872">
        <v>59704</v>
      </c>
      <c r="N1872" t="s">
        <v>46</v>
      </c>
      <c r="O1872">
        <v>250401</v>
      </c>
      <c r="P1872">
        <v>221.03</v>
      </c>
    </row>
    <row r="1873" spans="1:16" x14ac:dyDescent="0.25">
      <c r="A1873" t="s">
        <v>3296</v>
      </c>
      <c r="B1873" t="s">
        <v>2931</v>
      </c>
      <c r="C1873">
        <v>3785</v>
      </c>
      <c r="D1873" t="str">
        <f t="shared" si="55"/>
        <v xml:space="preserve">5011626     </v>
      </c>
      <c r="E1873" t="s">
        <v>8</v>
      </c>
      <c r="F1873" t="s">
        <v>11</v>
      </c>
      <c r="G1873">
        <v>27.34</v>
      </c>
      <c r="H1873">
        <v>250401</v>
      </c>
      <c r="I1873">
        <v>4841</v>
      </c>
      <c r="J1873" t="s">
        <v>9</v>
      </c>
      <c r="K1873">
        <v>13664.68</v>
      </c>
      <c r="L1873">
        <v>5.56</v>
      </c>
      <c r="M1873">
        <v>59705</v>
      </c>
      <c r="N1873" t="s">
        <v>47</v>
      </c>
      <c r="O1873">
        <v>250401</v>
      </c>
      <c r="P1873">
        <v>21.78</v>
      </c>
    </row>
    <row r="1874" spans="1:16" x14ac:dyDescent="0.25">
      <c r="A1874" t="s">
        <v>3296</v>
      </c>
      <c r="B1874" t="s">
        <v>2931</v>
      </c>
      <c r="C1874">
        <v>3789</v>
      </c>
      <c r="D1874" t="str">
        <f>"5011594     "</f>
        <v xml:space="preserve">5011594     </v>
      </c>
      <c r="E1874" t="s">
        <v>8</v>
      </c>
      <c r="F1874" t="s">
        <v>11</v>
      </c>
      <c r="G1874">
        <v>13.79</v>
      </c>
      <c r="H1874">
        <v>250401</v>
      </c>
      <c r="I1874">
        <v>4841</v>
      </c>
      <c r="J1874" t="s">
        <v>9</v>
      </c>
      <c r="K1874">
        <v>13.79</v>
      </c>
      <c r="L1874">
        <v>2.8</v>
      </c>
      <c r="M1874">
        <v>17972</v>
      </c>
      <c r="N1874" t="s">
        <v>28</v>
      </c>
      <c r="O1874">
        <v>250401</v>
      </c>
      <c r="P1874">
        <v>10.99</v>
      </c>
    </row>
    <row r="1875" spans="1:16" x14ac:dyDescent="0.25">
      <c r="A1875" t="s">
        <v>3296</v>
      </c>
      <c r="B1875" t="s">
        <v>2931</v>
      </c>
      <c r="C1875">
        <v>3791</v>
      </c>
      <c r="D1875" t="str">
        <f t="shared" ref="D1875:D1880" si="56">"5011598     "</f>
        <v xml:space="preserve">5011598     </v>
      </c>
      <c r="E1875" t="s">
        <v>8</v>
      </c>
      <c r="F1875" t="s">
        <v>11</v>
      </c>
      <c r="G1875">
        <v>21.13</v>
      </c>
      <c r="H1875">
        <v>250401</v>
      </c>
      <c r="I1875">
        <v>4841</v>
      </c>
      <c r="J1875" t="s">
        <v>9</v>
      </c>
      <c r="K1875">
        <v>1937.43</v>
      </c>
      <c r="L1875">
        <v>4.29</v>
      </c>
      <c r="M1875">
        <v>18010</v>
      </c>
      <c r="N1875" t="s">
        <v>36</v>
      </c>
      <c r="O1875">
        <v>250401</v>
      </c>
      <c r="P1875">
        <v>16.84</v>
      </c>
    </row>
    <row r="1876" spans="1:16" x14ac:dyDescent="0.25">
      <c r="A1876" t="s">
        <v>3296</v>
      </c>
      <c r="B1876" t="s">
        <v>2931</v>
      </c>
      <c r="C1876">
        <v>3791</v>
      </c>
      <c r="D1876" t="str">
        <f t="shared" si="56"/>
        <v xml:space="preserve">5011598     </v>
      </c>
      <c r="E1876" t="s">
        <v>8</v>
      </c>
      <c r="F1876" t="s">
        <v>11</v>
      </c>
      <c r="G1876">
        <v>156.88</v>
      </c>
      <c r="H1876">
        <v>250401</v>
      </c>
      <c r="I1876">
        <v>4841</v>
      </c>
      <c r="J1876" t="s">
        <v>9</v>
      </c>
      <c r="K1876">
        <v>1937.43</v>
      </c>
      <c r="L1876">
        <v>31.88</v>
      </c>
      <c r="M1876">
        <v>18120</v>
      </c>
      <c r="N1876" t="s">
        <v>37</v>
      </c>
      <c r="O1876">
        <v>250401</v>
      </c>
      <c r="P1876">
        <v>125</v>
      </c>
    </row>
    <row r="1877" spans="1:16" x14ac:dyDescent="0.25">
      <c r="A1877" t="s">
        <v>3296</v>
      </c>
      <c r="B1877" t="s">
        <v>2931</v>
      </c>
      <c r="C1877">
        <v>3791</v>
      </c>
      <c r="D1877" t="str">
        <f t="shared" si="56"/>
        <v xml:space="preserve">5011598     </v>
      </c>
      <c r="E1877" t="s">
        <v>8</v>
      </c>
      <c r="F1877" t="s">
        <v>11</v>
      </c>
      <c r="G1877">
        <v>236.69</v>
      </c>
      <c r="H1877">
        <v>250401</v>
      </c>
      <c r="I1877">
        <v>4841</v>
      </c>
      <c r="J1877" t="s">
        <v>9</v>
      </c>
      <c r="K1877">
        <v>1937.43</v>
      </c>
      <c r="L1877">
        <v>48.09</v>
      </c>
      <c r="M1877">
        <v>18122</v>
      </c>
      <c r="N1877" t="s">
        <v>176</v>
      </c>
      <c r="O1877">
        <v>250401</v>
      </c>
      <c r="P1877">
        <v>188.6</v>
      </c>
    </row>
    <row r="1878" spans="1:16" x14ac:dyDescent="0.25">
      <c r="A1878" t="s">
        <v>3296</v>
      </c>
      <c r="B1878" t="s">
        <v>2931</v>
      </c>
      <c r="C1878">
        <v>3791</v>
      </c>
      <c r="D1878" t="str">
        <f t="shared" si="56"/>
        <v xml:space="preserve">5011598     </v>
      </c>
      <c r="E1878" t="s">
        <v>8</v>
      </c>
      <c r="F1878" t="s">
        <v>11</v>
      </c>
      <c r="G1878">
        <v>174.97</v>
      </c>
      <c r="H1878">
        <v>250401</v>
      </c>
      <c r="I1878">
        <v>4841</v>
      </c>
      <c r="J1878" t="s">
        <v>9</v>
      </c>
      <c r="K1878">
        <v>1937.43</v>
      </c>
      <c r="L1878">
        <v>35.549999999999997</v>
      </c>
      <c r="M1878">
        <v>18971</v>
      </c>
      <c r="N1878" t="s">
        <v>38</v>
      </c>
      <c r="O1878">
        <v>250401</v>
      </c>
      <c r="P1878">
        <v>139.41999999999999</v>
      </c>
    </row>
    <row r="1879" spans="1:16" x14ac:dyDescent="0.25">
      <c r="A1879" t="s">
        <v>3296</v>
      </c>
      <c r="B1879" t="s">
        <v>2931</v>
      </c>
      <c r="C1879">
        <v>3791</v>
      </c>
      <c r="D1879" t="str">
        <f t="shared" si="56"/>
        <v xml:space="preserve">5011598     </v>
      </c>
      <c r="E1879" t="s">
        <v>8</v>
      </c>
      <c r="F1879" t="s">
        <v>11</v>
      </c>
      <c r="G1879">
        <v>658.38</v>
      </c>
      <c r="H1879">
        <v>250401</v>
      </c>
      <c r="I1879">
        <v>4841</v>
      </c>
      <c r="J1879" t="s">
        <v>9</v>
      </c>
      <c r="K1879">
        <v>1937.43</v>
      </c>
      <c r="L1879">
        <v>133.77000000000001</v>
      </c>
      <c r="M1879">
        <v>18972</v>
      </c>
      <c r="N1879" t="s">
        <v>39</v>
      </c>
      <c r="O1879">
        <v>250401</v>
      </c>
      <c r="P1879">
        <v>524.61</v>
      </c>
    </row>
    <row r="1880" spans="1:16" x14ac:dyDescent="0.25">
      <c r="A1880" t="s">
        <v>3296</v>
      </c>
      <c r="B1880" t="s">
        <v>2931</v>
      </c>
      <c r="C1880">
        <v>3791</v>
      </c>
      <c r="D1880" t="str">
        <f t="shared" si="56"/>
        <v xml:space="preserve">5011598     </v>
      </c>
      <c r="E1880" t="s">
        <v>8</v>
      </c>
      <c r="F1880" t="s">
        <v>11</v>
      </c>
      <c r="G1880">
        <v>689.38</v>
      </c>
      <c r="H1880">
        <v>250401</v>
      </c>
      <c r="I1880">
        <v>4841</v>
      </c>
      <c r="J1880" t="s">
        <v>9</v>
      </c>
      <c r="K1880">
        <v>1937.43</v>
      </c>
      <c r="L1880">
        <v>140.07</v>
      </c>
      <c r="M1880">
        <v>18982</v>
      </c>
      <c r="N1880" t="s">
        <v>736</v>
      </c>
      <c r="O1880">
        <v>250401</v>
      </c>
      <c r="P1880">
        <v>549.30999999999995</v>
      </c>
    </row>
    <row r="1881" spans="1:16" x14ac:dyDescent="0.25">
      <c r="A1881" t="s">
        <v>3296</v>
      </c>
      <c r="B1881" t="s">
        <v>2931</v>
      </c>
      <c r="C1881">
        <v>3793</v>
      </c>
      <c r="D1881" t="str">
        <f>"5011605     "</f>
        <v xml:space="preserve">5011605     </v>
      </c>
      <c r="E1881" t="s">
        <v>8</v>
      </c>
      <c r="F1881" t="s">
        <v>11</v>
      </c>
      <c r="G1881">
        <v>125</v>
      </c>
      <c r="H1881">
        <v>250401</v>
      </c>
      <c r="I1881">
        <v>4841</v>
      </c>
      <c r="J1881" t="s">
        <v>9</v>
      </c>
      <c r="K1881">
        <v>125</v>
      </c>
      <c r="L1881">
        <v>25.4</v>
      </c>
      <c r="M1881">
        <v>11751</v>
      </c>
      <c r="N1881" t="s">
        <v>167</v>
      </c>
      <c r="O1881">
        <v>250401</v>
      </c>
      <c r="P1881">
        <v>99.6</v>
      </c>
    </row>
    <row r="1882" spans="1:16" x14ac:dyDescent="0.25">
      <c r="A1882" t="s">
        <v>3296</v>
      </c>
      <c r="B1882" t="s">
        <v>2931</v>
      </c>
      <c r="C1882">
        <v>3797</v>
      </c>
      <c r="D1882" t="str">
        <f t="shared" ref="D1882:D1907" si="57">"5011625     "</f>
        <v xml:space="preserve">5011625     </v>
      </c>
      <c r="E1882" t="s">
        <v>8</v>
      </c>
      <c r="F1882" t="s">
        <v>11</v>
      </c>
      <c r="G1882">
        <v>432.09</v>
      </c>
      <c r="H1882">
        <v>250401</v>
      </c>
      <c r="I1882">
        <v>4841</v>
      </c>
      <c r="J1882" t="s">
        <v>9</v>
      </c>
      <c r="K1882">
        <v>15156.81</v>
      </c>
      <c r="L1882">
        <v>87.8</v>
      </c>
      <c r="M1882">
        <v>14121</v>
      </c>
      <c r="N1882" t="s">
        <v>71</v>
      </c>
      <c r="O1882">
        <v>250401</v>
      </c>
      <c r="P1882">
        <v>344.29</v>
      </c>
    </row>
    <row r="1883" spans="1:16" x14ac:dyDescent="0.25">
      <c r="A1883" t="s">
        <v>3296</v>
      </c>
      <c r="B1883" t="s">
        <v>2931</v>
      </c>
      <c r="C1883">
        <v>3797</v>
      </c>
      <c r="D1883" t="str">
        <f t="shared" si="57"/>
        <v xml:space="preserve">5011625     </v>
      </c>
      <c r="E1883" t="s">
        <v>8</v>
      </c>
      <c r="F1883" t="s">
        <v>11</v>
      </c>
      <c r="G1883">
        <v>2713.53</v>
      </c>
      <c r="H1883">
        <v>250401</v>
      </c>
      <c r="I1883">
        <v>4841</v>
      </c>
      <c r="J1883" t="s">
        <v>9</v>
      </c>
      <c r="K1883">
        <v>15156.81</v>
      </c>
      <c r="L1883">
        <v>551.35</v>
      </c>
      <c r="M1883">
        <v>14121</v>
      </c>
      <c r="N1883" t="s">
        <v>71</v>
      </c>
      <c r="O1883">
        <v>250401</v>
      </c>
      <c r="P1883">
        <v>2162.1799999999998</v>
      </c>
    </row>
    <row r="1884" spans="1:16" x14ac:dyDescent="0.25">
      <c r="A1884" t="s">
        <v>3296</v>
      </c>
      <c r="B1884" t="s">
        <v>2931</v>
      </c>
      <c r="C1884">
        <v>3797</v>
      </c>
      <c r="D1884" t="str">
        <f t="shared" si="57"/>
        <v xml:space="preserve">5011625     </v>
      </c>
      <c r="E1884" t="s">
        <v>8</v>
      </c>
      <c r="F1884" t="s">
        <v>11</v>
      </c>
      <c r="G1884">
        <v>684.57</v>
      </c>
      <c r="H1884">
        <v>250401</v>
      </c>
      <c r="I1884">
        <v>4841</v>
      </c>
      <c r="J1884" t="s">
        <v>9</v>
      </c>
      <c r="K1884">
        <v>15156.81</v>
      </c>
      <c r="L1884">
        <v>139.1</v>
      </c>
      <c r="M1884">
        <v>14321</v>
      </c>
      <c r="N1884" t="s">
        <v>72</v>
      </c>
      <c r="O1884">
        <v>250401</v>
      </c>
      <c r="P1884">
        <v>545.47</v>
      </c>
    </row>
    <row r="1885" spans="1:16" x14ac:dyDescent="0.25">
      <c r="A1885" t="s">
        <v>3296</v>
      </c>
      <c r="B1885" t="s">
        <v>2931</v>
      </c>
      <c r="C1885">
        <v>3797</v>
      </c>
      <c r="D1885" t="str">
        <f t="shared" si="57"/>
        <v xml:space="preserve">5011625     </v>
      </c>
      <c r="E1885" t="s">
        <v>8</v>
      </c>
      <c r="F1885" t="s">
        <v>11</v>
      </c>
      <c r="G1885">
        <v>753.32</v>
      </c>
      <c r="H1885">
        <v>250401</v>
      </c>
      <c r="I1885">
        <v>4841</v>
      </c>
      <c r="J1885" t="s">
        <v>9</v>
      </c>
      <c r="K1885">
        <v>15156.81</v>
      </c>
      <c r="L1885">
        <v>153.07</v>
      </c>
      <c r="M1885">
        <v>14321</v>
      </c>
      <c r="N1885" t="s">
        <v>72</v>
      </c>
      <c r="O1885">
        <v>250401</v>
      </c>
      <c r="P1885">
        <v>600.25</v>
      </c>
    </row>
    <row r="1886" spans="1:16" x14ac:dyDescent="0.25">
      <c r="A1886" t="s">
        <v>3296</v>
      </c>
      <c r="B1886" t="s">
        <v>2931</v>
      </c>
      <c r="C1886">
        <v>3797</v>
      </c>
      <c r="D1886" t="str">
        <f t="shared" si="57"/>
        <v xml:space="preserve">5011625     </v>
      </c>
      <c r="E1886" t="s">
        <v>8</v>
      </c>
      <c r="F1886" t="s">
        <v>11</v>
      </c>
      <c r="G1886">
        <v>1218.5999999999999</v>
      </c>
      <c r="H1886">
        <v>250401</v>
      </c>
      <c r="I1886">
        <v>4841</v>
      </c>
      <c r="J1886" t="s">
        <v>9</v>
      </c>
      <c r="K1886">
        <v>15156.81</v>
      </c>
      <c r="L1886">
        <v>247.6</v>
      </c>
      <c r="M1886">
        <v>14422</v>
      </c>
      <c r="N1886" t="s">
        <v>73</v>
      </c>
      <c r="O1886">
        <v>250401</v>
      </c>
      <c r="P1886">
        <v>971</v>
      </c>
    </row>
    <row r="1887" spans="1:16" x14ac:dyDescent="0.25">
      <c r="A1887" t="s">
        <v>3296</v>
      </c>
      <c r="B1887" t="s">
        <v>2931</v>
      </c>
      <c r="C1887">
        <v>3797</v>
      </c>
      <c r="D1887" t="str">
        <f t="shared" si="57"/>
        <v xml:space="preserve">5011625     </v>
      </c>
      <c r="E1887" t="s">
        <v>8</v>
      </c>
      <c r="F1887" t="s">
        <v>11</v>
      </c>
      <c r="G1887">
        <v>563.25</v>
      </c>
      <c r="H1887">
        <v>250401</v>
      </c>
      <c r="I1887">
        <v>4841</v>
      </c>
      <c r="J1887" t="s">
        <v>9</v>
      </c>
      <c r="K1887">
        <v>15156.81</v>
      </c>
      <c r="L1887">
        <v>114.45</v>
      </c>
      <c r="M1887">
        <v>14422</v>
      </c>
      <c r="N1887" t="s">
        <v>73</v>
      </c>
      <c r="O1887">
        <v>250401</v>
      </c>
      <c r="P1887">
        <v>448.8</v>
      </c>
    </row>
    <row r="1888" spans="1:16" x14ac:dyDescent="0.25">
      <c r="A1888" t="s">
        <v>3296</v>
      </c>
      <c r="B1888" t="s">
        <v>2931</v>
      </c>
      <c r="C1888">
        <v>3797</v>
      </c>
      <c r="D1888" t="str">
        <f t="shared" si="57"/>
        <v xml:space="preserve">5011625     </v>
      </c>
      <c r="E1888" t="s">
        <v>8</v>
      </c>
      <c r="F1888" t="s">
        <v>11</v>
      </c>
      <c r="G1888">
        <v>12.44</v>
      </c>
      <c r="H1888">
        <v>250401</v>
      </c>
      <c r="I1888">
        <v>4841</v>
      </c>
      <c r="J1888" t="s">
        <v>9</v>
      </c>
      <c r="K1888">
        <v>15156.81</v>
      </c>
      <c r="L1888">
        <v>2.5299999999999998</v>
      </c>
      <c r="M1888">
        <v>14431</v>
      </c>
      <c r="N1888" t="s">
        <v>74</v>
      </c>
      <c r="O1888">
        <v>250401</v>
      </c>
      <c r="P1888">
        <v>9.91</v>
      </c>
    </row>
    <row r="1889" spans="1:16" x14ac:dyDescent="0.25">
      <c r="A1889" t="s">
        <v>3296</v>
      </c>
      <c r="B1889" t="s">
        <v>2931</v>
      </c>
      <c r="C1889">
        <v>3797</v>
      </c>
      <c r="D1889" t="str">
        <f t="shared" si="57"/>
        <v xml:space="preserve">5011625     </v>
      </c>
      <c r="E1889" t="s">
        <v>8</v>
      </c>
      <c r="F1889" t="s">
        <v>11</v>
      </c>
      <c r="G1889">
        <v>59.38</v>
      </c>
      <c r="H1889">
        <v>250401</v>
      </c>
      <c r="I1889">
        <v>4841</v>
      </c>
      <c r="J1889" t="s">
        <v>9</v>
      </c>
      <c r="K1889">
        <v>15156.81</v>
      </c>
      <c r="L1889">
        <v>12.07</v>
      </c>
      <c r="M1889">
        <v>14432</v>
      </c>
      <c r="N1889" t="s">
        <v>75</v>
      </c>
      <c r="O1889">
        <v>250401</v>
      </c>
      <c r="P1889">
        <v>47.31</v>
      </c>
    </row>
    <row r="1890" spans="1:16" x14ac:dyDescent="0.25">
      <c r="A1890" t="s">
        <v>3296</v>
      </c>
      <c r="B1890" t="s">
        <v>2931</v>
      </c>
      <c r="C1890">
        <v>3797</v>
      </c>
      <c r="D1890" t="str">
        <f t="shared" si="57"/>
        <v xml:space="preserve">5011625     </v>
      </c>
      <c r="E1890" t="s">
        <v>8</v>
      </c>
      <c r="F1890" t="s">
        <v>11</v>
      </c>
      <c r="G1890">
        <v>80.430000000000007</v>
      </c>
      <c r="H1890">
        <v>250401</v>
      </c>
      <c r="I1890">
        <v>4841</v>
      </c>
      <c r="J1890" t="s">
        <v>9</v>
      </c>
      <c r="K1890">
        <v>15156.81</v>
      </c>
      <c r="L1890">
        <v>16.34</v>
      </c>
      <c r="M1890">
        <v>14541</v>
      </c>
      <c r="N1890" t="s">
        <v>76</v>
      </c>
      <c r="O1890">
        <v>250401</v>
      </c>
      <c r="P1890">
        <v>64.09</v>
      </c>
    </row>
    <row r="1891" spans="1:16" x14ac:dyDescent="0.25">
      <c r="A1891" t="s">
        <v>3296</v>
      </c>
      <c r="B1891" t="s">
        <v>2931</v>
      </c>
      <c r="C1891">
        <v>3797</v>
      </c>
      <c r="D1891" t="str">
        <f t="shared" si="57"/>
        <v xml:space="preserve">5011625     </v>
      </c>
      <c r="E1891" t="s">
        <v>8</v>
      </c>
      <c r="F1891" t="s">
        <v>11</v>
      </c>
      <c r="G1891">
        <v>991.9</v>
      </c>
      <c r="H1891">
        <v>250401</v>
      </c>
      <c r="I1891">
        <v>4841</v>
      </c>
      <c r="J1891" t="s">
        <v>9</v>
      </c>
      <c r="K1891">
        <v>15156.81</v>
      </c>
      <c r="L1891">
        <v>201.54</v>
      </c>
      <c r="M1891">
        <v>14541</v>
      </c>
      <c r="N1891" t="s">
        <v>76</v>
      </c>
      <c r="O1891">
        <v>250401</v>
      </c>
      <c r="P1891">
        <v>790.36</v>
      </c>
    </row>
    <row r="1892" spans="1:16" x14ac:dyDescent="0.25">
      <c r="A1892" t="s">
        <v>3296</v>
      </c>
      <c r="B1892" t="s">
        <v>2931</v>
      </c>
      <c r="C1892">
        <v>3797</v>
      </c>
      <c r="D1892" t="str">
        <f t="shared" si="57"/>
        <v xml:space="preserve">5011625     </v>
      </c>
      <c r="E1892" t="s">
        <v>8</v>
      </c>
      <c r="F1892" t="s">
        <v>11</v>
      </c>
      <c r="G1892">
        <v>2891.73</v>
      </c>
      <c r="H1892">
        <v>250401</v>
      </c>
      <c r="I1892">
        <v>4841</v>
      </c>
      <c r="J1892" t="s">
        <v>9</v>
      </c>
      <c r="K1892">
        <v>15156.81</v>
      </c>
      <c r="L1892">
        <v>587.55999999999995</v>
      </c>
      <c r="M1892">
        <v>14622</v>
      </c>
      <c r="N1892" t="s">
        <v>77</v>
      </c>
      <c r="O1892">
        <v>250401</v>
      </c>
      <c r="P1892">
        <v>2304.17</v>
      </c>
    </row>
    <row r="1893" spans="1:16" x14ac:dyDescent="0.25">
      <c r="A1893" t="s">
        <v>3296</v>
      </c>
      <c r="B1893" t="s">
        <v>2931</v>
      </c>
      <c r="C1893">
        <v>3797</v>
      </c>
      <c r="D1893" t="str">
        <f t="shared" si="57"/>
        <v xml:space="preserve">5011625     </v>
      </c>
      <c r="E1893" t="s">
        <v>8</v>
      </c>
      <c r="F1893" t="s">
        <v>11</v>
      </c>
      <c r="G1893">
        <v>1789.94</v>
      </c>
      <c r="H1893">
        <v>250401</v>
      </c>
      <c r="I1893">
        <v>4841</v>
      </c>
      <c r="J1893" t="s">
        <v>9</v>
      </c>
      <c r="K1893">
        <v>15156.81</v>
      </c>
      <c r="L1893">
        <v>363.69</v>
      </c>
      <c r="M1893">
        <v>14622</v>
      </c>
      <c r="N1893" t="s">
        <v>77</v>
      </c>
      <c r="O1893">
        <v>250401</v>
      </c>
      <c r="P1893">
        <v>1426.25</v>
      </c>
    </row>
    <row r="1894" spans="1:16" x14ac:dyDescent="0.25">
      <c r="A1894" t="s">
        <v>3296</v>
      </c>
      <c r="B1894" t="s">
        <v>2931</v>
      </c>
      <c r="C1894">
        <v>3797</v>
      </c>
      <c r="D1894" t="str">
        <f t="shared" si="57"/>
        <v xml:space="preserve">5011625     </v>
      </c>
      <c r="E1894" t="s">
        <v>8</v>
      </c>
      <c r="F1894" t="s">
        <v>11</v>
      </c>
      <c r="G1894">
        <v>126.15</v>
      </c>
      <c r="H1894">
        <v>250401</v>
      </c>
      <c r="I1894">
        <v>4841</v>
      </c>
      <c r="J1894" t="s">
        <v>9</v>
      </c>
      <c r="K1894">
        <v>15156.81</v>
      </c>
      <c r="L1894">
        <v>25.63</v>
      </c>
      <c r="M1894">
        <v>14640</v>
      </c>
      <c r="N1894" t="s">
        <v>78</v>
      </c>
      <c r="O1894">
        <v>250401</v>
      </c>
      <c r="P1894">
        <v>100.52</v>
      </c>
    </row>
    <row r="1895" spans="1:16" x14ac:dyDescent="0.25">
      <c r="A1895" t="s">
        <v>3296</v>
      </c>
      <c r="B1895" t="s">
        <v>2931</v>
      </c>
      <c r="C1895">
        <v>3797</v>
      </c>
      <c r="D1895" t="str">
        <f t="shared" si="57"/>
        <v xml:space="preserve">5011625     </v>
      </c>
      <c r="E1895" t="s">
        <v>8</v>
      </c>
      <c r="F1895" t="s">
        <v>11</v>
      </c>
      <c r="G1895">
        <v>281.62</v>
      </c>
      <c r="H1895">
        <v>250401</v>
      </c>
      <c r="I1895">
        <v>4841</v>
      </c>
      <c r="J1895" t="s">
        <v>9</v>
      </c>
      <c r="K1895">
        <v>15156.81</v>
      </c>
      <c r="L1895">
        <v>57.22</v>
      </c>
      <c r="M1895">
        <v>14640</v>
      </c>
      <c r="N1895" t="s">
        <v>78</v>
      </c>
      <c r="O1895">
        <v>250401</v>
      </c>
      <c r="P1895">
        <v>224.4</v>
      </c>
    </row>
    <row r="1896" spans="1:16" x14ac:dyDescent="0.25">
      <c r="A1896" t="s">
        <v>3296</v>
      </c>
      <c r="B1896" t="s">
        <v>2931</v>
      </c>
      <c r="C1896">
        <v>3797</v>
      </c>
      <c r="D1896" t="str">
        <f t="shared" si="57"/>
        <v xml:space="preserve">5011625     </v>
      </c>
      <c r="E1896" t="s">
        <v>8</v>
      </c>
      <c r="F1896" t="s">
        <v>11</v>
      </c>
      <c r="G1896">
        <v>777.45</v>
      </c>
      <c r="H1896">
        <v>250401</v>
      </c>
      <c r="I1896">
        <v>4841</v>
      </c>
      <c r="J1896" t="s">
        <v>9</v>
      </c>
      <c r="K1896">
        <v>15156.81</v>
      </c>
      <c r="L1896">
        <v>157.97</v>
      </c>
      <c r="M1896">
        <v>14861</v>
      </c>
      <c r="N1896" t="s">
        <v>79</v>
      </c>
      <c r="O1896">
        <v>250401</v>
      </c>
      <c r="P1896">
        <v>619.48</v>
      </c>
    </row>
    <row r="1897" spans="1:16" x14ac:dyDescent="0.25">
      <c r="A1897" t="s">
        <v>3296</v>
      </c>
      <c r="B1897" t="s">
        <v>2931</v>
      </c>
      <c r="C1897">
        <v>3797</v>
      </c>
      <c r="D1897" t="str">
        <f t="shared" si="57"/>
        <v xml:space="preserve">5011625     </v>
      </c>
      <c r="E1897" t="s">
        <v>8</v>
      </c>
      <c r="F1897" t="s">
        <v>11</v>
      </c>
      <c r="G1897">
        <v>189.3</v>
      </c>
      <c r="H1897">
        <v>250401</v>
      </c>
      <c r="I1897">
        <v>4841</v>
      </c>
      <c r="J1897" t="s">
        <v>9</v>
      </c>
      <c r="K1897">
        <v>15156.81</v>
      </c>
      <c r="L1897">
        <v>38.46</v>
      </c>
      <c r="M1897">
        <v>14861</v>
      </c>
      <c r="N1897" t="s">
        <v>79</v>
      </c>
      <c r="O1897">
        <v>250401</v>
      </c>
      <c r="P1897">
        <v>150.84</v>
      </c>
    </row>
    <row r="1898" spans="1:16" x14ac:dyDescent="0.25">
      <c r="A1898" t="s">
        <v>3296</v>
      </c>
      <c r="B1898" t="s">
        <v>2931</v>
      </c>
      <c r="C1898">
        <v>3797</v>
      </c>
      <c r="D1898" t="str">
        <f t="shared" si="57"/>
        <v xml:space="preserve">5011625     </v>
      </c>
      <c r="E1898" t="s">
        <v>8</v>
      </c>
      <c r="F1898" t="s">
        <v>11</v>
      </c>
      <c r="G1898">
        <v>46.94</v>
      </c>
      <c r="H1898">
        <v>250401</v>
      </c>
      <c r="I1898">
        <v>4841</v>
      </c>
      <c r="J1898" t="s">
        <v>9</v>
      </c>
      <c r="K1898">
        <v>15156.81</v>
      </c>
      <c r="L1898">
        <v>9.5399999999999991</v>
      </c>
      <c r="M1898">
        <v>14912</v>
      </c>
      <c r="N1898" t="s">
        <v>80</v>
      </c>
      <c r="O1898">
        <v>250401</v>
      </c>
      <c r="P1898">
        <v>37.4</v>
      </c>
    </row>
    <row r="1899" spans="1:16" x14ac:dyDescent="0.25">
      <c r="A1899" t="s">
        <v>3296</v>
      </c>
      <c r="B1899" t="s">
        <v>2931</v>
      </c>
      <c r="C1899">
        <v>3797</v>
      </c>
      <c r="D1899" t="str">
        <f t="shared" si="57"/>
        <v xml:space="preserve">5011625     </v>
      </c>
      <c r="E1899" t="s">
        <v>8</v>
      </c>
      <c r="F1899" t="s">
        <v>11</v>
      </c>
      <c r="G1899">
        <v>81.14</v>
      </c>
      <c r="H1899">
        <v>250401</v>
      </c>
      <c r="I1899">
        <v>4841</v>
      </c>
      <c r="J1899" t="s">
        <v>9</v>
      </c>
      <c r="K1899">
        <v>15156.81</v>
      </c>
      <c r="L1899">
        <v>16.489999999999998</v>
      </c>
      <c r="M1899">
        <v>14971</v>
      </c>
      <c r="N1899" t="s">
        <v>81</v>
      </c>
      <c r="O1899">
        <v>250401</v>
      </c>
      <c r="P1899">
        <v>64.650000000000006</v>
      </c>
    </row>
    <row r="1900" spans="1:16" x14ac:dyDescent="0.25">
      <c r="A1900" t="s">
        <v>3296</v>
      </c>
      <c r="B1900" t="s">
        <v>2931</v>
      </c>
      <c r="C1900">
        <v>3797</v>
      </c>
      <c r="D1900" t="str">
        <f t="shared" si="57"/>
        <v xml:space="preserve">5011625     </v>
      </c>
      <c r="E1900" t="s">
        <v>8</v>
      </c>
      <c r="F1900" t="s">
        <v>11</v>
      </c>
      <c r="G1900">
        <v>558.32000000000005</v>
      </c>
      <c r="H1900">
        <v>250401</v>
      </c>
      <c r="I1900">
        <v>4841</v>
      </c>
      <c r="J1900" t="s">
        <v>9</v>
      </c>
      <c r="K1900">
        <v>15156.81</v>
      </c>
      <c r="L1900">
        <v>113.44</v>
      </c>
      <c r="M1900">
        <v>14972</v>
      </c>
      <c r="N1900" t="s">
        <v>82</v>
      </c>
      <c r="O1900">
        <v>250401</v>
      </c>
      <c r="P1900">
        <v>444.88</v>
      </c>
    </row>
    <row r="1901" spans="1:16" x14ac:dyDescent="0.25">
      <c r="A1901" t="s">
        <v>3296</v>
      </c>
      <c r="B1901" t="s">
        <v>2931</v>
      </c>
      <c r="C1901">
        <v>3797</v>
      </c>
      <c r="D1901" t="str">
        <f t="shared" si="57"/>
        <v xml:space="preserve">5011625     </v>
      </c>
      <c r="E1901" t="s">
        <v>8</v>
      </c>
      <c r="F1901" t="s">
        <v>11</v>
      </c>
      <c r="G1901">
        <v>107.57</v>
      </c>
      <c r="H1901">
        <v>250401</v>
      </c>
      <c r="I1901">
        <v>4841</v>
      </c>
      <c r="J1901" t="s">
        <v>9</v>
      </c>
      <c r="K1901">
        <v>15156.81</v>
      </c>
      <c r="L1901">
        <v>21.86</v>
      </c>
      <c r="M1901">
        <v>14974</v>
      </c>
      <c r="N1901" t="s">
        <v>83</v>
      </c>
      <c r="O1901">
        <v>250401</v>
      </c>
      <c r="P1901">
        <v>85.71</v>
      </c>
    </row>
    <row r="1902" spans="1:16" x14ac:dyDescent="0.25">
      <c r="A1902" t="s">
        <v>3296</v>
      </c>
      <c r="B1902" t="s">
        <v>2931</v>
      </c>
      <c r="C1902">
        <v>3797</v>
      </c>
      <c r="D1902" t="str">
        <f t="shared" si="57"/>
        <v xml:space="preserve">5011625     </v>
      </c>
      <c r="E1902" t="s">
        <v>8</v>
      </c>
      <c r="F1902" t="s">
        <v>11</v>
      </c>
      <c r="G1902">
        <v>21.06</v>
      </c>
      <c r="H1902">
        <v>250401</v>
      </c>
      <c r="I1902">
        <v>4841</v>
      </c>
      <c r="J1902" t="s">
        <v>9</v>
      </c>
      <c r="K1902">
        <v>15156.81</v>
      </c>
      <c r="L1902">
        <v>4.28</v>
      </c>
      <c r="M1902">
        <v>14975</v>
      </c>
      <c r="N1902" t="s">
        <v>84</v>
      </c>
      <c r="O1902">
        <v>250401</v>
      </c>
      <c r="P1902">
        <v>16.78</v>
      </c>
    </row>
    <row r="1903" spans="1:16" x14ac:dyDescent="0.25">
      <c r="A1903" t="s">
        <v>3296</v>
      </c>
      <c r="B1903" t="s">
        <v>2931</v>
      </c>
      <c r="C1903">
        <v>3797</v>
      </c>
      <c r="D1903" t="str">
        <f t="shared" si="57"/>
        <v xml:space="preserve">5011625     </v>
      </c>
      <c r="E1903" t="s">
        <v>8</v>
      </c>
      <c r="F1903" t="s">
        <v>11</v>
      </c>
      <c r="G1903">
        <v>94.58</v>
      </c>
      <c r="H1903">
        <v>250401</v>
      </c>
      <c r="I1903">
        <v>4841</v>
      </c>
      <c r="J1903" t="s">
        <v>9</v>
      </c>
      <c r="K1903">
        <v>15156.81</v>
      </c>
      <c r="L1903">
        <v>19.22</v>
      </c>
      <c r="M1903">
        <v>14975</v>
      </c>
      <c r="N1903" t="s">
        <v>84</v>
      </c>
      <c r="O1903">
        <v>250401</v>
      </c>
      <c r="P1903">
        <v>75.36</v>
      </c>
    </row>
    <row r="1904" spans="1:16" x14ac:dyDescent="0.25">
      <c r="A1904" t="s">
        <v>3296</v>
      </c>
      <c r="B1904" t="s">
        <v>2931</v>
      </c>
      <c r="C1904">
        <v>3797</v>
      </c>
      <c r="D1904" t="str">
        <f t="shared" si="57"/>
        <v xml:space="preserve">5011625     </v>
      </c>
      <c r="E1904" t="s">
        <v>8</v>
      </c>
      <c r="F1904" t="s">
        <v>11</v>
      </c>
      <c r="G1904">
        <v>81.72</v>
      </c>
      <c r="H1904">
        <v>250401</v>
      </c>
      <c r="I1904">
        <v>4841</v>
      </c>
      <c r="J1904" t="s">
        <v>9</v>
      </c>
      <c r="K1904">
        <v>15156.81</v>
      </c>
      <c r="L1904">
        <v>16.600000000000001</v>
      </c>
      <c r="M1904">
        <v>14990</v>
      </c>
      <c r="N1904" t="s">
        <v>85</v>
      </c>
      <c r="O1904">
        <v>250401</v>
      </c>
      <c r="P1904">
        <v>65.12</v>
      </c>
    </row>
    <row r="1905" spans="1:16" x14ac:dyDescent="0.25">
      <c r="A1905" t="s">
        <v>3296</v>
      </c>
      <c r="B1905" t="s">
        <v>2931</v>
      </c>
      <c r="C1905">
        <v>3797</v>
      </c>
      <c r="D1905" t="str">
        <f t="shared" si="57"/>
        <v xml:space="preserve">5011625     </v>
      </c>
      <c r="E1905" t="s">
        <v>8</v>
      </c>
      <c r="F1905" t="s">
        <v>11</v>
      </c>
      <c r="G1905">
        <v>12.18</v>
      </c>
      <c r="H1905">
        <v>250401</v>
      </c>
      <c r="I1905">
        <v>4841</v>
      </c>
      <c r="J1905" t="s">
        <v>9</v>
      </c>
      <c r="K1905">
        <v>15156.81</v>
      </c>
      <c r="L1905">
        <v>2.4700000000000002</v>
      </c>
      <c r="M1905">
        <v>14990</v>
      </c>
      <c r="N1905" t="s">
        <v>85</v>
      </c>
      <c r="O1905">
        <v>250401</v>
      </c>
      <c r="P1905">
        <v>9.7100000000000009</v>
      </c>
    </row>
    <row r="1906" spans="1:16" x14ac:dyDescent="0.25">
      <c r="A1906" t="s">
        <v>3296</v>
      </c>
      <c r="B1906" t="s">
        <v>2931</v>
      </c>
      <c r="C1906">
        <v>3797</v>
      </c>
      <c r="D1906" t="str">
        <f t="shared" si="57"/>
        <v xml:space="preserve">5011625     </v>
      </c>
      <c r="E1906" t="s">
        <v>8</v>
      </c>
      <c r="F1906" t="s">
        <v>11</v>
      </c>
      <c r="G1906">
        <v>21.1</v>
      </c>
      <c r="H1906">
        <v>250401</v>
      </c>
      <c r="I1906">
        <v>4841</v>
      </c>
      <c r="J1906" t="s">
        <v>9</v>
      </c>
      <c r="K1906">
        <v>15156.81</v>
      </c>
      <c r="L1906">
        <v>4.29</v>
      </c>
      <c r="M1906">
        <v>18120</v>
      </c>
      <c r="N1906" t="s">
        <v>37</v>
      </c>
      <c r="O1906">
        <v>250401</v>
      </c>
      <c r="P1906">
        <v>16.809999999999999</v>
      </c>
    </row>
    <row r="1907" spans="1:16" x14ac:dyDescent="0.25">
      <c r="A1907" t="s">
        <v>3296</v>
      </c>
      <c r="B1907" t="s">
        <v>2931</v>
      </c>
      <c r="C1907">
        <v>3797</v>
      </c>
      <c r="D1907" t="str">
        <f t="shared" si="57"/>
        <v xml:space="preserve">5011625     </v>
      </c>
      <c r="E1907" t="s">
        <v>8</v>
      </c>
      <c r="F1907" t="s">
        <v>11</v>
      </c>
      <c r="G1907">
        <v>566.5</v>
      </c>
      <c r="H1907">
        <v>250401</v>
      </c>
      <c r="I1907">
        <v>4841</v>
      </c>
      <c r="J1907" t="s">
        <v>9</v>
      </c>
      <c r="K1907">
        <v>15156.81</v>
      </c>
      <c r="L1907">
        <v>115.11</v>
      </c>
      <c r="M1907">
        <v>18972</v>
      </c>
      <c r="N1907" t="s">
        <v>39</v>
      </c>
      <c r="O1907">
        <v>250401</v>
      </c>
      <c r="P1907">
        <v>451.39</v>
      </c>
    </row>
    <row r="1908" spans="1:16" x14ac:dyDescent="0.25">
      <c r="A1908" t="s">
        <v>3296</v>
      </c>
      <c r="B1908" t="s">
        <v>2931</v>
      </c>
      <c r="C1908">
        <v>3801</v>
      </c>
      <c r="D1908" t="str">
        <f>"5011623     "</f>
        <v xml:space="preserve">5011623     </v>
      </c>
      <c r="E1908" t="s">
        <v>8</v>
      </c>
      <c r="F1908" t="s">
        <v>11</v>
      </c>
      <c r="G1908">
        <v>101.84</v>
      </c>
      <c r="H1908">
        <v>250401</v>
      </c>
      <c r="I1908">
        <v>4841</v>
      </c>
      <c r="J1908" t="s">
        <v>9</v>
      </c>
      <c r="K1908">
        <v>1776.93</v>
      </c>
      <c r="L1908">
        <v>20.69</v>
      </c>
      <c r="M1908">
        <v>11001</v>
      </c>
      <c r="N1908" t="s">
        <v>93</v>
      </c>
      <c r="O1908">
        <v>250401</v>
      </c>
      <c r="P1908">
        <v>81.150000000000006</v>
      </c>
    </row>
    <row r="1909" spans="1:16" x14ac:dyDescent="0.25">
      <c r="A1909" t="s">
        <v>3296</v>
      </c>
      <c r="B1909" t="s">
        <v>2931</v>
      </c>
      <c r="C1909">
        <v>3801</v>
      </c>
      <c r="D1909" t="str">
        <f>"5011623     "</f>
        <v xml:space="preserve">5011623     </v>
      </c>
      <c r="E1909" t="s">
        <v>8</v>
      </c>
      <c r="F1909" t="s">
        <v>11</v>
      </c>
      <c r="G1909">
        <v>1363.34</v>
      </c>
      <c r="H1909">
        <v>250401</v>
      </c>
      <c r="I1909">
        <v>4841</v>
      </c>
      <c r="J1909" t="s">
        <v>9</v>
      </c>
      <c r="K1909">
        <v>1776.93</v>
      </c>
      <c r="L1909">
        <v>277.01</v>
      </c>
      <c r="M1909">
        <v>11001</v>
      </c>
      <c r="N1909" t="s">
        <v>93</v>
      </c>
      <c r="O1909">
        <v>250401</v>
      </c>
      <c r="P1909">
        <v>1086.33</v>
      </c>
    </row>
    <row r="1910" spans="1:16" x14ac:dyDescent="0.25">
      <c r="A1910" t="s">
        <v>3296</v>
      </c>
      <c r="B1910" t="s">
        <v>2931</v>
      </c>
      <c r="C1910">
        <v>3801</v>
      </c>
      <c r="D1910" t="str">
        <f>"5011623     "</f>
        <v xml:space="preserve">5011623     </v>
      </c>
      <c r="E1910" t="s">
        <v>8</v>
      </c>
      <c r="F1910" t="s">
        <v>11</v>
      </c>
      <c r="G1910">
        <v>95.56</v>
      </c>
      <c r="H1910">
        <v>250401</v>
      </c>
      <c r="I1910">
        <v>4841</v>
      </c>
      <c r="J1910" t="s">
        <v>9</v>
      </c>
      <c r="K1910">
        <v>1776.93</v>
      </c>
      <c r="L1910">
        <v>19.420000000000002</v>
      </c>
      <c r="M1910">
        <v>11101</v>
      </c>
      <c r="N1910" t="s">
        <v>67</v>
      </c>
      <c r="O1910">
        <v>250401</v>
      </c>
      <c r="P1910">
        <v>76.14</v>
      </c>
    </row>
    <row r="1911" spans="1:16" x14ac:dyDescent="0.25">
      <c r="A1911" t="s">
        <v>3296</v>
      </c>
      <c r="B1911" t="s">
        <v>2931</v>
      </c>
      <c r="C1911">
        <v>3801</v>
      </c>
      <c r="D1911" t="str">
        <f>"5011623     "</f>
        <v xml:space="preserve">5011623     </v>
      </c>
      <c r="E1911" t="s">
        <v>8</v>
      </c>
      <c r="F1911" t="s">
        <v>11</v>
      </c>
      <c r="G1911">
        <v>216.19</v>
      </c>
      <c r="H1911">
        <v>250401</v>
      </c>
      <c r="I1911">
        <v>4841</v>
      </c>
      <c r="J1911" t="s">
        <v>9</v>
      </c>
      <c r="K1911">
        <v>1776.93</v>
      </c>
      <c r="L1911">
        <v>43.93</v>
      </c>
      <c r="M1911">
        <v>11501</v>
      </c>
      <c r="N1911" t="s">
        <v>13</v>
      </c>
      <c r="O1911">
        <v>250401</v>
      </c>
      <c r="P1911">
        <v>172.26</v>
      </c>
    </row>
    <row r="1912" spans="1:16" x14ac:dyDescent="0.25">
      <c r="A1912" t="s">
        <v>3296</v>
      </c>
      <c r="B1912" t="s">
        <v>2931</v>
      </c>
      <c r="C1912">
        <v>8855</v>
      </c>
      <c r="D1912" t="str">
        <f>"5013943     "</f>
        <v xml:space="preserve">5013943     </v>
      </c>
      <c r="E1912" t="s">
        <v>8</v>
      </c>
      <c r="F1912" t="s">
        <v>11</v>
      </c>
      <c r="G1912">
        <v>2501.91</v>
      </c>
      <c r="H1912">
        <v>250701</v>
      </c>
      <c r="I1912">
        <v>4841</v>
      </c>
      <c r="J1912" t="s">
        <v>9</v>
      </c>
      <c r="K1912">
        <v>2501.91</v>
      </c>
      <c r="L1912">
        <v>508.36</v>
      </c>
      <c r="M1912">
        <v>13940</v>
      </c>
      <c r="N1912" t="s">
        <v>14</v>
      </c>
      <c r="O1912">
        <v>250618</v>
      </c>
      <c r="P1912">
        <v>1993.55</v>
      </c>
    </row>
    <row r="1913" spans="1:16" x14ac:dyDescent="0.25">
      <c r="A1913" t="s">
        <v>3296</v>
      </c>
      <c r="B1913" t="s">
        <v>2931</v>
      </c>
      <c r="C1913">
        <v>8857</v>
      </c>
      <c r="D1913" t="str">
        <f>"5013922     "</f>
        <v xml:space="preserve">5013922     </v>
      </c>
      <c r="E1913" t="s">
        <v>8</v>
      </c>
      <c r="F1913" t="s">
        <v>11</v>
      </c>
      <c r="G1913">
        <v>1194.8699999999999</v>
      </c>
      <c r="H1913">
        <v>250701</v>
      </c>
      <c r="I1913">
        <v>4841</v>
      </c>
      <c r="J1913" t="s">
        <v>9</v>
      </c>
      <c r="K1913">
        <v>1312.1</v>
      </c>
      <c r="L1913">
        <v>242.78</v>
      </c>
      <c r="M1913">
        <v>13601</v>
      </c>
      <c r="N1913" t="s">
        <v>115</v>
      </c>
      <c r="O1913">
        <v>250618</v>
      </c>
      <c r="P1913">
        <v>952.09</v>
      </c>
    </row>
    <row r="1914" spans="1:16" x14ac:dyDescent="0.25">
      <c r="A1914" t="s">
        <v>3296</v>
      </c>
      <c r="B1914" t="s">
        <v>2931</v>
      </c>
      <c r="C1914">
        <v>8857</v>
      </c>
      <c r="D1914" t="str">
        <f>"5013922     "</f>
        <v xml:space="preserve">5013922     </v>
      </c>
      <c r="E1914" t="s">
        <v>8</v>
      </c>
      <c r="F1914" t="s">
        <v>11</v>
      </c>
      <c r="G1914">
        <v>103.37</v>
      </c>
      <c r="H1914">
        <v>250701</v>
      </c>
      <c r="I1914">
        <v>4841</v>
      </c>
      <c r="J1914" t="s">
        <v>9</v>
      </c>
      <c r="K1914">
        <v>1312.1</v>
      </c>
      <c r="L1914">
        <v>21</v>
      </c>
      <c r="M1914">
        <v>13601</v>
      </c>
      <c r="N1914" t="s">
        <v>115</v>
      </c>
      <c r="O1914">
        <v>250618</v>
      </c>
      <c r="P1914">
        <v>82.37</v>
      </c>
    </row>
    <row r="1915" spans="1:16" x14ac:dyDescent="0.25">
      <c r="A1915" t="s">
        <v>3296</v>
      </c>
      <c r="B1915" t="s">
        <v>2931</v>
      </c>
      <c r="C1915">
        <v>8857</v>
      </c>
      <c r="D1915" t="str">
        <f>"5013922     "</f>
        <v xml:space="preserve">5013922     </v>
      </c>
      <c r="E1915" t="s">
        <v>8</v>
      </c>
      <c r="F1915" t="s">
        <v>11</v>
      </c>
      <c r="G1915">
        <v>13.86</v>
      </c>
      <c r="H1915">
        <v>250701</v>
      </c>
      <c r="I1915">
        <v>4841</v>
      </c>
      <c r="J1915" t="s">
        <v>9</v>
      </c>
      <c r="K1915">
        <v>1312.1</v>
      </c>
      <c r="L1915">
        <v>2.82</v>
      </c>
      <c r="M1915">
        <v>13801</v>
      </c>
      <c r="N1915" t="s">
        <v>33</v>
      </c>
      <c r="O1915">
        <v>250618</v>
      </c>
      <c r="P1915">
        <v>11.04</v>
      </c>
    </row>
    <row r="1916" spans="1:16" x14ac:dyDescent="0.25">
      <c r="A1916" t="s">
        <v>3296</v>
      </c>
      <c r="B1916" t="s">
        <v>2931</v>
      </c>
      <c r="C1916">
        <v>8859</v>
      </c>
      <c r="D1916" t="str">
        <f>"5013938     "</f>
        <v xml:space="preserve">5013938     </v>
      </c>
      <c r="E1916" t="s">
        <v>8</v>
      </c>
      <c r="F1916" t="s">
        <v>11</v>
      </c>
      <c r="G1916">
        <v>13.88</v>
      </c>
      <c r="H1916">
        <v>250701</v>
      </c>
      <c r="I1916">
        <v>4841</v>
      </c>
      <c r="J1916" t="s">
        <v>9</v>
      </c>
      <c r="K1916">
        <v>13.88</v>
      </c>
      <c r="L1916">
        <v>2.82</v>
      </c>
      <c r="M1916">
        <v>13501</v>
      </c>
      <c r="N1916" t="s">
        <v>66</v>
      </c>
      <c r="O1916">
        <v>250618</v>
      </c>
      <c r="P1916">
        <v>11.06</v>
      </c>
    </row>
    <row r="1917" spans="1:16" x14ac:dyDescent="0.25">
      <c r="A1917" t="s">
        <v>3296</v>
      </c>
      <c r="B1917" t="s">
        <v>2931</v>
      </c>
      <c r="C1917">
        <v>8860</v>
      </c>
      <c r="D1917" t="str">
        <f>"5012132     "</f>
        <v xml:space="preserve">5012132     </v>
      </c>
      <c r="E1917" t="s">
        <v>8</v>
      </c>
      <c r="F1917" t="s">
        <v>11</v>
      </c>
      <c r="G1917">
        <v>-57.81</v>
      </c>
      <c r="H1917">
        <v>250630</v>
      </c>
      <c r="I1917">
        <v>4841</v>
      </c>
      <c r="J1917" t="s">
        <v>9</v>
      </c>
      <c r="K1917">
        <v>-57.81</v>
      </c>
      <c r="L1917">
        <v>-11.75</v>
      </c>
      <c r="M1917">
        <v>13501</v>
      </c>
      <c r="N1917" t="s">
        <v>66</v>
      </c>
      <c r="O1917">
        <v>250618</v>
      </c>
      <c r="P1917">
        <v>-46.06</v>
      </c>
    </row>
    <row r="1918" spans="1:16" x14ac:dyDescent="0.25">
      <c r="A1918" t="s">
        <v>3296</v>
      </c>
      <c r="B1918" t="s">
        <v>2931</v>
      </c>
      <c r="C1918">
        <v>8862</v>
      </c>
      <c r="D1918" t="str">
        <f>"5013944     "</f>
        <v xml:space="preserve">5013944     </v>
      </c>
      <c r="E1918" t="s">
        <v>8</v>
      </c>
      <c r="F1918" t="s">
        <v>11</v>
      </c>
      <c r="G1918">
        <v>57.68</v>
      </c>
      <c r="H1918">
        <v>250701</v>
      </c>
      <c r="I1918">
        <v>4841</v>
      </c>
      <c r="J1918" t="s">
        <v>9</v>
      </c>
      <c r="K1918">
        <v>57.68</v>
      </c>
      <c r="L1918">
        <v>11.72</v>
      </c>
      <c r="M1918">
        <v>13201</v>
      </c>
      <c r="N1918" t="s">
        <v>269</v>
      </c>
      <c r="O1918">
        <v>250618</v>
      </c>
      <c r="P1918">
        <v>45.96</v>
      </c>
    </row>
    <row r="1919" spans="1:16" x14ac:dyDescent="0.25">
      <c r="A1919" t="s">
        <v>3296</v>
      </c>
      <c r="B1919" t="s">
        <v>2931</v>
      </c>
      <c r="C1919">
        <v>8863</v>
      </c>
      <c r="D1919" t="str">
        <f>"5013910     "</f>
        <v xml:space="preserve">5013910     </v>
      </c>
      <c r="E1919" t="s">
        <v>8</v>
      </c>
      <c r="F1919" t="s">
        <v>11</v>
      </c>
      <c r="G1919">
        <v>94.73</v>
      </c>
      <c r="H1919">
        <v>250701</v>
      </c>
      <c r="I1919">
        <v>4841</v>
      </c>
      <c r="J1919" t="s">
        <v>9</v>
      </c>
      <c r="K1919">
        <v>94.73</v>
      </c>
      <c r="L1919">
        <v>19.25</v>
      </c>
      <c r="M1919">
        <v>11201</v>
      </c>
      <c r="N1919" t="s">
        <v>35</v>
      </c>
      <c r="O1919">
        <v>250618</v>
      </c>
      <c r="P1919">
        <v>75.48</v>
      </c>
    </row>
    <row r="1920" spans="1:16" x14ac:dyDescent="0.25">
      <c r="A1920" t="s">
        <v>3296</v>
      </c>
      <c r="B1920" t="s">
        <v>2931</v>
      </c>
      <c r="C1920">
        <v>8864</v>
      </c>
      <c r="D1920" t="str">
        <f>"5013919     "</f>
        <v xml:space="preserve">5013919     </v>
      </c>
      <c r="E1920" t="s">
        <v>8</v>
      </c>
      <c r="F1920" t="s">
        <v>11</v>
      </c>
      <c r="G1920">
        <v>13.79</v>
      </c>
      <c r="H1920">
        <v>250701</v>
      </c>
      <c r="I1920">
        <v>4841</v>
      </c>
      <c r="J1920" t="s">
        <v>9</v>
      </c>
      <c r="K1920">
        <v>13.79</v>
      </c>
      <c r="L1920">
        <v>2.8</v>
      </c>
      <c r="M1920">
        <v>17972</v>
      </c>
      <c r="N1920" t="s">
        <v>28</v>
      </c>
      <c r="O1920">
        <v>250618</v>
      </c>
      <c r="P1920">
        <v>10.99</v>
      </c>
    </row>
    <row r="1921" spans="1:16" x14ac:dyDescent="0.25">
      <c r="A1921" t="s">
        <v>3296</v>
      </c>
      <c r="B1921" t="s">
        <v>2931</v>
      </c>
      <c r="C1921">
        <v>8866</v>
      </c>
      <c r="D1921" t="str">
        <f t="shared" ref="D1921:D1945" si="58">"5013939     "</f>
        <v xml:space="preserve">5013939     </v>
      </c>
      <c r="E1921" t="s">
        <v>8</v>
      </c>
      <c r="F1921" t="s">
        <v>11</v>
      </c>
      <c r="G1921">
        <v>80.58</v>
      </c>
      <c r="H1921">
        <v>250701</v>
      </c>
      <c r="I1921">
        <v>4841</v>
      </c>
      <c r="J1921" t="s">
        <v>9</v>
      </c>
      <c r="K1921">
        <v>22260.75</v>
      </c>
      <c r="L1921">
        <v>16.37</v>
      </c>
      <c r="M1921">
        <v>16915</v>
      </c>
      <c r="N1921" t="s">
        <v>134</v>
      </c>
      <c r="O1921">
        <v>250618</v>
      </c>
      <c r="P1921">
        <v>64.209999999999994</v>
      </c>
    </row>
    <row r="1922" spans="1:16" x14ac:dyDescent="0.25">
      <c r="A1922" t="s">
        <v>3296</v>
      </c>
      <c r="B1922" t="s">
        <v>2931</v>
      </c>
      <c r="C1922">
        <v>8866</v>
      </c>
      <c r="D1922" t="str">
        <f t="shared" si="58"/>
        <v xml:space="preserve">5013939     </v>
      </c>
      <c r="E1922" t="s">
        <v>8</v>
      </c>
      <c r="F1922" t="s">
        <v>11</v>
      </c>
      <c r="G1922">
        <v>302.77</v>
      </c>
      <c r="H1922">
        <v>250701</v>
      </c>
      <c r="I1922">
        <v>4841</v>
      </c>
      <c r="J1922" t="s">
        <v>9</v>
      </c>
      <c r="K1922">
        <v>22260.75</v>
      </c>
      <c r="L1922">
        <v>61.52</v>
      </c>
      <c r="M1922">
        <v>16930</v>
      </c>
      <c r="N1922" t="s">
        <v>135</v>
      </c>
      <c r="O1922">
        <v>250618</v>
      </c>
      <c r="P1922">
        <v>241.25</v>
      </c>
    </row>
    <row r="1923" spans="1:16" x14ac:dyDescent="0.25">
      <c r="A1923" t="s">
        <v>3296</v>
      </c>
      <c r="B1923" t="s">
        <v>2931</v>
      </c>
      <c r="C1923">
        <v>8866</v>
      </c>
      <c r="D1923" t="str">
        <f t="shared" si="58"/>
        <v xml:space="preserve">5013939     </v>
      </c>
      <c r="E1923" t="s">
        <v>8</v>
      </c>
      <c r="F1923" t="s">
        <v>11</v>
      </c>
      <c r="G1923">
        <v>66.430000000000007</v>
      </c>
      <c r="H1923">
        <v>250701</v>
      </c>
      <c r="I1923">
        <v>4841</v>
      </c>
      <c r="J1923" t="s">
        <v>9</v>
      </c>
      <c r="K1923">
        <v>22260.75</v>
      </c>
      <c r="L1923">
        <v>13.5</v>
      </c>
      <c r="M1923">
        <v>16951</v>
      </c>
      <c r="N1923" t="s">
        <v>488</v>
      </c>
      <c r="O1923">
        <v>250618</v>
      </c>
      <c r="P1923">
        <v>52.93</v>
      </c>
    </row>
    <row r="1924" spans="1:16" x14ac:dyDescent="0.25">
      <c r="A1924" t="s">
        <v>3296</v>
      </c>
      <c r="B1924" t="s">
        <v>2931</v>
      </c>
      <c r="C1924">
        <v>8866</v>
      </c>
      <c r="D1924" t="str">
        <f t="shared" si="58"/>
        <v xml:space="preserve">5013939     </v>
      </c>
      <c r="E1924" t="s">
        <v>8</v>
      </c>
      <c r="F1924" t="s">
        <v>11</v>
      </c>
      <c r="G1924">
        <v>1520.31</v>
      </c>
      <c r="H1924">
        <v>250701</v>
      </c>
      <c r="I1924">
        <v>4841</v>
      </c>
      <c r="J1924" t="s">
        <v>9</v>
      </c>
      <c r="K1924">
        <v>22260.75</v>
      </c>
      <c r="L1924">
        <v>308.91000000000003</v>
      </c>
      <c r="M1924">
        <v>17521</v>
      </c>
      <c r="N1924" t="s">
        <v>136</v>
      </c>
      <c r="O1924">
        <v>250618</v>
      </c>
      <c r="P1924">
        <v>1211.4000000000001</v>
      </c>
    </row>
    <row r="1925" spans="1:16" x14ac:dyDescent="0.25">
      <c r="A1925" t="s">
        <v>3296</v>
      </c>
      <c r="B1925" t="s">
        <v>2931</v>
      </c>
      <c r="C1925">
        <v>8866</v>
      </c>
      <c r="D1925" t="str">
        <f t="shared" si="58"/>
        <v xml:space="preserve">5013939     </v>
      </c>
      <c r="E1925" t="s">
        <v>8</v>
      </c>
      <c r="F1925" t="s">
        <v>11</v>
      </c>
      <c r="G1925">
        <v>783.21</v>
      </c>
      <c r="H1925">
        <v>250701</v>
      </c>
      <c r="I1925">
        <v>4841</v>
      </c>
      <c r="J1925" t="s">
        <v>9</v>
      </c>
      <c r="K1925">
        <v>22260.75</v>
      </c>
      <c r="L1925">
        <v>159.13999999999999</v>
      </c>
      <c r="M1925">
        <v>17522</v>
      </c>
      <c r="N1925" t="s">
        <v>137</v>
      </c>
      <c r="O1925">
        <v>250618</v>
      </c>
      <c r="P1925">
        <v>624.07000000000005</v>
      </c>
    </row>
    <row r="1926" spans="1:16" x14ac:dyDescent="0.25">
      <c r="A1926" t="s">
        <v>3296</v>
      </c>
      <c r="B1926" t="s">
        <v>2931</v>
      </c>
      <c r="C1926">
        <v>8866</v>
      </c>
      <c r="D1926" t="str">
        <f t="shared" si="58"/>
        <v xml:space="preserve">5013939     </v>
      </c>
      <c r="E1926" t="s">
        <v>8</v>
      </c>
      <c r="F1926" t="s">
        <v>11</v>
      </c>
      <c r="G1926">
        <v>933.58</v>
      </c>
      <c r="H1926">
        <v>250701</v>
      </c>
      <c r="I1926">
        <v>4841</v>
      </c>
      <c r="J1926" t="s">
        <v>9</v>
      </c>
      <c r="K1926">
        <v>22260.75</v>
      </c>
      <c r="L1926">
        <v>189.69</v>
      </c>
      <c r="M1926">
        <v>17523</v>
      </c>
      <c r="N1926" t="s">
        <v>138</v>
      </c>
      <c r="O1926">
        <v>250618</v>
      </c>
      <c r="P1926">
        <v>743.89</v>
      </c>
    </row>
    <row r="1927" spans="1:16" x14ac:dyDescent="0.25">
      <c r="A1927" t="s">
        <v>3296</v>
      </c>
      <c r="B1927" t="s">
        <v>2931</v>
      </c>
      <c r="C1927">
        <v>8866</v>
      </c>
      <c r="D1927" t="str">
        <f t="shared" si="58"/>
        <v xml:space="preserve">5013939     </v>
      </c>
      <c r="E1927" t="s">
        <v>8</v>
      </c>
      <c r="F1927" t="s">
        <v>11</v>
      </c>
      <c r="G1927">
        <v>321.45999999999998</v>
      </c>
      <c r="H1927">
        <v>250701</v>
      </c>
      <c r="I1927">
        <v>4841</v>
      </c>
      <c r="J1927" t="s">
        <v>9</v>
      </c>
      <c r="K1927">
        <v>22260.75</v>
      </c>
      <c r="L1927">
        <v>65.319999999999993</v>
      </c>
      <c r="M1927">
        <v>17524</v>
      </c>
      <c r="N1927" t="s">
        <v>139</v>
      </c>
      <c r="O1927">
        <v>250618</v>
      </c>
      <c r="P1927">
        <v>256.14</v>
      </c>
    </row>
    <row r="1928" spans="1:16" x14ac:dyDescent="0.25">
      <c r="A1928" t="s">
        <v>3296</v>
      </c>
      <c r="B1928" t="s">
        <v>2931</v>
      </c>
      <c r="C1928">
        <v>8866</v>
      </c>
      <c r="D1928" t="str">
        <f t="shared" si="58"/>
        <v xml:space="preserve">5013939     </v>
      </c>
      <c r="E1928" t="s">
        <v>8</v>
      </c>
      <c r="F1928" t="s">
        <v>11</v>
      </c>
      <c r="G1928">
        <v>146.85</v>
      </c>
      <c r="H1928">
        <v>250701</v>
      </c>
      <c r="I1928">
        <v>4841</v>
      </c>
      <c r="J1928" t="s">
        <v>9</v>
      </c>
      <c r="K1928">
        <v>22260.75</v>
      </c>
      <c r="L1928">
        <v>29.84</v>
      </c>
      <c r="M1928">
        <v>17525</v>
      </c>
      <c r="N1928" t="s">
        <v>140</v>
      </c>
      <c r="O1928">
        <v>250618</v>
      </c>
      <c r="P1928">
        <v>117.01</v>
      </c>
    </row>
    <row r="1929" spans="1:16" x14ac:dyDescent="0.25">
      <c r="A1929" t="s">
        <v>3296</v>
      </c>
      <c r="B1929" t="s">
        <v>2931</v>
      </c>
      <c r="C1929">
        <v>8866</v>
      </c>
      <c r="D1929" t="str">
        <f t="shared" si="58"/>
        <v xml:space="preserve">5013939     </v>
      </c>
      <c r="E1929" t="s">
        <v>8</v>
      </c>
      <c r="F1929" t="s">
        <v>11</v>
      </c>
      <c r="G1929">
        <v>224.46</v>
      </c>
      <c r="H1929">
        <v>250701</v>
      </c>
      <c r="I1929">
        <v>4841</v>
      </c>
      <c r="J1929" t="s">
        <v>9</v>
      </c>
      <c r="K1929">
        <v>22260.75</v>
      </c>
      <c r="L1929">
        <v>45.61</v>
      </c>
      <c r="M1929">
        <v>17526</v>
      </c>
      <c r="N1929" t="s">
        <v>141</v>
      </c>
      <c r="O1929">
        <v>250618</v>
      </c>
      <c r="P1929">
        <v>178.85</v>
      </c>
    </row>
    <row r="1930" spans="1:16" x14ac:dyDescent="0.25">
      <c r="A1930" t="s">
        <v>3296</v>
      </c>
      <c r="B1930" t="s">
        <v>2931</v>
      </c>
      <c r="C1930">
        <v>8866</v>
      </c>
      <c r="D1930" t="str">
        <f t="shared" si="58"/>
        <v xml:space="preserve">5013939     </v>
      </c>
      <c r="E1930" t="s">
        <v>8</v>
      </c>
      <c r="F1930" t="s">
        <v>11</v>
      </c>
      <c r="G1930">
        <v>634.84</v>
      </c>
      <c r="H1930">
        <v>250701</v>
      </c>
      <c r="I1930">
        <v>4841</v>
      </c>
      <c r="J1930" t="s">
        <v>9</v>
      </c>
      <c r="K1930">
        <v>22260.75</v>
      </c>
      <c r="L1930">
        <v>128.99</v>
      </c>
      <c r="M1930">
        <v>17527</v>
      </c>
      <c r="N1930" t="s">
        <v>142</v>
      </c>
      <c r="O1930">
        <v>250618</v>
      </c>
      <c r="P1930">
        <v>505.85</v>
      </c>
    </row>
    <row r="1931" spans="1:16" x14ac:dyDescent="0.25">
      <c r="A1931" t="s">
        <v>3296</v>
      </c>
      <c r="B1931" t="s">
        <v>2931</v>
      </c>
      <c r="C1931">
        <v>8866</v>
      </c>
      <c r="D1931" t="str">
        <f t="shared" si="58"/>
        <v xml:space="preserve">5013939     </v>
      </c>
      <c r="E1931" t="s">
        <v>8</v>
      </c>
      <c r="F1931" t="s">
        <v>11</v>
      </c>
      <c r="G1931">
        <v>5746.02</v>
      </c>
      <c r="H1931">
        <v>250701</v>
      </c>
      <c r="I1931">
        <v>4841</v>
      </c>
      <c r="J1931" t="s">
        <v>9</v>
      </c>
      <c r="K1931">
        <v>22260.75</v>
      </c>
      <c r="L1931">
        <v>1167.52</v>
      </c>
      <c r="M1931">
        <v>17529</v>
      </c>
      <c r="N1931" t="s">
        <v>143</v>
      </c>
      <c r="O1931">
        <v>250618</v>
      </c>
      <c r="P1931">
        <v>4578.5</v>
      </c>
    </row>
    <row r="1932" spans="1:16" x14ac:dyDescent="0.25">
      <c r="A1932" t="s">
        <v>3296</v>
      </c>
      <c r="B1932" t="s">
        <v>2931</v>
      </c>
      <c r="C1932">
        <v>8866</v>
      </c>
      <c r="D1932" t="str">
        <f t="shared" si="58"/>
        <v xml:space="preserve">5013939     </v>
      </c>
      <c r="E1932" t="s">
        <v>8</v>
      </c>
      <c r="F1932" t="s">
        <v>11</v>
      </c>
      <c r="G1932">
        <v>7070.7</v>
      </c>
      <c r="H1932">
        <v>250701</v>
      </c>
      <c r="I1932">
        <v>4841</v>
      </c>
      <c r="J1932" t="s">
        <v>9</v>
      </c>
      <c r="K1932">
        <v>22260.75</v>
      </c>
      <c r="L1932">
        <v>1436.68</v>
      </c>
      <c r="M1932">
        <v>17530</v>
      </c>
      <c r="N1932" t="s">
        <v>144</v>
      </c>
      <c r="O1932">
        <v>250618</v>
      </c>
      <c r="P1932">
        <v>5634.02</v>
      </c>
    </row>
    <row r="1933" spans="1:16" x14ac:dyDescent="0.25">
      <c r="A1933" t="s">
        <v>3296</v>
      </c>
      <c r="B1933" t="s">
        <v>2931</v>
      </c>
      <c r="C1933">
        <v>8866</v>
      </c>
      <c r="D1933" t="str">
        <f t="shared" si="58"/>
        <v xml:space="preserve">5013939     </v>
      </c>
      <c r="E1933" t="s">
        <v>8</v>
      </c>
      <c r="F1933" t="s">
        <v>11</v>
      </c>
      <c r="G1933">
        <v>184.41</v>
      </c>
      <c r="H1933">
        <v>250701</v>
      </c>
      <c r="I1933">
        <v>4841</v>
      </c>
      <c r="J1933" t="s">
        <v>9</v>
      </c>
      <c r="K1933">
        <v>22260.75</v>
      </c>
      <c r="L1933">
        <v>37.47</v>
      </c>
      <c r="M1933">
        <v>17531</v>
      </c>
      <c r="N1933" t="s">
        <v>145</v>
      </c>
      <c r="O1933">
        <v>250618</v>
      </c>
      <c r="P1933">
        <v>146.94</v>
      </c>
    </row>
    <row r="1934" spans="1:16" x14ac:dyDescent="0.25">
      <c r="A1934" t="s">
        <v>3296</v>
      </c>
      <c r="B1934" t="s">
        <v>2931</v>
      </c>
      <c r="C1934">
        <v>8866</v>
      </c>
      <c r="D1934" t="str">
        <f t="shared" si="58"/>
        <v xml:space="preserve">5013939     </v>
      </c>
      <c r="E1934" t="s">
        <v>8</v>
      </c>
      <c r="F1934" t="s">
        <v>11</v>
      </c>
      <c r="G1934">
        <v>297.36</v>
      </c>
      <c r="H1934">
        <v>250701</v>
      </c>
      <c r="I1934">
        <v>4841</v>
      </c>
      <c r="J1934" t="s">
        <v>9</v>
      </c>
      <c r="K1934">
        <v>22260.75</v>
      </c>
      <c r="L1934">
        <v>60.42</v>
      </c>
      <c r="M1934">
        <v>17532</v>
      </c>
      <c r="N1934" t="s">
        <v>146</v>
      </c>
      <c r="O1934">
        <v>250618</v>
      </c>
      <c r="P1934">
        <v>236.94</v>
      </c>
    </row>
    <row r="1935" spans="1:16" x14ac:dyDescent="0.25">
      <c r="A1935" t="s">
        <v>3296</v>
      </c>
      <c r="B1935" t="s">
        <v>2931</v>
      </c>
      <c r="C1935">
        <v>8866</v>
      </c>
      <c r="D1935" t="str">
        <f t="shared" si="58"/>
        <v xml:space="preserve">5013939     </v>
      </c>
      <c r="E1935" t="s">
        <v>8</v>
      </c>
      <c r="F1935" t="s">
        <v>11</v>
      </c>
      <c r="G1935">
        <v>270.02999999999997</v>
      </c>
      <c r="H1935">
        <v>250701</v>
      </c>
      <c r="I1935">
        <v>4841</v>
      </c>
      <c r="J1935" t="s">
        <v>9</v>
      </c>
      <c r="K1935">
        <v>22260.75</v>
      </c>
      <c r="L1935">
        <v>54.87</v>
      </c>
      <c r="M1935">
        <v>17533</v>
      </c>
      <c r="N1935" t="s">
        <v>147</v>
      </c>
      <c r="O1935">
        <v>250618</v>
      </c>
      <c r="P1935">
        <v>215.16</v>
      </c>
    </row>
    <row r="1936" spans="1:16" x14ac:dyDescent="0.25">
      <c r="A1936" t="s">
        <v>3296</v>
      </c>
      <c r="B1936" t="s">
        <v>2931</v>
      </c>
      <c r="C1936">
        <v>8866</v>
      </c>
      <c r="D1936" t="str">
        <f t="shared" si="58"/>
        <v xml:space="preserve">5013939     </v>
      </c>
      <c r="E1936" t="s">
        <v>8</v>
      </c>
      <c r="F1936" t="s">
        <v>11</v>
      </c>
      <c r="G1936">
        <v>92.93</v>
      </c>
      <c r="H1936">
        <v>250701</v>
      </c>
      <c r="I1936">
        <v>4841</v>
      </c>
      <c r="J1936" t="s">
        <v>9</v>
      </c>
      <c r="K1936">
        <v>22260.75</v>
      </c>
      <c r="L1936">
        <v>18.88</v>
      </c>
      <c r="M1936">
        <v>17534</v>
      </c>
      <c r="N1936" t="s">
        <v>148</v>
      </c>
      <c r="O1936">
        <v>250618</v>
      </c>
      <c r="P1936">
        <v>74.05</v>
      </c>
    </row>
    <row r="1937" spans="1:16" x14ac:dyDescent="0.25">
      <c r="A1937" t="s">
        <v>3296</v>
      </c>
      <c r="B1937" t="s">
        <v>2931</v>
      </c>
      <c r="C1937">
        <v>8866</v>
      </c>
      <c r="D1937" t="str">
        <f t="shared" si="58"/>
        <v xml:space="preserve">5013939     </v>
      </c>
      <c r="E1937" t="s">
        <v>8</v>
      </c>
      <c r="F1937" t="s">
        <v>11</v>
      </c>
      <c r="G1937">
        <v>444.36</v>
      </c>
      <c r="H1937">
        <v>250701</v>
      </c>
      <c r="I1937">
        <v>4841</v>
      </c>
      <c r="J1937" t="s">
        <v>9</v>
      </c>
      <c r="K1937">
        <v>22260.75</v>
      </c>
      <c r="L1937">
        <v>90.29</v>
      </c>
      <c r="M1937">
        <v>17535</v>
      </c>
      <c r="N1937" t="s">
        <v>149</v>
      </c>
      <c r="O1937">
        <v>250618</v>
      </c>
      <c r="P1937">
        <v>354.07</v>
      </c>
    </row>
    <row r="1938" spans="1:16" x14ac:dyDescent="0.25">
      <c r="A1938" t="s">
        <v>3296</v>
      </c>
      <c r="B1938" t="s">
        <v>2931</v>
      </c>
      <c r="C1938">
        <v>8866</v>
      </c>
      <c r="D1938" t="str">
        <f t="shared" si="58"/>
        <v xml:space="preserve">5013939     </v>
      </c>
      <c r="E1938" t="s">
        <v>8</v>
      </c>
      <c r="F1938" t="s">
        <v>11</v>
      </c>
      <c r="G1938">
        <v>92.93</v>
      </c>
      <c r="H1938">
        <v>250701</v>
      </c>
      <c r="I1938">
        <v>4841</v>
      </c>
      <c r="J1938" t="s">
        <v>9</v>
      </c>
      <c r="K1938">
        <v>22260.75</v>
      </c>
      <c r="L1938">
        <v>18.88</v>
      </c>
      <c r="M1938">
        <v>17536</v>
      </c>
      <c r="N1938" t="s">
        <v>150</v>
      </c>
      <c r="O1938">
        <v>250618</v>
      </c>
      <c r="P1938">
        <v>74.05</v>
      </c>
    </row>
    <row r="1939" spans="1:16" x14ac:dyDescent="0.25">
      <c r="A1939" t="s">
        <v>3296</v>
      </c>
      <c r="B1939" t="s">
        <v>2931</v>
      </c>
      <c r="C1939">
        <v>8866</v>
      </c>
      <c r="D1939" t="str">
        <f t="shared" si="58"/>
        <v xml:space="preserve">5013939     </v>
      </c>
      <c r="E1939" t="s">
        <v>8</v>
      </c>
      <c r="F1939" t="s">
        <v>11</v>
      </c>
      <c r="G1939">
        <v>747.57</v>
      </c>
      <c r="H1939">
        <v>250701</v>
      </c>
      <c r="I1939">
        <v>4841</v>
      </c>
      <c r="J1939" t="s">
        <v>9</v>
      </c>
      <c r="K1939">
        <v>22260.75</v>
      </c>
      <c r="L1939">
        <v>151.9</v>
      </c>
      <c r="M1939">
        <v>17537</v>
      </c>
      <c r="N1939" t="s">
        <v>151</v>
      </c>
      <c r="O1939">
        <v>250618</v>
      </c>
      <c r="P1939">
        <v>595.66999999999996</v>
      </c>
    </row>
    <row r="1940" spans="1:16" x14ac:dyDescent="0.25">
      <c r="A1940" t="s">
        <v>3296</v>
      </c>
      <c r="B1940" t="s">
        <v>2931</v>
      </c>
      <c r="C1940">
        <v>8866</v>
      </c>
      <c r="D1940" t="str">
        <f t="shared" si="58"/>
        <v xml:space="preserve">5013939     </v>
      </c>
      <c r="E1940" t="s">
        <v>8</v>
      </c>
      <c r="F1940" t="s">
        <v>11</v>
      </c>
      <c r="G1940">
        <v>1453.59</v>
      </c>
      <c r="H1940">
        <v>250701</v>
      </c>
      <c r="I1940">
        <v>4841</v>
      </c>
      <c r="J1940" t="s">
        <v>9</v>
      </c>
      <c r="K1940">
        <v>22260.75</v>
      </c>
      <c r="L1940">
        <v>295.35000000000002</v>
      </c>
      <c r="M1940">
        <v>17538</v>
      </c>
      <c r="N1940" t="s">
        <v>129</v>
      </c>
      <c r="O1940">
        <v>250618</v>
      </c>
      <c r="P1940">
        <v>1158.24</v>
      </c>
    </row>
    <row r="1941" spans="1:16" x14ac:dyDescent="0.25">
      <c r="A1941" t="s">
        <v>3296</v>
      </c>
      <c r="B1941" t="s">
        <v>2931</v>
      </c>
      <c r="C1941">
        <v>8866</v>
      </c>
      <c r="D1941" t="str">
        <f t="shared" si="58"/>
        <v xml:space="preserve">5013939     </v>
      </c>
      <c r="E1941" t="s">
        <v>8</v>
      </c>
      <c r="F1941" t="s">
        <v>11</v>
      </c>
      <c r="G1941">
        <v>96.07</v>
      </c>
      <c r="H1941">
        <v>250701</v>
      </c>
      <c r="I1941">
        <v>4841</v>
      </c>
      <c r="J1941" t="s">
        <v>9</v>
      </c>
      <c r="K1941">
        <v>22260.75</v>
      </c>
      <c r="L1941">
        <v>19.52</v>
      </c>
      <c r="M1941">
        <v>17918</v>
      </c>
      <c r="N1941" t="s">
        <v>152</v>
      </c>
      <c r="O1941">
        <v>250618</v>
      </c>
      <c r="P1941">
        <v>76.55</v>
      </c>
    </row>
    <row r="1942" spans="1:16" x14ac:dyDescent="0.25">
      <c r="A1942" t="s">
        <v>3296</v>
      </c>
      <c r="B1942" t="s">
        <v>2931</v>
      </c>
      <c r="C1942">
        <v>8866</v>
      </c>
      <c r="D1942" t="str">
        <f t="shared" si="58"/>
        <v xml:space="preserve">5013939     </v>
      </c>
      <c r="E1942" t="s">
        <v>8</v>
      </c>
      <c r="F1942" t="s">
        <v>11</v>
      </c>
      <c r="G1942">
        <v>216.57</v>
      </c>
      <c r="H1942">
        <v>250701</v>
      </c>
      <c r="I1942">
        <v>4841</v>
      </c>
      <c r="J1942" t="s">
        <v>9</v>
      </c>
      <c r="K1942">
        <v>22260.75</v>
      </c>
      <c r="L1942">
        <v>44</v>
      </c>
      <c r="M1942">
        <v>17950</v>
      </c>
      <c r="N1942" t="s">
        <v>132</v>
      </c>
      <c r="O1942">
        <v>250618</v>
      </c>
      <c r="P1942">
        <v>172.57</v>
      </c>
    </row>
    <row r="1943" spans="1:16" x14ac:dyDescent="0.25">
      <c r="A1943" t="s">
        <v>3296</v>
      </c>
      <c r="B1943" t="s">
        <v>2931</v>
      </c>
      <c r="C1943">
        <v>8866</v>
      </c>
      <c r="D1943" t="str">
        <f t="shared" si="58"/>
        <v xml:space="preserve">5013939     </v>
      </c>
      <c r="E1943" t="s">
        <v>8</v>
      </c>
      <c r="F1943" t="s">
        <v>11</v>
      </c>
      <c r="G1943">
        <v>110.57</v>
      </c>
      <c r="H1943">
        <v>250701</v>
      </c>
      <c r="I1943">
        <v>4841</v>
      </c>
      <c r="J1943" t="s">
        <v>9</v>
      </c>
      <c r="K1943">
        <v>22260.75</v>
      </c>
      <c r="L1943">
        <v>22.47</v>
      </c>
      <c r="M1943">
        <v>17971</v>
      </c>
      <c r="N1943" t="s">
        <v>27</v>
      </c>
      <c r="O1943">
        <v>250618</v>
      </c>
      <c r="P1943">
        <v>88.1</v>
      </c>
    </row>
    <row r="1944" spans="1:16" x14ac:dyDescent="0.25">
      <c r="A1944" t="s">
        <v>3296</v>
      </c>
      <c r="B1944" t="s">
        <v>2931</v>
      </c>
      <c r="C1944">
        <v>8866</v>
      </c>
      <c r="D1944" t="str">
        <f t="shared" si="58"/>
        <v xml:space="preserve">5013939     </v>
      </c>
      <c r="E1944" t="s">
        <v>8</v>
      </c>
      <c r="F1944" t="s">
        <v>11</v>
      </c>
      <c r="G1944">
        <v>326.36</v>
      </c>
      <c r="H1944">
        <v>250701</v>
      </c>
      <c r="I1944">
        <v>4841</v>
      </c>
      <c r="J1944" t="s">
        <v>9</v>
      </c>
      <c r="K1944">
        <v>22260.75</v>
      </c>
      <c r="L1944">
        <v>66.31</v>
      </c>
      <c r="M1944">
        <v>17972</v>
      </c>
      <c r="N1944" t="s">
        <v>28</v>
      </c>
      <c r="O1944">
        <v>250618</v>
      </c>
      <c r="P1944">
        <v>260.05</v>
      </c>
    </row>
    <row r="1945" spans="1:16" x14ac:dyDescent="0.25">
      <c r="A1945" t="s">
        <v>3296</v>
      </c>
      <c r="B1945" t="s">
        <v>2931</v>
      </c>
      <c r="C1945">
        <v>8866</v>
      </c>
      <c r="D1945" t="str">
        <f t="shared" si="58"/>
        <v xml:space="preserve">5013939     </v>
      </c>
      <c r="E1945" t="s">
        <v>8</v>
      </c>
      <c r="F1945" t="s">
        <v>11</v>
      </c>
      <c r="G1945">
        <v>96.79</v>
      </c>
      <c r="H1945">
        <v>250701</v>
      </c>
      <c r="I1945">
        <v>4841</v>
      </c>
      <c r="J1945" t="s">
        <v>9</v>
      </c>
      <c r="K1945">
        <v>22260.75</v>
      </c>
      <c r="L1945">
        <v>19.670000000000002</v>
      </c>
      <c r="M1945">
        <v>17974</v>
      </c>
      <c r="N1945" t="s">
        <v>153</v>
      </c>
      <c r="O1945">
        <v>250618</v>
      </c>
      <c r="P1945">
        <v>77.12</v>
      </c>
    </row>
    <row r="1946" spans="1:16" x14ac:dyDescent="0.25">
      <c r="A1946" t="s">
        <v>3296</v>
      </c>
      <c r="B1946" t="s">
        <v>2931</v>
      </c>
      <c r="C1946">
        <v>8869</v>
      </c>
      <c r="D1946" t="str">
        <f>"5013908     "</f>
        <v xml:space="preserve">5013908     </v>
      </c>
      <c r="E1946" t="s">
        <v>8</v>
      </c>
      <c r="F1946" t="s">
        <v>11</v>
      </c>
      <c r="G1946">
        <v>91.31</v>
      </c>
      <c r="H1946">
        <v>250701</v>
      </c>
      <c r="I1946">
        <v>4841</v>
      </c>
      <c r="J1946" t="s">
        <v>9</v>
      </c>
      <c r="K1946">
        <v>330.81</v>
      </c>
      <c r="L1946">
        <v>18.55</v>
      </c>
      <c r="M1946">
        <v>11501</v>
      </c>
      <c r="N1946" t="s">
        <v>13</v>
      </c>
      <c r="O1946">
        <v>250618</v>
      </c>
      <c r="P1946">
        <v>72.760000000000005</v>
      </c>
    </row>
    <row r="1947" spans="1:16" x14ac:dyDescent="0.25">
      <c r="A1947" t="s">
        <v>3296</v>
      </c>
      <c r="B1947" t="s">
        <v>2931</v>
      </c>
      <c r="C1947">
        <v>8869</v>
      </c>
      <c r="D1947" t="str">
        <f>"5013908     "</f>
        <v xml:space="preserve">5013908     </v>
      </c>
      <c r="E1947" t="s">
        <v>8</v>
      </c>
      <c r="F1947" t="s">
        <v>11</v>
      </c>
      <c r="G1947">
        <v>239.5</v>
      </c>
      <c r="H1947">
        <v>250701</v>
      </c>
      <c r="I1947">
        <v>4841</v>
      </c>
      <c r="J1947" t="s">
        <v>9</v>
      </c>
      <c r="K1947">
        <v>330.81</v>
      </c>
      <c r="L1947">
        <v>48.66</v>
      </c>
      <c r="M1947">
        <v>11501</v>
      </c>
      <c r="N1947" t="s">
        <v>13</v>
      </c>
      <c r="O1947">
        <v>250618</v>
      </c>
      <c r="P1947">
        <v>190.84</v>
      </c>
    </row>
    <row r="1948" spans="1:16" x14ac:dyDescent="0.25">
      <c r="A1948" t="s">
        <v>3296</v>
      </c>
      <c r="B1948" t="s">
        <v>2931</v>
      </c>
      <c r="C1948">
        <v>8872</v>
      </c>
      <c r="D1948" t="str">
        <f t="shared" ref="D1948:D1973" si="59">"5013933     "</f>
        <v xml:space="preserve">5013933     </v>
      </c>
      <c r="E1948" t="s">
        <v>8</v>
      </c>
      <c r="F1948" t="s">
        <v>11</v>
      </c>
      <c r="G1948">
        <v>432.22</v>
      </c>
      <c r="H1948">
        <v>250701</v>
      </c>
      <c r="I1948">
        <v>4841</v>
      </c>
      <c r="J1948" t="s">
        <v>9</v>
      </c>
      <c r="K1948">
        <v>15156.81</v>
      </c>
      <c r="L1948">
        <v>87.82</v>
      </c>
      <c r="M1948">
        <v>14121</v>
      </c>
      <c r="N1948" t="s">
        <v>71</v>
      </c>
      <c r="O1948">
        <v>250618</v>
      </c>
      <c r="P1948">
        <v>344.4</v>
      </c>
    </row>
    <row r="1949" spans="1:16" x14ac:dyDescent="0.25">
      <c r="A1949" t="s">
        <v>3296</v>
      </c>
      <c r="B1949" t="s">
        <v>2931</v>
      </c>
      <c r="C1949">
        <v>8872</v>
      </c>
      <c r="D1949" t="str">
        <f t="shared" si="59"/>
        <v xml:space="preserve">5013933     </v>
      </c>
      <c r="E1949" t="s">
        <v>8</v>
      </c>
      <c r="F1949" t="s">
        <v>11</v>
      </c>
      <c r="G1949">
        <v>2713.51</v>
      </c>
      <c r="H1949">
        <v>250701</v>
      </c>
      <c r="I1949">
        <v>4841</v>
      </c>
      <c r="J1949" t="s">
        <v>9</v>
      </c>
      <c r="K1949">
        <v>15156.81</v>
      </c>
      <c r="L1949">
        <v>551.35</v>
      </c>
      <c r="M1949">
        <v>14121</v>
      </c>
      <c r="N1949" t="s">
        <v>71</v>
      </c>
      <c r="O1949">
        <v>250618</v>
      </c>
      <c r="P1949">
        <v>2162.16</v>
      </c>
    </row>
    <row r="1950" spans="1:16" x14ac:dyDescent="0.25">
      <c r="A1950" t="s">
        <v>3296</v>
      </c>
      <c r="B1950" t="s">
        <v>2931</v>
      </c>
      <c r="C1950">
        <v>8872</v>
      </c>
      <c r="D1950" t="str">
        <f t="shared" si="59"/>
        <v xml:space="preserve">5013933     </v>
      </c>
      <c r="E1950" t="s">
        <v>8</v>
      </c>
      <c r="F1950" t="s">
        <v>11</v>
      </c>
      <c r="G1950">
        <v>684.57</v>
      </c>
      <c r="H1950">
        <v>250701</v>
      </c>
      <c r="I1950">
        <v>4841</v>
      </c>
      <c r="J1950" t="s">
        <v>9</v>
      </c>
      <c r="K1950">
        <v>15156.81</v>
      </c>
      <c r="L1950">
        <v>139.1</v>
      </c>
      <c r="M1950">
        <v>14321</v>
      </c>
      <c r="N1950" t="s">
        <v>72</v>
      </c>
      <c r="O1950">
        <v>250618</v>
      </c>
      <c r="P1950">
        <v>545.47</v>
      </c>
    </row>
    <row r="1951" spans="1:16" x14ac:dyDescent="0.25">
      <c r="A1951" t="s">
        <v>3296</v>
      </c>
      <c r="B1951" t="s">
        <v>2931</v>
      </c>
      <c r="C1951">
        <v>8872</v>
      </c>
      <c r="D1951" t="str">
        <f t="shared" si="59"/>
        <v xml:space="preserve">5013933     </v>
      </c>
      <c r="E1951" t="s">
        <v>8</v>
      </c>
      <c r="F1951" t="s">
        <v>11</v>
      </c>
      <c r="G1951">
        <v>753.32</v>
      </c>
      <c r="H1951">
        <v>250701</v>
      </c>
      <c r="I1951">
        <v>4841</v>
      </c>
      <c r="J1951" t="s">
        <v>9</v>
      </c>
      <c r="K1951">
        <v>15156.81</v>
      </c>
      <c r="L1951">
        <v>153.07</v>
      </c>
      <c r="M1951">
        <v>14321</v>
      </c>
      <c r="N1951" t="s">
        <v>72</v>
      </c>
      <c r="O1951">
        <v>250618</v>
      </c>
      <c r="P1951">
        <v>600.25</v>
      </c>
    </row>
    <row r="1952" spans="1:16" x14ac:dyDescent="0.25">
      <c r="A1952" t="s">
        <v>3296</v>
      </c>
      <c r="B1952" t="s">
        <v>2931</v>
      </c>
      <c r="C1952">
        <v>8872</v>
      </c>
      <c r="D1952" t="str">
        <f t="shared" si="59"/>
        <v xml:space="preserve">5013933     </v>
      </c>
      <c r="E1952" t="s">
        <v>8</v>
      </c>
      <c r="F1952" t="s">
        <v>11</v>
      </c>
      <c r="G1952">
        <v>1218.5999999999999</v>
      </c>
      <c r="H1952">
        <v>250701</v>
      </c>
      <c r="I1952">
        <v>4841</v>
      </c>
      <c r="J1952" t="s">
        <v>9</v>
      </c>
      <c r="K1952">
        <v>15156.81</v>
      </c>
      <c r="L1952">
        <v>247.6</v>
      </c>
      <c r="M1952">
        <v>14422</v>
      </c>
      <c r="N1952" t="s">
        <v>73</v>
      </c>
      <c r="O1952">
        <v>250618</v>
      </c>
      <c r="P1952">
        <v>971</v>
      </c>
    </row>
    <row r="1953" spans="1:16" x14ac:dyDescent="0.25">
      <c r="A1953" t="s">
        <v>3296</v>
      </c>
      <c r="B1953" t="s">
        <v>2931</v>
      </c>
      <c r="C1953">
        <v>8872</v>
      </c>
      <c r="D1953" t="str">
        <f t="shared" si="59"/>
        <v xml:space="preserve">5013933     </v>
      </c>
      <c r="E1953" t="s">
        <v>8</v>
      </c>
      <c r="F1953" t="s">
        <v>11</v>
      </c>
      <c r="G1953">
        <v>563.24</v>
      </c>
      <c r="H1953">
        <v>250701</v>
      </c>
      <c r="I1953">
        <v>4841</v>
      </c>
      <c r="J1953" t="s">
        <v>9</v>
      </c>
      <c r="K1953">
        <v>15156.81</v>
      </c>
      <c r="L1953">
        <v>114.44</v>
      </c>
      <c r="M1953">
        <v>14422</v>
      </c>
      <c r="N1953" t="s">
        <v>73</v>
      </c>
      <c r="O1953">
        <v>250618</v>
      </c>
      <c r="P1953">
        <v>448.8</v>
      </c>
    </row>
    <row r="1954" spans="1:16" x14ac:dyDescent="0.25">
      <c r="A1954" t="s">
        <v>3296</v>
      </c>
      <c r="B1954" t="s">
        <v>2931</v>
      </c>
      <c r="C1954">
        <v>8872</v>
      </c>
      <c r="D1954" t="str">
        <f t="shared" si="59"/>
        <v xml:space="preserve">5013933     </v>
      </c>
      <c r="E1954" t="s">
        <v>8</v>
      </c>
      <c r="F1954" t="s">
        <v>11</v>
      </c>
      <c r="G1954">
        <v>12.44</v>
      </c>
      <c r="H1954">
        <v>250701</v>
      </c>
      <c r="I1954">
        <v>4841</v>
      </c>
      <c r="J1954" t="s">
        <v>9</v>
      </c>
      <c r="K1954">
        <v>15156.81</v>
      </c>
      <c r="L1954">
        <v>2.5299999999999998</v>
      </c>
      <c r="M1954">
        <v>14431</v>
      </c>
      <c r="N1954" t="s">
        <v>74</v>
      </c>
      <c r="O1954">
        <v>250618</v>
      </c>
      <c r="P1954">
        <v>9.91</v>
      </c>
    </row>
    <row r="1955" spans="1:16" x14ac:dyDescent="0.25">
      <c r="A1955" t="s">
        <v>3296</v>
      </c>
      <c r="B1955" t="s">
        <v>2931</v>
      </c>
      <c r="C1955">
        <v>8872</v>
      </c>
      <c r="D1955" t="str">
        <f t="shared" si="59"/>
        <v xml:space="preserve">5013933     </v>
      </c>
      <c r="E1955" t="s">
        <v>8</v>
      </c>
      <c r="F1955" t="s">
        <v>11</v>
      </c>
      <c r="G1955">
        <v>59.38</v>
      </c>
      <c r="H1955">
        <v>250701</v>
      </c>
      <c r="I1955">
        <v>4841</v>
      </c>
      <c r="J1955" t="s">
        <v>9</v>
      </c>
      <c r="K1955">
        <v>15156.81</v>
      </c>
      <c r="L1955">
        <v>12.07</v>
      </c>
      <c r="M1955">
        <v>14432</v>
      </c>
      <c r="N1955" t="s">
        <v>75</v>
      </c>
      <c r="O1955">
        <v>250618</v>
      </c>
      <c r="P1955">
        <v>47.31</v>
      </c>
    </row>
    <row r="1956" spans="1:16" x14ac:dyDescent="0.25">
      <c r="A1956" t="s">
        <v>3296</v>
      </c>
      <c r="B1956" t="s">
        <v>2931</v>
      </c>
      <c r="C1956">
        <v>8872</v>
      </c>
      <c r="D1956" t="str">
        <f t="shared" si="59"/>
        <v xml:space="preserve">5013933     </v>
      </c>
      <c r="E1956" t="s">
        <v>8</v>
      </c>
      <c r="F1956" t="s">
        <v>11</v>
      </c>
      <c r="G1956">
        <v>80.430000000000007</v>
      </c>
      <c r="H1956">
        <v>250701</v>
      </c>
      <c r="I1956">
        <v>4841</v>
      </c>
      <c r="J1956" t="s">
        <v>9</v>
      </c>
      <c r="K1956">
        <v>15156.81</v>
      </c>
      <c r="L1956">
        <v>16.34</v>
      </c>
      <c r="M1956">
        <v>14541</v>
      </c>
      <c r="N1956" t="s">
        <v>76</v>
      </c>
      <c r="O1956">
        <v>250618</v>
      </c>
      <c r="P1956">
        <v>64.09</v>
      </c>
    </row>
    <row r="1957" spans="1:16" x14ac:dyDescent="0.25">
      <c r="A1957" t="s">
        <v>3296</v>
      </c>
      <c r="B1957" t="s">
        <v>2931</v>
      </c>
      <c r="C1957">
        <v>8872</v>
      </c>
      <c r="D1957" t="str">
        <f t="shared" si="59"/>
        <v xml:space="preserve">5013933     </v>
      </c>
      <c r="E1957" t="s">
        <v>8</v>
      </c>
      <c r="F1957" t="s">
        <v>11</v>
      </c>
      <c r="G1957">
        <v>944.57</v>
      </c>
      <c r="H1957">
        <v>250701</v>
      </c>
      <c r="I1957">
        <v>4841</v>
      </c>
      <c r="J1957" t="s">
        <v>9</v>
      </c>
      <c r="K1957">
        <v>15156.81</v>
      </c>
      <c r="L1957">
        <v>191.92</v>
      </c>
      <c r="M1957">
        <v>14541</v>
      </c>
      <c r="N1957" t="s">
        <v>76</v>
      </c>
      <c r="O1957">
        <v>250618</v>
      </c>
      <c r="P1957">
        <v>752.65</v>
      </c>
    </row>
    <row r="1958" spans="1:16" x14ac:dyDescent="0.25">
      <c r="A1958" t="s">
        <v>3296</v>
      </c>
      <c r="B1958" t="s">
        <v>2931</v>
      </c>
      <c r="C1958">
        <v>8872</v>
      </c>
      <c r="D1958" t="str">
        <f t="shared" si="59"/>
        <v xml:space="preserve">5013933     </v>
      </c>
      <c r="E1958" t="s">
        <v>8</v>
      </c>
      <c r="F1958" t="s">
        <v>11</v>
      </c>
      <c r="G1958">
        <v>2891.72</v>
      </c>
      <c r="H1958">
        <v>250701</v>
      </c>
      <c r="I1958">
        <v>4841</v>
      </c>
      <c r="J1958" t="s">
        <v>9</v>
      </c>
      <c r="K1958">
        <v>15156.81</v>
      </c>
      <c r="L1958">
        <v>587.55999999999995</v>
      </c>
      <c r="M1958">
        <v>14622</v>
      </c>
      <c r="N1958" t="s">
        <v>77</v>
      </c>
      <c r="O1958">
        <v>250618</v>
      </c>
      <c r="P1958">
        <v>2304.16</v>
      </c>
    </row>
    <row r="1959" spans="1:16" x14ac:dyDescent="0.25">
      <c r="A1959" t="s">
        <v>3296</v>
      </c>
      <c r="B1959" t="s">
        <v>2931</v>
      </c>
      <c r="C1959">
        <v>8872</v>
      </c>
      <c r="D1959" t="str">
        <f t="shared" si="59"/>
        <v xml:space="preserve">5013933     </v>
      </c>
      <c r="E1959" t="s">
        <v>8</v>
      </c>
      <c r="F1959" t="s">
        <v>11</v>
      </c>
      <c r="G1959">
        <v>1600.62</v>
      </c>
      <c r="H1959">
        <v>250701</v>
      </c>
      <c r="I1959">
        <v>4841</v>
      </c>
      <c r="J1959" t="s">
        <v>9</v>
      </c>
      <c r="K1959">
        <v>15156.81</v>
      </c>
      <c r="L1959">
        <v>325.23</v>
      </c>
      <c r="M1959">
        <v>14622</v>
      </c>
      <c r="N1959" t="s">
        <v>77</v>
      </c>
      <c r="O1959">
        <v>250618</v>
      </c>
      <c r="P1959">
        <v>1275.3900000000001</v>
      </c>
    </row>
    <row r="1960" spans="1:16" x14ac:dyDescent="0.25">
      <c r="A1960" t="s">
        <v>3296</v>
      </c>
      <c r="B1960" t="s">
        <v>2931</v>
      </c>
      <c r="C1960">
        <v>8872</v>
      </c>
      <c r="D1960" t="str">
        <f t="shared" si="59"/>
        <v xml:space="preserve">5013933     </v>
      </c>
      <c r="E1960" t="s">
        <v>8</v>
      </c>
      <c r="F1960" t="s">
        <v>11</v>
      </c>
      <c r="G1960">
        <v>126.15</v>
      </c>
      <c r="H1960">
        <v>250701</v>
      </c>
      <c r="I1960">
        <v>4841</v>
      </c>
      <c r="J1960" t="s">
        <v>9</v>
      </c>
      <c r="K1960">
        <v>15156.81</v>
      </c>
      <c r="L1960">
        <v>25.63</v>
      </c>
      <c r="M1960">
        <v>14640</v>
      </c>
      <c r="N1960" t="s">
        <v>78</v>
      </c>
      <c r="O1960">
        <v>250618</v>
      </c>
      <c r="P1960">
        <v>100.52</v>
      </c>
    </row>
    <row r="1961" spans="1:16" x14ac:dyDescent="0.25">
      <c r="A1961" t="s">
        <v>3296</v>
      </c>
      <c r="B1961" t="s">
        <v>2931</v>
      </c>
      <c r="C1961">
        <v>8872</v>
      </c>
      <c r="D1961" t="str">
        <f t="shared" si="59"/>
        <v xml:space="preserve">5013933     </v>
      </c>
      <c r="E1961" t="s">
        <v>8</v>
      </c>
      <c r="F1961" t="s">
        <v>11</v>
      </c>
      <c r="G1961">
        <v>281.62</v>
      </c>
      <c r="H1961">
        <v>250701</v>
      </c>
      <c r="I1961">
        <v>4841</v>
      </c>
      <c r="J1961" t="s">
        <v>9</v>
      </c>
      <c r="K1961">
        <v>15156.81</v>
      </c>
      <c r="L1961">
        <v>57.22</v>
      </c>
      <c r="M1961">
        <v>14640</v>
      </c>
      <c r="N1961" t="s">
        <v>78</v>
      </c>
      <c r="O1961">
        <v>250618</v>
      </c>
      <c r="P1961">
        <v>224.4</v>
      </c>
    </row>
    <row r="1962" spans="1:16" x14ac:dyDescent="0.25">
      <c r="A1962" t="s">
        <v>3296</v>
      </c>
      <c r="B1962" t="s">
        <v>2931</v>
      </c>
      <c r="C1962">
        <v>8872</v>
      </c>
      <c r="D1962" t="str">
        <f t="shared" si="59"/>
        <v xml:space="preserve">5013933     </v>
      </c>
      <c r="E1962" t="s">
        <v>8</v>
      </c>
      <c r="F1962" t="s">
        <v>11</v>
      </c>
      <c r="G1962">
        <v>1014.09</v>
      </c>
      <c r="H1962">
        <v>250701</v>
      </c>
      <c r="I1962">
        <v>4841</v>
      </c>
      <c r="J1962" t="s">
        <v>9</v>
      </c>
      <c r="K1962">
        <v>15156.81</v>
      </c>
      <c r="L1962">
        <v>206.05</v>
      </c>
      <c r="M1962">
        <v>14861</v>
      </c>
      <c r="N1962" t="s">
        <v>79</v>
      </c>
      <c r="O1962">
        <v>250618</v>
      </c>
      <c r="P1962">
        <v>808.04</v>
      </c>
    </row>
    <row r="1963" spans="1:16" x14ac:dyDescent="0.25">
      <c r="A1963" t="s">
        <v>3296</v>
      </c>
      <c r="B1963" t="s">
        <v>2931</v>
      </c>
      <c r="C1963">
        <v>8872</v>
      </c>
      <c r="D1963" t="str">
        <f t="shared" si="59"/>
        <v xml:space="preserve">5013933     </v>
      </c>
      <c r="E1963" t="s">
        <v>8</v>
      </c>
      <c r="F1963" t="s">
        <v>11</v>
      </c>
      <c r="G1963">
        <v>189.3</v>
      </c>
      <c r="H1963">
        <v>250701</v>
      </c>
      <c r="I1963">
        <v>4841</v>
      </c>
      <c r="J1963" t="s">
        <v>9</v>
      </c>
      <c r="K1963">
        <v>15156.81</v>
      </c>
      <c r="L1963">
        <v>38.46</v>
      </c>
      <c r="M1963">
        <v>14861</v>
      </c>
      <c r="N1963" t="s">
        <v>79</v>
      </c>
      <c r="O1963">
        <v>250618</v>
      </c>
      <c r="P1963">
        <v>150.84</v>
      </c>
    </row>
    <row r="1964" spans="1:16" x14ac:dyDescent="0.25">
      <c r="A1964" t="s">
        <v>3296</v>
      </c>
      <c r="B1964" t="s">
        <v>2931</v>
      </c>
      <c r="C1964">
        <v>8872</v>
      </c>
      <c r="D1964" t="str">
        <f t="shared" si="59"/>
        <v xml:space="preserve">5013933     </v>
      </c>
      <c r="E1964" t="s">
        <v>8</v>
      </c>
      <c r="F1964" t="s">
        <v>11</v>
      </c>
      <c r="G1964">
        <v>46.93</v>
      </c>
      <c r="H1964">
        <v>250701</v>
      </c>
      <c r="I1964">
        <v>4841</v>
      </c>
      <c r="J1964" t="s">
        <v>9</v>
      </c>
      <c r="K1964">
        <v>15156.81</v>
      </c>
      <c r="L1964">
        <v>9.5399999999999991</v>
      </c>
      <c r="M1964">
        <v>14912</v>
      </c>
      <c r="N1964" t="s">
        <v>80</v>
      </c>
      <c r="O1964">
        <v>250618</v>
      </c>
      <c r="P1964">
        <v>37.39</v>
      </c>
    </row>
    <row r="1965" spans="1:16" x14ac:dyDescent="0.25">
      <c r="A1965" t="s">
        <v>3296</v>
      </c>
      <c r="B1965" t="s">
        <v>2931</v>
      </c>
      <c r="C1965">
        <v>8872</v>
      </c>
      <c r="D1965" t="str">
        <f t="shared" si="59"/>
        <v xml:space="preserve">5013933     </v>
      </c>
      <c r="E1965" t="s">
        <v>8</v>
      </c>
      <c r="F1965" t="s">
        <v>11</v>
      </c>
      <c r="G1965">
        <v>81.14</v>
      </c>
      <c r="H1965">
        <v>250701</v>
      </c>
      <c r="I1965">
        <v>4841</v>
      </c>
      <c r="J1965" t="s">
        <v>9</v>
      </c>
      <c r="K1965">
        <v>15156.81</v>
      </c>
      <c r="L1965">
        <v>16.489999999999998</v>
      </c>
      <c r="M1965">
        <v>14971</v>
      </c>
      <c r="N1965" t="s">
        <v>81</v>
      </c>
      <c r="O1965">
        <v>250618</v>
      </c>
      <c r="P1965">
        <v>64.650000000000006</v>
      </c>
    </row>
    <row r="1966" spans="1:16" x14ac:dyDescent="0.25">
      <c r="A1966" t="s">
        <v>3296</v>
      </c>
      <c r="B1966" t="s">
        <v>2931</v>
      </c>
      <c r="C1966">
        <v>8872</v>
      </c>
      <c r="D1966" t="str">
        <f t="shared" si="59"/>
        <v xml:space="preserve">5013933     </v>
      </c>
      <c r="E1966" t="s">
        <v>8</v>
      </c>
      <c r="F1966" t="s">
        <v>11</v>
      </c>
      <c r="G1966">
        <v>558.30999999999995</v>
      </c>
      <c r="H1966">
        <v>250701</v>
      </c>
      <c r="I1966">
        <v>4841</v>
      </c>
      <c r="J1966" t="s">
        <v>9</v>
      </c>
      <c r="K1966">
        <v>15156.81</v>
      </c>
      <c r="L1966">
        <v>113.44</v>
      </c>
      <c r="M1966">
        <v>14972</v>
      </c>
      <c r="N1966" t="s">
        <v>82</v>
      </c>
      <c r="O1966">
        <v>250618</v>
      </c>
      <c r="P1966">
        <v>444.87</v>
      </c>
    </row>
    <row r="1967" spans="1:16" x14ac:dyDescent="0.25">
      <c r="A1967" t="s">
        <v>3296</v>
      </c>
      <c r="B1967" t="s">
        <v>2931</v>
      </c>
      <c r="C1967">
        <v>8872</v>
      </c>
      <c r="D1967" t="str">
        <f t="shared" si="59"/>
        <v xml:space="preserve">5013933     </v>
      </c>
      <c r="E1967" t="s">
        <v>8</v>
      </c>
      <c r="F1967" t="s">
        <v>11</v>
      </c>
      <c r="G1967">
        <v>107.56</v>
      </c>
      <c r="H1967">
        <v>250701</v>
      </c>
      <c r="I1967">
        <v>4841</v>
      </c>
      <c r="J1967" t="s">
        <v>9</v>
      </c>
      <c r="K1967">
        <v>15156.81</v>
      </c>
      <c r="L1967">
        <v>21.85</v>
      </c>
      <c r="M1967">
        <v>14974</v>
      </c>
      <c r="N1967" t="s">
        <v>83</v>
      </c>
      <c r="O1967">
        <v>250618</v>
      </c>
      <c r="P1967">
        <v>85.71</v>
      </c>
    </row>
    <row r="1968" spans="1:16" x14ac:dyDescent="0.25">
      <c r="A1968" t="s">
        <v>3296</v>
      </c>
      <c r="B1968" t="s">
        <v>2931</v>
      </c>
      <c r="C1968">
        <v>8872</v>
      </c>
      <c r="D1968" t="str">
        <f t="shared" si="59"/>
        <v xml:space="preserve">5013933     </v>
      </c>
      <c r="E1968" t="s">
        <v>8</v>
      </c>
      <c r="F1968" t="s">
        <v>11</v>
      </c>
      <c r="G1968">
        <v>21.05</v>
      </c>
      <c r="H1968">
        <v>250701</v>
      </c>
      <c r="I1968">
        <v>4841</v>
      </c>
      <c r="J1968" t="s">
        <v>9</v>
      </c>
      <c r="K1968">
        <v>15156.81</v>
      </c>
      <c r="L1968">
        <v>4.28</v>
      </c>
      <c r="M1968">
        <v>14975</v>
      </c>
      <c r="N1968" t="s">
        <v>84</v>
      </c>
      <c r="O1968">
        <v>250618</v>
      </c>
      <c r="P1968">
        <v>16.77</v>
      </c>
    </row>
    <row r="1969" spans="1:16" x14ac:dyDescent="0.25">
      <c r="A1969" t="s">
        <v>3296</v>
      </c>
      <c r="B1969" t="s">
        <v>2931</v>
      </c>
      <c r="C1969">
        <v>8872</v>
      </c>
      <c r="D1969" t="str">
        <f t="shared" si="59"/>
        <v xml:space="preserve">5013933     </v>
      </c>
      <c r="E1969" t="s">
        <v>8</v>
      </c>
      <c r="F1969" t="s">
        <v>11</v>
      </c>
      <c r="G1969">
        <v>94.57</v>
      </c>
      <c r="H1969">
        <v>250701</v>
      </c>
      <c r="I1969">
        <v>4841</v>
      </c>
      <c r="J1969" t="s">
        <v>9</v>
      </c>
      <c r="K1969">
        <v>15156.81</v>
      </c>
      <c r="L1969">
        <v>19.22</v>
      </c>
      <c r="M1969">
        <v>14975</v>
      </c>
      <c r="N1969" t="s">
        <v>84</v>
      </c>
      <c r="O1969">
        <v>250618</v>
      </c>
      <c r="P1969">
        <v>75.349999999999994</v>
      </c>
    </row>
    <row r="1970" spans="1:16" x14ac:dyDescent="0.25">
      <c r="A1970" t="s">
        <v>3296</v>
      </c>
      <c r="B1970" t="s">
        <v>2931</v>
      </c>
      <c r="C1970">
        <v>8872</v>
      </c>
      <c r="D1970" t="str">
        <f t="shared" si="59"/>
        <v xml:space="preserve">5013933     </v>
      </c>
      <c r="E1970" t="s">
        <v>8</v>
      </c>
      <c r="F1970" t="s">
        <v>11</v>
      </c>
      <c r="G1970">
        <v>81.709999999999994</v>
      </c>
      <c r="H1970">
        <v>250701</v>
      </c>
      <c r="I1970">
        <v>4841</v>
      </c>
      <c r="J1970" t="s">
        <v>9</v>
      </c>
      <c r="K1970">
        <v>15156.81</v>
      </c>
      <c r="L1970">
        <v>16.600000000000001</v>
      </c>
      <c r="M1970">
        <v>14990</v>
      </c>
      <c r="N1970" t="s">
        <v>85</v>
      </c>
      <c r="O1970">
        <v>250618</v>
      </c>
      <c r="P1970">
        <v>65.11</v>
      </c>
    </row>
    <row r="1971" spans="1:16" x14ac:dyDescent="0.25">
      <c r="A1971" t="s">
        <v>3296</v>
      </c>
      <c r="B1971" t="s">
        <v>2931</v>
      </c>
      <c r="C1971">
        <v>8872</v>
      </c>
      <c r="D1971" t="str">
        <f t="shared" si="59"/>
        <v xml:space="preserve">5013933     </v>
      </c>
      <c r="E1971" t="s">
        <v>8</v>
      </c>
      <c r="F1971" t="s">
        <v>11</v>
      </c>
      <c r="G1971">
        <v>12.17</v>
      </c>
      <c r="H1971">
        <v>250701</v>
      </c>
      <c r="I1971">
        <v>4841</v>
      </c>
      <c r="J1971" t="s">
        <v>9</v>
      </c>
      <c r="K1971">
        <v>15156.81</v>
      </c>
      <c r="L1971">
        <v>2.4700000000000002</v>
      </c>
      <c r="M1971">
        <v>14990</v>
      </c>
      <c r="N1971" t="s">
        <v>85</v>
      </c>
      <c r="O1971">
        <v>250618</v>
      </c>
      <c r="P1971">
        <v>9.6999999999999993</v>
      </c>
    </row>
    <row r="1972" spans="1:16" x14ac:dyDescent="0.25">
      <c r="A1972" t="s">
        <v>3296</v>
      </c>
      <c r="B1972" t="s">
        <v>2931</v>
      </c>
      <c r="C1972">
        <v>8872</v>
      </c>
      <c r="D1972" t="str">
        <f t="shared" si="59"/>
        <v xml:space="preserve">5013933     </v>
      </c>
      <c r="E1972" t="s">
        <v>8</v>
      </c>
      <c r="F1972" t="s">
        <v>11</v>
      </c>
      <c r="G1972">
        <v>21.1</v>
      </c>
      <c r="H1972">
        <v>250701</v>
      </c>
      <c r="I1972">
        <v>4841</v>
      </c>
      <c r="J1972" t="s">
        <v>9</v>
      </c>
      <c r="K1972">
        <v>15156.81</v>
      </c>
      <c r="L1972">
        <v>4.29</v>
      </c>
      <c r="M1972">
        <v>18120</v>
      </c>
      <c r="N1972" t="s">
        <v>37</v>
      </c>
      <c r="O1972">
        <v>250618</v>
      </c>
      <c r="P1972">
        <v>16.809999999999999</v>
      </c>
    </row>
    <row r="1973" spans="1:16" x14ac:dyDescent="0.25">
      <c r="A1973" t="s">
        <v>3296</v>
      </c>
      <c r="B1973" t="s">
        <v>2931</v>
      </c>
      <c r="C1973">
        <v>8872</v>
      </c>
      <c r="D1973" t="str">
        <f t="shared" si="59"/>
        <v xml:space="preserve">5013933     </v>
      </c>
      <c r="E1973" t="s">
        <v>8</v>
      </c>
      <c r="F1973" t="s">
        <v>11</v>
      </c>
      <c r="G1973">
        <v>566.49</v>
      </c>
      <c r="H1973">
        <v>250701</v>
      </c>
      <c r="I1973">
        <v>4841</v>
      </c>
      <c r="J1973" t="s">
        <v>9</v>
      </c>
      <c r="K1973">
        <v>15156.81</v>
      </c>
      <c r="L1973">
        <v>115.1</v>
      </c>
      <c r="M1973">
        <v>18972</v>
      </c>
      <c r="N1973" t="s">
        <v>39</v>
      </c>
      <c r="O1973">
        <v>250618</v>
      </c>
      <c r="P1973">
        <v>451.39</v>
      </c>
    </row>
    <row r="1974" spans="1:16" x14ac:dyDescent="0.25">
      <c r="A1974" t="s">
        <v>3296</v>
      </c>
      <c r="B1974" t="s">
        <v>2931</v>
      </c>
      <c r="C1974">
        <v>8873</v>
      </c>
      <c r="D1974" t="str">
        <f>"5013929     "</f>
        <v xml:space="preserve">5013929     </v>
      </c>
      <c r="E1974" t="s">
        <v>8</v>
      </c>
      <c r="F1974" t="s">
        <v>11</v>
      </c>
      <c r="G1974">
        <v>2411.14</v>
      </c>
      <c r="H1974">
        <v>250701</v>
      </c>
      <c r="I1974">
        <v>4841</v>
      </c>
      <c r="J1974" t="s">
        <v>9</v>
      </c>
      <c r="K1974">
        <v>2411.14</v>
      </c>
      <c r="L1974">
        <v>489.91</v>
      </c>
      <c r="M1974">
        <v>11801</v>
      </c>
      <c r="N1974" t="s">
        <v>40</v>
      </c>
      <c r="O1974">
        <v>250618</v>
      </c>
      <c r="P1974">
        <v>1921.23</v>
      </c>
    </row>
    <row r="1975" spans="1:16" x14ac:dyDescent="0.25">
      <c r="A1975" t="s">
        <v>3296</v>
      </c>
      <c r="B1975" t="s">
        <v>2931</v>
      </c>
      <c r="C1975">
        <v>8875</v>
      </c>
      <c r="D1975" t="str">
        <f>"5013918     "</f>
        <v xml:space="preserve">5013918     </v>
      </c>
      <c r="E1975" t="s">
        <v>8</v>
      </c>
      <c r="F1975" t="s">
        <v>11</v>
      </c>
      <c r="G1975">
        <v>161.16999999999999</v>
      </c>
      <c r="H1975">
        <v>250701</v>
      </c>
      <c r="I1975">
        <v>4841</v>
      </c>
      <c r="J1975" t="s">
        <v>9</v>
      </c>
      <c r="K1975">
        <v>289.99</v>
      </c>
      <c r="L1975">
        <v>32.75</v>
      </c>
      <c r="M1975">
        <v>17538</v>
      </c>
      <c r="N1975" t="s">
        <v>129</v>
      </c>
      <c r="O1975">
        <v>250618</v>
      </c>
      <c r="P1975">
        <v>128.41999999999999</v>
      </c>
    </row>
    <row r="1976" spans="1:16" x14ac:dyDescent="0.25">
      <c r="A1976" t="s">
        <v>3296</v>
      </c>
      <c r="B1976" t="s">
        <v>2931</v>
      </c>
      <c r="C1976">
        <v>8875</v>
      </c>
      <c r="D1976" t="str">
        <f>"5013918     "</f>
        <v xml:space="preserve">5013918     </v>
      </c>
      <c r="E1976" t="s">
        <v>8</v>
      </c>
      <c r="F1976" t="s">
        <v>11</v>
      </c>
      <c r="G1976">
        <v>68.8</v>
      </c>
      <c r="H1976">
        <v>250701</v>
      </c>
      <c r="I1976">
        <v>4841</v>
      </c>
      <c r="J1976" t="s">
        <v>9</v>
      </c>
      <c r="K1976">
        <v>289.99</v>
      </c>
      <c r="L1976">
        <v>13.98</v>
      </c>
      <c r="M1976">
        <v>17808</v>
      </c>
      <c r="N1976" t="s">
        <v>24</v>
      </c>
      <c r="O1976">
        <v>250618</v>
      </c>
      <c r="P1976">
        <v>54.82</v>
      </c>
    </row>
    <row r="1977" spans="1:16" x14ac:dyDescent="0.25">
      <c r="A1977" t="s">
        <v>3296</v>
      </c>
      <c r="B1977" t="s">
        <v>2931</v>
      </c>
      <c r="C1977">
        <v>8875</v>
      </c>
      <c r="D1977" t="str">
        <f>"5013918     "</f>
        <v xml:space="preserve">5013918     </v>
      </c>
      <c r="E1977" t="s">
        <v>8</v>
      </c>
      <c r="F1977" t="s">
        <v>11</v>
      </c>
      <c r="G1977">
        <v>60.02</v>
      </c>
      <c r="H1977">
        <v>250701</v>
      </c>
      <c r="I1977">
        <v>4841</v>
      </c>
      <c r="J1977" t="s">
        <v>9</v>
      </c>
      <c r="K1977">
        <v>289.99</v>
      </c>
      <c r="L1977">
        <v>12.2</v>
      </c>
      <c r="M1977">
        <v>17951</v>
      </c>
      <c r="N1977" t="s">
        <v>207</v>
      </c>
      <c r="O1977">
        <v>250618</v>
      </c>
      <c r="P1977">
        <v>47.82</v>
      </c>
    </row>
    <row r="1978" spans="1:16" x14ac:dyDescent="0.25">
      <c r="A1978" t="s">
        <v>3296</v>
      </c>
      <c r="B1978" t="s">
        <v>2931</v>
      </c>
      <c r="C1978">
        <v>8877</v>
      </c>
      <c r="D1978" t="str">
        <f>"17037546    "</f>
        <v xml:space="preserve">17037546    </v>
      </c>
      <c r="E1978" t="s">
        <v>8</v>
      </c>
      <c r="F1978" t="s">
        <v>11</v>
      </c>
      <c r="G1978">
        <v>66.819999999999993</v>
      </c>
      <c r="H1978">
        <v>250701</v>
      </c>
      <c r="I1978">
        <v>4841</v>
      </c>
      <c r="J1978" t="s">
        <v>9</v>
      </c>
      <c r="K1978">
        <v>66.819999999999993</v>
      </c>
      <c r="L1978">
        <v>13.58</v>
      </c>
      <c r="M1978">
        <v>11301</v>
      </c>
      <c r="N1978" t="s">
        <v>92</v>
      </c>
      <c r="O1978">
        <v>250618</v>
      </c>
      <c r="P1978">
        <v>53.24</v>
      </c>
    </row>
    <row r="1979" spans="1:16" x14ac:dyDescent="0.25">
      <c r="A1979" t="s">
        <v>3296</v>
      </c>
      <c r="B1979" t="s">
        <v>2931</v>
      </c>
      <c r="C1979">
        <v>8878</v>
      </c>
      <c r="D1979" t="str">
        <f>"5013909     "</f>
        <v xml:space="preserve">5013909     </v>
      </c>
      <c r="E1979" t="s">
        <v>8</v>
      </c>
      <c r="F1979" t="s">
        <v>11</v>
      </c>
      <c r="G1979">
        <v>119.06</v>
      </c>
      <c r="H1979">
        <v>250701</v>
      </c>
      <c r="I1979">
        <v>4841</v>
      </c>
      <c r="J1979" t="s">
        <v>9</v>
      </c>
      <c r="K1979">
        <v>119.06</v>
      </c>
      <c r="L1979">
        <v>0</v>
      </c>
      <c r="M1979">
        <v>11001</v>
      </c>
      <c r="N1979" t="s">
        <v>93</v>
      </c>
      <c r="O1979">
        <v>250618</v>
      </c>
      <c r="P1979">
        <v>119.06</v>
      </c>
    </row>
    <row r="1980" spans="1:16" x14ac:dyDescent="0.25">
      <c r="A1980" t="s">
        <v>3296</v>
      </c>
      <c r="B1980" t="s">
        <v>2931</v>
      </c>
      <c r="C1980">
        <v>8881</v>
      </c>
      <c r="D1980" t="str">
        <f t="shared" ref="D1980:D1985" si="60">"5013927     "</f>
        <v xml:space="preserve">5013927     </v>
      </c>
      <c r="E1980" t="s">
        <v>8</v>
      </c>
      <c r="F1980" t="s">
        <v>11</v>
      </c>
      <c r="G1980">
        <v>662.63</v>
      </c>
      <c r="H1980">
        <v>250701</v>
      </c>
      <c r="I1980">
        <v>4841</v>
      </c>
      <c r="J1980" t="s">
        <v>9</v>
      </c>
      <c r="K1980">
        <v>2532.6999999999998</v>
      </c>
      <c r="L1980">
        <v>134.63999999999999</v>
      </c>
      <c r="M1980">
        <v>18010</v>
      </c>
      <c r="N1980" t="s">
        <v>36</v>
      </c>
      <c r="O1980">
        <v>250618</v>
      </c>
      <c r="P1980">
        <v>527.99</v>
      </c>
    </row>
    <row r="1981" spans="1:16" x14ac:dyDescent="0.25">
      <c r="A1981" t="s">
        <v>3296</v>
      </c>
      <c r="B1981" t="s">
        <v>2931</v>
      </c>
      <c r="C1981">
        <v>8881</v>
      </c>
      <c r="D1981" t="str">
        <f t="shared" si="60"/>
        <v xml:space="preserve">5013927     </v>
      </c>
      <c r="E1981" t="s">
        <v>8</v>
      </c>
      <c r="F1981" t="s">
        <v>11</v>
      </c>
      <c r="G1981">
        <v>156.88</v>
      </c>
      <c r="H1981">
        <v>250701</v>
      </c>
      <c r="I1981">
        <v>4841</v>
      </c>
      <c r="J1981" t="s">
        <v>9</v>
      </c>
      <c r="K1981">
        <v>2532.6999999999998</v>
      </c>
      <c r="L1981">
        <v>31.88</v>
      </c>
      <c r="M1981">
        <v>18120</v>
      </c>
      <c r="N1981" t="s">
        <v>37</v>
      </c>
      <c r="O1981">
        <v>250618</v>
      </c>
      <c r="P1981">
        <v>125</v>
      </c>
    </row>
    <row r="1982" spans="1:16" x14ac:dyDescent="0.25">
      <c r="A1982" t="s">
        <v>3296</v>
      </c>
      <c r="B1982" t="s">
        <v>2931</v>
      </c>
      <c r="C1982">
        <v>8881</v>
      </c>
      <c r="D1982" t="str">
        <f t="shared" si="60"/>
        <v xml:space="preserve">5013927     </v>
      </c>
      <c r="E1982" t="s">
        <v>8</v>
      </c>
      <c r="F1982" t="s">
        <v>11</v>
      </c>
      <c r="G1982">
        <v>190.48</v>
      </c>
      <c r="H1982">
        <v>250701</v>
      </c>
      <c r="I1982">
        <v>4841</v>
      </c>
      <c r="J1982" t="s">
        <v>9</v>
      </c>
      <c r="K1982">
        <v>2532.6999999999998</v>
      </c>
      <c r="L1982">
        <v>38.700000000000003</v>
      </c>
      <c r="M1982">
        <v>18122</v>
      </c>
      <c r="N1982" t="s">
        <v>176</v>
      </c>
      <c r="O1982">
        <v>250618</v>
      </c>
      <c r="P1982">
        <v>151.78</v>
      </c>
    </row>
    <row r="1983" spans="1:16" x14ac:dyDescent="0.25">
      <c r="A1983" t="s">
        <v>3296</v>
      </c>
      <c r="B1983" t="s">
        <v>2931</v>
      </c>
      <c r="C1983">
        <v>8881</v>
      </c>
      <c r="D1983" t="str">
        <f t="shared" si="60"/>
        <v xml:space="preserve">5013927     </v>
      </c>
      <c r="E1983" t="s">
        <v>8</v>
      </c>
      <c r="F1983" t="s">
        <v>11</v>
      </c>
      <c r="G1983">
        <v>174.97</v>
      </c>
      <c r="H1983">
        <v>250701</v>
      </c>
      <c r="I1983">
        <v>4841</v>
      </c>
      <c r="J1983" t="s">
        <v>9</v>
      </c>
      <c r="K1983">
        <v>2532.6999999999998</v>
      </c>
      <c r="L1983">
        <v>35.549999999999997</v>
      </c>
      <c r="M1983">
        <v>18971</v>
      </c>
      <c r="N1983" t="s">
        <v>38</v>
      </c>
      <c r="O1983">
        <v>250618</v>
      </c>
      <c r="P1983">
        <v>139.41999999999999</v>
      </c>
    </row>
    <row r="1984" spans="1:16" x14ac:dyDescent="0.25">
      <c r="A1984" t="s">
        <v>3296</v>
      </c>
      <c r="B1984" t="s">
        <v>2931</v>
      </c>
      <c r="C1984">
        <v>8881</v>
      </c>
      <c r="D1984" t="str">
        <f t="shared" si="60"/>
        <v xml:space="preserve">5013927     </v>
      </c>
      <c r="E1984" t="s">
        <v>8</v>
      </c>
      <c r="F1984" t="s">
        <v>11</v>
      </c>
      <c r="G1984">
        <v>658.37</v>
      </c>
      <c r="H1984">
        <v>250701</v>
      </c>
      <c r="I1984">
        <v>4841</v>
      </c>
      <c r="J1984" t="s">
        <v>9</v>
      </c>
      <c r="K1984">
        <v>2532.6999999999998</v>
      </c>
      <c r="L1984">
        <v>133.77000000000001</v>
      </c>
      <c r="M1984">
        <v>18972</v>
      </c>
      <c r="N1984" t="s">
        <v>39</v>
      </c>
      <c r="O1984">
        <v>250618</v>
      </c>
      <c r="P1984">
        <v>524.6</v>
      </c>
    </row>
    <row r="1985" spans="1:16" x14ac:dyDescent="0.25">
      <c r="A1985" t="s">
        <v>3296</v>
      </c>
      <c r="B1985" t="s">
        <v>2931</v>
      </c>
      <c r="C1985">
        <v>8881</v>
      </c>
      <c r="D1985" t="str">
        <f t="shared" si="60"/>
        <v xml:space="preserve">5013927     </v>
      </c>
      <c r="E1985" t="s">
        <v>8</v>
      </c>
      <c r="F1985" t="s">
        <v>11</v>
      </c>
      <c r="G1985">
        <v>689.37</v>
      </c>
      <c r="H1985">
        <v>250701</v>
      </c>
      <c r="I1985">
        <v>4841</v>
      </c>
      <c r="J1985" t="s">
        <v>9</v>
      </c>
      <c r="K1985">
        <v>2532.6999999999998</v>
      </c>
      <c r="L1985">
        <v>140.07</v>
      </c>
      <c r="M1985">
        <v>18982</v>
      </c>
      <c r="N1985" t="s">
        <v>736</v>
      </c>
      <c r="O1985">
        <v>250618</v>
      </c>
      <c r="P1985">
        <v>549.29999999999995</v>
      </c>
    </row>
    <row r="1986" spans="1:16" x14ac:dyDescent="0.25">
      <c r="A1986" t="s">
        <v>3296</v>
      </c>
      <c r="B1986" t="s">
        <v>2931</v>
      </c>
      <c r="C1986">
        <v>8883</v>
      </c>
      <c r="D1986" t="str">
        <f>"17037545    "</f>
        <v xml:space="preserve">17037545    </v>
      </c>
      <c r="E1986" t="s">
        <v>8</v>
      </c>
      <c r="F1986" t="s">
        <v>11</v>
      </c>
      <c r="G1986">
        <v>33.07</v>
      </c>
      <c r="H1986">
        <v>250701</v>
      </c>
      <c r="I1986">
        <v>4841</v>
      </c>
      <c r="J1986" t="s">
        <v>9</v>
      </c>
      <c r="K1986">
        <v>33.07</v>
      </c>
      <c r="L1986">
        <v>6.72</v>
      </c>
      <c r="M1986">
        <v>13401</v>
      </c>
      <c r="N1986" t="s">
        <v>10</v>
      </c>
      <c r="O1986">
        <v>250618</v>
      </c>
      <c r="P1986">
        <v>26.35</v>
      </c>
    </row>
    <row r="1987" spans="1:16" x14ac:dyDescent="0.25">
      <c r="A1987" t="s">
        <v>3296</v>
      </c>
      <c r="B1987" t="s">
        <v>2931</v>
      </c>
      <c r="C1987">
        <v>8884</v>
      </c>
      <c r="D1987" t="str">
        <f>"5013928     "</f>
        <v xml:space="preserve">5013928     </v>
      </c>
      <c r="E1987" t="s">
        <v>8</v>
      </c>
      <c r="F1987" t="s">
        <v>11</v>
      </c>
      <c r="G1987">
        <v>530.58000000000004</v>
      </c>
      <c r="H1987">
        <v>250701</v>
      </c>
      <c r="I1987">
        <v>4841</v>
      </c>
      <c r="J1987" t="s">
        <v>9</v>
      </c>
      <c r="K1987">
        <v>530.58000000000004</v>
      </c>
      <c r="L1987">
        <v>107.81</v>
      </c>
      <c r="M1987">
        <v>11101</v>
      </c>
      <c r="N1987" t="s">
        <v>67</v>
      </c>
      <c r="O1987">
        <v>250618</v>
      </c>
      <c r="P1987">
        <v>422.77</v>
      </c>
    </row>
    <row r="1988" spans="1:16" x14ac:dyDescent="0.25">
      <c r="A1988" t="s">
        <v>3296</v>
      </c>
      <c r="B1988" t="s">
        <v>2931</v>
      </c>
      <c r="C1988">
        <v>8887</v>
      </c>
      <c r="D1988" t="str">
        <f>"5013920     "</f>
        <v xml:space="preserve">5013920     </v>
      </c>
      <c r="E1988" t="s">
        <v>8</v>
      </c>
      <c r="F1988" t="s">
        <v>11</v>
      </c>
      <c r="G1988">
        <v>323.45999999999998</v>
      </c>
      <c r="H1988">
        <v>250701</v>
      </c>
      <c r="I1988">
        <v>4841</v>
      </c>
      <c r="J1988" t="s">
        <v>9</v>
      </c>
      <c r="K1988">
        <v>323.45999999999998</v>
      </c>
      <c r="L1988">
        <v>65.72</v>
      </c>
      <c r="M1988">
        <v>13940</v>
      </c>
      <c r="N1988" t="s">
        <v>14</v>
      </c>
      <c r="O1988">
        <v>250618</v>
      </c>
      <c r="P1988">
        <v>257.74</v>
      </c>
    </row>
    <row r="1989" spans="1:16" x14ac:dyDescent="0.25">
      <c r="A1989" t="s">
        <v>3296</v>
      </c>
      <c r="B1989" t="s">
        <v>2931</v>
      </c>
      <c r="C1989">
        <v>8891</v>
      </c>
      <c r="D1989" t="str">
        <f>"5013911     "</f>
        <v xml:space="preserve">5013911     </v>
      </c>
      <c r="E1989" t="s">
        <v>8</v>
      </c>
      <c r="F1989" t="s">
        <v>11</v>
      </c>
      <c r="G1989">
        <v>392.75</v>
      </c>
      <c r="H1989">
        <v>250701</v>
      </c>
      <c r="I1989">
        <v>4841</v>
      </c>
      <c r="J1989" t="s">
        <v>9</v>
      </c>
      <c r="K1989">
        <v>392.75</v>
      </c>
      <c r="L1989">
        <v>79.8</v>
      </c>
      <c r="M1989">
        <v>11601</v>
      </c>
      <c r="N1989" t="s">
        <v>12</v>
      </c>
      <c r="O1989">
        <v>250618</v>
      </c>
      <c r="P1989">
        <v>312.95</v>
      </c>
    </row>
    <row r="1990" spans="1:16" x14ac:dyDescent="0.25">
      <c r="A1990" t="s">
        <v>3296</v>
      </c>
      <c r="B1990" t="s">
        <v>2931</v>
      </c>
      <c r="C1990">
        <v>8892</v>
      </c>
      <c r="D1990" t="str">
        <f t="shared" ref="D1990:D2007" si="61">"5013913     "</f>
        <v xml:space="preserve">5013913     </v>
      </c>
      <c r="E1990" t="s">
        <v>8</v>
      </c>
      <c r="F1990" t="s">
        <v>11</v>
      </c>
      <c r="G1990">
        <v>363.33</v>
      </c>
      <c r="H1990">
        <v>250701</v>
      </c>
      <c r="I1990">
        <v>4841</v>
      </c>
      <c r="J1990" t="s">
        <v>9</v>
      </c>
      <c r="K1990">
        <v>9776.64</v>
      </c>
      <c r="L1990">
        <v>73.819999999999993</v>
      </c>
      <c r="M1990">
        <v>16321</v>
      </c>
      <c r="N1990" t="s">
        <v>16</v>
      </c>
      <c r="O1990">
        <v>250618</v>
      </c>
      <c r="P1990">
        <v>289.51</v>
      </c>
    </row>
    <row r="1991" spans="1:16" x14ac:dyDescent="0.25">
      <c r="A1991" t="s">
        <v>3296</v>
      </c>
      <c r="B1991" t="s">
        <v>2931</v>
      </c>
      <c r="C1991">
        <v>8892</v>
      </c>
      <c r="D1991" t="str">
        <f t="shared" si="61"/>
        <v xml:space="preserve">5013913     </v>
      </c>
      <c r="E1991" t="s">
        <v>8</v>
      </c>
      <c r="F1991" t="s">
        <v>11</v>
      </c>
      <c r="G1991">
        <v>830.41</v>
      </c>
      <c r="H1991">
        <v>250701</v>
      </c>
      <c r="I1991">
        <v>4841</v>
      </c>
      <c r="J1991" t="s">
        <v>9</v>
      </c>
      <c r="K1991">
        <v>9776.64</v>
      </c>
      <c r="L1991">
        <v>168.73</v>
      </c>
      <c r="M1991">
        <v>16321</v>
      </c>
      <c r="N1991" t="s">
        <v>16</v>
      </c>
      <c r="O1991">
        <v>250618</v>
      </c>
      <c r="P1991">
        <v>661.68</v>
      </c>
    </row>
    <row r="1992" spans="1:16" x14ac:dyDescent="0.25">
      <c r="A1992" t="s">
        <v>3296</v>
      </c>
      <c r="B1992" t="s">
        <v>2931</v>
      </c>
      <c r="C1992">
        <v>8892</v>
      </c>
      <c r="D1992" t="str">
        <f t="shared" si="61"/>
        <v xml:space="preserve">5013913     </v>
      </c>
      <c r="E1992" t="s">
        <v>8</v>
      </c>
      <c r="F1992" t="s">
        <v>11</v>
      </c>
      <c r="G1992">
        <v>185.79</v>
      </c>
      <c r="H1992">
        <v>250701</v>
      </c>
      <c r="I1992">
        <v>4841</v>
      </c>
      <c r="J1992" t="s">
        <v>9</v>
      </c>
      <c r="K1992">
        <v>9776.64</v>
      </c>
      <c r="L1992">
        <v>37.75</v>
      </c>
      <c r="M1992">
        <v>16321</v>
      </c>
      <c r="N1992" t="s">
        <v>16</v>
      </c>
      <c r="O1992">
        <v>250618</v>
      </c>
      <c r="P1992">
        <v>148.04</v>
      </c>
    </row>
    <row r="1993" spans="1:16" x14ac:dyDescent="0.25">
      <c r="A1993" t="s">
        <v>3296</v>
      </c>
      <c r="B1993" t="s">
        <v>2931</v>
      </c>
      <c r="C1993">
        <v>8892</v>
      </c>
      <c r="D1993" t="str">
        <f t="shared" si="61"/>
        <v xml:space="preserve">5013913     </v>
      </c>
      <c r="E1993" t="s">
        <v>8</v>
      </c>
      <c r="F1993" t="s">
        <v>11</v>
      </c>
      <c r="G1993">
        <v>504.11</v>
      </c>
      <c r="H1993">
        <v>250701</v>
      </c>
      <c r="I1993">
        <v>4841</v>
      </c>
      <c r="J1993" t="s">
        <v>9</v>
      </c>
      <c r="K1993">
        <v>9776.64</v>
      </c>
      <c r="L1993">
        <v>102.43</v>
      </c>
      <c r="M1993">
        <v>16431</v>
      </c>
      <c r="N1993" t="s">
        <v>17</v>
      </c>
      <c r="O1993">
        <v>250618</v>
      </c>
      <c r="P1993">
        <v>401.68</v>
      </c>
    </row>
    <row r="1994" spans="1:16" x14ac:dyDescent="0.25">
      <c r="A1994" t="s">
        <v>3296</v>
      </c>
      <c r="B1994" t="s">
        <v>2931</v>
      </c>
      <c r="C1994">
        <v>8892</v>
      </c>
      <c r="D1994" t="str">
        <f t="shared" si="61"/>
        <v xml:space="preserve">5013913     </v>
      </c>
      <c r="E1994" t="s">
        <v>8</v>
      </c>
      <c r="F1994" t="s">
        <v>11</v>
      </c>
      <c r="G1994">
        <v>423.5</v>
      </c>
      <c r="H1994">
        <v>250701</v>
      </c>
      <c r="I1994">
        <v>4841</v>
      </c>
      <c r="J1994" t="s">
        <v>9</v>
      </c>
      <c r="K1994">
        <v>9776.64</v>
      </c>
      <c r="L1994">
        <v>86.05</v>
      </c>
      <c r="M1994">
        <v>17802</v>
      </c>
      <c r="N1994" t="s">
        <v>18</v>
      </c>
      <c r="O1994">
        <v>250618</v>
      </c>
      <c r="P1994">
        <v>337.45</v>
      </c>
    </row>
    <row r="1995" spans="1:16" x14ac:dyDescent="0.25">
      <c r="A1995" t="s">
        <v>3296</v>
      </c>
      <c r="B1995" t="s">
        <v>2931</v>
      </c>
      <c r="C1995">
        <v>8892</v>
      </c>
      <c r="D1995" t="str">
        <f t="shared" si="61"/>
        <v xml:space="preserve">5013913     </v>
      </c>
      <c r="E1995" t="s">
        <v>8</v>
      </c>
      <c r="F1995" t="s">
        <v>11</v>
      </c>
      <c r="G1995">
        <v>1535.97</v>
      </c>
      <c r="H1995">
        <v>250701</v>
      </c>
      <c r="I1995">
        <v>4841</v>
      </c>
      <c r="J1995" t="s">
        <v>9</v>
      </c>
      <c r="K1995">
        <v>9776.64</v>
      </c>
      <c r="L1995">
        <v>312.08999999999997</v>
      </c>
      <c r="M1995">
        <v>17803</v>
      </c>
      <c r="N1995" t="s">
        <v>19</v>
      </c>
      <c r="O1995">
        <v>250618</v>
      </c>
      <c r="P1995">
        <v>1223.8800000000001</v>
      </c>
    </row>
    <row r="1996" spans="1:16" x14ac:dyDescent="0.25">
      <c r="A1996" t="s">
        <v>3296</v>
      </c>
      <c r="B1996" t="s">
        <v>2931</v>
      </c>
      <c r="C1996">
        <v>8892</v>
      </c>
      <c r="D1996" t="str">
        <f t="shared" si="61"/>
        <v xml:space="preserve">5013913     </v>
      </c>
      <c r="E1996" t="s">
        <v>8</v>
      </c>
      <c r="F1996" t="s">
        <v>11</v>
      </c>
      <c r="G1996">
        <v>315.82</v>
      </c>
      <c r="H1996">
        <v>250701</v>
      </c>
      <c r="I1996">
        <v>4841</v>
      </c>
      <c r="J1996" t="s">
        <v>9</v>
      </c>
      <c r="K1996">
        <v>9776.64</v>
      </c>
      <c r="L1996">
        <v>64.17</v>
      </c>
      <c r="M1996">
        <v>17804</v>
      </c>
      <c r="N1996" t="s">
        <v>20</v>
      </c>
      <c r="O1996">
        <v>250618</v>
      </c>
      <c r="P1996">
        <v>251.65</v>
      </c>
    </row>
    <row r="1997" spans="1:16" x14ac:dyDescent="0.25">
      <c r="A1997" t="s">
        <v>3296</v>
      </c>
      <c r="B1997" t="s">
        <v>2931</v>
      </c>
      <c r="C1997">
        <v>8892</v>
      </c>
      <c r="D1997" t="str">
        <f t="shared" si="61"/>
        <v xml:space="preserve">5013913     </v>
      </c>
      <c r="E1997" t="s">
        <v>8</v>
      </c>
      <c r="F1997" t="s">
        <v>11</v>
      </c>
      <c r="G1997">
        <v>92.87</v>
      </c>
      <c r="H1997">
        <v>250701</v>
      </c>
      <c r="I1997">
        <v>4841</v>
      </c>
      <c r="J1997" t="s">
        <v>9</v>
      </c>
      <c r="K1997">
        <v>9776.64</v>
      </c>
      <c r="L1997">
        <v>18.87</v>
      </c>
      <c r="M1997">
        <v>17804</v>
      </c>
      <c r="N1997" t="s">
        <v>20</v>
      </c>
      <c r="O1997">
        <v>250618</v>
      </c>
      <c r="P1997">
        <v>74</v>
      </c>
    </row>
    <row r="1998" spans="1:16" x14ac:dyDescent="0.25">
      <c r="A1998" t="s">
        <v>3296</v>
      </c>
      <c r="B1998" t="s">
        <v>2931</v>
      </c>
      <c r="C1998">
        <v>8892</v>
      </c>
      <c r="D1998" t="str">
        <f t="shared" si="61"/>
        <v xml:space="preserve">5013913     </v>
      </c>
      <c r="E1998" t="s">
        <v>8</v>
      </c>
      <c r="F1998" t="s">
        <v>11</v>
      </c>
      <c r="G1998">
        <v>83.21</v>
      </c>
      <c r="H1998">
        <v>250701</v>
      </c>
      <c r="I1998">
        <v>4841</v>
      </c>
      <c r="J1998" t="s">
        <v>9</v>
      </c>
      <c r="K1998">
        <v>9776.64</v>
      </c>
      <c r="L1998">
        <v>16.91</v>
      </c>
      <c r="M1998">
        <v>17805</v>
      </c>
      <c r="N1998" t="s">
        <v>21</v>
      </c>
      <c r="O1998">
        <v>250618</v>
      </c>
      <c r="P1998">
        <v>66.3</v>
      </c>
    </row>
    <row r="1999" spans="1:16" x14ac:dyDescent="0.25">
      <c r="A1999" t="s">
        <v>3296</v>
      </c>
      <c r="B1999" t="s">
        <v>2931</v>
      </c>
      <c r="C1999">
        <v>8892</v>
      </c>
      <c r="D1999" t="str">
        <f t="shared" si="61"/>
        <v xml:space="preserve">5013913     </v>
      </c>
      <c r="E1999" t="s">
        <v>8</v>
      </c>
      <c r="F1999" t="s">
        <v>11</v>
      </c>
      <c r="G1999">
        <v>349.42</v>
      </c>
      <c r="H1999">
        <v>250701</v>
      </c>
      <c r="I1999">
        <v>4841</v>
      </c>
      <c r="J1999" t="s">
        <v>9</v>
      </c>
      <c r="K1999">
        <v>9776.64</v>
      </c>
      <c r="L1999">
        <v>71</v>
      </c>
      <c r="M1999">
        <v>17806</v>
      </c>
      <c r="N1999" t="s">
        <v>22</v>
      </c>
      <c r="O1999">
        <v>250618</v>
      </c>
      <c r="P1999">
        <v>278.42</v>
      </c>
    </row>
    <row r="2000" spans="1:16" x14ac:dyDescent="0.25">
      <c r="A2000" t="s">
        <v>3296</v>
      </c>
      <c r="B2000" t="s">
        <v>2931</v>
      </c>
      <c r="C2000">
        <v>8892</v>
      </c>
      <c r="D2000" t="str">
        <f t="shared" si="61"/>
        <v xml:space="preserve">5013913     </v>
      </c>
      <c r="E2000" t="s">
        <v>8</v>
      </c>
      <c r="F2000" t="s">
        <v>11</v>
      </c>
      <c r="G2000">
        <v>163.28</v>
      </c>
      <c r="H2000">
        <v>250701</v>
      </c>
      <c r="I2000">
        <v>4841</v>
      </c>
      <c r="J2000" t="s">
        <v>9</v>
      </c>
      <c r="K2000">
        <v>9776.64</v>
      </c>
      <c r="L2000">
        <v>33.18</v>
      </c>
      <c r="M2000">
        <v>17807</v>
      </c>
      <c r="N2000" t="s">
        <v>23</v>
      </c>
      <c r="O2000">
        <v>250618</v>
      </c>
      <c r="P2000">
        <v>130.1</v>
      </c>
    </row>
    <row r="2001" spans="1:16" x14ac:dyDescent="0.25">
      <c r="A2001" t="s">
        <v>3296</v>
      </c>
      <c r="B2001" t="s">
        <v>2931</v>
      </c>
      <c r="C2001">
        <v>8892</v>
      </c>
      <c r="D2001" t="str">
        <f t="shared" si="61"/>
        <v xml:space="preserve">5013913     </v>
      </c>
      <c r="E2001" t="s">
        <v>8</v>
      </c>
      <c r="F2001" t="s">
        <v>11</v>
      </c>
      <c r="G2001">
        <v>3495.54</v>
      </c>
      <c r="H2001">
        <v>250701</v>
      </c>
      <c r="I2001">
        <v>4841</v>
      </c>
      <c r="J2001" t="s">
        <v>9</v>
      </c>
      <c r="K2001">
        <v>9776.64</v>
      </c>
      <c r="L2001">
        <v>710.25</v>
      </c>
      <c r="M2001">
        <v>17808</v>
      </c>
      <c r="N2001" t="s">
        <v>24</v>
      </c>
      <c r="O2001">
        <v>250618</v>
      </c>
      <c r="P2001">
        <v>2785.29</v>
      </c>
    </row>
    <row r="2002" spans="1:16" x14ac:dyDescent="0.25">
      <c r="A2002" t="s">
        <v>3296</v>
      </c>
      <c r="B2002" t="s">
        <v>2931</v>
      </c>
      <c r="C2002">
        <v>8892</v>
      </c>
      <c r="D2002" t="str">
        <f t="shared" si="61"/>
        <v xml:space="preserve">5013913     </v>
      </c>
      <c r="E2002" t="s">
        <v>8</v>
      </c>
      <c r="F2002" t="s">
        <v>11</v>
      </c>
      <c r="G2002">
        <v>725.55</v>
      </c>
      <c r="H2002">
        <v>250701</v>
      </c>
      <c r="I2002">
        <v>4841</v>
      </c>
      <c r="J2002" t="s">
        <v>9</v>
      </c>
      <c r="K2002">
        <v>9776.64</v>
      </c>
      <c r="L2002">
        <v>147.41999999999999</v>
      </c>
      <c r="M2002">
        <v>17808</v>
      </c>
      <c r="N2002" t="s">
        <v>24</v>
      </c>
      <c r="O2002">
        <v>250618</v>
      </c>
      <c r="P2002">
        <v>578.13</v>
      </c>
    </row>
    <row r="2003" spans="1:16" x14ac:dyDescent="0.25">
      <c r="A2003" t="s">
        <v>3296</v>
      </c>
      <c r="B2003" t="s">
        <v>2931</v>
      </c>
      <c r="C2003">
        <v>8892</v>
      </c>
      <c r="D2003" t="str">
        <f t="shared" si="61"/>
        <v xml:space="preserve">5013913     </v>
      </c>
      <c r="E2003" t="s">
        <v>8</v>
      </c>
      <c r="F2003" t="s">
        <v>11</v>
      </c>
      <c r="G2003">
        <v>176.99</v>
      </c>
      <c r="H2003">
        <v>250701</v>
      </c>
      <c r="I2003">
        <v>4841</v>
      </c>
      <c r="J2003" t="s">
        <v>9</v>
      </c>
      <c r="K2003">
        <v>9776.64</v>
      </c>
      <c r="L2003">
        <v>35.96</v>
      </c>
      <c r="M2003">
        <v>17809</v>
      </c>
      <c r="N2003" t="s">
        <v>25</v>
      </c>
      <c r="O2003">
        <v>250618</v>
      </c>
      <c r="P2003">
        <v>141.03</v>
      </c>
    </row>
    <row r="2004" spans="1:16" x14ac:dyDescent="0.25">
      <c r="A2004" t="s">
        <v>3296</v>
      </c>
      <c r="B2004" t="s">
        <v>2931</v>
      </c>
      <c r="C2004">
        <v>8892</v>
      </c>
      <c r="D2004" t="str">
        <f t="shared" si="61"/>
        <v xml:space="preserve">5013913     </v>
      </c>
      <c r="E2004" t="s">
        <v>8</v>
      </c>
      <c r="F2004" t="s">
        <v>11</v>
      </c>
      <c r="G2004">
        <v>81.93</v>
      </c>
      <c r="H2004">
        <v>250701</v>
      </c>
      <c r="I2004">
        <v>4841</v>
      </c>
      <c r="J2004" t="s">
        <v>9</v>
      </c>
      <c r="K2004">
        <v>9776.64</v>
      </c>
      <c r="L2004">
        <v>16.649999999999999</v>
      </c>
      <c r="M2004">
        <v>17913</v>
      </c>
      <c r="N2004" t="s">
        <v>26</v>
      </c>
      <c r="O2004">
        <v>250618</v>
      </c>
      <c r="P2004">
        <v>65.28</v>
      </c>
    </row>
    <row r="2005" spans="1:16" x14ac:dyDescent="0.25">
      <c r="A2005" t="s">
        <v>3296</v>
      </c>
      <c r="B2005" t="s">
        <v>2931</v>
      </c>
      <c r="C2005">
        <v>8892</v>
      </c>
      <c r="D2005" t="str">
        <f t="shared" si="61"/>
        <v xml:space="preserve">5013913     </v>
      </c>
      <c r="E2005" t="s">
        <v>8</v>
      </c>
      <c r="F2005" t="s">
        <v>11</v>
      </c>
      <c r="G2005">
        <v>219.91</v>
      </c>
      <c r="H2005">
        <v>250701</v>
      </c>
      <c r="I2005">
        <v>4841</v>
      </c>
      <c r="J2005" t="s">
        <v>9</v>
      </c>
      <c r="K2005">
        <v>9776.64</v>
      </c>
      <c r="L2005">
        <v>44.68</v>
      </c>
      <c r="M2005">
        <v>17971</v>
      </c>
      <c r="N2005" t="s">
        <v>27</v>
      </c>
      <c r="O2005">
        <v>250618</v>
      </c>
      <c r="P2005">
        <v>175.23</v>
      </c>
    </row>
    <row r="2006" spans="1:16" x14ac:dyDescent="0.25">
      <c r="A2006" t="s">
        <v>3296</v>
      </c>
      <c r="B2006" t="s">
        <v>2931</v>
      </c>
      <c r="C2006">
        <v>8892</v>
      </c>
      <c r="D2006" t="str">
        <f t="shared" si="61"/>
        <v xml:space="preserve">5013913     </v>
      </c>
      <c r="E2006" t="s">
        <v>8</v>
      </c>
      <c r="F2006" t="s">
        <v>11</v>
      </c>
      <c r="G2006">
        <v>154.44</v>
      </c>
      <c r="H2006">
        <v>250701</v>
      </c>
      <c r="I2006">
        <v>4841</v>
      </c>
      <c r="J2006" t="s">
        <v>9</v>
      </c>
      <c r="K2006">
        <v>9776.64</v>
      </c>
      <c r="L2006">
        <v>31.38</v>
      </c>
      <c r="M2006">
        <v>17972</v>
      </c>
      <c r="N2006" t="s">
        <v>28</v>
      </c>
      <c r="O2006">
        <v>250618</v>
      </c>
      <c r="P2006">
        <v>123.06</v>
      </c>
    </row>
    <row r="2007" spans="1:16" x14ac:dyDescent="0.25">
      <c r="A2007" t="s">
        <v>3296</v>
      </c>
      <c r="B2007" t="s">
        <v>2931</v>
      </c>
      <c r="C2007">
        <v>8892</v>
      </c>
      <c r="D2007" t="str">
        <f t="shared" si="61"/>
        <v xml:space="preserve">5013913     </v>
      </c>
      <c r="E2007" t="s">
        <v>8</v>
      </c>
      <c r="F2007" t="s">
        <v>11</v>
      </c>
      <c r="G2007">
        <v>74.569999999999993</v>
      </c>
      <c r="H2007">
        <v>250701</v>
      </c>
      <c r="I2007">
        <v>4841</v>
      </c>
      <c r="J2007" t="s">
        <v>9</v>
      </c>
      <c r="K2007">
        <v>9776.64</v>
      </c>
      <c r="L2007">
        <v>15.15</v>
      </c>
      <c r="M2007">
        <v>17975</v>
      </c>
      <c r="N2007" t="s">
        <v>29</v>
      </c>
      <c r="O2007">
        <v>250618</v>
      </c>
      <c r="P2007">
        <v>59.42</v>
      </c>
    </row>
    <row r="2008" spans="1:16" x14ac:dyDescent="0.25">
      <c r="A2008" t="s">
        <v>3296</v>
      </c>
      <c r="B2008" t="s">
        <v>2931</v>
      </c>
      <c r="C2008">
        <v>8893</v>
      </c>
      <c r="D2008" t="str">
        <f>"5013923     "</f>
        <v xml:space="preserve">5013923     </v>
      </c>
      <c r="E2008" t="s">
        <v>8</v>
      </c>
      <c r="F2008" t="s">
        <v>11</v>
      </c>
      <c r="G2008">
        <v>41.35</v>
      </c>
      <c r="H2008">
        <v>250701</v>
      </c>
      <c r="I2008">
        <v>4841</v>
      </c>
      <c r="J2008" t="s">
        <v>9</v>
      </c>
      <c r="K2008">
        <v>125</v>
      </c>
      <c r="L2008">
        <v>8.4</v>
      </c>
      <c r="M2008">
        <v>11751</v>
      </c>
      <c r="N2008" t="s">
        <v>167</v>
      </c>
      <c r="O2008">
        <v>250618</v>
      </c>
      <c r="P2008">
        <v>32.950000000000003</v>
      </c>
    </row>
    <row r="2009" spans="1:16" x14ac:dyDescent="0.25">
      <c r="A2009" t="s">
        <v>3296</v>
      </c>
      <c r="B2009" t="s">
        <v>2931</v>
      </c>
      <c r="C2009">
        <v>8893</v>
      </c>
      <c r="D2009" t="str">
        <f>"5013923     "</f>
        <v xml:space="preserve">5013923     </v>
      </c>
      <c r="E2009" t="s">
        <v>8</v>
      </c>
      <c r="F2009" t="s">
        <v>11</v>
      </c>
      <c r="G2009">
        <v>83.65</v>
      </c>
      <c r="H2009">
        <v>250701</v>
      </c>
      <c r="I2009">
        <v>4841</v>
      </c>
      <c r="J2009" t="s">
        <v>9</v>
      </c>
      <c r="K2009">
        <v>125</v>
      </c>
      <c r="L2009">
        <v>17</v>
      </c>
      <c r="M2009">
        <v>11751</v>
      </c>
      <c r="N2009" t="s">
        <v>167</v>
      </c>
      <c r="O2009">
        <v>250618</v>
      </c>
      <c r="P2009">
        <v>66.650000000000006</v>
      </c>
    </row>
    <row r="2010" spans="1:16" x14ac:dyDescent="0.25">
      <c r="A2010" t="s">
        <v>3296</v>
      </c>
      <c r="B2010" t="s">
        <v>2931</v>
      </c>
      <c r="C2010">
        <v>8896</v>
      </c>
      <c r="D2010" t="str">
        <f t="shared" ref="D2010:D2016" si="62">"5013924     "</f>
        <v xml:space="preserve">5013924     </v>
      </c>
      <c r="E2010" t="s">
        <v>8</v>
      </c>
      <c r="F2010" t="s">
        <v>11</v>
      </c>
      <c r="G2010">
        <v>787.07</v>
      </c>
      <c r="H2010">
        <v>250701</v>
      </c>
      <c r="I2010">
        <v>4841</v>
      </c>
      <c r="J2010" t="s">
        <v>9</v>
      </c>
      <c r="K2010">
        <v>2025.67</v>
      </c>
      <c r="L2010">
        <v>159.91999999999999</v>
      </c>
      <c r="M2010">
        <v>17131</v>
      </c>
      <c r="N2010" t="s">
        <v>154</v>
      </c>
      <c r="O2010">
        <v>250618</v>
      </c>
      <c r="P2010">
        <v>627.15</v>
      </c>
    </row>
    <row r="2011" spans="1:16" x14ac:dyDescent="0.25">
      <c r="A2011" t="s">
        <v>3296</v>
      </c>
      <c r="B2011" t="s">
        <v>2931</v>
      </c>
      <c r="C2011">
        <v>8896</v>
      </c>
      <c r="D2011" t="str">
        <f t="shared" si="62"/>
        <v xml:space="preserve">5013924     </v>
      </c>
      <c r="E2011" t="s">
        <v>8</v>
      </c>
      <c r="F2011" t="s">
        <v>11</v>
      </c>
      <c r="G2011">
        <v>71.92</v>
      </c>
      <c r="H2011">
        <v>250701</v>
      </c>
      <c r="I2011">
        <v>4841</v>
      </c>
      <c r="J2011" t="s">
        <v>9</v>
      </c>
      <c r="K2011">
        <v>2025.67</v>
      </c>
      <c r="L2011">
        <v>14.61</v>
      </c>
      <c r="M2011">
        <v>17132</v>
      </c>
      <c r="N2011" t="s">
        <v>174</v>
      </c>
      <c r="O2011">
        <v>250618</v>
      </c>
      <c r="P2011">
        <v>57.31</v>
      </c>
    </row>
    <row r="2012" spans="1:16" x14ac:dyDescent="0.25">
      <c r="A2012" t="s">
        <v>3296</v>
      </c>
      <c r="B2012" t="s">
        <v>2931</v>
      </c>
      <c r="C2012">
        <v>8896</v>
      </c>
      <c r="D2012" t="str">
        <f t="shared" si="62"/>
        <v xml:space="preserve">5013924     </v>
      </c>
      <c r="E2012" t="s">
        <v>8</v>
      </c>
      <c r="F2012" t="s">
        <v>11</v>
      </c>
      <c r="G2012">
        <v>414.28</v>
      </c>
      <c r="H2012">
        <v>250701</v>
      </c>
      <c r="I2012">
        <v>4841</v>
      </c>
      <c r="J2012" t="s">
        <v>9</v>
      </c>
      <c r="K2012">
        <v>2025.67</v>
      </c>
      <c r="L2012">
        <v>84.18</v>
      </c>
      <c r="M2012">
        <v>17711</v>
      </c>
      <c r="N2012" t="s">
        <v>155</v>
      </c>
      <c r="O2012">
        <v>250618</v>
      </c>
      <c r="P2012">
        <v>330.1</v>
      </c>
    </row>
    <row r="2013" spans="1:16" x14ac:dyDescent="0.25">
      <c r="A2013" t="s">
        <v>3296</v>
      </c>
      <c r="B2013" t="s">
        <v>2931</v>
      </c>
      <c r="C2013">
        <v>8896</v>
      </c>
      <c r="D2013" t="str">
        <f t="shared" si="62"/>
        <v xml:space="preserve">5013924     </v>
      </c>
      <c r="E2013" t="s">
        <v>8</v>
      </c>
      <c r="F2013" t="s">
        <v>11</v>
      </c>
      <c r="G2013">
        <v>82.86</v>
      </c>
      <c r="H2013">
        <v>250701</v>
      </c>
      <c r="I2013">
        <v>4841</v>
      </c>
      <c r="J2013" t="s">
        <v>9</v>
      </c>
      <c r="K2013">
        <v>2025.67</v>
      </c>
      <c r="L2013">
        <v>16.84</v>
      </c>
      <c r="M2013">
        <v>17737</v>
      </c>
      <c r="N2013" t="s">
        <v>156</v>
      </c>
      <c r="O2013">
        <v>250618</v>
      </c>
      <c r="P2013">
        <v>66.02</v>
      </c>
    </row>
    <row r="2014" spans="1:16" x14ac:dyDescent="0.25">
      <c r="A2014" t="s">
        <v>3296</v>
      </c>
      <c r="B2014" t="s">
        <v>2931</v>
      </c>
      <c r="C2014">
        <v>8896</v>
      </c>
      <c r="D2014" t="str">
        <f t="shared" si="62"/>
        <v xml:space="preserve">5013924     </v>
      </c>
      <c r="E2014" t="s">
        <v>8</v>
      </c>
      <c r="F2014" t="s">
        <v>11</v>
      </c>
      <c r="G2014">
        <v>342.95</v>
      </c>
      <c r="H2014">
        <v>250701</v>
      </c>
      <c r="I2014">
        <v>4841</v>
      </c>
      <c r="J2014" t="s">
        <v>9</v>
      </c>
      <c r="K2014">
        <v>2025.67</v>
      </c>
      <c r="L2014">
        <v>69.680000000000007</v>
      </c>
      <c r="M2014">
        <v>17952</v>
      </c>
      <c r="N2014" t="s">
        <v>157</v>
      </c>
      <c r="O2014">
        <v>250618</v>
      </c>
      <c r="P2014">
        <v>273.27</v>
      </c>
    </row>
    <row r="2015" spans="1:16" x14ac:dyDescent="0.25">
      <c r="A2015" t="s">
        <v>3296</v>
      </c>
      <c r="B2015" t="s">
        <v>2931</v>
      </c>
      <c r="C2015">
        <v>8896</v>
      </c>
      <c r="D2015" t="str">
        <f t="shared" si="62"/>
        <v xml:space="preserve">5013924     </v>
      </c>
      <c r="E2015" t="s">
        <v>8</v>
      </c>
      <c r="F2015" t="s">
        <v>11</v>
      </c>
      <c r="G2015">
        <v>82.86</v>
      </c>
      <c r="H2015">
        <v>250701</v>
      </c>
      <c r="I2015">
        <v>4841</v>
      </c>
      <c r="J2015" t="s">
        <v>9</v>
      </c>
      <c r="K2015">
        <v>2025.67</v>
      </c>
      <c r="L2015">
        <v>16.84</v>
      </c>
      <c r="M2015">
        <v>17971</v>
      </c>
      <c r="N2015" t="s">
        <v>27</v>
      </c>
      <c r="O2015">
        <v>250618</v>
      </c>
      <c r="P2015">
        <v>66.02</v>
      </c>
    </row>
    <row r="2016" spans="1:16" x14ac:dyDescent="0.25">
      <c r="A2016" t="s">
        <v>3296</v>
      </c>
      <c r="B2016" t="s">
        <v>2931</v>
      </c>
      <c r="C2016">
        <v>8896</v>
      </c>
      <c r="D2016" t="str">
        <f t="shared" si="62"/>
        <v xml:space="preserve">5013924     </v>
      </c>
      <c r="E2016" t="s">
        <v>8</v>
      </c>
      <c r="F2016" t="s">
        <v>11</v>
      </c>
      <c r="G2016">
        <v>243.73</v>
      </c>
      <c r="H2016">
        <v>250701</v>
      </c>
      <c r="I2016">
        <v>4841</v>
      </c>
      <c r="J2016" t="s">
        <v>9</v>
      </c>
      <c r="K2016">
        <v>2025.67</v>
      </c>
      <c r="L2016">
        <v>49.52</v>
      </c>
      <c r="M2016">
        <v>17972</v>
      </c>
      <c r="N2016" t="s">
        <v>28</v>
      </c>
      <c r="O2016">
        <v>250618</v>
      </c>
      <c r="P2016">
        <v>194.21</v>
      </c>
    </row>
    <row r="2017" spans="1:16" x14ac:dyDescent="0.25">
      <c r="A2017" t="s">
        <v>3296</v>
      </c>
      <c r="B2017" t="s">
        <v>2931</v>
      </c>
      <c r="C2017">
        <v>8897</v>
      </c>
      <c r="D2017" t="str">
        <f>"5013925     "</f>
        <v xml:space="preserve">5013925     </v>
      </c>
      <c r="E2017" t="s">
        <v>8</v>
      </c>
      <c r="F2017" t="s">
        <v>11</v>
      </c>
      <c r="G2017">
        <v>1826.22</v>
      </c>
      <c r="H2017">
        <v>250701</v>
      </c>
      <c r="I2017">
        <v>4841</v>
      </c>
      <c r="J2017" t="s">
        <v>9</v>
      </c>
      <c r="K2017">
        <v>2384.88</v>
      </c>
      <c r="L2017">
        <v>371.06</v>
      </c>
      <c r="M2017">
        <v>13801</v>
      </c>
      <c r="N2017" t="s">
        <v>33</v>
      </c>
      <c r="O2017">
        <v>250618</v>
      </c>
      <c r="P2017">
        <v>1455.16</v>
      </c>
    </row>
    <row r="2018" spans="1:16" x14ac:dyDescent="0.25">
      <c r="A2018" t="s">
        <v>3296</v>
      </c>
      <c r="B2018" t="s">
        <v>2931</v>
      </c>
      <c r="C2018">
        <v>8897</v>
      </c>
      <c r="D2018" t="str">
        <f>"5013925     "</f>
        <v xml:space="preserve">5013925     </v>
      </c>
      <c r="E2018" t="s">
        <v>8</v>
      </c>
      <c r="F2018" t="s">
        <v>11</v>
      </c>
      <c r="G2018">
        <v>408.97</v>
      </c>
      <c r="H2018">
        <v>250701</v>
      </c>
      <c r="I2018">
        <v>4841</v>
      </c>
      <c r="J2018" t="s">
        <v>9</v>
      </c>
      <c r="K2018">
        <v>2384.88</v>
      </c>
      <c r="L2018">
        <v>83.1</v>
      </c>
      <c r="M2018">
        <v>13801</v>
      </c>
      <c r="N2018" t="s">
        <v>33</v>
      </c>
      <c r="O2018">
        <v>250618</v>
      </c>
      <c r="P2018">
        <v>325.87</v>
      </c>
    </row>
    <row r="2019" spans="1:16" x14ac:dyDescent="0.25">
      <c r="A2019" t="s">
        <v>3296</v>
      </c>
      <c r="B2019" t="s">
        <v>2931</v>
      </c>
      <c r="C2019">
        <v>8897</v>
      </c>
      <c r="D2019" t="str">
        <f>"5013925     "</f>
        <v xml:space="preserve">5013925     </v>
      </c>
      <c r="E2019" t="s">
        <v>8</v>
      </c>
      <c r="F2019" t="s">
        <v>11</v>
      </c>
      <c r="G2019">
        <v>149.69</v>
      </c>
      <c r="H2019">
        <v>250701</v>
      </c>
      <c r="I2019">
        <v>4841</v>
      </c>
      <c r="J2019" t="s">
        <v>9</v>
      </c>
      <c r="K2019">
        <v>2384.88</v>
      </c>
      <c r="L2019">
        <v>30.42</v>
      </c>
      <c r="M2019">
        <v>13802</v>
      </c>
      <c r="N2019" t="s">
        <v>34</v>
      </c>
      <c r="O2019">
        <v>250618</v>
      </c>
      <c r="P2019">
        <v>119.27</v>
      </c>
    </row>
    <row r="2020" spans="1:16" x14ac:dyDescent="0.25">
      <c r="A2020" t="s">
        <v>3296</v>
      </c>
      <c r="B2020" t="s">
        <v>2931</v>
      </c>
      <c r="C2020">
        <v>8899</v>
      </c>
      <c r="D2020" t="str">
        <f>"5013935     "</f>
        <v xml:space="preserve">5013935     </v>
      </c>
      <c r="E2020" t="s">
        <v>8</v>
      </c>
      <c r="F2020" t="s">
        <v>11</v>
      </c>
      <c r="G2020">
        <v>873.78</v>
      </c>
      <c r="H2020">
        <v>250701</v>
      </c>
      <c r="I2020">
        <v>4841</v>
      </c>
      <c r="J2020" t="s">
        <v>9</v>
      </c>
      <c r="K2020">
        <v>873.78</v>
      </c>
      <c r="L2020">
        <v>177.54</v>
      </c>
      <c r="M2020">
        <v>11301</v>
      </c>
      <c r="N2020" t="s">
        <v>92</v>
      </c>
      <c r="O2020">
        <v>250618</v>
      </c>
      <c r="P2020">
        <v>696.24</v>
      </c>
    </row>
    <row r="2021" spans="1:16" x14ac:dyDescent="0.25">
      <c r="A2021" t="s">
        <v>3296</v>
      </c>
      <c r="B2021" t="s">
        <v>2931</v>
      </c>
      <c r="C2021">
        <v>8902</v>
      </c>
      <c r="D2021" t="str">
        <f t="shared" ref="D2021:D2035" si="63">"5013916     "</f>
        <v xml:space="preserve">5013916     </v>
      </c>
      <c r="E2021" t="s">
        <v>8</v>
      </c>
      <c r="F2021" t="s">
        <v>11</v>
      </c>
      <c r="G2021">
        <v>273.04000000000002</v>
      </c>
      <c r="H2021">
        <v>250701</v>
      </c>
      <c r="I2021">
        <v>4841</v>
      </c>
      <c r="J2021" t="s">
        <v>9</v>
      </c>
      <c r="K2021">
        <v>1589.27</v>
      </c>
      <c r="L2021">
        <v>55.48</v>
      </c>
      <c r="M2021">
        <v>11900</v>
      </c>
      <c r="N2021" t="s">
        <v>30</v>
      </c>
      <c r="O2021">
        <v>250618</v>
      </c>
      <c r="P2021">
        <v>217.56</v>
      </c>
    </row>
    <row r="2022" spans="1:16" x14ac:dyDescent="0.25">
      <c r="A2022" t="s">
        <v>3296</v>
      </c>
      <c r="B2022" t="s">
        <v>2931</v>
      </c>
      <c r="C2022">
        <v>8902</v>
      </c>
      <c r="D2022" t="str">
        <f t="shared" si="63"/>
        <v xml:space="preserve">5013916     </v>
      </c>
      <c r="E2022" t="s">
        <v>8</v>
      </c>
      <c r="F2022" t="s">
        <v>11</v>
      </c>
      <c r="G2022">
        <v>60.32</v>
      </c>
      <c r="H2022">
        <v>250701</v>
      </c>
      <c r="I2022">
        <v>4841</v>
      </c>
      <c r="J2022" t="s">
        <v>9</v>
      </c>
      <c r="K2022">
        <v>1589.27</v>
      </c>
      <c r="L2022">
        <v>12.26</v>
      </c>
      <c r="M2022">
        <v>11901</v>
      </c>
      <c r="N2022" t="s">
        <v>31</v>
      </c>
      <c r="O2022">
        <v>250618</v>
      </c>
      <c r="P2022">
        <v>48.06</v>
      </c>
    </row>
    <row r="2023" spans="1:16" x14ac:dyDescent="0.25">
      <c r="A2023" t="s">
        <v>3296</v>
      </c>
      <c r="B2023" t="s">
        <v>2931</v>
      </c>
      <c r="C2023">
        <v>8902</v>
      </c>
      <c r="D2023" t="str">
        <f t="shared" si="63"/>
        <v xml:space="preserve">5013916     </v>
      </c>
      <c r="E2023" t="s">
        <v>8</v>
      </c>
      <c r="F2023" t="s">
        <v>11</v>
      </c>
      <c r="G2023">
        <v>61.23</v>
      </c>
      <c r="H2023">
        <v>250701</v>
      </c>
      <c r="I2023">
        <v>4841</v>
      </c>
      <c r="J2023" t="s">
        <v>9</v>
      </c>
      <c r="K2023">
        <v>1589.27</v>
      </c>
      <c r="L2023">
        <v>12.44</v>
      </c>
      <c r="M2023">
        <v>11901</v>
      </c>
      <c r="N2023" t="s">
        <v>31</v>
      </c>
      <c r="O2023">
        <v>250618</v>
      </c>
      <c r="P2023">
        <v>48.79</v>
      </c>
    </row>
    <row r="2024" spans="1:16" x14ac:dyDescent="0.25">
      <c r="A2024" t="s">
        <v>3296</v>
      </c>
      <c r="B2024" t="s">
        <v>2931</v>
      </c>
      <c r="C2024">
        <v>8902</v>
      </c>
      <c r="D2024" t="str">
        <f t="shared" si="63"/>
        <v xml:space="preserve">5013916     </v>
      </c>
      <c r="E2024" t="s">
        <v>8</v>
      </c>
      <c r="F2024" t="s">
        <v>11</v>
      </c>
      <c r="G2024">
        <v>569.27</v>
      </c>
      <c r="H2024">
        <v>250701</v>
      </c>
      <c r="I2024">
        <v>4841</v>
      </c>
      <c r="J2024" t="s">
        <v>9</v>
      </c>
      <c r="K2024">
        <v>1589.27</v>
      </c>
      <c r="L2024">
        <v>115.67</v>
      </c>
      <c r="M2024">
        <v>11901</v>
      </c>
      <c r="N2024" t="s">
        <v>31</v>
      </c>
      <c r="O2024">
        <v>250618</v>
      </c>
      <c r="P2024">
        <v>453.6</v>
      </c>
    </row>
    <row r="2025" spans="1:16" x14ac:dyDescent="0.25">
      <c r="A2025" t="s">
        <v>3296</v>
      </c>
      <c r="B2025" t="s">
        <v>2931</v>
      </c>
      <c r="C2025">
        <v>8902</v>
      </c>
      <c r="D2025" t="str">
        <f t="shared" si="63"/>
        <v xml:space="preserve">5013916     </v>
      </c>
      <c r="E2025" t="s">
        <v>8</v>
      </c>
      <c r="F2025" t="s">
        <v>11</v>
      </c>
      <c r="G2025">
        <v>30.16</v>
      </c>
      <c r="H2025">
        <v>250701</v>
      </c>
      <c r="I2025">
        <v>4841</v>
      </c>
      <c r="J2025" t="s">
        <v>9</v>
      </c>
      <c r="K2025">
        <v>1589.27</v>
      </c>
      <c r="L2025">
        <v>6.13</v>
      </c>
      <c r="M2025">
        <v>11903</v>
      </c>
      <c r="N2025" t="s">
        <v>32</v>
      </c>
      <c r="O2025">
        <v>250618</v>
      </c>
      <c r="P2025">
        <v>24.03</v>
      </c>
    </row>
    <row r="2026" spans="1:16" x14ac:dyDescent="0.25">
      <c r="A2026" t="s">
        <v>3296</v>
      </c>
      <c r="B2026" t="s">
        <v>2931</v>
      </c>
      <c r="C2026">
        <v>8902</v>
      </c>
      <c r="D2026" t="str">
        <f t="shared" si="63"/>
        <v xml:space="preserve">5013916     </v>
      </c>
      <c r="E2026" t="s">
        <v>8</v>
      </c>
      <c r="F2026" t="s">
        <v>11</v>
      </c>
      <c r="G2026">
        <v>30.61</v>
      </c>
      <c r="H2026">
        <v>250701</v>
      </c>
      <c r="I2026">
        <v>4841</v>
      </c>
      <c r="J2026" t="s">
        <v>9</v>
      </c>
      <c r="K2026">
        <v>1589.27</v>
      </c>
      <c r="L2026">
        <v>6.22</v>
      </c>
      <c r="M2026">
        <v>11903</v>
      </c>
      <c r="N2026" t="s">
        <v>32</v>
      </c>
      <c r="O2026">
        <v>250618</v>
      </c>
      <c r="P2026">
        <v>24.39</v>
      </c>
    </row>
    <row r="2027" spans="1:16" x14ac:dyDescent="0.25">
      <c r="A2027" t="s">
        <v>3296</v>
      </c>
      <c r="B2027" t="s">
        <v>2931</v>
      </c>
      <c r="C2027">
        <v>8902</v>
      </c>
      <c r="D2027" t="str">
        <f t="shared" si="63"/>
        <v xml:space="preserve">5013916     </v>
      </c>
      <c r="E2027" t="s">
        <v>8</v>
      </c>
      <c r="F2027" t="s">
        <v>11</v>
      </c>
      <c r="G2027">
        <v>314.2</v>
      </c>
      <c r="H2027">
        <v>250701</v>
      </c>
      <c r="I2027">
        <v>4841</v>
      </c>
      <c r="J2027" t="s">
        <v>9</v>
      </c>
      <c r="K2027">
        <v>1589.27</v>
      </c>
      <c r="L2027">
        <v>63.84</v>
      </c>
      <c r="M2027">
        <v>11903</v>
      </c>
      <c r="N2027" t="s">
        <v>32</v>
      </c>
      <c r="O2027">
        <v>250618</v>
      </c>
      <c r="P2027">
        <v>250.36</v>
      </c>
    </row>
    <row r="2028" spans="1:16" x14ac:dyDescent="0.25">
      <c r="A2028" t="s">
        <v>3296</v>
      </c>
      <c r="B2028" t="s">
        <v>2931</v>
      </c>
      <c r="C2028">
        <v>8902</v>
      </c>
      <c r="D2028" t="str">
        <f t="shared" si="63"/>
        <v xml:space="preserve">5013916     </v>
      </c>
      <c r="E2028" t="s">
        <v>8</v>
      </c>
      <c r="F2028" t="s">
        <v>11</v>
      </c>
      <c r="G2028">
        <v>28.39</v>
      </c>
      <c r="H2028">
        <v>250701</v>
      </c>
      <c r="I2028">
        <v>4841</v>
      </c>
      <c r="J2028" t="s">
        <v>9</v>
      </c>
      <c r="K2028">
        <v>1589.27</v>
      </c>
      <c r="L2028">
        <v>5.77</v>
      </c>
      <c r="M2028">
        <v>11903</v>
      </c>
      <c r="N2028" t="s">
        <v>32</v>
      </c>
      <c r="O2028">
        <v>250618</v>
      </c>
      <c r="P2028">
        <v>22.62</v>
      </c>
    </row>
    <row r="2029" spans="1:16" x14ac:dyDescent="0.25">
      <c r="A2029" t="s">
        <v>3296</v>
      </c>
      <c r="B2029" t="s">
        <v>2931</v>
      </c>
      <c r="C2029">
        <v>8902</v>
      </c>
      <c r="D2029" t="str">
        <f t="shared" si="63"/>
        <v xml:space="preserve">5013916     </v>
      </c>
      <c r="E2029" t="s">
        <v>8</v>
      </c>
      <c r="F2029" t="s">
        <v>11</v>
      </c>
      <c r="G2029">
        <v>9.6999999999999993</v>
      </c>
      <c r="H2029">
        <v>250701</v>
      </c>
      <c r="I2029">
        <v>4841</v>
      </c>
      <c r="J2029" t="s">
        <v>9</v>
      </c>
      <c r="K2029">
        <v>1589.27</v>
      </c>
      <c r="L2029">
        <v>1.97</v>
      </c>
      <c r="M2029">
        <v>11903</v>
      </c>
      <c r="N2029" t="s">
        <v>32</v>
      </c>
      <c r="O2029">
        <v>250618</v>
      </c>
      <c r="P2029">
        <v>7.73</v>
      </c>
    </row>
    <row r="2030" spans="1:16" x14ac:dyDescent="0.25">
      <c r="A2030" t="s">
        <v>3296</v>
      </c>
      <c r="B2030" t="s">
        <v>2931</v>
      </c>
      <c r="C2030">
        <v>8902</v>
      </c>
      <c r="D2030" t="str">
        <f t="shared" si="63"/>
        <v xml:space="preserve">5013916     </v>
      </c>
      <c r="E2030" t="s">
        <v>8</v>
      </c>
      <c r="F2030" t="s">
        <v>11</v>
      </c>
      <c r="G2030">
        <v>33.35</v>
      </c>
      <c r="H2030">
        <v>250701</v>
      </c>
      <c r="I2030">
        <v>4841</v>
      </c>
      <c r="J2030" t="s">
        <v>9</v>
      </c>
      <c r="K2030">
        <v>1589.27</v>
      </c>
      <c r="L2030">
        <v>6.78</v>
      </c>
      <c r="M2030">
        <v>11905</v>
      </c>
      <c r="N2030" t="s">
        <v>643</v>
      </c>
      <c r="O2030">
        <v>250618</v>
      </c>
      <c r="P2030">
        <v>26.57</v>
      </c>
    </row>
    <row r="2031" spans="1:16" x14ac:dyDescent="0.25">
      <c r="A2031" t="s">
        <v>3296</v>
      </c>
      <c r="B2031" t="s">
        <v>2931</v>
      </c>
      <c r="C2031">
        <v>8902</v>
      </c>
      <c r="D2031" t="str">
        <f t="shared" si="63"/>
        <v xml:space="preserve">5013916     </v>
      </c>
      <c r="E2031" t="s">
        <v>8</v>
      </c>
      <c r="F2031" t="s">
        <v>11</v>
      </c>
      <c r="G2031">
        <v>33.35</v>
      </c>
      <c r="H2031">
        <v>250701</v>
      </c>
      <c r="I2031">
        <v>4841</v>
      </c>
      <c r="J2031" t="s">
        <v>9</v>
      </c>
      <c r="K2031">
        <v>1589.27</v>
      </c>
      <c r="L2031">
        <v>6.78</v>
      </c>
      <c r="M2031">
        <v>11905</v>
      </c>
      <c r="N2031" t="s">
        <v>643</v>
      </c>
      <c r="O2031">
        <v>250618</v>
      </c>
      <c r="P2031">
        <v>26.57</v>
      </c>
    </row>
    <row r="2032" spans="1:16" x14ac:dyDescent="0.25">
      <c r="A2032" t="s">
        <v>3296</v>
      </c>
      <c r="B2032" t="s">
        <v>2931</v>
      </c>
      <c r="C2032">
        <v>8902</v>
      </c>
      <c r="D2032" t="str">
        <f t="shared" si="63"/>
        <v xml:space="preserve">5013916     </v>
      </c>
      <c r="E2032" t="s">
        <v>8</v>
      </c>
      <c r="F2032" t="s">
        <v>11</v>
      </c>
      <c r="G2032">
        <v>41.2</v>
      </c>
      <c r="H2032">
        <v>250701</v>
      </c>
      <c r="I2032">
        <v>4841</v>
      </c>
      <c r="J2032" t="s">
        <v>9</v>
      </c>
      <c r="K2032">
        <v>1589.27</v>
      </c>
      <c r="L2032">
        <v>8.3699999999999992</v>
      </c>
      <c r="M2032">
        <v>12500</v>
      </c>
      <c r="N2032" t="s">
        <v>1502</v>
      </c>
      <c r="O2032">
        <v>250618</v>
      </c>
      <c r="P2032">
        <v>32.83</v>
      </c>
    </row>
    <row r="2033" spans="1:16" x14ac:dyDescent="0.25">
      <c r="A2033" t="s">
        <v>3296</v>
      </c>
      <c r="B2033" t="s">
        <v>2931</v>
      </c>
      <c r="C2033">
        <v>8902</v>
      </c>
      <c r="D2033" t="str">
        <f t="shared" si="63"/>
        <v xml:space="preserve">5013916     </v>
      </c>
      <c r="E2033" t="s">
        <v>8</v>
      </c>
      <c r="F2033" t="s">
        <v>11</v>
      </c>
      <c r="G2033">
        <v>41.2</v>
      </c>
      <c r="H2033">
        <v>250701</v>
      </c>
      <c r="I2033">
        <v>4841</v>
      </c>
      <c r="J2033" t="s">
        <v>9</v>
      </c>
      <c r="K2033">
        <v>1589.27</v>
      </c>
      <c r="L2033">
        <v>8.3699999999999992</v>
      </c>
      <c r="M2033">
        <v>12500</v>
      </c>
      <c r="N2033" t="s">
        <v>1502</v>
      </c>
      <c r="O2033">
        <v>250618</v>
      </c>
      <c r="P2033">
        <v>32.83</v>
      </c>
    </row>
    <row r="2034" spans="1:16" x14ac:dyDescent="0.25">
      <c r="A2034" t="s">
        <v>3296</v>
      </c>
      <c r="B2034" t="s">
        <v>2931</v>
      </c>
      <c r="C2034">
        <v>8902</v>
      </c>
      <c r="D2034" t="str">
        <f t="shared" si="63"/>
        <v xml:space="preserve">5013916     </v>
      </c>
      <c r="E2034" t="s">
        <v>8</v>
      </c>
      <c r="F2034" t="s">
        <v>11</v>
      </c>
      <c r="G2034">
        <v>6.47</v>
      </c>
      <c r="H2034">
        <v>250701</v>
      </c>
      <c r="I2034">
        <v>4841</v>
      </c>
      <c r="J2034" t="s">
        <v>9</v>
      </c>
      <c r="K2034">
        <v>1589.27</v>
      </c>
      <c r="L2034">
        <v>1.31</v>
      </c>
      <c r="M2034">
        <v>18993</v>
      </c>
      <c r="N2034" t="s">
        <v>540</v>
      </c>
      <c r="O2034">
        <v>250618</v>
      </c>
      <c r="P2034">
        <v>5.16</v>
      </c>
    </row>
    <row r="2035" spans="1:16" x14ac:dyDescent="0.25">
      <c r="A2035" t="s">
        <v>3296</v>
      </c>
      <c r="B2035" t="s">
        <v>2931</v>
      </c>
      <c r="C2035">
        <v>8902</v>
      </c>
      <c r="D2035" t="str">
        <f t="shared" si="63"/>
        <v xml:space="preserve">5013916     </v>
      </c>
      <c r="E2035" t="s">
        <v>8</v>
      </c>
      <c r="F2035" t="s">
        <v>11</v>
      </c>
      <c r="G2035">
        <v>56.78</v>
      </c>
      <c r="H2035">
        <v>250701</v>
      </c>
      <c r="I2035">
        <v>4841</v>
      </c>
      <c r="J2035" t="s">
        <v>9</v>
      </c>
      <c r="K2035">
        <v>1589.27</v>
      </c>
      <c r="L2035">
        <v>11.54</v>
      </c>
      <c r="M2035">
        <v>59705</v>
      </c>
      <c r="N2035" t="s">
        <v>47</v>
      </c>
      <c r="O2035">
        <v>250618</v>
      </c>
      <c r="P2035">
        <v>45.24</v>
      </c>
    </row>
    <row r="2036" spans="1:16" x14ac:dyDescent="0.25">
      <c r="A2036" t="s">
        <v>3296</v>
      </c>
      <c r="B2036" t="s">
        <v>2931</v>
      </c>
      <c r="C2036">
        <v>8903</v>
      </c>
      <c r="D2036" t="str">
        <f>"5013915     "</f>
        <v xml:space="preserve">5013915     </v>
      </c>
      <c r="E2036" t="s">
        <v>8</v>
      </c>
      <c r="F2036" t="s">
        <v>11</v>
      </c>
      <c r="G2036">
        <v>412.83</v>
      </c>
      <c r="H2036">
        <v>250701</v>
      </c>
      <c r="I2036">
        <v>4841</v>
      </c>
      <c r="J2036" t="s">
        <v>9</v>
      </c>
      <c r="K2036">
        <v>1795.93</v>
      </c>
      <c r="L2036">
        <v>83.88</v>
      </c>
      <c r="M2036">
        <v>11001</v>
      </c>
      <c r="N2036" t="s">
        <v>93</v>
      </c>
      <c r="O2036">
        <v>250618</v>
      </c>
      <c r="P2036">
        <v>328.95</v>
      </c>
    </row>
    <row r="2037" spans="1:16" x14ac:dyDescent="0.25">
      <c r="A2037" t="s">
        <v>3296</v>
      </c>
      <c r="B2037" t="s">
        <v>2931</v>
      </c>
      <c r="C2037">
        <v>8903</v>
      </c>
      <c r="D2037" t="str">
        <f>"5013915     "</f>
        <v xml:space="preserve">5013915     </v>
      </c>
      <c r="E2037" t="s">
        <v>8</v>
      </c>
      <c r="F2037" t="s">
        <v>11</v>
      </c>
      <c r="G2037">
        <v>814.27</v>
      </c>
      <c r="H2037">
        <v>250701</v>
      </c>
      <c r="I2037">
        <v>4841</v>
      </c>
      <c r="J2037" t="s">
        <v>9</v>
      </c>
      <c r="K2037">
        <v>1795.93</v>
      </c>
      <c r="L2037">
        <v>165.45</v>
      </c>
      <c r="M2037">
        <v>11001</v>
      </c>
      <c r="N2037" t="s">
        <v>93</v>
      </c>
      <c r="O2037">
        <v>250618</v>
      </c>
      <c r="P2037">
        <v>648.82000000000005</v>
      </c>
    </row>
    <row r="2038" spans="1:16" x14ac:dyDescent="0.25">
      <c r="A2038" t="s">
        <v>3296</v>
      </c>
      <c r="B2038" t="s">
        <v>2931</v>
      </c>
      <c r="C2038">
        <v>8903</v>
      </c>
      <c r="D2038" t="str">
        <f>"5013915     "</f>
        <v xml:space="preserve">5013915     </v>
      </c>
      <c r="E2038" t="s">
        <v>8</v>
      </c>
      <c r="F2038" t="s">
        <v>11</v>
      </c>
      <c r="G2038">
        <v>172.26</v>
      </c>
      <c r="H2038">
        <v>250701</v>
      </c>
      <c r="I2038">
        <v>4841</v>
      </c>
      <c r="J2038" t="s">
        <v>9</v>
      </c>
      <c r="K2038">
        <v>1795.93</v>
      </c>
      <c r="L2038">
        <v>35</v>
      </c>
      <c r="M2038">
        <v>11501</v>
      </c>
      <c r="N2038" t="s">
        <v>13</v>
      </c>
      <c r="O2038">
        <v>250618</v>
      </c>
      <c r="P2038">
        <v>137.26</v>
      </c>
    </row>
    <row r="2039" spans="1:16" x14ac:dyDescent="0.25">
      <c r="A2039" t="s">
        <v>3296</v>
      </c>
      <c r="B2039" t="s">
        <v>2931</v>
      </c>
      <c r="C2039">
        <v>8903</v>
      </c>
      <c r="D2039" t="str">
        <f>"5013915     "</f>
        <v xml:space="preserve">5013915     </v>
      </c>
      <c r="E2039" t="s">
        <v>8</v>
      </c>
      <c r="F2039" t="s">
        <v>11</v>
      </c>
      <c r="G2039">
        <v>396.57</v>
      </c>
      <c r="H2039">
        <v>250701</v>
      </c>
      <c r="I2039">
        <v>4841</v>
      </c>
      <c r="J2039" t="s">
        <v>9</v>
      </c>
      <c r="K2039">
        <v>1795.93</v>
      </c>
      <c r="L2039">
        <v>80.58</v>
      </c>
      <c r="M2039">
        <v>13661</v>
      </c>
      <c r="N2039" t="s">
        <v>243</v>
      </c>
      <c r="O2039">
        <v>250618</v>
      </c>
      <c r="P2039">
        <v>315.99</v>
      </c>
    </row>
    <row r="2040" spans="1:16" x14ac:dyDescent="0.25">
      <c r="A2040" t="s">
        <v>3296</v>
      </c>
      <c r="B2040" t="s">
        <v>2931</v>
      </c>
      <c r="C2040">
        <v>8906</v>
      </c>
      <c r="D2040" t="str">
        <f>"5013940     "</f>
        <v xml:space="preserve">5013940     </v>
      </c>
      <c r="E2040" t="s">
        <v>8</v>
      </c>
      <c r="F2040" t="s">
        <v>11</v>
      </c>
      <c r="G2040">
        <v>181.05</v>
      </c>
      <c r="H2040">
        <v>250701</v>
      </c>
      <c r="I2040">
        <v>4841</v>
      </c>
      <c r="J2040" t="s">
        <v>9</v>
      </c>
      <c r="K2040">
        <v>181.05</v>
      </c>
      <c r="L2040">
        <v>36.79</v>
      </c>
      <c r="M2040">
        <v>11401</v>
      </c>
      <c r="N2040" t="s">
        <v>91</v>
      </c>
      <c r="O2040">
        <v>250618</v>
      </c>
      <c r="P2040">
        <v>144.26</v>
      </c>
    </row>
    <row r="2041" spans="1:16" x14ac:dyDescent="0.25">
      <c r="A2041" t="s">
        <v>3296</v>
      </c>
      <c r="B2041" t="s">
        <v>2931</v>
      </c>
      <c r="C2041">
        <v>8909</v>
      </c>
      <c r="D2041" t="str">
        <f>"5013936     "</f>
        <v xml:space="preserve">5013936     </v>
      </c>
      <c r="E2041" t="s">
        <v>8</v>
      </c>
      <c r="F2041" t="s">
        <v>11</v>
      </c>
      <c r="G2041">
        <v>175.6</v>
      </c>
      <c r="H2041">
        <v>250701</v>
      </c>
      <c r="I2041">
        <v>4841</v>
      </c>
      <c r="J2041" t="s">
        <v>9</v>
      </c>
      <c r="K2041">
        <v>175.6</v>
      </c>
      <c r="L2041">
        <v>35.68</v>
      </c>
      <c r="M2041">
        <v>18972</v>
      </c>
      <c r="N2041" t="s">
        <v>39</v>
      </c>
      <c r="O2041">
        <v>250618</v>
      </c>
      <c r="P2041">
        <v>139.91999999999999</v>
      </c>
    </row>
    <row r="2042" spans="1:16" x14ac:dyDescent="0.25">
      <c r="A2042" t="s">
        <v>3296</v>
      </c>
      <c r="B2042" t="s">
        <v>2931</v>
      </c>
      <c r="C2042">
        <v>8910</v>
      </c>
      <c r="D2042" t="str">
        <f>"5013914     "</f>
        <v xml:space="preserve">5013914     </v>
      </c>
      <c r="E2042" t="s">
        <v>8</v>
      </c>
      <c r="F2042" t="s">
        <v>11</v>
      </c>
      <c r="G2042">
        <v>5351.38</v>
      </c>
      <c r="H2042">
        <v>250701</v>
      </c>
      <c r="I2042">
        <v>4841</v>
      </c>
      <c r="J2042" t="s">
        <v>9</v>
      </c>
      <c r="K2042">
        <v>5902.98</v>
      </c>
      <c r="L2042">
        <v>1087.33</v>
      </c>
      <c r="M2042">
        <v>13501</v>
      </c>
      <c r="N2042" t="s">
        <v>66</v>
      </c>
      <c r="O2042">
        <v>250618</v>
      </c>
      <c r="P2042">
        <v>4264.05</v>
      </c>
    </row>
    <row r="2043" spans="1:16" x14ac:dyDescent="0.25">
      <c r="A2043" t="s">
        <v>3296</v>
      </c>
      <c r="B2043" t="s">
        <v>2931</v>
      </c>
      <c r="C2043">
        <v>8910</v>
      </c>
      <c r="D2043" t="str">
        <f>"5013914     "</f>
        <v xml:space="preserve">5013914     </v>
      </c>
      <c r="E2043" t="s">
        <v>8</v>
      </c>
      <c r="F2043" t="s">
        <v>11</v>
      </c>
      <c r="G2043">
        <v>551.6</v>
      </c>
      <c r="H2043">
        <v>250701</v>
      </c>
      <c r="I2043">
        <v>4841</v>
      </c>
      <c r="J2043" t="s">
        <v>9</v>
      </c>
      <c r="K2043">
        <v>5902.98</v>
      </c>
      <c r="L2043">
        <v>112.08</v>
      </c>
      <c r="M2043">
        <v>13501</v>
      </c>
      <c r="N2043" t="s">
        <v>66</v>
      </c>
      <c r="O2043">
        <v>250618</v>
      </c>
      <c r="P2043">
        <v>439.52</v>
      </c>
    </row>
    <row r="2044" spans="1:16" x14ac:dyDescent="0.25">
      <c r="A2044" t="s">
        <v>3296</v>
      </c>
      <c r="B2044" t="s">
        <v>2931</v>
      </c>
      <c r="C2044">
        <v>8911</v>
      </c>
      <c r="D2044" t="str">
        <f t="shared" ref="D2044:D2068" si="64">"5013921     "</f>
        <v xml:space="preserve">5013921     </v>
      </c>
      <c r="E2044" t="s">
        <v>8</v>
      </c>
      <c r="F2044" t="s">
        <v>11</v>
      </c>
      <c r="G2044">
        <v>82.6</v>
      </c>
      <c r="H2044">
        <v>250701</v>
      </c>
      <c r="I2044">
        <v>4841</v>
      </c>
      <c r="J2044" t="s">
        <v>9</v>
      </c>
      <c r="K2044">
        <v>19805.39</v>
      </c>
      <c r="L2044">
        <v>16.78</v>
      </c>
      <c r="M2044">
        <v>11601</v>
      </c>
      <c r="N2044" t="s">
        <v>12</v>
      </c>
      <c r="O2044">
        <v>250618</v>
      </c>
      <c r="P2044">
        <v>65.819999999999993</v>
      </c>
    </row>
    <row r="2045" spans="1:16" x14ac:dyDescent="0.25">
      <c r="A2045" t="s">
        <v>3296</v>
      </c>
      <c r="B2045" t="s">
        <v>2931</v>
      </c>
      <c r="C2045">
        <v>8911</v>
      </c>
      <c r="D2045" t="str">
        <f t="shared" si="64"/>
        <v xml:space="preserve">5013921     </v>
      </c>
      <c r="E2045" t="s">
        <v>8</v>
      </c>
      <c r="F2045" t="s">
        <v>11</v>
      </c>
      <c r="G2045">
        <v>2539.25</v>
      </c>
      <c r="H2045">
        <v>250701</v>
      </c>
      <c r="I2045">
        <v>4841</v>
      </c>
      <c r="J2045" t="s">
        <v>9</v>
      </c>
      <c r="K2045">
        <v>19805.39</v>
      </c>
      <c r="L2045">
        <v>515.94000000000005</v>
      </c>
      <c r="M2045">
        <v>41126</v>
      </c>
      <c r="N2045" t="s">
        <v>94</v>
      </c>
      <c r="O2045">
        <v>250618</v>
      </c>
      <c r="P2045">
        <v>2023.31</v>
      </c>
    </row>
    <row r="2046" spans="1:16" x14ac:dyDescent="0.25">
      <c r="A2046" t="s">
        <v>3296</v>
      </c>
      <c r="B2046" t="s">
        <v>2931</v>
      </c>
      <c r="C2046">
        <v>8911</v>
      </c>
      <c r="D2046" t="str">
        <f t="shared" si="64"/>
        <v xml:space="preserve">5013921     </v>
      </c>
      <c r="E2046" t="s">
        <v>8</v>
      </c>
      <c r="F2046" t="s">
        <v>11</v>
      </c>
      <c r="G2046">
        <v>1638.76</v>
      </c>
      <c r="H2046">
        <v>250701</v>
      </c>
      <c r="I2046">
        <v>4841</v>
      </c>
      <c r="J2046" t="s">
        <v>9</v>
      </c>
      <c r="K2046">
        <v>19805.39</v>
      </c>
      <c r="L2046">
        <v>332.98</v>
      </c>
      <c r="M2046">
        <v>43222</v>
      </c>
      <c r="N2046" t="s">
        <v>95</v>
      </c>
      <c r="O2046">
        <v>250618</v>
      </c>
      <c r="P2046">
        <v>1305.78</v>
      </c>
    </row>
    <row r="2047" spans="1:16" x14ac:dyDescent="0.25">
      <c r="A2047" t="s">
        <v>3296</v>
      </c>
      <c r="B2047" t="s">
        <v>2931</v>
      </c>
      <c r="C2047">
        <v>8911</v>
      </c>
      <c r="D2047" t="str">
        <f t="shared" si="64"/>
        <v xml:space="preserve">5013921     </v>
      </c>
      <c r="E2047" t="s">
        <v>8</v>
      </c>
      <c r="F2047" t="s">
        <v>11</v>
      </c>
      <c r="G2047">
        <v>74.02</v>
      </c>
      <c r="H2047">
        <v>250701</v>
      </c>
      <c r="I2047">
        <v>4841</v>
      </c>
      <c r="J2047" t="s">
        <v>9</v>
      </c>
      <c r="K2047">
        <v>19805.39</v>
      </c>
      <c r="L2047">
        <v>15.04</v>
      </c>
      <c r="M2047">
        <v>44222</v>
      </c>
      <c r="N2047" t="s">
        <v>96</v>
      </c>
      <c r="O2047">
        <v>250618</v>
      </c>
      <c r="P2047">
        <v>58.98</v>
      </c>
    </row>
    <row r="2048" spans="1:16" x14ac:dyDescent="0.25">
      <c r="A2048" t="s">
        <v>3296</v>
      </c>
      <c r="B2048" t="s">
        <v>2931</v>
      </c>
      <c r="C2048">
        <v>8911</v>
      </c>
      <c r="D2048" t="str">
        <f t="shared" si="64"/>
        <v xml:space="preserve">5013921     </v>
      </c>
      <c r="E2048" t="s">
        <v>8</v>
      </c>
      <c r="F2048" t="s">
        <v>11</v>
      </c>
      <c r="G2048">
        <v>762.49</v>
      </c>
      <c r="H2048">
        <v>250701</v>
      </c>
      <c r="I2048">
        <v>4841</v>
      </c>
      <c r="J2048" t="s">
        <v>9</v>
      </c>
      <c r="K2048">
        <v>19805.39</v>
      </c>
      <c r="L2048">
        <v>154.93</v>
      </c>
      <c r="M2048">
        <v>44222</v>
      </c>
      <c r="N2048" t="s">
        <v>96</v>
      </c>
      <c r="O2048">
        <v>250618</v>
      </c>
      <c r="P2048">
        <v>607.55999999999995</v>
      </c>
    </row>
    <row r="2049" spans="1:16" x14ac:dyDescent="0.25">
      <c r="A2049" t="s">
        <v>3296</v>
      </c>
      <c r="B2049" t="s">
        <v>2931</v>
      </c>
      <c r="C2049">
        <v>8911</v>
      </c>
      <c r="D2049" t="str">
        <f t="shared" si="64"/>
        <v xml:space="preserve">5013921     </v>
      </c>
      <c r="E2049" t="s">
        <v>8</v>
      </c>
      <c r="F2049" t="s">
        <v>11</v>
      </c>
      <c r="G2049">
        <v>46.64</v>
      </c>
      <c r="H2049">
        <v>250701</v>
      </c>
      <c r="I2049">
        <v>4841</v>
      </c>
      <c r="J2049" t="s">
        <v>9</v>
      </c>
      <c r="K2049">
        <v>19805.39</v>
      </c>
      <c r="L2049">
        <v>9.48</v>
      </c>
      <c r="M2049">
        <v>44422</v>
      </c>
      <c r="N2049" t="s">
        <v>97</v>
      </c>
      <c r="O2049">
        <v>250618</v>
      </c>
      <c r="P2049">
        <v>37.159999999999997</v>
      </c>
    </row>
    <row r="2050" spans="1:16" x14ac:dyDescent="0.25">
      <c r="A2050" t="s">
        <v>3296</v>
      </c>
      <c r="B2050" t="s">
        <v>2931</v>
      </c>
      <c r="C2050">
        <v>8911</v>
      </c>
      <c r="D2050" t="str">
        <f t="shared" si="64"/>
        <v xml:space="preserve">5013921     </v>
      </c>
      <c r="E2050" t="s">
        <v>8</v>
      </c>
      <c r="F2050" t="s">
        <v>11</v>
      </c>
      <c r="G2050">
        <v>94.09</v>
      </c>
      <c r="H2050">
        <v>250701</v>
      </c>
      <c r="I2050">
        <v>4841</v>
      </c>
      <c r="J2050" t="s">
        <v>9</v>
      </c>
      <c r="K2050">
        <v>19805.39</v>
      </c>
      <c r="L2050">
        <v>19.12</v>
      </c>
      <c r="M2050">
        <v>44423</v>
      </c>
      <c r="N2050" t="s">
        <v>98</v>
      </c>
      <c r="O2050">
        <v>250618</v>
      </c>
      <c r="P2050">
        <v>74.97</v>
      </c>
    </row>
    <row r="2051" spans="1:16" x14ac:dyDescent="0.25">
      <c r="A2051" t="s">
        <v>3296</v>
      </c>
      <c r="B2051" t="s">
        <v>2931</v>
      </c>
      <c r="C2051">
        <v>8911</v>
      </c>
      <c r="D2051" t="str">
        <f t="shared" si="64"/>
        <v xml:space="preserve">5013921     </v>
      </c>
      <c r="E2051" t="s">
        <v>8</v>
      </c>
      <c r="F2051" t="s">
        <v>11</v>
      </c>
      <c r="G2051">
        <v>822.05</v>
      </c>
      <c r="H2051">
        <v>250701</v>
      </c>
      <c r="I2051">
        <v>4841</v>
      </c>
      <c r="J2051" t="s">
        <v>9</v>
      </c>
      <c r="K2051">
        <v>19805.39</v>
      </c>
      <c r="L2051">
        <v>167.03</v>
      </c>
      <c r="M2051">
        <v>44424</v>
      </c>
      <c r="N2051" t="s">
        <v>99</v>
      </c>
      <c r="O2051">
        <v>250618</v>
      </c>
      <c r="P2051">
        <v>655.02</v>
      </c>
    </row>
    <row r="2052" spans="1:16" x14ac:dyDescent="0.25">
      <c r="A2052" t="s">
        <v>3296</v>
      </c>
      <c r="B2052" t="s">
        <v>2931</v>
      </c>
      <c r="C2052">
        <v>8911</v>
      </c>
      <c r="D2052" t="str">
        <f t="shared" si="64"/>
        <v xml:space="preserve">5013921     </v>
      </c>
      <c r="E2052" t="s">
        <v>8</v>
      </c>
      <c r="F2052" t="s">
        <v>11</v>
      </c>
      <c r="G2052">
        <v>12.48</v>
      </c>
      <c r="H2052">
        <v>250701</v>
      </c>
      <c r="I2052">
        <v>4841</v>
      </c>
      <c r="J2052" t="s">
        <v>9</v>
      </c>
      <c r="K2052">
        <v>19805.39</v>
      </c>
      <c r="L2052">
        <v>2.54</v>
      </c>
      <c r="M2052">
        <v>44453</v>
      </c>
      <c r="N2052" t="s">
        <v>100</v>
      </c>
      <c r="O2052">
        <v>250618</v>
      </c>
      <c r="P2052">
        <v>9.94</v>
      </c>
    </row>
    <row r="2053" spans="1:16" x14ac:dyDescent="0.25">
      <c r="A2053" t="s">
        <v>3296</v>
      </c>
      <c r="B2053" t="s">
        <v>2931</v>
      </c>
      <c r="C2053">
        <v>8911</v>
      </c>
      <c r="D2053" t="str">
        <f t="shared" si="64"/>
        <v xml:space="preserve">5013921     </v>
      </c>
      <c r="E2053" t="s">
        <v>8</v>
      </c>
      <c r="F2053" t="s">
        <v>11</v>
      </c>
      <c r="G2053">
        <v>4649.0200000000004</v>
      </c>
      <c r="H2053">
        <v>250701</v>
      </c>
      <c r="I2053">
        <v>4841</v>
      </c>
      <c r="J2053" t="s">
        <v>9</v>
      </c>
      <c r="K2053">
        <v>19805.39</v>
      </c>
      <c r="L2053">
        <v>944.62</v>
      </c>
      <c r="M2053">
        <v>46222</v>
      </c>
      <c r="N2053" t="s">
        <v>101</v>
      </c>
      <c r="O2053">
        <v>250618</v>
      </c>
      <c r="P2053">
        <v>3704.4</v>
      </c>
    </row>
    <row r="2054" spans="1:16" x14ac:dyDescent="0.25">
      <c r="A2054" t="s">
        <v>3296</v>
      </c>
      <c r="B2054" t="s">
        <v>2931</v>
      </c>
      <c r="C2054">
        <v>8911</v>
      </c>
      <c r="D2054" t="str">
        <f t="shared" si="64"/>
        <v xml:space="preserve">5013921     </v>
      </c>
      <c r="E2054" t="s">
        <v>8</v>
      </c>
      <c r="F2054" t="s">
        <v>11</v>
      </c>
      <c r="G2054">
        <v>60.11</v>
      </c>
      <c r="H2054">
        <v>250701</v>
      </c>
      <c r="I2054">
        <v>4841</v>
      </c>
      <c r="J2054" t="s">
        <v>9</v>
      </c>
      <c r="K2054">
        <v>19805.39</v>
      </c>
      <c r="L2054">
        <v>12.21</v>
      </c>
      <c r="M2054">
        <v>46554</v>
      </c>
      <c r="N2054" t="s">
        <v>102</v>
      </c>
      <c r="O2054">
        <v>250618</v>
      </c>
      <c r="P2054">
        <v>47.9</v>
      </c>
    </row>
    <row r="2055" spans="1:16" x14ac:dyDescent="0.25">
      <c r="A2055" t="s">
        <v>3296</v>
      </c>
      <c r="B2055" t="s">
        <v>2931</v>
      </c>
      <c r="C2055">
        <v>8911</v>
      </c>
      <c r="D2055" t="str">
        <f t="shared" si="64"/>
        <v xml:space="preserve">5013921     </v>
      </c>
      <c r="E2055" t="s">
        <v>8</v>
      </c>
      <c r="F2055" t="s">
        <v>11</v>
      </c>
      <c r="G2055">
        <v>991.37</v>
      </c>
      <c r="H2055">
        <v>250701</v>
      </c>
      <c r="I2055">
        <v>4841</v>
      </c>
      <c r="J2055" t="s">
        <v>9</v>
      </c>
      <c r="K2055">
        <v>19805.39</v>
      </c>
      <c r="L2055">
        <v>201.43</v>
      </c>
      <c r="M2055">
        <v>46554</v>
      </c>
      <c r="N2055" t="s">
        <v>102</v>
      </c>
      <c r="O2055">
        <v>250618</v>
      </c>
      <c r="P2055">
        <v>789.94</v>
      </c>
    </row>
    <row r="2056" spans="1:16" x14ac:dyDescent="0.25">
      <c r="A2056" t="s">
        <v>3296</v>
      </c>
      <c r="B2056" t="s">
        <v>2931</v>
      </c>
      <c r="C2056">
        <v>8911</v>
      </c>
      <c r="D2056" t="str">
        <f t="shared" si="64"/>
        <v xml:space="preserve">5013921     </v>
      </c>
      <c r="E2056" t="s">
        <v>8</v>
      </c>
      <c r="F2056" t="s">
        <v>11</v>
      </c>
      <c r="G2056">
        <v>2023.74</v>
      </c>
      <c r="H2056">
        <v>250701</v>
      </c>
      <c r="I2056">
        <v>4841</v>
      </c>
      <c r="J2056" t="s">
        <v>9</v>
      </c>
      <c r="K2056">
        <v>19805.39</v>
      </c>
      <c r="L2056">
        <v>411.2</v>
      </c>
      <c r="M2056">
        <v>46555</v>
      </c>
      <c r="N2056" t="s">
        <v>103</v>
      </c>
      <c r="O2056">
        <v>250618</v>
      </c>
      <c r="P2056">
        <v>1612.54</v>
      </c>
    </row>
    <row r="2057" spans="1:16" x14ac:dyDescent="0.25">
      <c r="A2057" t="s">
        <v>3296</v>
      </c>
      <c r="B2057" t="s">
        <v>2931</v>
      </c>
      <c r="C2057">
        <v>8911</v>
      </c>
      <c r="D2057" t="str">
        <f t="shared" si="64"/>
        <v xml:space="preserve">5013921     </v>
      </c>
      <c r="E2057" t="s">
        <v>8</v>
      </c>
      <c r="F2057" t="s">
        <v>11</v>
      </c>
      <c r="G2057">
        <v>46.44</v>
      </c>
      <c r="H2057">
        <v>250701</v>
      </c>
      <c r="I2057">
        <v>4841</v>
      </c>
      <c r="J2057" t="s">
        <v>9</v>
      </c>
      <c r="K2057">
        <v>19805.39</v>
      </c>
      <c r="L2057">
        <v>9.44</v>
      </c>
      <c r="M2057">
        <v>46556</v>
      </c>
      <c r="N2057" t="s">
        <v>458</v>
      </c>
      <c r="O2057">
        <v>250618</v>
      </c>
      <c r="P2057">
        <v>37</v>
      </c>
    </row>
    <row r="2058" spans="1:16" x14ac:dyDescent="0.25">
      <c r="A2058" t="s">
        <v>3296</v>
      </c>
      <c r="B2058" t="s">
        <v>2931</v>
      </c>
      <c r="C2058">
        <v>8911</v>
      </c>
      <c r="D2058" t="str">
        <f t="shared" si="64"/>
        <v xml:space="preserve">5013921     </v>
      </c>
      <c r="E2058" t="s">
        <v>8</v>
      </c>
      <c r="F2058" t="s">
        <v>11</v>
      </c>
      <c r="G2058">
        <v>1188.31</v>
      </c>
      <c r="H2058">
        <v>250701</v>
      </c>
      <c r="I2058">
        <v>4841</v>
      </c>
      <c r="J2058" t="s">
        <v>9</v>
      </c>
      <c r="K2058">
        <v>19805.39</v>
      </c>
      <c r="L2058">
        <v>241.45</v>
      </c>
      <c r="M2058">
        <v>46557</v>
      </c>
      <c r="N2058" t="s">
        <v>104</v>
      </c>
      <c r="O2058">
        <v>250618</v>
      </c>
      <c r="P2058">
        <v>946.86</v>
      </c>
    </row>
    <row r="2059" spans="1:16" x14ac:dyDescent="0.25">
      <c r="A2059" t="s">
        <v>3296</v>
      </c>
      <c r="B2059" t="s">
        <v>2931</v>
      </c>
      <c r="C2059">
        <v>8911</v>
      </c>
      <c r="D2059" t="str">
        <f t="shared" si="64"/>
        <v xml:space="preserve">5013921     </v>
      </c>
      <c r="E2059" t="s">
        <v>8</v>
      </c>
      <c r="F2059" t="s">
        <v>11</v>
      </c>
      <c r="G2059">
        <v>293.58</v>
      </c>
      <c r="H2059">
        <v>250701</v>
      </c>
      <c r="I2059">
        <v>4841</v>
      </c>
      <c r="J2059" t="s">
        <v>9</v>
      </c>
      <c r="K2059">
        <v>19805.39</v>
      </c>
      <c r="L2059">
        <v>59.65</v>
      </c>
      <c r="M2059">
        <v>46559</v>
      </c>
      <c r="N2059" t="s">
        <v>105</v>
      </c>
      <c r="O2059">
        <v>250618</v>
      </c>
      <c r="P2059">
        <v>233.93</v>
      </c>
    </row>
    <row r="2060" spans="1:16" x14ac:dyDescent="0.25">
      <c r="A2060" t="s">
        <v>3296</v>
      </c>
      <c r="B2060" t="s">
        <v>2931</v>
      </c>
      <c r="C2060">
        <v>8911</v>
      </c>
      <c r="D2060" t="str">
        <f t="shared" si="64"/>
        <v xml:space="preserve">5013921     </v>
      </c>
      <c r="E2060" t="s">
        <v>8</v>
      </c>
      <c r="F2060" t="s">
        <v>11</v>
      </c>
      <c r="G2060">
        <v>2264.61</v>
      </c>
      <c r="H2060">
        <v>250701</v>
      </c>
      <c r="I2060">
        <v>4841</v>
      </c>
      <c r="J2060" t="s">
        <v>9</v>
      </c>
      <c r="K2060">
        <v>19805.39</v>
      </c>
      <c r="L2060">
        <v>460.14</v>
      </c>
      <c r="M2060">
        <v>47522</v>
      </c>
      <c r="N2060" t="s">
        <v>106</v>
      </c>
      <c r="O2060">
        <v>250618</v>
      </c>
      <c r="P2060">
        <v>1804.47</v>
      </c>
    </row>
    <row r="2061" spans="1:16" x14ac:dyDescent="0.25">
      <c r="A2061" t="s">
        <v>3296</v>
      </c>
      <c r="B2061" t="s">
        <v>2931</v>
      </c>
      <c r="C2061">
        <v>8911</v>
      </c>
      <c r="D2061" t="str">
        <f t="shared" si="64"/>
        <v xml:space="preserve">5013921     </v>
      </c>
      <c r="E2061" t="s">
        <v>8</v>
      </c>
      <c r="F2061" t="s">
        <v>11</v>
      </c>
      <c r="G2061">
        <v>176.87</v>
      </c>
      <c r="H2061">
        <v>250701</v>
      </c>
      <c r="I2061">
        <v>4841</v>
      </c>
      <c r="J2061" t="s">
        <v>9</v>
      </c>
      <c r="K2061">
        <v>19805.39</v>
      </c>
      <c r="L2061">
        <v>35.94</v>
      </c>
      <c r="M2061">
        <v>48601</v>
      </c>
      <c r="N2061" t="s">
        <v>107</v>
      </c>
      <c r="O2061">
        <v>250618</v>
      </c>
      <c r="P2061">
        <v>140.93</v>
      </c>
    </row>
    <row r="2062" spans="1:16" x14ac:dyDescent="0.25">
      <c r="A2062" t="s">
        <v>3296</v>
      </c>
      <c r="B2062" t="s">
        <v>2931</v>
      </c>
      <c r="C2062">
        <v>8911</v>
      </c>
      <c r="D2062" t="str">
        <f t="shared" si="64"/>
        <v xml:space="preserve">5013921     </v>
      </c>
      <c r="E2062" t="s">
        <v>8</v>
      </c>
      <c r="F2062" t="s">
        <v>11</v>
      </c>
      <c r="G2062">
        <v>46.89</v>
      </c>
      <c r="H2062">
        <v>250701</v>
      </c>
      <c r="I2062">
        <v>4841</v>
      </c>
      <c r="J2062" t="s">
        <v>9</v>
      </c>
      <c r="K2062">
        <v>19805.39</v>
      </c>
      <c r="L2062">
        <v>9.5299999999999994</v>
      </c>
      <c r="M2062">
        <v>49111</v>
      </c>
      <c r="N2062" t="s">
        <v>108</v>
      </c>
      <c r="O2062">
        <v>250618</v>
      </c>
      <c r="P2062">
        <v>37.36</v>
      </c>
    </row>
    <row r="2063" spans="1:16" x14ac:dyDescent="0.25">
      <c r="A2063" t="s">
        <v>3296</v>
      </c>
      <c r="B2063" t="s">
        <v>2931</v>
      </c>
      <c r="C2063">
        <v>8911</v>
      </c>
      <c r="D2063" t="str">
        <f t="shared" si="64"/>
        <v xml:space="preserve">5013921     </v>
      </c>
      <c r="E2063" t="s">
        <v>8</v>
      </c>
      <c r="F2063" t="s">
        <v>11</v>
      </c>
      <c r="G2063">
        <v>74.22</v>
      </c>
      <c r="H2063">
        <v>250701</v>
      </c>
      <c r="I2063">
        <v>4841</v>
      </c>
      <c r="J2063" t="s">
        <v>9</v>
      </c>
      <c r="K2063">
        <v>19805.39</v>
      </c>
      <c r="L2063">
        <v>15.08</v>
      </c>
      <c r="M2063">
        <v>49112</v>
      </c>
      <c r="N2063" t="s">
        <v>109</v>
      </c>
      <c r="O2063">
        <v>250618</v>
      </c>
      <c r="P2063">
        <v>59.14</v>
      </c>
    </row>
    <row r="2064" spans="1:16" x14ac:dyDescent="0.25">
      <c r="A2064" t="s">
        <v>3296</v>
      </c>
      <c r="B2064" t="s">
        <v>2931</v>
      </c>
      <c r="C2064">
        <v>8911</v>
      </c>
      <c r="D2064" t="str">
        <f t="shared" si="64"/>
        <v xml:space="preserve">5013921     </v>
      </c>
      <c r="E2064" t="s">
        <v>8</v>
      </c>
      <c r="F2064" t="s">
        <v>11</v>
      </c>
      <c r="G2064">
        <v>414.2</v>
      </c>
      <c r="H2064">
        <v>250701</v>
      </c>
      <c r="I2064">
        <v>4841</v>
      </c>
      <c r="J2064" t="s">
        <v>9</v>
      </c>
      <c r="K2064">
        <v>19805.39</v>
      </c>
      <c r="L2064">
        <v>84.16</v>
      </c>
      <c r="M2064">
        <v>49501</v>
      </c>
      <c r="N2064" t="s">
        <v>110</v>
      </c>
      <c r="O2064">
        <v>250618</v>
      </c>
      <c r="P2064">
        <v>330.04</v>
      </c>
    </row>
    <row r="2065" spans="1:16" x14ac:dyDescent="0.25">
      <c r="A2065" t="s">
        <v>3296</v>
      </c>
      <c r="B2065" t="s">
        <v>2931</v>
      </c>
      <c r="C2065">
        <v>8911</v>
      </c>
      <c r="D2065" t="str">
        <f t="shared" si="64"/>
        <v xml:space="preserve">5013921     </v>
      </c>
      <c r="E2065" t="s">
        <v>8</v>
      </c>
      <c r="F2065" t="s">
        <v>11</v>
      </c>
      <c r="G2065">
        <v>306.67</v>
      </c>
      <c r="H2065">
        <v>250701</v>
      </c>
      <c r="I2065">
        <v>4841</v>
      </c>
      <c r="J2065" t="s">
        <v>9</v>
      </c>
      <c r="K2065">
        <v>19805.39</v>
      </c>
      <c r="L2065">
        <v>62.31</v>
      </c>
      <c r="M2065">
        <v>49701</v>
      </c>
      <c r="N2065" t="s">
        <v>111</v>
      </c>
      <c r="O2065">
        <v>250618</v>
      </c>
      <c r="P2065">
        <v>244.36</v>
      </c>
    </row>
    <row r="2066" spans="1:16" x14ac:dyDescent="0.25">
      <c r="A2066" t="s">
        <v>3296</v>
      </c>
      <c r="B2066" t="s">
        <v>2931</v>
      </c>
      <c r="C2066">
        <v>8911</v>
      </c>
      <c r="D2066" t="str">
        <f t="shared" si="64"/>
        <v xml:space="preserve">5013921     </v>
      </c>
      <c r="E2066" t="s">
        <v>8</v>
      </c>
      <c r="F2066" t="s">
        <v>11</v>
      </c>
      <c r="G2066">
        <v>452.8</v>
      </c>
      <c r="H2066">
        <v>250701</v>
      </c>
      <c r="I2066">
        <v>4841</v>
      </c>
      <c r="J2066" t="s">
        <v>9</v>
      </c>
      <c r="K2066">
        <v>19805.39</v>
      </c>
      <c r="L2066">
        <v>92</v>
      </c>
      <c r="M2066">
        <v>49702</v>
      </c>
      <c r="N2066" t="s">
        <v>112</v>
      </c>
      <c r="O2066">
        <v>250618</v>
      </c>
      <c r="P2066">
        <v>360.8</v>
      </c>
    </row>
    <row r="2067" spans="1:16" x14ac:dyDescent="0.25">
      <c r="A2067" t="s">
        <v>3296</v>
      </c>
      <c r="B2067" t="s">
        <v>2931</v>
      </c>
      <c r="C2067">
        <v>8911</v>
      </c>
      <c r="D2067" t="str">
        <f t="shared" si="64"/>
        <v xml:space="preserve">5013921     </v>
      </c>
      <c r="E2067" t="s">
        <v>8</v>
      </c>
      <c r="F2067" t="s">
        <v>11</v>
      </c>
      <c r="G2067">
        <v>156.07</v>
      </c>
      <c r="H2067">
        <v>250701</v>
      </c>
      <c r="I2067">
        <v>4841</v>
      </c>
      <c r="J2067" t="s">
        <v>9</v>
      </c>
      <c r="K2067">
        <v>19805.39</v>
      </c>
      <c r="L2067">
        <v>31.71</v>
      </c>
      <c r="M2067">
        <v>49704</v>
      </c>
      <c r="N2067" t="s">
        <v>113</v>
      </c>
      <c r="O2067">
        <v>250618</v>
      </c>
      <c r="P2067">
        <v>124.36</v>
      </c>
    </row>
    <row r="2068" spans="1:16" x14ac:dyDescent="0.25">
      <c r="A2068" t="s">
        <v>3296</v>
      </c>
      <c r="B2068" t="s">
        <v>2931</v>
      </c>
      <c r="C2068">
        <v>8911</v>
      </c>
      <c r="D2068" t="str">
        <f t="shared" si="64"/>
        <v xml:space="preserve">5013921     </v>
      </c>
      <c r="E2068" t="s">
        <v>8</v>
      </c>
      <c r="F2068" t="s">
        <v>11</v>
      </c>
      <c r="G2068">
        <v>588.11</v>
      </c>
      <c r="H2068">
        <v>250701</v>
      </c>
      <c r="I2068">
        <v>4841</v>
      </c>
      <c r="J2068" t="s">
        <v>9</v>
      </c>
      <c r="K2068">
        <v>19805.39</v>
      </c>
      <c r="L2068">
        <v>119.5</v>
      </c>
      <c r="M2068">
        <v>49705</v>
      </c>
      <c r="N2068" t="s">
        <v>114</v>
      </c>
      <c r="O2068">
        <v>250618</v>
      </c>
      <c r="P2068">
        <v>468.61</v>
      </c>
    </row>
    <row r="2069" spans="1:16" x14ac:dyDescent="0.25">
      <c r="A2069" t="s">
        <v>3296</v>
      </c>
      <c r="B2069" t="s">
        <v>2931</v>
      </c>
      <c r="C2069">
        <v>8921</v>
      </c>
      <c r="D2069" t="str">
        <f>"5013930     "</f>
        <v xml:space="preserve">5013930     </v>
      </c>
      <c r="E2069" t="s">
        <v>8</v>
      </c>
      <c r="F2069" t="s">
        <v>11</v>
      </c>
      <c r="G2069">
        <v>463.22</v>
      </c>
      <c r="H2069">
        <v>250701</v>
      </c>
      <c r="I2069">
        <v>4841</v>
      </c>
      <c r="J2069" t="s">
        <v>9</v>
      </c>
      <c r="K2069">
        <v>463.22</v>
      </c>
      <c r="L2069">
        <v>94.12</v>
      </c>
      <c r="M2069">
        <v>47522</v>
      </c>
      <c r="N2069" t="s">
        <v>106</v>
      </c>
      <c r="O2069">
        <v>250619</v>
      </c>
      <c r="P2069">
        <v>369.1</v>
      </c>
    </row>
    <row r="2070" spans="1:16" x14ac:dyDescent="0.25">
      <c r="A2070" t="s">
        <v>3296</v>
      </c>
      <c r="B2070" t="s">
        <v>2931</v>
      </c>
      <c r="C2070">
        <v>9120</v>
      </c>
      <c r="D2070" t="str">
        <f t="shared" ref="D2070:D2092" si="65">"5013934     "</f>
        <v xml:space="preserve">5013934     </v>
      </c>
      <c r="E2070" t="s">
        <v>8</v>
      </c>
      <c r="F2070" t="s">
        <v>11</v>
      </c>
      <c r="G2070">
        <v>1343.48</v>
      </c>
      <c r="H2070">
        <v>250701</v>
      </c>
      <c r="I2070">
        <v>4841</v>
      </c>
      <c r="J2070" t="s">
        <v>9</v>
      </c>
      <c r="K2070">
        <v>14923</v>
      </c>
      <c r="L2070">
        <v>272.98</v>
      </c>
      <c r="M2070">
        <v>54222</v>
      </c>
      <c r="N2070" t="s">
        <v>48</v>
      </c>
      <c r="O2070">
        <v>250626</v>
      </c>
      <c r="P2070">
        <v>1070.5</v>
      </c>
    </row>
    <row r="2071" spans="1:16" x14ac:dyDescent="0.25">
      <c r="A2071" t="s">
        <v>3296</v>
      </c>
      <c r="B2071" t="s">
        <v>2931</v>
      </c>
      <c r="C2071">
        <v>9120</v>
      </c>
      <c r="D2071" t="str">
        <f t="shared" si="65"/>
        <v xml:space="preserve">5013934     </v>
      </c>
      <c r="E2071" t="s">
        <v>8</v>
      </c>
      <c r="F2071" t="s">
        <v>11</v>
      </c>
      <c r="G2071">
        <v>694.08</v>
      </c>
      <c r="H2071">
        <v>250701</v>
      </c>
      <c r="I2071">
        <v>4841</v>
      </c>
      <c r="J2071" t="s">
        <v>9</v>
      </c>
      <c r="K2071">
        <v>14923</v>
      </c>
      <c r="L2071">
        <v>141.03</v>
      </c>
      <c r="M2071">
        <v>54222</v>
      </c>
      <c r="N2071" t="s">
        <v>48</v>
      </c>
      <c r="O2071">
        <v>250626</v>
      </c>
      <c r="P2071">
        <v>553.04999999999995</v>
      </c>
    </row>
    <row r="2072" spans="1:16" x14ac:dyDescent="0.25">
      <c r="A2072" t="s">
        <v>3296</v>
      </c>
      <c r="B2072" t="s">
        <v>2931</v>
      </c>
      <c r="C2072">
        <v>9120</v>
      </c>
      <c r="D2072" t="str">
        <f t="shared" si="65"/>
        <v xml:space="preserve">5013934     </v>
      </c>
      <c r="E2072" t="s">
        <v>8</v>
      </c>
      <c r="F2072" t="s">
        <v>11</v>
      </c>
      <c r="G2072">
        <v>1306.76</v>
      </c>
      <c r="H2072">
        <v>250701</v>
      </c>
      <c r="I2072">
        <v>4841</v>
      </c>
      <c r="J2072" t="s">
        <v>9</v>
      </c>
      <c r="K2072">
        <v>14923</v>
      </c>
      <c r="L2072">
        <v>265.52</v>
      </c>
      <c r="M2072">
        <v>54422</v>
      </c>
      <c r="N2072" t="s">
        <v>49</v>
      </c>
      <c r="O2072">
        <v>250626</v>
      </c>
      <c r="P2072">
        <v>1041.24</v>
      </c>
    </row>
    <row r="2073" spans="1:16" x14ac:dyDescent="0.25">
      <c r="A2073" t="s">
        <v>3296</v>
      </c>
      <c r="B2073" t="s">
        <v>2931</v>
      </c>
      <c r="C2073">
        <v>9120</v>
      </c>
      <c r="D2073" t="str">
        <f t="shared" si="65"/>
        <v xml:space="preserve">5013934     </v>
      </c>
      <c r="E2073" t="s">
        <v>8</v>
      </c>
      <c r="F2073" t="s">
        <v>11</v>
      </c>
      <c r="G2073">
        <v>47.31</v>
      </c>
      <c r="H2073">
        <v>250701</v>
      </c>
      <c r="I2073">
        <v>4841</v>
      </c>
      <c r="J2073" t="s">
        <v>9</v>
      </c>
      <c r="K2073">
        <v>14923</v>
      </c>
      <c r="L2073">
        <v>9.61</v>
      </c>
      <c r="M2073">
        <v>54422</v>
      </c>
      <c r="N2073" t="s">
        <v>49</v>
      </c>
      <c r="O2073">
        <v>250626</v>
      </c>
      <c r="P2073">
        <v>37.700000000000003</v>
      </c>
    </row>
    <row r="2074" spans="1:16" x14ac:dyDescent="0.25">
      <c r="A2074" t="s">
        <v>3296</v>
      </c>
      <c r="B2074" t="s">
        <v>2931</v>
      </c>
      <c r="C2074">
        <v>9120</v>
      </c>
      <c r="D2074" t="str">
        <f t="shared" si="65"/>
        <v xml:space="preserve">5013934     </v>
      </c>
      <c r="E2074" t="s">
        <v>8</v>
      </c>
      <c r="F2074" t="s">
        <v>11</v>
      </c>
      <c r="G2074">
        <v>574.87</v>
      </c>
      <c r="H2074">
        <v>250701</v>
      </c>
      <c r="I2074">
        <v>4841</v>
      </c>
      <c r="J2074" t="s">
        <v>9</v>
      </c>
      <c r="K2074">
        <v>14923</v>
      </c>
      <c r="L2074">
        <v>116.81</v>
      </c>
      <c r="M2074">
        <v>56558</v>
      </c>
      <c r="N2074" t="s">
        <v>50</v>
      </c>
      <c r="O2074">
        <v>250626</v>
      </c>
      <c r="P2074">
        <v>458.06</v>
      </c>
    </row>
    <row r="2075" spans="1:16" x14ac:dyDescent="0.25">
      <c r="A2075" t="s">
        <v>3296</v>
      </c>
      <c r="B2075" t="s">
        <v>2931</v>
      </c>
      <c r="C2075">
        <v>9120</v>
      </c>
      <c r="D2075" t="str">
        <f t="shared" si="65"/>
        <v xml:space="preserve">5013934     </v>
      </c>
      <c r="E2075" t="s">
        <v>8</v>
      </c>
      <c r="F2075" t="s">
        <v>11</v>
      </c>
      <c r="G2075">
        <v>1608.13</v>
      </c>
      <c r="H2075">
        <v>250701</v>
      </c>
      <c r="I2075">
        <v>4841</v>
      </c>
      <c r="J2075" t="s">
        <v>9</v>
      </c>
      <c r="K2075">
        <v>14923</v>
      </c>
      <c r="L2075">
        <v>326.75</v>
      </c>
      <c r="M2075">
        <v>56559</v>
      </c>
      <c r="N2075" t="s">
        <v>51</v>
      </c>
      <c r="O2075">
        <v>250626</v>
      </c>
      <c r="P2075">
        <v>1281.3800000000001</v>
      </c>
    </row>
    <row r="2076" spans="1:16" x14ac:dyDescent="0.25">
      <c r="A2076" t="s">
        <v>3296</v>
      </c>
      <c r="B2076" t="s">
        <v>2931</v>
      </c>
      <c r="C2076">
        <v>9120</v>
      </c>
      <c r="D2076" t="str">
        <f t="shared" si="65"/>
        <v xml:space="preserve">5013934     </v>
      </c>
      <c r="E2076" t="s">
        <v>8</v>
      </c>
      <c r="F2076" t="s">
        <v>11</v>
      </c>
      <c r="G2076">
        <v>1194.92</v>
      </c>
      <c r="H2076">
        <v>250701</v>
      </c>
      <c r="I2076">
        <v>4841</v>
      </c>
      <c r="J2076" t="s">
        <v>9</v>
      </c>
      <c r="K2076">
        <v>14923</v>
      </c>
      <c r="L2076">
        <v>242.79</v>
      </c>
      <c r="M2076">
        <v>56560</v>
      </c>
      <c r="N2076" t="s">
        <v>52</v>
      </c>
      <c r="O2076">
        <v>250626</v>
      </c>
      <c r="P2076">
        <v>952.13</v>
      </c>
    </row>
    <row r="2077" spans="1:16" x14ac:dyDescent="0.25">
      <c r="A2077" t="s">
        <v>3296</v>
      </c>
      <c r="B2077" t="s">
        <v>2931</v>
      </c>
      <c r="C2077">
        <v>9120</v>
      </c>
      <c r="D2077" t="str">
        <f t="shared" si="65"/>
        <v xml:space="preserve">5013934     </v>
      </c>
      <c r="E2077" t="s">
        <v>8</v>
      </c>
      <c r="F2077" t="s">
        <v>11</v>
      </c>
      <c r="G2077">
        <v>321.33</v>
      </c>
      <c r="H2077">
        <v>250701</v>
      </c>
      <c r="I2077">
        <v>4841</v>
      </c>
      <c r="J2077" t="s">
        <v>9</v>
      </c>
      <c r="K2077">
        <v>14923</v>
      </c>
      <c r="L2077">
        <v>65.290000000000006</v>
      </c>
      <c r="M2077">
        <v>56561</v>
      </c>
      <c r="N2077" t="s">
        <v>53</v>
      </c>
      <c r="O2077">
        <v>250626</v>
      </c>
      <c r="P2077">
        <v>256.04000000000002</v>
      </c>
    </row>
    <row r="2078" spans="1:16" x14ac:dyDescent="0.25">
      <c r="A2078" t="s">
        <v>3296</v>
      </c>
      <c r="B2078" t="s">
        <v>2931</v>
      </c>
      <c r="C2078">
        <v>9120</v>
      </c>
      <c r="D2078" t="str">
        <f t="shared" si="65"/>
        <v xml:space="preserve">5013934     </v>
      </c>
      <c r="E2078" t="s">
        <v>8</v>
      </c>
      <c r="F2078" t="s">
        <v>11</v>
      </c>
      <c r="G2078">
        <v>1021.77</v>
      </c>
      <c r="H2078">
        <v>250701</v>
      </c>
      <c r="I2078">
        <v>4841</v>
      </c>
      <c r="J2078" t="s">
        <v>9</v>
      </c>
      <c r="K2078">
        <v>14923</v>
      </c>
      <c r="L2078">
        <v>207.61</v>
      </c>
      <c r="M2078">
        <v>56562</v>
      </c>
      <c r="N2078" t="s">
        <v>54</v>
      </c>
      <c r="O2078">
        <v>250626</v>
      </c>
      <c r="P2078">
        <v>814.16</v>
      </c>
    </row>
    <row r="2079" spans="1:16" x14ac:dyDescent="0.25">
      <c r="A2079" t="s">
        <v>3296</v>
      </c>
      <c r="B2079" t="s">
        <v>2931</v>
      </c>
      <c r="C2079">
        <v>9120</v>
      </c>
      <c r="D2079" t="str">
        <f t="shared" si="65"/>
        <v xml:space="preserve">5013934     </v>
      </c>
      <c r="E2079" t="s">
        <v>8</v>
      </c>
      <c r="F2079" t="s">
        <v>11</v>
      </c>
      <c r="G2079">
        <v>196.26</v>
      </c>
      <c r="H2079">
        <v>250701</v>
      </c>
      <c r="I2079">
        <v>4841</v>
      </c>
      <c r="J2079" t="s">
        <v>9</v>
      </c>
      <c r="K2079">
        <v>14923</v>
      </c>
      <c r="L2079">
        <v>39.880000000000003</v>
      </c>
      <c r="M2079">
        <v>56563</v>
      </c>
      <c r="N2079" t="s">
        <v>55</v>
      </c>
      <c r="O2079">
        <v>250626</v>
      </c>
      <c r="P2079">
        <v>156.38</v>
      </c>
    </row>
    <row r="2080" spans="1:16" x14ac:dyDescent="0.25">
      <c r="A2080" t="s">
        <v>3296</v>
      </c>
      <c r="B2080" t="s">
        <v>2931</v>
      </c>
      <c r="C2080">
        <v>9120</v>
      </c>
      <c r="D2080" t="str">
        <f t="shared" si="65"/>
        <v xml:space="preserve">5013934     </v>
      </c>
      <c r="E2080" t="s">
        <v>8</v>
      </c>
      <c r="F2080" t="s">
        <v>11</v>
      </c>
      <c r="G2080">
        <v>689.25</v>
      </c>
      <c r="H2080">
        <v>250701</v>
      </c>
      <c r="I2080">
        <v>4841</v>
      </c>
      <c r="J2080" t="s">
        <v>9</v>
      </c>
      <c r="K2080">
        <v>14923</v>
      </c>
      <c r="L2080">
        <v>140.05000000000001</v>
      </c>
      <c r="M2080">
        <v>56564</v>
      </c>
      <c r="N2080" t="s">
        <v>56</v>
      </c>
      <c r="O2080">
        <v>250626</v>
      </c>
      <c r="P2080">
        <v>549.20000000000005</v>
      </c>
    </row>
    <row r="2081" spans="1:16" x14ac:dyDescent="0.25">
      <c r="A2081" t="s">
        <v>3296</v>
      </c>
      <c r="B2081" t="s">
        <v>2931</v>
      </c>
      <c r="C2081">
        <v>9120</v>
      </c>
      <c r="D2081" t="str">
        <f t="shared" si="65"/>
        <v xml:space="preserve">5013934     </v>
      </c>
      <c r="E2081" t="s">
        <v>8</v>
      </c>
      <c r="F2081" t="s">
        <v>11</v>
      </c>
      <c r="G2081">
        <v>71.77</v>
      </c>
      <c r="H2081">
        <v>250701</v>
      </c>
      <c r="I2081">
        <v>4841</v>
      </c>
      <c r="J2081" t="s">
        <v>9</v>
      </c>
      <c r="K2081">
        <v>14923</v>
      </c>
      <c r="L2081">
        <v>14.58</v>
      </c>
      <c r="M2081">
        <v>56565</v>
      </c>
      <c r="N2081" t="s">
        <v>57</v>
      </c>
      <c r="O2081">
        <v>250626</v>
      </c>
      <c r="P2081">
        <v>57.19</v>
      </c>
    </row>
    <row r="2082" spans="1:16" x14ac:dyDescent="0.25">
      <c r="A2082" t="s">
        <v>3296</v>
      </c>
      <c r="B2082" t="s">
        <v>2931</v>
      </c>
      <c r="C2082">
        <v>9120</v>
      </c>
      <c r="D2082" t="str">
        <f t="shared" si="65"/>
        <v xml:space="preserve">5013934     </v>
      </c>
      <c r="E2082" t="s">
        <v>8</v>
      </c>
      <c r="F2082" t="s">
        <v>11</v>
      </c>
      <c r="G2082">
        <v>2779.26</v>
      </c>
      <c r="H2082">
        <v>250701</v>
      </c>
      <c r="I2082">
        <v>4841</v>
      </c>
      <c r="J2082" t="s">
        <v>9</v>
      </c>
      <c r="K2082">
        <v>14923</v>
      </c>
      <c r="L2082">
        <v>564.71</v>
      </c>
      <c r="M2082">
        <v>56566</v>
      </c>
      <c r="N2082" t="s">
        <v>58</v>
      </c>
      <c r="O2082">
        <v>250626</v>
      </c>
      <c r="P2082">
        <v>2214.5500000000002</v>
      </c>
    </row>
    <row r="2083" spans="1:16" x14ac:dyDescent="0.25">
      <c r="A2083" t="s">
        <v>3296</v>
      </c>
      <c r="B2083" t="s">
        <v>2931</v>
      </c>
      <c r="C2083">
        <v>9120</v>
      </c>
      <c r="D2083" t="str">
        <f t="shared" si="65"/>
        <v xml:space="preserve">5013934     </v>
      </c>
      <c r="E2083" t="s">
        <v>8</v>
      </c>
      <c r="F2083" t="s">
        <v>11</v>
      </c>
      <c r="G2083">
        <v>998.89</v>
      </c>
      <c r="H2083">
        <v>250701</v>
      </c>
      <c r="I2083">
        <v>4841</v>
      </c>
      <c r="J2083" t="s">
        <v>9</v>
      </c>
      <c r="K2083">
        <v>14923</v>
      </c>
      <c r="L2083">
        <v>202.96</v>
      </c>
      <c r="M2083">
        <v>58601</v>
      </c>
      <c r="N2083" t="s">
        <v>59</v>
      </c>
      <c r="O2083">
        <v>250626</v>
      </c>
      <c r="P2083">
        <v>795.93</v>
      </c>
    </row>
    <row r="2084" spans="1:16" x14ac:dyDescent="0.25">
      <c r="A2084" t="s">
        <v>3296</v>
      </c>
      <c r="B2084" t="s">
        <v>2931</v>
      </c>
      <c r="C2084">
        <v>9120</v>
      </c>
      <c r="D2084" t="str">
        <f t="shared" si="65"/>
        <v xml:space="preserve">5013934     </v>
      </c>
      <c r="E2084" t="s">
        <v>8</v>
      </c>
      <c r="F2084" t="s">
        <v>11</v>
      </c>
      <c r="G2084">
        <v>68.2</v>
      </c>
      <c r="H2084">
        <v>250701</v>
      </c>
      <c r="I2084">
        <v>4841</v>
      </c>
      <c r="J2084" t="s">
        <v>9</v>
      </c>
      <c r="K2084">
        <v>14923</v>
      </c>
      <c r="L2084">
        <v>13.86</v>
      </c>
      <c r="M2084">
        <v>59111</v>
      </c>
      <c r="N2084" t="s">
        <v>60</v>
      </c>
      <c r="O2084">
        <v>250626</v>
      </c>
      <c r="P2084">
        <v>54.34</v>
      </c>
    </row>
    <row r="2085" spans="1:16" x14ac:dyDescent="0.25">
      <c r="A2085" t="s">
        <v>3296</v>
      </c>
      <c r="B2085" t="s">
        <v>2931</v>
      </c>
      <c r="C2085">
        <v>9120</v>
      </c>
      <c r="D2085" t="str">
        <f t="shared" si="65"/>
        <v xml:space="preserve">5013934     </v>
      </c>
      <c r="E2085" t="s">
        <v>8</v>
      </c>
      <c r="F2085" t="s">
        <v>11</v>
      </c>
      <c r="G2085">
        <v>20.420000000000002</v>
      </c>
      <c r="H2085">
        <v>250701</v>
      </c>
      <c r="I2085">
        <v>4841</v>
      </c>
      <c r="J2085" t="s">
        <v>9</v>
      </c>
      <c r="K2085">
        <v>14923</v>
      </c>
      <c r="L2085">
        <v>4.1500000000000004</v>
      </c>
      <c r="M2085">
        <v>59112</v>
      </c>
      <c r="N2085" t="s">
        <v>44</v>
      </c>
      <c r="O2085">
        <v>250626</v>
      </c>
      <c r="P2085">
        <v>16.27</v>
      </c>
    </row>
    <row r="2086" spans="1:16" x14ac:dyDescent="0.25">
      <c r="A2086" t="s">
        <v>3296</v>
      </c>
      <c r="B2086" t="s">
        <v>2931</v>
      </c>
      <c r="C2086">
        <v>9120</v>
      </c>
      <c r="D2086" t="str">
        <f t="shared" si="65"/>
        <v xml:space="preserve">5013934     </v>
      </c>
      <c r="E2086" t="s">
        <v>8</v>
      </c>
      <c r="F2086" t="s">
        <v>11</v>
      </c>
      <c r="G2086">
        <v>105.38</v>
      </c>
      <c r="H2086">
        <v>250701</v>
      </c>
      <c r="I2086">
        <v>4841</v>
      </c>
      <c r="J2086" t="s">
        <v>9</v>
      </c>
      <c r="K2086">
        <v>14923</v>
      </c>
      <c r="L2086">
        <v>21.41</v>
      </c>
      <c r="M2086">
        <v>59113</v>
      </c>
      <c r="N2086" t="s">
        <v>61</v>
      </c>
      <c r="O2086">
        <v>250626</v>
      </c>
      <c r="P2086">
        <v>83.97</v>
      </c>
    </row>
    <row r="2087" spans="1:16" x14ac:dyDescent="0.25">
      <c r="A2087" t="s">
        <v>3296</v>
      </c>
      <c r="B2087" t="s">
        <v>2931</v>
      </c>
      <c r="C2087">
        <v>9120</v>
      </c>
      <c r="D2087" t="str">
        <f t="shared" si="65"/>
        <v xml:space="preserve">5013934     </v>
      </c>
      <c r="E2087" t="s">
        <v>8</v>
      </c>
      <c r="F2087" t="s">
        <v>11</v>
      </c>
      <c r="G2087">
        <v>152.13999999999999</v>
      </c>
      <c r="H2087">
        <v>250701</v>
      </c>
      <c r="I2087">
        <v>4841</v>
      </c>
      <c r="J2087" t="s">
        <v>9</v>
      </c>
      <c r="K2087">
        <v>14923</v>
      </c>
      <c r="L2087">
        <v>30.91</v>
      </c>
      <c r="M2087">
        <v>59501</v>
      </c>
      <c r="N2087" t="s">
        <v>62</v>
      </c>
      <c r="O2087">
        <v>250626</v>
      </c>
      <c r="P2087">
        <v>121.23</v>
      </c>
    </row>
    <row r="2088" spans="1:16" x14ac:dyDescent="0.25">
      <c r="A2088" t="s">
        <v>3296</v>
      </c>
      <c r="B2088" t="s">
        <v>2931</v>
      </c>
      <c r="C2088">
        <v>9120</v>
      </c>
      <c r="D2088" t="str">
        <f t="shared" si="65"/>
        <v xml:space="preserve">5013934     </v>
      </c>
      <c r="E2088" t="s">
        <v>8</v>
      </c>
      <c r="F2088" t="s">
        <v>11</v>
      </c>
      <c r="G2088">
        <v>415.38</v>
      </c>
      <c r="H2088">
        <v>250701</v>
      </c>
      <c r="I2088">
        <v>4841</v>
      </c>
      <c r="J2088" t="s">
        <v>9</v>
      </c>
      <c r="K2088">
        <v>14923</v>
      </c>
      <c r="L2088">
        <v>84.4</v>
      </c>
      <c r="M2088">
        <v>59502</v>
      </c>
      <c r="N2088" t="s">
        <v>63</v>
      </c>
      <c r="O2088">
        <v>250626</v>
      </c>
      <c r="P2088">
        <v>330.98</v>
      </c>
    </row>
    <row r="2089" spans="1:16" x14ac:dyDescent="0.25">
      <c r="A2089" t="s">
        <v>3296</v>
      </c>
      <c r="B2089" t="s">
        <v>2931</v>
      </c>
      <c r="C2089">
        <v>9120</v>
      </c>
      <c r="D2089" t="str">
        <f t="shared" si="65"/>
        <v xml:space="preserve">5013934     </v>
      </c>
      <c r="E2089" t="s">
        <v>8</v>
      </c>
      <c r="F2089" t="s">
        <v>11</v>
      </c>
      <c r="G2089">
        <v>237.99</v>
      </c>
      <c r="H2089">
        <v>250701</v>
      </c>
      <c r="I2089">
        <v>4841</v>
      </c>
      <c r="J2089" t="s">
        <v>9</v>
      </c>
      <c r="K2089">
        <v>14923</v>
      </c>
      <c r="L2089">
        <v>48.36</v>
      </c>
      <c r="M2089">
        <v>59701</v>
      </c>
      <c r="N2089" t="s">
        <v>64</v>
      </c>
      <c r="O2089">
        <v>250626</v>
      </c>
      <c r="P2089">
        <v>189.63</v>
      </c>
    </row>
    <row r="2090" spans="1:16" x14ac:dyDescent="0.25">
      <c r="A2090" t="s">
        <v>3296</v>
      </c>
      <c r="B2090" t="s">
        <v>2931</v>
      </c>
      <c r="C2090">
        <v>9120</v>
      </c>
      <c r="D2090" t="str">
        <f t="shared" si="65"/>
        <v xml:space="preserve">5013934     </v>
      </c>
      <c r="E2090" t="s">
        <v>8</v>
      </c>
      <c r="F2090" t="s">
        <v>11</v>
      </c>
      <c r="G2090">
        <v>789.69</v>
      </c>
      <c r="H2090">
        <v>250701</v>
      </c>
      <c r="I2090">
        <v>4841</v>
      </c>
      <c r="J2090" t="s">
        <v>9</v>
      </c>
      <c r="K2090">
        <v>14923</v>
      </c>
      <c r="L2090">
        <v>160.44999999999999</v>
      </c>
      <c r="M2090">
        <v>59702</v>
      </c>
      <c r="N2090" t="s">
        <v>45</v>
      </c>
      <c r="O2090">
        <v>250626</v>
      </c>
      <c r="P2090">
        <v>629.24</v>
      </c>
    </row>
    <row r="2091" spans="1:16" x14ac:dyDescent="0.25">
      <c r="A2091" t="s">
        <v>3296</v>
      </c>
      <c r="B2091" t="s">
        <v>2931</v>
      </c>
      <c r="C2091">
        <v>9120</v>
      </c>
      <c r="D2091" t="str">
        <f t="shared" si="65"/>
        <v xml:space="preserve">5013934     </v>
      </c>
      <c r="E2091" t="s">
        <v>8</v>
      </c>
      <c r="F2091" t="s">
        <v>11</v>
      </c>
      <c r="G2091">
        <v>126.86</v>
      </c>
      <c r="H2091">
        <v>250701</v>
      </c>
      <c r="I2091">
        <v>4841</v>
      </c>
      <c r="J2091" t="s">
        <v>9</v>
      </c>
      <c r="K2091">
        <v>14923</v>
      </c>
      <c r="L2091">
        <v>25.78</v>
      </c>
      <c r="M2091">
        <v>59704</v>
      </c>
      <c r="N2091" t="s">
        <v>46</v>
      </c>
      <c r="O2091">
        <v>250626</v>
      </c>
      <c r="P2091">
        <v>101.08</v>
      </c>
    </row>
    <row r="2092" spans="1:16" x14ac:dyDescent="0.25">
      <c r="A2092" t="s">
        <v>3296</v>
      </c>
      <c r="B2092" t="s">
        <v>2931</v>
      </c>
      <c r="C2092">
        <v>9120</v>
      </c>
      <c r="D2092" t="str">
        <f t="shared" si="65"/>
        <v xml:space="preserve">5013934     </v>
      </c>
      <c r="E2092" t="s">
        <v>8</v>
      </c>
      <c r="F2092" t="s">
        <v>11</v>
      </c>
      <c r="G2092">
        <v>158.86000000000001</v>
      </c>
      <c r="H2092">
        <v>250701</v>
      </c>
      <c r="I2092">
        <v>4841</v>
      </c>
      <c r="J2092" t="s">
        <v>9</v>
      </c>
      <c r="K2092">
        <v>14923</v>
      </c>
      <c r="L2092">
        <v>32.28</v>
      </c>
      <c r="M2092">
        <v>59705</v>
      </c>
      <c r="N2092" t="s">
        <v>47</v>
      </c>
      <c r="O2092">
        <v>250626</v>
      </c>
      <c r="P2092">
        <v>126.58</v>
      </c>
    </row>
    <row r="2093" spans="1:16" x14ac:dyDescent="0.25">
      <c r="A2093" t="s">
        <v>3296</v>
      </c>
      <c r="B2093" t="s">
        <v>2931</v>
      </c>
      <c r="C2093">
        <v>9131</v>
      </c>
      <c r="D2093" t="str">
        <f t="shared" ref="D2093:D2100" si="66">"5013917     "</f>
        <v xml:space="preserve">5013917     </v>
      </c>
      <c r="E2093" t="s">
        <v>8</v>
      </c>
      <c r="F2093" t="s">
        <v>11</v>
      </c>
      <c r="G2093">
        <v>1366.97</v>
      </c>
      <c r="H2093">
        <v>250701</v>
      </c>
      <c r="I2093">
        <v>4841</v>
      </c>
      <c r="J2093" t="s">
        <v>9</v>
      </c>
      <c r="K2093">
        <v>3123.19</v>
      </c>
      <c r="L2093">
        <v>277.75</v>
      </c>
      <c r="M2093">
        <v>53222</v>
      </c>
      <c r="N2093" t="s">
        <v>41</v>
      </c>
      <c r="O2093">
        <v>250627</v>
      </c>
      <c r="P2093">
        <v>1089.22</v>
      </c>
    </row>
    <row r="2094" spans="1:16" x14ac:dyDescent="0.25">
      <c r="A2094" t="s">
        <v>3296</v>
      </c>
      <c r="B2094" t="s">
        <v>2931</v>
      </c>
      <c r="C2094">
        <v>9131</v>
      </c>
      <c r="D2094" t="str">
        <f t="shared" si="66"/>
        <v xml:space="preserve">5013917     </v>
      </c>
      <c r="E2094" t="s">
        <v>8</v>
      </c>
      <c r="F2094" t="s">
        <v>11</v>
      </c>
      <c r="G2094">
        <v>693.14</v>
      </c>
      <c r="H2094">
        <v>250701</v>
      </c>
      <c r="I2094">
        <v>4841</v>
      </c>
      <c r="J2094" t="s">
        <v>9</v>
      </c>
      <c r="K2094">
        <v>3123.19</v>
      </c>
      <c r="L2094">
        <v>140.84</v>
      </c>
      <c r="M2094">
        <v>53222</v>
      </c>
      <c r="N2094" t="s">
        <v>41</v>
      </c>
      <c r="O2094">
        <v>250627</v>
      </c>
      <c r="P2094">
        <v>552.29999999999995</v>
      </c>
    </row>
    <row r="2095" spans="1:16" x14ac:dyDescent="0.25">
      <c r="A2095" t="s">
        <v>3296</v>
      </c>
      <c r="B2095" t="s">
        <v>2931</v>
      </c>
      <c r="C2095">
        <v>9131</v>
      </c>
      <c r="D2095" t="str">
        <f t="shared" si="66"/>
        <v xml:space="preserve">5013917     </v>
      </c>
      <c r="E2095" t="s">
        <v>8</v>
      </c>
      <c r="F2095" t="s">
        <v>11</v>
      </c>
      <c r="G2095">
        <v>284.66000000000003</v>
      </c>
      <c r="H2095">
        <v>250701</v>
      </c>
      <c r="I2095">
        <v>4841</v>
      </c>
      <c r="J2095" t="s">
        <v>9</v>
      </c>
      <c r="K2095">
        <v>3123.19</v>
      </c>
      <c r="L2095">
        <v>57.84</v>
      </c>
      <c r="M2095">
        <v>54622</v>
      </c>
      <c r="N2095" t="s">
        <v>42</v>
      </c>
      <c r="O2095">
        <v>250627</v>
      </c>
      <c r="P2095">
        <v>226.82</v>
      </c>
    </row>
    <row r="2096" spans="1:16" x14ac:dyDescent="0.25">
      <c r="A2096" t="s">
        <v>3296</v>
      </c>
      <c r="B2096" t="s">
        <v>2931</v>
      </c>
      <c r="C2096">
        <v>9131</v>
      </c>
      <c r="D2096" t="str">
        <f t="shared" si="66"/>
        <v xml:space="preserve">5013917     </v>
      </c>
      <c r="E2096" t="s">
        <v>8</v>
      </c>
      <c r="F2096" t="s">
        <v>11</v>
      </c>
      <c r="G2096">
        <v>500.32</v>
      </c>
      <c r="H2096">
        <v>250701</v>
      </c>
      <c r="I2096">
        <v>4841</v>
      </c>
      <c r="J2096" t="s">
        <v>9</v>
      </c>
      <c r="K2096">
        <v>3123.19</v>
      </c>
      <c r="L2096">
        <v>101.66</v>
      </c>
      <c r="M2096">
        <v>55222</v>
      </c>
      <c r="N2096" t="s">
        <v>43</v>
      </c>
      <c r="O2096">
        <v>250627</v>
      </c>
      <c r="P2096">
        <v>398.66</v>
      </c>
    </row>
    <row r="2097" spans="1:16" x14ac:dyDescent="0.25">
      <c r="A2097" t="s">
        <v>3296</v>
      </c>
      <c r="B2097" t="s">
        <v>2931</v>
      </c>
      <c r="C2097">
        <v>9131</v>
      </c>
      <c r="D2097" t="str">
        <f t="shared" si="66"/>
        <v xml:space="preserve">5013917     </v>
      </c>
      <c r="E2097" t="s">
        <v>8</v>
      </c>
      <c r="F2097" t="s">
        <v>11</v>
      </c>
      <c r="G2097">
        <v>67.34</v>
      </c>
      <c r="H2097">
        <v>250701</v>
      </c>
      <c r="I2097">
        <v>4841</v>
      </c>
      <c r="J2097" t="s">
        <v>9</v>
      </c>
      <c r="K2097">
        <v>3123.19</v>
      </c>
      <c r="L2097">
        <v>13.68</v>
      </c>
      <c r="M2097">
        <v>59112</v>
      </c>
      <c r="N2097" t="s">
        <v>44</v>
      </c>
      <c r="O2097">
        <v>250627</v>
      </c>
      <c r="P2097">
        <v>53.66</v>
      </c>
    </row>
    <row r="2098" spans="1:16" x14ac:dyDescent="0.25">
      <c r="A2098" t="s">
        <v>3296</v>
      </c>
      <c r="B2098" t="s">
        <v>2931</v>
      </c>
      <c r="C2098">
        <v>9131</v>
      </c>
      <c r="D2098" t="str">
        <f t="shared" si="66"/>
        <v xml:space="preserve">5013917     </v>
      </c>
      <c r="E2098" t="s">
        <v>8</v>
      </c>
      <c r="F2098" t="s">
        <v>11</v>
      </c>
      <c r="G2098">
        <v>67.64</v>
      </c>
      <c r="H2098">
        <v>250701</v>
      </c>
      <c r="I2098">
        <v>4841</v>
      </c>
      <c r="J2098" t="s">
        <v>9</v>
      </c>
      <c r="K2098">
        <v>3123.19</v>
      </c>
      <c r="L2098">
        <v>13.74</v>
      </c>
      <c r="M2098">
        <v>59702</v>
      </c>
      <c r="N2098" t="s">
        <v>45</v>
      </c>
      <c r="O2098">
        <v>250627</v>
      </c>
      <c r="P2098">
        <v>53.9</v>
      </c>
    </row>
    <row r="2099" spans="1:16" x14ac:dyDescent="0.25">
      <c r="A2099" t="s">
        <v>3296</v>
      </c>
      <c r="B2099" t="s">
        <v>2931</v>
      </c>
      <c r="C2099">
        <v>9131</v>
      </c>
      <c r="D2099" t="str">
        <f t="shared" si="66"/>
        <v xml:space="preserve">5013917     </v>
      </c>
      <c r="E2099" t="s">
        <v>8</v>
      </c>
      <c r="F2099" t="s">
        <v>11</v>
      </c>
      <c r="G2099">
        <v>130.77000000000001</v>
      </c>
      <c r="H2099">
        <v>250701</v>
      </c>
      <c r="I2099">
        <v>4841</v>
      </c>
      <c r="J2099" t="s">
        <v>9</v>
      </c>
      <c r="K2099">
        <v>3123.19</v>
      </c>
      <c r="L2099">
        <v>26.57</v>
      </c>
      <c r="M2099">
        <v>59704</v>
      </c>
      <c r="N2099" t="s">
        <v>46</v>
      </c>
      <c r="O2099">
        <v>250627</v>
      </c>
      <c r="P2099">
        <v>104.2</v>
      </c>
    </row>
    <row r="2100" spans="1:16" x14ac:dyDescent="0.25">
      <c r="A2100" t="s">
        <v>3296</v>
      </c>
      <c r="B2100" t="s">
        <v>2931</v>
      </c>
      <c r="C2100">
        <v>9131</v>
      </c>
      <c r="D2100" t="str">
        <f t="shared" si="66"/>
        <v xml:space="preserve">5013917     </v>
      </c>
      <c r="E2100" t="s">
        <v>8</v>
      </c>
      <c r="F2100" t="s">
        <v>11</v>
      </c>
      <c r="G2100">
        <v>12.35</v>
      </c>
      <c r="H2100">
        <v>250701</v>
      </c>
      <c r="I2100">
        <v>4841</v>
      </c>
      <c r="J2100" t="s">
        <v>9</v>
      </c>
      <c r="K2100">
        <v>3123.19</v>
      </c>
      <c r="L2100">
        <v>2.5099999999999998</v>
      </c>
      <c r="M2100">
        <v>59705</v>
      </c>
      <c r="N2100" t="s">
        <v>47</v>
      </c>
      <c r="O2100">
        <v>250627</v>
      </c>
      <c r="P2100">
        <v>9.84</v>
      </c>
    </row>
    <row r="2101" spans="1:16" x14ac:dyDescent="0.25">
      <c r="A2101" t="s">
        <v>3296</v>
      </c>
      <c r="B2101" t="s">
        <v>2931</v>
      </c>
      <c r="C2101">
        <v>9134</v>
      </c>
      <c r="D2101" t="str">
        <f t="shared" ref="D2101:D2106" si="67">"5013941     "</f>
        <v xml:space="preserve">5013941     </v>
      </c>
      <c r="E2101" t="s">
        <v>8</v>
      </c>
      <c r="F2101" t="s">
        <v>11</v>
      </c>
      <c r="G2101">
        <v>4252.9399999999996</v>
      </c>
      <c r="H2101">
        <v>250701</v>
      </c>
      <c r="I2101">
        <v>4841</v>
      </c>
      <c r="J2101" t="s">
        <v>9</v>
      </c>
      <c r="K2101">
        <v>6311.96</v>
      </c>
      <c r="L2101">
        <v>864.14</v>
      </c>
      <c r="M2101">
        <v>61122</v>
      </c>
      <c r="N2101" t="s">
        <v>86</v>
      </c>
      <c r="O2101">
        <v>250627</v>
      </c>
      <c r="P2101">
        <v>3388.8</v>
      </c>
    </row>
    <row r="2102" spans="1:16" x14ac:dyDescent="0.25">
      <c r="A2102" t="s">
        <v>3296</v>
      </c>
      <c r="B2102" t="s">
        <v>2931</v>
      </c>
      <c r="C2102">
        <v>9134</v>
      </c>
      <c r="D2102" t="str">
        <f t="shared" si="67"/>
        <v xml:space="preserve">5013941     </v>
      </c>
      <c r="E2102" t="s">
        <v>8</v>
      </c>
      <c r="F2102" t="s">
        <v>11</v>
      </c>
      <c r="G2102">
        <v>79.23</v>
      </c>
      <c r="H2102">
        <v>250701</v>
      </c>
      <c r="I2102">
        <v>4841</v>
      </c>
      <c r="J2102" t="s">
        <v>9</v>
      </c>
      <c r="K2102">
        <v>6311.96</v>
      </c>
      <c r="L2102">
        <v>16.100000000000001</v>
      </c>
      <c r="M2102">
        <v>61122</v>
      </c>
      <c r="N2102" t="s">
        <v>86</v>
      </c>
      <c r="O2102">
        <v>250627</v>
      </c>
      <c r="P2102">
        <v>63.13</v>
      </c>
    </row>
    <row r="2103" spans="1:16" x14ac:dyDescent="0.25">
      <c r="A2103" t="s">
        <v>3296</v>
      </c>
      <c r="B2103" t="s">
        <v>2931</v>
      </c>
      <c r="C2103">
        <v>9134</v>
      </c>
      <c r="D2103" t="str">
        <f t="shared" si="67"/>
        <v xml:space="preserve">5013941     </v>
      </c>
      <c r="E2103" t="s">
        <v>8</v>
      </c>
      <c r="F2103" t="s">
        <v>11</v>
      </c>
      <c r="G2103">
        <v>1686.09</v>
      </c>
      <c r="H2103">
        <v>250701</v>
      </c>
      <c r="I2103">
        <v>4841</v>
      </c>
      <c r="J2103" t="s">
        <v>9</v>
      </c>
      <c r="K2103">
        <v>6311.96</v>
      </c>
      <c r="L2103">
        <v>342.59</v>
      </c>
      <c r="M2103">
        <v>65222</v>
      </c>
      <c r="N2103" t="s">
        <v>87</v>
      </c>
      <c r="O2103">
        <v>250627</v>
      </c>
      <c r="P2103">
        <v>1343.5</v>
      </c>
    </row>
    <row r="2104" spans="1:16" x14ac:dyDescent="0.25">
      <c r="A2104" t="s">
        <v>3296</v>
      </c>
      <c r="B2104" t="s">
        <v>2931</v>
      </c>
      <c r="C2104">
        <v>9134</v>
      </c>
      <c r="D2104" t="str">
        <f t="shared" si="67"/>
        <v xml:space="preserve">5013941     </v>
      </c>
      <c r="E2104" t="s">
        <v>8</v>
      </c>
      <c r="F2104" t="s">
        <v>11</v>
      </c>
      <c r="G2104">
        <v>111.71</v>
      </c>
      <c r="H2104">
        <v>250701</v>
      </c>
      <c r="I2104">
        <v>4841</v>
      </c>
      <c r="J2104" t="s">
        <v>9</v>
      </c>
      <c r="K2104">
        <v>6311.96</v>
      </c>
      <c r="L2104">
        <v>22.7</v>
      </c>
      <c r="M2104">
        <v>69703</v>
      </c>
      <c r="N2104" t="s">
        <v>88</v>
      </c>
      <c r="O2104">
        <v>250627</v>
      </c>
      <c r="P2104">
        <v>89.01</v>
      </c>
    </row>
    <row r="2105" spans="1:16" x14ac:dyDescent="0.25">
      <c r="A2105" t="s">
        <v>3296</v>
      </c>
      <c r="B2105" t="s">
        <v>2931</v>
      </c>
      <c r="C2105">
        <v>9134</v>
      </c>
      <c r="D2105" t="str">
        <f t="shared" si="67"/>
        <v xml:space="preserve">5013941     </v>
      </c>
      <c r="E2105" t="s">
        <v>8</v>
      </c>
      <c r="F2105" t="s">
        <v>11</v>
      </c>
      <c r="G2105">
        <v>169.55</v>
      </c>
      <c r="H2105">
        <v>250701</v>
      </c>
      <c r="I2105">
        <v>4841</v>
      </c>
      <c r="J2105" t="s">
        <v>9</v>
      </c>
      <c r="K2105">
        <v>6311.96</v>
      </c>
      <c r="L2105">
        <v>34.450000000000003</v>
      </c>
      <c r="M2105">
        <v>69704</v>
      </c>
      <c r="N2105" t="s">
        <v>89</v>
      </c>
      <c r="O2105">
        <v>250627</v>
      </c>
      <c r="P2105">
        <v>135.1</v>
      </c>
    </row>
    <row r="2106" spans="1:16" x14ac:dyDescent="0.25">
      <c r="A2106" t="s">
        <v>3296</v>
      </c>
      <c r="B2106" t="s">
        <v>2931</v>
      </c>
      <c r="C2106">
        <v>9134</v>
      </c>
      <c r="D2106" t="str">
        <f t="shared" si="67"/>
        <v xml:space="preserve">5013941     </v>
      </c>
      <c r="E2106" t="s">
        <v>8</v>
      </c>
      <c r="F2106" t="s">
        <v>11</v>
      </c>
      <c r="G2106">
        <v>12.44</v>
      </c>
      <c r="H2106">
        <v>250701</v>
      </c>
      <c r="I2106">
        <v>4841</v>
      </c>
      <c r="J2106" t="s">
        <v>9</v>
      </c>
      <c r="K2106">
        <v>6311.96</v>
      </c>
      <c r="L2106">
        <v>2.5299999999999998</v>
      </c>
      <c r="M2106">
        <v>69707</v>
      </c>
      <c r="N2106" t="s">
        <v>90</v>
      </c>
      <c r="O2106">
        <v>250627</v>
      </c>
      <c r="P2106">
        <v>9.91</v>
      </c>
    </row>
    <row r="2107" spans="1:16" x14ac:dyDescent="0.25">
      <c r="A2107" t="s">
        <v>3296</v>
      </c>
      <c r="B2107" t="s">
        <v>2931</v>
      </c>
      <c r="C2107">
        <v>9139</v>
      </c>
      <c r="D2107" t="str">
        <f>"5013931     "</f>
        <v xml:space="preserve">5013931     </v>
      </c>
      <c r="E2107" t="s">
        <v>8</v>
      </c>
      <c r="F2107" t="s">
        <v>11</v>
      </c>
      <c r="G2107">
        <v>185.07</v>
      </c>
      <c r="H2107">
        <v>250701</v>
      </c>
      <c r="I2107">
        <v>4841</v>
      </c>
      <c r="J2107" t="s">
        <v>9</v>
      </c>
      <c r="K2107">
        <v>3329.99</v>
      </c>
      <c r="L2107">
        <v>37.6</v>
      </c>
      <c r="M2107">
        <v>56522</v>
      </c>
      <c r="N2107" t="s">
        <v>68</v>
      </c>
      <c r="O2107">
        <v>250627</v>
      </c>
      <c r="P2107">
        <v>147.47</v>
      </c>
    </row>
    <row r="2108" spans="1:16" x14ac:dyDescent="0.25">
      <c r="A2108" t="s">
        <v>3296</v>
      </c>
      <c r="B2108" t="s">
        <v>2931</v>
      </c>
      <c r="C2108">
        <v>9139</v>
      </c>
      <c r="D2108" t="str">
        <f>"5013931     "</f>
        <v xml:space="preserve">5013931     </v>
      </c>
      <c r="E2108" t="s">
        <v>8</v>
      </c>
      <c r="F2108" t="s">
        <v>11</v>
      </c>
      <c r="G2108">
        <v>2639.34</v>
      </c>
      <c r="H2108">
        <v>250701</v>
      </c>
      <c r="I2108">
        <v>4841</v>
      </c>
      <c r="J2108" t="s">
        <v>9</v>
      </c>
      <c r="K2108">
        <v>3329.99</v>
      </c>
      <c r="L2108">
        <v>536.28</v>
      </c>
      <c r="M2108">
        <v>56524</v>
      </c>
      <c r="N2108" t="s">
        <v>69</v>
      </c>
      <c r="O2108">
        <v>250627</v>
      </c>
      <c r="P2108">
        <v>2103.06</v>
      </c>
    </row>
    <row r="2109" spans="1:16" x14ac:dyDescent="0.25">
      <c r="A2109" t="s">
        <v>3296</v>
      </c>
      <c r="B2109" t="s">
        <v>2931</v>
      </c>
      <c r="C2109">
        <v>9139</v>
      </c>
      <c r="D2109" t="str">
        <f>"5013931     "</f>
        <v xml:space="preserve">5013931     </v>
      </c>
      <c r="E2109" t="s">
        <v>8</v>
      </c>
      <c r="F2109" t="s">
        <v>11</v>
      </c>
      <c r="G2109">
        <v>505.58</v>
      </c>
      <c r="H2109">
        <v>250701</v>
      </c>
      <c r="I2109">
        <v>4841</v>
      </c>
      <c r="J2109" t="s">
        <v>9</v>
      </c>
      <c r="K2109">
        <v>3329.99</v>
      </c>
      <c r="L2109">
        <v>102.73</v>
      </c>
      <c r="M2109">
        <v>56528</v>
      </c>
      <c r="N2109" t="s">
        <v>70</v>
      </c>
      <c r="O2109">
        <v>250627</v>
      </c>
      <c r="P2109">
        <v>402.85</v>
      </c>
    </row>
    <row r="2110" spans="1:16" x14ac:dyDescent="0.25">
      <c r="A2110" t="s">
        <v>3296</v>
      </c>
      <c r="B2110" t="s">
        <v>2931</v>
      </c>
      <c r="C2110">
        <v>9344</v>
      </c>
      <c r="D2110" t="str">
        <f>"5013926     "</f>
        <v xml:space="preserve">5013926     </v>
      </c>
      <c r="E2110" t="s">
        <v>8</v>
      </c>
      <c r="F2110" t="s">
        <v>11</v>
      </c>
      <c r="G2110">
        <v>5474.42</v>
      </c>
      <c r="H2110">
        <v>250701</v>
      </c>
      <c r="I2110">
        <v>4841</v>
      </c>
      <c r="J2110" t="s">
        <v>9</v>
      </c>
      <c r="K2110">
        <v>5738.3</v>
      </c>
      <c r="L2110">
        <v>1112.33</v>
      </c>
      <c r="M2110">
        <v>13401</v>
      </c>
      <c r="N2110" t="s">
        <v>10</v>
      </c>
      <c r="O2110">
        <v>250704</v>
      </c>
      <c r="P2110">
        <v>4362.09</v>
      </c>
    </row>
    <row r="2111" spans="1:16" x14ac:dyDescent="0.25">
      <c r="A2111" t="s">
        <v>3296</v>
      </c>
      <c r="B2111" t="s">
        <v>2931</v>
      </c>
      <c r="C2111">
        <v>9344</v>
      </c>
      <c r="D2111" t="str">
        <f>"5013926     "</f>
        <v xml:space="preserve">5013926     </v>
      </c>
      <c r="E2111" t="s">
        <v>8</v>
      </c>
      <c r="F2111" t="s">
        <v>11</v>
      </c>
      <c r="G2111">
        <v>179.85</v>
      </c>
      <c r="H2111">
        <v>250701</v>
      </c>
      <c r="I2111">
        <v>4841</v>
      </c>
      <c r="J2111" t="s">
        <v>9</v>
      </c>
      <c r="K2111">
        <v>5738.3</v>
      </c>
      <c r="L2111">
        <v>36.54</v>
      </c>
      <c r="M2111">
        <v>13401</v>
      </c>
      <c r="N2111" t="s">
        <v>10</v>
      </c>
      <c r="O2111">
        <v>250704</v>
      </c>
      <c r="P2111">
        <v>143.31</v>
      </c>
    </row>
    <row r="2112" spans="1:16" x14ac:dyDescent="0.25">
      <c r="A2112" t="s">
        <v>3296</v>
      </c>
      <c r="B2112" t="s">
        <v>2931</v>
      </c>
      <c r="C2112">
        <v>9344</v>
      </c>
      <c r="D2112" t="str">
        <f>"5013926     "</f>
        <v xml:space="preserve">5013926     </v>
      </c>
      <c r="E2112" t="s">
        <v>8</v>
      </c>
      <c r="F2112" t="s">
        <v>11</v>
      </c>
      <c r="G2112">
        <v>84.03</v>
      </c>
      <c r="H2112">
        <v>250701</v>
      </c>
      <c r="I2112">
        <v>4841</v>
      </c>
      <c r="J2112" t="s">
        <v>9</v>
      </c>
      <c r="K2112">
        <v>5738.3</v>
      </c>
      <c r="L2112">
        <v>17.07</v>
      </c>
      <c r="M2112">
        <v>13401</v>
      </c>
      <c r="N2112" t="s">
        <v>10</v>
      </c>
      <c r="O2112">
        <v>250704</v>
      </c>
      <c r="P2112">
        <v>66.959999999999994</v>
      </c>
    </row>
    <row r="2113" spans="1:16" x14ac:dyDescent="0.25">
      <c r="A2113" t="s">
        <v>3296</v>
      </c>
      <c r="B2113" t="s">
        <v>2931</v>
      </c>
      <c r="C2113">
        <v>9479</v>
      </c>
      <c r="D2113" t="str">
        <f t="shared" ref="D2113:D2124" si="68">"5013942     "</f>
        <v xml:space="preserve">5013942     </v>
      </c>
      <c r="E2113" t="s">
        <v>8</v>
      </c>
      <c r="F2113" t="s">
        <v>11</v>
      </c>
      <c r="G2113">
        <v>310.97000000000003</v>
      </c>
      <c r="H2113">
        <v>250701</v>
      </c>
      <c r="I2113">
        <v>4841</v>
      </c>
      <c r="J2113" t="s">
        <v>9</v>
      </c>
      <c r="K2113">
        <v>5423.88</v>
      </c>
      <c r="L2113">
        <v>63.19</v>
      </c>
      <c r="M2113">
        <v>11301</v>
      </c>
      <c r="N2113" t="s">
        <v>92</v>
      </c>
      <c r="O2113">
        <v>250708</v>
      </c>
      <c r="P2113">
        <v>247.78</v>
      </c>
    </row>
    <row r="2114" spans="1:16" x14ac:dyDescent="0.25">
      <c r="A2114" t="s">
        <v>3296</v>
      </c>
      <c r="B2114" t="s">
        <v>2931</v>
      </c>
      <c r="C2114">
        <v>9479</v>
      </c>
      <c r="D2114" t="str">
        <f t="shared" si="68"/>
        <v xml:space="preserve">5013942     </v>
      </c>
      <c r="E2114" t="s">
        <v>8</v>
      </c>
      <c r="F2114" t="s">
        <v>11</v>
      </c>
      <c r="G2114">
        <v>69.739999999999995</v>
      </c>
      <c r="H2114">
        <v>250701</v>
      </c>
      <c r="I2114">
        <v>4841</v>
      </c>
      <c r="J2114" t="s">
        <v>9</v>
      </c>
      <c r="K2114">
        <v>5423.88</v>
      </c>
      <c r="L2114">
        <v>14.17</v>
      </c>
      <c r="M2114">
        <v>65422</v>
      </c>
      <c r="N2114" t="s">
        <v>117</v>
      </c>
      <c r="O2114">
        <v>250708</v>
      </c>
      <c r="P2114">
        <v>55.57</v>
      </c>
    </row>
    <row r="2115" spans="1:16" x14ac:dyDescent="0.25">
      <c r="A2115" t="s">
        <v>3296</v>
      </c>
      <c r="B2115" t="s">
        <v>2931</v>
      </c>
      <c r="C2115">
        <v>9479</v>
      </c>
      <c r="D2115" t="str">
        <f t="shared" si="68"/>
        <v xml:space="preserve">5013942     </v>
      </c>
      <c r="E2115" t="s">
        <v>8</v>
      </c>
      <c r="F2115" t="s">
        <v>11</v>
      </c>
      <c r="G2115">
        <v>57.94</v>
      </c>
      <c r="H2115">
        <v>250701</v>
      </c>
      <c r="I2115">
        <v>4841</v>
      </c>
      <c r="J2115" t="s">
        <v>9</v>
      </c>
      <c r="K2115">
        <v>5423.88</v>
      </c>
      <c r="L2115">
        <v>11.77</v>
      </c>
      <c r="M2115">
        <v>66722</v>
      </c>
      <c r="N2115" t="s">
        <v>118</v>
      </c>
      <c r="O2115">
        <v>250708</v>
      </c>
      <c r="P2115">
        <v>46.17</v>
      </c>
    </row>
    <row r="2116" spans="1:16" x14ac:dyDescent="0.25">
      <c r="A2116" t="s">
        <v>3296</v>
      </c>
      <c r="B2116" t="s">
        <v>2931</v>
      </c>
      <c r="C2116">
        <v>9479</v>
      </c>
      <c r="D2116" t="str">
        <f t="shared" si="68"/>
        <v xml:space="preserve">5013942     </v>
      </c>
      <c r="E2116" t="s">
        <v>8</v>
      </c>
      <c r="F2116" t="s">
        <v>11</v>
      </c>
      <c r="G2116">
        <v>20.77</v>
      </c>
      <c r="H2116">
        <v>250701</v>
      </c>
      <c r="I2116">
        <v>4841</v>
      </c>
      <c r="J2116" t="s">
        <v>9</v>
      </c>
      <c r="K2116">
        <v>5423.88</v>
      </c>
      <c r="L2116">
        <v>4.22</v>
      </c>
      <c r="M2116">
        <v>66754</v>
      </c>
      <c r="N2116" t="s">
        <v>119</v>
      </c>
      <c r="O2116">
        <v>250708</v>
      </c>
      <c r="P2116">
        <v>16.55</v>
      </c>
    </row>
    <row r="2117" spans="1:16" x14ac:dyDescent="0.25">
      <c r="A2117" t="s">
        <v>3296</v>
      </c>
      <c r="B2117" t="s">
        <v>2931</v>
      </c>
      <c r="C2117">
        <v>9479</v>
      </c>
      <c r="D2117" t="str">
        <f t="shared" si="68"/>
        <v xml:space="preserve">5013942     </v>
      </c>
      <c r="E2117" t="s">
        <v>8</v>
      </c>
      <c r="F2117" t="s">
        <v>11</v>
      </c>
      <c r="G2117">
        <v>58.85</v>
      </c>
      <c r="H2117">
        <v>250701</v>
      </c>
      <c r="I2117">
        <v>4841</v>
      </c>
      <c r="J2117" t="s">
        <v>9</v>
      </c>
      <c r="K2117">
        <v>5423.88</v>
      </c>
      <c r="L2117">
        <v>11.96</v>
      </c>
      <c r="M2117">
        <v>66754</v>
      </c>
      <c r="N2117" t="s">
        <v>119</v>
      </c>
      <c r="O2117">
        <v>250708</v>
      </c>
      <c r="P2117">
        <v>46.89</v>
      </c>
    </row>
    <row r="2118" spans="1:16" x14ac:dyDescent="0.25">
      <c r="A2118" t="s">
        <v>3296</v>
      </c>
      <c r="B2118" t="s">
        <v>2931</v>
      </c>
      <c r="C2118">
        <v>9479</v>
      </c>
      <c r="D2118" t="str">
        <f t="shared" si="68"/>
        <v xml:space="preserve">5013942     </v>
      </c>
      <c r="E2118" t="s">
        <v>8</v>
      </c>
      <c r="F2118" t="s">
        <v>11</v>
      </c>
      <c r="G2118">
        <v>42.51</v>
      </c>
      <c r="H2118">
        <v>250701</v>
      </c>
      <c r="I2118">
        <v>4841</v>
      </c>
      <c r="J2118" t="s">
        <v>9</v>
      </c>
      <c r="K2118">
        <v>5423.88</v>
      </c>
      <c r="L2118">
        <v>8.64</v>
      </c>
      <c r="M2118">
        <v>66756</v>
      </c>
      <c r="N2118" t="s">
        <v>120</v>
      </c>
      <c r="O2118">
        <v>250708</v>
      </c>
      <c r="P2118">
        <v>33.869999999999997</v>
      </c>
    </row>
    <row r="2119" spans="1:16" x14ac:dyDescent="0.25">
      <c r="A2119" t="s">
        <v>3296</v>
      </c>
      <c r="B2119" t="s">
        <v>2931</v>
      </c>
      <c r="C2119">
        <v>9479</v>
      </c>
      <c r="D2119" t="str">
        <f t="shared" si="68"/>
        <v xml:space="preserve">5013942     </v>
      </c>
      <c r="E2119" t="s">
        <v>8</v>
      </c>
      <c r="F2119" t="s">
        <v>11</v>
      </c>
      <c r="G2119">
        <v>110.49</v>
      </c>
      <c r="H2119">
        <v>250701</v>
      </c>
      <c r="I2119">
        <v>4841</v>
      </c>
      <c r="J2119" t="s">
        <v>9</v>
      </c>
      <c r="K2119">
        <v>5423.88</v>
      </c>
      <c r="L2119">
        <v>22.45</v>
      </c>
      <c r="M2119">
        <v>67522</v>
      </c>
      <c r="N2119" t="s">
        <v>121</v>
      </c>
      <c r="O2119">
        <v>250708</v>
      </c>
      <c r="P2119">
        <v>88.04</v>
      </c>
    </row>
    <row r="2120" spans="1:16" x14ac:dyDescent="0.25">
      <c r="A2120" t="s">
        <v>3296</v>
      </c>
      <c r="B2120" t="s">
        <v>2931</v>
      </c>
      <c r="C2120">
        <v>9479</v>
      </c>
      <c r="D2120" t="str">
        <f t="shared" si="68"/>
        <v xml:space="preserve">5013942     </v>
      </c>
      <c r="E2120" t="s">
        <v>8</v>
      </c>
      <c r="F2120" t="s">
        <v>11</v>
      </c>
      <c r="G2120">
        <v>12.46</v>
      </c>
      <c r="H2120">
        <v>250701</v>
      </c>
      <c r="I2120">
        <v>4841</v>
      </c>
      <c r="J2120" t="s">
        <v>9</v>
      </c>
      <c r="K2120">
        <v>5423.88</v>
      </c>
      <c r="L2120">
        <v>2.5299999999999998</v>
      </c>
      <c r="M2120">
        <v>67522</v>
      </c>
      <c r="N2120" t="s">
        <v>121</v>
      </c>
      <c r="O2120">
        <v>250708</v>
      </c>
      <c r="P2120">
        <v>9.93</v>
      </c>
    </row>
    <row r="2121" spans="1:16" x14ac:dyDescent="0.25">
      <c r="A2121" t="s">
        <v>3296</v>
      </c>
      <c r="B2121" t="s">
        <v>2931</v>
      </c>
      <c r="C2121">
        <v>9479</v>
      </c>
      <c r="D2121" t="str">
        <f t="shared" si="68"/>
        <v xml:space="preserve">5013942     </v>
      </c>
      <c r="E2121" t="s">
        <v>8</v>
      </c>
      <c r="F2121" t="s">
        <v>11</v>
      </c>
      <c r="G2121">
        <v>46.9</v>
      </c>
      <c r="H2121">
        <v>250701</v>
      </c>
      <c r="I2121">
        <v>4841</v>
      </c>
      <c r="J2121" t="s">
        <v>9</v>
      </c>
      <c r="K2121">
        <v>5423.88</v>
      </c>
      <c r="L2121">
        <v>9.5299999999999994</v>
      </c>
      <c r="M2121">
        <v>69113</v>
      </c>
      <c r="N2121" t="s">
        <v>122</v>
      </c>
      <c r="O2121">
        <v>250708</v>
      </c>
      <c r="P2121">
        <v>37.369999999999997</v>
      </c>
    </row>
    <row r="2122" spans="1:16" x14ac:dyDescent="0.25">
      <c r="A2122" t="s">
        <v>3296</v>
      </c>
      <c r="B2122" t="s">
        <v>2931</v>
      </c>
      <c r="C2122">
        <v>9479</v>
      </c>
      <c r="D2122" t="str">
        <f t="shared" si="68"/>
        <v xml:space="preserve">5013942     </v>
      </c>
      <c r="E2122" t="s">
        <v>8</v>
      </c>
      <c r="F2122" t="s">
        <v>11</v>
      </c>
      <c r="G2122">
        <v>97.25</v>
      </c>
      <c r="H2122">
        <v>250701</v>
      </c>
      <c r="I2122">
        <v>4841</v>
      </c>
      <c r="J2122" t="s">
        <v>9</v>
      </c>
      <c r="K2122">
        <v>5423.88</v>
      </c>
      <c r="L2122">
        <v>19.760000000000002</v>
      </c>
      <c r="M2122">
        <v>69501</v>
      </c>
      <c r="N2122" t="s">
        <v>123</v>
      </c>
      <c r="O2122">
        <v>250708</v>
      </c>
      <c r="P2122">
        <v>77.489999999999995</v>
      </c>
    </row>
    <row r="2123" spans="1:16" x14ac:dyDescent="0.25">
      <c r="A2123" t="s">
        <v>3296</v>
      </c>
      <c r="B2123" t="s">
        <v>2931</v>
      </c>
      <c r="C2123">
        <v>9479</v>
      </c>
      <c r="D2123" t="str">
        <f t="shared" si="68"/>
        <v xml:space="preserve">5013942     </v>
      </c>
      <c r="E2123" t="s">
        <v>8</v>
      </c>
      <c r="F2123" t="s">
        <v>11</v>
      </c>
      <c r="G2123">
        <v>4462.93</v>
      </c>
      <c r="H2123">
        <v>250701</v>
      </c>
      <c r="I2123">
        <v>4841</v>
      </c>
      <c r="J2123" t="s">
        <v>9</v>
      </c>
      <c r="K2123">
        <v>5423.88</v>
      </c>
      <c r="L2123">
        <v>906.81</v>
      </c>
      <c r="M2123">
        <v>69702</v>
      </c>
      <c r="N2123" t="s">
        <v>124</v>
      </c>
      <c r="O2123">
        <v>250708</v>
      </c>
      <c r="P2123">
        <v>3556.12</v>
      </c>
    </row>
    <row r="2124" spans="1:16" x14ac:dyDescent="0.25">
      <c r="A2124" t="s">
        <v>3296</v>
      </c>
      <c r="B2124" t="s">
        <v>2931</v>
      </c>
      <c r="C2124">
        <v>9479</v>
      </c>
      <c r="D2124" t="str">
        <f t="shared" si="68"/>
        <v xml:space="preserve">5013942     </v>
      </c>
      <c r="E2124" t="s">
        <v>8</v>
      </c>
      <c r="F2124" t="s">
        <v>11</v>
      </c>
      <c r="G2124">
        <v>133.07</v>
      </c>
      <c r="H2124">
        <v>250701</v>
      </c>
      <c r="I2124">
        <v>4841</v>
      </c>
      <c r="J2124" t="s">
        <v>9</v>
      </c>
      <c r="K2124">
        <v>5423.88</v>
      </c>
      <c r="L2124">
        <v>27.04</v>
      </c>
      <c r="M2124">
        <v>69708</v>
      </c>
      <c r="N2124" t="s">
        <v>125</v>
      </c>
      <c r="O2124">
        <v>250708</v>
      </c>
      <c r="P2124">
        <v>106.03</v>
      </c>
    </row>
    <row r="2125" spans="1:16" x14ac:dyDescent="0.25">
      <c r="A2125" t="s">
        <v>3296</v>
      </c>
      <c r="B2125" t="s">
        <v>2931</v>
      </c>
      <c r="C2125">
        <v>11933</v>
      </c>
      <c r="D2125" t="str">
        <f>"5016474     "</f>
        <v xml:space="preserve">5016474     </v>
      </c>
      <c r="E2125" t="s">
        <v>8</v>
      </c>
      <c r="F2125" t="s">
        <v>11</v>
      </c>
      <c r="G2125">
        <v>68.8</v>
      </c>
      <c r="H2125">
        <v>251001</v>
      </c>
      <c r="I2125">
        <v>4841</v>
      </c>
      <c r="J2125" t="s">
        <v>9</v>
      </c>
      <c r="K2125">
        <v>209.41</v>
      </c>
      <c r="L2125">
        <v>13.98</v>
      </c>
      <c r="M2125">
        <v>17808</v>
      </c>
      <c r="N2125" t="s">
        <v>24</v>
      </c>
      <c r="O2125">
        <v>250912</v>
      </c>
      <c r="P2125">
        <v>54.82</v>
      </c>
    </row>
    <row r="2126" spans="1:16" x14ac:dyDescent="0.25">
      <c r="A2126" t="s">
        <v>3296</v>
      </c>
      <c r="B2126" t="s">
        <v>2931</v>
      </c>
      <c r="C2126">
        <v>11933</v>
      </c>
      <c r="D2126" t="str">
        <f>"5016474     "</f>
        <v xml:space="preserve">5016474     </v>
      </c>
      <c r="E2126" t="s">
        <v>8</v>
      </c>
      <c r="F2126" t="s">
        <v>11</v>
      </c>
      <c r="G2126">
        <v>60.03</v>
      </c>
      <c r="H2126">
        <v>251001</v>
      </c>
      <c r="I2126">
        <v>4841</v>
      </c>
      <c r="J2126" t="s">
        <v>9</v>
      </c>
      <c r="K2126">
        <v>209.41</v>
      </c>
      <c r="L2126">
        <v>12.2</v>
      </c>
      <c r="M2126">
        <v>17951</v>
      </c>
      <c r="N2126" t="s">
        <v>207</v>
      </c>
      <c r="O2126">
        <v>250912</v>
      </c>
      <c r="P2126">
        <v>47.83</v>
      </c>
    </row>
    <row r="2127" spans="1:16" x14ac:dyDescent="0.25">
      <c r="A2127" t="s">
        <v>3296</v>
      </c>
      <c r="B2127" t="s">
        <v>2931</v>
      </c>
      <c r="C2127">
        <v>11933</v>
      </c>
      <c r="D2127" t="str">
        <f>"5016474     "</f>
        <v xml:space="preserve">5016474     </v>
      </c>
      <c r="E2127" t="s">
        <v>8</v>
      </c>
      <c r="F2127" t="s">
        <v>11</v>
      </c>
      <c r="G2127">
        <v>80.58</v>
      </c>
      <c r="H2127">
        <v>251001</v>
      </c>
      <c r="I2127">
        <v>4841</v>
      </c>
      <c r="J2127" t="s">
        <v>9</v>
      </c>
      <c r="K2127">
        <v>209.41</v>
      </c>
      <c r="L2127">
        <v>16.37</v>
      </c>
      <c r="M2127">
        <v>17972</v>
      </c>
      <c r="N2127" t="s">
        <v>28</v>
      </c>
      <c r="O2127">
        <v>250912</v>
      </c>
      <c r="P2127">
        <v>64.209999999999994</v>
      </c>
    </row>
    <row r="2128" spans="1:16" x14ac:dyDescent="0.25">
      <c r="A2128" t="s">
        <v>3296</v>
      </c>
      <c r="B2128" t="s">
        <v>2931</v>
      </c>
      <c r="C2128">
        <v>11934</v>
      </c>
      <c r="D2128" t="str">
        <f>"5016480     "</f>
        <v xml:space="preserve">5016480     </v>
      </c>
      <c r="E2128" t="s">
        <v>8</v>
      </c>
      <c r="F2128" t="s">
        <v>11</v>
      </c>
      <c r="G2128">
        <v>1826.22</v>
      </c>
      <c r="H2128">
        <v>251001</v>
      </c>
      <c r="I2128">
        <v>4841</v>
      </c>
      <c r="J2128" t="s">
        <v>9</v>
      </c>
      <c r="K2128">
        <v>2384.88</v>
      </c>
      <c r="L2128">
        <v>371.06</v>
      </c>
      <c r="M2128">
        <v>13801</v>
      </c>
      <c r="N2128" t="s">
        <v>33</v>
      </c>
      <c r="O2128">
        <v>250912</v>
      </c>
      <c r="P2128">
        <v>1455.16</v>
      </c>
    </row>
    <row r="2129" spans="1:16" x14ac:dyDescent="0.25">
      <c r="A2129" t="s">
        <v>3296</v>
      </c>
      <c r="B2129" t="s">
        <v>2931</v>
      </c>
      <c r="C2129">
        <v>11934</v>
      </c>
      <c r="D2129" t="str">
        <f>"5016480     "</f>
        <v xml:space="preserve">5016480     </v>
      </c>
      <c r="E2129" t="s">
        <v>8</v>
      </c>
      <c r="F2129" t="s">
        <v>11</v>
      </c>
      <c r="G2129">
        <v>408.97</v>
      </c>
      <c r="H2129">
        <v>251001</v>
      </c>
      <c r="I2129">
        <v>4841</v>
      </c>
      <c r="J2129" t="s">
        <v>9</v>
      </c>
      <c r="K2129">
        <v>2384.88</v>
      </c>
      <c r="L2129">
        <v>83.1</v>
      </c>
      <c r="M2129">
        <v>13801</v>
      </c>
      <c r="N2129" t="s">
        <v>33</v>
      </c>
      <c r="O2129">
        <v>250912</v>
      </c>
      <c r="P2129">
        <v>325.87</v>
      </c>
    </row>
    <row r="2130" spans="1:16" x14ac:dyDescent="0.25">
      <c r="A2130" t="s">
        <v>3296</v>
      </c>
      <c r="B2130" t="s">
        <v>2931</v>
      </c>
      <c r="C2130">
        <v>11934</v>
      </c>
      <c r="D2130" t="str">
        <f>"5016480     "</f>
        <v xml:space="preserve">5016480     </v>
      </c>
      <c r="E2130" t="s">
        <v>8</v>
      </c>
      <c r="F2130" t="s">
        <v>11</v>
      </c>
      <c r="G2130">
        <v>149.69</v>
      </c>
      <c r="H2130">
        <v>251001</v>
      </c>
      <c r="I2130">
        <v>4841</v>
      </c>
      <c r="J2130" t="s">
        <v>9</v>
      </c>
      <c r="K2130">
        <v>2384.88</v>
      </c>
      <c r="L2130">
        <v>30.42</v>
      </c>
      <c r="M2130">
        <v>13802</v>
      </c>
      <c r="N2130" t="s">
        <v>34</v>
      </c>
      <c r="O2130">
        <v>250912</v>
      </c>
      <c r="P2130">
        <v>119.27</v>
      </c>
    </row>
    <row r="2131" spans="1:16" x14ac:dyDescent="0.25">
      <c r="A2131" t="s">
        <v>3296</v>
      </c>
      <c r="B2131" t="s">
        <v>2931</v>
      </c>
      <c r="C2131">
        <v>11937</v>
      </c>
      <c r="D2131" t="str">
        <f>"5016543     "</f>
        <v xml:space="preserve">5016543     </v>
      </c>
      <c r="E2131" t="s">
        <v>8</v>
      </c>
      <c r="F2131" t="s">
        <v>11</v>
      </c>
      <c r="G2131">
        <v>330.81</v>
      </c>
      <c r="H2131">
        <v>251001</v>
      </c>
      <c r="I2131">
        <v>4841</v>
      </c>
      <c r="J2131" t="s">
        <v>9</v>
      </c>
      <c r="K2131">
        <v>330.81</v>
      </c>
      <c r="L2131">
        <v>67.22</v>
      </c>
      <c r="M2131">
        <v>11501</v>
      </c>
      <c r="N2131" t="s">
        <v>13</v>
      </c>
      <c r="O2131">
        <v>250912</v>
      </c>
      <c r="P2131">
        <v>263.58999999999997</v>
      </c>
    </row>
    <row r="2132" spans="1:16" x14ac:dyDescent="0.25">
      <c r="A2132" t="s">
        <v>3296</v>
      </c>
      <c r="B2132" t="s">
        <v>2931</v>
      </c>
      <c r="C2132">
        <v>11939</v>
      </c>
      <c r="D2132" t="str">
        <f t="shared" ref="D2132:D2139" si="69">"5016472     "</f>
        <v xml:space="preserve">5016472     </v>
      </c>
      <c r="E2132" t="s">
        <v>8</v>
      </c>
      <c r="F2132" t="s">
        <v>11</v>
      </c>
      <c r="G2132">
        <v>273.04000000000002</v>
      </c>
      <c r="H2132">
        <v>251001</v>
      </c>
      <c r="I2132">
        <v>4841</v>
      </c>
      <c r="J2132" t="s">
        <v>9</v>
      </c>
      <c r="K2132">
        <v>1321.77</v>
      </c>
      <c r="L2132">
        <v>55.48</v>
      </c>
      <c r="M2132">
        <v>11900</v>
      </c>
      <c r="N2132" t="s">
        <v>30</v>
      </c>
      <c r="O2132">
        <v>250912</v>
      </c>
      <c r="P2132">
        <v>217.56</v>
      </c>
    </row>
    <row r="2133" spans="1:16" x14ac:dyDescent="0.25">
      <c r="A2133" t="s">
        <v>3296</v>
      </c>
      <c r="B2133" t="s">
        <v>2931</v>
      </c>
      <c r="C2133">
        <v>11939</v>
      </c>
      <c r="D2133" t="str">
        <f t="shared" si="69"/>
        <v xml:space="preserve">5016472     </v>
      </c>
      <c r="E2133" t="s">
        <v>8</v>
      </c>
      <c r="F2133" t="s">
        <v>11</v>
      </c>
      <c r="G2133">
        <v>569.02</v>
      </c>
      <c r="H2133">
        <v>251001</v>
      </c>
      <c r="I2133">
        <v>4841</v>
      </c>
      <c r="J2133" t="s">
        <v>9</v>
      </c>
      <c r="K2133">
        <v>1321.77</v>
      </c>
      <c r="L2133">
        <v>115.62</v>
      </c>
      <c r="M2133">
        <v>11901</v>
      </c>
      <c r="N2133" t="s">
        <v>31</v>
      </c>
      <c r="O2133">
        <v>250912</v>
      </c>
      <c r="P2133">
        <v>453.4</v>
      </c>
    </row>
    <row r="2134" spans="1:16" x14ac:dyDescent="0.25">
      <c r="A2134" t="s">
        <v>3296</v>
      </c>
      <c r="B2134" t="s">
        <v>2931</v>
      </c>
      <c r="C2134">
        <v>11939</v>
      </c>
      <c r="D2134" t="str">
        <f t="shared" si="69"/>
        <v xml:space="preserve">5016472     </v>
      </c>
      <c r="E2134" t="s">
        <v>8</v>
      </c>
      <c r="F2134" t="s">
        <v>11</v>
      </c>
      <c r="G2134">
        <v>328.02</v>
      </c>
      <c r="H2134">
        <v>251001</v>
      </c>
      <c r="I2134">
        <v>4841</v>
      </c>
      <c r="J2134" t="s">
        <v>9</v>
      </c>
      <c r="K2134">
        <v>1321.77</v>
      </c>
      <c r="L2134">
        <v>66.650000000000006</v>
      </c>
      <c r="M2134">
        <v>11903</v>
      </c>
      <c r="N2134" t="s">
        <v>32</v>
      </c>
      <c r="O2134">
        <v>250912</v>
      </c>
      <c r="P2134">
        <v>261.37</v>
      </c>
    </row>
    <row r="2135" spans="1:16" x14ac:dyDescent="0.25">
      <c r="A2135" t="s">
        <v>3296</v>
      </c>
      <c r="B2135" t="s">
        <v>2931</v>
      </c>
      <c r="C2135">
        <v>11939</v>
      </c>
      <c r="D2135" t="str">
        <f t="shared" si="69"/>
        <v xml:space="preserve">5016472     </v>
      </c>
      <c r="E2135" t="s">
        <v>8</v>
      </c>
      <c r="F2135" t="s">
        <v>11</v>
      </c>
      <c r="G2135">
        <v>16.16</v>
      </c>
      <c r="H2135">
        <v>251001</v>
      </c>
      <c r="I2135">
        <v>4841</v>
      </c>
      <c r="J2135" t="s">
        <v>9</v>
      </c>
      <c r="K2135">
        <v>1321.77</v>
      </c>
      <c r="L2135">
        <v>3.28</v>
      </c>
      <c r="M2135">
        <v>11903</v>
      </c>
      <c r="N2135" t="s">
        <v>32</v>
      </c>
      <c r="O2135">
        <v>250912</v>
      </c>
      <c r="P2135">
        <v>12.88</v>
      </c>
    </row>
    <row r="2136" spans="1:16" x14ac:dyDescent="0.25">
      <c r="A2136" t="s">
        <v>3296</v>
      </c>
      <c r="B2136" t="s">
        <v>2931</v>
      </c>
      <c r="C2136">
        <v>11939</v>
      </c>
      <c r="D2136" t="str">
        <f t="shared" si="69"/>
        <v xml:space="preserve">5016472     </v>
      </c>
      <c r="E2136" t="s">
        <v>8</v>
      </c>
      <c r="F2136" t="s">
        <v>11</v>
      </c>
      <c r="G2136">
        <v>13.82</v>
      </c>
      <c r="H2136">
        <v>251001</v>
      </c>
      <c r="I2136">
        <v>4841</v>
      </c>
      <c r="J2136" t="s">
        <v>9</v>
      </c>
      <c r="K2136">
        <v>1321.77</v>
      </c>
      <c r="L2136">
        <v>2.81</v>
      </c>
      <c r="M2136">
        <v>11903</v>
      </c>
      <c r="N2136" t="s">
        <v>32</v>
      </c>
      <c r="O2136">
        <v>250912</v>
      </c>
      <c r="P2136">
        <v>11.01</v>
      </c>
    </row>
    <row r="2137" spans="1:16" x14ac:dyDescent="0.25">
      <c r="A2137" t="s">
        <v>3296</v>
      </c>
      <c r="B2137" t="s">
        <v>2931</v>
      </c>
      <c r="C2137">
        <v>11939</v>
      </c>
      <c r="D2137" t="str">
        <f t="shared" si="69"/>
        <v xml:space="preserve">5016472     </v>
      </c>
      <c r="E2137" t="s">
        <v>8</v>
      </c>
      <c r="F2137" t="s">
        <v>11</v>
      </c>
      <c r="G2137">
        <v>13.82</v>
      </c>
      <c r="H2137">
        <v>251001</v>
      </c>
      <c r="I2137">
        <v>4841</v>
      </c>
      <c r="J2137" t="s">
        <v>9</v>
      </c>
      <c r="K2137">
        <v>1321.77</v>
      </c>
      <c r="L2137">
        <v>2.81</v>
      </c>
      <c r="M2137">
        <v>11903</v>
      </c>
      <c r="N2137" t="s">
        <v>32</v>
      </c>
      <c r="O2137">
        <v>250912</v>
      </c>
      <c r="P2137">
        <v>11.01</v>
      </c>
    </row>
    <row r="2138" spans="1:16" x14ac:dyDescent="0.25">
      <c r="A2138" t="s">
        <v>3296</v>
      </c>
      <c r="B2138" t="s">
        <v>2931</v>
      </c>
      <c r="C2138">
        <v>11939</v>
      </c>
      <c r="D2138" t="str">
        <f t="shared" si="69"/>
        <v xml:space="preserve">5016472     </v>
      </c>
      <c r="E2138" t="s">
        <v>8</v>
      </c>
      <c r="F2138" t="s">
        <v>11</v>
      </c>
      <c r="G2138">
        <v>66.69</v>
      </c>
      <c r="H2138">
        <v>251001</v>
      </c>
      <c r="I2138">
        <v>4841</v>
      </c>
      <c r="J2138" t="s">
        <v>9</v>
      </c>
      <c r="K2138">
        <v>1321.77</v>
      </c>
      <c r="L2138">
        <v>13.55</v>
      </c>
      <c r="M2138">
        <v>11905</v>
      </c>
      <c r="N2138" t="s">
        <v>643</v>
      </c>
      <c r="O2138">
        <v>250912</v>
      </c>
      <c r="P2138">
        <v>53.14</v>
      </c>
    </row>
    <row r="2139" spans="1:16" x14ac:dyDescent="0.25">
      <c r="A2139" t="s">
        <v>3296</v>
      </c>
      <c r="B2139" t="s">
        <v>2931</v>
      </c>
      <c r="C2139">
        <v>11939</v>
      </c>
      <c r="D2139" t="str">
        <f t="shared" si="69"/>
        <v xml:space="preserve">5016472     </v>
      </c>
      <c r="E2139" t="s">
        <v>8</v>
      </c>
      <c r="F2139" t="s">
        <v>11</v>
      </c>
      <c r="G2139">
        <v>41.2</v>
      </c>
      <c r="H2139">
        <v>251001</v>
      </c>
      <c r="I2139">
        <v>4841</v>
      </c>
      <c r="J2139" t="s">
        <v>9</v>
      </c>
      <c r="K2139">
        <v>1321.77</v>
      </c>
      <c r="L2139">
        <v>8.3699999999999992</v>
      </c>
      <c r="M2139">
        <v>12500</v>
      </c>
      <c r="N2139" t="s">
        <v>1502</v>
      </c>
      <c r="O2139">
        <v>250912</v>
      </c>
      <c r="P2139">
        <v>32.83</v>
      </c>
    </row>
    <row r="2140" spans="1:16" x14ac:dyDescent="0.25">
      <c r="A2140" t="s">
        <v>3296</v>
      </c>
      <c r="B2140" t="s">
        <v>2931</v>
      </c>
      <c r="C2140">
        <v>11944</v>
      </c>
      <c r="D2140" t="str">
        <f>"17040100    "</f>
        <v xml:space="preserve">17040100    </v>
      </c>
      <c r="E2140" t="s">
        <v>8</v>
      </c>
      <c r="F2140" t="s">
        <v>11</v>
      </c>
      <c r="G2140">
        <v>30.51</v>
      </c>
      <c r="H2140">
        <v>251001</v>
      </c>
      <c r="I2140">
        <v>4841</v>
      </c>
      <c r="J2140" t="s">
        <v>9</v>
      </c>
      <c r="K2140">
        <v>30.51</v>
      </c>
      <c r="L2140">
        <v>6.2</v>
      </c>
      <c r="M2140">
        <v>11101</v>
      </c>
      <c r="N2140" t="s">
        <v>67</v>
      </c>
      <c r="O2140">
        <v>250912</v>
      </c>
      <c r="P2140">
        <v>24.31</v>
      </c>
    </row>
    <row r="2141" spans="1:16" x14ac:dyDescent="0.25">
      <c r="A2141" t="s">
        <v>3296</v>
      </c>
      <c r="B2141" t="s">
        <v>2931</v>
      </c>
      <c r="C2141">
        <v>11945</v>
      </c>
      <c r="D2141" t="str">
        <f>"5016476     "</f>
        <v xml:space="preserve">5016476     </v>
      </c>
      <c r="E2141" t="s">
        <v>8</v>
      </c>
      <c r="F2141" t="s">
        <v>11</v>
      </c>
      <c r="G2141">
        <v>416.9</v>
      </c>
      <c r="H2141">
        <v>251001</v>
      </c>
      <c r="I2141">
        <v>4841</v>
      </c>
      <c r="J2141" t="s">
        <v>9</v>
      </c>
      <c r="K2141">
        <v>416.9</v>
      </c>
      <c r="L2141">
        <v>84.71</v>
      </c>
      <c r="M2141">
        <v>47522</v>
      </c>
      <c r="N2141" t="s">
        <v>106</v>
      </c>
      <c r="O2141">
        <v>250912</v>
      </c>
      <c r="P2141">
        <v>332.19</v>
      </c>
    </row>
    <row r="2142" spans="1:16" x14ac:dyDescent="0.25">
      <c r="A2142" t="s">
        <v>3296</v>
      </c>
      <c r="B2142" t="s">
        <v>2931</v>
      </c>
      <c r="C2142">
        <v>11946</v>
      </c>
      <c r="D2142" t="str">
        <f t="shared" ref="D2142:D2153" si="70">"5016516     "</f>
        <v xml:space="preserve">5016516     </v>
      </c>
      <c r="E2142" t="s">
        <v>8</v>
      </c>
      <c r="F2142" t="s">
        <v>11</v>
      </c>
      <c r="G2142">
        <v>310.98</v>
      </c>
      <c r="H2142">
        <v>251001</v>
      </c>
      <c r="I2142">
        <v>4841</v>
      </c>
      <c r="J2142" t="s">
        <v>9</v>
      </c>
      <c r="K2142">
        <v>5511.56</v>
      </c>
      <c r="L2142">
        <v>63.19</v>
      </c>
      <c r="M2142">
        <v>11301</v>
      </c>
      <c r="N2142" t="s">
        <v>92</v>
      </c>
      <c r="O2142">
        <v>250912</v>
      </c>
      <c r="P2142">
        <v>247.79</v>
      </c>
    </row>
    <row r="2143" spans="1:16" x14ac:dyDescent="0.25">
      <c r="A2143" t="s">
        <v>3296</v>
      </c>
      <c r="B2143" t="s">
        <v>2931</v>
      </c>
      <c r="C2143">
        <v>11946</v>
      </c>
      <c r="D2143" t="str">
        <f t="shared" si="70"/>
        <v xml:space="preserve">5016516     </v>
      </c>
      <c r="E2143" t="s">
        <v>8</v>
      </c>
      <c r="F2143" t="s">
        <v>11</v>
      </c>
      <c r="G2143">
        <v>69.739999999999995</v>
      </c>
      <c r="H2143">
        <v>251001</v>
      </c>
      <c r="I2143">
        <v>4841</v>
      </c>
      <c r="J2143" t="s">
        <v>9</v>
      </c>
      <c r="K2143">
        <v>5511.56</v>
      </c>
      <c r="L2143">
        <v>14.17</v>
      </c>
      <c r="M2143">
        <v>65422</v>
      </c>
      <c r="N2143" t="s">
        <v>117</v>
      </c>
      <c r="O2143">
        <v>250912</v>
      </c>
      <c r="P2143">
        <v>55.57</v>
      </c>
    </row>
    <row r="2144" spans="1:16" x14ac:dyDescent="0.25">
      <c r="A2144" t="s">
        <v>3296</v>
      </c>
      <c r="B2144" t="s">
        <v>2931</v>
      </c>
      <c r="C2144">
        <v>11946</v>
      </c>
      <c r="D2144" t="str">
        <f t="shared" si="70"/>
        <v xml:space="preserve">5016516     </v>
      </c>
      <c r="E2144" t="s">
        <v>8</v>
      </c>
      <c r="F2144" t="s">
        <v>11</v>
      </c>
      <c r="G2144">
        <v>57.94</v>
      </c>
      <c r="H2144">
        <v>251001</v>
      </c>
      <c r="I2144">
        <v>4841</v>
      </c>
      <c r="J2144" t="s">
        <v>9</v>
      </c>
      <c r="K2144">
        <v>5511.56</v>
      </c>
      <c r="L2144">
        <v>11.77</v>
      </c>
      <c r="M2144">
        <v>66722</v>
      </c>
      <c r="N2144" t="s">
        <v>118</v>
      </c>
      <c r="O2144">
        <v>250912</v>
      </c>
      <c r="P2144">
        <v>46.17</v>
      </c>
    </row>
    <row r="2145" spans="1:16" x14ac:dyDescent="0.25">
      <c r="A2145" t="s">
        <v>3296</v>
      </c>
      <c r="B2145" t="s">
        <v>2931</v>
      </c>
      <c r="C2145">
        <v>11946</v>
      </c>
      <c r="D2145" t="str">
        <f t="shared" si="70"/>
        <v xml:space="preserve">5016516     </v>
      </c>
      <c r="E2145" t="s">
        <v>8</v>
      </c>
      <c r="F2145" t="s">
        <v>11</v>
      </c>
      <c r="G2145">
        <v>20.77</v>
      </c>
      <c r="H2145">
        <v>251001</v>
      </c>
      <c r="I2145">
        <v>4841</v>
      </c>
      <c r="J2145" t="s">
        <v>9</v>
      </c>
      <c r="K2145">
        <v>5511.56</v>
      </c>
      <c r="L2145">
        <v>4.22</v>
      </c>
      <c r="M2145">
        <v>66754</v>
      </c>
      <c r="N2145" t="s">
        <v>119</v>
      </c>
      <c r="O2145">
        <v>250912</v>
      </c>
      <c r="P2145">
        <v>16.55</v>
      </c>
    </row>
    <row r="2146" spans="1:16" x14ac:dyDescent="0.25">
      <c r="A2146" t="s">
        <v>3296</v>
      </c>
      <c r="B2146" t="s">
        <v>2931</v>
      </c>
      <c r="C2146">
        <v>11946</v>
      </c>
      <c r="D2146" t="str">
        <f t="shared" si="70"/>
        <v xml:space="preserve">5016516     </v>
      </c>
      <c r="E2146" t="s">
        <v>8</v>
      </c>
      <c r="F2146" t="s">
        <v>11</v>
      </c>
      <c r="G2146">
        <v>58.85</v>
      </c>
      <c r="H2146">
        <v>251001</v>
      </c>
      <c r="I2146">
        <v>4841</v>
      </c>
      <c r="J2146" t="s">
        <v>9</v>
      </c>
      <c r="K2146">
        <v>5511.56</v>
      </c>
      <c r="L2146">
        <v>11.96</v>
      </c>
      <c r="M2146">
        <v>66754</v>
      </c>
      <c r="N2146" t="s">
        <v>119</v>
      </c>
      <c r="O2146">
        <v>250912</v>
      </c>
      <c r="P2146">
        <v>46.89</v>
      </c>
    </row>
    <row r="2147" spans="1:16" x14ac:dyDescent="0.25">
      <c r="A2147" t="s">
        <v>3296</v>
      </c>
      <c r="B2147" t="s">
        <v>2931</v>
      </c>
      <c r="C2147">
        <v>11946</v>
      </c>
      <c r="D2147" t="str">
        <f t="shared" si="70"/>
        <v xml:space="preserve">5016516     </v>
      </c>
      <c r="E2147" t="s">
        <v>8</v>
      </c>
      <c r="F2147" t="s">
        <v>11</v>
      </c>
      <c r="G2147">
        <v>42.51</v>
      </c>
      <c r="H2147">
        <v>251001</v>
      </c>
      <c r="I2147">
        <v>4841</v>
      </c>
      <c r="J2147" t="s">
        <v>9</v>
      </c>
      <c r="K2147">
        <v>5511.56</v>
      </c>
      <c r="L2147">
        <v>8.64</v>
      </c>
      <c r="M2147">
        <v>66756</v>
      </c>
      <c r="N2147" t="s">
        <v>120</v>
      </c>
      <c r="O2147">
        <v>250912</v>
      </c>
      <c r="P2147">
        <v>33.869999999999997</v>
      </c>
    </row>
    <row r="2148" spans="1:16" x14ac:dyDescent="0.25">
      <c r="A2148" t="s">
        <v>3296</v>
      </c>
      <c r="B2148" t="s">
        <v>2931</v>
      </c>
      <c r="C2148">
        <v>11946</v>
      </c>
      <c r="D2148" t="str">
        <f t="shared" si="70"/>
        <v xml:space="preserve">5016516     </v>
      </c>
      <c r="E2148" t="s">
        <v>8</v>
      </c>
      <c r="F2148" t="s">
        <v>11</v>
      </c>
      <c r="G2148">
        <v>110.49</v>
      </c>
      <c r="H2148">
        <v>251001</v>
      </c>
      <c r="I2148">
        <v>4841</v>
      </c>
      <c r="J2148" t="s">
        <v>9</v>
      </c>
      <c r="K2148">
        <v>5511.56</v>
      </c>
      <c r="L2148">
        <v>22.45</v>
      </c>
      <c r="M2148">
        <v>67522</v>
      </c>
      <c r="N2148" t="s">
        <v>121</v>
      </c>
      <c r="O2148">
        <v>250912</v>
      </c>
      <c r="P2148">
        <v>88.04</v>
      </c>
    </row>
    <row r="2149" spans="1:16" x14ac:dyDescent="0.25">
      <c r="A2149" t="s">
        <v>3296</v>
      </c>
      <c r="B2149" t="s">
        <v>2931</v>
      </c>
      <c r="C2149">
        <v>11946</v>
      </c>
      <c r="D2149" t="str">
        <f t="shared" si="70"/>
        <v xml:space="preserve">5016516     </v>
      </c>
      <c r="E2149" t="s">
        <v>8</v>
      </c>
      <c r="F2149" t="s">
        <v>11</v>
      </c>
      <c r="G2149">
        <v>100.14</v>
      </c>
      <c r="H2149">
        <v>251001</v>
      </c>
      <c r="I2149">
        <v>4841</v>
      </c>
      <c r="J2149" t="s">
        <v>9</v>
      </c>
      <c r="K2149">
        <v>5511.56</v>
      </c>
      <c r="L2149">
        <v>20.350000000000001</v>
      </c>
      <c r="M2149">
        <v>67522</v>
      </c>
      <c r="N2149" t="s">
        <v>121</v>
      </c>
      <c r="O2149">
        <v>250912</v>
      </c>
      <c r="P2149">
        <v>79.790000000000006</v>
      </c>
    </row>
    <row r="2150" spans="1:16" x14ac:dyDescent="0.25">
      <c r="A2150" t="s">
        <v>3296</v>
      </c>
      <c r="B2150" t="s">
        <v>2931</v>
      </c>
      <c r="C2150">
        <v>11946</v>
      </c>
      <c r="D2150" t="str">
        <f t="shared" si="70"/>
        <v xml:space="preserve">5016516     </v>
      </c>
      <c r="E2150" t="s">
        <v>8</v>
      </c>
      <c r="F2150" t="s">
        <v>11</v>
      </c>
      <c r="G2150">
        <v>46.9</v>
      </c>
      <c r="H2150">
        <v>251001</v>
      </c>
      <c r="I2150">
        <v>4841</v>
      </c>
      <c r="J2150" t="s">
        <v>9</v>
      </c>
      <c r="K2150">
        <v>5511.56</v>
      </c>
      <c r="L2150">
        <v>9.5299999999999994</v>
      </c>
      <c r="M2150">
        <v>69113</v>
      </c>
      <c r="N2150" t="s">
        <v>122</v>
      </c>
      <c r="O2150">
        <v>250912</v>
      </c>
      <c r="P2150">
        <v>37.369999999999997</v>
      </c>
    </row>
    <row r="2151" spans="1:16" x14ac:dyDescent="0.25">
      <c r="A2151" t="s">
        <v>3296</v>
      </c>
      <c r="B2151" t="s">
        <v>2931</v>
      </c>
      <c r="C2151">
        <v>11946</v>
      </c>
      <c r="D2151" t="str">
        <f t="shared" si="70"/>
        <v xml:space="preserve">5016516     </v>
      </c>
      <c r="E2151" t="s">
        <v>8</v>
      </c>
      <c r="F2151" t="s">
        <v>11</v>
      </c>
      <c r="G2151">
        <v>97.25</v>
      </c>
      <c r="H2151">
        <v>251001</v>
      </c>
      <c r="I2151">
        <v>4841</v>
      </c>
      <c r="J2151" t="s">
        <v>9</v>
      </c>
      <c r="K2151">
        <v>5511.56</v>
      </c>
      <c r="L2151">
        <v>19.760000000000002</v>
      </c>
      <c r="M2151">
        <v>69501</v>
      </c>
      <c r="N2151" t="s">
        <v>123</v>
      </c>
      <c r="O2151">
        <v>250912</v>
      </c>
      <c r="P2151">
        <v>77.489999999999995</v>
      </c>
    </row>
    <row r="2152" spans="1:16" x14ac:dyDescent="0.25">
      <c r="A2152" t="s">
        <v>3296</v>
      </c>
      <c r="B2152" t="s">
        <v>2931</v>
      </c>
      <c r="C2152">
        <v>11946</v>
      </c>
      <c r="D2152" t="str">
        <f t="shared" si="70"/>
        <v xml:space="preserve">5016516     </v>
      </c>
      <c r="E2152" t="s">
        <v>8</v>
      </c>
      <c r="F2152" t="s">
        <v>11</v>
      </c>
      <c r="G2152">
        <v>72.760000000000005</v>
      </c>
      <c r="H2152">
        <v>251001</v>
      </c>
      <c r="I2152">
        <v>4841</v>
      </c>
      <c r="J2152" t="s">
        <v>9</v>
      </c>
      <c r="K2152">
        <v>5511.56</v>
      </c>
      <c r="L2152">
        <v>14.78</v>
      </c>
      <c r="M2152">
        <v>69702</v>
      </c>
      <c r="N2152" t="s">
        <v>124</v>
      </c>
      <c r="O2152">
        <v>250912</v>
      </c>
      <c r="P2152">
        <v>57.98</v>
      </c>
    </row>
    <row r="2153" spans="1:16" x14ac:dyDescent="0.25">
      <c r="A2153" t="s">
        <v>3296</v>
      </c>
      <c r="B2153" t="s">
        <v>2931</v>
      </c>
      <c r="C2153">
        <v>11946</v>
      </c>
      <c r="D2153" t="str">
        <f t="shared" si="70"/>
        <v xml:space="preserve">5016516     </v>
      </c>
      <c r="E2153" t="s">
        <v>8</v>
      </c>
      <c r="F2153" t="s">
        <v>11</v>
      </c>
      <c r="G2153">
        <v>4523.2299999999996</v>
      </c>
      <c r="H2153">
        <v>251001</v>
      </c>
      <c r="I2153">
        <v>4841</v>
      </c>
      <c r="J2153" t="s">
        <v>9</v>
      </c>
      <c r="K2153">
        <v>5511.56</v>
      </c>
      <c r="L2153">
        <v>919.06</v>
      </c>
      <c r="M2153">
        <v>69702</v>
      </c>
      <c r="N2153" t="s">
        <v>124</v>
      </c>
      <c r="O2153">
        <v>250912</v>
      </c>
      <c r="P2153">
        <v>3604.17</v>
      </c>
    </row>
    <row r="2154" spans="1:16" x14ac:dyDescent="0.25">
      <c r="A2154" t="s">
        <v>3296</v>
      </c>
      <c r="B2154" t="s">
        <v>2931</v>
      </c>
      <c r="C2154">
        <v>11948</v>
      </c>
      <c r="D2154" t="str">
        <f t="shared" ref="D2154:D2171" si="71">"5016560     "</f>
        <v xml:space="preserve">5016560     </v>
      </c>
      <c r="E2154" t="s">
        <v>8</v>
      </c>
      <c r="F2154" t="s">
        <v>11</v>
      </c>
      <c r="G2154">
        <v>363.33</v>
      </c>
      <c r="H2154">
        <v>251001</v>
      </c>
      <c r="I2154">
        <v>4841</v>
      </c>
      <c r="J2154" t="s">
        <v>9</v>
      </c>
      <c r="K2154">
        <v>9907.06</v>
      </c>
      <c r="L2154">
        <v>73.819999999999993</v>
      </c>
      <c r="M2154">
        <v>16321</v>
      </c>
      <c r="N2154" t="s">
        <v>16</v>
      </c>
      <c r="O2154">
        <v>250912</v>
      </c>
      <c r="P2154">
        <v>289.51</v>
      </c>
    </row>
    <row r="2155" spans="1:16" x14ac:dyDescent="0.25">
      <c r="A2155" t="s">
        <v>3296</v>
      </c>
      <c r="B2155" t="s">
        <v>2931</v>
      </c>
      <c r="C2155">
        <v>11948</v>
      </c>
      <c r="D2155" t="str">
        <f t="shared" si="71"/>
        <v xml:space="preserve">5016560     </v>
      </c>
      <c r="E2155" t="s">
        <v>8</v>
      </c>
      <c r="F2155" t="s">
        <v>11</v>
      </c>
      <c r="G2155">
        <v>830.41</v>
      </c>
      <c r="H2155">
        <v>251001</v>
      </c>
      <c r="I2155">
        <v>4841</v>
      </c>
      <c r="J2155" t="s">
        <v>9</v>
      </c>
      <c r="K2155">
        <v>9907.06</v>
      </c>
      <c r="L2155">
        <v>168.73</v>
      </c>
      <c r="M2155">
        <v>16321</v>
      </c>
      <c r="N2155" t="s">
        <v>16</v>
      </c>
      <c r="O2155">
        <v>250912</v>
      </c>
      <c r="P2155">
        <v>661.68</v>
      </c>
    </row>
    <row r="2156" spans="1:16" x14ac:dyDescent="0.25">
      <c r="A2156" t="s">
        <v>3296</v>
      </c>
      <c r="B2156" t="s">
        <v>2931</v>
      </c>
      <c r="C2156">
        <v>11948</v>
      </c>
      <c r="D2156" t="str">
        <f t="shared" si="71"/>
        <v xml:space="preserve">5016560     </v>
      </c>
      <c r="E2156" t="s">
        <v>8</v>
      </c>
      <c r="F2156" t="s">
        <v>11</v>
      </c>
      <c r="G2156">
        <v>316.20999999999998</v>
      </c>
      <c r="H2156">
        <v>251001</v>
      </c>
      <c r="I2156">
        <v>4841</v>
      </c>
      <c r="J2156" t="s">
        <v>9</v>
      </c>
      <c r="K2156">
        <v>9907.06</v>
      </c>
      <c r="L2156">
        <v>64.25</v>
      </c>
      <c r="M2156">
        <v>16321</v>
      </c>
      <c r="N2156" t="s">
        <v>16</v>
      </c>
      <c r="O2156">
        <v>250912</v>
      </c>
      <c r="P2156">
        <v>251.96</v>
      </c>
    </row>
    <row r="2157" spans="1:16" x14ac:dyDescent="0.25">
      <c r="A2157" t="s">
        <v>3296</v>
      </c>
      <c r="B2157" t="s">
        <v>2931</v>
      </c>
      <c r="C2157">
        <v>11948</v>
      </c>
      <c r="D2157" t="str">
        <f t="shared" si="71"/>
        <v xml:space="preserve">5016560     </v>
      </c>
      <c r="E2157" t="s">
        <v>8</v>
      </c>
      <c r="F2157" t="s">
        <v>11</v>
      </c>
      <c r="G2157">
        <v>504.11</v>
      </c>
      <c r="H2157">
        <v>251001</v>
      </c>
      <c r="I2157">
        <v>4841</v>
      </c>
      <c r="J2157" t="s">
        <v>9</v>
      </c>
      <c r="K2157">
        <v>9907.06</v>
      </c>
      <c r="L2157">
        <v>102.43</v>
      </c>
      <c r="M2157">
        <v>16431</v>
      </c>
      <c r="N2157" t="s">
        <v>17</v>
      </c>
      <c r="O2157">
        <v>250912</v>
      </c>
      <c r="P2157">
        <v>401.68</v>
      </c>
    </row>
    <row r="2158" spans="1:16" x14ac:dyDescent="0.25">
      <c r="A2158" t="s">
        <v>3296</v>
      </c>
      <c r="B2158" t="s">
        <v>2931</v>
      </c>
      <c r="C2158">
        <v>11948</v>
      </c>
      <c r="D2158" t="str">
        <f t="shared" si="71"/>
        <v xml:space="preserve">5016560     </v>
      </c>
      <c r="E2158" t="s">
        <v>8</v>
      </c>
      <c r="F2158" t="s">
        <v>11</v>
      </c>
      <c r="G2158">
        <v>423.5</v>
      </c>
      <c r="H2158">
        <v>251001</v>
      </c>
      <c r="I2158">
        <v>4841</v>
      </c>
      <c r="J2158" t="s">
        <v>9</v>
      </c>
      <c r="K2158">
        <v>9907.06</v>
      </c>
      <c r="L2158">
        <v>86.05</v>
      </c>
      <c r="M2158">
        <v>17802</v>
      </c>
      <c r="N2158" t="s">
        <v>18</v>
      </c>
      <c r="O2158">
        <v>250912</v>
      </c>
      <c r="P2158">
        <v>337.45</v>
      </c>
    </row>
    <row r="2159" spans="1:16" x14ac:dyDescent="0.25">
      <c r="A2159" t="s">
        <v>3296</v>
      </c>
      <c r="B2159" t="s">
        <v>2931</v>
      </c>
      <c r="C2159">
        <v>11948</v>
      </c>
      <c r="D2159" t="str">
        <f t="shared" si="71"/>
        <v xml:space="preserve">5016560     </v>
      </c>
      <c r="E2159" t="s">
        <v>8</v>
      </c>
      <c r="F2159" t="s">
        <v>11</v>
      </c>
      <c r="G2159">
        <v>1535.97</v>
      </c>
      <c r="H2159">
        <v>251001</v>
      </c>
      <c r="I2159">
        <v>4841</v>
      </c>
      <c r="J2159" t="s">
        <v>9</v>
      </c>
      <c r="K2159">
        <v>9907.06</v>
      </c>
      <c r="L2159">
        <v>312.08999999999997</v>
      </c>
      <c r="M2159">
        <v>17803</v>
      </c>
      <c r="N2159" t="s">
        <v>19</v>
      </c>
      <c r="O2159">
        <v>250912</v>
      </c>
      <c r="P2159">
        <v>1223.8800000000001</v>
      </c>
    </row>
    <row r="2160" spans="1:16" x14ac:dyDescent="0.25">
      <c r="A2160" t="s">
        <v>3296</v>
      </c>
      <c r="B2160" t="s">
        <v>2931</v>
      </c>
      <c r="C2160">
        <v>11948</v>
      </c>
      <c r="D2160" t="str">
        <f t="shared" si="71"/>
        <v xml:space="preserve">5016560     </v>
      </c>
      <c r="E2160" t="s">
        <v>8</v>
      </c>
      <c r="F2160" t="s">
        <v>11</v>
      </c>
      <c r="G2160">
        <v>315.82</v>
      </c>
      <c r="H2160">
        <v>251001</v>
      </c>
      <c r="I2160">
        <v>4841</v>
      </c>
      <c r="J2160" t="s">
        <v>9</v>
      </c>
      <c r="K2160">
        <v>9907.06</v>
      </c>
      <c r="L2160">
        <v>64.17</v>
      </c>
      <c r="M2160">
        <v>17804</v>
      </c>
      <c r="N2160" t="s">
        <v>20</v>
      </c>
      <c r="O2160">
        <v>250912</v>
      </c>
      <c r="P2160">
        <v>251.65</v>
      </c>
    </row>
    <row r="2161" spans="1:16" x14ac:dyDescent="0.25">
      <c r="A2161" t="s">
        <v>3296</v>
      </c>
      <c r="B2161" t="s">
        <v>2931</v>
      </c>
      <c r="C2161">
        <v>11948</v>
      </c>
      <c r="D2161" t="str">
        <f t="shared" si="71"/>
        <v xml:space="preserve">5016560     </v>
      </c>
      <c r="E2161" t="s">
        <v>8</v>
      </c>
      <c r="F2161" t="s">
        <v>11</v>
      </c>
      <c r="G2161">
        <v>92.87</v>
      </c>
      <c r="H2161">
        <v>251001</v>
      </c>
      <c r="I2161">
        <v>4841</v>
      </c>
      <c r="J2161" t="s">
        <v>9</v>
      </c>
      <c r="K2161">
        <v>9907.06</v>
      </c>
      <c r="L2161">
        <v>18.87</v>
      </c>
      <c r="M2161">
        <v>17804</v>
      </c>
      <c r="N2161" t="s">
        <v>20</v>
      </c>
      <c r="O2161">
        <v>250912</v>
      </c>
      <c r="P2161">
        <v>74</v>
      </c>
    </row>
    <row r="2162" spans="1:16" x14ac:dyDescent="0.25">
      <c r="A2162" t="s">
        <v>3296</v>
      </c>
      <c r="B2162" t="s">
        <v>2931</v>
      </c>
      <c r="C2162">
        <v>11948</v>
      </c>
      <c r="D2162" t="str">
        <f t="shared" si="71"/>
        <v xml:space="preserve">5016560     </v>
      </c>
      <c r="E2162" t="s">
        <v>8</v>
      </c>
      <c r="F2162" t="s">
        <v>11</v>
      </c>
      <c r="G2162">
        <v>83.21</v>
      </c>
      <c r="H2162">
        <v>251001</v>
      </c>
      <c r="I2162">
        <v>4841</v>
      </c>
      <c r="J2162" t="s">
        <v>9</v>
      </c>
      <c r="K2162">
        <v>9907.06</v>
      </c>
      <c r="L2162">
        <v>16.91</v>
      </c>
      <c r="M2162">
        <v>17805</v>
      </c>
      <c r="N2162" t="s">
        <v>21</v>
      </c>
      <c r="O2162">
        <v>250912</v>
      </c>
      <c r="P2162">
        <v>66.3</v>
      </c>
    </row>
    <row r="2163" spans="1:16" x14ac:dyDescent="0.25">
      <c r="A2163" t="s">
        <v>3296</v>
      </c>
      <c r="B2163" t="s">
        <v>2931</v>
      </c>
      <c r="C2163">
        <v>11948</v>
      </c>
      <c r="D2163" t="str">
        <f t="shared" si="71"/>
        <v xml:space="preserve">5016560     </v>
      </c>
      <c r="E2163" t="s">
        <v>8</v>
      </c>
      <c r="F2163" t="s">
        <v>11</v>
      </c>
      <c r="G2163">
        <v>349.42</v>
      </c>
      <c r="H2163">
        <v>251001</v>
      </c>
      <c r="I2163">
        <v>4841</v>
      </c>
      <c r="J2163" t="s">
        <v>9</v>
      </c>
      <c r="K2163">
        <v>9907.06</v>
      </c>
      <c r="L2163">
        <v>71</v>
      </c>
      <c r="M2163">
        <v>17806</v>
      </c>
      <c r="N2163" t="s">
        <v>22</v>
      </c>
      <c r="O2163">
        <v>250912</v>
      </c>
      <c r="P2163">
        <v>278.42</v>
      </c>
    </row>
    <row r="2164" spans="1:16" x14ac:dyDescent="0.25">
      <c r="A2164" t="s">
        <v>3296</v>
      </c>
      <c r="B2164" t="s">
        <v>2931</v>
      </c>
      <c r="C2164">
        <v>11948</v>
      </c>
      <c r="D2164" t="str">
        <f t="shared" si="71"/>
        <v xml:space="preserve">5016560     </v>
      </c>
      <c r="E2164" t="s">
        <v>8</v>
      </c>
      <c r="F2164" t="s">
        <v>11</v>
      </c>
      <c r="G2164">
        <v>163.28</v>
      </c>
      <c r="H2164">
        <v>251001</v>
      </c>
      <c r="I2164">
        <v>4841</v>
      </c>
      <c r="J2164" t="s">
        <v>9</v>
      </c>
      <c r="K2164">
        <v>9907.06</v>
      </c>
      <c r="L2164">
        <v>33.18</v>
      </c>
      <c r="M2164">
        <v>17807</v>
      </c>
      <c r="N2164" t="s">
        <v>23</v>
      </c>
      <c r="O2164">
        <v>250912</v>
      </c>
      <c r="P2164">
        <v>130.1</v>
      </c>
    </row>
    <row r="2165" spans="1:16" x14ac:dyDescent="0.25">
      <c r="A2165" t="s">
        <v>3296</v>
      </c>
      <c r="B2165" t="s">
        <v>2931</v>
      </c>
      <c r="C2165">
        <v>11948</v>
      </c>
      <c r="D2165" t="str">
        <f t="shared" si="71"/>
        <v xml:space="preserve">5016560     </v>
      </c>
      <c r="E2165" t="s">
        <v>8</v>
      </c>
      <c r="F2165" t="s">
        <v>11</v>
      </c>
      <c r="G2165">
        <v>3495.54</v>
      </c>
      <c r="H2165">
        <v>251001</v>
      </c>
      <c r="I2165">
        <v>4841</v>
      </c>
      <c r="J2165" t="s">
        <v>9</v>
      </c>
      <c r="K2165">
        <v>9907.06</v>
      </c>
      <c r="L2165">
        <v>710.25</v>
      </c>
      <c r="M2165">
        <v>17808</v>
      </c>
      <c r="N2165" t="s">
        <v>24</v>
      </c>
      <c r="O2165">
        <v>250912</v>
      </c>
      <c r="P2165">
        <v>2785.29</v>
      </c>
    </row>
    <row r="2166" spans="1:16" x14ac:dyDescent="0.25">
      <c r="A2166" t="s">
        <v>3296</v>
      </c>
      <c r="B2166" t="s">
        <v>2931</v>
      </c>
      <c r="C2166">
        <v>11948</v>
      </c>
      <c r="D2166" t="str">
        <f t="shared" si="71"/>
        <v xml:space="preserve">5016560     </v>
      </c>
      <c r="E2166" t="s">
        <v>8</v>
      </c>
      <c r="F2166" t="s">
        <v>11</v>
      </c>
      <c r="G2166">
        <v>725.55</v>
      </c>
      <c r="H2166">
        <v>251001</v>
      </c>
      <c r="I2166">
        <v>4841</v>
      </c>
      <c r="J2166" t="s">
        <v>9</v>
      </c>
      <c r="K2166">
        <v>9907.06</v>
      </c>
      <c r="L2166">
        <v>147.41999999999999</v>
      </c>
      <c r="M2166">
        <v>17808</v>
      </c>
      <c r="N2166" t="s">
        <v>24</v>
      </c>
      <c r="O2166">
        <v>250912</v>
      </c>
      <c r="P2166">
        <v>578.13</v>
      </c>
    </row>
    <row r="2167" spans="1:16" x14ac:dyDescent="0.25">
      <c r="A2167" t="s">
        <v>3296</v>
      </c>
      <c r="B2167" t="s">
        <v>2931</v>
      </c>
      <c r="C2167">
        <v>11948</v>
      </c>
      <c r="D2167" t="str">
        <f t="shared" si="71"/>
        <v xml:space="preserve">5016560     </v>
      </c>
      <c r="E2167" t="s">
        <v>8</v>
      </c>
      <c r="F2167" t="s">
        <v>11</v>
      </c>
      <c r="G2167">
        <v>176.99</v>
      </c>
      <c r="H2167">
        <v>251001</v>
      </c>
      <c r="I2167">
        <v>4841</v>
      </c>
      <c r="J2167" t="s">
        <v>9</v>
      </c>
      <c r="K2167">
        <v>9907.06</v>
      </c>
      <c r="L2167">
        <v>35.96</v>
      </c>
      <c r="M2167">
        <v>17809</v>
      </c>
      <c r="N2167" t="s">
        <v>25</v>
      </c>
      <c r="O2167">
        <v>250912</v>
      </c>
      <c r="P2167">
        <v>141.03</v>
      </c>
    </row>
    <row r="2168" spans="1:16" x14ac:dyDescent="0.25">
      <c r="A2168" t="s">
        <v>3296</v>
      </c>
      <c r="B2168" t="s">
        <v>2931</v>
      </c>
      <c r="C2168">
        <v>11948</v>
      </c>
      <c r="D2168" t="str">
        <f t="shared" si="71"/>
        <v xml:space="preserve">5016560     </v>
      </c>
      <c r="E2168" t="s">
        <v>8</v>
      </c>
      <c r="F2168" t="s">
        <v>11</v>
      </c>
      <c r="G2168">
        <v>81.93</v>
      </c>
      <c r="H2168">
        <v>251001</v>
      </c>
      <c r="I2168">
        <v>4841</v>
      </c>
      <c r="J2168" t="s">
        <v>9</v>
      </c>
      <c r="K2168">
        <v>9907.06</v>
      </c>
      <c r="L2168">
        <v>16.649999999999999</v>
      </c>
      <c r="M2168">
        <v>17913</v>
      </c>
      <c r="N2168" t="s">
        <v>26</v>
      </c>
      <c r="O2168">
        <v>250912</v>
      </c>
      <c r="P2168">
        <v>65.28</v>
      </c>
    </row>
    <row r="2169" spans="1:16" x14ac:dyDescent="0.25">
      <c r="A2169" t="s">
        <v>3296</v>
      </c>
      <c r="B2169" t="s">
        <v>2931</v>
      </c>
      <c r="C2169">
        <v>11948</v>
      </c>
      <c r="D2169" t="str">
        <f t="shared" si="71"/>
        <v xml:space="preserve">5016560     </v>
      </c>
      <c r="E2169" t="s">
        <v>8</v>
      </c>
      <c r="F2169" t="s">
        <v>11</v>
      </c>
      <c r="G2169">
        <v>219.91</v>
      </c>
      <c r="H2169">
        <v>251001</v>
      </c>
      <c r="I2169">
        <v>4841</v>
      </c>
      <c r="J2169" t="s">
        <v>9</v>
      </c>
      <c r="K2169">
        <v>9907.06</v>
      </c>
      <c r="L2169">
        <v>44.68</v>
      </c>
      <c r="M2169">
        <v>17971</v>
      </c>
      <c r="N2169" t="s">
        <v>27</v>
      </c>
      <c r="O2169">
        <v>250912</v>
      </c>
      <c r="P2169">
        <v>175.23</v>
      </c>
    </row>
    <row r="2170" spans="1:16" x14ac:dyDescent="0.25">
      <c r="A2170" t="s">
        <v>3296</v>
      </c>
      <c r="B2170" t="s">
        <v>2931</v>
      </c>
      <c r="C2170">
        <v>11948</v>
      </c>
      <c r="D2170" t="str">
        <f t="shared" si="71"/>
        <v xml:space="preserve">5016560     </v>
      </c>
      <c r="E2170" t="s">
        <v>8</v>
      </c>
      <c r="F2170" t="s">
        <v>11</v>
      </c>
      <c r="G2170">
        <v>154.44</v>
      </c>
      <c r="H2170">
        <v>251001</v>
      </c>
      <c r="I2170">
        <v>4841</v>
      </c>
      <c r="J2170" t="s">
        <v>9</v>
      </c>
      <c r="K2170">
        <v>9907.06</v>
      </c>
      <c r="L2170">
        <v>31.38</v>
      </c>
      <c r="M2170">
        <v>17972</v>
      </c>
      <c r="N2170" t="s">
        <v>28</v>
      </c>
      <c r="O2170">
        <v>250912</v>
      </c>
      <c r="P2170">
        <v>123.06</v>
      </c>
    </row>
    <row r="2171" spans="1:16" x14ac:dyDescent="0.25">
      <c r="A2171" t="s">
        <v>3296</v>
      </c>
      <c r="B2171" t="s">
        <v>2931</v>
      </c>
      <c r="C2171">
        <v>11948</v>
      </c>
      <c r="D2171" t="str">
        <f t="shared" si="71"/>
        <v xml:space="preserve">5016560     </v>
      </c>
      <c r="E2171" t="s">
        <v>8</v>
      </c>
      <c r="F2171" t="s">
        <v>11</v>
      </c>
      <c r="G2171">
        <v>74.569999999999993</v>
      </c>
      <c r="H2171">
        <v>251001</v>
      </c>
      <c r="I2171">
        <v>4841</v>
      </c>
      <c r="J2171" t="s">
        <v>9</v>
      </c>
      <c r="K2171">
        <v>9907.06</v>
      </c>
      <c r="L2171">
        <v>15.15</v>
      </c>
      <c r="M2171">
        <v>17975</v>
      </c>
      <c r="N2171" t="s">
        <v>29</v>
      </c>
      <c r="O2171">
        <v>250912</v>
      </c>
      <c r="P2171">
        <v>59.42</v>
      </c>
    </row>
    <row r="2172" spans="1:16" x14ac:dyDescent="0.25">
      <c r="A2172" t="s">
        <v>3296</v>
      </c>
      <c r="B2172" t="s">
        <v>2931</v>
      </c>
      <c r="C2172">
        <v>12143</v>
      </c>
      <c r="D2172" t="str">
        <f>"5016545     "</f>
        <v xml:space="preserve">5016545     </v>
      </c>
      <c r="E2172" t="s">
        <v>8</v>
      </c>
      <c r="F2172" t="s">
        <v>11</v>
      </c>
      <c r="G2172">
        <v>323.45999999999998</v>
      </c>
      <c r="H2172">
        <v>251001</v>
      </c>
      <c r="I2172">
        <v>4841</v>
      </c>
      <c r="J2172" t="s">
        <v>9</v>
      </c>
      <c r="K2172">
        <v>323.45999999999998</v>
      </c>
      <c r="L2172">
        <v>65.72</v>
      </c>
      <c r="M2172">
        <v>18993</v>
      </c>
      <c r="N2172" t="s">
        <v>540</v>
      </c>
      <c r="O2172">
        <v>250916</v>
      </c>
      <c r="P2172">
        <v>257.74</v>
      </c>
    </row>
    <row r="2173" spans="1:16" x14ac:dyDescent="0.25">
      <c r="A2173" t="s">
        <v>3296</v>
      </c>
      <c r="B2173" t="s">
        <v>2931</v>
      </c>
      <c r="C2173">
        <v>12146</v>
      </c>
      <c r="D2173" t="str">
        <f>"5016478     "</f>
        <v xml:space="preserve">5016478     </v>
      </c>
      <c r="E2173" t="s">
        <v>8</v>
      </c>
      <c r="F2173" t="s">
        <v>11</v>
      </c>
      <c r="G2173">
        <v>206.41</v>
      </c>
      <c r="H2173">
        <v>251001</v>
      </c>
      <c r="I2173">
        <v>4841</v>
      </c>
      <c r="J2173" t="s">
        <v>9</v>
      </c>
      <c r="K2173">
        <v>206.41</v>
      </c>
      <c r="L2173">
        <v>41.94</v>
      </c>
      <c r="M2173">
        <v>11701</v>
      </c>
      <c r="N2173" t="s">
        <v>973</v>
      </c>
      <c r="O2173">
        <v>250916</v>
      </c>
      <c r="P2173">
        <v>164.47</v>
      </c>
    </row>
    <row r="2174" spans="1:16" x14ac:dyDescent="0.25">
      <c r="A2174" t="s">
        <v>3296</v>
      </c>
      <c r="B2174" t="s">
        <v>2931</v>
      </c>
      <c r="C2174">
        <v>12148</v>
      </c>
      <c r="D2174" t="str">
        <f>"5016565     "</f>
        <v xml:space="preserve">5016565     </v>
      </c>
      <c r="E2174" t="s">
        <v>8</v>
      </c>
      <c r="F2174" t="s">
        <v>11</v>
      </c>
      <c r="G2174">
        <v>5409.06</v>
      </c>
      <c r="H2174">
        <v>251001</v>
      </c>
      <c r="I2174">
        <v>4841</v>
      </c>
      <c r="J2174" t="s">
        <v>9</v>
      </c>
      <c r="K2174">
        <v>7548.91</v>
      </c>
      <c r="L2174">
        <v>1099.05</v>
      </c>
      <c r="M2174">
        <v>13501</v>
      </c>
      <c r="N2174" t="s">
        <v>66</v>
      </c>
      <c r="O2174">
        <v>250916</v>
      </c>
      <c r="P2174">
        <v>4310.01</v>
      </c>
    </row>
    <row r="2175" spans="1:16" x14ac:dyDescent="0.25">
      <c r="A2175" t="s">
        <v>3296</v>
      </c>
      <c r="B2175" t="s">
        <v>2931</v>
      </c>
      <c r="C2175">
        <v>12148</v>
      </c>
      <c r="D2175" t="str">
        <f>"5016565     "</f>
        <v xml:space="preserve">5016565     </v>
      </c>
      <c r="E2175" t="s">
        <v>8</v>
      </c>
      <c r="F2175" t="s">
        <v>11</v>
      </c>
      <c r="G2175">
        <v>2139.85</v>
      </c>
      <c r="H2175">
        <v>251001</v>
      </c>
      <c r="I2175">
        <v>4841</v>
      </c>
      <c r="J2175" t="s">
        <v>9</v>
      </c>
      <c r="K2175">
        <v>7548.91</v>
      </c>
      <c r="L2175">
        <v>434.79</v>
      </c>
      <c r="M2175">
        <v>13501</v>
      </c>
      <c r="N2175" t="s">
        <v>66</v>
      </c>
      <c r="O2175">
        <v>250916</v>
      </c>
      <c r="P2175">
        <v>1705.06</v>
      </c>
    </row>
    <row r="2176" spans="1:16" x14ac:dyDescent="0.25">
      <c r="A2176" t="s">
        <v>3296</v>
      </c>
      <c r="B2176" t="s">
        <v>2931</v>
      </c>
      <c r="C2176">
        <v>12150</v>
      </c>
      <c r="D2176" t="str">
        <f>"5016482     "</f>
        <v xml:space="preserve">5016482     </v>
      </c>
      <c r="E2176" t="s">
        <v>8</v>
      </c>
      <c r="F2176" t="s">
        <v>11</v>
      </c>
      <c r="G2176">
        <v>114.92</v>
      </c>
      <c r="H2176">
        <v>251001</v>
      </c>
      <c r="I2176">
        <v>4841</v>
      </c>
      <c r="J2176" t="s">
        <v>9</v>
      </c>
      <c r="K2176">
        <v>1339.69</v>
      </c>
      <c r="L2176">
        <v>23.35</v>
      </c>
      <c r="M2176">
        <v>13601</v>
      </c>
      <c r="N2176" t="s">
        <v>115</v>
      </c>
      <c r="O2176">
        <v>250916</v>
      </c>
      <c r="P2176">
        <v>91.57</v>
      </c>
    </row>
    <row r="2177" spans="1:16" x14ac:dyDescent="0.25">
      <c r="A2177" t="s">
        <v>3296</v>
      </c>
      <c r="B2177" t="s">
        <v>2931</v>
      </c>
      <c r="C2177">
        <v>12150</v>
      </c>
      <c r="D2177" t="str">
        <f>"5016482     "</f>
        <v xml:space="preserve">5016482     </v>
      </c>
      <c r="E2177" t="s">
        <v>8</v>
      </c>
      <c r="F2177" t="s">
        <v>11</v>
      </c>
      <c r="G2177">
        <v>1107.54</v>
      </c>
      <c r="H2177">
        <v>251001</v>
      </c>
      <c r="I2177">
        <v>4841</v>
      </c>
      <c r="J2177" t="s">
        <v>9</v>
      </c>
      <c r="K2177">
        <v>1339.69</v>
      </c>
      <c r="L2177">
        <v>225.04</v>
      </c>
      <c r="M2177">
        <v>13601</v>
      </c>
      <c r="N2177" t="s">
        <v>115</v>
      </c>
      <c r="O2177">
        <v>250916</v>
      </c>
      <c r="P2177">
        <v>882.5</v>
      </c>
    </row>
    <row r="2178" spans="1:16" x14ac:dyDescent="0.25">
      <c r="A2178" t="s">
        <v>3296</v>
      </c>
      <c r="B2178" t="s">
        <v>2931</v>
      </c>
      <c r="C2178">
        <v>12150</v>
      </c>
      <c r="D2178" t="str">
        <f>"5016482     "</f>
        <v xml:space="preserve">5016482     </v>
      </c>
      <c r="E2178" t="s">
        <v>8</v>
      </c>
      <c r="F2178" t="s">
        <v>11</v>
      </c>
      <c r="G2178">
        <v>103.37</v>
      </c>
      <c r="H2178">
        <v>251001</v>
      </c>
      <c r="I2178">
        <v>4841</v>
      </c>
      <c r="J2178" t="s">
        <v>9</v>
      </c>
      <c r="K2178">
        <v>1339.69</v>
      </c>
      <c r="L2178">
        <v>21</v>
      </c>
      <c r="M2178">
        <v>13601</v>
      </c>
      <c r="N2178" t="s">
        <v>115</v>
      </c>
      <c r="O2178">
        <v>250916</v>
      </c>
      <c r="P2178">
        <v>82.37</v>
      </c>
    </row>
    <row r="2179" spans="1:16" x14ac:dyDescent="0.25">
      <c r="A2179" t="s">
        <v>3296</v>
      </c>
      <c r="B2179" t="s">
        <v>2931</v>
      </c>
      <c r="C2179">
        <v>12150</v>
      </c>
      <c r="D2179" t="str">
        <f>"5016482     "</f>
        <v xml:space="preserve">5016482     </v>
      </c>
      <c r="E2179" t="s">
        <v>8</v>
      </c>
      <c r="F2179" t="s">
        <v>11</v>
      </c>
      <c r="G2179">
        <v>13.86</v>
      </c>
      <c r="H2179">
        <v>251001</v>
      </c>
      <c r="I2179">
        <v>4841</v>
      </c>
      <c r="J2179" t="s">
        <v>9</v>
      </c>
      <c r="K2179">
        <v>1339.69</v>
      </c>
      <c r="L2179">
        <v>2.82</v>
      </c>
      <c r="M2179">
        <v>13801</v>
      </c>
      <c r="N2179" t="s">
        <v>33</v>
      </c>
      <c r="O2179">
        <v>250916</v>
      </c>
      <c r="P2179">
        <v>11.04</v>
      </c>
    </row>
    <row r="2180" spans="1:16" x14ac:dyDescent="0.25">
      <c r="A2180" t="s">
        <v>3296</v>
      </c>
      <c r="B2180" t="s">
        <v>2931</v>
      </c>
      <c r="C2180">
        <v>12154</v>
      </c>
      <c r="D2180" t="str">
        <f>"5016566     "</f>
        <v xml:space="preserve">5016566     </v>
      </c>
      <c r="E2180" t="s">
        <v>8</v>
      </c>
      <c r="F2180" t="s">
        <v>11</v>
      </c>
      <c r="G2180">
        <v>242.96</v>
      </c>
      <c r="H2180">
        <v>251001</v>
      </c>
      <c r="I2180">
        <v>4841</v>
      </c>
      <c r="J2180" t="s">
        <v>9</v>
      </c>
      <c r="K2180">
        <v>3733.29</v>
      </c>
      <c r="L2180">
        <v>49.37</v>
      </c>
      <c r="M2180">
        <v>56522</v>
      </c>
      <c r="N2180" t="s">
        <v>68</v>
      </c>
      <c r="O2180">
        <v>250916</v>
      </c>
      <c r="P2180">
        <v>193.59</v>
      </c>
    </row>
    <row r="2181" spans="1:16" x14ac:dyDescent="0.25">
      <c r="A2181" t="s">
        <v>3296</v>
      </c>
      <c r="B2181" t="s">
        <v>2931</v>
      </c>
      <c r="C2181">
        <v>12154</v>
      </c>
      <c r="D2181" t="str">
        <f>"5016566     "</f>
        <v xml:space="preserve">5016566     </v>
      </c>
      <c r="E2181" t="s">
        <v>8</v>
      </c>
      <c r="F2181" t="s">
        <v>11</v>
      </c>
      <c r="G2181">
        <v>2765.64</v>
      </c>
      <c r="H2181">
        <v>251001</v>
      </c>
      <c r="I2181">
        <v>4841</v>
      </c>
      <c r="J2181" t="s">
        <v>9</v>
      </c>
      <c r="K2181">
        <v>3733.29</v>
      </c>
      <c r="L2181">
        <v>561.94000000000005</v>
      </c>
      <c r="M2181">
        <v>56524</v>
      </c>
      <c r="N2181" t="s">
        <v>69</v>
      </c>
      <c r="O2181">
        <v>250916</v>
      </c>
      <c r="P2181">
        <v>2203.6999999999998</v>
      </c>
    </row>
    <row r="2182" spans="1:16" x14ac:dyDescent="0.25">
      <c r="A2182" t="s">
        <v>3296</v>
      </c>
      <c r="B2182" t="s">
        <v>2931</v>
      </c>
      <c r="C2182">
        <v>12154</v>
      </c>
      <c r="D2182" t="str">
        <f>"5016566     "</f>
        <v xml:space="preserve">5016566     </v>
      </c>
      <c r="E2182" t="s">
        <v>8</v>
      </c>
      <c r="F2182" t="s">
        <v>11</v>
      </c>
      <c r="G2182">
        <v>173.98</v>
      </c>
      <c r="H2182">
        <v>251001</v>
      </c>
      <c r="I2182">
        <v>4841</v>
      </c>
      <c r="J2182" t="s">
        <v>9</v>
      </c>
      <c r="K2182">
        <v>3733.29</v>
      </c>
      <c r="L2182">
        <v>35.35</v>
      </c>
      <c r="M2182">
        <v>56526</v>
      </c>
      <c r="N2182" t="s">
        <v>506</v>
      </c>
      <c r="O2182">
        <v>250916</v>
      </c>
      <c r="P2182">
        <v>138.63</v>
      </c>
    </row>
    <row r="2183" spans="1:16" x14ac:dyDescent="0.25">
      <c r="A2183" t="s">
        <v>3296</v>
      </c>
      <c r="B2183" t="s">
        <v>2931</v>
      </c>
      <c r="C2183">
        <v>12154</v>
      </c>
      <c r="D2183" t="str">
        <f>"5016566     "</f>
        <v xml:space="preserve">5016566     </v>
      </c>
      <c r="E2183" t="s">
        <v>8</v>
      </c>
      <c r="F2183" t="s">
        <v>11</v>
      </c>
      <c r="G2183">
        <v>550.71</v>
      </c>
      <c r="H2183">
        <v>251001</v>
      </c>
      <c r="I2183">
        <v>4841</v>
      </c>
      <c r="J2183" t="s">
        <v>9</v>
      </c>
      <c r="K2183">
        <v>3733.29</v>
      </c>
      <c r="L2183">
        <v>111.9</v>
      </c>
      <c r="M2183">
        <v>56528</v>
      </c>
      <c r="N2183" t="s">
        <v>70</v>
      </c>
      <c r="O2183">
        <v>250916</v>
      </c>
      <c r="P2183">
        <v>438.81</v>
      </c>
    </row>
    <row r="2184" spans="1:16" x14ac:dyDescent="0.25">
      <c r="A2184" t="s">
        <v>3296</v>
      </c>
      <c r="B2184" t="s">
        <v>2931</v>
      </c>
      <c r="C2184">
        <v>12155</v>
      </c>
      <c r="D2184" t="str">
        <f>"5016552     "</f>
        <v xml:space="preserve">5016552     </v>
      </c>
      <c r="E2184" t="s">
        <v>8</v>
      </c>
      <c r="F2184" t="s">
        <v>11</v>
      </c>
      <c r="G2184">
        <v>13.88</v>
      </c>
      <c r="H2184">
        <v>251001</v>
      </c>
      <c r="I2184">
        <v>4841</v>
      </c>
      <c r="J2184" t="s">
        <v>9</v>
      </c>
      <c r="K2184">
        <v>13.88</v>
      </c>
      <c r="L2184">
        <v>2.82</v>
      </c>
      <c r="M2184">
        <v>13501</v>
      </c>
      <c r="N2184" t="s">
        <v>66</v>
      </c>
      <c r="O2184">
        <v>250916</v>
      </c>
      <c r="P2184">
        <v>11.06</v>
      </c>
    </row>
    <row r="2185" spans="1:16" x14ac:dyDescent="0.25">
      <c r="A2185" t="s">
        <v>3296</v>
      </c>
      <c r="B2185" t="s">
        <v>2931</v>
      </c>
      <c r="C2185">
        <v>12156</v>
      </c>
      <c r="D2185" t="str">
        <f>"5016471     "</f>
        <v xml:space="preserve">5016471     </v>
      </c>
      <c r="E2185" t="s">
        <v>8</v>
      </c>
      <c r="F2185" t="s">
        <v>11</v>
      </c>
      <c r="G2185">
        <v>94.73</v>
      </c>
      <c r="H2185">
        <v>251001</v>
      </c>
      <c r="I2185">
        <v>4841</v>
      </c>
      <c r="J2185" t="s">
        <v>9</v>
      </c>
      <c r="K2185">
        <v>94.73</v>
      </c>
      <c r="L2185">
        <v>19.25</v>
      </c>
      <c r="M2185">
        <v>11201</v>
      </c>
      <c r="N2185" t="s">
        <v>35</v>
      </c>
      <c r="O2185">
        <v>250916</v>
      </c>
      <c r="P2185">
        <v>75.48</v>
      </c>
    </row>
    <row r="2186" spans="1:16" x14ac:dyDescent="0.25">
      <c r="A2186" t="s">
        <v>3296</v>
      </c>
      <c r="B2186" t="s">
        <v>2931</v>
      </c>
      <c r="C2186">
        <v>12194</v>
      </c>
      <c r="D2186" t="str">
        <f>"5016551     "</f>
        <v xml:space="preserve">5016551     </v>
      </c>
      <c r="E2186" t="s">
        <v>8</v>
      </c>
      <c r="F2186" t="s">
        <v>11</v>
      </c>
      <c r="G2186">
        <v>96.71</v>
      </c>
      <c r="H2186">
        <v>251001</v>
      </c>
      <c r="I2186">
        <v>4841</v>
      </c>
      <c r="J2186" t="s">
        <v>9</v>
      </c>
      <c r="K2186">
        <v>513.55999999999995</v>
      </c>
      <c r="L2186">
        <v>19.649999999999999</v>
      </c>
      <c r="M2186">
        <v>11101</v>
      </c>
      <c r="N2186" t="s">
        <v>67</v>
      </c>
      <c r="O2186">
        <v>250917</v>
      </c>
      <c r="P2186">
        <v>77.06</v>
      </c>
    </row>
    <row r="2187" spans="1:16" x14ac:dyDescent="0.25">
      <c r="A2187" t="s">
        <v>3296</v>
      </c>
      <c r="B2187" t="s">
        <v>2931</v>
      </c>
      <c r="C2187">
        <v>12194</v>
      </c>
      <c r="D2187" t="str">
        <f>"5016551     "</f>
        <v xml:space="preserve">5016551     </v>
      </c>
      <c r="E2187" t="s">
        <v>8</v>
      </c>
      <c r="F2187" t="s">
        <v>11</v>
      </c>
      <c r="G2187">
        <v>416.85</v>
      </c>
      <c r="H2187">
        <v>251001</v>
      </c>
      <c r="I2187">
        <v>4841</v>
      </c>
      <c r="J2187" t="s">
        <v>9</v>
      </c>
      <c r="K2187">
        <v>513.55999999999995</v>
      </c>
      <c r="L2187">
        <v>84.7</v>
      </c>
      <c r="M2187">
        <v>11101</v>
      </c>
      <c r="N2187" t="s">
        <v>67</v>
      </c>
      <c r="O2187">
        <v>250917</v>
      </c>
      <c r="P2187">
        <v>332.15</v>
      </c>
    </row>
    <row r="2188" spans="1:16" x14ac:dyDescent="0.25">
      <c r="A2188" t="s">
        <v>3296</v>
      </c>
      <c r="B2188" t="s">
        <v>2931</v>
      </c>
      <c r="C2188">
        <v>12196</v>
      </c>
      <c r="D2188" t="str">
        <f>"5016567     "</f>
        <v xml:space="preserve">5016567     </v>
      </c>
      <c r="E2188" t="s">
        <v>8</v>
      </c>
      <c r="F2188" t="s">
        <v>11</v>
      </c>
      <c r="G2188">
        <v>873.78</v>
      </c>
      <c r="H2188">
        <v>251001</v>
      </c>
      <c r="I2188">
        <v>4841</v>
      </c>
      <c r="J2188" t="s">
        <v>9</v>
      </c>
      <c r="K2188">
        <v>873.78</v>
      </c>
      <c r="L2188">
        <v>177.54</v>
      </c>
      <c r="M2188">
        <v>11301</v>
      </c>
      <c r="N2188" t="s">
        <v>92</v>
      </c>
      <c r="O2188">
        <v>250917</v>
      </c>
      <c r="P2188">
        <v>696.24</v>
      </c>
    </row>
    <row r="2189" spans="1:16" x14ac:dyDescent="0.25">
      <c r="A2189" t="s">
        <v>3296</v>
      </c>
      <c r="B2189" t="s">
        <v>2931</v>
      </c>
      <c r="C2189">
        <v>12197</v>
      </c>
      <c r="D2189" t="str">
        <f>"5016561     "</f>
        <v xml:space="preserve">5016561     </v>
      </c>
      <c r="E2189" t="s">
        <v>8</v>
      </c>
      <c r="F2189" t="s">
        <v>11</v>
      </c>
      <c r="G2189">
        <v>412.83</v>
      </c>
      <c r="H2189">
        <v>251001</v>
      </c>
      <c r="I2189">
        <v>4841</v>
      </c>
      <c r="J2189" t="s">
        <v>9</v>
      </c>
      <c r="K2189">
        <v>1887.77</v>
      </c>
      <c r="L2189">
        <v>83.88</v>
      </c>
      <c r="M2189">
        <v>11001</v>
      </c>
      <c r="N2189" t="s">
        <v>93</v>
      </c>
      <c r="O2189">
        <v>250917</v>
      </c>
      <c r="P2189">
        <v>328.95</v>
      </c>
    </row>
    <row r="2190" spans="1:16" x14ac:dyDescent="0.25">
      <c r="A2190" t="s">
        <v>3296</v>
      </c>
      <c r="B2190" t="s">
        <v>2931</v>
      </c>
      <c r="C2190">
        <v>12197</v>
      </c>
      <c r="D2190" t="str">
        <f>"5016561     "</f>
        <v xml:space="preserve">5016561     </v>
      </c>
      <c r="E2190" t="s">
        <v>8</v>
      </c>
      <c r="F2190" t="s">
        <v>11</v>
      </c>
      <c r="G2190">
        <v>814.27</v>
      </c>
      <c r="H2190">
        <v>251001</v>
      </c>
      <c r="I2190">
        <v>4841</v>
      </c>
      <c r="J2190" t="s">
        <v>9</v>
      </c>
      <c r="K2190">
        <v>1887.77</v>
      </c>
      <c r="L2190">
        <v>165.45</v>
      </c>
      <c r="M2190">
        <v>11001</v>
      </c>
      <c r="N2190" t="s">
        <v>93</v>
      </c>
      <c r="O2190">
        <v>250917</v>
      </c>
      <c r="P2190">
        <v>648.82000000000005</v>
      </c>
    </row>
    <row r="2191" spans="1:16" x14ac:dyDescent="0.25">
      <c r="A2191" t="s">
        <v>3296</v>
      </c>
      <c r="B2191" t="s">
        <v>2931</v>
      </c>
      <c r="C2191">
        <v>12197</v>
      </c>
      <c r="D2191" t="str">
        <f>"5016561     "</f>
        <v xml:space="preserve">5016561     </v>
      </c>
      <c r="E2191" t="s">
        <v>8</v>
      </c>
      <c r="F2191" t="s">
        <v>11</v>
      </c>
      <c r="G2191">
        <v>95.56</v>
      </c>
      <c r="H2191">
        <v>251001</v>
      </c>
      <c r="I2191">
        <v>4841</v>
      </c>
      <c r="J2191" t="s">
        <v>9</v>
      </c>
      <c r="K2191">
        <v>1887.77</v>
      </c>
      <c r="L2191">
        <v>19.420000000000002</v>
      </c>
      <c r="M2191">
        <v>11101</v>
      </c>
      <c r="N2191" t="s">
        <v>67</v>
      </c>
      <c r="O2191">
        <v>250917</v>
      </c>
      <c r="P2191">
        <v>76.14</v>
      </c>
    </row>
    <row r="2192" spans="1:16" x14ac:dyDescent="0.25">
      <c r="A2192" t="s">
        <v>3296</v>
      </c>
      <c r="B2192" t="s">
        <v>2931</v>
      </c>
      <c r="C2192">
        <v>12197</v>
      </c>
      <c r="D2192" t="str">
        <f>"5016561     "</f>
        <v xml:space="preserve">5016561     </v>
      </c>
      <c r="E2192" t="s">
        <v>8</v>
      </c>
      <c r="F2192" t="s">
        <v>11</v>
      </c>
      <c r="G2192">
        <v>308.02999999999997</v>
      </c>
      <c r="H2192">
        <v>251001</v>
      </c>
      <c r="I2192">
        <v>4841</v>
      </c>
      <c r="J2192" t="s">
        <v>9</v>
      </c>
      <c r="K2192">
        <v>1887.77</v>
      </c>
      <c r="L2192">
        <v>62.59</v>
      </c>
      <c r="M2192">
        <v>11501</v>
      </c>
      <c r="N2192" t="s">
        <v>13</v>
      </c>
      <c r="O2192">
        <v>250917</v>
      </c>
      <c r="P2192">
        <v>245.44</v>
      </c>
    </row>
    <row r="2193" spans="1:16" x14ac:dyDescent="0.25">
      <c r="A2193" t="s">
        <v>3296</v>
      </c>
      <c r="B2193" t="s">
        <v>2931</v>
      </c>
      <c r="C2193">
        <v>12197</v>
      </c>
      <c r="D2193" t="str">
        <f>"5016561     "</f>
        <v xml:space="preserve">5016561     </v>
      </c>
      <c r="E2193" t="s">
        <v>8</v>
      </c>
      <c r="F2193" t="s">
        <v>11</v>
      </c>
      <c r="G2193">
        <v>257.08</v>
      </c>
      <c r="H2193">
        <v>251001</v>
      </c>
      <c r="I2193">
        <v>4841</v>
      </c>
      <c r="J2193" t="s">
        <v>9</v>
      </c>
      <c r="K2193">
        <v>1887.77</v>
      </c>
      <c r="L2193">
        <v>52.24</v>
      </c>
      <c r="M2193">
        <v>13281</v>
      </c>
      <c r="N2193" t="s">
        <v>476</v>
      </c>
      <c r="O2193">
        <v>250917</v>
      </c>
      <c r="P2193">
        <v>204.84</v>
      </c>
    </row>
    <row r="2194" spans="1:16" x14ac:dyDescent="0.25">
      <c r="A2194" t="s">
        <v>3296</v>
      </c>
      <c r="B2194" t="s">
        <v>2931</v>
      </c>
      <c r="C2194">
        <v>12198</v>
      </c>
      <c r="D2194" t="str">
        <f t="shared" ref="D2194:D2215" si="72">"5016564     "</f>
        <v xml:space="preserve">5016564     </v>
      </c>
      <c r="E2194" t="s">
        <v>8</v>
      </c>
      <c r="F2194" t="s">
        <v>11</v>
      </c>
      <c r="G2194">
        <v>1406.16</v>
      </c>
      <c r="H2194">
        <v>251001</v>
      </c>
      <c r="I2194">
        <v>4841</v>
      </c>
      <c r="J2194" t="s">
        <v>9</v>
      </c>
      <c r="K2194">
        <v>15138.5</v>
      </c>
      <c r="L2194">
        <v>285.70999999999998</v>
      </c>
      <c r="M2194">
        <v>54222</v>
      </c>
      <c r="N2194" t="s">
        <v>48</v>
      </c>
      <c r="O2194">
        <v>250917</v>
      </c>
      <c r="P2194">
        <v>1120.45</v>
      </c>
    </row>
    <row r="2195" spans="1:16" x14ac:dyDescent="0.25">
      <c r="A2195" t="s">
        <v>3296</v>
      </c>
      <c r="B2195" t="s">
        <v>2931</v>
      </c>
      <c r="C2195">
        <v>12198</v>
      </c>
      <c r="D2195" t="str">
        <f t="shared" si="72"/>
        <v xml:space="preserve">5016564     </v>
      </c>
      <c r="E2195" t="s">
        <v>8</v>
      </c>
      <c r="F2195" t="s">
        <v>11</v>
      </c>
      <c r="G2195">
        <v>694.07</v>
      </c>
      <c r="H2195">
        <v>251001</v>
      </c>
      <c r="I2195">
        <v>4841</v>
      </c>
      <c r="J2195" t="s">
        <v>9</v>
      </c>
      <c r="K2195">
        <v>15138.5</v>
      </c>
      <c r="L2195">
        <v>141.03</v>
      </c>
      <c r="M2195">
        <v>54222</v>
      </c>
      <c r="N2195" t="s">
        <v>48</v>
      </c>
      <c r="O2195">
        <v>250917</v>
      </c>
      <c r="P2195">
        <v>553.04</v>
      </c>
    </row>
    <row r="2196" spans="1:16" x14ac:dyDescent="0.25">
      <c r="A2196" t="s">
        <v>3296</v>
      </c>
      <c r="B2196" t="s">
        <v>2931</v>
      </c>
      <c r="C2196">
        <v>12198</v>
      </c>
      <c r="D2196" t="str">
        <f t="shared" si="72"/>
        <v xml:space="preserve">5016564     </v>
      </c>
      <c r="E2196" t="s">
        <v>8</v>
      </c>
      <c r="F2196" t="s">
        <v>11</v>
      </c>
      <c r="G2196">
        <v>47.31</v>
      </c>
      <c r="H2196">
        <v>251001</v>
      </c>
      <c r="I2196">
        <v>4841</v>
      </c>
      <c r="J2196" t="s">
        <v>9</v>
      </c>
      <c r="K2196">
        <v>15138.5</v>
      </c>
      <c r="L2196">
        <v>9.61</v>
      </c>
      <c r="M2196">
        <v>54422</v>
      </c>
      <c r="N2196" t="s">
        <v>49</v>
      </c>
      <c r="O2196">
        <v>250917</v>
      </c>
      <c r="P2196">
        <v>37.700000000000003</v>
      </c>
    </row>
    <row r="2197" spans="1:16" x14ac:dyDescent="0.25">
      <c r="A2197" t="s">
        <v>3296</v>
      </c>
      <c r="B2197" t="s">
        <v>2931</v>
      </c>
      <c r="C2197">
        <v>12198</v>
      </c>
      <c r="D2197" t="str">
        <f t="shared" si="72"/>
        <v xml:space="preserve">5016564     </v>
      </c>
      <c r="E2197" t="s">
        <v>8</v>
      </c>
      <c r="F2197" t="s">
        <v>11</v>
      </c>
      <c r="G2197">
        <v>1306.76</v>
      </c>
      <c r="H2197">
        <v>251001</v>
      </c>
      <c r="I2197">
        <v>4841</v>
      </c>
      <c r="J2197" t="s">
        <v>9</v>
      </c>
      <c r="K2197">
        <v>15138.5</v>
      </c>
      <c r="L2197">
        <v>265.52</v>
      </c>
      <c r="M2197">
        <v>54422</v>
      </c>
      <c r="N2197" t="s">
        <v>49</v>
      </c>
      <c r="O2197">
        <v>250917</v>
      </c>
      <c r="P2197">
        <v>1041.24</v>
      </c>
    </row>
    <row r="2198" spans="1:16" x14ac:dyDescent="0.25">
      <c r="A2198" t="s">
        <v>3296</v>
      </c>
      <c r="B2198" t="s">
        <v>2931</v>
      </c>
      <c r="C2198">
        <v>12198</v>
      </c>
      <c r="D2198" t="str">
        <f t="shared" si="72"/>
        <v xml:space="preserve">5016564     </v>
      </c>
      <c r="E2198" t="s">
        <v>8</v>
      </c>
      <c r="F2198" t="s">
        <v>11</v>
      </c>
      <c r="G2198">
        <v>595.28</v>
      </c>
      <c r="H2198">
        <v>251001</v>
      </c>
      <c r="I2198">
        <v>4841</v>
      </c>
      <c r="J2198" t="s">
        <v>9</v>
      </c>
      <c r="K2198">
        <v>15138.5</v>
      </c>
      <c r="L2198">
        <v>120.95</v>
      </c>
      <c r="M2198">
        <v>56558</v>
      </c>
      <c r="N2198" t="s">
        <v>50</v>
      </c>
      <c r="O2198">
        <v>250917</v>
      </c>
      <c r="P2198">
        <v>474.33</v>
      </c>
    </row>
    <row r="2199" spans="1:16" x14ac:dyDescent="0.25">
      <c r="A2199" t="s">
        <v>3296</v>
      </c>
      <c r="B2199" t="s">
        <v>2931</v>
      </c>
      <c r="C2199">
        <v>12198</v>
      </c>
      <c r="D2199" t="str">
        <f t="shared" si="72"/>
        <v xml:space="preserve">5016564     </v>
      </c>
      <c r="E2199" t="s">
        <v>8</v>
      </c>
      <c r="F2199" t="s">
        <v>11</v>
      </c>
      <c r="G2199">
        <v>1608.13</v>
      </c>
      <c r="H2199">
        <v>251001</v>
      </c>
      <c r="I2199">
        <v>4841</v>
      </c>
      <c r="J2199" t="s">
        <v>9</v>
      </c>
      <c r="K2199">
        <v>15138.5</v>
      </c>
      <c r="L2199">
        <v>326.75</v>
      </c>
      <c r="M2199">
        <v>56559</v>
      </c>
      <c r="N2199" t="s">
        <v>51</v>
      </c>
      <c r="O2199">
        <v>250917</v>
      </c>
      <c r="P2199">
        <v>1281.3800000000001</v>
      </c>
    </row>
    <row r="2200" spans="1:16" x14ac:dyDescent="0.25">
      <c r="A2200" t="s">
        <v>3296</v>
      </c>
      <c r="B2200" t="s">
        <v>2931</v>
      </c>
      <c r="C2200">
        <v>12198</v>
      </c>
      <c r="D2200" t="str">
        <f t="shared" si="72"/>
        <v xml:space="preserve">5016564     </v>
      </c>
      <c r="E2200" t="s">
        <v>8</v>
      </c>
      <c r="F2200" t="s">
        <v>11</v>
      </c>
      <c r="G2200">
        <v>1194.92</v>
      </c>
      <c r="H2200">
        <v>251001</v>
      </c>
      <c r="I2200">
        <v>4841</v>
      </c>
      <c r="J2200" t="s">
        <v>9</v>
      </c>
      <c r="K2200">
        <v>15138.5</v>
      </c>
      <c r="L2200">
        <v>242.79</v>
      </c>
      <c r="M2200">
        <v>56560</v>
      </c>
      <c r="N2200" t="s">
        <v>52</v>
      </c>
      <c r="O2200">
        <v>250917</v>
      </c>
      <c r="P2200">
        <v>952.13</v>
      </c>
    </row>
    <row r="2201" spans="1:16" x14ac:dyDescent="0.25">
      <c r="A2201" t="s">
        <v>3296</v>
      </c>
      <c r="B2201" t="s">
        <v>2931</v>
      </c>
      <c r="C2201">
        <v>12198</v>
      </c>
      <c r="D2201" t="str">
        <f t="shared" si="72"/>
        <v xml:space="preserve">5016564     </v>
      </c>
      <c r="E2201" t="s">
        <v>8</v>
      </c>
      <c r="F2201" t="s">
        <v>11</v>
      </c>
      <c r="G2201">
        <v>321.33</v>
      </c>
      <c r="H2201">
        <v>251001</v>
      </c>
      <c r="I2201">
        <v>4841</v>
      </c>
      <c r="J2201" t="s">
        <v>9</v>
      </c>
      <c r="K2201">
        <v>15138.5</v>
      </c>
      <c r="L2201">
        <v>65.290000000000006</v>
      </c>
      <c r="M2201">
        <v>56561</v>
      </c>
      <c r="N2201" t="s">
        <v>53</v>
      </c>
      <c r="O2201">
        <v>250917</v>
      </c>
      <c r="P2201">
        <v>256.04000000000002</v>
      </c>
    </row>
    <row r="2202" spans="1:16" x14ac:dyDescent="0.25">
      <c r="A2202" t="s">
        <v>3296</v>
      </c>
      <c r="B2202" t="s">
        <v>2931</v>
      </c>
      <c r="C2202">
        <v>12198</v>
      </c>
      <c r="D2202" t="str">
        <f t="shared" si="72"/>
        <v xml:space="preserve">5016564     </v>
      </c>
      <c r="E2202" t="s">
        <v>8</v>
      </c>
      <c r="F2202" t="s">
        <v>11</v>
      </c>
      <c r="G2202">
        <v>1089.42</v>
      </c>
      <c r="H2202">
        <v>251001</v>
      </c>
      <c r="I2202">
        <v>4841</v>
      </c>
      <c r="J2202" t="s">
        <v>9</v>
      </c>
      <c r="K2202">
        <v>15138.5</v>
      </c>
      <c r="L2202">
        <v>221.36</v>
      </c>
      <c r="M2202">
        <v>56562</v>
      </c>
      <c r="N2202" t="s">
        <v>54</v>
      </c>
      <c r="O2202">
        <v>250917</v>
      </c>
      <c r="P2202">
        <v>868.06</v>
      </c>
    </row>
    <row r="2203" spans="1:16" x14ac:dyDescent="0.25">
      <c r="A2203" t="s">
        <v>3296</v>
      </c>
      <c r="B2203" t="s">
        <v>2931</v>
      </c>
      <c r="C2203">
        <v>12198</v>
      </c>
      <c r="D2203" t="str">
        <f t="shared" si="72"/>
        <v xml:space="preserve">5016564     </v>
      </c>
      <c r="E2203" t="s">
        <v>8</v>
      </c>
      <c r="F2203" t="s">
        <v>11</v>
      </c>
      <c r="G2203">
        <v>196.26</v>
      </c>
      <c r="H2203">
        <v>251001</v>
      </c>
      <c r="I2203">
        <v>4841</v>
      </c>
      <c r="J2203" t="s">
        <v>9</v>
      </c>
      <c r="K2203">
        <v>15138.5</v>
      </c>
      <c r="L2203">
        <v>39.880000000000003</v>
      </c>
      <c r="M2203">
        <v>56563</v>
      </c>
      <c r="N2203" t="s">
        <v>55</v>
      </c>
      <c r="O2203">
        <v>250917</v>
      </c>
      <c r="P2203">
        <v>156.38</v>
      </c>
    </row>
    <row r="2204" spans="1:16" x14ac:dyDescent="0.25">
      <c r="A2204" t="s">
        <v>3296</v>
      </c>
      <c r="B2204" t="s">
        <v>2931</v>
      </c>
      <c r="C2204">
        <v>12198</v>
      </c>
      <c r="D2204" t="str">
        <f t="shared" si="72"/>
        <v xml:space="preserve">5016564     </v>
      </c>
      <c r="E2204" t="s">
        <v>8</v>
      </c>
      <c r="F2204" t="s">
        <v>11</v>
      </c>
      <c r="G2204">
        <v>689.25</v>
      </c>
      <c r="H2204">
        <v>251001</v>
      </c>
      <c r="I2204">
        <v>4841</v>
      </c>
      <c r="J2204" t="s">
        <v>9</v>
      </c>
      <c r="K2204">
        <v>15138.5</v>
      </c>
      <c r="L2204">
        <v>140.05000000000001</v>
      </c>
      <c r="M2204">
        <v>56564</v>
      </c>
      <c r="N2204" t="s">
        <v>56</v>
      </c>
      <c r="O2204">
        <v>250917</v>
      </c>
      <c r="P2204">
        <v>549.20000000000005</v>
      </c>
    </row>
    <row r="2205" spans="1:16" x14ac:dyDescent="0.25">
      <c r="A2205" t="s">
        <v>3296</v>
      </c>
      <c r="B2205" t="s">
        <v>2931</v>
      </c>
      <c r="C2205">
        <v>12198</v>
      </c>
      <c r="D2205" t="str">
        <f t="shared" si="72"/>
        <v xml:space="preserve">5016564     </v>
      </c>
      <c r="E2205" t="s">
        <v>8</v>
      </c>
      <c r="F2205" t="s">
        <v>11</v>
      </c>
      <c r="G2205">
        <v>71.77</v>
      </c>
      <c r="H2205">
        <v>251001</v>
      </c>
      <c r="I2205">
        <v>4841</v>
      </c>
      <c r="J2205" t="s">
        <v>9</v>
      </c>
      <c r="K2205">
        <v>15138.5</v>
      </c>
      <c r="L2205">
        <v>14.58</v>
      </c>
      <c r="M2205">
        <v>56565</v>
      </c>
      <c r="N2205" t="s">
        <v>57</v>
      </c>
      <c r="O2205">
        <v>250917</v>
      </c>
      <c r="P2205">
        <v>57.19</v>
      </c>
    </row>
    <row r="2206" spans="1:16" x14ac:dyDescent="0.25">
      <c r="A2206" t="s">
        <v>3296</v>
      </c>
      <c r="B2206" t="s">
        <v>2931</v>
      </c>
      <c r="C2206">
        <v>12198</v>
      </c>
      <c r="D2206" t="str">
        <f t="shared" si="72"/>
        <v xml:space="preserve">5016564     </v>
      </c>
      <c r="E2206" t="s">
        <v>8</v>
      </c>
      <c r="F2206" t="s">
        <v>11</v>
      </c>
      <c r="G2206">
        <v>2864.44</v>
      </c>
      <c r="H2206">
        <v>251001</v>
      </c>
      <c r="I2206">
        <v>4841</v>
      </c>
      <c r="J2206" t="s">
        <v>9</v>
      </c>
      <c r="K2206">
        <v>15138.5</v>
      </c>
      <c r="L2206">
        <v>582.02</v>
      </c>
      <c r="M2206">
        <v>56566</v>
      </c>
      <c r="N2206" t="s">
        <v>58</v>
      </c>
      <c r="O2206">
        <v>250917</v>
      </c>
      <c r="P2206">
        <v>2282.42</v>
      </c>
    </row>
    <row r="2207" spans="1:16" x14ac:dyDescent="0.25">
      <c r="A2207" t="s">
        <v>3296</v>
      </c>
      <c r="B2207" t="s">
        <v>2931</v>
      </c>
      <c r="C2207">
        <v>12198</v>
      </c>
      <c r="D2207" t="str">
        <f t="shared" si="72"/>
        <v xml:space="preserve">5016564     </v>
      </c>
      <c r="E2207" t="s">
        <v>8</v>
      </c>
      <c r="F2207" t="s">
        <v>11</v>
      </c>
      <c r="G2207">
        <v>998.89</v>
      </c>
      <c r="H2207">
        <v>251001</v>
      </c>
      <c r="I2207">
        <v>4841</v>
      </c>
      <c r="J2207" t="s">
        <v>9</v>
      </c>
      <c r="K2207">
        <v>15138.5</v>
      </c>
      <c r="L2207">
        <v>202.96</v>
      </c>
      <c r="M2207">
        <v>58601</v>
      </c>
      <c r="N2207" t="s">
        <v>59</v>
      </c>
      <c r="O2207">
        <v>250917</v>
      </c>
      <c r="P2207">
        <v>795.93</v>
      </c>
    </row>
    <row r="2208" spans="1:16" x14ac:dyDescent="0.25">
      <c r="A2208" t="s">
        <v>3296</v>
      </c>
      <c r="B2208" t="s">
        <v>2931</v>
      </c>
      <c r="C2208">
        <v>12198</v>
      </c>
      <c r="D2208" t="str">
        <f t="shared" si="72"/>
        <v xml:space="preserve">5016564     </v>
      </c>
      <c r="E2208" t="s">
        <v>8</v>
      </c>
      <c r="F2208" t="s">
        <v>11</v>
      </c>
      <c r="G2208">
        <v>68.2</v>
      </c>
      <c r="H2208">
        <v>251001</v>
      </c>
      <c r="I2208">
        <v>4841</v>
      </c>
      <c r="J2208" t="s">
        <v>9</v>
      </c>
      <c r="K2208">
        <v>15138.5</v>
      </c>
      <c r="L2208">
        <v>13.86</v>
      </c>
      <c r="M2208">
        <v>59111</v>
      </c>
      <c r="N2208" t="s">
        <v>60</v>
      </c>
      <c r="O2208">
        <v>250917</v>
      </c>
      <c r="P2208">
        <v>54.34</v>
      </c>
    </row>
    <row r="2209" spans="1:16" x14ac:dyDescent="0.25">
      <c r="A2209" t="s">
        <v>3296</v>
      </c>
      <c r="B2209" t="s">
        <v>2931</v>
      </c>
      <c r="C2209">
        <v>12198</v>
      </c>
      <c r="D2209" t="str">
        <f t="shared" si="72"/>
        <v xml:space="preserve">5016564     </v>
      </c>
      <c r="E2209" t="s">
        <v>8</v>
      </c>
      <c r="F2209" t="s">
        <v>11</v>
      </c>
      <c r="G2209">
        <v>105.38</v>
      </c>
      <c r="H2209">
        <v>251001</v>
      </c>
      <c r="I2209">
        <v>4841</v>
      </c>
      <c r="J2209" t="s">
        <v>9</v>
      </c>
      <c r="K2209">
        <v>15138.5</v>
      </c>
      <c r="L2209">
        <v>21.41</v>
      </c>
      <c r="M2209">
        <v>59113</v>
      </c>
      <c r="N2209" t="s">
        <v>61</v>
      </c>
      <c r="O2209">
        <v>250917</v>
      </c>
      <c r="P2209">
        <v>83.97</v>
      </c>
    </row>
    <row r="2210" spans="1:16" x14ac:dyDescent="0.25">
      <c r="A2210" t="s">
        <v>3296</v>
      </c>
      <c r="B2210" t="s">
        <v>2931</v>
      </c>
      <c r="C2210">
        <v>12198</v>
      </c>
      <c r="D2210" t="str">
        <f t="shared" si="72"/>
        <v xml:space="preserve">5016564     </v>
      </c>
      <c r="E2210" t="s">
        <v>8</v>
      </c>
      <c r="F2210" t="s">
        <v>11</v>
      </c>
      <c r="G2210">
        <v>152.13999999999999</v>
      </c>
      <c r="H2210">
        <v>251001</v>
      </c>
      <c r="I2210">
        <v>4841</v>
      </c>
      <c r="J2210" t="s">
        <v>9</v>
      </c>
      <c r="K2210">
        <v>15138.5</v>
      </c>
      <c r="L2210">
        <v>30.91</v>
      </c>
      <c r="M2210">
        <v>59501</v>
      </c>
      <c r="N2210" t="s">
        <v>62</v>
      </c>
      <c r="O2210">
        <v>250917</v>
      </c>
      <c r="P2210">
        <v>121.23</v>
      </c>
    </row>
    <row r="2211" spans="1:16" x14ac:dyDescent="0.25">
      <c r="A2211" t="s">
        <v>3296</v>
      </c>
      <c r="B2211" t="s">
        <v>2931</v>
      </c>
      <c r="C2211">
        <v>12198</v>
      </c>
      <c r="D2211" t="str">
        <f t="shared" si="72"/>
        <v xml:space="preserve">5016564     </v>
      </c>
      <c r="E2211" t="s">
        <v>8</v>
      </c>
      <c r="F2211" t="s">
        <v>11</v>
      </c>
      <c r="G2211">
        <v>415.38</v>
      </c>
      <c r="H2211">
        <v>251001</v>
      </c>
      <c r="I2211">
        <v>4841</v>
      </c>
      <c r="J2211" t="s">
        <v>9</v>
      </c>
      <c r="K2211">
        <v>15138.5</v>
      </c>
      <c r="L2211">
        <v>84.4</v>
      </c>
      <c r="M2211">
        <v>59502</v>
      </c>
      <c r="N2211" t="s">
        <v>63</v>
      </c>
      <c r="O2211">
        <v>250917</v>
      </c>
      <c r="P2211">
        <v>330.98</v>
      </c>
    </row>
    <row r="2212" spans="1:16" x14ac:dyDescent="0.25">
      <c r="A2212" t="s">
        <v>3296</v>
      </c>
      <c r="B2212" t="s">
        <v>2931</v>
      </c>
      <c r="C2212">
        <v>12198</v>
      </c>
      <c r="D2212" t="str">
        <f t="shared" si="72"/>
        <v xml:space="preserve">5016564     </v>
      </c>
      <c r="E2212" t="s">
        <v>8</v>
      </c>
      <c r="F2212" t="s">
        <v>11</v>
      </c>
      <c r="G2212">
        <v>237.99</v>
      </c>
      <c r="H2212">
        <v>251001</v>
      </c>
      <c r="I2212">
        <v>4841</v>
      </c>
      <c r="J2212" t="s">
        <v>9</v>
      </c>
      <c r="K2212">
        <v>15138.5</v>
      </c>
      <c r="L2212">
        <v>48.36</v>
      </c>
      <c r="M2212">
        <v>59701</v>
      </c>
      <c r="N2212" t="s">
        <v>64</v>
      </c>
      <c r="O2212">
        <v>250917</v>
      </c>
      <c r="P2212">
        <v>189.63</v>
      </c>
    </row>
    <row r="2213" spans="1:16" x14ac:dyDescent="0.25">
      <c r="A2213" t="s">
        <v>3296</v>
      </c>
      <c r="B2213" t="s">
        <v>2931</v>
      </c>
      <c r="C2213">
        <v>12198</v>
      </c>
      <c r="D2213" t="str">
        <f t="shared" si="72"/>
        <v xml:space="preserve">5016564     </v>
      </c>
      <c r="E2213" t="s">
        <v>8</v>
      </c>
      <c r="F2213" t="s">
        <v>11</v>
      </c>
      <c r="G2213">
        <v>789.7</v>
      </c>
      <c r="H2213">
        <v>251001</v>
      </c>
      <c r="I2213">
        <v>4841</v>
      </c>
      <c r="J2213" t="s">
        <v>9</v>
      </c>
      <c r="K2213">
        <v>15138.5</v>
      </c>
      <c r="L2213">
        <v>160.46</v>
      </c>
      <c r="M2213">
        <v>59702</v>
      </c>
      <c r="N2213" t="s">
        <v>45</v>
      </c>
      <c r="O2213">
        <v>250917</v>
      </c>
      <c r="P2213">
        <v>629.24</v>
      </c>
    </row>
    <row r="2214" spans="1:16" x14ac:dyDescent="0.25">
      <c r="A2214" t="s">
        <v>3296</v>
      </c>
      <c r="B2214" t="s">
        <v>2931</v>
      </c>
      <c r="C2214">
        <v>12198</v>
      </c>
      <c r="D2214" t="str">
        <f t="shared" si="72"/>
        <v xml:space="preserve">5016564     </v>
      </c>
      <c r="E2214" t="s">
        <v>8</v>
      </c>
      <c r="F2214" t="s">
        <v>11</v>
      </c>
      <c r="G2214">
        <v>126.86</v>
      </c>
      <c r="H2214">
        <v>251001</v>
      </c>
      <c r="I2214">
        <v>4841</v>
      </c>
      <c r="J2214" t="s">
        <v>9</v>
      </c>
      <c r="K2214">
        <v>15138.5</v>
      </c>
      <c r="L2214">
        <v>25.78</v>
      </c>
      <c r="M2214">
        <v>59704</v>
      </c>
      <c r="N2214" t="s">
        <v>46</v>
      </c>
      <c r="O2214">
        <v>250917</v>
      </c>
      <c r="P2214">
        <v>101.08</v>
      </c>
    </row>
    <row r="2215" spans="1:16" x14ac:dyDescent="0.25">
      <c r="A2215" t="s">
        <v>3296</v>
      </c>
      <c r="B2215" t="s">
        <v>2931</v>
      </c>
      <c r="C2215">
        <v>12198</v>
      </c>
      <c r="D2215" t="str">
        <f t="shared" si="72"/>
        <v xml:space="preserve">5016564     </v>
      </c>
      <c r="E2215" t="s">
        <v>8</v>
      </c>
      <c r="F2215" t="s">
        <v>11</v>
      </c>
      <c r="G2215">
        <v>158.86000000000001</v>
      </c>
      <c r="H2215">
        <v>251001</v>
      </c>
      <c r="I2215">
        <v>4841</v>
      </c>
      <c r="J2215" t="s">
        <v>9</v>
      </c>
      <c r="K2215">
        <v>15138.5</v>
      </c>
      <c r="L2215">
        <v>32.28</v>
      </c>
      <c r="M2215">
        <v>59705</v>
      </c>
      <c r="N2215" t="s">
        <v>47</v>
      </c>
      <c r="O2215">
        <v>250917</v>
      </c>
      <c r="P2215">
        <v>126.58</v>
      </c>
    </row>
    <row r="2216" spans="1:16" x14ac:dyDescent="0.25">
      <c r="A2216" t="s">
        <v>3296</v>
      </c>
      <c r="B2216" t="s">
        <v>2931</v>
      </c>
      <c r="C2216">
        <v>12199</v>
      </c>
      <c r="D2216" t="str">
        <f>"5016557     "</f>
        <v xml:space="preserve">5016557     </v>
      </c>
      <c r="E2216" t="s">
        <v>8</v>
      </c>
      <c r="F2216" t="s">
        <v>11</v>
      </c>
      <c r="G2216">
        <v>262.81</v>
      </c>
      <c r="H2216">
        <v>251001</v>
      </c>
      <c r="I2216">
        <v>4841</v>
      </c>
      <c r="J2216" t="s">
        <v>9</v>
      </c>
      <c r="K2216">
        <v>262.81</v>
      </c>
      <c r="L2216">
        <v>53.4</v>
      </c>
      <c r="M2216">
        <v>11401</v>
      </c>
      <c r="N2216" t="s">
        <v>91</v>
      </c>
      <c r="O2216">
        <v>250917</v>
      </c>
      <c r="P2216">
        <v>209.41</v>
      </c>
    </row>
    <row r="2217" spans="1:16" x14ac:dyDescent="0.25">
      <c r="A2217" t="s">
        <v>3296</v>
      </c>
      <c r="B2217" t="s">
        <v>2931</v>
      </c>
      <c r="C2217">
        <v>12201</v>
      </c>
      <c r="D2217" t="str">
        <f>"5016556     "</f>
        <v xml:space="preserve">5016556     </v>
      </c>
      <c r="E2217" t="s">
        <v>8</v>
      </c>
      <c r="F2217" t="s">
        <v>11</v>
      </c>
      <c r="G2217">
        <v>7172.73</v>
      </c>
      <c r="H2217">
        <v>251001</v>
      </c>
      <c r="I2217">
        <v>4841</v>
      </c>
      <c r="J2217" t="s">
        <v>9</v>
      </c>
      <c r="K2217">
        <v>7436.6</v>
      </c>
      <c r="L2217">
        <v>1457.41</v>
      </c>
      <c r="M2217">
        <v>13401</v>
      </c>
      <c r="N2217" t="s">
        <v>10</v>
      </c>
      <c r="O2217">
        <v>250917</v>
      </c>
      <c r="P2217">
        <v>5715.32</v>
      </c>
    </row>
    <row r="2218" spans="1:16" x14ac:dyDescent="0.25">
      <c r="A2218" t="s">
        <v>3296</v>
      </c>
      <c r="B2218" t="s">
        <v>2931</v>
      </c>
      <c r="C2218">
        <v>12201</v>
      </c>
      <c r="D2218" t="str">
        <f>"5016556     "</f>
        <v xml:space="preserve">5016556     </v>
      </c>
      <c r="E2218" t="s">
        <v>8</v>
      </c>
      <c r="F2218" t="s">
        <v>11</v>
      </c>
      <c r="G2218">
        <v>179.85</v>
      </c>
      <c r="H2218">
        <v>251001</v>
      </c>
      <c r="I2218">
        <v>4841</v>
      </c>
      <c r="J2218" t="s">
        <v>9</v>
      </c>
      <c r="K2218">
        <v>7436.6</v>
      </c>
      <c r="L2218">
        <v>36.54</v>
      </c>
      <c r="M2218">
        <v>13401</v>
      </c>
      <c r="N2218" t="s">
        <v>10</v>
      </c>
      <c r="O2218">
        <v>250917</v>
      </c>
      <c r="P2218">
        <v>143.31</v>
      </c>
    </row>
    <row r="2219" spans="1:16" x14ac:dyDescent="0.25">
      <c r="A2219" t="s">
        <v>3296</v>
      </c>
      <c r="B2219" t="s">
        <v>2931</v>
      </c>
      <c r="C2219">
        <v>12201</v>
      </c>
      <c r="D2219" t="str">
        <f>"5016556     "</f>
        <v xml:space="preserve">5016556     </v>
      </c>
      <c r="E2219" t="s">
        <v>8</v>
      </c>
      <c r="F2219" t="s">
        <v>11</v>
      </c>
      <c r="G2219">
        <v>84.02</v>
      </c>
      <c r="H2219">
        <v>251001</v>
      </c>
      <c r="I2219">
        <v>4841</v>
      </c>
      <c r="J2219" t="s">
        <v>9</v>
      </c>
      <c r="K2219">
        <v>7436.6</v>
      </c>
      <c r="L2219">
        <v>17.07</v>
      </c>
      <c r="M2219">
        <v>13401</v>
      </c>
      <c r="N2219" t="s">
        <v>10</v>
      </c>
      <c r="O2219">
        <v>250917</v>
      </c>
      <c r="P2219">
        <v>66.95</v>
      </c>
    </row>
    <row r="2220" spans="1:16" x14ac:dyDescent="0.25">
      <c r="A2220" t="s">
        <v>3296</v>
      </c>
      <c r="B2220" t="s">
        <v>2931</v>
      </c>
      <c r="C2220">
        <v>12202</v>
      </c>
      <c r="D2220" t="str">
        <f>"17040102    "</f>
        <v xml:space="preserve">17040102    </v>
      </c>
      <c r="E2220" t="s">
        <v>8</v>
      </c>
      <c r="F2220" t="s">
        <v>11</v>
      </c>
      <c r="G2220">
        <v>38.03</v>
      </c>
      <c r="H2220">
        <v>251001</v>
      </c>
      <c r="I2220">
        <v>4841</v>
      </c>
      <c r="J2220" t="s">
        <v>9</v>
      </c>
      <c r="K2220">
        <v>38.03</v>
      </c>
      <c r="L2220">
        <v>7.73</v>
      </c>
      <c r="M2220">
        <v>11801</v>
      </c>
      <c r="N2220" t="s">
        <v>40</v>
      </c>
      <c r="O2220">
        <v>250917</v>
      </c>
      <c r="P2220">
        <v>30.3</v>
      </c>
    </row>
    <row r="2221" spans="1:16" x14ac:dyDescent="0.25">
      <c r="A2221" t="s">
        <v>3296</v>
      </c>
      <c r="B2221" t="s">
        <v>2931</v>
      </c>
      <c r="C2221">
        <v>12203</v>
      </c>
      <c r="D2221" t="str">
        <f>"5016477     "</f>
        <v xml:space="preserve">5016477     </v>
      </c>
      <c r="E2221" t="s">
        <v>8</v>
      </c>
      <c r="F2221" t="s">
        <v>11</v>
      </c>
      <c r="G2221">
        <v>2546.81</v>
      </c>
      <c r="H2221">
        <v>251001</v>
      </c>
      <c r="I2221">
        <v>4841</v>
      </c>
      <c r="J2221" t="s">
        <v>9</v>
      </c>
      <c r="K2221">
        <v>2546.81</v>
      </c>
      <c r="L2221">
        <v>517.48</v>
      </c>
      <c r="M2221">
        <v>11801</v>
      </c>
      <c r="N2221" t="s">
        <v>40</v>
      </c>
      <c r="O2221">
        <v>250917</v>
      </c>
      <c r="P2221">
        <v>2029.33</v>
      </c>
    </row>
    <row r="2222" spans="1:16" x14ac:dyDescent="0.25">
      <c r="A2222" t="s">
        <v>3296</v>
      </c>
      <c r="B2222" t="s">
        <v>2931</v>
      </c>
      <c r="C2222">
        <v>12204</v>
      </c>
      <c r="D2222" t="str">
        <f>"5016473     "</f>
        <v xml:space="preserve">5016473     </v>
      </c>
      <c r="E2222" t="s">
        <v>8</v>
      </c>
      <c r="F2222" t="s">
        <v>11</v>
      </c>
      <c r="G2222">
        <v>13.79</v>
      </c>
      <c r="H2222">
        <v>251001</v>
      </c>
      <c r="I2222">
        <v>4841</v>
      </c>
      <c r="J2222" t="s">
        <v>9</v>
      </c>
      <c r="K2222">
        <v>13.79</v>
      </c>
      <c r="L2222">
        <v>2.8</v>
      </c>
      <c r="M2222">
        <v>17972</v>
      </c>
      <c r="N2222" t="s">
        <v>28</v>
      </c>
      <c r="O2222">
        <v>250917</v>
      </c>
      <c r="P2222">
        <v>10.99</v>
      </c>
    </row>
    <row r="2223" spans="1:16" x14ac:dyDescent="0.25">
      <c r="A2223" t="s">
        <v>3296</v>
      </c>
      <c r="B2223" t="s">
        <v>2931</v>
      </c>
      <c r="C2223">
        <v>12205</v>
      </c>
      <c r="D2223" t="str">
        <f t="shared" ref="D2223:D2229" si="73">"5016555     "</f>
        <v xml:space="preserve">5016555     </v>
      </c>
      <c r="E2223" t="s">
        <v>8</v>
      </c>
      <c r="F2223" t="s">
        <v>11</v>
      </c>
      <c r="G2223">
        <v>1474.64</v>
      </c>
      <c r="H2223">
        <v>251001</v>
      </c>
      <c r="I2223">
        <v>4841</v>
      </c>
      <c r="J2223" t="s">
        <v>9</v>
      </c>
      <c r="K2223">
        <v>3163.52</v>
      </c>
      <c r="L2223">
        <v>299.63</v>
      </c>
      <c r="M2223">
        <v>53222</v>
      </c>
      <c r="N2223" t="s">
        <v>41</v>
      </c>
      <c r="O2223">
        <v>250917</v>
      </c>
      <c r="P2223">
        <v>1175.01</v>
      </c>
    </row>
    <row r="2224" spans="1:16" x14ac:dyDescent="0.25">
      <c r="A2224" t="s">
        <v>3296</v>
      </c>
      <c r="B2224" t="s">
        <v>2931</v>
      </c>
      <c r="C2224">
        <v>12205</v>
      </c>
      <c r="D2224" t="str">
        <f t="shared" si="73"/>
        <v xml:space="preserve">5016555     </v>
      </c>
      <c r="E2224" t="s">
        <v>8</v>
      </c>
      <c r="F2224" t="s">
        <v>11</v>
      </c>
      <c r="G2224">
        <v>693.14</v>
      </c>
      <c r="H2224">
        <v>251001</v>
      </c>
      <c r="I2224">
        <v>4841</v>
      </c>
      <c r="J2224" t="s">
        <v>9</v>
      </c>
      <c r="K2224">
        <v>3163.52</v>
      </c>
      <c r="L2224">
        <v>140.84</v>
      </c>
      <c r="M2224">
        <v>53222</v>
      </c>
      <c r="N2224" t="s">
        <v>41</v>
      </c>
      <c r="O2224">
        <v>250917</v>
      </c>
      <c r="P2224">
        <v>552.29999999999995</v>
      </c>
    </row>
    <row r="2225" spans="1:16" x14ac:dyDescent="0.25">
      <c r="A2225" t="s">
        <v>3296</v>
      </c>
      <c r="B2225" t="s">
        <v>2931</v>
      </c>
      <c r="C2225">
        <v>12205</v>
      </c>
      <c r="D2225" t="str">
        <f t="shared" si="73"/>
        <v xml:space="preserve">5016555     </v>
      </c>
      <c r="E2225" t="s">
        <v>8</v>
      </c>
      <c r="F2225" t="s">
        <v>11</v>
      </c>
      <c r="G2225">
        <v>284.66000000000003</v>
      </c>
      <c r="H2225">
        <v>251001</v>
      </c>
      <c r="I2225">
        <v>4841</v>
      </c>
      <c r="J2225" t="s">
        <v>9</v>
      </c>
      <c r="K2225">
        <v>3163.52</v>
      </c>
      <c r="L2225">
        <v>57.84</v>
      </c>
      <c r="M2225">
        <v>54622</v>
      </c>
      <c r="N2225" t="s">
        <v>42</v>
      </c>
      <c r="O2225">
        <v>250917</v>
      </c>
      <c r="P2225">
        <v>226.82</v>
      </c>
    </row>
    <row r="2226" spans="1:16" x14ac:dyDescent="0.25">
      <c r="A2226" t="s">
        <v>3296</v>
      </c>
      <c r="B2226" t="s">
        <v>2931</v>
      </c>
      <c r="C2226">
        <v>12205</v>
      </c>
      <c r="D2226" t="str">
        <f t="shared" si="73"/>
        <v xml:space="preserve">5016555     </v>
      </c>
      <c r="E2226" t="s">
        <v>8</v>
      </c>
      <c r="F2226" t="s">
        <v>11</v>
      </c>
      <c r="G2226">
        <v>500.32</v>
      </c>
      <c r="H2226">
        <v>251001</v>
      </c>
      <c r="I2226">
        <v>4841</v>
      </c>
      <c r="J2226" t="s">
        <v>9</v>
      </c>
      <c r="K2226">
        <v>3163.52</v>
      </c>
      <c r="L2226">
        <v>101.66</v>
      </c>
      <c r="M2226">
        <v>55222</v>
      </c>
      <c r="N2226" t="s">
        <v>43</v>
      </c>
      <c r="O2226">
        <v>250917</v>
      </c>
      <c r="P2226">
        <v>398.66</v>
      </c>
    </row>
    <row r="2227" spans="1:16" x14ac:dyDescent="0.25">
      <c r="A2227" t="s">
        <v>3296</v>
      </c>
      <c r="B2227" t="s">
        <v>2931</v>
      </c>
      <c r="C2227">
        <v>12205</v>
      </c>
      <c r="D2227" t="str">
        <f t="shared" si="73"/>
        <v xml:space="preserve">5016555     </v>
      </c>
      <c r="E2227" t="s">
        <v>8</v>
      </c>
      <c r="F2227" t="s">
        <v>11</v>
      </c>
      <c r="G2227">
        <v>67.64</v>
      </c>
      <c r="H2227">
        <v>251001</v>
      </c>
      <c r="I2227">
        <v>4841</v>
      </c>
      <c r="J2227" t="s">
        <v>9</v>
      </c>
      <c r="K2227">
        <v>3163.52</v>
      </c>
      <c r="L2227">
        <v>13.74</v>
      </c>
      <c r="M2227">
        <v>59702</v>
      </c>
      <c r="N2227" t="s">
        <v>45</v>
      </c>
      <c r="O2227">
        <v>250917</v>
      </c>
      <c r="P2227">
        <v>53.9</v>
      </c>
    </row>
    <row r="2228" spans="1:16" x14ac:dyDescent="0.25">
      <c r="A2228" t="s">
        <v>3296</v>
      </c>
      <c r="B2228" t="s">
        <v>2931</v>
      </c>
      <c r="C2228">
        <v>12205</v>
      </c>
      <c r="D2228" t="str">
        <f t="shared" si="73"/>
        <v xml:space="preserve">5016555     </v>
      </c>
      <c r="E2228" t="s">
        <v>8</v>
      </c>
      <c r="F2228" t="s">
        <v>11</v>
      </c>
      <c r="G2228">
        <v>130.77000000000001</v>
      </c>
      <c r="H2228">
        <v>251001</v>
      </c>
      <c r="I2228">
        <v>4841</v>
      </c>
      <c r="J2228" t="s">
        <v>9</v>
      </c>
      <c r="K2228">
        <v>3163.52</v>
      </c>
      <c r="L2228">
        <v>26.57</v>
      </c>
      <c r="M2228">
        <v>59704</v>
      </c>
      <c r="N2228" t="s">
        <v>46</v>
      </c>
      <c r="O2228">
        <v>250917</v>
      </c>
      <c r="P2228">
        <v>104.2</v>
      </c>
    </row>
    <row r="2229" spans="1:16" x14ac:dyDescent="0.25">
      <c r="A2229" t="s">
        <v>3296</v>
      </c>
      <c r="B2229" t="s">
        <v>2931</v>
      </c>
      <c r="C2229">
        <v>12205</v>
      </c>
      <c r="D2229" t="str">
        <f t="shared" si="73"/>
        <v xml:space="preserve">5016555     </v>
      </c>
      <c r="E2229" t="s">
        <v>8</v>
      </c>
      <c r="F2229" t="s">
        <v>11</v>
      </c>
      <c r="G2229">
        <v>12.35</v>
      </c>
      <c r="H2229">
        <v>251001</v>
      </c>
      <c r="I2229">
        <v>4841</v>
      </c>
      <c r="J2229" t="s">
        <v>9</v>
      </c>
      <c r="K2229">
        <v>3163.52</v>
      </c>
      <c r="L2229">
        <v>2.5099999999999998</v>
      </c>
      <c r="M2229">
        <v>59705</v>
      </c>
      <c r="N2229" t="s">
        <v>47</v>
      </c>
      <c r="O2229">
        <v>250917</v>
      </c>
      <c r="P2229">
        <v>9.84</v>
      </c>
    </row>
    <row r="2230" spans="1:16" x14ac:dyDescent="0.25">
      <c r="A2230" t="s">
        <v>3296</v>
      </c>
      <c r="B2230" t="s">
        <v>2931</v>
      </c>
      <c r="C2230">
        <v>12206</v>
      </c>
      <c r="D2230" t="str">
        <f>"17040106    "</f>
        <v xml:space="preserve">17040106    </v>
      </c>
      <c r="E2230" t="s">
        <v>8</v>
      </c>
      <c r="F2230" t="s">
        <v>11</v>
      </c>
      <c r="G2230">
        <v>66.819999999999993</v>
      </c>
      <c r="H2230">
        <v>251001</v>
      </c>
      <c r="I2230">
        <v>4841</v>
      </c>
      <c r="J2230" t="s">
        <v>9</v>
      </c>
      <c r="K2230">
        <v>66.819999999999993</v>
      </c>
      <c r="L2230">
        <v>13.58</v>
      </c>
      <c r="M2230">
        <v>11301</v>
      </c>
      <c r="N2230" t="s">
        <v>92</v>
      </c>
      <c r="O2230">
        <v>250917</v>
      </c>
      <c r="P2230">
        <v>53.24</v>
      </c>
    </row>
    <row r="2231" spans="1:16" x14ac:dyDescent="0.25">
      <c r="A2231" t="s">
        <v>3296</v>
      </c>
      <c r="B2231" t="s">
        <v>2931</v>
      </c>
      <c r="C2231">
        <v>12207</v>
      </c>
      <c r="D2231" t="str">
        <f>"17040105    "</f>
        <v xml:space="preserve">17040105    </v>
      </c>
      <c r="E2231" t="s">
        <v>8</v>
      </c>
      <c r="F2231" t="s">
        <v>11</v>
      </c>
      <c r="G2231">
        <v>33.07</v>
      </c>
      <c r="H2231">
        <v>251001</v>
      </c>
      <c r="I2231">
        <v>4841</v>
      </c>
      <c r="J2231" t="s">
        <v>9</v>
      </c>
      <c r="K2231">
        <v>33.07</v>
      </c>
      <c r="L2231">
        <v>6.72</v>
      </c>
      <c r="M2231">
        <v>13401</v>
      </c>
      <c r="N2231" t="s">
        <v>10</v>
      </c>
      <c r="O2231">
        <v>250917</v>
      </c>
      <c r="P2231">
        <v>26.35</v>
      </c>
    </row>
    <row r="2232" spans="1:16" x14ac:dyDescent="0.25">
      <c r="A2232" t="s">
        <v>3296</v>
      </c>
      <c r="B2232" t="s">
        <v>2931</v>
      </c>
      <c r="C2232">
        <v>12209</v>
      </c>
      <c r="D2232" t="str">
        <f>"5016544     "</f>
        <v xml:space="preserve">5016544     </v>
      </c>
      <c r="E2232" t="s">
        <v>8</v>
      </c>
      <c r="F2232" t="s">
        <v>11</v>
      </c>
      <c r="G2232">
        <v>119.06</v>
      </c>
      <c r="H2232">
        <v>251001</v>
      </c>
      <c r="I2232">
        <v>4841</v>
      </c>
      <c r="J2232" t="s">
        <v>9</v>
      </c>
      <c r="K2232">
        <v>119.06</v>
      </c>
      <c r="L2232">
        <v>24.19</v>
      </c>
      <c r="M2232">
        <v>11001</v>
      </c>
      <c r="N2232" t="s">
        <v>93</v>
      </c>
      <c r="O2232">
        <v>250917</v>
      </c>
      <c r="P2232">
        <v>94.87</v>
      </c>
    </row>
    <row r="2233" spans="1:16" x14ac:dyDescent="0.25">
      <c r="A2233" t="s">
        <v>3296</v>
      </c>
      <c r="B2233" t="s">
        <v>2931</v>
      </c>
      <c r="C2233">
        <v>12210</v>
      </c>
      <c r="D2233" t="str">
        <f t="shared" ref="D2233:D2261" si="74">"5016553     "</f>
        <v xml:space="preserve">5016553     </v>
      </c>
      <c r="E2233" t="s">
        <v>8</v>
      </c>
      <c r="F2233" t="s">
        <v>11</v>
      </c>
      <c r="G2233">
        <v>6.96</v>
      </c>
      <c r="H2233">
        <v>251001</v>
      </c>
      <c r="I2233">
        <v>4841</v>
      </c>
      <c r="J2233" t="s">
        <v>9</v>
      </c>
      <c r="K2233">
        <v>22725.57</v>
      </c>
      <c r="L2233">
        <v>1.41</v>
      </c>
      <c r="M2233">
        <v>13540</v>
      </c>
      <c r="N2233" t="s">
        <v>131</v>
      </c>
      <c r="O2233">
        <v>250917</v>
      </c>
      <c r="P2233">
        <v>5.55</v>
      </c>
    </row>
    <row r="2234" spans="1:16" x14ac:dyDescent="0.25">
      <c r="A2234" t="s">
        <v>3296</v>
      </c>
      <c r="B2234" t="s">
        <v>2931</v>
      </c>
      <c r="C2234">
        <v>12210</v>
      </c>
      <c r="D2234" t="str">
        <f t="shared" si="74"/>
        <v xml:space="preserve">5016553     </v>
      </c>
      <c r="E2234" t="s">
        <v>8</v>
      </c>
      <c r="F2234" t="s">
        <v>11</v>
      </c>
      <c r="G2234">
        <v>16.87</v>
      </c>
      <c r="H2234">
        <v>251001</v>
      </c>
      <c r="I2234">
        <v>4841</v>
      </c>
      <c r="J2234" t="s">
        <v>9</v>
      </c>
      <c r="K2234">
        <v>22725.57</v>
      </c>
      <c r="L2234">
        <v>3.43</v>
      </c>
      <c r="M2234">
        <v>13540</v>
      </c>
      <c r="N2234" t="s">
        <v>131</v>
      </c>
      <c r="O2234">
        <v>250917</v>
      </c>
      <c r="P2234">
        <v>13.44</v>
      </c>
    </row>
    <row r="2235" spans="1:16" x14ac:dyDescent="0.25">
      <c r="A2235" t="s">
        <v>3296</v>
      </c>
      <c r="B2235" t="s">
        <v>2931</v>
      </c>
      <c r="C2235">
        <v>12210</v>
      </c>
      <c r="D2235" t="str">
        <f t="shared" si="74"/>
        <v xml:space="preserve">5016553     </v>
      </c>
      <c r="E2235" t="s">
        <v>8</v>
      </c>
      <c r="F2235" t="s">
        <v>11</v>
      </c>
      <c r="G2235">
        <v>80.569999999999993</v>
      </c>
      <c r="H2235">
        <v>251001</v>
      </c>
      <c r="I2235">
        <v>4841</v>
      </c>
      <c r="J2235" t="s">
        <v>9</v>
      </c>
      <c r="K2235">
        <v>22725.57</v>
      </c>
      <c r="L2235">
        <v>16.37</v>
      </c>
      <c r="M2235">
        <v>16915</v>
      </c>
      <c r="N2235" t="s">
        <v>134</v>
      </c>
      <c r="O2235">
        <v>250917</v>
      </c>
      <c r="P2235">
        <v>64.2</v>
      </c>
    </row>
    <row r="2236" spans="1:16" x14ac:dyDescent="0.25">
      <c r="A2236" t="s">
        <v>3296</v>
      </c>
      <c r="B2236" t="s">
        <v>2931</v>
      </c>
      <c r="C2236">
        <v>12210</v>
      </c>
      <c r="D2236" t="str">
        <f t="shared" si="74"/>
        <v xml:space="preserve">5016553     </v>
      </c>
      <c r="E2236" t="s">
        <v>8</v>
      </c>
      <c r="F2236" t="s">
        <v>11</v>
      </c>
      <c r="G2236">
        <v>302.77</v>
      </c>
      <c r="H2236">
        <v>251001</v>
      </c>
      <c r="I2236">
        <v>4841</v>
      </c>
      <c r="J2236" t="s">
        <v>9</v>
      </c>
      <c r="K2236">
        <v>22725.57</v>
      </c>
      <c r="L2236">
        <v>61.52</v>
      </c>
      <c r="M2236">
        <v>16930</v>
      </c>
      <c r="N2236" t="s">
        <v>135</v>
      </c>
      <c r="O2236">
        <v>250917</v>
      </c>
      <c r="P2236">
        <v>241.25</v>
      </c>
    </row>
    <row r="2237" spans="1:16" x14ac:dyDescent="0.25">
      <c r="A2237" t="s">
        <v>3296</v>
      </c>
      <c r="B2237" t="s">
        <v>2931</v>
      </c>
      <c r="C2237">
        <v>12210</v>
      </c>
      <c r="D2237" t="str">
        <f t="shared" si="74"/>
        <v xml:space="preserve">5016553     </v>
      </c>
      <c r="E2237" t="s">
        <v>8</v>
      </c>
      <c r="F2237" t="s">
        <v>11</v>
      </c>
      <c r="G2237">
        <v>66.430000000000007</v>
      </c>
      <c r="H2237">
        <v>251001</v>
      </c>
      <c r="I2237">
        <v>4841</v>
      </c>
      <c r="J2237" t="s">
        <v>9</v>
      </c>
      <c r="K2237">
        <v>22725.57</v>
      </c>
      <c r="L2237">
        <v>13.5</v>
      </c>
      <c r="M2237">
        <v>16951</v>
      </c>
      <c r="N2237" t="s">
        <v>488</v>
      </c>
      <c r="O2237">
        <v>250917</v>
      </c>
      <c r="P2237">
        <v>52.93</v>
      </c>
    </row>
    <row r="2238" spans="1:16" x14ac:dyDescent="0.25">
      <c r="A2238" t="s">
        <v>3296</v>
      </c>
      <c r="B2238" t="s">
        <v>2931</v>
      </c>
      <c r="C2238">
        <v>12210</v>
      </c>
      <c r="D2238" t="str">
        <f t="shared" si="74"/>
        <v xml:space="preserve">5016553     </v>
      </c>
      <c r="E2238" t="s">
        <v>8</v>
      </c>
      <c r="F2238" t="s">
        <v>11</v>
      </c>
      <c r="G2238">
        <v>1779.39</v>
      </c>
      <c r="H2238">
        <v>251001</v>
      </c>
      <c r="I2238">
        <v>4841</v>
      </c>
      <c r="J2238" t="s">
        <v>9</v>
      </c>
      <c r="K2238">
        <v>22725.57</v>
      </c>
      <c r="L2238">
        <v>361.55</v>
      </c>
      <c r="M2238">
        <v>17521</v>
      </c>
      <c r="N2238" t="s">
        <v>136</v>
      </c>
      <c r="O2238">
        <v>250917</v>
      </c>
      <c r="P2238">
        <v>1417.84</v>
      </c>
    </row>
    <row r="2239" spans="1:16" x14ac:dyDescent="0.25">
      <c r="A2239" t="s">
        <v>3296</v>
      </c>
      <c r="B2239" t="s">
        <v>2931</v>
      </c>
      <c r="C2239">
        <v>12210</v>
      </c>
      <c r="D2239" t="str">
        <f t="shared" si="74"/>
        <v xml:space="preserve">5016553     </v>
      </c>
      <c r="E2239" t="s">
        <v>8</v>
      </c>
      <c r="F2239" t="s">
        <v>11</v>
      </c>
      <c r="G2239">
        <v>783.21</v>
      </c>
      <c r="H2239">
        <v>251001</v>
      </c>
      <c r="I2239">
        <v>4841</v>
      </c>
      <c r="J2239" t="s">
        <v>9</v>
      </c>
      <c r="K2239">
        <v>22725.57</v>
      </c>
      <c r="L2239">
        <v>159.13999999999999</v>
      </c>
      <c r="M2239">
        <v>17522</v>
      </c>
      <c r="N2239" t="s">
        <v>137</v>
      </c>
      <c r="O2239">
        <v>250917</v>
      </c>
      <c r="P2239">
        <v>624.07000000000005</v>
      </c>
    </row>
    <row r="2240" spans="1:16" x14ac:dyDescent="0.25">
      <c r="A2240" t="s">
        <v>3296</v>
      </c>
      <c r="B2240" t="s">
        <v>2931</v>
      </c>
      <c r="C2240">
        <v>12210</v>
      </c>
      <c r="D2240" t="str">
        <f t="shared" si="74"/>
        <v xml:space="preserve">5016553     </v>
      </c>
      <c r="E2240" t="s">
        <v>8</v>
      </c>
      <c r="F2240" t="s">
        <v>11</v>
      </c>
      <c r="G2240">
        <v>1002.44</v>
      </c>
      <c r="H2240">
        <v>251001</v>
      </c>
      <c r="I2240">
        <v>4841</v>
      </c>
      <c r="J2240" t="s">
        <v>9</v>
      </c>
      <c r="K2240">
        <v>22725.57</v>
      </c>
      <c r="L2240">
        <v>203.68</v>
      </c>
      <c r="M2240">
        <v>17523</v>
      </c>
      <c r="N2240" t="s">
        <v>138</v>
      </c>
      <c r="O2240">
        <v>250917</v>
      </c>
      <c r="P2240">
        <v>798.76</v>
      </c>
    </row>
    <row r="2241" spans="1:16" x14ac:dyDescent="0.25">
      <c r="A2241" t="s">
        <v>3296</v>
      </c>
      <c r="B2241" t="s">
        <v>2931</v>
      </c>
      <c r="C2241">
        <v>12210</v>
      </c>
      <c r="D2241" t="str">
        <f t="shared" si="74"/>
        <v xml:space="preserve">5016553     </v>
      </c>
      <c r="E2241" t="s">
        <v>8</v>
      </c>
      <c r="F2241" t="s">
        <v>11</v>
      </c>
      <c r="G2241">
        <v>252.59</v>
      </c>
      <c r="H2241">
        <v>251001</v>
      </c>
      <c r="I2241">
        <v>4841</v>
      </c>
      <c r="J2241" t="s">
        <v>9</v>
      </c>
      <c r="K2241">
        <v>22725.57</v>
      </c>
      <c r="L2241">
        <v>51.32</v>
      </c>
      <c r="M2241">
        <v>17524</v>
      </c>
      <c r="N2241" t="s">
        <v>139</v>
      </c>
      <c r="O2241">
        <v>250917</v>
      </c>
      <c r="P2241">
        <v>201.27</v>
      </c>
    </row>
    <row r="2242" spans="1:16" x14ac:dyDescent="0.25">
      <c r="A2242" t="s">
        <v>3296</v>
      </c>
      <c r="B2242" t="s">
        <v>2931</v>
      </c>
      <c r="C2242">
        <v>12210</v>
      </c>
      <c r="D2242" t="str">
        <f t="shared" si="74"/>
        <v xml:space="preserve">5016553     </v>
      </c>
      <c r="E2242" t="s">
        <v>8</v>
      </c>
      <c r="F2242" t="s">
        <v>11</v>
      </c>
      <c r="G2242">
        <v>146.85</v>
      </c>
      <c r="H2242">
        <v>251001</v>
      </c>
      <c r="I2242">
        <v>4841</v>
      </c>
      <c r="J2242" t="s">
        <v>9</v>
      </c>
      <c r="K2242">
        <v>22725.57</v>
      </c>
      <c r="L2242">
        <v>29.84</v>
      </c>
      <c r="M2242">
        <v>17525</v>
      </c>
      <c r="N2242" t="s">
        <v>140</v>
      </c>
      <c r="O2242">
        <v>250917</v>
      </c>
      <c r="P2242">
        <v>117.01</v>
      </c>
    </row>
    <row r="2243" spans="1:16" x14ac:dyDescent="0.25">
      <c r="A2243" t="s">
        <v>3296</v>
      </c>
      <c r="B2243" t="s">
        <v>2931</v>
      </c>
      <c r="C2243">
        <v>12210</v>
      </c>
      <c r="D2243" t="str">
        <f t="shared" si="74"/>
        <v xml:space="preserve">5016553     </v>
      </c>
      <c r="E2243" t="s">
        <v>8</v>
      </c>
      <c r="F2243" t="s">
        <v>11</v>
      </c>
      <c r="G2243">
        <v>224.46</v>
      </c>
      <c r="H2243">
        <v>251001</v>
      </c>
      <c r="I2243">
        <v>4841</v>
      </c>
      <c r="J2243" t="s">
        <v>9</v>
      </c>
      <c r="K2243">
        <v>22725.57</v>
      </c>
      <c r="L2243">
        <v>45.61</v>
      </c>
      <c r="M2243">
        <v>17526</v>
      </c>
      <c r="N2243" t="s">
        <v>141</v>
      </c>
      <c r="O2243">
        <v>250917</v>
      </c>
      <c r="P2243">
        <v>178.85</v>
      </c>
    </row>
    <row r="2244" spans="1:16" x14ac:dyDescent="0.25">
      <c r="A2244" t="s">
        <v>3296</v>
      </c>
      <c r="B2244" t="s">
        <v>2931</v>
      </c>
      <c r="C2244">
        <v>12210</v>
      </c>
      <c r="D2244" t="str">
        <f t="shared" si="74"/>
        <v xml:space="preserve">5016553     </v>
      </c>
      <c r="E2244" t="s">
        <v>8</v>
      </c>
      <c r="F2244" t="s">
        <v>11</v>
      </c>
      <c r="G2244">
        <v>634.84</v>
      </c>
      <c r="H2244">
        <v>251001</v>
      </c>
      <c r="I2244">
        <v>4841</v>
      </c>
      <c r="J2244" t="s">
        <v>9</v>
      </c>
      <c r="K2244">
        <v>22725.57</v>
      </c>
      <c r="L2244">
        <v>128.99</v>
      </c>
      <c r="M2244">
        <v>17527</v>
      </c>
      <c r="N2244" t="s">
        <v>142</v>
      </c>
      <c r="O2244">
        <v>250917</v>
      </c>
      <c r="P2244">
        <v>505.85</v>
      </c>
    </row>
    <row r="2245" spans="1:16" x14ac:dyDescent="0.25">
      <c r="A2245" t="s">
        <v>3296</v>
      </c>
      <c r="B2245" t="s">
        <v>2931</v>
      </c>
      <c r="C2245">
        <v>12210</v>
      </c>
      <c r="D2245" t="str">
        <f t="shared" si="74"/>
        <v xml:space="preserve">5016553     </v>
      </c>
      <c r="E2245" t="s">
        <v>8</v>
      </c>
      <c r="F2245" t="s">
        <v>11</v>
      </c>
      <c r="G2245">
        <v>5746.02</v>
      </c>
      <c r="H2245">
        <v>251001</v>
      </c>
      <c r="I2245">
        <v>4841</v>
      </c>
      <c r="J2245" t="s">
        <v>9</v>
      </c>
      <c r="K2245">
        <v>22725.57</v>
      </c>
      <c r="L2245">
        <v>1167.52</v>
      </c>
      <c r="M2245">
        <v>17529</v>
      </c>
      <c r="N2245" t="s">
        <v>143</v>
      </c>
      <c r="O2245">
        <v>250917</v>
      </c>
      <c r="P2245">
        <v>4578.5</v>
      </c>
    </row>
    <row r="2246" spans="1:16" x14ac:dyDescent="0.25">
      <c r="A2246" t="s">
        <v>3296</v>
      </c>
      <c r="B2246" t="s">
        <v>2931</v>
      </c>
      <c r="C2246">
        <v>12210</v>
      </c>
      <c r="D2246" t="str">
        <f t="shared" si="74"/>
        <v xml:space="preserve">5016553     </v>
      </c>
      <c r="E2246" t="s">
        <v>8</v>
      </c>
      <c r="F2246" t="s">
        <v>11</v>
      </c>
      <c r="G2246">
        <v>7070.72</v>
      </c>
      <c r="H2246">
        <v>251001</v>
      </c>
      <c r="I2246">
        <v>4841</v>
      </c>
      <c r="J2246" t="s">
        <v>9</v>
      </c>
      <c r="K2246">
        <v>22725.57</v>
      </c>
      <c r="L2246">
        <v>1436.68</v>
      </c>
      <c r="M2246">
        <v>17530</v>
      </c>
      <c r="N2246" t="s">
        <v>144</v>
      </c>
      <c r="O2246">
        <v>250917</v>
      </c>
      <c r="P2246">
        <v>5634.04</v>
      </c>
    </row>
    <row r="2247" spans="1:16" x14ac:dyDescent="0.25">
      <c r="A2247" t="s">
        <v>3296</v>
      </c>
      <c r="B2247" t="s">
        <v>2931</v>
      </c>
      <c r="C2247">
        <v>12210</v>
      </c>
      <c r="D2247" t="str">
        <f t="shared" si="74"/>
        <v xml:space="preserve">5016553     </v>
      </c>
      <c r="E2247" t="s">
        <v>8</v>
      </c>
      <c r="F2247" t="s">
        <v>11</v>
      </c>
      <c r="G2247">
        <v>184.41</v>
      </c>
      <c r="H2247">
        <v>251001</v>
      </c>
      <c r="I2247">
        <v>4841</v>
      </c>
      <c r="J2247" t="s">
        <v>9</v>
      </c>
      <c r="K2247">
        <v>22725.57</v>
      </c>
      <c r="L2247">
        <v>37.47</v>
      </c>
      <c r="M2247">
        <v>17531</v>
      </c>
      <c r="N2247" t="s">
        <v>145</v>
      </c>
      <c r="O2247">
        <v>250917</v>
      </c>
      <c r="P2247">
        <v>146.94</v>
      </c>
    </row>
    <row r="2248" spans="1:16" x14ac:dyDescent="0.25">
      <c r="A2248" t="s">
        <v>3296</v>
      </c>
      <c r="B2248" t="s">
        <v>2931</v>
      </c>
      <c r="C2248">
        <v>12210</v>
      </c>
      <c r="D2248" t="str">
        <f t="shared" si="74"/>
        <v xml:space="preserve">5016553     </v>
      </c>
      <c r="E2248" t="s">
        <v>8</v>
      </c>
      <c r="F2248" t="s">
        <v>11</v>
      </c>
      <c r="G2248">
        <v>297.36</v>
      </c>
      <c r="H2248">
        <v>251001</v>
      </c>
      <c r="I2248">
        <v>4841</v>
      </c>
      <c r="J2248" t="s">
        <v>9</v>
      </c>
      <c r="K2248">
        <v>22725.57</v>
      </c>
      <c r="L2248">
        <v>60.42</v>
      </c>
      <c r="M2248">
        <v>17532</v>
      </c>
      <c r="N2248" t="s">
        <v>146</v>
      </c>
      <c r="O2248">
        <v>250917</v>
      </c>
      <c r="P2248">
        <v>236.94</v>
      </c>
    </row>
    <row r="2249" spans="1:16" x14ac:dyDescent="0.25">
      <c r="A2249" t="s">
        <v>3296</v>
      </c>
      <c r="B2249" t="s">
        <v>2931</v>
      </c>
      <c r="C2249">
        <v>12210</v>
      </c>
      <c r="D2249" t="str">
        <f t="shared" si="74"/>
        <v xml:space="preserve">5016553     </v>
      </c>
      <c r="E2249" t="s">
        <v>8</v>
      </c>
      <c r="F2249" t="s">
        <v>11</v>
      </c>
      <c r="G2249">
        <v>395.17</v>
      </c>
      <c r="H2249">
        <v>251001</v>
      </c>
      <c r="I2249">
        <v>4841</v>
      </c>
      <c r="J2249" t="s">
        <v>9</v>
      </c>
      <c r="K2249">
        <v>22725.57</v>
      </c>
      <c r="L2249">
        <v>80.290000000000006</v>
      </c>
      <c r="M2249">
        <v>17533</v>
      </c>
      <c r="N2249" t="s">
        <v>147</v>
      </c>
      <c r="O2249">
        <v>250917</v>
      </c>
      <c r="P2249">
        <v>314.88</v>
      </c>
    </row>
    <row r="2250" spans="1:16" x14ac:dyDescent="0.25">
      <c r="A2250" t="s">
        <v>3296</v>
      </c>
      <c r="B2250" t="s">
        <v>2931</v>
      </c>
      <c r="C2250">
        <v>12210</v>
      </c>
      <c r="D2250" t="str">
        <f t="shared" si="74"/>
        <v xml:space="preserve">5016553     </v>
      </c>
      <c r="E2250" t="s">
        <v>8</v>
      </c>
      <c r="F2250" t="s">
        <v>11</v>
      </c>
      <c r="G2250">
        <v>92.93</v>
      </c>
      <c r="H2250">
        <v>251001</v>
      </c>
      <c r="I2250">
        <v>4841</v>
      </c>
      <c r="J2250" t="s">
        <v>9</v>
      </c>
      <c r="K2250">
        <v>22725.57</v>
      </c>
      <c r="L2250">
        <v>18.88</v>
      </c>
      <c r="M2250">
        <v>17534</v>
      </c>
      <c r="N2250" t="s">
        <v>148</v>
      </c>
      <c r="O2250">
        <v>250917</v>
      </c>
      <c r="P2250">
        <v>74.05</v>
      </c>
    </row>
    <row r="2251" spans="1:16" x14ac:dyDescent="0.25">
      <c r="A2251" t="s">
        <v>3296</v>
      </c>
      <c r="B2251" t="s">
        <v>2931</v>
      </c>
      <c r="C2251">
        <v>12210</v>
      </c>
      <c r="D2251" t="str">
        <f t="shared" si="74"/>
        <v xml:space="preserve">5016553     </v>
      </c>
      <c r="E2251" t="s">
        <v>8</v>
      </c>
      <c r="F2251" t="s">
        <v>11</v>
      </c>
      <c r="G2251">
        <v>444.36</v>
      </c>
      <c r="H2251">
        <v>251001</v>
      </c>
      <c r="I2251">
        <v>4841</v>
      </c>
      <c r="J2251" t="s">
        <v>9</v>
      </c>
      <c r="K2251">
        <v>22725.57</v>
      </c>
      <c r="L2251">
        <v>90.29</v>
      </c>
      <c r="M2251">
        <v>17535</v>
      </c>
      <c r="N2251" t="s">
        <v>149</v>
      </c>
      <c r="O2251">
        <v>250917</v>
      </c>
      <c r="P2251">
        <v>354.07</v>
      </c>
    </row>
    <row r="2252" spans="1:16" x14ac:dyDescent="0.25">
      <c r="A2252" t="s">
        <v>3296</v>
      </c>
      <c r="B2252" t="s">
        <v>2931</v>
      </c>
      <c r="C2252">
        <v>12210</v>
      </c>
      <c r="D2252" t="str">
        <f t="shared" si="74"/>
        <v xml:space="preserve">5016553     </v>
      </c>
      <c r="E2252" t="s">
        <v>8</v>
      </c>
      <c r="F2252" t="s">
        <v>11</v>
      </c>
      <c r="G2252">
        <v>92.93</v>
      </c>
      <c r="H2252">
        <v>251001</v>
      </c>
      <c r="I2252">
        <v>4841</v>
      </c>
      <c r="J2252" t="s">
        <v>9</v>
      </c>
      <c r="K2252">
        <v>22725.57</v>
      </c>
      <c r="L2252">
        <v>18.88</v>
      </c>
      <c r="M2252">
        <v>17536</v>
      </c>
      <c r="N2252" t="s">
        <v>150</v>
      </c>
      <c r="O2252">
        <v>250917</v>
      </c>
      <c r="P2252">
        <v>74.05</v>
      </c>
    </row>
    <row r="2253" spans="1:16" x14ac:dyDescent="0.25">
      <c r="A2253" t="s">
        <v>3296</v>
      </c>
      <c r="B2253" t="s">
        <v>2931</v>
      </c>
      <c r="C2253">
        <v>12210</v>
      </c>
      <c r="D2253" t="str">
        <f t="shared" si="74"/>
        <v xml:space="preserve">5016553     </v>
      </c>
      <c r="E2253" t="s">
        <v>8</v>
      </c>
      <c r="F2253" t="s">
        <v>11</v>
      </c>
      <c r="G2253">
        <v>828.15</v>
      </c>
      <c r="H2253">
        <v>251001</v>
      </c>
      <c r="I2253">
        <v>4841</v>
      </c>
      <c r="J2253" t="s">
        <v>9</v>
      </c>
      <c r="K2253">
        <v>22725.57</v>
      </c>
      <c r="L2253">
        <v>168.27</v>
      </c>
      <c r="M2253">
        <v>17537</v>
      </c>
      <c r="N2253" t="s">
        <v>151</v>
      </c>
      <c r="O2253">
        <v>250917</v>
      </c>
      <c r="P2253">
        <v>659.88</v>
      </c>
    </row>
    <row r="2254" spans="1:16" x14ac:dyDescent="0.25">
      <c r="A2254" t="s">
        <v>3296</v>
      </c>
      <c r="B2254" t="s">
        <v>2931</v>
      </c>
      <c r="C2254">
        <v>12210</v>
      </c>
      <c r="D2254" t="str">
        <f t="shared" si="74"/>
        <v xml:space="preserve">5016553     </v>
      </c>
      <c r="E2254" t="s">
        <v>8</v>
      </c>
      <c r="F2254" t="s">
        <v>11</v>
      </c>
      <c r="G2254">
        <v>83.66</v>
      </c>
      <c r="H2254">
        <v>251001</v>
      </c>
      <c r="I2254">
        <v>4841</v>
      </c>
      <c r="J2254" t="s">
        <v>9</v>
      </c>
      <c r="K2254">
        <v>22725.57</v>
      </c>
      <c r="L2254">
        <v>17</v>
      </c>
      <c r="M2254">
        <v>17538</v>
      </c>
      <c r="N2254" t="s">
        <v>129</v>
      </c>
      <c r="O2254">
        <v>250917</v>
      </c>
      <c r="P2254">
        <v>66.66</v>
      </c>
    </row>
    <row r="2255" spans="1:16" x14ac:dyDescent="0.25">
      <c r="A2255" t="s">
        <v>3296</v>
      </c>
      <c r="B2255" t="s">
        <v>2931</v>
      </c>
      <c r="C2255">
        <v>12210</v>
      </c>
      <c r="D2255" t="str">
        <f t="shared" si="74"/>
        <v xml:space="preserve">5016553     </v>
      </c>
      <c r="E2255" t="s">
        <v>8</v>
      </c>
      <c r="F2255" t="s">
        <v>11</v>
      </c>
      <c r="G2255">
        <v>1369.93</v>
      </c>
      <c r="H2255">
        <v>251001</v>
      </c>
      <c r="I2255">
        <v>4841</v>
      </c>
      <c r="J2255" t="s">
        <v>9</v>
      </c>
      <c r="K2255">
        <v>22725.57</v>
      </c>
      <c r="L2255">
        <v>278.35000000000002</v>
      </c>
      <c r="M2255">
        <v>17538</v>
      </c>
      <c r="N2255" t="s">
        <v>129</v>
      </c>
      <c r="O2255">
        <v>250917</v>
      </c>
      <c r="P2255">
        <v>1091.58</v>
      </c>
    </row>
    <row r="2256" spans="1:16" x14ac:dyDescent="0.25">
      <c r="A2256" t="s">
        <v>3296</v>
      </c>
      <c r="B2256" t="s">
        <v>2931</v>
      </c>
      <c r="C2256">
        <v>12210</v>
      </c>
      <c r="D2256" t="str">
        <f t="shared" si="74"/>
        <v xml:space="preserve">5016553     </v>
      </c>
      <c r="E2256" t="s">
        <v>8</v>
      </c>
      <c r="F2256" t="s">
        <v>11</v>
      </c>
      <c r="G2256">
        <v>96.07</v>
      </c>
      <c r="H2256">
        <v>251001</v>
      </c>
      <c r="I2256">
        <v>4841</v>
      </c>
      <c r="J2256" t="s">
        <v>9</v>
      </c>
      <c r="K2256">
        <v>22725.57</v>
      </c>
      <c r="L2256">
        <v>19.52</v>
      </c>
      <c r="M2256">
        <v>17918</v>
      </c>
      <c r="N2256" t="s">
        <v>152</v>
      </c>
      <c r="O2256">
        <v>250917</v>
      </c>
      <c r="P2256">
        <v>76.55</v>
      </c>
    </row>
    <row r="2257" spans="1:16" x14ac:dyDescent="0.25">
      <c r="A2257" t="s">
        <v>3296</v>
      </c>
      <c r="B2257" t="s">
        <v>2931</v>
      </c>
      <c r="C2257">
        <v>12210</v>
      </c>
      <c r="D2257" t="str">
        <f t="shared" si="74"/>
        <v xml:space="preserve">5016553     </v>
      </c>
      <c r="E2257" t="s">
        <v>8</v>
      </c>
      <c r="F2257" t="s">
        <v>11</v>
      </c>
      <c r="G2257">
        <v>56.27</v>
      </c>
      <c r="H2257">
        <v>251001</v>
      </c>
      <c r="I2257">
        <v>4841</v>
      </c>
      <c r="J2257" t="s">
        <v>9</v>
      </c>
      <c r="K2257">
        <v>22725.57</v>
      </c>
      <c r="L2257">
        <v>11.43</v>
      </c>
      <c r="M2257">
        <v>17950</v>
      </c>
      <c r="N2257" t="s">
        <v>132</v>
      </c>
      <c r="O2257">
        <v>250917</v>
      </c>
      <c r="P2257">
        <v>44.84</v>
      </c>
    </row>
    <row r="2258" spans="1:16" x14ac:dyDescent="0.25">
      <c r="A2258" t="s">
        <v>3296</v>
      </c>
      <c r="B2258" t="s">
        <v>2931</v>
      </c>
      <c r="C2258">
        <v>12210</v>
      </c>
      <c r="D2258" t="str">
        <f t="shared" si="74"/>
        <v xml:space="preserve">5016553     </v>
      </c>
      <c r="E2258" t="s">
        <v>8</v>
      </c>
      <c r="F2258" t="s">
        <v>11</v>
      </c>
      <c r="G2258">
        <v>136.47</v>
      </c>
      <c r="H2258">
        <v>251001</v>
      </c>
      <c r="I2258">
        <v>4841</v>
      </c>
      <c r="J2258" t="s">
        <v>9</v>
      </c>
      <c r="K2258">
        <v>22725.57</v>
      </c>
      <c r="L2258">
        <v>27.73</v>
      </c>
      <c r="M2258">
        <v>17950</v>
      </c>
      <c r="N2258" t="s">
        <v>132</v>
      </c>
      <c r="O2258">
        <v>250917</v>
      </c>
      <c r="P2258">
        <v>108.74</v>
      </c>
    </row>
    <row r="2259" spans="1:16" x14ac:dyDescent="0.25">
      <c r="A2259" t="s">
        <v>3296</v>
      </c>
      <c r="B2259" t="s">
        <v>2931</v>
      </c>
      <c r="C2259">
        <v>12210</v>
      </c>
      <c r="D2259" t="str">
        <f t="shared" si="74"/>
        <v xml:space="preserve">5016553     </v>
      </c>
      <c r="E2259" t="s">
        <v>8</v>
      </c>
      <c r="F2259" t="s">
        <v>11</v>
      </c>
      <c r="G2259">
        <v>110.57</v>
      </c>
      <c r="H2259">
        <v>251001</v>
      </c>
      <c r="I2259">
        <v>4841</v>
      </c>
      <c r="J2259" t="s">
        <v>9</v>
      </c>
      <c r="K2259">
        <v>22725.57</v>
      </c>
      <c r="L2259">
        <v>22.47</v>
      </c>
      <c r="M2259">
        <v>17971</v>
      </c>
      <c r="N2259" t="s">
        <v>27</v>
      </c>
      <c r="O2259">
        <v>250917</v>
      </c>
      <c r="P2259">
        <v>88.1</v>
      </c>
    </row>
    <row r="2260" spans="1:16" x14ac:dyDescent="0.25">
      <c r="A2260" t="s">
        <v>3296</v>
      </c>
      <c r="B2260" t="s">
        <v>2931</v>
      </c>
      <c r="C2260">
        <v>12210</v>
      </c>
      <c r="D2260" t="str">
        <f t="shared" si="74"/>
        <v xml:space="preserve">5016553     </v>
      </c>
      <c r="E2260" t="s">
        <v>8</v>
      </c>
      <c r="F2260" t="s">
        <v>11</v>
      </c>
      <c r="G2260">
        <v>96.79</v>
      </c>
      <c r="H2260">
        <v>251001</v>
      </c>
      <c r="I2260">
        <v>4841</v>
      </c>
      <c r="J2260" t="s">
        <v>9</v>
      </c>
      <c r="K2260">
        <v>22725.57</v>
      </c>
      <c r="L2260">
        <v>19.670000000000002</v>
      </c>
      <c r="M2260">
        <v>17972</v>
      </c>
      <c r="N2260" t="s">
        <v>28</v>
      </c>
      <c r="O2260">
        <v>250917</v>
      </c>
      <c r="P2260">
        <v>77.12</v>
      </c>
    </row>
    <row r="2261" spans="1:16" x14ac:dyDescent="0.25">
      <c r="A2261" t="s">
        <v>3296</v>
      </c>
      <c r="B2261" t="s">
        <v>2931</v>
      </c>
      <c r="C2261">
        <v>12210</v>
      </c>
      <c r="D2261" t="str">
        <f t="shared" si="74"/>
        <v xml:space="preserve">5016553     </v>
      </c>
      <c r="E2261" t="s">
        <v>8</v>
      </c>
      <c r="F2261" t="s">
        <v>11</v>
      </c>
      <c r="G2261">
        <v>326.38</v>
      </c>
      <c r="H2261">
        <v>251001</v>
      </c>
      <c r="I2261">
        <v>4841</v>
      </c>
      <c r="J2261" t="s">
        <v>9</v>
      </c>
      <c r="K2261">
        <v>22725.57</v>
      </c>
      <c r="L2261">
        <v>66.319999999999993</v>
      </c>
      <c r="M2261">
        <v>17972</v>
      </c>
      <c r="N2261" t="s">
        <v>28</v>
      </c>
      <c r="O2261">
        <v>250917</v>
      </c>
      <c r="P2261">
        <v>260.06</v>
      </c>
    </row>
    <row r="2262" spans="1:16" x14ac:dyDescent="0.25">
      <c r="A2262" t="s">
        <v>3296</v>
      </c>
      <c r="B2262" t="s">
        <v>2931</v>
      </c>
      <c r="C2262">
        <v>12212</v>
      </c>
      <c r="D2262" t="str">
        <f t="shared" ref="D2262:D2268" si="75">"5016515     "</f>
        <v xml:space="preserve">5016515     </v>
      </c>
      <c r="E2262" t="s">
        <v>8</v>
      </c>
      <c r="F2262" t="s">
        <v>11</v>
      </c>
      <c r="G2262">
        <v>71.92</v>
      </c>
      <c r="H2262">
        <v>251001</v>
      </c>
      <c r="I2262">
        <v>4841</v>
      </c>
      <c r="J2262" t="s">
        <v>9</v>
      </c>
      <c r="K2262">
        <v>2025.67</v>
      </c>
      <c r="L2262">
        <v>14.61</v>
      </c>
      <c r="M2262">
        <v>17131</v>
      </c>
      <c r="N2262" t="s">
        <v>154</v>
      </c>
      <c r="O2262">
        <v>250917</v>
      </c>
      <c r="P2262">
        <v>57.31</v>
      </c>
    </row>
    <row r="2263" spans="1:16" x14ac:dyDescent="0.25">
      <c r="A2263" t="s">
        <v>3296</v>
      </c>
      <c r="B2263" t="s">
        <v>2931</v>
      </c>
      <c r="C2263">
        <v>12212</v>
      </c>
      <c r="D2263" t="str">
        <f t="shared" si="75"/>
        <v xml:space="preserve">5016515     </v>
      </c>
      <c r="E2263" t="s">
        <v>8</v>
      </c>
      <c r="F2263" t="s">
        <v>11</v>
      </c>
      <c r="G2263">
        <v>787.07</v>
      </c>
      <c r="H2263">
        <v>251001</v>
      </c>
      <c r="I2263">
        <v>4841</v>
      </c>
      <c r="J2263" t="s">
        <v>9</v>
      </c>
      <c r="K2263">
        <v>2025.67</v>
      </c>
      <c r="L2263">
        <v>159.91999999999999</v>
      </c>
      <c r="M2263">
        <v>17131</v>
      </c>
      <c r="N2263" t="s">
        <v>154</v>
      </c>
      <c r="O2263">
        <v>250917</v>
      </c>
      <c r="P2263">
        <v>627.15</v>
      </c>
    </row>
    <row r="2264" spans="1:16" x14ac:dyDescent="0.25">
      <c r="A2264" t="s">
        <v>3296</v>
      </c>
      <c r="B2264" t="s">
        <v>2931</v>
      </c>
      <c r="C2264">
        <v>12212</v>
      </c>
      <c r="D2264" t="str">
        <f t="shared" si="75"/>
        <v xml:space="preserve">5016515     </v>
      </c>
      <c r="E2264" t="s">
        <v>8</v>
      </c>
      <c r="F2264" t="s">
        <v>11</v>
      </c>
      <c r="G2264">
        <v>414.28</v>
      </c>
      <c r="H2264">
        <v>251001</v>
      </c>
      <c r="I2264">
        <v>4841</v>
      </c>
      <c r="J2264" t="s">
        <v>9</v>
      </c>
      <c r="K2264">
        <v>2025.67</v>
      </c>
      <c r="L2264">
        <v>84.18</v>
      </c>
      <c r="M2264">
        <v>17711</v>
      </c>
      <c r="N2264" t="s">
        <v>155</v>
      </c>
      <c r="O2264">
        <v>250917</v>
      </c>
      <c r="P2264">
        <v>330.1</v>
      </c>
    </row>
    <row r="2265" spans="1:16" x14ac:dyDescent="0.25">
      <c r="A2265" t="s">
        <v>3296</v>
      </c>
      <c r="B2265" t="s">
        <v>2931</v>
      </c>
      <c r="C2265">
        <v>12212</v>
      </c>
      <c r="D2265" t="str">
        <f t="shared" si="75"/>
        <v xml:space="preserve">5016515     </v>
      </c>
      <c r="E2265" t="s">
        <v>8</v>
      </c>
      <c r="F2265" t="s">
        <v>11</v>
      </c>
      <c r="G2265">
        <v>82.86</v>
      </c>
      <c r="H2265">
        <v>251001</v>
      </c>
      <c r="I2265">
        <v>4841</v>
      </c>
      <c r="J2265" t="s">
        <v>9</v>
      </c>
      <c r="K2265">
        <v>2025.67</v>
      </c>
      <c r="L2265">
        <v>16.84</v>
      </c>
      <c r="M2265">
        <v>17737</v>
      </c>
      <c r="N2265" t="s">
        <v>156</v>
      </c>
      <c r="O2265">
        <v>250917</v>
      </c>
      <c r="P2265">
        <v>66.02</v>
      </c>
    </row>
    <row r="2266" spans="1:16" x14ac:dyDescent="0.25">
      <c r="A2266" t="s">
        <v>3296</v>
      </c>
      <c r="B2266" t="s">
        <v>2931</v>
      </c>
      <c r="C2266">
        <v>12212</v>
      </c>
      <c r="D2266" t="str">
        <f t="shared" si="75"/>
        <v xml:space="preserve">5016515     </v>
      </c>
      <c r="E2266" t="s">
        <v>8</v>
      </c>
      <c r="F2266" t="s">
        <v>11</v>
      </c>
      <c r="G2266">
        <v>342.95</v>
      </c>
      <c r="H2266">
        <v>251001</v>
      </c>
      <c r="I2266">
        <v>4841</v>
      </c>
      <c r="J2266" t="s">
        <v>9</v>
      </c>
      <c r="K2266">
        <v>2025.67</v>
      </c>
      <c r="L2266">
        <v>69.680000000000007</v>
      </c>
      <c r="M2266">
        <v>17952</v>
      </c>
      <c r="N2266" t="s">
        <v>157</v>
      </c>
      <c r="O2266">
        <v>250917</v>
      </c>
      <c r="P2266">
        <v>273.27</v>
      </c>
    </row>
    <row r="2267" spans="1:16" x14ac:dyDescent="0.25">
      <c r="A2267" t="s">
        <v>3296</v>
      </c>
      <c r="B2267" t="s">
        <v>2931</v>
      </c>
      <c r="C2267">
        <v>12212</v>
      </c>
      <c r="D2267" t="str">
        <f t="shared" si="75"/>
        <v xml:space="preserve">5016515     </v>
      </c>
      <c r="E2267" t="s">
        <v>8</v>
      </c>
      <c r="F2267" t="s">
        <v>11</v>
      </c>
      <c r="G2267">
        <v>82.86</v>
      </c>
      <c r="H2267">
        <v>251001</v>
      </c>
      <c r="I2267">
        <v>4841</v>
      </c>
      <c r="J2267" t="s">
        <v>9</v>
      </c>
      <c r="K2267">
        <v>2025.67</v>
      </c>
      <c r="L2267">
        <v>16.84</v>
      </c>
      <c r="M2267">
        <v>17971</v>
      </c>
      <c r="N2267" t="s">
        <v>27</v>
      </c>
      <c r="O2267">
        <v>250917</v>
      </c>
      <c r="P2267">
        <v>66.02</v>
      </c>
    </row>
    <row r="2268" spans="1:16" x14ac:dyDescent="0.25">
      <c r="A2268" t="s">
        <v>3296</v>
      </c>
      <c r="B2268" t="s">
        <v>2931</v>
      </c>
      <c r="C2268">
        <v>12212</v>
      </c>
      <c r="D2268" t="str">
        <f t="shared" si="75"/>
        <v xml:space="preserve">5016515     </v>
      </c>
      <c r="E2268" t="s">
        <v>8</v>
      </c>
      <c r="F2268" t="s">
        <v>11</v>
      </c>
      <c r="G2268">
        <v>243.73</v>
      </c>
      <c r="H2268">
        <v>251001</v>
      </c>
      <c r="I2268">
        <v>4841</v>
      </c>
      <c r="J2268" t="s">
        <v>9</v>
      </c>
      <c r="K2268">
        <v>2025.67</v>
      </c>
      <c r="L2268">
        <v>49.52</v>
      </c>
      <c r="M2268">
        <v>17972</v>
      </c>
      <c r="N2268" t="s">
        <v>28</v>
      </c>
      <c r="O2268">
        <v>250917</v>
      </c>
      <c r="P2268">
        <v>194.21</v>
      </c>
    </row>
    <row r="2269" spans="1:16" x14ac:dyDescent="0.25">
      <c r="A2269" t="s">
        <v>3296</v>
      </c>
      <c r="B2269" t="s">
        <v>2931</v>
      </c>
      <c r="C2269">
        <v>12213</v>
      </c>
      <c r="D2269" t="str">
        <f t="shared" ref="D2269:D2296" si="76">"5016550     "</f>
        <v xml:space="preserve">5016550     </v>
      </c>
      <c r="E2269" t="s">
        <v>8</v>
      </c>
      <c r="F2269" t="s">
        <v>11</v>
      </c>
      <c r="G2269">
        <v>1284.01</v>
      </c>
      <c r="H2269">
        <v>251001</v>
      </c>
      <c r="I2269">
        <v>4841</v>
      </c>
      <c r="J2269" t="s">
        <v>9</v>
      </c>
      <c r="K2269">
        <v>23128.5</v>
      </c>
      <c r="L2269">
        <v>260.89</v>
      </c>
      <c r="M2269">
        <v>10002</v>
      </c>
      <c r="N2269" t="s">
        <v>513</v>
      </c>
      <c r="O2269">
        <v>250917</v>
      </c>
      <c r="P2269">
        <v>1023.12</v>
      </c>
    </row>
    <row r="2270" spans="1:16" x14ac:dyDescent="0.25">
      <c r="A2270" t="s">
        <v>3296</v>
      </c>
      <c r="B2270" t="s">
        <v>2931</v>
      </c>
      <c r="C2270">
        <v>12213</v>
      </c>
      <c r="D2270" t="str">
        <f t="shared" si="76"/>
        <v xml:space="preserve">5016550     </v>
      </c>
      <c r="E2270" t="s">
        <v>8</v>
      </c>
      <c r="F2270" t="s">
        <v>11</v>
      </c>
      <c r="G2270">
        <v>82.6</v>
      </c>
      <c r="H2270">
        <v>251001</v>
      </c>
      <c r="I2270">
        <v>4841</v>
      </c>
      <c r="J2270" t="s">
        <v>9</v>
      </c>
      <c r="K2270">
        <v>23128.5</v>
      </c>
      <c r="L2270">
        <v>16.78</v>
      </c>
      <c r="M2270">
        <v>11601</v>
      </c>
      <c r="N2270" t="s">
        <v>12</v>
      </c>
      <c r="O2270">
        <v>250917</v>
      </c>
      <c r="P2270">
        <v>65.819999999999993</v>
      </c>
    </row>
    <row r="2271" spans="1:16" x14ac:dyDescent="0.25">
      <c r="A2271" t="s">
        <v>3296</v>
      </c>
      <c r="B2271" t="s">
        <v>2931</v>
      </c>
      <c r="C2271">
        <v>12213</v>
      </c>
      <c r="D2271" t="str">
        <f t="shared" si="76"/>
        <v xml:space="preserve">5016550     </v>
      </c>
      <c r="E2271" t="s">
        <v>8</v>
      </c>
      <c r="F2271" t="s">
        <v>11</v>
      </c>
      <c r="G2271">
        <v>2303.36</v>
      </c>
      <c r="H2271">
        <v>251001</v>
      </c>
      <c r="I2271">
        <v>4841</v>
      </c>
      <c r="J2271" t="s">
        <v>9</v>
      </c>
      <c r="K2271">
        <v>23128.5</v>
      </c>
      <c r="L2271">
        <v>468.01</v>
      </c>
      <c r="M2271">
        <v>41126</v>
      </c>
      <c r="N2271" t="s">
        <v>94</v>
      </c>
      <c r="O2271">
        <v>250917</v>
      </c>
      <c r="P2271">
        <v>1835.35</v>
      </c>
    </row>
    <row r="2272" spans="1:16" x14ac:dyDescent="0.25">
      <c r="A2272" t="s">
        <v>3296</v>
      </c>
      <c r="B2272" t="s">
        <v>2931</v>
      </c>
      <c r="C2272">
        <v>12213</v>
      </c>
      <c r="D2272" t="str">
        <f t="shared" si="76"/>
        <v xml:space="preserve">5016550     </v>
      </c>
      <c r="E2272" t="s">
        <v>8</v>
      </c>
      <c r="F2272" t="s">
        <v>11</v>
      </c>
      <c r="G2272">
        <v>146.9</v>
      </c>
      <c r="H2272">
        <v>251001</v>
      </c>
      <c r="I2272">
        <v>4841</v>
      </c>
      <c r="J2272" t="s">
        <v>9</v>
      </c>
      <c r="K2272">
        <v>23128.5</v>
      </c>
      <c r="L2272">
        <v>29.85</v>
      </c>
      <c r="M2272">
        <v>41127</v>
      </c>
      <c r="N2272" t="s">
        <v>2273</v>
      </c>
      <c r="O2272">
        <v>250917</v>
      </c>
      <c r="P2272">
        <v>117.05</v>
      </c>
    </row>
    <row r="2273" spans="1:16" x14ac:dyDescent="0.25">
      <c r="A2273" t="s">
        <v>3296</v>
      </c>
      <c r="B2273" t="s">
        <v>2931</v>
      </c>
      <c r="C2273">
        <v>12213</v>
      </c>
      <c r="D2273" t="str">
        <f t="shared" si="76"/>
        <v xml:space="preserve">5016550     </v>
      </c>
      <c r="E2273" t="s">
        <v>8</v>
      </c>
      <c r="F2273" t="s">
        <v>11</v>
      </c>
      <c r="G2273">
        <v>1967.9</v>
      </c>
      <c r="H2273">
        <v>251001</v>
      </c>
      <c r="I2273">
        <v>4841</v>
      </c>
      <c r="J2273" t="s">
        <v>9</v>
      </c>
      <c r="K2273">
        <v>23128.5</v>
      </c>
      <c r="L2273">
        <v>399.85</v>
      </c>
      <c r="M2273">
        <v>43222</v>
      </c>
      <c r="N2273" t="s">
        <v>95</v>
      </c>
      <c r="O2273">
        <v>250917</v>
      </c>
      <c r="P2273">
        <v>1568.05</v>
      </c>
    </row>
    <row r="2274" spans="1:16" x14ac:dyDescent="0.25">
      <c r="A2274" t="s">
        <v>3296</v>
      </c>
      <c r="B2274" t="s">
        <v>2931</v>
      </c>
      <c r="C2274">
        <v>12213</v>
      </c>
      <c r="D2274" t="str">
        <f t="shared" si="76"/>
        <v xml:space="preserve">5016550     </v>
      </c>
      <c r="E2274" t="s">
        <v>8</v>
      </c>
      <c r="F2274" t="s">
        <v>11</v>
      </c>
      <c r="G2274">
        <v>74.02</v>
      </c>
      <c r="H2274">
        <v>251001</v>
      </c>
      <c r="I2274">
        <v>4841</v>
      </c>
      <c r="J2274" t="s">
        <v>9</v>
      </c>
      <c r="K2274">
        <v>23128.5</v>
      </c>
      <c r="L2274">
        <v>15.04</v>
      </c>
      <c r="M2274">
        <v>44222</v>
      </c>
      <c r="N2274" t="s">
        <v>96</v>
      </c>
      <c r="O2274">
        <v>250917</v>
      </c>
      <c r="P2274">
        <v>58.98</v>
      </c>
    </row>
    <row r="2275" spans="1:16" x14ac:dyDescent="0.25">
      <c r="A2275" t="s">
        <v>3296</v>
      </c>
      <c r="B2275" t="s">
        <v>2931</v>
      </c>
      <c r="C2275">
        <v>12213</v>
      </c>
      <c r="D2275" t="str">
        <f t="shared" si="76"/>
        <v xml:space="preserve">5016550     </v>
      </c>
      <c r="E2275" t="s">
        <v>8</v>
      </c>
      <c r="F2275" t="s">
        <v>11</v>
      </c>
      <c r="G2275">
        <v>858.55</v>
      </c>
      <c r="H2275">
        <v>251001</v>
      </c>
      <c r="I2275">
        <v>4841</v>
      </c>
      <c r="J2275" t="s">
        <v>9</v>
      </c>
      <c r="K2275">
        <v>23128.5</v>
      </c>
      <c r="L2275">
        <v>174.45</v>
      </c>
      <c r="M2275">
        <v>44222</v>
      </c>
      <c r="N2275" t="s">
        <v>96</v>
      </c>
      <c r="O2275">
        <v>250917</v>
      </c>
      <c r="P2275">
        <v>684.1</v>
      </c>
    </row>
    <row r="2276" spans="1:16" x14ac:dyDescent="0.25">
      <c r="A2276" t="s">
        <v>3296</v>
      </c>
      <c r="B2276" t="s">
        <v>2931</v>
      </c>
      <c r="C2276">
        <v>12213</v>
      </c>
      <c r="D2276" t="str">
        <f t="shared" si="76"/>
        <v xml:space="preserve">5016550     </v>
      </c>
      <c r="E2276" t="s">
        <v>8</v>
      </c>
      <c r="F2276" t="s">
        <v>11</v>
      </c>
      <c r="G2276">
        <v>46.4</v>
      </c>
      <c r="H2276">
        <v>251001</v>
      </c>
      <c r="I2276">
        <v>4841</v>
      </c>
      <c r="J2276" t="s">
        <v>9</v>
      </c>
      <c r="K2276">
        <v>23128.5</v>
      </c>
      <c r="L2276">
        <v>9.43</v>
      </c>
      <c r="M2276">
        <v>44251</v>
      </c>
      <c r="N2276" t="s">
        <v>215</v>
      </c>
      <c r="O2276">
        <v>250917</v>
      </c>
      <c r="P2276">
        <v>36.97</v>
      </c>
    </row>
    <row r="2277" spans="1:16" x14ac:dyDescent="0.25">
      <c r="A2277" t="s">
        <v>3296</v>
      </c>
      <c r="B2277" t="s">
        <v>2931</v>
      </c>
      <c r="C2277">
        <v>12213</v>
      </c>
      <c r="D2277" t="str">
        <f t="shared" si="76"/>
        <v xml:space="preserve">5016550     </v>
      </c>
      <c r="E2277" t="s">
        <v>8</v>
      </c>
      <c r="F2277" t="s">
        <v>11</v>
      </c>
      <c r="G2277">
        <v>46.64</v>
      </c>
      <c r="H2277">
        <v>251001</v>
      </c>
      <c r="I2277">
        <v>4841</v>
      </c>
      <c r="J2277" t="s">
        <v>9</v>
      </c>
      <c r="K2277">
        <v>23128.5</v>
      </c>
      <c r="L2277">
        <v>9.48</v>
      </c>
      <c r="M2277">
        <v>44422</v>
      </c>
      <c r="N2277" t="s">
        <v>97</v>
      </c>
      <c r="O2277">
        <v>250917</v>
      </c>
      <c r="P2277">
        <v>37.159999999999997</v>
      </c>
    </row>
    <row r="2278" spans="1:16" x14ac:dyDescent="0.25">
      <c r="A2278" t="s">
        <v>3296</v>
      </c>
      <c r="B2278" t="s">
        <v>2931</v>
      </c>
      <c r="C2278">
        <v>12213</v>
      </c>
      <c r="D2278" t="str">
        <f t="shared" si="76"/>
        <v xml:space="preserve">5016550     </v>
      </c>
      <c r="E2278" t="s">
        <v>8</v>
      </c>
      <c r="F2278" t="s">
        <v>11</v>
      </c>
      <c r="G2278">
        <v>94.09</v>
      </c>
      <c r="H2278">
        <v>251001</v>
      </c>
      <c r="I2278">
        <v>4841</v>
      </c>
      <c r="J2278" t="s">
        <v>9</v>
      </c>
      <c r="K2278">
        <v>23128.5</v>
      </c>
      <c r="L2278">
        <v>19.12</v>
      </c>
      <c r="M2278">
        <v>44423</v>
      </c>
      <c r="N2278" t="s">
        <v>98</v>
      </c>
      <c r="O2278">
        <v>250917</v>
      </c>
      <c r="P2278">
        <v>74.97</v>
      </c>
    </row>
    <row r="2279" spans="1:16" x14ac:dyDescent="0.25">
      <c r="A2279" t="s">
        <v>3296</v>
      </c>
      <c r="B2279" t="s">
        <v>2931</v>
      </c>
      <c r="C2279">
        <v>12213</v>
      </c>
      <c r="D2279" t="str">
        <f t="shared" si="76"/>
        <v xml:space="preserve">5016550     </v>
      </c>
      <c r="E2279" t="s">
        <v>8</v>
      </c>
      <c r="F2279" t="s">
        <v>11</v>
      </c>
      <c r="G2279">
        <v>966.15</v>
      </c>
      <c r="H2279">
        <v>251001</v>
      </c>
      <c r="I2279">
        <v>4841</v>
      </c>
      <c r="J2279" t="s">
        <v>9</v>
      </c>
      <c r="K2279">
        <v>23128.5</v>
      </c>
      <c r="L2279">
        <v>196.31</v>
      </c>
      <c r="M2279">
        <v>44424</v>
      </c>
      <c r="N2279" t="s">
        <v>99</v>
      </c>
      <c r="O2279">
        <v>250917</v>
      </c>
      <c r="P2279">
        <v>769.84</v>
      </c>
    </row>
    <row r="2280" spans="1:16" x14ac:dyDescent="0.25">
      <c r="A2280" t="s">
        <v>3296</v>
      </c>
      <c r="B2280" t="s">
        <v>2931</v>
      </c>
      <c r="C2280">
        <v>12213</v>
      </c>
      <c r="D2280" t="str">
        <f t="shared" si="76"/>
        <v xml:space="preserve">5016550     </v>
      </c>
      <c r="E2280" t="s">
        <v>8</v>
      </c>
      <c r="F2280" t="s">
        <v>11</v>
      </c>
      <c r="G2280">
        <v>12.49</v>
      </c>
      <c r="H2280">
        <v>251001</v>
      </c>
      <c r="I2280">
        <v>4841</v>
      </c>
      <c r="J2280" t="s">
        <v>9</v>
      </c>
      <c r="K2280">
        <v>23128.5</v>
      </c>
      <c r="L2280">
        <v>2.54</v>
      </c>
      <c r="M2280">
        <v>44453</v>
      </c>
      <c r="N2280" t="s">
        <v>100</v>
      </c>
      <c r="O2280">
        <v>250917</v>
      </c>
      <c r="P2280">
        <v>9.9499999999999993</v>
      </c>
    </row>
    <row r="2281" spans="1:16" x14ac:dyDescent="0.25">
      <c r="A2281" t="s">
        <v>3296</v>
      </c>
      <c r="B2281" t="s">
        <v>2931</v>
      </c>
      <c r="C2281">
        <v>12213</v>
      </c>
      <c r="D2281" t="str">
        <f t="shared" si="76"/>
        <v xml:space="preserve">5016550     </v>
      </c>
      <c r="E2281" t="s">
        <v>8</v>
      </c>
      <c r="F2281" t="s">
        <v>11</v>
      </c>
      <c r="G2281">
        <v>4697.0600000000004</v>
      </c>
      <c r="H2281">
        <v>251001</v>
      </c>
      <c r="I2281">
        <v>4841</v>
      </c>
      <c r="J2281" t="s">
        <v>9</v>
      </c>
      <c r="K2281">
        <v>23128.5</v>
      </c>
      <c r="L2281">
        <v>954.38</v>
      </c>
      <c r="M2281">
        <v>46222</v>
      </c>
      <c r="N2281" t="s">
        <v>101</v>
      </c>
      <c r="O2281">
        <v>250917</v>
      </c>
      <c r="P2281">
        <v>3742.68</v>
      </c>
    </row>
    <row r="2282" spans="1:16" x14ac:dyDescent="0.25">
      <c r="A2282" t="s">
        <v>3296</v>
      </c>
      <c r="B2282" t="s">
        <v>2931</v>
      </c>
      <c r="C2282">
        <v>12213</v>
      </c>
      <c r="D2282" t="str">
        <f t="shared" si="76"/>
        <v xml:space="preserve">5016550     </v>
      </c>
      <c r="E2282" t="s">
        <v>8</v>
      </c>
      <c r="F2282" t="s">
        <v>11</v>
      </c>
      <c r="G2282">
        <v>60.11</v>
      </c>
      <c r="H2282">
        <v>251001</v>
      </c>
      <c r="I2282">
        <v>4841</v>
      </c>
      <c r="J2282" t="s">
        <v>9</v>
      </c>
      <c r="K2282">
        <v>23128.5</v>
      </c>
      <c r="L2282">
        <v>12.21</v>
      </c>
      <c r="M2282">
        <v>46554</v>
      </c>
      <c r="N2282" t="s">
        <v>102</v>
      </c>
      <c r="O2282">
        <v>250917</v>
      </c>
      <c r="P2282">
        <v>47.9</v>
      </c>
    </row>
    <row r="2283" spans="1:16" x14ac:dyDescent="0.25">
      <c r="A2283" t="s">
        <v>3296</v>
      </c>
      <c r="B2283" t="s">
        <v>2931</v>
      </c>
      <c r="C2283">
        <v>12213</v>
      </c>
      <c r="D2283" t="str">
        <f t="shared" si="76"/>
        <v xml:space="preserve">5016550     </v>
      </c>
      <c r="E2283" t="s">
        <v>8</v>
      </c>
      <c r="F2283" t="s">
        <v>11</v>
      </c>
      <c r="G2283">
        <v>1337.75</v>
      </c>
      <c r="H2283">
        <v>251001</v>
      </c>
      <c r="I2283">
        <v>4841</v>
      </c>
      <c r="J2283" t="s">
        <v>9</v>
      </c>
      <c r="K2283">
        <v>23128.5</v>
      </c>
      <c r="L2283">
        <v>271.81</v>
      </c>
      <c r="M2283">
        <v>46554</v>
      </c>
      <c r="N2283" t="s">
        <v>102</v>
      </c>
      <c r="O2283">
        <v>250917</v>
      </c>
      <c r="P2283">
        <v>1065.94</v>
      </c>
    </row>
    <row r="2284" spans="1:16" x14ac:dyDescent="0.25">
      <c r="A2284" t="s">
        <v>3296</v>
      </c>
      <c r="B2284" t="s">
        <v>2931</v>
      </c>
      <c r="C2284">
        <v>12213</v>
      </c>
      <c r="D2284" t="str">
        <f t="shared" si="76"/>
        <v xml:space="preserve">5016550     </v>
      </c>
      <c r="E2284" t="s">
        <v>8</v>
      </c>
      <c r="F2284" t="s">
        <v>11</v>
      </c>
      <c r="G2284">
        <v>2069.9499999999998</v>
      </c>
      <c r="H2284">
        <v>251001</v>
      </c>
      <c r="I2284">
        <v>4841</v>
      </c>
      <c r="J2284" t="s">
        <v>9</v>
      </c>
      <c r="K2284">
        <v>23128.5</v>
      </c>
      <c r="L2284">
        <v>420.59</v>
      </c>
      <c r="M2284">
        <v>46555</v>
      </c>
      <c r="N2284" t="s">
        <v>103</v>
      </c>
      <c r="O2284">
        <v>250917</v>
      </c>
      <c r="P2284">
        <v>1649.36</v>
      </c>
    </row>
    <row r="2285" spans="1:16" x14ac:dyDescent="0.25">
      <c r="A2285" t="s">
        <v>3296</v>
      </c>
      <c r="B2285" t="s">
        <v>2931</v>
      </c>
      <c r="C2285">
        <v>12213</v>
      </c>
      <c r="D2285" t="str">
        <f t="shared" si="76"/>
        <v xml:space="preserve">5016550     </v>
      </c>
      <c r="E2285" t="s">
        <v>8</v>
      </c>
      <c r="F2285" t="s">
        <v>11</v>
      </c>
      <c r="G2285">
        <v>46.44</v>
      </c>
      <c r="H2285">
        <v>251001</v>
      </c>
      <c r="I2285">
        <v>4841</v>
      </c>
      <c r="J2285" t="s">
        <v>9</v>
      </c>
      <c r="K2285">
        <v>23128.5</v>
      </c>
      <c r="L2285">
        <v>9.44</v>
      </c>
      <c r="M2285">
        <v>46556</v>
      </c>
      <c r="N2285" t="s">
        <v>458</v>
      </c>
      <c r="O2285">
        <v>250917</v>
      </c>
      <c r="P2285">
        <v>37</v>
      </c>
    </row>
    <row r="2286" spans="1:16" x14ac:dyDescent="0.25">
      <c r="A2286" t="s">
        <v>3296</v>
      </c>
      <c r="B2286" t="s">
        <v>2931</v>
      </c>
      <c r="C2286">
        <v>12213</v>
      </c>
      <c r="D2286" t="str">
        <f t="shared" si="76"/>
        <v xml:space="preserve">5016550     </v>
      </c>
      <c r="E2286" t="s">
        <v>8</v>
      </c>
      <c r="F2286" t="s">
        <v>11</v>
      </c>
      <c r="G2286">
        <v>1112.95</v>
      </c>
      <c r="H2286">
        <v>251001</v>
      </c>
      <c r="I2286">
        <v>4841</v>
      </c>
      <c r="J2286" t="s">
        <v>9</v>
      </c>
      <c r="K2286">
        <v>23128.5</v>
      </c>
      <c r="L2286">
        <v>226.14</v>
      </c>
      <c r="M2286">
        <v>46557</v>
      </c>
      <c r="N2286" t="s">
        <v>104</v>
      </c>
      <c r="O2286">
        <v>250917</v>
      </c>
      <c r="P2286">
        <v>886.81</v>
      </c>
    </row>
    <row r="2287" spans="1:16" x14ac:dyDescent="0.25">
      <c r="A2287" t="s">
        <v>3296</v>
      </c>
      <c r="B2287" t="s">
        <v>2931</v>
      </c>
      <c r="C2287">
        <v>12213</v>
      </c>
      <c r="D2287" t="str">
        <f t="shared" si="76"/>
        <v xml:space="preserve">5016550     </v>
      </c>
      <c r="E2287" t="s">
        <v>8</v>
      </c>
      <c r="F2287" t="s">
        <v>11</v>
      </c>
      <c r="G2287">
        <v>677.84</v>
      </c>
      <c r="H2287">
        <v>251001</v>
      </c>
      <c r="I2287">
        <v>4841</v>
      </c>
      <c r="J2287" t="s">
        <v>9</v>
      </c>
      <c r="K2287">
        <v>23128.5</v>
      </c>
      <c r="L2287">
        <v>137.72999999999999</v>
      </c>
      <c r="M2287">
        <v>46559</v>
      </c>
      <c r="N2287" t="s">
        <v>105</v>
      </c>
      <c r="O2287">
        <v>250917</v>
      </c>
      <c r="P2287">
        <v>540.11</v>
      </c>
    </row>
    <row r="2288" spans="1:16" x14ac:dyDescent="0.25">
      <c r="A2288" t="s">
        <v>3296</v>
      </c>
      <c r="B2288" t="s">
        <v>2931</v>
      </c>
      <c r="C2288">
        <v>12213</v>
      </c>
      <c r="D2288" t="str">
        <f t="shared" si="76"/>
        <v xml:space="preserve">5016550     </v>
      </c>
      <c r="E2288" t="s">
        <v>8</v>
      </c>
      <c r="F2288" t="s">
        <v>11</v>
      </c>
      <c r="G2288">
        <v>2981.72</v>
      </c>
      <c r="H2288">
        <v>251001</v>
      </c>
      <c r="I2288">
        <v>4841</v>
      </c>
      <c r="J2288" t="s">
        <v>9</v>
      </c>
      <c r="K2288">
        <v>23128.5</v>
      </c>
      <c r="L2288">
        <v>605.85</v>
      </c>
      <c r="M2288">
        <v>47522</v>
      </c>
      <c r="N2288" t="s">
        <v>106</v>
      </c>
      <c r="O2288">
        <v>250917</v>
      </c>
      <c r="P2288">
        <v>2375.87</v>
      </c>
    </row>
    <row r="2289" spans="1:16" x14ac:dyDescent="0.25">
      <c r="A2289" t="s">
        <v>3296</v>
      </c>
      <c r="B2289" t="s">
        <v>2931</v>
      </c>
      <c r="C2289">
        <v>12213</v>
      </c>
      <c r="D2289" t="str">
        <f t="shared" si="76"/>
        <v xml:space="preserve">5016550     </v>
      </c>
      <c r="E2289" t="s">
        <v>8</v>
      </c>
      <c r="F2289" t="s">
        <v>11</v>
      </c>
      <c r="G2289">
        <v>269.12</v>
      </c>
      <c r="H2289">
        <v>251001</v>
      </c>
      <c r="I2289">
        <v>4841</v>
      </c>
      <c r="J2289" t="s">
        <v>9</v>
      </c>
      <c r="K2289">
        <v>23128.5</v>
      </c>
      <c r="L2289">
        <v>54.68</v>
      </c>
      <c r="M2289">
        <v>48601</v>
      </c>
      <c r="N2289" t="s">
        <v>107</v>
      </c>
      <c r="O2289">
        <v>250917</v>
      </c>
      <c r="P2289">
        <v>214.44</v>
      </c>
    </row>
    <row r="2290" spans="1:16" x14ac:dyDescent="0.25">
      <c r="A2290" t="s">
        <v>3296</v>
      </c>
      <c r="B2290" t="s">
        <v>2931</v>
      </c>
      <c r="C2290">
        <v>12213</v>
      </c>
      <c r="D2290" t="str">
        <f t="shared" si="76"/>
        <v xml:space="preserve">5016550     </v>
      </c>
      <c r="E2290" t="s">
        <v>8</v>
      </c>
      <c r="F2290" t="s">
        <v>11</v>
      </c>
      <c r="G2290">
        <v>46.89</v>
      </c>
      <c r="H2290">
        <v>251001</v>
      </c>
      <c r="I2290">
        <v>4841</v>
      </c>
      <c r="J2290" t="s">
        <v>9</v>
      </c>
      <c r="K2290">
        <v>23128.5</v>
      </c>
      <c r="L2290">
        <v>9.5299999999999994</v>
      </c>
      <c r="M2290">
        <v>49111</v>
      </c>
      <c r="N2290" t="s">
        <v>108</v>
      </c>
      <c r="O2290">
        <v>250917</v>
      </c>
      <c r="P2290">
        <v>37.36</v>
      </c>
    </row>
    <row r="2291" spans="1:16" x14ac:dyDescent="0.25">
      <c r="A2291" t="s">
        <v>3296</v>
      </c>
      <c r="B2291" t="s">
        <v>2931</v>
      </c>
      <c r="C2291">
        <v>12213</v>
      </c>
      <c r="D2291" t="str">
        <f t="shared" si="76"/>
        <v xml:space="preserve">5016550     </v>
      </c>
      <c r="E2291" t="s">
        <v>8</v>
      </c>
      <c r="F2291" t="s">
        <v>11</v>
      </c>
      <c r="G2291">
        <v>74.22</v>
      </c>
      <c r="H2291">
        <v>251001</v>
      </c>
      <c r="I2291">
        <v>4841</v>
      </c>
      <c r="J2291" t="s">
        <v>9</v>
      </c>
      <c r="K2291">
        <v>23128.5</v>
      </c>
      <c r="L2291">
        <v>15.08</v>
      </c>
      <c r="M2291">
        <v>49112</v>
      </c>
      <c r="N2291" t="s">
        <v>109</v>
      </c>
      <c r="O2291">
        <v>250917</v>
      </c>
      <c r="P2291">
        <v>59.14</v>
      </c>
    </row>
    <row r="2292" spans="1:16" x14ac:dyDescent="0.25">
      <c r="A2292" t="s">
        <v>3296</v>
      </c>
      <c r="B2292" t="s">
        <v>2931</v>
      </c>
      <c r="C2292">
        <v>12213</v>
      </c>
      <c r="D2292" t="str">
        <f t="shared" si="76"/>
        <v xml:space="preserve">5016550     </v>
      </c>
      <c r="E2292" t="s">
        <v>8</v>
      </c>
      <c r="F2292" t="s">
        <v>11</v>
      </c>
      <c r="G2292">
        <v>414.2</v>
      </c>
      <c r="H2292">
        <v>251001</v>
      </c>
      <c r="I2292">
        <v>4841</v>
      </c>
      <c r="J2292" t="s">
        <v>9</v>
      </c>
      <c r="K2292">
        <v>23128.5</v>
      </c>
      <c r="L2292">
        <v>84.16</v>
      </c>
      <c r="M2292">
        <v>49501</v>
      </c>
      <c r="N2292" t="s">
        <v>110</v>
      </c>
      <c r="O2292">
        <v>250917</v>
      </c>
      <c r="P2292">
        <v>330.04</v>
      </c>
    </row>
    <row r="2293" spans="1:16" x14ac:dyDescent="0.25">
      <c r="A2293" t="s">
        <v>3296</v>
      </c>
      <c r="B2293" t="s">
        <v>2931</v>
      </c>
      <c r="C2293">
        <v>12213</v>
      </c>
      <c r="D2293" t="str">
        <f t="shared" si="76"/>
        <v xml:space="preserve">5016550     </v>
      </c>
      <c r="E2293" t="s">
        <v>8</v>
      </c>
      <c r="F2293" t="s">
        <v>11</v>
      </c>
      <c r="G2293">
        <v>306.67</v>
      </c>
      <c r="H2293">
        <v>251001</v>
      </c>
      <c r="I2293">
        <v>4841</v>
      </c>
      <c r="J2293" t="s">
        <v>9</v>
      </c>
      <c r="K2293">
        <v>23128.5</v>
      </c>
      <c r="L2293">
        <v>62.31</v>
      </c>
      <c r="M2293">
        <v>49701</v>
      </c>
      <c r="N2293" t="s">
        <v>111</v>
      </c>
      <c r="O2293">
        <v>250917</v>
      </c>
      <c r="P2293">
        <v>244.36</v>
      </c>
    </row>
    <row r="2294" spans="1:16" x14ac:dyDescent="0.25">
      <c r="A2294" t="s">
        <v>3296</v>
      </c>
      <c r="B2294" t="s">
        <v>2931</v>
      </c>
      <c r="C2294">
        <v>12213</v>
      </c>
      <c r="D2294" t="str">
        <f t="shared" si="76"/>
        <v xml:space="preserve">5016550     </v>
      </c>
      <c r="E2294" t="s">
        <v>8</v>
      </c>
      <c r="F2294" t="s">
        <v>11</v>
      </c>
      <c r="G2294">
        <v>452.8</v>
      </c>
      <c r="H2294">
        <v>251001</v>
      </c>
      <c r="I2294">
        <v>4841</v>
      </c>
      <c r="J2294" t="s">
        <v>9</v>
      </c>
      <c r="K2294">
        <v>23128.5</v>
      </c>
      <c r="L2294">
        <v>92</v>
      </c>
      <c r="M2294">
        <v>49702</v>
      </c>
      <c r="N2294" t="s">
        <v>112</v>
      </c>
      <c r="O2294">
        <v>250917</v>
      </c>
      <c r="P2294">
        <v>360.8</v>
      </c>
    </row>
    <row r="2295" spans="1:16" x14ac:dyDescent="0.25">
      <c r="A2295" t="s">
        <v>3296</v>
      </c>
      <c r="B2295" t="s">
        <v>2931</v>
      </c>
      <c r="C2295">
        <v>12213</v>
      </c>
      <c r="D2295" t="str">
        <f t="shared" si="76"/>
        <v xml:space="preserve">5016550     </v>
      </c>
      <c r="E2295" t="s">
        <v>8</v>
      </c>
      <c r="F2295" t="s">
        <v>11</v>
      </c>
      <c r="G2295">
        <v>156.07</v>
      </c>
      <c r="H2295">
        <v>251001</v>
      </c>
      <c r="I2295">
        <v>4841</v>
      </c>
      <c r="J2295" t="s">
        <v>9</v>
      </c>
      <c r="K2295">
        <v>23128.5</v>
      </c>
      <c r="L2295">
        <v>31.71</v>
      </c>
      <c r="M2295">
        <v>49704</v>
      </c>
      <c r="N2295" t="s">
        <v>113</v>
      </c>
      <c r="O2295">
        <v>250917</v>
      </c>
      <c r="P2295">
        <v>124.36</v>
      </c>
    </row>
    <row r="2296" spans="1:16" x14ac:dyDescent="0.25">
      <c r="A2296" t="s">
        <v>3296</v>
      </c>
      <c r="B2296" t="s">
        <v>2931</v>
      </c>
      <c r="C2296">
        <v>12213</v>
      </c>
      <c r="D2296" t="str">
        <f t="shared" si="76"/>
        <v xml:space="preserve">5016550     </v>
      </c>
      <c r="E2296" t="s">
        <v>8</v>
      </c>
      <c r="F2296" t="s">
        <v>11</v>
      </c>
      <c r="G2296">
        <v>541.6</v>
      </c>
      <c r="H2296">
        <v>251001</v>
      </c>
      <c r="I2296">
        <v>4841</v>
      </c>
      <c r="J2296" t="s">
        <v>9</v>
      </c>
      <c r="K2296">
        <v>23128.5</v>
      </c>
      <c r="L2296">
        <v>110.05</v>
      </c>
      <c r="M2296">
        <v>49705</v>
      </c>
      <c r="N2296" t="s">
        <v>114</v>
      </c>
      <c r="O2296">
        <v>250917</v>
      </c>
      <c r="P2296">
        <v>431.55</v>
      </c>
    </row>
    <row r="2297" spans="1:16" x14ac:dyDescent="0.25">
      <c r="A2297" t="s">
        <v>3296</v>
      </c>
      <c r="B2297" t="s">
        <v>2931</v>
      </c>
      <c r="C2297">
        <v>12214</v>
      </c>
      <c r="D2297" t="str">
        <f>"5016479     "</f>
        <v xml:space="preserve">5016479     </v>
      </c>
      <c r="E2297" t="s">
        <v>8</v>
      </c>
      <c r="F2297" t="s">
        <v>11</v>
      </c>
      <c r="G2297">
        <v>41.34</v>
      </c>
      <c r="H2297">
        <v>251001</v>
      </c>
      <c r="I2297">
        <v>4841</v>
      </c>
      <c r="J2297" t="s">
        <v>9</v>
      </c>
      <c r="K2297">
        <v>125</v>
      </c>
      <c r="L2297">
        <v>8.4</v>
      </c>
      <c r="M2297">
        <v>11701</v>
      </c>
      <c r="N2297" t="s">
        <v>973</v>
      </c>
      <c r="O2297">
        <v>250917</v>
      </c>
      <c r="P2297">
        <v>32.94</v>
      </c>
    </row>
    <row r="2298" spans="1:16" x14ac:dyDescent="0.25">
      <c r="A2298" t="s">
        <v>3296</v>
      </c>
      <c r="B2298" t="s">
        <v>2931</v>
      </c>
      <c r="C2298">
        <v>12214</v>
      </c>
      <c r="D2298" t="str">
        <f>"5016479     "</f>
        <v xml:space="preserve">5016479     </v>
      </c>
      <c r="E2298" t="s">
        <v>8</v>
      </c>
      <c r="F2298" t="s">
        <v>11</v>
      </c>
      <c r="G2298">
        <v>83.66</v>
      </c>
      <c r="H2298">
        <v>251001</v>
      </c>
      <c r="I2298">
        <v>4841</v>
      </c>
      <c r="J2298" t="s">
        <v>9</v>
      </c>
      <c r="K2298">
        <v>125</v>
      </c>
      <c r="L2298">
        <v>17</v>
      </c>
      <c r="M2298">
        <v>11751</v>
      </c>
      <c r="N2298" t="s">
        <v>167</v>
      </c>
      <c r="O2298">
        <v>250917</v>
      </c>
      <c r="P2298">
        <v>66.66</v>
      </c>
    </row>
    <row r="2299" spans="1:16" x14ac:dyDescent="0.25">
      <c r="A2299" t="s">
        <v>3296</v>
      </c>
      <c r="B2299" t="s">
        <v>2931</v>
      </c>
      <c r="C2299">
        <v>12284</v>
      </c>
      <c r="D2299" t="str">
        <f>"17040101    "</f>
        <v xml:space="preserve">17040101    </v>
      </c>
      <c r="E2299" t="s">
        <v>8</v>
      </c>
      <c r="F2299" t="s">
        <v>11</v>
      </c>
      <c r="G2299">
        <v>46.33</v>
      </c>
      <c r="H2299">
        <v>251001</v>
      </c>
      <c r="I2299">
        <v>4841</v>
      </c>
      <c r="J2299" t="s">
        <v>9</v>
      </c>
      <c r="K2299">
        <v>46.33</v>
      </c>
      <c r="L2299">
        <v>9.41</v>
      </c>
      <c r="M2299">
        <v>11601</v>
      </c>
      <c r="N2299" t="s">
        <v>12</v>
      </c>
      <c r="O2299">
        <v>250918</v>
      </c>
      <c r="P2299">
        <v>36.92</v>
      </c>
    </row>
    <row r="2300" spans="1:16" x14ac:dyDescent="0.25">
      <c r="A2300" t="s">
        <v>3296</v>
      </c>
      <c r="B2300" t="s">
        <v>2931</v>
      </c>
      <c r="C2300">
        <v>12287</v>
      </c>
      <c r="D2300" t="str">
        <f>"5016554     "</f>
        <v xml:space="preserve">5016554     </v>
      </c>
      <c r="E2300" t="s">
        <v>8</v>
      </c>
      <c r="F2300" t="s">
        <v>11</v>
      </c>
      <c r="G2300">
        <v>252.33</v>
      </c>
      <c r="H2300">
        <v>251001</v>
      </c>
      <c r="I2300">
        <v>4841</v>
      </c>
      <c r="J2300" t="s">
        <v>9</v>
      </c>
      <c r="K2300">
        <v>252.33</v>
      </c>
      <c r="L2300">
        <v>51.27</v>
      </c>
      <c r="M2300">
        <v>11601</v>
      </c>
      <c r="N2300" t="s">
        <v>12</v>
      </c>
      <c r="O2300">
        <v>250918</v>
      </c>
      <c r="P2300">
        <v>201.06</v>
      </c>
    </row>
    <row r="2301" spans="1:16" x14ac:dyDescent="0.25">
      <c r="A2301" t="s">
        <v>3296</v>
      </c>
      <c r="B2301" t="s">
        <v>2931</v>
      </c>
      <c r="C2301">
        <v>12563</v>
      </c>
      <c r="D2301" t="str">
        <f t="shared" ref="D2301:D2307" si="77">"5016481     "</f>
        <v xml:space="preserve">5016481     </v>
      </c>
      <c r="E2301" t="s">
        <v>8</v>
      </c>
      <c r="F2301" t="s">
        <v>11</v>
      </c>
      <c r="G2301">
        <v>4252.9399999999996</v>
      </c>
      <c r="H2301">
        <v>251001</v>
      </c>
      <c r="I2301">
        <v>4841</v>
      </c>
      <c r="J2301" t="s">
        <v>9</v>
      </c>
      <c r="K2301">
        <v>6311.96</v>
      </c>
      <c r="L2301">
        <v>864.14</v>
      </c>
      <c r="M2301">
        <v>61122</v>
      </c>
      <c r="N2301" t="s">
        <v>86</v>
      </c>
      <c r="O2301">
        <v>250926</v>
      </c>
      <c r="P2301">
        <v>3388.8</v>
      </c>
    </row>
    <row r="2302" spans="1:16" x14ac:dyDescent="0.25">
      <c r="A2302" t="s">
        <v>3296</v>
      </c>
      <c r="B2302" t="s">
        <v>2931</v>
      </c>
      <c r="C2302">
        <v>12563</v>
      </c>
      <c r="D2302" t="str">
        <f t="shared" si="77"/>
        <v xml:space="preserve">5016481     </v>
      </c>
      <c r="E2302" t="s">
        <v>8</v>
      </c>
      <c r="F2302" t="s">
        <v>11</v>
      </c>
      <c r="G2302">
        <v>79.23</v>
      </c>
      <c r="H2302">
        <v>251001</v>
      </c>
      <c r="I2302">
        <v>4841</v>
      </c>
      <c r="J2302" t="s">
        <v>9</v>
      </c>
      <c r="K2302">
        <v>6311.96</v>
      </c>
      <c r="L2302">
        <v>16.100000000000001</v>
      </c>
      <c r="M2302">
        <v>61122</v>
      </c>
      <c r="N2302" t="s">
        <v>86</v>
      </c>
      <c r="O2302">
        <v>250926</v>
      </c>
      <c r="P2302">
        <v>63.13</v>
      </c>
    </row>
    <row r="2303" spans="1:16" x14ac:dyDescent="0.25">
      <c r="A2303" t="s">
        <v>3296</v>
      </c>
      <c r="B2303" t="s">
        <v>2931</v>
      </c>
      <c r="C2303">
        <v>12563</v>
      </c>
      <c r="D2303" t="str">
        <f t="shared" si="77"/>
        <v xml:space="preserve">5016481     </v>
      </c>
      <c r="E2303" t="s">
        <v>8</v>
      </c>
      <c r="F2303" t="s">
        <v>11</v>
      </c>
      <c r="G2303">
        <v>1686.09</v>
      </c>
      <c r="H2303">
        <v>251001</v>
      </c>
      <c r="I2303">
        <v>4841</v>
      </c>
      <c r="J2303" t="s">
        <v>9</v>
      </c>
      <c r="K2303">
        <v>6311.96</v>
      </c>
      <c r="L2303">
        <v>342.59</v>
      </c>
      <c r="M2303">
        <v>65222</v>
      </c>
      <c r="N2303" t="s">
        <v>87</v>
      </c>
      <c r="O2303">
        <v>250926</v>
      </c>
      <c r="P2303">
        <v>1343.5</v>
      </c>
    </row>
    <row r="2304" spans="1:16" x14ac:dyDescent="0.25">
      <c r="A2304" t="s">
        <v>3296</v>
      </c>
      <c r="B2304" t="s">
        <v>2931</v>
      </c>
      <c r="C2304">
        <v>12563</v>
      </c>
      <c r="D2304" t="str">
        <f t="shared" si="77"/>
        <v xml:space="preserve">5016481     </v>
      </c>
      <c r="E2304" t="s">
        <v>8</v>
      </c>
      <c r="F2304" t="s">
        <v>11</v>
      </c>
      <c r="G2304">
        <v>111.71</v>
      </c>
      <c r="H2304">
        <v>251001</v>
      </c>
      <c r="I2304">
        <v>4841</v>
      </c>
      <c r="J2304" t="s">
        <v>9</v>
      </c>
      <c r="K2304">
        <v>6311.96</v>
      </c>
      <c r="L2304">
        <v>22.7</v>
      </c>
      <c r="M2304">
        <v>69703</v>
      </c>
      <c r="N2304" t="s">
        <v>88</v>
      </c>
      <c r="O2304">
        <v>250926</v>
      </c>
      <c r="P2304">
        <v>89.01</v>
      </c>
    </row>
    <row r="2305" spans="1:16" x14ac:dyDescent="0.25">
      <c r="A2305" t="s">
        <v>3296</v>
      </c>
      <c r="B2305" t="s">
        <v>2931</v>
      </c>
      <c r="C2305">
        <v>12563</v>
      </c>
      <c r="D2305" t="str">
        <f t="shared" si="77"/>
        <v xml:space="preserve">5016481     </v>
      </c>
      <c r="E2305" t="s">
        <v>8</v>
      </c>
      <c r="F2305" t="s">
        <v>11</v>
      </c>
      <c r="G2305">
        <v>75.14</v>
      </c>
      <c r="H2305">
        <v>251001</v>
      </c>
      <c r="I2305">
        <v>4841</v>
      </c>
      <c r="J2305" t="s">
        <v>9</v>
      </c>
      <c r="K2305">
        <v>6311.96</v>
      </c>
      <c r="L2305">
        <v>15.27</v>
      </c>
      <c r="M2305">
        <v>69704</v>
      </c>
      <c r="N2305" t="s">
        <v>89</v>
      </c>
      <c r="O2305">
        <v>250926</v>
      </c>
      <c r="P2305">
        <v>59.87</v>
      </c>
    </row>
    <row r="2306" spans="1:16" x14ac:dyDescent="0.25">
      <c r="A2306" t="s">
        <v>3296</v>
      </c>
      <c r="B2306" t="s">
        <v>2931</v>
      </c>
      <c r="C2306">
        <v>12563</v>
      </c>
      <c r="D2306" t="str">
        <f t="shared" si="77"/>
        <v xml:space="preserve">5016481     </v>
      </c>
      <c r="E2306" t="s">
        <v>8</v>
      </c>
      <c r="F2306" t="s">
        <v>11</v>
      </c>
      <c r="G2306">
        <v>94.41</v>
      </c>
      <c r="H2306">
        <v>251001</v>
      </c>
      <c r="I2306">
        <v>4841</v>
      </c>
      <c r="J2306" t="s">
        <v>9</v>
      </c>
      <c r="K2306">
        <v>6311.96</v>
      </c>
      <c r="L2306">
        <v>19.18</v>
      </c>
      <c r="M2306">
        <v>69704</v>
      </c>
      <c r="N2306" t="s">
        <v>89</v>
      </c>
      <c r="O2306">
        <v>250926</v>
      </c>
      <c r="P2306">
        <v>75.23</v>
      </c>
    </row>
    <row r="2307" spans="1:16" x14ac:dyDescent="0.25">
      <c r="A2307" t="s">
        <v>3296</v>
      </c>
      <c r="B2307" t="s">
        <v>2931</v>
      </c>
      <c r="C2307">
        <v>12563</v>
      </c>
      <c r="D2307" t="str">
        <f t="shared" si="77"/>
        <v xml:space="preserve">5016481     </v>
      </c>
      <c r="E2307" t="s">
        <v>8</v>
      </c>
      <c r="F2307" t="s">
        <v>11</v>
      </c>
      <c r="G2307">
        <v>12.44</v>
      </c>
      <c r="H2307">
        <v>251001</v>
      </c>
      <c r="I2307">
        <v>4841</v>
      </c>
      <c r="J2307" t="s">
        <v>9</v>
      </c>
      <c r="K2307">
        <v>6311.96</v>
      </c>
      <c r="L2307">
        <v>2.5299999999999998</v>
      </c>
      <c r="M2307">
        <v>69707</v>
      </c>
      <c r="N2307" t="s">
        <v>90</v>
      </c>
      <c r="O2307">
        <v>250926</v>
      </c>
      <c r="P2307">
        <v>9.91</v>
      </c>
    </row>
    <row r="2308" spans="1:16" x14ac:dyDescent="0.25">
      <c r="A2308" t="s">
        <v>3296</v>
      </c>
      <c r="B2308" t="s">
        <v>2931</v>
      </c>
      <c r="C2308">
        <v>12588</v>
      </c>
      <c r="D2308" t="str">
        <f>"17040099    "</f>
        <v xml:space="preserve">17040099    </v>
      </c>
      <c r="E2308" t="s">
        <v>8</v>
      </c>
      <c r="F2308" t="s">
        <v>11</v>
      </c>
      <c r="G2308">
        <v>51.23</v>
      </c>
      <c r="H2308">
        <v>251001</v>
      </c>
      <c r="I2308">
        <v>4841</v>
      </c>
      <c r="J2308" t="s">
        <v>9</v>
      </c>
      <c r="K2308">
        <v>51.23</v>
      </c>
      <c r="L2308">
        <v>10.41</v>
      </c>
      <c r="M2308">
        <v>18972</v>
      </c>
      <c r="N2308" t="s">
        <v>39</v>
      </c>
      <c r="O2308">
        <v>250926</v>
      </c>
      <c r="P2308">
        <v>40.82</v>
      </c>
    </row>
    <row r="2309" spans="1:16" x14ac:dyDescent="0.25">
      <c r="A2309" t="s">
        <v>3296</v>
      </c>
      <c r="B2309" t="s">
        <v>2931</v>
      </c>
      <c r="C2309">
        <v>12602</v>
      </c>
      <c r="D2309" t="str">
        <f t="shared" ref="D2309:D2314" si="78">"5016475     "</f>
        <v xml:space="preserve">5016475     </v>
      </c>
      <c r="E2309" t="s">
        <v>8</v>
      </c>
      <c r="F2309" t="s">
        <v>11</v>
      </c>
      <c r="G2309">
        <v>662.61</v>
      </c>
      <c r="H2309">
        <v>251001</v>
      </c>
      <c r="I2309">
        <v>4841</v>
      </c>
      <c r="J2309" t="s">
        <v>9</v>
      </c>
      <c r="K2309">
        <v>2522.2199999999998</v>
      </c>
      <c r="L2309">
        <v>134.63</v>
      </c>
      <c r="M2309">
        <v>18010</v>
      </c>
      <c r="N2309" t="s">
        <v>36</v>
      </c>
      <c r="O2309">
        <v>250926</v>
      </c>
      <c r="P2309">
        <v>527.98</v>
      </c>
    </row>
    <row r="2310" spans="1:16" x14ac:dyDescent="0.25">
      <c r="A2310" t="s">
        <v>3296</v>
      </c>
      <c r="B2310" t="s">
        <v>2931</v>
      </c>
      <c r="C2310">
        <v>12602</v>
      </c>
      <c r="D2310" t="str">
        <f t="shared" si="78"/>
        <v xml:space="preserve">5016475     </v>
      </c>
      <c r="E2310" t="s">
        <v>8</v>
      </c>
      <c r="F2310" t="s">
        <v>11</v>
      </c>
      <c r="G2310">
        <v>135.53</v>
      </c>
      <c r="H2310">
        <v>251001</v>
      </c>
      <c r="I2310">
        <v>4841</v>
      </c>
      <c r="J2310" t="s">
        <v>9</v>
      </c>
      <c r="K2310">
        <v>2522.2199999999998</v>
      </c>
      <c r="L2310">
        <v>27.54</v>
      </c>
      <c r="M2310">
        <v>18120</v>
      </c>
      <c r="N2310" t="s">
        <v>37</v>
      </c>
      <c r="O2310">
        <v>250926</v>
      </c>
      <c r="P2310">
        <v>107.99</v>
      </c>
    </row>
    <row r="2311" spans="1:16" x14ac:dyDescent="0.25">
      <c r="A2311" t="s">
        <v>3296</v>
      </c>
      <c r="B2311" t="s">
        <v>2931</v>
      </c>
      <c r="C2311">
        <v>12602</v>
      </c>
      <c r="D2311" t="str">
        <f t="shared" si="78"/>
        <v xml:space="preserve">5016475     </v>
      </c>
      <c r="E2311" t="s">
        <v>8</v>
      </c>
      <c r="F2311" t="s">
        <v>11</v>
      </c>
      <c r="G2311">
        <v>121.35</v>
      </c>
      <c r="H2311">
        <v>251001</v>
      </c>
      <c r="I2311">
        <v>4841</v>
      </c>
      <c r="J2311" t="s">
        <v>9</v>
      </c>
      <c r="K2311">
        <v>2522.2199999999998</v>
      </c>
      <c r="L2311">
        <v>24.66</v>
      </c>
      <c r="M2311">
        <v>18122</v>
      </c>
      <c r="N2311" t="s">
        <v>176</v>
      </c>
      <c r="O2311">
        <v>250926</v>
      </c>
      <c r="P2311">
        <v>96.69</v>
      </c>
    </row>
    <row r="2312" spans="1:16" x14ac:dyDescent="0.25">
      <c r="A2312" t="s">
        <v>3296</v>
      </c>
      <c r="B2312" t="s">
        <v>2931</v>
      </c>
      <c r="C2312">
        <v>12602</v>
      </c>
      <c r="D2312" t="str">
        <f t="shared" si="78"/>
        <v xml:space="preserve">5016475     </v>
      </c>
      <c r="E2312" t="s">
        <v>8</v>
      </c>
      <c r="F2312" t="s">
        <v>11</v>
      </c>
      <c r="G2312">
        <v>174.97</v>
      </c>
      <c r="H2312">
        <v>251001</v>
      </c>
      <c r="I2312">
        <v>4841</v>
      </c>
      <c r="J2312" t="s">
        <v>9</v>
      </c>
      <c r="K2312">
        <v>2522.2199999999998</v>
      </c>
      <c r="L2312">
        <v>35.549999999999997</v>
      </c>
      <c r="M2312">
        <v>18971</v>
      </c>
      <c r="N2312" t="s">
        <v>38</v>
      </c>
      <c r="O2312">
        <v>250926</v>
      </c>
      <c r="P2312">
        <v>139.41999999999999</v>
      </c>
    </row>
    <row r="2313" spans="1:16" x14ac:dyDescent="0.25">
      <c r="A2313" t="s">
        <v>3296</v>
      </c>
      <c r="B2313" t="s">
        <v>2931</v>
      </c>
      <c r="C2313">
        <v>12602</v>
      </c>
      <c r="D2313" t="str">
        <f t="shared" si="78"/>
        <v xml:space="preserve">5016475     </v>
      </c>
      <c r="E2313" t="s">
        <v>8</v>
      </c>
      <c r="F2313" t="s">
        <v>11</v>
      </c>
      <c r="G2313">
        <v>738.39</v>
      </c>
      <c r="H2313">
        <v>251001</v>
      </c>
      <c r="I2313">
        <v>4841</v>
      </c>
      <c r="J2313" t="s">
        <v>9</v>
      </c>
      <c r="K2313">
        <v>2522.2199999999998</v>
      </c>
      <c r="L2313">
        <v>150.03</v>
      </c>
      <c r="M2313">
        <v>18972</v>
      </c>
      <c r="N2313" t="s">
        <v>39</v>
      </c>
      <c r="O2313">
        <v>250926</v>
      </c>
      <c r="P2313">
        <v>588.36</v>
      </c>
    </row>
    <row r="2314" spans="1:16" x14ac:dyDescent="0.25">
      <c r="A2314" t="s">
        <v>3296</v>
      </c>
      <c r="B2314" t="s">
        <v>2931</v>
      </c>
      <c r="C2314">
        <v>12602</v>
      </c>
      <c r="D2314" t="str">
        <f t="shared" si="78"/>
        <v xml:space="preserve">5016475     </v>
      </c>
      <c r="E2314" t="s">
        <v>8</v>
      </c>
      <c r="F2314" t="s">
        <v>11</v>
      </c>
      <c r="G2314">
        <v>689.37</v>
      </c>
      <c r="H2314">
        <v>251001</v>
      </c>
      <c r="I2314">
        <v>4841</v>
      </c>
      <c r="J2314" t="s">
        <v>9</v>
      </c>
      <c r="K2314">
        <v>2522.2199999999998</v>
      </c>
      <c r="L2314">
        <v>140.07</v>
      </c>
      <c r="M2314">
        <v>18982</v>
      </c>
      <c r="N2314" t="s">
        <v>736</v>
      </c>
      <c r="O2314">
        <v>250926</v>
      </c>
      <c r="P2314">
        <v>549.29999999999995</v>
      </c>
    </row>
    <row r="2315" spans="1:16" x14ac:dyDescent="0.25">
      <c r="A2315" t="s">
        <v>3296</v>
      </c>
      <c r="B2315" t="s">
        <v>2931</v>
      </c>
      <c r="C2315">
        <v>12625</v>
      </c>
      <c r="D2315" t="str">
        <f t="shared" ref="D2315:D2342" si="79">"5016563     "</f>
        <v xml:space="preserve">5016563     </v>
      </c>
      <c r="E2315" t="s">
        <v>8</v>
      </c>
      <c r="F2315" t="s">
        <v>11</v>
      </c>
      <c r="G2315">
        <v>432.1</v>
      </c>
      <c r="H2315">
        <v>251001</v>
      </c>
      <c r="I2315">
        <v>4841</v>
      </c>
      <c r="J2315" t="s">
        <v>9</v>
      </c>
      <c r="K2315">
        <v>16378.49</v>
      </c>
      <c r="L2315">
        <v>87.8</v>
      </c>
      <c r="M2315">
        <v>14121</v>
      </c>
      <c r="N2315" t="s">
        <v>71</v>
      </c>
      <c r="O2315">
        <v>250929</v>
      </c>
      <c r="P2315">
        <v>344.3</v>
      </c>
    </row>
    <row r="2316" spans="1:16" x14ac:dyDescent="0.25">
      <c r="A2316" t="s">
        <v>3296</v>
      </c>
      <c r="B2316" t="s">
        <v>2931</v>
      </c>
      <c r="C2316">
        <v>12625</v>
      </c>
      <c r="D2316" t="str">
        <f t="shared" si="79"/>
        <v xml:space="preserve">5016563     </v>
      </c>
      <c r="E2316" t="s">
        <v>8</v>
      </c>
      <c r="F2316" t="s">
        <v>11</v>
      </c>
      <c r="G2316">
        <v>2713.51</v>
      </c>
      <c r="H2316">
        <v>251001</v>
      </c>
      <c r="I2316">
        <v>4841</v>
      </c>
      <c r="J2316" t="s">
        <v>9</v>
      </c>
      <c r="K2316">
        <v>16378.49</v>
      </c>
      <c r="L2316">
        <v>551.35</v>
      </c>
      <c r="M2316">
        <v>14121</v>
      </c>
      <c r="N2316" t="s">
        <v>71</v>
      </c>
      <c r="O2316">
        <v>250929</v>
      </c>
      <c r="P2316">
        <v>2162.16</v>
      </c>
    </row>
    <row r="2317" spans="1:16" x14ac:dyDescent="0.25">
      <c r="A2317" t="s">
        <v>3296</v>
      </c>
      <c r="B2317" t="s">
        <v>2931</v>
      </c>
      <c r="C2317">
        <v>12625</v>
      </c>
      <c r="D2317" t="str">
        <f t="shared" si="79"/>
        <v xml:space="preserve">5016563     </v>
      </c>
      <c r="E2317" t="s">
        <v>8</v>
      </c>
      <c r="F2317" t="s">
        <v>11</v>
      </c>
      <c r="G2317">
        <v>684.58</v>
      </c>
      <c r="H2317">
        <v>251001</v>
      </c>
      <c r="I2317">
        <v>4841</v>
      </c>
      <c r="J2317" t="s">
        <v>9</v>
      </c>
      <c r="K2317">
        <v>16378.49</v>
      </c>
      <c r="L2317">
        <v>139.1</v>
      </c>
      <c r="M2317">
        <v>14321</v>
      </c>
      <c r="N2317" t="s">
        <v>72</v>
      </c>
      <c r="O2317">
        <v>250929</v>
      </c>
      <c r="P2317">
        <v>545.48</v>
      </c>
    </row>
    <row r="2318" spans="1:16" x14ac:dyDescent="0.25">
      <c r="A2318" t="s">
        <v>3296</v>
      </c>
      <c r="B2318" t="s">
        <v>2931</v>
      </c>
      <c r="C2318">
        <v>12625</v>
      </c>
      <c r="D2318" t="str">
        <f t="shared" si="79"/>
        <v xml:space="preserve">5016563     </v>
      </c>
      <c r="E2318" t="s">
        <v>8</v>
      </c>
      <c r="F2318" t="s">
        <v>11</v>
      </c>
      <c r="G2318">
        <v>753.33</v>
      </c>
      <c r="H2318">
        <v>251001</v>
      </c>
      <c r="I2318">
        <v>4841</v>
      </c>
      <c r="J2318" t="s">
        <v>9</v>
      </c>
      <c r="K2318">
        <v>16378.49</v>
      </c>
      <c r="L2318">
        <v>153.07</v>
      </c>
      <c r="M2318">
        <v>14321</v>
      </c>
      <c r="N2318" t="s">
        <v>72</v>
      </c>
      <c r="O2318">
        <v>250929</v>
      </c>
      <c r="P2318">
        <v>600.26</v>
      </c>
    </row>
    <row r="2319" spans="1:16" x14ac:dyDescent="0.25">
      <c r="A2319" t="s">
        <v>3296</v>
      </c>
      <c r="B2319" t="s">
        <v>2931</v>
      </c>
      <c r="C2319">
        <v>12625</v>
      </c>
      <c r="D2319" t="str">
        <f t="shared" si="79"/>
        <v xml:space="preserve">5016563     </v>
      </c>
      <c r="E2319" t="s">
        <v>8</v>
      </c>
      <c r="F2319" t="s">
        <v>11</v>
      </c>
      <c r="G2319">
        <v>1218.6099999999999</v>
      </c>
      <c r="H2319">
        <v>251001</v>
      </c>
      <c r="I2319">
        <v>4841</v>
      </c>
      <c r="J2319" t="s">
        <v>9</v>
      </c>
      <c r="K2319">
        <v>16378.49</v>
      </c>
      <c r="L2319">
        <v>247.61</v>
      </c>
      <c r="M2319">
        <v>14422</v>
      </c>
      <c r="N2319" t="s">
        <v>73</v>
      </c>
      <c r="O2319">
        <v>250929</v>
      </c>
      <c r="P2319">
        <v>971</v>
      </c>
    </row>
    <row r="2320" spans="1:16" x14ac:dyDescent="0.25">
      <c r="A2320" t="s">
        <v>3296</v>
      </c>
      <c r="B2320" t="s">
        <v>2931</v>
      </c>
      <c r="C2320">
        <v>12625</v>
      </c>
      <c r="D2320" t="str">
        <f t="shared" si="79"/>
        <v xml:space="preserve">5016563     </v>
      </c>
      <c r="E2320" t="s">
        <v>8</v>
      </c>
      <c r="F2320" t="s">
        <v>11</v>
      </c>
      <c r="G2320">
        <v>563.24</v>
      </c>
      <c r="H2320">
        <v>251001</v>
      </c>
      <c r="I2320">
        <v>4841</v>
      </c>
      <c r="J2320" t="s">
        <v>9</v>
      </c>
      <c r="K2320">
        <v>16378.49</v>
      </c>
      <c r="L2320">
        <v>114.44</v>
      </c>
      <c r="M2320">
        <v>14422</v>
      </c>
      <c r="N2320" t="s">
        <v>73</v>
      </c>
      <c r="O2320">
        <v>250929</v>
      </c>
      <c r="P2320">
        <v>448.8</v>
      </c>
    </row>
    <row r="2321" spans="1:16" x14ac:dyDescent="0.25">
      <c r="A2321" t="s">
        <v>3296</v>
      </c>
      <c r="B2321" t="s">
        <v>2931</v>
      </c>
      <c r="C2321">
        <v>12625</v>
      </c>
      <c r="D2321" t="str">
        <f t="shared" si="79"/>
        <v xml:space="preserve">5016563     </v>
      </c>
      <c r="E2321" t="s">
        <v>8</v>
      </c>
      <c r="F2321" t="s">
        <v>11</v>
      </c>
      <c r="G2321">
        <v>12.45</v>
      </c>
      <c r="H2321">
        <v>251001</v>
      </c>
      <c r="I2321">
        <v>4841</v>
      </c>
      <c r="J2321" t="s">
        <v>9</v>
      </c>
      <c r="K2321">
        <v>16378.49</v>
      </c>
      <c r="L2321">
        <v>2.5299999999999998</v>
      </c>
      <c r="M2321">
        <v>14431</v>
      </c>
      <c r="N2321" t="s">
        <v>74</v>
      </c>
      <c r="O2321">
        <v>250929</v>
      </c>
      <c r="P2321">
        <v>9.92</v>
      </c>
    </row>
    <row r="2322" spans="1:16" x14ac:dyDescent="0.25">
      <c r="A2322" t="s">
        <v>3296</v>
      </c>
      <c r="B2322" t="s">
        <v>2931</v>
      </c>
      <c r="C2322">
        <v>12625</v>
      </c>
      <c r="D2322" t="str">
        <f t="shared" si="79"/>
        <v xml:space="preserve">5016563     </v>
      </c>
      <c r="E2322" t="s">
        <v>8</v>
      </c>
      <c r="F2322" t="s">
        <v>11</v>
      </c>
      <c r="G2322">
        <v>59.39</v>
      </c>
      <c r="H2322">
        <v>251001</v>
      </c>
      <c r="I2322">
        <v>4841</v>
      </c>
      <c r="J2322" t="s">
        <v>9</v>
      </c>
      <c r="K2322">
        <v>16378.49</v>
      </c>
      <c r="L2322">
        <v>12.07</v>
      </c>
      <c r="M2322">
        <v>14432</v>
      </c>
      <c r="N2322" t="s">
        <v>75</v>
      </c>
      <c r="O2322">
        <v>250929</v>
      </c>
      <c r="P2322">
        <v>47.32</v>
      </c>
    </row>
    <row r="2323" spans="1:16" x14ac:dyDescent="0.25">
      <c r="A2323" t="s">
        <v>3296</v>
      </c>
      <c r="B2323" t="s">
        <v>2931</v>
      </c>
      <c r="C2323">
        <v>12625</v>
      </c>
      <c r="D2323" t="str">
        <f t="shared" si="79"/>
        <v xml:space="preserve">5016563     </v>
      </c>
      <c r="E2323" t="s">
        <v>8</v>
      </c>
      <c r="F2323" t="s">
        <v>11</v>
      </c>
      <c r="G2323">
        <v>129.80000000000001</v>
      </c>
      <c r="H2323">
        <v>251001</v>
      </c>
      <c r="I2323">
        <v>4841</v>
      </c>
      <c r="J2323" t="s">
        <v>9</v>
      </c>
      <c r="K2323">
        <v>16378.49</v>
      </c>
      <c r="L2323">
        <v>26.37</v>
      </c>
      <c r="M2323">
        <v>14541</v>
      </c>
      <c r="N2323" t="s">
        <v>76</v>
      </c>
      <c r="O2323">
        <v>250929</v>
      </c>
      <c r="P2323">
        <v>103.43</v>
      </c>
    </row>
    <row r="2324" spans="1:16" x14ac:dyDescent="0.25">
      <c r="A2324" t="s">
        <v>3296</v>
      </c>
      <c r="B2324" t="s">
        <v>2931</v>
      </c>
      <c r="C2324">
        <v>12625</v>
      </c>
      <c r="D2324" t="str">
        <f t="shared" si="79"/>
        <v xml:space="preserve">5016563     </v>
      </c>
      <c r="E2324" t="s">
        <v>8</v>
      </c>
      <c r="F2324" t="s">
        <v>11</v>
      </c>
      <c r="G2324">
        <v>944.58</v>
      </c>
      <c r="H2324">
        <v>251001</v>
      </c>
      <c r="I2324">
        <v>4841</v>
      </c>
      <c r="J2324" t="s">
        <v>9</v>
      </c>
      <c r="K2324">
        <v>16378.49</v>
      </c>
      <c r="L2324">
        <v>191.93</v>
      </c>
      <c r="M2324">
        <v>14541</v>
      </c>
      <c r="N2324" t="s">
        <v>76</v>
      </c>
      <c r="O2324">
        <v>250929</v>
      </c>
      <c r="P2324">
        <v>752.65</v>
      </c>
    </row>
    <row r="2325" spans="1:16" x14ac:dyDescent="0.25">
      <c r="A2325" t="s">
        <v>3296</v>
      </c>
      <c r="B2325" t="s">
        <v>2931</v>
      </c>
      <c r="C2325">
        <v>12625</v>
      </c>
      <c r="D2325" t="str">
        <f t="shared" si="79"/>
        <v xml:space="preserve">5016563     </v>
      </c>
      <c r="E2325" t="s">
        <v>8</v>
      </c>
      <c r="F2325" t="s">
        <v>11</v>
      </c>
      <c r="G2325">
        <v>2891.72</v>
      </c>
      <c r="H2325">
        <v>251001</v>
      </c>
      <c r="I2325">
        <v>4841</v>
      </c>
      <c r="J2325" t="s">
        <v>9</v>
      </c>
      <c r="K2325">
        <v>16378.49</v>
      </c>
      <c r="L2325">
        <v>587.55999999999995</v>
      </c>
      <c r="M2325">
        <v>14622</v>
      </c>
      <c r="N2325" t="s">
        <v>77</v>
      </c>
      <c r="O2325">
        <v>250929</v>
      </c>
      <c r="P2325">
        <v>2304.16</v>
      </c>
    </row>
    <row r="2326" spans="1:16" x14ac:dyDescent="0.25">
      <c r="A2326" t="s">
        <v>3296</v>
      </c>
      <c r="B2326" t="s">
        <v>2931</v>
      </c>
      <c r="C2326">
        <v>12625</v>
      </c>
      <c r="D2326" t="str">
        <f t="shared" si="79"/>
        <v xml:space="preserve">5016563     </v>
      </c>
      <c r="E2326" t="s">
        <v>8</v>
      </c>
      <c r="F2326" t="s">
        <v>11</v>
      </c>
      <c r="G2326">
        <v>2731.22</v>
      </c>
      <c r="H2326">
        <v>251001</v>
      </c>
      <c r="I2326">
        <v>4841</v>
      </c>
      <c r="J2326" t="s">
        <v>9</v>
      </c>
      <c r="K2326">
        <v>16378.49</v>
      </c>
      <c r="L2326">
        <v>554.95000000000005</v>
      </c>
      <c r="M2326">
        <v>14622</v>
      </c>
      <c r="N2326" t="s">
        <v>77</v>
      </c>
      <c r="O2326">
        <v>250929</v>
      </c>
      <c r="P2326">
        <v>2176.27</v>
      </c>
    </row>
    <row r="2327" spans="1:16" x14ac:dyDescent="0.25">
      <c r="A2327" t="s">
        <v>3296</v>
      </c>
      <c r="B2327" t="s">
        <v>2931</v>
      </c>
      <c r="C2327">
        <v>12625</v>
      </c>
      <c r="D2327" t="str">
        <f t="shared" si="79"/>
        <v xml:space="preserve">5016563     </v>
      </c>
      <c r="E2327" t="s">
        <v>8</v>
      </c>
      <c r="F2327" t="s">
        <v>11</v>
      </c>
      <c r="G2327">
        <v>126.15</v>
      </c>
      <c r="H2327">
        <v>251001</v>
      </c>
      <c r="I2327">
        <v>4841</v>
      </c>
      <c r="J2327" t="s">
        <v>9</v>
      </c>
      <c r="K2327">
        <v>16378.49</v>
      </c>
      <c r="L2327">
        <v>25.63</v>
      </c>
      <c r="M2327">
        <v>14640</v>
      </c>
      <c r="N2327" t="s">
        <v>78</v>
      </c>
      <c r="O2327">
        <v>250929</v>
      </c>
      <c r="P2327">
        <v>100.52</v>
      </c>
    </row>
    <row r="2328" spans="1:16" x14ac:dyDescent="0.25">
      <c r="A2328" t="s">
        <v>3296</v>
      </c>
      <c r="B2328" t="s">
        <v>2931</v>
      </c>
      <c r="C2328">
        <v>12625</v>
      </c>
      <c r="D2328" t="str">
        <f t="shared" si="79"/>
        <v xml:space="preserve">5016563     </v>
      </c>
      <c r="E2328" t="s">
        <v>8</v>
      </c>
      <c r="F2328" t="s">
        <v>11</v>
      </c>
      <c r="G2328">
        <v>281.62</v>
      </c>
      <c r="H2328">
        <v>251001</v>
      </c>
      <c r="I2328">
        <v>4841</v>
      </c>
      <c r="J2328" t="s">
        <v>9</v>
      </c>
      <c r="K2328">
        <v>16378.49</v>
      </c>
      <c r="L2328">
        <v>57.22</v>
      </c>
      <c r="M2328">
        <v>14640</v>
      </c>
      <c r="N2328" t="s">
        <v>78</v>
      </c>
      <c r="O2328">
        <v>250929</v>
      </c>
      <c r="P2328">
        <v>224.4</v>
      </c>
    </row>
    <row r="2329" spans="1:16" x14ac:dyDescent="0.25">
      <c r="A2329" t="s">
        <v>3296</v>
      </c>
      <c r="B2329" t="s">
        <v>2931</v>
      </c>
      <c r="C2329">
        <v>12625</v>
      </c>
      <c r="D2329" t="str">
        <f t="shared" si="79"/>
        <v xml:space="preserve">5016563     </v>
      </c>
      <c r="E2329" t="s">
        <v>8</v>
      </c>
      <c r="F2329" t="s">
        <v>11</v>
      </c>
      <c r="G2329">
        <v>1014.09</v>
      </c>
      <c r="H2329">
        <v>251001</v>
      </c>
      <c r="I2329">
        <v>4841</v>
      </c>
      <c r="J2329" t="s">
        <v>9</v>
      </c>
      <c r="K2329">
        <v>16378.49</v>
      </c>
      <c r="L2329">
        <v>206.05</v>
      </c>
      <c r="M2329">
        <v>14861</v>
      </c>
      <c r="N2329" t="s">
        <v>79</v>
      </c>
      <c r="O2329">
        <v>250929</v>
      </c>
      <c r="P2329">
        <v>808.04</v>
      </c>
    </row>
    <row r="2330" spans="1:16" x14ac:dyDescent="0.25">
      <c r="A2330" t="s">
        <v>3296</v>
      </c>
      <c r="B2330" t="s">
        <v>2931</v>
      </c>
      <c r="C2330">
        <v>12625</v>
      </c>
      <c r="D2330" t="str">
        <f t="shared" si="79"/>
        <v xml:space="preserve">5016563     </v>
      </c>
      <c r="E2330" t="s">
        <v>8</v>
      </c>
      <c r="F2330" t="s">
        <v>11</v>
      </c>
      <c r="G2330">
        <v>189.3</v>
      </c>
      <c r="H2330">
        <v>251001</v>
      </c>
      <c r="I2330">
        <v>4841</v>
      </c>
      <c r="J2330" t="s">
        <v>9</v>
      </c>
      <c r="K2330">
        <v>16378.49</v>
      </c>
      <c r="L2330">
        <v>38.46</v>
      </c>
      <c r="M2330">
        <v>14861</v>
      </c>
      <c r="N2330" t="s">
        <v>79</v>
      </c>
      <c r="O2330">
        <v>250929</v>
      </c>
      <c r="P2330">
        <v>150.84</v>
      </c>
    </row>
    <row r="2331" spans="1:16" x14ac:dyDescent="0.25">
      <c r="A2331" t="s">
        <v>3296</v>
      </c>
      <c r="B2331" t="s">
        <v>2931</v>
      </c>
      <c r="C2331">
        <v>12625</v>
      </c>
      <c r="D2331" t="str">
        <f t="shared" si="79"/>
        <v xml:space="preserve">5016563     </v>
      </c>
      <c r="E2331" t="s">
        <v>8</v>
      </c>
      <c r="F2331" t="s">
        <v>11</v>
      </c>
      <c r="G2331">
        <v>46.94</v>
      </c>
      <c r="H2331">
        <v>251001</v>
      </c>
      <c r="I2331">
        <v>4841</v>
      </c>
      <c r="J2331" t="s">
        <v>9</v>
      </c>
      <c r="K2331">
        <v>16378.49</v>
      </c>
      <c r="L2331">
        <v>9.5399999999999991</v>
      </c>
      <c r="M2331">
        <v>14912</v>
      </c>
      <c r="N2331" t="s">
        <v>80</v>
      </c>
      <c r="O2331">
        <v>250929</v>
      </c>
      <c r="P2331">
        <v>37.4</v>
      </c>
    </row>
    <row r="2332" spans="1:16" x14ac:dyDescent="0.25">
      <c r="A2332" t="s">
        <v>3296</v>
      </c>
      <c r="B2332" t="s">
        <v>2931</v>
      </c>
      <c r="C2332">
        <v>12625</v>
      </c>
      <c r="D2332" t="str">
        <f t="shared" si="79"/>
        <v xml:space="preserve">5016563     </v>
      </c>
      <c r="E2332" t="s">
        <v>8</v>
      </c>
      <c r="F2332" t="s">
        <v>11</v>
      </c>
      <c r="G2332">
        <v>81.150000000000006</v>
      </c>
      <c r="H2332">
        <v>251001</v>
      </c>
      <c r="I2332">
        <v>4841</v>
      </c>
      <c r="J2332" t="s">
        <v>9</v>
      </c>
      <c r="K2332">
        <v>16378.49</v>
      </c>
      <c r="L2332">
        <v>16.489999999999998</v>
      </c>
      <c r="M2332">
        <v>14971</v>
      </c>
      <c r="N2332" t="s">
        <v>81</v>
      </c>
      <c r="O2332">
        <v>250929</v>
      </c>
      <c r="P2332">
        <v>64.66</v>
      </c>
    </row>
    <row r="2333" spans="1:16" x14ac:dyDescent="0.25">
      <c r="A2333" t="s">
        <v>3296</v>
      </c>
      <c r="B2333" t="s">
        <v>2931</v>
      </c>
      <c r="C2333">
        <v>12625</v>
      </c>
      <c r="D2333" t="str">
        <f t="shared" si="79"/>
        <v xml:space="preserve">5016563     </v>
      </c>
      <c r="E2333" t="s">
        <v>8</v>
      </c>
      <c r="F2333" t="s">
        <v>11</v>
      </c>
      <c r="G2333">
        <v>287.22000000000003</v>
      </c>
      <c r="H2333">
        <v>251001</v>
      </c>
      <c r="I2333">
        <v>4841</v>
      </c>
      <c r="J2333" t="s">
        <v>9</v>
      </c>
      <c r="K2333">
        <v>16378.49</v>
      </c>
      <c r="L2333">
        <v>58.36</v>
      </c>
      <c r="M2333">
        <v>14972</v>
      </c>
      <c r="N2333" t="s">
        <v>82</v>
      </c>
      <c r="O2333">
        <v>250929</v>
      </c>
      <c r="P2333">
        <v>228.86</v>
      </c>
    </row>
    <row r="2334" spans="1:16" x14ac:dyDescent="0.25">
      <c r="A2334" t="s">
        <v>3296</v>
      </c>
      <c r="B2334" t="s">
        <v>2931</v>
      </c>
      <c r="C2334">
        <v>12625</v>
      </c>
      <c r="D2334" t="str">
        <f t="shared" si="79"/>
        <v xml:space="preserve">5016563     </v>
      </c>
      <c r="E2334" t="s">
        <v>8</v>
      </c>
      <c r="F2334" t="s">
        <v>11</v>
      </c>
      <c r="G2334">
        <v>292.45</v>
      </c>
      <c r="H2334">
        <v>251001</v>
      </c>
      <c r="I2334">
        <v>4841</v>
      </c>
      <c r="J2334" t="s">
        <v>9</v>
      </c>
      <c r="K2334">
        <v>16378.49</v>
      </c>
      <c r="L2334">
        <v>59.42</v>
      </c>
      <c r="M2334">
        <v>14972</v>
      </c>
      <c r="N2334" t="s">
        <v>82</v>
      </c>
      <c r="O2334">
        <v>250929</v>
      </c>
      <c r="P2334">
        <v>233.03</v>
      </c>
    </row>
    <row r="2335" spans="1:16" x14ac:dyDescent="0.25">
      <c r="A2335" t="s">
        <v>3296</v>
      </c>
      <c r="B2335" t="s">
        <v>2931</v>
      </c>
      <c r="C2335">
        <v>12625</v>
      </c>
      <c r="D2335" t="str">
        <f t="shared" si="79"/>
        <v xml:space="preserve">5016563     </v>
      </c>
      <c r="E2335" t="s">
        <v>8</v>
      </c>
      <c r="F2335" t="s">
        <v>11</v>
      </c>
      <c r="G2335">
        <v>107.57</v>
      </c>
      <c r="H2335">
        <v>251001</v>
      </c>
      <c r="I2335">
        <v>4841</v>
      </c>
      <c r="J2335" t="s">
        <v>9</v>
      </c>
      <c r="K2335">
        <v>16378.49</v>
      </c>
      <c r="L2335">
        <v>21.86</v>
      </c>
      <c r="M2335">
        <v>14974</v>
      </c>
      <c r="N2335" t="s">
        <v>83</v>
      </c>
      <c r="O2335">
        <v>250929</v>
      </c>
      <c r="P2335">
        <v>85.71</v>
      </c>
    </row>
    <row r="2336" spans="1:16" x14ac:dyDescent="0.25">
      <c r="A2336" t="s">
        <v>3296</v>
      </c>
      <c r="B2336" t="s">
        <v>2931</v>
      </c>
      <c r="C2336">
        <v>12625</v>
      </c>
      <c r="D2336" t="str">
        <f t="shared" si="79"/>
        <v xml:space="preserve">5016563     </v>
      </c>
      <c r="E2336" t="s">
        <v>8</v>
      </c>
      <c r="F2336" t="s">
        <v>11</v>
      </c>
      <c r="G2336">
        <v>24.05</v>
      </c>
      <c r="H2336">
        <v>251001</v>
      </c>
      <c r="I2336">
        <v>4841</v>
      </c>
      <c r="J2336" t="s">
        <v>9</v>
      </c>
      <c r="K2336">
        <v>16378.49</v>
      </c>
      <c r="L2336">
        <v>4.8899999999999997</v>
      </c>
      <c r="M2336">
        <v>14975</v>
      </c>
      <c r="N2336" t="s">
        <v>84</v>
      </c>
      <c r="O2336">
        <v>250929</v>
      </c>
      <c r="P2336">
        <v>19.16</v>
      </c>
    </row>
    <row r="2337" spans="1:16" x14ac:dyDescent="0.25">
      <c r="A2337" t="s">
        <v>3296</v>
      </c>
      <c r="B2337" t="s">
        <v>2931</v>
      </c>
      <c r="C2337">
        <v>12625</v>
      </c>
      <c r="D2337" t="str">
        <f t="shared" si="79"/>
        <v xml:space="preserve">5016563     </v>
      </c>
      <c r="E2337" t="s">
        <v>8</v>
      </c>
      <c r="F2337" t="s">
        <v>11</v>
      </c>
      <c r="G2337">
        <v>93.58</v>
      </c>
      <c r="H2337">
        <v>251001</v>
      </c>
      <c r="I2337">
        <v>4841</v>
      </c>
      <c r="J2337" t="s">
        <v>9</v>
      </c>
      <c r="K2337">
        <v>16378.49</v>
      </c>
      <c r="L2337">
        <v>19.010000000000002</v>
      </c>
      <c r="M2337">
        <v>14975</v>
      </c>
      <c r="N2337" t="s">
        <v>84</v>
      </c>
      <c r="O2337">
        <v>250929</v>
      </c>
      <c r="P2337">
        <v>74.569999999999993</v>
      </c>
    </row>
    <row r="2338" spans="1:16" x14ac:dyDescent="0.25">
      <c r="A2338" t="s">
        <v>3296</v>
      </c>
      <c r="B2338" t="s">
        <v>2931</v>
      </c>
      <c r="C2338">
        <v>12625</v>
      </c>
      <c r="D2338" t="str">
        <f t="shared" si="79"/>
        <v xml:space="preserve">5016563     </v>
      </c>
      <c r="E2338" t="s">
        <v>8</v>
      </c>
      <c r="F2338" t="s">
        <v>11</v>
      </c>
      <c r="G2338">
        <v>80.709999999999994</v>
      </c>
      <c r="H2338">
        <v>251001</v>
      </c>
      <c r="I2338">
        <v>4841</v>
      </c>
      <c r="J2338" t="s">
        <v>9</v>
      </c>
      <c r="K2338">
        <v>16378.49</v>
      </c>
      <c r="L2338">
        <v>16.399999999999999</v>
      </c>
      <c r="M2338">
        <v>14990</v>
      </c>
      <c r="N2338" t="s">
        <v>85</v>
      </c>
      <c r="O2338">
        <v>250929</v>
      </c>
      <c r="P2338">
        <v>64.31</v>
      </c>
    </row>
    <row r="2339" spans="1:16" x14ac:dyDescent="0.25">
      <c r="A2339" t="s">
        <v>3296</v>
      </c>
      <c r="B2339" t="s">
        <v>2931</v>
      </c>
      <c r="C2339">
        <v>12625</v>
      </c>
      <c r="D2339" t="str">
        <f t="shared" si="79"/>
        <v xml:space="preserve">5016563     </v>
      </c>
      <c r="E2339" t="s">
        <v>8</v>
      </c>
      <c r="F2339" t="s">
        <v>11</v>
      </c>
      <c r="G2339">
        <v>11.17</v>
      </c>
      <c r="H2339">
        <v>251001</v>
      </c>
      <c r="I2339">
        <v>4841</v>
      </c>
      <c r="J2339" t="s">
        <v>9</v>
      </c>
      <c r="K2339">
        <v>16378.49</v>
      </c>
      <c r="L2339">
        <v>2.27</v>
      </c>
      <c r="M2339">
        <v>14990</v>
      </c>
      <c r="N2339" t="s">
        <v>85</v>
      </c>
      <c r="O2339">
        <v>250929</v>
      </c>
      <c r="P2339">
        <v>8.9</v>
      </c>
    </row>
    <row r="2340" spans="1:16" x14ac:dyDescent="0.25">
      <c r="A2340" t="s">
        <v>3296</v>
      </c>
      <c r="B2340" t="s">
        <v>2931</v>
      </c>
      <c r="C2340">
        <v>12625</v>
      </c>
      <c r="D2340" t="str">
        <f t="shared" si="79"/>
        <v xml:space="preserve">5016563     </v>
      </c>
      <c r="E2340" t="s">
        <v>8</v>
      </c>
      <c r="F2340" t="s">
        <v>11</v>
      </c>
      <c r="G2340">
        <v>21.11</v>
      </c>
      <c r="H2340">
        <v>251001</v>
      </c>
      <c r="I2340">
        <v>4841</v>
      </c>
      <c r="J2340" t="s">
        <v>9</v>
      </c>
      <c r="K2340">
        <v>16378.49</v>
      </c>
      <c r="L2340">
        <v>4.29</v>
      </c>
      <c r="M2340">
        <v>18120</v>
      </c>
      <c r="N2340" t="s">
        <v>37</v>
      </c>
      <c r="O2340">
        <v>250929</v>
      </c>
      <c r="P2340">
        <v>16.82</v>
      </c>
    </row>
    <row r="2341" spans="1:16" x14ac:dyDescent="0.25">
      <c r="A2341" t="s">
        <v>3296</v>
      </c>
      <c r="B2341" t="s">
        <v>2931</v>
      </c>
      <c r="C2341">
        <v>12625</v>
      </c>
      <c r="D2341" t="str">
        <f t="shared" si="79"/>
        <v xml:space="preserve">5016563     </v>
      </c>
      <c r="E2341" t="s">
        <v>8</v>
      </c>
      <c r="F2341" t="s">
        <v>11</v>
      </c>
      <c r="G2341">
        <v>175.6</v>
      </c>
      <c r="H2341">
        <v>251001</v>
      </c>
      <c r="I2341">
        <v>4841</v>
      </c>
      <c r="J2341" t="s">
        <v>9</v>
      </c>
      <c r="K2341">
        <v>16378.49</v>
      </c>
      <c r="L2341">
        <v>35.68</v>
      </c>
      <c r="M2341">
        <v>18972</v>
      </c>
      <c r="N2341" t="s">
        <v>39</v>
      </c>
      <c r="O2341">
        <v>250929</v>
      </c>
      <c r="P2341">
        <v>139.91999999999999</v>
      </c>
    </row>
    <row r="2342" spans="1:16" x14ac:dyDescent="0.25">
      <c r="A2342" t="s">
        <v>3296</v>
      </c>
      <c r="B2342" t="s">
        <v>2931</v>
      </c>
      <c r="C2342">
        <v>12625</v>
      </c>
      <c r="D2342" t="str">
        <f t="shared" si="79"/>
        <v xml:space="preserve">5016563     </v>
      </c>
      <c r="E2342" t="s">
        <v>8</v>
      </c>
      <c r="F2342" t="s">
        <v>11</v>
      </c>
      <c r="G2342">
        <v>411.25</v>
      </c>
      <c r="H2342">
        <v>251001</v>
      </c>
      <c r="I2342">
        <v>4841</v>
      </c>
      <c r="J2342" t="s">
        <v>9</v>
      </c>
      <c r="K2342">
        <v>16378.49</v>
      </c>
      <c r="L2342">
        <v>83.56</v>
      </c>
      <c r="M2342">
        <v>18972</v>
      </c>
      <c r="N2342" t="s">
        <v>39</v>
      </c>
      <c r="O2342">
        <v>250929</v>
      </c>
      <c r="P2342">
        <v>327.69</v>
      </c>
    </row>
    <row r="2343" spans="1:16" x14ac:dyDescent="0.25">
      <c r="A2343" t="s">
        <v>3296</v>
      </c>
      <c r="B2343" t="s">
        <v>2931</v>
      </c>
      <c r="C2343">
        <v>13097</v>
      </c>
      <c r="D2343" t="str">
        <f>"5016558     "</f>
        <v xml:space="preserve">5016558     </v>
      </c>
      <c r="E2343" t="s">
        <v>8</v>
      </c>
      <c r="F2343" t="s">
        <v>11</v>
      </c>
      <c r="G2343">
        <v>4708.17</v>
      </c>
      <c r="H2343">
        <v>251001</v>
      </c>
      <c r="I2343">
        <v>4841</v>
      </c>
      <c r="J2343" t="s">
        <v>9</v>
      </c>
      <c r="K2343">
        <v>4708.17</v>
      </c>
      <c r="L2343">
        <v>956.64</v>
      </c>
      <c r="M2343">
        <v>18993</v>
      </c>
      <c r="N2343" t="s">
        <v>540</v>
      </c>
      <c r="O2343">
        <v>251006</v>
      </c>
      <c r="P2343">
        <v>3751.53</v>
      </c>
    </row>
    <row r="2344" spans="1:16" x14ac:dyDescent="0.25">
      <c r="A2344" t="s">
        <v>3296</v>
      </c>
      <c r="B2344" t="s">
        <v>2931</v>
      </c>
      <c r="C2344">
        <v>13232</v>
      </c>
      <c r="D2344" t="str">
        <f>"5016562     "</f>
        <v xml:space="preserve">5016562     </v>
      </c>
      <c r="E2344" t="s">
        <v>8</v>
      </c>
      <c r="F2344" t="s">
        <v>11</v>
      </c>
      <c r="G2344">
        <v>150.97999999999999</v>
      </c>
      <c r="H2344">
        <v>251001</v>
      </c>
      <c r="I2344">
        <v>4841</v>
      </c>
      <c r="J2344" t="s">
        <v>9</v>
      </c>
      <c r="K2344">
        <v>150.97999999999999</v>
      </c>
      <c r="L2344">
        <v>30.68</v>
      </c>
      <c r="M2344">
        <v>13940</v>
      </c>
      <c r="N2344" t="s">
        <v>14</v>
      </c>
      <c r="O2344">
        <v>251007</v>
      </c>
      <c r="P2344">
        <v>120.3</v>
      </c>
    </row>
    <row r="2345" spans="1:16" x14ac:dyDescent="0.25">
      <c r="A2345" t="s">
        <v>3296</v>
      </c>
      <c r="B2345" t="s">
        <v>2931</v>
      </c>
      <c r="C2345">
        <v>15898</v>
      </c>
      <c r="D2345" t="str">
        <f>"5016965     "</f>
        <v xml:space="preserve">5016965     </v>
      </c>
      <c r="E2345" t="s">
        <v>8</v>
      </c>
      <c r="F2345" t="s">
        <v>11</v>
      </c>
      <c r="G2345">
        <v>-1390.99</v>
      </c>
      <c r="H2345">
        <v>251125</v>
      </c>
      <c r="I2345">
        <v>4841</v>
      </c>
      <c r="J2345" t="s">
        <v>9</v>
      </c>
      <c r="K2345">
        <v>-1390.99</v>
      </c>
      <c r="L2345">
        <v>-282.63</v>
      </c>
      <c r="M2345">
        <v>13501</v>
      </c>
      <c r="N2345" t="s">
        <v>66</v>
      </c>
      <c r="O2345">
        <v>251128</v>
      </c>
      <c r="P2345">
        <v>-1108.3599999999999</v>
      </c>
    </row>
    <row r="2346" spans="1:16" x14ac:dyDescent="0.25">
      <c r="A2346" t="s">
        <v>3296</v>
      </c>
      <c r="B2346" t="s">
        <v>2931</v>
      </c>
      <c r="C2346">
        <v>15899</v>
      </c>
      <c r="D2346" t="str">
        <f>"5016964     "</f>
        <v xml:space="preserve">5016964     </v>
      </c>
      <c r="E2346" t="s">
        <v>8</v>
      </c>
      <c r="F2346" t="s">
        <v>11</v>
      </c>
      <c r="G2346">
        <v>-1651.98</v>
      </c>
      <c r="H2346">
        <v>251125</v>
      </c>
      <c r="I2346">
        <v>4841</v>
      </c>
      <c r="J2346" t="s">
        <v>9</v>
      </c>
      <c r="K2346">
        <v>-1651.98</v>
      </c>
      <c r="L2346">
        <v>-335.66</v>
      </c>
      <c r="M2346">
        <v>13401</v>
      </c>
      <c r="N2346" t="s">
        <v>10</v>
      </c>
      <c r="O2346">
        <v>251128</v>
      </c>
      <c r="P2346">
        <v>-1316.32</v>
      </c>
    </row>
    <row r="2347" spans="1:16" x14ac:dyDescent="0.25">
      <c r="A2347" t="s">
        <v>3296</v>
      </c>
      <c r="B2347" t="s">
        <v>2931</v>
      </c>
      <c r="C2347">
        <v>6</v>
      </c>
      <c r="D2347" t="str">
        <f t="shared" ref="D2347:D2362" si="80">"5009592     "</f>
        <v xml:space="preserve">5009592     </v>
      </c>
      <c r="E2347" t="s">
        <v>8</v>
      </c>
      <c r="F2347" t="s">
        <v>11</v>
      </c>
      <c r="G2347">
        <v>363.33</v>
      </c>
      <c r="H2347">
        <v>250101</v>
      </c>
      <c r="I2347">
        <v>4842</v>
      </c>
      <c r="J2347" t="s">
        <v>15</v>
      </c>
      <c r="K2347">
        <v>8464.75</v>
      </c>
      <c r="L2347">
        <v>73.819999999999993</v>
      </c>
      <c r="M2347">
        <v>16321</v>
      </c>
      <c r="N2347" t="s">
        <v>16</v>
      </c>
      <c r="O2347">
        <v>241231</v>
      </c>
      <c r="P2347">
        <v>289.51</v>
      </c>
    </row>
    <row r="2348" spans="1:16" x14ac:dyDescent="0.25">
      <c r="A2348" t="s">
        <v>3296</v>
      </c>
      <c r="B2348" t="s">
        <v>2931</v>
      </c>
      <c r="C2348">
        <v>6</v>
      </c>
      <c r="D2348" t="str">
        <f t="shared" si="80"/>
        <v xml:space="preserve">5009592     </v>
      </c>
      <c r="E2348" t="s">
        <v>8</v>
      </c>
      <c r="F2348" t="s">
        <v>11</v>
      </c>
      <c r="G2348">
        <v>185.79</v>
      </c>
      <c r="H2348">
        <v>250101</v>
      </c>
      <c r="I2348">
        <v>4842</v>
      </c>
      <c r="J2348" t="s">
        <v>15</v>
      </c>
      <c r="K2348">
        <v>8464.75</v>
      </c>
      <c r="L2348">
        <v>37.75</v>
      </c>
      <c r="M2348">
        <v>16321</v>
      </c>
      <c r="N2348" t="s">
        <v>16</v>
      </c>
      <c r="O2348">
        <v>241231</v>
      </c>
      <c r="P2348">
        <v>148.04</v>
      </c>
    </row>
    <row r="2349" spans="1:16" x14ac:dyDescent="0.25">
      <c r="A2349" t="s">
        <v>3296</v>
      </c>
      <c r="B2349" t="s">
        <v>2931</v>
      </c>
      <c r="C2349">
        <v>6</v>
      </c>
      <c r="D2349" t="str">
        <f t="shared" si="80"/>
        <v xml:space="preserve">5009592     </v>
      </c>
      <c r="E2349" t="s">
        <v>8</v>
      </c>
      <c r="F2349" t="s">
        <v>11</v>
      </c>
      <c r="G2349">
        <v>504.11</v>
      </c>
      <c r="H2349">
        <v>250101</v>
      </c>
      <c r="I2349">
        <v>4842</v>
      </c>
      <c r="J2349" t="s">
        <v>15</v>
      </c>
      <c r="K2349">
        <v>8464.75</v>
      </c>
      <c r="L2349">
        <v>102.43</v>
      </c>
      <c r="M2349">
        <v>16431</v>
      </c>
      <c r="N2349" t="s">
        <v>17</v>
      </c>
      <c r="O2349">
        <v>241231</v>
      </c>
      <c r="P2349">
        <v>401.68</v>
      </c>
    </row>
    <row r="2350" spans="1:16" x14ac:dyDescent="0.25">
      <c r="A2350" t="s">
        <v>3296</v>
      </c>
      <c r="B2350" t="s">
        <v>2931</v>
      </c>
      <c r="C2350">
        <v>6</v>
      </c>
      <c r="D2350" t="str">
        <f t="shared" si="80"/>
        <v xml:space="preserve">5009592     </v>
      </c>
      <c r="E2350" t="s">
        <v>8</v>
      </c>
      <c r="F2350" t="s">
        <v>11</v>
      </c>
      <c r="G2350">
        <v>325.91000000000003</v>
      </c>
      <c r="H2350">
        <v>250101</v>
      </c>
      <c r="I2350">
        <v>4842</v>
      </c>
      <c r="J2350" t="s">
        <v>15</v>
      </c>
      <c r="K2350">
        <v>8464.75</v>
      </c>
      <c r="L2350">
        <v>66.22</v>
      </c>
      <c r="M2350">
        <v>17802</v>
      </c>
      <c r="N2350" t="s">
        <v>18</v>
      </c>
      <c r="O2350">
        <v>241231</v>
      </c>
      <c r="P2350">
        <v>259.69</v>
      </c>
    </row>
    <row r="2351" spans="1:16" x14ac:dyDescent="0.25">
      <c r="A2351" t="s">
        <v>3296</v>
      </c>
      <c r="B2351" t="s">
        <v>2931</v>
      </c>
      <c r="C2351">
        <v>6</v>
      </c>
      <c r="D2351" t="str">
        <f t="shared" si="80"/>
        <v xml:space="preserve">5009592     </v>
      </c>
      <c r="E2351" t="s">
        <v>8</v>
      </c>
      <c r="F2351" t="s">
        <v>11</v>
      </c>
      <c r="G2351">
        <v>1467.9</v>
      </c>
      <c r="H2351">
        <v>250101</v>
      </c>
      <c r="I2351">
        <v>4842</v>
      </c>
      <c r="J2351" t="s">
        <v>15</v>
      </c>
      <c r="K2351">
        <v>8464.75</v>
      </c>
      <c r="L2351">
        <v>298.26</v>
      </c>
      <c r="M2351">
        <v>17803</v>
      </c>
      <c r="N2351" t="s">
        <v>19</v>
      </c>
      <c r="O2351">
        <v>241231</v>
      </c>
      <c r="P2351">
        <v>1169.6400000000001</v>
      </c>
    </row>
    <row r="2352" spans="1:16" x14ac:dyDescent="0.25">
      <c r="A2352" t="s">
        <v>3296</v>
      </c>
      <c r="B2352" t="s">
        <v>2931</v>
      </c>
      <c r="C2352">
        <v>6</v>
      </c>
      <c r="D2352" t="str">
        <f t="shared" si="80"/>
        <v xml:space="preserve">5009592     </v>
      </c>
      <c r="E2352" t="s">
        <v>8</v>
      </c>
      <c r="F2352" t="s">
        <v>11</v>
      </c>
      <c r="G2352">
        <v>92.87</v>
      </c>
      <c r="H2352">
        <v>250101</v>
      </c>
      <c r="I2352">
        <v>4842</v>
      </c>
      <c r="J2352" t="s">
        <v>15</v>
      </c>
      <c r="K2352">
        <v>8464.75</v>
      </c>
      <c r="L2352">
        <v>18.87</v>
      </c>
      <c r="M2352">
        <v>17804</v>
      </c>
      <c r="N2352" t="s">
        <v>20</v>
      </c>
      <c r="O2352">
        <v>241231</v>
      </c>
      <c r="P2352">
        <v>74</v>
      </c>
    </row>
    <row r="2353" spans="1:16" x14ac:dyDescent="0.25">
      <c r="A2353" t="s">
        <v>3296</v>
      </c>
      <c r="B2353" t="s">
        <v>2931</v>
      </c>
      <c r="C2353">
        <v>6</v>
      </c>
      <c r="D2353" t="str">
        <f t="shared" si="80"/>
        <v xml:space="preserve">5009592     </v>
      </c>
      <c r="E2353" t="s">
        <v>8</v>
      </c>
      <c r="F2353" t="s">
        <v>11</v>
      </c>
      <c r="G2353">
        <v>83.21</v>
      </c>
      <c r="H2353">
        <v>250101</v>
      </c>
      <c r="I2353">
        <v>4842</v>
      </c>
      <c r="J2353" t="s">
        <v>15</v>
      </c>
      <c r="K2353">
        <v>8464.75</v>
      </c>
      <c r="L2353">
        <v>16.91</v>
      </c>
      <c r="M2353">
        <v>17805</v>
      </c>
      <c r="N2353" t="s">
        <v>21</v>
      </c>
      <c r="O2353">
        <v>241231</v>
      </c>
      <c r="P2353">
        <v>66.3</v>
      </c>
    </row>
    <row r="2354" spans="1:16" x14ac:dyDescent="0.25">
      <c r="A2354" t="s">
        <v>3296</v>
      </c>
      <c r="B2354" t="s">
        <v>2931</v>
      </c>
      <c r="C2354">
        <v>6</v>
      </c>
      <c r="D2354" t="str">
        <f t="shared" si="80"/>
        <v xml:space="preserve">5009592     </v>
      </c>
      <c r="E2354" t="s">
        <v>8</v>
      </c>
      <c r="F2354" t="s">
        <v>11</v>
      </c>
      <c r="G2354">
        <v>349.42</v>
      </c>
      <c r="H2354">
        <v>250101</v>
      </c>
      <c r="I2354">
        <v>4842</v>
      </c>
      <c r="J2354" t="s">
        <v>15</v>
      </c>
      <c r="K2354">
        <v>8464.75</v>
      </c>
      <c r="L2354">
        <v>71</v>
      </c>
      <c r="M2354">
        <v>17806</v>
      </c>
      <c r="N2354" t="s">
        <v>22</v>
      </c>
      <c r="O2354">
        <v>241231</v>
      </c>
      <c r="P2354">
        <v>278.42</v>
      </c>
    </row>
    <row r="2355" spans="1:16" x14ac:dyDescent="0.25">
      <c r="A2355" t="s">
        <v>3296</v>
      </c>
      <c r="B2355" t="s">
        <v>2931</v>
      </c>
      <c r="C2355">
        <v>6</v>
      </c>
      <c r="D2355" t="str">
        <f t="shared" si="80"/>
        <v xml:space="preserve">5009592     </v>
      </c>
      <c r="E2355" t="s">
        <v>8</v>
      </c>
      <c r="F2355" t="s">
        <v>11</v>
      </c>
      <c r="G2355">
        <v>163.28</v>
      </c>
      <c r="H2355">
        <v>250101</v>
      </c>
      <c r="I2355">
        <v>4842</v>
      </c>
      <c r="J2355" t="s">
        <v>15</v>
      </c>
      <c r="K2355">
        <v>8464.75</v>
      </c>
      <c r="L2355">
        <v>33.18</v>
      </c>
      <c r="M2355">
        <v>17807</v>
      </c>
      <c r="N2355" t="s">
        <v>23</v>
      </c>
      <c r="O2355">
        <v>241231</v>
      </c>
      <c r="P2355">
        <v>130.1</v>
      </c>
    </row>
    <row r="2356" spans="1:16" x14ac:dyDescent="0.25">
      <c r="A2356" t="s">
        <v>3296</v>
      </c>
      <c r="B2356" t="s">
        <v>2931</v>
      </c>
      <c r="C2356">
        <v>6</v>
      </c>
      <c r="D2356" t="str">
        <f t="shared" si="80"/>
        <v xml:space="preserve">5009592     </v>
      </c>
      <c r="E2356" t="s">
        <v>8</v>
      </c>
      <c r="F2356" t="s">
        <v>11</v>
      </c>
      <c r="G2356">
        <v>3495.54</v>
      </c>
      <c r="H2356">
        <v>250101</v>
      </c>
      <c r="I2356">
        <v>4842</v>
      </c>
      <c r="J2356" t="s">
        <v>15</v>
      </c>
      <c r="K2356">
        <v>8464.75</v>
      </c>
      <c r="L2356">
        <v>710.25</v>
      </c>
      <c r="M2356">
        <v>17808</v>
      </c>
      <c r="N2356" t="s">
        <v>24</v>
      </c>
      <c r="O2356">
        <v>241231</v>
      </c>
      <c r="P2356">
        <v>2785.29</v>
      </c>
    </row>
    <row r="2357" spans="1:16" x14ac:dyDescent="0.25">
      <c r="A2357" t="s">
        <v>3296</v>
      </c>
      <c r="B2357" t="s">
        <v>2931</v>
      </c>
      <c r="C2357">
        <v>6</v>
      </c>
      <c r="D2357" t="str">
        <f t="shared" si="80"/>
        <v xml:space="preserve">5009592     </v>
      </c>
      <c r="E2357" t="s">
        <v>8</v>
      </c>
      <c r="F2357" t="s">
        <v>11</v>
      </c>
      <c r="G2357">
        <v>725.55</v>
      </c>
      <c r="H2357">
        <v>250101</v>
      </c>
      <c r="I2357">
        <v>4842</v>
      </c>
      <c r="J2357" t="s">
        <v>15</v>
      </c>
      <c r="K2357">
        <v>8464.75</v>
      </c>
      <c r="L2357">
        <v>147.41999999999999</v>
      </c>
      <c r="M2357">
        <v>17808</v>
      </c>
      <c r="N2357" t="s">
        <v>24</v>
      </c>
      <c r="O2357">
        <v>241231</v>
      </c>
      <c r="P2357">
        <v>578.13</v>
      </c>
    </row>
    <row r="2358" spans="1:16" x14ac:dyDescent="0.25">
      <c r="A2358" t="s">
        <v>3296</v>
      </c>
      <c r="B2358" t="s">
        <v>2931</v>
      </c>
      <c r="C2358">
        <v>6</v>
      </c>
      <c r="D2358" t="str">
        <f t="shared" si="80"/>
        <v xml:space="preserve">5009592     </v>
      </c>
      <c r="E2358" t="s">
        <v>8</v>
      </c>
      <c r="F2358" t="s">
        <v>11</v>
      </c>
      <c r="G2358">
        <v>176.99</v>
      </c>
      <c r="H2358">
        <v>250101</v>
      </c>
      <c r="I2358">
        <v>4842</v>
      </c>
      <c r="J2358" t="s">
        <v>15</v>
      </c>
      <c r="K2358">
        <v>8464.75</v>
      </c>
      <c r="L2358">
        <v>35.96</v>
      </c>
      <c r="M2358">
        <v>17809</v>
      </c>
      <c r="N2358" t="s">
        <v>25</v>
      </c>
      <c r="O2358">
        <v>241231</v>
      </c>
      <c r="P2358">
        <v>141.03</v>
      </c>
    </row>
    <row r="2359" spans="1:16" x14ac:dyDescent="0.25">
      <c r="A2359" t="s">
        <v>3296</v>
      </c>
      <c r="B2359" t="s">
        <v>2931</v>
      </c>
      <c r="C2359">
        <v>6</v>
      </c>
      <c r="D2359" t="str">
        <f t="shared" si="80"/>
        <v xml:space="preserve">5009592     </v>
      </c>
      <c r="E2359" t="s">
        <v>8</v>
      </c>
      <c r="F2359" t="s">
        <v>11</v>
      </c>
      <c r="G2359">
        <v>81.93</v>
      </c>
      <c r="H2359">
        <v>250101</v>
      </c>
      <c r="I2359">
        <v>4842</v>
      </c>
      <c r="J2359" t="s">
        <v>15</v>
      </c>
      <c r="K2359">
        <v>8464.75</v>
      </c>
      <c r="L2359">
        <v>16.649999999999999</v>
      </c>
      <c r="M2359">
        <v>17913</v>
      </c>
      <c r="N2359" t="s">
        <v>26</v>
      </c>
      <c r="O2359">
        <v>241231</v>
      </c>
      <c r="P2359">
        <v>65.28</v>
      </c>
    </row>
    <row r="2360" spans="1:16" x14ac:dyDescent="0.25">
      <c r="A2360" t="s">
        <v>3296</v>
      </c>
      <c r="B2360" t="s">
        <v>2931</v>
      </c>
      <c r="C2360">
        <v>6</v>
      </c>
      <c r="D2360" t="str">
        <f t="shared" si="80"/>
        <v xml:space="preserve">5009592     </v>
      </c>
      <c r="E2360" t="s">
        <v>8</v>
      </c>
      <c r="F2360" t="s">
        <v>11</v>
      </c>
      <c r="G2360">
        <v>219.91</v>
      </c>
      <c r="H2360">
        <v>250101</v>
      </c>
      <c r="I2360">
        <v>4842</v>
      </c>
      <c r="J2360" t="s">
        <v>15</v>
      </c>
      <c r="K2360">
        <v>8464.75</v>
      </c>
      <c r="L2360">
        <v>44.68</v>
      </c>
      <c r="M2360">
        <v>17971</v>
      </c>
      <c r="N2360" t="s">
        <v>27</v>
      </c>
      <c r="O2360">
        <v>241231</v>
      </c>
      <c r="P2360">
        <v>175.23</v>
      </c>
    </row>
    <row r="2361" spans="1:16" x14ac:dyDescent="0.25">
      <c r="A2361" t="s">
        <v>3296</v>
      </c>
      <c r="B2361" t="s">
        <v>2931</v>
      </c>
      <c r="C2361">
        <v>6</v>
      </c>
      <c r="D2361" t="str">
        <f t="shared" si="80"/>
        <v xml:space="preserve">5009592     </v>
      </c>
      <c r="E2361" t="s">
        <v>8</v>
      </c>
      <c r="F2361" t="s">
        <v>11</v>
      </c>
      <c r="G2361">
        <v>154.44</v>
      </c>
      <c r="H2361">
        <v>250101</v>
      </c>
      <c r="I2361">
        <v>4842</v>
      </c>
      <c r="J2361" t="s">
        <v>15</v>
      </c>
      <c r="K2361">
        <v>8464.75</v>
      </c>
      <c r="L2361">
        <v>31.38</v>
      </c>
      <c r="M2361">
        <v>17972</v>
      </c>
      <c r="N2361" t="s">
        <v>28</v>
      </c>
      <c r="O2361">
        <v>241231</v>
      </c>
      <c r="P2361">
        <v>123.06</v>
      </c>
    </row>
    <row r="2362" spans="1:16" x14ac:dyDescent="0.25">
      <c r="A2362" t="s">
        <v>3296</v>
      </c>
      <c r="B2362" t="s">
        <v>2931</v>
      </c>
      <c r="C2362">
        <v>6</v>
      </c>
      <c r="D2362" t="str">
        <f t="shared" si="80"/>
        <v xml:space="preserve">5009592     </v>
      </c>
      <c r="E2362" t="s">
        <v>8</v>
      </c>
      <c r="F2362" t="s">
        <v>11</v>
      </c>
      <c r="G2362">
        <v>74.569999999999993</v>
      </c>
      <c r="H2362">
        <v>250101</v>
      </c>
      <c r="I2362">
        <v>4842</v>
      </c>
      <c r="J2362" t="s">
        <v>15</v>
      </c>
      <c r="K2362">
        <v>8464.75</v>
      </c>
      <c r="L2362">
        <v>15.15</v>
      </c>
      <c r="M2362">
        <v>17975</v>
      </c>
      <c r="N2362" t="s">
        <v>29</v>
      </c>
      <c r="O2362">
        <v>241231</v>
      </c>
      <c r="P2362">
        <v>59.42</v>
      </c>
    </row>
    <row r="2363" spans="1:16" x14ac:dyDescent="0.25">
      <c r="A2363" t="s">
        <v>3296</v>
      </c>
      <c r="B2363" t="s">
        <v>2931</v>
      </c>
      <c r="C2363">
        <v>8904</v>
      </c>
      <c r="D2363" t="str">
        <f>"5013932     "</f>
        <v xml:space="preserve">5013932     </v>
      </c>
      <c r="E2363" t="s">
        <v>8</v>
      </c>
      <c r="F2363" t="s">
        <v>11</v>
      </c>
      <c r="G2363">
        <v>226.46</v>
      </c>
      <c r="H2363">
        <v>250701</v>
      </c>
      <c r="I2363">
        <v>4860</v>
      </c>
      <c r="J2363" t="s">
        <v>286</v>
      </c>
      <c r="K2363">
        <v>226.46</v>
      </c>
      <c r="L2363">
        <v>46.01</v>
      </c>
      <c r="M2363">
        <v>13940</v>
      </c>
      <c r="N2363" t="s">
        <v>14</v>
      </c>
      <c r="O2363">
        <v>250618</v>
      </c>
      <c r="P2363">
        <v>180.45</v>
      </c>
    </row>
    <row r="2364" spans="1:16" x14ac:dyDescent="0.25">
      <c r="A2364" t="s">
        <v>3296</v>
      </c>
      <c r="B2364" t="s">
        <v>2931</v>
      </c>
      <c r="C2364">
        <v>17677</v>
      </c>
      <c r="D2364" t="str">
        <f>"368757      "</f>
        <v xml:space="preserve">368757      </v>
      </c>
      <c r="E2364" t="s">
        <v>2769</v>
      </c>
      <c r="F2364" t="s">
        <v>2770</v>
      </c>
      <c r="G2364">
        <v>234.96</v>
      </c>
      <c r="H2364">
        <v>251214</v>
      </c>
      <c r="I2364">
        <v>4520</v>
      </c>
      <c r="J2364" t="s">
        <v>280</v>
      </c>
      <c r="K2364">
        <v>234.96</v>
      </c>
      <c r="L2364">
        <v>28.85</v>
      </c>
      <c r="M2364">
        <v>59113</v>
      </c>
      <c r="N2364" t="s">
        <v>61</v>
      </c>
      <c r="O2364">
        <v>251229</v>
      </c>
      <c r="P2364">
        <v>206.11</v>
      </c>
    </row>
    <row r="2365" spans="1:16" x14ac:dyDescent="0.25">
      <c r="A2365" t="s">
        <v>3296</v>
      </c>
      <c r="B2365" t="s">
        <v>2931</v>
      </c>
      <c r="C2365">
        <v>17709</v>
      </c>
      <c r="D2365" t="str">
        <f>"368883      "</f>
        <v xml:space="preserve">368883      </v>
      </c>
      <c r="E2365" t="s">
        <v>2769</v>
      </c>
      <c r="F2365" t="s">
        <v>2770</v>
      </c>
      <c r="G2365">
        <v>1477.67</v>
      </c>
      <c r="H2365">
        <v>251215</v>
      </c>
      <c r="I2365">
        <v>4520</v>
      </c>
      <c r="J2365" t="s">
        <v>280</v>
      </c>
      <c r="K2365">
        <v>1477.67</v>
      </c>
      <c r="L2365">
        <v>181.47</v>
      </c>
      <c r="M2365">
        <v>59113</v>
      </c>
      <c r="N2365" t="s">
        <v>61</v>
      </c>
      <c r="O2365">
        <v>251229</v>
      </c>
      <c r="P2365">
        <v>1296.2</v>
      </c>
    </row>
    <row r="2366" spans="1:16" x14ac:dyDescent="0.25">
      <c r="A2366" t="s">
        <v>3296</v>
      </c>
      <c r="B2366" t="s">
        <v>2931</v>
      </c>
      <c r="C2366">
        <v>637</v>
      </c>
      <c r="D2366" t="str">
        <f>"1250166     "</f>
        <v xml:space="preserve">1250166     </v>
      </c>
      <c r="E2366" t="s">
        <v>639</v>
      </c>
      <c r="F2366" t="s">
        <v>640</v>
      </c>
      <c r="G2366">
        <v>268.20999999999998</v>
      </c>
      <c r="H2366">
        <v>250121</v>
      </c>
      <c r="I2366">
        <v>4390</v>
      </c>
      <c r="J2366" t="s">
        <v>232</v>
      </c>
      <c r="K2366">
        <v>268.20999999999998</v>
      </c>
      <c r="L2366">
        <v>0</v>
      </c>
      <c r="M2366">
        <v>14952</v>
      </c>
      <c r="N2366" t="s">
        <v>213</v>
      </c>
      <c r="O2366">
        <v>250124</v>
      </c>
      <c r="P2366">
        <v>268.20999999999998</v>
      </c>
    </row>
    <row r="2367" spans="1:16" x14ac:dyDescent="0.25">
      <c r="A2367" t="s">
        <v>3296</v>
      </c>
      <c r="B2367" t="s">
        <v>2931</v>
      </c>
      <c r="C2367">
        <v>669</v>
      </c>
      <c r="D2367" t="str">
        <f>"1250157     "</f>
        <v xml:space="preserve">1250157     </v>
      </c>
      <c r="E2367" t="s">
        <v>639</v>
      </c>
      <c r="F2367" t="s">
        <v>640</v>
      </c>
      <c r="G2367">
        <v>268.20999999999998</v>
      </c>
      <c r="H2367">
        <v>250121</v>
      </c>
      <c r="I2367">
        <v>4390</v>
      </c>
      <c r="J2367" t="s">
        <v>232</v>
      </c>
      <c r="K2367">
        <v>268.20999999999998</v>
      </c>
      <c r="L2367">
        <v>0</v>
      </c>
      <c r="M2367">
        <v>14952</v>
      </c>
      <c r="N2367" t="s">
        <v>213</v>
      </c>
      <c r="O2367">
        <v>250127</v>
      </c>
      <c r="P2367">
        <v>268.20999999999998</v>
      </c>
    </row>
    <row r="2368" spans="1:16" x14ac:dyDescent="0.25">
      <c r="A2368" t="s">
        <v>3296</v>
      </c>
      <c r="B2368" t="s">
        <v>2931</v>
      </c>
      <c r="C2368">
        <v>7327</v>
      </c>
      <c r="D2368" t="str">
        <f>"1251712     "</f>
        <v xml:space="preserve">1251712     </v>
      </c>
      <c r="E2368" t="s">
        <v>639</v>
      </c>
      <c r="F2368" t="s">
        <v>640</v>
      </c>
      <c r="G2368">
        <v>464.13</v>
      </c>
      <c r="H2368">
        <v>250521</v>
      </c>
      <c r="I2368">
        <v>4390</v>
      </c>
      <c r="J2368" t="s">
        <v>232</v>
      </c>
      <c r="K2368">
        <v>464.13</v>
      </c>
      <c r="L2368">
        <v>0</v>
      </c>
      <c r="M2368">
        <v>59501</v>
      </c>
      <c r="N2368" t="s">
        <v>62</v>
      </c>
      <c r="O2368">
        <v>250603</v>
      </c>
      <c r="P2368">
        <v>464.13</v>
      </c>
    </row>
    <row r="2369" spans="1:16" x14ac:dyDescent="0.25">
      <c r="A2369" t="s">
        <v>3296</v>
      </c>
      <c r="B2369" t="s">
        <v>2931</v>
      </c>
      <c r="C2369">
        <v>629</v>
      </c>
      <c r="D2369" t="str">
        <f>"2501265     "</f>
        <v xml:space="preserve">2501265     </v>
      </c>
      <c r="E2369" t="s">
        <v>630</v>
      </c>
      <c r="F2369" t="s">
        <v>631</v>
      </c>
      <c r="G2369">
        <v>364.58</v>
      </c>
      <c r="H2369">
        <v>250116</v>
      </c>
      <c r="I2369">
        <v>4400</v>
      </c>
      <c r="J2369" t="s">
        <v>162</v>
      </c>
      <c r="K2369">
        <v>364.58</v>
      </c>
      <c r="L2369">
        <v>74.08</v>
      </c>
      <c r="M2369">
        <v>59113</v>
      </c>
      <c r="N2369" t="s">
        <v>61</v>
      </c>
      <c r="O2369">
        <v>250124</v>
      </c>
      <c r="P2369">
        <v>290.5</v>
      </c>
    </row>
    <row r="2370" spans="1:16" x14ac:dyDescent="0.25">
      <c r="A2370" t="s">
        <v>3296</v>
      </c>
      <c r="B2370" t="s">
        <v>2931</v>
      </c>
      <c r="C2370">
        <v>872</v>
      </c>
      <c r="D2370" t="str">
        <f>"2502321     "</f>
        <v xml:space="preserve">2502321     </v>
      </c>
      <c r="E2370" t="s">
        <v>630</v>
      </c>
      <c r="F2370" t="s">
        <v>631</v>
      </c>
      <c r="G2370">
        <v>364.58</v>
      </c>
      <c r="H2370">
        <v>250128</v>
      </c>
      <c r="I2370">
        <v>4400</v>
      </c>
      <c r="J2370" t="s">
        <v>162</v>
      </c>
      <c r="K2370">
        <v>364.58</v>
      </c>
      <c r="L2370">
        <v>74.08</v>
      </c>
      <c r="M2370">
        <v>59503</v>
      </c>
      <c r="N2370" t="s">
        <v>766</v>
      </c>
      <c r="O2370">
        <v>250130</v>
      </c>
      <c r="P2370">
        <v>290.5</v>
      </c>
    </row>
    <row r="2371" spans="1:16" x14ac:dyDescent="0.25">
      <c r="A2371" t="s">
        <v>3296</v>
      </c>
      <c r="B2371" t="s">
        <v>2931</v>
      </c>
      <c r="C2371">
        <v>8792</v>
      </c>
      <c r="D2371" t="str">
        <f>"2515411     "</f>
        <v xml:space="preserve">2515411     </v>
      </c>
      <c r="E2371" t="s">
        <v>630</v>
      </c>
      <c r="F2371" t="s">
        <v>631</v>
      </c>
      <c r="G2371">
        <v>19.45</v>
      </c>
      <c r="H2371">
        <v>250610</v>
      </c>
      <c r="I2371">
        <v>4550</v>
      </c>
      <c r="J2371" t="s">
        <v>226</v>
      </c>
      <c r="K2371">
        <v>19.45</v>
      </c>
      <c r="L2371">
        <v>3.95</v>
      </c>
      <c r="M2371">
        <v>59501</v>
      </c>
      <c r="N2371" t="s">
        <v>62</v>
      </c>
      <c r="O2371">
        <v>250618</v>
      </c>
      <c r="P2371">
        <v>15.5</v>
      </c>
    </row>
    <row r="2372" spans="1:16" x14ac:dyDescent="0.25">
      <c r="A2372" t="s">
        <v>3296</v>
      </c>
      <c r="B2372" t="s">
        <v>2931</v>
      </c>
      <c r="C2372">
        <v>3006</v>
      </c>
      <c r="D2372" t="str">
        <f>"2505391     "</f>
        <v xml:space="preserve">2505391     </v>
      </c>
      <c r="E2372" t="s">
        <v>630</v>
      </c>
      <c r="F2372" t="s">
        <v>631</v>
      </c>
      <c r="G2372">
        <v>181.15</v>
      </c>
      <c r="H2372">
        <v>250303</v>
      </c>
      <c r="I2372">
        <v>4580</v>
      </c>
      <c r="J2372" t="s">
        <v>126</v>
      </c>
      <c r="K2372">
        <v>181.15</v>
      </c>
      <c r="L2372">
        <v>36.81</v>
      </c>
      <c r="M2372">
        <v>56559</v>
      </c>
      <c r="N2372" t="s">
        <v>51</v>
      </c>
      <c r="O2372">
        <v>250314</v>
      </c>
      <c r="P2372">
        <v>144.34</v>
      </c>
    </row>
    <row r="2373" spans="1:16" x14ac:dyDescent="0.25">
      <c r="A2373" t="s">
        <v>3296</v>
      </c>
      <c r="B2373" t="s">
        <v>2931</v>
      </c>
      <c r="C2373">
        <v>4220</v>
      </c>
      <c r="D2373" t="str">
        <f>"2508154     "</f>
        <v xml:space="preserve">2508154     </v>
      </c>
      <c r="E2373" t="s">
        <v>630</v>
      </c>
      <c r="F2373" t="s">
        <v>631</v>
      </c>
      <c r="G2373">
        <v>807.28</v>
      </c>
      <c r="H2373">
        <v>250327</v>
      </c>
      <c r="I2373">
        <v>4580</v>
      </c>
      <c r="J2373" t="s">
        <v>126</v>
      </c>
      <c r="K2373">
        <v>3229.12</v>
      </c>
      <c r="L2373">
        <v>164.03</v>
      </c>
      <c r="M2373">
        <v>49501</v>
      </c>
      <c r="N2373" t="s">
        <v>110</v>
      </c>
      <c r="O2373">
        <v>250409</v>
      </c>
      <c r="P2373">
        <v>643.25</v>
      </c>
    </row>
    <row r="2374" spans="1:16" x14ac:dyDescent="0.25">
      <c r="A2374" t="s">
        <v>3296</v>
      </c>
      <c r="B2374" t="s">
        <v>2931</v>
      </c>
      <c r="C2374">
        <v>10894</v>
      </c>
      <c r="D2374" t="str">
        <f>"2522050     "</f>
        <v xml:space="preserve">2522050     </v>
      </c>
      <c r="E2374" t="s">
        <v>630</v>
      </c>
      <c r="F2374" t="s">
        <v>631</v>
      </c>
      <c r="G2374">
        <v>279.38</v>
      </c>
      <c r="H2374">
        <v>250820</v>
      </c>
      <c r="I2374">
        <v>4600</v>
      </c>
      <c r="J2374" t="s">
        <v>278</v>
      </c>
      <c r="K2374">
        <v>458.08</v>
      </c>
      <c r="L2374">
        <v>56.77</v>
      </c>
      <c r="M2374">
        <v>59502</v>
      </c>
      <c r="N2374" t="s">
        <v>63</v>
      </c>
      <c r="O2374">
        <v>250826</v>
      </c>
      <c r="P2374">
        <v>222.61</v>
      </c>
    </row>
    <row r="2375" spans="1:16" x14ac:dyDescent="0.25">
      <c r="A2375" t="s">
        <v>3296</v>
      </c>
      <c r="B2375" t="s">
        <v>2931</v>
      </c>
      <c r="C2375">
        <v>10894</v>
      </c>
      <c r="D2375" t="str">
        <f>"2522050     "</f>
        <v xml:space="preserve">2522050     </v>
      </c>
      <c r="E2375" t="s">
        <v>630</v>
      </c>
      <c r="F2375" t="s">
        <v>631</v>
      </c>
      <c r="G2375">
        <v>178.7</v>
      </c>
      <c r="H2375">
        <v>250820</v>
      </c>
      <c r="I2375">
        <v>4600</v>
      </c>
      <c r="J2375" t="s">
        <v>278</v>
      </c>
      <c r="K2375">
        <v>458.08</v>
      </c>
      <c r="L2375">
        <v>36.31</v>
      </c>
      <c r="M2375">
        <v>59802</v>
      </c>
      <c r="N2375" t="s">
        <v>195</v>
      </c>
      <c r="O2375">
        <v>250826</v>
      </c>
      <c r="P2375">
        <v>142.38999999999999</v>
      </c>
    </row>
    <row r="2376" spans="1:16" x14ac:dyDescent="0.25">
      <c r="A2376" t="s">
        <v>3296</v>
      </c>
      <c r="B2376" t="s">
        <v>2931</v>
      </c>
      <c r="C2376">
        <v>11908</v>
      </c>
      <c r="D2376" t="str">
        <f>"2524120     "</f>
        <v xml:space="preserve">2524120     </v>
      </c>
      <c r="E2376" t="s">
        <v>630</v>
      </c>
      <c r="F2376" t="s">
        <v>631</v>
      </c>
      <c r="G2376">
        <v>19.45</v>
      </c>
      <c r="H2376">
        <v>250909</v>
      </c>
      <c r="I2376">
        <v>4600</v>
      </c>
      <c r="J2376" t="s">
        <v>278</v>
      </c>
      <c r="K2376">
        <v>19.45</v>
      </c>
      <c r="L2376">
        <v>3.95</v>
      </c>
      <c r="M2376">
        <v>13801</v>
      </c>
      <c r="N2376" t="s">
        <v>33</v>
      </c>
      <c r="O2376">
        <v>250912</v>
      </c>
      <c r="P2376">
        <v>15.5</v>
      </c>
    </row>
    <row r="2377" spans="1:16" x14ac:dyDescent="0.25">
      <c r="A2377" t="s">
        <v>3296</v>
      </c>
      <c r="B2377" t="s">
        <v>2931</v>
      </c>
      <c r="C2377">
        <v>12978</v>
      </c>
      <c r="D2377" t="str">
        <f>"2526454     "</f>
        <v xml:space="preserve">2526454     </v>
      </c>
      <c r="E2377" t="s">
        <v>630</v>
      </c>
      <c r="F2377" t="s">
        <v>631</v>
      </c>
      <c r="G2377">
        <v>17.89</v>
      </c>
      <c r="H2377">
        <v>250930</v>
      </c>
      <c r="I2377">
        <v>4600</v>
      </c>
      <c r="J2377" t="s">
        <v>278</v>
      </c>
      <c r="K2377">
        <v>19.45</v>
      </c>
      <c r="L2377">
        <v>3.64</v>
      </c>
      <c r="M2377">
        <v>14951</v>
      </c>
      <c r="N2377" t="s">
        <v>186</v>
      </c>
      <c r="O2377">
        <v>251003</v>
      </c>
      <c r="P2377">
        <v>14.25</v>
      </c>
    </row>
    <row r="2378" spans="1:16" x14ac:dyDescent="0.25">
      <c r="A2378" t="s">
        <v>3296</v>
      </c>
      <c r="B2378" t="s">
        <v>2931</v>
      </c>
      <c r="C2378">
        <v>12978</v>
      </c>
      <c r="D2378" t="str">
        <f>"2526454     "</f>
        <v xml:space="preserve">2526454     </v>
      </c>
      <c r="E2378" t="s">
        <v>630</v>
      </c>
      <c r="F2378" t="s">
        <v>631</v>
      </c>
      <c r="G2378">
        <v>1.56</v>
      </c>
      <c r="H2378">
        <v>250930</v>
      </c>
      <c r="I2378">
        <v>4600</v>
      </c>
      <c r="J2378" t="s">
        <v>278</v>
      </c>
      <c r="K2378">
        <v>19.45</v>
      </c>
      <c r="L2378">
        <v>0.32</v>
      </c>
      <c r="M2378">
        <v>14952</v>
      </c>
      <c r="N2378" t="s">
        <v>213</v>
      </c>
      <c r="O2378">
        <v>251003</v>
      </c>
      <c r="P2378">
        <v>1.24</v>
      </c>
    </row>
    <row r="2379" spans="1:16" x14ac:dyDescent="0.25">
      <c r="A2379" t="s">
        <v>3296</v>
      </c>
      <c r="B2379" t="s">
        <v>2931</v>
      </c>
      <c r="C2379">
        <v>577</v>
      </c>
      <c r="D2379" t="str">
        <f>"COY-00004866"</f>
        <v>COY-00004866</v>
      </c>
      <c r="E2379" t="s">
        <v>597</v>
      </c>
      <c r="F2379" t="s">
        <v>598</v>
      </c>
      <c r="G2379">
        <v>930.79</v>
      </c>
      <c r="H2379">
        <v>250201</v>
      </c>
      <c r="I2379">
        <v>4367</v>
      </c>
      <c r="J2379" t="s">
        <v>159</v>
      </c>
      <c r="K2379">
        <v>5584.75</v>
      </c>
      <c r="L2379">
        <v>189.12</v>
      </c>
      <c r="M2379">
        <v>11201</v>
      </c>
      <c r="N2379" t="s">
        <v>35</v>
      </c>
      <c r="O2379">
        <v>250124</v>
      </c>
      <c r="P2379">
        <v>741.67</v>
      </c>
    </row>
    <row r="2380" spans="1:16" x14ac:dyDescent="0.25">
      <c r="A2380" t="s">
        <v>3296</v>
      </c>
      <c r="B2380" t="s">
        <v>2931</v>
      </c>
      <c r="C2380">
        <v>1894</v>
      </c>
      <c r="D2380" t="str">
        <f>"COY-00005180"</f>
        <v>COY-00005180</v>
      </c>
      <c r="E2380" t="s">
        <v>597</v>
      </c>
      <c r="F2380" t="s">
        <v>598</v>
      </c>
      <c r="G2380">
        <v>993.54</v>
      </c>
      <c r="H2380">
        <v>250301</v>
      </c>
      <c r="I2380">
        <v>4367</v>
      </c>
      <c r="J2380" t="s">
        <v>159</v>
      </c>
      <c r="K2380">
        <v>1192.25</v>
      </c>
      <c r="L2380">
        <v>201.87</v>
      </c>
      <c r="M2380">
        <v>11201</v>
      </c>
      <c r="N2380" t="s">
        <v>35</v>
      </c>
      <c r="O2380">
        <v>250214</v>
      </c>
      <c r="P2380">
        <v>791.67</v>
      </c>
    </row>
    <row r="2381" spans="1:16" x14ac:dyDescent="0.25">
      <c r="A2381" t="s">
        <v>3296</v>
      </c>
      <c r="B2381" t="s">
        <v>2931</v>
      </c>
      <c r="C2381">
        <v>1899</v>
      </c>
      <c r="D2381" t="str">
        <f>"COY-00004954"</f>
        <v>COY-00004954</v>
      </c>
      <c r="E2381" t="s">
        <v>597</v>
      </c>
      <c r="F2381" t="s">
        <v>598</v>
      </c>
      <c r="G2381">
        <v>2710.8</v>
      </c>
      <c r="H2381">
        <v>250301</v>
      </c>
      <c r="I2381">
        <v>4367</v>
      </c>
      <c r="J2381" t="s">
        <v>159</v>
      </c>
      <c r="K2381">
        <v>3252.96</v>
      </c>
      <c r="L2381">
        <v>550.79999999999995</v>
      </c>
      <c r="M2381">
        <v>11201</v>
      </c>
      <c r="N2381" t="s">
        <v>35</v>
      </c>
      <c r="O2381">
        <v>250214</v>
      </c>
      <c r="P2381">
        <v>2160</v>
      </c>
    </row>
    <row r="2382" spans="1:16" x14ac:dyDescent="0.25">
      <c r="A2382" t="s">
        <v>3296</v>
      </c>
      <c r="B2382" t="s">
        <v>2931</v>
      </c>
      <c r="C2382">
        <v>4636</v>
      </c>
      <c r="D2382" t="str">
        <f>"COY-00005861"</f>
        <v>COY-00005861</v>
      </c>
      <c r="E2382" t="s">
        <v>597</v>
      </c>
      <c r="F2382" t="s">
        <v>598</v>
      </c>
      <c r="G2382">
        <v>819.93</v>
      </c>
      <c r="H2382">
        <v>250501</v>
      </c>
      <c r="I2382">
        <v>4367</v>
      </c>
      <c r="J2382" t="s">
        <v>159</v>
      </c>
      <c r="K2382">
        <v>1229.9000000000001</v>
      </c>
      <c r="L2382">
        <v>166.6</v>
      </c>
      <c r="M2382">
        <v>11201</v>
      </c>
      <c r="N2382" t="s">
        <v>35</v>
      </c>
      <c r="O2382">
        <v>250414</v>
      </c>
      <c r="P2382">
        <v>653.33000000000004</v>
      </c>
    </row>
    <row r="2383" spans="1:16" x14ac:dyDescent="0.25">
      <c r="A2383" t="s">
        <v>3296</v>
      </c>
      <c r="B2383" t="s">
        <v>2931</v>
      </c>
      <c r="C2383">
        <v>7480</v>
      </c>
      <c r="D2383" t="str">
        <f>"COY-00006202"</f>
        <v>COY-00006202</v>
      </c>
      <c r="E2383" t="s">
        <v>597</v>
      </c>
      <c r="F2383" t="s">
        <v>598</v>
      </c>
      <c r="G2383">
        <v>502</v>
      </c>
      <c r="H2383">
        <v>250507</v>
      </c>
      <c r="I2383">
        <v>4367</v>
      </c>
      <c r="J2383" t="s">
        <v>159</v>
      </c>
      <c r="K2383">
        <v>6024</v>
      </c>
      <c r="L2383">
        <v>102</v>
      </c>
      <c r="M2383">
        <v>11201</v>
      </c>
      <c r="N2383" t="s">
        <v>35</v>
      </c>
      <c r="O2383">
        <v>250604</v>
      </c>
      <c r="P2383">
        <v>400</v>
      </c>
    </row>
    <row r="2384" spans="1:16" x14ac:dyDescent="0.25">
      <c r="A2384" t="s">
        <v>3296</v>
      </c>
      <c r="B2384" t="s">
        <v>2931</v>
      </c>
      <c r="C2384">
        <v>1671</v>
      </c>
      <c r="D2384" t="str">
        <f>"36222       "</f>
        <v xml:space="preserve">36222       </v>
      </c>
      <c r="E2384" t="s">
        <v>1084</v>
      </c>
      <c r="F2384" t="s">
        <v>1085</v>
      </c>
      <c r="G2384">
        <v>417.92</v>
      </c>
      <c r="H2384">
        <v>250131</v>
      </c>
      <c r="I2384">
        <v>4367</v>
      </c>
      <c r="J2384" t="s">
        <v>159</v>
      </c>
      <c r="K2384">
        <v>417.92</v>
      </c>
      <c r="L2384">
        <v>84.92</v>
      </c>
      <c r="M2384">
        <v>11801</v>
      </c>
      <c r="N2384" t="s">
        <v>40</v>
      </c>
      <c r="O2384">
        <v>250212</v>
      </c>
      <c r="P2384">
        <v>333</v>
      </c>
    </row>
    <row r="2385" spans="1:16" x14ac:dyDescent="0.25">
      <c r="A2385" t="s">
        <v>3296</v>
      </c>
      <c r="B2385" t="s">
        <v>2931</v>
      </c>
      <c r="C2385">
        <v>3085</v>
      </c>
      <c r="D2385" t="str">
        <f>"36525       "</f>
        <v xml:space="preserve">36525       </v>
      </c>
      <c r="E2385" t="s">
        <v>1084</v>
      </c>
      <c r="F2385" t="s">
        <v>1085</v>
      </c>
      <c r="G2385">
        <v>417.92</v>
      </c>
      <c r="H2385">
        <v>250228</v>
      </c>
      <c r="I2385">
        <v>4367</v>
      </c>
      <c r="J2385" t="s">
        <v>159</v>
      </c>
      <c r="K2385">
        <v>417.92</v>
      </c>
      <c r="L2385">
        <v>84.92</v>
      </c>
      <c r="M2385">
        <v>11801</v>
      </c>
      <c r="N2385" t="s">
        <v>40</v>
      </c>
      <c r="O2385">
        <v>250314</v>
      </c>
      <c r="P2385">
        <v>333</v>
      </c>
    </row>
    <row r="2386" spans="1:16" x14ac:dyDescent="0.25">
      <c r="A2386" t="s">
        <v>3296</v>
      </c>
      <c r="B2386" t="s">
        <v>2931</v>
      </c>
      <c r="C2386">
        <v>5008</v>
      </c>
      <c r="D2386" t="str">
        <f>"36801       "</f>
        <v xml:space="preserve">36801       </v>
      </c>
      <c r="E2386" t="s">
        <v>1084</v>
      </c>
      <c r="F2386" t="s">
        <v>1085</v>
      </c>
      <c r="G2386">
        <v>417.92</v>
      </c>
      <c r="H2386">
        <v>250331</v>
      </c>
      <c r="I2386">
        <v>4367</v>
      </c>
      <c r="J2386" t="s">
        <v>159</v>
      </c>
      <c r="K2386">
        <v>417.92</v>
      </c>
      <c r="L2386">
        <v>84.92</v>
      </c>
      <c r="M2386">
        <v>11801</v>
      </c>
      <c r="N2386" t="s">
        <v>40</v>
      </c>
      <c r="O2386">
        <v>250416</v>
      </c>
      <c r="P2386">
        <v>333</v>
      </c>
    </row>
    <row r="2387" spans="1:16" x14ac:dyDescent="0.25">
      <c r="A2387" t="s">
        <v>3296</v>
      </c>
      <c r="B2387" t="s">
        <v>2931</v>
      </c>
      <c r="C2387">
        <v>6478</v>
      </c>
      <c r="D2387" t="str">
        <f>"36982       "</f>
        <v xml:space="preserve">36982       </v>
      </c>
      <c r="E2387" t="s">
        <v>1084</v>
      </c>
      <c r="F2387" t="s">
        <v>1085</v>
      </c>
      <c r="G2387">
        <v>417.92</v>
      </c>
      <c r="H2387">
        <v>250430</v>
      </c>
      <c r="I2387">
        <v>4367</v>
      </c>
      <c r="J2387" t="s">
        <v>159</v>
      </c>
      <c r="K2387">
        <v>417.92</v>
      </c>
      <c r="L2387">
        <v>84.92</v>
      </c>
      <c r="M2387">
        <v>11801</v>
      </c>
      <c r="N2387" t="s">
        <v>40</v>
      </c>
      <c r="O2387">
        <v>250513</v>
      </c>
      <c r="P2387">
        <v>333</v>
      </c>
    </row>
    <row r="2388" spans="1:16" x14ac:dyDescent="0.25">
      <c r="A2388" t="s">
        <v>3296</v>
      </c>
      <c r="B2388" t="s">
        <v>2931</v>
      </c>
      <c r="C2388">
        <v>8574</v>
      </c>
      <c r="D2388" t="str">
        <f>"37398       "</f>
        <v xml:space="preserve">37398       </v>
      </c>
      <c r="E2388" t="s">
        <v>1084</v>
      </c>
      <c r="F2388" t="s">
        <v>1085</v>
      </c>
      <c r="G2388">
        <v>417.92</v>
      </c>
      <c r="H2388">
        <v>250531</v>
      </c>
      <c r="I2388">
        <v>4367</v>
      </c>
      <c r="J2388" t="s">
        <v>159</v>
      </c>
      <c r="K2388">
        <v>417.92</v>
      </c>
      <c r="L2388">
        <v>84.92</v>
      </c>
      <c r="M2388">
        <v>11801</v>
      </c>
      <c r="N2388" t="s">
        <v>40</v>
      </c>
      <c r="O2388">
        <v>250617</v>
      </c>
      <c r="P2388">
        <v>333</v>
      </c>
    </row>
    <row r="2389" spans="1:16" x14ac:dyDescent="0.25">
      <c r="A2389" t="s">
        <v>3296</v>
      </c>
      <c r="B2389" t="s">
        <v>2931</v>
      </c>
      <c r="C2389">
        <v>9691</v>
      </c>
      <c r="D2389" t="str">
        <f>"37533       "</f>
        <v xml:space="preserve">37533       </v>
      </c>
      <c r="E2389" t="s">
        <v>1084</v>
      </c>
      <c r="F2389" t="s">
        <v>1085</v>
      </c>
      <c r="G2389">
        <v>417.92</v>
      </c>
      <c r="H2389">
        <v>250630</v>
      </c>
      <c r="I2389">
        <v>4367</v>
      </c>
      <c r="J2389" t="s">
        <v>159</v>
      </c>
      <c r="K2389">
        <v>417.92</v>
      </c>
      <c r="L2389">
        <v>84.92</v>
      </c>
      <c r="M2389">
        <v>11801</v>
      </c>
      <c r="N2389" t="s">
        <v>40</v>
      </c>
      <c r="O2389">
        <v>250724</v>
      </c>
      <c r="P2389">
        <v>333</v>
      </c>
    </row>
    <row r="2390" spans="1:16" x14ac:dyDescent="0.25">
      <c r="A2390" t="s">
        <v>3296</v>
      </c>
      <c r="B2390" t="s">
        <v>2931</v>
      </c>
      <c r="C2390">
        <v>9950</v>
      </c>
      <c r="D2390" t="str">
        <f>"37907       "</f>
        <v xml:space="preserve">37907       </v>
      </c>
      <c r="E2390" t="s">
        <v>1084</v>
      </c>
      <c r="F2390" t="s">
        <v>1085</v>
      </c>
      <c r="G2390">
        <v>417.92</v>
      </c>
      <c r="H2390">
        <v>250731</v>
      </c>
      <c r="I2390">
        <v>4367</v>
      </c>
      <c r="J2390" t="s">
        <v>159</v>
      </c>
      <c r="K2390">
        <v>417.92</v>
      </c>
      <c r="L2390">
        <v>84.92</v>
      </c>
      <c r="M2390">
        <v>11801</v>
      </c>
      <c r="N2390" t="s">
        <v>40</v>
      </c>
      <c r="O2390">
        <v>250805</v>
      </c>
      <c r="P2390">
        <v>333</v>
      </c>
    </row>
    <row r="2391" spans="1:16" x14ac:dyDescent="0.25">
      <c r="A2391" t="s">
        <v>3296</v>
      </c>
      <c r="B2391" t="s">
        <v>2931</v>
      </c>
      <c r="C2391">
        <v>11276</v>
      </c>
      <c r="D2391" t="str">
        <f>"38181       "</f>
        <v xml:space="preserve">38181       </v>
      </c>
      <c r="E2391" t="s">
        <v>1084</v>
      </c>
      <c r="F2391" t="s">
        <v>1085</v>
      </c>
      <c r="G2391">
        <v>417.92</v>
      </c>
      <c r="H2391">
        <v>250831</v>
      </c>
      <c r="I2391">
        <v>4367</v>
      </c>
      <c r="J2391" t="s">
        <v>159</v>
      </c>
      <c r="K2391">
        <v>417.92</v>
      </c>
      <c r="L2391">
        <v>84.92</v>
      </c>
      <c r="M2391">
        <v>11801</v>
      </c>
      <c r="N2391" t="s">
        <v>40</v>
      </c>
      <c r="O2391">
        <v>250902</v>
      </c>
      <c r="P2391">
        <v>333</v>
      </c>
    </row>
    <row r="2392" spans="1:16" x14ac:dyDescent="0.25">
      <c r="A2392" t="s">
        <v>3296</v>
      </c>
      <c r="B2392" t="s">
        <v>2931</v>
      </c>
      <c r="C2392">
        <v>13090</v>
      </c>
      <c r="D2392" t="str">
        <f>"38493       "</f>
        <v xml:space="preserve">38493       </v>
      </c>
      <c r="E2392" t="s">
        <v>1084</v>
      </c>
      <c r="F2392" t="s">
        <v>1085</v>
      </c>
      <c r="G2392">
        <v>417.92</v>
      </c>
      <c r="H2392">
        <v>250930</v>
      </c>
      <c r="I2392">
        <v>4367</v>
      </c>
      <c r="J2392" t="s">
        <v>159</v>
      </c>
      <c r="K2392">
        <v>417.92</v>
      </c>
      <c r="L2392">
        <v>84.92</v>
      </c>
      <c r="M2392">
        <v>11801</v>
      </c>
      <c r="N2392" t="s">
        <v>40</v>
      </c>
      <c r="O2392">
        <v>251003</v>
      </c>
      <c r="P2392">
        <v>333</v>
      </c>
    </row>
    <row r="2393" spans="1:16" x14ac:dyDescent="0.25">
      <c r="A2393" t="s">
        <v>3296</v>
      </c>
      <c r="B2393" t="s">
        <v>2931</v>
      </c>
      <c r="C2393">
        <v>14505</v>
      </c>
      <c r="D2393" t="str">
        <f>"38814       "</f>
        <v xml:space="preserve">38814       </v>
      </c>
      <c r="E2393" t="s">
        <v>1084</v>
      </c>
      <c r="F2393" t="s">
        <v>1085</v>
      </c>
      <c r="G2393">
        <v>417.92</v>
      </c>
      <c r="H2393">
        <v>251031</v>
      </c>
      <c r="I2393">
        <v>4367</v>
      </c>
      <c r="J2393" t="s">
        <v>159</v>
      </c>
      <c r="K2393">
        <v>417.92</v>
      </c>
      <c r="L2393">
        <v>84.92</v>
      </c>
      <c r="M2393">
        <v>11801</v>
      </c>
      <c r="N2393" t="s">
        <v>40</v>
      </c>
      <c r="O2393">
        <v>251103</v>
      </c>
      <c r="P2393">
        <v>333</v>
      </c>
    </row>
    <row r="2394" spans="1:16" x14ac:dyDescent="0.25">
      <c r="A2394" t="s">
        <v>3296</v>
      </c>
      <c r="B2394" t="s">
        <v>2931</v>
      </c>
      <c r="C2394">
        <v>16312</v>
      </c>
      <c r="D2394" t="str">
        <f>"39133       "</f>
        <v xml:space="preserve">39133       </v>
      </c>
      <c r="E2394" t="s">
        <v>1084</v>
      </c>
      <c r="F2394" t="s">
        <v>1085</v>
      </c>
      <c r="G2394">
        <v>417.92</v>
      </c>
      <c r="H2394">
        <v>251130</v>
      </c>
      <c r="I2394">
        <v>4367</v>
      </c>
      <c r="J2394" t="s">
        <v>159</v>
      </c>
      <c r="K2394">
        <v>417.92</v>
      </c>
      <c r="L2394">
        <v>84.92</v>
      </c>
      <c r="M2394">
        <v>11801</v>
      </c>
      <c r="N2394" t="s">
        <v>40</v>
      </c>
      <c r="O2394">
        <v>251205</v>
      </c>
      <c r="P2394">
        <v>333</v>
      </c>
    </row>
    <row r="2395" spans="1:16" x14ac:dyDescent="0.25">
      <c r="A2395" t="s">
        <v>3296</v>
      </c>
      <c r="B2395" t="s">
        <v>2931</v>
      </c>
      <c r="C2395">
        <v>18393</v>
      </c>
      <c r="D2395" t="str">
        <f>"39464       "</f>
        <v xml:space="preserve">39464       </v>
      </c>
      <c r="E2395" t="s">
        <v>1084</v>
      </c>
      <c r="F2395" t="s">
        <v>1085</v>
      </c>
      <c r="G2395">
        <v>417.92</v>
      </c>
      <c r="H2395">
        <v>251231</v>
      </c>
      <c r="I2395">
        <v>4841</v>
      </c>
      <c r="J2395" t="s">
        <v>9</v>
      </c>
      <c r="K2395">
        <v>417.92</v>
      </c>
      <c r="L2395">
        <v>84.92</v>
      </c>
      <c r="M2395">
        <v>11801</v>
      </c>
      <c r="N2395" t="s">
        <v>40</v>
      </c>
      <c r="O2395">
        <v>260113</v>
      </c>
      <c r="P2395">
        <v>333</v>
      </c>
    </row>
    <row r="2396" spans="1:16" x14ac:dyDescent="0.25">
      <c r="A2396" t="s">
        <v>3296</v>
      </c>
      <c r="B2396" t="s">
        <v>2931</v>
      </c>
      <c r="C2396">
        <v>15928</v>
      </c>
      <c r="D2396" t="str">
        <f>"4773        "</f>
        <v xml:space="preserve">4773        </v>
      </c>
      <c r="E2396" t="s">
        <v>2632</v>
      </c>
      <c r="F2396" t="s">
        <v>2633</v>
      </c>
      <c r="G2396">
        <v>48</v>
      </c>
      <c r="H2396">
        <v>251120</v>
      </c>
      <c r="I2396">
        <v>4412</v>
      </c>
      <c r="J2396" t="s">
        <v>884</v>
      </c>
      <c r="K2396">
        <v>504</v>
      </c>
      <c r="L2396">
        <v>0</v>
      </c>
      <c r="M2396">
        <v>13661</v>
      </c>
      <c r="N2396" t="s">
        <v>243</v>
      </c>
      <c r="O2396">
        <v>251201</v>
      </c>
      <c r="P2396">
        <v>48</v>
      </c>
    </row>
    <row r="2397" spans="1:16" x14ac:dyDescent="0.25">
      <c r="A2397" t="s">
        <v>3296</v>
      </c>
      <c r="B2397" t="s">
        <v>2931</v>
      </c>
      <c r="C2397">
        <v>15928</v>
      </c>
      <c r="D2397" t="str">
        <f>"4773        "</f>
        <v xml:space="preserve">4773        </v>
      </c>
      <c r="E2397" t="s">
        <v>2632</v>
      </c>
      <c r="F2397" t="s">
        <v>2633</v>
      </c>
      <c r="G2397">
        <v>456</v>
      </c>
      <c r="H2397">
        <v>251120</v>
      </c>
      <c r="I2397">
        <v>4412</v>
      </c>
      <c r="J2397" t="s">
        <v>884</v>
      </c>
      <c r="K2397">
        <v>504</v>
      </c>
      <c r="L2397">
        <v>56</v>
      </c>
      <c r="M2397">
        <v>13661</v>
      </c>
      <c r="N2397" t="s">
        <v>243</v>
      </c>
      <c r="O2397">
        <v>251201</v>
      </c>
      <c r="P2397">
        <v>400</v>
      </c>
    </row>
    <row r="2398" spans="1:16" x14ac:dyDescent="0.25">
      <c r="A2398" t="s">
        <v>3296</v>
      </c>
      <c r="B2398" t="s">
        <v>2931</v>
      </c>
      <c r="C2398">
        <v>1251</v>
      </c>
      <c r="D2398" t="str">
        <f>"9934420280  "</f>
        <v xml:space="preserve">9934420280  </v>
      </c>
      <c r="E2398" t="s">
        <v>918</v>
      </c>
      <c r="F2398" t="s">
        <v>920</v>
      </c>
      <c r="G2398">
        <v>523.15</v>
      </c>
      <c r="H2398">
        <v>250131</v>
      </c>
      <c r="I2398">
        <v>4410</v>
      </c>
      <c r="J2398" t="s">
        <v>165</v>
      </c>
      <c r="K2398">
        <v>5397.05</v>
      </c>
      <c r="L2398">
        <v>64.25</v>
      </c>
      <c r="M2398">
        <v>13910</v>
      </c>
      <c r="N2398" t="s">
        <v>919</v>
      </c>
      <c r="O2398">
        <v>250206</v>
      </c>
      <c r="P2398">
        <v>458.9</v>
      </c>
    </row>
    <row r="2399" spans="1:16" x14ac:dyDescent="0.25">
      <c r="A2399" t="s">
        <v>3296</v>
      </c>
      <c r="B2399" t="s">
        <v>2931</v>
      </c>
      <c r="C2399">
        <v>1251</v>
      </c>
      <c r="D2399" t="str">
        <f>"9934420280  "</f>
        <v xml:space="preserve">9934420280  </v>
      </c>
      <c r="E2399" t="s">
        <v>918</v>
      </c>
      <c r="F2399" t="s">
        <v>920</v>
      </c>
      <c r="G2399">
        <v>4873.8999999999996</v>
      </c>
      <c r="H2399">
        <v>250131</v>
      </c>
      <c r="I2399">
        <v>4410</v>
      </c>
      <c r="J2399" t="s">
        <v>165</v>
      </c>
      <c r="K2399">
        <v>5397.05</v>
      </c>
      <c r="L2399">
        <v>0</v>
      </c>
      <c r="M2399">
        <v>13932</v>
      </c>
      <c r="N2399" t="s">
        <v>680</v>
      </c>
      <c r="O2399">
        <v>250206</v>
      </c>
      <c r="P2399">
        <v>4873.8999999999996</v>
      </c>
    </row>
    <row r="2400" spans="1:16" x14ac:dyDescent="0.25">
      <c r="A2400" t="s">
        <v>3296</v>
      </c>
      <c r="B2400" t="s">
        <v>2931</v>
      </c>
      <c r="C2400">
        <v>2756</v>
      </c>
      <c r="D2400" t="str">
        <f>"9934428190  "</f>
        <v xml:space="preserve">9934428190  </v>
      </c>
      <c r="E2400" t="s">
        <v>918</v>
      </c>
      <c r="F2400" t="s">
        <v>920</v>
      </c>
      <c r="G2400">
        <v>3019.5</v>
      </c>
      <c r="H2400">
        <v>250228</v>
      </c>
      <c r="I2400">
        <v>4410</v>
      </c>
      <c r="J2400" t="s">
        <v>165</v>
      </c>
      <c r="K2400">
        <v>3100.5</v>
      </c>
      <c r="L2400">
        <v>0</v>
      </c>
      <c r="M2400">
        <v>13932</v>
      </c>
      <c r="N2400" t="s">
        <v>680</v>
      </c>
      <c r="O2400">
        <v>250311</v>
      </c>
      <c r="P2400">
        <v>3019.5</v>
      </c>
    </row>
    <row r="2401" spans="1:16" x14ac:dyDescent="0.25">
      <c r="A2401" t="s">
        <v>3296</v>
      </c>
      <c r="B2401" t="s">
        <v>2931</v>
      </c>
      <c r="C2401">
        <v>2756</v>
      </c>
      <c r="D2401" t="str">
        <f>"9934428190  "</f>
        <v xml:space="preserve">9934428190  </v>
      </c>
      <c r="E2401" t="s">
        <v>918</v>
      </c>
      <c r="F2401" t="s">
        <v>920</v>
      </c>
      <c r="G2401">
        <v>81</v>
      </c>
      <c r="H2401">
        <v>250228</v>
      </c>
      <c r="I2401">
        <v>4410</v>
      </c>
      <c r="J2401" t="s">
        <v>165</v>
      </c>
      <c r="K2401">
        <v>3100.5</v>
      </c>
      <c r="L2401">
        <v>9.9499999999999993</v>
      </c>
      <c r="M2401">
        <v>16952</v>
      </c>
      <c r="N2401" t="s">
        <v>1348</v>
      </c>
      <c r="O2401">
        <v>250311</v>
      </c>
      <c r="P2401">
        <v>71.05</v>
      </c>
    </row>
    <row r="2402" spans="1:16" x14ac:dyDescent="0.25">
      <c r="A2402" t="s">
        <v>3296</v>
      </c>
      <c r="B2402" t="s">
        <v>2931</v>
      </c>
      <c r="C2402">
        <v>4453</v>
      </c>
      <c r="D2402" t="str">
        <f>"9934436108  "</f>
        <v xml:space="preserve">9934436108  </v>
      </c>
      <c r="E2402" t="s">
        <v>918</v>
      </c>
      <c r="F2402" t="s">
        <v>920</v>
      </c>
      <c r="G2402">
        <v>4934.8999999999996</v>
      </c>
      <c r="H2402">
        <v>250331</v>
      </c>
      <c r="I2402">
        <v>4410</v>
      </c>
      <c r="J2402" t="s">
        <v>165</v>
      </c>
      <c r="K2402">
        <v>4934.8999999999996</v>
      </c>
      <c r="L2402">
        <v>0</v>
      </c>
      <c r="M2402">
        <v>13932</v>
      </c>
      <c r="N2402" t="s">
        <v>680</v>
      </c>
      <c r="O2402">
        <v>250411</v>
      </c>
      <c r="P2402">
        <v>4934.8999999999996</v>
      </c>
    </row>
    <row r="2403" spans="1:16" x14ac:dyDescent="0.25">
      <c r="A2403" t="s">
        <v>3296</v>
      </c>
      <c r="B2403" t="s">
        <v>2931</v>
      </c>
      <c r="C2403">
        <v>6029</v>
      </c>
      <c r="D2403" t="str">
        <f>"9934446311  "</f>
        <v xml:space="preserve">9934446311  </v>
      </c>
      <c r="E2403" t="s">
        <v>918</v>
      </c>
      <c r="F2403" t="s">
        <v>920</v>
      </c>
      <c r="G2403">
        <v>4074.8</v>
      </c>
      <c r="H2403">
        <v>250430</v>
      </c>
      <c r="I2403">
        <v>4410</v>
      </c>
      <c r="J2403" t="s">
        <v>165</v>
      </c>
      <c r="K2403">
        <v>4074.8</v>
      </c>
      <c r="L2403">
        <v>0</v>
      </c>
      <c r="M2403">
        <v>13932</v>
      </c>
      <c r="N2403" t="s">
        <v>680</v>
      </c>
      <c r="O2403">
        <v>250508</v>
      </c>
      <c r="P2403">
        <v>4074.8</v>
      </c>
    </row>
    <row r="2404" spans="1:16" x14ac:dyDescent="0.25">
      <c r="A2404" t="s">
        <v>3296</v>
      </c>
      <c r="B2404" t="s">
        <v>2931</v>
      </c>
      <c r="C2404">
        <v>7969</v>
      </c>
      <c r="D2404" t="str">
        <f>"9934455505  "</f>
        <v xml:space="preserve">9934455505  </v>
      </c>
      <c r="E2404" t="s">
        <v>918</v>
      </c>
      <c r="F2404" t="s">
        <v>920</v>
      </c>
      <c r="G2404">
        <v>795</v>
      </c>
      <c r="H2404">
        <v>250531</v>
      </c>
      <c r="I2404">
        <v>4410</v>
      </c>
      <c r="J2404" t="s">
        <v>165</v>
      </c>
      <c r="K2404">
        <v>4985.2</v>
      </c>
      <c r="L2404">
        <v>97.63</v>
      </c>
      <c r="M2404">
        <v>11900</v>
      </c>
      <c r="N2404" t="s">
        <v>30</v>
      </c>
      <c r="O2404">
        <v>250610</v>
      </c>
      <c r="P2404">
        <v>697.37</v>
      </c>
    </row>
    <row r="2405" spans="1:16" x14ac:dyDescent="0.25">
      <c r="A2405" t="s">
        <v>3296</v>
      </c>
      <c r="B2405" t="s">
        <v>2931</v>
      </c>
      <c r="C2405">
        <v>7969</v>
      </c>
      <c r="D2405" t="str">
        <f>"9934455505  "</f>
        <v xml:space="preserve">9934455505  </v>
      </c>
      <c r="E2405" t="s">
        <v>918</v>
      </c>
      <c r="F2405" t="s">
        <v>920</v>
      </c>
      <c r="G2405">
        <v>551.29999999999995</v>
      </c>
      <c r="H2405">
        <v>250531</v>
      </c>
      <c r="I2405">
        <v>4410</v>
      </c>
      <c r="J2405" t="s">
        <v>165</v>
      </c>
      <c r="K2405">
        <v>4985.2</v>
      </c>
      <c r="L2405">
        <v>67.7</v>
      </c>
      <c r="M2405">
        <v>13932</v>
      </c>
      <c r="N2405" t="s">
        <v>680</v>
      </c>
      <c r="O2405">
        <v>250610</v>
      </c>
      <c r="P2405">
        <v>483.6</v>
      </c>
    </row>
    <row r="2406" spans="1:16" x14ac:dyDescent="0.25">
      <c r="A2406" t="s">
        <v>3296</v>
      </c>
      <c r="B2406" t="s">
        <v>2931</v>
      </c>
      <c r="C2406">
        <v>7969</v>
      </c>
      <c r="D2406" t="str">
        <f>"9934455505  "</f>
        <v xml:space="preserve">9934455505  </v>
      </c>
      <c r="E2406" t="s">
        <v>918</v>
      </c>
      <c r="F2406" t="s">
        <v>920</v>
      </c>
      <c r="G2406">
        <v>3470.9</v>
      </c>
      <c r="H2406">
        <v>250531</v>
      </c>
      <c r="I2406">
        <v>4410</v>
      </c>
      <c r="J2406" t="s">
        <v>165</v>
      </c>
      <c r="K2406">
        <v>4985.2</v>
      </c>
      <c r="L2406">
        <v>0</v>
      </c>
      <c r="M2406">
        <v>13932</v>
      </c>
      <c r="N2406" t="s">
        <v>680</v>
      </c>
      <c r="O2406">
        <v>250610</v>
      </c>
      <c r="P2406">
        <v>3470.9</v>
      </c>
    </row>
    <row r="2407" spans="1:16" x14ac:dyDescent="0.25">
      <c r="A2407" t="s">
        <v>3296</v>
      </c>
      <c r="B2407" t="s">
        <v>2931</v>
      </c>
      <c r="C2407">
        <v>7969</v>
      </c>
      <c r="D2407" t="str">
        <f>"9934455505  "</f>
        <v xml:space="preserve">9934455505  </v>
      </c>
      <c r="E2407" t="s">
        <v>918</v>
      </c>
      <c r="F2407" t="s">
        <v>920</v>
      </c>
      <c r="G2407">
        <v>153</v>
      </c>
      <c r="H2407">
        <v>250531</v>
      </c>
      <c r="I2407">
        <v>4410</v>
      </c>
      <c r="J2407" t="s">
        <v>165</v>
      </c>
      <c r="K2407">
        <v>4985.2</v>
      </c>
      <c r="L2407">
        <v>18.79</v>
      </c>
      <c r="M2407">
        <v>16952</v>
      </c>
      <c r="N2407" t="s">
        <v>1348</v>
      </c>
      <c r="O2407">
        <v>250610</v>
      </c>
      <c r="P2407">
        <v>134.21</v>
      </c>
    </row>
    <row r="2408" spans="1:16" x14ac:dyDescent="0.25">
      <c r="A2408" t="s">
        <v>3296</v>
      </c>
      <c r="B2408" t="s">
        <v>2931</v>
      </c>
      <c r="C2408">
        <v>9388</v>
      </c>
      <c r="D2408" t="str">
        <f>"9934464917  "</f>
        <v xml:space="preserve">9934464917  </v>
      </c>
      <c r="E2408" t="s">
        <v>918</v>
      </c>
      <c r="F2408" t="s">
        <v>920</v>
      </c>
      <c r="G2408">
        <v>97.6</v>
      </c>
      <c r="H2408">
        <v>250630</v>
      </c>
      <c r="I2408">
        <v>4410</v>
      </c>
      <c r="J2408" t="s">
        <v>165</v>
      </c>
      <c r="K2408">
        <v>97.6</v>
      </c>
      <c r="L2408">
        <v>0</v>
      </c>
      <c r="M2408">
        <v>13932</v>
      </c>
      <c r="N2408" t="s">
        <v>680</v>
      </c>
      <c r="O2408">
        <v>250707</v>
      </c>
      <c r="P2408">
        <v>97.6</v>
      </c>
    </row>
    <row r="2409" spans="1:16" x14ac:dyDescent="0.25">
      <c r="A2409" t="s">
        <v>3296</v>
      </c>
      <c r="B2409" t="s">
        <v>2931</v>
      </c>
      <c r="C2409">
        <v>11545</v>
      </c>
      <c r="D2409" t="str">
        <f>"9934473989  "</f>
        <v xml:space="preserve">9934473989  </v>
      </c>
      <c r="E2409" t="s">
        <v>918</v>
      </c>
      <c r="F2409" t="s">
        <v>920</v>
      </c>
      <c r="G2409">
        <v>370.1</v>
      </c>
      <c r="H2409">
        <v>250831</v>
      </c>
      <c r="I2409">
        <v>4410</v>
      </c>
      <c r="J2409" t="s">
        <v>165</v>
      </c>
      <c r="K2409">
        <v>2169.6</v>
      </c>
      <c r="L2409">
        <v>45.45</v>
      </c>
      <c r="M2409">
        <v>11901</v>
      </c>
      <c r="N2409" t="s">
        <v>31</v>
      </c>
      <c r="O2409">
        <v>250908</v>
      </c>
      <c r="P2409">
        <v>324.64999999999998</v>
      </c>
    </row>
    <row r="2410" spans="1:16" x14ac:dyDescent="0.25">
      <c r="A2410" t="s">
        <v>3296</v>
      </c>
      <c r="B2410" t="s">
        <v>2931</v>
      </c>
      <c r="C2410">
        <v>11545</v>
      </c>
      <c r="D2410" t="str">
        <f>"9934473989  "</f>
        <v xml:space="preserve">9934473989  </v>
      </c>
      <c r="E2410" t="s">
        <v>918</v>
      </c>
      <c r="F2410" t="s">
        <v>920</v>
      </c>
      <c r="G2410">
        <v>1799.5</v>
      </c>
      <c r="H2410">
        <v>250831</v>
      </c>
      <c r="I2410">
        <v>4410</v>
      </c>
      <c r="J2410" t="s">
        <v>165</v>
      </c>
      <c r="K2410">
        <v>2169.6</v>
      </c>
      <c r="L2410">
        <v>0</v>
      </c>
      <c r="M2410">
        <v>13932</v>
      </c>
      <c r="N2410" t="s">
        <v>680</v>
      </c>
      <c r="O2410">
        <v>250908</v>
      </c>
      <c r="P2410">
        <v>1799.5</v>
      </c>
    </row>
    <row r="2411" spans="1:16" x14ac:dyDescent="0.25">
      <c r="A2411" t="s">
        <v>3296</v>
      </c>
      <c r="B2411" t="s">
        <v>2931</v>
      </c>
      <c r="C2411">
        <v>13242</v>
      </c>
      <c r="D2411" t="str">
        <f>"9934483036  "</f>
        <v xml:space="preserve">9934483036  </v>
      </c>
      <c r="E2411" t="s">
        <v>918</v>
      </c>
      <c r="F2411" t="s">
        <v>920</v>
      </c>
      <c r="G2411">
        <v>297.45</v>
      </c>
      <c r="H2411">
        <v>250930</v>
      </c>
      <c r="I2411">
        <v>4410</v>
      </c>
      <c r="J2411" t="s">
        <v>165</v>
      </c>
      <c r="K2411">
        <v>2920.45</v>
      </c>
      <c r="L2411">
        <v>36.53</v>
      </c>
      <c r="M2411">
        <v>13910</v>
      </c>
      <c r="N2411" t="s">
        <v>919</v>
      </c>
      <c r="O2411">
        <v>251007</v>
      </c>
      <c r="P2411">
        <v>260.92</v>
      </c>
    </row>
    <row r="2412" spans="1:16" x14ac:dyDescent="0.25">
      <c r="A2412" t="s">
        <v>3296</v>
      </c>
      <c r="B2412" t="s">
        <v>2931</v>
      </c>
      <c r="C2412">
        <v>13242</v>
      </c>
      <c r="D2412" t="str">
        <f>"9934483036  "</f>
        <v xml:space="preserve">9934483036  </v>
      </c>
      <c r="E2412" t="s">
        <v>918</v>
      </c>
      <c r="F2412" t="s">
        <v>920</v>
      </c>
      <c r="G2412">
        <v>2623</v>
      </c>
      <c r="H2412">
        <v>250930</v>
      </c>
      <c r="I2412">
        <v>4410</v>
      </c>
      <c r="J2412" t="s">
        <v>165</v>
      </c>
      <c r="K2412">
        <v>2920.45</v>
      </c>
      <c r="L2412">
        <v>0</v>
      </c>
      <c r="M2412">
        <v>13932</v>
      </c>
      <c r="N2412" t="s">
        <v>680</v>
      </c>
      <c r="O2412">
        <v>251007</v>
      </c>
      <c r="P2412">
        <v>2623</v>
      </c>
    </row>
    <row r="2413" spans="1:16" x14ac:dyDescent="0.25">
      <c r="A2413" t="s">
        <v>3296</v>
      </c>
      <c r="B2413" t="s">
        <v>2931</v>
      </c>
      <c r="C2413">
        <v>14344</v>
      </c>
      <c r="D2413" t="str">
        <f>"9934490635  "</f>
        <v xml:space="preserve">9934490635  </v>
      </c>
      <c r="E2413" t="s">
        <v>918</v>
      </c>
      <c r="F2413" t="s">
        <v>920</v>
      </c>
      <c r="G2413">
        <v>280.5</v>
      </c>
      <c r="H2413">
        <v>251015</v>
      </c>
      <c r="I2413">
        <v>4410</v>
      </c>
      <c r="J2413" t="s">
        <v>165</v>
      </c>
      <c r="K2413">
        <v>328.1</v>
      </c>
      <c r="L2413">
        <v>34.450000000000003</v>
      </c>
      <c r="M2413">
        <v>17538</v>
      </c>
      <c r="N2413" t="s">
        <v>129</v>
      </c>
      <c r="O2413">
        <v>251030</v>
      </c>
      <c r="P2413">
        <v>246.05</v>
      </c>
    </row>
    <row r="2414" spans="1:16" x14ac:dyDescent="0.25">
      <c r="A2414" t="s">
        <v>3296</v>
      </c>
      <c r="B2414" t="s">
        <v>2931</v>
      </c>
      <c r="C2414">
        <v>14344</v>
      </c>
      <c r="D2414" t="str">
        <f>"9934490635  "</f>
        <v xml:space="preserve">9934490635  </v>
      </c>
      <c r="E2414" t="s">
        <v>918</v>
      </c>
      <c r="F2414" t="s">
        <v>920</v>
      </c>
      <c r="G2414">
        <v>47.6</v>
      </c>
      <c r="H2414">
        <v>251015</v>
      </c>
      <c r="I2414">
        <v>4410</v>
      </c>
      <c r="J2414" t="s">
        <v>165</v>
      </c>
      <c r="K2414">
        <v>328.1</v>
      </c>
      <c r="L2414">
        <v>5.85</v>
      </c>
      <c r="M2414">
        <v>56526</v>
      </c>
      <c r="N2414" t="s">
        <v>506</v>
      </c>
      <c r="O2414">
        <v>251030</v>
      </c>
      <c r="P2414">
        <v>41.75</v>
      </c>
    </row>
    <row r="2415" spans="1:16" x14ac:dyDescent="0.25">
      <c r="A2415" t="s">
        <v>3296</v>
      </c>
      <c r="B2415" t="s">
        <v>2931</v>
      </c>
      <c r="C2415">
        <v>15148</v>
      </c>
      <c r="D2415" t="str">
        <f>"9934493080  "</f>
        <v xml:space="preserve">9934493080  </v>
      </c>
      <c r="E2415" t="s">
        <v>918</v>
      </c>
      <c r="F2415" t="s">
        <v>920</v>
      </c>
      <c r="G2415">
        <v>2141.1</v>
      </c>
      <c r="H2415">
        <v>251031</v>
      </c>
      <c r="I2415">
        <v>4410</v>
      </c>
      <c r="J2415" t="s">
        <v>165</v>
      </c>
      <c r="K2415">
        <v>2141.1</v>
      </c>
      <c r="L2415">
        <v>0</v>
      </c>
      <c r="M2415">
        <v>13932</v>
      </c>
      <c r="N2415" t="s">
        <v>680</v>
      </c>
      <c r="O2415">
        <v>251113</v>
      </c>
      <c r="P2415">
        <v>2141.1</v>
      </c>
    </row>
    <row r="2416" spans="1:16" x14ac:dyDescent="0.25">
      <c r="A2416" t="s">
        <v>3296</v>
      </c>
      <c r="B2416" t="s">
        <v>2931</v>
      </c>
      <c r="C2416">
        <v>16176</v>
      </c>
      <c r="D2416" t="str">
        <f>"9934503002  "</f>
        <v xml:space="preserve">9934503002  </v>
      </c>
      <c r="E2416" t="s">
        <v>918</v>
      </c>
      <c r="F2416" t="s">
        <v>920</v>
      </c>
      <c r="G2416">
        <v>92</v>
      </c>
      <c r="H2416">
        <v>251130</v>
      </c>
      <c r="I2416">
        <v>4410</v>
      </c>
      <c r="J2416" t="s">
        <v>165</v>
      </c>
      <c r="K2416">
        <v>92</v>
      </c>
      <c r="L2416">
        <v>11.3</v>
      </c>
      <c r="M2416">
        <v>17918</v>
      </c>
      <c r="N2416" t="s">
        <v>152</v>
      </c>
      <c r="O2416">
        <v>251204</v>
      </c>
      <c r="P2416">
        <v>80.7</v>
      </c>
    </row>
    <row r="2417" spans="1:16" x14ac:dyDescent="0.25">
      <c r="A2417" t="s">
        <v>3296</v>
      </c>
      <c r="B2417" t="s">
        <v>2931</v>
      </c>
      <c r="C2417">
        <v>16177</v>
      </c>
      <c r="D2417" t="str">
        <f>"9934502542  "</f>
        <v xml:space="preserve">9934502542  </v>
      </c>
      <c r="E2417" t="s">
        <v>918</v>
      </c>
      <c r="F2417" t="s">
        <v>920</v>
      </c>
      <c r="G2417">
        <v>2171.6</v>
      </c>
      <c r="H2417">
        <v>251130</v>
      </c>
      <c r="I2417">
        <v>4410</v>
      </c>
      <c r="J2417" t="s">
        <v>165</v>
      </c>
      <c r="K2417">
        <v>2171.6</v>
      </c>
      <c r="L2417">
        <v>0</v>
      </c>
      <c r="M2417">
        <v>13932</v>
      </c>
      <c r="N2417" t="s">
        <v>680</v>
      </c>
      <c r="O2417">
        <v>251204</v>
      </c>
      <c r="P2417">
        <v>2171.6</v>
      </c>
    </row>
    <row r="2418" spans="1:16" x14ac:dyDescent="0.25">
      <c r="A2418" t="s">
        <v>3296</v>
      </c>
      <c r="B2418" t="s">
        <v>2931</v>
      </c>
      <c r="C2418">
        <v>18031</v>
      </c>
      <c r="D2418" t="str">
        <f>"9934512811  "</f>
        <v xml:space="preserve">9934512811  </v>
      </c>
      <c r="E2418" t="s">
        <v>918</v>
      </c>
      <c r="F2418" t="s">
        <v>920</v>
      </c>
      <c r="G2418">
        <v>502</v>
      </c>
      <c r="H2418">
        <v>251231</v>
      </c>
      <c r="I2418">
        <v>4410</v>
      </c>
      <c r="J2418" t="s">
        <v>165</v>
      </c>
      <c r="K2418">
        <v>1734.2</v>
      </c>
      <c r="L2418">
        <v>61.65</v>
      </c>
      <c r="M2418">
        <v>13932</v>
      </c>
      <c r="N2418" t="s">
        <v>680</v>
      </c>
      <c r="O2418">
        <v>260108</v>
      </c>
      <c r="P2418">
        <v>440.35</v>
      </c>
    </row>
    <row r="2419" spans="1:16" x14ac:dyDescent="0.25">
      <c r="A2419" t="s">
        <v>3296</v>
      </c>
      <c r="B2419" t="s">
        <v>2931</v>
      </c>
      <c r="C2419">
        <v>18031</v>
      </c>
      <c r="D2419" t="str">
        <f>"9934512811  "</f>
        <v xml:space="preserve">9934512811  </v>
      </c>
      <c r="E2419" t="s">
        <v>918</v>
      </c>
      <c r="F2419" t="s">
        <v>920</v>
      </c>
      <c r="G2419">
        <v>1232.2</v>
      </c>
      <c r="H2419">
        <v>251231</v>
      </c>
      <c r="I2419">
        <v>4410</v>
      </c>
      <c r="J2419" t="s">
        <v>165</v>
      </c>
      <c r="K2419">
        <v>1734.2</v>
      </c>
      <c r="L2419">
        <v>0</v>
      </c>
      <c r="M2419">
        <v>13932</v>
      </c>
      <c r="N2419" t="s">
        <v>680</v>
      </c>
      <c r="O2419">
        <v>260108</v>
      </c>
      <c r="P2419">
        <v>1232.2</v>
      </c>
    </row>
    <row r="2420" spans="1:16" x14ac:dyDescent="0.25">
      <c r="A2420" t="s">
        <v>3296</v>
      </c>
      <c r="B2420" t="s">
        <v>2931</v>
      </c>
      <c r="C2420">
        <v>7969</v>
      </c>
      <c r="D2420" t="str">
        <f>"9934455505  "</f>
        <v xml:space="preserve">9934455505  </v>
      </c>
      <c r="E2420" t="s">
        <v>918</v>
      </c>
      <c r="F2420" t="s">
        <v>920</v>
      </c>
      <c r="G2420">
        <v>15</v>
      </c>
      <c r="H2420">
        <v>250531</v>
      </c>
      <c r="I2420">
        <v>4530</v>
      </c>
      <c r="J2420" t="s">
        <v>293</v>
      </c>
      <c r="K2420">
        <v>4985.2</v>
      </c>
      <c r="L2420">
        <v>3.05</v>
      </c>
      <c r="M2420">
        <v>13940</v>
      </c>
      <c r="N2420" t="s">
        <v>14</v>
      </c>
      <c r="O2420">
        <v>250610</v>
      </c>
      <c r="P2420">
        <v>11.95</v>
      </c>
    </row>
    <row r="2421" spans="1:16" x14ac:dyDescent="0.25">
      <c r="A2421" t="s">
        <v>3296</v>
      </c>
      <c r="B2421" t="s">
        <v>2931</v>
      </c>
      <c r="C2421">
        <v>1321</v>
      </c>
      <c r="D2421" t="str">
        <f>"160053      "</f>
        <v xml:space="preserve">160053      </v>
      </c>
      <c r="E2421" t="s">
        <v>653</v>
      </c>
      <c r="F2421" t="s">
        <v>654</v>
      </c>
      <c r="G2421">
        <v>3708.34</v>
      </c>
      <c r="H2421">
        <v>250116</v>
      </c>
      <c r="I2421">
        <v>4366</v>
      </c>
      <c r="J2421" t="s">
        <v>65</v>
      </c>
      <c r="K2421">
        <v>19920.060000000001</v>
      </c>
      <c r="L2421">
        <v>753.49</v>
      </c>
      <c r="M2421">
        <v>11801</v>
      </c>
      <c r="N2421" t="s">
        <v>40</v>
      </c>
      <c r="O2421">
        <v>250207</v>
      </c>
      <c r="P2421">
        <v>2954.85</v>
      </c>
    </row>
    <row r="2422" spans="1:16" x14ac:dyDescent="0.25">
      <c r="A2422" t="s">
        <v>3296</v>
      </c>
      <c r="B2422" t="s">
        <v>2931</v>
      </c>
      <c r="C2422">
        <v>996</v>
      </c>
      <c r="D2422" t="str">
        <f>"159923      "</f>
        <v xml:space="preserve">159923      </v>
      </c>
      <c r="E2422" t="s">
        <v>653</v>
      </c>
      <c r="F2422" t="s">
        <v>654</v>
      </c>
      <c r="G2422">
        <v>2453.0700000000002</v>
      </c>
      <c r="H2422">
        <v>250116</v>
      </c>
      <c r="I2422">
        <v>4367</v>
      </c>
      <c r="J2422" t="s">
        <v>159</v>
      </c>
      <c r="K2422">
        <v>9812.2999999999993</v>
      </c>
      <c r="L2422">
        <v>498.43</v>
      </c>
      <c r="M2422">
        <v>11801</v>
      </c>
      <c r="N2422" t="s">
        <v>40</v>
      </c>
      <c r="O2422">
        <v>250203</v>
      </c>
      <c r="P2422">
        <v>1954.64</v>
      </c>
    </row>
    <row r="2423" spans="1:16" x14ac:dyDescent="0.25">
      <c r="A2423" t="s">
        <v>3296</v>
      </c>
      <c r="B2423" t="s">
        <v>2931</v>
      </c>
      <c r="C2423">
        <v>5773</v>
      </c>
      <c r="D2423" t="str">
        <f>"160266      "</f>
        <v xml:space="preserve">160266      </v>
      </c>
      <c r="E2423" t="s">
        <v>653</v>
      </c>
      <c r="F2423" t="s">
        <v>654</v>
      </c>
      <c r="G2423">
        <v>1267.55</v>
      </c>
      <c r="H2423">
        <v>250401</v>
      </c>
      <c r="I2423">
        <v>4368</v>
      </c>
      <c r="J2423" t="s">
        <v>1082</v>
      </c>
      <c r="K2423">
        <v>2734.64</v>
      </c>
      <c r="L2423">
        <v>257.55</v>
      </c>
      <c r="M2423">
        <v>11101</v>
      </c>
      <c r="N2423" t="s">
        <v>67</v>
      </c>
      <c r="O2423">
        <v>250505</v>
      </c>
      <c r="P2423">
        <v>1010</v>
      </c>
    </row>
    <row r="2424" spans="1:16" x14ac:dyDescent="0.25">
      <c r="A2424" t="s">
        <v>3296</v>
      </c>
      <c r="B2424" t="s">
        <v>2931</v>
      </c>
      <c r="C2424">
        <v>5773</v>
      </c>
      <c r="D2424" t="str">
        <f>"160266      "</f>
        <v xml:space="preserve">160266      </v>
      </c>
      <c r="E2424" t="s">
        <v>653</v>
      </c>
      <c r="F2424" t="s">
        <v>654</v>
      </c>
      <c r="G2424">
        <v>1467.09</v>
      </c>
      <c r="H2424">
        <v>250401</v>
      </c>
      <c r="I2424">
        <v>4369</v>
      </c>
      <c r="J2424" t="s">
        <v>188</v>
      </c>
      <c r="K2424">
        <v>2734.64</v>
      </c>
      <c r="L2424">
        <v>298.08999999999997</v>
      </c>
      <c r="M2424">
        <v>11101</v>
      </c>
      <c r="N2424" t="s">
        <v>67</v>
      </c>
      <c r="O2424">
        <v>250505</v>
      </c>
      <c r="P2424">
        <v>1169</v>
      </c>
    </row>
    <row r="2425" spans="1:16" x14ac:dyDescent="0.25">
      <c r="A2425" t="s">
        <v>3296</v>
      </c>
      <c r="B2425" t="s">
        <v>2931</v>
      </c>
      <c r="C2425">
        <v>7532</v>
      </c>
      <c r="D2425" t="str">
        <f>"160610      "</f>
        <v xml:space="preserve">160610      </v>
      </c>
      <c r="E2425" t="s">
        <v>653</v>
      </c>
      <c r="F2425" t="s">
        <v>654</v>
      </c>
      <c r="G2425">
        <v>34.51</v>
      </c>
      <c r="H2425">
        <v>250526</v>
      </c>
      <c r="I2425">
        <v>4369</v>
      </c>
      <c r="J2425" t="s">
        <v>188</v>
      </c>
      <c r="K2425">
        <v>34.51</v>
      </c>
      <c r="L2425">
        <v>7.01</v>
      </c>
      <c r="M2425">
        <v>11801</v>
      </c>
      <c r="N2425" t="s">
        <v>40</v>
      </c>
      <c r="O2425">
        <v>250604</v>
      </c>
      <c r="P2425">
        <v>27.5</v>
      </c>
    </row>
    <row r="2426" spans="1:16" x14ac:dyDescent="0.25">
      <c r="A2426" t="s">
        <v>3296</v>
      </c>
      <c r="B2426" t="s">
        <v>2931</v>
      </c>
      <c r="C2426">
        <v>12805</v>
      </c>
      <c r="D2426" t="str">
        <f>"161124      "</f>
        <v xml:space="preserve">161124      </v>
      </c>
      <c r="E2426" t="s">
        <v>653</v>
      </c>
      <c r="F2426" t="s">
        <v>654</v>
      </c>
      <c r="G2426">
        <v>123.93</v>
      </c>
      <c r="H2426">
        <v>250925</v>
      </c>
      <c r="I2426">
        <v>4369</v>
      </c>
      <c r="J2426" t="s">
        <v>188</v>
      </c>
      <c r="K2426">
        <v>123.93</v>
      </c>
      <c r="L2426">
        <v>25.18</v>
      </c>
      <c r="M2426">
        <v>13861</v>
      </c>
      <c r="N2426" t="s">
        <v>604</v>
      </c>
      <c r="O2426">
        <v>250930</v>
      </c>
      <c r="P2426">
        <v>98.75</v>
      </c>
    </row>
    <row r="2427" spans="1:16" x14ac:dyDescent="0.25">
      <c r="A2427" t="s">
        <v>3296</v>
      </c>
      <c r="B2427" t="s">
        <v>2931</v>
      </c>
      <c r="C2427">
        <v>18526</v>
      </c>
      <c r="D2427" t="str">
        <f>"161749      "</f>
        <v xml:space="preserve">161749      </v>
      </c>
      <c r="E2427" t="s">
        <v>653</v>
      </c>
      <c r="F2427" t="s">
        <v>654</v>
      </c>
      <c r="G2427">
        <v>6.9</v>
      </c>
      <c r="H2427">
        <v>251231</v>
      </c>
      <c r="I2427">
        <v>4369</v>
      </c>
      <c r="J2427" t="s">
        <v>188</v>
      </c>
      <c r="K2427">
        <v>6.9</v>
      </c>
      <c r="L2427">
        <v>1.4</v>
      </c>
      <c r="M2427">
        <v>11801</v>
      </c>
      <c r="N2427" t="s">
        <v>40</v>
      </c>
      <c r="O2427">
        <v>260115</v>
      </c>
      <c r="P2427">
        <v>5.5</v>
      </c>
    </row>
    <row r="2428" spans="1:16" x14ac:dyDescent="0.25">
      <c r="A2428" t="s">
        <v>3296</v>
      </c>
      <c r="B2428" t="s">
        <v>2931</v>
      </c>
      <c r="C2428">
        <v>664</v>
      </c>
      <c r="D2428" t="str">
        <f>"159751      "</f>
        <v xml:space="preserve">159751      </v>
      </c>
      <c r="E2428" t="s">
        <v>653</v>
      </c>
      <c r="F2428" t="s">
        <v>654</v>
      </c>
      <c r="G2428">
        <v>173.2</v>
      </c>
      <c r="H2428">
        <v>250110</v>
      </c>
      <c r="I2428">
        <v>4600</v>
      </c>
      <c r="J2428" t="s">
        <v>278</v>
      </c>
      <c r="K2428">
        <v>173.2</v>
      </c>
      <c r="L2428">
        <v>35.19</v>
      </c>
      <c r="M2428">
        <v>54451</v>
      </c>
      <c r="N2428" t="s">
        <v>218</v>
      </c>
      <c r="O2428">
        <v>250127</v>
      </c>
      <c r="P2428">
        <v>138.01</v>
      </c>
    </row>
    <row r="2429" spans="1:16" x14ac:dyDescent="0.25">
      <c r="A2429" t="s">
        <v>3296</v>
      </c>
      <c r="B2429" t="s">
        <v>2931</v>
      </c>
      <c r="C2429">
        <v>1321</v>
      </c>
      <c r="D2429" t="str">
        <f t="shared" ref="D2429:D2436" si="81">"160053      "</f>
        <v xml:space="preserve">160053      </v>
      </c>
      <c r="E2429" t="s">
        <v>653</v>
      </c>
      <c r="F2429" t="s">
        <v>654</v>
      </c>
      <c r="G2429">
        <v>0.72</v>
      </c>
      <c r="H2429">
        <v>250116</v>
      </c>
      <c r="I2429">
        <v>4841</v>
      </c>
      <c r="J2429" t="s">
        <v>9</v>
      </c>
      <c r="K2429">
        <v>19920.060000000001</v>
      </c>
      <c r="L2429">
        <v>0.15</v>
      </c>
      <c r="M2429">
        <v>11801</v>
      </c>
      <c r="N2429" t="s">
        <v>40</v>
      </c>
      <c r="O2429">
        <v>250207</v>
      </c>
      <c r="P2429">
        <v>0.56999999999999995</v>
      </c>
    </row>
    <row r="2430" spans="1:16" x14ac:dyDescent="0.25">
      <c r="A2430" t="s">
        <v>3296</v>
      </c>
      <c r="B2430" t="s">
        <v>2931</v>
      </c>
      <c r="C2430">
        <v>1321</v>
      </c>
      <c r="D2430" t="str">
        <f t="shared" si="81"/>
        <v xml:space="preserve">160053      </v>
      </c>
      <c r="E2430" t="s">
        <v>653</v>
      </c>
      <c r="F2430" t="s">
        <v>654</v>
      </c>
      <c r="G2430">
        <v>164.04</v>
      </c>
      <c r="H2430">
        <v>250116</v>
      </c>
      <c r="I2430">
        <v>4841</v>
      </c>
      <c r="J2430" t="s">
        <v>9</v>
      </c>
      <c r="K2430">
        <v>19920.060000000001</v>
      </c>
      <c r="L2430">
        <v>33.33</v>
      </c>
      <c r="M2430">
        <v>14432</v>
      </c>
      <c r="N2430" t="s">
        <v>75</v>
      </c>
      <c r="O2430">
        <v>250207</v>
      </c>
      <c r="P2430">
        <v>130.71</v>
      </c>
    </row>
    <row r="2431" spans="1:16" x14ac:dyDescent="0.25">
      <c r="A2431" t="s">
        <v>3296</v>
      </c>
      <c r="B2431" t="s">
        <v>2931</v>
      </c>
      <c r="C2431">
        <v>1321</v>
      </c>
      <c r="D2431" t="str">
        <f t="shared" si="81"/>
        <v xml:space="preserve">160053      </v>
      </c>
      <c r="E2431" t="s">
        <v>653</v>
      </c>
      <c r="F2431" t="s">
        <v>654</v>
      </c>
      <c r="G2431">
        <v>155.44</v>
      </c>
      <c r="H2431">
        <v>250116</v>
      </c>
      <c r="I2431">
        <v>4841</v>
      </c>
      <c r="J2431" t="s">
        <v>9</v>
      </c>
      <c r="K2431">
        <v>19920.060000000001</v>
      </c>
      <c r="L2431">
        <v>31.58</v>
      </c>
      <c r="M2431">
        <v>44251</v>
      </c>
      <c r="N2431" t="s">
        <v>215</v>
      </c>
      <c r="O2431">
        <v>250207</v>
      </c>
      <c r="P2431">
        <v>123.86</v>
      </c>
    </row>
    <row r="2432" spans="1:16" x14ac:dyDescent="0.25">
      <c r="A2432" t="s">
        <v>3296</v>
      </c>
      <c r="B2432" t="s">
        <v>2931</v>
      </c>
      <c r="C2432">
        <v>1321</v>
      </c>
      <c r="D2432" t="str">
        <f t="shared" si="81"/>
        <v xml:space="preserve">160053      </v>
      </c>
      <c r="E2432" t="s">
        <v>653</v>
      </c>
      <c r="F2432" t="s">
        <v>654</v>
      </c>
      <c r="G2432">
        <v>155.44</v>
      </c>
      <c r="H2432">
        <v>250116</v>
      </c>
      <c r="I2432">
        <v>4841</v>
      </c>
      <c r="J2432" t="s">
        <v>9</v>
      </c>
      <c r="K2432">
        <v>19920.060000000001</v>
      </c>
      <c r="L2432">
        <v>31.58</v>
      </c>
      <c r="M2432">
        <v>44252</v>
      </c>
      <c r="N2432" t="s">
        <v>217</v>
      </c>
      <c r="O2432">
        <v>250207</v>
      </c>
      <c r="P2432">
        <v>123.86</v>
      </c>
    </row>
    <row r="2433" spans="1:16" x14ac:dyDescent="0.25">
      <c r="A2433" t="s">
        <v>3296</v>
      </c>
      <c r="B2433" t="s">
        <v>2931</v>
      </c>
      <c r="C2433">
        <v>1321</v>
      </c>
      <c r="D2433" t="str">
        <f t="shared" si="81"/>
        <v xml:space="preserve">160053      </v>
      </c>
      <c r="E2433" t="s">
        <v>653</v>
      </c>
      <c r="F2433" t="s">
        <v>654</v>
      </c>
      <c r="G2433">
        <v>656.18</v>
      </c>
      <c r="H2433">
        <v>250116</v>
      </c>
      <c r="I2433">
        <v>4841</v>
      </c>
      <c r="J2433" t="s">
        <v>9</v>
      </c>
      <c r="K2433">
        <v>19920.060000000001</v>
      </c>
      <c r="L2433">
        <v>133.33000000000001</v>
      </c>
      <c r="M2433">
        <v>54451</v>
      </c>
      <c r="N2433" t="s">
        <v>218</v>
      </c>
      <c r="O2433">
        <v>250207</v>
      </c>
      <c r="P2433">
        <v>522.85</v>
      </c>
    </row>
    <row r="2434" spans="1:16" x14ac:dyDescent="0.25">
      <c r="A2434" t="s">
        <v>3296</v>
      </c>
      <c r="B2434" t="s">
        <v>2931</v>
      </c>
      <c r="C2434">
        <v>1321</v>
      </c>
      <c r="D2434" t="str">
        <f t="shared" si="81"/>
        <v xml:space="preserve">160053      </v>
      </c>
      <c r="E2434" t="s">
        <v>653</v>
      </c>
      <c r="F2434" t="s">
        <v>654</v>
      </c>
      <c r="G2434">
        <v>338.85</v>
      </c>
      <c r="H2434">
        <v>250116</v>
      </c>
      <c r="I2434">
        <v>4841</v>
      </c>
      <c r="J2434" t="s">
        <v>9</v>
      </c>
      <c r="K2434">
        <v>19920.060000000001</v>
      </c>
      <c r="L2434">
        <v>68.849999999999994</v>
      </c>
      <c r="M2434">
        <v>66754</v>
      </c>
      <c r="N2434" t="s">
        <v>119</v>
      </c>
      <c r="O2434">
        <v>250207</v>
      </c>
      <c r="P2434">
        <v>270</v>
      </c>
    </row>
    <row r="2435" spans="1:16" x14ac:dyDescent="0.25">
      <c r="A2435" t="s">
        <v>3296</v>
      </c>
      <c r="B2435" t="s">
        <v>2931</v>
      </c>
      <c r="C2435">
        <v>1321</v>
      </c>
      <c r="D2435" t="str">
        <f t="shared" si="81"/>
        <v xml:space="preserve">160053      </v>
      </c>
      <c r="E2435" t="s">
        <v>653</v>
      </c>
      <c r="F2435" t="s">
        <v>654</v>
      </c>
      <c r="G2435">
        <v>146.84</v>
      </c>
      <c r="H2435">
        <v>250116</v>
      </c>
      <c r="I2435">
        <v>4841</v>
      </c>
      <c r="J2435" t="s">
        <v>9</v>
      </c>
      <c r="K2435">
        <v>19920.060000000001</v>
      </c>
      <c r="L2435">
        <v>29.84</v>
      </c>
      <c r="M2435">
        <v>69804</v>
      </c>
      <c r="N2435" t="s">
        <v>376</v>
      </c>
      <c r="O2435">
        <v>250207</v>
      </c>
      <c r="P2435">
        <v>117</v>
      </c>
    </row>
    <row r="2436" spans="1:16" x14ac:dyDescent="0.25">
      <c r="A2436" t="s">
        <v>3296</v>
      </c>
      <c r="B2436" t="s">
        <v>2931</v>
      </c>
      <c r="C2436">
        <v>1321</v>
      </c>
      <c r="D2436" t="str">
        <f t="shared" si="81"/>
        <v xml:space="preserve">160053      </v>
      </c>
      <c r="E2436" t="s">
        <v>653</v>
      </c>
      <c r="F2436" t="s">
        <v>654</v>
      </c>
      <c r="G2436">
        <v>146.83000000000001</v>
      </c>
      <c r="H2436">
        <v>250116</v>
      </c>
      <c r="I2436">
        <v>4841</v>
      </c>
      <c r="J2436" t="s">
        <v>9</v>
      </c>
      <c r="K2436">
        <v>19920.060000000001</v>
      </c>
      <c r="L2436">
        <v>29.83</v>
      </c>
      <c r="M2436">
        <v>69811</v>
      </c>
      <c r="N2436" t="s">
        <v>230</v>
      </c>
      <c r="O2436">
        <v>250207</v>
      </c>
      <c r="P2436">
        <v>117</v>
      </c>
    </row>
    <row r="2437" spans="1:16" x14ac:dyDescent="0.25">
      <c r="A2437" t="s">
        <v>3296</v>
      </c>
      <c r="B2437" t="s">
        <v>2931</v>
      </c>
      <c r="C2437">
        <v>942</v>
      </c>
      <c r="D2437" t="str">
        <f>"NV/2025/0424"</f>
        <v>NV/2025/0424</v>
      </c>
      <c r="E2437" t="s">
        <v>791</v>
      </c>
      <c r="F2437" t="s">
        <v>792</v>
      </c>
      <c r="G2437">
        <v>57.36</v>
      </c>
      <c r="H2437">
        <v>250127</v>
      </c>
      <c r="I2437">
        <v>4555</v>
      </c>
      <c r="J2437" t="s">
        <v>352</v>
      </c>
      <c r="K2437">
        <v>583.14</v>
      </c>
      <c r="L2437">
        <v>11.65</v>
      </c>
      <c r="M2437">
        <v>44453</v>
      </c>
      <c r="N2437" t="s">
        <v>100</v>
      </c>
      <c r="O2437">
        <v>250131</v>
      </c>
      <c r="P2437">
        <v>45.71</v>
      </c>
    </row>
    <row r="2438" spans="1:16" x14ac:dyDescent="0.25">
      <c r="A2438" t="s">
        <v>3296</v>
      </c>
      <c r="B2438" t="s">
        <v>2931</v>
      </c>
      <c r="C2438">
        <v>2389</v>
      </c>
      <c r="D2438" t="str">
        <f>"NV/2025/0873"</f>
        <v>NV/2025/0873</v>
      </c>
      <c r="E2438" t="s">
        <v>791</v>
      </c>
      <c r="F2438" t="s">
        <v>792</v>
      </c>
      <c r="G2438">
        <v>419.56</v>
      </c>
      <c r="H2438">
        <v>250218</v>
      </c>
      <c r="I2438">
        <v>4555</v>
      </c>
      <c r="J2438" t="s">
        <v>352</v>
      </c>
      <c r="K2438">
        <v>419.56</v>
      </c>
      <c r="L2438">
        <v>85.25</v>
      </c>
      <c r="M2438">
        <v>44453</v>
      </c>
      <c r="N2438" t="s">
        <v>100</v>
      </c>
      <c r="O2438">
        <v>250225</v>
      </c>
      <c r="P2438">
        <v>334.31</v>
      </c>
    </row>
    <row r="2439" spans="1:16" x14ac:dyDescent="0.25">
      <c r="A2439" t="s">
        <v>3296</v>
      </c>
      <c r="B2439" t="s">
        <v>2931</v>
      </c>
      <c r="C2439">
        <v>14419</v>
      </c>
      <c r="D2439" t="str">
        <f>"NV/2025/4671"</f>
        <v>NV/2025/4671</v>
      </c>
      <c r="E2439" t="s">
        <v>791</v>
      </c>
      <c r="F2439" t="s">
        <v>792</v>
      </c>
      <c r="G2439">
        <v>760.31</v>
      </c>
      <c r="H2439">
        <v>251001</v>
      </c>
      <c r="I2439">
        <v>4555</v>
      </c>
      <c r="J2439" t="s">
        <v>352</v>
      </c>
      <c r="K2439">
        <v>760.31</v>
      </c>
      <c r="L2439">
        <v>154.49</v>
      </c>
      <c r="M2439">
        <v>44453</v>
      </c>
      <c r="N2439" t="s">
        <v>100</v>
      </c>
      <c r="O2439">
        <v>251031</v>
      </c>
      <c r="P2439">
        <v>605.82000000000005</v>
      </c>
    </row>
    <row r="2440" spans="1:16" x14ac:dyDescent="0.25">
      <c r="A2440" t="s">
        <v>3296</v>
      </c>
      <c r="B2440" t="s">
        <v>2931</v>
      </c>
      <c r="C2440">
        <v>942</v>
      </c>
      <c r="D2440" t="str">
        <f>"NV/2025/0424"</f>
        <v>NV/2025/0424</v>
      </c>
      <c r="E2440" t="s">
        <v>791</v>
      </c>
      <c r="F2440" t="s">
        <v>792</v>
      </c>
      <c r="G2440">
        <v>300</v>
      </c>
      <c r="H2440">
        <v>250127</v>
      </c>
      <c r="I2440">
        <v>4580</v>
      </c>
      <c r="J2440" t="s">
        <v>126</v>
      </c>
      <c r="K2440">
        <v>583.14</v>
      </c>
      <c r="L2440">
        <v>60.96</v>
      </c>
      <c r="M2440">
        <v>44424</v>
      </c>
      <c r="N2440" t="s">
        <v>99</v>
      </c>
      <c r="O2440">
        <v>250131</v>
      </c>
      <c r="P2440">
        <v>239.04</v>
      </c>
    </row>
    <row r="2441" spans="1:16" x14ac:dyDescent="0.25">
      <c r="A2441" t="s">
        <v>3296</v>
      </c>
      <c r="B2441" t="s">
        <v>2931</v>
      </c>
      <c r="C2441">
        <v>942</v>
      </c>
      <c r="D2441" t="str">
        <f>"NV/2025/0424"</f>
        <v>NV/2025/0424</v>
      </c>
      <c r="E2441" t="s">
        <v>791</v>
      </c>
      <c r="F2441" t="s">
        <v>792</v>
      </c>
      <c r="G2441">
        <v>225.78</v>
      </c>
      <c r="H2441">
        <v>250127</v>
      </c>
      <c r="I2441">
        <v>4600</v>
      </c>
      <c r="J2441" t="s">
        <v>278</v>
      </c>
      <c r="K2441">
        <v>583.14</v>
      </c>
      <c r="L2441">
        <v>45.88</v>
      </c>
      <c r="M2441">
        <v>44453</v>
      </c>
      <c r="N2441" t="s">
        <v>100</v>
      </c>
      <c r="O2441">
        <v>250131</v>
      </c>
      <c r="P2441">
        <v>179.9</v>
      </c>
    </row>
    <row r="2442" spans="1:16" x14ac:dyDescent="0.25">
      <c r="A2442" t="s">
        <v>3296</v>
      </c>
      <c r="B2442" t="s">
        <v>2931</v>
      </c>
      <c r="C2442">
        <v>15626</v>
      </c>
      <c r="D2442" t="str">
        <f>"NV/2025/5870"</f>
        <v>NV/2025/5870</v>
      </c>
      <c r="E2442" t="s">
        <v>791</v>
      </c>
      <c r="F2442" t="s">
        <v>792</v>
      </c>
      <c r="G2442">
        <v>103.88</v>
      </c>
      <c r="H2442">
        <v>251117</v>
      </c>
      <c r="I2442">
        <v>4600</v>
      </c>
      <c r="J2442" t="s">
        <v>278</v>
      </c>
      <c r="K2442">
        <v>103.88</v>
      </c>
      <c r="L2442">
        <v>21.11</v>
      </c>
      <c r="M2442">
        <v>54252</v>
      </c>
      <c r="N2442" t="s">
        <v>742</v>
      </c>
      <c r="O2442">
        <v>251124</v>
      </c>
      <c r="P2442">
        <v>82.77</v>
      </c>
    </row>
    <row r="2443" spans="1:16" x14ac:dyDescent="0.25">
      <c r="A2443" t="s">
        <v>3296</v>
      </c>
      <c r="B2443" t="s">
        <v>2931</v>
      </c>
      <c r="C2443">
        <v>12308</v>
      </c>
      <c r="D2443" t="str">
        <f>"2509032     "</f>
        <v xml:space="preserve">2509032     </v>
      </c>
      <c r="E2443" t="s">
        <v>2336</v>
      </c>
      <c r="F2443" t="s">
        <v>2337</v>
      </c>
      <c r="G2443">
        <v>217.14</v>
      </c>
      <c r="H2443">
        <v>250909</v>
      </c>
      <c r="I2443">
        <v>4600</v>
      </c>
      <c r="J2443" t="s">
        <v>278</v>
      </c>
      <c r="K2443">
        <v>651.41</v>
      </c>
      <c r="L2443">
        <v>44.12</v>
      </c>
      <c r="M2443">
        <v>17533</v>
      </c>
      <c r="N2443" t="s">
        <v>147</v>
      </c>
      <c r="O2443">
        <v>250919</v>
      </c>
      <c r="P2443">
        <v>173.02</v>
      </c>
    </row>
    <row r="2444" spans="1:16" x14ac:dyDescent="0.25">
      <c r="A2444" t="s">
        <v>3296</v>
      </c>
      <c r="B2444" t="s">
        <v>2931</v>
      </c>
      <c r="C2444">
        <v>12308</v>
      </c>
      <c r="D2444" t="str">
        <f>"2509032     "</f>
        <v xml:space="preserve">2509032     </v>
      </c>
      <c r="E2444" t="s">
        <v>2336</v>
      </c>
      <c r="F2444" t="s">
        <v>2337</v>
      </c>
      <c r="G2444">
        <v>434.27</v>
      </c>
      <c r="H2444">
        <v>250909</v>
      </c>
      <c r="I2444">
        <v>4600</v>
      </c>
      <c r="J2444" t="s">
        <v>278</v>
      </c>
      <c r="K2444">
        <v>651.41</v>
      </c>
      <c r="L2444">
        <v>88.24</v>
      </c>
      <c r="M2444">
        <v>17647</v>
      </c>
      <c r="N2444" t="s">
        <v>907</v>
      </c>
      <c r="O2444">
        <v>250919</v>
      </c>
      <c r="P2444">
        <v>346.03</v>
      </c>
    </row>
    <row r="2445" spans="1:16" x14ac:dyDescent="0.25">
      <c r="A2445" t="s">
        <v>3296</v>
      </c>
      <c r="B2445" t="s">
        <v>2931</v>
      </c>
      <c r="C2445">
        <v>12453</v>
      </c>
      <c r="D2445" t="str">
        <f>"2509034     "</f>
        <v xml:space="preserve">2509034     </v>
      </c>
      <c r="E2445" t="s">
        <v>2336</v>
      </c>
      <c r="F2445" t="s">
        <v>2337</v>
      </c>
      <c r="G2445">
        <v>74.989999999999995</v>
      </c>
      <c r="H2445">
        <v>250915</v>
      </c>
      <c r="I2445">
        <v>4600</v>
      </c>
      <c r="J2445" t="s">
        <v>278</v>
      </c>
      <c r="K2445">
        <v>524.9</v>
      </c>
      <c r="L2445">
        <v>15.24</v>
      </c>
      <c r="M2445">
        <v>17532</v>
      </c>
      <c r="N2445" t="s">
        <v>146</v>
      </c>
      <c r="O2445">
        <v>250922</v>
      </c>
      <c r="P2445">
        <v>59.75</v>
      </c>
    </row>
    <row r="2446" spans="1:16" x14ac:dyDescent="0.25">
      <c r="A2446" t="s">
        <v>3296</v>
      </c>
      <c r="B2446" t="s">
        <v>2931</v>
      </c>
      <c r="C2446">
        <v>12453</v>
      </c>
      <c r="D2446" t="str">
        <f>"2509034     "</f>
        <v xml:space="preserve">2509034     </v>
      </c>
      <c r="E2446" t="s">
        <v>2336</v>
      </c>
      <c r="F2446" t="s">
        <v>2337</v>
      </c>
      <c r="G2446">
        <v>149.94999999999999</v>
      </c>
      <c r="H2446">
        <v>250915</v>
      </c>
      <c r="I2446">
        <v>4600</v>
      </c>
      <c r="J2446" t="s">
        <v>278</v>
      </c>
      <c r="K2446">
        <v>524.9</v>
      </c>
      <c r="L2446">
        <v>30.47</v>
      </c>
      <c r="M2446">
        <v>17533</v>
      </c>
      <c r="N2446" t="s">
        <v>147</v>
      </c>
      <c r="O2446">
        <v>250922</v>
      </c>
      <c r="P2446">
        <v>119.48</v>
      </c>
    </row>
    <row r="2447" spans="1:16" x14ac:dyDescent="0.25">
      <c r="A2447" t="s">
        <v>3296</v>
      </c>
      <c r="B2447" t="s">
        <v>2931</v>
      </c>
      <c r="C2447">
        <v>12453</v>
      </c>
      <c r="D2447" t="str">
        <f>"2509034     "</f>
        <v xml:space="preserve">2509034     </v>
      </c>
      <c r="E2447" t="s">
        <v>2336</v>
      </c>
      <c r="F2447" t="s">
        <v>2337</v>
      </c>
      <c r="G2447">
        <v>299.95999999999998</v>
      </c>
      <c r="H2447">
        <v>250915</v>
      </c>
      <c r="I2447">
        <v>4600</v>
      </c>
      <c r="J2447" t="s">
        <v>278</v>
      </c>
      <c r="K2447">
        <v>524.9</v>
      </c>
      <c r="L2447">
        <v>60.95</v>
      </c>
      <c r="M2447">
        <v>17647</v>
      </c>
      <c r="N2447" t="s">
        <v>907</v>
      </c>
      <c r="O2447">
        <v>250922</v>
      </c>
      <c r="P2447">
        <v>239.01</v>
      </c>
    </row>
    <row r="2448" spans="1:16" x14ac:dyDescent="0.25">
      <c r="A2448" t="s">
        <v>3296</v>
      </c>
      <c r="B2448" t="s">
        <v>2931</v>
      </c>
      <c r="C2448">
        <v>4085</v>
      </c>
      <c r="D2448" t="str">
        <f>"3048        "</f>
        <v xml:space="preserve">3048        </v>
      </c>
      <c r="E2448" t="s">
        <v>1557</v>
      </c>
      <c r="F2448" t="s">
        <v>1558</v>
      </c>
      <c r="G2448">
        <v>2022.56</v>
      </c>
      <c r="H2448">
        <v>250324</v>
      </c>
      <c r="I2448">
        <v>4400</v>
      </c>
      <c r="J2448" t="s">
        <v>162</v>
      </c>
      <c r="K2448">
        <v>2022.56</v>
      </c>
      <c r="L2448">
        <v>410.96</v>
      </c>
      <c r="M2448">
        <v>59113</v>
      </c>
      <c r="N2448" t="s">
        <v>61</v>
      </c>
      <c r="O2448">
        <v>250407</v>
      </c>
      <c r="P2448">
        <v>1611.6</v>
      </c>
    </row>
    <row r="2449" spans="1:16" x14ac:dyDescent="0.25">
      <c r="A2449" t="s">
        <v>3296</v>
      </c>
      <c r="B2449" t="s">
        <v>2931</v>
      </c>
      <c r="C2449">
        <v>10326</v>
      </c>
      <c r="D2449" t="str">
        <f>"3183        "</f>
        <v xml:space="preserve">3183        </v>
      </c>
      <c r="E2449" t="s">
        <v>1557</v>
      </c>
      <c r="F2449" t="s">
        <v>1558</v>
      </c>
      <c r="G2449">
        <v>1247.83</v>
      </c>
      <c r="H2449">
        <v>250814</v>
      </c>
      <c r="I2449">
        <v>4400</v>
      </c>
      <c r="J2449" t="s">
        <v>162</v>
      </c>
      <c r="K2449">
        <v>1247.83</v>
      </c>
      <c r="L2449">
        <v>253.54</v>
      </c>
      <c r="M2449">
        <v>59113</v>
      </c>
      <c r="N2449" t="s">
        <v>61</v>
      </c>
      <c r="O2449">
        <v>250814</v>
      </c>
      <c r="P2449">
        <v>994.29</v>
      </c>
    </row>
    <row r="2450" spans="1:16" x14ac:dyDescent="0.25">
      <c r="A2450" t="s">
        <v>3296</v>
      </c>
      <c r="B2450" t="s">
        <v>2931</v>
      </c>
      <c r="C2450">
        <v>11152</v>
      </c>
      <c r="D2450" t="str">
        <f>"10002       "</f>
        <v xml:space="preserve">10002       </v>
      </c>
      <c r="E2450" t="s">
        <v>1557</v>
      </c>
      <c r="F2450" t="s">
        <v>1558</v>
      </c>
      <c r="G2450">
        <v>320.77999999999997</v>
      </c>
      <c r="H2450">
        <v>250826</v>
      </c>
      <c r="I2450">
        <v>4400</v>
      </c>
      <c r="J2450" t="s">
        <v>162</v>
      </c>
      <c r="K2450">
        <v>320.77999999999997</v>
      </c>
      <c r="L2450">
        <v>65.180000000000007</v>
      </c>
      <c r="M2450">
        <v>54451</v>
      </c>
      <c r="N2450" t="s">
        <v>218</v>
      </c>
      <c r="O2450">
        <v>250901</v>
      </c>
      <c r="P2450">
        <v>255.6</v>
      </c>
    </row>
    <row r="2451" spans="1:16" x14ac:dyDescent="0.25">
      <c r="A2451" t="s">
        <v>3296</v>
      </c>
      <c r="B2451" t="s">
        <v>2931</v>
      </c>
      <c r="C2451">
        <v>12020</v>
      </c>
      <c r="D2451" t="str">
        <f>"10016       "</f>
        <v xml:space="preserve">10016       </v>
      </c>
      <c r="E2451" t="s">
        <v>1557</v>
      </c>
      <c r="F2451" t="s">
        <v>1558</v>
      </c>
      <c r="G2451">
        <v>298.44</v>
      </c>
      <c r="H2451">
        <v>250911</v>
      </c>
      <c r="I2451">
        <v>4400</v>
      </c>
      <c r="J2451" t="s">
        <v>162</v>
      </c>
      <c r="K2451">
        <v>298.44</v>
      </c>
      <c r="L2451">
        <v>60.64</v>
      </c>
      <c r="M2451">
        <v>54451</v>
      </c>
      <c r="N2451" t="s">
        <v>218</v>
      </c>
      <c r="O2451">
        <v>250915</v>
      </c>
      <c r="P2451">
        <v>237.8</v>
      </c>
    </row>
    <row r="2452" spans="1:16" x14ac:dyDescent="0.25">
      <c r="A2452" t="s">
        <v>3296</v>
      </c>
      <c r="B2452" t="s">
        <v>2931</v>
      </c>
      <c r="C2452">
        <v>12903</v>
      </c>
      <c r="D2452" t="str">
        <f>"10024       "</f>
        <v xml:space="preserve">10024       </v>
      </c>
      <c r="E2452" t="s">
        <v>1557</v>
      </c>
      <c r="F2452" t="s">
        <v>1558</v>
      </c>
      <c r="G2452">
        <v>424.57</v>
      </c>
      <c r="H2452">
        <v>250926</v>
      </c>
      <c r="I2452">
        <v>4400</v>
      </c>
      <c r="J2452" t="s">
        <v>162</v>
      </c>
      <c r="K2452">
        <v>424.57</v>
      </c>
      <c r="L2452">
        <v>86.27</v>
      </c>
      <c r="M2452">
        <v>59113</v>
      </c>
      <c r="N2452" t="s">
        <v>61</v>
      </c>
      <c r="O2452">
        <v>251001</v>
      </c>
      <c r="P2452">
        <v>338.3</v>
      </c>
    </row>
    <row r="2453" spans="1:16" x14ac:dyDescent="0.25">
      <c r="A2453" t="s">
        <v>3296</v>
      </c>
      <c r="B2453" t="s">
        <v>2931</v>
      </c>
      <c r="C2453">
        <v>12995</v>
      </c>
      <c r="D2453" t="str">
        <f>"10029       "</f>
        <v xml:space="preserve">10029       </v>
      </c>
      <c r="E2453" t="s">
        <v>1557</v>
      </c>
      <c r="F2453" t="s">
        <v>1558</v>
      </c>
      <c r="G2453">
        <v>2501.92</v>
      </c>
      <c r="H2453">
        <v>250929</v>
      </c>
      <c r="I2453">
        <v>4400</v>
      </c>
      <c r="J2453" t="s">
        <v>162</v>
      </c>
      <c r="K2453">
        <v>2501.92</v>
      </c>
      <c r="L2453">
        <v>508.36</v>
      </c>
      <c r="M2453">
        <v>54451</v>
      </c>
      <c r="N2453" t="s">
        <v>218</v>
      </c>
      <c r="O2453">
        <v>251003</v>
      </c>
      <c r="P2453">
        <v>1993.56</v>
      </c>
    </row>
    <row r="2454" spans="1:16" x14ac:dyDescent="0.25">
      <c r="A2454" t="s">
        <v>3296</v>
      </c>
      <c r="B2454" t="s">
        <v>2931</v>
      </c>
      <c r="C2454">
        <v>6628</v>
      </c>
      <c r="D2454" t="str">
        <f>"229372      "</f>
        <v xml:space="preserve">229372      </v>
      </c>
      <c r="E2454" t="s">
        <v>1872</v>
      </c>
      <c r="F2454" t="s">
        <v>1873</v>
      </c>
      <c r="G2454">
        <v>197.12</v>
      </c>
      <c r="H2454">
        <v>250430</v>
      </c>
      <c r="I2454">
        <v>1198</v>
      </c>
      <c r="J2454" t="s">
        <v>610</v>
      </c>
      <c r="K2454">
        <v>197.12</v>
      </c>
      <c r="L2454">
        <v>40.049999999999997</v>
      </c>
      <c r="M2454">
        <v>97629</v>
      </c>
      <c r="N2454" t="s">
        <v>1110</v>
      </c>
      <c r="O2454">
        <v>250514</v>
      </c>
      <c r="P2454">
        <v>157.07</v>
      </c>
    </row>
    <row r="2455" spans="1:16" x14ac:dyDescent="0.25">
      <c r="A2455" t="s">
        <v>3296</v>
      </c>
      <c r="B2455" t="s">
        <v>2931</v>
      </c>
      <c r="C2455">
        <v>3728</v>
      </c>
      <c r="D2455" t="str">
        <f>"2073        "</f>
        <v xml:space="preserve">2073        </v>
      </c>
      <c r="E2455" t="s">
        <v>1498</v>
      </c>
      <c r="F2455" t="s">
        <v>1499</v>
      </c>
      <c r="G2455">
        <v>76.760000000000005</v>
      </c>
      <c r="H2455">
        <v>250317</v>
      </c>
      <c r="I2455">
        <v>4364</v>
      </c>
      <c r="J2455" t="s">
        <v>470</v>
      </c>
      <c r="K2455">
        <v>76.760000000000005</v>
      </c>
      <c r="L2455">
        <v>15.6</v>
      </c>
      <c r="M2455">
        <v>14432</v>
      </c>
      <c r="N2455" t="s">
        <v>75</v>
      </c>
      <c r="O2455">
        <v>250401</v>
      </c>
      <c r="P2455">
        <v>61.16</v>
      </c>
    </row>
    <row r="2456" spans="1:16" x14ac:dyDescent="0.25">
      <c r="A2456" t="s">
        <v>3296</v>
      </c>
      <c r="B2456" t="s">
        <v>2931</v>
      </c>
      <c r="C2456">
        <v>9042</v>
      </c>
      <c r="D2456" t="str">
        <f>"2108        "</f>
        <v xml:space="preserve">2108        </v>
      </c>
      <c r="E2456" t="s">
        <v>1498</v>
      </c>
      <c r="F2456" t="s">
        <v>1499</v>
      </c>
      <c r="G2456">
        <v>76.760000000000005</v>
      </c>
      <c r="H2456">
        <v>250613</v>
      </c>
      <c r="I2456">
        <v>4364</v>
      </c>
      <c r="J2456" t="s">
        <v>470</v>
      </c>
      <c r="K2456">
        <v>76.760000000000005</v>
      </c>
      <c r="L2456">
        <v>15.6</v>
      </c>
      <c r="M2456">
        <v>14432</v>
      </c>
      <c r="N2456" t="s">
        <v>75</v>
      </c>
      <c r="O2456">
        <v>250626</v>
      </c>
      <c r="P2456">
        <v>61.16</v>
      </c>
    </row>
    <row r="2457" spans="1:16" x14ac:dyDescent="0.25">
      <c r="A2457" t="s">
        <v>3296</v>
      </c>
      <c r="B2457" t="s">
        <v>2931</v>
      </c>
      <c r="C2457">
        <v>15686</v>
      </c>
      <c r="D2457" t="str">
        <f>"2147        "</f>
        <v xml:space="preserve">2147        </v>
      </c>
      <c r="E2457" t="s">
        <v>1498</v>
      </c>
      <c r="F2457" t="s">
        <v>1499</v>
      </c>
      <c r="G2457">
        <v>100.25</v>
      </c>
      <c r="H2457">
        <v>251114</v>
      </c>
      <c r="I2457">
        <v>4364</v>
      </c>
      <c r="J2457" t="s">
        <v>470</v>
      </c>
      <c r="K2457">
        <v>100.25</v>
      </c>
      <c r="L2457">
        <v>20.37</v>
      </c>
      <c r="M2457">
        <v>14432</v>
      </c>
      <c r="N2457" t="s">
        <v>75</v>
      </c>
      <c r="O2457">
        <v>251125</v>
      </c>
      <c r="P2457">
        <v>79.88</v>
      </c>
    </row>
    <row r="2458" spans="1:16" x14ac:dyDescent="0.25">
      <c r="A2458" t="s">
        <v>3296</v>
      </c>
      <c r="B2458" t="s">
        <v>2931</v>
      </c>
      <c r="C2458">
        <v>2864</v>
      </c>
      <c r="D2458" t="str">
        <f>"92008612    "</f>
        <v xml:space="preserve">92008612    </v>
      </c>
      <c r="E2458" t="s">
        <v>571</v>
      </c>
      <c r="F2458" t="s">
        <v>572</v>
      </c>
      <c r="G2458">
        <v>465.17</v>
      </c>
      <c r="H2458">
        <v>250220</v>
      </c>
      <c r="I2458">
        <v>4555</v>
      </c>
      <c r="J2458" t="s">
        <v>352</v>
      </c>
      <c r="K2458">
        <v>465.17</v>
      </c>
      <c r="L2458">
        <v>94.52</v>
      </c>
      <c r="M2458">
        <v>44453</v>
      </c>
      <c r="N2458" t="s">
        <v>100</v>
      </c>
      <c r="O2458">
        <v>250312</v>
      </c>
      <c r="P2458">
        <v>370.65</v>
      </c>
    </row>
    <row r="2459" spans="1:16" x14ac:dyDescent="0.25">
      <c r="A2459" t="s">
        <v>3296</v>
      </c>
      <c r="B2459" t="s">
        <v>2931</v>
      </c>
      <c r="C2459">
        <v>521</v>
      </c>
      <c r="D2459" t="str">
        <f>"92000099    "</f>
        <v xml:space="preserve">92000099    </v>
      </c>
      <c r="E2459" t="s">
        <v>571</v>
      </c>
      <c r="F2459" t="s">
        <v>572</v>
      </c>
      <c r="G2459">
        <v>720.28</v>
      </c>
      <c r="H2459">
        <v>250115</v>
      </c>
      <c r="I2459">
        <v>4600</v>
      </c>
      <c r="J2459" t="s">
        <v>278</v>
      </c>
      <c r="K2459">
        <v>1440.56</v>
      </c>
      <c r="L2459">
        <v>146.35</v>
      </c>
      <c r="M2459">
        <v>54222</v>
      </c>
      <c r="N2459" t="s">
        <v>48</v>
      </c>
      <c r="O2459">
        <v>250123</v>
      </c>
      <c r="P2459">
        <v>573.92999999999995</v>
      </c>
    </row>
    <row r="2460" spans="1:16" x14ac:dyDescent="0.25">
      <c r="A2460" t="s">
        <v>3296</v>
      </c>
      <c r="B2460" t="s">
        <v>2931</v>
      </c>
      <c r="C2460">
        <v>521</v>
      </c>
      <c r="D2460" t="str">
        <f>"92000099    "</f>
        <v xml:space="preserve">92000099    </v>
      </c>
      <c r="E2460" t="s">
        <v>571</v>
      </c>
      <c r="F2460" t="s">
        <v>572</v>
      </c>
      <c r="G2460">
        <v>720.28</v>
      </c>
      <c r="H2460">
        <v>250115</v>
      </c>
      <c r="I2460">
        <v>4600</v>
      </c>
      <c r="J2460" t="s">
        <v>278</v>
      </c>
      <c r="K2460">
        <v>1440.56</v>
      </c>
      <c r="L2460">
        <v>146.35</v>
      </c>
      <c r="M2460">
        <v>54251</v>
      </c>
      <c r="N2460" t="s">
        <v>485</v>
      </c>
      <c r="O2460">
        <v>250123</v>
      </c>
      <c r="P2460">
        <v>573.92999999999995</v>
      </c>
    </row>
    <row r="2461" spans="1:16" x14ac:dyDescent="0.25">
      <c r="A2461" t="s">
        <v>3296</v>
      </c>
      <c r="B2461" t="s">
        <v>2931</v>
      </c>
      <c r="C2461">
        <v>1049</v>
      </c>
      <c r="D2461" t="str">
        <f>"92004159    "</f>
        <v xml:space="preserve">92004159    </v>
      </c>
      <c r="E2461" t="s">
        <v>571</v>
      </c>
      <c r="F2461" t="s">
        <v>572</v>
      </c>
      <c r="G2461">
        <v>59.49</v>
      </c>
      <c r="H2461">
        <v>250130</v>
      </c>
      <c r="I2461">
        <v>4600</v>
      </c>
      <c r="J2461" t="s">
        <v>278</v>
      </c>
      <c r="K2461">
        <v>118.97</v>
      </c>
      <c r="L2461">
        <v>12.09</v>
      </c>
      <c r="M2461">
        <v>54222</v>
      </c>
      <c r="N2461" t="s">
        <v>48</v>
      </c>
      <c r="O2461">
        <v>250203</v>
      </c>
      <c r="P2461">
        <v>47.4</v>
      </c>
    </row>
    <row r="2462" spans="1:16" x14ac:dyDescent="0.25">
      <c r="A2462" t="s">
        <v>3296</v>
      </c>
      <c r="B2462" t="s">
        <v>2931</v>
      </c>
      <c r="C2462">
        <v>1049</v>
      </c>
      <c r="D2462" t="str">
        <f>"92004159    "</f>
        <v xml:space="preserve">92004159    </v>
      </c>
      <c r="E2462" t="s">
        <v>571</v>
      </c>
      <c r="F2462" t="s">
        <v>572</v>
      </c>
      <c r="G2462">
        <v>59.48</v>
      </c>
      <c r="H2462">
        <v>250130</v>
      </c>
      <c r="I2462">
        <v>4600</v>
      </c>
      <c r="J2462" t="s">
        <v>278</v>
      </c>
      <c r="K2462">
        <v>118.97</v>
      </c>
      <c r="L2462">
        <v>12.09</v>
      </c>
      <c r="M2462">
        <v>54251</v>
      </c>
      <c r="N2462" t="s">
        <v>485</v>
      </c>
      <c r="O2462">
        <v>250203</v>
      </c>
      <c r="P2462">
        <v>47.39</v>
      </c>
    </row>
    <row r="2463" spans="1:16" x14ac:dyDescent="0.25">
      <c r="A2463" t="s">
        <v>3296</v>
      </c>
      <c r="B2463" t="s">
        <v>2931</v>
      </c>
      <c r="C2463">
        <v>2949</v>
      </c>
      <c r="D2463" t="str">
        <f>"92009117    "</f>
        <v xml:space="preserve">92009117    </v>
      </c>
      <c r="E2463" t="s">
        <v>571</v>
      </c>
      <c r="F2463" t="s">
        <v>572</v>
      </c>
      <c r="G2463">
        <v>41.64</v>
      </c>
      <c r="H2463">
        <v>250221</v>
      </c>
      <c r="I2463">
        <v>4600</v>
      </c>
      <c r="J2463" t="s">
        <v>278</v>
      </c>
      <c r="K2463">
        <v>41.64</v>
      </c>
      <c r="L2463">
        <v>8.4600000000000009</v>
      </c>
      <c r="M2463">
        <v>54251</v>
      </c>
      <c r="N2463" t="s">
        <v>485</v>
      </c>
      <c r="O2463">
        <v>250313</v>
      </c>
      <c r="P2463">
        <v>33.18</v>
      </c>
    </row>
    <row r="2464" spans="1:16" x14ac:dyDescent="0.25">
      <c r="A2464" t="s">
        <v>3296</v>
      </c>
      <c r="B2464" t="s">
        <v>2931</v>
      </c>
      <c r="C2464">
        <v>4336</v>
      </c>
      <c r="D2464" t="str">
        <f>"92013970    "</f>
        <v xml:space="preserve">92013970    </v>
      </c>
      <c r="E2464" t="s">
        <v>571</v>
      </c>
      <c r="F2464" t="s">
        <v>572</v>
      </c>
      <c r="G2464">
        <v>531.14</v>
      </c>
      <c r="H2464">
        <v>250313</v>
      </c>
      <c r="I2464">
        <v>4600</v>
      </c>
      <c r="J2464" t="s">
        <v>278</v>
      </c>
      <c r="K2464">
        <v>1062.28</v>
      </c>
      <c r="L2464">
        <v>107.92</v>
      </c>
      <c r="M2464">
        <v>54222</v>
      </c>
      <c r="N2464" t="s">
        <v>48</v>
      </c>
      <c r="O2464">
        <v>250411</v>
      </c>
      <c r="P2464">
        <v>423.22</v>
      </c>
    </row>
    <row r="2465" spans="1:16" x14ac:dyDescent="0.25">
      <c r="A2465" t="s">
        <v>3296</v>
      </c>
      <c r="B2465" t="s">
        <v>2931</v>
      </c>
      <c r="C2465">
        <v>4336</v>
      </c>
      <c r="D2465" t="str">
        <f>"92013970    "</f>
        <v xml:space="preserve">92013970    </v>
      </c>
      <c r="E2465" t="s">
        <v>571</v>
      </c>
      <c r="F2465" t="s">
        <v>572</v>
      </c>
      <c r="G2465">
        <v>531.14</v>
      </c>
      <c r="H2465">
        <v>250313</v>
      </c>
      <c r="I2465">
        <v>4600</v>
      </c>
      <c r="J2465" t="s">
        <v>278</v>
      </c>
      <c r="K2465">
        <v>1062.28</v>
      </c>
      <c r="L2465">
        <v>107.92</v>
      </c>
      <c r="M2465">
        <v>54251</v>
      </c>
      <c r="N2465" t="s">
        <v>485</v>
      </c>
      <c r="O2465">
        <v>250411</v>
      </c>
      <c r="P2465">
        <v>423.22</v>
      </c>
    </row>
    <row r="2466" spans="1:16" x14ac:dyDescent="0.25">
      <c r="A2466" t="s">
        <v>3296</v>
      </c>
      <c r="B2466" t="s">
        <v>2931</v>
      </c>
      <c r="C2466">
        <v>4622</v>
      </c>
      <c r="D2466" t="str">
        <f>"92016475    "</f>
        <v xml:space="preserve">92016475    </v>
      </c>
      <c r="E2466" t="s">
        <v>571</v>
      </c>
      <c r="F2466" t="s">
        <v>572</v>
      </c>
      <c r="G2466">
        <v>140.81</v>
      </c>
      <c r="H2466">
        <v>250325</v>
      </c>
      <c r="I2466">
        <v>4600</v>
      </c>
      <c r="J2466" t="s">
        <v>278</v>
      </c>
      <c r="K2466">
        <v>281.62</v>
      </c>
      <c r="L2466">
        <v>28.61</v>
      </c>
      <c r="M2466">
        <v>54222</v>
      </c>
      <c r="N2466" t="s">
        <v>48</v>
      </c>
      <c r="O2466">
        <v>250414</v>
      </c>
      <c r="P2466">
        <v>112.2</v>
      </c>
    </row>
    <row r="2467" spans="1:16" x14ac:dyDescent="0.25">
      <c r="A2467" t="s">
        <v>3296</v>
      </c>
      <c r="B2467" t="s">
        <v>2931</v>
      </c>
      <c r="C2467">
        <v>4622</v>
      </c>
      <c r="D2467" t="str">
        <f>"92016475    "</f>
        <v xml:space="preserve">92016475    </v>
      </c>
      <c r="E2467" t="s">
        <v>571</v>
      </c>
      <c r="F2467" t="s">
        <v>572</v>
      </c>
      <c r="G2467">
        <v>140.81</v>
      </c>
      <c r="H2467">
        <v>250325</v>
      </c>
      <c r="I2467">
        <v>4600</v>
      </c>
      <c r="J2467" t="s">
        <v>278</v>
      </c>
      <c r="K2467">
        <v>281.62</v>
      </c>
      <c r="L2467">
        <v>28.61</v>
      </c>
      <c r="M2467">
        <v>54251</v>
      </c>
      <c r="N2467" t="s">
        <v>485</v>
      </c>
      <c r="O2467">
        <v>250414</v>
      </c>
      <c r="P2467">
        <v>112.2</v>
      </c>
    </row>
    <row r="2468" spans="1:16" x14ac:dyDescent="0.25">
      <c r="A2468" t="s">
        <v>3296</v>
      </c>
      <c r="B2468" t="s">
        <v>2931</v>
      </c>
      <c r="C2468">
        <v>5651</v>
      </c>
      <c r="D2468" t="str">
        <f>"92021015    "</f>
        <v xml:space="preserve">92021015    </v>
      </c>
      <c r="E2468" t="s">
        <v>571</v>
      </c>
      <c r="F2468" t="s">
        <v>572</v>
      </c>
      <c r="G2468">
        <v>98.65</v>
      </c>
      <c r="H2468">
        <v>250410</v>
      </c>
      <c r="I2468">
        <v>4600</v>
      </c>
      <c r="J2468" t="s">
        <v>278</v>
      </c>
      <c r="K2468">
        <v>197.29</v>
      </c>
      <c r="L2468">
        <v>20.04</v>
      </c>
      <c r="M2468">
        <v>54222</v>
      </c>
      <c r="N2468" t="s">
        <v>48</v>
      </c>
      <c r="O2468">
        <v>250428</v>
      </c>
      <c r="P2468">
        <v>78.61</v>
      </c>
    </row>
    <row r="2469" spans="1:16" x14ac:dyDescent="0.25">
      <c r="A2469" t="s">
        <v>3296</v>
      </c>
      <c r="B2469" t="s">
        <v>2931</v>
      </c>
      <c r="C2469">
        <v>5651</v>
      </c>
      <c r="D2469" t="str">
        <f>"92021015    "</f>
        <v xml:space="preserve">92021015    </v>
      </c>
      <c r="E2469" t="s">
        <v>571</v>
      </c>
      <c r="F2469" t="s">
        <v>572</v>
      </c>
      <c r="G2469">
        <v>98.64</v>
      </c>
      <c r="H2469">
        <v>250410</v>
      </c>
      <c r="I2469">
        <v>4600</v>
      </c>
      <c r="J2469" t="s">
        <v>278</v>
      </c>
      <c r="K2469">
        <v>197.29</v>
      </c>
      <c r="L2469">
        <v>20.04</v>
      </c>
      <c r="M2469">
        <v>54251</v>
      </c>
      <c r="N2469" t="s">
        <v>485</v>
      </c>
      <c r="O2469">
        <v>250428</v>
      </c>
      <c r="P2469">
        <v>78.599999999999994</v>
      </c>
    </row>
    <row r="2470" spans="1:16" x14ac:dyDescent="0.25">
      <c r="A2470" t="s">
        <v>3296</v>
      </c>
      <c r="B2470" t="s">
        <v>2931</v>
      </c>
      <c r="C2470">
        <v>11781</v>
      </c>
      <c r="D2470" t="str">
        <f>"92057166    "</f>
        <v xml:space="preserve">92057166    </v>
      </c>
      <c r="E2470" t="s">
        <v>571</v>
      </c>
      <c r="F2470" t="s">
        <v>572</v>
      </c>
      <c r="G2470">
        <v>900.05</v>
      </c>
      <c r="H2470">
        <v>250829</v>
      </c>
      <c r="I2470">
        <v>4600</v>
      </c>
      <c r="J2470" t="s">
        <v>278</v>
      </c>
      <c r="K2470">
        <v>1800.1</v>
      </c>
      <c r="L2470">
        <v>182.88</v>
      </c>
      <c r="M2470">
        <v>54222</v>
      </c>
      <c r="N2470" t="s">
        <v>48</v>
      </c>
      <c r="O2470">
        <v>250910</v>
      </c>
      <c r="P2470">
        <v>717.17</v>
      </c>
    </row>
    <row r="2471" spans="1:16" x14ac:dyDescent="0.25">
      <c r="A2471" t="s">
        <v>3296</v>
      </c>
      <c r="B2471" t="s">
        <v>2931</v>
      </c>
      <c r="C2471">
        <v>11781</v>
      </c>
      <c r="D2471" t="str">
        <f>"92057166    "</f>
        <v xml:space="preserve">92057166    </v>
      </c>
      <c r="E2471" t="s">
        <v>571</v>
      </c>
      <c r="F2471" t="s">
        <v>572</v>
      </c>
      <c r="G2471">
        <v>900.05</v>
      </c>
      <c r="H2471">
        <v>250829</v>
      </c>
      <c r="I2471">
        <v>4600</v>
      </c>
      <c r="J2471" t="s">
        <v>278</v>
      </c>
      <c r="K2471">
        <v>1800.1</v>
      </c>
      <c r="L2471">
        <v>182.88</v>
      </c>
      <c r="M2471">
        <v>54251</v>
      </c>
      <c r="N2471" t="s">
        <v>485</v>
      </c>
      <c r="O2471">
        <v>250910</v>
      </c>
      <c r="P2471">
        <v>717.17</v>
      </c>
    </row>
    <row r="2472" spans="1:16" x14ac:dyDescent="0.25">
      <c r="A2472" t="s">
        <v>3296</v>
      </c>
      <c r="B2472" t="s">
        <v>2931</v>
      </c>
      <c r="C2472">
        <v>13986</v>
      </c>
      <c r="D2472" t="str">
        <f>"92073587    "</f>
        <v xml:space="preserve">92073587    </v>
      </c>
      <c r="E2472" t="s">
        <v>571</v>
      </c>
      <c r="F2472" t="s">
        <v>572</v>
      </c>
      <c r="G2472">
        <v>962.41</v>
      </c>
      <c r="H2472">
        <v>251002</v>
      </c>
      <c r="I2472">
        <v>4600</v>
      </c>
      <c r="J2472" t="s">
        <v>278</v>
      </c>
      <c r="K2472">
        <v>1924.81</v>
      </c>
      <c r="L2472">
        <v>195.55</v>
      </c>
      <c r="M2472">
        <v>54222</v>
      </c>
      <c r="N2472" t="s">
        <v>48</v>
      </c>
      <c r="O2472">
        <v>251021</v>
      </c>
      <c r="P2472">
        <v>766.86</v>
      </c>
    </row>
    <row r="2473" spans="1:16" x14ac:dyDescent="0.25">
      <c r="A2473" t="s">
        <v>3296</v>
      </c>
      <c r="B2473" t="s">
        <v>2931</v>
      </c>
      <c r="C2473">
        <v>13986</v>
      </c>
      <c r="D2473" t="str">
        <f>"92073587    "</f>
        <v xml:space="preserve">92073587    </v>
      </c>
      <c r="E2473" t="s">
        <v>571</v>
      </c>
      <c r="F2473" t="s">
        <v>572</v>
      </c>
      <c r="G2473">
        <v>962.4</v>
      </c>
      <c r="H2473">
        <v>251002</v>
      </c>
      <c r="I2473">
        <v>4600</v>
      </c>
      <c r="J2473" t="s">
        <v>278</v>
      </c>
      <c r="K2473">
        <v>1924.81</v>
      </c>
      <c r="L2473">
        <v>195.55</v>
      </c>
      <c r="M2473">
        <v>54251</v>
      </c>
      <c r="N2473" t="s">
        <v>485</v>
      </c>
      <c r="O2473">
        <v>251021</v>
      </c>
      <c r="P2473">
        <v>766.85</v>
      </c>
    </row>
    <row r="2474" spans="1:16" x14ac:dyDescent="0.25">
      <c r="A2474" t="s">
        <v>3296</v>
      </c>
      <c r="B2474" t="s">
        <v>2931</v>
      </c>
      <c r="C2474">
        <v>15041</v>
      </c>
      <c r="D2474" t="str">
        <f>"92083897    "</f>
        <v xml:space="preserve">92083897    </v>
      </c>
      <c r="E2474" t="s">
        <v>571</v>
      </c>
      <c r="F2474" t="s">
        <v>572</v>
      </c>
      <c r="G2474">
        <v>646.79</v>
      </c>
      <c r="H2474">
        <v>251024</v>
      </c>
      <c r="I2474">
        <v>4600</v>
      </c>
      <c r="J2474" t="s">
        <v>278</v>
      </c>
      <c r="K2474">
        <v>1293.5899999999999</v>
      </c>
      <c r="L2474">
        <v>131.41999999999999</v>
      </c>
      <c r="M2474">
        <v>54222</v>
      </c>
      <c r="N2474" t="s">
        <v>48</v>
      </c>
      <c r="O2474">
        <v>251110</v>
      </c>
      <c r="P2474">
        <v>515.37</v>
      </c>
    </row>
    <row r="2475" spans="1:16" x14ac:dyDescent="0.25">
      <c r="A2475" t="s">
        <v>3296</v>
      </c>
      <c r="B2475" t="s">
        <v>2931</v>
      </c>
      <c r="C2475">
        <v>15041</v>
      </c>
      <c r="D2475" t="str">
        <f>"92083897    "</f>
        <v xml:space="preserve">92083897    </v>
      </c>
      <c r="E2475" t="s">
        <v>571</v>
      </c>
      <c r="F2475" t="s">
        <v>572</v>
      </c>
      <c r="G2475">
        <v>646.79999999999995</v>
      </c>
      <c r="H2475">
        <v>251024</v>
      </c>
      <c r="I2475">
        <v>4600</v>
      </c>
      <c r="J2475" t="s">
        <v>278</v>
      </c>
      <c r="K2475">
        <v>1293.5899999999999</v>
      </c>
      <c r="L2475">
        <v>131.41999999999999</v>
      </c>
      <c r="M2475">
        <v>54251</v>
      </c>
      <c r="N2475" t="s">
        <v>485</v>
      </c>
      <c r="O2475">
        <v>251110</v>
      </c>
      <c r="P2475">
        <v>515.38</v>
      </c>
    </row>
    <row r="2476" spans="1:16" x14ac:dyDescent="0.25">
      <c r="A2476" t="s">
        <v>3296</v>
      </c>
      <c r="B2476" t="s">
        <v>2931</v>
      </c>
      <c r="C2476">
        <v>17660</v>
      </c>
      <c r="D2476" t="str">
        <f>"92102851    "</f>
        <v xml:space="preserve">92102851    </v>
      </c>
      <c r="E2476" t="s">
        <v>571</v>
      </c>
      <c r="F2476" t="s">
        <v>572</v>
      </c>
      <c r="G2476">
        <v>99.96</v>
      </c>
      <c r="H2476">
        <v>251204</v>
      </c>
      <c r="I2476">
        <v>4600</v>
      </c>
      <c r="J2476" t="s">
        <v>278</v>
      </c>
      <c r="K2476">
        <v>199.92</v>
      </c>
      <c r="L2476">
        <v>20.309999999999999</v>
      </c>
      <c r="M2476">
        <v>54222</v>
      </c>
      <c r="N2476" t="s">
        <v>48</v>
      </c>
      <c r="O2476">
        <v>251229</v>
      </c>
      <c r="P2476">
        <v>79.650000000000006</v>
      </c>
    </row>
    <row r="2477" spans="1:16" x14ac:dyDescent="0.25">
      <c r="A2477" t="s">
        <v>3296</v>
      </c>
      <c r="B2477" t="s">
        <v>2931</v>
      </c>
      <c r="C2477">
        <v>17660</v>
      </c>
      <c r="D2477" t="str">
        <f>"92102851    "</f>
        <v xml:space="preserve">92102851    </v>
      </c>
      <c r="E2477" t="s">
        <v>571</v>
      </c>
      <c r="F2477" t="s">
        <v>572</v>
      </c>
      <c r="G2477">
        <v>99.96</v>
      </c>
      <c r="H2477">
        <v>251204</v>
      </c>
      <c r="I2477">
        <v>4600</v>
      </c>
      <c r="J2477" t="s">
        <v>278</v>
      </c>
      <c r="K2477">
        <v>199.92</v>
      </c>
      <c r="L2477">
        <v>20.309999999999999</v>
      </c>
      <c r="M2477">
        <v>54251</v>
      </c>
      <c r="N2477" t="s">
        <v>485</v>
      </c>
      <c r="O2477">
        <v>251229</v>
      </c>
      <c r="P2477">
        <v>79.650000000000006</v>
      </c>
    </row>
    <row r="2478" spans="1:16" x14ac:dyDescent="0.25">
      <c r="A2478" t="s">
        <v>3296</v>
      </c>
      <c r="B2478" t="s">
        <v>2931</v>
      </c>
      <c r="C2478">
        <v>1886</v>
      </c>
      <c r="D2478" t="str">
        <f>"509556592   "</f>
        <v xml:space="preserve">509556592   </v>
      </c>
      <c r="E2478" t="s">
        <v>2836</v>
      </c>
      <c r="F2478" t="s">
        <v>2837</v>
      </c>
      <c r="G2478">
        <v>677.69</v>
      </c>
      <c r="H2478">
        <v>250301</v>
      </c>
      <c r="I2478">
        <v>4369</v>
      </c>
      <c r="J2478" t="s">
        <v>188</v>
      </c>
      <c r="K2478">
        <v>693.22</v>
      </c>
      <c r="L2478">
        <v>137.69999999999999</v>
      </c>
      <c r="M2478">
        <v>16431</v>
      </c>
      <c r="N2478" t="s">
        <v>17</v>
      </c>
      <c r="O2478">
        <v>250214</v>
      </c>
      <c r="P2478">
        <v>539.99</v>
      </c>
    </row>
    <row r="2479" spans="1:16" x14ac:dyDescent="0.25">
      <c r="A2479" t="s">
        <v>3296</v>
      </c>
      <c r="B2479" t="s">
        <v>2931</v>
      </c>
      <c r="C2479">
        <v>1886</v>
      </c>
      <c r="D2479" t="str">
        <f>"509556592   "</f>
        <v xml:space="preserve">509556592   </v>
      </c>
      <c r="E2479" t="s">
        <v>2836</v>
      </c>
      <c r="F2479" t="s">
        <v>2837</v>
      </c>
      <c r="G2479">
        <v>15.53</v>
      </c>
      <c r="H2479">
        <v>250301</v>
      </c>
      <c r="I2479">
        <v>4370</v>
      </c>
      <c r="J2479" t="s">
        <v>198</v>
      </c>
      <c r="K2479">
        <v>693.22</v>
      </c>
      <c r="L2479">
        <v>0</v>
      </c>
      <c r="M2479">
        <v>16431</v>
      </c>
      <c r="N2479" t="s">
        <v>17</v>
      </c>
      <c r="O2479">
        <v>250214</v>
      </c>
      <c r="P2479">
        <v>15.53</v>
      </c>
    </row>
    <row r="2480" spans="1:16" x14ac:dyDescent="0.25">
      <c r="A2480" t="s">
        <v>3296</v>
      </c>
      <c r="B2480" t="s">
        <v>2931</v>
      </c>
      <c r="C2480">
        <v>7094</v>
      </c>
      <c r="D2480" t="str">
        <f>"510743996   "</f>
        <v xml:space="preserve">510743996   </v>
      </c>
      <c r="E2480" t="s">
        <v>2836</v>
      </c>
      <c r="F2480" t="s">
        <v>2837</v>
      </c>
      <c r="G2480">
        <v>15.53</v>
      </c>
      <c r="H2480">
        <v>250601</v>
      </c>
      <c r="I2480">
        <v>4370</v>
      </c>
      <c r="J2480" t="s">
        <v>198</v>
      </c>
      <c r="K2480">
        <v>693.22</v>
      </c>
      <c r="L2480">
        <v>0</v>
      </c>
      <c r="M2480">
        <v>16431</v>
      </c>
      <c r="N2480" t="s">
        <v>17</v>
      </c>
      <c r="O2480">
        <v>250522</v>
      </c>
      <c r="P2480">
        <v>15.53</v>
      </c>
    </row>
    <row r="2481" spans="1:16" x14ac:dyDescent="0.25">
      <c r="A2481" t="s">
        <v>3296</v>
      </c>
      <c r="B2481" t="s">
        <v>2931</v>
      </c>
      <c r="C2481">
        <v>14881</v>
      </c>
      <c r="D2481" t="str">
        <f>"513030392   "</f>
        <v xml:space="preserve">513030392   </v>
      </c>
      <c r="E2481" t="s">
        <v>2836</v>
      </c>
      <c r="F2481" t="s">
        <v>2837</v>
      </c>
      <c r="G2481">
        <v>15.53</v>
      </c>
      <c r="H2481">
        <v>251201</v>
      </c>
      <c r="I2481">
        <v>4370</v>
      </c>
      <c r="J2481" t="s">
        <v>198</v>
      </c>
      <c r="K2481">
        <v>693.22</v>
      </c>
      <c r="L2481">
        <v>0</v>
      </c>
      <c r="M2481">
        <v>16431</v>
      </c>
      <c r="N2481" t="s">
        <v>17</v>
      </c>
      <c r="O2481">
        <v>251107</v>
      </c>
      <c r="P2481">
        <v>15.53</v>
      </c>
    </row>
    <row r="2482" spans="1:16" x14ac:dyDescent="0.25">
      <c r="A2482" t="s">
        <v>3296</v>
      </c>
      <c r="B2482" t="s">
        <v>2931</v>
      </c>
      <c r="C2482">
        <v>7094</v>
      </c>
      <c r="D2482" t="str">
        <f>"510743996   "</f>
        <v xml:space="preserve">510743996   </v>
      </c>
      <c r="E2482" t="s">
        <v>2836</v>
      </c>
      <c r="F2482" t="s">
        <v>2837</v>
      </c>
      <c r="G2482">
        <v>677.69</v>
      </c>
      <c r="H2482">
        <v>250601</v>
      </c>
      <c r="I2482">
        <v>4842</v>
      </c>
      <c r="J2482" t="s">
        <v>15</v>
      </c>
      <c r="K2482">
        <v>693.22</v>
      </c>
      <c r="L2482">
        <v>137.69999999999999</v>
      </c>
      <c r="M2482">
        <v>16431</v>
      </c>
      <c r="N2482" t="s">
        <v>17</v>
      </c>
      <c r="O2482">
        <v>250522</v>
      </c>
      <c r="P2482">
        <v>539.99</v>
      </c>
    </row>
    <row r="2483" spans="1:16" x14ac:dyDescent="0.25">
      <c r="A2483" t="s">
        <v>3296</v>
      </c>
      <c r="B2483" t="s">
        <v>2931</v>
      </c>
      <c r="C2483">
        <v>10603</v>
      </c>
      <c r="D2483" t="str">
        <f>"511887990   "</f>
        <v xml:space="preserve">511887990   </v>
      </c>
      <c r="E2483" t="s">
        <v>2836</v>
      </c>
      <c r="F2483" t="s">
        <v>2837</v>
      </c>
      <c r="G2483">
        <v>693.22</v>
      </c>
      <c r="H2483">
        <v>250901</v>
      </c>
      <c r="I2483">
        <v>4842</v>
      </c>
      <c r="J2483" t="s">
        <v>15</v>
      </c>
      <c r="K2483">
        <v>693.22</v>
      </c>
      <c r="L2483">
        <v>140.85</v>
      </c>
      <c r="M2483">
        <v>16442</v>
      </c>
      <c r="N2483" t="s">
        <v>304</v>
      </c>
      <c r="O2483">
        <v>250820</v>
      </c>
      <c r="P2483">
        <v>552.37</v>
      </c>
    </row>
    <row r="2484" spans="1:16" x14ac:dyDescent="0.25">
      <c r="A2484" t="s">
        <v>3296</v>
      </c>
      <c r="B2484" t="s">
        <v>2931</v>
      </c>
      <c r="C2484">
        <v>14881</v>
      </c>
      <c r="D2484" t="str">
        <f>"513030392   "</f>
        <v xml:space="preserve">513030392   </v>
      </c>
      <c r="E2484" t="s">
        <v>2836</v>
      </c>
      <c r="F2484" t="s">
        <v>2837</v>
      </c>
      <c r="G2484">
        <v>233.43</v>
      </c>
      <c r="H2484">
        <v>251201</v>
      </c>
      <c r="I2484">
        <v>4842</v>
      </c>
      <c r="J2484" t="s">
        <v>15</v>
      </c>
      <c r="K2484">
        <v>693.22</v>
      </c>
      <c r="L2484">
        <v>47.43</v>
      </c>
      <c r="M2484">
        <v>16431</v>
      </c>
      <c r="N2484" t="s">
        <v>17</v>
      </c>
      <c r="O2484">
        <v>251107</v>
      </c>
      <c r="P2484">
        <v>186</v>
      </c>
    </row>
    <row r="2485" spans="1:16" x14ac:dyDescent="0.25">
      <c r="A2485" t="s">
        <v>3296</v>
      </c>
      <c r="B2485" t="s">
        <v>2931</v>
      </c>
      <c r="C2485">
        <v>1430</v>
      </c>
      <c r="D2485" t="str">
        <f>"6067012585  "</f>
        <v xml:space="preserve">6067012585  </v>
      </c>
      <c r="E2485" t="s">
        <v>980</v>
      </c>
      <c r="F2485" t="s">
        <v>981</v>
      </c>
      <c r="G2485">
        <v>313</v>
      </c>
      <c r="H2485">
        <v>250131</v>
      </c>
      <c r="I2485">
        <v>4470</v>
      </c>
      <c r="J2485" t="s">
        <v>203</v>
      </c>
      <c r="K2485">
        <v>313</v>
      </c>
      <c r="L2485">
        <v>63.6</v>
      </c>
      <c r="M2485">
        <v>56568</v>
      </c>
      <c r="N2485" t="s">
        <v>354</v>
      </c>
      <c r="O2485">
        <v>250210</v>
      </c>
      <c r="P2485">
        <v>249.4</v>
      </c>
    </row>
    <row r="2486" spans="1:16" x14ac:dyDescent="0.25">
      <c r="A2486" t="s">
        <v>3296</v>
      </c>
      <c r="B2486" t="s">
        <v>2931</v>
      </c>
      <c r="C2486">
        <v>3026</v>
      </c>
      <c r="D2486" t="str">
        <f>"6067014457  "</f>
        <v xml:space="preserve">6067014457  </v>
      </c>
      <c r="E2486" t="s">
        <v>980</v>
      </c>
      <c r="F2486" t="s">
        <v>981</v>
      </c>
      <c r="G2486">
        <v>438.01</v>
      </c>
      <c r="H2486">
        <v>250228</v>
      </c>
      <c r="I2486">
        <v>4470</v>
      </c>
      <c r="J2486" t="s">
        <v>203</v>
      </c>
      <c r="K2486">
        <v>438.01</v>
      </c>
      <c r="L2486">
        <v>89</v>
      </c>
      <c r="M2486">
        <v>56568</v>
      </c>
      <c r="N2486" t="s">
        <v>354</v>
      </c>
      <c r="O2486">
        <v>250314</v>
      </c>
      <c r="P2486">
        <v>349.01</v>
      </c>
    </row>
    <row r="2487" spans="1:16" x14ac:dyDescent="0.25">
      <c r="A2487" t="s">
        <v>3296</v>
      </c>
      <c r="B2487" t="s">
        <v>2931</v>
      </c>
      <c r="C2487">
        <v>3639</v>
      </c>
      <c r="D2487" t="str">
        <f>"6067015348  "</f>
        <v xml:space="preserve">6067015348  </v>
      </c>
      <c r="E2487" t="s">
        <v>980</v>
      </c>
      <c r="F2487" t="s">
        <v>981</v>
      </c>
      <c r="G2487">
        <v>145.99</v>
      </c>
      <c r="H2487">
        <v>250317</v>
      </c>
      <c r="I2487">
        <v>4470</v>
      </c>
      <c r="J2487" t="s">
        <v>203</v>
      </c>
      <c r="K2487">
        <v>145.99</v>
      </c>
      <c r="L2487">
        <v>29.66</v>
      </c>
      <c r="M2487">
        <v>56568</v>
      </c>
      <c r="N2487" t="s">
        <v>354</v>
      </c>
      <c r="O2487">
        <v>250327</v>
      </c>
      <c r="P2487">
        <v>116.33</v>
      </c>
    </row>
    <row r="2488" spans="1:16" x14ac:dyDescent="0.25">
      <c r="A2488" t="s">
        <v>3296</v>
      </c>
      <c r="B2488" t="s">
        <v>2931</v>
      </c>
      <c r="C2488">
        <v>4554</v>
      </c>
      <c r="D2488" t="str">
        <f>"6067016557  "</f>
        <v xml:space="preserve">6067016557  </v>
      </c>
      <c r="E2488" t="s">
        <v>980</v>
      </c>
      <c r="F2488" t="s">
        <v>981</v>
      </c>
      <c r="G2488">
        <v>75</v>
      </c>
      <c r="H2488">
        <v>250331</v>
      </c>
      <c r="I2488">
        <v>4470</v>
      </c>
      <c r="J2488" t="s">
        <v>203</v>
      </c>
      <c r="K2488">
        <v>75</v>
      </c>
      <c r="L2488">
        <v>15.24</v>
      </c>
      <c r="M2488">
        <v>56568</v>
      </c>
      <c r="N2488" t="s">
        <v>354</v>
      </c>
      <c r="O2488">
        <v>250414</v>
      </c>
      <c r="P2488">
        <v>59.76</v>
      </c>
    </row>
    <row r="2489" spans="1:16" x14ac:dyDescent="0.25">
      <c r="A2489" t="s">
        <v>3296</v>
      </c>
      <c r="B2489" t="s">
        <v>2931</v>
      </c>
      <c r="C2489">
        <v>5465</v>
      </c>
      <c r="D2489" t="str">
        <f>"6067017577  "</f>
        <v xml:space="preserve">6067017577  </v>
      </c>
      <c r="E2489" t="s">
        <v>980</v>
      </c>
      <c r="F2489" t="s">
        <v>981</v>
      </c>
      <c r="G2489">
        <v>245</v>
      </c>
      <c r="H2489">
        <v>250416</v>
      </c>
      <c r="I2489">
        <v>4470</v>
      </c>
      <c r="J2489" t="s">
        <v>203</v>
      </c>
      <c r="K2489">
        <v>245</v>
      </c>
      <c r="L2489">
        <v>49.78</v>
      </c>
      <c r="M2489">
        <v>56568</v>
      </c>
      <c r="N2489" t="s">
        <v>354</v>
      </c>
      <c r="O2489">
        <v>250424</v>
      </c>
      <c r="P2489">
        <v>195.22</v>
      </c>
    </row>
    <row r="2490" spans="1:16" x14ac:dyDescent="0.25">
      <c r="A2490" t="s">
        <v>3296</v>
      </c>
      <c r="B2490" t="s">
        <v>2931</v>
      </c>
      <c r="C2490">
        <v>6263</v>
      </c>
      <c r="D2490" t="str">
        <f>"6067018631  "</f>
        <v xml:space="preserve">6067018631  </v>
      </c>
      <c r="E2490" t="s">
        <v>980</v>
      </c>
      <c r="F2490" t="s">
        <v>981</v>
      </c>
      <c r="G2490">
        <v>341</v>
      </c>
      <c r="H2490">
        <v>250430</v>
      </c>
      <c r="I2490">
        <v>4470</v>
      </c>
      <c r="J2490" t="s">
        <v>203</v>
      </c>
      <c r="K2490">
        <v>341</v>
      </c>
      <c r="L2490">
        <v>69.290000000000006</v>
      </c>
      <c r="M2490">
        <v>56568</v>
      </c>
      <c r="N2490" t="s">
        <v>354</v>
      </c>
      <c r="O2490">
        <v>250512</v>
      </c>
      <c r="P2490">
        <v>271.70999999999998</v>
      </c>
    </row>
    <row r="2491" spans="1:16" x14ac:dyDescent="0.25">
      <c r="A2491" t="s">
        <v>3296</v>
      </c>
      <c r="B2491" t="s">
        <v>2931</v>
      </c>
      <c r="C2491">
        <v>7001</v>
      </c>
      <c r="D2491" t="str">
        <f>"6067019676  "</f>
        <v xml:space="preserve">6067019676  </v>
      </c>
      <c r="E2491" t="s">
        <v>980</v>
      </c>
      <c r="F2491" t="s">
        <v>981</v>
      </c>
      <c r="G2491">
        <v>245</v>
      </c>
      <c r="H2491">
        <v>250516</v>
      </c>
      <c r="I2491">
        <v>4470</v>
      </c>
      <c r="J2491" t="s">
        <v>203</v>
      </c>
      <c r="K2491">
        <v>245</v>
      </c>
      <c r="L2491">
        <v>49.78</v>
      </c>
      <c r="M2491">
        <v>56568</v>
      </c>
      <c r="N2491" t="s">
        <v>354</v>
      </c>
      <c r="O2491">
        <v>250521</v>
      </c>
      <c r="P2491">
        <v>195.22</v>
      </c>
    </row>
    <row r="2492" spans="1:16" x14ac:dyDescent="0.25">
      <c r="A2492" t="s">
        <v>3296</v>
      </c>
      <c r="B2492" t="s">
        <v>2931</v>
      </c>
      <c r="C2492">
        <v>8158</v>
      </c>
      <c r="D2492" t="str">
        <f>"6067020798  "</f>
        <v xml:space="preserve">6067020798  </v>
      </c>
      <c r="E2492" t="s">
        <v>980</v>
      </c>
      <c r="F2492" t="s">
        <v>981</v>
      </c>
      <c r="G2492">
        <v>297.99</v>
      </c>
      <c r="H2492">
        <v>250531</v>
      </c>
      <c r="I2492">
        <v>4470</v>
      </c>
      <c r="J2492" t="s">
        <v>203</v>
      </c>
      <c r="K2492">
        <v>297.99</v>
      </c>
      <c r="L2492">
        <v>60.55</v>
      </c>
      <c r="M2492">
        <v>56568</v>
      </c>
      <c r="N2492" t="s">
        <v>354</v>
      </c>
      <c r="O2492">
        <v>250611</v>
      </c>
      <c r="P2492">
        <v>237.44</v>
      </c>
    </row>
    <row r="2493" spans="1:16" x14ac:dyDescent="0.25">
      <c r="A2493" t="s">
        <v>3296</v>
      </c>
      <c r="B2493" t="s">
        <v>2931</v>
      </c>
      <c r="C2493">
        <v>10547</v>
      </c>
      <c r="D2493" t="str">
        <f>"6067026138  "</f>
        <v xml:space="preserve">6067026138  </v>
      </c>
      <c r="E2493" t="s">
        <v>980</v>
      </c>
      <c r="F2493" t="s">
        <v>981</v>
      </c>
      <c r="G2493">
        <v>31</v>
      </c>
      <c r="H2493">
        <v>250818</v>
      </c>
      <c r="I2493">
        <v>4470</v>
      </c>
      <c r="J2493" t="s">
        <v>203</v>
      </c>
      <c r="K2493">
        <v>31</v>
      </c>
      <c r="L2493">
        <v>6.3</v>
      </c>
      <c r="M2493">
        <v>56568</v>
      </c>
      <c r="N2493" t="s">
        <v>354</v>
      </c>
      <c r="O2493">
        <v>250820</v>
      </c>
      <c r="P2493">
        <v>24.7</v>
      </c>
    </row>
    <row r="2494" spans="1:16" x14ac:dyDescent="0.25">
      <c r="A2494" t="s">
        <v>3296</v>
      </c>
      <c r="B2494" t="s">
        <v>2931</v>
      </c>
      <c r="C2494">
        <v>11331</v>
      </c>
      <c r="D2494" t="str">
        <f>"6067027348  "</f>
        <v xml:space="preserve">6067027348  </v>
      </c>
      <c r="E2494" t="s">
        <v>980</v>
      </c>
      <c r="F2494" t="s">
        <v>981</v>
      </c>
      <c r="G2494">
        <v>266</v>
      </c>
      <c r="H2494">
        <v>250831</v>
      </c>
      <c r="I2494">
        <v>4470</v>
      </c>
      <c r="J2494" t="s">
        <v>203</v>
      </c>
      <c r="K2494">
        <v>266</v>
      </c>
      <c r="L2494">
        <v>54.05</v>
      </c>
      <c r="M2494">
        <v>56568</v>
      </c>
      <c r="N2494" t="s">
        <v>354</v>
      </c>
      <c r="O2494">
        <v>250903</v>
      </c>
      <c r="P2494">
        <v>211.95</v>
      </c>
    </row>
    <row r="2495" spans="1:16" x14ac:dyDescent="0.25">
      <c r="A2495" t="s">
        <v>3296</v>
      </c>
      <c r="B2495" t="s">
        <v>2931</v>
      </c>
      <c r="C2495">
        <v>12526</v>
      </c>
      <c r="D2495" t="str">
        <f>"6067028365  "</f>
        <v xml:space="preserve">6067028365  </v>
      </c>
      <c r="E2495" t="s">
        <v>980</v>
      </c>
      <c r="F2495" t="s">
        <v>981</v>
      </c>
      <c r="G2495">
        <v>51.99</v>
      </c>
      <c r="H2495">
        <v>250916</v>
      </c>
      <c r="I2495">
        <v>4470</v>
      </c>
      <c r="J2495" t="s">
        <v>203</v>
      </c>
      <c r="K2495">
        <v>51.99</v>
      </c>
      <c r="L2495">
        <v>10.56</v>
      </c>
      <c r="M2495">
        <v>56568</v>
      </c>
      <c r="N2495" t="s">
        <v>354</v>
      </c>
      <c r="O2495">
        <v>250926</v>
      </c>
      <c r="P2495">
        <v>41.43</v>
      </c>
    </row>
    <row r="2496" spans="1:16" x14ac:dyDescent="0.25">
      <c r="A2496" t="s">
        <v>3296</v>
      </c>
      <c r="B2496" t="s">
        <v>2931</v>
      </c>
      <c r="C2496">
        <v>13016</v>
      </c>
      <c r="D2496" t="str">
        <f>"6067029469  "</f>
        <v xml:space="preserve">6067029469  </v>
      </c>
      <c r="E2496" t="s">
        <v>980</v>
      </c>
      <c r="F2496" t="s">
        <v>981</v>
      </c>
      <c r="G2496">
        <v>151</v>
      </c>
      <c r="H2496">
        <v>250930</v>
      </c>
      <c r="I2496">
        <v>4470</v>
      </c>
      <c r="J2496" t="s">
        <v>203</v>
      </c>
      <c r="K2496">
        <v>151</v>
      </c>
      <c r="L2496">
        <v>30.68</v>
      </c>
      <c r="M2496">
        <v>56568</v>
      </c>
      <c r="N2496" t="s">
        <v>354</v>
      </c>
      <c r="O2496">
        <v>251003</v>
      </c>
      <c r="P2496">
        <v>120.32</v>
      </c>
    </row>
    <row r="2497" spans="1:16" x14ac:dyDescent="0.25">
      <c r="A2497" t="s">
        <v>3296</v>
      </c>
      <c r="B2497" t="s">
        <v>2931</v>
      </c>
      <c r="C2497">
        <v>13975</v>
      </c>
      <c r="D2497" t="str">
        <f>"6067030607  "</f>
        <v xml:space="preserve">6067030607  </v>
      </c>
      <c r="E2497" t="s">
        <v>980</v>
      </c>
      <c r="F2497" t="s">
        <v>981</v>
      </c>
      <c r="G2497">
        <v>125</v>
      </c>
      <c r="H2497">
        <v>251017</v>
      </c>
      <c r="I2497">
        <v>4470</v>
      </c>
      <c r="J2497" t="s">
        <v>203</v>
      </c>
      <c r="K2497">
        <v>125</v>
      </c>
      <c r="L2497">
        <v>25.4</v>
      </c>
      <c r="M2497">
        <v>56568</v>
      </c>
      <c r="N2497" t="s">
        <v>354</v>
      </c>
      <c r="O2497">
        <v>251021</v>
      </c>
      <c r="P2497">
        <v>99.6</v>
      </c>
    </row>
    <row r="2498" spans="1:16" x14ac:dyDescent="0.25">
      <c r="A2498" t="s">
        <v>3296</v>
      </c>
      <c r="B2498" t="s">
        <v>2931</v>
      </c>
      <c r="C2498">
        <v>14714</v>
      </c>
      <c r="D2498" t="str">
        <f>"6067031837  "</f>
        <v xml:space="preserve">6067031837  </v>
      </c>
      <c r="E2498" t="s">
        <v>980</v>
      </c>
      <c r="F2498" t="s">
        <v>981</v>
      </c>
      <c r="G2498">
        <v>198</v>
      </c>
      <c r="H2498">
        <v>251031</v>
      </c>
      <c r="I2498">
        <v>4470</v>
      </c>
      <c r="J2498" t="s">
        <v>203</v>
      </c>
      <c r="K2498">
        <v>198</v>
      </c>
      <c r="L2498">
        <v>40.229999999999997</v>
      </c>
      <c r="M2498">
        <v>56568</v>
      </c>
      <c r="N2498" t="s">
        <v>354</v>
      </c>
      <c r="O2498">
        <v>251106</v>
      </c>
      <c r="P2498">
        <v>157.77000000000001</v>
      </c>
    </row>
    <row r="2499" spans="1:16" x14ac:dyDescent="0.25">
      <c r="A2499" t="s">
        <v>3296</v>
      </c>
      <c r="B2499" t="s">
        <v>2931</v>
      </c>
      <c r="C2499">
        <v>15490</v>
      </c>
      <c r="D2499" t="str">
        <f>"6067032805  "</f>
        <v xml:space="preserve">6067032805  </v>
      </c>
      <c r="E2499" t="s">
        <v>980</v>
      </c>
      <c r="F2499" t="s">
        <v>981</v>
      </c>
      <c r="G2499">
        <v>367</v>
      </c>
      <c r="H2499">
        <v>251117</v>
      </c>
      <c r="I2499">
        <v>4470</v>
      </c>
      <c r="J2499" t="s">
        <v>203</v>
      </c>
      <c r="K2499">
        <v>367</v>
      </c>
      <c r="L2499">
        <v>74.569999999999993</v>
      </c>
      <c r="M2499">
        <v>56568</v>
      </c>
      <c r="N2499" t="s">
        <v>354</v>
      </c>
      <c r="O2499">
        <v>251121</v>
      </c>
      <c r="P2499">
        <v>292.43</v>
      </c>
    </row>
    <row r="2500" spans="1:16" x14ac:dyDescent="0.25">
      <c r="A2500" t="s">
        <v>3296</v>
      </c>
      <c r="B2500" t="s">
        <v>2931</v>
      </c>
      <c r="C2500">
        <v>16194</v>
      </c>
      <c r="D2500" t="str">
        <f>"6067033784  "</f>
        <v xml:space="preserve">6067033784  </v>
      </c>
      <c r="E2500" t="s">
        <v>980</v>
      </c>
      <c r="F2500" t="s">
        <v>981</v>
      </c>
      <c r="G2500">
        <v>360</v>
      </c>
      <c r="H2500">
        <v>251130</v>
      </c>
      <c r="I2500">
        <v>4470</v>
      </c>
      <c r="J2500" t="s">
        <v>203</v>
      </c>
      <c r="K2500">
        <v>360</v>
      </c>
      <c r="L2500">
        <v>73.150000000000006</v>
      </c>
      <c r="M2500">
        <v>56568</v>
      </c>
      <c r="N2500" t="s">
        <v>354</v>
      </c>
      <c r="O2500">
        <v>251204</v>
      </c>
      <c r="P2500">
        <v>286.85000000000002</v>
      </c>
    </row>
    <row r="2501" spans="1:16" x14ac:dyDescent="0.25">
      <c r="A2501" t="s">
        <v>3296</v>
      </c>
      <c r="B2501" t="s">
        <v>2931</v>
      </c>
      <c r="C2501">
        <v>17481</v>
      </c>
      <c r="D2501" t="str">
        <f>"6067034854  "</f>
        <v xml:space="preserve">6067034854  </v>
      </c>
      <c r="E2501" t="s">
        <v>980</v>
      </c>
      <c r="F2501" t="s">
        <v>981</v>
      </c>
      <c r="G2501">
        <v>292</v>
      </c>
      <c r="H2501">
        <v>251216</v>
      </c>
      <c r="I2501">
        <v>4470</v>
      </c>
      <c r="J2501" t="s">
        <v>203</v>
      </c>
      <c r="K2501">
        <v>292</v>
      </c>
      <c r="L2501">
        <v>59.33</v>
      </c>
      <c r="M2501">
        <v>56568</v>
      </c>
      <c r="N2501" t="s">
        <v>354</v>
      </c>
      <c r="O2501">
        <v>251222</v>
      </c>
      <c r="P2501">
        <v>232.67</v>
      </c>
    </row>
    <row r="2502" spans="1:16" x14ac:dyDescent="0.25">
      <c r="A2502" t="s">
        <v>3296</v>
      </c>
      <c r="B2502" t="s">
        <v>2931</v>
      </c>
      <c r="C2502">
        <v>18087</v>
      </c>
      <c r="D2502" t="str">
        <f>"6067035680  "</f>
        <v xml:space="preserve">6067035680  </v>
      </c>
      <c r="E2502" t="s">
        <v>980</v>
      </c>
      <c r="F2502" t="s">
        <v>981</v>
      </c>
      <c r="G2502">
        <v>31</v>
      </c>
      <c r="H2502">
        <v>251231</v>
      </c>
      <c r="I2502">
        <v>4470</v>
      </c>
      <c r="J2502" t="s">
        <v>203</v>
      </c>
      <c r="K2502">
        <v>31</v>
      </c>
      <c r="L2502">
        <v>6.3</v>
      </c>
      <c r="M2502">
        <v>56568</v>
      </c>
      <c r="N2502" t="s">
        <v>354</v>
      </c>
      <c r="O2502">
        <v>260108</v>
      </c>
      <c r="P2502">
        <v>24.7</v>
      </c>
    </row>
    <row r="2503" spans="1:16" x14ac:dyDescent="0.25">
      <c r="A2503" t="s">
        <v>3296</v>
      </c>
      <c r="B2503" t="s">
        <v>2931</v>
      </c>
      <c r="C2503">
        <v>1531</v>
      </c>
      <c r="D2503" t="str">
        <f>"2138881532  "</f>
        <v xml:space="preserve">2138881532  </v>
      </c>
      <c r="E2503" t="s">
        <v>1026</v>
      </c>
      <c r="F2503" t="s">
        <v>1027</v>
      </c>
      <c r="G2503">
        <v>3555.69</v>
      </c>
      <c r="H2503">
        <v>250131</v>
      </c>
      <c r="I2503">
        <v>4400</v>
      </c>
      <c r="J2503" t="s">
        <v>162</v>
      </c>
      <c r="K2503">
        <v>3555.69</v>
      </c>
      <c r="L2503">
        <v>722.47</v>
      </c>
      <c r="M2503">
        <v>67554</v>
      </c>
      <c r="N2503" t="s">
        <v>317</v>
      </c>
      <c r="O2503">
        <v>250211</v>
      </c>
      <c r="P2503">
        <v>2833.22</v>
      </c>
    </row>
    <row r="2504" spans="1:16" x14ac:dyDescent="0.25">
      <c r="A2504" t="s">
        <v>3296</v>
      </c>
      <c r="B2504" t="s">
        <v>2931</v>
      </c>
      <c r="C2504">
        <v>2779</v>
      </c>
      <c r="D2504" t="str">
        <f>"2138883911  "</f>
        <v xml:space="preserve">2138883911  </v>
      </c>
      <c r="E2504" t="s">
        <v>1026</v>
      </c>
      <c r="F2504" t="s">
        <v>1027</v>
      </c>
      <c r="G2504">
        <v>2452.56</v>
      </c>
      <c r="H2504">
        <v>250228</v>
      </c>
      <c r="I2504">
        <v>4400</v>
      </c>
      <c r="J2504" t="s">
        <v>162</v>
      </c>
      <c r="K2504">
        <v>2452.56</v>
      </c>
      <c r="L2504">
        <v>498.33</v>
      </c>
      <c r="M2504">
        <v>67554</v>
      </c>
      <c r="N2504" t="s">
        <v>317</v>
      </c>
      <c r="O2504">
        <v>250312</v>
      </c>
      <c r="P2504">
        <v>1954.23</v>
      </c>
    </row>
    <row r="2505" spans="1:16" x14ac:dyDescent="0.25">
      <c r="A2505" t="s">
        <v>3296</v>
      </c>
      <c r="B2505" t="s">
        <v>2931</v>
      </c>
      <c r="C2505">
        <v>3634</v>
      </c>
      <c r="D2505" t="str">
        <f>"2138885076  "</f>
        <v xml:space="preserve">2138885076  </v>
      </c>
      <c r="E2505" t="s">
        <v>1026</v>
      </c>
      <c r="F2505" t="s">
        <v>1027</v>
      </c>
      <c r="G2505">
        <v>663.9</v>
      </c>
      <c r="H2505">
        <v>250314</v>
      </c>
      <c r="I2505">
        <v>4400</v>
      </c>
      <c r="J2505" t="s">
        <v>162</v>
      </c>
      <c r="K2505">
        <v>663.9</v>
      </c>
      <c r="L2505">
        <v>134.9</v>
      </c>
      <c r="M2505">
        <v>17737</v>
      </c>
      <c r="N2505" t="s">
        <v>156</v>
      </c>
      <c r="O2505">
        <v>250327</v>
      </c>
      <c r="P2505">
        <v>529</v>
      </c>
    </row>
    <row r="2506" spans="1:16" x14ac:dyDescent="0.25">
      <c r="A2506" t="s">
        <v>3296</v>
      </c>
      <c r="B2506" t="s">
        <v>2931</v>
      </c>
      <c r="C2506">
        <v>4299</v>
      </c>
      <c r="D2506" t="str">
        <f>"2138886227  "</f>
        <v xml:space="preserve">2138886227  </v>
      </c>
      <c r="E2506" t="s">
        <v>1026</v>
      </c>
      <c r="F2506" t="s">
        <v>1027</v>
      </c>
      <c r="G2506">
        <v>1273.98</v>
      </c>
      <c r="H2506">
        <v>250328</v>
      </c>
      <c r="I2506">
        <v>4400</v>
      </c>
      <c r="J2506" t="s">
        <v>162</v>
      </c>
      <c r="K2506">
        <v>1273.98</v>
      </c>
      <c r="L2506">
        <v>258.86</v>
      </c>
      <c r="M2506">
        <v>67554</v>
      </c>
      <c r="N2506" t="s">
        <v>317</v>
      </c>
      <c r="O2506">
        <v>250410</v>
      </c>
      <c r="P2506">
        <v>1015.12</v>
      </c>
    </row>
    <row r="2507" spans="1:16" x14ac:dyDescent="0.25">
      <c r="A2507" t="s">
        <v>3296</v>
      </c>
      <c r="B2507" t="s">
        <v>2931</v>
      </c>
      <c r="C2507">
        <v>4649</v>
      </c>
      <c r="D2507" t="str">
        <f>"2138887035  "</f>
        <v xml:space="preserve">2138887035  </v>
      </c>
      <c r="E2507" t="s">
        <v>1026</v>
      </c>
      <c r="F2507" t="s">
        <v>1027</v>
      </c>
      <c r="G2507">
        <v>3555.74</v>
      </c>
      <c r="H2507">
        <v>250402</v>
      </c>
      <c r="I2507">
        <v>4400</v>
      </c>
      <c r="J2507" t="s">
        <v>162</v>
      </c>
      <c r="K2507">
        <v>3555.74</v>
      </c>
      <c r="L2507">
        <v>722.48</v>
      </c>
      <c r="M2507">
        <v>67554</v>
      </c>
      <c r="N2507" t="s">
        <v>317</v>
      </c>
      <c r="O2507">
        <v>250414</v>
      </c>
      <c r="P2507">
        <v>2833.26</v>
      </c>
    </row>
    <row r="2508" spans="1:16" x14ac:dyDescent="0.25">
      <c r="A2508" t="s">
        <v>3296</v>
      </c>
      <c r="B2508" t="s">
        <v>2931</v>
      </c>
      <c r="C2508">
        <v>7099</v>
      </c>
      <c r="D2508" t="str">
        <f>"2138890267  "</f>
        <v xml:space="preserve">2138890267  </v>
      </c>
      <c r="E2508" t="s">
        <v>1026</v>
      </c>
      <c r="F2508" t="s">
        <v>1027</v>
      </c>
      <c r="G2508">
        <v>188.25</v>
      </c>
      <c r="H2508">
        <v>250520</v>
      </c>
      <c r="I2508">
        <v>4400</v>
      </c>
      <c r="J2508" t="s">
        <v>162</v>
      </c>
      <c r="K2508">
        <v>188.25</v>
      </c>
      <c r="L2508">
        <v>38.25</v>
      </c>
      <c r="M2508">
        <v>67554</v>
      </c>
      <c r="N2508" t="s">
        <v>317</v>
      </c>
      <c r="O2508">
        <v>250522</v>
      </c>
      <c r="P2508">
        <v>150</v>
      </c>
    </row>
    <row r="2509" spans="1:16" x14ac:dyDescent="0.25">
      <c r="A2509" t="s">
        <v>3296</v>
      </c>
      <c r="B2509" t="s">
        <v>2931</v>
      </c>
      <c r="C2509">
        <v>8077</v>
      </c>
      <c r="D2509" t="str">
        <f>"2138891514  "</f>
        <v xml:space="preserve">2138891514  </v>
      </c>
      <c r="E2509" t="s">
        <v>1026</v>
      </c>
      <c r="F2509" t="s">
        <v>1027</v>
      </c>
      <c r="G2509">
        <v>476.4</v>
      </c>
      <c r="H2509">
        <v>250529</v>
      </c>
      <c r="I2509">
        <v>4400</v>
      </c>
      <c r="J2509" t="s">
        <v>162</v>
      </c>
      <c r="K2509">
        <v>476.4</v>
      </c>
      <c r="L2509">
        <v>96.8</v>
      </c>
      <c r="M2509">
        <v>67554</v>
      </c>
      <c r="N2509" t="s">
        <v>317</v>
      </c>
      <c r="O2509">
        <v>250611</v>
      </c>
      <c r="P2509">
        <v>379.6</v>
      </c>
    </row>
    <row r="2510" spans="1:16" x14ac:dyDescent="0.25">
      <c r="A2510" t="s">
        <v>3296</v>
      </c>
      <c r="B2510" t="s">
        <v>2931</v>
      </c>
      <c r="C2510">
        <v>8127</v>
      </c>
      <c r="D2510" t="str">
        <f>"2138891516  "</f>
        <v xml:space="preserve">2138891516  </v>
      </c>
      <c r="E2510" t="s">
        <v>1026</v>
      </c>
      <c r="F2510" t="s">
        <v>1027</v>
      </c>
      <c r="G2510">
        <v>376.5</v>
      </c>
      <c r="H2510">
        <v>250531</v>
      </c>
      <c r="I2510">
        <v>4400</v>
      </c>
      <c r="J2510" t="s">
        <v>162</v>
      </c>
      <c r="K2510">
        <v>376.5</v>
      </c>
      <c r="L2510">
        <v>76.5</v>
      </c>
      <c r="M2510">
        <v>67554</v>
      </c>
      <c r="N2510" t="s">
        <v>317</v>
      </c>
      <c r="O2510">
        <v>250611</v>
      </c>
      <c r="P2510">
        <v>300</v>
      </c>
    </row>
    <row r="2511" spans="1:16" x14ac:dyDescent="0.25">
      <c r="A2511" t="s">
        <v>3296</v>
      </c>
      <c r="B2511" t="s">
        <v>2931</v>
      </c>
      <c r="C2511">
        <v>9426</v>
      </c>
      <c r="D2511" t="str">
        <f>"2138894224  "</f>
        <v xml:space="preserve">2138894224  </v>
      </c>
      <c r="E2511" t="s">
        <v>1026</v>
      </c>
      <c r="F2511" t="s">
        <v>1027</v>
      </c>
      <c r="G2511">
        <v>3555.74</v>
      </c>
      <c r="H2511">
        <v>250702</v>
      </c>
      <c r="I2511">
        <v>4400</v>
      </c>
      <c r="J2511" t="s">
        <v>162</v>
      </c>
      <c r="K2511">
        <v>3555.74</v>
      </c>
      <c r="L2511">
        <v>722.48</v>
      </c>
      <c r="M2511">
        <v>67554</v>
      </c>
      <c r="N2511" t="s">
        <v>317</v>
      </c>
      <c r="O2511">
        <v>250707</v>
      </c>
      <c r="P2511">
        <v>2833.26</v>
      </c>
    </row>
    <row r="2512" spans="1:16" x14ac:dyDescent="0.25">
      <c r="A2512" t="s">
        <v>3296</v>
      </c>
      <c r="B2512" t="s">
        <v>2931</v>
      </c>
      <c r="C2512">
        <v>9843</v>
      </c>
      <c r="D2512" t="str">
        <f>"2138895349  "</f>
        <v xml:space="preserve">2138895349  </v>
      </c>
      <c r="E2512" t="s">
        <v>1026</v>
      </c>
      <c r="F2512" t="s">
        <v>1027</v>
      </c>
      <c r="G2512">
        <v>188.09</v>
      </c>
      <c r="H2512">
        <v>250723</v>
      </c>
      <c r="I2512">
        <v>4400</v>
      </c>
      <c r="J2512" t="s">
        <v>162</v>
      </c>
      <c r="K2512">
        <v>188.09</v>
      </c>
      <c r="L2512">
        <v>38.22</v>
      </c>
      <c r="M2512">
        <v>67554</v>
      </c>
      <c r="N2512" t="s">
        <v>317</v>
      </c>
      <c r="O2512">
        <v>250729</v>
      </c>
      <c r="P2512">
        <v>149.87</v>
      </c>
    </row>
    <row r="2513" spans="1:16" x14ac:dyDescent="0.25">
      <c r="A2513" t="s">
        <v>3296</v>
      </c>
      <c r="B2513" t="s">
        <v>2931</v>
      </c>
      <c r="C2513">
        <v>9972</v>
      </c>
      <c r="D2513" t="str">
        <f>"2138895566  "</f>
        <v xml:space="preserve">2138895566  </v>
      </c>
      <c r="E2513" t="s">
        <v>1026</v>
      </c>
      <c r="F2513" t="s">
        <v>1027</v>
      </c>
      <c r="G2513">
        <v>2353.5</v>
      </c>
      <c r="H2513">
        <v>250728</v>
      </c>
      <c r="I2513">
        <v>4400</v>
      </c>
      <c r="J2513" t="s">
        <v>162</v>
      </c>
      <c r="K2513">
        <v>2353.5</v>
      </c>
      <c r="L2513">
        <v>478.2</v>
      </c>
      <c r="M2513">
        <v>67554</v>
      </c>
      <c r="N2513" t="s">
        <v>317</v>
      </c>
      <c r="O2513">
        <v>250806</v>
      </c>
      <c r="P2513">
        <v>1875.3</v>
      </c>
    </row>
    <row r="2514" spans="1:16" x14ac:dyDescent="0.25">
      <c r="A2514" t="s">
        <v>3296</v>
      </c>
      <c r="B2514" t="s">
        <v>2931</v>
      </c>
      <c r="C2514">
        <v>9995</v>
      </c>
      <c r="D2514" t="str">
        <f>"2138896265  "</f>
        <v xml:space="preserve">2138896265  </v>
      </c>
      <c r="E2514" t="s">
        <v>1026</v>
      </c>
      <c r="F2514" t="s">
        <v>1027</v>
      </c>
      <c r="G2514">
        <v>1223.3</v>
      </c>
      <c r="H2514">
        <v>250801</v>
      </c>
      <c r="I2514">
        <v>4400</v>
      </c>
      <c r="J2514" t="s">
        <v>162</v>
      </c>
      <c r="K2514">
        <v>1223.3</v>
      </c>
      <c r="L2514">
        <v>248.56</v>
      </c>
      <c r="M2514">
        <v>67554</v>
      </c>
      <c r="N2514" t="s">
        <v>317</v>
      </c>
      <c r="O2514">
        <v>250806</v>
      </c>
      <c r="P2514">
        <v>974.74</v>
      </c>
    </row>
    <row r="2515" spans="1:16" x14ac:dyDescent="0.25">
      <c r="A2515" t="s">
        <v>3296</v>
      </c>
      <c r="B2515" t="s">
        <v>2931</v>
      </c>
      <c r="C2515">
        <v>13426</v>
      </c>
      <c r="D2515" t="str">
        <f>"2138901884  "</f>
        <v xml:space="preserve">2138901884  </v>
      </c>
      <c r="E2515" t="s">
        <v>1026</v>
      </c>
      <c r="F2515" t="s">
        <v>1027</v>
      </c>
      <c r="G2515">
        <v>3555.74</v>
      </c>
      <c r="H2515">
        <v>251002</v>
      </c>
      <c r="I2515">
        <v>4400</v>
      </c>
      <c r="J2515" t="s">
        <v>162</v>
      </c>
      <c r="K2515">
        <v>3555.74</v>
      </c>
      <c r="L2515">
        <v>722.48</v>
      </c>
      <c r="M2515">
        <v>67554</v>
      </c>
      <c r="N2515" t="s">
        <v>317</v>
      </c>
      <c r="O2515">
        <v>251009</v>
      </c>
      <c r="P2515">
        <v>2833.26</v>
      </c>
    </row>
    <row r="2516" spans="1:16" x14ac:dyDescent="0.25">
      <c r="A2516" t="s">
        <v>3296</v>
      </c>
      <c r="B2516" t="s">
        <v>2931</v>
      </c>
      <c r="C2516">
        <v>14648</v>
      </c>
      <c r="D2516" t="str">
        <f>"2138904380  "</f>
        <v xml:space="preserve">2138904380  </v>
      </c>
      <c r="E2516" t="s">
        <v>1026</v>
      </c>
      <c r="F2516" t="s">
        <v>1027</v>
      </c>
      <c r="G2516">
        <v>188.25</v>
      </c>
      <c r="H2516">
        <v>251031</v>
      </c>
      <c r="I2516">
        <v>4400</v>
      </c>
      <c r="J2516" t="s">
        <v>162</v>
      </c>
      <c r="K2516">
        <v>188.25</v>
      </c>
      <c r="L2516">
        <v>38.25</v>
      </c>
      <c r="M2516">
        <v>67554</v>
      </c>
      <c r="N2516" t="s">
        <v>317</v>
      </c>
      <c r="O2516">
        <v>251105</v>
      </c>
      <c r="P2516">
        <v>150</v>
      </c>
    </row>
    <row r="2517" spans="1:16" x14ac:dyDescent="0.25">
      <c r="A2517" t="s">
        <v>3296</v>
      </c>
      <c r="B2517" t="s">
        <v>2931</v>
      </c>
      <c r="C2517">
        <v>14683</v>
      </c>
      <c r="D2517" t="str">
        <f>"2138903739  "</f>
        <v xml:space="preserve">2138903739  </v>
      </c>
      <c r="E2517" t="s">
        <v>1026</v>
      </c>
      <c r="F2517" t="s">
        <v>1027</v>
      </c>
      <c r="G2517">
        <v>596.15</v>
      </c>
      <c r="H2517">
        <v>251029</v>
      </c>
      <c r="I2517">
        <v>4400</v>
      </c>
      <c r="J2517" t="s">
        <v>162</v>
      </c>
      <c r="K2517">
        <v>596.15</v>
      </c>
      <c r="L2517">
        <v>121.13</v>
      </c>
      <c r="M2517">
        <v>67554</v>
      </c>
      <c r="N2517" t="s">
        <v>317</v>
      </c>
      <c r="O2517">
        <v>251106</v>
      </c>
      <c r="P2517">
        <v>475.02</v>
      </c>
    </row>
    <row r="2518" spans="1:16" x14ac:dyDescent="0.25">
      <c r="A2518" t="s">
        <v>3296</v>
      </c>
      <c r="B2518" t="s">
        <v>2931</v>
      </c>
      <c r="C2518">
        <v>14921</v>
      </c>
      <c r="D2518" t="str">
        <f>"2138904378  "</f>
        <v xml:space="preserve">2138904378  </v>
      </c>
      <c r="E2518" t="s">
        <v>1026</v>
      </c>
      <c r="F2518" t="s">
        <v>1027</v>
      </c>
      <c r="G2518">
        <v>376.5</v>
      </c>
      <c r="H2518">
        <v>251031</v>
      </c>
      <c r="I2518">
        <v>4400</v>
      </c>
      <c r="J2518" t="s">
        <v>162</v>
      </c>
      <c r="K2518">
        <v>376.5</v>
      </c>
      <c r="L2518">
        <v>76.5</v>
      </c>
      <c r="M2518">
        <v>67554</v>
      </c>
      <c r="N2518" t="s">
        <v>317</v>
      </c>
      <c r="O2518">
        <v>251110</v>
      </c>
      <c r="P2518">
        <v>300</v>
      </c>
    </row>
    <row r="2519" spans="1:16" x14ac:dyDescent="0.25">
      <c r="A2519" t="s">
        <v>3296</v>
      </c>
      <c r="B2519" t="s">
        <v>2931</v>
      </c>
      <c r="C2519">
        <v>15193</v>
      </c>
      <c r="D2519" t="str">
        <f>"2138904147  "</f>
        <v xml:space="preserve">2138904147  </v>
      </c>
      <c r="E2519" t="s">
        <v>1026</v>
      </c>
      <c r="F2519" t="s">
        <v>1027</v>
      </c>
      <c r="G2519">
        <v>2573.38</v>
      </c>
      <c r="H2519">
        <v>251031</v>
      </c>
      <c r="I2519">
        <v>4400</v>
      </c>
      <c r="J2519" t="s">
        <v>162</v>
      </c>
      <c r="K2519">
        <v>2573.38</v>
      </c>
      <c r="L2519">
        <v>522.88</v>
      </c>
      <c r="M2519">
        <v>67554</v>
      </c>
      <c r="N2519" t="s">
        <v>317</v>
      </c>
      <c r="O2519">
        <v>251113</v>
      </c>
      <c r="P2519">
        <v>2050.5</v>
      </c>
    </row>
    <row r="2520" spans="1:16" x14ac:dyDescent="0.25">
      <c r="A2520" t="s">
        <v>3296</v>
      </c>
      <c r="B2520" t="s">
        <v>2931</v>
      </c>
      <c r="C2520">
        <v>16495</v>
      </c>
      <c r="D2520" t="str">
        <f>"2138906711  "</f>
        <v xml:space="preserve">2138906711  </v>
      </c>
      <c r="E2520" t="s">
        <v>1026</v>
      </c>
      <c r="F2520" t="s">
        <v>1027</v>
      </c>
      <c r="G2520">
        <v>376.5</v>
      </c>
      <c r="H2520">
        <v>251130</v>
      </c>
      <c r="I2520">
        <v>4400</v>
      </c>
      <c r="J2520" t="s">
        <v>162</v>
      </c>
      <c r="K2520">
        <v>376.5</v>
      </c>
      <c r="L2520">
        <v>76.5</v>
      </c>
      <c r="M2520">
        <v>67554</v>
      </c>
      <c r="N2520" t="s">
        <v>317</v>
      </c>
      <c r="O2520">
        <v>251209</v>
      </c>
      <c r="P2520">
        <v>300</v>
      </c>
    </row>
    <row r="2521" spans="1:16" x14ac:dyDescent="0.25">
      <c r="A2521" t="s">
        <v>3296</v>
      </c>
      <c r="B2521" t="s">
        <v>2931</v>
      </c>
      <c r="C2521">
        <v>16650</v>
      </c>
      <c r="D2521" t="str">
        <f>"2138907054  "</f>
        <v xml:space="preserve">2138907054  </v>
      </c>
      <c r="E2521" t="s">
        <v>1026</v>
      </c>
      <c r="F2521" t="s">
        <v>1027</v>
      </c>
      <c r="G2521">
        <v>1837.99</v>
      </c>
      <c r="H2521">
        <v>251204</v>
      </c>
      <c r="I2521">
        <v>4400</v>
      </c>
      <c r="J2521" t="s">
        <v>162</v>
      </c>
      <c r="K2521">
        <v>1837.99</v>
      </c>
      <c r="L2521">
        <v>373.46</v>
      </c>
      <c r="M2521">
        <v>67554</v>
      </c>
      <c r="N2521" t="s">
        <v>317</v>
      </c>
      <c r="O2521">
        <v>251211</v>
      </c>
      <c r="P2521">
        <v>1464.53</v>
      </c>
    </row>
    <row r="2522" spans="1:16" x14ac:dyDescent="0.25">
      <c r="A2522" t="s">
        <v>3296</v>
      </c>
      <c r="B2522" t="s">
        <v>2931</v>
      </c>
      <c r="C2522">
        <v>17802</v>
      </c>
      <c r="D2522" t="str">
        <f>"2138908742  "</f>
        <v xml:space="preserve">2138908742  </v>
      </c>
      <c r="E2522" t="s">
        <v>1026</v>
      </c>
      <c r="F2522" t="s">
        <v>1027</v>
      </c>
      <c r="G2522">
        <v>376.5</v>
      </c>
      <c r="H2522">
        <v>251224</v>
      </c>
      <c r="I2522">
        <v>4400</v>
      </c>
      <c r="J2522" t="s">
        <v>162</v>
      </c>
      <c r="K2522">
        <v>376.5</v>
      </c>
      <c r="L2522">
        <v>76.5</v>
      </c>
      <c r="M2522">
        <v>67554</v>
      </c>
      <c r="N2522" t="s">
        <v>317</v>
      </c>
      <c r="O2522">
        <v>251230</v>
      </c>
      <c r="P2522">
        <v>300</v>
      </c>
    </row>
    <row r="2523" spans="1:16" x14ac:dyDescent="0.25">
      <c r="A2523" t="s">
        <v>3296</v>
      </c>
      <c r="B2523" t="s">
        <v>2931</v>
      </c>
      <c r="C2523">
        <v>17969</v>
      </c>
      <c r="D2523" t="str">
        <f>"2138909028  "</f>
        <v xml:space="preserve">2138909028  </v>
      </c>
      <c r="E2523" t="s">
        <v>1026</v>
      </c>
      <c r="F2523" t="s">
        <v>1027</v>
      </c>
      <c r="G2523">
        <v>962.38</v>
      </c>
      <c r="H2523">
        <v>251230</v>
      </c>
      <c r="I2523">
        <v>4400</v>
      </c>
      <c r="J2523" t="s">
        <v>162</v>
      </c>
      <c r="K2523">
        <v>962.38</v>
      </c>
      <c r="L2523">
        <v>195.54</v>
      </c>
      <c r="M2523">
        <v>67554</v>
      </c>
      <c r="N2523" t="s">
        <v>317</v>
      </c>
      <c r="O2523">
        <v>260107</v>
      </c>
      <c r="P2523">
        <v>766.84</v>
      </c>
    </row>
    <row r="2524" spans="1:16" x14ac:dyDescent="0.25">
      <c r="A2524" t="s">
        <v>3296</v>
      </c>
      <c r="B2524" t="s">
        <v>2931</v>
      </c>
      <c r="C2524">
        <v>18098</v>
      </c>
      <c r="D2524" t="str">
        <f>"2138909063  "</f>
        <v xml:space="preserve">2138909063  </v>
      </c>
      <c r="E2524" t="s">
        <v>1026</v>
      </c>
      <c r="F2524" t="s">
        <v>1027</v>
      </c>
      <c r="G2524">
        <v>277.97000000000003</v>
      </c>
      <c r="H2524">
        <v>251231</v>
      </c>
      <c r="I2524">
        <v>4400</v>
      </c>
      <c r="J2524" t="s">
        <v>162</v>
      </c>
      <c r="K2524">
        <v>277.97000000000003</v>
      </c>
      <c r="L2524">
        <v>56.48</v>
      </c>
      <c r="M2524">
        <v>67554</v>
      </c>
      <c r="N2524" t="s">
        <v>317</v>
      </c>
      <c r="O2524">
        <v>260109</v>
      </c>
      <c r="P2524">
        <v>221.49</v>
      </c>
    </row>
    <row r="2525" spans="1:16" x14ac:dyDescent="0.25">
      <c r="A2525" t="s">
        <v>3296</v>
      </c>
      <c r="B2525" t="s">
        <v>2931</v>
      </c>
      <c r="C2525">
        <v>18318</v>
      </c>
      <c r="D2525" t="str">
        <f>"2138909337  "</f>
        <v xml:space="preserve">2138909337  </v>
      </c>
      <c r="E2525" t="s">
        <v>1026</v>
      </c>
      <c r="F2525" t="s">
        <v>1027</v>
      </c>
      <c r="G2525">
        <v>188.25</v>
      </c>
      <c r="H2525">
        <v>251230</v>
      </c>
      <c r="I2525">
        <v>4400</v>
      </c>
      <c r="J2525" t="s">
        <v>162</v>
      </c>
      <c r="K2525">
        <v>188.25</v>
      </c>
      <c r="L2525">
        <v>38.25</v>
      </c>
      <c r="M2525">
        <v>67554</v>
      </c>
      <c r="N2525" t="s">
        <v>317</v>
      </c>
      <c r="O2525">
        <v>260113</v>
      </c>
      <c r="P2525">
        <v>150</v>
      </c>
    </row>
    <row r="2526" spans="1:16" x14ac:dyDescent="0.25">
      <c r="A2526" t="s">
        <v>3296</v>
      </c>
      <c r="B2526" t="s">
        <v>2931</v>
      </c>
      <c r="C2526">
        <v>10031</v>
      </c>
      <c r="D2526" t="str">
        <f>"2138895724  "</f>
        <v xml:space="preserve">2138895724  </v>
      </c>
      <c r="E2526" t="s">
        <v>1026</v>
      </c>
      <c r="F2526" t="s">
        <v>1027</v>
      </c>
      <c r="G2526">
        <v>1100.48</v>
      </c>
      <c r="H2526">
        <v>250729</v>
      </c>
      <c r="I2526">
        <v>4420</v>
      </c>
      <c r="J2526" t="s">
        <v>330</v>
      </c>
      <c r="K2526">
        <v>2074.69</v>
      </c>
      <c r="L2526">
        <v>223.6</v>
      </c>
      <c r="M2526">
        <v>17737</v>
      </c>
      <c r="N2526" t="s">
        <v>156</v>
      </c>
      <c r="O2526">
        <v>250808</v>
      </c>
      <c r="P2526">
        <v>876.88</v>
      </c>
    </row>
    <row r="2527" spans="1:16" x14ac:dyDescent="0.25">
      <c r="A2527" t="s">
        <v>3296</v>
      </c>
      <c r="B2527" t="s">
        <v>2931</v>
      </c>
      <c r="C2527">
        <v>10649</v>
      </c>
      <c r="D2527" t="str">
        <f>"2138897602  "</f>
        <v xml:space="preserve">2138897602  </v>
      </c>
      <c r="E2527" t="s">
        <v>1026</v>
      </c>
      <c r="F2527" t="s">
        <v>1027</v>
      </c>
      <c r="G2527">
        <v>690.04</v>
      </c>
      <c r="H2527">
        <v>250819</v>
      </c>
      <c r="I2527">
        <v>4420</v>
      </c>
      <c r="J2527" t="s">
        <v>330</v>
      </c>
      <c r="K2527">
        <v>1076.19</v>
      </c>
      <c r="L2527">
        <v>140.21</v>
      </c>
      <c r="M2527">
        <v>17737</v>
      </c>
      <c r="N2527" t="s">
        <v>156</v>
      </c>
      <c r="O2527">
        <v>250821</v>
      </c>
      <c r="P2527">
        <v>549.83000000000004</v>
      </c>
    </row>
    <row r="2528" spans="1:16" x14ac:dyDescent="0.25">
      <c r="A2528" t="s">
        <v>3296</v>
      </c>
      <c r="B2528" t="s">
        <v>2931</v>
      </c>
      <c r="C2528">
        <v>10031</v>
      </c>
      <c r="D2528" t="str">
        <f>"2138895724  "</f>
        <v xml:space="preserve">2138895724  </v>
      </c>
      <c r="E2528" t="s">
        <v>1026</v>
      </c>
      <c r="F2528" t="s">
        <v>1027</v>
      </c>
      <c r="G2528">
        <v>974.21</v>
      </c>
      <c r="H2528">
        <v>250729</v>
      </c>
      <c r="I2528">
        <v>4470</v>
      </c>
      <c r="J2528" t="s">
        <v>203</v>
      </c>
      <c r="K2528">
        <v>2074.69</v>
      </c>
      <c r="L2528">
        <v>197.95</v>
      </c>
      <c r="M2528">
        <v>17737</v>
      </c>
      <c r="N2528" t="s">
        <v>156</v>
      </c>
      <c r="O2528">
        <v>250808</v>
      </c>
      <c r="P2528">
        <v>776.26</v>
      </c>
    </row>
    <row r="2529" spans="1:16" x14ac:dyDescent="0.25">
      <c r="A2529" t="s">
        <v>3296</v>
      </c>
      <c r="B2529" t="s">
        <v>2931</v>
      </c>
      <c r="C2529">
        <v>10649</v>
      </c>
      <c r="D2529" t="str">
        <f>"2138897602  "</f>
        <v xml:space="preserve">2138897602  </v>
      </c>
      <c r="E2529" t="s">
        <v>1026</v>
      </c>
      <c r="F2529" t="s">
        <v>1027</v>
      </c>
      <c r="G2529">
        <v>386.15</v>
      </c>
      <c r="H2529">
        <v>250819</v>
      </c>
      <c r="I2529">
        <v>4470</v>
      </c>
      <c r="J2529" t="s">
        <v>203</v>
      </c>
      <c r="K2529">
        <v>1076.19</v>
      </c>
      <c r="L2529">
        <v>78.459999999999994</v>
      </c>
      <c r="M2529">
        <v>17737</v>
      </c>
      <c r="N2529" t="s">
        <v>156</v>
      </c>
      <c r="O2529">
        <v>250821</v>
      </c>
      <c r="P2529">
        <v>307.69</v>
      </c>
    </row>
    <row r="2530" spans="1:16" x14ac:dyDescent="0.25">
      <c r="A2530" t="s">
        <v>3296</v>
      </c>
      <c r="B2530" t="s">
        <v>2931</v>
      </c>
      <c r="C2530">
        <v>2620</v>
      </c>
      <c r="D2530" t="str">
        <f>"2138883468  "</f>
        <v xml:space="preserve">2138883468  </v>
      </c>
      <c r="E2530" t="s">
        <v>1026</v>
      </c>
      <c r="F2530" t="s">
        <v>1027</v>
      </c>
      <c r="G2530">
        <v>870.4</v>
      </c>
      <c r="H2530">
        <v>250224</v>
      </c>
      <c r="I2530">
        <v>4534</v>
      </c>
      <c r="J2530" t="s">
        <v>349</v>
      </c>
      <c r="K2530">
        <v>2736.19</v>
      </c>
      <c r="L2530">
        <v>176.85</v>
      </c>
      <c r="M2530">
        <v>67554</v>
      </c>
      <c r="N2530" t="s">
        <v>317</v>
      </c>
      <c r="O2530">
        <v>250307</v>
      </c>
      <c r="P2530">
        <v>693.55</v>
      </c>
    </row>
    <row r="2531" spans="1:16" x14ac:dyDescent="0.25">
      <c r="A2531" t="s">
        <v>3296</v>
      </c>
      <c r="B2531" t="s">
        <v>2931</v>
      </c>
      <c r="C2531">
        <v>7102</v>
      </c>
      <c r="D2531" t="str">
        <f>"2138890294  "</f>
        <v xml:space="preserve">2138890294  </v>
      </c>
      <c r="E2531" t="s">
        <v>1026</v>
      </c>
      <c r="F2531" t="s">
        <v>1027</v>
      </c>
      <c r="G2531">
        <v>546.17999999999995</v>
      </c>
      <c r="H2531">
        <v>250520</v>
      </c>
      <c r="I2531">
        <v>4534</v>
      </c>
      <c r="J2531" t="s">
        <v>349</v>
      </c>
      <c r="K2531">
        <v>2002.98</v>
      </c>
      <c r="L2531">
        <v>110.98</v>
      </c>
      <c r="M2531">
        <v>67554</v>
      </c>
      <c r="N2531" t="s">
        <v>317</v>
      </c>
      <c r="O2531">
        <v>250522</v>
      </c>
      <c r="P2531">
        <v>435.2</v>
      </c>
    </row>
    <row r="2532" spans="1:16" x14ac:dyDescent="0.25">
      <c r="A2532" t="s">
        <v>3296</v>
      </c>
      <c r="B2532" t="s">
        <v>2931</v>
      </c>
      <c r="C2532">
        <v>9629</v>
      </c>
      <c r="D2532" t="str">
        <f>"2138894468  "</f>
        <v xml:space="preserve">2138894468  </v>
      </c>
      <c r="E2532" t="s">
        <v>1026</v>
      </c>
      <c r="F2532" t="s">
        <v>1027</v>
      </c>
      <c r="G2532">
        <v>1092.3499999999999</v>
      </c>
      <c r="H2532">
        <v>250708</v>
      </c>
      <c r="I2532">
        <v>4534</v>
      </c>
      <c r="J2532" t="s">
        <v>349</v>
      </c>
      <c r="K2532">
        <v>2889.01</v>
      </c>
      <c r="L2532">
        <v>221.95</v>
      </c>
      <c r="M2532">
        <v>67554</v>
      </c>
      <c r="N2532" t="s">
        <v>317</v>
      </c>
      <c r="O2532">
        <v>250722</v>
      </c>
      <c r="P2532">
        <v>870.4</v>
      </c>
    </row>
    <row r="2533" spans="1:16" x14ac:dyDescent="0.25">
      <c r="A2533" t="s">
        <v>3296</v>
      </c>
      <c r="B2533" t="s">
        <v>2931</v>
      </c>
      <c r="C2533">
        <v>12514</v>
      </c>
      <c r="D2533" t="str">
        <f>"2138899929  "</f>
        <v xml:space="preserve">2138899929  </v>
      </c>
      <c r="E2533" t="s">
        <v>1026</v>
      </c>
      <c r="F2533" t="s">
        <v>1027</v>
      </c>
      <c r="G2533">
        <v>1168.6600000000001</v>
      </c>
      <c r="H2533">
        <v>250915</v>
      </c>
      <c r="I2533">
        <v>4534</v>
      </c>
      <c r="J2533" t="s">
        <v>349</v>
      </c>
      <c r="K2533">
        <v>2476.87</v>
      </c>
      <c r="L2533">
        <v>237.46</v>
      </c>
      <c r="M2533">
        <v>67554</v>
      </c>
      <c r="N2533" t="s">
        <v>317</v>
      </c>
      <c r="O2533">
        <v>250925</v>
      </c>
      <c r="P2533">
        <v>931.2</v>
      </c>
    </row>
    <row r="2534" spans="1:16" x14ac:dyDescent="0.25">
      <c r="A2534" t="s">
        <v>3296</v>
      </c>
      <c r="B2534" t="s">
        <v>2931</v>
      </c>
      <c r="C2534">
        <v>16490</v>
      </c>
      <c r="D2534" t="str">
        <f>"2138906768  "</f>
        <v xml:space="preserve">2138906768  </v>
      </c>
      <c r="E2534" t="s">
        <v>1026</v>
      </c>
      <c r="F2534" t="s">
        <v>1027</v>
      </c>
      <c r="G2534">
        <v>103.41</v>
      </c>
      <c r="H2534">
        <v>251201</v>
      </c>
      <c r="I2534">
        <v>4534</v>
      </c>
      <c r="J2534" t="s">
        <v>349</v>
      </c>
      <c r="K2534">
        <v>2125.4699999999998</v>
      </c>
      <c r="L2534">
        <v>21.01</v>
      </c>
      <c r="M2534">
        <v>67554</v>
      </c>
      <c r="N2534" t="s">
        <v>317</v>
      </c>
      <c r="O2534">
        <v>251209</v>
      </c>
      <c r="P2534">
        <v>82.4</v>
      </c>
    </row>
    <row r="2535" spans="1:16" x14ac:dyDescent="0.25">
      <c r="A2535" t="s">
        <v>3296</v>
      </c>
      <c r="B2535" t="s">
        <v>2931</v>
      </c>
      <c r="C2535">
        <v>2620</v>
      </c>
      <c r="D2535" t="str">
        <f>"2138883468  "</f>
        <v xml:space="preserve">2138883468  </v>
      </c>
      <c r="E2535" t="s">
        <v>1026</v>
      </c>
      <c r="F2535" t="s">
        <v>1027</v>
      </c>
      <c r="G2535">
        <v>1746.99</v>
      </c>
      <c r="H2535">
        <v>250224</v>
      </c>
      <c r="I2535">
        <v>4550</v>
      </c>
      <c r="J2535" t="s">
        <v>226</v>
      </c>
      <c r="K2535">
        <v>2736.19</v>
      </c>
      <c r="L2535">
        <v>354.97</v>
      </c>
      <c r="M2535">
        <v>67554</v>
      </c>
      <c r="N2535" t="s">
        <v>317</v>
      </c>
      <c r="O2535">
        <v>250307</v>
      </c>
      <c r="P2535">
        <v>1392.02</v>
      </c>
    </row>
    <row r="2536" spans="1:16" x14ac:dyDescent="0.25">
      <c r="A2536" t="s">
        <v>3296</v>
      </c>
      <c r="B2536" t="s">
        <v>2931</v>
      </c>
      <c r="C2536">
        <v>3414</v>
      </c>
      <c r="D2536" t="str">
        <f>"2138884571  "</f>
        <v xml:space="preserve">2138884571  </v>
      </c>
      <c r="E2536" t="s">
        <v>1026</v>
      </c>
      <c r="F2536" t="s">
        <v>1027</v>
      </c>
      <c r="G2536">
        <v>66.77</v>
      </c>
      <c r="H2536">
        <v>250307</v>
      </c>
      <c r="I2536">
        <v>4550</v>
      </c>
      <c r="J2536" t="s">
        <v>226</v>
      </c>
      <c r="K2536">
        <v>66.77</v>
      </c>
      <c r="L2536">
        <v>13.57</v>
      </c>
      <c r="M2536">
        <v>67554</v>
      </c>
      <c r="N2536" t="s">
        <v>317</v>
      </c>
      <c r="O2536">
        <v>250321</v>
      </c>
      <c r="P2536">
        <v>53.2</v>
      </c>
    </row>
    <row r="2537" spans="1:16" x14ac:dyDescent="0.25">
      <c r="A2537" t="s">
        <v>3296</v>
      </c>
      <c r="B2537" t="s">
        <v>2931</v>
      </c>
      <c r="C2537">
        <v>7102</v>
      </c>
      <c r="D2537" t="str">
        <f>"2138890294  "</f>
        <v xml:space="preserve">2138890294  </v>
      </c>
      <c r="E2537" t="s">
        <v>1026</v>
      </c>
      <c r="F2537" t="s">
        <v>1027</v>
      </c>
      <c r="G2537">
        <v>570.77</v>
      </c>
      <c r="H2537">
        <v>250520</v>
      </c>
      <c r="I2537">
        <v>4550</v>
      </c>
      <c r="J2537" t="s">
        <v>226</v>
      </c>
      <c r="K2537">
        <v>2002.98</v>
      </c>
      <c r="L2537">
        <v>115.97</v>
      </c>
      <c r="M2537">
        <v>67554</v>
      </c>
      <c r="N2537" t="s">
        <v>317</v>
      </c>
      <c r="O2537">
        <v>250522</v>
      </c>
      <c r="P2537">
        <v>454.8</v>
      </c>
    </row>
    <row r="2538" spans="1:16" x14ac:dyDescent="0.25">
      <c r="A2538" t="s">
        <v>3296</v>
      </c>
      <c r="B2538" t="s">
        <v>2931</v>
      </c>
      <c r="C2538">
        <v>9629</v>
      </c>
      <c r="D2538" t="str">
        <f>"2138894468  "</f>
        <v xml:space="preserve">2138894468  </v>
      </c>
      <c r="E2538" t="s">
        <v>1026</v>
      </c>
      <c r="F2538" t="s">
        <v>1027</v>
      </c>
      <c r="G2538">
        <v>905.61</v>
      </c>
      <c r="H2538">
        <v>250708</v>
      </c>
      <c r="I2538">
        <v>4550</v>
      </c>
      <c r="J2538" t="s">
        <v>226</v>
      </c>
      <c r="K2538">
        <v>2889.01</v>
      </c>
      <c r="L2538">
        <v>184.01</v>
      </c>
      <c r="M2538">
        <v>67554</v>
      </c>
      <c r="N2538" t="s">
        <v>317</v>
      </c>
      <c r="O2538">
        <v>250722</v>
      </c>
      <c r="P2538">
        <v>721.6</v>
      </c>
    </row>
    <row r="2539" spans="1:16" x14ac:dyDescent="0.25">
      <c r="A2539" t="s">
        <v>3296</v>
      </c>
      <c r="B2539" t="s">
        <v>2931</v>
      </c>
      <c r="C2539">
        <v>12514</v>
      </c>
      <c r="D2539" t="str">
        <f>"2138899929  "</f>
        <v xml:space="preserve">2138899929  </v>
      </c>
      <c r="E2539" t="s">
        <v>1026</v>
      </c>
      <c r="F2539" t="s">
        <v>1027</v>
      </c>
      <c r="G2539">
        <v>691.76</v>
      </c>
      <c r="H2539">
        <v>250915</v>
      </c>
      <c r="I2539">
        <v>4550</v>
      </c>
      <c r="J2539" t="s">
        <v>226</v>
      </c>
      <c r="K2539">
        <v>2476.87</v>
      </c>
      <c r="L2539">
        <v>140.56</v>
      </c>
      <c r="M2539">
        <v>67554</v>
      </c>
      <c r="N2539" t="s">
        <v>317</v>
      </c>
      <c r="O2539">
        <v>250925</v>
      </c>
      <c r="P2539">
        <v>551.20000000000005</v>
      </c>
    </row>
    <row r="2540" spans="1:16" x14ac:dyDescent="0.25">
      <c r="A2540" t="s">
        <v>3296</v>
      </c>
      <c r="B2540" t="s">
        <v>2931</v>
      </c>
      <c r="C2540">
        <v>16490</v>
      </c>
      <c r="D2540" t="str">
        <f>"2138906768  "</f>
        <v xml:space="preserve">2138906768  </v>
      </c>
      <c r="E2540" t="s">
        <v>1026</v>
      </c>
      <c r="F2540" t="s">
        <v>1027</v>
      </c>
      <c r="G2540">
        <v>1437.73</v>
      </c>
      <c r="H2540">
        <v>251201</v>
      </c>
      <c r="I2540">
        <v>4550</v>
      </c>
      <c r="J2540" t="s">
        <v>226</v>
      </c>
      <c r="K2540">
        <v>2125.4699999999998</v>
      </c>
      <c r="L2540">
        <v>292.13</v>
      </c>
      <c r="M2540">
        <v>67554</v>
      </c>
      <c r="N2540" t="s">
        <v>317</v>
      </c>
      <c r="O2540">
        <v>251209</v>
      </c>
      <c r="P2540">
        <v>1145.5999999999999</v>
      </c>
    </row>
    <row r="2541" spans="1:16" x14ac:dyDescent="0.25">
      <c r="A2541" t="s">
        <v>3296</v>
      </c>
      <c r="B2541" t="s">
        <v>2931</v>
      </c>
      <c r="C2541">
        <v>7102</v>
      </c>
      <c r="D2541" t="str">
        <f>"2138890294  "</f>
        <v xml:space="preserve">2138890294  </v>
      </c>
      <c r="E2541" t="s">
        <v>1026</v>
      </c>
      <c r="F2541" t="s">
        <v>1027</v>
      </c>
      <c r="G2541">
        <v>328.31</v>
      </c>
      <c r="H2541">
        <v>250520</v>
      </c>
      <c r="I2541">
        <v>4555</v>
      </c>
      <c r="J2541" t="s">
        <v>352</v>
      </c>
      <c r="K2541">
        <v>2002.98</v>
      </c>
      <c r="L2541">
        <v>66.709999999999994</v>
      </c>
      <c r="M2541">
        <v>67554</v>
      </c>
      <c r="N2541" t="s">
        <v>317</v>
      </c>
      <c r="O2541">
        <v>250522</v>
      </c>
      <c r="P2541">
        <v>261.60000000000002</v>
      </c>
    </row>
    <row r="2542" spans="1:16" x14ac:dyDescent="0.25">
      <c r="A2542" t="s">
        <v>3296</v>
      </c>
      <c r="B2542" t="s">
        <v>2931</v>
      </c>
      <c r="C2542">
        <v>9629</v>
      </c>
      <c r="D2542" t="str">
        <f>"2138894468  "</f>
        <v xml:space="preserve">2138894468  </v>
      </c>
      <c r="E2542" t="s">
        <v>1026</v>
      </c>
      <c r="F2542" t="s">
        <v>1027</v>
      </c>
      <c r="G2542">
        <v>328.31</v>
      </c>
      <c r="H2542">
        <v>250708</v>
      </c>
      <c r="I2542">
        <v>4555</v>
      </c>
      <c r="J2542" t="s">
        <v>352</v>
      </c>
      <c r="K2542">
        <v>2889.01</v>
      </c>
      <c r="L2542">
        <v>66.709999999999994</v>
      </c>
      <c r="M2542">
        <v>67554</v>
      </c>
      <c r="N2542" t="s">
        <v>317</v>
      </c>
      <c r="O2542">
        <v>250722</v>
      </c>
      <c r="P2542">
        <v>261.60000000000002</v>
      </c>
    </row>
    <row r="2543" spans="1:16" x14ac:dyDescent="0.25">
      <c r="A2543" t="s">
        <v>3296</v>
      </c>
      <c r="B2543" t="s">
        <v>2931</v>
      </c>
      <c r="C2543">
        <v>12514</v>
      </c>
      <c r="D2543" t="str">
        <f>"2138899929  "</f>
        <v xml:space="preserve">2138899929  </v>
      </c>
      <c r="E2543" t="s">
        <v>1026</v>
      </c>
      <c r="F2543" t="s">
        <v>1027</v>
      </c>
      <c r="G2543">
        <v>334.33</v>
      </c>
      <c r="H2543">
        <v>250915</v>
      </c>
      <c r="I2543">
        <v>4555</v>
      </c>
      <c r="J2543" t="s">
        <v>352</v>
      </c>
      <c r="K2543">
        <v>2476.87</v>
      </c>
      <c r="L2543">
        <v>67.930000000000007</v>
      </c>
      <c r="M2543">
        <v>67554</v>
      </c>
      <c r="N2543" t="s">
        <v>317</v>
      </c>
      <c r="O2543">
        <v>250925</v>
      </c>
      <c r="P2543">
        <v>266.39999999999998</v>
      </c>
    </row>
    <row r="2544" spans="1:16" x14ac:dyDescent="0.25">
      <c r="A2544" t="s">
        <v>3296</v>
      </c>
      <c r="B2544" t="s">
        <v>2931</v>
      </c>
      <c r="C2544">
        <v>12514</v>
      </c>
      <c r="D2544" t="str">
        <f>"2138899929  "</f>
        <v xml:space="preserve">2138899929  </v>
      </c>
      <c r="E2544" t="s">
        <v>1026</v>
      </c>
      <c r="F2544" t="s">
        <v>1027</v>
      </c>
      <c r="G2544">
        <v>178.71</v>
      </c>
      <c r="H2544">
        <v>250915</v>
      </c>
      <c r="I2544">
        <v>4560</v>
      </c>
      <c r="J2544" t="s">
        <v>390</v>
      </c>
      <c r="K2544">
        <v>2476.87</v>
      </c>
      <c r="L2544">
        <v>36.31</v>
      </c>
      <c r="M2544">
        <v>67554</v>
      </c>
      <c r="N2544" t="s">
        <v>317</v>
      </c>
      <c r="O2544">
        <v>250925</v>
      </c>
      <c r="P2544">
        <v>142.4</v>
      </c>
    </row>
    <row r="2545" spans="1:16" x14ac:dyDescent="0.25">
      <c r="A2545" t="s">
        <v>3296</v>
      </c>
      <c r="B2545" t="s">
        <v>2931</v>
      </c>
      <c r="C2545">
        <v>1868</v>
      </c>
      <c r="D2545" t="str">
        <f>"2138882398  "</f>
        <v xml:space="preserve">2138882398  </v>
      </c>
      <c r="E2545" t="s">
        <v>1026</v>
      </c>
      <c r="F2545" t="s">
        <v>1027</v>
      </c>
      <c r="G2545">
        <v>1365.19</v>
      </c>
      <c r="H2545">
        <v>250209</v>
      </c>
      <c r="I2545">
        <v>4600</v>
      </c>
      <c r="J2545" t="s">
        <v>278</v>
      </c>
      <c r="K2545">
        <v>1365.19</v>
      </c>
      <c r="L2545">
        <v>277.39</v>
      </c>
      <c r="M2545">
        <v>67554</v>
      </c>
      <c r="N2545" t="s">
        <v>317</v>
      </c>
      <c r="O2545">
        <v>250214</v>
      </c>
      <c r="P2545">
        <v>1087.8</v>
      </c>
    </row>
    <row r="2546" spans="1:16" x14ac:dyDescent="0.25">
      <c r="A2546" t="s">
        <v>3296</v>
      </c>
      <c r="B2546" t="s">
        <v>2931</v>
      </c>
      <c r="C2546">
        <v>2620</v>
      </c>
      <c r="D2546" t="str">
        <f>"2138883468  "</f>
        <v xml:space="preserve">2138883468  </v>
      </c>
      <c r="E2546" t="s">
        <v>1026</v>
      </c>
      <c r="F2546" t="s">
        <v>1027</v>
      </c>
      <c r="G2546">
        <v>118.8</v>
      </c>
      <c r="H2546">
        <v>250224</v>
      </c>
      <c r="I2546">
        <v>4600</v>
      </c>
      <c r="J2546" t="s">
        <v>278</v>
      </c>
      <c r="K2546">
        <v>2736.19</v>
      </c>
      <c r="L2546">
        <v>24.14</v>
      </c>
      <c r="M2546">
        <v>67554</v>
      </c>
      <c r="N2546" t="s">
        <v>317</v>
      </c>
      <c r="O2546">
        <v>250307</v>
      </c>
      <c r="P2546">
        <v>94.66</v>
      </c>
    </row>
    <row r="2547" spans="1:16" x14ac:dyDescent="0.25">
      <c r="A2547" t="s">
        <v>3296</v>
      </c>
      <c r="B2547" t="s">
        <v>2931</v>
      </c>
      <c r="C2547">
        <v>4517</v>
      </c>
      <c r="D2547" t="str">
        <f>"2138886721  "</f>
        <v xml:space="preserve">2138886721  </v>
      </c>
      <c r="E2547" t="s">
        <v>1026</v>
      </c>
      <c r="F2547" t="s">
        <v>1027</v>
      </c>
      <c r="G2547">
        <v>858.42</v>
      </c>
      <c r="H2547">
        <v>250401</v>
      </c>
      <c r="I2547">
        <v>4600</v>
      </c>
      <c r="J2547" t="s">
        <v>278</v>
      </c>
      <c r="K2547">
        <v>858.42</v>
      </c>
      <c r="L2547">
        <v>174.42</v>
      </c>
      <c r="M2547">
        <v>67554</v>
      </c>
      <c r="N2547" t="s">
        <v>317</v>
      </c>
      <c r="O2547">
        <v>250414</v>
      </c>
      <c r="P2547">
        <v>684</v>
      </c>
    </row>
    <row r="2548" spans="1:16" x14ac:dyDescent="0.25">
      <c r="A2548" t="s">
        <v>3296</v>
      </c>
      <c r="B2548" t="s">
        <v>2931</v>
      </c>
      <c r="C2548">
        <v>4652</v>
      </c>
      <c r="D2548" t="str">
        <f>"2138886829  "</f>
        <v xml:space="preserve">2138886829  </v>
      </c>
      <c r="E2548" t="s">
        <v>1026</v>
      </c>
      <c r="F2548" t="s">
        <v>1027</v>
      </c>
      <c r="G2548">
        <v>388.77</v>
      </c>
      <c r="H2548">
        <v>250402</v>
      </c>
      <c r="I2548">
        <v>4600</v>
      </c>
      <c r="J2548" t="s">
        <v>278</v>
      </c>
      <c r="K2548">
        <v>388.77</v>
      </c>
      <c r="L2548">
        <v>78.989999999999995</v>
      </c>
      <c r="M2548">
        <v>17737</v>
      </c>
      <c r="N2548" t="s">
        <v>156</v>
      </c>
      <c r="O2548">
        <v>250414</v>
      </c>
      <c r="P2548">
        <v>309.77999999999997</v>
      </c>
    </row>
    <row r="2549" spans="1:16" x14ac:dyDescent="0.25">
      <c r="A2549" t="s">
        <v>3296</v>
      </c>
      <c r="B2549" t="s">
        <v>2931</v>
      </c>
      <c r="C2549">
        <v>6664</v>
      </c>
      <c r="D2549" t="str">
        <f>"2138889508  "</f>
        <v xml:space="preserve">2138889508  </v>
      </c>
      <c r="E2549" t="s">
        <v>1026</v>
      </c>
      <c r="F2549" t="s">
        <v>1027</v>
      </c>
      <c r="G2549">
        <v>1239.94</v>
      </c>
      <c r="H2549">
        <v>250507</v>
      </c>
      <c r="I2549">
        <v>4600</v>
      </c>
      <c r="J2549" t="s">
        <v>278</v>
      </c>
      <c r="K2549">
        <v>1239.94</v>
      </c>
      <c r="L2549">
        <v>251.94</v>
      </c>
      <c r="M2549">
        <v>67554</v>
      </c>
      <c r="N2549" t="s">
        <v>317</v>
      </c>
      <c r="O2549">
        <v>250515</v>
      </c>
      <c r="P2549">
        <v>988</v>
      </c>
    </row>
    <row r="2550" spans="1:16" x14ac:dyDescent="0.25">
      <c r="A2550" t="s">
        <v>3296</v>
      </c>
      <c r="B2550" t="s">
        <v>2931</v>
      </c>
      <c r="C2550">
        <v>7102</v>
      </c>
      <c r="D2550" t="str">
        <f>"2138890294  "</f>
        <v xml:space="preserve">2138890294  </v>
      </c>
      <c r="E2550" t="s">
        <v>1026</v>
      </c>
      <c r="F2550" t="s">
        <v>1027</v>
      </c>
      <c r="G2550">
        <v>557.72</v>
      </c>
      <c r="H2550">
        <v>250520</v>
      </c>
      <c r="I2550">
        <v>4600</v>
      </c>
      <c r="J2550" t="s">
        <v>278</v>
      </c>
      <c r="K2550">
        <v>2002.98</v>
      </c>
      <c r="L2550">
        <v>113.32</v>
      </c>
      <c r="M2550">
        <v>67554</v>
      </c>
      <c r="N2550" t="s">
        <v>317</v>
      </c>
      <c r="O2550">
        <v>250522</v>
      </c>
      <c r="P2550">
        <v>444.4</v>
      </c>
    </row>
    <row r="2551" spans="1:16" x14ac:dyDescent="0.25">
      <c r="A2551" t="s">
        <v>3296</v>
      </c>
      <c r="B2551" t="s">
        <v>2931</v>
      </c>
      <c r="C2551">
        <v>8807</v>
      </c>
      <c r="D2551" t="str">
        <f>"2138892216  "</f>
        <v xml:space="preserve">2138892216  </v>
      </c>
      <c r="E2551" t="s">
        <v>1026</v>
      </c>
      <c r="F2551" t="s">
        <v>1027</v>
      </c>
      <c r="G2551">
        <v>2022.31</v>
      </c>
      <c r="H2551">
        <v>250611</v>
      </c>
      <c r="I2551">
        <v>4600</v>
      </c>
      <c r="J2551" t="s">
        <v>278</v>
      </c>
      <c r="K2551">
        <v>2022.31</v>
      </c>
      <c r="L2551">
        <v>410.91</v>
      </c>
      <c r="M2551">
        <v>67554</v>
      </c>
      <c r="N2551" t="s">
        <v>317</v>
      </c>
      <c r="O2551">
        <v>250618</v>
      </c>
      <c r="P2551">
        <v>1611.4</v>
      </c>
    </row>
    <row r="2552" spans="1:16" x14ac:dyDescent="0.25">
      <c r="A2552" t="s">
        <v>3296</v>
      </c>
      <c r="B2552" t="s">
        <v>2931</v>
      </c>
      <c r="C2552">
        <v>9618</v>
      </c>
      <c r="D2552" t="str">
        <f>"2138894340  "</f>
        <v xml:space="preserve">2138894340  </v>
      </c>
      <c r="E2552" t="s">
        <v>1026</v>
      </c>
      <c r="F2552" t="s">
        <v>1027</v>
      </c>
      <c r="G2552">
        <v>86.97</v>
      </c>
      <c r="H2552">
        <v>250707</v>
      </c>
      <c r="I2552">
        <v>4600</v>
      </c>
      <c r="J2552" t="s">
        <v>278</v>
      </c>
      <c r="K2552">
        <v>86.97</v>
      </c>
      <c r="L2552">
        <v>17.670000000000002</v>
      </c>
      <c r="M2552">
        <v>67554</v>
      </c>
      <c r="N2552" t="s">
        <v>317</v>
      </c>
      <c r="O2552">
        <v>250721</v>
      </c>
      <c r="P2552">
        <v>69.3</v>
      </c>
    </row>
    <row r="2553" spans="1:16" x14ac:dyDescent="0.25">
      <c r="A2553" t="s">
        <v>3296</v>
      </c>
      <c r="B2553" t="s">
        <v>2931</v>
      </c>
      <c r="C2553">
        <v>9629</v>
      </c>
      <c r="D2553" t="str">
        <f>"2138894468  "</f>
        <v xml:space="preserve">2138894468  </v>
      </c>
      <c r="E2553" t="s">
        <v>1026</v>
      </c>
      <c r="F2553" t="s">
        <v>1027</v>
      </c>
      <c r="G2553">
        <v>562.74</v>
      </c>
      <c r="H2553">
        <v>250708</v>
      </c>
      <c r="I2553">
        <v>4600</v>
      </c>
      <c r="J2553" t="s">
        <v>278</v>
      </c>
      <c r="K2553">
        <v>2889.01</v>
      </c>
      <c r="L2553">
        <v>114.34</v>
      </c>
      <c r="M2553">
        <v>67554</v>
      </c>
      <c r="N2553" t="s">
        <v>317</v>
      </c>
      <c r="O2553">
        <v>250722</v>
      </c>
      <c r="P2553">
        <v>448.4</v>
      </c>
    </row>
    <row r="2554" spans="1:16" x14ac:dyDescent="0.25">
      <c r="A2554" t="s">
        <v>3296</v>
      </c>
      <c r="B2554" t="s">
        <v>2931</v>
      </c>
      <c r="C2554">
        <v>11302</v>
      </c>
      <c r="D2554" t="str">
        <f>"2138898400  "</f>
        <v xml:space="preserve">2138898400  </v>
      </c>
      <c r="E2554" t="s">
        <v>1026</v>
      </c>
      <c r="F2554" t="s">
        <v>1027</v>
      </c>
      <c r="G2554">
        <v>1239.94</v>
      </c>
      <c r="H2554">
        <v>250828</v>
      </c>
      <c r="I2554">
        <v>4600</v>
      </c>
      <c r="J2554" t="s">
        <v>278</v>
      </c>
      <c r="K2554">
        <v>1239.94</v>
      </c>
      <c r="L2554">
        <v>251.94</v>
      </c>
      <c r="M2554">
        <v>67554</v>
      </c>
      <c r="N2554" t="s">
        <v>317</v>
      </c>
      <c r="O2554">
        <v>250903</v>
      </c>
      <c r="P2554">
        <v>988</v>
      </c>
    </row>
    <row r="2555" spans="1:16" x14ac:dyDescent="0.25">
      <c r="A2555" t="s">
        <v>3296</v>
      </c>
      <c r="B2555" t="s">
        <v>2931</v>
      </c>
      <c r="C2555">
        <v>12514</v>
      </c>
      <c r="D2555" t="str">
        <f>"2138899929  "</f>
        <v xml:space="preserve">2138899929  </v>
      </c>
      <c r="E2555" t="s">
        <v>1026</v>
      </c>
      <c r="F2555" t="s">
        <v>1027</v>
      </c>
      <c r="G2555">
        <v>103.41</v>
      </c>
      <c r="H2555">
        <v>250915</v>
      </c>
      <c r="I2555">
        <v>4600</v>
      </c>
      <c r="J2555" t="s">
        <v>278</v>
      </c>
      <c r="K2555">
        <v>2476.87</v>
      </c>
      <c r="L2555">
        <v>21.01</v>
      </c>
      <c r="M2555">
        <v>67554</v>
      </c>
      <c r="N2555" t="s">
        <v>317</v>
      </c>
      <c r="O2555">
        <v>250925</v>
      </c>
      <c r="P2555">
        <v>82.4</v>
      </c>
    </row>
    <row r="2556" spans="1:16" x14ac:dyDescent="0.25">
      <c r="A2556" t="s">
        <v>3296</v>
      </c>
      <c r="B2556" t="s">
        <v>2931</v>
      </c>
      <c r="C2556">
        <v>16490</v>
      </c>
      <c r="D2556" t="str">
        <f>"2138906768  "</f>
        <v xml:space="preserve">2138906768  </v>
      </c>
      <c r="E2556" t="s">
        <v>1026</v>
      </c>
      <c r="F2556" t="s">
        <v>1027</v>
      </c>
      <c r="G2556">
        <v>584.33000000000004</v>
      </c>
      <c r="H2556">
        <v>251201</v>
      </c>
      <c r="I2556">
        <v>4600</v>
      </c>
      <c r="J2556" t="s">
        <v>278</v>
      </c>
      <c r="K2556">
        <v>2125.4699999999998</v>
      </c>
      <c r="L2556">
        <v>118.73</v>
      </c>
      <c r="M2556">
        <v>67554</v>
      </c>
      <c r="N2556" t="s">
        <v>317</v>
      </c>
      <c r="O2556">
        <v>251209</v>
      </c>
      <c r="P2556">
        <v>465.6</v>
      </c>
    </row>
    <row r="2557" spans="1:16" x14ac:dyDescent="0.25">
      <c r="A2557" t="s">
        <v>3296</v>
      </c>
      <c r="B2557" t="s">
        <v>2931</v>
      </c>
      <c r="C2557">
        <v>16648</v>
      </c>
      <c r="D2557" t="str">
        <f>"2138907068  "</f>
        <v xml:space="preserve">2138907068  </v>
      </c>
      <c r="E2557" t="s">
        <v>1026</v>
      </c>
      <c r="F2557" t="s">
        <v>1027</v>
      </c>
      <c r="G2557">
        <v>1365.69</v>
      </c>
      <c r="H2557">
        <v>251204</v>
      </c>
      <c r="I2557">
        <v>4600</v>
      </c>
      <c r="J2557" t="s">
        <v>278</v>
      </c>
      <c r="K2557">
        <v>1365.69</v>
      </c>
      <c r="L2557">
        <v>277.49</v>
      </c>
      <c r="M2557">
        <v>67554</v>
      </c>
      <c r="N2557" t="s">
        <v>317</v>
      </c>
      <c r="O2557">
        <v>251211</v>
      </c>
      <c r="P2557">
        <v>1088.2</v>
      </c>
    </row>
    <row r="2558" spans="1:16" x14ac:dyDescent="0.25">
      <c r="A2558" t="s">
        <v>3296</v>
      </c>
      <c r="B2558" t="s">
        <v>2931</v>
      </c>
      <c r="C2558">
        <v>16712</v>
      </c>
      <c r="D2558" t="str">
        <f>"2138907365  "</f>
        <v xml:space="preserve">2138907365  </v>
      </c>
      <c r="E2558" t="s">
        <v>1026</v>
      </c>
      <c r="F2558" t="s">
        <v>1027</v>
      </c>
      <c r="G2558">
        <v>1514.16</v>
      </c>
      <c r="H2558">
        <v>251209</v>
      </c>
      <c r="I2558">
        <v>4600</v>
      </c>
      <c r="J2558" t="s">
        <v>278</v>
      </c>
      <c r="K2558">
        <v>1514.16</v>
      </c>
      <c r="L2558">
        <v>307.66000000000003</v>
      </c>
      <c r="M2558">
        <v>67554</v>
      </c>
      <c r="N2558" t="s">
        <v>317</v>
      </c>
      <c r="O2558">
        <v>251211</v>
      </c>
      <c r="P2558">
        <v>1206.5</v>
      </c>
    </row>
    <row r="2559" spans="1:16" x14ac:dyDescent="0.25">
      <c r="A2559" t="s">
        <v>3296</v>
      </c>
      <c r="B2559" t="s">
        <v>2931</v>
      </c>
      <c r="C2559">
        <v>102</v>
      </c>
      <c r="D2559" t="str">
        <f>"98565344    "</f>
        <v xml:space="preserve">98565344    </v>
      </c>
      <c r="E2559" t="s">
        <v>1026</v>
      </c>
      <c r="F2559" t="s">
        <v>1027</v>
      </c>
      <c r="G2559">
        <v>4195.1000000000004</v>
      </c>
      <c r="H2559">
        <v>250101</v>
      </c>
      <c r="I2559">
        <v>4842</v>
      </c>
      <c r="J2559" t="s">
        <v>15</v>
      </c>
      <c r="K2559">
        <v>4195.1000000000004</v>
      </c>
      <c r="L2559">
        <v>852.39</v>
      </c>
      <c r="M2559">
        <v>67554</v>
      </c>
      <c r="N2559" t="s">
        <v>317</v>
      </c>
      <c r="O2559">
        <v>250108</v>
      </c>
      <c r="P2559">
        <v>3342.71</v>
      </c>
    </row>
    <row r="2560" spans="1:16" x14ac:dyDescent="0.25">
      <c r="A2560" t="s">
        <v>3296</v>
      </c>
      <c r="B2560" t="s">
        <v>2931</v>
      </c>
      <c r="C2560">
        <v>786</v>
      </c>
      <c r="D2560" t="str">
        <f>"98980560    "</f>
        <v xml:space="preserve">98980560    </v>
      </c>
      <c r="E2560" t="s">
        <v>1026</v>
      </c>
      <c r="F2560" t="s">
        <v>1027</v>
      </c>
      <c r="G2560">
        <v>4195.1000000000004</v>
      </c>
      <c r="H2560">
        <v>250201</v>
      </c>
      <c r="I2560">
        <v>4842</v>
      </c>
      <c r="J2560" t="s">
        <v>15</v>
      </c>
      <c r="K2560">
        <v>4195.1000000000004</v>
      </c>
      <c r="L2560">
        <v>852.39</v>
      </c>
      <c r="M2560">
        <v>67554</v>
      </c>
      <c r="N2560" t="s">
        <v>317</v>
      </c>
      <c r="O2560">
        <v>250129</v>
      </c>
      <c r="P2560">
        <v>3342.71</v>
      </c>
    </row>
    <row r="2561" spans="1:16" x14ac:dyDescent="0.25">
      <c r="A2561" t="s">
        <v>3296</v>
      </c>
      <c r="B2561" t="s">
        <v>2931</v>
      </c>
      <c r="C2561">
        <v>2369</v>
      </c>
      <c r="D2561" t="str">
        <f>"99382894    "</f>
        <v xml:space="preserve">99382894    </v>
      </c>
      <c r="E2561" t="s">
        <v>1026</v>
      </c>
      <c r="F2561" t="s">
        <v>1027</v>
      </c>
      <c r="G2561">
        <v>4051.93</v>
      </c>
      <c r="H2561">
        <v>250214</v>
      </c>
      <c r="I2561">
        <v>4842</v>
      </c>
      <c r="J2561" t="s">
        <v>15</v>
      </c>
      <c r="K2561">
        <v>4051.93</v>
      </c>
      <c r="L2561">
        <v>823.3</v>
      </c>
      <c r="M2561">
        <v>67554</v>
      </c>
      <c r="N2561" t="s">
        <v>317</v>
      </c>
      <c r="O2561">
        <v>250224</v>
      </c>
      <c r="P2561">
        <v>3228.63</v>
      </c>
    </row>
    <row r="2562" spans="1:16" x14ac:dyDescent="0.25">
      <c r="A2562" t="s">
        <v>3296</v>
      </c>
      <c r="B2562" t="s">
        <v>2931</v>
      </c>
      <c r="C2562">
        <v>4260</v>
      </c>
      <c r="D2562" t="str">
        <f>"99807928    "</f>
        <v xml:space="preserve">99807928    </v>
      </c>
      <c r="E2562" t="s">
        <v>1026</v>
      </c>
      <c r="F2562" t="s">
        <v>1027</v>
      </c>
      <c r="G2562">
        <v>4141.22</v>
      </c>
      <c r="H2562">
        <v>250317</v>
      </c>
      <c r="I2562">
        <v>4842</v>
      </c>
      <c r="J2562" t="s">
        <v>15</v>
      </c>
      <c r="K2562">
        <v>4141.22</v>
      </c>
      <c r="L2562">
        <v>841.44</v>
      </c>
      <c r="M2562">
        <v>67554</v>
      </c>
      <c r="N2562" t="s">
        <v>317</v>
      </c>
      <c r="O2562">
        <v>250409</v>
      </c>
      <c r="P2562">
        <v>3299.78</v>
      </c>
    </row>
    <row r="2563" spans="1:16" x14ac:dyDescent="0.25">
      <c r="A2563" t="s">
        <v>3296</v>
      </c>
      <c r="B2563" t="s">
        <v>2931</v>
      </c>
      <c r="C2563">
        <v>5655</v>
      </c>
      <c r="D2563" t="str">
        <f>"1500006816  "</f>
        <v xml:space="preserve">1500006816  </v>
      </c>
      <c r="E2563" t="s">
        <v>1026</v>
      </c>
      <c r="F2563" t="s">
        <v>1027</v>
      </c>
      <c r="G2563">
        <v>4141.22</v>
      </c>
      <c r="H2563">
        <v>250416</v>
      </c>
      <c r="I2563">
        <v>4842</v>
      </c>
      <c r="J2563" t="s">
        <v>15</v>
      </c>
      <c r="K2563">
        <v>4141.22</v>
      </c>
      <c r="L2563">
        <v>841.44</v>
      </c>
      <c r="M2563">
        <v>67554</v>
      </c>
      <c r="N2563" t="s">
        <v>317</v>
      </c>
      <c r="O2563">
        <v>250428</v>
      </c>
      <c r="P2563">
        <v>3299.78</v>
      </c>
    </row>
    <row r="2564" spans="1:16" x14ac:dyDescent="0.25">
      <c r="A2564" t="s">
        <v>3296</v>
      </c>
      <c r="B2564" t="s">
        <v>2931</v>
      </c>
      <c r="C2564">
        <v>7596</v>
      </c>
      <c r="D2564" t="str">
        <f>"1500428350  "</f>
        <v xml:space="preserve">1500428350  </v>
      </c>
      <c r="E2564" t="s">
        <v>1026</v>
      </c>
      <c r="F2564" t="s">
        <v>1027</v>
      </c>
      <c r="G2564">
        <v>4141.22</v>
      </c>
      <c r="H2564">
        <v>250519</v>
      </c>
      <c r="I2564">
        <v>4842</v>
      </c>
      <c r="J2564" t="s">
        <v>15</v>
      </c>
      <c r="K2564">
        <v>4141.22</v>
      </c>
      <c r="L2564">
        <v>841.44</v>
      </c>
      <c r="M2564">
        <v>67554</v>
      </c>
      <c r="N2564" t="s">
        <v>317</v>
      </c>
      <c r="O2564">
        <v>250604</v>
      </c>
      <c r="P2564">
        <v>3299.78</v>
      </c>
    </row>
    <row r="2565" spans="1:16" x14ac:dyDescent="0.25">
      <c r="A2565" t="s">
        <v>3296</v>
      </c>
      <c r="B2565" t="s">
        <v>2931</v>
      </c>
      <c r="C2565">
        <v>9271</v>
      </c>
      <c r="D2565" t="str">
        <f>"1500834160  "</f>
        <v xml:space="preserve">1500834160  </v>
      </c>
      <c r="E2565" t="s">
        <v>1026</v>
      </c>
      <c r="F2565" t="s">
        <v>1027</v>
      </c>
      <c r="G2565">
        <v>4141.22</v>
      </c>
      <c r="H2565">
        <v>250701</v>
      </c>
      <c r="I2565">
        <v>4842</v>
      </c>
      <c r="J2565" t="s">
        <v>15</v>
      </c>
      <c r="K2565">
        <v>4141.22</v>
      </c>
      <c r="L2565">
        <v>841.44</v>
      </c>
      <c r="M2565">
        <v>67554</v>
      </c>
      <c r="N2565" t="s">
        <v>317</v>
      </c>
      <c r="O2565">
        <v>250701</v>
      </c>
      <c r="P2565">
        <v>3299.78</v>
      </c>
    </row>
    <row r="2566" spans="1:16" x14ac:dyDescent="0.25">
      <c r="A2566" t="s">
        <v>3296</v>
      </c>
      <c r="B2566" t="s">
        <v>2931</v>
      </c>
      <c r="C2566">
        <v>9891</v>
      </c>
      <c r="D2566" t="str">
        <f>"1501272567  "</f>
        <v xml:space="preserve">1501272567  </v>
      </c>
      <c r="E2566" t="s">
        <v>1026</v>
      </c>
      <c r="F2566" t="s">
        <v>1027</v>
      </c>
      <c r="G2566">
        <v>4141.22</v>
      </c>
      <c r="H2566">
        <v>250801</v>
      </c>
      <c r="I2566">
        <v>4842</v>
      </c>
      <c r="J2566" t="s">
        <v>15</v>
      </c>
      <c r="K2566">
        <v>4141.22</v>
      </c>
      <c r="L2566">
        <v>841.44</v>
      </c>
      <c r="M2566">
        <v>67554</v>
      </c>
      <c r="N2566" t="s">
        <v>317</v>
      </c>
      <c r="O2566">
        <v>250801</v>
      </c>
      <c r="P2566">
        <v>3299.78</v>
      </c>
    </row>
    <row r="2567" spans="1:16" x14ac:dyDescent="0.25">
      <c r="A2567" t="s">
        <v>3296</v>
      </c>
      <c r="B2567" t="s">
        <v>2931</v>
      </c>
      <c r="C2567">
        <v>10675</v>
      </c>
      <c r="D2567" t="str">
        <f>"1501674653  "</f>
        <v xml:space="preserve">1501674653  </v>
      </c>
      <c r="E2567" t="s">
        <v>1026</v>
      </c>
      <c r="F2567" t="s">
        <v>1027</v>
      </c>
      <c r="G2567">
        <v>4093.23</v>
      </c>
      <c r="H2567">
        <v>250901</v>
      </c>
      <c r="I2567">
        <v>4842</v>
      </c>
      <c r="J2567" t="s">
        <v>15</v>
      </c>
      <c r="K2567">
        <v>4093.23</v>
      </c>
      <c r="L2567">
        <v>831.69</v>
      </c>
      <c r="M2567">
        <v>67554</v>
      </c>
      <c r="N2567" t="s">
        <v>317</v>
      </c>
      <c r="O2567">
        <v>250821</v>
      </c>
      <c r="P2567">
        <v>3261.54</v>
      </c>
    </row>
    <row r="2568" spans="1:16" x14ac:dyDescent="0.25">
      <c r="A2568" t="s">
        <v>3296</v>
      </c>
      <c r="B2568" t="s">
        <v>2931</v>
      </c>
      <c r="C2568">
        <v>12834</v>
      </c>
      <c r="D2568" t="str">
        <f>"1502109456  "</f>
        <v xml:space="preserve">1502109456  </v>
      </c>
      <c r="E2568" t="s">
        <v>1026</v>
      </c>
      <c r="F2568" t="s">
        <v>1027</v>
      </c>
      <c r="G2568">
        <v>4122.88</v>
      </c>
      <c r="H2568">
        <v>251001</v>
      </c>
      <c r="I2568">
        <v>4842</v>
      </c>
      <c r="J2568" t="s">
        <v>15</v>
      </c>
      <c r="K2568">
        <v>4122.88</v>
      </c>
      <c r="L2568">
        <v>837.72</v>
      </c>
      <c r="M2568">
        <v>67554</v>
      </c>
      <c r="N2568" t="s">
        <v>317</v>
      </c>
      <c r="O2568">
        <v>250930</v>
      </c>
      <c r="P2568">
        <v>3285.16</v>
      </c>
    </row>
    <row r="2569" spans="1:16" x14ac:dyDescent="0.25">
      <c r="A2569" t="s">
        <v>3296</v>
      </c>
      <c r="B2569" t="s">
        <v>2931</v>
      </c>
      <c r="C2569">
        <v>14181</v>
      </c>
      <c r="D2569" t="str">
        <f>"1502536904  "</f>
        <v xml:space="preserve">1502536904  </v>
      </c>
      <c r="E2569" t="s">
        <v>1026</v>
      </c>
      <c r="F2569" t="s">
        <v>1027</v>
      </c>
      <c r="G2569">
        <v>4122.88</v>
      </c>
      <c r="H2569">
        <v>251017</v>
      </c>
      <c r="I2569">
        <v>4842</v>
      </c>
      <c r="J2569" t="s">
        <v>15</v>
      </c>
      <c r="K2569">
        <v>4122.88</v>
      </c>
      <c r="L2569">
        <v>837.72</v>
      </c>
      <c r="M2569">
        <v>67554</v>
      </c>
      <c r="N2569" t="s">
        <v>317</v>
      </c>
      <c r="O2569">
        <v>251024</v>
      </c>
      <c r="P2569">
        <v>3285.16</v>
      </c>
    </row>
    <row r="2570" spans="1:16" x14ac:dyDescent="0.25">
      <c r="A2570" t="s">
        <v>3296</v>
      </c>
      <c r="B2570" t="s">
        <v>2931</v>
      </c>
      <c r="C2570">
        <v>15851</v>
      </c>
      <c r="D2570" t="str">
        <f>"1502937500  "</f>
        <v xml:space="preserve">1502937500  </v>
      </c>
      <c r="E2570" t="s">
        <v>1026</v>
      </c>
      <c r="F2570" t="s">
        <v>1027</v>
      </c>
      <c r="G2570">
        <v>2792.92</v>
      </c>
      <c r="H2570">
        <v>251117</v>
      </c>
      <c r="I2570">
        <v>4842</v>
      </c>
      <c r="J2570" t="s">
        <v>15</v>
      </c>
      <c r="K2570">
        <v>4122.88</v>
      </c>
      <c r="L2570">
        <v>567.49</v>
      </c>
      <c r="M2570">
        <v>67554</v>
      </c>
      <c r="N2570" t="s">
        <v>317</v>
      </c>
      <c r="O2570">
        <v>251127</v>
      </c>
      <c r="P2570">
        <v>2225.4299999999998</v>
      </c>
    </row>
    <row r="2571" spans="1:16" x14ac:dyDescent="0.25">
      <c r="A2571" t="s">
        <v>3296</v>
      </c>
      <c r="B2571" t="s">
        <v>2931</v>
      </c>
      <c r="C2571">
        <v>14099</v>
      </c>
      <c r="D2571" t="str">
        <f>"1625        "</f>
        <v xml:space="preserve">1625        </v>
      </c>
      <c r="E2571" t="s">
        <v>2479</v>
      </c>
      <c r="F2571" t="s">
        <v>2480</v>
      </c>
      <c r="G2571">
        <v>204.57</v>
      </c>
      <c r="H2571">
        <v>251017</v>
      </c>
      <c r="I2571">
        <v>4400</v>
      </c>
      <c r="J2571" t="s">
        <v>162</v>
      </c>
      <c r="K2571">
        <v>204.57</v>
      </c>
      <c r="L2571">
        <v>41.57</v>
      </c>
      <c r="M2571">
        <v>17524</v>
      </c>
      <c r="N2571" t="s">
        <v>139</v>
      </c>
      <c r="O2571">
        <v>251024</v>
      </c>
      <c r="P2571">
        <v>163</v>
      </c>
    </row>
    <row r="2572" spans="1:16" x14ac:dyDescent="0.25">
      <c r="A2572" t="s">
        <v>3296</v>
      </c>
      <c r="B2572" t="s">
        <v>2931</v>
      </c>
      <c r="C2572">
        <v>8799</v>
      </c>
      <c r="D2572" t="str">
        <f>"1001002110  "</f>
        <v xml:space="preserve">1001002110  </v>
      </c>
      <c r="E2572" t="s">
        <v>1861</v>
      </c>
      <c r="F2572" t="s">
        <v>1862</v>
      </c>
      <c r="G2572">
        <v>1615.98</v>
      </c>
      <c r="H2572">
        <v>250611</v>
      </c>
      <c r="I2572">
        <v>4400</v>
      </c>
      <c r="J2572" t="s">
        <v>162</v>
      </c>
      <c r="K2572">
        <v>2161.98</v>
      </c>
      <c r="L2572">
        <v>328.35</v>
      </c>
      <c r="M2572">
        <v>67554</v>
      </c>
      <c r="N2572" t="s">
        <v>317</v>
      </c>
      <c r="O2572">
        <v>250618</v>
      </c>
      <c r="P2572">
        <v>1287.6300000000001</v>
      </c>
    </row>
    <row r="2573" spans="1:16" x14ac:dyDescent="0.25">
      <c r="A2573" t="s">
        <v>3296</v>
      </c>
      <c r="B2573" t="s">
        <v>2931</v>
      </c>
      <c r="C2573">
        <v>6307</v>
      </c>
      <c r="D2573" t="str">
        <f>"1001002025  "</f>
        <v xml:space="preserve">1001002025  </v>
      </c>
      <c r="E2573" t="s">
        <v>1861</v>
      </c>
      <c r="F2573" t="s">
        <v>1862</v>
      </c>
      <c r="G2573">
        <v>715.35</v>
      </c>
      <c r="H2573">
        <v>250505</v>
      </c>
      <c r="I2573">
        <v>4600</v>
      </c>
      <c r="J2573" t="s">
        <v>278</v>
      </c>
      <c r="K2573">
        <v>715.35</v>
      </c>
      <c r="L2573">
        <v>145.35</v>
      </c>
      <c r="M2573">
        <v>67554</v>
      </c>
      <c r="N2573" t="s">
        <v>317</v>
      </c>
      <c r="O2573">
        <v>250512</v>
      </c>
      <c r="P2573">
        <v>570</v>
      </c>
    </row>
    <row r="2574" spans="1:16" x14ac:dyDescent="0.25">
      <c r="A2574" t="s">
        <v>3296</v>
      </c>
      <c r="B2574" t="s">
        <v>2931</v>
      </c>
      <c r="C2574">
        <v>8799</v>
      </c>
      <c r="D2574" t="str">
        <f>"1001002110  "</f>
        <v xml:space="preserve">1001002110  </v>
      </c>
      <c r="E2574" t="s">
        <v>1861</v>
      </c>
      <c r="F2574" t="s">
        <v>1862</v>
      </c>
      <c r="G2574">
        <v>546</v>
      </c>
      <c r="H2574">
        <v>250611</v>
      </c>
      <c r="I2574">
        <v>4600</v>
      </c>
      <c r="J2574" t="s">
        <v>278</v>
      </c>
      <c r="K2574">
        <v>2161.98</v>
      </c>
      <c r="L2574">
        <v>110.94</v>
      </c>
      <c r="M2574">
        <v>67554</v>
      </c>
      <c r="N2574" t="s">
        <v>317</v>
      </c>
      <c r="O2574">
        <v>250618</v>
      </c>
      <c r="P2574">
        <v>435.06</v>
      </c>
    </row>
    <row r="2575" spans="1:16" x14ac:dyDescent="0.25">
      <c r="A2575" t="s">
        <v>3296</v>
      </c>
      <c r="B2575" t="s">
        <v>2931</v>
      </c>
      <c r="C2575">
        <v>1870</v>
      </c>
      <c r="D2575" t="str">
        <f>"940003698   "</f>
        <v xml:space="preserve">940003698   </v>
      </c>
      <c r="E2575" t="s">
        <v>1150</v>
      </c>
      <c r="F2575" t="s">
        <v>1151</v>
      </c>
      <c r="G2575">
        <v>2390.7800000000002</v>
      </c>
      <c r="H2575">
        <v>250130</v>
      </c>
      <c r="I2575">
        <v>1198</v>
      </c>
      <c r="J2575" t="s">
        <v>610</v>
      </c>
      <c r="K2575">
        <v>2390.7800000000002</v>
      </c>
      <c r="L2575">
        <v>485.78</v>
      </c>
      <c r="M2575">
        <v>97629</v>
      </c>
      <c r="N2575" t="s">
        <v>1110</v>
      </c>
      <c r="O2575">
        <v>250214</v>
      </c>
      <c r="P2575">
        <v>1905</v>
      </c>
    </row>
    <row r="2576" spans="1:16" x14ac:dyDescent="0.25">
      <c r="A2576" t="s">
        <v>3296</v>
      </c>
      <c r="B2576" t="s">
        <v>2931</v>
      </c>
      <c r="C2576">
        <v>16828</v>
      </c>
      <c r="D2576" t="str">
        <f>"73384       "</f>
        <v xml:space="preserve">73384       </v>
      </c>
      <c r="E2576" t="s">
        <v>2706</v>
      </c>
      <c r="F2576" t="s">
        <v>2707</v>
      </c>
      <c r="G2576">
        <v>126.12</v>
      </c>
      <c r="H2576">
        <v>251130</v>
      </c>
      <c r="I2576">
        <v>4600</v>
      </c>
      <c r="J2576" t="s">
        <v>278</v>
      </c>
      <c r="K2576">
        <v>126.12</v>
      </c>
      <c r="L2576">
        <v>25.63</v>
      </c>
      <c r="M2576">
        <v>54252</v>
      </c>
      <c r="N2576" t="s">
        <v>742</v>
      </c>
      <c r="O2576">
        <v>251212</v>
      </c>
      <c r="P2576">
        <v>100.49</v>
      </c>
    </row>
    <row r="2577" spans="1:16" x14ac:dyDescent="0.25">
      <c r="A2577" t="s">
        <v>3296</v>
      </c>
      <c r="B2577" t="s">
        <v>2931</v>
      </c>
      <c r="C2577">
        <v>3557</v>
      </c>
      <c r="D2577" t="str">
        <f>"60541       "</f>
        <v xml:space="preserve">60541       </v>
      </c>
      <c r="E2577" t="s">
        <v>1460</v>
      </c>
      <c r="F2577" t="s">
        <v>1461</v>
      </c>
      <c r="G2577">
        <v>798</v>
      </c>
      <c r="H2577">
        <v>250320</v>
      </c>
      <c r="I2577">
        <v>4440</v>
      </c>
      <c r="J2577" t="s">
        <v>346</v>
      </c>
      <c r="K2577">
        <v>798</v>
      </c>
      <c r="L2577">
        <v>98</v>
      </c>
      <c r="M2577">
        <v>16930</v>
      </c>
      <c r="N2577" t="s">
        <v>135</v>
      </c>
      <c r="O2577">
        <v>250325</v>
      </c>
      <c r="P2577">
        <v>700</v>
      </c>
    </row>
    <row r="2578" spans="1:16" x14ac:dyDescent="0.25">
      <c r="A2578" t="s">
        <v>3296</v>
      </c>
      <c r="B2578" t="s">
        <v>2931</v>
      </c>
      <c r="C2578">
        <v>9587</v>
      </c>
      <c r="D2578" t="str">
        <f>"105316      "</f>
        <v xml:space="preserve">105316      </v>
      </c>
      <c r="E2578" t="s">
        <v>804</v>
      </c>
      <c r="F2578" t="s">
        <v>805</v>
      </c>
      <c r="G2578">
        <v>610.41</v>
      </c>
      <c r="H2578">
        <v>250630</v>
      </c>
      <c r="I2578">
        <v>1011</v>
      </c>
      <c r="J2578" t="s">
        <v>393</v>
      </c>
      <c r="K2578">
        <v>610.41</v>
      </c>
      <c r="L2578">
        <v>124.03</v>
      </c>
      <c r="M2578">
        <v>11801</v>
      </c>
      <c r="N2578" t="s">
        <v>40</v>
      </c>
      <c r="O2578">
        <v>250721</v>
      </c>
      <c r="P2578">
        <v>486.38</v>
      </c>
    </row>
    <row r="2579" spans="1:16" x14ac:dyDescent="0.25">
      <c r="A2579" t="s">
        <v>3296</v>
      </c>
      <c r="B2579" t="s">
        <v>2931</v>
      </c>
      <c r="C2579">
        <v>999</v>
      </c>
      <c r="D2579" t="str">
        <f>"104491      "</f>
        <v xml:space="preserve">104491      </v>
      </c>
      <c r="E2579" t="s">
        <v>804</v>
      </c>
      <c r="F2579" t="s">
        <v>805</v>
      </c>
      <c r="G2579">
        <v>610.41</v>
      </c>
      <c r="H2579">
        <v>250131</v>
      </c>
      <c r="I2579">
        <v>4369</v>
      </c>
      <c r="J2579" t="s">
        <v>188</v>
      </c>
      <c r="K2579">
        <v>610.41</v>
      </c>
      <c r="L2579">
        <v>124.03</v>
      </c>
      <c r="M2579">
        <v>11801</v>
      </c>
      <c r="N2579" t="s">
        <v>40</v>
      </c>
      <c r="O2579">
        <v>250203</v>
      </c>
      <c r="P2579">
        <v>486.38</v>
      </c>
    </row>
    <row r="2580" spans="1:16" x14ac:dyDescent="0.25">
      <c r="A2580" t="s">
        <v>3296</v>
      </c>
      <c r="B2580" t="s">
        <v>2931</v>
      </c>
      <c r="C2580">
        <v>2636</v>
      </c>
      <c r="D2580" t="str">
        <f>"104652      "</f>
        <v xml:space="preserve">104652      </v>
      </c>
      <c r="E2580" t="s">
        <v>804</v>
      </c>
      <c r="F2580" t="s">
        <v>805</v>
      </c>
      <c r="G2580">
        <v>610.41</v>
      </c>
      <c r="H2580">
        <v>250228</v>
      </c>
      <c r="I2580">
        <v>4369</v>
      </c>
      <c r="J2580" t="s">
        <v>188</v>
      </c>
      <c r="K2580">
        <v>610.41</v>
      </c>
      <c r="L2580">
        <v>124.03</v>
      </c>
      <c r="M2580">
        <v>11801</v>
      </c>
      <c r="N2580" t="s">
        <v>40</v>
      </c>
      <c r="O2580">
        <v>250307</v>
      </c>
      <c r="P2580">
        <v>486.38</v>
      </c>
    </row>
    <row r="2581" spans="1:16" x14ac:dyDescent="0.25">
      <c r="A2581" t="s">
        <v>3296</v>
      </c>
      <c r="B2581" t="s">
        <v>2931</v>
      </c>
      <c r="C2581">
        <v>4499</v>
      </c>
      <c r="D2581" t="str">
        <f>"104799      "</f>
        <v xml:space="preserve">104799      </v>
      </c>
      <c r="E2581" t="s">
        <v>804</v>
      </c>
      <c r="F2581" t="s">
        <v>805</v>
      </c>
      <c r="G2581">
        <v>610.41</v>
      </c>
      <c r="H2581">
        <v>250331</v>
      </c>
      <c r="I2581">
        <v>4369</v>
      </c>
      <c r="J2581" t="s">
        <v>188</v>
      </c>
      <c r="K2581">
        <v>610.41</v>
      </c>
      <c r="L2581">
        <v>124.03</v>
      </c>
      <c r="M2581">
        <v>11801</v>
      </c>
      <c r="N2581" t="s">
        <v>40</v>
      </c>
      <c r="O2581">
        <v>250414</v>
      </c>
      <c r="P2581">
        <v>486.38</v>
      </c>
    </row>
    <row r="2582" spans="1:16" x14ac:dyDescent="0.25">
      <c r="A2582" t="s">
        <v>3296</v>
      </c>
      <c r="B2582" t="s">
        <v>2931</v>
      </c>
      <c r="C2582">
        <v>5809</v>
      </c>
      <c r="D2582" t="str">
        <f>"105007      "</f>
        <v xml:space="preserve">105007      </v>
      </c>
      <c r="E2582" t="s">
        <v>804</v>
      </c>
      <c r="F2582" t="s">
        <v>805</v>
      </c>
      <c r="G2582">
        <v>610.41</v>
      </c>
      <c r="H2582">
        <v>250430</v>
      </c>
      <c r="I2582">
        <v>4369</v>
      </c>
      <c r="J2582" t="s">
        <v>188</v>
      </c>
      <c r="K2582">
        <v>610.41</v>
      </c>
      <c r="L2582">
        <v>124.03</v>
      </c>
      <c r="M2582">
        <v>11801</v>
      </c>
      <c r="N2582" t="s">
        <v>40</v>
      </c>
      <c r="O2582">
        <v>250505</v>
      </c>
      <c r="P2582">
        <v>486.38</v>
      </c>
    </row>
    <row r="2583" spans="1:16" x14ac:dyDescent="0.25">
      <c r="A2583" t="s">
        <v>3296</v>
      </c>
      <c r="B2583" t="s">
        <v>2931</v>
      </c>
      <c r="C2583">
        <v>7569</v>
      </c>
      <c r="D2583" t="str">
        <f>"105172      "</f>
        <v xml:space="preserve">105172      </v>
      </c>
      <c r="E2583" t="s">
        <v>804</v>
      </c>
      <c r="F2583" t="s">
        <v>805</v>
      </c>
      <c r="G2583">
        <v>610.41</v>
      </c>
      <c r="H2583">
        <v>250531</v>
      </c>
      <c r="I2583">
        <v>4369</v>
      </c>
      <c r="J2583" t="s">
        <v>188</v>
      </c>
      <c r="K2583">
        <v>610.41</v>
      </c>
      <c r="L2583">
        <v>124.03</v>
      </c>
      <c r="M2583">
        <v>11801</v>
      </c>
      <c r="N2583" t="s">
        <v>40</v>
      </c>
      <c r="O2583">
        <v>250604</v>
      </c>
      <c r="P2583">
        <v>486.38</v>
      </c>
    </row>
    <row r="2584" spans="1:16" x14ac:dyDescent="0.25">
      <c r="A2584" t="s">
        <v>3296</v>
      </c>
      <c r="B2584" t="s">
        <v>2931</v>
      </c>
      <c r="C2584">
        <v>9926</v>
      </c>
      <c r="D2584" t="str">
        <f>"105494      "</f>
        <v xml:space="preserve">105494      </v>
      </c>
      <c r="E2584" t="s">
        <v>804</v>
      </c>
      <c r="F2584" t="s">
        <v>805</v>
      </c>
      <c r="G2584">
        <v>610.41</v>
      </c>
      <c r="H2584">
        <v>250731</v>
      </c>
      <c r="I2584">
        <v>4369</v>
      </c>
      <c r="J2584" t="s">
        <v>188</v>
      </c>
      <c r="K2584">
        <v>610.41</v>
      </c>
      <c r="L2584">
        <v>124.03</v>
      </c>
      <c r="M2584">
        <v>11801</v>
      </c>
      <c r="N2584" t="s">
        <v>40</v>
      </c>
      <c r="O2584">
        <v>250805</v>
      </c>
      <c r="P2584">
        <v>486.38</v>
      </c>
    </row>
    <row r="2585" spans="1:16" x14ac:dyDescent="0.25">
      <c r="A2585" t="s">
        <v>3296</v>
      </c>
      <c r="B2585" t="s">
        <v>2931</v>
      </c>
      <c r="C2585">
        <v>11230</v>
      </c>
      <c r="D2585" t="str">
        <f>"105620      "</f>
        <v xml:space="preserve">105620      </v>
      </c>
      <c r="E2585" t="s">
        <v>804</v>
      </c>
      <c r="F2585" t="s">
        <v>805</v>
      </c>
      <c r="G2585">
        <v>610.41</v>
      </c>
      <c r="H2585">
        <v>250831</v>
      </c>
      <c r="I2585">
        <v>4369</v>
      </c>
      <c r="J2585" t="s">
        <v>188</v>
      </c>
      <c r="K2585">
        <v>610.41</v>
      </c>
      <c r="L2585">
        <v>124.03</v>
      </c>
      <c r="M2585">
        <v>11801</v>
      </c>
      <c r="N2585" t="s">
        <v>40</v>
      </c>
      <c r="O2585">
        <v>250902</v>
      </c>
      <c r="P2585">
        <v>486.38</v>
      </c>
    </row>
    <row r="2586" spans="1:16" x14ac:dyDescent="0.25">
      <c r="A2586" t="s">
        <v>3296</v>
      </c>
      <c r="B2586" t="s">
        <v>2931</v>
      </c>
      <c r="C2586">
        <v>12924</v>
      </c>
      <c r="D2586" t="str">
        <f>"105798      "</f>
        <v xml:space="preserve">105798      </v>
      </c>
      <c r="E2586" t="s">
        <v>804</v>
      </c>
      <c r="F2586" t="s">
        <v>805</v>
      </c>
      <c r="G2586">
        <v>610.41</v>
      </c>
      <c r="H2586">
        <v>250930</v>
      </c>
      <c r="I2586">
        <v>4369</v>
      </c>
      <c r="J2586" t="s">
        <v>188</v>
      </c>
      <c r="K2586">
        <v>610.41</v>
      </c>
      <c r="L2586">
        <v>124.03</v>
      </c>
      <c r="M2586">
        <v>11801</v>
      </c>
      <c r="N2586" t="s">
        <v>40</v>
      </c>
      <c r="O2586">
        <v>251002</v>
      </c>
      <c r="P2586">
        <v>486.38</v>
      </c>
    </row>
    <row r="2587" spans="1:16" x14ac:dyDescent="0.25">
      <c r="A2587" t="s">
        <v>3296</v>
      </c>
      <c r="B2587" t="s">
        <v>2931</v>
      </c>
      <c r="C2587">
        <v>14482</v>
      </c>
      <c r="D2587" t="str">
        <f>"106027      "</f>
        <v xml:space="preserve">106027      </v>
      </c>
      <c r="E2587" t="s">
        <v>804</v>
      </c>
      <c r="F2587" t="s">
        <v>805</v>
      </c>
      <c r="G2587">
        <v>610.41</v>
      </c>
      <c r="H2587">
        <v>251031</v>
      </c>
      <c r="I2587">
        <v>4369</v>
      </c>
      <c r="J2587" t="s">
        <v>188</v>
      </c>
      <c r="K2587">
        <v>610.41</v>
      </c>
      <c r="L2587">
        <v>124.03</v>
      </c>
      <c r="M2587">
        <v>11801</v>
      </c>
      <c r="N2587" t="s">
        <v>40</v>
      </c>
      <c r="O2587">
        <v>251103</v>
      </c>
      <c r="P2587">
        <v>486.38</v>
      </c>
    </row>
    <row r="2588" spans="1:16" x14ac:dyDescent="0.25">
      <c r="A2588" t="s">
        <v>3296</v>
      </c>
      <c r="B2588" t="s">
        <v>2931</v>
      </c>
      <c r="C2588">
        <v>16015</v>
      </c>
      <c r="D2588" t="str">
        <f>"106192      "</f>
        <v xml:space="preserve">106192      </v>
      </c>
      <c r="E2588" t="s">
        <v>804</v>
      </c>
      <c r="F2588" t="s">
        <v>805</v>
      </c>
      <c r="G2588">
        <v>610.41</v>
      </c>
      <c r="H2588">
        <v>251130</v>
      </c>
      <c r="I2588">
        <v>4369</v>
      </c>
      <c r="J2588" t="s">
        <v>188</v>
      </c>
      <c r="K2588">
        <v>610.41</v>
      </c>
      <c r="L2588">
        <v>124.03</v>
      </c>
      <c r="M2588">
        <v>11801</v>
      </c>
      <c r="N2588" t="s">
        <v>40</v>
      </c>
      <c r="O2588">
        <v>251202</v>
      </c>
      <c r="P2588">
        <v>486.38</v>
      </c>
    </row>
    <row r="2589" spans="1:16" x14ac:dyDescent="0.25">
      <c r="A2589" t="s">
        <v>3296</v>
      </c>
      <c r="B2589" t="s">
        <v>2931</v>
      </c>
      <c r="C2589">
        <v>17942</v>
      </c>
      <c r="D2589" t="str">
        <f>"106338      "</f>
        <v xml:space="preserve">106338      </v>
      </c>
      <c r="E2589" t="s">
        <v>804</v>
      </c>
      <c r="F2589" t="s">
        <v>805</v>
      </c>
      <c r="G2589">
        <v>610.41</v>
      </c>
      <c r="H2589">
        <v>251231</v>
      </c>
      <c r="I2589">
        <v>4369</v>
      </c>
      <c r="J2589" t="s">
        <v>188</v>
      </c>
      <c r="K2589">
        <v>610.41</v>
      </c>
      <c r="L2589">
        <v>124.03</v>
      </c>
      <c r="M2589">
        <v>11801</v>
      </c>
      <c r="N2589" t="s">
        <v>40</v>
      </c>
      <c r="O2589">
        <v>260107</v>
      </c>
      <c r="P2589">
        <v>486.38</v>
      </c>
    </row>
    <row r="2590" spans="1:16" x14ac:dyDescent="0.25">
      <c r="A2590" t="s">
        <v>3296</v>
      </c>
      <c r="B2590" t="s">
        <v>2931</v>
      </c>
      <c r="C2590">
        <v>7309</v>
      </c>
      <c r="D2590" t="str">
        <f>"V/2025/06043"</f>
        <v>V/2025/06043</v>
      </c>
      <c r="E2590" t="s">
        <v>567</v>
      </c>
      <c r="F2590" t="s">
        <v>568</v>
      </c>
      <c r="G2590">
        <v>33867.449999999997</v>
      </c>
      <c r="H2590">
        <v>250519</v>
      </c>
      <c r="I2590">
        <v>1198</v>
      </c>
      <c r="J2590" t="s">
        <v>610</v>
      </c>
      <c r="K2590">
        <v>33867.449999999997</v>
      </c>
      <c r="L2590">
        <v>6881.43</v>
      </c>
      <c r="M2590">
        <v>95511</v>
      </c>
      <c r="N2590" t="s">
        <v>1947</v>
      </c>
      <c r="O2590">
        <v>250603</v>
      </c>
      <c r="P2590">
        <v>26986.02</v>
      </c>
    </row>
    <row r="2591" spans="1:16" x14ac:dyDescent="0.25">
      <c r="A2591" t="s">
        <v>3296</v>
      </c>
      <c r="B2591" t="s">
        <v>2931</v>
      </c>
      <c r="C2591">
        <v>678</v>
      </c>
      <c r="D2591" t="str">
        <f>"V/2025/00627"</f>
        <v>V/2025/00627</v>
      </c>
      <c r="E2591" t="s">
        <v>567</v>
      </c>
      <c r="F2591" t="s">
        <v>568</v>
      </c>
      <c r="G2591">
        <v>627.5</v>
      </c>
      <c r="H2591">
        <v>250122</v>
      </c>
      <c r="I2591">
        <v>4346</v>
      </c>
      <c r="J2591" t="s">
        <v>334</v>
      </c>
      <c r="K2591">
        <v>627.5</v>
      </c>
      <c r="L2591">
        <v>127.5</v>
      </c>
      <c r="M2591">
        <v>17802</v>
      </c>
      <c r="N2591" t="s">
        <v>18</v>
      </c>
      <c r="O2591">
        <v>250127</v>
      </c>
      <c r="P2591">
        <v>500</v>
      </c>
    </row>
    <row r="2592" spans="1:16" x14ac:dyDescent="0.25">
      <c r="A2592" t="s">
        <v>3296</v>
      </c>
      <c r="B2592" t="s">
        <v>2931</v>
      </c>
      <c r="C2592">
        <v>709</v>
      </c>
      <c r="D2592" t="str">
        <f>"V/2025/00616"</f>
        <v>V/2025/00616</v>
      </c>
      <c r="E2592" t="s">
        <v>567</v>
      </c>
      <c r="F2592" t="s">
        <v>568</v>
      </c>
      <c r="G2592">
        <v>627.5</v>
      </c>
      <c r="H2592">
        <v>250122</v>
      </c>
      <c r="I2592">
        <v>4367</v>
      </c>
      <c r="J2592" t="s">
        <v>159</v>
      </c>
      <c r="K2592">
        <v>627.5</v>
      </c>
      <c r="L2592">
        <v>127.5</v>
      </c>
      <c r="M2592">
        <v>46557</v>
      </c>
      <c r="N2592" t="s">
        <v>104</v>
      </c>
      <c r="O2592">
        <v>250128</v>
      </c>
      <c r="P2592">
        <v>500</v>
      </c>
    </row>
    <row r="2593" spans="1:16" x14ac:dyDescent="0.25">
      <c r="A2593" t="s">
        <v>3296</v>
      </c>
      <c r="B2593" t="s">
        <v>2931</v>
      </c>
      <c r="C2593">
        <v>9615</v>
      </c>
      <c r="D2593" t="str">
        <f>"V/2025/08070"</f>
        <v>V/2025/08070</v>
      </c>
      <c r="E2593" t="s">
        <v>567</v>
      </c>
      <c r="F2593" t="s">
        <v>568</v>
      </c>
      <c r="G2593">
        <v>345.13</v>
      </c>
      <c r="H2593">
        <v>250707</v>
      </c>
      <c r="I2593">
        <v>4367</v>
      </c>
      <c r="J2593" t="s">
        <v>159</v>
      </c>
      <c r="K2593">
        <v>345.13</v>
      </c>
      <c r="L2593">
        <v>70.13</v>
      </c>
      <c r="M2593">
        <v>56559</v>
      </c>
      <c r="N2593" t="s">
        <v>51</v>
      </c>
      <c r="O2593">
        <v>250721</v>
      </c>
      <c r="P2593">
        <v>275</v>
      </c>
    </row>
    <row r="2594" spans="1:16" x14ac:dyDescent="0.25">
      <c r="A2594" t="s">
        <v>3296</v>
      </c>
      <c r="B2594" t="s">
        <v>2931</v>
      </c>
      <c r="C2594">
        <v>2046</v>
      </c>
      <c r="D2594" t="str">
        <f>"V/2025/01441"</f>
        <v>V/2025/01441</v>
      </c>
      <c r="E2594" t="s">
        <v>567</v>
      </c>
      <c r="F2594" t="s">
        <v>568</v>
      </c>
      <c r="G2594">
        <v>1604.59</v>
      </c>
      <c r="H2594">
        <v>250210</v>
      </c>
      <c r="I2594">
        <v>4400</v>
      </c>
      <c r="J2594" t="s">
        <v>162</v>
      </c>
      <c r="K2594">
        <v>1604.59</v>
      </c>
      <c r="L2594">
        <v>326.02999999999997</v>
      </c>
      <c r="M2594">
        <v>17802</v>
      </c>
      <c r="N2594" t="s">
        <v>18</v>
      </c>
      <c r="O2594">
        <v>250220</v>
      </c>
      <c r="P2594">
        <v>1278.56</v>
      </c>
    </row>
    <row r="2595" spans="1:16" x14ac:dyDescent="0.25">
      <c r="A2595" t="s">
        <v>3296</v>
      </c>
      <c r="B2595" t="s">
        <v>2931</v>
      </c>
      <c r="C2595">
        <v>2050</v>
      </c>
      <c r="D2595" t="str">
        <f>"V/2025/01443"</f>
        <v>V/2025/01443</v>
      </c>
      <c r="E2595" t="s">
        <v>567</v>
      </c>
      <c r="F2595" t="s">
        <v>568</v>
      </c>
      <c r="G2595">
        <v>1269.3800000000001</v>
      </c>
      <c r="H2595">
        <v>250210</v>
      </c>
      <c r="I2595">
        <v>4400</v>
      </c>
      <c r="J2595" t="s">
        <v>162</v>
      </c>
      <c r="K2595">
        <v>1269.3800000000001</v>
      </c>
      <c r="L2595">
        <v>257.92</v>
      </c>
      <c r="M2595">
        <v>17802</v>
      </c>
      <c r="N2595" t="s">
        <v>18</v>
      </c>
      <c r="O2595">
        <v>250220</v>
      </c>
      <c r="P2595">
        <v>1011.46</v>
      </c>
    </row>
    <row r="2596" spans="1:16" x14ac:dyDescent="0.25">
      <c r="A2596" t="s">
        <v>3296</v>
      </c>
      <c r="B2596" t="s">
        <v>2931</v>
      </c>
      <c r="C2596">
        <v>7012</v>
      </c>
      <c r="D2596" t="str">
        <f>"V/2025/06044"</f>
        <v>V/2025/06044</v>
      </c>
      <c r="E2596" t="s">
        <v>567</v>
      </c>
      <c r="F2596" t="s">
        <v>568</v>
      </c>
      <c r="G2596">
        <v>922.43</v>
      </c>
      <c r="H2596">
        <v>250519</v>
      </c>
      <c r="I2596">
        <v>4400</v>
      </c>
      <c r="J2596" t="s">
        <v>162</v>
      </c>
      <c r="K2596">
        <v>922.43</v>
      </c>
      <c r="L2596">
        <v>187.43</v>
      </c>
      <c r="M2596">
        <v>56559</v>
      </c>
      <c r="N2596" t="s">
        <v>51</v>
      </c>
      <c r="O2596">
        <v>250521</v>
      </c>
      <c r="P2596">
        <v>735</v>
      </c>
    </row>
    <row r="2597" spans="1:16" x14ac:dyDescent="0.25">
      <c r="A2597" t="s">
        <v>3296</v>
      </c>
      <c r="B2597" t="s">
        <v>2931</v>
      </c>
      <c r="C2597">
        <v>8404</v>
      </c>
      <c r="D2597" t="str">
        <f>"V/2025/06838"</f>
        <v>V/2025/06838</v>
      </c>
      <c r="E2597" t="s">
        <v>567</v>
      </c>
      <c r="F2597" t="s">
        <v>568</v>
      </c>
      <c r="G2597">
        <v>2972.36</v>
      </c>
      <c r="H2597">
        <v>250605</v>
      </c>
      <c r="I2597">
        <v>4400</v>
      </c>
      <c r="J2597" t="s">
        <v>162</v>
      </c>
      <c r="K2597">
        <v>2972.36</v>
      </c>
      <c r="L2597">
        <v>603.95000000000005</v>
      </c>
      <c r="M2597">
        <v>56559</v>
      </c>
      <c r="N2597" t="s">
        <v>51</v>
      </c>
      <c r="O2597">
        <v>250613</v>
      </c>
      <c r="P2597">
        <v>2368.41</v>
      </c>
    </row>
    <row r="2598" spans="1:16" x14ac:dyDescent="0.25">
      <c r="A2598" t="s">
        <v>3296</v>
      </c>
      <c r="B2598" t="s">
        <v>2931</v>
      </c>
      <c r="C2598">
        <v>9848</v>
      </c>
      <c r="D2598" t="str">
        <f>"V/2025/08879"</f>
        <v>V/2025/08879</v>
      </c>
      <c r="E2598" t="s">
        <v>567</v>
      </c>
      <c r="F2598" t="s">
        <v>568</v>
      </c>
      <c r="G2598">
        <v>2462.31</v>
      </c>
      <c r="H2598">
        <v>250725</v>
      </c>
      <c r="I2598">
        <v>4400</v>
      </c>
      <c r="J2598" t="s">
        <v>162</v>
      </c>
      <c r="K2598">
        <v>2462.31</v>
      </c>
      <c r="L2598">
        <v>500.31</v>
      </c>
      <c r="M2598">
        <v>56559</v>
      </c>
      <c r="N2598" t="s">
        <v>51</v>
      </c>
      <c r="O2598">
        <v>250729</v>
      </c>
      <c r="P2598">
        <v>1962</v>
      </c>
    </row>
    <row r="2599" spans="1:16" x14ac:dyDescent="0.25">
      <c r="A2599" t="s">
        <v>3296</v>
      </c>
      <c r="B2599" t="s">
        <v>2931</v>
      </c>
      <c r="C2599">
        <v>10759</v>
      </c>
      <c r="D2599" t="str">
        <f>"V/2025/09986"</f>
        <v>V/2025/09986</v>
      </c>
      <c r="E2599" t="s">
        <v>567</v>
      </c>
      <c r="F2599" t="s">
        <v>568</v>
      </c>
      <c r="G2599">
        <v>1085.58</v>
      </c>
      <c r="H2599">
        <v>250820</v>
      </c>
      <c r="I2599">
        <v>4400</v>
      </c>
      <c r="J2599" t="s">
        <v>162</v>
      </c>
      <c r="K2599">
        <v>1085.58</v>
      </c>
      <c r="L2599">
        <v>220.58</v>
      </c>
      <c r="M2599">
        <v>56559</v>
      </c>
      <c r="N2599" t="s">
        <v>51</v>
      </c>
      <c r="O2599">
        <v>250822</v>
      </c>
      <c r="P2599">
        <v>865</v>
      </c>
    </row>
    <row r="2600" spans="1:16" x14ac:dyDescent="0.25">
      <c r="A2600" t="s">
        <v>3296</v>
      </c>
      <c r="B2600" t="s">
        <v>2931</v>
      </c>
      <c r="C2600">
        <v>12972</v>
      </c>
      <c r="D2600" t="str">
        <f>"V/2025/11653"</f>
        <v>V/2025/11653</v>
      </c>
      <c r="E2600" t="s">
        <v>567</v>
      </c>
      <c r="F2600" t="s">
        <v>568</v>
      </c>
      <c r="G2600">
        <v>155.62</v>
      </c>
      <c r="H2600">
        <v>250929</v>
      </c>
      <c r="I2600">
        <v>4400</v>
      </c>
      <c r="J2600" t="s">
        <v>162</v>
      </c>
      <c r="K2600">
        <v>155.62</v>
      </c>
      <c r="L2600">
        <v>31.62</v>
      </c>
      <c r="M2600">
        <v>56559</v>
      </c>
      <c r="N2600" t="s">
        <v>51</v>
      </c>
      <c r="O2600">
        <v>251003</v>
      </c>
      <c r="P2600">
        <v>124</v>
      </c>
    </row>
    <row r="2601" spans="1:16" x14ac:dyDescent="0.25">
      <c r="A2601" t="s">
        <v>3296</v>
      </c>
      <c r="B2601" t="s">
        <v>2931</v>
      </c>
      <c r="C2601">
        <v>15304</v>
      </c>
      <c r="D2601" t="str">
        <f>"V/2025/13412"</f>
        <v>V/2025/13412</v>
      </c>
      <c r="E2601" t="s">
        <v>567</v>
      </c>
      <c r="F2601" t="s">
        <v>568</v>
      </c>
      <c r="G2601">
        <v>1366.95</v>
      </c>
      <c r="H2601">
        <v>251031</v>
      </c>
      <c r="I2601">
        <v>4400</v>
      </c>
      <c r="J2601" t="s">
        <v>162</v>
      </c>
      <c r="K2601">
        <v>1366.95</v>
      </c>
      <c r="L2601">
        <v>277.75</v>
      </c>
      <c r="M2601">
        <v>17802</v>
      </c>
      <c r="N2601" t="s">
        <v>18</v>
      </c>
      <c r="O2601">
        <v>251118</v>
      </c>
      <c r="P2601">
        <v>1089.2</v>
      </c>
    </row>
    <row r="2602" spans="1:16" x14ac:dyDescent="0.25">
      <c r="A2602" t="s">
        <v>3296</v>
      </c>
      <c r="B2602" t="s">
        <v>2931</v>
      </c>
      <c r="C2602">
        <v>16056</v>
      </c>
      <c r="D2602" t="str">
        <f>"V/2025/14704"</f>
        <v>V/2025/14704</v>
      </c>
      <c r="E2602" t="s">
        <v>567</v>
      </c>
      <c r="F2602" t="s">
        <v>568</v>
      </c>
      <c r="G2602">
        <v>452.43</v>
      </c>
      <c r="H2602">
        <v>251127</v>
      </c>
      <c r="I2602">
        <v>4400</v>
      </c>
      <c r="J2602" t="s">
        <v>162</v>
      </c>
      <c r="K2602">
        <v>452.43</v>
      </c>
      <c r="L2602">
        <v>91.93</v>
      </c>
      <c r="M2602">
        <v>17802</v>
      </c>
      <c r="N2602" t="s">
        <v>18</v>
      </c>
      <c r="O2602">
        <v>251203</v>
      </c>
      <c r="P2602">
        <v>360.5</v>
      </c>
    </row>
    <row r="2603" spans="1:16" x14ac:dyDescent="0.25">
      <c r="A2603" t="s">
        <v>3296</v>
      </c>
      <c r="B2603" t="s">
        <v>2931</v>
      </c>
      <c r="C2603">
        <v>18305</v>
      </c>
      <c r="D2603" t="str">
        <f>"V/2025/16214"</f>
        <v>V/2025/16214</v>
      </c>
      <c r="E2603" t="s">
        <v>567</v>
      </c>
      <c r="F2603" t="s">
        <v>568</v>
      </c>
      <c r="G2603">
        <v>1330.55</v>
      </c>
      <c r="H2603">
        <v>251231</v>
      </c>
      <c r="I2603">
        <v>4400</v>
      </c>
      <c r="J2603" t="s">
        <v>162</v>
      </c>
      <c r="K2603">
        <v>1330.55</v>
      </c>
      <c r="L2603">
        <v>270.35000000000002</v>
      </c>
      <c r="M2603">
        <v>17802</v>
      </c>
      <c r="N2603" t="s">
        <v>18</v>
      </c>
      <c r="O2603">
        <v>260113</v>
      </c>
      <c r="P2603">
        <v>1060.2</v>
      </c>
    </row>
    <row r="2604" spans="1:16" x14ac:dyDescent="0.25">
      <c r="A2604" t="s">
        <v>3296</v>
      </c>
      <c r="B2604" t="s">
        <v>2931</v>
      </c>
      <c r="C2604">
        <v>515</v>
      </c>
      <c r="D2604" t="str">
        <f>"V/2025/00566"</f>
        <v>V/2025/00566</v>
      </c>
      <c r="E2604" t="s">
        <v>567</v>
      </c>
      <c r="F2604" t="s">
        <v>568</v>
      </c>
      <c r="G2604">
        <v>251.64</v>
      </c>
      <c r="H2604">
        <v>250121</v>
      </c>
      <c r="I2604">
        <v>4580</v>
      </c>
      <c r="J2604" t="s">
        <v>126</v>
      </c>
      <c r="K2604">
        <v>251.64</v>
      </c>
      <c r="L2604">
        <v>51.13</v>
      </c>
      <c r="M2604">
        <v>56559</v>
      </c>
      <c r="N2604" t="s">
        <v>51</v>
      </c>
      <c r="O2604">
        <v>250123</v>
      </c>
      <c r="P2604">
        <v>200.51</v>
      </c>
    </row>
    <row r="2605" spans="1:16" x14ac:dyDescent="0.25">
      <c r="A2605" t="s">
        <v>3296</v>
      </c>
      <c r="B2605" t="s">
        <v>2931</v>
      </c>
      <c r="C2605">
        <v>1443</v>
      </c>
      <c r="D2605" t="str">
        <f>"V/2025/01415"</f>
        <v>V/2025/01415</v>
      </c>
      <c r="E2605" t="s">
        <v>567</v>
      </c>
      <c r="F2605" t="s">
        <v>568</v>
      </c>
      <c r="G2605">
        <v>582.27</v>
      </c>
      <c r="H2605">
        <v>250206</v>
      </c>
      <c r="I2605">
        <v>4580</v>
      </c>
      <c r="J2605" t="s">
        <v>126</v>
      </c>
      <c r="K2605">
        <v>582.27</v>
      </c>
      <c r="L2605">
        <v>118.31</v>
      </c>
      <c r="M2605">
        <v>56559</v>
      </c>
      <c r="N2605" t="s">
        <v>51</v>
      </c>
      <c r="O2605">
        <v>250210</v>
      </c>
      <c r="P2605">
        <v>463.96</v>
      </c>
    </row>
    <row r="2606" spans="1:16" x14ac:dyDescent="0.25">
      <c r="A2606" t="s">
        <v>3296</v>
      </c>
      <c r="B2606" t="s">
        <v>2931</v>
      </c>
      <c r="C2606">
        <v>4176</v>
      </c>
      <c r="D2606" t="str">
        <f>"V/2025/03493"</f>
        <v>V/2025/03493</v>
      </c>
      <c r="E2606" t="s">
        <v>567</v>
      </c>
      <c r="F2606" t="s">
        <v>568</v>
      </c>
      <c r="G2606">
        <v>1100.45</v>
      </c>
      <c r="H2606">
        <v>250326</v>
      </c>
      <c r="I2606">
        <v>4580</v>
      </c>
      <c r="J2606" t="s">
        <v>126</v>
      </c>
      <c r="K2606">
        <v>1100.45</v>
      </c>
      <c r="L2606">
        <v>223.6</v>
      </c>
      <c r="M2606">
        <v>56559</v>
      </c>
      <c r="N2606" t="s">
        <v>51</v>
      </c>
      <c r="O2606">
        <v>250408</v>
      </c>
      <c r="P2606">
        <v>876.85</v>
      </c>
    </row>
    <row r="2607" spans="1:16" x14ac:dyDescent="0.25">
      <c r="A2607" t="s">
        <v>3296</v>
      </c>
      <c r="B2607" t="s">
        <v>2931</v>
      </c>
      <c r="C2607">
        <v>5279</v>
      </c>
      <c r="D2607" t="str">
        <f>"V/2025/04432"</f>
        <v>V/2025/04432</v>
      </c>
      <c r="E2607" t="s">
        <v>567</v>
      </c>
      <c r="F2607" t="s">
        <v>568</v>
      </c>
      <c r="G2607">
        <v>219</v>
      </c>
      <c r="H2607">
        <v>250410</v>
      </c>
      <c r="I2607">
        <v>4580</v>
      </c>
      <c r="J2607" t="s">
        <v>126</v>
      </c>
      <c r="K2607">
        <v>219</v>
      </c>
      <c r="L2607">
        <v>44.5</v>
      </c>
      <c r="M2607">
        <v>56559</v>
      </c>
      <c r="N2607" t="s">
        <v>51</v>
      </c>
      <c r="O2607">
        <v>250423</v>
      </c>
      <c r="P2607">
        <v>174.5</v>
      </c>
    </row>
    <row r="2608" spans="1:16" x14ac:dyDescent="0.25">
      <c r="A2608" t="s">
        <v>3296</v>
      </c>
      <c r="B2608" t="s">
        <v>2931</v>
      </c>
      <c r="C2608">
        <v>15334</v>
      </c>
      <c r="D2608" t="str">
        <f>"V/2025/13415"</f>
        <v>V/2025/13415</v>
      </c>
      <c r="E2608" t="s">
        <v>567</v>
      </c>
      <c r="F2608" t="s">
        <v>568</v>
      </c>
      <c r="G2608">
        <v>507.9</v>
      </c>
      <c r="H2608">
        <v>251104</v>
      </c>
      <c r="I2608">
        <v>4580</v>
      </c>
      <c r="J2608" t="s">
        <v>126</v>
      </c>
      <c r="K2608">
        <v>507.9</v>
      </c>
      <c r="L2608">
        <v>103.2</v>
      </c>
      <c r="M2608">
        <v>56559</v>
      </c>
      <c r="N2608" t="s">
        <v>51</v>
      </c>
      <c r="O2608">
        <v>251119</v>
      </c>
      <c r="P2608">
        <v>404.7</v>
      </c>
    </row>
    <row r="2609" spans="1:16" x14ac:dyDescent="0.25">
      <c r="A2609" t="s">
        <v>3296</v>
      </c>
      <c r="B2609" t="s">
        <v>2931</v>
      </c>
      <c r="C2609">
        <v>13114</v>
      </c>
      <c r="D2609" t="str">
        <f>"V/2025/11612"</f>
        <v>V/2025/11612</v>
      </c>
      <c r="E2609" t="s">
        <v>567</v>
      </c>
      <c r="F2609" t="s">
        <v>568</v>
      </c>
      <c r="G2609">
        <v>212.35</v>
      </c>
      <c r="H2609">
        <v>250926</v>
      </c>
      <c r="I2609">
        <v>4600</v>
      </c>
      <c r="J2609" t="s">
        <v>278</v>
      </c>
      <c r="K2609">
        <v>212.35</v>
      </c>
      <c r="L2609">
        <v>43.15</v>
      </c>
      <c r="M2609">
        <v>56568</v>
      </c>
      <c r="N2609" t="s">
        <v>354</v>
      </c>
      <c r="O2609">
        <v>251006</v>
      </c>
      <c r="P2609">
        <v>169.2</v>
      </c>
    </row>
    <row r="2610" spans="1:16" x14ac:dyDescent="0.25">
      <c r="A2610" t="s">
        <v>3296</v>
      </c>
      <c r="B2610" t="s">
        <v>2931</v>
      </c>
      <c r="C2610">
        <v>4422</v>
      </c>
      <c r="D2610" t="str">
        <f>"1022250     "</f>
        <v xml:space="preserve">1022250     </v>
      </c>
      <c r="E2610" t="s">
        <v>693</v>
      </c>
      <c r="F2610" t="s">
        <v>694</v>
      </c>
      <c r="G2610">
        <v>1517.46</v>
      </c>
      <c r="H2610">
        <v>250331</v>
      </c>
      <c r="I2610">
        <v>4400</v>
      </c>
      <c r="J2610" t="s">
        <v>162</v>
      </c>
      <c r="K2610">
        <v>1517.46</v>
      </c>
      <c r="L2610">
        <v>308.33</v>
      </c>
      <c r="M2610">
        <v>69501</v>
      </c>
      <c r="N2610" t="s">
        <v>123</v>
      </c>
      <c r="O2610">
        <v>250411</v>
      </c>
      <c r="P2610">
        <v>1209.1300000000001</v>
      </c>
    </row>
    <row r="2611" spans="1:16" x14ac:dyDescent="0.25">
      <c r="A2611" t="s">
        <v>3296</v>
      </c>
      <c r="B2611" t="s">
        <v>2931</v>
      </c>
      <c r="C2611">
        <v>4925</v>
      </c>
      <c r="D2611" t="str">
        <f>"1022540     "</f>
        <v xml:space="preserve">1022540     </v>
      </c>
      <c r="E2611" t="s">
        <v>693</v>
      </c>
      <c r="F2611" t="s">
        <v>694</v>
      </c>
      <c r="G2611">
        <v>1926.41</v>
      </c>
      <c r="H2611">
        <v>250408</v>
      </c>
      <c r="I2611">
        <v>4400</v>
      </c>
      <c r="J2611" t="s">
        <v>162</v>
      </c>
      <c r="K2611">
        <v>1926.41</v>
      </c>
      <c r="L2611">
        <v>391.42</v>
      </c>
      <c r="M2611">
        <v>69501</v>
      </c>
      <c r="N2611" t="s">
        <v>123</v>
      </c>
      <c r="O2611">
        <v>250416</v>
      </c>
      <c r="P2611">
        <v>1534.99</v>
      </c>
    </row>
    <row r="2612" spans="1:16" x14ac:dyDescent="0.25">
      <c r="A2612" t="s">
        <v>3296</v>
      </c>
      <c r="B2612" t="s">
        <v>2931</v>
      </c>
      <c r="C2612">
        <v>10404</v>
      </c>
      <c r="D2612" t="str">
        <f>"1025701     "</f>
        <v xml:space="preserve">1025701     </v>
      </c>
      <c r="E2612" t="s">
        <v>693</v>
      </c>
      <c r="F2612" t="s">
        <v>694</v>
      </c>
      <c r="G2612">
        <v>806.87</v>
      </c>
      <c r="H2612">
        <v>250808</v>
      </c>
      <c r="I2612">
        <v>4400</v>
      </c>
      <c r="J2612" t="s">
        <v>162</v>
      </c>
      <c r="K2612">
        <v>1008.59</v>
      </c>
      <c r="L2612">
        <v>163.95</v>
      </c>
      <c r="M2612">
        <v>69113</v>
      </c>
      <c r="N2612" t="s">
        <v>122</v>
      </c>
      <c r="O2612">
        <v>250818</v>
      </c>
      <c r="P2612">
        <v>642.91999999999996</v>
      </c>
    </row>
    <row r="2613" spans="1:16" x14ac:dyDescent="0.25">
      <c r="A2613" t="s">
        <v>3296</v>
      </c>
      <c r="B2613" t="s">
        <v>2931</v>
      </c>
      <c r="C2613">
        <v>10404</v>
      </c>
      <c r="D2613" t="str">
        <f>"1025701     "</f>
        <v xml:space="preserve">1025701     </v>
      </c>
      <c r="E2613" t="s">
        <v>693</v>
      </c>
      <c r="F2613" t="s">
        <v>694</v>
      </c>
      <c r="G2613">
        <v>100.86</v>
      </c>
      <c r="H2613">
        <v>250808</v>
      </c>
      <c r="I2613">
        <v>4400</v>
      </c>
      <c r="J2613" t="s">
        <v>162</v>
      </c>
      <c r="K2613">
        <v>1008.59</v>
      </c>
      <c r="L2613">
        <v>20.49</v>
      </c>
      <c r="M2613">
        <v>69810</v>
      </c>
      <c r="N2613" t="s">
        <v>229</v>
      </c>
      <c r="O2613">
        <v>250818</v>
      </c>
      <c r="P2613">
        <v>80.37</v>
      </c>
    </row>
    <row r="2614" spans="1:16" x14ac:dyDescent="0.25">
      <c r="A2614" t="s">
        <v>3296</v>
      </c>
      <c r="B2614" t="s">
        <v>2931</v>
      </c>
      <c r="C2614">
        <v>10404</v>
      </c>
      <c r="D2614" t="str">
        <f>"1025701     "</f>
        <v xml:space="preserve">1025701     </v>
      </c>
      <c r="E2614" t="s">
        <v>693</v>
      </c>
      <c r="F2614" t="s">
        <v>694</v>
      </c>
      <c r="G2614">
        <v>100.86</v>
      </c>
      <c r="H2614">
        <v>250808</v>
      </c>
      <c r="I2614">
        <v>4400</v>
      </c>
      <c r="J2614" t="s">
        <v>162</v>
      </c>
      <c r="K2614">
        <v>1008.59</v>
      </c>
      <c r="L2614">
        <v>20.49</v>
      </c>
      <c r="M2614">
        <v>69811</v>
      </c>
      <c r="N2614" t="s">
        <v>230</v>
      </c>
      <c r="O2614">
        <v>250818</v>
      </c>
      <c r="P2614">
        <v>80.37</v>
      </c>
    </row>
    <row r="2615" spans="1:16" x14ac:dyDescent="0.25">
      <c r="A2615" t="s">
        <v>3296</v>
      </c>
      <c r="B2615" t="s">
        <v>2931</v>
      </c>
      <c r="C2615">
        <v>12781</v>
      </c>
      <c r="D2615" t="str">
        <f>"2751514     "</f>
        <v xml:space="preserve">2751514     </v>
      </c>
      <c r="E2615" t="s">
        <v>693</v>
      </c>
      <c r="F2615" t="s">
        <v>694</v>
      </c>
      <c r="G2615">
        <v>489.45</v>
      </c>
      <c r="H2615">
        <v>250916</v>
      </c>
      <c r="I2615">
        <v>4400</v>
      </c>
      <c r="J2615" t="s">
        <v>162</v>
      </c>
      <c r="K2615">
        <v>489.45</v>
      </c>
      <c r="L2615">
        <v>99.45</v>
      </c>
      <c r="M2615">
        <v>44222</v>
      </c>
      <c r="N2615" t="s">
        <v>96</v>
      </c>
      <c r="O2615">
        <v>250930</v>
      </c>
      <c r="P2615">
        <v>390</v>
      </c>
    </row>
    <row r="2616" spans="1:16" x14ac:dyDescent="0.25">
      <c r="A2616" t="s">
        <v>3296</v>
      </c>
      <c r="B2616" t="s">
        <v>2931</v>
      </c>
      <c r="C2616">
        <v>12802</v>
      </c>
      <c r="D2616" t="str">
        <f>"1026996     "</f>
        <v xml:space="preserve">1026996     </v>
      </c>
      <c r="E2616" t="s">
        <v>693</v>
      </c>
      <c r="F2616" t="s">
        <v>694</v>
      </c>
      <c r="G2616">
        <v>1357.22</v>
      </c>
      <c r="H2616">
        <v>250918</v>
      </c>
      <c r="I2616">
        <v>4400</v>
      </c>
      <c r="J2616" t="s">
        <v>162</v>
      </c>
      <c r="K2616">
        <v>3365.78</v>
      </c>
      <c r="L2616">
        <v>275.77</v>
      </c>
      <c r="M2616">
        <v>17913</v>
      </c>
      <c r="N2616" t="s">
        <v>26</v>
      </c>
      <c r="O2616">
        <v>250930</v>
      </c>
      <c r="P2616">
        <v>1081.45</v>
      </c>
    </row>
    <row r="2617" spans="1:16" x14ac:dyDescent="0.25">
      <c r="A2617" t="s">
        <v>3296</v>
      </c>
      <c r="B2617" t="s">
        <v>2931</v>
      </c>
      <c r="C2617">
        <v>15159</v>
      </c>
      <c r="D2617" t="str">
        <f>"1028469     "</f>
        <v xml:space="preserve">1028469     </v>
      </c>
      <c r="E2617" t="s">
        <v>693</v>
      </c>
      <c r="F2617" t="s">
        <v>694</v>
      </c>
      <c r="G2617">
        <v>599.38</v>
      </c>
      <c r="H2617">
        <v>251104</v>
      </c>
      <c r="I2617">
        <v>4400</v>
      </c>
      <c r="J2617" t="s">
        <v>162</v>
      </c>
      <c r="K2617">
        <v>749.23</v>
      </c>
      <c r="L2617">
        <v>121.79</v>
      </c>
      <c r="M2617">
        <v>69113</v>
      </c>
      <c r="N2617" t="s">
        <v>122</v>
      </c>
      <c r="O2617">
        <v>251113</v>
      </c>
      <c r="P2617">
        <v>477.59</v>
      </c>
    </row>
    <row r="2618" spans="1:16" x14ac:dyDescent="0.25">
      <c r="A2618" t="s">
        <v>3296</v>
      </c>
      <c r="B2618" t="s">
        <v>2931</v>
      </c>
      <c r="C2618">
        <v>15159</v>
      </c>
      <c r="D2618" t="str">
        <f>"1028469     "</f>
        <v xml:space="preserve">1028469     </v>
      </c>
      <c r="E2618" t="s">
        <v>693</v>
      </c>
      <c r="F2618" t="s">
        <v>694</v>
      </c>
      <c r="G2618">
        <v>74.930000000000007</v>
      </c>
      <c r="H2618">
        <v>251104</v>
      </c>
      <c r="I2618">
        <v>4400</v>
      </c>
      <c r="J2618" t="s">
        <v>162</v>
      </c>
      <c r="K2618">
        <v>749.23</v>
      </c>
      <c r="L2618">
        <v>15.22</v>
      </c>
      <c r="M2618">
        <v>69802</v>
      </c>
      <c r="N2618" t="s">
        <v>375</v>
      </c>
      <c r="O2618">
        <v>251113</v>
      </c>
      <c r="P2618">
        <v>59.71</v>
      </c>
    </row>
    <row r="2619" spans="1:16" x14ac:dyDescent="0.25">
      <c r="A2619" t="s">
        <v>3296</v>
      </c>
      <c r="B2619" t="s">
        <v>2931</v>
      </c>
      <c r="C2619">
        <v>15159</v>
      </c>
      <c r="D2619" t="str">
        <f>"1028469     "</f>
        <v xml:space="preserve">1028469     </v>
      </c>
      <c r="E2619" t="s">
        <v>693</v>
      </c>
      <c r="F2619" t="s">
        <v>694</v>
      </c>
      <c r="G2619">
        <v>74.92</v>
      </c>
      <c r="H2619">
        <v>251104</v>
      </c>
      <c r="I2619">
        <v>4400</v>
      </c>
      <c r="J2619" t="s">
        <v>162</v>
      </c>
      <c r="K2619">
        <v>749.23</v>
      </c>
      <c r="L2619">
        <v>15.22</v>
      </c>
      <c r="M2619">
        <v>69804</v>
      </c>
      <c r="N2619" t="s">
        <v>376</v>
      </c>
      <c r="O2619">
        <v>251113</v>
      </c>
      <c r="P2619">
        <v>59.7</v>
      </c>
    </row>
    <row r="2620" spans="1:16" x14ac:dyDescent="0.25">
      <c r="A2620" t="s">
        <v>3296</v>
      </c>
      <c r="B2620" t="s">
        <v>2931</v>
      </c>
      <c r="C2620">
        <v>5674</v>
      </c>
      <c r="D2620" t="str">
        <f>"2739623     "</f>
        <v xml:space="preserve">2739623     </v>
      </c>
      <c r="E2620" t="s">
        <v>693</v>
      </c>
      <c r="F2620" t="s">
        <v>694</v>
      </c>
      <c r="G2620">
        <v>320.02</v>
      </c>
      <c r="H2620">
        <v>250404</v>
      </c>
      <c r="I2620">
        <v>4550</v>
      </c>
      <c r="J2620" t="s">
        <v>226</v>
      </c>
      <c r="K2620">
        <v>320.02</v>
      </c>
      <c r="L2620">
        <v>65.02</v>
      </c>
      <c r="M2620">
        <v>14640</v>
      </c>
      <c r="N2620" t="s">
        <v>78</v>
      </c>
      <c r="O2620">
        <v>250428</v>
      </c>
      <c r="P2620">
        <v>255</v>
      </c>
    </row>
    <row r="2621" spans="1:16" x14ac:dyDescent="0.25">
      <c r="A2621" t="s">
        <v>3296</v>
      </c>
      <c r="B2621" t="s">
        <v>2931</v>
      </c>
      <c r="C2621">
        <v>1892</v>
      </c>
      <c r="D2621" t="str">
        <f>"2735254     "</f>
        <v xml:space="preserve">2735254     </v>
      </c>
      <c r="E2621" t="s">
        <v>693</v>
      </c>
      <c r="F2621" t="s">
        <v>694</v>
      </c>
      <c r="G2621">
        <v>1600.13</v>
      </c>
      <c r="H2621">
        <v>250205</v>
      </c>
      <c r="I2621">
        <v>4580</v>
      </c>
      <c r="J2621" t="s">
        <v>126</v>
      </c>
      <c r="K2621">
        <v>1600.13</v>
      </c>
      <c r="L2621">
        <v>325.13</v>
      </c>
      <c r="M2621">
        <v>44222</v>
      </c>
      <c r="N2621" t="s">
        <v>96</v>
      </c>
      <c r="O2621">
        <v>250214</v>
      </c>
      <c r="P2621">
        <v>1275</v>
      </c>
    </row>
    <row r="2622" spans="1:16" x14ac:dyDescent="0.25">
      <c r="A2622" t="s">
        <v>3296</v>
      </c>
      <c r="B2622" t="s">
        <v>2931</v>
      </c>
      <c r="C2622">
        <v>2442</v>
      </c>
      <c r="D2622" t="str">
        <f>"2736347     "</f>
        <v xml:space="preserve">2736347     </v>
      </c>
      <c r="E2622" t="s">
        <v>693</v>
      </c>
      <c r="F2622" t="s">
        <v>694</v>
      </c>
      <c r="G2622">
        <v>504.51</v>
      </c>
      <c r="H2622">
        <v>250220</v>
      </c>
      <c r="I2622">
        <v>4580</v>
      </c>
      <c r="J2622" t="s">
        <v>126</v>
      </c>
      <c r="K2622">
        <v>504.51</v>
      </c>
      <c r="L2622">
        <v>102.51</v>
      </c>
      <c r="M2622">
        <v>44222</v>
      </c>
      <c r="N2622" t="s">
        <v>96</v>
      </c>
      <c r="O2622">
        <v>250226</v>
      </c>
      <c r="P2622">
        <v>402</v>
      </c>
    </row>
    <row r="2623" spans="1:16" x14ac:dyDescent="0.25">
      <c r="A2623" t="s">
        <v>3296</v>
      </c>
      <c r="B2623" t="s">
        <v>2931</v>
      </c>
      <c r="C2623">
        <v>5930</v>
      </c>
      <c r="D2623" t="str">
        <f>"2741184     "</f>
        <v xml:space="preserve">2741184     </v>
      </c>
      <c r="E2623" t="s">
        <v>693</v>
      </c>
      <c r="F2623" t="s">
        <v>694</v>
      </c>
      <c r="G2623">
        <v>3055.93</v>
      </c>
      <c r="H2623">
        <v>250429</v>
      </c>
      <c r="I2623">
        <v>4580</v>
      </c>
      <c r="J2623" t="s">
        <v>126</v>
      </c>
      <c r="K2623">
        <v>3055.93</v>
      </c>
      <c r="L2623">
        <v>620.92999999999995</v>
      </c>
      <c r="M2623">
        <v>54451</v>
      </c>
      <c r="N2623" t="s">
        <v>218</v>
      </c>
      <c r="O2623">
        <v>250507</v>
      </c>
      <c r="P2623">
        <v>2435</v>
      </c>
    </row>
    <row r="2624" spans="1:16" x14ac:dyDescent="0.25">
      <c r="A2624" t="s">
        <v>3296</v>
      </c>
      <c r="B2624" t="s">
        <v>2931</v>
      </c>
      <c r="C2624">
        <v>12776</v>
      </c>
      <c r="D2624" t="str">
        <f>"2751418     "</f>
        <v xml:space="preserve">2751418     </v>
      </c>
      <c r="E2624" t="s">
        <v>693</v>
      </c>
      <c r="F2624" t="s">
        <v>694</v>
      </c>
      <c r="G2624">
        <v>1539.65</v>
      </c>
      <c r="H2624">
        <v>250915</v>
      </c>
      <c r="I2624">
        <v>4580</v>
      </c>
      <c r="J2624" t="s">
        <v>126</v>
      </c>
      <c r="K2624">
        <v>1539.65</v>
      </c>
      <c r="L2624">
        <v>312.83999999999997</v>
      </c>
      <c r="M2624">
        <v>44222</v>
      </c>
      <c r="N2624" t="s">
        <v>96</v>
      </c>
      <c r="O2624">
        <v>250930</v>
      </c>
      <c r="P2624">
        <v>1226.81</v>
      </c>
    </row>
    <row r="2625" spans="1:16" x14ac:dyDescent="0.25">
      <c r="A2625" t="s">
        <v>3296</v>
      </c>
      <c r="B2625" t="s">
        <v>2931</v>
      </c>
      <c r="C2625">
        <v>13867</v>
      </c>
      <c r="D2625" t="str">
        <f>"2753445     "</f>
        <v xml:space="preserve">2753445     </v>
      </c>
      <c r="E2625" t="s">
        <v>693</v>
      </c>
      <c r="F2625" t="s">
        <v>694</v>
      </c>
      <c r="G2625">
        <v>982.93</v>
      </c>
      <c r="H2625">
        <v>251008</v>
      </c>
      <c r="I2625">
        <v>4580</v>
      </c>
      <c r="J2625" t="s">
        <v>126</v>
      </c>
      <c r="K2625">
        <v>982.93</v>
      </c>
      <c r="L2625">
        <v>199.72</v>
      </c>
      <c r="M2625">
        <v>59113</v>
      </c>
      <c r="N2625" t="s">
        <v>61</v>
      </c>
      <c r="O2625">
        <v>251020</v>
      </c>
      <c r="P2625">
        <v>783.21</v>
      </c>
    </row>
    <row r="2626" spans="1:16" x14ac:dyDescent="0.25">
      <c r="A2626" t="s">
        <v>3296</v>
      </c>
      <c r="B2626" t="s">
        <v>2931</v>
      </c>
      <c r="C2626">
        <v>14869</v>
      </c>
      <c r="D2626" t="str">
        <f>"2755011     "</f>
        <v xml:space="preserve">2755011     </v>
      </c>
      <c r="E2626" t="s">
        <v>693</v>
      </c>
      <c r="F2626" t="s">
        <v>694</v>
      </c>
      <c r="G2626">
        <v>490.71</v>
      </c>
      <c r="H2626">
        <v>251028</v>
      </c>
      <c r="I2626">
        <v>4580</v>
      </c>
      <c r="J2626" t="s">
        <v>126</v>
      </c>
      <c r="K2626">
        <v>490.71</v>
      </c>
      <c r="L2626">
        <v>99.71</v>
      </c>
      <c r="M2626">
        <v>16431</v>
      </c>
      <c r="N2626" t="s">
        <v>17</v>
      </c>
      <c r="O2626">
        <v>251107</v>
      </c>
      <c r="P2626">
        <v>391</v>
      </c>
    </row>
    <row r="2627" spans="1:16" x14ac:dyDescent="0.25">
      <c r="A2627" t="s">
        <v>3296</v>
      </c>
      <c r="B2627" t="s">
        <v>2931</v>
      </c>
      <c r="C2627">
        <v>15272</v>
      </c>
      <c r="D2627" t="str">
        <f>"2755138     "</f>
        <v xml:space="preserve">2755138     </v>
      </c>
      <c r="E2627" t="s">
        <v>693</v>
      </c>
      <c r="F2627" t="s">
        <v>694</v>
      </c>
      <c r="G2627">
        <v>452.22</v>
      </c>
      <c r="H2627">
        <v>251029</v>
      </c>
      <c r="I2627">
        <v>4580</v>
      </c>
      <c r="J2627" t="s">
        <v>126</v>
      </c>
      <c r="K2627">
        <v>572.05999999999995</v>
      </c>
      <c r="L2627">
        <v>91.89</v>
      </c>
      <c r="M2627">
        <v>16431</v>
      </c>
      <c r="N2627" t="s">
        <v>17</v>
      </c>
      <c r="O2627">
        <v>251117</v>
      </c>
      <c r="P2627">
        <v>360.33</v>
      </c>
    </row>
    <row r="2628" spans="1:16" x14ac:dyDescent="0.25">
      <c r="A2628" t="s">
        <v>3296</v>
      </c>
      <c r="B2628" t="s">
        <v>2931</v>
      </c>
      <c r="C2628">
        <v>15272</v>
      </c>
      <c r="D2628" t="str">
        <f>"2755138     "</f>
        <v xml:space="preserve">2755138     </v>
      </c>
      <c r="E2628" t="s">
        <v>693</v>
      </c>
      <c r="F2628" t="s">
        <v>694</v>
      </c>
      <c r="G2628">
        <v>119.84</v>
      </c>
      <c r="H2628">
        <v>251029</v>
      </c>
      <c r="I2628">
        <v>4580</v>
      </c>
      <c r="J2628" t="s">
        <v>126</v>
      </c>
      <c r="K2628">
        <v>572.05999999999995</v>
      </c>
      <c r="L2628">
        <v>24.35</v>
      </c>
      <c r="M2628">
        <v>17913</v>
      </c>
      <c r="N2628" t="s">
        <v>26</v>
      </c>
      <c r="O2628">
        <v>251117</v>
      </c>
      <c r="P2628">
        <v>95.49</v>
      </c>
    </row>
    <row r="2629" spans="1:16" x14ac:dyDescent="0.25">
      <c r="A2629" t="s">
        <v>3296</v>
      </c>
      <c r="B2629" t="s">
        <v>2931</v>
      </c>
      <c r="C2629">
        <v>731</v>
      </c>
      <c r="D2629" t="str">
        <f>"2734340     "</f>
        <v xml:space="preserve">2734340     </v>
      </c>
      <c r="E2629" t="s">
        <v>693</v>
      </c>
      <c r="F2629" t="s">
        <v>694</v>
      </c>
      <c r="G2629">
        <v>829.62</v>
      </c>
      <c r="H2629">
        <v>250124</v>
      </c>
      <c r="I2629">
        <v>4600</v>
      </c>
      <c r="J2629" t="s">
        <v>278</v>
      </c>
      <c r="K2629">
        <v>829.62</v>
      </c>
      <c r="L2629">
        <v>168.57</v>
      </c>
      <c r="M2629">
        <v>54451</v>
      </c>
      <c r="N2629" t="s">
        <v>218</v>
      </c>
      <c r="O2629">
        <v>250128</v>
      </c>
      <c r="P2629">
        <v>661.05</v>
      </c>
    </row>
    <row r="2630" spans="1:16" x14ac:dyDescent="0.25">
      <c r="A2630" t="s">
        <v>3296</v>
      </c>
      <c r="B2630" t="s">
        <v>2931</v>
      </c>
      <c r="C2630">
        <v>4345</v>
      </c>
      <c r="D2630" t="str">
        <f>"2737964     "</f>
        <v xml:space="preserve">2737964     </v>
      </c>
      <c r="E2630" t="s">
        <v>693</v>
      </c>
      <c r="F2630" t="s">
        <v>694</v>
      </c>
      <c r="G2630">
        <v>402.24</v>
      </c>
      <c r="H2630">
        <v>250314</v>
      </c>
      <c r="I2630">
        <v>4600</v>
      </c>
      <c r="J2630" t="s">
        <v>278</v>
      </c>
      <c r="K2630">
        <v>402.24</v>
      </c>
      <c r="L2630">
        <v>81.73</v>
      </c>
      <c r="M2630">
        <v>49501</v>
      </c>
      <c r="N2630" t="s">
        <v>110</v>
      </c>
      <c r="O2630">
        <v>250411</v>
      </c>
      <c r="P2630">
        <v>320.51</v>
      </c>
    </row>
    <row r="2631" spans="1:16" x14ac:dyDescent="0.25">
      <c r="A2631" t="s">
        <v>3296</v>
      </c>
      <c r="B2631" t="s">
        <v>2931</v>
      </c>
      <c r="C2631">
        <v>12802</v>
      </c>
      <c r="D2631" t="str">
        <f>"1026996     "</f>
        <v xml:space="preserve">1026996     </v>
      </c>
      <c r="E2631" t="s">
        <v>693</v>
      </c>
      <c r="F2631" t="s">
        <v>694</v>
      </c>
      <c r="G2631">
        <v>2008.56</v>
      </c>
      <c r="H2631">
        <v>250918</v>
      </c>
      <c r="I2631">
        <v>4600</v>
      </c>
      <c r="J2631" t="s">
        <v>278</v>
      </c>
      <c r="K2631">
        <v>3365.78</v>
      </c>
      <c r="L2631">
        <v>408.11</v>
      </c>
      <c r="M2631">
        <v>17913</v>
      </c>
      <c r="N2631" t="s">
        <v>26</v>
      </c>
      <c r="O2631">
        <v>250930</v>
      </c>
      <c r="P2631">
        <v>1600.45</v>
      </c>
    </row>
    <row r="2632" spans="1:16" x14ac:dyDescent="0.25">
      <c r="A2632" t="s">
        <v>3296</v>
      </c>
      <c r="B2632" t="s">
        <v>2931</v>
      </c>
      <c r="C2632">
        <v>8018</v>
      </c>
      <c r="D2632" t="str">
        <f>"1392        "</f>
        <v xml:space="preserve">1392        </v>
      </c>
      <c r="E2632" t="s">
        <v>2009</v>
      </c>
      <c r="F2632" t="s">
        <v>2010</v>
      </c>
      <c r="G2632">
        <v>263.55</v>
      </c>
      <c r="H2632">
        <v>250531</v>
      </c>
      <c r="I2632">
        <v>4368</v>
      </c>
      <c r="J2632" t="s">
        <v>1082</v>
      </c>
      <c r="K2632">
        <v>263.55</v>
      </c>
      <c r="L2632">
        <v>53.55</v>
      </c>
      <c r="M2632">
        <v>11901</v>
      </c>
      <c r="N2632" t="s">
        <v>31</v>
      </c>
      <c r="O2632">
        <v>250611</v>
      </c>
      <c r="P2632">
        <v>210</v>
      </c>
    </row>
    <row r="2633" spans="1:16" x14ac:dyDescent="0.25">
      <c r="A2633" t="s">
        <v>3296</v>
      </c>
      <c r="B2633" t="s">
        <v>2931</v>
      </c>
      <c r="C2633">
        <v>3572</v>
      </c>
      <c r="D2633" t="str">
        <f>"15679       "</f>
        <v xml:space="preserve">15679       </v>
      </c>
      <c r="E2633" t="s">
        <v>1464</v>
      </c>
      <c r="F2633" t="s">
        <v>1465</v>
      </c>
      <c r="G2633">
        <v>58.59</v>
      </c>
      <c r="H2633">
        <v>250313</v>
      </c>
      <c r="I2633">
        <v>4580</v>
      </c>
      <c r="J2633" t="s">
        <v>126</v>
      </c>
      <c r="K2633">
        <v>58.59</v>
      </c>
      <c r="L2633">
        <v>11.9</v>
      </c>
      <c r="M2633">
        <v>13801</v>
      </c>
      <c r="N2633" t="s">
        <v>33</v>
      </c>
      <c r="O2633">
        <v>250325</v>
      </c>
      <c r="P2633">
        <v>46.69</v>
      </c>
    </row>
    <row r="2634" spans="1:16" x14ac:dyDescent="0.25">
      <c r="A2634" t="s">
        <v>3296</v>
      </c>
      <c r="B2634" t="s">
        <v>2931</v>
      </c>
      <c r="C2634">
        <v>656</v>
      </c>
      <c r="D2634" t="str">
        <f>"20250037    "</f>
        <v xml:space="preserve">20250037    </v>
      </c>
      <c r="E2634" t="s">
        <v>649</v>
      </c>
      <c r="F2634" t="s">
        <v>650</v>
      </c>
      <c r="G2634">
        <v>169.48</v>
      </c>
      <c r="H2634">
        <v>250120</v>
      </c>
      <c r="I2634">
        <v>4600</v>
      </c>
      <c r="J2634" t="s">
        <v>278</v>
      </c>
      <c r="K2634">
        <v>338.95</v>
      </c>
      <c r="L2634">
        <v>34.44</v>
      </c>
      <c r="M2634">
        <v>54222</v>
      </c>
      <c r="N2634" t="s">
        <v>48</v>
      </c>
      <c r="O2634">
        <v>250127</v>
      </c>
      <c r="P2634">
        <v>135.04</v>
      </c>
    </row>
    <row r="2635" spans="1:16" x14ac:dyDescent="0.25">
      <c r="A2635" t="s">
        <v>3296</v>
      </c>
      <c r="B2635" t="s">
        <v>2931</v>
      </c>
      <c r="C2635">
        <v>656</v>
      </c>
      <c r="D2635" t="str">
        <f>"20250037    "</f>
        <v xml:space="preserve">20250037    </v>
      </c>
      <c r="E2635" t="s">
        <v>649</v>
      </c>
      <c r="F2635" t="s">
        <v>650</v>
      </c>
      <c r="G2635">
        <v>169.47</v>
      </c>
      <c r="H2635">
        <v>250120</v>
      </c>
      <c r="I2635">
        <v>4600</v>
      </c>
      <c r="J2635" t="s">
        <v>278</v>
      </c>
      <c r="K2635">
        <v>338.95</v>
      </c>
      <c r="L2635">
        <v>34.43</v>
      </c>
      <c r="M2635">
        <v>54251</v>
      </c>
      <c r="N2635" t="s">
        <v>485</v>
      </c>
      <c r="O2635">
        <v>250127</v>
      </c>
      <c r="P2635">
        <v>135.04</v>
      </c>
    </row>
    <row r="2636" spans="1:16" x14ac:dyDescent="0.25">
      <c r="A2636" t="s">
        <v>3296</v>
      </c>
      <c r="B2636" t="s">
        <v>2931</v>
      </c>
      <c r="C2636">
        <v>1811</v>
      </c>
      <c r="D2636" t="str">
        <f>"20250091    "</f>
        <v xml:space="preserve">20250091    </v>
      </c>
      <c r="E2636" t="s">
        <v>649</v>
      </c>
      <c r="F2636" t="s">
        <v>650</v>
      </c>
      <c r="G2636">
        <v>293.70999999999998</v>
      </c>
      <c r="H2636">
        <v>250206</v>
      </c>
      <c r="I2636">
        <v>4600</v>
      </c>
      <c r="J2636" t="s">
        <v>278</v>
      </c>
      <c r="K2636">
        <v>293.70999999999998</v>
      </c>
      <c r="L2636">
        <v>59.68</v>
      </c>
      <c r="M2636">
        <v>54222</v>
      </c>
      <c r="N2636" t="s">
        <v>48</v>
      </c>
      <c r="O2636">
        <v>250214</v>
      </c>
      <c r="P2636">
        <v>234.03</v>
      </c>
    </row>
    <row r="2637" spans="1:16" x14ac:dyDescent="0.25">
      <c r="A2637" t="s">
        <v>3296</v>
      </c>
      <c r="B2637" t="s">
        <v>2931</v>
      </c>
      <c r="C2637">
        <v>7336</v>
      </c>
      <c r="D2637" t="str">
        <f>"20250417    "</f>
        <v xml:space="preserve">20250417    </v>
      </c>
      <c r="E2637" t="s">
        <v>649</v>
      </c>
      <c r="F2637" t="s">
        <v>650</v>
      </c>
      <c r="G2637">
        <v>210.81</v>
      </c>
      <c r="H2637">
        <v>250521</v>
      </c>
      <c r="I2637">
        <v>4600</v>
      </c>
      <c r="J2637" t="s">
        <v>278</v>
      </c>
      <c r="K2637">
        <v>421.62</v>
      </c>
      <c r="L2637">
        <v>42.83</v>
      </c>
      <c r="M2637">
        <v>54222</v>
      </c>
      <c r="N2637" t="s">
        <v>48</v>
      </c>
      <c r="O2637">
        <v>250603</v>
      </c>
      <c r="P2637">
        <v>167.98</v>
      </c>
    </row>
    <row r="2638" spans="1:16" x14ac:dyDescent="0.25">
      <c r="A2638" t="s">
        <v>3296</v>
      </c>
      <c r="B2638" t="s">
        <v>2931</v>
      </c>
      <c r="C2638">
        <v>7336</v>
      </c>
      <c r="D2638" t="str">
        <f>"20250417    "</f>
        <v xml:space="preserve">20250417    </v>
      </c>
      <c r="E2638" t="s">
        <v>649</v>
      </c>
      <c r="F2638" t="s">
        <v>650</v>
      </c>
      <c r="G2638">
        <v>210.81</v>
      </c>
      <c r="H2638">
        <v>250521</v>
      </c>
      <c r="I2638">
        <v>4600</v>
      </c>
      <c r="J2638" t="s">
        <v>278</v>
      </c>
      <c r="K2638">
        <v>421.62</v>
      </c>
      <c r="L2638">
        <v>42.83</v>
      </c>
      <c r="M2638">
        <v>54251</v>
      </c>
      <c r="N2638" t="s">
        <v>485</v>
      </c>
      <c r="O2638">
        <v>250603</v>
      </c>
      <c r="P2638">
        <v>167.98</v>
      </c>
    </row>
    <row r="2639" spans="1:16" x14ac:dyDescent="0.25">
      <c r="A2639" t="s">
        <v>3296</v>
      </c>
      <c r="B2639" t="s">
        <v>2931</v>
      </c>
      <c r="C2639">
        <v>10399</v>
      </c>
      <c r="D2639" t="str">
        <f>"20250601    "</f>
        <v xml:space="preserve">20250601    </v>
      </c>
      <c r="E2639" t="s">
        <v>649</v>
      </c>
      <c r="F2639" t="s">
        <v>650</v>
      </c>
      <c r="G2639">
        <v>212.47</v>
      </c>
      <c r="H2639">
        <v>250807</v>
      </c>
      <c r="I2639">
        <v>4600</v>
      </c>
      <c r="J2639" t="s">
        <v>278</v>
      </c>
      <c r="K2639">
        <v>424.94</v>
      </c>
      <c r="L2639">
        <v>43.17</v>
      </c>
      <c r="M2639">
        <v>54222</v>
      </c>
      <c r="N2639" t="s">
        <v>48</v>
      </c>
      <c r="O2639">
        <v>250818</v>
      </c>
      <c r="P2639">
        <v>169.3</v>
      </c>
    </row>
    <row r="2640" spans="1:16" x14ac:dyDescent="0.25">
      <c r="A2640" t="s">
        <v>3296</v>
      </c>
      <c r="B2640" t="s">
        <v>2931</v>
      </c>
      <c r="C2640">
        <v>10399</v>
      </c>
      <c r="D2640" t="str">
        <f>"20250601    "</f>
        <v xml:space="preserve">20250601    </v>
      </c>
      <c r="E2640" t="s">
        <v>649</v>
      </c>
      <c r="F2640" t="s">
        <v>650</v>
      </c>
      <c r="G2640">
        <v>212.47</v>
      </c>
      <c r="H2640">
        <v>250807</v>
      </c>
      <c r="I2640">
        <v>4600</v>
      </c>
      <c r="J2640" t="s">
        <v>278</v>
      </c>
      <c r="K2640">
        <v>424.94</v>
      </c>
      <c r="L2640">
        <v>43.17</v>
      </c>
      <c r="M2640">
        <v>54251</v>
      </c>
      <c r="N2640" t="s">
        <v>485</v>
      </c>
      <c r="O2640">
        <v>250818</v>
      </c>
      <c r="P2640">
        <v>169.3</v>
      </c>
    </row>
    <row r="2641" spans="1:16" x14ac:dyDescent="0.25">
      <c r="A2641" t="s">
        <v>3296</v>
      </c>
      <c r="B2641" t="s">
        <v>2931</v>
      </c>
      <c r="C2641">
        <v>10754</v>
      </c>
      <c r="D2641" t="str">
        <f>"20250618    "</f>
        <v xml:space="preserve">20250618    </v>
      </c>
      <c r="E2641" t="s">
        <v>649</v>
      </c>
      <c r="F2641" t="s">
        <v>650</v>
      </c>
      <c r="G2641">
        <v>404.99</v>
      </c>
      <c r="H2641">
        <v>250814</v>
      </c>
      <c r="I2641">
        <v>4600</v>
      </c>
      <c r="J2641" t="s">
        <v>278</v>
      </c>
      <c r="K2641">
        <v>404.99</v>
      </c>
      <c r="L2641">
        <v>82.29</v>
      </c>
      <c r="M2641">
        <v>54222</v>
      </c>
      <c r="N2641" t="s">
        <v>48</v>
      </c>
      <c r="O2641">
        <v>250822</v>
      </c>
      <c r="P2641">
        <v>322.7</v>
      </c>
    </row>
    <row r="2642" spans="1:16" x14ac:dyDescent="0.25">
      <c r="A2642" t="s">
        <v>3296</v>
      </c>
      <c r="B2642" t="s">
        <v>2931</v>
      </c>
      <c r="C2642">
        <v>11408</v>
      </c>
      <c r="D2642" t="str">
        <f>"20250675    "</f>
        <v xml:space="preserve">20250675    </v>
      </c>
      <c r="E2642" t="s">
        <v>649</v>
      </c>
      <c r="F2642" t="s">
        <v>650</v>
      </c>
      <c r="G2642">
        <v>237.7</v>
      </c>
      <c r="H2642">
        <v>250903</v>
      </c>
      <c r="I2642">
        <v>4600</v>
      </c>
      <c r="J2642" t="s">
        <v>278</v>
      </c>
      <c r="K2642">
        <v>237.7</v>
      </c>
      <c r="L2642">
        <v>48.3</v>
      </c>
      <c r="M2642">
        <v>54222</v>
      </c>
      <c r="N2642" t="s">
        <v>48</v>
      </c>
      <c r="O2642">
        <v>250904</v>
      </c>
      <c r="P2642">
        <v>189.4</v>
      </c>
    </row>
    <row r="2643" spans="1:16" x14ac:dyDescent="0.25">
      <c r="A2643" t="s">
        <v>3296</v>
      </c>
      <c r="B2643" t="s">
        <v>2931</v>
      </c>
      <c r="C2643">
        <v>13820</v>
      </c>
      <c r="D2643" t="str">
        <f>"20250790    "</f>
        <v xml:space="preserve">20250790    </v>
      </c>
      <c r="E2643" t="s">
        <v>649</v>
      </c>
      <c r="F2643" t="s">
        <v>650</v>
      </c>
      <c r="G2643">
        <v>638.41999999999996</v>
      </c>
      <c r="H2643">
        <v>251009</v>
      </c>
      <c r="I2643">
        <v>4600</v>
      </c>
      <c r="J2643" t="s">
        <v>278</v>
      </c>
      <c r="K2643">
        <v>1276.8399999999999</v>
      </c>
      <c r="L2643">
        <v>129.72</v>
      </c>
      <c r="M2643">
        <v>54222</v>
      </c>
      <c r="N2643" t="s">
        <v>48</v>
      </c>
      <c r="O2643">
        <v>251020</v>
      </c>
      <c r="P2643">
        <v>508.7</v>
      </c>
    </row>
    <row r="2644" spans="1:16" x14ac:dyDescent="0.25">
      <c r="A2644" t="s">
        <v>3296</v>
      </c>
      <c r="B2644" t="s">
        <v>2931</v>
      </c>
      <c r="C2644">
        <v>13820</v>
      </c>
      <c r="D2644" t="str">
        <f>"20250790    "</f>
        <v xml:space="preserve">20250790    </v>
      </c>
      <c r="E2644" t="s">
        <v>649</v>
      </c>
      <c r="F2644" t="s">
        <v>650</v>
      </c>
      <c r="G2644">
        <v>638.41999999999996</v>
      </c>
      <c r="H2644">
        <v>251009</v>
      </c>
      <c r="I2644">
        <v>4600</v>
      </c>
      <c r="J2644" t="s">
        <v>278</v>
      </c>
      <c r="K2644">
        <v>1276.8399999999999</v>
      </c>
      <c r="L2644">
        <v>129.72</v>
      </c>
      <c r="M2644">
        <v>54251</v>
      </c>
      <c r="N2644" t="s">
        <v>485</v>
      </c>
      <c r="O2644">
        <v>251020</v>
      </c>
      <c r="P2644">
        <v>508.7</v>
      </c>
    </row>
    <row r="2645" spans="1:16" x14ac:dyDescent="0.25">
      <c r="A2645" t="s">
        <v>3296</v>
      </c>
      <c r="B2645" t="s">
        <v>2931</v>
      </c>
      <c r="C2645">
        <v>15063</v>
      </c>
      <c r="D2645" t="str">
        <f>"20250840    "</f>
        <v xml:space="preserve">20250840    </v>
      </c>
      <c r="E2645" t="s">
        <v>649</v>
      </c>
      <c r="F2645" t="s">
        <v>650</v>
      </c>
      <c r="G2645">
        <v>85.09</v>
      </c>
      <c r="H2645">
        <v>251103</v>
      </c>
      <c r="I2645">
        <v>4600</v>
      </c>
      <c r="J2645" t="s">
        <v>278</v>
      </c>
      <c r="K2645">
        <v>170.17</v>
      </c>
      <c r="L2645">
        <v>17.29</v>
      </c>
      <c r="M2645">
        <v>54222</v>
      </c>
      <c r="N2645" t="s">
        <v>48</v>
      </c>
      <c r="O2645">
        <v>251111</v>
      </c>
      <c r="P2645">
        <v>67.8</v>
      </c>
    </row>
    <row r="2646" spans="1:16" x14ac:dyDescent="0.25">
      <c r="A2646" t="s">
        <v>3296</v>
      </c>
      <c r="B2646" t="s">
        <v>2931</v>
      </c>
      <c r="C2646">
        <v>15063</v>
      </c>
      <c r="D2646" t="str">
        <f>"20250840    "</f>
        <v xml:space="preserve">20250840    </v>
      </c>
      <c r="E2646" t="s">
        <v>649</v>
      </c>
      <c r="F2646" t="s">
        <v>650</v>
      </c>
      <c r="G2646">
        <v>85.08</v>
      </c>
      <c r="H2646">
        <v>251103</v>
      </c>
      <c r="I2646">
        <v>4600</v>
      </c>
      <c r="J2646" t="s">
        <v>278</v>
      </c>
      <c r="K2646">
        <v>170.17</v>
      </c>
      <c r="L2646">
        <v>17.29</v>
      </c>
      <c r="M2646">
        <v>54251</v>
      </c>
      <c r="N2646" t="s">
        <v>485</v>
      </c>
      <c r="O2646">
        <v>251111</v>
      </c>
      <c r="P2646">
        <v>67.790000000000006</v>
      </c>
    </row>
    <row r="2647" spans="1:16" x14ac:dyDescent="0.25">
      <c r="A2647" t="s">
        <v>3296</v>
      </c>
      <c r="B2647" t="s">
        <v>2931</v>
      </c>
      <c r="C2647">
        <v>15325</v>
      </c>
      <c r="D2647" t="str">
        <f>"20250870    "</f>
        <v xml:space="preserve">20250870    </v>
      </c>
      <c r="E2647" t="s">
        <v>649</v>
      </c>
      <c r="F2647" t="s">
        <v>650</v>
      </c>
      <c r="G2647">
        <v>462.48</v>
      </c>
      <c r="H2647">
        <v>251112</v>
      </c>
      <c r="I2647">
        <v>4600</v>
      </c>
      <c r="J2647" t="s">
        <v>278</v>
      </c>
      <c r="K2647">
        <v>924.96</v>
      </c>
      <c r="L2647">
        <v>93.97</v>
      </c>
      <c r="M2647">
        <v>54222</v>
      </c>
      <c r="N2647" t="s">
        <v>48</v>
      </c>
      <c r="O2647">
        <v>251118</v>
      </c>
      <c r="P2647">
        <v>368.51</v>
      </c>
    </row>
    <row r="2648" spans="1:16" x14ac:dyDescent="0.25">
      <c r="A2648" t="s">
        <v>3296</v>
      </c>
      <c r="B2648" t="s">
        <v>2931</v>
      </c>
      <c r="C2648">
        <v>15325</v>
      </c>
      <c r="D2648" t="str">
        <f>"20250870    "</f>
        <v xml:space="preserve">20250870    </v>
      </c>
      <c r="E2648" t="s">
        <v>649</v>
      </c>
      <c r="F2648" t="s">
        <v>650</v>
      </c>
      <c r="G2648">
        <v>462.48</v>
      </c>
      <c r="H2648">
        <v>251112</v>
      </c>
      <c r="I2648">
        <v>4600</v>
      </c>
      <c r="J2648" t="s">
        <v>278</v>
      </c>
      <c r="K2648">
        <v>924.96</v>
      </c>
      <c r="L2648">
        <v>93.97</v>
      </c>
      <c r="M2648">
        <v>54251</v>
      </c>
      <c r="N2648" t="s">
        <v>485</v>
      </c>
      <c r="O2648">
        <v>251118</v>
      </c>
      <c r="P2648">
        <v>368.51</v>
      </c>
    </row>
    <row r="2649" spans="1:16" x14ac:dyDescent="0.25">
      <c r="A2649" t="s">
        <v>3296</v>
      </c>
      <c r="B2649" t="s">
        <v>2931</v>
      </c>
      <c r="C2649">
        <v>17598</v>
      </c>
      <c r="D2649" t="str">
        <f>"20250980    "</f>
        <v xml:space="preserve">20250980    </v>
      </c>
      <c r="E2649" t="s">
        <v>649</v>
      </c>
      <c r="F2649" t="s">
        <v>650</v>
      </c>
      <c r="G2649">
        <v>188.82</v>
      </c>
      <c r="H2649">
        <v>251212</v>
      </c>
      <c r="I2649">
        <v>4600</v>
      </c>
      <c r="J2649" t="s">
        <v>278</v>
      </c>
      <c r="K2649">
        <v>377.63</v>
      </c>
      <c r="L2649">
        <v>38.369999999999997</v>
      </c>
      <c r="M2649">
        <v>54222</v>
      </c>
      <c r="N2649" t="s">
        <v>48</v>
      </c>
      <c r="O2649">
        <v>251223</v>
      </c>
      <c r="P2649">
        <v>150.44999999999999</v>
      </c>
    </row>
    <row r="2650" spans="1:16" x14ac:dyDescent="0.25">
      <c r="A2650" t="s">
        <v>3296</v>
      </c>
      <c r="B2650" t="s">
        <v>2931</v>
      </c>
      <c r="C2650">
        <v>17598</v>
      </c>
      <c r="D2650" t="str">
        <f>"20250980    "</f>
        <v xml:space="preserve">20250980    </v>
      </c>
      <c r="E2650" t="s">
        <v>649</v>
      </c>
      <c r="F2650" t="s">
        <v>650</v>
      </c>
      <c r="G2650">
        <v>188.81</v>
      </c>
      <c r="H2650">
        <v>251212</v>
      </c>
      <c r="I2650">
        <v>4600</v>
      </c>
      <c r="J2650" t="s">
        <v>278</v>
      </c>
      <c r="K2650">
        <v>377.63</v>
      </c>
      <c r="L2650">
        <v>38.36</v>
      </c>
      <c r="M2650">
        <v>54251</v>
      </c>
      <c r="N2650" t="s">
        <v>485</v>
      </c>
      <c r="O2650">
        <v>251223</v>
      </c>
      <c r="P2650">
        <v>150.44999999999999</v>
      </c>
    </row>
    <row r="2651" spans="1:16" x14ac:dyDescent="0.25">
      <c r="A2651" t="s">
        <v>3296</v>
      </c>
      <c r="B2651" t="s">
        <v>2931</v>
      </c>
      <c r="C2651">
        <v>7268</v>
      </c>
      <c r="D2651" t="str">
        <f>"69766       "</f>
        <v xml:space="preserve">69766       </v>
      </c>
      <c r="E2651" t="s">
        <v>1937</v>
      </c>
      <c r="F2651" t="s">
        <v>1938</v>
      </c>
      <c r="G2651">
        <v>70.53</v>
      </c>
      <c r="H2651">
        <v>250514</v>
      </c>
      <c r="I2651">
        <v>4580</v>
      </c>
      <c r="J2651" t="s">
        <v>126</v>
      </c>
      <c r="K2651">
        <v>70.53</v>
      </c>
      <c r="L2651">
        <v>14.33</v>
      </c>
      <c r="M2651">
        <v>17529</v>
      </c>
      <c r="N2651" t="s">
        <v>143</v>
      </c>
      <c r="O2651">
        <v>250602</v>
      </c>
      <c r="P2651">
        <v>56.2</v>
      </c>
    </row>
    <row r="2652" spans="1:16" x14ac:dyDescent="0.25">
      <c r="A2652" t="s">
        <v>3296</v>
      </c>
      <c r="B2652" t="s">
        <v>2931</v>
      </c>
      <c r="C2652">
        <v>17923</v>
      </c>
      <c r="D2652" t="str">
        <f>"1000076522  "</f>
        <v xml:space="preserve">1000076522  </v>
      </c>
      <c r="E2652" t="s">
        <v>1937</v>
      </c>
      <c r="F2652" t="s">
        <v>1938</v>
      </c>
      <c r="G2652">
        <v>173.37</v>
      </c>
      <c r="H2652">
        <v>251223</v>
      </c>
      <c r="I2652">
        <v>4580</v>
      </c>
      <c r="J2652" t="s">
        <v>126</v>
      </c>
      <c r="K2652">
        <v>173.37</v>
      </c>
      <c r="L2652">
        <v>35.229999999999997</v>
      </c>
      <c r="M2652">
        <v>17537</v>
      </c>
      <c r="N2652" t="s">
        <v>151</v>
      </c>
      <c r="O2652">
        <v>260107</v>
      </c>
      <c r="P2652">
        <v>138.13999999999999</v>
      </c>
    </row>
    <row r="2653" spans="1:16" x14ac:dyDescent="0.25">
      <c r="A2653" t="s">
        <v>3296</v>
      </c>
      <c r="B2653" t="s">
        <v>2931</v>
      </c>
      <c r="C2653">
        <v>865</v>
      </c>
      <c r="D2653" t="str">
        <f>"9642921090  "</f>
        <v xml:space="preserve">9642921090  </v>
      </c>
      <c r="E2653" t="s">
        <v>762</v>
      </c>
      <c r="F2653" t="s">
        <v>763</v>
      </c>
      <c r="G2653">
        <v>459.87</v>
      </c>
      <c r="H2653">
        <v>250116</v>
      </c>
      <c r="I2653">
        <v>4600</v>
      </c>
      <c r="J2653" t="s">
        <v>278</v>
      </c>
      <c r="K2653">
        <v>459.87</v>
      </c>
      <c r="L2653">
        <v>93.44</v>
      </c>
      <c r="M2653">
        <v>49112</v>
      </c>
      <c r="N2653" t="s">
        <v>109</v>
      </c>
      <c r="O2653">
        <v>250130</v>
      </c>
      <c r="P2653">
        <v>366.43</v>
      </c>
    </row>
    <row r="2654" spans="1:16" x14ac:dyDescent="0.25">
      <c r="A2654" t="s">
        <v>3296</v>
      </c>
      <c r="B2654" t="s">
        <v>2931</v>
      </c>
      <c r="C2654">
        <v>15936</v>
      </c>
      <c r="D2654" t="str">
        <f>"350/73503286"</f>
        <v>350/73503286</v>
      </c>
      <c r="E2654" t="s">
        <v>2454</v>
      </c>
      <c r="F2654" t="s">
        <v>2455</v>
      </c>
      <c r="G2654">
        <v>2309.5100000000002</v>
      </c>
      <c r="H2654">
        <v>251117</v>
      </c>
      <c r="I2654">
        <v>4400</v>
      </c>
      <c r="J2654" t="s">
        <v>162</v>
      </c>
      <c r="K2654">
        <v>2309.5100000000002</v>
      </c>
      <c r="L2654">
        <v>469.26</v>
      </c>
      <c r="M2654">
        <v>56558</v>
      </c>
      <c r="N2654" t="s">
        <v>50</v>
      </c>
      <c r="O2654">
        <v>251201</v>
      </c>
      <c r="P2654">
        <v>1840.25</v>
      </c>
    </row>
    <row r="2655" spans="1:16" x14ac:dyDescent="0.25">
      <c r="A2655" t="s">
        <v>3296</v>
      </c>
      <c r="B2655" t="s">
        <v>2931</v>
      </c>
      <c r="C2655">
        <v>13832</v>
      </c>
      <c r="D2655" t="str">
        <f>"352/73506779"</f>
        <v>352/73506779</v>
      </c>
      <c r="E2655" t="s">
        <v>2454</v>
      </c>
      <c r="F2655" t="s">
        <v>2455</v>
      </c>
      <c r="G2655">
        <v>425.45</v>
      </c>
      <c r="H2655">
        <v>251001</v>
      </c>
      <c r="I2655">
        <v>4600</v>
      </c>
      <c r="J2655" t="s">
        <v>278</v>
      </c>
      <c r="K2655">
        <v>425.45</v>
      </c>
      <c r="L2655">
        <v>86.45</v>
      </c>
      <c r="M2655">
        <v>56558</v>
      </c>
      <c r="N2655" t="s">
        <v>50</v>
      </c>
      <c r="O2655">
        <v>251020</v>
      </c>
      <c r="P2655">
        <v>339</v>
      </c>
    </row>
    <row r="2656" spans="1:16" x14ac:dyDescent="0.25">
      <c r="A2656" t="s">
        <v>3296</v>
      </c>
      <c r="B2656" t="s">
        <v>2931</v>
      </c>
      <c r="C2656">
        <v>558</v>
      </c>
      <c r="D2656" t="str">
        <f>"24375186    "</f>
        <v xml:space="preserve">24375186    </v>
      </c>
      <c r="E2656" t="s">
        <v>585</v>
      </c>
      <c r="F2656" t="s">
        <v>586</v>
      </c>
      <c r="G2656">
        <v>27</v>
      </c>
      <c r="H2656">
        <v>250108</v>
      </c>
      <c r="I2656">
        <v>4369</v>
      </c>
      <c r="J2656" t="s">
        <v>188</v>
      </c>
      <c r="K2656">
        <v>81.02</v>
      </c>
      <c r="L2656">
        <v>5.49</v>
      </c>
      <c r="M2656">
        <v>11401</v>
      </c>
      <c r="N2656" t="s">
        <v>91</v>
      </c>
      <c r="O2656">
        <v>250124</v>
      </c>
      <c r="P2656">
        <v>21.51</v>
      </c>
    </row>
    <row r="2657" spans="1:16" x14ac:dyDescent="0.25">
      <c r="A2657" t="s">
        <v>3296</v>
      </c>
      <c r="B2657" t="s">
        <v>2931</v>
      </c>
      <c r="C2657">
        <v>558</v>
      </c>
      <c r="D2657" t="str">
        <f>"24375186    "</f>
        <v xml:space="preserve">24375186    </v>
      </c>
      <c r="E2657" t="s">
        <v>585</v>
      </c>
      <c r="F2657" t="s">
        <v>586</v>
      </c>
      <c r="G2657">
        <v>54.02</v>
      </c>
      <c r="H2657">
        <v>250108</v>
      </c>
      <c r="I2657">
        <v>4369</v>
      </c>
      <c r="J2657" t="s">
        <v>188</v>
      </c>
      <c r="K2657">
        <v>81.02</v>
      </c>
      <c r="L2657">
        <v>10.98</v>
      </c>
      <c r="M2657">
        <v>14952</v>
      </c>
      <c r="N2657" t="s">
        <v>213</v>
      </c>
      <c r="O2657">
        <v>250124</v>
      </c>
      <c r="P2657">
        <v>43.04</v>
      </c>
    </row>
    <row r="2658" spans="1:16" x14ac:dyDescent="0.25">
      <c r="A2658" t="s">
        <v>3296</v>
      </c>
      <c r="B2658" t="s">
        <v>2931</v>
      </c>
      <c r="C2658">
        <v>1738</v>
      </c>
      <c r="D2658" t="str">
        <f>"12502088574 "</f>
        <v xml:space="preserve">12502088574 </v>
      </c>
      <c r="E2658" t="s">
        <v>585</v>
      </c>
      <c r="F2658" t="s">
        <v>586</v>
      </c>
      <c r="G2658">
        <v>6.05</v>
      </c>
      <c r="H2658">
        <v>250131</v>
      </c>
      <c r="I2658">
        <v>4369</v>
      </c>
      <c r="J2658" t="s">
        <v>188</v>
      </c>
      <c r="K2658">
        <v>6.05</v>
      </c>
      <c r="L2658">
        <v>1.23</v>
      </c>
      <c r="M2658">
        <v>69501</v>
      </c>
      <c r="N2658" t="s">
        <v>123</v>
      </c>
      <c r="O2658">
        <v>250213</v>
      </c>
      <c r="P2658">
        <v>4.82</v>
      </c>
    </row>
    <row r="2659" spans="1:16" x14ac:dyDescent="0.25">
      <c r="A2659" t="s">
        <v>3296</v>
      </c>
      <c r="B2659" t="s">
        <v>2931</v>
      </c>
      <c r="C2659">
        <v>2361</v>
      </c>
      <c r="D2659" t="str">
        <f>"25023229    "</f>
        <v xml:space="preserve">25023229    </v>
      </c>
      <c r="E2659" t="s">
        <v>585</v>
      </c>
      <c r="F2659" t="s">
        <v>586</v>
      </c>
      <c r="G2659">
        <v>27</v>
      </c>
      <c r="H2659">
        <v>250206</v>
      </c>
      <c r="I2659">
        <v>4369</v>
      </c>
      <c r="J2659" t="s">
        <v>188</v>
      </c>
      <c r="K2659">
        <v>81.02</v>
      </c>
      <c r="L2659">
        <v>5.49</v>
      </c>
      <c r="M2659">
        <v>11401</v>
      </c>
      <c r="N2659" t="s">
        <v>91</v>
      </c>
      <c r="O2659">
        <v>250224</v>
      </c>
      <c r="P2659">
        <v>21.51</v>
      </c>
    </row>
    <row r="2660" spans="1:16" x14ac:dyDescent="0.25">
      <c r="A2660" t="s">
        <v>3296</v>
      </c>
      <c r="B2660" t="s">
        <v>2931</v>
      </c>
      <c r="C2660">
        <v>2361</v>
      </c>
      <c r="D2660" t="str">
        <f>"25023229    "</f>
        <v xml:space="preserve">25023229    </v>
      </c>
      <c r="E2660" t="s">
        <v>585</v>
      </c>
      <c r="F2660" t="s">
        <v>586</v>
      </c>
      <c r="G2660">
        <v>54.02</v>
      </c>
      <c r="H2660">
        <v>250206</v>
      </c>
      <c r="I2660">
        <v>4369</v>
      </c>
      <c r="J2660" t="s">
        <v>188</v>
      </c>
      <c r="K2660">
        <v>81.02</v>
      </c>
      <c r="L2660">
        <v>10.98</v>
      </c>
      <c r="M2660">
        <v>14952</v>
      </c>
      <c r="N2660" t="s">
        <v>213</v>
      </c>
      <c r="O2660">
        <v>250224</v>
      </c>
      <c r="P2660">
        <v>43.04</v>
      </c>
    </row>
    <row r="2661" spans="1:16" x14ac:dyDescent="0.25">
      <c r="A2661" t="s">
        <v>3296</v>
      </c>
      <c r="B2661" t="s">
        <v>2931</v>
      </c>
      <c r="C2661">
        <v>3322</v>
      </c>
      <c r="D2661" t="str">
        <f>"12503444084 "</f>
        <v xml:space="preserve">12503444084 </v>
      </c>
      <c r="E2661" t="s">
        <v>585</v>
      </c>
      <c r="F2661" t="s">
        <v>586</v>
      </c>
      <c r="G2661">
        <v>8.27</v>
      </c>
      <c r="H2661">
        <v>250228</v>
      </c>
      <c r="I2661">
        <v>4369</v>
      </c>
      <c r="J2661" t="s">
        <v>188</v>
      </c>
      <c r="K2661">
        <v>8.27</v>
      </c>
      <c r="L2661">
        <v>1.68</v>
      </c>
      <c r="M2661">
        <v>69501</v>
      </c>
      <c r="N2661" t="s">
        <v>123</v>
      </c>
      <c r="O2661">
        <v>250318</v>
      </c>
      <c r="P2661">
        <v>6.59</v>
      </c>
    </row>
    <row r="2662" spans="1:16" x14ac:dyDescent="0.25">
      <c r="A2662" t="s">
        <v>3296</v>
      </c>
      <c r="B2662" t="s">
        <v>2931</v>
      </c>
      <c r="C2662">
        <v>4091</v>
      </c>
      <c r="D2662" t="str">
        <f>"25052143    "</f>
        <v xml:space="preserve">25052143    </v>
      </c>
      <c r="E2662" t="s">
        <v>585</v>
      </c>
      <c r="F2662" t="s">
        <v>586</v>
      </c>
      <c r="G2662">
        <v>27</v>
      </c>
      <c r="H2662">
        <v>250306</v>
      </c>
      <c r="I2662">
        <v>4369</v>
      </c>
      <c r="J2662" t="s">
        <v>188</v>
      </c>
      <c r="K2662">
        <v>81.02</v>
      </c>
      <c r="L2662">
        <v>5.49</v>
      </c>
      <c r="M2662">
        <v>11401</v>
      </c>
      <c r="N2662" t="s">
        <v>91</v>
      </c>
      <c r="O2662">
        <v>250407</v>
      </c>
      <c r="P2662">
        <v>21.51</v>
      </c>
    </row>
    <row r="2663" spans="1:16" x14ac:dyDescent="0.25">
      <c r="A2663" t="s">
        <v>3296</v>
      </c>
      <c r="B2663" t="s">
        <v>2931</v>
      </c>
      <c r="C2663">
        <v>4091</v>
      </c>
      <c r="D2663" t="str">
        <f>"25052143    "</f>
        <v xml:space="preserve">25052143    </v>
      </c>
      <c r="E2663" t="s">
        <v>585</v>
      </c>
      <c r="F2663" t="s">
        <v>586</v>
      </c>
      <c r="G2663">
        <v>54.02</v>
      </c>
      <c r="H2663">
        <v>250306</v>
      </c>
      <c r="I2663">
        <v>4369</v>
      </c>
      <c r="J2663" t="s">
        <v>188</v>
      </c>
      <c r="K2663">
        <v>81.02</v>
      </c>
      <c r="L2663">
        <v>10.98</v>
      </c>
      <c r="M2663">
        <v>14952</v>
      </c>
      <c r="N2663" t="s">
        <v>213</v>
      </c>
      <c r="O2663">
        <v>250407</v>
      </c>
      <c r="P2663">
        <v>43.04</v>
      </c>
    </row>
    <row r="2664" spans="1:16" x14ac:dyDescent="0.25">
      <c r="A2664" t="s">
        <v>3296</v>
      </c>
      <c r="B2664" t="s">
        <v>2931</v>
      </c>
      <c r="C2664">
        <v>5091</v>
      </c>
      <c r="D2664" t="str">
        <f>"12504818594 "</f>
        <v xml:space="preserve">12504818594 </v>
      </c>
      <c r="E2664" t="s">
        <v>585</v>
      </c>
      <c r="F2664" t="s">
        <v>586</v>
      </c>
      <c r="G2664">
        <v>8.27</v>
      </c>
      <c r="H2664">
        <v>250331</v>
      </c>
      <c r="I2664">
        <v>4369</v>
      </c>
      <c r="J2664" t="s">
        <v>188</v>
      </c>
      <c r="K2664">
        <v>8.27</v>
      </c>
      <c r="L2664">
        <v>1.68</v>
      </c>
      <c r="M2664">
        <v>69501</v>
      </c>
      <c r="N2664" t="s">
        <v>123</v>
      </c>
      <c r="O2664">
        <v>250416</v>
      </c>
      <c r="P2664">
        <v>6.59</v>
      </c>
    </row>
    <row r="2665" spans="1:16" x14ac:dyDescent="0.25">
      <c r="A2665" t="s">
        <v>3296</v>
      </c>
      <c r="B2665" t="s">
        <v>2931</v>
      </c>
      <c r="C2665">
        <v>5609</v>
      </c>
      <c r="D2665" t="str">
        <f>"25080958    "</f>
        <v xml:space="preserve">25080958    </v>
      </c>
      <c r="E2665" t="s">
        <v>585</v>
      </c>
      <c r="F2665" t="s">
        <v>586</v>
      </c>
      <c r="G2665">
        <v>27</v>
      </c>
      <c r="H2665">
        <v>250404</v>
      </c>
      <c r="I2665">
        <v>4369</v>
      </c>
      <c r="J2665" t="s">
        <v>188</v>
      </c>
      <c r="K2665">
        <v>81.02</v>
      </c>
      <c r="L2665">
        <v>5.49</v>
      </c>
      <c r="M2665">
        <v>11401</v>
      </c>
      <c r="N2665" t="s">
        <v>91</v>
      </c>
      <c r="O2665">
        <v>250425</v>
      </c>
      <c r="P2665">
        <v>21.51</v>
      </c>
    </row>
    <row r="2666" spans="1:16" x14ac:dyDescent="0.25">
      <c r="A2666" t="s">
        <v>3296</v>
      </c>
      <c r="B2666" t="s">
        <v>2931</v>
      </c>
      <c r="C2666">
        <v>5609</v>
      </c>
      <c r="D2666" t="str">
        <f>"25080958    "</f>
        <v xml:space="preserve">25080958    </v>
      </c>
      <c r="E2666" t="s">
        <v>585</v>
      </c>
      <c r="F2666" t="s">
        <v>586</v>
      </c>
      <c r="G2666">
        <v>54.02</v>
      </c>
      <c r="H2666">
        <v>250404</v>
      </c>
      <c r="I2666">
        <v>4369</v>
      </c>
      <c r="J2666" t="s">
        <v>188</v>
      </c>
      <c r="K2666">
        <v>81.02</v>
      </c>
      <c r="L2666">
        <v>10.98</v>
      </c>
      <c r="M2666">
        <v>14952</v>
      </c>
      <c r="N2666" t="s">
        <v>213</v>
      </c>
      <c r="O2666">
        <v>250425</v>
      </c>
      <c r="P2666">
        <v>43.04</v>
      </c>
    </row>
    <row r="2667" spans="1:16" x14ac:dyDescent="0.25">
      <c r="A2667" t="s">
        <v>3296</v>
      </c>
      <c r="B2667" t="s">
        <v>2931</v>
      </c>
      <c r="C2667">
        <v>6496</v>
      </c>
      <c r="D2667" t="str">
        <f>"12506198188 "</f>
        <v xml:space="preserve">12506198188 </v>
      </c>
      <c r="E2667" t="s">
        <v>585</v>
      </c>
      <c r="F2667" t="s">
        <v>586</v>
      </c>
      <c r="G2667">
        <v>6.79</v>
      </c>
      <c r="H2667">
        <v>250430</v>
      </c>
      <c r="I2667">
        <v>4369</v>
      </c>
      <c r="J2667" t="s">
        <v>188</v>
      </c>
      <c r="K2667">
        <v>6.79</v>
      </c>
      <c r="L2667">
        <v>1.38</v>
      </c>
      <c r="M2667">
        <v>69501</v>
      </c>
      <c r="N2667" t="s">
        <v>123</v>
      </c>
      <c r="O2667">
        <v>250513</v>
      </c>
      <c r="P2667">
        <v>5.41</v>
      </c>
    </row>
    <row r="2668" spans="1:16" x14ac:dyDescent="0.25">
      <c r="A2668" t="s">
        <v>3296</v>
      </c>
      <c r="B2668" t="s">
        <v>2931</v>
      </c>
      <c r="C2668">
        <v>6834</v>
      </c>
      <c r="D2668" t="str">
        <f>"25109611    "</f>
        <v xml:space="preserve">25109611    </v>
      </c>
      <c r="E2668" t="s">
        <v>585</v>
      </c>
      <c r="F2668" t="s">
        <v>586</v>
      </c>
      <c r="G2668">
        <v>27</v>
      </c>
      <c r="H2668">
        <v>250507</v>
      </c>
      <c r="I2668">
        <v>4369</v>
      </c>
      <c r="J2668" t="s">
        <v>188</v>
      </c>
      <c r="K2668">
        <v>81.02</v>
      </c>
      <c r="L2668">
        <v>5.49</v>
      </c>
      <c r="M2668">
        <v>11401</v>
      </c>
      <c r="N2668" t="s">
        <v>91</v>
      </c>
      <c r="O2668">
        <v>250519</v>
      </c>
      <c r="P2668">
        <v>21.51</v>
      </c>
    </row>
    <row r="2669" spans="1:16" x14ac:dyDescent="0.25">
      <c r="A2669" t="s">
        <v>3296</v>
      </c>
      <c r="B2669" t="s">
        <v>2931</v>
      </c>
      <c r="C2669">
        <v>6834</v>
      </c>
      <c r="D2669" t="str">
        <f>"25109611    "</f>
        <v xml:space="preserve">25109611    </v>
      </c>
      <c r="E2669" t="s">
        <v>585</v>
      </c>
      <c r="F2669" t="s">
        <v>586</v>
      </c>
      <c r="G2669">
        <v>54.02</v>
      </c>
      <c r="H2669">
        <v>250507</v>
      </c>
      <c r="I2669">
        <v>4369</v>
      </c>
      <c r="J2669" t="s">
        <v>188</v>
      </c>
      <c r="K2669">
        <v>81.02</v>
      </c>
      <c r="L2669">
        <v>10.98</v>
      </c>
      <c r="M2669">
        <v>14952</v>
      </c>
      <c r="N2669" t="s">
        <v>213</v>
      </c>
      <c r="O2669">
        <v>250519</v>
      </c>
      <c r="P2669">
        <v>43.04</v>
      </c>
    </row>
    <row r="2670" spans="1:16" x14ac:dyDescent="0.25">
      <c r="A2670" t="s">
        <v>3296</v>
      </c>
      <c r="B2670" t="s">
        <v>2931</v>
      </c>
      <c r="C2670">
        <v>8524</v>
      </c>
      <c r="D2670" t="str">
        <f>"12507571046 "</f>
        <v xml:space="preserve">12507571046 </v>
      </c>
      <c r="E2670" t="s">
        <v>585</v>
      </c>
      <c r="F2670" t="s">
        <v>586</v>
      </c>
      <c r="G2670">
        <v>6.05</v>
      </c>
      <c r="H2670">
        <v>250531</v>
      </c>
      <c r="I2670">
        <v>4369</v>
      </c>
      <c r="J2670" t="s">
        <v>188</v>
      </c>
      <c r="K2670">
        <v>6.05</v>
      </c>
      <c r="L2670">
        <v>1.23</v>
      </c>
      <c r="M2670">
        <v>69501</v>
      </c>
      <c r="N2670" t="s">
        <v>123</v>
      </c>
      <c r="O2670">
        <v>250617</v>
      </c>
      <c r="P2670">
        <v>4.82</v>
      </c>
    </row>
    <row r="2671" spans="1:16" x14ac:dyDescent="0.25">
      <c r="A2671" t="s">
        <v>3296</v>
      </c>
      <c r="B2671" t="s">
        <v>2931</v>
      </c>
      <c r="C2671">
        <v>8946</v>
      </c>
      <c r="D2671" t="str">
        <f>"25138290    "</f>
        <v xml:space="preserve">25138290    </v>
      </c>
      <c r="E2671" t="s">
        <v>585</v>
      </c>
      <c r="F2671" t="s">
        <v>586</v>
      </c>
      <c r="G2671">
        <v>29.11</v>
      </c>
      <c r="H2671">
        <v>250605</v>
      </c>
      <c r="I2671">
        <v>4369</v>
      </c>
      <c r="J2671" t="s">
        <v>188</v>
      </c>
      <c r="K2671">
        <v>87.34</v>
      </c>
      <c r="L2671">
        <v>5.91</v>
      </c>
      <c r="M2671">
        <v>11401</v>
      </c>
      <c r="N2671" t="s">
        <v>91</v>
      </c>
      <c r="O2671">
        <v>250619</v>
      </c>
      <c r="P2671">
        <v>23.2</v>
      </c>
    </row>
    <row r="2672" spans="1:16" x14ac:dyDescent="0.25">
      <c r="A2672" t="s">
        <v>3296</v>
      </c>
      <c r="B2672" t="s">
        <v>2931</v>
      </c>
      <c r="C2672">
        <v>8946</v>
      </c>
      <c r="D2672" t="str">
        <f>"25138290    "</f>
        <v xml:space="preserve">25138290    </v>
      </c>
      <c r="E2672" t="s">
        <v>585</v>
      </c>
      <c r="F2672" t="s">
        <v>586</v>
      </c>
      <c r="G2672">
        <v>58.23</v>
      </c>
      <c r="H2672">
        <v>250605</v>
      </c>
      <c r="I2672">
        <v>4369</v>
      </c>
      <c r="J2672" t="s">
        <v>188</v>
      </c>
      <c r="K2672">
        <v>87.34</v>
      </c>
      <c r="L2672">
        <v>11.83</v>
      </c>
      <c r="M2672">
        <v>14952</v>
      </c>
      <c r="N2672" t="s">
        <v>213</v>
      </c>
      <c r="O2672">
        <v>250619</v>
      </c>
      <c r="P2672">
        <v>46.4</v>
      </c>
    </row>
    <row r="2673" spans="1:16" x14ac:dyDescent="0.25">
      <c r="A2673" t="s">
        <v>3296</v>
      </c>
      <c r="B2673" t="s">
        <v>2931</v>
      </c>
      <c r="C2673">
        <v>9527</v>
      </c>
      <c r="D2673" t="str">
        <f>"12508932288 "</f>
        <v xml:space="preserve">12508932288 </v>
      </c>
      <c r="E2673" t="s">
        <v>585</v>
      </c>
      <c r="F2673" t="s">
        <v>586</v>
      </c>
      <c r="G2673">
        <v>6.51</v>
      </c>
      <c r="H2673">
        <v>250630</v>
      </c>
      <c r="I2673">
        <v>4369</v>
      </c>
      <c r="J2673" t="s">
        <v>188</v>
      </c>
      <c r="K2673">
        <v>6.51</v>
      </c>
      <c r="L2673">
        <v>1.32</v>
      </c>
      <c r="M2673">
        <v>69501</v>
      </c>
      <c r="N2673" t="s">
        <v>123</v>
      </c>
      <c r="O2673">
        <v>250709</v>
      </c>
      <c r="P2673">
        <v>5.19</v>
      </c>
    </row>
    <row r="2674" spans="1:16" x14ac:dyDescent="0.25">
      <c r="A2674" t="s">
        <v>3296</v>
      </c>
      <c r="B2674" t="s">
        <v>2931</v>
      </c>
      <c r="C2674">
        <v>9790</v>
      </c>
      <c r="D2674" t="str">
        <f>"25166883    "</f>
        <v xml:space="preserve">25166883    </v>
      </c>
      <c r="E2674" t="s">
        <v>585</v>
      </c>
      <c r="F2674" t="s">
        <v>586</v>
      </c>
      <c r="G2674">
        <v>29.11</v>
      </c>
      <c r="H2674">
        <v>250704</v>
      </c>
      <c r="I2674">
        <v>4369</v>
      </c>
      <c r="J2674" t="s">
        <v>188</v>
      </c>
      <c r="K2674">
        <v>87.34</v>
      </c>
      <c r="L2674">
        <v>5.91</v>
      </c>
      <c r="M2674">
        <v>11401</v>
      </c>
      <c r="N2674" t="s">
        <v>91</v>
      </c>
      <c r="O2674">
        <v>250728</v>
      </c>
      <c r="P2674">
        <v>23.2</v>
      </c>
    </row>
    <row r="2675" spans="1:16" x14ac:dyDescent="0.25">
      <c r="A2675" t="s">
        <v>3296</v>
      </c>
      <c r="B2675" t="s">
        <v>2931</v>
      </c>
      <c r="C2675">
        <v>9790</v>
      </c>
      <c r="D2675" t="str">
        <f>"25166883    "</f>
        <v xml:space="preserve">25166883    </v>
      </c>
      <c r="E2675" t="s">
        <v>585</v>
      </c>
      <c r="F2675" t="s">
        <v>586</v>
      </c>
      <c r="G2675">
        <v>58.23</v>
      </c>
      <c r="H2675">
        <v>250704</v>
      </c>
      <c r="I2675">
        <v>4369</v>
      </c>
      <c r="J2675" t="s">
        <v>188</v>
      </c>
      <c r="K2675">
        <v>87.34</v>
      </c>
      <c r="L2675">
        <v>11.83</v>
      </c>
      <c r="M2675">
        <v>14952</v>
      </c>
      <c r="N2675" t="s">
        <v>213</v>
      </c>
      <c r="O2675">
        <v>250728</v>
      </c>
      <c r="P2675">
        <v>46.4</v>
      </c>
    </row>
    <row r="2676" spans="1:16" x14ac:dyDescent="0.25">
      <c r="A2676" t="s">
        <v>3296</v>
      </c>
      <c r="B2676" t="s">
        <v>2931</v>
      </c>
      <c r="C2676">
        <v>10219</v>
      </c>
      <c r="D2676" t="str">
        <f>"12510294289 "</f>
        <v xml:space="preserve">12510294289 </v>
      </c>
      <c r="E2676" t="s">
        <v>585</v>
      </c>
      <c r="F2676" t="s">
        <v>586</v>
      </c>
      <c r="G2676">
        <v>12.81</v>
      </c>
      <c r="H2676">
        <v>250731</v>
      </c>
      <c r="I2676">
        <v>4369</v>
      </c>
      <c r="J2676" t="s">
        <v>188</v>
      </c>
      <c r="K2676">
        <v>12.81</v>
      </c>
      <c r="L2676">
        <v>2.6</v>
      </c>
      <c r="M2676">
        <v>69501</v>
      </c>
      <c r="N2676" t="s">
        <v>123</v>
      </c>
      <c r="O2676">
        <v>250813</v>
      </c>
      <c r="P2676">
        <v>10.210000000000001</v>
      </c>
    </row>
    <row r="2677" spans="1:16" x14ac:dyDescent="0.25">
      <c r="A2677" t="s">
        <v>3296</v>
      </c>
      <c r="B2677" t="s">
        <v>2931</v>
      </c>
      <c r="C2677">
        <v>10572</v>
      </c>
      <c r="D2677" t="str">
        <f>"25195302    "</f>
        <v xml:space="preserve">25195302    </v>
      </c>
      <c r="E2677" t="s">
        <v>585</v>
      </c>
      <c r="F2677" t="s">
        <v>586</v>
      </c>
      <c r="G2677">
        <v>29.11</v>
      </c>
      <c r="H2677">
        <v>250806</v>
      </c>
      <c r="I2677">
        <v>4369</v>
      </c>
      <c r="J2677" t="s">
        <v>188</v>
      </c>
      <c r="K2677">
        <v>87.34</v>
      </c>
      <c r="L2677">
        <v>5.91</v>
      </c>
      <c r="M2677">
        <v>11401</v>
      </c>
      <c r="N2677" t="s">
        <v>91</v>
      </c>
      <c r="O2677">
        <v>250820</v>
      </c>
      <c r="P2677">
        <v>23.2</v>
      </c>
    </row>
    <row r="2678" spans="1:16" x14ac:dyDescent="0.25">
      <c r="A2678" t="s">
        <v>3296</v>
      </c>
      <c r="B2678" t="s">
        <v>2931</v>
      </c>
      <c r="C2678">
        <v>10572</v>
      </c>
      <c r="D2678" t="str">
        <f>"25195302    "</f>
        <v xml:space="preserve">25195302    </v>
      </c>
      <c r="E2678" t="s">
        <v>585</v>
      </c>
      <c r="F2678" t="s">
        <v>586</v>
      </c>
      <c r="G2678">
        <v>58.23</v>
      </c>
      <c r="H2678">
        <v>250806</v>
      </c>
      <c r="I2678">
        <v>4369</v>
      </c>
      <c r="J2678" t="s">
        <v>188</v>
      </c>
      <c r="K2678">
        <v>87.34</v>
      </c>
      <c r="L2678">
        <v>11.83</v>
      </c>
      <c r="M2678">
        <v>14952</v>
      </c>
      <c r="N2678" t="s">
        <v>213</v>
      </c>
      <c r="O2678">
        <v>250820</v>
      </c>
      <c r="P2678">
        <v>46.4</v>
      </c>
    </row>
    <row r="2679" spans="1:16" x14ac:dyDescent="0.25">
      <c r="A2679" t="s">
        <v>3296</v>
      </c>
      <c r="B2679" t="s">
        <v>2931</v>
      </c>
      <c r="C2679">
        <v>12306</v>
      </c>
      <c r="D2679" t="str">
        <f>"12511670976 "</f>
        <v xml:space="preserve">12511670976 </v>
      </c>
      <c r="E2679" t="s">
        <v>585</v>
      </c>
      <c r="F2679" t="s">
        <v>586</v>
      </c>
      <c r="G2679">
        <v>7.25</v>
      </c>
      <c r="H2679">
        <v>250908</v>
      </c>
      <c r="I2679">
        <v>4369</v>
      </c>
      <c r="J2679" t="s">
        <v>188</v>
      </c>
      <c r="K2679">
        <v>7.25</v>
      </c>
      <c r="L2679">
        <v>1.47</v>
      </c>
      <c r="M2679">
        <v>69501</v>
      </c>
      <c r="N2679" t="s">
        <v>123</v>
      </c>
      <c r="O2679">
        <v>250919</v>
      </c>
      <c r="P2679">
        <v>5.78</v>
      </c>
    </row>
    <row r="2680" spans="1:16" x14ac:dyDescent="0.25">
      <c r="A2680" t="s">
        <v>3296</v>
      </c>
      <c r="B2680" t="s">
        <v>2931</v>
      </c>
      <c r="C2680">
        <v>12956</v>
      </c>
      <c r="D2680" t="str">
        <f>"25223610    "</f>
        <v xml:space="preserve">25223610    </v>
      </c>
      <c r="E2680" t="s">
        <v>585</v>
      </c>
      <c r="F2680" t="s">
        <v>586</v>
      </c>
      <c r="G2680">
        <v>26.2</v>
      </c>
      <c r="H2680">
        <v>250904</v>
      </c>
      <c r="I2680">
        <v>4369</v>
      </c>
      <c r="J2680" t="s">
        <v>188</v>
      </c>
      <c r="K2680">
        <v>87.34</v>
      </c>
      <c r="L2680">
        <v>5.32</v>
      </c>
      <c r="M2680">
        <v>11401</v>
      </c>
      <c r="N2680" t="s">
        <v>91</v>
      </c>
      <c r="O2680">
        <v>251003</v>
      </c>
      <c r="P2680">
        <v>20.88</v>
      </c>
    </row>
    <row r="2681" spans="1:16" x14ac:dyDescent="0.25">
      <c r="A2681" t="s">
        <v>3296</v>
      </c>
      <c r="B2681" t="s">
        <v>2931</v>
      </c>
      <c r="C2681">
        <v>12956</v>
      </c>
      <c r="D2681" t="str">
        <f>"25223610    "</f>
        <v xml:space="preserve">25223610    </v>
      </c>
      <c r="E2681" t="s">
        <v>585</v>
      </c>
      <c r="F2681" t="s">
        <v>586</v>
      </c>
      <c r="G2681">
        <v>61.14</v>
      </c>
      <c r="H2681">
        <v>250904</v>
      </c>
      <c r="I2681">
        <v>4369</v>
      </c>
      <c r="J2681" t="s">
        <v>188</v>
      </c>
      <c r="K2681">
        <v>87.34</v>
      </c>
      <c r="L2681">
        <v>12.42</v>
      </c>
      <c r="M2681">
        <v>14952</v>
      </c>
      <c r="N2681" t="s">
        <v>213</v>
      </c>
      <c r="O2681">
        <v>251003</v>
      </c>
      <c r="P2681">
        <v>48.72</v>
      </c>
    </row>
    <row r="2682" spans="1:16" x14ac:dyDescent="0.25">
      <c r="A2682" t="s">
        <v>3296</v>
      </c>
      <c r="B2682" t="s">
        <v>2931</v>
      </c>
      <c r="C2682">
        <v>13602</v>
      </c>
      <c r="D2682" t="str">
        <f>"12513065324 "</f>
        <v xml:space="preserve">12513065324 </v>
      </c>
      <c r="E2682" t="s">
        <v>585</v>
      </c>
      <c r="F2682" t="s">
        <v>586</v>
      </c>
      <c r="G2682">
        <v>6.51</v>
      </c>
      <c r="H2682">
        <v>250930</v>
      </c>
      <c r="I2682">
        <v>4369</v>
      </c>
      <c r="J2682" t="s">
        <v>188</v>
      </c>
      <c r="K2682">
        <v>6.51</v>
      </c>
      <c r="L2682">
        <v>1.32</v>
      </c>
      <c r="M2682">
        <v>69501</v>
      </c>
      <c r="N2682" t="s">
        <v>123</v>
      </c>
      <c r="O2682">
        <v>251013</v>
      </c>
      <c r="P2682">
        <v>5.19</v>
      </c>
    </row>
    <row r="2683" spans="1:16" x14ac:dyDescent="0.25">
      <c r="A2683" t="s">
        <v>3296</v>
      </c>
      <c r="B2683" t="s">
        <v>2931</v>
      </c>
      <c r="C2683">
        <v>13826</v>
      </c>
      <c r="D2683" t="str">
        <f>"25252292    "</f>
        <v xml:space="preserve">25252292    </v>
      </c>
      <c r="E2683" t="s">
        <v>585</v>
      </c>
      <c r="F2683" t="s">
        <v>586</v>
      </c>
      <c r="G2683">
        <v>26.2</v>
      </c>
      <c r="H2683">
        <v>251006</v>
      </c>
      <c r="I2683">
        <v>4369</v>
      </c>
      <c r="J2683" t="s">
        <v>188</v>
      </c>
      <c r="K2683">
        <v>87.34</v>
      </c>
      <c r="L2683">
        <v>5.32</v>
      </c>
      <c r="M2683">
        <v>11401</v>
      </c>
      <c r="N2683" t="s">
        <v>91</v>
      </c>
      <c r="O2683">
        <v>251020</v>
      </c>
      <c r="P2683">
        <v>20.88</v>
      </c>
    </row>
    <row r="2684" spans="1:16" x14ac:dyDescent="0.25">
      <c r="A2684" t="s">
        <v>3296</v>
      </c>
      <c r="B2684" t="s">
        <v>2931</v>
      </c>
      <c r="C2684">
        <v>13826</v>
      </c>
      <c r="D2684" t="str">
        <f>"25252292    "</f>
        <v xml:space="preserve">25252292    </v>
      </c>
      <c r="E2684" t="s">
        <v>585</v>
      </c>
      <c r="F2684" t="s">
        <v>586</v>
      </c>
      <c r="G2684">
        <v>61.14</v>
      </c>
      <c r="H2684">
        <v>251006</v>
      </c>
      <c r="I2684">
        <v>4369</v>
      </c>
      <c r="J2684" t="s">
        <v>188</v>
      </c>
      <c r="K2684">
        <v>87.34</v>
      </c>
      <c r="L2684">
        <v>12.42</v>
      </c>
      <c r="M2684">
        <v>14952</v>
      </c>
      <c r="N2684" t="s">
        <v>213</v>
      </c>
      <c r="O2684">
        <v>251020</v>
      </c>
      <c r="P2684">
        <v>48.72</v>
      </c>
    </row>
    <row r="2685" spans="1:16" x14ac:dyDescent="0.25">
      <c r="A2685" t="s">
        <v>3296</v>
      </c>
      <c r="B2685" t="s">
        <v>2931</v>
      </c>
      <c r="C2685">
        <v>15172</v>
      </c>
      <c r="D2685" t="str">
        <f>"12514453482 "</f>
        <v xml:space="preserve">12514453482 </v>
      </c>
      <c r="E2685" t="s">
        <v>585</v>
      </c>
      <c r="F2685" t="s">
        <v>586</v>
      </c>
      <c r="G2685">
        <v>8.73</v>
      </c>
      <c r="H2685">
        <v>251031</v>
      </c>
      <c r="I2685">
        <v>4369</v>
      </c>
      <c r="J2685" t="s">
        <v>188</v>
      </c>
      <c r="K2685">
        <v>8.73</v>
      </c>
      <c r="L2685">
        <v>1.77</v>
      </c>
      <c r="M2685">
        <v>69501</v>
      </c>
      <c r="N2685" t="s">
        <v>123</v>
      </c>
      <c r="O2685">
        <v>251113</v>
      </c>
      <c r="P2685">
        <v>6.96</v>
      </c>
    </row>
    <row r="2686" spans="1:16" x14ac:dyDescent="0.25">
      <c r="A2686" t="s">
        <v>3296</v>
      </c>
      <c r="B2686" t="s">
        <v>2931</v>
      </c>
      <c r="C2686">
        <v>16225</v>
      </c>
      <c r="D2686" t="str">
        <f>"25284829    "</f>
        <v xml:space="preserve">25284829    </v>
      </c>
      <c r="E2686" t="s">
        <v>585</v>
      </c>
      <c r="F2686" t="s">
        <v>586</v>
      </c>
      <c r="G2686">
        <v>26.2</v>
      </c>
      <c r="H2686">
        <v>251106</v>
      </c>
      <c r="I2686">
        <v>4369</v>
      </c>
      <c r="J2686" t="s">
        <v>188</v>
      </c>
      <c r="K2686">
        <v>87.34</v>
      </c>
      <c r="L2686">
        <v>5.32</v>
      </c>
      <c r="M2686">
        <v>11401</v>
      </c>
      <c r="N2686" t="s">
        <v>91</v>
      </c>
      <c r="O2686">
        <v>251204</v>
      </c>
      <c r="P2686">
        <v>20.88</v>
      </c>
    </row>
    <row r="2687" spans="1:16" x14ac:dyDescent="0.25">
      <c r="A2687" t="s">
        <v>3296</v>
      </c>
      <c r="B2687" t="s">
        <v>2931</v>
      </c>
      <c r="C2687">
        <v>16225</v>
      </c>
      <c r="D2687" t="str">
        <f>"25284829    "</f>
        <v xml:space="preserve">25284829    </v>
      </c>
      <c r="E2687" t="s">
        <v>585</v>
      </c>
      <c r="F2687" t="s">
        <v>586</v>
      </c>
      <c r="G2687">
        <v>61.14</v>
      </c>
      <c r="H2687">
        <v>251106</v>
      </c>
      <c r="I2687">
        <v>4369</v>
      </c>
      <c r="J2687" t="s">
        <v>188</v>
      </c>
      <c r="K2687">
        <v>87.34</v>
      </c>
      <c r="L2687">
        <v>12.42</v>
      </c>
      <c r="M2687">
        <v>14952</v>
      </c>
      <c r="N2687" t="s">
        <v>213</v>
      </c>
      <c r="O2687">
        <v>251204</v>
      </c>
      <c r="P2687">
        <v>48.72</v>
      </c>
    </row>
    <row r="2688" spans="1:16" x14ac:dyDescent="0.25">
      <c r="A2688" t="s">
        <v>3296</v>
      </c>
      <c r="B2688" t="s">
        <v>2931</v>
      </c>
      <c r="C2688">
        <v>16674</v>
      </c>
      <c r="D2688" t="str">
        <f>"12515827526 "</f>
        <v xml:space="preserve">12515827526 </v>
      </c>
      <c r="E2688" t="s">
        <v>585</v>
      </c>
      <c r="F2688" t="s">
        <v>586</v>
      </c>
      <c r="G2688">
        <v>14.81</v>
      </c>
      <c r="H2688">
        <v>251130</v>
      </c>
      <c r="I2688">
        <v>4369</v>
      </c>
      <c r="J2688" t="s">
        <v>188</v>
      </c>
      <c r="K2688">
        <v>14.81</v>
      </c>
      <c r="L2688">
        <v>3.01</v>
      </c>
      <c r="M2688">
        <v>69501</v>
      </c>
      <c r="N2688" t="s">
        <v>123</v>
      </c>
      <c r="O2688">
        <v>251211</v>
      </c>
      <c r="P2688">
        <v>11.8</v>
      </c>
    </row>
    <row r="2689" spans="1:16" x14ac:dyDescent="0.25">
      <c r="A2689" t="s">
        <v>3296</v>
      </c>
      <c r="B2689" t="s">
        <v>2931</v>
      </c>
      <c r="C2689">
        <v>17688</v>
      </c>
      <c r="D2689" t="str">
        <f>"25312583    "</f>
        <v xml:space="preserve">25312583    </v>
      </c>
      <c r="E2689" t="s">
        <v>585</v>
      </c>
      <c r="F2689" t="s">
        <v>586</v>
      </c>
      <c r="G2689">
        <v>26.2</v>
      </c>
      <c r="H2689">
        <v>251204</v>
      </c>
      <c r="I2689">
        <v>4369</v>
      </c>
      <c r="J2689" t="s">
        <v>188</v>
      </c>
      <c r="K2689">
        <v>87.34</v>
      </c>
      <c r="L2689">
        <v>5.32</v>
      </c>
      <c r="M2689">
        <v>11401</v>
      </c>
      <c r="N2689" t="s">
        <v>91</v>
      </c>
      <c r="O2689">
        <v>251229</v>
      </c>
      <c r="P2689">
        <v>20.88</v>
      </c>
    </row>
    <row r="2690" spans="1:16" x14ac:dyDescent="0.25">
      <c r="A2690" t="s">
        <v>3296</v>
      </c>
      <c r="B2690" t="s">
        <v>2931</v>
      </c>
      <c r="C2690">
        <v>17688</v>
      </c>
      <c r="D2690" t="str">
        <f>"25312583    "</f>
        <v xml:space="preserve">25312583    </v>
      </c>
      <c r="E2690" t="s">
        <v>585</v>
      </c>
      <c r="F2690" t="s">
        <v>586</v>
      </c>
      <c r="G2690">
        <v>61.14</v>
      </c>
      <c r="H2690">
        <v>251204</v>
      </c>
      <c r="I2690">
        <v>4369</v>
      </c>
      <c r="J2690" t="s">
        <v>188</v>
      </c>
      <c r="K2690">
        <v>87.34</v>
      </c>
      <c r="L2690">
        <v>12.42</v>
      </c>
      <c r="M2690">
        <v>14952</v>
      </c>
      <c r="N2690" t="s">
        <v>213</v>
      </c>
      <c r="O2690">
        <v>251229</v>
      </c>
      <c r="P2690">
        <v>48.72</v>
      </c>
    </row>
    <row r="2691" spans="1:16" x14ac:dyDescent="0.25">
      <c r="A2691" t="s">
        <v>3296</v>
      </c>
      <c r="B2691" t="s">
        <v>2931</v>
      </c>
      <c r="C2691">
        <v>18437</v>
      </c>
      <c r="D2691" t="str">
        <f>"12600646086 "</f>
        <v xml:space="preserve">12600646086 </v>
      </c>
      <c r="E2691" t="s">
        <v>585</v>
      </c>
      <c r="F2691" t="s">
        <v>586</v>
      </c>
      <c r="G2691">
        <v>8.73</v>
      </c>
      <c r="H2691">
        <v>251231</v>
      </c>
      <c r="I2691">
        <v>4369</v>
      </c>
      <c r="J2691" t="s">
        <v>188</v>
      </c>
      <c r="K2691">
        <v>8.73</v>
      </c>
      <c r="L2691">
        <v>1.77</v>
      </c>
      <c r="M2691">
        <v>69501</v>
      </c>
      <c r="N2691" t="s">
        <v>123</v>
      </c>
      <c r="O2691">
        <v>260113</v>
      </c>
      <c r="P2691">
        <v>6.96</v>
      </c>
    </row>
    <row r="2692" spans="1:16" x14ac:dyDescent="0.25">
      <c r="A2692" t="s">
        <v>3296</v>
      </c>
      <c r="B2692" t="s">
        <v>2931</v>
      </c>
      <c r="C2692">
        <v>9222</v>
      </c>
      <c r="D2692" t="str">
        <f>"1033        "</f>
        <v xml:space="preserve">1033        </v>
      </c>
      <c r="E2692" t="s">
        <v>2112</v>
      </c>
      <c r="F2692" t="s">
        <v>2113</v>
      </c>
      <c r="G2692">
        <v>62.5</v>
      </c>
      <c r="H2692">
        <v>250619</v>
      </c>
      <c r="I2692">
        <v>4470</v>
      </c>
      <c r="J2692" t="s">
        <v>203</v>
      </c>
      <c r="K2692">
        <v>62.5</v>
      </c>
      <c r="L2692">
        <v>12.7</v>
      </c>
      <c r="M2692">
        <v>67522</v>
      </c>
      <c r="N2692" t="s">
        <v>121</v>
      </c>
      <c r="O2692">
        <v>250627</v>
      </c>
      <c r="P2692">
        <v>49.8</v>
      </c>
    </row>
    <row r="2693" spans="1:16" x14ac:dyDescent="0.25">
      <c r="A2693" t="s">
        <v>3296</v>
      </c>
      <c r="B2693" t="s">
        <v>2931</v>
      </c>
      <c r="C2693">
        <v>4259</v>
      </c>
      <c r="D2693" t="str">
        <f>"20457       "</f>
        <v xml:space="preserve">20457       </v>
      </c>
      <c r="E2693" t="s">
        <v>1606</v>
      </c>
      <c r="F2693" t="s">
        <v>1607</v>
      </c>
      <c r="G2693">
        <v>170.38</v>
      </c>
      <c r="H2693">
        <v>250328</v>
      </c>
      <c r="I2693">
        <v>4600</v>
      </c>
      <c r="J2693" t="s">
        <v>278</v>
      </c>
      <c r="K2693">
        <v>170.38</v>
      </c>
      <c r="L2693">
        <v>34.619999999999997</v>
      </c>
      <c r="M2693">
        <v>17638</v>
      </c>
      <c r="N2693" t="s">
        <v>1182</v>
      </c>
      <c r="O2693">
        <v>250409</v>
      </c>
      <c r="P2693">
        <v>135.76</v>
      </c>
    </row>
    <row r="2694" spans="1:16" x14ac:dyDescent="0.25">
      <c r="A2694" t="s">
        <v>3296</v>
      </c>
      <c r="B2694" t="s">
        <v>2931</v>
      </c>
      <c r="C2694">
        <v>16362</v>
      </c>
      <c r="D2694" t="str">
        <f>"6125120159  "</f>
        <v xml:space="preserve">6125120159  </v>
      </c>
      <c r="E2694" t="s">
        <v>2678</v>
      </c>
      <c r="F2694" t="s">
        <v>2679</v>
      </c>
      <c r="G2694">
        <v>225</v>
      </c>
      <c r="H2694">
        <v>251203</v>
      </c>
      <c r="I2694">
        <v>4390</v>
      </c>
      <c r="J2694" t="s">
        <v>232</v>
      </c>
      <c r="K2694">
        <v>225</v>
      </c>
      <c r="L2694">
        <v>45.72</v>
      </c>
      <c r="M2694">
        <v>17951</v>
      </c>
      <c r="N2694" t="s">
        <v>207</v>
      </c>
      <c r="O2694">
        <v>251208</v>
      </c>
      <c r="P2694">
        <v>179.28</v>
      </c>
    </row>
    <row r="2695" spans="1:16" x14ac:dyDescent="0.25">
      <c r="A2695" t="s">
        <v>3296</v>
      </c>
      <c r="B2695" t="s">
        <v>2931</v>
      </c>
      <c r="C2695">
        <v>17130</v>
      </c>
      <c r="D2695" t="str">
        <f>"1795        "</f>
        <v xml:space="preserve">1795        </v>
      </c>
      <c r="E2695" t="s">
        <v>2732</v>
      </c>
      <c r="F2695" t="s">
        <v>2733</v>
      </c>
      <c r="G2695">
        <v>1694</v>
      </c>
      <c r="H2695">
        <v>251209</v>
      </c>
      <c r="I2695">
        <v>4555</v>
      </c>
      <c r="J2695" t="s">
        <v>352</v>
      </c>
      <c r="K2695">
        <v>1694</v>
      </c>
      <c r="L2695">
        <v>344.2</v>
      </c>
      <c r="M2695">
        <v>44453</v>
      </c>
      <c r="N2695" t="s">
        <v>100</v>
      </c>
      <c r="O2695">
        <v>251217</v>
      </c>
      <c r="P2695">
        <v>1349.8</v>
      </c>
    </row>
    <row r="2696" spans="1:16" x14ac:dyDescent="0.25">
      <c r="A2696" t="s">
        <v>3296</v>
      </c>
      <c r="B2696" t="s">
        <v>2931</v>
      </c>
      <c r="C2696">
        <v>17131</v>
      </c>
      <c r="D2696" t="str">
        <f>"1796        "</f>
        <v xml:space="preserve">1796        </v>
      </c>
      <c r="E2696" t="s">
        <v>2732</v>
      </c>
      <c r="F2696" t="s">
        <v>2733</v>
      </c>
      <c r="G2696">
        <v>258</v>
      </c>
      <c r="H2696">
        <v>251209</v>
      </c>
      <c r="I2696">
        <v>4555</v>
      </c>
      <c r="J2696" t="s">
        <v>352</v>
      </c>
      <c r="K2696">
        <v>258</v>
      </c>
      <c r="L2696">
        <v>52.42</v>
      </c>
      <c r="M2696">
        <v>44453</v>
      </c>
      <c r="N2696" t="s">
        <v>100</v>
      </c>
      <c r="O2696">
        <v>251217</v>
      </c>
      <c r="P2696">
        <v>205.58</v>
      </c>
    </row>
    <row r="2697" spans="1:16" x14ac:dyDescent="0.25">
      <c r="A2697" t="s">
        <v>3296</v>
      </c>
      <c r="B2697" t="s">
        <v>2931</v>
      </c>
      <c r="C2697">
        <v>18566</v>
      </c>
      <c r="D2697" t="str">
        <f>"1797        "</f>
        <v xml:space="preserve">1797        </v>
      </c>
      <c r="E2697" t="s">
        <v>2732</v>
      </c>
      <c r="F2697" t="s">
        <v>2733</v>
      </c>
      <c r="G2697">
        <v>1694</v>
      </c>
      <c r="H2697">
        <v>251209</v>
      </c>
      <c r="I2697">
        <v>4555</v>
      </c>
      <c r="J2697" t="s">
        <v>352</v>
      </c>
      <c r="K2697">
        <v>1694</v>
      </c>
      <c r="L2697">
        <v>344.2</v>
      </c>
      <c r="M2697">
        <v>44453</v>
      </c>
      <c r="N2697" t="s">
        <v>100</v>
      </c>
      <c r="O2697">
        <v>260116</v>
      </c>
      <c r="P2697">
        <v>1349.8</v>
      </c>
    </row>
    <row r="2698" spans="1:16" x14ac:dyDescent="0.25">
      <c r="A2698" t="s">
        <v>3296</v>
      </c>
      <c r="B2698" t="s">
        <v>2931</v>
      </c>
      <c r="C2698">
        <v>4741</v>
      </c>
      <c r="D2698" t="str">
        <f>"1011903     "</f>
        <v xml:space="preserve">1011903     </v>
      </c>
      <c r="E2698" t="s">
        <v>503</v>
      </c>
      <c r="F2698" t="s">
        <v>504</v>
      </c>
      <c r="G2698">
        <v>24.85</v>
      </c>
      <c r="H2698">
        <v>250318</v>
      </c>
      <c r="I2698">
        <v>1196</v>
      </c>
      <c r="J2698" t="s">
        <v>340</v>
      </c>
      <c r="K2698">
        <v>24.85</v>
      </c>
      <c r="L2698">
        <v>5.05</v>
      </c>
      <c r="M2698">
        <v>97604</v>
      </c>
      <c r="N2698" t="s">
        <v>341</v>
      </c>
      <c r="O2698">
        <v>250415</v>
      </c>
      <c r="P2698">
        <v>19.8</v>
      </c>
    </row>
    <row r="2699" spans="1:16" x14ac:dyDescent="0.25">
      <c r="A2699" t="s">
        <v>3296</v>
      </c>
      <c r="B2699" t="s">
        <v>2931</v>
      </c>
      <c r="C2699">
        <v>1626</v>
      </c>
      <c r="D2699" t="str">
        <f>"999915      "</f>
        <v xml:space="preserve">999915      </v>
      </c>
      <c r="E2699" t="s">
        <v>503</v>
      </c>
      <c r="F2699" t="s">
        <v>504</v>
      </c>
      <c r="G2699">
        <v>1508.18</v>
      </c>
      <c r="H2699">
        <v>250131</v>
      </c>
      <c r="I2699">
        <v>1198</v>
      </c>
      <c r="J2699" t="s">
        <v>610</v>
      </c>
      <c r="K2699">
        <v>1508.18</v>
      </c>
      <c r="L2699">
        <v>306.44</v>
      </c>
      <c r="M2699">
        <v>97628</v>
      </c>
      <c r="N2699" t="s">
        <v>737</v>
      </c>
      <c r="O2699">
        <v>250211</v>
      </c>
      <c r="P2699">
        <v>1201.74</v>
      </c>
    </row>
    <row r="2700" spans="1:16" x14ac:dyDescent="0.25">
      <c r="A2700" t="s">
        <v>3296</v>
      </c>
      <c r="B2700" t="s">
        <v>2931</v>
      </c>
      <c r="C2700">
        <v>1904</v>
      </c>
      <c r="D2700" t="str">
        <f>"1003013     "</f>
        <v xml:space="preserve">1003013     </v>
      </c>
      <c r="E2700" t="s">
        <v>503</v>
      </c>
      <c r="F2700" t="s">
        <v>504</v>
      </c>
      <c r="G2700">
        <v>244.41</v>
      </c>
      <c r="H2700">
        <v>250211</v>
      </c>
      <c r="I2700">
        <v>1198</v>
      </c>
      <c r="J2700" t="s">
        <v>610</v>
      </c>
      <c r="K2700">
        <v>244.41</v>
      </c>
      <c r="L2700">
        <v>49.66</v>
      </c>
      <c r="M2700">
        <v>97628</v>
      </c>
      <c r="N2700" t="s">
        <v>737</v>
      </c>
      <c r="O2700">
        <v>250214</v>
      </c>
      <c r="P2700">
        <v>194.75</v>
      </c>
    </row>
    <row r="2701" spans="1:16" x14ac:dyDescent="0.25">
      <c r="A2701" t="s">
        <v>3296</v>
      </c>
      <c r="B2701" t="s">
        <v>2931</v>
      </c>
      <c r="C2701">
        <v>2413</v>
      </c>
      <c r="D2701" t="str">
        <f>"1003268     "</f>
        <v xml:space="preserve">1003268     </v>
      </c>
      <c r="E2701" t="s">
        <v>503</v>
      </c>
      <c r="F2701" t="s">
        <v>504</v>
      </c>
      <c r="G2701">
        <v>3368.23</v>
      </c>
      <c r="H2701">
        <v>250212</v>
      </c>
      <c r="I2701">
        <v>1198</v>
      </c>
      <c r="J2701" t="s">
        <v>610</v>
      </c>
      <c r="K2701">
        <v>3368.23</v>
      </c>
      <c r="L2701">
        <v>684.38</v>
      </c>
      <c r="M2701">
        <v>97628</v>
      </c>
      <c r="N2701" t="s">
        <v>737</v>
      </c>
      <c r="O2701">
        <v>250225</v>
      </c>
      <c r="P2701">
        <v>2683.85</v>
      </c>
    </row>
    <row r="2702" spans="1:16" x14ac:dyDescent="0.25">
      <c r="A2702" t="s">
        <v>3296</v>
      </c>
      <c r="B2702" t="s">
        <v>2931</v>
      </c>
      <c r="C2702">
        <v>2872</v>
      </c>
      <c r="D2702" t="str">
        <f>"1006228     "</f>
        <v xml:space="preserve">1006228     </v>
      </c>
      <c r="E2702" t="s">
        <v>503</v>
      </c>
      <c r="F2702" t="s">
        <v>504</v>
      </c>
      <c r="G2702">
        <v>245.83</v>
      </c>
      <c r="H2702">
        <v>250224</v>
      </c>
      <c r="I2702">
        <v>1198</v>
      </c>
      <c r="J2702" t="s">
        <v>610</v>
      </c>
      <c r="K2702">
        <v>245.83</v>
      </c>
      <c r="L2702">
        <v>49.95</v>
      </c>
      <c r="M2702">
        <v>98110</v>
      </c>
      <c r="N2702" t="s">
        <v>611</v>
      </c>
      <c r="O2702">
        <v>250312</v>
      </c>
      <c r="P2702">
        <v>195.88</v>
      </c>
    </row>
    <row r="2703" spans="1:16" x14ac:dyDescent="0.25">
      <c r="A2703" t="s">
        <v>3296</v>
      </c>
      <c r="B2703" t="s">
        <v>2931</v>
      </c>
      <c r="C2703">
        <v>4182</v>
      </c>
      <c r="D2703" t="str">
        <f>"1010207     "</f>
        <v xml:space="preserve">1010207     </v>
      </c>
      <c r="E2703" t="s">
        <v>503</v>
      </c>
      <c r="F2703" t="s">
        <v>504</v>
      </c>
      <c r="G2703">
        <v>25.68</v>
      </c>
      <c r="H2703">
        <v>250311</v>
      </c>
      <c r="I2703">
        <v>1198</v>
      </c>
      <c r="J2703" t="s">
        <v>610</v>
      </c>
      <c r="K2703">
        <v>25.68</v>
      </c>
      <c r="L2703">
        <v>5.22</v>
      </c>
      <c r="M2703">
        <v>98110</v>
      </c>
      <c r="N2703" t="s">
        <v>611</v>
      </c>
      <c r="O2703">
        <v>250408</v>
      </c>
      <c r="P2703">
        <v>20.46</v>
      </c>
    </row>
    <row r="2704" spans="1:16" x14ac:dyDescent="0.25">
      <c r="A2704" t="s">
        <v>3296</v>
      </c>
      <c r="B2704" t="s">
        <v>2931</v>
      </c>
      <c r="C2704">
        <v>14316</v>
      </c>
      <c r="D2704" t="str">
        <f>"1062142     "</f>
        <v xml:space="preserve">1062142     </v>
      </c>
      <c r="E2704" t="s">
        <v>503</v>
      </c>
      <c r="F2704" t="s">
        <v>504</v>
      </c>
      <c r="G2704">
        <v>234.96</v>
      </c>
      <c r="H2704">
        <v>251015</v>
      </c>
      <c r="I2704">
        <v>4366</v>
      </c>
      <c r="J2704" t="s">
        <v>65</v>
      </c>
      <c r="K2704">
        <v>234.96</v>
      </c>
      <c r="L2704">
        <v>47.74</v>
      </c>
      <c r="M2704">
        <v>12500</v>
      </c>
      <c r="N2704" t="s">
        <v>1502</v>
      </c>
      <c r="O2704">
        <v>251029</v>
      </c>
      <c r="P2704">
        <v>187.22</v>
      </c>
    </row>
    <row r="2705" spans="1:16" x14ac:dyDescent="0.25">
      <c r="A2705" t="s">
        <v>3296</v>
      </c>
      <c r="B2705" t="s">
        <v>2931</v>
      </c>
      <c r="C2705">
        <v>17751</v>
      </c>
      <c r="D2705" t="str">
        <f>"1074942     "</f>
        <v xml:space="preserve">1074942     </v>
      </c>
      <c r="E2705" t="s">
        <v>503</v>
      </c>
      <c r="F2705" t="s">
        <v>504</v>
      </c>
      <c r="G2705">
        <v>59.93</v>
      </c>
      <c r="H2705">
        <v>251208</v>
      </c>
      <c r="I2705">
        <v>4366</v>
      </c>
      <c r="J2705" t="s">
        <v>65</v>
      </c>
      <c r="K2705">
        <v>59.93</v>
      </c>
      <c r="L2705">
        <v>12.18</v>
      </c>
      <c r="M2705">
        <v>12500</v>
      </c>
      <c r="N2705" t="s">
        <v>1502</v>
      </c>
      <c r="O2705">
        <v>251230</v>
      </c>
      <c r="P2705">
        <v>47.75</v>
      </c>
    </row>
    <row r="2706" spans="1:16" x14ac:dyDescent="0.25">
      <c r="A2706" t="s">
        <v>3296</v>
      </c>
      <c r="B2706" t="s">
        <v>2931</v>
      </c>
      <c r="C2706">
        <v>2556</v>
      </c>
      <c r="D2706" t="str">
        <f>"992171      "</f>
        <v xml:space="preserve">992171      </v>
      </c>
      <c r="E2706" t="s">
        <v>503</v>
      </c>
      <c r="F2706" t="s">
        <v>504</v>
      </c>
      <c r="G2706">
        <v>27374.19</v>
      </c>
      <c r="H2706">
        <v>250228</v>
      </c>
      <c r="I2706">
        <v>4367</v>
      </c>
      <c r="J2706" t="s">
        <v>159</v>
      </c>
      <c r="K2706">
        <v>109496.74</v>
      </c>
      <c r="L2706">
        <v>5562.09</v>
      </c>
      <c r="M2706">
        <v>11801</v>
      </c>
      <c r="N2706" t="s">
        <v>40</v>
      </c>
      <c r="O2706">
        <v>250305</v>
      </c>
      <c r="P2706">
        <v>21812.1</v>
      </c>
    </row>
    <row r="2707" spans="1:16" x14ac:dyDescent="0.25">
      <c r="A2707" t="s">
        <v>3296</v>
      </c>
      <c r="B2707" t="s">
        <v>2931</v>
      </c>
      <c r="C2707">
        <v>10858</v>
      </c>
      <c r="D2707" t="str">
        <f>"1045506     "</f>
        <v xml:space="preserve">1045506     </v>
      </c>
      <c r="E2707" t="s">
        <v>503</v>
      </c>
      <c r="F2707" t="s">
        <v>504</v>
      </c>
      <c r="G2707">
        <v>352.41</v>
      </c>
      <c r="H2707">
        <v>250814</v>
      </c>
      <c r="I2707">
        <v>4367</v>
      </c>
      <c r="J2707" t="s">
        <v>159</v>
      </c>
      <c r="K2707">
        <v>1409.62</v>
      </c>
      <c r="L2707">
        <v>71.61</v>
      </c>
      <c r="M2707">
        <v>18972</v>
      </c>
      <c r="N2707" t="s">
        <v>39</v>
      </c>
      <c r="O2707">
        <v>250825</v>
      </c>
      <c r="P2707">
        <v>280.8</v>
      </c>
    </row>
    <row r="2708" spans="1:16" x14ac:dyDescent="0.25">
      <c r="A2708" t="s">
        <v>3296</v>
      </c>
      <c r="B2708" t="s">
        <v>2931</v>
      </c>
      <c r="C2708">
        <v>607</v>
      </c>
      <c r="D2708" t="str">
        <f>"995012      "</f>
        <v xml:space="preserve">995012      </v>
      </c>
      <c r="E2708" t="s">
        <v>503</v>
      </c>
      <c r="F2708" t="s">
        <v>504</v>
      </c>
      <c r="G2708">
        <v>45.48</v>
      </c>
      <c r="H2708">
        <v>250116</v>
      </c>
      <c r="I2708">
        <v>4369</v>
      </c>
      <c r="J2708" t="s">
        <v>188</v>
      </c>
      <c r="K2708">
        <v>45.48</v>
      </c>
      <c r="L2708">
        <v>9.24</v>
      </c>
      <c r="M2708">
        <v>17971</v>
      </c>
      <c r="N2708" t="s">
        <v>27</v>
      </c>
      <c r="O2708">
        <v>250124</v>
      </c>
      <c r="P2708">
        <v>36.24</v>
      </c>
    </row>
    <row r="2709" spans="1:16" x14ac:dyDescent="0.25">
      <c r="A2709" t="s">
        <v>3296</v>
      </c>
      <c r="B2709" t="s">
        <v>2931</v>
      </c>
      <c r="C2709">
        <v>7506</v>
      </c>
      <c r="D2709" t="str">
        <f>"1025048     "</f>
        <v xml:space="preserve">1025048     </v>
      </c>
      <c r="E2709" t="s">
        <v>503</v>
      </c>
      <c r="F2709" t="s">
        <v>504</v>
      </c>
      <c r="G2709">
        <v>11.24</v>
      </c>
      <c r="H2709">
        <v>250508</v>
      </c>
      <c r="I2709">
        <v>4369</v>
      </c>
      <c r="J2709" t="s">
        <v>188</v>
      </c>
      <c r="K2709">
        <v>11.24</v>
      </c>
      <c r="L2709">
        <v>2.2799999999999998</v>
      </c>
      <c r="M2709">
        <v>13940</v>
      </c>
      <c r="N2709" t="s">
        <v>14</v>
      </c>
      <c r="O2709">
        <v>250604</v>
      </c>
      <c r="P2709">
        <v>8.9600000000000009</v>
      </c>
    </row>
    <row r="2710" spans="1:16" x14ac:dyDescent="0.25">
      <c r="A2710" t="s">
        <v>3296</v>
      </c>
      <c r="B2710" t="s">
        <v>2931</v>
      </c>
      <c r="C2710">
        <v>15568</v>
      </c>
      <c r="D2710" t="str">
        <f>"1067579     "</f>
        <v xml:space="preserve">1067579     </v>
      </c>
      <c r="E2710" t="s">
        <v>503</v>
      </c>
      <c r="F2710" t="s">
        <v>504</v>
      </c>
      <c r="G2710">
        <v>140.59</v>
      </c>
      <c r="H2710">
        <v>251106</v>
      </c>
      <c r="I2710">
        <v>4369</v>
      </c>
      <c r="J2710" t="s">
        <v>188</v>
      </c>
      <c r="K2710">
        <v>140.59</v>
      </c>
      <c r="L2710">
        <v>28.57</v>
      </c>
      <c r="M2710">
        <v>11801</v>
      </c>
      <c r="N2710" t="s">
        <v>40</v>
      </c>
      <c r="O2710">
        <v>251121</v>
      </c>
      <c r="P2710">
        <v>112.02</v>
      </c>
    </row>
    <row r="2711" spans="1:16" x14ac:dyDescent="0.25">
      <c r="A2711" t="s">
        <v>3296</v>
      </c>
      <c r="B2711" t="s">
        <v>2931</v>
      </c>
      <c r="C2711">
        <v>1903</v>
      </c>
      <c r="D2711" t="str">
        <f>"1002909     "</f>
        <v xml:space="preserve">1002909     </v>
      </c>
      <c r="E2711" t="s">
        <v>503</v>
      </c>
      <c r="F2711" t="s">
        <v>504</v>
      </c>
      <c r="G2711">
        <v>284.68</v>
      </c>
      <c r="H2711">
        <v>250211</v>
      </c>
      <c r="I2711">
        <v>4390</v>
      </c>
      <c r="J2711" t="s">
        <v>232</v>
      </c>
      <c r="K2711">
        <v>284.68</v>
      </c>
      <c r="L2711">
        <v>57.84</v>
      </c>
      <c r="M2711">
        <v>17951</v>
      </c>
      <c r="N2711" t="s">
        <v>207</v>
      </c>
      <c r="O2711">
        <v>250214</v>
      </c>
      <c r="P2711">
        <v>226.84</v>
      </c>
    </row>
    <row r="2712" spans="1:16" x14ac:dyDescent="0.25">
      <c r="A2712" t="s">
        <v>3296</v>
      </c>
      <c r="B2712" t="s">
        <v>2931</v>
      </c>
      <c r="C2712">
        <v>4049</v>
      </c>
      <c r="D2712" t="str">
        <f>"1009505     "</f>
        <v xml:space="preserve">1009505     </v>
      </c>
      <c r="E2712" t="s">
        <v>503</v>
      </c>
      <c r="F2712" t="s">
        <v>504</v>
      </c>
      <c r="G2712">
        <v>9.86</v>
      </c>
      <c r="H2712">
        <v>250307</v>
      </c>
      <c r="I2712">
        <v>4390</v>
      </c>
      <c r="J2712" t="s">
        <v>232</v>
      </c>
      <c r="K2712">
        <v>89.61</v>
      </c>
      <c r="L2712">
        <v>2</v>
      </c>
      <c r="M2712">
        <v>13540</v>
      </c>
      <c r="N2712" t="s">
        <v>131</v>
      </c>
      <c r="O2712">
        <v>250407</v>
      </c>
      <c r="P2712">
        <v>7.86</v>
      </c>
    </row>
    <row r="2713" spans="1:16" x14ac:dyDescent="0.25">
      <c r="A2713" t="s">
        <v>3296</v>
      </c>
      <c r="B2713" t="s">
        <v>2931</v>
      </c>
      <c r="C2713">
        <v>4049</v>
      </c>
      <c r="D2713" t="str">
        <f>"1009505     "</f>
        <v xml:space="preserve">1009505     </v>
      </c>
      <c r="E2713" t="s">
        <v>503</v>
      </c>
      <c r="F2713" t="s">
        <v>504</v>
      </c>
      <c r="G2713">
        <v>79.75</v>
      </c>
      <c r="H2713">
        <v>250307</v>
      </c>
      <c r="I2713">
        <v>4390</v>
      </c>
      <c r="J2713" t="s">
        <v>232</v>
      </c>
      <c r="K2713">
        <v>89.61</v>
      </c>
      <c r="L2713">
        <v>16.2</v>
      </c>
      <c r="M2713">
        <v>17950</v>
      </c>
      <c r="N2713" t="s">
        <v>132</v>
      </c>
      <c r="O2713">
        <v>250407</v>
      </c>
      <c r="P2713">
        <v>63.55</v>
      </c>
    </row>
    <row r="2714" spans="1:16" x14ac:dyDescent="0.25">
      <c r="A2714" t="s">
        <v>3296</v>
      </c>
      <c r="B2714" t="s">
        <v>2931</v>
      </c>
      <c r="C2714">
        <v>15725</v>
      </c>
      <c r="D2714" t="str">
        <f>"1069500     "</f>
        <v xml:space="preserve">1069500     </v>
      </c>
      <c r="E2714" t="s">
        <v>503</v>
      </c>
      <c r="F2714" t="s">
        <v>504</v>
      </c>
      <c r="G2714">
        <v>7.48</v>
      </c>
      <c r="H2714">
        <v>251114</v>
      </c>
      <c r="I2714">
        <v>4400</v>
      </c>
      <c r="J2714" t="s">
        <v>162</v>
      </c>
      <c r="K2714">
        <v>7.48</v>
      </c>
      <c r="L2714">
        <v>1.52</v>
      </c>
      <c r="M2714">
        <v>17523</v>
      </c>
      <c r="N2714" t="s">
        <v>138</v>
      </c>
      <c r="O2714">
        <v>251125</v>
      </c>
      <c r="P2714">
        <v>5.96</v>
      </c>
    </row>
    <row r="2715" spans="1:16" x14ac:dyDescent="0.25">
      <c r="A2715" t="s">
        <v>3296</v>
      </c>
      <c r="B2715" t="s">
        <v>2931</v>
      </c>
      <c r="C2715">
        <v>18058</v>
      </c>
      <c r="D2715" t="str">
        <f>"1076629     "</f>
        <v xml:space="preserve">1076629     </v>
      </c>
      <c r="E2715" t="s">
        <v>503</v>
      </c>
      <c r="F2715" t="s">
        <v>504</v>
      </c>
      <c r="G2715">
        <v>124.25</v>
      </c>
      <c r="H2715">
        <v>251216</v>
      </c>
      <c r="I2715">
        <v>4400</v>
      </c>
      <c r="J2715" t="s">
        <v>162</v>
      </c>
      <c r="K2715">
        <v>124.25</v>
      </c>
      <c r="L2715">
        <v>25.25</v>
      </c>
      <c r="M2715">
        <v>46554</v>
      </c>
      <c r="N2715" t="s">
        <v>102</v>
      </c>
      <c r="O2715">
        <v>260108</v>
      </c>
      <c r="P2715">
        <v>99</v>
      </c>
    </row>
    <row r="2716" spans="1:16" x14ac:dyDescent="0.25">
      <c r="A2716" t="s">
        <v>3296</v>
      </c>
      <c r="B2716" t="s">
        <v>2931</v>
      </c>
      <c r="C2716">
        <v>11245</v>
      </c>
      <c r="D2716" t="str">
        <f>"1048958     "</f>
        <v xml:space="preserve">1048958     </v>
      </c>
      <c r="E2716" t="s">
        <v>503</v>
      </c>
      <c r="F2716" t="s">
        <v>504</v>
      </c>
      <c r="G2716">
        <v>64.709999999999994</v>
      </c>
      <c r="H2716">
        <v>250826</v>
      </c>
      <c r="I2716">
        <v>4420</v>
      </c>
      <c r="J2716" t="s">
        <v>330</v>
      </c>
      <c r="K2716">
        <v>64.709999999999994</v>
      </c>
      <c r="L2716">
        <v>13.15</v>
      </c>
      <c r="M2716">
        <v>17538</v>
      </c>
      <c r="N2716" t="s">
        <v>129</v>
      </c>
      <c r="O2716">
        <v>250902</v>
      </c>
      <c r="P2716">
        <v>51.56</v>
      </c>
    </row>
    <row r="2717" spans="1:16" x14ac:dyDescent="0.25">
      <c r="A2717" t="s">
        <v>3296</v>
      </c>
      <c r="B2717" t="s">
        <v>2931</v>
      </c>
      <c r="C2717">
        <v>442</v>
      </c>
      <c r="D2717" t="str">
        <f>"993793      "</f>
        <v xml:space="preserve">993793      </v>
      </c>
      <c r="E2717" t="s">
        <v>503</v>
      </c>
      <c r="F2717" t="s">
        <v>504</v>
      </c>
      <c r="G2717">
        <v>14.93</v>
      </c>
      <c r="H2717">
        <v>250113</v>
      </c>
      <c r="I2717">
        <v>4500</v>
      </c>
      <c r="J2717" t="s">
        <v>312</v>
      </c>
      <c r="K2717">
        <v>14.93</v>
      </c>
      <c r="L2717">
        <v>3.03</v>
      </c>
      <c r="M2717">
        <v>11501</v>
      </c>
      <c r="N2717" t="s">
        <v>13</v>
      </c>
      <c r="O2717">
        <v>250122</v>
      </c>
      <c r="P2717">
        <v>11.9</v>
      </c>
    </row>
    <row r="2718" spans="1:16" x14ac:dyDescent="0.25">
      <c r="A2718" t="s">
        <v>3296</v>
      </c>
      <c r="B2718" t="s">
        <v>2931</v>
      </c>
      <c r="C2718">
        <v>533</v>
      </c>
      <c r="D2718" t="str">
        <f>"992673      "</f>
        <v xml:space="preserve">992673      </v>
      </c>
      <c r="E2718" t="s">
        <v>503</v>
      </c>
      <c r="F2718" t="s">
        <v>504</v>
      </c>
      <c r="G2718">
        <v>55.23</v>
      </c>
      <c r="H2718">
        <v>250108</v>
      </c>
      <c r="I2718">
        <v>4500</v>
      </c>
      <c r="J2718" t="s">
        <v>312</v>
      </c>
      <c r="K2718">
        <v>55.23</v>
      </c>
      <c r="L2718">
        <v>11.22</v>
      </c>
      <c r="M2718">
        <v>18972</v>
      </c>
      <c r="N2718" t="s">
        <v>39</v>
      </c>
      <c r="O2718">
        <v>250123</v>
      </c>
      <c r="P2718">
        <v>44.01</v>
      </c>
    </row>
    <row r="2719" spans="1:16" x14ac:dyDescent="0.25">
      <c r="A2719" t="s">
        <v>3296</v>
      </c>
      <c r="B2719" t="s">
        <v>2931</v>
      </c>
      <c r="C2719">
        <v>536</v>
      </c>
      <c r="D2719" t="str">
        <f>"992505      "</f>
        <v xml:space="preserve">992505      </v>
      </c>
      <c r="E2719" t="s">
        <v>503</v>
      </c>
      <c r="F2719" t="s">
        <v>504</v>
      </c>
      <c r="G2719">
        <v>244.93</v>
      </c>
      <c r="H2719">
        <v>250108</v>
      </c>
      <c r="I2719">
        <v>4500</v>
      </c>
      <c r="J2719" t="s">
        <v>312</v>
      </c>
      <c r="K2719">
        <v>244.93</v>
      </c>
      <c r="L2719">
        <v>49.77</v>
      </c>
      <c r="M2719">
        <v>18120</v>
      </c>
      <c r="N2719" t="s">
        <v>37</v>
      </c>
      <c r="O2719">
        <v>250123</v>
      </c>
      <c r="P2719">
        <v>195.16</v>
      </c>
    </row>
    <row r="2720" spans="1:16" x14ac:dyDescent="0.25">
      <c r="A2720" t="s">
        <v>3296</v>
      </c>
      <c r="B2720" t="s">
        <v>2931</v>
      </c>
      <c r="C2720">
        <v>579</v>
      </c>
      <c r="D2720" t="str">
        <f>"993030      "</f>
        <v xml:space="preserve">993030      </v>
      </c>
      <c r="E2720" t="s">
        <v>503</v>
      </c>
      <c r="F2720" t="s">
        <v>504</v>
      </c>
      <c r="G2720">
        <v>56.35</v>
      </c>
      <c r="H2720">
        <v>250109</v>
      </c>
      <c r="I2720">
        <v>4500</v>
      </c>
      <c r="J2720" t="s">
        <v>312</v>
      </c>
      <c r="K2720">
        <v>56.35</v>
      </c>
      <c r="L2720">
        <v>11.45</v>
      </c>
      <c r="M2720">
        <v>11501</v>
      </c>
      <c r="N2720" t="s">
        <v>13</v>
      </c>
      <c r="O2720">
        <v>250124</v>
      </c>
      <c r="P2720">
        <v>44.9</v>
      </c>
    </row>
    <row r="2721" spans="1:16" x14ac:dyDescent="0.25">
      <c r="A2721" t="s">
        <v>3296</v>
      </c>
      <c r="B2721" t="s">
        <v>2931</v>
      </c>
      <c r="C2721">
        <v>810</v>
      </c>
      <c r="D2721" t="str">
        <f>"996737      "</f>
        <v xml:space="preserve">996737      </v>
      </c>
      <c r="E2721" t="s">
        <v>503</v>
      </c>
      <c r="F2721" t="s">
        <v>504</v>
      </c>
      <c r="G2721">
        <v>49.57</v>
      </c>
      <c r="H2721">
        <v>250122</v>
      </c>
      <c r="I2721">
        <v>4500</v>
      </c>
      <c r="J2721" t="s">
        <v>312</v>
      </c>
      <c r="K2721">
        <v>49.57</v>
      </c>
      <c r="L2721">
        <v>10.07</v>
      </c>
      <c r="M2721">
        <v>14622</v>
      </c>
      <c r="N2721" t="s">
        <v>77</v>
      </c>
      <c r="O2721">
        <v>250129</v>
      </c>
      <c r="P2721">
        <v>39.5</v>
      </c>
    </row>
    <row r="2722" spans="1:16" x14ac:dyDescent="0.25">
      <c r="A2722" t="s">
        <v>3296</v>
      </c>
      <c r="B2722" t="s">
        <v>2931</v>
      </c>
      <c r="C2722">
        <v>1615</v>
      </c>
      <c r="D2722" t="str">
        <f>"998624      "</f>
        <v xml:space="preserve">998624      </v>
      </c>
      <c r="E2722" t="s">
        <v>503</v>
      </c>
      <c r="F2722" t="s">
        <v>504</v>
      </c>
      <c r="G2722">
        <v>53.97</v>
      </c>
      <c r="H2722">
        <v>250128</v>
      </c>
      <c r="I2722">
        <v>4500</v>
      </c>
      <c r="J2722" t="s">
        <v>312</v>
      </c>
      <c r="K2722">
        <v>53.97</v>
      </c>
      <c r="L2722">
        <v>10.97</v>
      </c>
      <c r="M2722">
        <v>44222</v>
      </c>
      <c r="N2722" t="s">
        <v>96</v>
      </c>
      <c r="O2722">
        <v>250211</v>
      </c>
      <c r="P2722">
        <v>43</v>
      </c>
    </row>
    <row r="2723" spans="1:16" x14ac:dyDescent="0.25">
      <c r="A2723" t="s">
        <v>3296</v>
      </c>
      <c r="B2723" t="s">
        <v>2931</v>
      </c>
      <c r="C2723">
        <v>2354</v>
      </c>
      <c r="D2723" t="str">
        <f>"1000939     "</f>
        <v xml:space="preserve">1000939     </v>
      </c>
      <c r="E2723" t="s">
        <v>503</v>
      </c>
      <c r="F2723" t="s">
        <v>504</v>
      </c>
      <c r="G2723">
        <v>13.25</v>
      </c>
      <c r="H2723">
        <v>250205</v>
      </c>
      <c r="I2723">
        <v>4500</v>
      </c>
      <c r="J2723" t="s">
        <v>312</v>
      </c>
      <c r="K2723">
        <v>13.25</v>
      </c>
      <c r="L2723">
        <v>2.69</v>
      </c>
      <c r="M2723">
        <v>14990</v>
      </c>
      <c r="N2723" t="s">
        <v>85</v>
      </c>
      <c r="O2723">
        <v>250224</v>
      </c>
      <c r="P2723">
        <v>10.56</v>
      </c>
    </row>
    <row r="2724" spans="1:16" x14ac:dyDescent="0.25">
      <c r="A2724" t="s">
        <v>3296</v>
      </c>
      <c r="B2724" t="s">
        <v>2931</v>
      </c>
      <c r="C2724">
        <v>2423</v>
      </c>
      <c r="D2724" t="str">
        <f>"1005150     "</f>
        <v xml:space="preserve">1005150     </v>
      </c>
      <c r="E2724" t="s">
        <v>503</v>
      </c>
      <c r="F2724" t="s">
        <v>504</v>
      </c>
      <c r="G2724">
        <v>20.32</v>
      </c>
      <c r="H2724">
        <v>250219</v>
      </c>
      <c r="I2724">
        <v>4500</v>
      </c>
      <c r="J2724" t="s">
        <v>312</v>
      </c>
      <c r="K2724">
        <v>20.32</v>
      </c>
      <c r="L2724">
        <v>4.13</v>
      </c>
      <c r="M2724">
        <v>49702</v>
      </c>
      <c r="N2724" t="s">
        <v>112</v>
      </c>
      <c r="O2724">
        <v>250225</v>
      </c>
      <c r="P2724">
        <v>16.190000000000001</v>
      </c>
    </row>
    <row r="2725" spans="1:16" x14ac:dyDescent="0.25">
      <c r="A2725" t="s">
        <v>3296</v>
      </c>
      <c r="B2725" t="s">
        <v>2931</v>
      </c>
      <c r="C2725">
        <v>2859</v>
      </c>
      <c r="D2725" t="str">
        <f>"1005042     "</f>
        <v xml:space="preserve">1005042     </v>
      </c>
      <c r="E2725" t="s">
        <v>503</v>
      </c>
      <c r="F2725" t="s">
        <v>504</v>
      </c>
      <c r="G2725">
        <v>27.41</v>
      </c>
      <c r="H2725">
        <v>250219</v>
      </c>
      <c r="I2725">
        <v>4500</v>
      </c>
      <c r="J2725" t="s">
        <v>312</v>
      </c>
      <c r="K2725">
        <v>27.41</v>
      </c>
      <c r="L2725">
        <v>5.57</v>
      </c>
      <c r="M2725">
        <v>56564</v>
      </c>
      <c r="N2725" t="s">
        <v>56</v>
      </c>
      <c r="O2725">
        <v>250312</v>
      </c>
      <c r="P2725">
        <v>21.84</v>
      </c>
    </row>
    <row r="2726" spans="1:16" x14ac:dyDescent="0.25">
      <c r="A2726" t="s">
        <v>3296</v>
      </c>
      <c r="B2726" t="s">
        <v>2931</v>
      </c>
      <c r="C2726">
        <v>2860</v>
      </c>
      <c r="D2726" t="str">
        <f>"1005242     "</f>
        <v xml:space="preserve">1005242     </v>
      </c>
      <c r="E2726" t="s">
        <v>503</v>
      </c>
      <c r="F2726" t="s">
        <v>504</v>
      </c>
      <c r="G2726">
        <v>19.79</v>
      </c>
      <c r="H2726">
        <v>250219</v>
      </c>
      <c r="I2726">
        <v>4500</v>
      </c>
      <c r="J2726" t="s">
        <v>312</v>
      </c>
      <c r="K2726">
        <v>19.79</v>
      </c>
      <c r="L2726">
        <v>4.0199999999999996</v>
      </c>
      <c r="M2726">
        <v>11901</v>
      </c>
      <c r="N2726" t="s">
        <v>31</v>
      </c>
      <c r="O2726">
        <v>250312</v>
      </c>
      <c r="P2726">
        <v>15.77</v>
      </c>
    </row>
    <row r="2727" spans="1:16" x14ac:dyDescent="0.25">
      <c r="A2727" t="s">
        <v>3296</v>
      </c>
      <c r="B2727" t="s">
        <v>2931</v>
      </c>
      <c r="C2727">
        <v>4825</v>
      </c>
      <c r="D2727" t="str">
        <f>"1012284     "</f>
        <v xml:space="preserve">1012284     </v>
      </c>
      <c r="E2727" t="s">
        <v>503</v>
      </c>
      <c r="F2727" t="s">
        <v>504</v>
      </c>
      <c r="G2727">
        <v>43.8</v>
      </c>
      <c r="H2727">
        <v>250319</v>
      </c>
      <c r="I2727">
        <v>4500</v>
      </c>
      <c r="J2727" t="s">
        <v>312</v>
      </c>
      <c r="K2727">
        <v>43.8</v>
      </c>
      <c r="L2727">
        <v>8.9</v>
      </c>
      <c r="M2727">
        <v>11601</v>
      </c>
      <c r="N2727" t="s">
        <v>12</v>
      </c>
      <c r="O2727">
        <v>250415</v>
      </c>
      <c r="P2727">
        <v>34.9</v>
      </c>
    </row>
    <row r="2728" spans="1:16" x14ac:dyDescent="0.25">
      <c r="A2728" t="s">
        <v>3296</v>
      </c>
      <c r="B2728" t="s">
        <v>2931</v>
      </c>
      <c r="C2728">
        <v>5012</v>
      </c>
      <c r="D2728" t="str">
        <f>"1013647     "</f>
        <v xml:space="preserve">1013647     </v>
      </c>
      <c r="E2728" t="s">
        <v>503</v>
      </c>
      <c r="F2728" t="s">
        <v>504</v>
      </c>
      <c r="G2728">
        <v>75.17</v>
      </c>
      <c r="H2728">
        <v>250325</v>
      </c>
      <c r="I2728">
        <v>4500</v>
      </c>
      <c r="J2728" t="s">
        <v>312</v>
      </c>
      <c r="K2728">
        <v>75.17</v>
      </c>
      <c r="L2728">
        <v>15.27</v>
      </c>
      <c r="M2728">
        <v>17529</v>
      </c>
      <c r="N2728" t="s">
        <v>143</v>
      </c>
      <c r="O2728">
        <v>250416</v>
      </c>
      <c r="P2728">
        <v>59.9</v>
      </c>
    </row>
    <row r="2729" spans="1:16" x14ac:dyDescent="0.25">
      <c r="A2729" t="s">
        <v>3296</v>
      </c>
      <c r="B2729" t="s">
        <v>2931</v>
      </c>
      <c r="C2729">
        <v>5539</v>
      </c>
      <c r="D2729" t="str">
        <f>"1015979     "</f>
        <v xml:space="preserve">1015979     </v>
      </c>
      <c r="E2729" t="s">
        <v>503</v>
      </c>
      <c r="F2729" t="s">
        <v>504</v>
      </c>
      <c r="G2729">
        <v>94</v>
      </c>
      <c r="H2729">
        <v>250402</v>
      </c>
      <c r="I2729">
        <v>4500</v>
      </c>
      <c r="J2729" t="s">
        <v>312</v>
      </c>
      <c r="K2729">
        <v>94</v>
      </c>
      <c r="L2729">
        <v>19.100000000000001</v>
      </c>
      <c r="M2729">
        <v>11801</v>
      </c>
      <c r="N2729" t="s">
        <v>40</v>
      </c>
      <c r="O2729">
        <v>250425</v>
      </c>
      <c r="P2729">
        <v>74.900000000000006</v>
      </c>
    </row>
    <row r="2730" spans="1:16" x14ac:dyDescent="0.25">
      <c r="A2730" t="s">
        <v>3296</v>
      </c>
      <c r="B2730" t="s">
        <v>2931</v>
      </c>
      <c r="C2730">
        <v>6461</v>
      </c>
      <c r="D2730" t="str">
        <f>"1020951     "</f>
        <v xml:space="preserve">1020951     </v>
      </c>
      <c r="E2730" t="s">
        <v>503</v>
      </c>
      <c r="F2730" t="s">
        <v>504</v>
      </c>
      <c r="G2730">
        <v>75.05</v>
      </c>
      <c r="H2730">
        <v>250423</v>
      </c>
      <c r="I2730">
        <v>4500</v>
      </c>
      <c r="J2730" t="s">
        <v>312</v>
      </c>
      <c r="K2730">
        <v>75.05</v>
      </c>
      <c r="L2730">
        <v>15.25</v>
      </c>
      <c r="M2730">
        <v>17737</v>
      </c>
      <c r="N2730" t="s">
        <v>156</v>
      </c>
      <c r="O2730">
        <v>250513</v>
      </c>
      <c r="P2730">
        <v>59.8</v>
      </c>
    </row>
    <row r="2731" spans="1:16" x14ac:dyDescent="0.25">
      <c r="A2731" t="s">
        <v>3296</v>
      </c>
      <c r="B2731" t="s">
        <v>2931</v>
      </c>
      <c r="C2731">
        <v>7901</v>
      </c>
      <c r="D2731" t="str">
        <f>"1026497     "</f>
        <v xml:space="preserve">1026497     </v>
      </c>
      <c r="E2731" t="s">
        <v>503</v>
      </c>
      <c r="F2731" t="s">
        <v>504</v>
      </c>
      <c r="G2731">
        <v>66.33</v>
      </c>
      <c r="H2731">
        <v>250514</v>
      </c>
      <c r="I2731">
        <v>4500</v>
      </c>
      <c r="J2731" t="s">
        <v>312</v>
      </c>
      <c r="K2731">
        <v>66.33</v>
      </c>
      <c r="L2731">
        <v>13.48</v>
      </c>
      <c r="M2731">
        <v>14861</v>
      </c>
      <c r="N2731" t="s">
        <v>79</v>
      </c>
      <c r="O2731">
        <v>250610</v>
      </c>
      <c r="P2731">
        <v>52.85</v>
      </c>
    </row>
    <row r="2732" spans="1:16" x14ac:dyDescent="0.25">
      <c r="A2732" t="s">
        <v>3296</v>
      </c>
      <c r="B2732" t="s">
        <v>2931</v>
      </c>
      <c r="C2732">
        <v>8034</v>
      </c>
      <c r="D2732" t="str">
        <f>"1027361     "</f>
        <v xml:space="preserve">1027361     </v>
      </c>
      <c r="E2732" t="s">
        <v>503</v>
      </c>
      <c r="F2732" t="s">
        <v>504</v>
      </c>
      <c r="G2732">
        <v>32.770000000000003</v>
      </c>
      <c r="H2732">
        <v>250516</v>
      </c>
      <c r="I2732">
        <v>4500</v>
      </c>
      <c r="J2732" t="s">
        <v>312</v>
      </c>
      <c r="K2732">
        <v>32.770000000000003</v>
      </c>
      <c r="L2732">
        <v>6.66</v>
      </c>
      <c r="M2732">
        <v>11801</v>
      </c>
      <c r="N2732" t="s">
        <v>40</v>
      </c>
      <c r="O2732">
        <v>250611</v>
      </c>
      <c r="P2732">
        <v>26.11</v>
      </c>
    </row>
    <row r="2733" spans="1:16" x14ac:dyDescent="0.25">
      <c r="A2733" t="s">
        <v>3296</v>
      </c>
      <c r="B2733" t="s">
        <v>2931</v>
      </c>
      <c r="C2733">
        <v>8039</v>
      </c>
      <c r="D2733" t="str">
        <f>"1027342     "</f>
        <v xml:space="preserve">1027342     </v>
      </c>
      <c r="E2733" t="s">
        <v>503</v>
      </c>
      <c r="F2733" t="s">
        <v>504</v>
      </c>
      <c r="G2733">
        <v>25.31</v>
      </c>
      <c r="H2733">
        <v>250516</v>
      </c>
      <c r="I2733">
        <v>4500</v>
      </c>
      <c r="J2733" t="s">
        <v>312</v>
      </c>
      <c r="K2733">
        <v>25.31</v>
      </c>
      <c r="L2733">
        <v>5.14</v>
      </c>
      <c r="M2733">
        <v>13601</v>
      </c>
      <c r="N2733" t="s">
        <v>115</v>
      </c>
      <c r="O2733">
        <v>250611</v>
      </c>
      <c r="P2733">
        <v>20.170000000000002</v>
      </c>
    </row>
    <row r="2734" spans="1:16" x14ac:dyDescent="0.25">
      <c r="A2734" t="s">
        <v>3296</v>
      </c>
      <c r="B2734" t="s">
        <v>2931</v>
      </c>
      <c r="C2734">
        <v>8394</v>
      </c>
      <c r="D2734" t="str">
        <f>"1028177     "</f>
        <v xml:space="preserve">1028177     </v>
      </c>
      <c r="E2734" t="s">
        <v>503</v>
      </c>
      <c r="F2734" t="s">
        <v>504</v>
      </c>
      <c r="G2734">
        <v>4.91</v>
      </c>
      <c r="H2734">
        <v>250520</v>
      </c>
      <c r="I2734">
        <v>4500</v>
      </c>
      <c r="J2734" t="s">
        <v>312</v>
      </c>
      <c r="K2734">
        <v>4.91</v>
      </c>
      <c r="L2734">
        <v>1</v>
      </c>
      <c r="M2734">
        <v>59701</v>
      </c>
      <c r="N2734" t="s">
        <v>64</v>
      </c>
      <c r="O2734">
        <v>250613</v>
      </c>
      <c r="P2734">
        <v>3.91</v>
      </c>
    </row>
    <row r="2735" spans="1:16" x14ac:dyDescent="0.25">
      <c r="A2735" t="s">
        <v>3296</v>
      </c>
      <c r="B2735" t="s">
        <v>2931</v>
      </c>
      <c r="C2735">
        <v>8592</v>
      </c>
      <c r="D2735" t="str">
        <f>"1029553     "</f>
        <v xml:space="preserve">1029553     </v>
      </c>
      <c r="E2735" t="s">
        <v>503</v>
      </c>
      <c r="F2735" t="s">
        <v>504</v>
      </c>
      <c r="G2735">
        <v>35.590000000000003</v>
      </c>
      <c r="H2735">
        <v>250527</v>
      </c>
      <c r="I2735">
        <v>4500</v>
      </c>
      <c r="J2735" t="s">
        <v>312</v>
      </c>
      <c r="K2735">
        <v>35.590000000000003</v>
      </c>
      <c r="L2735">
        <v>7.23</v>
      </c>
      <c r="M2735">
        <v>11801</v>
      </c>
      <c r="N2735" t="s">
        <v>40</v>
      </c>
      <c r="O2735">
        <v>250617</v>
      </c>
      <c r="P2735">
        <v>28.36</v>
      </c>
    </row>
    <row r="2736" spans="1:16" x14ac:dyDescent="0.25">
      <c r="A2736" t="s">
        <v>3296</v>
      </c>
      <c r="B2736" t="s">
        <v>2931</v>
      </c>
      <c r="C2736">
        <v>8642</v>
      </c>
      <c r="D2736" t="str">
        <f>"1032350     "</f>
        <v xml:space="preserve">1032350     </v>
      </c>
      <c r="E2736" t="s">
        <v>503</v>
      </c>
      <c r="F2736" t="s">
        <v>504</v>
      </c>
      <c r="G2736">
        <v>1203.04</v>
      </c>
      <c r="H2736">
        <v>250531</v>
      </c>
      <c r="I2736">
        <v>4500</v>
      </c>
      <c r="J2736" t="s">
        <v>312</v>
      </c>
      <c r="K2736">
        <v>1203.04</v>
      </c>
      <c r="L2736">
        <v>244.44</v>
      </c>
      <c r="M2736">
        <v>13502</v>
      </c>
      <c r="N2736" t="s">
        <v>302</v>
      </c>
      <c r="O2736">
        <v>250617</v>
      </c>
      <c r="P2736">
        <v>958.6</v>
      </c>
    </row>
    <row r="2737" spans="1:16" x14ac:dyDescent="0.25">
      <c r="A2737" t="s">
        <v>3296</v>
      </c>
      <c r="B2737" t="s">
        <v>2931</v>
      </c>
      <c r="C2737">
        <v>8738</v>
      </c>
      <c r="D2737" t="str">
        <f>"1032008     "</f>
        <v xml:space="preserve">1032008     </v>
      </c>
      <c r="E2737" t="s">
        <v>503</v>
      </c>
      <c r="F2737" t="s">
        <v>504</v>
      </c>
      <c r="G2737">
        <v>50.2</v>
      </c>
      <c r="H2737">
        <v>250604</v>
      </c>
      <c r="I2737">
        <v>4500</v>
      </c>
      <c r="J2737" t="s">
        <v>312</v>
      </c>
      <c r="K2737">
        <v>50.2</v>
      </c>
      <c r="L2737">
        <v>10.199999999999999</v>
      </c>
      <c r="M2737">
        <v>11801</v>
      </c>
      <c r="N2737" t="s">
        <v>40</v>
      </c>
      <c r="O2737">
        <v>250617</v>
      </c>
      <c r="P2737">
        <v>40</v>
      </c>
    </row>
    <row r="2738" spans="1:16" x14ac:dyDescent="0.25">
      <c r="A2738" t="s">
        <v>3296</v>
      </c>
      <c r="B2738" t="s">
        <v>2931</v>
      </c>
      <c r="C2738">
        <v>8741</v>
      </c>
      <c r="D2738" t="str">
        <f>"1031957     "</f>
        <v xml:space="preserve">1031957     </v>
      </c>
      <c r="E2738" t="s">
        <v>503</v>
      </c>
      <c r="F2738" t="s">
        <v>504</v>
      </c>
      <c r="G2738">
        <v>32.630000000000003</v>
      </c>
      <c r="H2738">
        <v>250604</v>
      </c>
      <c r="I2738">
        <v>4500</v>
      </c>
      <c r="J2738" t="s">
        <v>312</v>
      </c>
      <c r="K2738">
        <v>32.630000000000003</v>
      </c>
      <c r="L2738">
        <v>6.63</v>
      </c>
      <c r="M2738">
        <v>11801</v>
      </c>
      <c r="N2738" t="s">
        <v>40</v>
      </c>
      <c r="O2738">
        <v>250617</v>
      </c>
      <c r="P2738">
        <v>26</v>
      </c>
    </row>
    <row r="2739" spans="1:16" x14ac:dyDescent="0.25">
      <c r="A2739" t="s">
        <v>3296</v>
      </c>
      <c r="B2739" t="s">
        <v>2931</v>
      </c>
      <c r="C2739">
        <v>9698</v>
      </c>
      <c r="D2739" t="str">
        <f>"1037753     "</f>
        <v xml:space="preserve">1037753     </v>
      </c>
      <c r="E2739" t="s">
        <v>503</v>
      </c>
      <c r="F2739" t="s">
        <v>504</v>
      </c>
      <c r="G2739">
        <v>179.87</v>
      </c>
      <c r="H2739">
        <v>250630</v>
      </c>
      <c r="I2739">
        <v>4500</v>
      </c>
      <c r="J2739" t="s">
        <v>312</v>
      </c>
      <c r="K2739">
        <v>179.87</v>
      </c>
      <c r="L2739">
        <v>36.549999999999997</v>
      </c>
      <c r="M2739">
        <v>13502</v>
      </c>
      <c r="N2739" t="s">
        <v>302</v>
      </c>
      <c r="O2739">
        <v>250724</v>
      </c>
      <c r="P2739">
        <v>143.32</v>
      </c>
    </row>
    <row r="2740" spans="1:16" x14ac:dyDescent="0.25">
      <c r="A2740" t="s">
        <v>3296</v>
      </c>
      <c r="B2740" t="s">
        <v>2931</v>
      </c>
      <c r="C2740">
        <v>9923</v>
      </c>
      <c r="D2740" t="str">
        <f>"1040892     "</f>
        <v xml:space="preserve">1040892     </v>
      </c>
      <c r="E2740" t="s">
        <v>503</v>
      </c>
      <c r="F2740" t="s">
        <v>504</v>
      </c>
      <c r="G2740">
        <v>40.159999999999997</v>
      </c>
      <c r="H2740">
        <v>250721</v>
      </c>
      <c r="I2740">
        <v>4500</v>
      </c>
      <c r="J2740" t="s">
        <v>312</v>
      </c>
      <c r="K2740">
        <v>40.159999999999997</v>
      </c>
      <c r="L2740">
        <v>8.16</v>
      </c>
      <c r="M2740">
        <v>13501</v>
      </c>
      <c r="N2740" t="s">
        <v>66</v>
      </c>
      <c r="O2740">
        <v>250804</v>
      </c>
      <c r="P2740">
        <v>32</v>
      </c>
    </row>
    <row r="2741" spans="1:16" x14ac:dyDescent="0.25">
      <c r="A2741" t="s">
        <v>3296</v>
      </c>
      <c r="B2741" t="s">
        <v>2931</v>
      </c>
      <c r="C2741">
        <v>10580</v>
      </c>
      <c r="D2741" t="str">
        <f>"1043943     "</f>
        <v xml:space="preserve">1043943     </v>
      </c>
      <c r="E2741" t="s">
        <v>503</v>
      </c>
      <c r="F2741" t="s">
        <v>504</v>
      </c>
      <c r="G2741">
        <v>21.94</v>
      </c>
      <c r="H2741">
        <v>250807</v>
      </c>
      <c r="I2741">
        <v>4500</v>
      </c>
      <c r="J2741" t="s">
        <v>312</v>
      </c>
      <c r="K2741">
        <v>73.27</v>
      </c>
      <c r="L2741">
        <v>4.46</v>
      </c>
      <c r="M2741">
        <v>13801</v>
      </c>
      <c r="N2741" t="s">
        <v>33</v>
      </c>
      <c r="O2741">
        <v>250820</v>
      </c>
      <c r="P2741">
        <v>17.48</v>
      </c>
    </row>
    <row r="2742" spans="1:16" x14ac:dyDescent="0.25">
      <c r="A2742" t="s">
        <v>3296</v>
      </c>
      <c r="B2742" t="s">
        <v>2931</v>
      </c>
      <c r="C2742">
        <v>10597</v>
      </c>
      <c r="D2742" t="str">
        <f>"1044200     "</f>
        <v xml:space="preserve">1044200     </v>
      </c>
      <c r="E2742" t="s">
        <v>503</v>
      </c>
      <c r="F2742" t="s">
        <v>504</v>
      </c>
      <c r="G2742">
        <v>39.65</v>
      </c>
      <c r="H2742">
        <v>250808</v>
      </c>
      <c r="I2742">
        <v>4500</v>
      </c>
      <c r="J2742" t="s">
        <v>312</v>
      </c>
      <c r="K2742">
        <v>39.65</v>
      </c>
      <c r="L2742">
        <v>8.06</v>
      </c>
      <c r="M2742">
        <v>13501</v>
      </c>
      <c r="N2742" t="s">
        <v>66</v>
      </c>
      <c r="O2742">
        <v>250820</v>
      </c>
      <c r="P2742">
        <v>31.59</v>
      </c>
    </row>
    <row r="2743" spans="1:16" x14ac:dyDescent="0.25">
      <c r="A2743" t="s">
        <v>3296</v>
      </c>
      <c r="B2743" t="s">
        <v>2931</v>
      </c>
      <c r="C2743">
        <v>11185</v>
      </c>
      <c r="D2743" t="str">
        <f>"1047978     "</f>
        <v xml:space="preserve">1047978     </v>
      </c>
      <c r="E2743" t="s">
        <v>503</v>
      </c>
      <c r="F2743" t="s">
        <v>504</v>
      </c>
      <c r="G2743">
        <v>26.36</v>
      </c>
      <c r="H2743">
        <v>250822</v>
      </c>
      <c r="I2743">
        <v>4500</v>
      </c>
      <c r="J2743" t="s">
        <v>312</v>
      </c>
      <c r="K2743">
        <v>26.36</v>
      </c>
      <c r="L2743">
        <v>5.36</v>
      </c>
      <c r="M2743">
        <v>11903</v>
      </c>
      <c r="N2743" t="s">
        <v>32</v>
      </c>
      <c r="O2743">
        <v>250901</v>
      </c>
      <c r="P2743">
        <v>21</v>
      </c>
    </row>
    <row r="2744" spans="1:16" x14ac:dyDescent="0.25">
      <c r="A2744" t="s">
        <v>3296</v>
      </c>
      <c r="B2744" t="s">
        <v>2931</v>
      </c>
      <c r="C2744">
        <v>11890</v>
      </c>
      <c r="D2744" t="str">
        <f>"1046322     "</f>
        <v xml:space="preserve">1046322     </v>
      </c>
      <c r="E2744" t="s">
        <v>503</v>
      </c>
      <c r="F2744" t="s">
        <v>504</v>
      </c>
      <c r="G2744">
        <v>151.63999999999999</v>
      </c>
      <c r="H2744">
        <v>250818</v>
      </c>
      <c r="I2744">
        <v>4500</v>
      </c>
      <c r="J2744" t="s">
        <v>312</v>
      </c>
      <c r="K2744">
        <v>151.63999999999999</v>
      </c>
      <c r="L2744">
        <v>30.81</v>
      </c>
      <c r="M2744">
        <v>14640</v>
      </c>
      <c r="N2744" t="s">
        <v>78</v>
      </c>
      <c r="O2744">
        <v>250912</v>
      </c>
      <c r="P2744">
        <v>120.83</v>
      </c>
    </row>
    <row r="2745" spans="1:16" x14ac:dyDescent="0.25">
      <c r="A2745" t="s">
        <v>3296</v>
      </c>
      <c r="B2745" t="s">
        <v>2931</v>
      </c>
      <c r="C2745">
        <v>12376</v>
      </c>
      <c r="D2745" t="str">
        <f>"1053095     "</f>
        <v xml:space="preserve">1053095     </v>
      </c>
      <c r="E2745" t="s">
        <v>503</v>
      </c>
      <c r="F2745" t="s">
        <v>504</v>
      </c>
      <c r="G2745">
        <v>17.21</v>
      </c>
      <c r="H2745">
        <v>250910</v>
      </c>
      <c r="I2745">
        <v>4500</v>
      </c>
      <c r="J2745" t="s">
        <v>312</v>
      </c>
      <c r="K2745">
        <v>51.63</v>
      </c>
      <c r="L2745">
        <v>3.5</v>
      </c>
      <c r="M2745">
        <v>13501</v>
      </c>
      <c r="N2745" t="s">
        <v>66</v>
      </c>
      <c r="O2745">
        <v>250919</v>
      </c>
      <c r="P2745">
        <v>13.71</v>
      </c>
    </row>
    <row r="2746" spans="1:16" x14ac:dyDescent="0.25">
      <c r="A2746" t="s">
        <v>3296</v>
      </c>
      <c r="B2746" t="s">
        <v>2931</v>
      </c>
      <c r="C2746">
        <v>12376</v>
      </c>
      <c r="D2746" t="str">
        <f>"1053095     "</f>
        <v xml:space="preserve">1053095     </v>
      </c>
      <c r="E2746" t="s">
        <v>503</v>
      </c>
      <c r="F2746" t="s">
        <v>504</v>
      </c>
      <c r="G2746">
        <v>17.21</v>
      </c>
      <c r="H2746">
        <v>250910</v>
      </c>
      <c r="I2746">
        <v>4500</v>
      </c>
      <c r="J2746" t="s">
        <v>312</v>
      </c>
      <c r="K2746">
        <v>51.63</v>
      </c>
      <c r="L2746">
        <v>3.5</v>
      </c>
      <c r="M2746">
        <v>17971</v>
      </c>
      <c r="N2746" t="s">
        <v>27</v>
      </c>
      <c r="O2746">
        <v>250919</v>
      </c>
      <c r="P2746">
        <v>13.71</v>
      </c>
    </row>
    <row r="2747" spans="1:16" x14ac:dyDescent="0.25">
      <c r="A2747" t="s">
        <v>3296</v>
      </c>
      <c r="B2747" t="s">
        <v>2931</v>
      </c>
      <c r="C2747">
        <v>12376</v>
      </c>
      <c r="D2747" t="str">
        <f>"1053095     "</f>
        <v xml:space="preserve">1053095     </v>
      </c>
      <c r="E2747" t="s">
        <v>503</v>
      </c>
      <c r="F2747" t="s">
        <v>504</v>
      </c>
      <c r="G2747">
        <v>17.21</v>
      </c>
      <c r="H2747">
        <v>250910</v>
      </c>
      <c r="I2747">
        <v>4500</v>
      </c>
      <c r="J2747" t="s">
        <v>312</v>
      </c>
      <c r="K2747">
        <v>51.63</v>
      </c>
      <c r="L2747">
        <v>3.5</v>
      </c>
      <c r="M2747">
        <v>17971</v>
      </c>
      <c r="N2747" t="s">
        <v>27</v>
      </c>
      <c r="O2747">
        <v>250919</v>
      </c>
      <c r="P2747">
        <v>13.71</v>
      </c>
    </row>
    <row r="2748" spans="1:16" x14ac:dyDescent="0.25">
      <c r="A2748" t="s">
        <v>3296</v>
      </c>
      <c r="B2748" t="s">
        <v>2931</v>
      </c>
      <c r="C2748">
        <v>12817</v>
      </c>
      <c r="D2748" t="str">
        <f>"1055883     "</f>
        <v xml:space="preserve">1055883     </v>
      </c>
      <c r="E2748" t="s">
        <v>503</v>
      </c>
      <c r="F2748" t="s">
        <v>504</v>
      </c>
      <c r="G2748">
        <v>24.47</v>
      </c>
      <c r="H2748">
        <v>250922</v>
      </c>
      <c r="I2748">
        <v>4500</v>
      </c>
      <c r="J2748" t="s">
        <v>312</v>
      </c>
      <c r="K2748">
        <v>24.47</v>
      </c>
      <c r="L2748">
        <v>4.97</v>
      </c>
      <c r="M2748">
        <v>11201</v>
      </c>
      <c r="N2748" t="s">
        <v>35</v>
      </c>
      <c r="O2748">
        <v>250930</v>
      </c>
      <c r="P2748">
        <v>19.5</v>
      </c>
    </row>
    <row r="2749" spans="1:16" x14ac:dyDescent="0.25">
      <c r="A2749" t="s">
        <v>3296</v>
      </c>
      <c r="B2749" t="s">
        <v>2931</v>
      </c>
      <c r="C2749">
        <v>12862</v>
      </c>
      <c r="D2749" t="str">
        <f>"1057154     "</f>
        <v xml:space="preserve">1057154     </v>
      </c>
      <c r="E2749" t="s">
        <v>503</v>
      </c>
      <c r="F2749" t="s">
        <v>504</v>
      </c>
      <c r="G2749">
        <v>99.86</v>
      </c>
      <c r="H2749">
        <v>250926</v>
      </c>
      <c r="I2749">
        <v>4500</v>
      </c>
      <c r="J2749" t="s">
        <v>312</v>
      </c>
      <c r="K2749">
        <v>99.86</v>
      </c>
      <c r="L2749">
        <v>20.29</v>
      </c>
      <c r="M2749">
        <v>11501</v>
      </c>
      <c r="N2749" t="s">
        <v>13</v>
      </c>
      <c r="O2749">
        <v>250930</v>
      </c>
      <c r="P2749">
        <v>79.569999999999993</v>
      </c>
    </row>
    <row r="2750" spans="1:16" x14ac:dyDescent="0.25">
      <c r="A2750" t="s">
        <v>3296</v>
      </c>
      <c r="B2750" t="s">
        <v>2931</v>
      </c>
      <c r="C2750">
        <v>14150</v>
      </c>
      <c r="D2750" t="str">
        <f>"1060256     "</f>
        <v xml:space="preserve">1060256     </v>
      </c>
      <c r="E2750" t="s">
        <v>503</v>
      </c>
      <c r="F2750" t="s">
        <v>504</v>
      </c>
      <c r="G2750">
        <v>62.62</v>
      </c>
      <c r="H2750">
        <v>251008</v>
      </c>
      <c r="I2750">
        <v>4500</v>
      </c>
      <c r="J2750" t="s">
        <v>312</v>
      </c>
      <c r="K2750">
        <v>62.62</v>
      </c>
      <c r="L2750">
        <v>12.72</v>
      </c>
      <c r="M2750">
        <v>11801</v>
      </c>
      <c r="N2750" t="s">
        <v>40</v>
      </c>
      <c r="O2750">
        <v>251024</v>
      </c>
      <c r="P2750">
        <v>49.9</v>
      </c>
    </row>
    <row r="2751" spans="1:16" x14ac:dyDescent="0.25">
      <c r="A2751" t="s">
        <v>3296</v>
      </c>
      <c r="B2751" t="s">
        <v>2931</v>
      </c>
      <c r="C2751">
        <v>15524</v>
      </c>
      <c r="D2751" t="str">
        <f>"1068137     "</f>
        <v xml:space="preserve">1068137     </v>
      </c>
      <c r="E2751" t="s">
        <v>503</v>
      </c>
      <c r="F2751" t="s">
        <v>504</v>
      </c>
      <c r="G2751">
        <v>34.89</v>
      </c>
      <c r="H2751">
        <v>251110</v>
      </c>
      <c r="I2751">
        <v>4500</v>
      </c>
      <c r="J2751" t="s">
        <v>312</v>
      </c>
      <c r="K2751">
        <v>34.89</v>
      </c>
      <c r="L2751">
        <v>7.09</v>
      </c>
      <c r="M2751">
        <v>13861</v>
      </c>
      <c r="N2751" t="s">
        <v>604</v>
      </c>
      <c r="O2751">
        <v>251121</v>
      </c>
      <c r="P2751">
        <v>27.8</v>
      </c>
    </row>
    <row r="2752" spans="1:16" x14ac:dyDescent="0.25">
      <c r="A2752" t="s">
        <v>3296</v>
      </c>
      <c r="B2752" t="s">
        <v>2931</v>
      </c>
      <c r="C2752">
        <v>15527</v>
      </c>
      <c r="D2752" t="str">
        <f>"1068128     "</f>
        <v xml:space="preserve">1068128     </v>
      </c>
      <c r="E2752" t="s">
        <v>503</v>
      </c>
      <c r="F2752" t="s">
        <v>504</v>
      </c>
      <c r="G2752">
        <v>22.69</v>
      </c>
      <c r="H2752">
        <v>251110</v>
      </c>
      <c r="I2752">
        <v>4500</v>
      </c>
      <c r="J2752" t="s">
        <v>312</v>
      </c>
      <c r="K2752">
        <v>22.69</v>
      </c>
      <c r="L2752">
        <v>4.6100000000000003</v>
      </c>
      <c r="M2752">
        <v>13802</v>
      </c>
      <c r="N2752" t="s">
        <v>34</v>
      </c>
      <c r="O2752">
        <v>251121</v>
      </c>
      <c r="P2752">
        <v>18.079999999999998</v>
      </c>
    </row>
    <row r="2753" spans="1:16" x14ac:dyDescent="0.25">
      <c r="A2753" t="s">
        <v>3296</v>
      </c>
      <c r="B2753" t="s">
        <v>2931</v>
      </c>
      <c r="C2753">
        <v>15554</v>
      </c>
      <c r="D2753" t="str">
        <f>"1068135     "</f>
        <v xml:space="preserve">1068135     </v>
      </c>
      <c r="E2753" t="s">
        <v>503</v>
      </c>
      <c r="F2753" t="s">
        <v>504</v>
      </c>
      <c r="G2753">
        <v>34.89</v>
      </c>
      <c r="H2753">
        <v>251110</v>
      </c>
      <c r="I2753">
        <v>4500</v>
      </c>
      <c r="J2753" t="s">
        <v>312</v>
      </c>
      <c r="K2753">
        <v>34.89</v>
      </c>
      <c r="L2753">
        <v>7.09</v>
      </c>
      <c r="M2753">
        <v>13501</v>
      </c>
      <c r="N2753" t="s">
        <v>66</v>
      </c>
      <c r="O2753">
        <v>251121</v>
      </c>
      <c r="P2753">
        <v>27.8</v>
      </c>
    </row>
    <row r="2754" spans="1:16" x14ac:dyDescent="0.25">
      <c r="A2754" t="s">
        <v>3296</v>
      </c>
      <c r="B2754" t="s">
        <v>2931</v>
      </c>
      <c r="C2754">
        <v>5696</v>
      </c>
      <c r="D2754" t="str">
        <f>"1018279     "</f>
        <v xml:space="preserve">1018279     </v>
      </c>
      <c r="E2754" t="s">
        <v>503</v>
      </c>
      <c r="F2754" t="s">
        <v>504</v>
      </c>
      <c r="G2754">
        <v>198.29</v>
      </c>
      <c r="H2754">
        <v>250410</v>
      </c>
      <c r="I2754">
        <v>4550</v>
      </c>
      <c r="J2754" t="s">
        <v>226</v>
      </c>
      <c r="K2754">
        <v>198.29</v>
      </c>
      <c r="L2754">
        <v>40.29</v>
      </c>
      <c r="M2754">
        <v>11801</v>
      </c>
      <c r="N2754" t="s">
        <v>40</v>
      </c>
      <c r="O2754">
        <v>250429</v>
      </c>
      <c r="P2754">
        <v>158</v>
      </c>
    </row>
    <row r="2755" spans="1:16" x14ac:dyDescent="0.25">
      <c r="A2755" t="s">
        <v>3296</v>
      </c>
      <c r="B2755" t="s">
        <v>2931</v>
      </c>
      <c r="C2755">
        <v>418</v>
      </c>
      <c r="D2755" t="str">
        <f>"9026288     "</f>
        <v xml:space="preserve">9026288     </v>
      </c>
      <c r="E2755" t="s">
        <v>503</v>
      </c>
      <c r="F2755" t="s">
        <v>504</v>
      </c>
      <c r="G2755">
        <v>-128.01</v>
      </c>
      <c r="H2755">
        <v>250110</v>
      </c>
      <c r="I2755">
        <v>4580</v>
      </c>
      <c r="J2755" t="s">
        <v>126</v>
      </c>
      <c r="K2755">
        <v>-128.01</v>
      </c>
      <c r="L2755">
        <v>-26.01</v>
      </c>
      <c r="M2755">
        <v>17974</v>
      </c>
      <c r="N2755" t="s">
        <v>153</v>
      </c>
      <c r="O2755">
        <v>250122</v>
      </c>
      <c r="P2755">
        <v>-102</v>
      </c>
    </row>
    <row r="2756" spans="1:16" x14ac:dyDescent="0.25">
      <c r="A2756" t="s">
        <v>3296</v>
      </c>
      <c r="B2756" t="s">
        <v>2931</v>
      </c>
      <c r="C2756">
        <v>523</v>
      </c>
      <c r="D2756" t="str">
        <f>"994610      "</f>
        <v xml:space="preserve">994610      </v>
      </c>
      <c r="E2756" t="s">
        <v>503</v>
      </c>
      <c r="F2756" t="s">
        <v>504</v>
      </c>
      <c r="G2756">
        <v>200.8</v>
      </c>
      <c r="H2756">
        <v>250115</v>
      </c>
      <c r="I2756">
        <v>4580</v>
      </c>
      <c r="J2756" t="s">
        <v>126</v>
      </c>
      <c r="K2756">
        <v>200.8</v>
      </c>
      <c r="L2756">
        <v>40.799999999999997</v>
      </c>
      <c r="M2756">
        <v>17974</v>
      </c>
      <c r="N2756" t="s">
        <v>153</v>
      </c>
      <c r="O2756">
        <v>250123</v>
      </c>
      <c r="P2756">
        <v>160</v>
      </c>
    </row>
    <row r="2757" spans="1:16" x14ac:dyDescent="0.25">
      <c r="A2757" t="s">
        <v>3296</v>
      </c>
      <c r="B2757" t="s">
        <v>2931</v>
      </c>
      <c r="C2757">
        <v>530</v>
      </c>
      <c r="D2757" t="str">
        <f>"992536      "</f>
        <v xml:space="preserve">992536      </v>
      </c>
      <c r="E2757" t="s">
        <v>503</v>
      </c>
      <c r="F2757" t="s">
        <v>504</v>
      </c>
      <c r="G2757">
        <v>106.55</v>
      </c>
      <c r="H2757">
        <v>250108</v>
      </c>
      <c r="I2757">
        <v>4580</v>
      </c>
      <c r="J2757" t="s">
        <v>126</v>
      </c>
      <c r="K2757">
        <v>106.55</v>
      </c>
      <c r="L2757">
        <v>21.65</v>
      </c>
      <c r="M2757">
        <v>17972</v>
      </c>
      <c r="N2757" t="s">
        <v>28</v>
      </c>
      <c r="O2757">
        <v>250123</v>
      </c>
      <c r="P2757">
        <v>84.9</v>
      </c>
    </row>
    <row r="2758" spans="1:16" x14ac:dyDescent="0.25">
      <c r="A2758" t="s">
        <v>3296</v>
      </c>
      <c r="B2758" t="s">
        <v>2931</v>
      </c>
      <c r="C2758">
        <v>541</v>
      </c>
      <c r="D2758" t="str">
        <f>"992524      "</f>
        <v xml:space="preserve">992524      </v>
      </c>
      <c r="E2758" t="s">
        <v>503</v>
      </c>
      <c r="F2758" t="s">
        <v>504</v>
      </c>
      <c r="G2758">
        <v>463.1</v>
      </c>
      <c r="H2758">
        <v>250108</v>
      </c>
      <c r="I2758">
        <v>4580</v>
      </c>
      <c r="J2758" t="s">
        <v>126</v>
      </c>
      <c r="K2758">
        <v>463.1</v>
      </c>
      <c r="L2758">
        <v>94.1</v>
      </c>
      <c r="M2758">
        <v>11903</v>
      </c>
      <c r="N2758" t="s">
        <v>32</v>
      </c>
      <c r="O2758">
        <v>250123</v>
      </c>
      <c r="P2758">
        <v>369</v>
      </c>
    </row>
    <row r="2759" spans="1:16" x14ac:dyDescent="0.25">
      <c r="A2759" t="s">
        <v>3296</v>
      </c>
      <c r="B2759" t="s">
        <v>2931</v>
      </c>
      <c r="C2759">
        <v>544</v>
      </c>
      <c r="D2759" t="str">
        <f>"995492      "</f>
        <v xml:space="preserve">995492      </v>
      </c>
      <c r="E2759" t="s">
        <v>503</v>
      </c>
      <c r="F2759" t="s">
        <v>504</v>
      </c>
      <c r="G2759">
        <v>70.27</v>
      </c>
      <c r="H2759">
        <v>250117</v>
      </c>
      <c r="I2759">
        <v>4580</v>
      </c>
      <c r="J2759" t="s">
        <v>126</v>
      </c>
      <c r="K2759">
        <v>638.79999999999995</v>
      </c>
      <c r="L2759">
        <v>14.28</v>
      </c>
      <c r="M2759">
        <v>13540</v>
      </c>
      <c r="N2759" t="s">
        <v>131</v>
      </c>
      <c r="O2759">
        <v>250123</v>
      </c>
      <c r="P2759">
        <v>55.99</v>
      </c>
    </row>
    <row r="2760" spans="1:16" x14ac:dyDescent="0.25">
      <c r="A2760" t="s">
        <v>3296</v>
      </c>
      <c r="B2760" t="s">
        <v>2931</v>
      </c>
      <c r="C2760">
        <v>544</v>
      </c>
      <c r="D2760" t="str">
        <f>"995492      "</f>
        <v xml:space="preserve">995492      </v>
      </c>
      <c r="E2760" t="s">
        <v>503</v>
      </c>
      <c r="F2760" t="s">
        <v>504</v>
      </c>
      <c r="G2760">
        <v>568.53</v>
      </c>
      <c r="H2760">
        <v>250117</v>
      </c>
      <c r="I2760">
        <v>4580</v>
      </c>
      <c r="J2760" t="s">
        <v>126</v>
      </c>
      <c r="K2760">
        <v>638.79999999999995</v>
      </c>
      <c r="L2760">
        <v>115.52</v>
      </c>
      <c r="M2760">
        <v>17950</v>
      </c>
      <c r="N2760" t="s">
        <v>132</v>
      </c>
      <c r="O2760">
        <v>250123</v>
      </c>
      <c r="P2760">
        <v>453.01</v>
      </c>
    </row>
    <row r="2761" spans="1:16" x14ac:dyDescent="0.25">
      <c r="A2761" t="s">
        <v>3296</v>
      </c>
      <c r="B2761" t="s">
        <v>2931</v>
      </c>
      <c r="C2761">
        <v>580</v>
      </c>
      <c r="D2761" t="str">
        <f>"992878      "</f>
        <v xml:space="preserve">992878      </v>
      </c>
      <c r="E2761" t="s">
        <v>503</v>
      </c>
      <c r="F2761" t="s">
        <v>504</v>
      </c>
      <c r="G2761">
        <v>45.48</v>
      </c>
      <c r="H2761">
        <v>250109</v>
      </c>
      <c r="I2761">
        <v>4580</v>
      </c>
      <c r="J2761" t="s">
        <v>126</v>
      </c>
      <c r="K2761">
        <v>45.48</v>
      </c>
      <c r="L2761">
        <v>9.24</v>
      </c>
      <c r="M2761">
        <v>17952</v>
      </c>
      <c r="N2761" t="s">
        <v>157</v>
      </c>
      <c r="O2761">
        <v>250124</v>
      </c>
      <c r="P2761">
        <v>36.24</v>
      </c>
    </row>
    <row r="2762" spans="1:16" x14ac:dyDescent="0.25">
      <c r="A2762" t="s">
        <v>3296</v>
      </c>
      <c r="B2762" t="s">
        <v>2931</v>
      </c>
      <c r="C2762">
        <v>609</v>
      </c>
      <c r="D2762" t="str">
        <f>"994676      "</f>
        <v xml:space="preserve">994676      </v>
      </c>
      <c r="E2762" t="s">
        <v>503</v>
      </c>
      <c r="F2762" t="s">
        <v>504</v>
      </c>
      <c r="G2762">
        <v>491.83</v>
      </c>
      <c r="H2762">
        <v>250116</v>
      </c>
      <c r="I2762">
        <v>4580</v>
      </c>
      <c r="J2762" t="s">
        <v>126</v>
      </c>
      <c r="K2762">
        <v>491.83</v>
      </c>
      <c r="L2762">
        <v>99.93</v>
      </c>
      <c r="M2762">
        <v>13940</v>
      </c>
      <c r="N2762" t="s">
        <v>14</v>
      </c>
      <c r="O2762">
        <v>250124</v>
      </c>
      <c r="P2762">
        <v>391.9</v>
      </c>
    </row>
    <row r="2763" spans="1:16" x14ac:dyDescent="0.25">
      <c r="A2763" t="s">
        <v>3296</v>
      </c>
      <c r="B2763" t="s">
        <v>2931</v>
      </c>
      <c r="C2763">
        <v>806</v>
      </c>
      <c r="D2763" t="str">
        <f>"996414      "</f>
        <v xml:space="preserve">996414      </v>
      </c>
      <c r="E2763" t="s">
        <v>503</v>
      </c>
      <c r="F2763" t="s">
        <v>504</v>
      </c>
      <c r="G2763">
        <v>25.8</v>
      </c>
      <c r="H2763">
        <v>250121</v>
      </c>
      <c r="I2763">
        <v>4580</v>
      </c>
      <c r="J2763" t="s">
        <v>126</v>
      </c>
      <c r="K2763">
        <v>25.8</v>
      </c>
      <c r="L2763">
        <v>5.24</v>
      </c>
      <c r="M2763">
        <v>17538</v>
      </c>
      <c r="N2763" t="s">
        <v>129</v>
      </c>
      <c r="O2763">
        <v>250129</v>
      </c>
      <c r="P2763">
        <v>20.56</v>
      </c>
    </row>
    <row r="2764" spans="1:16" x14ac:dyDescent="0.25">
      <c r="A2764" t="s">
        <v>3296</v>
      </c>
      <c r="B2764" t="s">
        <v>2931</v>
      </c>
      <c r="C2764">
        <v>1623</v>
      </c>
      <c r="D2764" t="str">
        <f>"999958      "</f>
        <v xml:space="preserve">999958      </v>
      </c>
      <c r="E2764" t="s">
        <v>503</v>
      </c>
      <c r="F2764" t="s">
        <v>504</v>
      </c>
      <c r="G2764">
        <v>1303.95</v>
      </c>
      <c r="H2764">
        <v>250131</v>
      </c>
      <c r="I2764">
        <v>4580</v>
      </c>
      <c r="J2764" t="s">
        <v>126</v>
      </c>
      <c r="K2764">
        <v>1303.95</v>
      </c>
      <c r="L2764">
        <v>264.95</v>
      </c>
      <c r="M2764">
        <v>56565</v>
      </c>
      <c r="N2764" t="s">
        <v>57</v>
      </c>
      <c r="O2764">
        <v>250211</v>
      </c>
      <c r="P2764">
        <v>1039</v>
      </c>
    </row>
    <row r="2765" spans="1:16" x14ac:dyDescent="0.25">
      <c r="A2765" t="s">
        <v>3296</v>
      </c>
      <c r="B2765" t="s">
        <v>2931</v>
      </c>
      <c r="C2765">
        <v>1679</v>
      </c>
      <c r="D2765" t="str">
        <f>"1000251     "</f>
        <v xml:space="preserve">1000251     </v>
      </c>
      <c r="E2765" t="s">
        <v>503</v>
      </c>
      <c r="F2765" t="s">
        <v>504</v>
      </c>
      <c r="G2765">
        <v>37.520000000000003</v>
      </c>
      <c r="H2765">
        <v>250203</v>
      </c>
      <c r="I2765">
        <v>4580</v>
      </c>
      <c r="J2765" t="s">
        <v>126</v>
      </c>
      <c r="K2765">
        <v>37.520000000000003</v>
      </c>
      <c r="L2765">
        <v>7.62</v>
      </c>
      <c r="M2765">
        <v>13501</v>
      </c>
      <c r="N2765" t="s">
        <v>66</v>
      </c>
      <c r="O2765">
        <v>250212</v>
      </c>
      <c r="P2765">
        <v>29.9</v>
      </c>
    </row>
    <row r="2766" spans="1:16" x14ac:dyDescent="0.25">
      <c r="A2766" t="s">
        <v>3296</v>
      </c>
      <c r="B2766" t="s">
        <v>2931</v>
      </c>
      <c r="C2766">
        <v>1681</v>
      </c>
      <c r="D2766" t="str">
        <f>"1000247     "</f>
        <v xml:space="preserve">1000247     </v>
      </c>
      <c r="E2766" t="s">
        <v>503</v>
      </c>
      <c r="F2766" t="s">
        <v>504</v>
      </c>
      <c r="G2766">
        <v>49.74</v>
      </c>
      <c r="H2766">
        <v>250203</v>
      </c>
      <c r="I2766">
        <v>4580</v>
      </c>
      <c r="J2766" t="s">
        <v>126</v>
      </c>
      <c r="K2766">
        <v>49.74</v>
      </c>
      <c r="L2766">
        <v>10.11</v>
      </c>
      <c r="M2766">
        <v>17952</v>
      </c>
      <c r="N2766" t="s">
        <v>157</v>
      </c>
      <c r="O2766">
        <v>250212</v>
      </c>
      <c r="P2766">
        <v>39.630000000000003</v>
      </c>
    </row>
    <row r="2767" spans="1:16" x14ac:dyDescent="0.25">
      <c r="A2767" t="s">
        <v>3296</v>
      </c>
      <c r="B2767" t="s">
        <v>2931</v>
      </c>
      <c r="C2767">
        <v>1688</v>
      </c>
      <c r="D2767" t="str">
        <f>"1001269     "</f>
        <v xml:space="preserve">1001269     </v>
      </c>
      <c r="E2767" t="s">
        <v>503</v>
      </c>
      <c r="F2767" t="s">
        <v>504</v>
      </c>
      <c r="G2767">
        <v>48.34</v>
      </c>
      <c r="H2767">
        <v>250205</v>
      </c>
      <c r="I2767">
        <v>4580</v>
      </c>
      <c r="J2767" t="s">
        <v>126</v>
      </c>
      <c r="K2767">
        <v>48.34</v>
      </c>
      <c r="L2767">
        <v>9.82</v>
      </c>
      <c r="M2767">
        <v>56558</v>
      </c>
      <c r="N2767" t="s">
        <v>50</v>
      </c>
      <c r="O2767">
        <v>250212</v>
      </c>
      <c r="P2767">
        <v>38.520000000000003</v>
      </c>
    </row>
    <row r="2768" spans="1:16" x14ac:dyDescent="0.25">
      <c r="A2768" t="s">
        <v>3296</v>
      </c>
      <c r="B2768" t="s">
        <v>2931</v>
      </c>
      <c r="C2768">
        <v>1689</v>
      </c>
      <c r="D2768" t="str">
        <f>"1001271     "</f>
        <v xml:space="preserve">1001271     </v>
      </c>
      <c r="E2768" t="s">
        <v>503</v>
      </c>
      <c r="F2768" t="s">
        <v>504</v>
      </c>
      <c r="G2768">
        <v>32.229999999999997</v>
      </c>
      <c r="H2768">
        <v>250205</v>
      </c>
      <c r="I2768">
        <v>4580</v>
      </c>
      <c r="J2768" t="s">
        <v>126</v>
      </c>
      <c r="K2768">
        <v>32.229999999999997</v>
      </c>
      <c r="L2768">
        <v>6.55</v>
      </c>
      <c r="M2768">
        <v>56564</v>
      </c>
      <c r="N2768" t="s">
        <v>56</v>
      </c>
      <c r="O2768">
        <v>250212</v>
      </c>
      <c r="P2768">
        <v>25.68</v>
      </c>
    </row>
    <row r="2769" spans="1:16" x14ac:dyDescent="0.25">
      <c r="A2769" t="s">
        <v>3296</v>
      </c>
      <c r="B2769" t="s">
        <v>2931</v>
      </c>
      <c r="C2769">
        <v>1691</v>
      </c>
      <c r="D2769" t="str">
        <f>"1001267     "</f>
        <v xml:space="preserve">1001267     </v>
      </c>
      <c r="E2769" t="s">
        <v>503</v>
      </c>
      <c r="F2769" t="s">
        <v>504</v>
      </c>
      <c r="G2769">
        <v>16.11</v>
      </c>
      <c r="H2769">
        <v>250205</v>
      </c>
      <c r="I2769">
        <v>4580</v>
      </c>
      <c r="J2769" t="s">
        <v>126</v>
      </c>
      <c r="K2769">
        <v>16.11</v>
      </c>
      <c r="L2769">
        <v>3.27</v>
      </c>
      <c r="M2769">
        <v>56559</v>
      </c>
      <c r="N2769" t="s">
        <v>51</v>
      </c>
      <c r="O2769">
        <v>250212</v>
      </c>
      <c r="P2769">
        <v>12.84</v>
      </c>
    </row>
    <row r="2770" spans="1:16" x14ac:dyDescent="0.25">
      <c r="A2770" t="s">
        <v>3296</v>
      </c>
      <c r="B2770" t="s">
        <v>2931</v>
      </c>
      <c r="C2770">
        <v>1692</v>
      </c>
      <c r="D2770" t="str">
        <f>"1001270     "</f>
        <v xml:space="preserve">1001270     </v>
      </c>
      <c r="E2770" t="s">
        <v>503</v>
      </c>
      <c r="F2770" t="s">
        <v>504</v>
      </c>
      <c r="G2770">
        <v>16.11</v>
      </c>
      <c r="H2770">
        <v>250205</v>
      </c>
      <c r="I2770">
        <v>4580</v>
      </c>
      <c r="J2770" t="s">
        <v>126</v>
      </c>
      <c r="K2770">
        <v>16.11</v>
      </c>
      <c r="L2770">
        <v>3.27</v>
      </c>
      <c r="M2770">
        <v>56565</v>
      </c>
      <c r="N2770" t="s">
        <v>57</v>
      </c>
      <c r="O2770">
        <v>250212</v>
      </c>
      <c r="P2770">
        <v>12.84</v>
      </c>
    </row>
    <row r="2771" spans="1:16" x14ac:dyDescent="0.25">
      <c r="A2771" t="s">
        <v>3296</v>
      </c>
      <c r="B2771" t="s">
        <v>2931</v>
      </c>
      <c r="C2771">
        <v>1694</v>
      </c>
      <c r="D2771" t="str">
        <f>"1001264     "</f>
        <v xml:space="preserve">1001264     </v>
      </c>
      <c r="E2771" t="s">
        <v>503</v>
      </c>
      <c r="F2771" t="s">
        <v>504</v>
      </c>
      <c r="G2771">
        <v>161.13999999999999</v>
      </c>
      <c r="H2771">
        <v>250205</v>
      </c>
      <c r="I2771">
        <v>4580</v>
      </c>
      <c r="J2771" t="s">
        <v>126</v>
      </c>
      <c r="K2771">
        <v>161.13999999999999</v>
      </c>
      <c r="L2771">
        <v>32.74</v>
      </c>
      <c r="M2771">
        <v>56562</v>
      </c>
      <c r="N2771" t="s">
        <v>54</v>
      </c>
      <c r="O2771">
        <v>250212</v>
      </c>
      <c r="P2771">
        <v>128.4</v>
      </c>
    </row>
    <row r="2772" spans="1:16" x14ac:dyDescent="0.25">
      <c r="A2772" t="s">
        <v>3296</v>
      </c>
      <c r="B2772" t="s">
        <v>2931</v>
      </c>
      <c r="C2772">
        <v>1695</v>
      </c>
      <c r="D2772" t="str">
        <f>"1001733     "</f>
        <v xml:space="preserve">1001733     </v>
      </c>
      <c r="E2772" t="s">
        <v>503</v>
      </c>
      <c r="F2772" t="s">
        <v>504</v>
      </c>
      <c r="G2772">
        <v>32.229999999999997</v>
      </c>
      <c r="H2772">
        <v>250206</v>
      </c>
      <c r="I2772">
        <v>4580</v>
      </c>
      <c r="J2772" t="s">
        <v>126</v>
      </c>
      <c r="K2772">
        <v>32.229999999999997</v>
      </c>
      <c r="L2772">
        <v>6.55</v>
      </c>
      <c r="M2772">
        <v>56561</v>
      </c>
      <c r="N2772" t="s">
        <v>53</v>
      </c>
      <c r="O2772">
        <v>250212</v>
      </c>
      <c r="P2772">
        <v>25.68</v>
      </c>
    </row>
    <row r="2773" spans="1:16" x14ac:dyDescent="0.25">
      <c r="A2773" t="s">
        <v>3296</v>
      </c>
      <c r="B2773" t="s">
        <v>2931</v>
      </c>
      <c r="C2773">
        <v>1697</v>
      </c>
      <c r="D2773" t="str">
        <f>"1001732     "</f>
        <v xml:space="preserve">1001732     </v>
      </c>
      <c r="E2773" t="s">
        <v>503</v>
      </c>
      <c r="F2773" t="s">
        <v>504</v>
      </c>
      <c r="G2773">
        <v>32.229999999999997</v>
      </c>
      <c r="H2773">
        <v>250206</v>
      </c>
      <c r="I2773">
        <v>4580</v>
      </c>
      <c r="J2773" t="s">
        <v>126</v>
      </c>
      <c r="K2773">
        <v>32.229999999999997</v>
      </c>
      <c r="L2773">
        <v>6.55</v>
      </c>
      <c r="M2773">
        <v>56560</v>
      </c>
      <c r="N2773" t="s">
        <v>52</v>
      </c>
      <c r="O2773">
        <v>250212</v>
      </c>
      <c r="P2773">
        <v>25.68</v>
      </c>
    </row>
    <row r="2774" spans="1:16" x14ac:dyDescent="0.25">
      <c r="A2774" t="s">
        <v>3296</v>
      </c>
      <c r="B2774" t="s">
        <v>2931</v>
      </c>
      <c r="C2774">
        <v>1699</v>
      </c>
      <c r="D2774" t="str">
        <f>"1001734     "</f>
        <v xml:space="preserve">1001734     </v>
      </c>
      <c r="E2774" t="s">
        <v>503</v>
      </c>
      <c r="F2774" t="s">
        <v>504</v>
      </c>
      <c r="G2774">
        <v>96.69</v>
      </c>
      <c r="H2774">
        <v>250206</v>
      </c>
      <c r="I2774">
        <v>4580</v>
      </c>
      <c r="J2774" t="s">
        <v>126</v>
      </c>
      <c r="K2774">
        <v>96.69</v>
      </c>
      <c r="L2774">
        <v>19.649999999999999</v>
      </c>
      <c r="M2774">
        <v>11801</v>
      </c>
      <c r="N2774" t="s">
        <v>40</v>
      </c>
      <c r="O2774">
        <v>250212</v>
      </c>
      <c r="P2774">
        <v>77.040000000000006</v>
      </c>
    </row>
    <row r="2775" spans="1:16" x14ac:dyDescent="0.25">
      <c r="A2775" t="s">
        <v>3296</v>
      </c>
      <c r="B2775" t="s">
        <v>2931</v>
      </c>
      <c r="C2775">
        <v>1883</v>
      </c>
      <c r="D2775" t="str">
        <f>"998365      "</f>
        <v xml:space="preserve">998365      </v>
      </c>
      <c r="E2775" t="s">
        <v>503</v>
      </c>
      <c r="F2775" t="s">
        <v>504</v>
      </c>
      <c r="G2775">
        <v>617.17999999999995</v>
      </c>
      <c r="H2775">
        <v>250128</v>
      </c>
      <c r="I2775">
        <v>4580</v>
      </c>
      <c r="J2775" t="s">
        <v>126</v>
      </c>
      <c r="K2775">
        <v>1243.01</v>
      </c>
      <c r="L2775">
        <v>125.4</v>
      </c>
      <c r="M2775">
        <v>65422</v>
      </c>
      <c r="N2775" t="s">
        <v>117</v>
      </c>
      <c r="O2775">
        <v>250214</v>
      </c>
      <c r="P2775">
        <v>491.78</v>
      </c>
    </row>
    <row r="2776" spans="1:16" x14ac:dyDescent="0.25">
      <c r="A2776" t="s">
        <v>3296</v>
      </c>
      <c r="B2776" t="s">
        <v>2931</v>
      </c>
      <c r="C2776">
        <v>1883</v>
      </c>
      <c r="D2776" t="str">
        <f>"998365      "</f>
        <v xml:space="preserve">998365      </v>
      </c>
      <c r="E2776" t="s">
        <v>503</v>
      </c>
      <c r="F2776" t="s">
        <v>504</v>
      </c>
      <c r="G2776">
        <v>617.16999999999996</v>
      </c>
      <c r="H2776">
        <v>250128</v>
      </c>
      <c r="I2776">
        <v>4580</v>
      </c>
      <c r="J2776" t="s">
        <v>126</v>
      </c>
      <c r="K2776">
        <v>1243.01</v>
      </c>
      <c r="L2776">
        <v>125.4</v>
      </c>
      <c r="M2776">
        <v>66722</v>
      </c>
      <c r="N2776" t="s">
        <v>118</v>
      </c>
      <c r="O2776">
        <v>250214</v>
      </c>
      <c r="P2776">
        <v>491.77</v>
      </c>
    </row>
    <row r="2777" spans="1:16" x14ac:dyDescent="0.25">
      <c r="A2777" t="s">
        <v>3296</v>
      </c>
      <c r="B2777" t="s">
        <v>2931</v>
      </c>
      <c r="C2777">
        <v>1883</v>
      </c>
      <c r="D2777" t="str">
        <f>"998365      "</f>
        <v xml:space="preserve">998365      </v>
      </c>
      <c r="E2777" t="s">
        <v>503</v>
      </c>
      <c r="F2777" t="s">
        <v>504</v>
      </c>
      <c r="G2777">
        <v>8.66</v>
      </c>
      <c r="H2777">
        <v>250128</v>
      </c>
      <c r="I2777">
        <v>4580</v>
      </c>
      <c r="J2777" t="s">
        <v>126</v>
      </c>
      <c r="K2777">
        <v>1243.01</v>
      </c>
      <c r="L2777">
        <v>1.76</v>
      </c>
      <c r="M2777">
        <v>66754</v>
      </c>
      <c r="N2777" t="s">
        <v>119</v>
      </c>
      <c r="O2777">
        <v>250214</v>
      </c>
      <c r="P2777">
        <v>6.9</v>
      </c>
    </row>
    <row r="2778" spans="1:16" x14ac:dyDescent="0.25">
      <c r="A2778" t="s">
        <v>3296</v>
      </c>
      <c r="B2778" t="s">
        <v>2931</v>
      </c>
      <c r="C2778">
        <v>1927</v>
      </c>
      <c r="D2778" t="str">
        <f>"998336      "</f>
        <v xml:space="preserve">998336      </v>
      </c>
      <c r="E2778" t="s">
        <v>503</v>
      </c>
      <c r="F2778" t="s">
        <v>504</v>
      </c>
      <c r="G2778">
        <v>563.5</v>
      </c>
      <c r="H2778">
        <v>250128</v>
      </c>
      <c r="I2778">
        <v>4580</v>
      </c>
      <c r="J2778" t="s">
        <v>126</v>
      </c>
      <c r="K2778">
        <v>563.5</v>
      </c>
      <c r="L2778">
        <v>114.5</v>
      </c>
      <c r="M2778">
        <v>68601</v>
      </c>
      <c r="N2778" t="s">
        <v>1031</v>
      </c>
      <c r="O2778">
        <v>250217</v>
      </c>
      <c r="P2778">
        <v>449</v>
      </c>
    </row>
    <row r="2779" spans="1:16" x14ac:dyDescent="0.25">
      <c r="A2779" t="s">
        <v>3296</v>
      </c>
      <c r="B2779" t="s">
        <v>2931</v>
      </c>
      <c r="C2779">
        <v>1930</v>
      </c>
      <c r="D2779" t="str">
        <f>"999856      "</f>
        <v xml:space="preserve">999856      </v>
      </c>
      <c r="E2779" t="s">
        <v>503</v>
      </c>
      <c r="F2779" t="s">
        <v>504</v>
      </c>
      <c r="G2779">
        <v>461.84</v>
      </c>
      <c r="H2779">
        <v>250131</v>
      </c>
      <c r="I2779">
        <v>4580</v>
      </c>
      <c r="J2779" t="s">
        <v>126</v>
      </c>
      <c r="K2779">
        <v>560.99</v>
      </c>
      <c r="L2779">
        <v>93.84</v>
      </c>
      <c r="M2779">
        <v>66756</v>
      </c>
      <c r="N2779" t="s">
        <v>120</v>
      </c>
      <c r="O2779">
        <v>250217</v>
      </c>
      <c r="P2779">
        <v>368</v>
      </c>
    </row>
    <row r="2780" spans="1:16" x14ac:dyDescent="0.25">
      <c r="A2780" t="s">
        <v>3296</v>
      </c>
      <c r="B2780" t="s">
        <v>2931</v>
      </c>
      <c r="C2780">
        <v>1930</v>
      </c>
      <c r="D2780" t="str">
        <f>"999856      "</f>
        <v xml:space="preserve">999856      </v>
      </c>
      <c r="E2780" t="s">
        <v>503</v>
      </c>
      <c r="F2780" t="s">
        <v>504</v>
      </c>
      <c r="G2780">
        <v>99.15</v>
      </c>
      <c r="H2780">
        <v>250131</v>
      </c>
      <c r="I2780">
        <v>4580</v>
      </c>
      <c r="J2780" t="s">
        <v>126</v>
      </c>
      <c r="K2780">
        <v>560.99</v>
      </c>
      <c r="L2780">
        <v>20.149999999999999</v>
      </c>
      <c r="M2780">
        <v>67554</v>
      </c>
      <c r="N2780" t="s">
        <v>317</v>
      </c>
      <c r="O2780">
        <v>250217</v>
      </c>
      <c r="P2780">
        <v>79</v>
      </c>
    </row>
    <row r="2781" spans="1:16" x14ac:dyDescent="0.25">
      <c r="A2781" t="s">
        <v>3296</v>
      </c>
      <c r="B2781" t="s">
        <v>2931</v>
      </c>
      <c r="C2781">
        <v>2417</v>
      </c>
      <c r="D2781" t="str">
        <f>"1003592     "</f>
        <v xml:space="preserve">1003592     </v>
      </c>
      <c r="E2781" t="s">
        <v>503</v>
      </c>
      <c r="F2781" t="s">
        <v>504</v>
      </c>
      <c r="G2781">
        <v>187</v>
      </c>
      <c r="H2781">
        <v>250213</v>
      </c>
      <c r="I2781">
        <v>4580</v>
      </c>
      <c r="J2781" t="s">
        <v>126</v>
      </c>
      <c r="K2781">
        <v>367.72</v>
      </c>
      <c r="L2781">
        <v>38</v>
      </c>
      <c r="M2781">
        <v>13801</v>
      </c>
      <c r="N2781" t="s">
        <v>33</v>
      </c>
      <c r="O2781">
        <v>250225</v>
      </c>
      <c r="P2781">
        <v>149</v>
      </c>
    </row>
    <row r="2782" spans="1:16" x14ac:dyDescent="0.25">
      <c r="A2782" t="s">
        <v>3296</v>
      </c>
      <c r="B2782" t="s">
        <v>2931</v>
      </c>
      <c r="C2782">
        <v>2417</v>
      </c>
      <c r="D2782" t="str">
        <f>"1003592     "</f>
        <v xml:space="preserve">1003592     </v>
      </c>
      <c r="E2782" t="s">
        <v>503</v>
      </c>
      <c r="F2782" t="s">
        <v>504</v>
      </c>
      <c r="G2782">
        <v>180.72</v>
      </c>
      <c r="H2782">
        <v>250213</v>
      </c>
      <c r="I2782">
        <v>4580</v>
      </c>
      <c r="J2782" t="s">
        <v>126</v>
      </c>
      <c r="K2782">
        <v>367.72</v>
      </c>
      <c r="L2782">
        <v>36.72</v>
      </c>
      <c r="M2782">
        <v>13801</v>
      </c>
      <c r="N2782" t="s">
        <v>33</v>
      </c>
      <c r="O2782">
        <v>250225</v>
      </c>
      <c r="P2782">
        <v>144</v>
      </c>
    </row>
    <row r="2783" spans="1:16" x14ac:dyDescent="0.25">
      <c r="A2783" t="s">
        <v>3296</v>
      </c>
      <c r="B2783" t="s">
        <v>2931</v>
      </c>
      <c r="C2783">
        <v>2549</v>
      </c>
      <c r="D2783" t="str">
        <f>"9026714     "</f>
        <v xml:space="preserve">9026714     </v>
      </c>
      <c r="E2783" t="s">
        <v>503</v>
      </c>
      <c r="F2783" t="s">
        <v>504</v>
      </c>
      <c r="G2783">
        <v>-200.8</v>
      </c>
      <c r="H2783">
        <v>250221</v>
      </c>
      <c r="I2783">
        <v>4580</v>
      </c>
      <c r="J2783" t="s">
        <v>126</v>
      </c>
      <c r="K2783">
        <v>-200.8</v>
      </c>
      <c r="L2783">
        <v>-40.799999999999997</v>
      </c>
      <c r="M2783">
        <v>17974</v>
      </c>
      <c r="N2783" t="s">
        <v>153</v>
      </c>
      <c r="O2783">
        <v>250304</v>
      </c>
      <c r="P2783">
        <v>-160</v>
      </c>
    </row>
    <row r="2784" spans="1:16" x14ac:dyDescent="0.25">
      <c r="A2784" t="s">
        <v>3296</v>
      </c>
      <c r="B2784" t="s">
        <v>2931</v>
      </c>
      <c r="C2784">
        <v>2871</v>
      </c>
      <c r="D2784" t="str">
        <f>"1006215     "</f>
        <v xml:space="preserve">1006215     </v>
      </c>
      <c r="E2784" t="s">
        <v>503</v>
      </c>
      <c r="F2784" t="s">
        <v>504</v>
      </c>
      <c r="G2784">
        <v>26.44</v>
      </c>
      <c r="H2784">
        <v>250224</v>
      </c>
      <c r="I2784">
        <v>4580</v>
      </c>
      <c r="J2784" t="s">
        <v>126</v>
      </c>
      <c r="K2784">
        <v>26.44</v>
      </c>
      <c r="L2784">
        <v>5.37</v>
      </c>
      <c r="M2784">
        <v>11801</v>
      </c>
      <c r="N2784" t="s">
        <v>40</v>
      </c>
      <c r="O2784">
        <v>250312</v>
      </c>
      <c r="P2784">
        <v>21.07</v>
      </c>
    </row>
    <row r="2785" spans="1:16" x14ac:dyDescent="0.25">
      <c r="A2785" t="s">
        <v>3296</v>
      </c>
      <c r="B2785" t="s">
        <v>2931</v>
      </c>
      <c r="C2785">
        <v>2888</v>
      </c>
      <c r="D2785" t="str">
        <f>"1006807     "</f>
        <v xml:space="preserve">1006807     </v>
      </c>
      <c r="E2785" t="s">
        <v>503</v>
      </c>
      <c r="F2785" t="s">
        <v>504</v>
      </c>
      <c r="G2785">
        <v>13.73</v>
      </c>
      <c r="H2785">
        <v>250226</v>
      </c>
      <c r="I2785">
        <v>4580</v>
      </c>
      <c r="J2785" t="s">
        <v>126</v>
      </c>
      <c r="K2785">
        <v>13.73</v>
      </c>
      <c r="L2785">
        <v>2.79</v>
      </c>
      <c r="M2785">
        <v>56566</v>
      </c>
      <c r="N2785" t="s">
        <v>58</v>
      </c>
      <c r="O2785">
        <v>250312</v>
      </c>
      <c r="P2785">
        <v>10.94</v>
      </c>
    </row>
    <row r="2786" spans="1:16" x14ac:dyDescent="0.25">
      <c r="A2786" t="s">
        <v>3296</v>
      </c>
      <c r="B2786" t="s">
        <v>2931</v>
      </c>
      <c r="C2786">
        <v>3890</v>
      </c>
      <c r="D2786" t="str">
        <f>"1008325     "</f>
        <v xml:space="preserve">1008325     </v>
      </c>
      <c r="E2786" t="s">
        <v>503</v>
      </c>
      <c r="F2786" t="s">
        <v>504</v>
      </c>
      <c r="G2786">
        <v>350.38</v>
      </c>
      <c r="H2786">
        <v>250304</v>
      </c>
      <c r="I2786">
        <v>4580</v>
      </c>
      <c r="J2786" t="s">
        <v>126</v>
      </c>
      <c r="K2786">
        <v>350.38</v>
      </c>
      <c r="L2786">
        <v>71.19</v>
      </c>
      <c r="M2786">
        <v>17972</v>
      </c>
      <c r="N2786" t="s">
        <v>28</v>
      </c>
      <c r="O2786">
        <v>250403</v>
      </c>
      <c r="P2786">
        <v>279.19</v>
      </c>
    </row>
    <row r="2787" spans="1:16" x14ac:dyDescent="0.25">
      <c r="A2787" t="s">
        <v>3296</v>
      </c>
      <c r="B2787" t="s">
        <v>2931</v>
      </c>
      <c r="C2787">
        <v>4046</v>
      </c>
      <c r="D2787" t="str">
        <f>"1009437     "</f>
        <v xml:space="preserve">1009437     </v>
      </c>
      <c r="E2787" t="s">
        <v>503</v>
      </c>
      <c r="F2787" t="s">
        <v>504</v>
      </c>
      <c r="G2787">
        <v>27.48</v>
      </c>
      <c r="H2787">
        <v>250307</v>
      </c>
      <c r="I2787">
        <v>4580</v>
      </c>
      <c r="J2787" t="s">
        <v>126</v>
      </c>
      <c r="K2787">
        <v>27.48</v>
      </c>
      <c r="L2787">
        <v>5.58</v>
      </c>
      <c r="M2787">
        <v>69702</v>
      </c>
      <c r="N2787" t="s">
        <v>124</v>
      </c>
      <c r="O2787">
        <v>250407</v>
      </c>
      <c r="P2787">
        <v>21.9</v>
      </c>
    </row>
    <row r="2788" spans="1:16" x14ac:dyDescent="0.25">
      <c r="A2788" t="s">
        <v>3296</v>
      </c>
      <c r="B2788" t="s">
        <v>2931</v>
      </c>
      <c r="C2788">
        <v>4303</v>
      </c>
      <c r="D2788" t="str">
        <f>"1010665     "</f>
        <v xml:space="preserve">1010665     </v>
      </c>
      <c r="E2788" t="s">
        <v>503</v>
      </c>
      <c r="F2788" t="s">
        <v>504</v>
      </c>
      <c r="G2788">
        <v>14.81</v>
      </c>
      <c r="H2788">
        <v>250312</v>
      </c>
      <c r="I2788">
        <v>4580</v>
      </c>
      <c r="J2788" t="s">
        <v>126</v>
      </c>
      <c r="K2788">
        <v>14.81</v>
      </c>
      <c r="L2788">
        <v>3.01</v>
      </c>
      <c r="M2788">
        <v>56558</v>
      </c>
      <c r="N2788" t="s">
        <v>50</v>
      </c>
      <c r="O2788">
        <v>250410</v>
      </c>
      <c r="P2788">
        <v>11.8</v>
      </c>
    </row>
    <row r="2789" spans="1:16" x14ac:dyDescent="0.25">
      <c r="A2789" t="s">
        <v>3296</v>
      </c>
      <c r="B2789" t="s">
        <v>2931</v>
      </c>
      <c r="C2789">
        <v>4321</v>
      </c>
      <c r="D2789" t="str">
        <f>"1010957     "</f>
        <v xml:space="preserve">1010957     </v>
      </c>
      <c r="E2789" t="s">
        <v>503</v>
      </c>
      <c r="F2789" t="s">
        <v>504</v>
      </c>
      <c r="G2789">
        <v>116.59</v>
      </c>
      <c r="H2789">
        <v>250313</v>
      </c>
      <c r="I2789">
        <v>4580</v>
      </c>
      <c r="J2789" t="s">
        <v>126</v>
      </c>
      <c r="K2789">
        <v>116.59</v>
      </c>
      <c r="L2789">
        <v>23.69</v>
      </c>
      <c r="M2789">
        <v>13601</v>
      </c>
      <c r="N2789" t="s">
        <v>115</v>
      </c>
      <c r="O2789">
        <v>250411</v>
      </c>
      <c r="P2789">
        <v>92.9</v>
      </c>
    </row>
    <row r="2790" spans="1:16" x14ac:dyDescent="0.25">
      <c r="A2790" t="s">
        <v>3296</v>
      </c>
      <c r="B2790" t="s">
        <v>2931</v>
      </c>
      <c r="C2790">
        <v>4329</v>
      </c>
      <c r="D2790" t="str">
        <f>"1011012     "</f>
        <v xml:space="preserve">1011012     </v>
      </c>
      <c r="E2790" t="s">
        <v>503</v>
      </c>
      <c r="F2790" t="s">
        <v>504</v>
      </c>
      <c r="G2790">
        <v>200.8</v>
      </c>
      <c r="H2790">
        <v>250313</v>
      </c>
      <c r="I2790">
        <v>4580</v>
      </c>
      <c r="J2790" t="s">
        <v>126</v>
      </c>
      <c r="K2790">
        <v>200.8</v>
      </c>
      <c r="L2790">
        <v>40.799999999999997</v>
      </c>
      <c r="M2790">
        <v>17972</v>
      </c>
      <c r="N2790" t="s">
        <v>28</v>
      </c>
      <c r="O2790">
        <v>250411</v>
      </c>
      <c r="P2790">
        <v>160</v>
      </c>
    </row>
    <row r="2791" spans="1:16" x14ac:dyDescent="0.25">
      <c r="A2791" t="s">
        <v>3296</v>
      </c>
      <c r="B2791" t="s">
        <v>2931</v>
      </c>
      <c r="C2791">
        <v>4655</v>
      </c>
      <c r="D2791" t="str">
        <f>"1013526     "</f>
        <v xml:space="preserve">1013526     </v>
      </c>
      <c r="E2791" t="s">
        <v>503</v>
      </c>
      <c r="F2791" t="s">
        <v>504</v>
      </c>
      <c r="G2791">
        <v>206.95</v>
      </c>
      <c r="H2791">
        <v>250325</v>
      </c>
      <c r="I2791">
        <v>4580</v>
      </c>
      <c r="J2791" t="s">
        <v>126</v>
      </c>
      <c r="K2791">
        <v>206.95</v>
      </c>
      <c r="L2791">
        <v>42.05</v>
      </c>
      <c r="M2791">
        <v>65222</v>
      </c>
      <c r="N2791" t="s">
        <v>87</v>
      </c>
      <c r="O2791">
        <v>250414</v>
      </c>
      <c r="P2791">
        <v>164.9</v>
      </c>
    </row>
    <row r="2792" spans="1:16" x14ac:dyDescent="0.25">
      <c r="A2792" t="s">
        <v>3296</v>
      </c>
      <c r="B2792" t="s">
        <v>2931</v>
      </c>
      <c r="C2792">
        <v>4701</v>
      </c>
      <c r="D2792" t="str">
        <f>"1011663     "</f>
        <v xml:space="preserve">1011663     </v>
      </c>
      <c r="E2792" t="s">
        <v>503</v>
      </c>
      <c r="F2792" t="s">
        <v>504</v>
      </c>
      <c r="G2792">
        <v>56.63</v>
      </c>
      <c r="H2792">
        <v>250317</v>
      </c>
      <c r="I2792">
        <v>4580</v>
      </c>
      <c r="J2792" t="s">
        <v>126</v>
      </c>
      <c r="K2792">
        <v>56.63</v>
      </c>
      <c r="L2792">
        <v>11.51</v>
      </c>
      <c r="M2792">
        <v>13901</v>
      </c>
      <c r="N2792" t="s">
        <v>116</v>
      </c>
      <c r="O2792">
        <v>250414</v>
      </c>
      <c r="P2792">
        <v>45.12</v>
      </c>
    </row>
    <row r="2793" spans="1:16" x14ac:dyDescent="0.25">
      <c r="A2793" t="s">
        <v>3296</v>
      </c>
      <c r="B2793" t="s">
        <v>2931</v>
      </c>
      <c r="C2793">
        <v>5485</v>
      </c>
      <c r="D2793" t="str">
        <f>"1015376     "</f>
        <v xml:space="preserve">1015376     </v>
      </c>
      <c r="E2793" t="s">
        <v>503</v>
      </c>
      <c r="F2793" t="s">
        <v>504</v>
      </c>
      <c r="G2793">
        <v>2202.54</v>
      </c>
      <c r="H2793">
        <v>250401</v>
      </c>
      <c r="I2793">
        <v>4580</v>
      </c>
      <c r="J2793" t="s">
        <v>126</v>
      </c>
      <c r="K2793">
        <v>2202.54</v>
      </c>
      <c r="L2793">
        <v>447.53</v>
      </c>
      <c r="M2793">
        <v>46222</v>
      </c>
      <c r="N2793" t="s">
        <v>101</v>
      </c>
      <c r="O2793">
        <v>250424</v>
      </c>
      <c r="P2793">
        <v>1755.01</v>
      </c>
    </row>
    <row r="2794" spans="1:16" x14ac:dyDescent="0.25">
      <c r="A2794" t="s">
        <v>3296</v>
      </c>
      <c r="B2794" t="s">
        <v>2931</v>
      </c>
      <c r="C2794">
        <v>5543</v>
      </c>
      <c r="D2794" t="str">
        <f>"1016167     "</f>
        <v xml:space="preserve">1016167     </v>
      </c>
      <c r="E2794" t="s">
        <v>503</v>
      </c>
      <c r="F2794" t="s">
        <v>504</v>
      </c>
      <c r="G2794">
        <v>89.11</v>
      </c>
      <c r="H2794">
        <v>250403</v>
      </c>
      <c r="I2794">
        <v>4580</v>
      </c>
      <c r="J2794" t="s">
        <v>126</v>
      </c>
      <c r="K2794">
        <v>89.11</v>
      </c>
      <c r="L2794">
        <v>18.11</v>
      </c>
      <c r="M2794">
        <v>44453</v>
      </c>
      <c r="N2794" t="s">
        <v>100</v>
      </c>
      <c r="O2794">
        <v>250425</v>
      </c>
      <c r="P2794">
        <v>71</v>
      </c>
    </row>
    <row r="2795" spans="1:16" x14ac:dyDescent="0.25">
      <c r="A2795" t="s">
        <v>3296</v>
      </c>
      <c r="B2795" t="s">
        <v>2931</v>
      </c>
      <c r="C2795">
        <v>5547</v>
      </c>
      <c r="D2795" t="str">
        <f>"1016312     "</f>
        <v xml:space="preserve">1016312     </v>
      </c>
      <c r="E2795" t="s">
        <v>503</v>
      </c>
      <c r="F2795" t="s">
        <v>504</v>
      </c>
      <c r="G2795">
        <v>141.82</v>
      </c>
      <c r="H2795">
        <v>250403</v>
      </c>
      <c r="I2795">
        <v>4580</v>
      </c>
      <c r="J2795" t="s">
        <v>126</v>
      </c>
      <c r="K2795">
        <v>141.82</v>
      </c>
      <c r="L2795">
        <v>28.82</v>
      </c>
      <c r="M2795">
        <v>11801</v>
      </c>
      <c r="N2795" t="s">
        <v>40</v>
      </c>
      <c r="O2795">
        <v>250425</v>
      </c>
      <c r="P2795">
        <v>113</v>
      </c>
    </row>
    <row r="2796" spans="1:16" x14ac:dyDescent="0.25">
      <c r="A2796" t="s">
        <v>3296</v>
      </c>
      <c r="B2796" t="s">
        <v>2931</v>
      </c>
      <c r="C2796">
        <v>5596</v>
      </c>
      <c r="D2796" t="str">
        <f>"1016966     "</f>
        <v xml:space="preserve">1016966     </v>
      </c>
      <c r="E2796" t="s">
        <v>503</v>
      </c>
      <c r="F2796" t="s">
        <v>504</v>
      </c>
      <c r="G2796">
        <v>86.6</v>
      </c>
      <c r="H2796">
        <v>250407</v>
      </c>
      <c r="I2796">
        <v>4580</v>
      </c>
      <c r="J2796" t="s">
        <v>126</v>
      </c>
      <c r="K2796">
        <v>86.6</v>
      </c>
      <c r="L2796">
        <v>17.600000000000001</v>
      </c>
      <c r="M2796">
        <v>48601</v>
      </c>
      <c r="N2796" t="s">
        <v>107</v>
      </c>
      <c r="O2796">
        <v>250425</v>
      </c>
      <c r="P2796">
        <v>69</v>
      </c>
    </row>
    <row r="2797" spans="1:16" x14ac:dyDescent="0.25">
      <c r="A2797" t="s">
        <v>3296</v>
      </c>
      <c r="B2797" t="s">
        <v>2931</v>
      </c>
      <c r="C2797">
        <v>5612</v>
      </c>
      <c r="D2797" t="str">
        <f>"1016988     "</f>
        <v xml:space="preserve">1016988     </v>
      </c>
      <c r="E2797" t="s">
        <v>503</v>
      </c>
      <c r="F2797" t="s">
        <v>504</v>
      </c>
      <c r="G2797">
        <v>200.67</v>
      </c>
      <c r="H2797">
        <v>250407</v>
      </c>
      <c r="I2797">
        <v>4580</v>
      </c>
      <c r="J2797" t="s">
        <v>126</v>
      </c>
      <c r="K2797">
        <v>200.67</v>
      </c>
      <c r="L2797">
        <v>40.770000000000003</v>
      </c>
      <c r="M2797">
        <v>17808</v>
      </c>
      <c r="N2797" t="s">
        <v>24</v>
      </c>
      <c r="O2797">
        <v>250425</v>
      </c>
      <c r="P2797">
        <v>159.9</v>
      </c>
    </row>
    <row r="2798" spans="1:16" x14ac:dyDescent="0.25">
      <c r="A2798" t="s">
        <v>3296</v>
      </c>
      <c r="B2798" t="s">
        <v>2931</v>
      </c>
      <c r="C2798">
        <v>5650</v>
      </c>
      <c r="D2798" t="str">
        <f>"1017912     "</f>
        <v xml:space="preserve">1017912     </v>
      </c>
      <c r="E2798" t="s">
        <v>503</v>
      </c>
      <c r="F2798" t="s">
        <v>504</v>
      </c>
      <c r="G2798">
        <v>200.8</v>
      </c>
      <c r="H2798">
        <v>250409</v>
      </c>
      <c r="I2798">
        <v>4580</v>
      </c>
      <c r="J2798" t="s">
        <v>126</v>
      </c>
      <c r="K2798">
        <v>200.8</v>
      </c>
      <c r="L2798">
        <v>40.799999999999997</v>
      </c>
      <c r="M2798">
        <v>17974</v>
      </c>
      <c r="N2798" t="s">
        <v>153</v>
      </c>
      <c r="O2798">
        <v>250428</v>
      </c>
      <c r="P2798">
        <v>160</v>
      </c>
    </row>
    <row r="2799" spans="1:16" x14ac:dyDescent="0.25">
      <c r="A2799" t="s">
        <v>3296</v>
      </c>
      <c r="B2799" t="s">
        <v>2931</v>
      </c>
      <c r="C2799">
        <v>6150</v>
      </c>
      <c r="D2799" t="str">
        <f>"1020119     "</f>
        <v xml:space="preserve">1020119     </v>
      </c>
      <c r="E2799" t="s">
        <v>503</v>
      </c>
      <c r="F2799" t="s">
        <v>504</v>
      </c>
      <c r="G2799">
        <v>37.520000000000003</v>
      </c>
      <c r="H2799">
        <v>250417</v>
      </c>
      <c r="I2799">
        <v>4580</v>
      </c>
      <c r="J2799" t="s">
        <v>126</v>
      </c>
      <c r="K2799">
        <v>37.520000000000003</v>
      </c>
      <c r="L2799">
        <v>7.62</v>
      </c>
      <c r="M2799">
        <v>11801</v>
      </c>
      <c r="N2799" t="s">
        <v>40</v>
      </c>
      <c r="O2799">
        <v>250509</v>
      </c>
      <c r="P2799">
        <v>29.9</v>
      </c>
    </row>
    <row r="2800" spans="1:16" x14ac:dyDescent="0.25">
      <c r="A2800" t="s">
        <v>3296</v>
      </c>
      <c r="B2800" t="s">
        <v>2931</v>
      </c>
      <c r="C2800">
        <v>6154</v>
      </c>
      <c r="D2800" t="str">
        <f>"1020120     "</f>
        <v xml:space="preserve">1020120     </v>
      </c>
      <c r="E2800" t="s">
        <v>503</v>
      </c>
      <c r="F2800" t="s">
        <v>504</v>
      </c>
      <c r="G2800">
        <v>75.05</v>
      </c>
      <c r="H2800">
        <v>250417</v>
      </c>
      <c r="I2800">
        <v>4580</v>
      </c>
      <c r="J2800" t="s">
        <v>126</v>
      </c>
      <c r="K2800">
        <v>75.05</v>
      </c>
      <c r="L2800">
        <v>15.25</v>
      </c>
      <c r="M2800">
        <v>11801</v>
      </c>
      <c r="N2800" t="s">
        <v>40</v>
      </c>
      <c r="O2800">
        <v>250509</v>
      </c>
      <c r="P2800">
        <v>59.8</v>
      </c>
    </row>
    <row r="2801" spans="1:16" x14ac:dyDescent="0.25">
      <c r="A2801" t="s">
        <v>3296</v>
      </c>
      <c r="B2801" t="s">
        <v>2931</v>
      </c>
      <c r="C2801">
        <v>6352</v>
      </c>
      <c r="D2801" t="str">
        <f>"1020810     "</f>
        <v xml:space="preserve">1020810     </v>
      </c>
      <c r="E2801" t="s">
        <v>503</v>
      </c>
      <c r="F2801" t="s">
        <v>504</v>
      </c>
      <c r="G2801">
        <v>711.59</v>
      </c>
      <c r="H2801">
        <v>250423</v>
      </c>
      <c r="I2801">
        <v>4580</v>
      </c>
      <c r="J2801" t="s">
        <v>126</v>
      </c>
      <c r="K2801">
        <v>711.59</v>
      </c>
      <c r="L2801">
        <v>144.59</v>
      </c>
      <c r="M2801">
        <v>17951</v>
      </c>
      <c r="N2801" t="s">
        <v>207</v>
      </c>
      <c r="O2801">
        <v>250512</v>
      </c>
      <c r="P2801">
        <v>567</v>
      </c>
    </row>
    <row r="2802" spans="1:16" x14ac:dyDescent="0.25">
      <c r="A2802" t="s">
        <v>3296</v>
      </c>
      <c r="B2802" t="s">
        <v>2931</v>
      </c>
      <c r="C2802">
        <v>6446</v>
      </c>
      <c r="D2802" t="str">
        <f>"1020603     "</f>
        <v xml:space="preserve">1020603     </v>
      </c>
      <c r="E2802" t="s">
        <v>503</v>
      </c>
      <c r="F2802" t="s">
        <v>504</v>
      </c>
      <c r="G2802">
        <v>37.520000000000003</v>
      </c>
      <c r="H2802">
        <v>250422</v>
      </c>
      <c r="I2802">
        <v>4580</v>
      </c>
      <c r="J2802" t="s">
        <v>126</v>
      </c>
      <c r="K2802">
        <v>37.520000000000003</v>
      </c>
      <c r="L2802">
        <v>7.62</v>
      </c>
      <c r="M2802">
        <v>44222</v>
      </c>
      <c r="N2802" t="s">
        <v>96</v>
      </c>
      <c r="O2802">
        <v>250513</v>
      </c>
      <c r="P2802">
        <v>29.9</v>
      </c>
    </row>
    <row r="2803" spans="1:16" x14ac:dyDescent="0.25">
      <c r="A2803" t="s">
        <v>3296</v>
      </c>
      <c r="B2803" t="s">
        <v>2931</v>
      </c>
      <c r="C2803">
        <v>6451</v>
      </c>
      <c r="D2803" t="str">
        <f>"1020500     "</f>
        <v xml:space="preserve">1020500     </v>
      </c>
      <c r="E2803" t="s">
        <v>503</v>
      </c>
      <c r="F2803" t="s">
        <v>504</v>
      </c>
      <c r="G2803">
        <v>46.41</v>
      </c>
      <c r="H2803">
        <v>250422</v>
      </c>
      <c r="I2803">
        <v>4580</v>
      </c>
      <c r="J2803" t="s">
        <v>126</v>
      </c>
      <c r="K2803">
        <v>46.41</v>
      </c>
      <c r="L2803">
        <v>9.43</v>
      </c>
      <c r="M2803">
        <v>17952</v>
      </c>
      <c r="N2803" t="s">
        <v>157</v>
      </c>
      <c r="O2803">
        <v>250513</v>
      </c>
      <c r="P2803">
        <v>36.979999999999997</v>
      </c>
    </row>
    <row r="2804" spans="1:16" x14ac:dyDescent="0.25">
      <c r="A2804" t="s">
        <v>3296</v>
      </c>
      <c r="B2804" t="s">
        <v>2931</v>
      </c>
      <c r="C2804">
        <v>6758</v>
      </c>
      <c r="D2804" t="str">
        <f>"1024101     "</f>
        <v xml:space="preserve">1024101     </v>
      </c>
      <c r="E2804" t="s">
        <v>503</v>
      </c>
      <c r="F2804" t="s">
        <v>504</v>
      </c>
      <c r="G2804">
        <v>244.73</v>
      </c>
      <c r="H2804">
        <v>250506</v>
      </c>
      <c r="I2804">
        <v>4580</v>
      </c>
      <c r="J2804" t="s">
        <v>126</v>
      </c>
      <c r="K2804">
        <v>244.73</v>
      </c>
      <c r="L2804">
        <v>49.73</v>
      </c>
      <c r="M2804">
        <v>17952</v>
      </c>
      <c r="N2804" t="s">
        <v>157</v>
      </c>
      <c r="O2804">
        <v>250516</v>
      </c>
      <c r="P2804">
        <v>195</v>
      </c>
    </row>
    <row r="2805" spans="1:16" x14ac:dyDescent="0.25">
      <c r="A2805" t="s">
        <v>3296</v>
      </c>
      <c r="B2805" t="s">
        <v>2931</v>
      </c>
      <c r="C2805">
        <v>8013</v>
      </c>
      <c r="D2805" t="str">
        <f>"1026877     "</f>
        <v xml:space="preserve">1026877     </v>
      </c>
      <c r="E2805" t="s">
        <v>503</v>
      </c>
      <c r="F2805" t="s">
        <v>504</v>
      </c>
      <c r="G2805">
        <v>878.37</v>
      </c>
      <c r="H2805">
        <v>250515</v>
      </c>
      <c r="I2805">
        <v>4580</v>
      </c>
      <c r="J2805" t="s">
        <v>126</v>
      </c>
      <c r="K2805">
        <v>878.37</v>
      </c>
      <c r="L2805">
        <v>178.47</v>
      </c>
      <c r="M2805">
        <v>14121</v>
      </c>
      <c r="N2805" t="s">
        <v>71</v>
      </c>
      <c r="O2805">
        <v>250611</v>
      </c>
      <c r="P2805">
        <v>699.9</v>
      </c>
    </row>
    <row r="2806" spans="1:16" x14ac:dyDescent="0.25">
      <c r="A2806" t="s">
        <v>3296</v>
      </c>
      <c r="B2806" t="s">
        <v>2931</v>
      </c>
      <c r="C2806">
        <v>8302</v>
      </c>
      <c r="D2806" t="str">
        <f>"1027814     "</f>
        <v xml:space="preserve">1027814     </v>
      </c>
      <c r="E2806" t="s">
        <v>503</v>
      </c>
      <c r="F2806" t="s">
        <v>504</v>
      </c>
      <c r="G2806">
        <v>51.96</v>
      </c>
      <c r="H2806">
        <v>250519</v>
      </c>
      <c r="I2806">
        <v>4580</v>
      </c>
      <c r="J2806" t="s">
        <v>126</v>
      </c>
      <c r="K2806">
        <v>51.96</v>
      </c>
      <c r="L2806">
        <v>10.56</v>
      </c>
      <c r="M2806">
        <v>13501</v>
      </c>
      <c r="N2806" t="s">
        <v>66</v>
      </c>
      <c r="O2806">
        <v>250612</v>
      </c>
      <c r="P2806">
        <v>41.4</v>
      </c>
    </row>
    <row r="2807" spans="1:16" x14ac:dyDescent="0.25">
      <c r="A2807" t="s">
        <v>3296</v>
      </c>
      <c r="B2807" t="s">
        <v>2931</v>
      </c>
      <c r="C2807">
        <v>8426</v>
      </c>
      <c r="D2807" t="str">
        <f>"1028897     "</f>
        <v xml:space="preserve">1028897     </v>
      </c>
      <c r="E2807" t="s">
        <v>503</v>
      </c>
      <c r="F2807" t="s">
        <v>504</v>
      </c>
      <c r="G2807">
        <v>525.73</v>
      </c>
      <c r="H2807">
        <v>250522</v>
      </c>
      <c r="I2807">
        <v>4580</v>
      </c>
      <c r="J2807" t="s">
        <v>126</v>
      </c>
      <c r="K2807">
        <v>525.73</v>
      </c>
      <c r="L2807">
        <v>106.82</v>
      </c>
      <c r="M2807">
        <v>13601</v>
      </c>
      <c r="N2807" t="s">
        <v>115</v>
      </c>
      <c r="O2807">
        <v>250613</v>
      </c>
      <c r="P2807">
        <v>418.91</v>
      </c>
    </row>
    <row r="2808" spans="1:16" x14ac:dyDescent="0.25">
      <c r="A2808" t="s">
        <v>3296</v>
      </c>
      <c r="B2808" t="s">
        <v>2931</v>
      </c>
      <c r="C2808">
        <v>8451</v>
      </c>
      <c r="D2808" t="str">
        <f>"1028154     "</f>
        <v xml:space="preserve">1028154     </v>
      </c>
      <c r="E2808" t="s">
        <v>503</v>
      </c>
      <c r="F2808" t="s">
        <v>504</v>
      </c>
      <c r="G2808">
        <v>500.62</v>
      </c>
      <c r="H2808">
        <v>250520</v>
      </c>
      <c r="I2808">
        <v>4580</v>
      </c>
      <c r="J2808" t="s">
        <v>126</v>
      </c>
      <c r="K2808">
        <v>500.62</v>
      </c>
      <c r="L2808">
        <v>101.72</v>
      </c>
      <c r="M2808">
        <v>47522</v>
      </c>
      <c r="N2808" t="s">
        <v>106</v>
      </c>
      <c r="O2808">
        <v>250613</v>
      </c>
      <c r="P2808">
        <v>398.9</v>
      </c>
    </row>
    <row r="2809" spans="1:16" x14ac:dyDescent="0.25">
      <c r="A2809" t="s">
        <v>3296</v>
      </c>
      <c r="B2809" t="s">
        <v>2931</v>
      </c>
      <c r="C2809">
        <v>8618</v>
      </c>
      <c r="D2809" t="str">
        <f>"1030522     "</f>
        <v xml:space="preserve">1030522     </v>
      </c>
      <c r="E2809" t="s">
        <v>503</v>
      </c>
      <c r="F2809" t="s">
        <v>504</v>
      </c>
      <c r="G2809">
        <v>76.81</v>
      </c>
      <c r="H2809">
        <v>250528</v>
      </c>
      <c r="I2809">
        <v>4580</v>
      </c>
      <c r="J2809" t="s">
        <v>126</v>
      </c>
      <c r="K2809">
        <v>76.81</v>
      </c>
      <c r="L2809">
        <v>15.61</v>
      </c>
      <c r="M2809">
        <v>11801</v>
      </c>
      <c r="N2809" t="s">
        <v>40</v>
      </c>
      <c r="O2809">
        <v>250617</v>
      </c>
      <c r="P2809">
        <v>61.2</v>
      </c>
    </row>
    <row r="2810" spans="1:16" x14ac:dyDescent="0.25">
      <c r="A2810" t="s">
        <v>3296</v>
      </c>
      <c r="B2810" t="s">
        <v>2931</v>
      </c>
      <c r="C2810">
        <v>8737</v>
      </c>
      <c r="D2810" t="str">
        <f>"1031661     "</f>
        <v xml:space="preserve">1031661     </v>
      </c>
      <c r="E2810" t="s">
        <v>503</v>
      </c>
      <c r="F2810" t="s">
        <v>504</v>
      </c>
      <c r="G2810">
        <v>5.82</v>
      </c>
      <c r="H2810">
        <v>250603</v>
      </c>
      <c r="I2810">
        <v>4580</v>
      </c>
      <c r="J2810" t="s">
        <v>126</v>
      </c>
      <c r="K2810">
        <v>52.9</v>
      </c>
      <c r="L2810">
        <v>1.18</v>
      </c>
      <c r="M2810">
        <v>13501</v>
      </c>
      <c r="N2810" t="s">
        <v>66</v>
      </c>
      <c r="O2810">
        <v>250617</v>
      </c>
      <c r="P2810">
        <v>4.6399999999999997</v>
      </c>
    </row>
    <row r="2811" spans="1:16" x14ac:dyDescent="0.25">
      <c r="A2811" t="s">
        <v>3296</v>
      </c>
      <c r="B2811" t="s">
        <v>2931</v>
      </c>
      <c r="C2811">
        <v>8737</v>
      </c>
      <c r="D2811" t="str">
        <f>"1031661     "</f>
        <v xml:space="preserve">1031661     </v>
      </c>
      <c r="E2811" t="s">
        <v>503</v>
      </c>
      <c r="F2811" t="s">
        <v>504</v>
      </c>
      <c r="G2811">
        <v>47.08</v>
      </c>
      <c r="H2811">
        <v>250603</v>
      </c>
      <c r="I2811">
        <v>4580</v>
      </c>
      <c r="J2811" t="s">
        <v>126</v>
      </c>
      <c r="K2811">
        <v>52.9</v>
      </c>
      <c r="L2811">
        <v>9.57</v>
      </c>
      <c r="M2811">
        <v>17538</v>
      </c>
      <c r="N2811" t="s">
        <v>129</v>
      </c>
      <c r="O2811">
        <v>250617</v>
      </c>
      <c r="P2811">
        <v>37.51</v>
      </c>
    </row>
    <row r="2812" spans="1:16" x14ac:dyDescent="0.25">
      <c r="A2812" t="s">
        <v>3296</v>
      </c>
      <c r="B2812" t="s">
        <v>2931</v>
      </c>
      <c r="C2812">
        <v>8960</v>
      </c>
      <c r="D2812" t="str">
        <f>"1033415     "</f>
        <v xml:space="preserve">1033415     </v>
      </c>
      <c r="E2812" t="s">
        <v>503</v>
      </c>
      <c r="F2812" t="s">
        <v>504</v>
      </c>
      <c r="G2812">
        <v>31.59</v>
      </c>
      <c r="H2812">
        <v>250610</v>
      </c>
      <c r="I2812">
        <v>4580</v>
      </c>
      <c r="J2812" t="s">
        <v>126</v>
      </c>
      <c r="K2812">
        <v>31.59</v>
      </c>
      <c r="L2812">
        <v>6.42</v>
      </c>
      <c r="M2812">
        <v>11801</v>
      </c>
      <c r="N2812" t="s">
        <v>40</v>
      </c>
      <c r="O2812">
        <v>250619</v>
      </c>
      <c r="P2812">
        <v>25.17</v>
      </c>
    </row>
    <row r="2813" spans="1:16" x14ac:dyDescent="0.25">
      <c r="A2813" t="s">
        <v>3296</v>
      </c>
      <c r="B2813" t="s">
        <v>2931</v>
      </c>
      <c r="C2813">
        <v>9295</v>
      </c>
      <c r="D2813" t="str">
        <f>"1036327     "</f>
        <v xml:space="preserve">1036327     </v>
      </c>
      <c r="E2813" t="s">
        <v>503</v>
      </c>
      <c r="F2813" t="s">
        <v>504</v>
      </c>
      <c r="G2813">
        <v>41.3</v>
      </c>
      <c r="H2813">
        <v>250624</v>
      </c>
      <c r="I2813">
        <v>4580</v>
      </c>
      <c r="J2813" t="s">
        <v>126</v>
      </c>
      <c r="K2813">
        <v>41.3</v>
      </c>
      <c r="L2813">
        <v>8.39</v>
      </c>
      <c r="M2813">
        <v>11801</v>
      </c>
      <c r="N2813" t="s">
        <v>40</v>
      </c>
      <c r="O2813">
        <v>250702</v>
      </c>
      <c r="P2813">
        <v>32.909999999999997</v>
      </c>
    </row>
    <row r="2814" spans="1:16" x14ac:dyDescent="0.25">
      <c r="A2814" t="s">
        <v>3296</v>
      </c>
      <c r="B2814" t="s">
        <v>2931</v>
      </c>
      <c r="C2814">
        <v>9328</v>
      </c>
      <c r="D2814" t="str">
        <f>"1036586     "</f>
        <v xml:space="preserve">1036586     </v>
      </c>
      <c r="E2814" t="s">
        <v>503</v>
      </c>
      <c r="F2814" t="s">
        <v>504</v>
      </c>
      <c r="G2814">
        <v>60.01</v>
      </c>
      <c r="H2814">
        <v>250625</v>
      </c>
      <c r="I2814">
        <v>4580</v>
      </c>
      <c r="J2814" t="s">
        <v>126</v>
      </c>
      <c r="K2814">
        <v>60.01</v>
      </c>
      <c r="L2814">
        <v>12.19</v>
      </c>
      <c r="M2814">
        <v>13901</v>
      </c>
      <c r="N2814" t="s">
        <v>116</v>
      </c>
      <c r="O2814">
        <v>250703</v>
      </c>
      <c r="P2814">
        <v>47.82</v>
      </c>
    </row>
    <row r="2815" spans="1:16" x14ac:dyDescent="0.25">
      <c r="A2815" t="s">
        <v>3296</v>
      </c>
      <c r="B2815" t="s">
        <v>2931</v>
      </c>
      <c r="C2815">
        <v>9680</v>
      </c>
      <c r="D2815" t="str">
        <f>"1037562     "</f>
        <v xml:space="preserve">1037562     </v>
      </c>
      <c r="E2815" t="s">
        <v>503</v>
      </c>
      <c r="F2815" t="s">
        <v>504</v>
      </c>
      <c r="G2815">
        <v>174.45</v>
      </c>
      <c r="H2815">
        <v>250630</v>
      </c>
      <c r="I2815">
        <v>4580</v>
      </c>
      <c r="J2815" t="s">
        <v>126</v>
      </c>
      <c r="K2815">
        <v>174.45</v>
      </c>
      <c r="L2815">
        <v>35.450000000000003</v>
      </c>
      <c r="M2815">
        <v>69702</v>
      </c>
      <c r="N2815" t="s">
        <v>124</v>
      </c>
      <c r="O2815">
        <v>250724</v>
      </c>
      <c r="P2815">
        <v>139</v>
      </c>
    </row>
    <row r="2816" spans="1:16" x14ac:dyDescent="0.25">
      <c r="A2816" t="s">
        <v>3296</v>
      </c>
      <c r="B2816" t="s">
        <v>2931</v>
      </c>
      <c r="C2816">
        <v>9685</v>
      </c>
      <c r="D2816" t="str">
        <f>"1037566     "</f>
        <v xml:space="preserve">1037566     </v>
      </c>
      <c r="E2816" t="s">
        <v>503</v>
      </c>
      <c r="F2816" t="s">
        <v>504</v>
      </c>
      <c r="G2816">
        <v>188.73</v>
      </c>
      <c r="H2816">
        <v>250630</v>
      </c>
      <c r="I2816">
        <v>4580</v>
      </c>
      <c r="J2816" t="s">
        <v>126</v>
      </c>
      <c r="K2816">
        <v>188.73</v>
      </c>
      <c r="L2816">
        <v>38.35</v>
      </c>
      <c r="M2816">
        <v>69702</v>
      </c>
      <c r="N2816" t="s">
        <v>124</v>
      </c>
      <c r="O2816">
        <v>250724</v>
      </c>
      <c r="P2816">
        <v>150.38</v>
      </c>
    </row>
    <row r="2817" spans="1:16" x14ac:dyDescent="0.25">
      <c r="A2817" t="s">
        <v>3296</v>
      </c>
      <c r="B2817" t="s">
        <v>2931</v>
      </c>
      <c r="C2817">
        <v>9822</v>
      </c>
      <c r="D2817" t="str">
        <f>"1038858     "</f>
        <v xml:space="preserve">1038858     </v>
      </c>
      <c r="E2817" t="s">
        <v>503</v>
      </c>
      <c r="F2817" t="s">
        <v>504</v>
      </c>
      <c r="G2817">
        <v>109.81</v>
      </c>
      <c r="H2817">
        <v>250707</v>
      </c>
      <c r="I2817">
        <v>4580</v>
      </c>
      <c r="J2817" t="s">
        <v>126</v>
      </c>
      <c r="K2817">
        <v>109.81</v>
      </c>
      <c r="L2817">
        <v>22.31</v>
      </c>
      <c r="M2817">
        <v>11801</v>
      </c>
      <c r="N2817" t="s">
        <v>40</v>
      </c>
      <c r="O2817">
        <v>250729</v>
      </c>
      <c r="P2817">
        <v>87.5</v>
      </c>
    </row>
    <row r="2818" spans="1:16" x14ac:dyDescent="0.25">
      <c r="A2818" t="s">
        <v>3296</v>
      </c>
      <c r="B2818" t="s">
        <v>2931</v>
      </c>
      <c r="C2818">
        <v>10580</v>
      </c>
      <c r="D2818" t="str">
        <f>"1043943     "</f>
        <v xml:space="preserve">1043943     </v>
      </c>
      <c r="E2818" t="s">
        <v>503</v>
      </c>
      <c r="F2818" t="s">
        <v>504</v>
      </c>
      <c r="G2818">
        <v>51.33</v>
      </c>
      <c r="H2818">
        <v>250807</v>
      </c>
      <c r="I2818">
        <v>4580</v>
      </c>
      <c r="J2818" t="s">
        <v>126</v>
      </c>
      <c r="K2818">
        <v>73.27</v>
      </c>
      <c r="L2818">
        <v>10.43</v>
      </c>
      <c r="M2818">
        <v>17808</v>
      </c>
      <c r="N2818" t="s">
        <v>24</v>
      </c>
      <c r="O2818">
        <v>250820</v>
      </c>
      <c r="P2818">
        <v>40.9</v>
      </c>
    </row>
    <row r="2819" spans="1:16" x14ac:dyDescent="0.25">
      <c r="A2819" t="s">
        <v>3296</v>
      </c>
      <c r="B2819" t="s">
        <v>2931</v>
      </c>
      <c r="C2819">
        <v>10614</v>
      </c>
      <c r="D2819" t="str">
        <f>"1043005     "</f>
        <v xml:space="preserve">1043005     </v>
      </c>
      <c r="E2819" t="s">
        <v>503</v>
      </c>
      <c r="F2819" t="s">
        <v>504</v>
      </c>
      <c r="G2819">
        <v>24.32</v>
      </c>
      <c r="H2819">
        <v>250805</v>
      </c>
      <c r="I2819">
        <v>4580</v>
      </c>
      <c r="J2819" t="s">
        <v>126</v>
      </c>
      <c r="K2819">
        <v>24.32</v>
      </c>
      <c r="L2819">
        <v>4.9400000000000004</v>
      </c>
      <c r="M2819">
        <v>11801</v>
      </c>
      <c r="N2819" t="s">
        <v>40</v>
      </c>
      <c r="O2819">
        <v>250820</v>
      </c>
      <c r="P2819">
        <v>19.38</v>
      </c>
    </row>
    <row r="2820" spans="1:16" x14ac:dyDescent="0.25">
      <c r="A2820" t="s">
        <v>3296</v>
      </c>
      <c r="B2820" t="s">
        <v>2931</v>
      </c>
      <c r="C2820">
        <v>10617</v>
      </c>
      <c r="D2820" t="str">
        <f>"1042981     "</f>
        <v xml:space="preserve">1042981     </v>
      </c>
      <c r="E2820" t="s">
        <v>503</v>
      </c>
      <c r="F2820" t="s">
        <v>504</v>
      </c>
      <c r="G2820">
        <v>489.49</v>
      </c>
      <c r="H2820">
        <v>250805</v>
      </c>
      <c r="I2820">
        <v>4580</v>
      </c>
      <c r="J2820" t="s">
        <v>126</v>
      </c>
      <c r="K2820">
        <v>489.49</v>
      </c>
      <c r="L2820">
        <v>99.46</v>
      </c>
      <c r="M2820">
        <v>11801</v>
      </c>
      <c r="N2820" t="s">
        <v>40</v>
      </c>
      <c r="O2820">
        <v>250820</v>
      </c>
      <c r="P2820">
        <v>390.03</v>
      </c>
    </row>
    <row r="2821" spans="1:16" x14ac:dyDescent="0.25">
      <c r="A2821" t="s">
        <v>3296</v>
      </c>
      <c r="B2821" t="s">
        <v>2931</v>
      </c>
      <c r="C2821">
        <v>10674</v>
      </c>
      <c r="D2821" t="str">
        <f>"1044784     "</f>
        <v xml:space="preserve">1044784     </v>
      </c>
      <c r="E2821" t="s">
        <v>503</v>
      </c>
      <c r="F2821" t="s">
        <v>504</v>
      </c>
      <c r="G2821">
        <v>46.06</v>
      </c>
      <c r="H2821">
        <v>250812</v>
      </c>
      <c r="I2821">
        <v>4580</v>
      </c>
      <c r="J2821" t="s">
        <v>126</v>
      </c>
      <c r="K2821">
        <v>46.06</v>
      </c>
      <c r="L2821">
        <v>9.36</v>
      </c>
      <c r="M2821">
        <v>11801</v>
      </c>
      <c r="N2821" t="s">
        <v>40</v>
      </c>
      <c r="O2821">
        <v>250821</v>
      </c>
      <c r="P2821">
        <v>36.700000000000003</v>
      </c>
    </row>
    <row r="2822" spans="1:16" x14ac:dyDescent="0.25">
      <c r="A2822" t="s">
        <v>3296</v>
      </c>
      <c r="B2822" t="s">
        <v>2931</v>
      </c>
      <c r="C2822">
        <v>10739</v>
      </c>
      <c r="D2822" t="str">
        <f>"1046401     "</f>
        <v xml:space="preserve">1046401     </v>
      </c>
      <c r="E2822" t="s">
        <v>503</v>
      </c>
      <c r="F2822" t="s">
        <v>504</v>
      </c>
      <c r="G2822">
        <v>73.42</v>
      </c>
      <c r="H2822">
        <v>250818</v>
      </c>
      <c r="I2822">
        <v>4580</v>
      </c>
      <c r="J2822" t="s">
        <v>126</v>
      </c>
      <c r="K2822">
        <v>73.42</v>
      </c>
      <c r="L2822">
        <v>14.92</v>
      </c>
      <c r="M2822">
        <v>16321</v>
      </c>
      <c r="N2822" t="s">
        <v>16</v>
      </c>
      <c r="O2822">
        <v>250821</v>
      </c>
      <c r="P2822">
        <v>58.5</v>
      </c>
    </row>
    <row r="2823" spans="1:16" x14ac:dyDescent="0.25">
      <c r="A2823" t="s">
        <v>3296</v>
      </c>
      <c r="B2823" t="s">
        <v>2931</v>
      </c>
      <c r="C2823">
        <v>10803</v>
      </c>
      <c r="D2823" t="str">
        <f>"1047331     "</f>
        <v xml:space="preserve">1047331     </v>
      </c>
      <c r="E2823" t="s">
        <v>503</v>
      </c>
      <c r="F2823" t="s">
        <v>504</v>
      </c>
      <c r="G2823">
        <v>62.12</v>
      </c>
      <c r="H2823">
        <v>250820</v>
      </c>
      <c r="I2823">
        <v>4580</v>
      </c>
      <c r="J2823" t="s">
        <v>126</v>
      </c>
      <c r="K2823">
        <v>62.12</v>
      </c>
      <c r="L2823">
        <v>12.62</v>
      </c>
      <c r="M2823">
        <v>69702</v>
      </c>
      <c r="N2823" t="s">
        <v>124</v>
      </c>
      <c r="O2823">
        <v>250822</v>
      </c>
      <c r="P2823">
        <v>49.5</v>
      </c>
    </row>
    <row r="2824" spans="1:16" x14ac:dyDescent="0.25">
      <c r="A2824" t="s">
        <v>3296</v>
      </c>
      <c r="B2824" t="s">
        <v>2931</v>
      </c>
      <c r="C2824">
        <v>10885</v>
      </c>
      <c r="D2824" t="str">
        <f>"1046449     "</f>
        <v xml:space="preserve">1046449     </v>
      </c>
      <c r="E2824" t="s">
        <v>503</v>
      </c>
      <c r="F2824" t="s">
        <v>504</v>
      </c>
      <c r="G2824">
        <v>39.28</v>
      </c>
      <c r="H2824">
        <v>250818</v>
      </c>
      <c r="I2824">
        <v>4580</v>
      </c>
      <c r="J2824" t="s">
        <v>126</v>
      </c>
      <c r="K2824">
        <v>39.28</v>
      </c>
      <c r="L2824">
        <v>7.98</v>
      </c>
      <c r="M2824">
        <v>11001</v>
      </c>
      <c r="N2824" t="s">
        <v>93</v>
      </c>
      <c r="O2824">
        <v>250826</v>
      </c>
      <c r="P2824">
        <v>31.3</v>
      </c>
    </row>
    <row r="2825" spans="1:16" x14ac:dyDescent="0.25">
      <c r="A2825" t="s">
        <v>3296</v>
      </c>
      <c r="B2825" t="s">
        <v>2931</v>
      </c>
      <c r="C2825">
        <v>10944</v>
      </c>
      <c r="D2825" t="str">
        <f>"1047028     "</f>
        <v xml:space="preserve">1047028     </v>
      </c>
      <c r="E2825" t="s">
        <v>503</v>
      </c>
      <c r="F2825" t="s">
        <v>504</v>
      </c>
      <c r="G2825">
        <v>125.25</v>
      </c>
      <c r="H2825">
        <v>250820</v>
      </c>
      <c r="I2825">
        <v>4580</v>
      </c>
      <c r="J2825" t="s">
        <v>126</v>
      </c>
      <c r="K2825">
        <v>125.25</v>
      </c>
      <c r="L2825">
        <v>25.45</v>
      </c>
      <c r="M2825">
        <v>13501</v>
      </c>
      <c r="N2825" t="s">
        <v>66</v>
      </c>
      <c r="O2825">
        <v>250827</v>
      </c>
      <c r="P2825">
        <v>99.8</v>
      </c>
    </row>
    <row r="2826" spans="1:16" x14ac:dyDescent="0.25">
      <c r="A2826" t="s">
        <v>3296</v>
      </c>
      <c r="B2826" t="s">
        <v>2931</v>
      </c>
      <c r="C2826">
        <v>11004</v>
      </c>
      <c r="D2826" t="str">
        <f>"1048523     "</f>
        <v xml:space="preserve">1048523     </v>
      </c>
      <c r="E2826" t="s">
        <v>503</v>
      </c>
      <c r="F2826" t="s">
        <v>504</v>
      </c>
      <c r="G2826">
        <v>25.2</v>
      </c>
      <c r="H2826">
        <v>250825</v>
      </c>
      <c r="I2826">
        <v>4580</v>
      </c>
      <c r="J2826" t="s">
        <v>126</v>
      </c>
      <c r="K2826">
        <v>25.2</v>
      </c>
      <c r="L2826">
        <v>5.12</v>
      </c>
      <c r="M2826">
        <v>17535</v>
      </c>
      <c r="N2826" t="s">
        <v>149</v>
      </c>
      <c r="O2826">
        <v>250829</v>
      </c>
      <c r="P2826">
        <v>20.079999999999998</v>
      </c>
    </row>
    <row r="2827" spans="1:16" x14ac:dyDescent="0.25">
      <c r="A2827" t="s">
        <v>3296</v>
      </c>
      <c r="B2827" t="s">
        <v>2931</v>
      </c>
      <c r="C2827">
        <v>11083</v>
      </c>
      <c r="D2827" t="str">
        <f>"1045220     "</f>
        <v xml:space="preserve">1045220     </v>
      </c>
      <c r="E2827" t="s">
        <v>503</v>
      </c>
      <c r="F2827" t="s">
        <v>504</v>
      </c>
      <c r="G2827">
        <v>52.33</v>
      </c>
      <c r="H2827">
        <v>250813</v>
      </c>
      <c r="I2827">
        <v>4580</v>
      </c>
      <c r="J2827" t="s">
        <v>126</v>
      </c>
      <c r="K2827">
        <v>52.33</v>
      </c>
      <c r="L2827">
        <v>10.63</v>
      </c>
      <c r="M2827">
        <v>17971</v>
      </c>
      <c r="N2827" t="s">
        <v>27</v>
      </c>
      <c r="O2827">
        <v>250829</v>
      </c>
      <c r="P2827">
        <v>41.7</v>
      </c>
    </row>
    <row r="2828" spans="1:16" x14ac:dyDescent="0.25">
      <c r="A2828" t="s">
        <v>3296</v>
      </c>
      <c r="B2828" t="s">
        <v>2931</v>
      </c>
      <c r="C2828">
        <v>11201</v>
      </c>
      <c r="D2828" t="str">
        <f>"1049313     "</f>
        <v xml:space="preserve">1049313     </v>
      </c>
      <c r="E2828" t="s">
        <v>503</v>
      </c>
      <c r="F2828" t="s">
        <v>504</v>
      </c>
      <c r="G2828">
        <v>26.29</v>
      </c>
      <c r="H2828">
        <v>250827</v>
      </c>
      <c r="I2828">
        <v>4580</v>
      </c>
      <c r="J2828" t="s">
        <v>126</v>
      </c>
      <c r="K2828">
        <v>26.29</v>
      </c>
      <c r="L2828">
        <v>5.34</v>
      </c>
      <c r="M2828">
        <v>11501</v>
      </c>
      <c r="N2828" t="s">
        <v>13</v>
      </c>
      <c r="O2828">
        <v>250901</v>
      </c>
      <c r="P2828">
        <v>20.95</v>
      </c>
    </row>
    <row r="2829" spans="1:16" x14ac:dyDescent="0.25">
      <c r="A2829" t="s">
        <v>3296</v>
      </c>
      <c r="B2829" t="s">
        <v>2931</v>
      </c>
      <c r="C2829">
        <v>11614</v>
      </c>
      <c r="D2829" t="str">
        <f>"1047968     "</f>
        <v xml:space="preserve">1047968     </v>
      </c>
      <c r="E2829" t="s">
        <v>503</v>
      </c>
      <c r="F2829" t="s">
        <v>504</v>
      </c>
      <c r="G2829">
        <v>36.270000000000003</v>
      </c>
      <c r="H2829">
        <v>250822</v>
      </c>
      <c r="I2829">
        <v>4580</v>
      </c>
      <c r="J2829" t="s">
        <v>126</v>
      </c>
      <c r="K2829">
        <v>36.270000000000003</v>
      </c>
      <c r="L2829">
        <v>7.37</v>
      </c>
      <c r="M2829">
        <v>61122</v>
      </c>
      <c r="N2829" t="s">
        <v>86</v>
      </c>
      <c r="O2829">
        <v>250909</v>
      </c>
      <c r="P2829">
        <v>28.9</v>
      </c>
    </row>
    <row r="2830" spans="1:16" x14ac:dyDescent="0.25">
      <c r="A2830" t="s">
        <v>3296</v>
      </c>
      <c r="B2830" t="s">
        <v>2931</v>
      </c>
      <c r="C2830">
        <v>11634</v>
      </c>
      <c r="D2830" t="str">
        <f>"1048848     "</f>
        <v xml:space="preserve">1048848     </v>
      </c>
      <c r="E2830" t="s">
        <v>503</v>
      </c>
      <c r="F2830" t="s">
        <v>504</v>
      </c>
      <c r="G2830">
        <v>7.91</v>
      </c>
      <c r="H2830">
        <v>250826</v>
      </c>
      <c r="I2830">
        <v>4580</v>
      </c>
      <c r="J2830" t="s">
        <v>126</v>
      </c>
      <c r="K2830">
        <v>15.81</v>
      </c>
      <c r="L2830">
        <v>1.61</v>
      </c>
      <c r="M2830">
        <v>69802</v>
      </c>
      <c r="N2830" t="s">
        <v>375</v>
      </c>
      <c r="O2830">
        <v>250909</v>
      </c>
      <c r="P2830">
        <v>6.3</v>
      </c>
    </row>
    <row r="2831" spans="1:16" x14ac:dyDescent="0.25">
      <c r="A2831" t="s">
        <v>3296</v>
      </c>
      <c r="B2831" t="s">
        <v>2931</v>
      </c>
      <c r="C2831">
        <v>11634</v>
      </c>
      <c r="D2831" t="str">
        <f>"1048848     "</f>
        <v xml:space="preserve">1048848     </v>
      </c>
      <c r="E2831" t="s">
        <v>503</v>
      </c>
      <c r="F2831" t="s">
        <v>504</v>
      </c>
      <c r="G2831">
        <v>7.9</v>
      </c>
      <c r="H2831">
        <v>250826</v>
      </c>
      <c r="I2831">
        <v>4580</v>
      </c>
      <c r="J2831" t="s">
        <v>126</v>
      </c>
      <c r="K2831">
        <v>15.81</v>
      </c>
      <c r="L2831">
        <v>1.61</v>
      </c>
      <c r="M2831">
        <v>69804</v>
      </c>
      <c r="N2831" t="s">
        <v>376</v>
      </c>
      <c r="O2831">
        <v>250909</v>
      </c>
      <c r="P2831">
        <v>6.29</v>
      </c>
    </row>
    <row r="2832" spans="1:16" x14ac:dyDescent="0.25">
      <c r="A2832" t="s">
        <v>3296</v>
      </c>
      <c r="B2832" t="s">
        <v>2931</v>
      </c>
      <c r="C2832">
        <v>12083</v>
      </c>
      <c r="D2832" t="str">
        <f>"1049316     "</f>
        <v xml:space="preserve">1049316     </v>
      </c>
      <c r="E2832" t="s">
        <v>503</v>
      </c>
      <c r="F2832" t="s">
        <v>504</v>
      </c>
      <c r="G2832">
        <v>157.75</v>
      </c>
      <c r="H2832">
        <v>250827</v>
      </c>
      <c r="I2832">
        <v>4580</v>
      </c>
      <c r="J2832" t="s">
        <v>126</v>
      </c>
      <c r="K2832">
        <v>157.75</v>
      </c>
      <c r="L2832">
        <v>32.049999999999997</v>
      </c>
      <c r="M2832">
        <v>59702</v>
      </c>
      <c r="N2832" t="s">
        <v>45</v>
      </c>
      <c r="O2832">
        <v>250916</v>
      </c>
      <c r="P2832">
        <v>125.7</v>
      </c>
    </row>
    <row r="2833" spans="1:16" x14ac:dyDescent="0.25">
      <c r="A2833" t="s">
        <v>3296</v>
      </c>
      <c r="B2833" t="s">
        <v>2931</v>
      </c>
      <c r="C2833">
        <v>12252</v>
      </c>
      <c r="D2833" t="str">
        <f>"1048444     "</f>
        <v xml:space="preserve">1048444     </v>
      </c>
      <c r="E2833" t="s">
        <v>503</v>
      </c>
      <c r="F2833" t="s">
        <v>504</v>
      </c>
      <c r="G2833">
        <v>1317.12</v>
      </c>
      <c r="H2833">
        <v>250825</v>
      </c>
      <c r="I2833">
        <v>4580</v>
      </c>
      <c r="J2833" t="s">
        <v>126</v>
      </c>
      <c r="K2833">
        <v>1317.12</v>
      </c>
      <c r="L2833">
        <v>267.62</v>
      </c>
      <c r="M2833">
        <v>14541</v>
      </c>
      <c r="N2833" t="s">
        <v>76</v>
      </c>
      <c r="O2833">
        <v>250918</v>
      </c>
      <c r="P2833">
        <v>1049.5</v>
      </c>
    </row>
    <row r="2834" spans="1:16" x14ac:dyDescent="0.25">
      <c r="A2834" t="s">
        <v>3296</v>
      </c>
      <c r="B2834" t="s">
        <v>2931</v>
      </c>
      <c r="C2834">
        <v>12355</v>
      </c>
      <c r="D2834" t="str">
        <f>"1052191     "</f>
        <v xml:space="preserve">1052191     </v>
      </c>
      <c r="E2834" t="s">
        <v>503</v>
      </c>
      <c r="F2834" t="s">
        <v>504</v>
      </c>
      <c r="G2834">
        <v>16.190000000000001</v>
      </c>
      <c r="H2834">
        <v>250908</v>
      </c>
      <c r="I2834">
        <v>4580</v>
      </c>
      <c r="J2834" t="s">
        <v>126</v>
      </c>
      <c r="K2834">
        <v>16.190000000000001</v>
      </c>
      <c r="L2834">
        <v>3.29</v>
      </c>
      <c r="M2834">
        <v>16121</v>
      </c>
      <c r="N2834" t="s">
        <v>127</v>
      </c>
      <c r="O2834">
        <v>250919</v>
      </c>
      <c r="P2834">
        <v>12.9</v>
      </c>
    </row>
    <row r="2835" spans="1:16" x14ac:dyDescent="0.25">
      <c r="A2835" t="s">
        <v>3296</v>
      </c>
      <c r="B2835" t="s">
        <v>2931</v>
      </c>
      <c r="C2835">
        <v>12360</v>
      </c>
      <c r="D2835" t="str">
        <f>"1052271     "</f>
        <v xml:space="preserve">1052271     </v>
      </c>
      <c r="E2835" t="s">
        <v>503</v>
      </c>
      <c r="F2835" t="s">
        <v>504</v>
      </c>
      <c r="G2835">
        <v>417.45</v>
      </c>
      <c r="H2835">
        <v>250908</v>
      </c>
      <c r="I2835">
        <v>4580</v>
      </c>
      <c r="J2835" t="s">
        <v>126</v>
      </c>
      <c r="K2835">
        <v>417.45</v>
      </c>
      <c r="L2835">
        <v>84.82</v>
      </c>
      <c r="M2835">
        <v>11101</v>
      </c>
      <c r="N2835" t="s">
        <v>67</v>
      </c>
      <c r="O2835">
        <v>250919</v>
      </c>
      <c r="P2835">
        <v>332.63</v>
      </c>
    </row>
    <row r="2836" spans="1:16" x14ac:dyDescent="0.25">
      <c r="A2836" t="s">
        <v>3296</v>
      </c>
      <c r="B2836" t="s">
        <v>2931</v>
      </c>
      <c r="C2836">
        <v>12369</v>
      </c>
      <c r="D2836" t="str">
        <f>"1052525     "</f>
        <v xml:space="preserve">1052525     </v>
      </c>
      <c r="E2836" t="s">
        <v>503</v>
      </c>
      <c r="F2836" t="s">
        <v>504</v>
      </c>
      <c r="G2836">
        <v>24.47</v>
      </c>
      <c r="H2836">
        <v>250909</v>
      </c>
      <c r="I2836">
        <v>4580</v>
      </c>
      <c r="J2836" t="s">
        <v>126</v>
      </c>
      <c r="K2836">
        <v>24.47</v>
      </c>
      <c r="L2836">
        <v>4.97</v>
      </c>
      <c r="M2836">
        <v>17522</v>
      </c>
      <c r="N2836" t="s">
        <v>137</v>
      </c>
      <c r="O2836">
        <v>250919</v>
      </c>
      <c r="P2836">
        <v>19.5</v>
      </c>
    </row>
    <row r="2837" spans="1:16" x14ac:dyDescent="0.25">
      <c r="A2837" t="s">
        <v>3296</v>
      </c>
      <c r="B2837" t="s">
        <v>2931</v>
      </c>
      <c r="C2837">
        <v>12389</v>
      </c>
      <c r="D2837" t="str">
        <f>"1053358     "</f>
        <v xml:space="preserve">1053358     </v>
      </c>
      <c r="E2837" t="s">
        <v>503</v>
      </c>
      <c r="F2837" t="s">
        <v>504</v>
      </c>
      <c r="G2837">
        <v>187</v>
      </c>
      <c r="H2837">
        <v>250911</v>
      </c>
      <c r="I2837">
        <v>4580</v>
      </c>
      <c r="J2837" t="s">
        <v>126</v>
      </c>
      <c r="K2837">
        <v>187</v>
      </c>
      <c r="L2837">
        <v>38</v>
      </c>
      <c r="M2837">
        <v>17972</v>
      </c>
      <c r="N2837" t="s">
        <v>28</v>
      </c>
      <c r="O2837">
        <v>250919</v>
      </c>
      <c r="P2837">
        <v>149</v>
      </c>
    </row>
    <row r="2838" spans="1:16" x14ac:dyDescent="0.25">
      <c r="A2838" t="s">
        <v>3296</v>
      </c>
      <c r="B2838" t="s">
        <v>2931</v>
      </c>
      <c r="C2838">
        <v>12798</v>
      </c>
      <c r="D2838" t="str">
        <f>"1055014     "</f>
        <v xml:space="preserve">1055014     </v>
      </c>
      <c r="E2838" t="s">
        <v>503</v>
      </c>
      <c r="F2838" t="s">
        <v>504</v>
      </c>
      <c r="G2838">
        <v>196.03</v>
      </c>
      <c r="H2838">
        <v>250918</v>
      </c>
      <c r="I2838">
        <v>4580</v>
      </c>
      <c r="J2838" t="s">
        <v>126</v>
      </c>
      <c r="K2838">
        <v>196.03</v>
      </c>
      <c r="L2838">
        <v>39.83</v>
      </c>
      <c r="M2838">
        <v>65222</v>
      </c>
      <c r="N2838" t="s">
        <v>87</v>
      </c>
      <c r="O2838">
        <v>250930</v>
      </c>
      <c r="P2838">
        <v>156.19999999999999</v>
      </c>
    </row>
    <row r="2839" spans="1:16" x14ac:dyDescent="0.25">
      <c r="A2839" t="s">
        <v>3296</v>
      </c>
      <c r="B2839" t="s">
        <v>2931</v>
      </c>
      <c r="C2839">
        <v>12815</v>
      </c>
      <c r="D2839" t="str">
        <f>"1055458     "</f>
        <v xml:space="preserve">1055458     </v>
      </c>
      <c r="E2839" t="s">
        <v>503</v>
      </c>
      <c r="F2839" t="s">
        <v>504</v>
      </c>
      <c r="G2839">
        <v>117.62</v>
      </c>
      <c r="H2839">
        <v>250919</v>
      </c>
      <c r="I2839">
        <v>4580</v>
      </c>
      <c r="J2839" t="s">
        <v>126</v>
      </c>
      <c r="K2839">
        <v>117.62</v>
      </c>
      <c r="L2839">
        <v>23.9</v>
      </c>
      <c r="M2839">
        <v>17530</v>
      </c>
      <c r="N2839" t="s">
        <v>144</v>
      </c>
      <c r="O2839">
        <v>250930</v>
      </c>
      <c r="P2839">
        <v>93.72</v>
      </c>
    </row>
    <row r="2840" spans="1:16" x14ac:dyDescent="0.25">
      <c r="A2840" t="s">
        <v>3296</v>
      </c>
      <c r="B2840" t="s">
        <v>2931</v>
      </c>
      <c r="C2840">
        <v>12830</v>
      </c>
      <c r="D2840" t="str">
        <f>"1056189     "</f>
        <v xml:space="preserve">1056189     </v>
      </c>
      <c r="E2840" t="s">
        <v>503</v>
      </c>
      <c r="F2840" t="s">
        <v>504</v>
      </c>
      <c r="G2840">
        <v>24.47</v>
      </c>
      <c r="H2840">
        <v>250923</v>
      </c>
      <c r="I2840">
        <v>4580</v>
      </c>
      <c r="J2840" t="s">
        <v>126</v>
      </c>
      <c r="K2840">
        <v>24.47</v>
      </c>
      <c r="L2840">
        <v>4.97</v>
      </c>
      <c r="M2840">
        <v>16322</v>
      </c>
      <c r="N2840" t="s">
        <v>331</v>
      </c>
      <c r="O2840">
        <v>250930</v>
      </c>
      <c r="P2840">
        <v>19.5</v>
      </c>
    </row>
    <row r="2841" spans="1:16" x14ac:dyDescent="0.25">
      <c r="A2841" t="s">
        <v>3296</v>
      </c>
      <c r="B2841" t="s">
        <v>2931</v>
      </c>
      <c r="C2841">
        <v>13057</v>
      </c>
      <c r="D2841" t="str">
        <f>"1055029     "</f>
        <v xml:space="preserve">1055029     </v>
      </c>
      <c r="E2841" t="s">
        <v>503</v>
      </c>
      <c r="F2841" t="s">
        <v>504</v>
      </c>
      <c r="G2841">
        <v>326.05</v>
      </c>
      <c r="H2841">
        <v>250918</v>
      </c>
      <c r="I2841">
        <v>4580</v>
      </c>
      <c r="J2841" t="s">
        <v>126</v>
      </c>
      <c r="K2841">
        <v>326.05</v>
      </c>
      <c r="L2841">
        <v>66.25</v>
      </c>
      <c r="M2841">
        <v>14971</v>
      </c>
      <c r="N2841" t="s">
        <v>81</v>
      </c>
      <c r="O2841">
        <v>251003</v>
      </c>
      <c r="P2841">
        <v>259.8</v>
      </c>
    </row>
    <row r="2842" spans="1:16" x14ac:dyDescent="0.25">
      <c r="A2842" t="s">
        <v>3296</v>
      </c>
      <c r="B2842" t="s">
        <v>2931</v>
      </c>
      <c r="C2842">
        <v>13603</v>
      </c>
      <c r="D2842" t="str">
        <f>"1058139     "</f>
        <v xml:space="preserve">1058139     </v>
      </c>
      <c r="E2842" t="s">
        <v>503</v>
      </c>
      <c r="F2842" t="s">
        <v>504</v>
      </c>
      <c r="G2842">
        <v>351.27</v>
      </c>
      <c r="H2842">
        <v>250930</v>
      </c>
      <c r="I2842">
        <v>4580</v>
      </c>
      <c r="J2842" t="s">
        <v>126</v>
      </c>
      <c r="K2842">
        <v>351.27</v>
      </c>
      <c r="L2842">
        <v>71.37</v>
      </c>
      <c r="M2842">
        <v>11601</v>
      </c>
      <c r="N2842" t="s">
        <v>12</v>
      </c>
      <c r="O2842">
        <v>251013</v>
      </c>
      <c r="P2842">
        <v>279.89999999999998</v>
      </c>
    </row>
    <row r="2843" spans="1:16" x14ac:dyDescent="0.25">
      <c r="A2843" t="s">
        <v>3296</v>
      </c>
      <c r="B2843" t="s">
        <v>2931</v>
      </c>
      <c r="C2843">
        <v>13675</v>
      </c>
      <c r="D2843" t="str">
        <f>"1057889     "</f>
        <v xml:space="preserve">1057889     </v>
      </c>
      <c r="E2843" t="s">
        <v>503</v>
      </c>
      <c r="F2843" t="s">
        <v>504</v>
      </c>
      <c r="G2843">
        <v>388.8</v>
      </c>
      <c r="H2843">
        <v>250930</v>
      </c>
      <c r="I2843">
        <v>4580</v>
      </c>
      <c r="J2843" t="s">
        <v>126</v>
      </c>
      <c r="K2843">
        <v>388.8</v>
      </c>
      <c r="L2843">
        <v>79</v>
      </c>
      <c r="M2843">
        <v>11301</v>
      </c>
      <c r="N2843" t="s">
        <v>92</v>
      </c>
      <c r="O2843">
        <v>251013</v>
      </c>
      <c r="P2843">
        <v>309.8</v>
      </c>
    </row>
    <row r="2844" spans="1:16" x14ac:dyDescent="0.25">
      <c r="A2844" t="s">
        <v>3296</v>
      </c>
      <c r="B2844" t="s">
        <v>2931</v>
      </c>
      <c r="C2844">
        <v>13823</v>
      </c>
      <c r="D2844" t="str">
        <f>"1059543     "</f>
        <v xml:space="preserve">1059543     </v>
      </c>
      <c r="E2844" t="s">
        <v>503</v>
      </c>
      <c r="F2844" t="s">
        <v>504</v>
      </c>
      <c r="G2844">
        <v>978.71</v>
      </c>
      <c r="H2844">
        <v>251006</v>
      </c>
      <c r="I2844">
        <v>4580</v>
      </c>
      <c r="J2844" t="s">
        <v>126</v>
      </c>
      <c r="K2844">
        <v>978.71</v>
      </c>
      <c r="L2844">
        <v>198.86</v>
      </c>
      <c r="M2844">
        <v>65222</v>
      </c>
      <c r="N2844" t="s">
        <v>87</v>
      </c>
      <c r="O2844">
        <v>251020</v>
      </c>
      <c r="P2844">
        <v>779.85</v>
      </c>
    </row>
    <row r="2845" spans="1:16" x14ac:dyDescent="0.25">
      <c r="A2845" t="s">
        <v>3296</v>
      </c>
      <c r="B2845" t="s">
        <v>2931</v>
      </c>
      <c r="C2845">
        <v>13926</v>
      </c>
      <c r="D2845" t="str">
        <f>"1061444     "</f>
        <v xml:space="preserve">1061444     </v>
      </c>
      <c r="E2845" t="s">
        <v>503</v>
      </c>
      <c r="F2845" t="s">
        <v>504</v>
      </c>
      <c r="G2845">
        <v>75.489999999999995</v>
      </c>
      <c r="H2845">
        <v>251013</v>
      </c>
      <c r="I2845">
        <v>4580</v>
      </c>
      <c r="J2845" t="s">
        <v>126</v>
      </c>
      <c r="K2845">
        <v>75.489999999999995</v>
      </c>
      <c r="L2845">
        <v>15.34</v>
      </c>
      <c r="M2845">
        <v>11801</v>
      </c>
      <c r="N2845" t="s">
        <v>40</v>
      </c>
      <c r="O2845">
        <v>251020</v>
      </c>
      <c r="P2845">
        <v>60.15</v>
      </c>
    </row>
    <row r="2846" spans="1:16" x14ac:dyDescent="0.25">
      <c r="A2846" t="s">
        <v>3296</v>
      </c>
      <c r="B2846" t="s">
        <v>2931</v>
      </c>
      <c r="C2846">
        <v>13991</v>
      </c>
      <c r="D2846" t="str">
        <f>"1058856     "</f>
        <v xml:space="preserve">1058856     </v>
      </c>
      <c r="E2846" t="s">
        <v>503</v>
      </c>
      <c r="F2846" t="s">
        <v>504</v>
      </c>
      <c r="G2846">
        <v>69.78</v>
      </c>
      <c r="H2846">
        <v>251003</v>
      </c>
      <c r="I2846">
        <v>4580</v>
      </c>
      <c r="J2846" t="s">
        <v>126</v>
      </c>
      <c r="K2846">
        <v>69.78</v>
      </c>
      <c r="L2846">
        <v>14.18</v>
      </c>
      <c r="M2846">
        <v>16820</v>
      </c>
      <c r="N2846" t="s">
        <v>128</v>
      </c>
      <c r="O2846">
        <v>251021</v>
      </c>
      <c r="P2846">
        <v>55.6</v>
      </c>
    </row>
    <row r="2847" spans="1:16" x14ac:dyDescent="0.25">
      <c r="A2847" t="s">
        <v>3296</v>
      </c>
      <c r="B2847" t="s">
        <v>2931</v>
      </c>
      <c r="C2847">
        <v>14158</v>
      </c>
      <c r="D2847" t="str">
        <f>"1061080     "</f>
        <v xml:space="preserve">1061080     </v>
      </c>
      <c r="E2847" t="s">
        <v>503</v>
      </c>
      <c r="F2847" t="s">
        <v>504</v>
      </c>
      <c r="G2847">
        <v>62.5</v>
      </c>
      <c r="H2847">
        <v>251010</v>
      </c>
      <c r="I2847">
        <v>4580</v>
      </c>
      <c r="J2847" t="s">
        <v>126</v>
      </c>
      <c r="K2847">
        <v>62.5</v>
      </c>
      <c r="L2847">
        <v>12.7</v>
      </c>
      <c r="M2847">
        <v>49702</v>
      </c>
      <c r="N2847" t="s">
        <v>112</v>
      </c>
      <c r="O2847">
        <v>251024</v>
      </c>
      <c r="P2847">
        <v>49.8</v>
      </c>
    </row>
    <row r="2848" spans="1:16" x14ac:dyDescent="0.25">
      <c r="A2848" t="s">
        <v>3296</v>
      </c>
      <c r="B2848" t="s">
        <v>2931</v>
      </c>
      <c r="C2848">
        <v>14241</v>
      </c>
      <c r="D2848" t="str">
        <f>"1064171     "</f>
        <v xml:space="preserve">1064171     </v>
      </c>
      <c r="E2848" t="s">
        <v>503</v>
      </c>
      <c r="F2848" t="s">
        <v>504</v>
      </c>
      <c r="G2848">
        <v>75.17</v>
      </c>
      <c r="H2848">
        <v>251023</v>
      </c>
      <c r="I2848">
        <v>4580</v>
      </c>
      <c r="J2848" t="s">
        <v>126</v>
      </c>
      <c r="K2848">
        <v>75.17</v>
      </c>
      <c r="L2848">
        <v>15.27</v>
      </c>
      <c r="M2848">
        <v>17537</v>
      </c>
      <c r="N2848" t="s">
        <v>151</v>
      </c>
      <c r="O2848">
        <v>251027</v>
      </c>
      <c r="P2848">
        <v>59.9</v>
      </c>
    </row>
    <row r="2849" spans="1:16" x14ac:dyDescent="0.25">
      <c r="A2849" t="s">
        <v>3296</v>
      </c>
      <c r="B2849" t="s">
        <v>2931</v>
      </c>
      <c r="C2849">
        <v>14499</v>
      </c>
      <c r="D2849" t="str">
        <f>"1065467     "</f>
        <v xml:space="preserve">1065467     </v>
      </c>
      <c r="E2849" t="s">
        <v>503</v>
      </c>
      <c r="F2849" t="s">
        <v>504</v>
      </c>
      <c r="G2849">
        <v>439.25</v>
      </c>
      <c r="H2849">
        <v>251029</v>
      </c>
      <c r="I2849">
        <v>4580</v>
      </c>
      <c r="J2849" t="s">
        <v>126</v>
      </c>
      <c r="K2849">
        <v>439.25</v>
      </c>
      <c r="L2849">
        <v>89.25</v>
      </c>
      <c r="M2849">
        <v>17975</v>
      </c>
      <c r="N2849" t="s">
        <v>29</v>
      </c>
      <c r="O2849">
        <v>251103</v>
      </c>
      <c r="P2849">
        <v>350</v>
      </c>
    </row>
    <row r="2850" spans="1:16" x14ac:dyDescent="0.25">
      <c r="A2850" t="s">
        <v>3296</v>
      </c>
      <c r="B2850" t="s">
        <v>2931</v>
      </c>
      <c r="C2850">
        <v>15546</v>
      </c>
      <c r="D2850" t="str">
        <f>"1069525     "</f>
        <v xml:space="preserve">1069525     </v>
      </c>
      <c r="E2850" t="s">
        <v>503</v>
      </c>
      <c r="F2850" t="s">
        <v>504</v>
      </c>
      <c r="G2850">
        <v>36.4</v>
      </c>
      <c r="H2850">
        <v>251114</v>
      </c>
      <c r="I2850">
        <v>4580</v>
      </c>
      <c r="J2850" t="s">
        <v>126</v>
      </c>
      <c r="K2850">
        <v>36.4</v>
      </c>
      <c r="L2850">
        <v>7.4</v>
      </c>
      <c r="M2850">
        <v>17530</v>
      </c>
      <c r="N2850" t="s">
        <v>144</v>
      </c>
      <c r="O2850">
        <v>251121</v>
      </c>
      <c r="P2850">
        <v>29</v>
      </c>
    </row>
    <row r="2851" spans="1:16" x14ac:dyDescent="0.25">
      <c r="A2851" t="s">
        <v>3296</v>
      </c>
      <c r="B2851" t="s">
        <v>2931</v>
      </c>
      <c r="C2851">
        <v>15869</v>
      </c>
      <c r="D2851" t="str">
        <f>"1071385     "</f>
        <v xml:space="preserve">1071385     </v>
      </c>
      <c r="E2851" t="s">
        <v>503</v>
      </c>
      <c r="F2851" t="s">
        <v>504</v>
      </c>
      <c r="G2851">
        <v>66.599999999999994</v>
      </c>
      <c r="H2851">
        <v>251124</v>
      </c>
      <c r="I2851">
        <v>4580</v>
      </c>
      <c r="J2851" t="s">
        <v>126</v>
      </c>
      <c r="K2851">
        <v>66.599999999999994</v>
      </c>
      <c r="L2851">
        <v>13.53</v>
      </c>
      <c r="M2851">
        <v>17807</v>
      </c>
      <c r="N2851" t="s">
        <v>23</v>
      </c>
      <c r="O2851">
        <v>251127</v>
      </c>
      <c r="P2851">
        <v>53.07</v>
      </c>
    </row>
    <row r="2852" spans="1:16" x14ac:dyDescent="0.25">
      <c r="A2852" t="s">
        <v>3296</v>
      </c>
      <c r="B2852" t="s">
        <v>2931</v>
      </c>
      <c r="C2852">
        <v>16460</v>
      </c>
      <c r="D2852" t="str">
        <f>"1068120     "</f>
        <v xml:space="preserve">1068120     </v>
      </c>
      <c r="E2852" t="s">
        <v>503</v>
      </c>
      <c r="F2852" t="s">
        <v>504</v>
      </c>
      <c r="G2852">
        <v>19.690000000000001</v>
      </c>
      <c r="H2852">
        <v>251110</v>
      </c>
      <c r="I2852">
        <v>4580</v>
      </c>
      <c r="J2852" t="s">
        <v>126</v>
      </c>
      <c r="K2852">
        <v>19.690000000000001</v>
      </c>
      <c r="L2852">
        <v>4</v>
      </c>
      <c r="M2852">
        <v>14974</v>
      </c>
      <c r="N2852" t="s">
        <v>83</v>
      </c>
      <c r="O2852">
        <v>251209</v>
      </c>
      <c r="P2852">
        <v>15.69</v>
      </c>
    </row>
    <row r="2853" spans="1:16" x14ac:dyDescent="0.25">
      <c r="A2853" t="s">
        <v>3296</v>
      </c>
      <c r="B2853" t="s">
        <v>2931</v>
      </c>
      <c r="C2853">
        <v>17734</v>
      </c>
      <c r="D2853" t="str">
        <f>"1074489     "</f>
        <v xml:space="preserve">1074489     </v>
      </c>
      <c r="E2853" t="s">
        <v>503</v>
      </c>
      <c r="F2853" t="s">
        <v>504</v>
      </c>
      <c r="G2853">
        <v>112.2</v>
      </c>
      <c r="H2853">
        <v>251205</v>
      </c>
      <c r="I2853">
        <v>4580</v>
      </c>
      <c r="J2853" t="s">
        <v>126</v>
      </c>
      <c r="K2853">
        <v>112.2</v>
      </c>
      <c r="L2853">
        <v>22.8</v>
      </c>
      <c r="M2853">
        <v>17805</v>
      </c>
      <c r="N2853" t="s">
        <v>21</v>
      </c>
      <c r="O2853">
        <v>251230</v>
      </c>
      <c r="P2853">
        <v>89.4</v>
      </c>
    </row>
    <row r="2854" spans="1:16" x14ac:dyDescent="0.25">
      <c r="A2854" t="s">
        <v>3296</v>
      </c>
      <c r="B2854" t="s">
        <v>2931</v>
      </c>
      <c r="C2854">
        <v>18108</v>
      </c>
      <c r="D2854" t="str">
        <f>"1077483     "</f>
        <v xml:space="preserve">1077483     </v>
      </c>
      <c r="E2854" t="s">
        <v>503</v>
      </c>
      <c r="F2854" t="s">
        <v>504</v>
      </c>
      <c r="G2854">
        <v>85.34</v>
      </c>
      <c r="H2854">
        <v>251219</v>
      </c>
      <c r="I2854">
        <v>4580</v>
      </c>
      <c r="J2854" t="s">
        <v>126</v>
      </c>
      <c r="K2854">
        <v>85.34</v>
      </c>
      <c r="L2854">
        <v>17.34</v>
      </c>
      <c r="M2854">
        <v>49501</v>
      </c>
      <c r="N2854" t="s">
        <v>110</v>
      </c>
      <c r="O2854">
        <v>260109</v>
      </c>
      <c r="P2854">
        <v>68</v>
      </c>
    </row>
    <row r="2855" spans="1:16" x14ac:dyDescent="0.25">
      <c r="A2855" t="s">
        <v>3296</v>
      </c>
      <c r="B2855" t="s">
        <v>2931</v>
      </c>
      <c r="C2855">
        <v>18369</v>
      </c>
      <c r="D2855" t="str">
        <f>"1079801     "</f>
        <v xml:space="preserve">1079801     </v>
      </c>
      <c r="E2855" t="s">
        <v>503</v>
      </c>
      <c r="F2855" t="s">
        <v>504</v>
      </c>
      <c r="G2855">
        <v>2631.72</v>
      </c>
      <c r="H2855">
        <v>251231</v>
      </c>
      <c r="I2855">
        <v>4580</v>
      </c>
      <c r="J2855" t="s">
        <v>126</v>
      </c>
      <c r="K2855">
        <v>2631.72</v>
      </c>
      <c r="L2855">
        <v>534.73</v>
      </c>
      <c r="M2855">
        <v>13201</v>
      </c>
      <c r="N2855" t="s">
        <v>269</v>
      </c>
      <c r="O2855">
        <v>260113</v>
      </c>
      <c r="P2855">
        <v>2096.9899999999998</v>
      </c>
    </row>
    <row r="2856" spans="1:16" x14ac:dyDescent="0.25">
      <c r="A2856" t="s">
        <v>3296</v>
      </c>
      <c r="B2856" t="s">
        <v>2931</v>
      </c>
      <c r="C2856">
        <v>18443</v>
      </c>
      <c r="D2856" t="str">
        <f>"1079709     "</f>
        <v xml:space="preserve">1079709     </v>
      </c>
      <c r="E2856" t="s">
        <v>503</v>
      </c>
      <c r="F2856" t="s">
        <v>504</v>
      </c>
      <c r="G2856">
        <v>3137.35</v>
      </c>
      <c r="H2856">
        <v>251231</v>
      </c>
      <c r="I2856">
        <v>4580</v>
      </c>
      <c r="J2856" t="s">
        <v>126</v>
      </c>
      <c r="K2856">
        <v>3137.35</v>
      </c>
      <c r="L2856">
        <v>637.47</v>
      </c>
      <c r="M2856">
        <v>13201</v>
      </c>
      <c r="N2856" t="s">
        <v>269</v>
      </c>
      <c r="O2856">
        <v>260113</v>
      </c>
      <c r="P2856">
        <v>2499.88</v>
      </c>
    </row>
    <row r="2857" spans="1:16" x14ac:dyDescent="0.25">
      <c r="A2857" t="s">
        <v>3296</v>
      </c>
      <c r="B2857" t="s">
        <v>2931</v>
      </c>
      <c r="C2857">
        <v>553</v>
      </c>
      <c r="D2857" t="str">
        <f>"996303      "</f>
        <v xml:space="preserve">996303      </v>
      </c>
      <c r="E2857" t="s">
        <v>503</v>
      </c>
      <c r="F2857" t="s">
        <v>504</v>
      </c>
      <c r="G2857">
        <v>116.59</v>
      </c>
      <c r="H2857">
        <v>250121</v>
      </c>
      <c r="I2857">
        <v>4600</v>
      </c>
      <c r="J2857" t="s">
        <v>278</v>
      </c>
      <c r="K2857">
        <v>116.59</v>
      </c>
      <c r="L2857">
        <v>23.69</v>
      </c>
      <c r="M2857">
        <v>56564</v>
      </c>
      <c r="N2857" t="s">
        <v>56</v>
      </c>
      <c r="O2857">
        <v>250123</v>
      </c>
      <c r="P2857">
        <v>92.9</v>
      </c>
    </row>
    <row r="2858" spans="1:16" x14ac:dyDescent="0.25">
      <c r="A2858" t="s">
        <v>3296</v>
      </c>
      <c r="B2858" t="s">
        <v>2931</v>
      </c>
      <c r="C2858">
        <v>554</v>
      </c>
      <c r="D2858" t="str">
        <f>"996347      "</f>
        <v xml:space="preserve">996347      </v>
      </c>
      <c r="E2858" t="s">
        <v>503</v>
      </c>
      <c r="F2858" t="s">
        <v>504</v>
      </c>
      <c r="G2858">
        <v>18.829999999999998</v>
      </c>
      <c r="H2858">
        <v>250121</v>
      </c>
      <c r="I2858">
        <v>4600</v>
      </c>
      <c r="J2858" t="s">
        <v>278</v>
      </c>
      <c r="K2858">
        <v>18.829999999999998</v>
      </c>
      <c r="L2858">
        <v>3.83</v>
      </c>
      <c r="M2858">
        <v>59501</v>
      </c>
      <c r="N2858" t="s">
        <v>62</v>
      </c>
      <c r="O2858">
        <v>250123</v>
      </c>
      <c r="P2858">
        <v>15</v>
      </c>
    </row>
    <row r="2859" spans="1:16" x14ac:dyDescent="0.25">
      <c r="A2859" t="s">
        <v>3296</v>
      </c>
      <c r="B2859" t="s">
        <v>2931</v>
      </c>
      <c r="C2859">
        <v>561</v>
      </c>
      <c r="D2859" t="str">
        <f>"993024      "</f>
        <v xml:space="preserve">993024      </v>
      </c>
      <c r="E2859" t="s">
        <v>503</v>
      </c>
      <c r="F2859" t="s">
        <v>504</v>
      </c>
      <c r="G2859">
        <v>187</v>
      </c>
      <c r="H2859">
        <v>250109</v>
      </c>
      <c r="I2859">
        <v>4600</v>
      </c>
      <c r="J2859" t="s">
        <v>278</v>
      </c>
      <c r="K2859">
        <v>187</v>
      </c>
      <c r="L2859">
        <v>38</v>
      </c>
      <c r="M2859">
        <v>17807</v>
      </c>
      <c r="N2859" t="s">
        <v>23</v>
      </c>
      <c r="O2859">
        <v>250124</v>
      </c>
      <c r="P2859">
        <v>149</v>
      </c>
    </row>
    <row r="2860" spans="1:16" x14ac:dyDescent="0.25">
      <c r="A2860" t="s">
        <v>3296</v>
      </c>
      <c r="B2860" t="s">
        <v>2931</v>
      </c>
      <c r="C2860">
        <v>2418</v>
      </c>
      <c r="D2860" t="str">
        <f>"1003572     "</f>
        <v xml:space="preserve">1003572     </v>
      </c>
      <c r="E2860" t="s">
        <v>503</v>
      </c>
      <c r="F2860" t="s">
        <v>504</v>
      </c>
      <c r="G2860">
        <v>257.14999999999998</v>
      </c>
      <c r="H2860">
        <v>250213</v>
      </c>
      <c r="I2860">
        <v>4600</v>
      </c>
      <c r="J2860" t="s">
        <v>278</v>
      </c>
      <c r="K2860">
        <v>257.14999999999998</v>
      </c>
      <c r="L2860">
        <v>52.25</v>
      </c>
      <c r="M2860">
        <v>17807</v>
      </c>
      <c r="N2860" t="s">
        <v>23</v>
      </c>
      <c r="O2860">
        <v>250225</v>
      </c>
      <c r="P2860">
        <v>204.9</v>
      </c>
    </row>
    <row r="2861" spans="1:16" x14ac:dyDescent="0.25">
      <c r="A2861" t="s">
        <v>3296</v>
      </c>
      <c r="B2861" t="s">
        <v>2931</v>
      </c>
      <c r="C2861">
        <v>4048</v>
      </c>
      <c r="D2861" t="str">
        <f>"1009582     "</f>
        <v xml:space="preserve">1009582     </v>
      </c>
      <c r="E2861" t="s">
        <v>503</v>
      </c>
      <c r="F2861" t="s">
        <v>504</v>
      </c>
      <c r="G2861">
        <v>202.06</v>
      </c>
      <c r="H2861">
        <v>250307</v>
      </c>
      <c r="I2861">
        <v>4600</v>
      </c>
      <c r="J2861" t="s">
        <v>278</v>
      </c>
      <c r="K2861">
        <v>202.06</v>
      </c>
      <c r="L2861">
        <v>41.06</v>
      </c>
      <c r="M2861">
        <v>46555</v>
      </c>
      <c r="N2861" t="s">
        <v>103</v>
      </c>
      <c r="O2861">
        <v>250407</v>
      </c>
      <c r="P2861">
        <v>161</v>
      </c>
    </row>
    <row r="2862" spans="1:16" x14ac:dyDescent="0.25">
      <c r="A2862" t="s">
        <v>3296</v>
      </c>
      <c r="B2862" t="s">
        <v>2931</v>
      </c>
      <c r="C2862">
        <v>6812</v>
      </c>
      <c r="D2862" t="str">
        <f>"1023993     "</f>
        <v xml:space="preserve">1023993     </v>
      </c>
      <c r="E2862" t="s">
        <v>503</v>
      </c>
      <c r="F2862" t="s">
        <v>504</v>
      </c>
      <c r="G2862">
        <v>12.26</v>
      </c>
      <c r="H2862">
        <v>250506</v>
      </c>
      <c r="I2862">
        <v>4600</v>
      </c>
      <c r="J2862" t="s">
        <v>278</v>
      </c>
      <c r="K2862">
        <v>12.26</v>
      </c>
      <c r="L2862">
        <v>2.4900000000000002</v>
      </c>
      <c r="M2862">
        <v>59502</v>
      </c>
      <c r="N2862" t="s">
        <v>63</v>
      </c>
      <c r="O2862">
        <v>250516</v>
      </c>
      <c r="P2862">
        <v>9.77</v>
      </c>
    </row>
    <row r="2863" spans="1:16" x14ac:dyDescent="0.25">
      <c r="A2863" t="s">
        <v>3296</v>
      </c>
      <c r="B2863" t="s">
        <v>2931</v>
      </c>
      <c r="C2863">
        <v>8380</v>
      </c>
      <c r="D2863" t="str">
        <f>"1028418     "</f>
        <v xml:space="preserve">1028418     </v>
      </c>
      <c r="E2863" t="s">
        <v>503</v>
      </c>
      <c r="F2863" t="s">
        <v>504</v>
      </c>
      <c r="G2863">
        <v>86.47</v>
      </c>
      <c r="H2863">
        <v>250521</v>
      </c>
      <c r="I2863">
        <v>4600</v>
      </c>
      <c r="J2863" t="s">
        <v>278</v>
      </c>
      <c r="K2863">
        <v>172.93</v>
      </c>
      <c r="L2863">
        <v>17.57</v>
      </c>
      <c r="M2863">
        <v>17951</v>
      </c>
      <c r="N2863" t="s">
        <v>207</v>
      </c>
      <c r="O2863">
        <v>250613</v>
      </c>
      <c r="P2863">
        <v>68.900000000000006</v>
      </c>
    </row>
    <row r="2864" spans="1:16" x14ac:dyDescent="0.25">
      <c r="A2864" t="s">
        <v>3296</v>
      </c>
      <c r="B2864" t="s">
        <v>2931</v>
      </c>
      <c r="C2864">
        <v>8380</v>
      </c>
      <c r="D2864" t="str">
        <f>"1028418     "</f>
        <v xml:space="preserve">1028418     </v>
      </c>
      <c r="E2864" t="s">
        <v>503</v>
      </c>
      <c r="F2864" t="s">
        <v>504</v>
      </c>
      <c r="G2864">
        <v>86.46</v>
      </c>
      <c r="H2864">
        <v>250521</v>
      </c>
      <c r="I2864">
        <v>4600</v>
      </c>
      <c r="J2864" t="s">
        <v>278</v>
      </c>
      <c r="K2864">
        <v>172.93</v>
      </c>
      <c r="L2864">
        <v>17.57</v>
      </c>
      <c r="M2864">
        <v>17952</v>
      </c>
      <c r="N2864" t="s">
        <v>157</v>
      </c>
      <c r="O2864">
        <v>250613</v>
      </c>
      <c r="P2864">
        <v>68.89</v>
      </c>
    </row>
    <row r="2865" spans="1:16" x14ac:dyDescent="0.25">
      <c r="A2865" t="s">
        <v>3296</v>
      </c>
      <c r="B2865" t="s">
        <v>2931</v>
      </c>
      <c r="C2865">
        <v>8412</v>
      </c>
      <c r="D2865" t="str">
        <f>"1028828     "</f>
        <v xml:space="preserve">1028828     </v>
      </c>
      <c r="E2865" t="s">
        <v>503</v>
      </c>
      <c r="F2865" t="s">
        <v>504</v>
      </c>
      <c r="G2865">
        <v>4.22</v>
      </c>
      <c r="H2865">
        <v>250522</v>
      </c>
      <c r="I2865">
        <v>4600</v>
      </c>
      <c r="J2865" t="s">
        <v>278</v>
      </c>
      <c r="K2865">
        <v>38.4</v>
      </c>
      <c r="L2865">
        <v>0.86</v>
      </c>
      <c r="M2865">
        <v>13501</v>
      </c>
      <c r="N2865" t="s">
        <v>66</v>
      </c>
      <c r="O2865">
        <v>250613</v>
      </c>
      <c r="P2865">
        <v>3.36</v>
      </c>
    </row>
    <row r="2866" spans="1:16" x14ac:dyDescent="0.25">
      <c r="A2866" t="s">
        <v>3296</v>
      </c>
      <c r="B2866" t="s">
        <v>2931</v>
      </c>
      <c r="C2866">
        <v>8412</v>
      </c>
      <c r="D2866" t="str">
        <f>"1028828     "</f>
        <v xml:space="preserve">1028828     </v>
      </c>
      <c r="E2866" t="s">
        <v>503</v>
      </c>
      <c r="F2866" t="s">
        <v>504</v>
      </c>
      <c r="G2866">
        <v>34.18</v>
      </c>
      <c r="H2866">
        <v>250522</v>
      </c>
      <c r="I2866">
        <v>4600</v>
      </c>
      <c r="J2866" t="s">
        <v>278</v>
      </c>
      <c r="K2866">
        <v>38.4</v>
      </c>
      <c r="L2866">
        <v>6.94</v>
      </c>
      <c r="M2866">
        <v>17538</v>
      </c>
      <c r="N2866" t="s">
        <v>129</v>
      </c>
      <c r="O2866">
        <v>250613</v>
      </c>
      <c r="P2866">
        <v>27.24</v>
      </c>
    </row>
    <row r="2867" spans="1:16" x14ac:dyDescent="0.25">
      <c r="A2867" t="s">
        <v>3296</v>
      </c>
      <c r="B2867" t="s">
        <v>2931</v>
      </c>
      <c r="C2867">
        <v>8418</v>
      </c>
      <c r="D2867" t="str">
        <f>"1028827     "</f>
        <v xml:space="preserve">1028827     </v>
      </c>
      <c r="E2867" t="s">
        <v>503</v>
      </c>
      <c r="F2867" t="s">
        <v>504</v>
      </c>
      <c r="G2867">
        <v>30.72</v>
      </c>
      <c r="H2867">
        <v>250522</v>
      </c>
      <c r="I2867">
        <v>4600</v>
      </c>
      <c r="J2867" t="s">
        <v>278</v>
      </c>
      <c r="K2867">
        <v>30.72</v>
      </c>
      <c r="L2867">
        <v>6.24</v>
      </c>
      <c r="M2867">
        <v>11801</v>
      </c>
      <c r="N2867" t="s">
        <v>40</v>
      </c>
      <c r="O2867">
        <v>250613</v>
      </c>
      <c r="P2867">
        <v>24.48</v>
      </c>
    </row>
    <row r="2868" spans="1:16" x14ac:dyDescent="0.25">
      <c r="A2868" t="s">
        <v>3296</v>
      </c>
      <c r="B2868" t="s">
        <v>2931</v>
      </c>
      <c r="C2868">
        <v>8736</v>
      </c>
      <c r="D2868" t="str">
        <f>"1031705     "</f>
        <v xml:space="preserve">1031705     </v>
      </c>
      <c r="E2868" t="s">
        <v>503</v>
      </c>
      <c r="F2868" t="s">
        <v>504</v>
      </c>
      <c r="G2868">
        <v>73.27</v>
      </c>
      <c r="H2868">
        <v>250603</v>
      </c>
      <c r="I2868">
        <v>4600</v>
      </c>
      <c r="J2868" t="s">
        <v>278</v>
      </c>
      <c r="K2868">
        <v>73.27</v>
      </c>
      <c r="L2868">
        <v>14.89</v>
      </c>
      <c r="M2868">
        <v>14974</v>
      </c>
      <c r="N2868" t="s">
        <v>83</v>
      </c>
      <c r="O2868">
        <v>250617</v>
      </c>
      <c r="P2868">
        <v>58.38</v>
      </c>
    </row>
    <row r="2869" spans="1:16" x14ac:dyDescent="0.25">
      <c r="A2869" t="s">
        <v>3296</v>
      </c>
      <c r="B2869" t="s">
        <v>2931</v>
      </c>
      <c r="C2869">
        <v>10681</v>
      </c>
      <c r="D2869" t="str">
        <f>"1044748     "</f>
        <v xml:space="preserve">1044748     </v>
      </c>
      <c r="E2869" t="s">
        <v>503</v>
      </c>
      <c r="F2869" t="s">
        <v>504</v>
      </c>
      <c r="G2869">
        <v>1566.8</v>
      </c>
      <c r="H2869">
        <v>250812</v>
      </c>
      <c r="I2869">
        <v>4600</v>
      </c>
      <c r="J2869" t="s">
        <v>278</v>
      </c>
      <c r="K2869">
        <v>1566.8</v>
      </c>
      <c r="L2869">
        <v>318.35000000000002</v>
      </c>
      <c r="M2869">
        <v>13402</v>
      </c>
      <c r="N2869" t="s">
        <v>307</v>
      </c>
      <c r="O2869">
        <v>250821</v>
      </c>
      <c r="P2869">
        <v>1248.45</v>
      </c>
    </row>
    <row r="2870" spans="1:16" x14ac:dyDescent="0.25">
      <c r="A2870" t="s">
        <v>3296</v>
      </c>
      <c r="B2870" t="s">
        <v>2931</v>
      </c>
      <c r="C2870">
        <v>10825</v>
      </c>
      <c r="D2870" t="str">
        <f>"1047562     "</f>
        <v xml:space="preserve">1047562     </v>
      </c>
      <c r="E2870" t="s">
        <v>503</v>
      </c>
      <c r="F2870" t="s">
        <v>504</v>
      </c>
      <c r="G2870">
        <v>30.56</v>
      </c>
      <c r="H2870">
        <v>250821</v>
      </c>
      <c r="I2870">
        <v>4600</v>
      </c>
      <c r="J2870" t="s">
        <v>278</v>
      </c>
      <c r="K2870">
        <v>30.56</v>
      </c>
      <c r="L2870">
        <v>6.21</v>
      </c>
      <c r="M2870">
        <v>54422</v>
      </c>
      <c r="N2870" t="s">
        <v>49</v>
      </c>
      <c r="O2870">
        <v>250825</v>
      </c>
      <c r="P2870">
        <v>24.35</v>
      </c>
    </row>
    <row r="2871" spans="1:16" x14ac:dyDescent="0.25">
      <c r="A2871" t="s">
        <v>3296</v>
      </c>
      <c r="B2871" t="s">
        <v>2931</v>
      </c>
      <c r="C2871">
        <v>10865</v>
      </c>
      <c r="D2871" t="str">
        <f>"1047567     "</f>
        <v xml:space="preserve">1047567     </v>
      </c>
      <c r="E2871" t="s">
        <v>503</v>
      </c>
      <c r="F2871" t="s">
        <v>504</v>
      </c>
      <c r="G2871">
        <v>30.56</v>
      </c>
      <c r="H2871">
        <v>250821</v>
      </c>
      <c r="I2871">
        <v>4600</v>
      </c>
      <c r="J2871" t="s">
        <v>278</v>
      </c>
      <c r="K2871">
        <v>30.56</v>
      </c>
      <c r="L2871">
        <v>6.21</v>
      </c>
      <c r="M2871">
        <v>56566</v>
      </c>
      <c r="N2871" t="s">
        <v>58</v>
      </c>
      <c r="O2871">
        <v>250825</v>
      </c>
      <c r="P2871">
        <v>24.35</v>
      </c>
    </row>
    <row r="2872" spans="1:16" x14ac:dyDescent="0.25">
      <c r="A2872" t="s">
        <v>3296</v>
      </c>
      <c r="B2872" t="s">
        <v>2931</v>
      </c>
      <c r="C2872">
        <v>11943</v>
      </c>
      <c r="D2872" t="str">
        <f>"1049864     "</f>
        <v xml:space="preserve">1049864     </v>
      </c>
      <c r="E2872" t="s">
        <v>503</v>
      </c>
      <c r="F2872" t="s">
        <v>504</v>
      </c>
      <c r="G2872">
        <v>99.6</v>
      </c>
      <c r="H2872">
        <v>250829</v>
      </c>
      <c r="I2872">
        <v>4600</v>
      </c>
      <c r="J2872" t="s">
        <v>278</v>
      </c>
      <c r="K2872">
        <v>99.6</v>
      </c>
      <c r="L2872">
        <v>20.239999999999998</v>
      </c>
      <c r="M2872">
        <v>46222</v>
      </c>
      <c r="N2872" t="s">
        <v>101</v>
      </c>
      <c r="O2872">
        <v>250912</v>
      </c>
      <c r="P2872">
        <v>79.36</v>
      </c>
    </row>
    <row r="2873" spans="1:16" x14ac:dyDescent="0.25">
      <c r="A2873" t="s">
        <v>3296</v>
      </c>
      <c r="B2873" t="s">
        <v>2931</v>
      </c>
      <c r="C2873">
        <v>12109</v>
      </c>
      <c r="D2873" t="str">
        <f>"1050641     "</f>
        <v xml:space="preserve">1050641     </v>
      </c>
      <c r="E2873" t="s">
        <v>503</v>
      </c>
      <c r="F2873" t="s">
        <v>504</v>
      </c>
      <c r="G2873">
        <v>22.59</v>
      </c>
      <c r="H2873">
        <v>250902</v>
      </c>
      <c r="I2873">
        <v>4600</v>
      </c>
      <c r="J2873" t="s">
        <v>278</v>
      </c>
      <c r="K2873">
        <v>22.59</v>
      </c>
      <c r="L2873">
        <v>4.59</v>
      </c>
      <c r="M2873">
        <v>56560</v>
      </c>
      <c r="N2873" t="s">
        <v>52</v>
      </c>
      <c r="O2873">
        <v>250916</v>
      </c>
      <c r="P2873">
        <v>18</v>
      </c>
    </row>
    <row r="2874" spans="1:16" x14ac:dyDescent="0.25">
      <c r="A2874" t="s">
        <v>3296</v>
      </c>
      <c r="B2874" t="s">
        <v>2931</v>
      </c>
      <c r="C2874">
        <v>12299</v>
      </c>
      <c r="D2874" t="str">
        <f>"1051567     "</f>
        <v xml:space="preserve">1051567     </v>
      </c>
      <c r="E2874" t="s">
        <v>503</v>
      </c>
      <c r="F2874" t="s">
        <v>504</v>
      </c>
      <c r="G2874">
        <v>121.74</v>
      </c>
      <c r="H2874">
        <v>250904</v>
      </c>
      <c r="I2874">
        <v>4600</v>
      </c>
      <c r="J2874" t="s">
        <v>278</v>
      </c>
      <c r="K2874">
        <v>121.74</v>
      </c>
      <c r="L2874">
        <v>24.74</v>
      </c>
      <c r="M2874">
        <v>46222</v>
      </c>
      <c r="N2874" t="s">
        <v>101</v>
      </c>
      <c r="O2874">
        <v>250918</v>
      </c>
      <c r="P2874">
        <v>97</v>
      </c>
    </row>
    <row r="2875" spans="1:16" x14ac:dyDescent="0.25">
      <c r="A2875" t="s">
        <v>3296</v>
      </c>
      <c r="B2875" t="s">
        <v>2931</v>
      </c>
      <c r="C2875">
        <v>17799</v>
      </c>
      <c r="D2875" t="str">
        <f>"1076318     "</f>
        <v xml:space="preserve">1076318     </v>
      </c>
      <c r="E2875" t="s">
        <v>503</v>
      </c>
      <c r="F2875" t="s">
        <v>504</v>
      </c>
      <c r="G2875">
        <v>9.15</v>
      </c>
      <c r="H2875">
        <v>251215</v>
      </c>
      <c r="I2875">
        <v>4600</v>
      </c>
      <c r="J2875" t="s">
        <v>278</v>
      </c>
      <c r="K2875">
        <v>9.15</v>
      </c>
      <c r="L2875">
        <v>1.86</v>
      </c>
      <c r="M2875">
        <v>17807</v>
      </c>
      <c r="N2875" t="s">
        <v>23</v>
      </c>
      <c r="O2875">
        <v>251230</v>
      </c>
      <c r="P2875">
        <v>7.29</v>
      </c>
    </row>
    <row r="2876" spans="1:16" x14ac:dyDescent="0.25">
      <c r="A2876" t="s">
        <v>3296</v>
      </c>
      <c r="B2876" t="s">
        <v>2931</v>
      </c>
      <c r="C2876">
        <v>15175</v>
      </c>
      <c r="D2876" t="str">
        <f>"1157165     "</f>
        <v xml:space="preserve">1157165     </v>
      </c>
      <c r="E2876" t="s">
        <v>2556</v>
      </c>
      <c r="F2876" t="s">
        <v>2557</v>
      </c>
      <c r="G2876">
        <v>1434.45</v>
      </c>
      <c r="H2876">
        <v>251110</v>
      </c>
      <c r="I2876">
        <v>4600</v>
      </c>
      <c r="J2876" t="s">
        <v>278</v>
      </c>
      <c r="K2876">
        <v>1434.45</v>
      </c>
      <c r="L2876">
        <v>291.45999999999998</v>
      </c>
      <c r="M2876">
        <v>49112</v>
      </c>
      <c r="N2876" t="s">
        <v>109</v>
      </c>
      <c r="O2876">
        <v>251113</v>
      </c>
      <c r="P2876">
        <v>1142.99</v>
      </c>
    </row>
    <row r="2877" spans="1:16" x14ac:dyDescent="0.25">
      <c r="A2877" t="s">
        <v>3296</v>
      </c>
      <c r="B2877" t="s">
        <v>2931</v>
      </c>
      <c r="C2877">
        <v>15616</v>
      </c>
      <c r="D2877" t="str">
        <f>"1157983     "</f>
        <v xml:space="preserve">1157983     </v>
      </c>
      <c r="E2877" t="s">
        <v>2556</v>
      </c>
      <c r="F2877" t="s">
        <v>2557</v>
      </c>
      <c r="G2877">
        <v>6.51</v>
      </c>
      <c r="H2877">
        <v>251113</v>
      </c>
      <c r="I2877">
        <v>4600</v>
      </c>
      <c r="J2877" t="s">
        <v>278</v>
      </c>
      <c r="K2877">
        <v>6.51</v>
      </c>
      <c r="L2877">
        <v>1.32</v>
      </c>
      <c r="M2877">
        <v>49112</v>
      </c>
      <c r="N2877" t="s">
        <v>109</v>
      </c>
      <c r="O2877">
        <v>251124</v>
      </c>
      <c r="P2877">
        <v>5.19</v>
      </c>
    </row>
    <row r="2878" spans="1:16" x14ac:dyDescent="0.25">
      <c r="A2878" t="s">
        <v>3296</v>
      </c>
      <c r="B2878" t="s">
        <v>2931</v>
      </c>
      <c r="C2878">
        <v>16055</v>
      </c>
      <c r="D2878" t="str">
        <f>"1159827     "</f>
        <v xml:space="preserve">1159827     </v>
      </c>
      <c r="E2878" t="s">
        <v>2556</v>
      </c>
      <c r="F2878" t="s">
        <v>2557</v>
      </c>
      <c r="G2878">
        <v>5.42</v>
      </c>
      <c r="H2878">
        <v>251126</v>
      </c>
      <c r="I2878">
        <v>4600</v>
      </c>
      <c r="J2878" t="s">
        <v>278</v>
      </c>
      <c r="K2878">
        <v>5.42</v>
      </c>
      <c r="L2878">
        <v>1.1000000000000001</v>
      </c>
      <c r="M2878">
        <v>49112</v>
      </c>
      <c r="N2878" t="s">
        <v>109</v>
      </c>
      <c r="O2878">
        <v>251203</v>
      </c>
      <c r="P2878">
        <v>4.32</v>
      </c>
    </row>
    <row r="2879" spans="1:16" x14ac:dyDescent="0.25">
      <c r="A2879" t="s">
        <v>3296</v>
      </c>
      <c r="B2879" t="s">
        <v>2931</v>
      </c>
      <c r="C2879">
        <v>12957</v>
      </c>
      <c r="D2879" t="str">
        <f>"534479      "</f>
        <v xml:space="preserve">534479      </v>
      </c>
      <c r="E2879" t="s">
        <v>2411</v>
      </c>
      <c r="F2879" t="s">
        <v>2412</v>
      </c>
      <c r="G2879">
        <v>1125</v>
      </c>
      <c r="H2879">
        <v>250922</v>
      </c>
      <c r="I2879">
        <v>4410</v>
      </c>
      <c r="J2879" t="s">
        <v>165</v>
      </c>
      <c r="K2879">
        <v>1125</v>
      </c>
      <c r="L2879">
        <v>0</v>
      </c>
      <c r="M2879">
        <v>11605</v>
      </c>
      <c r="N2879" t="s">
        <v>1066</v>
      </c>
      <c r="O2879">
        <v>251003</v>
      </c>
      <c r="P2879">
        <v>1125</v>
      </c>
    </row>
    <row r="2880" spans="1:16" x14ac:dyDescent="0.25">
      <c r="A2880" t="s">
        <v>3296</v>
      </c>
      <c r="B2880" t="s">
        <v>2931</v>
      </c>
      <c r="C2880">
        <v>2185</v>
      </c>
      <c r="D2880" t="str">
        <f>"100225      "</f>
        <v xml:space="preserve">100225      </v>
      </c>
      <c r="E2880" t="s">
        <v>1209</v>
      </c>
      <c r="F2880" t="s">
        <v>1210</v>
      </c>
      <c r="G2880">
        <v>98.22</v>
      </c>
      <c r="H2880">
        <v>250210</v>
      </c>
      <c r="I2880">
        <v>4440</v>
      </c>
      <c r="J2880" t="s">
        <v>346</v>
      </c>
      <c r="K2880">
        <v>376.5</v>
      </c>
      <c r="L2880">
        <v>19.96</v>
      </c>
      <c r="M2880">
        <v>14321</v>
      </c>
      <c r="N2880" t="s">
        <v>72</v>
      </c>
      <c r="O2880">
        <v>250221</v>
      </c>
      <c r="P2880">
        <v>78.260000000000005</v>
      </c>
    </row>
    <row r="2881" spans="1:16" x14ac:dyDescent="0.25">
      <c r="A2881" t="s">
        <v>3296</v>
      </c>
      <c r="B2881" t="s">
        <v>2931</v>
      </c>
      <c r="C2881">
        <v>2185</v>
      </c>
      <c r="D2881" t="str">
        <f>"100225      "</f>
        <v xml:space="preserve">100225      </v>
      </c>
      <c r="E2881" t="s">
        <v>1209</v>
      </c>
      <c r="F2881" t="s">
        <v>1210</v>
      </c>
      <c r="G2881">
        <v>49.11</v>
      </c>
      <c r="H2881">
        <v>250210</v>
      </c>
      <c r="I2881">
        <v>4440</v>
      </c>
      <c r="J2881" t="s">
        <v>346</v>
      </c>
      <c r="K2881">
        <v>376.5</v>
      </c>
      <c r="L2881">
        <v>9.98</v>
      </c>
      <c r="M2881">
        <v>16321</v>
      </c>
      <c r="N2881" t="s">
        <v>16</v>
      </c>
      <c r="O2881">
        <v>250221</v>
      </c>
      <c r="P2881">
        <v>39.130000000000003</v>
      </c>
    </row>
    <row r="2882" spans="1:16" x14ac:dyDescent="0.25">
      <c r="A2882" t="s">
        <v>3296</v>
      </c>
      <c r="B2882" t="s">
        <v>2931</v>
      </c>
      <c r="C2882">
        <v>2185</v>
      </c>
      <c r="D2882" t="str">
        <f>"100225      "</f>
        <v xml:space="preserve">100225      </v>
      </c>
      <c r="E2882" t="s">
        <v>1209</v>
      </c>
      <c r="F2882" t="s">
        <v>1210</v>
      </c>
      <c r="G2882">
        <v>98.22</v>
      </c>
      <c r="H2882">
        <v>250210</v>
      </c>
      <c r="I2882">
        <v>4440</v>
      </c>
      <c r="J2882" t="s">
        <v>346</v>
      </c>
      <c r="K2882">
        <v>376.5</v>
      </c>
      <c r="L2882">
        <v>19.96</v>
      </c>
      <c r="M2882">
        <v>16322</v>
      </c>
      <c r="N2882" t="s">
        <v>331</v>
      </c>
      <c r="O2882">
        <v>250221</v>
      </c>
      <c r="P2882">
        <v>78.260000000000005</v>
      </c>
    </row>
    <row r="2883" spans="1:16" x14ac:dyDescent="0.25">
      <c r="A2883" t="s">
        <v>3296</v>
      </c>
      <c r="B2883" t="s">
        <v>2931</v>
      </c>
      <c r="C2883">
        <v>2185</v>
      </c>
      <c r="D2883" t="str">
        <f>"100225      "</f>
        <v xml:space="preserve">100225      </v>
      </c>
      <c r="E2883" t="s">
        <v>1209</v>
      </c>
      <c r="F2883" t="s">
        <v>1210</v>
      </c>
      <c r="G2883">
        <v>16.37</v>
      </c>
      <c r="H2883">
        <v>250210</v>
      </c>
      <c r="I2883">
        <v>4440</v>
      </c>
      <c r="J2883" t="s">
        <v>346</v>
      </c>
      <c r="K2883">
        <v>376.5</v>
      </c>
      <c r="L2883">
        <v>3.33</v>
      </c>
      <c r="M2883">
        <v>43222</v>
      </c>
      <c r="N2883" t="s">
        <v>95</v>
      </c>
      <c r="O2883">
        <v>250221</v>
      </c>
      <c r="P2883">
        <v>13.04</v>
      </c>
    </row>
    <row r="2884" spans="1:16" x14ac:dyDescent="0.25">
      <c r="A2884" t="s">
        <v>3296</v>
      </c>
      <c r="B2884" t="s">
        <v>2931</v>
      </c>
      <c r="C2884">
        <v>2185</v>
      </c>
      <c r="D2884" t="str">
        <f>"100225      "</f>
        <v xml:space="preserve">100225      </v>
      </c>
      <c r="E2884" t="s">
        <v>1209</v>
      </c>
      <c r="F2884" t="s">
        <v>1210</v>
      </c>
      <c r="G2884">
        <v>114.58</v>
      </c>
      <c r="H2884">
        <v>250210</v>
      </c>
      <c r="I2884">
        <v>4440</v>
      </c>
      <c r="J2884" t="s">
        <v>346</v>
      </c>
      <c r="K2884">
        <v>376.5</v>
      </c>
      <c r="L2884">
        <v>23.28</v>
      </c>
      <c r="M2884">
        <v>53222</v>
      </c>
      <c r="N2884" t="s">
        <v>41</v>
      </c>
      <c r="O2884">
        <v>250221</v>
      </c>
      <c r="P2884">
        <v>91.3</v>
      </c>
    </row>
    <row r="2885" spans="1:16" x14ac:dyDescent="0.25">
      <c r="A2885" t="s">
        <v>3296</v>
      </c>
      <c r="B2885" t="s">
        <v>2931</v>
      </c>
      <c r="C2885">
        <v>1834</v>
      </c>
      <c r="D2885" t="str">
        <f>"AM00899703  "</f>
        <v xml:space="preserve">AM00899703  </v>
      </c>
      <c r="E2885" t="s">
        <v>2834</v>
      </c>
      <c r="F2885" t="s">
        <v>2835</v>
      </c>
      <c r="G2885">
        <v>45.97</v>
      </c>
      <c r="H2885">
        <v>250131</v>
      </c>
      <c r="I2885">
        <v>4470</v>
      </c>
      <c r="J2885" t="s">
        <v>203</v>
      </c>
      <c r="K2885">
        <v>45.97</v>
      </c>
      <c r="L2885">
        <v>9.34</v>
      </c>
      <c r="M2885">
        <v>14432</v>
      </c>
      <c r="N2885" t="s">
        <v>75</v>
      </c>
      <c r="O2885">
        <v>250214</v>
      </c>
      <c r="P2885">
        <v>36.630000000000003</v>
      </c>
    </row>
    <row r="2886" spans="1:16" x14ac:dyDescent="0.25">
      <c r="A2886" t="s">
        <v>3296</v>
      </c>
      <c r="B2886" t="s">
        <v>2931</v>
      </c>
      <c r="C2886">
        <v>3128</v>
      </c>
      <c r="D2886" t="str">
        <f>"AM00910238  "</f>
        <v xml:space="preserve">AM00910238  </v>
      </c>
      <c r="E2886" t="s">
        <v>2834</v>
      </c>
      <c r="F2886" t="s">
        <v>2835</v>
      </c>
      <c r="G2886">
        <v>52.74</v>
      </c>
      <c r="H2886">
        <v>250228</v>
      </c>
      <c r="I2886">
        <v>4470</v>
      </c>
      <c r="J2886" t="s">
        <v>203</v>
      </c>
      <c r="K2886">
        <v>52.74</v>
      </c>
      <c r="L2886">
        <v>10.72</v>
      </c>
      <c r="M2886">
        <v>14432</v>
      </c>
      <c r="N2886" t="s">
        <v>75</v>
      </c>
      <c r="O2886">
        <v>250314</v>
      </c>
      <c r="P2886">
        <v>42.02</v>
      </c>
    </row>
    <row r="2887" spans="1:16" x14ac:dyDescent="0.25">
      <c r="A2887" t="s">
        <v>3296</v>
      </c>
      <c r="B2887" t="s">
        <v>2931</v>
      </c>
      <c r="C2887">
        <v>5124</v>
      </c>
      <c r="D2887" t="str">
        <f>"AM00920760  "</f>
        <v xml:space="preserve">AM00920760  </v>
      </c>
      <c r="E2887" t="s">
        <v>2834</v>
      </c>
      <c r="F2887" t="s">
        <v>2835</v>
      </c>
      <c r="G2887">
        <v>56.22</v>
      </c>
      <c r="H2887">
        <v>250404</v>
      </c>
      <c r="I2887">
        <v>4470</v>
      </c>
      <c r="J2887" t="s">
        <v>203</v>
      </c>
      <c r="K2887">
        <v>56.22</v>
      </c>
      <c r="L2887">
        <v>11.42</v>
      </c>
      <c r="M2887">
        <v>14432</v>
      </c>
      <c r="N2887" t="s">
        <v>75</v>
      </c>
      <c r="O2887">
        <v>250417</v>
      </c>
      <c r="P2887">
        <v>44.8</v>
      </c>
    </row>
    <row r="2888" spans="1:16" x14ac:dyDescent="0.25">
      <c r="A2888" t="s">
        <v>3296</v>
      </c>
      <c r="B2888" t="s">
        <v>2931</v>
      </c>
      <c r="C2888">
        <v>6637</v>
      </c>
      <c r="D2888" t="str">
        <f>"AM00931310  "</f>
        <v xml:space="preserve">AM00931310  </v>
      </c>
      <c r="E2888" t="s">
        <v>2834</v>
      </c>
      <c r="F2888" t="s">
        <v>2835</v>
      </c>
      <c r="G2888">
        <v>52.11</v>
      </c>
      <c r="H2888">
        <v>250430</v>
      </c>
      <c r="I2888">
        <v>4470</v>
      </c>
      <c r="J2888" t="s">
        <v>203</v>
      </c>
      <c r="K2888">
        <v>52.11</v>
      </c>
      <c r="L2888">
        <v>10.59</v>
      </c>
      <c r="M2888">
        <v>14432</v>
      </c>
      <c r="N2888" t="s">
        <v>75</v>
      </c>
      <c r="O2888">
        <v>250514</v>
      </c>
      <c r="P2888">
        <v>41.52</v>
      </c>
    </row>
    <row r="2889" spans="1:16" x14ac:dyDescent="0.25">
      <c r="A2889" t="s">
        <v>3296</v>
      </c>
      <c r="B2889" t="s">
        <v>2931</v>
      </c>
      <c r="C2889">
        <v>8396</v>
      </c>
      <c r="D2889" t="str">
        <f>"AM00941855  "</f>
        <v xml:space="preserve">AM00941855  </v>
      </c>
      <c r="E2889" t="s">
        <v>2834</v>
      </c>
      <c r="F2889" t="s">
        <v>2835</v>
      </c>
      <c r="G2889">
        <v>55.61</v>
      </c>
      <c r="H2889">
        <v>250531</v>
      </c>
      <c r="I2889">
        <v>4470</v>
      </c>
      <c r="J2889" t="s">
        <v>203</v>
      </c>
      <c r="K2889">
        <v>55.61</v>
      </c>
      <c r="L2889">
        <v>11.3</v>
      </c>
      <c r="M2889">
        <v>14432</v>
      </c>
      <c r="N2889" t="s">
        <v>75</v>
      </c>
      <c r="O2889">
        <v>250613</v>
      </c>
      <c r="P2889">
        <v>44.31</v>
      </c>
    </row>
    <row r="2890" spans="1:16" x14ac:dyDescent="0.25">
      <c r="A2890" t="s">
        <v>3296</v>
      </c>
      <c r="B2890" t="s">
        <v>2931</v>
      </c>
      <c r="C2890">
        <v>9475</v>
      </c>
      <c r="D2890" t="str">
        <f>"AM00952176  "</f>
        <v xml:space="preserve">AM00952176  </v>
      </c>
      <c r="E2890" t="s">
        <v>2834</v>
      </c>
      <c r="F2890" t="s">
        <v>2835</v>
      </c>
      <c r="G2890">
        <v>39.03</v>
      </c>
      <c r="H2890">
        <v>250630</v>
      </c>
      <c r="I2890">
        <v>4470</v>
      </c>
      <c r="J2890" t="s">
        <v>203</v>
      </c>
      <c r="K2890">
        <v>39.03</v>
      </c>
      <c r="L2890">
        <v>7.93</v>
      </c>
      <c r="M2890">
        <v>14432</v>
      </c>
      <c r="N2890" t="s">
        <v>75</v>
      </c>
      <c r="O2890">
        <v>250708</v>
      </c>
      <c r="P2890">
        <v>31.1</v>
      </c>
    </row>
    <row r="2891" spans="1:16" x14ac:dyDescent="0.25">
      <c r="A2891" t="s">
        <v>3296</v>
      </c>
      <c r="B2891" t="s">
        <v>2931</v>
      </c>
      <c r="C2891">
        <v>10209</v>
      </c>
      <c r="D2891" t="str">
        <f>"AM00966990  "</f>
        <v xml:space="preserve">AM00966990  </v>
      </c>
      <c r="E2891" t="s">
        <v>2834</v>
      </c>
      <c r="F2891" t="s">
        <v>2835</v>
      </c>
      <c r="G2891">
        <v>6.28</v>
      </c>
      <c r="H2891">
        <v>250731</v>
      </c>
      <c r="I2891">
        <v>4470</v>
      </c>
      <c r="J2891" t="s">
        <v>203</v>
      </c>
      <c r="K2891">
        <v>6.28</v>
      </c>
      <c r="L2891">
        <v>1.28</v>
      </c>
      <c r="M2891">
        <v>14432</v>
      </c>
      <c r="N2891" t="s">
        <v>75</v>
      </c>
      <c r="O2891">
        <v>250813</v>
      </c>
      <c r="P2891">
        <v>5</v>
      </c>
    </row>
    <row r="2892" spans="1:16" x14ac:dyDescent="0.25">
      <c r="A2892" t="s">
        <v>3296</v>
      </c>
      <c r="B2892" t="s">
        <v>2931</v>
      </c>
      <c r="C2892">
        <v>12075</v>
      </c>
      <c r="D2892" t="str">
        <f>"AM00973021  "</f>
        <v xml:space="preserve">AM00973021  </v>
      </c>
      <c r="E2892" t="s">
        <v>2834</v>
      </c>
      <c r="F2892" t="s">
        <v>2835</v>
      </c>
      <c r="G2892">
        <v>39.619999999999997</v>
      </c>
      <c r="H2892">
        <v>250831</v>
      </c>
      <c r="I2892">
        <v>4470</v>
      </c>
      <c r="J2892" t="s">
        <v>203</v>
      </c>
      <c r="K2892">
        <v>39.619999999999997</v>
      </c>
      <c r="L2892">
        <v>8.0500000000000007</v>
      </c>
      <c r="M2892">
        <v>14432</v>
      </c>
      <c r="N2892" t="s">
        <v>75</v>
      </c>
      <c r="O2892">
        <v>250916</v>
      </c>
      <c r="P2892">
        <v>31.57</v>
      </c>
    </row>
    <row r="2893" spans="1:16" x14ac:dyDescent="0.25">
      <c r="A2893" t="s">
        <v>3296</v>
      </c>
      <c r="B2893" t="s">
        <v>2931</v>
      </c>
      <c r="C2893">
        <v>13782</v>
      </c>
      <c r="D2893" t="str">
        <f>"AM00983625  "</f>
        <v xml:space="preserve">AM00983625  </v>
      </c>
      <c r="E2893" t="s">
        <v>2834</v>
      </c>
      <c r="F2893" t="s">
        <v>2835</v>
      </c>
      <c r="G2893">
        <v>48.67</v>
      </c>
      <c r="H2893">
        <v>251001</v>
      </c>
      <c r="I2893">
        <v>4470</v>
      </c>
      <c r="J2893" t="s">
        <v>203</v>
      </c>
      <c r="K2893">
        <v>48.67</v>
      </c>
      <c r="L2893">
        <v>9.89</v>
      </c>
      <c r="M2893">
        <v>14432</v>
      </c>
      <c r="N2893" t="s">
        <v>75</v>
      </c>
      <c r="O2893">
        <v>251020</v>
      </c>
      <c r="P2893">
        <v>38.78</v>
      </c>
    </row>
    <row r="2894" spans="1:16" x14ac:dyDescent="0.25">
      <c r="A2894" t="s">
        <v>3296</v>
      </c>
      <c r="B2894" t="s">
        <v>2931</v>
      </c>
      <c r="C2894">
        <v>15206</v>
      </c>
      <c r="D2894" t="str">
        <f>"AM00993731  "</f>
        <v xml:space="preserve">AM00993731  </v>
      </c>
      <c r="E2894" t="s">
        <v>2834</v>
      </c>
      <c r="F2894" t="s">
        <v>2835</v>
      </c>
      <c r="G2894">
        <v>72.78</v>
      </c>
      <c r="H2894">
        <v>251031</v>
      </c>
      <c r="I2894">
        <v>4470</v>
      </c>
      <c r="J2894" t="s">
        <v>203</v>
      </c>
      <c r="K2894">
        <v>72.78</v>
      </c>
      <c r="L2894">
        <v>14.79</v>
      </c>
      <c r="M2894">
        <v>14432</v>
      </c>
      <c r="N2894" t="s">
        <v>75</v>
      </c>
      <c r="O2894">
        <v>251114</v>
      </c>
      <c r="P2894">
        <v>57.99</v>
      </c>
    </row>
    <row r="2895" spans="1:16" x14ac:dyDescent="0.25">
      <c r="A2895" t="s">
        <v>3296</v>
      </c>
      <c r="B2895" t="s">
        <v>2931</v>
      </c>
      <c r="C2895">
        <v>16604</v>
      </c>
      <c r="D2895" t="str">
        <f>"AM01003866  "</f>
        <v xml:space="preserve">AM01003866  </v>
      </c>
      <c r="E2895" t="s">
        <v>2834</v>
      </c>
      <c r="F2895" t="s">
        <v>2835</v>
      </c>
      <c r="G2895">
        <v>66.599999999999994</v>
      </c>
      <c r="H2895">
        <v>251130</v>
      </c>
      <c r="I2895">
        <v>4470</v>
      </c>
      <c r="J2895" t="s">
        <v>203</v>
      </c>
      <c r="K2895">
        <v>66.599999999999994</v>
      </c>
      <c r="L2895">
        <v>13.53</v>
      </c>
      <c r="M2895">
        <v>14432</v>
      </c>
      <c r="N2895" t="s">
        <v>75</v>
      </c>
      <c r="O2895">
        <v>251210</v>
      </c>
      <c r="P2895">
        <v>53.07</v>
      </c>
    </row>
    <row r="2896" spans="1:16" x14ac:dyDescent="0.25">
      <c r="A2896" t="s">
        <v>3296</v>
      </c>
      <c r="B2896" t="s">
        <v>2931</v>
      </c>
      <c r="C2896">
        <v>18201</v>
      </c>
      <c r="D2896" t="str">
        <f>"AM01036742  "</f>
        <v xml:space="preserve">AM01036742  </v>
      </c>
      <c r="E2896" t="s">
        <v>2834</v>
      </c>
      <c r="F2896" t="s">
        <v>2835</v>
      </c>
      <c r="G2896">
        <v>40.619999999999997</v>
      </c>
      <c r="H2896">
        <v>251231</v>
      </c>
      <c r="I2896">
        <v>4470</v>
      </c>
      <c r="J2896" t="s">
        <v>203</v>
      </c>
      <c r="K2896">
        <v>40.619999999999997</v>
      </c>
      <c r="L2896">
        <v>8.25</v>
      </c>
      <c r="M2896">
        <v>14432</v>
      </c>
      <c r="N2896" t="s">
        <v>75</v>
      </c>
      <c r="O2896">
        <v>260109</v>
      </c>
      <c r="P2896">
        <v>32.369999999999997</v>
      </c>
    </row>
    <row r="2897" spans="1:16" x14ac:dyDescent="0.25">
      <c r="A2897" t="s">
        <v>3296</v>
      </c>
      <c r="B2897" t="s">
        <v>2931</v>
      </c>
      <c r="C2897">
        <v>2322</v>
      </c>
      <c r="D2897" t="str">
        <f>"CU_2588_2025"</f>
        <v>CU_2588_2025</v>
      </c>
      <c r="E2897" t="s">
        <v>1237</v>
      </c>
      <c r="F2897" t="s">
        <v>1238</v>
      </c>
      <c r="G2897">
        <v>63.29</v>
      </c>
      <c r="H2897">
        <v>250219</v>
      </c>
      <c r="I2897">
        <v>4510</v>
      </c>
      <c r="J2897" t="s">
        <v>240</v>
      </c>
      <c r="K2897">
        <v>63.29</v>
      </c>
      <c r="L2897">
        <v>7.77</v>
      </c>
      <c r="M2897">
        <v>59702</v>
      </c>
      <c r="N2897" t="s">
        <v>45</v>
      </c>
      <c r="O2897">
        <v>250224</v>
      </c>
      <c r="P2897">
        <v>55.52</v>
      </c>
    </row>
    <row r="2898" spans="1:16" x14ac:dyDescent="0.25">
      <c r="A2898" t="s">
        <v>3296</v>
      </c>
      <c r="B2898" t="s">
        <v>2931</v>
      </c>
      <c r="C2898">
        <v>13691</v>
      </c>
      <c r="D2898" t="str">
        <f>"84358041    "</f>
        <v xml:space="preserve">84358041    </v>
      </c>
      <c r="E2898" t="s">
        <v>1237</v>
      </c>
      <c r="F2898" t="s">
        <v>1238</v>
      </c>
      <c r="G2898">
        <v>314.60000000000002</v>
      </c>
      <c r="H2898">
        <v>250930</v>
      </c>
      <c r="I2898">
        <v>4510</v>
      </c>
      <c r="J2898" t="s">
        <v>240</v>
      </c>
      <c r="K2898">
        <v>943.8</v>
      </c>
      <c r="L2898">
        <v>28.6</v>
      </c>
      <c r="M2898">
        <v>11601</v>
      </c>
      <c r="N2898" t="s">
        <v>12</v>
      </c>
      <c r="O2898">
        <v>251015</v>
      </c>
      <c r="P2898">
        <v>286</v>
      </c>
    </row>
    <row r="2899" spans="1:16" x14ac:dyDescent="0.25">
      <c r="A2899" t="s">
        <v>3296</v>
      </c>
      <c r="B2899" t="s">
        <v>2931</v>
      </c>
      <c r="C2899">
        <v>11953</v>
      </c>
      <c r="D2899" t="str">
        <f>"BI020250056 "</f>
        <v xml:space="preserve">BI020250056 </v>
      </c>
      <c r="E2899" t="s">
        <v>3268</v>
      </c>
      <c r="G2899">
        <v>2250</v>
      </c>
      <c r="H2899">
        <v>250911</v>
      </c>
      <c r="I2899">
        <v>4410</v>
      </c>
      <c r="J2899" t="s">
        <v>165</v>
      </c>
      <c r="K2899">
        <v>2540</v>
      </c>
      <c r="L2899">
        <v>0</v>
      </c>
      <c r="M2899">
        <v>11902</v>
      </c>
      <c r="N2899" t="s">
        <v>329</v>
      </c>
      <c r="O2899">
        <v>250912</v>
      </c>
      <c r="P2899">
        <v>2250</v>
      </c>
    </row>
    <row r="2900" spans="1:16" x14ac:dyDescent="0.25">
      <c r="A2900" t="s">
        <v>3296</v>
      </c>
      <c r="B2900" t="s">
        <v>2931</v>
      </c>
      <c r="C2900">
        <v>11953</v>
      </c>
      <c r="D2900" t="str">
        <f>"BI020250056 "</f>
        <v xml:space="preserve">BI020250056 </v>
      </c>
      <c r="E2900" t="s">
        <v>3268</v>
      </c>
      <c r="G2900">
        <v>90</v>
      </c>
      <c r="H2900">
        <v>250911</v>
      </c>
      <c r="I2900">
        <v>4420</v>
      </c>
      <c r="J2900" t="s">
        <v>330</v>
      </c>
      <c r="K2900">
        <v>2540</v>
      </c>
      <c r="L2900">
        <v>0</v>
      </c>
      <c r="M2900">
        <v>11902</v>
      </c>
      <c r="N2900" t="s">
        <v>329</v>
      </c>
      <c r="O2900">
        <v>250912</v>
      </c>
      <c r="P2900">
        <v>90</v>
      </c>
    </row>
    <row r="2901" spans="1:16" x14ac:dyDescent="0.25">
      <c r="A2901" t="s">
        <v>3296</v>
      </c>
      <c r="B2901" t="s">
        <v>2931</v>
      </c>
      <c r="C2901">
        <v>11953</v>
      </c>
      <c r="D2901" t="str">
        <f>"BI020250056 "</f>
        <v xml:space="preserve">BI020250056 </v>
      </c>
      <c r="E2901" t="s">
        <v>3268</v>
      </c>
      <c r="G2901">
        <v>200</v>
      </c>
      <c r="H2901">
        <v>250911</v>
      </c>
      <c r="I2901">
        <v>4440</v>
      </c>
      <c r="J2901" t="s">
        <v>346</v>
      </c>
      <c r="K2901">
        <v>2540</v>
      </c>
      <c r="L2901">
        <v>0</v>
      </c>
      <c r="M2901">
        <v>11902</v>
      </c>
      <c r="N2901" t="s">
        <v>329</v>
      </c>
      <c r="O2901">
        <v>250912</v>
      </c>
      <c r="P2901">
        <v>200</v>
      </c>
    </row>
    <row r="2902" spans="1:16" x14ac:dyDescent="0.25">
      <c r="A2902" t="s">
        <v>3296</v>
      </c>
      <c r="B2902" t="s">
        <v>2931</v>
      </c>
      <c r="C2902">
        <v>4859</v>
      </c>
      <c r="D2902" t="str">
        <f>"BIO20250026 "</f>
        <v xml:space="preserve">BIO20250026 </v>
      </c>
      <c r="E2902" t="s">
        <v>3235</v>
      </c>
      <c r="F2902" t="s">
        <v>3236</v>
      </c>
      <c r="G2902">
        <v>2400</v>
      </c>
      <c r="H2902">
        <v>250404</v>
      </c>
      <c r="I2902">
        <v>4410</v>
      </c>
      <c r="J2902" t="s">
        <v>165</v>
      </c>
      <c r="K2902">
        <v>3705</v>
      </c>
      <c r="L2902">
        <v>0</v>
      </c>
      <c r="M2902">
        <v>11902</v>
      </c>
      <c r="N2902" t="s">
        <v>329</v>
      </c>
      <c r="O2902">
        <v>250416</v>
      </c>
      <c r="P2902">
        <v>2400</v>
      </c>
    </row>
    <row r="2903" spans="1:16" x14ac:dyDescent="0.25">
      <c r="A2903" t="s">
        <v>3296</v>
      </c>
      <c r="B2903" t="s">
        <v>2931</v>
      </c>
      <c r="C2903">
        <v>4859</v>
      </c>
      <c r="D2903" t="str">
        <f>"BIO20250026 "</f>
        <v xml:space="preserve">BIO20250026 </v>
      </c>
      <c r="E2903" t="s">
        <v>3235</v>
      </c>
      <c r="F2903" t="s">
        <v>3236</v>
      </c>
      <c r="G2903">
        <v>180</v>
      </c>
      <c r="H2903">
        <v>250404</v>
      </c>
      <c r="I2903">
        <v>4420</v>
      </c>
      <c r="J2903" t="s">
        <v>330</v>
      </c>
      <c r="K2903">
        <v>3705</v>
      </c>
      <c r="L2903">
        <v>0</v>
      </c>
      <c r="M2903">
        <v>11902</v>
      </c>
      <c r="N2903" t="s">
        <v>329</v>
      </c>
      <c r="O2903">
        <v>250416</v>
      </c>
      <c r="P2903">
        <v>180</v>
      </c>
    </row>
    <row r="2904" spans="1:16" x14ac:dyDescent="0.25">
      <c r="A2904" t="s">
        <v>3296</v>
      </c>
      <c r="B2904" t="s">
        <v>2931</v>
      </c>
      <c r="C2904">
        <v>4859</v>
      </c>
      <c r="D2904" t="str">
        <f>"BIO20250026 "</f>
        <v xml:space="preserve">BIO20250026 </v>
      </c>
      <c r="E2904" t="s">
        <v>3235</v>
      </c>
      <c r="F2904" t="s">
        <v>3236</v>
      </c>
      <c r="G2904">
        <v>600</v>
      </c>
      <c r="H2904">
        <v>250404</v>
      </c>
      <c r="I2904">
        <v>4440</v>
      </c>
      <c r="J2904" t="s">
        <v>346</v>
      </c>
      <c r="K2904">
        <v>3705</v>
      </c>
      <c r="L2904">
        <v>0</v>
      </c>
      <c r="M2904">
        <v>11902</v>
      </c>
      <c r="N2904" t="s">
        <v>329</v>
      </c>
      <c r="O2904">
        <v>250416</v>
      </c>
      <c r="P2904">
        <v>600</v>
      </c>
    </row>
    <row r="2905" spans="1:16" x14ac:dyDescent="0.25">
      <c r="A2905" t="s">
        <v>3296</v>
      </c>
      <c r="B2905" t="s">
        <v>2931</v>
      </c>
      <c r="C2905">
        <v>4859</v>
      </c>
      <c r="D2905" t="str">
        <f>"BIO20250026 "</f>
        <v xml:space="preserve">BIO20250026 </v>
      </c>
      <c r="E2905" t="s">
        <v>3235</v>
      </c>
      <c r="F2905" t="s">
        <v>3236</v>
      </c>
      <c r="G2905">
        <v>525</v>
      </c>
      <c r="H2905">
        <v>250404</v>
      </c>
      <c r="I2905">
        <v>4440</v>
      </c>
      <c r="J2905" t="s">
        <v>346</v>
      </c>
      <c r="K2905">
        <v>3705</v>
      </c>
      <c r="L2905">
        <v>0</v>
      </c>
      <c r="M2905">
        <v>11902</v>
      </c>
      <c r="N2905" t="s">
        <v>329</v>
      </c>
      <c r="O2905">
        <v>250416</v>
      </c>
      <c r="P2905">
        <v>525</v>
      </c>
    </row>
    <row r="2906" spans="1:16" x14ac:dyDescent="0.25">
      <c r="A2906" t="s">
        <v>3296</v>
      </c>
      <c r="B2906" t="s">
        <v>2931</v>
      </c>
      <c r="C2906">
        <v>12610</v>
      </c>
      <c r="D2906" t="str">
        <f>"1520554     "</f>
        <v xml:space="preserve">1520554     </v>
      </c>
      <c r="E2906" t="s">
        <v>1980</v>
      </c>
      <c r="F2906" t="s">
        <v>1981</v>
      </c>
      <c r="G2906">
        <v>1017.81</v>
      </c>
      <c r="H2906">
        <v>250918</v>
      </c>
      <c r="I2906">
        <v>4380</v>
      </c>
      <c r="J2906" t="s">
        <v>211</v>
      </c>
      <c r="K2906">
        <v>1017.81</v>
      </c>
      <c r="L2906">
        <v>206.81</v>
      </c>
      <c r="M2906">
        <v>17952</v>
      </c>
      <c r="N2906" t="s">
        <v>157</v>
      </c>
      <c r="O2906">
        <v>250926</v>
      </c>
      <c r="P2906">
        <v>811</v>
      </c>
    </row>
    <row r="2907" spans="1:16" x14ac:dyDescent="0.25">
      <c r="A2907" t="s">
        <v>3296</v>
      </c>
      <c r="B2907" t="s">
        <v>2931</v>
      </c>
      <c r="C2907">
        <v>7560</v>
      </c>
      <c r="D2907" t="str">
        <f>"1510555     "</f>
        <v xml:space="preserve">1510555     </v>
      </c>
      <c r="E2907" t="s">
        <v>1980</v>
      </c>
      <c r="F2907" t="s">
        <v>1981</v>
      </c>
      <c r="G2907">
        <v>773.71</v>
      </c>
      <c r="H2907">
        <v>250526</v>
      </c>
      <c r="I2907">
        <v>4470</v>
      </c>
      <c r="J2907" t="s">
        <v>203</v>
      </c>
      <c r="K2907">
        <v>773.71</v>
      </c>
      <c r="L2907">
        <v>157.21</v>
      </c>
      <c r="M2907">
        <v>17737</v>
      </c>
      <c r="N2907" t="s">
        <v>156</v>
      </c>
      <c r="O2907">
        <v>250604</v>
      </c>
      <c r="P2907">
        <v>616.5</v>
      </c>
    </row>
    <row r="2908" spans="1:16" x14ac:dyDescent="0.25">
      <c r="A2908" t="s">
        <v>3296</v>
      </c>
      <c r="B2908" t="s">
        <v>2931</v>
      </c>
      <c r="C2908">
        <v>10022</v>
      </c>
      <c r="D2908" t="str">
        <f>"210190810   "</f>
        <v xml:space="preserve">210190810   </v>
      </c>
      <c r="E2908" t="s">
        <v>3256</v>
      </c>
      <c r="F2908" t="s">
        <v>3257</v>
      </c>
      <c r="G2908">
        <v>366.5</v>
      </c>
      <c r="H2908">
        <v>250701</v>
      </c>
      <c r="I2908">
        <v>4410</v>
      </c>
      <c r="J2908" t="s">
        <v>165</v>
      </c>
      <c r="K2908">
        <v>1734.82</v>
      </c>
      <c r="L2908">
        <v>0</v>
      </c>
      <c r="M2908">
        <v>11941</v>
      </c>
      <c r="N2908" t="s">
        <v>426</v>
      </c>
      <c r="O2908">
        <v>250808</v>
      </c>
      <c r="P2908">
        <v>366.5</v>
      </c>
    </row>
    <row r="2909" spans="1:16" x14ac:dyDescent="0.25">
      <c r="A2909" t="s">
        <v>3296</v>
      </c>
      <c r="B2909" t="s">
        <v>2931</v>
      </c>
      <c r="C2909">
        <v>10022</v>
      </c>
      <c r="D2909" t="str">
        <f>"210190810   "</f>
        <v xml:space="preserve">210190810   </v>
      </c>
      <c r="E2909" t="s">
        <v>3256</v>
      </c>
      <c r="F2909" t="s">
        <v>3257</v>
      </c>
      <c r="G2909">
        <v>1368.32</v>
      </c>
      <c r="H2909">
        <v>250701</v>
      </c>
      <c r="I2909">
        <v>4440</v>
      </c>
      <c r="J2909" t="s">
        <v>346</v>
      </c>
      <c r="K2909">
        <v>1734.82</v>
      </c>
      <c r="L2909">
        <v>0</v>
      </c>
      <c r="M2909">
        <v>11941</v>
      </c>
      <c r="N2909" t="s">
        <v>426</v>
      </c>
      <c r="O2909">
        <v>250808</v>
      </c>
      <c r="P2909">
        <v>1368.32</v>
      </c>
    </row>
    <row r="2910" spans="1:16" x14ac:dyDescent="0.25">
      <c r="A2910" t="s">
        <v>3296</v>
      </c>
      <c r="B2910" t="s">
        <v>2931</v>
      </c>
      <c r="C2910">
        <v>17669</v>
      </c>
      <c r="D2910" t="str">
        <f>"13751       "</f>
        <v xml:space="preserve">13751       </v>
      </c>
      <c r="E2910" t="s">
        <v>524</v>
      </c>
      <c r="F2910" t="s">
        <v>525</v>
      </c>
      <c r="G2910">
        <v>475.39</v>
      </c>
      <c r="H2910">
        <v>251219</v>
      </c>
      <c r="I2910">
        <v>4590</v>
      </c>
      <c r="J2910" t="s">
        <v>388</v>
      </c>
      <c r="K2910">
        <v>1276.9000000000001</v>
      </c>
      <c r="L2910">
        <v>96.59</v>
      </c>
      <c r="M2910">
        <v>66756</v>
      </c>
      <c r="N2910" t="s">
        <v>120</v>
      </c>
      <c r="O2910">
        <v>251229</v>
      </c>
      <c r="P2910">
        <v>378.8</v>
      </c>
    </row>
    <row r="2911" spans="1:16" x14ac:dyDescent="0.25">
      <c r="A2911" t="s">
        <v>3296</v>
      </c>
      <c r="B2911" t="s">
        <v>2931</v>
      </c>
      <c r="C2911">
        <v>17669</v>
      </c>
      <c r="D2911" t="str">
        <f>"13751       "</f>
        <v xml:space="preserve">13751       </v>
      </c>
      <c r="E2911" t="s">
        <v>524</v>
      </c>
      <c r="F2911" t="s">
        <v>525</v>
      </c>
      <c r="G2911">
        <v>801.51</v>
      </c>
      <c r="H2911">
        <v>251219</v>
      </c>
      <c r="I2911">
        <v>4590</v>
      </c>
      <c r="J2911" t="s">
        <v>388</v>
      </c>
      <c r="K2911">
        <v>1276.9000000000001</v>
      </c>
      <c r="L2911">
        <v>162.86000000000001</v>
      </c>
      <c r="M2911">
        <v>67554</v>
      </c>
      <c r="N2911" t="s">
        <v>317</v>
      </c>
      <c r="O2911">
        <v>251229</v>
      </c>
      <c r="P2911">
        <v>638.65</v>
      </c>
    </row>
    <row r="2912" spans="1:16" x14ac:dyDescent="0.25">
      <c r="A2912" t="s">
        <v>3296</v>
      </c>
      <c r="B2912" t="s">
        <v>2931</v>
      </c>
      <c r="C2912">
        <v>449</v>
      </c>
      <c r="D2912" t="str">
        <f>"11441       "</f>
        <v xml:space="preserve">11441       </v>
      </c>
      <c r="E2912" t="s">
        <v>524</v>
      </c>
      <c r="F2912" t="s">
        <v>525</v>
      </c>
      <c r="G2912">
        <v>466.87</v>
      </c>
      <c r="H2912">
        <v>250121</v>
      </c>
      <c r="I2912">
        <v>4600</v>
      </c>
      <c r="J2912" t="s">
        <v>278</v>
      </c>
      <c r="K2912">
        <v>466.87</v>
      </c>
      <c r="L2912">
        <v>94.86</v>
      </c>
      <c r="M2912">
        <v>67522</v>
      </c>
      <c r="N2912" t="s">
        <v>121</v>
      </c>
      <c r="O2912">
        <v>250122</v>
      </c>
      <c r="P2912">
        <v>372.01</v>
      </c>
    </row>
    <row r="2913" spans="1:16" x14ac:dyDescent="0.25">
      <c r="A2913" t="s">
        <v>3296</v>
      </c>
      <c r="B2913" t="s">
        <v>2931</v>
      </c>
      <c r="C2913">
        <v>994</v>
      </c>
      <c r="D2913" t="str">
        <f>"11496       "</f>
        <v xml:space="preserve">11496       </v>
      </c>
      <c r="E2913" t="s">
        <v>524</v>
      </c>
      <c r="F2913" t="s">
        <v>525</v>
      </c>
      <c r="G2913">
        <v>99</v>
      </c>
      <c r="H2913">
        <v>250130</v>
      </c>
      <c r="I2913">
        <v>4600</v>
      </c>
      <c r="J2913" t="s">
        <v>278</v>
      </c>
      <c r="K2913">
        <v>99</v>
      </c>
      <c r="L2913">
        <v>20.12</v>
      </c>
      <c r="M2913">
        <v>66756</v>
      </c>
      <c r="N2913" t="s">
        <v>120</v>
      </c>
      <c r="O2913">
        <v>250131</v>
      </c>
      <c r="P2913">
        <v>78.88</v>
      </c>
    </row>
    <row r="2914" spans="1:16" x14ac:dyDescent="0.25">
      <c r="A2914" t="s">
        <v>3296</v>
      </c>
      <c r="B2914" t="s">
        <v>2931</v>
      </c>
      <c r="C2914">
        <v>7671</v>
      </c>
      <c r="D2914" t="str">
        <f>"378         "</f>
        <v xml:space="preserve">378         </v>
      </c>
      <c r="E2914" t="s">
        <v>1984</v>
      </c>
      <c r="F2914" t="s">
        <v>1985</v>
      </c>
      <c r="G2914">
        <v>403</v>
      </c>
      <c r="H2914">
        <v>250514</v>
      </c>
      <c r="I2914">
        <v>4600</v>
      </c>
      <c r="J2914" t="s">
        <v>278</v>
      </c>
      <c r="K2914">
        <v>403</v>
      </c>
      <c r="L2914">
        <v>81.88</v>
      </c>
      <c r="M2914">
        <v>59501</v>
      </c>
      <c r="N2914" t="s">
        <v>62</v>
      </c>
      <c r="O2914">
        <v>250606</v>
      </c>
      <c r="P2914">
        <v>321.12</v>
      </c>
    </row>
    <row r="2915" spans="1:16" x14ac:dyDescent="0.25">
      <c r="A2915" t="s">
        <v>3296</v>
      </c>
      <c r="B2915" t="s">
        <v>2931</v>
      </c>
      <c r="C2915">
        <v>9568</v>
      </c>
      <c r="D2915" t="str">
        <f>"380         "</f>
        <v xml:space="preserve">380         </v>
      </c>
      <c r="E2915" t="s">
        <v>1984</v>
      </c>
      <c r="F2915" t="s">
        <v>1985</v>
      </c>
      <c r="G2915">
        <v>403</v>
      </c>
      <c r="H2915">
        <v>250620</v>
      </c>
      <c r="I2915">
        <v>4600</v>
      </c>
      <c r="J2915" t="s">
        <v>278</v>
      </c>
      <c r="K2915">
        <v>403</v>
      </c>
      <c r="L2915">
        <v>81.88</v>
      </c>
      <c r="M2915">
        <v>59501</v>
      </c>
      <c r="N2915" t="s">
        <v>62</v>
      </c>
      <c r="O2915">
        <v>250721</v>
      </c>
      <c r="P2915">
        <v>321.12</v>
      </c>
    </row>
    <row r="2916" spans="1:16" x14ac:dyDescent="0.25">
      <c r="A2916" t="s">
        <v>3296</v>
      </c>
      <c r="B2916" t="s">
        <v>2931</v>
      </c>
      <c r="C2916">
        <v>1526</v>
      </c>
      <c r="D2916" t="str">
        <f>"10342       "</f>
        <v xml:space="preserve">10342       </v>
      </c>
      <c r="E2916" t="s">
        <v>1021</v>
      </c>
      <c r="F2916" t="s">
        <v>1022</v>
      </c>
      <c r="G2916">
        <v>14615.73</v>
      </c>
      <c r="H2916">
        <v>250128</v>
      </c>
      <c r="I2916">
        <v>4400</v>
      </c>
      <c r="J2916" t="s">
        <v>162</v>
      </c>
      <c r="K2916">
        <v>14615.73</v>
      </c>
      <c r="L2916">
        <v>2969.73</v>
      </c>
      <c r="M2916">
        <v>67554</v>
      </c>
      <c r="N2916" t="s">
        <v>317</v>
      </c>
      <c r="O2916">
        <v>250211</v>
      </c>
      <c r="P2916">
        <v>11646</v>
      </c>
    </row>
    <row r="2917" spans="1:16" x14ac:dyDescent="0.25">
      <c r="A2917" t="s">
        <v>3296</v>
      </c>
      <c r="B2917" t="s">
        <v>2931</v>
      </c>
      <c r="C2917">
        <v>9261</v>
      </c>
      <c r="D2917" t="str">
        <f>"10375       "</f>
        <v xml:space="preserve">10375       </v>
      </c>
      <c r="E2917" t="s">
        <v>1021</v>
      </c>
      <c r="F2917" t="s">
        <v>1022</v>
      </c>
      <c r="G2917">
        <v>1568.75</v>
      </c>
      <c r="H2917">
        <v>250626</v>
      </c>
      <c r="I2917">
        <v>4400</v>
      </c>
      <c r="J2917" t="s">
        <v>162</v>
      </c>
      <c r="K2917">
        <v>1568.75</v>
      </c>
      <c r="L2917">
        <v>318.75</v>
      </c>
      <c r="M2917">
        <v>67554</v>
      </c>
      <c r="N2917" t="s">
        <v>317</v>
      </c>
      <c r="O2917">
        <v>250701</v>
      </c>
      <c r="P2917">
        <v>1250</v>
      </c>
    </row>
    <row r="2918" spans="1:16" x14ac:dyDescent="0.25">
      <c r="A2918" t="s">
        <v>3296</v>
      </c>
      <c r="B2918" t="s">
        <v>2931</v>
      </c>
      <c r="C2918">
        <v>5859</v>
      </c>
      <c r="D2918" t="str">
        <f>"VA25005346  "</f>
        <v xml:space="preserve">VA25005346  </v>
      </c>
      <c r="E2918" t="s">
        <v>1807</v>
      </c>
      <c r="F2918" t="s">
        <v>1808</v>
      </c>
      <c r="G2918">
        <v>4329.75</v>
      </c>
      <c r="H2918">
        <v>250424</v>
      </c>
      <c r="I2918">
        <v>1198</v>
      </c>
      <c r="J2918" t="s">
        <v>610</v>
      </c>
      <c r="K2918">
        <v>4329.75</v>
      </c>
      <c r="L2918">
        <v>879.75</v>
      </c>
      <c r="M2918">
        <v>97628</v>
      </c>
      <c r="N2918" t="s">
        <v>737</v>
      </c>
      <c r="O2918">
        <v>250505</v>
      </c>
      <c r="P2918">
        <v>3450</v>
      </c>
    </row>
    <row r="2919" spans="1:16" x14ac:dyDescent="0.25">
      <c r="A2919" t="s">
        <v>3296</v>
      </c>
      <c r="B2919" t="s">
        <v>2931</v>
      </c>
      <c r="C2919">
        <v>12925</v>
      </c>
      <c r="D2919" t="str">
        <f>"67010789    "</f>
        <v xml:space="preserve">67010789    </v>
      </c>
      <c r="E2919" t="s">
        <v>2406</v>
      </c>
      <c r="F2919" t="s">
        <v>2407</v>
      </c>
      <c r="G2919">
        <v>413.68</v>
      </c>
      <c r="H2919">
        <v>250926</v>
      </c>
      <c r="I2919">
        <v>4600</v>
      </c>
      <c r="J2919" t="s">
        <v>278</v>
      </c>
      <c r="K2919">
        <v>413.68</v>
      </c>
      <c r="L2919">
        <v>84.05</v>
      </c>
      <c r="M2919">
        <v>46555</v>
      </c>
      <c r="N2919" t="s">
        <v>103</v>
      </c>
      <c r="O2919">
        <v>251002</v>
      </c>
      <c r="P2919">
        <v>329.63</v>
      </c>
    </row>
    <row r="2920" spans="1:16" x14ac:dyDescent="0.25">
      <c r="A2920" t="s">
        <v>3296</v>
      </c>
      <c r="B2920" t="s">
        <v>2931</v>
      </c>
      <c r="C2920">
        <v>1277</v>
      </c>
      <c r="D2920" t="str">
        <f>"6135506558  "</f>
        <v xml:space="preserve">6135506558  </v>
      </c>
      <c r="E2920" t="s">
        <v>929</v>
      </c>
      <c r="F2920" t="s">
        <v>930</v>
      </c>
      <c r="G2920">
        <v>37.21</v>
      </c>
      <c r="H2920">
        <v>250131</v>
      </c>
      <c r="I2920">
        <v>4572</v>
      </c>
      <c r="J2920" t="s">
        <v>173</v>
      </c>
      <c r="K2920">
        <v>744.08</v>
      </c>
      <c r="L2920">
        <v>7.56</v>
      </c>
      <c r="M2920">
        <v>17737</v>
      </c>
      <c r="N2920" t="s">
        <v>156</v>
      </c>
      <c r="O2920">
        <v>250206</v>
      </c>
      <c r="P2920">
        <v>29.65</v>
      </c>
    </row>
    <row r="2921" spans="1:16" x14ac:dyDescent="0.25">
      <c r="A2921" t="s">
        <v>3296</v>
      </c>
      <c r="B2921" t="s">
        <v>2931</v>
      </c>
      <c r="C2921">
        <v>1277</v>
      </c>
      <c r="D2921" t="str">
        <f>"6135506558  "</f>
        <v xml:space="preserve">6135506558  </v>
      </c>
      <c r="E2921" t="s">
        <v>929</v>
      </c>
      <c r="F2921" t="s">
        <v>930</v>
      </c>
      <c r="G2921">
        <v>494.81</v>
      </c>
      <c r="H2921">
        <v>250131</v>
      </c>
      <c r="I2921">
        <v>4572</v>
      </c>
      <c r="J2921" t="s">
        <v>173</v>
      </c>
      <c r="K2921">
        <v>744.08</v>
      </c>
      <c r="L2921">
        <v>100.54</v>
      </c>
      <c r="M2921">
        <v>17737</v>
      </c>
      <c r="N2921" t="s">
        <v>156</v>
      </c>
      <c r="O2921">
        <v>250206</v>
      </c>
      <c r="P2921">
        <v>394.27</v>
      </c>
    </row>
    <row r="2922" spans="1:16" x14ac:dyDescent="0.25">
      <c r="A2922" t="s">
        <v>3296</v>
      </c>
      <c r="B2922" t="s">
        <v>2931</v>
      </c>
      <c r="C2922">
        <v>1277</v>
      </c>
      <c r="D2922" t="str">
        <f>"6135506558  "</f>
        <v xml:space="preserve">6135506558  </v>
      </c>
      <c r="E2922" t="s">
        <v>929</v>
      </c>
      <c r="F2922" t="s">
        <v>930</v>
      </c>
      <c r="G2922">
        <v>212.06</v>
      </c>
      <c r="H2922">
        <v>250131</v>
      </c>
      <c r="I2922">
        <v>4572</v>
      </c>
      <c r="J2922" t="s">
        <v>173</v>
      </c>
      <c r="K2922">
        <v>744.08</v>
      </c>
      <c r="L2922">
        <v>43.09</v>
      </c>
      <c r="M2922">
        <v>17739</v>
      </c>
      <c r="N2922" t="s">
        <v>928</v>
      </c>
      <c r="O2922">
        <v>250206</v>
      </c>
      <c r="P2922">
        <v>168.97</v>
      </c>
    </row>
    <row r="2923" spans="1:16" x14ac:dyDescent="0.25">
      <c r="A2923" t="s">
        <v>3296</v>
      </c>
      <c r="B2923" t="s">
        <v>2931</v>
      </c>
      <c r="C2923">
        <v>1279</v>
      </c>
      <c r="D2923" t="str">
        <f>"6135625297  "</f>
        <v xml:space="preserve">6135625297  </v>
      </c>
      <c r="E2923" t="s">
        <v>929</v>
      </c>
      <c r="F2923" t="s">
        <v>930</v>
      </c>
      <c r="G2923">
        <v>110.66</v>
      </c>
      <c r="H2923">
        <v>250131</v>
      </c>
      <c r="I2923">
        <v>4572</v>
      </c>
      <c r="J2923" t="s">
        <v>173</v>
      </c>
      <c r="K2923">
        <v>3688.53</v>
      </c>
      <c r="L2923">
        <v>22.48</v>
      </c>
      <c r="M2923">
        <v>17739</v>
      </c>
      <c r="N2923" t="s">
        <v>928</v>
      </c>
      <c r="O2923">
        <v>250206</v>
      </c>
      <c r="P2923">
        <v>88.18</v>
      </c>
    </row>
    <row r="2924" spans="1:16" x14ac:dyDescent="0.25">
      <c r="A2924" t="s">
        <v>3296</v>
      </c>
      <c r="B2924" t="s">
        <v>2931</v>
      </c>
      <c r="C2924">
        <v>1279</v>
      </c>
      <c r="D2924" t="str">
        <f>"6135625297  "</f>
        <v xml:space="preserve">6135625297  </v>
      </c>
      <c r="E2924" t="s">
        <v>929</v>
      </c>
      <c r="F2924" t="s">
        <v>930</v>
      </c>
      <c r="G2924">
        <v>1217.21</v>
      </c>
      <c r="H2924">
        <v>250131</v>
      </c>
      <c r="I2924">
        <v>4572</v>
      </c>
      <c r="J2924" t="s">
        <v>173</v>
      </c>
      <c r="K2924">
        <v>3688.53</v>
      </c>
      <c r="L2924">
        <v>247.32</v>
      </c>
      <c r="M2924">
        <v>17912</v>
      </c>
      <c r="N2924" t="s">
        <v>505</v>
      </c>
      <c r="O2924">
        <v>250206</v>
      </c>
      <c r="P2924">
        <v>969.89</v>
      </c>
    </row>
    <row r="2925" spans="1:16" x14ac:dyDescent="0.25">
      <c r="A2925" t="s">
        <v>3296</v>
      </c>
      <c r="B2925" t="s">
        <v>2931</v>
      </c>
      <c r="C2925">
        <v>1279</v>
      </c>
      <c r="D2925" t="str">
        <f>"6135625297  "</f>
        <v xml:space="preserve">6135625297  </v>
      </c>
      <c r="E2925" t="s">
        <v>929</v>
      </c>
      <c r="F2925" t="s">
        <v>930</v>
      </c>
      <c r="G2925">
        <v>2360.66</v>
      </c>
      <c r="H2925">
        <v>250131</v>
      </c>
      <c r="I2925">
        <v>4572</v>
      </c>
      <c r="J2925" t="s">
        <v>173</v>
      </c>
      <c r="K2925">
        <v>3688.53</v>
      </c>
      <c r="L2925">
        <v>479.66</v>
      </c>
      <c r="M2925">
        <v>17952</v>
      </c>
      <c r="N2925" t="s">
        <v>157</v>
      </c>
      <c r="O2925">
        <v>250206</v>
      </c>
      <c r="P2925">
        <v>1881</v>
      </c>
    </row>
    <row r="2926" spans="1:16" x14ac:dyDescent="0.25">
      <c r="A2926" t="s">
        <v>3296</v>
      </c>
      <c r="B2926" t="s">
        <v>2931</v>
      </c>
      <c r="C2926">
        <v>1357</v>
      </c>
      <c r="D2926" t="str">
        <f>"6135541461  "</f>
        <v xml:space="preserve">6135541461  </v>
      </c>
      <c r="E2926" t="s">
        <v>929</v>
      </c>
      <c r="F2926" t="s">
        <v>930</v>
      </c>
      <c r="G2926">
        <v>140.33000000000001</v>
      </c>
      <c r="H2926">
        <v>250131</v>
      </c>
      <c r="I2926">
        <v>4572</v>
      </c>
      <c r="J2926" t="s">
        <v>173</v>
      </c>
      <c r="K2926">
        <v>4677.82</v>
      </c>
      <c r="L2926">
        <v>28.51</v>
      </c>
      <c r="M2926">
        <v>49111</v>
      </c>
      <c r="N2926" t="s">
        <v>108</v>
      </c>
      <c r="O2926">
        <v>250207</v>
      </c>
      <c r="P2926">
        <v>111.82</v>
      </c>
    </row>
    <row r="2927" spans="1:16" x14ac:dyDescent="0.25">
      <c r="A2927" t="s">
        <v>3296</v>
      </c>
      <c r="B2927" t="s">
        <v>2931</v>
      </c>
      <c r="C2927">
        <v>1357</v>
      </c>
      <c r="D2927" t="str">
        <f>"6135541461  "</f>
        <v xml:space="preserve">6135541461  </v>
      </c>
      <c r="E2927" t="s">
        <v>929</v>
      </c>
      <c r="F2927" t="s">
        <v>930</v>
      </c>
      <c r="G2927">
        <v>4326.9799999999996</v>
      </c>
      <c r="H2927">
        <v>250131</v>
      </c>
      <c r="I2927">
        <v>4572</v>
      </c>
      <c r="J2927" t="s">
        <v>173</v>
      </c>
      <c r="K2927">
        <v>4677.82</v>
      </c>
      <c r="L2927">
        <v>879.19</v>
      </c>
      <c r="M2927">
        <v>49501</v>
      </c>
      <c r="N2927" t="s">
        <v>110</v>
      </c>
      <c r="O2927">
        <v>250207</v>
      </c>
      <c r="P2927">
        <v>3447.79</v>
      </c>
    </row>
    <row r="2928" spans="1:16" x14ac:dyDescent="0.25">
      <c r="A2928" t="s">
        <v>3296</v>
      </c>
      <c r="B2928" t="s">
        <v>2931</v>
      </c>
      <c r="C2928">
        <v>1357</v>
      </c>
      <c r="D2928" t="str">
        <f>"6135541461  "</f>
        <v xml:space="preserve">6135541461  </v>
      </c>
      <c r="E2928" t="s">
        <v>929</v>
      </c>
      <c r="F2928" t="s">
        <v>930</v>
      </c>
      <c r="G2928">
        <v>93.56</v>
      </c>
      <c r="H2928">
        <v>250131</v>
      </c>
      <c r="I2928">
        <v>4572</v>
      </c>
      <c r="J2928" t="s">
        <v>173</v>
      </c>
      <c r="K2928">
        <v>4677.82</v>
      </c>
      <c r="L2928">
        <v>19.010000000000002</v>
      </c>
      <c r="M2928">
        <v>49801</v>
      </c>
      <c r="N2928" t="s">
        <v>953</v>
      </c>
      <c r="O2928">
        <v>250207</v>
      </c>
      <c r="P2928">
        <v>74.55</v>
      </c>
    </row>
    <row r="2929" spans="1:16" x14ac:dyDescent="0.25">
      <c r="A2929" t="s">
        <v>3296</v>
      </c>
      <c r="B2929" t="s">
        <v>2931</v>
      </c>
      <c r="C2929">
        <v>1357</v>
      </c>
      <c r="D2929" t="str">
        <f>"6135541461  "</f>
        <v xml:space="preserve">6135541461  </v>
      </c>
      <c r="E2929" t="s">
        <v>929</v>
      </c>
      <c r="F2929" t="s">
        <v>930</v>
      </c>
      <c r="G2929">
        <v>116.95</v>
      </c>
      <c r="H2929">
        <v>250131</v>
      </c>
      <c r="I2929">
        <v>4572</v>
      </c>
      <c r="J2929" t="s">
        <v>173</v>
      </c>
      <c r="K2929">
        <v>4677.82</v>
      </c>
      <c r="L2929">
        <v>0</v>
      </c>
      <c r="M2929">
        <v>49803</v>
      </c>
      <c r="N2929" t="s">
        <v>956</v>
      </c>
      <c r="O2929">
        <v>250207</v>
      </c>
      <c r="P2929">
        <v>116.95</v>
      </c>
    </row>
    <row r="2930" spans="1:16" x14ac:dyDescent="0.25">
      <c r="A2930" t="s">
        <v>3296</v>
      </c>
      <c r="B2930" t="s">
        <v>2931</v>
      </c>
      <c r="C2930">
        <v>1358</v>
      </c>
      <c r="D2930" t="str">
        <f>"6135554591  "</f>
        <v xml:space="preserve">6135554591  </v>
      </c>
      <c r="E2930" t="s">
        <v>929</v>
      </c>
      <c r="F2930" t="s">
        <v>930</v>
      </c>
      <c r="G2930">
        <v>2197.7199999999998</v>
      </c>
      <c r="H2930">
        <v>250131</v>
      </c>
      <c r="I2930">
        <v>4572</v>
      </c>
      <c r="J2930" t="s">
        <v>173</v>
      </c>
      <c r="K2930">
        <v>2313.39</v>
      </c>
      <c r="L2930">
        <v>446.55</v>
      </c>
      <c r="M2930">
        <v>49501</v>
      </c>
      <c r="N2930" t="s">
        <v>110</v>
      </c>
      <c r="O2930">
        <v>250207</v>
      </c>
      <c r="P2930">
        <v>1751.17</v>
      </c>
    </row>
    <row r="2931" spans="1:16" x14ac:dyDescent="0.25">
      <c r="A2931" t="s">
        <v>3296</v>
      </c>
      <c r="B2931" t="s">
        <v>2931</v>
      </c>
      <c r="C2931">
        <v>1358</v>
      </c>
      <c r="D2931" t="str">
        <f>"6135554591  "</f>
        <v xml:space="preserve">6135554591  </v>
      </c>
      <c r="E2931" t="s">
        <v>929</v>
      </c>
      <c r="F2931" t="s">
        <v>930</v>
      </c>
      <c r="G2931">
        <v>115.67</v>
      </c>
      <c r="H2931">
        <v>250131</v>
      </c>
      <c r="I2931">
        <v>4572</v>
      </c>
      <c r="J2931" t="s">
        <v>173</v>
      </c>
      <c r="K2931">
        <v>2313.39</v>
      </c>
      <c r="L2931">
        <v>23.5</v>
      </c>
      <c r="M2931">
        <v>49801</v>
      </c>
      <c r="N2931" t="s">
        <v>953</v>
      </c>
      <c r="O2931">
        <v>250207</v>
      </c>
      <c r="P2931">
        <v>92.17</v>
      </c>
    </row>
    <row r="2932" spans="1:16" x14ac:dyDescent="0.25">
      <c r="A2932" t="s">
        <v>3296</v>
      </c>
      <c r="B2932" t="s">
        <v>2931</v>
      </c>
      <c r="C2932">
        <v>1483</v>
      </c>
      <c r="D2932" t="str">
        <f>"6135642936  "</f>
        <v xml:space="preserve">6135642936  </v>
      </c>
      <c r="E2932" t="s">
        <v>929</v>
      </c>
      <c r="F2932" t="s">
        <v>930</v>
      </c>
      <c r="G2932">
        <v>98.58</v>
      </c>
      <c r="H2932">
        <v>250131</v>
      </c>
      <c r="I2932">
        <v>4572</v>
      </c>
      <c r="J2932" t="s">
        <v>173</v>
      </c>
      <c r="K2932">
        <v>98.58</v>
      </c>
      <c r="L2932">
        <v>20.03</v>
      </c>
      <c r="M2932">
        <v>17952</v>
      </c>
      <c r="N2932" t="s">
        <v>157</v>
      </c>
      <c r="O2932">
        <v>250210</v>
      </c>
      <c r="P2932">
        <v>78.55</v>
      </c>
    </row>
    <row r="2933" spans="1:16" x14ac:dyDescent="0.25">
      <c r="A2933" t="s">
        <v>3296</v>
      </c>
      <c r="B2933" t="s">
        <v>2931</v>
      </c>
      <c r="C2933">
        <v>3095</v>
      </c>
      <c r="D2933" t="str">
        <f>"6135888487  "</f>
        <v xml:space="preserve">6135888487  </v>
      </c>
      <c r="E2933" t="s">
        <v>929</v>
      </c>
      <c r="F2933" t="s">
        <v>930</v>
      </c>
      <c r="G2933">
        <v>3304.39</v>
      </c>
      <c r="H2933">
        <v>250228</v>
      </c>
      <c r="I2933">
        <v>4572</v>
      </c>
      <c r="J2933" t="s">
        <v>173</v>
      </c>
      <c r="K2933">
        <v>3304.39</v>
      </c>
      <c r="L2933">
        <v>671.41</v>
      </c>
      <c r="M2933">
        <v>49503</v>
      </c>
      <c r="N2933" t="s">
        <v>267</v>
      </c>
      <c r="O2933">
        <v>250314</v>
      </c>
      <c r="P2933">
        <v>2632.98</v>
      </c>
    </row>
    <row r="2934" spans="1:16" x14ac:dyDescent="0.25">
      <c r="A2934" t="s">
        <v>3296</v>
      </c>
      <c r="B2934" t="s">
        <v>2931</v>
      </c>
      <c r="C2934">
        <v>3150</v>
      </c>
      <c r="D2934" t="str">
        <f>"6135917456  "</f>
        <v xml:space="preserve">6135917456  </v>
      </c>
      <c r="E2934" t="s">
        <v>929</v>
      </c>
      <c r="F2934" t="s">
        <v>930</v>
      </c>
      <c r="G2934">
        <v>92.53</v>
      </c>
      <c r="H2934">
        <v>250228</v>
      </c>
      <c r="I2934">
        <v>4572</v>
      </c>
      <c r="J2934" t="s">
        <v>173</v>
      </c>
      <c r="K2934">
        <v>92.53</v>
      </c>
      <c r="L2934">
        <v>18.8</v>
      </c>
      <c r="M2934">
        <v>13841</v>
      </c>
      <c r="N2934" t="s">
        <v>178</v>
      </c>
      <c r="O2934">
        <v>250314</v>
      </c>
      <c r="P2934">
        <v>73.73</v>
      </c>
    </row>
    <row r="2935" spans="1:16" x14ac:dyDescent="0.25">
      <c r="A2935" t="s">
        <v>3296</v>
      </c>
      <c r="B2935" t="s">
        <v>2931</v>
      </c>
      <c r="C2935">
        <v>3166</v>
      </c>
      <c r="D2935" t="str">
        <f>"6135882895  "</f>
        <v xml:space="preserve">6135882895  </v>
      </c>
      <c r="E2935" t="s">
        <v>929</v>
      </c>
      <c r="F2935" t="s">
        <v>930</v>
      </c>
      <c r="G2935">
        <v>32.17</v>
      </c>
      <c r="H2935">
        <v>250228</v>
      </c>
      <c r="I2935">
        <v>4572</v>
      </c>
      <c r="J2935" t="s">
        <v>173</v>
      </c>
      <c r="K2935">
        <v>643.41</v>
      </c>
      <c r="L2935">
        <v>6.54</v>
      </c>
      <c r="M2935">
        <v>17737</v>
      </c>
      <c r="N2935" t="s">
        <v>156</v>
      </c>
      <c r="O2935">
        <v>250314</v>
      </c>
      <c r="P2935">
        <v>25.63</v>
      </c>
    </row>
    <row r="2936" spans="1:16" x14ac:dyDescent="0.25">
      <c r="A2936" t="s">
        <v>3296</v>
      </c>
      <c r="B2936" t="s">
        <v>2931</v>
      </c>
      <c r="C2936">
        <v>3166</v>
      </c>
      <c r="D2936" t="str">
        <f>"6135882895  "</f>
        <v xml:space="preserve">6135882895  </v>
      </c>
      <c r="E2936" t="s">
        <v>929</v>
      </c>
      <c r="F2936" t="s">
        <v>930</v>
      </c>
      <c r="G2936">
        <v>427.87</v>
      </c>
      <c r="H2936">
        <v>250228</v>
      </c>
      <c r="I2936">
        <v>4572</v>
      </c>
      <c r="J2936" t="s">
        <v>173</v>
      </c>
      <c r="K2936">
        <v>643.41</v>
      </c>
      <c r="L2936">
        <v>86.94</v>
      </c>
      <c r="M2936">
        <v>17737</v>
      </c>
      <c r="N2936" t="s">
        <v>156</v>
      </c>
      <c r="O2936">
        <v>250314</v>
      </c>
      <c r="P2936">
        <v>340.93</v>
      </c>
    </row>
    <row r="2937" spans="1:16" x14ac:dyDescent="0.25">
      <c r="A2937" t="s">
        <v>3296</v>
      </c>
      <c r="B2937" t="s">
        <v>2931</v>
      </c>
      <c r="C2937">
        <v>3166</v>
      </c>
      <c r="D2937" t="str">
        <f>"6135882895  "</f>
        <v xml:space="preserve">6135882895  </v>
      </c>
      <c r="E2937" t="s">
        <v>929</v>
      </c>
      <c r="F2937" t="s">
        <v>930</v>
      </c>
      <c r="G2937">
        <v>183.37</v>
      </c>
      <c r="H2937">
        <v>250228</v>
      </c>
      <c r="I2937">
        <v>4572</v>
      </c>
      <c r="J2937" t="s">
        <v>173</v>
      </c>
      <c r="K2937">
        <v>643.41</v>
      </c>
      <c r="L2937">
        <v>37.26</v>
      </c>
      <c r="M2937">
        <v>17739</v>
      </c>
      <c r="N2937" t="s">
        <v>928</v>
      </c>
      <c r="O2937">
        <v>250314</v>
      </c>
      <c r="P2937">
        <v>146.11000000000001</v>
      </c>
    </row>
    <row r="2938" spans="1:16" x14ac:dyDescent="0.25">
      <c r="A2938" t="s">
        <v>3296</v>
      </c>
      <c r="B2938" t="s">
        <v>2931</v>
      </c>
      <c r="C2938">
        <v>3177</v>
      </c>
      <c r="D2938" t="str">
        <f>"6135830574  "</f>
        <v xml:space="preserve">6135830574  </v>
      </c>
      <c r="E2938" t="s">
        <v>929</v>
      </c>
      <c r="F2938" t="s">
        <v>930</v>
      </c>
      <c r="G2938">
        <v>126.61</v>
      </c>
      <c r="H2938">
        <v>250228</v>
      </c>
      <c r="I2938">
        <v>4572</v>
      </c>
      <c r="J2938" t="s">
        <v>173</v>
      </c>
      <c r="K2938">
        <v>4220.3999999999996</v>
      </c>
      <c r="L2938">
        <v>25.73</v>
      </c>
      <c r="M2938">
        <v>49111</v>
      </c>
      <c r="N2938" t="s">
        <v>108</v>
      </c>
      <c r="O2938">
        <v>250314</v>
      </c>
      <c r="P2938">
        <v>100.88</v>
      </c>
    </row>
    <row r="2939" spans="1:16" x14ac:dyDescent="0.25">
      <c r="A2939" t="s">
        <v>3296</v>
      </c>
      <c r="B2939" t="s">
        <v>2931</v>
      </c>
      <c r="C2939">
        <v>3177</v>
      </c>
      <c r="D2939" t="str">
        <f>"6135830574  "</f>
        <v xml:space="preserve">6135830574  </v>
      </c>
      <c r="E2939" t="s">
        <v>929</v>
      </c>
      <c r="F2939" t="s">
        <v>930</v>
      </c>
      <c r="G2939">
        <v>3903.87</v>
      </c>
      <c r="H2939">
        <v>250228</v>
      </c>
      <c r="I2939">
        <v>4572</v>
      </c>
      <c r="J2939" t="s">
        <v>173</v>
      </c>
      <c r="K2939">
        <v>4220.3999999999996</v>
      </c>
      <c r="L2939">
        <v>793.22</v>
      </c>
      <c r="M2939">
        <v>49501</v>
      </c>
      <c r="N2939" t="s">
        <v>110</v>
      </c>
      <c r="O2939">
        <v>250314</v>
      </c>
      <c r="P2939">
        <v>3110.65</v>
      </c>
    </row>
    <row r="2940" spans="1:16" x14ac:dyDescent="0.25">
      <c r="A2940" t="s">
        <v>3296</v>
      </c>
      <c r="B2940" t="s">
        <v>2931</v>
      </c>
      <c r="C2940">
        <v>3177</v>
      </c>
      <c r="D2940" t="str">
        <f>"6135830574  "</f>
        <v xml:space="preserve">6135830574  </v>
      </c>
      <c r="E2940" t="s">
        <v>929</v>
      </c>
      <c r="F2940" t="s">
        <v>930</v>
      </c>
      <c r="G2940">
        <v>84.41</v>
      </c>
      <c r="H2940">
        <v>250228</v>
      </c>
      <c r="I2940">
        <v>4572</v>
      </c>
      <c r="J2940" t="s">
        <v>173</v>
      </c>
      <c r="K2940">
        <v>4220.3999999999996</v>
      </c>
      <c r="L2940">
        <v>17.149999999999999</v>
      </c>
      <c r="M2940">
        <v>49801</v>
      </c>
      <c r="N2940" t="s">
        <v>953</v>
      </c>
      <c r="O2940">
        <v>250314</v>
      </c>
      <c r="P2940">
        <v>67.260000000000005</v>
      </c>
    </row>
    <row r="2941" spans="1:16" x14ac:dyDescent="0.25">
      <c r="A2941" t="s">
        <v>3296</v>
      </c>
      <c r="B2941" t="s">
        <v>2931</v>
      </c>
      <c r="C2941">
        <v>3177</v>
      </c>
      <c r="D2941" t="str">
        <f>"6135830574  "</f>
        <v xml:space="preserve">6135830574  </v>
      </c>
      <c r="E2941" t="s">
        <v>929</v>
      </c>
      <c r="F2941" t="s">
        <v>930</v>
      </c>
      <c r="G2941">
        <v>105.51</v>
      </c>
      <c r="H2941">
        <v>250228</v>
      </c>
      <c r="I2941">
        <v>4572</v>
      </c>
      <c r="J2941" t="s">
        <v>173</v>
      </c>
      <c r="K2941">
        <v>4220.3999999999996</v>
      </c>
      <c r="L2941">
        <v>0</v>
      </c>
      <c r="M2941">
        <v>49803</v>
      </c>
      <c r="N2941" t="s">
        <v>956</v>
      </c>
      <c r="O2941">
        <v>250314</v>
      </c>
      <c r="P2941">
        <v>105.51</v>
      </c>
    </row>
    <row r="2942" spans="1:16" x14ac:dyDescent="0.25">
      <c r="A2942" t="s">
        <v>3296</v>
      </c>
      <c r="B2942" t="s">
        <v>2931</v>
      </c>
      <c r="C2942">
        <v>3205</v>
      </c>
      <c r="D2942" t="str">
        <f>"6135853097  "</f>
        <v xml:space="preserve">6135853097  </v>
      </c>
      <c r="E2942" t="s">
        <v>929</v>
      </c>
      <c r="F2942" t="s">
        <v>930</v>
      </c>
      <c r="G2942">
        <v>91.57</v>
      </c>
      <c r="H2942">
        <v>250228</v>
      </c>
      <c r="I2942">
        <v>4572</v>
      </c>
      <c r="J2942" t="s">
        <v>173</v>
      </c>
      <c r="K2942">
        <v>3052.44</v>
      </c>
      <c r="L2942">
        <v>18.61</v>
      </c>
      <c r="M2942">
        <v>17739</v>
      </c>
      <c r="N2942" t="s">
        <v>928</v>
      </c>
      <c r="O2942">
        <v>250317</v>
      </c>
      <c r="P2942">
        <v>72.959999999999994</v>
      </c>
    </row>
    <row r="2943" spans="1:16" x14ac:dyDescent="0.25">
      <c r="A2943" t="s">
        <v>3296</v>
      </c>
      <c r="B2943" t="s">
        <v>2931</v>
      </c>
      <c r="C2943">
        <v>3205</v>
      </c>
      <c r="D2943" t="str">
        <f>"6135853097  "</f>
        <v xml:space="preserve">6135853097  </v>
      </c>
      <c r="E2943" t="s">
        <v>929</v>
      </c>
      <c r="F2943" t="s">
        <v>930</v>
      </c>
      <c r="G2943">
        <v>1007.31</v>
      </c>
      <c r="H2943">
        <v>250228</v>
      </c>
      <c r="I2943">
        <v>4572</v>
      </c>
      <c r="J2943" t="s">
        <v>173</v>
      </c>
      <c r="K2943">
        <v>3052.44</v>
      </c>
      <c r="L2943">
        <v>204.67</v>
      </c>
      <c r="M2943">
        <v>17912</v>
      </c>
      <c r="N2943" t="s">
        <v>505</v>
      </c>
      <c r="O2943">
        <v>250317</v>
      </c>
      <c r="P2943">
        <v>802.64</v>
      </c>
    </row>
    <row r="2944" spans="1:16" x14ac:dyDescent="0.25">
      <c r="A2944" t="s">
        <v>3296</v>
      </c>
      <c r="B2944" t="s">
        <v>2931</v>
      </c>
      <c r="C2944">
        <v>3205</v>
      </c>
      <c r="D2944" t="str">
        <f>"6135853097  "</f>
        <v xml:space="preserve">6135853097  </v>
      </c>
      <c r="E2944" t="s">
        <v>929</v>
      </c>
      <c r="F2944" t="s">
        <v>930</v>
      </c>
      <c r="G2944">
        <v>1953.56</v>
      </c>
      <c r="H2944">
        <v>250228</v>
      </c>
      <c r="I2944">
        <v>4572</v>
      </c>
      <c r="J2944" t="s">
        <v>173</v>
      </c>
      <c r="K2944">
        <v>3052.44</v>
      </c>
      <c r="L2944">
        <v>396.94</v>
      </c>
      <c r="M2944">
        <v>17952</v>
      </c>
      <c r="N2944" t="s">
        <v>157</v>
      </c>
      <c r="O2944">
        <v>250317</v>
      </c>
      <c r="P2944">
        <v>1556.62</v>
      </c>
    </row>
    <row r="2945" spans="1:16" x14ac:dyDescent="0.25">
      <c r="A2945" t="s">
        <v>3296</v>
      </c>
      <c r="B2945" t="s">
        <v>2931</v>
      </c>
      <c r="C2945">
        <v>3218</v>
      </c>
      <c r="D2945" t="str">
        <f>"6135781417  "</f>
        <v xml:space="preserve">6135781417  </v>
      </c>
      <c r="E2945" t="s">
        <v>929</v>
      </c>
      <c r="F2945" t="s">
        <v>930</v>
      </c>
      <c r="G2945">
        <v>2013.61</v>
      </c>
      <c r="H2945">
        <v>250228</v>
      </c>
      <c r="I2945">
        <v>4572</v>
      </c>
      <c r="J2945" t="s">
        <v>173</v>
      </c>
      <c r="K2945">
        <v>2119.59</v>
      </c>
      <c r="L2945">
        <v>409.14</v>
      </c>
      <c r="M2945">
        <v>49501</v>
      </c>
      <c r="N2945" t="s">
        <v>110</v>
      </c>
      <c r="O2945">
        <v>250317</v>
      </c>
      <c r="P2945">
        <v>1604.47</v>
      </c>
    </row>
    <row r="2946" spans="1:16" x14ac:dyDescent="0.25">
      <c r="A2946" t="s">
        <v>3296</v>
      </c>
      <c r="B2946" t="s">
        <v>2931</v>
      </c>
      <c r="C2946">
        <v>3218</v>
      </c>
      <c r="D2946" t="str">
        <f>"6135781417  "</f>
        <v xml:space="preserve">6135781417  </v>
      </c>
      <c r="E2946" t="s">
        <v>929</v>
      </c>
      <c r="F2946" t="s">
        <v>930</v>
      </c>
      <c r="G2946">
        <v>105.98</v>
      </c>
      <c r="H2946">
        <v>250228</v>
      </c>
      <c r="I2946">
        <v>4572</v>
      </c>
      <c r="J2946" t="s">
        <v>173</v>
      </c>
      <c r="K2946">
        <v>2119.59</v>
      </c>
      <c r="L2946">
        <v>21.53</v>
      </c>
      <c r="M2946">
        <v>49801</v>
      </c>
      <c r="N2946" t="s">
        <v>953</v>
      </c>
      <c r="O2946">
        <v>250317</v>
      </c>
      <c r="P2946">
        <v>84.45</v>
      </c>
    </row>
    <row r="2947" spans="1:16" x14ac:dyDescent="0.25">
      <c r="A2947" t="s">
        <v>3296</v>
      </c>
      <c r="B2947" t="s">
        <v>2931</v>
      </c>
      <c r="C2947">
        <v>3467</v>
      </c>
      <c r="D2947" t="str">
        <f>"6136070524  "</f>
        <v xml:space="preserve">6136070524  </v>
      </c>
      <c r="E2947" t="s">
        <v>929</v>
      </c>
      <c r="F2947" t="s">
        <v>930</v>
      </c>
      <c r="G2947">
        <v>98.58</v>
      </c>
      <c r="H2947">
        <v>250307</v>
      </c>
      <c r="I2947">
        <v>4572</v>
      </c>
      <c r="J2947" t="s">
        <v>173</v>
      </c>
      <c r="K2947">
        <v>98.58</v>
      </c>
      <c r="L2947">
        <v>20.03</v>
      </c>
      <c r="M2947">
        <v>17952</v>
      </c>
      <c r="N2947" t="s">
        <v>157</v>
      </c>
      <c r="O2947">
        <v>250324</v>
      </c>
      <c r="P2947">
        <v>78.55</v>
      </c>
    </row>
    <row r="2948" spans="1:16" x14ac:dyDescent="0.25">
      <c r="A2948" t="s">
        <v>3296</v>
      </c>
      <c r="B2948" t="s">
        <v>2931</v>
      </c>
      <c r="C2948">
        <v>4224</v>
      </c>
      <c r="D2948" t="str">
        <f>"6136307322  "</f>
        <v xml:space="preserve">6136307322  </v>
      </c>
      <c r="E2948" t="s">
        <v>929</v>
      </c>
      <c r="F2948" t="s">
        <v>930</v>
      </c>
      <c r="G2948">
        <v>98.58</v>
      </c>
      <c r="H2948">
        <v>250331</v>
      </c>
      <c r="I2948">
        <v>4572</v>
      </c>
      <c r="J2948" t="s">
        <v>173</v>
      </c>
      <c r="K2948">
        <v>98.58</v>
      </c>
      <c r="L2948">
        <v>20.03</v>
      </c>
      <c r="M2948">
        <v>17952</v>
      </c>
      <c r="N2948" t="s">
        <v>157</v>
      </c>
      <c r="O2948">
        <v>250409</v>
      </c>
      <c r="P2948">
        <v>78.55</v>
      </c>
    </row>
    <row r="2949" spans="1:16" x14ac:dyDescent="0.25">
      <c r="A2949" t="s">
        <v>3296</v>
      </c>
      <c r="B2949" t="s">
        <v>2931</v>
      </c>
      <c r="C2949">
        <v>4895</v>
      </c>
      <c r="D2949" t="str">
        <f>"6136183890  "</f>
        <v xml:space="preserve">6136183890  </v>
      </c>
      <c r="E2949" t="s">
        <v>929</v>
      </c>
      <c r="F2949" t="s">
        <v>930</v>
      </c>
      <c r="G2949">
        <v>80.98</v>
      </c>
      <c r="H2949">
        <v>250331</v>
      </c>
      <c r="I2949">
        <v>4572</v>
      </c>
      <c r="J2949" t="s">
        <v>173</v>
      </c>
      <c r="K2949">
        <v>2699.47</v>
      </c>
      <c r="L2949">
        <v>16.45</v>
      </c>
      <c r="M2949">
        <v>17739</v>
      </c>
      <c r="N2949" t="s">
        <v>928</v>
      </c>
      <c r="O2949">
        <v>250416</v>
      </c>
      <c r="P2949">
        <v>64.53</v>
      </c>
    </row>
    <row r="2950" spans="1:16" x14ac:dyDescent="0.25">
      <c r="A2950" t="s">
        <v>3296</v>
      </c>
      <c r="B2950" t="s">
        <v>2931</v>
      </c>
      <c r="C2950">
        <v>4895</v>
      </c>
      <c r="D2950" t="str">
        <f>"6136183890  "</f>
        <v xml:space="preserve">6136183890  </v>
      </c>
      <c r="E2950" t="s">
        <v>929</v>
      </c>
      <c r="F2950" t="s">
        <v>930</v>
      </c>
      <c r="G2950">
        <v>890.83</v>
      </c>
      <c r="H2950">
        <v>250331</v>
      </c>
      <c r="I2950">
        <v>4572</v>
      </c>
      <c r="J2950" t="s">
        <v>173</v>
      </c>
      <c r="K2950">
        <v>2699.47</v>
      </c>
      <c r="L2950">
        <v>181.01</v>
      </c>
      <c r="M2950">
        <v>17912</v>
      </c>
      <c r="N2950" t="s">
        <v>505</v>
      </c>
      <c r="O2950">
        <v>250416</v>
      </c>
      <c r="P2950">
        <v>709.82</v>
      </c>
    </row>
    <row r="2951" spans="1:16" x14ac:dyDescent="0.25">
      <c r="A2951" t="s">
        <v>3296</v>
      </c>
      <c r="B2951" t="s">
        <v>2931</v>
      </c>
      <c r="C2951">
        <v>4895</v>
      </c>
      <c r="D2951" t="str">
        <f>"6136183890  "</f>
        <v xml:space="preserve">6136183890  </v>
      </c>
      <c r="E2951" t="s">
        <v>929</v>
      </c>
      <c r="F2951" t="s">
        <v>930</v>
      </c>
      <c r="G2951">
        <v>1727.66</v>
      </c>
      <c r="H2951">
        <v>250331</v>
      </c>
      <c r="I2951">
        <v>4572</v>
      </c>
      <c r="J2951" t="s">
        <v>173</v>
      </c>
      <c r="K2951">
        <v>2699.47</v>
      </c>
      <c r="L2951">
        <v>351.04</v>
      </c>
      <c r="M2951">
        <v>17952</v>
      </c>
      <c r="N2951" t="s">
        <v>157</v>
      </c>
      <c r="O2951">
        <v>250416</v>
      </c>
      <c r="P2951">
        <v>1376.62</v>
      </c>
    </row>
    <row r="2952" spans="1:16" x14ac:dyDescent="0.25">
      <c r="A2952" t="s">
        <v>3296</v>
      </c>
      <c r="B2952" t="s">
        <v>2931</v>
      </c>
      <c r="C2952">
        <v>4907</v>
      </c>
      <c r="D2952" t="str">
        <f>"6136261473  "</f>
        <v xml:space="preserve">6136261473  </v>
      </c>
      <c r="E2952" t="s">
        <v>929</v>
      </c>
      <c r="F2952" t="s">
        <v>930</v>
      </c>
      <c r="G2952">
        <v>30.03</v>
      </c>
      <c r="H2952">
        <v>250331</v>
      </c>
      <c r="I2952">
        <v>4572</v>
      </c>
      <c r="J2952" t="s">
        <v>173</v>
      </c>
      <c r="K2952">
        <v>600.61</v>
      </c>
      <c r="L2952">
        <v>6.1</v>
      </c>
      <c r="M2952">
        <v>17737</v>
      </c>
      <c r="N2952" t="s">
        <v>156</v>
      </c>
      <c r="O2952">
        <v>250416</v>
      </c>
      <c r="P2952">
        <v>23.93</v>
      </c>
    </row>
    <row r="2953" spans="1:16" x14ac:dyDescent="0.25">
      <c r="A2953" t="s">
        <v>3296</v>
      </c>
      <c r="B2953" t="s">
        <v>2931</v>
      </c>
      <c r="C2953">
        <v>4907</v>
      </c>
      <c r="D2953" t="str">
        <f>"6136261473  "</f>
        <v xml:space="preserve">6136261473  </v>
      </c>
      <c r="E2953" t="s">
        <v>929</v>
      </c>
      <c r="F2953" t="s">
        <v>930</v>
      </c>
      <c r="G2953">
        <v>399.41</v>
      </c>
      <c r="H2953">
        <v>250331</v>
      </c>
      <c r="I2953">
        <v>4572</v>
      </c>
      <c r="J2953" t="s">
        <v>173</v>
      </c>
      <c r="K2953">
        <v>600.61</v>
      </c>
      <c r="L2953">
        <v>81.16</v>
      </c>
      <c r="M2953">
        <v>17737</v>
      </c>
      <c r="N2953" t="s">
        <v>156</v>
      </c>
      <c r="O2953">
        <v>250416</v>
      </c>
      <c r="P2953">
        <v>318.25</v>
      </c>
    </row>
    <row r="2954" spans="1:16" x14ac:dyDescent="0.25">
      <c r="A2954" t="s">
        <v>3296</v>
      </c>
      <c r="B2954" t="s">
        <v>2931</v>
      </c>
      <c r="C2954">
        <v>4907</v>
      </c>
      <c r="D2954" t="str">
        <f>"6136261473  "</f>
        <v xml:space="preserve">6136261473  </v>
      </c>
      <c r="E2954" t="s">
        <v>929</v>
      </c>
      <c r="F2954" t="s">
        <v>930</v>
      </c>
      <c r="G2954">
        <v>171.17</v>
      </c>
      <c r="H2954">
        <v>250331</v>
      </c>
      <c r="I2954">
        <v>4572</v>
      </c>
      <c r="J2954" t="s">
        <v>173</v>
      </c>
      <c r="K2954">
        <v>600.61</v>
      </c>
      <c r="L2954">
        <v>34.78</v>
      </c>
      <c r="M2954">
        <v>17739</v>
      </c>
      <c r="N2954" t="s">
        <v>928</v>
      </c>
      <c r="O2954">
        <v>250416</v>
      </c>
      <c r="P2954">
        <v>136.38999999999999</v>
      </c>
    </row>
    <row r="2955" spans="1:16" x14ac:dyDescent="0.25">
      <c r="A2955" t="s">
        <v>3296</v>
      </c>
      <c r="B2955" t="s">
        <v>2931</v>
      </c>
      <c r="C2955">
        <v>4942</v>
      </c>
      <c r="D2955" t="str">
        <f>"6136208226  "</f>
        <v xml:space="preserve">6136208226  </v>
      </c>
      <c r="E2955" t="s">
        <v>929</v>
      </c>
      <c r="F2955" t="s">
        <v>930</v>
      </c>
      <c r="G2955">
        <v>135.91999999999999</v>
      </c>
      <c r="H2955">
        <v>250331</v>
      </c>
      <c r="I2955">
        <v>4572</v>
      </c>
      <c r="J2955" t="s">
        <v>173</v>
      </c>
      <c r="K2955">
        <v>4530.5200000000004</v>
      </c>
      <c r="L2955">
        <v>27.62</v>
      </c>
      <c r="M2955">
        <v>49111</v>
      </c>
      <c r="N2955" t="s">
        <v>108</v>
      </c>
      <c r="O2955">
        <v>250416</v>
      </c>
      <c r="P2955">
        <v>108.3</v>
      </c>
    </row>
    <row r="2956" spans="1:16" x14ac:dyDescent="0.25">
      <c r="A2956" t="s">
        <v>3296</v>
      </c>
      <c r="B2956" t="s">
        <v>2931</v>
      </c>
      <c r="C2956">
        <v>4942</v>
      </c>
      <c r="D2956" t="str">
        <f>"6136208226  "</f>
        <v xml:space="preserve">6136208226  </v>
      </c>
      <c r="E2956" t="s">
        <v>929</v>
      </c>
      <c r="F2956" t="s">
        <v>930</v>
      </c>
      <c r="G2956">
        <v>4190.7299999999996</v>
      </c>
      <c r="H2956">
        <v>250331</v>
      </c>
      <c r="I2956">
        <v>4572</v>
      </c>
      <c r="J2956" t="s">
        <v>173</v>
      </c>
      <c r="K2956">
        <v>4530.5200000000004</v>
      </c>
      <c r="L2956">
        <v>851.5</v>
      </c>
      <c r="M2956">
        <v>49501</v>
      </c>
      <c r="N2956" t="s">
        <v>110</v>
      </c>
      <c r="O2956">
        <v>250416</v>
      </c>
      <c r="P2956">
        <v>3339.23</v>
      </c>
    </row>
    <row r="2957" spans="1:16" x14ac:dyDescent="0.25">
      <c r="A2957" t="s">
        <v>3296</v>
      </c>
      <c r="B2957" t="s">
        <v>2931</v>
      </c>
      <c r="C2957">
        <v>4942</v>
      </c>
      <c r="D2957" t="str">
        <f>"6136208226  "</f>
        <v xml:space="preserve">6136208226  </v>
      </c>
      <c r="E2957" t="s">
        <v>929</v>
      </c>
      <c r="F2957" t="s">
        <v>930</v>
      </c>
      <c r="G2957">
        <v>90.61</v>
      </c>
      <c r="H2957">
        <v>250331</v>
      </c>
      <c r="I2957">
        <v>4572</v>
      </c>
      <c r="J2957" t="s">
        <v>173</v>
      </c>
      <c r="K2957">
        <v>4530.5200000000004</v>
      </c>
      <c r="L2957">
        <v>18.41</v>
      </c>
      <c r="M2957">
        <v>49801</v>
      </c>
      <c r="N2957" t="s">
        <v>953</v>
      </c>
      <c r="O2957">
        <v>250416</v>
      </c>
      <c r="P2957">
        <v>72.2</v>
      </c>
    </row>
    <row r="2958" spans="1:16" x14ac:dyDescent="0.25">
      <c r="A2958" t="s">
        <v>3296</v>
      </c>
      <c r="B2958" t="s">
        <v>2931</v>
      </c>
      <c r="C2958">
        <v>4942</v>
      </c>
      <c r="D2958" t="str">
        <f>"6136208226  "</f>
        <v xml:space="preserve">6136208226  </v>
      </c>
      <c r="E2958" t="s">
        <v>929</v>
      </c>
      <c r="F2958" t="s">
        <v>930</v>
      </c>
      <c r="G2958">
        <v>113.26</v>
      </c>
      <c r="H2958">
        <v>250331</v>
      </c>
      <c r="I2958">
        <v>4572</v>
      </c>
      <c r="J2958" t="s">
        <v>173</v>
      </c>
      <c r="K2958">
        <v>4530.5200000000004</v>
      </c>
      <c r="L2958">
        <v>0</v>
      </c>
      <c r="M2958">
        <v>49803</v>
      </c>
      <c r="N2958" t="s">
        <v>956</v>
      </c>
      <c r="O2958">
        <v>250416</v>
      </c>
      <c r="P2958">
        <v>113.26</v>
      </c>
    </row>
    <row r="2959" spans="1:16" x14ac:dyDescent="0.25">
      <c r="A2959" t="s">
        <v>3296</v>
      </c>
      <c r="B2959" t="s">
        <v>2931</v>
      </c>
      <c r="C2959">
        <v>4950</v>
      </c>
      <c r="D2959" t="str">
        <f>"6136266850  "</f>
        <v xml:space="preserve">6136266850  </v>
      </c>
      <c r="E2959" t="s">
        <v>929</v>
      </c>
      <c r="F2959" t="s">
        <v>930</v>
      </c>
      <c r="G2959">
        <v>2115.88</v>
      </c>
      <c r="H2959">
        <v>250331</v>
      </c>
      <c r="I2959">
        <v>4572</v>
      </c>
      <c r="J2959" t="s">
        <v>173</v>
      </c>
      <c r="K2959">
        <v>2227.2399999999998</v>
      </c>
      <c r="L2959">
        <v>429.92</v>
      </c>
      <c r="M2959">
        <v>49501</v>
      </c>
      <c r="N2959" t="s">
        <v>110</v>
      </c>
      <c r="O2959">
        <v>250416</v>
      </c>
      <c r="P2959">
        <v>1685.96</v>
      </c>
    </row>
    <row r="2960" spans="1:16" x14ac:dyDescent="0.25">
      <c r="A2960" t="s">
        <v>3296</v>
      </c>
      <c r="B2960" t="s">
        <v>2931</v>
      </c>
      <c r="C2960">
        <v>4950</v>
      </c>
      <c r="D2960" t="str">
        <f>"6136266850  "</f>
        <v xml:space="preserve">6136266850  </v>
      </c>
      <c r="E2960" t="s">
        <v>929</v>
      </c>
      <c r="F2960" t="s">
        <v>930</v>
      </c>
      <c r="G2960">
        <v>111.36</v>
      </c>
      <c r="H2960">
        <v>250331</v>
      </c>
      <c r="I2960">
        <v>4572</v>
      </c>
      <c r="J2960" t="s">
        <v>173</v>
      </c>
      <c r="K2960">
        <v>2227.2399999999998</v>
      </c>
      <c r="L2960">
        <v>22.63</v>
      </c>
      <c r="M2960">
        <v>49801</v>
      </c>
      <c r="N2960" t="s">
        <v>953</v>
      </c>
      <c r="O2960">
        <v>250416</v>
      </c>
      <c r="P2960">
        <v>88.73</v>
      </c>
    </row>
    <row r="2961" spans="1:16" x14ac:dyDescent="0.25">
      <c r="A2961" t="s">
        <v>3296</v>
      </c>
      <c r="B2961" t="s">
        <v>2931</v>
      </c>
      <c r="C2961">
        <v>6188</v>
      </c>
      <c r="D2961" t="str">
        <f>"6136623740  "</f>
        <v xml:space="preserve">6136623740  </v>
      </c>
      <c r="E2961" t="s">
        <v>929</v>
      </c>
      <c r="F2961" t="s">
        <v>930</v>
      </c>
      <c r="G2961">
        <v>2622.35</v>
      </c>
      <c r="H2961">
        <v>250430</v>
      </c>
      <c r="I2961">
        <v>4572</v>
      </c>
      <c r="J2961" t="s">
        <v>173</v>
      </c>
      <c r="K2961">
        <v>2622.35</v>
      </c>
      <c r="L2961">
        <v>532.83000000000004</v>
      </c>
      <c r="M2961">
        <v>49503</v>
      </c>
      <c r="N2961" t="s">
        <v>267</v>
      </c>
      <c r="O2961">
        <v>250509</v>
      </c>
      <c r="P2961">
        <v>2089.52</v>
      </c>
    </row>
    <row r="2962" spans="1:16" x14ac:dyDescent="0.25">
      <c r="A2962" t="s">
        <v>3296</v>
      </c>
      <c r="B2962" t="s">
        <v>2931</v>
      </c>
      <c r="C2962">
        <v>6257</v>
      </c>
      <c r="D2962" t="str">
        <f>"6136549737  "</f>
        <v xml:space="preserve">6136549737  </v>
      </c>
      <c r="E2962" t="s">
        <v>929</v>
      </c>
      <c r="F2962" t="s">
        <v>930</v>
      </c>
      <c r="G2962">
        <v>23.69</v>
      </c>
      <c r="H2962">
        <v>250430</v>
      </c>
      <c r="I2962">
        <v>4572</v>
      </c>
      <c r="J2962" t="s">
        <v>173</v>
      </c>
      <c r="K2962">
        <v>473.72</v>
      </c>
      <c r="L2962">
        <v>4.8099999999999996</v>
      </c>
      <c r="M2962">
        <v>17737</v>
      </c>
      <c r="N2962" t="s">
        <v>156</v>
      </c>
      <c r="O2962">
        <v>250512</v>
      </c>
      <c r="P2962">
        <v>18.88</v>
      </c>
    </row>
    <row r="2963" spans="1:16" x14ac:dyDescent="0.25">
      <c r="A2963" t="s">
        <v>3296</v>
      </c>
      <c r="B2963" t="s">
        <v>2931</v>
      </c>
      <c r="C2963">
        <v>6257</v>
      </c>
      <c r="D2963" t="str">
        <f>"6136549737  "</f>
        <v xml:space="preserve">6136549737  </v>
      </c>
      <c r="E2963" t="s">
        <v>929</v>
      </c>
      <c r="F2963" t="s">
        <v>930</v>
      </c>
      <c r="G2963">
        <v>315.02</v>
      </c>
      <c r="H2963">
        <v>250430</v>
      </c>
      <c r="I2963">
        <v>4572</v>
      </c>
      <c r="J2963" t="s">
        <v>173</v>
      </c>
      <c r="K2963">
        <v>473.72</v>
      </c>
      <c r="L2963">
        <v>64.010000000000005</v>
      </c>
      <c r="M2963">
        <v>17737</v>
      </c>
      <c r="N2963" t="s">
        <v>156</v>
      </c>
      <c r="O2963">
        <v>250512</v>
      </c>
      <c r="P2963">
        <v>251.01</v>
      </c>
    </row>
    <row r="2964" spans="1:16" x14ac:dyDescent="0.25">
      <c r="A2964" t="s">
        <v>3296</v>
      </c>
      <c r="B2964" t="s">
        <v>2931</v>
      </c>
      <c r="C2964">
        <v>6257</v>
      </c>
      <c r="D2964" t="str">
        <f>"6136549737  "</f>
        <v xml:space="preserve">6136549737  </v>
      </c>
      <c r="E2964" t="s">
        <v>929</v>
      </c>
      <c r="F2964" t="s">
        <v>930</v>
      </c>
      <c r="G2964">
        <v>135.01</v>
      </c>
      <c r="H2964">
        <v>250430</v>
      </c>
      <c r="I2964">
        <v>4572</v>
      </c>
      <c r="J2964" t="s">
        <v>173</v>
      </c>
      <c r="K2964">
        <v>473.72</v>
      </c>
      <c r="L2964">
        <v>27.43</v>
      </c>
      <c r="M2964">
        <v>17739</v>
      </c>
      <c r="N2964" t="s">
        <v>928</v>
      </c>
      <c r="O2964">
        <v>250512</v>
      </c>
      <c r="P2964">
        <v>107.58</v>
      </c>
    </row>
    <row r="2965" spans="1:16" x14ac:dyDescent="0.25">
      <c r="A2965" t="s">
        <v>3296</v>
      </c>
      <c r="B2965" t="s">
        <v>2931</v>
      </c>
      <c r="C2965">
        <v>6262</v>
      </c>
      <c r="D2965" t="str">
        <f>"6136635923  "</f>
        <v xml:space="preserve">6136635923  </v>
      </c>
      <c r="E2965" t="s">
        <v>929</v>
      </c>
      <c r="F2965" t="s">
        <v>930</v>
      </c>
      <c r="G2965">
        <v>1718.25</v>
      </c>
      <c r="H2965">
        <v>250430</v>
      </c>
      <c r="I2965">
        <v>4572</v>
      </c>
      <c r="J2965" t="s">
        <v>173</v>
      </c>
      <c r="K2965">
        <v>1808.68</v>
      </c>
      <c r="L2965">
        <v>349.13</v>
      </c>
      <c r="M2965">
        <v>49501</v>
      </c>
      <c r="N2965" t="s">
        <v>110</v>
      </c>
      <c r="O2965">
        <v>250512</v>
      </c>
      <c r="P2965">
        <v>1369.12</v>
      </c>
    </row>
    <row r="2966" spans="1:16" x14ac:dyDescent="0.25">
      <c r="A2966" t="s">
        <v>3296</v>
      </c>
      <c r="B2966" t="s">
        <v>2931</v>
      </c>
      <c r="C2966">
        <v>6262</v>
      </c>
      <c r="D2966" t="str">
        <f>"6136635923  "</f>
        <v xml:space="preserve">6136635923  </v>
      </c>
      <c r="E2966" t="s">
        <v>929</v>
      </c>
      <c r="F2966" t="s">
        <v>930</v>
      </c>
      <c r="G2966">
        <v>90.43</v>
      </c>
      <c r="H2966">
        <v>250430</v>
      </c>
      <c r="I2966">
        <v>4572</v>
      </c>
      <c r="J2966" t="s">
        <v>173</v>
      </c>
      <c r="K2966">
        <v>1808.68</v>
      </c>
      <c r="L2966">
        <v>18.37</v>
      </c>
      <c r="M2966">
        <v>49801</v>
      </c>
      <c r="N2966" t="s">
        <v>953</v>
      </c>
      <c r="O2966">
        <v>250512</v>
      </c>
      <c r="P2966">
        <v>72.06</v>
      </c>
    </row>
    <row r="2967" spans="1:16" x14ac:dyDescent="0.25">
      <c r="A2967" t="s">
        <v>3296</v>
      </c>
      <c r="B2967" t="s">
        <v>2931</v>
      </c>
      <c r="C2967">
        <v>6264</v>
      </c>
      <c r="D2967" t="str">
        <f>"6136633709  "</f>
        <v xml:space="preserve">6136633709  </v>
      </c>
      <c r="E2967" t="s">
        <v>929</v>
      </c>
      <c r="F2967" t="s">
        <v>930</v>
      </c>
      <c r="G2967">
        <v>133.74</v>
      </c>
      <c r="H2967">
        <v>250430</v>
      </c>
      <c r="I2967">
        <v>4572</v>
      </c>
      <c r="J2967" t="s">
        <v>173</v>
      </c>
      <c r="K2967">
        <v>4458.1099999999997</v>
      </c>
      <c r="L2967">
        <v>27.17</v>
      </c>
      <c r="M2967">
        <v>49111</v>
      </c>
      <c r="N2967" t="s">
        <v>108</v>
      </c>
      <c r="O2967">
        <v>250512</v>
      </c>
      <c r="P2967">
        <v>106.57</v>
      </c>
    </row>
    <row r="2968" spans="1:16" x14ac:dyDescent="0.25">
      <c r="A2968" t="s">
        <v>3296</v>
      </c>
      <c r="B2968" t="s">
        <v>2931</v>
      </c>
      <c r="C2968">
        <v>6264</v>
      </c>
      <c r="D2968" t="str">
        <f>"6136633709  "</f>
        <v xml:space="preserve">6136633709  </v>
      </c>
      <c r="E2968" t="s">
        <v>929</v>
      </c>
      <c r="F2968" t="s">
        <v>930</v>
      </c>
      <c r="G2968">
        <v>4123.76</v>
      </c>
      <c r="H2968">
        <v>250430</v>
      </c>
      <c r="I2968">
        <v>4572</v>
      </c>
      <c r="J2968" t="s">
        <v>173</v>
      </c>
      <c r="K2968">
        <v>4458.1099999999997</v>
      </c>
      <c r="L2968">
        <v>837.9</v>
      </c>
      <c r="M2968">
        <v>49501</v>
      </c>
      <c r="N2968" t="s">
        <v>110</v>
      </c>
      <c r="O2968">
        <v>250512</v>
      </c>
      <c r="P2968">
        <v>3285.86</v>
      </c>
    </row>
    <row r="2969" spans="1:16" x14ac:dyDescent="0.25">
      <c r="A2969" t="s">
        <v>3296</v>
      </c>
      <c r="B2969" t="s">
        <v>2931</v>
      </c>
      <c r="C2969">
        <v>6264</v>
      </c>
      <c r="D2969" t="str">
        <f>"6136633709  "</f>
        <v xml:space="preserve">6136633709  </v>
      </c>
      <c r="E2969" t="s">
        <v>929</v>
      </c>
      <c r="F2969" t="s">
        <v>930</v>
      </c>
      <c r="G2969">
        <v>89.16</v>
      </c>
      <c r="H2969">
        <v>250430</v>
      </c>
      <c r="I2969">
        <v>4572</v>
      </c>
      <c r="J2969" t="s">
        <v>173</v>
      </c>
      <c r="K2969">
        <v>4458.1099999999997</v>
      </c>
      <c r="L2969">
        <v>18.12</v>
      </c>
      <c r="M2969">
        <v>49801</v>
      </c>
      <c r="N2969" t="s">
        <v>953</v>
      </c>
      <c r="O2969">
        <v>250512</v>
      </c>
      <c r="P2969">
        <v>71.040000000000006</v>
      </c>
    </row>
    <row r="2970" spans="1:16" x14ac:dyDescent="0.25">
      <c r="A2970" t="s">
        <v>3296</v>
      </c>
      <c r="B2970" t="s">
        <v>2931</v>
      </c>
      <c r="C2970">
        <v>6264</v>
      </c>
      <c r="D2970" t="str">
        <f>"6136633709  "</f>
        <v xml:space="preserve">6136633709  </v>
      </c>
      <c r="E2970" t="s">
        <v>929</v>
      </c>
      <c r="F2970" t="s">
        <v>930</v>
      </c>
      <c r="G2970">
        <v>111.45</v>
      </c>
      <c r="H2970">
        <v>250430</v>
      </c>
      <c r="I2970">
        <v>4572</v>
      </c>
      <c r="J2970" t="s">
        <v>173</v>
      </c>
      <c r="K2970">
        <v>4458.1099999999997</v>
      </c>
      <c r="L2970">
        <v>0</v>
      </c>
      <c r="M2970">
        <v>49803</v>
      </c>
      <c r="N2970" t="s">
        <v>956</v>
      </c>
      <c r="O2970">
        <v>250512</v>
      </c>
      <c r="P2970">
        <v>111.45</v>
      </c>
    </row>
    <row r="2971" spans="1:16" x14ac:dyDescent="0.25">
      <c r="A2971" t="s">
        <v>3296</v>
      </c>
      <c r="B2971" t="s">
        <v>2931</v>
      </c>
      <c r="C2971">
        <v>6266</v>
      </c>
      <c r="D2971" t="str">
        <f>"6136661554  "</f>
        <v xml:space="preserve">6136661554  </v>
      </c>
      <c r="E2971" t="s">
        <v>929</v>
      </c>
      <c r="F2971" t="s">
        <v>930</v>
      </c>
      <c r="G2971">
        <v>57.11</v>
      </c>
      <c r="H2971">
        <v>250430</v>
      </c>
      <c r="I2971">
        <v>4572</v>
      </c>
      <c r="J2971" t="s">
        <v>173</v>
      </c>
      <c r="K2971">
        <v>1903.55</v>
      </c>
      <c r="L2971">
        <v>11.6</v>
      </c>
      <c r="M2971">
        <v>17739</v>
      </c>
      <c r="N2971" t="s">
        <v>928</v>
      </c>
      <c r="O2971">
        <v>250512</v>
      </c>
      <c r="P2971">
        <v>45.51</v>
      </c>
    </row>
    <row r="2972" spans="1:16" x14ac:dyDescent="0.25">
      <c r="A2972" t="s">
        <v>3296</v>
      </c>
      <c r="B2972" t="s">
        <v>2931</v>
      </c>
      <c r="C2972">
        <v>6266</v>
      </c>
      <c r="D2972" t="str">
        <f>"6136661554  "</f>
        <v xml:space="preserve">6136661554  </v>
      </c>
      <c r="E2972" t="s">
        <v>929</v>
      </c>
      <c r="F2972" t="s">
        <v>930</v>
      </c>
      <c r="G2972">
        <v>628.16999999999996</v>
      </c>
      <c r="H2972">
        <v>250430</v>
      </c>
      <c r="I2972">
        <v>4572</v>
      </c>
      <c r="J2972" t="s">
        <v>173</v>
      </c>
      <c r="K2972">
        <v>1903.55</v>
      </c>
      <c r="L2972">
        <v>127.64</v>
      </c>
      <c r="M2972">
        <v>17912</v>
      </c>
      <c r="N2972" t="s">
        <v>505</v>
      </c>
      <c r="O2972">
        <v>250512</v>
      </c>
      <c r="P2972">
        <v>500.53</v>
      </c>
    </row>
    <row r="2973" spans="1:16" x14ac:dyDescent="0.25">
      <c r="A2973" t="s">
        <v>3296</v>
      </c>
      <c r="B2973" t="s">
        <v>2931</v>
      </c>
      <c r="C2973">
        <v>6266</v>
      </c>
      <c r="D2973" t="str">
        <f>"6136661554  "</f>
        <v xml:space="preserve">6136661554  </v>
      </c>
      <c r="E2973" t="s">
        <v>929</v>
      </c>
      <c r="F2973" t="s">
        <v>930</v>
      </c>
      <c r="G2973">
        <v>1218.27</v>
      </c>
      <c r="H2973">
        <v>250430</v>
      </c>
      <c r="I2973">
        <v>4572</v>
      </c>
      <c r="J2973" t="s">
        <v>173</v>
      </c>
      <c r="K2973">
        <v>1903.55</v>
      </c>
      <c r="L2973">
        <v>247.54</v>
      </c>
      <c r="M2973">
        <v>17952</v>
      </c>
      <c r="N2973" t="s">
        <v>157</v>
      </c>
      <c r="O2973">
        <v>250512</v>
      </c>
      <c r="P2973">
        <v>970.73</v>
      </c>
    </row>
    <row r="2974" spans="1:16" x14ac:dyDescent="0.25">
      <c r="A2974" t="s">
        <v>3296</v>
      </c>
      <c r="B2974" t="s">
        <v>2931</v>
      </c>
      <c r="C2974">
        <v>6331</v>
      </c>
      <c r="D2974" t="str">
        <f>"6136685543  "</f>
        <v xml:space="preserve">6136685543  </v>
      </c>
      <c r="E2974" t="s">
        <v>929</v>
      </c>
      <c r="F2974" t="s">
        <v>930</v>
      </c>
      <c r="G2974">
        <v>92.46</v>
      </c>
      <c r="H2974">
        <v>250430</v>
      </c>
      <c r="I2974">
        <v>4572</v>
      </c>
      <c r="J2974" t="s">
        <v>173</v>
      </c>
      <c r="K2974">
        <v>92.46</v>
      </c>
      <c r="L2974">
        <v>18.79</v>
      </c>
      <c r="M2974">
        <v>13841</v>
      </c>
      <c r="N2974" t="s">
        <v>178</v>
      </c>
      <c r="O2974">
        <v>250512</v>
      </c>
      <c r="P2974">
        <v>73.67</v>
      </c>
    </row>
    <row r="2975" spans="1:16" x14ac:dyDescent="0.25">
      <c r="A2975" t="s">
        <v>3296</v>
      </c>
      <c r="B2975" t="s">
        <v>2931</v>
      </c>
      <c r="C2975">
        <v>6503</v>
      </c>
      <c r="D2975" t="str">
        <f>"6136725216  "</f>
        <v xml:space="preserve">6136725216  </v>
      </c>
      <c r="E2975" t="s">
        <v>929</v>
      </c>
      <c r="F2975" t="s">
        <v>930</v>
      </c>
      <c r="G2975">
        <v>98.58</v>
      </c>
      <c r="H2975">
        <v>250430</v>
      </c>
      <c r="I2975">
        <v>4572</v>
      </c>
      <c r="J2975" t="s">
        <v>173</v>
      </c>
      <c r="K2975">
        <v>98.58</v>
      </c>
      <c r="L2975">
        <v>20.03</v>
      </c>
      <c r="M2975">
        <v>17952</v>
      </c>
      <c r="N2975" t="s">
        <v>157</v>
      </c>
      <c r="O2975">
        <v>250513</v>
      </c>
      <c r="P2975">
        <v>78.55</v>
      </c>
    </row>
    <row r="2976" spans="1:16" x14ac:dyDescent="0.25">
      <c r="A2976" t="s">
        <v>3296</v>
      </c>
      <c r="B2976" t="s">
        <v>2931</v>
      </c>
      <c r="C2976">
        <v>8266</v>
      </c>
      <c r="D2976" t="str">
        <f>"6136882067  "</f>
        <v xml:space="preserve">6136882067  </v>
      </c>
      <c r="E2976" t="s">
        <v>929</v>
      </c>
      <c r="F2976" t="s">
        <v>930</v>
      </c>
      <c r="G2976">
        <v>53.71</v>
      </c>
      <c r="H2976">
        <v>250531</v>
      </c>
      <c r="I2976">
        <v>4572</v>
      </c>
      <c r="J2976" t="s">
        <v>173</v>
      </c>
      <c r="K2976">
        <v>1790.4</v>
      </c>
      <c r="L2976">
        <v>10.91</v>
      </c>
      <c r="M2976">
        <v>17739</v>
      </c>
      <c r="N2976" t="s">
        <v>928</v>
      </c>
      <c r="O2976">
        <v>250612</v>
      </c>
      <c r="P2976">
        <v>42.8</v>
      </c>
    </row>
    <row r="2977" spans="1:16" x14ac:dyDescent="0.25">
      <c r="A2977" t="s">
        <v>3296</v>
      </c>
      <c r="B2977" t="s">
        <v>2931</v>
      </c>
      <c r="C2977">
        <v>8266</v>
      </c>
      <c r="D2977" t="str">
        <f>"6136882067  "</f>
        <v xml:space="preserve">6136882067  </v>
      </c>
      <c r="E2977" t="s">
        <v>929</v>
      </c>
      <c r="F2977" t="s">
        <v>930</v>
      </c>
      <c r="G2977">
        <v>590.83000000000004</v>
      </c>
      <c r="H2977">
        <v>250531</v>
      </c>
      <c r="I2977">
        <v>4572</v>
      </c>
      <c r="J2977" t="s">
        <v>173</v>
      </c>
      <c r="K2977">
        <v>1790.4</v>
      </c>
      <c r="L2977">
        <v>120.05</v>
      </c>
      <c r="M2977">
        <v>17912</v>
      </c>
      <c r="N2977" t="s">
        <v>505</v>
      </c>
      <c r="O2977">
        <v>250612</v>
      </c>
      <c r="P2977">
        <v>470.78</v>
      </c>
    </row>
    <row r="2978" spans="1:16" x14ac:dyDescent="0.25">
      <c r="A2978" t="s">
        <v>3296</v>
      </c>
      <c r="B2978" t="s">
        <v>2931</v>
      </c>
      <c r="C2978">
        <v>8266</v>
      </c>
      <c r="D2978" t="str">
        <f>"6136882067  "</f>
        <v xml:space="preserve">6136882067  </v>
      </c>
      <c r="E2978" t="s">
        <v>929</v>
      </c>
      <c r="F2978" t="s">
        <v>930</v>
      </c>
      <c r="G2978">
        <v>1145.8599999999999</v>
      </c>
      <c r="H2978">
        <v>250531</v>
      </c>
      <c r="I2978">
        <v>4572</v>
      </c>
      <c r="J2978" t="s">
        <v>173</v>
      </c>
      <c r="K2978">
        <v>1790.4</v>
      </c>
      <c r="L2978">
        <v>232.82</v>
      </c>
      <c r="M2978">
        <v>17952</v>
      </c>
      <c r="N2978" t="s">
        <v>157</v>
      </c>
      <c r="O2978">
        <v>250612</v>
      </c>
      <c r="P2978">
        <v>913.04</v>
      </c>
    </row>
    <row r="2979" spans="1:16" x14ac:dyDescent="0.25">
      <c r="A2979" t="s">
        <v>3296</v>
      </c>
      <c r="B2979" t="s">
        <v>2931</v>
      </c>
      <c r="C2979">
        <v>8300</v>
      </c>
      <c r="D2979" t="str">
        <f>"6136847456  "</f>
        <v xml:space="preserve">6136847456  </v>
      </c>
      <c r="E2979" t="s">
        <v>929</v>
      </c>
      <c r="F2979" t="s">
        <v>930</v>
      </c>
      <c r="G2979">
        <v>17.87</v>
      </c>
      <c r="H2979">
        <v>250531</v>
      </c>
      <c r="I2979">
        <v>4572</v>
      </c>
      <c r="J2979" t="s">
        <v>173</v>
      </c>
      <c r="K2979">
        <v>357.37</v>
      </c>
      <c r="L2979">
        <v>3.63</v>
      </c>
      <c r="M2979">
        <v>17737</v>
      </c>
      <c r="N2979" t="s">
        <v>156</v>
      </c>
      <c r="O2979">
        <v>250612</v>
      </c>
      <c r="P2979">
        <v>14.24</v>
      </c>
    </row>
    <row r="2980" spans="1:16" x14ac:dyDescent="0.25">
      <c r="A2980" t="s">
        <v>3296</v>
      </c>
      <c r="B2980" t="s">
        <v>2931</v>
      </c>
      <c r="C2980">
        <v>8300</v>
      </c>
      <c r="D2980" t="str">
        <f>"6136847456  "</f>
        <v xml:space="preserve">6136847456  </v>
      </c>
      <c r="E2980" t="s">
        <v>929</v>
      </c>
      <c r="F2980" t="s">
        <v>930</v>
      </c>
      <c r="G2980">
        <v>237.65</v>
      </c>
      <c r="H2980">
        <v>250531</v>
      </c>
      <c r="I2980">
        <v>4572</v>
      </c>
      <c r="J2980" t="s">
        <v>173</v>
      </c>
      <c r="K2980">
        <v>357.37</v>
      </c>
      <c r="L2980">
        <v>48.29</v>
      </c>
      <c r="M2980">
        <v>17737</v>
      </c>
      <c r="N2980" t="s">
        <v>156</v>
      </c>
      <c r="O2980">
        <v>250612</v>
      </c>
      <c r="P2980">
        <v>189.36</v>
      </c>
    </row>
    <row r="2981" spans="1:16" x14ac:dyDescent="0.25">
      <c r="A2981" t="s">
        <v>3296</v>
      </c>
      <c r="B2981" t="s">
        <v>2931</v>
      </c>
      <c r="C2981">
        <v>8300</v>
      </c>
      <c r="D2981" t="str">
        <f>"6136847456  "</f>
        <v xml:space="preserve">6136847456  </v>
      </c>
      <c r="E2981" t="s">
        <v>929</v>
      </c>
      <c r="F2981" t="s">
        <v>930</v>
      </c>
      <c r="G2981">
        <v>101.85</v>
      </c>
      <c r="H2981">
        <v>250531</v>
      </c>
      <c r="I2981">
        <v>4572</v>
      </c>
      <c r="J2981" t="s">
        <v>173</v>
      </c>
      <c r="K2981">
        <v>357.37</v>
      </c>
      <c r="L2981">
        <v>20.69</v>
      </c>
      <c r="M2981">
        <v>17739</v>
      </c>
      <c r="N2981" t="s">
        <v>928</v>
      </c>
      <c r="O2981">
        <v>250612</v>
      </c>
      <c r="P2981">
        <v>81.16</v>
      </c>
    </row>
    <row r="2982" spans="1:16" x14ac:dyDescent="0.25">
      <c r="A2982" t="s">
        <v>3296</v>
      </c>
      <c r="B2982" t="s">
        <v>2931</v>
      </c>
      <c r="C2982">
        <v>8500</v>
      </c>
      <c r="D2982" t="str">
        <f>"6136860063  "</f>
        <v xml:space="preserve">6136860063  </v>
      </c>
      <c r="E2982" t="s">
        <v>929</v>
      </c>
      <c r="F2982" t="s">
        <v>930</v>
      </c>
      <c r="G2982">
        <v>1504.96</v>
      </c>
      <c r="H2982">
        <v>250531</v>
      </c>
      <c r="I2982">
        <v>4572</v>
      </c>
      <c r="J2982" t="s">
        <v>173</v>
      </c>
      <c r="K2982">
        <v>1584.17</v>
      </c>
      <c r="L2982">
        <v>305.79000000000002</v>
      </c>
      <c r="M2982">
        <v>49501</v>
      </c>
      <c r="N2982" t="s">
        <v>110</v>
      </c>
      <c r="O2982">
        <v>250617</v>
      </c>
      <c r="P2982">
        <v>1199.17</v>
      </c>
    </row>
    <row r="2983" spans="1:16" x14ac:dyDescent="0.25">
      <c r="A2983" t="s">
        <v>3296</v>
      </c>
      <c r="B2983" t="s">
        <v>2931</v>
      </c>
      <c r="C2983">
        <v>8500</v>
      </c>
      <c r="D2983" t="str">
        <f>"6136860063  "</f>
        <v xml:space="preserve">6136860063  </v>
      </c>
      <c r="E2983" t="s">
        <v>929</v>
      </c>
      <c r="F2983" t="s">
        <v>930</v>
      </c>
      <c r="G2983">
        <v>79.209999999999994</v>
      </c>
      <c r="H2983">
        <v>250531</v>
      </c>
      <c r="I2983">
        <v>4572</v>
      </c>
      <c r="J2983" t="s">
        <v>173</v>
      </c>
      <c r="K2983">
        <v>1584.17</v>
      </c>
      <c r="L2983">
        <v>16.09</v>
      </c>
      <c r="M2983">
        <v>49801</v>
      </c>
      <c r="N2983" t="s">
        <v>953</v>
      </c>
      <c r="O2983">
        <v>250617</v>
      </c>
      <c r="P2983">
        <v>63.12</v>
      </c>
    </row>
    <row r="2984" spans="1:16" x14ac:dyDescent="0.25">
      <c r="A2984" t="s">
        <v>3296</v>
      </c>
      <c r="B2984" t="s">
        <v>2931</v>
      </c>
      <c r="C2984">
        <v>8503</v>
      </c>
      <c r="D2984" t="str">
        <f>"6136906667  "</f>
        <v xml:space="preserve">6136906667  </v>
      </c>
      <c r="E2984" t="s">
        <v>929</v>
      </c>
      <c r="F2984" t="s">
        <v>930</v>
      </c>
      <c r="G2984">
        <v>222.2</v>
      </c>
      <c r="H2984">
        <v>250531</v>
      </c>
      <c r="I2984">
        <v>4572</v>
      </c>
      <c r="J2984" t="s">
        <v>173</v>
      </c>
      <c r="K2984">
        <v>4443.97</v>
      </c>
      <c r="L2984">
        <v>45.15</v>
      </c>
      <c r="M2984">
        <v>49111</v>
      </c>
      <c r="N2984" t="s">
        <v>108</v>
      </c>
      <c r="O2984">
        <v>250617</v>
      </c>
      <c r="P2984">
        <v>177.05</v>
      </c>
    </row>
    <row r="2985" spans="1:16" x14ac:dyDescent="0.25">
      <c r="A2985" t="s">
        <v>3296</v>
      </c>
      <c r="B2985" t="s">
        <v>2931</v>
      </c>
      <c r="C2985">
        <v>8503</v>
      </c>
      <c r="D2985" t="str">
        <f>"6136906667  "</f>
        <v xml:space="preserve">6136906667  </v>
      </c>
      <c r="E2985" t="s">
        <v>929</v>
      </c>
      <c r="F2985" t="s">
        <v>930</v>
      </c>
      <c r="G2985">
        <v>4066.23</v>
      </c>
      <c r="H2985">
        <v>250531</v>
      </c>
      <c r="I2985">
        <v>4572</v>
      </c>
      <c r="J2985" t="s">
        <v>173</v>
      </c>
      <c r="K2985">
        <v>4443.97</v>
      </c>
      <c r="L2985">
        <v>826.21</v>
      </c>
      <c r="M2985">
        <v>49501</v>
      </c>
      <c r="N2985" t="s">
        <v>110</v>
      </c>
      <c r="O2985">
        <v>250617</v>
      </c>
      <c r="P2985">
        <v>3240.02</v>
      </c>
    </row>
    <row r="2986" spans="1:16" x14ac:dyDescent="0.25">
      <c r="A2986" t="s">
        <v>3296</v>
      </c>
      <c r="B2986" t="s">
        <v>2931</v>
      </c>
      <c r="C2986">
        <v>8503</v>
      </c>
      <c r="D2986" t="str">
        <f>"6136906667  "</f>
        <v xml:space="preserve">6136906667  </v>
      </c>
      <c r="E2986" t="s">
        <v>929</v>
      </c>
      <c r="F2986" t="s">
        <v>930</v>
      </c>
      <c r="G2986">
        <v>88.88</v>
      </c>
      <c r="H2986">
        <v>250531</v>
      </c>
      <c r="I2986">
        <v>4572</v>
      </c>
      <c r="J2986" t="s">
        <v>173</v>
      </c>
      <c r="K2986">
        <v>4443.97</v>
      </c>
      <c r="L2986">
        <v>18.059999999999999</v>
      </c>
      <c r="M2986">
        <v>49801</v>
      </c>
      <c r="N2986" t="s">
        <v>953</v>
      </c>
      <c r="O2986">
        <v>250617</v>
      </c>
      <c r="P2986">
        <v>70.819999999999993</v>
      </c>
    </row>
    <row r="2987" spans="1:16" x14ac:dyDescent="0.25">
      <c r="A2987" t="s">
        <v>3296</v>
      </c>
      <c r="B2987" t="s">
        <v>2931</v>
      </c>
      <c r="C2987">
        <v>8503</v>
      </c>
      <c r="D2987" t="str">
        <f>"6136906667  "</f>
        <v xml:space="preserve">6136906667  </v>
      </c>
      <c r="E2987" t="s">
        <v>929</v>
      </c>
      <c r="F2987" t="s">
        <v>930</v>
      </c>
      <c r="G2987">
        <v>66.66</v>
      </c>
      <c r="H2987">
        <v>250531</v>
      </c>
      <c r="I2987">
        <v>4572</v>
      </c>
      <c r="J2987" t="s">
        <v>173</v>
      </c>
      <c r="K2987">
        <v>4443.97</v>
      </c>
      <c r="L2987">
        <v>0</v>
      </c>
      <c r="M2987">
        <v>49803</v>
      </c>
      <c r="N2987" t="s">
        <v>956</v>
      </c>
      <c r="O2987">
        <v>250617</v>
      </c>
      <c r="P2987">
        <v>66.66</v>
      </c>
    </row>
    <row r="2988" spans="1:16" x14ac:dyDescent="0.25">
      <c r="A2988" t="s">
        <v>3296</v>
      </c>
      <c r="B2988" t="s">
        <v>2931</v>
      </c>
      <c r="C2988">
        <v>8546</v>
      </c>
      <c r="D2988" t="str">
        <f>"6136972509  "</f>
        <v xml:space="preserve">6136972509  </v>
      </c>
      <c r="E2988" t="s">
        <v>929</v>
      </c>
      <c r="F2988" t="s">
        <v>930</v>
      </c>
      <c r="G2988">
        <v>98.58</v>
      </c>
      <c r="H2988">
        <v>250531</v>
      </c>
      <c r="I2988">
        <v>4572</v>
      </c>
      <c r="J2988" t="s">
        <v>173</v>
      </c>
      <c r="K2988">
        <v>98.58</v>
      </c>
      <c r="L2988">
        <v>20.03</v>
      </c>
      <c r="M2988">
        <v>17952</v>
      </c>
      <c r="N2988" t="s">
        <v>157</v>
      </c>
      <c r="O2988">
        <v>250617</v>
      </c>
      <c r="P2988">
        <v>78.55</v>
      </c>
    </row>
    <row r="2989" spans="1:16" x14ac:dyDescent="0.25">
      <c r="A2989" t="s">
        <v>3296</v>
      </c>
      <c r="B2989" t="s">
        <v>2931</v>
      </c>
      <c r="C2989">
        <v>9447</v>
      </c>
      <c r="D2989" t="str">
        <f>"6137189176  "</f>
        <v xml:space="preserve">6137189176  </v>
      </c>
      <c r="E2989" t="s">
        <v>929</v>
      </c>
      <c r="F2989" t="s">
        <v>930</v>
      </c>
      <c r="G2989">
        <v>53.55</v>
      </c>
      <c r="H2989">
        <v>250630</v>
      </c>
      <c r="I2989">
        <v>4572</v>
      </c>
      <c r="J2989" t="s">
        <v>173</v>
      </c>
      <c r="K2989">
        <v>1784.87</v>
      </c>
      <c r="L2989">
        <v>10.88</v>
      </c>
      <c r="M2989">
        <v>17739</v>
      </c>
      <c r="N2989" t="s">
        <v>928</v>
      </c>
      <c r="O2989">
        <v>250707</v>
      </c>
      <c r="P2989">
        <v>42.67</v>
      </c>
    </row>
    <row r="2990" spans="1:16" x14ac:dyDescent="0.25">
      <c r="A2990" t="s">
        <v>3296</v>
      </c>
      <c r="B2990" t="s">
        <v>2931</v>
      </c>
      <c r="C2990">
        <v>9447</v>
      </c>
      <c r="D2990" t="str">
        <f>"6137189176  "</f>
        <v xml:space="preserve">6137189176  </v>
      </c>
      <c r="E2990" t="s">
        <v>929</v>
      </c>
      <c r="F2990" t="s">
        <v>930</v>
      </c>
      <c r="G2990">
        <v>589.01</v>
      </c>
      <c r="H2990">
        <v>250630</v>
      </c>
      <c r="I2990">
        <v>4572</v>
      </c>
      <c r="J2990" t="s">
        <v>173</v>
      </c>
      <c r="K2990">
        <v>1784.87</v>
      </c>
      <c r="L2990">
        <v>119.68</v>
      </c>
      <c r="M2990">
        <v>17912</v>
      </c>
      <c r="N2990" t="s">
        <v>505</v>
      </c>
      <c r="O2990">
        <v>250707</v>
      </c>
      <c r="P2990">
        <v>469.33</v>
      </c>
    </row>
    <row r="2991" spans="1:16" x14ac:dyDescent="0.25">
      <c r="A2991" t="s">
        <v>3296</v>
      </c>
      <c r="B2991" t="s">
        <v>2931</v>
      </c>
      <c r="C2991">
        <v>9447</v>
      </c>
      <c r="D2991" t="str">
        <f>"6137189176  "</f>
        <v xml:space="preserve">6137189176  </v>
      </c>
      <c r="E2991" t="s">
        <v>929</v>
      </c>
      <c r="F2991" t="s">
        <v>930</v>
      </c>
      <c r="G2991">
        <v>1142.31</v>
      </c>
      <c r="H2991">
        <v>250630</v>
      </c>
      <c r="I2991">
        <v>4572</v>
      </c>
      <c r="J2991" t="s">
        <v>173</v>
      </c>
      <c r="K2991">
        <v>1784.87</v>
      </c>
      <c r="L2991">
        <v>232.1</v>
      </c>
      <c r="M2991">
        <v>17952</v>
      </c>
      <c r="N2991" t="s">
        <v>157</v>
      </c>
      <c r="O2991">
        <v>250707</v>
      </c>
      <c r="P2991">
        <v>910.21</v>
      </c>
    </row>
    <row r="2992" spans="1:16" x14ac:dyDescent="0.25">
      <c r="A2992" t="s">
        <v>3296</v>
      </c>
      <c r="B2992" t="s">
        <v>2931</v>
      </c>
      <c r="C2992">
        <v>9451</v>
      </c>
      <c r="D2992" t="str">
        <f>"6137256736  "</f>
        <v xml:space="preserve">6137256736  </v>
      </c>
      <c r="E2992" t="s">
        <v>929</v>
      </c>
      <c r="F2992" t="s">
        <v>930</v>
      </c>
      <c r="G2992">
        <v>12.16</v>
      </c>
      <c r="H2992">
        <v>250630</v>
      </c>
      <c r="I2992">
        <v>4572</v>
      </c>
      <c r="J2992" t="s">
        <v>173</v>
      </c>
      <c r="K2992">
        <v>243.26</v>
      </c>
      <c r="L2992">
        <v>2.4700000000000002</v>
      </c>
      <c r="M2992">
        <v>17737</v>
      </c>
      <c r="N2992" t="s">
        <v>156</v>
      </c>
      <c r="O2992">
        <v>250707</v>
      </c>
      <c r="P2992">
        <v>9.69</v>
      </c>
    </row>
    <row r="2993" spans="1:16" x14ac:dyDescent="0.25">
      <c r="A2993" t="s">
        <v>3296</v>
      </c>
      <c r="B2993" t="s">
        <v>2931</v>
      </c>
      <c r="C2993">
        <v>9451</v>
      </c>
      <c r="D2993" t="str">
        <f>"6137256736  "</f>
        <v xml:space="preserve">6137256736  </v>
      </c>
      <c r="E2993" t="s">
        <v>929</v>
      </c>
      <c r="F2993" t="s">
        <v>930</v>
      </c>
      <c r="G2993">
        <v>161.77000000000001</v>
      </c>
      <c r="H2993">
        <v>250630</v>
      </c>
      <c r="I2993">
        <v>4572</v>
      </c>
      <c r="J2993" t="s">
        <v>173</v>
      </c>
      <c r="K2993">
        <v>243.26</v>
      </c>
      <c r="L2993">
        <v>32.869999999999997</v>
      </c>
      <c r="M2993">
        <v>17737</v>
      </c>
      <c r="N2993" t="s">
        <v>156</v>
      </c>
      <c r="O2993">
        <v>250707</v>
      </c>
      <c r="P2993">
        <v>128.9</v>
      </c>
    </row>
    <row r="2994" spans="1:16" x14ac:dyDescent="0.25">
      <c r="A2994" t="s">
        <v>3296</v>
      </c>
      <c r="B2994" t="s">
        <v>2931</v>
      </c>
      <c r="C2994">
        <v>9451</v>
      </c>
      <c r="D2994" t="str">
        <f>"6137256736  "</f>
        <v xml:space="preserve">6137256736  </v>
      </c>
      <c r="E2994" t="s">
        <v>929</v>
      </c>
      <c r="F2994" t="s">
        <v>930</v>
      </c>
      <c r="G2994">
        <v>69.33</v>
      </c>
      <c r="H2994">
        <v>250630</v>
      </c>
      <c r="I2994">
        <v>4572</v>
      </c>
      <c r="J2994" t="s">
        <v>173</v>
      </c>
      <c r="K2994">
        <v>243.26</v>
      </c>
      <c r="L2994">
        <v>14.09</v>
      </c>
      <c r="M2994">
        <v>17739</v>
      </c>
      <c r="N2994" t="s">
        <v>928</v>
      </c>
      <c r="O2994">
        <v>250707</v>
      </c>
      <c r="P2994">
        <v>55.24</v>
      </c>
    </row>
    <row r="2995" spans="1:16" x14ac:dyDescent="0.25">
      <c r="A2995" t="s">
        <v>3296</v>
      </c>
      <c r="B2995" t="s">
        <v>2931</v>
      </c>
      <c r="C2995">
        <v>9452</v>
      </c>
      <c r="D2995" t="str">
        <f>"6137141248  "</f>
        <v xml:space="preserve">6137141248  </v>
      </c>
      <c r="E2995" t="s">
        <v>929</v>
      </c>
      <c r="F2995" t="s">
        <v>930</v>
      </c>
      <c r="G2995">
        <v>71.5</v>
      </c>
      <c r="H2995">
        <v>250630</v>
      </c>
      <c r="I2995">
        <v>4572</v>
      </c>
      <c r="J2995" t="s">
        <v>173</v>
      </c>
      <c r="K2995">
        <v>71.5</v>
      </c>
      <c r="L2995">
        <v>14.53</v>
      </c>
      <c r="M2995">
        <v>13841</v>
      </c>
      <c r="N2995" t="s">
        <v>178</v>
      </c>
      <c r="O2995">
        <v>250707</v>
      </c>
      <c r="P2995">
        <v>56.97</v>
      </c>
    </row>
    <row r="2996" spans="1:16" x14ac:dyDescent="0.25">
      <c r="A2996" t="s">
        <v>3296</v>
      </c>
      <c r="B2996" t="s">
        <v>2931</v>
      </c>
      <c r="C2996">
        <v>9453</v>
      </c>
      <c r="D2996" t="str">
        <f>"6137206006  "</f>
        <v xml:space="preserve">6137206006  </v>
      </c>
      <c r="E2996" t="s">
        <v>929</v>
      </c>
      <c r="F2996" t="s">
        <v>930</v>
      </c>
      <c r="G2996">
        <v>176.47</v>
      </c>
      <c r="H2996">
        <v>250630</v>
      </c>
      <c r="I2996">
        <v>4572</v>
      </c>
      <c r="J2996" t="s">
        <v>173</v>
      </c>
      <c r="K2996">
        <v>3529.47</v>
      </c>
      <c r="L2996">
        <v>35.86</v>
      </c>
      <c r="M2996">
        <v>49111</v>
      </c>
      <c r="N2996" t="s">
        <v>108</v>
      </c>
      <c r="O2996">
        <v>250707</v>
      </c>
      <c r="P2996">
        <v>140.61000000000001</v>
      </c>
    </row>
    <row r="2997" spans="1:16" x14ac:dyDescent="0.25">
      <c r="A2997" t="s">
        <v>3296</v>
      </c>
      <c r="B2997" t="s">
        <v>2931</v>
      </c>
      <c r="C2997">
        <v>9453</v>
      </c>
      <c r="D2997" t="str">
        <f>"6137206006  "</f>
        <v xml:space="preserve">6137206006  </v>
      </c>
      <c r="E2997" t="s">
        <v>929</v>
      </c>
      <c r="F2997" t="s">
        <v>930</v>
      </c>
      <c r="G2997">
        <v>3229.47</v>
      </c>
      <c r="H2997">
        <v>250630</v>
      </c>
      <c r="I2997">
        <v>4572</v>
      </c>
      <c r="J2997" t="s">
        <v>173</v>
      </c>
      <c r="K2997">
        <v>3529.47</v>
      </c>
      <c r="L2997">
        <v>656.19</v>
      </c>
      <c r="M2997">
        <v>49501</v>
      </c>
      <c r="N2997" t="s">
        <v>110</v>
      </c>
      <c r="O2997">
        <v>250707</v>
      </c>
      <c r="P2997">
        <v>2573.2800000000002</v>
      </c>
    </row>
    <row r="2998" spans="1:16" x14ac:dyDescent="0.25">
      <c r="A2998" t="s">
        <v>3296</v>
      </c>
      <c r="B2998" t="s">
        <v>2931</v>
      </c>
      <c r="C2998">
        <v>9453</v>
      </c>
      <c r="D2998" t="str">
        <f>"6137206006  "</f>
        <v xml:space="preserve">6137206006  </v>
      </c>
      <c r="E2998" t="s">
        <v>929</v>
      </c>
      <c r="F2998" t="s">
        <v>930</v>
      </c>
      <c r="G2998">
        <v>70.59</v>
      </c>
      <c r="H2998">
        <v>250630</v>
      </c>
      <c r="I2998">
        <v>4572</v>
      </c>
      <c r="J2998" t="s">
        <v>173</v>
      </c>
      <c r="K2998">
        <v>3529.47</v>
      </c>
      <c r="L2998">
        <v>14.34</v>
      </c>
      <c r="M2998">
        <v>49801</v>
      </c>
      <c r="N2998" t="s">
        <v>953</v>
      </c>
      <c r="O2998">
        <v>250707</v>
      </c>
      <c r="P2998">
        <v>56.25</v>
      </c>
    </row>
    <row r="2999" spans="1:16" x14ac:dyDescent="0.25">
      <c r="A2999" t="s">
        <v>3296</v>
      </c>
      <c r="B2999" t="s">
        <v>2931</v>
      </c>
      <c r="C2999">
        <v>9453</v>
      </c>
      <c r="D2999" t="str">
        <f>"6137206006  "</f>
        <v xml:space="preserve">6137206006  </v>
      </c>
      <c r="E2999" t="s">
        <v>929</v>
      </c>
      <c r="F2999" t="s">
        <v>930</v>
      </c>
      <c r="G2999">
        <v>52.94</v>
      </c>
      <c r="H2999">
        <v>250630</v>
      </c>
      <c r="I2999">
        <v>4572</v>
      </c>
      <c r="J2999" t="s">
        <v>173</v>
      </c>
      <c r="K2999">
        <v>3529.47</v>
      </c>
      <c r="L2999">
        <v>0</v>
      </c>
      <c r="M2999">
        <v>49803</v>
      </c>
      <c r="N2999" t="s">
        <v>956</v>
      </c>
      <c r="O2999">
        <v>250707</v>
      </c>
      <c r="P2999">
        <v>52.94</v>
      </c>
    </row>
    <row r="3000" spans="1:16" x14ac:dyDescent="0.25">
      <c r="A3000" t="s">
        <v>3296</v>
      </c>
      <c r="B3000" t="s">
        <v>2931</v>
      </c>
      <c r="C3000">
        <v>9455</v>
      </c>
      <c r="D3000" t="str">
        <f>"6137315591  "</f>
        <v xml:space="preserve">6137315591  </v>
      </c>
      <c r="E3000" t="s">
        <v>929</v>
      </c>
      <c r="F3000" t="s">
        <v>930</v>
      </c>
      <c r="G3000">
        <v>1607.14</v>
      </c>
      <c r="H3000">
        <v>250630</v>
      </c>
      <c r="I3000">
        <v>4572</v>
      </c>
      <c r="J3000" t="s">
        <v>173</v>
      </c>
      <c r="K3000">
        <v>1607.14</v>
      </c>
      <c r="L3000">
        <v>326.55</v>
      </c>
      <c r="M3000">
        <v>49503</v>
      </c>
      <c r="N3000" t="s">
        <v>267</v>
      </c>
      <c r="O3000">
        <v>250707</v>
      </c>
      <c r="P3000">
        <v>1280.5899999999999</v>
      </c>
    </row>
    <row r="3001" spans="1:16" x14ac:dyDescent="0.25">
      <c r="A3001" t="s">
        <v>3296</v>
      </c>
      <c r="B3001" t="s">
        <v>2931</v>
      </c>
      <c r="C3001">
        <v>9605</v>
      </c>
      <c r="D3001" t="str">
        <f>"6137166541  "</f>
        <v xml:space="preserve">6137166541  </v>
      </c>
      <c r="E3001" t="s">
        <v>929</v>
      </c>
      <c r="F3001" t="s">
        <v>930</v>
      </c>
      <c r="G3001">
        <v>1395.95</v>
      </c>
      <c r="H3001">
        <v>250630</v>
      </c>
      <c r="I3001">
        <v>4572</v>
      </c>
      <c r="J3001" t="s">
        <v>173</v>
      </c>
      <c r="K3001">
        <v>1469.42</v>
      </c>
      <c r="L3001">
        <v>283.64</v>
      </c>
      <c r="M3001">
        <v>49501</v>
      </c>
      <c r="N3001" t="s">
        <v>110</v>
      </c>
      <c r="O3001">
        <v>250721</v>
      </c>
      <c r="P3001">
        <v>1112.31</v>
      </c>
    </row>
    <row r="3002" spans="1:16" x14ac:dyDescent="0.25">
      <c r="A3002" t="s">
        <v>3296</v>
      </c>
      <c r="B3002" t="s">
        <v>2931</v>
      </c>
      <c r="C3002">
        <v>9605</v>
      </c>
      <c r="D3002" t="str">
        <f>"6137166541  "</f>
        <v xml:space="preserve">6137166541  </v>
      </c>
      <c r="E3002" t="s">
        <v>929</v>
      </c>
      <c r="F3002" t="s">
        <v>930</v>
      </c>
      <c r="G3002">
        <v>73.47</v>
      </c>
      <c r="H3002">
        <v>250630</v>
      </c>
      <c r="I3002">
        <v>4572</v>
      </c>
      <c r="J3002" t="s">
        <v>173</v>
      </c>
      <c r="K3002">
        <v>1469.42</v>
      </c>
      <c r="L3002">
        <v>14.93</v>
      </c>
      <c r="M3002">
        <v>49801</v>
      </c>
      <c r="N3002" t="s">
        <v>953</v>
      </c>
      <c r="O3002">
        <v>250721</v>
      </c>
      <c r="P3002">
        <v>58.54</v>
      </c>
    </row>
    <row r="3003" spans="1:16" x14ac:dyDescent="0.25">
      <c r="A3003" t="s">
        <v>3296</v>
      </c>
      <c r="B3003" t="s">
        <v>2931</v>
      </c>
      <c r="C3003">
        <v>9727</v>
      </c>
      <c r="D3003" t="str">
        <f>"6137386446  "</f>
        <v xml:space="preserve">6137386446  </v>
      </c>
      <c r="E3003" t="s">
        <v>929</v>
      </c>
      <c r="F3003" t="s">
        <v>930</v>
      </c>
      <c r="G3003">
        <v>98.58</v>
      </c>
      <c r="H3003">
        <v>250630</v>
      </c>
      <c r="I3003">
        <v>4572</v>
      </c>
      <c r="J3003" t="s">
        <v>173</v>
      </c>
      <c r="K3003">
        <v>98.58</v>
      </c>
      <c r="L3003">
        <v>20.03</v>
      </c>
      <c r="M3003">
        <v>17952</v>
      </c>
      <c r="N3003" t="s">
        <v>157</v>
      </c>
      <c r="O3003">
        <v>250725</v>
      </c>
      <c r="P3003">
        <v>78.55</v>
      </c>
    </row>
    <row r="3004" spans="1:16" x14ac:dyDescent="0.25">
      <c r="A3004" t="s">
        <v>3296</v>
      </c>
      <c r="B3004" t="s">
        <v>2931</v>
      </c>
      <c r="C3004">
        <v>9922</v>
      </c>
      <c r="D3004" t="str">
        <f>"6137580253  "</f>
        <v xml:space="preserve">6137580253  </v>
      </c>
      <c r="E3004" t="s">
        <v>929</v>
      </c>
      <c r="F3004" t="s">
        <v>930</v>
      </c>
      <c r="G3004">
        <v>54.72</v>
      </c>
      <c r="H3004">
        <v>250731</v>
      </c>
      <c r="I3004">
        <v>4572</v>
      </c>
      <c r="J3004" t="s">
        <v>173</v>
      </c>
      <c r="K3004">
        <v>1823.9</v>
      </c>
      <c r="L3004">
        <v>11.12</v>
      </c>
      <c r="M3004">
        <v>17739</v>
      </c>
      <c r="N3004" t="s">
        <v>928</v>
      </c>
      <c r="O3004">
        <v>250804</v>
      </c>
      <c r="P3004">
        <v>43.6</v>
      </c>
    </row>
    <row r="3005" spans="1:16" x14ac:dyDescent="0.25">
      <c r="A3005" t="s">
        <v>3296</v>
      </c>
      <c r="B3005" t="s">
        <v>2931</v>
      </c>
      <c r="C3005">
        <v>9922</v>
      </c>
      <c r="D3005" t="str">
        <f>"6137580253  "</f>
        <v xml:space="preserve">6137580253  </v>
      </c>
      <c r="E3005" t="s">
        <v>929</v>
      </c>
      <c r="F3005" t="s">
        <v>930</v>
      </c>
      <c r="G3005">
        <v>601.89</v>
      </c>
      <c r="H3005">
        <v>250731</v>
      </c>
      <c r="I3005">
        <v>4572</v>
      </c>
      <c r="J3005" t="s">
        <v>173</v>
      </c>
      <c r="K3005">
        <v>1823.9</v>
      </c>
      <c r="L3005">
        <v>122.3</v>
      </c>
      <c r="M3005">
        <v>17912</v>
      </c>
      <c r="N3005" t="s">
        <v>505</v>
      </c>
      <c r="O3005">
        <v>250804</v>
      </c>
      <c r="P3005">
        <v>479.59</v>
      </c>
    </row>
    <row r="3006" spans="1:16" x14ac:dyDescent="0.25">
      <c r="A3006" t="s">
        <v>3296</v>
      </c>
      <c r="B3006" t="s">
        <v>2931</v>
      </c>
      <c r="C3006">
        <v>9922</v>
      </c>
      <c r="D3006" t="str">
        <f>"6137580253  "</f>
        <v xml:space="preserve">6137580253  </v>
      </c>
      <c r="E3006" t="s">
        <v>929</v>
      </c>
      <c r="F3006" t="s">
        <v>930</v>
      </c>
      <c r="G3006">
        <v>1167.29</v>
      </c>
      <c r="H3006">
        <v>250731</v>
      </c>
      <c r="I3006">
        <v>4572</v>
      </c>
      <c r="J3006" t="s">
        <v>173</v>
      </c>
      <c r="K3006">
        <v>1823.9</v>
      </c>
      <c r="L3006">
        <v>237.18</v>
      </c>
      <c r="M3006">
        <v>17952</v>
      </c>
      <c r="N3006" t="s">
        <v>157</v>
      </c>
      <c r="O3006">
        <v>250804</v>
      </c>
      <c r="P3006">
        <v>930.11</v>
      </c>
    </row>
    <row r="3007" spans="1:16" x14ac:dyDescent="0.25">
      <c r="A3007" t="s">
        <v>3296</v>
      </c>
      <c r="B3007" t="s">
        <v>2931</v>
      </c>
      <c r="C3007">
        <v>10117</v>
      </c>
      <c r="D3007" t="str">
        <f>"6137528563  "</f>
        <v xml:space="preserve">6137528563  </v>
      </c>
      <c r="E3007" t="s">
        <v>929</v>
      </c>
      <c r="F3007" t="s">
        <v>930</v>
      </c>
      <c r="G3007">
        <v>97.38</v>
      </c>
      <c r="H3007">
        <v>250731</v>
      </c>
      <c r="I3007">
        <v>4572</v>
      </c>
      <c r="J3007" t="s">
        <v>173</v>
      </c>
      <c r="K3007">
        <v>3245.87</v>
      </c>
      <c r="L3007">
        <v>19.79</v>
      </c>
      <c r="M3007">
        <v>49111</v>
      </c>
      <c r="N3007" t="s">
        <v>108</v>
      </c>
      <c r="O3007">
        <v>250812</v>
      </c>
      <c r="P3007">
        <v>77.59</v>
      </c>
    </row>
    <row r="3008" spans="1:16" x14ac:dyDescent="0.25">
      <c r="A3008" t="s">
        <v>3296</v>
      </c>
      <c r="B3008" t="s">
        <v>2931</v>
      </c>
      <c r="C3008">
        <v>10117</v>
      </c>
      <c r="D3008" t="str">
        <f>"6137528563  "</f>
        <v xml:space="preserve">6137528563  </v>
      </c>
      <c r="E3008" t="s">
        <v>929</v>
      </c>
      <c r="F3008" t="s">
        <v>930</v>
      </c>
      <c r="G3008">
        <v>3002.42</v>
      </c>
      <c r="H3008">
        <v>250731</v>
      </c>
      <c r="I3008">
        <v>4572</v>
      </c>
      <c r="J3008" t="s">
        <v>173</v>
      </c>
      <c r="K3008">
        <v>3245.87</v>
      </c>
      <c r="L3008">
        <v>610.04999999999995</v>
      </c>
      <c r="M3008">
        <v>49501</v>
      </c>
      <c r="N3008" t="s">
        <v>110</v>
      </c>
      <c r="O3008">
        <v>250812</v>
      </c>
      <c r="P3008">
        <v>2392.37</v>
      </c>
    </row>
    <row r="3009" spans="1:16" x14ac:dyDescent="0.25">
      <c r="A3009" t="s">
        <v>3296</v>
      </c>
      <c r="B3009" t="s">
        <v>2931</v>
      </c>
      <c r="C3009">
        <v>10117</v>
      </c>
      <c r="D3009" t="str">
        <f>"6137528563  "</f>
        <v xml:space="preserve">6137528563  </v>
      </c>
      <c r="E3009" t="s">
        <v>929</v>
      </c>
      <c r="F3009" t="s">
        <v>930</v>
      </c>
      <c r="G3009">
        <v>64.92</v>
      </c>
      <c r="H3009">
        <v>250731</v>
      </c>
      <c r="I3009">
        <v>4572</v>
      </c>
      <c r="J3009" t="s">
        <v>173</v>
      </c>
      <c r="K3009">
        <v>3245.87</v>
      </c>
      <c r="L3009">
        <v>13.19</v>
      </c>
      <c r="M3009">
        <v>49801</v>
      </c>
      <c r="N3009" t="s">
        <v>953</v>
      </c>
      <c r="O3009">
        <v>250812</v>
      </c>
      <c r="P3009">
        <v>51.73</v>
      </c>
    </row>
    <row r="3010" spans="1:16" x14ac:dyDescent="0.25">
      <c r="A3010" t="s">
        <v>3296</v>
      </c>
      <c r="B3010" t="s">
        <v>2931</v>
      </c>
      <c r="C3010">
        <v>10117</v>
      </c>
      <c r="D3010" t="str">
        <f>"6137528563  "</f>
        <v xml:space="preserve">6137528563  </v>
      </c>
      <c r="E3010" t="s">
        <v>929</v>
      </c>
      <c r="F3010" t="s">
        <v>930</v>
      </c>
      <c r="G3010">
        <v>81.150000000000006</v>
      </c>
      <c r="H3010">
        <v>250731</v>
      </c>
      <c r="I3010">
        <v>4572</v>
      </c>
      <c r="J3010" t="s">
        <v>173</v>
      </c>
      <c r="K3010">
        <v>3245.87</v>
      </c>
      <c r="L3010">
        <v>0</v>
      </c>
      <c r="M3010">
        <v>49803</v>
      </c>
      <c r="N3010" t="s">
        <v>956</v>
      </c>
      <c r="O3010">
        <v>250812</v>
      </c>
      <c r="P3010">
        <v>81.150000000000006</v>
      </c>
    </row>
    <row r="3011" spans="1:16" x14ac:dyDescent="0.25">
      <c r="A3011" t="s">
        <v>3296</v>
      </c>
      <c r="B3011" t="s">
        <v>2931</v>
      </c>
      <c r="C3011">
        <v>10125</v>
      </c>
      <c r="D3011" t="str">
        <f>"6137599742  "</f>
        <v xml:space="preserve">6137599742  </v>
      </c>
      <c r="E3011" t="s">
        <v>929</v>
      </c>
      <c r="F3011" t="s">
        <v>930</v>
      </c>
      <c r="G3011">
        <v>1320.84</v>
      </c>
      <c r="H3011">
        <v>250731</v>
      </c>
      <c r="I3011">
        <v>4572</v>
      </c>
      <c r="J3011" t="s">
        <v>173</v>
      </c>
      <c r="K3011">
        <v>1390.36</v>
      </c>
      <c r="L3011">
        <v>268.38</v>
      </c>
      <c r="M3011">
        <v>49501</v>
      </c>
      <c r="N3011" t="s">
        <v>110</v>
      </c>
      <c r="O3011">
        <v>250812</v>
      </c>
      <c r="P3011">
        <v>1052.46</v>
      </c>
    </row>
    <row r="3012" spans="1:16" x14ac:dyDescent="0.25">
      <c r="A3012" t="s">
        <v>3296</v>
      </c>
      <c r="B3012" t="s">
        <v>2931</v>
      </c>
      <c r="C3012">
        <v>10125</v>
      </c>
      <c r="D3012" t="str">
        <f>"6137599742  "</f>
        <v xml:space="preserve">6137599742  </v>
      </c>
      <c r="E3012" t="s">
        <v>929</v>
      </c>
      <c r="F3012" t="s">
        <v>930</v>
      </c>
      <c r="G3012">
        <v>69.52</v>
      </c>
      <c r="H3012">
        <v>250731</v>
      </c>
      <c r="I3012">
        <v>4572</v>
      </c>
      <c r="J3012" t="s">
        <v>173</v>
      </c>
      <c r="K3012">
        <v>1390.36</v>
      </c>
      <c r="L3012">
        <v>14.13</v>
      </c>
      <c r="M3012">
        <v>49801</v>
      </c>
      <c r="N3012" t="s">
        <v>953</v>
      </c>
      <c r="O3012">
        <v>250812</v>
      </c>
      <c r="P3012">
        <v>55.39</v>
      </c>
    </row>
    <row r="3013" spans="1:16" x14ac:dyDescent="0.25">
      <c r="A3013" t="s">
        <v>3296</v>
      </c>
      <c r="B3013" t="s">
        <v>2931</v>
      </c>
      <c r="C3013">
        <v>10145</v>
      </c>
      <c r="D3013" t="str">
        <f>"6137589137  "</f>
        <v xml:space="preserve">6137589137  </v>
      </c>
      <c r="E3013" t="s">
        <v>929</v>
      </c>
      <c r="F3013" t="s">
        <v>930</v>
      </c>
      <c r="G3013">
        <v>9.82</v>
      </c>
      <c r="H3013">
        <v>250731</v>
      </c>
      <c r="I3013">
        <v>4572</v>
      </c>
      <c r="J3013" t="s">
        <v>173</v>
      </c>
      <c r="K3013">
        <v>196.48</v>
      </c>
      <c r="L3013">
        <v>2</v>
      </c>
      <c r="M3013">
        <v>17737</v>
      </c>
      <c r="N3013" t="s">
        <v>156</v>
      </c>
      <c r="O3013">
        <v>250812</v>
      </c>
      <c r="P3013">
        <v>7.82</v>
      </c>
    </row>
    <row r="3014" spans="1:16" x14ac:dyDescent="0.25">
      <c r="A3014" t="s">
        <v>3296</v>
      </c>
      <c r="B3014" t="s">
        <v>2931</v>
      </c>
      <c r="C3014">
        <v>10145</v>
      </c>
      <c r="D3014" t="str">
        <f>"6137589137  "</f>
        <v xml:space="preserve">6137589137  </v>
      </c>
      <c r="E3014" t="s">
        <v>929</v>
      </c>
      <c r="F3014" t="s">
        <v>930</v>
      </c>
      <c r="G3014">
        <v>130.66</v>
      </c>
      <c r="H3014">
        <v>250731</v>
      </c>
      <c r="I3014">
        <v>4572</v>
      </c>
      <c r="J3014" t="s">
        <v>173</v>
      </c>
      <c r="K3014">
        <v>196.48</v>
      </c>
      <c r="L3014">
        <v>26.55</v>
      </c>
      <c r="M3014">
        <v>17737</v>
      </c>
      <c r="N3014" t="s">
        <v>156</v>
      </c>
      <c r="O3014">
        <v>250812</v>
      </c>
      <c r="P3014">
        <v>104.11</v>
      </c>
    </row>
    <row r="3015" spans="1:16" x14ac:dyDescent="0.25">
      <c r="A3015" t="s">
        <v>3296</v>
      </c>
      <c r="B3015" t="s">
        <v>2931</v>
      </c>
      <c r="C3015">
        <v>10145</v>
      </c>
      <c r="D3015" t="str">
        <f>"6137589137  "</f>
        <v xml:space="preserve">6137589137  </v>
      </c>
      <c r="E3015" t="s">
        <v>929</v>
      </c>
      <c r="F3015" t="s">
        <v>930</v>
      </c>
      <c r="G3015">
        <v>56</v>
      </c>
      <c r="H3015">
        <v>250731</v>
      </c>
      <c r="I3015">
        <v>4572</v>
      </c>
      <c r="J3015" t="s">
        <v>173</v>
      </c>
      <c r="K3015">
        <v>196.48</v>
      </c>
      <c r="L3015">
        <v>11.38</v>
      </c>
      <c r="M3015">
        <v>17739</v>
      </c>
      <c r="N3015" t="s">
        <v>928</v>
      </c>
      <c r="O3015">
        <v>250812</v>
      </c>
      <c r="P3015">
        <v>44.62</v>
      </c>
    </row>
    <row r="3016" spans="1:16" x14ac:dyDescent="0.25">
      <c r="A3016" t="s">
        <v>3296</v>
      </c>
      <c r="B3016" t="s">
        <v>2931</v>
      </c>
      <c r="C3016">
        <v>10235</v>
      </c>
      <c r="D3016" t="str">
        <f>"6137638814  "</f>
        <v xml:space="preserve">6137638814  </v>
      </c>
      <c r="E3016" t="s">
        <v>929</v>
      </c>
      <c r="F3016" t="s">
        <v>930</v>
      </c>
      <c r="G3016">
        <v>98.58</v>
      </c>
      <c r="H3016">
        <v>250731</v>
      </c>
      <c r="I3016">
        <v>4572</v>
      </c>
      <c r="J3016" t="s">
        <v>173</v>
      </c>
      <c r="K3016">
        <v>98.58</v>
      </c>
      <c r="L3016">
        <v>20.03</v>
      </c>
      <c r="M3016">
        <v>17952</v>
      </c>
      <c r="N3016" t="s">
        <v>157</v>
      </c>
      <c r="O3016">
        <v>250813</v>
      </c>
      <c r="P3016">
        <v>78.55</v>
      </c>
    </row>
    <row r="3017" spans="1:16" x14ac:dyDescent="0.25">
      <c r="A3017" t="s">
        <v>3296</v>
      </c>
      <c r="B3017" t="s">
        <v>2931</v>
      </c>
      <c r="C3017">
        <v>11415</v>
      </c>
      <c r="D3017" t="str">
        <f>"6137749787  "</f>
        <v xml:space="preserve">6137749787  </v>
      </c>
      <c r="E3017" t="s">
        <v>929</v>
      </c>
      <c r="F3017" t="s">
        <v>930</v>
      </c>
      <c r="G3017">
        <v>58.48</v>
      </c>
      <c r="H3017">
        <v>250831</v>
      </c>
      <c r="I3017">
        <v>4572</v>
      </c>
      <c r="J3017" t="s">
        <v>173</v>
      </c>
      <c r="K3017">
        <v>58.48</v>
      </c>
      <c r="L3017">
        <v>11.88</v>
      </c>
      <c r="M3017">
        <v>13841</v>
      </c>
      <c r="N3017" t="s">
        <v>178</v>
      </c>
      <c r="O3017">
        <v>250904</v>
      </c>
      <c r="P3017">
        <v>46.6</v>
      </c>
    </row>
    <row r="3018" spans="1:16" x14ac:dyDescent="0.25">
      <c r="A3018" t="s">
        <v>3296</v>
      </c>
      <c r="B3018" t="s">
        <v>2931</v>
      </c>
      <c r="C3018">
        <v>11416</v>
      </c>
      <c r="D3018" t="str">
        <f>"6137796313  "</f>
        <v xml:space="preserve">6137796313  </v>
      </c>
      <c r="E3018" t="s">
        <v>929</v>
      </c>
      <c r="F3018" t="s">
        <v>930</v>
      </c>
      <c r="G3018">
        <v>1407.34</v>
      </c>
      <c r="H3018">
        <v>250831</v>
      </c>
      <c r="I3018">
        <v>4572</v>
      </c>
      <c r="J3018" t="s">
        <v>173</v>
      </c>
      <c r="K3018">
        <v>1407.34</v>
      </c>
      <c r="L3018">
        <v>285.95</v>
      </c>
      <c r="M3018">
        <v>49503</v>
      </c>
      <c r="N3018" t="s">
        <v>267</v>
      </c>
      <c r="O3018">
        <v>250904</v>
      </c>
      <c r="P3018">
        <v>1121.3900000000001</v>
      </c>
    </row>
    <row r="3019" spans="1:16" x14ac:dyDescent="0.25">
      <c r="A3019" t="s">
        <v>3296</v>
      </c>
      <c r="B3019" t="s">
        <v>2931</v>
      </c>
      <c r="C3019">
        <v>11417</v>
      </c>
      <c r="D3019" t="str">
        <f>"6138039859  "</f>
        <v xml:space="preserve">6138039859  </v>
      </c>
      <c r="E3019" t="s">
        <v>929</v>
      </c>
      <c r="F3019" t="s">
        <v>930</v>
      </c>
      <c r="G3019">
        <v>15.84</v>
      </c>
      <c r="H3019">
        <v>250831</v>
      </c>
      <c r="I3019">
        <v>4572</v>
      </c>
      <c r="J3019" t="s">
        <v>173</v>
      </c>
      <c r="K3019">
        <v>316.93</v>
      </c>
      <c r="L3019">
        <v>3.22</v>
      </c>
      <c r="M3019">
        <v>17737</v>
      </c>
      <c r="N3019" t="s">
        <v>156</v>
      </c>
      <c r="O3019">
        <v>250904</v>
      </c>
      <c r="P3019">
        <v>12.62</v>
      </c>
    </row>
    <row r="3020" spans="1:16" x14ac:dyDescent="0.25">
      <c r="A3020" t="s">
        <v>3296</v>
      </c>
      <c r="B3020" t="s">
        <v>2931</v>
      </c>
      <c r="C3020">
        <v>11417</v>
      </c>
      <c r="D3020" t="str">
        <f>"6138039859  "</f>
        <v xml:space="preserve">6138039859  </v>
      </c>
      <c r="E3020" t="s">
        <v>929</v>
      </c>
      <c r="F3020" t="s">
        <v>930</v>
      </c>
      <c r="G3020">
        <v>210.76</v>
      </c>
      <c r="H3020">
        <v>250831</v>
      </c>
      <c r="I3020">
        <v>4572</v>
      </c>
      <c r="J3020" t="s">
        <v>173</v>
      </c>
      <c r="K3020">
        <v>316.93</v>
      </c>
      <c r="L3020">
        <v>42.82</v>
      </c>
      <c r="M3020">
        <v>17737</v>
      </c>
      <c r="N3020" t="s">
        <v>156</v>
      </c>
      <c r="O3020">
        <v>250904</v>
      </c>
      <c r="P3020">
        <v>167.94</v>
      </c>
    </row>
    <row r="3021" spans="1:16" x14ac:dyDescent="0.25">
      <c r="A3021" t="s">
        <v>3296</v>
      </c>
      <c r="B3021" t="s">
        <v>2931</v>
      </c>
      <c r="C3021">
        <v>11417</v>
      </c>
      <c r="D3021" t="str">
        <f>"6138039859  "</f>
        <v xml:space="preserve">6138039859  </v>
      </c>
      <c r="E3021" t="s">
        <v>929</v>
      </c>
      <c r="F3021" t="s">
        <v>930</v>
      </c>
      <c r="G3021">
        <v>90.33</v>
      </c>
      <c r="H3021">
        <v>250831</v>
      </c>
      <c r="I3021">
        <v>4572</v>
      </c>
      <c r="J3021" t="s">
        <v>173</v>
      </c>
      <c r="K3021">
        <v>316.93</v>
      </c>
      <c r="L3021">
        <v>18.350000000000001</v>
      </c>
      <c r="M3021">
        <v>17739</v>
      </c>
      <c r="N3021" t="s">
        <v>928</v>
      </c>
      <c r="O3021">
        <v>250904</v>
      </c>
      <c r="P3021">
        <v>71.98</v>
      </c>
    </row>
    <row r="3022" spans="1:16" x14ac:dyDescent="0.25">
      <c r="A3022" t="s">
        <v>3296</v>
      </c>
      <c r="B3022" t="s">
        <v>2931</v>
      </c>
      <c r="C3022">
        <v>11418</v>
      </c>
      <c r="D3022" t="str">
        <f>"6137859918  "</f>
        <v xml:space="preserve">6137859918  </v>
      </c>
      <c r="E3022" t="s">
        <v>929</v>
      </c>
      <c r="F3022" t="s">
        <v>930</v>
      </c>
      <c r="G3022">
        <v>52.51</v>
      </c>
      <c r="H3022">
        <v>250831</v>
      </c>
      <c r="I3022">
        <v>4572</v>
      </c>
      <c r="J3022" t="s">
        <v>173</v>
      </c>
      <c r="K3022">
        <v>1750.22</v>
      </c>
      <c r="L3022">
        <v>10.67</v>
      </c>
      <c r="M3022">
        <v>17739</v>
      </c>
      <c r="N3022" t="s">
        <v>928</v>
      </c>
      <c r="O3022">
        <v>250904</v>
      </c>
      <c r="P3022">
        <v>41.84</v>
      </c>
    </row>
    <row r="3023" spans="1:16" x14ac:dyDescent="0.25">
      <c r="A3023" t="s">
        <v>3296</v>
      </c>
      <c r="B3023" t="s">
        <v>2931</v>
      </c>
      <c r="C3023">
        <v>11418</v>
      </c>
      <c r="D3023" t="str">
        <f>"6137859918  "</f>
        <v xml:space="preserve">6137859918  </v>
      </c>
      <c r="E3023" t="s">
        <v>929</v>
      </c>
      <c r="F3023" t="s">
        <v>930</v>
      </c>
      <c r="G3023">
        <v>577.57000000000005</v>
      </c>
      <c r="H3023">
        <v>250831</v>
      </c>
      <c r="I3023">
        <v>4572</v>
      </c>
      <c r="J3023" t="s">
        <v>173</v>
      </c>
      <c r="K3023">
        <v>1750.22</v>
      </c>
      <c r="L3023">
        <v>117.35</v>
      </c>
      <c r="M3023">
        <v>17912</v>
      </c>
      <c r="N3023" t="s">
        <v>505</v>
      </c>
      <c r="O3023">
        <v>250904</v>
      </c>
      <c r="P3023">
        <v>460.22</v>
      </c>
    </row>
    <row r="3024" spans="1:16" x14ac:dyDescent="0.25">
      <c r="A3024" t="s">
        <v>3296</v>
      </c>
      <c r="B3024" t="s">
        <v>2931</v>
      </c>
      <c r="C3024">
        <v>11418</v>
      </c>
      <c r="D3024" t="str">
        <f>"6137859918  "</f>
        <v xml:space="preserve">6137859918  </v>
      </c>
      <c r="E3024" t="s">
        <v>929</v>
      </c>
      <c r="F3024" t="s">
        <v>930</v>
      </c>
      <c r="G3024">
        <v>1120.1400000000001</v>
      </c>
      <c r="H3024">
        <v>250831</v>
      </c>
      <c r="I3024">
        <v>4572</v>
      </c>
      <c r="J3024" t="s">
        <v>173</v>
      </c>
      <c r="K3024">
        <v>1750.22</v>
      </c>
      <c r="L3024">
        <v>227.6</v>
      </c>
      <c r="M3024">
        <v>17952</v>
      </c>
      <c r="N3024" t="s">
        <v>157</v>
      </c>
      <c r="O3024">
        <v>250904</v>
      </c>
      <c r="P3024">
        <v>892.54</v>
      </c>
    </row>
    <row r="3025" spans="1:16" x14ac:dyDescent="0.25">
      <c r="A3025" t="s">
        <v>3296</v>
      </c>
      <c r="B3025" t="s">
        <v>2931</v>
      </c>
      <c r="C3025">
        <v>11581</v>
      </c>
      <c r="D3025" t="str">
        <f>"6137819326  "</f>
        <v xml:space="preserve">6137819326  </v>
      </c>
      <c r="E3025" t="s">
        <v>929</v>
      </c>
      <c r="F3025" t="s">
        <v>930</v>
      </c>
      <c r="G3025">
        <v>1472.73</v>
      </c>
      <c r="H3025">
        <v>250831</v>
      </c>
      <c r="I3025">
        <v>4572</v>
      </c>
      <c r="J3025" t="s">
        <v>173</v>
      </c>
      <c r="K3025">
        <v>1550.24</v>
      </c>
      <c r="L3025">
        <v>299.24</v>
      </c>
      <c r="M3025">
        <v>49501</v>
      </c>
      <c r="N3025" t="s">
        <v>110</v>
      </c>
      <c r="O3025">
        <v>250909</v>
      </c>
      <c r="P3025">
        <v>1173.49</v>
      </c>
    </row>
    <row r="3026" spans="1:16" x14ac:dyDescent="0.25">
      <c r="A3026" t="s">
        <v>3296</v>
      </c>
      <c r="B3026" t="s">
        <v>2931</v>
      </c>
      <c r="C3026">
        <v>11581</v>
      </c>
      <c r="D3026" t="str">
        <f>"6137819326  "</f>
        <v xml:space="preserve">6137819326  </v>
      </c>
      <c r="E3026" t="s">
        <v>929</v>
      </c>
      <c r="F3026" t="s">
        <v>930</v>
      </c>
      <c r="G3026">
        <v>77.510000000000005</v>
      </c>
      <c r="H3026">
        <v>250831</v>
      </c>
      <c r="I3026">
        <v>4572</v>
      </c>
      <c r="J3026" t="s">
        <v>173</v>
      </c>
      <c r="K3026">
        <v>1550.24</v>
      </c>
      <c r="L3026">
        <v>15.75</v>
      </c>
      <c r="M3026">
        <v>49801</v>
      </c>
      <c r="N3026" t="s">
        <v>953</v>
      </c>
      <c r="O3026">
        <v>250909</v>
      </c>
      <c r="P3026">
        <v>61.76</v>
      </c>
    </row>
    <row r="3027" spans="1:16" x14ac:dyDescent="0.25">
      <c r="A3027" t="s">
        <v>3296</v>
      </c>
      <c r="B3027" t="s">
        <v>2931</v>
      </c>
      <c r="C3027">
        <v>11586</v>
      </c>
      <c r="D3027" t="str">
        <f>"6137734967  "</f>
        <v xml:space="preserve">6137734967  </v>
      </c>
      <c r="E3027" t="s">
        <v>929</v>
      </c>
      <c r="F3027" t="s">
        <v>930</v>
      </c>
      <c r="G3027">
        <v>131.37</v>
      </c>
      <c r="H3027">
        <v>250831</v>
      </c>
      <c r="I3027">
        <v>4572</v>
      </c>
      <c r="J3027" t="s">
        <v>173</v>
      </c>
      <c r="K3027">
        <v>4378.95</v>
      </c>
      <c r="L3027">
        <v>26.69</v>
      </c>
      <c r="M3027">
        <v>49111</v>
      </c>
      <c r="N3027" t="s">
        <v>108</v>
      </c>
      <c r="O3027">
        <v>250909</v>
      </c>
      <c r="P3027">
        <v>104.68</v>
      </c>
    </row>
    <row r="3028" spans="1:16" x14ac:dyDescent="0.25">
      <c r="A3028" t="s">
        <v>3296</v>
      </c>
      <c r="B3028" t="s">
        <v>2931</v>
      </c>
      <c r="C3028">
        <v>11586</v>
      </c>
      <c r="D3028" t="str">
        <f>"6137734967  "</f>
        <v xml:space="preserve">6137734967  </v>
      </c>
      <c r="E3028" t="s">
        <v>929</v>
      </c>
      <c r="F3028" t="s">
        <v>930</v>
      </c>
      <c r="G3028">
        <v>4050.53</v>
      </c>
      <c r="H3028">
        <v>250831</v>
      </c>
      <c r="I3028">
        <v>4572</v>
      </c>
      <c r="J3028" t="s">
        <v>173</v>
      </c>
      <c r="K3028">
        <v>4378.95</v>
      </c>
      <c r="L3028">
        <v>823.02</v>
      </c>
      <c r="M3028">
        <v>49501</v>
      </c>
      <c r="N3028" t="s">
        <v>110</v>
      </c>
      <c r="O3028">
        <v>250909</v>
      </c>
      <c r="P3028">
        <v>3227.51</v>
      </c>
    </row>
    <row r="3029" spans="1:16" x14ac:dyDescent="0.25">
      <c r="A3029" t="s">
        <v>3296</v>
      </c>
      <c r="B3029" t="s">
        <v>2931</v>
      </c>
      <c r="C3029">
        <v>11586</v>
      </c>
      <c r="D3029" t="str">
        <f>"6137734967  "</f>
        <v xml:space="preserve">6137734967  </v>
      </c>
      <c r="E3029" t="s">
        <v>929</v>
      </c>
      <c r="F3029" t="s">
        <v>930</v>
      </c>
      <c r="G3029">
        <v>87.58</v>
      </c>
      <c r="H3029">
        <v>250831</v>
      </c>
      <c r="I3029">
        <v>4572</v>
      </c>
      <c r="J3029" t="s">
        <v>173</v>
      </c>
      <c r="K3029">
        <v>4378.95</v>
      </c>
      <c r="L3029">
        <v>17.8</v>
      </c>
      <c r="M3029">
        <v>49801</v>
      </c>
      <c r="N3029" t="s">
        <v>953</v>
      </c>
      <c r="O3029">
        <v>250909</v>
      </c>
      <c r="P3029">
        <v>69.78</v>
      </c>
    </row>
    <row r="3030" spans="1:16" x14ac:dyDescent="0.25">
      <c r="A3030" t="s">
        <v>3296</v>
      </c>
      <c r="B3030" t="s">
        <v>2931</v>
      </c>
      <c r="C3030">
        <v>11586</v>
      </c>
      <c r="D3030" t="str">
        <f>"6137734967  "</f>
        <v xml:space="preserve">6137734967  </v>
      </c>
      <c r="E3030" t="s">
        <v>929</v>
      </c>
      <c r="F3030" t="s">
        <v>930</v>
      </c>
      <c r="G3030">
        <v>109.47</v>
      </c>
      <c r="H3030">
        <v>250831</v>
      </c>
      <c r="I3030">
        <v>4572</v>
      </c>
      <c r="J3030" t="s">
        <v>173</v>
      </c>
      <c r="K3030">
        <v>4378.95</v>
      </c>
      <c r="L3030">
        <v>0</v>
      </c>
      <c r="M3030">
        <v>49803</v>
      </c>
      <c r="N3030" t="s">
        <v>956</v>
      </c>
      <c r="O3030">
        <v>250909</v>
      </c>
      <c r="P3030">
        <v>109.47</v>
      </c>
    </row>
    <row r="3031" spans="1:16" x14ac:dyDescent="0.25">
      <c r="A3031" t="s">
        <v>3296</v>
      </c>
      <c r="B3031" t="s">
        <v>2931</v>
      </c>
      <c r="C3031">
        <v>11744</v>
      </c>
      <c r="D3031" t="str">
        <f>"6138057930  "</f>
        <v xml:space="preserve">6138057930  </v>
      </c>
      <c r="E3031" t="s">
        <v>929</v>
      </c>
      <c r="F3031" t="s">
        <v>930</v>
      </c>
      <c r="G3031">
        <v>98.58</v>
      </c>
      <c r="H3031">
        <v>250831</v>
      </c>
      <c r="I3031">
        <v>4572</v>
      </c>
      <c r="J3031" t="s">
        <v>173</v>
      </c>
      <c r="K3031">
        <v>98.58</v>
      </c>
      <c r="L3031">
        <v>20.03</v>
      </c>
      <c r="M3031">
        <v>17952</v>
      </c>
      <c r="N3031" t="s">
        <v>157</v>
      </c>
      <c r="O3031">
        <v>250910</v>
      </c>
      <c r="P3031">
        <v>78.55</v>
      </c>
    </row>
    <row r="3032" spans="1:16" x14ac:dyDescent="0.25">
      <c r="A3032" t="s">
        <v>3296</v>
      </c>
      <c r="B3032" t="s">
        <v>2931</v>
      </c>
      <c r="C3032">
        <v>13068</v>
      </c>
      <c r="D3032" t="str">
        <f>"6138224717  "</f>
        <v xml:space="preserve">6138224717  </v>
      </c>
      <c r="E3032" t="s">
        <v>929</v>
      </c>
      <c r="F3032" t="s">
        <v>930</v>
      </c>
      <c r="G3032">
        <v>21.81</v>
      </c>
      <c r="H3032">
        <v>250930</v>
      </c>
      <c r="I3032">
        <v>4572</v>
      </c>
      <c r="J3032" t="s">
        <v>173</v>
      </c>
      <c r="K3032">
        <v>436.25</v>
      </c>
      <c r="L3032">
        <v>4.43</v>
      </c>
      <c r="M3032">
        <v>17737</v>
      </c>
      <c r="N3032" t="s">
        <v>156</v>
      </c>
      <c r="O3032">
        <v>251003</v>
      </c>
      <c r="P3032">
        <v>17.38</v>
      </c>
    </row>
    <row r="3033" spans="1:16" x14ac:dyDescent="0.25">
      <c r="A3033" t="s">
        <v>3296</v>
      </c>
      <c r="B3033" t="s">
        <v>2931</v>
      </c>
      <c r="C3033">
        <v>13068</v>
      </c>
      <c r="D3033" t="str">
        <f>"6138224717  "</f>
        <v xml:space="preserve">6138224717  </v>
      </c>
      <c r="E3033" t="s">
        <v>929</v>
      </c>
      <c r="F3033" t="s">
        <v>930</v>
      </c>
      <c r="G3033">
        <v>290.11</v>
      </c>
      <c r="H3033">
        <v>250930</v>
      </c>
      <c r="I3033">
        <v>4572</v>
      </c>
      <c r="J3033" t="s">
        <v>173</v>
      </c>
      <c r="K3033">
        <v>436.25</v>
      </c>
      <c r="L3033">
        <v>58.95</v>
      </c>
      <c r="M3033">
        <v>17737</v>
      </c>
      <c r="N3033" t="s">
        <v>156</v>
      </c>
      <c r="O3033">
        <v>251003</v>
      </c>
      <c r="P3033">
        <v>231.16</v>
      </c>
    </row>
    <row r="3034" spans="1:16" x14ac:dyDescent="0.25">
      <c r="A3034" t="s">
        <v>3296</v>
      </c>
      <c r="B3034" t="s">
        <v>2931</v>
      </c>
      <c r="C3034">
        <v>13068</v>
      </c>
      <c r="D3034" t="str">
        <f>"6138224717  "</f>
        <v xml:space="preserve">6138224717  </v>
      </c>
      <c r="E3034" t="s">
        <v>929</v>
      </c>
      <c r="F3034" t="s">
        <v>930</v>
      </c>
      <c r="G3034">
        <v>124.33</v>
      </c>
      <c r="H3034">
        <v>250930</v>
      </c>
      <c r="I3034">
        <v>4572</v>
      </c>
      <c r="J3034" t="s">
        <v>173</v>
      </c>
      <c r="K3034">
        <v>436.25</v>
      </c>
      <c r="L3034">
        <v>25.26</v>
      </c>
      <c r="M3034">
        <v>17739</v>
      </c>
      <c r="N3034" t="s">
        <v>928</v>
      </c>
      <c r="O3034">
        <v>251003</v>
      </c>
      <c r="P3034">
        <v>99.07</v>
      </c>
    </row>
    <row r="3035" spans="1:16" x14ac:dyDescent="0.25">
      <c r="A3035" t="s">
        <v>3296</v>
      </c>
      <c r="B3035" t="s">
        <v>2931</v>
      </c>
      <c r="C3035">
        <v>13070</v>
      </c>
      <c r="D3035" t="str">
        <f>"6138301318  "</f>
        <v xml:space="preserve">6138301318  </v>
      </c>
      <c r="E3035" t="s">
        <v>929</v>
      </c>
      <c r="F3035" t="s">
        <v>930</v>
      </c>
      <c r="G3035">
        <v>50.55</v>
      </c>
      <c r="H3035">
        <v>250930</v>
      </c>
      <c r="I3035">
        <v>4572</v>
      </c>
      <c r="J3035" t="s">
        <v>173</v>
      </c>
      <c r="K3035">
        <v>1684.96</v>
      </c>
      <c r="L3035">
        <v>10.27</v>
      </c>
      <c r="M3035">
        <v>17739</v>
      </c>
      <c r="N3035" t="s">
        <v>928</v>
      </c>
      <c r="O3035">
        <v>251003</v>
      </c>
      <c r="P3035">
        <v>40.28</v>
      </c>
    </row>
    <row r="3036" spans="1:16" x14ac:dyDescent="0.25">
      <c r="A3036" t="s">
        <v>3296</v>
      </c>
      <c r="B3036" t="s">
        <v>2931</v>
      </c>
      <c r="C3036">
        <v>13070</v>
      </c>
      <c r="D3036" t="str">
        <f>"6138301318  "</f>
        <v xml:space="preserve">6138301318  </v>
      </c>
      <c r="E3036" t="s">
        <v>929</v>
      </c>
      <c r="F3036" t="s">
        <v>930</v>
      </c>
      <c r="G3036">
        <v>556.04</v>
      </c>
      <c r="H3036">
        <v>250930</v>
      </c>
      <c r="I3036">
        <v>4572</v>
      </c>
      <c r="J3036" t="s">
        <v>173</v>
      </c>
      <c r="K3036">
        <v>1684.96</v>
      </c>
      <c r="L3036">
        <v>112.98</v>
      </c>
      <c r="M3036">
        <v>17912</v>
      </c>
      <c r="N3036" t="s">
        <v>505</v>
      </c>
      <c r="O3036">
        <v>251003</v>
      </c>
      <c r="P3036">
        <v>443.06</v>
      </c>
    </row>
    <row r="3037" spans="1:16" x14ac:dyDescent="0.25">
      <c r="A3037" t="s">
        <v>3296</v>
      </c>
      <c r="B3037" t="s">
        <v>2931</v>
      </c>
      <c r="C3037">
        <v>13070</v>
      </c>
      <c r="D3037" t="str">
        <f>"6138301318  "</f>
        <v xml:space="preserve">6138301318  </v>
      </c>
      <c r="E3037" t="s">
        <v>929</v>
      </c>
      <c r="F3037" t="s">
        <v>930</v>
      </c>
      <c r="G3037">
        <v>1078.3699999999999</v>
      </c>
      <c r="H3037">
        <v>250930</v>
      </c>
      <c r="I3037">
        <v>4572</v>
      </c>
      <c r="J3037" t="s">
        <v>173</v>
      </c>
      <c r="K3037">
        <v>1684.96</v>
      </c>
      <c r="L3037">
        <v>219.11</v>
      </c>
      <c r="M3037">
        <v>17952</v>
      </c>
      <c r="N3037" t="s">
        <v>157</v>
      </c>
      <c r="O3037">
        <v>251003</v>
      </c>
      <c r="P3037">
        <v>859.26</v>
      </c>
    </row>
    <row r="3038" spans="1:16" x14ac:dyDescent="0.25">
      <c r="A3038" t="s">
        <v>3296</v>
      </c>
      <c r="B3038" t="s">
        <v>2931</v>
      </c>
      <c r="C3038">
        <v>13347</v>
      </c>
      <c r="D3038" t="str">
        <f>"6138304686  "</f>
        <v xml:space="preserve">6138304686  </v>
      </c>
      <c r="E3038" t="s">
        <v>929</v>
      </c>
      <c r="F3038" t="s">
        <v>930</v>
      </c>
      <c r="G3038">
        <v>98.58</v>
      </c>
      <c r="H3038">
        <v>250930</v>
      </c>
      <c r="I3038">
        <v>4572</v>
      </c>
      <c r="J3038" t="s">
        <v>173</v>
      </c>
      <c r="K3038">
        <v>98.58</v>
      </c>
      <c r="L3038">
        <v>20.03</v>
      </c>
      <c r="M3038">
        <v>17952</v>
      </c>
      <c r="N3038" t="s">
        <v>157</v>
      </c>
      <c r="O3038">
        <v>251008</v>
      </c>
      <c r="P3038">
        <v>78.55</v>
      </c>
    </row>
    <row r="3039" spans="1:16" x14ac:dyDescent="0.25">
      <c r="A3039" t="s">
        <v>3296</v>
      </c>
      <c r="B3039" t="s">
        <v>2931</v>
      </c>
      <c r="C3039">
        <v>13511</v>
      </c>
      <c r="D3039" t="str">
        <f>"6138235217  "</f>
        <v xml:space="preserve">6138235217  </v>
      </c>
      <c r="E3039" t="s">
        <v>929</v>
      </c>
      <c r="F3039" t="s">
        <v>930</v>
      </c>
      <c r="G3039">
        <v>138.74</v>
      </c>
      <c r="H3039">
        <v>250930</v>
      </c>
      <c r="I3039">
        <v>4572</v>
      </c>
      <c r="J3039" t="s">
        <v>173</v>
      </c>
      <c r="K3039">
        <v>4624.6499999999996</v>
      </c>
      <c r="L3039">
        <v>28.19</v>
      </c>
      <c r="M3039">
        <v>49111</v>
      </c>
      <c r="N3039" t="s">
        <v>108</v>
      </c>
      <c r="O3039">
        <v>251010</v>
      </c>
      <c r="P3039">
        <v>110.55</v>
      </c>
    </row>
    <row r="3040" spans="1:16" x14ac:dyDescent="0.25">
      <c r="A3040" t="s">
        <v>3296</v>
      </c>
      <c r="B3040" t="s">
        <v>2931</v>
      </c>
      <c r="C3040">
        <v>13511</v>
      </c>
      <c r="D3040" t="str">
        <f>"6138235217  "</f>
        <v xml:space="preserve">6138235217  </v>
      </c>
      <c r="E3040" t="s">
        <v>929</v>
      </c>
      <c r="F3040" t="s">
        <v>930</v>
      </c>
      <c r="G3040">
        <v>4277.8</v>
      </c>
      <c r="H3040">
        <v>250930</v>
      </c>
      <c r="I3040">
        <v>4572</v>
      </c>
      <c r="J3040" t="s">
        <v>173</v>
      </c>
      <c r="K3040">
        <v>4624.6499999999996</v>
      </c>
      <c r="L3040">
        <v>869.19</v>
      </c>
      <c r="M3040">
        <v>49501</v>
      </c>
      <c r="N3040" t="s">
        <v>110</v>
      </c>
      <c r="O3040">
        <v>251010</v>
      </c>
      <c r="P3040">
        <v>3408.61</v>
      </c>
    </row>
    <row r="3041" spans="1:16" x14ac:dyDescent="0.25">
      <c r="A3041" t="s">
        <v>3296</v>
      </c>
      <c r="B3041" t="s">
        <v>2931</v>
      </c>
      <c r="C3041">
        <v>13511</v>
      </c>
      <c r="D3041" t="str">
        <f>"6138235217  "</f>
        <v xml:space="preserve">6138235217  </v>
      </c>
      <c r="E3041" t="s">
        <v>929</v>
      </c>
      <c r="F3041" t="s">
        <v>930</v>
      </c>
      <c r="G3041">
        <v>138.74</v>
      </c>
      <c r="H3041">
        <v>250930</v>
      </c>
      <c r="I3041">
        <v>4572</v>
      </c>
      <c r="J3041" t="s">
        <v>173</v>
      </c>
      <c r="K3041">
        <v>4624.6499999999996</v>
      </c>
      <c r="L3041">
        <v>28.19</v>
      </c>
      <c r="M3041">
        <v>49801</v>
      </c>
      <c r="N3041" t="s">
        <v>953</v>
      </c>
      <c r="O3041">
        <v>251010</v>
      </c>
      <c r="P3041">
        <v>110.55</v>
      </c>
    </row>
    <row r="3042" spans="1:16" x14ac:dyDescent="0.25">
      <c r="A3042" t="s">
        <v>3296</v>
      </c>
      <c r="B3042" t="s">
        <v>2931</v>
      </c>
      <c r="C3042">
        <v>13511</v>
      </c>
      <c r="D3042" t="str">
        <f>"6138235217  "</f>
        <v xml:space="preserve">6138235217  </v>
      </c>
      <c r="E3042" t="s">
        <v>929</v>
      </c>
      <c r="F3042" t="s">
        <v>930</v>
      </c>
      <c r="G3042">
        <v>69.37</v>
      </c>
      <c r="H3042">
        <v>250930</v>
      </c>
      <c r="I3042">
        <v>4572</v>
      </c>
      <c r="J3042" t="s">
        <v>173</v>
      </c>
      <c r="K3042">
        <v>4624.6499999999996</v>
      </c>
      <c r="L3042">
        <v>0</v>
      </c>
      <c r="M3042">
        <v>49803</v>
      </c>
      <c r="N3042" t="s">
        <v>956</v>
      </c>
      <c r="O3042">
        <v>251010</v>
      </c>
      <c r="P3042">
        <v>69.37</v>
      </c>
    </row>
    <row r="3043" spans="1:16" x14ac:dyDescent="0.25">
      <c r="A3043" t="s">
        <v>3296</v>
      </c>
      <c r="B3043" t="s">
        <v>2931</v>
      </c>
      <c r="C3043">
        <v>13513</v>
      </c>
      <c r="D3043" t="str">
        <f>"6138192101  "</f>
        <v xml:space="preserve">6138192101  </v>
      </c>
      <c r="E3043" t="s">
        <v>929</v>
      </c>
      <c r="F3043" t="s">
        <v>930</v>
      </c>
      <c r="G3043">
        <v>1587.14</v>
      </c>
      <c r="H3043">
        <v>250930</v>
      </c>
      <c r="I3043">
        <v>4572</v>
      </c>
      <c r="J3043" t="s">
        <v>173</v>
      </c>
      <c r="K3043">
        <v>1670.67</v>
      </c>
      <c r="L3043">
        <v>322.49</v>
      </c>
      <c r="M3043">
        <v>49501</v>
      </c>
      <c r="N3043" t="s">
        <v>110</v>
      </c>
      <c r="O3043">
        <v>251010</v>
      </c>
      <c r="P3043">
        <v>1264.6500000000001</v>
      </c>
    </row>
    <row r="3044" spans="1:16" x14ac:dyDescent="0.25">
      <c r="A3044" t="s">
        <v>3296</v>
      </c>
      <c r="B3044" t="s">
        <v>2931</v>
      </c>
      <c r="C3044">
        <v>13513</v>
      </c>
      <c r="D3044" t="str">
        <f>"6138192101  "</f>
        <v xml:space="preserve">6138192101  </v>
      </c>
      <c r="E3044" t="s">
        <v>929</v>
      </c>
      <c r="F3044" t="s">
        <v>930</v>
      </c>
      <c r="G3044">
        <v>83.53</v>
      </c>
      <c r="H3044">
        <v>250930</v>
      </c>
      <c r="I3044">
        <v>4572</v>
      </c>
      <c r="J3044" t="s">
        <v>173</v>
      </c>
      <c r="K3044">
        <v>1670.67</v>
      </c>
      <c r="L3044">
        <v>16.97</v>
      </c>
      <c r="M3044">
        <v>49801</v>
      </c>
      <c r="N3044" t="s">
        <v>953</v>
      </c>
      <c r="O3044">
        <v>251010</v>
      </c>
      <c r="P3044">
        <v>66.56</v>
      </c>
    </row>
    <row r="3045" spans="1:16" x14ac:dyDescent="0.25">
      <c r="A3045" t="s">
        <v>3296</v>
      </c>
      <c r="B3045" t="s">
        <v>2931</v>
      </c>
      <c r="C3045">
        <v>14147</v>
      </c>
      <c r="D3045" t="str">
        <f>"6138396231  "</f>
        <v xml:space="preserve">6138396231  </v>
      </c>
      <c r="E3045" t="s">
        <v>929</v>
      </c>
      <c r="F3045" t="s">
        <v>930</v>
      </c>
      <c r="G3045">
        <v>22.23</v>
      </c>
      <c r="H3045">
        <v>251021</v>
      </c>
      <c r="I3045">
        <v>4572</v>
      </c>
      <c r="J3045" t="s">
        <v>173</v>
      </c>
      <c r="K3045">
        <v>22.23</v>
      </c>
      <c r="L3045">
        <v>4.5199999999999996</v>
      </c>
      <c r="M3045">
        <v>17952</v>
      </c>
      <c r="N3045" t="s">
        <v>157</v>
      </c>
      <c r="O3045">
        <v>251024</v>
      </c>
      <c r="P3045">
        <v>17.71</v>
      </c>
    </row>
    <row r="3046" spans="1:16" x14ac:dyDescent="0.25">
      <c r="A3046" t="s">
        <v>3296</v>
      </c>
      <c r="B3046" t="s">
        <v>2931</v>
      </c>
      <c r="C3046">
        <v>14605</v>
      </c>
      <c r="D3046" t="str">
        <f>"6138479154  "</f>
        <v xml:space="preserve">6138479154  </v>
      </c>
      <c r="E3046" t="s">
        <v>929</v>
      </c>
      <c r="F3046" t="s">
        <v>930</v>
      </c>
      <c r="G3046">
        <v>74.45</v>
      </c>
      <c r="H3046">
        <v>251031</v>
      </c>
      <c r="I3046">
        <v>4572</v>
      </c>
      <c r="J3046" t="s">
        <v>173</v>
      </c>
      <c r="K3046">
        <v>74.45</v>
      </c>
      <c r="L3046">
        <v>15.13</v>
      </c>
      <c r="M3046">
        <v>13841</v>
      </c>
      <c r="N3046" t="s">
        <v>178</v>
      </c>
      <c r="O3046">
        <v>251105</v>
      </c>
      <c r="P3046">
        <v>59.32</v>
      </c>
    </row>
    <row r="3047" spans="1:16" x14ac:dyDescent="0.25">
      <c r="A3047" t="s">
        <v>3296</v>
      </c>
      <c r="B3047" t="s">
        <v>2931</v>
      </c>
      <c r="C3047">
        <v>14608</v>
      </c>
      <c r="D3047" t="str">
        <f>"6138494608  "</f>
        <v xml:space="preserve">6138494608  </v>
      </c>
      <c r="E3047" t="s">
        <v>929</v>
      </c>
      <c r="F3047" t="s">
        <v>930</v>
      </c>
      <c r="G3047">
        <v>21.42</v>
      </c>
      <c r="H3047">
        <v>251031</v>
      </c>
      <c r="I3047">
        <v>4572</v>
      </c>
      <c r="J3047" t="s">
        <v>173</v>
      </c>
      <c r="K3047">
        <v>428.38</v>
      </c>
      <c r="L3047">
        <v>4.3499999999999996</v>
      </c>
      <c r="M3047">
        <v>17737</v>
      </c>
      <c r="N3047" t="s">
        <v>156</v>
      </c>
      <c r="O3047">
        <v>251105</v>
      </c>
      <c r="P3047">
        <v>17.07</v>
      </c>
    </row>
    <row r="3048" spans="1:16" x14ac:dyDescent="0.25">
      <c r="A3048" t="s">
        <v>3296</v>
      </c>
      <c r="B3048" t="s">
        <v>2931</v>
      </c>
      <c r="C3048">
        <v>14608</v>
      </c>
      <c r="D3048" t="str">
        <f>"6138494608  "</f>
        <v xml:space="preserve">6138494608  </v>
      </c>
      <c r="E3048" t="s">
        <v>929</v>
      </c>
      <c r="F3048" t="s">
        <v>930</v>
      </c>
      <c r="G3048">
        <v>284.87</v>
      </c>
      <c r="H3048">
        <v>251031</v>
      </c>
      <c r="I3048">
        <v>4572</v>
      </c>
      <c r="J3048" t="s">
        <v>173</v>
      </c>
      <c r="K3048">
        <v>428.38</v>
      </c>
      <c r="L3048">
        <v>57.88</v>
      </c>
      <c r="M3048">
        <v>17737</v>
      </c>
      <c r="N3048" t="s">
        <v>156</v>
      </c>
      <c r="O3048">
        <v>251105</v>
      </c>
      <c r="P3048">
        <v>226.99</v>
      </c>
    </row>
    <row r="3049" spans="1:16" x14ac:dyDescent="0.25">
      <c r="A3049" t="s">
        <v>3296</v>
      </c>
      <c r="B3049" t="s">
        <v>2931</v>
      </c>
      <c r="C3049">
        <v>14608</v>
      </c>
      <c r="D3049" t="str">
        <f>"6138494608  "</f>
        <v xml:space="preserve">6138494608  </v>
      </c>
      <c r="E3049" t="s">
        <v>929</v>
      </c>
      <c r="F3049" t="s">
        <v>930</v>
      </c>
      <c r="G3049">
        <v>122.09</v>
      </c>
      <c r="H3049">
        <v>251031</v>
      </c>
      <c r="I3049">
        <v>4572</v>
      </c>
      <c r="J3049" t="s">
        <v>173</v>
      </c>
      <c r="K3049">
        <v>428.38</v>
      </c>
      <c r="L3049">
        <v>24.81</v>
      </c>
      <c r="M3049">
        <v>17739</v>
      </c>
      <c r="N3049" t="s">
        <v>928</v>
      </c>
      <c r="O3049">
        <v>251105</v>
      </c>
      <c r="P3049">
        <v>97.28</v>
      </c>
    </row>
    <row r="3050" spans="1:16" x14ac:dyDescent="0.25">
      <c r="A3050" t="s">
        <v>3296</v>
      </c>
      <c r="B3050" t="s">
        <v>2931</v>
      </c>
      <c r="C3050">
        <v>14730</v>
      </c>
      <c r="D3050" t="str">
        <f>"6138587876  "</f>
        <v xml:space="preserve">6138587876  </v>
      </c>
      <c r="E3050" t="s">
        <v>929</v>
      </c>
      <c r="F3050" t="s">
        <v>930</v>
      </c>
      <c r="G3050">
        <v>1601.77</v>
      </c>
      <c r="H3050">
        <v>251031</v>
      </c>
      <c r="I3050">
        <v>4572</v>
      </c>
      <c r="J3050" t="s">
        <v>173</v>
      </c>
      <c r="K3050">
        <v>1686.07</v>
      </c>
      <c r="L3050">
        <v>325.45999999999998</v>
      </c>
      <c r="M3050">
        <v>49501</v>
      </c>
      <c r="N3050" t="s">
        <v>110</v>
      </c>
      <c r="O3050">
        <v>251106</v>
      </c>
      <c r="P3050">
        <v>1276.31</v>
      </c>
    </row>
    <row r="3051" spans="1:16" x14ac:dyDescent="0.25">
      <c r="A3051" t="s">
        <v>3296</v>
      </c>
      <c r="B3051" t="s">
        <v>2931</v>
      </c>
      <c r="C3051">
        <v>14730</v>
      </c>
      <c r="D3051" t="str">
        <f>"6138587876  "</f>
        <v xml:space="preserve">6138587876  </v>
      </c>
      <c r="E3051" t="s">
        <v>929</v>
      </c>
      <c r="F3051" t="s">
        <v>930</v>
      </c>
      <c r="G3051">
        <v>84.3</v>
      </c>
      <c r="H3051">
        <v>251031</v>
      </c>
      <c r="I3051">
        <v>4572</v>
      </c>
      <c r="J3051" t="s">
        <v>173</v>
      </c>
      <c r="K3051">
        <v>1686.07</v>
      </c>
      <c r="L3051">
        <v>17.13</v>
      </c>
      <c r="M3051">
        <v>49801</v>
      </c>
      <c r="N3051" t="s">
        <v>953</v>
      </c>
      <c r="O3051">
        <v>251106</v>
      </c>
      <c r="P3051">
        <v>67.17</v>
      </c>
    </row>
    <row r="3052" spans="1:16" x14ac:dyDescent="0.25">
      <c r="A3052" t="s">
        <v>3296</v>
      </c>
      <c r="B3052" t="s">
        <v>2931</v>
      </c>
      <c r="C3052">
        <v>14731</v>
      </c>
      <c r="D3052" t="str">
        <f>"6138541766  "</f>
        <v xml:space="preserve">6138541766  </v>
      </c>
      <c r="E3052" t="s">
        <v>929</v>
      </c>
      <c r="F3052" t="s">
        <v>930</v>
      </c>
      <c r="G3052">
        <v>1935.29</v>
      </c>
      <c r="H3052">
        <v>251031</v>
      </c>
      <c r="I3052">
        <v>4572</v>
      </c>
      <c r="J3052" t="s">
        <v>173</v>
      </c>
      <c r="K3052">
        <v>1935.29</v>
      </c>
      <c r="L3052">
        <v>393.23</v>
      </c>
      <c r="M3052">
        <v>49503</v>
      </c>
      <c r="N3052" t="s">
        <v>267</v>
      </c>
      <c r="O3052">
        <v>251106</v>
      </c>
      <c r="P3052">
        <v>1542.06</v>
      </c>
    </row>
    <row r="3053" spans="1:16" x14ac:dyDescent="0.25">
      <c r="A3053" t="s">
        <v>3296</v>
      </c>
      <c r="B3053" t="s">
        <v>2931</v>
      </c>
      <c r="C3053">
        <v>14734</v>
      </c>
      <c r="D3053" t="str">
        <f>"6138488267  "</f>
        <v xml:space="preserve">6138488267  </v>
      </c>
      <c r="E3053" t="s">
        <v>929</v>
      </c>
      <c r="F3053" t="s">
        <v>930</v>
      </c>
      <c r="G3053">
        <v>142.15</v>
      </c>
      <c r="H3053">
        <v>251031</v>
      </c>
      <c r="I3053">
        <v>4572</v>
      </c>
      <c r="J3053" t="s">
        <v>173</v>
      </c>
      <c r="K3053">
        <v>4738.3999999999996</v>
      </c>
      <c r="L3053">
        <v>28.88</v>
      </c>
      <c r="M3053">
        <v>49111</v>
      </c>
      <c r="N3053" t="s">
        <v>108</v>
      </c>
      <c r="O3053">
        <v>251106</v>
      </c>
      <c r="P3053">
        <v>113.27</v>
      </c>
    </row>
    <row r="3054" spans="1:16" x14ac:dyDescent="0.25">
      <c r="A3054" t="s">
        <v>3296</v>
      </c>
      <c r="B3054" t="s">
        <v>2931</v>
      </c>
      <c r="C3054">
        <v>14734</v>
      </c>
      <c r="D3054" t="str">
        <f>"6138488267  "</f>
        <v xml:space="preserve">6138488267  </v>
      </c>
      <c r="E3054" t="s">
        <v>929</v>
      </c>
      <c r="F3054" t="s">
        <v>930</v>
      </c>
      <c r="G3054">
        <v>4383.0200000000004</v>
      </c>
      <c r="H3054">
        <v>251031</v>
      </c>
      <c r="I3054">
        <v>4572</v>
      </c>
      <c r="J3054" t="s">
        <v>173</v>
      </c>
      <c r="K3054">
        <v>4738.3999999999996</v>
      </c>
      <c r="L3054">
        <v>890.57</v>
      </c>
      <c r="M3054">
        <v>49501</v>
      </c>
      <c r="N3054" t="s">
        <v>110</v>
      </c>
      <c r="O3054">
        <v>251106</v>
      </c>
      <c r="P3054">
        <v>3492.45</v>
      </c>
    </row>
    <row r="3055" spans="1:16" x14ac:dyDescent="0.25">
      <c r="A3055" t="s">
        <v>3296</v>
      </c>
      <c r="B3055" t="s">
        <v>2931</v>
      </c>
      <c r="C3055">
        <v>14734</v>
      </c>
      <c r="D3055" t="str">
        <f>"6138488267  "</f>
        <v xml:space="preserve">6138488267  </v>
      </c>
      <c r="E3055" t="s">
        <v>929</v>
      </c>
      <c r="F3055" t="s">
        <v>930</v>
      </c>
      <c r="G3055">
        <v>142.15</v>
      </c>
      <c r="H3055">
        <v>251031</v>
      </c>
      <c r="I3055">
        <v>4572</v>
      </c>
      <c r="J3055" t="s">
        <v>173</v>
      </c>
      <c r="K3055">
        <v>4738.3999999999996</v>
      </c>
      <c r="L3055">
        <v>28.88</v>
      </c>
      <c r="M3055">
        <v>49801</v>
      </c>
      <c r="N3055" t="s">
        <v>953</v>
      </c>
      <c r="O3055">
        <v>251106</v>
      </c>
      <c r="P3055">
        <v>113.27</v>
      </c>
    </row>
    <row r="3056" spans="1:16" x14ac:dyDescent="0.25">
      <c r="A3056" t="s">
        <v>3296</v>
      </c>
      <c r="B3056" t="s">
        <v>2931</v>
      </c>
      <c r="C3056">
        <v>14734</v>
      </c>
      <c r="D3056" t="str">
        <f>"6138488267  "</f>
        <v xml:space="preserve">6138488267  </v>
      </c>
      <c r="E3056" t="s">
        <v>929</v>
      </c>
      <c r="F3056" t="s">
        <v>930</v>
      </c>
      <c r="G3056">
        <v>71.08</v>
      </c>
      <c r="H3056">
        <v>251031</v>
      </c>
      <c r="I3056">
        <v>4572</v>
      </c>
      <c r="J3056" t="s">
        <v>173</v>
      </c>
      <c r="K3056">
        <v>4738.3999999999996</v>
      </c>
      <c r="L3056">
        <v>0</v>
      </c>
      <c r="M3056">
        <v>49803</v>
      </c>
      <c r="N3056" t="s">
        <v>956</v>
      </c>
      <c r="O3056">
        <v>251106</v>
      </c>
      <c r="P3056">
        <v>71.08</v>
      </c>
    </row>
    <row r="3057" spans="1:16" x14ac:dyDescent="0.25">
      <c r="A3057" t="s">
        <v>3296</v>
      </c>
      <c r="B3057" t="s">
        <v>2931</v>
      </c>
      <c r="C3057">
        <v>15046</v>
      </c>
      <c r="D3057" t="str">
        <f>"6138723718  "</f>
        <v xml:space="preserve">6138723718  </v>
      </c>
      <c r="E3057" t="s">
        <v>929</v>
      </c>
      <c r="F3057" t="s">
        <v>930</v>
      </c>
      <c r="G3057">
        <v>52.64</v>
      </c>
      <c r="H3057">
        <v>251031</v>
      </c>
      <c r="I3057">
        <v>4572</v>
      </c>
      <c r="J3057" t="s">
        <v>173</v>
      </c>
      <c r="K3057">
        <v>1754.53</v>
      </c>
      <c r="L3057">
        <v>10.7</v>
      </c>
      <c r="M3057">
        <v>17739</v>
      </c>
      <c r="N3057" t="s">
        <v>928</v>
      </c>
      <c r="O3057">
        <v>251110</v>
      </c>
      <c r="P3057">
        <v>41.94</v>
      </c>
    </row>
    <row r="3058" spans="1:16" x14ac:dyDescent="0.25">
      <c r="A3058" t="s">
        <v>3296</v>
      </c>
      <c r="B3058" t="s">
        <v>2931</v>
      </c>
      <c r="C3058">
        <v>15046</v>
      </c>
      <c r="D3058" t="str">
        <f>"6138723718  "</f>
        <v xml:space="preserve">6138723718  </v>
      </c>
      <c r="E3058" t="s">
        <v>929</v>
      </c>
      <c r="F3058" t="s">
        <v>930</v>
      </c>
      <c r="G3058">
        <v>578.99</v>
      </c>
      <c r="H3058">
        <v>251031</v>
      </c>
      <c r="I3058">
        <v>4572</v>
      </c>
      <c r="J3058" t="s">
        <v>173</v>
      </c>
      <c r="K3058">
        <v>1754.53</v>
      </c>
      <c r="L3058">
        <v>117.64</v>
      </c>
      <c r="M3058">
        <v>17912</v>
      </c>
      <c r="N3058" t="s">
        <v>505</v>
      </c>
      <c r="O3058">
        <v>251110</v>
      </c>
      <c r="P3058">
        <v>461.35</v>
      </c>
    </row>
    <row r="3059" spans="1:16" x14ac:dyDescent="0.25">
      <c r="A3059" t="s">
        <v>3296</v>
      </c>
      <c r="B3059" t="s">
        <v>2931</v>
      </c>
      <c r="C3059">
        <v>15046</v>
      </c>
      <c r="D3059" t="str">
        <f>"6138723718  "</f>
        <v xml:space="preserve">6138723718  </v>
      </c>
      <c r="E3059" t="s">
        <v>929</v>
      </c>
      <c r="F3059" t="s">
        <v>930</v>
      </c>
      <c r="G3059">
        <v>1122.9000000000001</v>
      </c>
      <c r="H3059">
        <v>251031</v>
      </c>
      <c r="I3059">
        <v>4572</v>
      </c>
      <c r="J3059" t="s">
        <v>173</v>
      </c>
      <c r="K3059">
        <v>1754.53</v>
      </c>
      <c r="L3059">
        <v>228.16</v>
      </c>
      <c r="M3059">
        <v>17952</v>
      </c>
      <c r="N3059" t="s">
        <v>157</v>
      </c>
      <c r="O3059">
        <v>251110</v>
      </c>
      <c r="P3059">
        <v>894.74</v>
      </c>
    </row>
    <row r="3060" spans="1:16" x14ac:dyDescent="0.25">
      <c r="A3060" t="s">
        <v>3296</v>
      </c>
      <c r="B3060" t="s">
        <v>2931</v>
      </c>
      <c r="C3060">
        <v>16109</v>
      </c>
      <c r="D3060" t="str">
        <f>"6138964463  "</f>
        <v xml:space="preserve">6138964463  </v>
      </c>
      <c r="E3060" t="s">
        <v>929</v>
      </c>
      <c r="F3060" t="s">
        <v>930</v>
      </c>
      <c r="G3060">
        <v>2187.65</v>
      </c>
      <c r="H3060">
        <v>251130</v>
      </c>
      <c r="I3060">
        <v>4572</v>
      </c>
      <c r="J3060" t="s">
        <v>173</v>
      </c>
      <c r="K3060">
        <v>2187.65</v>
      </c>
      <c r="L3060">
        <v>444.5</v>
      </c>
      <c r="M3060">
        <v>17952</v>
      </c>
      <c r="N3060" t="s">
        <v>157</v>
      </c>
      <c r="O3060">
        <v>251203</v>
      </c>
      <c r="P3060">
        <v>1743.15</v>
      </c>
    </row>
    <row r="3061" spans="1:16" x14ac:dyDescent="0.25">
      <c r="A3061" t="s">
        <v>3296</v>
      </c>
      <c r="B3061" t="s">
        <v>2931</v>
      </c>
      <c r="C3061">
        <v>16110</v>
      </c>
      <c r="D3061" t="str">
        <f>"6138946149  "</f>
        <v xml:space="preserve">6138946149  </v>
      </c>
      <c r="E3061" t="s">
        <v>929</v>
      </c>
      <c r="F3061" t="s">
        <v>930</v>
      </c>
      <c r="G3061">
        <v>28.31</v>
      </c>
      <c r="H3061">
        <v>251130</v>
      </c>
      <c r="I3061">
        <v>4572</v>
      </c>
      <c r="J3061" t="s">
        <v>173</v>
      </c>
      <c r="K3061">
        <v>566.27</v>
      </c>
      <c r="L3061">
        <v>5.75</v>
      </c>
      <c r="M3061">
        <v>17737</v>
      </c>
      <c r="N3061" t="s">
        <v>156</v>
      </c>
      <c r="O3061">
        <v>251203</v>
      </c>
      <c r="P3061">
        <v>22.56</v>
      </c>
    </row>
    <row r="3062" spans="1:16" x14ac:dyDescent="0.25">
      <c r="A3062" t="s">
        <v>3296</v>
      </c>
      <c r="B3062" t="s">
        <v>2931</v>
      </c>
      <c r="C3062">
        <v>16110</v>
      </c>
      <c r="D3062" t="str">
        <f>"6138946149  "</f>
        <v xml:space="preserve">6138946149  </v>
      </c>
      <c r="E3062" t="s">
        <v>929</v>
      </c>
      <c r="F3062" t="s">
        <v>930</v>
      </c>
      <c r="G3062">
        <v>161.38999999999999</v>
      </c>
      <c r="H3062">
        <v>251130</v>
      </c>
      <c r="I3062">
        <v>4572</v>
      </c>
      <c r="J3062" t="s">
        <v>173</v>
      </c>
      <c r="K3062">
        <v>566.27</v>
      </c>
      <c r="L3062">
        <v>32.79</v>
      </c>
      <c r="M3062">
        <v>17739</v>
      </c>
      <c r="N3062" t="s">
        <v>928</v>
      </c>
      <c r="O3062">
        <v>251203</v>
      </c>
      <c r="P3062">
        <v>128.6</v>
      </c>
    </row>
    <row r="3063" spans="1:16" x14ac:dyDescent="0.25">
      <c r="A3063" t="s">
        <v>3296</v>
      </c>
      <c r="B3063" t="s">
        <v>2931</v>
      </c>
      <c r="C3063">
        <v>16110</v>
      </c>
      <c r="D3063" t="str">
        <f>"6138946149  "</f>
        <v xml:space="preserve">6138946149  </v>
      </c>
      <c r="E3063" t="s">
        <v>929</v>
      </c>
      <c r="F3063" t="s">
        <v>930</v>
      </c>
      <c r="G3063">
        <v>376.57</v>
      </c>
      <c r="H3063">
        <v>251130</v>
      </c>
      <c r="I3063">
        <v>4572</v>
      </c>
      <c r="J3063" t="s">
        <v>173</v>
      </c>
      <c r="K3063">
        <v>566.27</v>
      </c>
      <c r="L3063">
        <v>76.510000000000005</v>
      </c>
      <c r="M3063">
        <v>17952</v>
      </c>
      <c r="N3063" t="s">
        <v>157</v>
      </c>
      <c r="O3063">
        <v>251203</v>
      </c>
      <c r="P3063">
        <v>300.06</v>
      </c>
    </row>
    <row r="3064" spans="1:16" x14ac:dyDescent="0.25">
      <c r="A3064" t="s">
        <v>3296</v>
      </c>
      <c r="B3064" t="s">
        <v>2931</v>
      </c>
      <c r="C3064">
        <v>17109</v>
      </c>
      <c r="D3064" t="str">
        <f>"6138876217  "</f>
        <v xml:space="preserve">6138876217  </v>
      </c>
      <c r="E3064" t="s">
        <v>929</v>
      </c>
      <c r="F3064" t="s">
        <v>930</v>
      </c>
      <c r="G3064">
        <v>144.09</v>
      </c>
      <c r="H3064">
        <v>251130</v>
      </c>
      <c r="I3064">
        <v>4572</v>
      </c>
      <c r="J3064" t="s">
        <v>173</v>
      </c>
      <c r="K3064">
        <v>4802.97</v>
      </c>
      <c r="L3064">
        <v>29.28</v>
      </c>
      <c r="M3064">
        <v>49111</v>
      </c>
      <c r="N3064" t="s">
        <v>108</v>
      </c>
      <c r="O3064">
        <v>251217</v>
      </c>
      <c r="P3064">
        <v>114.81</v>
      </c>
    </row>
    <row r="3065" spans="1:16" x14ac:dyDescent="0.25">
      <c r="A3065" t="s">
        <v>3296</v>
      </c>
      <c r="B3065" t="s">
        <v>2931</v>
      </c>
      <c r="C3065">
        <v>17109</v>
      </c>
      <c r="D3065" t="str">
        <f>"6138876217  "</f>
        <v xml:space="preserve">6138876217  </v>
      </c>
      <c r="E3065" t="s">
        <v>929</v>
      </c>
      <c r="F3065" t="s">
        <v>930</v>
      </c>
      <c r="G3065">
        <v>4442.75</v>
      </c>
      <c r="H3065">
        <v>251130</v>
      </c>
      <c r="I3065">
        <v>4572</v>
      </c>
      <c r="J3065" t="s">
        <v>173</v>
      </c>
      <c r="K3065">
        <v>4802.97</v>
      </c>
      <c r="L3065">
        <v>902.71</v>
      </c>
      <c r="M3065">
        <v>49501</v>
      </c>
      <c r="N3065" t="s">
        <v>110</v>
      </c>
      <c r="O3065">
        <v>251217</v>
      </c>
      <c r="P3065">
        <v>3540.04</v>
      </c>
    </row>
    <row r="3066" spans="1:16" x14ac:dyDescent="0.25">
      <c r="A3066" t="s">
        <v>3296</v>
      </c>
      <c r="B3066" t="s">
        <v>2931</v>
      </c>
      <c r="C3066">
        <v>17109</v>
      </c>
      <c r="D3066" t="str">
        <f>"6138876217  "</f>
        <v xml:space="preserve">6138876217  </v>
      </c>
      <c r="E3066" t="s">
        <v>929</v>
      </c>
      <c r="F3066" t="s">
        <v>930</v>
      </c>
      <c r="G3066">
        <v>144.09</v>
      </c>
      <c r="H3066">
        <v>251130</v>
      </c>
      <c r="I3066">
        <v>4572</v>
      </c>
      <c r="J3066" t="s">
        <v>173</v>
      </c>
      <c r="K3066">
        <v>4802.97</v>
      </c>
      <c r="L3066">
        <v>29.28</v>
      </c>
      <c r="M3066">
        <v>49801</v>
      </c>
      <c r="N3066" t="s">
        <v>953</v>
      </c>
      <c r="O3066">
        <v>251217</v>
      </c>
      <c r="P3066">
        <v>114.81</v>
      </c>
    </row>
    <row r="3067" spans="1:16" x14ac:dyDescent="0.25">
      <c r="A3067" t="s">
        <v>3296</v>
      </c>
      <c r="B3067" t="s">
        <v>2931</v>
      </c>
      <c r="C3067">
        <v>17109</v>
      </c>
      <c r="D3067" t="str">
        <f>"6138876217  "</f>
        <v xml:space="preserve">6138876217  </v>
      </c>
      <c r="E3067" t="s">
        <v>929</v>
      </c>
      <c r="F3067" t="s">
        <v>930</v>
      </c>
      <c r="G3067">
        <v>72.040000000000006</v>
      </c>
      <c r="H3067">
        <v>251130</v>
      </c>
      <c r="I3067">
        <v>4572</v>
      </c>
      <c r="J3067" t="s">
        <v>173</v>
      </c>
      <c r="K3067">
        <v>4802.97</v>
      </c>
      <c r="L3067">
        <v>0</v>
      </c>
      <c r="M3067">
        <v>49803</v>
      </c>
      <c r="N3067" t="s">
        <v>956</v>
      </c>
      <c r="O3067">
        <v>251217</v>
      </c>
      <c r="P3067">
        <v>72.040000000000006</v>
      </c>
    </row>
    <row r="3068" spans="1:16" x14ac:dyDescent="0.25">
      <c r="A3068" t="s">
        <v>3296</v>
      </c>
      <c r="B3068" t="s">
        <v>2931</v>
      </c>
      <c r="C3068">
        <v>17111</v>
      </c>
      <c r="D3068" t="str">
        <f>"6138875994  "</f>
        <v xml:space="preserve">6138875994  </v>
      </c>
      <c r="E3068" t="s">
        <v>929</v>
      </c>
      <c r="F3068" t="s">
        <v>930</v>
      </c>
      <c r="G3068">
        <v>1834.73</v>
      </c>
      <c r="H3068">
        <v>251130</v>
      </c>
      <c r="I3068">
        <v>4572</v>
      </c>
      <c r="J3068" t="s">
        <v>173</v>
      </c>
      <c r="K3068">
        <v>1931.29</v>
      </c>
      <c r="L3068">
        <v>372.79</v>
      </c>
      <c r="M3068">
        <v>49501</v>
      </c>
      <c r="N3068" t="s">
        <v>110</v>
      </c>
      <c r="O3068">
        <v>251217</v>
      </c>
      <c r="P3068">
        <v>1461.94</v>
      </c>
    </row>
    <row r="3069" spans="1:16" x14ac:dyDescent="0.25">
      <c r="A3069" t="s">
        <v>3296</v>
      </c>
      <c r="B3069" t="s">
        <v>2931</v>
      </c>
      <c r="C3069">
        <v>17111</v>
      </c>
      <c r="D3069" t="str">
        <f>"6138875994  "</f>
        <v xml:space="preserve">6138875994  </v>
      </c>
      <c r="E3069" t="s">
        <v>929</v>
      </c>
      <c r="F3069" t="s">
        <v>930</v>
      </c>
      <c r="G3069">
        <v>96.56</v>
      </c>
      <c r="H3069">
        <v>251130</v>
      </c>
      <c r="I3069">
        <v>4572</v>
      </c>
      <c r="J3069" t="s">
        <v>173</v>
      </c>
      <c r="K3069">
        <v>1931.29</v>
      </c>
      <c r="L3069">
        <v>19.62</v>
      </c>
      <c r="M3069">
        <v>49801</v>
      </c>
      <c r="N3069" t="s">
        <v>953</v>
      </c>
      <c r="O3069">
        <v>251217</v>
      </c>
      <c r="P3069">
        <v>76.94</v>
      </c>
    </row>
    <row r="3070" spans="1:16" x14ac:dyDescent="0.25">
      <c r="A3070" t="s">
        <v>3296</v>
      </c>
      <c r="B3070" t="s">
        <v>2931</v>
      </c>
      <c r="C3070">
        <v>18119</v>
      </c>
      <c r="D3070" t="str">
        <f>"6139132745  "</f>
        <v xml:space="preserve">6139132745  </v>
      </c>
      <c r="E3070" t="s">
        <v>929</v>
      </c>
      <c r="F3070" t="s">
        <v>930</v>
      </c>
      <c r="G3070">
        <v>30.71</v>
      </c>
      <c r="H3070">
        <v>251231</v>
      </c>
      <c r="I3070">
        <v>4572</v>
      </c>
      <c r="J3070" t="s">
        <v>173</v>
      </c>
      <c r="K3070">
        <v>614.11</v>
      </c>
      <c r="L3070">
        <v>6.24</v>
      </c>
      <c r="M3070">
        <v>17737</v>
      </c>
      <c r="N3070" t="s">
        <v>156</v>
      </c>
      <c r="O3070">
        <v>260109</v>
      </c>
      <c r="P3070">
        <v>24.47</v>
      </c>
    </row>
    <row r="3071" spans="1:16" x14ac:dyDescent="0.25">
      <c r="A3071" t="s">
        <v>3296</v>
      </c>
      <c r="B3071" t="s">
        <v>2931</v>
      </c>
      <c r="C3071">
        <v>18119</v>
      </c>
      <c r="D3071" t="str">
        <f>"6139132745  "</f>
        <v xml:space="preserve">6139132745  </v>
      </c>
      <c r="E3071" t="s">
        <v>929</v>
      </c>
      <c r="F3071" t="s">
        <v>930</v>
      </c>
      <c r="G3071">
        <v>408.38</v>
      </c>
      <c r="H3071">
        <v>251231</v>
      </c>
      <c r="I3071">
        <v>4572</v>
      </c>
      <c r="J3071" t="s">
        <v>173</v>
      </c>
      <c r="K3071">
        <v>614.11</v>
      </c>
      <c r="L3071">
        <v>82.98</v>
      </c>
      <c r="M3071">
        <v>17737</v>
      </c>
      <c r="N3071" t="s">
        <v>156</v>
      </c>
      <c r="O3071">
        <v>260109</v>
      </c>
      <c r="P3071">
        <v>325.39999999999998</v>
      </c>
    </row>
    <row r="3072" spans="1:16" x14ac:dyDescent="0.25">
      <c r="A3072" t="s">
        <v>3296</v>
      </c>
      <c r="B3072" t="s">
        <v>2931</v>
      </c>
      <c r="C3072">
        <v>18119</v>
      </c>
      <c r="D3072" t="str">
        <f>"6139132745  "</f>
        <v xml:space="preserve">6139132745  </v>
      </c>
      <c r="E3072" t="s">
        <v>929</v>
      </c>
      <c r="F3072" t="s">
        <v>930</v>
      </c>
      <c r="G3072">
        <v>175.02</v>
      </c>
      <c r="H3072">
        <v>251231</v>
      </c>
      <c r="I3072">
        <v>4572</v>
      </c>
      <c r="J3072" t="s">
        <v>173</v>
      </c>
      <c r="K3072">
        <v>614.11</v>
      </c>
      <c r="L3072">
        <v>35.56</v>
      </c>
      <c r="M3072">
        <v>17739</v>
      </c>
      <c r="N3072" t="s">
        <v>928</v>
      </c>
      <c r="O3072">
        <v>260109</v>
      </c>
      <c r="P3072">
        <v>139.46</v>
      </c>
    </row>
    <row r="3073" spans="1:16" x14ac:dyDescent="0.25">
      <c r="A3073" t="s">
        <v>3296</v>
      </c>
      <c r="B3073" t="s">
        <v>2931</v>
      </c>
      <c r="C3073">
        <v>18164</v>
      </c>
      <c r="D3073" t="str">
        <f>"6139122128  "</f>
        <v xml:space="preserve">6139122128  </v>
      </c>
      <c r="E3073" t="s">
        <v>929</v>
      </c>
      <c r="F3073" t="s">
        <v>930</v>
      </c>
      <c r="G3073">
        <v>2315.39</v>
      </c>
      <c r="H3073">
        <v>251231</v>
      </c>
      <c r="I3073">
        <v>4572</v>
      </c>
      <c r="J3073" t="s">
        <v>173</v>
      </c>
      <c r="K3073">
        <v>2315.39</v>
      </c>
      <c r="L3073">
        <v>470.46</v>
      </c>
      <c r="M3073">
        <v>17952</v>
      </c>
      <c r="N3073" t="s">
        <v>157</v>
      </c>
      <c r="O3073">
        <v>260109</v>
      </c>
      <c r="P3073">
        <v>1844.93</v>
      </c>
    </row>
    <row r="3074" spans="1:16" x14ac:dyDescent="0.25">
      <c r="A3074" t="s">
        <v>3296</v>
      </c>
      <c r="B3074" t="s">
        <v>2931</v>
      </c>
      <c r="C3074">
        <v>18174</v>
      </c>
      <c r="D3074" t="str">
        <f>"6139268382  "</f>
        <v xml:space="preserve">6139268382  </v>
      </c>
      <c r="E3074" t="s">
        <v>929</v>
      </c>
      <c r="F3074" t="s">
        <v>930</v>
      </c>
      <c r="G3074">
        <v>82.9</v>
      </c>
      <c r="H3074">
        <v>251231</v>
      </c>
      <c r="I3074">
        <v>4572</v>
      </c>
      <c r="J3074" t="s">
        <v>173</v>
      </c>
      <c r="K3074">
        <v>82.9</v>
      </c>
      <c r="L3074">
        <v>16.84</v>
      </c>
      <c r="M3074">
        <v>13841</v>
      </c>
      <c r="N3074" t="s">
        <v>178</v>
      </c>
      <c r="O3074">
        <v>260109</v>
      </c>
      <c r="P3074">
        <v>66.06</v>
      </c>
    </row>
    <row r="3075" spans="1:16" x14ac:dyDescent="0.25">
      <c r="A3075" t="s">
        <v>3296</v>
      </c>
      <c r="B3075" t="s">
        <v>2931</v>
      </c>
      <c r="C3075">
        <v>18449</v>
      </c>
      <c r="D3075" t="str">
        <f>"6139259989  "</f>
        <v xml:space="preserve">6139259989  </v>
      </c>
      <c r="E3075" t="s">
        <v>929</v>
      </c>
      <c r="F3075" t="s">
        <v>930</v>
      </c>
      <c r="G3075">
        <v>1629.07</v>
      </c>
      <c r="H3075">
        <v>251231</v>
      </c>
      <c r="I3075">
        <v>4572</v>
      </c>
      <c r="J3075" t="s">
        <v>173</v>
      </c>
      <c r="K3075">
        <v>1714.81</v>
      </c>
      <c r="L3075">
        <v>331.01</v>
      </c>
      <c r="M3075">
        <v>49501</v>
      </c>
      <c r="N3075" t="s">
        <v>110</v>
      </c>
      <c r="O3075">
        <v>260113</v>
      </c>
      <c r="P3075">
        <v>1298.06</v>
      </c>
    </row>
    <row r="3076" spans="1:16" x14ac:dyDescent="0.25">
      <c r="A3076" t="s">
        <v>3296</v>
      </c>
      <c r="B3076" t="s">
        <v>2931</v>
      </c>
      <c r="C3076">
        <v>18449</v>
      </c>
      <c r="D3076" t="str">
        <f>"6139259989  "</f>
        <v xml:space="preserve">6139259989  </v>
      </c>
      <c r="E3076" t="s">
        <v>929</v>
      </c>
      <c r="F3076" t="s">
        <v>930</v>
      </c>
      <c r="G3076">
        <v>85.74</v>
      </c>
      <c r="H3076">
        <v>251231</v>
      </c>
      <c r="I3076">
        <v>4572</v>
      </c>
      <c r="J3076" t="s">
        <v>173</v>
      </c>
      <c r="K3076">
        <v>1714.81</v>
      </c>
      <c r="L3076">
        <v>17.420000000000002</v>
      </c>
      <c r="M3076">
        <v>49801</v>
      </c>
      <c r="N3076" t="s">
        <v>953</v>
      </c>
      <c r="O3076">
        <v>260113</v>
      </c>
      <c r="P3076">
        <v>68.319999999999993</v>
      </c>
    </row>
    <row r="3077" spans="1:16" x14ac:dyDescent="0.25">
      <c r="A3077" t="s">
        <v>3296</v>
      </c>
      <c r="B3077" t="s">
        <v>2931</v>
      </c>
      <c r="C3077">
        <v>18509</v>
      </c>
      <c r="D3077" t="str">
        <f>"6139140854  "</f>
        <v xml:space="preserve">6139140854  </v>
      </c>
      <c r="E3077" t="s">
        <v>929</v>
      </c>
      <c r="F3077" t="s">
        <v>930</v>
      </c>
      <c r="G3077">
        <v>2902.41</v>
      </c>
      <c r="H3077">
        <v>251231</v>
      </c>
      <c r="I3077">
        <v>4572</v>
      </c>
      <c r="J3077" t="s">
        <v>173</v>
      </c>
      <c r="K3077">
        <v>2902.41</v>
      </c>
      <c r="L3077">
        <v>589.73</v>
      </c>
      <c r="M3077">
        <v>49503</v>
      </c>
      <c r="N3077" t="s">
        <v>267</v>
      </c>
      <c r="O3077">
        <v>260114</v>
      </c>
      <c r="P3077">
        <v>2312.6799999999998</v>
      </c>
    </row>
    <row r="3078" spans="1:16" x14ac:dyDescent="0.25">
      <c r="A3078" t="s">
        <v>3296</v>
      </c>
      <c r="B3078" t="s">
        <v>2931</v>
      </c>
      <c r="C3078">
        <v>18510</v>
      </c>
      <c r="D3078" t="str">
        <f>"6139348034  "</f>
        <v xml:space="preserve">6139348034  </v>
      </c>
      <c r="E3078" t="s">
        <v>929</v>
      </c>
      <c r="F3078" t="s">
        <v>930</v>
      </c>
      <c r="G3078">
        <v>131.03</v>
      </c>
      <c r="H3078">
        <v>251231</v>
      </c>
      <c r="I3078">
        <v>4572</v>
      </c>
      <c r="J3078" t="s">
        <v>173</v>
      </c>
      <c r="K3078">
        <v>4367.59</v>
      </c>
      <c r="L3078">
        <v>26.62</v>
      </c>
      <c r="M3078">
        <v>49111</v>
      </c>
      <c r="N3078" t="s">
        <v>108</v>
      </c>
      <c r="O3078">
        <v>260114</v>
      </c>
      <c r="P3078">
        <v>104.41</v>
      </c>
    </row>
    <row r="3079" spans="1:16" x14ac:dyDescent="0.25">
      <c r="A3079" t="s">
        <v>3296</v>
      </c>
      <c r="B3079" t="s">
        <v>2931</v>
      </c>
      <c r="C3079">
        <v>18510</v>
      </c>
      <c r="D3079" t="str">
        <f>"6139348034  "</f>
        <v xml:space="preserve">6139348034  </v>
      </c>
      <c r="E3079" t="s">
        <v>929</v>
      </c>
      <c r="F3079" t="s">
        <v>930</v>
      </c>
      <c r="G3079">
        <v>4040.02</v>
      </c>
      <c r="H3079">
        <v>251231</v>
      </c>
      <c r="I3079">
        <v>4572</v>
      </c>
      <c r="J3079" t="s">
        <v>173</v>
      </c>
      <c r="K3079">
        <v>4367.59</v>
      </c>
      <c r="L3079">
        <v>820.88</v>
      </c>
      <c r="M3079">
        <v>49501</v>
      </c>
      <c r="N3079" t="s">
        <v>110</v>
      </c>
      <c r="O3079">
        <v>260114</v>
      </c>
      <c r="P3079">
        <v>3219.14</v>
      </c>
    </row>
    <row r="3080" spans="1:16" x14ac:dyDescent="0.25">
      <c r="A3080" t="s">
        <v>3296</v>
      </c>
      <c r="B3080" t="s">
        <v>2931</v>
      </c>
      <c r="C3080">
        <v>18510</v>
      </c>
      <c r="D3080" t="str">
        <f>"6139348034  "</f>
        <v xml:space="preserve">6139348034  </v>
      </c>
      <c r="E3080" t="s">
        <v>929</v>
      </c>
      <c r="F3080" t="s">
        <v>930</v>
      </c>
      <c r="G3080">
        <v>131.03</v>
      </c>
      <c r="H3080">
        <v>251231</v>
      </c>
      <c r="I3080">
        <v>4572</v>
      </c>
      <c r="J3080" t="s">
        <v>173</v>
      </c>
      <c r="K3080">
        <v>4367.59</v>
      </c>
      <c r="L3080">
        <v>26.62</v>
      </c>
      <c r="M3080">
        <v>49801</v>
      </c>
      <c r="N3080" t="s">
        <v>953</v>
      </c>
      <c r="O3080">
        <v>260114</v>
      </c>
      <c r="P3080">
        <v>104.41</v>
      </c>
    </row>
    <row r="3081" spans="1:16" x14ac:dyDescent="0.25">
      <c r="A3081" t="s">
        <v>3296</v>
      </c>
      <c r="B3081" t="s">
        <v>2931</v>
      </c>
      <c r="C3081">
        <v>18510</v>
      </c>
      <c r="D3081" t="str">
        <f>"6139348034  "</f>
        <v xml:space="preserve">6139348034  </v>
      </c>
      <c r="E3081" t="s">
        <v>929</v>
      </c>
      <c r="F3081" t="s">
        <v>930</v>
      </c>
      <c r="G3081">
        <v>65.510000000000005</v>
      </c>
      <c r="H3081">
        <v>251231</v>
      </c>
      <c r="I3081">
        <v>4572</v>
      </c>
      <c r="J3081" t="s">
        <v>173</v>
      </c>
      <c r="K3081">
        <v>4367.59</v>
      </c>
      <c r="L3081">
        <v>0</v>
      </c>
      <c r="M3081">
        <v>49803</v>
      </c>
      <c r="N3081" t="s">
        <v>956</v>
      </c>
      <c r="O3081">
        <v>260114</v>
      </c>
      <c r="P3081">
        <v>65.510000000000005</v>
      </c>
    </row>
    <row r="3082" spans="1:16" x14ac:dyDescent="0.25">
      <c r="A3082" t="s">
        <v>3296</v>
      </c>
      <c r="B3082" t="s">
        <v>2931</v>
      </c>
      <c r="C3082">
        <v>8571</v>
      </c>
      <c r="D3082" t="str">
        <f>"7670344084  "</f>
        <v xml:space="preserve">7670344084  </v>
      </c>
      <c r="E3082" t="s">
        <v>2041</v>
      </c>
      <c r="F3082" t="s">
        <v>2042</v>
      </c>
      <c r="G3082">
        <v>42.07</v>
      </c>
      <c r="H3082">
        <v>250526</v>
      </c>
      <c r="I3082">
        <v>4600</v>
      </c>
      <c r="J3082" t="s">
        <v>278</v>
      </c>
      <c r="K3082">
        <v>42.07</v>
      </c>
      <c r="L3082">
        <v>8.5500000000000007</v>
      </c>
      <c r="M3082">
        <v>56560</v>
      </c>
      <c r="N3082" t="s">
        <v>52</v>
      </c>
      <c r="O3082">
        <v>250617</v>
      </c>
      <c r="P3082">
        <v>33.520000000000003</v>
      </c>
    </row>
    <row r="3083" spans="1:16" x14ac:dyDescent="0.25">
      <c r="A3083" t="s">
        <v>3296</v>
      </c>
      <c r="B3083" t="s">
        <v>2931</v>
      </c>
      <c r="C3083">
        <v>6862</v>
      </c>
      <c r="D3083" t="str">
        <f>"348354      "</f>
        <v xml:space="preserve">348354      </v>
      </c>
      <c r="E3083" t="s">
        <v>1900</v>
      </c>
      <c r="F3083" t="s">
        <v>1901</v>
      </c>
      <c r="G3083">
        <v>21.22</v>
      </c>
      <c r="H3083">
        <v>250514</v>
      </c>
      <c r="I3083">
        <v>4580</v>
      </c>
      <c r="J3083" t="s">
        <v>126</v>
      </c>
      <c r="K3083">
        <v>21.22</v>
      </c>
      <c r="L3083">
        <v>4.3099999999999996</v>
      </c>
      <c r="M3083">
        <v>47522</v>
      </c>
      <c r="N3083" t="s">
        <v>106</v>
      </c>
      <c r="O3083">
        <v>250519</v>
      </c>
      <c r="P3083">
        <v>16.91</v>
      </c>
    </row>
    <row r="3084" spans="1:16" x14ac:dyDescent="0.25">
      <c r="A3084" t="s">
        <v>3296</v>
      </c>
      <c r="B3084" t="s">
        <v>2931</v>
      </c>
      <c r="C3084">
        <v>7579</v>
      </c>
      <c r="D3084" t="str">
        <f>"349451      "</f>
        <v xml:space="preserve">349451      </v>
      </c>
      <c r="E3084" t="s">
        <v>1900</v>
      </c>
      <c r="F3084" t="s">
        <v>1901</v>
      </c>
      <c r="G3084">
        <v>124.93</v>
      </c>
      <c r="H3084">
        <v>250527</v>
      </c>
      <c r="I3084">
        <v>4600</v>
      </c>
      <c r="J3084" t="s">
        <v>278</v>
      </c>
      <c r="K3084">
        <v>124.93</v>
      </c>
      <c r="L3084">
        <v>25.38</v>
      </c>
      <c r="M3084">
        <v>56560</v>
      </c>
      <c r="N3084" t="s">
        <v>52</v>
      </c>
      <c r="O3084">
        <v>250604</v>
      </c>
      <c r="P3084">
        <v>99.55</v>
      </c>
    </row>
    <row r="3085" spans="1:16" x14ac:dyDescent="0.25">
      <c r="A3085" t="s">
        <v>3296</v>
      </c>
      <c r="B3085" t="s">
        <v>2931</v>
      </c>
      <c r="C3085">
        <v>14467</v>
      </c>
      <c r="D3085" t="str">
        <f>"361359      "</f>
        <v xml:space="preserve">361359      </v>
      </c>
      <c r="E3085" t="s">
        <v>1900</v>
      </c>
      <c r="F3085" t="s">
        <v>1901</v>
      </c>
      <c r="G3085">
        <v>107.17</v>
      </c>
      <c r="H3085">
        <v>251021</v>
      </c>
      <c r="I3085">
        <v>4600</v>
      </c>
      <c r="J3085" t="s">
        <v>278</v>
      </c>
      <c r="K3085">
        <v>107.17</v>
      </c>
      <c r="L3085">
        <v>21.78</v>
      </c>
      <c r="M3085">
        <v>56560</v>
      </c>
      <c r="N3085" t="s">
        <v>52</v>
      </c>
      <c r="O3085">
        <v>251103</v>
      </c>
      <c r="P3085">
        <v>85.39</v>
      </c>
    </row>
    <row r="3086" spans="1:16" x14ac:dyDescent="0.25">
      <c r="A3086" t="s">
        <v>3296</v>
      </c>
      <c r="B3086" t="s">
        <v>2931</v>
      </c>
      <c r="C3086">
        <v>15330</v>
      </c>
      <c r="D3086" t="str">
        <f>"362488      "</f>
        <v xml:space="preserve">362488      </v>
      </c>
      <c r="E3086" t="s">
        <v>1900</v>
      </c>
      <c r="F3086" t="s">
        <v>1901</v>
      </c>
      <c r="G3086">
        <v>88.39</v>
      </c>
      <c r="H3086">
        <v>251103</v>
      </c>
      <c r="I3086">
        <v>4600</v>
      </c>
      <c r="J3086" t="s">
        <v>278</v>
      </c>
      <c r="K3086">
        <v>88.39</v>
      </c>
      <c r="L3086">
        <v>17.96</v>
      </c>
      <c r="M3086">
        <v>56560</v>
      </c>
      <c r="N3086" t="s">
        <v>52</v>
      </c>
      <c r="O3086">
        <v>251118</v>
      </c>
      <c r="P3086">
        <v>70.430000000000007</v>
      </c>
    </row>
    <row r="3087" spans="1:16" x14ac:dyDescent="0.25">
      <c r="A3087" t="s">
        <v>3296</v>
      </c>
      <c r="B3087" t="s">
        <v>2931</v>
      </c>
      <c r="C3087">
        <v>8335</v>
      </c>
      <c r="D3087" t="str">
        <f>"1156        "</f>
        <v xml:space="preserve">1156        </v>
      </c>
      <c r="E3087" t="s">
        <v>3106</v>
      </c>
      <c r="F3087" t="s">
        <v>3107</v>
      </c>
      <c r="G3087">
        <v>80.92</v>
      </c>
      <c r="H3087">
        <v>250604</v>
      </c>
      <c r="I3087">
        <v>4510</v>
      </c>
      <c r="J3087" t="s">
        <v>240</v>
      </c>
      <c r="K3087">
        <v>80.92</v>
      </c>
      <c r="L3087">
        <v>7.36</v>
      </c>
      <c r="M3087">
        <v>49112</v>
      </c>
      <c r="N3087" t="s">
        <v>109</v>
      </c>
      <c r="O3087">
        <v>250613</v>
      </c>
      <c r="P3087">
        <v>73.56</v>
      </c>
    </row>
    <row r="3088" spans="1:16" x14ac:dyDescent="0.25">
      <c r="A3088" t="s">
        <v>3296</v>
      </c>
      <c r="B3088" t="s">
        <v>2931</v>
      </c>
      <c r="C3088">
        <v>8338</v>
      </c>
      <c r="D3088" t="str">
        <f>"1154        "</f>
        <v xml:space="preserve">1154        </v>
      </c>
      <c r="E3088" t="s">
        <v>3106</v>
      </c>
      <c r="F3088" t="s">
        <v>3107</v>
      </c>
      <c r="G3088">
        <v>80.92</v>
      </c>
      <c r="H3088">
        <v>250604</v>
      </c>
      <c r="I3088">
        <v>4510</v>
      </c>
      <c r="J3088" t="s">
        <v>240</v>
      </c>
      <c r="K3088">
        <v>80.92</v>
      </c>
      <c r="L3088">
        <v>7.36</v>
      </c>
      <c r="M3088">
        <v>54422</v>
      </c>
      <c r="N3088" t="s">
        <v>49</v>
      </c>
      <c r="O3088">
        <v>250613</v>
      </c>
      <c r="P3088">
        <v>73.56</v>
      </c>
    </row>
    <row r="3089" spans="1:16" x14ac:dyDescent="0.25">
      <c r="A3089" t="s">
        <v>3296</v>
      </c>
      <c r="B3089" t="s">
        <v>2931</v>
      </c>
      <c r="C3089">
        <v>2538</v>
      </c>
      <c r="D3089" t="str">
        <f>"447968      "</f>
        <v xml:space="preserve">447968      </v>
      </c>
      <c r="E3089" t="s">
        <v>1304</v>
      </c>
      <c r="F3089" t="s">
        <v>1305</v>
      </c>
      <c r="G3089">
        <v>376.24</v>
      </c>
      <c r="H3089">
        <v>250224</v>
      </c>
      <c r="I3089">
        <v>4520</v>
      </c>
      <c r="J3089" t="s">
        <v>280</v>
      </c>
      <c r="K3089">
        <v>376.24</v>
      </c>
      <c r="L3089">
        <v>46.2</v>
      </c>
      <c r="M3089">
        <v>59113</v>
      </c>
      <c r="N3089" t="s">
        <v>61</v>
      </c>
      <c r="O3089">
        <v>250303</v>
      </c>
      <c r="P3089">
        <v>330.04</v>
      </c>
    </row>
    <row r="3090" spans="1:16" x14ac:dyDescent="0.25">
      <c r="A3090" t="s">
        <v>3296</v>
      </c>
      <c r="B3090" t="s">
        <v>2931</v>
      </c>
      <c r="C3090">
        <v>11792</v>
      </c>
      <c r="D3090" t="str">
        <f>"455882      "</f>
        <v xml:space="preserve">455882      </v>
      </c>
      <c r="E3090" t="s">
        <v>1304</v>
      </c>
      <c r="F3090" t="s">
        <v>1305</v>
      </c>
      <c r="G3090">
        <v>209.95</v>
      </c>
      <c r="H3090">
        <v>250908</v>
      </c>
      <c r="I3090">
        <v>4520</v>
      </c>
      <c r="J3090" t="s">
        <v>280</v>
      </c>
      <c r="K3090">
        <v>209.95</v>
      </c>
      <c r="L3090">
        <v>25.78</v>
      </c>
      <c r="M3090">
        <v>59113</v>
      </c>
      <c r="N3090" t="s">
        <v>61</v>
      </c>
      <c r="O3090">
        <v>250910</v>
      </c>
      <c r="P3090">
        <v>184.17</v>
      </c>
    </row>
    <row r="3091" spans="1:16" x14ac:dyDescent="0.25">
      <c r="A3091" t="s">
        <v>3296</v>
      </c>
      <c r="B3091" t="s">
        <v>2931</v>
      </c>
      <c r="C3091">
        <v>15123</v>
      </c>
      <c r="D3091" t="str">
        <f>"458500      "</f>
        <v xml:space="preserve">458500      </v>
      </c>
      <c r="E3091" t="s">
        <v>1304</v>
      </c>
      <c r="F3091" t="s">
        <v>1305</v>
      </c>
      <c r="G3091">
        <v>101</v>
      </c>
      <c r="H3091">
        <v>251110</v>
      </c>
      <c r="I3091">
        <v>4520</v>
      </c>
      <c r="J3091" t="s">
        <v>280</v>
      </c>
      <c r="K3091">
        <v>101</v>
      </c>
      <c r="L3091">
        <v>12.4</v>
      </c>
      <c r="M3091">
        <v>59113</v>
      </c>
      <c r="N3091" t="s">
        <v>61</v>
      </c>
      <c r="O3091">
        <v>251111</v>
      </c>
      <c r="P3091">
        <v>88.6</v>
      </c>
    </row>
    <row r="3092" spans="1:16" x14ac:dyDescent="0.25">
      <c r="A3092" t="s">
        <v>3296</v>
      </c>
      <c r="B3092" t="s">
        <v>2931</v>
      </c>
      <c r="C3092">
        <v>17954</v>
      </c>
      <c r="D3092" t="str">
        <f>"460270      "</f>
        <v xml:space="preserve">460270      </v>
      </c>
      <c r="E3092" t="s">
        <v>1304</v>
      </c>
      <c r="F3092" t="s">
        <v>1305</v>
      </c>
      <c r="G3092">
        <v>104.65</v>
      </c>
      <c r="H3092">
        <v>251222</v>
      </c>
      <c r="I3092">
        <v>4520</v>
      </c>
      <c r="J3092" t="s">
        <v>280</v>
      </c>
      <c r="K3092">
        <v>104.65</v>
      </c>
      <c r="L3092">
        <v>12.85</v>
      </c>
      <c r="M3092">
        <v>59113</v>
      </c>
      <c r="N3092" t="s">
        <v>61</v>
      </c>
      <c r="O3092">
        <v>260107</v>
      </c>
      <c r="P3092">
        <v>91.8</v>
      </c>
    </row>
    <row r="3093" spans="1:16" x14ac:dyDescent="0.25">
      <c r="A3093" t="s">
        <v>3296</v>
      </c>
      <c r="B3093" t="s">
        <v>2931</v>
      </c>
      <c r="C3093">
        <v>370</v>
      </c>
      <c r="D3093" t="str">
        <f>"98145494    "</f>
        <v xml:space="preserve">98145494    </v>
      </c>
      <c r="E3093" t="s">
        <v>460</v>
      </c>
      <c r="F3093" t="s">
        <v>462</v>
      </c>
      <c r="G3093">
        <v>37.65</v>
      </c>
      <c r="H3093">
        <v>250101</v>
      </c>
      <c r="I3093">
        <v>4369</v>
      </c>
      <c r="J3093" t="s">
        <v>188</v>
      </c>
      <c r="K3093">
        <v>37.65</v>
      </c>
      <c r="L3093">
        <v>7.65</v>
      </c>
      <c r="M3093">
        <v>13912</v>
      </c>
      <c r="N3093" t="s">
        <v>461</v>
      </c>
      <c r="O3093">
        <v>250122</v>
      </c>
      <c r="P3093">
        <v>30</v>
      </c>
    </row>
    <row r="3094" spans="1:16" x14ac:dyDescent="0.25">
      <c r="A3094" t="s">
        <v>3296</v>
      </c>
      <c r="B3094" t="s">
        <v>2931</v>
      </c>
      <c r="C3094">
        <v>1554</v>
      </c>
      <c r="D3094" t="str">
        <f>"90455185872 "</f>
        <v xml:space="preserve">90455185872 </v>
      </c>
      <c r="E3094" t="s">
        <v>460</v>
      </c>
      <c r="F3094" t="s">
        <v>462</v>
      </c>
      <c r="G3094">
        <v>87.84</v>
      </c>
      <c r="H3094">
        <v>250131</v>
      </c>
      <c r="I3094">
        <v>4369</v>
      </c>
      <c r="J3094" t="s">
        <v>188</v>
      </c>
      <c r="K3094">
        <v>87.84</v>
      </c>
      <c r="L3094">
        <v>17.850000000000001</v>
      </c>
      <c r="M3094">
        <v>11001</v>
      </c>
      <c r="N3094" t="s">
        <v>93</v>
      </c>
      <c r="O3094">
        <v>250211</v>
      </c>
      <c r="P3094">
        <v>69.989999999999995</v>
      </c>
    </row>
    <row r="3095" spans="1:16" x14ac:dyDescent="0.25">
      <c r="A3095" t="s">
        <v>3296</v>
      </c>
      <c r="B3095" t="s">
        <v>2931</v>
      </c>
      <c r="C3095">
        <v>1863</v>
      </c>
      <c r="D3095" t="str">
        <f>"98186024    "</f>
        <v xml:space="preserve">98186024    </v>
      </c>
      <c r="E3095" t="s">
        <v>460</v>
      </c>
      <c r="F3095" t="s">
        <v>462</v>
      </c>
      <c r="G3095">
        <v>37.65</v>
      </c>
      <c r="H3095">
        <v>250131</v>
      </c>
      <c r="I3095">
        <v>4369</v>
      </c>
      <c r="J3095" t="s">
        <v>188</v>
      </c>
      <c r="K3095">
        <v>37.65</v>
      </c>
      <c r="L3095">
        <v>7.65</v>
      </c>
      <c r="M3095">
        <v>13940</v>
      </c>
      <c r="N3095" t="s">
        <v>14</v>
      </c>
      <c r="O3095">
        <v>250214</v>
      </c>
      <c r="P3095">
        <v>30</v>
      </c>
    </row>
    <row r="3096" spans="1:16" x14ac:dyDescent="0.25">
      <c r="A3096" t="s">
        <v>3296</v>
      </c>
      <c r="B3096" t="s">
        <v>2931</v>
      </c>
      <c r="C3096">
        <v>2937</v>
      </c>
      <c r="D3096" t="str">
        <f>"90458188550 "</f>
        <v xml:space="preserve">90458188550 </v>
      </c>
      <c r="E3096" t="s">
        <v>460</v>
      </c>
      <c r="F3096" t="s">
        <v>462</v>
      </c>
      <c r="G3096">
        <v>87.84</v>
      </c>
      <c r="H3096">
        <v>250228</v>
      </c>
      <c r="I3096">
        <v>4369</v>
      </c>
      <c r="J3096" t="s">
        <v>188</v>
      </c>
      <c r="K3096">
        <v>87.84</v>
      </c>
      <c r="L3096">
        <v>17.850000000000001</v>
      </c>
      <c r="M3096">
        <v>11001</v>
      </c>
      <c r="N3096" t="s">
        <v>93</v>
      </c>
      <c r="O3096">
        <v>250313</v>
      </c>
      <c r="P3096">
        <v>69.989999999999995</v>
      </c>
    </row>
    <row r="3097" spans="1:16" x14ac:dyDescent="0.25">
      <c r="A3097" t="s">
        <v>3296</v>
      </c>
      <c r="B3097" t="s">
        <v>2931</v>
      </c>
      <c r="C3097">
        <v>3318</v>
      </c>
      <c r="D3097" t="str">
        <f>"98226233    "</f>
        <v xml:space="preserve">98226233    </v>
      </c>
      <c r="E3097" t="s">
        <v>460</v>
      </c>
      <c r="F3097" t="s">
        <v>462</v>
      </c>
      <c r="G3097">
        <v>37.65</v>
      </c>
      <c r="H3097">
        <v>250228</v>
      </c>
      <c r="I3097">
        <v>4369</v>
      </c>
      <c r="J3097" t="s">
        <v>188</v>
      </c>
      <c r="K3097">
        <v>37.65</v>
      </c>
      <c r="L3097">
        <v>7.65</v>
      </c>
      <c r="M3097">
        <v>13940</v>
      </c>
      <c r="N3097" t="s">
        <v>14</v>
      </c>
      <c r="O3097">
        <v>250318</v>
      </c>
      <c r="P3097">
        <v>30</v>
      </c>
    </row>
    <row r="3098" spans="1:16" x14ac:dyDescent="0.25">
      <c r="A3098" t="s">
        <v>3296</v>
      </c>
      <c r="B3098" t="s">
        <v>2931</v>
      </c>
      <c r="C3098">
        <v>4752</v>
      </c>
      <c r="D3098" t="str">
        <f>"90461116914 "</f>
        <v xml:space="preserve">90461116914 </v>
      </c>
      <c r="E3098" t="s">
        <v>460</v>
      </c>
      <c r="F3098" t="s">
        <v>462</v>
      </c>
      <c r="G3098">
        <v>87.84</v>
      </c>
      <c r="H3098">
        <v>250331</v>
      </c>
      <c r="I3098">
        <v>4369</v>
      </c>
      <c r="J3098" t="s">
        <v>188</v>
      </c>
      <c r="K3098">
        <v>87.84</v>
      </c>
      <c r="L3098">
        <v>0</v>
      </c>
      <c r="M3098">
        <v>11001</v>
      </c>
      <c r="N3098" t="s">
        <v>93</v>
      </c>
      <c r="O3098">
        <v>250415</v>
      </c>
      <c r="P3098">
        <v>87.84</v>
      </c>
    </row>
    <row r="3099" spans="1:16" x14ac:dyDescent="0.25">
      <c r="A3099" t="s">
        <v>3296</v>
      </c>
      <c r="B3099" t="s">
        <v>2931</v>
      </c>
      <c r="C3099">
        <v>5025</v>
      </c>
      <c r="D3099" t="str">
        <f>"98266232    "</f>
        <v xml:space="preserve">98266232    </v>
      </c>
      <c r="E3099" t="s">
        <v>460</v>
      </c>
      <c r="F3099" t="s">
        <v>462</v>
      </c>
      <c r="G3099">
        <v>37.65</v>
      </c>
      <c r="H3099">
        <v>250331</v>
      </c>
      <c r="I3099">
        <v>4369</v>
      </c>
      <c r="J3099" t="s">
        <v>188</v>
      </c>
      <c r="K3099">
        <v>37.65</v>
      </c>
      <c r="L3099">
        <v>7.65</v>
      </c>
      <c r="M3099">
        <v>13940</v>
      </c>
      <c r="N3099" t="s">
        <v>14</v>
      </c>
      <c r="O3099">
        <v>250416</v>
      </c>
      <c r="P3099">
        <v>30</v>
      </c>
    </row>
    <row r="3100" spans="1:16" x14ac:dyDescent="0.25">
      <c r="A3100" t="s">
        <v>3296</v>
      </c>
      <c r="B3100" t="s">
        <v>2931</v>
      </c>
      <c r="C3100">
        <v>5421</v>
      </c>
      <c r="D3100" t="str">
        <f>"98293476    "</f>
        <v xml:space="preserve">98293476    </v>
      </c>
      <c r="E3100" t="s">
        <v>460</v>
      </c>
      <c r="F3100" t="s">
        <v>462</v>
      </c>
      <c r="G3100">
        <v>71.540000000000006</v>
      </c>
      <c r="H3100">
        <v>250416</v>
      </c>
      <c r="I3100">
        <v>4369</v>
      </c>
      <c r="J3100" t="s">
        <v>188</v>
      </c>
      <c r="K3100">
        <v>71.540000000000006</v>
      </c>
      <c r="L3100">
        <v>14.54</v>
      </c>
      <c r="M3100">
        <v>11801</v>
      </c>
      <c r="N3100" t="s">
        <v>40</v>
      </c>
      <c r="O3100">
        <v>250424</v>
      </c>
      <c r="P3100">
        <v>57</v>
      </c>
    </row>
    <row r="3101" spans="1:16" x14ac:dyDescent="0.25">
      <c r="A3101" t="s">
        <v>3296</v>
      </c>
      <c r="B3101" t="s">
        <v>2931</v>
      </c>
      <c r="C3101">
        <v>6169</v>
      </c>
      <c r="D3101" t="str">
        <f>"90464028303 "</f>
        <v xml:space="preserve">90464028303 </v>
      </c>
      <c r="E3101" t="s">
        <v>460</v>
      </c>
      <c r="F3101" t="s">
        <v>462</v>
      </c>
      <c r="G3101">
        <v>87.84</v>
      </c>
      <c r="H3101">
        <v>250430</v>
      </c>
      <c r="I3101">
        <v>4369</v>
      </c>
      <c r="J3101" t="s">
        <v>188</v>
      </c>
      <c r="K3101">
        <v>87.84</v>
      </c>
      <c r="L3101">
        <v>0</v>
      </c>
      <c r="M3101">
        <v>11001</v>
      </c>
      <c r="N3101" t="s">
        <v>93</v>
      </c>
      <c r="O3101">
        <v>250509</v>
      </c>
      <c r="P3101">
        <v>87.84</v>
      </c>
    </row>
    <row r="3102" spans="1:16" x14ac:dyDescent="0.25">
      <c r="A3102" t="s">
        <v>3296</v>
      </c>
      <c r="B3102" t="s">
        <v>2931</v>
      </c>
      <c r="C3102">
        <v>6912</v>
      </c>
      <c r="D3102" t="str">
        <f>"98306141    "</f>
        <v xml:space="preserve">98306141    </v>
      </c>
      <c r="E3102" t="s">
        <v>460</v>
      </c>
      <c r="F3102" t="s">
        <v>462</v>
      </c>
      <c r="G3102">
        <v>37.65</v>
      </c>
      <c r="H3102">
        <v>250501</v>
      </c>
      <c r="I3102">
        <v>4369</v>
      </c>
      <c r="J3102" t="s">
        <v>188</v>
      </c>
      <c r="K3102">
        <v>37.65</v>
      </c>
      <c r="L3102">
        <v>7.65</v>
      </c>
      <c r="M3102">
        <v>13940</v>
      </c>
      <c r="N3102" t="s">
        <v>14</v>
      </c>
      <c r="O3102">
        <v>250520</v>
      </c>
      <c r="P3102">
        <v>30</v>
      </c>
    </row>
    <row r="3103" spans="1:16" x14ac:dyDescent="0.25">
      <c r="A3103" t="s">
        <v>3296</v>
      </c>
      <c r="B3103" t="s">
        <v>2931</v>
      </c>
      <c r="C3103">
        <v>8194</v>
      </c>
      <c r="D3103" t="str">
        <f>"90466842117 "</f>
        <v xml:space="preserve">90466842117 </v>
      </c>
      <c r="E3103" t="s">
        <v>460</v>
      </c>
      <c r="F3103" t="s">
        <v>462</v>
      </c>
      <c r="G3103">
        <v>87.84</v>
      </c>
      <c r="H3103">
        <v>250531</v>
      </c>
      <c r="I3103">
        <v>4369</v>
      </c>
      <c r="J3103" t="s">
        <v>188</v>
      </c>
      <c r="K3103">
        <v>87.84</v>
      </c>
      <c r="L3103">
        <v>17.850000000000001</v>
      </c>
      <c r="M3103">
        <v>11001</v>
      </c>
      <c r="N3103" t="s">
        <v>93</v>
      </c>
      <c r="O3103">
        <v>250612</v>
      </c>
      <c r="P3103">
        <v>69.989999999999995</v>
      </c>
    </row>
    <row r="3104" spans="1:16" x14ac:dyDescent="0.25">
      <c r="A3104" t="s">
        <v>3296</v>
      </c>
      <c r="B3104" t="s">
        <v>2931</v>
      </c>
      <c r="C3104">
        <v>8591</v>
      </c>
      <c r="D3104" t="str">
        <f>"98345493    "</f>
        <v xml:space="preserve">98345493    </v>
      </c>
      <c r="E3104" t="s">
        <v>460</v>
      </c>
      <c r="F3104" t="s">
        <v>462</v>
      </c>
      <c r="G3104">
        <v>37.65</v>
      </c>
      <c r="H3104">
        <v>250531</v>
      </c>
      <c r="I3104">
        <v>4369</v>
      </c>
      <c r="J3104" t="s">
        <v>188</v>
      </c>
      <c r="K3104">
        <v>37.65</v>
      </c>
      <c r="L3104">
        <v>7.65</v>
      </c>
      <c r="M3104">
        <v>13940</v>
      </c>
      <c r="N3104" t="s">
        <v>14</v>
      </c>
      <c r="O3104">
        <v>250617</v>
      </c>
      <c r="P3104">
        <v>30</v>
      </c>
    </row>
    <row r="3105" spans="1:16" x14ac:dyDescent="0.25">
      <c r="A3105" t="s">
        <v>3296</v>
      </c>
      <c r="B3105" t="s">
        <v>2931</v>
      </c>
      <c r="C3105">
        <v>8703</v>
      </c>
      <c r="D3105" t="str">
        <f>"98345494    "</f>
        <v xml:space="preserve">98345494    </v>
      </c>
      <c r="E3105" t="s">
        <v>460</v>
      </c>
      <c r="F3105" t="s">
        <v>462</v>
      </c>
      <c r="G3105">
        <v>535.41</v>
      </c>
      <c r="H3105">
        <v>250531</v>
      </c>
      <c r="I3105">
        <v>4369</v>
      </c>
      <c r="J3105" t="s">
        <v>188</v>
      </c>
      <c r="K3105">
        <v>535.41</v>
      </c>
      <c r="L3105">
        <v>108.79</v>
      </c>
      <c r="M3105">
        <v>13940</v>
      </c>
      <c r="N3105" t="s">
        <v>14</v>
      </c>
      <c r="O3105">
        <v>250617</v>
      </c>
      <c r="P3105">
        <v>426.62</v>
      </c>
    </row>
    <row r="3106" spans="1:16" x14ac:dyDescent="0.25">
      <c r="A3106" t="s">
        <v>3296</v>
      </c>
      <c r="B3106" t="s">
        <v>2931</v>
      </c>
      <c r="C3106">
        <v>9639</v>
      </c>
      <c r="D3106" t="str">
        <f>"90469478311 "</f>
        <v xml:space="preserve">90469478311 </v>
      </c>
      <c r="E3106" t="s">
        <v>460</v>
      </c>
      <c r="F3106" t="s">
        <v>462</v>
      </c>
      <c r="G3106">
        <v>87.84</v>
      </c>
      <c r="H3106">
        <v>250630</v>
      </c>
      <c r="I3106">
        <v>4369</v>
      </c>
      <c r="J3106" t="s">
        <v>188</v>
      </c>
      <c r="K3106">
        <v>87.84</v>
      </c>
      <c r="L3106">
        <v>17.850000000000001</v>
      </c>
      <c r="M3106">
        <v>11001</v>
      </c>
      <c r="N3106" t="s">
        <v>93</v>
      </c>
      <c r="O3106">
        <v>250724</v>
      </c>
      <c r="P3106">
        <v>69.989999999999995</v>
      </c>
    </row>
    <row r="3107" spans="1:16" x14ac:dyDescent="0.25">
      <c r="A3107" t="s">
        <v>3296</v>
      </c>
      <c r="B3107" t="s">
        <v>2931</v>
      </c>
      <c r="C3107">
        <v>9640</v>
      </c>
      <c r="D3107" t="str">
        <f>"98385202    "</f>
        <v xml:space="preserve">98385202    </v>
      </c>
      <c r="E3107" t="s">
        <v>460</v>
      </c>
      <c r="F3107" t="s">
        <v>462</v>
      </c>
      <c r="G3107">
        <v>535.41</v>
      </c>
      <c r="H3107">
        <v>250630</v>
      </c>
      <c r="I3107">
        <v>4369</v>
      </c>
      <c r="J3107" t="s">
        <v>188</v>
      </c>
      <c r="K3107">
        <v>535.41</v>
      </c>
      <c r="L3107">
        <v>108.79</v>
      </c>
      <c r="M3107">
        <v>13940</v>
      </c>
      <c r="N3107" t="s">
        <v>14</v>
      </c>
      <c r="O3107">
        <v>250724</v>
      </c>
      <c r="P3107">
        <v>426.62</v>
      </c>
    </row>
    <row r="3108" spans="1:16" x14ac:dyDescent="0.25">
      <c r="A3108" t="s">
        <v>3296</v>
      </c>
      <c r="B3108" t="s">
        <v>2931</v>
      </c>
      <c r="C3108">
        <v>9641</v>
      </c>
      <c r="D3108" t="str">
        <f>"98385201    "</f>
        <v xml:space="preserve">98385201    </v>
      </c>
      <c r="E3108" t="s">
        <v>460</v>
      </c>
      <c r="F3108" t="s">
        <v>462</v>
      </c>
      <c r="G3108">
        <v>37.65</v>
      </c>
      <c r="H3108">
        <v>250630</v>
      </c>
      <c r="I3108">
        <v>4369</v>
      </c>
      <c r="J3108" t="s">
        <v>188</v>
      </c>
      <c r="K3108">
        <v>37.65</v>
      </c>
      <c r="L3108">
        <v>7.65</v>
      </c>
      <c r="M3108">
        <v>13940</v>
      </c>
      <c r="N3108" t="s">
        <v>14</v>
      </c>
      <c r="O3108">
        <v>250724</v>
      </c>
      <c r="P3108">
        <v>30</v>
      </c>
    </row>
    <row r="3109" spans="1:16" x14ac:dyDescent="0.25">
      <c r="A3109" t="s">
        <v>3296</v>
      </c>
      <c r="B3109" t="s">
        <v>2931</v>
      </c>
      <c r="C3109">
        <v>10301</v>
      </c>
      <c r="D3109" t="str">
        <f>"90472061507 "</f>
        <v xml:space="preserve">90472061507 </v>
      </c>
      <c r="E3109" t="s">
        <v>460</v>
      </c>
      <c r="F3109" t="s">
        <v>462</v>
      </c>
      <c r="G3109">
        <v>87.84</v>
      </c>
      <c r="H3109">
        <v>250731</v>
      </c>
      <c r="I3109">
        <v>4369</v>
      </c>
      <c r="J3109" t="s">
        <v>188</v>
      </c>
      <c r="K3109">
        <v>88.02</v>
      </c>
      <c r="L3109">
        <v>17.850000000000001</v>
      </c>
      <c r="M3109">
        <v>11001</v>
      </c>
      <c r="N3109" t="s">
        <v>93</v>
      </c>
      <c r="O3109">
        <v>250814</v>
      </c>
      <c r="P3109">
        <v>69.989999999999995</v>
      </c>
    </row>
    <row r="3110" spans="1:16" x14ac:dyDescent="0.25">
      <c r="A3110" t="s">
        <v>3296</v>
      </c>
      <c r="B3110" t="s">
        <v>2931</v>
      </c>
      <c r="C3110">
        <v>10382</v>
      </c>
      <c r="D3110" t="str">
        <f>"98424181    "</f>
        <v xml:space="preserve">98424181    </v>
      </c>
      <c r="E3110" t="s">
        <v>460</v>
      </c>
      <c r="F3110" t="s">
        <v>462</v>
      </c>
      <c r="G3110">
        <v>37.65</v>
      </c>
      <c r="H3110">
        <v>250731</v>
      </c>
      <c r="I3110">
        <v>4369</v>
      </c>
      <c r="J3110" t="s">
        <v>188</v>
      </c>
      <c r="K3110">
        <v>37.65</v>
      </c>
      <c r="L3110">
        <v>7.65</v>
      </c>
      <c r="M3110">
        <v>13940</v>
      </c>
      <c r="N3110" t="s">
        <v>14</v>
      </c>
      <c r="O3110">
        <v>250818</v>
      </c>
      <c r="P3110">
        <v>30</v>
      </c>
    </row>
    <row r="3111" spans="1:16" x14ac:dyDescent="0.25">
      <c r="A3111" t="s">
        <v>3296</v>
      </c>
      <c r="B3111" t="s">
        <v>2931</v>
      </c>
      <c r="C3111">
        <v>10391</v>
      </c>
      <c r="D3111" t="str">
        <f>"98424182    "</f>
        <v xml:space="preserve">98424182    </v>
      </c>
      <c r="E3111" t="s">
        <v>460</v>
      </c>
      <c r="F3111" t="s">
        <v>462</v>
      </c>
      <c r="G3111">
        <v>535.41</v>
      </c>
      <c r="H3111">
        <v>250731</v>
      </c>
      <c r="I3111">
        <v>4369</v>
      </c>
      <c r="J3111" t="s">
        <v>188</v>
      </c>
      <c r="K3111">
        <v>535.41</v>
      </c>
      <c r="L3111">
        <v>108.79</v>
      </c>
      <c r="M3111">
        <v>13901</v>
      </c>
      <c r="N3111" t="s">
        <v>116</v>
      </c>
      <c r="O3111">
        <v>250818</v>
      </c>
      <c r="P3111">
        <v>426.62</v>
      </c>
    </row>
    <row r="3112" spans="1:16" x14ac:dyDescent="0.25">
      <c r="A3112" t="s">
        <v>3296</v>
      </c>
      <c r="B3112" t="s">
        <v>2931</v>
      </c>
      <c r="C3112">
        <v>11580</v>
      </c>
      <c r="D3112" t="str">
        <f>"90474524258 "</f>
        <v xml:space="preserve">90474524258 </v>
      </c>
      <c r="E3112" t="s">
        <v>460</v>
      </c>
      <c r="F3112" t="s">
        <v>462</v>
      </c>
      <c r="G3112">
        <v>640.20000000000005</v>
      </c>
      <c r="H3112">
        <v>250831</v>
      </c>
      <c r="I3112">
        <v>4369</v>
      </c>
      <c r="J3112" t="s">
        <v>188</v>
      </c>
      <c r="K3112">
        <v>640.20000000000005</v>
      </c>
      <c r="L3112">
        <v>130.08000000000001</v>
      </c>
      <c r="M3112">
        <v>11001</v>
      </c>
      <c r="N3112" t="s">
        <v>93</v>
      </c>
      <c r="O3112">
        <v>250909</v>
      </c>
      <c r="P3112">
        <v>510.12</v>
      </c>
    </row>
    <row r="3113" spans="1:16" x14ac:dyDescent="0.25">
      <c r="A3113" t="s">
        <v>3296</v>
      </c>
      <c r="B3113" t="s">
        <v>2931</v>
      </c>
      <c r="C3113">
        <v>12085</v>
      </c>
      <c r="D3113" t="str">
        <f>"98462983    "</f>
        <v xml:space="preserve">98462983    </v>
      </c>
      <c r="E3113" t="s">
        <v>460</v>
      </c>
      <c r="F3113" t="s">
        <v>462</v>
      </c>
      <c r="G3113">
        <v>37.65</v>
      </c>
      <c r="H3113">
        <v>250831</v>
      </c>
      <c r="I3113">
        <v>4369</v>
      </c>
      <c r="J3113" t="s">
        <v>188</v>
      </c>
      <c r="K3113">
        <v>37.65</v>
      </c>
      <c r="L3113">
        <v>7.65</v>
      </c>
      <c r="M3113">
        <v>13901</v>
      </c>
      <c r="N3113" t="s">
        <v>116</v>
      </c>
      <c r="O3113">
        <v>250916</v>
      </c>
      <c r="P3113">
        <v>30</v>
      </c>
    </row>
    <row r="3114" spans="1:16" x14ac:dyDescent="0.25">
      <c r="A3114" t="s">
        <v>3296</v>
      </c>
      <c r="B3114" t="s">
        <v>2931</v>
      </c>
      <c r="C3114">
        <v>12086</v>
      </c>
      <c r="D3114" t="str">
        <f>"98462984    "</f>
        <v xml:space="preserve">98462984    </v>
      </c>
      <c r="E3114" t="s">
        <v>460</v>
      </c>
      <c r="F3114" t="s">
        <v>462</v>
      </c>
      <c r="G3114">
        <v>535.41</v>
      </c>
      <c r="H3114">
        <v>250831</v>
      </c>
      <c r="I3114">
        <v>4369</v>
      </c>
      <c r="J3114" t="s">
        <v>188</v>
      </c>
      <c r="K3114">
        <v>535.41</v>
      </c>
      <c r="L3114">
        <v>108.79</v>
      </c>
      <c r="M3114">
        <v>13901</v>
      </c>
      <c r="N3114" t="s">
        <v>116</v>
      </c>
      <c r="O3114">
        <v>250916</v>
      </c>
      <c r="P3114">
        <v>426.62</v>
      </c>
    </row>
    <row r="3115" spans="1:16" x14ac:dyDescent="0.25">
      <c r="A3115" t="s">
        <v>3296</v>
      </c>
      <c r="B3115" t="s">
        <v>2931</v>
      </c>
      <c r="C3115">
        <v>13335</v>
      </c>
      <c r="D3115" t="str">
        <f>"90476980455 "</f>
        <v xml:space="preserve">90476980455 </v>
      </c>
      <c r="E3115" t="s">
        <v>460</v>
      </c>
      <c r="F3115" t="s">
        <v>462</v>
      </c>
      <c r="G3115">
        <v>87.84</v>
      </c>
      <c r="H3115">
        <v>250930</v>
      </c>
      <c r="I3115">
        <v>4369</v>
      </c>
      <c r="J3115" t="s">
        <v>188</v>
      </c>
      <c r="K3115">
        <v>87.84</v>
      </c>
      <c r="L3115">
        <v>17.850000000000001</v>
      </c>
      <c r="M3115">
        <v>11001</v>
      </c>
      <c r="N3115" t="s">
        <v>93</v>
      </c>
      <c r="O3115">
        <v>251008</v>
      </c>
      <c r="P3115">
        <v>69.989999999999995</v>
      </c>
    </row>
    <row r="3116" spans="1:16" x14ac:dyDescent="0.25">
      <c r="A3116" t="s">
        <v>3296</v>
      </c>
      <c r="B3116" t="s">
        <v>2931</v>
      </c>
      <c r="C3116">
        <v>13969</v>
      </c>
      <c r="D3116" t="str">
        <f>"98501790    "</f>
        <v xml:space="preserve">98501790    </v>
      </c>
      <c r="E3116" t="s">
        <v>460</v>
      </c>
      <c r="F3116" t="s">
        <v>462</v>
      </c>
      <c r="G3116">
        <v>535.41</v>
      </c>
      <c r="H3116">
        <v>251001</v>
      </c>
      <c r="I3116">
        <v>4369</v>
      </c>
      <c r="J3116" t="s">
        <v>188</v>
      </c>
      <c r="K3116">
        <v>535.41</v>
      </c>
      <c r="L3116">
        <v>108.79</v>
      </c>
      <c r="M3116">
        <v>13901</v>
      </c>
      <c r="N3116" t="s">
        <v>116</v>
      </c>
      <c r="O3116">
        <v>251021</v>
      </c>
      <c r="P3116">
        <v>426.62</v>
      </c>
    </row>
    <row r="3117" spans="1:16" x14ac:dyDescent="0.25">
      <c r="A3117" t="s">
        <v>3296</v>
      </c>
      <c r="B3117" t="s">
        <v>2931</v>
      </c>
      <c r="C3117">
        <v>13970</v>
      </c>
      <c r="D3117" t="str">
        <f>"98501789    "</f>
        <v xml:space="preserve">98501789    </v>
      </c>
      <c r="E3117" t="s">
        <v>460</v>
      </c>
      <c r="F3117" t="s">
        <v>462</v>
      </c>
      <c r="G3117">
        <v>37.65</v>
      </c>
      <c r="H3117">
        <v>251001</v>
      </c>
      <c r="I3117">
        <v>4369</v>
      </c>
      <c r="J3117" t="s">
        <v>188</v>
      </c>
      <c r="K3117">
        <v>37.65</v>
      </c>
      <c r="L3117">
        <v>7.65</v>
      </c>
      <c r="M3117">
        <v>13901</v>
      </c>
      <c r="N3117" t="s">
        <v>116</v>
      </c>
      <c r="O3117">
        <v>251021</v>
      </c>
      <c r="P3117">
        <v>30</v>
      </c>
    </row>
    <row r="3118" spans="1:16" x14ac:dyDescent="0.25">
      <c r="A3118" t="s">
        <v>3296</v>
      </c>
      <c r="B3118" t="s">
        <v>2931</v>
      </c>
      <c r="C3118">
        <v>14636</v>
      </c>
      <c r="D3118" t="str">
        <f>"90479429662 "</f>
        <v xml:space="preserve">90479429662 </v>
      </c>
      <c r="E3118" t="s">
        <v>460</v>
      </c>
      <c r="F3118" t="s">
        <v>462</v>
      </c>
      <c r="G3118">
        <v>87.84</v>
      </c>
      <c r="H3118">
        <v>251031</v>
      </c>
      <c r="I3118">
        <v>4369</v>
      </c>
      <c r="J3118" t="s">
        <v>188</v>
      </c>
      <c r="K3118">
        <v>87.84</v>
      </c>
      <c r="L3118">
        <v>17.850000000000001</v>
      </c>
      <c r="M3118">
        <v>11001</v>
      </c>
      <c r="N3118" t="s">
        <v>93</v>
      </c>
      <c r="O3118">
        <v>251105</v>
      </c>
      <c r="P3118">
        <v>69.989999999999995</v>
      </c>
    </row>
    <row r="3119" spans="1:16" x14ac:dyDescent="0.25">
      <c r="A3119" t="s">
        <v>3296</v>
      </c>
      <c r="B3119" t="s">
        <v>2931</v>
      </c>
      <c r="C3119">
        <v>15319</v>
      </c>
      <c r="D3119" t="str">
        <f>"98540528    "</f>
        <v xml:space="preserve">98540528    </v>
      </c>
      <c r="E3119" t="s">
        <v>460</v>
      </c>
      <c r="F3119" t="s">
        <v>462</v>
      </c>
      <c r="G3119">
        <v>37.65</v>
      </c>
      <c r="H3119">
        <v>251030</v>
      </c>
      <c r="I3119">
        <v>4369</v>
      </c>
      <c r="J3119" t="s">
        <v>188</v>
      </c>
      <c r="K3119">
        <v>37.65</v>
      </c>
      <c r="L3119">
        <v>7.65</v>
      </c>
      <c r="M3119">
        <v>13901</v>
      </c>
      <c r="N3119" t="s">
        <v>116</v>
      </c>
      <c r="O3119">
        <v>251118</v>
      </c>
      <c r="P3119">
        <v>30</v>
      </c>
    </row>
    <row r="3120" spans="1:16" x14ac:dyDescent="0.25">
      <c r="A3120" t="s">
        <v>3296</v>
      </c>
      <c r="B3120" t="s">
        <v>2931</v>
      </c>
      <c r="C3120">
        <v>15320</v>
      </c>
      <c r="D3120" t="str">
        <f>"98540529    "</f>
        <v xml:space="preserve">98540529    </v>
      </c>
      <c r="E3120" t="s">
        <v>460</v>
      </c>
      <c r="F3120" t="s">
        <v>462</v>
      </c>
      <c r="G3120">
        <v>535.41</v>
      </c>
      <c r="H3120">
        <v>251030</v>
      </c>
      <c r="I3120">
        <v>4369</v>
      </c>
      <c r="J3120" t="s">
        <v>188</v>
      </c>
      <c r="K3120">
        <v>535.41</v>
      </c>
      <c r="L3120">
        <v>108.79</v>
      </c>
      <c r="M3120">
        <v>13901</v>
      </c>
      <c r="N3120" t="s">
        <v>116</v>
      </c>
      <c r="O3120">
        <v>251118</v>
      </c>
      <c r="P3120">
        <v>426.62</v>
      </c>
    </row>
    <row r="3121" spans="1:16" x14ac:dyDescent="0.25">
      <c r="A3121" t="s">
        <v>3296</v>
      </c>
      <c r="B3121" t="s">
        <v>2931</v>
      </c>
      <c r="C3121">
        <v>16220</v>
      </c>
      <c r="D3121" t="str">
        <f>"90481890278 "</f>
        <v xml:space="preserve">90481890278 </v>
      </c>
      <c r="E3121" t="s">
        <v>460</v>
      </c>
      <c r="F3121" t="s">
        <v>462</v>
      </c>
      <c r="G3121">
        <v>87.84</v>
      </c>
      <c r="H3121">
        <v>251130</v>
      </c>
      <c r="I3121">
        <v>4369</v>
      </c>
      <c r="J3121" t="s">
        <v>188</v>
      </c>
      <c r="K3121">
        <v>87.84</v>
      </c>
      <c r="L3121">
        <v>17.850000000000001</v>
      </c>
      <c r="M3121">
        <v>11001</v>
      </c>
      <c r="N3121" t="s">
        <v>93</v>
      </c>
      <c r="O3121">
        <v>251204</v>
      </c>
      <c r="P3121">
        <v>69.989999999999995</v>
      </c>
    </row>
    <row r="3122" spans="1:16" x14ac:dyDescent="0.25">
      <c r="A3122" t="s">
        <v>3296</v>
      </c>
      <c r="B3122" t="s">
        <v>2931</v>
      </c>
      <c r="C3122">
        <v>16928</v>
      </c>
      <c r="D3122" t="str">
        <f>"98579228    "</f>
        <v xml:space="preserve">98579228    </v>
      </c>
      <c r="E3122" t="s">
        <v>460</v>
      </c>
      <c r="F3122" t="s">
        <v>462</v>
      </c>
      <c r="G3122">
        <v>37.65</v>
      </c>
      <c r="H3122">
        <v>251130</v>
      </c>
      <c r="I3122">
        <v>4369</v>
      </c>
      <c r="J3122" t="s">
        <v>188</v>
      </c>
      <c r="K3122">
        <v>37.65</v>
      </c>
      <c r="L3122">
        <v>7.65</v>
      </c>
      <c r="M3122">
        <v>13901</v>
      </c>
      <c r="N3122" t="s">
        <v>116</v>
      </c>
      <c r="O3122">
        <v>251216</v>
      </c>
      <c r="P3122">
        <v>30</v>
      </c>
    </row>
    <row r="3123" spans="1:16" x14ac:dyDescent="0.25">
      <c r="A3123" t="s">
        <v>3296</v>
      </c>
      <c r="B3123" t="s">
        <v>2931</v>
      </c>
      <c r="C3123">
        <v>16930</v>
      </c>
      <c r="D3123" t="str">
        <f>"98579229    "</f>
        <v xml:space="preserve">98579229    </v>
      </c>
      <c r="E3123" t="s">
        <v>460</v>
      </c>
      <c r="F3123" t="s">
        <v>462</v>
      </c>
      <c r="G3123">
        <v>535.41</v>
      </c>
      <c r="H3123">
        <v>251130</v>
      </c>
      <c r="I3123">
        <v>4369</v>
      </c>
      <c r="J3123" t="s">
        <v>188</v>
      </c>
      <c r="K3123">
        <v>535.41</v>
      </c>
      <c r="L3123">
        <v>108.79</v>
      </c>
      <c r="M3123">
        <v>13901</v>
      </c>
      <c r="N3123" t="s">
        <v>116</v>
      </c>
      <c r="O3123">
        <v>251216</v>
      </c>
      <c r="P3123">
        <v>426.62</v>
      </c>
    </row>
    <row r="3124" spans="1:16" x14ac:dyDescent="0.25">
      <c r="A3124" t="s">
        <v>3296</v>
      </c>
      <c r="B3124" t="s">
        <v>2931</v>
      </c>
      <c r="C3124">
        <v>18190</v>
      </c>
      <c r="D3124" t="str">
        <f>"90484392694 "</f>
        <v xml:space="preserve">90484392694 </v>
      </c>
      <c r="E3124" t="s">
        <v>460</v>
      </c>
      <c r="F3124" t="s">
        <v>462</v>
      </c>
      <c r="G3124">
        <v>87.84</v>
      </c>
      <c r="H3124">
        <v>251230</v>
      </c>
      <c r="I3124">
        <v>4369</v>
      </c>
      <c r="J3124" t="s">
        <v>188</v>
      </c>
      <c r="K3124">
        <v>87.84</v>
      </c>
      <c r="L3124">
        <v>17.850000000000001</v>
      </c>
      <c r="M3124">
        <v>11001</v>
      </c>
      <c r="N3124" t="s">
        <v>93</v>
      </c>
      <c r="O3124">
        <v>260109</v>
      </c>
      <c r="P3124">
        <v>69.989999999999995</v>
      </c>
    </row>
    <row r="3125" spans="1:16" x14ac:dyDescent="0.25">
      <c r="A3125" t="s">
        <v>3296</v>
      </c>
      <c r="B3125" t="s">
        <v>2931</v>
      </c>
      <c r="C3125">
        <v>18602</v>
      </c>
      <c r="D3125" t="str">
        <f>"98617828    "</f>
        <v xml:space="preserve">98617828    </v>
      </c>
      <c r="E3125" t="s">
        <v>460</v>
      </c>
      <c r="F3125" t="s">
        <v>462</v>
      </c>
      <c r="G3125">
        <v>535.41</v>
      </c>
      <c r="H3125">
        <v>251231</v>
      </c>
      <c r="I3125">
        <v>4369</v>
      </c>
      <c r="J3125" t="s">
        <v>188</v>
      </c>
      <c r="K3125">
        <v>535.41</v>
      </c>
      <c r="L3125">
        <v>108.79</v>
      </c>
      <c r="M3125">
        <v>13901</v>
      </c>
      <c r="N3125" t="s">
        <v>116</v>
      </c>
      <c r="O3125">
        <v>260119</v>
      </c>
      <c r="P3125">
        <v>426.62</v>
      </c>
    </row>
    <row r="3126" spans="1:16" x14ac:dyDescent="0.25">
      <c r="A3126" t="s">
        <v>3296</v>
      </c>
      <c r="B3126" t="s">
        <v>2931</v>
      </c>
      <c r="C3126">
        <v>18603</v>
      </c>
      <c r="D3126" t="str">
        <f>"98617827    "</f>
        <v xml:space="preserve">98617827    </v>
      </c>
      <c r="E3126" t="s">
        <v>460</v>
      </c>
      <c r="F3126" t="s">
        <v>462</v>
      </c>
      <c r="G3126">
        <v>37.65</v>
      </c>
      <c r="H3126">
        <v>251231</v>
      </c>
      <c r="I3126">
        <v>4369</v>
      </c>
      <c r="J3126" t="s">
        <v>188</v>
      </c>
      <c r="K3126">
        <v>37.65</v>
      </c>
      <c r="L3126">
        <v>7.65</v>
      </c>
      <c r="M3126">
        <v>13901</v>
      </c>
      <c r="N3126" t="s">
        <v>116</v>
      </c>
      <c r="O3126">
        <v>260119</v>
      </c>
      <c r="P3126">
        <v>30</v>
      </c>
    </row>
    <row r="3127" spans="1:16" x14ac:dyDescent="0.25">
      <c r="A3127" t="s">
        <v>3296</v>
      </c>
      <c r="B3127" t="s">
        <v>2931</v>
      </c>
      <c r="C3127">
        <v>10344</v>
      </c>
      <c r="D3127" t="str">
        <f>"164531      "</f>
        <v xml:space="preserve">164531      </v>
      </c>
      <c r="E3127" t="s">
        <v>2092</v>
      </c>
      <c r="F3127" t="s">
        <v>2094</v>
      </c>
      <c r="G3127">
        <v>521.30999999999995</v>
      </c>
      <c r="H3127">
        <v>250801</v>
      </c>
      <c r="I3127">
        <v>1198</v>
      </c>
      <c r="J3127" t="s">
        <v>610</v>
      </c>
      <c r="K3127">
        <v>521.30999999999995</v>
      </c>
      <c r="L3127">
        <v>105.92</v>
      </c>
      <c r="M3127">
        <v>97629</v>
      </c>
      <c r="N3127" t="s">
        <v>1110</v>
      </c>
      <c r="O3127">
        <v>250818</v>
      </c>
      <c r="P3127">
        <v>415.39</v>
      </c>
    </row>
    <row r="3128" spans="1:16" x14ac:dyDescent="0.25">
      <c r="A3128" t="s">
        <v>3296</v>
      </c>
      <c r="B3128" t="s">
        <v>2931</v>
      </c>
      <c r="C3128">
        <v>10349</v>
      </c>
      <c r="D3128" t="str">
        <f>"164563      "</f>
        <v xml:space="preserve">164563      </v>
      </c>
      <c r="E3128" t="s">
        <v>2092</v>
      </c>
      <c r="F3128" t="s">
        <v>2094</v>
      </c>
      <c r="G3128">
        <v>431.4</v>
      </c>
      <c r="H3128">
        <v>250804</v>
      </c>
      <c r="I3128">
        <v>4530</v>
      </c>
      <c r="J3128" t="s">
        <v>293</v>
      </c>
      <c r="K3128">
        <v>14612.91</v>
      </c>
      <c r="L3128">
        <v>87.65</v>
      </c>
      <c r="M3128">
        <v>66756</v>
      </c>
      <c r="N3128" t="s">
        <v>120</v>
      </c>
      <c r="O3128">
        <v>250818</v>
      </c>
      <c r="P3128">
        <v>343.75</v>
      </c>
    </row>
    <row r="3129" spans="1:16" x14ac:dyDescent="0.25">
      <c r="A3129" t="s">
        <v>3296</v>
      </c>
      <c r="B3129" t="s">
        <v>2931</v>
      </c>
      <c r="C3129">
        <v>10771</v>
      </c>
      <c r="D3129" t="str">
        <f>"165025      "</f>
        <v xml:space="preserve">165025      </v>
      </c>
      <c r="E3129" t="s">
        <v>2092</v>
      </c>
      <c r="F3129" t="s">
        <v>2094</v>
      </c>
      <c r="G3129">
        <v>807.59</v>
      </c>
      <c r="H3129">
        <v>250819</v>
      </c>
      <c r="I3129">
        <v>4530</v>
      </c>
      <c r="J3129" t="s">
        <v>293</v>
      </c>
      <c r="K3129">
        <v>807.59</v>
      </c>
      <c r="L3129">
        <v>164.09</v>
      </c>
      <c r="M3129">
        <v>46554</v>
      </c>
      <c r="N3129" t="s">
        <v>102</v>
      </c>
      <c r="O3129">
        <v>250822</v>
      </c>
      <c r="P3129">
        <v>643.5</v>
      </c>
    </row>
    <row r="3130" spans="1:16" x14ac:dyDescent="0.25">
      <c r="A3130" t="s">
        <v>3296</v>
      </c>
      <c r="B3130" t="s">
        <v>2931</v>
      </c>
      <c r="C3130">
        <v>11243</v>
      </c>
      <c r="D3130" t="str">
        <f>"165264      "</f>
        <v xml:space="preserve">165264      </v>
      </c>
      <c r="E3130" t="s">
        <v>2092</v>
      </c>
      <c r="F3130" t="s">
        <v>2094</v>
      </c>
      <c r="G3130">
        <v>120.08</v>
      </c>
      <c r="H3130">
        <v>250825</v>
      </c>
      <c r="I3130">
        <v>4530</v>
      </c>
      <c r="J3130" t="s">
        <v>293</v>
      </c>
      <c r="K3130">
        <v>120.08</v>
      </c>
      <c r="L3130">
        <v>24.4</v>
      </c>
      <c r="M3130">
        <v>17522</v>
      </c>
      <c r="N3130" t="s">
        <v>137</v>
      </c>
      <c r="O3130">
        <v>250902</v>
      </c>
      <c r="P3130">
        <v>95.68</v>
      </c>
    </row>
    <row r="3131" spans="1:16" x14ac:dyDescent="0.25">
      <c r="A3131" t="s">
        <v>3296</v>
      </c>
      <c r="B3131" t="s">
        <v>2931</v>
      </c>
      <c r="C3131">
        <v>11262</v>
      </c>
      <c r="D3131" t="str">
        <f>"165208      "</f>
        <v xml:space="preserve">165208      </v>
      </c>
      <c r="E3131" t="s">
        <v>2092</v>
      </c>
      <c r="F3131" t="s">
        <v>2094</v>
      </c>
      <c r="G3131">
        <v>341.33</v>
      </c>
      <c r="H3131">
        <v>250822</v>
      </c>
      <c r="I3131">
        <v>4530</v>
      </c>
      <c r="J3131" t="s">
        <v>293</v>
      </c>
      <c r="K3131">
        <v>10842.52</v>
      </c>
      <c r="L3131">
        <v>69.349999999999994</v>
      </c>
      <c r="M3131">
        <v>46555</v>
      </c>
      <c r="N3131" t="s">
        <v>103</v>
      </c>
      <c r="O3131">
        <v>250902</v>
      </c>
      <c r="P3131">
        <v>271.98</v>
      </c>
    </row>
    <row r="3132" spans="1:16" x14ac:dyDescent="0.25">
      <c r="A3132" t="s">
        <v>3296</v>
      </c>
      <c r="B3132" t="s">
        <v>2931</v>
      </c>
      <c r="C3132">
        <v>11341</v>
      </c>
      <c r="D3132" t="str">
        <f>"164969      "</f>
        <v xml:space="preserve">164969      </v>
      </c>
      <c r="E3132" t="s">
        <v>2092</v>
      </c>
      <c r="F3132" t="s">
        <v>2094</v>
      </c>
      <c r="G3132">
        <v>592.36</v>
      </c>
      <c r="H3132">
        <v>250818</v>
      </c>
      <c r="I3132">
        <v>4530</v>
      </c>
      <c r="J3132" t="s">
        <v>293</v>
      </c>
      <c r="K3132">
        <v>592.36</v>
      </c>
      <c r="L3132">
        <v>120.36</v>
      </c>
      <c r="M3132">
        <v>47522</v>
      </c>
      <c r="N3132" t="s">
        <v>106</v>
      </c>
      <c r="O3132">
        <v>250904</v>
      </c>
      <c r="P3132">
        <v>472</v>
      </c>
    </row>
    <row r="3133" spans="1:16" x14ac:dyDescent="0.25">
      <c r="A3133" t="s">
        <v>3296</v>
      </c>
      <c r="B3133" t="s">
        <v>2931</v>
      </c>
      <c r="C3133">
        <v>11784</v>
      </c>
      <c r="D3133" t="str">
        <f>"165463      "</f>
        <v xml:space="preserve">165463      </v>
      </c>
      <c r="E3133" t="s">
        <v>2092</v>
      </c>
      <c r="F3133" t="s">
        <v>2094</v>
      </c>
      <c r="G3133">
        <v>993.46</v>
      </c>
      <c r="H3133">
        <v>250829</v>
      </c>
      <c r="I3133">
        <v>4530</v>
      </c>
      <c r="J3133" t="s">
        <v>293</v>
      </c>
      <c r="K3133">
        <v>1354.4</v>
      </c>
      <c r="L3133">
        <v>201.86</v>
      </c>
      <c r="M3133">
        <v>46556</v>
      </c>
      <c r="N3133" t="s">
        <v>458</v>
      </c>
      <c r="O3133">
        <v>250910</v>
      </c>
      <c r="P3133">
        <v>791.6</v>
      </c>
    </row>
    <row r="3134" spans="1:16" x14ac:dyDescent="0.25">
      <c r="A3134" t="s">
        <v>3296</v>
      </c>
      <c r="B3134" t="s">
        <v>2931</v>
      </c>
      <c r="C3134">
        <v>12329</v>
      </c>
      <c r="D3134" t="str">
        <f>"166151      "</f>
        <v xml:space="preserve">166151      </v>
      </c>
      <c r="E3134" t="s">
        <v>2092</v>
      </c>
      <c r="F3134" t="s">
        <v>2094</v>
      </c>
      <c r="G3134">
        <v>749.86</v>
      </c>
      <c r="H3134">
        <v>250905</v>
      </c>
      <c r="I3134">
        <v>4530</v>
      </c>
      <c r="J3134" t="s">
        <v>293</v>
      </c>
      <c r="K3134">
        <v>930.33</v>
      </c>
      <c r="L3134">
        <v>152.36000000000001</v>
      </c>
      <c r="M3134">
        <v>46556</v>
      </c>
      <c r="N3134" t="s">
        <v>458</v>
      </c>
      <c r="O3134">
        <v>250919</v>
      </c>
      <c r="P3134">
        <v>597.5</v>
      </c>
    </row>
    <row r="3135" spans="1:16" x14ac:dyDescent="0.25">
      <c r="A3135" t="s">
        <v>3296</v>
      </c>
      <c r="B3135" t="s">
        <v>2931</v>
      </c>
      <c r="C3135">
        <v>12863</v>
      </c>
      <c r="D3135" t="str">
        <f>"166931      "</f>
        <v xml:space="preserve">166931      </v>
      </c>
      <c r="E3135" t="s">
        <v>2092</v>
      </c>
      <c r="F3135" t="s">
        <v>2094</v>
      </c>
      <c r="G3135">
        <v>291.16000000000003</v>
      </c>
      <c r="H3135">
        <v>250926</v>
      </c>
      <c r="I3135">
        <v>4530</v>
      </c>
      <c r="J3135" t="s">
        <v>293</v>
      </c>
      <c r="K3135">
        <v>291.16000000000003</v>
      </c>
      <c r="L3135">
        <v>59.16</v>
      </c>
      <c r="M3135">
        <v>17807</v>
      </c>
      <c r="N3135" t="s">
        <v>23</v>
      </c>
      <c r="O3135">
        <v>250930</v>
      </c>
      <c r="P3135">
        <v>232</v>
      </c>
    </row>
    <row r="3136" spans="1:16" x14ac:dyDescent="0.25">
      <c r="A3136" t="s">
        <v>3296</v>
      </c>
      <c r="B3136" t="s">
        <v>2931</v>
      </c>
      <c r="C3136">
        <v>9054</v>
      </c>
      <c r="D3136" t="str">
        <f>"163479      "</f>
        <v xml:space="preserve">163479      </v>
      </c>
      <c r="E3136" t="s">
        <v>2092</v>
      </c>
      <c r="F3136" t="s">
        <v>2094</v>
      </c>
      <c r="G3136">
        <v>872.79</v>
      </c>
      <c r="H3136">
        <v>250616</v>
      </c>
      <c r="I3136">
        <v>4580</v>
      </c>
      <c r="J3136" t="s">
        <v>126</v>
      </c>
      <c r="K3136">
        <v>872.79</v>
      </c>
      <c r="L3136">
        <v>177.34</v>
      </c>
      <c r="M3136">
        <v>18680</v>
      </c>
      <c r="N3136" t="s">
        <v>2093</v>
      </c>
      <c r="O3136">
        <v>250626</v>
      </c>
      <c r="P3136">
        <v>695.45</v>
      </c>
    </row>
    <row r="3137" spans="1:16" x14ac:dyDescent="0.25">
      <c r="A3137" t="s">
        <v>3296</v>
      </c>
      <c r="B3137" t="s">
        <v>2931</v>
      </c>
      <c r="C3137">
        <v>9057</v>
      </c>
      <c r="D3137" t="str">
        <f>"163476      "</f>
        <v xml:space="preserve">163476      </v>
      </c>
      <c r="E3137" t="s">
        <v>2092</v>
      </c>
      <c r="F3137" t="s">
        <v>2094</v>
      </c>
      <c r="G3137">
        <v>128.94999999999999</v>
      </c>
      <c r="H3137">
        <v>250616</v>
      </c>
      <c r="I3137">
        <v>4580</v>
      </c>
      <c r="J3137" t="s">
        <v>126</v>
      </c>
      <c r="K3137">
        <v>128.94999999999999</v>
      </c>
      <c r="L3137">
        <v>26.2</v>
      </c>
      <c r="M3137">
        <v>18680</v>
      </c>
      <c r="N3137" t="s">
        <v>2093</v>
      </c>
      <c r="O3137">
        <v>250626</v>
      </c>
      <c r="P3137">
        <v>102.75</v>
      </c>
    </row>
    <row r="3138" spans="1:16" x14ac:dyDescent="0.25">
      <c r="A3138" t="s">
        <v>3296</v>
      </c>
      <c r="B3138" t="s">
        <v>2931</v>
      </c>
      <c r="C3138">
        <v>9108</v>
      </c>
      <c r="D3138" t="str">
        <f>"163489      "</f>
        <v xml:space="preserve">163489      </v>
      </c>
      <c r="E3138" t="s">
        <v>2092</v>
      </c>
      <c r="F3138" t="s">
        <v>2094</v>
      </c>
      <c r="G3138">
        <v>297.37</v>
      </c>
      <c r="H3138">
        <v>250616</v>
      </c>
      <c r="I3138">
        <v>4580</v>
      </c>
      <c r="J3138" t="s">
        <v>126</v>
      </c>
      <c r="K3138">
        <v>297.37</v>
      </c>
      <c r="L3138">
        <v>60.42</v>
      </c>
      <c r="M3138">
        <v>18680</v>
      </c>
      <c r="N3138" t="s">
        <v>2093</v>
      </c>
      <c r="O3138">
        <v>250626</v>
      </c>
      <c r="P3138">
        <v>236.95</v>
      </c>
    </row>
    <row r="3139" spans="1:16" x14ac:dyDescent="0.25">
      <c r="A3139" t="s">
        <v>3296</v>
      </c>
      <c r="B3139" t="s">
        <v>2931</v>
      </c>
      <c r="C3139">
        <v>10155</v>
      </c>
      <c r="D3139" t="str">
        <f>"164631      "</f>
        <v xml:space="preserve">164631      </v>
      </c>
      <c r="E3139" t="s">
        <v>2092</v>
      </c>
      <c r="F3139" t="s">
        <v>2094</v>
      </c>
      <c r="G3139">
        <v>363.58</v>
      </c>
      <c r="H3139">
        <v>250806</v>
      </c>
      <c r="I3139">
        <v>4580</v>
      </c>
      <c r="J3139" t="s">
        <v>126</v>
      </c>
      <c r="K3139">
        <v>1454.31</v>
      </c>
      <c r="L3139">
        <v>73.87</v>
      </c>
      <c r="M3139">
        <v>17522</v>
      </c>
      <c r="N3139" t="s">
        <v>137</v>
      </c>
      <c r="O3139">
        <v>250812</v>
      </c>
      <c r="P3139">
        <v>289.70999999999998</v>
      </c>
    </row>
    <row r="3140" spans="1:16" x14ac:dyDescent="0.25">
      <c r="A3140" t="s">
        <v>3296</v>
      </c>
      <c r="B3140" t="s">
        <v>2931</v>
      </c>
      <c r="C3140">
        <v>10155</v>
      </c>
      <c r="D3140" t="str">
        <f>"164631      "</f>
        <v xml:space="preserve">164631      </v>
      </c>
      <c r="E3140" t="s">
        <v>2092</v>
      </c>
      <c r="F3140" t="s">
        <v>2094</v>
      </c>
      <c r="G3140">
        <v>727.16</v>
      </c>
      <c r="H3140">
        <v>250806</v>
      </c>
      <c r="I3140">
        <v>4580</v>
      </c>
      <c r="J3140" t="s">
        <v>126</v>
      </c>
      <c r="K3140">
        <v>1454.31</v>
      </c>
      <c r="L3140">
        <v>147.75</v>
      </c>
      <c r="M3140">
        <v>17522</v>
      </c>
      <c r="N3140" t="s">
        <v>137</v>
      </c>
      <c r="O3140">
        <v>250812</v>
      </c>
      <c r="P3140">
        <v>579.41</v>
      </c>
    </row>
    <row r="3141" spans="1:16" x14ac:dyDescent="0.25">
      <c r="A3141" t="s">
        <v>3296</v>
      </c>
      <c r="B3141" t="s">
        <v>2931</v>
      </c>
      <c r="C3141">
        <v>10397</v>
      </c>
      <c r="D3141" t="str">
        <f>"164669      "</f>
        <v xml:space="preserve">164669      </v>
      </c>
      <c r="E3141" t="s">
        <v>2092</v>
      </c>
      <c r="F3141" t="s">
        <v>2094</v>
      </c>
      <c r="G3141">
        <v>332.84</v>
      </c>
      <c r="H3141">
        <v>250807</v>
      </c>
      <c r="I3141">
        <v>4580</v>
      </c>
      <c r="J3141" t="s">
        <v>126</v>
      </c>
      <c r="K3141">
        <v>332.84</v>
      </c>
      <c r="L3141">
        <v>67.63</v>
      </c>
      <c r="M3141">
        <v>17521</v>
      </c>
      <c r="N3141" t="s">
        <v>136</v>
      </c>
      <c r="O3141">
        <v>250818</v>
      </c>
      <c r="P3141">
        <v>265.20999999999998</v>
      </c>
    </row>
    <row r="3142" spans="1:16" x14ac:dyDescent="0.25">
      <c r="A3142" t="s">
        <v>3296</v>
      </c>
      <c r="B3142" t="s">
        <v>2931</v>
      </c>
      <c r="C3142">
        <v>10443</v>
      </c>
      <c r="D3142" t="str">
        <f>"2223        "</f>
        <v xml:space="preserve">2223        </v>
      </c>
      <c r="E3142" t="s">
        <v>2092</v>
      </c>
      <c r="F3142" t="s">
        <v>2094</v>
      </c>
      <c r="G3142">
        <v>-11.3</v>
      </c>
      <c r="H3142">
        <v>250819</v>
      </c>
      <c r="I3142">
        <v>4580</v>
      </c>
      <c r="J3142" t="s">
        <v>126</v>
      </c>
      <c r="K3142">
        <v>-11.3</v>
      </c>
      <c r="L3142">
        <v>-2.2999999999999998</v>
      </c>
      <c r="M3142">
        <v>17522</v>
      </c>
      <c r="N3142" t="s">
        <v>137</v>
      </c>
      <c r="O3142">
        <v>250819</v>
      </c>
      <c r="P3142">
        <v>-9</v>
      </c>
    </row>
    <row r="3143" spans="1:16" x14ac:dyDescent="0.25">
      <c r="A3143" t="s">
        <v>3296</v>
      </c>
      <c r="B3143" t="s">
        <v>2931</v>
      </c>
      <c r="C3143">
        <v>10511</v>
      </c>
      <c r="D3143" t="str">
        <f>"164951      "</f>
        <v xml:space="preserve">164951      </v>
      </c>
      <c r="E3143" t="s">
        <v>2092</v>
      </c>
      <c r="F3143" t="s">
        <v>2094</v>
      </c>
      <c r="G3143">
        <v>173.19</v>
      </c>
      <c r="H3143">
        <v>250815</v>
      </c>
      <c r="I3143">
        <v>4580</v>
      </c>
      <c r="J3143" t="s">
        <v>126</v>
      </c>
      <c r="K3143">
        <v>173.19</v>
      </c>
      <c r="L3143">
        <v>35.19</v>
      </c>
      <c r="M3143">
        <v>56522</v>
      </c>
      <c r="N3143" t="s">
        <v>68</v>
      </c>
      <c r="O3143">
        <v>250820</v>
      </c>
      <c r="P3143">
        <v>138</v>
      </c>
    </row>
    <row r="3144" spans="1:16" x14ac:dyDescent="0.25">
      <c r="A3144" t="s">
        <v>3296</v>
      </c>
      <c r="B3144" t="s">
        <v>2931</v>
      </c>
      <c r="C3144">
        <v>10518</v>
      </c>
      <c r="D3144" t="str">
        <f>"164952      "</f>
        <v xml:space="preserve">164952      </v>
      </c>
      <c r="E3144" t="s">
        <v>2092</v>
      </c>
      <c r="F3144" t="s">
        <v>2094</v>
      </c>
      <c r="G3144">
        <v>198.16</v>
      </c>
      <c r="H3144">
        <v>250815</v>
      </c>
      <c r="I3144">
        <v>4580</v>
      </c>
      <c r="J3144" t="s">
        <v>126</v>
      </c>
      <c r="K3144">
        <v>198.16</v>
      </c>
      <c r="L3144">
        <v>40.26</v>
      </c>
      <c r="M3144">
        <v>56522</v>
      </c>
      <c r="N3144" t="s">
        <v>68</v>
      </c>
      <c r="O3144">
        <v>250820</v>
      </c>
      <c r="P3144">
        <v>157.9</v>
      </c>
    </row>
    <row r="3145" spans="1:16" x14ac:dyDescent="0.25">
      <c r="A3145" t="s">
        <v>3296</v>
      </c>
      <c r="B3145" t="s">
        <v>2931</v>
      </c>
      <c r="C3145">
        <v>10864</v>
      </c>
      <c r="D3145" t="str">
        <f>"165073      "</f>
        <v xml:space="preserve">165073      </v>
      </c>
      <c r="E3145" t="s">
        <v>2092</v>
      </c>
      <c r="F3145" t="s">
        <v>2094</v>
      </c>
      <c r="G3145">
        <v>1931.76</v>
      </c>
      <c r="H3145">
        <v>250820</v>
      </c>
      <c r="I3145">
        <v>4580</v>
      </c>
      <c r="J3145" t="s">
        <v>126</v>
      </c>
      <c r="K3145">
        <v>1931.76</v>
      </c>
      <c r="L3145">
        <v>392.51</v>
      </c>
      <c r="M3145">
        <v>17803</v>
      </c>
      <c r="N3145" t="s">
        <v>19</v>
      </c>
      <c r="O3145">
        <v>250825</v>
      </c>
      <c r="P3145">
        <v>1539.25</v>
      </c>
    </row>
    <row r="3146" spans="1:16" x14ac:dyDescent="0.25">
      <c r="A3146" t="s">
        <v>3296</v>
      </c>
      <c r="B3146" t="s">
        <v>2931</v>
      </c>
      <c r="C3146">
        <v>11262</v>
      </c>
      <c r="D3146" t="str">
        <f>"165208      "</f>
        <v xml:space="preserve">165208      </v>
      </c>
      <c r="E3146" t="s">
        <v>2092</v>
      </c>
      <c r="F3146" t="s">
        <v>2094</v>
      </c>
      <c r="G3146">
        <v>281.44</v>
      </c>
      <c r="H3146">
        <v>250822</v>
      </c>
      <c r="I3146">
        <v>4580</v>
      </c>
      <c r="J3146" t="s">
        <v>126</v>
      </c>
      <c r="K3146">
        <v>10842.52</v>
      </c>
      <c r="L3146">
        <v>57.19</v>
      </c>
      <c r="M3146">
        <v>46555</v>
      </c>
      <c r="N3146" t="s">
        <v>103</v>
      </c>
      <c r="O3146">
        <v>250902</v>
      </c>
      <c r="P3146">
        <v>224.25</v>
      </c>
    </row>
    <row r="3147" spans="1:16" x14ac:dyDescent="0.25">
      <c r="A3147" t="s">
        <v>3296</v>
      </c>
      <c r="B3147" t="s">
        <v>2931</v>
      </c>
      <c r="C3147">
        <v>11655</v>
      </c>
      <c r="D3147" t="str">
        <f>"165304      "</f>
        <v xml:space="preserve">165304      </v>
      </c>
      <c r="E3147" t="s">
        <v>2092</v>
      </c>
      <c r="F3147" t="s">
        <v>2094</v>
      </c>
      <c r="G3147">
        <v>3582.96</v>
      </c>
      <c r="H3147">
        <v>250826</v>
      </c>
      <c r="I3147">
        <v>4580</v>
      </c>
      <c r="J3147" t="s">
        <v>126</v>
      </c>
      <c r="K3147">
        <v>3582.96</v>
      </c>
      <c r="L3147">
        <v>728.01</v>
      </c>
      <c r="M3147">
        <v>56562</v>
      </c>
      <c r="N3147" t="s">
        <v>54</v>
      </c>
      <c r="O3147">
        <v>250909</v>
      </c>
      <c r="P3147">
        <v>2854.95</v>
      </c>
    </row>
    <row r="3148" spans="1:16" x14ac:dyDescent="0.25">
      <c r="A3148" t="s">
        <v>3296</v>
      </c>
      <c r="B3148" t="s">
        <v>2931</v>
      </c>
      <c r="C3148">
        <v>11773</v>
      </c>
      <c r="D3148" t="str">
        <f>"165417      "</f>
        <v xml:space="preserve">165417      </v>
      </c>
      <c r="E3148" t="s">
        <v>2092</v>
      </c>
      <c r="F3148" t="s">
        <v>2094</v>
      </c>
      <c r="G3148">
        <v>31.38</v>
      </c>
      <c r="H3148">
        <v>250828</v>
      </c>
      <c r="I3148">
        <v>4580</v>
      </c>
      <c r="J3148" t="s">
        <v>126</v>
      </c>
      <c r="K3148">
        <v>31.38</v>
      </c>
      <c r="L3148">
        <v>6.38</v>
      </c>
      <c r="M3148">
        <v>56522</v>
      </c>
      <c r="N3148" t="s">
        <v>68</v>
      </c>
      <c r="O3148">
        <v>250910</v>
      </c>
      <c r="P3148">
        <v>25</v>
      </c>
    </row>
    <row r="3149" spans="1:16" x14ac:dyDescent="0.25">
      <c r="A3149" t="s">
        <v>3296</v>
      </c>
      <c r="B3149" t="s">
        <v>2931</v>
      </c>
      <c r="C3149">
        <v>9059</v>
      </c>
      <c r="D3149" t="str">
        <f>"163478      "</f>
        <v xml:space="preserve">163478      </v>
      </c>
      <c r="E3149" t="s">
        <v>2092</v>
      </c>
      <c r="F3149" t="s">
        <v>2094</v>
      </c>
      <c r="G3149">
        <v>338.85</v>
      </c>
      <c r="H3149">
        <v>250616</v>
      </c>
      <c r="I3149">
        <v>4600</v>
      </c>
      <c r="J3149" t="s">
        <v>278</v>
      </c>
      <c r="K3149">
        <v>338.85</v>
      </c>
      <c r="L3149">
        <v>68.849999999999994</v>
      </c>
      <c r="M3149">
        <v>18680</v>
      </c>
      <c r="N3149" t="s">
        <v>2093</v>
      </c>
      <c r="O3149">
        <v>250626</v>
      </c>
      <c r="P3149">
        <v>270</v>
      </c>
    </row>
    <row r="3150" spans="1:16" x14ac:dyDescent="0.25">
      <c r="A3150" t="s">
        <v>3296</v>
      </c>
      <c r="B3150" t="s">
        <v>2931</v>
      </c>
      <c r="C3150">
        <v>9097</v>
      </c>
      <c r="D3150" t="str">
        <f>"163477      "</f>
        <v xml:space="preserve">163477      </v>
      </c>
      <c r="E3150" t="s">
        <v>2092</v>
      </c>
      <c r="F3150" t="s">
        <v>2094</v>
      </c>
      <c r="G3150">
        <v>90.23</v>
      </c>
      <c r="H3150">
        <v>250616</v>
      </c>
      <c r="I3150">
        <v>4600</v>
      </c>
      <c r="J3150" t="s">
        <v>278</v>
      </c>
      <c r="K3150">
        <v>90.23</v>
      </c>
      <c r="L3150">
        <v>18.329999999999998</v>
      </c>
      <c r="M3150">
        <v>18680</v>
      </c>
      <c r="N3150" t="s">
        <v>2093</v>
      </c>
      <c r="O3150">
        <v>250626</v>
      </c>
      <c r="P3150">
        <v>71.900000000000006</v>
      </c>
    </row>
    <row r="3151" spans="1:16" x14ac:dyDescent="0.25">
      <c r="A3151" t="s">
        <v>3296</v>
      </c>
      <c r="B3151" t="s">
        <v>2931</v>
      </c>
      <c r="C3151">
        <v>10152</v>
      </c>
      <c r="D3151" t="str">
        <f>"164590      "</f>
        <v xml:space="preserve">164590      </v>
      </c>
      <c r="E3151" t="s">
        <v>2092</v>
      </c>
      <c r="F3151" t="s">
        <v>2094</v>
      </c>
      <c r="G3151">
        <v>19546.37</v>
      </c>
      <c r="H3151">
        <v>250805</v>
      </c>
      <c r="I3151">
        <v>4600</v>
      </c>
      <c r="J3151" t="s">
        <v>278</v>
      </c>
      <c r="K3151">
        <v>19546.37</v>
      </c>
      <c r="L3151">
        <v>3971.57</v>
      </c>
      <c r="M3151">
        <v>17809</v>
      </c>
      <c r="N3151" t="s">
        <v>25</v>
      </c>
      <c r="O3151">
        <v>250812</v>
      </c>
      <c r="P3151">
        <v>15574.8</v>
      </c>
    </row>
    <row r="3152" spans="1:16" x14ac:dyDescent="0.25">
      <c r="A3152" t="s">
        <v>3296</v>
      </c>
      <c r="B3152" t="s">
        <v>2931</v>
      </c>
      <c r="C3152">
        <v>10155</v>
      </c>
      <c r="D3152" t="str">
        <f>"164631      "</f>
        <v xml:space="preserve">164631      </v>
      </c>
      <c r="E3152" t="s">
        <v>2092</v>
      </c>
      <c r="F3152" t="s">
        <v>2094</v>
      </c>
      <c r="G3152">
        <v>363.57</v>
      </c>
      <c r="H3152">
        <v>250806</v>
      </c>
      <c r="I3152">
        <v>4600</v>
      </c>
      <c r="J3152" t="s">
        <v>278</v>
      </c>
      <c r="K3152">
        <v>1454.31</v>
      </c>
      <c r="L3152">
        <v>73.87</v>
      </c>
      <c r="M3152">
        <v>17633</v>
      </c>
      <c r="N3152" t="s">
        <v>628</v>
      </c>
      <c r="O3152">
        <v>250812</v>
      </c>
      <c r="P3152">
        <v>289.7</v>
      </c>
    </row>
    <row r="3153" spans="1:16" x14ac:dyDescent="0.25">
      <c r="A3153" t="s">
        <v>3296</v>
      </c>
      <c r="B3153" t="s">
        <v>2931</v>
      </c>
      <c r="C3153">
        <v>10168</v>
      </c>
      <c r="D3153" t="str">
        <f>"164632      "</f>
        <v xml:space="preserve">164632      </v>
      </c>
      <c r="E3153" t="s">
        <v>2092</v>
      </c>
      <c r="F3153" t="s">
        <v>2094</v>
      </c>
      <c r="G3153">
        <v>3057.18</v>
      </c>
      <c r="H3153">
        <v>250806</v>
      </c>
      <c r="I3153">
        <v>4600</v>
      </c>
      <c r="J3153" t="s">
        <v>278</v>
      </c>
      <c r="K3153">
        <v>3057.18</v>
      </c>
      <c r="L3153">
        <v>621.17999999999995</v>
      </c>
      <c r="M3153">
        <v>17806</v>
      </c>
      <c r="N3153" t="s">
        <v>22</v>
      </c>
      <c r="O3153">
        <v>250812</v>
      </c>
      <c r="P3153">
        <v>2436</v>
      </c>
    </row>
    <row r="3154" spans="1:16" x14ac:dyDescent="0.25">
      <c r="A3154" t="s">
        <v>3296</v>
      </c>
      <c r="B3154" t="s">
        <v>2931</v>
      </c>
      <c r="C3154">
        <v>10198</v>
      </c>
      <c r="D3154" t="str">
        <f>"164670      "</f>
        <v xml:space="preserve">164670      </v>
      </c>
      <c r="E3154" t="s">
        <v>2092</v>
      </c>
      <c r="F3154" t="s">
        <v>2094</v>
      </c>
      <c r="G3154">
        <v>1804.69</v>
      </c>
      <c r="H3154">
        <v>250807</v>
      </c>
      <c r="I3154">
        <v>4600</v>
      </c>
      <c r="J3154" t="s">
        <v>278</v>
      </c>
      <c r="K3154">
        <v>1804.69</v>
      </c>
      <c r="L3154">
        <v>366.69</v>
      </c>
      <c r="M3154">
        <v>17806</v>
      </c>
      <c r="N3154" t="s">
        <v>22</v>
      </c>
      <c r="O3154">
        <v>250813</v>
      </c>
      <c r="P3154">
        <v>1438</v>
      </c>
    </row>
    <row r="3155" spans="1:16" x14ac:dyDescent="0.25">
      <c r="A3155" t="s">
        <v>3296</v>
      </c>
      <c r="B3155" t="s">
        <v>2931</v>
      </c>
      <c r="C3155">
        <v>10349</v>
      </c>
      <c r="D3155" t="str">
        <f>"164563      "</f>
        <v xml:space="preserve">164563      </v>
      </c>
      <c r="E3155" t="s">
        <v>2092</v>
      </c>
      <c r="F3155" t="s">
        <v>2094</v>
      </c>
      <c r="G3155">
        <v>2004.08</v>
      </c>
      <c r="H3155">
        <v>250804</v>
      </c>
      <c r="I3155">
        <v>4600</v>
      </c>
      <c r="J3155" t="s">
        <v>278</v>
      </c>
      <c r="K3155">
        <v>14612.91</v>
      </c>
      <c r="L3155">
        <v>407.2</v>
      </c>
      <c r="M3155">
        <v>66756</v>
      </c>
      <c r="N3155" t="s">
        <v>120</v>
      </c>
      <c r="O3155">
        <v>250818</v>
      </c>
      <c r="P3155">
        <v>1596.88</v>
      </c>
    </row>
    <row r="3156" spans="1:16" x14ac:dyDescent="0.25">
      <c r="A3156" t="s">
        <v>3296</v>
      </c>
      <c r="B3156" t="s">
        <v>2931</v>
      </c>
      <c r="C3156">
        <v>10927</v>
      </c>
      <c r="D3156" t="str">
        <f>"164970      "</f>
        <v xml:space="preserve">164970      </v>
      </c>
      <c r="E3156" t="s">
        <v>2092</v>
      </c>
      <c r="F3156" t="s">
        <v>2094</v>
      </c>
      <c r="G3156">
        <v>17439.48</v>
      </c>
      <c r="H3156">
        <v>250818</v>
      </c>
      <c r="I3156">
        <v>4600</v>
      </c>
      <c r="J3156" t="s">
        <v>278</v>
      </c>
      <c r="K3156">
        <v>17439.48</v>
      </c>
      <c r="L3156">
        <v>3543.48</v>
      </c>
      <c r="M3156">
        <v>17807</v>
      </c>
      <c r="N3156" t="s">
        <v>23</v>
      </c>
      <c r="O3156">
        <v>250827</v>
      </c>
      <c r="P3156">
        <v>13896</v>
      </c>
    </row>
    <row r="3157" spans="1:16" x14ac:dyDescent="0.25">
      <c r="A3157" t="s">
        <v>3296</v>
      </c>
      <c r="B3157" t="s">
        <v>2931</v>
      </c>
      <c r="C3157">
        <v>11085</v>
      </c>
      <c r="D3157" t="str">
        <f>"165072      "</f>
        <v xml:space="preserve">165072      </v>
      </c>
      <c r="E3157" t="s">
        <v>2092</v>
      </c>
      <c r="F3157" t="s">
        <v>2094</v>
      </c>
      <c r="G3157">
        <v>9827.65</v>
      </c>
      <c r="H3157">
        <v>250820</v>
      </c>
      <c r="I3157">
        <v>4600</v>
      </c>
      <c r="J3157" t="s">
        <v>278</v>
      </c>
      <c r="K3157">
        <v>9827.65</v>
      </c>
      <c r="L3157">
        <v>1996.85</v>
      </c>
      <c r="M3157">
        <v>56560</v>
      </c>
      <c r="N3157" t="s">
        <v>52</v>
      </c>
      <c r="O3157">
        <v>250829</v>
      </c>
      <c r="P3157">
        <v>7830.8</v>
      </c>
    </row>
    <row r="3158" spans="1:16" x14ac:dyDescent="0.25">
      <c r="A3158" t="s">
        <v>3296</v>
      </c>
      <c r="B3158" t="s">
        <v>2931</v>
      </c>
      <c r="C3158">
        <v>11262</v>
      </c>
      <c r="D3158" t="str">
        <f>"165208      "</f>
        <v xml:space="preserve">165208      </v>
      </c>
      <c r="E3158" t="s">
        <v>2092</v>
      </c>
      <c r="F3158" t="s">
        <v>2094</v>
      </c>
      <c r="G3158">
        <v>4798.5</v>
      </c>
      <c r="H3158">
        <v>250822</v>
      </c>
      <c r="I3158">
        <v>4600</v>
      </c>
      <c r="J3158" t="s">
        <v>278</v>
      </c>
      <c r="K3158">
        <v>10842.52</v>
      </c>
      <c r="L3158">
        <v>974.99</v>
      </c>
      <c r="M3158">
        <v>46555</v>
      </c>
      <c r="N3158" t="s">
        <v>103</v>
      </c>
      <c r="O3158">
        <v>250902</v>
      </c>
      <c r="P3158">
        <v>3823.51</v>
      </c>
    </row>
    <row r="3159" spans="1:16" x14ac:dyDescent="0.25">
      <c r="A3159" t="s">
        <v>3296</v>
      </c>
      <c r="B3159" t="s">
        <v>2931</v>
      </c>
      <c r="C3159">
        <v>11422</v>
      </c>
      <c r="D3159" t="str">
        <f>"165207      "</f>
        <v xml:space="preserve">165207      </v>
      </c>
      <c r="E3159" t="s">
        <v>2092</v>
      </c>
      <c r="F3159" t="s">
        <v>2094</v>
      </c>
      <c r="G3159">
        <v>3268.33</v>
      </c>
      <c r="H3159">
        <v>250822</v>
      </c>
      <c r="I3159">
        <v>4600</v>
      </c>
      <c r="J3159" t="s">
        <v>278</v>
      </c>
      <c r="K3159">
        <v>3268.33</v>
      </c>
      <c r="L3159">
        <v>664.08</v>
      </c>
      <c r="M3159">
        <v>56558</v>
      </c>
      <c r="N3159" t="s">
        <v>50</v>
      </c>
      <c r="O3159">
        <v>250904</v>
      </c>
      <c r="P3159">
        <v>2604.25</v>
      </c>
    </row>
    <row r="3160" spans="1:16" x14ac:dyDescent="0.25">
      <c r="A3160" t="s">
        <v>3296</v>
      </c>
      <c r="B3160" t="s">
        <v>2931</v>
      </c>
      <c r="C3160">
        <v>11784</v>
      </c>
      <c r="D3160" t="str">
        <f>"165463      "</f>
        <v xml:space="preserve">165463      </v>
      </c>
      <c r="E3160" t="s">
        <v>2092</v>
      </c>
      <c r="F3160" t="s">
        <v>2094</v>
      </c>
      <c r="G3160">
        <v>360.94</v>
      </c>
      <c r="H3160">
        <v>250829</v>
      </c>
      <c r="I3160">
        <v>4600</v>
      </c>
      <c r="J3160" t="s">
        <v>278</v>
      </c>
      <c r="K3160">
        <v>1354.4</v>
      </c>
      <c r="L3160">
        <v>73.34</v>
      </c>
      <c r="M3160">
        <v>46556</v>
      </c>
      <c r="N3160" t="s">
        <v>458</v>
      </c>
      <c r="O3160">
        <v>250910</v>
      </c>
      <c r="P3160">
        <v>287.60000000000002</v>
      </c>
    </row>
    <row r="3161" spans="1:16" x14ac:dyDescent="0.25">
      <c r="A3161" t="s">
        <v>3296</v>
      </c>
      <c r="B3161" t="s">
        <v>2931</v>
      </c>
      <c r="C3161">
        <v>12329</v>
      </c>
      <c r="D3161" t="str">
        <f>"166151      "</f>
        <v xml:space="preserve">166151      </v>
      </c>
      <c r="E3161" t="s">
        <v>2092</v>
      </c>
      <c r="F3161" t="s">
        <v>2094</v>
      </c>
      <c r="G3161">
        <v>180.47</v>
      </c>
      <c r="H3161">
        <v>250905</v>
      </c>
      <c r="I3161">
        <v>4600</v>
      </c>
      <c r="J3161" t="s">
        <v>278</v>
      </c>
      <c r="K3161">
        <v>930.33</v>
      </c>
      <c r="L3161">
        <v>36.67</v>
      </c>
      <c r="M3161">
        <v>46556</v>
      </c>
      <c r="N3161" t="s">
        <v>458</v>
      </c>
      <c r="O3161">
        <v>250919</v>
      </c>
      <c r="P3161">
        <v>143.80000000000001</v>
      </c>
    </row>
    <row r="3162" spans="1:16" x14ac:dyDescent="0.25">
      <c r="A3162" t="s">
        <v>3296</v>
      </c>
      <c r="B3162" t="s">
        <v>2931</v>
      </c>
      <c r="C3162">
        <v>482</v>
      </c>
      <c r="D3162" t="str">
        <f>"25003955    "</f>
        <v xml:space="preserve">25003955    </v>
      </c>
      <c r="E3162" t="s">
        <v>541</v>
      </c>
      <c r="F3162" t="s">
        <v>542</v>
      </c>
      <c r="G3162">
        <v>90.88</v>
      </c>
      <c r="H3162">
        <v>250107</v>
      </c>
      <c r="I3162">
        <v>4369</v>
      </c>
      <c r="J3162" t="s">
        <v>188</v>
      </c>
      <c r="K3162">
        <v>141.38</v>
      </c>
      <c r="L3162">
        <v>18.47</v>
      </c>
      <c r="M3162">
        <v>11801</v>
      </c>
      <c r="N3162" t="s">
        <v>40</v>
      </c>
      <c r="O3162">
        <v>250123</v>
      </c>
      <c r="P3162">
        <v>72.41</v>
      </c>
    </row>
    <row r="3163" spans="1:16" x14ac:dyDescent="0.25">
      <c r="A3163" t="s">
        <v>3296</v>
      </c>
      <c r="B3163" t="s">
        <v>2931</v>
      </c>
      <c r="C3163">
        <v>482</v>
      </c>
      <c r="D3163" t="str">
        <f>"25003955    "</f>
        <v xml:space="preserve">25003955    </v>
      </c>
      <c r="E3163" t="s">
        <v>541</v>
      </c>
      <c r="F3163" t="s">
        <v>542</v>
      </c>
      <c r="G3163">
        <v>50.5</v>
      </c>
      <c r="H3163">
        <v>250107</v>
      </c>
      <c r="I3163">
        <v>4369</v>
      </c>
      <c r="J3163" t="s">
        <v>188</v>
      </c>
      <c r="K3163">
        <v>141.38</v>
      </c>
      <c r="L3163">
        <v>10.26</v>
      </c>
      <c r="M3163">
        <v>46222</v>
      </c>
      <c r="N3163" t="s">
        <v>101</v>
      </c>
      <c r="O3163">
        <v>250123</v>
      </c>
      <c r="P3163">
        <v>40.24</v>
      </c>
    </row>
    <row r="3164" spans="1:16" x14ac:dyDescent="0.25">
      <c r="A3164" t="s">
        <v>3296</v>
      </c>
      <c r="B3164" t="s">
        <v>2931</v>
      </c>
      <c r="C3164">
        <v>2641</v>
      </c>
      <c r="D3164" t="str">
        <f>"25010693    "</f>
        <v xml:space="preserve">25010693    </v>
      </c>
      <c r="E3164" t="s">
        <v>541</v>
      </c>
      <c r="F3164" t="s">
        <v>542</v>
      </c>
      <c r="G3164">
        <v>90.88</v>
      </c>
      <c r="H3164">
        <v>250205</v>
      </c>
      <c r="I3164">
        <v>4369</v>
      </c>
      <c r="J3164" t="s">
        <v>188</v>
      </c>
      <c r="K3164">
        <v>141.38</v>
      </c>
      <c r="L3164">
        <v>18.47</v>
      </c>
      <c r="M3164">
        <v>11801</v>
      </c>
      <c r="N3164" t="s">
        <v>40</v>
      </c>
      <c r="O3164">
        <v>250310</v>
      </c>
      <c r="P3164">
        <v>72.41</v>
      </c>
    </row>
    <row r="3165" spans="1:16" x14ac:dyDescent="0.25">
      <c r="A3165" t="s">
        <v>3296</v>
      </c>
      <c r="B3165" t="s">
        <v>2931</v>
      </c>
      <c r="C3165">
        <v>2641</v>
      </c>
      <c r="D3165" t="str">
        <f>"25010693    "</f>
        <v xml:space="preserve">25010693    </v>
      </c>
      <c r="E3165" t="s">
        <v>541</v>
      </c>
      <c r="F3165" t="s">
        <v>542</v>
      </c>
      <c r="G3165">
        <v>50.5</v>
      </c>
      <c r="H3165">
        <v>250205</v>
      </c>
      <c r="I3165">
        <v>4369</v>
      </c>
      <c r="J3165" t="s">
        <v>188</v>
      </c>
      <c r="K3165">
        <v>141.38</v>
      </c>
      <c r="L3165">
        <v>10.26</v>
      </c>
      <c r="M3165">
        <v>46222</v>
      </c>
      <c r="N3165" t="s">
        <v>101</v>
      </c>
      <c r="O3165">
        <v>250310</v>
      </c>
      <c r="P3165">
        <v>40.24</v>
      </c>
    </row>
    <row r="3166" spans="1:16" x14ac:dyDescent="0.25">
      <c r="A3166" t="s">
        <v>3296</v>
      </c>
      <c r="B3166" t="s">
        <v>2931</v>
      </c>
      <c r="C3166">
        <v>4721</v>
      </c>
      <c r="D3166" t="str">
        <f>"25016985    "</f>
        <v xml:space="preserve">25016985    </v>
      </c>
      <c r="E3166" t="s">
        <v>541</v>
      </c>
      <c r="F3166" t="s">
        <v>542</v>
      </c>
      <c r="G3166">
        <v>90.88</v>
      </c>
      <c r="H3166">
        <v>250305</v>
      </c>
      <c r="I3166">
        <v>4369</v>
      </c>
      <c r="J3166" t="s">
        <v>188</v>
      </c>
      <c r="K3166">
        <v>141.38</v>
      </c>
      <c r="L3166">
        <v>18.47</v>
      </c>
      <c r="M3166">
        <v>11801</v>
      </c>
      <c r="N3166" t="s">
        <v>40</v>
      </c>
      <c r="O3166">
        <v>250415</v>
      </c>
      <c r="P3166">
        <v>72.41</v>
      </c>
    </row>
    <row r="3167" spans="1:16" x14ac:dyDescent="0.25">
      <c r="A3167" t="s">
        <v>3296</v>
      </c>
      <c r="B3167" t="s">
        <v>2931</v>
      </c>
      <c r="C3167">
        <v>4721</v>
      </c>
      <c r="D3167" t="str">
        <f>"25016985    "</f>
        <v xml:space="preserve">25016985    </v>
      </c>
      <c r="E3167" t="s">
        <v>541</v>
      </c>
      <c r="F3167" t="s">
        <v>542</v>
      </c>
      <c r="G3167">
        <v>50.5</v>
      </c>
      <c r="H3167">
        <v>250305</v>
      </c>
      <c r="I3167">
        <v>4369</v>
      </c>
      <c r="J3167" t="s">
        <v>188</v>
      </c>
      <c r="K3167">
        <v>141.38</v>
      </c>
      <c r="L3167">
        <v>10.26</v>
      </c>
      <c r="M3167">
        <v>46222</v>
      </c>
      <c r="N3167" t="s">
        <v>101</v>
      </c>
      <c r="O3167">
        <v>250415</v>
      </c>
      <c r="P3167">
        <v>40.24</v>
      </c>
    </row>
    <row r="3168" spans="1:16" x14ac:dyDescent="0.25">
      <c r="A3168" t="s">
        <v>3296</v>
      </c>
      <c r="B3168" t="s">
        <v>2931</v>
      </c>
      <c r="C3168">
        <v>5564</v>
      </c>
      <c r="D3168" t="str">
        <f>"25023806    "</f>
        <v xml:space="preserve">25023806    </v>
      </c>
      <c r="E3168" t="s">
        <v>541</v>
      </c>
      <c r="F3168" t="s">
        <v>542</v>
      </c>
      <c r="G3168">
        <v>90.88</v>
      </c>
      <c r="H3168">
        <v>250404</v>
      </c>
      <c r="I3168">
        <v>4369</v>
      </c>
      <c r="J3168" t="s">
        <v>188</v>
      </c>
      <c r="K3168">
        <v>141.38</v>
      </c>
      <c r="L3168">
        <v>18.47</v>
      </c>
      <c r="M3168">
        <v>11801</v>
      </c>
      <c r="N3168" t="s">
        <v>40</v>
      </c>
      <c r="O3168">
        <v>250425</v>
      </c>
      <c r="P3168">
        <v>72.41</v>
      </c>
    </row>
    <row r="3169" spans="1:16" x14ac:dyDescent="0.25">
      <c r="A3169" t="s">
        <v>3296</v>
      </c>
      <c r="B3169" t="s">
        <v>2931</v>
      </c>
      <c r="C3169">
        <v>5564</v>
      </c>
      <c r="D3169" t="str">
        <f>"25023806    "</f>
        <v xml:space="preserve">25023806    </v>
      </c>
      <c r="E3169" t="s">
        <v>541</v>
      </c>
      <c r="F3169" t="s">
        <v>542</v>
      </c>
      <c r="G3169">
        <v>50.5</v>
      </c>
      <c r="H3169">
        <v>250404</v>
      </c>
      <c r="I3169">
        <v>4369</v>
      </c>
      <c r="J3169" t="s">
        <v>188</v>
      </c>
      <c r="K3169">
        <v>141.38</v>
      </c>
      <c r="L3169">
        <v>10.26</v>
      </c>
      <c r="M3169">
        <v>46222</v>
      </c>
      <c r="N3169" t="s">
        <v>101</v>
      </c>
      <c r="O3169">
        <v>250425</v>
      </c>
      <c r="P3169">
        <v>40.24</v>
      </c>
    </row>
    <row r="3170" spans="1:16" x14ac:dyDescent="0.25">
      <c r="A3170" t="s">
        <v>3296</v>
      </c>
      <c r="B3170" t="s">
        <v>2931</v>
      </c>
      <c r="C3170">
        <v>6741</v>
      </c>
      <c r="D3170" t="str">
        <f>"25029964    "</f>
        <v xml:space="preserve">25029964    </v>
      </c>
      <c r="E3170" t="s">
        <v>541</v>
      </c>
      <c r="F3170" t="s">
        <v>542</v>
      </c>
      <c r="G3170">
        <v>90.88</v>
      </c>
      <c r="H3170">
        <v>250505</v>
      </c>
      <c r="I3170">
        <v>4369</v>
      </c>
      <c r="J3170" t="s">
        <v>188</v>
      </c>
      <c r="K3170">
        <v>141.38</v>
      </c>
      <c r="L3170">
        <v>18.47</v>
      </c>
      <c r="M3170">
        <v>11801</v>
      </c>
      <c r="N3170" t="s">
        <v>40</v>
      </c>
      <c r="O3170">
        <v>250516</v>
      </c>
      <c r="P3170">
        <v>72.41</v>
      </c>
    </row>
    <row r="3171" spans="1:16" x14ac:dyDescent="0.25">
      <c r="A3171" t="s">
        <v>3296</v>
      </c>
      <c r="B3171" t="s">
        <v>2931</v>
      </c>
      <c r="C3171">
        <v>6741</v>
      </c>
      <c r="D3171" t="str">
        <f>"25029964    "</f>
        <v xml:space="preserve">25029964    </v>
      </c>
      <c r="E3171" t="s">
        <v>541</v>
      </c>
      <c r="F3171" t="s">
        <v>542</v>
      </c>
      <c r="G3171">
        <v>50.5</v>
      </c>
      <c r="H3171">
        <v>250505</v>
      </c>
      <c r="I3171">
        <v>4369</v>
      </c>
      <c r="J3171" t="s">
        <v>188</v>
      </c>
      <c r="K3171">
        <v>141.38</v>
      </c>
      <c r="L3171">
        <v>10.26</v>
      </c>
      <c r="M3171">
        <v>46222</v>
      </c>
      <c r="N3171" t="s">
        <v>101</v>
      </c>
      <c r="O3171">
        <v>250516</v>
      </c>
      <c r="P3171">
        <v>40.24</v>
      </c>
    </row>
    <row r="3172" spans="1:16" x14ac:dyDescent="0.25">
      <c r="A3172" t="s">
        <v>3296</v>
      </c>
      <c r="B3172" t="s">
        <v>2931</v>
      </c>
      <c r="C3172">
        <v>8949</v>
      </c>
      <c r="D3172" t="str">
        <f>"25036894    "</f>
        <v xml:space="preserve">25036894    </v>
      </c>
      <c r="E3172" t="s">
        <v>541</v>
      </c>
      <c r="F3172" t="s">
        <v>542</v>
      </c>
      <c r="G3172">
        <v>90.88</v>
      </c>
      <c r="H3172">
        <v>250605</v>
      </c>
      <c r="I3172">
        <v>4369</v>
      </c>
      <c r="J3172" t="s">
        <v>188</v>
      </c>
      <c r="K3172">
        <v>141.38</v>
      </c>
      <c r="L3172">
        <v>18.47</v>
      </c>
      <c r="M3172">
        <v>11801</v>
      </c>
      <c r="N3172" t="s">
        <v>40</v>
      </c>
      <c r="O3172">
        <v>250619</v>
      </c>
      <c r="P3172">
        <v>72.41</v>
      </c>
    </row>
    <row r="3173" spans="1:16" x14ac:dyDescent="0.25">
      <c r="A3173" t="s">
        <v>3296</v>
      </c>
      <c r="B3173" t="s">
        <v>2931</v>
      </c>
      <c r="C3173">
        <v>8949</v>
      </c>
      <c r="D3173" t="str">
        <f>"25036894    "</f>
        <v xml:space="preserve">25036894    </v>
      </c>
      <c r="E3173" t="s">
        <v>541</v>
      </c>
      <c r="F3173" t="s">
        <v>542</v>
      </c>
      <c r="G3173">
        <v>50.5</v>
      </c>
      <c r="H3173">
        <v>250605</v>
      </c>
      <c r="I3173">
        <v>4369</v>
      </c>
      <c r="J3173" t="s">
        <v>188</v>
      </c>
      <c r="K3173">
        <v>141.38</v>
      </c>
      <c r="L3173">
        <v>10.26</v>
      </c>
      <c r="M3173">
        <v>46222</v>
      </c>
      <c r="N3173" t="s">
        <v>101</v>
      </c>
      <c r="O3173">
        <v>250619</v>
      </c>
      <c r="P3173">
        <v>40.24</v>
      </c>
    </row>
    <row r="3174" spans="1:16" x14ac:dyDescent="0.25">
      <c r="A3174" t="s">
        <v>3296</v>
      </c>
      <c r="B3174" t="s">
        <v>2931</v>
      </c>
      <c r="C3174">
        <v>9870</v>
      </c>
      <c r="D3174" t="str">
        <f>"25043514    "</f>
        <v xml:space="preserve">25043514    </v>
      </c>
      <c r="E3174" t="s">
        <v>541</v>
      </c>
      <c r="F3174" t="s">
        <v>542</v>
      </c>
      <c r="G3174">
        <v>90.88</v>
      </c>
      <c r="H3174">
        <v>250704</v>
      </c>
      <c r="I3174">
        <v>4369</v>
      </c>
      <c r="J3174" t="s">
        <v>188</v>
      </c>
      <c r="K3174">
        <v>141.38</v>
      </c>
      <c r="L3174">
        <v>18.47</v>
      </c>
      <c r="M3174">
        <v>11801</v>
      </c>
      <c r="N3174" t="s">
        <v>40</v>
      </c>
      <c r="O3174">
        <v>250731</v>
      </c>
      <c r="P3174">
        <v>72.41</v>
      </c>
    </row>
    <row r="3175" spans="1:16" x14ac:dyDescent="0.25">
      <c r="A3175" t="s">
        <v>3296</v>
      </c>
      <c r="B3175" t="s">
        <v>2931</v>
      </c>
      <c r="C3175">
        <v>9870</v>
      </c>
      <c r="D3175" t="str">
        <f>"25043514    "</f>
        <v xml:space="preserve">25043514    </v>
      </c>
      <c r="E3175" t="s">
        <v>541</v>
      </c>
      <c r="F3175" t="s">
        <v>542</v>
      </c>
      <c r="G3175">
        <v>50.5</v>
      </c>
      <c r="H3175">
        <v>250704</v>
      </c>
      <c r="I3175">
        <v>4369</v>
      </c>
      <c r="J3175" t="s">
        <v>188</v>
      </c>
      <c r="K3175">
        <v>141.38</v>
      </c>
      <c r="L3175">
        <v>10.26</v>
      </c>
      <c r="M3175">
        <v>46222</v>
      </c>
      <c r="N3175" t="s">
        <v>101</v>
      </c>
      <c r="O3175">
        <v>250731</v>
      </c>
      <c r="P3175">
        <v>40.24</v>
      </c>
    </row>
    <row r="3176" spans="1:16" x14ac:dyDescent="0.25">
      <c r="A3176" t="s">
        <v>3296</v>
      </c>
      <c r="B3176" t="s">
        <v>2931</v>
      </c>
      <c r="C3176">
        <v>10610</v>
      </c>
      <c r="D3176" t="str">
        <f>"25050334    "</f>
        <v xml:space="preserve">25050334    </v>
      </c>
      <c r="E3176" t="s">
        <v>541</v>
      </c>
      <c r="F3176" t="s">
        <v>542</v>
      </c>
      <c r="G3176">
        <v>90.88</v>
      </c>
      <c r="H3176">
        <v>250805</v>
      </c>
      <c r="I3176">
        <v>4369</v>
      </c>
      <c r="J3176" t="s">
        <v>188</v>
      </c>
      <c r="K3176">
        <v>141.38</v>
      </c>
      <c r="L3176">
        <v>18.47</v>
      </c>
      <c r="M3176">
        <v>11801</v>
      </c>
      <c r="N3176" t="s">
        <v>40</v>
      </c>
      <c r="O3176">
        <v>250820</v>
      </c>
      <c r="P3176">
        <v>72.41</v>
      </c>
    </row>
    <row r="3177" spans="1:16" x14ac:dyDescent="0.25">
      <c r="A3177" t="s">
        <v>3296</v>
      </c>
      <c r="B3177" t="s">
        <v>2931</v>
      </c>
      <c r="C3177">
        <v>10610</v>
      </c>
      <c r="D3177" t="str">
        <f>"25050334    "</f>
        <v xml:space="preserve">25050334    </v>
      </c>
      <c r="E3177" t="s">
        <v>541</v>
      </c>
      <c r="F3177" t="s">
        <v>542</v>
      </c>
      <c r="G3177">
        <v>50.5</v>
      </c>
      <c r="H3177">
        <v>250805</v>
      </c>
      <c r="I3177">
        <v>4369</v>
      </c>
      <c r="J3177" t="s">
        <v>188</v>
      </c>
      <c r="K3177">
        <v>141.38</v>
      </c>
      <c r="L3177">
        <v>10.26</v>
      </c>
      <c r="M3177">
        <v>46222</v>
      </c>
      <c r="N3177" t="s">
        <v>101</v>
      </c>
      <c r="O3177">
        <v>250820</v>
      </c>
      <c r="P3177">
        <v>40.24</v>
      </c>
    </row>
    <row r="3178" spans="1:16" x14ac:dyDescent="0.25">
      <c r="A3178" t="s">
        <v>3296</v>
      </c>
      <c r="B3178" t="s">
        <v>2931</v>
      </c>
      <c r="C3178">
        <v>12336</v>
      </c>
      <c r="D3178" t="str">
        <f>"25056696    "</f>
        <v xml:space="preserve">25056696    </v>
      </c>
      <c r="E3178" t="s">
        <v>541</v>
      </c>
      <c r="F3178" t="s">
        <v>542</v>
      </c>
      <c r="G3178">
        <v>90.88</v>
      </c>
      <c r="H3178">
        <v>250905</v>
      </c>
      <c r="I3178">
        <v>4369</v>
      </c>
      <c r="J3178" t="s">
        <v>188</v>
      </c>
      <c r="K3178">
        <v>141.38</v>
      </c>
      <c r="L3178">
        <v>18.47</v>
      </c>
      <c r="M3178">
        <v>11801</v>
      </c>
      <c r="N3178" t="s">
        <v>40</v>
      </c>
      <c r="O3178">
        <v>250919</v>
      </c>
      <c r="P3178">
        <v>72.41</v>
      </c>
    </row>
    <row r="3179" spans="1:16" x14ac:dyDescent="0.25">
      <c r="A3179" t="s">
        <v>3296</v>
      </c>
      <c r="B3179" t="s">
        <v>2931</v>
      </c>
      <c r="C3179">
        <v>12336</v>
      </c>
      <c r="D3179" t="str">
        <f>"25056696    "</f>
        <v xml:space="preserve">25056696    </v>
      </c>
      <c r="E3179" t="s">
        <v>541</v>
      </c>
      <c r="F3179" t="s">
        <v>542</v>
      </c>
      <c r="G3179">
        <v>50.5</v>
      </c>
      <c r="H3179">
        <v>250905</v>
      </c>
      <c r="I3179">
        <v>4369</v>
      </c>
      <c r="J3179" t="s">
        <v>188</v>
      </c>
      <c r="K3179">
        <v>141.38</v>
      </c>
      <c r="L3179">
        <v>10.26</v>
      </c>
      <c r="M3179">
        <v>46222</v>
      </c>
      <c r="N3179" t="s">
        <v>101</v>
      </c>
      <c r="O3179">
        <v>250919</v>
      </c>
      <c r="P3179">
        <v>40.24</v>
      </c>
    </row>
    <row r="3180" spans="1:16" x14ac:dyDescent="0.25">
      <c r="A3180" t="s">
        <v>3296</v>
      </c>
      <c r="B3180" t="s">
        <v>2931</v>
      </c>
      <c r="C3180">
        <v>13846</v>
      </c>
      <c r="D3180" t="str">
        <f>"25063440    "</f>
        <v xml:space="preserve">25063440    </v>
      </c>
      <c r="E3180" t="s">
        <v>541</v>
      </c>
      <c r="F3180" t="s">
        <v>542</v>
      </c>
      <c r="G3180">
        <v>90.88</v>
      </c>
      <c r="H3180">
        <v>251006</v>
      </c>
      <c r="I3180">
        <v>4369</v>
      </c>
      <c r="J3180" t="s">
        <v>188</v>
      </c>
      <c r="K3180">
        <v>141.38</v>
      </c>
      <c r="L3180">
        <v>18.47</v>
      </c>
      <c r="M3180">
        <v>11801</v>
      </c>
      <c r="N3180" t="s">
        <v>40</v>
      </c>
      <c r="O3180">
        <v>251020</v>
      </c>
      <c r="P3180">
        <v>72.41</v>
      </c>
    </row>
    <row r="3181" spans="1:16" x14ac:dyDescent="0.25">
      <c r="A3181" t="s">
        <v>3296</v>
      </c>
      <c r="B3181" t="s">
        <v>2931</v>
      </c>
      <c r="C3181">
        <v>13846</v>
      </c>
      <c r="D3181" t="str">
        <f>"25063440    "</f>
        <v xml:space="preserve">25063440    </v>
      </c>
      <c r="E3181" t="s">
        <v>541</v>
      </c>
      <c r="F3181" t="s">
        <v>542</v>
      </c>
      <c r="G3181">
        <v>50.5</v>
      </c>
      <c r="H3181">
        <v>251006</v>
      </c>
      <c r="I3181">
        <v>4369</v>
      </c>
      <c r="J3181" t="s">
        <v>188</v>
      </c>
      <c r="K3181">
        <v>141.38</v>
      </c>
      <c r="L3181">
        <v>10.26</v>
      </c>
      <c r="M3181">
        <v>46222</v>
      </c>
      <c r="N3181" t="s">
        <v>101</v>
      </c>
      <c r="O3181">
        <v>251020</v>
      </c>
      <c r="P3181">
        <v>40.24</v>
      </c>
    </row>
    <row r="3182" spans="1:16" x14ac:dyDescent="0.25">
      <c r="A3182" t="s">
        <v>3296</v>
      </c>
      <c r="B3182" t="s">
        <v>2931</v>
      </c>
      <c r="C3182">
        <v>15628</v>
      </c>
      <c r="D3182" t="str">
        <f>"25069681    "</f>
        <v xml:space="preserve">25069681    </v>
      </c>
      <c r="E3182" t="s">
        <v>541</v>
      </c>
      <c r="F3182" t="s">
        <v>542</v>
      </c>
      <c r="G3182">
        <v>90.88</v>
      </c>
      <c r="H3182">
        <v>251105</v>
      </c>
      <c r="I3182">
        <v>4369</v>
      </c>
      <c r="J3182" t="s">
        <v>188</v>
      </c>
      <c r="K3182">
        <v>141.38</v>
      </c>
      <c r="L3182">
        <v>18.47</v>
      </c>
      <c r="M3182">
        <v>11801</v>
      </c>
      <c r="N3182" t="s">
        <v>40</v>
      </c>
      <c r="O3182">
        <v>251124</v>
      </c>
      <c r="P3182">
        <v>72.41</v>
      </c>
    </row>
    <row r="3183" spans="1:16" x14ac:dyDescent="0.25">
      <c r="A3183" t="s">
        <v>3296</v>
      </c>
      <c r="B3183" t="s">
        <v>2931</v>
      </c>
      <c r="C3183">
        <v>15628</v>
      </c>
      <c r="D3183" t="str">
        <f>"25069681    "</f>
        <v xml:space="preserve">25069681    </v>
      </c>
      <c r="E3183" t="s">
        <v>541</v>
      </c>
      <c r="F3183" t="s">
        <v>542</v>
      </c>
      <c r="G3183">
        <v>50.5</v>
      </c>
      <c r="H3183">
        <v>251105</v>
      </c>
      <c r="I3183">
        <v>4369</v>
      </c>
      <c r="J3183" t="s">
        <v>188</v>
      </c>
      <c r="K3183">
        <v>141.38</v>
      </c>
      <c r="L3183">
        <v>10.26</v>
      </c>
      <c r="M3183">
        <v>46222</v>
      </c>
      <c r="N3183" t="s">
        <v>101</v>
      </c>
      <c r="O3183">
        <v>251124</v>
      </c>
      <c r="P3183">
        <v>40.24</v>
      </c>
    </row>
    <row r="3184" spans="1:16" x14ac:dyDescent="0.25">
      <c r="A3184" t="s">
        <v>3296</v>
      </c>
      <c r="B3184" t="s">
        <v>2931</v>
      </c>
      <c r="C3184">
        <v>17704</v>
      </c>
      <c r="D3184" t="str">
        <f>"25077157    "</f>
        <v xml:space="preserve">25077157    </v>
      </c>
      <c r="E3184" t="s">
        <v>541</v>
      </c>
      <c r="F3184" t="s">
        <v>542</v>
      </c>
      <c r="G3184">
        <v>90.88</v>
      </c>
      <c r="H3184">
        <v>251205</v>
      </c>
      <c r="I3184">
        <v>4369</v>
      </c>
      <c r="J3184" t="s">
        <v>188</v>
      </c>
      <c r="K3184">
        <v>141.38</v>
      </c>
      <c r="L3184">
        <v>18.47</v>
      </c>
      <c r="M3184">
        <v>11801</v>
      </c>
      <c r="N3184" t="s">
        <v>40</v>
      </c>
      <c r="O3184">
        <v>251229</v>
      </c>
      <c r="P3184">
        <v>72.41</v>
      </c>
    </row>
    <row r="3185" spans="1:16" x14ac:dyDescent="0.25">
      <c r="A3185" t="s">
        <v>3296</v>
      </c>
      <c r="B3185" t="s">
        <v>2931</v>
      </c>
      <c r="C3185">
        <v>17704</v>
      </c>
      <c r="D3185" t="str">
        <f>"25077157    "</f>
        <v xml:space="preserve">25077157    </v>
      </c>
      <c r="E3185" t="s">
        <v>541</v>
      </c>
      <c r="F3185" t="s">
        <v>542</v>
      </c>
      <c r="G3185">
        <v>50.5</v>
      </c>
      <c r="H3185">
        <v>251205</v>
      </c>
      <c r="I3185">
        <v>4369</v>
      </c>
      <c r="J3185" t="s">
        <v>188</v>
      </c>
      <c r="K3185">
        <v>141.38</v>
      </c>
      <c r="L3185">
        <v>10.26</v>
      </c>
      <c r="M3185">
        <v>46222</v>
      </c>
      <c r="N3185" t="s">
        <v>101</v>
      </c>
      <c r="O3185">
        <v>251229</v>
      </c>
      <c r="P3185">
        <v>40.24</v>
      </c>
    </row>
    <row r="3186" spans="1:16" x14ac:dyDescent="0.25">
      <c r="A3186" t="s">
        <v>3296</v>
      </c>
      <c r="B3186" t="s">
        <v>2931</v>
      </c>
      <c r="C3186">
        <v>3596</v>
      </c>
      <c r="D3186" t="str">
        <f>"700560      "</f>
        <v xml:space="preserve">700560      </v>
      </c>
      <c r="E3186" t="s">
        <v>1477</v>
      </c>
      <c r="F3186" t="s">
        <v>1478</v>
      </c>
      <c r="G3186">
        <v>3024</v>
      </c>
      <c r="H3186">
        <v>250307</v>
      </c>
      <c r="I3186">
        <v>4410</v>
      </c>
      <c r="J3186" t="s">
        <v>165</v>
      </c>
      <c r="K3186">
        <v>3024</v>
      </c>
      <c r="L3186">
        <v>0</v>
      </c>
      <c r="M3186">
        <v>18010</v>
      </c>
      <c r="N3186" t="s">
        <v>36</v>
      </c>
      <c r="O3186">
        <v>250326</v>
      </c>
      <c r="P3186">
        <v>3024</v>
      </c>
    </row>
    <row r="3187" spans="1:16" x14ac:dyDescent="0.25">
      <c r="A3187" t="s">
        <v>3296</v>
      </c>
      <c r="B3187" t="s">
        <v>2931</v>
      </c>
      <c r="C3187">
        <v>5400</v>
      </c>
      <c r="D3187" t="str">
        <f>"700676      "</f>
        <v xml:space="preserve">700676      </v>
      </c>
      <c r="E3187" t="s">
        <v>1477</v>
      </c>
      <c r="F3187" t="s">
        <v>1478</v>
      </c>
      <c r="G3187">
        <v>1306</v>
      </c>
      <c r="H3187">
        <v>250414</v>
      </c>
      <c r="I3187">
        <v>4410</v>
      </c>
      <c r="J3187" t="s">
        <v>165</v>
      </c>
      <c r="K3187">
        <v>1306</v>
      </c>
      <c r="L3187">
        <v>0</v>
      </c>
      <c r="M3187">
        <v>18010</v>
      </c>
      <c r="N3187" t="s">
        <v>36</v>
      </c>
      <c r="O3187">
        <v>250424</v>
      </c>
      <c r="P3187">
        <v>1306</v>
      </c>
    </row>
    <row r="3188" spans="1:16" x14ac:dyDescent="0.25">
      <c r="A3188" t="s">
        <v>3296</v>
      </c>
      <c r="B3188" t="s">
        <v>2931</v>
      </c>
      <c r="C3188">
        <v>7993</v>
      </c>
      <c r="D3188" t="str">
        <f>"700793      "</f>
        <v xml:space="preserve">700793      </v>
      </c>
      <c r="E3188" t="s">
        <v>1477</v>
      </c>
      <c r="F3188" t="s">
        <v>1478</v>
      </c>
      <c r="G3188">
        <v>10</v>
      </c>
      <c r="H3188">
        <v>250530</v>
      </c>
      <c r="I3188">
        <v>4410</v>
      </c>
      <c r="J3188" t="s">
        <v>165</v>
      </c>
      <c r="K3188">
        <v>106</v>
      </c>
      <c r="L3188">
        <v>2.0299999999999998</v>
      </c>
      <c r="M3188">
        <v>18010</v>
      </c>
      <c r="N3188" t="s">
        <v>36</v>
      </c>
      <c r="O3188">
        <v>250610</v>
      </c>
      <c r="P3188">
        <v>7.97</v>
      </c>
    </row>
    <row r="3189" spans="1:16" x14ac:dyDescent="0.25">
      <c r="A3189" t="s">
        <v>3296</v>
      </c>
      <c r="B3189" t="s">
        <v>2931</v>
      </c>
      <c r="C3189">
        <v>7993</v>
      </c>
      <c r="D3189" t="str">
        <f>"700793      "</f>
        <v xml:space="preserve">700793      </v>
      </c>
      <c r="E3189" t="s">
        <v>1477</v>
      </c>
      <c r="F3189" t="s">
        <v>1478</v>
      </c>
      <c r="G3189">
        <v>96</v>
      </c>
      <c r="H3189">
        <v>250530</v>
      </c>
      <c r="I3189">
        <v>4410</v>
      </c>
      <c r="J3189" t="s">
        <v>165</v>
      </c>
      <c r="K3189">
        <v>106</v>
      </c>
      <c r="L3189">
        <v>0</v>
      </c>
      <c r="M3189">
        <v>18010</v>
      </c>
      <c r="N3189" t="s">
        <v>36</v>
      </c>
      <c r="O3189">
        <v>250610</v>
      </c>
      <c r="P3189">
        <v>96</v>
      </c>
    </row>
    <row r="3190" spans="1:16" x14ac:dyDescent="0.25">
      <c r="A3190" t="s">
        <v>3296</v>
      </c>
      <c r="B3190" t="s">
        <v>2931</v>
      </c>
      <c r="C3190">
        <v>205</v>
      </c>
      <c r="D3190" t="str">
        <f>"31612       "</f>
        <v xml:space="preserve">31612       </v>
      </c>
      <c r="E3190" t="s">
        <v>237</v>
      </c>
      <c r="F3190" t="s">
        <v>238</v>
      </c>
      <c r="G3190">
        <v>15</v>
      </c>
      <c r="H3190">
        <v>250111</v>
      </c>
      <c r="I3190">
        <v>4347</v>
      </c>
      <c r="J3190" t="s">
        <v>328</v>
      </c>
      <c r="K3190">
        <v>359.63</v>
      </c>
      <c r="L3190">
        <v>0</v>
      </c>
      <c r="M3190">
        <v>11902</v>
      </c>
      <c r="N3190" t="s">
        <v>329</v>
      </c>
      <c r="O3190">
        <v>250116</v>
      </c>
      <c r="P3190">
        <v>15</v>
      </c>
    </row>
    <row r="3191" spans="1:16" x14ac:dyDescent="0.25">
      <c r="A3191" t="s">
        <v>3296</v>
      </c>
      <c r="B3191" t="s">
        <v>2931</v>
      </c>
      <c r="C3191">
        <v>410</v>
      </c>
      <c r="D3191" t="str">
        <f>"31901       "</f>
        <v xml:space="preserve">31901       </v>
      </c>
      <c r="E3191" t="s">
        <v>237</v>
      </c>
      <c r="F3191" t="s">
        <v>238</v>
      </c>
      <c r="G3191">
        <v>30</v>
      </c>
      <c r="H3191">
        <v>250118</v>
      </c>
      <c r="I3191">
        <v>4347</v>
      </c>
      <c r="J3191" t="s">
        <v>328</v>
      </c>
      <c r="K3191">
        <v>657.44</v>
      </c>
      <c r="L3191">
        <v>0</v>
      </c>
      <c r="M3191">
        <v>11902</v>
      </c>
      <c r="N3191" t="s">
        <v>329</v>
      </c>
      <c r="O3191">
        <v>250122</v>
      </c>
      <c r="P3191">
        <v>30</v>
      </c>
    </row>
    <row r="3192" spans="1:16" x14ac:dyDescent="0.25">
      <c r="A3192" t="s">
        <v>3296</v>
      </c>
      <c r="B3192" t="s">
        <v>2931</v>
      </c>
      <c r="C3192">
        <v>1198</v>
      </c>
      <c r="D3192" t="str">
        <f>"32369       "</f>
        <v xml:space="preserve">32369       </v>
      </c>
      <c r="E3192" t="s">
        <v>237</v>
      </c>
      <c r="F3192" t="s">
        <v>238</v>
      </c>
      <c r="G3192">
        <v>525</v>
      </c>
      <c r="H3192">
        <v>250131</v>
      </c>
      <c r="I3192">
        <v>4347</v>
      </c>
      <c r="J3192" t="s">
        <v>328</v>
      </c>
      <c r="K3192">
        <v>5407.31</v>
      </c>
      <c r="L3192">
        <v>0</v>
      </c>
      <c r="M3192">
        <v>11902</v>
      </c>
      <c r="N3192" t="s">
        <v>329</v>
      </c>
      <c r="O3192">
        <v>250205</v>
      </c>
      <c r="P3192">
        <v>525</v>
      </c>
    </row>
    <row r="3193" spans="1:16" x14ac:dyDescent="0.25">
      <c r="A3193" t="s">
        <v>3296</v>
      </c>
      <c r="B3193" t="s">
        <v>2931</v>
      </c>
      <c r="C3193">
        <v>1234</v>
      </c>
      <c r="D3193" t="str">
        <f>"32498       "</f>
        <v xml:space="preserve">32498       </v>
      </c>
      <c r="E3193" t="s">
        <v>237</v>
      </c>
      <c r="F3193" t="s">
        <v>238</v>
      </c>
      <c r="G3193">
        <v>60</v>
      </c>
      <c r="H3193">
        <v>250205</v>
      </c>
      <c r="I3193">
        <v>4347</v>
      </c>
      <c r="J3193" t="s">
        <v>328</v>
      </c>
      <c r="K3193">
        <v>489.96</v>
      </c>
      <c r="L3193">
        <v>0</v>
      </c>
      <c r="M3193">
        <v>11961</v>
      </c>
      <c r="N3193" t="s">
        <v>909</v>
      </c>
      <c r="O3193">
        <v>250206</v>
      </c>
      <c r="P3193">
        <v>60</v>
      </c>
    </row>
    <row r="3194" spans="1:16" x14ac:dyDescent="0.25">
      <c r="A3194" t="s">
        <v>3296</v>
      </c>
      <c r="B3194" t="s">
        <v>2931</v>
      </c>
      <c r="C3194">
        <v>1711</v>
      </c>
      <c r="D3194" t="str">
        <f>"32523       "</f>
        <v xml:space="preserve">32523       </v>
      </c>
      <c r="E3194" t="s">
        <v>237</v>
      </c>
      <c r="F3194" t="s">
        <v>238</v>
      </c>
      <c r="G3194">
        <v>560</v>
      </c>
      <c r="H3194">
        <v>250205</v>
      </c>
      <c r="I3194">
        <v>4347</v>
      </c>
      <c r="J3194" t="s">
        <v>328</v>
      </c>
      <c r="K3194">
        <v>1360</v>
      </c>
      <c r="L3194">
        <v>113.78</v>
      </c>
      <c r="M3194">
        <v>11961</v>
      </c>
      <c r="N3194" t="s">
        <v>909</v>
      </c>
      <c r="O3194">
        <v>250213</v>
      </c>
      <c r="P3194">
        <v>446.22</v>
      </c>
    </row>
    <row r="3195" spans="1:16" x14ac:dyDescent="0.25">
      <c r="A3195" t="s">
        <v>3296</v>
      </c>
      <c r="B3195" t="s">
        <v>2931</v>
      </c>
      <c r="C3195">
        <v>2602</v>
      </c>
      <c r="D3195" t="str">
        <f>"33399       "</f>
        <v xml:space="preserve">33399       </v>
      </c>
      <c r="E3195" t="s">
        <v>237</v>
      </c>
      <c r="F3195" t="s">
        <v>238</v>
      </c>
      <c r="G3195">
        <v>15</v>
      </c>
      <c r="H3195">
        <v>250301</v>
      </c>
      <c r="I3195">
        <v>4347</v>
      </c>
      <c r="J3195" t="s">
        <v>328</v>
      </c>
      <c r="K3195">
        <v>459.84</v>
      </c>
      <c r="L3195">
        <v>0</v>
      </c>
      <c r="M3195">
        <v>11941</v>
      </c>
      <c r="N3195" t="s">
        <v>426</v>
      </c>
      <c r="O3195">
        <v>250307</v>
      </c>
      <c r="P3195">
        <v>15</v>
      </c>
    </row>
    <row r="3196" spans="1:16" x14ac:dyDescent="0.25">
      <c r="A3196" t="s">
        <v>3296</v>
      </c>
      <c r="B3196" t="s">
        <v>2931</v>
      </c>
      <c r="C3196">
        <v>2994</v>
      </c>
      <c r="D3196" t="str">
        <f>"33648       "</f>
        <v xml:space="preserve">33648       </v>
      </c>
      <c r="E3196" t="s">
        <v>237</v>
      </c>
      <c r="F3196" t="s">
        <v>238</v>
      </c>
      <c r="G3196">
        <v>245</v>
      </c>
      <c r="H3196">
        <v>250307</v>
      </c>
      <c r="I3196">
        <v>4347</v>
      </c>
      <c r="J3196" t="s">
        <v>328</v>
      </c>
      <c r="K3196">
        <v>1190</v>
      </c>
      <c r="L3196">
        <v>0</v>
      </c>
      <c r="M3196">
        <v>11941</v>
      </c>
      <c r="N3196" t="s">
        <v>426</v>
      </c>
      <c r="O3196">
        <v>250314</v>
      </c>
      <c r="P3196">
        <v>245</v>
      </c>
    </row>
    <row r="3197" spans="1:16" x14ac:dyDescent="0.25">
      <c r="A3197" t="s">
        <v>3296</v>
      </c>
      <c r="B3197" t="s">
        <v>2931</v>
      </c>
      <c r="C3197">
        <v>3220</v>
      </c>
      <c r="D3197" t="str">
        <f>"33769       "</f>
        <v xml:space="preserve">33769       </v>
      </c>
      <c r="E3197" t="s">
        <v>237</v>
      </c>
      <c r="F3197" t="s">
        <v>238</v>
      </c>
      <c r="G3197">
        <v>220</v>
      </c>
      <c r="H3197">
        <v>250311</v>
      </c>
      <c r="I3197">
        <v>4347</v>
      </c>
      <c r="J3197" t="s">
        <v>328</v>
      </c>
      <c r="K3197">
        <v>3422</v>
      </c>
      <c r="L3197">
        <v>44.7</v>
      </c>
      <c r="M3197">
        <v>11951</v>
      </c>
      <c r="N3197" t="s">
        <v>428</v>
      </c>
      <c r="O3197">
        <v>250317</v>
      </c>
      <c r="P3197">
        <v>175.3</v>
      </c>
    </row>
    <row r="3198" spans="1:16" x14ac:dyDescent="0.25">
      <c r="A3198" t="s">
        <v>3296</v>
      </c>
      <c r="B3198" t="s">
        <v>2931</v>
      </c>
      <c r="C3198">
        <v>3286</v>
      </c>
      <c r="D3198" t="str">
        <f>"33806       "</f>
        <v xml:space="preserve">33806       </v>
      </c>
      <c r="E3198" t="s">
        <v>237</v>
      </c>
      <c r="F3198" t="s">
        <v>238</v>
      </c>
      <c r="G3198">
        <v>60</v>
      </c>
      <c r="H3198">
        <v>250312</v>
      </c>
      <c r="I3198">
        <v>4347</v>
      </c>
      <c r="J3198" t="s">
        <v>328</v>
      </c>
      <c r="K3198">
        <v>1559.72</v>
      </c>
      <c r="L3198">
        <v>0</v>
      </c>
      <c r="M3198">
        <v>11902</v>
      </c>
      <c r="N3198" t="s">
        <v>329</v>
      </c>
      <c r="O3198">
        <v>250318</v>
      </c>
      <c r="P3198">
        <v>60</v>
      </c>
    </row>
    <row r="3199" spans="1:16" x14ac:dyDescent="0.25">
      <c r="A3199" t="s">
        <v>3296</v>
      </c>
      <c r="B3199" t="s">
        <v>2931</v>
      </c>
      <c r="C3199">
        <v>3819</v>
      </c>
      <c r="D3199" t="str">
        <f>"34364       "</f>
        <v xml:space="preserve">34364       </v>
      </c>
      <c r="E3199" t="s">
        <v>237</v>
      </c>
      <c r="F3199" t="s">
        <v>238</v>
      </c>
      <c r="G3199">
        <v>115</v>
      </c>
      <c r="H3199">
        <v>250326</v>
      </c>
      <c r="I3199">
        <v>4347</v>
      </c>
      <c r="J3199" t="s">
        <v>328</v>
      </c>
      <c r="K3199">
        <v>115</v>
      </c>
      <c r="L3199">
        <v>0</v>
      </c>
      <c r="M3199">
        <v>11902</v>
      </c>
      <c r="N3199" t="s">
        <v>329</v>
      </c>
      <c r="O3199">
        <v>250402</v>
      </c>
      <c r="P3199">
        <v>115</v>
      </c>
    </row>
    <row r="3200" spans="1:16" x14ac:dyDescent="0.25">
      <c r="A3200" t="s">
        <v>3296</v>
      </c>
      <c r="B3200" t="s">
        <v>2931</v>
      </c>
      <c r="C3200">
        <v>4175</v>
      </c>
      <c r="D3200" t="str">
        <f>"34594       "</f>
        <v xml:space="preserve">34594       </v>
      </c>
      <c r="E3200" t="s">
        <v>237</v>
      </c>
      <c r="F3200" t="s">
        <v>238</v>
      </c>
      <c r="G3200">
        <v>90</v>
      </c>
      <c r="H3200">
        <v>250402</v>
      </c>
      <c r="I3200">
        <v>4347</v>
      </c>
      <c r="J3200" t="s">
        <v>328</v>
      </c>
      <c r="K3200">
        <v>6610</v>
      </c>
      <c r="L3200">
        <v>18.29</v>
      </c>
      <c r="M3200">
        <v>11961</v>
      </c>
      <c r="N3200" t="s">
        <v>909</v>
      </c>
      <c r="O3200">
        <v>250408</v>
      </c>
      <c r="P3200">
        <v>71.709999999999994</v>
      </c>
    </row>
    <row r="3201" spans="1:16" x14ac:dyDescent="0.25">
      <c r="A3201" t="s">
        <v>3296</v>
      </c>
      <c r="B3201" t="s">
        <v>2931</v>
      </c>
      <c r="C3201">
        <v>4779</v>
      </c>
      <c r="D3201" t="str">
        <f>"34901       "</f>
        <v xml:space="preserve">34901       </v>
      </c>
      <c r="E3201" t="s">
        <v>237</v>
      </c>
      <c r="F3201" t="s">
        <v>238</v>
      </c>
      <c r="G3201">
        <v>15</v>
      </c>
      <c r="H3201">
        <v>250411</v>
      </c>
      <c r="I3201">
        <v>4347</v>
      </c>
      <c r="J3201" t="s">
        <v>328</v>
      </c>
      <c r="K3201">
        <v>465.27</v>
      </c>
      <c r="L3201">
        <v>0</v>
      </c>
      <c r="M3201">
        <v>11941</v>
      </c>
      <c r="N3201" t="s">
        <v>426</v>
      </c>
      <c r="O3201">
        <v>250415</v>
      </c>
      <c r="P3201">
        <v>15</v>
      </c>
    </row>
    <row r="3202" spans="1:16" x14ac:dyDescent="0.25">
      <c r="A3202" t="s">
        <v>3296</v>
      </c>
      <c r="B3202" t="s">
        <v>2931</v>
      </c>
      <c r="C3202">
        <v>5673</v>
      </c>
      <c r="D3202" t="str">
        <f>"35231       "</f>
        <v xml:space="preserve">35231       </v>
      </c>
      <c r="E3202" t="s">
        <v>237</v>
      </c>
      <c r="F3202" t="s">
        <v>238</v>
      </c>
      <c r="G3202">
        <v>15</v>
      </c>
      <c r="H3202">
        <v>250424</v>
      </c>
      <c r="I3202">
        <v>4347</v>
      </c>
      <c r="J3202" t="s">
        <v>328</v>
      </c>
      <c r="K3202">
        <v>870.5</v>
      </c>
      <c r="L3202">
        <v>0</v>
      </c>
      <c r="M3202">
        <v>11941</v>
      </c>
      <c r="N3202" t="s">
        <v>426</v>
      </c>
      <c r="O3202">
        <v>250428</v>
      </c>
      <c r="P3202">
        <v>15</v>
      </c>
    </row>
    <row r="3203" spans="1:16" x14ac:dyDescent="0.25">
      <c r="A3203" t="s">
        <v>3296</v>
      </c>
      <c r="B3203" t="s">
        <v>2931</v>
      </c>
      <c r="C3203">
        <v>5673</v>
      </c>
      <c r="D3203" t="str">
        <f>"35231       "</f>
        <v xml:space="preserve">35231       </v>
      </c>
      <c r="E3203" t="s">
        <v>237</v>
      </c>
      <c r="F3203" t="s">
        <v>238</v>
      </c>
      <c r="G3203">
        <v>15</v>
      </c>
      <c r="H3203">
        <v>250424</v>
      </c>
      <c r="I3203">
        <v>4347</v>
      </c>
      <c r="J3203" t="s">
        <v>328</v>
      </c>
      <c r="K3203">
        <v>870.5</v>
      </c>
      <c r="L3203">
        <v>0</v>
      </c>
      <c r="M3203">
        <v>11951</v>
      </c>
      <c r="N3203" t="s">
        <v>428</v>
      </c>
      <c r="O3203">
        <v>250428</v>
      </c>
      <c r="P3203">
        <v>15</v>
      </c>
    </row>
    <row r="3204" spans="1:16" x14ac:dyDescent="0.25">
      <c r="A3204" t="s">
        <v>3296</v>
      </c>
      <c r="B3204" t="s">
        <v>2931</v>
      </c>
      <c r="C3204">
        <v>5735</v>
      </c>
      <c r="D3204" t="str">
        <f>"35289       "</f>
        <v xml:space="preserve">35289       </v>
      </c>
      <c r="E3204" t="s">
        <v>237</v>
      </c>
      <c r="F3204" t="s">
        <v>238</v>
      </c>
      <c r="G3204">
        <v>15</v>
      </c>
      <c r="H3204">
        <v>250425</v>
      </c>
      <c r="I3204">
        <v>4347</v>
      </c>
      <c r="J3204" t="s">
        <v>328</v>
      </c>
      <c r="K3204">
        <v>873.71</v>
      </c>
      <c r="L3204">
        <v>0</v>
      </c>
      <c r="M3204">
        <v>11951</v>
      </c>
      <c r="N3204" t="s">
        <v>428</v>
      </c>
      <c r="O3204">
        <v>250429</v>
      </c>
      <c r="P3204">
        <v>15</v>
      </c>
    </row>
    <row r="3205" spans="1:16" x14ac:dyDescent="0.25">
      <c r="A3205" t="s">
        <v>3296</v>
      </c>
      <c r="B3205" t="s">
        <v>2931</v>
      </c>
      <c r="C3205">
        <v>5779</v>
      </c>
      <c r="D3205" t="str">
        <f>"35320       "</f>
        <v xml:space="preserve">35320       </v>
      </c>
      <c r="E3205" t="s">
        <v>237</v>
      </c>
      <c r="F3205" t="s">
        <v>238</v>
      </c>
      <c r="G3205">
        <v>15</v>
      </c>
      <c r="H3205">
        <v>250426</v>
      </c>
      <c r="I3205">
        <v>4347</v>
      </c>
      <c r="J3205" t="s">
        <v>328</v>
      </c>
      <c r="K3205">
        <v>413.2</v>
      </c>
      <c r="L3205">
        <v>0</v>
      </c>
      <c r="M3205">
        <v>11941</v>
      </c>
      <c r="N3205" t="s">
        <v>426</v>
      </c>
      <c r="O3205">
        <v>250505</v>
      </c>
      <c r="P3205">
        <v>15</v>
      </c>
    </row>
    <row r="3206" spans="1:16" x14ac:dyDescent="0.25">
      <c r="A3206" t="s">
        <v>3296</v>
      </c>
      <c r="B3206" t="s">
        <v>2931</v>
      </c>
      <c r="C3206">
        <v>6055</v>
      </c>
      <c r="D3206" t="str">
        <f>"35554       "</f>
        <v xml:space="preserve">35554       </v>
      </c>
      <c r="E3206" t="s">
        <v>237</v>
      </c>
      <c r="F3206" t="s">
        <v>238</v>
      </c>
      <c r="G3206">
        <v>15</v>
      </c>
      <c r="H3206">
        <v>250506</v>
      </c>
      <c r="I3206">
        <v>4347</v>
      </c>
      <c r="J3206" t="s">
        <v>328</v>
      </c>
      <c r="K3206">
        <v>435.52</v>
      </c>
      <c r="L3206">
        <v>0</v>
      </c>
      <c r="M3206">
        <v>11900</v>
      </c>
      <c r="N3206" t="s">
        <v>30</v>
      </c>
      <c r="O3206">
        <v>250508</v>
      </c>
      <c r="P3206">
        <v>15</v>
      </c>
    </row>
    <row r="3207" spans="1:16" x14ac:dyDescent="0.25">
      <c r="A3207" t="s">
        <v>3296</v>
      </c>
      <c r="B3207" t="s">
        <v>2931</v>
      </c>
      <c r="C3207">
        <v>7038</v>
      </c>
      <c r="D3207" t="str">
        <f>"36208       "</f>
        <v xml:space="preserve">36208       </v>
      </c>
      <c r="E3207" t="s">
        <v>237</v>
      </c>
      <c r="F3207" t="s">
        <v>238</v>
      </c>
      <c r="G3207">
        <v>15</v>
      </c>
      <c r="H3207">
        <v>250521</v>
      </c>
      <c r="I3207">
        <v>4347</v>
      </c>
      <c r="J3207" t="s">
        <v>328</v>
      </c>
      <c r="K3207">
        <v>518.29</v>
      </c>
      <c r="L3207">
        <v>0</v>
      </c>
      <c r="M3207">
        <v>11902</v>
      </c>
      <c r="N3207" t="s">
        <v>329</v>
      </c>
      <c r="O3207">
        <v>250522</v>
      </c>
      <c r="P3207">
        <v>15</v>
      </c>
    </row>
    <row r="3208" spans="1:16" x14ac:dyDescent="0.25">
      <c r="A3208" t="s">
        <v>3296</v>
      </c>
      <c r="B3208" t="s">
        <v>2931</v>
      </c>
      <c r="C3208">
        <v>130</v>
      </c>
      <c r="D3208" t="str">
        <f>"31485       "</f>
        <v xml:space="preserve">31485       </v>
      </c>
      <c r="E3208" t="s">
        <v>237</v>
      </c>
      <c r="F3208" t="s">
        <v>238</v>
      </c>
      <c r="G3208">
        <v>300</v>
      </c>
      <c r="H3208">
        <v>250108</v>
      </c>
      <c r="I3208">
        <v>4367</v>
      </c>
      <c r="J3208" t="s">
        <v>159</v>
      </c>
      <c r="K3208">
        <v>300</v>
      </c>
      <c r="L3208">
        <v>60.96</v>
      </c>
      <c r="M3208">
        <v>11900</v>
      </c>
      <c r="N3208" t="s">
        <v>30</v>
      </c>
      <c r="O3208">
        <v>250113</v>
      </c>
      <c r="P3208">
        <v>239.04</v>
      </c>
    </row>
    <row r="3209" spans="1:16" x14ac:dyDescent="0.25">
      <c r="A3209" t="s">
        <v>3296</v>
      </c>
      <c r="B3209" t="s">
        <v>2931</v>
      </c>
      <c r="C3209">
        <v>4609</v>
      </c>
      <c r="D3209" t="str">
        <f>"34797       "</f>
        <v xml:space="preserve">34797       </v>
      </c>
      <c r="E3209" t="s">
        <v>237</v>
      </c>
      <c r="F3209" t="s">
        <v>238</v>
      </c>
      <c r="G3209">
        <v>300</v>
      </c>
      <c r="H3209">
        <v>250408</v>
      </c>
      <c r="I3209">
        <v>4367</v>
      </c>
      <c r="J3209" t="s">
        <v>159</v>
      </c>
      <c r="K3209">
        <v>300</v>
      </c>
      <c r="L3209">
        <v>60.96</v>
      </c>
      <c r="M3209">
        <v>11900</v>
      </c>
      <c r="N3209" t="s">
        <v>30</v>
      </c>
      <c r="O3209">
        <v>250414</v>
      </c>
      <c r="P3209">
        <v>239.04</v>
      </c>
    </row>
    <row r="3210" spans="1:16" x14ac:dyDescent="0.25">
      <c r="A3210" t="s">
        <v>3296</v>
      </c>
      <c r="B3210" t="s">
        <v>2931</v>
      </c>
      <c r="C3210">
        <v>9786</v>
      </c>
      <c r="D3210" t="str">
        <f>"37839       "</f>
        <v xml:space="preserve">37839       </v>
      </c>
      <c r="E3210" t="s">
        <v>237</v>
      </c>
      <c r="F3210" t="s">
        <v>238</v>
      </c>
      <c r="G3210">
        <v>100</v>
      </c>
      <c r="H3210">
        <v>250714</v>
      </c>
      <c r="I3210">
        <v>4367</v>
      </c>
      <c r="J3210" t="s">
        <v>159</v>
      </c>
      <c r="K3210">
        <v>100</v>
      </c>
      <c r="L3210">
        <v>20.32</v>
      </c>
      <c r="M3210">
        <v>11900</v>
      </c>
      <c r="N3210" t="s">
        <v>30</v>
      </c>
      <c r="O3210">
        <v>250728</v>
      </c>
      <c r="P3210">
        <v>79.680000000000007</v>
      </c>
    </row>
    <row r="3211" spans="1:16" x14ac:dyDescent="0.25">
      <c r="A3211" t="s">
        <v>3296</v>
      </c>
      <c r="B3211" t="s">
        <v>2931</v>
      </c>
      <c r="C3211">
        <v>3220</v>
      </c>
      <c r="D3211" t="str">
        <f>"33769       "</f>
        <v xml:space="preserve">33769       </v>
      </c>
      <c r="E3211" t="s">
        <v>237</v>
      </c>
      <c r="F3211" t="s">
        <v>238</v>
      </c>
      <c r="G3211">
        <v>248</v>
      </c>
      <c r="H3211">
        <v>250311</v>
      </c>
      <c r="I3211">
        <v>4410</v>
      </c>
      <c r="J3211" t="s">
        <v>165</v>
      </c>
      <c r="K3211">
        <v>3422</v>
      </c>
      <c r="L3211">
        <v>50.39</v>
      </c>
      <c r="M3211">
        <v>11951</v>
      </c>
      <c r="N3211" t="s">
        <v>428</v>
      </c>
      <c r="O3211">
        <v>250317</v>
      </c>
      <c r="P3211">
        <v>197.61</v>
      </c>
    </row>
    <row r="3212" spans="1:16" x14ac:dyDescent="0.25">
      <c r="A3212" t="s">
        <v>3296</v>
      </c>
      <c r="B3212" t="s">
        <v>2931</v>
      </c>
      <c r="C3212">
        <v>3220</v>
      </c>
      <c r="D3212" t="str">
        <f>"33769       "</f>
        <v xml:space="preserve">33769       </v>
      </c>
      <c r="E3212" t="s">
        <v>237</v>
      </c>
      <c r="F3212" t="s">
        <v>238</v>
      </c>
      <c r="G3212">
        <v>2954</v>
      </c>
      <c r="H3212">
        <v>250311</v>
      </c>
      <c r="I3212">
        <v>4410</v>
      </c>
      <c r="J3212" t="s">
        <v>165</v>
      </c>
      <c r="K3212">
        <v>3422</v>
      </c>
      <c r="L3212">
        <v>0</v>
      </c>
      <c r="M3212">
        <v>11951</v>
      </c>
      <c r="N3212" t="s">
        <v>428</v>
      </c>
      <c r="O3212">
        <v>250317</v>
      </c>
      <c r="P3212">
        <v>2954</v>
      </c>
    </row>
    <row r="3213" spans="1:16" x14ac:dyDescent="0.25">
      <c r="A3213" t="s">
        <v>3296</v>
      </c>
      <c r="B3213" t="s">
        <v>2931</v>
      </c>
      <c r="C3213">
        <v>3730</v>
      </c>
      <c r="D3213" t="str">
        <f>"34285       "</f>
        <v xml:space="preserve">34285       </v>
      </c>
      <c r="E3213" t="s">
        <v>237</v>
      </c>
      <c r="F3213" t="s">
        <v>238</v>
      </c>
      <c r="G3213">
        <v>1291.3599999999999</v>
      </c>
      <c r="H3213">
        <v>250325</v>
      </c>
      <c r="I3213">
        <v>4410</v>
      </c>
      <c r="J3213" t="s">
        <v>165</v>
      </c>
      <c r="K3213">
        <v>1291.3599999999999</v>
      </c>
      <c r="L3213">
        <v>0</v>
      </c>
      <c r="M3213">
        <v>11902</v>
      </c>
      <c r="N3213" t="s">
        <v>329</v>
      </c>
      <c r="O3213">
        <v>250401</v>
      </c>
      <c r="P3213">
        <v>1291.3599999999999</v>
      </c>
    </row>
    <row r="3214" spans="1:16" x14ac:dyDescent="0.25">
      <c r="A3214" t="s">
        <v>3296</v>
      </c>
      <c r="B3214" t="s">
        <v>2931</v>
      </c>
      <c r="C3214">
        <v>4175</v>
      </c>
      <c r="D3214" t="str">
        <f>"34594       "</f>
        <v xml:space="preserve">34594       </v>
      </c>
      <c r="E3214" t="s">
        <v>237</v>
      </c>
      <c r="F3214" t="s">
        <v>238</v>
      </c>
      <c r="G3214">
        <v>1128</v>
      </c>
      <c r="H3214">
        <v>250402</v>
      </c>
      <c r="I3214">
        <v>4410</v>
      </c>
      <c r="J3214" t="s">
        <v>165</v>
      </c>
      <c r="K3214">
        <v>6610</v>
      </c>
      <c r="L3214">
        <v>229.2</v>
      </c>
      <c r="M3214">
        <v>11961</v>
      </c>
      <c r="N3214" t="s">
        <v>909</v>
      </c>
      <c r="O3214">
        <v>250408</v>
      </c>
      <c r="P3214">
        <v>898.8</v>
      </c>
    </row>
    <row r="3215" spans="1:16" x14ac:dyDescent="0.25">
      <c r="A3215" t="s">
        <v>3296</v>
      </c>
      <c r="B3215" t="s">
        <v>2931</v>
      </c>
      <c r="C3215">
        <v>4175</v>
      </c>
      <c r="D3215" t="str">
        <f>"34594       "</f>
        <v xml:space="preserve">34594       </v>
      </c>
      <c r="E3215" t="s">
        <v>237</v>
      </c>
      <c r="F3215" t="s">
        <v>238</v>
      </c>
      <c r="G3215">
        <v>5392</v>
      </c>
      <c r="H3215">
        <v>250402</v>
      </c>
      <c r="I3215">
        <v>4410</v>
      </c>
      <c r="J3215" t="s">
        <v>165</v>
      </c>
      <c r="K3215">
        <v>6610</v>
      </c>
      <c r="L3215">
        <v>0</v>
      </c>
      <c r="M3215">
        <v>11961</v>
      </c>
      <c r="N3215" t="s">
        <v>909</v>
      </c>
      <c r="O3215">
        <v>250408</v>
      </c>
      <c r="P3215">
        <v>5392</v>
      </c>
    </row>
    <row r="3216" spans="1:16" x14ac:dyDescent="0.25">
      <c r="A3216" t="s">
        <v>3296</v>
      </c>
      <c r="B3216" t="s">
        <v>2931</v>
      </c>
      <c r="C3216">
        <v>5672</v>
      </c>
      <c r="D3216" t="str">
        <f>"35193       "</f>
        <v xml:space="preserve">35193       </v>
      </c>
      <c r="E3216" t="s">
        <v>237</v>
      </c>
      <c r="F3216" t="s">
        <v>238</v>
      </c>
      <c r="G3216">
        <v>833.28</v>
      </c>
      <c r="H3216">
        <v>250423</v>
      </c>
      <c r="I3216">
        <v>4410</v>
      </c>
      <c r="J3216" t="s">
        <v>165</v>
      </c>
      <c r="K3216">
        <v>833.28</v>
      </c>
      <c r="L3216">
        <v>0</v>
      </c>
      <c r="M3216">
        <v>11941</v>
      </c>
      <c r="N3216" t="s">
        <v>426</v>
      </c>
      <c r="O3216">
        <v>250428</v>
      </c>
      <c r="P3216">
        <v>833.28</v>
      </c>
    </row>
    <row r="3217" spans="1:16" x14ac:dyDescent="0.25">
      <c r="A3217" t="s">
        <v>3296</v>
      </c>
      <c r="B3217" t="s">
        <v>2931</v>
      </c>
      <c r="C3217">
        <v>8235</v>
      </c>
      <c r="D3217" t="str">
        <f>"36864       "</f>
        <v xml:space="preserve">36864       </v>
      </c>
      <c r="E3217" t="s">
        <v>237</v>
      </c>
      <c r="F3217" t="s">
        <v>238</v>
      </c>
      <c r="G3217">
        <v>103.6</v>
      </c>
      <c r="H3217">
        <v>250610</v>
      </c>
      <c r="I3217">
        <v>4410</v>
      </c>
      <c r="J3217" t="s">
        <v>165</v>
      </c>
      <c r="K3217">
        <v>103.6</v>
      </c>
      <c r="L3217">
        <v>0</v>
      </c>
      <c r="M3217">
        <v>11900</v>
      </c>
      <c r="N3217" t="s">
        <v>30</v>
      </c>
      <c r="O3217">
        <v>250612</v>
      </c>
      <c r="P3217">
        <v>103.6</v>
      </c>
    </row>
    <row r="3218" spans="1:16" x14ac:dyDescent="0.25">
      <c r="A3218" t="s">
        <v>3296</v>
      </c>
      <c r="B3218" t="s">
        <v>2931</v>
      </c>
      <c r="C3218">
        <v>205</v>
      </c>
      <c r="D3218" t="str">
        <f>"31612       "</f>
        <v xml:space="preserve">31612       </v>
      </c>
      <c r="E3218" t="s">
        <v>237</v>
      </c>
      <c r="F3218" t="s">
        <v>238</v>
      </c>
      <c r="G3218">
        <v>344.63</v>
      </c>
      <c r="H3218">
        <v>250111</v>
      </c>
      <c r="I3218">
        <v>4420</v>
      </c>
      <c r="J3218" t="s">
        <v>330</v>
      </c>
      <c r="K3218">
        <v>359.63</v>
      </c>
      <c r="L3218">
        <v>0</v>
      </c>
      <c r="M3218">
        <v>11902</v>
      </c>
      <c r="N3218" t="s">
        <v>329</v>
      </c>
      <c r="O3218">
        <v>250116</v>
      </c>
      <c r="P3218">
        <v>344.63</v>
      </c>
    </row>
    <row r="3219" spans="1:16" x14ac:dyDescent="0.25">
      <c r="A3219" t="s">
        <v>3296</v>
      </c>
      <c r="B3219" t="s">
        <v>2931</v>
      </c>
      <c r="C3219">
        <v>410</v>
      </c>
      <c r="D3219" t="str">
        <f>"31901       "</f>
        <v xml:space="preserve">31901       </v>
      </c>
      <c r="E3219" t="s">
        <v>237</v>
      </c>
      <c r="F3219" t="s">
        <v>238</v>
      </c>
      <c r="G3219">
        <v>627.44000000000005</v>
      </c>
      <c r="H3219">
        <v>250118</v>
      </c>
      <c r="I3219">
        <v>4420</v>
      </c>
      <c r="J3219" t="s">
        <v>330</v>
      </c>
      <c r="K3219">
        <v>657.44</v>
      </c>
      <c r="L3219">
        <v>0</v>
      </c>
      <c r="M3219">
        <v>11902</v>
      </c>
      <c r="N3219" t="s">
        <v>329</v>
      </c>
      <c r="O3219">
        <v>250122</v>
      </c>
      <c r="P3219">
        <v>627.44000000000005</v>
      </c>
    </row>
    <row r="3220" spans="1:16" x14ac:dyDescent="0.25">
      <c r="A3220" t="s">
        <v>3296</v>
      </c>
      <c r="B3220" t="s">
        <v>2931</v>
      </c>
      <c r="C3220">
        <v>1198</v>
      </c>
      <c r="D3220" t="str">
        <f>"32369       "</f>
        <v xml:space="preserve">32369       </v>
      </c>
      <c r="E3220" t="s">
        <v>237</v>
      </c>
      <c r="F3220" t="s">
        <v>238</v>
      </c>
      <c r="G3220">
        <v>4882.3100000000004</v>
      </c>
      <c r="H3220">
        <v>250131</v>
      </c>
      <c r="I3220">
        <v>4420</v>
      </c>
      <c r="J3220" t="s">
        <v>330</v>
      </c>
      <c r="K3220">
        <v>5407.31</v>
      </c>
      <c r="L3220">
        <v>0</v>
      </c>
      <c r="M3220">
        <v>11902</v>
      </c>
      <c r="N3220" t="s">
        <v>329</v>
      </c>
      <c r="O3220">
        <v>250205</v>
      </c>
      <c r="P3220">
        <v>4882.3100000000004</v>
      </c>
    </row>
    <row r="3221" spans="1:16" x14ac:dyDescent="0.25">
      <c r="A3221" t="s">
        <v>3296</v>
      </c>
      <c r="B3221" t="s">
        <v>2931</v>
      </c>
      <c r="C3221">
        <v>1234</v>
      </c>
      <c r="D3221" t="str">
        <f>"32498       "</f>
        <v xml:space="preserve">32498       </v>
      </c>
      <c r="E3221" t="s">
        <v>237</v>
      </c>
      <c r="F3221" t="s">
        <v>238</v>
      </c>
      <c r="G3221">
        <v>429.96</v>
      </c>
      <c r="H3221">
        <v>250205</v>
      </c>
      <c r="I3221">
        <v>4420</v>
      </c>
      <c r="J3221" t="s">
        <v>330</v>
      </c>
      <c r="K3221">
        <v>489.96</v>
      </c>
      <c r="L3221">
        <v>0</v>
      </c>
      <c r="M3221">
        <v>11961</v>
      </c>
      <c r="N3221" t="s">
        <v>909</v>
      </c>
      <c r="O3221">
        <v>250206</v>
      </c>
      <c r="P3221">
        <v>429.96</v>
      </c>
    </row>
    <row r="3222" spans="1:16" x14ac:dyDescent="0.25">
      <c r="A3222" t="s">
        <v>3296</v>
      </c>
      <c r="B3222" t="s">
        <v>2931</v>
      </c>
      <c r="C3222">
        <v>1711</v>
      </c>
      <c r="D3222" t="str">
        <f>"32523       "</f>
        <v xml:space="preserve">32523       </v>
      </c>
      <c r="E3222" t="s">
        <v>237</v>
      </c>
      <c r="F3222" t="s">
        <v>238</v>
      </c>
      <c r="G3222">
        <v>800</v>
      </c>
      <c r="H3222">
        <v>250205</v>
      </c>
      <c r="I3222">
        <v>4420</v>
      </c>
      <c r="J3222" t="s">
        <v>330</v>
      </c>
      <c r="K3222">
        <v>1360</v>
      </c>
      <c r="L3222">
        <v>0</v>
      </c>
      <c r="M3222">
        <v>11961</v>
      </c>
      <c r="N3222" t="s">
        <v>909</v>
      </c>
      <c r="O3222">
        <v>250213</v>
      </c>
      <c r="P3222">
        <v>800</v>
      </c>
    </row>
    <row r="3223" spans="1:16" x14ac:dyDescent="0.25">
      <c r="A3223" t="s">
        <v>3296</v>
      </c>
      <c r="B3223" t="s">
        <v>2931</v>
      </c>
      <c r="C3223">
        <v>2602</v>
      </c>
      <c r="D3223" t="str">
        <f>"33399       "</f>
        <v xml:space="preserve">33399       </v>
      </c>
      <c r="E3223" t="s">
        <v>237</v>
      </c>
      <c r="F3223" t="s">
        <v>238</v>
      </c>
      <c r="G3223">
        <v>444.84</v>
      </c>
      <c r="H3223">
        <v>250301</v>
      </c>
      <c r="I3223">
        <v>4420</v>
      </c>
      <c r="J3223" t="s">
        <v>330</v>
      </c>
      <c r="K3223">
        <v>459.84</v>
      </c>
      <c r="L3223">
        <v>0</v>
      </c>
      <c r="M3223">
        <v>11941</v>
      </c>
      <c r="N3223" t="s">
        <v>426</v>
      </c>
      <c r="O3223">
        <v>250307</v>
      </c>
      <c r="P3223">
        <v>444.84</v>
      </c>
    </row>
    <row r="3224" spans="1:16" x14ac:dyDescent="0.25">
      <c r="A3224" t="s">
        <v>3296</v>
      </c>
      <c r="B3224" t="s">
        <v>2931</v>
      </c>
      <c r="C3224">
        <v>2994</v>
      </c>
      <c r="D3224" t="str">
        <f>"33648       "</f>
        <v xml:space="preserve">33648       </v>
      </c>
      <c r="E3224" t="s">
        <v>237</v>
      </c>
      <c r="F3224" t="s">
        <v>238</v>
      </c>
      <c r="G3224">
        <v>350</v>
      </c>
      <c r="H3224">
        <v>250307</v>
      </c>
      <c r="I3224">
        <v>4420</v>
      </c>
      <c r="J3224" t="s">
        <v>330</v>
      </c>
      <c r="K3224">
        <v>1190</v>
      </c>
      <c r="L3224">
        <v>0</v>
      </c>
      <c r="M3224">
        <v>11941</v>
      </c>
      <c r="N3224" t="s">
        <v>426</v>
      </c>
      <c r="O3224">
        <v>250314</v>
      </c>
      <c r="P3224">
        <v>350</v>
      </c>
    </row>
    <row r="3225" spans="1:16" x14ac:dyDescent="0.25">
      <c r="A3225" t="s">
        <v>3296</v>
      </c>
      <c r="B3225" t="s">
        <v>2931</v>
      </c>
      <c r="C3225">
        <v>3286</v>
      </c>
      <c r="D3225" t="str">
        <f>"33806       "</f>
        <v xml:space="preserve">33806       </v>
      </c>
      <c r="E3225" t="s">
        <v>237</v>
      </c>
      <c r="F3225" t="s">
        <v>238</v>
      </c>
      <c r="G3225">
        <v>1499.72</v>
      </c>
      <c r="H3225">
        <v>250312</v>
      </c>
      <c r="I3225">
        <v>4420</v>
      </c>
      <c r="J3225" t="s">
        <v>330</v>
      </c>
      <c r="K3225">
        <v>1559.72</v>
      </c>
      <c r="L3225">
        <v>0</v>
      </c>
      <c r="M3225">
        <v>11902</v>
      </c>
      <c r="N3225" t="s">
        <v>329</v>
      </c>
      <c r="O3225">
        <v>250318</v>
      </c>
      <c r="P3225">
        <v>1499.72</v>
      </c>
    </row>
    <row r="3226" spans="1:16" x14ac:dyDescent="0.25">
      <c r="A3226" t="s">
        <v>3296</v>
      </c>
      <c r="B3226" t="s">
        <v>2931</v>
      </c>
      <c r="C3226">
        <v>4779</v>
      </c>
      <c r="D3226" t="str">
        <f>"34901       "</f>
        <v xml:space="preserve">34901       </v>
      </c>
      <c r="E3226" t="s">
        <v>237</v>
      </c>
      <c r="F3226" t="s">
        <v>238</v>
      </c>
      <c r="G3226">
        <v>450.27</v>
      </c>
      <c r="H3226">
        <v>250411</v>
      </c>
      <c r="I3226">
        <v>4420</v>
      </c>
      <c r="J3226" t="s">
        <v>330</v>
      </c>
      <c r="K3226">
        <v>465.27</v>
      </c>
      <c r="L3226">
        <v>0</v>
      </c>
      <c r="M3226">
        <v>11941</v>
      </c>
      <c r="N3226" t="s">
        <v>426</v>
      </c>
      <c r="O3226">
        <v>250415</v>
      </c>
      <c r="P3226">
        <v>450.27</v>
      </c>
    </row>
    <row r="3227" spans="1:16" x14ac:dyDescent="0.25">
      <c r="A3227" t="s">
        <v>3296</v>
      </c>
      <c r="B3227" t="s">
        <v>2931</v>
      </c>
      <c r="C3227">
        <v>5673</v>
      </c>
      <c r="D3227" t="str">
        <f>"35231       "</f>
        <v xml:space="preserve">35231       </v>
      </c>
      <c r="E3227" t="s">
        <v>237</v>
      </c>
      <c r="F3227" t="s">
        <v>238</v>
      </c>
      <c r="G3227">
        <v>420.25</v>
      </c>
      <c r="H3227">
        <v>250424</v>
      </c>
      <c r="I3227">
        <v>4420</v>
      </c>
      <c r="J3227" t="s">
        <v>330</v>
      </c>
      <c r="K3227">
        <v>870.5</v>
      </c>
      <c r="L3227">
        <v>0</v>
      </c>
      <c r="M3227">
        <v>11941</v>
      </c>
      <c r="N3227" t="s">
        <v>426</v>
      </c>
      <c r="O3227">
        <v>250428</v>
      </c>
      <c r="P3227">
        <v>420.25</v>
      </c>
    </row>
    <row r="3228" spans="1:16" x14ac:dyDescent="0.25">
      <c r="A3228" t="s">
        <v>3296</v>
      </c>
      <c r="B3228" t="s">
        <v>2931</v>
      </c>
      <c r="C3228">
        <v>5673</v>
      </c>
      <c r="D3228" t="str">
        <f>"35231       "</f>
        <v xml:space="preserve">35231       </v>
      </c>
      <c r="E3228" t="s">
        <v>237</v>
      </c>
      <c r="F3228" t="s">
        <v>238</v>
      </c>
      <c r="G3228">
        <v>420.25</v>
      </c>
      <c r="H3228">
        <v>250424</v>
      </c>
      <c r="I3228">
        <v>4420</v>
      </c>
      <c r="J3228" t="s">
        <v>330</v>
      </c>
      <c r="K3228">
        <v>870.5</v>
      </c>
      <c r="L3228">
        <v>0</v>
      </c>
      <c r="M3228">
        <v>11951</v>
      </c>
      <c r="N3228" t="s">
        <v>428</v>
      </c>
      <c r="O3228">
        <v>250428</v>
      </c>
      <c r="P3228">
        <v>420.25</v>
      </c>
    </row>
    <row r="3229" spans="1:16" x14ac:dyDescent="0.25">
      <c r="A3229" t="s">
        <v>3296</v>
      </c>
      <c r="B3229" t="s">
        <v>2931</v>
      </c>
      <c r="C3229">
        <v>5734</v>
      </c>
      <c r="D3229" t="str">
        <f>"35287       "</f>
        <v xml:space="preserve">35287       </v>
      </c>
      <c r="E3229" t="s">
        <v>237</v>
      </c>
      <c r="F3229" t="s">
        <v>238</v>
      </c>
      <c r="G3229">
        <v>836.36</v>
      </c>
      <c r="H3229">
        <v>250425</v>
      </c>
      <c r="I3229">
        <v>4420</v>
      </c>
      <c r="J3229" t="s">
        <v>330</v>
      </c>
      <c r="K3229">
        <v>4620</v>
      </c>
      <c r="L3229">
        <v>169.94</v>
      </c>
      <c r="M3229">
        <v>11941</v>
      </c>
      <c r="N3229" t="s">
        <v>426</v>
      </c>
      <c r="O3229">
        <v>250429</v>
      </c>
      <c r="P3229">
        <v>666.42</v>
      </c>
    </row>
    <row r="3230" spans="1:16" x14ac:dyDescent="0.25">
      <c r="A3230" t="s">
        <v>3296</v>
      </c>
      <c r="B3230" t="s">
        <v>2931</v>
      </c>
      <c r="C3230">
        <v>5734</v>
      </c>
      <c r="D3230" t="str">
        <f>"35287       "</f>
        <v xml:space="preserve">35287       </v>
      </c>
      <c r="E3230" t="s">
        <v>237</v>
      </c>
      <c r="F3230" t="s">
        <v>238</v>
      </c>
      <c r="G3230">
        <v>1473.64</v>
      </c>
      <c r="H3230">
        <v>250425</v>
      </c>
      <c r="I3230">
        <v>4420</v>
      </c>
      <c r="J3230" t="s">
        <v>330</v>
      </c>
      <c r="K3230">
        <v>4620</v>
      </c>
      <c r="L3230">
        <v>0</v>
      </c>
      <c r="M3230">
        <v>11941</v>
      </c>
      <c r="N3230" t="s">
        <v>426</v>
      </c>
      <c r="O3230">
        <v>250429</v>
      </c>
      <c r="P3230">
        <v>1473.64</v>
      </c>
    </row>
    <row r="3231" spans="1:16" x14ac:dyDescent="0.25">
      <c r="A3231" t="s">
        <v>3296</v>
      </c>
      <c r="B3231" t="s">
        <v>2931</v>
      </c>
      <c r="C3231">
        <v>5735</v>
      </c>
      <c r="D3231" t="str">
        <f>"35289       "</f>
        <v xml:space="preserve">35289       </v>
      </c>
      <c r="E3231" t="s">
        <v>237</v>
      </c>
      <c r="F3231" t="s">
        <v>238</v>
      </c>
      <c r="G3231">
        <v>858.71</v>
      </c>
      <c r="H3231">
        <v>250425</v>
      </c>
      <c r="I3231">
        <v>4420</v>
      </c>
      <c r="J3231" t="s">
        <v>330</v>
      </c>
      <c r="K3231">
        <v>873.71</v>
      </c>
      <c r="L3231">
        <v>0</v>
      </c>
      <c r="M3231">
        <v>11951</v>
      </c>
      <c r="N3231" t="s">
        <v>428</v>
      </c>
      <c r="O3231">
        <v>250429</v>
      </c>
      <c r="P3231">
        <v>858.71</v>
      </c>
    </row>
    <row r="3232" spans="1:16" x14ac:dyDescent="0.25">
      <c r="A3232" t="s">
        <v>3296</v>
      </c>
      <c r="B3232" t="s">
        <v>2931</v>
      </c>
      <c r="C3232">
        <v>5778</v>
      </c>
      <c r="D3232" t="str">
        <f>"35319       "</f>
        <v xml:space="preserve">35319       </v>
      </c>
      <c r="E3232" t="s">
        <v>237</v>
      </c>
      <c r="F3232" t="s">
        <v>238</v>
      </c>
      <c r="G3232">
        <v>164.76</v>
      </c>
      <c r="H3232">
        <v>250426</v>
      </c>
      <c r="I3232">
        <v>4420</v>
      </c>
      <c r="J3232" t="s">
        <v>330</v>
      </c>
      <c r="K3232">
        <v>164.76</v>
      </c>
      <c r="L3232">
        <v>0</v>
      </c>
      <c r="M3232">
        <v>11941</v>
      </c>
      <c r="N3232" t="s">
        <v>426</v>
      </c>
      <c r="O3232">
        <v>250505</v>
      </c>
      <c r="P3232">
        <v>164.76</v>
      </c>
    </row>
    <row r="3233" spans="1:16" x14ac:dyDescent="0.25">
      <c r="A3233" t="s">
        <v>3296</v>
      </c>
      <c r="B3233" t="s">
        <v>2931</v>
      </c>
      <c r="C3233">
        <v>5779</v>
      </c>
      <c r="D3233" t="str">
        <f>"35320       "</f>
        <v xml:space="preserve">35320       </v>
      </c>
      <c r="E3233" t="s">
        <v>237</v>
      </c>
      <c r="F3233" t="s">
        <v>238</v>
      </c>
      <c r="G3233">
        <v>398.2</v>
      </c>
      <c r="H3233">
        <v>250426</v>
      </c>
      <c r="I3233">
        <v>4420</v>
      </c>
      <c r="J3233" t="s">
        <v>330</v>
      </c>
      <c r="K3233">
        <v>413.2</v>
      </c>
      <c r="L3233">
        <v>0</v>
      </c>
      <c r="M3233">
        <v>11941</v>
      </c>
      <c r="N3233" t="s">
        <v>426</v>
      </c>
      <c r="O3233">
        <v>250505</v>
      </c>
      <c r="P3233">
        <v>398.2</v>
      </c>
    </row>
    <row r="3234" spans="1:16" x14ac:dyDescent="0.25">
      <c r="A3234" t="s">
        <v>3296</v>
      </c>
      <c r="B3234" t="s">
        <v>2931</v>
      </c>
      <c r="C3234">
        <v>5785</v>
      </c>
      <c r="D3234" t="str">
        <f>"35338       "</f>
        <v xml:space="preserve">35338       </v>
      </c>
      <c r="E3234" t="s">
        <v>237</v>
      </c>
      <c r="F3234" t="s">
        <v>238</v>
      </c>
      <c r="G3234">
        <v>1598.8</v>
      </c>
      <c r="H3234">
        <v>250428</v>
      </c>
      <c r="I3234">
        <v>4420</v>
      </c>
      <c r="J3234" t="s">
        <v>330</v>
      </c>
      <c r="K3234">
        <v>4560</v>
      </c>
      <c r="L3234">
        <v>324.86</v>
      </c>
      <c r="M3234">
        <v>11961</v>
      </c>
      <c r="N3234" t="s">
        <v>909</v>
      </c>
      <c r="O3234">
        <v>250505</v>
      </c>
      <c r="P3234">
        <v>1273.94</v>
      </c>
    </row>
    <row r="3235" spans="1:16" x14ac:dyDescent="0.25">
      <c r="A3235" t="s">
        <v>3296</v>
      </c>
      <c r="B3235" t="s">
        <v>2931</v>
      </c>
      <c r="C3235">
        <v>5785</v>
      </c>
      <c r="D3235" t="str">
        <f>"35338       "</f>
        <v xml:space="preserve">35338       </v>
      </c>
      <c r="E3235" t="s">
        <v>237</v>
      </c>
      <c r="F3235" t="s">
        <v>238</v>
      </c>
      <c r="G3235">
        <v>2961.2</v>
      </c>
      <c r="H3235">
        <v>250428</v>
      </c>
      <c r="I3235">
        <v>4420</v>
      </c>
      <c r="J3235" t="s">
        <v>330</v>
      </c>
      <c r="K3235">
        <v>4560</v>
      </c>
      <c r="L3235">
        <v>0</v>
      </c>
      <c r="M3235">
        <v>11961</v>
      </c>
      <c r="N3235" t="s">
        <v>909</v>
      </c>
      <c r="O3235">
        <v>250505</v>
      </c>
      <c r="P3235">
        <v>2961.2</v>
      </c>
    </row>
    <row r="3236" spans="1:16" x14ac:dyDescent="0.25">
      <c r="A3236" t="s">
        <v>3296</v>
      </c>
      <c r="B3236" t="s">
        <v>2931</v>
      </c>
      <c r="C3236">
        <v>6055</v>
      </c>
      <c r="D3236" t="str">
        <f>"35554       "</f>
        <v xml:space="preserve">35554       </v>
      </c>
      <c r="E3236" t="s">
        <v>237</v>
      </c>
      <c r="F3236" t="s">
        <v>238</v>
      </c>
      <c r="G3236">
        <v>420.52</v>
      </c>
      <c r="H3236">
        <v>250506</v>
      </c>
      <c r="I3236">
        <v>4420</v>
      </c>
      <c r="J3236" t="s">
        <v>330</v>
      </c>
      <c r="K3236">
        <v>435.52</v>
      </c>
      <c r="L3236">
        <v>0</v>
      </c>
      <c r="M3236">
        <v>11900</v>
      </c>
      <c r="N3236" t="s">
        <v>30</v>
      </c>
      <c r="O3236">
        <v>250508</v>
      </c>
      <c r="P3236">
        <v>420.52</v>
      </c>
    </row>
    <row r="3237" spans="1:16" x14ac:dyDescent="0.25">
      <c r="A3237" t="s">
        <v>3296</v>
      </c>
      <c r="B3237" t="s">
        <v>2931</v>
      </c>
      <c r="C3237">
        <v>7038</v>
      </c>
      <c r="D3237" t="str">
        <f>"36208       "</f>
        <v xml:space="preserve">36208       </v>
      </c>
      <c r="E3237" t="s">
        <v>237</v>
      </c>
      <c r="F3237" t="s">
        <v>238</v>
      </c>
      <c r="G3237">
        <v>503.29</v>
      </c>
      <c r="H3237">
        <v>250521</v>
      </c>
      <c r="I3237">
        <v>4420</v>
      </c>
      <c r="J3237" t="s">
        <v>330</v>
      </c>
      <c r="K3237">
        <v>518.29</v>
      </c>
      <c r="L3237">
        <v>0</v>
      </c>
      <c r="M3237">
        <v>11902</v>
      </c>
      <c r="N3237" t="s">
        <v>329</v>
      </c>
      <c r="O3237">
        <v>250522</v>
      </c>
      <c r="P3237">
        <v>503.29</v>
      </c>
    </row>
    <row r="3238" spans="1:16" x14ac:dyDescent="0.25">
      <c r="A3238" t="s">
        <v>3296</v>
      </c>
      <c r="B3238" t="s">
        <v>2931</v>
      </c>
      <c r="C3238">
        <v>3623</v>
      </c>
      <c r="D3238" t="str">
        <f>"20677       "</f>
        <v xml:space="preserve">20677       </v>
      </c>
      <c r="E3238" t="s">
        <v>1483</v>
      </c>
      <c r="F3238" t="s">
        <v>1484</v>
      </c>
      <c r="G3238">
        <v>234.73</v>
      </c>
      <c r="H3238">
        <v>250317</v>
      </c>
      <c r="I3238">
        <v>4425</v>
      </c>
      <c r="J3238" t="s">
        <v>870</v>
      </c>
      <c r="K3238">
        <v>3488.98</v>
      </c>
      <c r="L3238">
        <v>47.69</v>
      </c>
      <c r="M3238">
        <v>17711</v>
      </c>
      <c r="N3238" t="s">
        <v>155</v>
      </c>
      <c r="O3238">
        <v>250326</v>
      </c>
      <c r="P3238">
        <v>187.04</v>
      </c>
    </row>
    <row r="3239" spans="1:16" x14ac:dyDescent="0.25">
      <c r="A3239" t="s">
        <v>3296</v>
      </c>
      <c r="B3239" t="s">
        <v>2931</v>
      </c>
      <c r="C3239">
        <v>3623</v>
      </c>
      <c r="D3239" t="str">
        <f>"20677       "</f>
        <v xml:space="preserve">20677       </v>
      </c>
      <c r="E3239" t="s">
        <v>1483</v>
      </c>
      <c r="F3239" t="s">
        <v>1484</v>
      </c>
      <c r="G3239">
        <v>301.23</v>
      </c>
      <c r="H3239">
        <v>250317</v>
      </c>
      <c r="I3239">
        <v>4425</v>
      </c>
      <c r="J3239" t="s">
        <v>870</v>
      </c>
      <c r="K3239">
        <v>3488.98</v>
      </c>
      <c r="L3239">
        <v>61.21</v>
      </c>
      <c r="M3239">
        <v>67522</v>
      </c>
      <c r="N3239" t="s">
        <v>121</v>
      </c>
      <c r="O3239">
        <v>250326</v>
      </c>
      <c r="P3239">
        <v>240.02</v>
      </c>
    </row>
    <row r="3240" spans="1:16" x14ac:dyDescent="0.25">
      <c r="A3240" t="s">
        <v>3296</v>
      </c>
      <c r="B3240" t="s">
        <v>2931</v>
      </c>
      <c r="C3240">
        <v>3623</v>
      </c>
      <c r="D3240" t="str">
        <f>"20677       "</f>
        <v xml:space="preserve">20677       </v>
      </c>
      <c r="E3240" t="s">
        <v>1483</v>
      </c>
      <c r="F3240" t="s">
        <v>1484</v>
      </c>
      <c r="G3240">
        <v>1509.77</v>
      </c>
      <c r="H3240">
        <v>250317</v>
      </c>
      <c r="I3240">
        <v>4441</v>
      </c>
      <c r="J3240" t="s">
        <v>234</v>
      </c>
      <c r="K3240">
        <v>3488.98</v>
      </c>
      <c r="L3240">
        <v>306.77</v>
      </c>
      <c r="M3240">
        <v>17711</v>
      </c>
      <c r="N3240" t="s">
        <v>155</v>
      </c>
      <c r="O3240">
        <v>250326</v>
      </c>
      <c r="P3240">
        <v>1203</v>
      </c>
    </row>
    <row r="3241" spans="1:16" x14ac:dyDescent="0.25">
      <c r="A3241" t="s">
        <v>3296</v>
      </c>
      <c r="B3241" t="s">
        <v>2931</v>
      </c>
      <c r="C3241">
        <v>3623</v>
      </c>
      <c r="D3241" t="str">
        <f>"20677       "</f>
        <v xml:space="preserve">20677       </v>
      </c>
      <c r="E3241" t="s">
        <v>1483</v>
      </c>
      <c r="F3241" t="s">
        <v>1484</v>
      </c>
      <c r="G3241">
        <v>1443.25</v>
      </c>
      <c r="H3241">
        <v>250317</v>
      </c>
      <c r="I3241">
        <v>4441</v>
      </c>
      <c r="J3241" t="s">
        <v>234</v>
      </c>
      <c r="K3241">
        <v>3488.98</v>
      </c>
      <c r="L3241">
        <v>293.25</v>
      </c>
      <c r="M3241">
        <v>67522</v>
      </c>
      <c r="N3241" t="s">
        <v>121</v>
      </c>
      <c r="O3241">
        <v>250326</v>
      </c>
      <c r="P3241">
        <v>1150</v>
      </c>
    </row>
    <row r="3242" spans="1:16" x14ac:dyDescent="0.25">
      <c r="A3242" t="s">
        <v>3296</v>
      </c>
      <c r="B3242" t="s">
        <v>2931</v>
      </c>
      <c r="C3242">
        <v>4298</v>
      </c>
      <c r="D3242" t="str">
        <f>"77036       "</f>
        <v xml:space="preserve">77036       </v>
      </c>
      <c r="E3242" t="s">
        <v>1614</v>
      </c>
      <c r="F3242" t="s">
        <v>1615</v>
      </c>
      <c r="G3242">
        <v>1215.1500000000001</v>
      </c>
      <c r="H3242">
        <v>250321</v>
      </c>
      <c r="I3242">
        <v>4600</v>
      </c>
      <c r="J3242" t="s">
        <v>278</v>
      </c>
      <c r="K3242">
        <v>1215.1500000000001</v>
      </c>
      <c r="L3242">
        <v>246.9</v>
      </c>
      <c r="M3242">
        <v>17523</v>
      </c>
      <c r="N3242" t="s">
        <v>138</v>
      </c>
      <c r="O3242">
        <v>250410</v>
      </c>
      <c r="P3242">
        <v>968.25</v>
      </c>
    </row>
    <row r="3243" spans="1:16" x14ac:dyDescent="0.25">
      <c r="A3243" t="s">
        <v>3296</v>
      </c>
      <c r="B3243" t="s">
        <v>2931</v>
      </c>
      <c r="C3243">
        <v>5581</v>
      </c>
      <c r="D3243" t="str">
        <f>"11981       "</f>
        <v xml:space="preserve">11981       </v>
      </c>
      <c r="E3243" t="s">
        <v>1762</v>
      </c>
      <c r="F3243" t="s">
        <v>1763</v>
      </c>
      <c r="G3243">
        <v>50.18</v>
      </c>
      <c r="H3243">
        <v>250422</v>
      </c>
      <c r="I3243">
        <v>4400</v>
      </c>
      <c r="J3243" t="s">
        <v>162</v>
      </c>
      <c r="K3243">
        <v>456.2</v>
      </c>
      <c r="L3243">
        <v>10.199999999999999</v>
      </c>
      <c r="M3243">
        <v>13552</v>
      </c>
      <c r="N3243" t="s">
        <v>133</v>
      </c>
      <c r="O3243">
        <v>250425</v>
      </c>
      <c r="P3243">
        <v>39.979999999999997</v>
      </c>
    </row>
    <row r="3244" spans="1:16" x14ac:dyDescent="0.25">
      <c r="A3244" t="s">
        <v>3296</v>
      </c>
      <c r="B3244" t="s">
        <v>2931</v>
      </c>
      <c r="C3244">
        <v>5581</v>
      </c>
      <c r="D3244" t="str">
        <f>"11981       "</f>
        <v xml:space="preserve">11981       </v>
      </c>
      <c r="E3244" t="s">
        <v>1762</v>
      </c>
      <c r="F3244" t="s">
        <v>1763</v>
      </c>
      <c r="G3244">
        <v>406.02</v>
      </c>
      <c r="H3244">
        <v>250422</v>
      </c>
      <c r="I3244">
        <v>4400</v>
      </c>
      <c r="J3244" t="s">
        <v>162</v>
      </c>
      <c r="K3244">
        <v>456.2</v>
      </c>
      <c r="L3244">
        <v>82.5</v>
      </c>
      <c r="M3244">
        <v>17918</v>
      </c>
      <c r="N3244" t="s">
        <v>152</v>
      </c>
      <c r="O3244">
        <v>250425</v>
      </c>
      <c r="P3244">
        <v>323.52</v>
      </c>
    </row>
    <row r="3245" spans="1:16" x14ac:dyDescent="0.25">
      <c r="A3245" t="s">
        <v>3296</v>
      </c>
      <c r="B3245" t="s">
        <v>2931</v>
      </c>
      <c r="C3245">
        <v>6327</v>
      </c>
      <c r="D3245" t="str">
        <f>"11994       "</f>
        <v xml:space="preserve">11994       </v>
      </c>
      <c r="E3245" t="s">
        <v>1762</v>
      </c>
      <c r="F3245" t="s">
        <v>1763</v>
      </c>
      <c r="G3245">
        <v>95</v>
      </c>
      <c r="H3245">
        <v>250507</v>
      </c>
      <c r="I3245">
        <v>4400</v>
      </c>
      <c r="J3245" t="s">
        <v>162</v>
      </c>
      <c r="K3245">
        <v>95</v>
      </c>
      <c r="L3245">
        <v>19.3</v>
      </c>
      <c r="M3245">
        <v>17533</v>
      </c>
      <c r="N3245" t="s">
        <v>147</v>
      </c>
      <c r="O3245">
        <v>250512</v>
      </c>
      <c r="P3245">
        <v>75.7</v>
      </c>
    </row>
    <row r="3246" spans="1:16" x14ac:dyDescent="0.25">
      <c r="A3246" t="s">
        <v>3296</v>
      </c>
      <c r="B3246" t="s">
        <v>2931</v>
      </c>
      <c r="C3246">
        <v>11151</v>
      </c>
      <c r="D3246" t="str">
        <f>"12147       "</f>
        <v xml:space="preserve">12147       </v>
      </c>
      <c r="E3246" t="s">
        <v>1762</v>
      </c>
      <c r="F3246" t="s">
        <v>1763</v>
      </c>
      <c r="G3246">
        <v>307.8</v>
      </c>
      <c r="H3246">
        <v>250826</v>
      </c>
      <c r="I3246">
        <v>4400</v>
      </c>
      <c r="J3246" t="s">
        <v>162</v>
      </c>
      <c r="K3246">
        <v>307.8</v>
      </c>
      <c r="L3246">
        <v>62.54</v>
      </c>
      <c r="M3246">
        <v>17523</v>
      </c>
      <c r="N3246" t="s">
        <v>138</v>
      </c>
      <c r="O3246">
        <v>250901</v>
      </c>
      <c r="P3246">
        <v>245.26</v>
      </c>
    </row>
    <row r="3247" spans="1:16" x14ac:dyDescent="0.25">
      <c r="A3247" t="s">
        <v>3296</v>
      </c>
      <c r="B3247" t="s">
        <v>2931</v>
      </c>
      <c r="C3247">
        <v>12754</v>
      </c>
      <c r="D3247" t="str">
        <f>"12166       "</f>
        <v xml:space="preserve">12166       </v>
      </c>
      <c r="E3247" t="s">
        <v>1762</v>
      </c>
      <c r="F3247" t="s">
        <v>1763</v>
      </c>
      <c r="G3247">
        <v>6241.12</v>
      </c>
      <c r="H3247">
        <v>250923</v>
      </c>
      <c r="I3247">
        <v>4400</v>
      </c>
      <c r="J3247" t="s">
        <v>162</v>
      </c>
      <c r="K3247">
        <v>6241.12</v>
      </c>
      <c r="L3247">
        <v>1268.1199999999999</v>
      </c>
      <c r="M3247">
        <v>18993</v>
      </c>
      <c r="N3247" t="s">
        <v>540</v>
      </c>
      <c r="O3247">
        <v>250930</v>
      </c>
      <c r="P3247">
        <v>4973</v>
      </c>
    </row>
    <row r="3248" spans="1:16" x14ac:dyDescent="0.25">
      <c r="A3248" t="s">
        <v>3296</v>
      </c>
      <c r="B3248" t="s">
        <v>2931</v>
      </c>
      <c r="C3248">
        <v>15966</v>
      </c>
      <c r="D3248" t="str">
        <f>"12353       "</f>
        <v xml:space="preserve">12353       </v>
      </c>
      <c r="E3248" t="s">
        <v>1762</v>
      </c>
      <c r="F3248" t="s">
        <v>1763</v>
      </c>
      <c r="G3248">
        <v>143</v>
      </c>
      <c r="H3248">
        <v>251127</v>
      </c>
      <c r="I3248">
        <v>4400</v>
      </c>
      <c r="J3248" t="s">
        <v>162</v>
      </c>
      <c r="K3248">
        <v>143</v>
      </c>
      <c r="L3248">
        <v>29.06</v>
      </c>
      <c r="M3248">
        <v>17952</v>
      </c>
      <c r="N3248" t="s">
        <v>157</v>
      </c>
      <c r="O3248">
        <v>251201</v>
      </c>
      <c r="P3248">
        <v>113.94</v>
      </c>
    </row>
    <row r="3249" spans="1:16" x14ac:dyDescent="0.25">
      <c r="A3249" t="s">
        <v>3296</v>
      </c>
      <c r="B3249" t="s">
        <v>2931</v>
      </c>
      <c r="C3249">
        <v>14120</v>
      </c>
      <c r="D3249" t="str">
        <f>"12302       "</f>
        <v xml:space="preserve">12302       </v>
      </c>
      <c r="E3249" t="s">
        <v>1762</v>
      </c>
      <c r="F3249" t="s">
        <v>1763</v>
      </c>
      <c r="G3249">
        <v>3426.15</v>
      </c>
      <c r="H3249">
        <v>251021</v>
      </c>
      <c r="I3249">
        <v>4580</v>
      </c>
      <c r="J3249" t="s">
        <v>126</v>
      </c>
      <c r="K3249">
        <v>3426.15</v>
      </c>
      <c r="L3249">
        <v>696.15</v>
      </c>
      <c r="M3249">
        <v>17952</v>
      </c>
      <c r="N3249" t="s">
        <v>157</v>
      </c>
      <c r="O3249">
        <v>251024</v>
      </c>
      <c r="P3249">
        <v>2730</v>
      </c>
    </row>
    <row r="3250" spans="1:16" x14ac:dyDescent="0.25">
      <c r="A3250" t="s">
        <v>3296</v>
      </c>
      <c r="B3250" t="s">
        <v>2931</v>
      </c>
      <c r="C3250">
        <v>406</v>
      </c>
      <c r="D3250" t="str">
        <f>"9250100135  "</f>
        <v xml:space="preserve">9250100135  </v>
      </c>
      <c r="E3250" t="s">
        <v>497</v>
      </c>
      <c r="F3250" t="s">
        <v>498</v>
      </c>
      <c r="G3250">
        <v>82.83</v>
      </c>
      <c r="H3250">
        <v>250117</v>
      </c>
      <c r="I3250">
        <v>4367</v>
      </c>
      <c r="J3250" t="s">
        <v>159</v>
      </c>
      <c r="K3250">
        <v>753</v>
      </c>
      <c r="L3250">
        <v>16.829999999999998</v>
      </c>
      <c r="M3250">
        <v>13540</v>
      </c>
      <c r="N3250" t="s">
        <v>131</v>
      </c>
      <c r="O3250">
        <v>250122</v>
      </c>
      <c r="P3250">
        <v>66</v>
      </c>
    </row>
    <row r="3251" spans="1:16" x14ac:dyDescent="0.25">
      <c r="A3251" t="s">
        <v>3296</v>
      </c>
      <c r="B3251" t="s">
        <v>2931</v>
      </c>
      <c r="C3251">
        <v>406</v>
      </c>
      <c r="D3251" t="str">
        <f>"9250100135  "</f>
        <v xml:space="preserve">9250100135  </v>
      </c>
      <c r="E3251" t="s">
        <v>497</v>
      </c>
      <c r="F3251" t="s">
        <v>498</v>
      </c>
      <c r="G3251">
        <v>670.17</v>
      </c>
      <c r="H3251">
        <v>250117</v>
      </c>
      <c r="I3251">
        <v>4367</v>
      </c>
      <c r="J3251" t="s">
        <v>159</v>
      </c>
      <c r="K3251">
        <v>753</v>
      </c>
      <c r="L3251">
        <v>136.16999999999999</v>
      </c>
      <c r="M3251">
        <v>17950</v>
      </c>
      <c r="N3251" t="s">
        <v>132</v>
      </c>
      <c r="O3251">
        <v>250122</v>
      </c>
      <c r="P3251">
        <v>534</v>
      </c>
    </row>
    <row r="3252" spans="1:16" x14ac:dyDescent="0.25">
      <c r="A3252" t="s">
        <v>3296</v>
      </c>
      <c r="B3252" t="s">
        <v>2931</v>
      </c>
      <c r="C3252">
        <v>408</v>
      </c>
      <c r="D3252" t="str">
        <f>"9250100134  "</f>
        <v xml:space="preserve">9250100134  </v>
      </c>
      <c r="E3252" t="s">
        <v>497</v>
      </c>
      <c r="F3252" t="s">
        <v>498</v>
      </c>
      <c r="G3252">
        <v>602.4</v>
      </c>
      <c r="H3252">
        <v>250117</v>
      </c>
      <c r="I3252">
        <v>4367</v>
      </c>
      <c r="J3252" t="s">
        <v>159</v>
      </c>
      <c r="K3252">
        <v>602.4</v>
      </c>
      <c r="L3252">
        <v>122.4</v>
      </c>
      <c r="M3252">
        <v>17951</v>
      </c>
      <c r="N3252" t="s">
        <v>207</v>
      </c>
      <c r="O3252">
        <v>250122</v>
      </c>
      <c r="P3252">
        <v>480</v>
      </c>
    </row>
    <row r="3253" spans="1:16" x14ac:dyDescent="0.25">
      <c r="A3253" t="s">
        <v>3296</v>
      </c>
      <c r="B3253" t="s">
        <v>2931</v>
      </c>
      <c r="C3253">
        <v>409</v>
      </c>
      <c r="D3253" t="str">
        <f>"9250100049  "</f>
        <v xml:space="preserve">9250100049  </v>
      </c>
      <c r="E3253" t="s">
        <v>497</v>
      </c>
      <c r="F3253" t="s">
        <v>498</v>
      </c>
      <c r="G3253">
        <v>338.85</v>
      </c>
      <c r="H3253">
        <v>250115</v>
      </c>
      <c r="I3253">
        <v>4367</v>
      </c>
      <c r="J3253" t="s">
        <v>159</v>
      </c>
      <c r="K3253">
        <v>338.85</v>
      </c>
      <c r="L3253">
        <v>68.849999999999994</v>
      </c>
      <c r="M3253">
        <v>17952</v>
      </c>
      <c r="N3253" t="s">
        <v>157</v>
      </c>
      <c r="O3253">
        <v>250122</v>
      </c>
      <c r="P3253">
        <v>270</v>
      </c>
    </row>
    <row r="3254" spans="1:16" x14ac:dyDescent="0.25">
      <c r="A3254" t="s">
        <v>3296</v>
      </c>
      <c r="B3254" t="s">
        <v>2931</v>
      </c>
      <c r="C3254">
        <v>1021</v>
      </c>
      <c r="D3254" t="str">
        <f>"9250100136  "</f>
        <v xml:space="preserve">9250100136  </v>
      </c>
      <c r="E3254" t="s">
        <v>497</v>
      </c>
      <c r="F3254" t="s">
        <v>498</v>
      </c>
      <c r="G3254">
        <v>527.1</v>
      </c>
      <c r="H3254">
        <v>250117</v>
      </c>
      <c r="I3254">
        <v>4367</v>
      </c>
      <c r="J3254" t="s">
        <v>159</v>
      </c>
      <c r="K3254">
        <v>527.1</v>
      </c>
      <c r="L3254">
        <v>107.1</v>
      </c>
      <c r="M3254">
        <v>49501</v>
      </c>
      <c r="N3254" t="s">
        <v>110</v>
      </c>
      <c r="O3254">
        <v>250203</v>
      </c>
      <c r="P3254">
        <v>420</v>
      </c>
    </row>
    <row r="3255" spans="1:16" x14ac:dyDescent="0.25">
      <c r="A3255" t="s">
        <v>3296</v>
      </c>
      <c r="B3255" t="s">
        <v>2931</v>
      </c>
      <c r="C3255">
        <v>5613</v>
      </c>
      <c r="D3255" t="str">
        <f>"9250400064  "</f>
        <v xml:space="preserve">9250400064  </v>
      </c>
      <c r="E3255" t="s">
        <v>497</v>
      </c>
      <c r="F3255" t="s">
        <v>498</v>
      </c>
      <c r="G3255">
        <v>338.85</v>
      </c>
      <c r="H3255">
        <v>250424</v>
      </c>
      <c r="I3255">
        <v>4367</v>
      </c>
      <c r="J3255" t="s">
        <v>159</v>
      </c>
      <c r="K3255">
        <v>338.85</v>
      </c>
      <c r="L3255">
        <v>68.849999999999994</v>
      </c>
      <c r="M3255">
        <v>17952</v>
      </c>
      <c r="N3255" t="s">
        <v>157</v>
      </c>
      <c r="O3255">
        <v>250425</v>
      </c>
      <c r="P3255">
        <v>270</v>
      </c>
    </row>
    <row r="3256" spans="1:16" x14ac:dyDescent="0.25">
      <c r="A3256" t="s">
        <v>3296</v>
      </c>
      <c r="B3256" t="s">
        <v>2931</v>
      </c>
      <c r="C3256">
        <v>9824</v>
      </c>
      <c r="D3256" t="str">
        <f>"9250700050  "</f>
        <v xml:space="preserve">9250700050  </v>
      </c>
      <c r="E3256" t="s">
        <v>497</v>
      </c>
      <c r="F3256" t="s">
        <v>498</v>
      </c>
      <c r="G3256">
        <v>338.85</v>
      </c>
      <c r="H3256">
        <v>250714</v>
      </c>
      <c r="I3256">
        <v>4367</v>
      </c>
      <c r="J3256" t="s">
        <v>159</v>
      </c>
      <c r="K3256">
        <v>338.85</v>
      </c>
      <c r="L3256">
        <v>68.849999999999994</v>
      </c>
      <c r="M3256">
        <v>17952</v>
      </c>
      <c r="N3256" t="s">
        <v>157</v>
      </c>
      <c r="O3256">
        <v>250729</v>
      </c>
      <c r="P3256">
        <v>270</v>
      </c>
    </row>
    <row r="3257" spans="1:16" x14ac:dyDescent="0.25">
      <c r="A3257" t="s">
        <v>3296</v>
      </c>
      <c r="B3257" t="s">
        <v>2931</v>
      </c>
      <c r="C3257">
        <v>9829</v>
      </c>
      <c r="D3257" t="str">
        <f>"9250700106  "</f>
        <v xml:space="preserve">9250700106  </v>
      </c>
      <c r="E3257" t="s">
        <v>497</v>
      </c>
      <c r="F3257" t="s">
        <v>498</v>
      </c>
      <c r="G3257">
        <v>602.4</v>
      </c>
      <c r="H3257">
        <v>250715</v>
      </c>
      <c r="I3257">
        <v>4367</v>
      </c>
      <c r="J3257" t="s">
        <v>159</v>
      </c>
      <c r="K3257">
        <v>602.4</v>
      </c>
      <c r="L3257">
        <v>122.4</v>
      </c>
      <c r="M3257">
        <v>17951</v>
      </c>
      <c r="N3257" t="s">
        <v>207</v>
      </c>
      <c r="O3257">
        <v>250729</v>
      </c>
      <c r="P3257">
        <v>480</v>
      </c>
    </row>
    <row r="3258" spans="1:16" x14ac:dyDescent="0.25">
      <c r="A3258" t="s">
        <v>3296</v>
      </c>
      <c r="B3258" t="s">
        <v>2931</v>
      </c>
      <c r="C3258">
        <v>9914</v>
      </c>
      <c r="D3258" t="str">
        <f>"9250700107  "</f>
        <v xml:space="preserve">9250700107  </v>
      </c>
      <c r="E3258" t="s">
        <v>497</v>
      </c>
      <c r="F3258" t="s">
        <v>498</v>
      </c>
      <c r="G3258">
        <v>82.83</v>
      </c>
      <c r="H3258">
        <v>250715</v>
      </c>
      <c r="I3258">
        <v>4367</v>
      </c>
      <c r="J3258" t="s">
        <v>159</v>
      </c>
      <c r="K3258">
        <v>753</v>
      </c>
      <c r="L3258">
        <v>16.829999999999998</v>
      </c>
      <c r="M3258">
        <v>13540</v>
      </c>
      <c r="N3258" t="s">
        <v>131</v>
      </c>
      <c r="O3258">
        <v>250804</v>
      </c>
      <c r="P3258">
        <v>66</v>
      </c>
    </row>
    <row r="3259" spans="1:16" x14ac:dyDescent="0.25">
      <c r="A3259" t="s">
        <v>3296</v>
      </c>
      <c r="B3259" t="s">
        <v>2931</v>
      </c>
      <c r="C3259">
        <v>9914</v>
      </c>
      <c r="D3259" t="str">
        <f>"9250700107  "</f>
        <v xml:space="preserve">9250700107  </v>
      </c>
      <c r="E3259" t="s">
        <v>497</v>
      </c>
      <c r="F3259" t="s">
        <v>498</v>
      </c>
      <c r="G3259">
        <v>670.17</v>
      </c>
      <c r="H3259">
        <v>250715</v>
      </c>
      <c r="I3259">
        <v>4367</v>
      </c>
      <c r="J3259" t="s">
        <v>159</v>
      </c>
      <c r="K3259">
        <v>753</v>
      </c>
      <c r="L3259">
        <v>136.16999999999999</v>
      </c>
      <c r="M3259">
        <v>17950</v>
      </c>
      <c r="N3259" t="s">
        <v>132</v>
      </c>
      <c r="O3259">
        <v>250804</v>
      </c>
      <c r="P3259">
        <v>534</v>
      </c>
    </row>
    <row r="3260" spans="1:16" x14ac:dyDescent="0.25">
      <c r="A3260" t="s">
        <v>3296</v>
      </c>
      <c r="B3260" t="s">
        <v>2931</v>
      </c>
      <c r="C3260">
        <v>9917</v>
      </c>
      <c r="D3260" t="str">
        <f>"9250700108  "</f>
        <v xml:space="preserve">9250700108  </v>
      </c>
      <c r="E3260" t="s">
        <v>497</v>
      </c>
      <c r="F3260" t="s">
        <v>498</v>
      </c>
      <c r="G3260">
        <v>527.1</v>
      </c>
      <c r="H3260">
        <v>250715</v>
      </c>
      <c r="I3260">
        <v>4367</v>
      </c>
      <c r="J3260" t="s">
        <v>159</v>
      </c>
      <c r="K3260">
        <v>527.1</v>
      </c>
      <c r="L3260">
        <v>107.1</v>
      </c>
      <c r="M3260">
        <v>49501</v>
      </c>
      <c r="N3260" t="s">
        <v>110</v>
      </c>
      <c r="O3260">
        <v>250804</v>
      </c>
      <c r="P3260">
        <v>420</v>
      </c>
    </row>
    <row r="3261" spans="1:16" x14ac:dyDescent="0.25">
      <c r="A3261" t="s">
        <v>3296</v>
      </c>
      <c r="B3261" t="s">
        <v>2931</v>
      </c>
      <c r="C3261">
        <v>14325</v>
      </c>
      <c r="D3261" t="str">
        <f>"9251000064  "</f>
        <v xml:space="preserve">9251000064  </v>
      </c>
      <c r="E3261" t="s">
        <v>497</v>
      </c>
      <c r="F3261" t="s">
        <v>498</v>
      </c>
      <c r="G3261">
        <v>338.85</v>
      </c>
      <c r="H3261">
        <v>251024</v>
      </c>
      <c r="I3261">
        <v>4367</v>
      </c>
      <c r="J3261" t="s">
        <v>159</v>
      </c>
      <c r="K3261">
        <v>338.85</v>
      </c>
      <c r="L3261">
        <v>68.849999999999994</v>
      </c>
      <c r="M3261">
        <v>17952</v>
      </c>
      <c r="N3261" t="s">
        <v>157</v>
      </c>
      <c r="O3261">
        <v>251029</v>
      </c>
      <c r="P3261">
        <v>270</v>
      </c>
    </row>
    <row r="3262" spans="1:16" x14ac:dyDescent="0.25">
      <c r="A3262" t="s">
        <v>3296</v>
      </c>
      <c r="B3262" t="s">
        <v>2931</v>
      </c>
      <c r="C3262">
        <v>2820</v>
      </c>
      <c r="D3262" t="str">
        <f>"25032171    "</f>
        <v xml:space="preserve">25032171    </v>
      </c>
      <c r="E3262" t="s">
        <v>1366</v>
      </c>
      <c r="F3262" t="s">
        <v>1367</v>
      </c>
      <c r="G3262">
        <v>53.05</v>
      </c>
      <c r="H3262">
        <v>250228</v>
      </c>
      <c r="I3262">
        <v>4534</v>
      </c>
      <c r="J3262" t="s">
        <v>349</v>
      </c>
      <c r="K3262">
        <v>53.05</v>
      </c>
      <c r="L3262">
        <v>10.78</v>
      </c>
      <c r="M3262">
        <v>54222</v>
      </c>
      <c r="N3262" t="s">
        <v>48</v>
      </c>
      <c r="O3262">
        <v>250312</v>
      </c>
      <c r="P3262">
        <v>42.27</v>
      </c>
    </row>
    <row r="3263" spans="1:16" x14ac:dyDescent="0.25">
      <c r="A3263" t="s">
        <v>3296</v>
      </c>
      <c r="B3263" t="s">
        <v>2931</v>
      </c>
      <c r="C3263">
        <v>1807</v>
      </c>
      <c r="D3263" t="str">
        <f>"503228      "</f>
        <v xml:space="preserve">503228      </v>
      </c>
      <c r="E3263" t="s">
        <v>3327</v>
      </c>
      <c r="F3263" t="s">
        <v>1128</v>
      </c>
      <c r="G3263">
        <v>159.6</v>
      </c>
      <c r="H3263">
        <v>250211</v>
      </c>
      <c r="I3263">
        <v>4440</v>
      </c>
      <c r="J3263" t="s">
        <v>346</v>
      </c>
      <c r="K3263">
        <v>319.60000000000002</v>
      </c>
      <c r="L3263">
        <v>19.600000000000001</v>
      </c>
      <c r="M3263">
        <v>67522</v>
      </c>
      <c r="N3263" t="s">
        <v>121</v>
      </c>
      <c r="O3263">
        <v>250214</v>
      </c>
      <c r="P3263">
        <v>140</v>
      </c>
    </row>
    <row r="3264" spans="1:16" x14ac:dyDescent="0.25">
      <c r="A3264" t="s">
        <v>3296</v>
      </c>
      <c r="B3264" t="s">
        <v>2931</v>
      </c>
      <c r="C3264">
        <v>1807</v>
      </c>
      <c r="D3264" t="str">
        <f>"503228      "</f>
        <v xml:space="preserve">503228      </v>
      </c>
      <c r="E3264" t="s">
        <v>3327</v>
      </c>
      <c r="F3264" t="s">
        <v>1128</v>
      </c>
      <c r="G3264">
        <v>160</v>
      </c>
      <c r="H3264">
        <v>250211</v>
      </c>
      <c r="I3264">
        <v>4440</v>
      </c>
      <c r="J3264" t="s">
        <v>346</v>
      </c>
      <c r="K3264">
        <v>319.60000000000002</v>
      </c>
      <c r="L3264">
        <v>32.51</v>
      </c>
      <c r="M3264">
        <v>67522</v>
      </c>
      <c r="N3264" t="s">
        <v>121</v>
      </c>
      <c r="O3264">
        <v>250214</v>
      </c>
      <c r="P3264">
        <v>127.49</v>
      </c>
    </row>
    <row r="3265" spans="1:16" x14ac:dyDescent="0.25">
      <c r="A3265" t="s">
        <v>3296</v>
      </c>
      <c r="B3265" t="s">
        <v>2931</v>
      </c>
      <c r="C3265">
        <v>15399</v>
      </c>
      <c r="D3265" t="str">
        <f>"503419      "</f>
        <v xml:space="preserve">503419      </v>
      </c>
      <c r="E3265" t="s">
        <v>3328</v>
      </c>
      <c r="F3265" t="s">
        <v>1128</v>
      </c>
      <c r="G3265">
        <v>520</v>
      </c>
      <c r="H3265">
        <v>251111</v>
      </c>
      <c r="I3265">
        <v>4440</v>
      </c>
      <c r="J3265" t="s">
        <v>346</v>
      </c>
      <c r="K3265">
        <v>1278.0999999999999</v>
      </c>
      <c r="L3265">
        <v>105.66</v>
      </c>
      <c r="M3265">
        <v>67522</v>
      </c>
      <c r="N3265" t="s">
        <v>121</v>
      </c>
      <c r="O3265">
        <v>251120</v>
      </c>
      <c r="P3265">
        <v>414.34</v>
      </c>
    </row>
    <row r="3266" spans="1:16" x14ac:dyDescent="0.25">
      <c r="A3266" t="s">
        <v>3296</v>
      </c>
      <c r="B3266" t="s">
        <v>2931</v>
      </c>
      <c r="C3266">
        <v>15399</v>
      </c>
      <c r="D3266" t="str">
        <f>"503419      "</f>
        <v xml:space="preserve">503419      </v>
      </c>
      <c r="E3266" t="s">
        <v>3328</v>
      </c>
      <c r="F3266" t="s">
        <v>1128</v>
      </c>
      <c r="G3266">
        <v>758.1</v>
      </c>
      <c r="H3266">
        <v>251111</v>
      </c>
      <c r="I3266">
        <v>4440</v>
      </c>
      <c r="J3266" t="s">
        <v>346</v>
      </c>
      <c r="K3266">
        <v>1278.0999999999999</v>
      </c>
      <c r="L3266">
        <v>93.1</v>
      </c>
      <c r="M3266">
        <v>67522</v>
      </c>
      <c r="N3266" t="s">
        <v>121</v>
      </c>
      <c r="O3266">
        <v>251120</v>
      </c>
      <c r="P3266">
        <v>665</v>
      </c>
    </row>
    <row r="3267" spans="1:16" x14ac:dyDescent="0.25">
      <c r="A3267" t="s">
        <v>3296</v>
      </c>
      <c r="B3267" t="s">
        <v>2931</v>
      </c>
      <c r="C3267">
        <v>10595</v>
      </c>
      <c r="D3267" t="str">
        <f>"1879        "</f>
        <v xml:space="preserve">1879        </v>
      </c>
      <c r="E3267" t="s">
        <v>3302</v>
      </c>
      <c r="F3267" t="s">
        <v>3309</v>
      </c>
      <c r="G3267">
        <v>99.99</v>
      </c>
      <c r="H3267">
        <v>250819</v>
      </c>
      <c r="I3267">
        <v>4600</v>
      </c>
      <c r="J3267" t="s">
        <v>278</v>
      </c>
      <c r="K3267">
        <v>99.99</v>
      </c>
      <c r="L3267">
        <v>0</v>
      </c>
      <c r="M3267">
        <v>17807</v>
      </c>
      <c r="N3267" t="s">
        <v>23</v>
      </c>
      <c r="O3267">
        <v>250820</v>
      </c>
      <c r="P3267">
        <v>99.99</v>
      </c>
    </row>
    <row r="3268" spans="1:16" x14ac:dyDescent="0.25">
      <c r="A3268" t="s">
        <v>3296</v>
      </c>
      <c r="B3268" t="s">
        <v>2931</v>
      </c>
      <c r="C3268">
        <v>7005</v>
      </c>
      <c r="D3268" t="str">
        <f>"22222494    "</f>
        <v xml:space="preserve">22222494    </v>
      </c>
      <c r="E3268" t="s">
        <v>3321</v>
      </c>
      <c r="F3268" t="s">
        <v>1910</v>
      </c>
      <c r="G3268">
        <v>434.53</v>
      </c>
      <c r="H3268">
        <v>250515</v>
      </c>
      <c r="I3268">
        <v>4350</v>
      </c>
      <c r="J3268" t="s">
        <v>290</v>
      </c>
      <c r="K3268">
        <v>434.53</v>
      </c>
      <c r="L3268">
        <v>88.29</v>
      </c>
      <c r="M3268">
        <v>49702</v>
      </c>
      <c r="N3268" t="s">
        <v>112</v>
      </c>
      <c r="O3268">
        <v>250521</v>
      </c>
      <c r="P3268">
        <v>346.24</v>
      </c>
    </row>
    <row r="3269" spans="1:16" x14ac:dyDescent="0.25">
      <c r="A3269" t="s">
        <v>3296</v>
      </c>
      <c r="B3269" t="s">
        <v>2931</v>
      </c>
      <c r="C3269">
        <v>15929</v>
      </c>
      <c r="D3269" t="str">
        <f>"22408231    "</f>
        <v xml:space="preserve">22408231    </v>
      </c>
      <c r="E3269" t="s">
        <v>3322</v>
      </c>
      <c r="F3269" t="s">
        <v>1910</v>
      </c>
      <c r="G3269">
        <v>434.54</v>
      </c>
      <c r="H3269">
        <v>251125</v>
      </c>
      <c r="I3269">
        <v>4350</v>
      </c>
      <c r="J3269" t="s">
        <v>290</v>
      </c>
      <c r="K3269">
        <v>434.54</v>
      </c>
      <c r="L3269">
        <v>88.29</v>
      </c>
      <c r="M3269">
        <v>49702</v>
      </c>
      <c r="N3269" t="s">
        <v>112</v>
      </c>
      <c r="O3269">
        <v>251201</v>
      </c>
      <c r="P3269">
        <v>346.25</v>
      </c>
    </row>
    <row r="3270" spans="1:16" x14ac:dyDescent="0.25">
      <c r="A3270" t="s">
        <v>3296</v>
      </c>
      <c r="B3270" t="s">
        <v>2931</v>
      </c>
      <c r="C3270">
        <v>1281</v>
      </c>
      <c r="D3270" t="str">
        <f>"1021916652  "</f>
        <v xml:space="preserve">1021916652  </v>
      </c>
      <c r="E3270" t="s">
        <v>2778</v>
      </c>
      <c r="F3270" t="s">
        <v>931</v>
      </c>
      <c r="G3270">
        <v>2799.16</v>
      </c>
      <c r="H3270">
        <v>250131</v>
      </c>
      <c r="I3270">
        <v>4572</v>
      </c>
      <c r="J3270" t="s">
        <v>173</v>
      </c>
      <c r="K3270">
        <v>2799.16</v>
      </c>
      <c r="L3270">
        <v>568.75</v>
      </c>
      <c r="M3270">
        <v>17956</v>
      </c>
      <c r="N3270" t="s">
        <v>170</v>
      </c>
      <c r="O3270">
        <v>250206</v>
      </c>
      <c r="P3270">
        <v>2230.41</v>
      </c>
    </row>
    <row r="3271" spans="1:16" x14ac:dyDescent="0.25">
      <c r="A3271" t="s">
        <v>3296</v>
      </c>
      <c r="B3271" t="s">
        <v>2931</v>
      </c>
      <c r="C3271">
        <v>1282</v>
      </c>
      <c r="D3271" t="str">
        <f>"1021916578  "</f>
        <v xml:space="preserve">1021916578  </v>
      </c>
      <c r="E3271" t="s">
        <v>2778</v>
      </c>
      <c r="F3271" t="s">
        <v>931</v>
      </c>
      <c r="G3271">
        <v>716.12</v>
      </c>
      <c r="H3271">
        <v>250131</v>
      </c>
      <c r="I3271">
        <v>4572</v>
      </c>
      <c r="J3271" t="s">
        <v>173</v>
      </c>
      <c r="K3271">
        <v>6510.16</v>
      </c>
      <c r="L3271">
        <v>145.51</v>
      </c>
      <c r="M3271">
        <v>13540</v>
      </c>
      <c r="N3271" t="s">
        <v>131</v>
      </c>
      <c r="O3271">
        <v>250206</v>
      </c>
      <c r="P3271">
        <v>570.61</v>
      </c>
    </row>
    <row r="3272" spans="1:16" x14ac:dyDescent="0.25">
      <c r="A3272" t="s">
        <v>3296</v>
      </c>
      <c r="B3272" t="s">
        <v>2931</v>
      </c>
      <c r="C3272">
        <v>1282</v>
      </c>
      <c r="D3272" t="str">
        <f>"1021916578  "</f>
        <v xml:space="preserve">1021916578  </v>
      </c>
      <c r="E3272" t="s">
        <v>2778</v>
      </c>
      <c r="F3272" t="s">
        <v>931</v>
      </c>
      <c r="G3272">
        <v>5794.04</v>
      </c>
      <c r="H3272">
        <v>250131</v>
      </c>
      <c r="I3272">
        <v>4572</v>
      </c>
      <c r="J3272" t="s">
        <v>173</v>
      </c>
      <c r="K3272">
        <v>6510.16</v>
      </c>
      <c r="L3272">
        <v>1177.28</v>
      </c>
      <c r="M3272">
        <v>17950</v>
      </c>
      <c r="N3272" t="s">
        <v>132</v>
      </c>
      <c r="O3272">
        <v>250206</v>
      </c>
      <c r="P3272">
        <v>4616.76</v>
      </c>
    </row>
    <row r="3273" spans="1:16" x14ac:dyDescent="0.25">
      <c r="A3273" t="s">
        <v>3296</v>
      </c>
      <c r="B3273" t="s">
        <v>2931</v>
      </c>
      <c r="C3273">
        <v>1284</v>
      </c>
      <c r="D3273" t="str">
        <f>"1021919352  "</f>
        <v xml:space="preserve">1021919352  </v>
      </c>
      <c r="E3273" t="s">
        <v>2778</v>
      </c>
      <c r="F3273" t="s">
        <v>931</v>
      </c>
      <c r="G3273">
        <v>259.41000000000003</v>
      </c>
      <c r="H3273">
        <v>250131</v>
      </c>
      <c r="I3273">
        <v>4572</v>
      </c>
      <c r="J3273" t="s">
        <v>173</v>
      </c>
      <c r="K3273">
        <v>259.41000000000003</v>
      </c>
      <c r="L3273">
        <v>52.71</v>
      </c>
      <c r="M3273">
        <v>17956</v>
      </c>
      <c r="N3273" t="s">
        <v>170</v>
      </c>
      <c r="O3273">
        <v>250206</v>
      </c>
      <c r="P3273">
        <v>206.7</v>
      </c>
    </row>
    <row r="3274" spans="1:16" x14ac:dyDescent="0.25">
      <c r="A3274" t="s">
        <v>3296</v>
      </c>
      <c r="B3274" t="s">
        <v>2931</v>
      </c>
      <c r="C3274">
        <v>1285</v>
      </c>
      <c r="D3274" t="str">
        <f>"1021916482  "</f>
        <v xml:space="preserve">1021916482  </v>
      </c>
      <c r="E3274" t="s">
        <v>2778</v>
      </c>
      <c r="F3274" t="s">
        <v>931</v>
      </c>
      <c r="G3274">
        <v>4799.2</v>
      </c>
      <c r="H3274">
        <v>250131</v>
      </c>
      <c r="I3274">
        <v>4572</v>
      </c>
      <c r="J3274" t="s">
        <v>173</v>
      </c>
      <c r="K3274">
        <v>4799.2</v>
      </c>
      <c r="L3274">
        <v>975.14</v>
      </c>
      <c r="M3274">
        <v>17951</v>
      </c>
      <c r="N3274" t="s">
        <v>207</v>
      </c>
      <c r="O3274">
        <v>250206</v>
      </c>
      <c r="P3274">
        <v>3824.06</v>
      </c>
    </row>
    <row r="3275" spans="1:16" x14ac:dyDescent="0.25">
      <c r="A3275" t="s">
        <v>3296</v>
      </c>
      <c r="B3275" t="s">
        <v>2931</v>
      </c>
      <c r="C3275">
        <v>1297</v>
      </c>
      <c r="D3275" t="str">
        <f>"1021921942  "</f>
        <v xml:space="preserve">1021921942  </v>
      </c>
      <c r="E3275" t="s">
        <v>2778</v>
      </c>
      <c r="F3275" t="s">
        <v>931</v>
      </c>
      <c r="G3275">
        <v>307.89</v>
      </c>
      <c r="H3275">
        <v>250131</v>
      </c>
      <c r="I3275">
        <v>4572</v>
      </c>
      <c r="J3275" t="s">
        <v>173</v>
      </c>
      <c r="K3275">
        <v>307.89</v>
      </c>
      <c r="L3275">
        <v>62.56</v>
      </c>
      <c r="M3275">
        <v>17956</v>
      </c>
      <c r="N3275" t="s">
        <v>170</v>
      </c>
      <c r="O3275">
        <v>250206</v>
      </c>
      <c r="P3275">
        <v>245.33</v>
      </c>
    </row>
    <row r="3276" spans="1:16" x14ac:dyDescent="0.25">
      <c r="A3276" t="s">
        <v>3296</v>
      </c>
      <c r="B3276" t="s">
        <v>2931</v>
      </c>
      <c r="C3276">
        <v>1298</v>
      </c>
      <c r="D3276" t="str">
        <f>"1021918588  "</f>
        <v xml:space="preserve">1021918588  </v>
      </c>
      <c r="E3276" t="s">
        <v>2778</v>
      </c>
      <c r="F3276" t="s">
        <v>931</v>
      </c>
      <c r="G3276">
        <v>55.01</v>
      </c>
      <c r="H3276">
        <v>250131</v>
      </c>
      <c r="I3276">
        <v>4572</v>
      </c>
      <c r="J3276" t="s">
        <v>173</v>
      </c>
      <c r="K3276">
        <v>55.01</v>
      </c>
      <c r="L3276">
        <v>11.18</v>
      </c>
      <c r="M3276">
        <v>17956</v>
      </c>
      <c r="N3276" t="s">
        <v>170</v>
      </c>
      <c r="O3276">
        <v>250206</v>
      </c>
      <c r="P3276">
        <v>43.83</v>
      </c>
    </row>
    <row r="3277" spans="1:16" x14ac:dyDescent="0.25">
      <c r="A3277" t="s">
        <v>3296</v>
      </c>
      <c r="B3277" t="s">
        <v>2931</v>
      </c>
      <c r="C3277">
        <v>1299</v>
      </c>
      <c r="D3277" t="str">
        <f>"1021917574  "</f>
        <v xml:space="preserve">1021917574  </v>
      </c>
      <c r="E3277" t="s">
        <v>2778</v>
      </c>
      <c r="F3277" t="s">
        <v>931</v>
      </c>
      <c r="G3277">
        <v>72.150000000000006</v>
      </c>
      <c r="H3277">
        <v>250131</v>
      </c>
      <c r="I3277">
        <v>4572</v>
      </c>
      <c r="J3277" t="s">
        <v>173</v>
      </c>
      <c r="K3277">
        <v>72.150000000000006</v>
      </c>
      <c r="L3277">
        <v>14.66</v>
      </c>
      <c r="M3277">
        <v>17956</v>
      </c>
      <c r="N3277" t="s">
        <v>170</v>
      </c>
      <c r="O3277">
        <v>250206</v>
      </c>
      <c r="P3277">
        <v>57.49</v>
      </c>
    </row>
    <row r="3278" spans="1:16" x14ac:dyDescent="0.25">
      <c r="A3278" t="s">
        <v>3296</v>
      </c>
      <c r="B3278" t="s">
        <v>2931</v>
      </c>
      <c r="C3278">
        <v>1300</v>
      </c>
      <c r="D3278" t="str">
        <f>"1021918024  "</f>
        <v xml:space="preserve">1021918024  </v>
      </c>
      <c r="E3278" t="s">
        <v>2778</v>
      </c>
      <c r="F3278" t="s">
        <v>931</v>
      </c>
      <c r="G3278">
        <v>50.06</v>
      </c>
      <c r="H3278">
        <v>250131</v>
      </c>
      <c r="I3278">
        <v>4572</v>
      </c>
      <c r="J3278" t="s">
        <v>173</v>
      </c>
      <c r="K3278">
        <v>50.06</v>
      </c>
      <c r="L3278">
        <v>10.17</v>
      </c>
      <c r="M3278">
        <v>17981</v>
      </c>
      <c r="N3278" t="s">
        <v>927</v>
      </c>
      <c r="O3278">
        <v>250206</v>
      </c>
      <c r="P3278">
        <v>39.89</v>
      </c>
    </row>
    <row r="3279" spans="1:16" x14ac:dyDescent="0.25">
      <c r="A3279" t="s">
        <v>3296</v>
      </c>
      <c r="B3279" t="s">
        <v>2931</v>
      </c>
      <c r="C3279">
        <v>1301</v>
      </c>
      <c r="D3279" t="str">
        <f>"1021921146  "</f>
        <v xml:space="preserve">1021921146  </v>
      </c>
      <c r="E3279" t="s">
        <v>2778</v>
      </c>
      <c r="F3279" t="s">
        <v>931</v>
      </c>
      <c r="G3279">
        <v>542.89</v>
      </c>
      <c r="H3279">
        <v>250131</v>
      </c>
      <c r="I3279">
        <v>4572</v>
      </c>
      <c r="J3279" t="s">
        <v>173</v>
      </c>
      <c r="K3279">
        <v>542.89</v>
      </c>
      <c r="L3279">
        <v>110.31</v>
      </c>
      <c r="M3279">
        <v>17950</v>
      </c>
      <c r="N3279" t="s">
        <v>132</v>
      </c>
      <c r="O3279">
        <v>250206</v>
      </c>
      <c r="P3279">
        <v>432.58</v>
      </c>
    </row>
    <row r="3280" spans="1:16" x14ac:dyDescent="0.25">
      <c r="A3280" t="s">
        <v>3296</v>
      </c>
      <c r="B3280" t="s">
        <v>2931</v>
      </c>
      <c r="C3280">
        <v>1577</v>
      </c>
      <c r="D3280" t="str">
        <f>"1021921454  "</f>
        <v xml:space="preserve">1021921454  </v>
      </c>
      <c r="E3280" t="s">
        <v>2778</v>
      </c>
      <c r="F3280" t="s">
        <v>931</v>
      </c>
      <c r="G3280">
        <v>66.400000000000006</v>
      </c>
      <c r="H3280">
        <v>250131</v>
      </c>
      <c r="I3280">
        <v>4572</v>
      </c>
      <c r="J3280" t="s">
        <v>173</v>
      </c>
      <c r="K3280">
        <v>66.400000000000006</v>
      </c>
      <c r="L3280">
        <v>0</v>
      </c>
      <c r="M3280">
        <v>11001</v>
      </c>
      <c r="N3280" t="s">
        <v>93</v>
      </c>
      <c r="O3280">
        <v>250211</v>
      </c>
      <c r="P3280">
        <v>66.400000000000006</v>
      </c>
    </row>
    <row r="3281" spans="1:16" x14ac:dyDescent="0.25">
      <c r="A3281" t="s">
        <v>3296</v>
      </c>
      <c r="B3281" t="s">
        <v>2931</v>
      </c>
      <c r="C3281">
        <v>2977</v>
      </c>
      <c r="D3281" t="str">
        <f>"1021953765  "</f>
        <v xml:space="preserve">1021953765  </v>
      </c>
      <c r="E3281" t="s">
        <v>2778</v>
      </c>
      <c r="F3281" t="s">
        <v>931</v>
      </c>
      <c r="G3281">
        <v>221.09</v>
      </c>
      <c r="H3281">
        <v>250228</v>
      </c>
      <c r="I3281">
        <v>4572</v>
      </c>
      <c r="J3281" t="s">
        <v>173</v>
      </c>
      <c r="K3281">
        <v>221.09</v>
      </c>
      <c r="L3281">
        <v>44.92</v>
      </c>
      <c r="M3281">
        <v>17956</v>
      </c>
      <c r="N3281" t="s">
        <v>170</v>
      </c>
      <c r="O3281">
        <v>250313</v>
      </c>
      <c r="P3281">
        <v>176.17</v>
      </c>
    </row>
    <row r="3282" spans="1:16" x14ac:dyDescent="0.25">
      <c r="A3282" t="s">
        <v>3296</v>
      </c>
      <c r="B3282" t="s">
        <v>2931</v>
      </c>
      <c r="C3282">
        <v>3098</v>
      </c>
      <c r="D3282" t="str">
        <f>"1021949787  "</f>
        <v xml:space="preserve">1021949787  </v>
      </c>
      <c r="E3282" t="s">
        <v>2778</v>
      </c>
      <c r="F3282" t="s">
        <v>931</v>
      </c>
      <c r="G3282">
        <v>666.02</v>
      </c>
      <c r="H3282">
        <v>250228</v>
      </c>
      <c r="I3282">
        <v>4572</v>
      </c>
      <c r="J3282" t="s">
        <v>173</v>
      </c>
      <c r="K3282">
        <v>6054.75</v>
      </c>
      <c r="L3282">
        <v>135.33000000000001</v>
      </c>
      <c r="M3282">
        <v>13540</v>
      </c>
      <c r="N3282" t="s">
        <v>131</v>
      </c>
      <c r="O3282">
        <v>250314</v>
      </c>
      <c r="P3282">
        <v>530.69000000000005</v>
      </c>
    </row>
    <row r="3283" spans="1:16" x14ac:dyDescent="0.25">
      <c r="A3283" t="s">
        <v>3296</v>
      </c>
      <c r="B3283" t="s">
        <v>2931</v>
      </c>
      <c r="C3283">
        <v>3098</v>
      </c>
      <c r="D3283" t="str">
        <f>"1021949787  "</f>
        <v xml:space="preserve">1021949787  </v>
      </c>
      <c r="E3283" t="s">
        <v>2778</v>
      </c>
      <c r="F3283" t="s">
        <v>931</v>
      </c>
      <c r="G3283">
        <v>5388.73</v>
      </c>
      <c r="H3283">
        <v>250228</v>
      </c>
      <c r="I3283">
        <v>4572</v>
      </c>
      <c r="J3283" t="s">
        <v>173</v>
      </c>
      <c r="K3283">
        <v>6054.75</v>
      </c>
      <c r="L3283">
        <v>1094.92</v>
      </c>
      <c r="M3283">
        <v>17950</v>
      </c>
      <c r="N3283" t="s">
        <v>132</v>
      </c>
      <c r="O3283">
        <v>250314</v>
      </c>
      <c r="P3283">
        <v>4293.8100000000004</v>
      </c>
    </row>
    <row r="3284" spans="1:16" x14ac:dyDescent="0.25">
      <c r="A3284" t="s">
        <v>3296</v>
      </c>
      <c r="B3284" t="s">
        <v>2931</v>
      </c>
      <c r="C3284">
        <v>3111</v>
      </c>
      <c r="D3284" t="str">
        <f>"1021955951  "</f>
        <v xml:space="preserve">1021955951  </v>
      </c>
      <c r="E3284" t="s">
        <v>2778</v>
      </c>
      <c r="F3284" t="s">
        <v>931</v>
      </c>
      <c r="G3284">
        <v>71.13</v>
      </c>
      <c r="H3284">
        <v>250228</v>
      </c>
      <c r="I3284">
        <v>4572</v>
      </c>
      <c r="J3284" t="s">
        <v>173</v>
      </c>
      <c r="K3284">
        <v>71.13</v>
      </c>
      <c r="L3284">
        <v>14.45</v>
      </c>
      <c r="M3284">
        <v>17956</v>
      </c>
      <c r="N3284" t="s">
        <v>170</v>
      </c>
      <c r="O3284">
        <v>250314</v>
      </c>
      <c r="P3284">
        <v>56.68</v>
      </c>
    </row>
    <row r="3285" spans="1:16" x14ac:dyDescent="0.25">
      <c r="A3285" t="s">
        <v>3296</v>
      </c>
      <c r="B3285" t="s">
        <v>2931</v>
      </c>
      <c r="C3285">
        <v>3124</v>
      </c>
      <c r="D3285" t="str">
        <f>"1021949846  "</f>
        <v xml:space="preserve">1021949846  </v>
      </c>
      <c r="E3285" t="s">
        <v>2778</v>
      </c>
      <c r="F3285" t="s">
        <v>931</v>
      </c>
      <c r="G3285">
        <v>2661.54</v>
      </c>
      <c r="H3285">
        <v>250228</v>
      </c>
      <c r="I3285">
        <v>4572</v>
      </c>
      <c r="J3285" t="s">
        <v>173</v>
      </c>
      <c r="K3285">
        <v>2661.54</v>
      </c>
      <c r="L3285">
        <v>540.79</v>
      </c>
      <c r="M3285">
        <v>17956</v>
      </c>
      <c r="N3285" t="s">
        <v>170</v>
      </c>
      <c r="O3285">
        <v>250314</v>
      </c>
      <c r="P3285">
        <v>2120.75</v>
      </c>
    </row>
    <row r="3286" spans="1:16" x14ac:dyDescent="0.25">
      <c r="A3286" t="s">
        <v>3296</v>
      </c>
      <c r="B3286" t="s">
        <v>2931</v>
      </c>
      <c r="C3286">
        <v>3131</v>
      </c>
      <c r="D3286" t="str">
        <f>"1021951300  "</f>
        <v xml:space="preserve">1021951300  </v>
      </c>
      <c r="E3286" t="s">
        <v>2778</v>
      </c>
      <c r="F3286" t="s">
        <v>931</v>
      </c>
      <c r="G3286">
        <v>59.5</v>
      </c>
      <c r="H3286">
        <v>250228</v>
      </c>
      <c r="I3286">
        <v>4572</v>
      </c>
      <c r="J3286" t="s">
        <v>173</v>
      </c>
      <c r="K3286">
        <v>59.5</v>
      </c>
      <c r="L3286">
        <v>0</v>
      </c>
      <c r="M3286">
        <v>11001</v>
      </c>
      <c r="N3286" t="s">
        <v>93</v>
      </c>
      <c r="O3286">
        <v>250314</v>
      </c>
      <c r="P3286">
        <v>59.5</v>
      </c>
    </row>
    <row r="3287" spans="1:16" x14ac:dyDescent="0.25">
      <c r="A3287" t="s">
        <v>3296</v>
      </c>
      <c r="B3287" t="s">
        <v>2931</v>
      </c>
      <c r="C3287">
        <v>3137</v>
      </c>
      <c r="D3287" t="str">
        <f>"1021953580  "</f>
        <v xml:space="preserve">1021953580  </v>
      </c>
      <c r="E3287" t="s">
        <v>2778</v>
      </c>
      <c r="F3287" t="s">
        <v>931</v>
      </c>
      <c r="G3287">
        <v>500.48</v>
      </c>
      <c r="H3287">
        <v>250228</v>
      </c>
      <c r="I3287">
        <v>4572</v>
      </c>
      <c r="J3287" t="s">
        <v>173</v>
      </c>
      <c r="K3287">
        <v>500.48</v>
      </c>
      <c r="L3287">
        <v>101.69</v>
      </c>
      <c r="M3287">
        <v>17950</v>
      </c>
      <c r="N3287" t="s">
        <v>132</v>
      </c>
      <c r="O3287">
        <v>250314</v>
      </c>
      <c r="P3287">
        <v>398.79</v>
      </c>
    </row>
    <row r="3288" spans="1:16" x14ac:dyDescent="0.25">
      <c r="A3288" t="s">
        <v>3296</v>
      </c>
      <c r="B3288" t="s">
        <v>2931</v>
      </c>
      <c r="C3288">
        <v>3156</v>
      </c>
      <c r="D3288" t="str">
        <f>"1021949694  "</f>
        <v xml:space="preserve">1021949694  </v>
      </c>
      <c r="E3288" t="s">
        <v>2778</v>
      </c>
      <c r="F3288" t="s">
        <v>931</v>
      </c>
      <c r="G3288">
        <v>4179.3999999999996</v>
      </c>
      <c r="H3288">
        <v>250228</v>
      </c>
      <c r="I3288">
        <v>4572</v>
      </c>
      <c r="J3288" t="s">
        <v>173</v>
      </c>
      <c r="K3288">
        <v>4179.3999999999996</v>
      </c>
      <c r="L3288">
        <v>849.2</v>
      </c>
      <c r="M3288">
        <v>17951</v>
      </c>
      <c r="N3288" t="s">
        <v>207</v>
      </c>
      <c r="O3288">
        <v>250314</v>
      </c>
      <c r="P3288">
        <v>3330.2</v>
      </c>
    </row>
    <row r="3289" spans="1:16" x14ac:dyDescent="0.25">
      <c r="A3289" t="s">
        <v>3296</v>
      </c>
      <c r="B3289" t="s">
        <v>2931</v>
      </c>
      <c r="C3289">
        <v>3241</v>
      </c>
      <c r="D3289" t="str">
        <f>"1021952129  "</f>
        <v xml:space="preserve">1021952129  </v>
      </c>
      <c r="E3289" t="s">
        <v>2778</v>
      </c>
      <c r="F3289" t="s">
        <v>931</v>
      </c>
      <c r="G3289">
        <v>49.65</v>
      </c>
      <c r="H3289">
        <v>250228</v>
      </c>
      <c r="I3289">
        <v>4572</v>
      </c>
      <c r="J3289" t="s">
        <v>173</v>
      </c>
      <c r="K3289">
        <v>49.65</v>
      </c>
      <c r="L3289">
        <v>10.09</v>
      </c>
      <c r="M3289">
        <v>17956</v>
      </c>
      <c r="N3289" t="s">
        <v>170</v>
      </c>
      <c r="O3289">
        <v>250317</v>
      </c>
      <c r="P3289">
        <v>39.56</v>
      </c>
    </row>
    <row r="3290" spans="1:16" x14ac:dyDescent="0.25">
      <c r="A3290" t="s">
        <v>3296</v>
      </c>
      <c r="B3290" t="s">
        <v>2931</v>
      </c>
      <c r="C3290">
        <v>3250</v>
      </c>
      <c r="D3290" t="str">
        <f>"1021952849  "</f>
        <v xml:space="preserve">1021952849  </v>
      </c>
      <c r="E3290" t="s">
        <v>2778</v>
      </c>
      <c r="F3290" t="s">
        <v>931</v>
      </c>
      <c r="G3290">
        <v>236.89</v>
      </c>
      <c r="H3290">
        <v>250228</v>
      </c>
      <c r="I3290">
        <v>4572</v>
      </c>
      <c r="J3290" t="s">
        <v>173</v>
      </c>
      <c r="K3290">
        <v>236.89</v>
      </c>
      <c r="L3290">
        <v>48.13</v>
      </c>
      <c r="M3290">
        <v>17956</v>
      </c>
      <c r="N3290" t="s">
        <v>170</v>
      </c>
      <c r="O3290">
        <v>250317</v>
      </c>
      <c r="P3290">
        <v>188.76</v>
      </c>
    </row>
    <row r="3291" spans="1:16" x14ac:dyDescent="0.25">
      <c r="A3291" t="s">
        <v>3296</v>
      </c>
      <c r="B3291" t="s">
        <v>2931</v>
      </c>
      <c r="C3291">
        <v>3351</v>
      </c>
      <c r="D3291" t="str">
        <f>"1021955747  "</f>
        <v xml:space="preserve">1021955747  </v>
      </c>
      <c r="E3291" t="s">
        <v>2778</v>
      </c>
      <c r="F3291" t="s">
        <v>931</v>
      </c>
      <c r="G3291">
        <v>49.53</v>
      </c>
      <c r="H3291">
        <v>250228</v>
      </c>
      <c r="I3291">
        <v>4572</v>
      </c>
      <c r="J3291" t="s">
        <v>173</v>
      </c>
      <c r="K3291">
        <v>49.53</v>
      </c>
      <c r="L3291">
        <v>10.06</v>
      </c>
      <c r="M3291">
        <v>17981</v>
      </c>
      <c r="N3291" t="s">
        <v>927</v>
      </c>
      <c r="O3291">
        <v>250318</v>
      </c>
      <c r="P3291">
        <v>39.47</v>
      </c>
    </row>
    <row r="3292" spans="1:16" x14ac:dyDescent="0.25">
      <c r="A3292" t="s">
        <v>3296</v>
      </c>
      <c r="B3292" t="s">
        <v>2931</v>
      </c>
      <c r="C3292">
        <v>4724</v>
      </c>
      <c r="D3292" t="str">
        <f>"1021983549  "</f>
        <v xml:space="preserve">1021983549  </v>
      </c>
      <c r="E3292" t="s">
        <v>2778</v>
      </c>
      <c r="F3292" t="s">
        <v>931</v>
      </c>
      <c r="G3292">
        <v>4620.2700000000004</v>
      </c>
      <c r="H3292">
        <v>250331</v>
      </c>
      <c r="I3292">
        <v>4572</v>
      </c>
      <c r="J3292" t="s">
        <v>173</v>
      </c>
      <c r="K3292">
        <v>4620.2700000000004</v>
      </c>
      <c r="L3292">
        <v>938.78</v>
      </c>
      <c r="M3292">
        <v>17951</v>
      </c>
      <c r="N3292" t="s">
        <v>207</v>
      </c>
      <c r="O3292">
        <v>250415</v>
      </c>
      <c r="P3292">
        <v>3681.49</v>
      </c>
    </row>
    <row r="3293" spans="1:16" x14ac:dyDescent="0.25">
      <c r="A3293" t="s">
        <v>3296</v>
      </c>
      <c r="B3293" t="s">
        <v>2931</v>
      </c>
      <c r="C3293">
        <v>4753</v>
      </c>
      <c r="D3293" t="str">
        <f>"1021983195  "</f>
        <v xml:space="preserve">1021983195  </v>
      </c>
      <c r="E3293" t="s">
        <v>2778</v>
      </c>
      <c r="F3293" t="s">
        <v>931</v>
      </c>
      <c r="G3293">
        <v>695.22</v>
      </c>
      <c r="H3293">
        <v>250331</v>
      </c>
      <c r="I3293">
        <v>4572</v>
      </c>
      <c r="J3293" t="s">
        <v>173</v>
      </c>
      <c r="K3293">
        <v>6320.17</v>
      </c>
      <c r="L3293">
        <v>141.26</v>
      </c>
      <c r="M3293">
        <v>13540</v>
      </c>
      <c r="N3293" t="s">
        <v>131</v>
      </c>
      <c r="O3293">
        <v>250415</v>
      </c>
      <c r="P3293">
        <v>553.96</v>
      </c>
    </row>
    <row r="3294" spans="1:16" x14ac:dyDescent="0.25">
      <c r="A3294" t="s">
        <v>3296</v>
      </c>
      <c r="B3294" t="s">
        <v>2931</v>
      </c>
      <c r="C3294">
        <v>4753</v>
      </c>
      <c r="D3294" t="str">
        <f>"1021983195  "</f>
        <v xml:space="preserve">1021983195  </v>
      </c>
      <c r="E3294" t="s">
        <v>2778</v>
      </c>
      <c r="F3294" t="s">
        <v>931</v>
      </c>
      <c r="G3294">
        <v>5624.95</v>
      </c>
      <c r="H3294">
        <v>250331</v>
      </c>
      <c r="I3294">
        <v>4572</v>
      </c>
      <c r="J3294" t="s">
        <v>173</v>
      </c>
      <c r="K3294">
        <v>6320.17</v>
      </c>
      <c r="L3294">
        <v>1142.92</v>
      </c>
      <c r="M3294">
        <v>17950</v>
      </c>
      <c r="N3294" t="s">
        <v>132</v>
      </c>
      <c r="O3294">
        <v>250415</v>
      </c>
      <c r="P3294">
        <v>4482.03</v>
      </c>
    </row>
    <row r="3295" spans="1:16" x14ac:dyDescent="0.25">
      <c r="A3295" t="s">
        <v>3296</v>
      </c>
      <c r="B3295" t="s">
        <v>2931</v>
      </c>
      <c r="C3295">
        <v>4773</v>
      </c>
      <c r="D3295" t="str">
        <f>"1021983498  "</f>
        <v xml:space="preserve">1021983498  </v>
      </c>
      <c r="E3295" t="s">
        <v>2778</v>
      </c>
      <c r="F3295" t="s">
        <v>931</v>
      </c>
      <c r="G3295">
        <v>2521.8000000000002</v>
      </c>
      <c r="H3295">
        <v>250331</v>
      </c>
      <c r="I3295">
        <v>4572</v>
      </c>
      <c r="J3295" t="s">
        <v>173</v>
      </c>
      <c r="K3295">
        <v>2521.8000000000002</v>
      </c>
      <c r="L3295">
        <v>512.4</v>
      </c>
      <c r="M3295">
        <v>17956</v>
      </c>
      <c r="N3295" t="s">
        <v>170</v>
      </c>
      <c r="O3295">
        <v>250415</v>
      </c>
      <c r="P3295">
        <v>2009.4</v>
      </c>
    </row>
    <row r="3296" spans="1:16" x14ac:dyDescent="0.25">
      <c r="A3296" t="s">
        <v>3296</v>
      </c>
      <c r="B3296" t="s">
        <v>2931</v>
      </c>
      <c r="C3296">
        <v>4887</v>
      </c>
      <c r="D3296" t="str">
        <f>"1021988682  "</f>
        <v xml:space="preserve">1021988682  </v>
      </c>
      <c r="E3296" t="s">
        <v>2778</v>
      </c>
      <c r="F3296" t="s">
        <v>931</v>
      </c>
      <c r="G3296">
        <v>541.44000000000005</v>
      </c>
      <c r="H3296">
        <v>250331</v>
      </c>
      <c r="I3296">
        <v>4572</v>
      </c>
      <c r="J3296" t="s">
        <v>173</v>
      </c>
      <c r="K3296">
        <v>541.44000000000005</v>
      </c>
      <c r="L3296">
        <v>110.01</v>
      </c>
      <c r="M3296">
        <v>17950</v>
      </c>
      <c r="N3296" t="s">
        <v>132</v>
      </c>
      <c r="O3296">
        <v>250416</v>
      </c>
      <c r="P3296">
        <v>431.43</v>
      </c>
    </row>
    <row r="3297" spans="1:16" x14ac:dyDescent="0.25">
      <c r="A3297" t="s">
        <v>3296</v>
      </c>
      <c r="B3297" t="s">
        <v>2931</v>
      </c>
      <c r="C3297">
        <v>4905</v>
      </c>
      <c r="D3297" t="str">
        <f>"1021989571  "</f>
        <v xml:space="preserve">1021989571  </v>
      </c>
      <c r="E3297" t="s">
        <v>2778</v>
      </c>
      <c r="F3297" t="s">
        <v>931</v>
      </c>
      <c r="G3297">
        <v>50.33</v>
      </c>
      <c r="H3297">
        <v>250331</v>
      </c>
      <c r="I3297">
        <v>4572</v>
      </c>
      <c r="J3297" t="s">
        <v>173</v>
      </c>
      <c r="K3297">
        <v>50.33</v>
      </c>
      <c r="L3297">
        <v>10.23</v>
      </c>
      <c r="M3297">
        <v>17956</v>
      </c>
      <c r="N3297" t="s">
        <v>170</v>
      </c>
      <c r="O3297">
        <v>250416</v>
      </c>
      <c r="P3297">
        <v>40.1</v>
      </c>
    </row>
    <row r="3298" spans="1:16" x14ac:dyDescent="0.25">
      <c r="A3298" t="s">
        <v>3296</v>
      </c>
      <c r="B3298" t="s">
        <v>2931</v>
      </c>
      <c r="C3298">
        <v>4916</v>
      </c>
      <c r="D3298" t="str">
        <f>"1021988640  "</f>
        <v xml:space="preserve">1021988640  </v>
      </c>
      <c r="E3298" t="s">
        <v>2778</v>
      </c>
      <c r="F3298" t="s">
        <v>931</v>
      </c>
      <c r="G3298">
        <v>69.33</v>
      </c>
      <c r="H3298">
        <v>250331</v>
      </c>
      <c r="I3298">
        <v>4572</v>
      </c>
      <c r="J3298" t="s">
        <v>173</v>
      </c>
      <c r="K3298">
        <v>69.33</v>
      </c>
      <c r="L3298">
        <v>14.09</v>
      </c>
      <c r="M3298">
        <v>17956</v>
      </c>
      <c r="N3298" t="s">
        <v>170</v>
      </c>
      <c r="O3298">
        <v>250416</v>
      </c>
      <c r="P3298">
        <v>55.24</v>
      </c>
    </row>
    <row r="3299" spans="1:16" x14ac:dyDescent="0.25">
      <c r="A3299" t="s">
        <v>3296</v>
      </c>
      <c r="B3299" t="s">
        <v>2931</v>
      </c>
      <c r="C3299">
        <v>4919</v>
      </c>
      <c r="D3299" t="str">
        <f>"1021986273  "</f>
        <v xml:space="preserve">1021986273  </v>
      </c>
      <c r="E3299" t="s">
        <v>2778</v>
      </c>
      <c r="F3299" t="s">
        <v>931</v>
      </c>
      <c r="G3299">
        <v>262.27</v>
      </c>
      <c r="H3299">
        <v>250331</v>
      </c>
      <c r="I3299">
        <v>4572</v>
      </c>
      <c r="J3299" t="s">
        <v>173</v>
      </c>
      <c r="K3299">
        <v>262.27</v>
      </c>
      <c r="L3299">
        <v>53.29</v>
      </c>
      <c r="M3299">
        <v>17956</v>
      </c>
      <c r="N3299" t="s">
        <v>170</v>
      </c>
      <c r="O3299">
        <v>250416</v>
      </c>
      <c r="P3299">
        <v>208.98</v>
      </c>
    </row>
    <row r="3300" spans="1:16" x14ac:dyDescent="0.25">
      <c r="A3300" t="s">
        <v>3296</v>
      </c>
      <c r="B3300" t="s">
        <v>2931</v>
      </c>
      <c r="C3300">
        <v>4924</v>
      </c>
      <c r="D3300" t="str">
        <f>"1021986932  "</f>
        <v xml:space="preserve">1021986932  </v>
      </c>
      <c r="E3300" t="s">
        <v>2778</v>
      </c>
      <c r="F3300" t="s">
        <v>931</v>
      </c>
      <c r="G3300">
        <v>252.64</v>
      </c>
      <c r="H3300">
        <v>250331</v>
      </c>
      <c r="I3300">
        <v>4572</v>
      </c>
      <c r="J3300" t="s">
        <v>173</v>
      </c>
      <c r="K3300">
        <v>252.64</v>
      </c>
      <c r="L3300">
        <v>51.33</v>
      </c>
      <c r="M3300">
        <v>17956</v>
      </c>
      <c r="N3300" t="s">
        <v>170</v>
      </c>
      <c r="O3300">
        <v>250416</v>
      </c>
      <c r="P3300">
        <v>201.31</v>
      </c>
    </row>
    <row r="3301" spans="1:16" x14ac:dyDescent="0.25">
      <c r="A3301" t="s">
        <v>3296</v>
      </c>
      <c r="B3301" t="s">
        <v>2931</v>
      </c>
      <c r="C3301">
        <v>4932</v>
      </c>
      <c r="D3301" t="str">
        <f>"1021987423  "</f>
        <v xml:space="preserve">1021987423  </v>
      </c>
      <c r="E3301" t="s">
        <v>2778</v>
      </c>
      <c r="F3301" t="s">
        <v>931</v>
      </c>
      <c r="G3301">
        <v>42.92</v>
      </c>
      <c r="H3301">
        <v>250331</v>
      </c>
      <c r="I3301">
        <v>4572</v>
      </c>
      <c r="J3301" t="s">
        <v>173</v>
      </c>
      <c r="K3301">
        <v>42.92</v>
      </c>
      <c r="L3301">
        <v>8.7200000000000006</v>
      </c>
      <c r="M3301">
        <v>17981</v>
      </c>
      <c r="N3301" t="s">
        <v>927</v>
      </c>
      <c r="O3301">
        <v>250416</v>
      </c>
      <c r="P3301">
        <v>34.200000000000003</v>
      </c>
    </row>
    <row r="3302" spans="1:16" x14ac:dyDescent="0.25">
      <c r="A3302" t="s">
        <v>3296</v>
      </c>
      <c r="B3302" t="s">
        <v>2931</v>
      </c>
      <c r="C3302">
        <v>4936</v>
      </c>
      <c r="D3302" t="str">
        <f>"1021987278  "</f>
        <v xml:space="preserve">1021987278  </v>
      </c>
      <c r="E3302" t="s">
        <v>2778</v>
      </c>
      <c r="F3302" t="s">
        <v>931</v>
      </c>
      <c r="G3302">
        <v>73.790000000000006</v>
      </c>
      <c r="H3302">
        <v>250331</v>
      </c>
      <c r="I3302">
        <v>4572</v>
      </c>
      <c r="J3302" t="s">
        <v>173</v>
      </c>
      <c r="K3302">
        <v>73.790000000000006</v>
      </c>
      <c r="L3302">
        <v>0</v>
      </c>
      <c r="M3302">
        <v>11001</v>
      </c>
      <c r="N3302" t="s">
        <v>93</v>
      </c>
      <c r="O3302">
        <v>250416</v>
      </c>
      <c r="P3302">
        <v>73.790000000000006</v>
      </c>
    </row>
    <row r="3303" spans="1:16" x14ac:dyDescent="0.25">
      <c r="A3303" t="s">
        <v>3296</v>
      </c>
      <c r="B3303" t="s">
        <v>2931</v>
      </c>
      <c r="C3303">
        <v>6275</v>
      </c>
      <c r="D3303" t="str">
        <f>"1022016768  "</f>
        <v xml:space="preserve">1022016768  </v>
      </c>
      <c r="E3303" t="s">
        <v>2778</v>
      </c>
      <c r="F3303" t="s">
        <v>931</v>
      </c>
      <c r="G3303">
        <v>496.51</v>
      </c>
      <c r="H3303">
        <v>250430</v>
      </c>
      <c r="I3303">
        <v>4572</v>
      </c>
      <c r="J3303" t="s">
        <v>173</v>
      </c>
      <c r="K3303">
        <v>4513.76</v>
      </c>
      <c r="L3303">
        <v>100.88</v>
      </c>
      <c r="M3303">
        <v>13540</v>
      </c>
      <c r="N3303" t="s">
        <v>131</v>
      </c>
      <c r="O3303">
        <v>250512</v>
      </c>
      <c r="P3303">
        <v>395.63</v>
      </c>
    </row>
    <row r="3304" spans="1:16" x14ac:dyDescent="0.25">
      <c r="A3304" t="s">
        <v>3296</v>
      </c>
      <c r="B3304" t="s">
        <v>2931</v>
      </c>
      <c r="C3304">
        <v>6275</v>
      </c>
      <c r="D3304" t="str">
        <f>"1022016768  "</f>
        <v xml:space="preserve">1022016768  </v>
      </c>
      <c r="E3304" t="s">
        <v>2778</v>
      </c>
      <c r="F3304" t="s">
        <v>931</v>
      </c>
      <c r="G3304">
        <v>4017.25</v>
      </c>
      <c r="H3304">
        <v>250430</v>
      </c>
      <c r="I3304">
        <v>4572</v>
      </c>
      <c r="J3304" t="s">
        <v>173</v>
      </c>
      <c r="K3304">
        <v>4513.76</v>
      </c>
      <c r="L3304">
        <v>816.25</v>
      </c>
      <c r="M3304">
        <v>17950</v>
      </c>
      <c r="N3304" t="s">
        <v>132</v>
      </c>
      <c r="O3304">
        <v>250512</v>
      </c>
      <c r="P3304">
        <v>3201</v>
      </c>
    </row>
    <row r="3305" spans="1:16" x14ac:dyDescent="0.25">
      <c r="A3305" t="s">
        <v>3296</v>
      </c>
      <c r="B3305" t="s">
        <v>2931</v>
      </c>
      <c r="C3305">
        <v>6287</v>
      </c>
      <c r="D3305" t="str">
        <f>"1022016984  "</f>
        <v xml:space="preserve">1022016984  </v>
      </c>
      <c r="E3305" t="s">
        <v>2778</v>
      </c>
      <c r="F3305" t="s">
        <v>931</v>
      </c>
      <c r="G3305">
        <v>3498.17</v>
      </c>
      <c r="H3305">
        <v>250430</v>
      </c>
      <c r="I3305">
        <v>4572</v>
      </c>
      <c r="J3305" t="s">
        <v>173</v>
      </c>
      <c r="K3305">
        <v>3498.17</v>
      </c>
      <c r="L3305">
        <v>710.78</v>
      </c>
      <c r="M3305">
        <v>17951</v>
      </c>
      <c r="N3305" t="s">
        <v>207</v>
      </c>
      <c r="O3305">
        <v>250512</v>
      </c>
      <c r="P3305">
        <v>2787.39</v>
      </c>
    </row>
    <row r="3306" spans="1:16" x14ac:dyDescent="0.25">
      <c r="A3306" t="s">
        <v>3296</v>
      </c>
      <c r="B3306" t="s">
        <v>2931</v>
      </c>
      <c r="C3306">
        <v>6288</v>
      </c>
      <c r="D3306" t="str">
        <f>"1022016625  "</f>
        <v xml:space="preserve">1022016625  </v>
      </c>
      <c r="E3306" t="s">
        <v>2778</v>
      </c>
      <c r="F3306" t="s">
        <v>931</v>
      </c>
      <c r="G3306">
        <v>2158.71</v>
      </c>
      <c r="H3306">
        <v>250430</v>
      </c>
      <c r="I3306">
        <v>4572</v>
      </c>
      <c r="J3306" t="s">
        <v>173</v>
      </c>
      <c r="K3306">
        <v>2158.71</v>
      </c>
      <c r="L3306">
        <v>438.62</v>
      </c>
      <c r="M3306">
        <v>17956</v>
      </c>
      <c r="N3306" t="s">
        <v>170</v>
      </c>
      <c r="O3306">
        <v>250512</v>
      </c>
      <c r="P3306">
        <v>1720.09</v>
      </c>
    </row>
    <row r="3307" spans="1:16" x14ac:dyDescent="0.25">
      <c r="A3307" t="s">
        <v>3296</v>
      </c>
      <c r="B3307" t="s">
        <v>2931</v>
      </c>
      <c r="C3307">
        <v>6315</v>
      </c>
      <c r="D3307" t="str">
        <f>"1022020954  "</f>
        <v xml:space="preserve">1022020954  </v>
      </c>
      <c r="E3307" t="s">
        <v>2778</v>
      </c>
      <c r="F3307" t="s">
        <v>931</v>
      </c>
      <c r="G3307">
        <v>35.17</v>
      </c>
      <c r="H3307">
        <v>250430</v>
      </c>
      <c r="I3307">
        <v>4572</v>
      </c>
      <c r="J3307" t="s">
        <v>173</v>
      </c>
      <c r="K3307">
        <v>35.17</v>
      </c>
      <c r="L3307">
        <v>7.15</v>
      </c>
      <c r="M3307">
        <v>17981</v>
      </c>
      <c r="N3307" t="s">
        <v>927</v>
      </c>
      <c r="O3307">
        <v>250512</v>
      </c>
      <c r="P3307">
        <v>28.02</v>
      </c>
    </row>
    <row r="3308" spans="1:16" x14ac:dyDescent="0.25">
      <c r="A3308" t="s">
        <v>3296</v>
      </c>
      <c r="B3308" t="s">
        <v>2931</v>
      </c>
      <c r="C3308">
        <v>6320</v>
      </c>
      <c r="D3308" t="str">
        <f>"1022021531  "</f>
        <v xml:space="preserve">1022021531  </v>
      </c>
      <c r="E3308" t="s">
        <v>2778</v>
      </c>
      <c r="F3308" t="s">
        <v>931</v>
      </c>
      <c r="G3308">
        <v>475.68</v>
      </c>
      <c r="H3308">
        <v>250430</v>
      </c>
      <c r="I3308">
        <v>4572</v>
      </c>
      <c r="J3308" t="s">
        <v>173</v>
      </c>
      <c r="K3308">
        <v>475.68</v>
      </c>
      <c r="L3308">
        <v>96.65</v>
      </c>
      <c r="M3308">
        <v>17950</v>
      </c>
      <c r="N3308" t="s">
        <v>132</v>
      </c>
      <c r="O3308">
        <v>250512</v>
      </c>
      <c r="P3308">
        <v>379.03</v>
      </c>
    </row>
    <row r="3309" spans="1:16" x14ac:dyDescent="0.25">
      <c r="A3309" t="s">
        <v>3296</v>
      </c>
      <c r="B3309" t="s">
        <v>2931</v>
      </c>
      <c r="C3309">
        <v>6321</v>
      </c>
      <c r="D3309" t="str">
        <f>"1022021486  "</f>
        <v xml:space="preserve">1022021486  </v>
      </c>
      <c r="E3309" t="s">
        <v>2778</v>
      </c>
      <c r="F3309" t="s">
        <v>931</v>
      </c>
      <c r="G3309">
        <v>51.83</v>
      </c>
      <c r="H3309">
        <v>250430</v>
      </c>
      <c r="I3309">
        <v>4572</v>
      </c>
      <c r="J3309" t="s">
        <v>173</v>
      </c>
      <c r="K3309">
        <v>51.83</v>
      </c>
      <c r="L3309">
        <v>10.53</v>
      </c>
      <c r="M3309">
        <v>17956</v>
      </c>
      <c r="N3309" t="s">
        <v>170</v>
      </c>
      <c r="O3309">
        <v>250512</v>
      </c>
      <c r="P3309">
        <v>41.3</v>
      </c>
    </row>
    <row r="3310" spans="1:16" x14ac:dyDescent="0.25">
      <c r="A3310" t="s">
        <v>3296</v>
      </c>
      <c r="B3310" t="s">
        <v>2931</v>
      </c>
      <c r="C3310">
        <v>6326</v>
      </c>
      <c r="D3310" t="str">
        <f>"1022020298  "</f>
        <v xml:space="preserve">1022020298  </v>
      </c>
      <c r="E3310" t="s">
        <v>2778</v>
      </c>
      <c r="F3310" t="s">
        <v>931</v>
      </c>
      <c r="G3310">
        <v>39.81</v>
      </c>
      <c r="H3310">
        <v>250430</v>
      </c>
      <c r="I3310">
        <v>4572</v>
      </c>
      <c r="J3310" t="s">
        <v>173</v>
      </c>
      <c r="K3310">
        <v>39.81</v>
      </c>
      <c r="L3310">
        <v>0</v>
      </c>
      <c r="M3310">
        <v>11001</v>
      </c>
      <c r="N3310" t="s">
        <v>93</v>
      </c>
      <c r="O3310">
        <v>250512</v>
      </c>
      <c r="P3310">
        <v>39.81</v>
      </c>
    </row>
    <row r="3311" spans="1:16" x14ac:dyDescent="0.25">
      <c r="A3311" t="s">
        <v>3296</v>
      </c>
      <c r="B3311" t="s">
        <v>2931</v>
      </c>
      <c r="C3311">
        <v>6336</v>
      </c>
      <c r="D3311" t="str">
        <f>"1022022368  "</f>
        <v xml:space="preserve">1022022368  </v>
      </c>
      <c r="E3311" t="s">
        <v>2778</v>
      </c>
      <c r="F3311" t="s">
        <v>931</v>
      </c>
      <c r="G3311">
        <v>47.75</v>
      </c>
      <c r="H3311">
        <v>250430</v>
      </c>
      <c r="I3311">
        <v>4572</v>
      </c>
      <c r="J3311" t="s">
        <v>173</v>
      </c>
      <c r="K3311">
        <v>47.75</v>
      </c>
      <c r="L3311">
        <v>9.6999999999999993</v>
      </c>
      <c r="M3311">
        <v>17956</v>
      </c>
      <c r="N3311" t="s">
        <v>170</v>
      </c>
      <c r="O3311">
        <v>250512</v>
      </c>
      <c r="P3311">
        <v>38.049999999999997</v>
      </c>
    </row>
    <row r="3312" spans="1:16" x14ac:dyDescent="0.25">
      <c r="A3312" t="s">
        <v>3296</v>
      </c>
      <c r="B3312" t="s">
        <v>2931</v>
      </c>
      <c r="C3312">
        <v>6339</v>
      </c>
      <c r="D3312" t="str">
        <f>"1022020194  "</f>
        <v xml:space="preserve">1022020194  </v>
      </c>
      <c r="E3312" t="s">
        <v>2778</v>
      </c>
      <c r="F3312" t="s">
        <v>931</v>
      </c>
      <c r="G3312">
        <v>218.78</v>
      </c>
      <c r="H3312">
        <v>250430</v>
      </c>
      <c r="I3312">
        <v>4572</v>
      </c>
      <c r="J3312" t="s">
        <v>173</v>
      </c>
      <c r="K3312">
        <v>218.78</v>
      </c>
      <c r="L3312">
        <v>44.45</v>
      </c>
      <c r="M3312">
        <v>17956</v>
      </c>
      <c r="N3312" t="s">
        <v>170</v>
      </c>
      <c r="O3312">
        <v>250512</v>
      </c>
      <c r="P3312">
        <v>174.33</v>
      </c>
    </row>
    <row r="3313" spans="1:16" x14ac:dyDescent="0.25">
      <c r="A3313" t="s">
        <v>3296</v>
      </c>
      <c r="B3313" t="s">
        <v>2931</v>
      </c>
      <c r="C3313">
        <v>6340</v>
      </c>
      <c r="D3313" t="str">
        <f>"1022019956  "</f>
        <v xml:space="preserve">1022019956  </v>
      </c>
      <c r="E3313" t="s">
        <v>2778</v>
      </c>
      <c r="F3313" t="s">
        <v>931</v>
      </c>
      <c r="G3313">
        <v>245.03</v>
      </c>
      <c r="H3313">
        <v>250430</v>
      </c>
      <c r="I3313">
        <v>4572</v>
      </c>
      <c r="J3313" t="s">
        <v>173</v>
      </c>
      <c r="K3313">
        <v>245.03</v>
      </c>
      <c r="L3313">
        <v>49.79</v>
      </c>
      <c r="M3313">
        <v>17956</v>
      </c>
      <c r="N3313" t="s">
        <v>170</v>
      </c>
      <c r="O3313">
        <v>250512</v>
      </c>
      <c r="P3313">
        <v>195.24</v>
      </c>
    </row>
    <row r="3314" spans="1:16" x14ac:dyDescent="0.25">
      <c r="A3314" t="s">
        <v>3296</v>
      </c>
      <c r="B3314" t="s">
        <v>2931</v>
      </c>
      <c r="C3314">
        <v>8206</v>
      </c>
      <c r="D3314" t="str">
        <f>"1022050673  "</f>
        <v xml:space="preserve">1022050673  </v>
      </c>
      <c r="E3314" t="s">
        <v>2778</v>
      </c>
      <c r="F3314" t="s">
        <v>931</v>
      </c>
      <c r="G3314">
        <v>3372.46</v>
      </c>
      <c r="H3314">
        <v>250531</v>
      </c>
      <c r="I3314">
        <v>4572</v>
      </c>
      <c r="J3314" t="s">
        <v>173</v>
      </c>
      <c r="K3314">
        <v>3372.46</v>
      </c>
      <c r="L3314">
        <v>685.24</v>
      </c>
      <c r="M3314">
        <v>17951</v>
      </c>
      <c r="N3314" t="s">
        <v>207</v>
      </c>
      <c r="O3314">
        <v>250612</v>
      </c>
      <c r="P3314">
        <v>2687.22</v>
      </c>
    </row>
    <row r="3315" spans="1:16" x14ac:dyDescent="0.25">
      <c r="A3315" t="s">
        <v>3296</v>
      </c>
      <c r="B3315" t="s">
        <v>2931</v>
      </c>
      <c r="C3315">
        <v>8239</v>
      </c>
      <c r="D3315" t="str">
        <f>"1022050152  "</f>
        <v xml:space="preserve">1022050152  </v>
      </c>
      <c r="E3315" t="s">
        <v>2778</v>
      </c>
      <c r="F3315" t="s">
        <v>931</v>
      </c>
      <c r="G3315">
        <v>443.97</v>
      </c>
      <c r="H3315">
        <v>250531</v>
      </c>
      <c r="I3315">
        <v>4572</v>
      </c>
      <c r="J3315" t="s">
        <v>173</v>
      </c>
      <c r="K3315">
        <v>4036.09</v>
      </c>
      <c r="L3315">
        <v>90.21</v>
      </c>
      <c r="M3315">
        <v>13540</v>
      </c>
      <c r="N3315" t="s">
        <v>131</v>
      </c>
      <c r="O3315">
        <v>250612</v>
      </c>
      <c r="P3315">
        <v>353.76</v>
      </c>
    </row>
    <row r="3316" spans="1:16" x14ac:dyDescent="0.25">
      <c r="A3316" t="s">
        <v>3296</v>
      </c>
      <c r="B3316" t="s">
        <v>2931</v>
      </c>
      <c r="C3316">
        <v>8239</v>
      </c>
      <c r="D3316" t="str">
        <f>"1022050152  "</f>
        <v xml:space="preserve">1022050152  </v>
      </c>
      <c r="E3316" t="s">
        <v>2778</v>
      </c>
      <c r="F3316" t="s">
        <v>931</v>
      </c>
      <c r="G3316">
        <v>3592.12</v>
      </c>
      <c r="H3316">
        <v>250531</v>
      </c>
      <c r="I3316">
        <v>4572</v>
      </c>
      <c r="J3316" t="s">
        <v>173</v>
      </c>
      <c r="K3316">
        <v>4036.09</v>
      </c>
      <c r="L3316">
        <v>729.87</v>
      </c>
      <c r="M3316">
        <v>17950</v>
      </c>
      <c r="N3316" t="s">
        <v>132</v>
      </c>
      <c r="O3316">
        <v>250612</v>
      </c>
      <c r="P3316">
        <v>2862.25</v>
      </c>
    </row>
    <row r="3317" spans="1:16" x14ac:dyDescent="0.25">
      <c r="A3317" t="s">
        <v>3296</v>
      </c>
      <c r="B3317" t="s">
        <v>2931</v>
      </c>
      <c r="C3317">
        <v>8297</v>
      </c>
      <c r="D3317" t="str">
        <f>"1022050537  "</f>
        <v xml:space="preserve">1022050537  </v>
      </c>
      <c r="E3317" t="s">
        <v>2778</v>
      </c>
      <c r="F3317" t="s">
        <v>931</v>
      </c>
      <c r="G3317">
        <v>2023.66</v>
      </c>
      <c r="H3317">
        <v>250531</v>
      </c>
      <c r="I3317">
        <v>4572</v>
      </c>
      <c r="J3317" t="s">
        <v>173</v>
      </c>
      <c r="K3317">
        <v>2023.66</v>
      </c>
      <c r="L3317">
        <v>411.18</v>
      </c>
      <c r="M3317">
        <v>17956</v>
      </c>
      <c r="N3317" t="s">
        <v>170</v>
      </c>
      <c r="O3317">
        <v>250612</v>
      </c>
      <c r="P3317">
        <v>1612.48</v>
      </c>
    </row>
    <row r="3318" spans="1:16" x14ac:dyDescent="0.25">
      <c r="A3318" t="s">
        <v>3296</v>
      </c>
      <c r="B3318" t="s">
        <v>2931</v>
      </c>
      <c r="C3318">
        <v>8398</v>
      </c>
      <c r="D3318" t="str">
        <f>"1022051867  "</f>
        <v xml:space="preserve">1022051867  </v>
      </c>
      <c r="E3318" t="s">
        <v>2778</v>
      </c>
      <c r="F3318" t="s">
        <v>931</v>
      </c>
      <c r="G3318">
        <v>49.08</v>
      </c>
      <c r="H3318">
        <v>250531</v>
      </c>
      <c r="I3318">
        <v>4572</v>
      </c>
      <c r="J3318" t="s">
        <v>173</v>
      </c>
      <c r="K3318">
        <v>49.08</v>
      </c>
      <c r="L3318">
        <v>9.9700000000000006</v>
      </c>
      <c r="M3318">
        <v>17956</v>
      </c>
      <c r="N3318" t="s">
        <v>170</v>
      </c>
      <c r="O3318">
        <v>250613</v>
      </c>
      <c r="P3318">
        <v>39.11</v>
      </c>
    </row>
    <row r="3319" spans="1:16" x14ac:dyDescent="0.25">
      <c r="A3319" t="s">
        <v>3296</v>
      </c>
      <c r="B3319" t="s">
        <v>2931</v>
      </c>
      <c r="C3319">
        <v>8401</v>
      </c>
      <c r="D3319" t="str">
        <f>"1022052088  "</f>
        <v xml:space="preserve">1022052088  </v>
      </c>
      <c r="E3319" t="s">
        <v>2778</v>
      </c>
      <c r="F3319" t="s">
        <v>931</v>
      </c>
      <c r="G3319">
        <v>352.13</v>
      </c>
      <c r="H3319">
        <v>250531</v>
      </c>
      <c r="I3319">
        <v>4572</v>
      </c>
      <c r="J3319" t="s">
        <v>173</v>
      </c>
      <c r="K3319">
        <v>352.13</v>
      </c>
      <c r="L3319">
        <v>71.55</v>
      </c>
      <c r="M3319">
        <v>17950</v>
      </c>
      <c r="N3319" t="s">
        <v>132</v>
      </c>
      <c r="O3319">
        <v>250613</v>
      </c>
      <c r="P3319">
        <v>280.58</v>
      </c>
    </row>
    <row r="3320" spans="1:16" x14ac:dyDescent="0.25">
      <c r="A3320" t="s">
        <v>3296</v>
      </c>
      <c r="B3320" t="s">
        <v>2931</v>
      </c>
      <c r="C3320">
        <v>8435</v>
      </c>
      <c r="D3320" t="str">
        <f>"1022052770  "</f>
        <v xml:space="preserve">1022052770  </v>
      </c>
      <c r="E3320" t="s">
        <v>2778</v>
      </c>
      <c r="F3320" t="s">
        <v>931</v>
      </c>
      <c r="G3320">
        <v>34.049999999999997</v>
      </c>
      <c r="H3320">
        <v>250531</v>
      </c>
      <c r="I3320">
        <v>4572</v>
      </c>
      <c r="J3320" t="s">
        <v>173</v>
      </c>
      <c r="K3320">
        <v>34.049999999999997</v>
      </c>
      <c r="L3320">
        <v>6.92</v>
      </c>
      <c r="M3320">
        <v>17981</v>
      </c>
      <c r="N3320" t="s">
        <v>927</v>
      </c>
      <c r="O3320">
        <v>250613</v>
      </c>
      <c r="P3320">
        <v>27.13</v>
      </c>
    </row>
    <row r="3321" spans="1:16" x14ac:dyDescent="0.25">
      <c r="A3321" t="s">
        <v>3296</v>
      </c>
      <c r="B3321" t="s">
        <v>2931</v>
      </c>
      <c r="C3321">
        <v>8444</v>
      </c>
      <c r="D3321" t="str">
        <f>"1022053348  "</f>
        <v xml:space="preserve">1022053348  </v>
      </c>
      <c r="E3321" t="s">
        <v>2778</v>
      </c>
      <c r="F3321" t="s">
        <v>931</v>
      </c>
      <c r="G3321">
        <v>61.88</v>
      </c>
      <c r="H3321">
        <v>250531</v>
      </c>
      <c r="I3321">
        <v>4572</v>
      </c>
      <c r="J3321" t="s">
        <v>173</v>
      </c>
      <c r="K3321">
        <v>61.88</v>
      </c>
      <c r="L3321">
        <v>0</v>
      </c>
      <c r="M3321">
        <v>11001</v>
      </c>
      <c r="N3321" t="s">
        <v>93</v>
      </c>
      <c r="O3321">
        <v>250613</v>
      </c>
      <c r="P3321">
        <v>61.88</v>
      </c>
    </row>
    <row r="3322" spans="1:16" x14ac:dyDescent="0.25">
      <c r="A3322" t="s">
        <v>3296</v>
      </c>
      <c r="B3322" t="s">
        <v>2931</v>
      </c>
      <c r="C3322">
        <v>8446</v>
      </c>
      <c r="D3322" t="str">
        <f>"1022055232  "</f>
        <v xml:space="preserve">1022055232  </v>
      </c>
      <c r="E3322" t="s">
        <v>2778</v>
      </c>
      <c r="F3322" t="s">
        <v>931</v>
      </c>
      <c r="G3322">
        <v>226.26</v>
      </c>
      <c r="H3322">
        <v>250531</v>
      </c>
      <c r="I3322">
        <v>4572</v>
      </c>
      <c r="J3322" t="s">
        <v>173</v>
      </c>
      <c r="K3322">
        <v>226.26</v>
      </c>
      <c r="L3322">
        <v>45.97</v>
      </c>
      <c r="M3322">
        <v>17956</v>
      </c>
      <c r="N3322" t="s">
        <v>170</v>
      </c>
      <c r="O3322">
        <v>250613</v>
      </c>
      <c r="P3322">
        <v>180.29</v>
      </c>
    </row>
    <row r="3323" spans="1:16" x14ac:dyDescent="0.25">
      <c r="A3323" t="s">
        <v>3296</v>
      </c>
      <c r="B3323" t="s">
        <v>2931</v>
      </c>
      <c r="C3323">
        <v>8448</v>
      </c>
      <c r="D3323" t="str">
        <f>"1022055150  "</f>
        <v xml:space="preserve">1022055150  </v>
      </c>
      <c r="E3323" t="s">
        <v>2778</v>
      </c>
      <c r="F3323" t="s">
        <v>931</v>
      </c>
      <c r="G3323">
        <v>210.75</v>
      </c>
      <c r="H3323">
        <v>250531</v>
      </c>
      <c r="I3323">
        <v>4572</v>
      </c>
      <c r="J3323" t="s">
        <v>173</v>
      </c>
      <c r="K3323">
        <v>210.75</v>
      </c>
      <c r="L3323">
        <v>42.82</v>
      </c>
      <c r="M3323">
        <v>17956</v>
      </c>
      <c r="N3323" t="s">
        <v>170</v>
      </c>
      <c r="O3323">
        <v>250613</v>
      </c>
      <c r="P3323">
        <v>167.93</v>
      </c>
    </row>
    <row r="3324" spans="1:16" x14ac:dyDescent="0.25">
      <c r="A3324" t="s">
        <v>3296</v>
      </c>
      <c r="B3324" t="s">
        <v>2931</v>
      </c>
      <c r="C3324">
        <v>8449</v>
      </c>
      <c r="D3324" t="str">
        <f>"1022051637  "</f>
        <v xml:space="preserve">1022051637  </v>
      </c>
      <c r="E3324" t="s">
        <v>2778</v>
      </c>
      <c r="F3324" t="s">
        <v>931</v>
      </c>
      <c r="G3324">
        <v>60.18</v>
      </c>
      <c r="H3324">
        <v>250531</v>
      </c>
      <c r="I3324">
        <v>4572</v>
      </c>
      <c r="J3324" t="s">
        <v>173</v>
      </c>
      <c r="K3324">
        <v>60.18</v>
      </c>
      <c r="L3324">
        <v>12.23</v>
      </c>
      <c r="M3324">
        <v>17956</v>
      </c>
      <c r="N3324" t="s">
        <v>170</v>
      </c>
      <c r="O3324">
        <v>250613</v>
      </c>
      <c r="P3324">
        <v>47.95</v>
      </c>
    </row>
    <row r="3325" spans="1:16" x14ac:dyDescent="0.25">
      <c r="A3325" t="s">
        <v>3296</v>
      </c>
      <c r="B3325" t="s">
        <v>2931</v>
      </c>
      <c r="C3325">
        <v>9364</v>
      </c>
      <c r="D3325" t="str">
        <f>"1022083775  "</f>
        <v xml:space="preserve">1022083775  </v>
      </c>
      <c r="E3325" t="s">
        <v>2778</v>
      </c>
      <c r="F3325" t="s">
        <v>931</v>
      </c>
      <c r="G3325">
        <v>2738.66</v>
      </c>
      <c r="H3325">
        <v>250630</v>
      </c>
      <c r="I3325">
        <v>4572</v>
      </c>
      <c r="J3325" t="s">
        <v>173</v>
      </c>
      <c r="K3325">
        <v>2738.66</v>
      </c>
      <c r="L3325">
        <v>556.46</v>
      </c>
      <c r="M3325">
        <v>17951</v>
      </c>
      <c r="N3325" t="s">
        <v>207</v>
      </c>
      <c r="O3325">
        <v>250704</v>
      </c>
      <c r="P3325">
        <v>2182.1999999999998</v>
      </c>
    </row>
    <row r="3326" spans="1:16" x14ac:dyDescent="0.25">
      <c r="A3326" t="s">
        <v>3296</v>
      </c>
      <c r="B3326" t="s">
        <v>2931</v>
      </c>
      <c r="C3326">
        <v>9366</v>
      </c>
      <c r="D3326" t="str">
        <f>"1022083966  "</f>
        <v xml:space="preserve">1022083966  </v>
      </c>
      <c r="E3326" t="s">
        <v>2778</v>
      </c>
      <c r="F3326" t="s">
        <v>931</v>
      </c>
      <c r="G3326">
        <v>1607.03</v>
      </c>
      <c r="H3326">
        <v>250630</v>
      </c>
      <c r="I3326">
        <v>4572</v>
      </c>
      <c r="J3326" t="s">
        <v>173</v>
      </c>
      <c r="K3326">
        <v>1607.03</v>
      </c>
      <c r="L3326">
        <v>326.52999999999997</v>
      </c>
      <c r="M3326">
        <v>17956</v>
      </c>
      <c r="N3326" t="s">
        <v>170</v>
      </c>
      <c r="O3326">
        <v>250704</v>
      </c>
      <c r="P3326">
        <v>1280.5</v>
      </c>
    </row>
    <row r="3327" spans="1:16" x14ac:dyDescent="0.25">
      <c r="A3327" t="s">
        <v>3296</v>
      </c>
      <c r="B3327" t="s">
        <v>2931</v>
      </c>
      <c r="C3327">
        <v>9536</v>
      </c>
      <c r="D3327" t="str">
        <f>"1022087016  "</f>
        <v xml:space="preserve">1022087016  </v>
      </c>
      <c r="E3327" t="s">
        <v>2778</v>
      </c>
      <c r="F3327" t="s">
        <v>931</v>
      </c>
      <c r="G3327">
        <v>67.44</v>
      </c>
      <c r="H3327">
        <v>250630</v>
      </c>
      <c r="I3327">
        <v>4572</v>
      </c>
      <c r="J3327" t="s">
        <v>173</v>
      </c>
      <c r="K3327">
        <v>67.44</v>
      </c>
      <c r="L3327">
        <v>0</v>
      </c>
      <c r="M3327">
        <v>11001</v>
      </c>
      <c r="N3327" t="s">
        <v>93</v>
      </c>
      <c r="O3327">
        <v>250710</v>
      </c>
      <c r="P3327">
        <v>67.44</v>
      </c>
    </row>
    <row r="3328" spans="1:16" x14ac:dyDescent="0.25">
      <c r="A3328" t="s">
        <v>3296</v>
      </c>
      <c r="B3328" t="s">
        <v>2931</v>
      </c>
      <c r="C3328">
        <v>9546</v>
      </c>
      <c r="D3328" t="str">
        <f>"1022083478  "</f>
        <v xml:space="preserve">1022083478  </v>
      </c>
      <c r="E3328" t="s">
        <v>2778</v>
      </c>
      <c r="F3328" t="s">
        <v>931</v>
      </c>
      <c r="G3328">
        <v>306.07</v>
      </c>
      <c r="H3328">
        <v>250630</v>
      </c>
      <c r="I3328">
        <v>4572</v>
      </c>
      <c r="J3328" t="s">
        <v>173</v>
      </c>
      <c r="K3328">
        <v>2782.5</v>
      </c>
      <c r="L3328">
        <v>62.19</v>
      </c>
      <c r="M3328">
        <v>13540</v>
      </c>
      <c r="N3328" t="s">
        <v>131</v>
      </c>
      <c r="O3328">
        <v>250711</v>
      </c>
      <c r="P3328">
        <v>243.88</v>
      </c>
    </row>
    <row r="3329" spans="1:16" x14ac:dyDescent="0.25">
      <c r="A3329" t="s">
        <v>3296</v>
      </c>
      <c r="B3329" t="s">
        <v>2931</v>
      </c>
      <c r="C3329">
        <v>9546</v>
      </c>
      <c r="D3329" t="str">
        <f>"1022083478  "</f>
        <v xml:space="preserve">1022083478  </v>
      </c>
      <c r="E3329" t="s">
        <v>2778</v>
      </c>
      <c r="F3329" t="s">
        <v>931</v>
      </c>
      <c r="G3329">
        <v>2476.4299999999998</v>
      </c>
      <c r="H3329">
        <v>250630</v>
      </c>
      <c r="I3329">
        <v>4572</v>
      </c>
      <c r="J3329" t="s">
        <v>173</v>
      </c>
      <c r="K3329">
        <v>2782.5</v>
      </c>
      <c r="L3329">
        <v>503.18</v>
      </c>
      <c r="M3329">
        <v>17950</v>
      </c>
      <c r="N3329" t="s">
        <v>132</v>
      </c>
      <c r="O3329">
        <v>250711</v>
      </c>
      <c r="P3329">
        <v>1973.25</v>
      </c>
    </row>
    <row r="3330" spans="1:16" x14ac:dyDescent="0.25">
      <c r="A3330" t="s">
        <v>3296</v>
      </c>
      <c r="B3330" t="s">
        <v>2931</v>
      </c>
      <c r="C3330">
        <v>9720</v>
      </c>
      <c r="D3330" t="str">
        <f>"1022085471  "</f>
        <v xml:space="preserve">1022085471  </v>
      </c>
      <c r="E3330" t="s">
        <v>2778</v>
      </c>
      <c r="F3330" t="s">
        <v>931</v>
      </c>
      <c r="G3330">
        <v>32.53</v>
      </c>
      <c r="H3330">
        <v>250630</v>
      </c>
      <c r="I3330">
        <v>4572</v>
      </c>
      <c r="J3330" t="s">
        <v>173</v>
      </c>
      <c r="K3330">
        <v>32.53</v>
      </c>
      <c r="L3330">
        <v>6.61</v>
      </c>
      <c r="M3330">
        <v>17981</v>
      </c>
      <c r="N3330" t="s">
        <v>927</v>
      </c>
      <c r="O3330">
        <v>250725</v>
      </c>
      <c r="P3330">
        <v>25.92</v>
      </c>
    </row>
    <row r="3331" spans="1:16" x14ac:dyDescent="0.25">
      <c r="A3331" t="s">
        <v>3296</v>
      </c>
      <c r="B3331" t="s">
        <v>2931</v>
      </c>
      <c r="C3331">
        <v>9721</v>
      </c>
      <c r="D3331" t="str">
        <f>"1022087015  "</f>
        <v xml:space="preserve">1022087015  </v>
      </c>
      <c r="E3331" t="s">
        <v>2778</v>
      </c>
      <c r="F3331" t="s">
        <v>931</v>
      </c>
      <c r="G3331">
        <v>160.55000000000001</v>
      </c>
      <c r="H3331">
        <v>250630</v>
      </c>
      <c r="I3331">
        <v>4572</v>
      </c>
      <c r="J3331" t="s">
        <v>173</v>
      </c>
      <c r="K3331">
        <v>160.55000000000001</v>
      </c>
      <c r="L3331">
        <v>32.619999999999997</v>
      </c>
      <c r="M3331">
        <v>17956</v>
      </c>
      <c r="N3331" t="s">
        <v>170</v>
      </c>
      <c r="O3331">
        <v>250725</v>
      </c>
      <c r="P3331">
        <v>127.93</v>
      </c>
    </row>
    <row r="3332" spans="1:16" x14ac:dyDescent="0.25">
      <c r="A3332" t="s">
        <v>3296</v>
      </c>
      <c r="B3332" t="s">
        <v>2931</v>
      </c>
      <c r="C3332">
        <v>9723</v>
      </c>
      <c r="D3332" t="str">
        <f>"1022088147  "</f>
        <v xml:space="preserve">1022088147  </v>
      </c>
      <c r="E3332" t="s">
        <v>2778</v>
      </c>
      <c r="F3332" t="s">
        <v>931</v>
      </c>
      <c r="G3332">
        <v>25.83</v>
      </c>
      <c r="H3332">
        <v>250630</v>
      </c>
      <c r="I3332">
        <v>4572</v>
      </c>
      <c r="J3332" t="s">
        <v>173</v>
      </c>
      <c r="K3332">
        <v>25.83</v>
      </c>
      <c r="L3332">
        <v>5.25</v>
      </c>
      <c r="M3332">
        <v>17956</v>
      </c>
      <c r="N3332" t="s">
        <v>170</v>
      </c>
      <c r="O3332">
        <v>250725</v>
      </c>
      <c r="P3332">
        <v>20.58</v>
      </c>
    </row>
    <row r="3333" spans="1:16" x14ac:dyDescent="0.25">
      <c r="A3333" t="s">
        <v>3296</v>
      </c>
      <c r="B3333" t="s">
        <v>2931</v>
      </c>
      <c r="C3333">
        <v>9724</v>
      </c>
      <c r="D3333" t="str">
        <f>"1022089013  "</f>
        <v xml:space="preserve">1022089013  </v>
      </c>
      <c r="E3333" t="s">
        <v>2778</v>
      </c>
      <c r="F3333" t="s">
        <v>931</v>
      </c>
      <c r="G3333">
        <v>37.94</v>
      </c>
      <c r="H3333">
        <v>250630</v>
      </c>
      <c r="I3333">
        <v>4572</v>
      </c>
      <c r="J3333" t="s">
        <v>173</v>
      </c>
      <c r="K3333">
        <v>37.94</v>
      </c>
      <c r="L3333">
        <v>7.71</v>
      </c>
      <c r="M3333">
        <v>17956</v>
      </c>
      <c r="N3333" t="s">
        <v>170</v>
      </c>
      <c r="O3333">
        <v>250725</v>
      </c>
      <c r="P3333">
        <v>30.23</v>
      </c>
    </row>
    <row r="3334" spans="1:16" x14ac:dyDescent="0.25">
      <c r="A3334" t="s">
        <v>3296</v>
      </c>
      <c r="B3334" t="s">
        <v>2931</v>
      </c>
      <c r="C3334">
        <v>9725</v>
      </c>
      <c r="D3334" t="str">
        <f>"1022086819  "</f>
        <v xml:space="preserve">1022086819  </v>
      </c>
      <c r="E3334" t="s">
        <v>2778</v>
      </c>
      <c r="F3334" t="s">
        <v>931</v>
      </c>
      <c r="G3334">
        <v>161.74</v>
      </c>
      <c r="H3334">
        <v>250630</v>
      </c>
      <c r="I3334">
        <v>4572</v>
      </c>
      <c r="J3334" t="s">
        <v>173</v>
      </c>
      <c r="K3334">
        <v>161.74</v>
      </c>
      <c r="L3334">
        <v>32.86</v>
      </c>
      <c r="M3334">
        <v>17950</v>
      </c>
      <c r="N3334" t="s">
        <v>132</v>
      </c>
      <c r="O3334">
        <v>250725</v>
      </c>
      <c r="P3334">
        <v>128.88</v>
      </c>
    </row>
    <row r="3335" spans="1:16" x14ac:dyDescent="0.25">
      <c r="A3335" t="s">
        <v>3296</v>
      </c>
      <c r="B3335" t="s">
        <v>2931</v>
      </c>
      <c r="C3335">
        <v>9726</v>
      </c>
      <c r="D3335" t="str">
        <f>"1022089512  "</f>
        <v xml:space="preserve">1022089512  </v>
      </c>
      <c r="E3335" t="s">
        <v>2778</v>
      </c>
      <c r="F3335" t="s">
        <v>931</v>
      </c>
      <c r="G3335">
        <v>159.25</v>
      </c>
      <c r="H3335">
        <v>250630</v>
      </c>
      <c r="I3335">
        <v>4572</v>
      </c>
      <c r="J3335" t="s">
        <v>173</v>
      </c>
      <c r="K3335">
        <v>159.25</v>
      </c>
      <c r="L3335">
        <v>32.36</v>
      </c>
      <c r="M3335">
        <v>17956</v>
      </c>
      <c r="N3335" t="s">
        <v>170</v>
      </c>
      <c r="O3335">
        <v>250725</v>
      </c>
      <c r="P3335">
        <v>126.89</v>
      </c>
    </row>
    <row r="3336" spans="1:16" x14ac:dyDescent="0.25">
      <c r="A3336" t="s">
        <v>3296</v>
      </c>
      <c r="B3336" t="s">
        <v>2931</v>
      </c>
      <c r="C3336">
        <v>10003</v>
      </c>
      <c r="D3336" t="str">
        <f>"1022116937  "</f>
        <v xml:space="preserve">1022116937  </v>
      </c>
      <c r="E3336" t="s">
        <v>2778</v>
      </c>
      <c r="F3336" t="s">
        <v>931</v>
      </c>
      <c r="G3336">
        <v>1434.4</v>
      </c>
      <c r="H3336">
        <v>250731</v>
      </c>
      <c r="I3336">
        <v>4572</v>
      </c>
      <c r="J3336" t="s">
        <v>173</v>
      </c>
      <c r="K3336">
        <v>1434.4</v>
      </c>
      <c r="L3336">
        <v>291.45</v>
      </c>
      <c r="M3336">
        <v>17956</v>
      </c>
      <c r="N3336" t="s">
        <v>170</v>
      </c>
      <c r="O3336">
        <v>250806</v>
      </c>
      <c r="P3336">
        <v>1142.95</v>
      </c>
    </row>
    <row r="3337" spans="1:16" x14ac:dyDescent="0.25">
      <c r="A3337" t="s">
        <v>3296</v>
      </c>
      <c r="B3337" t="s">
        <v>2931</v>
      </c>
      <c r="C3337">
        <v>10004</v>
      </c>
      <c r="D3337" t="str">
        <f>"1022117138  "</f>
        <v xml:space="preserve">1022117138  </v>
      </c>
      <c r="E3337" t="s">
        <v>2778</v>
      </c>
      <c r="F3337" t="s">
        <v>931</v>
      </c>
      <c r="G3337">
        <v>300.55</v>
      </c>
      <c r="H3337">
        <v>250731</v>
      </c>
      <c r="I3337">
        <v>4572</v>
      </c>
      <c r="J3337" t="s">
        <v>173</v>
      </c>
      <c r="K3337">
        <v>2732.26</v>
      </c>
      <c r="L3337">
        <v>61.07</v>
      </c>
      <c r="M3337">
        <v>13540</v>
      </c>
      <c r="N3337" t="s">
        <v>131</v>
      </c>
      <c r="O3337">
        <v>250806</v>
      </c>
      <c r="P3337">
        <v>239.48</v>
      </c>
    </row>
    <row r="3338" spans="1:16" x14ac:dyDescent="0.25">
      <c r="A3338" t="s">
        <v>3296</v>
      </c>
      <c r="B3338" t="s">
        <v>2931</v>
      </c>
      <c r="C3338">
        <v>10004</v>
      </c>
      <c r="D3338" t="str">
        <f>"1022117138  "</f>
        <v xml:space="preserve">1022117138  </v>
      </c>
      <c r="E3338" t="s">
        <v>2778</v>
      </c>
      <c r="F3338" t="s">
        <v>931</v>
      </c>
      <c r="G3338">
        <v>2431.71</v>
      </c>
      <c r="H3338">
        <v>250731</v>
      </c>
      <c r="I3338">
        <v>4572</v>
      </c>
      <c r="J3338" t="s">
        <v>173</v>
      </c>
      <c r="K3338">
        <v>2732.26</v>
      </c>
      <c r="L3338">
        <v>494.09</v>
      </c>
      <c r="M3338">
        <v>17950</v>
      </c>
      <c r="N3338" t="s">
        <v>132</v>
      </c>
      <c r="O3338">
        <v>250806</v>
      </c>
      <c r="P3338">
        <v>1937.62</v>
      </c>
    </row>
    <row r="3339" spans="1:16" x14ac:dyDescent="0.25">
      <c r="A3339" t="s">
        <v>3296</v>
      </c>
      <c r="B3339" t="s">
        <v>2931</v>
      </c>
      <c r="C3339">
        <v>10005</v>
      </c>
      <c r="D3339" t="str">
        <f>"1022116913  "</f>
        <v xml:space="preserve">1022116913  </v>
      </c>
      <c r="E3339" t="s">
        <v>2778</v>
      </c>
      <c r="F3339" t="s">
        <v>931</v>
      </c>
      <c r="G3339">
        <v>2736.08</v>
      </c>
      <c r="H3339">
        <v>250731</v>
      </c>
      <c r="I3339">
        <v>4572</v>
      </c>
      <c r="J3339" t="s">
        <v>173</v>
      </c>
      <c r="K3339">
        <v>2736.08</v>
      </c>
      <c r="L3339">
        <v>555.94000000000005</v>
      </c>
      <c r="M3339">
        <v>17951</v>
      </c>
      <c r="N3339" t="s">
        <v>207</v>
      </c>
      <c r="O3339">
        <v>250806</v>
      </c>
      <c r="P3339">
        <v>2180.14</v>
      </c>
    </row>
    <row r="3340" spans="1:16" x14ac:dyDescent="0.25">
      <c r="A3340" t="s">
        <v>3296</v>
      </c>
      <c r="B3340" t="s">
        <v>2931</v>
      </c>
      <c r="C3340">
        <v>10202</v>
      </c>
      <c r="D3340" t="str">
        <f>"1022118728  "</f>
        <v xml:space="preserve">1022118728  </v>
      </c>
      <c r="E3340" t="s">
        <v>2778</v>
      </c>
      <c r="F3340" t="s">
        <v>931</v>
      </c>
      <c r="G3340">
        <v>108.51</v>
      </c>
      <c r="H3340">
        <v>250731</v>
      </c>
      <c r="I3340">
        <v>4572</v>
      </c>
      <c r="J3340" t="s">
        <v>173</v>
      </c>
      <c r="K3340">
        <v>108.51</v>
      </c>
      <c r="L3340">
        <v>22.05</v>
      </c>
      <c r="M3340">
        <v>17956</v>
      </c>
      <c r="N3340" t="s">
        <v>170</v>
      </c>
      <c r="O3340">
        <v>250813</v>
      </c>
      <c r="P3340">
        <v>86.46</v>
      </c>
    </row>
    <row r="3341" spans="1:16" x14ac:dyDescent="0.25">
      <c r="A3341" t="s">
        <v>3296</v>
      </c>
      <c r="B3341" t="s">
        <v>2931</v>
      </c>
      <c r="C3341">
        <v>10203</v>
      </c>
      <c r="D3341" t="str">
        <f>"1022119751  "</f>
        <v xml:space="preserve">1022119751  </v>
      </c>
      <c r="E3341" t="s">
        <v>2778</v>
      </c>
      <c r="F3341" t="s">
        <v>931</v>
      </c>
      <c r="G3341">
        <v>101.24</v>
      </c>
      <c r="H3341">
        <v>250731</v>
      </c>
      <c r="I3341">
        <v>4572</v>
      </c>
      <c r="J3341" t="s">
        <v>173</v>
      </c>
      <c r="K3341">
        <v>101.24</v>
      </c>
      <c r="L3341">
        <v>20.57</v>
      </c>
      <c r="M3341">
        <v>17950</v>
      </c>
      <c r="N3341" t="s">
        <v>132</v>
      </c>
      <c r="O3341">
        <v>250813</v>
      </c>
      <c r="P3341">
        <v>80.67</v>
      </c>
    </row>
    <row r="3342" spans="1:16" x14ac:dyDescent="0.25">
      <c r="A3342" t="s">
        <v>3296</v>
      </c>
      <c r="B3342" t="s">
        <v>2931</v>
      </c>
      <c r="C3342">
        <v>10204</v>
      </c>
      <c r="D3342" t="str">
        <f>"1022118349  "</f>
        <v xml:space="preserve">1022118349  </v>
      </c>
      <c r="E3342" t="s">
        <v>2778</v>
      </c>
      <c r="F3342" t="s">
        <v>931</v>
      </c>
      <c r="G3342">
        <v>136.13999999999999</v>
      </c>
      <c r="H3342">
        <v>250731</v>
      </c>
      <c r="I3342">
        <v>4572</v>
      </c>
      <c r="J3342" t="s">
        <v>173</v>
      </c>
      <c r="K3342">
        <v>136.13999999999999</v>
      </c>
      <c r="L3342">
        <v>27.66</v>
      </c>
      <c r="M3342">
        <v>17956</v>
      </c>
      <c r="N3342" t="s">
        <v>170</v>
      </c>
      <c r="O3342">
        <v>250813</v>
      </c>
      <c r="P3342">
        <v>108.48</v>
      </c>
    </row>
    <row r="3343" spans="1:16" x14ac:dyDescent="0.25">
      <c r="A3343" t="s">
        <v>3296</v>
      </c>
      <c r="B3343" t="s">
        <v>2931</v>
      </c>
      <c r="C3343">
        <v>10213</v>
      </c>
      <c r="D3343" t="str">
        <f>"1022121897  "</f>
        <v xml:space="preserve">1022121897  </v>
      </c>
      <c r="E3343" t="s">
        <v>2778</v>
      </c>
      <c r="F3343" t="s">
        <v>931</v>
      </c>
      <c r="G3343">
        <v>32.72</v>
      </c>
      <c r="H3343">
        <v>250731</v>
      </c>
      <c r="I3343">
        <v>4572</v>
      </c>
      <c r="J3343" t="s">
        <v>173</v>
      </c>
      <c r="K3343">
        <v>32.72</v>
      </c>
      <c r="L3343">
        <v>6.65</v>
      </c>
      <c r="M3343">
        <v>17981</v>
      </c>
      <c r="N3343" t="s">
        <v>927</v>
      </c>
      <c r="O3343">
        <v>250813</v>
      </c>
      <c r="P3343">
        <v>26.07</v>
      </c>
    </row>
    <row r="3344" spans="1:16" x14ac:dyDescent="0.25">
      <c r="A3344" t="s">
        <v>3296</v>
      </c>
      <c r="B3344" t="s">
        <v>2931</v>
      </c>
      <c r="C3344">
        <v>10217</v>
      </c>
      <c r="D3344" t="str">
        <f>"1022120023  "</f>
        <v xml:space="preserve">1022120023  </v>
      </c>
      <c r="E3344" t="s">
        <v>2778</v>
      </c>
      <c r="F3344" t="s">
        <v>931</v>
      </c>
      <c r="G3344">
        <v>23.72</v>
      </c>
      <c r="H3344">
        <v>250731</v>
      </c>
      <c r="I3344">
        <v>4572</v>
      </c>
      <c r="J3344" t="s">
        <v>173</v>
      </c>
      <c r="K3344">
        <v>23.72</v>
      </c>
      <c r="L3344">
        <v>4.82</v>
      </c>
      <c r="M3344">
        <v>17956</v>
      </c>
      <c r="N3344" t="s">
        <v>170</v>
      </c>
      <c r="O3344">
        <v>250813</v>
      </c>
      <c r="P3344">
        <v>18.899999999999999</v>
      </c>
    </row>
    <row r="3345" spans="1:16" x14ac:dyDescent="0.25">
      <c r="A3345" t="s">
        <v>3296</v>
      </c>
      <c r="B3345" t="s">
        <v>2931</v>
      </c>
      <c r="C3345">
        <v>10218</v>
      </c>
      <c r="D3345" t="str">
        <f>"1022121500  "</f>
        <v xml:space="preserve">1022121500  </v>
      </c>
      <c r="E3345" t="s">
        <v>2778</v>
      </c>
      <c r="F3345" t="s">
        <v>931</v>
      </c>
      <c r="G3345">
        <v>30.3</v>
      </c>
      <c r="H3345">
        <v>250731</v>
      </c>
      <c r="I3345">
        <v>4572</v>
      </c>
      <c r="J3345" t="s">
        <v>173</v>
      </c>
      <c r="K3345">
        <v>30.3</v>
      </c>
      <c r="L3345">
        <v>6.16</v>
      </c>
      <c r="M3345">
        <v>17956</v>
      </c>
      <c r="N3345" t="s">
        <v>170</v>
      </c>
      <c r="O3345">
        <v>250813</v>
      </c>
      <c r="P3345">
        <v>24.14</v>
      </c>
    </row>
    <row r="3346" spans="1:16" x14ac:dyDescent="0.25">
      <c r="A3346" t="s">
        <v>3296</v>
      </c>
      <c r="B3346" t="s">
        <v>2931</v>
      </c>
      <c r="C3346">
        <v>10311</v>
      </c>
      <c r="D3346" t="str">
        <f>"1022121496  "</f>
        <v xml:space="preserve">1022121496  </v>
      </c>
      <c r="E3346" t="s">
        <v>2778</v>
      </c>
      <c r="F3346" t="s">
        <v>931</v>
      </c>
      <c r="G3346">
        <v>48.78</v>
      </c>
      <c r="H3346">
        <v>250731</v>
      </c>
      <c r="I3346">
        <v>4572</v>
      </c>
      <c r="J3346" t="s">
        <v>173</v>
      </c>
      <c r="K3346">
        <v>48.78</v>
      </c>
      <c r="L3346">
        <v>0</v>
      </c>
      <c r="M3346">
        <v>11001</v>
      </c>
      <c r="N3346" t="s">
        <v>93</v>
      </c>
      <c r="O3346">
        <v>250814</v>
      </c>
      <c r="P3346">
        <v>48.78</v>
      </c>
    </row>
    <row r="3347" spans="1:16" x14ac:dyDescent="0.25">
      <c r="A3347" t="s">
        <v>3296</v>
      </c>
      <c r="B3347" t="s">
        <v>2931</v>
      </c>
      <c r="C3347">
        <v>11406</v>
      </c>
      <c r="D3347" t="str">
        <f>"1022150772  "</f>
        <v xml:space="preserve">1022150772  </v>
      </c>
      <c r="E3347" t="s">
        <v>2778</v>
      </c>
      <c r="F3347" t="s">
        <v>931</v>
      </c>
      <c r="G3347">
        <v>1696.85</v>
      </c>
      <c r="H3347">
        <v>250831</v>
      </c>
      <c r="I3347">
        <v>4572</v>
      </c>
      <c r="J3347" t="s">
        <v>173</v>
      </c>
      <c r="K3347">
        <v>1696.85</v>
      </c>
      <c r="L3347">
        <v>344.78</v>
      </c>
      <c r="M3347">
        <v>17956</v>
      </c>
      <c r="N3347" t="s">
        <v>170</v>
      </c>
      <c r="O3347">
        <v>250904</v>
      </c>
      <c r="P3347">
        <v>1352.07</v>
      </c>
    </row>
    <row r="3348" spans="1:16" x14ac:dyDescent="0.25">
      <c r="A3348" t="s">
        <v>3296</v>
      </c>
      <c r="B3348" t="s">
        <v>2931</v>
      </c>
      <c r="C3348">
        <v>11407</v>
      </c>
      <c r="D3348" t="str">
        <f>"1022150568  "</f>
        <v xml:space="preserve">1022150568  </v>
      </c>
      <c r="E3348" t="s">
        <v>2778</v>
      </c>
      <c r="F3348" t="s">
        <v>931</v>
      </c>
      <c r="G3348">
        <v>3397.75</v>
      </c>
      <c r="H3348">
        <v>250831</v>
      </c>
      <c r="I3348">
        <v>4572</v>
      </c>
      <c r="J3348" t="s">
        <v>173</v>
      </c>
      <c r="K3348">
        <v>3397.75</v>
      </c>
      <c r="L3348">
        <v>690.38</v>
      </c>
      <c r="M3348">
        <v>17951</v>
      </c>
      <c r="N3348" t="s">
        <v>207</v>
      </c>
      <c r="O3348">
        <v>250904</v>
      </c>
      <c r="P3348">
        <v>2707.37</v>
      </c>
    </row>
    <row r="3349" spans="1:16" x14ac:dyDescent="0.25">
      <c r="A3349" t="s">
        <v>3296</v>
      </c>
      <c r="B3349" t="s">
        <v>2931</v>
      </c>
      <c r="C3349">
        <v>11411</v>
      </c>
      <c r="D3349" t="str">
        <f>"1022150632  "</f>
        <v xml:space="preserve">1022150632  </v>
      </c>
      <c r="E3349" t="s">
        <v>2778</v>
      </c>
      <c r="F3349" t="s">
        <v>931</v>
      </c>
      <c r="G3349">
        <v>420.4</v>
      </c>
      <c r="H3349">
        <v>250831</v>
      </c>
      <c r="I3349">
        <v>4572</v>
      </c>
      <c r="J3349" t="s">
        <v>173</v>
      </c>
      <c r="K3349">
        <v>3821.78</v>
      </c>
      <c r="L3349">
        <v>85.42</v>
      </c>
      <c r="M3349">
        <v>13540</v>
      </c>
      <c r="N3349" t="s">
        <v>131</v>
      </c>
      <c r="O3349">
        <v>250904</v>
      </c>
      <c r="P3349">
        <v>334.98</v>
      </c>
    </row>
    <row r="3350" spans="1:16" x14ac:dyDescent="0.25">
      <c r="A3350" t="s">
        <v>3296</v>
      </c>
      <c r="B3350" t="s">
        <v>2931</v>
      </c>
      <c r="C3350">
        <v>11411</v>
      </c>
      <c r="D3350" t="str">
        <f>"1022150632  "</f>
        <v xml:space="preserve">1022150632  </v>
      </c>
      <c r="E3350" t="s">
        <v>2778</v>
      </c>
      <c r="F3350" t="s">
        <v>931</v>
      </c>
      <c r="G3350">
        <v>3401.38</v>
      </c>
      <c r="H3350">
        <v>250831</v>
      </c>
      <c r="I3350">
        <v>4572</v>
      </c>
      <c r="J3350" t="s">
        <v>173</v>
      </c>
      <c r="K3350">
        <v>3821.78</v>
      </c>
      <c r="L3350">
        <v>691.12</v>
      </c>
      <c r="M3350">
        <v>17950</v>
      </c>
      <c r="N3350" t="s">
        <v>132</v>
      </c>
      <c r="O3350">
        <v>250904</v>
      </c>
      <c r="P3350">
        <v>2710.26</v>
      </c>
    </row>
    <row r="3351" spans="1:16" x14ac:dyDescent="0.25">
      <c r="A3351" t="s">
        <v>3296</v>
      </c>
      <c r="B3351" t="s">
        <v>2931</v>
      </c>
      <c r="C3351">
        <v>11615</v>
      </c>
      <c r="D3351" t="str">
        <f>"1022183612  "</f>
        <v xml:space="preserve">1022183612  </v>
      </c>
      <c r="E3351" t="s">
        <v>2778</v>
      </c>
      <c r="F3351" t="s">
        <v>931</v>
      </c>
      <c r="G3351">
        <v>55.36</v>
      </c>
      <c r="H3351">
        <v>250831</v>
      </c>
      <c r="I3351">
        <v>4572</v>
      </c>
      <c r="J3351" t="s">
        <v>173</v>
      </c>
      <c r="K3351">
        <v>55.36</v>
      </c>
      <c r="L3351">
        <v>0</v>
      </c>
      <c r="M3351">
        <v>11001</v>
      </c>
      <c r="N3351" t="s">
        <v>93</v>
      </c>
      <c r="O3351">
        <v>250909</v>
      </c>
      <c r="P3351">
        <v>55.36</v>
      </c>
    </row>
    <row r="3352" spans="1:16" x14ac:dyDescent="0.25">
      <c r="A3352" t="s">
        <v>3296</v>
      </c>
      <c r="B3352" t="s">
        <v>2931</v>
      </c>
      <c r="C3352">
        <v>11715</v>
      </c>
      <c r="D3352" t="str">
        <f>"1022183636  "</f>
        <v xml:space="preserve">1022183636  </v>
      </c>
      <c r="E3352" t="s">
        <v>2778</v>
      </c>
      <c r="F3352" t="s">
        <v>931</v>
      </c>
      <c r="G3352">
        <v>33.36</v>
      </c>
      <c r="H3352">
        <v>250831</v>
      </c>
      <c r="I3352">
        <v>4572</v>
      </c>
      <c r="J3352" t="s">
        <v>173</v>
      </c>
      <c r="K3352">
        <v>33.36</v>
      </c>
      <c r="L3352">
        <v>6.78</v>
      </c>
      <c r="M3352">
        <v>17981</v>
      </c>
      <c r="N3352" t="s">
        <v>927</v>
      </c>
      <c r="O3352">
        <v>250910</v>
      </c>
      <c r="P3352">
        <v>26.58</v>
      </c>
    </row>
    <row r="3353" spans="1:16" x14ac:dyDescent="0.25">
      <c r="A3353" t="s">
        <v>3296</v>
      </c>
      <c r="B3353" t="s">
        <v>2931</v>
      </c>
      <c r="C3353">
        <v>11716</v>
      </c>
      <c r="D3353" t="str">
        <f>"1022152271  "</f>
        <v xml:space="preserve">1022152271  </v>
      </c>
      <c r="E3353" t="s">
        <v>2778</v>
      </c>
      <c r="F3353" t="s">
        <v>931</v>
      </c>
      <c r="G3353">
        <v>172.46</v>
      </c>
      <c r="H3353">
        <v>250831</v>
      </c>
      <c r="I3353">
        <v>4572</v>
      </c>
      <c r="J3353" t="s">
        <v>173</v>
      </c>
      <c r="K3353">
        <v>172.46</v>
      </c>
      <c r="L3353">
        <v>35.04</v>
      </c>
      <c r="M3353">
        <v>17956</v>
      </c>
      <c r="N3353" t="s">
        <v>170</v>
      </c>
      <c r="O3353">
        <v>250910</v>
      </c>
      <c r="P3353">
        <v>137.41999999999999</v>
      </c>
    </row>
    <row r="3354" spans="1:16" x14ac:dyDescent="0.25">
      <c r="A3354" t="s">
        <v>3296</v>
      </c>
      <c r="B3354" t="s">
        <v>2931</v>
      </c>
      <c r="C3354">
        <v>11719</v>
      </c>
      <c r="D3354" t="str">
        <f>"1022153223  "</f>
        <v xml:space="preserve">1022153223  </v>
      </c>
      <c r="E3354" t="s">
        <v>2778</v>
      </c>
      <c r="F3354" t="s">
        <v>931</v>
      </c>
      <c r="G3354">
        <v>189.24</v>
      </c>
      <c r="H3354">
        <v>250831</v>
      </c>
      <c r="I3354">
        <v>4572</v>
      </c>
      <c r="J3354" t="s">
        <v>173</v>
      </c>
      <c r="K3354">
        <v>189.24</v>
      </c>
      <c r="L3354">
        <v>38.450000000000003</v>
      </c>
      <c r="M3354">
        <v>17956</v>
      </c>
      <c r="N3354" t="s">
        <v>170</v>
      </c>
      <c r="O3354">
        <v>250910</v>
      </c>
      <c r="P3354">
        <v>150.79</v>
      </c>
    </row>
    <row r="3355" spans="1:16" x14ac:dyDescent="0.25">
      <c r="A3355" t="s">
        <v>3296</v>
      </c>
      <c r="B3355" t="s">
        <v>2931</v>
      </c>
      <c r="C3355">
        <v>11720</v>
      </c>
      <c r="D3355" t="str">
        <f>"1022152468  "</f>
        <v xml:space="preserve">1022152468  </v>
      </c>
      <c r="E3355" t="s">
        <v>2778</v>
      </c>
      <c r="F3355" t="s">
        <v>931</v>
      </c>
      <c r="G3355">
        <v>145.24</v>
      </c>
      <c r="H3355">
        <v>250831</v>
      </c>
      <c r="I3355">
        <v>4572</v>
      </c>
      <c r="J3355" t="s">
        <v>173</v>
      </c>
      <c r="K3355">
        <v>145.24</v>
      </c>
      <c r="L3355">
        <v>29.51</v>
      </c>
      <c r="M3355">
        <v>17950</v>
      </c>
      <c r="N3355" t="s">
        <v>132</v>
      </c>
      <c r="O3355">
        <v>250910</v>
      </c>
      <c r="P3355">
        <v>115.73</v>
      </c>
    </row>
    <row r="3356" spans="1:16" x14ac:dyDescent="0.25">
      <c r="A3356" t="s">
        <v>3296</v>
      </c>
      <c r="B3356" t="s">
        <v>2931</v>
      </c>
      <c r="C3356">
        <v>11721</v>
      </c>
      <c r="D3356" t="str">
        <f>"1022153613  "</f>
        <v xml:space="preserve">1022153613  </v>
      </c>
      <c r="E3356" t="s">
        <v>2778</v>
      </c>
      <c r="F3356" t="s">
        <v>931</v>
      </c>
      <c r="G3356">
        <v>40.5</v>
      </c>
      <c r="H3356">
        <v>250831</v>
      </c>
      <c r="I3356">
        <v>4572</v>
      </c>
      <c r="J3356" t="s">
        <v>173</v>
      </c>
      <c r="K3356">
        <v>40.5</v>
      </c>
      <c r="L3356">
        <v>8.23</v>
      </c>
      <c r="M3356">
        <v>17956</v>
      </c>
      <c r="N3356" t="s">
        <v>170</v>
      </c>
      <c r="O3356">
        <v>250910</v>
      </c>
      <c r="P3356">
        <v>32.270000000000003</v>
      </c>
    </row>
    <row r="3357" spans="1:16" x14ac:dyDescent="0.25">
      <c r="A3357" t="s">
        <v>3296</v>
      </c>
      <c r="B3357" t="s">
        <v>2931</v>
      </c>
      <c r="C3357">
        <v>11722</v>
      </c>
      <c r="D3357" t="str">
        <f>"1022154458  "</f>
        <v xml:space="preserve">1022154458  </v>
      </c>
      <c r="E3357" t="s">
        <v>2778</v>
      </c>
      <c r="F3357" t="s">
        <v>931</v>
      </c>
      <c r="G3357">
        <v>37.65</v>
      </c>
      <c r="H3357">
        <v>250831</v>
      </c>
      <c r="I3357">
        <v>4572</v>
      </c>
      <c r="J3357" t="s">
        <v>173</v>
      </c>
      <c r="K3357">
        <v>37.65</v>
      </c>
      <c r="L3357">
        <v>7.65</v>
      </c>
      <c r="M3357">
        <v>17956</v>
      </c>
      <c r="N3357" t="s">
        <v>170</v>
      </c>
      <c r="O3357">
        <v>250910</v>
      </c>
      <c r="P3357">
        <v>30</v>
      </c>
    </row>
    <row r="3358" spans="1:16" x14ac:dyDescent="0.25">
      <c r="A3358" t="s">
        <v>3296</v>
      </c>
      <c r="B3358" t="s">
        <v>2931</v>
      </c>
      <c r="C3358">
        <v>13175</v>
      </c>
      <c r="D3358" t="str">
        <f>"1022184231  "</f>
        <v xml:space="preserve">1022184231  </v>
      </c>
      <c r="E3358" t="s">
        <v>2778</v>
      </c>
      <c r="F3358" t="s">
        <v>931</v>
      </c>
      <c r="G3358">
        <v>1841.41</v>
      </c>
      <c r="H3358">
        <v>250930</v>
      </c>
      <c r="I3358">
        <v>4572</v>
      </c>
      <c r="J3358" t="s">
        <v>173</v>
      </c>
      <c r="K3358">
        <v>1841.41</v>
      </c>
      <c r="L3358">
        <v>374.15</v>
      </c>
      <c r="M3358">
        <v>17956</v>
      </c>
      <c r="N3358" t="s">
        <v>170</v>
      </c>
      <c r="O3358">
        <v>251006</v>
      </c>
      <c r="P3358">
        <v>1467.26</v>
      </c>
    </row>
    <row r="3359" spans="1:16" x14ac:dyDescent="0.25">
      <c r="A3359" t="s">
        <v>3296</v>
      </c>
      <c r="B3359" t="s">
        <v>2931</v>
      </c>
      <c r="C3359">
        <v>13177</v>
      </c>
      <c r="D3359" t="str">
        <f>"1022184374  "</f>
        <v xml:space="preserve">1022184374  </v>
      </c>
      <c r="E3359" t="s">
        <v>2778</v>
      </c>
      <c r="F3359" t="s">
        <v>931</v>
      </c>
      <c r="G3359">
        <v>469.01</v>
      </c>
      <c r="H3359">
        <v>250930</v>
      </c>
      <c r="I3359">
        <v>4572</v>
      </c>
      <c r="J3359" t="s">
        <v>173</v>
      </c>
      <c r="K3359">
        <v>4263.71</v>
      </c>
      <c r="L3359">
        <v>95.3</v>
      </c>
      <c r="M3359">
        <v>13540</v>
      </c>
      <c r="N3359" t="s">
        <v>131</v>
      </c>
      <c r="O3359">
        <v>251006</v>
      </c>
      <c r="P3359">
        <v>373.71</v>
      </c>
    </row>
    <row r="3360" spans="1:16" x14ac:dyDescent="0.25">
      <c r="A3360" t="s">
        <v>3296</v>
      </c>
      <c r="B3360" t="s">
        <v>2931</v>
      </c>
      <c r="C3360">
        <v>13177</v>
      </c>
      <c r="D3360" t="str">
        <f>"1022184374  "</f>
        <v xml:space="preserve">1022184374  </v>
      </c>
      <c r="E3360" t="s">
        <v>2778</v>
      </c>
      <c r="F3360" t="s">
        <v>931</v>
      </c>
      <c r="G3360">
        <v>3794.7</v>
      </c>
      <c r="H3360">
        <v>250930</v>
      </c>
      <c r="I3360">
        <v>4572</v>
      </c>
      <c r="J3360" t="s">
        <v>173</v>
      </c>
      <c r="K3360">
        <v>4263.71</v>
      </c>
      <c r="L3360">
        <v>771.03</v>
      </c>
      <c r="M3360">
        <v>17950</v>
      </c>
      <c r="N3360" t="s">
        <v>132</v>
      </c>
      <c r="O3360">
        <v>251006</v>
      </c>
      <c r="P3360">
        <v>3023.67</v>
      </c>
    </row>
    <row r="3361" spans="1:16" x14ac:dyDescent="0.25">
      <c r="A3361" t="s">
        <v>3296</v>
      </c>
      <c r="B3361" t="s">
        <v>2931</v>
      </c>
      <c r="C3361">
        <v>13179</v>
      </c>
      <c r="D3361" t="str">
        <f>"1022184069  "</f>
        <v xml:space="preserve">1022184069  </v>
      </c>
      <c r="E3361" t="s">
        <v>2778</v>
      </c>
      <c r="F3361" t="s">
        <v>931</v>
      </c>
      <c r="G3361">
        <v>3647.59</v>
      </c>
      <c r="H3361">
        <v>250930</v>
      </c>
      <c r="I3361">
        <v>4572</v>
      </c>
      <c r="J3361" t="s">
        <v>173</v>
      </c>
      <c r="K3361">
        <v>3647.59</v>
      </c>
      <c r="L3361">
        <v>741.14</v>
      </c>
      <c r="M3361">
        <v>17951</v>
      </c>
      <c r="N3361" t="s">
        <v>207</v>
      </c>
      <c r="O3361">
        <v>251006</v>
      </c>
      <c r="P3361">
        <v>2906.45</v>
      </c>
    </row>
    <row r="3362" spans="1:16" x14ac:dyDescent="0.25">
      <c r="A3362" t="s">
        <v>3296</v>
      </c>
      <c r="B3362" t="s">
        <v>2931</v>
      </c>
      <c r="C3362">
        <v>13522</v>
      </c>
      <c r="D3362" t="str">
        <f>"1022187423  "</f>
        <v xml:space="preserve">1022187423  </v>
      </c>
      <c r="E3362" t="s">
        <v>2778</v>
      </c>
      <c r="F3362" t="s">
        <v>931</v>
      </c>
      <c r="G3362">
        <v>41.8</v>
      </c>
      <c r="H3362">
        <v>250930</v>
      </c>
      <c r="I3362">
        <v>4572</v>
      </c>
      <c r="J3362" t="s">
        <v>173</v>
      </c>
      <c r="K3362">
        <v>41.8</v>
      </c>
      <c r="L3362">
        <v>8.49</v>
      </c>
      <c r="M3362">
        <v>17956</v>
      </c>
      <c r="N3362" t="s">
        <v>170</v>
      </c>
      <c r="O3362">
        <v>251010</v>
      </c>
      <c r="P3362">
        <v>33.31</v>
      </c>
    </row>
    <row r="3363" spans="1:16" x14ac:dyDescent="0.25">
      <c r="A3363" t="s">
        <v>3296</v>
      </c>
      <c r="B3363" t="s">
        <v>2931</v>
      </c>
      <c r="C3363">
        <v>13524</v>
      </c>
      <c r="D3363" t="str">
        <f>"1022189063  "</f>
        <v xml:space="preserve">1022189063  </v>
      </c>
      <c r="E3363" t="s">
        <v>2778</v>
      </c>
      <c r="F3363" t="s">
        <v>931</v>
      </c>
      <c r="G3363">
        <v>195.34</v>
      </c>
      <c r="H3363">
        <v>250930</v>
      </c>
      <c r="I3363">
        <v>4572</v>
      </c>
      <c r="J3363" t="s">
        <v>173</v>
      </c>
      <c r="K3363">
        <v>195.34</v>
      </c>
      <c r="L3363">
        <v>39.69</v>
      </c>
      <c r="M3363">
        <v>17956</v>
      </c>
      <c r="N3363" t="s">
        <v>170</v>
      </c>
      <c r="O3363">
        <v>251010</v>
      </c>
      <c r="P3363">
        <v>155.65</v>
      </c>
    </row>
    <row r="3364" spans="1:16" x14ac:dyDescent="0.25">
      <c r="A3364" t="s">
        <v>3296</v>
      </c>
      <c r="B3364" t="s">
        <v>2931</v>
      </c>
      <c r="C3364">
        <v>13547</v>
      </c>
      <c r="D3364" t="str">
        <f>"1022189236  "</f>
        <v xml:space="preserve">1022189236  </v>
      </c>
      <c r="E3364" t="s">
        <v>2778</v>
      </c>
      <c r="F3364" t="s">
        <v>931</v>
      </c>
      <c r="G3364">
        <v>50.35</v>
      </c>
      <c r="H3364">
        <v>250930</v>
      </c>
      <c r="I3364">
        <v>4572</v>
      </c>
      <c r="J3364" t="s">
        <v>173</v>
      </c>
      <c r="K3364">
        <v>50.35</v>
      </c>
      <c r="L3364">
        <v>10.23</v>
      </c>
      <c r="M3364">
        <v>17956</v>
      </c>
      <c r="N3364" t="s">
        <v>170</v>
      </c>
      <c r="O3364">
        <v>251010</v>
      </c>
      <c r="P3364">
        <v>40.119999999999997</v>
      </c>
    </row>
    <row r="3365" spans="1:16" x14ac:dyDescent="0.25">
      <c r="A3365" t="s">
        <v>3296</v>
      </c>
      <c r="B3365" t="s">
        <v>2931</v>
      </c>
      <c r="C3365">
        <v>13598</v>
      </c>
      <c r="D3365" t="str">
        <f>"1022189489  "</f>
        <v xml:space="preserve">1022189489  </v>
      </c>
      <c r="E3365" t="s">
        <v>2778</v>
      </c>
      <c r="F3365" t="s">
        <v>931</v>
      </c>
      <c r="G3365">
        <v>251.63</v>
      </c>
      <c r="H3365">
        <v>250930</v>
      </c>
      <c r="I3365">
        <v>4572</v>
      </c>
      <c r="J3365" t="s">
        <v>173</v>
      </c>
      <c r="K3365">
        <v>251.63</v>
      </c>
      <c r="L3365">
        <v>51.13</v>
      </c>
      <c r="M3365">
        <v>17956</v>
      </c>
      <c r="N3365" t="s">
        <v>170</v>
      </c>
      <c r="O3365">
        <v>251013</v>
      </c>
      <c r="P3365">
        <v>200.5</v>
      </c>
    </row>
    <row r="3366" spans="1:16" x14ac:dyDescent="0.25">
      <c r="A3366" t="s">
        <v>3296</v>
      </c>
      <c r="B3366" t="s">
        <v>2931</v>
      </c>
      <c r="C3366">
        <v>13635</v>
      </c>
      <c r="D3366" t="str">
        <f>"1022188990  "</f>
        <v xml:space="preserve">1022188990  </v>
      </c>
      <c r="E3366" t="s">
        <v>2778</v>
      </c>
      <c r="F3366" t="s">
        <v>931</v>
      </c>
      <c r="G3366">
        <v>36.369999999999997</v>
      </c>
      <c r="H3366">
        <v>250930</v>
      </c>
      <c r="I3366">
        <v>4572</v>
      </c>
      <c r="J3366" t="s">
        <v>173</v>
      </c>
      <c r="K3366">
        <v>36.369999999999997</v>
      </c>
      <c r="L3366">
        <v>7.39</v>
      </c>
      <c r="M3366">
        <v>17981</v>
      </c>
      <c r="N3366" t="s">
        <v>927</v>
      </c>
      <c r="O3366">
        <v>251013</v>
      </c>
      <c r="P3366">
        <v>28.98</v>
      </c>
    </row>
    <row r="3367" spans="1:16" x14ac:dyDescent="0.25">
      <c r="A3367" t="s">
        <v>3296</v>
      </c>
      <c r="B3367" t="s">
        <v>2931</v>
      </c>
      <c r="C3367">
        <v>13636</v>
      </c>
      <c r="D3367" t="str">
        <f>"1022217407  "</f>
        <v xml:space="preserve">1022217407  </v>
      </c>
      <c r="E3367" t="s">
        <v>2778</v>
      </c>
      <c r="F3367" t="s">
        <v>931</v>
      </c>
      <c r="G3367">
        <v>59.16</v>
      </c>
      <c r="H3367">
        <v>250930</v>
      </c>
      <c r="I3367">
        <v>4572</v>
      </c>
      <c r="J3367" t="s">
        <v>173</v>
      </c>
      <c r="K3367">
        <v>59.16</v>
      </c>
      <c r="L3367">
        <v>0</v>
      </c>
      <c r="M3367">
        <v>11001</v>
      </c>
      <c r="N3367" t="s">
        <v>93</v>
      </c>
      <c r="O3367">
        <v>251013</v>
      </c>
      <c r="P3367">
        <v>59.16</v>
      </c>
    </row>
    <row r="3368" spans="1:16" x14ac:dyDescent="0.25">
      <c r="A3368" t="s">
        <v>3296</v>
      </c>
      <c r="B3368" t="s">
        <v>2931</v>
      </c>
      <c r="C3368">
        <v>13683</v>
      </c>
      <c r="D3368" t="str">
        <f>"1022189293  "</f>
        <v xml:space="preserve">1022189293  </v>
      </c>
      <c r="E3368" t="s">
        <v>2778</v>
      </c>
      <c r="F3368" t="s">
        <v>931</v>
      </c>
      <c r="G3368">
        <v>192.69</v>
      </c>
      <c r="H3368">
        <v>250930</v>
      </c>
      <c r="I3368">
        <v>4572</v>
      </c>
      <c r="J3368" t="s">
        <v>173</v>
      </c>
      <c r="K3368">
        <v>192.69</v>
      </c>
      <c r="L3368">
        <v>39.15</v>
      </c>
      <c r="M3368">
        <v>17950</v>
      </c>
      <c r="N3368" t="s">
        <v>132</v>
      </c>
      <c r="O3368">
        <v>251013</v>
      </c>
      <c r="P3368">
        <v>153.54</v>
      </c>
    </row>
    <row r="3369" spans="1:16" x14ac:dyDescent="0.25">
      <c r="A3369" t="s">
        <v>3296</v>
      </c>
      <c r="B3369" t="s">
        <v>2931</v>
      </c>
      <c r="C3369">
        <v>15006</v>
      </c>
      <c r="D3369" t="str">
        <f>"7250111412  "</f>
        <v xml:space="preserve">7250111412  </v>
      </c>
      <c r="E3369" t="s">
        <v>2778</v>
      </c>
      <c r="F3369" t="s">
        <v>931</v>
      </c>
      <c r="G3369">
        <v>50.53</v>
      </c>
      <c r="H3369">
        <v>251031</v>
      </c>
      <c r="I3369">
        <v>4572</v>
      </c>
      <c r="J3369" t="s">
        <v>173</v>
      </c>
      <c r="K3369">
        <v>50.53</v>
      </c>
      <c r="L3369">
        <v>10.27</v>
      </c>
      <c r="M3369">
        <v>17956</v>
      </c>
      <c r="N3369" t="s">
        <v>170</v>
      </c>
      <c r="O3369">
        <v>251110</v>
      </c>
      <c r="P3369">
        <v>40.26</v>
      </c>
    </row>
    <row r="3370" spans="1:16" x14ac:dyDescent="0.25">
      <c r="A3370" t="s">
        <v>3296</v>
      </c>
      <c r="B3370" t="s">
        <v>2931</v>
      </c>
      <c r="C3370">
        <v>15007</v>
      </c>
      <c r="D3370" t="str">
        <f>"7250102418  "</f>
        <v xml:space="preserve">7250102418  </v>
      </c>
      <c r="E3370" t="s">
        <v>2778</v>
      </c>
      <c r="F3370" t="s">
        <v>931</v>
      </c>
      <c r="G3370">
        <v>269.01</v>
      </c>
      <c r="H3370">
        <v>251031</v>
      </c>
      <c r="I3370">
        <v>4572</v>
      </c>
      <c r="J3370" t="s">
        <v>173</v>
      </c>
      <c r="K3370">
        <v>269.01</v>
      </c>
      <c r="L3370">
        <v>54.66</v>
      </c>
      <c r="M3370">
        <v>17956</v>
      </c>
      <c r="N3370" t="s">
        <v>170</v>
      </c>
      <c r="O3370">
        <v>251110</v>
      </c>
      <c r="P3370">
        <v>214.35</v>
      </c>
    </row>
    <row r="3371" spans="1:16" x14ac:dyDescent="0.25">
      <c r="A3371" t="s">
        <v>3296</v>
      </c>
      <c r="B3371" t="s">
        <v>2931</v>
      </c>
      <c r="C3371">
        <v>15010</v>
      </c>
      <c r="D3371" t="str">
        <f>"7250094526  "</f>
        <v xml:space="preserve">7250094526  </v>
      </c>
      <c r="E3371" t="s">
        <v>2778</v>
      </c>
      <c r="F3371" t="s">
        <v>931</v>
      </c>
      <c r="G3371">
        <v>2119.34</v>
      </c>
      <c r="H3371">
        <v>251031</v>
      </c>
      <c r="I3371">
        <v>4572</v>
      </c>
      <c r="J3371" t="s">
        <v>173</v>
      </c>
      <c r="K3371">
        <v>2119.34</v>
      </c>
      <c r="L3371">
        <v>430.62</v>
      </c>
      <c r="M3371">
        <v>17956</v>
      </c>
      <c r="N3371" t="s">
        <v>170</v>
      </c>
      <c r="O3371">
        <v>251110</v>
      </c>
      <c r="P3371">
        <v>1688.72</v>
      </c>
    </row>
    <row r="3372" spans="1:16" x14ac:dyDescent="0.25">
      <c r="A3372" t="s">
        <v>3296</v>
      </c>
      <c r="B3372" t="s">
        <v>2931</v>
      </c>
      <c r="C3372">
        <v>15011</v>
      </c>
      <c r="D3372" t="str">
        <f>"7250102421  "</f>
        <v xml:space="preserve">7250102421  </v>
      </c>
      <c r="E3372" t="s">
        <v>2778</v>
      </c>
      <c r="F3372" t="s">
        <v>931</v>
      </c>
      <c r="G3372">
        <v>207.29</v>
      </c>
      <c r="H3372">
        <v>251030</v>
      </c>
      <c r="I3372">
        <v>4572</v>
      </c>
      <c r="J3372" t="s">
        <v>173</v>
      </c>
      <c r="K3372">
        <v>207.29</v>
      </c>
      <c r="L3372">
        <v>42.12</v>
      </c>
      <c r="M3372">
        <v>17956</v>
      </c>
      <c r="N3372" t="s">
        <v>170</v>
      </c>
      <c r="O3372">
        <v>251110</v>
      </c>
      <c r="P3372">
        <v>165.17</v>
      </c>
    </row>
    <row r="3373" spans="1:16" x14ac:dyDescent="0.25">
      <c r="A3373" t="s">
        <v>3296</v>
      </c>
      <c r="B3373" t="s">
        <v>2931</v>
      </c>
      <c r="C3373">
        <v>15012</v>
      </c>
      <c r="D3373" t="str">
        <f>"7250102285  "</f>
        <v xml:space="preserve">7250102285  </v>
      </c>
      <c r="E3373" t="s">
        <v>2778</v>
      </c>
      <c r="F3373" t="s">
        <v>931</v>
      </c>
      <c r="G3373">
        <v>373.74</v>
      </c>
      <c r="H3373">
        <v>251030</v>
      </c>
      <c r="I3373">
        <v>4572</v>
      </c>
      <c r="J3373" t="s">
        <v>173</v>
      </c>
      <c r="K3373">
        <v>373.74</v>
      </c>
      <c r="L3373">
        <v>75.94</v>
      </c>
      <c r="M3373">
        <v>17950</v>
      </c>
      <c r="N3373" t="s">
        <v>132</v>
      </c>
      <c r="O3373">
        <v>251110</v>
      </c>
      <c r="P3373">
        <v>297.8</v>
      </c>
    </row>
    <row r="3374" spans="1:16" x14ac:dyDescent="0.25">
      <c r="A3374" t="s">
        <v>3296</v>
      </c>
      <c r="B3374" t="s">
        <v>2931</v>
      </c>
      <c r="C3374">
        <v>15013</v>
      </c>
      <c r="D3374" t="str">
        <f>"7250105321  "</f>
        <v xml:space="preserve">7250105321  </v>
      </c>
      <c r="E3374" t="s">
        <v>2778</v>
      </c>
      <c r="F3374" t="s">
        <v>931</v>
      </c>
      <c r="G3374">
        <v>39.47</v>
      </c>
      <c r="H3374">
        <v>251030</v>
      </c>
      <c r="I3374">
        <v>4572</v>
      </c>
      <c r="J3374" t="s">
        <v>173</v>
      </c>
      <c r="K3374">
        <v>39.47</v>
      </c>
      <c r="L3374">
        <v>8.02</v>
      </c>
      <c r="M3374">
        <v>17981</v>
      </c>
      <c r="N3374" t="s">
        <v>927</v>
      </c>
      <c r="O3374">
        <v>251110</v>
      </c>
      <c r="P3374">
        <v>31.45</v>
      </c>
    </row>
    <row r="3375" spans="1:16" x14ac:dyDescent="0.25">
      <c r="A3375" t="s">
        <v>3296</v>
      </c>
      <c r="B3375" t="s">
        <v>2931</v>
      </c>
      <c r="C3375">
        <v>15015</v>
      </c>
      <c r="D3375" t="str">
        <f>"7250111409  "</f>
        <v xml:space="preserve">7250111409  </v>
      </c>
      <c r="E3375" t="s">
        <v>2778</v>
      </c>
      <c r="F3375" t="s">
        <v>931</v>
      </c>
      <c r="G3375">
        <v>39.770000000000003</v>
      </c>
      <c r="H3375">
        <v>251031</v>
      </c>
      <c r="I3375">
        <v>4572</v>
      </c>
      <c r="J3375" t="s">
        <v>173</v>
      </c>
      <c r="K3375">
        <v>39.770000000000003</v>
      </c>
      <c r="L3375">
        <v>8.08</v>
      </c>
      <c r="M3375">
        <v>17956</v>
      </c>
      <c r="N3375" t="s">
        <v>170</v>
      </c>
      <c r="O3375">
        <v>251110</v>
      </c>
      <c r="P3375">
        <v>31.69</v>
      </c>
    </row>
    <row r="3376" spans="1:16" x14ac:dyDescent="0.25">
      <c r="A3376" t="s">
        <v>3296</v>
      </c>
      <c r="B3376" t="s">
        <v>2931</v>
      </c>
      <c r="C3376">
        <v>15021</v>
      </c>
      <c r="D3376" t="str">
        <f>"7250113795  "</f>
        <v xml:space="preserve">7250113795  </v>
      </c>
      <c r="E3376" t="s">
        <v>2778</v>
      </c>
      <c r="F3376" t="s">
        <v>931</v>
      </c>
      <c r="G3376">
        <v>3519.32</v>
      </c>
      <c r="H3376">
        <v>251031</v>
      </c>
      <c r="I3376">
        <v>4572</v>
      </c>
      <c r="J3376" t="s">
        <v>173</v>
      </c>
      <c r="K3376">
        <v>3519.32</v>
      </c>
      <c r="L3376">
        <v>715.08</v>
      </c>
      <c r="M3376">
        <v>17951</v>
      </c>
      <c r="N3376" t="s">
        <v>207</v>
      </c>
      <c r="O3376">
        <v>251110</v>
      </c>
      <c r="P3376">
        <v>2804.24</v>
      </c>
    </row>
    <row r="3377" spans="1:16" x14ac:dyDescent="0.25">
      <c r="A3377" t="s">
        <v>3296</v>
      </c>
      <c r="B3377" t="s">
        <v>2931</v>
      </c>
      <c r="C3377">
        <v>15103</v>
      </c>
      <c r="D3377" t="str">
        <f>"7250102544  "</f>
        <v xml:space="preserve">7250102544  </v>
      </c>
      <c r="E3377" t="s">
        <v>2778</v>
      </c>
      <c r="F3377" t="s">
        <v>931</v>
      </c>
      <c r="G3377">
        <v>475</v>
      </c>
      <c r="H3377">
        <v>251030</v>
      </c>
      <c r="I3377">
        <v>4572</v>
      </c>
      <c r="J3377" t="s">
        <v>173</v>
      </c>
      <c r="K3377">
        <v>4318.17</v>
      </c>
      <c r="L3377">
        <v>96.51</v>
      </c>
      <c r="M3377">
        <v>13540</v>
      </c>
      <c r="N3377" t="s">
        <v>131</v>
      </c>
      <c r="O3377">
        <v>251111</v>
      </c>
      <c r="P3377">
        <v>378.49</v>
      </c>
    </row>
    <row r="3378" spans="1:16" x14ac:dyDescent="0.25">
      <c r="A3378" t="s">
        <v>3296</v>
      </c>
      <c r="B3378" t="s">
        <v>2931</v>
      </c>
      <c r="C3378">
        <v>15103</v>
      </c>
      <c r="D3378" t="str">
        <f>"7250102544  "</f>
        <v xml:space="preserve">7250102544  </v>
      </c>
      <c r="E3378" t="s">
        <v>2778</v>
      </c>
      <c r="F3378" t="s">
        <v>931</v>
      </c>
      <c r="G3378">
        <v>3843.17</v>
      </c>
      <c r="H3378">
        <v>251030</v>
      </c>
      <c r="I3378">
        <v>4572</v>
      </c>
      <c r="J3378" t="s">
        <v>173</v>
      </c>
      <c r="K3378">
        <v>4318.17</v>
      </c>
      <c r="L3378">
        <v>780.88</v>
      </c>
      <c r="M3378">
        <v>17950</v>
      </c>
      <c r="N3378" t="s">
        <v>132</v>
      </c>
      <c r="O3378">
        <v>251111</v>
      </c>
      <c r="P3378">
        <v>3062.29</v>
      </c>
    </row>
    <row r="3379" spans="1:16" x14ac:dyDescent="0.25">
      <c r="A3379" t="s">
        <v>3296</v>
      </c>
      <c r="B3379" t="s">
        <v>2931</v>
      </c>
      <c r="C3379">
        <v>15163</v>
      </c>
      <c r="D3379" t="str">
        <f>"7250091260  "</f>
        <v xml:space="preserve">7250091260  </v>
      </c>
      <c r="E3379" t="s">
        <v>2778</v>
      </c>
      <c r="F3379" t="s">
        <v>931</v>
      </c>
      <c r="G3379">
        <v>52.9</v>
      </c>
      <c r="H3379">
        <v>251031</v>
      </c>
      <c r="I3379">
        <v>4572</v>
      </c>
      <c r="J3379" t="s">
        <v>173</v>
      </c>
      <c r="K3379">
        <v>52.9</v>
      </c>
      <c r="L3379">
        <v>0</v>
      </c>
      <c r="M3379">
        <v>11001</v>
      </c>
      <c r="N3379" t="s">
        <v>93</v>
      </c>
      <c r="O3379">
        <v>251113</v>
      </c>
      <c r="P3379">
        <v>52.9</v>
      </c>
    </row>
    <row r="3380" spans="1:16" x14ac:dyDescent="0.25">
      <c r="A3380" t="s">
        <v>3296</v>
      </c>
      <c r="B3380" t="s">
        <v>2931</v>
      </c>
      <c r="C3380">
        <v>16366</v>
      </c>
      <c r="D3380" t="str">
        <f>"7250528568  "</f>
        <v xml:space="preserve">7250528568  </v>
      </c>
      <c r="E3380" t="s">
        <v>2778</v>
      </c>
      <c r="F3380" t="s">
        <v>931</v>
      </c>
      <c r="G3380">
        <v>265.45999999999998</v>
      </c>
      <c r="H3380">
        <v>251130</v>
      </c>
      <c r="I3380">
        <v>4572</v>
      </c>
      <c r="J3380" t="s">
        <v>173</v>
      </c>
      <c r="K3380">
        <v>265.45999999999998</v>
      </c>
      <c r="L3380">
        <v>53.94</v>
      </c>
      <c r="M3380">
        <v>17956</v>
      </c>
      <c r="N3380" t="s">
        <v>170</v>
      </c>
      <c r="O3380">
        <v>251208</v>
      </c>
      <c r="P3380">
        <v>211.52</v>
      </c>
    </row>
    <row r="3381" spans="1:16" x14ac:dyDescent="0.25">
      <c r="A3381" t="s">
        <v>3296</v>
      </c>
      <c r="B3381" t="s">
        <v>2931</v>
      </c>
      <c r="C3381">
        <v>16369</v>
      </c>
      <c r="D3381" t="str">
        <f>"7250555120  "</f>
        <v xml:space="preserve">7250555120  </v>
      </c>
      <c r="E3381" t="s">
        <v>2778</v>
      </c>
      <c r="F3381" t="s">
        <v>931</v>
      </c>
      <c r="G3381">
        <v>39.97</v>
      </c>
      <c r="H3381">
        <v>251130</v>
      </c>
      <c r="I3381">
        <v>4572</v>
      </c>
      <c r="J3381" t="s">
        <v>173</v>
      </c>
      <c r="K3381">
        <v>39.97</v>
      </c>
      <c r="L3381">
        <v>8.1199999999999992</v>
      </c>
      <c r="M3381">
        <v>17981</v>
      </c>
      <c r="N3381" t="s">
        <v>927</v>
      </c>
      <c r="O3381">
        <v>251208</v>
      </c>
      <c r="P3381">
        <v>31.85</v>
      </c>
    </row>
    <row r="3382" spans="1:16" x14ac:dyDescent="0.25">
      <c r="A3382" t="s">
        <v>3296</v>
      </c>
      <c r="B3382" t="s">
        <v>2931</v>
      </c>
      <c r="C3382">
        <v>16370</v>
      </c>
      <c r="D3382" t="str">
        <f>"7250455071  "</f>
        <v xml:space="preserve">7250455071  </v>
      </c>
      <c r="E3382" t="s">
        <v>2778</v>
      </c>
      <c r="F3382" t="s">
        <v>931</v>
      </c>
      <c r="G3382">
        <v>2495.4299999999998</v>
      </c>
      <c r="H3382">
        <v>251130</v>
      </c>
      <c r="I3382">
        <v>4572</v>
      </c>
      <c r="J3382" t="s">
        <v>173</v>
      </c>
      <c r="K3382">
        <v>2495.4299999999998</v>
      </c>
      <c r="L3382">
        <v>507.04</v>
      </c>
      <c r="M3382">
        <v>17956</v>
      </c>
      <c r="N3382" t="s">
        <v>170</v>
      </c>
      <c r="O3382">
        <v>251208</v>
      </c>
      <c r="P3382">
        <v>1988.39</v>
      </c>
    </row>
    <row r="3383" spans="1:16" x14ac:dyDescent="0.25">
      <c r="A3383" t="s">
        <v>3296</v>
      </c>
      <c r="B3383" t="s">
        <v>2931</v>
      </c>
      <c r="C3383">
        <v>16372</v>
      </c>
      <c r="D3383" t="str">
        <f>"7250614139  "</f>
        <v xml:space="preserve">7250614139  </v>
      </c>
      <c r="E3383" t="s">
        <v>2778</v>
      </c>
      <c r="F3383" t="s">
        <v>931</v>
      </c>
      <c r="G3383">
        <v>45.21</v>
      </c>
      <c r="H3383">
        <v>251130</v>
      </c>
      <c r="I3383">
        <v>4572</v>
      </c>
      <c r="J3383" t="s">
        <v>173</v>
      </c>
      <c r="K3383">
        <v>45.21</v>
      </c>
      <c r="L3383">
        <v>9.19</v>
      </c>
      <c r="M3383">
        <v>17956</v>
      </c>
      <c r="N3383" t="s">
        <v>170</v>
      </c>
      <c r="O3383">
        <v>251208</v>
      </c>
      <c r="P3383">
        <v>36.020000000000003</v>
      </c>
    </row>
    <row r="3384" spans="1:16" x14ac:dyDescent="0.25">
      <c r="A3384" t="s">
        <v>3296</v>
      </c>
      <c r="B3384" t="s">
        <v>2931</v>
      </c>
      <c r="C3384">
        <v>16374</v>
      </c>
      <c r="D3384" t="str">
        <f>"7250640242  "</f>
        <v xml:space="preserve">7250640242  </v>
      </c>
      <c r="E3384" t="s">
        <v>2778</v>
      </c>
      <c r="F3384" t="s">
        <v>931</v>
      </c>
      <c r="G3384">
        <v>4702.3999999999996</v>
      </c>
      <c r="H3384">
        <v>251130</v>
      </c>
      <c r="I3384">
        <v>4572</v>
      </c>
      <c r="J3384" t="s">
        <v>173</v>
      </c>
      <c r="K3384">
        <v>4702.3999999999996</v>
      </c>
      <c r="L3384">
        <v>955.47</v>
      </c>
      <c r="M3384">
        <v>17951</v>
      </c>
      <c r="N3384" t="s">
        <v>207</v>
      </c>
      <c r="O3384">
        <v>251208</v>
      </c>
      <c r="P3384">
        <v>3746.93</v>
      </c>
    </row>
    <row r="3385" spans="1:16" x14ac:dyDescent="0.25">
      <c r="A3385" t="s">
        <v>3296</v>
      </c>
      <c r="B3385" t="s">
        <v>2931</v>
      </c>
      <c r="C3385">
        <v>16394</v>
      </c>
      <c r="D3385" t="str">
        <f>"7250528571  "</f>
        <v xml:space="preserve">7250528571  </v>
      </c>
      <c r="E3385" t="s">
        <v>2778</v>
      </c>
      <c r="F3385" t="s">
        <v>931</v>
      </c>
      <c r="G3385">
        <v>323.01</v>
      </c>
      <c r="H3385">
        <v>251130</v>
      </c>
      <c r="I3385">
        <v>4572</v>
      </c>
      <c r="J3385" t="s">
        <v>173</v>
      </c>
      <c r="K3385">
        <v>323.01</v>
      </c>
      <c r="L3385">
        <v>65.63</v>
      </c>
      <c r="M3385">
        <v>17956</v>
      </c>
      <c r="N3385" t="s">
        <v>170</v>
      </c>
      <c r="O3385">
        <v>251208</v>
      </c>
      <c r="P3385">
        <v>257.38</v>
      </c>
    </row>
    <row r="3386" spans="1:16" x14ac:dyDescent="0.25">
      <c r="A3386" t="s">
        <v>3296</v>
      </c>
      <c r="B3386" t="s">
        <v>2931</v>
      </c>
      <c r="C3386">
        <v>16408</v>
      </c>
      <c r="D3386" t="str">
        <f>"7250526748  "</f>
        <v xml:space="preserve">7250526748  </v>
      </c>
      <c r="E3386" t="s">
        <v>2778</v>
      </c>
      <c r="F3386" t="s">
        <v>931</v>
      </c>
      <c r="G3386">
        <v>417.68</v>
      </c>
      <c r="H3386">
        <v>251130</v>
      </c>
      <c r="I3386">
        <v>4572</v>
      </c>
      <c r="J3386" t="s">
        <v>173</v>
      </c>
      <c r="K3386">
        <v>417.68</v>
      </c>
      <c r="L3386">
        <v>84.87</v>
      </c>
      <c r="M3386">
        <v>17950</v>
      </c>
      <c r="N3386" t="s">
        <v>132</v>
      </c>
      <c r="O3386">
        <v>251208</v>
      </c>
      <c r="P3386">
        <v>332.81</v>
      </c>
    </row>
    <row r="3387" spans="1:16" x14ac:dyDescent="0.25">
      <c r="A3387" t="s">
        <v>3296</v>
      </c>
      <c r="B3387" t="s">
        <v>2931</v>
      </c>
      <c r="C3387">
        <v>16412</v>
      </c>
      <c r="D3387" t="str">
        <f>"7250614249  "</f>
        <v xml:space="preserve">7250614249  </v>
      </c>
      <c r="E3387" t="s">
        <v>2778</v>
      </c>
      <c r="F3387" t="s">
        <v>931</v>
      </c>
      <c r="G3387">
        <v>56.58</v>
      </c>
      <c r="H3387">
        <v>251130</v>
      </c>
      <c r="I3387">
        <v>4572</v>
      </c>
      <c r="J3387" t="s">
        <v>173</v>
      </c>
      <c r="K3387">
        <v>56.58</v>
      </c>
      <c r="L3387">
        <v>11.5</v>
      </c>
      <c r="M3387">
        <v>17956</v>
      </c>
      <c r="N3387" t="s">
        <v>170</v>
      </c>
      <c r="O3387">
        <v>251208</v>
      </c>
      <c r="P3387">
        <v>45.08</v>
      </c>
    </row>
    <row r="3388" spans="1:16" x14ac:dyDescent="0.25">
      <c r="A3388" t="s">
        <v>3296</v>
      </c>
      <c r="B3388" t="s">
        <v>2931</v>
      </c>
      <c r="C3388">
        <v>16414</v>
      </c>
      <c r="D3388" t="str">
        <f>"7250529693  "</f>
        <v xml:space="preserve">7250529693  </v>
      </c>
      <c r="E3388" t="s">
        <v>2778</v>
      </c>
      <c r="F3388" t="s">
        <v>931</v>
      </c>
      <c r="G3388">
        <v>741.34</v>
      </c>
      <c r="H3388">
        <v>251130</v>
      </c>
      <c r="I3388">
        <v>4572</v>
      </c>
      <c r="J3388" t="s">
        <v>173</v>
      </c>
      <c r="K3388">
        <v>6739.44</v>
      </c>
      <c r="L3388">
        <v>150.63</v>
      </c>
      <c r="M3388">
        <v>13540</v>
      </c>
      <c r="N3388" t="s">
        <v>131</v>
      </c>
      <c r="O3388">
        <v>251208</v>
      </c>
      <c r="P3388">
        <v>590.71</v>
      </c>
    </row>
    <row r="3389" spans="1:16" x14ac:dyDescent="0.25">
      <c r="A3389" t="s">
        <v>3296</v>
      </c>
      <c r="B3389" t="s">
        <v>2931</v>
      </c>
      <c r="C3389">
        <v>16414</v>
      </c>
      <c r="D3389" t="str">
        <f>"7250529693  "</f>
        <v xml:space="preserve">7250529693  </v>
      </c>
      <c r="E3389" t="s">
        <v>2778</v>
      </c>
      <c r="F3389" t="s">
        <v>931</v>
      </c>
      <c r="G3389">
        <v>5998.1</v>
      </c>
      <c r="H3389">
        <v>251130</v>
      </c>
      <c r="I3389">
        <v>4572</v>
      </c>
      <c r="J3389" t="s">
        <v>173</v>
      </c>
      <c r="K3389">
        <v>6739.44</v>
      </c>
      <c r="L3389">
        <v>1218.74</v>
      </c>
      <c r="M3389">
        <v>17950</v>
      </c>
      <c r="N3389" t="s">
        <v>132</v>
      </c>
      <c r="O3389">
        <v>251208</v>
      </c>
      <c r="P3389">
        <v>4779.3599999999997</v>
      </c>
    </row>
    <row r="3390" spans="1:16" x14ac:dyDescent="0.25">
      <c r="A3390" t="s">
        <v>3296</v>
      </c>
      <c r="B3390" t="s">
        <v>2931</v>
      </c>
      <c r="C3390">
        <v>16449</v>
      </c>
      <c r="D3390" t="str">
        <f>"7250425849  "</f>
        <v xml:space="preserve">7250425849  </v>
      </c>
      <c r="E3390" t="s">
        <v>2778</v>
      </c>
      <c r="F3390" t="s">
        <v>931</v>
      </c>
      <c r="G3390">
        <v>58.57</v>
      </c>
      <c r="H3390">
        <v>251130</v>
      </c>
      <c r="I3390">
        <v>4572</v>
      </c>
      <c r="J3390" t="s">
        <v>173</v>
      </c>
      <c r="K3390">
        <v>58.57</v>
      </c>
      <c r="L3390">
        <v>0</v>
      </c>
      <c r="M3390">
        <v>11001</v>
      </c>
      <c r="N3390" t="s">
        <v>93</v>
      </c>
      <c r="O3390">
        <v>251208</v>
      </c>
      <c r="P3390">
        <v>58.57</v>
      </c>
    </row>
    <row r="3391" spans="1:16" x14ac:dyDescent="0.25">
      <c r="A3391" t="s">
        <v>3296</v>
      </c>
      <c r="B3391" t="s">
        <v>2931</v>
      </c>
      <c r="C3391">
        <v>15026</v>
      </c>
      <c r="D3391" t="str">
        <f>"1061560     "</f>
        <v xml:space="preserve">1061560     </v>
      </c>
      <c r="E3391" t="s">
        <v>3323</v>
      </c>
      <c r="F3391" t="s">
        <v>2542</v>
      </c>
      <c r="G3391">
        <v>2952</v>
      </c>
      <c r="H3391">
        <v>251022</v>
      </c>
      <c r="I3391">
        <v>4367</v>
      </c>
      <c r="J3391" t="s">
        <v>159</v>
      </c>
      <c r="K3391">
        <v>14819.04</v>
      </c>
      <c r="L3391">
        <v>599.80999999999995</v>
      </c>
      <c r="M3391">
        <v>11801</v>
      </c>
      <c r="N3391" t="s">
        <v>40</v>
      </c>
      <c r="O3391">
        <v>251110</v>
      </c>
      <c r="P3391">
        <v>2352.19</v>
      </c>
    </row>
    <row r="3392" spans="1:16" x14ac:dyDescent="0.25">
      <c r="A3392" t="s">
        <v>3296</v>
      </c>
      <c r="B3392" t="s">
        <v>2931</v>
      </c>
      <c r="C3392">
        <v>3702</v>
      </c>
      <c r="D3392" t="str">
        <f>"8899        "</f>
        <v xml:space="preserve">8899        </v>
      </c>
      <c r="E3392" t="s">
        <v>3324</v>
      </c>
      <c r="F3392" t="s">
        <v>1083</v>
      </c>
      <c r="G3392">
        <v>1129.5</v>
      </c>
      <c r="H3392">
        <v>250301</v>
      </c>
      <c r="I3392">
        <v>4366</v>
      </c>
      <c r="J3392" t="s">
        <v>65</v>
      </c>
      <c r="K3392">
        <v>6777</v>
      </c>
      <c r="L3392">
        <v>229.5</v>
      </c>
      <c r="M3392">
        <v>11801</v>
      </c>
      <c r="N3392" t="s">
        <v>40</v>
      </c>
      <c r="O3392">
        <v>250328</v>
      </c>
      <c r="P3392">
        <v>900</v>
      </c>
    </row>
    <row r="3393" spans="1:16" x14ac:dyDescent="0.25">
      <c r="A3393" t="s">
        <v>3296</v>
      </c>
      <c r="B3393" t="s">
        <v>2931</v>
      </c>
      <c r="C3393">
        <v>11938</v>
      </c>
      <c r="D3393" t="str">
        <f>"9798        "</f>
        <v xml:space="preserve">9798        </v>
      </c>
      <c r="E3393" t="s">
        <v>3324</v>
      </c>
      <c r="F3393" t="s">
        <v>1083</v>
      </c>
      <c r="G3393">
        <v>1129.5</v>
      </c>
      <c r="H3393">
        <v>250901</v>
      </c>
      <c r="I3393">
        <v>4366</v>
      </c>
      <c r="J3393" t="s">
        <v>65</v>
      </c>
      <c r="K3393">
        <v>6777</v>
      </c>
      <c r="L3393">
        <v>229.5</v>
      </c>
      <c r="M3393">
        <v>11801</v>
      </c>
      <c r="N3393" t="s">
        <v>40</v>
      </c>
      <c r="O3393">
        <v>250912</v>
      </c>
      <c r="P3393">
        <v>900</v>
      </c>
    </row>
    <row r="3394" spans="1:16" x14ac:dyDescent="0.25">
      <c r="A3394" t="s">
        <v>3296</v>
      </c>
      <c r="B3394" t="s">
        <v>2931</v>
      </c>
      <c r="C3394">
        <v>1669</v>
      </c>
      <c r="D3394" t="str">
        <f>"8829        "</f>
        <v xml:space="preserve">8829        </v>
      </c>
      <c r="E3394" t="s">
        <v>3324</v>
      </c>
      <c r="F3394" t="s">
        <v>1083</v>
      </c>
      <c r="G3394">
        <v>878.5</v>
      </c>
      <c r="H3394">
        <v>250131</v>
      </c>
      <c r="I3394">
        <v>4368</v>
      </c>
      <c r="J3394" t="s">
        <v>1082</v>
      </c>
      <c r="K3394">
        <v>878.5</v>
      </c>
      <c r="L3394">
        <v>178.5</v>
      </c>
      <c r="M3394">
        <v>11901</v>
      </c>
      <c r="N3394" t="s">
        <v>31</v>
      </c>
      <c r="O3394">
        <v>250212</v>
      </c>
      <c r="P3394">
        <v>700</v>
      </c>
    </row>
    <row r="3395" spans="1:16" x14ac:dyDescent="0.25">
      <c r="A3395" t="s">
        <v>3296</v>
      </c>
      <c r="B3395" t="s">
        <v>2931</v>
      </c>
      <c r="C3395">
        <v>8718</v>
      </c>
      <c r="D3395" t="str">
        <f>"9486        "</f>
        <v xml:space="preserve">9486        </v>
      </c>
      <c r="E3395" t="s">
        <v>3324</v>
      </c>
      <c r="F3395" t="s">
        <v>1083</v>
      </c>
      <c r="G3395">
        <v>175.7</v>
      </c>
      <c r="H3395">
        <v>250531</v>
      </c>
      <c r="I3395">
        <v>4368</v>
      </c>
      <c r="J3395" t="s">
        <v>1082</v>
      </c>
      <c r="K3395">
        <v>175.7</v>
      </c>
      <c r="L3395">
        <v>35.700000000000003</v>
      </c>
      <c r="M3395">
        <v>11901</v>
      </c>
      <c r="N3395" t="s">
        <v>31</v>
      </c>
      <c r="O3395">
        <v>250617</v>
      </c>
      <c r="P3395">
        <v>140</v>
      </c>
    </row>
    <row r="3396" spans="1:16" x14ac:dyDescent="0.25">
      <c r="A3396" t="s">
        <v>3296</v>
      </c>
      <c r="B3396" t="s">
        <v>2931</v>
      </c>
      <c r="C3396">
        <v>11803</v>
      </c>
      <c r="D3396" t="str">
        <f>"9836        "</f>
        <v xml:space="preserve">9836        </v>
      </c>
      <c r="E3396" t="s">
        <v>3324</v>
      </c>
      <c r="F3396" t="s">
        <v>1083</v>
      </c>
      <c r="G3396">
        <v>175.7</v>
      </c>
      <c r="H3396">
        <v>250831</v>
      </c>
      <c r="I3396">
        <v>4368</v>
      </c>
      <c r="J3396" t="s">
        <v>1082</v>
      </c>
      <c r="K3396">
        <v>175.7</v>
      </c>
      <c r="L3396">
        <v>35.700000000000003</v>
      </c>
      <c r="M3396">
        <v>11901</v>
      </c>
      <c r="N3396" t="s">
        <v>31</v>
      </c>
      <c r="O3396">
        <v>250910</v>
      </c>
      <c r="P3396">
        <v>140</v>
      </c>
    </row>
    <row r="3397" spans="1:16" x14ac:dyDescent="0.25">
      <c r="A3397" t="s">
        <v>3296</v>
      </c>
      <c r="B3397" t="s">
        <v>2931</v>
      </c>
      <c r="C3397">
        <v>16310</v>
      </c>
      <c r="D3397" t="str">
        <f>"POY-00000313"</f>
        <v>POY-00000313</v>
      </c>
      <c r="E3397" t="s">
        <v>3324</v>
      </c>
      <c r="F3397" t="s">
        <v>1083</v>
      </c>
      <c r="G3397">
        <v>87.85</v>
      </c>
      <c r="H3397">
        <v>251130</v>
      </c>
      <c r="I3397">
        <v>4368</v>
      </c>
      <c r="J3397" t="s">
        <v>1082</v>
      </c>
      <c r="K3397">
        <v>87.85</v>
      </c>
      <c r="L3397">
        <v>17.850000000000001</v>
      </c>
      <c r="M3397">
        <v>11901</v>
      </c>
      <c r="N3397" t="s">
        <v>31</v>
      </c>
      <c r="O3397">
        <v>251205</v>
      </c>
      <c r="P3397">
        <v>70</v>
      </c>
    </row>
    <row r="3398" spans="1:16" x14ac:dyDescent="0.25">
      <c r="A3398" t="s">
        <v>3296</v>
      </c>
      <c r="B3398" t="s">
        <v>2931</v>
      </c>
      <c r="C3398">
        <v>730</v>
      </c>
      <c r="D3398" t="str">
        <f>"723040      "</f>
        <v xml:space="preserve">723040      </v>
      </c>
      <c r="E3398" t="s">
        <v>3325</v>
      </c>
      <c r="F3398" t="s">
        <v>692</v>
      </c>
      <c r="G3398">
        <v>2513.06</v>
      </c>
      <c r="H3398">
        <v>250124</v>
      </c>
      <c r="I3398">
        <v>4600</v>
      </c>
      <c r="J3398" t="s">
        <v>278</v>
      </c>
      <c r="K3398">
        <v>3350.75</v>
      </c>
      <c r="L3398">
        <v>510.62</v>
      </c>
      <c r="M3398">
        <v>17737</v>
      </c>
      <c r="N3398" t="s">
        <v>156</v>
      </c>
      <c r="O3398">
        <v>250128</v>
      </c>
      <c r="P3398">
        <v>2002.44</v>
      </c>
    </row>
    <row r="3399" spans="1:16" x14ac:dyDescent="0.25">
      <c r="A3399" t="s">
        <v>3296</v>
      </c>
      <c r="B3399" t="s">
        <v>2931</v>
      </c>
      <c r="C3399">
        <v>730</v>
      </c>
      <c r="D3399" t="str">
        <f>"723040      "</f>
        <v xml:space="preserve">723040      </v>
      </c>
      <c r="E3399" t="s">
        <v>3325</v>
      </c>
      <c r="F3399" t="s">
        <v>692</v>
      </c>
      <c r="G3399">
        <v>837.69</v>
      </c>
      <c r="H3399">
        <v>250124</v>
      </c>
      <c r="I3399">
        <v>4600</v>
      </c>
      <c r="J3399" t="s">
        <v>278</v>
      </c>
      <c r="K3399">
        <v>3350.75</v>
      </c>
      <c r="L3399">
        <v>170.21</v>
      </c>
      <c r="M3399">
        <v>17737</v>
      </c>
      <c r="N3399" t="s">
        <v>156</v>
      </c>
      <c r="O3399">
        <v>250128</v>
      </c>
      <c r="P3399">
        <v>667.48</v>
      </c>
    </row>
    <row r="3400" spans="1:16" x14ac:dyDescent="0.25">
      <c r="A3400" t="s">
        <v>3296</v>
      </c>
      <c r="B3400" t="s">
        <v>2931</v>
      </c>
      <c r="C3400">
        <v>5723</v>
      </c>
      <c r="D3400" t="str">
        <f>"726020      "</f>
        <v xml:space="preserve">726020      </v>
      </c>
      <c r="E3400" t="s">
        <v>3325</v>
      </c>
      <c r="F3400" t="s">
        <v>692</v>
      </c>
      <c r="G3400">
        <v>2716.83</v>
      </c>
      <c r="H3400">
        <v>250417</v>
      </c>
      <c r="I3400">
        <v>4600</v>
      </c>
      <c r="J3400" t="s">
        <v>278</v>
      </c>
      <c r="K3400">
        <v>3396.03</v>
      </c>
      <c r="L3400">
        <v>552.03</v>
      </c>
      <c r="M3400">
        <v>17737</v>
      </c>
      <c r="N3400" t="s">
        <v>156</v>
      </c>
      <c r="O3400">
        <v>250429</v>
      </c>
      <c r="P3400">
        <v>2164.8000000000002</v>
      </c>
    </row>
    <row r="3401" spans="1:16" x14ac:dyDescent="0.25">
      <c r="A3401" t="s">
        <v>3296</v>
      </c>
      <c r="B3401" t="s">
        <v>2931</v>
      </c>
      <c r="C3401">
        <v>5723</v>
      </c>
      <c r="D3401" t="str">
        <f>"726020      "</f>
        <v xml:space="preserve">726020      </v>
      </c>
      <c r="E3401" t="s">
        <v>3325</v>
      </c>
      <c r="F3401" t="s">
        <v>692</v>
      </c>
      <c r="G3401">
        <v>679.2</v>
      </c>
      <c r="H3401">
        <v>250417</v>
      </c>
      <c r="I3401">
        <v>4600</v>
      </c>
      <c r="J3401" t="s">
        <v>278</v>
      </c>
      <c r="K3401">
        <v>3396.03</v>
      </c>
      <c r="L3401">
        <v>138</v>
      </c>
      <c r="M3401">
        <v>17737</v>
      </c>
      <c r="N3401" t="s">
        <v>156</v>
      </c>
      <c r="O3401">
        <v>250429</v>
      </c>
      <c r="P3401">
        <v>541.20000000000005</v>
      </c>
    </row>
    <row r="3402" spans="1:16" x14ac:dyDescent="0.25">
      <c r="A3402" t="s">
        <v>3296</v>
      </c>
      <c r="B3402" t="s">
        <v>2931</v>
      </c>
      <c r="C3402">
        <v>7859</v>
      </c>
      <c r="D3402" t="str">
        <f>"727186      "</f>
        <v xml:space="preserve">727186      </v>
      </c>
      <c r="E3402" t="s">
        <v>3325</v>
      </c>
      <c r="F3402" t="s">
        <v>692</v>
      </c>
      <c r="G3402">
        <v>3396.03</v>
      </c>
      <c r="H3402">
        <v>250528</v>
      </c>
      <c r="I3402">
        <v>4600</v>
      </c>
      <c r="J3402" t="s">
        <v>278</v>
      </c>
      <c r="K3402">
        <v>3396.03</v>
      </c>
      <c r="L3402">
        <v>690.03</v>
      </c>
      <c r="M3402">
        <v>17737</v>
      </c>
      <c r="N3402" t="s">
        <v>156</v>
      </c>
      <c r="O3402">
        <v>250610</v>
      </c>
      <c r="P3402">
        <v>2706</v>
      </c>
    </row>
    <row r="3403" spans="1:16" x14ac:dyDescent="0.25">
      <c r="A3403" t="s">
        <v>3296</v>
      </c>
      <c r="B3403" t="s">
        <v>2931</v>
      </c>
      <c r="C3403">
        <v>13384</v>
      </c>
      <c r="D3403" t="str">
        <f>"730344      "</f>
        <v xml:space="preserve">730344      </v>
      </c>
      <c r="E3403" t="s">
        <v>3325</v>
      </c>
      <c r="F3403" t="s">
        <v>692</v>
      </c>
      <c r="G3403">
        <v>1457.61</v>
      </c>
      <c r="H3403">
        <v>250930</v>
      </c>
      <c r="I3403">
        <v>4600</v>
      </c>
      <c r="J3403" t="s">
        <v>278</v>
      </c>
      <c r="K3403">
        <v>1457.61</v>
      </c>
      <c r="L3403">
        <v>296.17</v>
      </c>
      <c r="M3403">
        <v>17711</v>
      </c>
      <c r="N3403" t="s">
        <v>155</v>
      </c>
      <c r="O3403">
        <v>251008</v>
      </c>
      <c r="P3403">
        <v>1161.44</v>
      </c>
    </row>
    <row r="3404" spans="1:16" x14ac:dyDescent="0.25">
      <c r="A3404" t="s">
        <v>3296</v>
      </c>
      <c r="B3404" t="s">
        <v>2931</v>
      </c>
      <c r="C3404">
        <v>13166</v>
      </c>
      <c r="D3404" t="str">
        <f>"202505760   "</f>
        <v xml:space="preserve">202505760   </v>
      </c>
      <c r="E3404" t="s">
        <v>3326</v>
      </c>
      <c r="F3404" t="s">
        <v>2419</v>
      </c>
      <c r="G3404">
        <v>7770</v>
      </c>
      <c r="H3404">
        <v>250923</v>
      </c>
      <c r="I3404">
        <v>4346</v>
      </c>
      <c r="J3404" t="s">
        <v>334</v>
      </c>
      <c r="K3404">
        <v>7770</v>
      </c>
      <c r="L3404">
        <v>1578.76</v>
      </c>
      <c r="M3404">
        <v>56571</v>
      </c>
      <c r="N3404" t="s">
        <v>553</v>
      </c>
      <c r="O3404">
        <v>251006</v>
      </c>
      <c r="P3404">
        <v>6191.24</v>
      </c>
    </row>
    <row r="3405" spans="1:16" x14ac:dyDescent="0.25">
      <c r="A3405" t="s">
        <v>3296</v>
      </c>
      <c r="B3405" t="s">
        <v>2931</v>
      </c>
      <c r="C3405">
        <v>14245</v>
      </c>
      <c r="D3405" t="str">
        <f>"202505798   "</f>
        <v xml:space="preserve">202505798   </v>
      </c>
      <c r="E3405" t="s">
        <v>3326</v>
      </c>
      <c r="F3405" t="s">
        <v>2419</v>
      </c>
      <c r="G3405">
        <v>7770</v>
      </c>
      <c r="H3405">
        <v>251020</v>
      </c>
      <c r="I3405">
        <v>4346</v>
      </c>
      <c r="J3405" t="s">
        <v>334</v>
      </c>
      <c r="K3405">
        <v>7770</v>
      </c>
      <c r="L3405">
        <v>1578.76</v>
      </c>
      <c r="M3405">
        <v>56571</v>
      </c>
      <c r="N3405" t="s">
        <v>553</v>
      </c>
      <c r="O3405">
        <v>251028</v>
      </c>
      <c r="P3405">
        <v>6191.24</v>
      </c>
    </row>
    <row r="3406" spans="1:16" x14ac:dyDescent="0.25">
      <c r="A3406" t="s">
        <v>3296</v>
      </c>
      <c r="B3406" t="s">
        <v>2931</v>
      </c>
      <c r="C3406">
        <v>4728</v>
      </c>
      <c r="D3406" t="str">
        <f>"663368      "</f>
        <v xml:space="preserve">663368      </v>
      </c>
      <c r="E3406" t="s">
        <v>1651</v>
      </c>
      <c r="F3406" t="s">
        <v>1652</v>
      </c>
      <c r="G3406">
        <v>27.12</v>
      </c>
      <c r="H3406">
        <v>250403</v>
      </c>
      <c r="I3406">
        <v>4600</v>
      </c>
      <c r="J3406" t="s">
        <v>278</v>
      </c>
      <c r="K3406">
        <v>27.12</v>
      </c>
      <c r="L3406">
        <v>5.51</v>
      </c>
      <c r="M3406">
        <v>56558</v>
      </c>
      <c r="N3406" t="s">
        <v>50</v>
      </c>
      <c r="O3406">
        <v>250415</v>
      </c>
      <c r="P3406">
        <v>21.61</v>
      </c>
    </row>
    <row r="3407" spans="1:16" x14ac:dyDescent="0.25">
      <c r="A3407" t="s">
        <v>3296</v>
      </c>
      <c r="B3407" t="s">
        <v>2931</v>
      </c>
      <c r="C3407">
        <v>1633</v>
      </c>
      <c r="D3407" t="str">
        <f>"1070231     "</f>
        <v xml:space="preserve">1070231     </v>
      </c>
      <c r="E3407" t="s">
        <v>1065</v>
      </c>
      <c r="F3407" t="s">
        <v>1067</v>
      </c>
      <c r="G3407">
        <v>3549.15</v>
      </c>
      <c r="H3407">
        <v>250131</v>
      </c>
      <c r="I3407">
        <v>4600</v>
      </c>
      <c r="J3407" t="s">
        <v>278</v>
      </c>
      <c r="K3407">
        <v>3549.15</v>
      </c>
      <c r="L3407">
        <v>721.14</v>
      </c>
      <c r="M3407">
        <v>11605</v>
      </c>
      <c r="N3407" t="s">
        <v>1066</v>
      </c>
      <c r="O3407">
        <v>250212</v>
      </c>
      <c r="P3407">
        <v>2828.01</v>
      </c>
    </row>
    <row r="3408" spans="1:16" x14ac:dyDescent="0.25">
      <c r="A3408" t="s">
        <v>3296</v>
      </c>
      <c r="B3408" t="s">
        <v>2931</v>
      </c>
      <c r="C3408">
        <v>2717</v>
      </c>
      <c r="D3408" t="str">
        <f>"1077262     "</f>
        <v xml:space="preserve">1077262     </v>
      </c>
      <c r="E3408" t="s">
        <v>1065</v>
      </c>
      <c r="F3408" t="s">
        <v>1067</v>
      </c>
      <c r="G3408">
        <v>45.68</v>
      </c>
      <c r="H3408">
        <v>250226</v>
      </c>
      <c r="I3408">
        <v>4600</v>
      </c>
      <c r="J3408" t="s">
        <v>278</v>
      </c>
      <c r="K3408">
        <v>19699.73</v>
      </c>
      <c r="L3408">
        <v>9.2799999999999994</v>
      </c>
      <c r="M3408">
        <v>11605</v>
      </c>
      <c r="N3408" t="s">
        <v>1066</v>
      </c>
      <c r="O3408">
        <v>250311</v>
      </c>
      <c r="P3408">
        <v>36.4</v>
      </c>
    </row>
    <row r="3409" spans="1:16" x14ac:dyDescent="0.25">
      <c r="A3409" t="s">
        <v>3296</v>
      </c>
      <c r="B3409" t="s">
        <v>2931</v>
      </c>
      <c r="C3409">
        <v>2717</v>
      </c>
      <c r="D3409" t="str">
        <f>"1077262     "</f>
        <v xml:space="preserve">1077262     </v>
      </c>
      <c r="E3409" t="s">
        <v>1065</v>
      </c>
      <c r="F3409" t="s">
        <v>1067</v>
      </c>
      <c r="G3409">
        <v>19654.05</v>
      </c>
      <c r="H3409">
        <v>250226</v>
      </c>
      <c r="I3409">
        <v>4600</v>
      </c>
      <c r="J3409" t="s">
        <v>278</v>
      </c>
      <c r="K3409">
        <v>19699.73</v>
      </c>
      <c r="L3409">
        <v>0</v>
      </c>
      <c r="M3409">
        <v>11605</v>
      </c>
      <c r="N3409" t="s">
        <v>1066</v>
      </c>
      <c r="O3409">
        <v>250311</v>
      </c>
      <c r="P3409">
        <v>19654.05</v>
      </c>
    </row>
    <row r="3410" spans="1:16" x14ac:dyDescent="0.25">
      <c r="A3410" t="s">
        <v>3296</v>
      </c>
      <c r="B3410" t="s">
        <v>2931</v>
      </c>
      <c r="C3410">
        <v>2780</v>
      </c>
      <c r="D3410" t="str">
        <f>"1077817     "</f>
        <v xml:space="preserve">1077817     </v>
      </c>
      <c r="E3410" t="s">
        <v>1065</v>
      </c>
      <c r="F3410" t="s">
        <v>1067</v>
      </c>
      <c r="G3410">
        <v>69.78</v>
      </c>
      <c r="H3410">
        <v>250228</v>
      </c>
      <c r="I3410">
        <v>4600</v>
      </c>
      <c r="J3410" t="s">
        <v>278</v>
      </c>
      <c r="K3410">
        <v>69.78</v>
      </c>
      <c r="L3410">
        <v>14.18</v>
      </c>
      <c r="M3410">
        <v>11605</v>
      </c>
      <c r="N3410" t="s">
        <v>1066</v>
      </c>
      <c r="O3410">
        <v>250312</v>
      </c>
      <c r="P3410">
        <v>55.6</v>
      </c>
    </row>
    <row r="3411" spans="1:16" x14ac:dyDescent="0.25">
      <c r="A3411" t="s">
        <v>3296</v>
      </c>
      <c r="B3411" t="s">
        <v>2931</v>
      </c>
      <c r="C3411">
        <v>4430</v>
      </c>
      <c r="D3411" t="str">
        <f>"1085970     "</f>
        <v xml:space="preserve">1085970     </v>
      </c>
      <c r="E3411" t="s">
        <v>1065</v>
      </c>
      <c r="F3411" t="s">
        <v>1067</v>
      </c>
      <c r="G3411">
        <v>18.829999999999998</v>
      </c>
      <c r="H3411">
        <v>250331</v>
      </c>
      <c r="I3411">
        <v>4600</v>
      </c>
      <c r="J3411" t="s">
        <v>278</v>
      </c>
      <c r="K3411">
        <v>18.829999999999998</v>
      </c>
      <c r="L3411">
        <v>3.83</v>
      </c>
      <c r="M3411">
        <v>11605</v>
      </c>
      <c r="N3411" t="s">
        <v>1066</v>
      </c>
      <c r="O3411">
        <v>250411</v>
      </c>
      <c r="P3411">
        <v>15</v>
      </c>
    </row>
    <row r="3412" spans="1:16" x14ac:dyDescent="0.25">
      <c r="A3412" t="s">
        <v>3296</v>
      </c>
      <c r="B3412" t="s">
        <v>2931</v>
      </c>
      <c r="C3412">
        <v>4561</v>
      </c>
      <c r="D3412" t="str">
        <f>"1088202     "</f>
        <v xml:space="preserve">1088202     </v>
      </c>
      <c r="E3412" t="s">
        <v>1065</v>
      </c>
      <c r="F3412" t="s">
        <v>1067</v>
      </c>
      <c r="G3412">
        <v>8026.36</v>
      </c>
      <c r="H3412">
        <v>250331</v>
      </c>
      <c r="I3412">
        <v>4600</v>
      </c>
      <c r="J3412" t="s">
        <v>278</v>
      </c>
      <c r="K3412">
        <v>8026.36</v>
      </c>
      <c r="L3412">
        <v>0</v>
      </c>
      <c r="M3412">
        <v>11605</v>
      </c>
      <c r="N3412" t="s">
        <v>1066</v>
      </c>
      <c r="O3412">
        <v>250414</v>
      </c>
      <c r="P3412">
        <v>8026.36</v>
      </c>
    </row>
    <row r="3413" spans="1:16" x14ac:dyDescent="0.25">
      <c r="A3413" t="s">
        <v>3296</v>
      </c>
      <c r="B3413" t="s">
        <v>2931</v>
      </c>
      <c r="C3413">
        <v>5934</v>
      </c>
      <c r="D3413" t="str">
        <f>"1098323     "</f>
        <v xml:space="preserve">1098323     </v>
      </c>
      <c r="E3413" t="s">
        <v>1065</v>
      </c>
      <c r="F3413" t="s">
        <v>1067</v>
      </c>
      <c r="G3413">
        <v>33.39</v>
      </c>
      <c r="H3413">
        <v>250430</v>
      </c>
      <c r="I3413">
        <v>4600</v>
      </c>
      <c r="J3413" t="s">
        <v>278</v>
      </c>
      <c r="K3413">
        <v>33.39</v>
      </c>
      <c r="L3413">
        <v>6.78</v>
      </c>
      <c r="M3413">
        <v>11605</v>
      </c>
      <c r="N3413" t="s">
        <v>1066</v>
      </c>
      <c r="O3413">
        <v>250507</v>
      </c>
      <c r="P3413">
        <v>26.61</v>
      </c>
    </row>
    <row r="3414" spans="1:16" x14ac:dyDescent="0.25">
      <c r="A3414" t="s">
        <v>3296</v>
      </c>
      <c r="B3414" t="s">
        <v>2931</v>
      </c>
      <c r="C3414">
        <v>8227</v>
      </c>
      <c r="D3414" t="str">
        <f>"1104945     "</f>
        <v xml:space="preserve">1104945     </v>
      </c>
      <c r="E3414" t="s">
        <v>1065</v>
      </c>
      <c r="F3414" t="s">
        <v>1067</v>
      </c>
      <c r="G3414">
        <v>26.11</v>
      </c>
      <c r="H3414">
        <v>250531</v>
      </c>
      <c r="I3414">
        <v>4600</v>
      </c>
      <c r="J3414" t="s">
        <v>278</v>
      </c>
      <c r="K3414">
        <v>26.11</v>
      </c>
      <c r="L3414">
        <v>5.31</v>
      </c>
      <c r="M3414">
        <v>11605</v>
      </c>
      <c r="N3414" t="s">
        <v>1066</v>
      </c>
      <c r="O3414">
        <v>250612</v>
      </c>
      <c r="P3414">
        <v>20.8</v>
      </c>
    </row>
    <row r="3415" spans="1:16" x14ac:dyDescent="0.25">
      <c r="A3415" t="s">
        <v>3296</v>
      </c>
      <c r="B3415" t="s">
        <v>2931</v>
      </c>
      <c r="C3415">
        <v>9386</v>
      </c>
      <c r="D3415" t="str">
        <f>"1110066     "</f>
        <v xml:space="preserve">1110066     </v>
      </c>
      <c r="E3415" t="s">
        <v>1065</v>
      </c>
      <c r="F3415" t="s">
        <v>1067</v>
      </c>
      <c r="G3415">
        <v>26.11</v>
      </c>
      <c r="H3415">
        <v>250630</v>
      </c>
      <c r="I3415">
        <v>4600</v>
      </c>
      <c r="J3415" t="s">
        <v>278</v>
      </c>
      <c r="K3415">
        <v>26.11</v>
      </c>
      <c r="L3415">
        <v>5.31</v>
      </c>
      <c r="M3415">
        <v>11605</v>
      </c>
      <c r="N3415" t="s">
        <v>1066</v>
      </c>
      <c r="O3415">
        <v>250707</v>
      </c>
      <c r="P3415">
        <v>20.8</v>
      </c>
    </row>
    <row r="3416" spans="1:16" x14ac:dyDescent="0.25">
      <c r="A3416" t="s">
        <v>3296</v>
      </c>
      <c r="B3416" t="s">
        <v>2931</v>
      </c>
      <c r="C3416">
        <v>9411</v>
      </c>
      <c r="D3416" t="str">
        <f>"1112302     "</f>
        <v xml:space="preserve">1112302     </v>
      </c>
      <c r="E3416" t="s">
        <v>1065</v>
      </c>
      <c r="F3416" t="s">
        <v>1067</v>
      </c>
      <c r="G3416">
        <v>26.1</v>
      </c>
      <c r="H3416">
        <v>250630</v>
      </c>
      <c r="I3416">
        <v>4600</v>
      </c>
      <c r="J3416" t="s">
        <v>278</v>
      </c>
      <c r="K3416">
        <v>19145.09</v>
      </c>
      <c r="L3416">
        <v>5.3</v>
      </c>
      <c r="M3416">
        <v>11605</v>
      </c>
      <c r="N3416" t="s">
        <v>1066</v>
      </c>
      <c r="O3416">
        <v>250707</v>
      </c>
      <c r="P3416">
        <v>20.8</v>
      </c>
    </row>
    <row r="3417" spans="1:16" x14ac:dyDescent="0.25">
      <c r="A3417" t="s">
        <v>3296</v>
      </c>
      <c r="B3417" t="s">
        <v>2931</v>
      </c>
      <c r="C3417">
        <v>9411</v>
      </c>
      <c r="D3417" t="str">
        <f>"1112302     "</f>
        <v xml:space="preserve">1112302     </v>
      </c>
      <c r="E3417" t="s">
        <v>1065</v>
      </c>
      <c r="F3417" t="s">
        <v>1067</v>
      </c>
      <c r="G3417">
        <v>19118.990000000002</v>
      </c>
      <c r="H3417">
        <v>250630</v>
      </c>
      <c r="I3417">
        <v>4600</v>
      </c>
      <c r="J3417" t="s">
        <v>278</v>
      </c>
      <c r="K3417">
        <v>19145.09</v>
      </c>
      <c r="L3417">
        <v>0</v>
      </c>
      <c r="M3417">
        <v>11605</v>
      </c>
      <c r="N3417" t="s">
        <v>1066</v>
      </c>
      <c r="O3417">
        <v>250707</v>
      </c>
      <c r="P3417">
        <v>19118.990000000002</v>
      </c>
    </row>
    <row r="3418" spans="1:16" x14ac:dyDescent="0.25">
      <c r="A3418" t="s">
        <v>3296</v>
      </c>
      <c r="B3418" t="s">
        <v>2931</v>
      </c>
      <c r="C3418">
        <v>10036</v>
      </c>
      <c r="D3418" t="str">
        <f>"1122868     "</f>
        <v xml:space="preserve">1122868     </v>
      </c>
      <c r="E3418" t="s">
        <v>1065</v>
      </c>
      <c r="F3418" t="s">
        <v>1067</v>
      </c>
      <c r="G3418">
        <v>26.11</v>
      </c>
      <c r="H3418">
        <v>250731</v>
      </c>
      <c r="I3418">
        <v>4600</v>
      </c>
      <c r="J3418" t="s">
        <v>278</v>
      </c>
      <c r="K3418">
        <v>26.11</v>
      </c>
      <c r="L3418">
        <v>5.31</v>
      </c>
      <c r="M3418">
        <v>11605</v>
      </c>
      <c r="N3418" t="s">
        <v>1066</v>
      </c>
      <c r="O3418">
        <v>250808</v>
      </c>
      <c r="P3418">
        <v>20.8</v>
      </c>
    </row>
    <row r="3419" spans="1:16" x14ac:dyDescent="0.25">
      <c r="A3419" t="s">
        <v>3296</v>
      </c>
      <c r="B3419" t="s">
        <v>2931</v>
      </c>
      <c r="C3419">
        <v>11731</v>
      </c>
      <c r="D3419" t="str">
        <f>"1130071     "</f>
        <v xml:space="preserve">1130071     </v>
      </c>
      <c r="E3419" t="s">
        <v>1065</v>
      </c>
      <c r="F3419" t="s">
        <v>1067</v>
      </c>
      <c r="G3419">
        <v>142.57</v>
      </c>
      <c r="H3419">
        <v>250831</v>
      </c>
      <c r="I3419">
        <v>4600</v>
      </c>
      <c r="J3419" t="s">
        <v>278</v>
      </c>
      <c r="K3419">
        <v>142.57</v>
      </c>
      <c r="L3419">
        <v>28.97</v>
      </c>
      <c r="M3419">
        <v>11605</v>
      </c>
      <c r="N3419" t="s">
        <v>1066</v>
      </c>
      <c r="O3419">
        <v>250910</v>
      </c>
      <c r="P3419">
        <v>113.6</v>
      </c>
    </row>
    <row r="3420" spans="1:16" x14ac:dyDescent="0.25">
      <c r="A3420" t="s">
        <v>3296</v>
      </c>
      <c r="B3420" t="s">
        <v>2931</v>
      </c>
      <c r="C3420">
        <v>13504</v>
      </c>
      <c r="D3420" t="str">
        <f>"1137829     "</f>
        <v xml:space="preserve">1137829     </v>
      </c>
      <c r="E3420" t="s">
        <v>1065</v>
      </c>
      <c r="F3420" t="s">
        <v>1067</v>
      </c>
      <c r="G3420">
        <v>26.11</v>
      </c>
      <c r="H3420">
        <v>250930</v>
      </c>
      <c r="I3420">
        <v>4600</v>
      </c>
      <c r="J3420" t="s">
        <v>278</v>
      </c>
      <c r="K3420">
        <v>26.11</v>
      </c>
      <c r="L3420">
        <v>5.31</v>
      </c>
      <c r="M3420">
        <v>11605</v>
      </c>
      <c r="N3420" t="s">
        <v>1066</v>
      </c>
      <c r="O3420">
        <v>251010</v>
      </c>
      <c r="P3420">
        <v>20.8</v>
      </c>
    </row>
    <row r="3421" spans="1:16" x14ac:dyDescent="0.25">
      <c r="A3421" t="s">
        <v>3296</v>
      </c>
      <c r="B3421" t="s">
        <v>2931</v>
      </c>
      <c r="C3421">
        <v>13505</v>
      </c>
      <c r="D3421" t="str">
        <f>"1140050     "</f>
        <v xml:space="preserve">1140050     </v>
      </c>
      <c r="E3421" t="s">
        <v>1065</v>
      </c>
      <c r="F3421" t="s">
        <v>1067</v>
      </c>
      <c r="G3421">
        <v>91.36</v>
      </c>
      <c r="H3421">
        <v>250930</v>
      </c>
      <c r="I3421">
        <v>4600</v>
      </c>
      <c r="J3421" t="s">
        <v>278</v>
      </c>
      <c r="K3421">
        <v>13879.53</v>
      </c>
      <c r="L3421">
        <v>18.559999999999999</v>
      </c>
      <c r="M3421">
        <v>11605</v>
      </c>
      <c r="N3421" t="s">
        <v>1066</v>
      </c>
      <c r="O3421">
        <v>251010</v>
      </c>
      <c r="P3421">
        <v>72.8</v>
      </c>
    </row>
    <row r="3422" spans="1:16" x14ac:dyDescent="0.25">
      <c r="A3422" t="s">
        <v>3296</v>
      </c>
      <c r="B3422" t="s">
        <v>2931</v>
      </c>
      <c r="C3422">
        <v>13505</v>
      </c>
      <c r="D3422" t="str">
        <f>"1140050     "</f>
        <v xml:space="preserve">1140050     </v>
      </c>
      <c r="E3422" t="s">
        <v>1065</v>
      </c>
      <c r="F3422" t="s">
        <v>1067</v>
      </c>
      <c r="G3422">
        <v>13788.17</v>
      </c>
      <c r="H3422">
        <v>250930</v>
      </c>
      <c r="I3422">
        <v>4600</v>
      </c>
      <c r="J3422" t="s">
        <v>278</v>
      </c>
      <c r="K3422">
        <v>13879.53</v>
      </c>
      <c r="L3422">
        <v>0</v>
      </c>
      <c r="M3422">
        <v>11605</v>
      </c>
      <c r="N3422" t="s">
        <v>1066</v>
      </c>
      <c r="O3422">
        <v>251010</v>
      </c>
      <c r="P3422">
        <v>13788.17</v>
      </c>
    </row>
    <row r="3423" spans="1:16" x14ac:dyDescent="0.25">
      <c r="A3423" t="s">
        <v>3296</v>
      </c>
      <c r="B3423" t="s">
        <v>2931</v>
      </c>
      <c r="C3423">
        <v>15070</v>
      </c>
      <c r="D3423" t="str">
        <f>"1153838     "</f>
        <v xml:space="preserve">1153838     </v>
      </c>
      <c r="E3423" t="s">
        <v>1065</v>
      </c>
      <c r="F3423" t="s">
        <v>1067</v>
      </c>
      <c r="G3423">
        <v>47.95</v>
      </c>
      <c r="H3423">
        <v>251031</v>
      </c>
      <c r="I3423">
        <v>4600</v>
      </c>
      <c r="J3423" t="s">
        <v>278</v>
      </c>
      <c r="K3423">
        <v>47.95</v>
      </c>
      <c r="L3423">
        <v>9.74</v>
      </c>
      <c r="M3423">
        <v>11605</v>
      </c>
      <c r="N3423" t="s">
        <v>1066</v>
      </c>
      <c r="O3423">
        <v>251111</v>
      </c>
      <c r="P3423">
        <v>38.21</v>
      </c>
    </row>
    <row r="3424" spans="1:16" x14ac:dyDescent="0.25">
      <c r="A3424" t="s">
        <v>3296</v>
      </c>
      <c r="B3424" t="s">
        <v>2931</v>
      </c>
      <c r="C3424">
        <v>16262</v>
      </c>
      <c r="D3424" t="str">
        <f>"1161868     "</f>
        <v xml:space="preserve">1161868     </v>
      </c>
      <c r="E3424" t="s">
        <v>1065</v>
      </c>
      <c r="F3424" t="s">
        <v>1067</v>
      </c>
      <c r="G3424">
        <v>26.11</v>
      </c>
      <c r="H3424">
        <v>251130</v>
      </c>
      <c r="I3424">
        <v>4600</v>
      </c>
      <c r="J3424" t="s">
        <v>278</v>
      </c>
      <c r="K3424">
        <v>26.11</v>
      </c>
      <c r="L3424">
        <v>5.31</v>
      </c>
      <c r="M3424">
        <v>11605</v>
      </c>
      <c r="N3424" t="s">
        <v>1066</v>
      </c>
      <c r="O3424">
        <v>251205</v>
      </c>
      <c r="P3424">
        <v>20.8</v>
      </c>
    </row>
    <row r="3425" spans="1:16" x14ac:dyDescent="0.25">
      <c r="A3425" t="s">
        <v>3296</v>
      </c>
      <c r="B3425" t="s">
        <v>2931</v>
      </c>
      <c r="C3425">
        <v>16270</v>
      </c>
      <c r="D3425" t="str">
        <f>"1168571     "</f>
        <v xml:space="preserve">1168571     </v>
      </c>
      <c r="E3425" t="s">
        <v>1065</v>
      </c>
      <c r="F3425" t="s">
        <v>1067</v>
      </c>
      <c r="G3425">
        <v>26.1</v>
      </c>
      <c r="H3425">
        <v>251130</v>
      </c>
      <c r="I3425">
        <v>4600</v>
      </c>
      <c r="J3425" t="s">
        <v>278</v>
      </c>
      <c r="K3425">
        <v>8809.2199999999993</v>
      </c>
      <c r="L3425">
        <v>5.3</v>
      </c>
      <c r="M3425">
        <v>11605</v>
      </c>
      <c r="N3425" t="s">
        <v>1066</v>
      </c>
      <c r="O3425">
        <v>251205</v>
      </c>
      <c r="P3425">
        <v>20.8</v>
      </c>
    </row>
    <row r="3426" spans="1:16" x14ac:dyDescent="0.25">
      <c r="A3426" t="s">
        <v>3296</v>
      </c>
      <c r="B3426" t="s">
        <v>2931</v>
      </c>
      <c r="C3426">
        <v>16270</v>
      </c>
      <c r="D3426" t="str">
        <f>"1168571     "</f>
        <v xml:space="preserve">1168571     </v>
      </c>
      <c r="E3426" t="s">
        <v>1065</v>
      </c>
      <c r="F3426" t="s">
        <v>1067</v>
      </c>
      <c r="G3426">
        <v>8783.1200000000008</v>
      </c>
      <c r="H3426">
        <v>251130</v>
      </c>
      <c r="I3426">
        <v>4600</v>
      </c>
      <c r="J3426" t="s">
        <v>278</v>
      </c>
      <c r="K3426">
        <v>8809.2199999999993</v>
      </c>
      <c r="L3426">
        <v>0</v>
      </c>
      <c r="M3426">
        <v>11605</v>
      </c>
      <c r="N3426" t="s">
        <v>1066</v>
      </c>
      <c r="O3426">
        <v>251205</v>
      </c>
      <c r="P3426">
        <v>8783.1200000000008</v>
      </c>
    </row>
    <row r="3427" spans="1:16" x14ac:dyDescent="0.25">
      <c r="A3427" t="s">
        <v>3296</v>
      </c>
      <c r="B3427" t="s">
        <v>2931</v>
      </c>
      <c r="C3427">
        <v>18208</v>
      </c>
      <c r="D3427" t="str">
        <f>"1177981     "</f>
        <v xml:space="preserve">1177981     </v>
      </c>
      <c r="E3427" t="s">
        <v>1065</v>
      </c>
      <c r="F3427" t="s">
        <v>1067</v>
      </c>
      <c r="G3427">
        <v>33.39</v>
      </c>
      <c r="H3427">
        <v>251231</v>
      </c>
      <c r="I3427">
        <v>4600</v>
      </c>
      <c r="J3427" t="s">
        <v>278</v>
      </c>
      <c r="K3427">
        <v>33.39</v>
      </c>
      <c r="L3427">
        <v>6.78</v>
      </c>
      <c r="M3427">
        <v>11605</v>
      </c>
      <c r="N3427" t="s">
        <v>1066</v>
      </c>
      <c r="O3427">
        <v>260112</v>
      </c>
      <c r="P3427">
        <v>26.61</v>
      </c>
    </row>
    <row r="3428" spans="1:16" x14ac:dyDescent="0.25">
      <c r="A3428" t="s">
        <v>3296</v>
      </c>
      <c r="B3428" t="s">
        <v>2931</v>
      </c>
      <c r="C3428">
        <v>18518</v>
      </c>
      <c r="D3428" t="str">
        <f>"1181285     "</f>
        <v xml:space="preserve">1181285     </v>
      </c>
      <c r="E3428" t="s">
        <v>1065</v>
      </c>
      <c r="F3428" t="s">
        <v>1067</v>
      </c>
      <c r="G3428">
        <v>2930.17</v>
      </c>
      <c r="H3428">
        <v>251231</v>
      </c>
      <c r="I3428">
        <v>4600</v>
      </c>
      <c r="J3428" t="s">
        <v>278</v>
      </c>
      <c r="K3428">
        <v>19637.599999999999</v>
      </c>
      <c r="L3428">
        <v>595.37</v>
      </c>
      <c r="M3428">
        <v>11605</v>
      </c>
      <c r="N3428" t="s">
        <v>1066</v>
      </c>
      <c r="O3428">
        <v>260115</v>
      </c>
      <c r="P3428">
        <v>2334.8000000000002</v>
      </c>
    </row>
    <row r="3429" spans="1:16" x14ac:dyDescent="0.25">
      <c r="A3429" t="s">
        <v>3296</v>
      </c>
      <c r="B3429" t="s">
        <v>2931</v>
      </c>
      <c r="C3429">
        <v>18518</v>
      </c>
      <c r="D3429" t="str">
        <f>"1181285     "</f>
        <v xml:space="preserve">1181285     </v>
      </c>
      <c r="E3429" t="s">
        <v>1065</v>
      </c>
      <c r="F3429" t="s">
        <v>1067</v>
      </c>
      <c r="G3429">
        <v>-9417.59</v>
      </c>
      <c r="H3429">
        <v>251231</v>
      </c>
      <c r="I3429">
        <v>4600</v>
      </c>
      <c r="J3429" t="s">
        <v>278</v>
      </c>
      <c r="K3429">
        <v>19637.599999999999</v>
      </c>
      <c r="L3429">
        <v>0</v>
      </c>
      <c r="M3429">
        <v>11605</v>
      </c>
      <c r="N3429" t="s">
        <v>1066</v>
      </c>
      <c r="O3429">
        <v>260115</v>
      </c>
      <c r="P3429">
        <v>-9417.59</v>
      </c>
    </row>
    <row r="3430" spans="1:16" x14ac:dyDescent="0.25">
      <c r="A3430" t="s">
        <v>3296</v>
      </c>
      <c r="B3430" t="s">
        <v>2931</v>
      </c>
      <c r="C3430">
        <v>16863</v>
      </c>
      <c r="D3430" t="str">
        <f>"1582        "</f>
        <v xml:space="preserve">1582        </v>
      </c>
      <c r="E3430" t="s">
        <v>2710</v>
      </c>
      <c r="F3430" t="s">
        <v>2711</v>
      </c>
      <c r="G3430">
        <v>5591.45</v>
      </c>
      <c r="H3430">
        <v>251211</v>
      </c>
      <c r="I3430">
        <v>4580</v>
      </c>
      <c r="J3430" t="s">
        <v>126</v>
      </c>
      <c r="K3430">
        <v>5591.45</v>
      </c>
      <c r="L3430">
        <v>1136.1099999999999</v>
      </c>
      <c r="M3430">
        <v>17737</v>
      </c>
      <c r="N3430" t="s">
        <v>156</v>
      </c>
      <c r="O3430">
        <v>251215</v>
      </c>
      <c r="P3430">
        <v>4455.34</v>
      </c>
    </row>
    <row r="3431" spans="1:16" x14ac:dyDescent="0.25">
      <c r="A3431" t="s">
        <v>3296</v>
      </c>
      <c r="B3431" t="s">
        <v>2931</v>
      </c>
      <c r="C3431">
        <v>15940</v>
      </c>
      <c r="D3431" t="str">
        <f>"4846        "</f>
        <v xml:space="preserve">4846        </v>
      </c>
      <c r="E3431" t="s">
        <v>2638</v>
      </c>
      <c r="F3431" t="s">
        <v>2639</v>
      </c>
      <c r="G3431">
        <v>1611.5</v>
      </c>
      <c r="H3431">
        <v>251120</v>
      </c>
      <c r="I3431">
        <v>4470</v>
      </c>
      <c r="J3431" t="s">
        <v>203</v>
      </c>
      <c r="K3431">
        <v>1611.5</v>
      </c>
      <c r="L3431">
        <v>0</v>
      </c>
      <c r="M3431">
        <v>17737</v>
      </c>
      <c r="N3431" t="s">
        <v>156</v>
      </c>
      <c r="O3431">
        <v>251201</v>
      </c>
      <c r="P3431">
        <v>1611.5</v>
      </c>
    </row>
    <row r="3432" spans="1:16" x14ac:dyDescent="0.25">
      <c r="A3432" t="s">
        <v>3296</v>
      </c>
      <c r="B3432" t="s">
        <v>2931</v>
      </c>
      <c r="C3432">
        <v>4161</v>
      </c>
      <c r="D3432" t="str">
        <f>"5138        "</f>
        <v xml:space="preserve">5138        </v>
      </c>
      <c r="E3432" t="s">
        <v>1588</v>
      </c>
      <c r="F3432" t="s">
        <v>1589</v>
      </c>
      <c r="G3432">
        <v>56.95</v>
      </c>
      <c r="H3432">
        <v>250326</v>
      </c>
      <c r="I3432">
        <v>4590</v>
      </c>
      <c r="J3432" t="s">
        <v>388</v>
      </c>
      <c r="K3432">
        <v>56.95</v>
      </c>
      <c r="L3432">
        <v>11.57</v>
      </c>
      <c r="M3432">
        <v>46563</v>
      </c>
      <c r="N3432" t="s">
        <v>932</v>
      </c>
      <c r="O3432">
        <v>250408</v>
      </c>
      <c r="P3432">
        <v>45.38</v>
      </c>
    </row>
    <row r="3433" spans="1:16" x14ac:dyDescent="0.25">
      <c r="A3433" t="s">
        <v>3296</v>
      </c>
      <c r="B3433" t="s">
        <v>2931</v>
      </c>
      <c r="C3433">
        <v>4594</v>
      </c>
      <c r="D3433" t="str">
        <f>"592886      "</f>
        <v xml:space="preserve">592886      </v>
      </c>
      <c r="E3433" t="s">
        <v>1637</v>
      </c>
      <c r="F3433" t="s">
        <v>1638</v>
      </c>
      <c r="G3433">
        <v>202.91</v>
      </c>
      <c r="H3433">
        <v>250331</v>
      </c>
      <c r="I3433">
        <v>4380</v>
      </c>
      <c r="J3433" t="s">
        <v>211</v>
      </c>
      <c r="K3433">
        <v>202.91</v>
      </c>
      <c r="L3433">
        <v>41.23</v>
      </c>
      <c r="M3433">
        <v>49501</v>
      </c>
      <c r="N3433" t="s">
        <v>110</v>
      </c>
      <c r="O3433">
        <v>250414</v>
      </c>
      <c r="P3433">
        <v>161.68</v>
      </c>
    </row>
    <row r="3434" spans="1:16" x14ac:dyDescent="0.25">
      <c r="A3434" t="s">
        <v>3296</v>
      </c>
      <c r="B3434" t="s">
        <v>2931</v>
      </c>
      <c r="C3434">
        <v>9414</v>
      </c>
      <c r="D3434" t="str">
        <f>"599114      "</f>
        <v xml:space="preserve">599114      </v>
      </c>
      <c r="E3434" t="s">
        <v>1637</v>
      </c>
      <c r="F3434" t="s">
        <v>1638</v>
      </c>
      <c r="G3434">
        <v>140.91999999999999</v>
      </c>
      <c r="H3434">
        <v>250630</v>
      </c>
      <c r="I3434">
        <v>4380</v>
      </c>
      <c r="J3434" t="s">
        <v>211</v>
      </c>
      <c r="K3434">
        <v>140.91999999999999</v>
      </c>
      <c r="L3434">
        <v>28.63</v>
      </c>
      <c r="M3434">
        <v>49501</v>
      </c>
      <c r="N3434" t="s">
        <v>110</v>
      </c>
      <c r="O3434">
        <v>250707</v>
      </c>
      <c r="P3434">
        <v>112.29</v>
      </c>
    </row>
    <row r="3435" spans="1:16" x14ac:dyDescent="0.25">
      <c r="A3435" t="s">
        <v>3296</v>
      </c>
      <c r="B3435" t="s">
        <v>2931</v>
      </c>
      <c r="C3435">
        <v>13464</v>
      </c>
      <c r="D3435" t="str">
        <f>"606488      "</f>
        <v xml:space="preserve">606488      </v>
      </c>
      <c r="E3435" t="s">
        <v>1637</v>
      </c>
      <c r="F3435" t="s">
        <v>1638</v>
      </c>
      <c r="G3435">
        <v>146.53</v>
      </c>
      <c r="H3435">
        <v>250930</v>
      </c>
      <c r="I3435">
        <v>4380</v>
      </c>
      <c r="J3435" t="s">
        <v>211</v>
      </c>
      <c r="K3435">
        <v>146.53</v>
      </c>
      <c r="L3435">
        <v>29.77</v>
      </c>
      <c r="M3435">
        <v>49501</v>
      </c>
      <c r="N3435" t="s">
        <v>110</v>
      </c>
      <c r="O3435">
        <v>251010</v>
      </c>
      <c r="P3435">
        <v>116.76</v>
      </c>
    </row>
    <row r="3436" spans="1:16" x14ac:dyDescent="0.25">
      <c r="A3436" t="s">
        <v>3296</v>
      </c>
      <c r="B3436" t="s">
        <v>2931</v>
      </c>
      <c r="C3436">
        <v>18088</v>
      </c>
      <c r="D3436" t="str">
        <f>"613146      "</f>
        <v xml:space="preserve">613146      </v>
      </c>
      <c r="E3436" t="s">
        <v>1637</v>
      </c>
      <c r="F3436" t="s">
        <v>1638</v>
      </c>
      <c r="G3436">
        <v>182.24</v>
      </c>
      <c r="H3436">
        <v>251231</v>
      </c>
      <c r="I3436">
        <v>4380</v>
      </c>
      <c r="J3436" t="s">
        <v>211</v>
      </c>
      <c r="K3436">
        <v>182.24</v>
      </c>
      <c r="L3436">
        <v>37.03</v>
      </c>
      <c r="M3436">
        <v>49501</v>
      </c>
      <c r="N3436" t="s">
        <v>110</v>
      </c>
      <c r="O3436">
        <v>260108</v>
      </c>
      <c r="P3436">
        <v>145.21</v>
      </c>
    </row>
    <row r="3437" spans="1:16" x14ac:dyDescent="0.25">
      <c r="A3437" t="s">
        <v>3296</v>
      </c>
      <c r="B3437" t="s">
        <v>2931</v>
      </c>
      <c r="C3437">
        <v>11149</v>
      </c>
      <c r="D3437" t="str">
        <f>"6025080141  "</f>
        <v xml:space="preserve">6025080141  </v>
      </c>
      <c r="E3437" t="s">
        <v>2253</v>
      </c>
      <c r="F3437" t="s">
        <v>2254</v>
      </c>
      <c r="G3437">
        <v>612.57000000000005</v>
      </c>
      <c r="H3437">
        <v>250826</v>
      </c>
      <c r="I3437">
        <v>4600</v>
      </c>
      <c r="J3437" t="s">
        <v>278</v>
      </c>
      <c r="K3437">
        <v>998.57</v>
      </c>
      <c r="L3437">
        <v>124.47</v>
      </c>
      <c r="M3437">
        <v>54451</v>
      </c>
      <c r="N3437" t="s">
        <v>218</v>
      </c>
      <c r="O3437">
        <v>250901</v>
      </c>
      <c r="P3437">
        <v>488.1</v>
      </c>
    </row>
    <row r="3438" spans="1:16" x14ac:dyDescent="0.25">
      <c r="A3438" t="s">
        <v>3296</v>
      </c>
      <c r="B3438" t="s">
        <v>2931</v>
      </c>
      <c r="C3438">
        <v>11149</v>
      </c>
      <c r="D3438" t="str">
        <f>"6025080141  "</f>
        <v xml:space="preserve">6025080141  </v>
      </c>
      <c r="E3438" t="s">
        <v>2253</v>
      </c>
      <c r="F3438" t="s">
        <v>2254</v>
      </c>
      <c r="G3438">
        <v>386</v>
      </c>
      <c r="H3438">
        <v>250826</v>
      </c>
      <c r="I3438">
        <v>4600</v>
      </c>
      <c r="J3438" t="s">
        <v>278</v>
      </c>
      <c r="K3438">
        <v>998.57</v>
      </c>
      <c r="L3438">
        <v>78.430000000000007</v>
      </c>
      <c r="M3438">
        <v>56563</v>
      </c>
      <c r="N3438" t="s">
        <v>55</v>
      </c>
      <c r="O3438">
        <v>250901</v>
      </c>
      <c r="P3438">
        <v>307.57</v>
      </c>
    </row>
    <row r="3439" spans="1:16" x14ac:dyDescent="0.25">
      <c r="A3439" t="s">
        <v>3296</v>
      </c>
      <c r="B3439" t="s">
        <v>2931</v>
      </c>
      <c r="C3439">
        <v>9241</v>
      </c>
      <c r="D3439" t="str">
        <f>"2272        "</f>
        <v xml:space="preserve">2272        </v>
      </c>
      <c r="E3439" t="s">
        <v>3038</v>
      </c>
      <c r="F3439" t="s">
        <v>3039</v>
      </c>
      <c r="G3439">
        <v>174.42</v>
      </c>
      <c r="H3439">
        <v>250601</v>
      </c>
      <c r="I3439">
        <v>4420</v>
      </c>
      <c r="J3439" t="s">
        <v>330</v>
      </c>
      <c r="K3439">
        <v>174.42</v>
      </c>
      <c r="L3439">
        <v>0</v>
      </c>
      <c r="M3439">
        <v>16952</v>
      </c>
      <c r="N3439" t="s">
        <v>1348</v>
      </c>
      <c r="O3439">
        <v>250701</v>
      </c>
      <c r="P3439">
        <v>174.42</v>
      </c>
    </row>
    <row r="3440" spans="1:16" x14ac:dyDescent="0.25">
      <c r="A3440" t="s">
        <v>3296</v>
      </c>
      <c r="B3440" t="s">
        <v>2931</v>
      </c>
      <c r="C3440">
        <v>3614</v>
      </c>
      <c r="D3440" t="str">
        <f>"2264        "</f>
        <v xml:space="preserve">2264        </v>
      </c>
      <c r="E3440" t="s">
        <v>3038</v>
      </c>
      <c r="F3440" t="s">
        <v>3039</v>
      </c>
      <c r="G3440">
        <v>1500</v>
      </c>
      <c r="H3440">
        <v>250312</v>
      </c>
      <c r="I3440">
        <v>4860</v>
      </c>
      <c r="J3440" t="s">
        <v>286</v>
      </c>
      <c r="K3440">
        <v>1500</v>
      </c>
      <c r="L3440">
        <v>0</v>
      </c>
      <c r="M3440">
        <v>16952</v>
      </c>
      <c r="N3440" t="s">
        <v>1348</v>
      </c>
      <c r="O3440">
        <v>250326</v>
      </c>
      <c r="P3440">
        <v>1500</v>
      </c>
    </row>
    <row r="3441" spans="1:16" x14ac:dyDescent="0.25">
      <c r="A3441" t="s">
        <v>3296</v>
      </c>
      <c r="B3441" t="s">
        <v>2931</v>
      </c>
      <c r="C3441">
        <v>4102</v>
      </c>
      <c r="D3441" t="str">
        <f>"75456       "</f>
        <v xml:space="preserve">75456       </v>
      </c>
      <c r="E3441" t="s">
        <v>1564</v>
      </c>
      <c r="F3441" t="s">
        <v>1565</v>
      </c>
      <c r="G3441">
        <v>5.9</v>
      </c>
      <c r="H3441">
        <v>250321</v>
      </c>
      <c r="I3441">
        <v>4364</v>
      </c>
      <c r="J3441" t="s">
        <v>470</v>
      </c>
      <c r="K3441">
        <v>283.89999999999998</v>
      </c>
      <c r="L3441">
        <v>1.2</v>
      </c>
      <c r="M3441">
        <v>17521</v>
      </c>
      <c r="N3441" t="s">
        <v>136</v>
      </c>
      <c r="O3441">
        <v>250407</v>
      </c>
      <c r="P3441">
        <v>4.7</v>
      </c>
    </row>
    <row r="3442" spans="1:16" x14ac:dyDescent="0.25">
      <c r="A3442" t="s">
        <v>3296</v>
      </c>
      <c r="B3442" t="s">
        <v>2931</v>
      </c>
      <c r="C3442">
        <v>4102</v>
      </c>
      <c r="D3442" t="str">
        <f>"75456       "</f>
        <v xml:space="preserve">75456       </v>
      </c>
      <c r="E3442" t="s">
        <v>1564</v>
      </c>
      <c r="F3442" t="s">
        <v>1565</v>
      </c>
      <c r="G3442">
        <v>278</v>
      </c>
      <c r="H3442">
        <v>250321</v>
      </c>
      <c r="I3442">
        <v>4600</v>
      </c>
      <c r="J3442" t="s">
        <v>278</v>
      </c>
      <c r="K3442">
        <v>283.89999999999998</v>
      </c>
      <c r="L3442">
        <v>56.49</v>
      </c>
      <c r="M3442">
        <v>17521</v>
      </c>
      <c r="N3442" t="s">
        <v>136</v>
      </c>
      <c r="O3442">
        <v>250407</v>
      </c>
      <c r="P3442">
        <v>221.51</v>
      </c>
    </row>
    <row r="3443" spans="1:16" x14ac:dyDescent="0.25">
      <c r="A3443" t="s">
        <v>3296</v>
      </c>
      <c r="B3443" t="s">
        <v>2931</v>
      </c>
      <c r="C3443">
        <v>992</v>
      </c>
      <c r="D3443" t="str">
        <f>"5054        "</f>
        <v xml:space="preserve">5054        </v>
      </c>
      <c r="E3443" t="s">
        <v>801</v>
      </c>
      <c r="F3443" t="s">
        <v>802</v>
      </c>
      <c r="G3443">
        <v>132.83000000000001</v>
      </c>
      <c r="H3443">
        <v>250127</v>
      </c>
      <c r="I3443">
        <v>4350</v>
      </c>
      <c r="J3443" t="s">
        <v>290</v>
      </c>
      <c r="K3443">
        <v>132.83000000000001</v>
      </c>
      <c r="L3443">
        <v>26.99</v>
      </c>
      <c r="M3443">
        <v>11301</v>
      </c>
      <c r="N3443" t="s">
        <v>92</v>
      </c>
      <c r="O3443">
        <v>250131</v>
      </c>
      <c r="P3443">
        <v>105.84</v>
      </c>
    </row>
    <row r="3444" spans="1:16" x14ac:dyDescent="0.25">
      <c r="A3444" t="s">
        <v>3296</v>
      </c>
      <c r="B3444" t="s">
        <v>2931</v>
      </c>
      <c r="C3444">
        <v>1364</v>
      </c>
      <c r="D3444" t="str">
        <f>"5151        "</f>
        <v xml:space="preserve">5151        </v>
      </c>
      <c r="E3444" t="s">
        <v>801</v>
      </c>
      <c r="F3444" t="s">
        <v>802</v>
      </c>
      <c r="G3444">
        <v>829.05</v>
      </c>
      <c r="H3444">
        <v>250205</v>
      </c>
      <c r="I3444">
        <v>4350</v>
      </c>
      <c r="J3444" t="s">
        <v>290</v>
      </c>
      <c r="K3444">
        <v>829.05</v>
      </c>
      <c r="L3444">
        <v>168.45</v>
      </c>
      <c r="M3444">
        <v>11301</v>
      </c>
      <c r="N3444" t="s">
        <v>92</v>
      </c>
      <c r="O3444">
        <v>250207</v>
      </c>
      <c r="P3444">
        <v>660.6</v>
      </c>
    </row>
    <row r="3445" spans="1:16" x14ac:dyDescent="0.25">
      <c r="A3445" t="s">
        <v>3296</v>
      </c>
      <c r="B3445" t="s">
        <v>2931</v>
      </c>
      <c r="C3445">
        <v>2484</v>
      </c>
      <c r="D3445" t="str">
        <f>"5217        "</f>
        <v xml:space="preserve">5217        </v>
      </c>
      <c r="E3445" t="s">
        <v>801</v>
      </c>
      <c r="F3445" t="s">
        <v>802</v>
      </c>
      <c r="G3445">
        <v>236.48</v>
      </c>
      <c r="H3445">
        <v>250221</v>
      </c>
      <c r="I3445">
        <v>4350</v>
      </c>
      <c r="J3445" t="s">
        <v>290</v>
      </c>
      <c r="K3445">
        <v>340.27</v>
      </c>
      <c r="L3445">
        <v>48.05</v>
      </c>
      <c r="M3445">
        <v>11301</v>
      </c>
      <c r="N3445" t="s">
        <v>92</v>
      </c>
      <c r="O3445">
        <v>250228</v>
      </c>
      <c r="P3445">
        <v>188.43</v>
      </c>
    </row>
    <row r="3446" spans="1:16" x14ac:dyDescent="0.25">
      <c r="A3446" t="s">
        <v>3296</v>
      </c>
      <c r="B3446" t="s">
        <v>2931</v>
      </c>
      <c r="C3446">
        <v>2484</v>
      </c>
      <c r="D3446" t="str">
        <f>"5217        "</f>
        <v xml:space="preserve">5217        </v>
      </c>
      <c r="E3446" t="s">
        <v>801</v>
      </c>
      <c r="F3446" t="s">
        <v>802</v>
      </c>
      <c r="G3446">
        <v>103.79</v>
      </c>
      <c r="H3446">
        <v>250221</v>
      </c>
      <c r="I3446">
        <v>4350</v>
      </c>
      <c r="J3446" t="s">
        <v>290</v>
      </c>
      <c r="K3446">
        <v>340.27</v>
      </c>
      <c r="L3446">
        <v>21.09</v>
      </c>
      <c r="M3446">
        <v>44453</v>
      </c>
      <c r="N3446" t="s">
        <v>100</v>
      </c>
      <c r="O3446">
        <v>250228</v>
      </c>
      <c r="P3446">
        <v>82.7</v>
      </c>
    </row>
    <row r="3447" spans="1:16" x14ac:dyDescent="0.25">
      <c r="A3447" t="s">
        <v>3296</v>
      </c>
      <c r="B3447" t="s">
        <v>2931</v>
      </c>
      <c r="C3447">
        <v>3665</v>
      </c>
      <c r="D3447" t="str">
        <f>"5364        "</f>
        <v xml:space="preserve">5364        </v>
      </c>
      <c r="E3447" t="s">
        <v>801</v>
      </c>
      <c r="F3447" t="s">
        <v>802</v>
      </c>
      <c r="G3447">
        <v>185.99</v>
      </c>
      <c r="H3447">
        <v>250317</v>
      </c>
      <c r="I3447">
        <v>4350</v>
      </c>
      <c r="J3447" t="s">
        <v>290</v>
      </c>
      <c r="K3447">
        <v>185.99</v>
      </c>
      <c r="L3447">
        <v>37.79</v>
      </c>
      <c r="M3447">
        <v>11301</v>
      </c>
      <c r="N3447" t="s">
        <v>92</v>
      </c>
      <c r="O3447">
        <v>250328</v>
      </c>
      <c r="P3447">
        <v>148.19999999999999</v>
      </c>
    </row>
    <row r="3448" spans="1:16" x14ac:dyDescent="0.25">
      <c r="A3448" t="s">
        <v>3296</v>
      </c>
      <c r="B3448" t="s">
        <v>2931</v>
      </c>
      <c r="C3448">
        <v>4307</v>
      </c>
      <c r="D3448" t="str">
        <f>"5547        "</f>
        <v xml:space="preserve">5547        </v>
      </c>
      <c r="E3448" t="s">
        <v>801</v>
      </c>
      <c r="F3448" t="s">
        <v>802</v>
      </c>
      <c r="G3448">
        <v>2172.41</v>
      </c>
      <c r="H3448">
        <v>250328</v>
      </c>
      <c r="I3448">
        <v>4350</v>
      </c>
      <c r="J3448" t="s">
        <v>290</v>
      </c>
      <c r="K3448">
        <v>3644.07</v>
      </c>
      <c r="L3448">
        <v>441.41</v>
      </c>
      <c r="M3448">
        <v>13901</v>
      </c>
      <c r="N3448" t="s">
        <v>116</v>
      </c>
      <c r="O3448">
        <v>250410</v>
      </c>
      <c r="P3448">
        <v>1731</v>
      </c>
    </row>
    <row r="3449" spans="1:16" x14ac:dyDescent="0.25">
      <c r="A3449" t="s">
        <v>3296</v>
      </c>
      <c r="B3449" t="s">
        <v>2931</v>
      </c>
      <c r="C3449">
        <v>4756</v>
      </c>
      <c r="D3449" t="str">
        <f>"5612        "</f>
        <v xml:space="preserve">5612        </v>
      </c>
      <c r="E3449" t="s">
        <v>801</v>
      </c>
      <c r="F3449" t="s">
        <v>802</v>
      </c>
      <c r="G3449">
        <v>137.80000000000001</v>
      </c>
      <c r="H3449">
        <v>250404</v>
      </c>
      <c r="I3449">
        <v>4350</v>
      </c>
      <c r="J3449" t="s">
        <v>290</v>
      </c>
      <c r="K3449">
        <v>137.80000000000001</v>
      </c>
      <c r="L3449">
        <v>28</v>
      </c>
      <c r="M3449">
        <v>14640</v>
      </c>
      <c r="N3449" t="s">
        <v>78</v>
      </c>
      <c r="O3449">
        <v>250415</v>
      </c>
      <c r="P3449">
        <v>109.8</v>
      </c>
    </row>
    <row r="3450" spans="1:16" x14ac:dyDescent="0.25">
      <c r="A3450" t="s">
        <v>3296</v>
      </c>
      <c r="B3450" t="s">
        <v>2931</v>
      </c>
      <c r="C3450">
        <v>10444</v>
      </c>
      <c r="D3450" t="str">
        <f>"6226        "</f>
        <v xml:space="preserve">6226        </v>
      </c>
      <c r="E3450" t="s">
        <v>801</v>
      </c>
      <c r="F3450" t="s">
        <v>802</v>
      </c>
      <c r="G3450">
        <v>2432.1999999999998</v>
      </c>
      <c r="H3450">
        <v>250811</v>
      </c>
      <c r="I3450">
        <v>4350</v>
      </c>
      <c r="J3450" t="s">
        <v>290</v>
      </c>
      <c r="K3450">
        <v>2432.1999999999998</v>
      </c>
      <c r="L3450">
        <v>494.19</v>
      </c>
      <c r="M3450">
        <v>11301</v>
      </c>
      <c r="N3450" t="s">
        <v>92</v>
      </c>
      <c r="O3450">
        <v>250819</v>
      </c>
      <c r="P3450">
        <v>1938.01</v>
      </c>
    </row>
    <row r="3451" spans="1:16" x14ac:dyDescent="0.25">
      <c r="A3451" t="s">
        <v>3296</v>
      </c>
      <c r="B3451" t="s">
        <v>2931</v>
      </c>
      <c r="C3451">
        <v>13429</v>
      </c>
      <c r="D3451" t="str">
        <f>"6535        "</f>
        <v xml:space="preserve">6535        </v>
      </c>
      <c r="E3451" t="s">
        <v>801</v>
      </c>
      <c r="F3451" t="s">
        <v>802</v>
      </c>
      <c r="G3451">
        <v>3752.46</v>
      </c>
      <c r="H3451">
        <v>251003</v>
      </c>
      <c r="I3451">
        <v>4350</v>
      </c>
      <c r="J3451" t="s">
        <v>290</v>
      </c>
      <c r="K3451">
        <v>3752.46</v>
      </c>
      <c r="L3451">
        <v>762.45</v>
      </c>
      <c r="M3451">
        <v>11301</v>
      </c>
      <c r="N3451" t="s">
        <v>92</v>
      </c>
      <c r="O3451">
        <v>251009</v>
      </c>
      <c r="P3451">
        <v>2990.01</v>
      </c>
    </row>
    <row r="3452" spans="1:16" x14ac:dyDescent="0.25">
      <c r="A3452" t="s">
        <v>3296</v>
      </c>
      <c r="B3452" t="s">
        <v>2931</v>
      </c>
      <c r="C3452">
        <v>14743</v>
      </c>
      <c r="D3452" t="str">
        <f>"6676        "</f>
        <v xml:space="preserve">6676        </v>
      </c>
      <c r="E3452" t="s">
        <v>801</v>
      </c>
      <c r="F3452" t="s">
        <v>802</v>
      </c>
      <c r="G3452">
        <v>89.91</v>
      </c>
      <c r="H3452">
        <v>251103</v>
      </c>
      <c r="I3452">
        <v>4350</v>
      </c>
      <c r="J3452" t="s">
        <v>290</v>
      </c>
      <c r="K3452">
        <v>89.91</v>
      </c>
      <c r="L3452">
        <v>18.27</v>
      </c>
      <c r="M3452">
        <v>11301</v>
      </c>
      <c r="N3452" t="s">
        <v>92</v>
      </c>
      <c r="O3452">
        <v>251106</v>
      </c>
      <c r="P3452">
        <v>71.64</v>
      </c>
    </row>
    <row r="3453" spans="1:16" x14ac:dyDescent="0.25">
      <c r="A3453" t="s">
        <v>3296</v>
      </c>
      <c r="B3453" t="s">
        <v>2931</v>
      </c>
      <c r="C3453">
        <v>16154</v>
      </c>
      <c r="D3453" t="str">
        <f>"6882        "</f>
        <v xml:space="preserve">6882        </v>
      </c>
      <c r="E3453" t="s">
        <v>801</v>
      </c>
      <c r="F3453" t="s">
        <v>802</v>
      </c>
      <c r="G3453">
        <v>62</v>
      </c>
      <c r="H3453">
        <v>251127</v>
      </c>
      <c r="I3453">
        <v>4350</v>
      </c>
      <c r="J3453" t="s">
        <v>290</v>
      </c>
      <c r="K3453">
        <v>80.88</v>
      </c>
      <c r="L3453">
        <v>12.6</v>
      </c>
      <c r="M3453">
        <v>11001</v>
      </c>
      <c r="N3453" t="s">
        <v>93</v>
      </c>
      <c r="O3453">
        <v>251204</v>
      </c>
      <c r="P3453">
        <v>49.4</v>
      </c>
    </row>
    <row r="3454" spans="1:16" x14ac:dyDescent="0.25">
      <c r="A3454" t="s">
        <v>3296</v>
      </c>
      <c r="B3454" t="s">
        <v>2931</v>
      </c>
      <c r="C3454">
        <v>4307</v>
      </c>
      <c r="D3454" t="str">
        <f>"5547        "</f>
        <v xml:space="preserve">5547        </v>
      </c>
      <c r="E3454" t="s">
        <v>801</v>
      </c>
      <c r="F3454" t="s">
        <v>802</v>
      </c>
      <c r="G3454">
        <v>1471.66</v>
      </c>
      <c r="H3454">
        <v>250328</v>
      </c>
      <c r="I3454">
        <v>4364</v>
      </c>
      <c r="J3454" t="s">
        <v>470</v>
      </c>
      <c r="K3454">
        <v>3644.07</v>
      </c>
      <c r="L3454">
        <v>299.02</v>
      </c>
      <c r="M3454">
        <v>13940</v>
      </c>
      <c r="N3454" t="s">
        <v>14</v>
      </c>
      <c r="O3454">
        <v>250410</v>
      </c>
      <c r="P3454">
        <v>1172.6400000000001</v>
      </c>
    </row>
    <row r="3455" spans="1:16" x14ac:dyDescent="0.25">
      <c r="A3455" t="s">
        <v>3296</v>
      </c>
      <c r="B3455" t="s">
        <v>2931</v>
      </c>
      <c r="C3455">
        <v>16154</v>
      </c>
      <c r="D3455" t="str">
        <f>"6882        "</f>
        <v xml:space="preserve">6882        </v>
      </c>
      <c r="E3455" t="s">
        <v>801</v>
      </c>
      <c r="F3455" t="s">
        <v>802</v>
      </c>
      <c r="G3455">
        <v>18.88</v>
      </c>
      <c r="H3455">
        <v>251127</v>
      </c>
      <c r="I3455">
        <v>4364</v>
      </c>
      <c r="J3455" t="s">
        <v>470</v>
      </c>
      <c r="K3455">
        <v>80.88</v>
      </c>
      <c r="L3455">
        <v>3.84</v>
      </c>
      <c r="M3455">
        <v>11001</v>
      </c>
      <c r="N3455" t="s">
        <v>93</v>
      </c>
      <c r="O3455">
        <v>251204</v>
      </c>
      <c r="P3455">
        <v>15.04</v>
      </c>
    </row>
    <row r="3456" spans="1:16" x14ac:dyDescent="0.25">
      <c r="A3456" t="s">
        <v>3296</v>
      </c>
      <c r="B3456" t="s">
        <v>2931</v>
      </c>
      <c r="C3456">
        <v>12174</v>
      </c>
      <c r="D3456" t="str">
        <f>"6432        "</f>
        <v xml:space="preserve">6432        </v>
      </c>
      <c r="E3456" t="s">
        <v>801</v>
      </c>
      <c r="F3456" t="s">
        <v>802</v>
      </c>
      <c r="G3456">
        <v>169.3</v>
      </c>
      <c r="H3456">
        <v>250910</v>
      </c>
      <c r="I3456">
        <v>4600</v>
      </c>
      <c r="J3456" t="s">
        <v>278</v>
      </c>
      <c r="K3456">
        <v>169.3</v>
      </c>
      <c r="L3456">
        <v>34.4</v>
      </c>
      <c r="M3456">
        <v>18995</v>
      </c>
      <c r="N3456" t="s">
        <v>2317</v>
      </c>
      <c r="O3456">
        <v>250917</v>
      </c>
      <c r="P3456">
        <v>134.9</v>
      </c>
    </row>
    <row r="3457" spans="1:16" x14ac:dyDescent="0.25">
      <c r="A3457" t="s">
        <v>3296</v>
      </c>
      <c r="B3457" t="s">
        <v>2931</v>
      </c>
      <c r="C3457">
        <v>456</v>
      </c>
      <c r="D3457" t="str">
        <f>"8646        "</f>
        <v xml:space="preserve">8646        </v>
      </c>
      <c r="E3457" t="s">
        <v>530</v>
      </c>
      <c r="F3457" t="s">
        <v>531</v>
      </c>
      <c r="G3457">
        <v>729</v>
      </c>
      <c r="H3457">
        <v>250110</v>
      </c>
      <c r="I3457">
        <v>4400</v>
      </c>
      <c r="J3457" t="s">
        <v>162</v>
      </c>
      <c r="K3457">
        <v>729</v>
      </c>
      <c r="L3457">
        <v>148.12</v>
      </c>
      <c r="M3457">
        <v>69501</v>
      </c>
      <c r="N3457" t="s">
        <v>123</v>
      </c>
      <c r="O3457">
        <v>250122</v>
      </c>
      <c r="P3457">
        <v>580.88</v>
      </c>
    </row>
    <row r="3458" spans="1:16" x14ac:dyDescent="0.25">
      <c r="A3458" t="s">
        <v>3296</v>
      </c>
      <c r="B3458" t="s">
        <v>2931</v>
      </c>
      <c r="C3458">
        <v>1222</v>
      </c>
      <c r="D3458" t="str">
        <f>"8678        "</f>
        <v xml:space="preserve">8678        </v>
      </c>
      <c r="E3458" t="s">
        <v>530</v>
      </c>
      <c r="F3458" t="s">
        <v>531</v>
      </c>
      <c r="G3458">
        <v>280</v>
      </c>
      <c r="H3458">
        <v>250121</v>
      </c>
      <c r="I3458">
        <v>4400</v>
      </c>
      <c r="J3458" t="s">
        <v>162</v>
      </c>
      <c r="K3458">
        <v>280</v>
      </c>
      <c r="L3458">
        <v>56.89</v>
      </c>
      <c r="M3458">
        <v>69501</v>
      </c>
      <c r="N3458" t="s">
        <v>123</v>
      </c>
      <c r="O3458">
        <v>250206</v>
      </c>
      <c r="P3458">
        <v>223.11</v>
      </c>
    </row>
    <row r="3459" spans="1:16" x14ac:dyDescent="0.25">
      <c r="A3459" t="s">
        <v>3296</v>
      </c>
      <c r="B3459" t="s">
        <v>2931</v>
      </c>
      <c r="C3459">
        <v>5519</v>
      </c>
      <c r="D3459" t="str">
        <f>"8974        "</f>
        <v xml:space="preserve">8974        </v>
      </c>
      <c r="E3459" t="s">
        <v>530</v>
      </c>
      <c r="F3459" t="s">
        <v>531</v>
      </c>
      <c r="G3459">
        <v>320</v>
      </c>
      <c r="H3459">
        <v>250408</v>
      </c>
      <c r="I3459">
        <v>4400</v>
      </c>
      <c r="J3459" t="s">
        <v>162</v>
      </c>
      <c r="K3459">
        <v>320</v>
      </c>
      <c r="L3459">
        <v>65.02</v>
      </c>
      <c r="M3459">
        <v>69702</v>
      </c>
      <c r="N3459" t="s">
        <v>124</v>
      </c>
      <c r="O3459">
        <v>250425</v>
      </c>
      <c r="P3459">
        <v>254.98</v>
      </c>
    </row>
    <row r="3460" spans="1:16" x14ac:dyDescent="0.25">
      <c r="A3460" t="s">
        <v>3296</v>
      </c>
      <c r="B3460" t="s">
        <v>2931</v>
      </c>
      <c r="C3460">
        <v>6724</v>
      </c>
      <c r="D3460" t="str">
        <f>"9054        "</f>
        <v xml:space="preserve">9054        </v>
      </c>
      <c r="E3460" t="s">
        <v>530</v>
      </c>
      <c r="F3460" t="s">
        <v>531</v>
      </c>
      <c r="G3460">
        <v>320</v>
      </c>
      <c r="H3460">
        <v>250515</v>
      </c>
      <c r="I3460">
        <v>4400</v>
      </c>
      <c r="J3460" t="s">
        <v>162</v>
      </c>
      <c r="K3460">
        <v>320</v>
      </c>
      <c r="L3460">
        <v>65.02</v>
      </c>
      <c r="M3460">
        <v>67522</v>
      </c>
      <c r="N3460" t="s">
        <v>121</v>
      </c>
      <c r="O3460">
        <v>250516</v>
      </c>
      <c r="P3460">
        <v>254.98</v>
      </c>
    </row>
    <row r="3461" spans="1:16" x14ac:dyDescent="0.25">
      <c r="A3461" t="s">
        <v>3296</v>
      </c>
      <c r="B3461" t="s">
        <v>2931</v>
      </c>
      <c r="C3461">
        <v>7878</v>
      </c>
      <c r="D3461" t="str">
        <f>"9145        "</f>
        <v xml:space="preserve">9145        </v>
      </c>
      <c r="E3461" t="s">
        <v>530</v>
      </c>
      <c r="F3461" t="s">
        <v>531</v>
      </c>
      <c r="G3461">
        <v>345</v>
      </c>
      <c r="H3461">
        <v>250530</v>
      </c>
      <c r="I3461">
        <v>4400</v>
      </c>
      <c r="J3461" t="s">
        <v>162</v>
      </c>
      <c r="K3461">
        <v>345</v>
      </c>
      <c r="L3461">
        <v>70.099999999999994</v>
      </c>
      <c r="M3461">
        <v>69111</v>
      </c>
      <c r="N3461" t="s">
        <v>657</v>
      </c>
      <c r="O3461">
        <v>250610</v>
      </c>
      <c r="P3461">
        <v>274.89999999999998</v>
      </c>
    </row>
    <row r="3462" spans="1:16" x14ac:dyDescent="0.25">
      <c r="A3462" t="s">
        <v>3296</v>
      </c>
      <c r="B3462" t="s">
        <v>2931</v>
      </c>
      <c r="C3462">
        <v>9038</v>
      </c>
      <c r="D3462" t="str">
        <f>"9174        "</f>
        <v xml:space="preserve">9174        </v>
      </c>
      <c r="E3462" t="s">
        <v>530</v>
      </c>
      <c r="F3462" t="s">
        <v>531</v>
      </c>
      <c r="G3462">
        <v>80.5</v>
      </c>
      <c r="H3462">
        <v>250613</v>
      </c>
      <c r="I3462">
        <v>4400</v>
      </c>
      <c r="J3462" t="s">
        <v>162</v>
      </c>
      <c r="K3462">
        <v>80.5</v>
      </c>
      <c r="L3462">
        <v>16.36</v>
      </c>
      <c r="M3462">
        <v>69501</v>
      </c>
      <c r="N3462" t="s">
        <v>123</v>
      </c>
      <c r="O3462">
        <v>250626</v>
      </c>
      <c r="P3462">
        <v>64.14</v>
      </c>
    </row>
    <row r="3463" spans="1:16" x14ac:dyDescent="0.25">
      <c r="A3463" t="s">
        <v>3296</v>
      </c>
      <c r="B3463" t="s">
        <v>2931</v>
      </c>
      <c r="C3463">
        <v>15207</v>
      </c>
      <c r="D3463" t="str">
        <f>"9679        "</f>
        <v xml:space="preserve">9679        </v>
      </c>
      <c r="E3463" t="s">
        <v>530</v>
      </c>
      <c r="F3463" t="s">
        <v>531</v>
      </c>
      <c r="G3463">
        <v>1390</v>
      </c>
      <c r="H3463">
        <v>251106</v>
      </c>
      <c r="I3463">
        <v>4400</v>
      </c>
      <c r="J3463" t="s">
        <v>162</v>
      </c>
      <c r="K3463">
        <v>1390</v>
      </c>
      <c r="L3463">
        <v>282.43</v>
      </c>
      <c r="M3463">
        <v>66756</v>
      </c>
      <c r="N3463" t="s">
        <v>120</v>
      </c>
      <c r="O3463">
        <v>251114</v>
      </c>
      <c r="P3463">
        <v>1107.57</v>
      </c>
    </row>
    <row r="3464" spans="1:16" x14ac:dyDescent="0.25">
      <c r="A3464" t="s">
        <v>3296</v>
      </c>
      <c r="B3464" t="s">
        <v>2931</v>
      </c>
      <c r="C3464">
        <v>15762</v>
      </c>
      <c r="D3464" t="str">
        <f>"8650        "</f>
        <v xml:space="preserve">8650        </v>
      </c>
      <c r="E3464" t="s">
        <v>530</v>
      </c>
      <c r="F3464" t="s">
        <v>531</v>
      </c>
      <c r="G3464">
        <v>-4390.0200000000004</v>
      </c>
      <c r="H3464">
        <v>251125</v>
      </c>
      <c r="I3464">
        <v>4400</v>
      </c>
      <c r="J3464" t="s">
        <v>162</v>
      </c>
      <c r="K3464">
        <v>1119.46</v>
      </c>
      <c r="L3464">
        <v>0</v>
      </c>
      <c r="M3464">
        <v>67554</v>
      </c>
      <c r="N3464" t="s">
        <v>317</v>
      </c>
      <c r="O3464">
        <v>251126</v>
      </c>
      <c r="P3464">
        <v>-4390.0200000000004</v>
      </c>
    </row>
    <row r="3465" spans="1:16" x14ac:dyDescent="0.25">
      <c r="A3465" t="s">
        <v>3296</v>
      </c>
      <c r="B3465" t="s">
        <v>2931</v>
      </c>
      <c r="C3465">
        <v>15762</v>
      </c>
      <c r="D3465" t="str">
        <f>"8650        "</f>
        <v xml:space="preserve">8650        </v>
      </c>
      <c r="E3465" t="s">
        <v>530</v>
      </c>
      <c r="F3465" t="s">
        <v>531</v>
      </c>
      <c r="G3465">
        <v>5509.48</v>
      </c>
      <c r="H3465">
        <v>251125</v>
      </c>
      <c r="I3465">
        <v>4400</v>
      </c>
      <c r="J3465" t="s">
        <v>162</v>
      </c>
      <c r="K3465">
        <v>1119.46</v>
      </c>
      <c r="L3465">
        <v>1119.46</v>
      </c>
      <c r="M3465">
        <v>67554</v>
      </c>
      <c r="N3465" t="s">
        <v>317</v>
      </c>
      <c r="O3465">
        <v>251126</v>
      </c>
      <c r="P3465">
        <v>4390.0200000000004</v>
      </c>
    </row>
    <row r="3466" spans="1:16" x14ac:dyDescent="0.25">
      <c r="A3466" t="s">
        <v>3296</v>
      </c>
      <c r="B3466" t="s">
        <v>2931</v>
      </c>
      <c r="C3466">
        <v>15882</v>
      </c>
      <c r="D3466" t="str">
        <f>"9748        "</f>
        <v xml:space="preserve">9748        </v>
      </c>
      <c r="E3466" t="s">
        <v>530</v>
      </c>
      <c r="F3466" t="s">
        <v>531</v>
      </c>
      <c r="G3466">
        <v>313</v>
      </c>
      <c r="H3466">
        <v>251121</v>
      </c>
      <c r="I3466">
        <v>4400</v>
      </c>
      <c r="J3466" t="s">
        <v>162</v>
      </c>
      <c r="K3466">
        <v>313</v>
      </c>
      <c r="L3466">
        <v>63.6</v>
      </c>
      <c r="M3466">
        <v>67554</v>
      </c>
      <c r="N3466" t="s">
        <v>317</v>
      </c>
      <c r="O3466">
        <v>251127</v>
      </c>
      <c r="P3466">
        <v>249.4</v>
      </c>
    </row>
    <row r="3467" spans="1:16" x14ac:dyDescent="0.25">
      <c r="A3467" t="s">
        <v>3296</v>
      </c>
      <c r="B3467" t="s">
        <v>2931</v>
      </c>
      <c r="C3467">
        <v>16851</v>
      </c>
      <c r="D3467" t="str">
        <f>"9799        "</f>
        <v xml:space="preserve">9799        </v>
      </c>
      <c r="E3467" t="s">
        <v>530</v>
      </c>
      <c r="F3467" t="s">
        <v>531</v>
      </c>
      <c r="G3467">
        <v>646</v>
      </c>
      <c r="H3467">
        <v>251204</v>
      </c>
      <c r="I3467">
        <v>4400</v>
      </c>
      <c r="J3467" t="s">
        <v>162</v>
      </c>
      <c r="K3467">
        <v>646</v>
      </c>
      <c r="L3467">
        <v>131.26</v>
      </c>
      <c r="M3467">
        <v>67522</v>
      </c>
      <c r="N3467" t="s">
        <v>121</v>
      </c>
      <c r="O3467">
        <v>251215</v>
      </c>
      <c r="P3467">
        <v>514.74</v>
      </c>
    </row>
    <row r="3468" spans="1:16" x14ac:dyDescent="0.25">
      <c r="A3468" t="s">
        <v>3296</v>
      </c>
      <c r="B3468" t="s">
        <v>2931</v>
      </c>
      <c r="C3468">
        <v>227</v>
      </c>
      <c r="D3468" t="str">
        <f>"27891       "</f>
        <v xml:space="preserve">27891       </v>
      </c>
      <c r="E3468" t="s">
        <v>358</v>
      </c>
      <c r="F3468" t="s">
        <v>359</v>
      </c>
      <c r="G3468">
        <v>543.59</v>
      </c>
      <c r="H3468">
        <v>250108</v>
      </c>
      <c r="I3468">
        <v>4550</v>
      </c>
      <c r="J3468" t="s">
        <v>226</v>
      </c>
      <c r="K3468">
        <v>792.08</v>
      </c>
      <c r="L3468">
        <v>110.45</v>
      </c>
      <c r="M3468">
        <v>59113</v>
      </c>
      <c r="N3468" t="s">
        <v>61</v>
      </c>
      <c r="O3468">
        <v>250120</v>
      </c>
      <c r="P3468">
        <v>433.14</v>
      </c>
    </row>
    <row r="3469" spans="1:16" x14ac:dyDescent="0.25">
      <c r="A3469" t="s">
        <v>3296</v>
      </c>
      <c r="B3469" t="s">
        <v>2931</v>
      </c>
      <c r="C3469">
        <v>227</v>
      </c>
      <c r="D3469" t="str">
        <f>"27891       "</f>
        <v xml:space="preserve">27891       </v>
      </c>
      <c r="E3469" t="s">
        <v>358</v>
      </c>
      <c r="F3469" t="s">
        <v>359</v>
      </c>
      <c r="G3469">
        <v>248.49</v>
      </c>
      <c r="H3469">
        <v>250108</v>
      </c>
      <c r="I3469">
        <v>4600</v>
      </c>
      <c r="J3469" t="s">
        <v>278</v>
      </c>
      <c r="K3469">
        <v>792.08</v>
      </c>
      <c r="L3469">
        <v>50.49</v>
      </c>
      <c r="M3469">
        <v>59113</v>
      </c>
      <c r="N3469" t="s">
        <v>61</v>
      </c>
      <c r="O3469">
        <v>250120</v>
      </c>
      <c r="P3469">
        <v>198</v>
      </c>
    </row>
    <row r="3470" spans="1:16" x14ac:dyDescent="0.25">
      <c r="A3470" t="s">
        <v>3296</v>
      </c>
      <c r="B3470" t="s">
        <v>2931</v>
      </c>
      <c r="C3470">
        <v>6250</v>
      </c>
      <c r="D3470" t="str">
        <f>"88277       "</f>
        <v xml:space="preserve">88277       </v>
      </c>
      <c r="E3470" t="s">
        <v>1859</v>
      </c>
      <c r="F3470" t="s">
        <v>1860</v>
      </c>
      <c r="G3470">
        <v>213.35</v>
      </c>
      <c r="H3470">
        <v>250430</v>
      </c>
      <c r="I3470">
        <v>4600</v>
      </c>
      <c r="J3470" t="s">
        <v>278</v>
      </c>
      <c r="K3470">
        <v>213.35</v>
      </c>
      <c r="L3470">
        <v>43.35</v>
      </c>
      <c r="M3470">
        <v>17633</v>
      </c>
      <c r="N3470" t="s">
        <v>628</v>
      </c>
      <c r="O3470">
        <v>250512</v>
      </c>
      <c r="P3470">
        <v>170</v>
      </c>
    </row>
    <row r="3471" spans="1:16" x14ac:dyDescent="0.25">
      <c r="A3471" t="s">
        <v>3296</v>
      </c>
      <c r="B3471" t="s">
        <v>2931</v>
      </c>
      <c r="C3471">
        <v>7133</v>
      </c>
      <c r="D3471" t="str">
        <f>"88292       "</f>
        <v xml:space="preserve">88292       </v>
      </c>
      <c r="E3471" t="s">
        <v>1859</v>
      </c>
      <c r="F3471" t="s">
        <v>1860</v>
      </c>
      <c r="G3471">
        <v>160</v>
      </c>
      <c r="H3471">
        <v>250514</v>
      </c>
      <c r="I3471">
        <v>4600</v>
      </c>
      <c r="J3471" t="s">
        <v>278</v>
      </c>
      <c r="K3471">
        <v>160</v>
      </c>
      <c r="L3471">
        <v>32.51</v>
      </c>
      <c r="M3471">
        <v>17633</v>
      </c>
      <c r="N3471" t="s">
        <v>628</v>
      </c>
      <c r="O3471">
        <v>250523</v>
      </c>
      <c r="P3471">
        <v>127.49</v>
      </c>
    </row>
    <row r="3472" spans="1:16" x14ac:dyDescent="0.25">
      <c r="A3472" t="s">
        <v>3296</v>
      </c>
      <c r="B3472" t="s">
        <v>2931</v>
      </c>
      <c r="C3472">
        <v>766</v>
      </c>
      <c r="D3472" t="str">
        <f>"3004509030  "</f>
        <v xml:space="preserve">3004509030  </v>
      </c>
      <c r="E3472" t="s">
        <v>721</v>
      </c>
      <c r="F3472" t="s">
        <v>722</v>
      </c>
      <c r="G3472">
        <v>13.6</v>
      </c>
      <c r="H3472">
        <v>250119</v>
      </c>
      <c r="I3472">
        <v>4410</v>
      </c>
      <c r="J3472" t="s">
        <v>165</v>
      </c>
      <c r="K3472">
        <v>205.18</v>
      </c>
      <c r="L3472">
        <v>0</v>
      </c>
      <c r="M3472">
        <v>14972</v>
      </c>
      <c r="N3472" t="s">
        <v>82</v>
      </c>
      <c r="O3472">
        <v>250129</v>
      </c>
      <c r="P3472">
        <v>13.6</v>
      </c>
    </row>
    <row r="3473" spans="1:16" x14ac:dyDescent="0.25">
      <c r="A3473" t="s">
        <v>3296</v>
      </c>
      <c r="B3473" t="s">
        <v>2931</v>
      </c>
      <c r="C3473">
        <v>766</v>
      </c>
      <c r="D3473" t="str">
        <f>"3004509030  "</f>
        <v xml:space="preserve">3004509030  </v>
      </c>
      <c r="E3473" t="s">
        <v>721</v>
      </c>
      <c r="F3473" t="s">
        <v>722</v>
      </c>
      <c r="G3473">
        <v>191.58</v>
      </c>
      <c r="H3473">
        <v>250119</v>
      </c>
      <c r="I3473">
        <v>4410</v>
      </c>
      <c r="J3473" t="s">
        <v>165</v>
      </c>
      <c r="K3473">
        <v>205.18</v>
      </c>
      <c r="L3473">
        <v>23.53</v>
      </c>
      <c r="M3473">
        <v>14972</v>
      </c>
      <c r="N3473" t="s">
        <v>82</v>
      </c>
      <c r="O3473">
        <v>250129</v>
      </c>
      <c r="P3473">
        <v>168.05</v>
      </c>
    </row>
    <row r="3474" spans="1:16" x14ac:dyDescent="0.25">
      <c r="A3474" t="s">
        <v>3296</v>
      </c>
      <c r="B3474" t="s">
        <v>2931</v>
      </c>
      <c r="C3474">
        <v>2001</v>
      </c>
      <c r="D3474" t="str">
        <f>"3004561524  "</f>
        <v xml:space="preserve">3004561524  </v>
      </c>
      <c r="E3474" t="s">
        <v>721</v>
      </c>
      <c r="F3474" t="s">
        <v>722</v>
      </c>
      <c r="G3474">
        <v>6.8</v>
      </c>
      <c r="H3474">
        <v>250208</v>
      </c>
      <c r="I3474">
        <v>4410</v>
      </c>
      <c r="J3474" t="s">
        <v>165</v>
      </c>
      <c r="K3474">
        <v>98.21</v>
      </c>
      <c r="L3474">
        <v>0</v>
      </c>
      <c r="M3474">
        <v>14972</v>
      </c>
      <c r="N3474" t="s">
        <v>82</v>
      </c>
      <c r="O3474">
        <v>250218</v>
      </c>
      <c r="P3474">
        <v>6.8</v>
      </c>
    </row>
    <row r="3475" spans="1:16" x14ac:dyDescent="0.25">
      <c r="A3475" t="s">
        <v>3296</v>
      </c>
      <c r="B3475" t="s">
        <v>2931</v>
      </c>
      <c r="C3475">
        <v>2001</v>
      </c>
      <c r="D3475" t="str">
        <f>"3004561524  "</f>
        <v xml:space="preserve">3004561524  </v>
      </c>
      <c r="E3475" t="s">
        <v>721</v>
      </c>
      <c r="F3475" t="s">
        <v>722</v>
      </c>
      <c r="G3475">
        <v>91.41</v>
      </c>
      <c r="H3475">
        <v>250208</v>
      </c>
      <c r="I3475">
        <v>4410</v>
      </c>
      <c r="J3475" t="s">
        <v>165</v>
      </c>
      <c r="K3475">
        <v>98.21</v>
      </c>
      <c r="L3475">
        <v>11.23</v>
      </c>
      <c r="M3475">
        <v>14972</v>
      </c>
      <c r="N3475" t="s">
        <v>82</v>
      </c>
      <c r="O3475">
        <v>250218</v>
      </c>
      <c r="P3475">
        <v>80.180000000000007</v>
      </c>
    </row>
    <row r="3476" spans="1:16" x14ac:dyDescent="0.25">
      <c r="A3476" t="s">
        <v>3296</v>
      </c>
      <c r="B3476" t="s">
        <v>2931</v>
      </c>
      <c r="C3476">
        <v>6051</v>
      </c>
      <c r="D3476" t="str">
        <f>"3004721531  "</f>
        <v xml:space="preserve">3004721531  </v>
      </c>
      <c r="E3476" t="s">
        <v>721</v>
      </c>
      <c r="F3476" t="s">
        <v>722</v>
      </c>
      <c r="G3476">
        <v>34</v>
      </c>
      <c r="H3476">
        <v>250426</v>
      </c>
      <c r="I3476">
        <v>4410</v>
      </c>
      <c r="J3476" t="s">
        <v>165</v>
      </c>
      <c r="K3476">
        <v>392.84</v>
      </c>
      <c r="L3476">
        <v>0</v>
      </c>
      <c r="M3476">
        <v>14640</v>
      </c>
      <c r="N3476" t="s">
        <v>78</v>
      </c>
      <c r="O3476">
        <v>250508</v>
      </c>
      <c r="P3476">
        <v>34</v>
      </c>
    </row>
    <row r="3477" spans="1:16" x14ac:dyDescent="0.25">
      <c r="A3477" t="s">
        <v>3296</v>
      </c>
      <c r="B3477" t="s">
        <v>2931</v>
      </c>
      <c r="C3477">
        <v>11956</v>
      </c>
      <c r="D3477" t="str">
        <f>"3005005184  "</f>
        <v xml:space="preserve">3005005184  </v>
      </c>
      <c r="E3477" t="s">
        <v>721</v>
      </c>
      <c r="F3477" t="s">
        <v>722</v>
      </c>
      <c r="G3477">
        <v>196.42</v>
      </c>
      <c r="H3477">
        <v>250905</v>
      </c>
      <c r="I3477">
        <v>4410</v>
      </c>
      <c r="J3477" t="s">
        <v>165</v>
      </c>
      <c r="K3477">
        <v>196.42</v>
      </c>
      <c r="L3477">
        <v>24.12</v>
      </c>
      <c r="M3477">
        <v>14640</v>
      </c>
      <c r="N3477" t="s">
        <v>78</v>
      </c>
      <c r="O3477">
        <v>250912</v>
      </c>
      <c r="P3477">
        <v>172.3</v>
      </c>
    </row>
    <row r="3478" spans="1:16" x14ac:dyDescent="0.25">
      <c r="A3478" t="s">
        <v>3296</v>
      </c>
      <c r="B3478" t="s">
        <v>2931</v>
      </c>
      <c r="C3478">
        <v>15920</v>
      </c>
      <c r="D3478" t="str">
        <f>"3005157416  "</f>
        <v xml:space="preserve">3005157416  </v>
      </c>
      <c r="E3478" t="s">
        <v>721</v>
      </c>
      <c r="F3478" t="s">
        <v>722</v>
      </c>
      <c r="G3478">
        <v>6.8</v>
      </c>
      <c r="H3478">
        <v>251115</v>
      </c>
      <c r="I3478">
        <v>4410</v>
      </c>
      <c r="J3478" t="s">
        <v>165</v>
      </c>
      <c r="K3478">
        <v>98.21</v>
      </c>
      <c r="L3478">
        <v>0</v>
      </c>
      <c r="M3478">
        <v>14640</v>
      </c>
      <c r="N3478" t="s">
        <v>78</v>
      </c>
      <c r="O3478">
        <v>251201</v>
      </c>
      <c r="P3478">
        <v>6.8</v>
      </c>
    </row>
    <row r="3479" spans="1:16" x14ac:dyDescent="0.25">
      <c r="A3479" t="s">
        <v>3296</v>
      </c>
      <c r="B3479" t="s">
        <v>2931</v>
      </c>
      <c r="C3479">
        <v>15920</v>
      </c>
      <c r="D3479" t="str">
        <f>"3005157416  "</f>
        <v xml:space="preserve">3005157416  </v>
      </c>
      <c r="E3479" t="s">
        <v>721</v>
      </c>
      <c r="F3479" t="s">
        <v>722</v>
      </c>
      <c r="G3479">
        <v>91.41</v>
      </c>
      <c r="H3479">
        <v>251115</v>
      </c>
      <c r="I3479">
        <v>4410</v>
      </c>
      <c r="J3479" t="s">
        <v>165</v>
      </c>
      <c r="K3479">
        <v>98.21</v>
      </c>
      <c r="L3479">
        <v>11.23</v>
      </c>
      <c r="M3479">
        <v>14640</v>
      </c>
      <c r="N3479" t="s">
        <v>78</v>
      </c>
      <c r="O3479">
        <v>251201</v>
      </c>
      <c r="P3479">
        <v>80.180000000000007</v>
      </c>
    </row>
    <row r="3480" spans="1:16" x14ac:dyDescent="0.25">
      <c r="A3480" t="s">
        <v>3296</v>
      </c>
      <c r="B3480" t="s">
        <v>2931</v>
      </c>
      <c r="C3480">
        <v>2638</v>
      </c>
      <c r="D3480" t="str">
        <f>"3004580228  "</f>
        <v xml:space="preserve">3004580228  </v>
      </c>
      <c r="E3480" t="s">
        <v>721</v>
      </c>
      <c r="F3480" t="s">
        <v>722</v>
      </c>
      <c r="G3480">
        <v>6.8</v>
      </c>
      <c r="H3480">
        <v>250222</v>
      </c>
      <c r="I3480">
        <v>4412</v>
      </c>
      <c r="J3480" t="s">
        <v>884</v>
      </c>
      <c r="K3480">
        <v>98.21</v>
      </c>
      <c r="L3480">
        <v>0</v>
      </c>
      <c r="M3480">
        <v>14640</v>
      </c>
      <c r="N3480" t="s">
        <v>78</v>
      </c>
      <c r="O3480">
        <v>250307</v>
      </c>
      <c r="P3480">
        <v>6.8</v>
      </c>
    </row>
    <row r="3481" spans="1:16" x14ac:dyDescent="0.25">
      <c r="A3481" t="s">
        <v>3296</v>
      </c>
      <c r="B3481" t="s">
        <v>2931</v>
      </c>
      <c r="C3481">
        <v>2638</v>
      </c>
      <c r="D3481" t="str">
        <f>"3004580228  "</f>
        <v xml:space="preserve">3004580228  </v>
      </c>
      <c r="E3481" t="s">
        <v>721</v>
      </c>
      <c r="F3481" t="s">
        <v>722</v>
      </c>
      <c r="G3481">
        <v>91.41</v>
      </c>
      <c r="H3481">
        <v>250222</v>
      </c>
      <c r="I3481">
        <v>4412</v>
      </c>
      <c r="J3481" t="s">
        <v>884</v>
      </c>
      <c r="K3481">
        <v>98.21</v>
      </c>
      <c r="L3481">
        <v>11.23</v>
      </c>
      <c r="M3481">
        <v>14640</v>
      </c>
      <c r="N3481" t="s">
        <v>78</v>
      </c>
      <c r="O3481">
        <v>250307</v>
      </c>
      <c r="P3481">
        <v>80.180000000000007</v>
      </c>
    </row>
    <row r="3482" spans="1:16" x14ac:dyDescent="0.25">
      <c r="A3482" t="s">
        <v>3296</v>
      </c>
      <c r="B3482" t="s">
        <v>2931</v>
      </c>
      <c r="C3482">
        <v>6051</v>
      </c>
      <c r="D3482" t="str">
        <f>"3004721531  "</f>
        <v xml:space="preserve">3004721531  </v>
      </c>
      <c r="E3482" t="s">
        <v>721</v>
      </c>
      <c r="F3482" t="s">
        <v>722</v>
      </c>
      <c r="G3482">
        <v>358.84</v>
      </c>
      <c r="H3482">
        <v>250426</v>
      </c>
      <c r="I3482">
        <v>4412</v>
      </c>
      <c r="J3482" t="s">
        <v>884</v>
      </c>
      <c r="K3482">
        <v>392.84</v>
      </c>
      <c r="L3482">
        <v>44.07</v>
      </c>
      <c r="M3482">
        <v>14640</v>
      </c>
      <c r="N3482" t="s">
        <v>78</v>
      </c>
      <c r="O3482">
        <v>250508</v>
      </c>
      <c r="P3482">
        <v>314.77</v>
      </c>
    </row>
    <row r="3483" spans="1:16" x14ac:dyDescent="0.25">
      <c r="A3483" t="s">
        <v>3296</v>
      </c>
      <c r="B3483" t="s">
        <v>2931</v>
      </c>
      <c r="C3483">
        <v>16084</v>
      </c>
      <c r="D3483" t="str">
        <f>"3005177960  "</f>
        <v xml:space="preserve">3005177960  </v>
      </c>
      <c r="E3483" t="s">
        <v>721</v>
      </c>
      <c r="F3483" t="s">
        <v>722</v>
      </c>
      <c r="G3483">
        <v>13.6</v>
      </c>
      <c r="H3483">
        <v>251129</v>
      </c>
      <c r="I3483">
        <v>4412</v>
      </c>
      <c r="J3483" t="s">
        <v>884</v>
      </c>
      <c r="K3483">
        <v>196.42</v>
      </c>
      <c r="L3483">
        <v>0</v>
      </c>
      <c r="M3483">
        <v>14640</v>
      </c>
      <c r="N3483" t="s">
        <v>78</v>
      </c>
      <c r="O3483">
        <v>251203</v>
      </c>
      <c r="P3483">
        <v>13.6</v>
      </c>
    </row>
    <row r="3484" spans="1:16" x14ac:dyDescent="0.25">
      <c r="A3484" t="s">
        <v>3296</v>
      </c>
      <c r="B3484" t="s">
        <v>2931</v>
      </c>
      <c r="C3484">
        <v>16084</v>
      </c>
      <c r="D3484" t="str">
        <f>"3005177960  "</f>
        <v xml:space="preserve">3005177960  </v>
      </c>
      <c r="E3484" t="s">
        <v>721</v>
      </c>
      <c r="F3484" t="s">
        <v>722</v>
      </c>
      <c r="G3484">
        <v>182.82</v>
      </c>
      <c r="H3484">
        <v>251129</v>
      </c>
      <c r="I3484">
        <v>4412</v>
      </c>
      <c r="J3484" t="s">
        <v>884</v>
      </c>
      <c r="K3484">
        <v>196.42</v>
      </c>
      <c r="L3484">
        <v>22.45</v>
      </c>
      <c r="M3484">
        <v>14640</v>
      </c>
      <c r="N3484" t="s">
        <v>78</v>
      </c>
      <c r="O3484">
        <v>251203</v>
      </c>
      <c r="P3484">
        <v>160.37</v>
      </c>
    </row>
    <row r="3485" spans="1:16" x14ac:dyDescent="0.25">
      <c r="A3485" t="s">
        <v>3296</v>
      </c>
      <c r="B3485" t="s">
        <v>2931</v>
      </c>
      <c r="C3485">
        <v>507</v>
      </c>
      <c r="D3485" t="str">
        <f t="shared" ref="D3485:D3490" si="82">"3004506892  "</f>
        <v xml:space="preserve">3004506892  </v>
      </c>
      <c r="E3485" t="s">
        <v>563</v>
      </c>
      <c r="F3485" t="s">
        <v>564</v>
      </c>
      <c r="G3485">
        <v>2.5</v>
      </c>
      <c r="H3485">
        <v>250116</v>
      </c>
      <c r="I3485">
        <v>4347</v>
      </c>
      <c r="J3485" t="s">
        <v>328</v>
      </c>
      <c r="K3485">
        <v>226.32</v>
      </c>
      <c r="L3485">
        <v>0.51</v>
      </c>
      <c r="M3485">
        <v>13401</v>
      </c>
      <c r="N3485" t="s">
        <v>10</v>
      </c>
      <c r="O3485">
        <v>250123</v>
      </c>
      <c r="P3485">
        <v>1.99</v>
      </c>
    </row>
    <row r="3486" spans="1:16" x14ac:dyDescent="0.25">
      <c r="A3486" t="s">
        <v>3296</v>
      </c>
      <c r="B3486" t="s">
        <v>2931</v>
      </c>
      <c r="C3486">
        <v>507</v>
      </c>
      <c r="D3486" t="str">
        <f t="shared" si="82"/>
        <v xml:space="preserve">3004506892  </v>
      </c>
      <c r="E3486" t="s">
        <v>563</v>
      </c>
      <c r="F3486" t="s">
        <v>564</v>
      </c>
      <c r="G3486">
        <v>2.5</v>
      </c>
      <c r="H3486">
        <v>250116</v>
      </c>
      <c r="I3486">
        <v>4347</v>
      </c>
      <c r="J3486" t="s">
        <v>328</v>
      </c>
      <c r="K3486">
        <v>226.32</v>
      </c>
      <c r="L3486">
        <v>0.51</v>
      </c>
      <c r="M3486">
        <v>17974</v>
      </c>
      <c r="N3486" t="s">
        <v>153</v>
      </c>
      <c r="O3486">
        <v>250123</v>
      </c>
      <c r="P3486">
        <v>1.99</v>
      </c>
    </row>
    <row r="3487" spans="1:16" x14ac:dyDescent="0.25">
      <c r="A3487" t="s">
        <v>3296</v>
      </c>
      <c r="B3487" t="s">
        <v>2931</v>
      </c>
      <c r="C3487">
        <v>507</v>
      </c>
      <c r="D3487" t="str">
        <f t="shared" si="82"/>
        <v xml:space="preserve">3004506892  </v>
      </c>
      <c r="E3487" t="s">
        <v>563</v>
      </c>
      <c r="F3487" t="s">
        <v>564</v>
      </c>
      <c r="G3487">
        <v>6.8</v>
      </c>
      <c r="H3487">
        <v>250116</v>
      </c>
      <c r="I3487">
        <v>4410</v>
      </c>
      <c r="J3487" t="s">
        <v>165</v>
      </c>
      <c r="K3487">
        <v>226.32</v>
      </c>
      <c r="L3487">
        <v>0</v>
      </c>
      <c r="M3487">
        <v>13401</v>
      </c>
      <c r="N3487" t="s">
        <v>10</v>
      </c>
      <c r="O3487">
        <v>250123</v>
      </c>
      <c r="P3487">
        <v>6.8</v>
      </c>
    </row>
    <row r="3488" spans="1:16" x14ac:dyDescent="0.25">
      <c r="A3488" t="s">
        <v>3296</v>
      </c>
      <c r="B3488" t="s">
        <v>2931</v>
      </c>
      <c r="C3488">
        <v>507</v>
      </c>
      <c r="D3488" t="str">
        <f t="shared" si="82"/>
        <v xml:space="preserve">3004506892  </v>
      </c>
      <c r="E3488" t="s">
        <v>563</v>
      </c>
      <c r="F3488" t="s">
        <v>564</v>
      </c>
      <c r="G3488">
        <v>93.86</v>
      </c>
      <c r="H3488">
        <v>250116</v>
      </c>
      <c r="I3488">
        <v>4410</v>
      </c>
      <c r="J3488" t="s">
        <v>165</v>
      </c>
      <c r="K3488">
        <v>226.32</v>
      </c>
      <c r="L3488">
        <v>11.53</v>
      </c>
      <c r="M3488">
        <v>13401</v>
      </c>
      <c r="N3488" t="s">
        <v>10</v>
      </c>
      <c r="O3488">
        <v>250123</v>
      </c>
      <c r="P3488">
        <v>82.33</v>
      </c>
    </row>
    <row r="3489" spans="1:16" x14ac:dyDescent="0.25">
      <c r="A3489" t="s">
        <v>3296</v>
      </c>
      <c r="B3489" t="s">
        <v>2931</v>
      </c>
      <c r="C3489">
        <v>507</v>
      </c>
      <c r="D3489" t="str">
        <f t="shared" si="82"/>
        <v xml:space="preserve">3004506892  </v>
      </c>
      <c r="E3489" t="s">
        <v>563</v>
      </c>
      <c r="F3489" t="s">
        <v>564</v>
      </c>
      <c r="G3489">
        <v>6.8</v>
      </c>
      <c r="H3489">
        <v>250116</v>
      </c>
      <c r="I3489">
        <v>4410</v>
      </c>
      <c r="J3489" t="s">
        <v>165</v>
      </c>
      <c r="K3489">
        <v>226.32</v>
      </c>
      <c r="L3489">
        <v>0</v>
      </c>
      <c r="M3489">
        <v>17974</v>
      </c>
      <c r="N3489" t="s">
        <v>153</v>
      </c>
      <c r="O3489">
        <v>250123</v>
      </c>
      <c r="P3489">
        <v>6.8</v>
      </c>
    </row>
    <row r="3490" spans="1:16" x14ac:dyDescent="0.25">
      <c r="A3490" t="s">
        <v>3296</v>
      </c>
      <c r="B3490" t="s">
        <v>2931</v>
      </c>
      <c r="C3490">
        <v>507</v>
      </c>
      <c r="D3490" t="str">
        <f t="shared" si="82"/>
        <v xml:space="preserve">3004506892  </v>
      </c>
      <c r="E3490" t="s">
        <v>563</v>
      </c>
      <c r="F3490" t="s">
        <v>564</v>
      </c>
      <c r="G3490">
        <v>93.86</v>
      </c>
      <c r="H3490">
        <v>250116</v>
      </c>
      <c r="I3490">
        <v>4410</v>
      </c>
      <c r="J3490" t="s">
        <v>165</v>
      </c>
      <c r="K3490">
        <v>226.32</v>
      </c>
      <c r="L3490">
        <v>11.53</v>
      </c>
      <c r="M3490">
        <v>17974</v>
      </c>
      <c r="N3490" t="s">
        <v>153</v>
      </c>
      <c r="O3490">
        <v>250123</v>
      </c>
      <c r="P3490">
        <v>82.33</v>
      </c>
    </row>
    <row r="3491" spans="1:16" x14ac:dyDescent="0.25">
      <c r="A3491" t="s">
        <v>3296</v>
      </c>
      <c r="B3491" t="s">
        <v>2931</v>
      </c>
      <c r="C3491">
        <v>7282</v>
      </c>
      <c r="D3491" t="str">
        <f>"3004777114  "</f>
        <v xml:space="preserve">3004777114  </v>
      </c>
      <c r="E3491" t="s">
        <v>563</v>
      </c>
      <c r="F3491" t="s">
        <v>564</v>
      </c>
      <c r="G3491">
        <v>5</v>
      </c>
      <c r="H3491">
        <v>250516</v>
      </c>
      <c r="I3491">
        <v>4410</v>
      </c>
      <c r="J3491" t="s">
        <v>165</v>
      </c>
      <c r="K3491">
        <v>125.61</v>
      </c>
      <c r="L3491">
        <v>1.02</v>
      </c>
      <c r="M3491">
        <v>17524</v>
      </c>
      <c r="N3491" t="s">
        <v>139</v>
      </c>
      <c r="O3491">
        <v>250602</v>
      </c>
      <c r="P3491">
        <v>3.98</v>
      </c>
    </row>
    <row r="3492" spans="1:16" x14ac:dyDescent="0.25">
      <c r="A3492" t="s">
        <v>3296</v>
      </c>
      <c r="B3492" t="s">
        <v>2931</v>
      </c>
      <c r="C3492">
        <v>7282</v>
      </c>
      <c r="D3492" t="str">
        <f>"3004777114  "</f>
        <v xml:space="preserve">3004777114  </v>
      </c>
      <c r="E3492" t="s">
        <v>563</v>
      </c>
      <c r="F3492" t="s">
        <v>564</v>
      </c>
      <c r="G3492">
        <v>6.8</v>
      </c>
      <c r="H3492">
        <v>250516</v>
      </c>
      <c r="I3492">
        <v>4410</v>
      </c>
      <c r="J3492" t="s">
        <v>165</v>
      </c>
      <c r="K3492">
        <v>125.61</v>
      </c>
      <c r="L3492">
        <v>0</v>
      </c>
      <c r="M3492">
        <v>17524</v>
      </c>
      <c r="N3492" t="s">
        <v>139</v>
      </c>
      <c r="O3492">
        <v>250602</v>
      </c>
      <c r="P3492">
        <v>6.8</v>
      </c>
    </row>
    <row r="3493" spans="1:16" x14ac:dyDescent="0.25">
      <c r="A3493" t="s">
        <v>3296</v>
      </c>
      <c r="B3493" t="s">
        <v>2931</v>
      </c>
      <c r="C3493">
        <v>7282</v>
      </c>
      <c r="D3493" t="str">
        <f>"3004777114  "</f>
        <v xml:space="preserve">3004777114  </v>
      </c>
      <c r="E3493" t="s">
        <v>563</v>
      </c>
      <c r="F3493" t="s">
        <v>564</v>
      </c>
      <c r="G3493">
        <v>11</v>
      </c>
      <c r="H3493">
        <v>250516</v>
      </c>
      <c r="I3493">
        <v>4410</v>
      </c>
      <c r="J3493" t="s">
        <v>165</v>
      </c>
      <c r="K3493">
        <v>125.61</v>
      </c>
      <c r="L3493">
        <v>2.2400000000000002</v>
      </c>
      <c r="M3493">
        <v>17524</v>
      </c>
      <c r="N3493" t="s">
        <v>139</v>
      </c>
      <c r="O3493">
        <v>250602</v>
      </c>
      <c r="P3493">
        <v>8.76</v>
      </c>
    </row>
    <row r="3494" spans="1:16" x14ac:dyDescent="0.25">
      <c r="A3494" t="s">
        <v>3296</v>
      </c>
      <c r="B3494" t="s">
        <v>2931</v>
      </c>
      <c r="C3494">
        <v>7282</v>
      </c>
      <c r="D3494" t="str">
        <f>"3004777114  "</f>
        <v xml:space="preserve">3004777114  </v>
      </c>
      <c r="E3494" t="s">
        <v>563</v>
      </c>
      <c r="F3494" t="s">
        <v>564</v>
      </c>
      <c r="G3494">
        <v>102.81</v>
      </c>
      <c r="H3494">
        <v>250516</v>
      </c>
      <c r="I3494">
        <v>4410</v>
      </c>
      <c r="J3494" t="s">
        <v>165</v>
      </c>
      <c r="K3494">
        <v>125.61</v>
      </c>
      <c r="L3494">
        <v>12.63</v>
      </c>
      <c r="M3494">
        <v>17524</v>
      </c>
      <c r="N3494" t="s">
        <v>139</v>
      </c>
      <c r="O3494">
        <v>250602</v>
      </c>
      <c r="P3494">
        <v>90.18</v>
      </c>
    </row>
    <row r="3495" spans="1:16" x14ac:dyDescent="0.25">
      <c r="A3495" t="s">
        <v>3296</v>
      </c>
      <c r="B3495" t="s">
        <v>2931</v>
      </c>
      <c r="C3495">
        <v>507</v>
      </c>
      <c r="D3495" t="str">
        <f>"3004506892  "</f>
        <v xml:space="preserve">3004506892  </v>
      </c>
      <c r="E3495" t="s">
        <v>563</v>
      </c>
      <c r="F3495" t="s">
        <v>564</v>
      </c>
      <c r="G3495">
        <v>10</v>
      </c>
      <c r="H3495">
        <v>250116</v>
      </c>
      <c r="I3495">
        <v>4420</v>
      </c>
      <c r="J3495" t="s">
        <v>330</v>
      </c>
      <c r="K3495">
        <v>226.32</v>
      </c>
      <c r="L3495">
        <v>2.0299999999999998</v>
      </c>
      <c r="M3495">
        <v>13401</v>
      </c>
      <c r="N3495" t="s">
        <v>10</v>
      </c>
      <c r="O3495">
        <v>250123</v>
      </c>
      <c r="P3495">
        <v>7.97</v>
      </c>
    </row>
    <row r="3496" spans="1:16" x14ac:dyDescent="0.25">
      <c r="A3496" t="s">
        <v>3296</v>
      </c>
      <c r="B3496" t="s">
        <v>2931</v>
      </c>
      <c r="C3496">
        <v>507</v>
      </c>
      <c r="D3496" t="str">
        <f>"3004506892  "</f>
        <v xml:space="preserve">3004506892  </v>
      </c>
      <c r="E3496" t="s">
        <v>563</v>
      </c>
      <c r="F3496" t="s">
        <v>564</v>
      </c>
      <c r="G3496">
        <v>10</v>
      </c>
      <c r="H3496">
        <v>250116</v>
      </c>
      <c r="I3496">
        <v>4420</v>
      </c>
      <c r="J3496" t="s">
        <v>330</v>
      </c>
      <c r="K3496">
        <v>226.32</v>
      </c>
      <c r="L3496">
        <v>2.0299999999999998</v>
      </c>
      <c r="M3496">
        <v>17974</v>
      </c>
      <c r="N3496" t="s">
        <v>153</v>
      </c>
      <c r="O3496">
        <v>250123</v>
      </c>
      <c r="P3496">
        <v>7.97</v>
      </c>
    </row>
    <row r="3497" spans="1:16" x14ac:dyDescent="0.25">
      <c r="A3497" t="s">
        <v>3296</v>
      </c>
      <c r="B3497" t="s">
        <v>2931</v>
      </c>
      <c r="C3497">
        <v>373</v>
      </c>
      <c r="D3497" t="str">
        <f>"2503000354  "</f>
        <v xml:space="preserve">2503000354  </v>
      </c>
      <c r="E3497" t="s">
        <v>467</v>
      </c>
      <c r="F3497" t="s">
        <v>468</v>
      </c>
      <c r="G3497">
        <v>558.85</v>
      </c>
      <c r="H3497">
        <v>250116</v>
      </c>
      <c r="I3497">
        <v>4600</v>
      </c>
      <c r="J3497" t="s">
        <v>278</v>
      </c>
      <c r="K3497">
        <v>558.85</v>
      </c>
      <c r="L3497">
        <v>113.55</v>
      </c>
      <c r="M3497">
        <v>17807</v>
      </c>
      <c r="N3497" t="s">
        <v>23</v>
      </c>
      <c r="O3497">
        <v>250122</v>
      </c>
      <c r="P3497">
        <v>445.3</v>
      </c>
    </row>
    <row r="3498" spans="1:16" x14ac:dyDescent="0.25">
      <c r="A3498" t="s">
        <v>3296</v>
      </c>
      <c r="B3498" t="s">
        <v>2931</v>
      </c>
      <c r="C3498">
        <v>1070</v>
      </c>
      <c r="D3498" t="str">
        <f>"2503000453  "</f>
        <v xml:space="preserve">2503000453  </v>
      </c>
      <c r="E3498" t="s">
        <v>467</v>
      </c>
      <c r="F3498" t="s">
        <v>468</v>
      </c>
      <c r="G3498">
        <v>149.35</v>
      </c>
      <c r="H3498">
        <v>250120</v>
      </c>
      <c r="I3498">
        <v>4600</v>
      </c>
      <c r="J3498" t="s">
        <v>278</v>
      </c>
      <c r="K3498">
        <v>149.35</v>
      </c>
      <c r="L3498">
        <v>30.35</v>
      </c>
      <c r="M3498">
        <v>56560</v>
      </c>
      <c r="N3498" t="s">
        <v>52</v>
      </c>
      <c r="O3498">
        <v>250204</v>
      </c>
      <c r="P3498">
        <v>119</v>
      </c>
    </row>
    <row r="3499" spans="1:16" x14ac:dyDescent="0.25">
      <c r="A3499" t="s">
        <v>3296</v>
      </c>
      <c r="B3499" t="s">
        <v>2931</v>
      </c>
      <c r="C3499">
        <v>2573</v>
      </c>
      <c r="D3499" t="str">
        <f>"2503001257  "</f>
        <v xml:space="preserve">2503001257  </v>
      </c>
      <c r="E3499" t="s">
        <v>467</v>
      </c>
      <c r="F3499" t="s">
        <v>468</v>
      </c>
      <c r="G3499">
        <v>453.06</v>
      </c>
      <c r="H3499">
        <v>250218</v>
      </c>
      <c r="I3499">
        <v>4600</v>
      </c>
      <c r="J3499" t="s">
        <v>278</v>
      </c>
      <c r="K3499">
        <v>453.06</v>
      </c>
      <c r="L3499">
        <v>92.06</v>
      </c>
      <c r="M3499">
        <v>56560</v>
      </c>
      <c r="N3499" t="s">
        <v>52</v>
      </c>
      <c r="O3499">
        <v>250306</v>
      </c>
      <c r="P3499">
        <v>361</v>
      </c>
    </row>
    <row r="3500" spans="1:16" x14ac:dyDescent="0.25">
      <c r="A3500" t="s">
        <v>3296</v>
      </c>
      <c r="B3500" t="s">
        <v>2931</v>
      </c>
      <c r="C3500">
        <v>7425</v>
      </c>
      <c r="D3500" t="str">
        <f>"2503003609  "</f>
        <v xml:space="preserve">2503003609  </v>
      </c>
      <c r="E3500" t="s">
        <v>467</v>
      </c>
      <c r="F3500" t="s">
        <v>468</v>
      </c>
      <c r="G3500">
        <v>424.5</v>
      </c>
      <c r="H3500">
        <v>250519</v>
      </c>
      <c r="I3500">
        <v>4600</v>
      </c>
      <c r="J3500" t="s">
        <v>278</v>
      </c>
      <c r="K3500">
        <v>424.5</v>
      </c>
      <c r="L3500">
        <v>86.25</v>
      </c>
      <c r="M3500">
        <v>56560</v>
      </c>
      <c r="N3500" t="s">
        <v>52</v>
      </c>
      <c r="O3500">
        <v>250603</v>
      </c>
      <c r="P3500">
        <v>338.25</v>
      </c>
    </row>
    <row r="3501" spans="1:16" x14ac:dyDescent="0.25">
      <c r="A3501" t="s">
        <v>3296</v>
      </c>
      <c r="B3501" t="s">
        <v>2931</v>
      </c>
      <c r="C3501">
        <v>11345</v>
      </c>
      <c r="D3501" t="str">
        <f>"2503005781  "</f>
        <v xml:space="preserve">2503005781  </v>
      </c>
      <c r="E3501" t="s">
        <v>467</v>
      </c>
      <c r="F3501" t="s">
        <v>468</v>
      </c>
      <c r="G3501">
        <v>128.63999999999999</v>
      </c>
      <c r="H3501">
        <v>250815</v>
      </c>
      <c r="I3501">
        <v>4600</v>
      </c>
      <c r="J3501" t="s">
        <v>278</v>
      </c>
      <c r="K3501">
        <v>1243.79</v>
      </c>
      <c r="L3501">
        <v>26.14</v>
      </c>
      <c r="M3501">
        <v>17807</v>
      </c>
      <c r="N3501" t="s">
        <v>23</v>
      </c>
      <c r="O3501">
        <v>250904</v>
      </c>
      <c r="P3501">
        <v>102.5</v>
      </c>
    </row>
    <row r="3502" spans="1:16" x14ac:dyDescent="0.25">
      <c r="A3502" t="s">
        <v>3296</v>
      </c>
      <c r="B3502" t="s">
        <v>2931</v>
      </c>
      <c r="C3502">
        <v>12092</v>
      </c>
      <c r="D3502" t="str">
        <f>"2503006330  "</f>
        <v xml:space="preserve">2503006330  </v>
      </c>
      <c r="E3502" t="s">
        <v>467</v>
      </c>
      <c r="F3502" t="s">
        <v>468</v>
      </c>
      <c r="G3502">
        <v>41.04</v>
      </c>
      <c r="H3502">
        <v>250904</v>
      </c>
      <c r="I3502">
        <v>4600</v>
      </c>
      <c r="J3502" t="s">
        <v>278</v>
      </c>
      <c r="K3502">
        <v>41.04</v>
      </c>
      <c r="L3502">
        <v>8.34</v>
      </c>
      <c r="M3502">
        <v>59501</v>
      </c>
      <c r="N3502" t="s">
        <v>62</v>
      </c>
      <c r="O3502">
        <v>250916</v>
      </c>
      <c r="P3502">
        <v>32.700000000000003</v>
      </c>
    </row>
    <row r="3503" spans="1:16" x14ac:dyDescent="0.25">
      <c r="A3503" t="s">
        <v>3296</v>
      </c>
      <c r="B3503" t="s">
        <v>2931</v>
      </c>
      <c r="C3503">
        <v>12670</v>
      </c>
      <c r="D3503" t="str">
        <f>"2503006331  "</f>
        <v xml:space="preserve">2503006331  </v>
      </c>
      <c r="E3503" t="s">
        <v>467</v>
      </c>
      <c r="F3503" t="s">
        <v>468</v>
      </c>
      <c r="G3503">
        <v>231.42</v>
      </c>
      <c r="H3503">
        <v>250904</v>
      </c>
      <c r="I3503">
        <v>4600</v>
      </c>
      <c r="J3503" t="s">
        <v>278</v>
      </c>
      <c r="K3503">
        <v>573.28</v>
      </c>
      <c r="L3503">
        <v>47.02</v>
      </c>
      <c r="M3503">
        <v>56560</v>
      </c>
      <c r="N3503" t="s">
        <v>52</v>
      </c>
      <c r="O3503">
        <v>250929</v>
      </c>
      <c r="P3503">
        <v>184.4</v>
      </c>
    </row>
    <row r="3504" spans="1:16" x14ac:dyDescent="0.25">
      <c r="A3504" t="s">
        <v>3296</v>
      </c>
      <c r="B3504" t="s">
        <v>2931</v>
      </c>
      <c r="C3504">
        <v>12670</v>
      </c>
      <c r="D3504" t="str">
        <f>"2503006331  "</f>
        <v xml:space="preserve">2503006331  </v>
      </c>
      <c r="E3504" t="s">
        <v>467</v>
      </c>
      <c r="F3504" t="s">
        <v>468</v>
      </c>
      <c r="G3504">
        <v>341.86</v>
      </c>
      <c r="H3504">
        <v>250904</v>
      </c>
      <c r="I3504">
        <v>4600</v>
      </c>
      <c r="J3504" t="s">
        <v>278</v>
      </c>
      <c r="K3504">
        <v>573.28</v>
      </c>
      <c r="L3504">
        <v>69.459999999999994</v>
      </c>
      <c r="M3504">
        <v>59501</v>
      </c>
      <c r="N3504" t="s">
        <v>62</v>
      </c>
      <c r="O3504">
        <v>250929</v>
      </c>
      <c r="P3504">
        <v>272.39999999999998</v>
      </c>
    </row>
    <row r="3505" spans="1:16" x14ac:dyDescent="0.25">
      <c r="A3505" t="s">
        <v>3296</v>
      </c>
      <c r="B3505" t="s">
        <v>2931</v>
      </c>
      <c r="C3505">
        <v>12673</v>
      </c>
      <c r="D3505" t="str">
        <f>"2503006426  "</f>
        <v xml:space="preserve">2503006426  </v>
      </c>
      <c r="E3505" t="s">
        <v>467</v>
      </c>
      <c r="F3505" t="s">
        <v>468</v>
      </c>
      <c r="G3505">
        <v>888.36</v>
      </c>
      <c r="H3505">
        <v>250910</v>
      </c>
      <c r="I3505">
        <v>4600</v>
      </c>
      <c r="J3505" t="s">
        <v>278</v>
      </c>
      <c r="K3505">
        <v>888.36</v>
      </c>
      <c r="L3505">
        <v>180.5</v>
      </c>
      <c r="M3505">
        <v>56560</v>
      </c>
      <c r="N3505" t="s">
        <v>52</v>
      </c>
      <c r="O3505">
        <v>250929</v>
      </c>
      <c r="P3505">
        <v>707.86</v>
      </c>
    </row>
    <row r="3506" spans="1:16" x14ac:dyDescent="0.25">
      <c r="A3506" t="s">
        <v>3296</v>
      </c>
      <c r="B3506" t="s">
        <v>2931</v>
      </c>
      <c r="C3506">
        <v>12744</v>
      </c>
      <c r="D3506" t="str">
        <f>"2503006879  "</f>
        <v xml:space="preserve">2503006879  </v>
      </c>
      <c r="E3506" t="s">
        <v>467</v>
      </c>
      <c r="F3506" t="s">
        <v>468</v>
      </c>
      <c r="G3506">
        <v>991.54</v>
      </c>
      <c r="H3506">
        <v>250923</v>
      </c>
      <c r="I3506">
        <v>4600</v>
      </c>
      <c r="J3506" t="s">
        <v>278</v>
      </c>
      <c r="K3506">
        <v>991.54</v>
      </c>
      <c r="L3506">
        <v>201.47</v>
      </c>
      <c r="M3506">
        <v>17807</v>
      </c>
      <c r="N3506" t="s">
        <v>23</v>
      </c>
      <c r="O3506">
        <v>250930</v>
      </c>
      <c r="P3506">
        <v>790.07</v>
      </c>
    </row>
    <row r="3507" spans="1:16" x14ac:dyDescent="0.25">
      <c r="A3507" t="s">
        <v>3296</v>
      </c>
      <c r="B3507" t="s">
        <v>2931</v>
      </c>
      <c r="C3507">
        <v>14466</v>
      </c>
      <c r="D3507" t="str">
        <f>"2503007605  "</f>
        <v xml:space="preserve">2503007605  </v>
      </c>
      <c r="E3507" t="s">
        <v>467</v>
      </c>
      <c r="F3507" t="s">
        <v>468</v>
      </c>
      <c r="G3507">
        <v>176.55</v>
      </c>
      <c r="H3507">
        <v>251021</v>
      </c>
      <c r="I3507">
        <v>4600</v>
      </c>
      <c r="J3507" t="s">
        <v>278</v>
      </c>
      <c r="K3507">
        <v>176.55</v>
      </c>
      <c r="L3507">
        <v>35.869999999999997</v>
      </c>
      <c r="M3507">
        <v>56560</v>
      </c>
      <c r="N3507" t="s">
        <v>52</v>
      </c>
      <c r="O3507">
        <v>251103</v>
      </c>
      <c r="P3507">
        <v>140.68</v>
      </c>
    </row>
    <row r="3508" spans="1:16" x14ac:dyDescent="0.25">
      <c r="A3508" t="s">
        <v>3296</v>
      </c>
      <c r="B3508" t="s">
        <v>2931</v>
      </c>
      <c r="C3508">
        <v>11345</v>
      </c>
      <c r="D3508" t="str">
        <f>"2503005781  "</f>
        <v xml:space="preserve">2503005781  </v>
      </c>
      <c r="E3508" t="s">
        <v>467</v>
      </c>
      <c r="F3508" t="s">
        <v>468</v>
      </c>
      <c r="G3508">
        <v>1115.1500000000001</v>
      </c>
      <c r="H3508">
        <v>250815</v>
      </c>
      <c r="I3508">
        <v>4940</v>
      </c>
      <c r="J3508" t="s">
        <v>250</v>
      </c>
      <c r="K3508">
        <v>1243.79</v>
      </c>
      <c r="L3508">
        <v>226.58</v>
      </c>
      <c r="M3508">
        <v>17951</v>
      </c>
      <c r="N3508" t="s">
        <v>207</v>
      </c>
      <c r="O3508">
        <v>250904</v>
      </c>
      <c r="P3508">
        <v>888.57</v>
      </c>
    </row>
    <row r="3509" spans="1:16" x14ac:dyDescent="0.25">
      <c r="A3509" t="s">
        <v>3296</v>
      </c>
      <c r="B3509" t="s">
        <v>2931</v>
      </c>
      <c r="C3509">
        <v>255</v>
      </c>
      <c r="D3509" t="str">
        <f>"24853203    "</f>
        <v xml:space="preserve">24853203    </v>
      </c>
      <c r="E3509" t="s">
        <v>383</v>
      </c>
      <c r="F3509" t="s">
        <v>384</v>
      </c>
      <c r="G3509">
        <v>159.75</v>
      </c>
      <c r="H3509">
        <v>250112</v>
      </c>
      <c r="I3509">
        <v>4400</v>
      </c>
      <c r="J3509" t="s">
        <v>162</v>
      </c>
      <c r="K3509">
        <v>159.75</v>
      </c>
      <c r="L3509">
        <v>32.46</v>
      </c>
      <c r="M3509">
        <v>17523</v>
      </c>
      <c r="N3509" t="s">
        <v>138</v>
      </c>
      <c r="O3509">
        <v>250120</v>
      </c>
      <c r="P3509">
        <v>127.29</v>
      </c>
    </row>
    <row r="3510" spans="1:16" x14ac:dyDescent="0.25">
      <c r="A3510" t="s">
        <v>3296</v>
      </c>
      <c r="B3510" t="s">
        <v>2931</v>
      </c>
      <c r="C3510">
        <v>257</v>
      </c>
      <c r="D3510" t="str">
        <f>"24853113    "</f>
        <v xml:space="preserve">24853113    </v>
      </c>
      <c r="E3510" t="s">
        <v>383</v>
      </c>
      <c r="F3510" t="s">
        <v>384</v>
      </c>
      <c r="G3510">
        <v>412.66</v>
      </c>
      <c r="H3510">
        <v>250112</v>
      </c>
      <c r="I3510">
        <v>4400</v>
      </c>
      <c r="J3510" t="s">
        <v>162</v>
      </c>
      <c r="K3510">
        <v>412.66</v>
      </c>
      <c r="L3510">
        <v>83.85</v>
      </c>
      <c r="M3510">
        <v>17523</v>
      </c>
      <c r="N3510" t="s">
        <v>138</v>
      </c>
      <c r="O3510">
        <v>250120</v>
      </c>
      <c r="P3510">
        <v>328.81</v>
      </c>
    </row>
    <row r="3511" spans="1:16" x14ac:dyDescent="0.25">
      <c r="A3511" t="s">
        <v>3296</v>
      </c>
      <c r="B3511" t="s">
        <v>2931</v>
      </c>
      <c r="C3511">
        <v>4915</v>
      </c>
      <c r="D3511" t="str">
        <f>"25008372    "</f>
        <v xml:space="preserve">25008372    </v>
      </c>
      <c r="E3511" t="s">
        <v>383</v>
      </c>
      <c r="F3511" t="s">
        <v>384</v>
      </c>
      <c r="G3511">
        <v>154.11000000000001</v>
      </c>
      <c r="H3511">
        <v>250408</v>
      </c>
      <c r="I3511">
        <v>4400</v>
      </c>
      <c r="J3511" t="s">
        <v>162</v>
      </c>
      <c r="K3511">
        <v>154.11000000000001</v>
      </c>
      <c r="L3511">
        <v>31.31</v>
      </c>
      <c r="M3511">
        <v>17523</v>
      </c>
      <c r="N3511" t="s">
        <v>138</v>
      </c>
      <c r="O3511">
        <v>250416</v>
      </c>
      <c r="P3511">
        <v>122.8</v>
      </c>
    </row>
    <row r="3512" spans="1:16" x14ac:dyDescent="0.25">
      <c r="A3512" t="s">
        <v>3296</v>
      </c>
      <c r="B3512" t="s">
        <v>2931</v>
      </c>
      <c r="C3512">
        <v>933</v>
      </c>
      <c r="D3512" t="str">
        <f>"24878059    "</f>
        <v xml:space="preserve">24878059    </v>
      </c>
      <c r="E3512" t="s">
        <v>383</v>
      </c>
      <c r="F3512" t="s">
        <v>384</v>
      </c>
      <c r="G3512">
        <v>54.54</v>
      </c>
      <c r="H3512">
        <v>250126</v>
      </c>
      <c r="I3512">
        <v>4580</v>
      </c>
      <c r="J3512" t="s">
        <v>126</v>
      </c>
      <c r="K3512">
        <v>109.08</v>
      </c>
      <c r="L3512">
        <v>11.08</v>
      </c>
      <c r="M3512">
        <v>17525</v>
      </c>
      <c r="N3512" t="s">
        <v>140</v>
      </c>
      <c r="O3512">
        <v>250131</v>
      </c>
      <c r="P3512">
        <v>43.46</v>
      </c>
    </row>
    <row r="3513" spans="1:16" x14ac:dyDescent="0.25">
      <c r="A3513" t="s">
        <v>3296</v>
      </c>
      <c r="B3513" t="s">
        <v>2931</v>
      </c>
      <c r="C3513">
        <v>933</v>
      </c>
      <c r="D3513" t="str">
        <f>"24878059    "</f>
        <v xml:space="preserve">24878059    </v>
      </c>
      <c r="E3513" t="s">
        <v>383</v>
      </c>
      <c r="F3513" t="s">
        <v>384</v>
      </c>
      <c r="G3513">
        <v>54.54</v>
      </c>
      <c r="H3513">
        <v>250126</v>
      </c>
      <c r="I3513">
        <v>4580</v>
      </c>
      <c r="J3513" t="s">
        <v>126</v>
      </c>
      <c r="K3513">
        <v>109.08</v>
      </c>
      <c r="L3513">
        <v>11.08</v>
      </c>
      <c r="M3513">
        <v>17529</v>
      </c>
      <c r="N3513" t="s">
        <v>143</v>
      </c>
      <c r="O3513">
        <v>250131</v>
      </c>
      <c r="P3513">
        <v>43.46</v>
      </c>
    </row>
    <row r="3514" spans="1:16" x14ac:dyDescent="0.25">
      <c r="A3514" t="s">
        <v>3296</v>
      </c>
      <c r="B3514" t="s">
        <v>2931</v>
      </c>
      <c r="C3514">
        <v>12125</v>
      </c>
      <c r="D3514" t="str">
        <f>"25270118    "</f>
        <v xml:space="preserve">25270118    </v>
      </c>
      <c r="E3514" t="s">
        <v>383</v>
      </c>
      <c r="F3514" t="s">
        <v>384</v>
      </c>
      <c r="G3514">
        <v>460.38</v>
      </c>
      <c r="H3514">
        <v>250914</v>
      </c>
      <c r="I3514">
        <v>4580</v>
      </c>
      <c r="J3514" t="s">
        <v>126</v>
      </c>
      <c r="K3514">
        <v>460.38</v>
      </c>
      <c r="L3514">
        <v>93.54</v>
      </c>
      <c r="M3514">
        <v>49501</v>
      </c>
      <c r="N3514" t="s">
        <v>110</v>
      </c>
      <c r="O3514">
        <v>250916</v>
      </c>
      <c r="P3514">
        <v>366.84</v>
      </c>
    </row>
    <row r="3515" spans="1:16" x14ac:dyDescent="0.25">
      <c r="A3515" t="s">
        <v>3296</v>
      </c>
      <c r="B3515" t="s">
        <v>2931</v>
      </c>
      <c r="C3515">
        <v>14470</v>
      </c>
      <c r="D3515" t="str">
        <f>"25356653    "</f>
        <v xml:space="preserve">25356653    </v>
      </c>
      <c r="E3515" t="s">
        <v>383</v>
      </c>
      <c r="F3515" t="s">
        <v>384</v>
      </c>
      <c r="G3515">
        <v>253.51</v>
      </c>
      <c r="H3515">
        <v>251029</v>
      </c>
      <c r="I3515">
        <v>4580</v>
      </c>
      <c r="J3515" t="s">
        <v>126</v>
      </c>
      <c r="K3515">
        <v>253.51</v>
      </c>
      <c r="L3515">
        <v>51.51</v>
      </c>
      <c r="M3515">
        <v>56559</v>
      </c>
      <c r="N3515" t="s">
        <v>51</v>
      </c>
      <c r="O3515">
        <v>251103</v>
      </c>
      <c r="P3515">
        <v>202</v>
      </c>
    </row>
    <row r="3516" spans="1:16" x14ac:dyDescent="0.25">
      <c r="A3516" t="s">
        <v>3296</v>
      </c>
      <c r="B3516" t="s">
        <v>2931</v>
      </c>
      <c r="C3516">
        <v>3288</v>
      </c>
      <c r="D3516" t="str">
        <f>"24949031    "</f>
        <v xml:space="preserve">24949031    </v>
      </c>
      <c r="E3516" t="s">
        <v>383</v>
      </c>
      <c r="F3516" t="s">
        <v>384</v>
      </c>
      <c r="G3516">
        <v>86.34</v>
      </c>
      <c r="H3516">
        <v>250305</v>
      </c>
      <c r="I3516">
        <v>4590</v>
      </c>
      <c r="J3516" t="s">
        <v>388</v>
      </c>
      <c r="K3516">
        <v>86.34</v>
      </c>
      <c r="L3516">
        <v>17.54</v>
      </c>
      <c r="M3516">
        <v>17952</v>
      </c>
      <c r="N3516" t="s">
        <v>157</v>
      </c>
      <c r="O3516">
        <v>250318</v>
      </c>
      <c r="P3516">
        <v>68.8</v>
      </c>
    </row>
    <row r="3517" spans="1:16" x14ac:dyDescent="0.25">
      <c r="A3517" t="s">
        <v>3296</v>
      </c>
      <c r="B3517" t="s">
        <v>2931</v>
      </c>
      <c r="C3517">
        <v>14207</v>
      </c>
      <c r="D3517" t="str">
        <f>"25342718    "</f>
        <v xml:space="preserve">25342718    </v>
      </c>
      <c r="E3517" t="s">
        <v>383</v>
      </c>
      <c r="F3517" t="s">
        <v>384</v>
      </c>
      <c r="G3517">
        <v>146.02000000000001</v>
      </c>
      <c r="H3517">
        <v>251021</v>
      </c>
      <c r="I3517">
        <v>4590</v>
      </c>
      <c r="J3517" t="s">
        <v>388</v>
      </c>
      <c r="K3517">
        <v>146.02000000000001</v>
      </c>
      <c r="L3517">
        <v>29.67</v>
      </c>
      <c r="M3517">
        <v>49501</v>
      </c>
      <c r="N3517" t="s">
        <v>110</v>
      </c>
      <c r="O3517">
        <v>251027</v>
      </c>
      <c r="P3517">
        <v>116.35</v>
      </c>
    </row>
    <row r="3518" spans="1:16" x14ac:dyDescent="0.25">
      <c r="A3518" t="s">
        <v>3296</v>
      </c>
      <c r="B3518" t="s">
        <v>2931</v>
      </c>
      <c r="C3518">
        <v>13136</v>
      </c>
      <c r="D3518" t="str">
        <f>"25306708    "</f>
        <v xml:space="preserve">25306708    </v>
      </c>
      <c r="E3518" t="s">
        <v>383</v>
      </c>
      <c r="F3518" t="s">
        <v>384</v>
      </c>
      <c r="G3518">
        <v>36.5</v>
      </c>
      <c r="H3518">
        <v>250930</v>
      </c>
      <c r="I3518">
        <v>4600</v>
      </c>
      <c r="J3518" t="s">
        <v>278</v>
      </c>
      <c r="K3518">
        <v>36.5</v>
      </c>
      <c r="L3518">
        <v>7.42</v>
      </c>
      <c r="M3518">
        <v>56565</v>
      </c>
      <c r="N3518" t="s">
        <v>57</v>
      </c>
      <c r="O3518">
        <v>251006</v>
      </c>
      <c r="P3518">
        <v>29.08</v>
      </c>
    </row>
    <row r="3519" spans="1:16" x14ac:dyDescent="0.25">
      <c r="A3519" t="s">
        <v>3296</v>
      </c>
      <c r="B3519" t="s">
        <v>2931</v>
      </c>
      <c r="C3519">
        <v>13971</v>
      </c>
      <c r="D3519" t="str">
        <f>"25336407    "</f>
        <v xml:space="preserve">25336407    </v>
      </c>
      <c r="E3519" t="s">
        <v>383</v>
      </c>
      <c r="F3519" t="s">
        <v>384</v>
      </c>
      <c r="G3519">
        <v>87.45</v>
      </c>
      <c r="H3519">
        <v>251016</v>
      </c>
      <c r="I3519">
        <v>4600</v>
      </c>
      <c r="J3519" t="s">
        <v>278</v>
      </c>
      <c r="K3519">
        <v>87.45</v>
      </c>
      <c r="L3519">
        <v>17.77</v>
      </c>
      <c r="M3519">
        <v>56565</v>
      </c>
      <c r="N3519" t="s">
        <v>57</v>
      </c>
      <c r="O3519">
        <v>251021</v>
      </c>
      <c r="P3519">
        <v>69.680000000000007</v>
      </c>
    </row>
    <row r="3520" spans="1:16" x14ac:dyDescent="0.25">
      <c r="A3520" t="s">
        <v>3296</v>
      </c>
      <c r="B3520" t="s">
        <v>2931</v>
      </c>
      <c r="C3520">
        <v>14356</v>
      </c>
      <c r="D3520" t="str">
        <f>"25350052    "</f>
        <v xml:space="preserve">25350052    </v>
      </c>
      <c r="E3520" t="s">
        <v>383</v>
      </c>
      <c r="F3520" t="s">
        <v>384</v>
      </c>
      <c r="G3520">
        <v>227.62</v>
      </c>
      <c r="H3520">
        <v>251026</v>
      </c>
      <c r="I3520">
        <v>4600</v>
      </c>
      <c r="J3520" t="s">
        <v>278</v>
      </c>
      <c r="K3520">
        <v>227.62</v>
      </c>
      <c r="L3520">
        <v>46.25</v>
      </c>
      <c r="M3520">
        <v>56568</v>
      </c>
      <c r="N3520" t="s">
        <v>354</v>
      </c>
      <c r="O3520">
        <v>251030</v>
      </c>
      <c r="P3520">
        <v>181.37</v>
      </c>
    </row>
    <row r="3521" spans="1:16" x14ac:dyDescent="0.25">
      <c r="A3521" t="s">
        <v>3296</v>
      </c>
      <c r="B3521" t="s">
        <v>2931</v>
      </c>
      <c r="C3521">
        <v>15385</v>
      </c>
      <c r="D3521" t="str">
        <f>"25381184    "</f>
        <v xml:space="preserve">25381184    </v>
      </c>
      <c r="E3521" t="s">
        <v>383</v>
      </c>
      <c r="F3521" t="s">
        <v>384</v>
      </c>
      <c r="G3521">
        <v>27.77</v>
      </c>
      <c r="H3521">
        <v>251110</v>
      </c>
      <c r="I3521">
        <v>4600</v>
      </c>
      <c r="J3521" t="s">
        <v>278</v>
      </c>
      <c r="K3521">
        <v>27.77</v>
      </c>
      <c r="L3521">
        <v>5.64</v>
      </c>
      <c r="M3521">
        <v>56568</v>
      </c>
      <c r="N3521" t="s">
        <v>354</v>
      </c>
      <c r="O3521">
        <v>251120</v>
      </c>
      <c r="P3521">
        <v>22.13</v>
      </c>
    </row>
    <row r="3522" spans="1:16" x14ac:dyDescent="0.25">
      <c r="A3522" t="s">
        <v>3296</v>
      </c>
      <c r="B3522" t="s">
        <v>2931</v>
      </c>
      <c r="C3522">
        <v>16167</v>
      </c>
      <c r="D3522" t="str">
        <f>"25409456    "</f>
        <v xml:space="preserve">25409456    </v>
      </c>
      <c r="E3522" t="s">
        <v>383</v>
      </c>
      <c r="F3522" t="s">
        <v>384</v>
      </c>
      <c r="G3522">
        <v>39.22</v>
      </c>
      <c r="H3522">
        <v>251125</v>
      </c>
      <c r="I3522">
        <v>4600</v>
      </c>
      <c r="J3522" t="s">
        <v>278</v>
      </c>
      <c r="K3522">
        <v>39.22</v>
      </c>
      <c r="L3522">
        <v>7.97</v>
      </c>
      <c r="M3522">
        <v>56558</v>
      </c>
      <c r="N3522" t="s">
        <v>50</v>
      </c>
      <c r="O3522">
        <v>251204</v>
      </c>
      <c r="P3522">
        <v>31.25</v>
      </c>
    </row>
    <row r="3523" spans="1:16" x14ac:dyDescent="0.25">
      <c r="A3523" t="s">
        <v>3296</v>
      </c>
      <c r="B3523" t="s">
        <v>2931</v>
      </c>
      <c r="C3523">
        <v>16581</v>
      </c>
      <c r="D3523" t="str">
        <f>"25409652    "</f>
        <v xml:space="preserve">25409652    </v>
      </c>
      <c r="E3523" t="s">
        <v>383</v>
      </c>
      <c r="F3523" t="s">
        <v>384</v>
      </c>
      <c r="G3523">
        <v>360.59</v>
      </c>
      <c r="H3523">
        <v>251126</v>
      </c>
      <c r="I3523">
        <v>4600</v>
      </c>
      <c r="J3523" t="s">
        <v>278</v>
      </c>
      <c r="K3523">
        <v>360.59</v>
      </c>
      <c r="L3523">
        <v>73.27</v>
      </c>
      <c r="M3523">
        <v>69501</v>
      </c>
      <c r="N3523" t="s">
        <v>123</v>
      </c>
      <c r="O3523">
        <v>251210</v>
      </c>
      <c r="P3523">
        <v>287.32</v>
      </c>
    </row>
    <row r="3524" spans="1:16" x14ac:dyDescent="0.25">
      <c r="A3524" t="s">
        <v>3296</v>
      </c>
      <c r="B3524" t="s">
        <v>2931</v>
      </c>
      <c r="C3524">
        <v>17434</v>
      </c>
      <c r="D3524" t="str">
        <f>"25451665    "</f>
        <v xml:space="preserve">25451665    </v>
      </c>
      <c r="E3524" t="s">
        <v>383</v>
      </c>
      <c r="F3524" t="s">
        <v>384</v>
      </c>
      <c r="G3524">
        <v>20.13</v>
      </c>
      <c r="H3524">
        <v>251217</v>
      </c>
      <c r="I3524">
        <v>4600</v>
      </c>
      <c r="J3524" t="s">
        <v>278</v>
      </c>
      <c r="K3524">
        <v>20.13</v>
      </c>
      <c r="L3524">
        <v>4.09</v>
      </c>
      <c r="M3524">
        <v>56565</v>
      </c>
      <c r="N3524" t="s">
        <v>57</v>
      </c>
      <c r="O3524">
        <v>251219</v>
      </c>
      <c r="P3524">
        <v>16.04</v>
      </c>
    </row>
    <row r="3525" spans="1:16" x14ac:dyDescent="0.25">
      <c r="A3525" t="s">
        <v>3296</v>
      </c>
      <c r="B3525" t="s">
        <v>2931</v>
      </c>
      <c r="C3525">
        <v>1710</v>
      </c>
      <c r="D3525" t="str">
        <f>"2025FUE9    "</f>
        <v xml:space="preserve">2025FUE9    </v>
      </c>
      <c r="E3525" t="s">
        <v>3213</v>
      </c>
      <c r="F3525" t="s">
        <v>3214</v>
      </c>
      <c r="G3525">
        <v>550</v>
      </c>
      <c r="H3525">
        <v>250204</v>
      </c>
      <c r="I3525">
        <v>4410</v>
      </c>
      <c r="J3525" t="s">
        <v>165</v>
      </c>
      <c r="K3525">
        <v>995</v>
      </c>
      <c r="L3525">
        <v>0</v>
      </c>
      <c r="M3525">
        <v>11902</v>
      </c>
      <c r="N3525" t="s">
        <v>329</v>
      </c>
      <c r="O3525">
        <v>250213</v>
      </c>
      <c r="P3525">
        <v>550</v>
      </c>
    </row>
    <row r="3526" spans="1:16" x14ac:dyDescent="0.25">
      <c r="A3526" t="s">
        <v>3296</v>
      </c>
      <c r="B3526" t="s">
        <v>2931</v>
      </c>
      <c r="C3526">
        <v>3380</v>
      </c>
      <c r="D3526" t="str">
        <f>"2025FUE17   "</f>
        <v xml:space="preserve">2025FUE17   </v>
      </c>
      <c r="E3526" t="s">
        <v>3213</v>
      </c>
      <c r="F3526" t="s">
        <v>3214</v>
      </c>
      <c r="G3526">
        <v>550</v>
      </c>
      <c r="H3526">
        <v>250310</v>
      </c>
      <c r="I3526">
        <v>4410</v>
      </c>
      <c r="J3526" t="s">
        <v>165</v>
      </c>
      <c r="K3526">
        <v>945</v>
      </c>
      <c r="L3526">
        <v>0</v>
      </c>
      <c r="M3526">
        <v>11902</v>
      </c>
      <c r="N3526" t="s">
        <v>329</v>
      </c>
      <c r="O3526">
        <v>250319</v>
      </c>
      <c r="P3526">
        <v>550</v>
      </c>
    </row>
    <row r="3527" spans="1:16" x14ac:dyDescent="0.25">
      <c r="A3527" t="s">
        <v>3296</v>
      </c>
      <c r="B3527" t="s">
        <v>2931</v>
      </c>
      <c r="C3527">
        <v>4555</v>
      </c>
      <c r="D3527" t="str">
        <f>"2025FUE20   "</f>
        <v xml:space="preserve">2025FUE20   </v>
      </c>
      <c r="E3527" t="s">
        <v>3213</v>
      </c>
      <c r="F3527" t="s">
        <v>3214</v>
      </c>
      <c r="G3527">
        <v>550</v>
      </c>
      <c r="H3527">
        <v>250404</v>
      </c>
      <c r="I3527">
        <v>4410</v>
      </c>
      <c r="J3527" t="s">
        <v>165</v>
      </c>
      <c r="K3527">
        <v>1015</v>
      </c>
      <c r="L3527">
        <v>0</v>
      </c>
      <c r="M3527">
        <v>11902</v>
      </c>
      <c r="N3527" t="s">
        <v>329</v>
      </c>
      <c r="O3527">
        <v>250414</v>
      </c>
      <c r="P3527">
        <v>550</v>
      </c>
    </row>
    <row r="3528" spans="1:16" x14ac:dyDescent="0.25">
      <c r="A3528" t="s">
        <v>3296</v>
      </c>
      <c r="B3528" t="s">
        <v>2931</v>
      </c>
      <c r="C3528">
        <v>12473</v>
      </c>
      <c r="D3528" t="str">
        <f>"2025FUE53   "</f>
        <v xml:space="preserve">2025FUE53   </v>
      </c>
      <c r="E3528" t="s">
        <v>3213</v>
      </c>
      <c r="F3528" t="s">
        <v>3214</v>
      </c>
      <c r="G3528">
        <v>885</v>
      </c>
      <c r="H3528">
        <v>250918</v>
      </c>
      <c r="I3528">
        <v>4410</v>
      </c>
      <c r="J3528" t="s">
        <v>165</v>
      </c>
      <c r="K3528">
        <v>1260</v>
      </c>
      <c r="L3528">
        <v>0</v>
      </c>
      <c r="M3528">
        <v>11902</v>
      </c>
      <c r="N3528" t="s">
        <v>329</v>
      </c>
      <c r="O3528">
        <v>250924</v>
      </c>
      <c r="P3528">
        <v>885</v>
      </c>
    </row>
    <row r="3529" spans="1:16" x14ac:dyDescent="0.25">
      <c r="A3529" t="s">
        <v>3296</v>
      </c>
      <c r="B3529" t="s">
        <v>2931</v>
      </c>
      <c r="C3529">
        <v>12521</v>
      </c>
      <c r="D3529" t="str">
        <f>"2025FUE54   "</f>
        <v xml:space="preserve">2025FUE54   </v>
      </c>
      <c r="E3529" t="s">
        <v>3213</v>
      </c>
      <c r="F3529" t="s">
        <v>3214</v>
      </c>
      <c r="G3529">
        <v>885</v>
      </c>
      <c r="H3529">
        <v>250918</v>
      </c>
      <c r="I3529">
        <v>4410</v>
      </c>
      <c r="J3529" t="s">
        <v>165</v>
      </c>
      <c r="K3529">
        <v>1260</v>
      </c>
      <c r="L3529">
        <v>0</v>
      </c>
      <c r="M3529">
        <v>11902</v>
      </c>
      <c r="N3529" t="s">
        <v>329</v>
      </c>
      <c r="O3529">
        <v>250925</v>
      </c>
      <c r="P3529">
        <v>885</v>
      </c>
    </row>
    <row r="3530" spans="1:16" x14ac:dyDescent="0.25">
      <c r="A3530" t="s">
        <v>3296</v>
      </c>
      <c r="B3530" t="s">
        <v>2931</v>
      </c>
      <c r="C3530">
        <v>1710</v>
      </c>
      <c r="D3530" t="str">
        <f>"2025FUE9    "</f>
        <v xml:space="preserve">2025FUE9    </v>
      </c>
      <c r="E3530" t="s">
        <v>3213</v>
      </c>
      <c r="F3530" t="s">
        <v>3214</v>
      </c>
      <c r="G3530">
        <v>70</v>
      </c>
      <c r="H3530">
        <v>250204</v>
      </c>
      <c r="I3530">
        <v>4420</v>
      </c>
      <c r="J3530" t="s">
        <v>330</v>
      </c>
      <c r="K3530">
        <v>995</v>
      </c>
      <c r="L3530">
        <v>0</v>
      </c>
      <c r="M3530">
        <v>11902</v>
      </c>
      <c r="N3530" t="s">
        <v>329</v>
      </c>
      <c r="O3530">
        <v>250213</v>
      </c>
      <c r="P3530">
        <v>70</v>
      </c>
    </row>
    <row r="3531" spans="1:16" x14ac:dyDescent="0.25">
      <c r="A3531" t="s">
        <v>3296</v>
      </c>
      <c r="B3531" t="s">
        <v>2931</v>
      </c>
      <c r="C3531">
        <v>3380</v>
      </c>
      <c r="D3531" t="str">
        <f>"2025FUE17   "</f>
        <v xml:space="preserve">2025FUE17   </v>
      </c>
      <c r="E3531" t="s">
        <v>3213</v>
      </c>
      <c r="F3531" t="s">
        <v>3214</v>
      </c>
      <c r="G3531">
        <v>70</v>
      </c>
      <c r="H3531">
        <v>250310</v>
      </c>
      <c r="I3531">
        <v>4420</v>
      </c>
      <c r="J3531" t="s">
        <v>330</v>
      </c>
      <c r="K3531">
        <v>945</v>
      </c>
      <c r="L3531">
        <v>0</v>
      </c>
      <c r="M3531">
        <v>11902</v>
      </c>
      <c r="N3531" t="s">
        <v>329</v>
      </c>
      <c r="O3531">
        <v>250319</v>
      </c>
      <c r="P3531">
        <v>70</v>
      </c>
    </row>
    <row r="3532" spans="1:16" x14ac:dyDescent="0.25">
      <c r="A3532" t="s">
        <v>3296</v>
      </c>
      <c r="B3532" t="s">
        <v>2931</v>
      </c>
      <c r="C3532">
        <v>4555</v>
      </c>
      <c r="D3532" t="str">
        <f>"2025FUE20   "</f>
        <v xml:space="preserve">2025FUE20   </v>
      </c>
      <c r="E3532" t="s">
        <v>3213</v>
      </c>
      <c r="F3532" t="s">
        <v>3214</v>
      </c>
      <c r="G3532">
        <v>90</v>
      </c>
      <c r="H3532">
        <v>250404</v>
      </c>
      <c r="I3532">
        <v>4420</v>
      </c>
      <c r="J3532" t="s">
        <v>330</v>
      </c>
      <c r="K3532">
        <v>1015</v>
      </c>
      <c r="L3532">
        <v>0</v>
      </c>
      <c r="M3532">
        <v>11902</v>
      </c>
      <c r="N3532" t="s">
        <v>329</v>
      </c>
      <c r="O3532">
        <v>250414</v>
      </c>
      <c r="P3532">
        <v>90</v>
      </c>
    </row>
    <row r="3533" spans="1:16" x14ac:dyDescent="0.25">
      <c r="A3533" t="s">
        <v>3296</v>
      </c>
      <c r="B3533" t="s">
        <v>2931</v>
      </c>
      <c r="C3533">
        <v>1710</v>
      </c>
      <c r="D3533" t="str">
        <f>"2025FUE9    "</f>
        <v xml:space="preserve">2025FUE9    </v>
      </c>
      <c r="E3533" t="s">
        <v>3213</v>
      </c>
      <c r="F3533" t="s">
        <v>3214</v>
      </c>
      <c r="G3533">
        <v>200</v>
      </c>
      <c r="H3533">
        <v>250204</v>
      </c>
      <c r="I3533">
        <v>4440</v>
      </c>
      <c r="J3533" t="s">
        <v>346</v>
      </c>
      <c r="K3533">
        <v>995</v>
      </c>
      <c r="L3533">
        <v>0</v>
      </c>
      <c r="M3533">
        <v>11902</v>
      </c>
      <c r="N3533" t="s">
        <v>329</v>
      </c>
      <c r="O3533">
        <v>250213</v>
      </c>
      <c r="P3533">
        <v>200</v>
      </c>
    </row>
    <row r="3534" spans="1:16" x14ac:dyDescent="0.25">
      <c r="A3534" t="s">
        <v>3296</v>
      </c>
      <c r="B3534" t="s">
        <v>2931</v>
      </c>
      <c r="C3534">
        <v>1710</v>
      </c>
      <c r="D3534" t="str">
        <f>"2025FUE9    "</f>
        <v xml:space="preserve">2025FUE9    </v>
      </c>
      <c r="E3534" t="s">
        <v>3213</v>
      </c>
      <c r="F3534" t="s">
        <v>3214</v>
      </c>
      <c r="G3534">
        <v>175</v>
      </c>
      <c r="H3534">
        <v>250204</v>
      </c>
      <c r="I3534">
        <v>4440</v>
      </c>
      <c r="J3534" t="s">
        <v>346</v>
      </c>
      <c r="K3534">
        <v>995</v>
      </c>
      <c r="L3534">
        <v>0</v>
      </c>
      <c r="M3534">
        <v>11902</v>
      </c>
      <c r="N3534" t="s">
        <v>329</v>
      </c>
      <c r="O3534">
        <v>250213</v>
      </c>
      <c r="P3534">
        <v>175</v>
      </c>
    </row>
    <row r="3535" spans="1:16" x14ac:dyDescent="0.25">
      <c r="A3535" t="s">
        <v>3296</v>
      </c>
      <c r="B3535" t="s">
        <v>2931</v>
      </c>
      <c r="C3535">
        <v>3380</v>
      </c>
      <c r="D3535" t="str">
        <f>"2025FUE17   "</f>
        <v xml:space="preserve">2025FUE17   </v>
      </c>
      <c r="E3535" t="s">
        <v>3213</v>
      </c>
      <c r="F3535" t="s">
        <v>3214</v>
      </c>
      <c r="G3535">
        <v>200</v>
      </c>
      <c r="H3535">
        <v>250310</v>
      </c>
      <c r="I3535">
        <v>4440</v>
      </c>
      <c r="J3535" t="s">
        <v>346</v>
      </c>
      <c r="K3535">
        <v>945</v>
      </c>
      <c r="L3535">
        <v>0</v>
      </c>
      <c r="M3535">
        <v>11902</v>
      </c>
      <c r="N3535" t="s">
        <v>329</v>
      </c>
      <c r="O3535">
        <v>250319</v>
      </c>
      <c r="P3535">
        <v>200</v>
      </c>
    </row>
    <row r="3536" spans="1:16" x14ac:dyDescent="0.25">
      <c r="A3536" t="s">
        <v>3296</v>
      </c>
      <c r="B3536" t="s">
        <v>2931</v>
      </c>
      <c r="C3536">
        <v>3380</v>
      </c>
      <c r="D3536" t="str">
        <f>"2025FUE17   "</f>
        <v xml:space="preserve">2025FUE17   </v>
      </c>
      <c r="E3536" t="s">
        <v>3213</v>
      </c>
      <c r="F3536" t="s">
        <v>3214</v>
      </c>
      <c r="G3536">
        <v>125</v>
      </c>
      <c r="H3536">
        <v>250310</v>
      </c>
      <c r="I3536">
        <v>4440</v>
      </c>
      <c r="J3536" t="s">
        <v>346</v>
      </c>
      <c r="K3536">
        <v>945</v>
      </c>
      <c r="L3536">
        <v>0</v>
      </c>
      <c r="M3536">
        <v>11902</v>
      </c>
      <c r="N3536" t="s">
        <v>329</v>
      </c>
      <c r="O3536">
        <v>250319</v>
      </c>
      <c r="P3536">
        <v>125</v>
      </c>
    </row>
    <row r="3537" spans="1:16" x14ac:dyDescent="0.25">
      <c r="A3537" t="s">
        <v>3296</v>
      </c>
      <c r="B3537" t="s">
        <v>2931</v>
      </c>
      <c r="C3537">
        <v>4555</v>
      </c>
      <c r="D3537" t="str">
        <f>"2025FUE20   "</f>
        <v xml:space="preserve">2025FUE20   </v>
      </c>
      <c r="E3537" t="s">
        <v>3213</v>
      </c>
      <c r="F3537" t="s">
        <v>3214</v>
      </c>
      <c r="G3537">
        <v>200</v>
      </c>
      <c r="H3537">
        <v>250404</v>
      </c>
      <c r="I3537">
        <v>4440</v>
      </c>
      <c r="J3537" t="s">
        <v>346</v>
      </c>
      <c r="K3537">
        <v>1015</v>
      </c>
      <c r="L3537">
        <v>0</v>
      </c>
      <c r="M3537">
        <v>11902</v>
      </c>
      <c r="N3537" t="s">
        <v>329</v>
      </c>
      <c r="O3537">
        <v>250414</v>
      </c>
      <c r="P3537">
        <v>200</v>
      </c>
    </row>
    <row r="3538" spans="1:16" x14ac:dyDescent="0.25">
      <c r="A3538" t="s">
        <v>3296</v>
      </c>
      <c r="B3538" t="s">
        <v>2931</v>
      </c>
      <c r="C3538">
        <v>4555</v>
      </c>
      <c r="D3538" t="str">
        <f>"2025FUE20   "</f>
        <v xml:space="preserve">2025FUE20   </v>
      </c>
      <c r="E3538" t="s">
        <v>3213</v>
      </c>
      <c r="F3538" t="s">
        <v>3214</v>
      </c>
      <c r="G3538">
        <v>175</v>
      </c>
      <c r="H3538">
        <v>250404</v>
      </c>
      <c r="I3538">
        <v>4440</v>
      </c>
      <c r="J3538" t="s">
        <v>346</v>
      </c>
      <c r="K3538">
        <v>1015</v>
      </c>
      <c r="L3538">
        <v>0</v>
      </c>
      <c r="M3538">
        <v>11902</v>
      </c>
      <c r="N3538" t="s">
        <v>329</v>
      </c>
      <c r="O3538">
        <v>250414</v>
      </c>
      <c r="P3538">
        <v>175</v>
      </c>
    </row>
    <row r="3539" spans="1:16" x14ac:dyDescent="0.25">
      <c r="A3539" t="s">
        <v>3296</v>
      </c>
      <c r="B3539" t="s">
        <v>2931</v>
      </c>
      <c r="C3539">
        <v>12473</v>
      </c>
      <c r="D3539" t="str">
        <f>"2025FUE53   "</f>
        <v xml:space="preserve">2025FUE53   </v>
      </c>
      <c r="E3539" t="s">
        <v>3213</v>
      </c>
      <c r="F3539" t="s">
        <v>3214</v>
      </c>
      <c r="G3539">
        <v>200</v>
      </c>
      <c r="H3539">
        <v>250918</v>
      </c>
      <c r="I3539">
        <v>4440</v>
      </c>
      <c r="J3539" t="s">
        <v>346</v>
      </c>
      <c r="K3539">
        <v>1260</v>
      </c>
      <c r="L3539">
        <v>0</v>
      </c>
      <c r="M3539">
        <v>11902</v>
      </c>
      <c r="N3539" t="s">
        <v>329</v>
      </c>
      <c r="O3539">
        <v>250924</v>
      </c>
      <c r="P3539">
        <v>200</v>
      </c>
    </row>
    <row r="3540" spans="1:16" x14ac:dyDescent="0.25">
      <c r="A3540" t="s">
        <v>3296</v>
      </c>
      <c r="B3540" t="s">
        <v>2931</v>
      </c>
      <c r="C3540">
        <v>12473</v>
      </c>
      <c r="D3540" t="str">
        <f>"2025FUE53   "</f>
        <v xml:space="preserve">2025FUE53   </v>
      </c>
      <c r="E3540" t="s">
        <v>3213</v>
      </c>
      <c r="F3540" t="s">
        <v>3214</v>
      </c>
      <c r="G3540">
        <v>175</v>
      </c>
      <c r="H3540">
        <v>250918</v>
      </c>
      <c r="I3540">
        <v>4440</v>
      </c>
      <c r="J3540" t="s">
        <v>346</v>
      </c>
      <c r="K3540">
        <v>1260</v>
      </c>
      <c r="L3540">
        <v>0</v>
      </c>
      <c r="M3540">
        <v>11902</v>
      </c>
      <c r="N3540" t="s">
        <v>329</v>
      </c>
      <c r="O3540">
        <v>250924</v>
      </c>
      <c r="P3540">
        <v>175</v>
      </c>
    </row>
    <row r="3541" spans="1:16" x14ac:dyDescent="0.25">
      <c r="A3541" t="s">
        <v>3296</v>
      </c>
      <c r="B3541" t="s">
        <v>2931</v>
      </c>
      <c r="C3541">
        <v>12521</v>
      </c>
      <c r="D3541" t="str">
        <f>"2025FUE54   "</f>
        <v xml:space="preserve">2025FUE54   </v>
      </c>
      <c r="E3541" t="s">
        <v>3213</v>
      </c>
      <c r="F3541" t="s">
        <v>3214</v>
      </c>
      <c r="G3541">
        <v>200</v>
      </c>
      <c r="H3541">
        <v>250918</v>
      </c>
      <c r="I3541">
        <v>4440</v>
      </c>
      <c r="J3541" t="s">
        <v>346</v>
      </c>
      <c r="K3541">
        <v>1260</v>
      </c>
      <c r="L3541">
        <v>0</v>
      </c>
      <c r="M3541">
        <v>11902</v>
      </c>
      <c r="N3541" t="s">
        <v>329</v>
      </c>
      <c r="O3541">
        <v>250925</v>
      </c>
      <c r="P3541">
        <v>200</v>
      </c>
    </row>
    <row r="3542" spans="1:16" x14ac:dyDescent="0.25">
      <c r="A3542" t="s">
        <v>3296</v>
      </c>
      <c r="B3542" t="s">
        <v>2931</v>
      </c>
      <c r="C3542">
        <v>12521</v>
      </c>
      <c r="D3542" t="str">
        <f>"2025FUE54   "</f>
        <v xml:space="preserve">2025FUE54   </v>
      </c>
      <c r="E3542" t="s">
        <v>3213</v>
      </c>
      <c r="F3542" t="s">
        <v>3214</v>
      </c>
      <c r="G3542">
        <v>175</v>
      </c>
      <c r="H3542">
        <v>250918</v>
      </c>
      <c r="I3542">
        <v>4440</v>
      </c>
      <c r="J3542" t="s">
        <v>346</v>
      </c>
      <c r="K3542">
        <v>1260</v>
      </c>
      <c r="L3542">
        <v>0</v>
      </c>
      <c r="M3542">
        <v>11902</v>
      </c>
      <c r="N3542" t="s">
        <v>329</v>
      </c>
      <c r="O3542">
        <v>250925</v>
      </c>
      <c r="P3542">
        <v>175</v>
      </c>
    </row>
    <row r="3543" spans="1:16" x14ac:dyDescent="0.25">
      <c r="A3543" t="s">
        <v>3296</v>
      </c>
      <c r="B3543" t="s">
        <v>2931</v>
      </c>
      <c r="C3543">
        <v>16539</v>
      </c>
      <c r="D3543" t="str">
        <f>"2025FUE63   "</f>
        <v xml:space="preserve">2025FUE63   </v>
      </c>
      <c r="E3543" t="s">
        <v>3213</v>
      </c>
      <c r="F3543" t="s">
        <v>3214</v>
      </c>
      <c r="G3543">
        <v>225</v>
      </c>
      <c r="H3543">
        <v>251130</v>
      </c>
      <c r="I3543">
        <v>4440</v>
      </c>
      <c r="J3543" t="s">
        <v>346</v>
      </c>
      <c r="K3543">
        <v>375</v>
      </c>
      <c r="L3543">
        <v>0</v>
      </c>
      <c r="M3543">
        <v>11902</v>
      </c>
      <c r="N3543" t="s">
        <v>329</v>
      </c>
      <c r="O3543">
        <v>251209</v>
      </c>
      <c r="P3543">
        <v>225</v>
      </c>
    </row>
    <row r="3544" spans="1:16" x14ac:dyDescent="0.25">
      <c r="A3544" t="s">
        <v>3296</v>
      </c>
      <c r="B3544" t="s">
        <v>2931</v>
      </c>
      <c r="C3544">
        <v>16539</v>
      </c>
      <c r="D3544" t="str">
        <f>"2025FUE63   "</f>
        <v xml:space="preserve">2025FUE63   </v>
      </c>
      <c r="E3544" t="s">
        <v>3213</v>
      </c>
      <c r="F3544" t="s">
        <v>3214</v>
      </c>
      <c r="G3544">
        <v>150</v>
      </c>
      <c r="H3544">
        <v>251130</v>
      </c>
      <c r="I3544">
        <v>4440</v>
      </c>
      <c r="J3544" t="s">
        <v>346</v>
      </c>
      <c r="K3544">
        <v>375</v>
      </c>
      <c r="L3544">
        <v>0</v>
      </c>
      <c r="M3544">
        <v>11902</v>
      </c>
      <c r="N3544" t="s">
        <v>329</v>
      </c>
      <c r="O3544">
        <v>251209</v>
      </c>
      <c r="P3544">
        <v>150</v>
      </c>
    </row>
    <row r="3545" spans="1:16" x14ac:dyDescent="0.25">
      <c r="A3545" t="s">
        <v>3296</v>
      </c>
      <c r="B3545" t="s">
        <v>2931</v>
      </c>
      <c r="C3545">
        <v>11281</v>
      </c>
      <c r="D3545" t="str">
        <f>"2503001564  "</f>
        <v xml:space="preserve">2503001564  </v>
      </c>
      <c r="E3545" t="s">
        <v>2267</v>
      </c>
      <c r="F3545" t="s">
        <v>2268</v>
      </c>
      <c r="G3545">
        <v>133.61000000000001</v>
      </c>
      <c r="H3545">
        <v>250820</v>
      </c>
      <c r="I3545">
        <v>4600</v>
      </c>
      <c r="J3545" t="s">
        <v>278</v>
      </c>
      <c r="K3545">
        <v>267.22000000000003</v>
      </c>
      <c r="L3545">
        <v>27.15</v>
      </c>
      <c r="M3545">
        <v>17533</v>
      </c>
      <c r="N3545" t="s">
        <v>147</v>
      </c>
      <c r="O3545">
        <v>250903</v>
      </c>
      <c r="P3545">
        <v>106.46</v>
      </c>
    </row>
    <row r="3546" spans="1:16" x14ac:dyDescent="0.25">
      <c r="A3546" t="s">
        <v>3296</v>
      </c>
      <c r="B3546" t="s">
        <v>2931</v>
      </c>
      <c r="C3546">
        <v>11281</v>
      </c>
      <c r="D3546" t="str">
        <f>"2503001564  "</f>
        <v xml:space="preserve">2503001564  </v>
      </c>
      <c r="E3546" t="s">
        <v>2267</v>
      </c>
      <c r="F3546" t="s">
        <v>2268</v>
      </c>
      <c r="G3546">
        <v>133.61000000000001</v>
      </c>
      <c r="H3546">
        <v>250820</v>
      </c>
      <c r="I3546">
        <v>4600</v>
      </c>
      <c r="J3546" t="s">
        <v>278</v>
      </c>
      <c r="K3546">
        <v>267.22000000000003</v>
      </c>
      <c r="L3546">
        <v>27.15</v>
      </c>
      <c r="M3546">
        <v>17647</v>
      </c>
      <c r="N3546" t="s">
        <v>907</v>
      </c>
      <c r="O3546">
        <v>250903</v>
      </c>
      <c r="P3546">
        <v>106.46</v>
      </c>
    </row>
    <row r="3547" spans="1:16" x14ac:dyDescent="0.25">
      <c r="A3547" t="s">
        <v>3296</v>
      </c>
      <c r="B3547" t="s">
        <v>2931</v>
      </c>
      <c r="C3547">
        <v>998</v>
      </c>
      <c r="D3547" t="str">
        <f>"78168       "</f>
        <v xml:space="preserve">78168       </v>
      </c>
      <c r="E3547" t="s">
        <v>803</v>
      </c>
      <c r="F3547" t="s">
        <v>3290</v>
      </c>
      <c r="G3547">
        <v>37.65</v>
      </c>
      <c r="H3547">
        <v>250124</v>
      </c>
      <c r="I3547">
        <v>4600</v>
      </c>
      <c r="J3547" t="s">
        <v>278</v>
      </c>
      <c r="K3547">
        <v>37.65</v>
      </c>
      <c r="L3547">
        <v>7.65</v>
      </c>
      <c r="M3547">
        <v>69501</v>
      </c>
      <c r="N3547" t="s">
        <v>123</v>
      </c>
      <c r="O3547">
        <v>250203</v>
      </c>
      <c r="P3547">
        <v>30</v>
      </c>
    </row>
    <row r="3548" spans="1:16" x14ac:dyDescent="0.25">
      <c r="A3548" t="s">
        <v>3296</v>
      </c>
      <c r="B3548" t="s">
        <v>2931</v>
      </c>
      <c r="C3548">
        <v>10523</v>
      </c>
      <c r="D3548" t="str">
        <f>"101461      "</f>
        <v xml:space="preserve">101461      </v>
      </c>
      <c r="E3548" t="s">
        <v>803</v>
      </c>
      <c r="F3548" t="s">
        <v>3290</v>
      </c>
      <c r="G3548">
        <v>16.920000000000002</v>
      </c>
      <c r="H3548">
        <v>250815</v>
      </c>
      <c r="I3548">
        <v>4555</v>
      </c>
      <c r="J3548" t="s">
        <v>352</v>
      </c>
      <c r="K3548">
        <v>63.23</v>
      </c>
      <c r="L3548">
        <v>3.44</v>
      </c>
      <c r="M3548">
        <v>67554</v>
      </c>
      <c r="N3548" t="s">
        <v>317</v>
      </c>
      <c r="O3548">
        <v>250820</v>
      </c>
      <c r="P3548">
        <v>13.48</v>
      </c>
    </row>
    <row r="3549" spans="1:16" x14ac:dyDescent="0.25">
      <c r="A3549" t="s">
        <v>3296</v>
      </c>
      <c r="B3549" t="s">
        <v>2931</v>
      </c>
      <c r="C3549">
        <v>15765</v>
      </c>
      <c r="D3549" t="str">
        <f>"102316      "</f>
        <v xml:space="preserve">102316      </v>
      </c>
      <c r="E3549" t="s">
        <v>803</v>
      </c>
      <c r="F3549" t="s">
        <v>3290</v>
      </c>
      <c r="G3549">
        <v>590</v>
      </c>
      <c r="H3549">
        <v>251118</v>
      </c>
      <c r="I3549">
        <v>4580</v>
      </c>
      <c r="J3549" t="s">
        <v>126</v>
      </c>
      <c r="K3549">
        <v>643.24</v>
      </c>
      <c r="L3549">
        <v>119.88</v>
      </c>
      <c r="M3549">
        <v>67554</v>
      </c>
      <c r="N3549" t="s">
        <v>317</v>
      </c>
      <c r="O3549">
        <v>251126</v>
      </c>
      <c r="P3549">
        <v>470.12</v>
      </c>
    </row>
    <row r="3550" spans="1:16" x14ac:dyDescent="0.25">
      <c r="A3550" t="s">
        <v>3296</v>
      </c>
      <c r="B3550" t="s">
        <v>2931</v>
      </c>
      <c r="C3550">
        <v>1548</v>
      </c>
      <c r="D3550" t="str">
        <f>"100057      "</f>
        <v xml:space="preserve">100057      </v>
      </c>
      <c r="E3550" t="s">
        <v>803</v>
      </c>
      <c r="F3550" t="s">
        <v>3290</v>
      </c>
      <c r="G3550">
        <v>385.67</v>
      </c>
      <c r="H3550">
        <v>250203</v>
      </c>
      <c r="I3550">
        <v>4590</v>
      </c>
      <c r="J3550" t="s">
        <v>388</v>
      </c>
      <c r="K3550">
        <v>385.67</v>
      </c>
      <c r="L3550">
        <v>78.36</v>
      </c>
      <c r="M3550">
        <v>69501</v>
      </c>
      <c r="N3550" t="s">
        <v>123</v>
      </c>
      <c r="O3550">
        <v>250211</v>
      </c>
      <c r="P3550">
        <v>307.31</v>
      </c>
    </row>
    <row r="3551" spans="1:16" x14ac:dyDescent="0.25">
      <c r="A3551" t="s">
        <v>3296</v>
      </c>
      <c r="B3551" t="s">
        <v>2931</v>
      </c>
      <c r="C3551">
        <v>1736</v>
      </c>
      <c r="D3551" t="str">
        <f>"100122      "</f>
        <v xml:space="preserve">100122      </v>
      </c>
      <c r="E3551" t="s">
        <v>803</v>
      </c>
      <c r="F3551" t="s">
        <v>3290</v>
      </c>
      <c r="G3551">
        <v>83.31</v>
      </c>
      <c r="H3551">
        <v>250207</v>
      </c>
      <c r="I3551">
        <v>4590</v>
      </c>
      <c r="J3551" t="s">
        <v>388</v>
      </c>
      <c r="K3551">
        <v>83.31</v>
      </c>
      <c r="L3551">
        <v>16.93</v>
      </c>
      <c r="M3551">
        <v>67522</v>
      </c>
      <c r="N3551" t="s">
        <v>121</v>
      </c>
      <c r="O3551">
        <v>250213</v>
      </c>
      <c r="P3551">
        <v>66.38</v>
      </c>
    </row>
    <row r="3552" spans="1:16" x14ac:dyDescent="0.25">
      <c r="A3552" t="s">
        <v>3296</v>
      </c>
      <c r="B3552" t="s">
        <v>2931</v>
      </c>
      <c r="C3552">
        <v>1744</v>
      </c>
      <c r="D3552" t="str">
        <f>"100121      "</f>
        <v xml:space="preserve">100121      </v>
      </c>
      <c r="E3552" t="s">
        <v>803</v>
      </c>
      <c r="F3552" t="s">
        <v>3290</v>
      </c>
      <c r="G3552">
        <v>81.599999999999994</v>
      </c>
      <c r="H3552">
        <v>250207</v>
      </c>
      <c r="I3552">
        <v>4590</v>
      </c>
      <c r="J3552" t="s">
        <v>388</v>
      </c>
      <c r="K3552">
        <v>137.44</v>
      </c>
      <c r="L3552">
        <v>16.579999999999998</v>
      </c>
      <c r="M3552">
        <v>66754</v>
      </c>
      <c r="N3552" t="s">
        <v>119</v>
      </c>
      <c r="O3552">
        <v>250213</v>
      </c>
      <c r="P3552">
        <v>65.02</v>
      </c>
    </row>
    <row r="3553" spans="1:16" x14ac:dyDescent="0.25">
      <c r="A3553" t="s">
        <v>3296</v>
      </c>
      <c r="B3553" t="s">
        <v>2931</v>
      </c>
      <c r="C3553">
        <v>1744</v>
      </c>
      <c r="D3553" t="str">
        <f>"100121      "</f>
        <v xml:space="preserve">100121      </v>
      </c>
      <c r="E3553" t="s">
        <v>803</v>
      </c>
      <c r="F3553" t="s">
        <v>3290</v>
      </c>
      <c r="G3553">
        <v>55.84</v>
      </c>
      <c r="H3553">
        <v>250207</v>
      </c>
      <c r="I3553">
        <v>4590</v>
      </c>
      <c r="J3553" t="s">
        <v>388</v>
      </c>
      <c r="K3553">
        <v>137.44</v>
      </c>
      <c r="L3553">
        <v>11.35</v>
      </c>
      <c r="M3553">
        <v>69501</v>
      </c>
      <c r="N3553" t="s">
        <v>123</v>
      </c>
      <c r="O3553">
        <v>250213</v>
      </c>
      <c r="P3553">
        <v>44.49</v>
      </c>
    </row>
    <row r="3554" spans="1:16" x14ac:dyDescent="0.25">
      <c r="A3554" t="s">
        <v>3296</v>
      </c>
      <c r="B3554" t="s">
        <v>2931</v>
      </c>
      <c r="C3554">
        <v>3529</v>
      </c>
      <c r="D3554" t="str">
        <f>"100361      "</f>
        <v xml:space="preserve">100361      </v>
      </c>
      <c r="E3554" t="s">
        <v>803</v>
      </c>
      <c r="F3554" t="s">
        <v>3290</v>
      </c>
      <c r="G3554">
        <v>49.05</v>
      </c>
      <c r="H3554">
        <v>250311</v>
      </c>
      <c r="I3554">
        <v>4590</v>
      </c>
      <c r="J3554" t="s">
        <v>388</v>
      </c>
      <c r="K3554">
        <v>91.13</v>
      </c>
      <c r="L3554">
        <v>9.9700000000000006</v>
      </c>
      <c r="M3554">
        <v>67522</v>
      </c>
      <c r="N3554" t="s">
        <v>121</v>
      </c>
      <c r="O3554">
        <v>250325</v>
      </c>
      <c r="P3554">
        <v>39.08</v>
      </c>
    </row>
    <row r="3555" spans="1:16" x14ac:dyDescent="0.25">
      <c r="A3555" t="s">
        <v>3296</v>
      </c>
      <c r="B3555" t="s">
        <v>2931</v>
      </c>
      <c r="C3555">
        <v>3529</v>
      </c>
      <c r="D3555" t="str">
        <f>"100361      "</f>
        <v xml:space="preserve">100361      </v>
      </c>
      <c r="E3555" t="s">
        <v>803</v>
      </c>
      <c r="F3555" t="s">
        <v>3290</v>
      </c>
      <c r="G3555">
        <v>42.08</v>
      </c>
      <c r="H3555">
        <v>250311</v>
      </c>
      <c r="I3555">
        <v>4590</v>
      </c>
      <c r="J3555" t="s">
        <v>388</v>
      </c>
      <c r="K3555">
        <v>91.13</v>
      </c>
      <c r="L3555">
        <v>8.5500000000000007</v>
      </c>
      <c r="M3555">
        <v>69501</v>
      </c>
      <c r="N3555" t="s">
        <v>123</v>
      </c>
      <c r="O3555">
        <v>250325</v>
      </c>
      <c r="P3555">
        <v>33.53</v>
      </c>
    </row>
    <row r="3556" spans="1:16" x14ac:dyDescent="0.25">
      <c r="A3556" t="s">
        <v>3296</v>
      </c>
      <c r="B3556" t="s">
        <v>2931</v>
      </c>
      <c r="C3556">
        <v>4731</v>
      </c>
      <c r="D3556" t="str">
        <f>"100416      "</f>
        <v xml:space="preserve">100416      </v>
      </c>
      <c r="E3556" t="s">
        <v>803</v>
      </c>
      <c r="F3556" t="s">
        <v>3290</v>
      </c>
      <c r="G3556">
        <v>42.48</v>
      </c>
      <c r="H3556">
        <v>250324</v>
      </c>
      <c r="I3556">
        <v>4590</v>
      </c>
      <c r="J3556" t="s">
        <v>388</v>
      </c>
      <c r="K3556">
        <v>229.33</v>
      </c>
      <c r="L3556">
        <v>8.6300000000000008</v>
      </c>
      <c r="M3556">
        <v>67554</v>
      </c>
      <c r="N3556" t="s">
        <v>317</v>
      </c>
      <c r="O3556">
        <v>250415</v>
      </c>
      <c r="P3556">
        <v>33.85</v>
      </c>
    </row>
    <row r="3557" spans="1:16" x14ac:dyDescent="0.25">
      <c r="A3557" t="s">
        <v>3296</v>
      </c>
      <c r="B3557" t="s">
        <v>2931</v>
      </c>
      <c r="C3557">
        <v>4731</v>
      </c>
      <c r="D3557" t="str">
        <f>"100416      "</f>
        <v xml:space="preserve">100416      </v>
      </c>
      <c r="E3557" t="s">
        <v>803</v>
      </c>
      <c r="F3557" t="s">
        <v>3290</v>
      </c>
      <c r="G3557">
        <v>186.85</v>
      </c>
      <c r="H3557">
        <v>250324</v>
      </c>
      <c r="I3557">
        <v>4590</v>
      </c>
      <c r="J3557" t="s">
        <v>388</v>
      </c>
      <c r="K3557">
        <v>229.33</v>
      </c>
      <c r="L3557">
        <v>37.97</v>
      </c>
      <c r="M3557">
        <v>69501</v>
      </c>
      <c r="N3557" t="s">
        <v>123</v>
      </c>
      <c r="O3557">
        <v>250415</v>
      </c>
      <c r="P3557">
        <v>148.88</v>
      </c>
    </row>
    <row r="3558" spans="1:16" x14ac:dyDescent="0.25">
      <c r="A3558" t="s">
        <v>3296</v>
      </c>
      <c r="B3558" t="s">
        <v>2931</v>
      </c>
      <c r="C3558">
        <v>4738</v>
      </c>
      <c r="D3558" t="str">
        <f>"100495      "</f>
        <v xml:space="preserve">100495      </v>
      </c>
      <c r="E3558" t="s">
        <v>803</v>
      </c>
      <c r="F3558" t="s">
        <v>3290</v>
      </c>
      <c r="G3558">
        <v>41.93</v>
      </c>
      <c r="H3558">
        <v>250403</v>
      </c>
      <c r="I3558">
        <v>4590</v>
      </c>
      <c r="J3558" t="s">
        <v>388</v>
      </c>
      <c r="K3558">
        <v>41.93</v>
      </c>
      <c r="L3558">
        <v>8.52</v>
      </c>
      <c r="M3558">
        <v>69501</v>
      </c>
      <c r="N3558" t="s">
        <v>123</v>
      </c>
      <c r="O3558">
        <v>250415</v>
      </c>
      <c r="P3558">
        <v>33.409999999999997</v>
      </c>
    </row>
    <row r="3559" spans="1:16" x14ac:dyDescent="0.25">
      <c r="A3559" t="s">
        <v>3296</v>
      </c>
      <c r="B3559" t="s">
        <v>2931</v>
      </c>
      <c r="C3559">
        <v>5599</v>
      </c>
      <c r="D3559" t="str">
        <f>"100618      "</f>
        <v xml:space="preserve">100618      </v>
      </c>
      <c r="E3559" t="s">
        <v>803</v>
      </c>
      <c r="F3559" t="s">
        <v>3290</v>
      </c>
      <c r="G3559">
        <v>26.5</v>
      </c>
      <c r="H3559">
        <v>250423</v>
      </c>
      <c r="I3559">
        <v>4590</v>
      </c>
      <c r="J3559" t="s">
        <v>388</v>
      </c>
      <c r="K3559">
        <v>26.5</v>
      </c>
      <c r="L3559">
        <v>5.38</v>
      </c>
      <c r="M3559">
        <v>69501</v>
      </c>
      <c r="N3559" t="s">
        <v>123</v>
      </c>
      <c r="O3559">
        <v>250425</v>
      </c>
      <c r="P3559">
        <v>21.12</v>
      </c>
    </row>
    <row r="3560" spans="1:16" x14ac:dyDescent="0.25">
      <c r="A3560" t="s">
        <v>3296</v>
      </c>
      <c r="B3560" t="s">
        <v>2931</v>
      </c>
      <c r="C3560">
        <v>6332</v>
      </c>
      <c r="D3560" t="str">
        <f>"100696      "</f>
        <v xml:space="preserve">100696      </v>
      </c>
      <c r="E3560" t="s">
        <v>803</v>
      </c>
      <c r="F3560" t="s">
        <v>3290</v>
      </c>
      <c r="G3560">
        <v>12.96</v>
      </c>
      <c r="H3560">
        <v>250507</v>
      </c>
      <c r="I3560">
        <v>4590</v>
      </c>
      <c r="J3560" t="s">
        <v>388</v>
      </c>
      <c r="K3560">
        <v>12.96</v>
      </c>
      <c r="L3560">
        <v>2.63</v>
      </c>
      <c r="M3560">
        <v>69501</v>
      </c>
      <c r="N3560" t="s">
        <v>123</v>
      </c>
      <c r="O3560">
        <v>250512</v>
      </c>
      <c r="P3560">
        <v>10.33</v>
      </c>
    </row>
    <row r="3561" spans="1:16" x14ac:dyDescent="0.25">
      <c r="A3561" t="s">
        <v>3296</v>
      </c>
      <c r="B3561" t="s">
        <v>2931</v>
      </c>
      <c r="C3561">
        <v>6867</v>
      </c>
      <c r="D3561" t="str">
        <f>"100752      "</f>
        <v xml:space="preserve">100752      </v>
      </c>
      <c r="E3561" t="s">
        <v>803</v>
      </c>
      <c r="F3561" t="s">
        <v>3290</v>
      </c>
      <c r="G3561">
        <v>44.1</v>
      </c>
      <c r="H3561">
        <v>250515</v>
      </c>
      <c r="I3561">
        <v>4590</v>
      </c>
      <c r="J3561" t="s">
        <v>388</v>
      </c>
      <c r="K3561">
        <v>60.02</v>
      </c>
      <c r="L3561">
        <v>8.9600000000000009</v>
      </c>
      <c r="M3561">
        <v>69111</v>
      </c>
      <c r="N3561" t="s">
        <v>657</v>
      </c>
      <c r="O3561">
        <v>250519</v>
      </c>
      <c r="P3561">
        <v>35.14</v>
      </c>
    </row>
    <row r="3562" spans="1:16" x14ac:dyDescent="0.25">
      <c r="A3562" t="s">
        <v>3296</v>
      </c>
      <c r="B3562" t="s">
        <v>2931</v>
      </c>
      <c r="C3562">
        <v>6867</v>
      </c>
      <c r="D3562" t="str">
        <f>"100752      "</f>
        <v xml:space="preserve">100752      </v>
      </c>
      <c r="E3562" t="s">
        <v>803</v>
      </c>
      <c r="F3562" t="s">
        <v>3290</v>
      </c>
      <c r="G3562">
        <v>15.92</v>
      </c>
      <c r="H3562">
        <v>250515</v>
      </c>
      <c r="I3562">
        <v>4590</v>
      </c>
      <c r="J3562" t="s">
        <v>388</v>
      </c>
      <c r="K3562">
        <v>60.02</v>
      </c>
      <c r="L3562">
        <v>3.23</v>
      </c>
      <c r="M3562">
        <v>69501</v>
      </c>
      <c r="N3562" t="s">
        <v>123</v>
      </c>
      <c r="O3562">
        <v>250519</v>
      </c>
      <c r="P3562">
        <v>12.69</v>
      </c>
    </row>
    <row r="3563" spans="1:16" x14ac:dyDescent="0.25">
      <c r="A3563" t="s">
        <v>3296</v>
      </c>
      <c r="B3563" t="s">
        <v>2931</v>
      </c>
      <c r="C3563">
        <v>9308</v>
      </c>
      <c r="D3563" t="str">
        <f>"101073      "</f>
        <v xml:space="preserve">101073      </v>
      </c>
      <c r="E3563" t="s">
        <v>803</v>
      </c>
      <c r="F3563" t="s">
        <v>3290</v>
      </c>
      <c r="G3563">
        <v>30.8</v>
      </c>
      <c r="H3563">
        <v>250627</v>
      </c>
      <c r="I3563">
        <v>4590</v>
      </c>
      <c r="J3563" t="s">
        <v>388</v>
      </c>
      <c r="K3563">
        <v>30.8</v>
      </c>
      <c r="L3563">
        <v>6.26</v>
      </c>
      <c r="M3563">
        <v>69501</v>
      </c>
      <c r="N3563" t="s">
        <v>123</v>
      </c>
      <c r="O3563">
        <v>250703</v>
      </c>
      <c r="P3563">
        <v>24.54</v>
      </c>
    </row>
    <row r="3564" spans="1:16" x14ac:dyDescent="0.25">
      <c r="A3564" t="s">
        <v>3296</v>
      </c>
      <c r="B3564" t="s">
        <v>2931</v>
      </c>
      <c r="C3564">
        <v>10175</v>
      </c>
      <c r="D3564" t="str">
        <f>"101379      "</f>
        <v xml:space="preserve">101379      </v>
      </c>
      <c r="E3564" t="s">
        <v>803</v>
      </c>
      <c r="F3564" t="s">
        <v>3290</v>
      </c>
      <c r="G3564">
        <v>16.920000000000002</v>
      </c>
      <c r="H3564">
        <v>250804</v>
      </c>
      <c r="I3564">
        <v>4590</v>
      </c>
      <c r="J3564" t="s">
        <v>388</v>
      </c>
      <c r="K3564">
        <v>30.86</v>
      </c>
      <c r="L3564">
        <v>3.44</v>
      </c>
      <c r="M3564">
        <v>69501</v>
      </c>
      <c r="N3564" t="s">
        <v>123</v>
      </c>
      <c r="O3564">
        <v>250812</v>
      </c>
      <c r="P3564">
        <v>13.48</v>
      </c>
    </row>
    <row r="3565" spans="1:16" x14ac:dyDescent="0.25">
      <c r="A3565" t="s">
        <v>3296</v>
      </c>
      <c r="B3565" t="s">
        <v>2931</v>
      </c>
      <c r="C3565">
        <v>11528</v>
      </c>
      <c r="D3565" t="str">
        <f>"101596      "</f>
        <v xml:space="preserve">101596      </v>
      </c>
      <c r="E3565" t="s">
        <v>803</v>
      </c>
      <c r="F3565" t="s">
        <v>3290</v>
      </c>
      <c r="G3565">
        <v>16.920000000000002</v>
      </c>
      <c r="H3565">
        <v>250901</v>
      </c>
      <c r="I3565">
        <v>4590</v>
      </c>
      <c r="J3565" t="s">
        <v>388</v>
      </c>
      <c r="K3565">
        <v>16.920000000000002</v>
      </c>
      <c r="L3565">
        <v>3.44</v>
      </c>
      <c r="M3565">
        <v>69501</v>
      </c>
      <c r="N3565" t="s">
        <v>123</v>
      </c>
      <c r="O3565">
        <v>250908</v>
      </c>
      <c r="P3565">
        <v>13.48</v>
      </c>
    </row>
    <row r="3566" spans="1:16" x14ac:dyDescent="0.25">
      <c r="A3566" t="s">
        <v>3296</v>
      </c>
      <c r="B3566" t="s">
        <v>2931</v>
      </c>
      <c r="C3566">
        <v>11610</v>
      </c>
      <c r="D3566" t="str">
        <f>"101649      "</f>
        <v xml:space="preserve">101649      </v>
      </c>
      <c r="E3566" t="s">
        <v>803</v>
      </c>
      <c r="F3566" t="s">
        <v>3290</v>
      </c>
      <c r="G3566">
        <v>120</v>
      </c>
      <c r="H3566">
        <v>250905</v>
      </c>
      <c r="I3566">
        <v>4590</v>
      </c>
      <c r="J3566" t="s">
        <v>388</v>
      </c>
      <c r="K3566">
        <v>120</v>
      </c>
      <c r="L3566">
        <v>24.38</v>
      </c>
      <c r="M3566">
        <v>66756</v>
      </c>
      <c r="N3566" t="s">
        <v>120</v>
      </c>
      <c r="O3566">
        <v>250909</v>
      </c>
      <c r="P3566">
        <v>95.62</v>
      </c>
    </row>
    <row r="3567" spans="1:16" x14ac:dyDescent="0.25">
      <c r="A3567" t="s">
        <v>3296</v>
      </c>
      <c r="B3567" t="s">
        <v>2931</v>
      </c>
      <c r="C3567">
        <v>11714</v>
      </c>
      <c r="D3567" t="str">
        <f>"101664      "</f>
        <v xml:space="preserve">101664      </v>
      </c>
      <c r="E3567" t="s">
        <v>803</v>
      </c>
      <c r="F3567" t="s">
        <v>3290</v>
      </c>
      <c r="G3567">
        <v>79.8</v>
      </c>
      <c r="H3567">
        <v>250908</v>
      </c>
      <c r="I3567">
        <v>4590</v>
      </c>
      <c r="J3567" t="s">
        <v>388</v>
      </c>
      <c r="K3567">
        <v>106.96</v>
      </c>
      <c r="L3567">
        <v>16.21</v>
      </c>
      <c r="M3567">
        <v>66756</v>
      </c>
      <c r="N3567" t="s">
        <v>120</v>
      </c>
      <c r="O3567">
        <v>250910</v>
      </c>
      <c r="P3567">
        <v>63.59</v>
      </c>
    </row>
    <row r="3568" spans="1:16" x14ac:dyDescent="0.25">
      <c r="A3568" t="s">
        <v>3296</v>
      </c>
      <c r="B3568" t="s">
        <v>2931</v>
      </c>
      <c r="C3568">
        <v>12654</v>
      </c>
      <c r="D3568" t="str">
        <f>"101758      "</f>
        <v xml:space="preserve">101758      </v>
      </c>
      <c r="E3568" t="s">
        <v>803</v>
      </c>
      <c r="F3568" t="s">
        <v>3290</v>
      </c>
      <c r="G3568">
        <v>29.08</v>
      </c>
      <c r="H3568">
        <v>250922</v>
      </c>
      <c r="I3568">
        <v>4590</v>
      </c>
      <c r="J3568" t="s">
        <v>388</v>
      </c>
      <c r="K3568">
        <v>29.08</v>
      </c>
      <c r="L3568">
        <v>5.91</v>
      </c>
      <c r="M3568">
        <v>69501</v>
      </c>
      <c r="N3568" t="s">
        <v>123</v>
      </c>
      <c r="O3568">
        <v>250929</v>
      </c>
      <c r="P3568">
        <v>23.17</v>
      </c>
    </row>
    <row r="3569" spans="1:16" x14ac:dyDescent="0.25">
      <c r="A3569" t="s">
        <v>3296</v>
      </c>
      <c r="B3569" t="s">
        <v>2931</v>
      </c>
      <c r="C3569">
        <v>13922</v>
      </c>
      <c r="D3569" t="str">
        <f>"102065      "</f>
        <v xml:space="preserve">102065      </v>
      </c>
      <c r="E3569" t="s">
        <v>803</v>
      </c>
      <c r="F3569" t="s">
        <v>3290</v>
      </c>
      <c r="G3569">
        <v>31.95</v>
      </c>
      <c r="H3569">
        <v>251015</v>
      </c>
      <c r="I3569">
        <v>4590</v>
      </c>
      <c r="J3569" t="s">
        <v>388</v>
      </c>
      <c r="K3569">
        <v>31.95</v>
      </c>
      <c r="L3569">
        <v>6.49</v>
      </c>
      <c r="M3569">
        <v>69501</v>
      </c>
      <c r="N3569" t="s">
        <v>123</v>
      </c>
      <c r="O3569">
        <v>251020</v>
      </c>
      <c r="P3569">
        <v>25.46</v>
      </c>
    </row>
    <row r="3570" spans="1:16" x14ac:dyDescent="0.25">
      <c r="A3570" t="s">
        <v>3296</v>
      </c>
      <c r="B3570" t="s">
        <v>2931</v>
      </c>
      <c r="C3570">
        <v>14269</v>
      </c>
      <c r="D3570" t="str">
        <f>"102120      "</f>
        <v xml:space="preserve">102120      </v>
      </c>
      <c r="E3570" t="s">
        <v>803</v>
      </c>
      <c r="F3570" t="s">
        <v>3290</v>
      </c>
      <c r="G3570">
        <v>15.98</v>
      </c>
      <c r="H3570">
        <v>251024</v>
      </c>
      <c r="I3570">
        <v>4590</v>
      </c>
      <c r="J3570" t="s">
        <v>388</v>
      </c>
      <c r="K3570">
        <v>15.98</v>
      </c>
      <c r="L3570">
        <v>3.25</v>
      </c>
      <c r="M3570">
        <v>69501</v>
      </c>
      <c r="N3570" t="s">
        <v>123</v>
      </c>
      <c r="O3570">
        <v>251028</v>
      </c>
      <c r="P3570">
        <v>12.73</v>
      </c>
    </row>
    <row r="3571" spans="1:16" x14ac:dyDescent="0.25">
      <c r="A3571" t="s">
        <v>3296</v>
      </c>
      <c r="B3571" t="s">
        <v>2931</v>
      </c>
      <c r="C3571">
        <v>15765</v>
      </c>
      <c r="D3571" t="str">
        <f>"102316      "</f>
        <v xml:space="preserve">102316      </v>
      </c>
      <c r="E3571" t="s">
        <v>803</v>
      </c>
      <c r="F3571" t="s">
        <v>3290</v>
      </c>
      <c r="G3571">
        <v>53.24</v>
      </c>
      <c r="H3571">
        <v>251118</v>
      </c>
      <c r="I3571">
        <v>4590</v>
      </c>
      <c r="J3571" t="s">
        <v>388</v>
      </c>
      <c r="K3571">
        <v>643.24</v>
      </c>
      <c r="L3571">
        <v>10.82</v>
      </c>
      <c r="M3571">
        <v>69501</v>
      </c>
      <c r="N3571" t="s">
        <v>123</v>
      </c>
      <c r="O3571">
        <v>251126</v>
      </c>
      <c r="P3571">
        <v>42.42</v>
      </c>
    </row>
    <row r="3572" spans="1:16" x14ac:dyDescent="0.25">
      <c r="A3572" t="s">
        <v>3296</v>
      </c>
      <c r="B3572" t="s">
        <v>2931</v>
      </c>
      <c r="C3572">
        <v>8180</v>
      </c>
      <c r="D3572" t="str">
        <f>"100882      "</f>
        <v xml:space="preserve">100882      </v>
      </c>
      <c r="E3572" t="s">
        <v>803</v>
      </c>
      <c r="F3572" t="s">
        <v>3290</v>
      </c>
      <c r="G3572">
        <v>92</v>
      </c>
      <c r="H3572">
        <v>250602</v>
      </c>
      <c r="I3572">
        <v>4600</v>
      </c>
      <c r="J3572" t="s">
        <v>278</v>
      </c>
      <c r="K3572">
        <v>92</v>
      </c>
      <c r="L3572">
        <v>18.690000000000001</v>
      </c>
      <c r="M3572">
        <v>67554</v>
      </c>
      <c r="N3572" t="s">
        <v>317</v>
      </c>
      <c r="O3572">
        <v>250611</v>
      </c>
      <c r="P3572">
        <v>73.31</v>
      </c>
    </row>
    <row r="3573" spans="1:16" x14ac:dyDescent="0.25">
      <c r="A3573" t="s">
        <v>3296</v>
      </c>
      <c r="B3573" t="s">
        <v>2931</v>
      </c>
      <c r="C3573">
        <v>10175</v>
      </c>
      <c r="D3573" t="str">
        <f>"101379      "</f>
        <v xml:space="preserve">101379      </v>
      </c>
      <c r="E3573" t="s">
        <v>803</v>
      </c>
      <c r="F3573" t="s">
        <v>3290</v>
      </c>
      <c r="G3573">
        <v>13.94</v>
      </c>
      <c r="H3573">
        <v>250804</v>
      </c>
      <c r="I3573">
        <v>4600</v>
      </c>
      <c r="J3573" t="s">
        <v>278</v>
      </c>
      <c r="K3573">
        <v>30.86</v>
      </c>
      <c r="L3573">
        <v>2.83</v>
      </c>
      <c r="M3573">
        <v>69501</v>
      </c>
      <c r="N3573" t="s">
        <v>123</v>
      </c>
      <c r="O3573">
        <v>250812</v>
      </c>
      <c r="P3573">
        <v>11.11</v>
      </c>
    </row>
    <row r="3574" spans="1:16" x14ac:dyDescent="0.25">
      <c r="A3574" t="s">
        <v>3296</v>
      </c>
      <c r="B3574" t="s">
        <v>2931</v>
      </c>
      <c r="C3574">
        <v>10523</v>
      </c>
      <c r="D3574" t="str">
        <f>"101461      "</f>
        <v xml:space="preserve">101461      </v>
      </c>
      <c r="E3574" t="s">
        <v>803</v>
      </c>
      <c r="F3574" t="s">
        <v>3290</v>
      </c>
      <c r="G3574">
        <v>46.31</v>
      </c>
      <c r="H3574">
        <v>250815</v>
      </c>
      <c r="I3574">
        <v>4600</v>
      </c>
      <c r="J3574" t="s">
        <v>278</v>
      </c>
      <c r="K3574">
        <v>63.23</v>
      </c>
      <c r="L3574">
        <v>9.41</v>
      </c>
      <c r="M3574">
        <v>69501</v>
      </c>
      <c r="N3574" t="s">
        <v>123</v>
      </c>
      <c r="O3574">
        <v>250820</v>
      </c>
      <c r="P3574">
        <v>36.9</v>
      </c>
    </row>
    <row r="3575" spans="1:16" x14ac:dyDescent="0.25">
      <c r="A3575" t="s">
        <v>3296</v>
      </c>
      <c r="B3575" t="s">
        <v>2931</v>
      </c>
      <c r="C3575">
        <v>11714</v>
      </c>
      <c r="D3575" t="str">
        <f>"101664      "</f>
        <v xml:space="preserve">101664      </v>
      </c>
      <c r="E3575" t="s">
        <v>803</v>
      </c>
      <c r="F3575" t="s">
        <v>3290</v>
      </c>
      <c r="G3575">
        <v>27.16</v>
      </c>
      <c r="H3575">
        <v>250908</v>
      </c>
      <c r="I3575">
        <v>4600</v>
      </c>
      <c r="J3575" t="s">
        <v>278</v>
      </c>
      <c r="K3575">
        <v>106.96</v>
      </c>
      <c r="L3575">
        <v>5.52</v>
      </c>
      <c r="M3575">
        <v>66756</v>
      </c>
      <c r="N3575" t="s">
        <v>120</v>
      </c>
      <c r="O3575">
        <v>250910</v>
      </c>
      <c r="P3575">
        <v>21.64</v>
      </c>
    </row>
    <row r="3576" spans="1:16" x14ac:dyDescent="0.25">
      <c r="A3576" t="s">
        <v>3296</v>
      </c>
      <c r="B3576" t="s">
        <v>2931</v>
      </c>
      <c r="C3576">
        <v>15216</v>
      </c>
      <c r="D3576" t="str">
        <f>"102257      "</f>
        <v xml:space="preserve">102257      </v>
      </c>
      <c r="E3576" t="s">
        <v>803</v>
      </c>
      <c r="F3576" t="s">
        <v>3290</v>
      </c>
      <c r="G3576">
        <v>13.02</v>
      </c>
      <c r="H3576">
        <v>251110</v>
      </c>
      <c r="I3576">
        <v>4600</v>
      </c>
      <c r="J3576" t="s">
        <v>278</v>
      </c>
      <c r="K3576">
        <v>13.02</v>
      </c>
      <c r="L3576">
        <v>2.65</v>
      </c>
      <c r="M3576">
        <v>69501</v>
      </c>
      <c r="N3576" t="s">
        <v>123</v>
      </c>
      <c r="O3576">
        <v>251114</v>
      </c>
      <c r="P3576">
        <v>10.37</v>
      </c>
    </row>
    <row r="3577" spans="1:16" x14ac:dyDescent="0.25">
      <c r="A3577" t="s">
        <v>3296</v>
      </c>
      <c r="B3577" t="s">
        <v>2931</v>
      </c>
      <c r="C3577">
        <v>745</v>
      </c>
      <c r="D3577" t="str">
        <f>"2025000813  "</f>
        <v xml:space="preserve">2025000813  </v>
      </c>
      <c r="E3577" t="s">
        <v>708</v>
      </c>
      <c r="F3577" t="s">
        <v>709</v>
      </c>
      <c r="G3577">
        <v>159.07</v>
      </c>
      <c r="H3577">
        <v>250127</v>
      </c>
      <c r="I3577">
        <v>4470</v>
      </c>
      <c r="J3577" t="s">
        <v>203</v>
      </c>
      <c r="K3577">
        <v>159.07</v>
      </c>
      <c r="L3577">
        <v>32.32</v>
      </c>
      <c r="M3577">
        <v>67554</v>
      </c>
      <c r="N3577" t="s">
        <v>317</v>
      </c>
      <c r="O3577">
        <v>250128</v>
      </c>
      <c r="P3577">
        <v>126.75</v>
      </c>
    </row>
    <row r="3578" spans="1:16" x14ac:dyDescent="0.25">
      <c r="A3578" t="s">
        <v>3296</v>
      </c>
      <c r="B3578" t="s">
        <v>2931</v>
      </c>
      <c r="C3578">
        <v>5326</v>
      </c>
      <c r="D3578" t="str">
        <f>"2025002454  "</f>
        <v xml:space="preserve">2025002454  </v>
      </c>
      <c r="E3578" t="s">
        <v>708</v>
      </c>
      <c r="F3578" t="s">
        <v>709</v>
      </c>
      <c r="G3578">
        <v>58.17</v>
      </c>
      <c r="H3578">
        <v>250411</v>
      </c>
      <c r="I3578">
        <v>4470</v>
      </c>
      <c r="J3578" t="s">
        <v>203</v>
      </c>
      <c r="K3578">
        <v>58.17</v>
      </c>
      <c r="L3578">
        <v>11.82</v>
      </c>
      <c r="M3578">
        <v>67554</v>
      </c>
      <c r="N3578" t="s">
        <v>317</v>
      </c>
      <c r="O3578">
        <v>250423</v>
      </c>
      <c r="P3578">
        <v>46.35</v>
      </c>
    </row>
    <row r="3579" spans="1:16" x14ac:dyDescent="0.25">
      <c r="A3579" t="s">
        <v>3296</v>
      </c>
      <c r="B3579" t="s">
        <v>2931</v>
      </c>
      <c r="C3579">
        <v>5538</v>
      </c>
      <c r="D3579" t="str">
        <f>"2025002736  "</f>
        <v xml:space="preserve">2025002736  </v>
      </c>
      <c r="E3579" t="s">
        <v>708</v>
      </c>
      <c r="F3579" t="s">
        <v>709</v>
      </c>
      <c r="G3579">
        <v>50.07</v>
      </c>
      <c r="H3579">
        <v>250417</v>
      </c>
      <c r="I3579">
        <v>4470</v>
      </c>
      <c r="J3579" t="s">
        <v>203</v>
      </c>
      <c r="K3579">
        <v>50.07</v>
      </c>
      <c r="L3579">
        <v>10.17</v>
      </c>
      <c r="M3579">
        <v>66754</v>
      </c>
      <c r="N3579" t="s">
        <v>119</v>
      </c>
      <c r="O3579">
        <v>250425</v>
      </c>
      <c r="P3579">
        <v>39.9</v>
      </c>
    </row>
    <row r="3580" spans="1:16" x14ac:dyDescent="0.25">
      <c r="A3580" t="s">
        <v>3296</v>
      </c>
      <c r="B3580" t="s">
        <v>2931</v>
      </c>
      <c r="C3580">
        <v>5639</v>
      </c>
      <c r="D3580" t="str">
        <f>"2025002883  "</f>
        <v xml:space="preserve">2025002883  </v>
      </c>
      <c r="E3580" t="s">
        <v>708</v>
      </c>
      <c r="F3580" t="s">
        <v>709</v>
      </c>
      <c r="G3580">
        <v>160.63999999999999</v>
      </c>
      <c r="H3580">
        <v>250423</v>
      </c>
      <c r="I3580">
        <v>4470</v>
      </c>
      <c r="J3580" t="s">
        <v>203</v>
      </c>
      <c r="K3580">
        <v>160.63999999999999</v>
      </c>
      <c r="L3580">
        <v>32.64</v>
      </c>
      <c r="M3580">
        <v>69501</v>
      </c>
      <c r="N3580" t="s">
        <v>123</v>
      </c>
      <c r="O3580">
        <v>250428</v>
      </c>
      <c r="P3580">
        <v>128</v>
      </c>
    </row>
    <row r="3581" spans="1:16" x14ac:dyDescent="0.25">
      <c r="A3581" t="s">
        <v>3296</v>
      </c>
      <c r="B3581" t="s">
        <v>2931</v>
      </c>
      <c r="C3581">
        <v>12808</v>
      </c>
      <c r="D3581" t="str">
        <f>"2025010290  "</f>
        <v xml:space="preserve">2025010290  </v>
      </c>
      <c r="E3581" t="s">
        <v>708</v>
      </c>
      <c r="F3581" t="s">
        <v>709</v>
      </c>
      <c r="G3581">
        <v>159.07</v>
      </c>
      <c r="H3581">
        <v>250924</v>
      </c>
      <c r="I3581">
        <v>4470</v>
      </c>
      <c r="J3581" t="s">
        <v>203</v>
      </c>
      <c r="K3581">
        <v>159.07</v>
      </c>
      <c r="L3581">
        <v>32.32</v>
      </c>
      <c r="M3581">
        <v>67554</v>
      </c>
      <c r="N3581" t="s">
        <v>317</v>
      </c>
      <c r="O3581">
        <v>250930</v>
      </c>
      <c r="P3581">
        <v>126.75</v>
      </c>
    </row>
    <row r="3582" spans="1:16" x14ac:dyDescent="0.25">
      <c r="A3582" t="s">
        <v>3296</v>
      </c>
      <c r="B3582" t="s">
        <v>2931</v>
      </c>
      <c r="C3582">
        <v>14132</v>
      </c>
      <c r="D3582" t="str">
        <f>"2025012532  "</f>
        <v xml:space="preserve">2025012532  </v>
      </c>
      <c r="E3582" t="s">
        <v>708</v>
      </c>
      <c r="F3582" t="s">
        <v>709</v>
      </c>
      <c r="G3582">
        <v>425.65</v>
      </c>
      <c r="H3582">
        <v>251021</v>
      </c>
      <c r="I3582">
        <v>4470</v>
      </c>
      <c r="J3582" t="s">
        <v>203</v>
      </c>
      <c r="K3582">
        <v>425.65</v>
      </c>
      <c r="L3582">
        <v>86.49</v>
      </c>
      <c r="M3582">
        <v>17737</v>
      </c>
      <c r="N3582" t="s">
        <v>156</v>
      </c>
      <c r="O3582">
        <v>251024</v>
      </c>
      <c r="P3582">
        <v>339.16</v>
      </c>
    </row>
    <row r="3583" spans="1:16" x14ac:dyDescent="0.25">
      <c r="A3583" t="s">
        <v>3296</v>
      </c>
      <c r="B3583" t="s">
        <v>2931</v>
      </c>
      <c r="C3583">
        <v>4118</v>
      </c>
      <c r="D3583" t="str">
        <f>"34037       "</f>
        <v xml:space="preserve">34037       </v>
      </c>
      <c r="E3583" t="s">
        <v>528</v>
      </c>
      <c r="F3583" t="s">
        <v>529</v>
      </c>
      <c r="G3583">
        <v>11.96</v>
      </c>
      <c r="H3583">
        <v>250325</v>
      </c>
      <c r="I3583">
        <v>4500</v>
      </c>
      <c r="J3583" t="s">
        <v>312</v>
      </c>
      <c r="K3583">
        <v>165.43</v>
      </c>
      <c r="L3583">
        <v>2.4300000000000002</v>
      </c>
      <c r="M3583">
        <v>13801</v>
      </c>
      <c r="N3583" t="s">
        <v>33</v>
      </c>
      <c r="O3583">
        <v>250407</v>
      </c>
      <c r="P3583">
        <v>9.5299999999999994</v>
      </c>
    </row>
    <row r="3584" spans="1:16" x14ac:dyDescent="0.25">
      <c r="A3584" t="s">
        <v>3296</v>
      </c>
      <c r="B3584" t="s">
        <v>2931</v>
      </c>
      <c r="C3584">
        <v>4118</v>
      </c>
      <c r="D3584" t="str">
        <f>"34037       "</f>
        <v xml:space="preserve">34037       </v>
      </c>
      <c r="E3584" t="s">
        <v>528</v>
      </c>
      <c r="F3584" t="s">
        <v>529</v>
      </c>
      <c r="G3584">
        <v>16.96</v>
      </c>
      <c r="H3584">
        <v>250325</v>
      </c>
      <c r="I3584">
        <v>4500</v>
      </c>
      <c r="J3584" t="s">
        <v>312</v>
      </c>
      <c r="K3584">
        <v>165.43</v>
      </c>
      <c r="L3584">
        <v>3.45</v>
      </c>
      <c r="M3584">
        <v>13802</v>
      </c>
      <c r="N3584" t="s">
        <v>34</v>
      </c>
      <c r="O3584">
        <v>250407</v>
      </c>
      <c r="P3584">
        <v>13.51</v>
      </c>
    </row>
    <row r="3585" spans="1:16" x14ac:dyDescent="0.25">
      <c r="A3585" t="s">
        <v>3296</v>
      </c>
      <c r="B3585" t="s">
        <v>2931</v>
      </c>
      <c r="C3585">
        <v>4118</v>
      </c>
      <c r="D3585" t="str">
        <f>"34037       "</f>
        <v xml:space="preserve">34037       </v>
      </c>
      <c r="E3585" t="s">
        <v>528</v>
      </c>
      <c r="F3585" t="s">
        <v>529</v>
      </c>
      <c r="G3585">
        <v>90.86</v>
      </c>
      <c r="H3585">
        <v>250325</v>
      </c>
      <c r="I3585">
        <v>4500</v>
      </c>
      <c r="J3585" t="s">
        <v>312</v>
      </c>
      <c r="K3585">
        <v>165.43</v>
      </c>
      <c r="L3585">
        <v>18.46</v>
      </c>
      <c r="M3585">
        <v>13802</v>
      </c>
      <c r="N3585" t="s">
        <v>34</v>
      </c>
      <c r="O3585">
        <v>250407</v>
      </c>
      <c r="P3585">
        <v>72.400000000000006</v>
      </c>
    </row>
    <row r="3586" spans="1:16" x14ac:dyDescent="0.25">
      <c r="A3586" t="s">
        <v>3296</v>
      </c>
      <c r="B3586" t="s">
        <v>2931</v>
      </c>
      <c r="C3586">
        <v>5595</v>
      </c>
      <c r="D3586" t="str">
        <f>"34208       "</f>
        <v xml:space="preserve">34208       </v>
      </c>
      <c r="E3586" t="s">
        <v>528</v>
      </c>
      <c r="F3586" t="s">
        <v>529</v>
      </c>
      <c r="G3586">
        <v>41.86</v>
      </c>
      <c r="H3586">
        <v>250423</v>
      </c>
      <c r="I3586">
        <v>4500</v>
      </c>
      <c r="J3586" t="s">
        <v>312</v>
      </c>
      <c r="K3586">
        <v>94.69</v>
      </c>
      <c r="L3586">
        <v>8.51</v>
      </c>
      <c r="M3586">
        <v>13801</v>
      </c>
      <c r="N3586" t="s">
        <v>33</v>
      </c>
      <c r="O3586">
        <v>250425</v>
      </c>
      <c r="P3586">
        <v>33.35</v>
      </c>
    </row>
    <row r="3587" spans="1:16" x14ac:dyDescent="0.25">
      <c r="A3587" t="s">
        <v>3296</v>
      </c>
      <c r="B3587" t="s">
        <v>2931</v>
      </c>
      <c r="C3587">
        <v>5595</v>
      </c>
      <c r="D3587" t="str">
        <f>"34208       "</f>
        <v xml:space="preserve">34208       </v>
      </c>
      <c r="E3587" t="s">
        <v>528</v>
      </c>
      <c r="F3587" t="s">
        <v>529</v>
      </c>
      <c r="G3587">
        <v>17.89</v>
      </c>
      <c r="H3587">
        <v>250423</v>
      </c>
      <c r="I3587">
        <v>4500</v>
      </c>
      <c r="J3587" t="s">
        <v>312</v>
      </c>
      <c r="K3587">
        <v>94.69</v>
      </c>
      <c r="L3587">
        <v>3.64</v>
      </c>
      <c r="M3587">
        <v>13802</v>
      </c>
      <c r="N3587" t="s">
        <v>34</v>
      </c>
      <c r="O3587">
        <v>250425</v>
      </c>
      <c r="P3587">
        <v>14.25</v>
      </c>
    </row>
    <row r="3588" spans="1:16" x14ac:dyDescent="0.25">
      <c r="A3588" t="s">
        <v>3296</v>
      </c>
      <c r="B3588" t="s">
        <v>2931</v>
      </c>
      <c r="C3588">
        <v>8968</v>
      </c>
      <c r="D3588" t="str">
        <f>"34598       "</f>
        <v xml:space="preserve">34598       </v>
      </c>
      <c r="E3588" t="s">
        <v>528</v>
      </c>
      <c r="F3588" t="s">
        <v>529</v>
      </c>
      <c r="G3588">
        <v>78.010000000000005</v>
      </c>
      <c r="H3588">
        <v>250616</v>
      </c>
      <c r="I3588">
        <v>4500</v>
      </c>
      <c r="J3588" t="s">
        <v>312</v>
      </c>
      <c r="K3588">
        <v>126.32</v>
      </c>
      <c r="L3588">
        <v>15.85</v>
      </c>
      <c r="M3588">
        <v>13802</v>
      </c>
      <c r="N3588" t="s">
        <v>34</v>
      </c>
      <c r="O3588">
        <v>250619</v>
      </c>
      <c r="P3588">
        <v>62.16</v>
      </c>
    </row>
    <row r="3589" spans="1:16" x14ac:dyDescent="0.25">
      <c r="A3589" t="s">
        <v>3296</v>
      </c>
      <c r="B3589" t="s">
        <v>2931</v>
      </c>
      <c r="C3589">
        <v>15204</v>
      </c>
      <c r="D3589" t="str">
        <f>"35594       "</f>
        <v xml:space="preserve">35594       </v>
      </c>
      <c r="E3589" t="s">
        <v>528</v>
      </c>
      <c r="F3589" t="s">
        <v>529</v>
      </c>
      <c r="G3589">
        <v>9.9499999999999993</v>
      </c>
      <c r="H3589">
        <v>251031</v>
      </c>
      <c r="I3589">
        <v>4500</v>
      </c>
      <c r="J3589" t="s">
        <v>312</v>
      </c>
      <c r="K3589">
        <v>31.82</v>
      </c>
      <c r="L3589">
        <v>2.02</v>
      </c>
      <c r="M3589">
        <v>13821</v>
      </c>
      <c r="N3589" t="s">
        <v>867</v>
      </c>
      <c r="O3589">
        <v>251114</v>
      </c>
      <c r="P3589">
        <v>7.93</v>
      </c>
    </row>
    <row r="3590" spans="1:16" x14ac:dyDescent="0.25">
      <c r="A3590" t="s">
        <v>3296</v>
      </c>
      <c r="B3590" t="s">
        <v>2931</v>
      </c>
      <c r="C3590">
        <v>18035</v>
      </c>
      <c r="D3590" t="str">
        <f>"36121       "</f>
        <v xml:space="preserve">36121       </v>
      </c>
      <c r="E3590" t="s">
        <v>528</v>
      </c>
      <c r="F3590" t="s">
        <v>529</v>
      </c>
      <c r="G3590">
        <v>8.4700000000000006</v>
      </c>
      <c r="H3590">
        <v>251231</v>
      </c>
      <c r="I3590">
        <v>4500</v>
      </c>
      <c r="J3590" t="s">
        <v>312</v>
      </c>
      <c r="K3590">
        <v>8.4700000000000006</v>
      </c>
      <c r="L3590">
        <v>1.72</v>
      </c>
      <c r="M3590">
        <v>13802</v>
      </c>
      <c r="N3590" t="s">
        <v>34</v>
      </c>
      <c r="O3590">
        <v>260108</v>
      </c>
      <c r="P3590">
        <v>6.75</v>
      </c>
    </row>
    <row r="3591" spans="1:16" x14ac:dyDescent="0.25">
      <c r="A3591" t="s">
        <v>3296</v>
      </c>
      <c r="B3591" t="s">
        <v>2931</v>
      </c>
      <c r="C3591">
        <v>4118</v>
      </c>
      <c r="D3591" t="str">
        <f>"34037       "</f>
        <v xml:space="preserve">34037       </v>
      </c>
      <c r="E3591" t="s">
        <v>528</v>
      </c>
      <c r="F3591" t="s">
        <v>529</v>
      </c>
      <c r="G3591">
        <v>0.99</v>
      </c>
      <c r="H3591">
        <v>250325</v>
      </c>
      <c r="I3591">
        <v>4520</v>
      </c>
      <c r="J3591" t="s">
        <v>280</v>
      </c>
      <c r="K3591">
        <v>165.43</v>
      </c>
      <c r="L3591">
        <v>0.12</v>
      </c>
      <c r="M3591">
        <v>13802</v>
      </c>
      <c r="N3591" t="s">
        <v>34</v>
      </c>
      <c r="O3591">
        <v>250407</v>
      </c>
      <c r="P3591">
        <v>0.87</v>
      </c>
    </row>
    <row r="3592" spans="1:16" x14ac:dyDescent="0.25">
      <c r="A3592" t="s">
        <v>3296</v>
      </c>
      <c r="B3592" t="s">
        <v>2931</v>
      </c>
      <c r="C3592">
        <v>7348</v>
      </c>
      <c r="D3592" t="str">
        <f>"34383       "</f>
        <v xml:space="preserve">34383       </v>
      </c>
      <c r="E3592" t="s">
        <v>528</v>
      </c>
      <c r="F3592" t="s">
        <v>529</v>
      </c>
      <c r="G3592">
        <v>7</v>
      </c>
      <c r="H3592">
        <v>250521</v>
      </c>
      <c r="I3592">
        <v>4520</v>
      </c>
      <c r="J3592" t="s">
        <v>280</v>
      </c>
      <c r="K3592">
        <v>20.98</v>
      </c>
      <c r="L3592">
        <v>0.86</v>
      </c>
      <c r="M3592">
        <v>13802</v>
      </c>
      <c r="N3592" t="s">
        <v>34</v>
      </c>
      <c r="O3592">
        <v>250603</v>
      </c>
      <c r="P3592">
        <v>6.14</v>
      </c>
    </row>
    <row r="3593" spans="1:16" x14ac:dyDescent="0.25">
      <c r="A3593" t="s">
        <v>3296</v>
      </c>
      <c r="B3593" t="s">
        <v>2931</v>
      </c>
      <c r="C3593">
        <v>10940</v>
      </c>
      <c r="D3593" t="str">
        <f>"35092       "</f>
        <v xml:space="preserve">35092       </v>
      </c>
      <c r="E3593" t="s">
        <v>528</v>
      </c>
      <c r="F3593" t="s">
        <v>529</v>
      </c>
      <c r="G3593">
        <v>59.95</v>
      </c>
      <c r="H3593">
        <v>250826</v>
      </c>
      <c r="I3593">
        <v>4530</v>
      </c>
      <c r="J3593" t="s">
        <v>293</v>
      </c>
      <c r="K3593">
        <v>59.95</v>
      </c>
      <c r="L3593">
        <v>12.18</v>
      </c>
      <c r="M3593">
        <v>13601</v>
      </c>
      <c r="N3593" t="s">
        <v>115</v>
      </c>
      <c r="O3593">
        <v>250827</v>
      </c>
      <c r="P3593">
        <v>47.77</v>
      </c>
    </row>
    <row r="3594" spans="1:16" x14ac:dyDescent="0.25">
      <c r="A3594" t="s">
        <v>3296</v>
      </c>
      <c r="B3594" t="s">
        <v>2931</v>
      </c>
      <c r="C3594">
        <v>452</v>
      </c>
      <c r="D3594" t="str">
        <f>"33662       "</f>
        <v xml:space="preserve">33662       </v>
      </c>
      <c r="E3594" t="s">
        <v>528</v>
      </c>
      <c r="F3594" t="s">
        <v>529</v>
      </c>
      <c r="G3594">
        <v>66.349999999999994</v>
      </c>
      <c r="H3594">
        <v>250121</v>
      </c>
      <c r="I3594">
        <v>4600</v>
      </c>
      <c r="J3594" t="s">
        <v>278</v>
      </c>
      <c r="K3594">
        <v>66.349999999999994</v>
      </c>
      <c r="L3594">
        <v>13.48</v>
      </c>
      <c r="M3594">
        <v>13802</v>
      </c>
      <c r="N3594" t="s">
        <v>34</v>
      </c>
      <c r="O3594">
        <v>250122</v>
      </c>
      <c r="P3594">
        <v>52.87</v>
      </c>
    </row>
    <row r="3595" spans="1:16" x14ac:dyDescent="0.25">
      <c r="A3595" t="s">
        <v>3296</v>
      </c>
      <c r="B3595" t="s">
        <v>2931</v>
      </c>
      <c r="C3595">
        <v>2528</v>
      </c>
      <c r="D3595" t="str">
        <f>"33789       "</f>
        <v xml:space="preserve">33789       </v>
      </c>
      <c r="E3595" t="s">
        <v>528</v>
      </c>
      <c r="F3595" t="s">
        <v>529</v>
      </c>
      <c r="G3595">
        <v>18.04</v>
      </c>
      <c r="H3595">
        <v>250218</v>
      </c>
      <c r="I3595">
        <v>4600</v>
      </c>
      <c r="J3595" t="s">
        <v>278</v>
      </c>
      <c r="K3595">
        <v>251.09</v>
      </c>
      <c r="L3595">
        <v>3.67</v>
      </c>
      <c r="M3595">
        <v>13802</v>
      </c>
      <c r="N3595" t="s">
        <v>34</v>
      </c>
      <c r="O3595">
        <v>250303</v>
      </c>
      <c r="P3595">
        <v>14.37</v>
      </c>
    </row>
    <row r="3596" spans="1:16" x14ac:dyDescent="0.25">
      <c r="A3596" t="s">
        <v>3296</v>
      </c>
      <c r="B3596" t="s">
        <v>2931</v>
      </c>
      <c r="C3596">
        <v>2528</v>
      </c>
      <c r="D3596" t="str">
        <f>"33789       "</f>
        <v xml:space="preserve">33789       </v>
      </c>
      <c r="E3596" t="s">
        <v>528</v>
      </c>
      <c r="F3596" t="s">
        <v>529</v>
      </c>
      <c r="G3596">
        <v>233.05</v>
      </c>
      <c r="H3596">
        <v>250218</v>
      </c>
      <c r="I3596">
        <v>4600</v>
      </c>
      <c r="J3596" t="s">
        <v>278</v>
      </c>
      <c r="K3596">
        <v>251.09</v>
      </c>
      <c r="L3596">
        <v>47.35</v>
      </c>
      <c r="M3596">
        <v>13802</v>
      </c>
      <c r="N3596" t="s">
        <v>34</v>
      </c>
      <c r="O3596">
        <v>250303</v>
      </c>
      <c r="P3596">
        <v>185.7</v>
      </c>
    </row>
    <row r="3597" spans="1:16" x14ac:dyDescent="0.25">
      <c r="A3597" t="s">
        <v>3296</v>
      </c>
      <c r="B3597" t="s">
        <v>2931</v>
      </c>
      <c r="C3597">
        <v>4105</v>
      </c>
      <c r="D3597" t="str">
        <f>"34021       "</f>
        <v xml:space="preserve">34021       </v>
      </c>
      <c r="E3597" t="s">
        <v>528</v>
      </c>
      <c r="F3597" t="s">
        <v>529</v>
      </c>
      <c r="G3597">
        <v>59.59</v>
      </c>
      <c r="H3597">
        <v>250325</v>
      </c>
      <c r="I3597">
        <v>4600</v>
      </c>
      <c r="J3597" t="s">
        <v>278</v>
      </c>
      <c r="K3597">
        <v>88.06</v>
      </c>
      <c r="L3597">
        <v>12.11</v>
      </c>
      <c r="M3597">
        <v>13801</v>
      </c>
      <c r="N3597" t="s">
        <v>33</v>
      </c>
      <c r="O3597">
        <v>250407</v>
      </c>
      <c r="P3597">
        <v>47.48</v>
      </c>
    </row>
    <row r="3598" spans="1:16" x14ac:dyDescent="0.25">
      <c r="A3598" t="s">
        <v>3296</v>
      </c>
      <c r="B3598" t="s">
        <v>2931</v>
      </c>
      <c r="C3598">
        <v>4105</v>
      </c>
      <c r="D3598" t="str">
        <f>"34021       "</f>
        <v xml:space="preserve">34021       </v>
      </c>
      <c r="E3598" t="s">
        <v>528</v>
      </c>
      <c r="F3598" t="s">
        <v>529</v>
      </c>
      <c r="G3598">
        <v>28.47</v>
      </c>
      <c r="H3598">
        <v>250325</v>
      </c>
      <c r="I3598">
        <v>4600</v>
      </c>
      <c r="J3598" t="s">
        <v>278</v>
      </c>
      <c r="K3598">
        <v>88.06</v>
      </c>
      <c r="L3598">
        <v>5.78</v>
      </c>
      <c r="M3598">
        <v>13802</v>
      </c>
      <c r="N3598" t="s">
        <v>34</v>
      </c>
      <c r="O3598">
        <v>250407</v>
      </c>
      <c r="P3598">
        <v>22.69</v>
      </c>
    </row>
    <row r="3599" spans="1:16" x14ac:dyDescent="0.25">
      <c r="A3599" t="s">
        <v>3296</v>
      </c>
      <c r="B3599" t="s">
        <v>2931</v>
      </c>
      <c r="C3599">
        <v>4115</v>
      </c>
      <c r="D3599" t="str">
        <f>"34019       "</f>
        <v xml:space="preserve">34019       </v>
      </c>
      <c r="E3599" t="s">
        <v>528</v>
      </c>
      <c r="F3599" t="s">
        <v>529</v>
      </c>
      <c r="G3599">
        <v>29.33</v>
      </c>
      <c r="H3599">
        <v>250325</v>
      </c>
      <c r="I3599">
        <v>4600</v>
      </c>
      <c r="J3599" t="s">
        <v>278</v>
      </c>
      <c r="K3599">
        <v>29.33</v>
      </c>
      <c r="L3599">
        <v>5.96</v>
      </c>
      <c r="M3599">
        <v>13802</v>
      </c>
      <c r="N3599" t="s">
        <v>34</v>
      </c>
      <c r="O3599">
        <v>250407</v>
      </c>
      <c r="P3599">
        <v>23.37</v>
      </c>
    </row>
    <row r="3600" spans="1:16" x14ac:dyDescent="0.25">
      <c r="A3600" t="s">
        <v>3296</v>
      </c>
      <c r="B3600" t="s">
        <v>2931</v>
      </c>
      <c r="C3600">
        <v>4118</v>
      </c>
      <c r="D3600" t="str">
        <f>"34037       "</f>
        <v xml:space="preserve">34037       </v>
      </c>
      <c r="E3600" t="s">
        <v>528</v>
      </c>
      <c r="F3600" t="s">
        <v>529</v>
      </c>
      <c r="G3600">
        <v>44.66</v>
      </c>
      <c r="H3600">
        <v>250325</v>
      </c>
      <c r="I3600">
        <v>4600</v>
      </c>
      <c r="J3600" t="s">
        <v>278</v>
      </c>
      <c r="K3600">
        <v>165.43</v>
      </c>
      <c r="L3600">
        <v>9.07</v>
      </c>
      <c r="M3600">
        <v>13802</v>
      </c>
      <c r="N3600" t="s">
        <v>34</v>
      </c>
      <c r="O3600">
        <v>250407</v>
      </c>
      <c r="P3600">
        <v>35.590000000000003</v>
      </c>
    </row>
    <row r="3601" spans="1:16" x14ac:dyDescent="0.25">
      <c r="A3601" t="s">
        <v>3296</v>
      </c>
      <c r="B3601" t="s">
        <v>2931</v>
      </c>
      <c r="C3601">
        <v>5595</v>
      </c>
      <c r="D3601" t="str">
        <f>"34208       "</f>
        <v xml:space="preserve">34208       </v>
      </c>
      <c r="E3601" t="s">
        <v>528</v>
      </c>
      <c r="F3601" t="s">
        <v>529</v>
      </c>
      <c r="G3601">
        <v>34.94</v>
      </c>
      <c r="H3601">
        <v>250423</v>
      </c>
      <c r="I3601">
        <v>4600</v>
      </c>
      <c r="J3601" t="s">
        <v>278</v>
      </c>
      <c r="K3601">
        <v>94.69</v>
      </c>
      <c r="L3601">
        <v>7.1</v>
      </c>
      <c r="M3601">
        <v>13801</v>
      </c>
      <c r="N3601" t="s">
        <v>33</v>
      </c>
      <c r="O3601">
        <v>250425</v>
      </c>
      <c r="P3601">
        <v>27.84</v>
      </c>
    </row>
    <row r="3602" spans="1:16" x14ac:dyDescent="0.25">
      <c r="A3602" t="s">
        <v>3296</v>
      </c>
      <c r="B3602" t="s">
        <v>2931</v>
      </c>
      <c r="C3602">
        <v>7118</v>
      </c>
      <c r="D3602" t="str">
        <f>"34368       "</f>
        <v xml:space="preserve">34368       </v>
      </c>
      <c r="E3602" t="s">
        <v>528</v>
      </c>
      <c r="F3602" t="s">
        <v>529</v>
      </c>
      <c r="G3602">
        <v>50</v>
      </c>
      <c r="H3602">
        <v>250521</v>
      </c>
      <c r="I3602">
        <v>4600</v>
      </c>
      <c r="J3602" t="s">
        <v>278</v>
      </c>
      <c r="K3602">
        <v>50</v>
      </c>
      <c r="L3602">
        <v>0</v>
      </c>
      <c r="M3602">
        <v>13821</v>
      </c>
      <c r="N3602" t="s">
        <v>867</v>
      </c>
      <c r="O3602">
        <v>250522</v>
      </c>
      <c r="P3602">
        <v>50</v>
      </c>
    </row>
    <row r="3603" spans="1:16" x14ac:dyDescent="0.25">
      <c r="A3603" t="s">
        <v>3296</v>
      </c>
      <c r="B3603" t="s">
        <v>2931</v>
      </c>
      <c r="C3603">
        <v>7132</v>
      </c>
      <c r="D3603" t="str">
        <f>"34370       "</f>
        <v xml:space="preserve">34370       </v>
      </c>
      <c r="E3603" t="s">
        <v>528</v>
      </c>
      <c r="F3603" t="s">
        <v>529</v>
      </c>
      <c r="G3603">
        <v>18.079999999999998</v>
      </c>
      <c r="H3603">
        <v>250521</v>
      </c>
      <c r="I3603">
        <v>4600</v>
      </c>
      <c r="J3603" t="s">
        <v>278</v>
      </c>
      <c r="K3603">
        <v>18.079999999999998</v>
      </c>
      <c r="L3603">
        <v>3.67</v>
      </c>
      <c r="M3603">
        <v>13861</v>
      </c>
      <c r="N3603" t="s">
        <v>604</v>
      </c>
      <c r="O3603">
        <v>250523</v>
      </c>
      <c r="P3603">
        <v>14.41</v>
      </c>
    </row>
    <row r="3604" spans="1:16" x14ac:dyDescent="0.25">
      <c r="A3604" t="s">
        <v>3296</v>
      </c>
      <c r="B3604" t="s">
        <v>2931</v>
      </c>
      <c r="C3604">
        <v>7348</v>
      </c>
      <c r="D3604" t="str">
        <f>"34383       "</f>
        <v xml:space="preserve">34383       </v>
      </c>
      <c r="E3604" t="s">
        <v>528</v>
      </c>
      <c r="F3604" t="s">
        <v>529</v>
      </c>
      <c r="G3604">
        <v>13.98</v>
      </c>
      <c r="H3604">
        <v>250521</v>
      </c>
      <c r="I3604">
        <v>4600</v>
      </c>
      <c r="J3604" t="s">
        <v>278</v>
      </c>
      <c r="K3604">
        <v>20.98</v>
      </c>
      <c r="L3604">
        <v>2.84</v>
      </c>
      <c r="M3604">
        <v>13802</v>
      </c>
      <c r="N3604" t="s">
        <v>34</v>
      </c>
      <c r="O3604">
        <v>250603</v>
      </c>
      <c r="P3604">
        <v>11.14</v>
      </c>
    </row>
    <row r="3605" spans="1:16" x14ac:dyDescent="0.25">
      <c r="A3605" t="s">
        <v>3296</v>
      </c>
      <c r="B3605" t="s">
        <v>2931</v>
      </c>
      <c r="C3605">
        <v>8968</v>
      </c>
      <c r="D3605" t="str">
        <f>"34598       "</f>
        <v xml:space="preserve">34598       </v>
      </c>
      <c r="E3605" t="s">
        <v>528</v>
      </c>
      <c r="F3605" t="s">
        <v>529</v>
      </c>
      <c r="G3605">
        <v>48.31</v>
      </c>
      <c r="H3605">
        <v>250616</v>
      </c>
      <c r="I3605">
        <v>4600</v>
      </c>
      <c r="J3605" t="s">
        <v>278</v>
      </c>
      <c r="K3605">
        <v>126.32</v>
      </c>
      <c r="L3605">
        <v>0</v>
      </c>
      <c r="M3605">
        <v>13801</v>
      </c>
      <c r="N3605" t="s">
        <v>33</v>
      </c>
      <c r="O3605">
        <v>250619</v>
      </c>
      <c r="P3605">
        <v>48.31</v>
      </c>
    </row>
    <row r="3606" spans="1:16" x14ac:dyDescent="0.25">
      <c r="A3606" t="s">
        <v>3296</v>
      </c>
      <c r="B3606" t="s">
        <v>2931</v>
      </c>
      <c r="C3606">
        <v>10985</v>
      </c>
      <c r="D3606" t="str">
        <f>"35095       "</f>
        <v xml:space="preserve">35095       </v>
      </c>
      <c r="E3606" t="s">
        <v>528</v>
      </c>
      <c r="F3606" t="s">
        <v>529</v>
      </c>
      <c r="G3606">
        <v>363</v>
      </c>
      <c r="H3606">
        <v>250826</v>
      </c>
      <c r="I3606">
        <v>4600</v>
      </c>
      <c r="J3606" t="s">
        <v>278</v>
      </c>
      <c r="K3606">
        <v>363</v>
      </c>
      <c r="L3606">
        <v>73.760000000000005</v>
      </c>
      <c r="M3606">
        <v>13802</v>
      </c>
      <c r="N3606" t="s">
        <v>34</v>
      </c>
      <c r="O3606">
        <v>250828</v>
      </c>
      <c r="P3606">
        <v>289.24</v>
      </c>
    </row>
    <row r="3607" spans="1:16" x14ac:dyDescent="0.25">
      <c r="A3607" t="s">
        <v>3296</v>
      </c>
      <c r="B3607" t="s">
        <v>2931</v>
      </c>
      <c r="C3607">
        <v>13091</v>
      </c>
      <c r="D3607" t="str">
        <f>"35263       "</f>
        <v xml:space="preserve">35263       </v>
      </c>
      <c r="E3607" t="s">
        <v>528</v>
      </c>
      <c r="F3607" t="s">
        <v>529</v>
      </c>
      <c r="G3607">
        <v>125.29</v>
      </c>
      <c r="H3607">
        <v>250918</v>
      </c>
      <c r="I3607">
        <v>4600</v>
      </c>
      <c r="J3607" t="s">
        <v>278</v>
      </c>
      <c r="K3607">
        <v>125.29</v>
      </c>
      <c r="L3607">
        <v>25.46</v>
      </c>
      <c r="M3607">
        <v>13802</v>
      </c>
      <c r="N3607" t="s">
        <v>34</v>
      </c>
      <c r="O3607">
        <v>251006</v>
      </c>
      <c r="P3607">
        <v>99.83</v>
      </c>
    </row>
    <row r="3608" spans="1:16" x14ac:dyDescent="0.25">
      <c r="A3608" t="s">
        <v>3296</v>
      </c>
      <c r="B3608" t="s">
        <v>2931</v>
      </c>
      <c r="C3608">
        <v>13791</v>
      </c>
      <c r="D3608" t="str">
        <f>"35436       "</f>
        <v xml:space="preserve">35436       </v>
      </c>
      <c r="E3608" t="s">
        <v>528</v>
      </c>
      <c r="F3608" t="s">
        <v>529</v>
      </c>
      <c r="G3608">
        <v>15.98</v>
      </c>
      <c r="H3608">
        <v>251001</v>
      </c>
      <c r="I3608">
        <v>4600</v>
      </c>
      <c r="J3608" t="s">
        <v>278</v>
      </c>
      <c r="K3608">
        <v>122.84</v>
      </c>
      <c r="L3608">
        <v>3.25</v>
      </c>
      <c r="M3608">
        <v>13802</v>
      </c>
      <c r="N3608" t="s">
        <v>34</v>
      </c>
      <c r="O3608">
        <v>251020</v>
      </c>
      <c r="P3608">
        <v>12.73</v>
      </c>
    </row>
    <row r="3609" spans="1:16" x14ac:dyDescent="0.25">
      <c r="A3609" t="s">
        <v>3296</v>
      </c>
      <c r="B3609" t="s">
        <v>2931</v>
      </c>
      <c r="C3609">
        <v>13791</v>
      </c>
      <c r="D3609" t="str">
        <f>"35436       "</f>
        <v xml:space="preserve">35436       </v>
      </c>
      <c r="E3609" t="s">
        <v>528</v>
      </c>
      <c r="F3609" t="s">
        <v>529</v>
      </c>
      <c r="G3609">
        <v>26.93</v>
      </c>
      <c r="H3609">
        <v>251001</v>
      </c>
      <c r="I3609">
        <v>4600</v>
      </c>
      <c r="J3609" t="s">
        <v>278</v>
      </c>
      <c r="K3609">
        <v>122.84</v>
      </c>
      <c r="L3609">
        <v>5.47</v>
      </c>
      <c r="M3609">
        <v>13802</v>
      </c>
      <c r="N3609" t="s">
        <v>34</v>
      </c>
      <c r="O3609">
        <v>251020</v>
      </c>
      <c r="P3609">
        <v>21.46</v>
      </c>
    </row>
    <row r="3610" spans="1:16" x14ac:dyDescent="0.25">
      <c r="A3610" t="s">
        <v>3296</v>
      </c>
      <c r="B3610" t="s">
        <v>2931</v>
      </c>
      <c r="C3610">
        <v>13791</v>
      </c>
      <c r="D3610" t="str">
        <f>"35436       "</f>
        <v xml:space="preserve">35436       </v>
      </c>
      <c r="E3610" t="s">
        <v>528</v>
      </c>
      <c r="F3610" t="s">
        <v>529</v>
      </c>
      <c r="G3610">
        <v>11.47</v>
      </c>
      <c r="H3610">
        <v>251001</v>
      </c>
      <c r="I3610">
        <v>4600</v>
      </c>
      <c r="J3610" t="s">
        <v>278</v>
      </c>
      <c r="K3610">
        <v>122.84</v>
      </c>
      <c r="L3610">
        <v>2.33</v>
      </c>
      <c r="M3610">
        <v>13821</v>
      </c>
      <c r="N3610" t="s">
        <v>867</v>
      </c>
      <c r="O3610">
        <v>251020</v>
      </c>
      <c r="P3610">
        <v>9.14</v>
      </c>
    </row>
    <row r="3611" spans="1:16" x14ac:dyDescent="0.25">
      <c r="A3611" t="s">
        <v>3296</v>
      </c>
      <c r="B3611" t="s">
        <v>2931</v>
      </c>
      <c r="C3611">
        <v>13791</v>
      </c>
      <c r="D3611" t="str">
        <f>"35436       "</f>
        <v xml:space="preserve">35436       </v>
      </c>
      <c r="E3611" t="s">
        <v>528</v>
      </c>
      <c r="F3611" t="s">
        <v>529</v>
      </c>
      <c r="G3611">
        <v>68.459999999999994</v>
      </c>
      <c r="H3611">
        <v>251001</v>
      </c>
      <c r="I3611">
        <v>4600</v>
      </c>
      <c r="J3611" t="s">
        <v>278</v>
      </c>
      <c r="K3611">
        <v>122.84</v>
      </c>
      <c r="L3611">
        <v>13.91</v>
      </c>
      <c r="M3611">
        <v>13821</v>
      </c>
      <c r="N3611" t="s">
        <v>867</v>
      </c>
      <c r="O3611">
        <v>251020</v>
      </c>
      <c r="P3611">
        <v>54.55</v>
      </c>
    </row>
    <row r="3612" spans="1:16" x14ac:dyDescent="0.25">
      <c r="A3612" t="s">
        <v>3296</v>
      </c>
      <c r="B3612" t="s">
        <v>2931</v>
      </c>
      <c r="C3612">
        <v>15164</v>
      </c>
      <c r="D3612" t="str">
        <f>"35597       "</f>
        <v xml:space="preserve">35597       </v>
      </c>
      <c r="E3612" t="s">
        <v>528</v>
      </c>
      <c r="F3612" t="s">
        <v>529</v>
      </c>
      <c r="G3612">
        <v>14.97</v>
      </c>
      <c r="H3612">
        <v>251031</v>
      </c>
      <c r="I3612">
        <v>4600</v>
      </c>
      <c r="J3612" t="s">
        <v>278</v>
      </c>
      <c r="K3612">
        <v>252.49</v>
      </c>
      <c r="L3612">
        <v>3.04</v>
      </c>
      <c r="M3612">
        <v>13802</v>
      </c>
      <c r="N3612" t="s">
        <v>34</v>
      </c>
      <c r="O3612">
        <v>251113</v>
      </c>
      <c r="P3612">
        <v>11.93</v>
      </c>
    </row>
    <row r="3613" spans="1:16" x14ac:dyDescent="0.25">
      <c r="A3613" t="s">
        <v>3296</v>
      </c>
      <c r="B3613" t="s">
        <v>2931</v>
      </c>
      <c r="C3613">
        <v>15164</v>
      </c>
      <c r="D3613" t="str">
        <f>"35597       "</f>
        <v xml:space="preserve">35597       </v>
      </c>
      <c r="E3613" t="s">
        <v>528</v>
      </c>
      <c r="F3613" t="s">
        <v>529</v>
      </c>
      <c r="G3613">
        <v>237.52</v>
      </c>
      <c r="H3613">
        <v>251031</v>
      </c>
      <c r="I3613">
        <v>4600</v>
      </c>
      <c r="J3613" t="s">
        <v>278</v>
      </c>
      <c r="K3613">
        <v>252.49</v>
      </c>
      <c r="L3613">
        <v>48.26</v>
      </c>
      <c r="M3613">
        <v>13802</v>
      </c>
      <c r="N3613" t="s">
        <v>34</v>
      </c>
      <c r="O3613">
        <v>251113</v>
      </c>
      <c r="P3613">
        <v>189.26</v>
      </c>
    </row>
    <row r="3614" spans="1:16" x14ac:dyDescent="0.25">
      <c r="A3614" t="s">
        <v>3296</v>
      </c>
      <c r="B3614" t="s">
        <v>2931</v>
      </c>
      <c r="C3614">
        <v>15204</v>
      </c>
      <c r="D3614" t="str">
        <f>"35594       "</f>
        <v xml:space="preserve">35594       </v>
      </c>
      <c r="E3614" t="s">
        <v>528</v>
      </c>
      <c r="F3614" t="s">
        <v>529</v>
      </c>
      <c r="G3614">
        <v>21.87</v>
      </c>
      <c r="H3614">
        <v>251031</v>
      </c>
      <c r="I3614">
        <v>4600</v>
      </c>
      <c r="J3614" t="s">
        <v>278</v>
      </c>
      <c r="K3614">
        <v>31.82</v>
      </c>
      <c r="L3614">
        <v>4.4400000000000004</v>
      </c>
      <c r="M3614">
        <v>13601</v>
      </c>
      <c r="N3614" t="s">
        <v>115</v>
      </c>
      <c r="O3614">
        <v>251114</v>
      </c>
      <c r="P3614">
        <v>17.43</v>
      </c>
    </row>
    <row r="3615" spans="1:16" x14ac:dyDescent="0.25">
      <c r="A3615" t="s">
        <v>3296</v>
      </c>
      <c r="B3615" t="s">
        <v>2931</v>
      </c>
      <c r="C3615">
        <v>16051</v>
      </c>
      <c r="D3615" t="str">
        <f>"35785       "</f>
        <v xml:space="preserve">35785       </v>
      </c>
      <c r="E3615" t="s">
        <v>528</v>
      </c>
      <c r="F3615" t="s">
        <v>529</v>
      </c>
      <c r="G3615">
        <v>27.29</v>
      </c>
      <c r="H3615">
        <v>251121</v>
      </c>
      <c r="I3615">
        <v>4600</v>
      </c>
      <c r="J3615" t="s">
        <v>278</v>
      </c>
      <c r="K3615">
        <v>27.29</v>
      </c>
      <c r="L3615">
        <v>5.54</v>
      </c>
      <c r="M3615">
        <v>13821</v>
      </c>
      <c r="N3615" t="s">
        <v>867</v>
      </c>
      <c r="O3615">
        <v>251203</v>
      </c>
      <c r="P3615">
        <v>21.75</v>
      </c>
    </row>
    <row r="3616" spans="1:16" x14ac:dyDescent="0.25">
      <c r="A3616" t="s">
        <v>3296</v>
      </c>
      <c r="B3616" t="s">
        <v>2931</v>
      </c>
      <c r="C3616">
        <v>17054</v>
      </c>
      <c r="D3616" t="str">
        <f>"35937       "</f>
        <v xml:space="preserve">35937       </v>
      </c>
      <c r="E3616" t="s">
        <v>528</v>
      </c>
      <c r="F3616" t="s">
        <v>529</v>
      </c>
      <c r="G3616">
        <v>125.08</v>
      </c>
      <c r="H3616">
        <v>251211</v>
      </c>
      <c r="I3616">
        <v>4600</v>
      </c>
      <c r="J3616" t="s">
        <v>278</v>
      </c>
      <c r="K3616">
        <v>125.08</v>
      </c>
      <c r="L3616">
        <v>25.41</v>
      </c>
      <c r="M3616">
        <v>13802</v>
      </c>
      <c r="N3616" t="s">
        <v>34</v>
      </c>
      <c r="O3616">
        <v>251216</v>
      </c>
      <c r="P3616">
        <v>99.67</v>
      </c>
    </row>
    <row r="3617" spans="1:16" x14ac:dyDescent="0.25">
      <c r="A3617" t="s">
        <v>3296</v>
      </c>
      <c r="B3617" t="s">
        <v>2931</v>
      </c>
      <c r="C3617">
        <v>2750</v>
      </c>
      <c r="D3617" t="str">
        <f>"25568791    "</f>
        <v xml:space="preserve">25568791    </v>
      </c>
      <c r="E3617" t="s">
        <v>1346</v>
      </c>
      <c r="F3617" t="s">
        <v>1347</v>
      </c>
      <c r="G3617">
        <v>99.11</v>
      </c>
      <c r="H3617">
        <v>250228</v>
      </c>
      <c r="I3617">
        <v>4500</v>
      </c>
      <c r="J3617" t="s">
        <v>312</v>
      </c>
      <c r="K3617">
        <v>99.11</v>
      </c>
      <c r="L3617">
        <v>20.14</v>
      </c>
      <c r="M3617">
        <v>13802</v>
      </c>
      <c r="N3617" t="s">
        <v>34</v>
      </c>
      <c r="O3617">
        <v>250311</v>
      </c>
      <c r="P3617">
        <v>78.97</v>
      </c>
    </row>
    <row r="3618" spans="1:16" x14ac:dyDescent="0.25">
      <c r="A3618" t="s">
        <v>3296</v>
      </c>
      <c r="B3618" t="s">
        <v>2931</v>
      </c>
      <c r="C3618">
        <v>4940</v>
      </c>
      <c r="D3618" t="str">
        <f>"25585043    "</f>
        <v xml:space="preserve">25585043    </v>
      </c>
      <c r="E3618" t="s">
        <v>1346</v>
      </c>
      <c r="F3618" t="s">
        <v>1347</v>
      </c>
      <c r="G3618">
        <v>45.61</v>
      </c>
      <c r="H3618">
        <v>250407</v>
      </c>
      <c r="I3618">
        <v>4500</v>
      </c>
      <c r="J3618" t="s">
        <v>312</v>
      </c>
      <c r="K3618">
        <v>45.61</v>
      </c>
      <c r="L3618">
        <v>9.27</v>
      </c>
      <c r="M3618">
        <v>13802</v>
      </c>
      <c r="N3618" t="s">
        <v>34</v>
      </c>
      <c r="O3618">
        <v>250416</v>
      </c>
      <c r="P3618">
        <v>36.340000000000003</v>
      </c>
    </row>
    <row r="3619" spans="1:16" x14ac:dyDescent="0.25">
      <c r="A3619" t="s">
        <v>3296</v>
      </c>
      <c r="B3619" t="s">
        <v>2931</v>
      </c>
      <c r="C3619">
        <v>4440</v>
      </c>
      <c r="D3619" t="str">
        <f>"25581948    "</f>
        <v xml:space="preserve">25581948    </v>
      </c>
      <c r="E3619" t="s">
        <v>1346</v>
      </c>
      <c r="F3619" t="s">
        <v>1347</v>
      </c>
      <c r="G3619">
        <v>208.2</v>
      </c>
      <c r="H3619">
        <v>250331</v>
      </c>
      <c r="I3619">
        <v>4600</v>
      </c>
      <c r="J3619" t="s">
        <v>278</v>
      </c>
      <c r="K3619">
        <v>208.2</v>
      </c>
      <c r="L3619">
        <v>42.3</v>
      </c>
      <c r="M3619">
        <v>13802</v>
      </c>
      <c r="N3619" t="s">
        <v>34</v>
      </c>
      <c r="O3619">
        <v>250411</v>
      </c>
      <c r="P3619">
        <v>165.9</v>
      </c>
    </row>
    <row r="3620" spans="1:16" x14ac:dyDescent="0.25">
      <c r="A3620" t="s">
        <v>3296</v>
      </c>
      <c r="B3620" t="s">
        <v>2931</v>
      </c>
      <c r="C3620">
        <v>5932</v>
      </c>
      <c r="D3620" t="str">
        <f>"25595771    "</f>
        <v xml:space="preserve">25595771    </v>
      </c>
      <c r="E3620" t="s">
        <v>1346</v>
      </c>
      <c r="F3620" t="s">
        <v>1347</v>
      </c>
      <c r="G3620">
        <v>56.16</v>
      </c>
      <c r="H3620">
        <v>250430</v>
      </c>
      <c r="I3620">
        <v>4600</v>
      </c>
      <c r="J3620" t="s">
        <v>278</v>
      </c>
      <c r="K3620">
        <v>56.16</v>
      </c>
      <c r="L3620">
        <v>11.41</v>
      </c>
      <c r="M3620">
        <v>13802</v>
      </c>
      <c r="N3620" t="s">
        <v>34</v>
      </c>
      <c r="O3620">
        <v>250507</v>
      </c>
      <c r="P3620">
        <v>44.75</v>
      </c>
    </row>
    <row r="3621" spans="1:16" x14ac:dyDescent="0.25">
      <c r="A3621" t="s">
        <v>3296</v>
      </c>
      <c r="B3621" t="s">
        <v>2931</v>
      </c>
      <c r="C3621">
        <v>7047</v>
      </c>
      <c r="D3621" t="str">
        <f>"25603446    "</f>
        <v xml:space="preserve">25603446    </v>
      </c>
      <c r="E3621" t="s">
        <v>1346</v>
      </c>
      <c r="F3621" t="s">
        <v>1347</v>
      </c>
      <c r="G3621">
        <v>859.61</v>
      </c>
      <c r="H3621">
        <v>250520</v>
      </c>
      <c r="I3621">
        <v>4600</v>
      </c>
      <c r="J3621" t="s">
        <v>278</v>
      </c>
      <c r="K3621">
        <v>859.61</v>
      </c>
      <c r="L3621">
        <v>174.66</v>
      </c>
      <c r="M3621">
        <v>14974</v>
      </c>
      <c r="N3621" t="s">
        <v>83</v>
      </c>
      <c r="O3621">
        <v>250522</v>
      </c>
      <c r="P3621">
        <v>684.95</v>
      </c>
    </row>
    <row r="3622" spans="1:16" x14ac:dyDescent="0.25">
      <c r="A3622" t="s">
        <v>3296</v>
      </c>
      <c r="B3622" t="s">
        <v>2931</v>
      </c>
      <c r="C3622">
        <v>11168</v>
      </c>
      <c r="D3622" t="str">
        <f>"25640225    "</f>
        <v xml:space="preserve">25640225    </v>
      </c>
      <c r="E3622" t="s">
        <v>1346</v>
      </c>
      <c r="F3622" t="s">
        <v>1347</v>
      </c>
      <c r="G3622">
        <v>168.71</v>
      </c>
      <c r="H3622">
        <v>250829</v>
      </c>
      <c r="I3622">
        <v>4600</v>
      </c>
      <c r="J3622" t="s">
        <v>278</v>
      </c>
      <c r="K3622">
        <v>168.71</v>
      </c>
      <c r="L3622">
        <v>34.28</v>
      </c>
      <c r="M3622">
        <v>13802</v>
      </c>
      <c r="N3622" t="s">
        <v>34</v>
      </c>
      <c r="O3622">
        <v>250901</v>
      </c>
      <c r="P3622">
        <v>134.43</v>
      </c>
    </row>
    <row r="3623" spans="1:16" x14ac:dyDescent="0.25">
      <c r="A3623" t="s">
        <v>3296</v>
      </c>
      <c r="B3623" t="s">
        <v>2931</v>
      </c>
      <c r="C3623">
        <v>13130</v>
      </c>
      <c r="D3623" t="str">
        <f>"26510474    "</f>
        <v xml:space="preserve">26510474    </v>
      </c>
      <c r="E3623" t="s">
        <v>1346</v>
      </c>
      <c r="F3623" t="s">
        <v>1347</v>
      </c>
      <c r="G3623">
        <v>311.16000000000003</v>
      </c>
      <c r="H3623">
        <v>250930</v>
      </c>
      <c r="I3623">
        <v>4600</v>
      </c>
      <c r="J3623" t="s">
        <v>278</v>
      </c>
      <c r="K3623">
        <v>311.16000000000003</v>
      </c>
      <c r="L3623">
        <v>63.22</v>
      </c>
      <c r="M3623">
        <v>13802</v>
      </c>
      <c r="N3623" t="s">
        <v>34</v>
      </c>
      <c r="O3623">
        <v>251006</v>
      </c>
      <c r="P3623">
        <v>247.94</v>
      </c>
    </row>
    <row r="3624" spans="1:16" x14ac:dyDescent="0.25">
      <c r="A3624" t="s">
        <v>3296</v>
      </c>
      <c r="B3624" t="s">
        <v>2931</v>
      </c>
      <c r="C3624">
        <v>14839</v>
      </c>
      <c r="D3624" t="str">
        <f>"26525253    "</f>
        <v xml:space="preserve">26525253    </v>
      </c>
      <c r="E3624" t="s">
        <v>1346</v>
      </c>
      <c r="F3624" t="s">
        <v>1347</v>
      </c>
      <c r="G3624">
        <v>138.6</v>
      </c>
      <c r="H3624">
        <v>251031</v>
      </c>
      <c r="I3624">
        <v>4600</v>
      </c>
      <c r="J3624" t="s">
        <v>278</v>
      </c>
      <c r="K3624">
        <v>138.6</v>
      </c>
      <c r="L3624">
        <v>28.16</v>
      </c>
      <c r="M3624">
        <v>13802</v>
      </c>
      <c r="N3624" t="s">
        <v>34</v>
      </c>
      <c r="O3624">
        <v>251107</v>
      </c>
      <c r="P3624">
        <v>110.44</v>
      </c>
    </row>
    <row r="3625" spans="1:16" x14ac:dyDescent="0.25">
      <c r="A3625" t="s">
        <v>3296</v>
      </c>
      <c r="B3625" t="s">
        <v>2931</v>
      </c>
      <c r="C3625">
        <v>16060</v>
      </c>
      <c r="D3625" t="str">
        <f>"26537315    "</f>
        <v xml:space="preserve">26537315    </v>
      </c>
      <c r="E3625" t="s">
        <v>1346</v>
      </c>
      <c r="F3625" t="s">
        <v>1347</v>
      </c>
      <c r="G3625">
        <v>78.489999999999995</v>
      </c>
      <c r="H3625">
        <v>251128</v>
      </c>
      <c r="I3625">
        <v>4600</v>
      </c>
      <c r="J3625" t="s">
        <v>278</v>
      </c>
      <c r="K3625">
        <v>78.489999999999995</v>
      </c>
      <c r="L3625">
        <v>15.95</v>
      </c>
      <c r="M3625">
        <v>13802</v>
      </c>
      <c r="N3625" t="s">
        <v>34</v>
      </c>
      <c r="O3625">
        <v>251203</v>
      </c>
      <c r="P3625">
        <v>62.54</v>
      </c>
    </row>
    <row r="3626" spans="1:16" x14ac:dyDescent="0.25">
      <c r="A3626" t="s">
        <v>3296</v>
      </c>
      <c r="B3626" t="s">
        <v>2931</v>
      </c>
      <c r="C3626">
        <v>3591</v>
      </c>
      <c r="D3626" t="str">
        <f>"240325      "</f>
        <v xml:space="preserve">240325      </v>
      </c>
      <c r="E3626" t="s">
        <v>3224</v>
      </c>
      <c r="F3626" s="4">
        <v>4393630480</v>
      </c>
      <c r="G3626">
        <v>480</v>
      </c>
      <c r="H3626">
        <v>250324</v>
      </c>
      <c r="I3626">
        <v>4440</v>
      </c>
      <c r="J3626" t="s">
        <v>346</v>
      </c>
      <c r="K3626">
        <v>480</v>
      </c>
      <c r="L3626">
        <v>0</v>
      </c>
      <c r="M3626">
        <v>11941</v>
      </c>
      <c r="N3626" t="s">
        <v>426</v>
      </c>
      <c r="O3626">
        <v>250326</v>
      </c>
      <c r="P3626">
        <v>480</v>
      </c>
    </row>
    <row r="3627" spans="1:16" x14ac:dyDescent="0.25">
      <c r="A3627" t="s">
        <v>3296</v>
      </c>
      <c r="B3627" t="s">
        <v>2931</v>
      </c>
      <c r="C3627">
        <v>5500</v>
      </c>
      <c r="D3627" t="str">
        <f>"230425      "</f>
        <v xml:space="preserve">230425      </v>
      </c>
      <c r="E3627" t="s">
        <v>3224</v>
      </c>
      <c r="F3627" s="4">
        <v>4393630480</v>
      </c>
      <c r="G3627">
        <v>480</v>
      </c>
      <c r="H3627">
        <v>250423</v>
      </c>
      <c r="I3627">
        <v>4440</v>
      </c>
      <c r="J3627" t="s">
        <v>346</v>
      </c>
      <c r="K3627">
        <v>480</v>
      </c>
      <c r="L3627">
        <v>0</v>
      </c>
      <c r="M3627">
        <v>11951</v>
      </c>
      <c r="N3627" t="s">
        <v>428</v>
      </c>
      <c r="O3627">
        <v>250425</v>
      </c>
      <c r="P3627">
        <v>480</v>
      </c>
    </row>
    <row r="3628" spans="1:16" x14ac:dyDescent="0.25">
      <c r="A3628" t="s">
        <v>3296</v>
      </c>
      <c r="B3628" t="s">
        <v>2931</v>
      </c>
      <c r="C3628">
        <v>3953</v>
      </c>
      <c r="D3628" t="str">
        <f>"INV-4781    "</f>
        <v xml:space="preserve">INV-4781    </v>
      </c>
      <c r="E3628" t="s">
        <v>3229</v>
      </c>
      <c r="F3628" t="s">
        <v>3230</v>
      </c>
      <c r="G3628">
        <v>580</v>
      </c>
      <c r="H3628">
        <v>250320</v>
      </c>
      <c r="I3628">
        <v>4440</v>
      </c>
      <c r="J3628" t="s">
        <v>346</v>
      </c>
      <c r="K3628">
        <v>580</v>
      </c>
      <c r="L3628">
        <v>0</v>
      </c>
      <c r="M3628">
        <v>11941</v>
      </c>
      <c r="N3628" t="s">
        <v>426</v>
      </c>
      <c r="O3628">
        <v>250404</v>
      </c>
      <c r="P3628">
        <v>580</v>
      </c>
    </row>
    <row r="3629" spans="1:16" x14ac:dyDescent="0.25">
      <c r="A3629" t="s">
        <v>3296</v>
      </c>
      <c r="B3629" t="s">
        <v>2931</v>
      </c>
      <c r="C3629">
        <v>10442</v>
      </c>
      <c r="D3629" t="str">
        <f>"INV-6790    "</f>
        <v xml:space="preserve">INV-6790    </v>
      </c>
      <c r="E3629" t="s">
        <v>3229</v>
      </c>
      <c r="F3629" t="s">
        <v>3230</v>
      </c>
      <c r="G3629">
        <v>580</v>
      </c>
      <c r="H3629">
        <v>250811</v>
      </c>
      <c r="I3629">
        <v>4440</v>
      </c>
      <c r="J3629" t="s">
        <v>346</v>
      </c>
      <c r="K3629">
        <v>580</v>
      </c>
      <c r="L3629">
        <v>0</v>
      </c>
      <c r="M3629">
        <v>11902</v>
      </c>
      <c r="N3629" t="s">
        <v>329</v>
      </c>
      <c r="O3629">
        <v>250819</v>
      </c>
      <c r="P3629">
        <v>580</v>
      </c>
    </row>
    <row r="3630" spans="1:16" x14ac:dyDescent="0.25">
      <c r="A3630" t="s">
        <v>3296</v>
      </c>
      <c r="B3630" t="s">
        <v>2931</v>
      </c>
      <c r="C3630">
        <v>1389</v>
      </c>
      <c r="D3630" t="str">
        <f>"8419        "</f>
        <v xml:space="preserve">8419        </v>
      </c>
      <c r="E3630" t="s">
        <v>971</v>
      </c>
      <c r="F3630" t="s">
        <v>972</v>
      </c>
      <c r="G3630">
        <v>872</v>
      </c>
      <c r="H3630">
        <v>250127</v>
      </c>
      <c r="I3630">
        <v>4600</v>
      </c>
      <c r="J3630" t="s">
        <v>278</v>
      </c>
      <c r="K3630">
        <v>872</v>
      </c>
      <c r="L3630">
        <v>177.18</v>
      </c>
      <c r="M3630">
        <v>44453</v>
      </c>
      <c r="N3630" t="s">
        <v>100</v>
      </c>
      <c r="O3630">
        <v>250210</v>
      </c>
      <c r="P3630">
        <v>694.82</v>
      </c>
    </row>
    <row r="3631" spans="1:16" x14ac:dyDescent="0.25">
      <c r="A3631" t="s">
        <v>3296</v>
      </c>
      <c r="B3631" t="s">
        <v>2931</v>
      </c>
      <c r="C3631">
        <v>1774</v>
      </c>
      <c r="D3631" t="str">
        <f>"1897        "</f>
        <v xml:space="preserve">1897        </v>
      </c>
      <c r="E3631" t="s">
        <v>1108</v>
      </c>
      <c r="F3631" t="s">
        <v>1109</v>
      </c>
      <c r="G3631">
        <v>539.65</v>
      </c>
      <c r="H3631">
        <v>250210</v>
      </c>
      <c r="I3631">
        <v>4842</v>
      </c>
      <c r="J3631" t="s">
        <v>15</v>
      </c>
      <c r="K3631">
        <v>539.65</v>
      </c>
      <c r="L3631">
        <v>109.65</v>
      </c>
      <c r="M3631">
        <v>13501</v>
      </c>
      <c r="N3631" t="s">
        <v>66</v>
      </c>
      <c r="O3631">
        <v>250213</v>
      </c>
      <c r="P3631">
        <v>430</v>
      </c>
    </row>
    <row r="3632" spans="1:16" x14ac:dyDescent="0.25">
      <c r="A3632" t="s">
        <v>3296</v>
      </c>
      <c r="B3632" t="s">
        <v>2931</v>
      </c>
      <c r="C3632">
        <v>16283</v>
      </c>
      <c r="D3632" t="str">
        <f>"17216       "</f>
        <v xml:space="preserve">17216       </v>
      </c>
      <c r="E3632" t="s">
        <v>2672</v>
      </c>
      <c r="F3632" t="s">
        <v>2673</v>
      </c>
      <c r="G3632">
        <v>16.899999999999999</v>
      </c>
      <c r="H3632">
        <v>251203</v>
      </c>
      <c r="I3632">
        <v>4580</v>
      </c>
      <c r="J3632" t="s">
        <v>126</v>
      </c>
      <c r="K3632">
        <v>16.899999999999999</v>
      </c>
      <c r="L3632">
        <v>3.43</v>
      </c>
      <c r="M3632">
        <v>17537</v>
      </c>
      <c r="N3632" t="s">
        <v>151</v>
      </c>
      <c r="O3632">
        <v>251205</v>
      </c>
      <c r="P3632">
        <v>13.47</v>
      </c>
    </row>
    <row r="3633" spans="1:16" x14ac:dyDescent="0.25">
      <c r="A3633" t="s">
        <v>3296</v>
      </c>
      <c r="B3633" t="s">
        <v>2931</v>
      </c>
      <c r="C3633">
        <v>16332</v>
      </c>
      <c r="D3633" t="str">
        <f>"041225      "</f>
        <v xml:space="preserve">041225      </v>
      </c>
      <c r="E3633" t="s">
        <v>3274</v>
      </c>
      <c r="F3633" t="s">
        <v>3275</v>
      </c>
      <c r="G3633">
        <v>827.78</v>
      </c>
      <c r="H3633">
        <v>251204</v>
      </c>
      <c r="I3633">
        <v>1198</v>
      </c>
      <c r="J3633" t="s">
        <v>610</v>
      </c>
      <c r="K3633">
        <v>827.78</v>
      </c>
      <c r="L3633">
        <v>0</v>
      </c>
      <c r="M3633">
        <v>97628</v>
      </c>
      <c r="N3633" t="s">
        <v>737</v>
      </c>
      <c r="O3633">
        <v>251208</v>
      </c>
      <c r="P3633">
        <v>827.78</v>
      </c>
    </row>
    <row r="3634" spans="1:16" x14ac:dyDescent="0.25">
      <c r="A3634" t="s">
        <v>3296</v>
      </c>
      <c r="B3634" t="s">
        <v>2931</v>
      </c>
      <c r="C3634">
        <v>6182</v>
      </c>
      <c r="D3634" t="str">
        <f>"3011866     "</f>
        <v xml:space="preserve">3011866     </v>
      </c>
      <c r="E3634" t="s">
        <v>321</v>
      </c>
      <c r="F3634" t="s">
        <v>322</v>
      </c>
      <c r="G3634">
        <v>8.7899999999999991</v>
      </c>
      <c r="H3634">
        <v>250430</v>
      </c>
      <c r="I3634">
        <v>4364</v>
      </c>
      <c r="J3634" t="s">
        <v>470</v>
      </c>
      <c r="K3634">
        <v>168.16</v>
      </c>
      <c r="L3634">
        <v>1.79</v>
      </c>
      <c r="M3634">
        <v>67554</v>
      </c>
      <c r="N3634" t="s">
        <v>317</v>
      </c>
      <c r="O3634">
        <v>250509</v>
      </c>
      <c r="P3634">
        <v>7</v>
      </c>
    </row>
    <row r="3635" spans="1:16" x14ac:dyDescent="0.25">
      <c r="A3635" t="s">
        <v>3296</v>
      </c>
      <c r="B3635" t="s">
        <v>2931</v>
      </c>
      <c r="C3635">
        <v>3002</v>
      </c>
      <c r="D3635" t="str">
        <f>"3009203     "</f>
        <v xml:space="preserve">3009203     </v>
      </c>
      <c r="E3635" t="s">
        <v>321</v>
      </c>
      <c r="F3635" t="s">
        <v>322</v>
      </c>
      <c r="G3635">
        <v>249.69</v>
      </c>
      <c r="H3635">
        <v>250228</v>
      </c>
      <c r="I3635">
        <v>4367</v>
      </c>
      <c r="J3635" t="s">
        <v>159</v>
      </c>
      <c r="K3635">
        <v>249.69</v>
      </c>
      <c r="L3635">
        <v>50.73</v>
      </c>
      <c r="M3635">
        <v>17737</v>
      </c>
      <c r="N3635" t="s">
        <v>156</v>
      </c>
      <c r="O3635">
        <v>250314</v>
      </c>
      <c r="P3635">
        <v>198.96</v>
      </c>
    </row>
    <row r="3636" spans="1:16" x14ac:dyDescent="0.25">
      <c r="A3636" t="s">
        <v>3296</v>
      </c>
      <c r="B3636" t="s">
        <v>2931</v>
      </c>
      <c r="C3636">
        <v>3004</v>
      </c>
      <c r="D3636" t="str">
        <f>"3009039     "</f>
        <v xml:space="preserve">3009039     </v>
      </c>
      <c r="E3636" t="s">
        <v>321</v>
      </c>
      <c r="F3636" t="s">
        <v>322</v>
      </c>
      <c r="G3636">
        <v>249.69</v>
      </c>
      <c r="H3636">
        <v>250228</v>
      </c>
      <c r="I3636">
        <v>4367</v>
      </c>
      <c r="J3636" t="s">
        <v>159</v>
      </c>
      <c r="K3636">
        <v>249.69</v>
      </c>
      <c r="L3636">
        <v>50.73</v>
      </c>
      <c r="M3636">
        <v>67554</v>
      </c>
      <c r="N3636" t="s">
        <v>317</v>
      </c>
      <c r="O3636">
        <v>250314</v>
      </c>
      <c r="P3636">
        <v>198.96</v>
      </c>
    </row>
    <row r="3637" spans="1:16" x14ac:dyDescent="0.25">
      <c r="A3637" t="s">
        <v>3296</v>
      </c>
      <c r="B3637" t="s">
        <v>2931</v>
      </c>
      <c r="C3637">
        <v>13387</v>
      </c>
      <c r="D3637" t="str">
        <f>"3018737     "</f>
        <v xml:space="preserve">3018737     </v>
      </c>
      <c r="E3637" t="s">
        <v>321</v>
      </c>
      <c r="F3637" t="s">
        <v>322</v>
      </c>
      <c r="G3637">
        <v>22.59</v>
      </c>
      <c r="H3637">
        <v>250930</v>
      </c>
      <c r="I3637">
        <v>4367</v>
      </c>
      <c r="J3637" t="s">
        <v>159</v>
      </c>
      <c r="K3637">
        <v>22.59</v>
      </c>
      <c r="L3637">
        <v>4.59</v>
      </c>
      <c r="M3637">
        <v>17711</v>
      </c>
      <c r="N3637" t="s">
        <v>155</v>
      </c>
      <c r="O3637">
        <v>251008</v>
      </c>
      <c r="P3637">
        <v>18</v>
      </c>
    </row>
    <row r="3638" spans="1:16" x14ac:dyDescent="0.25">
      <c r="A3638" t="s">
        <v>3296</v>
      </c>
      <c r="B3638" t="s">
        <v>2931</v>
      </c>
      <c r="C3638">
        <v>9443</v>
      </c>
      <c r="D3638" t="str">
        <f>"3015023     "</f>
        <v xml:space="preserve">3015023     </v>
      </c>
      <c r="E3638" t="s">
        <v>321</v>
      </c>
      <c r="F3638" t="s">
        <v>322</v>
      </c>
      <c r="G3638">
        <v>552.20000000000005</v>
      </c>
      <c r="H3638">
        <v>250630</v>
      </c>
      <c r="I3638">
        <v>4470</v>
      </c>
      <c r="J3638" t="s">
        <v>203</v>
      </c>
      <c r="K3638">
        <v>552.20000000000005</v>
      </c>
      <c r="L3638">
        <v>112.2</v>
      </c>
      <c r="M3638">
        <v>17737</v>
      </c>
      <c r="N3638" t="s">
        <v>156</v>
      </c>
      <c r="O3638">
        <v>250707</v>
      </c>
      <c r="P3638">
        <v>440</v>
      </c>
    </row>
    <row r="3639" spans="1:16" x14ac:dyDescent="0.25">
      <c r="A3639" t="s">
        <v>3296</v>
      </c>
      <c r="B3639" t="s">
        <v>2931</v>
      </c>
      <c r="C3639">
        <v>194</v>
      </c>
      <c r="D3639" t="str">
        <f>"3006266     "</f>
        <v xml:space="preserve">3006266     </v>
      </c>
      <c r="E3639" t="s">
        <v>321</v>
      </c>
      <c r="F3639" t="s">
        <v>322</v>
      </c>
      <c r="G3639">
        <v>39.75</v>
      </c>
      <c r="H3639">
        <v>250109</v>
      </c>
      <c r="I3639">
        <v>4510</v>
      </c>
      <c r="J3639" t="s">
        <v>240</v>
      </c>
      <c r="K3639">
        <v>79.5</v>
      </c>
      <c r="L3639">
        <v>3.61</v>
      </c>
      <c r="M3639">
        <v>17131</v>
      </c>
      <c r="N3639" t="s">
        <v>154</v>
      </c>
      <c r="O3639">
        <v>250115</v>
      </c>
      <c r="P3639">
        <v>36.14</v>
      </c>
    </row>
    <row r="3640" spans="1:16" x14ac:dyDescent="0.25">
      <c r="A3640" t="s">
        <v>3296</v>
      </c>
      <c r="B3640" t="s">
        <v>2931</v>
      </c>
      <c r="C3640">
        <v>194</v>
      </c>
      <c r="D3640" t="str">
        <f>"3006266     "</f>
        <v xml:space="preserve">3006266     </v>
      </c>
      <c r="E3640" t="s">
        <v>321</v>
      </c>
      <c r="F3640" t="s">
        <v>322</v>
      </c>
      <c r="G3640">
        <v>39.75</v>
      </c>
      <c r="H3640">
        <v>250109</v>
      </c>
      <c r="I3640">
        <v>4510</v>
      </c>
      <c r="J3640" t="s">
        <v>240</v>
      </c>
      <c r="K3640">
        <v>79.5</v>
      </c>
      <c r="L3640">
        <v>3.61</v>
      </c>
      <c r="M3640">
        <v>17711</v>
      </c>
      <c r="N3640" t="s">
        <v>155</v>
      </c>
      <c r="O3640">
        <v>250115</v>
      </c>
      <c r="P3640">
        <v>36.14</v>
      </c>
    </row>
    <row r="3641" spans="1:16" x14ac:dyDescent="0.25">
      <c r="A3641" t="s">
        <v>3296</v>
      </c>
      <c r="B3641" t="s">
        <v>2931</v>
      </c>
      <c r="C3641">
        <v>237</v>
      </c>
      <c r="D3641" t="str">
        <f>"3005943     "</f>
        <v xml:space="preserve">3005943     </v>
      </c>
      <c r="E3641" t="s">
        <v>321</v>
      </c>
      <c r="F3641" t="s">
        <v>322</v>
      </c>
      <c r="G3641">
        <v>79.5</v>
      </c>
      <c r="H3641">
        <v>250109</v>
      </c>
      <c r="I3641">
        <v>4510</v>
      </c>
      <c r="J3641" t="s">
        <v>240</v>
      </c>
      <c r="K3641">
        <v>79.5</v>
      </c>
      <c r="L3641">
        <v>7.23</v>
      </c>
      <c r="M3641">
        <v>67554</v>
      </c>
      <c r="N3641" t="s">
        <v>317</v>
      </c>
      <c r="O3641">
        <v>250120</v>
      </c>
      <c r="P3641">
        <v>72.27</v>
      </c>
    </row>
    <row r="3642" spans="1:16" x14ac:dyDescent="0.25">
      <c r="A3642" t="s">
        <v>3296</v>
      </c>
      <c r="B3642" t="s">
        <v>2931</v>
      </c>
      <c r="C3642">
        <v>6182</v>
      </c>
      <c r="D3642" t="str">
        <f>"3011866     "</f>
        <v xml:space="preserve">3011866     </v>
      </c>
      <c r="E3642" t="s">
        <v>321</v>
      </c>
      <c r="F3642" t="s">
        <v>322</v>
      </c>
      <c r="G3642">
        <v>159.37</v>
      </c>
      <c r="H3642">
        <v>250430</v>
      </c>
      <c r="I3642">
        <v>4533</v>
      </c>
      <c r="J3642" t="s">
        <v>1064</v>
      </c>
      <c r="K3642">
        <v>168.16</v>
      </c>
      <c r="L3642">
        <v>19.57</v>
      </c>
      <c r="M3642">
        <v>67554</v>
      </c>
      <c r="N3642" t="s">
        <v>317</v>
      </c>
      <c r="O3642">
        <v>250509</v>
      </c>
      <c r="P3642">
        <v>139.80000000000001</v>
      </c>
    </row>
    <row r="3643" spans="1:16" x14ac:dyDescent="0.25">
      <c r="A3643" t="s">
        <v>3296</v>
      </c>
      <c r="B3643" t="s">
        <v>2931</v>
      </c>
      <c r="C3643">
        <v>1257</v>
      </c>
      <c r="D3643" t="str">
        <f>"3008493     "</f>
        <v xml:space="preserve">3008493     </v>
      </c>
      <c r="E3643" t="s">
        <v>321</v>
      </c>
      <c r="F3643" t="s">
        <v>322</v>
      </c>
      <c r="G3643">
        <v>125.4</v>
      </c>
      <c r="H3643">
        <v>250131</v>
      </c>
      <c r="I3643">
        <v>4554</v>
      </c>
      <c r="J3643" t="s">
        <v>351</v>
      </c>
      <c r="K3643">
        <v>176.78</v>
      </c>
      <c r="L3643">
        <v>15.4</v>
      </c>
      <c r="M3643">
        <v>17737</v>
      </c>
      <c r="N3643" t="s">
        <v>156</v>
      </c>
      <c r="O3643">
        <v>250206</v>
      </c>
      <c r="P3643">
        <v>110</v>
      </c>
    </row>
    <row r="3644" spans="1:16" x14ac:dyDescent="0.25">
      <c r="A3644" t="s">
        <v>3296</v>
      </c>
      <c r="B3644" t="s">
        <v>2931</v>
      </c>
      <c r="C3644">
        <v>10091</v>
      </c>
      <c r="D3644" t="str">
        <f>"3015749     "</f>
        <v xml:space="preserve">3015749     </v>
      </c>
      <c r="E3644" t="s">
        <v>321</v>
      </c>
      <c r="F3644" t="s">
        <v>322</v>
      </c>
      <c r="G3644">
        <v>199.5</v>
      </c>
      <c r="H3644">
        <v>250731</v>
      </c>
      <c r="I3644">
        <v>4554</v>
      </c>
      <c r="J3644" t="s">
        <v>351</v>
      </c>
      <c r="K3644">
        <v>199.5</v>
      </c>
      <c r="L3644">
        <v>24.5</v>
      </c>
      <c r="M3644">
        <v>67554</v>
      </c>
      <c r="N3644" t="s">
        <v>317</v>
      </c>
      <c r="O3644">
        <v>250811</v>
      </c>
      <c r="P3644">
        <v>175</v>
      </c>
    </row>
    <row r="3645" spans="1:16" x14ac:dyDescent="0.25">
      <c r="A3645" t="s">
        <v>3296</v>
      </c>
      <c r="B3645" t="s">
        <v>2931</v>
      </c>
      <c r="C3645">
        <v>1257</v>
      </c>
      <c r="D3645" t="str">
        <f>"3008493     "</f>
        <v xml:space="preserve">3008493     </v>
      </c>
      <c r="E3645" t="s">
        <v>321</v>
      </c>
      <c r="F3645" t="s">
        <v>322</v>
      </c>
      <c r="G3645">
        <v>51.38</v>
      </c>
      <c r="H3645">
        <v>250131</v>
      </c>
      <c r="I3645">
        <v>4600</v>
      </c>
      <c r="J3645" t="s">
        <v>278</v>
      </c>
      <c r="K3645">
        <v>176.78</v>
      </c>
      <c r="L3645">
        <v>10.44</v>
      </c>
      <c r="M3645">
        <v>17737</v>
      </c>
      <c r="N3645" t="s">
        <v>156</v>
      </c>
      <c r="O3645">
        <v>250206</v>
      </c>
      <c r="P3645">
        <v>40.94</v>
      </c>
    </row>
    <row r="3646" spans="1:16" x14ac:dyDescent="0.25">
      <c r="A3646" t="s">
        <v>3296</v>
      </c>
      <c r="B3646" t="s">
        <v>2931</v>
      </c>
      <c r="C3646">
        <v>15361</v>
      </c>
      <c r="D3646" t="str">
        <f>"1251100133  "</f>
        <v xml:space="preserve">1251100133  </v>
      </c>
      <c r="E3646" t="s">
        <v>2580</v>
      </c>
      <c r="F3646" t="s">
        <v>2581</v>
      </c>
      <c r="G3646">
        <v>179.32</v>
      </c>
      <c r="H3646">
        <v>251031</v>
      </c>
      <c r="I3646">
        <v>4590</v>
      </c>
      <c r="J3646" t="s">
        <v>388</v>
      </c>
      <c r="K3646">
        <v>179.32</v>
      </c>
      <c r="L3646">
        <v>36.44</v>
      </c>
      <c r="M3646">
        <v>56551</v>
      </c>
      <c r="N3646" t="s">
        <v>551</v>
      </c>
      <c r="O3646">
        <v>251119</v>
      </c>
      <c r="P3646">
        <v>142.88</v>
      </c>
    </row>
    <row r="3647" spans="1:16" x14ac:dyDescent="0.25">
      <c r="A3647" t="s">
        <v>3296</v>
      </c>
      <c r="B3647" t="s">
        <v>2931</v>
      </c>
      <c r="C3647">
        <v>2359</v>
      </c>
      <c r="D3647" t="str">
        <f>"1941761     "</f>
        <v xml:space="preserve">1941761     </v>
      </c>
      <c r="E3647" t="s">
        <v>1251</v>
      </c>
      <c r="F3647" t="s">
        <v>1252</v>
      </c>
      <c r="G3647">
        <v>91.24</v>
      </c>
      <c r="H3647">
        <v>250217</v>
      </c>
      <c r="I3647">
        <v>4600</v>
      </c>
      <c r="J3647" t="s">
        <v>278</v>
      </c>
      <c r="K3647">
        <v>91.24</v>
      </c>
      <c r="L3647">
        <v>18.54</v>
      </c>
      <c r="M3647">
        <v>55222</v>
      </c>
      <c r="N3647" t="s">
        <v>43</v>
      </c>
      <c r="O3647">
        <v>250224</v>
      </c>
      <c r="P3647">
        <v>72.7</v>
      </c>
    </row>
    <row r="3648" spans="1:16" x14ac:dyDescent="0.25">
      <c r="A3648" t="s">
        <v>3296</v>
      </c>
      <c r="B3648" t="s">
        <v>2931</v>
      </c>
      <c r="C3648">
        <v>11496</v>
      </c>
      <c r="D3648" t="str">
        <f>"13205       "</f>
        <v xml:space="preserve">13205       </v>
      </c>
      <c r="E3648" t="s">
        <v>2276</v>
      </c>
      <c r="F3648" t="s">
        <v>2277</v>
      </c>
      <c r="G3648">
        <v>200</v>
      </c>
      <c r="H3648">
        <v>250827</v>
      </c>
      <c r="I3648">
        <v>4600</v>
      </c>
      <c r="J3648" t="s">
        <v>278</v>
      </c>
      <c r="K3648">
        <v>200</v>
      </c>
      <c r="L3648">
        <v>0</v>
      </c>
      <c r="M3648">
        <v>17802</v>
      </c>
      <c r="N3648" t="s">
        <v>18</v>
      </c>
      <c r="O3648">
        <v>250905</v>
      </c>
      <c r="P3648">
        <v>200</v>
      </c>
    </row>
    <row r="3649" spans="1:16" x14ac:dyDescent="0.25">
      <c r="A3649" t="s">
        <v>3296</v>
      </c>
      <c r="B3649" t="s">
        <v>2931</v>
      </c>
      <c r="C3649">
        <v>16012</v>
      </c>
      <c r="D3649" t="str">
        <f>"13291       "</f>
        <v xml:space="preserve">13291       </v>
      </c>
      <c r="E3649" t="s">
        <v>2276</v>
      </c>
      <c r="F3649" t="s">
        <v>2277</v>
      </c>
      <c r="G3649">
        <v>430</v>
      </c>
      <c r="H3649">
        <v>251128</v>
      </c>
      <c r="I3649">
        <v>4600</v>
      </c>
      <c r="J3649" t="s">
        <v>278</v>
      </c>
      <c r="K3649">
        <v>430</v>
      </c>
      <c r="L3649">
        <v>87.37</v>
      </c>
      <c r="M3649">
        <v>56568</v>
      </c>
      <c r="N3649" t="s">
        <v>354</v>
      </c>
      <c r="O3649">
        <v>251202</v>
      </c>
      <c r="P3649">
        <v>342.63</v>
      </c>
    </row>
    <row r="3650" spans="1:16" x14ac:dyDescent="0.25">
      <c r="A3650" t="s">
        <v>3296</v>
      </c>
      <c r="B3650" t="s">
        <v>2931</v>
      </c>
      <c r="C3650">
        <v>4257</v>
      </c>
      <c r="D3650" t="str">
        <f>"10207       "</f>
        <v xml:space="preserve">10207       </v>
      </c>
      <c r="E3650" t="s">
        <v>1604</v>
      </c>
      <c r="F3650" t="s">
        <v>1605</v>
      </c>
      <c r="G3650">
        <v>10733.52</v>
      </c>
      <c r="H3650">
        <v>250405</v>
      </c>
      <c r="I3650">
        <v>4400</v>
      </c>
      <c r="J3650" t="s">
        <v>162</v>
      </c>
      <c r="K3650">
        <v>10733.52</v>
      </c>
      <c r="L3650">
        <v>2180.91</v>
      </c>
      <c r="M3650">
        <v>67554</v>
      </c>
      <c r="N3650" t="s">
        <v>317</v>
      </c>
      <c r="O3650">
        <v>250409</v>
      </c>
      <c r="P3650">
        <v>8552.61</v>
      </c>
    </row>
    <row r="3651" spans="1:16" x14ac:dyDescent="0.25">
      <c r="A3651" t="s">
        <v>3296</v>
      </c>
      <c r="B3651" t="s">
        <v>2931</v>
      </c>
      <c r="C3651">
        <v>489</v>
      </c>
      <c r="D3651" t="str">
        <f>"9956574426  "</f>
        <v xml:space="preserve">9956574426  </v>
      </c>
      <c r="E3651" t="s">
        <v>547</v>
      </c>
      <c r="F3651" t="s">
        <v>548</v>
      </c>
      <c r="G3651">
        <v>79.16</v>
      </c>
      <c r="H3651">
        <v>250109</v>
      </c>
      <c r="I3651">
        <v>4520</v>
      </c>
      <c r="J3651" t="s">
        <v>280</v>
      </c>
      <c r="K3651">
        <v>79.16</v>
      </c>
      <c r="L3651">
        <v>9.7200000000000006</v>
      </c>
      <c r="M3651">
        <v>49112</v>
      </c>
      <c r="N3651" t="s">
        <v>109</v>
      </c>
      <c r="O3651">
        <v>250123</v>
      </c>
      <c r="P3651">
        <v>69.44</v>
      </c>
    </row>
    <row r="3652" spans="1:16" x14ac:dyDescent="0.25">
      <c r="A3652" t="s">
        <v>3296</v>
      </c>
      <c r="B3652" t="s">
        <v>2931</v>
      </c>
      <c r="C3652">
        <v>1249</v>
      </c>
      <c r="D3652" t="str">
        <f>"9956624168  "</f>
        <v xml:space="preserve">9956624168  </v>
      </c>
      <c r="E3652" t="s">
        <v>547</v>
      </c>
      <c r="F3652" t="s">
        <v>548</v>
      </c>
      <c r="G3652">
        <v>114.21</v>
      </c>
      <c r="H3652">
        <v>250131</v>
      </c>
      <c r="I3652">
        <v>4520</v>
      </c>
      <c r="J3652" t="s">
        <v>280</v>
      </c>
      <c r="K3652">
        <v>114.21</v>
      </c>
      <c r="L3652">
        <v>14.03</v>
      </c>
      <c r="M3652">
        <v>49112</v>
      </c>
      <c r="N3652" t="s">
        <v>109</v>
      </c>
      <c r="O3652">
        <v>250206</v>
      </c>
      <c r="P3652">
        <v>100.18</v>
      </c>
    </row>
    <row r="3653" spans="1:16" x14ac:dyDescent="0.25">
      <c r="A3653" t="s">
        <v>3296</v>
      </c>
      <c r="B3653" t="s">
        <v>2931</v>
      </c>
      <c r="C3653">
        <v>2145</v>
      </c>
      <c r="D3653" t="str">
        <f>"9956656072  "</f>
        <v xml:space="preserve">9956656072  </v>
      </c>
      <c r="E3653" t="s">
        <v>547</v>
      </c>
      <c r="F3653" t="s">
        <v>548</v>
      </c>
      <c r="G3653">
        <v>190.37</v>
      </c>
      <c r="H3653">
        <v>250214</v>
      </c>
      <c r="I3653">
        <v>4520</v>
      </c>
      <c r="J3653" t="s">
        <v>280</v>
      </c>
      <c r="K3653">
        <v>190.37</v>
      </c>
      <c r="L3653">
        <v>23.38</v>
      </c>
      <c r="M3653">
        <v>49112</v>
      </c>
      <c r="N3653" t="s">
        <v>109</v>
      </c>
      <c r="O3653">
        <v>250220</v>
      </c>
      <c r="P3653">
        <v>166.99</v>
      </c>
    </row>
    <row r="3654" spans="1:16" x14ac:dyDescent="0.25">
      <c r="A3654" t="s">
        <v>3296</v>
      </c>
      <c r="B3654" t="s">
        <v>2931</v>
      </c>
      <c r="C3654">
        <v>3431</v>
      </c>
      <c r="D3654" t="str">
        <f>"9956705258  "</f>
        <v xml:space="preserve">9956705258  </v>
      </c>
      <c r="E3654" t="s">
        <v>547</v>
      </c>
      <c r="F3654" t="s">
        <v>548</v>
      </c>
      <c r="G3654">
        <v>156.34</v>
      </c>
      <c r="H3654">
        <v>250307</v>
      </c>
      <c r="I3654">
        <v>4520</v>
      </c>
      <c r="J3654" t="s">
        <v>280</v>
      </c>
      <c r="K3654">
        <v>156.34</v>
      </c>
      <c r="L3654">
        <v>19.2</v>
      </c>
      <c r="M3654">
        <v>49112</v>
      </c>
      <c r="N3654" t="s">
        <v>109</v>
      </c>
      <c r="O3654">
        <v>250321</v>
      </c>
      <c r="P3654">
        <v>137.13999999999999</v>
      </c>
    </row>
    <row r="3655" spans="1:16" x14ac:dyDescent="0.25">
      <c r="A3655" t="s">
        <v>3296</v>
      </c>
      <c r="B3655" t="s">
        <v>2931</v>
      </c>
      <c r="C3655">
        <v>4387</v>
      </c>
      <c r="D3655" t="str">
        <f>"9956754462  "</f>
        <v xml:space="preserve">9956754462  </v>
      </c>
      <c r="E3655" t="s">
        <v>547</v>
      </c>
      <c r="F3655" t="s">
        <v>548</v>
      </c>
      <c r="G3655">
        <v>183.16</v>
      </c>
      <c r="H3655">
        <v>250331</v>
      </c>
      <c r="I3655">
        <v>4520</v>
      </c>
      <c r="J3655" t="s">
        <v>280</v>
      </c>
      <c r="K3655">
        <v>183.16</v>
      </c>
      <c r="L3655">
        <v>22.49</v>
      </c>
      <c r="M3655">
        <v>49112</v>
      </c>
      <c r="N3655" t="s">
        <v>109</v>
      </c>
      <c r="O3655">
        <v>250411</v>
      </c>
      <c r="P3655">
        <v>160.66999999999999</v>
      </c>
    </row>
    <row r="3656" spans="1:16" x14ac:dyDescent="0.25">
      <c r="A3656" t="s">
        <v>3296</v>
      </c>
      <c r="B3656" t="s">
        <v>2931</v>
      </c>
      <c r="C3656">
        <v>7271</v>
      </c>
      <c r="D3656" t="str">
        <f>"9956846914  "</f>
        <v xml:space="preserve">9956846914  </v>
      </c>
      <c r="E3656" t="s">
        <v>547</v>
      </c>
      <c r="F3656" t="s">
        <v>548</v>
      </c>
      <c r="G3656">
        <v>91.26</v>
      </c>
      <c r="H3656">
        <v>250515</v>
      </c>
      <c r="I3656">
        <v>4520</v>
      </c>
      <c r="J3656" t="s">
        <v>280</v>
      </c>
      <c r="K3656">
        <v>91.26</v>
      </c>
      <c r="L3656">
        <v>11.21</v>
      </c>
      <c r="M3656">
        <v>49112</v>
      </c>
      <c r="N3656" t="s">
        <v>109</v>
      </c>
      <c r="O3656">
        <v>250602</v>
      </c>
      <c r="P3656">
        <v>80.05</v>
      </c>
    </row>
    <row r="3657" spans="1:16" x14ac:dyDescent="0.25">
      <c r="A3657" t="s">
        <v>3296</v>
      </c>
      <c r="B3657" t="s">
        <v>2931</v>
      </c>
      <c r="C3657">
        <v>10205</v>
      </c>
      <c r="D3657" t="str">
        <f>"9957028687  "</f>
        <v xml:space="preserve">9957028687  </v>
      </c>
      <c r="E3657" t="s">
        <v>547</v>
      </c>
      <c r="F3657" t="s">
        <v>548</v>
      </c>
      <c r="G3657">
        <v>270.75</v>
      </c>
      <c r="H3657">
        <v>250808</v>
      </c>
      <c r="I3657">
        <v>4520</v>
      </c>
      <c r="J3657" t="s">
        <v>280</v>
      </c>
      <c r="K3657">
        <v>270.75</v>
      </c>
      <c r="L3657">
        <v>33.25</v>
      </c>
      <c r="M3657">
        <v>49112</v>
      </c>
      <c r="N3657" t="s">
        <v>109</v>
      </c>
      <c r="O3657">
        <v>250813</v>
      </c>
      <c r="P3657">
        <v>237.5</v>
      </c>
    </row>
    <row r="3658" spans="1:16" x14ac:dyDescent="0.25">
      <c r="A3658" t="s">
        <v>3296</v>
      </c>
      <c r="B3658" t="s">
        <v>2931</v>
      </c>
      <c r="C3658">
        <v>10975</v>
      </c>
      <c r="D3658" t="str">
        <f>"9957061299  "</f>
        <v xml:space="preserve">9957061299  </v>
      </c>
      <c r="E3658" t="s">
        <v>547</v>
      </c>
      <c r="F3658" t="s">
        <v>548</v>
      </c>
      <c r="G3658">
        <v>99.93</v>
      </c>
      <c r="H3658">
        <v>250824</v>
      </c>
      <c r="I3658">
        <v>4520</v>
      </c>
      <c r="J3658" t="s">
        <v>280</v>
      </c>
      <c r="K3658">
        <v>99.93</v>
      </c>
      <c r="L3658">
        <v>12.27</v>
      </c>
      <c r="M3658">
        <v>49112</v>
      </c>
      <c r="N3658" t="s">
        <v>109</v>
      </c>
      <c r="O3658">
        <v>250828</v>
      </c>
      <c r="P3658">
        <v>87.66</v>
      </c>
    </row>
    <row r="3659" spans="1:16" x14ac:dyDescent="0.25">
      <c r="A3659" t="s">
        <v>3296</v>
      </c>
      <c r="B3659" t="s">
        <v>2931</v>
      </c>
      <c r="C3659">
        <v>12061</v>
      </c>
      <c r="D3659" t="str">
        <f>"9957095670  "</f>
        <v xml:space="preserve">9957095670  </v>
      </c>
      <c r="E3659" t="s">
        <v>547</v>
      </c>
      <c r="F3659" t="s">
        <v>548</v>
      </c>
      <c r="G3659">
        <v>173</v>
      </c>
      <c r="H3659">
        <v>250908</v>
      </c>
      <c r="I3659">
        <v>4520</v>
      </c>
      <c r="J3659" t="s">
        <v>280</v>
      </c>
      <c r="K3659">
        <v>173</v>
      </c>
      <c r="L3659">
        <v>21.25</v>
      </c>
      <c r="M3659">
        <v>49112</v>
      </c>
      <c r="N3659" t="s">
        <v>109</v>
      </c>
      <c r="O3659">
        <v>250916</v>
      </c>
      <c r="P3659">
        <v>151.75</v>
      </c>
    </row>
    <row r="3660" spans="1:16" x14ac:dyDescent="0.25">
      <c r="A3660" t="s">
        <v>3296</v>
      </c>
      <c r="B3660" t="s">
        <v>2931</v>
      </c>
      <c r="C3660">
        <v>13730</v>
      </c>
      <c r="D3660" t="str">
        <f>"9957163021  "</f>
        <v xml:space="preserve">9957163021  </v>
      </c>
      <c r="E3660" t="s">
        <v>547</v>
      </c>
      <c r="F3660" t="s">
        <v>548</v>
      </c>
      <c r="G3660">
        <v>210.25</v>
      </c>
      <c r="H3660">
        <v>251008</v>
      </c>
      <c r="I3660">
        <v>4520</v>
      </c>
      <c r="J3660" t="s">
        <v>280</v>
      </c>
      <c r="K3660">
        <v>210.25</v>
      </c>
      <c r="L3660">
        <v>25.82</v>
      </c>
      <c r="M3660">
        <v>49112</v>
      </c>
      <c r="N3660" t="s">
        <v>109</v>
      </c>
      <c r="O3660">
        <v>251017</v>
      </c>
      <c r="P3660">
        <v>184.43</v>
      </c>
    </row>
    <row r="3661" spans="1:16" x14ac:dyDescent="0.25">
      <c r="A3661" t="s">
        <v>3296</v>
      </c>
      <c r="B3661" t="s">
        <v>2931</v>
      </c>
      <c r="C3661">
        <v>15173</v>
      </c>
      <c r="D3661" t="str">
        <f>"9957229403  "</f>
        <v xml:space="preserve">9957229403  </v>
      </c>
      <c r="E3661" t="s">
        <v>547</v>
      </c>
      <c r="F3661" t="s">
        <v>548</v>
      </c>
      <c r="G3661">
        <v>260.42</v>
      </c>
      <c r="H3661">
        <v>251108</v>
      </c>
      <c r="I3661">
        <v>4520</v>
      </c>
      <c r="J3661" t="s">
        <v>280</v>
      </c>
      <c r="K3661">
        <v>260.42</v>
      </c>
      <c r="L3661">
        <v>31.98</v>
      </c>
      <c r="M3661">
        <v>49112</v>
      </c>
      <c r="N3661" t="s">
        <v>109</v>
      </c>
      <c r="O3661">
        <v>251113</v>
      </c>
      <c r="P3661">
        <v>228.44</v>
      </c>
    </row>
    <row r="3662" spans="1:16" x14ac:dyDescent="0.25">
      <c r="A3662" t="s">
        <v>3296</v>
      </c>
      <c r="B3662" t="s">
        <v>2931</v>
      </c>
      <c r="C3662">
        <v>16955</v>
      </c>
      <c r="D3662" t="str">
        <f>"9957292552  "</f>
        <v xml:space="preserve">9957292552  </v>
      </c>
      <c r="E3662" t="s">
        <v>547</v>
      </c>
      <c r="F3662" t="s">
        <v>548</v>
      </c>
      <c r="G3662">
        <v>179.69</v>
      </c>
      <c r="H3662">
        <v>251208</v>
      </c>
      <c r="I3662">
        <v>4520</v>
      </c>
      <c r="J3662" t="s">
        <v>280</v>
      </c>
      <c r="K3662">
        <v>179.69</v>
      </c>
      <c r="L3662">
        <v>22.07</v>
      </c>
      <c r="M3662">
        <v>49112</v>
      </c>
      <c r="N3662" t="s">
        <v>109</v>
      </c>
      <c r="O3662">
        <v>251216</v>
      </c>
      <c r="P3662">
        <v>157.62</v>
      </c>
    </row>
    <row r="3663" spans="1:16" x14ac:dyDescent="0.25">
      <c r="A3663" t="s">
        <v>3296</v>
      </c>
      <c r="B3663" t="s">
        <v>2931</v>
      </c>
      <c r="C3663">
        <v>3895</v>
      </c>
      <c r="D3663" t="str">
        <f>"36 203634398"</f>
        <v>36 203634398</v>
      </c>
      <c r="E3663" t="s">
        <v>1525</v>
      </c>
      <c r="F3663" t="s">
        <v>1526</v>
      </c>
      <c r="G3663">
        <v>307.48</v>
      </c>
      <c r="H3663">
        <v>250320</v>
      </c>
      <c r="I3663">
        <v>4440</v>
      </c>
      <c r="J3663" t="s">
        <v>346</v>
      </c>
      <c r="K3663">
        <v>307.48</v>
      </c>
      <c r="L3663">
        <v>62.48</v>
      </c>
      <c r="M3663">
        <v>11301</v>
      </c>
      <c r="N3663" t="s">
        <v>92</v>
      </c>
      <c r="O3663">
        <v>250403</v>
      </c>
      <c r="P3663">
        <v>245</v>
      </c>
    </row>
    <row r="3664" spans="1:16" x14ac:dyDescent="0.25">
      <c r="A3664" t="s">
        <v>3296</v>
      </c>
      <c r="B3664" t="s">
        <v>2931</v>
      </c>
      <c r="C3664">
        <v>8238</v>
      </c>
      <c r="D3664" t="str">
        <f>"36 203636351"</f>
        <v>36 203636351</v>
      </c>
      <c r="E3664" t="s">
        <v>1525</v>
      </c>
      <c r="F3664" t="s">
        <v>1526</v>
      </c>
      <c r="G3664">
        <v>351.41</v>
      </c>
      <c r="H3664">
        <v>250604</v>
      </c>
      <c r="I3664">
        <v>4441</v>
      </c>
      <c r="J3664" t="s">
        <v>234</v>
      </c>
      <c r="K3664">
        <v>351.41</v>
      </c>
      <c r="L3664">
        <v>71.400000000000006</v>
      </c>
      <c r="M3664">
        <v>18972</v>
      </c>
      <c r="N3664" t="s">
        <v>39</v>
      </c>
      <c r="O3664">
        <v>250612</v>
      </c>
      <c r="P3664">
        <v>280.01</v>
      </c>
    </row>
    <row r="3665" spans="1:16" x14ac:dyDescent="0.25">
      <c r="A3665" t="s">
        <v>3296</v>
      </c>
      <c r="B3665" t="s">
        <v>2931</v>
      </c>
      <c r="C3665">
        <v>15510</v>
      </c>
      <c r="D3665" t="str">
        <f>"36 203638931"</f>
        <v>36 203638931</v>
      </c>
      <c r="E3665" t="s">
        <v>1525</v>
      </c>
      <c r="F3665" t="s">
        <v>1526</v>
      </c>
      <c r="G3665">
        <v>495.73</v>
      </c>
      <c r="H3665">
        <v>251118</v>
      </c>
      <c r="I3665">
        <v>4441</v>
      </c>
      <c r="J3665" t="s">
        <v>234</v>
      </c>
      <c r="K3665">
        <v>495.73</v>
      </c>
      <c r="L3665">
        <v>100.73</v>
      </c>
      <c r="M3665">
        <v>11101</v>
      </c>
      <c r="N3665" t="s">
        <v>67</v>
      </c>
      <c r="O3665">
        <v>251121</v>
      </c>
      <c r="P3665">
        <v>395</v>
      </c>
    </row>
    <row r="3666" spans="1:16" x14ac:dyDescent="0.25">
      <c r="A3666" t="s">
        <v>3296</v>
      </c>
      <c r="B3666" t="s">
        <v>2931</v>
      </c>
      <c r="C3666">
        <v>16664</v>
      </c>
      <c r="D3666" t="str">
        <f>"36 203639926"</f>
        <v>36 203639926</v>
      </c>
      <c r="E3666" t="s">
        <v>1525</v>
      </c>
      <c r="F3666" t="s">
        <v>1526</v>
      </c>
      <c r="G3666">
        <v>407.88</v>
      </c>
      <c r="H3666">
        <v>251205</v>
      </c>
      <c r="I3666">
        <v>4441</v>
      </c>
      <c r="J3666" t="s">
        <v>234</v>
      </c>
      <c r="K3666">
        <v>407.88</v>
      </c>
      <c r="L3666">
        <v>82.88</v>
      </c>
      <c r="M3666">
        <v>11601</v>
      </c>
      <c r="N3666" t="s">
        <v>12</v>
      </c>
      <c r="O3666">
        <v>251211</v>
      </c>
      <c r="P3666">
        <v>325</v>
      </c>
    </row>
    <row r="3667" spans="1:16" x14ac:dyDescent="0.25">
      <c r="A3667" t="s">
        <v>3296</v>
      </c>
      <c r="B3667" t="s">
        <v>2931</v>
      </c>
      <c r="C3667">
        <v>3196</v>
      </c>
      <c r="D3667" t="str">
        <f>"10392       "</f>
        <v xml:space="preserve">10392       </v>
      </c>
      <c r="E3667" t="s">
        <v>589</v>
      </c>
      <c r="F3667" t="s">
        <v>590</v>
      </c>
      <c r="G3667">
        <v>128.47999999999999</v>
      </c>
      <c r="H3667">
        <v>250304</v>
      </c>
      <c r="I3667">
        <v>4367</v>
      </c>
      <c r="J3667" t="s">
        <v>159</v>
      </c>
      <c r="K3667">
        <v>513.91999999999996</v>
      </c>
      <c r="L3667">
        <v>26.11</v>
      </c>
      <c r="M3667">
        <v>11801</v>
      </c>
      <c r="N3667" t="s">
        <v>40</v>
      </c>
      <c r="O3667">
        <v>250317</v>
      </c>
      <c r="P3667">
        <v>102.37</v>
      </c>
    </row>
    <row r="3668" spans="1:16" x14ac:dyDescent="0.25">
      <c r="A3668" t="s">
        <v>3296</v>
      </c>
      <c r="B3668" t="s">
        <v>2931</v>
      </c>
      <c r="C3668">
        <v>565</v>
      </c>
      <c r="D3668" t="str">
        <f>"10248       "</f>
        <v xml:space="preserve">10248       </v>
      </c>
      <c r="E3668" t="s">
        <v>589</v>
      </c>
      <c r="F3668" t="s">
        <v>590</v>
      </c>
      <c r="G3668">
        <v>188.25</v>
      </c>
      <c r="H3668">
        <v>250122</v>
      </c>
      <c r="I3668">
        <v>4940</v>
      </c>
      <c r="J3668" t="s">
        <v>250</v>
      </c>
      <c r="K3668">
        <v>188.25</v>
      </c>
      <c r="L3668">
        <v>38.25</v>
      </c>
      <c r="M3668">
        <v>13940</v>
      </c>
      <c r="N3668" t="s">
        <v>14</v>
      </c>
      <c r="O3668">
        <v>250124</v>
      </c>
      <c r="P3668">
        <v>150</v>
      </c>
    </row>
    <row r="3669" spans="1:16" x14ac:dyDescent="0.25">
      <c r="A3669" t="s">
        <v>3296</v>
      </c>
      <c r="B3669" t="s">
        <v>2931</v>
      </c>
      <c r="C3669">
        <v>17003</v>
      </c>
      <c r="D3669" t="str">
        <f>"1485        "</f>
        <v xml:space="preserve">1485        </v>
      </c>
      <c r="E3669" t="s">
        <v>2714</v>
      </c>
      <c r="F3669" t="s">
        <v>2715</v>
      </c>
      <c r="G3669">
        <v>293.3</v>
      </c>
      <c r="H3669">
        <v>251209</v>
      </c>
      <c r="I3669">
        <v>4580</v>
      </c>
      <c r="J3669" t="s">
        <v>126</v>
      </c>
      <c r="K3669">
        <v>293.3</v>
      </c>
      <c r="L3669">
        <v>59.59</v>
      </c>
      <c r="M3669">
        <v>17531</v>
      </c>
      <c r="N3669" t="s">
        <v>145</v>
      </c>
      <c r="O3669">
        <v>251216</v>
      </c>
      <c r="P3669">
        <v>233.71</v>
      </c>
    </row>
    <row r="3670" spans="1:16" x14ac:dyDescent="0.25">
      <c r="A3670" t="s">
        <v>3296</v>
      </c>
      <c r="B3670" t="s">
        <v>2931</v>
      </c>
      <c r="C3670">
        <v>10025</v>
      </c>
      <c r="D3670" t="str">
        <f>"122692      "</f>
        <v xml:space="preserve">122692      </v>
      </c>
      <c r="E3670" t="s">
        <v>3258</v>
      </c>
      <c r="F3670" t="s">
        <v>3259</v>
      </c>
      <c r="G3670">
        <v>7518.85</v>
      </c>
      <c r="H3670">
        <v>250801</v>
      </c>
      <c r="I3670">
        <v>1198</v>
      </c>
      <c r="J3670" t="s">
        <v>610</v>
      </c>
      <c r="K3670">
        <v>7518.85</v>
      </c>
      <c r="L3670">
        <v>0</v>
      </c>
      <c r="M3670">
        <v>97628</v>
      </c>
      <c r="N3670" t="s">
        <v>737</v>
      </c>
      <c r="O3670">
        <v>250808</v>
      </c>
      <c r="P3670">
        <v>7518.85</v>
      </c>
    </row>
    <row r="3671" spans="1:16" x14ac:dyDescent="0.25">
      <c r="A3671" t="s">
        <v>3296</v>
      </c>
      <c r="B3671" t="s">
        <v>2931</v>
      </c>
      <c r="C3671">
        <v>12825</v>
      </c>
      <c r="D3671" t="str">
        <f>"2362        "</f>
        <v xml:space="preserve">2362        </v>
      </c>
      <c r="E3671" t="s">
        <v>2398</v>
      </c>
      <c r="F3671" t="s">
        <v>2399</v>
      </c>
      <c r="G3671">
        <v>1099.45</v>
      </c>
      <c r="H3671">
        <v>250926</v>
      </c>
      <c r="I3671">
        <v>4400</v>
      </c>
      <c r="J3671" t="s">
        <v>162</v>
      </c>
      <c r="K3671">
        <v>1099.45</v>
      </c>
      <c r="L3671">
        <v>223.39</v>
      </c>
      <c r="M3671">
        <v>17803</v>
      </c>
      <c r="N3671" t="s">
        <v>19</v>
      </c>
      <c r="O3671">
        <v>250930</v>
      </c>
      <c r="P3671">
        <v>876.06</v>
      </c>
    </row>
    <row r="3672" spans="1:16" x14ac:dyDescent="0.25">
      <c r="A3672" t="s">
        <v>3296</v>
      </c>
      <c r="B3672" t="s">
        <v>2931</v>
      </c>
      <c r="C3672">
        <v>228</v>
      </c>
      <c r="D3672" t="str">
        <f>"1268187     "</f>
        <v xml:space="preserve">1268187     </v>
      </c>
      <c r="E3672" t="s">
        <v>360</v>
      </c>
      <c r="F3672" t="s">
        <v>361</v>
      </c>
      <c r="G3672">
        <v>2944.08</v>
      </c>
      <c r="H3672">
        <v>250109</v>
      </c>
      <c r="I3672">
        <v>4600</v>
      </c>
      <c r="J3672" t="s">
        <v>278</v>
      </c>
      <c r="K3672">
        <v>2944.08</v>
      </c>
      <c r="L3672">
        <v>598.20000000000005</v>
      </c>
      <c r="M3672">
        <v>17522</v>
      </c>
      <c r="N3672" t="s">
        <v>137</v>
      </c>
      <c r="O3672">
        <v>250120</v>
      </c>
      <c r="P3672">
        <v>2345.88</v>
      </c>
    </row>
    <row r="3673" spans="1:16" x14ac:dyDescent="0.25">
      <c r="A3673" t="s">
        <v>3296</v>
      </c>
      <c r="B3673" t="s">
        <v>2931</v>
      </c>
      <c r="C3673">
        <v>14046</v>
      </c>
      <c r="D3673" t="str">
        <f>"465062      "</f>
        <v xml:space="preserve">465062      </v>
      </c>
      <c r="E3673" t="s">
        <v>2471</v>
      </c>
      <c r="F3673" t="s">
        <v>2472</v>
      </c>
      <c r="G3673">
        <v>104.92</v>
      </c>
      <c r="H3673">
        <v>251006</v>
      </c>
      <c r="I3673">
        <v>4400</v>
      </c>
      <c r="J3673" t="s">
        <v>162</v>
      </c>
      <c r="K3673">
        <v>104.92</v>
      </c>
      <c r="L3673">
        <v>21.32</v>
      </c>
      <c r="M3673">
        <v>17524</v>
      </c>
      <c r="N3673" t="s">
        <v>139</v>
      </c>
      <c r="O3673">
        <v>251022</v>
      </c>
      <c r="P3673">
        <v>83.6</v>
      </c>
    </row>
    <row r="3674" spans="1:16" x14ac:dyDescent="0.25">
      <c r="A3674" t="s">
        <v>3296</v>
      </c>
      <c r="B3674" t="s">
        <v>2931</v>
      </c>
      <c r="C3674">
        <v>4160</v>
      </c>
      <c r="D3674" t="str">
        <f>"280325      "</f>
        <v xml:space="preserve">280325      </v>
      </c>
      <c r="E3674" t="s">
        <v>3047</v>
      </c>
      <c r="F3674" t="s">
        <v>3048</v>
      </c>
      <c r="G3674">
        <v>66</v>
      </c>
      <c r="H3674">
        <v>250317</v>
      </c>
      <c r="I3674">
        <v>4510</v>
      </c>
      <c r="J3674" t="s">
        <v>240</v>
      </c>
      <c r="K3674">
        <v>66</v>
      </c>
      <c r="L3674">
        <v>6</v>
      </c>
      <c r="M3674">
        <v>56522</v>
      </c>
      <c r="N3674" t="s">
        <v>68</v>
      </c>
      <c r="O3674">
        <v>250408</v>
      </c>
      <c r="P3674">
        <v>60</v>
      </c>
    </row>
    <row r="3675" spans="1:16" x14ac:dyDescent="0.25">
      <c r="A3675" t="s">
        <v>3296</v>
      </c>
      <c r="B3675" t="s">
        <v>2931</v>
      </c>
      <c r="C3675">
        <v>13945</v>
      </c>
      <c r="D3675" t="str">
        <f>"5540        "</f>
        <v xml:space="preserve">5540        </v>
      </c>
      <c r="E3675" t="s">
        <v>2460</v>
      </c>
      <c r="F3675" t="s">
        <v>2461</v>
      </c>
      <c r="G3675">
        <v>614.95000000000005</v>
      </c>
      <c r="H3675">
        <v>251008</v>
      </c>
      <c r="I3675">
        <v>4470</v>
      </c>
      <c r="J3675" t="s">
        <v>203</v>
      </c>
      <c r="K3675">
        <v>614.95000000000005</v>
      </c>
      <c r="L3675">
        <v>124.95</v>
      </c>
      <c r="M3675">
        <v>17951</v>
      </c>
      <c r="N3675" t="s">
        <v>207</v>
      </c>
      <c r="O3675">
        <v>251021</v>
      </c>
      <c r="P3675">
        <v>490</v>
      </c>
    </row>
    <row r="3676" spans="1:16" x14ac:dyDescent="0.25">
      <c r="A3676" t="s">
        <v>3296</v>
      </c>
      <c r="B3676" t="s">
        <v>2931</v>
      </c>
      <c r="C3676">
        <v>16923</v>
      </c>
      <c r="D3676" t="str">
        <f>"22571       "</f>
        <v xml:space="preserve">22571       </v>
      </c>
      <c r="E3676" t="s">
        <v>579</v>
      </c>
      <c r="F3676" t="s">
        <v>580</v>
      </c>
      <c r="G3676">
        <v>18600</v>
      </c>
      <c r="H3676">
        <v>251128</v>
      </c>
      <c r="I3676">
        <v>1196</v>
      </c>
      <c r="J3676" t="s">
        <v>340</v>
      </c>
      <c r="K3676">
        <v>18600</v>
      </c>
      <c r="L3676">
        <v>0</v>
      </c>
      <c r="M3676">
        <v>97603</v>
      </c>
      <c r="N3676" t="s">
        <v>2289</v>
      </c>
      <c r="O3676">
        <v>251216</v>
      </c>
      <c r="P3676">
        <v>18600</v>
      </c>
    </row>
    <row r="3677" spans="1:16" x14ac:dyDescent="0.25">
      <c r="A3677" t="s">
        <v>3296</v>
      </c>
      <c r="B3677" t="s">
        <v>2931</v>
      </c>
      <c r="C3677">
        <v>547</v>
      </c>
      <c r="D3677" t="str">
        <f>"20730       "</f>
        <v xml:space="preserve">20730       </v>
      </c>
      <c r="E3677" t="s">
        <v>579</v>
      </c>
      <c r="F3677" t="s">
        <v>580</v>
      </c>
      <c r="G3677">
        <v>4410</v>
      </c>
      <c r="H3677">
        <v>250109</v>
      </c>
      <c r="I3677">
        <v>4390</v>
      </c>
      <c r="J3677" t="s">
        <v>232</v>
      </c>
      <c r="K3677">
        <v>4410</v>
      </c>
      <c r="L3677">
        <v>0</v>
      </c>
      <c r="M3677">
        <v>17951</v>
      </c>
      <c r="N3677" t="s">
        <v>207</v>
      </c>
      <c r="O3677">
        <v>250123</v>
      </c>
      <c r="P3677">
        <v>4410</v>
      </c>
    </row>
    <row r="3678" spans="1:16" x14ac:dyDescent="0.25">
      <c r="A3678" t="s">
        <v>3296</v>
      </c>
      <c r="B3678" t="s">
        <v>2931</v>
      </c>
      <c r="C3678">
        <v>15829</v>
      </c>
      <c r="D3678" t="str">
        <f>"5437        "</f>
        <v xml:space="preserve">5437        </v>
      </c>
      <c r="E3678" t="s">
        <v>2620</v>
      </c>
      <c r="F3678" t="s">
        <v>2621</v>
      </c>
      <c r="G3678">
        <v>20</v>
      </c>
      <c r="H3678">
        <v>251124</v>
      </c>
      <c r="I3678">
        <v>4347</v>
      </c>
      <c r="J3678" t="s">
        <v>328</v>
      </c>
      <c r="K3678">
        <v>2614.56</v>
      </c>
      <c r="L3678">
        <v>2.46</v>
      </c>
      <c r="M3678">
        <v>17538</v>
      </c>
      <c r="N3678" t="s">
        <v>129</v>
      </c>
      <c r="O3678">
        <v>251127</v>
      </c>
      <c r="P3678">
        <v>17.54</v>
      </c>
    </row>
    <row r="3679" spans="1:16" x14ac:dyDescent="0.25">
      <c r="A3679" t="s">
        <v>3296</v>
      </c>
      <c r="B3679" t="s">
        <v>2931</v>
      </c>
      <c r="C3679">
        <v>15829</v>
      </c>
      <c r="D3679" t="str">
        <f>"5437        "</f>
        <v xml:space="preserve">5437        </v>
      </c>
      <c r="E3679" t="s">
        <v>2620</v>
      </c>
      <c r="F3679" t="s">
        <v>2621</v>
      </c>
      <c r="G3679">
        <v>2594.56</v>
      </c>
      <c r="H3679">
        <v>251124</v>
      </c>
      <c r="I3679">
        <v>4410</v>
      </c>
      <c r="J3679" t="s">
        <v>165</v>
      </c>
      <c r="K3679">
        <v>2614.56</v>
      </c>
      <c r="L3679">
        <v>318.63</v>
      </c>
      <c r="M3679">
        <v>17538</v>
      </c>
      <c r="N3679" t="s">
        <v>129</v>
      </c>
      <c r="O3679">
        <v>251127</v>
      </c>
      <c r="P3679">
        <v>2275.9299999999998</v>
      </c>
    </row>
    <row r="3680" spans="1:16" x14ac:dyDescent="0.25">
      <c r="A3680" t="s">
        <v>3296</v>
      </c>
      <c r="B3680" t="s">
        <v>2931</v>
      </c>
      <c r="C3680">
        <v>180</v>
      </c>
      <c r="D3680" t="str">
        <f>"1238        "</f>
        <v xml:space="preserve">1238        </v>
      </c>
      <c r="E3680" t="s">
        <v>301</v>
      </c>
      <c r="F3680" t="s">
        <v>303</v>
      </c>
      <c r="G3680">
        <v>23.49</v>
      </c>
      <c r="H3680">
        <v>250114</v>
      </c>
      <c r="I3680">
        <v>4510</v>
      </c>
      <c r="J3680" t="s">
        <v>240</v>
      </c>
      <c r="K3680">
        <v>23.49</v>
      </c>
      <c r="L3680">
        <v>0</v>
      </c>
      <c r="M3680">
        <v>13502</v>
      </c>
      <c r="N3680" t="s">
        <v>302</v>
      </c>
      <c r="O3680">
        <v>250115</v>
      </c>
      <c r="P3680">
        <v>23.49</v>
      </c>
    </row>
    <row r="3681" spans="1:16" x14ac:dyDescent="0.25">
      <c r="A3681" t="s">
        <v>3296</v>
      </c>
      <c r="B3681" t="s">
        <v>2931</v>
      </c>
      <c r="C3681">
        <v>4798</v>
      </c>
      <c r="D3681" t="str">
        <f>"30820603    "</f>
        <v xml:space="preserve">30820603    </v>
      </c>
      <c r="E3681" t="s">
        <v>1657</v>
      </c>
      <c r="F3681" t="s">
        <v>1658</v>
      </c>
      <c r="G3681">
        <v>349.78</v>
      </c>
      <c r="H3681">
        <v>250405</v>
      </c>
      <c r="I3681">
        <v>4600</v>
      </c>
      <c r="J3681" t="s">
        <v>278</v>
      </c>
      <c r="K3681">
        <v>349.78</v>
      </c>
      <c r="L3681">
        <v>0</v>
      </c>
      <c r="M3681">
        <v>53222</v>
      </c>
      <c r="N3681" t="s">
        <v>41</v>
      </c>
      <c r="O3681">
        <v>250415</v>
      </c>
      <c r="P3681">
        <v>349.78</v>
      </c>
    </row>
    <row r="3682" spans="1:16" x14ac:dyDescent="0.25">
      <c r="A3682" t="s">
        <v>3296</v>
      </c>
      <c r="B3682" t="s">
        <v>2931</v>
      </c>
      <c r="C3682">
        <v>932</v>
      </c>
      <c r="D3682" t="str">
        <f>"1028        "</f>
        <v xml:space="preserve">1028        </v>
      </c>
      <c r="E3682" t="s">
        <v>789</v>
      </c>
      <c r="F3682" t="s">
        <v>790</v>
      </c>
      <c r="G3682">
        <v>1022.51</v>
      </c>
      <c r="H3682">
        <v>250129</v>
      </c>
      <c r="I3682">
        <v>4440</v>
      </c>
      <c r="J3682" t="s">
        <v>346</v>
      </c>
      <c r="K3682">
        <v>1022.51</v>
      </c>
      <c r="L3682">
        <v>207.76</v>
      </c>
      <c r="M3682">
        <v>13901</v>
      </c>
      <c r="N3682" t="s">
        <v>116</v>
      </c>
      <c r="O3682">
        <v>250131</v>
      </c>
      <c r="P3682">
        <v>814.75</v>
      </c>
    </row>
    <row r="3683" spans="1:16" x14ac:dyDescent="0.25">
      <c r="A3683" t="s">
        <v>3296</v>
      </c>
      <c r="B3683" t="s">
        <v>2931</v>
      </c>
      <c r="C3683">
        <v>4156</v>
      </c>
      <c r="D3683" t="str">
        <f>"0090091037  "</f>
        <v xml:space="preserve">0090091037  </v>
      </c>
      <c r="E3683" t="s">
        <v>1586</v>
      </c>
      <c r="F3683" t="s">
        <v>1587</v>
      </c>
      <c r="G3683">
        <v>37.65</v>
      </c>
      <c r="H3683">
        <v>250325</v>
      </c>
      <c r="I3683">
        <v>4600</v>
      </c>
      <c r="J3683" t="s">
        <v>278</v>
      </c>
      <c r="K3683">
        <v>37.65</v>
      </c>
      <c r="L3683">
        <v>7.65</v>
      </c>
      <c r="M3683">
        <v>47522</v>
      </c>
      <c r="N3683" t="s">
        <v>106</v>
      </c>
      <c r="O3683">
        <v>250408</v>
      </c>
      <c r="P3683">
        <v>30</v>
      </c>
    </row>
    <row r="3684" spans="1:16" x14ac:dyDescent="0.25">
      <c r="A3684" t="s">
        <v>3296</v>
      </c>
      <c r="B3684" t="s">
        <v>2931</v>
      </c>
      <c r="C3684">
        <v>14261</v>
      </c>
      <c r="D3684" t="str">
        <f>"0090098901  "</f>
        <v xml:space="preserve">0090098901  </v>
      </c>
      <c r="E3684" t="s">
        <v>1268</v>
      </c>
      <c r="F3684" t="s">
        <v>1269</v>
      </c>
      <c r="G3684">
        <v>2484.9</v>
      </c>
      <c r="H3684">
        <v>251021</v>
      </c>
      <c r="I3684">
        <v>4440</v>
      </c>
      <c r="J3684" t="s">
        <v>346</v>
      </c>
      <c r="K3684">
        <v>2484.9</v>
      </c>
      <c r="L3684">
        <v>504.9</v>
      </c>
      <c r="M3684">
        <v>47522</v>
      </c>
      <c r="N3684" t="s">
        <v>106</v>
      </c>
      <c r="O3684">
        <v>251028</v>
      </c>
      <c r="P3684">
        <v>1980</v>
      </c>
    </row>
    <row r="3685" spans="1:16" x14ac:dyDescent="0.25">
      <c r="A3685" t="s">
        <v>3296</v>
      </c>
      <c r="B3685" t="s">
        <v>2931</v>
      </c>
      <c r="C3685">
        <v>2394</v>
      </c>
      <c r="D3685" t="str">
        <f>"0090089650  "</f>
        <v xml:space="preserve">0090089650  </v>
      </c>
      <c r="E3685" t="s">
        <v>1268</v>
      </c>
      <c r="F3685" t="s">
        <v>1269</v>
      </c>
      <c r="G3685">
        <v>352.26</v>
      </c>
      <c r="H3685">
        <v>250220</v>
      </c>
      <c r="I3685">
        <v>4470</v>
      </c>
      <c r="J3685" t="s">
        <v>203</v>
      </c>
      <c r="K3685">
        <v>352.26</v>
      </c>
      <c r="L3685">
        <v>0</v>
      </c>
      <c r="M3685">
        <v>47522</v>
      </c>
      <c r="N3685" t="s">
        <v>106</v>
      </c>
      <c r="O3685">
        <v>250225</v>
      </c>
      <c r="P3685">
        <v>352.26</v>
      </c>
    </row>
    <row r="3686" spans="1:16" x14ac:dyDescent="0.25">
      <c r="A3686" t="s">
        <v>3296</v>
      </c>
      <c r="B3686" t="s">
        <v>2931</v>
      </c>
      <c r="C3686">
        <v>12758</v>
      </c>
      <c r="D3686" t="str">
        <f>"165097      "</f>
        <v xml:space="preserve">165097      </v>
      </c>
      <c r="E3686" t="s">
        <v>2386</v>
      </c>
      <c r="F3686" t="s">
        <v>2387</v>
      </c>
      <c r="G3686">
        <v>847.73</v>
      </c>
      <c r="H3686">
        <v>250924</v>
      </c>
      <c r="I3686">
        <v>4520</v>
      </c>
      <c r="J3686" t="s">
        <v>280</v>
      </c>
      <c r="K3686">
        <v>900.44</v>
      </c>
      <c r="L3686">
        <v>104.11</v>
      </c>
      <c r="M3686">
        <v>56563</v>
      </c>
      <c r="N3686" t="s">
        <v>55</v>
      </c>
      <c r="O3686">
        <v>250930</v>
      </c>
      <c r="P3686">
        <v>743.62</v>
      </c>
    </row>
    <row r="3687" spans="1:16" x14ac:dyDescent="0.25">
      <c r="A3687" t="s">
        <v>3296</v>
      </c>
      <c r="B3687" t="s">
        <v>2931</v>
      </c>
      <c r="C3687">
        <v>12767</v>
      </c>
      <c r="D3687" t="str">
        <f>"165090      "</f>
        <v xml:space="preserve">165090      </v>
      </c>
      <c r="E3687" t="s">
        <v>2386</v>
      </c>
      <c r="F3687" t="s">
        <v>2387</v>
      </c>
      <c r="G3687">
        <v>165.3</v>
      </c>
      <c r="H3687">
        <v>250924</v>
      </c>
      <c r="I3687">
        <v>4520</v>
      </c>
      <c r="J3687" t="s">
        <v>280</v>
      </c>
      <c r="K3687">
        <v>165.3</v>
      </c>
      <c r="L3687">
        <v>20.3</v>
      </c>
      <c r="M3687">
        <v>54422</v>
      </c>
      <c r="N3687" t="s">
        <v>49</v>
      </c>
      <c r="O3687">
        <v>250930</v>
      </c>
      <c r="P3687">
        <v>145</v>
      </c>
    </row>
    <row r="3688" spans="1:16" x14ac:dyDescent="0.25">
      <c r="A3688" t="s">
        <v>3296</v>
      </c>
      <c r="B3688" t="s">
        <v>2931</v>
      </c>
      <c r="C3688">
        <v>12758</v>
      </c>
      <c r="D3688" t="str">
        <f>"165097      "</f>
        <v xml:space="preserve">165097      </v>
      </c>
      <c r="E3688" t="s">
        <v>2386</v>
      </c>
      <c r="F3688" t="s">
        <v>2387</v>
      </c>
      <c r="G3688">
        <v>52.71</v>
      </c>
      <c r="H3688">
        <v>250924</v>
      </c>
      <c r="I3688">
        <v>4600</v>
      </c>
      <c r="J3688" t="s">
        <v>278</v>
      </c>
      <c r="K3688">
        <v>900.44</v>
      </c>
      <c r="L3688">
        <v>10.71</v>
      </c>
      <c r="M3688">
        <v>54422</v>
      </c>
      <c r="N3688" t="s">
        <v>49</v>
      </c>
      <c r="O3688">
        <v>250930</v>
      </c>
      <c r="P3688">
        <v>42</v>
      </c>
    </row>
    <row r="3689" spans="1:16" x14ac:dyDescent="0.25">
      <c r="A3689" t="s">
        <v>3296</v>
      </c>
      <c r="B3689" t="s">
        <v>2931</v>
      </c>
      <c r="C3689">
        <v>9218</v>
      </c>
      <c r="D3689" t="str">
        <f>"FL253674140 "</f>
        <v xml:space="preserve">FL253674140 </v>
      </c>
      <c r="E3689" t="s">
        <v>2110</v>
      </c>
      <c r="F3689" t="s">
        <v>2111</v>
      </c>
      <c r="G3689">
        <v>1128</v>
      </c>
      <c r="H3689">
        <v>250701</v>
      </c>
      <c r="I3689">
        <v>4440</v>
      </c>
      <c r="J3689" t="s">
        <v>346</v>
      </c>
      <c r="K3689">
        <v>2726</v>
      </c>
      <c r="L3689">
        <v>138.53</v>
      </c>
      <c r="M3689">
        <v>11605</v>
      </c>
      <c r="N3689" t="s">
        <v>1066</v>
      </c>
      <c r="O3689">
        <v>250627</v>
      </c>
      <c r="P3689">
        <v>989.47</v>
      </c>
    </row>
    <row r="3690" spans="1:16" x14ac:dyDescent="0.25">
      <c r="A3690" t="s">
        <v>3296</v>
      </c>
      <c r="B3690" t="s">
        <v>2931</v>
      </c>
      <c r="C3690">
        <v>9218</v>
      </c>
      <c r="D3690" t="str">
        <f>"FL253674140 "</f>
        <v xml:space="preserve">FL253674140 </v>
      </c>
      <c r="E3690" t="s">
        <v>2110</v>
      </c>
      <c r="F3690" t="s">
        <v>2111</v>
      </c>
      <c r="G3690">
        <v>1598</v>
      </c>
      <c r="H3690">
        <v>250701</v>
      </c>
      <c r="I3690">
        <v>4440</v>
      </c>
      <c r="J3690" t="s">
        <v>346</v>
      </c>
      <c r="K3690">
        <v>2726</v>
      </c>
      <c r="L3690">
        <v>0</v>
      </c>
      <c r="M3690">
        <v>11605</v>
      </c>
      <c r="N3690" t="s">
        <v>1066</v>
      </c>
      <c r="O3690">
        <v>250627</v>
      </c>
      <c r="P3690">
        <v>1598</v>
      </c>
    </row>
    <row r="3691" spans="1:16" x14ac:dyDescent="0.25">
      <c r="A3691" t="s">
        <v>3296</v>
      </c>
      <c r="B3691" t="s">
        <v>2931</v>
      </c>
      <c r="C3691">
        <v>13795</v>
      </c>
      <c r="D3691" t="str">
        <f>"286         "</f>
        <v xml:space="preserve">286         </v>
      </c>
      <c r="E3691" t="s">
        <v>2447</v>
      </c>
      <c r="F3691" t="s">
        <v>2448</v>
      </c>
      <c r="G3691">
        <v>888.29</v>
      </c>
      <c r="H3691">
        <v>251012</v>
      </c>
      <c r="I3691">
        <v>4600</v>
      </c>
      <c r="J3691" t="s">
        <v>278</v>
      </c>
      <c r="K3691">
        <v>888.29</v>
      </c>
      <c r="L3691">
        <v>180.49</v>
      </c>
      <c r="M3691">
        <v>17951</v>
      </c>
      <c r="N3691" t="s">
        <v>207</v>
      </c>
      <c r="O3691">
        <v>251020</v>
      </c>
      <c r="P3691">
        <v>707.8</v>
      </c>
    </row>
    <row r="3692" spans="1:16" x14ac:dyDescent="0.25">
      <c r="A3692" t="s">
        <v>3296</v>
      </c>
      <c r="B3692" t="s">
        <v>2931</v>
      </c>
      <c r="C3692">
        <v>12003</v>
      </c>
      <c r="D3692" t="str">
        <f>"3096549     "</f>
        <v xml:space="preserve">3096549     </v>
      </c>
      <c r="E3692" t="s">
        <v>1211</v>
      </c>
      <c r="F3692" t="s">
        <v>1212</v>
      </c>
      <c r="G3692">
        <v>740.76</v>
      </c>
      <c r="H3692">
        <v>250901</v>
      </c>
      <c r="I3692">
        <v>4400</v>
      </c>
      <c r="J3692" t="s">
        <v>162</v>
      </c>
      <c r="K3692">
        <v>740.76</v>
      </c>
      <c r="L3692">
        <v>150.51</v>
      </c>
      <c r="M3692">
        <v>49501</v>
      </c>
      <c r="N3692" t="s">
        <v>110</v>
      </c>
      <c r="O3692">
        <v>250915</v>
      </c>
      <c r="P3692">
        <v>590.25</v>
      </c>
    </row>
    <row r="3693" spans="1:16" x14ac:dyDescent="0.25">
      <c r="A3693" t="s">
        <v>3296</v>
      </c>
      <c r="B3693" t="s">
        <v>2931</v>
      </c>
      <c r="C3693">
        <v>2189</v>
      </c>
      <c r="D3693" t="str">
        <f>"3091529     "</f>
        <v xml:space="preserve">3091529     </v>
      </c>
      <c r="E3693" t="s">
        <v>1211</v>
      </c>
      <c r="F3693" t="s">
        <v>1212</v>
      </c>
      <c r="G3693">
        <v>659.5</v>
      </c>
      <c r="H3693">
        <v>250210</v>
      </c>
      <c r="I3693">
        <v>4580</v>
      </c>
      <c r="J3693" t="s">
        <v>126</v>
      </c>
      <c r="K3693">
        <v>659.5</v>
      </c>
      <c r="L3693">
        <v>134</v>
      </c>
      <c r="M3693">
        <v>46555</v>
      </c>
      <c r="N3693" t="s">
        <v>103</v>
      </c>
      <c r="O3693">
        <v>250221</v>
      </c>
      <c r="P3693">
        <v>525.5</v>
      </c>
    </row>
    <row r="3694" spans="1:16" x14ac:dyDescent="0.25">
      <c r="A3694" t="s">
        <v>3296</v>
      </c>
      <c r="B3694" t="s">
        <v>2931</v>
      </c>
      <c r="C3694">
        <v>4834</v>
      </c>
      <c r="D3694" t="str">
        <f>"3092974     "</f>
        <v xml:space="preserve">3092974     </v>
      </c>
      <c r="E3694" t="s">
        <v>1211</v>
      </c>
      <c r="F3694" t="s">
        <v>1212</v>
      </c>
      <c r="G3694">
        <v>940.79</v>
      </c>
      <c r="H3694">
        <v>250407</v>
      </c>
      <c r="I3694">
        <v>4580</v>
      </c>
      <c r="J3694" t="s">
        <v>126</v>
      </c>
      <c r="K3694">
        <v>940.79</v>
      </c>
      <c r="L3694">
        <v>191.16</v>
      </c>
      <c r="M3694">
        <v>46555</v>
      </c>
      <c r="N3694" t="s">
        <v>103</v>
      </c>
      <c r="O3694">
        <v>250415</v>
      </c>
      <c r="P3694">
        <v>749.63</v>
      </c>
    </row>
    <row r="3695" spans="1:16" x14ac:dyDescent="0.25">
      <c r="A3695" t="s">
        <v>3296</v>
      </c>
      <c r="B3695" t="s">
        <v>2931</v>
      </c>
      <c r="C3695">
        <v>5791</v>
      </c>
      <c r="D3695" t="str">
        <f>"3093387     "</f>
        <v xml:space="preserve">3093387     </v>
      </c>
      <c r="E3695" t="s">
        <v>1211</v>
      </c>
      <c r="F3695" t="s">
        <v>1212</v>
      </c>
      <c r="G3695">
        <v>506.91</v>
      </c>
      <c r="H3695">
        <v>250424</v>
      </c>
      <c r="I3695">
        <v>4580</v>
      </c>
      <c r="J3695" t="s">
        <v>126</v>
      </c>
      <c r="K3695">
        <v>506.91</v>
      </c>
      <c r="L3695">
        <v>103</v>
      </c>
      <c r="M3695">
        <v>47522</v>
      </c>
      <c r="N3695" t="s">
        <v>106</v>
      </c>
      <c r="O3695">
        <v>250505</v>
      </c>
      <c r="P3695">
        <v>403.91</v>
      </c>
    </row>
    <row r="3696" spans="1:16" x14ac:dyDescent="0.25">
      <c r="A3696" t="s">
        <v>3296</v>
      </c>
      <c r="B3696" t="s">
        <v>2931</v>
      </c>
      <c r="C3696">
        <v>17145</v>
      </c>
      <c r="D3696" t="str">
        <f>"3099706     "</f>
        <v xml:space="preserve">3099706     </v>
      </c>
      <c r="E3696" t="s">
        <v>1211</v>
      </c>
      <c r="F3696" t="s">
        <v>1212</v>
      </c>
      <c r="G3696">
        <v>551.20000000000005</v>
      </c>
      <c r="H3696">
        <v>251212</v>
      </c>
      <c r="I3696">
        <v>4580</v>
      </c>
      <c r="J3696" t="s">
        <v>126</v>
      </c>
      <c r="K3696">
        <v>675.63</v>
      </c>
      <c r="L3696">
        <v>112</v>
      </c>
      <c r="M3696">
        <v>49501</v>
      </c>
      <c r="N3696" t="s">
        <v>110</v>
      </c>
      <c r="O3696">
        <v>251217</v>
      </c>
      <c r="P3696">
        <v>439.2</v>
      </c>
    </row>
    <row r="3697" spans="1:16" x14ac:dyDescent="0.25">
      <c r="A3697" t="s">
        <v>3296</v>
      </c>
      <c r="B3697" t="s">
        <v>2931</v>
      </c>
      <c r="C3697">
        <v>3287</v>
      </c>
      <c r="D3697" t="str">
        <f>"3092156     "</f>
        <v xml:space="preserve">3092156     </v>
      </c>
      <c r="E3697" t="s">
        <v>1211</v>
      </c>
      <c r="F3697" t="s">
        <v>1212</v>
      </c>
      <c r="G3697">
        <v>628.64</v>
      </c>
      <c r="H3697">
        <v>250305</v>
      </c>
      <c r="I3697">
        <v>4590</v>
      </c>
      <c r="J3697" t="s">
        <v>388</v>
      </c>
      <c r="K3697">
        <v>628.64</v>
      </c>
      <c r="L3697">
        <v>127.73</v>
      </c>
      <c r="M3697">
        <v>49501</v>
      </c>
      <c r="N3697" t="s">
        <v>110</v>
      </c>
      <c r="O3697">
        <v>250318</v>
      </c>
      <c r="P3697">
        <v>500.91</v>
      </c>
    </row>
    <row r="3698" spans="1:16" x14ac:dyDescent="0.25">
      <c r="A3698" t="s">
        <v>3296</v>
      </c>
      <c r="B3698" t="s">
        <v>2931</v>
      </c>
      <c r="C3698">
        <v>5788</v>
      </c>
      <c r="D3698" t="str">
        <f>"3093341     "</f>
        <v xml:space="preserve">3093341     </v>
      </c>
      <c r="E3698" t="s">
        <v>1211</v>
      </c>
      <c r="F3698" t="s">
        <v>1212</v>
      </c>
      <c r="G3698">
        <v>520.65</v>
      </c>
      <c r="H3698">
        <v>250423</v>
      </c>
      <c r="I3698">
        <v>4590</v>
      </c>
      <c r="J3698" t="s">
        <v>388</v>
      </c>
      <c r="K3698">
        <v>520.65</v>
      </c>
      <c r="L3698">
        <v>105.79</v>
      </c>
      <c r="M3698">
        <v>49501</v>
      </c>
      <c r="N3698" t="s">
        <v>110</v>
      </c>
      <c r="O3698">
        <v>250505</v>
      </c>
      <c r="P3698">
        <v>414.86</v>
      </c>
    </row>
    <row r="3699" spans="1:16" x14ac:dyDescent="0.25">
      <c r="A3699" t="s">
        <v>3296</v>
      </c>
      <c r="B3699" t="s">
        <v>2931</v>
      </c>
      <c r="C3699">
        <v>6228</v>
      </c>
      <c r="D3699" t="str">
        <f>"3093469     "</f>
        <v xml:space="preserve">3093469     </v>
      </c>
      <c r="E3699" t="s">
        <v>1211</v>
      </c>
      <c r="F3699" t="s">
        <v>1212</v>
      </c>
      <c r="G3699">
        <v>301.94</v>
      </c>
      <c r="H3699">
        <v>250428</v>
      </c>
      <c r="I3699">
        <v>4590</v>
      </c>
      <c r="J3699" t="s">
        <v>388</v>
      </c>
      <c r="K3699">
        <v>301.94</v>
      </c>
      <c r="L3699">
        <v>61.35</v>
      </c>
      <c r="M3699">
        <v>49501</v>
      </c>
      <c r="N3699" t="s">
        <v>110</v>
      </c>
      <c r="O3699">
        <v>250512</v>
      </c>
      <c r="P3699">
        <v>240.59</v>
      </c>
    </row>
    <row r="3700" spans="1:16" x14ac:dyDescent="0.25">
      <c r="A3700" t="s">
        <v>3296</v>
      </c>
      <c r="B3700" t="s">
        <v>2931</v>
      </c>
      <c r="C3700">
        <v>4624</v>
      </c>
      <c r="D3700" t="str">
        <f>"3092875     "</f>
        <v xml:space="preserve">3092875     </v>
      </c>
      <c r="E3700" t="s">
        <v>1211</v>
      </c>
      <c r="F3700" t="s">
        <v>1212</v>
      </c>
      <c r="G3700">
        <v>655.45</v>
      </c>
      <c r="H3700">
        <v>250402</v>
      </c>
      <c r="I3700">
        <v>4600</v>
      </c>
      <c r="J3700" t="s">
        <v>278</v>
      </c>
      <c r="K3700">
        <v>655.45</v>
      </c>
      <c r="L3700">
        <v>133.18</v>
      </c>
      <c r="M3700">
        <v>46555</v>
      </c>
      <c r="N3700" t="s">
        <v>103</v>
      </c>
      <c r="O3700">
        <v>250414</v>
      </c>
      <c r="P3700">
        <v>522.27</v>
      </c>
    </row>
    <row r="3701" spans="1:16" x14ac:dyDescent="0.25">
      <c r="A3701" t="s">
        <v>3296</v>
      </c>
      <c r="B3701" t="s">
        <v>2931</v>
      </c>
      <c r="C3701">
        <v>6244</v>
      </c>
      <c r="D3701" t="str">
        <f>"3093531     "</f>
        <v xml:space="preserve">3093531     </v>
      </c>
      <c r="E3701" t="s">
        <v>1211</v>
      </c>
      <c r="F3701" t="s">
        <v>1212</v>
      </c>
      <c r="G3701">
        <v>217.74</v>
      </c>
      <c r="H3701">
        <v>250430</v>
      </c>
      <c r="I3701">
        <v>4600</v>
      </c>
      <c r="J3701" t="s">
        <v>278</v>
      </c>
      <c r="K3701">
        <v>217.74</v>
      </c>
      <c r="L3701">
        <v>44.24</v>
      </c>
      <c r="M3701">
        <v>56560</v>
      </c>
      <c r="N3701" t="s">
        <v>52</v>
      </c>
      <c r="O3701">
        <v>250512</v>
      </c>
      <c r="P3701">
        <v>173.5</v>
      </c>
    </row>
    <row r="3702" spans="1:16" x14ac:dyDescent="0.25">
      <c r="A3702" t="s">
        <v>3296</v>
      </c>
      <c r="B3702" t="s">
        <v>2931</v>
      </c>
      <c r="C3702">
        <v>6335</v>
      </c>
      <c r="D3702" t="str">
        <f>"3093671     "</f>
        <v xml:space="preserve">3093671     </v>
      </c>
      <c r="E3702" t="s">
        <v>1211</v>
      </c>
      <c r="F3702" t="s">
        <v>1212</v>
      </c>
      <c r="G3702">
        <v>403.11</v>
      </c>
      <c r="H3702">
        <v>250507</v>
      </c>
      <c r="I3702">
        <v>4600</v>
      </c>
      <c r="J3702" t="s">
        <v>278</v>
      </c>
      <c r="K3702">
        <v>403.11</v>
      </c>
      <c r="L3702">
        <v>81.91</v>
      </c>
      <c r="M3702">
        <v>46555</v>
      </c>
      <c r="N3702" t="s">
        <v>103</v>
      </c>
      <c r="O3702">
        <v>250512</v>
      </c>
      <c r="P3702">
        <v>321.2</v>
      </c>
    </row>
    <row r="3703" spans="1:16" x14ac:dyDescent="0.25">
      <c r="A3703" t="s">
        <v>3296</v>
      </c>
      <c r="B3703" t="s">
        <v>2931</v>
      </c>
      <c r="C3703">
        <v>11164</v>
      </c>
      <c r="D3703" t="str">
        <f>"3096462     "</f>
        <v xml:space="preserve">3096462     </v>
      </c>
      <c r="E3703" t="s">
        <v>1211</v>
      </c>
      <c r="F3703" t="s">
        <v>1212</v>
      </c>
      <c r="G3703">
        <v>1306.9100000000001</v>
      </c>
      <c r="H3703">
        <v>250828</v>
      </c>
      <c r="I3703">
        <v>4600</v>
      </c>
      <c r="J3703" t="s">
        <v>278</v>
      </c>
      <c r="K3703">
        <v>1306.9100000000001</v>
      </c>
      <c r="L3703">
        <v>265.55</v>
      </c>
      <c r="M3703">
        <v>46555</v>
      </c>
      <c r="N3703" t="s">
        <v>103</v>
      </c>
      <c r="O3703">
        <v>250901</v>
      </c>
      <c r="P3703">
        <v>1041.3599999999999</v>
      </c>
    </row>
    <row r="3704" spans="1:16" x14ac:dyDescent="0.25">
      <c r="A3704" t="s">
        <v>3296</v>
      </c>
      <c r="B3704" t="s">
        <v>2931</v>
      </c>
      <c r="C3704">
        <v>13616</v>
      </c>
      <c r="D3704" t="str">
        <f>"3097556     "</f>
        <v xml:space="preserve">3097556     </v>
      </c>
      <c r="E3704" t="s">
        <v>1211</v>
      </c>
      <c r="F3704" t="s">
        <v>1212</v>
      </c>
      <c r="G3704">
        <v>320.29000000000002</v>
      </c>
      <c r="H3704">
        <v>251002</v>
      </c>
      <c r="I3704">
        <v>4600</v>
      </c>
      <c r="J3704" t="s">
        <v>278</v>
      </c>
      <c r="K3704">
        <v>320.29000000000002</v>
      </c>
      <c r="L3704">
        <v>65.08</v>
      </c>
      <c r="M3704">
        <v>46555</v>
      </c>
      <c r="N3704" t="s">
        <v>103</v>
      </c>
      <c r="O3704">
        <v>251013</v>
      </c>
      <c r="P3704">
        <v>255.21</v>
      </c>
    </row>
    <row r="3705" spans="1:16" x14ac:dyDescent="0.25">
      <c r="A3705" t="s">
        <v>3296</v>
      </c>
      <c r="B3705" t="s">
        <v>2931</v>
      </c>
      <c r="C3705">
        <v>15422</v>
      </c>
      <c r="D3705" t="str">
        <f>"3098804     "</f>
        <v xml:space="preserve">3098804     </v>
      </c>
      <c r="E3705" t="s">
        <v>1211</v>
      </c>
      <c r="F3705" t="s">
        <v>1212</v>
      </c>
      <c r="G3705">
        <v>2252.17</v>
      </c>
      <c r="H3705">
        <v>251113</v>
      </c>
      <c r="I3705">
        <v>4600</v>
      </c>
      <c r="J3705" t="s">
        <v>278</v>
      </c>
      <c r="K3705">
        <v>2252.17</v>
      </c>
      <c r="L3705">
        <v>457.61</v>
      </c>
      <c r="M3705">
        <v>46555</v>
      </c>
      <c r="N3705" t="s">
        <v>103</v>
      </c>
      <c r="O3705">
        <v>251120</v>
      </c>
      <c r="P3705">
        <v>1794.56</v>
      </c>
    </row>
    <row r="3706" spans="1:16" x14ac:dyDescent="0.25">
      <c r="A3706" t="s">
        <v>3296</v>
      </c>
      <c r="B3706" t="s">
        <v>2931</v>
      </c>
      <c r="C3706">
        <v>16338</v>
      </c>
      <c r="D3706" t="str">
        <f>"3099066     "</f>
        <v xml:space="preserve">3099066     </v>
      </c>
      <c r="E3706" t="s">
        <v>1211</v>
      </c>
      <c r="F3706" t="s">
        <v>1212</v>
      </c>
      <c r="G3706">
        <v>166.61</v>
      </c>
      <c r="H3706">
        <v>251121</v>
      </c>
      <c r="I3706">
        <v>4600</v>
      </c>
      <c r="J3706" t="s">
        <v>278</v>
      </c>
      <c r="K3706">
        <v>1116.75</v>
      </c>
      <c r="L3706">
        <v>33.85</v>
      </c>
      <c r="M3706">
        <v>17807</v>
      </c>
      <c r="N3706" t="s">
        <v>23</v>
      </c>
      <c r="O3706">
        <v>251208</v>
      </c>
      <c r="P3706">
        <v>132.76</v>
      </c>
    </row>
    <row r="3707" spans="1:16" x14ac:dyDescent="0.25">
      <c r="A3707" t="s">
        <v>3296</v>
      </c>
      <c r="B3707" t="s">
        <v>2931</v>
      </c>
      <c r="C3707">
        <v>17145</v>
      </c>
      <c r="D3707" t="str">
        <f>"3099706     "</f>
        <v xml:space="preserve">3099706     </v>
      </c>
      <c r="E3707" t="s">
        <v>1211</v>
      </c>
      <c r="F3707" t="s">
        <v>1212</v>
      </c>
      <c r="G3707">
        <v>124.43</v>
      </c>
      <c r="H3707">
        <v>251212</v>
      </c>
      <c r="I3707">
        <v>4600</v>
      </c>
      <c r="J3707" t="s">
        <v>278</v>
      </c>
      <c r="K3707">
        <v>675.63</v>
      </c>
      <c r="L3707">
        <v>25.28</v>
      </c>
      <c r="M3707">
        <v>46555</v>
      </c>
      <c r="N3707" t="s">
        <v>103</v>
      </c>
      <c r="O3707">
        <v>251217</v>
      </c>
      <c r="P3707">
        <v>99.15</v>
      </c>
    </row>
    <row r="3708" spans="1:16" x14ac:dyDescent="0.25">
      <c r="A3708" t="s">
        <v>3296</v>
      </c>
      <c r="B3708" t="s">
        <v>2931</v>
      </c>
      <c r="C3708">
        <v>16338</v>
      </c>
      <c r="D3708" t="str">
        <f>"3099066     "</f>
        <v xml:space="preserve">3099066     </v>
      </c>
      <c r="E3708" t="s">
        <v>1211</v>
      </c>
      <c r="F3708" t="s">
        <v>1212</v>
      </c>
      <c r="G3708">
        <v>950.14</v>
      </c>
      <c r="H3708">
        <v>251121</v>
      </c>
      <c r="I3708">
        <v>4940</v>
      </c>
      <c r="J3708" t="s">
        <v>250</v>
      </c>
      <c r="K3708">
        <v>1116.75</v>
      </c>
      <c r="L3708">
        <v>193.06</v>
      </c>
      <c r="M3708">
        <v>17951</v>
      </c>
      <c r="N3708" t="s">
        <v>207</v>
      </c>
      <c r="O3708">
        <v>251208</v>
      </c>
      <c r="P3708">
        <v>757.08</v>
      </c>
    </row>
    <row r="3709" spans="1:16" x14ac:dyDescent="0.25">
      <c r="A3709" t="s">
        <v>3296</v>
      </c>
      <c r="B3709" t="s">
        <v>2931</v>
      </c>
      <c r="C3709">
        <v>3425</v>
      </c>
      <c r="D3709" t="str">
        <f>"53092       "</f>
        <v xml:space="preserve">53092       </v>
      </c>
      <c r="E3709" t="s">
        <v>3303</v>
      </c>
      <c r="F3709" t="s">
        <v>3304</v>
      </c>
      <c r="G3709">
        <v>394.7</v>
      </c>
      <c r="H3709">
        <v>250307</v>
      </c>
      <c r="I3709">
        <v>4590</v>
      </c>
      <c r="J3709" t="s">
        <v>388</v>
      </c>
      <c r="K3709">
        <v>394.7</v>
      </c>
      <c r="L3709">
        <v>80.2</v>
      </c>
      <c r="M3709">
        <v>56562</v>
      </c>
      <c r="N3709" t="s">
        <v>54</v>
      </c>
      <c r="O3709">
        <v>250321</v>
      </c>
      <c r="P3709">
        <v>314.5</v>
      </c>
    </row>
    <row r="3710" spans="1:16" x14ac:dyDescent="0.25">
      <c r="A3710" t="s">
        <v>3296</v>
      </c>
      <c r="B3710" t="s">
        <v>2931</v>
      </c>
      <c r="C3710">
        <v>1035</v>
      </c>
      <c r="D3710" t="str">
        <f>"96853       "</f>
        <v xml:space="preserve">96853       </v>
      </c>
      <c r="E3710" t="s">
        <v>829</v>
      </c>
      <c r="F3710" t="s">
        <v>830</v>
      </c>
      <c r="G3710">
        <v>64.010000000000005</v>
      </c>
      <c r="H3710">
        <v>250131</v>
      </c>
      <c r="I3710">
        <v>4600</v>
      </c>
      <c r="J3710" t="s">
        <v>278</v>
      </c>
      <c r="K3710">
        <v>64.010000000000005</v>
      </c>
      <c r="L3710">
        <v>13.01</v>
      </c>
      <c r="M3710">
        <v>17807</v>
      </c>
      <c r="N3710" t="s">
        <v>23</v>
      </c>
      <c r="O3710">
        <v>250203</v>
      </c>
      <c r="P3710">
        <v>51</v>
      </c>
    </row>
    <row r="3711" spans="1:16" x14ac:dyDescent="0.25">
      <c r="A3711" t="s">
        <v>3296</v>
      </c>
      <c r="B3711" t="s">
        <v>2931</v>
      </c>
      <c r="C3711">
        <v>1036</v>
      </c>
      <c r="D3711" t="str">
        <f>"96867       "</f>
        <v xml:space="preserve">96867       </v>
      </c>
      <c r="E3711" t="s">
        <v>829</v>
      </c>
      <c r="F3711" t="s">
        <v>830</v>
      </c>
      <c r="G3711">
        <v>81.58</v>
      </c>
      <c r="H3711">
        <v>250131</v>
      </c>
      <c r="I3711">
        <v>4600</v>
      </c>
      <c r="J3711" t="s">
        <v>278</v>
      </c>
      <c r="K3711">
        <v>81.58</v>
      </c>
      <c r="L3711">
        <v>16.579999999999998</v>
      </c>
      <c r="M3711">
        <v>17807</v>
      </c>
      <c r="N3711" t="s">
        <v>23</v>
      </c>
      <c r="O3711">
        <v>250203</v>
      </c>
      <c r="P3711">
        <v>65</v>
      </c>
    </row>
    <row r="3712" spans="1:16" x14ac:dyDescent="0.25">
      <c r="A3712" t="s">
        <v>3296</v>
      </c>
      <c r="B3712" t="s">
        <v>2931</v>
      </c>
      <c r="C3712">
        <v>3509</v>
      </c>
      <c r="D3712" t="str">
        <f>"30251729    "</f>
        <v xml:space="preserve">30251729    </v>
      </c>
      <c r="E3712" t="s">
        <v>1447</v>
      </c>
      <c r="F3712" t="s">
        <v>1448</v>
      </c>
      <c r="G3712">
        <v>903.6</v>
      </c>
      <c r="H3712">
        <v>250310</v>
      </c>
      <c r="I3712">
        <v>4580</v>
      </c>
      <c r="J3712" t="s">
        <v>126</v>
      </c>
      <c r="K3712">
        <v>903.6</v>
      </c>
      <c r="L3712">
        <v>183.6</v>
      </c>
      <c r="M3712">
        <v>66756</v>
      </c>
      <c r="N3712" t="s">
        <v>120</v>
      </c>
      <c r="O3712">
        <v>250325</v>
      </c>
      <c r="P3712">
        <v>720</v>
      </c>
    </row>
    <row r="3713" spans="1:16" x14ac:dyDescent="0.25">
      <c r="A3713" t="s">
        <v>3296</v>
      </c>
      <c r="B3713" t="s">
        <v>2931</v>
      </c>
      <c r="C3713">
        <v>6056</v>
      </c>
      <c r="D3713" t="str">
        <f>"2502000257  "</f>
        <v xml:space="preserve">2502000257  </v>
      </c>
      <c r="E3713" t="s">
        <v>1837</v>
      </c>
      <c r="F3713" t="s">
        <v>1838</v>
      </c>
      <c r="G3713">
        <v>685.99</v>
      </c>
      <c r="H3713">
        <v>250429</v>
      </c>
      <c r="I3713">
        <v>4600</v>
      </c>
      <c r="J3713" t="s">
        <v>278</v>
      </c>
      <c r="K3713">
        <v>685.99</v>
      </c>
      <c r="L3713">
        <v>139.38</v>
      </c>
      <c r="M3713">
        <v>17526</v>
      </c>
      <c r="N3713" t="s">
        <v>141</v>
      </c>
      <c r="O3713">
        <v>250508</v>
      </c>
      <c r="P3713">
        <v>546.61</v>
      </c>
    </row>
    <row r="3714" spans="1:16" x14ac:dyDescent="0.25">
      <c r="A3714" t="s">
        <v>3296</v>
      </c>
      <c r="B3714" t="s">
        <v>2931</v>
      </c>
      <c r="C3714">
        <v>6059</v>
      </c>
      <c r="D3714" t="str">
        <f>"2502000263  "</f>
        <v xml:space="preserve">2502000263  </v>
      </c>
      <c r="E3714" t="s">
        <v>1837</v>
      </c>
      <c r="F3714" t="s">
        <v>1838</v>
      </c>
      <c r="G3714">
        <v>225.4</v>
      </c>
      <c r="H3714">
        <v>250430</v>
      </c>
      <c r="I3714">
        <v>4600</v>
      </c>
      <c r="J3714" t="s">
        <v>278</v>
      </c>
      <c r="K3714">
        <v>225.4</v>
      </c>
      <c r="L3714">
        <v>45.8</v>
      </c>
      <c r="M3714">
        <v>17526</v>
      </c>
      <c r="N3714" t="s">
        <v>141</v>
      </c>
      <c r="O3714">
        <v>250508</v>
      </c>
      <c r="P3714">
        <v>179.6</v>
      </c>
    </row>
    <row r="3715" spans="1:16" x14ac:dyDescent="0.25">
      <c r="A3715" t="s">
        <v>3296</v>
      </c>
      <c r="B3715" t="s">
        <v>2931</v>
      </c>
      <c r="C3715">
        <v>18538</v>
      </c>
      <c r="D3715" t="str">
        <f>"8032        "</f>
        <v xml:space="preserve">8032        </v>
      </c>
      <c r="E3715" t="s">
        <v>2808</v>
      </c>
      <c r="F3715" t="s">
        <v>2809</v>
      </c>
      <c r="G3715">
        <v>920.42</v>
      </c>
      <c r="H3715">
        <v>251231</v>
      </c>
      <c r="I3715">
        <v>4400</v>
      </c>
      <c r="J3715" t="s">
        <v>162</v>
      </c>
      <c r="K3715">
        <v>920.42</v>
      </c>
      <c r="L3715">
        <v>187.02</v>
      </c>
      <c r="M3715">
        <v>49501</v>
      </c>
      <c r="N3715" t="s">
        <v>110</v>
      </c>
      <c r="O3715">
        <v>260115</v>
      </c>
      <c r="P3715">
        <v>733.4</v>
      </c>
    </row>
    <row r="3716" spans="1:16" x14ac:dyDescent="0.25">
      <c r="A3716" t="s">
        <v>3296</v>
      </c>
      <c r="B3716" t="s">
        <v>2931</v>
      </c>
      <c r="C3716">
        <v>226</v>
      </c>
      <c r="D3716" t="str">
        <f>"3109356     "</f>
        <v xml:space="preserve">3109356     </v>
      </c>
      <c r="E3716" t="s">
        <v>356</v>
      </c>
      <c r="F3716" t="s">
        <v>357</v>
      </c>
      <c r="G3716">
        <v>267.82</v>
      </c>
      <c r="H3716">
        <v>250107</v>
      </c>
      <c r="I3716">
        <v>4600</v>
      </c>
      <c r="J3716" t="s">
        <v>278</v>
      </c>
      <c r="K3716">
        <v>267.82</v>
      </c>
      <c r="L3716">
        <v>54.42</v>
      </c>
      <c r="M3716">
        <v>66722</v>
      </c>
      <c r="N3716" t="s">
        <v>118</v>
      </c>
      <c r="O3716">
        <v>250120</v>
      </c>
      <c r="P3716">
        <v>213.4</v>
      </c>
    </row>
    <row r="3717" spans="1:16" x14ac:dyDescent="0.25">
      <c r="A3717" t="s">
        <v>3296</v>
      </c>
      <c r="B3717" t="s">
        <v>2931</v>
      </c>
      <c r="C3717">
        <v>359</v>
      </c>
      <c r="D3717" t="str">
        <f>"3109531     "</f>
        <v xml:space="preserve">3109531     </v>
      </c>
      <c r="E3717" t="s">
        <v>356</v>
      </c>
      <c r="F3717" t="s">
        <v>357</v>
      </c>
      <c r="G3717">
        <v>168.3</v>
      </c>
      <c r="H3717">
        <v>250114</v>
      </c>
      <c r="I3717">
        <v>4600</v>
      </c>
      <c r="J3717" t="s">
        <v>278</v>
      </c>
      <c r="K3717">
        <v>168.3</v>
      </c>
      <c r="L3717">
        <v>34.200000000000003</v>
      </c>
      <c r="M3717">
        <v>66754</v>
      </c>
      <c r="N3717" t="s">
        <v>119</v>
      </c>
      <c r="O3717">
        <v>250122</v>
      </c>
      <c r="P3717">
        <v>134.1</v>
      </c>
    </row>
    <row r="3718" spans="1:16" x14ac:dyDescent="0.25">
      <c r="A3718" t="s">
        <v>3296</v>
      </c>
      <c r="B3718" t="s">
        <v>2931</v>
      </c>
      <c r="C3718">
        <v>524</v>
      </c>
      <c r="D3718" t="str">
        <f>"3109717     "</f>
        <v xml:space="preserve">3109717     </v>
      </c>
      <c r="E3718" t="s">
        <v>356</v>
      </c>
      <c r="F3718" t="s">
        <v>357</v>
      </c>
      <c r="G3718">
        <v>252.57</v>
      </c>
      <c r="H3718">
        <v>250121</v>
      </c>
      <c r="I3718">
        <v>4600</v>
      </c>
      <c r="J3718" t="s">
        <v>278</v>
      </c>
      <c r="K3718">
        <v>252.57</v>
      </c>
      <c r="L3718">
        <v>51.32</v>
      </c>
      <c r="M3718">
        <v>65422</v>
      </c>
      <c r="N3718" t="s">
        <v>117</v>
      </c>
      <c r="O3718">
        <v>250123</v>
      </c>
      <c r="P3718">
        <v>201.25</v>
      </c>
    </row>
    <row r="3719" spans="1:16" x14ac:dyDescent="0.25">
      <c r="A3719" t="s">
        <v>3296</v>
      </c>
      <c r="B3719" t="s">
        <v>2931</v>
      </c>
      <c r="C3719">
        <v>997</v>
      </c>
      <c r="D3719" t="str">
        <f>"3109716     "</f>
        <v xml:space="preserve">3109716     </v>
      </c>
      <c r="E3719" t="s">
        <v>356</v>
      </c>
      <c r="F3719" t="s">
        <v>357</v>
      </c>
      <c r="G3719">
        <v>288.64999999999998</v>
      </c>
      <c r="H3719">
        <v>250121</v>
      </c>
      <c r="I3719">
        <v>4600</v>
      </c>
      <c r="J3719" t="s">
        <v>278</v>
      </c>
      <c r="K3719">
        <v>288.64999999999998</v>
      </c>
      <c r="L3719">
        <v>58.65</v>
      </c>
      <c r="M3719">
        <v>66722</v>
      </c>
      <c r="N3719" t="s">
        <v>118</v>
      </c>
      <c r="O3719">
        <v>250203</v>
      </c>
      <c r="P3719">
        <v>230</v>
      </c>
    </row>
    <row r="3720" spans="1:16" x14ac:dyDescent="0.25">
      <c r="A3720" t="s">
        <v>3296</v>
      </c>
      <c r="B3720" t="s">
        <v>2931</v>
      </c>
      <c r="C3720">
        <v>1362</v>
      </c>
      <c r="D3720" t="str">
        <f>"3110103     "</f>
        <v xml:space="preserve">3110103     </v>
      </c>
      <c r="E3720" t="s">
        <v>356</v>
      </c>
      <c r="F3720" t="s">
        <v>357</v>
      </c>
      <c r="G3720">
        <v>795.87</v>
      </c>
      <c r="H3720">
        <v>250204</v>
      </c>
      <c r="I3720">
        <v>4600</v>
      </c>
      <c r="J3720" t="s">
        <v>278</v>
      </c>
      <c r="K3720">
        <v>795.87</v>
      </c>
      <c r="L3720">
        <v>161.71</v>
      </c>
      <c r="M3720">
        <v>66754</v>
      </c>
      <c r="N3720" t="s">
        <v>119</v>
      </c>
      <c r="O3720">
        <v>250207</v>
      </c>
      <c r="P3720">
        <v>634.16</v>
      </c>
    </row>
    <row r="3721" spans="1:16" x14ac:dyDescent="0.25">
      <c r="A3721" t="s">
        <v>3296</v>
      </c>
      <c r="B3721" t="s">
        <v>2931</v>
      </c>
      <c r="C3721">
        <v>1437</v>
      </c>
      <c r="D3721" t="str">
        <f>"3110104     "</f>
        <v xml:space="preserve">3110104     </v>
      </c>
      <c r="E3721" t="s">
        <v>356</v>
      </c>
      <c r="F3721" t="s">
        <v>357</v>
      </c>
      <c r="G3721">
        <v>731.85</v>
      </c>
      <c r="H3721">
        <v>250204</v>
      </c>
      <c r="I3721">
        <v>4600</v>
      </c>
      <c r="J3721" t="s">
        <v>278</v>
      </c>
      <c r="K3721">
        <v>731.85</v>
      </c>
      <c r="L3721">
        <v>148.69999999999999</v>
      </c>
      <c r="M3721">
        <v>66722</v>
      </c>
      <c r="N3721" t="s">
        <v>118</v>
      </c>
      <c r="O3721">
        <v>250210</v>
      </c>
      <c r="P3721">
        <v>583.15</v>
      </c>
    </row>
    <row r="3722" spans="1:16" x14ac:dyDescent="0.25">
      <c r="A3722" t="s">
        <v>3296</v>
      </c>
      <c r="B3722" t="s">
        <v>2931</v>
      </c>
      <c r="C3722">
        <v>1823</v>
      </c>
      <c r="D3722" t="str">
        <f>"3110310     "</f>
        <v xml:space="preserve">3110310     </v>
      </c>
      <c r="E3722" t="s">
        <v>356</v>
      </c>
      <c r="F3722" t="s">
        <v>357</v>
      </c>
      <c r="G3722">
        <v>181.22</v>
      </c>
      <c r="H3722">
        <v>250211</v>
      </c>
      <c r="I3722">
        <v>4600</v>
      </c>
      <c r="J3722" t="s">
        <v>278</v>
      </c>
      <c r="K3722">
        <v>181.22</v>
      </c>
      <c r="L3722">
        <v>36.82</v>
      </c>
      <c r="M3722">
        <v>66754</v>
      </c>
      <c r="N3722" t="s">
        <v>119</v>
      </c>
      <c r="O3722">
        <v>250214</v>
      </c>
      <c r="P3722">
        <v>144.4</v>
      </c>
    </row>
    <row r="3723" spans="1:16" x14ac:dyDescent="0.25">
      <c r="A3723" t="s">
        <v>3296</v>
      </c>
      <c r="B3723" t="s">
        <v>2931</v>
      </c>
      <c r="C3723">
        <v>1857</v>
      </c>
      <c r="D3723" t="str">
        <f>"3110309     "</f>
        <v xml:space="preserve">3110309     </v>
      </c>
      <c r="E3723" t="s">
        <v>356</v>
      </c>
      <c r="F3723" t="s">
        <v>357</v>
      </c>
      <c r="G3723">
        <v>140.43</v>
      </c>
      <c r="H3723">
        <v>250211</v>
      </c>
      <c r="I3723">
        <v>4600</v>
      </c>
      <c r="J3723" t="s">
        <v>278</v>
      </c>
      <c r="K3723">
        <v>140.43</v>
      </c>
      <c r="L3723">
        <v>28.53</v>
      </c>
      <c r="M3723">
        <v>65422</v>
      </c>
      <c r="N3723" t="s">
        <v>117</v>
      </c>
      <c r="O3723">
        <v>250214</v>
      </c>
      <c r="P3723">
        <v>111.9</v>
      </c>
    </row>
    <row r="3724" spans="1:16" x14ac:dyDescent="0.25">
      <c r="A3724" t="s">
        <v>3296</v>
      </c>
      <c r="B3724" t="s">
        <v>2931</v>
      </c>
      <c r="C3724">
        <v>2670</v>
      </c>
      <c r="D3724" t="str">
        <f>"3110655     "</f>
        <v xml:space="preserve">3110655     </v>
      </c>
      <c r="E3724" t="s">
        <v>356</v>
      </c>
      <c r="F3724" t="s">
        <v>357</v>
      </c>
      <c r="G3724">
        <v>489.63</v>
      </c>
      <c r="H3724">
        <v>250225</v>
      </c>
      <c r="I3724">
        <v>4600</v>
      </c>
      <c r="J3724" t="s">
        <v>278</v>
      </c>
      <c r="K3724">
        <v>489.63</v>
      </c>
      <c r="L3724">
        <v>99.49</v>
      </c>
      <c r="M3724">
        <v>65422</v>
      </c>
      <c r="N3724" t="s">
        <v>117</v>
      </c>
      <c r="O3724">
        <v>250310</v>
      </c>
      <c r="P3724">
        <v>390.14</v>
      </c>
    </row>
    <row r="3725" spans="1:16" x14ac:dyDescent="0.25">
      <c r="A3725" t="s">
        <v>3296</v>
      </c>
      <c r="B3725" t="s">
        <v>2931</v>
      </c>
      <c r="C3725">
        <v>2686</v>
      </c>
      <c r="D3725" t="str">
        <f>"3110653     "</f>
        <v xml:space="preserve">3110653     </v>
      </c>
      <c r="E3725" t="s">
        <v>356</v>
      </c>
      <c r="F3725" t="s">
        <v>357</v>
      </c>
      <c r="G3725">
        <v>246.58</v>
      </c>
      <c r="H3725">
        <v>250225</v>
      </c>
      <c r="I3725">
        <v>4600</v>
      </c>
      <c r="J3725" t="s">
        <v>278</v>
      </c>
      <c r="K3725">
        <v>246.58</v>
      </c>
      <c r="L3725">
        <v>50.1</v>
      </c>
      <c r="M3725">
        <v>66754</v>
      </c>
      <c r="N3725" t="s">
        <v>119</v>
      </c>
      <c r="O3725">
        <v>250311</v>
      </c>
      <c r="P3725">
        <v>196.48</v>
      </c>
    </row>
    <row r="3726" spans="1:16" x14ac:dyDescent="0.25">
      <c r="A3726" t="s">
        <v>3296</v>
      </c>
      <c r="B3726" t="s">
        <v>2931</v>
      </c>
      <c r="C3726">
        <v>2696</v>
      </c>
      <c r="D3726" t="str">
        <f>"3110654     "</f>
        <v xml:space="preserve">3110654     </v>
      </c>
      <c r="E3726" t="s">
        <v>356</v>
      </c>
      <c r="F3726" t="s">
        <v>357</v>
      </c>
      <c r="G3726">
        <v>375.12</v>
      </c>
      <c r="H3726">
        <v>250225</v>
      </c>
      <c r="I3726">
        <v>4600</v>
      </c>
      <c r="J3726" t="s">
        <v>278</v>
      </c>
      <c r="K3726">
        <v>375.12</v>
      </c>
      <c r="L3726">
        <v>76.22</v>
      </c>
      <c r="M3726">
        <v>66722</v>
      </c>
      <c r="N3726" t="s">
        <v>118</v>
      </c>
      <c r="O3726">
        <v>250311</v>
      </c>
      <c r="P3726">
        <v>298.89999999999998</v>
      </c>
    </row>
    <row r="3727" spans="1:16" x14ac:dyDescent="0.25">
      <c r="A3727" t="s">
        <v>3296</v>
      </c>
      <c r="B3727" t="s">
        <v>2931</v>
      </c>
      <c r="C3727">
        <v>3222</v>
      </c>
      <c r="D3727" t="str">
        <f>"3110884     "</f>
        <v xml:space="preserve">3110884     </v>
      </c>
      <c r="E3727" t="s">
        <v>356</v>
      </c>
      <c r="F3727" t="s">
        <v>357</v>
      </c>
      <c r="G3727">
        <v>719.33</v>
      </c>
      <c r="H3727">
        <v>250304</v>
      </c>
      <c r="I3727">
        <v>4600</v>
      </c>
      <c r="J3727" t="s">
        <v>278</v>
      </c>
      <c r="K3727">
        <v>719.33</v>
      </c>
      <c r="L3727">
        <v>146.16</v>
      </c>
      <c r="M3727">
        <v>65422</v>
      </c>
      <c r="N3727" t="s">
        <v>117</v>
      </c>
      <c r="O3727">
        <v>250317</v>
      </c>
      <c r="P3727">
        <v>573.16999999999996</v>
      </c>
    </row>
    <row r="3728" spans="1:16" x14ac:dyDescent="0.25">
      <c r="A3728" t="s">
        <v>3296</v>
      </c>
      <c r="B3728" t="s">
        <v>2931</v>
      </c>
      <c r="C3728">
        <v>3224</v>
      </c>
      <c r="D3728" t="str">
        <f>"3110883     "</f>
        <v xml:space="preserve">3110883     </v>
      </c>
      <c r="E3728" t="s">
        <v>356</v>
      </c>
      <c r="F3728" t="s">
        <v>357</v>
      </c>
      <c r="G3728">
        <v>101.03</v>
      </c>
      <c r="H3728">
        <v>250304</v>
      </c>
      <c r="I3728">
        <v>4600</v>
      </c>
      <c r="J3728" t="s">
        <v>278</v>
      </c>
      <c r="K3728">
        <v>101.03</v>
      </c>
      <c r="L3728">
        <v>20.53</v>
      </c>
      <c r="M3728">
        <v>66722</v>
      </c>
      <c r="N3728" t="s">
        <v>118</v>
      </c>
      <c r="O3728">
        <v>250317</v>
      </c>
      <c r="P3728">
        <v>80.5</v>
      </c>
    </row>
    <row r="3729" spans="1:16" x14ac:dyDescent="0.25">
      <c r="A3729" t="s">
        <v>3296</v>
      </c>
      <c r="B3729" t="s">
        <v>2931</v>
      </c>
      <c r="C3729">
        <v>3274</v>
      </c>
      <c r="D3729" t="str">
        <f>"3110882     "</f>
        <v xml:space="preserve">3110882     </v>
      </c>
      <c r="E3729" t="s">
        <v>356</v>
      </c>
      <c r="F3729" t="s">
        <v>357</v>
      </c>
      <c r="G3729">
        <v>654.23</v>
      </c>
      <c r="H3729">
        <v>250304</v>
      </c>
      <c r="I3729">
        <v>4600</v>
      </c>
      <c r="J3729" t="s">
        <v>278</v>
      </c>
      <c r="K3729">
        <v>654.23</v>
      </c>
      <c r="L3729">
        <v>132.93</v>
      </c>
      <c r="M3729">
        <v>66754</v>
      </c>
      <c r="N3729" t="s">
        <v>119</v>
      </c>
      <c r="O3729">
        <v>250318</v>
      </c>
      <c r="P3729">
        <v>521.29999999999995</v>
      </c>
    </row>
    <row r="3730" spans="1:16" x14ac:dyDescent="0.25">
      <c r="A3730" t="s">
        <v>3296</v>
      </c>
      <c r="B3730" t="s">
        <v>2931</v>
      </c>
      <c r="C3730">
        <v>3544</v>
      </c>
      <c r="D3730" t="str">
        <f>"3111078     "</f>
        <v xml:space="preserve">3111078     </v>
      </c>
      <c r="E3730" t="s">
        <v>356</v>
      </c>
      <c r="F3730" t="s">
        <v>357</v>
      </c>
      <c r="G3730">
        <v>118.16</v>
      </c>
      <c r="H3730">
        <v>250311</v>
      </c>
      <c r="I3730">
        <v>4600</v>
      </c>
      <c r="J3730" t="s">
        <v>278</v>
      </c>
      <c r="K3730">
        <v>118.16</v>
      </c>
      <c r="L3730">
        <v>24.01</v>
      </c>
      <c r="M3730">
        <v>66754</v>
      </c>
      <c r="N3730" t="s">
        <v>119</v>
      </c>
      <c r="O3730">
        <v>250325</v>
      </c>
      <c r="P3730">
        <v>94.15</v>
      </c>
    </row>
    <row r="3731" spans="1:16" x14ac:dyDescent="0.25">
      <c r="A3731" t="s">
        <v>3296</v>
      </c>
      <c r="B3731" t="s">
        <v>2931</v>
      </c>
      <c r="C3731">
        <v>3823</v>
      </c>
      <c r="D3731" t="str">
        <f>"3111244     "</f>
        <v xml:space="preserve">3111244     </v>
      </c>
      <c r="E3731" t="s">
        <v>356</v>
      </c>
      <c r="F3731" t="s">
        <v>357</v>
      </c>
      <c r="G3731">
        <v>51.96</v>
      </c>
      <c r="H3731">
        <v>250318</v>
      </c>
      <c r="I3731">
        <v>4600</v>
      </c>
      <c r="J3731" t="s">
        <v>278</v>
      </c>
      <c r="K3731">
        <v>93.37</v>
      </c>
      <c r="L3731">
        <v>10.56</v>
      </c>
      <c r="M3731">
        <v>65422</v>
      </c>
      <c r="N3731" t="s">
        <v>117</v>
      </c>
      <c r="O3731">
        <v>250402</v>
      </c>
      <c r="P3731">
        <v>41.4</v>
      </c>
    </row>
    <row r="3732" spans="1:16" x14ac:dyDescent="0.25">
      <c r="A3732" t="s">
        <v>3296</v>
      </c>
      <c r="B3732" t="s">
        <v>2931</v>
      </c>
      <c r="C3732">
        <v>3823</v>
      </c>
      <c r="D3732" t="str">
        <f>"3111244     "</f>
        <v xml:space="preserve">3111244     </v>
      </c>
      <c r="E3732" t="s">
        <v>356</v>
      </c>
      <c r="F3732" t="s">
        <v>357</v>
      </c>
      <c r="G3732">
        <v>41.41</v>
      </c>
      <c r="H3732">
        <v>250318</v>
      </c>
      <c r="I3732">
        <v>4600</v>
      </c>
      <c r="J3732" t="s">
        <v>278</v>
      </c>
      <c r="K3732">
        <v>93.37</v>
      </c>
      <c r="L3732">
        <v>8.41</v>
      </c>
      <c r="M3732">
        <v>66754</v>
      </c>
      <c r="N3732" t="s">
        <v>119</v>
      </c>
      <c r="O3732">
        <v>250402</v>
      </c>
      <c r="P3732">
        <v>33</v>
      </c>
    </row>
    <row r="3733" spans="1:16" x14ac:dyDescent="0.25">
      <c r="A3733" t="s">
        <v>3296</v>
      </c>
      <c r="B3733" t="s">
        <v>2931</v>
      </c>
      <c r="C3733">
        <v>3847</v>
      </c>
      <c r="D3733" t="str">
        <f>"3111245     "</f>
        <v xml:space="preserve">3111245     </v>
      </c>
      <c r="E3733" t="s">
        <v>356</v>
      </c>
      <c r="F3733" t="s">
        <v>357</v>
      </c>
      <c r="G3733">
        <v>141.56</v>
      </c>
      <c r="H3733">
        <v>250318</v>
      </c>
      <c r="I3733">
        <v>4600</v>
      </c>
      <c r="J3733" t="s">
        <v>278</v>
      </c>
      <c r="K3733">
        <v>141.56</v>
      </c>
      <c r="L3733">
        <v>28.76</v>
      </c>
      <c r="M3733">
        <v>66754</v>
      </c>
      <c r="N3733" t="s">
        <v>119</v>
      </c>
      <c r="O3733">
        <v>250402</v>
      </c>
      <c r="P3733">
        <v>112.8</v>
      </c>
    </row>
    <row r="3734" spans="1:16" x14ac:dyDescent="0.25">
      <c r="A3734" t="s">
        <v>3296</v>
      </c>
      <c r="B3734" t="s">
        <v>2931</v>
      </c>
      <c r="C3734">
        <v>4131</v>
      </c>
      <c r="D3734" t="str">
        <f>"3111419     "</f>
        <v xml:space="preserve">3111419     </v>
      </c>
      <c r="E3734" t="s">
        <v>356</v>
      </c>
      <c r="F3734" t="s">
        <v>357</v>
      </c>
      <c r="G3734">
        <v>418.54</v>
      </c>
      <c r="H3734">
        <v>250325</v>
      </c>
      <c r="I3734">
        <v>4600</v>
      </c>
      <c r="J3734" t="s">
        <v>278</v>
      </c>
      <c r="K3734">
        <v>418.54</v>
      </c>
      <c r="L3734">
        <v>85.04</v>
      </c>
      <c r="M3734">
        <v>65422</v>
      </c>
      <c r="N3734" t="s">
        <v>117</v>
      </c>
      <c r="O3734">
        <v>250407</v>
      </c>
      <c r="P3734">
        <v>333.5</v>
      </c>
    </row>
    <row r="3735" spans="1:16" x14ac:dyDescent="0.25">
      <c r="A3735" t="s">
        <v>3296</v>
      </c>
      <c r="B3735" t="s">
        <v>2931</v>
      </c>
      <c r="C3735">
        <v>4164</v>
      </c>
      <c r="D3735" t="str">
        <f>"3111421     "</f>
        <v xml:space="preserve">3111421     </v>
      </c>
      <c r="E3735" t="s">
        <v>356</v>
      </c>
      <c r="F3735" t="s">
        <v>357</v>
      </c>
      <c r="G3735">
        <v>131.66999999999999</v>
      </c>
      <c r="H3735">
        <v>250325</v>
      </c>
      <c r="I3735">
        <v>4600</v>
      </c>
      <c r="J3735" t="s">
        <v>278</v>
      </c>
      <c r="K3735">
        <v>794.35</v>
      </c>
      <c r="L3735">
        <v>26.75</v>
      </c>
      <c r="M3735">
        <v>65422</v>
      </c>
      <c r="N3735" t="s">
        <v>117</v>
      </c>
      <c r="O3735">
        <v>250408</v>
      </c>
      <c r="P3735">
        <v>104.92</v>
      </c>
    </row>
    <row r="3736" spans="1:16" x14ac:dyDescent="0.25">
      <c r="A3736" t="s">
        <v>3296</v>
      </c>
      <c r="B3736" t="s">
        <v>2931</v>
      </c>
      <c r="C3736">
        <v>4164</v>
      </c>
      <c r="D3736" t="str">
        <f>"3111421     "</f>
        <v xml:space="preserve">3111421     </v>
      </c>
      <c r="E3736" t="s">
        <v>356</v>
      </c>
      <c r="F3736" t="s">
        <v>357</v>
      </c>
      <c r="G3736">
        <v>131.68</v>
      </c>
      <c r="H3736">
        <v>250325</v>
      </c>
      <c r="I3736">
        <v>4600</v>
      </c>
      <c r="J3736" t="s">
        <v>278</v>
      </c>
      <c r="K3736">
        <v>794.35</v>
      </c>
      <c r="L3736">
        <v>26.76</v>
      </c>
      <c r="M3736">
        <v>66722</v>
      </c>
      <c r="N3736" t="s">
        <v>118</v>
      </c>
      <c r="O3736">
        <v>250408</v>
      </c>
      <c r="P3736">
        <v>104.92</v>
      </c>
    </row>
    <row r="3737" spans="1:16" x14ac:dyDescent="0.25">
      <c r="A3737" t="s">
        <v>3296</v>
      </c>
      <c r="B3737" t="s">
        <v>2931</v>
      </c>
      <c r="C3737">
        <v>4164</v>
      </c>
      <c r="D3737" t="str">
        <f>"3111421     "</f>
        <v xml:space="preserve">3111421     </v>
      </c>
      <c r="E3737" t="s">
        <v>356</v>
      </c>
      <c r="F3737" t="s">
        <v>357</v>
      </c>
      <c r="G3737">
        <v>531</v>
      </c>
      <c r="H3737">
        <v>250325</v>
      </c>
      <c r="I3737">
        <v>4600</v>
      </c>
      <c r="J3737" t="s">
        <v>278</v>
      </c>
      <c r="K3737">
        <v>794.35</v>
      </c>
      <c r="L3737">
        <v>107.89</v>
      </c>
      <c r="M3737">
        <v>66754</v>
      </c>
      <c r="N3737" t="s">
        <v>119</v>
      </c>
      <c r="O3737">
        <v>250408</v>
      </c>
      <c r="P3737">
        <v>423.11</v>
      </c>
    </row>
    <row r="3738" spans="1:16" x14ac:dyDescent="0.25">
      <c r="A3738" t="s">
        <v>3296</v>
      </c>
      <c r="B3738" t="s">
        <v>2931</v>
      </c>
      <c r="C3738">
        <v>4170</v>
      </c>
      <c r="D3738" t="str">
        <f>"3111420     "</f>
        <v xml:space="preserve">3111420     </v>
      </c>
      <c r="E3738" t="s">
        <v>356</v>
      </c>
      <c r="F3738" t="s">
        <v>357</v>
      </c>
      <c r="G3738">
        <v>259.22000000000003</v>
      </c>
      <c r="H3738">
        <v>250325</v>
      </c>
      <c r="I3738">
        <v>4600</v>
      </c>
      <c r="J3738" t="s">
        <v>278</v>
      </c>
      <c r="K3738">
        <v>259.22000000000003</v>
      </c>
      <c r="L3738">
        <v>52.67</v>
      </c>
      <c r="M3738">
        <v>66722</v>
      </c>
      <c r="N3738" t="s">
        <v>118</v>
      </c>
      <c r="O3738">
        <v>250408</v>
      </c>
      <c r="P3738">
        <v>206.55</v>
      </c>
    </row>
    <row r="3739" spans="1:16" x14ac:dyDescent="0.25">
      <c r="A3739" t="s">
        <v>3296</v>
      </c>
      <c r="B3739" t="s">
        <v>2931</v>
      </c>
      <c r="C3739">
        <v>4381</v>
      </c>
      <c r="D3739" t="str">
        <f>"3111598     "</f>
        <v xml:space="preserve">3111598     </v>
      </c>
      <c r="E3739" t="s">
        <v>356</v>
      </c>
      <c r="F3739" t="s">
        <v>357</v>
      </c>
      <c r="G3739">
        <v>360.5</v>
      </c>
      <c r="H3739">
        <v>250331</v>
      </c>
      <c r="I3739">
        <v>4600</v>
      </c>
      <c r="J3739" t="s">
        <v>278</v>
      </c>
      <c r="K3739">
        <v>360.5</v>
      </c>
      <c r="L3739">
        <v>73.25</v>
      </c>
      <c r="M3739">
        <v>65422</v>
      </c>
      <c r="N3739" t="s">
        <v>117</v>
      </c>
      <c r="O3739">
        <v>250411</v>
      </c>
      <c r="P3739">
        <v>287.25</v>
      </c>
    </row>
    <row r="3740" spans="1:16" x14ac:dyDescent="0.25">
      <c r="A3740" t="s">
        <v>3296</v>
      </c>
      <c r="B3740" t="s">
        <v>2931</v>
      </c>
      <c r="C3740">
        <v>4398</v>
      </c>
      <c r="D3740" t="str">
        <f>"3111550     "</f>
        <v xml:space="preserve">3111550     </v>
      </c>
      <c r="E3740" t="s">
        <v>356</v>
      </c>
      <c r="F3740" t="s">
        <v>357</v>
      </c>
      <c r="G3740">
        <v>71.69</v>
      </c>
      <c r="H3740">
        <v>250331</v>
      </c>
      <c r="I3740">
        <v>4600</v>
      </c>
      <c r="J3740" t="s">
        <v>278</v>
      </c>
      <c r="K3740">
        <v>71.69</v>
      </c>
      <c r="L3740">
        <v>14.57</v>
      </c>
      <c r="M3740">
        <v>66754</v>
      </c>
      <c r="N3740" t="s">
        <v>119</v>
      </c>
      <c r="O3740">
        <v>250411</v>
      </c>
      <c r="P3740">
        <v>57.12</v>
      </c>
    </row>
    <row r="3741" spans="1:16" x14ac:dyDescent="0.25">
      <c r="A3741" t="s">
        <v>3296</v>
      </c>
      <c r="B3741" t="s">
        <v>2931</v>
      </c>
      <c r="C3741">
        <v>4434</v>
      </c>
      <c r="D3741" t="str">
        <f>"3111599     "</f>
        <v xml:space="preserve">3111599     </v>
      </c>
      <c r="E3741" t="s">
        <v>356</v>
      </c>
      <c r="F3741" t="s">
        <v>357</v>
      </c>
      <c r="G3741">
        <v>125.31</v>
      </c>
      <c r="H3741">
        <v>250331</v>
      </c>
      <c r="I3741">
        <v>4600</v>
      </c>
      <c r="J3741" t="s">
        <v>278</v>
      </c>
      <c r="K3741">
        <v>125.31</v>
      </c>
      <c r="L3741">
        <v>25.46</v>
      </c>
      <c r="M3741">
        <v>66754</v>
      </c>
      <c r="N3741" t="s">
        <v>119</v>
      </c>
      <c r="O3741">
        <v>250411</v>
      </c>
      <c r="P3741">
        <v>99.85</v>
      </c>
    </row>
    <row r="3742" spans="1:16" x14ac:dyDescent="0.25">
      <c r="A3742" t="s">
        <v>3296</v>
      </c>
      <c r="B3742" t="s">
        <v>2931</v>
      </c>
      <c r="C3742">
        <v>4527</v>
      </c>
      <c r="D3742" t="str">
        <f>"3111558     "</f>
        <v xml:space="preserve">3111558     </v>
      </c>
      <c r="E3742" t="s">
        <v>356</v>
      </c>
      <c r="F3742" t="s">
        <v>357</v>
      </c>
      <c r="G3742">
        <v>140.31</v>
      </c>
      <c r="H3742">
        <v>250331</v>
      </c>
      <c r="I3742">
        <v>4600</v>
      </c>
      <c r="J3742" t="s">
        <v>278</v>
      </c>
      <c r="K3742">
        <v>140.31</v>
      </c>
      <c r="L3742">
        <v>27.16</v>
      </c>
      <c r="M3742">
        <v>66722</v>
      </c>
      <c r="N3742" t="s">
        <v>118</v>
      </c>
      <c r="O3742">
        <v>250414</v>
      </c>
      <c r="P3742">
        <v>113.15</v>
      </c>
    </row>
    <row r="3743" spans="1:16" x14ac:dyDescent="0.25">
      <c r="A3743" t="s">
        <v>3296</v>
      </c>
      <c r="B3743" t="s">
        <v>2931</v>
      </c>
      <c r="C3743">
        <v>2388</v>
      </c>
      <c r="D3743" t="str">
        <f>"3078        "</f>
        <v xml:space="preserve">3078        </v>
      </c>
      <c r="E3743" t="s">
        <v>1259</v>
      </c>
      <c r="F3743" t="s">
        <v>1260</v>
      </c>
      <c r="G3743">
        <v>27</v>
      </c>
      <c r="H3743">
        <v>250217</v>
      </c>
      <c r="I3743">
        <v>4600</v>
      </c>
      <c r="J3743" t="s">
        <v>278</v>
      </c>
      <c r="K3743">
        <v>27</v>
      </c>
      <c r="L3743">
        <v>5.49</v>
      </c>
      <c r="M3743">
        <v>16321</v>
      </c>
      <c r="N3743" t="s">
        <v>16</v>
      </c>
      <c r="O3743">
        <v>250225</v>
      </c>
      <c r="P3743">
        <v>21.51</v>
      </c>
    </row>
    <row r="3744" spans="1:16" x14ac:dyDescent="0.25">
      <c r="A3744" t="s">
        <v>3296</v>
      </c>
      <c r="B3744" t="s">
        <v>2931</v>
      </c>
      <c r="C3744">
        <v>7512</v>
      </c>
      <c r="D3744" t="str">
        <f>"3195        "</f>
        <v xml:space="preserve">3195        </v>
      </c>
      <c r="E3744" t="s">
        <v>1259</v>
      </c>
      <c r="F3744" t="s">
        <v>1260</v>
      </c>
      <c r="G3744">
        <v>71</v>
      </c>
      <c r="H3744">
        <v>250526</v>
      </c>
      <c r="I3744">
        <v>4600</v>
      </c>
      <c r="J3744" t="s">
        <v>278</v>
      </c>
      <c r="K3744">
        <v>71</v>
      </c>
      <c r="L3744">
        <v>14.43</v>
      </c>
      <c r="M3744">
        <v>13601</v>
      </c>
      <c r="N3744" t="s">
        <v>115</v>
      </c>
      <c r="O3744">
        <v>250604</v>
      </c>
      <c r="P3744">
        <v>56.57</v>
      </c>
    </row>
    <row r="3745" spans="1:16" x14ac:dyDescent="0.25">
      <c r="A3745" t="s">
        <v>3296</v>
      </c>
      <c r="B3745" t="s">
        <v>2931</v>
      </c>
      <c r="C3745">
        <v>17235</v>
      </c>
      <c r="D3745" t="str">
        <f>"3508        "</f>
        <v xml:space="preserve">3508        </v>
      </c>
      <c r="E3745" t="s">
        <v>1259</v>
      </c>
      <c r="F3745" t="s">
        <v>1260</v>
      </c>
      <c r="G3745">
        <v>3</v>
      </c>
      <c r="H3745">
        <v>251216</v>
      </c>
      <c r="I3745">
        <v>4600</v>
      </c>
      <c r="J3745" t="s">
        <v>278</v>
      </c>
      <c r="K3745">
        <v>92</v>
      </c>
      <c r="L3745">
        <v>0</v>
      </c>
      <c r="M3745">
        <v>13601</v>
      </c>
      <c r="N3745" t="s">
        <v>115</v>
      </c>
      <c r="O3745">
        <v>251218</v>
      </c>
      <c r="P3745">
        <v>3</v>
      </c>
    </row>
    <row r="3746" spans="1:16" x14ac:dyDescent="0.25">
      <c r="A3746" t="s">
        <v>3296</v>
      </c>
      <c r="B3746" t="s">
        <v>2931</v>
      </c>
      <c r="C3746">
        <v>17235</v>
      </c>
      <c r="D3746" t="str">
        <f>"3508        "</f>
        <v xml:space="preserve">3508        </v>
      </c>
      <c r="E3746" t="s">
        <v>1259</v>
      </c>
      <c r="F3746" t="s">
        <v>1260</v>
      </c>
      <c r="G3746">
        <v>63</v>
      </c>
      <c r="H3746">
        <v>251216</v>
      </c>
      <c r="I3746">
        <v>4600</v>
      </c>
      <c r="J3746" t="s">
        <v>278</v>
      </c>
      <c r="K3746">
        <v>92</v>
      </c>
      <c r="L3746">
        <v>0</v>
      </c>
      <c r="M3746">
        <v>13601</v>
      </c>
      <c r="N3746" t="s">
        <v>115</v>
      </c>
      <c r="O3746">
        <v>251218</v>
      </c>
      <c r="P3746">
        <v>63</v>
      </c>
    </row>
    <row r="3747" spans="1:16" x14ac:dyDescent="0.25">
      <c r="A3747" t="s">
        <v>3296</v>
      </c>
      <c r="B3747" t="s">
        <v>2931</v>
      </c>
      <c r="C3747">
        <v>17235</v>
      </c>
      <c r="D3747" t="str">
        <f>"3508        "</f>
        <v xml:space="preserve">3508        </v>
      </c>
      <c r="E3747" t="s">
        <v>1259</v>
      </c>
      <c r="F3747" t="s">
        <v>1260</v>
      </c>
      <c r="G3747">
        <v>26</v>
      </c>
      <c r="H3747">
        <v>251216</v>
      </c>
      <c r="I3747">
        <v>4600</v>
      </c>
      <c r="J3747" t="s">
        <v>278</v>
      </c>
      <c r="K3747">
        <v>92</v>
      </c>
      <c r="L3747">
        <v>0</v>
      </c>
      <c r="M3747">
        <v>13801</v>
      </c>
      <c r="N3747" t="s">
        <v>33</v>
      </c>
      <c r="O3747">
        <v>251218</v>
      </c>
      <c r="P3747">
        <v>26</v>
      </c>
    </row>
    <row r="3748" spans="1:16" x14ac:dyDescent="0.25">
      <c r="A3748" t="s">
        <v>3296</v>
      </c>
      <c r="B3748" t="s">
        <v>2931</v>
      </c>
      <c r="C3748">
        <v>10129</v>
      </c>
      <c r="D3748" t="str">
        <f>"12899       "</f>
        <v xml:space="preserve">12899       </v>
      </c>
      <c r="E3748" t="s">
        <v>2167</v>
      </c>
      <c r="F3748" t="s">
        <v>2168</v>
      </c>
      <c r="G3748">
        <v>86</v>
      </c>
      <c r="H3748">
        <v>250801</v>
      </c>
      <c r="I3748">
        <v>4600</v>
      </c>
      <c r="J3748" t="s">
        <v>278</v>
      </c>
      <c r="K3748">
        <v>86</v>
      </c>
      <c r="L3748">
        <v>0</v>
      </c>
      <c r="M3748">
        <v>17806</v>
      </c>
      <c r="N3748" t="s">
        <v>22</v>
      </c>
      <c r="O3748">
        <v>250812</v>
      </c>
      <c r="P3748">
        <v>86</v>
      </c>
    </row>
    <row r="3749" spans="1:16" x14ac:dyDescent="0.25">
      <c r="A3749" t="s">
        <v>3296</v>
      </c>
      <c r="B3749" t="s">
        <v>2931</v>
      </c>
      <c r="C3749">
        <v>6297</v>
      </c>
      <c r="D3749" t="str">
        <f>"11311       "</f>
        <v xml:space="preserve">11311       </v>
      </c>
      <c r="E3749" t="s">
        <v>1519</v>
      </c>
      <c r="F3749" t="s">
        <v>1520</v>
      </c>
      <c r="G3749">
        <v>675.82</v>
      </c>
      <c r="H3749">
        <v>250508</v>
      </c>
      <c r="I3749">
        <v>4400</v>
      </c>
      <c r="J3749" t="s">
        <v>162</v>
      </c>
      <c r="K3749">
        <v>675.82</v>
      </c>
      <c r="L3749">
        <v>137.32</v>
      </c>
      <c r="M3749">
        <v>46554</v>
      </c>
      <c r="N3749" t="s">
        <v>102</v>
      </c>
      <c r="O3749">
        <v>250512</v>
      </c>
      <c r="P3749">
        <v>538.5</v>
      </c>
    </row>
    <row r="3750" spans="1:16" x14ac:dyDescent="0.25">
      <c r="A3750" t="s">
        <v>3296</v>
      </c>
      <c r="B3750" t="s">
        <v>2931</v>
      </c>
      <c r="C3750">
        <v>11140</v>
      </c>
      <c r="D3750" t="str">
        <f>"136         "</f>
        <v xml:space="preserve">136         </v>
      </c>
      <c r="E3750" t="s">
        <v>1519</v>
      </c>
      <c r="F3750" t="s">
        <v>1520</v>
      </c>
      <c r="G3750">
        <v>1297.55</v>
      </c>
      <c r="H3750">
        <v>250828</v>
      </c>
      <c r="I3750">
        <v>4400</v>
      </c>
      <c r="J3750" t="s">
        <v>162</v>
      </c>
      <c r="K3750">
        <v>1297.55</v>
      </c>
      <c r="L3750">
        <v>263.64999999999998</v>
      </c>
      <c r="M3750">
        <v>46554</v>
      </c>
      <c r="N3750" t="s">
        <v>102</v>
      </c>
      <c r="O3750">
        <v>250901</v>
      </c>
      <c r="P3750">
        <v>1033.9000000000001</v>
      </c>
    </row>
    <row r="3751" spans="1:16" x14ac:dyDescent="0.25">
      <c r="A3751" t="s">
        <v>3296</v>
      </c>
      <c r="B3751" t="s">
        <v>2931</v>
      </c>
      <c r="C3751">
        <v>15295</v>
      </c>
      <c r="D3751" t="str">
        <f>"262         "</f>
        <v xml:space="preserve">262         </v>
      </c>
      <c r="E3751" t="s">
        <v>1519</v>
      </c>
      <c r="F3751" t="s">
        <v>1520</v>
      </c>
      <c r="G3751">
        <v>3998.2</v>
      </c>
      <c r="H3751">
        <v>251110</v>
      </c>
      <c r="I3751">
        <v>4400</v>
      </c>
      <c r="J3751" t="s">
        <v>162</v>
      </c>
      <c r="K3751">
        <v>3998.2</v>
      </c>
      <c r="L3751">
        <v>812.38</v>
      </c>
      <c r="M3751">
        <v>46554</v>
      </c>
      <c r="N3751" t="s">
        <v>102</v>
      </c>
      <c r="O3751">
        <v>251117</v>
      </c>
      <c r="P3751">
        <v>3185.82</v>
      </c>
    </row>
    <row r="3752" spans="1:16" x14ac:dyDescent="0.25">
      <c r="A3752" t="s">
        <v>3296</v>
      </c>
      <c r="B3752" t="s">
        <v>2931</v>
      </c>
      <c r="C3752">
        <v>18148</v>
      </c>
      <c r="D3752" t="str">
        <f>"315         "</f>
        <v xml:space="preserve">315         </v>
      </c>
      <c r="E3752" t="s">
        <v>1519</v>
      </c>
      <c r="F3752" t="s">
        <v>1520</v>
      </c>
      <c r="G3752">
        <v>5647.5</v>
      </c>
      <c r="H3752">
        <v>251231</v>
      </c>
      <c r="I3752">
        <v>4400</v>
      </c>
      <c r="J3752" t="s">
        <v>162</v>
      </c>
      <c r="K3752">
        <v>5647.5</v>
      </c>
      <c r="L3752">
        <v>1147.5</v>
      </c>
      <c r="M3752">
        <v>46554</v>
      </c>
      <c r="N3752" t="s">
        <v>102</v>
      </c>
      <c r="O3752">
        <v>260109</v>
      </c>
      <c r="P3752">
        <v>4500</v>
      </c>
    </row>
    <row r="3753" spans="1:16" x14ac:dyDescent="0.25">
      <c r="A3753" t="s">
        <v>3296</v>
      </c>
      <c r="B3753" t="s">
        <v>2931</v>
      </c>
      <c r="C3753">
        <v>3875</v>
      </c>
      <c r="D3753" t="str">
        <f>"11246       "</f>
        <v xml:space="preserve">11246       </v>
      </c>
      <c r="E3753" t="s">
        <v>1519</v>
      </c>
      <c r="F3753" t="s">
        <v>1520</v>
      </c>
      <c r="G3753">
        <v>627.5</v>
      </c>
      <c r="H3753">
        <v>250324</v>
      </c>
      <c r="I3753">
        <v>4530</v>
      </c>
      <c r="J3753" t="s">
        <v>293</v>
      </c>
      <c r="K3753">
        <v>627.5</v>
      </c>
      <c r="L3753">
        <v>127.5</v>
      </c>
      <c r="M3753">
        <v>46554</v>
      </c>
      <c r="N3753" t="s">
        <v>102</v>
      </c>
      <c r="O3753">
        <v>250403</v>
      </c>
      <c r="P3753">
        <v>500</v>
      </c>
    </row>
    <row r="3754" spans="1:16" x14ac:dyDescent="0.25">
      <c r="A3754" t="s">
        <v>3296</v>
      </c>
      <c r="B3754" t="s">
        <v>2931</v>
      </c>
      <c r="C3754">
        <v>11212</v>
      </c>
      <c r="D3754" t="str">
        <f>"1557        "</f>
        <v xml:space="preserve">1557        </v>
      </c>
      <c r="E3754" t="s">
        <v>2263</v>
      </c>
      <c r="F3754" t="s">
        <v>2264</v>
      </c>
      <c r="G3754">
        <v>1041.6500000000001</v>
      </c>
      <c r="H3754">
        <v>250828</v>
      </c>
      <c r="I3754">
        <v>4441</v>
      </c>
      <c r="J3754" t="s">
        <v>234</v>
      </c>
      <c r="K3754">
        <v>1041.6500000000001</v>
      </c>
      <c r="L3754">
        <v>211.65</v>
      </c>
      <c r="M3754">
        <v>18972</v>
      </c>
      <c r="N3754" t="s">
        <v>39</v>
      </c>
      <c r="O3754">
        <v>250902</v>
      </c>
      <c r="P3754">
        <v>830</v>
      </c>
    </row>
    <row r="3755" spans="1:16" x14ac:dyDescent="0.25">
      <c r="A3755" t="s">
        <v>3296</v>
      </c>
      <c r="B3755" t="s">
        <v>2931</v>
      </c>
      <c r="C3755">
        <v>10555</v>
      </c>
      <c r="D3755" t="str">
        <f>"25006708    "</f>
        <v xml:space="preserve">25006708    </v>
      </c>
      <c r="E3755" t="s">
        <v>2205</v>
      </c>
      <c r="F3755" t="s">
        <v>2206</v>
      </c>
      <c r="G3755">
        <v>103.56</v>
      </c>
      <c r="H3755">
        <v>250818</v>
      </c>
      <c r="I3755">
        <v>4600</v>
      </c>
      <c r="J3755" t="s">
        <v>278</v>
      </c>
      <c r="K3755">
        <v>103.56</v>
      </c>
      <c r="L3755">
        <v>21.04</v>
      </c>
      <c r="M3755">
        <v>17525</v>
      </c>
      <c r="N3755" t="s">
        <v>140</v>
      </c>
      <c r="O3755">
        <v>250820</v>
      </c>
      <c r="P3755">
        <v>82.52</v>
      </c>
    </row>
    <row r="3756" spans="1:16" x14ac:dyDescent="0.25">
      <c r="A3756" t="s">
        <v>3296</v>
      </c>
      <c r="B3756" t="s">
        <v>2931</v>
      </c>
      <c r="C3756">
        <v>134</v>
      </c>
      <c r="D3756" t="str">
        <f>"70125591    "</f>
        <v xml:space="preserve">70125591    </v>
      </c>
      <c r="E3756" t="s">
        <v>247</v>
      </c>
      <c r="F3756" t="s">
        <v>248</v>
      </c>
      <c r="G3756">
        <v>128.9</v>
      </c>
      <c r="H3756">
        <v>250101</v>
      </c>
      <c r="I3756">
        <v>4510</v>
      </c>
      <c r="J3756" t="s">
        <v>240</v>
      </c>
      <c r="K3756">
        <v>128.9</v>
      </c>
      <c r="L3756">
        <v>11.72</v>
      </c>
      <c r="M3756">
        <v>56524</v>
      </c>
      <c r="N3756" t="s">
        <v>69</v>
      </c>
      <c r="O3756">
        <v>250113</v>
      </c>
      <c r="P3756">
        <v>117.18</v>
      </c>
    </row>
    <row r="3757" spans="1:16" x14ac:dyDescent="0.25">
      <c r="A3757" t="s">
        <v>3296</v>
      </c>
      <c r="B3757" t="s">
        <v>2931</v>
      </c>
      <c r="C3757">
        <v>563</v>
      </c>
      <c r="D3757" t="str">
        <f>"70145680    "</f>
        <v xml:space="preserve">70145680    </v>
      </c>
      <c r="E3757" t="s">
        <v>247</v>
      </c>
      <c r="F3757" t="s">
        <v>248</v>
      </c>
      <c r="G3757">
        <v>124</v>
      </c>
      <c r="H3757">
        <v>250120</v>
      </c>
      <c r="I3757">
        <v>4510</v>
      </c>
      <c r="J3757" t="s">
        <v>240</v>
      </c>
      <c r="K3757">
        <v>124</v>
      </c>
      <c r="L3757">
        <v>11.27</v>
      </c>
      <c r="M3757">
        <v>56559</v>
      </c>
      <c r="N3757" t="s">
        <v>51</v>
      </c>
      <c r="O3757">
        <v>250124</v>
      </c>
      <c r="P3757">
        <v>112.73</v>
      </c>
    </row>
    <row r="3758" spans="1:16" x14ac:dyDescent="0.25">
      <c r="A3758" t="s">
        <v>3296</v>
      </c>
      <c r="B3758" t="s">
        <v>2931</v>
      </c>
      <c r="C3758">
        <v>148</v>
      </c>
      <c r="D3758" t="str">
        <f t="shared" ref="D3758:D3763" si="83">"913459230   "</f>
        <v xml:space="preserve">913459230   </v>
      </c>
      <c r="E3758" t="s">
        <v>268</v>
      </c>
      <c r="F3758" t="s">
        <v>270</v>
      </c>
      <c r="G3758">
        <v>3.01</v>
      </c>
      <c r="H3758">
        <v>250103</v>
      </c>
      <c r="I3758">
        <v>4367</v>
      </c>
      <c r="J3758" t="s">
        <v>159</v>
      </c>
      <c r="K3758">
        <v>200.8</v>
      </c>
      <c r="L3758">
        <v>0.61</v>
      </c>
      <c r="M3758">
        <v>13201</v>
      </c>
      <c r="N3758" t="s">
        <v>269</v>
      </c>
      <c r="O3758">
        <v>250113</v>
      </c>
      <c r="P3758">
        <v>2.4</v>
      </c>
    </row>
    <row r="3759" spans="1:16" x14ac:dyDescent="0.25">
      <c r="A3759" t="s">
        <v>3296</v>
      </c>
      <c r="B3759" t="s">
        <v>2931</v>
      </c>
      <c r="C3759">
        <v>148</v>
      </c>
      <c r="D3759" t="str">
        <f t="shared" si="83"/>
        <v xml:space="preserve">913459230   </v>
      </c>
      <c r="E3759" t="s">
        <v>268</v>
      </c>
      <c r="F3759" t="s">
        <v>270</v>
      </c>
      <c r="G3759">
        <v>26.1</v>
      </c>
      <c r="H3759">
        <v>250103</v>
      </c>
      <c r="I3759">
        <v>4367</v>
      </c>
      <c r="J3759" t="s">
        <v>159</v>
      </c>
      <c r="K3759">
        <v>200.8</v>
      </c>
      <c r="L3759">
        <v>5.3</v>
      </c>
      <c r="M3759">
        <v>13401</v>
      </c>
      <c r="N3759" t="s">
        <v>10</v>
      </c>
      <c r="O3759">
        <v>250113</v>
      </c>
      <c r="P3759">
        <v>20.8</v>
      </c>
    </row>
    <row r="3760" spans="1:16" x14ac:dyDescent="0.25">
      <c r="A3760" t="s">
        <v>3296</v>
      </c>
      <c r="B3760" t="s">
        <v>2931</v>
      </c>
      <c r="C3760">
        <v>148</v>
      </c>
      <c r="D3760" t="str">
        <f t="shared" si="83"/>
        <v xml:space="preserve">913459230   </v>
      </c>
      <c r="E3760" t="s">
        <v>268</v>
      </c>
      <c r="F3760" t="s">
        <v>270</v>
      </c>
      <c r="G3760">
        <v>26.1</v>
      </c>
      <c r="H3760">
        <v>250103</v>
      </c>
      <c r="I3760">
        <v>4367</v>
      </c>
      <c r="J3760" t="s">
        <v>159</v>
      </c>
      <c r="K3760">
        <v>200.8</v>
      </c>
      <c r="L3760">
        <v>5.3</v>
      </c>
      <c r="M3760">
        <v>13501</v>
      </c>
      <c r="N3760" t="s">
        <v>66</v>
      </c>
      <c r="O3760">
        <v>250113</v>
      </c>
      <c r="P3760">
        <v>20.8</v>
      </c>
    </row>
    <row r="3761" spans="1:16" x14ac:dyDescent="0.25">
      <c r="A3761" t="s">
        <v>3296</v>
      </c>
      <c r="B3761" t="s">
        <v>2931</v>
      </c>
      <c r="C3761">
        <v>148</v>
      </c>
      <c r="D3761" t="str">
        <f t="shared" si="83"/>
        <v xml:space="preserve">913459230   </v>
      </c>
      <c r="E3761" t="s">
        <v>268</v>
      </c>
      <c r="F3761" t="s">
        <v>270</v>
      </c>
      <c r="G3761">
        <v>23.1</v>
      </c>
      <c r="H3761">
        <v>250103</v>
      </c>
      <c r="I3761">
        <v>4367</v>
      </c>
      <c r="J3761" t="s">
        <v>159</v>
      </c>
      <c r="K3761">
        <v>200.8</v>
      </c>
      <c r="L3761">
        <v>4.6900000000000004</v>
      </c>
      <c r="M3761">
        <v>13601</v>
      </c>
      <c r="N3761" t="s">
        <v>115</v>
      </c>
      <c r="O3761">
        <v>250113</v>
      </c>
      <c r="P3761">
        <v>18.41</v>
      </c>
    </row>
    <row r="3762" spans="1:16" x14ac:dyDescent="0.25">
      <c r="A3762" t="s">
        <v>3296</v>
      </c>
      <c r="B3762" t="s">
        <v>2931</v>
      </c>
      <c r="C3762">
        <v>148</v>
      </c>
      <c r="D3762" t="str">
        <f t="shared" si="83"/>
        <v xml:space="preserve">913459230   </v>
      </c>
      <c r="E3762" t="s">
        <v>268</v>
      </c>
      <c r="F3762" t="s">
        <v>270</v>
      </c>
      <c r="G3762">
        <v>22.09</v>
      </c>
      <c r="H3762">
        <v>250103</v>
      </c>
      <c r="I3762">
        <v>4367</v>
      </c>
      <c r="J3762" t="s">
        <v>159</v>
      </c>
      <c r="K3762">
        <v>200.8</v>
      </c>
      <c r="L3762">
        <v>4.49</v>
      </c>
      <c r="M3762">
        <v>13801</v>
      </c>
      <c r="N3762" t="s">
        <v>33</v>
      </c>
      <c r="O3762">
        <v>250113</v>
      </c>
      <c r="P3762">
        <v>17.600000000000001</v>
      </c>
    </row>
    <row r="3763" spans="1:16" x14ac:dyDescent="0.25">
      <c r="A3763" t="s">
        <v>3296</v>
      </c>
      <c r="B3763" t="s">
        <v>2931</v>
      </c>
      <c r="C3763">
        <v>148</v>
      </c>
      <c r="D3763" t="str">
        <f t="shared" si="83"/>
        <v xml:space="preserve">913459230   </v>
      </c>
      <c r="E3763" t="s">
        <v>268</v>
      </c>
      <c r="F3763" t="s">
        <v>270</v>
      </c>
      <c r="G3763">
        <v>100.4</v>
      </c>
      <c r="H3763">
        <v>250103</v>
      </c>
      <c r="I3763">
        <v>4367</v>
      </c>
      <c r="J3763" t="s">
        <v>159</v>
      </c>
      <c r="K3763">
        <v>200.8</v>
      </c>
      <c r="L3763">
        <v>20.399999999999999</v>
      </c>
      <c r="M3763">
        <v>18972</v>
      </c>
      <c r="N3763" t="s">
        <v>39</v>
      </c>
      <c r="O3763">
        <v>250113</v>
      </c>
      <c r="P3763">
        <v>80</v>
      </c>
    </row>
    <row r="3764" spans="1:16" x14ac:dyDescent="0.25">
      <c r="A3764" t="s">
        <v>3296</v>
      </c>
      <c r="B3764" t="s">
        <v>2931</v>
      </c>
      <c r="C3764">
        <v>2944</v>
      </c>
      <c r="D3764" t="str">
        <f t="shared" ref="D3764:D3769" si="84">"913478476   "</f>
        <v xml:space="preserve">913478476   </v>
      </c>
      <c r="E3764" t="s">
        <v>268</v>
      </c>
      <c r="F3764" t="s">
        <v>270</v>
      </c>
      <c r="G3764">
        <v>2.52</v>
      </c>
      <c r="H3764">
        <v>250303</v>
      </c>
      <c r="I3764">
        <v>4367</v>
      </c>
      <c r="J3764" t="s">
        <v>159</v>
      </c>
      <c r="K3764">
        <v>168.17</v>
      </c>
      <c r="L3764">
        <v>0.51</v>
      </c>
      <c r="M3764">
        <v>13201</v>
      </c>
      <c r="N3764" t="s">
        <v>269</v>
      </c>
      <c r="O3764">
        <v>250313</v>
      </c>
      <c r="P3764">
        <v>2.0099999999999998</v>
      </c>
    </row>
    <row r="3765" spans="1:16" x14ac:dyDescent="0.25">
      <c r="A3765" t="s">
        <v>3296</v>
      </c>
      <c r="B3765" t="s">
        <v>2931</v>
      </c>
      <c r="C3765">
        <v>2944</v>
      </c>
      <c r="D3765" t="str">
        <f t="shared" si="84"/>
        <v xml:space="preserve">913478476   </v>
      </c>
      <c r="E3765" t="s">
        <v>268</v>
      </c>
      <c r="F3765" t="s">
        <v>270</v>
      </c>
      <c r="G3765">
        <v>21.86</v>
      </c>
      <c r="H3765">
        <v>250303</v>
      </c>
      <c r="I3765">
        <v>4367</v>
      </c>
      <c r="J3765" t="s">
        <v>159</v>
      </c>
      <c r="K3765">
        <v>168.17</v>
      </c>
      <c r="L3765">
        <v>4.4400000000000004</v>
      </c>
      <c r="M3765">
        <v>13401</v>
      </c>
      <c r="N3765" t="s">
        <v>10</v>
      </c>
      <c r="O3765">
        <v>250313</v>
      </c>
      <c r="P3765">
        <v>17.420000000000002</v>
      </c>
    </row>
    <row r="3766" spans="1:16" x14ac:dyDescent="0.25">
      <c r="A3766" t="s">
        <v>3296</v>
      </c>
      <c r="B3766" t="s">
        <v>2931</v>
      </c>
      <c r="C3766">
        <v>2944</v>
      </c>
      <c r="D3766" t="str">
        <f t="shared" si="84"/>
        <v xml:space="preserve">913478476   </v>
      </c>
      <c r="E3766" t="s">
        <v>268</v>
      </c>
      <c r="F3766" t="s">
        <v>270</v>
      </c>
      <c r="G3766">
        <v>21.86</v>
      </c>
      <c r="H3766">
        <v>250303</v>
      </c>
      <c r="I3766">
        <v>4367</v>
      </c>
      <c r="J3766" t="s">
        <v>159</v>
      </c>
      <c r="K3766">
        <v>168.17</v>
      </c>
      <c r="L3766">
        <v>4.4400000000000004</v>
      </c>
      <c r="M3766">
        <v>13501</v>
      </c>
      <c r="N3766" t="s">
        <v>66</v>
      </c>
      <c r="O3766">
        <v>250313</v>
      </c>
      <c r="P3766">
        <v>17.420000000000002</v>
      </c>
    </row>
    <row r="3767" spans="1:16" x14ac:dyDescent="0.25">
      <c r="A3767" t="s">
        <v>3296</v>
      </c>
      <c r="B3767" t="s">
        <v>2931</v>
      </c>
      <c r="C3767">
        <v>2944</v>
      </c>
      <c r="D3767" t="str">
        <f t="shared" si="84"/>
        <v xml:space="preserve">913478476   </v>
      </c>
      <c r="E3767" t="s">
        <v>268</v>
      </c>
      <c r="F3767" t="s">
        <v>270</v>
      </c>
      <c r="G3767">
        <v>19.34</v>
      </c>
      <c r="H3767">
        <v>250303</v>
      </c>
      <c r="I3767">
        <v>4367</v>
      </c>
      <c r="J3767" t="s">
        <v>159</v>
      </c>
      <c r="K3767">
        <v>168.17</v>
      </c>
      <c r="L3767">
        <v>3.93</v>
      </c>
      <c r="M3767">
        <v>13601</v>
      </c>
      <c r="N3767" t="s">
        <v>115</v>
      </c>
      <c r="O3767">
        <v>250313</v>
      </c>
      <c r="P3767">
        <v>15.41</v>
      </c>
    </row>
    <row r="3768" spans="1:16" x14ac:dyDescent="0.25">
      <c r="A3768" t="s">
        <v>3296</v>
      </c>
      <c r="B3768" t="s">
        <v>2931</v>
      </c>
      <c r="C3768">
        <v>2944</v>
      </c>
      <c r="D3768" t="str">
        <f t="shared" si="84"/>
        <v xml:space="preserve">913478476   </v>
      </c>
      <c r="E3768" t="s">
        <v>268</v>
      </c>
      <c r="F3768" t="s">
        <v>270</v>
      </c>
      <c r="G3768">
        <v>18.5</v>
      </c>
      <c r="H3768">
        <v>250303</v>
      </c>
      <c r="I3768">
        <v>4367</v>
      </c>
      <c r="J3768" t="s">
        <v>159</v>
      </c>
      <c r="K3768">
        <v>168.17</v>
      </c>
      <c r="L3768">
        <v>3.76</v>
      </c>
      <c r="M3768">
        <v>13801</v>
      </c>
      <c r="N3768" t="s">
        <v>33</v>
      </c>
      <c r="O3768">
        <v>250313</v>
      </c>
      <c r="P3768">
        <v>14.74</v>
      </c>
    </row>
    <row r="3769" spans="1:16" x14ac:dyDescent="0.25">
      <c r="A3769" t="s">
        <v>3296</v>
      </c>
      <c r="B3769" t="s">
        <v>2931</v>
      </c>
      <c r="C3769">
        <v>2944</v>
      </c>
      <c r="D3769" t="str">
        <f t="shared" si="84"/>
        <v xml:space="preserve">913478476   </v>
      </c>
      <c r="E3769" t="s">
        <v>268</v>
      </c>
      <c r="F3769" t="s">
        <v>270</v>
      </c>
      <c r="G3769">
        <v>84.09</v>
      </c>
      <c r="H3769">
        <v>250303</v>
      </c>
      <c r="I3769">
        <v>4367</v>
      </c>
      <c r="J3769" t="s">
        <v>159</v>
      </c>
      <c r="K3769">
        <v>168.17</v>
      </c>
      <c r="L3769">
        <v>17.09</v>
      </c>
      <c r="M3769">
        <v>18972</v>
      </c>
      <c r="N3769" t="s">
        <v>39</v>
      </c>
      <c r="O3769">
        <v>250313</v>
      </c>
      <c r="P3769">
        <v>67</v>
      </c>
    </row>
    <row r="3770" spans="1:16" x14ac:dyDescent="0.25">
      <c r="A3770" t="s">
        <v>3296</v>
      </c>
      <c r="B3770" t="s">
        <v>2931</v>
      </c>
      <c r="C3770">
        <v>4559</v>
      </c>
      <c r="D3770" t="str">
        <f>"913488483   "</f>
        <v xml:space="preserve">913488483   </v>
      </c>
      <c r="E3770" t="s">
        <v>268</v>
      </c>
      <c r="F3770" t="s">
        <v>270</v>
      </c>
      <c r="G3770">
        <v>8</v>
      </c>
      <c r="H3770">
        <v>250401</v>
      </c>
      <c r="I3770">
        <v>4367</v>
      </c>
      <c r="J3770" t="s">
        <v>159</v>
      </c>
      <c r="K3770">
        <v>16.059999999999999</v>
      </c>
      <c r="L3770">
        <v>1.63</v>
      </c>
      <c r="M3770">
        <v>13661</v>
      </c>
      <c r="N3770" t="s">
        <v>243</v>
      </c>
      <c r="O3770">
        <v>250414</v>
      </c>
      <c r="P3770">
        <v>6.37</v>
      </c>
    </row>
    <row r="3771" spans="1:16" x14ac:dyDescent="0.25">
      <c r="A3771" t="s">
        <v>3296</v>
      </c>
      <c r="B3771" t="s">
        <v>2931</v>
      </c>
      <c r="C3771">
        <v>4559</v>
      </c>
      <c r="D3771" t="str">
        <f>"913488483   "</f>
        <v xml:space="preserve">913488483   </v>
      </c>
      <c r="E3771" t="s">
        <v>268</v>
      </c>
      <c r="F3771" t="s">
        <v>270</v>
      </c>
      <c r="G3771">
        <v>4</v>
      </c>
      <c r="H3771">
        <v>250401</v>
      </c>
      <c r="I3771">
        <v>4367</v>
      </c>
      <c r="J3771" t="s">
        <v>159</v>
      </c>
      <c r="K3771">
        <v>16.059999999999999</v>
      </c>
      <c r="L3771">
        <v>0.81</v>
      </c>
      <c r="M3771">
        <v>13861</v>
      </c>
      <c r="N3771" t="s">
        <v>604</v>
      </c>
      <c r="O3771">
        <v>250414</v>
      </c>
      <c r="P3771">
        <v>3.19</v>
      </c>
    </row>
    <row r="3772" spans="1:16" x14ac:dyDescent="0.25">
      <c r="A3772" t="s">
        <v>3296</v>
      </c>
      <c r="B3772" t="s">
        <v>2931</v>
      </c>
      <c r="C3772">
        <v>4559</v>
      </c>
      <c r="D3772" t="str">
        <f>"913488483   "</f>
        <v xml:space="preserve">913488483   </v>
      </c>
      <c r="E3772" t="s">
        <v>268</v>
      </c>
      <c r="F3772" t="s">
        <v>270</v>
      </c>
      <c r="G3772">
        <v>4.0599999999999996</v>
      </c>
      <c r="H3772">
        <v>250401</v>
      </c>
      <c r="I3772">
        <v>4367</v>
      </c>
      <c r="J3772" t="s">
        <v>159</v>
      </c>
      <c r="K3772">
        <v>16.059999999999999</v>
      </c>
      <c r="L3772">
        <v>0.82</v>
      </c>
      <c r="M3772">
        <v>13940</v>
      </c>
      <c r="N3772" t="s">
        <v>14</v>
      </c>
      <c r="O3772">
        <v>250414</v>
      </c>
      <c r="P3772">
        <v>3.24</v>
      </c>
    </row>
    <row r="3773" spans="1:16" x14ac:dyDescent="0.25">
      <c r="A3773" t="s">
        <v>3296</v>
      </c>
      <c r="B3773" t="s">
        <v>2931</v>
      </c>
      <c r="C3773">
        <v>6128</v>
      </c>
      <c r="D3773" t="str">
        <f>"913498601   "</f>
        <v xml:space="preserve">913498601   </v>
      </c>
      <c r="E3773" t="s">
        <v>268</v>
      </c>
      <c r="F3773" t="s">
        <v>270</v>
      </c>
      <c r="G3773">
        <v>4.01</v>
      </c>
      <c r="H3773">
        <v>250502</v>
      </c>
      <c r="I3773">
        <v>4367</v>
      </c>
      <c r="J3773" t="s">
        <v>159</v>
      </c>
      <c r="K3773">
        <v>16.059999999999999</v>
      </c>
      <c r="L3773">
        <v>0.81</v>
      </c>
      <c r="M3773">
        <v>13601</v>
      </c>
      <c r="N3773" t="s">
        <v>115</v>
      </c>
      <c r="O3773">
        <v>250509</v>
      </c>
      <c r="P3773">
        <v>3.2</v>
      </c>
    </row>
    <row r="3774" spans="1:16" x14ac:dyDescent="0.25">
      <c r="A3774" t="s">
        <v>3296</v>
      </c>
      <c r="B3774" t="s">
        <v>2931</v>
      </c>
      <c r="C3774">
        <v>6128</v>
      </c>
      <c r="D3774" t="str">
        <f>"913498601   "</f>
        <v xml:space="preserve">913498601   </v>
      </c>
      <c r="E3774" t="s">
        <v>268</v>
      </c>
      <c r="F3774" t="s">
        <v>270</v>
      </c>
      <c r="G3774">
        <v>8.0299999999999994</v>
      </c>
      <c r="H3774">
        <v>250502</v>
      </c>
      <c r="I3774">
        <v>4367</v>
      </c>
      <c r="J3774" t="s">
        <v>159</v>
      </c>
      <c r="K3774">
        <v>16.059999999999999</v>
      </c>
      <c r="L3774">
        <v>1.63</v>
      </c>
      <c r="M3774">
        <v>13801</v>
      </c>
      <c r="N3774" t="s">
        <v>33</v>
      </c>
      <c r="O3774">
        <v>250509</v>
      </c>
      <c r="P3774">
        <v>6.4</v>
      </c>
    </row>
    <row r="3775" spans="1:16" x14ac:dyDescent="0.25">
      <c r="A3775" t="s">
        <v>3296</v>
      </c>
      <c r="B3775" t="s">
        <v>2931</v>
      </c>
      <c r="C3775">
        <v>6128</v>
      </c>
      <c r="D3775" t="str">
        <f>"913498601   "</f>
        <v xml:space="preserve">913498601   </v>
      </c>
      <c r="E3775" t="s">
        <v>268</v>
      </c>
      <c r="F3775" t="s">
        <v>270</v>
      </c>
      <c r="G3775">
        <v>4.0199999999999996</v>
      </c>
      <c r="H3775">
        <v>250502</v>
      </c>
      <c r="I3775">
        <v>4367</v>
      </c>
      <c r="J3775" t="s">
        <v>159</v>
      </c>
      <c r="K3775">
        <v>16.059999999999999</v>
      </c>
      <c r="L3775">
        <v>0.82</v>
      </c>
      <c r="M3775">
        <v>13901</v>
      </c>
      <c r="N3775" t="s">
        <v>116</v>
      </c>
      <c r="O3775">
        <v>250509</v>
      </c>
      <c r="P3775">
        <v>3.2</v>
      </c>
    </row>
    <row r="3776" spans="1:16" x14ac:dyDescent="0.25">
      <c r="A3776" t="s">
        <v>3296</v>
      </c>
      <c r="B3776" t="s">
        <v>2931</v>
      </c>
      <c r="C3776">
        <v>8159</v>
      </c>
      <c r="D3776" t="str">
        <f>"913508289   "</f>
        <v xml:space="preserve">913508289   </v>
      </c>
      <c r="E3776" t="s">
        <v>268</v>
      </c>
      <c r="F3776" t="s">
        <v>270</v>
      </c>
      <c r="G3776">
        <v>8</v>
      </c>
      <c r="H3776">
        <v>250602</v>
      </c>
      <c r="I3776">
        <v>4367</v>
      </c>
      <c r="J3776" t="s">
        <v>159</v>
      </c>
      <c r="K3776">
        <v>16.059999999999999</v>
      </c>
      <c r="L3776">
        <v>1.63</v>
      </c>
      <c r="M3776">
        <v>13601</v>
      </c>
      <c r="N3776" t="s">
        <v>115</v>
      </c>
      <c r="O3776">
        <v>250611</v>
      </c>
      <c r="P3776">
        <v>6.37</v>
      </c>
    </row>
    <row r="3777" spans="1:16" x14ac:dyDescent="0.25">
      <c r="A3777" t="s">
        <v>3296</v>
      </c>
      <c r="B3777" t="s">
        <v>2931</v>
      </c>
      <c r="C3777">
        <v>8159</v>
      </c>
      <c r="D3777" t="str">
        <f>"913508289   "</f>
        <v xml:space="preserve">913508289   </v>
      </c>
      <c r="E3777" t="s">
        <v>268</v>
      </c>
      <c r="F3777" t="s">
        <v>270</v>
      </c>
      <c r="G3777">
        <v>4</v>
      </c>
      <c r="H3777">
        <v>250602</v>
      </c>
      <c r="I3777">
        <v>4367</v>
      </c>
      <c r="J3777" t="s">
        <v>159</v>
      </c>
      <c r="K3777">
        <v>16.059999999999999</v>
      </c>
      <c r="L3777">
        <v>0.81</v>
      </c>
      <c r="M3777">
        <v>13801</v>
      </c>
      <c r="N3777" t="s">
        <v>33</v>
      </c>
      <c r="O3777">
        <v>250611</v>
      </c>
      <c r="P3777">
        <v>3.19</v>
      </c>
    </row>
    <row r="3778" spans="1:16" x14ac:dyDescent="0.25">
      <c r="A3778" t="s">
        <v>3296</v>
      </c>
      <c r="B3778" t="s">
        <v>2931</v>
      </c>
      <c r="C3778">
        <v>8159</v>
      </c>
      <c r="D3778" t="str">
        <f>"913508289   "</f>
        <v xml:space="preserve">913508289   </v>
      </c>
      <c r="E3778" t="s">
        <v>268</v>
      </c>
      <c r="F3778" t="s">
        <v>270</v>
      </c>
      <c r="G3778">
        <v>4.0599999999999996</v>
      </c>
      <c r="H3778">
        <v>250602</v>
      </c>
      <c r="I3778">
        <v>4367</v>
      </c>
      <c r="J3778" t="s">
        <v>159</v>
      </c>
      <c r="K3778">
        <v>16.059999999999999</v>
      </c>
      <c r="L3778">
        <v>0.82</v>
      </c>
      <c r="M3778">
        <v>13940</v>
      </c>
      <c r="N3778" t="s">
        <v>14</v>
      </c>
      <c r="O3778">
        <v>250611</v>
      </c>
      <c r="P3778">
        <v>3.24</v>
      </c>
    </row>
    <row r="3779" spans="1:16" x14ac:dyDescent="0.25">
      <c r="A3779" t="s">
        <v>3296</v>
      </c>
      <c r="B3779" t="s">
        <v>2931</v>
      </c>
      <c r="C3779">
        <v>9591</v>
      </c>
      <c r="D3779" t="str">
        <f>"913518263   "</f>
        <v xml:space="preserve">913518263   </v>
      </c>
      <c r="E3779" t="s">
        <v>268</v>
      </c>
      <c r="F3779" t="s">
        <v>270</v>
      </c>
      <c r="G3779">
        <v>16.059999999999999</v>
      </c>
      <c r="H3779">
        <v>250701</v>
      </c>
      <c r="I3779">
        <v>4367</v>
      </c>
      <c r="J3779" t="s">
        <v>159</v>
      </c>
      <c r="K3779">
        <v>16.059999999999999</v>
      </c>
      <c r="L3779">
        <v>3.26</v>
      </c>
      <c r="M3779">
        <v>13861</v>
      </c>
      <c r="N3779" t="s">
        <v>604</v>
      </c>
      <c r="O3779">
        <v>250721</v>
      </c>
      <c r="P3779">
        <v>12.8</v>
      </c>
    </row>
    <row r="3780" spans="1:16" x14ac:dyDescent="0.25">
      <c r="A3780" t="s">
        <v>3296</v>
      </c>
      <c r="B3780" t="s">
        <v>2931</v>
      </c>
      <c r="C3780">
        <v>10346</v>
      </c>
      <c r="D3780" t="str">
        <f>"913526704   "</f>
        <v xml:space="preserve">913526704   </v>
      </c>
      <c r="E3780" t="s">
        <v>268</v>
      </c>
      <c r="F3780" t="s">
        <v>270</v>
      </c>
      <c r="G3780">
        <v>8</v>
      </c>
      <c r="H3780">
        <v>250801</v>
      </c>
      <c r="I3780">
        <v>4367</v>
      </c>
      <c r="J3780" t="s">
        <v>159</v>
      </c>
      <c r="K3780">
        <v>16.059999999999999</v>
      </c>
      <c r="L3780">
        <v>1.63</v>
      </c>
      <c r="M3780">
        <v>13601</v>
      </c>
      <c r="N3780" t="s">
        <v>115</v>
      </c>
      <c r="O3780">
        <v>250818</v>
      </c>
      <c r="P3780">
        <v>6.37</v>
      </c>
    </row>
    <row r="3781" spans="1:16" x14ac:dyDescent="0.25">
      <c r="A3781" t="s">
        <v>3296</v>
      </c>
      <c r="B3781" t="s">
        <v>2931</v>
      </c>
      <c r="C3781">
        <v>10346</v>
      </c>
      <c r="D3781" t="str">
        <f>"913526704   "</f>
        <v xml:space="preserve">913526704   </v>
      </c>
      <c r="E3781" t="s">
        <v>268</v>
      </c>
      <c r="F3781" t="s">
        <v>270</v>
      </c>
      <c r="G3781">
        <v>4</v>
      </c>
      <c r="H3781">
        <v>250801</v>
      </c>
      <c r="I3781">
        <v>4367</v>
      </c>
      <c r="J3781" t="s">
        <v>159</v>
      </c>
      <c r="K3781">
        <v>16.059999999999999</v>
      </c>
      <c r="L3781">
        <v>0.81</v>
      </c>
      <c r="M3781">
        <v>13801</v>
      </c>
      <c r="N3781" t="s">
        <v>33</v>
      </c>
      <c r="O3781">
        <v>250818</v>
      </c>
      <c r="P3781">
        <v>3.19</v>
      </c>
    </row>
    <row r="3782" spans="1:16" x14ac:dyDescent="0.25">
      <c r="A3782" t="s">
        <v>3296</v>
      </c>
      <c r="B3782" t="s">
        <v>2931</v>
      </c>
      <c r="C3782">
        <v>10346</v>
      </c>
      <c r="D3782" t="str">
        <f>"913526704   "</f>
        <v xml:space="preserve">913526704   </v>
      </c>
      <c r="E3782" t="s">
        <v>268</v>
      </c>
      <c r="F3782" t="s">
        <v>270</v>
      </c>
      <c r="G3782">
        <v>4.0599999999999996</v>
      </c>
      <c r="H3782">
        <v>250801</v>
      </c>
      <c r="I3782">
        <v>4367</v>
      </c>
      <c r="J3782" t="s">
        <v>159</v>
      </c>
      <c r="K3782">
        <v>16.059999999999999</v>
      </c>
      <c r="L3782">
        <v>0.82</v>
      </c>
      <c r="M3782">
        <v>13940</v>
      </c>
      <c r="N3782" t="s">
        <v>14</v>
      </c>
      <c r="O3782">
        <v>250818</v>
      </c>
      <c r="P3782">
        <v>3.24</v>
      </c>
    </row>
    <row r="3783" spans="1:16" x14ac:dyDescent="0.25">
      <c r="A3783" t="s">
        <v>3296</v>
      </c>
      <c r="B3783" t="s">
        <v>2931</v>
      </c>
      <c r="C3783">
        <v>11336</v>
      </c>
      <c r="D3783" t="str">
        <f>"913535710   "</f>
        <v xml:space="preserve">913535710   </v>
      </c>
      <c r="E3783" t="s">
        <v>268</v>
      </c>
      <c r="F3783" t="s">
        <v>270</v>
      </c>
      <c r="G3783">
        <v>8</v>
      </c>
      <c r="H3783">
        <v>250901</v>
      </c>
      <c r="I3783">
        <v>4367</v>
      </c>
      <c r="J3783" t="s">
        <v>159</v>
      </c>
      <c r="K3783">
        <v>16.059999999999999</v>
      </c>
      <c r="L3783">
        <v>1.63</v>
      </c>
      <c r="M3783">
        <v>13601</v>
      </c>
      <c r="N3783" t="s">
        <v>115</v>
      </c>
      <c r="O3783">
        <v>250903</v>
      </c>
      <c r="P3783">
        <v>6.37</v>
      </c>
    </row>
    <row r="3784" spans="1:16" x14ac:dyDescent="0.25">
      <c r="A3784" t="s">
        <v>3296</v>
      </c>
      <c r="B3784" t="s">
        <v>2931</v>
      </c>
      <c r="C3784">
        <v>11336</v>
      </c>
      <c r="D3784" t="str">
        <f>"913535710   "</f>
        <v xml:space="preserve">913535710   </v>
      </c>
      <c r="E3784" t="s">
        <v>268</v>
      </c>
      <c r="F3784" t="s">
        <v>270</v>
      </c>
      <c r="G3784">
        <v>4</v>
      </c>
      <c r="H3784">
        <v>250901</v>
      </c>
      <c r="I3784">
        <v>4367</v>
      </c>
      <c r="J3784" t="s">
        <v>159</v>
      </c>
      <c r="K3784">
        <v>16.059999999999999</v>
      </c>
      <c r="L3784">
        <v>0.81</v>
      </c>
      <c r="M3784">
        <v>13801</v>
      </c>
      <c r="N3784" t="s">
        <v>33</v>
      </c>
      <c r="O3784">
        <v>250903</v>
      </c>
      <c r="P3784">
        <v>3.19</v>
      </c>
    </row>
    <row r="3785" spans="1:16" x14ac:dyDescent="0.25">
      <c r="A3785" t="s">
        <v>3296</v>
      </c>
      <c r="B3785" t="s">
        <v>2931</v>
      </c>
      <c r="C3785">
        <v>13250</v>
      </c>
      <c r="D3785" t="str">
        <f>"913545919   "</f>
        <v xml:space="preserve">913545919   </v>
      </c>
      <c r="E3785" t="s">
        <v>268</v>
      </c>
      <c r="F3785" t="s">
        <v>270</v>
      </c>
      <c r="G3785">
        <v>8</v>
      </c>
      <c r="H3785">
        <v>251001</v>
      </c>
      <c r="I3785">
        <v>4367</v>
      </c>
      <c r="J3785" t="s">
        <v>159</v>
      </c>
      <c r="K3785">
        <v>16.059999999999999</v>
      </c>
      <c r="L3785">
        <v>1.63</v>
      </c>
      <c r="M3785">
        <v>13601</v>
      </c>
      <c r="N3785" t="s">
        <v>115</v>
      </c>
      <c r="O3785">
        <v>251007</v>
      </c>
      <c r="P3785">
        <v>6.37</v>
      </c>
    </row>
    <row r="3786" spans="1:16" x14ac:dyDescent="0.25">
      <c r="A3786" t="s">
        <v>3296</v>
      </c>
      <c r="B3786" t="s">
        <v>2931</v>
      </c>
      <c r="C3786">
        <v>13250</v>
      </c>
      <c r="D3786" t="str">
        <f>"913545919   "</f>
        <v xml:space="preserve">913545919   </v>
      </c>
      <c r="E3786" t="s">
        <v>268</v>
      </c>
      <c r="F3786" t="s">
        <v>270</v>
      </c>
      <c r="G3786">
        <v>4</v>
      </c>
      <c r="H3786">
        <v>251001</v>
      </c>
      <c r="I3786">
        <v>4367</v>
      </c>
      <c r="J3786" t="s">
        <v>159</v>
      </c>
      <c r="K3786">
        <v>16.059999999999999</v>
      </c>
      <c r="L3786">
        <v>0.81</v>
      </c>
      <c r="M3786">
        <v>13801</v>
      </c>
      <c r="N3786" t="s">
        <v>33</v>
      </c>
      <c r="O3786">
        <v>251007</v>
      </c>
      <c r="P3786">
        <v>3.19</v>
      </c>
    </row>
    <row r="3787" spans="1:16" x14ac:dyDescent="0.25">
      <c r="A3787" t="s">
        <v>3296</v>
      </c>
      <c r="B3787" t="s">
        <v>2931</v>
      </c>
      <c r="C3787">
        <v>13250</v>
      </c>
      <c r="D3787" t="str">
        <f>"913545919   "</f>
        <v xml:space="preserve">913545919   </v>
      </c>
      <c r="E3787" t="s">
        <v>268</v>
      </c>
      <c r="F3787" t="s">
        <v>270</v>
      </c>
      <c r="G3787">
        <v>4.0599999999999996</v>
      </c>
      <c r="H3787">
        <v>251001</v>
      </c>
      <c r="I3787">
        <v>4367</v>
      </c>
      <c r="J3787" t="s">
        <v>159</v>
      </c>
      <c r="K3787">
        <v>16.059999999999999</v>
      </c>
      <c r="L3787">
        <v>0.82</v>
      </c>
      <c r="M3787">
        <v>13940</v>
      </c>
      <c r="N3787" t="s">
        <v>14</v>
      </c>
      <c r="O3787">
        <v>251007</v>
      </c>
      <c r="P3787">
        <v>3.24</v>
      </c>
    </row>
    <row r="3788" spans="1:16" x14ac:dyDescent="0.25">
      <c r="A3788" t="s">
        <v>3296</v>
      </c>
      <c r="B3788" t="s">
        <v>2931</v>
      </c>
      <c r="C3788">
        <v>14901</v>
      </c>
      <c r="D3788" t="str">
        <f>"913556507   "</f>
        <v xml:space="preserve">913556507   </v>
      </c>
      <c r="E3788" t="s">
        <v>268</v>
      </c>
      <c r="F3788" t="s">
        <v>270</v>
      </c>
      <c r="G3788">
        <v>8</v>
      </c>
      <c r="H3788">
        <v>251103</v>
      </c>
      <c r="I3788">
        <v>4367</v>
      </c>
      <c r="J3788" t="s">
        <v>159</v>
      </c>
      <c r="K3788">
        <v>16.059999999999999</v>
      </c>
      <c r="L3788">
        <v>1.63</v>
      </c>
      <c r="M3788">
        <v>13601</v>
      </c>
      <c r="N3788" t="s">
        <v>115</v>
      </c>
      <c r="O3788">
        <v>251107</v>
      </c>
      <c r="P3788">
        <v>6.37</v>
      </c>
    </row>
    <row r="3789" spans="1:16" x14ac:dyDescent="0.25">
      <c r="A3789" t="s">
        <v>3296</v>
      </c>
      <c r="B3789" t="s">
        <v>2931</v>
      </c>
      <c r="C3789">
        <v>14901</v>
      </c>
      <c r="D3789" t="str">
        <f>"913556507   "</f>
        <v xml:space="preserve">913556507   </v>
      </c>
      <c r="E3789" t="s">
        <v>268</v>
      </c>
      <c r="F3789" t="s">
        <v>270</v>
      </c>
      <c r="G3789">
        <v>4</v>
      </c>
      <c r="H3789">
        <v>251103</v>
      </c>
      <c r="I3789">
        <v>4367</v>
      </c>
      <c r="J3789" t="s">
        <v>159</v>
      </c>
      <c r="K3789">
        <v>16.059999999999999</v>
      </c>
      <c r="L3789">
        <v>0.81</v>
      </c>
      <c r="M3789">
        <v>13801</v>
      </c>
      <c r="N3789" t="s">
        <v>33</v>
      </c>
      <c r="O3789">
        <v>251107</v>
      </c>
      <c r="P3789">
        <v>3.19</v>
      </c>
    </row>
    <row r="3790" spans="1:16" x14ac:dyDescent="0.25">
      <c r="A3790" t="s">
        <v>3296</v>
      </c>
      <c r="B3790" t="s">
        <v>2931</v>
      </c>
      <c r="C3790">
        <v>14901</v>
      </c>
      <c r="D3790" t="str">
        <f>"913556507   "</f>
        <v xml:space="preserve">913556507   </v>
      </c>
      <c r="E3790" t="s">
        <v>268</v>
      </c>
      <c r="F3790" t="s">
        <v>270</v>
      </c>
      <c r="G3790">
        <v>4.0599999999999996</v>
      </c>
      <c r="H3790">
        <v>251103</v>
      </c>
      <c r="I3790">
        <v>4367</v>
      </c>
      <c r="J3790" t="s">
        <v>159</v>
      </c>
      <c r="K3790">
        <v>16.059999999999999</v>
      </c>
      <c r="L3790">
        <v>0.82</v>
      </c>
      <c r="M3790">
        <v>13940</v>
      </c>
      <c r="N3790" t="s">
        <v>14</v>
      </c>
      <c r="O3790">
        <v>251107</v>
      </c>
      <c r="P3790">
        <v>3.24</v>
      </c>
    </row>
    <row r="3791" spans="1:16" x14ac:dyDescent="0.25">
      <c r="A3791" t="s">
        <v>3296</v>
      </c>
      <c r="B3791" t="s">
        <v>2931</v>
      </c>
      <c r="C3791">
        <v>17200</v>
      </c>
      <c r="D3791" t="str">
        <f>"913571198   "</f>
        <v xml:space="preserve">913571198   </v>
      </c>
      <c r="E3791" t="s">
        <v>268</v>
      </c>
      <c r="F3791" t="s">
        <v>270</v>
      </c>
      <c r="G3791">
        <v>12.67</v>
      </c>
      <c r="H3791">
        <v>251215</v>
      </c>
      <c r="I3791">
        <v>4367</v>
      </c>
      <c r="J3791" t="s">
        <v>159</v>
      </c>
      <c r="K3791">
        <v>25.35</v>
      </c>
      <c r="L3791">
        <v>2.57</v>
      </c>
      <c r="M3791">
        <v>13601</v>
      </c>
      <c r="N3791" t="s">
        <v>115</v>
      </c>
      <c r="O3791">
        <v>251218</v>
      </c>
      <c r="P3791">
        <v>10.1</v>
      </c>
    </row>
    <row r="3792" spans="1:16" x14ac:dyDescent="0.25">
      <c r="A3792" t="s">
        <v>3296</v>
      </c>
      <c r="B3792" t="s">
        <v>2931</v>
      </c>
      <c r="C3792">
        <v>17200</v>
      </c>
      <c r="D3792" t="str">
        <f>"913571198   "</f>
        <v xml:space="preserve">913571198   </v>
      </c>
      <c r="E3792" t="s">
        <v>268</v>
      </c>
      <c r="F3792" t="s">
        <v>270</v>
      </c>
      <c r="G3792">
        <v>6.34</v>
      </c>
      <c r="H3792">
        <v>251215</v>
      </c>
      <c r="I3792">
        <v>4367</v>
      </c>
      <c r="J3792" t="s">
        <v>159</v>
      </c>
      <c r="K3792">
        <v>25.35</v>
      </c>
      <c r="L3792">
        <v>1.29</v>
      </c>
      <c r="M3792">
        <v>13801</v>
      </c>
      <c r="N3792" t="s">
        <v>33</v>
      </c>
      <c r="O3792">
        <v>251218</v>
      </c>
      <c r="P3792">
        <v>5.05</v>
      </c>
    </row>
    <row r="3793" spans="1:16" x14ac:dyDescent="0.25">
      <c r="A3793" t="s">
        <v>3296</v>
      </c>
      <c r="B3793" t="s">
        <v>2931</v>
      </c>
      <c r="C3793">
        <v>17200</v>
      </c>
      <c r="D3793" t="str">
        <f>"913571198   "</f>
        <v xml:space="preserve">913571198   </v>
      </c>
      <c r="E3793" t="s">
        <v>268</v>
      </c>
      <c r="F3793" t="s">
        <v>270</v>
      </c>
      <c r="G3793">
        <v>6.34</v>
      </c>
      <c r="H3793">
        <v>251215</v>
      </c>
      <c r="I3793">
        <v>4367</v>
      </c>
      <c r="J3793" t="s">
        <v>159</v>
      </c>
      <c r="K3793">
        <v>25.35</v>
      </c>
      <c r="L3793">
        <v>1.29</v>
      </c>
      <c r="M3793">
        <v>13901</v>
      </c>
      <c r="N3793" t="s">
        <v>116</v>
      </c>
      <c r="O3793">
        <v>251218</v>
      </c>
      <c r="P3793">
        <v>5.05</v>
      </c>
    </row>
    <row r="3794" spans="1:16" x14ac:dyDescent="0.25">
      <c r="A3794" t="s">
        <v>3296</v>
      </c>
      <c r="B3794" t="s">
        <v>2931</v>
      </c>
      <c r="C3794">
        <v>1337</v>
      </c>
      <c r="D3794" t="str">
        <f t="shared" ref="D3794:D3799" si="85">"913469589   "</f>
        <v xml:space="preserve">913469589   </v>
      </c>
      <c r="E3794" t="s">
        <v>268</v>
      </c>
      <c r="F3794" t="s">
        <v>270</v>
      </c>
      <c r="G3794">
        <v>3.01</v>
      </c>
      <c r="H3794">
        <v>250203</v>
      </c>
      <c r="I3794">
        <v>4369</v>
      </c>
      <c r="J3794" t="s">
        <v>188</v>
      </c>
      <c r="K3794">
        <v>200.8</v>
      </c>
      <c r="L3794">
        <v>0.61</v>
      </c>
      <c r="M3794">
        <v>13201</v>
      </c>
      <c r="N3794" t="s">
        <v>269</v>
      </c>
      <c r="O3794">
        <v>250207</v>
      </c>
      <c r="P3794">
        <v>2.4</v>
      </c>
    </row>
    <row r="3795" spans="1:16" x14ac:dyDescent="0.25">
      <c r="A3795" t="s">
        <v>3296</v>
      </c>
      <c r="B3795" t="s">
        <v>2931</v>
      </c>
      <c r="C3795">
        <v>1337</v>
      </c>
      <c r="D3795" t="str">
        <f t="shared" si="85"/>
        <v xml:space="preserve">913469589   </v>
      </c>
      <c r="E3795" t="s">
        <v>268</v>
      </c>
      <c r="F3795" t="s">
        <v>270</v>
      </c>
      <c r="G3795">
        <v>26.1</v>
      </c>
      <c r="H3795">
        <v>250203</v>
      </c>
      <c r="I3795">
        <v>4369</v>
      </c>
      <c r="J3795" t="s">
        <v>188</v>
      </c>
      <c r="K3795">
        <v>200.8</v>
      </c>
      <c r="L3795">
        <v>5.3</v>
      </c>
      <c r="M3795">
        <v>13401</v>
      </c>
      <c r="N3795" t="s">
        <v>10</v>
      </c>
      <c r="O3795">
        <v>250207</v>
      </c>
      <c r="P3795">
        <v>20.8</v>
      </c>
    </row>
    <row r="3796" spans="1:16" x14ac:dyDescent="0.25">
      <c r="A3796" t="s">
        <v>3296</v>
      </c>
      <c r="B3796" t="s">
        <v>2931</v>
      </c>
      <c r="C3796">
        <v>1337</v>
      </c>
      <c r="D3796" t="str">
        <f t="shared" si="85"/>
        <v xml:space="preserve">913469589   </v>
      </c>
      <c r="E3796" t="s">
        <v>268</v>
      </c>
      <c r="F3796" t="s">
        <v>270</v>
      </c>
      <c r="G3796">
        <v>26.1</v>
      </c>
      <c r="H3796">
        <v>250203</v>
      </c>
      <c r="I3796">
        <v>4369</v>
      </c>
      <c r="J3796" t="s">
        <v>188</v>
      </c>
      <c r="K3796">
        <v>200.8</v>
      </c>
      <c r="L3796">
        <v>5.3</v>
      </c>
      <c r="M3796">
        <v>13501</v>
      </c>
      <c r="N3796" t="s">
        <v>66</v>
      </c>
      <c r="O3796">
        <v>250207</v>
      </c>
      <c r="P3796">
        <v>20.8</v>
      </c>
    </row>
    <row r="3797" spans="1:16" x14ac:dyDescent="0.25">
      <c r="A3797" t="s">
        <v>3296</v>
      </c>
      <c r="B3797" t="s">
        <v>2931</v>
      </c>
      <c r="C3797">
        <v>1337</v>
      </c>
      <c r="D3797" t="str">
        <f t="shared" si="85"/>
        <v xml:space="preserve">913469589   </v>
      </c>
      <c r="E3797" t="s">
        <v>268</v>
      </c>
      <c r="F3797" t="s">
        <v>270</v>
      </c>
      <c r="G3797">
        <v>23.1</v>
      </c>
      <c r="H3797">
        <v>250203</v>
      </c>
      <c r="I3797">
        <v>4369</v>
      </c>
      <c r="J3797" t="s">
        <v>188</v>
      </c>
      <c r="K3797">
        <v>200.8</v>
      </c>
      <c r="L3797">
        <v>4.6900000000000004</v>
      </c>
      <c r="M3797">
        <v>13601</v>
      </c>
      <c r="N3797" t="s">
        <v>115</v>
      </c>
      <c r="O3797">
        <v>250207</v>
      </c>
      <c r="P3797">
        <v>18.41</v>
      </c>
    </row>
    <row r="3798" spans="1:16" x14ac:dyDescent="0.25">
      <c r="A3798" t="s">
        <v>3296</v>
      </c>
      <c r="B3798" t="s">
        <v>2931</v>
      </c>
      <c r="C3798">
        <v>1337</v>
      </c>
      <c r="D3798" t="str">
        <f t="shared" si="85"/>
        <v xml:space="preserve">913469589   </v>
      </c>
      <c r="E3798" t="s">
        <v>268</v>
      </c>
      <c r="F3798" t="s">
        <v>270</v>
      </c>
      <c r="G3798">
        <v>22.09</v>
      </c>
      <c r="H3798">
        <v>250203</v>
      </c>
      <c r="I3798">
        <v>4369</v>
      </c>
      <c r="J3798" t="s">
        <v>188</v>
      </c>
      <c r="K3798">
        <v>200.8</v>
      </c>
      <c r="L3798">
        <v>4.49</v>
      </c>
      <c r="M3798">
        <v>13801</v>
      </c>
      <c r="N3798" t="s">
        <v>33</v>
      </c>
      <c r="O3798">
        <v>250207</v>
      </c>
      <c r="P3798">
        <v>17.600000000000001</v>
      </c>
    </row>
    <row r="3799" spans="1:16" x14ac:dyDescent="0.25">
      <c r="A3799" t="s">
        <v>3296</v>
      </c>
      <c r="B3799" t="s">
        <v>2931</v>
      </c>
      <c r="C3799">
        <v>1337</v>
      </c>
      <c r="D3799" t="str">
        <f t="shared" si="85"/>
        <v xml:space="preserve">913469589   </v>
      </c>
      <c r="E3799" t="s">
        <v>268</v>
      </c>
      <c r="F3799" t="s">
        <v>270</v>
      </c>
      <c r="G3799">
        <v>100.4</v>
      </c>
      <c r="H3799">
        <v>250203</v>
      </c>
      <c r="I3799">
        <v>4369</v>
      </c>
      <c r="J3799" t="s">
        <v>188</v>
      </c>
      <c r="K3799">
        <v>200.8</v>
      </c>
      <c r="L3799">
        <v>20.399999999999999</v>
      </c>
      <c r="M3799">
        <v>18972</v>
      </c>
      <c r="N3799" t="s">
        <v>39</v>
      </c>
      <c r="O3799">
        <v>250207</v>
      </c>
      <c r="P3799">
        <v>80</v>
      </c>
    </row>
    <row r="3800" spans="1:16" x14ac:dyDescent="0.25">
      <c r="A3800" t="s">
        <v>3296</v>
      </c>
      <c r="B3800" t="s">
        <v>2931</v>
      </c>
      <c r="C3800">
        <v>11336</v>
      </c>
      <c r="D3800" t="str">
        <f>"913535710   "</f>
        <v xml:space="preserve">913535710   </v>
      </c>
      <c r="E3800" t="s">
        <v>268</v>
      </c>
      <c r="F3800" t="s">
        <v>270</v>
      </c>
      <c r="G3800">
        <v>4.0599999999999996</v>
      </c>
      <c r="H3800">
        <v>250901</v>
      </c>
      <c r="I3800">
        <v>4369</v>
      </c>
      <c r="J3800" t="s">
        <v>188</v>
      </c>
      <c r="K3800">
        <v>16.059999999999999</v>
      </c>
      <c r="L3800">
        <v>0.82</v>
      </c>
      <c r="M3800">
        <v>13940</v>
      </c>
      <c r="N3800" t="s">
        <v>14</v>
      </c>
      <c r="O3800">
        <v>250903</v>
      </c>
      <c r="P3800">
        <v>3.24</v>
      </c>
    </row>
    <row r="3801" spans="1:16" x14ac:dyDescent="0.25">
      <c r="A3801" t="s">
        <v>3296</v>
      </c>
      <c r="B3801" t="s">
        <v>2931</v>
      </c>
      <c r="C3801">
        <v>3874</v>
      </c>
      <c r="D3801" t="str">
        <f>"13772       "</f>
        <v xml:space="preserve">13772       </v>
      </c>
      <c r="E3801" t="s">
        <v>986</v>
      </c>
      <c r="F3801" t="s">
        <v>987</v>
      </c>
      <c r="G3801">
        <v>43.92</v>
      </c>
      <c r="H3801">
        <v>250314</v>
      </c>
      <c r="I3801">
        <v>4364</v>
      </c>
      <c r="J3801" t="s">
        <v>470</v>
      </c>
      <c r="K3801">
        <v>239.43</v>
      </c>
      <c r="L3801">
        <v>8.92</v>
      </c>
      <c r="M3801">
        <v>49112</v>
      </c>
      <c r="N3801" t="s">
        <v>109</v>
      </c>
      <c r="O3801">
        <v>250403</v>
      </c>
      <c r="P3801">
        <v>35</v>
      </c>
    </row>
    <row r="3802" spans="1:16" x14ac:dyDescent="0.25">
      <c r="A3802" t="s">
        <v>3296</v>
      </c>
      <c r="B3802" t="s">
        <v>2931</v>
      </c>
      <c r="C3802">
        <v>10220</v>
      </c>
      <c r="D3802" t="str">
        <f>"14013       "</f>
        <v xml:space="preserve">14013       </v>
      </c>
      <c r="E3802" t="s">
        <v>986</v>
      </c>
      <c r="F3802" t="s">
        <v>987</v>
      </c>
      <c r="G3802">
        <v>25.1</v>
      </c>
      <c r="H3802">
        <v>250808</v>
      </c>
      <c r="I3802">
        <v>4420</v>
      </c>
      <c r="J3802" t="s">
        <v>330</v>
      </c>
      <c r="K3802">
        <v>416.12</v>
      </c>
      <c r="L3802">
        <v>5.0999999999999996</v>
      </c>
      <c r="M3802">
        <v>49112</v>
      </c>
      <c r="N3802" t="s">
        <v>109</v>
      </c>
      <c r="O3802">
        <v>250813</v>
      </c>
      <c r="P3802">
        <v>20</v>
      </c>
    </row>
    <row r="3803" spans="1:16" x14ac:dyDescent="0.25">
      <c r="A3803" t="s">
        <v>3296</v>
      </c>
      <c r="B3803" t="s">
        <v>2931</v>
      </c>
      <c r="C3803">
        <v>1441</v>
      </c>
      <c r="D3803" t="str">
        <f>"13688       "</f>
        <v xml:space="preserve">13688       </v>
      </c>
      <c r="E3803" t="s">
        <v>986</v>
      </c>
      <c r="F3803" t="s">
        <v>987</v>
      </c>
      <c r="G3803">
        <v>22.59</v>
      </c>
      <c r="H3803">
        <v>250206</v>
      </c>
      <c r="I3803">
        <v>4520</v>
      </c>
      <c r="J3803" t="s">
        <v>280</v>
      </c>
      <c r="K3803">
        <v>337.92</v>
      </c>
      <c r="L3803">
        <v>4.59</v>
      </c>
      <c r="M3803">
        <v>17913</v>
      </c>
      <c r="N3803" t="s">
        <v>26</v>
      </c>
      <c r="O3803">
        <v>250210</v>
      </c>
      <c r="P3803">
        <v>18</v>
      </c>
    </row>
    <row r="3804" spans="1:16" x14ac:dyDescent="0.25">
      <c r="A3804" t="s">
        <v>3296</v>
      </c>
      <c r="B3804" t="s">
        <v>2931</v>
      </c>
      <c r="C3804">
        <v>1441</v>
      </c>
      <c r="D3804" t="str">
        <f>"13688       "</f>
        <v xml:space="preserve">13688       </v>
      </c>
      <c r="E3804" t="s">
        <v>986</v>
      </c>
      <c r="F3804" t="s">
        <v>987</v>
      </c>
      <c r="G3804">
        <v>281.54000000000002</v>
      </c>
      <c r="H3804">
        <v>250206</v>
      </c>
      <c r="I3804">
        <v>4520</v>
      </c>
      <c r="J3804" t="s">
        <v>280</v>
      </c>
      <c r="K3804">
        <v>337.92</v>
      </c>
      <c r="L3804">
        <v>34.58</v>
      </c>
      <c r="M3804">
        <v>17913</v>
      </c>
      <c r="N3804" t="s">
        <v>26</v>
      </c>
      <c r="O3804">
        <v>250210</v>
      </c>
      <c r="P3804">
        <v>246.96</v>
      </c>
    </row>
    <row r="3805" spans="1:16" x14ac:dyDescent="0.25">
      <c r="A3805" t="s">
        <v>3296</v>
      </c>
      <c r="B3805" t="s">
        <v>2931</v>
      </c>
      <c r="C3805">
        <v>1441</v>
      </c>
      <c r="D3805" t="str">
        <f>"13688       "</f>
        <v xml:space="preserve">13688       </v>
      </c>
      <c r="E3805" t="s">
        <v>986</v>
      </c>
      <c r="F3805" t="s">
        <v>987</v>
      </c>
      <c r="G3805">
        <v>2.5099999999999998</v>
      </c>
      <c r="H3805">
        <v>250206</v>
      </c>
      <c r="I3805">
        <v>4520</v>
      </c>
      <c r="J3805" t="s">
        <v>280</v>
      </c>
      <c r="K3805">
        <v>337.92</v>
      </c>
      <c r="L3805">
        <v>0.51</v>
      </c>
      <c r="M3805">
        <v>17982</v>
      </c>
      <c r="N3805" t="s">
        <v>281</v>
      </c>
      <c r="O3805">
        <v>250210</v>
      </c>
      <c r="P3805">
        <v>2</v>
      </c>
    </row>
    <row r="3806" spans="1:16" x14ac:dyDescent="0.25">
      <c r="A3806" t="s">
        <v>3296</v>
      </c>
      <c r="B3806" t="s">
        <v>2931</v>
      </c>
      <c r="C3806">
        <v>1441</v>
      </c>
      <c r="D3806" t="str">
        <f>"13688       "</f>
        <v xml:space="preserve">13688       </v>
      </c>
      <c r="E3806" t="s">
        <v>986</v>
      </c>
      <c r="F3806" t="s">
        <v>987</v>
      </c>
      <c r="G3806">
        <v>31.28</v>
      </c>
      <c r="H3806">
        <v>250206</v>
      </c>
      <c r="I3806">
        <v>4520</v>
      </c>
      <c r="J3806" t="s">
        <v>280</v>
      </c>
      <c r="K3806">
        <v>337.92</v>
      </c>
      <c r="L3806">
        <v>3.84</v>
      </c>
      <c r="M3806">
        <v>17982</v>
      </c>
      <c r="N3806" t="s">
        <v>281</v>
      </c>
      <c r="O3806">
        <v>250210</v>
      </c>
      <c r="P3806">
        <v>27.44</v>
      </c>
    </row>
    <row r="3807" spans="1:16" x14ac:dyDescent="0.25">
      <c r="A3807" t="s">
        <v>3296</v>
      </c>
      <c r="B3807" t="s">
        <v>2931</v>
      </c>
      <c r="C3807">
        <v>3874</v>
      </c>
      <c r="D3807" t="str">
        <f>"13772       "</f>
        <v xml:space="preserve">13772       </v>
      </c>
      <c r="E3807" t="s">
        <v>986</v>
      </c>
      <c r="F3807" t="s">
        <v>987</v>
      </c>
      <c r="G3807">
        <v>195.51</v>
      </c>
      <c r="H3807">
        <v>250314</v>
      </c>
      <c r="I3807">
        <v>4520</v>
      </c>
      <c r="J3807" t="s">
        <v>280</v>
      </c>
      <c r="K3807">
        <v>239.43</v>
      </c>
      <c r="L3807">
        <v>24.01</v>
      </c>
      <c r="M3807">
        <v>49112</v>
      </c>
      <c r="N3807" t="s">
        <v>109</v>
      </c>
      <c r="O3807">
        <v>250403</v>
      </c>
      <c r="P3807">
        <v>171.5</v>
      </c>
    </row>
    <row r="3808" spans="1:16" x14ac:dyDescent="0.25">
      <c r="A3808" t="s">
        <v>3296</v>
      </c>
      <c r="B3808" t="s">
        <v>2931</v>
      </c>
      <c r="C3808">
        <v>10220</v>
      </c>
      <c r="D3808" t="str">
        <f>"14013       "</f>
        <v xml:space="preserve">14013       </v>
      </c>
      <c r="E3808" t="s">
        <v>986</v>
      </c>
      <c r="F3808" t="s">
        <v>987</v>
      </c>
      <c r="G3808">
        <v>391.02</v>
      </c>
      <c r="H3808">
        <v>250808</v>
      </c>
      <c r="I3808">
        <v>4520</v>
      </c>
      <c r="J3808" t="s">
        <v>280</v>
      </c>
      <c r="K3808">
        <v>416.12</v>
      </c>
      <c r="L3808">
        <v>48.02</v>
      </c>
      <c r="M3808">
        <v>49112</v>
      </c>
      <c r="N3808" t="s">
        <v>109</v>
      </c>
      <c r="O3808">
        <v>250813</v>
      </c>
      <c r="P3808">
        <v>343</v>
      </c>
    </row>
    <row r="3809" spans="1:16" x14ac:dyDescent="0.25">
      <c r="A3809" t="s">
        <v>3296</v>
      </c>
      <c r="B3809" t="s">
        <v>2931</v>
      </c>
      <c r="C3809">
        <v>12519</v>
      </c>
      <c r="D3809" t="str">
        <f>"14119       "</f>
        <v xml:space="preserve">14119       </v>
      </c>
      <c r="E3809" t="s">
        <v>986</v>
      </c>
      <c r="F3809" t="s">
        <v>987</v>
      </c>
      <c r="G3809">
        <v>25.1</v>
      </c>
      <c r="H3809">
        <v>250915</v>
      </c>
      <c r="I3809">
        <v>4520</v>
      </c>
      <c r="J3809" t="s">
        <v>280</v>
      </c>
      <c r="K3809">
        <v>337.92</v>
      </c>
      <c r="L3809">
        <v>5.0999999999999996</v>
      </c>
      <c r="M3809">
        <v>17913</v>
      </c>
      <c r="N3809" t="s">
        <v>26</v>
      </c>
      <c r="O3809">
        <v>250925</v>
      </c>
      <c r="P3809">
        <v>20</v>
      </c>
    </row>
    <row r="3810" spans="1:16" x14ac:dyDescent="0.25">
      <c r="A3810" t="s">
        <v>3296</v>
      </c>
      <c r="B3810" t="s">
        <v>2931</v>
      </c>
      <c r="C3810">
        <v>12519</v>
      </c>
      <c r="D3810" t="str">
        <f>"14119       "</f>
        <v xml:space="preserve">14119       </v>
      </c>
      <c r="E3810" t="s">
        <v>986</v>
      </c>
      <c r="F3810" t="s">
        <v>987</v>
      </c>
      <c r="G3810">
        <v>281.54000000000002</v>
      </c>
      <c r="H3810">
        <v>250915</v>
      </c>
      <c r="I3810">
        <v>4520</v>
      </c>
      <c r="J3810" t="s">
        <v>280</v>
      </c>
      <c r="K3810">
        <v>337.92</v>
      </c>
      <c r="L3810">
        <v>34.58</v>
      </c>
      <c r="M3810">
        <v>17913</v>
      </c>
      <c r="N3810" t="s">
        <v>26</v>
      </c>
      <c r="O3810">
        <v>250925</v>
      </c>
      <c r="P3810">
        <v>246.96</v>
      </c>
    </row>
    <row r="3811" spans="1:16" x14ac:dyDescent="0.25">
      <c r="A3811" t="s">
        <v>3296</v>
      </c>
      <c r="B3811" t="s">
        <v>2931</v>
      </c>
      <c r="C3811">
        <v>12519</v>
      </c>
      <c r="D3811" t="str">
        <f>"14119       "</f>
        <v xml:space="preserve">14119       </v>
      </c>
      <c r="E3811" t="s">
        <v>986</v>
      </c>
      <c r="F3811" t="s">
        <v>987</v>
      </c>
      <c r="G3811">
        <v>31.28</v>
      </c>
      <c r="H3811">
        <v>250915</v>
      </c>
      <c r="I3811">
        <v>4520</v>
      </c>
      <c r="J3811" t="s">
        <v>280</v>
      </c>
      <c r="K3811">
        <v>337.92</v>
      </c>
      <c r="L3811">
        <v>3.84</v>
      </c>
      <c r="M3811">
        <v>17982</v>
      </c>
      <c r="N3811" t="s">
        <v>281</v>
      </c>
      <c r="O3811">
        <v>250925</v>
      </c>
      <c r="P3811">
        <v>27.44</v>
      </c>
    </row>
    <row r="3812" spans="1:16" x14ac:dyDescent="0.25">
      <c r="A3812" t="s">
        <v>3296</v>
      </c>
      <c r="B3812" t="s">
        <v>2931</v>
      </c>
      <c r="C3812">
        <v>2013</v>
      </c>
      <c r="D3812" t="str">
        <f>"21175       "</f>
        <v xml:space="preserve">21175       </v>
      </c>
      <c r="E3812" t="s">
        <v>986</v>
      </c>
      <c r="F3812" t="s">
        <v>987</v>
      </c>
      <c r="G3812">
        <v>690.25</v>
      </c>
      <c r="H3812">
        <v>250210</v>
      </c>
      <c r="I3812">
        <v>4842</v>
      </c>
      <c r="J3812" t="s">
        <v>15</v>
      </c>
      <c r="K3812">
        <v>690.25</v>
      </c>
      <c r="L3812">
        <v>140.25</v>
      </c>
      <c r="M3812">
        <v>49112</v>
      </c>
      <c r="N3812" t="s">
        <v>109</v>
      </c>
      <c r="O3812">
        <v>250219</v>
      </c>
      <c r="P3812">
        <v>550</v>
      </c>
    </row>
    <row r="3813" spans="1:16" x14ac:dyDescent="0.25">
      <c r="A3813" t="s">
        <v>3296</v>
      </c>
      <c r="B3813" t="s">
        <v>2931</v>
      </c>
      <c r="C3813">
        <v>9998</v>
      </c>
      <c r="D3813" t="str">
        <f>"21229       "</f>
        <v xml:space="preserve">21229       </v>
      </c>
      <c r="E3813" t="s">
        <v>986</v>
      </c>
      <c r="F3813" t="s">
        <v>987</v>
      </c>
      <c r="G3813">
        <v>701.55</v>
      </c>
      <c r="H3813">
        <v>250801</v>
      </c>
      <c r="I3813">
        <v>4842</v>
      </c>
      <c r="J3813" t="s">
        <v>15</v>
      </c>
      <c r="K3813">
        <v>701.55</v>
      </c>
      <c r="L3813">
        <v>142.55000000000001</v>
      </c>
      <c r="M3813">
        <v>49112</v>
      </c>
      <c r="N3813" t="s">
        <v>109</v>
      </c>
      <c r="O3813">
        <v>250806</v>
      </c>
      <c r="P3813">
        <v>559</v>
      </c>
    </row>
    <row r="3814" spans="1:16" x14ac:dyDescent="0.25">
      <c r="A3814" t="s">
        <v>3296</v>
      </c>
      <c r="B3814" t="s">
        <v>2931</v>
      </c>
      <c r="C3814">
        <v>1991</v>
      </c>
      <c r="D3814" t="str">
        <f>"10018       "</f>
        <v xml:space="preserve">10018       </v>
      </c>
      <c r="E3814" t="s">
        <v>1180</v>
      </c>
      <c r="F3814" t="s">
        <v>1181</v>
      </c>
      <c r="G3814">
        <v>448.7</v>
      </c>
      <c r="H3814">
        <v>250213</v>
      </c>
      <c r="I3814">
        <v>4580</v>
      </c>
      <c r="J3814" t="s">
        <v>126</v>
      </c>
      <c r="K3814">
        <v>448.7</v>
      </c>
      <c r="L3814">
        <v>91.17</v>
      </c>
      <c r="M3814">
        <v>17537</v>
      </c>
      <c r="N3814" t="s">
        <v>151</v>
      </c>
      <c r="O3814">
        <v>250218</v>
      </c>
      <c r="P3814">
        <v>357.53</v>
      </c>
    </row>
    <row r="3815" spans="1:16" x14ac:dyDescent="0.25">
      <c r="A3815" t="s">
        <v>3296</v>
      </c>
      <c r="B3815" t="s">
        <v>2931</v>
      </c>
      <c r="C3815">
        <v>2548</v>
      </c>
      <c r="D3815" t="str">
        <f>"10035       "</f>
        <v xml:space="preserve">10035       </v>
      </c>
      <c r="E3815" t="s">
        <v>1180</v>
      </c>
      <c r="F3815" t="s">
        <v>1181</v>
      </c>
      <c r="G3815">
        <v>254.8</v>
      </c>
      <c r="H3815">
        <v>250221</v>
      </c>
      <c r="I3815">
        <v>4580</v>
      </c>
      <c r="J3815" t="s">
        <v>126</v>
      </c>
      <c r="K3815">
        <v>254.8</v>
      </c>
      <c r="L3815">
        <v>51.77</v>
      </c>
      <c r="M3815">
        <v>17537</v>
      </c>
      <c r="N3815" t="s">
        <v>151</v>
      </c>
      <c r="O3815">
        <v>250304</v>
      </c>
      <c r="P3815">
        <v>203.03</v>
      </c>
    </row>
    <row r="3816" spans="1:16" x14ac:dyDescent="0.25">
      <c r="A3816" t="s">
        <v>3296</v>
      </c>
      <c r="B3816" t="s">
        <v>2931</v>
      </c>
      <c r="C3816">
        <v>3887</v>
      </c>
      <c r="D3816" t="str">
        <f>"10112       "</f>
        <v xml:space="preserve">10112       </v>
      </c>
      <c r="E3816" t="s">
        <v>1180</v>
      </c>
      <c r="F3816" t="s">
        <v>1181</v>
      </c>
      <c r="G3816">
        <v>309.3</v>
      </c>
      <c r="H3816">
        <v>250327</v>
      </c>
      <c r="I3816">
        <v>4580</v>
      </c>
      <c r="J3816" t="s">
        <v>126</v>
      </c>
      <c r="K3816">
        <v>309.3</v>
      </c>
      <c r="L3816">
        <v>62.85</v>
      </c>
      <c r="M3816">
        <v>17538</v>
      </c>
      <c r="N3816" t="s">
        <v>129</v>
      </c>
      <c r="O3816">
        <v>250403</v>
      </c>
      <c r="P3816">
        <v>246.45</v>
      </c>
    </row>
    <row r="3817" spans="1:16" x14ac:dyDescent="0.25">
      <c r="A3817" t="s">
        <v>3296</v>
      </c>
      <c r="B3817" t="s">
        <v>2931</v>
      </c>
      <c r="C3817">
        <v>5686</v>
      </c>
      <c r="D3817" t="str">
        <f>"10160       "</f>
        <v xml:space="preserve">10160       </v>
      </c>
      <c r="E3817" t="s">
        <v>1180</v>
      </c>
      <c r="F3817" t="s">
        <v>1181</v>
      </c>
      <c r="G3817">
        <v>323.8</v>
      </c>
      <c r="H3817">
        <v>250422</v>
      </c>
      <c r="I3817">
        <v>4600</v>
      </c>
      <c r="J3817" t="s">
        <v>278</v>
      </c>
      <c r="K3817">
        <v>323.8</v>
      </c>
      <c r="L3817">
        <v>65.790000000000006</v>
      </c>
      <c r="M3817">
        <v>17538</v>
      </c>
      <c r="N3817" t="s">
        <v>129</v>
      </c>
      <c r="O3817">
        <v>250429</v>
      </c>
      <c r="P3817">
        <v>258.01</v>
      </c>
    </row>
    <row r="3818" spans="1:16" x14ac:dyDescent="0.25">
      <c r="A3818" t="s">
        <v>3296</v>
      </c>
      <c r="B3818" t="s">
        <v>2931</v>
      </c>
      <c r="C3818">
        <v>10395</v>
      </c>
      <c r="D3818" t="str">
        <f>"175845      "</f>
        <v xml:space="preserve">175845      </v>
      </c>
      <c r="E3818" t="s">
        <v>2185</v>
      </c>
      <c r="F3818" t="s">
        <v>2186</v>
      </c>
      <c r="G3818">
        <v>190.89</v>
      </c>
      <c r="H3818">
        <v>250806</v>
      </c>
      <c r="I3818">
        <v>4600</v>
      </c>
      <c r="J3818" t="s">
        <v>278</v>
      </c>
      <c r="K3818">
        <v>381.78</v>
      </c>
      <c r="L3818">
        <v>38.79</v>
      </c>
      <c r="M3818">
        <v>54222</v>
      </c>
      <c r="N3818" t="s">
        <v>48</v>
      </c>
      <c r="O3818">
        <v>250818</v>
      </c>
      <c r="P3818">
        <v>152.1</v>
      </c>
    </row>
    <row r="3819" spans="1:16" x14ac:dyDescent="0.25">
      <c r="A3819" t="s">
        <v>3296</v>
      </c>
      <c r="B3819" t="s">
        <v>2931</v>
      </c>
      <c r="C3819">
        <v>10395</v>
      </c>
      <c r="D3819" t="str">
        <f>"175845      "</f>
        <v xml:space="preserve">175845      </v>
      </c>
      <c r="E3819" t="s">
        <v>2185</v>
      </c>
      <c r="F3819" t="s">
        <v>2186</v>
      </c>
      <c r="G3819">
        <v>190.89</v>
      </c>
      <c r="H3819">
        <v>250806</v>
      </c>
      <c r="I3819">
        <v>4600</v>
      </c>
      <c r="J3819" t="s">
        <v>278</v>
      </c>
      <c r="K3819">
        <v>381.78</v>
      </c>
      <c r="L3819">
        <v>38.79</v>
      </c>
      <c r="M3819">
        <v>54251</v>
      </c>
      <c r="N3819" t="s">
        <v>485</v>
      </c>
      <c r="O3819">
        <v>250818</v>
      </c>
      <c r="P3819">
        <v>152.1</v>
      </c>
    </row>
    <row r="3820" spans="1:16" x14ac:dyDescent="0.25">
      <c r="A3820" t="s">
        <v>3296</v>
      </c>
      <c r="B3820" t="s">
        <v>2931</v>
      </c>
      <c r="C3820">
        <v>13824</v>
      </c>
      <c r="D3820" t="str">
        <f>"181285      "</f>
        <v xml:space="preserve">181285      </v>
      </c>
      <c r="E3820" t="s">
        <v>2185</v>
      </c>
      <c r="F3820" t="s">
        <v>2186</v>
      </c>
      <c r="G3820">
        <v>189.48</v>
      </c>
      <c r="H3820">
        <v>251010</v>
      </c>
      <c r="I3820">
        <v>4600</v>
      </c>
      <c r="J3820" t="s">
        <v>278</v>
      </c>
      <c r="K3820">
        <v>378.95</v>
      </c>
      <c r="L3820">
        <v>38.5</v>
      </c>
      <c r="M3820">
        <v>54222</v>
      </c>
      <c r="N3820" t="s">
        <v>48</v>
      </c>
      <c r="O3820">
        <v>251020</v>
      </c>
      <c r="P3820">
        <v>150.97999999999999</v>
      </c>
    </row>
    <row r="3821" spans="1:16" x14ac:dyDescent="0.25">
      <c r="A3821" t="s">
        <v>3296</v>
      </c>
      <c r="B3821" t="s">
        <v>2931</v>
      </c>
      <c r="C3821">
        <v>13824</v>
      </c>
      <c r="D3821" t="str">
        <f>"181285      "</f>
        <v xml:space="preserve">181285      </v>
      </c>
      <c r="E3821" t="s">
        <v>2185</v>
      </c>
      <c r="F3821" t="s">
        <v>2186</v>
      </c>
      <c r="G3821">
        <v>189.47</v>
      </c>
      <c r="H3821">
        <v>251010</v>
      </c>
      <c r="I3821">
        <v>4600</v>
      </c>
      <c r="J3821" t="s">
        <v>278</v>
      </c>
      <c r="K3821">
        <v>378.95</v>
      </c>
      <c r="L3821">
        <v>38.5</v>
      </c>
      <c r="M3821">
        <v>54251</v>
      </c>
      <c r="N3821" t="s">
        <v>485</v>
      </c>
      <c r="O3821">
        <v>251020</v>
      </c>
      <c r="P3821">
        <v>150.97</v>
      </c>
    </row>
    <row r="3822" spans="1:16" x14ac:dyDescent="0.25">
      <c r="A3822" t="s">
        <v>3296</v>
      </c>
      <c r="B3822" t="s">
        <v>2931</v>
      </c>
      <c r="C3822">
        <v>15872</v>
      </c>
      <c r="D3822" t="str">
        <f>"184825      "</f>
        <v xml:space="preserve">184825      </v>
      </c>
      <c r="E3822" t="s">
        <v>2185</v>
      </c>
      <c r="F3822" t="s">
        <v>2186</v>
      </c>
      <c r="G3822">
        <v>983.63</v>
      </c>
      <c r="H3822">
        <v>251125</v>
      </c>
      <c r="I3822">
        <v>4600</v>
      </c>
      <c r="J3822" t="s">
        <v>278</v>
      </c>
      <c r="K3822">
        <v>1967.25</v>
      </c>
      <c r="L3822">
        <v>199.86</v>
      </c>
      <c r="M3822">
        <v>54222</v>
      </c>
      <c r="N3822" t="s">
        <v>48</v>
      </c>
      <c r="O3822">
        <v>251127</v>
      </c>
      <c r="P3822">
        <v>783.77</v>
      </c>
    </row>
    <row r="3823" spans="1:16" x14ac:dyDescent="0.25">
      <c r="A3823" t="s">
        <v>3296</v>
      </c>
      <c r="B3823" t="s">
        <v>2931</v>
      </c>
      <c r="C3823">
        <v>15872</v>
      </c>
      <c r="D3823" t="str">
        <f>"184825      "</f>
        <v xml:space="preserve">184825      </v>
      </c>
      <c r="E3823" t="s">
        <v>2185</v>
      </c>
      <c r="F3823" t="s">
        <v>2186</v>
      </c>
      <c r="G3823">
        <v>983.62</v>
      </c>
      <c r="H3823">
        <v>251125</v>
      </c>
      <c r="I3823">
        <v>4600</v>
      </c>
      <c r="J3823" t="s">
        <v>278</v>
      </c>
      <c r="K3823">
        <v>1967.25</v>
      </c>
      <c r="L3823">
        <v>199.86</v>
      </c>
      <c r="M3823">
        <v>54251</v>
      </c>
      <c r="N3823" t="s">
        <v>485</v>
      </c>
      <c r="O3823">
        <v>251127</v>
      </c>
      <c r="P3823">
        <v>783.76</v>
      </c>
    </row>
    <row r="3824" spans="1:16" x14ac:dyDescent="0.25">
      <c r="A3824" t="s">
        <v>3296</v>
      </c>
      <c r="B3824" t="s">
        <v>2931</v>
      </c>
      <c r="C3824">
        <v>16920</v>
      </c>
      <c r="D3824" t="str">
        <f>"185315      "</f>
        <v xml:space="preserve">185315      </v>
      </c>
      <c r="E3824" t="s">
        <v>2185</v>
      </c>
      <c r="F3824" t="s">
        <v>2186</v>
      </c>
      <c r="G3824">
        <v>17.440000000000001</v>
      </c>
      <c r="H3824">
        <v>251128</v>
      </c>
      <c r="I3824">
        <v>4600</v>
      </c>
      <c r="J3824" t="s">
        <v>278</v>
      </c>
      <c r="K3824">
        <v>17.440000000000001</v>
      </c>
      <c r="L3824">
        <v>3.54</v>
      </c>
      <c r="M3824">
        <v>54251</v>
      </c>
      <c r="N3824" t="s">
        <v>485</v>
      </c>
      <c r="O3824">
        <v>251215</v>
      </c>
      <c r="P3824">
        <v>13.9</v>
      </c>
    </row>
    <row r="3825" spans="1:16" x14ac:dyDescent="0.25">
      <c r="A3825" t="s">
        <v>3296</v>
      </c>
      <c r="B3825" t="s">
        <v>2931</v>
      </c>
      <c r="C3825">
        <v>14374</v>
      </c>
      <c r="D3825" t="str">
        <f>"1074        "</f>
        <v xml:space="preserve">1074        </v>
      </c>
      <c r="E3825" t="s">
        <v>2501</v>
      </c>
      <c r="F3825" t="s">
        <v>2502</v>
      </c>
      <c r="G3825">
        <v>138.21</v>
      </c>
      <c r="H3825">
        <v>251029</v>
      </c>
      <c r="I3825">
        <v>4600</v>
      </c>
      <c r="J3825" t="s">
        <v>278</v>
      </c>
      <c r="K3825">
        <v>138.21</v>
      </c>
      <c r="L3825">
        <v>28.08</v>
      </c>
      <c r="M3825">
        <v>54252</v>
      </c>
      <c r="N3825" t="s">
        <v>742</v>
      </c>
      <c r="O3825">
        <v>251030</v>
      </c>
      <c r="P3825">
        <v>110.13</v>
      </c>
    </row>
    <row r="3826" spans="1:16" x14ac:dyDescent="0.25">
      <c r="A3826" t="s">
        <v>3296</v>
      </c>
      <c r="B3826" t="s">
        <v>2931</v>
      </c>
      <c r="C3826">
        <v>15930</v>
      </c>
      <c r="D3826" t="str">
        <f>"1416        "</f>
        <v xml:space="preserve">1416        </v>
      </c>
      <c r="E3826" t="s">
        <v>2501</v>
      </c>
      <c r="F3826" t="s">
        <v>2502</v>
      </c>
      <c r="G3826">
        <v>158.18</v>
      </c>
      <c r="H3826">
        <v>251127</v>
      </c>
      <c r="I3826">
        <v>4600</v>
      </c>
      <c r="J3826" t="s">
        <v>278</v>
      </c>
      <c r="K3826">
        <v>158.18</v>
      </c>
      <c r="L3826">
        <v>32.14</v>
      </c>
      <c r="M3826">
        <v>54252</v>
      </c>
      <c r="N3826" t="s">
        <v>742</v>
      </c>
      <c r="O3826">
        <v>251201</v>
      </c>
      <c r="P3826">
        <v>126.04</v>
      </c>
    </row>
    <row r="3827" spans="1:16" x14ac:dyDescent="0.25">
      <c r="A3827" t="s">
        <v>3296</v>
      </c>
      <c r="B3827" t="s">
        <v>2931</v>
      </c>
      <c r="C3827">
        <v>2501</v>
      </c>
      <c r="D3827" t="str">
        <f>"54          "</f>
        <v xml:space="preserve">54          </v>
      </c>
      <c r="E3827" t="s">
        <v>1290</v>
      </c>
      <c r="F3827" t="s">
        <v>1291</v>
      </c>
      <c r="G3827">
        <v>251</v>
      </c>
      <c r="H3827">
        <v>250220</v>
      </c>
      <c r="I3827">
        <v>4534</v>
      </c>
      <c r="J3827" t="s">
        <v>349</v>
      </c>
      <c r="K3827">
        <v>251</v>
      </c>
      <c r="L3827">
        <v>51</v>
      </c>
      <c r="M3827">
        <v>54222</v>
      </c>
      <c r="N3827" t="s">
        <v>48</v>
      </c>
      <c r="O3827">
        <v>250303</v>
      </c>
      <c r="P3827">
        <v>200</v>
      </c>
    </row>
    <row r="3828" spans="1:16" x14ac:dyDescent="0.25">
      <c r="A3828" t="s">
        <v>3296</v>
      </c>
      <c r="B3828" t="s">
        <v>2931</v>
      </c>
      <c r="C3828">
        <v>11546</v>
      </c>
      <c r="D3828" t="str">
        <f>"683         "</f>
        <v xml:space="preserve">683         </v>
      </c>
      <c r="E3828" t="s">
        <v>1290</v>
      </c>
      <c r="F3828" t="s">
        <v>1291</v>
      </c>
      <c r="G3828">
        <v>1160</v>
      </c>
      <c r="H3828">
        <v>250907</v>
      </c>
      <c r="I3828">
        <v>4820</v>
      </c>
      <c r="J3828" t="s">
        <v>169</v>
      </c>
      <c r="K3828">
        <v>1160</v>
      </c>
      <c r="L3828">
        <v>142.46</v>
      </c>
      <c r="M3828">
        <v>13841</v>
      </c>
      <c r="N3828" t="s">
        <v>178</v>
      </c>
      <c r="O3828">
        <v>250908</v>
      </c>
      <c r="P3828">
        <v>1017.54</v>
      </c>
    </row>
    <row r="3829" spans="1:16" x14ac:dyDescent="0.25">
      <c r="A3829" t="s">
        <v>3296</v>
      </c>
      <c r="B3829" t="s">
        <v>2931</v>
      </c>
      <c r="C3829">
        <v>16645</v>
      </c>
      <c r="D3829" t="str">
        <f>"875         "</f>
        <v xml:space="preserve">875         </v>
      </c>
      <c r="E3829" t="s">
        <v>1290</v>
      </c>
      <c r="F3829" t="s">
        <v>1291</v>
      </c>
      <c r="G3829">
        <v>960</v>
      </c>
      <c r="H3829">
        <v>251130</v>
      </c>
      <c r="I3829">
        <v>4820</v>
      </c>
      <c r="J3829" t="s">
        <v>169</v>
      </c>
      <c r="K3829">
        <v>960</v>
      </c>
      <c r="L3829">
        <v>117.89</v>
      </c>
      <c r="M3829">
        <v>13841</v>
      </c>
      <c r="N3829" t="s">
        <v>178</v>
      </c>
      <c r="O3829">
        <v>251211</v>
      </c>
      <c r="P3829">
        <v>842.11</v>
      </c>
    </row>
    <row r="3830" spans="1:16" x14ac:dyDescent="0.25">
      <c r="A3830" t="s">
        <v>3296</v>
      </c>
      <c r="B3830" t="s">
        <v>2931</v>
      </c>
      <c r="C3830">
        <v>5360</v>
      </c>
      <c r="D3830" t="str">
        <f>"25009842    "</f>
        <v xml:space="preserve">25009842    </v>
      </c>
      <c r="E3830" t="s">
        <v>1724</v>
      </c>
      <c r="F3830" t="s">
        <v>1725</v>
      </c>
      <c r="G3830">
        <v>75.14</v>
      </c>
      <c r="H3830">
        <v>250411</v>
      </c>
      <c r="I3830">
        <v>4520</v>
      </c>
      <c r="J3830" t="s">
        <v>280</v>
      </c>
      <c r="K3830">
        <v>75.14</v>
      </c>
      <c r="L3830">
        <v>9.23</v>
      </c>
      <c r="M3830">
        <v>54451</v>
      </c>
      <c r="N3830" t="s">
        <v>218</v>
      </c>
      <c r="O3830">
        <v>250424</v>
      </c>
      <c r="P3830">
        <v>65.91</v>
      </c>
    </row>
    <row r="3831" spans="1:16" x14ac:dyDescent="0.25">
      <c r="A3831" t="s">
        <v>3296</v>
      </c>
      <c r="B3831" t="s">
        <v>2931</v>
      </c>
      <c r="C3831">
        <v>6011</v>
      </c>
      <c r="D3831" t="str">
        <f>"2530007044  "</f>
        <v xml:space="preserve">2530007044  </v>
      </c>
      <c r="E3831" t="s">
        <v>1803</v>
      </c>
      <c r="F3831" t="s">
        <v>1804</v>
      </c>
      <c r="G3831">
        <v>165.66</v>
      </c>
      <c r="H3831">
        <v>250429</v>
      </c>
      <c r="I3831">
        <v>4580</v>
      </c>
      <c r="J3831" t="s">
        <v>126</v>
      </c>
      <c r="K3831">
        <v>165.66</v>
      </c>
      <c r="L3831">
        <v>33.659999999999997</v>
      </c>
      <c r="M3831">
        <v>56561</v>
      </c>
      <c r="N3831" t="s">
        <v>53</v>
      </c>
      <c r="O3831">
        <v>250508</v>
      </c>
      <c r="P3831">
        <v>132</v>
      </c>
    </row>
    <row r="3832" spans="1:16" x14ac:dyDescent="0.25">
      <c r="A3832" t="s">
        <v>3296</v>
      </c>
      <c r="B3832" t="s">
        <v>2931</v>
      </c>
      <c r="C3832">
        <v>5834</v>
      </c>
      <c r="D3832" t="str">
        <f>"2530007043  "</f>
        <v xml:space="preserve">2530007043  </v>
      </c>
      <c r="E3832" t="s">
        <v>1803</v>
      </c>
      <c r="F3832" t="s">
        <v>1804</v>
      </c>
      <c r="G3832">
        <v>62.75</v>
      </c>
      <c r="H3832">
        <v>250429</v>
      </c>
      <c r="I3832">
        <v>4600</v>
      </c>
      <c r="J3832" t="s">
        <v>278</v>
      </c>
      <c r="K3832">
        <v>62.75</v>
      </c>
      <c r="L3832">
        <v>12.75</v>
      </c>
      <c r="M3832">
        <v>55222</v>
      </c>
      <c r="N3832" t="s">
        <v>43</v>
      </c>
      <c r="O3832">
        <v>250505</v>
      </c>
      <c r="P3832">
        <v>50</v>
      </c>
    </row>
    <row r="3833" spans="1:16" x14ac:dyDescent="0.25">
      <c r="A3833" t="s">
        <v>3296</v>
      </c>
      <c r="B3833" t="s">
        <v>2931</v>
      </c>
      <c r="C3833">
        <v>1136</v>
      </c>
      <c r="D3833" t="str">
        <f>"1136        "</f>
        <v xml:space="preserve">1136        </v>
      </c>
      <c r="E3833" t="s">
        <v>856</v>
      </c>
      <c r="F3833" t="s">
        <v>857</v>
      </c>
      <c r="G3833">
        <v>93.32</v>
      </c>
      <c r="H3833">
        <v>250129</v>
      </c>
      <c r="I3833">
        <v>4600</v>
      </c>
      <c r="J3833" t="s">
        <v>278</v>
      </c>
      <c r="K3833">
        <v>93.32</v>
      </c>
      <c r="L3833">
        <v>18.96</v>
      </c>
      <c r="M3833">
        <v>49705</v>
      </c>
      <c r="N3833" t="s">
        <v>114</v>
      </c>
      <c r="O3833">
        <v>250205</v>
      </c>
      <c r="P3833">
        <v>74.36</v>
      </c>
    </row>
    <row r="3834" spans="1:16" x14ac:dyDescent="0.25">
      <c r="A3834" t="s">
        <v>3296</v>
      </c>
      <c r="B3834" t="s">
        <v>2931</v>
      </c>
      <c r="C3834">
        <v>11227</v>
      </c>
      <c r="D3834" t="str">
        <f>"1190        "</f>
        <v xml:space="preserve">1190        </v>
      </c>
      <c r="E3834" t="s">
        <v>856</v>
      </c>
      <c r="F3834" t="s">
        <v>857</v>
      </c>
      <c r="G3834">
        <v>253.4</v>
      </c>
      <c r="H3834">
        <v>250826</v>
      </c>
      <c r="I3834">
        <v>4600</v>
      </c>
      <c r="J3834" t="s">
        <v>278</v>
      </c>
      <c r="K3834">
        <v>253.4</v>
      </c>
      <c r="L3834">
        <v>51.49</v>
      </c>
      <c r="M3834">
        <v>49705</v>
      </c>
      <c r="N3834" t="s">
        <v>114</v>
      </c>
      <c r="O3834">
        <v>250902</v>
      </c>
      <c r="P3834">
        <v>201.91</v>
      </c>
    </row>
    <row r="3835" spans="1:16" x14ac:dyDescent="0.25">
      <c r="A3835" t="s">
        <v>3296</v>
      </c>
      <c r="B3835" t="s">
        <v>2931</v>
      </c>
      <c r="C3835">
        <v>5399</v>
      </c>
      <c r="D3835" t="str">
        <f>"126546      "</f>
        <v xml:space="preserve">126546      </v>
      </c>
      <c r="E3835" t="s">
        <v>1668</v>
      </c>
      <c r="F3835" t="s">
        <v>1669</v>
      </c>
      <c r="G3835">
        <v>177.7</v>
      </c>
      <c r="H3835">
        <v>250415</v>
      </c>
      <c r="I3835">
        <v>4500</v>
      </c>
      <c r="J3835" t="s">
        <v>312</v>
      </c>
      <c r="K3835">
        <v>452.5</v>
      </c>
      <c r="L3835">
        <v>36.11</v>
      </c>
      <c r="M3835">
        <v>11903</v>
      </c>
      <c r="N3835" t="s">
        <v>32</v>
      </c>
      <c r="O3835">
        <v>250424</v>
      </c>
      <c r="P3835">
        <v>141.59</v>
      </c>
    </row>
    <row r="3836" spans="1:16" x14ac:dyDescent="0.25">
      <c r="A3836" t="s">
        <v>3296</v>
      </c>
      <c r="B3836" t="s">
        <v>2931</v>
      </c>
      <c r="C3836">
        <v>4876</v>
      </c>
      <c r="D3836" t="str">
        <f>"126539      "</f>
        <v xml:space="preserve">126539      </v>
      </c>
      <c r="E3836" t="s">
        <v>1668</v>
      </c>
      <c r="F3836" t="s">
        <v>1669</v>
      </c>
      <c r="G3836">
        <v>69.8</v>
      </c>
      <c r="H3836">
        <v>250408</v>
      </c>
      <c r="I3836">
        <v>4510</v>
      </c>
      <c r="J3836" t="s">
        <v>240</v>
      </c>
      <c r="K3836">
        <v>69.8</v>
      </c>
      <c r="L3836">
        <v>8.57</v>
      </c>
      <c r="M3836">
        <v>11903</v>
      </c>
      <c r="N3836" t="s">
        <v>32</v>
      </c>
      <c r="O3836">
        <v>250416</v>
      </c>
      <c r="P3836">
        <v>61.23</v>
      </c>
    </row>
    <row r="3837" spans="1:16" x14ac:dyDescent="0.25">
      <c r="A3837" t="s">
        <v>3296</v>
      </c>
      <c r="B3837" t="s">
        <v>2931</v>
      </c>
      <c r="C3837">
        <v>5399</v>
      </c>
      <c r="D3837" t="str">
        <f>"126546      "</f>
        <v xml:space="preserve">126546      </v>
      </c>
      <c r="E3837" t="s">
        <v>1668</v>
      </c>
      <c r="F3837" t="s">
        <v>1669</v>
      </c>
      <c r="G3837">
        <v>274.8</v>
      </c>
      <c r="H3837">
        <v>250415</v>
      </c>
      <c r="I3837">
        <v>4510</v>
      </c>
      <c r="J3837" t="s">
        <v>240</v>
      </c>
      <c r="K3837">
        <v>452.5</v>
      </c>
      <c r="L3837">
        <v>33.75</v>
      </c>
      <c r="M3837">
        <v>11903</v>
      </c>
      <c r="N3837" t="s">
        <v>32</v>
      </c>
      <c r="O3837">
        <v>250424</v>
      </c>
      <c r="P3837">
        <v>241.05</v>
      </c>
    </row>
    <row r="3838" spans="1:16" x14ac:dyDescent="0.25">
      <c r="A3838" t="s">
        <v>3296</v>
      </c>
      <c r="B3838" t="s">
        <v>2931</v>
      </c>
      <c r="C3838">
        <v>267</v>
      </c>
      <c r="D3838" t="str">
        <f>"990357003   "</f>
        <v xml:space="preserve">990357003   </v>
      </c>
      <c r="E3838" t="s">
        <v>392</v>
      </c>
      <c r="F3838" t="s">
        <v>394</v>
      </c>
      <c r="G3838">
        <v>355.8</v>
      </c>
      <c r="H3838">
        <v>250114</v>
      </c>
      <c r="I3838">
        <v>1011</v>
      </c>
      <c r="J3838" t="s">
        <v>393</v>
      </c>
      <c r="K3838">
        <v>355.8</v>
      </c>
      <c r="L3838">
        <v>72.290000000000006</v>
      </c>
      <c r="M3838">
        <v>56559</v>
      </c>
      <c r="N3838" t="s">
        <v>51</v>
      </c>
      <c r="O3838">
        <v>250120</v>
      </c>
      <c r="P3838">
        <v>283.51</v>
      </c>
    </row>
    <row r="3839" spans="1:16" x14ac:dyDescent="0.25">
      <c r="A3839" t="s">
        <v>3296</v>
      </c>
      <c r="B3839" t="s">
        <v>2931</v>
      </c>
      <c r="C3839">
        <v>287</v>
      </c>
      <c r="D3839" t="str">
        <f>"990357004   "</f>
        <v xml:space="preserve">990357004   </v>
      </c>
      <c r="E3839" t="s">
        <v>392</v>
      </c>
      <c r="F3839" t="s">
        <v>394</v>
      </c>
      <c r="G3839">
        <v>1044.78</v>
      </c>
      <c r="H3839">
        <v>250114</v>
      </c>
      <c r="I3839">
        <v>4367</v>
      </c>
      <c r="J3839" t="s">
        <v>159</v>
      </c>
      <c r="K3839">
        <v>1044.78</v>
      </c>
      <c r="L3839">
        <v>212.29</v>
      </c>
      <c r="M3839">
        <v>17802</v>
      </c>
      <c r="N3839" t="s">
        <v>18</v>
      </c>
      <c r="O3839">
        <v>250120</v>
      </c>
      <c r="P3839">
        <v>832.49</v>
      </c>
    </row>
    <row r="3840" spans="1:16" x14ac:dyDescent="0.25">
      <c r="A3840" t="s">
        <v>3296</v>
      </c>
      <c r="B3840" t="s">
        <v>2931</v>
      </c>
      <c r="C3840">
        <v>311</v>
      </c>
      <c r="D3840" t="str">
        <f>"990357005   "</f>
        <v xml:space="preserve">990357005   </v>
      </c>
      <c r="E3840" t="s">
        <v>392</v>
      </c>
      <c r="F3840" t="s">
        <v>394</v>
      </c>
      <c r="G3840">
        <v>353.91</v>
      </c>
      <c r="H3840">
        <v>250114</v>
      </c>
      <c r="I3840">
        <v>4367</v>
      </c>
      <c r="J3840" t="s">
        <v>159</v>
      </c>
      <c r="K3840">
        <v>353.91</v>
      </c>
      <c r="L3840">
        <v>71.91</v>
      </c>
      <c r="M3840">
        <v>46557</v>
      </c>
      <c r="N3840" t="s">
        <v>104</v>
      </c>
      <c r="O3840">
        <v>250121</v>
      </c>
      <c r="P3840">
        <v>282</v>
      </c>
    </row>
    <row r="3841" spans="1:16" x14ac:dyDescent="0.25">
      <c r="A3841" t="s">
        <v>3296</v>
      </c>
      <c r="B3841" t="s">
        <v>2931</v>
      </c>
      <c r="C3841">
        <v>1085</v>
      </c>
      <c r="D3841" t="str">
        <f>"990359089   "</f>
        <v xml:space="preserve">990359089   </v>
      </c>
      <c r="E3841" t="s">
        <v>392</v>
      </c>
      <c r="F3841" t="s">
        <v>394</v>
      </c>
      <c r="G3841">
        <v>45.87</v>
      </c>
      <c r="H3841">
        <v>250129</v>
      </c>
      <c r="I3841">
        <v>4367</v>
      </c>
      <c r="J3841" t="s">
        <v>159</v>
      </c>
      <c r="K3841">
        <v>45.87</v>
      </c>
      <c r="L3841">
        <v>9.32</v>
      </c>
      <c r="M3841">
        <v>46557</v>
      </c>
      <c r="N3841" t="s">
        <v>104</v>
      </c>
      <c r="O3841">
        <v>250204</v>
      </c>
      <c r="P3841">
        <v>36.549999999999997</v>
      </c>
    </row>
    <row r="3842" spans="1:16" x14ac:dyDescent="0.25">
      <c r="A3842" t="s">
        <v>3296</v>
      </c>
      <c r="B3842" t="s">
        <v>2931</v>
      </c>
      <c r="C3842">
        <v>1414</v>
      </c>
      <c r="D3842" t="str">
        <f>"990359088   "</f>
        <v xml:space="preserve">990359088   </v>
      </c>
      <c r="E3842" t="s">
        <v>392</v>
      </c>
      <c r="F3842" t="s">
        <v>394</v>
      </c>
      <c r="G3842">
        <v>127.05</v>
      </c>
      <c r="H3842">
        <v>250129</v>
      </c>
      <c r="I3842">
        <v>4367</v>
      </c>
      <c r="J3842" t="s">
        <v>159</v>
      </c>
      <c r="K3842">
        <v>127.05</v>
      </c>
      <c r="L3842">
        <v>25.81</v>
      </c>
      <c r="M3842">
        <v>56559</v>
      </c>
      <c r="N3842" t="s">
        <v>51</v>
      </c>
      <c r="O3842">
        <v>250210</v>
      </c>
      <c r="P3842">
        <v>101.24</v>
      </c>
    </row>
    <row r="3843" spans="1:16" x14ac:dyDescent="0.25">
      <c r="A3843" t="s">
        <v>3296</v>
      </c>
      <c r="B3843" t="s">
        <v>2931</v>
      </c>
      <c r="C3843">
        <v>4960</v>
      </c>
      <c r="D3843" t="str">
        <f>"990361504   "</f>
        <v xml:space="preserve">990361504   </v>
      </c>
      <c r="E3843" t="s">
        <v>392</v>
      </c>
      <c r="F3843" t="s">
        <v>394</v>
      </c>
      <c r="G3843">
        <v>33.590000000000003</v>
      </c>
      <c r="H3843">
        <v>250331</v>
      </c>
      <c r="I3843">
        <v>4367</v>
      </c>
      <c r="J3843" t="s">
        <v>159</v>
      </c>
      <c r="K3843">
        <v>33.590000000000003</v>
      </c>
      <c r="L3843">
        <v>6.83</v>
      </c>
      <c r="M3843">
        <v>46557</v>
      </c>
      <c r="N3843" t="s">
        <v>104</v>
      </c>
      <c r="O3843">
        <v>250416</v>
      </c>
      <c r="P3843">
        <v>26.76</v>
      </c>
    </row>
    <row r="3844" spans="1:16" x14ac:dyDescent="0.25">
      <c r="A3844" t="s">
        <v>3296</v>
      </c>
      <c r="B3844" t="s">
        <v>2931</v>
      </c>
      <c r="C3844">
        <v>5252</v>
      </c>
      <c r="D3844" t="str">
        <f>"990361503   "</f>
        <v xml:space="preserve">990361503   </v>
      </c>
      <c r="E3844" t="s">
        <v>392</v>
      </c>
      <c r="F3844" t="s">
        <v>394</v>
      </c>
      <c r="G3844">
        <v>92.62</v>
      </c>
      <c r="H3844">
        <v>250408</v>
      </c>
      <c r="I3844">
        <v>4367</v>
      </c>
      <c r="J3844" t="s">
        <v>159</v>
      </c>
      <c r="K3844">
        <v>92.62</v>
      </c>
      <c r="L3844">
        <v>18.82</v>
      </c>
      <c r="M3844">
        <v>56559</v>
      </c>
      <c r="N3844" t="s">
        <v>51</v>
      </c>
      <c r="O3844">
        <v>250423</v>
      </c>
      <c r="P3844">
        <v>73.8</v>
      </c>
    </row>
    <row r="3845" spans="1:16" x14ac:dyDescent="0.25">
      <c r="A3845" t="s">
        <v>3296</v>
      </c>
      <c r="B3845" t="s">
        <v>2931</v>
      </c>
      <c r="C3845">
        <v>5811</v>
      </c>
      <c r="D3845" t="str">
        <f>"990364741   "</f>
        <v xml:space="preserve">990364741   </v>
      </c>
      <c r="E3845" t="s">
        <v>392</v>
      </c>
      <c r="F3845" t="s">
        <v>394</v>
      </c>
      <c r="G3845">
        <v>1044.79</v>
      </c>
      <c r="H3845">
        <v>250427</v>
      </c>
      <c r="I3845">
        <v>4367</v>
      </c>
      <c r="J3845" t="s">
        <v>159</v>
      </c>
      <c r="K3845">
        <v>1044.79</v>
      </c>
      <c r="L3845">
        <v>212.29</v>
      </c>
      <c r="M3845">
        <v>17802</v>
      </c>
      <c r="N3845" t="s">
        <v>18</v>
      </c>
      <c r="O3845">
        <v>250505</v>
      </c>
      <c r="P3845">
        <v>832.5</v>
      </c>
    </row>
    <row r="3846" spans="1:16" x14ac:dyDescent="0.25">
      <c r="A3846" t="s">
        <v>3296</v>
      </c>
      <c r="B3846" t="s">
        <v>2931</v>
      </c>
      <c r="C3846">
        <v>5816</v>
      </c>
      <c r="D3846" t="str">
        <f>"990364742   "</f>
        <v xml:space="preserve">990364742   </v>
      </c>
      <c r="E3846" t="s">
        <v>392</v>
      </c>
      <c r="F3846" t="s">
        <v>394</v>
      </c>
      <c r="G3846">
        <v>353.91</v>
      </c>
      <c r="H3846">
        <v>250427</v>
      </c>
      <c r="I3846">
        <v>4367</v>
      </c>
      <c r="J3846" t="s">
        <v>159</v>
      </c>
      <c r="K3846">
        <v>353.91</v>
      </c>
      <c r="L3846">
        <v>71.91</v>
      </c>
      <c r="M3846">
        <v>46557</v>
      </c>
      <c r="N3846" t="s">
        <v>104</v>
      </c>
      <c r="O3846">
        <v>250505</v>
      </c>
      <c r="P3846">
        <v>282</v>
      </c>
    </row>
    <row r="3847" spans="1:16" x14ac:dyDescent="0.25">
      <c r="A3847" t="s">
        <v>3296</v>
      </c>
      <c r="B3847" t="s">
        <v>2931</v>
      </c>
      <c r="C3847">
        <v>5988</v>
      </c>
      <c r="D3847" t="str">
        <f>"990364740   "</f>
        <v xml:space="preserve">990364740   </v>
      </c>
      <c r="E3847" t="s">
        <v>392</v>
      </c>
      <c r="F3847" t="s">
        <v>394</v>
      </c>
      <c r="G3847">
        <v>355.79</v>
      </c>
      <c r="H3847">
        <v>250427</v>
      </c>
      <c r="I3847">
        <v>4367</v>
      </c>
      <c r="J3847" t="s">
        <v>159</v>
      </c>
      <c r="K3847">
        <v>355.79</v>
      </c>
      <c r="L3847">
        <v>72.290000000000006</v>
      </c>
      <c r="M3847">
        <v>56559</v>
      </c>
      <c r="N3847" t="s">
        <v>51</v>
      </c>
      <c r="O3847">
        <v>250508</v>
      </c>
      <c r="P3847">
        <v>283.5</v>
      </c>
    </row>
    <row r="3848" spans="1:16" x14ac:dyDescent="0.25">
      <c r="A3848" t="s">
        <v>3296</v>
      </c>
      <c r="B3848" t="s">
        <v>2931</v>
      </c>
      <c r="C3848">
        <v>9622</v>
      </c>
      <c r="D3848" t="str">
        <f>"990367147   "</f>
        <v xml:space="preserve">990367147   </v>
      </c>
      <c r="E3848" t="s">
        <v>392</v>
      </c>
      <c r="F3848" t="s">
        <v>394</v>
      </c>
      <c r="G3848">
        <v>66.67</v>
      </c>
      <c r="H3848">
        <v>250630</v>
      </c>
      <c r="I3848">
        <v>4367</v>
      </c>
      <c r="J3848" t="s">
        <v>159</v>
      </c>
      <c r="K3848">
        <v>66.67</v>
      </c>
      <c r="L3848">
        <v>13.55</v>
      </c>
      <c r="M3848">
        <v>56559</v>
      </c>
      <c r="N3848" t="s">
        <v>51</v>
      </c>
      <c r="O3848">
        <v>250721</v>
      </c>
      <c r="P3848">
        <v>53.12</v>
      </c>
    </row>
    <row r="3849" spans="1:16" x14ac:dyDescent="0.25">
      <c r="A3849" t="s">
        <v>3296</v>
      </c>
      <c r="B3849" t="s">
        <v>2931</v>
      </c>
      <c r="C3849">
        <v>9674</v>
      </c>
      <c r="D3849" t="str">
        <f>"990368921   "</f>
        <v xml:space="preserve">990368921   </v>
      </c>
      <c r="E3849" t="s">
        <v>392</v>
      </c>
      <c r="F3849" t="s">
        <v>394</v>
      </c>
      <c r="G3849">
        <v>355.79</v>
      </c>
      <c r="H3849">
        <v>250716</v>
      </c>
      <c r="I3849">
        <v>4367</v>
      </c>
      <c r="J3849" t="s">
        <v>159</v>
      </c>
      <c r="K3849">
        <v>355.79</v>
      </c>
      <c r="L3849">
        <v>72.290000000000006</v>
      </c>
      <c r="M3849">
        <v>56559</v>
      </c>
      <c r="N3849" t="s">
        <v>51</v>
      </c>
      <c r="O3849">
        <v>250724</v>
      </c>
      <c r="P3849">
        <v>283.5</v>
      </c>
    </row>
    <row r="3850" spans="1:16" x14ac:dyDescent="0.25">
      <c r="A3850" t="s">
        <v>3296</v>
      </c>
      <c r="B3850" t="s">
        <v>2931</v>
      </c>
      <c r="C3850">
        <v>9765</v>
      </c>
      <c r="D3850" t="str">
        <f>"990368922   "</f>
        <v xml:space="preserve">990368922   </v>
      </c>
      <c r="E3850" t="s">
        <v>392</v>
      </c>
      <c r="F3850" t="s">
        <v>394</v>
      </c>
      <c r="G3850">
        <v>1044.79</v>
      </c>
      <c r="H3850">
        <v>250716</v>
      </c>
      <c r="I3850">
        <v>4367</v>
      </c>
      <c r="J3850" t="s">
        <v>159</v>
      </c>
      <c r="K3850">
        <v>1044.79</v>
      </c>
      <c r="L3850">
        <v>212.29</v>
      </c>
      <c r="M3850">
        <v>17802</v>
      </c>
      <c r="N3850" t="s">
        <v>18</v>
      </c>
      <c r="O3850">
        <v>250728</v>
      </c>
      <c r="P3850">
        <v>832.5</v>
      </c>
    </row>
    <row r="3851" spans="1:16" x14ac:dyDescent="0.25">
      <c r="A3851" t="s">
        <v>3296</v>
      </c>
      <c r="B3851" t="s">
        <v>2931</v>
      </c>
      <c r="C3851">
        <v>9865</v>
      </c>
      <c r="D3851" t="str">
        <f>"990367148   "</f>
        <v xml:space="preserve">990367148   </v>
      </c>
      <c r="E3851" t="s">
        <v>392</v>
      </c>
      <c r="F3851" t="s">
        <v>394</v>
      </c>
      <c r="G3851">
        <v>28.54</v>
      </c>
      <c r="H3851">
        <v>250630</v>
      </c>
      <c r="I3851">
        <v>4367</v>
      </c>
      <c r="J3851" t="s">
        <v>159</v>
      </c>
      <c r="K3851">
        <v>28.54</v>
      </c>
      <c r="L3851">
        <v>5.8</v>
      </c>
      <c r="M3851">
        <v>46557</v>
      </c>
      <c r="N3851" t="s">
        <v>104</v>
      </c>
      <c r="O3851">
        <v>250731</v>
      </c>
      <c r="P3851">
        <v>22.74</v>
      </c>
    </row>
    <row r="3852" spans="1:16" x14ac:dyDescent="0.25">
      <c r="A3852" t="s">
        <v>3296</v>
      </c>
      <c r="B3852" t="s">
        <v>2931</v>
      </c>
      <c r="C3852">
        <v>9866</v>
      </c>
      <c r="D3852" t="str">
        <f>"990368923   "</f>
        <v xml:space="preserve">990368923   </v>
      </c>
      <c r="E3852" t="s">
        <v>392</v>
      </c>
      <c r="F3852" t="s">
        <v>394</v>
      </c>
      <c r="G3852">
        <v>353.91</v>
      </c>
      <c r="H3852">
        <v>250716</v>
      </c>
      <c r="I3852">
        <v>4367</v>
      </c>
      <c r="J3852" t="s">
        <v>159</v>
      </c>
      <c r="K3852">
        <v>353.91</v>
      </c>
      <c r="L3852">
        <v>71.91</v>
      </c>
      <c r="M3852">
        <v>46557</v>
      </c>
      <c r="N3852" t="s">
        <v>104</v>
      </c>
      <c r="O3852">
        <v>250731</v>
      </c>
      <c r="P3852">
        <v>282</v>
      </c>
    </row>
    <row r="3853" spans="1:16" x14ac:dyDescent="0.25">
      <c r="A3853" t="s">
        <v>3296</v>
      </c>
      <c r="B3853" t="s">
        <v>2931</v>
      </c>
      <c r="C3853">
        <v>13674</v>
      </c>
      <c r="D3853" t="str">
        <f>"990372695   "</f>
        <v xml:space="preserve">990372695   </v>
      </c>
      <c r="E3853" t="s">
        <v>392</v>
      </c>
      <c r="F3853" t="s">
        <v>394</v>
      </c>
      <c r="G3853">
        <v>28.54</v>
      </c>
      <c r="H3853">
        <v>251001</v>
      </c>
      <c r="I3853">
        <v>4367</v>
      </c>
      <c r="J3853" t="s">
        <v>159</v>
      </c>
      <c r="K3853">
        <v>28.54</v>
      </c>
      <c r="L3853">
        <v>5.8</v>
      </c>
      <c r="M3853">
        <v>46557</v>
      </c>
      <c r="N3853" t="s">
        <v>104</v>
      </c>
      <c r="O3853">
        <v>251013</v>
      </c>
      <c r="P3853">
        <v>22.74</v>
      </c>
    </row>
    <row r="3854" spans="1:16" x14ac:dyDescent="0.25">
      <c r="A3854" t="s">
        <v>3296</v>
      </c>
      <c r="B3854" t="s">
        <v>2931</v>
      </c>
      <c r="C3854">
        <v>13777</v>
      </c>
      <c r="D3854" t="str">
        <f>"990372694   "</f>
        <v xml:space="preserve">990372694   </v>
      </c>
      <c r="E3854" t="s">
        <v>392</v>
      </c>
      <c r="F3854" t="s">
        <v>394</v>
      </c>
      <c r="G3854">
        <v>66.67</v>
      </c>
      <c r="H3854">
        <v>251009</v>
      </c>
      <c r="I3854">
        <v>4367</v>
      </c>
      <c r="J3854" t="s">
        <v>159</v>
      </c>
      <c r="K3854">
        <v>66.67</v>
      </c>
      <c r="L3854">
        <v>13.55</v>
      </c>
      <c r="M3854">
        <v>56559</v>
      </c>
      <c r="N3854" t="s">
        <v>51</v>
      </c>
      <c r="O3854">
        <v>251020</v>
      </c>
      <c r="P3854">
        <v>53.12</v>
      </c>
    </row>
    <row r="3855" spans="1:16" x14ac:dyDescent="0.25">
      <c r="A3855" t="s">
        <v>3296</v>
      </c>
      <c r="B3855" t="s">
        <v>2931</v>
      </c>
      <c r="C3855">
        <v>14029</v>
      </c>
      <c r="D3855" t="str">
        <f>"990374153   "</f>
        <v xml:space="preserve">990374153   </v>
      </c>
      <c r="E3855" t="s">
        <v>392</v>
      </c>
      <c r="F3855" t="s">
        <v>394</v>
      </c>
      <c r="G3855">
        <v>-4.75</v>
      </c>
      <c r="H3855">
        <v>251017</v>
      </c>
      <c r="I3855">
        <v>4367</v>
      </c>
      <c r="J3855" t="s">
        <v>159</v>
      </c>
      <c r="K3855">
        <v>-4.75</v>
      </c>
      <c r="L3855">
        <v>-0.97</v>
      </c>
      <c r="M3855">
        <v>46557</v>
      </c>
      <c r="N3855" t="s">
        <v>104</v>
      </c>
      <c r="O3855">
        <v>251022</v>
      </c>
      <c r="P3855">
        <v>-3.78</v>
      </c>
    </row>
    <row r="3856" spans="1:16" x14ac:dyDescent="0.25">
      <c r="A3856" t="s">
        <v>3296</v>
      </c>
      <c r="B3856" t="s">
        <v>2931</v>
      </c>
      <c r="C3856">
        <v>14030</v>
      </c>
      <c r="D3856" t="str">
        <f>"990374152   "</f>
        <v xml:space="preserve">990374152   </v>
      </c>
      <c r="E3856" t="s">
        <v>392</v>
      </c>
      <c r="F3856" t="s">
        <v>394</v>
      </c>
      <c r="G3856">
        <v>6.32</v>
      </c>
      <c r="H3856">
        <v>251017</v>
      </c>
      <c r="I3856">
        <v>4367</v>
      </c>
      <c r="J3856" t="s">
        <v>159</v>
      </c>
      <c r="K3856">
        <v>6.32</v>
      </c>
      <c r="L3856">
        <v>1.28</v>
      </c>
      <c r="M3856">
        <v>56559</v>
      </c>
      <c r="N3856" t="s">
        <v>51</v>
      </c>
      <c r="O3856">
        <v>251022</v>
      </c>
      <c r="P3856">
        <v>5.04</v>
      </c>
    </row>
    <row r="3857" spans="1:16" x14ac:dyDescent="0.25">
      <c r="A3857" t="s">
        <v>3296</v>
      </c>
      <c r="B3857" t="s">
        <v>2931</v>
      </c>
      <c r="C3857">
        <v>14366</v>
      </c>
      <c r="D3857" t="str">
        <f>"990377299   "</f>
        <v xml:space="preserve">990377299   </v>
      </c>
      <c r="E3857" t="s">
        <v>392</v>
      </c>
      <c r="F3857" t="s">
        <v>394</v>
      </c>
      <c r="G3857">
        <v>355.79</v>
      </c>
      <c r="H3857">
        <v>251028</v>
      </c>
      <c r="I3857">
        <v>4367</v>
      </c>
      <c r="J3857" t="s">
        <v>159</v>
      </c>
      <c r="K3857">
        <v>355.79</v>
      </c>
      <c r="L3857">
        <v>72.290000000000006</v>
      </c>
      <c r="M3857">
        <v>56559</v>
      </c>
      <c r="N3857" t="s">
        <v>51</v>
      </c>
      <c r="O3857">
        <v>251030</v>
      </c>
      <c r="P3857">
        <v>283.5</v>
      </c>
    </row>
    <row r="3858" spans="1:16" x14ac:dyDescent="0.25">
      <c r="A3858" t="s">
        <v>3296</v>
      </c>
      <c r="B3858" t="s">
        <v>2931</v>
      </c>
      <c r="C3858">
        <v>14381</v>
      </c>
      <c r="D3858" t="str">
        <f>"990377300   "</f>
        <v xml:space="preserve">990377300   </v>
      </c>
      <c r="E3858" t="s">
        <v>392</v>
      </c>
      <c r="F3858" t="s">
        <v>394</v>
      </c>
      <c r="G3858">
        <v>1044.79</v>
      </c>
      <c r="H3858">
        <v>251028</v>
      </c>
      <c r="I3858">
        <v>4367</v>
      </c>
      <c r="J3858" t="s">
        <v>159</v>
      </c>
      <c r="K3858">
        <v>1044.79</v>
      </c>
      <c r="L3858">
        <v>212.29</v>
      </c>
      <c r="M3858">
        <v>17802</v>
      </c>
      <c r="N3858" t="s">
        <v>18</v>
      </c>
      <c r="O3858">
        <v>251031</v>
      </c>
      <c r="P3858">
        <v>832.5</v>
      </c>
    </row>
    <row r="3859" spans="1:16" x14ac:dyDescent="0.25">
      <c r="A3859" t="s">
        <v>3296</v>
      </c>
      <c r="B3859" t="s">
        <v>2931</v>
      </c>
      <c r="C3859">
        <v>14427</v>
      </c>
      <c r="D3859" t="str">
        <f>"990377301   "</f>
        <v xml:space="preserve">990377301   </v>
      </c>
      <c r="E3859" t="s">
        <v>392</v>
      </c>
      <c r="F3859" t="s">
        <v>394</v>
      </c>
      <c r="G3859">
        <v>353.91</v>
      </c>
      <c r="H3859">
        <v>251028</v>
      </c>
      <c r="I3859">
        <v>4367</v>
      </c>
      <c r="J3859" t="s">
        <v>159</v>
      </c>
      <c r="K3859">
        <v>353.91</v>
      </c>
      <c r="L3859">
        <v>71.91</v>
      </c>
      <c r="M3859">
        <v>46557</v>
      </c>
      <c r="N3859" t="s">
        <v>104</v>
      </c>
      <c r="O3859">
        <v>251031</v>
      </c>
      <c r="P3859">
        <v>282</v>
      </c>
    </row>
    <row r="3860" spans="1:16" x14ac:dyDescent="0.25">
      <c r="A3860" t="s">
        <v>3296</v>
      </c>
      <c r="B3860" t="s">
        <v>2931</v>
      </c>
      <c r="C3860">
        <v>18575</v>
      </c>
      <c r="D3860" t="str">
        <f>"990379841   "</f>
        <v xml:space="preserve">990379841   </v>
      </c>
      <c r="E3860" t="s">
        <v>392</v>
      </c>
      <c r="F3860" t="s">
        <v>394</v>
      </c>
      <c r="G3860">
        <v>43.67</v>
      </c>
      <c r="H3860">
        <v>251231</v>
      </c>
      <c r="I3860">
        <v>4367</v>
      </c>
      <c r="J3860" t="s">
        <v>159</v>
      </c>
      <c r="K3860">
        <v>43.67</v>
      </c>
      <c r="L3860">
        <v>8.8699999999999992</v>
      </c>
      <c r="M3860">
        <v>46557</v>
      </c>
      <c r="N3860" t="s">
        <v>104</v>
      </c>
      <c r="O3860">
        <v>260116</v>
      </c>
      <c r="P3860">
        <v>34.799999999999997</v>
      </c>
    </row>
    <row r="3861" spans="1:16" x14ac:dyDescent="0.25">
      <c r="A3861" t="s">
        <v>3296</v>
      </c>
      <c r="B3861" t="s">
        <v>2931</v>
      </c>
      <c r="C3861">
        <v>18589</v>
      </c>
      <c r="D3861" t="str">
        <f>"990379840   "</f>
        <v xml:space="preserve">990379840   </v>
      </c>
      <c r="E3861" t="s">
        <v>392</v>
      </c>
      <c r="F3861" t="s">
        <v>394</v>
      </c>
      <c r="G3861">
        <v>73.239999999999995</v>
      </c>
      <c r="H3861">
        <v>251231</v>
      </c>
      <c r="I3861">
        <v>4367</v>
      </c>
      <c r="J3861" t="s">
        <v>159</v>
      </c>
      <c r="K3861">
        <v>73.239999999999995</v>
      </c>
      <c r="L3861">
        <v>14.88</v>
      </c>
      <c r="M3861">
        <v>56559</v>
      </c>
      <c r="N3861" t="s">
        <v>51</v>
      </c>
      <c r="O3861">
        <v>260116</v>
      </c>
      <c r="P3861">
        <v>58.36</v>
      </c>
    </row>
    <row r="3862" spans="1:16" x14ac:dyDescent="0.25">
      <c r="A3862" t="s">
        <v>3296</v>
      </c>
      <c r="B3862" t="s">
        <v>2931</v>
      </c>
      <c r="C3862">
        <v>14513</v>
      </c>
      <c r="D3862" t="str">
        <f>"I01-00100457"</f>
        <v>I01-00100457</v>
      </c>
      <c r="E3862" t="s">
        <v>2516</v>
      </c>
      <c r="F3862" t="s">
        <v>2517</v>
      </c>
      <c r="G3862">
        <v>17.43</v>
      </c>
      <c r="H3862">
        <v>251029</v>
      </c>
      <c r="I3862">
        <v>4420</v>
      </c>
      <c r="J3862" t="s">
        <v>330</v>
      </c>
      <c r="K3862">
        <v>301.01</v>
      </c>
      <c r="L3862">
        <v>3.54</v>
      </c>
      <c r="M3862">
        <v>11903</v>
      </c>
      <c r="N3862" t="s">
        <v>32</v>
      </c>
      <c r="O3862">
        <v>251104</v>
      </c>
      <c r="P3862">
        <v>13.89</v>
      </c>
    </row>
    <row r="3863" spans="1:16" x14ac:dyDescent="0.25">
      <c r="A3863" t="s">
        <v>3296</v>
      </c>
      <c r="B3863" t="s">
        <v>2931</v>
      </c>
      <c r="C3863">
        <v>14513</v>
      </c>
      <c r="D3863" t="str">
        <f>"I01-00100457"</f>
        <v>I01-00100457</v>
      </c>
      <c r="E3863" t="s">
        <v>2516</v>
      </c>
      <c r="F3863" t="s">
        <v>2517</v>
      </c>
      <c r="G3863">
        <v>283.58</v>
      </c>
      <c r="H3863">
        <v>251029</v>
      </c>
      <c r="I3863">
        <v>4600</v>
      </c>
      <c r="J3863" t="s">
        <v>278</v>
      </c>
      <c r="K3863">
        <v>301.01</v>
      </c>
      <c r="L3863">
        <v>57.62</v>
      </c>
      <c r="M3863">
        <v>11903</v>
      </c>
      <c r="N3863" t="s">
        <v>32</v>
      </c>
      <c r="O3863">
        <v>251104</v>
      </c>
      <c r="P3863">
        <v>225.96</v>
      </c>
    </row>
    <row r="3864" spans="1:16" x14ac:dyDescent="0.25">
      <c r="A3864" t="s">
        <v>3296</v>
      </c>
      <c r="B3864" t="s">
        <v>2931</v>
      </c>
      <c r="C3864">
        <v>3594</v>
      </c>
      <c r="D3864" t="str">
        <f>"2111444     "</f>
        <v xml:space="preserve">2111444     </v>
      </c>
      <c r="E3864" t="s">
        <v>2838</v>
      </c>
      <c r="F3864" t="s">
        <v>2839</v>
      </c>
      <c r="G3864">
        <v>350</v>
      </c>
      <c r="H3864">
        <v>250320</v>
      </c>
      <c r="I3864">
        <v>4440</v>
      </c>
      <c r="J3864" t="s">
        <v>346</v>
      </c>
      <c r="K3864">
        <v>350</v>
      </c>
      <c r="L3864">
        <v>0</v>
      </c>
      <c r="M3864">
        <v>16930</v>
      </c>
      <c r="N3864" t="s">
        <v>135</v>
      </c>
      <c r="O3864">
        <v>250326</v>
      </c>
      <c r="P3864">
        <v>350</v>
      </c>
    </row>
    <row r="3865" spans="1:16" x14ac:dyDescent="0.25">
      <c r="A3865" t="s">
        <v>3296</v>
      </c>
      <c r="B3865" t="s">
        <v>2931</v>
      </c>
      <c r="C3865">
        <v>15624</v>
      </c>
      <c r="D3865" t="str">
        <f>"27676       "</f>
        <v xml:space="preserve">27676       </v>
      </c>
      <c r="E3865" t="s">
        <v>1332</v>
      </c>
      <c r="F3865" t="s">
        <v>1333</v>
      </c>
      <c r="G3865">
        <v>50</v>
      </c>
      <c r="H3865">
        <v>251120</v>
      </c>
      <c r="I3865">
        <v>4470</v>
      </c>
      <c r="J3865" t="s">
        <v>203</v>
      </c>
      <c r="K3865">
        <v>50</v>
      </c>
      <c r="L3865">
        <v>10.16</v>
      </c>
      <c r="M3865">
        <v>46564</v>
      </c>
      <c r="N3865" t="s">
        <v>678</v>
      </c>
      <c r="O3865">
        <v>251124</v>
      </c>
      <c r="P3865">
        <v>39.840000000000003</v>
      </c>
    </row>
    <row r="3866" spans="1:16" x14ac:dyDescent="0.25">
      <c r="A3866" t="s">
        <v>3296</v>
      </c>
      <c r="B3866" t="s">
        <v>2931</v>
      </c>
      <c r="C3866">
        <v>2658</v>
      </c>
      <c r="D3866" t="str">
        <f>"24203       "</f>
        <v xml:space="preserve">24203       </v>
      </c>
      <c r="E3866" t="s">
        <v>1332</v>
      </c>
      <c r="F3866" t="s">
        <v>1333</v>
      </c>
      <c r="G3866">
        <v>136.9</v>
      </c>
      <c r="H3866">
        <v>250225</v>
      </c>
      <c r="I3866">
        <v>4580</v>
      </c>
      <c r="J3866" t="s">
        <v>126</v>
      </c>
      <c r="K3866">
        <v>136.9</v>
      </c>
      <c r="L3866">
        <v>27.82</v>
      </c>
      <c r="M3866">
        <v>67522</v>
      </c>
      <c r="N3866" t="s">
        <v>121</v>
      </c>
      <c r="O3866">
        <v>250310</v>
      </c>
      <c r="P3866">
        <v>109.08</v>
      </c>
    </row>
    <row r="3867" spans="1:16" x14ac:dyDescent="0.25">
      <c r="A3867" t="s">
        <v>3296</v>
      </c>
      <c r="B3867" t="s">
        <v>2931</v>
      </c>
      <c r="C3867">
        <v>8804</v>
      </c>
      <c r="D3867" t="str">
        <f>"940089225   "</f>
        <v xml:space="preserve">940089225   </v>
      </c>
      <c r="E3867" t="s">
        <v>2055</v>
      </c>
      <c r="F3867" t="s">
        <v>2056</v>
      </c>
      <c r="G3867">
        <v>1762.07</v>
      </c>
      <c r="H3867">
        <v>250611</v>
      </c>
      <c r="I3867">
        <v>4400</v>
      </c>
      <c r="J3867" t="s">
        <v>162</v>
      </c>
      <c r="K3867">
        <v>1762.07</v>
      </c>
      <c r="L3867">
        <v>358.03</v>
      </c>
      <c r="M3867">
        <v>17951</v>
      </c>
      <c r="N3867" t="s">
        <v>207</v>
      </c>
      <c r="O3867">
        <v>250618</v>
      </c>
      <c r="P3867">
        <v>1404.04</v>
      </c>
    </row>
    <row r="3868" spans="1:16" x14ac:dyDescent="0.25">
      <c r="A3868" t="s">
        <v>3296</v>
      </c>
      <c r="B3868" t="s">
        <v>2931</v>
      </c>
      <c r="C3868">
        <v>9863</v>
      </c>
      <c r="D3868" t="str">
        <f>"940090224   "</f>
        <v xml:space="preserve">940090224   </v>
      </c>
      <c r="E3868" t="s">
        <v>2055</v>
      </c>
      <c r="F3868" t="s">
        <v>2056</v>
      </c>
      <c r="G3868">
        <v>4884.38</v>
      </c>
      <c r="H3868">
        <v>250716</v>
      </c>
      <c r="I3868">
        <v>4400</v>
      </c>
      <c r="J3868" t="s">
        <v>162</v>
      </c>
      <c r="K3868">
        <v>6884.38</v>
      </c>
      <c r="L3868">
        <v>992.44</v>
      </c>
      <c r="M3868">
        <v>46559</v>
      </c>
      <c r="N3868" t="s">
        <v>105</v>
      </c>
      <c r="O3868">
        <v>250731</v>
      </c>
      <c r="P3868">
        <v>3891.94</v>
      </c>
    </row>
    <row r="3869" spans="1:16" x14ac:dyDescent="0.25">
      <c r="A3869" t="s">
        <v>3296</v>
      </c>
      <c r="B3869" t="s">
        <v>2931</v>
      </c>
      <c r="C3869">
        <v>9863</v>
      </c>
      <c r="D3869" t="str">
        <f>"940090224   "</f>
        <v xml:space="preserve">940090224   </v>
      </c>
      <c r="E3869" t="s">
        <v>2055</v>
      </c>
      <c r="F3869" t="s">
        <v>2056</v>
      </c>
      <c r="G3869">
        <v>2000</v>
      </c>
      <c r="H3869">
        <v>250716</v>
      </c>
      <c r="I3869">
        <v>4400</v>
      </c>
      <c r="J3869" t="s">
        <v>162</v>
      </c>
      <c r="K3869">
        <v>6884.38</v>
      </c>
      <c r="L3869">
        <v>406.37</v>
      </c>
      <c r="M3869">
        <v>47522</v>
      </c>
      <c r="N3869" t="s">
        <v>106</v>
      </c>
      <c r="O3869">
        <v>250731</v>
      </c>
      <c r="P3869">
        <v>1593.63</v>
      </c>
    </row>
    <row r="3870" spans="1:16" x14ac:dyDescent="0.25">
      <c r="A3870" t="s">
        <v>3296</v>
      </c>
      <c r="B3870" t="s">
        <v>2931</v>
      </c>
      <c r="C3870">
        <v>11287</v>
      </c>
      <c r="D3870" t="str">
        <f>"940091140   "</f>
        <v xml:space="preserve">940091140   </v>
      </c>
      <c r="E3870" t="s">
        <v>2055</v>
      </c>
      <c r="F3870" t="s">
        <v>2056</v>
      </c>
      <c r="G3870">
        <v>370.43</v>
      </c>
      <c r="H3870">
        <v>250825</v>
      </c>
      <c r="I3870">
        <v>4400</v>
      </c>
      <c r="J3870" t="s">
        <v>162</v>
      </c>
      <c r="K3870">
        <v>370.43</v>
      </c>
      <c r="L3870">
        <v>75.27</v>
      </c>
      <c r="M3870">
        <v>49501</v>
      </c>
      <c r="N3870" t="s">
        <v>110</v>
      </c>
      <c r="O3870">
        <v>250903</v>
      </c>
      <c r="P3870">
        <v>295.16000000000003</v>
      </c>
    </row>
    <row r="3871" spans="1:16" x14ac:dyDescent="0.25">
      <c r="A3871" t="s">
        <v>3296</v>
      </c>
      <c r="B3871" t="s">
        <v>2931</v>
      </c>
      <c r="C3871">
        <v>15807</v>
      </c>
      <c r="D3871" t="str">
        <f>"940093774   "</f>
        <v xml:space="preserve">940093774   </v>
      </c>
      <c r="E3871" t="s">
        <v>2055</v>
      </c>
      <c r="F3871" t="s">
        <v>2056</v>
      </c>
      <c r="G3871">
        <v>1665.56</v>
      </c>
      <c r="H3871">
        <v>251121</v>
      </c>
      <c r="I3871">
        <v>4400</v>
      </c>
      <c r="J3871" t="s">
        <v>162</v>
      </c>
      <c r="K3871">
        <v>1665.56</v>
      </c>
      <c r="L3871">
        <v>338.42</v>
      </c>
      <c r="M3871">
        <v>17803</v>
      </c>
      <c r="N3871" t="s">
        <v>19</v>
      </c>
      <c r="O3871">
        <v>251127</v>
      </c>
      <c r="P3871">
        <v>1327.14</v>
      </c>
    </row>
    <row r="3872" spans="1:16" x14ac:dyDescent="0.25">
      <c r="A3872" t="s">
        <v>3296</v>
      </c>
      <c r="B3872" t="s">
        <v>2931</v>
      </c>
      <c r="C3872">
        <v>18103</v>
      </c>
      <c r="D3872" t="str">
        <f>"9262535129  "</f>
        <v xml:space="preserve">9262535129  </v>
      </c>
      <c r="E3872" t="s">
        <v>2318</v>
      </c>
      <c r="F3872" t="s">
        <v>2319</v>
      </c>
      <c r="G3872">
        <v>1171.99</v>
      </c>
      <c r="H3872">
        <v>251218</v>
      </c>
      <c r="I3872">
        <v>1198</v>
      </c>
      <c r="J3872" t="s">
        <v>610</v>
      </c>
      <c r="K3872">
        <v>1171.99</v>
      </c>
      <c r="L3872">
        <v>238.13</v>
      </c>
      <c r="M3872">
        <v>97628</v>
      </c>
      <c r="N3872" t="s">
        <v>737</v>
      </c>
      <c r="O3872">
        <v>260109</v>
      </c>
      <c r="P3872">
        <v>933.86</v>
      </c>
    </row>
    <row r="3873" spans="1:16" x14ac:dyDescent="0.25">
      <c r="A3873" t="s">
        <v>3296</v>
      </c>
      <c r="B3873" t="s">
        <v>2931</v>
      </c>
      <c r="C3873">
        <v>14417</v>
      </c>
      <c r="D3873" t="str">
        <f>"9253728004  "</f>
        <v xml:space="preserve">9253728004  </v>
      </c>
      <c r="E3873" t="s">
        <v>2318</v>
      </c>
      <c r="F3873" t="s">
        <v>2319</v>
      </c>
      <c r="G3873">
        <v>350</v>
      </c>
      <c r="H3873">
        <v>251028</v>
      </c>
      <c r="I3873">
        <v>4580</v>
      </c>
      <c r="J3873" t="s">
        <v>126</v>
      </c>
      <c r="K3873">
        <v>350</v>
      </c>
      <c r="L3873">
        <v>0</v>
      </c>
      <c r="M3873">
        <v>17533</v>
      </c>
      <c r="N3873" t="s">
        <v>147</v>
      </c>
      <c r="O3873">
        <v>251031</v>
      </c>
      <c r="P3873">
        <v>350</v>
      </c>
    </row>
    <row r="3874" spans="1:16" x14ac:dyDescent="0.25">
      <c r="A3874" t="s">
        <v>3296</v>
      </c>
      <c r="B3874" t="s">
        <v>2931</v>
      </c>
      <c r="C3874">
        <v>14872</v>
      </c>
      <c r="D3874" t="str">
        <f>"9253789322  "</f>
        <v xml:space="preserve">9253789322  </v>
      </c>
      <c r="E3874" t="s">
        <v>2318</v>
      </c>
      <c r="F3874" t="s">
        <v>2319</v>
      </c>
      <c r="G3874">
        <v>100</v>
      </c>
      <c r="H3874">
        <v>251029</v>
      </c>
      <c r="I3874">
        <v>4580</v>
      </c>
      <c r="J3874" t="s">
        <v>126</v>
      </c>
      <c r="K3874">
        <v>100</v>
      </c>
      <c r="L3874">
        <v>0</v>
      </c>
      <c r="M3874">
        <v>11401</v>
      </c>
      <c r="N3874" t="s">
        <v>91</v>
      </c>
      <c r="O3874">
        <v>251107</v>
      </c>
      <c r="P3874">
        <v>100</v>
      </c>
    </row>
    <row r="3875" spans="1:16" x14ac:dyDescent="0.25">
      <c r="A3875" t="s">
        <v>3296</v>
      </c>
      <c r="B3875" t="s">
        <v>2931</v>
      </c>
      <c r="C3875">
        <v>12107</v>
      </c>
      <c r="D3875" t="str">
        <f>"9246969598  "</f>
        <v xml:space="preserve">9246969598  </v>
      </c>
      <c r="E3875" t="s">
        <v>2318</v>
      </c>
      <c r="F3875" t="s">
        <v>2319</v>
      </c>
      <c r="G3875">
        <v>200</v>
      </c>
      <c r="H3875">
        <v>250901</v>
      </c>
      <c r="I3875">
        <v>4600</v>
      </c>
      <c r="J3875" t="s">
        <v>278</v>
      </c>
      <c r="K3875">
        <v>200</v>
      </c>
      <c r="L3875">
        <v>40.64</v>
      </c>
      <c r="M3875">
        <v>54222</v>
      </c>
      <c r="N3875" t="s">
        <v>48</v>
      </c>
      <c r="O3875">
        <v>250916</v>
      </c>
      <c r="P3875">
        <v>159.36000000000001</v>
      </c>
    </row>
    <row r="3876" spans="1:16" x14ac:dyDescent="0.25">
      <c r="A3876" t="s">
        <v>3296</v>
      </c>
      <c r="B3876" t="s">
        <v>2931</v>
      </c>
      <c r="C3876">
        <v>752</v>
      </c>
      <c r="D3876" t="str">
        <f>"34511       "</f>
        <v xml:space="preserve">34511       </v>
      </c>
      <c r="E3876" t="s">
        <v>714</v>
      </c>
      <c r="F3876" t="s">
        <v>715</v>
      </c>
      <c r="G3876">
        <v>5993.88</v>
      </c>
      <c r="H3876">
        <v>250117</v>
      </c>
      <c r="I3876">
        <v>4367</v>
      </c>
      <c r="J3876" t="s">
        <v>159</v>
      </c>
      <c r="K3876">
        <v>5993.88</v>
      </c>
      <c r="L3876">
        <v>1217.8800000000001</v>
      </c>
      <c r="M3876">
        <v>11301</v>
      </c>
      <c r="N3876" t="s">
        <v>92</v>
      </c>
      <c r="O3876">
        <v>250129</v>
      </c>
      <c r="P3876">
        <v>4776</v>
      </c>
    </row>
    <row r="3877" spans="1:16" x14ac:dyDescent="0.25">
      <c r="A3877" t="s">
        <v>3296</v>
      </c>
      <c r="B3877" t="s">
        <v>2931</v>
      </c>
      <c r="C3877">
        <v>9161</v>
      </c>
      <c r="D3877" t="str">
        <f>"17051       "</f>
        <v xml:space="preserve">17051       </v>
      </c>
      <c r="E3877" t="s">
        <v>2101</v>
      </c>
      <c r="F3877" t="s">
        <v>2102</v>
      </c>
      <c r="G3877">
        <v>1216.26</v>
      </c>
      <c r="H3877">
        <v>250619</v>
      </c>
      <c r="I3877">
        <v>4550</v>
      </c>
      <c r="J3877" t="s">
        <v>226</v>
      </c>
      <c r="K3877">
        <v>1994.2</v>
      </c>
      <c r="L3877">
        <v>247.13</v>
      </c>
      <c r="M3877">
        <v>59502</v>
      </c>
      <c r="N3877" t="s">
        <v>63</v>
      </c>
      <c r="O3877">
        <v>250627</v>
      </c>
      <c r="P3877">
        <v>969.13</v>
      </c>
    </row>
    <row r="3878" spans="1:16" x14ac:dyDescent="0.25">
      <c r="A3878" t="s">
        <v>3296</v>
      </c>
      <c r="B3878" t="s">
        <v>2931</v>
      </c>
      <c r="C3878">
        <v>9161</v>
      </c>
      <c r="D3878" t="str">
        <f>"17051       "</f>
        <v xml:space="preserve">17051       </v>
      </c>
      <c r="E3878" t="s">
        <v>2101</v>
      </c>
      <c r="F3878" t="s">
        <v>2102</v>
      </c>
      <c r="G3878">
        <v>777.94</v>
      </c>
      <c r="H3878">
        <v>250619</v>
      </c>
      <c r="I3878">
        <v>4550</v>
      </c>
      <c r="J3878" t="s">
        <v>226</v>
      </c>
      <c r="K3878">
        <v>1994.2</v>
      </c>
      <c r="L3878">
        <v>158.07</v>
      </c>
      <c r="M3878">
        <v>59802</v>
      </c>
      <c r="N3878" t="s">
        <v>195</v>
      </c>
      <c r="O3878">
        <v>250627</v>
      </c>
      <c r="P3878">
        <v>619.87</v>
      </c>
    </row>
    <row r="3879" spans="1:16" x14ac:dyDescent="0.25">
      <c r="A3879" t="s">
        <v>3296</v>
      </c>
      <c r="B3879" t="s">
        <v>2931</v>
      </c>
      <c r="C3879">
        <v>13180</v>
      </c>
      <c r="D3879" t="str">
        <f>"17465       "</f>
        <v xml:space="preserve">17465       </v>
      </c>
      <c r="E3879" t="s">
        <v>2101</v>
      </c>
      <c r="F3879" t="s">
        <v>2102</v>
      </c>
      <c r="G3879">
        <v>121.62</v>
      </c>
      <c r="H3879">
        <v>251003</v>
      </c>
      <c r="I3879">
        <v>4550</v>
      </c>
      <c r="J3879" t="s">
        <v>226</v>
      </c>
      <c r="K3879">
        <v>199.41</v>
      </c>
      <c r="L3879">
        <v>24.71</v>
      </c>
      <c r="M3879">
        <v>59502</v>
      </c>
      <c r="N3879" t="s">
        <v>63</v>
      </c>
      <c r="O3879">
        <v>251006</v>
      </c>
      <c r="P3879">
        <v>96.91</v>
      </c>
    </row>
    <row r="3880" spans="1:16" x14ac:dyDescent="0.25">
      <c r="A3880" t="s">
        <v>3296</v>
      </c>
      <c r="B3880" t="s">
        <v>2931</v>
      </c>
      <c r="C3880">
        <v>13180</v>
      </c>
      <c r="D3880" t="str">
        <f>"17465       "</f>
        <v xml:space="preserve">17465       </v>
      </c>
      <c r="E3880" t="s">
        <v>2101</v>
      </c>
      <c r="F3880" t="s">
        <v>2102</v>
      </c>
      <c r="G3880">
        <v>77.790000000000006</v>
      </c>
      <c r="H3880">
        <v>251003</v>
      </c>
      <c r="I3880">
        <v>4550</v>
      </c>
      <c r="J3880" t="s">
        <v>226</v>
      </c>
      <c r="K3880">
        <v>199.41</v>
      </c>
      <c r="L3880">
        <v>15.81</v>
      </c>
      <c r="M3880">
        <v>59802</v>
      </c>
      <c r="N3880" t="s">
        <v>195</v>
      </c>
      <c r="O3880">
        <v>251006</v>
      </c>
      <c r="P3880">
        <v>61.98</v>
      </c>
    </row>
    <row r="3881" spans="1:16" x14ac:dyDescent="0.25">
      <c r="A3881" t="s">
        <v>3296</v>
      </c>
      <c r="B3881" t="s">
        <v>2931</v>
      </c>
      <c r="C3881">
        <v>13953</v>
      </c>
      <c r="D3881" t="str">
        <f>"1907        "</f>
        <v xml:space="preserve">1907        </v>
      </c>
      <c r="E3881" t="s">
        <v>2462</v>
      </c>
      <c r="F3881" t="s">
        <v>2463</v>
      </c>
      <c r="G3881">
        <v>409.5</v>
      </c>
      <c r="H3881">
        <v>251009</v>
      </c>
      <c r="I3881">
        <v>4580</v>
      </c>
      <c r="J3881" t="s">
        <v>126</v>
      </c>
      <c r="K3881">
        <v>409.5</v>
      </c>
      <c r="L3881">
        <v>83.21</v>
      </c>
      <c r="M3881">
        <v>17808</v>
      </c>
      <c r="N3881" t="s">
        <v>24</v>
      </c>
      <c r="O3881">
        <v>251021</v>
      </c>
      <c r="P3881">
        <v>326.29000000000002</v>
      </c>
    </row>
    <row r="3882" spans="1:16" x14ac:dyDescent="0.25">
      <c r="A3882" t="s">
        <v>3296</v>
      </c>
      <c r="B3882" t="s">
        <v>2931</v>
      </c>
      <c r="C3882">
        <v>5483</v>
      </c>
      <c r="D3882" t="str">
        <f>"11138       "</f>
        <v xml:space="preserve">11138       </v>
      </c>
      <c r="E3882" t="s">
        <v>1455</v>
      </c>
      <c r="F3882" t="s">
        <v>1456</v>
      </c>
      <c r="G3882">
        <v>2409.6</v>
      </c>
      <c r="H3882">
        <v>250410</v>
      </c>
      <c r="I3882">
        <v>1011</v>
      </c>
      <c r="J3882" t="s">
        <v>393</v>
      </c>
      <c r="K3882">
        <v>2409.6</v>
      </c>
      <c r="L3882">
        <v>489.6</v>
      </c>
      <c r="M3882">
        <v>11602</v>
      </c>
      <c r="N3882" t="s">
        <v>1457</v>
      </c>
      <c r="O3882">
        <v>250424</v>
      </c>
      <c r="P3882">
        <v>1920</v>
      </c>
    </row>
    <row r="3883" spans="1:16" x14ac:dyDescent="0.25">
      <c r="A3883" t="s">
        <v>3296</v>
      </c>
      <c r="B3883" t="s">
        <v>2931</v>
      </c>
      <c r="C3883">
        <v>3546</v>
      </c>
      <c r="D3883" t="str">
        <f>"10951       "</f>
        <v xml:space="preserve">10951       </v>
      </c>
      <c r="E3883" t="s">
        <v>1455</v>
      </c>
      <c r="F3883" t="s">
        <v>1456</v>
      </c>
      <c r="G3883">
        <v>1005</v>
      </c>
      <c r="H3883">
        <v>250301</v>
      </c>
      <c r="I3883">
        <v>4367</v>
      </c>
      <c r="J3883" t="s">
        <v>159</v>
      </c>
      <c r="K3883">
        <v>12060.05</v>
      </c>
      <c r="L3883">
        <v>204.2</v>
      </c>
      <c r="M3883">
        <v>11602</v>
      </c>
      <c r="N3883" t="s">
        <v>1457</v>
      </c>
      <c r="O3883">
        <v>250325</v>
      </c>
      <c r="P3883">
        <v>800.8</v>
      </c>
    </row>
    <row r="3884" spans="1:16" x14ac:dyDescent="0.25">
      <c r="A3884" t="s">
        <v>3296</v>
      </c>
      <c r="B3884" t="s">
        <v>2931</v>
      </c>
      <c r="C3884">
        <v>12172</v>
      </c>
      <c r="D3884" t="str">
        <f>"12112       "</f>
        <v xml:space="preserve">12112       </v>
      </c>
      <c r="E3884" t="s">
        <v>1455</v>
      </c>
      <c r="F3884" t="s">
        <v>1456</v>
      </c>
      <c r="G3884">
        <v>601.85</v>
      </c>
      <c r="H3884">
        <v>250902</v>
      </c>
      <c r="I3884">
        <v>4367</v>
      </c>
      <c r="J3884" t="s">
        <v>159</v>
      </c>
      <c r="K3884">
        <v>1805.54</v>
      </c>
      <c r="L3884">
        <v>122.29</v>
      </c>
      <c r="M3884">
        <v>11602</v>
      </c>
      <c r="N3884" t="s">
        <v>1457</v>
      </c>
      <c r="O3884">
        <v>250917</v>
      </c>
      <c r="P3884">
        <v>479.56</v>
      </c>
    </row>
    <row r="3885" spans="1:16" x14ac:dyDescent="0.25">
      <c r="A3885" t="s">
        <v>3296</v>
      </c>
      <c r="B3885" t="s">
        <v>2931</v>
      </c>
      <c r="C3885">
        <v>14738</v>
      </c>
      <c r="D3885" t="str">
        <f>"25120432    "</f>
        <v xml:space="preserve">25120432    </v>
      </c>
      <c r="E3885" t="s">
        <v>716</v>
      </c>
      <c r="F3885" t="s">
        <v>717</v>
      </c>
      <c r="G3885">
        <v>282.19</v>
      </c>
      <c r="H3885">
        <v>251031</v>
      </c>
      <c r="I3885">
        <v>1196</v>
      </c>
      <c r="J3885" t="s">
        <v>340</v>
      </c>
      <c r="K3885">
        <v>365.71</v>
      </c>
      <c r="L3885">
        <v>57.34</v>
      </c>
      <c r="M3885">
        <v>97603</v>
      </c>
      <c r="N3885" t="s">
        <v>2289</v>
      </c>
      <c r="O3885">
        <v>251106</v>
      </c>
      <c r="P3885">
        <v>224.85</v>
      </c>
    </row>
    <row r="3886" spans="1:16" x14ac:dyDescent="0.25">
      <c r="A3886" t="s">
        <v>3296</v>
      </c>
      <c r="B3886" t="s">
        <v>2931</v>
      </c>
      <c r="C3886">
        <v>753</v>
      </c>
      <c r="D3886" t="str">
        <f>"25023824    "</f>
        <v xml:space="preserve">25023824    </v>
      </c>
      <c r="E3886" t="s">
        <v>716</v>
      </c>
      <c r="F3886" t="s">
        <v>717</v>
      </c>
      <c r="G3886">
        <v>499</v>
      </c>
      <c r="H3886">
        <v>250120</v>
      </c>
      <c r="I3886">
        <v>4350</v>
      </c>
      <c r="J3886" t="s">
        <v>290</v>
      </c>
      <c r="K3886">
        <v>499</v>
      </c>
      <c r="L3886">
        <v>101.39</v>
      </c>
      <c r="M3886">
        <v>11301</v>
      </c>
      <c r="N3886" t="s">
        <v>92</v>
      </c>
      <c r="O3886">
        <v>250129</v>
      </c>
      <c r="P3886">
        <v>397.61</v>
      </c>
    </row>
    <row r="3887" spans="1:16" x14ac:dyDescent="0.25">
      <c r="A3887" t="s">
        <v>3296</v>
      </c>
      <c r="B3887" t="s">
        <v>2931</v>
      </c>
      <c r="C3887">
        <v>1247</v>
      </c>
      <c r="D3887" t="str">
        <f>"25028236    "</f>
        <v xml:space="preserve">25028236    </v>
      </c>
      <c r="E3887" t="s">
        <v>716</v>
      </c>
      <c r="F3887" t="s">
        <v>717</v>
      </c>
      <c r="G3887">
        <v>718.22</v>
      </c>
      <c r="H3887">
        <v>250131</v>
      </c>
      <c r="I3887">
        <v>4350</v>
      </c>
      <c r="J3887" t="s">
        <v>290</v>
      </c>
      <c r="K3887">
        <v>718.22</v>
      </c>
      <c r="L3887">
        <v>145.93</v>
      </c>
      <c r="M3887">
        <v>11301</v>
      </c>
      <c r="N3887" t="s">
        <v>92</v>
      </c>
      <c r="O3887">
        <v>250206</v>
      </c>
      <c r="P3887">
        <v>572.29</v>
      </c>
    </row>
    <row r="3888" spans="1:16" x14ac:dyDescent="0.25">
      <c r="A3888" t="s">
        <v>3296</v>
      </c>
      <c r="B3888" t="s">
        <v>2931</v>
      </c>
      <c r="C3888">
        <v>11605</v>
      </c>
      <c r="D3888" t="str">
        <f>"25099984    "</f>
        <v xml:space="preserve">25099984    </v>
      </c>
      <c r="E3888" t="s">
        <v>716</v>
      </c>
      <c r="F3888" t="s">
        <v>717</v>
      </c>
      <c r="G3888">
        <v>291.39999999999998</v>
      </c>
      <c r="H3888">
        <v>250904</v>
      </c>
      <c r="I3888">
        <v>4350</v>
      </c>
      <c r="J3888" t="s">
        <v>290</v>
      </c>
      <c r="K3888">
        <v>291.39999999999998</v>
      </c>
      <c r="L3888">
        <v>59.21</v>
      </c>
      <c r="M3888">
        <v>11301</v>
      </c>
      <c r="N3888" t="s">
        <v>92</v>
      </c>
      <c r="O3888">
        <v>250909</v>
      </c>
      <c r="P3888">
        <v>232.19</v>
      </c>
    </row>
    <row r="3889" spans="1:16" x14ac:dyDescent="0.25">
      <c r="A3889" t="s">
        <v>3296</v>
      </c>
      <c r="B3889" t="s">
        <v>2931</v>
      </c>
      <c r="C3889">
        <v>14023</v>
      </c>
      <c r="D3889" t="str">
        <f>"25113195    "</f>
        <v xml:space="preserve">25113195    </v>
      </c>
      <c r="E3889" t="s">
        <v>716</v>
      </c>
      <c r="F3889" t="s">
        <v>717</v>
      </c>
      <c r="G3889">
        <v>103.25</v>
      </c>
      <c r="H3889">
        <v>251014</v>
      </c>
      <c r="I3889">
        <v>4350</v>
      </c>
      <c r="J3889" t="s">
        <v>290</v>
      </c>
      <c r="K3889">
        <v>103.25</v>
      </c>
      <c r="L3889">
        <v>20.98</v>
      </c>
      <c r="M3889">
        <v>14972</v>
      </c>
      <c r="N3889" t="s">
        <v>82</v>
      </c>
      <c r="O3889">
        <v>251022</v>
      </c>
      <c r="P3889">
        <v>82.27</v>
      </c>
    </row>
    <row r="3890" spans="1:16" x14ac:dyDescent="0.25">
      <c r="A3890" t="s">
        <v>3296</v>
      </c>
      <c r="B3890" t="s">
        <v>2931</v>
      </c>
      <c r="C3890">
        <v>16023</v>
      </c>
      <c r="D3890" t="str">
        <f>"25128152    "</f>
        <v xml:space="preserve">25128152    </v>
      </c>
      <c r="E3890" t="s">
        <v>716</v>
      </c>
      <c r="F3890" t="s">
        <v>717</v>
      </c>
      <c r="G3890">
        <v>291.39999999999998</v>
      </c>
      <c r="H3890">
        <v>251126</v>
      </c>
      <c r="I3890">
        <v>4350</v>
      </c>
      <c r="J3890" t="s">
        <v>290</v>
      </c>
      <c r="K3890">
        <v>291.39999999999998</v>
      </c>
      <c r="L3890">
        <v>59.21</v>
      </c>
      <c r="M3890">
        <v>11301</v>
      </c>
      <c r="N3890" t="s">
        <v>92</v>
      </c>
      <c r="O3890">
        <v>251202</v>
      </c>
      <c r="P3890">
        <v>232.19</v>
      </c>
    </row>
    <row r="3891" spans="1:16" x14ac:dyDescent="0.25">
      <c r="A3891" t="s">
        <v>3296</v>
      </c>
      <c r="B3891" t="s">
        <v>2931</v>
      </c>
      <c r="C3891">
        <v>6441</v>
      </c>
      <c r="D3891" t="str">
        <f>"25062880    "</f>
        <v xml:space="preserve">25062880    </v>
      </c>
      <c r="E3891" t="s">
        <v>716</v>
      </c>
      <c r="F3891" t="s">
        <v>717</v>
      </c>
      <c r="G3891">
        <v>146.82</v>
      </c>
      <c r="H3891">
        <v>250508</v>
      </c>
      <c r="I3891">
        <v>4470</v>
      </c>
      <c r="J3891" t="s">
        <v>203</v>
      </c>
      <c r="K3891">
        <v>146.82</v>
      </c>
      <c r="L3891">
        <v>29.83</v>
      </c>
      <c r="M3891">
        <v>17971</v>
      </c>
      <c r="N3891" t="s">
        <v>27</v>
      </c>
      <c r="O3891">
        <v>250513</v>
      </c>
      <c r="P3891">
        <v>116.99</v>
      </c>
    </row>
    <row r="3892" spans="1:16" x14ac:dyDescent="0.25">
      <c r="A3892" t="s">
        <v>3296</v>
      </c>
      <c r="B3892" t="s">
        <v>2931</v>
      </c>
      <c r="C3892">
        <v>14738</v>
      </c>
      <c r="D3892" t="str">
        <f>"25120432    "</f>
        <v xml:space="preserve">25120432    </v>
      </c>
      <c r="E3892" t="s">
        <v>716</v>
      </c>
      <c r="F3892" t="s">
        <v>717</v>
      </c>
      <c r="G3892">
        <v>83.52</v>
      </c>
      <c r="H3892">
        <v>251031</v>
      </c>
      <c r="I3892">
        <v>4470</v>
      </c>
      <c r="J3892" t="s">
        <v>203</v>
      </c>
      <c r="K3892">
        <v>365.71</v>
      </c>
      <c r="L3892">
        <v>16.97</v>
      </c>
      <c r="M3892">
        <v>17952</v>
      </c>
      <c r="N3892" t="s">
        <v>157</v>
      </c>
      <c r="O3892">
        <v>251106</v>
      </c>
      <c r="P3892">
        <v>66.55</v>
      </c>
    </row>
    <row r="3893" spans="1:16" x14ac:dyDescent="0.25">
      <c r="A3893" t="s">
        <v>3296</v>
      </c>
      <c r="B3893" t="s">
        <v>2931</v>
      </c>
      <c r="C3893">
        <v>10485</v>
      </c>
      <c r="D3893" t="str">
        <f>"25091711    "</f>
        <v xml:space="preserve">25091711    </v>
      </c>
      <c r="E3893" t="s">
        <v>716</v>
      </c>
      <c r="F3893" t="s">
        <v>717</v>
      </c>
      <c r="G3893">
        <v>33.19</v>
      </c>
      <c r="H3893">
        <v>250813</v>
      </c>
      <c r="I3893">
        <v>4510</v>
      </c>
      <c r="J3893" t="s">
        <v>240</v>
      </c>
      <c r="K3893">
        <v>33.19</v>
      </c>
      <c r="L3893">
        <v>6.74</v>
      </c>
      <c r="M3893">
        <v>17711</v>
      </c>
      <c r="N3893" t="s">
        <v>155</v>
      </c>
      <c r="O3893">
        <v>250820</v>
      </c>
      <c r="P3893">
        <v>26.45</v>
      </c>
    </row>
    <row r="3894" spans="1:16" x14ac:dyDescent="0.25">
      <c r="A3894" t="s">
        <v>3296</v>
      </c>
      <c r="B3894" t="s">
        <v>2931</v>
      </c>
      <c r="C3894">
        <v>15964</v>
      </c>
      <c r="D3894" t="str">
        <f>"25128079    "</f>
        <v xml:space="preserve">25128079    </v>
      </c>
      <c r="E3894" t="s">
        <v>716</v>
      </c>
      <c r="F3894" t="s">
        <v>717</v>
      </c>
      <c r="G3894">
        <v>51.13</v>
      </c>
      <c r="H3894">
        <v>251126</v>
      </c>
      <c r="I3894">
        <v>4510</v>
      </c>
      <c r="J3894" t="s">
        <v>240</v>
      </c>
      <c r="K3894">
        <v>51.13</v>
      </c>
      <c r="L3894">
        <v>10.39</v>
      </c>
      <c r="M3894">
        <v>56566</v>
      </c>
      <c r="N3894" t="s">
        <v>58</v>
      </c>
      <c r="O3894">
        <v>251201</v>
      </c>
      <c r="P3894">
        <v>40.74</v>
      </c>
    </row>
    <row r="3895" spans="1:16" x14ac:dyDescent="0.25">
      <c r="A3895" t="s">
        <v>3296</v>
      </c>
      <c r="B3895" t="s">
        <v>2931</v>
      </c>
      <c r="C3895">
        <v>14026</v>
      </c>
      <c r="D3895" t="str">
        <f>"25114479    "</f>
        <v xml:space="preserve">25114479    </v>
      </c>
      <c r="E3895" t="s">
        <v>716</v>
      </c>
      <c r="F3895" t="s">
        <v>717</v>
      </c>
      <c r="G3895">
        <v>51.13</v>
      </c>
      <c r="H3895">
        <v>251015</v>
      </c>
      <c r="I3895">
        <v>4600</v>
      </c>
      <c r="J3895" t="s">
        <v>278</v>
      </c>
      <c r="K3895">
        <v>51.13</v>
      </c>
      <c r="L3895">
        <v>10.39</v>
      </c>
      <c r="M3895">
        <v>44222</v>
      </c>
      <c r="N3895" t="s">
        <v>96</v>
      </c>
      <c r="O3895">
        <v>251022</v>
      </c>
      <c r="P3895">
        <v>40.74</v>
      </c>
    </row>
    <row r="3896" spans="1:16" x14ac:dyDescent="0.25">
      <c r="A3896" t="s">
        <v>3296</v>
      </c>
      <c r="B3896" t="s">
        <v>2931</v>
      </c>
      <c r="C3896">
        <v>5526</v>
      </c>
      <c r="D3896" t="str">
        <f>"V/2024002215"</f>
        <v>V/2024002215</v>
      </c>
      <c r="E3896" t="s">
        <v>1757</v>
      </c>
      <c r="F3896" t="s">
        <v>1758</v>
      </c>
      <c r="G3896">
        <v>185.75</v>
      </c>
      <c r="H3896">
        <v>250402</v>
      </c>
      <c r="I3896">
        <v>4580</v>
      </c>
      <c r="J3896" t="s">
        <v>126</v>
      </c>
      <c r="K3896">
        <v>185.75</v>
      </c>
      <c r="L3896">
        <v>37.74</v>
      </c>
      <c r="M3896">
        <v>56558</v>
      </c>
      <c r="N3896" t="s">
        <v>50</v>
      </c>
      <c r="O3896">
        <v>250425</v>
      </c>
      <c r="P3896">
        <v>148.01</v>
      </c>
    </row>
    <row r="3897" spans="1:16" x14ac:dyDescent="0.25">
      <c r="A3897" t="s">
        <v>3296</v>
      </c>
      <c r="B3897" t="s">
        <v>2931</v>
      </c>
      <c r="C3897">
        <v>12719</v>
      </c>
      <c r="D3897" t="str">
        <f>"2541931     "</f>
        <v xml:space="preserve">2541931     </v>
      </c>
      <c r="E3897" t="s">
        <v>2378</v>
      </c>
      <c r="F3897" t="s">
        <v>2379</v>
      </c>
      <c r="G3897">
        <v>26.88</v>
      </c>
      <c r="H3897">
        <v>250922</v>
      </c>
      <c r="I3897">
        <v>4470</v>
      </c>
      <c r="J3897" t="s">
        <v>203</v>
      </c>
      <c r="K3897">
        <v>132.81</v>
      </c>
      <c r="L3897">
        <v>3.3</v>
      </c>
      <c r="M3897">
        <v>44453</v>
      </c>
      <c r="N3897" t="s">
        <v>100</v>
      </c>
      <c r="O3897">
        <v>250929</v>
      </c>
      <c r="P3897">
        <v>23.58</v>
      </c>
    </row>
    <row r="3898" spans="1:16" x14ac:dyDescent="0.25">
      <c r="A3898" t="s">
        <v>3296</v>
      </c>
      <c r="B3898" t="s">
        <v>2931</v>
      </c>
      <c r="C3898">
        <v>12719</v>
      </c>
      <c r="D3898" t="str">
        <f>"2541931     "</f>
        <v xml:space="preserve">2541931     </v>
      </c>
      <c r="E3898" t="s">
        <v>2378</v>
      </c>
      <c r="F3898" t="s">
        <v>2379</v>
      </c>
      <c r="G3898">
        <v>30.64</v>
      </c>
      <c r="H3898">
        <v>250922</v>
      </c>
      <c r="I3898">
        <v>4470</v>
      </c>
      <c r="J3898" t="s">
        <v>203</v>
      </c>
      <c r="K3898">
        <v>132.81</v>
      </c>
      <c r="L3898">
        <v>3.76</v>
      </c>
      <c r="M3898">
        <v>49701</v>
      </c>
      <c r="N3898" t="s">
        <v>111</v>
      </c>
      <c r="O3898">
        <v>250929</v>
      </c>
      <c r="P3898">
        <v>26.88</v>
      </c>
    </row>
    <row r="3899" spans="1:16" x14ac:dyDescent="0.25">
      <c r="A3899" t="s">
        <v>3296</v>
      </c>
      <c r="B3899" t="s">
        <v>2931</v>
      </c>
      <c r="C3899">
        <v>12719</v>
      </c>
      <c r="D3899" t="str">
        <f>"2541931     "</f>
        <v xml:space="preserve">2541931     </v>
      </c>
      <c r="E3899" t="s">
        <v>2378</v>
      </c>
      <c r="F3899" t="s">
        <v>2379</v>
      </c>
      <c r="G3899">
        <v>46.7</v>
      </c>
      <c r="H3899">
        <v>250922</v>
      </c>
      <c r="I3899">
        <v>4470</v>
      </c>
      <c r="J3899" t="s">
        <v>203</v>
      </c>
      <c r="K3899">
        <v>132.81</v>
      </c>
      <c r="L3899">
        <v>5.74</v>
      </c>
      <c r="M3899">
        <v>54251</v>
      </c>
      <c r="N3899" t="s">
        <v>485</v>
      </c>
      <c r="O3899">
        <v>250929</v>
      </c>
      <c r="P3899">
        <v>40.96</v>
      </c>
    </row>
    <row r="3900" spans="1:16" x14ac:dyDescent="0.25">
      <c r="A3900" t="s">
        <v>3296</v>
      </c>
      <c r="B3900" t="s">
        <v>2931</v>
      </c>
      <c r="C3900">
        <v>12719</v>
      </c>
      <c r="D3900" t="str">
        <f>"2541931     "</f>
        <v xml:space="preserve">2541931     </v>
      </c>
      <c r="E3900" t="s">
        <v>2378</v>
      </c>
      <c r="F3900" t="s">
        <v>2379</v>
      </c>
      <c r="G3900">
        <v>28.59</v>
      </c>
      <c r="H3900">
        <v>250922</v>
      </c>
      <c r="I3900">
        <v>4470</v>
      </c>
      <c r="J3900" t="s">
        <v>203</v>
      </c>
      <c r="K3900">
        <v>132.81</v>
      </c>
      <c r="L3900">
        <v>3.51</v>
      </c>
      <c r="M3900">
        <v>54252</v>
      </c>
      <c r="N3900" t="s">
        <v>742</v>
      </c>
      <c r="O3900">
        <v>250929</v>
      </c>
      <c r="P3900">
        <v>25.08</v>
      </c>
    </row>
    <row r="3901" spans="1:16" x14ac:dyDescent="0.25">
      <c r="A3901" t="s">
        <v>3296</v>
      </c>
      <c r="B3901" t="s">
        <v>2931</v>
      </c>
      <c r="C3901">
        <v>15954</v>
      </c>
      <c r="D3901" t="str">
        <f>"2552629     "</f>
        <v xml:space="preserve">2552629     </v>
      </c>
      <c r="E3901" t="s">
        <v>2378</v>
      </c>
      <c r="F3901" t="s">
        <v>2379</v>
      </c>
      <c r="G3901">
        <v>80.64</v>
      </c>
      <c r="H3901">
        <v>251124</v>
      </c>
      <c r="I3901">
        <v>4470</v>
      </c>
      <c r="J3901" t="s">
        <v>203</v>
      </c>
      <c r="K3901">
        <v>384.74</v>
      </c>
      <c r="L3901">
        <v>9.9</v>
      </c>
      <c r="M3901">
        <v>44453</v>
      </c>
      <c r="N3901" t="s">
        <v>100</v>
      </c>
      <c r="O3901">
        <v>251201</v>
      </c>
      <c r="P3901">
        <v>70.739999999999995</v>
      </c>
    </row>
    <row r="3902" spans="1:16" x14ac:dyDescent="0.25">
      <c r="A3902" t="s">
        <v>3296</v>
      </c>
      <c r="B3902" t="s">
        <v>2931</v>
      </c>
      <c r="C3902">
        <v>15954</v>
      </c>
      <c r="D3902" t="str">
        <f>"2552629     "</f>
        <v xml:space="preserve">2552629     </v>
      </c>
      <c r="E3902" t="s">
        <v>2378</v>
      </c>
      <c r="F3902" t="s">
        <v>2379</v>
      </c>
      <c r="G3902">
        <v>85.09</v>
      </c>
      <c r="H3902">
        <v>251124</v>
      </c>
      <c r="I3902">
        <v>4470</v>
      </c>
      <c r="J3902" t="s">
        <v>203</v>
      </c>
      <c r="K3902">
        <v>384.74</v>
      </c>
      <c r="L3902">
        <v>10.45</v>
      </c>
      <c r="M3902">
        <v>49701</v>
      </c>
      <c r="N3902" t="s">
        <v>111</v>
      </c>
      <c r="O3902">
        <v>251201</v>
      </c>
      <c r="P3902">
        <v>74.64</v>
      </c>
    </row>
    <row r="3903" spans="1:16" x14ac:dyDescent="0.25">
      <c r="A3903" t="s">
        <v>3296</v>
      </c>
      <c r="B3903" t="s">
        <v>2931</v>
      </c>
      <c r="C3903">
        <v>15954</v>
      </c>
      <c r="D3903" t="str">
        <f>"2552629     "</f>
        <v xml:space="preserve">2552629     </v>
      </c>
      <c r="E3903" t="s">
        <v>2378</v>
      </c>
      <c r="F3903" t="s">
        <v>2379</v>
      </c>
      <c r="G3903">
        <v>134.94999999999999</v>
      </c>
      <c r="H3903">
        <v>251124</v>
      </c>
      <c r="I3903">
        <v>4470</v>
      </c>
      <c r="J3903" t="s">
        <v>203</v>
      </c>
      <c r="K3903">
        <v>384.74</v>
      </c>
      <c r="L3903">
        <v>16.57</v>
      </c>
      <c r="M3903">
        <v>54251</v>
      </c>
      <c r="N3903" t="s">
        <v>485</v>
      </c>
      <c r="O3903">
        <v>251201</v>
      </c>
      <c r="P3903">
        <v>118.38</v>
      </c>
    </row>
    <row r="3904" spans="1:16" x14ac:dyDescent="0.25">
      <c r="A3904" t="s">
        <v>3296</v>
      </c>
      <c r="B3904" t="s">
        <v>2931</v>
      </c>
      <c r="C3904">
        <v>15954</v>
      </c>
      <c r="D3904" t="str">
        <f>"2552629     "</f>
        <v xml:space="preserve">2552629     </v>
      </c>
      <c r="E3904" t="s">
        <v>2378</v>
      </c>
      <c r="F3904" t="s">
        <v>2379</v>
      </c>
      <c r="G3904">
        <v>84.06</v>
      </c>
      <c r="H3904">
        <v>251124</v>
      </c>
      <c r="I3904">
        <v>4470</v>
      </c>
      <c r="J3904" t="s">
        <v>203</v>
      </c>
      <c r="K3904">
        <v>384.74</v>
      </c>
      <c r="L3904">
        <v>10.32</v>
      </c>
      <c r="M3904">
        <v>54252</v>
      </c>
      <c r="N3904" t="s">
        <v>742</v>
      </c>
      <c r="O3904">
        <v>251201</v>
      </c>
      <c r="P3904">
        <v>73.739999999999995</v>
      </c>
    </row>
    <row r="3905" spans="1:16" x14ac:dyDescent="0.25">
      <c r="A3905" t="s">
        <v>3296</v>
      </c>
      <c r="B3905" t="s">
        <v>2931</v>
      </c>
      <c r="C3905">
        <v>4076</v>
      </c>
      <c r="D3905" t="str">
        <f>"2509158     "</f>
        <v xml:space="preserve">2509158     </v>
      </c>
      <c r="E3905" t="s">
        <v>2378</v>
      </c>
      <c r="F3905" t="s">
        <v>2379</v>
      </c>
      <c r="G3905">
        <v>80.64</v>
      </c>
      <c r="H3905">
        <v>250324</v>
      </c>
      <c r="I3905">
        <v>4470</v>
      </c>
      <c r="J3905" t="s">
        <v>203</v>
      </c>
      <c r="K3905">
        <v>384.74</v>
      </c>
      <c r="L3905">
        <v>9.9</v>
      </c>
      <c r="M3905">
        <v>44453</v>
      </c>
      <c r="N3905" t="s">
        <v>100</v>
      </c>
      <c r="O3905">
        <v>250407</v>
      </c>
      <c r="P3905">
        <v>70.739999999999995</v>
      </c>
    </row>
    <row r="3906" spans="1:16" x14ac:dyDescent="0.25">
      <c r="A3906" t="s">
        <v>3296</v>
      </c>
      <c r="B3906" t="s">
        <v>2931</v>
      </c>
      <c r="C3906">
        <v>4076</v>
      </c>
      <c r="D3906" t="str">
        <f>"2509158     "</f>
        <v xml:space="preserve">2509158     </v>
      </c>
      <c r="E3906" t="s">
        <v>2378</v>
      </c>
      <c r="F3906" t="s">
        <v>2379</v>
      </c>
      <c r="G3906">
        <v>85.09</v>
      </c>
      <c r="H3906">
        <v>250324</v>
      </c>
      <c r="I3906">
        <v>4470</v>
      </c>
      <c r="J3906" t="s">
        <v>203</v>
      </c>
      <c r="K3906">
        <v>384.74</v>
      </c>
      <c r="L3906">
        <v>10.45</v>
      </c>
      <c r="M3906">
        <v>49701</v>
      </c>
      <c r="N3906" t="s">
        <v>111</v>
      </c>
      <c r="O3906">
        <v>250407</v>
      </c>
      <c r="P3906">
        <v>74.64</v>
      </c>
    </row>
    <row r="3907" spans="1:16" x14ac:dyDescent="0.25">
      <c r="A3907" t="s">
        <v>3296</v>
      </c>
      <c r="B3907" t="s">
        <v>2931</v>
      </c>
      <c r="C3907">
        <v>4076</v>
      </c>
      <c r="D3907" t="str">
        <f>"2509158     "</f>
        <v xml:space="preserve">2509158     </v>
      </c>
      <c r="E3907" t="s">
        <v>2378</v>
      </c>
      <c r="F3907" t="s">
        <v>2379</v>
      </c>
      <c r="G3907">
        <v>136.66</v>
      </c>
      <c r="H3907">
        <v>250324</v>
      </c>
      <c r="I3907">
        <v>4470</v>
      </c>
      <c r="J3907" t="s">
        <v>203</v>
      </c>
      <c r="K3907">
        <v>384.74</v>
      </c>
      <c r="L3907">
        <v>16.78</v>
      </c>
      <c r="M3907">
        <v>54251</v>
      </c>
      <c r="N3907" t="s">
        <v>485</v>
      </c>
      <c r="O3907">
        <v>250407</v>
      </c>
      <c r="P3907">
        <v>119.88</v>
      </c>
    </row>
    <row r="3908" spans="1:16" x14ac:dyDescent="0.25">
      <c r="A3908" t="s">
        <v>3296</v>
      </c>
      <c r="B3908" t="s">
        <v>2931</v>
      </c>
      <c r="C3908">
        <v>4076</v>
      </c>
      <c r="D3908" t="str">
        <f>"2509158     "</f>
        <v xml:space="preserve">2509158     </v>
      </c>
      <c r="E3908" t="s">
        <v>2378</v>
      </c>
      <c r="F3908" t="s">
        <v>2379</v>
      </c>
      <c r="G3908">
        <v>82.35</v>
      </c>
      <c r="H3908">
        <v>250324</v>
      </c>
      <c r="I3908">
        <v>4470</v>
      </c>
      <c r="J3908" t="s">
        <v>203</v>
      </c>
      <c r="K3908">
        <v>384.74</v>
      </c>
      <c r="L3908">
        <v>10.11</v>
      </c>
      <c r="M3908">
        <v>54252</v>
      </c>
      <c r="N3908" t="s">
        <v>742</v>
      </c>
      <c r="O3908">
        <v>250407</v>
      </c>
      <c r="P3908">
        <v>72.239999999999995</v>
      </c>
    </row>
    <row r="3909" spans="1:16" x14ac:dyDescent="0.25">
      <c r="A3909" t="s">
        <v>3296</v>
      </c>
      <c r="B3909" t="s">
        <v>2931</v>
      </c>
      <c r="C3909">
        <v>8083</v>
      </c>
      <c r="D3909" t="str">
        <f>"2524439     "</f>
        <v xml:space="preserve">2524439     </v>
      </c>
      <c r="E3909" t="s">
        <v>2378</v>
      </c>
      <c r="F3909" t="s">
        <v>2379</v>
      </c>
      <c r="G3909">
        <v>53.76</v>
      </c>
      <c r="H3909">
        <v>250602</v>
      </c>
      <c r="I3909">
        <v>4470</v>
      </c>
      <c r="J3909" t="s">
        <v>203</v>
      </c>
      <c r="K3909">
        <v>213.8</v>
      </c>
      <c r="L3909">
        <v>6.6</v>
      </c>
      <c r="M3909">
        <v>44453</v>
      </c>
      <c r="N3909" t="s">
        <v>100</v>
      </c>
      <c r="O3909">
        <v>250611</v>
      </c>
      <c r="P3909">
        <v>47.16</v>
      </c>
    </row>
    <row r="3910" spans="1:16" x14ac:dyDescent="0.25">
      <c r="A3910" t="s">
        <v>3296</v>
      </c>
      <c r="B3910" t="s">
        <v>2931</v>
      </c>
      <c r="C3910">
        <v>8083</v>
      </c>
      <c r="D3910" t="str">
        <f>"2524439     "</f>
        <v xml:space="preserve">2524439     </v>
      </c>
      <c r="E3910" t="s">
        <v>2378</v>
      </c>
      <c r="F3910" t="s">
        <v>2379</v>
      </c>
      <c r="G3910">
        <v>57.87</v>
      </c>
      <c r="H3910">
        <v>250602</v>
      </c>
      <c r="I3910">
        <v>4470</v>
      </c>
      <c r="J3910" t="s">
        <v>203</v>
      </c>
      <c r="K3910">
        <v>213.8</v>
      </c>
      <c r="L3910">
        <v>7.11</v>
      </c>
      <c r="M3910">
        <v>49701</v>
      </c>
      <c r="N3910" t="s">
        <v>111</v>
      </c>
      <c r="O3910">
        <v>250611</v>
      </c>
      <c r="P3910">
        <v>50.76</v>
      </c>
    </row>
    <row r="3911" spans="1:16" x14ac:dyDescent="0.25">
      <c r="A3911" t="s">
        <v>3296</v>
      </c>
      <c r="B3911" t="s">
        <v>2931</v>
      </c>
      <c r="C3911">
        <v>8083</v>
      </c>
      <c r="D3911" t="str">
        <f>"2524439     "</f>
        <v xml:space="preserve">2524439     </v>
      </c>
      <c r="E3911" t="s">
        <v>2378</v>
      </c>
      <c r="F3911" t="s">
        <v>2379</v>
      </c>
      <c r="G3911">
        <v>55.47</v>
      </c>
      <c r="H3911">
        <v>250602</v>
      </c>
      <c r="I3911">
        <v>4470</v>
      </c>
      <c r="J3911" t="s">
        <v>203</v>
      </c>
      <c r="K3911">
        <v>213.8</v>
      </c>
      <c r="L3911">
        <v>6.81</v>
      </c>
      <c r="M3911">
        <v>54251</v>
      </c>
      <c r="N3911" t="s">
        <v>485</v>
      </c>
      <c r="O3911">
        <v>250611</v>
      </c>
      <c r="P3911">
        <v>48.66</v>
      </c>
    </row>
    <row r="3912" spans="1:16" x14ac:dyDescent="0.25">
      <c r="A3912" t="s">
        <v>3296</v>
      </c>
      <c r="B3912" t="s">
        <v>2931</v>
      </c>
      <c r="C3912">
        <v>8083</v>
      </c>
      <c r="D3912" t="str">
        <f>"2524439     "</f>
        <v xml:space="preserve">2524439     </v>
      </c>
      <c r="E3912" t="s">
        <v>2378</v>
      </c>
      <c r="F3912" t="s">
        <v>2379</v>
      </c>
      <c r="G3912">
        <v>46.7</v>
      </c>
      <c r="H3912">
        <v>250602</v>
      </c>
      <c r="I3912">
        <v>4470</v>
      </c>
      <c r="J3912" t="s">
        <v>203</v>
      </c>
      <c r="K3912">
        <v>213.8</v>
      </c>
      <c r="L3912">
        <v>5.74</v>
      </c>
      <c r="M3912">
        <v>54252</v>
      </c>
      <c r="N3912" t="s">
        <v>742</v>
      </c>
      <c r="O3912">
        <v>250611</v>
      </c>
      <c r="P3912">
        <v>40.96</v>
      </c>
    </row>
    <row r="3913" spans="1:16" x14ac:dyDescent="0.25">
      <c r="A3913" t="s">
        <v>3296</v>
      </c>
      <c r="B3913" t="s">
        <v>2931</v>
      </c>
      <c r="C3913">
        <v>10808</v>
      </c>
      <c r="D3913" t="str">
        <f>"2417        "</f>
        <v xml:space="preserve">2417        </v>
      </c>
      <c r="E3913" t="s">
        <v>676</v>
      </c>
      <c r="F3913" t="s">
        <v>677</v>
      </c>
      <c r="G3913">
        <v>3137</v>
      </c>
      <c r="H3913">
        <v>250819</v>
      </c>
      <c r="I3913">
        <v>4580</v>
      </c>
      <c r="J3913" t="s">
        <v>126</v>
      </c>
      <c r="K3913">
        <v>6274</v>
      </c>
      <c r="L3913">
        <v>637.4</v>
      </c>
      <c r="M3913">
        <v>46557</v>
      </c>
      <c r="N3913" t="s">
        <v>104</v>
      </c>
      <c r="O3913">
        <v>250825</v>
      </c>
      <c r="P3913">
        <v>2499.6</v>
      </c>
    </row>
    <row r="3914" spans="1:16" x14ac:dyDescent="0.25">
      <c r="A3914" t="s">
        <v>3296</v>
      </c>
      <c r="B3914" t="s">
        <v>2931</v>
      </c>
      <c r="C3914">
        <v>12158</v>
      </c>
      <c r="D3914" t="str">
        <f>"2440        "</f>
        <v xml:space="preserve">2440        </v>
      </c>
      <c r="E3914" t="s">
        <v>676</v>
      </c>
      <c r="F3914" t="s">
        <v>677</v>
      </c>
      <c r="G3914">
        <v>153.72999999999999</v>
      </c>
      <c r="H3914">
        <v>250831</v>
      </c>
      <c r="I3914">
        <v>4580</v>
      </c>
      <c r="J3914" t="s">
        <v>126</v>
      </c>
      <c r="K3914">
        <v>1296.23</v>
      </c>
      <c r="L3914">
        <v>31.24</v>
      </c>
      <c r="M3914">
        <v>46557</v>
      </c>
      <c r="N3914" t="s">
        <v>104</v>
      </c>
      <c r="O3914">
        <v>250917</v>
      </c>
      <c r="P3914">
        <v>122.49</v>
      </c>
    </row>
    <row r="3915" spans="1:16" x14ac:dyDescent="0.25">
      <c r="A3915" t="s">
        <v>3296</v>
      </c>
      <c r="B3915" t="s">
        <v>2931</v>
      </c>
      <c r="C3915">
        <v>12239</v>
      </c>
      <c r="D3915" t="str">
        <f>"2444        "</f>
        <v xml:space="preserve">2444        </v>
      </c>
      <c r="E3915" t="s">
        <v>676</v>
      </c>
      <c r="F3915" t="s">
        <v>677</v>
      </c>
      <c r="G3915">
        <v>384.34</v>
      </c>
      <c r="H3915">
        <v>250914</v>
      </c>
      <c r="I3915">
        <v>4580</v>
      </c>
      <c r="J3915" t="s">
        <v>126</v>
      </c>
      <c r="K3915">
        <v>1395.24</v>
      </c>
      <c r="L3915">
        <v>78.09</v>
      </c>
      <c r="M3915">
        <v>46557</v>
      </c>
      <c r="N3915" t="s">
        <v>104</v>
      </c>
      <c r="O3915">
        <v>250918</v>
      </c>
      <c r="P3915">
        <v>306.25</v>
      </c>
    </row>
    <row r="3916" spans="1:16" x14ac:dyDescent="0.25">
      <c r="A3916" t="s">
        <v>3296</v>
      </c>
      <c r="B3916" t="s">
        <v>2931</v>
      </c>
      <c r="C3916">
        <v>12486</v>
      </c>
      <c r="D3916" t="str">
        <f>"2455        "</f>
        <v xml:space="preserve">2455        </v>
      </c>
      <c r="E3916" t="s">
        <v>676</v>
      </c>
      <c r="F3916" t="s">
        <v>677</v>
      </c>
      <c r="G3916">
        <v>123.31</v>
      </c>
      <c r="H3916">
        <v>250920</v>
      </c>
      <c r="I3916">
        <v>4580</v>
      </c>
      <c r="J3916" t="s">
        <v>126</v>
      </c>
      <c r="K3916">
        <v>637.70000000000005</v>
      </c>
      <c r="L3916">
        <v>25.06</v>
      </c>
      <c r="M3916">
        <v>46557</v>
      </c>
      <c r="N3916" t="s">
        <v>104</v>
      </c>
      <c r="O3916">
        <v>250925</v>
      </c>
      <c r="P3916">
        <v>98.25</v>
      </c>
    </row>
    <row r="3917" spans="1:16" x14ac:dyDescent="0.25">
      <c r="A3917" t="s">
        <v>3296</v>
      </c>
      <c r="B3917" t="s">
        <v>2931</v>
      </c>
      <c r="C3917">
        <v>12918</v>
      </c>
      <c r="D3917" t="str">
        <f>"2462        "</f>
        <v xml:space="preserve">2462        </v>
      </c>
      <c r="E3917" t="s">
        <v>676</v>
      </c>
      <c r="F3917" t="s">
        <v>677</v>
      </c>
      <c r="G3917">
        <v>17.559999999999999</v>
      </c>
      <c r="H3917">
        <v>250930</v>
      </c>
      <c r="I3917">
        <v>4580</v>
      </c>
      <c r="J3917" t="s">
        <v>126</v>
      </c>
      <c r="K3917">
        <v>557.53</v>
      </c>
      <c r="L3917">
        <v>3.57</v>
      </c>
      <c r="M3917">
        <v>46557</v>
      </c>
      <c r="N3917" t="s">
        <v>104</v>
      </c>
      <c r="O3917">
        <v>251002</v>
      </c>
      <c r="P3917">
        <v>13.99</v>
      </c>
    </row>
    <row r="3918" spans="1:16" x14ac:dyDescent="0.25">
      <c r="A3918" t="s">
        <v>3296</v>
      </c>
      <c r="B3918" t="s">
        <v>2931</v>
      </c>
      <c r="C3918">
        <v>17869</v>
      </c>
      <c r="D3918" t="str">
        <f>"2522        "</f>
        <v xml:space="preserve">2522        </v>
      </c>
      <c r="E3918" t="s">
        <v>676</v>
      </c>
      <c r="F3918" t="s">
        <v>677</v>
      </c>
      <c r="G3918">
        <v>244.61</v>
      </c>
      <c r="H3918">
        <v>251211</v>
      </c>
      <c r="I3918">
        <v>4580</v>
      </c>
      <c r="J3918" t="s">
        <v>126</v>
      </c>
      <c r="K3918">
        <v>1290.8599999999999</v>
      </c>
      <c r="L3918">
        <v>49.7</v>
      </c>
      <c r="M3918">
        <v>46557</v>
      </c>
      <c r="N3918" t="s">
        <v>104</v>
      </c>
      <c r="O3918">
        <v>251231</v>
      </c>
      <c r="P3918">
        <v>194.91</v>
      </c>
    </row>
    <row r="3919" spans="1:16" x14ac:dyDescent="0.25">
      <c r="A3919" t="s">
        <v>3296</v>
      </c>
      <c r="B3919" t="s">
        <v>2931</v>
      </c>
      <c r="C3919">
        <v>701</v>
      </c>
      <c r="D3919" t="str">
        <f>"2214        "</f>
        <v xml:space="preserve">2214        </v>
      </c>
      <c r="E3919" t="s">
        <v>676</v>
      </c>
      <c r="F3919" t="s">
        <v>677</v>
      </c>
      <c r="G3919">
        <v>161.01</v>
      </c>
      <c r="H3919">
        <v>250123</v>
      </c>
      <c r="I3919">
        <v>4600</v>
      </c>
      <c r="J3919" t="s">
        <v>278</v>
      </c>
      <c r="K3919">
        <v>761.73</v>
      </c>
      <c r="L3919">
        <v>32.72</v>
      </c>
      <c r="M3919">
        <v>46557</v>
      </c>
      <c r="N3919" t="s">
        <v>104</v>
      </c>
      <c r="O3919">
        <v>250128</v>
      </c>
      <c r="P3919">
        <v>128.29</v>
      </c>
    </row>
    <row r="3920" spans="1:16" x14ac:dyDescent="0.25">
      <c r="A3920" t="s">
        <v>3296</v>
      </c>
      <c r="B3920" t="s">
        <v>2931</v>
      </c>
      <c r="C3920">
        <v>701</v>
      </c>
      <c r="D3920" t="str">
        <f>"2214        "</f>
        <v xml:space="preserve">2214        </v>
      </c>
      <c r="E3920" t="s">
        <v>676</v>
      </c>
      <c r="F3920" t="s">
        <v>677</v>
      </c>
      <c r="G3920">
        <v>360.23</v>
      </c>
      <c r="H3920">
        <v>250123</v>
      </c>
      <c r="I3920">
        <v>4600</v>
      </c>
      <c r="J3920" t="s">
        <v>278</v>
      </c>
      <c r="K3920">
        <v>761.73</v>
      </c>
      <c r="L3920">
        <v>73.19</v>
      </c>
      <c r="M3920">
        <v>46564</v>
      </c>
      <c r="N3920" t="s">
        <v>678</v>
      </c>
      <c r="O3920">
        <v>250128</v>
      </c>
      <c r="P3920">
        <v>287.04000000000002</v>
      </c>
    </row>
    <row r="3921" spans="1:16" x14ac:dyDescent="0.25">
      <c r="A3921" t="s">
        <v>3296</v>
      </c>
      <c r="B3921" t="s">
        <v>2931</v>
      </c>
      <c r="C3921">
        <v>701</v>
      </c>
      <c r="D3921" t="str">
        <f>"2214        "</f>
        <v xml:space="preserve">2214        </v>
      </c>
      <c r="E3921" t="s">
        <v>676</v>
      </c>
      <c r="F3921" t="s">
        <v>677</v>
      </c>
      <c r="G3921">
        <v>240.49</v>
      </c>
      <c r="H3921">
        <v>250123</v>
      </c>
      <c r="I3921">
        <v>4600</v>
      </c>
      <c r="J3921" t="s">
        <v>278</v>
      </c>
      <c r="K3921">
        <v>761.73</v>
      </c>
      <c r="L3921">
        <v>48.86</v>
      </c>
      <c r="M3921">
        <v>49701</v>
      </c>
      <c r="N3921" t="s">
        <v>111</v>
      </c>
      <c r="O3921">
        <v>250128</v>
      </c>
      <c r="P3921">
        <v>191.63</v>
      </c>
    </row>
    <row r="3922" spans="1:16" x14ac:dyDescent="0.25">
      <c r="A3922" t="s">
        <v>3296</v>
      </c>
      <c r="B3922" t="s">
        <v>2931</v>
      </c>
      <c r="C3922">
        <v>1071</v>
      </c>
      <c r="D3922" t="str">
        <f>"2223        "</f>
        <v xml:space="preserve">2223        </v>
      </c>
      <c r="E3922" t="s">
        <v>676</v>
      </c>
      <c r="F3922" t="s">
        <v>677</v>
      </c>
      <c r="G3922">
        <v>673.98</v>
      </c>
      <c r="H3922">
        <v>250129</v>
      </c>
      <c r="I3922">
        <v>4600</v>
      </c>
      <c r="J3922" t="s">
        <v>278</v>
      </c>
      <c r="K3922">
        <v>1158.6400000000001</v>
      </c>
      <c r="L3922">
        <v>136.94</v>
      </c>
      <c r="M3922">
        <v>46557</v>
      </c>
      <c r="N3922" t="s">
        <v>104</v>
      </c>
      <c r="O3922">
        <v>250204</v>
      </c>
      <c r="P3922">
        <v>537.04</v>
      </c>
    </row>
    <row r="3923" spans="1:16" x14ac:dyDescent="0.25">
      <c r="A3923" t="s">
        <v>3296</v>
      </c>
      <c r="B3923" t="s">
        <v>2931</v>
      </c>
      <c r="C3923">
        <v>1071</v>
      </c>
      <c r="D3923" t="str">
        <f>"2223        "</f>
        <v xml:space="preserve">2223        </v>
      </c>
      <c r="E3923" t="s">
        <v>676</v>
      </c>
      <c r="F3923" t="s">
        <v>677</v>
      </c>
      <c r="G3923">
        <v>374.47</v>
      </c>
      <c r="H3923">
        <v>250129</v>
      </c>
      <c r="I3923">
        <v>4600</v>
      </c>
      <c r="J3923" t="s">
        <v>278</v>
      </c>
      <c r="K3923">
        <v>1158.6400000000001</v>
      </c>
      <c r="L3923">
        <v>76.09</v>
      </c>
      <c r="M3923">
        <v>46564</v>
      </c>
      <c r="N3923" t="s">
        <v>678</v>
      </c>
      <c r="O3923">
        <v>250204</v>
      </c>
      <c r="P3923">
        <v>298.38</v>
      </c>
    </row>
    <row r="3924" spans="1:16" x14ac:dyDescent="0.25">
      <c r="A3924" t="s">
        <v>3296</v>
      </c>
      <c r="B3924" t="s">
        <v>2931</v>
      </c>
      <c r="C3924">
        <v>1071</v>
      </c>
      <c r="D3924" t="str">
        <f>"2223        "</f>
        <v xml:space="preserve">2223        </v>
      </c>
      <c r="E3924" t="s">
        <v>676</v>
      </c>
      <c r="F3924" t="s">
        <v>677</v>
      </c>
      <c r="G3924">
        <v>110.19</v>
      </c>
      <c r="H3924">
        <v>250129</v>
      </c>
      <c r="I3924">
        <v>4600</v>
      </c>
      <c r="J3924" t="s">
        <v>278</v>
      </c>
      <c r="K3924">
        <v>1158.6400000000001</v>
      </c>
      <c r="L3924">
        <v>22.39</v>
      </c>
      <c r="M3924">
        <v>49701</v>
      </c>
      <c r="N3924" t="s">
        <v>111</v>
      </c>
      <c r="O3924">
        <v>250204</v>
      </c>
      <c r="P3924">
        <v>87.8</v>
      </c>
    </row>
    <row r="3925" spans="1:16" x14ac:dyDescent="0.25">
      <c r="A3925" t="s">
        <v>3296</v>
      </c>
      <c r="B3925" t="s">
        <v>2931</v>
      </c>
      <c r="C3925">
        <v>2562</v>
      </c>
      <c r="D3925" t="str">
        <f>"2238        "</f>
        <v xml:space="preserve">2238        </v>
      </c>
      <c r="E3925" t="s">
        <v>676</v>
      </c>
      <c r="F3925" t="s">
        <v>677</v>
      </c>
      <c r="G3925">
        <v>67.84</v>
      </c>
      <c r="H3925">
        <v>250221</v>
      </c>
      <c r="I3925">
        <v>4600</v>
      </c>
      <c r="J3925" t="s">
        <v>278</v>
      </c>
      <c r="K3925">
        <v>680.37</v>
      </c>
      <c r="L3925">
        <v>13.78</v>
      </c>
      <c r="M3925">
        <v>46557</v>
      </c>
      <c r="N3925" t="s">
        <v>104</v>
      </c>
      <c r="O3925">
        <v>250305</v>
      </c>
      <c r="P3925">
        <v>54.06</v>
      </c>
    </row>
    <row r="3926" spans="1:16" x14ac:dyDescent="0.25">
      <c r="A3926" t="s">
        <v>3296</v>
      </c>
      <c r="B3926" t="s">
        <v>2931</v>
      </c>
      <c r="C3926">
        <v>2562</v>
      </c>
      <c r="D3926" t="str">
        <f>"2238        "</f>
        <v xml:space="preserve">2238        </v>
      </c>
      <c r="E3926" t="s">
        <v>676</v>
      </c>
      <c r="F3926" t="s">
        <v>677</v>
      </c>
      <c r="G3926">
        <v>607.01</v>
      </c>
      <c r="H3926">
        <v>250221</v>
      </c>
      <c r="I3926">
        <v>4600</v>
      </c>
      <c r="J3926" t="s">
        <v>278</v>
      </c>
      <c r="K3926">
        <v>680.37</v>
      </c>
      <c r="L3926">
        <v>123.34</v>
      </c>
      <c r="M3926">
        <v>46564</v>
      </c>
      <c r="N3926" t="s">
        <v>678</v>
      </c>
      <c r="O3926">
        <v>250305</v>
      </c>
      <c r="P3926">
        <v>483.67</v>
      </c>
    </row>
    <row r="3927" spans="1:16" x14ac:dyDescent="0.25">
      <c r="A3927" t="s">
        <v>3296</v>
      </c>
      <c r="B3927" t="s">
        <v>2931</v>
      </c>
      <c r="C3927">
        <v>2562</v>
      </c>
      <c r="D3927" t="str">
        <f>"2238        "</f>
        <v xml:space="preserve">2238        </v>
      </c>
      <c r="E3927" t="s">
        <v>676</v>
      </c>
      <c r="F3927" t="s">
        <v>677</v>
      </c>
      <c r="G3927">
        <v>5.52</v>
      </c>
      <c r="H3927">
        <v>250221</v>
      </c>
      <c r="I3927">
        <v>4600</v>
      </c>
      <c r="J3927" t="s">
        <v>278</v>
      </c>
      <c r="K3927">
        <v>680.37</v>
      </c>
      <c r="L3927">
        <v>1.1200000000000001</v>
      </c>
      <c r="M3927">
        <v>49701</v>
      </c>
      <c r="N3927" t="s">
        <v>111</v>
      </c>
      <c r="O3927">
        <v>250305</v>
      </c>
      <c r="P3927">
        <v>4.4000000000000004</v>
      </c>
    </row>
    <row r="3928" spans="1:16" x14ac:dyDescent="0.25">
      <c r="A3928" t="s">
        <v>3296</v>
      </c>
      <c r="B3928" t="s">
        <v>2931</v>
      </c>
      <c r="C3928">
        <v>3625</v>
      </c>
      <c r="D3928" t="str">
        <f>"2268        "</f>
        <v xml:space="preserve">2268        </v>
      </c>
      <c r="E3928" t="s">
        <v>676</v>
      </c>
      <c r="F3928" t="s">
        <v>677</v>
      </c>
      <c r="G3928">
        <v>299.87</v>
      </c>
      <c r="H3928">
        <v>250321</v>
      </c>
      <c r="I3928">
        <v>4600</v>
      </c>
      <c r="J3928" t="s">
        <v>278</v>
      </c>
      <c r="K3928">
        <v>2738.11</v>
      </c>
      <c r="L3928">
        <v>60.93</v>
      </c>
      <c r="M3928">
        <v>46557</v>
      </c>
      <c r="N3928" t="s">
        <v>104</v>
      </c>
      <c r="O3928">
        <v>250327</v>
      </c>
      <c r="P3928">
        <v>238.94</v>
      </c>
    </row>
    <row r="3929" spans="1:16" x14ac:dyDescent="0.25">
      <c r="A3929" t="s">
        <v>3296</v>
      </c>
      <c r="B3929" t="s">
        <v>2931</v>
      </c>
      <c r="C3929">
        <v>3625</v>
      </c>
      <c r="D3929" t="str">
        <f>"2268        "</f>
        <v xml:space="preserve">2268        </v>
      </c>
      <c r="E3929" t="s">
        <v>676</v>
      </c>
      <c r="F3929" t="s">
        <v>677</v>
      </c>
      <c r="G3929">
        <v>744.5</v>
      </c>
      <c r="H3929">
        <v>250321</v>
      </c>
      <c r="I3929">
        <v>4600</v>
      </c>
      <c r="J3929" t="s">
        <v>278</v>
      </c>
      <c r="K3929">
        <v>2738.11</v>
      </c>
      <c r="L3929">
        <v>151.27000000000001</v>
      </c>
      <c r="M3929">
        <v>46564</v>
      </c>
      <c r="N3929" t="s">
        <v>678</v>
      </c>
      <c r="O3929">
        <v>250327</v>
      </c>
      <c r="P3929">
        <v>593.23</v>
      </c>
    </row>
    <row r="3930" spans="1:16" x14ac:dyDescent="0.25">
      <c r="A3930" t="s">
        <v>3296</v>
      </c>
      <c r="B3930" t="s">
        <v>2931</v>
      </c>
      <c r="C3930">
        <v>3625</v>
      </c>
      <c r="D3930" t="str">
        <f>"2268        "</f>
        <v xml:space="preserve">2268        </v>
      </c>
      <c r="E3930" t="s">
        <v>676</v>
      </c>
      <c r="F3930" t="s">
        <v>677</v>
      </c>
      <c r="G3930">
        <v>1693.74</v>
      </c>
      <c r="H3930">
        <v>250321</v>
      </c>
      <c r="I3930">
        <v>4600</v>
      </c>
      <c r="J3930" t="s">
        <v>278</v>
      </c>
      <c r="K3930">
        <v>2738.11</v>
      </c>
      <c r="L3930">
        <v>344.15</v>
      </c>
      <c r="M3930">
        <v>49701</v>
      </c>
      <c r="N3930" t="s">
        <v>111</v>
      </c>
      <c r="O3930">
        <v>250327</v>
      </c>
      <c r="P3930">
        <v>1349.59</v>
      </c>
    </row>
    <row r="3931" spans="1:16" x14ac:dyDescent="0.25">
      <c r="A3931" t="s">
        <v>3296</v>
      </c>
      <c r="B3931" t="s">
        <v>2931</v>
      </c>
      <c r="C3931">
        <v>4009</v>
      </c>
      <c r="D3931" t="str">
        <f>"2269        "</f>
        <v xml:space="preserve">2269        </v>
      </c>
      <c r="E3931" t="s">
        <v>676</v>
      </c>
      <c r="F3931" t="s">
        <v>677</v>
      </c>
      <c r="G3931">
        <v>224.7</v>
      </c>
      <c r="H3931">
        <v>250329</v>
      </c>
      <c r="I3931">
        <v>4600</v>
      </c>
      <c r="J3931" t="s">
        <v>278</v>
      </c>
      <c r="K3931">
        <v>1796.78</v>
      </c>
      <c r="L3931">
        <v>45.66</v>
      </c>
      <c r="M3931">
        <v>46557</v>
      </c>
      <c r="N3931" t="s">
        <v>104</v>
      </c>
      <c r="O3931">
        <v>250407</v>
      </c>
      <c r="P3931">
        <v>179.04</v>
      </c>
    </row>
    <row r="3932" spans="1:16" x14ac:dyDescent="0.25">
      <c r="A3932" t="s">
        <v>3296</v>
      </c>
      <c r="B3932" t="s">
        <v>2931</v>
      </c>
      <c r="C3932">
        <v>4009</v>
      </c>
      <c r="D3932" t="str">
        <f>"2269        "</f>
        <v xml:space="preserve">2269        </v>
      </c>
      <c r="E3932" t="s">
        <v>676</v>
      </c>
      <c r="F3932" t="s">
        <v>677</v>
      </c>
      <c r="G3932">
        <v>1039.8900000000001</v>
      </c>
      <c r="H3932">
        <v>250329</v>
      </c>
      <c r="I3932">
        <v>4600</v>
      </c>
      <c r="J3932" t="s">
        <v>278</v>
      </c>
      <c r="K3932">
        <v>1796.78</v>
      </c>
      <c r="L3932">
        <v>211.29</v>
      </c>
      <c r="M3932">
        <v>46564</v>
      </c>
      <c r="N3932" t="s">
        <v>678</v>
      </c>
      <c r="O3932">
        <v>250407</v>
      </c>
      <c r="P3932">
        <v>828.6</v>
      </c>
    </row>
    <row r="3933" spans="1:16" x14ac:dyDescent="0.25">
      <c r="A3933" t="s">
        <v>3296</v>
      </c>
      <c r="B3933" t="s">
        <v>2931</v>
      </c>
      <c r="C3933">
        <v>4009</v>
      </c>
      <c r="D3933" t="str">
        <f>"2269        "</f>
        <v xml:space="preserve">2269        </v>
      </c>
      <c r="E3933" t="s">
        <v>676</v>
      </c>
      <c r="F3933" t="s">
        <v>677</v>
      </c>
      <c r="G3933">
        <v>532.19000000000005</v>
      </c>
      <c r="H3933">
        <v>250329</v>
      </c>
      <c r="I3933">
        <v>4600</v>
      </c>
      <c r="J3933" t="s">
        <v>278</v>
      </c>
      <c r="K3933">
        <v>1796.78</v>
      </c>
      <c r="L3933">
        <v>108.13</v>
      </c>
      <c r="M3933">
        <v>49701</v>
      </c>
      <c r="N3933" t="s">
        <v>111</v>
      </c>
      <c r="O3933">
        <v>250407</v>
      </c>
      <c r="P3933">
        <v>424.06</v>
      </c>
    </row>
    <row r="3934" spans="1:16" x14ac:dyDescent="0.25">
      <c r="A3934" t="s">
        <v>3296</v>
      </c>
      <c r="B3934" t="s">
        <v>2931</v>
      </c>
      <c r="C3934">
        <v>5213</v>
      </c>
      <c r="D3934" t="str">
        <f>"2295        "</f>
        <v xml:space="preserve">2295        </v>
      </c>
      <c r="E3934" t="s">
        <v>676</v>
      </c>
      <c r="F3934" t="s">
        <v>677</v>
      </c>
      <c r="G3934">
        <v>37.89</v>
      </c>
      <c r="H3934">
        <v>250411</v>
      </c>
      <c r="I3934">
        <v>4600</v>
      </c>
      <c r="J3934" t="s">
        <v>278</v>
      </c>
      <c r="K3934">
        <v>757.84</v>
      </c>
      <c r="L3934">
        <v>7.7</v>
      </c>
      <c r="M3934">
        <v>46557</v>
      </c>
      <c r="N3934" t="s">
        <v>104</v>
      </c>
      <c r="O3934">
        <v>250422</v>
      </c>
      <c r="P3934">
        <v>30.19</v>
      </c>
    </row>
    <row r="3935" spans="1:16" x14ac:dyDescent="0.25">
      <c r="A3935" t="s">
        <v>3296</v>
      </c>
      <c r="B3935" t="s">
        <v>2931</v>
      </c>
      <c r="C3935">
        <v>5213</v>
      </c>
      <c r="D3935" t="str">
        <f>"2295        "</f>
        <v xml:space="preserve">2295        </v>
      </c>
      <c r="E3935" t="s">
        <v>676</v>
      </c>
      <c r="F3935" t="s">
        <v>677</v>
      </c>
      <c r="G3935">
        <v>650.89</v>
      </c>
      <c r="H3935">
        <v>250411</v>
      </c>
      <c r="I3935">
        <v>4600</v>
      </c>
      <c r="J3935" t="s">
        <v>278</v>
      </c>
      <c r="K3935">
        <v>757.84</v>
      </c>
      <c r="L3935">
        <v>132.25</v>
      </c>
      <c r="M3935">
        <v>46564</v>
      </c>
      <c r="N3935" t="s">
        <v>678</v>
      </c>
      <c r="O3935">
        <v>250422</v>
      </c>
      <c r="P3935">
        <v>518.64</v>
      </c>
    </row>
    <row r="3936" spans="1:16" x14ac:dyDescent="0.25">
      <c r="A3936" t="s">
        <v>3296</v>
      </c>
      <c r="B3936" t="s">
        <v>2931</v>
      </c>
      <c r="C3936">
        <v>5213</v>
      </c>
      <c r="D3936" t="str">
        <f>"2295        "</f>
        <v xml:space="preserve">2295        </v>
      </c>
      <c r="E3936" t="s">
        <v>676</v>
      </c>
      <c r="F3936" t="s">
        <v>677</v>
      </c>
      <c r="G3936">
        <v>69.06</v>
      </c>
      <c r="H3936">
        <v>250411</v>
      </c>
      <c r="I3936">
        <v>4600</v>
      </c>
      <c r="J3936" t="s">
        <v>278</v>
      </c>
      <c r="K3936">
        <v>757.84</v>
      </c>
      <c r="L3936">
        <v>14.03</v>
      </c>
      <c r="M3936">
        <v>49701</v>
      </c>
      <c r="N3936" t="s">
        <v>111</v>
      </c>
      <c r="O3936">
        <v>250422</v>
      </c>
      <c r="P3936">
        <v>55.03</v>
      </c>
    </row>
    <row r="3937" spans="1:16" x14ac:dyDescent="0.25">
      <c r="A3937" t="s">
        <v>3296</v>
      </c>
      <c r="B3937" t="s">
        <v>2931</v>
      </c>
      <c r="C3937">
        <v>6748</v>
      </c>
      <c r="D3937" t="str">
        <f>"2316        "</f>
        <v xml:space="preserve">2316        </v>
      </c>
      <c r="E3937" t="s">
        <v>676</v>
      </c>
      <c r="F3937" t="s">
        <v>677</v>
      </c>
      <c r="G3937">
        <v>263.29000000000002</v>
      </c>
      <c r="H3937">
        <v>250513</v>
      </c>
      <c r="I3937">
        <v>4600</v>
      </c>
      <c r="J3937" t="s">
        <v>278</v>
      </c>
      <c r="K3937">
        <v>1529.27</v>
      </c>
      <c r="L3937">
        <v>53.5</v>
      </c>
      <c r="M3937">
        <v>46557</v>
      </c>
      <c r="N3937" t="s">
        <v>104</v>
      </c>
      <c r="O3937">
        <v>250516</v>
      </c>
      <c r="P3937">
        <v>209.79</v>
      </c>
    </row>
    <row r="3938" spans="1:16" x14ac:dyDescent="0.25">
      <c r="A3938" t="s">
        <v>3296</v>
      </c>
      <c r="B3938" t="s">
        <v>2931</v>
      </c>
      <c r="C3938">
        <v>6748</v>
      </c>
      <c r="D3938" t="str">
        <f>"2316        "</f>
        <v xml:space="preserve">2316        </v>
      </c>
      <c r="E3938" t="s">
        <v>676</v>
      </c>
      <c r="F3938" t="s">
        <v>677</v>
      </c>
      <c r="G3938">
        <v>895.37</v>
      </c>
      <c r="H3938">
        <v>250513</v>
      </c>
      <c r="I3938">
        <v>4600</v>
      </c>
      <c r="J3938" t="s">
        <v>278</v>
      </c>
      <c r="K3938">
        <v>1529.27</v>
      </c>
      <c r="L3938">
        <v>181.93</v>
      </c>
      <c r="M3938">
        <v>46564</v>
      </c>
      <c r="N3938" t="s">
        <v>678</v>
      </c>
      <c r="O3938">
        <v>250516</v>
      </c>
      <c r="P3938">
        <v>713.44</v>
      </c>
    </row>
    <row r="3939" spans="1:16" x14ac:dyDescent="0.25">
      <c r="A3939" t="s">
        <v>3296</v>
      </c>
      <c r="B3939" t="s">
        <v>2931</v>
      </c>
      <c r="C3939">
        <v>6748</v>
      </c>
      <c r="D3939" t="str">
        <f>"2316        "</f>
        <v xml:space="preserve">2316        </v>
      </c>
      <c r="E3939" t="s">
        <v>676</v>
      </c>
      <c r="F3939" t="s">
        <v>677</v>
      </c>
      <c r="G3939">
        <v>186.45</v>
      </c>
      <c r="H3939">
        <v>250513</v>
      </c>
      <c r="I3939">
        <v>4600</v>
      </c>
      <c r="J3939" t="s">
        <v>278</v>
      </c>
      <c r="K3939">
        <v>1529.27</v>
      </c>
      <c r="L3939">
        <v>37.880000000000003</v>
      </c>
      <c r="M3939">
        <v>47522</v>
      </c>
      <c r="N3939" t="s">
        <v>106</v>
      </c>
      <c r="O3939">
        <v>250516</v>
      </c>
      <c r="P3939">
        <v>148.57</v>
      </c>
    </row>
    <row r="3940" spans="1:16" x14ac:dyDescent="0.25">
      <c r="A3940" t="s">
        <v>3296</v>
      </c>
      <c r="B3940" t="s">
        <v>2931</v>
      </c>
      <c r="C3940">
        <v>6748</v>
      </c>
      <c r="D3940" t="str">
        <f>"2316        "</f>
        <v xml:space="preserve">2316        </v>
      </c>
      <c r="E3940" t="s">
        <v>676</v>
      </c>
      <c r="F3940" t="s">
        <v>677</v>
      </c>
      <c r="G3940">
        <v>184.16</v>
      </c>
      <c r="H3940">
        <v>250513</v>
      </c>
      <c r="I3940">
        <v>4600</v>
      </c>
      <c r="J3940" t="s">
        <v>278</v>
      </c>
      <c r="K3940">
        <v>1529.27</v>
      </c>
      <c r="L3940">
        <v>37.42</v>
      </c>
      <c r="M3940">
        <v>49701</v>
      </c>
      <c r="N3940" t="s">
        <v>111</v>
      </c>
      <c r="O3940">
        <v>250516</v>
      </c>
      <c r="P3940">
        <v>146.74</v>
      </c>
    </row>
    <row r="3941" spans="1:16" x14ac:dyDescent="0.25">
      <c r="A3941" t="s">
        <v>3296</v>
      </c>
      <c r="B3941" t="s">
        <v>2931</v>
      </c>
      <c r="C3941">
        <v>7290</v>
      </c>
      <c r="D3941" t="str">
        <f>"2331        "</f>
        <v xml:space="preserve">2331        </v>
      </c>
      <c r="E3941" t="s">
        <v>676</v>
      </c>
      <c r="F3941" t="s">
        <v>677</v>
      </c>
      <c r="G3941">
        <v>170.84</v>
      </c>
      <c r="H3941">
        <v>250527</v>
      </c>
      <c r="I3941">
        <v>4600</v>
      </c>
      <c r="J3941" t="s">
        <v>278</v>
      </c>
      <c r="K3941">
        <v>1011.03</v>
      </c>
      <c r="L3941">
        <v>34.71</v>
      </c>
      <c r="M3941">
        <v>46557</v>
      </c>
      <c r="N3941" t="s">
        <v>104</v>
      </c>
      <c r="O3941">
        <v>250602</v>
      </c>
      <c r="P3941">
        <v>136.13</v>
      </c>
    </row>
    <row r="3942" spans="1:16" x14ac:dyDescent="0.25">
      <c r="A3942" t="s">
        <v>3296</v>
      </c>
      <c r="B3942" t="s">
        <v>2931</v>
      </c>
      <c r="C3942">
        <v>7290</v>
      </c>
      <c r="D3942" t="str">
        <f>"2331        "</f>
        <v xml:space="preserve">2331        </v>
      </c>
      <c r="E3942" t="s">
        <v>676</v>
      </c>
      <c r="F3942" t="s">
        <v>677</v>
      </c>
      <c r="G3942">
        <v>302.19</v>
      </c>
      <c r="H3942">
        <v>250527</v>
      </c>
      <c r="I3942">
        <v>4600</v>
      </c>
      <c r="J3942" t="s">
        <v>278</v>
      </c>
      <c r="K3942">
        <v>1011.03</v>
      </c>
      <c r="L3942">
        <v>61.4</v>
      </c>
      <c r="M3942">
        <v>46564</v>
      </c>
      <c r="N3942" t="s">
        <v>678</v>
      </c>
      <c r="O3942">
        <v>250602</v>
      </c>
      <c r="P3942">
        <v>240.79</v>
      </c>
    </row>
    <row r="3943" spans="1:16" x14ac:dyDescent="0.25">
      <c r="A3943" t="s">
        <v>3296</v>
      </c>
      <c r="B3943" t="s">
        <v>2931</v>
      </c>
      <c r="C3943">
        <v>7290</v>
      </c>
      <c r="D3943" t="str">
        <f>"2331        "</f>
        <v xml:space="preserve">2331        </v>
      </c>
      <c r="E3943" t="s">
        <v>676</v>
      </c>
      <c r="F3943" t="s">
        <v>677</v>
      </c>
      <c r="G3943">
        <v>538</v>
      </c>
      <c r="H3943">
        <v>250527</v>
      </c>
      <c r="I3943">
        <v>4600</v>
      </c>
      <c r="J3943" t="s">
        <v>278</v>
      </c>
      <c r="K3943">
        <v>1011.03</v>
      </c>
      <c r="L3943">
        <v>109.31</v>
      </c>
      <c r="M3943">
        <v>49701</v>
      </c>
      <c r="N3943" t="s">
        <v>111</v>
      </c>
      <c r="O3943">
        <v>250602</v>
      </c>
      <c r="P3943">
        <v>428.69</v>
      </c>
    </row>
    <row r="3944" spans="1:16" x14ac:dyDescent="0.25">
      <c r="A3944" t="s">
        <v>3296</v>
      </c>
      <c r="B3944" t="s">
        <v>2931</v>
      </c>
      <c r="C3944">
        <v>10348</v>
      </c>
      <c r="D3944" t="str">
        <f>"2410        "</f>
        <v xml:space="preserve">2410        </v>
      </c>
      <c r="E3944" t="s">
        <v>676</v>
      </c>
      <c r="F3944" t="s">
        <v>677</v>
      </c>
      <c r="G3944">
        <v>319.33</v>
      </c>
      <c r="H3944">
        <v>250809</v>
      </c>
      <c r="I3944">
        <v>4600</v>
      </c>
      <c r="J3944" t="s">
        <v>278</v>
      </c>
      <c r="K3944">
        <v>797.36</v>
      </c>
      <c r="L3944">
        <v>64.88</v>
      </c>
      <c r="M3944">
        <v>46564</v>
      </c>
      <c r="N3944" t="s">
        <v>678</v>
      </c>
      <c r="O3944">
        <v>250818</v>
      </c>
      <c r="P3944">
        <v>254.45</v>
      </c>
    </row>
    <row r="3945" spans="1:16" x14ac:dyDescent="0.25">
      <c r="A3945" t="s">
        <v>3296</v>
      </c>
      <c r="B3945" t="s">
        <v>2931</v>
      </c>
      <c r="C3945">
        <v>10348</v>
      </c>
      <c r="D3945" t="str">
        <f>"2410        "</f>
        <v xml:space="preserve">2410        </v>
      </c>
      <c r="E3945" t="s">
        <v>676</v>
      </c>
      <c r="F3945" t="s">
        <v>677</v>
      </c>
      <c r="G3945">
        <v>478.03</v>
      </c>
      <c r="H3945">
        <v>250809</v>
      </c>
      <c r="I3945">
        <v>4600</v>
      </c>
      <c r="J3945" t="s">
        <v>278</v>
      </c>
      <c r="K3945">
        <v>797.36</v>
      </c>
      <c r="L3945">
        <v>97.13</v>
      </c>
      <c r="M3945">
        <v>49701</v>
      </c>
      <c r="N3945" t="s">
        <v>111</v>
      </c>
      <c r="O3945">
        <v>250818</v>
      </c>
      <c r="P3945">
        <v>380.9</v>
      </c>
    </row>
    <row r="3946" spans="1:16" x14ac:dyDescent="0.25">
      <c r="A3946" t="s">
        <v>3296</v>
      </c>
      <c r="B3946" t="s">
        <v>2931</v>
      </c>
      <c r="C3946">
        <v>10810</v>
      </c>
      <c r="D3946" t="str">
        <f>"2421        "</f>
        <v xml:space="preserve">2421        </v>
      </c>
      <c r="E3946" t="s">
        <v>676</v>
      </c>
      <c r="F3946" t="s">
        <v>677</v>
      </c>
      <c r="G3946">
        <v>14.24</v>
      </c>
      <c r="H3946">
        <v>250821</v>
      </c>
      <c r="I3946">
        <v>4600</v>
      </c>
      <c r="J3946" t="s">
        <v>278</v>
      </c>
      <c r="K3946">
        <v>311.27999999999997</v>
      </c>
      <c r="L3946">
        <v>2.89</v>
      </c>
      <c r="M3946">
        <v>46557</v>
      </c>
      <c r="N3946" t="s">
        <v>104</v>
      </c>
      <c r="O3946">
        <v>250825</v>
      </c>
      <c r="P3946">
        <v>11.35</v>
      </c>
    </row>
    <row r="3947" spans="1:16" x14ac:dyDescent="0.25">
      <c r="A3947" t="s">
        <v>3296</v>
      </c>
      <c r="B3947" t="s">
        <v>2931</v>
      </c>
      <c r="C3947">
        <v>10810</v>
      </c>
      <c r="D3947" t="str">
        <f>"2421        "</f>
        <v xml:space="preserve">2421        </v>
      </c>
      <c r="E3947" t="s">
        <v>676</v>
      </c>
      <c r="F3947" t="s">
        <v>677</v>
      </c>
      <c r="G3947">
        <v>297.04000000000002</v>
      </c>
      <c r="H3947">
        <v>250821</v>
      </c>
      <c r="I3947">
        <v>4600</v>
      </c>
      <c r="J3947" t="s">
        <v>278</v>
      </c>
      <c r="K3947">
        <v>311.27999999999997</v>
      </c>
      <c r="L3947">
        <v>60.35</v>
      </c>
      <c r="M3947">
        <v>49701</v>
      </c>
      <c r="N3947" t="s">
        <v>111</v>
      </c>
      <c r="O3947">
        <v>250825</v>
      </c>
      <c r="P3947">
        <v>236.69</v>
      </c>
    </row>
    <row r="3948" spans="1:16" x14ac:dyDescent="0.25">
      <c r="A3948" t="s">
        <v>3296</v>
      </c>
      <c r="B3948" t="s">
        <v>2931</v>
      </c>
      <c r="C3948">
        <v>12158</v>
      </c>
      <c r="D3948" t="str">
        <f>"2440        "</f>
        <v xml:space="preserve">2440        </v>
      </c>
      <c r="E3948" t="s">
        <v>676</v>
      </c>
      <c r="F3948" t="s">
        <v>677</v>
      </c>
      <c r="G3948">
        <v>264.88</v>
      </c>
      <c r="H3948">
        <v>250831</v>
      </c>
      <c r="I3948">
        <v>4600</v>
      </c>
      <c r="J3948" t="s">
        <v>278</v>
      </c>
      <c r="K3948">
        <v>1296.23</v>
      </c>
      <c r="L3948">
        <v>53.82</v>
      </c>
      <c r="M3948">
        <v>46557</v>
      </c>
      <c r="N3948" t="s">
        <v>104</v>
      </c>
      <c r="O3948">
        <v>250917</v>
      </c>
      <c r="P3948">
        <v>211.06</v>
      </c>
    </row>
    <row r="3949" spans="1:16" x14ac:dyDescent="0.25">
      <c r="A3949" t="s">
        <v>3296</v>
      </c>
      <c r="B3949" t="s">
        <v>2931</v>
      </c>
      <c r="C3949">
        <v>12158</v>
      </c>
      <c r="D3949" t="str">
        <f>"2440        "</f>
        <v xml:space="preserve">2440        </v>
      </c>
      <c r="E3949" t="s">
        <v>676</v>
      </c>
      <c r="F3949" t="s">
        <v>677</v>
      </c>
      <c r="G3949">
        <v>589.52</v>
      </c>
      <c r="H3949">
        <v>250831</v>
      </c>
      <c r="I3949">
        <v>4600</v>
      </c>
      <c r="J3949" t="s">
        <v>278</v>
      </c>
      <c r="K3949">
        <v>1296.23</v>
      </c>
      <c r="L3949">
        <v>119.78</v>
      </c>
      <c r="M3949">
        <v>46564</v>
      </c>
      <c r="N3949" t="s">
        <v>678</v>
      </c>
      <c r="O3949">
        <v>250917</v>
      </c>
      <c r="P3949">
        <v>469.74</v>
      </c>
    </row>
    <row r="3950" spans="1:16" x14ac:dyDescent="0.25">
      <c r="A3950" t="s">
        <v>3296</v>
      </c>
      <c r="B3950" t="s">
        <v>2931</v>
      </c>
      <c r="C3950">
        <v>12158</v>
      </c>
      <c r="D3950" t="str">
        <f>"2440        "</f>
        <v xml:space="preserve">2440        </v>
      </c>
      <c r="E3950" t="s">
        <v>676</v>
      </c>
      <c r="F3950" t="s">
        <v>677</v>
      </c>
      <c r="G3950">
        <v>288.10000000000002</v>
      </c>
      <c r="H3950">
        <v>250831</v>
      </c>
      <c r="I3950">
        <v>4600</v>
      </c>
      <c r="J3950" t="s">
        <v>278</v>
      </c>
      <c r="K3950">
        <v>1296.23</v>
      </c>
      <c r="L3950">
        <v>58.54</v>
      </c>
      <c r="M3950">
        <v>49701</v>
      </c>
      <c r="N3950" t="s">
        <v>111</v>
      </c>
      <c r="O3950">
        <v>250917</v>
      </c>
      <c r="P3950">
        <v>229.56</v>
      </c>
    </row>
    <row r="3951" spans="1:16" x14ac:dyDescent="0.25">
      <c r="A3951" t="s">
        <v>3296</v>
      </c>
      <c r="B3951" t="s">
        <v>2931</v>
      </c>
      <c r="C3951">
        <v>12239</v>
      </c>
      <c r="D3951" t="str">
        <f>"2444        "</f>
        <v xml:space="preserve">2444        </v>
      </c>
      <c r="E3951" t="s">
        <v>676</v>
      </c>
      <c r="F3951" t="s">
        <v>677</v>
      </c>
      <c r="G3951">
        <v>172.32</v>
      </c>
      <c r="H3951">
        <v>250914</v>
      </c>
      <c r="I3951">
        <v>4600</v>
      </c>
      <c r="J3951" t="s">
        <v>278</v>
      </c>
      <c r="K3951">
        <v>1395.24</v>
      </c>
      <c r="L3951">
        <v>35.01</v>
      </c>
      <c r="M3951">
        <v>46557</v>
      </c>
      <c r="N3951" t="s">
        <v>104</v>
      </c>
      <c r="O3951">
        <v>250918</v>
      </c>
      <c r="P3951">
        <v>137.31</v>
      </c>
    </row>
    <row r="3952" spans="1:16" x14ac:dyDescent="0.25">
      <c r="A3952" t="s">
        <v>3296</v>
      </c>
      <c r="B3952" t="s">
        <v>2931</v>
      </c>
      <c r="C3952">
        <v>12239</v>
      </c>
      <c r="D3952" t="str">
        <f>"2444        "</f>
        <v xml:space="preserve">2444        </v>
      </c>
      <c r="E3952" t="s">
        <v>676</v>
      </c>
      <c r="F3952" t="s">
        <v>677</v>
      </c>
      <c r="G3952">
        <v>803.46</v>
      </c>
      <c r="H3952">
        <v>250914</v>
      </c>
      <c r="I3952">
        <v>4600</v>
      </c>
      <c r="J3952" t="s">
        <v>278</v>
      </c>
      <c r="K3952">
        <v>1395.24</v>
      </c>
      <c r="L3952">
        <v>163.25</v>
      </c>
      <c r="M3952">
        <v>46564</v>
      </c>
      <c r="N3952" t="s">
        <v>678</v>
      </c>
      <c r="O3952">
        <v>250918</v>
      </c>
      <c r="P3952">
        <v>640.21</v>
      </c>
    </row>
    <row r="3953" spans="1:16" x14ac:dyDescent="0.25">
      <c r="A3953" t="s">
        <v>3296</v>
      </c>
      <c r="B3953" t="s">
        <v>2931</v>
      </c>
      <c r="C3953">
        <v>12239</v>
      </c>
      <c r="D3953" t="str">
        <f>"2444        "</f>
        <v xml:space="preserve">2444        </v>
      </c>
      <c r="E3953" t="s">
        <v>676</v>
      </c>
      <c r="F3953" t="s">
        <v>677</v>
      </c>
      <c r="G3953">
        <v>35.119999999999997</v>
      </c>
      <c r="H3953">
        <v>250914</v>
      </c>
      <c r="I3953">
        <v>4600</v>
      </c>
      <c r="J3953" t="s">
        <v>278</v>
      </c>
      <c r="K3953">
        <v>1395.24</v>
      </c>
      <c r="L3953">
        <v>7.14</v>
      </c>
      <c r="M3953">
        <v>49701</v>
      </c>
      <c r="N3953" t="s">
        <v>111</v>
      </c>
      <c r="O3953">
        <v>250918</v>
      </c>
      <c r="P3953">
        <v>27.98</v>
      </c>
    </row>
    <row r="3954" spans="1:16" x14ac:dyDescent="0.25">
      <c r="A3954" t="s">
        <v>3296</v>
      </c>
      <c r="B3954" t="s">
        <v>2931</v>
      </c>
      <c r="C3954">
        <v>12486</v>
      </c>
      <c r="D3954" t="str">
        <f>"2455        "</f>
        <v xml:space="preserve">2455        </v>
      </c>
      <c r="E3954" t="s">
        <v>676</v>
      </c>
      <c r="F3954" t="s">
        <v>677</v>
      </c>
      <c r="G3954">
        <v>195.18</v>
      </c>
      <c r="H3954">
        <v>250920</v>
      </c>
      <c r="I3954">
        <v>4600</v>
      </c>
      <c r="J3954" t="s">
        <v>278</v>
      </c>
      <c r="K3954">
        <v>637.70000000000005</v>
      </c>
      <c r="L3954">
        <v>39.659999999999997</v>
      </c>
      <c r="M3954">
        <v>46557</v>
      </c>
      <c r="N3954" t="s">
        <v>104</v>
      </c>
      <c r="O3954">
        <v>250925</v>
      </c>
      <c r="P3954">
        <v>155.52000000000001</v>
      </c>
    </row>
    <row r="3955" spans="1:16" x14ac:dyDescent="0.25">
      <c r="A3955" t="s">
        <v>3296</v>
      </c>
      <c r="B3955" t="s">
        <v>2931</v>
      </c>
      <c r="C3955">
        <v>12486</v>
      </c>
      <c r="D3955" t="str">
        <f>"2455        "</f>
        <v xml:space="preserve">2455        </v>
      </c>
      <c r="E3955" t="s">
        <v>676</v>
      </c>
      <c r="F3955" t="s">
        <v>677</v>
      </c>
      <c r="G3955">
        <v>319.20999999999998</v>
      </c>
      <c r="H3955">
        <v>250920</v>
      </c>
      <c r="I3955">
        <v>4600</v>
      </c>
      <c r="J3955" t="s">
        <v>278</v>
      </c>
      <c r="K3955">
        <v>637.70000000000005</v>
      </c>
      <c r="L3955">
        <v>64.86</v>
      </c>
      <c r="M3955">
        <v>46564</v>
      </c>
      <c r="N3955" t="s">
        <v>678</v>
      </c>
      <c r="O3955">
        <v>250925</v>
      </c>
      <c r="P3955">
        <v>254.35</v>
      </c>
    </row>
    <row r="3956" spans="1:16" x14ac:dyDescent="0.25">
      <c r="A3956" t="s">
        <v>3296</v>
      </c>
      <c r="B3956" t="s">
        <v>2931</v>
      </c>
      <c r="C3956">
        <v>12918</v>
      </c>
      <c r="D3956" t="str">
        <f>"2462        "</f>
        <v xml:space="preserve">2462        </v>
      </c>
      <c r="E3956" t="s">
        <v>676</v>
      </c>
      <c r="F3956" t="s">
        <v>677</v>
      </c>
      <c r="G3956">
        <v>99.63</v>
      </c>
      <c r="H3956">
        <v>250930</v>
      </c>
      <c r="I3956">
        <v>4600</v>
      </c>
      <c r="J3956" t="s">
        <v>278</v>
      </c>
      <c r="K3956">
        <v>557.53</v>
      </c>
      <c r="L3956">
        <v>20.239999999999998</v>
      </c>
      <c r="M3956">
        <v>46557</v>
      </c>
      <c r="N3956" t="s">
        <v>104</v>
      </c>
      <c r="O3956">
        <v>251002</v>
      </c>
      <c r="P3956">
        <v>79.39</v>
      </c>
    </row>
    <row r="3957" spans="1:16" x14ac:dyDescent="0.25">
      <c r="A3957" t="s">
        <v>3296</v>
      </c>
      <c r="B3957" t="s">
        <v>2931</v>
      </c>
      <c r="C3957">
        <v>12918</v>
      </c>
      <c r="D3957" t="str">
        <f>"2462        "</f>
        <v xml:space="preserve">2462        </v>
      </c>
      <c r="E3957" t="s">
        <v>676</v>
      </c>
      <c r="F3957" t="s">
        <v>677</v>
      </c>
      <c r="G3957">
        <v>413.06</v>
      </c>
      <c r="H3957">
        <v>250930</v>
      </c>
      <c r="I3957">
        <v>4600</v>
      </c>
      <c r="J3957" t="s">
        <v>278</v>
      </c>
      <c r="K3957">
        <v>557.53</v>
      </c>
      <c r="L3957">
        <v>83.93</v>
      </c>
      <c r="M3957">
        <v>46564</v>
      </c>
      <c r="N3957" t="s">
        <v>678</v>
      </c>
      <c r="O3957">
        <v>251002</v>
      </c>
      <c r="P3957">
        <v>329.13</v>
      </c>
    </row>
    <row r="3958" spans="1:16" x14ac:dyDescent="0.25">
      <c r="A3958" t="s">
        <v>3296</v>
      </c>
      <c r="B3958" t="s">
        <v>2931</v>
      </c>
      <c r="C3958">
        <v>12918</v>
      </c>
      <c r="D3958" t="str">
        <f>"2462        "</f>
        <v xml:space="preserve">2462        </v>
      </c>
      <c r="E3958" t="s">
        <v>676</v>
      </c>
      <c r="F3958" t="s">
        <v>677</v>
      </c>
      <c r="G3958">
        <v>27.28</v>
      </c>
      <c r="H3958">
        <v>250930</v>
      </c>
      <c r="I3958">
        <v>4600</v>
      </c>
      <c r="J3958" t="s">
        <v>278</v>
      </c>
      <c r="K3958">
        <v>557.53</v>
      </c>
      <c r="L3958">
        <v>5.54</v>
      </c>
      <c r="M3958">
        <v>49701</v>
      </c>
      <c r="N3958" t="s">
        <v>111</v>
      </c>
      <c r="O3958">
        <v>251002</v>
      </c>
      <c r="P3958">
        <v>21.74</v>
      </c>
    </row>
    <row r="3959" spans="1:16" x14ac:dyDescent="0.25">
      <c r="A3959" t="s">
        <v>3296</v>
      </c>
      <c r="B3959" t="s">
        <v>2931</v>
      </c>
      <c r="C3959">
        <v>14644</v>
      </c>
      <c r="D3959" t="str">
        <f>"2477        "</f>
        <v xml:space="preserve">2477        </v>
      </c>
      <c r="E3959" t="s">
        <v>676</v>
      </c>
      <c r="F3959" t="s">
        <v>677</v>
      </c>
      <c r="G3959">
        <v>641.55999999999995</v>
      </c>
      <c r="H3959">
        <v>251028</v>
      </c>
      <c r="I3959">
        <v>4600</v>
      </c>
      <c r="J3959" t="s">
        <v>278</v>
      </c>
      <c r="K3959">
        <v>1442.7</v>
      </c>
      <c r="L3959">
        <v>130.36000000000001</v>
      </c>
      <c r="M3959">
        <v>46557</v>
      </c>
      <c r="N3959" t="s">
        <v>104</v>
      </c>
      <c r="O3959">
        <v>251105</v>
      </c>
      <c r="P3959">
        <v>511.2</v>
      </c>
    </row>
    <row r="3960" spans="1:16" x14ac:dyDescent="0.25">
      <c r="A3960" t="s">
        <v>3296</v>
      </c>
      <c r="B3960" t="s">
        <v>2931</v>
      </c>
      <c r="C3960">
        <v>14644</v>
      </c>
      <c r="D3960" t="str">
        <f>"2477        "</f>
        <v xml:space="preserve">2477        </v>
      </c>
      <c r="E3960" t="s">
        <v>676</v>
      </c>
      <c r="F3960" t="s">
        <v>677</v>
      </c>
      <c r="G3960">
        <v>322.16000000000003</v>
      </c>
      <c r="H3960">
        <v>251028</v>
      </c>
      <c r="I3960">
        <v>4600</v>
      </c>
      <c r="J3960" t="s">
        <v>278</v>
      </c>
      <c r="K3960">
        <v>1442.7</v>
      </c>
      <c r="L3960">
        <v>65.459999999999994</v>
      </c>
      <c r="M3960">
        <v>46564</v>
      </c>
      <c r="N3960" t="s">
        <v>678</v>
      </c>
      <c r="O3960">
        <v>251105</v>
      </c>
      <c r="P3960">
        <v>256.7</v>
      </c>
    </row>
    <row r="3961" spans="1:16" x14ac:dyDescent="0.25">
      <c r="A3961" t="s">
        <v>3296</v>
      </c>
      <c r="B3961" t="s">
        <v>2931</v>
      </c>
      <c r="C3961">
        <v>14644</v>
      </c>
      <c r="D3961" t="str">
        <f>"2477        "</f>
        <v xml:space="preserve">2477        </v>
      </c>
      <c r="E3961" t="s">
        <v>676</v>
      </c>
      <c r="F3961" t="s">
        <v>677</v>
      </c>
      <c r="G3961">
        <v>478.98</v>
      </c>
      <c r="H3961">
        <v>251028</v>
      </c>
      <c r="I3961">
        <v>4600</v>
      </c>
      <c r="J3961" t="s">
        <v>278</v>
      </c>
      <c r="K3961">
        <v>1442.7</v>
      </c>
      <c r="L3961">
        <v>97.32</v>
      </c>
      <c r="M3961">
        <v>49701</v>
      </c>
      <c r="N3961" t="s">
        <v>111</v>
      </c>
      <c r="O3961">
        <v>251105</v>
      </c>
      <c r="P3961">
        <v>381.66</v>
      </c>
    </row>
    <row r="3962" spans="1:16" x14ac:dyDescent="0.25">
      <c r="A3962" t="s">
        <v>3296</v>
      </c>
      <c r="B3962" t="s">
        <v>2931</v>
      </c>
      <c r="C3962">
        <v>14757</v>
      </c>
      <c r="D3962" t="str">
        <f>"2484        "</f>
        <v xml:space="preserve">2484        </v>
      </c>
      <c r="E3962" t="s">
        <v>676</v>
      </c>
      <c r="F3962" t="s">
        <v>677</v>
      </c>
      <c r="G3962">
        <v>87.46</v>
      </c>
      <c r="H3962">
        <v>251105</v>
      </c>
      <c r="I3962">
        <v>4600</v>
      </c>
      <c r="J3962" t="s">
        <v>278</v>
      </c>
      <c r="K3962">
        <v>389.23</v>
      </c>
      <c r="L3962">
        <v>17.77</v>
      </c>
      <c r="M3962">
        <v>46557</v>
      </c>
      <c r="N3962" t="s">
        <v>104</v>
      </c>
      <c r="O3962">
        <v>251106</v>
      </c>
      <c r="P3962">
        <v>69.69</v>
      </c>
    </row>
    <row r="3963" spans="1:16" x14ac:dyDescent="0.25">
      <c r="A3963" t="s">
        <v>3296</v>
      </c>
      <c r="B3963" t="s">
        <v>2931</v>
      </c>
      <c r="C3963">
        <v>14757</v>
      </c>
      <c r="D3963" t="str">
        <f>"2484        "</f>
        <v xml:space="preserve">2484        </v>
      </c>
      <c r="E3963" t="s">
        <v>676</v>
      </c>
      <c r="F3963" t="s">
        <v>677</v>
      </c>
      <c r="G3963">
        <v>301.77</v>
      </c>
      <c r="H3963">
        <v>251105</v>
      </c>
      <c r="I3963">
        <v>4600</v>
      </c>
      <c r="J3963" t="s">
        <v>278</v>
      </c>
      <c r="K3963">
        <v>389.23</v>
      </c>
      <c r="L3963">
        <v>61.32</v>
      </c>
      <c r="M3963">
        <v>46564</v>
      </c>
      <c r="N3963" t="s">
        <v>678</v>
      </c>
      <c r="O3963">
        <v>251106</v>
      </c>
      <c r="P3963">
        <v>240.45</v>
      </c>
    </row>
    <row r="3964" spans="1:16" x14ac:dyDescent="0.25">
      <c r="A3964" t="s">
        <v>3296</v>
      </c>
      <c r="B3964" t="s">
        <v>2931</v>
      </c>
      <c r="C3964">
        <v>15551</v>
      </c>
      <c r="D3964" t="str">
        <f>"2494        "</f>
        <v xml:space="preserve">2494        </v>
      </c>
      <c r="E3964" t="s">
        <v>676</v>
      </c>
      <c r="F3964" t="s">
        <v>677</v>
      </c>
      <c r="G3964">
        <v>243.32</v>
      </c>
      <c r="H3964">
        <v>251114</v>
      </c>
      <c r="I3964">
        <v>4600</v>
      </c>
      <c r="J3964" t="s">
        <v>278</v>
      </c>
      <c r="K3964">
        <v>817.02</v>
      </c>
      <c r="L3964">
        <v>49.44</v>
      </c>
      <c r="M3964">
        <v>46557</v>
      </c>
      <c r="N3964" t="s">
        <v>104</v>
      </c>
      <c r="O3964">
        <v>251121</v>
      </c>
      <c r="P3964">
        <v>193.88</v>
      </c>
    </row>
    <row r="3965" spans="1:16" x14ac:dyDescent="0.25">
      <c r="A3965" t="s">
        <v>3296</v>
      </c>
      <c r="B3965" t="s">
        <v>2931</v>
      </c>
      <c r="C3965">
        <v>15551</v>
      </c>
      <c r="D3965" t="str">
        <f>"2494        "</f>
        <v xml:space="preserve">2494        </v>
      </c>
      <c r="E3965" t="s">
        <v>676</v>
      </c>
      <c r="F3965" t="s">
        <v>677</v>
      </c>
      <c r="G3965">
        <v>468</v>
      </c>
      <c r="H3965">
        <v>251114</v>
      </c>
      <c r="I3965">
        <v>4600</v>
      </c>
      <c r="J3965" t="s">
        <v>278</v>
      </c>
      <c r="K3965">
        <v>817.02</v>
      </c>
      <c r="L3965">
        <v>95.09</v>
      </c>
      <c r="M3965">
        <v>46564</v>
      </c>
      <c r="N3965" t="s">
        <v>678</v>
      </c>
      <c r="O3965">
        <v>251121</v>
      </c>
      <c r="P3965">
        <v>372.91</v>
      </c>
    </row>
    <row r="3966" spans="1:16" x14ac:dyDescent="0.25">
      <c r="A3966" t="s">
        <v>3296</v>
      </c>
      <c r="B3966" t="s">
        <v>2931</v>
      </c>
      <c r="C3966">
        <v>15551</v>
      </c>
      <c r="D3966" t="str">
        <f>"2494        "</f>
        <v xml:space="preserve">2494        </v>
      </c>
      <c r="E3966" t="s">
        <v>676</v>
      </c>
      <c r="F3966" t="s">
        <v>677</v>
      </c>
      <c r="G3966">
        <v>105.7</v>
      </c>
      <c r="H3966">
        <v>251114</v>
      </c>
      <c r="I3966">
        <v>4600</v>
      </c>
      <c r="J3966" t="s">
        <v>278</v>
      </c>
      <c r="K3966">
        <v>817.02</v>
      </c>
      <c r="L3966">
        <v>21.48</v>
      </c>
      <c r="M3966">
        <v>49701</v>
      </c>
      <c r="N3966" t="s">
        <v>111</v>
      </c>
      <c r="O3966">
        <v>251121</v>
      </c>
      <c r="P3966">
        <v>84.22</v>
      </c>
    </row>
    <row r="3967" spans="1:16" x14ac:dyDescent="0.25">
      <c r="A3967" t="s">
        <v>3296</v>
      </c>
      <c r="B3967" t="s">
        <v>2931</v>
      </c>
      <c r="C3967">
        <v>15951</v>
      </c>
      <c r="D3967" t="str">
        <f>"2505        "</f>
        <v xml:space="preserve">2505        </v>
      </c>
      <c r="E3967" t="s">
        <v>676</v>
      </c>
      <c r="F3967" t="s">
        <v>677</v>
      </c>
      <c r="G3967">
        <v>129.33000000000001</v>
      </c>
      <c r="H3967">
        <v>251128</v>
      </c>
      <c r="I3967">
        <v>4600</v>
      </c>
      <c r="J3967" t="s">
        <v>278</v>
      </c>
      <c r="K3967">
        <v>925.17</v>
      </c>
      <c r="L3967">
        <v>26.28</v>
      </c>
      <c r="M3967">
        <v>46557</v>
      </c>
      <c r="N3967" t="s">
        <v>104</v>
      </c>
      <c r="O3967">
        <v>251201</v>
      </c>
      <c r="P3967">
        <v>103.05</v>
      </c>
    </row>
    <row r="3968" spans="1:16" x14ac:dyDescent="0.25">
      <c r="A3968" t="s">
        <v>3296</v>
      </c>
      <c r="B3968" t="s">
        <v>2931</v>
      </c>
      <c r="C3968">
        <v>15951</v>
      </c>
      <c r="D3968" t="str">
        <f>"2505        "</f>
        <v xml:space="preserve">2505        </v>
      </c>
      <c r="E3968" t="s">
        <v>676</v>
      </c>
      <c r="F3968" t="s">
        <v>677</v>
      </c>
      <c r="G3968">
        <v>556.41</v>
      </c>
      <c r="H3968">
        <v>251128</v>
      </c>
      <c r="I3968">
        <v>4600</v>
      </c>
      <c r="J3968" t="s">
        <v>278</v>
      </c>
      <c r="K3968">
        <v>925.17</v>
      </c>
      <c r="L3968">
        <v>113.06</v>
      </c>
      <c r="M3968">
        <v>46564</v>
      </c>
      <c r="N3968" t="s">
        <v>678</v>
      </c>
      <c r="O3968">
        <v>251201</v>
      </c>
      <c r="P3968">
        <v>443.35</v>
      </c>
    </row>
    <row r="3969" spans="1:16" x14ac:dyDescent="0.25">
      <c r="A3969" t="s">
        <v>3296</v>
      </c>
      <c r="B3969" t="s">
        <v>2931</v>
      </c>
      <c r="C3969">
        <v>15951</v>
      </c>
      <c r="D3969" t="str">
        <f>"2505        "</f>
        <v xml:space="preserve">2505        </v>
      </c>
      <c r="E3969" t="s">
        <v>676</v>
      </c>
      <c r="F3969" t="s">
        <v>677</v>
      </c>
      <c r="G3969">
        <v>239.43</v>
      </c>
      <c r="H3969">
        <v>251128</v>
      </c>
      <c r="I3969">
        <v>4600</v>
      </c>
      <c r="J3969" t="s">
        <v>278</v>
      </c>
      <c r="K3969">
        <v>925.17</v>
      </c>
      <c r="L3969">
        <v>48.65</v>
      </c>
      <c r="M3969">
        <v>49701</v>
      </c>
      <c r="N3969" t="s">
        <v>111</v>
      </c>
      <c r="O3969">
        <v>251201</v>
      </c>
      <c r="P3969">
        <v>190.78</v>
      </c>
    </row>
    <row r="3970" spans="1:16" x14ac:dyDescent="0.25">
      <c r="A3970" t="s">
        <v>3296</v>
      </c>
      <c r="B3970" t="s">
        <v>2931</v>
      </c>
      <c r="C3970">
        <v>17869</v>
      </c>
      <c r="D3970" t="str">
        <f>"2522        "</f>
        <v xml:space="preserve">2522        </v>
      </c>
      <c r="E3970" t="s">
        <v>676</v>
      </c>
      <c r="F3970" t="s">
        <v>677</v>
      </c>
      <c r="G3970">
        <v>513.83000000000004</v>
      </c>
      <c r="H3970">
        <v>251211</v>
      </c>
      <c r="I3970">
        <v>4600</v>
      </c>
      <c r="J3970" t="s">
        <v>278</v>
      </c>
      <c r="K3970">
        <v>1290.8599999999999</v>
      </c>
      <c r="L3970">
        <v>104.4</v>
      </c>
      <c r="M3970">
        <v>46564</v>
      </c>
      <c r="N3970" t="s">
        <v>678</v>
      </c>
      <c r="O3970">
        <v>251231</v>
      </c>
      <c r="P3970">
        <v>409.43</v>
      </c>
    </row>
    <row r="3971" spans="1:16" x14ac:dyDescent="0.25">
      <c r="A3971" t="s">
        <v>3296</v>
      </c>
      <c r="B3971" t="s">
        <v>2931</v>
      </c>
      <c r="C3971">
        <v>17869</v>
      </c>
      <c r="D3971" t="str">
        <f>"2522        "</f>
        <v xml:space="preserve">2522        </v>
      </c>
      <c r="E3971" t="s">
        <v>676</v>
      </c>
      <c r="F3971" t="s">
        <v>677</v>
      </c>
      <c r="G3971">
        <v>532.41999999999996</v>
      </c>
      <c r="H3971">
        <v>251211</v>
      </c>
      <c r="I3971">
        <v>4600</v>
      </c>
      <c r="J3971" t="s">
        <v>278</v>
      </c>
      <c r="K3971">
        <v>1290.8599999999999</v>
      </c>
      <c r="L3971">
        <v>108.18</v>
      </c>
      <c r="M3971">
        <v>49701</v>
      </c>
      <c r="N3971" t="s">
        <v>111</v>
      </c>
      <c r="O3971">
        <v>251231</v>
      </c>
      <c r="P3971">
        <v>424.24</v>
      </c>
    </row>
    <row r="3972" spans="1:16" x14ac:dyDescent="0.25">
      <c r="A3972" t="s">
        <v>3296</v>
      </c>
      <c r="B3972" t="s">
        <v>2931</v>
      </c>
      <c r="C3972">
        <v>18323</v>
      </c>
      <c r="D3972" t="str">
        <f>"2542        "</f>
        <v xml:space="preserve">2542        </v>
      </c>
      <c r="E3972" t="s">
        <v>676</v>
      </c>
      <c r="F3972" t="s">
        <v>677</v>
      </c>
      <c r="G3972">
        <v>87.08</v>
      </c>
      <c r="H3972">
        <v>251230</v>
      </c>
      <c r="I3972">
        <v>4600</v>
      </c>
      <c r="J3972" t="s">
        <v>278</v>
      </c>
      <c r="K3972">
        <v>87.08</v>
      </c>
      <c r="L3972">
        <v>17.690000000000001</v>
      </c>
      <c r="M3972">
        <v>46564</v>
      </c>
      <c r="N3972" t="s">
        <v>678</v>
      </c>
      <c r="O3972">
        <v>260113</v>
      </c>
      <c r="P3972">
        <v>69.39</v>
      </c>
    </row>
    <row r="3973" spans="1:16" x14ac:dyDescent="0.25">
      <c r="A3973" t="s">
        <v>3296</v>
      </c>
      <c r="B3973" t="s">
        <v>2931</v>
      </c>
      <c r="C3973">
        <v>3023</v>
      </c>
      <c r="D3973" t="str">
        <f>"11279       "</f>
        <v xml:space="preserve">11279       </v>
      </c>
      <c r="E3973" t="s">
        <v>1386</v>
      </c>
      <c r="F3973" t="s">
        <v>1387</v>
      </c>
      <c r="G3973">
        <v>95.83</v>
      </c>
      <c r="H3973">
        <v>250310</v>
      </c>
      <c r="I3973">
        <v>4600</v>
      </c>
      <c r="J3973" t="s">
        <v>278</v>
      </c>
      <c r="K3973">
        <v>95.83</v>
      </c>
      <c r="L3973">
        <v>19.47</v>
      </c>
      <c r="M3973">
        <v>13801</v>
      </c>
      <c r="N3973" t="s">
        <v>33</v>
      </c>
      <c r="O3973">
        <v>250314</v>
      </c>
      <c r="P3973">
        <v>76.36</v>
      </c>
    </row>
    <row r="3974" spans="1:16" x14ac:dyDescent="0.25">
      <c r="A3974" t="s">
        <v>3296</v>
      </c>
      <c r="B3974" t="s">
        <v>2931</v>
      </c>
      <c r="C3974">
        <v>10786</v>
      </c>
      <c r="D3974" t="str">
        <f>"11370       "</f>
        <v xml:space="preserve">11370       </v>
      </c>
      <c r="E3974" t="s">
        <v>1386</v>
      </c>
      <c r="F3974" t="s">
        <v>1387</v>
      </c>
      <c r="G3974">
        <v>562.95000000000005</v>
      </c>
      <c r="H3974">
        <v>250819</v>
      </c>
      <c r="I3974">
        <v>4600</v>
      </c>
      <c r="J3974" t="s">
        <v>278</v>
      </c>
      <c r="K3974">
        <v>562.95000000000005</v>
      </c>
      <c r="L3974">
        <v>114.38</v>
      </c>
      <c r="M3974">
        <v>13801</v>
      </c>
      <c r="N3974" t="s">
        <v>33</v>
      </c>
      <c r="O3974">
        <v>250822</v>
      </c>
      <c r="P3974">
        <v>448.57</v>
      </c>
    </row>
    <row r="3975" spans="1:16" x14ac:dyDescent="0.25">
      <c r="A3975" t="s">
        <v>3296</v>
      </c>
      <c r="B3975" t="s">
        <v>2931</v>
      </c>
      <c r="C3975">
        <v>16151</v>
      </c>
      <c r="D3975" t="str">
        <f>"11444       "</f>
        <v xml:space="preserve">11444       </v>
      </c>
      <c r="E3975" t="s">
        <v>1386</v>
      </c>
      <c r="F3975" t="s">
        <v>1387</v>
      </c>
      <c r="G3975">
        <v>659.28</v>
      </c>
      <c r="H3975">
        <v>251202</v>
      </c>
      <c r="I3975">
        <v>4600</v>
      </c>
      <c r="J3975" t="s">
        <v>278</v>
      </c>
      <c r="K3975">
        <v>659.28</v>
      </c>
      <c r="L3975">
        <v>133.96</v>
      </c>
      <c r="M3975">
        <v>13801</v>
      </c>
      <c r="N3975" t="s">
        <v>33</v>
      </c>
      <c r="O3975">
        <v>251204</v>
      </c>
      <c r="P3975">
        <v>525.32000000000005</v>
      </c>
    </row>
    <row r="3976" spans="1:16" x14ac:dyDescent="0.25">
      <c r="A3976" t="s">
        <v>3296</v>
      </c>
      <c r="B3976" t="s">
        <v>2931</v>
      </c>
      <c r="C3976">
        <v>17887</v>
      </c>
      <c r="D3976" t="str">
        <f>"11456       "</f>
        <v xml:space="preserve">11456       </v>
      </c>
      <c r="E3976" t="s">
        <v>1386</v>
      </c>
      <c r="F3976" t="s">
        <v>1387</v>
      </c>
      <c r="G3976">
        <v>205.12</v>
      </c>
      <c r="H3976">
        <v>251219</v>
      </c>
      <c r="I3976">
        <v>4600</v>
      </c>
      <c r="J3976" t="s">
        <v>278</v>
      </c>
      <c r="K3976">
        <v>205.12</v>
      </c>
      <c r="L3976">
        <v>41.68</v>
      </c>
      <c r="M3976">
        <v>13801</v>
      </c>
      <c r="N3976" t="s">
        <v>33</v>
      </c>
      <c r="O3976">
        <v>260102</v>
      </c>
      <c r="P3976">
        <v>163.44</v>
      </c>
    </row>
    <row r="3977" spans="1:16" x14ac:dyDescent="0.25">
      <c r="A3977" t="s">
        <v>3296</v>
      </c>
      <c r="B3977" t="s">
        <v>2931</v>
      </c>
      <c r="C3977">
        <v>4433</v>
      </c>
      <c r="D3977" t="str">
        <f>"4985        "</f>
        <v xml:space="preserve">4985        </v>
      </c>
      <c r="E3977" t="s">
        <v>3053</v>
      </c>
      <c r="F3977" t="s">
        <v>3054</v>
      </c>
      <c r="G3977">
        <v>45</v>
      </c>
      <c r="H3977">
        <v>250331</v>
      </c>
      <c r="I3977">
        <v>4440</v>
      </c>
      <c r="J3977" t="s">
        <v>346</v>
      </c>
      <c r="K3977">
        <v>45</v>
      </c>
      <c r="L3977">
        <v>9.14</v>
      </c>
      <c r="M3977">
        <v>48601</v>
      </c>
      <c r="N3977" t="s">
        <v>107</v>
      </c>
      <c r="O3977">
        <v>250411</v>
      </c>
      <c r="P3977">
        <v>35.86</v>
      </c>
    </row>
    <row r="3978" spans="1:16" x14ac:dyDescent="0.25">
      <c r="A3978" t="s">
        <v>3296</v>
      </c>
      <c r="B3978" t="s">
        <v>2931</v>
      </c>
      <c r="C3978">
        <v>14309</v>
      </c>
      <c r="D3978" t="str">
        <f>"5037        "</f>
        <v xml:space="preserve">5037        </v>
      </c>
      <c r="E3978" t="s">
        <v>3053</v>
      </c>
      <c r="F3978" t="s">
        <v>3054</v>
      </c>
      <c r="G3978">
        <v>45</v>
      </c>
      <c r="H3978">
        <v>251027</v>
      </c>
      <c r="I3978">
        <v>4440</v>
      </c>
      <c r="J3978" t="s">
        <v>346</v>
      </c>
      <c r="K3978">
        <v>45</v>
      </c>
      <c r="L3978">
        <v>9.14</v>
      </c>
      <c r="M3978">
        <v>48601</v>
      </c>
      <c r="N3978" t="s">
        <v>107</v>
      </c>
      <c r="O3978">
        <v>251029</v>
      </c>
      <c r="P3978">
        <v>35.86</v>
      </c>
    </row>
    <row r="3979" spans="1:16" x14ac:dyDescent="0.25">
      <c r="A3979" t="s">
        <v>3296</v>
      </c>
      <c r="B3979" t="s">
        <v>2931</v>
      </c>
      <c r="C3979">
        <v>10971</v>
      </c>
      <c r="D3979" t="str">
        <f>"7084        "</f>
        <v xml:space="preserve">7084        </v>
      </c>
      <c r="E3979" t="s">
        <v>3053</v>
      </c>
      <c r="F3979" t="s">
        <v>3054</v>
      </c>
      <c r="G3979">
        <v>25</v>
      </c>
      <c r="H3979">
        <v>250821</v>
      </c>
      <c r="I3979">
        <v>4600</v>
      </c>
      <c r="J3979" t="s">
        <v>278</v>
      </c>
      <c r="K3979">
        <v>25</v>
      </c>
      <c r="L3979">
        <v>5.08</v>
      </c>
      <c r="M3979">
        <v>44222</v>
      </c>
      <c r="N3979" t="s">
        <v>96</v>
      </c>
      <c r="O3979">
        <v>250828</v>
      </c>
      <c r="P3979">
        <v>19.920000000000002</v>
      </c>
    </row>
    <row r="3980" spans="1:16" x14ac:dyDescent="0.25">
      <c r="A3980" t="s">
        <v>3296</v>
      </c>
      <c r="B3980" t="s">
        <v>2931</v>
      </c>
      <c r="C3980">
        <v>628</v>
      </c>
      <c r="D3980" t="str">
        <f>"202529935   "</f>
        <v xml:space="preserve">202529935   </v>
      </c>
      <c r="E3980" t="s">
        <v>627</v>
      </c>
      <c r="F3980" t="s">
        <v>629</v>
      </c>
      <c r="G3980">
        <v>361.82</v>
      </c>
      <c r="H3980">
        <v>250116</v>
      </c>
      <c r="I3980">
        <v>4600</v>
      </c>
      <c r="J3980" t="s">
        <v>278</v>
      </c>
      <c r="K3980">
        <v>361.82</v>
      </c>
      <c r="L3980">
        <v>73.52</v>
      </c>
      <c r="M3980">
        <v>17633</v>
      </c>
      <c r="N3980" t="s">
        <v>628</v>
      </c>
      <c r="O3980">
        <v>250124</v>
      </c>
      <c r="P3980">
        <v>288.3</v>
      </c>
    </row>
    <row r="3981" spans="1:16" x14ac:dyDescent="0.25">
      <c r="A3981" t="s">
        <v>3296</v>
      </c>
      <c r="B3981" t="s">
        <v>2931</v>
      </c>
      <c r="C3981">
        <v>6159</v>
      </c>
      <c r="D3981" t="str">
        <f>"16196       "</f>
        <v xml:space="preserve">16196       </v>
      </c>
      <c r="E3981" t="s">
        <v>1847</v>
      </c>
      <c r="F3981" t="s">
        <v>1848</v>
      </c>
      <c r="G3981">
        <v>153</v>
      </c>
      <c r="H3981">
        <v>250430</v>
      </c>
      <c r="I3981">
        <v>4600</v>
      </c>
      <c r="J3981" t="s">
        <v>278</v>
      </c>
      <c r="K3981">
        <v>253</v>
      </c>
      <c r="L3981">
        <v>31.09</v>
      </c>
      <c r="M3981">
        <v>17523</v>
      </c>
      <c r="N3981" t="s">
        <v>138</v>
      </c>
      <c r="O3981">
        <v>250509</v>
      </c>
      <c r="P3981">
        <v>121.91</v>
      </c>
    </row>
    <row r="3982" spans="1:16" x14ac:dyDescent="0.25">
      <c r="A3982" t="s">
        <v>3296</v>
      </c>
      <c r="B3982" t="s">
        <v>2931</v>
      </c>
      <c r="C3982">
        <v>6159</v>
      </c>
      <c r="D3982" t="str">
        <f>"16196       "</f>
        <v xml:space="preserve">16196       </v>
      </c>
      <c r="E3982" t="s">
        <v>1847</v>
      </c>
      <c r="F3982" t="s">
        <v>1848</v>
      </c>
      <c r="G3982">
        <v>100</v>
      </c>
      <c r="H3982">
        <v>250430</v>
      </c>
      <c r="I3982">
        <v>4600</v>
      </c>
      <c r="J3982" t="s">
        <v>278</v>
      </c>
      <c r="K3982">
        <v>253</v>
      </c>
      <c r="L3982">
        <v>20.32</v>
      </c>
      <c r="M3982">
        <v>17532</v>
      </c>
      <c r="N3982" t="s">
        <v>146</v>
      </c>
      <c r="O3982">
        <v>250509</v>
      </c>
      <c r="P3982">
        <v>79.680000000000007</v>
      </c>
    </row>
    <row r="3983" spans="1:16" x14ac:dyDescent="0.25">
      <c r="A3983" t="s">
        <v>3296</v>
      </c>
      <c r="B3983" t="s">
        <v>2931</v>
      </c>
      <c r="C3983">
        <v>7191</v>
      </c>
      <c r="D3983" t="str">
        <f>"16197       "</f>
        <v xml:space="preserve">16197       </v>
      </c>
      <c r="E3983" t="s">
        <v>1847</v>
      </c>
      <c r="F3983" t="s">
        <v>1848</v>
      </c>
      <c r="G3983">
        <v>210</v>
      </c>
      <c r="H3983">
        <v>250501</v>
      </c>
      <c r="I3983">
        <v>4600</v>
      </c>
      <c r="J3983" t="s">
        <v>278</v>
      </c>
      <c r="K3983">
        <v>210</v>
      </c>
      <c r="L3983">
        <v>42.67</v>
      </c>
      <c r="M3983">
        <v>17632</v>
      </c>
      <c r="N3983" t="s">
        <v>615</v>
      </c>
      <c r="O3983">
        <v>250527</v>
      </c>
      <c r="P3983">
        <v>167.33</v>
      </c>
    </row>
    <row r="3984" spans="1:16" x14ac:dyDescent="0.25">
      <c r="A3984" t="s">
        <v>3296</v>
      </c>
      <c r="B3984" t="s">
        <v>2931</v>
      </c>
      <c r="C3984">
        <v>8025</v>
      </c>
      <c r="D3984" t="str">
        <f>"16230       "</f>
        <v xml:space="preserve">16230       </v>
      </c>
      <c r="E3984" t="s">
        <v>1847</v>
      </c>
      <c r="F3984" t="s">
        <v>1848</v>
      </c>
      <c r="G3984">
        <v>5882.73</v>
      </c>
      <c r="H3984">
        <v>250531</v>
      </c>
      <c r="I3984">
        <v>4600</v>
      </c>
      <c r="J3984" t="s">
        <v>278</v>
      </c>
      <c r="K3984">
        <v>5882.73</v>
      </c>
      <c r="L3984">
        <v>1195.3</v>
      </c>
      <c r="M3984">
        <v>17524</v>
      </c>
      <c r="N3984" t="s">
        <v>139</v>
      </c>
      <c r="O3984">
        <v>250611</v>
      </c>
      <c r="P3984">
        <v>4687.43</v>
      </c>
    </row>
    <row r="3985" spans="1:16" x14ac:dyDescent="0.25">
      <c r="A3985" t="s">
        <v>3296</v>
      </c>
      <c r="B3985" t="s">
        <v>2931</v>
      </c>
      <c r="C3985">
        <v>15892</v>
      </c>
      <c r="D3985" t="str">
        <f>"16369       "</f>
        <v xml:space="preserve">16369       </v>
      </c>
      <c r="E3985" t="s">
        <v>1847</v>
      </c>
      <c r="F3985" t="s">
        <v>1848</v>
      </c>
      <c r="G3985">
        <v>1254.99</v>
      </c>
      <c r="H3985">
        <v>251122</v>
      </c>
      <c r="I3985">
        <v>4600</v>
      </c>
      <c r="J3985" t="s">
        <v>278</v>
      </c>
      <c r="K3985">
        <v>1254.99</v>
      </c>
      <c r="L3985">
        <v>255</v>
      </c>
      <c r="M3985">
        <v>17521</v>
      </c>
      <c r="N3985" t="s">
        <v>136</v>
      </c>
      <c r="O3985">
        <v>251128</v>
      </c>
      <c r="P3985">
        <v>999.99</v>
      </c>
    </row>
    <row r="3986" spans="1:16" x14ac:dyDescent="0.25">
      <c r="A3986" t="s">
        <v>3296</v>
      </c>
      <c r="B3986" t="s">
        <v>2931</v>
      </c>
      <c r="C3986">
        <v>3616</v>
      </c>
      <c r="D3986" t="str">
        <f>"65128       "</f>
        <v xml:space="preserve">65128       </v>
      </c>
      <c r="E3986" t="s">
        <v>1479</v>
      </c>
      <c r="F3986" t="s">
        <v>1480</v>
      </c>
      <c r="G3986">
        <v>78</v>
      </c>
      <c r="H3986">
        <v>250315</v>
      </c>
      <c r="I3986">
        <v>4410</v>
      </c>
      <c r="J3986" t="s">
        <v>165</v>
      </c>
      <c r="K3986">
        <v>96</v>
      </c>
      <c r="L3986">
        <v>9.58</v>
      </c>
      <c r="M3986">
        <v>18972</v>
      </c>
      <c r="N3986" t="s">
        <v>39</v>
      </c>
      <c r="O3986">
        <v>250326</v>
      </c>
      <c r="P3986">
        <v>68.42</v>
      </c>
    </row>
    <row r="3987" spans="1:16" x14ac:dyDescent="0.25">
      <c r="A3987" t="s">
        <v>3296</v>
      </c>
      <c r="B3987" t="s">
        <v>2931</v>
      </c>
      <c r="C3987">
        <v>3616</v>
      </c>
      <c r="D3987" t="str">
        <f>"65128       "</f>
        <v xml:space="preserve">65128       </v>
      </c>
      <c r="E3987" t="s">
        <v>1479</v>
      </c>
      <c r="F3987" t="s">
        <v>1480</v>
      </c>
      <c r="G3987">
        <v>18</v>
      </c>
      <c r="H3987">
        <v>250315</v>
      </c>
      <c r="I3987">
        <v>4420</v>
      </c>
      <c r="J3987" t="s">
        <v>330</v>
      </c>
      <c r="K3987">
        <v>96</v>
      </c>
      <c r="L3987">
        <v>3.66</v>
      </c>
      <c r="M3987">
        <v>18972</v>
      </c>
      <c r="N3987" t="s">
        <v>39</v>
      </c>
      <c r="O3987">
        <v>250326</v>
      </c>
      <c r="P3987">
        <v>14.34</v>
      </c>
    </row>
    <row r="3988" spans="1:16" x14ac:dyDescent="0.25">
      <c r="A3988" t="s">
        <v>3296</v>
      </c>
      <c r="B3988" t="s">
        <v>2931</v>
      </c>
      <c r="C3988">
        <v>10465</v>
      </c>
      <c r="D3988" t="str">
        <f>"27411       "</f>
        <v xml:space="preserve">27411       </v>
      </c>
      <c r="E3988" t="s">
        <v>2199</v>
      </c>
      <c r="F3988" t="s">
        <v>2200</v>
      </c>
      <c r="G3988">
        <v>239.13</v>
      </c>
      <c r="H3988">
        <v>250813</v>
      </c>
      <c r="I3988">
        <v>4580</v>
      </c>
      <c r="J3988" t="s">
        <v>126</v>
      </c>
      <c r="K3988">
        <v>239.13</v>
      </c>
      <c r="L3988">
        <v>48.59</v>
      </c>
      <c r="M3988">
        <v>47522</v>
      </c>
      <c r="N3988" t="s">
        <v>106</v>
      </c>
      <c r="O3988">
        <v>250820</v>
      </c>
      <c r="P3988">
        <v>190.54</v>
      </c>
    </row>
    <row r="3989" spans="1:16" x14ac:dyDescent="0.25">
      <c r="A3989" t="s">
        <v>3296</v>
      </c>
      <c r="B3989" t="s">
        <v>2931</v>
      </c>
      <c r="C3989">
        <v>3581</v>
      </c>
      <c r="D3989" t="str">
        <f>"15022885    "</f>
        <v xml:space="preserve">15022885    </v>
      </c>
      <c r="E3989" t="s">
        <v>381</v>
      </c>
      <c r="F3989" t="s">
        <v>382</v>
      </c>
      <c r="G3989">
        <v>16.91</v>
      </c>
      <c r="H3989">
        <v>250314</v>
      </c>
      <c r="I3989">
        <v>4390</v>
      </c>
      <c r="J3989" t="s">
        <v>232</v>
      </c>
      <c r="K3989">
        <v>16.91</v>
      </c>
      <c r="L3989">
        <v>3.44</v>
      </c>
      <c r="M3989">
        <v>17952</v>
      </c>
      <c r="N3989" t="s">
        <v>157</v>
      </c>
      <c r="O3989">
        <v>250325</v>
      </c>
      <c r="P3989">
        <v>13.47</v>
      </c>
    </row>
    <row r="3990" spans="1:16" x14ac:dyDescent="0.25">
      <c r="A3990" t="s">
        <v>3296</v>
      </c>
      <c r="B3990" t="s">
        <v>2931</v>
      </c>
      <c r="C3990">
        <v>5408</v>
      </c>
      <c r="D3990" t="str">
        <f>"15038392    "</f>
        <v xml:space="preserve">15038392    </v>
      </c>
      <c r="E3990" t="s">
        <v>381</v>
      </c>
      <c r="F3990" t="s">
        <v>382</v>
      </c>
      <c r="G3990">
        <v>23.67</v>
      </c>
      <c r="H3990">
        <v>250415</v>
      </c>
      <c r="I3990">
        <v>4500</v>
      </c>
      <c r="J3990" t="s">
        <v>312</v>
      </c>
      <c r="K3990">
        <v>23.67</v>
      </c>
      <c r="L3990">
        <v>4.8099999999999996</v>
      </c>
      <c r="M3990">
        <v>13801</v>
      </c>
      <c r="N3990" t="s">
        <v>33</v>
      </c>
      <c r="O3990">
        <v>250424</v>
      </c>
      <c r="P3990">
        <v>18.86</v>
      </c>
    </row>
    <row r="3991" spans="1:16" x14ac:dyDescent="0.25">
      <c r="A3991" t="s">
        <v>3296</v>
      </c>
      <c r="B3991" t="s">
        <v>2931</v>
      </c>
      <c r="C3991">
        <v>1245</v>
      </c>
      <c r="D3991" t="str">
        <f>"15008473    "</f>
        <v xml:space="preserve">15008473    </v>
      </c>
      <c r="E3991" t="s">
        <v>381</v>
      </c>
      <c r="F3991" t="s">
        <v>382</v>
      </c>
      <c r="G3991">
        <v>99.57</v>
      </c>
      <c r="H3991">
        <v>250131</v>
      </c>
      <c r="I3991">
        <v>4520</v>
      </c>
      <c r="J3991" t="s">
        <v>280</v>
      </c>
      <c r="K3991">
        <v>126.54</v>
      </c>
      <c r="L3991">
        <v>12.23</v>
      </c>
      <c r="M3991">
        <v>17711</v>
      </c>
      <c r="N3991" t="s">
        <v>155</v>
      </c>
      <c r="O3991">
        <v>250206</v>
      </c>
      <c r="P3991">
        <v>87.34</v>
      </c>
    </row>
    <row r="3992" spans="1:16" x14ac:dyDescent="0.25">
      <c r="A3992" t="s">
        <v>3296</v>
      </c>
      <c r="B3992" t="s">
        <v>2931</v>
      </c>
      <c r="C3992">
        <v>9391</v>
      </c>
      <c r="D3992" t="str">
        <f>"15095074    "</f>
        <v xml:space="preserve">15095074    </v>
      </c>
      <c r="E3992" t="s">
        <v>381</v>
      </c>
      <c r="F3992" t="s">
        <v>382</v>
      </c>
      <c r="G3992">
        <v>65.05</v>
      </c>
      <c r="H3992">
        <v>250630</v>
      </c>
      <c r="I3992">
        <v>4520</v>
      </c>
      <c r="J3992" t="s">
        <v>280</v>
      </c>
      <c r="K3992">
        <v>963.97</v>
      </c>
      <c r="L3992">
        <v>7.99</v>
      </c>
      <c r="M3992">
        <v>17737</v>
      </c>
      <c r="N3992" t="s">
        <v>156</v>
      </c>
      <c r="O3992">
        <v>250707</v>
      </c>
      <c r="P3992">
        <v>57.06</v>
      </c>
    </row>
    <row r="3993" spans="1:16" x14ac:dyDescent="0.25">
      <c r="A3993" t="s">
        <v>3296</v>
      </c>
      <c r="B3993" t="s">
        <v>2931</v>
      </c>
      <c r="C3993">
        <v>7178</v>
      </c>
      <c r="D3993" t="str">
        <f>"15060759    "</f>
        <v xml:space="preserve">15060759    </v>
      </c>
      <c r="E3993" t="s">
        <v>381</v>
      </c>
      <c r="F3993" t="s">
        <v>382</v>
      </c>
      <c r="G3993">
        <v>100.7</v>
      </c>
      <c r="H3993">
        <v>250515</v>
      </c>
      <c r="I3993">
        <v>4530</v>
      </c>
      <c r="J3993" t="s">
        <v>293</v>
      </c>
      <c r="K3993">
        <v>289.23</v>
      </c>
      <c r="L3993">
        <v>20.46</v>
      </c>
      <c r="M3993">
        <v>17737</v>
      </c>
      <c r="N3993" t="s">
        <v>156</v>
      </c>
      <c r="O3993">
        <v>250526</v>
      </c>
      <c r="P3993">
        <v>80.239999999999995</v>
      </c>
    </row>
    <row r="3994" spans="1:16" x14ac:dyDescent="0.25">
      <c r="A3994" t="s">
        <v>3296</v>
      </c>
      <c r="B3994" t="s">
        <v>2931</v>
      </c>
      <c r="C3994">
        <v>11599</v>
      </c>
      <c r="D3994" t="str">
        <f>"15129912    "</f>
        <v xml:space="preserve">15129912    </v>
      </c>
      <c r="E3994" t="s">
        <v>381</v>
      </c>
      <c r="F3994" t="s">
        <v>382</v>
      </c>
      <c r="G3994">
        <v>24.36</v>
      </c>
      <c r="H3994">
        <v>250831</v>
      </c>
      <c r="I3994">
        <v>4530</v>
      </c>
      <c r="J3994" t="s">
        <v>293</v>
      </c>
      <c r="K3994">
        <v>1061.1500000000001</v>
      </c>
      <c r="L3994">
        <v>4.95</v>
      </c>
      <c r="M3994">
        <v>67554</v>
      </c>
      <c r="N3994" t="s">
        <v>317</v>
      </c>
      <c r="O3994">
        <v>250909</v>
      </c>
      <c r="P3994">
        <v>19.41</v>
      </c>
    </row>
    <row r="3995" spans="1:16" x14ac:dyDescent="0.25">
      <c r="A3995" t="s">
        <v>3296</v>
      </c>
      <c r="B3995" t="s">
        <v>2931</v>
      </c>
      <c r="C3995">
        <v>18043</v>
      </c>
      <c r="D3995" t="str">
        <f>"15188010    "</f>
        <v xml:space="preserve">15188010    </v>
      </c>
      <c r="E3995" t="s">
        <v>381</v>
      </c>
      <c r="F3995" t="s">
        <v>382</v>
      </c>
      <c r="G3995">
        <v>35.1</v>
      </c>
      <c r="H3995">
        <v>251231</v>
      </c>
      <c r="I3995">
        <v>4532</v>
      </c>
      <c r="J3995" t="s">
        <v>296</v>
      </c>
      <c r="K3995">
        <v>68.010000000000005</v>
      </c>
      <c r="L3995">
        <v>7.13</v>
      </c>
      <c r="M3995">
        <v>17711</v>
      </c>
      <c r="N3995" t="s">
        <v>155</v>
      </c>
      <c r="O3995">
        <v>260108</v>
      </c>
      <c r="P3995">
        <v>27.97</v>
      </c>
    </row>
    <row r="3996" spans="1:16" x14ac:dyDescent="0.25">
      <c r="A3996" t="s">
        <v>3296</v>
      </c>
      <c r="B3996" t="s">
        <v>2931</v>
      </c>
      <c r="C3996">
        <v>17477</v>
      </c>
      <c r="D3996" t="str">
        <f>"15182048    "</f>
        <v xml:space="preserve">15182048    </v>
      </c>
      <c r="E3996" t="s">
        <v>381</v>
      </c>
      <c r="F3996" t="s">
        <v>382</v>
      </c>
      <c r="G3996">
        <v>58.45</v>
      </c>
      <c r="H3996">
        <v>251215</v>
      </c>
      <c r="I3996">
        <v>4534</v>
      </c>
      <c r="J3996" t="s">
        <v>349</v>
      </c>
      <c r="K3996">
        <v>243.68</v>
      </c>
      <c r="L3996">
        <v>11.88</v>
      </c>
      <c r="M3996">
        <v>17711</v>
      </c>
      <c r="N3996" t="s">
        <v>155</v>
      </c>
      <c r="O3996">
        <v>251222</v>
      </c>
      <c r="P3996">
        <v>46.57</v>
      </c>
    </row>
    <row r="3997" spans="1:16" x14ac:dyDescent="0.25">
      <c r="A3997" t="s">
        <v>3296</v>
      </c>
      <c r="B3997" t="s">
        <v>2931</v>
      </c>
      <c r="C3997">
        <v>15848</v>
      </c>
      <c r="D3997" t="str">
        <f>"15173953    "</f>
        <v xml:space="preserve">15173953    </v>
      </c>
      <c r="E3997" t="s">
        <v>381</v>
      </c>
      <c r="F3997" t="s">
        <v>382</v>
      </c>
      <c r="G3997">
        <v>27075</v>
      </c>
      <c r="H3997">
        <v>251126</v>
      </c>
      <c r="I3997">
        <v>4551</v>
      </c>
      <c r="J3997" t="s">
        <v>1127</v>
      </c>
      <c r="K3997">
        <v>27075</v>
      </c>
      <c r="L3997">
        <v>5501.29</v>
      </c>
      <c r="M3997">
        <v>67554</v>
      </c>
      <c r="N3997" t="s">
        <v>317</v>
      </c>
      <c r="O3997">
        <v>251127</v>
      </c>
      <c r="P3997">
        <v>21573.71</v>
      </c>
    </row>
    <row r="3998" spans="1:16" x14ac:dyDescent="0.25">
      <c r="A3998" t="s">
        <v>3296</v>
      </c>
      <c r="B3998" t="s">
        <v>2931</v>
      </c>
      <c r="C3998">
        <v>6042</v>
      </c>
      <c r="D3998" t="str">
        <f>"15049178    "</f>
        <v xml:space="preserve">15049178    </v>
      </c>
      <c r="E3998" t="s">
        <v>381</v>
      </c>
      <c r="F3998" t="s">
        <v>382</v>
      </c>
      <c r="G3998">
        <v>32</v>
      </c>
      <c r="H3998">
        <v>250430</v>
      </c>
      <c r="I3998">
        <v>4552</v>
      </c>
      <c r="J3998" t="s">
        <v>1025</v>
      </c>
      <c r="K3998">
        <v>73.95</v>
      </c>
      <c r="L3998">
        <v>6.5</v>
      </c>
      <c r="M3998">
        <v>69501</v>
      </c>
      <c r="N3998" t="s">
        <v>123</v>
      </c>
      <c r="O3998">
        <v>250508</v>
      </c>
      <c r="P3998">
        <v>25.5</v>
      </c>
    </row>
    <row r="3999" spans="1:16" x14ac:dyDescent="0.25">
      <c r="A3999" t="s">
        <v>3296</v>
      </c>
      <c r="B3999" t="s">
        <v>2931</v>
      </c>
      <c r="C3999">
        <v>6067</v>
      </c>
      <c r="D3999" t="str">
        <f>"15049174    "</f>
        <v xml:space="preserve">15049174    </v>
      </c>
      <c r="E3999" t="s">
        <v>381</v>
      </c>
      <c r="F3999" t="s">
        <v>382</v>
      </c>
      <c r="G3999">
        <v>70.08</v>
      </c>
      <c r="H3999">
        <v>250430</v>
      </c>
      <c r="I3999">
        <v>4552</v>
      </c>
      <c r="J3999" t="s">
        <v>1025</v>
      </c>
      <c r="K3999">
        <v>70.08</v>
      </c>
      <c r="L3999">
        <v>14.24</v>
      </c>
      <c r="M3999">
        <v>13801</v>
      </c>
      <c r="N3999" t="s">
        <v>33</v>
      </c>
      <c r="O3999">
        <v>250508</v>
      </c>
      <c r="P3999">
        <v>55.84</v>
      </c>
    </row>
    <row r="4000" spans="1:16" x14ac:dyDescent="0.25">
      <c r="A4000" t="s">
        <v>3296</v>
      </c>
      <c r="B4000" t="s">
        <v>2931</v>
      </c>
      <c r="C4000">
        <v>7801</v>
      </c>
      <c r="D4000" t="str">
        <f>"15058080    "</f>
        <v xml:space="preserve">15058080    </v>
      </c>
      <c r="E4000" t="s">
        <v>381</v>
      </c>
      <c r="F4000" t="s">
        <v>382</v>
      </c>
      <c r="G4000">
        <v>160</v>
      </c>
      <c r="H4000">
        <v>250513</v>
      </c>
      <c r="I4000">
        <v>4552</v>
      </c>
      <c r="J4000" t="s">
        <v>1025</v>
      </c>
      <c r="K4000">
        <v>2225.8000000000002</v>
      </c>
      <c r="L4000">
        <v>32.51</v>
      </c>
      <c r="M4000">
        <v>67554</v>
      </c>
      <c r="N4000" t="s">
        <v>317</v>
      </c>
      <c r="O4000">
        <v>250609</v>
      </c>
      <c r="P4000">
        <v>127.49</v>
      </c>
    </row>
    <row r="4001" spans="1:16" x14ac:dyDescent="0.25">
      <c r="A4001" t="s">
        <v>3296</v>
      </c>
      <c r="B4001" t="s">
        <v>2931</v>
      </c>
      <c r="C4001">
        <v>9982</v>
      </c>
      <c r="D4001" t="str">
        <f>"15112545    "</f>
        <v xml:space="preserve">15112545    </v>
      </c>
      <c r="E4001" t="s">
        <v>381</v>
      </c>
      <c r="F4001" t="s">
        <v>382</v>
      </c>
      <c r="G4001">
        <v>30</v>
      </c>
      <c r="H4001">
        <v>250731</v>
      </c>
      <c r="I4001">
        <v>4552</v>
      </c>
      <c r="J4001" t="s">
        <v>1025</v>
      </c>
      <c r="K4001">
        <v>140</v>
      </c>
      <c r="L4001">
        <v>6.1</v>
      </c>
      <c r="M4001">
        <v>67554</v>
      </c>
      <c r="N4001" t="s">
        <v>317</v>
      </c>
      <c r="O4001">
        <v>250806</v>
      </c>
      <c r="P4001">
        <v>23.9</v>
      </c>
    </row>
    <row r="4002" spans="1:16" x14ac:dyDescent="0.25">
      <c r="A4002" t="s">
        <v>3296</v>
      </c>
      <c r="B4002" t="s">
        <v>2931</v>
      </c>
      <c r="C4002">
        <v>7801</v>
      </c>
      <c r="D4002" t="str">
        <f>"15058080    "</f>
        <v xml:space="preserve">15058080    </v>
      </c>
      <c r="E4002" t="s">
        <v>381</v>
      </c>
      <c r="F4002" t="s">
        <v>382</v>
      </c>
      <c r="G4002">
        <v>2065.8000000000002</v>
      </c>
      <c r="H4002">
        <v>250513</v>
      </c>
      <c r="I4002">
        <v>4553</v>
      </c>
      <c r="J4002" t="s">
        <v>1972</v>
      </c>
      <c r="K4002">
        <v>2225.8000000000002</v>
      </c>
      <c r="L4002">
        <v>419.74</v>
      </c>
      <c r="M4002">
        <v>67554</v>
      </c>
      <c r="N4002" t="s">
        <v>317</v>
      </c>
      <c r="O4002">
        <v>250609</v>
      </c>
      <c r="P4002">
        <v>1646.06</v>
      </c>
    </row>
    <row r="4003" spans="1:16" x14ac:dyDescent="0.25">
      <c r="A4003" t="s">
        <v>3296</v>
      </c>
      <c r="B4003" t="s">
        <v>2931</v>
      </c>
      <c r="C4003">
        <v>12942</v>
      </c>
      <c r="D4003" t="str">
        <f>"15147751    "</f>
        <v xml:space="preserve">15147751    </v>
      </c>
      <c r="E4003" t="s">
        <v>381</v>
      </c>
      <c r="F4003" t="s">
        <v>382</v>
      </c>
      <c r="G4003">
        <v>398</v>
      </c>
      <c r="H4003">
        <v>250930</v>
      </c>
      <c r="I4003">
        <v>4553</v>
      </c>
      <c r="J4003" t="s">
        <v>1972</v>
      </c>
      <c r="K4003">
        <v>398</v>
      </c>
      <c r="L4003">
        <v>80.87</v>
      </c>
      <c r="M4003">
        <v>67554</v>
      </c>
      <c r="N4003" t="s">
        <v>317</v>
      </c>
      <c r="O4003">
        <v>251002</v>
      </c>
      <c r="P4003">
        <v>317.13</v>
      </c>
    </row>
    <row r="4004" spans="1:16" x14ac:dyDescent="0.25">
      <c r="A4004" t="s">
        <v>3296</v>
      </c>
      <c r="B4004" t="s">
        <v>2931</v>
      </c>
      <c r="C4004">
        <v>253</v>
      </c>
      <c r="D4004" t="str">
        <f>"15001498    "</f>
        <v xml:space="preserve">15001498    </v>
      </c>
      <c r="E4004" t="s">
        <v>381</v>
      </c>
      <c r="F4004" t="s">
        <v>382</v>
      </c>
      <c r="G4004">
        <v>2650.5</v>
      </c>
      <c r="H4004">
        <v>250110</v>
      </c>
      <c r="I4004">
        <v>4554</v>
      </c>
      <c r="J4004" t="s">
        <v>351</v>
      </c>
      <c r="K4004">
        <v>2650.5</v>
      </c>
      <c r="L4004">
        <v>325.5</v>
      </c>
      <c r="M4004">
        <v>67554</v>
      </c>
      <c r="N4004" t="s">
        <v>317</v>
      </c>
      <c r="O4004">
        <v>250120</v>
      </c>
      <c r="P4004">
        <v>2325</v>
      </c>
    </row>
    <row r="4005" spans="1:16" x14ac:dyDescent="0.25">
      <c r="A4005" t="s">
        <v>3296</v>
      </c>
      <c r="B4005" t="s">
        <v>2931</v>
      </c>
      <c r="C4005">
        <v>347</v>
      </c>
      <c r="D4005" t="str">
        <f>"15003141    "</f>
        <v xml:space="preserve">15003141    </v>
      </c>
      <c r="E4005" t="s">
        <v>381</v>
      </c>
      <c r="F4005" t="s">
        <v>382</v>
      </c>
      <c r="G4005">
        <v>107.42</v>
      </c>
      <c r="H4005">
        <v>250115</v>
      </c>
      <c r="I4005">
        <v>4554</v>
      </c>
      <c r="J4005" t="s">
        <v>351</v>
      </c>
      <c r="K4005">
        <v>107.42</v>
      </c>
      <c r="L4005">
        <v>13.19</v>
      </c>
      <c r="M4005">
        <v>17711</v>
      </c>
      <c r="N4005" t="s">
        <v>155</v>
      </c>
      <c r="O4005">
        <v>250122</v>
      </c>
      <c r="P4005">
        <v>94.23</v>
      </c>
    </row>
    <row r="4006" spans="1:16" x14ac:dyDescent="0.25">
      <c r="A4006" t="s">
        <v>3296</v>
      </c>
      <c r="B4006" t="s">
        <v>2931</v>
      </c>
      <c r="C4006">
        <v>2226</v>
      </c>
      <c r="D4006" t="str">
        <f>"15014678    "</f>
        <v xml:space="preserve">15014678    </v>
      </c>
      <c r="E4006" t="s">
        <v>381</v>
      </c>
      <c r="F4006" t="s">
        <v>382</v>
      </c>
      <c r="G4006">
        <v>570.51</v>
      </c>
      <c r="H4006">
        <v>250218</v>
      </c>
      <c r="I4006">
        <v>4554</v>
      </c>
      <c r="J4006" t="s">
        <v>351</v>
      </c>
      <c r="K4006">
        <v>1559.7</v>
      </c>
      <c r="L4006">
        <v>70.06</v>
      </c>
      <c r="M4006">
        <v>67554</v>
      </c>
      <c r="N4006" t="s">
        <v>317</v>
      </c>
      <c r="O4006">
        <v>250221</v>
      </c>
      <c r="P4006">
        <v>500.45</v>
      </c>
    </row>
    <row r="4007" spans="1:16" x14ac:dyDescent="0.25">
      <c r="A4007" t="s">
        <v>3296</v>
      </c>
      <c r="B4007" t="s">
        <v>2931</v>
      </c>
      <c r="C4007">
        <v>2226</v>
      </c>
      <c r="D4007" t="str">
        <f>"15014678    "</f>
        <v xml:space="preserve">15014678    </v>
      </c>
      <c r="E4007" t="s">
        <v>381</v>
      </c>
      <c r="F4007" t="s">
        <v>382</v>
      </c>
      <c r="G4007">
        <v>989.19</v>
      </c>
      <c r="H4007">
        <v>250218</v>
      </c>
      <c r="I4007">
        <v>4554</v>
      </c>
      <c r="J4007" t="s">
        <v>351</v>
      </c>
      <c r="K4007">
        <v>1559.7</v>
      </c>
      <c r="L4007">
        <v>121.48</v>
      </c>
      <c r="M4007">
        <v>67554</v>
      </c>
      <c r="N4007" t="s">
        <v>317</v>
      </c>
      <c r="O4007">
        <v>250221</v>
      </c>
      <c r="P4007">
        <v>867.71</v>
      </c>
    </row>
    <row r="4008" spans="1:16" x14ac:dyDescent="0.25">
      <c r="A4008" t="s">
        <v>3296</v>
      </c>
      <c r="B4008" t="s">
        <v>2931</v>
      </c>
      <c r="C4008">
        <v>2749</v>
      </c>
      <c r="D4008" t="str">
        <f>"15017713    "</f>
        <v xml:space="preserve">15017713    </v>
      </c>
      <c r="E4008" t="s">
        <v>381</v>
      </c>
      <c r="F4008" t="s">
        <v>382</v>
      </c>
      <c r="G4008">
        <v>23.02</v>
      </c>
      <c r="H4008">
        <v>250228</v>
      </c>
      <c r="I4008">
        <v>4554</v>
      </c>
      <c r="J4008" t="s">
        <v>351</v>
      </c>
      <c r="K4008">
        <v>31.21</v>
      </c>
      <c r="L4008">
        <v>2.83</v>
      </c>
      <c r="M4008">
        <v>17711</v>
      </c>
      <c r="N4008" t="s">
        <v>155</v>
      </c>
      <c r="O4008">
        <v>250311</v>
      </c>
      <c r="P4008">
        <v>20.190000000000001</v>
      </c>
    </row>
    <row r="4009" spans="1:16" x14ac:dyDescent="0.25">
      <c r="A4009" t="s">
        <v>3296</v>
      </c>
      <c r="B4009" t="s">
        <v>2931</v>
      </c>
      <c r="C4009">
        <v>3589</v>
      </c>
      <c r="D4009" t="str">
        <f>"15022886    "</f>
        <v xml:space="preserve">15022886    </v>
      </c>
      <c r="E4009" t="s">
        <v>381</v>
      </c>
      <c r="F4009" t="s">
        <v>382</v>
      </c>
      <c r="G4009">
        <v>77.819999999999993</v>
      </c>
      <c r="H4009">
        <v>250314</v>
      </c>
      <c r="I4009">
        <v>4554</v>
      </c>
      <c r="J4009" t="s">
        <v>351</v>
      </c>
      <c r="K4009">
        <v>127.77</v>
      </c>
      <c r="L4009">
        <v>9.56</v>
      </c>
      <c r="M4009">
        <v>17737</v>
      </c>
      <c r="N4009" t="s">
        <v>156</v>
      </c>
      <c r="O4009">
        <v>250325</v>
      </c>
      <c r="P4009">
        <v>68.260000000000005</v>
      </c>
    </row>
    <row r="4010" spans="1:16" x14ac:dyDescent="0.25">
      <c r="A4010" t="s">
        <v>3296</v>
      </c>
      <c r="B4010" t="s">
        <v>2931</v>
      </c>
      <c r="C4010">
        <v>3846</v>
      </c>
      <c r="D4010" t="str">
        <f>"001296492   "</f>
        <v xml:space="preserve">001296492   </v>
      </c>
      <c r="E4010" t="s">
        <v>381</v>
      </c>
      <c r="F4010" t="s">
        <v>382</v>
      </c>
      <c r="G4010">
        <v>6310.3</v>
      </c>
      <c r="H4010">
        <v>250319</v>
      </c>
      <c r="I4010">
        <v>4554</v>
      </c>
      <c r="J4010" t="s">
        <v>351</v>
      </c>
      <c r="K4010">
        <v>6310.3</v>
      </c>
      <c r="L4010">
        <v>774.95</v>
      </c>
      <c r="M4010">
        <v>67554</v>
      </c>
      <c r="N4010" t="s">
        <v>317</v>
      </c>
      <c r="O4010">
        <v>250402</v>
      </c>
      <c r="P4010">
        <v>5535.35</v>
      </c>
    </row>
    <row r="4011" spans="1:16" x14ac:dyDescent="0.25">
      <c r="A4011" t="s">
        <v>3296</v>
      </c>
      <c r="B4011" t="s">
        <v>2931</v>
      </c>
      <c r="C4011">
        <v>4281</v>
      </c>
      <c r="D4011" t="str">
        <f>"15028266    "</f>
        <v xml:space="preserve">15028266    </v>
      </c>
      <c r="E4011" t="s">
        <v>381</v>
      </c>
      <c r="F4011" t="s">
        <v>382</v>
      </c>
      <c r="G4011">
        <v>3528.5</v>
      </c>
      <c r="H4011">
        <v>250328</v>
      </c>
      <c r="I4011">
        <v>4554</v>
      </c>
      <c r="J4011" t="s">
        <v>351</v>
      </c>
      <c r="K4011">
        <v>3528.5</v>
      </c>
      <c r="L4011">
        <v>433.32</v>
      </c>
      <c r="M4011">
        <v>67554</v>
      </c>
      <c r="N4011" t="s">
        <v>317</v>
      </c>
      <c r="O4011">
        <v>250410</v>
      </c>
      <c r="P4011">
        <v>3095.18</v>
      </c>
    </row>
    <row r="4012" spans="1:16" x14ac:dyDescent="0.25">
      <c r="A4012" t="s">
        <v>3296</v>
      </c>
      <c r="B4012" t="s">
        <v>2931</v>
      </c>
      <c r="C4012">
        <v>4494</v>
      </c>
      <c r="D4012" t="str">
        <f>"15029646    "</f>
        <v xml:space="preserve">15029646    </v>
      </c>
      <c r="E4012" t="s">
        <v>381</v>
      </c>
      <c r="F4012" t="s">
        <v>382</v>
      </c>
      <c r="G4012">
        <v>140.06</v>
      </c>
      <c r="H4012">
        <v>250331</v>
      </c>
      <c r="I4012">
        <v>4554</v>
      </c>
      <c r="J4012" t="s">
        <v>351</v>
      </c>
      <c r="K4012">
        <v>140.06</v>
      </c>
      <c r="L4012">
        <v>17.2</v>
      </c>
      <c r="M4012">
        <v>17711</v>
      </c>
      <c r="N4012" t="s">
        <v>155</v>
      </c>
      <c r="O4012">
        <v>250411</v>
      </c>
      <c r="P4012">
        <v>122.86</v>
      </c>
    </row>
    <row r="4013" spans="1:16" x14ac:dyDescent="0.25">
      <c r="A4013" t="s">
        <v>3296</v>
      </c>
      <c r="B4013" t="s">
        <v>2931</v>
      </c>
      <c r="C4013">
        <v>6295</v>
      </c>
      <c r="D4013" t="str">
        <f>"15049177    "</f>
        <v xml:space="preserve">15049177    </v>
      </c>
      <c r="E4013" t="s">
        <v>381</v>
      </c>
      <c r="F4013" t="s">
        <v>382</v>
      </c>
      <c r="G4013">
        <v>139.21</v>
      </c>
      <c r="H4013">
        <v>250430</v>
      </c>
      <c r="I4013">
        <v>4554</v>
      </c>
      <c r="J4013" t="s">
        <v>351</v>
      </c>
      <c r="K4013">
        <v>139.21</v>
      </c>
      <c r="L4013">
        <v>17.100000000000001</v>
      </c>
      <c r="M4013">
        <v>17711</v>
      </c>
      <c r="N4013" t="s">
        <v>155</v>
      </c>
      <c r="O4013">
        <v>250512</v>
      </c>
      <c r="P4013">
        <v>122.11</v>
      </c>
    </row>
    <row r="4014" spans="1:16" x14ac:dyDescent="0.25">
      <c r="A4014" t="s">
        <v>3296</v>
      </c>
      <c r="B4014" t="s">
        <v>2931</v>
      </c>
      <c r="C4014">
        <v>6312</v>
      </c>
      <c r="D4014" t="str">
        <f>"15054046    "</f>
        <v xml:space="preserve">15054046    </v>
      </c>
      <c r="E4014" t="s">
        <v>381</v>
      </c>
      <c r="F4014" t="s">
        <v>382</v>
      </c>
      <c r="G4014">
        <v>574.39</v>
      </c>
      <c r="H4014">
        <v>250506</v>
      </c>
      <c r="I4014">
        <v>4554</v>
      </c>
      <c r="J4014" t="s">
        <v>351</v>
      </c>
      <c r="K4014">
        <v>1111.06</v>
      </c>
      <c r="L4014">
        <v>70.540000000000006</v>
      </c>
      <c r="M4014">
        <v>67554</v>
      </c>
      <c r="N4014" t="s">
        <v>317</v>
      </c>
      <c r="O4014">
        <v>250512</v>
      </c>
      <c r="P4014">
        <v>503.85</v>
      </c>
    </row>
    <row r="4015" spans="1:16" x14ac:dyDescent="0.25">
      <c r="A4015" t="s">
        <v>3296</v>
      </c>
      <c r="B4015" t="s">
        <v>2931</v>
      </c>
      <c r="C4015">
        <v>6312</v>
      </c>
      <c r="D4015" t="str">
        <f>"15054046    "</f>
        <v xml:space="preserve">15054046    </v>
      </c>
      <c r="E4015" t="s">
        <v>381</v>
      </c>
      <c r="F4015" t="s">
        <v>382</v>
      </c>
      <c r="G4015">
        <v>503.35</v>
      </c>
      <c r="H4015">
        <v>250506</v>
      </c>
      <c r="I4015">
        <v>4554</v>
      </c>
      <c r="J4015" t="s">
        <v>351</v>
      </c>
      <c r="K4015">
        <v>1111.06</v>
      </c>
      <c r="L4015">
        <v>61.81</v>
      </c>
      <c r="M4015">
        <v>67554</v>
      </c>
      <c r="N4015" t="s">
        <v>317</v>
      </c>
      <c r="O4015">
        <v>250512</v>
      </c>
      <c r="P4015">
        <v>441.54</v>
      </c>
    </row>
    <row r="4016" spans="1:16" x14ac:dyDescent="0.25">
      <c r="A4016" t="s">
        <v>3296</v>
      </c>
      <c r="B4016" t="s">
        <v>2931</v>
      </c>
      <c r="C4016">
        <v>7000</v>
      </c>
      <c r="D4016" t="str">
        <f>"15060758    "</f>
        <v xml:space="preserve">15060758    </v>
      </c>
      <c r="E4016" t="s">
        <v>381</v>
      </c>
      <c r="F4016" t="s">
        <v>382</v>
      </c>
      <c r="G4016">
        <v>12.49</v>
      </c>
      <c r="H4016">
        <v>250515</v>
      </c>
      <c r="I4016">
        <v>4554</v>
      </c>
      <c r="J4016" t="s">
        <v>351</v>
      </c>
      <c r="K4016">
        <v>68.84</v>
      </c>
      <c r="L4016">
        <v>1.53</v>
      </c>
      <c r="M4016">
        <v>17711</v>
      </c>
      <c r="N4016" t="s">
        <v>155</v>
      </c>
      <c r="O4016">
        <v>250521</v>
      </c>
      <c r="P4016">
        <v>10.96</v>
      </c>
    </row>
    <row r="4017" spans="1:16" x14ac:dyDescent="0.25">
      <c r="A4017" t="s">
        <v>3296</v>
      </c>
      <c r="B4017" t="s">
        <v>2931</v>
      </c>
      <c r="C4017">
        <v>7098</v>
      </c>
      <c r="D4017" t="str">
        <f>"001323878   "</f>
        <v xml:space="preserve">001323878   </v>
      </c>
      <c r="E4017" t="s">
        <v>381</v>
      </c>
      <c r="F4017" t="s">
        <v>382</v>
      </c>
      <c r="G4017">
        <v>6307.76</v>
      </c>
      <c r="H4017">
        <v>250520</v>
      </c>
      <c r="I4017">
        <v>4554</v>
      </c>
      <c r="J4017" t="s">
        <v>351</v>
      </c>
      <c r="K4017">
        <v>6307.76</v>
      </c>
      <c r="L4017">
        <v>774.64</v>
      </c>
      <c r="M4017">
        <v>67554</v>
      </c>
      <c r="N4017" t="s">
        <v>317</v>
      </c>
      <c r="O4017">
        <v>250522</v>
      </c>
      <c r="P4017">
        <v>5533.12</v>
      </c>
    </row>
    <row r="4018" spans="1:16" x14ac:dyDescent="0.25">
      <c r="A4018" t="s">
        <v>3296</v>
      </c>
      <c r="B4018" t="s">
        <v>2931</v>
      </c>
      <c r="C4018">
        <v>7178</v>
      </c>
      <c r="D4018" t="str">
        <f>"15060759    "</f>
        <v xml:space="preserve">15060759    </v>
      </c>
      <c r="E4018" t="s">
        <v>381</v>
      </c>
      <c r="F4018" t="s">
        <v>382</v>
      </c>
      <c r="G4018">
        <v>62.72</v>
      </c>
      <c r="H4018">
        <v>250515</v>
      </c>
      <c r="I4018">
        <v>4554</v>
      </c>
      <c r="J4018" t="s">
        <v>351</v>
      </c>
      <c r="K4018">
        <v>289.23</v>
      </c>
      <c r="L4018">
        <v>7.7</v>
      </c>
      <c r="M4018">
        <v>17737</v>
      </c>
      <c r="N4018" t="s">
        <v>156</v>
      </c>
      <c r="O4018">
        <v>250526</v>
      </c>
      <c r="P4018">
        <v>55.02</v>
      </c>
    </row>
    <row r="4019" spans="1:16" x14ac:dyDescent="0.25">
      <c r="A4019" t="s">
        <v>3296</v>
      </c>
      <c r="B4019" t="s">
        <v>2931</v>
      </c>
      <c r="C4019">
        <v>8184</v>
      </c>
      <c r="D4019" t="str">
        <f>"15075884    "</f>
        <v xml:space="preserve">15075884    </v>
      </c>
      <c r="E4019" t="s">
        <v>381</v>
      </c>
      <c r="F4019" t="s">
        <v>382</v>
      </c>
      <c r="G4019">
        <v>3789.67</v>
      </c>
      <c r="H4019">
        <v>250603</v>
      </c>
      <c r="I4019">
        <v>4554</v>
      </c>
      <c r="J4019" t="s">
        <v>351</v>
      </c>
      <c r="K4019">
        <v>3789.67</v>
      </c>
      <c r="L4019">
        <v>465.4</v>
      </c>
      <c r="M4019">
        <v>67554</v>
      </c>
      <c r="N4019" t="s">
        <v>317</v>
      </c>
      <c r="O4019">
        <v>250612</v>
      </c>
      <c r="P4019">
        <v>3324.27</v>
      </c>
    </row>
    <row r="4020" spans="1:16" x14ac:dyDescent="0.25">
      <c r="A4020" t="s">
        <v>3296</v>
      </c>
      <c r="B4020" t="s">
        <v>2931</v>
      </c>
      <c r="C4020">
        <v>9041</v>
      </c>
      <c r="D4020" t="str">
        <f>"15082391    "</f>
        <v xml:space="preserve">15082391    </v>
      </c>
      <c r="E4020" t="s">
        <v>381</v>
      </c>
      <c r="F4020" t="s">
        <v>382</v>
      </c>
      <c r="G4020">
        <v>31.36</v>
      </c>
      <c r="H4020">
        <v>250613</v>
      </c>
      <c r="I4020">
        <v>4554</v>
      </c>
      <c r="J4020" t="s">
        <v>351</v>
      </c>
      <c r="K4020">
        <v>429.36</v>
      </c>
      <c r="L4020">
        <v>3.85</v>
      </c>
      <c r="M4020">
        <v>17737</v>
      </c>
      <c r="N4020" t="s">
        <v>156</v>
      </c>
      <c r="O4020">
        <v>250626</v>
      </c>
      <c r="P4020">
        <v>27.51</v>
      </c>
    </row>
    <row r="4021" spans="1:16" x14ac:dyDescent="0.25">
      <c r="A4021" t="s">
        <v>3296</v>
      </c>
      <c r="B4021" t="s">
        <v>2931</v>
      </c>
      <c r="C4021">
        <v>9753</v>
      </c>
      <c r="D4021" t="str">
        <f>"15103391    "</f>
        <v xml:space="preserve">15103391    </v>
      </c>
      <c r="E4021" t="s">
        <v>381</v>
      </c>
      <c r="F4021" t="s">
        <v>382</v>
      </c>
      <c r="G4021">
        <v>1442.86</v>
      </c>
      <c r="H4021">
        <v>250714</v>
      </c>
      <c r="I4021">
        <v>4554</v>
      </c>
      <c r="J4021" t="s">
        <v>351</v>
      </c>
      <c r="K4021">
        <v>1442.86</v>
      </c>
      <c r="L4021">
        <v>177.19</v>
      </c>
      <c r="M4021">
        <v>67554</v>
      </c>
      <c r="N4021" t="s">
        <v>317</v>
      </c>
      <c r="O4021">
        <v>250728</v>
      </c>
      <c r="P4021">
        <v>1265.67</v>
      </c>
    </row>
    <row r="4022" spans="1:16" x14ac:dyDescent="0.25">
      <c r="A4022" t="s">
        <v>3296</v>
      </c>
      <c r="B4022" t="s">
        <v>2931</v>
      </c>
      <c r="C4022">
        <v>9756</v>
      </c>
      <c r="D4022" t="str">
        <f>"001345909   "</f>
        <v xml:space="preserve">001345909   </v>
      </c>
      <c r="E4022" t="s">
        <v>381</v>
      </c>
      <c r="F4022" t="s">
        <v>382</v>
      </c>
      <c r="G4022">
        <v>2744.3</v>
      </c>
      <c r="H4022">
        <v>250714</v>
      </c>
      <c r="I4022">
        <v>4554</v>
      </c>
      <c r="J4022" t="s">
        <v>351</v>
      </c>
      <c r="K4022">
        <v>2744.3</v>
      </c>
      <c r="L4022">
        <v>337.02</v>
      </c>
      <c r="M4022">
        <v>67554</v>
      </c>
      <c r="N4022" t="s">
        <v>317</v>
      </c>
      <c r="O4022">
        <v>250728</v>
      </c>
      <c r="P4022">
        <v>2407.2800000000002</v>
      </c>
    </row>
    <row r="4023" spans="1:16" x14ac:dyDescent="0.25">
      <c r="A4023" t="s">
        <v>3296</v>
      </c>
      <c r="B4023" t="s">
        <v>2931</v>
      </c>
      <c r="C4023">
        <v>9894</v>
      </c>
      <c r="D4023" t="str">
        <f>"15110601    "</f>
        <v xml:space="preserve">15110601    </v>
      </c>
      <c r="E4023" t="s">
        <v>381</v>
      </c>
      <c r="F4023" t="s">
        <v>382</v>
      </c>
      <c r="G4023">
        <v>2479.5</v>
      </c>
      <c r="H4023">
        <v>250729</v>
      </c>
      <c r="I4023">
        <v>4554</v>
      </c>
      <c r="J4023" t="s">
        <v>351</v>
      </c>
      <c r="K4023">
        <v>2479.5</v>
      </c>
      <c r="L4023">
        <v>304.5</v>
      </c>
      <c r="M4023">
        <v>67554</v>
      </c>
      <c r="N4023" t="s">
        <v>317</v>
      </c>
      <c r="O4023">
        <v>250801</v>
      </c>
      <c r="P4023">
        <v>2175</v>
      </c>
    </row>
    <row r="4024" spans="1:16" x14ac:dyDescent="0.25">
      <c r="A4024" t="s">
        <v>3296</v>
      </c>
      <c r="B4024" t="s">
        <v>2931</v>
      </c>
      <c r="C4024">
        <v>10024</v>
      </c>
      <c r="D4024" t="str">
        <f>"15104926    "</f>
        <v xml:space="preserve">15104926    </v>
      </c>
      <c r="E4024" t="s">
        <v>381</v>
      </c>
      <c r="F4024" t="s">
        <v>382</v>
      </c>
      <c r="G4024">
        <v>31.36</v>
      </c>
      <c r="H4024">
        <v>250715</v>
      </c>
      <c r="I4024">
        <v>4554</v>
      </c>
      <c r="J4024" t="s">
        <v>351</v>
      </c>
      <c r="K4024">
        <v>54.38</v>
      </c>
      <c r="L4024">
        <v>3.85</v>
      </c>
      <c r="M4024">
        <v>17737</v>
      </c>
      <c r="N4024" t="s">
        <v>156</v>
      </c>
      <c r="O4024">
        <v>250808</v>
      </c>
      <c r="P4024">
        <v>27.51</v>
      </c>
    </row>
    <row r="4025" spans="1:16" x14ac:dyDescent="0.25">
      <c r="A4025" t="s">
        <v>3296</v>
      </c>
      <c r="B4025" t="s">
        <v>2931</v>
      </c>
      <c r="C4025">
        <v>10024</v>
      </c>
      <c r="D4025" t="str">
        <f>"15104926    "</f>
        <v xml:space="preserve">15104926    </v>
      </c>
      <c r="E4025" t="s">
        <v>381</v>
      </c>
      <c r="F4025" t="s">
        <v>382</v>
      </c>
      <c r="G4025">
        <v>23.02</v>
      </c>
      <c r="H4025">
        <v>250715</v>
      </c>
      <c r="I4025">
        <v>4554</v>
      </c>
      <c r="J4025" t="s">
        <v>351</v>
      </c>
      <c r="K4025">
        <v>54.38</v>
      </c>
      <c r="L4025">
        <v>2.83</v>
      </c>
      <c r="M4025">
        <v>17737</v>
      </c>
      <c r="N4025" t="s">
        <v>156</v>
      </c>
      <c r="O4025">
        <v>250808</v>
      </c>
      <c r="P4025">
        <v>20.190000000000001</v>
      </c>
    </row>
    <row r="4026" spans="1:16" x14ac:dyDescent="0.25">
      <c r="A4026" t="s">
        <v>3296</v>
      </c>
      <c r="B4026" t="s">
        <v>2931</v>
      </c>
      <c r="C4026">
        <v>10035</v>
      </c>
      <c r="D4026" t="str">
        <f>"15112543    "</f>
        <v xml:space="preserve">15112543    </v>
      </c>
      <c r="E4026" t="s">
        <v>381</v>
      </c>
      <c r="F4026" t="s">
        <v>382</v>
      </c>
      <c r="G4026">
        <v>86.8</v>
      </c>
      <c r="H4026">
        <v>250731</v>
      </c>
      <c r="I4026">
        <v>4554</v>
      </c>
      <c r="J4026" t="s">
        <v>351</v>
      </c>
      <c r="K4026">
        <v>86.8</v>
      </c>
      <c r="L4026">
        <v>10.66</v>
      </c>
      <c r="M4026">
        <v>17711</v>
      </c>
      <c r="N4026" t="s">
        <v>155</v>
      </c>
      <c r="O4026">
        <v>250808</v>
      </c>
      <c r="P4026">
        <v>76.14</v>
      </c>
    </row>
    <row r="4027" spans="1:16" x14ac:dyDescent="0.25">
      <c r="A4027" t="s">
        <v>3296</v>
      </c>
      <c r="B4027" t="s">
        <v>2931</v>
      </c>
      <c r="C4027">
        <v>10188</v>
      </c>
      <c r="D4027" t="str">
        <f>"001354232   "</f>
        <v xml:space="preserve">001354232   </v>
      </c>
      <c r="E4027" t="s">
        <v>381</v>
      </c>
      <c r="F4027" t="s">
        <v>382</v>
      </c>
      <c r="G4027">
        <v>6309.46</v>
      </c>
      <c r="H4027">
        <v>250804</v>
      </c>
      <c r="I4027">
        <v>4554</v>
      </c>
      <c r="J4027" t="s">
        <v>351</v>
      </c>
      <c r="K4027">
        <v>6309.46</v>
      </c>
      <c r="L4027">
        <v>774.85</v>
      </c>
      <c r="M4027">
        <v>67554</v>
      </c>
      <c r="N4027" t="s">
        <v>317</v>
      </c>
      <c r="O4027">
        <v>250812</v>
      </c>
      <c r="P4027">
        <v>5534.61</v>
      </c>
    </row>
    <row r="4028" spans="1:16" x14ac:dyDescent="0.25">
      <c r="A4028" t="s">
        <v>3296</v>
      </c>
      <c r="B4028" t="s">
        <v>2931</v>
      </c>
      <c r="C4028">
        <v>11221</v>
      </c>
      <c r="D4028" t="str">
        <f>"15120502    "</f>
        <v xml:space="preserve">15120502    </v>
      </c>
      <c r="E4028" t="s">
        <v>381</v>
      </c>
      <c r="F4028" t="s">
        <v>382</v>
      </c>
      <c r="G4028">
        <v>254.64</v>
      </c>
      <c r="H4028">
        <v>250815</v>
      </c>
      <c r="I4028">
        <v>4554</v>
      </c>
      <c r="J4028" t="s">
        <v>351</v>
      </c>
      <c r="K4028">
        <v>325.64999999999998</v>
      </c>
      <c r="L4028">
        <v>31.27</v>
      </c>
      <c r="M4028">
        <v>17711</v>
      </c>
      <c r="N4028" t="s">
        <v>155</v>
      </c>
      <c r="O4028">
        <v>250902</v>
      </c>
      <c r="P4028">
        <v>223.37</v>
      </c>
    </row>
    <row r="4029" spans="1:16" x14ac:dyDescent="0.25">
      <c r="A4029" t="s">
        <v>3296</v>
      </c>
      <c r="B4029" t="s">
        <v>2931</v>
      </c>
      <c r="C4029">
        <v>11221</v>
      </c>
      <c r="D4029" t="str">
        <f>"15120502    "</f>
        <v xml:space="preserve">15120502    </v>
      </c>
      <c r="E4029" t="s">
        <v>381</v>
      </c>
      <c r="F4029" t="s">
        <v>382</v>
      </c>
      <c r="G4029">
        <v>15.11</v>
      </c>
      <c r="H4029">
        <v>250815</v>
      </c>
      <c r="I4029">
        <v>4554</v>
      </c>
      <c r="J4029" t="s">
        <v>351</v>
      </c>
      <c r="K4029">
        <v>325.64999999999998</v>
      </c>
      <c r="L4029">
        <v>1.86</v>
      </c>
      <c r="M4029">
        <v>17737</v>
      </c>
      <c r="N4029" t="s">
        <v>156</v>
      </c>
      <c r="O4029">
        <v>250902</v>
      </c>
      <c r="P4029">
        <v>13.25</v>
      </c>
    </row>
    <row r="4030" spans="1:16" x14ac:dyDescent="0.25">
      <c r="A4030" t="s">
        <v>3296</v>
      </c>
      <c r="B4030" t="s">
        <v>2931</v>
      </c>
      <c r="C4030">
        <v>12939</v>
      </c>
      <c r="D4030" t="str">
        <f>"15147750    "</f>
        <v xml:space="preserve">15147750    </v>
      </c>
      <c r="E4030" t="s">
        <v>381</v>
      </c>
      <c r="F4030" t="s">
        <v>382</v>
      </c>
      <c r="G4030">
        <v>4183.8900000000003</v>
      </c>
      <c r="H4030">
        <v>250930</v>
      </c>
      <c r="I4030">
        <v>4554</v>
      </c>
      <c r="J4030" t="s">
        <v>351</v>
      </c>
      <c r="K4030">
        <v>4183.8900000000003</v>
      </c>
      <c r="L4030">
        <v>513.80999999999995</v>
      </c>
      <c r="M4030">
        <v>67554</v>
      </c>
      <c r="N4030" t="s">
        <v>317</v>
      </c>
      <c r="O4030">
        <v>251002</v>
      </c>
      <c r="P4030">
        <v>3670.08</v>
      </c>
    </row>
    <row r="4031" spans="1:16" x14ac:dyDescent="0.25">
      <c r="A4031" t="s">
        <v>3296</v>
      </c>
      <c r="B4031" t="s">
        <v>2931</v>
      </c>
      <c r="C4031">
        <v>13920</v>
      </c>
      <c r="D4031" t="str">
        <f>"15155697    "</f>
        <v xml:space="preserve">15155697    </v>
      </c>
      <c r="E4031" t="s">
        <v>381</v>
      </c>
      <c r="F4031" t="s">
        <v>382</v>
      </c>
      <c r="G4031">
        <v>12.49</v>
      </c>
      <c r="H4031">
        <v>251015</v>
      </c>
      <c r="I4031">
        <v>4554</v>
      </c>
      <c r="J4031" t="s">
        <v>351</v>
      </c>
      <c r="K4031">
        <v>48.43</v>
      </c>
      <c r="L4031">
        <v>1.53</v>
      </c>
      <c r="M4031">
        <v>17711</v>
      </c>
      <c r="N4031" t="s">
        <v>155</v>
      </c>
      <c r="O4031">
        <v>251020</v>
      </c>
      <c r="P4031">
        <v>10.96</v>
      </c>
    </row>
    <row r="4032" spans="1:16" x14ac:dyDescent="0.25">
      <c r="A4032" t="s">
        <v>3296</v>
      </c>
      <c r="B4032" t="s">
        <v>2931</v>
      </c>
      <c r="C4032">
        <v>14675</v>
      </c>
      <c r="D4032" t="str">
        <f>"001386317   "</f>
        <v xml:space="preserve">001386317   </v>
      </c>
      <c r="E4032" t="s">
        <v>381</v>
      </c>
      <c r="F4032" t="s">
        <v>382</v>
      </c>
      <c r="G4032">
        <v>6259.9</v>
      </c>
      <c r="H4032">
        <v>251024</v>
      </c>
      <c r="I4032">
        <v>4554</v>
      </c>
      <c r="J4032" t="s">
        <v>351</v>
      </c>
      <c r="K4032">
        <v>6259.9</v>
      </c>
      <c r="L4032">
        <v>768.76</v>
      </c>
      <c r="M4032">
        <v>67554</v>
      </c>
      <c r="N4032" t="s">
        <v>317</v>
      </c>
      <c r="O4032">
        <v>251106</v>
      </c>
      <c r="P4032">
        <v>5491.14</v>
      </c>
    </row>
    <row r="4033" spans="1:16" x14ac:dyDescent="0.25">
      <c r="A4033" t="s">
        <v>3296</v>
      </c>
      <c r="B4033" t="s">
        <v>2931</v>
      </c>
      <c r="C4033">
        <v>15704</v>
      </c>
      <c r="D4033" t="str">
        <f>"15169614    "</f>
        <v xml:space="preserve">15169614    </v>
      </c>
      <c r="E4033" t="s">
        <v>381</v>
      </c>
      <c r="F4033" t="s">
        <v>382</v>
      </c>
      <c r="G4033">
        <v>65.05</v>
      </c>
      <c r="H4033">
        <v>251114</v>
      </c>
      <c r="I4033">
        <v>4554</v>
      </c>
      <c r="J4033" t="s">
        <v>351</v>
      </c>
      <c r="K4033">
        <v>627.33000000000004</v>
      </c>
      <c r="L4033">
        <v>7.99</v>
      </c>
      <c r="M4033">
        <v>17711</v>
      </c>
      <c r="N4033" t="s">
        <v>155</v>
      </c>
      <c r="O4033">
        <v>251125</v>
      </c>
      <c r="P4033">
        <v>57.06</v>
      </c>
    </row>
    <row r="4034" spans="1:16" x14ac:dyDescent="0.25">
      <c r="A4034" t="s">
        <v>3296</v>
      </c>
      <c r="B4034" t="s">
        <v>2931</v>
      </c>
      <c r="C4034">
        <v>16099</v>
      </c>
      <c r="D4034" t="str">
        <f>"15176067    "</f>
        <v xml:space="preserve">15176067    </v>
      </c>
      <c r="E4034" t="s">
        <v>381</v>
      </c>
      <c r="F4034" t="s">
        <v>382</v>
      </c>
      <c r="G4034">
        <v>56.51</v>
      </c>
      <c r="H4034">
        <v>251130</v>
      </c>
      <c r="I4034">
        <v>4554</v>
      </c>
      <c r="J4034" t="s">
        <v>351</v>
      </c>
      <c r="K4034">
        <v>280.05</v>
      </c>
      <c r="L4034">
        <v>6.94</v>
      </c>
      <c r="M4034">
        <v>17737</v>
      </c>
      <c r="N4034" t="s">
        <v>156</v>
      </c>
      <c r="O4034">
        <v>251203</v>
      </c>
      <c r="P4034">
        <v>49.57</v>
      </c>
    </row>
    <row r="4035" spans="1:16" x14ac:dyDescent="0.25">
      <c r="A4035" t="s">
        <v>3296</v>
      </c>
      <c r="B4035" t="s">
        <v>2931</v>
      </c>
      <c r="C4035">
        <v>17282</v>
      </c>
      <c r="D4035" t="str">
        <f>"15184036    "</f>
        <v xml:space="preserve">15184036    </v>
      </c>
      <c r="E4035" t="s">
        <v>381</v>
      </c>
      <c r="F4035" t="s">
        <v>382</v>
      </c>
      <c r="G4035">
        <v>2015.1</v>
      </c>
      <c r="H4035">
        <v>251217</v>
      </c>
      <c r="I4035">
        <v>4554</v>
      </c>
      <c r="J4035" t="s">
        <v>351</v>
      </c>
      <c r="K4035">
        <v>2015.1</v>
      </c>
      <c r="L4035">
        <v>247.47</v>
      </c>
      <c r="M4035">
        <v>67554</v>
      </c>
      <c r="N4035" t="s">
        <v>317</v>
      </c>
      <c r="O4035">
        <v>251219</v>
      </c>
      <c r="P4035">
        <v>1767.63</v>
      </c>
    </row>
    <row r="4036" spans="1:16" x14ac:dyDescent="0.25">
      <c r="A4036" t="s">
        <v>3296</v>
      </c>
      <c r="B4036" t="s">
        <v>2931</v>
      </c>
      <c r="C4036">
        <v>17322</v>
      </c>
      <c r="D4036" t="str">
        <f>"15184037    "</f>
        <v xml:space="preserve">15184037    </v>
      </c>
      <c r="E4036" t="s">
        <v>381</v>
      </c>
      <c r="F4036" t="s">
        <v>382</v>
      </c>
      <c r="G4036">
        <v>137.93</v>
      </c>
      <c r="H4036">
        <v>251217</v>
      </c>
      <c r="I4036">
        <v>4554</v>
      </c>
      <c r="J4036" t="s">
        <v>351</v>
      </c>
      <c r="K4036">
        <v>137.93</v>
      </c>
      <c r="L4036">
        <v>16.940000000000001</v>
      </c>
      <c r="M4036">
        <v>67522</v>
      </c>
      <c r="N4036" t="s">
        <v>121</v>
      </c>
      <c r="O4036">
        <v>251219</v>
      </c>
      <c r="P4036">
        <v>120.99</v>
      </c>
    </row>
    <row r="4037" spans="1:16" x14ac:dyDescent="0.25">
      <c r="A4037" t="s">
        <v>3296</v>
      </c>
      <c r="B4037" t="s">
        <v>2931</v>
      </c>
      <c r="C4037">
        <v>17477</v>
      </c>
      <c r="D4037" t="str">
        <f>"15182048    "</f>
        <v xml:space="preserve">15182048    </v>
      </c>
      <c r="E4037" t="s">
        <v>381</v>
      </c>
      <c r="F4037" t="s">
        <v>382</v>
      </c>
      <c r="G4037">
        <v>88.07</v>
      </c>
      <c r="H4037">
        <v>251215</v>
      </c>
      <c r="I4037">
        <v>4554</v>
      </c>
      <c r="J4037" t="s">
        <v>351</v>
      </c>
      <c r="K4037">
        <v>243.68</v>
      </c>
      <c r="L4037">
        <v>10.82</v>
      </c>
      <c r="M4037">
        <v>17711</v>
      </c>
      <c r="N4037" t="s">
        <v>155</v>
      </c>
      <c r="O4037">
        <v>251222</v>
      </c>
      <c r="P4037">
        <v>77.25</v>
      </c>
    </row>
    <row r="4038" spans="1:16" x14ac:dyDescent="0.25">
      <c r="A4038" t="s">
        <v>3296</v>
      </c>
      <c r="B4038" t="s">
        <v>2931</v>
      </c>
      <c r="C4038">
        <v>17957</v>
      </c>
      <c r="D4038" t="str">
        <f>"15186220    "</f>
        <v xml:space="preserve">15186220    </v>
      </c>
      <c r="E4038" t="s">
        <v>381</v>
      </c>
      <c r="F4038" t="s">
        <v>382</v>
      </c>
      <c r="G4038">
        <v>604.20000000000005</v>
      </c>
      <c r="H4038">
        <v>251229</v>
      </c>
      <c r="I4038">
        <v>4554</v>
      </c>
      <c r="J4038" t="s">
        <v>351</v>
      </c>
      <c r="K4038">
        <v>604.20000000000005</v>
      </c>
      <c r="L4038">
        <v>74.2</v>
      </c>
      <c r="M4038">
        <v>67554</v>
      </c>
      <c r="N4038" t="s">
        <v>317</v>
      </c>
      <c r="O4038">
        <v>260107</v>
      </c>
      <c r="P4038">
        <v>530</v>
      </c>
    </row>
    <row r="4039" spans="1:16" x14ac:dyDescent="0.25">
      <c r="A4039" t="s">
        <v>3296</v>
      </c>
      <c r="B4039" t="s">
        <v>2931</v>
      </c>
      <c r="C4039">
        <v>18043</v>
      </c>
      <c r="D4039" t="str">
        <f>"15188010    "</f>
        <v xml:space="preserve">15188010    </v>
      </c>
      <c r="E4039" t="s">
        <v>381</v>
      </c>
      <c r="F4039" t="s">
        <v>382</v>
      </c>
      <c r="G4039">
        <v>32.909999999999997</v>
      </c>
      <c r="H4039">
        <v>251231</v>
      </c>
      <c r="I4039">
        <v>4554</v>
      </c>
      <c r="J4039" t="s">
        <v>351</v>
      </c>
      <c r="K4039">
        <v>68.010000000000005</v>
      </c>
      <c r="L4039">
        <v>4.04</v>
      </c>
      <c r="M4039">
        <v>17711</v>
      </c>
      <c r="N4039" t="s">
        <v>155</v>
      </c>
      <c r="O4039">
        <v>260108</v>
      </c>
      <c r="P4039">
        <v>28.87</v>
      </c>
    </row>
    <row r="4040" spans="1:16" x14ac:dyDescent="0.25">
      <c r="A4040" t="s">
        <v>3296</v>
      </c>
      <c r="B4040" t="s">
        <v>2931</v>
      </c>
      <c r="C4040">
        <v>2142</v>
      </c>
      <c r="D4040" t="str">
        <f>"15013125    "</f>
        <v xml:space="preserve">15013125    </v>
      </c>
      <c r="E4040" t="s">
        <v>381</v>
      </c>
      <c r="F4040" t="s">
        <v>382</v>
      </c>
      <c r="G4040">
        <v>49.9</v>
      </c>
      <c r="H4040">
        <v>250214</v>
      </c>
      <c r="I4040">
        <v>4555</v>
      </c>
      <c r="J4040" t="s">
        <v>352</v>
      </c>
      <c r="K4040">
        <v>49.9</v>
      </c>
      <c r="L4040">
        <v>10.14</v>
      </c>
      <c r="M4040">
        <v>17711</v>
      </c>
      <c r="N4040" t="s">
        <v>155</v>
      </c>
      <c r="O4040">
        <v>250220</v>
      </c>
      <c r="P4040">
        <v>39.76</v>
      </c>
    </row>
    <row r="4041" spans="1:16" x14ac:dyDescent="0.25">
      <c r="A4041" t="s">
        <v>3296</v>
      </c>
      <c r="B4041" t="s">
        <v>2931</v>
      </c>
      <c r="C4041">
        <v>15440</v>
      </c>
      <c r="D4041" t="str">
        <f>"15169615    "</f>
        <v xml:space="preserve">15169615    </v>
      </c>
      <c r="E4041" t="s">
        <v>381</v>
      </c>
      <c r="F4041" t="s">
        <v>382</v>
      </c>
      <c r="G4041">
        <v>48.75</v>
      </c>
      <c r="H4041">
        <v>251101</v>
      </c>
      <c r="I4041">
        <v>4555</v>
      </c>
      <c r="J4041" t="s">
        <v>352</v>
      </c>
      <c r="K4041">
        <v>48.75</v>
      </c>
      <c r="L4041">
        <v>9.91</v>
      </c>
      <c r="M4041">
        <v>67554</v>
      </c>
      <c r="N4041" t="s">
        <v>317</v>
      </c>
      <c r="O4041">
        <v>251120</v>
      </c>
      <c r="P4041">
        <v>38.840000000000003</v>
      </c>
    </row>
    <row r="4042" spans="1:16" x14ac:dyDescent="0.25">
      <c r="A4042" t="s">
        <v>3296</v>
      </c>
      <c r="B4042" t="s">
        <v>2931</v>
      </c>
      <c r="C4042">
        <v>5933</v>
      </c>
      <c r="D4042" t="str">
        <f>"15049176    "</f>
        <v xml:space="preserve">15049176    </v>
      </c>
      <c r="E4042" t="s">
        <v>381</v>
      </c>
      <c r="F4042" t="s">
        <v>382</v>
      </c>
      <c r="G4042">
        <v>41.96</v>
      </c>
      <c r="H4042">
        <v>250430</v>
      </c>
      <c r="I4042">
        <v>4557</v>
      </c>
      <c r="J4042" t="s">
        <v>1152</v>
      </c>
      <c r="K4042">
        <v>41.96</v>
      </c>
      <c r="L4042">
        <v>8.5299999999999994</v>
      </c>
      <c r="M4042">
        <v>17131</v>
      </c>
      <c r="N4042" t="s">
        <v>154</v>
      </c>
      <c r="O4042">
        <v>250507</v>
      </c>
      <c r="P4042">
        <v>33.43</v>
      </c>
    </row>
    <row r="4043" spans="1:16" x14ac:dyDescent="0.25">
      <c r="A4043" t="s">
        <v>3296</v>
      </c>
      <c r="B4043" t="s">
        <v>2931</v>
      </c>
      <c r="C4043">
        <v>276</v>
      </c>
      <c r="D4043" t="str">
        <f>"15002199    "</f>
        <v xml:space="preserve">15002199    </v>
      </c>
      <c r="E4043" t="s">
        <v>381</v>
      </c>
      <c r="F4043" t="s">
        <v>382</v>
      </c>
      <c r="G4043">
        <v>277.72000000000003</v>
      </c>
      <c r="H4043">
        <v>250114</v>
      </c>
      <c r="I4043">
        <v>4560</v>
      </c>
      <c r="J4043" t="s">
        <v>390</v>
      </c>
      <c r="K4043">
        <v>5554.36</v>
      </c>
      <c r="L4043">
        <v>56.43</v>
      </c>
      <c r="M4043">
        <v>66722</v>
      </c>
      <c r="N4043" t="s">
        <v>118</v>
      </c>
      <c r="O4043">
        <v>250120</v>
      </c>
      <c r="P4043">
        <v>221.29</v>
      </c>
    </row>
    <row r="4044" spans="1:16" x14ac:dyDescent="0.25">
      <c r="A4044" t="s">
        <v>3296</v>
      </c>
      <c r="B4044" t="s">
        <v>2931</v>
      </c>
      <c r="C4044">
        <v>276</v>
      </c>
      <c r="D4044" t="str">
        <f>"15002199    "</f>
        <v xml:space="preserve">15002199    </v>
      </c>
      <c r="E4044" t="s">
        <v>381</v>
      </c>
      <c r="F4044" t="s">
        <v>382</v>
      </c>
      <c r="G4044">
        <v>749.84</v>
      </c>
      <c r="H4044">
        <v>250114</v>
      </c>
      <c r="I4044">
        <v>4560</v>
      </c>
      <c r="J4044" t="s">
        <v>390</v>
      </c>
      <c r="K4044">
        <v>5554.36</v>
      </c>
      <c r="L4044">
        <v>152.36000000000001</v>
      </c>
      <c r="M4044">
        <v>67522</v>
      </c>
      <c r="N4044" t="s">
        <v>121</v>
      </c>
      <c r="O4044">
        <v>250120</v>
      </c>
      <c r="P4044">
        <v>597.48</v>
      </c>
    </row>
    <row r="4045" spans="1:16" x14ac:dyDescent="0.25">
      <c r="A4045" t="s">
        <v>3296</v>
      </c>
      <c r="B4045" t="s">
        <v>2931</v>
      </c>
      <c r="C4045">
        <v>276</v>
      </c>
      <c r="D4045" t="str">
        <f>"15002199    "</f>
        <v xml:space="preserve">15002199    </v>
      </c>
      <c r="E4045" t="s">
        <v>381</v>
      </c>
      <c r="F4045" t="s">
        <v>382</v>
      </c>
      <c r="G4045">
        <v>1749.62</v>
      </c>
      <c r="H4045">
        <v>250114</v>
      </c>
      <c r="I4045">
        <v>4560</v>
      </c>
      <c r="J4045" t="s">
        <v>390</v>
      </c>
      <c r="K4045">
        <v>5554.36</v>
      </c>
      <c r="L4045">
        <v>355.5</v>
      </c>
      <c r="M4045">
        <v>67522</v>
      </c>
      <c r="N4045" t="s">
        <v>121</v>
      </c>
      <c r="O4045">
        <v>250120</v>
      </c>
      <c r="P4045">
        <v>1394.12</v>
      </c>
    </row>
    <row r="4046" spans="1:16" x14ac:dyDescent="0.25">
      <c r="A4046" t="s">
        <v>3296</v>
      </c>
      <c r="B4046" t="s">
        <v>2931</v>
      </c>
      <c r="C4046">
        <v>276</v>
      </c>
      <c r="D4046" t="str">
        <f>"15002199    "</f>
        <v xml:space="preserve">15002199    </v>
      </c>
      <c r="E4046" t="s">
        <v>381</v>
      </c>
      <c r="F4046" t="s">
        <v>382</v>
      </c>
      <c r="G4046">
        <v>2777.18</v>
      </c>
      <c r="H4046">
        <v>250114</v>
      </c>
      <c r="I4046">
        <v>4560</v>
      </c>
      <c r="J4046" t="s">
        <v>390</v>
      </c>
      <c r="K4046">
        <v>5554.36</v>
      </c>
      <c r="L4046">
        <v>564.29</v>
      </c>
      <c r="M4046">
        <v>67554</v>
      </c>
      <c r="N4046" t="s">
        <v>317</v>
      </c>
      <c r="O4046">
        <v>250120</v>
      </c>
      <c r="P4046">
        <v>2212.89</v>
      </c>
    </row>
    <row r="4047" spans="1:16" x14ac:dyDescent="0.25">
      <c r="A4047" t="s">
        <v>3296</v>
      </c>
      <c r="B4047" t="s">
        <v>2931</v>
      </c>
      <c r="C4047">
        <v>286</v>
      </c>
      <c r="D4047" t="str">
        <f>"15002198    "</f>
        <v xml:space="preserve">15002198    </v>
      </c>
      <c r="E4047" t="s">
        <v>381</v>
      </c>
      <c r="F4047" t="s">
        <v>382</v>
      </c>
      <c r="G4047">
        <v>3423.65</v>
      </c>
      <c r="H4047">
        <v>250114</v>
      </c>
      <c r="I4047">
        <v>4560</v>
      </c>
      <c r="J4047" t="s">
        <v>390</v>
      </c>
      <c r="K4047">
        <v>3423.65</v>
      </c>
      <c r="L4047">
        <v>695.64</v>
      </c>
      <c r="M4047">
        <v>17737</v>
      </c>
      <c r="N4047" t="s">
        <v>156</v>
      </c>
      <c r="O4047">
        <v>250120</v>
      </c>
      <c r="P4047">
        <v>2728.01</v>
      </c>
    </row>
    <row r="4048" spans="1:16" x14ac:dyDescent="0.25">
      <c r="A4048" t="s">
        <v>3296</v>
      </c>
      <c r="B4048" t="s">
        <v>2931</v>
      </c>
      <c r="C4048">
        <v>4468</v>
      </c>
      <c r="D4048" t="str">
        <f>"15029648    "</f>
        <v xml:space="preserve">15029648    </v>
      </c>
      <c r="E4048" t="s">
        <v>381</v>
      </c>
      <c r="F4048" t="s">
        <v>382</v>
      </c>
      <c r="G4048">
        <v>43.9</v>
      </c>
      <c r="H4048">
        <v>250331</v>
      </c>
      <c r="I4048">
        <v>4560</v>
      </c>
      <c r="J4048" t="s">
        <v>390</v>
      </c>
      <c r="K4048">
        <v>183.8</v>
      </c>
      <c r="L4048">
        <v>8.92</v>
      </c>
      <c r="M4048">
        <v>17711</v>
      </c>
      <c r="N4048" t="s">
        <v>155</v>
      </c>
      <c r="O4048">
        <v>250411</v>
      </c>
      <c r="P4048">
        <v>34.979999999999997</v>
      </c>
    </row>
    <row r="4049" spans="1:16" x14ac:dyDescent="0.25">
      <c r="A4049" t="s">
        <v>3296</v>
      </c>
      <c r="B4049" t="s">
        <v>2931</v>
      </c>
      <c r="C4049">
        <v>5383</v>
      </c>
      <c r="D4049" t="str">
        <f>"15038395    "</f>
        <v xml:space="preserve">15038395    </v>
      </c>
      <c r="E4049" t="s">
        <v>381</v>
      </c>
      <c r="F4049" t="s">
        <v>382</v>
      </c>
      <c r="G4049">
        <v>89.95</v>
      </c>
      <c r="H4049">
        <v>250415</v>
      </c>
      <c r="I4049">
        <v>4560</v>
      </c>
      <c r="J4049" t="s">
        <v>390</v>
      </c>
      <c r="K4049">
        <v>98.3</v>
      </c>
      <c r="L4049">
        <v>18.28</v>
      </c>
      <c r="M4049">
        <v>17737</v>
      </c>
      <c r="N4049" t="s">
        <v>156</v>
      </c>
      <c r="O4049">
        <v>250424</v>
      </c>
      <c r="P4049">
        <v>71.67</v>
      </c>
    </row>
    <row r="4050" spans="1:16" x14ac:dyDescent="0.25">
      <c r="A4050" t="s">
        <v>3296</v>
      </c>
      <c r="B4050" t="s">
        <v>2931</v>
      </c>
      <c r="C4050">
        <v>6999</v>
      </c>
      <c r="D4050" t="str">
        <f>"15060757    "</f>
        <v xml:space="preserve">15060757    </v>
      </c>
      <c r="E4050" t="s">
        <v>381</v>
      </c>
      <c r="F4050" t="s">
        <v>382</v>
      </c>
      <c r="G4050">
        <v>49.9</v>
      </c>
      <c r="H4050">
        <v>250515</v>
      </c>
      <c r="I4050">
        <v>4560</v>
      </c>
      <c r="J4050" t="s">
        <v>390</v>
      </c>
      <c r="K4050">
        <v>49.9</v>
      </c>
      <c r="L4050">
        <v>10.14</v>
      </c>
      <c r="M4050">
        <v>17711</v>
      </c>
      <c r="N4050" t="s">
        <v>155</v>
      </c>
      <c r="O4050">
        <v>250521</v>
      </c>
      <c r="P4050">
        <v>39.76</v>
      </c>
    </row>
    <row r="4051" spans="1:16" x14ac:dyDescent="0.25">
      <c r="A4051" t="s">
        <v>3296</v>
      </c>
      <c r="B4051" t="s">
        <v>2931</v>
      </c>
      <c r="C4051">
        <v>7862</v>
      </c>
      <c r="D4051" t="str">
        <f>"15070039    "</f>
        <v xml:space="preserve">15070039    </v>
      </c>
      <c r="E4051" t="s">
        <v>381</v>
      </c>
      <c r="F4051" t="s">
        <v>382</v>
      </c>
      <c r="G4051">
        <v>37.979999999999997</v>
      </c>
      <c r="H4051">
        <v>250530</v>
      </c>
      <c r="I4051">
        <v>4560</v>
      </c>
      <c r="J4051" t="s">
        <v>390</v>
      </c>
      <c r="K4051">
        <v>37.979999999999997</v>
      </c>
      <c r="L4051">
        <v>7.72</v>
      </c>
      <c r="M4051">
        <v>17951</v>
      </c>
      <c r="N4051" t="s">
        <v>207</v>
      </c>
      <c r="O4051">
        <v>250610</v>
      </c>
      <c r="P4051">
        <v>30.26</v>
      </c>
    </row>
    <row r="4052" spans="1:16" x14ac:dyDescent="0.25">
      <c r="A4052" t="s">
        <v>3296</v>
      </c>
      <c r="B4052" t="s">
        <v>2931</v>
      </c>
      <c r="C4052">
        <v>9314</v>
      </c>
      <c r="D4052" t="str">
        <f>"15095075    "</f>
        <v xml:space="preserve">15095075    </v>
      </c>
      <c r="E4052" t="s">
        <v>381</v>
      </c>
      <c r="F4052" t="s">
        <v>382</v>
      </c>
      <c r="G4052">
        <v>796.49</v>
      </c>
      <c r="H4052">
        <v>250630</v>
      </c>
      <c r="I4052">
        <v>4560</v>
      </c>
      <c r="J4052" t="s">
        <v>390</v>
      </c>
      <c r="K4052">
        <v>6371.86</v>
      </c>
      <c r="L4052">
        <v>161.84</v>
      </c>
      <c r="M4052">
        <v>66722</v>
      </c>
      <c r="N4052" t="s">
        <v>118</v>
      </c>
      <c r="O4052">
        <v>250703</v>
      </c>
      <c r="P4052">
        <v>634.65</v>
      </c>
    </row>
    <row r="4053" spans="1:16" x14ac:dyDescent="0.25">
      <c r="A4053" t="s">
        <v>3296</v>
      </c>
      <c r="B4053" t="s">
        <v>2931</v>
      </c>
      <c r="C4053">
        <v>9314</v>
      </c>
      <c r="D4053" t="str">
        <f>"15095075    "</f>
        <v xml:space="preserve">15095075    </v>
      </c>
      <c r="E4053" t="s">
        <v>381</v>
      </c>
      <c r="F4053" t="s">
        <v>382</v>
      </c>
      <c r="G4053">
        <v>1194.71</v>
      </c>
      <c r="H4053">
        <v>250630</v>
      </c>
      <c r="I4053">
        <v>4560</v>
      </c>
      <c r="J4053" t="s">
        <v>390</v>
      </c>
      <c r="K4053">
        <v>6371.86</v>
      </c>
      <c r="L4053">
        <v>242.75</v>
      </c>
      <c r="M4053">
        <v>67522</v>
      </c>
      <c r="N4053" t="s">
        <v>121</v>
      </c>
      <c r="O4053">
        <v>250703</v>
      </c>
      <c r="P4053">
        <v>951.96</v>
      </c>
    </row>
    <row r="4054" spans="1:16" x14ac:dyDescent="0.25">
      <c r="A4054" t="s">
        <v>3296</v>
      </c>
      <c r="B4054" t="s">
        <v>2931</v>
      </c>
      <c r="C4054">
        <v>9314</v>
      </c>
      <c r="D4054" t="str">
        <f>"15095075    "</f>
        <v xml:space="preserve">15095075    </v>
      </c>
      <c r="E4054" t="s">
        <v>381</v>
      </c>
      <c r="F4054" t="s">
        <v>382</v>
      </c>
      <c r="G4054">
        <v>1194.73</v>
      </c>
      <c r="H4054">
        <v>250630</v>
      </c>
      <c r="I4054">
        <v>4560</v>
      </c>
      <c r="J4054" t="s">
        <v>390</v>
      </c>
      <c r="K4054">
        <v>6371.86</v>
      </c>
      <c r="L4054">
        <v>242.75</v>
      </c>
      <c r="M4054">
        <v>67522</v>
      </c>
      <c r="N4054" t="s">
        <v>121</v>
      </c>
      <c r="O4054">
        <v>250703</v>
      </c>
      <c r="P4054">
        <v>951.98</v>
      </c>
    </row>
    <row r="4055" spans="1:16" x14ac:dyDescent="0.25">
      <c r="A4055" t="s">
        <v>3296</v>
      </c>
      <c r="B4055" t="s">
        <v>2931</v>
      </c>
      <c r="C4055">
        <v>9314</v>
      </c>
      <c r="D4055" t="str">
        <f>"15095075    "</f>
        <v xml:space="preserve">15095075    </v>
      </c>
      <c r="E4055" t="s">
        <v>381</v>
      </c>
      <c r="F4055" t="s">
        <v>382</v>
      </c>
      <c r="G4055">
        <v>3185.93</v>
      </c>
      <c r="H4055">
        <v>250630</v>
      </c>
      <c r="I4055">
        <v>4560</v>
      </c>
      <c r="J4055" t="s">
        <v>390</v>
      </c>
      <c r="K4055">
        <v>6371.86</v>
      </c>
      <c r="L4055">
        <v>647.34</v>
      </c>
      <c r="M4055">
        <v>67554</v>
      </c>
      <c r="N4055" t="s">
        <v>317</v>
      </c>
      <c r="O4055">
        <v>250703</v>
      </c>
      <c r="P4055">
        <v>2538.59</v>
      </c>
    </row>
    <row r="4056" spans="1:16" x14ac:dyDescent="0.25">
      <c r="A4056" t="s">
        <v>3296</v>
      </c>
      <c r="B4056" t="s">
        <v>2931</v>
      </c>
      <c r="C4056">
        <v>9391</v>
      </c>
      <c r="D4056" t="str">
        <f>"15095074    "</f>
        <v xml:space="preserve">15095074    </v>
      </c>
      <c r="E4056" t="s">
        <v>381</v>
      </c>
      <c r="F4056" t="s">
        <v>382</v>
      </c>
      <c r="G4056">
        <v>41.9</v>
      </c>
      <c r="H4056">
        <v>250630</v>
      </c>
      <c r="I4056">
        <v>4560</v>
      </c>
      <c r="J4056" t="s">
        <v>390</v>
      </c>
      <c r="K4056">
        <v>963.97</v>
      </c>
      <c r="L4056">
        <v>8.51</v>
      </c>
      <c r="M4056">
        <v>17951</v>
      </c>
      <c r="N4056" t="s">
        <v>207</v>
      </c>
      <c r="O4056">
        <v>250707</v>
      </c>
      <c r="P4056">
        <v>33.39</v>
      </c>
    </row>
    <row r="4057" spans="1:16" x14ac:dyDescent="0.25">
      <c r="A4057" t="s">
        <v>3296</v>
      </c>
      <c r="B4057" t="s">
        <v>2931</v>
      </c>
      <c r="C4057">
        <v>10520</v>
      </c>
      <c r="D4057" t="str">
        <f>"15120501    "</f>
        <v xml:space="preserve">15120501    </v>
      </c>
      <c r="E4057" t="s">
        <v>381</v>
      </c>
      <c r="F4057" t="s">
        <v>382</v>
      </c>
      <c r="G4057">
        <v>83.8</v>
      </c>
      <c r="H4057">
        <v>250815</v>
      </c>
      <c r="I4057">
        <v>4560</v>
      </c>
      <c r="J4057" t="s">
        <v>390</v>
      </c>
      <c r="K4057">
        <v>83.8</v>
      </c>
      <c r="L4057">
        <v>17.03</v>
      </c>
      <c r="M4057">
        <v>17951</v>
      </c>
      <c r="N4057" t="s">
        <v>207</v>
      </c>
      <c r="O4057">
        <v>250820</v>
      </c>
      <c r="P4057">
        <v>66.77</v>
      </c>
    </row>
    <row r="4058" spans="1:16" x14ac:dyDescent="0.25">
      <c r="A4058" t="s">
        <v>3296</v>
      </c>
      <c r="B4058" t="s">
        <v>2931</v>
      </c>
      <c r="C4058">
        <v>10521</v>
      </c>
      <c r="D4058" t="str">
        <f>"15120503    "</f>
        <v xml:space="preserve">15120503    </v>
      </c>
      <c r="E4058" t="s">
        <v>381</v>
      </c>
      <c r="F4058" t="s">
        <v>382</v>
      </c>
      <c r="G4058">
        <v>170</v>
      </c>
      <c r="H4058">
        <v>250815</v>
      </c>
      <c r="I4058">
        <v>4560</v>
      </c>
      <c r="J4058" t="s">
        <v>390</v>
      </c>
      <c r="K4058">
        <v>170</v>
      </c>
      <c r="L4058">
        <v>34.54</v>
      </c>
      <c r="M4058">
        <v>17737</v>
      </c>
      <c r="N4058" t="s">
        <v>156</v>
      </c>
      <c r="O4058">
        <v>250820</v>
      </c>
      <c r="P4058">
        <v>135.46</v>
      </c>
    </row>
    <row r="4059" spans="1:16" x14ac:dyDescent="0.25">
      <c r="A4059" t="s">
        <v>3296</v>
      </c>
      <c r="B4059" t="s">
        <v>2931</v>
      </c>
      <c r="C4059">
        <v>11240</v>
      </c>
      <c r="D4059" t="str">
        <f>"15129911    "</f>
        <v xml:space="preserve">15129911    </v>
      </c>
      <c r="E4059" t="s">
        <v>381</v>
      </c>
      <c r="F4059" t="s">
        <v>382</v>
      </c>
      <c r="G4059">
        <v>40.950000000000003</v>
      </c>
      <c r="H4059">
        <v>250831</v>
      </c>
      <c r="I4059">
        <v>4560</v>
      </c>
      <c r="J4059" t="s">
        <v>390</v>
      </c>
      <c r="K4059">
        <v>60.53</v>
      </c>
      <c r="L4059">
        <v>8.32</v>
      </c>
      <c r="M4059">
        <v>17711</v>
      </c>
      <c r="N4059" t="s">
        <v>155</v>
      </c>
      <c r="O4059">
        <v>250902</v>
      </c>
      <c r="P4059">
        <v>32.630000000000003</v>
      </c>
    </row>
    <row r="4060" spans="1:16" x14ac:dyDescent="0.25">
      <c r="A4060" t="s">
        <v>3296</v>
      </c>
      <c r="B4060" t="s">
        <v>2931</v>
      </c>
      <c r="C4060">
        <v>12449</v>
      </c>
      <c r="D4060" t="str">
        <f>"15139473    "</f>
        <v xml:space="preserve">15139473    </v>
      </c>
      <c r="E4060" t="s">
        <v>381</v>
      </c>
      <c r="F4060" t="s">
        <v>382</v>
      </c>
      <c r="G4060">
        <v>329</v>
      </c>
      <c r="H4060">
        <v>250916</v>
      </c>
      <c r="I4060">
        <v>4560</v>
      </c>
      <c r="J4060" t="s">
        <v>390</v>
      </c>
      <c r="K4060">
        <v>484</v>
      </c>
      <c r="L4060">
        <v>66.849999999999994</v>
      </c>
      <c r="M4060">
        <v>67554</v>
      </c>
      <c r="N4060" t="s">
        <v>317</v>
      </c>
      <c r="O4060">
        <v>250922</v>
      </c>
      <c r="P4060">
        <v>262.14999999999998</v>
      </c>
    </row>
    <row r="4061" spans="1:16" x14ac:dyDescent="0.25">
      <c r="A4061" t="s">
        <v>3296</v>
      </c>
      <c r="B4061" t="s">
        <v>2931</v>
      </c>
      <c r="C4061">
        <v>12596</v>
      </c>
      <c r="D4061" t="str">
        <f>"15142320    "</f>
        <v xml:space="preserve">15142320    </v>
      </c>
      <c r="E4061" t="s">
        <v>381</v>
      </c>
      <c r="F4061" t="s">
        <v>382</v>
      </c>
      <c r="G4061">
        <v>458.95</v>
      </c>
      <c r="H4061">
        <v>250917</v>
      </c>
      <c r="I4061">
        <v>4560</v>
      </c>
      <c r="J4061" t="s">
        <v>390</v>
      </c>
      <c r="K4061">
        <v>4589.5200000000004</v>
      </c>
      <c r="L4061">
        <v>93.25</v>
      </c>
      <c r="M4061">
        <v>66722</v>
      </c>
      <c r="N4061" t="s">
        <v>118</v>
      </c>
      <c r="O4061">
        <v>250926</v>
      </c>
      <c r="P4061">
        <v>365.7</v>
      </c>
    </row>
    <row r="4062" spans="1:16" x14ac:dyDescent="0.25">
      <c r="A4062" t="s">
        <v>3296</v>
      </c>
      <c r="B4062" t="s">
        <v>2931</v>
      </c>
      <c r="C4062">
        <v>12596</v>
      </c>
      <c r="D4062" t="str">
        <f>"15142320    "</f>
        <v xml:space="preserve">15142320    </v>
      </c>
      <c r="E4062" t="s">
        <v>381</v>
      </c>
      <c r="F4062" t="s">
        <v>382</v>
      </c>
      <c r="G4062">
        <v>917.91</v>
      </c>
      <c r="H4062">
        <v>250917</v>
      </c>
      <c r="I4062">
        <v>4560</v>
      </c>
      <c r="J4062" t="s">
        <v>390</v>
      </c>
      <c r="K4062">
        <v>4589.5200000000004</v>
      </c>
      <c r="L4062">
        <v>186.51</v>
      </c>
      <c r="M4062">
        <v>67522</v>
      </c>
      <c r="N4062" t="s">
        <v>121</v>
      </c>
      <c r="O4062">
        <v>250926</v>
      </c>
      <c r="P4062">
        <v>731.4</v>
      </c>
    </row>
    <row r="4063" spans="1:16" x14ac:dyDescent="0.25">
      <c r="A4063" t="s">
        <v>3296</v>
      </c>
      <c r="B4063" t="s">
        <v>2931</v>
      </c>
      <c r="C4063">
        <v>12596</v>
      </c>
      <c r="D4063" t="str">
        <f>"15142320    "</f>
        <v xml:space="preserve">15142320    </v>
      </c>
      <c r="E4063" t="s">
        <v>381</v>
      </c>
      <c r="F4063" t="s">
        <v>382</v>
      </c>
      <c r="G4063">
        <v>917.9</v>
      </c>
      <c r="H4063">
        <v>250917</v>
      </c>
      <c r="I4063">
        <v>4560</v>
      </c>
      <c r="J4063" t="s">
        <v>390</v>
      </c>
      <c r="K4063">
        <v>4589.5200000000004</v>
      </c>
      <c r="L4063">
        <v>186.51</v>
      </c>
      <c r="M4063">
        <v>67522</v>
      </c>
      <c r="N4063" t="s">
        <v>121</v>
      </c>
      <c r="O4063">
        <v>250926</v>
      </c>
      <c r="P4063">
        <v>731.39</v>
      </c>
    </row>
    <row r="4064" spans="1:16" x14ac:dyDescent="0.25">
      <c r="A4064" t="s">
        <v>3296</v>
      </c>
      <c r="B4064" t="s">
        <v>2931</v>
      </c>
      <c r="C4064">
        <v>12596</v>
      </c>
      <c r="D4064" t="str">
        <f>"15142320    "</f>
        <v xml:space="preserve">15142320    </v>
      </c>
      <c r="E4064" t="s">
        <v>381</v>
      </c>
      <c r="F4064" t="s">
        <v>382</v>
      </c>
      <c r="G4064">
        <v>2294.7600000000002</v>
      </c>
      <c r="H4064">
        <v>250917</v>
      </c>
      <c r="I4064">
        <v>4560</v>
      </c>
      <c r="J4064" t="s">
        <v>390</v>
      </c>
      <c r="K4064">
        <v>4589.5200000000004</v>
      </c>
      <c r="L4064">
        <v>466.27</v>
      </c>
      <c r="M4064">
        <v>67554</v>
      </c>
      <c r="N4064" t="s">
        <v>317</v>
      </c>
      <c r="O4064">
        <v>250926</v>
      </c>
      <c r="P4064">
        <v>1828.49</v>
      </c>
    </row>
    <row r="4065" spans="1:16" x14ac:dyDescent="0.25">
      <c r="A4065" t="s">
        <v>3296</v>
      </c>
      <c r="B4065" t="s">
        <v>2931</v>
      </c>
      <c r="C4065">
        <v>6909</v>
      </c>
      <c r="D4065" t="str">
        <f>"15060760    "</f>
        <v xml:space="preserve">15060760    </v>
      </c>
      <c r="E4065" t="s">
        <v>381</v>
      </c>
      <c r="F4065" t="s">
        <v>382</v>
      </c>
      <c r="G4065">
        <v>599</v>
      </c>
      <c r="H4065">
        <v>250515</v>
      </c>
      <c r="I4065">
        <v>4580</v>
      </c>
      <c r="J4065" t="s">
        <v>126</v>
      </c>
      <c r="K4065">
        <v>599</v>
      </c>
      <c r="L4065">
        <v>121.71</v>
      </c>
      <c r="M4065">
        <v>69501</v>
      </c>
      <c r="N4065" t="s">
        <v>123</v>
      </c>
      <c r="O4065">
        <v>250520</v>
      </c>
      <c r="P4065">
        <v>477.29</v>
      </c>
    </row>
    <row r="4066" spans="1:16" x14ac:dyDescent="0.25">
      <c r="A4066" t="s">
        <v>3296</v>
      </c>
      <c r="B4066" t="s">
        <v>2931</v>
      </c>
      <c r="C4066">
        <v>8402</v>
      </c>
      <c r="D4066" t="str">
        <f>"15076919    "</f>
        <v xml:space="preserve">15076919    </v>
      </c>
      <c r="E4066" t="s">
        <v>381</v>
      </c>
      <c r="F4066" t="s">
        <v>382</v>
      </c>
      <c r="G4066">
        <v>451.04</v>
      </c>
      <c r="H4066">
        <v>250605</v>
      </c>
      <c r="I4066">
        <v>4580</v>
      </c>
      <c r="J4066" t="s">
        <v>126</v>
      </c>
      <c r="K4066">
        <v>451.04</v>
      </c>
      <c r="L4066">
        <v>91.65</v>
      </c>
      <c r="M4066">
        <v>67554</v>
      </c>
      <c r="N4066" t="s">
        <v>317</v>
      </c>
      <c r="O4066">
        <v>250613</v>
      </c>
      <c r="P4066">
        <v>359.39</v>
      </c>
    </row>
    <row r="4067" spans="1:16" x14ac:dyDescent="0.25">
      <c r="A4067" t="s">
        <v>3296</v>
      </c>
      <c r="B4067" t="s">
        <v>2931</v>
      </c>
      <c r="C4067">
        <v>9025</v>
      </c>
      <c r="D4067" t="str">
        <f>"15082394    "</f>
        <v xml:space="preserve">15082394    </v>
      </c>
      <c r="E4067" t="s">
        <v>381</v>
      </c>
      <c r="F4067" t="s">
        <v>382</v>
      </c>
      <c r="G4067">
        <v>11760</v>
      </c>
      <c r="H4067">
        <v>250613</v>
      </c>
      <c r="I4067">
        <v>4580</v>
      </c>
      <c r="J4067" t="s">
        <v>126</v>
      </c>
      <c r="K4067">
        <v>11760</v>
      </c>
      <c r="L4067">
        <v>2389.48</v>
      </c>
      <c r="M4067">
        <v>67554</v>
      </c>
      <c r="N4067" t="s">
        <v>317</v>
      </c>
      <c r="O4067">
        <v>250626</v>
      </c>
      <c r="P4067">
        <v>9370.52</v>
      </c>
    </row>
    <row r="4068" spans="1:16" x14ac:dyDescent="0.25">
      <c r="A4068" t="s">
        <v>3296</v>
      </c>
      <c r="B4068" t="s">
        <v>2931</v>
      </c>
      <c r="C4068">
        <v>11221</v>
      </c>
      <c r="D4068" t="str">
        <f>"15120502    "</f>
        <v xml:space="preserve">15120502    </v>
      </c>
      <c r="E4068" t="s">
        <v>381</v>
      </c>
      <c r="F4068" t="s">
        <v>382</v>
      </c>
      <c r="G4068">
        <v>55.9</v>
      </c>
      <c r="H4068">
        <v>250815</v>
      </c>
      <c r="I4068">
        <v>4580</v>
      </c>
      <c r="J4068" t="s">
        <v>126</v>
      </c>
      <c r="K4068">
        <v>325.64999999999998</v>
      </c>
      <c r="L4068">
        <v>11.36</v>
      </c>
      <c r="M4068">
        <v>17711</v>
      </c>
      <c r="N4068" t="s">
        <v>155</v>
      </c>
      <c r="O4068">
        <v>250902</v>
      </c>
      <c r="P4068">
        <v>44.54</v>
      </c>
    </row>
    <row r="4069" spans="1:16" x14ac:dyDescent="0.25">
      <c r="A4069" t="s">
        <v>3296</v>
      </c>
      <c r="B4069" t="s">
        <v>2931</v>
      </c>
      <c r="C4069">
        <v>11599</v>
      </c>
      <c r="D4069" t="str">
        <f>"15129912    "</f>
        <v xml:space="preserve">15129912    </v>
      </c>
      <c r="E4069" t="s">
        <v>381</v>
      </c>
      <c r="F4069" t="s">
        <v>382</v>
      </c>
      <c r="G4069">
        <v>42.97</v>
      </c>
      <c r="H4069">
        <v>250831</v>
      </c>
      <c r="I4069">
        <v>4580</v>
      </c>
      <c r="J4069" t="s">
        <v>126</v>
      </c>
      <c r="K4069">
        <v>1061.1500000000001</v>
      </c>
      <c r="L4069">
        <v>8.73</v>
      </c>
      <c r="M4069">
        <v>67522</v>
      </c>
      <c r="N4069" t="s">
        <v>121</v>
      </c>
      <c r="O4069">
        <v>250909</v>
      </c>
      <c r="P4069">
        <v>34.24</v>
      </c>
    </row>
    <row r="4070" spans="1:16" x14ac:dyDescent="0.25">
      <c r="A4070" t="s">
        <v>3296</v>
      </c>
      <c r="B4070" t="s">
        <v>2931</v>
      </c>
      <c r="C4070">
        <v>11599</v>
      </c>
      <c r="D4070" t="str">
        <f>"15129912    "</f>
        <v xml:space="preserve">15129912    </v>
      </c>
      <c r="E4070" t="s">
        <v>381</v>
      </c>
      <c r="F4070" t="s">
        <v>382</v>
      </c>
      <c r="G4070">
        <v>534.44000000000005</v>
      </c>
      <c r="H4070">
        <v>250831</v>
      </c>
      <c r="I4070">
        <v>4580</v>
      </c>
      <c r="J4070" t="s">
        <v>126</v>
      </c>
      <c r="K4070">
        <v>1061.1500000000001</v>
      </c>
      <c r="L4070">
        <v>108.59</v>
      </c>
      <c r="M4070">
        <v>67554</v>
      </c>
      <c r="N4070" t="s">
        <v>317</v>
      </c>
      <c r="O4070">
        <v>250909</v>
      </c>
      <c r="P4070">
        <v>425.85</v>
      </c>
    </row>
    <row r="4071" spans="1:16" x14ac:dyDescent="0.25">
      <c r="A4071" t="s">
        <v>3296</v>
      </c>
      <c r="B4071" t="s">
        <v>2931</v>
      </c>
      <c r="C4071">
        <v>12449</v>
      </c>
      <c r="D4071" t="str">
        <f>"15139473    "</f>
        <v xml:space="preserve">15139473    </v>
      </c>
      <c r="E4071" t="s">
        <v>381</v>
      </c>
      <c r="F4071" t="s">
        <v>382</v>
      </c>
      <c r="G4071">
        <v>155</v>
      </c>
      <c r="H4071">
        <v>250916</v>
      </c>
      <c r="I4071">
        <v>4580</v>
      </c>
      <c r="J4071" t="s">
        <v>126</v>
      </c>
      <c r="K4071">
        <v>484</v>
      </c>
      <c r="L4071">
        <v>31.49</v>
      </c>
      <c r="M4071">
        <v>69501</v>
      </c>
      <c r="N4071" t="s">
        <v>123</v>
      </c>
      <c r="O4071">
        <v>250922</v>
      </c>
      <c r="P4071">
        <v>123.51</v>
      </c>
    </row>
    <row r="4072" spans="1:16" x14ac:dyDescent="0.25">
      <c r="A4072" t="s">
        <v>3296</v>
      </c>
      <c r="B4072" t="s">
        <v>2931</v>
      </c>
      <c r="C4072">
        <v>15704</v>
      </c>
      <c r="D4072" t="str">
        <f>"15169614    "</f>
        <v xml:space="preserve">15169614    </v>
      </c>
      <c r="E4072" t="s">
        <v>381</v>
      </c>
      <c r="F4072" t="s">
        <v>382</v>
      </c>
      <c r="G4072">
        <v>118.16</v>
      </c>
      <c r="H4072">
        <v>251114</v>
      </c>
      <c r="I4072">
        <v>4580</v>
      </c>
      <c r="J4072" t="s">
        <v>126</v>
      </c>
      <c r="K4072">
        <v>627.33000000000004</v>
      </c>
      <c r="L4072">
        <v>24.01</v>
      </c>
      <c r="M4072">
        <v>17711</v>
      </c>
      <c r="N4072" t="s">
        <v>155</v>
      </c>
      <c r="O4072">
        <v>251125</v>
      </c>
      <c r="P4072">
        <v>94.15</v>
      </c>
    </row>
    <row r="4073" spans="1:16" x14ac:dyDescent="0.25">
      <c r="A4073" t="s">
        <v>3296</v>
      </c>
      <c r="B4073" t="s">
        <v>2931</v>
      </c>
      <c r="C4073">
        <v>17206</v>
      </c>
      <c r="D4073" t="str">
        <f>"04500171/1  "</f>
        <v xml:space="preserve">04500171/1  </v>
      </c>
      <c r="E4073" t="s">
        <v>381</v>
      </c>
      <c r="F4073" t="s">
        <v>382</v>
      </c>
      <c r="G4073">
        <v>1836</v>
      </c>
      <c r="H4073">
        <v>251211</v>
      </c>
      <c r="I4073">
        <v>4580</v>
      </c>
      <c r="J4073" t="s">
        <v>126</v>
      </c>
      <c r="K4073">
        <v>1836</v>
      </c>
      <c r="L4073">
        <v>373.05</v>
      </c>
      <c r="M4073">
        <v>13801</v>
      </c>
      <c r="N4073" t="s">
        <v>33</v>
      </c>
      <c r="O4073">
        <v>251218</v>
      </c>
      <c r="P4073">
        <v>1462.95</v>
      </c>
    </row>
    <row r="4074" spans="1:16" x14ac:dyDescent="0.25">
      <c r="A4074" t="s">
        <v>3296</v>
      </c>
      <c r="B4074" t="s">
        <v>2931</v>
      </c>
      <c r="C4074">
        <v>17324</v>
      </c>
      <c r="D4074" t="str">
        <f>"15182049    "</f>
        <v xml:space="preserve">15182049    </v>
      </c>
      <c r="E4074" t="s">
        <v>381</v>
      </c>
      <c r="F4074" t="s">
        <v>382</v>
      </c>
      <c r="G4074">
        <v>34.97</v>
      </c>
      <c r="H4074">
        <v>251215</v>
      </c>
      <c r="I4074">
        <v>4580</v>
      </c>
      <c r="J4074" t="s">
        <v>126</v>
      </c>
      <c r="K4074">
        <v>100.91</v>
      </c>
      <c r="L4074">
        <v>7.11</v>
      </c>
      <c r="M4074">
        <v>67522</v>
      </c>
      <c r="N4074" t="s">
        <v>121</v>
      </c>
      <c r="O4074">
        <v>251219</v>
      </c>
      <c r="P4074">
        <v>27.86</v>
      </c>
    </row>
    <row r="4075" spans="1:16" x14ac:dyDescent="0.25">
      <c r="A4075" t="s">
        <v>3296</v>
      </c>
      <c r="B4075" t="s">
        <v>2931</v>
      </c>
      <c r="C4075">
        <v>1342</v>
      </c>
      <c r="D4075" t="str">
        <f>"15008474    "</f>
        <v xml:space="preserve">15008474    </v>
      </c>
      <c r="E4075" t="s">
        <v>381</v>
      </c>
      <c r="F4075" t="s">
        <v>382</v>
      </c>
      <c r="G4075">
        <v>277.02</v>
      </c>
      <c r="H4075">
        <v>250131</v>
      </c>
      <c r="I4075">
        <v>4590</v>
      </c>
      <c r="J4075" t="s">
        <v>388</v>
      </c>
      <c r="K4075">
        <v>277.02</v>
      </c>
      <c r="L4075">
        <v>56.29</v>
      </c>
      <c r="M4075">
        <v>17806</v>
      </c>
      <c r="N4075" t="s">
        <v>22</v>
      </c>
      <c r="O4075">
        <v>250207</v>
      </c>
      <c r="P4075">
        <v>220.73</v>
      </c>
    </row>
    <row r="4076" spans="1:16" x14ac:dyDescent="0.25">
      <c r="A4076" t="s">
        <v>3296</v>
      </c>
      <c r="B4076" t="s">
        <v>2931</v>
      </c>
      <c r="C4076">
        <v>4391</v>
      </c>
      <c r="D4076" t="str">
        <f>"15029647    "</f>
        <v xml:space="preserve">15029647    </v>
      </c>
      <c r="E4076" t="s">
        <v>381</v>
      </c>
      <c r="F4076" t="s">
        <v>382</v>
      </c>
      <c r="G4076">
        <v>127.61</v>
      </c>
      <c r="H4076">
        <v>250331</v>
      </c>
      <c r="I4076">
        <v>4590</v>
      </c>
      <c r="J4076" t="s">
        <v>388</v>
      </c>
      <c r="K4076">
        <v>127.61</v>
      </c>
      <c r="L4076">
        <v>25.93</v>
      </c>
      <c r="M4076">
        <v>17806</v>
      </c>
      <c r="N4076" t="s">
        <v>22</v>
      </c>
      <c r="O4076">
        <v>250411</v>
      </c>
      <c r="P4076">
        <v>101.68</v>
      </c>
    </row>
    <row r="4077" spans="1:16" x14ac:dyDescent="0.25">
      <c r="A4077" t="s">
        <v>3296</v>
      </c>
      <c r="B4077" t="s">
        <v>2931</v>
      </c>
      <c r="C4077">
        <v>5415</v>
      </c>
      <c r="D4077" t="str">
        <f>"15038393    "</f>
        <v xml:space="preserve">15038393    </v>
      </c>
      <c r="E4077" t="s">
        <v>381</v>
      </c>
      <c r="F4077" t="s">
        <v>382</v>
      </c>
      <c r="G4077">
        <v>20.12</v>
      </c>
      <c r="H4077">
        <v>250415</v>
      </c>
      <c r="I4077">
        <v>4590</v>
      </c>
      <c r="J4077" t="s">
        <v>388</v>
      </c>
      <c r="K4077">
        <v>20.12</v>
      </c>
      <c r="L4077">
        <v>4.09</v>
      </c>
      <c r="M4077">
        <v>17952</v>
      </c>
      <c r="N4077" t="s">
        <v>157</v>
      </c>
      <c r="O4077">
        <v>250424</v>
      </c>
      <c r="P4077">
        <v>16.03</v>
      </c>
    </row>
    <row r="4078" spans="1:16" x14ac:dyDescent="0.25">
      <c r="A4078" t="s">
        <v>3296</v>
      </c>
      <c r="B4078" t="s">
        <v>2931</v>
      </c>
      <c r="C4078">
        <v>5942</v>
      </c>
      <c r="D4078" t="str">
        <f>"15049175    "</f>
        <v xml:space="preserve">15049175    </v>
      </c>
      <c r="E4078" t="s">
        <v>381</v>
      </c>
      <c r="F4078" t="s">
        <v>382</v>
      </c>
      <c r="G4078">
        <v>157.28</v>
      </c>
      <c r="H4078">
        <v>250430</v>
      </c>
      <c r="I4078">
        <v>4590</v>
      </c>
      <c r="J4078" t="s">
        <v>388</v>
      </c>
      <c r="K4078">
        <v>164.84</v>
      </c>
      <c r="L4078">
        <v>31.96</v>
      </c>
      <c r="M4078">
        <v>17952</v>
      </c>
      <c r="N4078" t="s">
        <v>157</v>
      </c>
      <c r="O4078">
        <v>250507</v>
      </c>
      <c r="P4078">
        <v>125.32</v>
      </c>
    </row>
    <row r="4079" spans="1:16" x14ac:dyDescent="0.25">
      <c r="A4079" t="s">
        <v>3296</v>
      </c>
      <c r="B4079" t="s">
        <v>2931</v>
      </c>
      <c r="C4079">
        <v>7178</v>
      </c>
      <c r="D4079" t="str">
        <f>"15060759    "</f>
        <v xml:space="preserve">15060759    </v>
      </c>
      <c r="E4079" t="s">
        <v>381</v>
      </c>
      <c r="F4079" t="s">
        <v>382</v>
      </c>
      <c r="G4079">
        <v>125.81</v>
      </c>
      <c r="H4079">
        <v>250515</v>
      </c>
      <c r="I4079">
        <v>4590</v>
      </c>
      <c r="J4079" t="s">
        <v>388</v>
      </c>
      <c r="K4079">
        <v>289.23</v>
      </c>
      <c r="L4079">
        <v>25.56</v>
      </c>
      <c r="M4079">
        <v>17737</v>
      </c>
      <c r="N4079" t="s">
        <v>156</v>
      </c>
      <c r="O4079">
        <v>250526</v>
      </c>
      <c r="P4079">
        <v>100.25</v>
      </c>
    </row>
    <row r="4080" spans="1:16" x14ac:dyDescent="0.25">
      <c r="A4080" t="s">
        <v>3296</v>
      </c>
      <c r="B4080" t="s">
        <v>2931</v>
      </c>
      <c r="C4080">
        <v>14488</v>
      </c>
      <c r="D4080" t="str">
        <f>"15163386    "</f>
        <v xml:space="preserve">15163386    </v>
      </c>
      <c r="E4080" t="s">
        <v>381</v>
      </c>
      <c r="F4080" t="s">
        <v>382</v>
      </c>
      <c r="G4080">
        <v>151.37</v>
      </c>
      <c r="H4080">
        <v>251031</v>
      </c>
      <c r="I4080">
        <v>4590</v>
      </c>
      <c r="J4080" t="s">
        <v>388</v>
      </c>
      <c r="K4080">
        <v>177.35</v>
      </c>
      <c r="L4080">
        <v>30.76</v>
      </c>
      <c r="M4080">
        <v>17806</v>
      </c>
      <c r="N4080" t="s">
        <v>22</v>
      </c>
      <c r="O4080">
        <v>251103</v>
      </c>
      <c r="P4080">
        <v>120.61</v>
      </c>
    </row>
    <row r="4081" spans="1:16" x14ac:dyDescent="0.25">
      <c r="A4081" t="s">
        <v>3296</v>
      </c>
      <c r="B4081" t="s">
        <v>2931</v>
      </c>
      <c r="C4081">
        <v>15704</v>
      </c>
      <c r="D4081" t="str">
        <f>"15169614    "</f>
        <v xml:space="preserve">15169614    </v>
      </c>
      <c r="E4081" t="s">
        <v>381</v>
      </c>
      <c r="F4081" t="s">
        <v>382</v>
      </c>
      <c r="G4081">
        <v>415.34</v>
      </c>
      <c r="H4081">
        <v>251114</v>
      </c>
      <c r="I4081">
        <v>4590</v>
      </c>
      <c r="J4081" t="s">
        <v>388</v>
      </c>
      <c r="K4081">
        <v>627.33000000000004</v>
      </c>
      <c r="L4081">
        <v>84.39</v>
      </c>
      <c r="M4081">
        <v>17816</v>
      </c>
      <c r="N4081" t="s">
        <v>2504</v>
      </c>
      <c r="O4081">
        <v>251125</v>
      </c>
      <c r="P4081">
        <v>330.95</v>
      </c>
    </row>
    <row r="4082" spans="1:16" x14ac:dyDescent="0.25">
      <c r="A4082" t="s">
        <v>3296</v>
      </c>
      <c r="B4082" t="s">
        <v>2931</v>
      </c>
      <c r="C4082">
        <v>330</v>
      </c>
      <c r="D4082" t="str">
        <f>"15003140    "</f>
        <v xml:space="preserve">15003140    </v>
      </c>
      <c r="E4082" t="s">
        <v>381</v>
      </c>
      <c r="F4082" t="s">
        <v>382</v>
      </c>
      <c r="G4082">
        <v>64.72</v>
      </c>
      <c r="H4082">
        <v>250115</v>
      </c>
      <c r="I4082">
        <v>4600</v>
      </c>
      <c r="J4082" t="s">
        <v>278</v>
      </c>
      <c r="K4082">
        <v>64.72</v>
      </c>
      <c r="L4082">
        <v>13.15</v>
      </c>
      <c r="M4082">
        <v>17711</v>
      </c>
      <c r="N4082" t="s">
        <v>155</v>
      </c>
      <c r="O4082">
        <v>250121</v>
      </c>
      <c r="P4082">
        <v>51.57</v>
      </c>
    </row>
    <row r="4083" spans="1:16" x14ac:dyDescent="0.25">
      <c r="A4083" t="s">
        <v>3296</v>
      </c>
      <c r="B4083" t="s">
        <v>2931</v>
      </c>
      <c r="C4083">
        <v>1245</v>
      </c>
      <c r="D4083" t="str">
        <f>"15008473    "</f>
        <v xml:space="preserve">15008473    </v>
      </c>
      <c r="E4083" t="s">
        <v>381</v>
      </c>
      <c r="F4083" t="s">
        <v>382</v>
      </c>
      <c r="G4083">
        <v>26.97</v>
      </c>
      <c r="H4083">
        <v>250131</v>
      </c>
      <c r="I4083">
        <v>4600</v>
      </c>
      <c r="J4083" t="s">
        <v>278</v>
      </c>
      <c r="K4083">
        <v>126.54</v>
      </c>
      <c r="L4083">
        <v>5.48</v>
      </c>
      <c r="M4083">
        <v>17711</v>
      </c>
      <c r="N4083" t="s">
        <v>155</v>
      </c>
      <c r="O4083">
        <v>250206</v>
      </c>
      <c r="P4083">
        <v>21.49</v>
      </c>
    </row>
    <row r="4084" spans="1:16" x14ac:dyDescent="0.25">
      <c r="A4084" t="s">
        <v>3296</v>
      </c>
      <c r="B4084" t="s">
        <v>2931</v>
      </c>
      <c r="C4084">
        <v>2749</v>
      </c>
      <c r="D4084" t="str">
        <f>"15017713    "</f>
        <v xml:space="preserve">15017713    </v>
      </c>
      <c r="E4084" t="s">
        <v>381</v>
      </c>
      <c r="F4084" t="s">
        <v>382</v>
      </c>
      <c r="G4084">
        <v>8.19</v>
      </c>
      <c r="H4084">
        <v>250228</v>
      </c>
      <c r="I4084">
        <v>4600</v>
      </c>
      <c r="J4084" t="s">
        <v>278</v>
      </c>
      <c r="K4084">
        <v>31.21</v>
      </c>
      <c r="L4084">
        <v>1.66</v>
      </c>
      <c r="M4084">
        <v>17711</v>
      </c>
      <c r="N4084" t="s">
        <v>155</v>
      </c>
      <c r="O4084">
        <v>250311</v>
      </c>
      <c r="P4084">
        <v>6.53</v>
      </c>
    </row>
    <row r="4085" spans="1:16" x14ac:dyDescent="0.25">
      <c r="A4085" t="s">
        <v>3296</v>
      </c>
      <c r="B4085" t="s">
        <v>2931</v>
      </c>
      <c r="C4085">
        <v>2752</v>
      </c>
      <c r="D4085" t="str">
        <f>"15017714    "</f>
        <v xml:space="preserve">15017714    </v>
      </c>
      <c r="E4085" t="s">
        <v>381</v>
      </c>
      <c r="F4085" t="s">
        <v>382</v>
      </c>
      <c r="G4085">
        <v>69.95</v>
      </c>
      <c r="H4085">
        <v>250228</v>
      </c>
      <c r="I4085">
        <v>4600</v>
      </c>
      <c r="J4085" t="s">
        <v>278</v>
      </c>
      <c r="K4085">
        <v>69.95</v>
      </c>
      <c r="L4085">
        <v>14.21</v>
      </c>
      <c r="M4085">
        <v>67554</v>
      </c>
      <c r="N4085" t="s">
        <v>317</v>
      </c>
      <c r="O4085">
        <v>250311</v>
      </c>
      <c r="P4085">
        <v>55.74</v>
      </c>
    </row>
    <row r="4086" spans="1:16" x14ac:dyDescent="0.25">
      <c r="A4086" t="s">
        <v>3296</v>
      </c>
      <c r="B4086" t="s">
        <v>2931</v>
      </c>
      <c r="C4086">
        <v>3577</v>
      </c>
      <c r="D4086" t="str">
        <f>"15022887    "</f>
        <v xml:space="preserve">15022887    </v>
      </c>
      <c r="E4086" t="s">
        <v>381</v>
      </c>
      <c r="F4086" t="s">
        <v>382</v>
      </c>
      <c r="G4086">
        <v>69.95</v>
      </c>
      <c r="H4086">
        <v>250314</v>
      </c>
      <c r="I4086">
        <v>4600</v>
      </c>
      <c r="J4086" t="s">
        <v>278</v>
      </c>
      <c r="K4086">
        <v>139.9</v>
      </c>
      <c r="L4086">
        <v>14.21</v>
      </c>
      <c r="M4086">
        <v>67522</v>
      </c>
      <c r="N4086" t="s">
        <v>121</v>
      </c>
      <c r="O4086">
        <v>250325</v>
      </c>
      <c r="P4086">
        <v>55.74</v>
      </c>
    </row>
    <row r="4087" spans="1:16" x14ac:dyDescent="0.25">
      <c r="A4087" t="s">
        <v>3296</v>
      </c>
      <c r="B4087" t="s">
        <v>2931</v>
      </c>
      <c r="C4087">
        <v>3577</v>
      </c>
      <c r="D4087" t="str">
        <f>"15022887    "</f>
        <v xml:space="preserve">15022887    </v>
      </c>
      <c r="E4087" t="s">
        <v>381</v>
      </c>
      <c r="F4087" t="s">
        <v>382</v>
      </c>
      <c r="G4087">
        <v>69.95</v>
      </c>
      <c r="H4087">
        <v>250314</v>
      </c>
      <c r="I4087">
        <v>4600</v>
      </c>
      <c r="J4087" t="s">
        <v>278</v>
      </c>
      <c r="K4087">
        <v>139.9</v>
      </c>
      <c r="L4087">
        <v>14.21</v>
      </c>
      <c r="M4087">
        <v>67554</v>
      </c>
      <c r="N4087" t="s">
        <v>317</v>
      </c>
      <c r="O4087">
        <v>250325</v>
      </c>
      <c r="P4087">
        <v>55.74</v>
      </c>
    </row>
    <row r="4088" spans="1:16" x14ac:dyDescent="0.25">
      <c r="A4088" t="s">
        <v>3296</v>
      </c>
      <c r="B4088" t="s">
        <v>2931</v>
      </c>
      <c r="C4088">
        <v>3589</v>
      </c>
      <c r="D4088" t="str">
        <f>"15022886    "</f>
        <v xml:space="preserve">15022886    </v>
      </c>
      <c r="E4088" t="s">
        <v>381</v>
      </c>
      <c r="F4088" t="s">
        <v>382</v>
      </c>
      <c r="G4088">
        <v>49.95</v>
      </c>
      <c r="H4088">
        <v>250314</v>
      </c>
      <c r="I4088">
        <v>4600</v>
      </c>
      <c r="J4088" t="s">
        <v>278</v>
      </c>
      <c r="K4088">
        <v>127.77</v>
      </c>
      <c r="L4088">
        <v>10.15</v>
      </c>
      <c r="M4088">
        <v>17737</v>
      </c>
      <c r="N4088" t="s">
        <v>156</v>
      </c>
      <c r="O4088">
        <v>250325</v>
      </c>
      <c r="P4088">
        <v>39.799999999999997</v>
      </c>
    </row>
    <row r="4089" spans="1:16" x14ac:dyDescent="0.25">
      <c r="A4089" t="s">
        <v>3296</v>
      </c>
      <c r="B4089" t="s">
        <v>2931</v>
      </c>
      <c r="C4089">
        <v>4468</v>
      </c>
      <c r="D4089" t="str">
        <f>"15029648    "</f>
        <v xml:space="preserve">15029648    </v>
      </c>
      <c r="E4089" t="s">
        <v>381</v>
      </c>
      <c r="F4089" t="s">
        <v>382</v>
      </c>
      <c r="G4089">
        <v>139.9</v>
      </c>
      <c r="H4089">
        <v>250331</v>
      </c>
      <c r="I4089">
        <v>4600</v>
      </c>
      <c r="J4089" t="s">
        <v>278</v>
      </c>
      <c r="K4089">
        <v>183.8</v>
      </c>
      <c r="L4089">
        <v>28.43</v>
      </c>
      <c r="M4089">
        <v>17711</v>
      </c>
      <c r="N4089" t="s">
        <v>155</v>
      </c>
      <c r="O4089">
        <v>250411</v>
      </c>
      <c r="P4089">
        <v>111.47</v>
      </c>
    </row>
    <row r="4090" spans="1:16" x14ac:dyDescent="0.25">
      <c r="A4090" t="s">
        <v>3296</v>
      </c>
      <c r="B4090" t="s">
        <v>2931</v>
      </c>
      <c r="C4090">
        <v>5383</v>
      </c>
      <c r="D4090" t="str">
        <f>"15038395    "</f>
        <v xml:space="preserve">15038395    </v>
      </c>
      <c r="E4090" t="s">
        <v>381</v>
      </c>
      <c r="F4090" t="s">
        <v>382</v>
      </c>
      <c r="G4090">
        <v>8.35</v>
      </c>
      <c r="H4090">
        <v>250415</v>
      </c>
      <c r="I4090">
        <v>4600</v>
      </c>
      <c r="J4090" t="s">
        <v>278</v>
      </c>
      <c r="K4090">
        <v>98.3</v>
      </c>
      <c r="L4090">
        <v>1.7</v>
      </c>
      <c r="M4090">
        <v>17711</v>
      </c>
      <c r="N4090" t="s">
        <v>155</v>
      </c>
      <c r="O4090">
        <v>250424</v>
      </c>
      <c r="P4090">
        <v>6.65</v>
      </c>
    </row>
    <row r="4091" spans="1:16" x14ac:dyDescent="0.25">
      <c r="A4091" t="s">
        <v>3296</v>
      </c>
      <c r="B4091" t="s">
        <v>2931</v>
      </c>
      <c r="C4091">
        <v>5396</v>
      </c>
      <c r="D4091" t="str">
        <f>"15038394    "</f>
        <v xml:space="preserve">15038394    </v>
      </c>
      <c r="E4091" t="s">
        <v>381</v>
      </c>
      <c r="F4091" t="s">
        <v>382</v>
      </c>
      <c r="G4091">
        <v>5.99</v>
      </c>
      <c r="H4091">
        <v>250415</v>
      </c>
      <c r="I4091">
        <v>4600</v>
      </c>
      <c r="J4091" t="s">
        <v>278</v>
      </c>
      <c r="K4091">
        <v>5.99</v>
      </c>
      <c r="L4091">
        <v>1.22</v>
      </c>
      <c r="M4091">
        <v>17952</v>
      </c>
      <c r="N4091" t="s">
        <v>157</v>
      </c>
      <c r="O4091">
        <v>250424</v>
      </c>
      <c r="P4091">
        <v>4.7699999999999996</v>
      </c>
    </row>
    <row r="4092" spans="1:16" x14ac:dyDescent="0.25">
      <c r="A4092" t="s">
        <v>3296</v>
      </c>
      <c r="B4092" t="s">
        <v>2931</v>
      </c>
      <c r="C4092">
        <v>5942</v>
      </c>
      <c r="D4092" t="str">
        <f>"15049175    "</f>
        <v xml:space="preserve">15049175    </v>
      </c>
      <c r="E4092" t="s">
        <v>381</v>
      </c>
      <c r="F4092" t="s">
        <v>382</v>
      </c>
      <c r="G4092">
        <v>7.56</v>
      </c>
      <c r="H4092">
        <v>250430</v>
      </c>
      <c r="I4092">
        <v>4600</v>
      </c>
      <c r="J4092" t="s">
        <v>278</v>
      </c>
      <c r="K4092">
        <v>164.84</v>
      </c>
      <c r="L4092">
        <v>1.54</v>
      </c>
      <c r="M4092">
        <v>17952</v>
      </c>
      <c r="N4092" t="s">
        <v>157</v>
      </c>
      <c r="O4092">
        <v>250507</v>
      </c>
      <c r="P4092">
        <v>6.02</v>
      </c>
    </row>
    <row r="4093" spans="1:16" x14ac:dyDescent="0.25">
      <c r="A4093" t="s">
        <v>3296</v>
      </c>
      <c r="B4093" t="s">
        <v>2931</v>
      </c>
      <c r="C4093">
        <v>6042</v>
      </c>
      <c r="D4093" t="str">
        <f>"15049178    "</f>
        <v xml:space="preserve">15049178    </v>
      </c>
      <c r="E4093" t="s">
        <v>381</v>
      </c>
      <c r="F4093" t="s">
        <v>382</v>
      </c>
      <c r="G4093">
        <v>41.95</v>
      </c>
      <c r="H4093">
        <v>250430</v>
      </c>
      <c r="I4093">
        <v>4600</v>
      </c>
      <c r="J4093" t="s">
        <v>278</v>
      </c>
      <c r="K4093">
        <v>73.95</v>
      </c>
      <c r="L4093">
        <v>8.52</v>
      </c>
      <c r="M4093">
        <v>69501</v>
      </c>
      <c r="N4093" t="s">
        <v>123</v>
      </c>
      <c r="O4093">
        <v>250508</v>
      </c>
      <c r="P4093">
        <v>33.43</v>
      </c>
    </row>
    <row r="4094" spans="1:16" x14ac:dyDescent="0.25">
      <c r="A4094" t="s">
        <v>3296</v>
      </c>
      <c r="B4094" t="s">
        <v>2931</v>
      </c>
      <c r="C4094">
        <v>6312</v>
      </c>
      <c r="D4094" t="str">
        <f>"15054046    "</f>
        <v xml:space="preserve">15054046    </v>
      </c>
      <c r="E4094" t="s">
        <v>381</v>
      </c>
      <c r="F4094" t="s">
        <v>382</v>
      </c>
      <c r="G4094">
        <v>33.32</v>
      </c>
      <c r="H4094">
        <v>250506</v>
      </c>
      <c r="I4094">
        <v>4600</v>
      </c>
      <c r="J4094" t="s">
        <v>278</v>
      </c>
      <c r="K4094">
        <v>1111.06</v>
      </c>
      <c r="L4094">
        <v>6.77</v>
      </c>
      <c r="M4094">
        <v>67554</v>
      </c>
      <c r="N4094" t="s">
        <v>317</v>
      </c>
      <c r="O4094">
        <v>250512</v>
      </c>
      <c r="P4094">
        <v>26.55</v>
      </c>
    </row>
    <row r="4095" spans="1:16" x14ac:dyDescent="0.25">
      <c r="A4095" t="s">
        <v>3296</v>
      </c>
      <c r="B4095" t="s">
        <v>2931</v>
      </c>
      <c r="C4095">
        <v>7000</v>
      </c>
      <c r="D4095" t="str">
        <f>"15060758    "</f>
        <v xml:space="preserve">15060758    </v>
      </c>
      <c r="E4095" t="s">
        <v>381</v>
      </c>
      <c r="F4095" t="s">
        <v>382</v>
      </c>
      <c r="G4095">
        <v>56.35</v>
      </c>
      <c r="H4095">
        <v>250515</v>
      </c>
      <c r="I4095">
        <v>4600</v>
      </c>
      <c r="J4095" t="s">
        <v>278</v>
      </c>
      <c r="K4095">
        <v>68.84</v>
      </c>
      <c r="L4095">
        <v>11.45</v>
      </c>
      <c r="M4095">
        <v>17711</v>
      </c>
      <c r="N4095" t="s">
        <v>155</v>
      </c>
      <c r="O4095">
        <v>250521</v>
      </c>
      <c r="P4095">
        <v>44.9</v>
      </c>
    </row>
    <row r="4096" spans="1:16" x14ac:dyDescent="0.25">
      <c r="A4096" t="s">
        <v>3296</v>
      </c>
      <c r="B4096" t="s">
        <v>2931</v>
      </c>
      <c r="C4096">
        <v>8106</v>
      </c>
      <c r="D4096" t="str">
        <f>"15072215    "</f>
        <v xml:space="preserve">15072215    </v>
      </c>
      <c r="E4096" t="s">
        <v>381</v>
      </c>
      <c r="F4096" t="s">
        <v>382</v>
      </c>
      <c r="G4096">
        <v>250.32</v>
      </c>
      <c r="H4096">
        <v>250531</v>
      </c>
      <c r="I4096">
        <v>4600</v>
      </c>
      <c r="J4096" t="s">
        <v>278</v>
      </c>
      <c r="K4096">
        <v>250.32</v>
      </c>
      <c r="L4096">
        <v>50.86</v>
      </c>
      <c r="M4096">
        <v>67554</v>
      </c>
      <c r="N4096" t="s">
        <v>317</v>
      </c>
      <c r="O4096">
        <v>250611</v>
      </c>
      <c r="P4096">
        <v>199.46</v>
      </c>
    </row>
    <row r="4097" spans="1:16" x14ac:dyDescent="0.25">
      <c r="A4097" t="s">
        <v>3296</v>
      </c>
      <c r="B4097" t="s">
        <v>2931</v>
      </c>
      <c r="C4097">
        <v>8826</v>
      </c>
      <c r="D4097" t="str">
        <f>"15082393    "</f>
        <v xml:space="preserve">15082393    </v>
      </c>
      <c r="E4097" t="s">
        <v>381</v>
      </c>
      <c r="F4097" t="s">
        <v>382</v>
      </c>
      <c r="G4097">
        <v>180.75</v>
      </c>
      <c r="H4097">
        <v>250613</v>
      </c>
      <c r="I4097">
        <v>4600</v>
      </c>
      <c r="J4097" t="s">
        <v>278</v>
      </c>
      <c r="K4097">
        <v>180.75</v>
      </c>
      <c r="L4097">
        <v>36.729999999999997</v>
      </c>
      <c r="M4097">
        <v>67554</v>
      </c>
      <c r="N4097" t="s">
        <v>317</v>
      </c>
      <c r="O4097">
        <v>250618</v>
      </c>
      <c r="P4097">
        <v>144.02000000000001</v>
      </c>
    </row>
    <row r="4098" spans="1:16" x14ac:dyDescent="0.25">
      <c r="A4098" t="s">
        <v>3296</v>
      </c>
      <c r="B4098" t="s">
        <v>2931</v>
      </c>
      <c r="C4098">
        <v>9019</v>
      </c>
      <c r="D4098" t="str">
        <f>"15082390    "</f>
        <v xml:space="preserve">15082390    </v>
      </c>
      <c r="E4098" t="s">
        <v>381</v>
      </c>
      <c r="F4098" t="s">
        <v>382</v>
      </c>
      <c r="G4098">
        <v>19.98</v>
      </c>
      <c r="H4098">
        <v>250613</v>
      </c>
      <c r="I4098">
        <v>4600</v>
      </c>
      <c r="J4098" t="s">
        <v>278</v>
      </c>
      <c r="K4098">
        <v>19.98</v>
      </c>
      <c r="L4098">
        <v>4.0599999999999996</v>
      </c>
      <c r="M4098">
        <v>17951</v>
      </c>
      <c r="N4098" t="s">
        <v>207</v>
      </c>
      <c r="O4098">
        <v>250625</v>
      </c>
      <c r="P4098">
        <v>15.92</v>
      </c>
    </row>
    <row r="4099" spans="1:16" x14ac:dyDescent="0.25">
      <c r="A4099" t="s">
        <v>3296</v>
      </c>
      <c r="B4099" t="s">
        <v>2931</v>
      </c>
      <c r="C4099">
        <v>9035</v>
      </c>
      <c r="D4099" t="str">
        <f>"15082392    "</f>
        <v xml:space="preserve">15082392    </v>
      </c>
      <c r="E4099" t="s">
        <v>381</v>
      </c>
      <c r="F4099" t="s">
        <v>382</v>
      </c>
      <c r="G4099">
        <v>75</v>
      </c>
      <c r="H4099">
        <v>250613</v>
      </c>
      <c r="I4099">
        <v>4600</v>
      </c>
      <c r="J4099" t="s">
        <v>278</v>
      </c>
      <c r="K4099">
        <v>75</v>
      </c>
      <c r="L4099">
        <v>15.24</v>
      </c>
      <c r="M4099">
        <v>67554</v>
      </c>
      <c r="N4099" t="s">
        <v>317</v>
      </c>
      <c r="O4099">
        <v>250626</v>
      </c>
      <c r="P4099">
        <v>59.76</v>
      </c>
    </row>
    <row r="4100" spans="1:16" x14ac:dyDescent="0.25">
      <c r="A4100" t="s">
        <v>3296</v>
      </c>
      <c r="B4100" t="s">
        <v>2931</v>
      </c>
      <c r="C4100">
        <v>9041</v>
      </c>
      <c r="D4100" t="str">
        <f>"15082391    "</f>
        <v xml:space="preserve">15082391    </v>
      </c>
      <c r="E4100" t="s">
        <v>381</v>
      </c>
      <c r="F4100" t="s">
        <v>382</v>
      </c>
      <c r="G4100">
        <v>398</v>
      </c>
      <c r="H4100">
        <v>250613</v>
      </c>
      <c r="I4100">
        <v>4600</v>
      </c>
      <c r="J4100" t="s">
        <v>278</v>
      </c>
      <c r="K4100">
        <v>429.36</v>
      </c>
      <c r="L4100">
        <v>80.87</v>
      </c>
      <c r="M4100">
        <v>17737</v>
      </c>
      <c r="N4100" t="s">
        <v>156</v>
      </c>
      <c r="O4100">
        <v>250626</v>
      </c>
      <c r="P4100">
        <v>317.13</v>
      </c>
    </row>
    <row r="4101" spans="1:16" x14ac:dyDescent="0.25">
      <c r="A4101" t="s">
        <v>3296</v>
      </c>
      <c r="B4101" t="s">
        <v>2931</v>
      </c>
      <c r="C4101">
        <v>9313</v>
      </c>
      <c r="D4101" t="str">
        <f>"15095076    "</f>
        <v xml:space="preserve">15095076    </v>
      </c>
      <c r="E4101" t="s">
        <v>381</v>
      </c>
      <c r="F4101" t="s">
        <v>382</v>
      </c>
      <c r="G4101">
        <v>250.38</v>
      </c>
      <c r="H4101">
        <v>250630</v>
      </c>
      <c r="I4101">
        <v>4600</v>
      </c>
      <c r="J4101" t="s">
        <v>278</v>
      </c>
      <c r="K4101">
        <v>250.38</v>
      </c>
      <c r="L4101">
        <v>50.87</v>
      </c>
      <c r="M4101">
        <v>67554</v>
      </c>
      <c r="N4101" t="s">
        <v>317</v>
      </c>
      <c r="O4101">
        <v>250703</v>
      </c>
      <c r="P4101">
        <v>199.51</v>
      </c>
    </row>
    <row r="4102" spans="1:16" x14ac:dyDescent="0.25">
      <c r="A4102" t="s">
        <v>3296</v>
      </c>
      <c r="B4102" t="s">
        <v>2931</v>
      </c>
      <c r="C4102">
        <v>9391</v>
      </c>
      <c r="D4102" t="str">
        <f>"15095074    "</f>
        <v xml:space="preserve">15095074    </v>
      </c>
      <c r="E4102" t="s">
        <v>381</v>
      </c>
      <c r="F4102" t="s">
        <v>382</v>
      </c>
      <c r="G4102">
        <v>37.94</v>
      </c>
      <c r="H4102">
        <v>250630</v>
      </c>
      <c r="I4102">
        <v>4600</v>
      </c>
      <c r="J4102" t="s">
        <v>278</v>
      </c>
      <c r="K4102">
        <v>963.97</v>
      </c>
      <c r="L4102">
        <v>7.71</v>
      </c>
      <c r="M4102">
        <v>17131</v>
      </c>
      <c r="N4102" t="s">
        <v>154</v>
      </c>
      <c r="O4102">
        <v>250707</v>
      </c>
      <c r="P4102">
        <v>30.23</v>
      </c>
    </row>
    <row r="4103" spans="1:16" x14ac:dyDescent="0.25">
      <c r="A4103" t="s">
        <v>3296</v>
      </c>
      <c r="B4103" t="s">
        <v>2931</v>
      </c>
      <c r="C4103">
        <v>9391</v>
      </c>
      <c r="D4103" t="str">
        <f>"15095074    "</f>
        <v xml:space="preserve">15095074    </v>
      </c>
      <c r="E4103" t="s">
        <v>381</v>
      </c>
      <c r="F4103" t="s">
        <v>382</v>
      </c>
      <c r="G4103">
        <v>167.6</v>
      </c>
      <c r="H4103">
        <v>250630</v>
      </c>
      <c r="I4103">
        <v>4600</v>
      </c>
      <c r="J4103" t="s">
        <v>278</v>
      </c>
      <c r="K4103">
        <v>963.97</v>
      </c>
      <c r="L4103">
        <v>34.049999999999997</v>
      </c>
      <c r="M4103">
        <v>17737</v>
      </c>
      <c r="N4103" t="s">
        <v>156</v>
      </c>
      <c r="O4103">
        <v>250707</v>
      </c>
      <c r="P4103">
        <v>133.55000000000001</v>
      </c>
    </row>
    <row r="4104" spans="1:16" x14ac:dyDescent="0.25">
      <c r="A4104" t="s">
        <v>3296</v>
      </c>
      <c r="B4104" t="s">
        <v>2931</v>
      </c>
      <c r="C4104">
        <v>9391</v>
      </c>
      <c r="D4104" t="str">
        <f>"15095074    "</f>
        <v xml:space="preserve">15095074    </v>
      </c>
      <c r="E4104" t="s">
        <v>381</v>
      </c>
      <c r="F4104" t="s">
        <v>382</v>
      </c>
      <c r="G4104">
        <v>511.76</v>
      </c>
      <c r="H4104">
        <v>250630</v>
      </c>
      <c r="I4104">
        <v>4600</v>
      </c>
      <c r="J4104" t="s">
        <v>278</v>
      </c>
      <c r="K4104">
        <v>963.97</v>
      </c>
      <c r="L4104">
        <v>103.98</v>
      </c>
      <c r="M4104">
        <v>17737</v>
      </c>
      <c r="N4104" t="s">
        <v>156</v>
      </c>
      <c r="O4104">
        <v>250707</v>
      </c>
      <c r="P4104">
        <v>407.78</v>
      </c>
    </row>
    <row r="4105" spans="1:16" x14ac:dyDescent="0.25">
      <c r="A4105" t="s">
        <v>3296</v>
      </c>
      <c r="B4105" t="s">
        <v>2931</v>
      </c>
      <c r="C4105">
        <v>9391</v>
      </c>
      <c r="D4105" t="str">
        <f>"15095074    "</f>
        <v xml:space="preserve">15095074    </v>
      </c>
      <c r="E4105" t="s">
        <v>381</v>
      </c>
      <c r="F4105" t="s">
        <v>382</v>
      </c>
      <c r="G4105">
        <v>111.87</v>
      </c>
      <c r="H4105">
        <v>250630</v>
      </c>
      <c r="I4105">
        <v>4600</v>
      </c>
      <c r="J4105" t="s">
        <v>278</v>
      </c>
      <c r="K4105">
        <v>963.97</v>
      </c>
      <c r="L4105">
        <v>22.73</v>
      </c>
      <c r="M4105">
        <v>17737</v>
      </c>
      <c r="N4105" t="s">
        <v>156</v>
      </c>
      <c r="O4105">
        <v>250707</v>
      </c>
      <c r="P4105">
        <v>89.14</v>
      </c>
    </row>
    <row r="4106" spans="1:16" x14ac:dyDescent="0.25">
      <c r="A4106" t="s">
        <v>3296</v>
      </c>
      <c r="B4106" t="s">
        <v>2931</v>
      </c>
      <c r="C4106">
        <v>9391</v>
      </c>
      <c r="D4106" t="str">
        <f>"15095074    "</f>
        <v xml:space="preserve">15095074    </v>
      </c>
      <c r="E4106" t="s">
        <v>381</v>
      </c>
      <c r="F4106" t="s">
        <v>382</v>
      </c>
      <c r="G4106">
        <v>27.85</v>
      </c>
      <c r="H4106">
        <v>250630</v>
      </c>
      <c r="I4106">
        <v>4600</v>
      </c>
      <c r="J4106" t="s">
        <v>278</v>
      </c>
      <c r="K4106">
        <v>963.97</v>
      </c>
      <c r="L4106">
        <v>5.66</v>
      </c>
      <c r="M4106">
        <v>17951</v>
      </c>
      <c r="N4106" t="s">
        <v>207</v>
      </c>
      <c r="O4106">
        <v>250707</v>
      </c>
      <c r="P4106">
        <v>22.19</v>
      </c>
    </row>
    <row r="4107" spans="1:16" x14ac:dyDescent="0.25">
      <c r="A4107" t="s">
        <v>3296</v>
      </c>
      <c r="B4107" t="s">
        <v>2931</v>
      </c>
      <c r="C4107">
        <v>9729</v>
      </c>
      <c r="D4107" t="str">
        <f>"15104927    "</f>
        <v xml:space="preserve">15104927    </v>
      </c>
      <c r="E4107" t="s">
        <v>381</v>
      </c>
      <c r="F4107" t="s">
        <v>382</v>
      </c>
      <c r="G4107">
        <v>760</v>
      </c>
      <c r="H4107">
        <v>250715</v>
      </c>
      <c r="I4107">
        <v>4600</v>
      </c>
      <c r="J4107" t="s">
        <v>278</v>
      </c>
      <c r="K4107">
        <v>760</v>
      </c>
      <c r="L4107">
        <v>154.41999999999999</v>
      </c>
      <c r="M4107">
        <v>17737</v>
      </c>
      <c r="N4107" t="s">
        <v>156</v>
      </c>
      <c r="O4107">
        <v>250725</v>
      </c>
      <c r="P4107">
        <v>605.58000000000004</v>
      </c>
    </row>
    <row r="4108" spans="1:16" x14ac:dyDescent="0.25">
      <c r="A4108" t="s">
        <v>3296</v>
      </c>
      <c r="B4108" t="s">
        <v>2931</v>
      </c>
      <c r="C4108">
        <v>9758</v>
      </c>
      <c r="D4108" t="str">
        <f>"15104928    "</f>
        <v xml:space="preserve">15104928    </v>
      </c>
      <c r="E4108" t="s">
        <v>381</v>
      </c>
      <c r="F4108" t="s">
        <v>382</v>
      </c>
      <c r="G4108">
        <v>500</v>
      </c>
      <c r="H4108">
        <v>250715</v>
      </c>
      <c r="I4108">
        <v>4600</v>
      </c>
      <c r="J4108" t="s">
        <v>278</v>
      </c>
      <c r="K4108">
        <v>500</v>
      </c>
      <c r="L4108">
        <v>101.59</v>
      </c>
      <c r="M4108">
        <v>67554</v>
      </c>
      <c r="N4108" t="s">
        <v>317</v>
      </c>
      <c r="O4108">
        <v>250728</v>
      </c>
      <c r="P4108">
        <v>398.41</v>
      </c>
    </row>
    <row r="4109" spans="1:16" x14ac:dyDescent="0.25">
      <c r="A4109" t="s">
        <v>3296</v>
      </c>
      <c r="B4109" t="s">
        <v>2931</v>
      </c>
      <c r="C4109">
        <v>9874</v>
      </c>
      <c r="D4109" t="str">
        <f>"15104925    "</f>
        <v xml:space="preserve">15104925    </v>
      </c>
      <c r="E4109" t="s">
        <v>381</v>
      </c>
      <c r="F4109" t="s">
        <v>382</v>
      </c>
      <c r="G4109">
        <v>42.45</v>
      </c>
      <c r="H4109">
        <v>250715</v>
      </c>
      <c r="I4109">
        <v>4600</v>
      </c>
      <c r="J4109" t="s">
        <v>278</v>
      </c>
      <c r="K4109">
        <v>42.45</v>
      </c>
      <c r="L4109">
        <v>8.6300000000000008</v>
      </c>
      <c r="M4109">
        <v>17711</v>
      </c>
      <c r="N4109" t="s">
        <v>155</v>
      </c>
      <c r="O4109">
        <v>250801</v>
      </c>
      <c r="P4109">
        <v>33.82</v>
      </c>
    </row>
    <row r="4110" spans="1:16" x14ac:dyDescent="0.25">
      <c r="A4110" t="s">
        <v>3296</v>
      </c>
      <c r="B4110" t="s">
        <v>2931</v>
      </c>
      <c r="C4110">
        <v>9980</v>
      </c>
      <c r="D4110" t="str">
        <f>"15112544    "</f>
        <v xml:space="preserve">15112544    </v>
      </c>
      <c r="E4110" t="s">
        <v>381</v>
      </c>
      <c r="F4110" t="s">
        <v>382</v>
      </c>
      <c r="G4110">
        <v>193.42</v>
      </c>
      <c r="H4110">
        <v>250731</v>
      </c>
      <c r="I4110">
        <v>4600</v>
      </c>
      <c r="J4110" t="s">
        <v>278</v>
      </c>
      <c r="K4110">
        <v>193.42</v>
      </c>
      <c r="L4110">
        <v>39.299999999999997</v>
      </c>
      <c r="M4110">
        <v>67554</v>
      </c>
      <c r="N4110" t="s">
        <v>317</v>
      </c>
      <c r="O4110">
        <v>250806</v>
      </c>
      <c r="P4110">
        <v>154.12</v>
      </c>
    </row>
    <row r="4111" spans="1:16" x14ac:dyDescent="0.25">
      <c r="A4111" t="s">
        <v>3296</v>
      </c>
      <c r="B4111" t="s">
        <v>2931</v>
      </c>
      <c r="C4111">
        <v>9982</v>
      </c>
      <c r="D4111" t="str">
        <f>"15112545    "</f>
        <v xml:space="preserve">15112545    </v>
      </c>
      <c r="E4111" t="s">
        <v>381</v>
      </c>
      <c r="F4111" t="s">
        <v>382</v>
      </c>
      <c r="G4111">
        <v>110</v>
      </c>
      <c r="H4111">
        <v>250731</v>
      </c>
      <c r="I4111">
        <v>4600</v>
      </c>
      <c r="J4111" t="s">
        <v>278</v>
      </c>
      <c r="K4111">
        <v>140</v>
      </c>
      <c r="L4111">
        <v>22.35</v>
      </c>
      <c r="M4111">
        <v>67554</v>
      </c>
      <c r="N4111" t="s">
        <v>317</v>
      </c>
      <c r="O4111">
        <v>250806</v>
      </c>
      <c r="P4111">
        <v>87.65</v>
      </c>
    </row>
    <row r="4112" spans="1:16" x14ac:dyDescent="0.25">
      <c r="A4112" t="s">
        <v>3296</v>
      </c>
      <c r="B4112" t="s">
        <v>2931</v>
      </c>
      <c r="C4112">
        <v>10508</v>
      </c>
      <c r="D4112" t="str">
        <f>"15120504    "</f>
        <v xml:space="preserve">15120504    </v>
      </c>
      <c r="E4112" t="s">
        <v>381</v>
      </c>
      <c r="F4112" t="s">
        <v>382</v>
      </c>
      <c r="G4112">
        <v>86</v>
      </c>
      <c r="H4112">
        <v>250815</v>
      </c>
      <c r="I4112">
        <v>4600</v>
      </c>
      <c r="J4112" t="s">
        <v>278</v>
      </c>
      <c r="K4112">
        <v>86</v>
      </c>
      <c r="L4112">
        <v>17.47</v>
      </c>
      <c r="M4112">
        <v>67554</v>
      </c>
      <c r="N4112" t="s">
        <v>317</v>
      </c>
      <c r="O4112">
        <v>250820</v>
      </c>
      <c r="P4112">
        <v>68.53</v>
      </c>
    </row>
    <row r="4113" spans="1:16" x14ac:dyDescent="0.25">
      <c r="A4113" t="s">
        <v>3296</v>
      </c>
      <c r="B4113" t="s">
        <v>2931</v>
      </c>
      <c r="C4113">
        <v>11240</v>
      </c>
      <c r="D4113" t="str">
        <f>"15129911    "</f>
        <v xml:space="preserve">15129911    </v>
      </c>
      <c r="E4113" t="s">
        <v>381</v>
      </c>
      <c r="F4113" t="s">
        <v>382</v>
      </c>
      <c r="G4113">
        <v>19.579999999999998</v>
      </c>
      <c r="H4113">
        <v>250831</v>
      </c>
      <c r="I4113">
        <v>4600</v>
      </c>
      <c r="J4113" t="s">
        <v>278</v>
      </c>
      <c r="K4113">
        <v>60.53</v>
      </c>
      <c r="L4113">
        <v>3.98</v>
      </c>
      <c r="M4113">
        <v>17737</v>
      </c>
      <c r="N4113" t="s">
        <v>156</v>
      </c>
      <c r="O4113">
        <v>250902</v>
      </c>
      <c r="P4113">
        <v>15.6</v>
      </c>
    </row>
    <row r="4114" spans="1:16" x14ac:dyDescent="0.25">
      <c r="A4114" t="s">
        <v>3296</v>
      </c>
      <c r="B4114" t="s">
        <v>2931</v>
      </c>
      <c r="C4114">
        <v>11599</v>
      </c>
      <c r="D4114" t="str">
        <f>"15129912    "</f>
        <v xml:space="preserve">15129912    </v>
      </c>
      <c r="E4114" t="s">
        <v>381</v>
      </c>
      <c r="F4114" t="s">
        <v>382</v>
      </c>
      <c r="G4114">
        <v>159.9</v>
      </c>
      <c r="H4114">
        <v>250831</v>
      </c>
      <c r="I4114">
        <v>4600</v>
      </c>
      <c r="J4114" t="s">
        <v>278</v>
      </c>
      <c r="K4114">
        <v>1061.1500000000001</v>
      </c>
      <c r="L4114">
        <v>19.64</v>
      </c>
      <c r="M4114">
        <v>67522</v>
      </c>
      <c r="N4114" t="s">
        <v>121</v>
      </c>
      <c r="O4114">
        <v>250909</v>
      </c>
      <c r="P4114">
        <v>140.26</v>
      </c>
    </row>
    <row r="4115" spans="1:16" x14ac:dyDescent="0.25">
      <c r="A4115" t="s">
        <v>3296</v>
      </c>
      <c r="B4115" t="s">
        <v>2931</v>
      </c>
      <c r="C4115">
        <v>11599</v>
      </c>
      <c r="D4115" t="str">
        <f>"15129912    "</f>
        <v xml:space="preserve">15129912    </v>
      </c>
      <c r="E4115" t="s">
        <v>381</v>
      </c>
      <c r="F4115" t="s">
        <v>382</v>
      </c>
      <c r="G4115">
        <v>299.48</v>
      </c>
      <c r="H4115">
        <v>250831</v>
      </c>
      <c r="I4115">
        <v>4600</v>
      </c>
      <c r="J4115" t="s">
        <v>278</v>
      </c>
      <c r="K4115">
        <v>1061.1500000000001</v>
      </c>
      <c r="L4115">
        <v>60.85</v>
      </c>
      <c r="M4115">
        <v>67522</v>
      </c>
      <c r="N4115" t="s">
        <v>121</v>
      </c>
      <c r="O4115">
        <v>250909</v>
      </c>
      <c r="P4115">
        <v>238.63</v>
      </c>
    </row>
    <row r="4116" spans="1:16" x14ac:dyDescent="0.25">
      <c r="A4116" t="s">
        <v>3296</v>
      </c>
      <c r="B4116" t="s">
        <v>2931</v>
      </c>
      <c r="C4116">
        <v>13920</v>
      </c>
      <c r="D4116" t="str">
        <f>"15155697    "</f>
        <v xml:space="preserve">15155697    </v>
      </c>
      <c r="E4116" t="s">
        <v>381</v>
      </c>
      <c r="F4116" t="s">
        <v>382</v>
      </c>
      <c r="G4116">
        <v>35.94</v>
      </c>
      <c r="H4116">
        <v>251015</v>
      </c>
      <c r="I4116">
        <v>4600</v>
      </c>
      <c r="J4116" t="s">
        <v>278</v>
      </c>
      <c r="K4116">
        <v>48.43</v>
      </c>
      <c r="L4116">
        <v>7.3</v>
      </c>
      <c r="M4116">
        <v>17711</v>
      </c>
      <c r="N4116" t="s">
        <v>155</v>
      </c>
      <c r="O4116">
        <v>251020</v>
      </c>
      <c r="P4116">
        <v>28.64</v>
      </c>
    </row>
    <row r="4117" spans="1:16" x14ac:dyDescent="0.25">
      <c r="A4117" t="s">
        <v>3296</v>
      </c>
      <c r="B4117" t="s">
        <v>2931</v>
      </c>
      <c r="C4117">
        <v>14488</v>
      </c>
      <c r="D4117" t="str">
        <f>"15163386    "</f>
        <v xml:space="preserve">15163386    </v>
      </c>
      <c r="E4117" t="s">
        <v>381</v>
      </c>
      <c r="F4117" t="s">
        <v>382</v>
      </c>
      <c r="G4117">
        <v>25.98</v>
      </c>
      <c r="H4117">
        <v>251031</v>
      </c>
      <c r="I4117">
        <v>4600</v>
      </c>
      <c r="J4117" t="s">
        <v>278</v>
      </c>
      <c r="K4117">
        <v>177.35</v>
      </c>
      <c r="L4117">
        <v>5.28</v>
      </c>
      <c r="M4117">
        <v>17952</v>
      </c>
      <c r="N4117" t="s">
        <v>157</v>
      </c>
      <c r="O4117">
        <v>251103</v>
      </c>
      <c r="P4117">
        <v>20.7</v>
      </c>
    </row>
    <row r="4118" spans="1:16" x14ac:dyDescent="0.25">
      <c r="A4118" t="s">
        <v>3296</v>
      </c>
      <c r="B4118" t="s">
        <v>2931</v>
      </c>
      <c r="C4118">
        <v>15704</v>
      </c>
      <c r="D4118" t="str">
        <f>"15169614    "</f>
        <v xml:space="preserve">15169614    </v>
      </c>
      <c r="E4118" t="s">
        <v>381</v>
      </c>
      <c r="F4118" t="s">
        <v>382</v>
      </c>
      <c r="G4118">
        <v>28.78</v>
      </c>
      <c r="H4118">
        <v>251114</v>
      </c>
      <c r="I4118">
        <v>4600</v>
      </c>
      <c r="J4118" t="s">
        <v>278</v>
      </c>
      <c r="K4118">
        <v>627.33000000000004</v>
      </c>
      <c r="L4118">
        <v>5.85</v>
      </c>
      <c r="M4118">
        <v>17711</v>
      </c>
      <c r="N4118" t="s">
        <v>155</v>
      </c>
      <c r="O4118">
        <v>251125</v>
      </c>
      <c r="P4118">
        <v>22.93</v>
      </c>
    </row>
    <row r="4119" spans="1:16" x14ac:dyDescent="0.25">
      <c r="A4119" t="s">
        <v>3296</v>
      </c>
      <c r="B4119" t="s">
        <v>2931</v>
      </c>
      <c r="C4119">
        <v>16099</v>
      </c>
      <c r="D4119" t="str">
        <f>"15176067    "</f>
        <v xml:space="preserve">15176067    </v>
      </c>
      <c r="E4119" t="s">
        <v>381</v>
      </c>
      <c r="F4119" t="s">
        <v>382</v>
      </c>
      <c r="G4119">
        <v>87.59</v>
      </c>
      <c r="H4119">
        <v>251130</v>
      </c>
      <c r="I4119">
        <v>4600</v>
      </c>
      <c r="J4119" t="s">
        <v>278</v>
      </c>
      <c r="K4119">
        <v>280.05</v>
      </c>
      <c r="L4119">
        <v>17.8</v>
      </c>
      <c r="M4119">
        <v>17638</v>
      </c>
      <c r="N4119" t="s">
        <v>1182</v>
      </c>
      <c r="O4119">
        <v>251203</v>
      </c>
      <c r="P4119">
        <v>69.790000000000006</v>
      </c>
    </row>
    <row r="4120" spans="1:16" x14ac:dyDescent="0.25">
      <c r="A4120" t="s">
        <v>3296</v>
      </c>
      <c r="B4120" t="s">
        <v>2931</v>
      </c>
      <c r="C4120">
        <v>16099</v>
      </c>
      <c r="D4120" t="str">
        <f>"15176067    "</f>
        <v xml:space="preserve">15176067    </v>
      </c>
      <c r="E4120" t="s">
        <v>381</v>
      </c>
      <c r="F4120" t="s">
        <v>382</v>
      </c>
      <c r="G4120">
        <v>109.97</v>
      </c>
      <c r="H4120">
        <v>251130</v>
      </c>
      <c r="I4120">
        <v>4600</v>
      </c>
      <c r="J4120" t="s">
        <v>278</v>
      </c>
      <c r="K4120">
        <v>280.05</v>
      </c>
      <c r="L4120">
        <v>22.34</v>
      </c>
      <c r="M4120">
        <v>17737</v>
      </c>
      <c r="N4120" t="s">
        <v>156</v>
      </c>
      <c r="O4120">
        <v>251203</v>
      </c>
      <c r="P4120">
        <v>87.63</v>
      </c>
    </row>
    <row r="4121" spans="1:16" x14ac:dyDescent="0.25">
      <c r="A4121" t="s">
        <v>3296</v>
      </c>
      <c r="B4121" t="s">
        <v>2931</v>
      </c>
      <c r="C4121">
        <v>16099</v>
      </c>
      <c r="D4121" t="str">
        <f>"15176067    "</f>
        <v xml:space="preserve">15176067    </v>
      </c>
      <c r="E4121" t="s">
        <v>381</v>
      </c>
      <c r="F4121" t="s">
        <v>382</v>
      </c>
      <c r="G4121">
        <v>25.98</v>
      </c>
      <c r="H4121">
        <v>251130</v>
      </c>
      <c r="I4121">
        <v>4600</v>
      </c>
      <c r="J4121" t="s">
        <v>278</v>
      </c>
      <c r="K4121">
        <v>280.05</v>
      </c>
      <c r="L4121">
        <v>5.28</v>
      </c>
      <c r="M4121">
        <v>17952</v>
      </c>
      <c r="N4121" t="s">
        <v>157</v>
      </c>
      <c r="O4121">
        <v>251203</v>
      </c>
      <c r="P4121">
        <v>20.7</v>
      </c>
    </row>
    <row r="4122" spans="1:16" x14ac:dyDescent="0.25">
      <c r="A4122" t="s">
        <v>3296</v>
      </c>
      <c r="B4122" t="s">
        <v>2931</v>
      </c>
      <c r="C4122">
        <v>17324</v>
      </c>
      <c r="D4122" t="str">
        <f>"15182049    "</f>
        <v xml:space="preserve">15182049    </v>
      </c>
      <c r="E4122" t="s">
        <v>381</v>
      </c>
      <c r="F4122" t="s">
        <v>382</v>
      </c>
      <c r="G4122">
        <v>65.94</v>
      </c>
      <c r="H4122">
        <v>251215</v>
      </c>
      <c r="I4122">
        <v>4600</v>
      </c>
      <c r="J4122" t="s">
        <v>278</v>
      </c>
      <c r="K4122">
        <v>100.91</v>
      </c>
      <c r="L4122">
        <v>13.4</v>
      </c>
      <c r="M4122">
        <v>67522</v>
      </c>
      <c r="N4122" t="s">
        <v>121</v>
      </c>
      <c r="O4122">
        <v>251219</v>
      </c>
      <c r="P4122">
        <v>52.54</v>
      </c>
    </row>
    <row r="4123" spans="1:16" x14ac:dyDescent="0.25">
      <c r="A4123" t="s">
        <v>3296</v>
      </c>
      <c r="B4123" t="s">
        <v>2931</v>
      </c>
      <c r="C4123">
        <v>17477</v>
      </c>
      <c r="D4123" t="str">
        <f>"15182048    "</f>
        <v xml:space="preserve">15182048    </v>
      </c>
      <c r="E4123" t="s">
        <v>381</v>
      </c>
      <c r="F4123" t="s">
        <v>382</v>
      </c>
      <c r="G4123">
        <v>97.16</v>
      </c>
      <c r="H4123">
        <v>251215</v>
      </c>
      <c r="I4123">
        <v>4600</v>
      </c>
      <c r="J4123" t="s">
        <v>278</v>
      </c>
      <c r="K4123">
        <v>243.68</v>
      </c>
      <c r="L4123">
        <v>19.739999999999998</v>
      </c>
      <c r="M4123">
        <v>17711</v>
      </c>
      <c r="N4123" t="s">
        <v>155</v>
      </c>
      <c r="O4123">
        <v>251222</v>
      </c>
      <c r="P4123">
        <v>77.42</v>
      </c>
    </row>
    <row r="4124" spans="1:16" x14ac:dyDescent="0.25">
      <c r="A4124" t="s">
        <v>3296</v>
      </c>
      <c r="B4124" t="s">
        <v>2931</v>
      </c>
      <c r="C4124">
        <v>18025</v>
      </c>
      <c r="D4124" t="str">
        <f>"15188009    "</f>
        <v xml:space="preserve">15188009    </v>
      </c>
      <c r="E4124" t="s">
        <v>381</v>
      </c>
      <c r="F4124" t="s">
        <v>382</v>
      </c>
      <c r="G4124">
        <v>60.16</v>
      </c>
      <c r="H4124">
        <v>251231</v>
      </c>
      <c r="I4124">
        <v>4600</v>
      </c>
      <c r="J4124" t="s">
        <v>278</v>
      </c>
      <c r="K4124">
        <v>60.16</v>
      </c>
      <c r="L4124">
        <v>12.22</v>
      </c>
      <c r="M4124">
        <v>17711</v>
      </c>
      <c r="N4124" t="s">
        <v>155</v>
      </c>
      <c r="O4124">
        <v>260108</v>
      </c>
      <c r="P4124">
        <v>47.94</v>
      </c>
    </row>
    <row r="4125" spans="1:16" x14ac:dyDescent="0.25">
      <c r="A4125" t="s">
        <v>3296</v>
      </c>
      <c r="B4125" t="s">
        <v>2931</v>
      </c>
      <c r="C4125">
        <v>18089</v>
      </c>
      <c r="D4125" t="str">
        <f>"15188011    "</f>
        <v xml:space="preserve">15188011    </v>
      </c>
      <c r="E4125" t="s">
        <v>381</v>
      </c>
      <c r="F4125" t="s">
        <v>382</v>
      </c>
      <c r="G4125">
        <v>90.21</v>
      </c>
      <c r="H4125">
        <v>251231</v>
      </c>
      <c r="I4125">
        <v>4600</v>
      </c>
      <c r="J4125" t="s">
        <v>278</v>
      </c>
      <c r="K4125">
        <v>90.21</v>
      </c>
      <c r="L4125">
        <v>18.329999999999998</v>
      </c>
      <c r="M4125">
        <v>67522</v>
      </c>
      <c r="N4125" t="s">
        <v>121</v>
      </c>
      <c r="O4125">
        <v>260109</v>
      </c>
      <c r="P4125">
        <v>71.88</v>
      </c>
    </row>
    <row r="4126" spans="1:16" x14ac:dyDescent="0.25">
      <c r="A4126" t="s">
        <v>3296</v>
      </c>
      <c r="B4126" t="s">
        <v>2931</v>
      </c>
      <c r="C4126">
        <v>11626</v>
      </c>
      <c r="D4126" t="str">
        <f>"ML220251    "</f>
        <v xml:space="preserve">ML220251    </v>
      </c>
      <c r="E4126" t="s">
        <v>2871</v>
      </c>
      <c r="F4126" t="s">
        <v>2872</v>
      </c>
      <c r="G4126">
        <v>1379.25</v>
      </c>
      <c r="H4126">
        <v>250903</v>
      </c>
      <c r="I4126">
        <v>4346</v>
      </c>
      <c r="J4126" t="s">
        <v>334</v>
      </c>
      <c r="K4126">
        <v>1379.25</v>
      </c>
      <c r="L4126">
        <v>280.25</v>
      </c>
      <c r="M4126">
        <v>11201</v>
      </c>
      <c r="N4126" t="s">
        <v>35</v>
      </c>
      <c r="O4126">
        <v>250909</v>
      </c>
      <c r="P4126">
        <v>1099</v>
      </c>
    </row>
    <row r="4127" spans="1:16" x14ac:dyDescent="0.25">
      <c r="A4127" t="s">
        <v>3296</v>
      </c>
      <c r="B4127" t="s">
        <v>2931</v>
      </c>
      <c r="C4127">
        <v>1793</v>
      </c>
      <c r="D4127" t="str">
        <f>"1354        "</f>
        <v xml:space="preserve">1354        </v>
      </c>
      <c r="E4127" t="s">
        <v>1121</v>
      </c>
      <c r="F4127" t="s">
        <v>1122</v>
      </c>
      <c r="G4127">
        <v>3375.95</v>
      </c>
      <c r="H4127">
        <v>250212</v>
      </c>
      <c r="I4127">
        <v>4400</v>
      </c>
      <c r="J4127" t="s">
        <v>162</v>
      </c>
      <c r="K4127">
        <v>3375.95</v>
      </c>
      <c r="L4127">
        <v>685.95</v>
      </c>
      <c r="M4127">
        <v>13601</v>
      </c>
      <c r="N4127" t="s">
        <v>115</v>
      </c>
      <c r="O4127">
        <v>250214</v>
      </c>
      <c r="P4127">
        <v>2690</v>
      </c>
    </row>
    <row r="4128" spans="1:16" x14ac:dyDescent="0.25">
      <c r="A4128" t="s">
        <v>3296</v>
      </c>
      <c r="B4128" t="s">
        <v>2931</v>
      </c>
      <c r="C4128">
        <v>12846</v>
      </c>
      <c r="D4128" t="str">
        <f>"1384        "</f>
        <v xml:space="preserve">1384        </v>
      </c>
      <c r="E4128" t="s">
        <v>1121</v>
      </c>
      <c r="F4128" t="s">
        <v>1122</v>
      </c>
      <c r="G4128">
        <v>3375.95</v>
      </c>
      <c r="H4128">
        <v>250929</v>
      </c>
      <c r="I4128">
        <v>4400</v>
      </c>
      <c r="J4128" t="s">
        <v>162</v>
      </c>
      <c r="K4128">
        <v>3375.95</v>
      </c>
      <c r="L4128">
        <v>685.95</v>
      </c>
      <c r="M4128">
        <v>13601</v>
      </c>
      <c r="N4128" t="s">
        <v>115</v>
      </c>
      <c r="O4128">
        <v>250930</v>
      </c>
      <c r="P4128">
        <v>2690</v>
      </c>
    </row>
    <row r="4129" spans="1:16" x14ac:dyDescent="0.25">
      <c r="A4129" t="s">
        <v>3296</v>
      </c>
      <c r="B4129" t="s">
        <v>2931</v>
      </c>
      <c r="C4129">
        <v>15579</v>
      </c>
      <c r="D4129" t="str">
        <f>"4904065     "</f>
        <v xml:space="preserve">4904065     </v>
      </c>
      <c r="E4129" t="s">
        <v>641</v>
      </c>
      <c r="F4129" t="s">
        <v>642</v>
      </c>
      <c r="G4129">
        <v>58.68</v>
      </c>
      <c r="H4129">
        <v>251118</v>
      </c>
      <c r="I4129">
        <v>4400</v>
      </c>
      <c r="J4129" t="s">
        <v>162</v>
      </c>
      <c r="K4129">
        <v>58.68</v>
      </c>
      <c r="L4129">
        <v>11.92</v>
      </c>
      <c r="M4129">
        <v>17526</v>
      </c>
      <c r="N4129" t="s">
        <v>141</v>
      </c>
      <c r="O4129">
        <v>251121</v>
      </c>
      <c r="P4129">
        <v>46.76</v>
      </c>
    </row>
    <row r="4130" spans="1:16" x14ac:dyDescent="0.25">
      <c r="A4130" t="s">
        <v>3296</v>
      </c>
      <c r="B4130" t="s">
        <v>2931</v>
      </c>
      <c r="C4130">
        <v>6347</v>
      </c>
      <c r="D4130" t="str">
        <f>"4820160     "</f>
        <v xml:space="preserve">4820160     </v>
      </c>
      <c r="E4130" t="s">
        <v>641</v>
      </c>
      <c r="F4130" t="s">
        <v>642</v>
      </c>
      <c r="G4130">
        <v>247.62</v>
      </c>
      <c r="H4130">
        <v>250502</v>
      </c>
      <c r="I4130">
        <v>4580</v>
      </c>
      <c r="J4130" t="s">
        <v>126</v>
      </c>
      <c r="K4130">
        <v>603.66999999999996</v>
      </c>
      <c r="L4130">
        <v>50.31</v>
      </c>
      <c r="M4130">
        <v>17521</v>
      </c>
      <c r="N4130" t="s">
        <v>136</v>
      </c>
      <c r="O4130">
        <v>250512</v>
      </c>
      <c r="P4130">
        <v>197.31</v>
      </c>
    </row>
    <row r="4131" spans="1:16" x14ac:dyDescent="0.25">
      <c r="A4131" t="s">
        <v>3296</v>
      </c>
      <c r="B4131" t="s">
        <v>2931</v>
      </c>
      <c r="C4131">
        <v>12240</v>
      </c>
      <c r="D4131" t="str">
        <f>"4871352     "</f>
        <v xml:space="preserve">4871352     </v>
      </c>
      <c r="E4131" t="s">
        <v>641</v>
      </c>
      <c r="F4131" t="s">
        <v>642</v>
      </c>
      <c r="G4131">
        <v>302</v>
      </c>
      <c r="H4131">
        <v>250901</v>
      </c>
      <c r="I4131">
        <v>4580</v>
      </c>
      <c r="J4131" t="s">
        <v>126</v>
      </c>
      <c r="K4131">
        <v>2033.33</v>
      </c>
      <c r="L4131">
        <v>61.36</v>
      </c>
      <c r="M4131">
        <v>17522</v>
      </c>
      <c r="N4131" t="s">
        <v>137</v>
      </c>
      <c r="O4131">
        <v>250918</v>
      </c>
      <c r="P4131">
        <v>240.64</v>
      </c>
    </row>
    <row r="4132" spans="1:16" x14ac:dyDescent="0.25">
      <c r="A4132" t="s">
        <v>3296</v>
      </c>
      <c r="B4132" t="s">
        <v>2931</v>
      </c>
      <c r="C4132">
        <v>638</v>
      </c>
      <c r="D4132" t="str">
        <f>"4779804     "</f>
        <v xml:space="preserve">4779804     </v>
      </c>
      <c r="E4132" t="s">
        <v>641</v>
      </c>
      <c r="F4132" t="s">
        <v>642</v>
      </c>
      <c r="G4132">
        <v>65.319999999999993</v>
      </c>
      <c r="H4132">
        <v>250114</v>
      </c>
      <c r="I4132">
        <v>4600</v>
      </c>
      <c r="J4132" t="s">
        <v>278</v>
      </c>
      <c r="K4132">
        <v>261.27999999999997</v>
      </c>
      <c r="L4132">
        <v>13.27</v>
      </c>
      <c r="M4132">
        <v>17522</v>
      </c>
      <c r="N4132" t="s">
        <v>137</v>
      </c>
      <c r="O4132">
        <v>250124</v>
      </c>
      <c r="P4132">
        <v>52.05</v>
      </c>
    </row>
    <row r="4133" spans="1:16" x14ac:dyDescent="0.25">
      <c r="A4133" t="s">
        <v>3296</v>
      </c>
      <c r="B4133" t="s">
        <v>2931</v>
      </c>
      <c r="C4133">
        <v>638</v>
      </c>
      <c r="D4133" t="str">
        <f>"4779804     "</f>
        <v xml:space="preserve">4779804     </v>
      </c>
      <c r="E4133" t="s">
        <v>641</v>
      </c>
      <c r="F4133" t="s">
        <v>642</v>
      </c>
      <c r="G4133">
        <v>195.96</v>
      </c>
      <c r="H4133">
        <v>250114</v>
      </c>
      <c r="I4133">
        <v>4600</v>
      </c>
      <c r="J4133" t="s">
        <v>278</v>
      </c>
      <c r="K4133">
        <v>261.27999999999997</v>
      </c>
      <c r="L4133">
        <v>39.82</v>
      </c>
      <c r="M4133">
        <v>17633</v>
      </c>
      <c r="N4133" t="s">
        <v>628</v>
      </c>
      <c r="O4133">
        <v>250124</v>
      </c>
      <c r="P4133">
        <v>156.13999999999999</v>
      </c>
    </row>
    <row r="4134" spans="1:16" x14ac:dyDescent="0.25">
      <c r="A4134" t="s">
        <v>3296</v>
      </c>
      <c r="B4134" t="s">
        <v>2931</v>
      </c>
      <c r="C4134">
        <v>928</v>
      </c>
      <c r="D4134" t="str">
        <f>"4781075     "</f>
        <v xml:space="preserve">4781075     </v>
      </c>
      <c r="E4134" t="s">
        <v>641</v>
      </c>
      <c r="F4134" t="s">
        <v>642</v>
      </c>
      <c r="G4134">
        <v>242</v>
      </c>
      <c r="H4134">
        <v>250117</v>
      </c>
      <c r="I4134">
        <v>4600</v>
      </c>
      <c r="J4134" t="s">
        <v>278</v>
      </c>
      <c r="K4134">
        <v>2993.18</v>
      </c>
      <c r="L4134">
        <v>49.17</v>
      </c>
      <c r="M4134">
        <v>17522</v>
      </c>
      <c r="N4134" t="s">
        <v>137</v>
      </c>
      <c r="O4134">
        <v>250131</v>
      </c>
      <c r="P4134">
        <v>192.83</v>
      </c>
    </row>
    <row r="4135" spans="1:16" x14ac:dyDescent="0.25">
      <c r="A4135" t="s">
        <v>3296</v>
      </c>
      <c r="B4135" t="s">
        <v>2931</v>
      </c>
      <c r="C4135">
        <v>928</v>
      </c>
      <c r="D4135" t="str">
        <f>"4781075     "</f>
        <v xml:space="preserve">4781075     </v>
      </c>
      <c r="E4135" t="s">
        <v>641</v>
      </c>
      <c r="F4135" t="s">
        <v>642</v>
      </c>
      <c r="G4135">
        <v>2751.18</v>
      </c>
      <c r="H4135">
        <v>250117</v>
      </c>
      <c r="I4135">
        <v>4600</v>
      </c>
      <c r="J4135" t="s">
        <v>278</v>
      </c>
      <c r="K4135">
        <v>2993.18</v>
      </c>
      <c r="L4135">
        <v>559</v>
      </c>
      <c r="M4135">
        <v>17633</v>
      </c>
      <c r="N4135" t="s">
        <v>628</v>
      </c>
      <c r="O4135">
        <v>250131</v>
      </c>
      <c r="P4135">
        <v>2192.1799999999998</v>
      </c>
    </row>
    <row r="4136" spans="1:16" x14ac:dyDescent="0.25">
      <c r="A4136" t="s">
        <v>3296</v>
      </c>
      <c r="B4136" t="s">
        <v>2931</v>
      </c>
      <c r="C4136">
        <v>1303</v>
      </c>
      <c r="D4136" t="str">
        <f>"4786217     "</f>
        <v xml:space="preserve">4786217     </v>
      </c>
      <c r="E4136" t="s">
        <v>641</v>
      </c>
      <c r="F4136" t="s">
        <v>642</v>
      </c>
      <c r="G4136">
        <v>306.10000000000002</v>
      </c>
      <c r="H4136">
        <v>250131</v>
      </c>
      <c r="I4136">
        <v>4600</v>
      </c>
      <c r="J4136" t="s">
        <v>278</v>
      </c>
      <c r="K4136">
        <v>306.10000000000002</v>
      </c>
      <c r="L4136">
        <v>62.2</v>
      </c>
      <c r="M4136">
        <v>17523</v>
      </c>
      <c r="N4136" t="s">
        <v>138</v>
      </c>
      <c r="O4136">
        <v>250206</v>
      </c>
      <c r="P4136">
        <v>243.9</v>
      </c>
    </row>
    <row r="4137" spans="1:16" x14ac:dyDescent="0.25">
      <c r="A4137" t="s">
        <v>3296</v>
      </c>
      <c r="B4137" t="s">
        <v>2931</v>
      </c>
      <c r="C4137">
        <v>2409</v>
      </c>
      <c r="D4137" t="str">
        <f>"4793148     "</f>
        <v xml:space="preserve">4793148     </v>
      </c>
      <c r="E4137" t="s">
        <v>641</v>
      </c>
      <c r="F4137" t="s">
        <v>642</v>
      </c>
      <c r="G4137">
        <v>38.72</v>
      </c>
      <c r="H4137">
        <v>250220</v>
      </c>
      <c r="I4137">
        <v>4600</v>
      </c>
      <c r="J4137" t="s">
        <v>278</v>
      </c>
      <c r="K4137">
        <v>38.72</v>
      </c>
      <c r="L4137">
        <v>7.87</v>
      </c>
      <c r="M4137">
        <v>17523</v>
      </c>
      <c r="N4137" t="s">
        <v>138</v>
      </c>
      <c r="O4137">
        <v>250225</v>
      </c>
      <c r="P4137">
        <v>30.85</v>
      </c>
    </row>
    <row r="4138" spans="1:16" x14ac:dyDescent="0.25">
      <c r="A4138" t="s">
        <v>3296</v>
      </c>
      <c r="B4138" t="s">
        <v>2931</v>
      </c>
      <c r="C4138">
        <v>2581</v>
      </c>
      <c r="D4138" t="str">
        <f>"4791266     "</f>
        <v xml:space="preserve">4791266     </v>
      </c>
      <c r="E4138" t="s">
        <v>641</v>
      </c>
      <c r="F4138" t="s">
        <v>642</v>
      </c>
      <c r="G4138">
        <v>457.75</v>
      </c>
      <c r="H4138">
        <v>250214</v>
      </c>
      <c r="I4138">
        <v>4600</v>
      </c>
      <c r="J4138" t="s">
        <v>278</v>
      </c>
      <c r="K4138">
        <v>710.45</v>
      </c>
      <c r="L4138">
        <v>93.01</v>
      </c>
      <c r="M4138">
        <v>17523</v>
      </c>
      <c r="N4138" t="s">
        <v>138</v>
      </c>
      <c r="O4138">
        <v>250306</v>
      </c>
      <c r="P4138">
        <v>364.74</v>
      </c>
    </row>
    <row r="4139" spans="1:16" x14ac:dyDescent="0.25">
      <c r="A4139" t="s">
        <v>3296</v>
      </c>
      <c r="B4139" t="s">
        <v>2931</v>
      </c>
      <c r="C4139">
        <v>2581</v>
      </c>
      <c r="D4139" t="str">
        <f>"4791266     "</f>
        <v xml:space="preserve">4791266     </v>
      </c>
      <c r="E4139" t="s">
        <v>641</v>
      </c>
      <c r="F4139" t="s">
        <v>642</v>
      </c>
      <c r="G4139">
        <v>252.7</v>
      </c>
      <c r="H4139">
        <v>250214</v>
      </c>
      <c r="I4139">
        <v>4600</v>
      </c>
      <c r="J4139" t="s">
        <v>278</v>
      </c>
      <c r="K4139">
        <v>710.45</v>
      </c>
      <c r="L4139">
        <v>51.35</v>
      </c>
      <c r="M4139">
        <v>17524</v>
      </c>
      <c r="N4139" t="s">
        <v>139</v>
      </c>
      <c r="O4139">
        <v>250306</v>
      </c>
      <c r="P4139">
        <v>201.35</v>
      </c>
    </row>
    <row r="4140" spans="1:16" x14ac:dyDescent="0.25">
      <c r="A4140" t="s">
        <v>3296</v>
      </c>
      <c r="B4140" t="s">
        <v>2931</v>
      </c>
      <c r="C4140">
        <v>3810</v>
      </c>
      <c r="D4140" t="str">
        <f>"4804031     "</f>
        <v xml:space="preserve">4804031     </v>
      </c>
      <c r="E4140" t="s">
        <v>641</v>
      </c>
      <c r="F4140" t="s">
        <v>642</v>
      </c>
      <c r="G4140">
        <v>449.51</v>
      </c>
      <c r="H4140">
        <v>250321</v>
      </c>
      <c r="I4140">
        <v>4600</v>
      </c>
      <c r="J4140" t="s">
        <v>278</v>
      </c>
      <c r="K4140">
        <v>1798.06</v>
      </c>
      <c r="L4140">
        <v>91.33</v>
      </c>
      <c r="M4140">
        <v>17522</v>
      </c>
      <c r="N4140" t="s">
        <v>137</v>
      </c>
      <c r="O4140">
        <v>250402</v>
      </c>
      <c r="P4140">
        <v>358.18</v>
      </c>
    </row>
    <row r="4141" spans="1:16" x14ac:dyDescent="0.25">
      <c r="A4141" t="s">
        <v>3296</v>
      </c>
      <c r="B4141" t="s">
        <v>2931</v>
      </c>
      <c r="C4141">
        <v>3810</v>
      </c>
      <c r="D4141" t="str">
        <f>"4804031     "</f>
        <v xml:space="preserve">4804031     </v>
      </c>
      <c r="E4141" t="s">
        <v>641</v>
      </c>
      <c r="F4141" t="s">
        <v>642</v>
      </c>
      <c r="G4141">
        <v>1348.55</v>
      </c>
      <c r="H4141">
        <v>250321</v>
      </c>
      <c r="I4141">
        <v>4600</v>
      </c>
      <c r="J4141" t="s">
        <v>278</v>
      </c>
      <c r="K4141">
        <v>1798.06</v>
      </c>
      <c r="L4141">
        <v>274.01</v>
      </c>
      <c r="M4141">
        <v>17633</v>
      </c>
      <c r="N4141" t="s">
        <v>628</v>
      </c>
      <c r="O4141">
        <v>250402</v>
      </c>
      <c r="P4141">
        <v>1074.54</v>
      </c>
    </row>
    <row r="4142" spans="1:16" x14ac:dyDescent="0.25">
      <c r="A4142" t="s">
        <v>3296</v>
      </c>
      <c r="B4142" t="s">
        <v>2931</v>
      </c>
      <c r="C4142">
        <v>4866</v>
      </c>
      <c r="D4142" t="str">
        <f>"4806545     "</f>
        <v xml:space="preserve">4806545     </v>
      </c>
      <c r="E4142" t="s">
        <v>641</v>
      </c>
      <c r="F4142" t="s">
        <v>642</v>
      </c>
      <c r="G4142">
        <v>324.19</v>
      </c>
      <c r="H4142">
        <v>250328</v>
      </c>
      <c r="I4142">
        <v>4600</v>
      </c>
      <c r="J4142" t="s">
        <v>278</v>
      </c>
      <c r="K4142">
        <v>982.39</v>
      </c>
      <c r="L4142">
        <v>65.87</v>
      </c>
      <c r="M4142">
        <v>17522</v>
      </c>
      <c r="N4142" t="s">
        <v>137</v>
      </c>
      <c r="O4142">
        <v>250416</v>
      </c>
      <c r="P4142">
        <v>258.32</v>
      </c>
    </row>
    <row r="4143" spans="1:16" x14ac:dyDescent="0.25">
      <c r="A4143" t="s">
        <v>3296</v>
      </c>
      <c r="B4143" t="s">
        <v>2931</v>
      </c>
      <c r="C4143">
        <v>4866</v>
      </c>
      <c r="D4143" t="str">
        <f>"4806545     "</f>
        <v xml:space="preserve">4806545     </v>
      </c>
      <c r="E4143" t="s">
        <v>641</v>
      </c>
      <c r="F4143" t="s">
        <v>642</v>
      </c>
      <c r="G4143">
        <v>658.2</v>
      </c>
      <c r="H4143">
        <v>250328</v>
      </c>
      <c r="I4143">
        <v>4600</v>
      </c>
      <c r="J4143" t="s">
        <v>278</v>
      </c>
      <c r="K4143">
        <v>982.39</v>
      </c>
      <c r="L4143">
        <v>133.74</v>
      </c>
      <c r="M4143">
        <v>17633</v>
      </c>
      <c r="N4143" t="s">
        <v>628</v>
      </c>
      <c r="O4143">
        <v>250416</v>
      </c>
      <c r="P4143">
        <v>524.46</v>
      </c>
    </row>
    <row r="4144" spans="1:16" x14ac:dyDescent="0.25">
      <c r="A4144" t="s">
        <v>3296</v>
      </c>
      <c r="B4144" t="s">
        <v>2931</v>
      </c>
      <c r="C4144">
        <v>5761</v>
      </c>
      <c r="D4144" t="str">
        <f>"4816294     "</f>
        <v xml:space="preserve">4816294     </v>
      </c>
      <c r="E4144" t="s">
        <v>641</v>
      </c>
      <c r="F4144" t="s">
        <v>642</v>
      </c>
      <c r="G4144">
        <v>113.93</v>
      </c>
      <c r="H4144">
        <v>250423</v>
      </c>
      <c r="I4144">
        <v>4600</v>
      </c>
      <c r="J4144" t="s">
        <v>278</v>
      </c>
      <c r="K4144">
        <v>379.77</v>
      </c>
      <c r="L4144">
        <v>23.15</v>
      </c>
      <c r="M4144">
        <v>17522</v>
      </c>
      <c r="N4144" t="s">
        <v>137</v>
      </c>
      <c r="O4144">
        <v>250430</v>
      </c>
      <c r="P4144">
        <v>90.78</v>
      </c>
    </row>
    <row r="4145" spans="1:16" x14ac:dyDescent="0.25">
      <c r="A4145" t="s">
        <v>3296</v>
      </c>
      <c r="B4145" t="s">
        <v>2931</v>
      </c>
      <c r="C4145">
        <v>5761</v>
      </c>
      <c r="D4145" t="str">
        <f>"4816294     "</f>
        <v xml:space="preserve">4816294     </v>
      </c>
      <c r="E4145" t="s">
        <v>641</v>
      </c>
      <c r="F4145" t="s">
        <v>642</v>
      </c>
      <c r="G4145">
        <v>265.83999999999997</v>
      </c>
      <c r="H4145">
        <v>250423</v>
      </c>
      <c r="I4145">
        <v>4600</v>
      </c>
      <c r="J4145" t="s">
        <v>278</v>
      </c>
      <c r="K4145">
        <v>379.77</v>
      </c>
      <c r="L4145">
        <v>54.02</v>
      </c>
      <c r="M4145">
        <v>17633</v>
      </c>
      <c r="N4145" t="s">
        <v>628</v>
      </c>
      <c r="O4145">
        <v>250430</v>
      </c>
      <c r="P4145">
        <v>211.82</v>
      </c>
    </row>
    <row r="4146" spans="1:16" x14ac:dyDescent="0.25">
      <c r="A4146" t="s">
        <v>3296</v>
      </c>
      <c r="B4146" t="s">
        <v>2931</v>
      </c>
      <c r="C4146">
        <v>6347</v>
      </c>
      <c r="D4146" t="str">
        <f>"4820160     "</f>
        <v xml:space="preserve">4820160     </v>
      </c>
      <c r="E4146" t="s">
        <v>641</v>
      </c>
      <c r="F4146" t="s">
        <v>642</v>
      </c>
      <c r="G4146">
        <v>166</v>
      </c>
      <c r="H4146">
        <v>250502</v>
      </c>
      <c r="I4146">
        <v>4600</v>
      </c>
      <c r="J4146" t="s">
        <v>278</v>
      </c>
      <c r="K4146">
        <v>603.66999999999996</v>
      </c>
      <c r="L4146">
        <v>33.729999999999997</v>
      </c>
      <c r="M4146">
        <v>17522</v>
      </c>
      <c r="N4146" t="s">
        <v>137</v>
      </c>
      <c r="O4146">
        <v>250512</v>
      </c>
      <c r="P4146">
        <v>132.27000000000001</v>
      </c>
    </row>
    <row r="4147" spans="1:16" x14ac:dyDescent="0.25">
      <c r="A4147" t="s">
        <v>3296</v>
      </c>
      <c r="B4147" t="s">
        <v>2931</v>
      </c>
      <c r="C4147">
        <v>6347</v>
      </c>
      <c r="D4147" t="str">
        <f>"4820160     "</f>
        <v xml:space="preserve">4820160     </v>
      </c>
      <c r="E4147" t="s">
        <v>641</v>
      </c>
      <c r="F4147" t="s">
        <v>642</v>
      </c>
      <c r="G4147">
        <v>190.05</v>
      </c>
      <c r="H4147">
        <v>250502</v>
      </c>
      <c r="I4147">
        <v>4600</v>
      </c>
      <c r="J4147" t="s">
        <v>278</v>
      </c>
      <c r="K4147">
        <v>603.66999999999996</v>
      </c>
      <c r="L4147">
        <v>38.619999999999997</v>
      </c>
      <c r="M4147">
        <v>17633</v>
      </c>
      <c r="N4147" t="s">
        <v>628</v>
      </c>
      <c r="O4147">
        <v>250512</v>
      </c>
      <c r="P4147">
        <v>151.43</v>
      </c>
    </row>
    <row r="4148" spans="1:16" x14ac:dyDescent="0.25">
      <c r="A4148" t="s">
        <v>3296</v>
      </c>
      <c r="B4148" t="s">
        <v>2931</v>
      </c>
      <c r="C4148">
        <v>12240</v>
      </c>
      <c r="D4148" t="str">
        <f>"4871352     "</f>
        <v xml:space="preserve">4871352     </v>
      </c>
      <c r="E4148" t="s">
        <v>641</v>
      </c>
      <c r="F4148" t="s">
        <v>642</v>
      </c>
      <c r="G4148">
        <v>415.33</v>
      </c>
      <c r="H4148">
        <v>250901</v>
      </c>
      <c r="I4148">
        <v>4600</v>
      </c>
      <c r="J4148" t="s">
        <v>278</v>
      </c>
      <c r="K4148">
        <v>2033.33</v>
      </c>
      <c r="L4148">
        <v>84.39</v>
      </c>
      <c r="M4148">
        <v>17522</v>
      </c>
      <c r="N4148" t="s">
        <v>137</v>
      </c>
      <c r="O4148">
        <v>250918</v>
      </c>
      <c r="P4148">
        <v>330.94</v>
      </c>
    </row>
    <row r="4149" spans="1:16" x14ac:dyDescent="0.25">
      <c r="A4149" t="s">
        <v>3296</v>
      </c>
      <c r="B4149" t="s">
        <v>2931</v>
      </c>
      <c r="C4149">
        <v>12240</v>
      </c>
      <c r="D4149" t="str">
        <f>"4871352     "</f>
        <v xml:space="preserve">4871352     </v>
      </c>
      <c r="E4149" t="s">
        <v>641</v>
      </c>
      <c r="F4149" t="s">
        <v>642</v>
      </c>
      <c r="G4149">
        <v>1316</v>
      </c>
      <c r="H4149">
        <v>250901</v>
      </c>
      <c r="I4149">
        <v>4600</v>
      </c>
      <c r="J4149" t="s">
        <v>278</v>
      </c>
      <c r="K4149">
        <v>2033.33</v>
      </c>
      <c r="L4149">
        <v>267.39</v>
      </c>
      <c r="M4149">
        <v>17633</v>
      </c>
      <c r="N4149" t="s">
        <v>628</v>
      </c>
      <c r="O4149">
        <v>250918</v>
      </c>
      <c r="P4149">
        <v>1048.6099999999999</v>
      </c>
    </row>
    <row r="4150" spans="1:16" x14ac:dyDescent="0.25">
      <c r="A4150" t="s">
        <v>3296</v>
      </c>
      <c r="B4150" t="s">
        <v>2931</v>
      </c>
      <c r="C4150">
        <v>12242</v>
      </c>
      <c r="D4150" t="str">
        <f>"4872061     "</f>
        <v xml:space="preserve">4872061     </v>
      </c>
      <c r="E4150" t="s">
        <v>641</v>
      </c>
      <c r="F4150" t="s">
        <v>642</v>
      </c>
      <c r="G4150">
        <v>139.18</v>
      </c>
      <c r="H4150">
        <v>250903</v>
      </c>
      <c r="I4150">
        <v>4600</v>
      </c>
      <c r="J4150" t="s">
        <v>278</v>
      </c>
      <c r="K4150">
        <v>139.18</v>
      </c>
      <c r="L4150">
        <v>28.28</v>
      </c>
      <c r="M4150">
        <v>17633</v>
      </c>
      <c r="N4150" t="s">
        <v>628</v>
      </c>
      <c r="O4150">
        <v>250918</v>
      </c>
      <c r="P4150">
        <v>110.9</v>
      </c>
    </row>
    <row r="4151" spans="1:16" x14ac:dyDescent="0.25">
      <c r="A4151" t="s">
        <v>3296</v>
      </c>
      <c r="B4151" t="s">
        <v>2931</v>
      </c>
      <c r="C4151">
        <v>12515</v>
      </c>
      <c r="D4151" t="str">
        <f>"4874489     "</f>
        <v xml:space="preserve">4874489     </v>
      </c>
      <c r="E4151" t="s">
        <v>641</v>
      </c>
      <c r="F4151" t="s">
        <v>642</v>
      </c>
      <c r="G4151">
        <v>183.19</v>
      </c>
      <c r="H4151">
        <v>250908</v>
      </c>
      <c r="I4151">
        <v>4600</v>
      </c>
      <c r="J4151" t="s">
        <v>278</v>
      </c>
      <c r="K4151">
        <v>183.19</v>
      </c>
      <c r="L4151">
        <v>37.22</v>
      </c>
      <c r="M4151">
        <v>17522</v>
      </c>
      <c r="N4151" t="s">
        <v>137</v>
      </c>
      <c r="O4151">
        <v>250925</v>
      </c>
      <c r="P4151">
        <v>145.97</v>
      </c>
    </row>
    <row r="4152" spans="1:16" x14ac:dyDescent="0.25">
      <c r="A4152" t="s">
        <v>3296</v>
      </c>
      <c r="B4152" t="s">
        <v>2931</v>
      </c>
      <c r="C4152">
        <v>13458</v>
      </c>
      <c r="D4152" t="str">
        <f>"4880223     "</f>
        <v xml:space="preserve">4880223     </v>
      </c>
      <c r="E4152" t="s">
        <v>641</v>
      </c>
      <c r="F4152" t="s">
        <v>642</v>
      </c>
      <c r="G4152">
        <v>169.96</v>
      </c>
      <c r="H4152">
        <v>250922</v>
      </c>
      <c r="I4152">
        <v>4600</v>
      </c>
      <c r="J4152" t="s">
        <v>278</v>
      </c>
      <c r="K4152">
        <v>566.53</v>
      </c>
      <c r="L4152">
        <v>34.53</v>
      </c>
      <c r="M4152">
        <v>17522</v>
      </c>
      <c r="N4152" t="s">
        <v>137</v>
      </c>
      <c r="O4152">
        <v>251010</v>
      </c>
      <c r="P4152">
        <v>135.43</v>
      </c>
    </row>
    <row r="4153" spans="1:16" x14ac:dyDescent="0.25">
      <c r="A4153" t="s">
        <v>3296</v>
      </c>
      <c r="B4153" t="s">
        <v>2931</v>
      </c>
      <c r="C4153">
        <v>13458</v>
      </c>
      <c r="D4153" t="str">
        <f>"4880223     "</f>
        <v xml:space="preserve">4880223     </v>
      </c>
      <c r="E4153" t="s">
        <v>641</v>
      </c>
      <c r="F4153" t="s">
        <v>642</v>
      </c>
      <c r="G4153">
        <v>396.57</v>
      </c>
      <c r="H4153">
        <v>250922</v>
      </c>
      <c r="I4153">
        <v>4600</v>
      </c>
      <c r="J4153" t="s">
        <v>278</v>
      </c>
      <c r="K4153">
        <v>566.53</v>
      </c>
      <c r="L4153">
        <v>80.58</v>
      </c>
      <c r="M4153">
        <v>17633</v>
      </c>
      <c r="N4153" t="s">
        <v>628</v>
      </c>
      <c r="O4153">
        <v>251010</v>
      </c>
      <c r="P4153">
        <v>315.99</v>
      </c>
    </row>
    <row r="4154" spans="1:16" x14ac:dyDescent="0.25">
      <c r="A4154" t="s">
        <v>3296</v>
      </c>
      <c r="B4154" t="s">
        <v>2931</v>
      </c>
      <c r="C4154">
        <v>14392</v>
      </c>
      <c r="D4154" t="str">
        <f>"4895424     "</f>
        <v xml:space="preserve">4895424     </v>
      </c>
      <c r="E4154" t="s">
        <v>641</v>
      </c>
      <c r="F4154" t="s">
        <v>642</v>
      </c>
      <c r="G4154">
        <v>859.85</v>
      </c>
      <c r="H4154">
        <v>251028</v>
      </c>
      <c r="I4154">
        <v>4600</v>
      </c>
      <c r="J4154" t="s">
        <v>278</v>
      </c>
      <c r="K4154">
        <v>859.85</v>
      </c>
      <c r="L4154">
        <v>174.71</v>
      </c>
      <c r="M4154">
        <v>17523</v>
      </c>
      <c r="N4154" t="s">
        <v>138</v>
      </c>
      <c r="O4154">
        <v>251031</v>
      </c>
      <c r="P4154">
        <v>685.14</v>
      </c>
    </row>
    <row r="4155" spans="1:16" x14ac:dyDescent="0.25">
      <c r="A4155" t="s">
        <v>3296</v>
      </c>
      <c r="B4155" t="s">
        <v>2931</v>
      </c>
      <c r="C4155">
        <v>15107</v>
      </c>
      <c r="D4155" t="str">
        <f>"4898190     "</f>
        <v xml:space="preserve">4898190     </v>
      </c>
      <c r="E4155" t="s">
        <v>641</v>
      </c>
      <c r="F4155" t="s">
        <v>642</v>
      </c>
      <c r="G4155">
        <v>439.45</v>
      </c>
      <c r="H4155">
        <v>251103</v>
      </c>
      <c r="I4155">
        <v>4600</v>
      </c>
      <c r="J4155" t="s">
        <v>278</v>
      </c>
      <c r="K4155">
        <v>934.97</v>
      </c>
      <c r="L4155">
        <v>89.29</v>
      </c>
      <c r="M4155">
        <v>17522</v>
      </c>
      <c r="N4155" t="s">
        <v>137</v>
      </c>
      <c r="O4155">
        <v>251111</v>
      </c>
      <c r="P4155">
        <v>350.16</v>
      </c>
    </row>
    <row r="4156" spans="1:16" x14ac:dyDescent="0.25">
      <c r="A4156" t="s">
        <v>3296</v>
      </c>
      <c r="B4156" t="s">
        <v>2931</v>
      </c>
      <c r="C4156">
        <v>15107</v>
      </c>
      <c r="D4156" t="str">
        <f>"4898190     "</f>
        <v xml:space="preserve">4898190     </v>
      </c>
      <c r="E4156" t="s">
        <v>641</v>
      </c>
      <c r="F4156" t="s">
        <v>642</v>
      </c>
      <c r="G4156">
        <v>495.52</v>
      </c>
      <c r="H4156">
        <v>251103</v>
      </c>
      <c r="I4156">
        <v>4600</v>
      </c>
      <c r="J4156" t="s">
        <v>278</v>
      </c>
      <c r="K4156">
        <v>934.97</v>
      </c>
      <c r="L4156">
        <v>100.68</v>
      </c>
      <c r="M4156">
        <v>17633</v>
      </c>
      <c r="N4156" t="s">
        <v>628</v>
      </c>
      <c r="O4156">
        <v>251111</v>
      </c>
      <c r="P4156">
        <v>394.84</v>
      </c>
    </row>
    <row r="4157" spans="1:16" x14ac:dyDescent="0.25">
      <c r="A4157" t="s">
        <v>3296</v>
      </c>
      <c r="B4157" t="s">
        <v>2931</v>
      </c>
      <c r="C4157">
        <v>217</v>
      </c>
      <c r="D4157" t="str">
        <f>"425         "</f>
        <v xml:space="preserve">425         </v>
      </c>
      <c r="E4157" t="s">
        <v>348</v>
      </c>
      <c r="F4157" t="s">
        <v>350</v>
      </c>
      <c r="G4157">
        <v>15.2</v>
      </c>
      <c r="H4157">
        <v>250109</v>
      </c>
      <c r="I4157">
        <v>4534</v>
      </c>
      <c r="J4157" t="s">
        <v>349</v>
      </c>
      <c r="K4157">
        <v>453.92</v>
      </c>
      <c r="L4157">
        <v>3.09</v>
      </c>
      <c r="M4157">
        <v>67522</v>
      </c>
      <c r="N4157" t="s">
        <v>121</v>
      </c>
      <c r="O4157">
        <v>250120</v>
      </c>
      <c r="P4157">
        <v>12.11</v>
      </c>
    </row>
    <row r="4158" spans="1:16" x14ac:dyDescent="0.25">
      <c r="A4158" t="s">
        <v>3296</v>
      </c>
      <c r="B4158" t="s">
        <v>2931</v>
      </c>
      <c r="C4158">
        <v>217</v>
      </c>
      <c r="D4158" t="str">
        <f>"425         "</f>
        <v xml:space="preserve">425         </v>
      </c>
      <c r="E4158" t="s">
        <v>348</v>
      </c>
      <c r="F4158" t="s">
        <v>350</v>
      </c>
      <c r="G4158">
        <v>213.95</v>
      </c>
      <c r="H4158">
        <v>250109</v>
      </c>
      <c r="I4158">
        <v>4554</v>
      </c>
      <c r="J4158" t="s">
        <v>351</v>
      </c>
      <c r="K4158">
        <v>453.92</v>
      </c>
      <c r="L4158">
        <v>26.27</v>
      </c>
      <c r="M4158">
        <v>67522</v>
      </c>
      <c r="N4158" t="s">
        <v>121</v>
      </c>
      <c r="O4158">
        <v>250120</v>
      </c>
      <c r="P4158">
        <v>187.68</v>
      </c>
    </row>
    <row r="4159" spans="1:16" x14ac:dyDescent="0.25">
      <c r="A4159" t="s">
        <v>3296</v>
      </c>
      <c r="B4159" t="s">
        <v>2931</v>
      </c>
      <c r="C4159">
        <v>1737</v>
      </c>
      <c r="D4159" t="str">
        <f>"6025020003  "</f>
        <v xml:space="preserve">6025020003  </v>
      </c>
      <c r="E4159" t="s">
        <v>348</v>
      </c>
      <c r="F4159" t="s">
        <v>350</v>
      </c>
      <c r="G4159">
        <v>166.9</v>
      </c>
      <c r="H4159">
        <v>250207</v>
      </c>
      <c r="I4159">
        <v>4554</v>
      </c>
      <c r="J4159" t="s">
        <v>351</v>
      </c>
      <c r="K4159">
        <v>219.1</v>
      </c>
      <c r="L4159">
        <v>20.5</v>
      </c>
      <c r="M4159">
        <v>67522</v>
      </c>
      <c r="N4159" t="s">
        <v>121</v>
      </c>
      <c r="O4159">
        <v>250213</v>
      </c>
      <c r="P4159">
        <v>146.4</v>
      </c>
    </row>
    <row r="4160" spans="1:16" x14ac:dyDescent="0.25">
      <c r="A4160" t="s">
        <v>3296</v>
      </c>
      <c r="B4160" t="s">
        <v>2931</v>
      </c>
      <c r="C4160">
        <v>4214</v>
      </c>
      <c r="D4160" t="str">
        <f>"6025040004  "</f>
        <v xml:space="preserve">6025040004  </v>
      </c>
      <c r="E4160" t="s">
        <v>348</v>
      </c>
      <c r="F4160" t="s">
        <v>350</v>
      </c>
      <c r="G4160">
        <v>134.25</v>
      </c>
      <c r="H4160">
        <v>250403</v>
      </c>
      <c r="I4160">
        <v>4554</v>
      </c>
      <c r="J4160" t="s">
        <v>351</v>
      </c>
      <c r="K4160">
        <v>134.25</v>
      </c>
      <c r="L4160">
        <v>16.489999999999998</v>
      </c>
      <c r="M4160">
        <v>67522</v>
      </c>
      <c r="N4160" t="s">
        <v>121</v>
      </c>
      <c r="O4160">
        <v>250409</v>
      </c>
      <c r="P4160">
        <v>117.76</v>
      </c>
    </row>
    <row r="4161" spans="1:16" x14ac:dyDescent="0.25">
      <c r="A4161" t="s">
        <v>3296</v>
      </c>
      <c r="B4161" t="s">
        <v>2931</v>
      </c>
      <c r="C4161">
        <v>5877</v>
      </c>
      <c r="D4161" t="str">
        <f>"6025040013  "</f>
        <v xml:space="preserve">6025040013  </v>
      </c>
      <c r="E4161" t="s">
        <v>348</v>
      </c>
      <c r="F4161" t="s">
        <v>350</v>
      </c>
      <c r="G4161">
        <v>58.9</v>
      </c>
      <c r="H4161">
        <v>250428</v>
      </c>
      <c r="I4161">
        <v>4554</v>
      </c>
      <c r="J4161" t="s">
        <v>351</v>
      </c>
      <c r="K4161">
        <v>58.9</v>
      </c>
      <c r="L4161">
        <v>7.23</v>
      </c>
      <c r="M4161">
        <v>67522</v>
      </c>
      <c r="N4161" t="s">
        <v>121</v>
      </c>
      <c r="O4161">
        <v>250507</v>
      </c>
      <c r="P4161">
        <v>51.67</v>
      </c>
    </row>
    <row r="4162" spans="1:16" x14ac:dyDescent="0.25">
      <c r="A4162" t="s">
        <v>3296</v>
      </c>
      <c r="B4162" t="s">
        <v>2931</v>
      </c>
      <c r="C4162">
        <v>6849</v>
      </c>
      <c r="D4162" t="str">
        <f>"6025050003  "</f>
        <v xml:space="preserve">6025050003  </v>
      </c>
      <c r="E4162" t="s">
        <v>348</v>
      </c>
      <c r="F4162" t="s">
        <v>350</v>
      </c>
      <c r="G4162">
        <v>173.65</v>
      </c>
      <c r="H4162">
        <v>250516</v>
      </c>
      <c r="I4162">
        <v>4554</v>
      </c>
      <c r="J4162" t="s">
        <v>351</v>
      </c>
      <c r="K4162">
        <v>173.65</v>
      </c>
      <c r="L4162">
        <v>21.33</v>
      </c>
      <c r="M4162">
        <v>67522</v>
      </c>
      <c r="N4162" t="s">
        <v>121</v>
      </c>
      <c r="O4162">
        <v>250519</v>
      </c>
      <c r="P4162">
        <v>152.32</v>
      </c>
    </row>
    <row r="4163" spans="1:16" x14ac:dyDescent="0.25">
      <c r="A4163" t="s">
        <v>3296</v>
      </c>
      <c r="B4163" t="s">
        <v>2931</v>
      </c>
      <c r="C4163">
        <v>7892</v>
      </c>
      <c r="D4163" t="str">
        <f>"6025050006  "</f>
        <v xml:space="preserve">6025050006  </v>
      </c>
      <c r="E4163" t="s">
        <v>348</v>
      </c>
      <c r="F4163" t="s">
        <v>350</v>
      </c>
      <c r="G4163">
        <v>13.2</v>
      </c>
      <c r="H4163">
        <v>250530</v>
      </c>
      <c r="I4163">
        <v>4554</v>
      </c>
      <c r="J4163" t="s">
        <v>351</v>
      </c>
      <c r="K4163">
        <v>74.95</v>
      </c>
      <c r="L4163">
        <v>1.62</v>
      </c>
      <c r="M4163">
        <v>67522</v>
      </c>
      <c r="N4163" t="s">
        <v>121</v>
      </c>
      <c r="O4163">
        <v>250610</v>
      </c>
      <c r="P4163">
        <v>11.58</v>
      </c>
    </row>
    <row r="4164" spans="1:16" x14ac:dyDescent="0.25">
      <c r="A4164" t="s">
        <v>3296</v>
      </c>
      <c r="B4164" t="s">
        <v>2931</v>
      </c>
      <c r="C4164">
        <v>9298</v>
      </c>
      <c r="D4164" t="str">
        <f>"6025060007  "</f>
        <v xml:space="preserve">6025060007  </v>
      </c>
      <c r="E4164" t="s">
        <v>348</v>
      </c>
      <c r="F4164" t="s">
        <v>350</v>
      </c>
      <c r="G4164">
        <v>106.7</v>
      </c>
      <c r="H4164">
        <v>250627</v>
      </c>
      <c r="I4164">
        <v>4554</v>
      </c>
      <c r="J4164" t="s">
        <v>351</v>
      </c>
      <c r="K4164">
        <v>106.7</v>
      </c>
      <c r="L4164">
        <v>13.1</v>
      </c>
      <c r="M4164">
        <v>67522</v>
      </c>
      <c r="N4164" t="s">
        <v>121</v>
      </c>
      <c r="O4164">
        <v>250703</v>
      </c>
      <c r="P4164">
        <v>93.6</v>
      </c>
    </row>
    <row r="4165" spans="1:16" x14ac:dyDescent="0.25">
      <c r="A4165" t="s">
        <v>3296</v>
      </c>
      <c r="B4165" t="s">
        <v>2931</v>
      </c>
      <c r="C4165">
        <v>10905</v>
      </c>
      <c r="D4165" t="str">
        <f>"6025080005  "</f>
        <v xml:space="preserve">6025080005  </v>
      </c>
      <c r="E4165" t="s">
        <v>348</v>
      </c>
      <c r="F4165" t="s">
        <v>350</v>
      </c>
      <c r="G4165">
        <v>148.94999999999999</v>
      </c>
      <c r="H4165">
        <v>250822</v>
      </c>
      <c r="I4165">
        <v>4554</v>
      </c>
      <c r="J4165" t="s">
        <v>351</v>
      </c>
      <c r="K4165">
        <v>148.94999999999999</v>
      </c>
      <c r="L4165">
        <v>18.29</v>
      </c>
      <c r="M4165">
        <v>67522</v>
      </c>
      <c r="N4165" t="s">
        <v>121</v>
      </c>
      <c r="O4165">
        <v>250827</v>
      </c>
      <c r="P4165">
        <v>130.66</v>
      </c>
    </row>
    <row r="4166" spans="1:16" x14ac:dyDescent="0.25">
      <c r="A4166" t="s">
        <v>3296</v>
      </c>
      <c r="B4166" t="s">
        <v>2931</v>
      </c>
      <c r="C4166">
        <v>12038</v>
      </c>
      <c r="D4166" t="str">
        <f>"6025090004  "</f>
        <v xml:space="preserve">6025090004  </v>
      </c>
      <c r="E4166" t="s">
        <v>348</v>
      </c>
      <c r="F4166" t="s">
        <v>350</v>
      </c>
      <c r="G4166">
        <v>90.2</v>
      </c>
      <c r="H4166">
        <v>250913</v>
      </c>
      <c r="I4166">
        <v>4554</v>
      </c>
      <c r="J4166" t="s">
        <v>351</v>
      </c>
      <c r="K4166">
        <v>90.2</v>
      </c>
      <c r="L4166">
        <v>11.08</v>
      </c>
      <c r="M4166">
        <v>67522</v>
      </c>
      <c r="N4166" t="s">
        <v>121</v>
      </c>
      <c r="O4166">
        <v>250915</v>
      </c>
      <c r="P4166">
        <v>79.12</v>
      </c>
    </row>
    <row r="4167" spans="1:16" x14ac:dyDescent="0.25">
      <c r="A4167" t="s">
        <v>3296</v>
      </c>
      <c r="B4167" t="s">
        <v>2931</v>
      </c>
      <c r="C4167">
        <v>14250</v>
      </c>
      <c r="D4167" t="str">
        <f>"6025100003  "</f>
        <v xml:space="preserve">6025100003  </v>
      </c>
      <c r="E4167" t="s">
        <v>348</v>
      </c>
      <c r="F4167" t="s">
        <v>350</v>
      </c>
      <c r="G4167">
        <v>215.3</v>
      </c>
      <c r="H4167">
        <v>251024</v>
      </c>
      <c r="I4167">
        <v>4554</v>
      </c>
      <c r="J4167" t="s">
        <v>351</v>
      </c>
      <c r="K4167">
        <v>243.83</v>
      </c>
      <c r="L4167">
        <v>26.44</v>
      </c>
      <c r="M4167">
        <v>67522</v>
      </c>
      <c r="N4167" t="s">
        <v>121</v>
      </c>
      <c r="O4167">
        <v>251028</v>
      </c>
      <c r="P4167">
        <v>188.86</v>
      </c>
    </row>
    <row r="4168" spans="1:16" x14ac:dyDescent="0.25">
      <c r="A4168" t="s">
        <v>3296</v>
      </c>
      <c r="B4168" t="s">
        <v>2931</v>
      </c>
      <c r="C4168">
        <v>16468</v>
      </c>
      <c r="D4168" t="str">
        <f>"6025120005  "</f>
        <v xml:space="preserve">6025120005  </v>
      </c>
      <c r="E4168" t="s">
        <v>348</v>
      </c>
      <c r="F4168" t="s">
        <v>350</v>
      </c>
      <c r="G4168">
        <v>363.49</v>
      </c>
      <c r="H4168">
        <v>251204</v>
      </c>
      <c r="I4168">
        <v>4554</v>
      </c>
      <c r="J4168" t="s">
        <v>351</v>
      </c>
      <c r="K4168">
        <v>503.3</v>
      </c>
      <c r="L4168">
        <v>44.64</v>
      </c>
      <c r="M4168">
        <v>67522</v>
      </c>
      <c r="N4168" t="s">
        <v>121</v>
      </c>
      <c r="O4168">
        <v>251209</v>
      </c>
      <c r="P4168">
        <v>318.85000000000002</v>
      </c>
    </row>
    <row r="4169" spans="1:16" x14ac:dyDescent="0.25">
      <c r="A4169" t="s">
        <v>3296</v>
      </c>
      <c r="B4169" t="s">
        <v>2931</v>
      </c>
      <c r="C4169">
        <v>17176</v>
      </c>
      <c r="D4169" t="str">
        <f>"6025120009  "</f>
        <v xml:space="preserve">6025120009  </v>
      </c>
      <c r="E4169" t="s">
        <v>348</v>
      </c>
      <c r="F4169" t="s">
        <v>350</v>
      </c>
      <c r="G4169">
        <v>59.1</v>
      </c>
      <c r="H4169">
        <v>251215</v>
      </c>
      <c r="I4169">
        <v>4554</v>
      </c>
      <c r="J4169" t="s">
        <v>351</v>
      </c>
      <c r="K4169">
        <v>59.1</v>
      </c>
      <c r="L4169">
        <v>7.26</v>
      </c>
      <c r="M4169">
        <v>67522</v>
      </c>
      <c r="N4169" t="s">
        <v>121</v>
      </c>
      <c r="O4169">
        <v>251218</v>
      </c>
      <c r="P4169">
        <v>51.84</v>
      </c>
    </row>
    <row r="4170" spans="1:16" x14ac:dyDescent="0.25">
      <c r="A4170" t="s">
        <v>3296</v>
      </c>
      <c r="B4170" t="s">
        <v>2931</v>
      </c>
      <c r="C4170">
        <v>217</v>
      </c>
      <c r="D4170" t="str">
        <f>"425         "</f>
        <v xml:space="preserve">425         </v>
      </c>
      <c r="E4170" t="s">
        <v>348</v>
      </c>
      <c r="F4170" t="s">
        <v>350</v>
      </c>
      <c r="G4170">
        <v>224.77</v>
      </c>
      <c r="H4170">
        <v>250109</v>
      </c>
      <c r="I4170">
        <v>4555</v>
      </c>
      <c r="J4170" t="s">
        <v>352</v>
      </c>
      <c r="K4170">
        <v>453.92</v>
      </c>
      <c r="L4170">
        <v>45.67</v>
      </c>
      <c r="M4170">
        <v>67522</v>
      </c>
      <c r="N4170" t="s">
        <v>121</v>
      </c>
      <c r="O4170">
        <v>250120</v>
      </c>
      <c r="P4170">
        <v>179.1</v>
      </c>
    </row>
    <row r="4171" spans="1:16" x14ac:dyDescent="0.25">
      <c r="A4171" t="s">
        <v>3296</v>
      </c>
      <c r="B4171" t="s">
        <v>2931</v>
      </c>
      <c r="C4171">
        <v>1737</v>
      </c>
      <c r="D4171" t="str">
        <f>"6025020003  "</f>
        <v xml:space="preserve">6025020003  </v>
      </c>
      <c r="E4171" t="s">
        <v>348</v>
      </c>
      <c r="F4171" t="s">
        <v>350</v>
      </c>
      <c r="G4171">
        <v>52.2</v>
      </c>
      <c r="H4171">
        <v>250207</v>
      </c>
      <c r="I4171">
        <v>4600</v>
      </c>
      <c r="J4171" t="s">
        <v>278</v>
      </c>
      <c r="K4171">
        <v>219.1</v>
      </c>
      <c r="L4171">
        <v>10.61</v>
      </c>
      <c r="M4171">
        <v>67522</v>
      </c>
      <c r="N4171" t="s">
        <v>121</v>
      </c>
      <c r="O4171">
        <v>250213</v>
      </c>
      <c r="P4171">
        <v>41.59</v>
      </c>
    </row>
    <row r="4172" spans="1:16" x14ac:dyDescent="0.25">
      <c r="A4172" t="s">
        <v>3296</v>
      </c>
      <c r="B4172" t="s">
        <v>2931</v>
      </c>
      <c r="C4172">
        <v>7892</v>
      </c>
      <c r="D4172" t="str">
        <f>"6025050006  "</f>
        <v xml:space="preserve">6025050006  </v>
      </c>
      <c r="E4172" t="s">
        <v>348</v>
      </c>
      <c r="F4172" t="s">
        <v>350</v>
      </c>
      <c r="G4172">
        <v>61.75</v>
      </c>
      <c r="H4172">
        <v>250530</v>
      </c>
      <c r="I4172">
        <v>4600</v>
      </c>
      <c r="J4172" t="s">
        <v>278</v>
      </c>
      <c r="K4172">
        <v>74.95</v>
      </c>
      <c r="L4172">
        <v>12.55</v>
      </c>
      <c r="M4172">
        <v>67522</v>
      </c>
      <c r="N4172" t="s">
        <v>121</v>
      </c>
      <c r="O4172">
        <v>250610</v>
      </c>
      <c r="P4172">
        <v>49.2</v>
      </c>
    </row>
    <row r="4173" spans="1:16" x14ac:dyDescent="0.25">
      <c r="A4173" t="s">
        <v>3296</v>
      </c>
      <c r="B4173" t="s">
        <v>2931</v>
      </c>
      <c r="C4173">
        <v>14250</v>
      </c>
      <c r="D4173" t="str">
        <f>"6025100003  "</f>
        <v xml:space="preserve">6025100003  </v>
      </c>
      <c r="E4173" t="s">
        <v>348</v>
      </c>
      <c r="F4173" t="s">
        <v>350</v>
      </c>
      <c r="G4173">
        <v>28.53</v>
      </c>
      <c r="H4173">
        <v>251024</v>
      </c>
      <c r="I4173">
        <v>4600</v>
      </c>
      <c r="J4173" t="s">
        <v>278</v>
      </c>
      <c r="K4173">
        <v>243.83</v>
      </c>
      <c r="L4173">
        <v>5.8</v>
      </c>
      <c r="M4173">
        <v>67522</v>
      </c>
      <c r="N4173" t="s">
        <v>121</v>
      </c>
      <c r="O4173">
        <v>251028</v>
      </c>
      <c r="P4173">
        <v>22.73</v>
      </c>
    </row>
    <row r="4174" spans="1:16" x14ac:dyDescent="0.25">
      <c r="A4174" t="s">
        <v>3296</v>
      </c>
      <c r="B4174" t="s">
        <v>2931</v>
      </c>
      <c r="C4174">
        <v>16468</v>
      </c>
      <c r="D4174" t="str">
        <f>"6025120005  "</f>
        <v xml:space="preserve">6025120005  </v>
      </c>
      <c r="E4174" t="s">
        <v>348</v>
      </c>
      <c r="F4174" t="s">
        <v>350</v>
      </c>
      <c r="G4174">
        <v>139.81</v>
      </c>
      <c r="H4174">
        <v>251204</v>
      </c>
      <c r="I4174">
        <v>4600</v>
      </c>
      <c r="J4174" t="s">
        <v>278</v>
      </c>
      <c r="K4174">
        <v>503.3</v>
      </c>
      <c r="L4174">
        <v>28.41</v>
      </c>
      <c r="M4174">
        <v>67522</v>
      </c>
      <c r="N4174" t="s">
        <v>121</v>
      </c>
      <c r="O4174">
        <v>251209</v>
      </c>
      <c r="P4174">
        <v>111.4</v>
      </c>
    </row>
    <row r="4175" spans="1:16" x14ac:dyDescent="0.25">
      <c r="A4175" t="s">
        <v>3296</v>
      </c>
      <c r="B4175" t="s">
        <v>2931</v>
      </c>
      <c r="C4175">
        <v>10961</v>
      </c>
      <c r="D4175" t="str">
        <f>"1002613     "</f>
        <v xml:space="preserve">1002613     </v>
      </c>
      <c r="E4175" t="s">
        <v>2235</v>
      </c>
      <c r="F4175" t="s">
        <v>2236</v>
      </c>
      <c r="G4175">
        <v>48.84</v>
      </c>
      <c r="H4175">
        <v>250822</v>
      </c>
      <c r="I4175">
        <v>4600</v>
      </c>
      <c r="J4175" t="s">
        <v>278</v>
      </c>
      <c r="K4175">
        <v>97.68</v>
      </c>
      <c r="L4175">
        <v>9.92</v>
      </c>
      <c r="M4175">
        <v>66722</v>
      </c>
      <c r="N4175" t="s">
        <v>118</v>
      </c>
      <c r="O4175">
        <v>250828</v>
      </c>
      <c r="P4175">
        <v>38.92</v>
      </c>
    </row>
    <row r="4176" spans="1:16" x14ac:dyDescent="0.25">
      <c r="A4176" t="s">
        <v>3296</v>
      </c>
      <c r="B4176" t="s">
        <v>2931</v>
      </c>
      <c r="C4176">
        <v>10961</v>
      </c>
      <c r="D4176" t="str">
        <f>"1002613     "</f>
        <v xml:space="preserve">1002613     </v>
      </c>
      <c r="E4176" t="s">
        <v>2235</v>
      </c>
      <c r="F4176" t="s">
        <v>2236</v>
      </c>
      <c r="G4176">
        <v>48.84</v>
      </c>
      <c r="H4176">
        <v>250822</v>
      </c>
      <c r="I4176">
        <v>4600</v>
      </c>
      <c r="J4176" t="s">
        <v>278</v>
      </c>
      <c r="K4176">
        <v>97.68</v>
      </c>
      <c r="L4176">
        <v>9.92</v>
      </c>
      <c r="M4176">
        <v>66754</v>
      </c>
      <c r="N4176" t="s">
        <v>119</v>
      </c>
      <c r="O4176">
        <v>250828</v>
      </c>
      <c r="P4176">
        <v>38.92</v>
      </c>
    </row>
    <row r="4177" spans="1:16" x14ac:dyDescent="0.25">
      <c r="A4177" t="s">
        <v>3296</v>
      </c>
      <c r="B4177" t="s">
        <v>2931</v>
      </c>
      <c r="C4177">
        <v>6707</v>
      </c>
      <c r="D4177" t="str">
        <f>"52274       "</f>
        <v xml:space="preserve">52274       </v>
      </c>
      <c r="E4177" t="s">
        <v>1468</v>
      </c>
      <c r="F4177" t="s">
        <v>1469</v>
      </c>
      <c r="G4177">
        <v>1375.74</v>
      </c>
      <c r="H4177">
        <v>250509</v>
      </c>
      <c r="I4177">
        <v>4400</v>
      </c>
      <c r="J4177" t="s">
        <v>162</v>
      </c>
      <c r="K4177">
        <v>1375.74</v>
      </c>
      <c r="L4177">
        <v>279.52999999999997</v>
      </c>
      <c r="M4177">
        <v>49501</v>
      </c>
      <c r="N4177" t="s">
        <v>110</v>
      </c>
      <c r="O4177">
        <v>250515</v>
      </c>
      <c r="P4177">
        <v>1096.21</v>
      </c>
    </row>
    <row r="4178" spans="1:16" x14ac:dyDescent="0.25">
      <c r="A4178" t="s">
        <v>3296</v>
      </c>
      <c r="B4178" t="s">
        <v>2931</v>
      </c>
      <c r="C4178">
        <v>3574</v>
      </c>
      <c r="D4178" t="str">
        <f>"51950       "</f>
        <v xml:space="preserve">51950       </v>
      </c>
      <c r="E4178" t="s">
        <v>1468</v>
      </c>
      <c r="F4178" t="s">
        <v>1469</v>
      </c>
      <c r="G4178">
        <v>200.8</v>
      </c>
      <c r="H4178">
        <v>250313</v>
      </c>
      <c r="I4178">
        <v>4580</v>
      </c>
      <c r="J4178" t="s">
        <v>126</v>
      </c>
      <c r="K4178">
        <v>200.8</v>
      </c>
      <c r="L4178">
        <v>40.799999999999997</v>
      </c>
      <c r="M4178">
        <v>17807</v>
      </c>
      <c r="N4178" t="s">
        <v>23</v>
      </c>
      <c r="O4178">
        <v>250325</v>
      </c>
      <c r="P4178">
        <v>160</v>
      </c>
    </row>
    <row r="4179" spans="1:16" x14ac:dyDescent="0.25">
      <c r="A4179" t="s">
        <v>3296</v>
      </c>
      <c r="B4179" t="s">
        <v>2931</v>
      </c>
      <c r="C4179">
        <v>6708</v>
      </c>
      <c r="D4179" t="str">
        <f>"11196       "</f>
        <v xml:space="preserve">11196       </v>
      </c>
      <c r="E4179" t="s">
        <v>249</v>
      </c>
      <c r="F4179" t="s">
        <v>251</v>
      </c>
      <c r="G4179">
        <v>69.3</v>
      </c>
      <c r="H4179">
        <v>250509</v>
      </c>
      <c r="I4179">
        <v>4510</v>
      </c>
      <c r="J4179" t="s">
        <v>240</v>
      </c>
      <c r="K4179">
        <v>216.65</v>
      </c>
      <c r="L4179">
        <v>6.3</v>
      </c>
      <c r="M4179">
        <v>66754</v>
      </c>
      <c r="N4179" t="s">
        <v>119</v>
      </c>
      <c r="O4179">
        <v>250515</v>
      </c>
      <c r="P4179">
        <v>63</v>
      </c>
    </row>
    <row r="4180" spans="1:16" x14ac:dyDescent="0.25">
      <c r="A4180" t="s">
        <v>3296</v>
      </c>
      <c r="B4180" t="s">
        <v>2931</v>
      </c>
      <c r="C4180">
        <v>135</v>
      </c>
      <c r="D4180" t="str">
        <f>"080125      "</f>
        <v xml:space="preserve">080125      </v>
      </c>
      <c r="E4180" t="s">
        <v>249</v>
      </c>
      <c r="F4180" t="s">
        <v>251</v>
      </c>
      <c r="G4180">
        <v>18</v>
      </c>
      <c r="H4180">
        <v>250108</v>
      </c>
      <c r="I4180">
        <v>4940</v>
      </c>
      <c r="J4180" t="s">
        <v>250</v>
      </c>
      <c r="K4180">
        <v>18</v>
      </c>
      <c r="L4180">
        <v>0</v>
      </c>
      <c r="M4180">
        <v>66754</v>
      </c>
      <c r="N4180" t="s">
        <v>119</v>
      </c>
      <c r="O4180">
        <v>250113</v>
      </c>
      <c r="P4180">
        <v>18</v>
      </c>
    </row>
    <row r="4181" spans="1:16" x14ac:dyDescent="0.25">
      <c r="A4181" t="s">
        <v>3296</v>
      </c>
      <c r="B4181" t="s">
        <v>2931</v>
      </c>
      <c r="C4181">
        <v>16659</v>
      </c>
      <c r="D4181" t="str">
        <f>"101225      "</f>
        <v xml:space="preserve">101225      </v>
      </c>
      <c r="E4181" t="s">
        <v>249</v>
      </c>
      <c r="F4181" t="s">
        <v>251</v>
      </c>
      <c r="G4181">
        <v>12</v>
      </c>
      <c r="H4181">
        <v>251210</v>
      </c>
      <c r="I4181">
        <v>4940</v>
      </c>
      <c r="J4181" t="s">
        <v>250</v>
      </c>
      <c r="K4181">
        <v>12</v>
      </c>
      <c r="L4181">
        <v>0</v>
      </c>
      <c r="M4181">
        <v>66754</v>
      </c>
      <c r="N4181" t="s">
        <v>119</v>
      </c>
      <c r="O4181">
        <v>251211</v>
      </c>
      <c r="P4181">
        <v>12</v>
      </c>
    </row>
    <row r="4182" spans="1:16" x14ac:dyDescent="0.25">
      <c r="A4182" t="s">
        <v>3296</v>
      </c>
      <c r="B4182" t="s">
        <v>2931</v>
      </c>
      <c r="C4182">
        <v>17648</v>
      </c>
      <c r="D4182" t="str">
        <f>"1001018007  "</f>
        <v xml:space="preserve">1001018007  </v>
      </c>
      <c r="E4182" t="s">
        <v>839</v>
      </c>
      <c r="F4182" t="s">
        <v>840</v>
      </c>
      <c r="G4182">
        <v>1150.01</v>
      </c>
      <c r="H4182">
        <v>251218</v>
      </c>
      <c r="I4182">
        <v>1198</v>
      </c>
      <c r="J4182" t="s">
        <v>610</v>
      </c>
      <c r="K4182">
        <v>1150.01</v>
      </c>
      <c r="L4182">
        <v>233.67</v>
      </c>
      <c r="M4182">
        <v>97629</v>
      </c>
      <c r="N4182" t="s">
        <v>1110</v>
      </c>
      <c r="O4182">
        <v>251229</v>
      </c>
      <c r="P4182">
        <v>916.34</v>
      </c>
    </row>
    <row r="4183" spans="1:16" x14ac:dyDescent="0.25">
      <c r="A4183" t="s">
        <v>3296</v>
      </c>
      <c r="B4183" t="s">
        <v>2931</v>
      </c>
      <c r="C4183">
        <v>1084</v>
      </c>
      <c r="D4183" t="str">
        <f>"1001015200  "</f>
        <v xml:space="preserve">1001015200  </v>
      </c>
      <c r="E4183" t="s">
        <v>839</v>
      </c>
      <c r="F4183" t="s">
        <v>840</v>
      </c>
      <c r="G4183">
        <v>60.1</v>
      </c>
      <c r="H4183">
        <v>250129</v>
      </c>
      <c r="I4183">
        <v>4580</v>
      </c>
      <c r="J4183" t="s">
        <v>126</v>
      </c>
      <c r="K4183">
        <v>60.1</v>
      </c>
      <c r="L4183">
        <v>12.21</v>
      </c>
      <c r="M4183">
        <v>17711</v>
      </c>
      <c r="N4183" t="s">
        <v>155</v>
      </c>
      <c r="O4183">
        <v>250204</v>
      </c>
      <c r="P4183">
        <v>47.89</v>
      </c>
    </row>
    <row r="4184" spans="1:16" x14ac:dyDescent="0.25">
      <c r="A4184" t="s">
        <v>3296</v>
      </c>
      <c r="B4184" t="s">
        <v>2931</v>
      </c>
      <c r="C4184">
        <v>1975</v>
      </c>
      <c r="D4184" t="str">
        <f>"22588       "</f>
        <v xml:space="preserve">22588       </v>
      </c>
      <c r="E4184" t="s">
        <v>1172</v>
      </c>
      <c r="F4184" t="s">
        <v>1173</v>
      </c>
      <c r="G4184">
        <v>65.989999999999995</v>
      </c>
      <c r="H4184">
        <v>250131</v>
      </c>
      <c r="I4184">
        <v>4520</v>
      </c>
      <c r="J4184" t="s">
        <v>280</v>
      </c>
      <c r="K4184">
        <v>65.989999999999995</v>
      </c>
      <c r="L4184">
        <v>8.1</v>
      </c>
      <c r="M4184">
        <v>59803</v>
      </c>
      <c r="N4184" t="s">
        <v>282</v>
      </c>
      <c r="O4184">
        <v>250218</v>
      </c>
      <c r="P4184">
        <v>57.89</v>
      </c>
    </row>
    <row r="4185" spans="1:16" x14ac:dyDescent="0.25">
      <c r="A4185" t="s">
        <v>3296</v>
      </c>
      <c r="B4185" t="s">
        <v>2931</v>
      </c>
      <c r="C4185">
        <v>1976</v>
      </c>
      <c r="D4185" t="str">
        <f>"22587       "</f>
        <v xml:space="preserve">22587       </v>
      </c>
      <c r="E4185" t="s">
        <v>1172</v>
      </c>
      <c r="F4185" t="s">
        <v>1173</v>
      </c>
      <c r="G4185">
        <v>58.71</v>
      </c>
      <c r="H4185">
        <v>250131</v>
      </c>
      <c r="I4185">
        <v>4520</v>
      </c>
      <c r="J4185" t="s">
        <v>280</v>
      </c>
      <c r="K4185">
        <v>58.71</v>
      </c>
      <c r="L4185">
        <v>7.21</v>
      </c>
      <c r="M4185">
        <v>59114</v>
      </c>
      <c r="N4185" t="s">
        <v>299</v>
      </c>
      <c r="O4185">
        <v>250218</v>
      </c>
      <c r="P4185">
        <v>51.5</v>
      </c>
    </row>
    <row r="4186" spans="1:16" x14ac:dyDescent="0.25">
      <c r="A4186" t="s">
        <v>3296</v>
      </c>
      <c r="B4186" t="s">
        <v>2931</v>
      </c>
      <c r="C4186">
        <v>3257</v>
      </c>
      <c r="D4186" t="str">
        <f>"22831       "</f>
        <v xml:space="preserve">22831       </v>
      </c>
      <c r="E4186" t="s">
        <v>1172</v>
      </c>
      <c r="F4186" t="s">
        <v>1173</v>
      </c>
      <c r="G4186">
        <v>248.09</v>
      </c>
      <c r="H4186">
        <v>250228</v>
      </c>
      <c r="I4186">
        <v>4520</v>
      </c>
      <c r="J4186" t="s">
        <v>280</v>
      </c>
      <c r="K4186">
        <v>293.08999999999997</v>
      </c>
      <c r="L4186">
        <v>30.47</v>
      </c>
      <c r="M4186">
        <v>59803</v>
      </c>
      <c r="N4186" t="s">
        <v>282</v>
      </c>
      <c r="O4186">
        <v>250317</v>
      </c>
      <c r="P4186">
        <v>217.62</v>
      </c>
    </row>
    <row r="4187" spans="1:16" x14ac:dyDescent="0.25">
      <c r="A4187" t="s">
        <v>3296</v>
      </c>
      <c r="B4187" t="s">
        <v>2931</v>
      </c>
      <c r="C4187">
        <v>3257</v>
      </c>
      <c r="D4187" t="str">
        <f>"22831       "</f>
        <v xml:space="preserve">22831       </v>
      </c>
      <c r="E4187" t="s">
        <v>1172</v>
      </c>
      <c r="F4187" t="s">
        <v>1173</v>
      </c>
      <c r="G4187">
        <v>45</v>
      </c>
      <c r="H4187">
        <v>250228</v>
      </c>
      <c r="I4187">
        <v>4520</v>
      </c>
      <c r="J4187" t="s">
        <v>280</v>
      </c>
      <c r="K4187">
        <v>293.08999999999997</v>
      </c>
      <c r="L4187">
        <v>5.53</v>
      </c>
      <c r="M4187">
        <v>59805</v>
      </c>
      <c r="N4187" t="s">
        <v>1404</v>
      </c>
      <c r="O4187">
        <v>250317</v>
      </c>
      <c r="P4187">
        <v>39.47</v>
      </c>
    </row>
    <row r="4188" spans="1:16" x14ac:dyDescent="0.25">
      <c r="A4188" t="s">
        <v>3296</v>
      </c>
      <c r="B4188" t="s">
        <v>2931</v>
      </c>
      <c r="C4188">
        <v>3323</v>
      </c>
      <c r="D4188" t="str">
        <f>"22830       "</f>
        <v xml:space="preserve">22830       </v>
      </c>
      <c r="E4188" t="s">
        <v>1172</v>
      </c>
      <c r="F4188" t="s">
        <v>1173</v>
      </c>
      <c r="G4188">
        <v>30.98</v>
      </c>
      <c r="H4188">
        <v>250228</v>
      </c>
      <c r="I4188">
        <v>4520</v>
      </c>
      <c r="J4188" t="s">
        <v>280</v>
      </c>
      <c r="K4188">
        <v>30.98</v>
      </c>
      <c r="L4188">
        <v>3.8</v>
      </c>
      <c r="M4188">
        <v>59114</v>
      </c>
      <c r="N4188" t="s">
        <v>299</v>
      </c>
      <c r="O4188">
        <v>250318</v>
      </c>
      <c r="P4188">
        <v>27.18</v>
      </c>
    </row>
    <row r="4189" spans="1:16" x14ac:dyDescent="0.25">
      <c r="A4189" t="s">
        <v>3296</v>
      </c>
      <c r="B4189" t="s">
        <v>2931</v>
      </c>
      <c r="C4189">
        <v>5011</v>
      </c>
      <c r="D4189" t="str">
        <f>"23095       "</f>
        <v xml:space="preserve">23095       </v>
      </c>
      <c r="E4189" t="s">
        <v>1172</v>
      </c>
      <c r="F4189" t="s">
        <v>1173</v>
      </c>
      <c r="G4189">
        <v>125.55</v>
      </c>
      <c r="H4189">
        <v>250331</v>
      </c>
      <c r="I4189">
        <v>4520</v>
      </c>
      <c r="J4189" t="s">
        <v>280</v>
      </c>
      <c r="K4189">
        <v>125.55</v>
      </c>
      <c r="L4189">
        <v>15.42</v>
      </c>
      <c r="M4189">
        <v>59803</v>
      </c>
      <c r="N4189" t="s">
        <v>282</v>
      </c>
      <c r="O4189">
        <v>250416</v>
      </c>
      <c r="P4189">
        <v>110.13</v>
      </c>
    </row>
    <row r="4190" spans="1:16" x14ac:dyDescent="0.25">
      <c r="A4190" t="s">
        <v>3296</v>
      </c>
      <c r="B4190" t="s">
        <v>2931</v>
      </c>
      <c r="C4190">
        <v>5143</v>
      </c>
      <c r="D4190" t="str">
        <f>"23094       "</f>
        <v xml:space="preserve">23094       </v>
      </c>
      <c r="E4190" t="s">
        <v>1172</v>
      </c>
      <c r="F4190" t="s">
        <v>1173</v>
      </c>
      <c r="G4190">
        <v>22.75</v>
      </c>
      <c r="H4190">
        <v>250331</v>
      </c>
      <c r="I4190">
        <v>4520</v>
      </c>
      <c r="J4190" t="s">
        <v>280</v>
      </c>
      <c r="K4190">
        <v>22.75</v>
      </c>
      <c r="L4190">
        <v>2.79</v>
      </c>
      <c r="M4190">
        <v>59114</v>
      </c>
      <c r="N4190" t="s">
        <v>299</v>
      </c>
      <c r="O4190">
        <v>250417</v>
      </c>
      <c r="P4190">
        <v>19.96</v>
      </c>
    </row>
    <row r="4191" spans="1:16" x14ac:dyDescent="0.25">
      <c r="A4191" t="s">
        <v>3296</v>
      </c>
      <c r="B4191" t="s">
        <v>2931</v>
      </c>
      <c r="C4191">
        <v>6880</v>
      </c>
      <c r="D4191" t="str">
        <f>"23370       "</f>
        <v xml:space="preserve">23370       </v>
      </c>
      <c r="E4191" t="s">
        <v>1172</v>
      </c>
      <c r="F4191" t="s">
        <v>1173</v>
      </c>
      <c r="G4191">
        <v>59.71</v>
      </c>
      <c r="H4191">
        <v>250501</v>
      </c>
      <c r="I4191">
        <v>4520</v>
      </c>
      <c r="J4191" t="s">
        <v>280</v>
      </c>
      <c r="K4191">
        <v>59.71</v>
      </c>
      <c r="L4191">
        <v>7.33</v>
      </c>
      <c r="M4191">
        <v>59114</v>
      </c>
      <c r="N4191" t="s">
        <v>299</v>
      </c>
      <c r="O4191">
        <v>250520</v>
      </c>
      <c r="P4191">
        <v>52.38</v>
      </c>
    </row>
    <row r="4192" spans="1:16" x14ac:dyDescent="0.25">
      <c r="A4192" t="s">
        <v>3296</v>
      </c>
      <c r="B4192" t="s">
        <v>2931</v>
      </c>
      <c r="C4192">
        <v>6998</v>
      </c>
      <c r="D4192" t="str">
        <f>"23371       "</f>
        <v xml:space="preserve">23371       </v>
      </c>
      <c r="E4192" t="s">
        <v>1172</v>
      </c>
      <c r="F4192" t="s">
        <v>1173</v>
      </c>
      <c r="G4192">
        <v>80.819999999999993</v>
      </c>
      <c r="H4192">
        <v>250501</v>
      </c>
      <c r="I4192">
        <v>4520</v>
      </c>
      <c r="J4192" t="s">
        <v>280</v>
      </c>
      <c r="K4192">
        <v>80.819999999999993</v>
      </c>
      <c r="L4192">
        <v>9.93</v>
      </c>
      <c r="M4192">
        <v>59803</v>
      </c>
      <c r="N4192" t="s">
        <v>282</v>
      </c>
      <c r="O4192">
        <v>250521</v>
      </c>
      <c r="P4192">
        <v>70.89</v>
      </c>
    </row>
    <row r="4193" spans="1:16" x14ac:dyDescent="0.25">
      <c r="A4193" t="s">
        <v>3296</v>
      </c>
      <c r="B4193" t="s">
        <v>2931</v>
      </c>
      <c r="C4193">
        <v>9156</v>
      </c>
      <c r="D4193" t="str">
        <f>"23654       "</f>
        <v xml:space="preserve">23654       </v>
      </c>
      <c r="E4193" t="s">
        <v>1172</v>
      </c>
      <c r="F4193" t="s">
        <v>1173</v>
      </c>
      <c r="G4193">
        <v>12.51</v>
      </c>
      <c r="H4193">
        <v>250601</v>
      </c>
      <c r="I4193">
        <v>4520</v>
      </c>
      <c r="J4193" t="s">
        <v>280</v>
      </c>
      <c r="K4193">
        <v>12.51</v>
      </c>
      <c r="L4193">
        <v>1.54</v>
      </c>
      <c r="M4193">
        <v>59114</v>
      </c>
      <c r="N4193" t="s">
        <v>299</v>
      </c>
      <c r="O4193">
        <v>250627</v>
      </c>
      <c r="P4193">
        <v>10.97</v>
      </c>
    </row>
    <row r="4194" spans="1:16" x14ac:dyDescent="0.25">
      <c r="A4194" t="s">
        <v>3296</v>
      </c>
      <c r="B4194" t="s">
        <v>2931</v>
      </c>
      <c r="C4194">
        <v>9159</v>
      </c>
      <c r="D4194" t="str">
        <f>"23653       "</f>
        <v xml:space="preserve">23653       </v>
      </c>
      <c r="E4194" t="s">
        <v>1172</v>
      </c>
      <c r="F4194" t="s">
        <v>1173</v>
      </c>
      <c r="G4194">
        <v>232.88</v>
      </c>
      <c r="H4194">
        <v>250601</v>
      </c>
      <c r="I4194">
        <v>4520</v>
      </c>
      <c r="J4194" t="s">
        <v>280</v>
      </c>
      <c r="K4194">
        <v>232.88</v>
      </c>
      <c r="L4194">
        <v>28.6</v>
      </c>
      <c r="M4194">
        <v>59803</v>
      </c>
      <c r="N4194" t="s">
        <v>282</v>
      </c>
      <c r="O4194">
        <v>250627</v>
      </c>
      <c r="P4194">
        <v>204.28</v>
      </c>
    </row>
    <row r="4195" spans="1:16" x14ac:dyDescent="0.25">
      <c r="A4195" t="s">
        <v>3296</v>
      </c>
      <c r="B4195" t="s">
        <v>2931</v>
      </c>
      <c r="C4195">
        <v>9245</v>
      </c>
      <c r="D4195" t="str">
        <f>"23652       "</f>
        <v xml:space="preserve">23652       </v>
      </c>
      <c r="E4195" t="s">
        <v>1172</v>
      </c>
      <c r="F4195" t="s">
        <v>1173</v>
      </c>
      <c r="G4195">
        <v>84.88</v>
      </c>
      <c r="H4195">
        <v>250601</v>
      </c>
      <c r="I4195">
        <v>4520</v>
      </c>
      <c r="J4195" t="s">
        <v>280</v>
      </c>
      <c r="K4195">
        <v>84.88</v>
      </c>
      <c r="L4195">
        <v>10.42</v>
      </c>
      <c r="M4195">
        <v>54451</v>
      </c>
      <c r="N4195" t="s">
        <v>218</v>
      </c>
      <c r="O4195">
        <v>250701</v>
      </c>
      <c r="P4195">
        <v>74.459999999999994</v>
      </c>
    </row>
    <row r="4196" spans="1:16" x14ac:dyDescent="0.25">
      <c r="A4196" t="s">
        <v>3296</v>
      </c>
      <c r="B4196" t="s">
        <v>2931</v>
      </c>
      <c r="C4196">
        <v>9842</v>
      </c>
      <c r="D4196" t="str">
        <f>"23922       "</f>
        <v xml:space="preserve">23922       </v>
      </c>
      <c r="E4196" t="s">
        <v>1172</v>
      </c>
      <c r="F4196" t="s">
        <v>1173</v>
      </c>
      <c r="G4196">
        <v>97.06</v>
      </c>
      <c r="H4196">
        <v>250723</v>
      </c>
      <c r="I4196">
        <v>4520</v>
      </c>
      <c r="J4196" t="s">
        <v>280</v>
      </c>
      <c r="K4196">
        <v>97.06</v>
      </c>
      <c r="L4196">
        <v>11.92</v>
      </c>
      <c r="M4196">
        <v>59803</v>
      </c>
      <c r="N4196" t="s">
        <v>282</v>
      </c>
      <c r="O4196">
        <v>250729</v>
      </c>
      <c r="P4196">
        <v>85.14</v>
      </c>
    </row>
    <row r="4197" spans="1:16" x14ac:dyDescent="0.25">
      <c r="A4197" t="s">
        <v>3296</v>
      </c>
      <c r="B4197" t="s">
        <v>2931</v>
      </c>
      <c r="C4197">
        <v>9931</v>
      </c>
      <c r="D4197" t="str">
        <f>"23969       "</f>
        <v xml:space="preserve">23969       </v>
      </c>
      <c r="E4197" t="s">
        <v>1172</v>
      </c>
      <c r="F4197" t="s">
        <v>1173</v>
      </c>
      <c r="G4197">
        <v>65.849999999999994</v>
      </c>
      <c r="H4197">
        <v>250731</v>
      </c>
      <c r="I4197">
        <v>4520</v>
      </c>
      <c r="J4197" t="s">
        <v>280</v>
      </c>
      <c r="K4197">
        <v>65.849999999999994</v>
      </c>
      <c r="L4197">
        <v>8.09</v>
      </c>
      <c r="M4197">
        <v>59810</v>
      </c>
      <c r="N4197" t="s">
        <v>1349</v>
      </c>
      <c r="O4197">
        <v>250805</v>
      </c>
      <c r="P4197">
        <v>57.76</v>
      </c>
    </row>
    <row r="4198" spans="1:16" x14ac:dyDescent="0.25">
      <c r="A4198" t="s">
        <v>3296</v>
      </c>
      <c r="B4198" t="s">
        <v>2931</v>
      </c>
      <c r="C4198">
        <v>12646</v>
      </c>
      <c r="D4198" t="str">
        <f>"24364       "</f>
        <v xml:space="preserve">24364       </v>
      </c>
      <c r="E4198" t="s">
        <v>1172</v>
      </c>
      <c r="F4198" t="s">
        <v>1173</v>
      </c>
      <c r="G4198">
        <v>12.44</v>
      </c>
      <c r="H4198">
        <v>250901</v>
      </c>
      <c r="I4198">
        <v>4520</v>
      </c>
      <c r="J4198" t="s">
        <v>280</v>
      </c>
      <c r="K4198">
        <v>12.44</v>
      </c>
      <c r="L4198">
        <v>1.53</v>
      </c>
      <c r="M4198">
        <v>59114</v>
      </c>
      <c r="N4198" t="s">
        <v>299</v>
      </c>
      <c r="O4198">
        <v>250929</v>
      </c>
      <c r="P4198">
        <v>10.91</v>
      </c>
    </row>
    <row r="4199" spans="1:16" x14ac:dyDescent="0.25">
      <c r="A4199" t="s">
        <v>3296</v>
      </c>
      <c r="B4199" t="s">
        <v>2931</v>
      </c>
      <c r="C4199">
        <v>12666</v>
      </c>
      <c r="D4199" t="str">
        <f>"24365       "</f>
        <v xml:space="preserve">24365       </v>
      </c>
      <c r="E4199" t="s">
        <v>1172</v>
      </c>
      <c r="F4199" t="s">
        <v>1173</v>
      </c>
      <c r="G4199">
        <v>177.38</v>
      </c>
      <c r="H4199">
        <v>250901</v>
      </c>
      <c r="I4199">
        <v>4520</v>
      </c>
      <c r="J4199" t="s">
        <v>280</v>
      </c>
      <c r="K4199">
        <v>177.38</v>
      </c>
      <c r="L4199">
        <v>21.78</v>
      </c>
      <c r="M4199">
        <v>59803</v>
      </c>
      <c r="N4199" t="s">
        <v>282</v>
      </c>
      <c r="O4199">
        <v>250929</v>
      </c>
      <c r="P4199">
        <v>155.6</v>
      </c>
    </row>
    <row r="4200" spans="1:16" x14ac:dyDescent="0.25">
      <c r="A4200" t="s">
        <v>3296</v>
      </c>
      <c r="B4200" t="s">
        <v>2931</v>
      </c>
      <c r="C4200">
        <v>13948</v>
      </c>
      <c r="D4200" t="str">
        <f>"24671       "</f>
        <v xml:space="preserve">24671       </v>
      </c>
      <c r="E4200" t="s">
        <v>1172</v>
      </c>
      <c r="F4200" t="s">
        <v>1173</v>
      </c>
      <c r="G4200">
        <v>18.239999999999998</v>
      </c>
      <c r="H4200">
        <v>251001</v>
      </c>
      <c r="I4200">
        <v>4520</v>
      </c>
      <c r="J4200" t="s">
        <v>280</v>
      </c>
      <c r="K4200">
        <v>18.239999999999998</v>
      </c>
      <c r="L4200">
        <v>2.2400000000000002</v>
      </c>
      <c r="M4200">
        <v>59702</v>
      </c>
      <c r="N4200" t="s">
        <v>45</v>
      </c>
      <c r="O4200">
        <v>251021</v>
      </c>
      <c r="P4200">
        <v>16</v>
      </c>
    </row>
    <row r="4201" spans="1:16" x14ac:dyDescent="0.25">
      <c r="A4201" t="s">
        <v>3296</v>
      </c>
      <c r="B4201" t="s">
        <v>2931</v>
      </c>
      <c r="C4201">
        <v>13949</v>
      </c>
      <c r="D4201" t="str">
        <f>"24673       "</f>
        <v xml:space="preserve">24673       </v>
      </c>
      <c r="E4201" t="s">
        <v>1172</v>
      </c>
      <c r="F4201" t="s">
        <v>1173</v>
      </c>
      <c r="G4201">
        <v>41.91</v>
      </c>
      <c r="H4201">
        <v>251001</v>
      </c>
      <c r="I4201">
        <v>4520</v>
      </c>
      <c r="J4201" t="s">
        <v>280</v>
      </c>
      <c r="K4201">
        <v>41.91</v>
      </c>
      <c r="L4201">
        <v>5.15</v>
      </c>
      <c r="M4201">
        <v>59114</v>
      </c>
      <c r="N4201" t="s">
        <v>299</v>
      </c>
      <c r="O4201">
        <v>251021</v>
      </c>
      <c r="P4201">
        <v>36.76</v>
      </c>
    </row>
    <row r="4202" spans="1:16" x14ac:dyDescent="0.25">
      <c r="A4202" t="s">
        <v>3296</v>
      </c>
      <c r="B4202" t="s">
        <v>2931</v>
      </c>
      <c r="C4202">
        <v>13993</v>
      </c>
      <c r="D4202" t="str">
        <f>"24672       "</f>
        <v xml:space="preserve">24672       </v>
      </c>
      <c r="E4202" t="s">
        <v>1172</v>
      </c>
      <c r="F4202" t="s">
        <v>1173</v>
      </c>
      <c r="G4202">
        <v>508.83</v>
      </c>
      <c r="H4202">
        <v>251001</v>
      </c>
      <c r="I4202">
        <v>4520</v>
      </c>
      <c r="J4202" t="s">
        <v>280</v>
      </c>
      <c r="K4202">
        <v>508.83</v>
      </c>
      <c r="L4202">
        <v>62.49</v>
      </c>
      <c r="M4202">
        <v>59803</v>
      </c>
      <c r="N4202" t="s">
        <v>282</v>
      </c>
      <c r="O4202">
        <v>251021</v>
      </c>
      <c r="P4202">
        <v>446.34</v>
      </c>
    </row>
    <row r="4203" spans="1:16" x14ac:dyDescent="0.25">
      <c r="A4203" t="s">
        <v>3296</v>
      </c>
      <c r="B4203" t="s">
        <v>2931</v>
      </c>
      <c r="C4203">
        <v>15109</v>
      </c>
      <c r="D4203" t="str">
        <f>"24779       "</f>
        <v xml:space="preserve">24779       </v>
      </c>
      <c r="E4203" t="s">
        <v>1172</v>
      </c>
      <c r="F4203" t="s">
        <v>1173</v>
      </c>
      <c r="G4203">
        <v>64.41</v>
      </c>
      <c r="H4203">
        <v>251031</v>
      </c>
      <c r="I4203">
        <v>4520</v>
      </c>
      <c r="J4203" t="s">
        <v>280</v>
      </c>
      <c r="K4203">
        <v>64.41</v>
      </c>
      <c r="L4203">
        <v>7.91</v>
      </c>
      <c r="M4203">
        <v>59114</v>
      </c>
      <c r="N4203" t="s">
        <v>299</v>
      </c>
      <c r="O4203">
        <v>251111</v>
      </c>
      <c r="P4203">
        <v>56.5</v>
      </c>
    </row>
    <row r="4204" spans="1:16" x14ac:dyDescent="0.25">
      <c r="A4204" t="s">
        <v>3296</v>
      </c>
      <c r="B4204" t="s">
        <v>2931</v>
      </c>
      <c r="C4204">
        <v>15117</v>
      </c>
      <c r="D4204" t="str">
        <f>"24778       "</f>
        <v xml:space="preserve">24778       </v>
      </c>
      <c r="E4204" t="s">
        <v>1172</v>
      </c>
      <c r="F4204" t="s">
        <v>1173</v>
      </c>
      <c r="G4204">
        <v>95.05</v>
      </c>
      <c r="H4204">
        <v>251031</v>
      </c>
      <c r="I4204">
        <v>4520</v>
      </c>
      <c r="J4204" t="s">
        <v>280</v>
      </c>
      <c r="K4204">
        <v>95.05</v>
      </c>
      <c r="L4204">
        <v>11.67</v>
      </c>
      <c r="M4204">
        <v>59803</v>
      </c>
      <c r="N4204" t="s">
        <v>282</v>
      </c>
      <c r="O4204">
        <v>251111</v>
      </c>
      <c r="P4204">
        <v>83.38</v>
      </c>
    </row>
    <row r="4205" spans="1:16" x14ac:dyDescent="0.25">
      <c r="A4205" t="s">
        <v>3296</v>
      </c>
      <c r="B4205" t="s">
        <v>2931</v>
      </c>
      <c r="C4205">
        <v>17246</v>
      </c>
      <c r="D4205" t="str">
        <f>"25208       "</f>
        <v xml:space="preserve">25208       </v>
      </c>
      <c r="E4205" t="s">
        <v>1172</v>
      </c>
      <c r="F4205" t="s">
        <v>1173</v>
      </c>
      <c r="G4205">
        <v>28.2</v>
      </c>
      <c r="H4205">
        <v>251201</v>
      </c>
      <c r="I4205">
        <v>4520</v>
      </c>
      <c r="J4205" t="s">
        <v>280</v>
      </c>
      <c r="K4205">
        <v>28.2</v>
      </c>
      <c r="L4205">
        <v>3.46</v>
      </c>
      <c r="M4205">
        <v>59114</v>
      </c>
      <c r="N4205" t="s">
        <v>299</v>
      </c>
      <c r="O4205">
        <v>251218</v>
      </c>
      <c r="P4205">
        <v>24.74</v>
      </c>
    </row>
    <row r="4206" spans="1:16" x14ac:dyDescent="0.25">
      <c r="A4206" t="s">
        <v>3296</v>
      </c>
      <c r="B4206" t="s">
        <v>2931</v>
      </c>
      <c r="C4206">
        <v>17248</v>
      </c>
      <c r="D4206" t="str">
        <f>"25209       "</f>
        <v xml:space="preserve">25209       </v>
      </c>
      <c r="E4206" t="s">
        <v>1172</v>
      </c>
      <c r="F4206" t="s">
        <v>1173</v>
      </c>
      <c r="G4206">
        <v>127.25</v>
      </c>
      <c r="H4206">
        <v>251201</v>
      </c>
      <c r="I4206">
        <v>4520</v>
      </c>
      <c r="J4206" t="s">
        <v>280</v>
      </c>
      <c r="K4206">
        <v>127.25</v>
      </c>
      <c r="L4206">
        <v>15.63</v>
      </c>
      <c r="M4206">
        <v>59803</v>
      </c>
      <c r="N4206" t="s">
        <v>282</v>
      </c>
      <c r="O4206">
        <v>251218</v>
      </c>
      <c r="P4206">
        <v>111.62</v>
      </c>
    </row>
    <row r="4207" spans="1:16" x14ac:dyDescent="0.25">
      <c r="A4207" t="s">
        <v>3296</v>
      </c>
      <c r="B4207" t="s">
        <v>2931</v>
      </c>
      <c r="C4207">
        <v>17970</v>
      </c>
      <c r="D4207" t="str">
        <f>"25269       "</f>
        <v xml:space="preserve">25269       </v>
      </c>
      <c r="E4207" t="s">
        <v>1172</v>
      </c>
      <c r="F4207" t="s">
        <v>1173</v>
      </c>
      <c r="G4207">
        <v>148.86000000000001</v>
      </c>
      <c r="H4207">
        <v>251230</v>
      </c>
      <c r="I4207">
        <v>4520</v>
      </c>
      <c r="J4207" t="s">
        <v>280</v>
      </c>
      <c r="K4207">
        <v>148.86000000000001</v>
      </c>
      <c r="L4207">
        <v>18.28</v>
      </c>
      <c r="M4207">
        <v>59803</v>
      </c>
      <c r="N4207" t="s">
        <v>282</v>
      </c>
      <c r="O4207">
        <v>260107</v>
      </c>
      <c r="P4207">
        <v>130.58000000000001</v>
      </c>
    </row>
    <row r="4208" spans="1:16" x14ac:dyDescent="0.25">
      <c r="A4208" t="s">
        <v>3296</v>
      </c>
      <c r="B4208" t="s">
        <v>2931</v>
      </c>
      <c r="C4208">
        <v>17980</v>
      </c>
      <c r="D4208" t="str">
        <f>"25270       "</f>
        <v xml:space="preserve">25270       </v>
      </c>
      <c r="E4208" t="s">
        <v>1172</v>
      </c>
      <c r="F4208" t="s">
        <v>1173</v>
      </c>
      <c r="G4208">
        <v>77.52</v>
      </c>
      <c r="H4208">
        <v>251230</v>
      </c>
      <c r="I4208">
        <v>4520</v>
      </c>
      <c r="J4208" t="s">
        <v>280</v>
      </c>
      <c r="K4208">
        <v>77.52</v>
      </c>
      <c r="L4208">
        <v>9.52</v>
      </c>
      <c r="M4208">
        <v>59114</v>
      </c>
      <c r="N4208" t="s">
        <v>299</v>
      </c>
      <c r="O4208">
        <v>260107</v>
      </c>
      <c r="P4208">
        <v>68</v>
      </c>
    </row>
    <row r="4209" spans="1:16" x14ac:dyDescent="0.25">
      <c r="A4209" t="s">
        <v>3296</v>
      </c>
      <c r="B4209" t="s">
        <v>2931</v>
      </c>
      <c r="C4209">
        <v>13924</v>
      </c>
      <c r="D4209" t="str">
        <f>"10270       "</f>
        <v xml:space="preserve">10270       </v>
      </c>
      <c r="E4209" t="s">
        <v>2458</v>
      </c>
      <c r="F4209" t="s">
        <v>2459</v>
      </c>
      <c r="G4209">
        <v>379.51</v>
      </c>
      <c r="H4209">
        <v>251013</v>
      </c>
      <c r="I4209">
        <v>4860</v>
      </c>
      <c r="J4209" t="s">
        <v>286</v>
      </c>
      <c r="K4209">
        <v>379.51</v>
      </c>
      <c r="L4209">
        <v>77.11</v>
      </c>
      <c r="M4209">
        <v>13801</v>
      </c>
      <c r="N4209" t="s">
        <v>33</v>
      </c>
      <c r="O4209">
        <v>251020</v>
      </c>
      <c r="P4209">
        <v>302.39999999999998</v>
      </c>
    </row>
    <row r="4210" spans="1:16" x14ac:dyDescent="0.25">
      <c r="A4210" t="s">
        <v>3296</v>
      </c>
      <c r="B4210" t="s">
        <v>2931</v>
      </c>
      <c r="C4210">
        <v>1542</v>
      </c>
      <c r="D4210" t="str">
        <f>"24049436    "</f>
        <v xml:space="preserve">24049436    </v>
      </c>
      <c r="E4210" t="s">
        <v>1033</v>
      </c>
      <c r="F4210" t="s">
        <v>1034</v>
      </c>
      <c r="G4210">
        <v>513.70000000000005</v>
      </c>
      <c r="H4210">
        <v>250205</v>
      </c>
      <c r="I4210">
        <v>4600</v>
      </c>
      <c r="J4210" t="s">
        <v>278</v>
      </c>
      <c r="K4210">
        <v>513.70000000000005</v>
      </c>
      <c r="L4210">
        <v>104.38</v>
      </c>
      <c r="M4210">
        <v>66754</v>
      </c>
      <c r="N4210" t="s">
        <v>119</v>
      </c>
      <c r="O4210">
        <v>250211</v>
      </c>
      <c r="P4210">
        <v>409.32</v>
      </c>
    </row>
    <row r="4211" spans="1:16" x14ac:dyDescent="0.25">
      <c r="A4211" t="s">
        <v>3296</v>
      </c>
      <c r="B4211" t="s">
        <v>2931</v>
      </c>
      <c r="C4211">
        <v>1543</v>
      </c>
      <c r="D4211" t="str">
        <f>"22400805    "</f>
        <v xml:space="preserve">22400805    </v>
      </c>
      <c r="E4211" t="s">
        <v>1033</v>
      </c>
      <c r="F4211" t="s">
        <v>1034</v>
      </c>
      <c r="G4211">
        <v>-21.08</v>
      </c>
      <c r="H4211">
        <v>250205</v>
      </c>
      <c r="I4211">
        <v>4600</v>
      </c>
      <c r="J4211" t="s">
        <v>278</v>
      </c>
      <c r="K4211">
        <v>-21.08</v>
      </c>
      <c r="L4211">
        <v>-4.28</v>
      </c>
      <c r="M4211">
        <v>66754</v>
      </c>
      <c r="N4211" t="s">
        <v>119</v>
      </c>
      <c r="O4211">
        <v>250211</v>
      </c>
      <c r="P4211">
        <v>-16.8</v>
      </c>
    </row>
    <row r="4212" spans="1:16" x14ac:dyDescent="0.25">
      <c r="A4212" t="s">
        <v>3296</v>
      </c>
      <c r="B4212" t="s">
        <v>2931</v>
      </c>
      <c r="C4212">
        <v>1797</v>
      </c>
      <c r="D4212" t="str">
        <f>"24050904    "</f>
        <v xml:space="preserve">24050904    </v>
      </c>
      <c r="E4212" t="s">
        <v>1033</v>
      </c>
      <c r="F4212" t="s">
        <v>1034</v>
      </c>
      <c r="G4212">
        <v>630.24</v>
      </c>
      <c r="H4212">
        <v>250212</v>
      </c>
      <c r="I4212">
        <v>4600</v>
      </c>
      <c r="J4212" t="s">
        <v>278</v>
      </c>
      <c r="K4212">
        <v>630.24</v>
      </c>
      <c r="L4212">
        <v>128.06</v>
      </c>
      <c r="M4212">
        <v>66754</v>
      </c>
      <c r="N4212" t="s">
        <v>119</v>
      </c>
      <c r="O4212">
        <v>250214</v>
      </c>
      <c r="P4212">
        <v>502.18</v>
      </c>
    </row>
    <row r="4213" spans="1:16" x14ac:dyDescent="0.25">
      <c r="A4213" t="s">
        <v>3296</v>
      </c>
      <c r="B4213" t="s">
        <v>2931</v>
      </c>
      <c r="C4213">
        <v>1798</v>
      </c>
      <c r="D4213" t="str">
        <f>"24050901    "</f>
        <v xml:space="preserve">24050901    </v>
      </c>
      <c r="E4213" t="s">
        <v>1033</v>
      </c>
      <c r="F4213" t="s">
        <v>1034</v>
      </c>
      <c r="G4213">
        <v>304.33999999999997</v>
      </c>
      <c r="H4213">
        <v>250212</v>
      </c>
      <c r="I4213">
        <v>4600</v>
      </c>
      <c r="J4213" t="s">
        <v>278</v>
      </c>
      <c r="K4213">
        <v>304.33999999999997</v>
      </c>
      <c r="L4213">
        <v>61.84</v>
      </c>
      <c r="M4213">
        <v>66754</v>
      </c>
      <c r="N4213" t="s">
        <v>119</v>
      </c>
      <c r="O4213">
        <v>250214</v>
      </c>
      <c r="P4213">
        <v>242.5</v>
      </c>
    </row>
    <row r="4214" spans="1:16" x14ac:dyDescent="0.25">
      <c r="A4214" t="s">
        <v>3296</v>
      </c>
      <c r="B4214" t="s">
        <v>2931</v>
      </c>
      <c r="C4214">
        <v>1948</v>
      </c>
      <c r="D4214" t="str">
        <f>"24050411    "</f>
        <v xml:space="preserve">24050411    </v>
      </c>
      <c r="E4214" t="s">
        <v>1033</v>
      </c>
      <c r="F4214" t="s">
        <v>1034</v>
      </c>
      <c r="G4214">
        <v>234.26</v>
      </c>
      <c r="H4214">
        <v>250210</v>
      </c>
      <c r="I4214">
        <v>4600</v>
      </c>
      <c r="J4214" t="s">
        <v>278</v>
      </c>
      <c r="K4214">
        <v>234.26</v>
      </c>
      <c r="L4214">
        <v>47.6</v>
      </c>
      <c r="M4214">
        <v>66754</v>
      </c>
      <c r="N4214" t="s">
        <v>119</v>
      </c>
      <c r="O4214">
        <v>250218</v>
      </c>
      <c r="P4214">
        <v>186.66</v>
      </c>
    </row>
    <row r="4215" spans="1:16" x14ac:dyDescent="0.25">
      <c r="A4215" t="s">
        <v>3296</v>
      </c>
      <c r="B4215" t="s">
        <v>2931</v>
      </c>
      <c r="C4215">
        <v>1955</v>
      </c>
      <c r="D4215" t="str">
        <f>"24050900    "</f>
        <v xml:space="preserve">24050900    </v>
      </c>
      <c r="E4215" t="s">
        <v>1033</v>
      </c>
      <c r="F4215" t="s">
        <v>1034</v>
      </c>
      <c r="G4215">
        <v>302.58</v>
      </c>
      <c r="H4215">
        <v>250212</v>
      </c>
      <c r="I4215">
        <v>4600</v>
      </c>
      <c r="J4215" t="s">
        <v>278</v>
      </c>
      <c r="K4215">
        <v>302.58</v>
      </c>
      <c r="L4215">
        <v>61.48</v>
      </c>
      <c r="M4215">
        <v>66754</v>
      </c>
      <c r="N4215" t="s">
        <v>119</v>
      </c>
      <c r="O4215">
        <v>250218</v>
      </c>
      <c r="P4215">
        <v>241.1</v>
      </c>
    </row>
    <row r="4216" spans="1:16" x14ac:dyDescent="0.25">
      <c r="A4216" t="s">
        <v>3296</v>
      </c>
      <c r="B4216" t="s">
        <v>2931</v>
      </c>
      <c r="C4216">
        <v>2561</v>
      </c>
      <c r="D4216" t="str">
        <f>"24053664    "</f>
        <v xml:space="preserve">24053664    </v>
      </c>
      <c r="E4216" t="s">
        <v>1033</v>
      </c>
      <c r="F4216" t="s">
        <v>1034</v>
      </c>
      <c r="G4216">
        <v>140.31</v>
      </c>
      <c r="H4216">
        <v>250224</v>
      </c>
      <c r="I4216">
        <v>4600</v>
      </c>
      <c r="J4216" t="s">
        <v>278</v>
      </c>
      <c r="K4216">
        <v>140.31</v>
      </c>
      <c r="L4216">
        <v>28.51</v>
      </c>
      <c r="M4216">
        <v>66754</v>
      </c>
      <c r="N4216" t="s">
        <v>119</v>
      </c>
      <c r="O4216">
        <v>250305</v>
      </c>
      <c r="P4216">
        <v>111.8</v>
      </c>
    </row>
    <row r="4217" spans="1:16" x14ac:dyDescent="0.25">
      <c r="A4217" t="s">
        <v>3296</v>
      </c>
      <c r="B4217" t="s">
        <v>2931</v>
      </c>
      <c r="C4217">
        <v>2600</v>
      </c>
      <c r="D4217" t="str">
        <f>"24054164    "</f>
        <v xml:space="preserve">24054164    </v>
      </c>
      <c r="E4217" t="s">
        <v>1033</v>
      </c>
      <c r="F4217" t="s">
        <v>1034</v>
      </c>
      <c r="G4217">
        <v>63.25</v>
      </c>
      <c r="H4217">
        <v>250226</v>
      </c>
      <c r="I4217">
        <v>4600</v>
      </c>
      <c r="J4217" t="s">
        <v>278</v>
      </c>
      <c r="K4217">
        <v>63.25</v>
      </c>
      <c r="L4217">
        <v>12.85</v>
      </c>
      <c r="M4217">
        <v>65422</v>
      </c>
      <c r="N4217" t="s">
        <v>117</v>
      </c>
      <c r="O4217">
        <v>250307</v>
      </c>
      <c r="P4217">
        <v>50.4</v>
      </c>
    </row>
    <row r="4218" spans="1:16" x14ac:dyDescent="0.25">
      <c r="A4218" t="s">
        <v>3296</v>
      </c>
      <c r="B4218" t="s">
        <v>2931</v>
      </c>
      <c r="C4218">
        <v>2601</v>
      </c>
      <c r="D4218" t="str">
        <f>"24054167    "</f>
        <v xml:space="preserve">24054167    </v>
      </c>
      <c r="E4218" t="s">
        <v>1033</v>
      </c>
      <c r="F4218" t="s">
        <v>1034</v>
      </c>
      <c r="G4218">
        <v>165.91</v>
      </c>
      <c r="H4218">
        <v>250226</v>
      </c>
      <c r="I4218">
        <v>4600</v>
      </c>
      <c r="J4218" t="s">
        <v>278</v>
      </c>
      <c r="K4218">
        <v>165.91</v>
      </c>
      <c r="L4218">
        <v>33.71</v>
      </c>
      <c r="M4218">
        <v>65422</v>
      </c>
      <c r="N4218" t="s">
        <v>117</v>
      </c>
      <c r="O4218">
        <v>250307</v>
      </c>
      <c r="P4218">
        <v>132.19999999999999</v>
      </c>
    </row>
    <row r="4219" spans="1:16" x14ac:dyDescent="0.25">
      <c r="A4219" t="s">
        <v>3296</v>
      </c>
      <c r="B4219" t="s">
        <v>2931</v>
      </c>
      <c r="C4219">
        <v>2719</v>
      </c>
      <c r="D4219" t="str">
        <f>"24054980    "</f>
        <v xml:space="preserve">24054980    </v>
      </c>
      <c r="E4219" t="s">
        <v>1033</v>
      </c>
      <c r="F4219" t="s">
        <v>1034</v>
      </c>
      <c r="G4219">
        <v>296.49</v>
      </c>
      <c r="H4219">
        <v>250228</v>
      </c>
      <c r="I4219">
        <v>4600</v>
      </c>
      <c r="J4219" t="s">
        <v>278</v>
      </c>
      <c r="K4219">
        <v>296.49</v>
      </c>
      <c r="L4219">
        <v>60.24</v>
      </c>
      <c r="M4219">
        <v>66722</v>
      </c>
      <c r="N4219" t="s">
        <v>118</v>
      </c>
      <c r="O4219">
        <v>250311</v>
      </c>
      <c r="P4219">
        <v>236.25</v>
      </c>
    </row>
    <row r="4220" spans="1:16" x14ac:dyDescent="0.25">
      <c r="A4220" t="s">
        <v>3296</v>
      </c>
      <c r="B4220" t="s">
        <v>2931</v>
      </c>
      <c r="C4220">
        <v>2822</v>
      </c>
      <c r="D4220" t="str">
        <f>"24055477    "</f>
        <v xml:space="preserve">24055477    </v>
      </c>
      <c r="E4220" t="s">
        <v>1033</v>
      </c>
      <c r="F4220" t="s">
        <v>1034</v>
      </c>
      <c r="G4220">
        <v>108.81</v>
      </c>
      <c r="H4220">
        <v>250305</v>
      </c>
      <c r="I4220">
        <v>4600</v>
      </c>
      <c r="J4220" t="s">
        <v>278</v>
      </c>
      <c r="K4220">
        <v>108.81</v>
      </c>
      <c r="L4220">
        <v>22.11</v>
      </c>
      <c r="M4220">
        <v>66754</v>
      </c>
      <c r="N4220" t="s">
        <v>119</v>
      </c>
      <c r="O4220">
        <v>250312</v>
      </c>
      <c r="P4220">
        <v>86.7</v>
      </c>
    </row>
    <row r="4221" spans="1:16" x14ac:dyDescent="0.25">
      <c r="A4221" t="s">
        <v>3296</v>
      </c>
      <c r="B4221" t="s">
        <v>2931</v>
      </c>
      <c r="C4221">
        <v>2898</v>
      </c>
      <c r="D4221" t="str">
        <f>"24055474    "</f>
        <v xml:space="preserve">24055474    </v>
      </c>
      <c r="E4221" t="s">
        <v>1033</v>
      </c>
      <c r="F4221" t="s">
        <v>1034</v>
      </c>
      <c r="G4221">
        <v>181.79</v>
      </c>
      <c r="H4221">
        <v>250305</v>
      </c>
      <c r="I4221">
        <v>4600</v>
      </c>
      <c r="J4221" t="s">
        <v>278</v>
      </c>
      <c r="K4221">
        <v>181.79</v>
      </c>
      <c r="L4221">
        <v>36.94</v>
      </c>
      <c r="M4221">
        <v>66754</v>
      </c>
      <c r="N4221" t="s">
        <v>119</v>
      </c>
      <c r="O4221">
        <v>250313</v>
      </c>
      <c r="P4221">
        <v>144.85</v>
      </c>
    </row>
    <row r="4222" spans="1:16" x14ac:dyDescent="0.25">
      <c r="A4222" t="s">
        <v>3296</v>
      </c>
      <c r="B4222" t="s">
        <v>2931</v>
      </c>
      <c r="C4222">
        <v>2899</v>
      </c>
      <c r="D4222" t="str">
        <f>"24055467    "</f>
        <v xml:space="preserve">24055467    </v>
      </c>
      <c r="E4222" t="s">
        <v>1033</v>
      </c>
      <c r="F4222" t="s">
        <v>1034</v>
      </c>
      <c r="G4222">
        <v>38.909999999999997</v>
      </c>
      <c r="H4222">
        <v>250305</v>
      </c>
      <c r="I4222">
        <v>4600</v>
      </c>
      <c r="J4222" t="s">
        <v>278</v>
      </c>
      <c r="K4222">
        <v>38.909999999999997</v>
      </c>
      <c r="L4222">
        <v>7.91</v>
      </c>
      <c r="M4222">
        <v>66754</v>
      </c>
      <c r="N4222" t="s">
        <v>119</v>
      </c>
      <c r="O4222">
        <v>250313</v>
      </c>
      <c r="P4222">
        <v>31</v>
      </c>
    </row>
    <row r="4223" spans="1:16" x14ac:dyDescent="0.25">
      <c r="A4223" t="s">
        <v>3296</v>
      </c>
      <c r="B4223" t="s">
        <v>2931</v>
      </c>
      <c r="C4223">
        <v>2900</v>
      </c>
      <c r="D4223" t="str">
        <f>"24055466    "</f>
        <v xml:space="preserve">24055466    </v>
      </c>
      <c r="E4223" t="s">
        <v>1033</v>
      </c>
      <c r="F4223" t="s">
        <v>1034</v>
      </c>
      <c r="G4223">
        <v>169.55</v>
      </c>
      <c r="H4223">
        <v>250305</v>
      </c>
      <c r="I4223">
        <v>4600</v>
      </c>
      <c r="J4223" t="s">
        <v>278</v>
      </c>
      <c r="K4223">
        <v>169.55</v>
      </c>
      <c r="L4223">
        <v>34.450000000000003</v>
      </c>
      <c r="M4223">
        <v>66754</v>
      </c>
      <c r="N4223" t="s">
        <v>119</v>
      </c>
      <c r="O4223">
        <v>250313</v>
      </c>
      <c r="P4223">
        <v>135.1</v>
      </c>
    </row>
    <row r="4224" spans="1:16" x14ac:dyDescent="0.25">
      <c r="A4224" t="s">
        <v>3296</v>
      </c>
      <c r="B4224" t="s">
        <v>2931</v>
      </c>
      <c r="C4224">
        <v>3437</v>
      </c>
      <c r="D4224" t="str">
        <f>"24056883    "</f>
        <v xml:space="preserve">24056883    </v>
      </c>
      <c r="E4224" t="s">
        <v>1033</v>
      </c>
      <c r="F4224" t="s">
        <v>1034</v>
      </c>
      <c r="G4224">
        <v>187.33</v>
      </c>
      <c r="H4224">
        <v>250312</v>
      </c>
      <c r="I4224">
        <v>4600</v>
      </c>
      <c r="J4224" t="s">
        <v>278</v>
      </c>
      <c r="K4224">
        <v>187.33</v>
      </c>
      <c r="L4224">
        <v>38.06</v>
      </c>
      <c r="M4224">
        <v>66754</v>
      </c>
      <c r="N4224" t="s">
        <v>119</v>
      </c>
      <c r="O4224">
        <v>250321</v>
      </c>
      <c r="P4224">
        <v>149.27000000000001</v>
      </c>
    </row>
    <row r="4225" spans="1:16" x14ac:dyDescent="0.25">
      <c r="A4225" t="s">
        <v>3296</v>
      </c>
      <c r="B4225" t="s">
        <v>2931</v>
      </c>
      <c r="C4225">
        <v>3440</v>
      </c>
      <c r="D4225" t="str">
        <f>"24056348    "</f>
        <v xml:space="preserve">24056348    </v>
      </c>
      <c r="E4225" t="s">
        <v>1033</v>
      </c>
      <c r="F4225" t="s">
        <v>1034</v>
      </c>
      <c r="G4225">
        <v>117.97</v>
      </c>
      <c r="H4225">
        <v>250310</v>
      </c>
      <c r="I4225">
        <v>4600</v>
      </c>
      <c r="J4225" t="s">
        <v>278</v>
      </c>
      <c r="K4225">
        <v>117.97</v>
      </c>
      <c r="L4225">
        <v>23.97</v>
      </c>
      <c r="M4225">
        <v>66754</v>
      </c>
      <c r="N4225" t="s">
        <v>119</v>
      </c>
      <c r="O4225">
        <v>250324</v>
      </c>
      <c r="P4225">
        <v>94</v>
      </c>
    </row>
    <row r="4226" spans="1:16" x14ac:dyDescent="0.25">
      <c r="A4226" t="s">
        <v>3296</v>
      </c>
      <c r="B4226" t="s">
        <v>2931</v>
      </c>
      <c r="C4226">
        <v>3442</v>
      </c>
      <c r="D4226" t="str">
        <f>"24056880    "</f>
        <v xml:space="preserve">24056880    </v>
      </c>
      <c r="E4226" t="s">
        <v>1033</v>
      </c>
      <c r="F4226" t="s">
        <v>1034</v>
      </c>
      <c r="G4226">
        <v>34.08</v>
      </c>
      <c r="H4226">
        <v>250312</v>
      </c>
      <c r="I4226">
        <v>4600</v>
      </c>
      <c r="J4226" t="s">
        <v>278</v>
      </c>
      <c r="K4226">
        <v>380.39</v>
      </c>
      <c r="L4226">
        <v>6.92</v>
      </c>
      <c r="M4226">
        <v>65422</v>
      </c>
      <c r="N4226" t="s">
        <v>117</v>
      </c>
      <c r="O4226">
        <v>250324</v>
      </c>
      <c r="P4226">
        <v>27.16</v>
      </c>
    </row>
    <row r="4227" spans="1:16" x14ac:dyDescent="0.25">
      <c r="A4227" t="s">
        <v>3296</v>
      </c>
      <c r="B4227" t="s">
        <v>2931</v>
      </c>
      <c r="C4227">
        <v>3442</v>
      </c>
      <c r="D4227" t="str">
        <f>"24056880    "</f>
        <v xml:space="preserve">24056880    </v>
      </c>
      <c r="E4227" t="s">
        <v>1033</v>
      </c>
      <c r="F4227" t="s">
        <v>1034</v>
      </c>
      <c r="G4227">
        <v>136.31</v>
      </c>
      <c r="H4227">
        <v>250312</v>
      </c>
      <c r="I4227">
        <v>4600</v>
      </c>
      <c r="J4227" t="s">
        <v>278</v>
      </c>
      <c r="K4227">
        <v>380.39</v>
      </c>
      <c r="L4227">
        <v>27.7</v>
      </c>
      <c r="M4227">
        <v>65422</v>
      </c>
      <c r="N4227" t="s">
        <v>117</v>
      </c>
      <c r="O4227">
        <v>250324</v>
      </c>
      <c r="P4227">
        <v>108.61</v>
      </c>
    </row>
    <row r="4228" spans="1:16" x14ac:dyDescent="0.25">
      <c r="A4228" t="s">
        <v>3296</v>
      </c>
      <c r="B4228" t="s">
        <v>2931</v>
      </c>
      <c r="C4228">
        <v>3442</v>
      </c>
      <c r="D4228" t="str">
        <f>"24056880    "</f>
        <v xml:space="preserve">24056880    </v>
      </c>
      <c r="E4228" t="s">
        <v>1033</v>
      </c>
      <c r="F4228" t="s">
        <v>1034</v>
      </c>
      <c r="G4228">
        <v>60</v>
      </c>
      <c r="H4228">
        <v>250312</v>
      </c>
      <c r="I4228">
        <v>4600</v>
      </c>
      <c r="J4228" t="s">
        <v>278</v>
      </c>
      <c r="K4228">
        <v>380.39</v>
      </c>
      <c r="L4228">
        <v>12.19</v>
      </c>
      <c r="M4228">
        <v>66722</v>
      </c>
      <c r="N4228" t="s">
        <v>118</v>
      </c>
      <c r="O4228">
        <v>250324</v>
      </c>
      <c r="P4228">
        <v>47.81</v>
      </c>
    </row>
    <row r="4229" spans="1:16" x14ac:dyDescent="0.25">
      <c r="A4229" t="s">
        <v>3296</v>
      </c>
      <c r="B4229" t="s">
        <v>2931</v>
      </c>
      <c r="C4229">
        <v>3442</v>
      </c>
      <c r="D4229" t="str">
        <f>"24056880    "</f>
        <v xml:space="preserve">24056880    </v>
      </c>
      <c r="E4229" t="s">
        <v>1033</v>
      </c>
      <c r="F4229" t="s">
        <v>1034</v>
      </c>
      <c r="G4229">
        <v>150</v>
      </c>
      <c r="H4229">
        <v>250312</v>
      </c>
      <c r="I4229">
        <v>4600</v>
      </c>
      <c r="J4229" t="s">
        <v>278</v>
      </c>
      <c r="K4229">
        <v>380.39</v>
      </c>
      <c r="L4229">
        <v>30.48</v>
      </c>
      <c r="M4229">
        <v>66754</v>
      </c>
      <c r="N4229" t="s">
        <v>119</v>
      </c>
      <c r="O4229">
        <v>250324</v>
      </c>
      <c r="P4229">
        <v>119.52</v>
      </c>
    </row>
    <row r="4230" spans="1:16" x14ac:dyDescent="0.25">
      <c r="A4230" t="s">
        <v>3296</v>
      </c>
      <c r="B4230" t="s">
        <v>2931</v>
      </c>
      <c r="C4230">
        <v>3570</v>
      </c>
      <c r="D4230" t="str">
        <f>"24058326    "</f>
        <v xml:space="preserve">24058326    </v>
      </c>
      <c r="E4230" t="s">
        <v>1033</v>
      </c>
      <c r="F4230" t="s">
        <v>1034</v>
      </c>
      <c r="G4230">
        <v>127.78</v>
      </c>
      <c r="H4230">
        <v>250317</v>
      </c>
      <c r="I4230">
        <v>4600</v>
      </c>
      <c r="J4230" t="s">
        <v>278</v>
      </c>
      <c r="K4230">
        <v>127.78</v>
      </c>
      <c r="L4230">
        <v>25.96</v>
      </c>
      <c r="M4230">
        <v>66722</v>
      </c>
      <c r="N4230" t="s">
        <v>118</v>
      </c>
      <c r="O4230">
        <v>250325</v>
      </c>
      <c r="P4230">
        <v>101.82</v>
      </c>
    </row>
    <row r="4231" spans="1:16" x14ac:dyDescent="0.25">
      <c r="A4231" t="s">
        <v>3296</v>
      </c>
      <c r="B4231" t="s">
        <v>2931</v>
      </c>
      <c r="C4231">
        <v>3608</v>
      </c>
      <c r="D4231" t="str">
        <f>"24059038    "</f>
        <v xml:space="preserve">24059038    </v>
      </c>
      <c r="E4231" t="s">
        <v>1033</v>
      </c>
      <c r="F4231" t="s">
        <v>1034</v>
      </c>
      <c r="G4231">
        <v>56.98</v>
      </c>
      <c r="H4231">
        <v>250319</v>
      </c>
      <c r="I4231">
        <v>4600</v>
      </c>
      <c r="J4231" t="s">
        <v>278</v>
      </c>
      <c r="K4231">
        <v>56.98</v>
      </c>
      <c r="L4231">
        <v>11.58</v>
      </c>
      <c r="M4231">
        <v>66754</v>
      </c>
      <c r="N4231" t="s">
        <v>119</v>
      </c>
      <c r="O4231">
        <v>250326</v>
      </c>
      <c r="P4231">
        <v>45.4</v>
      </c>
    </row>
    <row r="4232" spans="1:16" x14ac:dyDescent="0.25">
      <c r="A4232" t="s">
        <v>3296</v>
      </c>
      <c r="B4232" t="s">
        <v>2931</v>
      </c>
      <c r="C4232">
        <v>3612</v>
      </c>
      <c r="D4232" t="str">
        <f>"24059037    "</f>
        <v xml:space="preserve">24059037    </v>
      </c>
      <c r="E4232" t="s">
        <v>1033</v>
      </c>
      <c r="F4232" t="s">
        <v>1034</v>
      </c>
      <c r="G4232">
        <v>81.569999999999993</v>
      </c>
      <c r="H4232">
        <v>250319</v>
      </c>
      <c r="I4232">
        <v>4600</v>
      </c>
      <c r="J4232" t="s">
        <v>278</v>
      </c>
      <c r="K4232">
        <v>163.15</v>
      </c>
      <c r="L4232">
        <v>16.57</v>
      </c>
      <c r="M4232">
        <v>65422</v>
      </c>
      <c r="N4232" t="s">
        <v>117</v>
      </c>
      <c r="O4232">
        <v>250326</v>
      </c>
      <c r="P4232">
        <v>65</v>
      </c>
    </row>
    <row r="4233" spans="1:16" x14ac:dyDescent="0.25">
      <c r="A4233" t="s">
        <v>3296</v>
      </c>
      <c r="B4233" t="s">
        <v>2931</v>
      </c>
      <c r="C4233">
        <v>3612</v>
      </c>
      <c r="D4233" t="str">
        <f>"24059037    "</f>
        <v xml:space="preserve">24059037    </v>
      </c>
      <c r="E4233" t="s">
        <v>1033</v>
      </c>
      <c r="F4233" t="s">
        <v>1034</v>
      </c>
      <c r="G4233">
        <v>81.58</v>
      </c>
      <c r="H4233">
        <v>250319</v>
      </c>
      <c r="I4233">
        <v>4600</v>
      </c>
      <c r="J4233" t="s">
        <v>278</v>
      </c>
      <c r="K4233">
        <v>163.15</v>
      </c>
      <c r="L4233">
        <v>16.579999999999998</v>
      </c>
      <c r="M4233">
        <v>66722</v>
      </c>
      <c r="N4233" t="s">
        <v>118</v>
      </c>
      <c r="O4233">
        <v>250326</v>
      </c>
      <c r="P4233">
        <v>65</v>
      </c>
    </row>
    <row r="4234" spans="1:16" x14ac:dyDescent="0.25">
      <c r="A4234" t="s">
        <v>3296</v>
      </c>
      <c r="B4234" t="s">
        <v>2931</v>
      </c>
      <c r="C4234">
        <v>4017</v>
      </c>
      <c r="D4234" t="str">
        <f>"24060596    "</f>
        <v xml:space="preserve">24060596    </v>
      </c>
      <c r="E4234" t="s">
        <v>1033</v>
      </c>
      <c r="F4234" t="s">
        <v>1034</v>
      </c>
      <c r="G4234">
        <v>95.51</v>
      </c>
      <c r="H4234">
        <v>250326</v>
      </c>
      <c r="I4234">
        <v>4600</v>
      </c>
      <c r="J4234" t="s">
        <v>278</v>
      </c>
      <c r="K4234">
        <v>95.51</v>
      </c>
      <c r="L4234">
        <v>19.41</v>
      </c>
      <c r="M4234">
        <v>66754</v>
      </c>
      <c r="N4234" t="s">
        <v>119</v>
      </c>
      <c r="O4234">
        <v>250407</v>
      </c>
      <c r="P4234">
        <v>76.099999999999994</v>
      </c>
    </row>
    <row r="4235" spans="1:16" x14ac:dyDescent="0.25">
      <c r="A4235" t="s">
        <v>3296</v>
      </c>
      <c r="B4235" t="s">
        <v>2931</v>
      </c>
      <c r="C4235">
        <v>4245</v>
      </c>
      <c r="D4235" t="str">
        <f>"24061684    "</f>
        <v xml:space="preserve">24061684    </v>
      </c>
      <c r="E4235" t="s">
        <v>1033</v>
      </c>
      <c r="F4235" t="s">
        <v>1034</v>
      </c>
      <c r="G4235">
        <v>9.6</v>
      </c>
      <c r="H4235">
        <v>250331</v>
      </c>
      <c r="I4235">
        <v>4600</v>
      </c>
      <c r="J4235" t="s">
        <v>278</v>
      </c>
      <c r="K4235">
        <v>59.68</v>
      </c>
      <c r="L4235">
        <v>1.95</v>
      </c>
      <c r="M4235">
        <v>66722</v>
      </c>
      <c r="N4235" t="s">
        <v>118</v>
      </c>
      <c r="O4235">
        <v>250409</v>
      </c>
      <c r="P4235">
        <v>7.65</v>
      </c>
    </row>
    <row r="4236" spans="1:16" x14ac:dyDescent="0.25">
      <c r="A4236" t="s">
        <v>3296</v>
      </c>
      <c r="B4236" t="s">
        <v>2931</v>
      </c>
      <c r="C4236">
        <v>4245</v>
      </c>
      <c r="D4236" t="str">
        <f>"24061684    "</f>
        <v xml:space="preserve">24061684    </v>
      </c>
      <c r="E4236" t="s">
        <v>1033</v>
      </c>
      <c r="F4236" t="s">
        <v>1034</v>
      </c>
      <c r="G4236">
        <v>50.08</v>
      </c>
      <c r="H4236">
        <v>250331</v>
      </c>
      <c r="I4236">
        <v>4600</v>
      </c>
      <c r="J4236" t="s">
        <v>278</v>
      </c>
      <c r="K4236">
        <v>59.68</v>
      </c>
      <c r="L4236">
        <v>10.18</v>
      </c>
      <c r="M4236">
        <v>66754</v>
      </c>
      <c r="N4236" t="s">
        <v>119</v>
      </c>
      <c r="O4236">
        <v>250409</v>
      </c>
      <c r="P4236">
        <v>39.9</v>
      </c>
    </row>
    <row r="4237" spans="1:16" x14ac:dyDescent="0.25">
      <c r="A4237" t="s">
        <v>3296</v>
      </c>
      <c r="B4237" t="s">
        <v>2931</v>
      </c>
      <c r="C4237">
        <v>4325</v>
      </c>
      <c r="D4237" t="str">
        <f>"24062652    "</f>
        <v xml:space="preserve">24062652    </v>
      </c>
      <c r="E4237" t="s">
        <v>1033</v>
      </c>
      <c r="F4237" t="s">
        <v>1034</v>
      </c>
      <c r="G4237">
        <v>81.58</v>
      </c>
      <c r="H4237">
        <v>250331</v>
      </c>
      <c r="I4237">
        <v>4600</v>
      </c>
      <c r="J4237" t="s">
        <v>278</v>
      </c>
      <c r="K4237">
        <v>81.58</v>
      </c>
      <c r="L4237">
        <v>16.579999999999998</v>
      </c>
      <c r="M4237">
        <v>66754</v>
      </c>
      <c r="N4237" t="s">
        <v>119</v>
      </c>
      <c r="O4237">
        <v>250411</v>
      </c>
      <c r="P4237">
        <v>65</v>
      </c>
    </row>
    <row r="4238" spans="1:16" x14ac:dyDescent="0.25">
      <c r="A4238" t="s">
        <v>3296</v>
      </c>
      <c r="B4238" t="s">
        <v>2931</v>
      </c>
      <c r="C4238">
        <v>4338</v>
      </c>
      <c r="D4238" t="str">
        <f>"24062651    "</f>
        <v xml:space="preserve">24062651    </v>
      </c>
      <c r="E4238" t="s">
        <v>1033</v>
      </c>
      <c r="F4238" t="s">
        <v>1034</v>
      </c>
      <c r="G4238">
        <v>67.72</v>
      </c>
      <c r="H4238">
        <v>250331</v>
      </c>
      <c r="I4238">
        <v>4600</v>
      </c>
      <c r="J4238" t="s">
        <v>278</v>
      </c>
      <c r="K4238">
        <v>135.43</v>
      </c>
      <c r="L4238">
        <v>13.76</v>
      </c>
      <c r="M4238">
        <v>66722</v>
      </c>
      <c r="N4238" t="s">
        <v>118</v>
      </c>
      <c r="O4238">
        <v>250411</v>
      </c>
      <c r="P4238">
        <v>53.96</v>
      </c>
    </row>
    <row r="4239" spans="1:16" x14ac:dyDescent="0.25">
      <c r="A4239" t="s">
        <v>3296</v>
      </c>
      <c r="B4239" t="s">
        <v>2931</v>
      </c>
      <c r="C4239">
        <v>4338</v>
      </c>
      <c r="D4239" t="str">
        <f>"24062651    "</f>
        <v xml:space="preserve">24062651    </v>
      </c>
      <c r="E4239" t="s">
        <v>1033</v>
      </c>
      <c r="F4239" t="s">
        <v>1034</v>
      </c>
      <c r="G4239">
        <v>67.709999999999994</v>
      </c>
      <c r="H4239">
        <v>250331</v>
      </c>
      <c r="I4239">
        <v>4600</v>
      </c>
      <c r="J4239" t="s">
        <v>278</v>
      </c>
      <c r="K4239">
        <v>135.43</v>
      </c>
      <c r="L4239">
        <v>13.76</v>
      </c>
      <c r="M4239">
        <v>66754</v>
      </c>
      <c r="N4239" t="s">
        <v>119</v>
      </c>
      <c r="O4239">
        <v>250411</v>
      </c>
      <c r="P4239">
        <v>53.95</v>
      </c>
    </row>
    <row r="4240" spans="1:16" x14ac:dyDescent="0.25">
      <c r="A4240" t="s">
        <v>3296</v>
      </c>
      <c r="B4240" t="s">
        <v>2931</v>
      </c>
      <c r="C4240">
        <v>4787</v>
      </c>
      <c r="D4240" t="str">
        <f>"24064240    "</f>
        <v xml:space="preserve">24064240    </v>
      </c>
      <c r="E4240" t="s">
        <v>1033</v>
      </c>
      <c r="F4240" t="s">
        <v>1034</v>
      </c>
      <c r="G4240">
        <v>118.32</v>
      </c>
      <c r="H4240">
        <v>250409</v>
      </c>
      <c r="I4240">
        <v>4600</v>
      </c>
      <c r="J4240" t="s">
        <v>278</v>
      </c>
      <c r="K4240">
        <v>118.32</v>
      </c>
      <c r="L4240">
        <v>24.04</v>
      </c>
      <c r="M4240">
        <v>66754</v>
      </c>
      <c r="N4240" t="s">
        <v>119</v>
      </c>
      <c r="O4240">
        <v>250415</v>
      </c>
      <c r="P4240">
        <v>94.28</v>
      </c>
    </row>
    <row r="4241" spans="1:16" x14ac:dyDescent="0.25">
      <c r="A4241" t="s">
        <v>3296</v>
      </c>
      <c r="B4241" t="s">
        <v>2931</v>
      </c>
      <c r="C4241">
        <v>4796</v>
      </c>
      <c r="D4241" t="str">
        <f>"22401046    "</f>
        <v xml:space="preserve">22401046    </v>
      </c>
      <c r="E4241" t="s">
        <v>1033</v>
      </c>
      <c r="F4241" t="s">
        <v>1034</v>
      </c>
      <c r="G4241">
        <v>-35.89</v>
      </c>
      <c r="H4241">
        <v>250411</v>
      </c>
      <c r="I4241">
        <v>4600</v>
      </c>
      <c r="J4241" t="s">
        <v>278</v>
      </c>
      <c r="K4241">
        <v>-35.89</v>
      </c>
      <c r="L4241">
        <v>-7.29</v>
      </c>
      <c r="M4241">
        <v>66754</v>
      </c>
      <c r="N4241" t="s">
        <v>119</v>
      </c>
      <c r="O4241">
        <v>250415</v>
      </c>
      <c r="P4241">
        <v>-28.6</v>
      </c>
    </row>
    <row r="4242" spans="1:16" x14ac:dyDescent="0.25">
      <c r="A4242" t="s">
        <v>3296</v>
      </c>
      <c r="B4242" t="s">
        <v>2931</v>
      </c>
      <c r="C4242">
        <v>4802</v>
      </c>
      <c r="D4242" t="str">
        <f>"24064234    "</f>
        <v xml:space="preserve">24064234    </v>
      </c>
      <c r="E4242" t="s">
        <v>1033</v>
      </c>
      <c r="F4242" t="s">
        <v>1034</v>
      </c>
      <c r="G4242">
        <v>256.75</v>
      </c>
      <c r="H4242">
        <v>250409</v>
      </c>
      <c r="I4242">
        <v>4600</v>
      </c>
      <c r="J4242" t="s">
        <v>278</v>
      </c>
      <c r="K4242">
        <v>256.75</v>
      </c>
      <c r="L4242">
        <v>52.17</v>
      </c>
      <c r="M4242">
        <v>66754</v>
      </c>
      <c r="N4242" t="s">
        <v>119</v>
      </c>
      <c r="O4242">
        <v>250415</v>
      </c>
      <c r="P4242">
        <v>204.58</v>
      </c>
    </row>
    <row r="4243" spans="1:16" x14ac:dyDescent="0.25">
      <c r="A4243" t="s">
        <v>3296</v>
      </c>
      <c r="B4243" t="s">
        <v>2931</v>
      </c>
      <c r="C4243">
        <v>5217</v>
      </c>
      <c r="D4243" t="str">
        <f>"24064236    "</f>
        <v xml:space="preserve">24064236    </v>
      </c>
      <c r="E4243" t="s">
        <v>1033</v>
      </c>
      <c r="F4243" t="s">
        <v>1034</v>
      </c>
      <c r="G4243">
        <v>216.86</v>
      </c>
      <c r="H4243">
        <v>250409</v>
      </c>
      <c r="I4243">
        <v>4600</v>
      </c>
      <c r="J4243" t="s">
        <v>278</v>
      </c>
      <c r="K4243">
        <v>216.86</v>
      </c>
      <c r="L4243">
        <v>44.06</v>
      </c>
      <c r="M4243">
        <v>66754</v>
      </c>
      <c r="N4243" t="s">
        <v>119</v>
      </c>
      <c r="O4243">
        <v>250422</v>
      </c>
      <c r="P4243">
        <v>172.8</v>
      </c>
    </row>
    <row r="4244" spans="1:16" x14ac:dyDescent="0.25">
      <c r="A4244" t="s">
        <v>3296</v>
      </c>
      <c r="B4244" t="s">
        <v>2931</v>
      </c>
      <c r="C4244">
        <v>5281</v>
      </c>
      <c r="D4244" t="str">
        <f>"24065239    "</f>
        <v xml:space="preserve">24065239    </v>
      </c>
      <c r="E4244" t="s">
        <v>1033</v>
      </c>
      <c r="F4244" t="s">
        <v>1034</v>
      </c>
      <c r="G4244">
        <v>37.4</v>
      </c>
      <c r="H4244">
        <v>250414</v>
      </c>
      <c r="I4244">
        <v>4600</v>
      </c>
      <c r="J4244" t="s">
        <v>278</v>
      </c>
      <c r="K4244">
        <v>37.4</v>
      </c>
      <c r="L4244">
        <v>7.6</v>
      </c>
      <c r="M4244">
        <v>66754</v>
      </c>
      <c r="N4244" t="s">
        <v>119</v>
      </c>
      <c r="O4244">
        <v>250423</v>
      </c>
      <c r="P4244">
        <v>29.8</v>
      </c>
    </row>
    <row r="4245" spans="1:16" x14ac:dyDescent="0.25">
      <c r="A4245" t="s">
        <v>3296</v>
      </c>
      <c r="B4245" t="s">
        <v>2931</v>
      </c>
      <c r="C4245">
        <v>5322</v>
      </c>
      <c r="D4245" t="str">
        <f>"24066307    "</f>
        <v xml:space="preserve">24066307    </v>
      </c>
      <c r="E4245" t="s">
        <v>1033</v>
      </c>
      <c r="F4245" t="s">
        <v>1034</v>
      </c>
      <c r="G4245">
        <v>142.82</v>
      </c>
      <c r="H4245">
        <v>250416</v>
      </c>
      <c r="I4245">
        <v>4600</v>
      </c>
      <c r="J4245" t="s">
        <v>278</v>
      </c>
      <c r="K4245">
        <v>142.82</v>
      </c>
      <c r="L4245">
        <v>29.02</v>
      </c>
      <c r="M4245">
        <v>65422</v>
      </c>
      <c r="N4245" t="s">
        <v>117</v>
      </c>
      <c r="O4245">
        <v>250423</v>
      </c>
      <c r="P4245">
        <v>113.8</v>
      </c>
    </row>
    <row r="4246" spans="1:16" x14ac:dyDescent="0.25">
      <c r="A4246" t="s">
        <v>3296</v>
      </c>
      <c r="B4246" t="s">
        <v>2931</v>
      </c>
      <c r="C4246">
        <v>5323</v>
      </c>
      <c r="D4246" t="str">
        <f>"24066300    "</f>
        <v xml:space="preserve">24066300    </v>
      </c>
      <c r="E4246" t="s">
        <v>1033</v>
      </c>
      <c r="F4246" t="s">
        <v>1034</v>
      </c>
      <c r="G4246">
        <v>146.02000000000001</v>
      </c>
      <c r="H4246">
        <v>250416</v>
      </c>
      <c r="I4246">
        <v>4600</v>
      </c>
      <c r="J4246" t="s">
        <v>278</v>
      </c>
      <c r="K4246">
        <v>146.02000000000001</v>
      </c>
      <c r="L4246">
        <v>29.67</v>
      </c>
      <c r="M4246">
        <v>66754</v>
      </c>
      <c r="N4246" t="s">
        <v>119</v>
      </c>
      <c r="O4246">
        <v>250423</v>
      </c>
      <c r="P4246">
        <v>116.35</v>
      </c>
    </row>
    <row r="4247" spans="1:16" x14ac:dyDescent="0.25">
      <c r="A4247" t="s">
        <v>3296</v>
      </c>
      <c r="B4247" t="s">
        <v>2931</v>
      </c>
      <c r="C4247">
        <v>5330</v>
      </c>
      <c r="D4247" t="str">
        <f>"24066308    "</f>
        <v xml:space="preserve">24066308    </v>
      </c>
      <c r="E4247" t="s">
        <v>1033</v>
      </c>
      <c r="F4247" t="s">
        <v>1034</v>
      </c>
      <c r="G4247">
        <v>117.97</v>
      </c>
      <c r="H4247">
        <v>250416</v>
      </c>
      <c r="I4247">
        <v>4600</v>
      </c>
      <c r="J4247" t="s">
        <v>278</v>
      </c>
      <c r="K4247">
        <v>117.97</v>
      </c>
      <c r="L4247">
        <v>23.97</v>
      </c>
      <c r="M4247">
        <v>66754</v>
      </c>
      <c r="N4247" t="s">
        <v>119</v>
      </c>
      <c r="O4247">
        <v>250423</v>
      </c>
      <c r="P4247">
        <v>94</v>
      </c>
    </row>
    <row r="4248" spans="1:16" x14ac:dyDescent="0.25">
      <c r="A4248" t="s">
        <v>3296</v>
      </c>
      <c r="B4248" t="s">
        <v>2931</v>
      </c>
      <c r="C4248">
        <v>5494</v>
      </c>
      <c r="D4248" t="str">
        <f>"22401107    "</f>
        <v xml:space="preserve">22401107    </v>
      </c>
      <c r="E4248" t="s">
        <v>1033</v>
      </c>
      <c r="F4248" t="s">
        <v>1034</v>
      </c>
      <c r="G4248">
        <v>-53.09</v>
      </c>
      <c r="H4248">
        <v>250424</v>
      </c>
      <c r="I4248">
        <v>4600</v>
      </c>
      <c r="J4248" t="s">
        <v>278</v>
      </c>
      <c r="K4248">
        <v>-53.09</v>
      </c>
      <c r="L4248">
        <v>-10.79</v>
      </c>
      <c r="M4248">
        <v>66754</v>
      </c>
      <c r="N4248" t="s">
        <v>119</v>
      </c>
      <c r="O4248">
        <v>250425</v>
      </c>
      <c r="P4248">
        <v>-42.3</v>
      </c>
    </row>
    <row r="4249" spans="1:16" x14ac:dyDescent="0.25">
      <c r="A4249" t="s">
        <v>3296</v>
      </c>
      <c r="B4249" t="s">
        <v>2931</v>
      </c>
      <c r="C4249">
        <v>5643</v>
      </c>
      <c r="D4249" t="str">
        <f>"24068681    "</f>
        <v xml:space="preserve">24068681    </v>
      </c>
      <c r="E4249" t="s">
        <v>1033</v>
      </c>
      <c r="F4249" t="s">
        <v>1034</v>
      </c>
      <c r="G4249">
        <v>36.4</v>
      </c>
      <c r="H4249">
        <v>250424</v>
      </c>
      <c r="I4249">
        <v>4600</v>
      </c>
      <c r="J4249" t="s">
        <v>278</v>
      </c>
      <c r="K4249">
        <v>36.4</v>
      </c>
      <c r="L4249">
        <v>7.4</v>
      </c>
      <c r="M4249">
        <v>66754</v>
      </c>
      <c r="N4249" t="s">
        <v>119</v>
      </c>
      <c r="O4249">
        <v>250428</v>
      </c>
      <c r="P4249">
        <v>29</v>
      </c>
    </row>
    <row r="4250" spans="1:16" x14ac:dyDescent="0.25">
      <c r="A4250" t="s">
        <v>3296</v>
      </c>
      <c r="B4250" t="s">
        <v>2931</v>
      </c>
      <c r="C4250">
        <v>5894</v>
      </c>
      <c r="D4250" t="str">
        <f>"24070408    "</f>
        <v xml:space="preserve">24070408    </v>
      </c>
      <c r="E4250" t="s">
        <v>1033</v>
      </c>
      <c r="F4250" t="s">
        <v>1034</v>
      </c>
      <c r="G4250">
        <v>79.38</v>
      </c>
      <c r="H4250">
        <v>250430</v>
      </c>
      <c r="I4250">
        <v>4600</v>
      </c>
      <c r="J4250" t="s">
        <v>278</v>
      </c>
      <c r="K4250">
        <v>79.38</v>
      </c>
      <c r="L4250">
        <v>16.13</v>
      </c>
      <c r="M4250">
        <v>66754</v>
      </c>
      <c r="N4250" t="s">
        <v>119</v>
      </c>
      <c r="O4250">
        <v>250507</v>
      </c>
      <c r="P4250">
        <v>63.25</v>
      </c>
    </row>
    <row r="4251" spans="1:16" x14ac:dyDescent="0.25">
      <c r="A4251" t="s">
        <v>3296</v>
      </c>
      <c r="B4251" t="s">
        <v>2931</v>
      </c>
      <c r="C4251">
        <v>5896</v>
      </c>
      <c r="D4251" t="str">
        <f>"24070406    "</f>
        <v xml:space="preserve">24070406    </v>
      </c>
      <c r="E4251" t="s">
        <v>1033</v>
      </c>
      <c r="F4251" t="s">
        <v>1034</v>
      </c>
      <c r="G4251">
        <v>137.91999999999999</v>
      </c>
      <c r="H4251">
        <v>250430</v>
      </c>
      <c r="I4251">
        <v>4600</v>
      </c>
      <c r="J4251" t="s">
        <v>278</v>
      </c>
      <c r="K4251">
        <v>137.91999999999999</v>
      </c>
      <c r="L4251">
        <v>28.02</v>
      </c>
      <c r="M4251">
        <v>66754</v>
      </c>
      <c r="N4251" t="s">
        <v>119</v>
      </c>
      <c r="O4251">
        <v>250507</v>
      </c>
      <c r="P4251">
        <v>109.9</v>
      </c>
    </row>
    <row r="4252" spans="1:16" x14ac:dyDescent="0.25">
      <c r="A4252" t="s">
        <v>3296</v>
      </c>
      <c r="B4252" t="s">
        <v>2931</v>
      </c>
      <c r="C4252">
        <v>6302</v>
      </c>
      <c r="D4252" t="str">
        <f>"24072715    "</f>
        <v xml:space="preserve">24072715    </v>
      </c>
      <c r="E4252" t="s">
        <v>1033</v>
      </c>
      <c r="F4252" t="s">
        <v>1034</v>
      </c>
      <c r="G4252">
        <v>48.95</v>
      </c>
      <c r="H4252">
        <v>250507</v>
      </c>
      <c r="I4252">
        <v>4600</v>
      </c>
      <c r="J4252" t="s">
        <v>278</v>
      </c>
      <c r="K4252">
        <v>48.95</v>
      </c>
      <c r="L4252">
        <v>9.9499999999999993</v>
      </c>
      <c r="M4252">
        <v>66754</v>
      </c>
      <c r="N4252" t="s">
        <v>119</v>
      </c>
      <c r="O4252">
        <v>250512</v>
      </c>
      <c r="P4252">
        <v>39</v>
      </c>
    </row>
    <row r="4253" spans="1:16" x14ac:dyDescent="0.25">
      <c r="A4253" t="s">
        <v>3296</v>
      </c>
      <c r="B4253" t="s">
        <v>2931</v>
      </c>
      <c r="C4253">
        <v>6303</v>
      </c>
      <c r="D4253" t="str">
        <f>"24072703    "</f>
        <v xml:space="preserve">24072703    </v>
      </c>
      <c r="E4253" t="s">
        <v>1033</v>
      </c>
      <c r="F4253" t="s">
        <v>1034</v>
      </c>
      <c r="G4253">
        <v>196.42</v>
      </c>
      <c r="H4253">
        <v>250507</v>
      </c>
      <c r="I4253">
        <v>4600</v>
      </c>
      <c r="J4253" t="s">
        <v>278</v>
      </c>
      <c r="K4253">
        <v>196.42</v>
      </c>
      <c r="L4253">
        <v>39.909999999999997</v>
      </c>
      <c r="M4253">
        <v>66754</v>
      </c>
      <c r="N4253" t="s">
        <v>119</v>
      </c>
      <c r="O4253">
        <v>250512</v>
      </c>
      <c r="P4253">
        <v>156.51</v>
      </c>
    </row>
    <row r="4254" spans="1:16" x14ac:dyDescent="0.25">
      <c r="A4254" t="s">
        <v>3296</v>
      </c>
      <c r="B4254" t="s">
        <v>2931</v>
      </c>
      <c r="C4254">
        <v>6767</v>
      </c>
      <c r="D4254" t="str">
        <f>"24075381    "</f>
        <v xml:space="preserve">24075381    </v>
      </c>
      <c r="E4254" t="s">
        <v>1033</v>
      </c>
      <c r="F4254" t="s">
        <v>1034</v>
      </c>
      <c r="G4254">
        <v>64.16</v>
      </c>
      <c r="H4254">
        <v>250514</v>
      </c>
      <c r="I4254">
        <v>4600</v>
      </c>
      <c r="J4254" t="s">
        <v>278</v>
      </c>
      <c r="K4254">
        <v>64.16</v>
      </c>
      <c r="L4254">
        <v>13.04</v>
      </c>
      <c r="M4254">
        <v>66754</v>
      </c>
      <c r="N4254" t="s">
        <v>119</v>
      </c>
      <c r="O4254">
        <v>250516</v>
      </c>
      <c r="P4254">
        <v>51.12</v>
      </c>
    </row>
    <row r="4255" spans="1:16" x14ac:dyDescent="0.25">
      <c r="A4255" t="s">
        <v>3296</v>
      </c>
      <c r="B4255" t="s">
        <v>2931</v>
      </c>
      <c r="C4255">
        <v>7070</v>
      </c>
      <c r="D4255" t="str">
        <f>"24077784    "</f>
        <v xml:space="preserve">24077784    </v>
      </c>
      <c r="E4255" t="s">
        <v>1033</v>
      </c>
      <c r="F4255" t="s">
        <v>1034</v>
      </c>
      <c r="G4255">
        <v>124.25</v>
      </c>
      <c r="H4255">
        <v>250521</v>
      </c>
      <c r="I4255">
        <v>4600</v>
      </c>
      <c r="J4255" t="s">
        <v>278</v>
      </c>
      <c r="K4255">
        <v>124.25</v>
      </c>
      <c r="L4255">
        <v>25.25</v>
      </c>
      <c r="M4255">
        <v>66754</v>
      </c>
      <c r="N4255" t="s">
        <v>119</v>
      </c>
      <c r="O4255">
        <v>250522</v>
      </c>
      <c r="P4255">
        <v>99</v>
      </c>
    </row>
    <row r="4256" spans="1:16" x14ac:dyDescent="0.25">
      <c r="A4256" t="s">
        <v>3296</v>
      </c>
      <c r="B4256" t="s">
        <v>2931</v>
      </c>
      <c r="C4256">
        <v>7181</v>
      </c>
      <c r="D4256" t="str">
        <f>"24077787    "</f>
        <v xml:space="preserve">24077787    </v>
      </c>
      <c r="E4256" t="s">
        <v>1033</v>
      </c>
      <c r="F4256" t="s">
        <v>1034</v>
      </c>
      <c r="G4256">
        <v>278.74</v>
      </c>
      <c r="H4256">
        <v>250521</v>
      </c>
      <c r="I4256">
        <v>4600</v>
      </c>
      <c r="J4256" t="s">
        <v>278</v>
      </c>
      <c r="K4256">
        <v>278.74</v>
      </c>
      <c r="L4256">
        <v>56.64</v>
      </c>
      <c r="M4256">
        <v>65422</v>
      </c>
      <c r="N4256" t="s">
        <v>117</v>
      </c>
      <c r="O4256">
        <v>250526</v>
      </c>
      <c r="P4256">
        <v>222.1</v>
      </c>
    </row>
    <row r="4257" spans="1:16" x14ac:dyDescent="0.25">
      <c r="A4257" t="s">
        <v>3296</v>
      </c>
      <c r="B4257" t="s">
        <v>2931</v>
      </c>
      <c r="C4257">
        <v>7493</v>
      </c>
      <c r="D4257" t="str">
        <f>"24080619    "</f>
        <v xml:space="preserve">24080619    </v>
      </c>
      <c r="E4257" t="s">
        <v>1033</v>
      </c>
      <c r="F4257" t="s">
        <v>1034</v>
      </c>
      <c r="G4257">
        <v>196.66</v>
      </c>
      <c r="H4257">
        <v>250528</v>
      </c>
      <c r="I4257">
        <v>4600</v>
      </c>
      <c r="J4257" t="s">
        <v>278</v>
      </c>
      <c r="K4257">
        <v>196.66</v>
      </c>
      <c r="L4257">
        <v>39.96</v>
      </c>
      <c r="M4257">
        <v>66754</v>
      </c>
      <c r="N4257" t="s">
        <v>119</v>
      </c>
      <c r="O4257">
        <v>250604</v>
      </c>
      <c r="P4257">
        <v>156.69999999999999</v>
      </c>
    </row>
    <row r="4258" spans="1:16" x14ac:dyDescent="0.25">
      <c r="A4258" t="s">
        <v>3296</v>
      </c>
      <c r="B4258" t="s">
        <v>2931</v>
      </c>
      <c r="C4258">
        <v>7507</v>
      </c>
      <c r="D4258" t="str">
        <f>"24080618    "</f>
        <v xml:space="preserve">24080618    </v>
      </c>
      <c r="E4258" t="s">
        <v>1033</v>
      </c>
      <c r="F4258" t="s">
        <v>1034</v>
      </c>
      <c r="G4258">
        <v>23.72</v>
      </c>
      <c r="H4258">
        <v>250528</v>
      </c>
      <c r="I4258">
        <v>4600</v>
      </c>
      <c r="J4258" t="s">
        <v>278</v>
      </c>
      <c r="K4258">
        <v>23.72</v>
      </c>
      <c r="L4258">
        <v>4.82</v>
      </c>
      <c r="M4258">
        <v>66754</v>
      </c>
      <c r="N4258" t="s">
        <v>119</v>
      </c>
      <c r="O4258">
        <v>250604</v>
      </c>
      <c r="P4258">
        <v>18.899999999999999</v>
      </c>
    </row>
    <row r="4259" spans="1:16" x14ac:dyDescent="0.25">
      <c r="A4259" t="s">
        <v>3296</v>
      </c>
      <c r="B4259" t="s">
        <v>2931</v>
      </c>
      <c r="C4259">
        <v>8409</v>
      </c>
      <c r="D4259" t="str">
        <f>"24084957    "</f>
        <v xml:space="preserve">24084957    </v>
      </c>
      <c r="E4259" t="s">
        <v>1033</v>
      </c>
      <c r="F4259" t="s">
        <v>1034</v>
      </c>
      <c r="G4259">
        <v>224.63</v>
      </c>
      <c r="H4259">
        <v>250611</v>
      </c>
      <c r="I4259">
        <v>4600</v>
      </c>
      <c r="J4259" t="s">
        <v>278</v>
      </c>
      <c r="K4259">
        <v>224.63</v>
      </c>
      <c r="L4259">
        <v>45.64</v>
      </c>
      <c r="M4259">
        <v>66754</v>
      </c>
      <c r="N4259" t="s">
        <v>119</v>
      </c>
      <c r="O4259">
        <v>250613</v>
      </c>
      <c r="P4259">
        <v>178.99</v>
      </c>
    </row>
    <row r="4260" spans="1:16" x14ac:dyDescent="0.25">
      <c r="A4260" t="s">
        <v>3296</v>
      </c>
      <c r="B4260" t="s">
        <v>2931</v>
      </c>
      <c r="C4260">
        <v>9020</v>
      </c>
      <c r="D4260" t="str">
        <f>"24087314    "</f>
        <v xml:space="preserve">24087314    </v>
      </c>
      <c r="E4260" t="s">
        <v>1033</v>
      </c>
      <c r="F4260" t="s">
        <v>1034</v>
      </c>
      <c r="G4260">
        <v>118.18</v>
      </c>
      <c r="H4260">
        <v>250617</v>
      </c>
      <c r="I4260">
        <v>4600</v>
      </c>
      <c r="J4260" t="s">
        <v>278</v>
      </c>
      <c r="K4260">
        <v>118.18</v>
      </c>
      <c r="L4260">
        <v>24.01</v>
      </c>
      <c r="M4260">
        <v>66754</v>
      </c>
      <c r="N4260" t="s">
        <v>119</v>
      </c>
      <c r="O4260">
        <v>250625</v>
      </c>
      <c r="P4260">
        <v>94.17</v>
      </c>
    </row>
    <row r="4261" spans="1:16" x14ac:dyDescent="0.25">
      <c r="A4261" t="s">
        <v>3296</v>
      </c>
      <c r="B4261" t="s">
        <v>2931</v>
      </c>
      <c r="C4261">
        <v>9026</v>
      </c>
      <c r="D4261" t="str">
        <f>"24087312    "</f>
        <v xml:space="preserve">24087312    </v>
      </c>
      <c r="E4261" t="s">
        <v>1033</v>
      </c>
      <c r="F4261" t="s">
        <v>1034</v>
      </c>
      <c r="G4261">
        <v>116.09</v>
      </c>
      <c r="H4261">
        <v>250617</v>
      </c>
      <c r="I4261">
        <v>4600</v>
      </c>
      <c r="J4261" t="s">
        <v>278</v>
      </c>
      <c r="K4261">
        <v>116.09</v>
      </c>
      <c r="L4261">
        <v>23.59</v>
      </c>
      <c r="M4261">
        <v>66754</v>
      </c>
      <c r="N4261" t="s">
        <v>119</v>
      </c>
      <c r="O4261">
        <v>250626</v>
      </c>
      <c r="P4261">
        <v>92.5</v>
      </c>
    </row>
    <row r="4262" spans="1:16" x14ac:dyDescent="0.25">
      <c r="A4262" t="s">
        <v>3296</v>
      </c>
      <c r="B4262" t="s">
        <v>2931</v>
      </c>
      <c r="C4262">
        <v>9613</v>
      </c>
      <c r="D4262" t="str">
        <f>"25003103    "</f>
        <v xml:space="preserve">25003103    </v>
      </c>
      <c r="E4262" t="s">
        <v>1033</v>
      </c>
      <c r="F4262" t="s">
        <v>1034</v>
      </c>
      <c r="G4262">
        <v>24.35</v>
      </c>
      <c r="H4262">
        <v>250709</v>
      </c>
      <c r="I4262">
        <v>4600</v>
      </c>
      <c r="J4262" t="s">
        <v>278</v>
      </c>
      <c r="K4262">
        <v>24.35</v>
      </c>
      <c r="L4262">
        <v>4.95</v>
      </c>
      <c r="M4262">
        <v>66754</v>
      </c>
      <c r="N4262" t="s">
        <v>119</v>
      </c>
      <c r="O4262">
        <v>250721</v>
      </c>
      <c r="P4262">
        <v>19.399999999999999</v>
      </c>
    </row>
    <row r="4263" spans="1:16" x14ac:dyDescent="0.25">
      <c r="A4263" t="s">
        <v>3296</v>
      </c>
      <c r="B4263" t="s">
        <v>2931</v>
      </c>
      <c r="C4263">
        <v>9614</v>
      </c>
      <c r="D4263" t="str">
        <f>"25003109    "</f>
        <v xml:space="preserve">25003109    </v>
      </c>
      <c r="E4263" t="s">
        <v>1033</v>
      </c>
      <c r="F4263" t="s">
        <v>1034</v>
      </c>
      <c r="G4263">
        <v>95.48</v>
      </c>
      <c r="H4263">
        <v>250709</v>
      </c>
      <c r="I4263">
        <v>4600</v>
      </c>
      <c r="J4263" t="s">
        <v>278</v>
      </c>
      <c r="K4263">
        <v>95.48</v>
      </c>
      <c r="L4263">
        <v>19.399999999999999</v>
      </c>
      <c r="M4263">
        <v>66754</v>
      </c>
      <c r="N4263" t="s">
        <v>119</v>
      </c>
      <c r="O4263">
        <v>250721</v>
      </c>
      <c r="P4263">
        <v>76.08</v>
      </c>
    </row>
    <row r="4264" spans="1:16" x14ac:dyDescent="0.25">
      <c r="A4264" t="s">
        <v>3296</v>
      </c>
      <c r="B4264" t="s">
        <v>2931</v>
      </c>
      <c r="C4264">
        <v>9750</v>
      </c>
      <c r="D4264" t="str">
        <f>"25004748    "</f>
        <v xml:space="preserve">25004748    </v>
      </c>
      <c r="E4264" t="s">
        <v>1033</v>
      </c>
      <c r="F4264" t="s">
        <v>1034</v>
      </c>
      <c r="G4264">
        <v>14.93</v>
      </c>
      <c r="H4264">
        <v>250716</v>
      </c>
      <c r="I4264">
        <v>4600</v>
      </c>
      <c r="J4264" t="s">
        <v>278</v>
      </c>
      <c r="K4264">
        <v>14.93</v>
      </c>
      <c r="L4264">
        <v>3.03</v>
      </c>
      <c r="M4264">
        <v>66754</v>
      </c>
      <c r="N4264" t="s">
        <v>119</v>
      </c>
      <c r="O4264">
        <v>250728</v>
      </c>
      <c r="P4264">
        <v>11.9</v>
      </c>
    </row>
    <row r="4265" spans="1:16" x14ac:dyDescent="0.25">
      <c r="A4265" t="s">
        <v>3296</v>
      </c>
      <c r="B4265" t="s">
        <v>2931</v>
      </c>
      <c r="C4265">
        <v>9751</v>
      </c>
      <c r="D4265" t="str">
        <f>"25004747    "</f>
        <v xml:space="preserve">25004747    </v>
      </c>
      <c r="E4265" t="s">
        <v>1033</v>
      </c>
      <c r="F4265" t="s">
        <v>1034</v>
      </c>
      <c r="G4265">
        <v>43.3</v>
      </c>
      <c r="H4265">
        <v>250716</v>
      </c>
      <c r="I4265">
        <v>4600</v>
      </c>
      <c r="J4265" t="s">
        <v>278</v>
      </c>
      <c r="K4265">
        <v>43.3</v>
      </c>
      <c r="L4265">
        <v>8.8000000000000007</v>
      </c>
      <c r="M4265">
        <v>66754</v>
      </c>
      <c r="N4265" t="s">
        <v>119</v>
      </c>
      <c r="O4265">
        <v>250728</v>
      </c>
      <c r="P4265">
        <v>34.5</v>
      </c>
    </row>
    <row r="4266" spans="1:16" x14ac:dyDescent="0.25">
      <c r="A4266" t="s">
        <v>3296</v>
      </c>
      <c r="B4266" t="s">
        <v>2931</v>
      </c>
      <c r="C4266">
        <v>9777</v>
      </c>
      <c r="D4266" t="str">
        <f>"25006200    "</f>
        <v xml:space="preserve">25006200    </v>
      </c>
      <c r="E4266" t="s">
        <v>1033</v>
      </c>
      <c r="F4266" t="s">
        <v>1034</v>
      </c>
      <c r="G4266">
        <v>169.24</v>
      </c>
      <c r="H4266">
        <v>250723</v>
      </c>
      <c r="I4266">
        <v>4600</v>
      </c>
      <c r="J4266" t="s">
        <v>278</v>
      </c>
      <c r="K4266">
        <v>169.24</v>
      </c>
      <c r="L4266">
        <v>34.39</v>
      </c>
      <c r="M4266">
        <v>66754</v>
      </c>
      <c r="N4266" t="s">
        <v>119</v>
      </c>
      <c r="O4266">
        <v>250728</v>
      </c>
      <c r="P4266">
        <v>134.85</v>
      </c>
    </row>
    <row r="4267" spans="1:16" x14ac:dyDescent="0.25">
      <c r="A4267" t="s">
        <v>3296</v>
      </c>
      <c r="B4267" t="s">
        <v>2931</v>
      </c>
      <c r="C4267">
        <v>9780</v>
      </c>
      <c r="D4267" t="str">
        <f>"25006204    "</f>
        <v xml:space="preserve">25006204    </v>
      </c>
      <c r="E4267" t="s">
        <v>1033</v>
      </c>
      <c r="F4267" t="s">
        <v>1034</v>
      </c>
      <c r="G4267">
        <v>148.09</v>
      </c>
      <c r="H4267">
        <v>250723</v>
      </c>
      <c r="I4267">
        <v>4600</v>
      </c>
      <c r="J4267" t="s">
        <v>278</v>
      </c>
      <c r="K4267">
        <v>148.09</v>
      </c>
      <c r="L4267">
        <v>30.09</v>
      </c>
      <c r="M4267">
        <v>66754</v>
      </c>
      <c r="N4267" t="s">
        <v>119</v>
      </c>
      <c r="O4267">
        <v>250728</v>
      </c>
      <c r="P4267">
        <v>118</v>
      </c>
    </row>
    <row r="4268" spans="1:16" x14ac:dyDescent="0.25">
      <c r="A4268" t="s">
        <v>3296</v>
      </c>
      <c r="B4268" t="s">
        <v>2931</v>
      </c>
      <c r="C4268">
        <v>9781</v>
      </c>
      <c r="D4268" t="str">
        <f>"25006201    "</f>
        <v xml:space="preserve">25006201    </v>
      </c>
      <c r="E4268" t="s">
        <v>1033</v>
      </c>
      <c r="F4268" t="s">
        <v>1034</v>
      </c>
      <c r="G4268">
        <v>31.21</v>
      </c>
      <c r="H4268">
        <v>250723</v>
      </c>
      <c r="I4268">
        <v>4600</v>
      </c>
      <c r="J4268" t="s">
        <v>278</v>
      </c>
      <c r="K4268">
        <v>31.21</v>
      </c>
      <c r="L4268">
        <v>6.34</v>
      </c>
      <c r="M4268">
        <v>66754</v>
      </c>
      <c r="N4268" t="s">
        <v>119</v>
      </c>
      <c r="O4268">
        <v>250728</v>
      </c>
      <c r="P4268">
        <v>24.87</v>
      </c>
    </row>
    <row r="4269" spans="1:16" x14ac:dyDescent="0.25">
      <c r="A4269" t="s">
        <v>3296</v>
      </c>
      <c r="B4269" t="s">
        <v>2931</v>
      </c>
      <c r="C4269">
        <v>9887</v>
      </c>
      <c r="D4269" t="str">
        <f>"25007331    "</f>
        <v xml:space="preserve">25007331    </v>
      </c>
      <c r="E4269" t="s">
        <v>1033</v>
      </c>
      <c r="F4269" t="s">
        <v>1034</v>
      </c>
      <c r="G4269">
        <v>69.459999999999994</v>
      </c>
      <c r="H4269">
        <v>250730</v>
      </c>
      <c r="I4269">
        <v>4600</v>
      </c>
      <c r="J4269" t="s">
        <v>278</v>
      </c>
      <c r="K4269">
        <v>69.459999999999994</v>
      </c>
      <c r="L4269">
        <v>14.11</v>
      </c>
      <c r="M4269">
        <v>66754</v>
      </c>
      <c r="N4269" t="s">
        <v>119</v>
      </c>
      <c r="O4269">
        <v>250801</v>
      </c>
      <c r="P4269">
        <v>55.35</v>
      </c>
    </row>
    <row r="4270" spans="1:16" x14ac:dyDescent="0.25">
      <c r="A4270" t="s">
        <v>3296</v>
      </c>
      <c r="B4270" t="s">
        <v>2931</v>
      </c>
      <c r="C4270">
        <v>10082</v>
      </c>
      <c r="D4270" t="str">
        <f>"25008987    "</f>
        <v xml:space="preserve">25008987    </v>
      </c>
      <c r="E4270" t="s">
        <v>1033</v>
      </c>
      <c r="F4270" t="s">
        <v>1034</v>
      </c>
      <c r="G4270">
        <v>89.36</v>
      </c>
      <c r="H4270">
        <v>250806</v>
      </c>
      <c r="I4270">
        <v>4600</v>
      </c>
      <c r="J4270" t="s">
        <v>278</v>
      </c>
      <c r="K4270">
        <v>89.36</v>
      </c>
      <c r="L4270">
        <v>18.16</v>
      </c>
      <c r="M4270">
        <v>66754</v>
      </c>
      <c r="N4270" t="s">
        <v>119</v>
      </c>
      <c r="O4270">
        <v>250811</v>
      </c>
      <c r="P4270">
        <v>71.2</v>
      </c>
    </row>
    <row r="4271" spans="1:16" x14ac:dyDescent="0.25">
      <c r="A4271" t="s">
        <v>3296</v>
      </c>
      <c r="B4271" t="s">
        <v>2931</v>
      </c>
      <c r="C4271">
        <v>10419</v>
      </c>
      <c r="D4271" t="str">
        <f>"25010632    "</f>
        <v xml:space="preserve">25010632    </v>
      </c>
      <c r="E4271" t="s">
        <v>1033</v>
      </c>
      <c r="F4271" t="s">
        <v>1034</v>
      </c>
      <c r="G4271">
        <v>95.63</v>
      </c>
      <c r="H4271">
        <v>250813</v>
      </c>
      <c r="I4271">
        <v>4600</v>
      </c>
      <c r="J4271" t="s">
        <v>278</v>
      </c>
      <c r="K4271">
        <v>95.63</v>
      </c>
      <c r="L4271">
        <v>19.43</v>
      </c>
      <c r="M4271">
        <v>66754</v>
      </c>
      <c r="N4271" t="s">
        <v>119</v>
      </c>
      <c r="O4271">
        <v>250819</v>
      </c>
      <c r="P4271">
        <v>76.2</v>
      </c>
    </row>
    <row r="4272" spans="1:16" x14ac:dyDescent="0.25">
      <c r="A4272" t="s">
        <v>3296</v>
      </c>
      <c r="B4272" t="s">
        <v>2931</v>
      </c>
      <c r="C4272">
        <v>10930</v>
      </c>
      <c r="D4272" t="str">
        <f>"25012583    "</f>
        <v xml:space="preserve">25012583    </v>
      </c>
      <c r="E4272" t="s">
        <v>1033</v>
      </c>
      <c r="F4272" t="s">
        <v>1034</v>
      </c>
      <c r="G4272">
        <v>324.32</v>
      </c>
      <c r="H4272">
        <v>250820</v>
      </c>
      <c r="I4272">
        <v>4600</v>
      </c>
      <c r="J4272" t="s">
        <v>278</v>
      </c>
      <c r="K4272">
        <v>324.32</v>
      </c>
      <c r="L4272">
        <v>65.900000000000006</v>
      </c>
      <c r="M4272">
        <v>66754</v>
      </c>
      <c r="N4272" t="s">
        <v>119</v>
      </c>
      <c r="O4272">
        <v>250827</v>
      </c>
      <c r="P4272">
        <v>258.42</v>
      </c>
    </row>
    <row r="4273" spans="1:16" x14ac:dyDescent="0.25">
      <c r="A4273" t="s">
        <v>3296</v>
      </c>
      <c r="B4273" t="s">
        <v>2931</v>
      </c>
      <c r="C4273">
        <v>11228</v>
      </c>
      <c r="D4273" t="str">
        <f>"25014298    "</f>
        <v xml:space="preserve">25014298    </v>
      </c>
      <c r="E4273" t="s">
        <v>1033</v>
      </c>
      <c r="F4273" t="s">
        <v>1034</v>
      </c>
      <c r="G4273">
        <v>162.52000000000001</v>
      </c>
      <c r="H4273">
        <v>250827</v>
      </c>
      <c r="I4273">
        <v>4600</v>
      </c>
      <c r="J4273" t="s">
        <v>278</v>
      </c>
      <c r="K4273">
        <v>162.52000000000001</v>
      </c>
      <c r="L4273">
        <v>33.020000000000003</v>
      </c>
      <c r="M4273">
        <v>66754</v>
      </c>
      <c r="N4273" t="s">
        <v>119</v>
      </c>
      <c r="O4273">
        <v>250902</v>
      </c>
      <c r="P4273">
        <v>129.5</v>
      </c>
    </row>
    <row r="4274" spans="1:16" x14ac:dyDescent="0.25">
      <c r="A4274" t="s">
        <v>3296</v>
      </c>
      <c r="B4274" t="s">
        <v>2931</v>
      </c>
      <c r="C4274">
        <v>11468</v>
      </c>
      <c r="D4274" t="str">
        <f>"25016103    "</f>
        <v xml:space="preserve">25016103    </v>
      </c>
      <c r="E4274" t="s">
        <v>1033</v>
      </c>
      <c r="F4274" t="s">
        <v>1034</v>
      </c>
      <c r="G4274">
        <v>185.6</v>
      </c>
      <c r="H4274">
        <v>250903</v>
      </c>
      <c r="I4274">
        <v>4600</v>
      </c>
      <c r="J4274" t="s">
        <v>278</v>
      </c>
      <c r="K4274">
        <v>185.6</v>
      </c>
      <c r="L4274">
        <v>37.71</v>
      </c>
      <c r="M4274">
        <v>66754</v>
      </c>
      <c r="N4274" t="s">
        <v>119</v>
      </c>
      <c r="O4274">
        <v>250905</v>
      </c>
      <c r="P4274">
        <v>147.88999999999999</v>
      </c>
    </row>
    <row r="4275" spans="1:16" x14ac:dyDescent="0.25">
      <c r="A4275" t="s">
        <v>3296</v>
      </c>
      <c r="B4275" t="s">
        <v>2931</v>
      </c>
      <c r="C4275">
        <v>11883</v>
      </c>
      <c r="D4275" t="str">
        <f>"25017935    "</f>
        <v xml:space="preserve">25017935    </v>
      </c>
      <c r="E4275" t="s">
        <v>1033</v>
      </c>
      <c r="F4275" t="s">
        <v>1034</v>
      </c>
      <c r="G4275">
        <v>102.28</v>
      </c>
      <c r="H4275">
        <v>250910</v>
      </c>
      <c r="I4275">
        <v>4600</v>
      </c>
      <c r="J4275" t="s">
        <v>278</v>
      </c>
      <c r="K4275">
        <v>102.28</v>
      </c>
      <c r="L4275">
        <v>20.78</v>
      </c>
      <c r="M4275">
        <v>65422</v>
      </c>
      <c r="N4275" t="s">
        <v>117</v>
      </c>
      <c r="O4275">
        <v>250911</v>
      </c>
      <c r="P4275">
        <v>81.5</v>
      </c>
    </row>
    <row r="4276" spans="1:16" x14ac:dyDescent="0.25">
      <c r="A4276" t="s">
        <v>3296</v>
      </c>
      <c r="B4276" t="s">
        <v>2931</v>
      </c>
      <c r="C4276">
        <v>11885</v>
      </c>
      <c r="D4276" t="str">
        <f>"25017931    "</f>
        <v xml:space="preserve">25017931    </v>
      </c>
      <c r="E4276" t="s">
        <v>1033</v>
      </c>
      <c r="F4276" t="s">
        <v>1034</v>
      </c>
      <c r="G4276">
        <v>134.54</v>
      </c>
      <c r="H4276">
        <v>250910</v>
      </c>
      <c r="I4276">
        <v>4600</v>
      </c>
      <c r="J4276" t="s">
        <v>278</v>
      </c>
      <c r="K4276">
        <v>134.54</v>
      </c>
      <c r="L4276">
        <v>27.34</v>
      </c>
      <c r="M4276">
        <v>66754</v>
      </c>
      <c r="N4276" t="s">
        <v>119</v>
      </c>
      <c r="O4276">
        <v>250911</v>
      </c>
      <c r="P4276">
        <v>107.2</v>
      </c>
    </row>
    <row r="4277" spans="1:16" x14ac:dyDescent="0.25">
      <c r="A4277" t="s">
        <v>3296</v>
      </c>
      <c r="B4277" t="s">
        <v>2931</v>
      </c>
      <c r="C4277">
        <v>11886</v>
      </c>
      <c r="D4277" t="str">
        <f>"25017930    "</f>
        <v xml:space="preserve">25017930    </v>
      </c>
      <c r="E4277" t="s">
        <v>1033</v>
      </c>
      <c r="F4277" t="s">
        <v>1034</v>
      </c>
      <c r="G4277">
        <v>18.2</v>
      </c>
      <c r="H4277">
        <v>250910</v>
      </c>
      <c r="I4277">
        <v>4600</v>
      </c>
      <c r="J4277" t="s">
        <v>278</v>
      </c>
      <c r="K4277">
        <v>18.2</v>
      </c>
      <c r="L4277">
        <v>3.7</v>
      </c>
      <c r="M4277">
        <v>66754</v>
      </c>
      <c r="N4277" t="s">
        <v>119</v>
      </c>
      <c r="O4277">
        <v>250911</v>
      </c>
      <c r="P4277">
        <v>14.5</v>
      </c>
    </row>
    <row r="4278" spans="1:16" x14ac:dyDescent="0.25">
      <c r="A4278" t="s">
        <v>3296</v>
      </c>
      <c r="B4278" t="s">
        <v>2931</v>
      </c>
      <c r="C4278">
        <v>11887</v>
      </c>
      <c r="D4278" t="str">
        <f>"25017936    "</f>
        <v xml:space="preserve">25017936    </v>
      </c>
      <c r="E4278" t="s">
        <v>1033</v>
      </c>
      <c r="F4278" t="s">
        <v>1034</v>
      </c>
      <c r="G4278">
        <v>52.46</v>
      </c>
      <c r="H4278">
        <v>250910</v>
      </c>
      <c r="I4278">
        <v>4600</v>
      </c>
      <c r="J4278" t="s">
        <v>278</v>
      </c>
      <c r="K4278">
        <v>52.46</v>
      </c>
      <c r="L4278">
        <v>10.66</v>
      </c>
      <c r="M4278">
        <v>66754</v>
      </c>
      <c r="N4278" t="s">
        <v>119</v>
      </c>
      <c r="O4278">
        <v>250911</v>
      </c>
      <c r="P4278">
        <v>41.8</v>
      </c>
    </row>
    <row r="4279" spans="1:16" x14ac:dyDescent="0.25">
      <c r="A4279" t="s">
        <v>3296</v>
      </c>
      <c r="B4279" t="s">
        <v>2931</v>
      </c>
      <c r="C4279">
        <v>12487</v>
      </c>
      <c r="D4279" t="str">
        <f>"25019736    "</f>
        <v xml:space="preserve">25019736    </v>
      </c>
      <c r="E4279" t="s">
        <v>1033</v>
      </c>
      <c r="F4279" t="s">
        <v>1034</v>
      </c>
      <c r="G4279">
        <v>328.94</v>
      </c>
      <c r="H4279">
        <v>250917</v>
      </c>
      <c r="I4279">
        <v>4600</v>
      </c>
      <c r="J4279" t="s">
        <v>278</v>
      </c>
      <c r="K4279">
        <v>328.94</v>
      </c>
      <c r="L4279">
        <v>66.84</v>
      </c>
      <c r="M4279">
        <v>66754</v>
      </c>
      <c r="N4279" t="s">
        <v>119</v>
      </c>
      <c r="O4279">
        <v>250925</v>
      </c>
      <c r="P4279">
        <v>262.10000000000002</v>
      </c>
    </row>
    <row r="4280" spans="1:16" x14ac:dyDescent="0.25">
      <c r="A4280" t="s">
        <v>3296</v>
      </c>
      <c r="B4280" t="s">
        <v>2931</v>
      </c>
      <c r="C4280">
        <v>12488</v>
      </c>
      <c r="D4280" t="str">
        <f>"25019735    "</f>
        <v xml:space="preserve">25019735    </v>
      </c>
      <c r="E4280" t="s">
        <v>1033</v>
      </c>
      <c r="F4280" t="s">
        <v>1034</v>
      </c>
      <c r="G4280">
        <v>80.569999999999993</v>
      </c>
      <c r="H4280">
        <v>250917</v>
      </c>
      <c r="I4280">
        <v>4600</v>
      </c>
      <c r="J4280" t="s">
        <v>278</v>
      </c>
      <c r="K4280">
        <v>161.13999999999999</v>
      </c>
      <c r="L4280">
        <v>16.37</v>
      </c>
      <c r="M4280">
        <v>65422</v>
      </c>
      <c r="N4280" t="s">
        <v>117</v>
      </c>
      <c r="O4280">
        <v>250925</v>
      </c>
      <c r="P4280">
        <v>64.2</v>
      </c>
    </row>
    <row r="4281" spans="1:16" x14ac:dyDescent="0.25">
      <c r="A4281" t="s">
        <v>3296</v>
      </c>
      <c r="B4281" t="s">
        <v>2931</v>
      </c>
      <c r="C4281">
        <v>12488</v>
      </c>
      <c r="D4281" t="str">
        <f>"25019735    "</f>
        <v xml:space="preserve">25019735    </v>
      </c>
      <c r="E4281" t="s">
        <v>1033</v>
      </c>
      <c r="F4281" t="s">
        <v>1034</v>
      </c>
      <c r="G4281">
        <v>80.569999999999993</v>
      </c>
      <c r="H4281">
        <v>250917</v>
      </c>
      <c r="I4281">
        <v>4600</v>
      </c>
      <c r="J4281" t="s">
        <v>278</v>
      </c>
      <c r="K4281">
        <v>161.13999999999999</v>
      </c>
      <c r="L4281">
        <v>0</v>
      </c>
      <c r="M4281">
        <v>66754</v>
      </c>
      <c r="N4281" t="s">
        <v>119</v>
      </c>
      <c r="O4281">
        <v>250925</v>
      </c>
      <c r="P4281">
        <v>80.569999999999993</v>
      </c>
    </row>
    <row r="4282" spans="1:16" x14ac:dyDescent="0.25">
      <c r="A4282" t="s">
        <v>3296</v>
      </c>
      <c r="B4282" t="s">
        <v>2931</v>
      </c>
      <c r="C4282">
        <v>12632</v>
      </c>
      <c r="D4282" t="str">
        <f>"25020701    "</f>
        <v xml:space="preserve">25020701    </v>
      </c>
      <c r="E4282" t="s">
        <v>1033</v>
      </c>
      <c r="F4282" t="s">
        <v>1034</v>
      </c>
      <c r="G4282">
        <v>224.9</v>
      </c>
      <c r="H4282">
        <v>250922</v>
      </c>
      <c r="I4282">
        <v>4600</v>
      </c>
      <c r="J4282" t="s">
        <v>278</v>
      </c>
      <c r="K4282">
        <v>224.9</v>
      </c>
      <c r="L4282">
        <v>45.7</v>
      </c>
      <c r="M4282">
        <v>66754</v>
      </c>
      <c r="N4282" t="s">
        <v>119</v>
      </c>
      <c r="O4282">
        <v>250929</v>
      </c>
      <c r="P4282">
        <v>179.2</v>
      </c>
    </row>
    <row r="4283" spans="1:16" x14ac:dyDescent="0.25">
      <c r="A4283" t="s">
        <v>3296</v>
      </c>
      <c r="B4283" t="s">
        <v>2931</v>
      </c>
      <c r="C4283">
        <v>12708</v>
      </c>
      <c r="D4283" t="str">
        <f>"25021426    "</f>
        <v xml:space="preserve">25021426    </v>
      </c>
      <c r="E4283" t="s">
        <v>1033</v>
      </c>
      <c r="F4283" t="s">
        <v>1034</v>
      </c>
      <c r="G4283">
        <v>150.83000000000001</v>
      </c>
      <c r="H4283">
        <v>250924</v>
      </c>
      <c r="I4283">
        <v>4600</v>
      </c>
      <c r="J4283" t="s">
        <v>278</v>
      </c>
      <c r="K4283">
        <v>424.77</v>
      </c>
      <c r="L4283">
        <v>30.65</v>
      </c>
      <c r="M4283">
        <v>65422</v>
      </c>
      <c r="N4283" t="s">
        <v>117</v>
      </c>
      <c r="O4283">
        <v>250929</v>
      </c>
      <c r="P4283">
        <v>120.18</v>
      </c>
    </row>
    <row r="4284" spans="1:16" x14ac:dyDescent="0.25">
      <c r="A4284" t="s">
        <v>3296</v>
      </c>
      <c r="B4284" t="s">
        <v>2931</v>
      </c>
      <c r="C4284">
        <v>12708</v>
      </c>
      <c r="D4284" t="str">
        <f>"25021426    "</f>
        <v xml:space="preserve">25021426    </v>
      </c>
      <c r="E4284" t="s">
        <v>1033</v>
      </c>
      <c r="F4284" t="s">
        <v>1034</v>
      </c>
      <c r="G4284">
        <v>146.71</v>
      </c>
      <c r="H4284">
        <v>250924</v>
      </c>
      <c r="I4284">
        <v>4600</v>
      </c>
      <c r="J4284" t="s">
        <v>278</v>
      </c>
      <c r="K4284">
        <v>424.77</v>
      </c>
      <c r="L4284">
        <v>29.81</v>
      </c>
      <c r="M4284">
        <v>66722</v>
      </c>
      <c r="N4284" t="s">
        <v>118</v>
      </c>
      <c r="O4284">
        <v>250929</v>
      </c>
      <c r="P4284">
        <v>116.9</v>
      </c>
    </row>
    <row r="4285" spans="1:16" x14ac:dyDescent="0.25">
      <c r="A4285" t="s">
        <v>3296</v>
      </c>
      <c r="B4285" t="s">
        <v>2931</v>
      </c>
      <c r="C4285">
        <v>12708</v>
      </c>
      <c r="D4285" t="str">
        <f>"25021426    "</f>
        <v xml:space="preserve">25021426    </v>
      </c>
      <c r="E4285" t="s">
        <v>1033</v>
      </c>
      <c r="F4285" t="s">
        <v>1034</v>
      </c>
      <c r="G4285">
        <v>127.23</v>
      </c>
      <c r="H4285">
        <v>250924</v>
      </c>
      <c r="I4285">
        <v>4600</v>
      </c>
      <c r="J4285" t="s">
        <v>278</v>
      </c>
      <c r="K4285">
        <v>424.77</v>
      </c>
      <c r="L4285">
        <v>25.85</v>
      </c>
      <c r="M4285">
        <v>66754</v>
      </c>
      <c r="N4285" t="s">
        <v>119</v>
      </c>
      <c r="O4285">
        <v>250929</v>
      </c>
      <c r="P4285">
        <v>101.38</v>
      </c>
    </row>
    <row r="4286" spans="1:16" x14ac:dyDescent="0.25">
      <c r="A4286" t="s">
        <v>3296</v>
      </c>
      <c r="B4286" t="s">
        <v>2931</v>
      </c>
      <c r="C4286">
        <v>13186</v>
      </c>
      <c r="D4286" t="str">
        <f>"25025201    "</f>
        <v xml:space="preserve">25025201    </v>
      </c>
      <c r="E4286" t="s">
        <v>1033</v>
      </c>
      <c r="F4286" t="s">
        <v>1034</v>
      </c>
      <c r="G4286">
        <v>186.37</v>
      </c>
      <c r="H4286">
        <v>250930</v>
      </c>
      <c r="I4286">
        <v>4600</v>
      </c>
      <c r="J4286" t="s">
        <v>278</v>
      </c>
      <c r="K4286">
        <v>186.37</v>
      </c>
      <c r="L4286">
        <v>37.869999999999997</v>
      </c>
      <c r="M4286">
        <v>66754</v>
      </c>
      <c r="N4286" t="s">
        <v>119</v>
      </c>
      <c r="O4286">
        <v>251006</v>
      </c>
      <c r="P4286">
        <v>148.5</v>
      </c>
    </row>
    <row r="4287" spans="1:16" x14ac:dyDescent="0.25">
      <c r="A4287" t="s">
        <v>3296</v>
      </c>
      <c r="B4287" t="s">
        <v>2931</v>
      </c>
      <c r="C4287">
        <v>13431</v>
      </c>
      <c r="D4287" t="str">
        <f>"25027235    "</f>
        <v xml:space="preserve">25027235    </v>
      </c>
      <c r="E4287" t="s">
        <v>1033</v>
      </c>
      <c r="F4287" t="s">
        <v>1034</v>
      </c>
      <c r="G4287">
        <v>52.71</v>
      </c>
      <c r="H4287">
        <v>251008</v>
      </c>
      <c r="I4287">
        <v>4600</v>
      </c>
      <c r="J4287" t="s">
        <v>278</v>
      </c>
      <c r="K4287">
        <v>52.71</v>
      </c>
      <c r="L4287">
        <v>10.71</v>
      </c>
      <c r="M4287">
        <v>66754</v>
      </c>
      <c r="N4287" t="s">
        <v>119</v>
      </c>
      <c r="O4287">
        <v>251009</v>
      </c>
      <c r="P4287">
        <v>42</v>
      </c>
    </row>
    <row r="4288" spans="1:16" x14ac:dyDescent="0.25">
      <c r="A4288" t="s">
        <v>3296</v>
      </c>
      <c r="B4288" t="s">
        <v>2931</v>
      </c>
      <c r="C4288">
        <v>13491</v>
      </c>
      <c r="D4288" t="str">
        <f>"25027234    "</f>
        <v xml:space="preserve">25027234    </v>
      </c>
      <c r="E4288" t="s">
        <v>1033</v>
      </c>
      <c r="F4288" t="s">
        <v>1034</v>
      </c>
      <c r="G4288">
        <v>115.96</v>
      </c>
      <c r="H4288">
        <v>251008</v>
      </c>
      <c r="I4288">
        <v>4600</v>
      </c>
      <c r="J4288" t="s">
        <v>278</v>
      </c>
      <c r="K4288">
        <v>115.96</v>
      </c>
      <c r="L4288">
        <v>23.56</v>
      </c>
      <c r="M4288">
        <v>66754</v>
      </c>
      <c r="N4288" t="s">
        <v>119</v>
      </c>
      <c r="O4288">
        <v>251010</v>
      </c>
      <c r="P4288">
        <v>92.4</v>
      </c>
    </row>
    <row r="4289" spans="1:16" x14ac:dyDescent="0.25">
      <c r="A4289" t="s">
        <v>3296</v>
      </c>
      <c r="B4289" t="s">
        <v>2931</v>
      </c>
      <c r="C4289">
        <v>13793</v>
      </c>
      <c r="D4289" t="str">
        <f>"25029101    "</f>
        <v xml:space="preserve">25029101    </v>
      </c>
      <c r="E4289" t="s">
        <v>1033</v>
      </c>
      <c r="F4289" t="s">
        <v>1034</v>
      </c>
      <c r="G4289">
        <v>117.67</v>
      </c>
      <c r="H4289">
        <v>251015</v>
      </c>
      <c r="I4289">
        <v>4600</v>
      </c>
      <c r="J4289" t="s">
        <v>278</v>
      </c>
      <c r="K4289">
        <v>117.67</v>
      </c>
      <c r="L4289">
        <v>23.91</v>
      </c>
      <c r="M4289">
        <v>66754</v>
      </c>
      <c r="N4289" t="s">
        <v>119</v>
      </c>
      <c r="O4289">
        <v>251020</v>
      </c>
      <c r="P4289">
        <v>93.76</v>
      </c>
    </row>
    <row r="4290" spans="1:16" x14ac:dyDescent="0.25">
      <c r="A4290" t="s">
        <v>3296</v>
      </c>
      <c r="B4290" t="s">
        <v>2931</v>
      </c>
      <c r="C4290">
        <v>14140</v>
      </c>
      <c r="D4290" t="str">
        <f>"25031241    "</f>
        <v xml:space="preserve">25031241    </v>
      </c>
      <c r="E4290" t="s">
        <v>1033</v>
      </c>
      <c r="F4290" t="s">
        <v>1034</v>
      </c>
      <c r="G4290">
        <v>225.15</v>
      </c>
      <c r="H4290">
        <v>251023</v>
      </c>
      <c r="I4290">
        <v>4600</v>
      </c>
      <c r="J4290" t="s">
        <v>278</v>
      </c>
      <c r="K4290">
        <v>225.15</v>
      </c>
      <c r="L4290">
        <v>45.75</v>
      </c>
      <c r="M4290">
        <v>66754</v>
      </c>
      <c r="N4290" t="s">
        <v>119</v>
      </c>
      <c r="O4290">
        <v>251024</v>
      </c>
      <c r="P4290">
        <v>179.4</v>
      </c>
    </row>
    <row r="4291" spans="1:16" x14ac:dyDescent="0.25">
      <c r="A4291" t="s">
        <v>3296</v>
      </c>
      <c r="B4291" t="s">
        <v>2931</v>
      </c>
      <c r="C4291">
        <v>14266</v>
      </c>
      <c r="D4291" t="str">
        <f>"25032087    "</f>
        <v xml:space="preserve">25032087    </v>
      </c>
      <c r="E4291" t="s">
        <v>1033</v>
      </c>
      <c r="F4291" t="s">
        <v>1034</v>
      </c>
      <c r="G4291">
        <v>237.67</v>
      </c>
      <c r="H4291">
        <v>251027</v>
      </c>
      <c r="I4291">
        <v>4600</v>
      </c>
      <c r="J4291" t="s">
        <v>278</v>
      </c>
      <c r="K4291">
        <v>237.67</v>
      </c>
      <c r="L4291">
        <v>48.29</v>
      </c>
      <c r="M4291">
        <v>66754</v>
      </c>
      <c r="N4291" t="s">
        <v>119</v>
      </c>
      <c r="O4291">
        <v>251028</v>
      </c>
      <c r="P4291">
        <v>189.38</v>
      </c>
    </row>
    <row r="4292" spans="1:16" x14ac:dyDescent="0.25">
      <c r="A4292" t="s">
        <v>3296</v>
      </c>
      <c r="B4292" t="s">
        <v>2931</v>
      </c>
      <c r="C4292">
        <v>14328</v>
      </c>
      <c r="D4292" t="str">
        <f>"25032630    "</f>
        <v xml:space="preserve">25032630    </v>
      </c>
      <c r="E4292" t="s">
        <v>1033</v>
      </c>
      <c r="F4292" t="s">
        <v>1034</v>
      </c>
      <c r="G4292">
        <v>121.92</v>
      </c>
      <c r="H4292">
        <v>251029</v>
      </c>
      <c r="I4292">
        <v>4600</v>
      </c>
      <c r="J4292" t="s">
        <v>278</v>
      </c>
      <c r="K4292">
        <v>121.92</v>
      </c>
      <c r="L4292">
        <v>24.77</v>
      </c>
      <c r="M4292">
        <v>66754</v>
      </c>
      <c r="N4292" t="s">
        <v>119</v>
      </c>
      <c r="O4292">
        <v>251029</v>
      </c>
      <c r="P4292">
        <v>97.15</v>
      </c>
    </row>
    <row r="4293" spans="1:16" x14ac:dyDescent="0.25">
      <c r="A4293" t="s">
        <v>3296</v>
      </c>
      <c r="B4293" t="s">
        <v>2931</v>
      </c>
      <c r="C4293">
        <v>14329</v>
      </c>
      <c r="D4293" t="str">
        <f>"25032631    "</f>
        <v xml:space="preserve">25032631    </v>
      </c>
      <c r="E4293" t="s">
        <v>1033</v>
      </c>
      <c r="F4293" t="s">
        <v>1034</v>
      </c>
      <c r="G4293">
        <v>78.31</v>
      </c>
      <c r="H4293">
        <v>251029</v>
      </c>
      <c r="I4293">
        <v>4600</v>
      </c>
      <c r="J4293" t="s">
        <v>278</v>
      </c>
      <c r="K4293">
        <v>78.31</v>
      </c>
      <c r="L4293">
        <v>15.91</v>
      </c>
      <c r="M4293">
        <v>66754</v>
      </c>
      <c r="N4293" t="s">
        <v>119</v>
      </c>
      <c r="O4293">
        <v>251029</v>
      </c>
      <c r="P4293">
        <v>62.4</v>
      </c>
    </row>
    <row r="4294" spans="1:16" x14ac:dyDescent="0.25">
      <c r="A4294" t="s">
        <v>3296</v>
      </c>
      <c r="B4294" t="s">
        <v>2931</v>
      </c>
      <c r="C4294">
        <v>14762</v>
      </c>
      <c r="D4294" t="str">
        <f>"25034175    "</f>
        <v xml:space="preserve">25034175    </v>
      </c>
      <c r="E4294" t="s">
        <v>1033</v>
      </c>
      <c r="F4294" t="s">
        <v>1034</v>
      </c>
      <c r="G4294">
        <v>53.84</v>
      </c>
      <c r="H4294">
        <v>251103</v>
      </c>
      <c r="I4294">
        <v>4600</v>
      </c>
      <c r="J4294" t="s">
        <v>278</v>
      </c>
      <c r="K4294">
        <v>53.84</v>
      </c>
      <c r="L4294">
        <v>10.94</v>
      </c>
      <c r="M4294">
        <v>66754</v>
      </c>
      <c r="N4294" t="s">
        <v>119</v>
      </c>
      <c r="O4294">
        <v>251106</v>
      </c>
      <c r="P4294">
        <v>42.9</v>
      </c>
    </row>
    <row r="4295" spans="1:16" x14ac:dyDescent="0.25">
      <c r="A4295" t="s">
        <v>3296</v>
      </c>
      <c r="B4295" t="s">
        <v>2931</v>
      </c>
      <c r="C4295">
        <v>14880</v>
      </c>
      <c r="D4295" t="str">
        <f>"25034704    "</f>
        <v xml:space="preserve">25034704    </v>
      </c>
      <c r="E4295" t="s">
        <v>1033</v>
      </c>
      <c r="F4295" t="s">
        <v>1034</v>
      </c>
      <c r="G4295">
        <v>122.24</v>
      </c>
      <c r="H4295">
        <v>251105</v>
      </c>
      <c r="I4295">
        <v>4600</v>
      </c>
      <c r="J4295" t="s">
        <v>278</v>
      </c>
      <c r="K4295">
        <v>122.24</v>
      </c>
      <c r="L4295">
        <v>24.84</v>
      </c>
      <c r="M4295">
        <v>66754</v>
      </c>
      <c r="N4295" t="s">
        <v>119</v>
      </c>
      <c r="O4295">
        <v>251107</v>
      </c>
      <c r="P4295">
        <v>97.4</v>
      </c>
    </row>
    <row r="4296" spans="1:16" x14ac:dyDescent="0.25">
      <c r="A4296" t="s">
        <v>3296</v>
      </c>
      <c r="B4296" t="s">
        <v>2931</v>
      </c>
      <c r="C4296">
        <v>14883</v>
      </c>
      <c r="D4296" t="str">
        <f>"25034699    "</f>
        <v xml:space="preserve">25034699    </v>
      </c>
      <c r="E4296" t="s">
        <v>1033</v>
      </c>
      <c r="F4296" t="s">
        <v>1034</v>
      </c>
      <c r="G4296">
        <v>60.97</v>
      </c>
      <c r="H4296">
        <v>251105</v>
      </c>
      <c r="I4296">
        <v>4600</v>
      </c>
      <c r="J4296" t="s">
        <v>278</v>
      </c>
      <c r="K4296">
        <v>60.97</v>
      </c>
      <c r="L4296">
        <v>12.39</v>
      </c>
      <c r="M4296">
        <v>66754</v>
      </c>
      <c r="N4296" t="s">
        <v>119</v>
      </c>
      <c r="O4296">
        <v>251107</v>
      </c>
      <c r="P4296">
        <v>48.58</v>
      </c>
    </row>
    <row r="4297" spans="1:16" x14ac:dyDescent="0.25">
      <c r="A4297" t="s">
        <v>3296</v>
      </c>
      <c r="B4297" t="s">
        <v>2931</v>
      </c>
      <c r="C4297">
        <v>14891</v>
      </c>
      <c r="D4297" t="str">
        <f>"25034697    "</f>
        <v xml:space="preserve">25034697    </v>
      </c>
      <c r="E4297" t="s">
        <v>1033</v>
      </c>
      <c r="F4297" t="s">
        <v>1034</v>
      </c>
      <c r="G4297">
        <v>154.53</v>
      </c>
      <c r="H4297">
        <v>251105</v>
      </c>
      <c r="I4297">
        <v>4600</v>
      </c>
      <c r="J4297" t="s">
        <v>278</v>
      </c>
      <c r="K4297">
        <v>154.53</v>
      </c>
      <c r="L4297">
        <v>31.4</v>
      </c>
      <c r="M4297">
        <v>66754</v>
      </c>
      <c r="N4297" t="s">
        <v>119</v>
      </c>
      <c r="O4297">
        <v>251107</v>
      </c>
      <c r="P4297">
        <v>123.13</v>
      </c>
    </row>
    <row r="4298" spans="1:16" x14ac:dyDescent="0.25">
      <c r="A4298" t="s">
        <v>3296</v>
      </c>
      <c r="B4298" t="s">
        <v>2931</v>
      </c>
      <c r="C4298">
        <v>15208</v>
      </c>
      <c r="D4298" t="str">
        <f>"25035591    "</f>
        <v xml:space="preserve">25035591    </v>
      </c>
      <c r="E4298" t="s">
        <v>1033</v>
      </c>
      <c r="F4298" t="s">
        <v>1034</v>
      </c>
      <c r="G4298">
        <v>29.74</v>
      </c>
      <c r="H4298">
        <v>251110</v>
      </c>
      <c r="I4298">
        <v>4600</v>
      </c>
      <c r="J4298" t="s">
        <v>278</v>
      </c>
      <c r="K4298">
        <v>29.74</v>
      </c>
      <c r="L4298">
        <v>6.04</v>
      </c>
      <c r="M4298">
        <v>66754</v>
      </c>
      <c r="N4298" t="s">
        <v>119</v>
      </c>
      <c r="O4298">
        <v>251114</v>
      </c>
      <c r="P4298">
        <v>23.7</v>
      </c>
    </row>
    <row r="4299" spans="1:16" x14ac:dyDescent="0.25">
      <c r="A4299" t="s">
        <v>3296</v>
      </c>
      <c r="B4299" t="s">
        <v>2931</v>
      </c>
      <c r="C4299">
        <v>15249</v>
      </c>
      <c r="D4299" t="str">
        <f>"25036021    "</f>
        <v xml:space="preserve">25036021    </v>
      </c>
      <c r="E4299" t="s">
        <v>1033</v>
      </c>
      <c r="F4299" t="s">
        <v>1034</v>
      </c>
      <c r="G4299">
        <v>167.48</v>
      </c>
      <c r="H4299">
        <v>251112</v>
      </c>
      <c r="I4299">
        <v>4600</v>
      </c>
      <c r="J4299" t="s">
        <v>278</v>
      </c>
      <c r="K4299">
        <v>167.48</v>
      </c>
      <c r="L4299">
        <v>34.03</v>
      </c>
      <c r="M4299">
        <v>66754</v>
      </c>
      <c r="N4299" t="s">
        <v>119</v>
      </c>
      <c r="O4299">
        <v>251117</v>
      </c>
      <c r="P4299">
        <v>133.44999999999999</v>
      </c>
    </row>
    <row r="4300" spans="1:16" x14ac:dyDescent="0.25">
      <c r="A4300" t="s">
        <v>3296</v>
      </c>
      <c r="B4300" t="s">
        <v>2931</v>
      </c>
      <c r="C4300">
        <v>15250</v>
      </c>
      <c r="D4300" t="str">
        <f>"25036020    "</f>
        <v xml:space="preserve">25036020    </v>
      </c>
      <c r="E4300" t="s">
        <v>1033</v>
      </c>
      <c r="F4300" t="s">
        <v>1034</v>
      </c>
      <c r="G4300">
        <v>53.97</v>
      </c>
      <c r="H4300">
        <v>251112</v>
      </c>
      <c r="I4300">
        <v>4600</v>
      </c>
      <c r="J4300" t="s">
        <v>278</v>
      </c>
      <c r="K4300">
        <v>53.97</v>
      </c>
      <c r="L4300">
        <v>10.97</v>
      </c>
      <c r="M4300">
        <v>66754</v>
      </c>
      <c r="N4300" t="s">
        <v>119</v>
      </c>
      <c r="O4300">
        <v>251117</v>
      </c>
      <c r="P4300">
        <v>43</v>
      </c>
    </row>
    <row r="4301" spans="1:16" x14ac:dyDescent="0.25">
      <c r="A4301" t="s">
        <v>3296</v>
      </c>
      <c r="B4301" t="s">
        <v>2931</v>
      </c>
      <c r="C4301">
        <v>15701</v>
      </c>
      <c r="D4301" t="str">
        <f>"25037620    "</f>
        <v xml:space="preserve">25037620    </v>
      </c>
      <c r="E4301" t="s">
        <v>1033</v>
      </c>
      <c r="F4301" t="s">
        <v>1034</v>
      </c>
      <c r="G4301">
        <v>57.1</v>
      </c>
      <c r="H4301">
        <v>251119</v>
      </c>
      <c r="I4301">
        <v>4600</v>
      </c>
      <c r="J4301" t="s">
        <v>278</v>
      </c>
      <c r="K4301">
        <v>57.1</v>
      </c>
      <c r="L4301">
        <v>11.6</v>
      </c>
      <c r="M4301">
        <v>66754</v>
      </c>
      <c r="N4301" t="s">
        <v>119</v>
      </c>
      <c r="O4301">
        <v>251125</v>
      </c>
      <c r="P4301">
        <v>45.5</v>
      </c>
    </row>
    <row r="4302" spans="1:16" x14ac:dyDescent="0.25">
      <c r="A4302" t="s">
        <v>3296</v>
      </c>
      <c r="B4302" t="s">
        <v>2931</v>
      </c>
      <c r="C4302">
        <v>15702</v>
      </c>
      <c r="D4302" t="str">
        <f>"25037623    "</f>
        <v xml:space="preserve">25037623    </v>
      </c>
      <c r="E4302" t="s">
        <v>1033</v>
      </c>
      <c r="F4302" t="s">
        <v>1034</v>
      </c>
      <c r="G4302">
        <v>74.92</v>
      </c>
      <c r="H4302">
        <v>251119</v>
      </c>
      <c r="I4302">
        <v>4600</v>
      </c>
      <c r="J4302" t="s">
        <v>278</v>
      </c>
      <c r="K4302">
        <v>74.92</v>
      </c>
      <c r="L4302">
        <v>15.22</v>
      </c>
      <c r="M4302">
        <v>66754</v>
      </c>
      <c r="N4302" t="s">
        <v>119</v>
      </c>
      <c r="O4302">
        <v>251125</v>
      </c>
      <c r="P4302">
        <v>59.7</v>
      </c>
    </row>
    <row r="4303" spans="1:16" x14ac:dyDescent="0.25">
      <c r="A4303" t="s">
        <v>3296</v>
      </c>
      <c r="B4303" t="s">
        <v>2931</v>
      </c>
      <c r="C4303">
        <v>15703</v>
      </c>
      <c r="D4303" t="str">
        <f>"25037619    "</f>
        <v xml:space="preserve">25037619    </v>
      </c>
      <c r="E4303" t="s">
        <v>1033</v>
      </c>
      <c r="F4303" t="s">
        <v>1034</v>
      </c>
      <c r="G4303">
        <v>113.41</v>
      </c>
      <c r="H4303">
        <v>251119</v>
      </c>
      <c r="I4303">
        <v>4600</v>
      </c>
      <c r="J4303" t="s">
        <v>278</v>
      </c>
      <c r="K4303">
        <v>113.41</v>
      </c>
      <c r="L4303">
        <v>23.04</v>
      </c>
      <c r="M4303">
        <v>66754</v>
      </c>
      <c r="N4303" t="s">
        <v>119</v>
      </c>
      <c r="O4303">
        <v>251125</v>
      </c>
      <c r="P4303">
        <v>90.37</v>
      </c>
    </row>
    <row r="4304" spans="1:16" x14ac:dyDescent="0.25">
      <c r="A4304" t="s">
        <v>3296</v>
      </c>
      <c r="B4304" t="s">
        <v>2931</v>
      </c>
      <c r="C4304">
        <v>16385</v>
      </c>
      <c r="D4304" t="str">
        <f>"25041697    "</f>
        <v xml:space="preserve">25041697    </v>
      </c>
      <c r="E4304" t="s">
        <v>1033</v>
      </c>
      <c r="F4304" t="s">
        <v>1034</v>
      </c>
      <c r="G4304">
        <v>179.34</v>
      </c>
      <c r="H4304">
        <v>251130</v>
      </c>
      <c r="I4304">
        <v>4600</v>
      </c>
      <c r="J4304" t="s">
        <v>278</v>
      </c>
      <c r="K4304">
        <v>179.34</v>
      </c>
      <c r="L4304">
        <v>36.44</v>
      </c>
      <c r="M4304">
        <v>66754</v>
      </c>
      <c r="N4304" t="s">
        <v>119</v>
      </c>
      <c r="O4304">
        <v>251208</v>
      </c>
      <c r="P4304">
        <v>142.9</v>
      </c>
    </row>
    <row r="4305" spans="1:16" x14ac:dyDescent="0.25">
      <c r="A4305" t="s">
        <v>3296</v>
      </c>
      <c r="B4305" t="s">
        <v>2931</v>
      </c>
      <c r="C4305">
        <v>16386</v>
      </c>
      <c r="D4305" t="str">
        <f>"25041704    "</f>
        <v xml:space="preserve">25041704    </v>
      </c>
      <c r="E4305" t="s">
        <v>1033</v>
      </c>
      <c r="F4305" t="s">
        <v>1034</v>
      </c>
      <c r="G4305">
        <v>440.74</v>
      </c>
      <c r="H4305">
        <v>251203</v>
      </c>
      <c r="I4305">
        <v>4600</v>
      </c>
      <c r="J4305" t="s">
        <v>278</v>
      </c>
      <c r="K4305">
        <v>440.74</v>
      </c>
      <c r="L4305">
        <v>89.55</v>
      </c>
      <c r="M4305">
        <v>66754</v>
      </c>
      <c r="N4305" t="s">
        <v>119</v>
      </c>
      <c r="O4305">
        <v>251208</v>
      </c>
      <c r="P4305">
        <v>351.19</v>
      </c>
    </row>
    <row r="4306" spans="1:16" x14ac:dyDescent="0.25">
      <c r="A4306" t="s">
        <v>3296</v>
      </c>
      <c r="B4306" t="s">
        <v>2931</v>
      </c>
      <c r="C4306">
        <v>16387</v>
      </c>
      <c r="D4306" t="str">
        <f>"25041696    "</f>
        <v xml:space="preserve">25041696    </v>
      </c>
      <c r="E4306" t="s">
        <v>1033</v>
      </c>
      <c r="F4306" t="s">
        <v>1034</v>
      </c>
      <c r="G4306">
        <v>199.14</v>
      </c>
      <c r="H4306">
        <v>251130</v>
      </c>
      <c r="I4306">
        <v>4600</v>
      </c>
      <c r="J4306" t="s">
        <v>278</v>
      </c>
      <c r="K4306">
        <v>199.14</v>
      </c>
      <c r="L4306">
        <v>40.46</v>
      </c>
      <c r="M4306">
        <v>66754</v>
      </c>
      <c r="N4306" t="s">
        <v>119</v>
      </c>
      <c r="O4306">
        <v>251208</v>
      </c>
      <c r="P4306">
        <v>158.68</v>
      </c>
    </row>
    <row r="4307" spans="1:16" x14ac:dyDescent="0.25">
      <c r="A4307" t="s">
        <v>3296</v>
      </c>
      <c r="B4307" t="s">
        <v>2931</v>
      </c>
      <c r="C4307">
        <v>16455</v>
      </c>
      <c r="D4307" t="str">
        <f>"25039536    "</f>
        <v xml:space="preserve">25039536    </v>
      </c>
      <c r="E4307" t="s">
        <v>1033</v>
      </c>
      <c r="F4307" t="s">
        <v>1034</v>
      </c>
      <c r="G4307">
        <v>347.89</v>
      </c>
      <c r="H4307">
        <v>251126</v>
      </c>
      <c r="I4307">
        <v>4600</v>
      </c>
      <c r="J4307" t="s">
        <v>278</v>
      </c>
      <c r="K4307">
        <v>414.28</v>
      </c>
      <c r="L4307">
        <v>70.69</v>
      </c>
      <c r="M4307">
        <v>66722</v>
      </c>
      <c r="N4307" t="s">
        <v>118</v>
      </c>
      <c r="O4307">
        <v>251208</v>
      </c>
      <c r="P4307">
        <v>277.2</v>
      </c>
    </row>
    <row r="4308" spans="1:16" x14ac:dyDescent="0.25">
      <c r="A4308" t="s">
        <v>3296</v>
      </c>
      <c r="B4308" t="s">
        <v>2931</v>
      </c>
      <c r="C4308">
        <v>16455</v>
      </c>
      <c r="D4308" t="str">
        <f>"25039536    "</f>
        <v xml:space="preserve">25039536    </v>
      </c>
      <c r="E4308" t="s">
        <v>1033</v>
      </c>
      <c r="F4308" t="s">
        <v>1034</v>
      </c>
      <c r="G4308">
        <v>66.39</v>
      </c>
      <c r="H4308">
        <v>251126</v>
      </c>
      <c r="I4308">
        <v>4600</v>
      </c>
      <c r="J4308" t="s">
        <v>278</v>
      </c>
      <c r="K4308">
        <v>414.28</v>
      </c>
      <c r="L4308">
        <v>13.49</v>
      </c>
      <c r="M4308">
        <v>66754</v>
      </c>
      <c r="N4308" t="s">
        <v>119</v>
      </c>
      <c r="O4308">
        <v>251208</v>
      </c>
      <c r="P4308">
        <v>52.9</v>
      </c>
    </row>
    <row r="4309" spans="1:16" x14ac:dyDescent="0.25">
      <c r="A4309" t="s">
        <v>3296</v>
      </c>
      <c r="B4309" t="s">
        <v>2931</v>
      </c>
      <c r="C4309">
        <v>16478</v>
      </c>
      <c r="D4309" t="str">
        <f>"25041702    "</f>
        <v xml:space="preserve">25041702    </v>
      </c>
      <c r="E4309" t="s">
        <v>1033</v>
      </c>
      <c r="F4309" t="s">
        <v>1034</v>
      </c>
      <c r="G4309">
        <v>53.97</v>
      </c>
      <c r="H4309">
        <v>251203</v>
      </c>
      <c r="I4309">
        <v>4600</v>
      </c>
      <c r="J4309" t="s">
        <v>278</v>
      </c>
      <c r="K4309">
        <v>136.38</v>
      </c>
      <c r="L4309">
        <v>10.97</v>
      </c>
      <c r="M4309">
        <v>66722</v>
      </c>
      <c r="N4309" t="s">
        <v>118</v>
      </c>
      <c r="O4309">
        <v>251209</v>
      </c>
      <c r="P4309">
        <v>43</v>
      </c>
    </row>
    <row r="4310" spans="1:16" x14ac:dyDescent="0.25">
      <c r="A4310" t="s">
        <v>3296</v>
      </c>
      <c r="B4310" t="s">
        <v>2931</v>
      </c>
      <c r="C4310">
        <v>16478</v>
      </c>
      <c r="D4310" t="str">
        <f>"25041702    "</f>
        <v xml:space="preserve">25041702    </v>
      </c>
      <c r="E4310" t="s">
        <v>1033</v>
      </c>
      <c r="F4310" t="s">
        <v>1034</v>
      </c>
      <c r="G4310">
        <v>82.41</v>
      </c>
      <c r="H4310">
        <v>251203</v>
      </c>
      <c r="I4310">
        <v>4600</v>
      </c>
      <c r="J4310" t="s">
        <v>278</v>
      </c>
      <c r="K4310">
        <v>136.38</v>
      </c>
      <c r="L4310">
        <v>16.739999999999998</v>
      </c>
      <c r="M4310">
        <v>66754</v>
      </c>
      <c r="N4310" t="s">
        <v>119</v>
      </c>
      <c r="O4310">
        <v>251209</v>
      </c>
      <c r="P4310">
        <v>65.67</v>
      </c>
    </row>
    <row r="4311" spans="1:16" x14ac:dyDescent="0.25">
      <c r="A4311" t="s">
        <v>3296</v>
      </c>
      <c r="B4311" t="s">
        <v>2931</v>
      </c>
      <c r="C4311">
        <v>16479</v>
      </c>
      <c r="D4311" t="str">
        <f>"25041699    "</f>
        <v xml:space="preserve">25041699    </v>
      </c>
      <c r="E4311" t="s">
        <v>1033</v>
      </c>
      <c r="F4311" t="s">
        <v>1034</v>
      </c>
      <c r="G4311">
        <v>23.22</v>
      </c>
      <c r="H4311">
        <v>251130</v>
      </c>
      <c r="I4311">
        <v>4600</v>
      </c>
      <c r="J4311" t="s">
        <v>278</v>
      </c>
      <c r="K4311">
        <v>215.99</v>
      </c>
      <c r="L4311">
        <v>4.72</v>
      </c>
      <c r="M4311">
        <v>66722</v>
      </c>
      <c r="N4311" t="s">
        <v>118</v>
      </c>
      <c r="O4311">
        <v>251209</v>
      </c>
      <c r="P4311">
        <v>18.5</v>
      </c>
    </row>
    <row r="4312" spans="1:16" x14ac:dyDescent="0.25">
      <c r="A4312" t="s">
        <v>3296</v>
      </c>
      <c r="B4312" t="s">
        <v>2931</v>
      </c>
      <c r="C4312">
        <v>16479</v>
      </c>
      <c r="D4312" t="str">
        <f>"25041699    "</f>
        <v xml:space="preserve">25041699    </v>
      </c>
      <c r="E4312" t="s">
        <v>1033</v>
      </c>
      <c r="F4312" t="s">
        <v>1034</v>
      </c>
      <c r="G4312">
        <v>192.77</v>
      </c>
      <c r="H4312">
        <v>251130</v>
      </c>
      <c r="I4312">
        <v>4600</v>
      </c>
      <c r="J4312" t="s">
        <v>278</v>
      </c>
      <c r="K4312">
        <v>215.99</v>
      </c>
      <c r="L4312">
        <v>39.17</v>
      </c>
      <c r="M4312">
        <v>66754</v>
      </c>
      <c r="N4312" t="s">
        <v>119</v>
      </c>
      <c r="O4312">
        <v>251209</v>
      </c>
      <c r="P4312">
        <v>153.6</v>
      </c>
    </row>
    <row r="4313" spans="1:16" x14ac:dyDescent="0.25">
      <c r="A4313" t="s">
        <v>3296</v>
      </c>
      <c r="B4313" t="s">
        <v>2931</v>
      </c>
      <c r="C4313">
        <v>16864</v>
      </c>
      <c r="D4313" t="str">
        <f>"25043950    "</f>
        <v xml:space="preserve">25043950    </v>
      </c>
      <c r="E4313" t="s">
        <v>1033</v>
      </c>
      <c r="F4313" t="s">
        <v>1034</v>
      </c>
      <c r="G4313">
        <v>78.06</v>
      </c>
      <c r="H4313">
        <v>251210</v>
      </c>
      <c r="I4313">
        <v>4600</v>
      </c>
      <c r="J4313" t="s">
        <v>278</v>
      </c>
      <c r="K4313">
        <v>134.86000000000001</v>
      </c>
      <c r="L4313">
        <v>15.86</v>
      </c>
      <c r="M4313">
        <v>66722</v>
      </c>
      <c r="N4313" t="s">
        <v>118</v>
      </c>
      <c r="O4313">
        <v>251215</v>
      </c>
      <c r="P4313">
        <v>62.2</v>
      </c>
    </row>
    <row r="4314" spans="1:16" x14ac:dyDescent="0.25">
      <c r="A4314" t="s">
        <v>3296</v>
      </c>
      <c r="B4314" t="s">
        <v>2931</v>
      </c>
      <c r="C4314">
        <v>16864</v>
      </c>
      <c r="D4314" t="str">
        <f>"25043950    "</f>
        <v xml:space="preserve">25043950    </v>
      </c>
      <c r="E4314" t="s">
        <v>1033</v>
      </c>
      <c r="F4314" t="s">
        <v>1034</v>
      </c>
      <c r="G4314">
        <v>56.8</v>
      </c>
      <c r="H4314">
        <v>251210</v>
      </c>
      <c r="I4314">
        <v>4600</v>
      </c>
      <c r="J4314" t="s">
        <v>278</v>
      </c>
      <c r="K4314">
        <v>134.86000000000001</v>
      </c>
      <c r="L4314">
        <v>11.54</v>
      </c>
      <c r="M4314">
        <v>66754</v>
      </c>
      <c r="N4314" t="s">
        <v>119</v>
      </c>
      <c r="O4314">
        <v>251215</v>
      </c>
      <c r="P4314">
        <v>45.26</v>
      </c>
    </row>
    <row r="4315" spans="1:16" x14ac:dyDescent="0.25">
      <c r="A4315" t="s">
        <v>3296</v>
      </c>
      <c r="B4315" t="s">
        <v>2931</v>
      </c>
      <c r="C4315">
        <v>17593</v>
      </c>
      <c r="D4315" t="str">
        <f>"25046467    "</f>
        <v xml:space="preserve">25046467    </v>
      </c>
      <c r="E4315" t="s">
        <v>1033</v>
      </c>
      <c r="F4315" t="s">
        <v>1034</v>
      </c>
      <c r="G4315">
        <v>128.01</v>
      </c>
      <c r="H4315">
        <v>251217</v>
      </c>
      <c r="I4315">
        <v>4600</v>
      </c>
      <c r="J4315" t="s">
        <v>278</v>
      </c>
      <c r="K4315">
        <v>128.01</v>
      </c>
      <c r="L4315">
        <v>26.01</v>
      </c>
      <c r="M4315">
        <v>66754</v>
      </c>
      <c r="N4315" t="s">
        <v>119</v>
      </c>
      <c r="O4315">
        <v>251223</v>
      </c>
      <c r="P4315">
        <v>102</v>
      </c>
    </row>
    <row r="4316" spans="1:16" x14ac:dyDescent="0.25">
      <c r="A4316" t="s">
        <v>3296</v>
      </c>
      <c r="B4316" t="s">
        <v>2931</v>
      </c>
      <c r="C4316">
        <v>17594</v>
      </c>
      <c r="D4316" t="str">
        <f>"25046469    "</f>
        <v xml:space="preserve">25046469    </v>
      </c>
      <c r="E4316" t="s">
        <v>1033</v>
      </c>
      <c r="F4316" t="s">
        <v>1034</v>
      </c>
      <c r="G4316">
        <v>8.66</v>
      </c>
      <c r="H4316">
        <v>251217</v>
      </c>
      <c r="I4316">
        <v>4600</v>
      </c>
      <c r="J4316" t="s">
        <v>278</v>
      </c>
      <c r="K4316">
        <v>8.66</v>
      </c>
      <c r="L4316">
        <v>1.76</v>
      </c>
      <c r="M4316">
        <v>66754</v>
      </c>
      <c r="N4316" t="s">
        <v>119</v>
      </c>
      <c r="O4316">
        <v>251223</v>
      </c>
      <c r="P4316">
        <v>6.9</v>
      </c>
    </row>
    <row r="4317" spans="1:16" x14ac:dyDescent="0.25">
      <c r="A4317" t="s">
        <v>3296</v>
      </c>
      <c r="B4317" t="s">
        <v>2931</v>
      </c>
      <c r="C4317">
        <v>17595</v>
      </c>
      <c r="D4317" t="str">
        <f>"25046468    "</f>
        <v xml:space="preserve">25046468    </v>
      </c>
      <c r="E4317" t="s">
        <v>1033</v>
      </c>
      <c r="F4317" t="s">
        <v>1034</v>
      </c>
      <c r="G4317">
        <v>133.03</v>
      </c>
      <c r="H4317">
        <v>251217</v>
      </c>
      <c r="I4317">
        <v>4600</v>
      </c>
      <c r="J4317" t="s">
        <v>278</v>
      </c>
      <c r="K4317">
        <v>133.03</v>
      </c>
      <c r="L4317">
        <v>27.03</v>
      </c>
      <c r="M4317">
        <v>66754</v>
      </c>
      <c r="N4317" t="s">
        <v>119</v>
      </c>
      <c r="O4317">
        <v>251223</v>
      </c>
      <c r="P4317">
        <v>106</v>
      </c>
    </row>
    <row r="4318" spans="1:16" x14ac:dyDescent="0.25">
      <c r="A4318" t="s">
        <v>3296</v>
      </c>
      <c r="B4318" t="s">
        <v>2931</v>
      </c>
      <c r="C4318">
        <v>17596</v>
      </c>
      <c r="D4318" t="str">
        <f>"25046466    "</f>
        <v xml:space="preserve">25046466    </v>
      </c>
      <c r="E4318" t="s">
        <v>1033</v>
      </c>
      <c r="F4318" t="s">
        <v>1034</v>
      </c>
      <c r="G4318">
        <v>458.77</v>
      </c>
      <c r="H4318">
        <v>251217</v>
      </c>
      <c r="I4318">
        <v>4600</v>
      </c>
      <c r="J4318" t="s">
        <v>278</v>
      </c>
      <c r="K4318">
        <v>458.77</v>
      </c>
      <c r="L4318">
        <v>93.22</v>
      </c>
      <c r="M4318">
        <v>66754</v>
      </c>
      <c r="N4318" t="s">
        <v>119</v>
      </c>
      <c r="O4318">
        <v>251223</v>
      </c>
      <c r="P4318">
        <v>365.55</v>
      </c>
    </row>
    <row r="4319" spans="1:16" x14ac:dyDescent="0.25">
      <c r="A4319" t="s">
        <v>3296</v>
      </c>
      <c r="B4319" t="s">
        <v>2931</v>
      </c>
      <c r="C4319">
        <v>17939</v>
      </c>
      <c r="D4319" t="str">
        <f>"25049575    "</f>
        <v xml:space="preserve">25049575    </v>
      </c>
      <c r="E4319" t="s">
        <v>1033</v>
      </c>
      <c r="F4319" t="s">
        <v>1034</v>
      </c>
      <c r="G4319">
        <v>96.26</v>
      </c>
      <c r="H4319">
        <v>251231</v>
      </c>
      <c r="I4319">
        <v>4600</v>
      </c>
      <c r="J4319" t="s">
        <v>278</v>
      </c>
      <c r="K4319">
        <v>96.26</v>
      </c>
      <c r="L4319">
        <v>19.559999999999999</v>
      </c>
      <c r="M4319">
        <v>66722</v>
      </c>
      <c r="N4319" t="s">
        <v>118</v>
      </c>
      <c r="O4319">
        <v>260107</v>
      </c>
      <c r="P4319">
        <v>76.7</v>
      </c>
    </row>
    <row r="4320" spans="1:16" x14ac:dyDescent="0.25">
      <c r="A4320" t="s">
        <v>3296</v>
      </c>
      <c r="B4320" t="s">
        <v>2931</v>
      </c>
      <c r="C4320">
        <v>6813</v>
      </c>
      <c r="D4320" t="str">
        <f>"243896      "</f>
        <v xml:space="preserve">243896      </v>
      </c>
      <c r="E4320" t="s">
        <v>1326</v>
      </c>
      <c r="F4320" t="s">
        <v>1327</v>
      </c>
      <c r="G4320">
        <v>617.21</v>
      </c>
      <c r="H4320">
        <v>250509</v>
      </c>
      <c r="I4320">
        <v>1198</v>
      </c>
      <c r="J4320" t="s">
        <v>610</v>
      </c>
      <c r="K4320">
        <v>617.21</v>
      </c>
      <c r="L4320">
        <v>125.41</v>
      </c>
      <c r="M4320">
        <v>97629</v>
      </c>
      <c r="N4320" t="s">
        <v>1110</v>
      </c>
      <c r="O4320">
        <v>250516</v>
      </c>
      <c r="P4320">
        <v>491.8</v>
      </c>
    </row>
    <row r="4321" spans="1:16" x14ac:dyDescent="0.25">
      <c r="A4321" t="s">
        <v>3296</v>
      </c>
      <c r="B4321" t="s">
        <v>2931</v>
      </c>
      <c r="C4321">
        <v>9767</v>
      </c>
      <c r="D4321" t="str">
        <f>"244348      "</f>
        <v xml:space="preserve">244348      </v>
      </c>
      <c r="E4321" t="s">
        <v>1326</v>
      </c>
      <c r="F4321" t="s">
        <v>1327</v>
      </c>
      <c r="G4321">
        <v>656.37</v>
      </c>
      <c r="H4321">
        <v>250724</v>
      </c>
      <c r="I4321">
        <v>1198</v>
      </c>
      <c r="J4321" t="s">
        <v>610</v>
      </c>
      <c r="K4321">
        <v>656.37</v>
      </c>
      <c r="L4321">
        <v>133.37</v>
      </c>
      <c r="M4321">
        <v>97629</v>
      </c>
      <c r="N4321" t="s">
        <v>1110</v>
      </c>
      <c r="O4321">
        <v>250728</v>
      </c>
      <c r="P4321">
        <v>523</v>
      </c>
    </row>
    <row r="4322" spans="1:16" x14ac:dyDescent="0.25">
      <c r="A4322" t="s">
        <v>3296</v>
      </c>
      <c r="B4322" t="s">
        <v>2931</v>
      </c>
      <c r="C4322">
        <v>2644</v>
      </c>
      <c r="D4322" t="str">
        <f>"243394      "</f>
        <v xml:space="preserve">243394      </v>
      </c>
      <c r="E4322" t="s">
        <v>1326</v>
      </c>
      <c r="F4322" t="s">
        <v>1327</v>
      </c>
      <c r="G4322">
        <v>863.69</v>
      </c>
      <c r="H4322">
        <v>250219</v>
      </c>
      <c r="I4322">
        <v>4580</v>
      </c>
      <c r="J4322" t="s">
        <v>126</v>
      </c>
      <c r="K4322">
        <v>863.69</v>
      </c>
      <c r="L4322">
        <v>175.49</v>
      </c>
      <c r="M4322">
        <v>17521</v>
      </c>
      <c r="N4322" t="s">
        <v>136</v>
      </c>
      <c r="O4322">
        <v>250310</v>
      </c>
      <c r="P4322">
        <v>688.2</v>
      </c>
    </row>
    <row r="4323" spans="1:16" x14ac:dyDescent="0.25">
      <c r="A4323" t="s">
        <v>3296</v>
      </c>
      <c r="B4323" t="s">
        <v>2931</v>
      </c>
      <c r="C4323">
        <v>11873</v>
      </c>
      <c r="D4323" t="str">
        <f>"244648      "</f>
        <v xml:space="preserve">244648      </v>
      </c>
      <c r="E4323" t="s">
        <v>1326</v>
      </c>
      <c r="F4323" t="s">
        <v>1327</v>
      </c>
      <c r="G4323">
        <v>261.76</v>
      </c>
      <c r="H4323">
        <v>250829</v>
      </c>
      <c r="I4323">
        <v>4580</v>
      </c>
      <c r="J4323" t="s">
        <v>126</v>
      </c>
      <c r="K4323">
        <v>261.76</v>
      </c>
      <c r="L4323">
        <v>53.19</v>
      </c>
      <c r="M4323">
        <v>17521</v>
      </c>
      <c r="N4323" t="s">
        <v>136</v>
      </c>
      <c r="O4323">
        <v>250911</v>
      </c>
      <c r="P4323">
        <v>208.57</v>
      </c>
    </row>
    <row r="4324" spans="1:16" x14ac:dyDescent="0.25">
      <c r="A4324" t="s">
        <v>3296</v>
      </c>
      <c r="B4324" t="s">
        <v>2931</v>
      </c>
      <c r="C4324">
        <v>17303</v>
      </c>
      <c r="D4324" t="str">
        <f>"5162        "</f>
        <v xml:space="preserve">5162        </v>
      </c>
      <c r="E4324" t="s">
        <v>2754</v>
      </c>
      <c r="F4324" t="s">
        <v>2755</v>
      </c>
      <c r="G4324">
        <v>835.28</v>
      </c>
      <c r="H4324">
        <v>251210</v>
      </c>
      <c r="I4324">
        <v>4600</v>
      </c>
      <c r="J4324" t="s">
        <v>278</v>
      </c>
      <c r="K4324">
        <v>835.28</v>
      </c>
      <c r="L4324">
        <v>169.72</v>
      </c>
      <c r="M4324">
        <v>17632</v>
      </c>
      <c r="N4324" t="s">
        <v>615</v>
      </c>
      <c r="O4324">
        <v>251219</v>
      </c>
      <c r="P4324">
        <v>665.56</v>
      </c>
    </row>
    <row r="4325" spans="1:16" x14ac:dyDescent="0.25">
      <c r="A4325" t="s">
        <v>3296</v>
      </c>
      <c r="B4325" t="s">
        <v>2931</v>
      </c>
      <c r="C4325">
        <v>6638</v>
      </c>
      <c r="D4325" t="str">
        <f>"7988        "</f>
        <v xml:space="preserve">7988        </v>
      </c>
      <c r="E4325" t="s">
        <v>1874</v>
      </c>
      <c r="F4325" t="s">
        <v>1875</v>
      </c>
      <c r="G4325">
        <v>284.98</v>
      </c>
      <c r="H4325">
        <v>250430</v>
      </c>
      <c r="I4325">
        <v>4350</v>
      </c>
      <c r="J4325" t="s">
        <v>290</v>
      </c>
      <c r="K4325">
        <v>284.98</v>
      </c>
      <c r="L4325">
        <v>57.9</v>
      </c>
      <c r="M4325">
        <v>13901</v>
      </c>
      <c r="N4325" t="s">
        <v>116</v>
      </c>
      <c r="O4325">
        <v>250514</v>
      </c>
      <c r="P4325">
        <v>227.08</v>
      </c>
    </row>
    <row r="4326" spans="1:16" x14ac:dyDescent="0.25">
      <c r="A4326" t="s">
        <v>3296</v>
      </c>
      <c r="B4326" t="s">
        <v>2931</v>
      </c>
      <c r="C4326">
        <v>3390</v>
      </c>
      <c r="D4326" t="str">
        <f>"2581        "</f>
        <v xml:space="preserve">2581        </v>
      </c>
      <c r="E4326" t="s">
        <v>3029</v>
      </c>
      <c r="F4326" t="s">
        <v>3030</v>
      </c>
      <c r="G4326">
        <v>11020</v>
      </c>
      <c r="H4326">
        <v>250304</v>
      </c>
      <c r="I4326">
        <v>4440</v>
      </c>
      <c r="J4326" t="s">
        <v>346</v>
      </c>
      <c r="K4326">
        <v>11020</v>
      </c>
      <c r="L4326">
        <v>0</v>
      </c>
      <c r="M4326">
        <v>18120</v>
      </c>
      <c r="N4326" t="s">
        <v>37</v>
      </c>
      <c r="O4326">
        <v>250320</v>
      </c>
      <c r="P4326">
        <v>11020</v>
      </c>
    </row>
    <row r="4327" spans="1:16" x14ac:dyDescent="0.25">
      <c r="A4327" t="s">
        <v>3296</v>
      </c>
      <c r="B4327" t="s">
        <v>2931</v>
      </c>
      <c r="C4327">
        <v>5391</v>
      </c>
      <c r="D4327" t="str">
        <f>"2701        "</f>
        <v xml:space="preserve">2701        </v>
      </c>
      <c r="E4327" t="s">
        <v>3029</v>
      </c>
      <c r="F4327" t="s">
        <v>3030</v>
      </c>
      <c r="G4327">
        <v>1160</v>
      </c>
      <c r="H4327">
        <v>250401</v>
      </c>
      <c r="I4327">
        <v>4440</v>
      </c>
      <c r="J4327" t="s">
        <v>346</v>
      </c>
      <c r="K4327">
        <v>1160</v>
      </c>
      <c r="L4327">
        <v>0</v>
      </c>
      <c r="M4327">
        <v>18120</v>
      </c>
      <c r="N4327" t="s">
        <v>37</v>
      </c>
      <c r="O4327">
        <v>250424</v>
      </c>
      <c r="P4327">
        <v>1160</v>
      </c>
    </row>
    <row r="4328" spans="1:16" x14ac:dyDescent="0.25">
      <c r="A4328" t="s">
        <v>3296</v>
      </c>
      <c r="B4328" t="s">
        <v>2931</v>
      </c>
      <c r="C4328">
        <v>7555</v>
      </c>
      <c r="D4328" t="str">
        <f>"2798        "</f>
        <v xml:space="preserve">2798        </v>
      </c>
      <c r="E4328" t="s">
        <v>3029</v>
      </c>
      <c r="F4328" t="s">
        <v>3030</v>
      </c>
      <c r="G4328">
        <v>5700</v>
      </c>
      <c r="H4328">
        <v>250526</v>
      </c>
      <c r="I4328">
        <v>4440</v>
      </c>
      <c r="J4328" t="s">
        <v>346</v>
      </c>
      <c r="K4328">
        <v>5700</v>
      </c>
      <c r="L4328">
        <v>0</v>
      </c>
      <c r="M4328">
        <v>18120</v>
      </c>
      <c r="N4328" t="s">
        <v>37</v>
      </c>
      <c r="O4328">
        <v>250604</v>
      </c>
      <c r="P4328">
        <v>5700</v>
      </c>
    </row>
    <row r="4329" spans="1:16" x14ac:dyDescent="0.25">
      <c r="A4329" t="s">
        <v>3296</v>
      </c>
      <c r="B4329" t="s">
        <v>2931</v>
      </c>
      <c r="C4329">
        <v>8805</v>
      </c>
      <c r="D4329" t="str">
        <f>"2805        "</f>
        <v xml:space="preserve">2805        </v>
      </c>
      <c r="E4329" t="s">
        <v>3029</v>
      </c>
      <c r="F4329" t="s">
        <v>3030</v>
      </c>
      <c r="G4329">
        <v>11020</v>
      </c>
      <c r="H4329">
        <v>250611</v>
      </c>
      <c r="I4329">
        <v>4440</v>
      </c>
      <c r="J4329" t="s">
        <v>346</v>
      </c>
      <c r="K4329">
        <v>11020</v>
      </c>
      <c r="L4329">
        <v>0</v>
      </c>
      <c r="M4329">
        <v>18120</v>
      </c>
      <c r="N4329" t="s">
        <v>37</v>
      </c>
      <c r="O4329">
        <v>250618</v>
      </c>
      <c r="P4329">
        <v>11020</v>
      </c>
    </row>
    <row r="4330" spans="1:16" x14ac:dyDescent="0.25">
      <c r="A4330" t="s">
        <v>3296</v>
      </c>
      <c r="B4330" t="s">
        <v>2931</v>
      </c>
      <c r="C4330">
        <v>13406</v>
      </c>
      <c r="D4330" t="str">
        <f>"2863        "</f>
        <v xml:space="preserve">2863        </v>
      </c>
      <c r="E4330" t="s">
        <v>3029</v>
      </c>
      <c r="F4330" t="s">
        <v>3030</v>
      </c>
      <c r="G4330">
        <v>9376.67</v>
      </c>
      <c r="H4330">
        <v>250930</v>
      </c>
      <c r="I4330">
        <v>4440</v>
      </c>
      <c r="J4330" t="s">
        <v>346</v>
      </c>
      <c r="K4330">
        <v>9376.67</v>
      </c>
      <c r="L4330">
        <v>0</v>
      </c>
      <c r="M4330">
        <v>18120</v>
      </c>
      <c r="N4330" t="s">
        <v>37</v>
      </c>
      <c r="O4330">
        <v>251008</v>
      </c>
      <c r="P4330">
        <v>9376.67</v>
      </c>
    </row>
    <row r="4331" spans="1:16" x14ac:dyDescent="0.25">
      <c r="A4331" t="s">
        <v>3296</v>
      </c>
      <c r="B4331" t="s">
        <v>2931</v>
      </c>
      <c r="C4331">
        <v>16954</v>
      </c>
      <c r="D4331" t="str">
        <f>"2983        "</f>
        <v xml:space="preserve">2983        </v>
      </c>
      <c r="E4331" t="s">
        <v>3029</v>
      </c>
      <c r="F4331" t="s">
        <v>3030</v>
      </c>
      <c r="G4331">
        <v>10450</v>
      </c>
      <c r="H4331">
        <v>251208</v>
      </c>
      <c r="I4331">
        <v>4440</v>
      </c>
      <c r="J4331" t="s">
        <v>346</v>
      </c>
      <c r="K4331">
        <v>10450</v>
      </c>
      <c r="L4331">
        <v>0</v>
      </c>
      <c r="M4331">
        <v>18120</v>
      </c>
      <c r="N4331" t="s">
        <v>37</v>
      </c>
      <c r="O4331">
        <v>251216</v>
      </c>
      <c r="P4331">
        <v>10450</v>
      </c>
    </row>
    <row r="4332" spans="1:16" x14ac:dyDescent="0.25">
      <c r="A4332" t="s">
        <v>3296</v>
      </c>
      <c r="B4332" t="s">
        <v>2931</v>
      </c>
      <c r="C4332">
        <v>16964</v>
      </c>
      <c r="D4332" t="str">
        <f>"2984        "</f>
        <v xml:space="preserve">2984        </v>
      </c>
      <c r="E4332" t="s">
        <v>3029</v>
      </c>
      <c r="F4332" t="s">
        <v>3030</v>
      </c>
      <c r="G4332">
        <v>8700</v>
      </c>
      <c r="H4332">
        <v>251210</v>
      </c>
      <c r="I4332">
        <v>4440</v>
      </c>
      <c r="J4332" t="s">
        <v>346</v>
      </c>
      <c r="K4332">
        <v>8700</v>
      </c>
      <c r="L4332">
        <v>0</v>
      </c>
      <c r="M4332">
        <v>18120</v>
      </c>
      <c r="N4332" t="s">
        <v>37</v>
      </c>
      <c r="O4332">
        <v>251216</v>
      </c>
      <c r="P4332">
        <v>8700</v>
      </c>
    </row>
    <row r="4333" spans="1:16" x14ac:dyDescent="0.25">
      <c r="A4333" t="s">
        <v>3296</v>
      </c>
      <c r="B4333" t="s">
        <v>2931</v>
      </c>
      <c r="C4333">
        <v>15226</v>
      </c>
      <c r="D4333" t="str">
        <f>"V159603     "</f>
        <v xml:space="preserve">V159603     </v>
      </c>
      <c r="E4333" t="s">
        <v>797</v>
      </c>
      <c r="F4333" t="s">
        <v>798</v>
      </c>
      <c r="G4333">
        <v>75.3</v>
      </c>
      <c r="H4333">
        <v>251107</v>
      </c>
      <c r="I4333">
        <v>4440</v>
      </c>
      <c r="J4333" t="s">
        <v>346</v>
      </c>
      <c r="K4333">
        <v>138.05000000000001</v>
      </c>
      <c r="L4333">
        <v>15.3</v>
      </c>
      <c r="M4333">
        <v>46557</v>
      </c>
      <c r="N4333" t="s">
        <v>104</v>
      </c>
      <c r="O4333">
        <v>251114</v>
      </c>
      <c r="P4333">
        <v>60</v>
      </c>
    </row>
    <row r="4334" spans="1:16" x14ac:dyDescent="0.25">
      <c r="A4334" t="s">
        <v>3296</v>
      </c>
      <c r="B4334" t="s">
        <v>2931</v>
      </c>
      <c r="C4334">
        <v>15227</v>
      </c>
      <c r="D4334" t="str">
        <f>"V159605     "</f>
        <v xml:space="preserve">V159605     </v>
      </c>
      <c r="E4334" t="s">
        <v>797</v>
      </c>
      <c r="F4334" t="s">
        <v>798</v>
      </c>
      <c r="G4334">
        <v>45.18</v>
      </c>
      <c r="H4334">
        <v>251107</v>
      </c>
      <c r="I4334">
        <v>4440</v>
      </c>
      <c r="J4334" t="s">
        <v>346</v>
      </c>
      <c r="K4334">
        <v>45.18</v>
      </c>
      <c r="L4334">
        <v>9.18</v>
      </c>
      <c r="M4334">
        <v>46557</v>
      </c>
      <c r="N4334" t="s">
        <v>104</v>
      </c>
      <c r="O4334">
        <v>251114</v>
      </c>
      <c r="P4334">
        <v>36</v>
      </c>
    </row>
    <row r="4335" spans="1:16" x14ac:dyDescent="0.25">
      <c r="A4335" t="s">
        <v>3296</v>
      </c>
      <c r="B4335" t="s">
        <v>2931</v>
      </c>
      <c r="C4335">
        <v>982</v>
      </c>
      <c r="D4335" t="str">
        <f>"V157447     "</f>
        <v xml:space="preserve">V157447     </v>
      </c>
      <c r="E4335" t="s">
        <v>797</v>
      </c>
      <c r="F4335" t="s">
        <v>798</v>
      </c>
      <c r="G4335">
        <v>102.28</v>
      </c>
      <c r="H4335">
        <v>250129</v>
      </c>
      <c r="I4335">
        <v>4600</v>
      </c>
      <c r="J4335" t="s">
        <v>278</v>
      </c>
      <c r="K4335">
        <v>102.28</v>
      </c>
      <c r="L4335">
        <v>20.78</v>
      </c>
      <c r="M4335">
        <v>56560</v>
      </c>
      <c r="N4335" t="s">
        <v>52</v>
      </c>
      <c r="O4335">
        <v>250131</v>
      </c>
      <c r="P4335">
        <v>81.5</v>
      </c>
    </row>
    <row r="4336" spans="1:16" x14ac:dyDescent="0.25">
      <c r="A4336" t="s">
        <v>3296</v>
      </c>
      <c r="B4336" t="s">
        <v>2931</v>
      </c>
      <c r="C4336">
        <v>1017</v>
      </c>
      <c r="D4336" t="str">
        <f>"V157506     "</f>
        <v xml:space="preserve">V157506     </v>
      </c>
      <c r="E4336" t="s">
        <v>797</v>
      </c>
      <c r="F4336" t="s">
        <v>798</v>
      </c>
      <c r="G4336">
        <v>102.28</v>
      </c>
      <c r="H4336">
        <v>250129</v>
      </c>
      <c r="I4336">
        <v>4600</v>
      </c>
      <c r="J4336" t="s">
        <v>278</v>
      </c>
      <c r="K4336">
        <v>102.28</v>
      </c>
      <c r="L4336">
        <v>20.78</v>
      </c>
      <c r="M4336">
        <v>17807</v>
      </c>
      <c r="N4336" t="s">
        <v>23</v>
      </c>
      <c r="O4336">
        <v>250203</v>
      </c>
      <c r="P4336">
        <v>81.5</v>
      </c>
    </row>
    <row r="4337" spans="1:16" x14ac:dyDescent="0.25">
      <c r="A4337" t="s">
        <v>3296</v>
      </c>
      <c r="B4337" t="s">
        <v>2931</v>
      </c>
      <c r="C4337">
        <v>7168</v>
      </c>
      <c r="D4337" t="str">
        <f>"V158627     "</f>
        <v xml:space="preserve">V158627     </v>
      </c>
      <c r="E4337" t="s">
        <v>797</v>
      </c>
      <c r="F4337" t="s">
        <v>798</v>
      </c>
      <c r="G4337">
        <v>50.2</v>
      </c>
      <c r="H4337">
        <v>250509</v>
      </c>
      <c r="I4337">
        <v>4600</v>
      </c>
      <c r="J4337" t="s">
        <v>278</v>
      </c>
      <c r="K4337">
        <v>225.9</v>
      </c>
      <c r="L4337">
        <v>10.199999999999999</v>
      </c>
      <c r="M4337">
        <v>46555</v>
      </c>
      <c r="N4337" t="s">
        <v>103</v>
      </c>
      <c r="O4337">
        <v>250526</v>
      </c>
      <c r="P4337">
        <v>40</v>
      </c>
    </row>
    <row r="4338" spans="1:16" x14ac:dyDescent="0.25">
      <c r="A4338" t="s">
        <v>3296</v>
      </c>
      <c r="B4338" t="s">
        <v>2931</v>
      </c>
      <c r="C4338">
        <v>7168</v>
      </c>
      <c r="D4338" t="str">
        <f>"V158627     "</f>
        <v xml:space="preserve">V158627     </v>
      </c>
      <c r="E4338" t="s">
        <v>797</v>
      </c>
      <c r="F4338" t="s">
        <v>798</v>
      </c>
      <c r="G4338">
        <v>175.7</v>
      </c>
      <c r="H4338">
        <v>250509</v>
      </c>
      <c r="I4338">
        <v>4600</v>
      </c>
      <c r="J4338" t="s">
        <v>278</v>
      </c>
      <c r="K4338">
        <v>225.9</v>
      </c>
      <c r="L4338">
        <v>35.700000000000003</v>
      </c>
      <c r="M4338">
        <v>47522</v>
      </c>
      <c r="N4338" t="s">
        <v>106</v>
      </c>
      <c r="O4338">
        <v>250526</v>
      </c>
      <c r="P4338">
        <v>140</v>
      </c>
    </row>
    <row r="4339" spans="1:16" x14ac:dyDescent="0.25">
      <c r="A4339" t="s">
        <v>3296</v>
      </c>
      <c r="B4339" t="s">
        <v>2931</v>
      </c>
      <c r="C4339">
        <v>8017</v>
      </c>
      <c r="D4339" t="str">
        <f>"V158715     "</f>
        <v xml:space="preserve">V158715     </v>
      </c>
      <c r="E4339" t="s">
        <v>797</v>
      </c>
      <c r="F4339" t="s">
        <v>798</v>
      </c>
      <c r="G4339">
        <v>392.19</v>
      </c>
      <c r="H4339">
        <v>250531</v>
      </c>
      <c r="I4339">
        <v>4600</v>
      </c>
      <c r="J4339" t="s">
        <v>278</v>
      </c>
      <c r="K4339">
        <v>392.19</v>
      </c>
      <c r="L4339">
        <v>79.69</v>
      </c>
      <c r="M4339">
        <v>17807</v>
      </c>
      <c r="N4339" t="s">
        <v>23</v>
      </c>
      <c r="O4339">
        <v>250611</v>
      </c>
      <c r="P4339">
        <v>312.5</v>
      </c>
    </row>
    <row r="4340" spans="1:16" x14ac:dyDescent="0.25">
      <c r="A4340" t="s">
        <v>3296</v>
      </c>
      <c r="B4340" t="s">
        <v>2931</v>
      </c>
      <c r="C4340">
        <v>14027</v>
      </c>
      <c r="D4340" t="str">
        <f>"V159365     "</f>
        <v xml:space="preserve">V159365     </v>
      </c>
      <c r="E4340" t="s">
        <v>797</v>
      </c>
      <c r="F4340" t="s">
        <v>798</v>
      </c>
      <c r="G4340">
        <v>200.8</v>
      </c>
      <c r="H4340">
        <v>251015</v>
      </c>
      <c r="I4340">
        <v>4600</v>
      </c>
      <c r="J4340" t="s">
        <v>278</v>
      </c>
      <c r="K4340">
        <v>200.8</v>
      </c>
      <c r="L4340">
        <v>40.799999999999997</v>
      </c>
      <c r="M4340">
        <v>47522</v>
      </c>
      <c r="N4340" t="s">
        <v>106</v>
      </c>
      <c r="O4340">
        <v>251022</v>
      </c>
      <c r="P4340">
        <v>160</v>
      </c>
    </row>
    <row r="4341" spans="1:16" x14ac:dyDescent="0.25">
      <c r="A4341" t="s">
        <v>3296</v>
      </c>
      <c r="B4341" t="s">
        <v>2931</v>
      </c>
      <c r="C4341">
        <v>14113</v>
      </c>
      <c r="D4341" t="str">
        <f>"V159362     "</f>
        <v xml:space="preserve">V159362     </v>
      </c>
      <c r="E4341" t="s">
        <v>797</v>
      </c>
      <c r="F4341" t="s">
        <v>798</v>
      </c>
      <c r="G4341">
        <v>40.159999999999997</v>
      </c>
      <c r="H4341">
        <v>251015</v>
      </c>
      <c r="I4341">
        <v>4600</v>
      </c>
      <c r="J4341" t="s">
        <v>278</v>
      </c>
      <c r="K4341">
        <v>40.159999999999997</v>
      </c>
      <c r="L4341">
        <v>8.16</v>
      </c>
      <c r="M4341">
        <v>49501</v>
      </c>
      <c r="N4341" t="s">
        <v>110</v>
      </c>
      <c r="O4341">
        <v>251024</v>
      </c>
      <c r="P4341">
        <v>32</v>
      </c>
    </row>
    <row r="4342" spans="1:16" x14ac:dyDescent="0.25">
      <c r="A4342" t="s">
        <v>3296</v>
      </c>
      <c r="B4342" t="s">
        <v>2931</v>
      </c>
      <c r="C4342">
        <v>14982</v>
      </c>
      <c r="D4342" t="str">
        <f>"V159504     "</f>
        <v xml:space="preserve">V159504     </v>
      </c>
      <c r="E4342" t="s">
        <v>797</v>
      </c>
      <c r="F4342" t="s">
        <v>798</v>
      </c>
      <c r="G4342">
        <v>37.65</v>
      </c>
      <c r="H4342">
        <v>251028</v>
      </c>
      <c r="I4342">
        <v>4600</v>
      </c>
      <c r="J4342" t="s">
        <v>278</v>
      </c>
      <c r="K4342">
        <v>213.35</v>
      </c>
      <c r="L4342">
        <v>7.65</v>
      </c>
      <c r="M4342">
        <v>46555</v>
      </c>
      <c r="N4342" t="s">
        <v>103</v>
      </c>
      <c r="O4342">
        <v>251110</v>
      </c>
      <c r="P4342">
        <v>30</v>
      </c>
    </row>
    <row r="4343" spans="1:16" x14ac:dyDescent="0.25">
      <c r="A4343" t="s">
        <v>3296</v>
      </c>
      <c r="B4343" t="s">
        <v>2931</v>
      </c>
      <c r="C4343">
        <v>14982</v>
      </c>
      <c r="D4343" t="str">
        <f>"V159504     "</f>
        <v xml:space="preserve">V159504     </v>
      </c>
      <c r="E4343" t="s">
        <v>797</v>
      </c>
      <c r="F4343" t="s">
        <v>798</v>
      </c>
      <c r="G4343">
        <v>175.7</v>
      </c>
      <c r="H4343">
        <v>251028</v>
      </c>
      <c r="I4343">
        <v>4600</v>
      </c>
      <c r="J4343" t="s">
        <v>278</v>
      </c>
      <c r="K4343">
        <v>213.35</v>
      </c>
      <c r="L4343">
        <v>35.700000000000003</v>
      </c>
      <c r="M4343">
        <v>47522</v>
      </c>
      <c r="N4343" t="s">
        <v>106</v>
      </c>
      <c r="O4343">
        <v>251110</v>
      </c>
      <c r="P4343">
        <v>140</v>
      </c>
    </row>
    <row r="4344" spans="1:16" x14ac:dyDescent="0.25">
      <c r="A4344" t="s">
        <v>3296</v>
      </c>
      <c r="B4344" t="s">
        <v>2931</v>
      </c>
      <c r="C4344">
        <v>15226</v>
      </c>
      <c r="D4344" t="str">
        <f>"V159603     "</f>
        <v xml:space="preserve">V159603     </v>
      </c>
      <c r="E4344" t="s">
        <v>797</v>
      </c>
      <c r="F4344" t="s">
        <v>798</v>
      </c>
      <c r="G4344">
        <v>62.75</v>
      </c>
      <c r="H4344">
        <v>251107</v>
      </c>
      <c r="I4344">
        <v>4600</v>
      </c>
      <c r="J4344" t="s">
        <v>278</v>
      </c>
      <c r="K4344">
        <v>138.05000000000001</v>
      </c>
      <c r="L4344">
        <v>12.75</v>
      </c>
      <c r="M4344">
        <v>46555</v>
      </c>
      <c r="N4344" t="s">
        <v>103</v>
      </c>
      <c r="O4344">
        <v>251114</v>
      </c>
      <c r="P4344">
        <v>50</v>
      </c>
    </row>
    <row r="4345" spans="1:16" x14ac:dyDescent="0.25">
      <c r="A4345" t="s">
        <v>3296</v>
      </c>
      <c r="B4345" t="s">
        <v>2931</v>
      </c>
      <c r="C4345">
        <v>6975</v>
      </c>
      <c r="D4345" t="str">
        <f>"259217      "</f>
        <v xml:space="preserve">259217      </v>
      </c>
      <c r="E4345" t="s">
        <v>1655</v>
      </c>
      <c r="F4345" t="s">
        <v>1656</v>
      </c>
      <c r="G4345">
        <v>18.399999999999999</v>
      </c>
      <c r="H4345">
        <v>250513</v>
      </c>
      <c r="I4345">
        <v>4364</v>
      </c>
      <c r="J4345" t="s">
        <v>470</v>
      </c>
      <c r="K4345">
        <v>216.74</v>
      </c>
      <c r="L4345">
        <v>3.74</v>
      </c>
      <c r="M4345">
        <v>17711</v>
      </c>
      <c r="N4345" t="s">
        <v>155</v>
      </c>
      <c r="O4345">
        <v>250521</v>
      </c>
      <c r="P4345">
        <v>14.66</v>
      </c>
    </row>
    <row r="4346" spans="1:16" x14ac:dyDescent="0.25">
      <c r="A4346" t="s">
        <v>3296</v>
      </c>
      <c r="B4346" t="s">
        <v>2931</v>
      </c>
      <c r="C4346">
        <v>15292</v>
      </c>
      <c r="D4346" t="str">
        <f>"2522249     "</f>
        <v xml:space="preserve">2522249     </v>
      </c>
      <c r="E4346" t="s">
        <v>1655</v>
      </c>
      <c r="F4346" t="s">
        <v>1656</v>
      </c>
      <c r="G4346">
        <v>21</v>
      </c>
      <c r="H4346">
        <v>251031</v>
      </c>
      <c r="I4346">
        <v>4364</v>
      </c>
      <c r="J4346" t="s">
        <v>470</v>
      </c>
      <c r="K4346">
        <v>830.91</v>
      </c>
      <c r="L4346">
        <v>4.2699999999999996</v>
      </c>
      <c r="M4346">
        <v>17711</v>
      </c>
      <c r="N4346" t="s">
        <v>155</v>
      </c>
      <c r="O4346">
        <v>251117</v>
      </c>
      <c r="P4346">
        <v>16.73</v>
      </c>
    </row>
    <row r="4347" spans="1:16" x14ac:dyDescent="0.25">
      <c r="A4347" t="s">
        <v>3296</v>
      </c>
      <c r="B4347" t="s">
        <v>2931</v>
      </c>
      <c r="C4347">
        <v>4780</v>
      </c>
      <c r="D4347" t="str">
        <f>"256220      "</f>
        <v xml:space="preserve">256220      </v>
      </c>
      <c r="E4347" t="s">
        <v>1655</v>
      </c>
      <c r="F4347" t="s">
        <v>1656</v>
      </c>
      <c r="G4347">
        <v>52.2</v>
      </c>
      <c r="H4347">
        <v>250331</v>
      </c>
      <c r="I4347">
        <v>4554</v>
      </c>
      <c r="J4347" t="s">
        <v>351</v>
      </c>
      <c r="K4347">
        <v>52.2</v>
      </c>
      <c r="L4347">
        <v>6.41</v>
      </c>
      <c r="M4347">
        <v>17711</v>
      </c>
      <c r="N4347" t="s">
        <v>155</v>
      </c>
      <c r="O4347">
        <v>250415</v>
      </c>
      <c r="P4347">
        <v>45.79</v>
      </c>
    </row>
    <row r="4348" spans="1:16" x14ac:dyDescent="0.25">
      <c r="A4348" t="s">
        <v>3296</v>
      </c>
      <c r="B4348" t="s">
        <v>2931</v>
      </c>
      <c r="C4348">
        <v>6975</v>
      </c>
      <c r="D4348" t="str">
        <f>"259217      "</f>
        <v xml:space="preserve">259217      </v>
      </c>
      <c r="E4348" t="s">
        <v>1655</v>
      </c>
      <c r="F4348" t="s">
        <v>1656</v>
      </c>
      <c r="G4348">
        <v>82.65</v>
      </c>
      <c r="H4348">
        <v>250513</v>
      </c>
      <c r="I4348">
        <v>4554</v>
      </c>
      <c r="J4348" t="s">
        <v>351</v>
      </c>
      <c r="K4348">
        <v>216.74</v>
      </c>
      <c r="L4348">
        <v>10.15</v>
      </c>
      <c r="M4348">
        <v>17711</v>
      </c>
      <c r="N4348" t="s">
        <v>155</v>
      </c>
      <c r="O4348">
        <v>250521</v>
      </c>
      <c r="P4348">
        <v>72.5</v>
      </c>
    </row>
    <row r="4349" spans="1:16" x14ac:dyDescent="0.25">
      <c r="A4349" t="s">
        <v>3296</v>
      </c>
      <c r="B4349" t="s">
        <v>2931</v>
      </c>
      <c r="C4349">
        <v>15292</v>
      </c>
      <c r="D4349" t="str">
        <f>"2522249     "</f>
        <v xml:space="preserve">2522249     </v>
      </c>
      <c r="E4349" t="s">
        <v>1655</v>
      </c>
      <c r="F4349" t="s">
        <v>1656</v>
      </c>
      <c r="G4349">
        <v>809.91</v>
      </c>
      <c r="H4349">
        <v>251031</v>
      </c>
      <c r="I4349">
        <v>4580</v>
      </c>
      <c r="J4349" t="s">
        <v>126</v>
      </c>
      <c r="K4349">
        <v>830.91</v>
      </c>
      <c r="L4349">
        <v>164.56</v>
      </c>
      <c r="M4349">
        <v>17711</v>
      </c>
      <c r="N4349" t="s">
        <v>155</v>
      </c>
      <c r="O4349">
        <v>251117</v>
      </c>
      <c r="P4349">
        <v>645.35</v>
      </c>
    </row>
    <row r="4350" spans="1:16" x14ac:dyDescent="0.25">
      <c r="A4350" t="s">
        <v>3296</v>
      </c>
      <c r="B4350" t="s">
        <v>2931</v>
      </c>
      <c r="C4350">
        <v>15715</v>
      </c>
      <c r="D4350" t="str">
        <f>"2523646     "</f>
        <v xml:space="preserve">2523646     </v>
      </c>
      <c r="E4350" t="s">
        <v>1655</v>
      </c>
      <c r="F4350" t="s">
        <v>1656</v>
      </c>
      <c r="G4350">
        <v>142.56</v>
      </c>
      <c r="H4350">
        <v>251120</v>
      </c>
      <c r="I4350">
        <v>4580</v>
      </c>
      <c r="J4350" t="s">
        <v>126</v>
      </c>
      <c r="K4350">
        <v>142.56</v>
      </c>
      <c r="L4350">
        <v>28.97</v>
      </c>
      <c r="M4350">
        <v>17711</v>
      </c>
      <c r="N4350" t="s">
        <v>155</v>
      </c>
      <c r="O4350">
        <v>251125</v>
      </c>
      <c r="P4350">
        <v>113.59</v>
      </c>
    </row>
    <row r="4351" spans="1:16" x14ac:dyDescent="0.25">
      <c r="A4351" t="s">
        <v>3296</v>
      </c>
      <c r="B4351" t="s">
        <v>2931</v>
      </c>
      <c r="C4351">
        <v>6975</v>
      </c>
      <c r="D4351" t="str">
        <f>"259217      "</f>
        <v xml:space="preserve">259217      </v>
      </c>
      <c r="E4351" t="s">
        <v>1655</v>
      </c>
      <c r="F4351" t="s">
        <v>1656</v>
      </c>
      <c r="G4351">
        <v>115.69</v>
      </c>
      <c r="H4351">
        <v>250513</v>
      </c>
      <c r="I4351">
        <v>4600</v>
      </c>
      <c r="J4351" t="s">
        <v>278</v>
      </c>
      <c r="K4351">
        <v>216.74</v>
      </c>
      <c r="L4351">
        <v>23.51</v>
      </c>
      <c r="M4351">
        <v>17711</v>
      </c>
      <c r="N4351" t="s">
        <v>155</v>
      </c>
      <c r="O4351">
        <v>250521</v>
      </c>
      <c r="P4351">
        <v>92.18</v>
      </c>
    </row>
    <row r="4352" spans="1:16" x14ac:dyDescent="0.25">
      <c r="A4352" t="s">
        <v>3296</v>
      </c>
      <c r="B4352" t="s">
        <v>2931</v>
      </c>
      <c r="C4352">
        <v>14733</v>
      </c>
      <c r="D4352" t="str">
        <f>"1001000244  "</f>
        <v xml:space="preserve">1001000244  </v>
      </c>
      <c r="E4352" t="s">
        <v>2526</v>
      </c>
      <c r="F4352" t="s">
        <v>2527</v>
      </c>
      <c r="G4352">
        <v>1388.48</v>
      </c>
      <c r="H4352">
        <v>251104</v>
      </c>
      <c r="I4352">
        <v>4390</v>
      </c>
      <c r="J4352" t="s">
        <v>232</v>
      </c>
      <c r="K4352">
        <v>1388.48</v>
      </c>
      <c r="L4352">
        <v>0</v>
      </c>
      <c r="M4352">
        <v>69501</v>
      </c>
      <c r="N4352" t="s">
        <v>123</v>
      </c>
      <c r="O4352">
        <v>251106</v>
      </c>
      <c r="P4352">
        <v>1388.48</v>
      </c>
    </row>
    <row r="4353" spans="1:16" x14ac:dyDescent="0.25">
      <c r="A4353" t="s">
        <v>3296</v>
      </c>
      <c r="B4353" t="s">
        <v>2931</v>
      </c>
      <c r="C4353">
        <v>15723</v>
      </c>
      <c r="D4353" t="str">
        <f>"70 / 2972201"</f>
        <v>70 / 2972201</v>
      </c>
      <c r="E4353" t="s">
        <v>2608</v>
      </c>
      <c r="F4353" t="s">
        <v>2609</v>
      </c>
      <c r="G4353">
        <v>78.790000000000006</v>
      </c>
      <c r="H4353">
        <v>251120</v>
      </c>
      <c r="I4353">
        <v>4600</v>
      </c>
      <c r="J4353" t="s">
        <v>278</v>
      </c>
      <c r="K4353">
        <v>78.790000000000006</v>
      </c>
      <c r="L4353">
        <v>16.010000000000002</v>
      </c>
      <c r="M4353">
        <v>49704</v>
      </c>
      <c r="N4353" t="s">
        <v>113</v>
      </c>
      <c r="O4353">
        <v>251125</v>
      </c>
      <c r="P4353">
        <v>62.78</v>
      </c>
    </row>
    <row r="4354" spans="1:16" x14ac:dyDescent="0.25">
      <c r="A4354" t="s">
        <v>3296</v>
      </c>
      <c r="B4354" t="s">
        <v>2931</v>
      </c>
      <c r="C4354">
        <v>12709</v>
      </c>
      <c r="D4354" t="str">
        <f>"20006227    "</f>
        <v xml:space="preserve">20006227    </v>
      </c>
      <c r="E4354" t="s">
        <v>2376</v>
      </c>
      <c r="F4354" t="s">
        <v>2377</v>
      </c>
      <c r="G4354">
        <v>219.63</v>
      </c>
      <c r="H4354">
        <v>250920</v>
      </c>
      <c r="I4354">
        <v>4470</v>
      </c>
      <c r="J4354" t="s">
        <v>203</v>
      </c>
      <c r="K4354">
        <v>219.63</v>
      </c>
      <c r="L4354">
        <v>44.63</v>
      </c>
      <c r="M4354">
        <v>49501</v>
      </c>
      <c r="N4354" t="s">
        <v>110</v>
      </c>
      <c r="O4354">
        <v>250929</v>
      </c>
      <c r="P4354">
        <v>175</v>
      </c>
    </row>
    <row r="4355" spans="1:16" x14ac:dyDescent="0.25">
      <c r="A4355" t="s">
        <v>3296</v>
      </c>
      <c r="B4355" t="s">
        <v>2931</v>
      </c>
      <c r="C4355">
        <v>238</v>
      </c>
      <c r="D4355" t="str">
        <f>"9154        "</f>
        <v xml:space="preserve">9154        </v>
      </c>
      <c r="E4355" t="s">
        <v>366</v>
      </c>
      <c r="F4355" t="s">
        <v>367</v>
      </c>
      <c r="G4355">
        <v>554.71</v>
      </c>
      <c r="H4355">
        <v>250116</v>
      </c>
      <c r="I4355">
        <v>4470</v>
      </c>
      <c r="J4355" t="s">
        <v>203</v>
      </c>
      <c r="K4355">
        <v>2998.9</v>
      </c>
      <c r="L4355">
        <v>112.71</v>
      </c>
      <c r="M4355">
        <v>67554</v>
      </c>
      <c r="N4355" t="s">
        <v>317</v>
      </c>
      <c r="O4355">
        <v>250120</v>
      </c>
      <c r="P4355">
        <v>442</v>
      </c>
    </row>
    <row r="4356" spans="1:16" x14ac:dyDescent="0.25">
      <c r="A4356" t="s">
        <v>3296</v>
      </c>
      <c r="B4356" t="s">
        <v>2931</v>
      </c>
      <c r="C4356">
        <v>2200</v>
      </c>
      <c r="D4356" t="str">
        <f>"9235        "</f>
        <v xml:space="preserve">9235        </v>
      </c>
      <c r="E4356" t="s">
        <v>366</v>
      </c>
      <c r="F4356" t="s">
        <v>367</v>
      </c>
      <c r="G4356">
        <v>512.04</v>
      </c>
      <c r="H4356">
        <v>250214</v>
      </c>
      <c r="I4356">
        <v>4470</v>
      </c>
      <c r="J4356" t="s">
        <v>203</v>
      </c>
      <c r="K4356">
        <v>2723.09</v>
      </c>
      <c r="L4356">
        <v>104.04</v>
      </c>
      <c r="M4356">
        <v>67554</v>
      </c>
      <c r="N4356" t="s">
        <v>317</v>
      </c>
      <c r="O4356">
        <v>250221</v>
      </c>
      <c r="P4356">
        <v>408</v>
      </c>
    </row>
    <row r="4357" spans="1:16" x14ac:dyDescent="0.25">
      <c r="A4357" t="s">
        <v>3296</v>
      </c>
      <c r="B4357" t="s">
        <v>2931</v>
      </c>
      <c r="C4357">
        <v>3889</v>
      </c>
      <c r="D4357" t="str">
        <f>"9296        "</f>
        <v xml:space="preserve">9296        </v>
      </c>
      <c r="E4357" t="s">
        <v>366</v>
      </c>
      <c r="F4357" t="s">
        <v>367</v>
      </c>
      <c r="G4357">
        <v>682.72</v>
      </c>
      <c r="H4357">
        <v>250320</v>
      </c>
      <c r="I4357">
        <v>4470</v>
      </c>
      <c r="J4357" t="s">
        <v>203</v>
      </c>
      <c r="K4357">
        <v>3613.42</v>
      </c>
      <c r="L4357">
        <v>138.72</v>
      </c>
      <c r="M4357">
        <v>67554</v>
      </c>
      <c r="N4357" t="s">
        <v>317</v>
      </c>
      <c r="O4357">
        <v>250403</v>
      </c>
      <c r="P4357">
        <v>544</v>
      </c>
    </row>
    <row r="4358" spans="1:16" x14ac:dyDescent="0.25">
      <c r="A4358" t="s">
        <v>3296</v>
      </c>
      <c r="B4358" t="s">
        <v>2931</v>
      </c>
      <c r="C4358">
        <v>5642</v>
      </c>
      <c r="D4358" t="str">
        <f>"9358        "</f>
        <v xml:space="preserve">9358        </v>
      </c>
      <c r="E4358" t="s">
        <v>366</v>
      </c>
      <c r="F4358" t="s">
        <v>367</v>
      </c>
      <c r="G4358">
        <v>512.04</v>
      </c>
      <c r="H4358">
        <v>250417</v>
      </c>
      <c r="I4358">
        <v>4470</v>
      </c>
      <c r="J4358" t="s">
        <v>203</v>
      </c>
      <c r="K4358">
        <v>2768.51</v>
      </c>
      <c r="L4358">
        <v>104.04</v>
      </c>
      <c r="M4358">
        <v>67554</v>
      </c>
      <c r="N4358" t="s">
        <v>317</v>
      </c>
      <c r="O4358">
        <v>250428</v>
      </c>
      <c r="P4358">
        <v>408</v>
      </c>
    </row>
    <row r="4359" spans="1:16" x14ac:dyDescent="0.25">
      <c r="A4359" t="s">
        <v>3296</v>
      </c>
      <c r="B4359" t="s">
        <v>2931</v>
      </c>
      <c r="C4359">
        <v>6995</v>
      </c>
      <c r="D4359" t="str">
        <f>"9409        "</f>
        <v xml:space="preserve">9409        </v>
      </c>
      <c r="E4359" t="s">
        <v>366</v>
      </c>
      <c r="F4359" t="s">
        <v>367</v>
      </c>
      <c r="G4359">
        <v>469.37</v>
      </c>
      <c r="H4359">
        <v>250515</v>
      </c>
      <c r="I4359">
        <v>4470</v>
      </c>
      <c r="J4359" t="s">
        <v>203</v>
      </c>
      <c r="K4359">
        <v>2541.2399999999998</v>
      </c>
      <c r="L4359">
        <v>95.37</v>
      </c>
      <c r="M4359">
        <v>67554</v>
      </c>
      <c r="N4359" t="s">
        <v>317</v>
      </c>
      <c r="O4359">
        <v>250521</v>
      </c>
      <c r="P4359">
        <v>374</v>
      </c>
    </row>
    <row r="4360" spans="1:16" x14ac:dyDescent="0.25">
      <c r="A4360" t="s">
        <v>3296</v>
      </c>
      <c r="B4360" t="s">
        <v>2931</v>
      </c>
      <c r="C4360">
        <v>9142</v>
      </c>
      <c r="D4360" t="str">
        <f>"9472        "</f>
        <v xml:space="preserve">9472        </v>
      </c>
      <c r="E4360" t="s">
        <v>366</v>
      </c>
      <c r="F4360" t="s">
        <v>367</v>
      </c>
      <c r="G4360">
        <v>512.04</v>
      </c>
      <c r="H4360">
        <v>250617</v>
      </c>
      <c r="I4360">
        <v>4470</v>
      </c>
      <c r="J4360" t="s">
        <v>203</v>
      </c>
      <c r="K4360">
        <v>2766.84</v>
      </c>
      <c r="L4360">
        <v>104.04</v>
      </c>
      <c r="M4360">
        <v>67554</v>
      </c>
      <c r="N4360" t="s">
        <v>317</v>
      </c>
      <c r="O4360">
        <v>250627</v>
      </c>
      <c r="P4360">
        <v>408</v>
      </c>
    </row>
    <row r="4361" spans="1:16" x14ac:dyDescent="0.25">
      <c r="A4361" t="s">
        <v>3296</v>
      </c>
      <c r="B4361" t="s">
        <v>2931</v>
      </c>
      <c r="C4361">
        <v>9740</v>
      </c>
      <c r="D4361" t="str">
        <f>"9519        "</f>
        <v xml:space="preserve">9519        </v>
      </c>
      <c r="E4361" t="s">
        <v>366</v>
      </c>
      <c r="F4361" t="s">
        <v>367</v>
      </c>
      <c r="G4361">
        <v>549.69000000000005</v>
      </c>
      <c r="H4361">
        <v>250711</v>
      </c>
      <c r="I4361">
        <v>4470</v>
      </c>
      <c r="J4361" t="s">
        <v>203</v>
      </c>
      <c r="K4361">
        <v>2825.12</v>
      </c>
      <c r="L4361">
        <v>111.69</v>
      </c>
      <c r="M4361">
        <v>67554</v>
      </c>
      <c r="N4361" t="s">
        <v>317</v>
      </c>
      <c r="O4361">
        <v>250728</v>
      </c>
      <c r="P4361">
        <v>438</v>
      </c>
    </row>
    <row r="4362" spans="1:16" x14ac:dyDescent="0.25">
      <c r="A4362" t="s">
        <v>3296</v>
      </c>
      <c r="B4362" t="s">
        <v>2931</v>
      </c>
      <c r="C4362">
        <v>10773</v>
      </c>
      <c r="D4362" t="str">
        <f>"9575        "</f>
        <v xml:space="preserve">9575        </v>
      </c>
      <c r="E4362" t="s">
        <v>366</v>
      </c>
      <c r="F4362" t="s">
        <v>367</v>
      </c>
      <c r="G4362">
        <v>597.38</v>
      </c>
      <c r="H4362">
        <v>250811</v>
      </c>
      <c r="I4362">
        <v>4470</v>
      </c>
      <c r="J4362" t="s">
        <v>203</v>
      </c>
      <c r="K4362">
        <v>3233.82</v>
      </c>
      <c r="L4362">
        <v>121.38</v>
      </c>
      <c r="M4362">
        <v>67554</v>
      </c>
      <c r="N4362" t="s">
        <v>317</v>
      </c>
      <c r="O4362">
        <v>250822</v>
      </c>
      <c r="P4362">
        <v>476</v>
      </c>
    </row>
    <row r="4363" spans="1:16" x14ac:dyDescent="0.25">
      <c r="A4363" t="s">
        <v>3296</v>
      </c>
      <c r="B4363" t="s">
        <v>2931</v>
      </c>
      <c r="C4363">
        <v>12314</v>
      </c>
      <c r="D4363" t="str">
        <f>"9626        "</f>
        <v xml:space="preserve">9626        </v>
      </c>
      <c r="E4363" t="s">
        <v>366</v>
      </c>
      <c r="F4363" t="s">
        <v>367</v>
      </c>
      <c r="G4363">
        <v>597.38</v>
      </c>
      <c r="H4363">
        <v>250916</v>
      </c>
      <c r="I4363">
        <v>4470</v>
      </c>
      <c r="J4363" t="s">
        <v>203</v>
      </c>
      <c r="K4363">
        <v>3233.82</v>
      </c>
      <c r="L4363">
        <v>121.38</v>
      </c>
      <c r="M4363">
        <v>67554</v>
      </c>
      <c r="N4363" t="s">
        <v>317</v>
      </c>
      <c r="O4363">
        <v>250919</v>
      </c>
      <c r="P4363">
        <v>476</v>
      </c>
    </row>
    <row r="4364" spans="1:16" x14ac:dyDescent="0.25">
      <c r="A4364" t="s">
        <v>3296</v>
      </c>
      <c r="B4364" t="s">
        <v>2931</v>
      </c>
      <c r="C4364">
        <v>13712</v>
      </c>
      <c r="D4364" t="str">
        <f>"9682        "</f>
        <v xml:space="preserve">9682        </v>
      </c>
      <c r="E4364" t="s">
        <v>366</v>
      </c>
      <c r="F4364" t="s">
        <v>367</v>
      </c>
      <c r="G4364">
        <v>554.71</v>
      </c>
      <c r="H4364">
        <v>251007</v>
      </c>
      <c r="I4364">
        <v>4470</v>
      </c>
      <c r="J4364" t="s">
        <v>203</v>
      </c>
      <c r="K4364">
        <v>2996.79</v>
      </c>
      <c r="L4364">
        <v>112.71</v>
      </c>
      <c r="M4364">
        <v>67554</v>
      </c>
      <c r="N4364" t="s">
        <v>317</v>
      </c>
      <c r="O4364">
        <v>251016</v>
      </c>
      <c r="P4364">
        <v>442</v>
      </c>
    </row>
    <row r="4365" spans="1:16" x14ac:dyDescent="0.25">
      <c r="A4365" t="s">
        <v>3296</v>
      </c>
      <c r="B4365" t="s">
        <v>2931</v>
      </c>
      <c r="C4365">
        <v>15391</v>
      </c>
      <c r="D4365" t="str">
        <f>"9747        "</f>
        <v xml:space="preserve">9747        </v>
      </c>
      <c r="E4365" t="s">
        <v>366</v>
      </c>
      <c r="F4365" t="s">
        <v>367</v>
      </c>
      <c r="G4365">
        <v>554.71</v>
      </c>
      <c r="H4365">
        <v>251110</v>
      </c>
      <c r="I4365">
        <v>4470</v>
      </c>
      <c r="J4365" t="s">
        <v>203</v>
      </c>
      <c r="K4365">
        <v>2996.79</v>
      </c>
      <c r="L4365">
        <v>112.71</v>
      </c>
      <c r="M4365">
        <v>67554</v>
      </c>
      <c r="N4365" t="s">
        <v>317</v>
      </c>
      <c r="O4365">
        <v>251120</v>
      </c>
      <c r="P4365">
        <v>442</v>
      </c>
    </row>
    <row r="4366" spans="1:16" x14ac:dyDescent="0.25">
      <c r="A4366" t="s">
        <v>3296</v>
      </c>
      <c r="B4366" t="s">
        <v>2931</v>
      </c>
      <c r="C4366">
        <v>17642</v>
      </c>
      <c r="D4366" t="str">
        <f>"9810        "</f>
        <v xml:space="preserve">9810        </v>
      </c>
      <c r="E4366" t="s">
        <v>366</v>
      </c>
      <c r="F4366" t="s">
        <v>367</v>
      </c>
      <c r="G4366">
        <v>426.7</v>
      </c>
      <c r="H4366">
        <v>251222</v>
      </c>
      <c r="I4366">
        <v>4470</v>
      </c>
      <c r="J4366" t="s">
        <v>203</v>
      </c>
      <c r="K4366">
        <v>2312.46</v>
      </c>
      <c r="L4366">
        <v>86.7</v>
      </c>
      <c r="M4366">
        <v>67554</v>
      </c>
      <c r="N4366" t="s">
        <v>317</v>
      </c>
      <c r="O4366">
        <v>251229</v>
      </c>
      <c r="P4366">
        <v>340</v>
      </c>
    </row>
    <row r="4367" spans="1:16" x14ac:dyDescent="0.25">
      <c r="A4367" t="s">
        <v>3296</v>
      </c>
      <c r="B4367" t="s">
        <v>2931</v>
      </c>
      <c r="C4367">
        <v>238</v>
      </c>
      <c r="D4367" t="str">
        <f>"9154        "</f>
        <v xml:space="preserve">9154        </v>
      </c>
      <c r="E4367" t="s">
        <v>366</v>
      </c>
      <c r="F4367" t="s">
        <v>367</v>
      </c>
      <c r="G4367">
        <v>2444.19</v>
      </c>
      <c r="H4367">
        <v>250116</v>
      </c>
      <c r="I4367">
        <v>4554</v>
      </c>
      <c r="J4367" t="s">
        <v>351</v>
      </c>
      <c r="K4367">
        <v>2998.9</v>
      </c>
      <c r="L4367">
        <v>300.16000000000003</v>
      </c>
      <c r="M4367">
        <v>67554</v>
      </c>
      <c r="N4367" t="s">
        <v>317</v>
      </c>
      <c r="O4367">
        <v>250120</v>
      </c>
      <c r="P4367">
        <v>2144.0300000000002</v>
      </c>
    </row>
    <row r="4368" spans="1:16" x14ac:dyDescent="0.25">
      <c r="A4368" t="s">
        <v>3296</v>
      </c>
      <c r="B4368" t="s">
        <v>2931</v>
      </c>
      <c r="C4368">
        <v>2200</v>
      </c>
      <c r="D4368" t="str">
        <f>"9235        "</f>
        <v xml:space="preserve">9235        </v>
      </c>
      <c r="E4368" t="s">
        <v>366</v>
      </c>
      <c r="F4368" t="s">
        <v>367</v>
      </c>
      <c r="G4368">
        <v>2211.0500000000002</v>
      </c>
      <c r="H4368">
        <v>250214</v>
      </c>
      <c r="I4368">
        <v>4554</v>
      </c>
      <c r="J4368" t="s">
        <v>351</v>
      </c>
      <c r="K4368">
        <v>2723.09</v>
      </c>
      <c r="L4368">
        <v>271.52999999999997</v>
      </c>
      <c r="M4368">
        <v>67554</v>
      </c>
      <c r="N4368" t="s">
        <v>317</v>
      </c>
      <c r="O4368">
        <v>250221</v>
      </c>
      <c r="P4368">
        <v>1939.52</v>
      </c>
    </row>
    <row r="4369" spans="1:16" x14ac:dyDescent="0.25">
      <c r="A4369" t="s">
        <v>3296</v>
      </c>
      <c r="B4369" t="s">
        <v>2931</v>
      </c>
      <c r="C4369">
        <v>3889</v>
      </c>
      <c r="D4369" t="str">
        <f>"9296        "</f>
        <v xml:space="preserve">9296        </v>
      </c>
      <c r="E4369" t="s">
        <v>366</v>
      </c>
      <c r="F4369" t="s">
        <v>367</v>
      </c>
      <c r="G4369">
        <v>2930.7</v>
      </c>
      <c r="H4369">
        <v>250320</v>
      </c>
      <c r="I4369">
        <v>4554</v>
      </c>
      <c r="J4369" t="s">
        <v>351</v>
      </c>
      <c r="K4369">
        <v>3613.42</v>
      </c>
      <c r="L4369">
        <v>359.91</v>
      </c>
      <c r="M4369">
        <v>67554</v>
      </c>
      <c r="N4369" t="s">
        <v>317</v>
      </c>
      <c r="O4369">
        <v>250403</v>
      </c>
      <c r="P4369">
        <v>2570.79</v>
      </c>
    </row>
    <row r="4370" spans="1:16" x14ac:dyDescent="0.25">
      <c r="A4370" t="s">
        <v>3296</v>
      </c>
      <c r="B4370" t="s">
        <v>2931</v>
      </c>
      <c r="C4370">
        <v>5642</v>
      </c>
      <c r="D4370" t="str">
        <f>"9358        "</f>
        <v xml:space="preserve">9358        </v>
      </c>
      <c r="E4370" t="s">
        <v>366</v>
      </c>
      <c r="F4370" t="s">
        <v>367</v>
      </c>
      <c r="G4370">
        <v>2256.4699999999998</v>
      </c>
      <c r="H4370">
        <v>250417</v>
      </c>
      <c r="I4370">
        <v>4554</v>
      </c>
      <c r="J4370" t="s">
        <v>351</v>
      </c>
      <c r="K4370">
        <v>2768.51</v>
      </c>
      <c r="L4370">
        <v>277.11</v>
      </c>
      <c r="M4370">
        <v>67554</v>
      </c>
      <c r="N4370" t="s">
        <v>317</v>
      </c>
      <c r="O4370">
        <v>250428</v>
      </c>
      <c r="P4370">
        <v>1979.36</v>
      </c>
    </row>
    <row r="4371" spans="1:16" x14ac:dyDescent="0.25">
      <c r="A4371" t="s">
        <v>3296</v>
      </c>
      <c r="B4371" t="s">
        <v>2931</v>
      </c>
      <c r="C4371">
        <v>6995</v>
      </c>
      <c r="D4371" t="str">
        <f>"9409        "</f>
        <v xml:space="preserve">9409        </v>
      </c>
      <c r="E4371" t="s">
        <v>366</v>
      </c>
      <c r="F4371" t="s">
        <v>367</v>
      </c>
      <c r="G4371">
        <v>2071.87</v>
      </c>
      <c r="H4371">
        <v>250515</v>
      </c>
      <c r="I4371">
        <v>4554</v>
      </c>
      <c r="J4371" t="s">
        <v>351</v>
      </c>
      <c r="K4371">
        <v>2541.2399999999998</v>
      </c>
      <c r="L4371">
        <v>254.44</v>
      </c>
      <c r="M4371">
        <v>67554</v>
      </c>
      <c r="N4371" t="s">
        <v>317</v>
      </c>
      <c r="O4371">
        <v>250521</v>
      </c>
      <c r="P4371">
        <v>1817.43</v>
      </c>
    </row>
    <row r="4372" spans="1:16" x14ac:dyDescent="0.25">
      <c r="A4372" t="s">
        <v>3296</v>
      </c>
      <c r="B4372" t="s">
        <v>2931</v>
      </c>
      <c r="C4372">
        <v>9142</v>
      </c>
      <c r="D4372" t="str">
        <f>"9472        "</f>
        <v xml:space="preserve">9472        </v>
      </c>
      <c r="E4372" t="s">
        <v>366</v>
      </c>
      <c r="F4372" t="s">
        <v>367</v>
      </c>
      <c r="G4372">
        <v>2254.8000000000002</v>
      </c>
      <c r="H4372">
        <v>250617</v>
      </c>
      <c r="I4372">
        <v>4554</v>
      </c>
      <c r="J4372" t="s">
        <v>351</v>
      </c>
      <c r="K4372">
        <v>2766.84</v>
      </c>
      <c r="L4372">
        <v>276.91000000000003</v>
      </c>
      <c r="M4372">
        <v>67554</v>
      </c>
      <c r="N4372" t="s">
        <v>317</v>
      </c>
      <c r="O4372">
        <v>250627</v>
      </c>
      <c r="P4372">
        <v>1977.89</v>
      </c>
    </row>
    <row r="4373" spans="1:16" x14ac:dyDescent="0.25">
      <c r="A4373" t="s">
        <v>3296</v>
      </c>
      <c r="B4373" t="s">
        <v>2931</v>
      </c>
      <c r="C4373">
        <v>9740</v>
      </c>
      <c r="D4373" t="str">
        <f>"9519        "</f>
        <v xml:space="preserve">9519        </v>
      </c>
      <c r="E4373" t="s">
        <v>366</v>
      </c>
      <c r="F4373" t="s">
        <v>367</v>
      </c>
      <c r="G4373">
        <v>2275.4299999999998</v>
      </c>
      <c r="H4373">
        <v>250711</v>
      </c>
      <c r="I4373">
        <v>4554</v>
      </c>
      <c r="J4373" t="s">
        <v>351</v>
      </c>
      <c r="K4373">
        <v>2825.12</v>
      </c>
      <c r="L4373">
        <v>279.44</v>
      </c>
      <c r="M4373">
        <v>67554</v>
      </c>
      <c r="N4373" t="s">
        <v>317</v>
      </c>
      <c r="O4373">
        <v>250728</v>
      </c>
      <c r="P4373">
        <v>1995.99</v>
      </c>
    </row>
    <row r="4374" spans="1:16" x14ac:dyDescent="0.25">
      <c r="A4374" t="s">
        <v>3296</v>
      </c>
      <c r="B4374" t="s">
        <v>2931</v>
      </c>
      <c r="C4374">
        <v>10773</v>
      </c>
      <c r="D4374" t="str">
        <f>"9575        "</f>
        <v xml:space="preserve">9575        </v>
      </c>
      <c r="E4374" t="s">
        <v>366</v>
      </c>
      <c r="F4374" t="s">
        <v>367</v>
      </c>
      <c r="G4374">
        <v>2636.44</v>
      </c>
      <c r="H4374">
        <v>250811</v>
      </c>
      <c r="I4374">
        <v>4554</v>
      </c>
      <c r="J4374" t="s">
        <v>351</v>
      </c>
      <c r="K4374">
        <v>3233.82</v>
      </c>
      <c r="L4374">
        <v>323.77</v>
      </c>
      <c r="M4374">
        <v>67554</v>
      </c>
      <c r="N4374" t="s">
        <v>317</v>
      </c>
      <c r="O4374">
        <v>250822</v>
      </c>
      <c r="P4374">
        <v>2312.67</v>
      </c>
    </row>
    <row r="4375" spans="1:16" x14ac:dyDescent="0.25">
      <c r="A4375" t="s">
        <v>3296</v>
      </c>
      <c r="B4375" t="s">
        <v>2931</v>
      </c>
      <c r="C4375">
        <v>12314</v>
      </c>
      <c r="D4375" t="str">
        <f>"9626        "</f>
        <v xml:space="preserve">9626        </v>
      </c>
      <c r="E4375" t="s">
        <v>366</v>
      </c>
      <c r="F4375" t="s">
        <v>367</v>
      </c>
      <c r="G4375">
        <v>2636.44</v>
      </c>
      <c r="H4375">
        <v>250916</v>
      </c>
      <c r="I4375">
        <v>4554</v>
      </c>
      <c r="J4375" t="s">
        <v>351</v>
      </c>
      <c r="K4375">
        <v>3233.82</v>
      </c>
      <c r="L4375">
        <v>323.77</v>
      </c>
      <c r="M4375">
        <v>67554</v>
      </c>
      <c r="N4375" t="s">
        <v>317</v>
      </c>
      <c r="O4375">
        <v>250919</v>
      </c>
      <c r="P4375">
        <v>2312.67</v>
      </c>
    </row>
    <row r="4376" spans="1:16" x14ac:dyDescent="0.25">
      <c r="A4376" t="s">
        <v>3296</v>
      </c>
      <c r="B4376" t="s">
        <v>2931</v>
      </c>
      <c r="C4376">
        <v>13712</v>
      </c>
      <c r="D4376" t="str">
        <f>"9682        "</f>
        <v xml:space="preserve">9682        </v>
      </c>
      <c r="E4376" t="s">
        <v>366</v>
      </c>
      <c r="F4376" t="s">
        <v>367</v>
      </c>
      <c r="G4376">
        <v>2442.08</v>
      </c>
      <c r="H4376">
        <v>251007</v>
      </c>
      <c r="I4376">
        <v>4554</v>
      </c>
      <c r="J4376" t="s">
        <v>351</v>
      </c>
      <c r="K4376">
        <v>2996.79</v>
      </c>
      <c r="L4376">
        <v>299.89999999999998</v>
      </c>
      <c r="M4376">
        <v>67554</v>
      </c>
      <c r="N4376" t="s">
        <v>317</v>
      </c>
      <c r="O4376">
        <v>251016</v>
      </c>
      <c r="P4376">
        <v>2142.1799999999998</v>
      </c>
    </row>
    <row r="4377" spans="1:16" x14ac:dyDescent="0.25">
      <c r="A4377" t="s">
        <v>3296</v>
      </c>
      <c r="B4377" t="s">
        <v>2931</v>
      </c>
      <c r="C4377">
        <v>15391</v>
      </c>
      <c r="D4377" t="str">
        <f>"9747        "</f>
        <v xml:space="preserve">9747        </v>
      </c>
      <c r="E4377" t="s">
        <v>366</v>
      </c>
      <c r="F4377" t="s">
        <v>367</v>
      </c>
      <c r="G4377">
        <v>2442.08</v>
      </c>
      <c r="H4377">
        <v>251110</v>
      </c>
      <c r="I4377">
        <v>4554</v>
      </c>
      <c r="J4377" t="s">
        <v>351</v>
      </c>
      <c r="K4377">
        <v>2996.79</v>
      </c>
      <c r="L4377">
        <v>299.89999999999998</v>
      </c>
      <c r="M4377">
        <v>67554</v>
      </c>
      <c r="N4377" t="s">
        <v>317</v>
      </c>
      <c r="O4377">
        <v>251120</v>
      </c>
      <c r="P4377">
        <v>2142.1799999999998</v>
      </c>
    </row>
    <row r="4378" spans="1:16" x14ac:dyDescent="0.25">
      <c r="A4378" t="s">
        <v>3296</v>
      </c>
      <c r="B4378" t="s">
        <v>2931</v>
      </c>
      <c r="C4378">
        <v>17642</v>
      </c>
      <c r="D4378" t="str">
        <f>"9810        "</f>
        <v xml:space="preserve">9810        </v>
      </c>
      <c r="E4378" t="s">
        <v>366</v>
      </c>
      <c r="F4378" t="s">
        <v>367</v>
      </c>
      <c r="G4378">
        <v>1885.76</v>
      </c>
      <c r="H4378">
        <v>251222</v>
      </c>
      <c r="I4378">
        <v>4554</v>
      </c>
      <c r="J4378" t="s">
        <v>351</v>
      </c>
      <c r="K4378">
        <v>2312.46</v>
      </c>
      <c r="L4378">
        <v>231.58</v>
      </c>
      <c r="M4378">
        <v>67554</v>
      </c>
      <c r="N4378" t="s">
        <v>317</v>
      </c>
      <c r="O4378">
        <v>251229</v>
      </c>
      <c r="P4378">
        <v>1654.18</v>
      </c>
    </row>
    <row r="4379" spans="1:16" x14ac:dyDescent="0.25">
      <c r="A4379" t="s">
        <v>3296</v>
      </c>
      <c r="B4379" t="s">
        <v>2931</v>
      </c>
      <c r="C4379">
        <v>3576</v>
      </c>
      <c r="D4379" t="str">
        <f>"53534813    "</f>
        <v xml:space="preserve">53534813    </v>
      </c>
      <c r="E4379" t="s">
        <v>1472</v>
      </c>
      <c r="F4379" t="s">
        <v>735</v>
      </c>
      <c r="G4379">
        <v>15.4</v>
      </c>
      <c r="H4379">
        <v>250313</v>
      </c>
      <c r="I4379">
        <v>4410</v>
      </c>
      <c r="J4379" t="s">
        <v>165</v>
      </c>
      <c r="K4379">
        <v>148.66</v>
      </c>
      <c r="L4379">
        <v>0</v>
      </c>
      <c r="M4379">
        <v>14321</v>
      </c>
      <c r="N4379" t="s">
        <v>72</v>
      </c>
      <c r="O4379">
        <v>250325</v>
      </c>
      <c r="P4379">
        <v>15.4</v>
      </c>
    </row>
    <row r="4380" spans="1:16" x14ac:dyDescent="0.25">
      <c r="A4380" t="s">
        <v>3296</v>
      </c>
      <c r="B4380" t="s">
        <v>2931</v>
      </c>
      <c r="C4380">
        <v>3576</v>
      </c>
      <c r="D4380" t="str">
        <f>"53534813    "</f>
        <v xml:space="preserve">53534813    </v>
      </c>
      <c r="E4380" t="s">
        <v>1472</v>
      </c>
      <c r="F4380" t="s">
        <v>735</v>
      </c>
      <c r="G4380">
        <v>133.26</v>
      </c>
      <c r="H4380">
        <v>250313</v>
      </c>
      <c r="I4380">
        <v>4410</v>
      </c>
      <c r="J4380" t="s">
        <v>165</v>
      </c>
      <c r="K4380">
        <v>148.66</v>
      </c>
      <c r="L4380">
        <v>16.37</v>
      </c>
      <c r="M4380">
        <v>14321</v>
      </c>
      <c r="N4380" t="s">
        <v>72</v>
      </c>
      <c r="O4380">
        <v>250325</v>
      </c>
      <c r="P4380">
        <v>116.89</v>
      </c>
    </row>
    <row r="4381" spans="1:16" x14ac:dyDescent="0.25">
      <c r="A4381" t="s">
        <v>3296</v>
      </c>
      <c r="B4381" t="s">
        <v>2931</v>
      </c>
      <c r="C4381">
        <v>10830</v>
      </c>
      <c r="D4381" t="str">
        <f>"13148       "</f>
        <v xml:space="preserve">13148       </v>
      </c>
      <c r="E4381" t="s">
        <v>2221</v>
      </c>
      <c r="F4381" t="s">
        <v>2222</v>
      </c>
      <c r="G4381">
        <v>207.07</v>
      </c>
      <c r="H4381">
        <v>250818</v>
      </c>
      <c r="I4381">
        <v>4390</v>
      </c>
      <c r="J4381" t="s">
        <v>232</v>
      </c>
      <c r="K4381">
        <v>414.15</v>
      </c>
      <c r="L4381">
        <v>42.07</v>
      </c>
      <c r="M4381">
        <v>13540</v>
      </c>
      <c r="N4381" t="s">
        <v>131</v>
      </c>
      <c r="O4381">
        <v>250825</v>
      </c>
      <c r="P4381">
        <v>165</v>
      </c>
    </row>
    <row r="4382" spans="1:16" x14ac:dyDescent="0.25">
      <c r="A4382" t="s">
        <v>3296</v>
      </c>
      <c r="B4382" t="s">
        <v>2931</v>
      </c>
      <c r="C4382">
        <v>10830</v>
      </c>
      <c r="D4382" t="str">
        <f>"13148       "</f>
        <v xml:space="preserve">13148       </v>
      </c>
      <c r="E4382" t="s">
        <v>2221</v>
      </c>
      <c r="F4382" t="s">
        <v>2222</v>
      </c>
      <c r="G4382">
        <v>207.08</v>
      </c>
      <c r="H4382">
        <v>250818</v>
      </c>
      <c r="I4382">
        <v>4390</v>
      </c>
      <c r="J4382" t="s">
        <v>232</v>
      </c>
      <c r="K4382">
        <v>414.15</v>
      </c>
      <c r="L4382">
        <v>42.08</v>
      </c>
      <c r="M4382">
        <v>17950</v>
      </c>
      <c r="N4382" t="s">
        <v>132</v>
      </c>
      <c r="O4382">
        <v>250825</v>
      </c>
      <c r="P4382">
        <v>165</v>
      </c>
    </row>
    <row r="4383" spans="1:16" x14ac:dyDescent="0.25">
      <c r="A4383" t="s">
        <v>3296</v>
      </c>
      <c r="B4383" t="s">
        <v>2931</v>
      </c>
      <c r="C4383">
        <v>216</v>
      </c>
      <c r="D4383" t="str">
        <f>"2458        "</f>
        <v xml:space="preserve">2458        </v>
      </c>
      <c r="E4383" t="s">
        <v>345</v>
      </c>
      <c r="F4383" t="s">
        <v>347</v>
      </c>
      <c r="G4383">
        <v>36</v>
      </c>
      <c r="H4383">
        <v>250115</v>
      </c>
      <c r="I4383">
        <v>4440</v>
      </c>
      <c r="J4383" t="s">
        <v>346</v>
      </c>
      <c r="K4383">
        <v>72</v>
      </c>
      <c r="L4383">
        <v>7.31</v>
      </c>
      <c r="M4383">
        <v>13402</v>
      </c>
      <c r="N4383" t="s">
        <v>307</v>
      </c>
      <c r="O4383">
        <v>250117</v>
      </c>
      <c r="P4383">
        <v>28.69</v>
      </c>
    </row>
    <row r="4384" spans="1:16" x14ac:dyDescent="0.25">
      <c r="A4384" t="s">
        <v>3296</v>
      </c>
      <c r="B4384" t="s">
        <v>2931</v>
      </c>
      <c r="C4384">
        <v>216</v>
      </c>
      <c r="D4384" t="str">
        <f>"2458        "</f>
        <v xml:space="preserve">2458        </v>
      </c>
      <c r="E4384" t="s">
        <v>345</v>
      </c>
      <c r="F4384" t="s">
        <v>347</v>
      </c>
      <c r="G4384">
        <v>36</v>
      </c>
      <c r="H4384">
        <v>250115</v>
      </c>
      <c r="I4384">
        <v>4440</v>
      </c>
      <c r="J4384" t="s">
        <v>346</v>
      </c>
      <c r="K4384">
        <v>72</v>
      </c>
      <c r="L4384">
        <v>7.31</v>
      </c>
      <c r="M4384">
        <v>13502</v>
      </c>
      <c r="N4384" t="s">
        <v>302</v>
      </c>
      <c r="O4384">
        <v>250117</v>
      </c>
      <c r="P4384">
        <v>28.69</v>
      </c>
    </row>
    <row r="4385" spans="1:16" x14ac:dyDescent="0.25">
      <c r="A4385" t="s">
        <v>3296</v>
      </c>
      <c r="B4385" t="s">
        <v>2931</v>
      </c>
      <c r="C4385">
        <v>10838</v>
      </c>
      <c r="D4385" t="str">
        <f>"3709        "</f>
        <v xml:space="preserve">3709        </v>
      </c>
      <c r="E4385" t="s">
        <v>345</v>
      </c>
      <c r="F4385" t="s">
        <v>347</v>
      </c>
      <c r="G4385">
        <v>36</v>
      </c>
      <c r="H4385">
        <v>250821</v>
      </c>
      <c r="I4385">
        <v>4440</v>
      </c>
      <c r="J4385" t="s">
        <v>346</v>
      </c>
      <c r="K4385">
        <v>72</v>
      </c>
      <c r="L4385">
        <v>7.31</v>
      </c>
      <c r="M4385">
        <v>13402</v>
      </c>
      <c r="N4385" t="s">
        <v>307</v>
      </c>
      <c r="O4385">
        <v>250825</v>
      </c>
      <c r="P4385">
        <v>28.69</v>
      </c>
    </row>
    <row r="4386" spans="1:16" x14ac:dyDescent="0.25">
      <c r="A4386" t="s">
        <v>3296</v>
      </c>
      <c r="B4386" t="s">
        <v>2931</v>
      </c>
      <c r="C4386">
        <v>10838</v>
      </c>
      <c r="D4386" t="str">
        <f>"3709        "</f>
        <v xml:space="preserve">3709        </v>
      </c>
      <c r="E4386" t="s">
        <v>345</v>
      </c>
      <c r="F4386" t="s">
        <v>347</v>
      </c>
      <c r="G4386">
        <v>36</v>
      </c>
      <c r="H4386">
        <v>250821</v>
      </c>
      <c r="I4386">
        <v>4440</v>
      </c>
      <c r="J4386" t="s">
        <v>346</v>
      </c>
      <c r="K4386">
        <v>72</v>
      </c>
      <c r="L4386">
        <v>7.31</v>
      </c>
      <c r="M4386">
        <v>13502</v>
      </c>
      <c r="N4386" t="s">
        <v>302</v>
      </c>
      <c r="O4386">
        <v>250825</v>
      </c>
      <c r="P4386">
        <v>28.69</v>
      </c>
    </row>
    <row r="4387" spans="1:16" x14ac:dyDescent="0.25">
      <c r="A4387" t="s">
        <v>3296</v>
      </c>
      <c r="B4387" t="s">
        <v>2931</v>
      </c>
      <c r="C4387">
        <v>15409</v>
      </c>
      <c r="D4387" t="str">
        <f>"6804        "</f>
        <v xml:space="preserve">6804        </v>
      </c>
      <c r="E4387" t="s">
        <v>2586</v>
      </c>
      <c r="F4387" t="s">
        <v>2587</v>
      </c>
      <c r="G4387">
        <v>448.2</v>
      </c>
      <c r="H4387">
        <v>251111</v>
      </c>
      <c r="I4387">
        <v>4400</v>
      </c>
      <c r="J4387" t="s">
        <v>162</v>
      </c>
      <c r="K4387">
        <v>448.2</v>
      </c>
      <c r="L4387">
        <v>0</v>
      </c>
      <c r="M4387">
        <v>49501</v>
      </c>
      <c r="N4387" t="s">
        <v>110</v>
      </c>
      <c r="O4387">
        <v>251120</v>
      </c>
      <c r="P4387">
        <v>448.2</v>
      </c>
    </row>
    <row r="4388" spans="1:16" x14ac:dyDescent="0.25">
      <c r="A4388" t="s">
        <v>3296</v>
      </c>
      <c r="B4388" t="s">
        <v>2931</v>
      </c>
      <c r="C4388">
        <v>2933</v>
      </c>
      <c r="D4388" t="str">
        <f>"40366026    "</f>
        <v xml:space="preserve">40366026    </v>
      </c>
      <c r="E4388" t="s">
        <v>1380</v>
      </c>
      <c r="F4388" t="s">
        <v>1381</v>
      </c>
      <c r="G4388">
        <v>10.96</v>
      </c>
      <c r="H4388">
        <v>250228</v>
      </c>
      <c r="I4388">
        <v>4470</v>
      </c>
      <c r="J4388" t="s">
        <v>203</v>
      </c>
      <c r="K4388">
        <v>10.96</v>
      </c>
      <c r="L4388">
        <v>2.23</v>
      </c>
      <c r="M4388">
        <v>17711</v>
      </c>
      <c r="N4388" t="s">
        <v>155</v>
      </c>
      <c r="O4388">
        <v>250313</v>
      </c>
      <c r="P4388">
        <v>8.73</v>
      </c>
    </row>
    <row r="4389" spans="1:16" x14ac:dyDescent="0.25">
      <c r="A4389" t="s">
        <v>3296</v>
      </c>
      <c r="B4389" t="s">
        <v>2931</v>
      </c>
      <c r="C4389">
        <v>12833</v>
      </c>
      <c r="D4389" t="str">
        <f>"40373098    "</f>
        <v xml:space="preserve">40373098    </v>
      </c>
      <c r="E4389" t="s">
        <v>1380</v>
      </c>
      <c r="F4389" t="s">
        <v>1381</v>
      </c>
      <c r="G4389">
        <v>102.27</v>
      </c>
      <c r="H4389">
        <v>250925</v>
      </c>
      <c r="I4389">
        <v>4470</v>
      </c>
      <c r="J4389" t="s">
        <v>203</v>
      </c>
      <c r="K4389">
        <v>102.27</v>
      </c>
      <c r="L4389">
        <v>20.78</v>
      </c>
      <c r="M4389">
        <v>17711</v>
      </c>
      <c r="N4389" t="s">
        <v>155</v>
      </c>
      <c r="O4389">
        <v>250930</v>
      </c>
      <c r="P4389">
        <v>81.489999999999995</v>
      </c>
    </row>
    <row r="4390" spans="1:16" x14ac:dyDescent="0.25">
      <c r="A4390" t="s">
        <v>3296</v>
      </c>
      <c r="B4390" t="s">
        <v>2931</v>
      </c>
      <c r="C4390">
        <v>5278</v>
      </c>
      <c r="D4390" t="str">
        <f>"1756        "</f>
        <v xml:space="preserve">1756        </v>
      </c>
      <c r="E4390" t="s">
        <v>1703</v>
      </c>
      <c r="F4390" t="s">
        <v>1704</v>
      </c>
      <c r="G4390">
        <v>237.53</v>
      </c>
      <c r="H4390">
        <v>250410</v>
      </c>
      <c r="I4390">
        <v>4600</v>
      </c>
      <c r="J4390" t="s">
        <v>278</v>
      </c>
      <c r="K4390">
        <v>377.66</v>
      </c>
      <c r="L4390">
        <v>48.26</v>
      </c>
      <c r="M4390">
        <v>17523</v>
      </c>
      <c r="N4390" t="s">
        <v>138</v>
      </c>
      <c r="O4390">
        <v>250423</v>
      </c>
      <c r="P4390">
        <v>189.27</v>
      </c>
    </row>
    <row r="4391" spans="1:16" x14ac:dyDescent="0.25">
      <c r="A4391" t="s">
        <v>3296</v>
      </c>
      <c r="B4391" t="s">
        <v>2931</v>
      </c>
      <c r="C4391">
        <v>5278</v>
      </c>
      <c r="D4391" t="str">
        <f>"1756        "</f>
        <v xml:space="preserve">1756        </v>
      </c>
      <c r="E4391" t="s">
        <v>1703</v>
      </c>
      <c r="F4391" t="s">
        <v>1704</v>
      </c>
      <c r="G4391">
        <v>140.13</v>
      </c>
      <c r="H4391">
        <v>250410</v>
      </c>
      <c r="I4391">
        <v>4600</v>
      </c>
      <c r="J4391" t="s">
        <v>278</v>
      </c>
      <c r="K4391">
        <v>377.66</v>
      </c>
      <c r="L4391">
        <v>28.47</v>
      </c>
      <c r="M4391">
        <v>17526</v>
      </c>
      <c r="N4391" t="s">
        <v>141</v>
      </c>
      <c r="O4391">
        <v>250423</v>
      </c>
      <c r="P4391">
        <v>111.66</v>
      </c>
    </row>
    <row r="4392" spans="1:16" x14ac:dyDescent="0.25">
      <c r="A4392" t="s">
        <v>3296</v>
      </c>
      <c r="B4392" t="s">
        <v>2931</v>
      </c>
      <c r="C4392">
        <v>15019</v>
      </c>
      <c r="D4392" t="str">
        <f>"3206        "</f>
        <v xml:space="preserve">3206        </v>
      </c>
      <c r="E4392" t="s">
        <v>1703</v>
      </c>
      <c r="F4392" t="s">
        <v>1704</v>
      </c>
      <c r="G4392">
        <v>306.54000000000002</v>
      </c>
      <c r="H4392">
        <v>251106</v>
      </c>
      <c r="I4392">
        <v>4600</v>
      </c>
      <c r="J4392" t="s">
        <v>278</v>
      </c>
      <c r="K4392">
        <v>306.54000000000002</v>
      </c>
      <c r="L4392">
        <v>62.29</v>
      </c>
      <c r="M4392">
        <v>17524</v>
      </c>
      <c r="N4392" t="s">
        <v>139</v>
      </c>
      <c r="O4392">
        <v>251110</v>
      </c>
      <c r="P4392">
        <v>244.25</v>
      </c>
    </row>
    <row r="4393" spans="1:16" x14ac:dyDescent="0.25">
      <c r="A4393" t="s">
        <v>3296</v>
      </c>
      <c r="B4393" t="s">
        <v>2931</v>
      </c>
      <c r="C4393">
        <v>16700</v>
      </c>
      <c r="D4393" t="str">
        <f>"24244       "</f>
        <v xml:space="preserve">24244       </v>
      </c>
      <c r="E4393" t="s">
        <v>2700</v>
      </c>
      <c r="F4393" t="s">
        <v>2701</v>
      </c>
      <c r="G4393">
        <v>231.04</v>
      </c>
      <c r="H4393">
        <v>251208</v>
      </c>
      <c r="I4393">
        <v>4600</v>
      </c>
      <c r="J4393" t="s">
        <v>278</v>
      </c>
      <c r="K4393">
        <v>231.04</v>
      </c>
      <c r="L4393">
        <v>46.94</v>
      </c>
      <c r="M4393">
        <v>17711</v>
      </c>
      <c r="N4393" t="s">
        <v>155</v>
      </c>
      <c r="O4393">
        <v>251211</v>
      </c>
      <c r="P4393">
        <v>184.1</v>
      </c>
    </row>
    <row r="4394" spans="1:16" x14ac:dyDescent="0.25">
      <c r="A4394" t="s">
        <v>3296</v>
      </c>
      <c r="B4394" t="s">
        <v>2931</v>
      </c>
      <c r="C4394">
        <v>314</v>
      </c>
      <c r="D4394" t="str">
        <f>"30054845    "</f>
        <v xml:space="preserve">30054845    </v>
      </c>
      <c r="E4394" t="s">
        <v>410</v>
      </c>
      <c r="F4394" t="s">
        <v>412</v>
      </c>
      <c r="G4394">
        <v>157.06</v>
      </c>
      <c r="H4394">
        <v>250114</v>
      </c>
      <c r="I4394">
        <v>4383</v>
      </c>
      <c r="J4394" t="s">
        <v>411</v>
      </c>
      <c r="K4394">
        <v>157.06</v>
      </c>
      <c r="L4394">
        <v>31.91</v>
      </c>
      <c r="M4394">
        <v>17737</v>
      </c>
      <c r="N4394" t="s">
        <v>156</v>
      </c>
      <c r="O4394">
        <v>250121</v>
      </c>
      <c r="P4394">
        <v>125.15</v>
      </c>
    </row>
    <row r="4395" spans="1:16" x14ac:dyDescent="0.25">
      <c r="A4395" t="s">
        <v>3296</v>
      </c>
      <c r="B4395" t="s">
        <v>2931</v>
      </c>
      <c r="C4395">
        <v>361</v>
      </c>
      <c r="D4395" t="str">
        <f>"30054968    "</f>
        <v xml:space="preserve">30054968    </v>
      </c>
      <c r="E4395" t="s">
        <v>410</v>
      </c>
      <c r="F4395" t="s">
        <v>412</v>
      </c>
      <c r="G4395">
        <v>157.06</v>
      </c>
      <c r="H4395">
        <v>250116</v>
      </c>
      <c r="I4395">
        <v>4383</v>
      </c>
      <c r="J4395" t="s">
        <v>411</v>
      </c>
      <c r="K4395">
        <v>157.06</v>
      </c>
      <c r="L4395">
        <v>31.91</v>
      </c>
      <c r="M4395">
        <v>67554</v>
      </c>
      <c r="N4395" t="s">
        <v>317</v>
      </c>
      <c r="O4395">
        <v>250122</v>
      </c>
      <c r="P4395">
        <v>125.15</v>
      </c>
    </row>
    <row r="4396" spans="1:16" x14ac:dyDescent="0.25">
      <c r="A4396" t="s">
        <v>3296</v>
      </c>
      <c r="B4396" t="s">
        <v>2931</v>
      </c>
      <c r="C4396">
        <v>1227</v>
      </c>
      <c r="D4396" t="str">
        <f>"30055847    "</f>
        <v xml:space="preserve">30055847    </v>
      </c>
      <c r="E4396" t="s">
        <v>410</v>
      </c>
      <c r="F4396" t="s">
        <v>412</v>
      </c>
      <c r="G4396">
        <v>157.06</v>
      </c>
      <c r="H4396">
        <v>250128</v>
      </c>
      <c r="I4396">
        <v>4383</v>
      </c>
      <c r="J4396" t="s">
        <v>411</v>
      </c>
      <c r="K4396">
        <v>157.06</v>
      </c>
      <c r="L4396">
        <v>31.91</v>
      </c>
      <c r="M4396">
        <v>17737</v>
      </c>
      <c r="N4396" t="s">
        <v>156</v>
      </c>
      <c r="O4396">
        <v>250206</v>
      </c>
      <c r="P4396">
        <v>125.15</v>
      </c>
    </row>
    <row r="4397" spans="1:16" x14ac:dyDescent="0.25">
      <c r="A4397" t="s">
        <v>3296</v>
      </c>
      <c r="B4397" t="s">
        <v>2931</v>
      </c>
      <c r="C4397">
        <v>1372</v>
      </c>
      <c r="D4397" t="str">
        <f>"30056494    "</f>
        <v xml:space="preserve">30056494    </v>
      </c>
      <c r="E4397" t="s">
        <v>410</v>
      </c>
      <c r="F4397" t="s">
        <v>412</v>
      </c>
      <c r="G4397">
        <v>157.06</v>
      </c>
      <c r="H4397">
        <v>250206</v>
      </c>
      <c r="I4397">
        <v>4383</v>
      </c>
      <c r="J4397" t="s">
        <v>411</v>
      </c>
      <c r="K4397">
        <v>157.06</v>
      </c>
      <c r="L4397">
        <v>31.91</v>
      </c>
      <c r="M4397">
        <v>67554</v>
      </c>
      <c r="N4397" t="s">
        <v>317</v>
      </c>
      <c r="O4397">
        <v>250207</v>
      </c>
      <c r="P4397">
        <v>125.15</v>
      </c>
    </row>
    <row r="4398" spans="1:16" x14ac:dyDescent="0.25">
      <c r="A4398" t="s">
        <v>3296</v>
      </c>
      <c r="B4398" t="s">
        <v>2931</v>
      </c>
      <c r="C4398">
        <v>2695</v>
      </c>
      <c r="D4398" t="str">
        <f>"30057948    "</f>
        <v xml:space="preserve">30057948    </v>
      </c>
      <c r="E4398" t="s">
        <v>410</v>
      </c>
      <c r="F4398" t="s">
        <v>412</v>
      </c>
      <c r="G4398">
        <v>157.06</v>
      </c>
      <c r="H4398">
        <v>250226</v>
      </c>
      <c r="I4398">
        <v>4383</v>
      </c>
      <c r="J4398" t="s">
        <v>411</v>
      </c>
      <c r="K4398">
        <v>157.06</v>
      </c>
      <c r="L4398">
        <v>31.91</v>
      </c>
      <c r="M4398">
        <v>67554</v>
      </c>
      <c r="N4398" t="s">
        <v>317</v>
      </c>
      <c r="O4398">
        <v>250311</v>
      </c>
      <c r="P4398">
        <v>125.15</v>
      </c>
    </row>
    <row r="4399" spans="1:16" x14ac:dyDescent="0.25">
      <c r="A4399" t="s">
        <v>3296</v>
      </c>
      <c r="B4399" t="s">
        <v>2931</v>
      </c>
      <c r="C4399">
        <v>2996</v>
      </c>
      <c r="D4399" t="str">
        <f>"50001231    "</f>
        <v xml:space="preserve">50001231    </v>
      </c>
      <c r="E4399" t="s">
        <v>410</v>
      </c>
      <c r="F4399" t="s">
        <v>412</v>
      </c>
      <c r="G4399">
        <v>253.51</v>
      </c>
      <c r="H4399">
        <v>250228</v>
      </c>
      <c r="I4399">
        <v>4383</v>
      </c>
      <c r="J4399" t="s">
        <v>411</v>
      </c>
      <c r="K4399">
        <v>253.51</v>
      </c>
      <c r="L4399">
        <v>51.51</v>
      </c>
      <c r="M4399">
        <v>17711</v>
      </c>
      <c r="N4399" t="s">
        <v>155</v>
      </c>
      <c r="O4399">
        <v>250314</v>
      </c>
      <c r="P4399">
        <v>202</v>
      </c>
    </row>
    <row r="4400" spans="1:16" x14ac:dyDescent="0.25">
      <c r="A4400" t="s">
        <v>3296</v>
      </c>
      <c r="B4400" t="s">
        <v>2931</v>
      </c>
      <c r="C4400">
        <v>5755</v>
      </c>
      <c r="D4400" t="str">
        <f>"30061923    "</f>
        <v xml:space="preserve">30061923    </v>
      </c>
      <c r="E4400" t="s">
        <v>410</v>
      </c>
      <c r="F4400" t="s">
        <v>412</v>
      </c>
      <c r="G4400">
        <v>157.06</v>
      </c>
      <c r="H4400">
        <v>250424</v>
      </c>
      <c r="I4400">
        <v>4383</v>
      </c>
      <c r="J4400" t="s">
        <v>411</v>
      </c>
      <c r="K4400">
        <v>157.06</v>
      </c>
      <c r="L4400">
        <v>31.91</v>
      </c>
      <c r="M4400">
        <v>17737</v>
      </c>
      <c r="N4400" t="s">
        <v>156</v>
      </c>
      <c r="O4400">
        <v>250430</v>
      </c>
      <c r="P4400">
        <v>125.15</v>
      </c>
    </row>
    <row r="4401" spans="1:16" x14ac:dyDescent="0.25">
      <c r="A4401" t="s">
        <v>3296</v>
      </c>
      <c r="B4401" t="s">
        <v>2931</v>
      </c>
      <c r="C4401">
        <v>8213</v>
      </c>
      <c r="D4401" t="str">
        <f>"30064910    "</f>
        <v xml:space="preserve">30064910    </v>
      </c>
      <c r="E4401" t="s">
        <v>410</v>
      </c>
      <c r="F4401" t="s">
        <v>412</v>
      </c>
      <c r="G4401">
        <v>157.06</v>
      </c>
      <c r="H4401">
        <v>250604</v>
      </c>
      <c r="I4401">
        <v>4383</v>
      </c>
      <c r="J4401" t="s">
        <v>411</v>
      </c>
      <c r="K4401">
        <v>157.06</v>
      </c>
      <c r="L4401">
        <v>31.91</v>
      </c>
      <c r="M4401">
        <v>67554</v>
      </c>
      <c r="N4401" t="s">
        <v>317</v>
      </c>
      <c r="O4401">
        <v>250612</v>
      </c>
      <c r="P4401">
        <v>125.15</v>
      </c>
    </row>
    <row r="4402" spans="1:16" x14ac:dyDescent="0.25">
      <c r="A4402" t="s">
        <v>3296</v>
      </c>
      <c r="B4402" t="s">
        <v>2931</v>
      </c>
      <c r="C4402">
        <v>8796</v>
      </c>
      <c r="D4402" t="str">
        <f>"50001427    "</f>
        <v xml:space="preserve">50001427    </v>
      </c>
      <c r="E4402" t="s">
        <v>410</v>
      </c>
      <c r="F4402" t="s">
        <v>412</v>
      </c>
      <c r="G4402">
        <v>253.51</v>
      </c>
      <c r="H4402">
        <v>250611</v>
      </c>
      <c r="I4402">
        <v>4383</v>
      </c>
      <c r="J4402" t="s">
        <v>411</v>
      </c>
      <c r="K4402">
        <v>253.51</v>
      </c>
      <c r="L4402">
        <v>51.51</v>
      </c>
      <c r="M4402">
        <v>17711</v>
      </c>
      <c r="N4402" t="s">
        <v>155</v>
      </c>
      <c r="O4402">
        <v>250618</v>
      </c>
      <c r="P4402">
        <v>202</v>
      </c>
    </row>
    <row r="4403" spans="1:16" x14ac:dyDescent="0.25">
      <c r="A4403" t="s">
        <v>3296</v>
      </c>
      <c r="B4403" t="s">
        <v>2931</v>
      </c>
      <c r="C4403">
        <v>9977</v>
      </c>
      <c r="D4403" t="str">
        <f>"30069208    "</f>
        <v xml:space="preserve">30069208    </v>
      </c>
      <c r="E4403" t="s">
        <v>410</v>
      </c>
      <c r="F4403" t="s">
        <v>412</v>
      </c>
      <c r="G4403">
        <v>177.58</v>
      </c>
      <c r="H4403">
        <v>250729</v>
      </c>
      <c r="I4403">
        <v>4383</v>
      </c>
      <c r="J4403" t="s">
        <v>411</v>
      </c>
      <c r="K4403">
        <v>177.58</v>
      </c>
      <c r="L4403">
        <v>36.08</v>
      </c>
      <c r="M4403">
        <v>67554</v>
      </c>
      <c r="N4403" t="s">
        <v>317</v>
      </c>
      <c r="O4403">
        <v>250806</v>
      </c>
      <c r="P4403">
        <v>141.5</v>
      </c>
    </row>
    <row r="4404" spans="1:16" x14ac:dyDescent="0.25">
      <c r="A4404" t="s">
        <v>3296</v>
      </c>
      <c r="B4404" t="s">
        <v>2931</v>
      </c>
      <c r="C4404">
        <v>11355</v>
      </c>
      <c r="D4404" t="str">
        <f>"30071652    "</f>
        <v xml:space="preserve">30071652    </v>
      </c>
      <c r="E4404" t="s">
        <v>410</v>
      </c>
      <c r="F4404" t="s">
        <v>412</v>
      </c>
      <c r="G4404">
        <v>177.58</v>
      </c>
      <c r="H4404">
        <v>250827</v>
      </c>
      <c r="I4404">
        <v>4383</v>
      </c>
      <c r="J4404" t="s">
        <v>411</v>
      </c>
      <c r="K4404">
        <v>177.58</v>
      </c>
      <c r="L4404">
        <v>36.08</v>
      </c>
      <c r="M4404">
        <v>17737</v>
      </c>
      <c r="N4404" t="s">
        <v>156</v>
      </c>
      <c r="O4404">
        <v>250904</v>
      </c>
      <c r="P4404">
        <v>141.5</v>
      </c>
    </row>
    <row r="4405" spans="1:16" x14ac:dyDescent="0.25">
      <c r="A4405" t="s">
        <v>3296</v>
      </c>
      <c r="B4405" t="s">
        <v>2931</v>
      </c>
      <c r="C4405">
        <v>9207</v>
      </c>
      <c r="D4405" t="str">
        <f>"30066690    "</f>
        <v xml:space="preserve">30066690    </v>
      </c>
      <c r="E4405" t="s">
        <v>410</v>
      </c>
      <c r="F4405" t="s">
        <v>412</v>
      </c>
      <c r="G4405">
        <v>111.07</v>
      </c>
      <c r="H4405">
        <v>250626</v>
      </c>
      <c r="I4405">
        <v>4470</v>
      </c>
      <c r="J4405" t="s">
        <v>203</v>
      </c>
      <c r="K4405">
        <v>111.07</v>
      </c>
      <c r="L4405">
        <v>22.57</v>
      </c>
      <c r="M4405">
        <v>17737</v>
      </c>
      <c r="N4405" t="s">
        <v>156</v>
      </c>
      <c r="O4405">
        <v>250627</v>
      </c>
      <c r="P4405">
        <v>88.5</v>
      </c>
    </row>
    <row r="4406" spans="1:16" x14ac:dyDescent="0.25">
      <c r="A4406" t="s">
        <v>3296</v>
      </c>
      <c r="B4406" t="s">
        <v>2931</v>
      </c>
      <c r="C4406">
        <v>13732</v>
      </c>
      <c r="D4406" t="str">
        <f>"30074687    "</f>
        <v xml:space="preserve">30074687    </v>
      </c>
      <c r="E4406" t="s">
        <v>410</v>
      </c>
      <c r="F4406" t="s">
        <v>412</v>
      </c>
      <c r="G4406">
        <v>111.07</v>
      </c>
      <c r="H4406">
        <v>251008</v>
      </c>
      <c r="I4406">
        <v>4470</v>
      </c>
      <c r="J4406" t="s">
        <v>203</v>
      </c>
      <c r="K4406">
        <v>111.07</v>
      </c>
      <c r="L4406">
        <v>22.57</v>
      </c>
      <c r="M4406">
        <v>17737</v>
      </c>
      <c r="N4406" t="s">
        <v>156</v>
      </c>
      <c r="O4406">
        <v>251017</v>
      </c>
      <c r="P4406">
        <v>88.5</v>
      </c>
    </row>
    <row r="4407" spans="1:16" x14ac:dyDescent="0.25">
      <c r="A4407" t="s">
        <v>3296</v>
      </c>
      <c r="B4407" t="s">
        <v>2931</v>
      </c>
      <c r="C4407">
        <v>14055</v>
      </c>
      <c r="D4407" t="str">
        <f>"30075526    "</f>
        <v xml:space="preserve">30075526    </v>
      </c>
      <c r="E4407" t="s">
        <v>410</v>
      </c>
      <c r="F4407" t="s">
        <v>412</v>
      </c>
      <c r="G4407">
        <v>177.58</v>
      </c>
      <c r="H4407">
        <v>251020</v>
      </c>
      <c r="I4407">
        <v>4470</v>
      </c>
      <c r="J4407" t="s">
        <v>203</v>
      </c>
      <c r="K4407">
        <v>177.58</v>
      </c>
      <c r="L4407">
        <v>36.08</v>
      </c>
      <c r="M4407">
        <v>17737</v>
      </c>
      <c r="N4407" t="s">
        <v>156</v>
      </c>
      <c r="O4407">
        <v>251022</v>
      </c>
      <c r="P4407">
        <v>141.5</v>
      </c>
    </row>
    <row r="4408" spans="1:16" x14ac:dyDescent="0.25">
      <c r="A4408" t="s">
        <v>3296</v>
      </c>
      <c r="B4408" t="s">
        <v>2931</v>
      </c>
      <c r="C4408">
        <v>14599</v>
      </c>
      <c r="D4408" t="str">
        <f>"125/353     "</f>
        <v xml:space="preserve">125/353     </v>
      </c>
      <c r="E4408" t="s">
        <v>2173</v>
      </c>
      <c r="F4408" t="s">
        <v>2174</v>
      </c>
      <c r="G4408">
        <v>188.25</v>
      </c>
      <c r="H4408">
        <v>251103</v>
      </c>
      <c r="I4408">
        <v>4470</v>
      </c>
      <c r="J4408" t="s">
        <v>203</v>
      </c>
      <c r="K4408">
        <v>753</v>
      </c>
      <c r="L4408">
        <v>38.25</v>
      </c>
      <c r="M4408">
        <v>17711</v>
      </c>
      <c r="N4408" t="s">
        <v>155</v>
      </c>
      <c r="O4408">
        <v>251105</v>
      </c>
      <c r="P4408">
        <v>150</v>
      </c>
    </row>
    <row r="4409" spans="1:16" x14ac:dyDescent="0.25">
      <c r="A4409" t="s">
        <v>3296</v>
      </c>
      <c r="B4409" t="s">
        <v>2931</v>
      </c>
      <c r="C4409">
        <v>10190</v>
      </c>
      <c r="D4409" t="str">
        <f>"125/228     "</f>
        <v xml:space="preserve">125/228     </v>
      </c>
      <c r="E4409" t="s">
        <v>2173</v>
      </c>
      <c r="F4409" t="s">
        <v>2174</v>
      </c>
      <c r="G4409">
        <v>753</v>
      </c>
      <c r="H4409">
        <v>250806</v>
      </c>
      <c r="I4409">
        <v>4600</v>
      </c>
      <c r="J4409" t="s">
        <v>278</v>
      </c>
      <c r="K4409">
        <v>753</v>
      </c>
      <c r="L4409">
        <v>153</v>
      </c>
      <c r="M4409">
        <v>17711</v>
      </c>
      <c r="N4409" t="s">
        <v>155</v>
      </c>
      <c r="O4409">
        <v>250812</v>
      </c>
      <c r="P4409">
        <v>600</v>
      </c>
    </row>
    <row r="4410" spans="1:16" x14ac:dyDescent="0.25">
      <c r="A4410" t="s">
        <v>3296</v>
      </c>
      <c r="B4410" t="s">
        <v>2931</v>
      </c>
      <c r="C4410">
        <v>14599</v>
      </c>
      <c r="D4410" t="str">
        <f>"125/353     "</f>
        <v xml:space="preserve">125/353     </v>
      </c>
      <c r="E4410" t="s">
        <v>2173</v>
      </c>
      <c r="F4410" t="s">
        <v>2174</v>
      </c>
      <c r="G4410">
        <v>564.75</v>
      </c>
      <c r="H4410">
        <v>251103</v>
      </c>
      <c r="I4410">
        <v>4600</v>
      </c>
      <c r="J4410" t="s">
        <v>278</v>
      </c>
      <c r="K4410">
        <v>753</v>
      </c>
      <c r="L4410">
        <v>114.75</v>
      </c>
      <c r="M4410">
        <v>17711</v>
      </c>
      <c r="N4410" t="s">
        <v>155</v>
      </c>
      <c r="O4410">
        <v>251105</v>
      </c>
      <c r="P4410">
        <v>450</v>
      </c>
    </row>
    <row r="4411" spans="1:16" x14ac:dyDescent="0.25">
      <c r="A4411" t="s">
        <v>3296</v>
      </c>
      <c r="B4411" t="s">
        <v>2931</v>
      </c>
      <c r="C4411">
        <v>8048</v>
      </c>
      <c r="D4411" t="str">
        <f>"8022791     "</f>
        <v xml:space="preserve">8022791     </v>
      </c>
      <c r="E4411" t="s">
        <v>2013</v>
      </c>
      <c r="F4411" t="s">
        <v>2014</v>
      </c>
      <c r="G4411">
        <v>148.74</v>
      </c>
      <c r="H4411">
        <v>250531</v>
      </c>
      <c r="I4411">
        <v>4580</v>
      </c>
      <c r="J4411" t="s">
        <v>126</v>
      </c>
      <c r="K4411">
        <v>148.74</v>
      </c>
      <c r="L4411">
        <v>30.22</v>
      </c>
      <c r="M4411">
        <v>17711</v>
      </c>
      <c r="N4411" t="s">
        <v>155</v>
      </c>
      <c r="O4411">
        <v>250611</v>
      </c>
      <c r="P4411">
        <v>118.52</v>
      </c>
    </row>
    <row r="4412" spans="1:16" x14ac:dyDescent="0.25">
      <c r="A4412" t="s">
        <v>3296</v>
      </c>
      <c r="B4412" t="s">
        <v>2931</v>
      </c>
      <c r="C4412">
        <v>1780</v>
      </c>
      <c r="D4412" t="str">
        <f>"0000115787  "</f>
        <v xml:space="preserve">0000115787  </v>
      </c>
      <c r="E4412" t="s">
        <v>1117</v>
      </c>
      <c r="F4412" t="s">
        <v>1118</v>
      </c>
      <c r="G4412">
        <v>9.1300000000000008</v>
      </c>
      <c r="H4412">
        <v>250130</v>
      </c>
      <c r="I4412">
        <v>4410</v>
      </c>
      <c r="J4412" t="s">
        <v>165</v>
      </c>
      <c r="K4412">
        <v>120</v>
      </c>
      <c r="L4412">
        <v>0</v>
      </c>
      <c r="M4412">
        <v>17802</v>
      </c>
      <c r="N4412" t="s">
        <v>18</v>
      </c>
      <c r="O4412">
        <v>250214</v>
      </c>
      <c r="P4412">
        <v>9.1300000000000008</v>
      </c>
    </row>
    <row r="4413" spans="1:16" x14ac:dyDescent="0.25">
      <c r="A4413" t="s">
        <v>3296</v>
      </c>
      <c r="B4413" t="s">
        <v>2931</v>
      </c>
      <c r="C4413">
        <v>1780</v>
      </c>
      <c r="D4413" t="str">
        <f>"0000115787  "</f>
        <v xml:space="preserve">0000115787  </v>
      </c>
      <c r="E4413" t="s">
        <v>1117</v>
      </c>
      <c r="F4413" t="s">
        <v>1118</v>
      </c>
      <c r="G4413">
        <v>110.87</v>
      </c>
      <c r="H4413">
        <v>250130</v>
      </c>
      <c r="I4413">
        <v>4410</v>
      </c>
      <c r="J4413" t="s">
        <v>165</v>
      </c>
      <c r="K4413">
        <v>120</v>
      </c>
      <c r="L4413">
        <v>13.62</v>
      </c>
      <c r="M4413">
        <v>17802</v>
      </c>
      <c r="N4413" t="s">
        <v>18</v>
      </c>
      <c r="O4413">
        <v>250214</v>
      </c>
      <c r="P4413">
        <v>97.25</v>
      </c>
    </row>
    <row r="4414" spans="1:16" x14ac:dyDescent="0.25">
      <c r="A4414" t="s">
        <v>3296</v>
      </c>
      <c r="B4414" t="s">
        <v>2931</v>
      </c>
      <c r="C4414">
        <v>1781</v>
      </c>
      <c r="D4414" t="str">
        <f>"0000115790  "</f>
        <v xml:space="preserve">0000115790  </v>
      </c>
      <c r="E4414" t="s">
        <v>1117</v>
      </c>
      <c r="F4414" t="s">
        <v>1118</v>
      </c>
      <c r="G4414">
        <v>9.1300000000000008</v>
      </c>
      <c r="H4414">
        <v>250130</v>
      </c>
      <c r="I4414">
        <v>4410</v>
      </c>
      <c r="J4414" t="s">
        <v>165</v>
      </c>
      <c r="K4414">
        <v>57.5</v>
      </c>
      <c r="L4414">
        <v>0</v>
      </c>
      <c r="M4414">
        <v>17802</v>
      </c>
      <c r="N4414" t="s">
        <v>18</v>
      </c>
      <c r="O4414">
        <v>250214</v>
      </c>
      <c r="P4414">
        <v>9.1300000000000008</v>
      </c>
    </row>
    <row r="4415" spans="1:16" x14ac:dyDescent="0.25">
      <c r="A4415" t="s">
        <v>3296</v>
      </c>
      <c r="B4415" t="s">
        <v>2931</v>
      </c>
      <c r="C4415">
        <v>1781</v>
      </c>
      <c r="D4415" t="str">
        <f>"0000115790  "</f>
        <v xml:space="preserve">0000115790  </v>
      </c>
      <c r="E4415" t="s">
        <v>1117</v>
      </c>
      <c r="F4415" t="s">
        <v>1118</v>
      </c>
      <c r="G4415">
        <v>48.37</v>
      </c>
      <c r="H4415">
        <v>250130</v>
      </c>
      <c r="I4415">
        <v>4410</v>
      </c>
      <c r="J4415" t="s">
        <v>165</v>
      </c>
      <c r="K4415">
        <v>57.5</v>
      </c>
      <c r="L4415">
        <v>5.94</v>
      </c>
      <c r="M4415">
        <v>17802</v>
      </c>
      <c r="N4415" t="s">
        <v>18</v>
      </c>
      <c r="O4415">
        <v>250214</v>
      </c>
      <c r="P4415">
        <v>42.43</v>
      </c>
    </row>
    <row r="4416" spans="1:16" x14ac:dyDescent="0.25">
      <c r="A4416" t="s">
        <v>3296</v>
      </c>
      <c r="B4416" t="s">
        <v>2931</v>
      </c>
      <c r="C4416">
        <v>1782</v>
      </c>
      <c r="D4416" t="str">
        <f>"0000115791  "</f>
        <v xml:space="preserve">0000115791  </v>
      </c>
      <c r="E4416" t="s">
        <v>1117</v>
      </c>
      <c r="F4416" t="s">
        <v>1118</v>
      </c>
      <c r="G4416">
        <v>9.1300000000000008</v>
      </c>
      <c r="H4416">
        <v>250130</v>
      </c>
      <c r="I4416">
        <v>4410</v>
      </c>
      <c r="J4416" t="s">
        <v>165</v>
      </c>
      <c r="K4416">
        <v>57.5</v>
      </c>
      <c r="L4416">
        <v>0</v>
      </c>
      <c r="M4416">
        <v>17802</v>
      </c>
      <c r="N4416" t="s">
        <v>18</v>
      </c>
      <c r="O4416">
        <v>250214</v>
      </c>
      <c r="P4416">
        <v>9.1300000000000008</v>
      </c>
    </row>
    <row r="4417" spans="1:16" x14ac:dyDescent="0.25">
      <c r="A4417" t="s">
        <v>3296</v>
      </c>
      <c r="B4417" t="s">
        <v>2931</v>
      </c>
      <c r="C4417">
        <v>1782</v>
      </c>
      <c r="D4417" t="str">
        <f>"0000115791  "</f>
        <v xml:space="preserve">0000115791  </v>
      </c>
      <c r="E4417" t="s">
        <v>1117</v>
      </c>
      <c r="F4417" t="s">
        <v>1118</v>
      </c>
      <c r="G4417">
        <v>48.37</v>
      </c>
      <c r="H4417">
        <v>250130</v>
      </c>
      <c r="I4417">
        <v>4410</v>
      </c>
      <c r="J4417" t="s">
        <v>165</v>
      </c>
      <c r="K4417">
        <v>57.5</v>
      </c>
      <c r="L4417">
        <v>5.94</v>
      </c>
      <c r="M4417">
        <v>17802</v>
      </c>
      <c r="N4417" t="s">
        <v>18</v>
      </c>
      <c r="O4417">
        <v>250214</v>
      </c>
      <c r="P4417">
        <v>42.43</v>
      </c>
    </row>
    <row r="4418" spans="1:16" x14ac:dyDescent="0.25">
      <c r="A4418" t="s">
        <v>3296</v>
      </c>
      <c r="B4418" t="s">
        <v>2931</v>
      </c>
      <c r="C4418">
        <v>1783</v>
      </c>
      <c r="D4418" t="str">
        <f>"0000115792  "</f>
        <v xml:space="preserve">0000115792  </v>
      </c>
      <c r="E4418" t="s">
        <v>1117</v>
      </c>
      <c r="F4418" t="s">
        <v>1118</v>
      </c>
      <c r="G4418">
        <v>9.1300000000000008</v>
      </c>
      <c r="H4418">
        <v>250130</v>
      </c>
      <c r="I4418">
        <v>4410</v>
      </c>
      <c r="J4418" t="s">
        <v>165</v>
      </c>
      <c r="K4418">
        <v>102</v>
      </c>
      <c r="L4418">
        <v>0</v>
      </c>
      <c r="M4418">
        <v>17802</v>
      </c>
      <c r="N4418" t="s">
        <v>18</v>
      </c>
      <c r="O4418">
        <v>250214</v>
      </c>
      <c r="P4418">
        <v>9.1300000000000008</v>
      </c>
    </row>
    <row r="4419" spans="1:16" x14ac:dyDescent="0.25">
      <c r="A4419" t="s">
        <v>3296</v>
      </c>
      <c r="B4419" t="s">
        <v>2931</v>
      </c>
      <c r="C4419">
        <v>1783</v>
      </c>
      <c r="D4419" t="str">
        <f>"0000115792  "</f>
        <v xml:space="preserve">0000115792  </v>
      </c>
      <c r="E4419" t="s">
        <v>1117</v>
      </c>
      <c r="F4419" t="s">
        <v>1118</v>
      </c>
      <c r="G4419">
        <v>92.87</v>
      </c>
      <c r="H4419">
        <v>250130</v>
      </c>
      <c r="I4419">
        <v>4410</v>
      </c>
      <c r="J4419" t="s">
        <v>165</v>
      </c>
      <c r="K4419">
        <v>102</v>
      </c>
      <c r="L4419">
        <v>11.41</v>
      </c>
      <c r="M4419">
        <v>17802</v>
      </c>
      <c r="N4419" t="s">
        <v>18</v>
      </c>
      <c r="O4419">
        <v>250214</v>
      </c>
      <c r="P4419">
        <v>81.459999999999994</v>
      </c>
    </row>
    <row r="4420" spans="1:16" x14ac:dyDescent="0.25">
      <c r="A4420" t="s">
        <v>3296</v>
      </c>
      <c r="B4420" t="s">
        <v>2931</v>
      </c>
      <c r="C4420">
        <v>15804</v>
      </c>
      <c r="D4420" t="str">
        <f>"50300001529 "</f>
        <v xml:space="preserve">50300001529 </v>
      </c>
      <c r="E4420" t="s">
        <v>2616</v>
      </c>
      <c r="F4420" t="s">
        <v>2617</v>
      </c>
      <c r="G4420">
        <v>128</v>
      </c>
      <c r="H4420">
        <v>251120</v>
      </c>
      <c r="I4420">
        <v>4412</v>
      </c>
      <c r="J4420" t="s">
        <v>884</v>
      </c>
      <c r="K4420">
        <v>990</v>
      </c>
      <c r="L4420">
        <v>0</v>
      </c>
      <c r="M4420">
        <v>10003</v>
      </c>
      <c r="N4420" t="s">
        <v>734</v>
      </c>
      <c r="O4420">
        <v>251127</v>
      </c>
      <c r="P4420">
        <v>128</v>
      </c>
    </row>
    <row r="4421" spans="1:16" x14ac:dyDescent="0.25">
      <c r="A4421" t="s">
        <v>3296</v>
      </c>
      <c r="B4421" t="s">
        <v>2931</v>
      </c>
      <c r="C4421">
        <v>15804</v>
      </c>
      <c r="D4421" t="str">
        <f>"50300001529 "</f>
        <v xml:space="preserve">50300001529 </v>
      </c>
      <c r="E4421" t="s">
        <v>2616</v>
      </c>
      <c r="F4421" t="s">
        <v>2617</v>
      </c>
      <c r="G4421">
        <v>820</v>
      </c>
      <c r="H4421">
        <v>251120</v>
      </c>
      <c r="I4421">
        <v>4412</v>
      </c>
      <c r="J4421" t="s">
        <v>884</v>
      </c>
      <c r="K4421">
        <v>990</v>
      </c>
      <c r="L4421">
        <v>100.7</v>
      </c>
      <c r="M4421">
        <v>10003</v>
      </c>
      <c r="N4421" t="s">
        <v>734</v>
      </c>
      <c r="O4421">
        <v>251127</v>
      </c>
      <c r="P4421">
        <v>719.3</v>
      </c>
    </row>
    <row r="4422" spans="1:16" x14ac:dyDescent="0.25">
      <c r="A4422" t="s">
        <v>3296</v>
      </c>
      <c r="B4422" t="s">
        <v>2931</v>
      </c>
      <c r="C4422">
        <v>15804</v>
      </c>
      <c r="D4422" t="str">
        <f>"50300001529 "</f>
        <v xml:space="preserve">50300001529 </v>
      </c>
      <c r="E4422" t="s">
        <v>2616</v>
      </c>
      <c r="F4422" t="s">
        <v>2617</v>
      </c>
      <c r="G4422">
        <v>42</v>
      </c>
      <c r="H4422">
        <v>251120</v>
      </c>
      <c r="I4422">
        <v>4425</v>
      </c>
      <c r="J4422" t="s">
        <v>870</v>
      </c>
      <c r="K4422">
        <v>990</v>
      </c>
      <c r="L4422">
        <v>8.5299999999999994</v>
      </c>
      <c r="M4422">
        <v>10003</v>
      </c>
      <c r="N4422" t="s">
        <v>734</v>
      </c>
      <c r="O4422">
        <v>251127</v>
      </c>
      <c r="P4422">
        <v>33.47</v>
      </c>
    </row>
    <row r="4423" spans="1:16" x14ac:dyDescent="0.25">
      <c r="A4423" t="s">
        <v>3296</v>
      </c>
      <c r="B4423" t="s">
        <v>2931</v>
      </c>
      <c r="C4423">
        <v>5871</v>
      </c>
      <c r="D4423" t="str">
        <f>"50170026528 "</f>
        <v xml:space="preserve">50170026528 </v>
      </c>
      <c r="E4423" t="s">
        <v>1809</v>
      </c>
      <c r="F4423" t="s">
        <v>1810</v>
      </c>
      <c r="G4423">
        <v>9.5399999999999991</v>
      </c>
      <c r="H4423">
        <v>250427</v>
      </c>
      <c r="I4423">
        <v>4410</v>
      </c>
      <c r="J4423" t="s">
        <v>165</v>
      </c>
      <c r="K4423">
        <v>122.5</v>
      </c>
      <c r="L4423">
        <v>0</v>
      </c>
      <c r="M4423">
        <v>11941</v>
      </c>
      <c r="N4423" t="s">
        <v>426</v>
      </c>
      <c r="O4423">
        <v>250506</v>
      </c>
      <c r="P4423">
        <v>9.5399999999999991</v>
      </c>
    </row>
    <row r="4424" spans="1:16" x14ac:dyDescent="0.25">
      <c r="A4424" t="s">
        <v>3296</v>
      </c>
      <c r="B4424" t="s">
        <v>2931</v>
      </c>
      <c r="C4424">
        <v>5871</v>
      </c>
      <c r="D4424" t="str">
        <f>"50170026528 "</f>
        <v xml:space="preserve">50170026528 </v>
      </c>
      <c r="E4424" t="s">
        <v>1809</v>
      </c>
      <c r="F4424" t="s">
        <v>1810</v>
      </c>
      <c r="G4424">
        <v>112.96</v>
      </c>
      <c r="H4424">
        <v>250427</v>
      </c>
      <c r="I4424">
        <v>4410</v>
      </c>
      <c r="J4424" t="s">
        <v>165</v>
      </c>
      <c r="K4424">
        <v>122.5</v>
      </c>
      <c r="L4424">
        <v>13.87</v>
      </c>
      <c r="M4424">
        <v>11941</v>
      </c>
      <c r="N4424" t="s">
        <v>426</v>
      </c>
      <c r="O4424">
        <v>250506</v>
      </c>
      <c r="P4424">
        <v>99.09</v>
      </c>
    </row>
    <row r="4425" spans="1:16" x14ac:dyDescent="0.25">
      <c r="A4425" t="s">
        <v>3296</v>
      </c>
      <c r="B4425" t="s">
        <v>2931</v>
      </c>
      <c r="C4425">
        <v>12664</v>
      </c>
      <c r="D4425" t="str">
        <f>"50170027264 "</f>
        <v xml:space="preserve">50170027264 </v>
      </c>
      <c r="E4425" t="s">
        <v>1809</v>
      </c>
      <c r="F4425" t="s">
        <v>1810</v>
      </c>
      <c r="G4425">
        <v>143.1</v>
      </c>
      <c r="H4425">
        <v>250919</v>
      </c>
      <c r="I4425">
        <v>4410</v>
      </c>
      <c r="J4425" t="s">
        <v>165</v>
      </c>
      <c r="K4425">
        <v>1837.5</v>
      </c>
      <c r="L4425">
        <v>0</v>
      </c>
      <c r="M4425">
        <v>47522</v>
      </c>
      <c r="N4425" t="s">
        <v>106</v>
      </c>
      <c r="O4425">
        <v>250929</v>
      </c>
      <c r="P4425">
        <v>143.1</v>
      </c>
    </row>
    <row r="4426" spans="1:16" x14ac:dyDescent="0.25">
      <c r="A4426" t="s">
        <v>3296</v>
      </c>
      <c r="B4426" t="s">
        <v>2931</v>
      </c>
      <c r="C4426">
        <v>12664</v>
      </c>
      <c r="D4426" t="str">
        <f>"50170027264 "</f>
        <v xml:space="preserve">50170027264 </v>
      </c>
      <c r="E4426" t="s">
        <v>1809</v>
      </c>
      <c r="F4426" t="s">
        <v>1810</v>
      </c>
      <c r="G4426">
        <v>1694.4</v>
      </c>
      <c r="H4426">
        <v>250919</v>
      </c>
      <c r="I4426">
        <v>4410</v>
      </c>
      <c r="J4426" t="s">
        <v>165</v>
      </c>
      <c r="K4426">
        <v>1837.5</v>
      </c>
      <c r="L4426">
        <v>208.08</v>
      </c>
      <c r="M4426">
        <v>47522</v>
      </c>
      <c r="N4426" t="s">
        <v>106</v>
      </c>
      <c r="O4426">
        <v>250929</v>
      </c>
      <c r="P4426">
        <v>1486.32</v>
      </c>
    </row>
    <row r="4427" spans="1:16" x14ac:dyDescent="0.25">
      <c r="A4427" t="s">
        <v>3296</v>
      </c>
      <c r="B4427" t="s">
        <v>2931</v>
      </c>
      <c r="C4427">
        <v>12268</v>
      </c>
      <c r="D4427" t="str">
        <f>"50280007863 "</f>
        <v xml:space="preserve">50280007863 </v>
      </c>
      <c r="E4427" t="s">
        <v>2332</v>
      </c>
      <c r="F4427" t="s">
        <v>2333</v>
      </c>
      <c r="G4427">
        <v>9.5399999999999991</v>
      </c>
      <c r="H4427">
        <v>250910</v>
      </c>
      <c r="I4427">
        <v>4410</v>
      </c>
      <c r="J4427" t="s">
        <v>165</v>
      </c>
      <c r="K4427">
        <v>134</v>
      </c>
      <c r="L4427">
        <v>0</v>
      </c>
      <c r="M4427">
        <v>47522</v>
      </c>
      <c r="N4427" t="s">
        <v>106</v>
      </c>
      <c r="O4427">
        <v>250918</v>
      </c>
      <c r="P4427">
        <v>9.5399999999999991</v>
      </c>
    </row>
    <row r="4428" spans="1:16" x14ac:dyDescent="0.25">
      <c r="A4428" t="s">
        <v>3296</v>
      </c>
      <c r="B4428" t="s">
        <v>2931</v>
      </c>
      <c r="C4428">
        <v>12268</v>
      </c>
      <c r="D4428" t="str">
        <f>"50280007863 "</f>
        <v xml:space="preserve">50280007863 </v>
      </c>
      <c r="E4428" t="s">
        <v>2332</v>
      </c>
      <c r="F4428" t="s">
        <v>2333</v>
      </c>
      <c r="G4428">
        <v>124.46</v>
      </c>
      <c r="H4428">
        <v>250910</v>
      </c>
      <c r="I4428">
        <v>4410</v>
      </c>
      <c r="J4428" t="s">
        <v>165</v>
      </c>
      <c r="K4428">
        <v>134</v>
      </c>
      <c r="L4428">
        <v>15.28</v>
      </c>
      <c r="M4428">
        <v>47522</v>
      </c>
      <c r="N4428" t="s">
        <v>106</v>
      </c>
      <c r="O4428">
        <v>250918</v>
      </c>
      <c r="P4428">
        <v>109.18</v>
      </c>
    </row>
    <row r="4429" spans="1:16" x14ac:dyDescent="0.25">
      <c r="A4429" t="s">
        <v>3296</v>
      </c>
      <c r="B4429" t="s">
        <v>2931</v>
      </c>
      <c r="C4429">
        <v>4927</v>
      </c>
      <c r="D4429" t="str">
        <f>"567         "</f>
        <v xml:space="preserve">567         </v>
      </c>
      <c r="E4429" t="s">
        <v>1675</v>
      </c>
      <c r="F4429" t="s">
        <v>1676</v>
      </c>
      <c r="G4429">
        <v>343</v>
      </c>
      <c r="H4429">
        <v>250331</v>
      </c>
      <c r="I4429">
        <v>4410</v>
      </c>
      <c r="J4429" t="s">
        <v>165</v>
      </c>
      <c r="K4429">
        <v>403</v>
      </c>
      <c r="L4429">
        <v>42.12</v>
      </c>
      <c r="M4429">
        <v>17131</v>
      </c>
      <c r="N4429" t="s">
        <v>154</v>
      </c>
      <c r="O4429">
        <v>250416</v>
      </c>
      <c r="P4429">
        <v>300.88</v>
      </c>
    </row>
    <row r="4430" spans="1:16" x14ac:dyDescent="0.25">
      <c r="A4430" t="s">
        <v>3296</v>
      </c>
      <c r="B4430" t="s">
        <v>2931</v>
      </c>
      <c r="C4430">
        <v>4927</v>
      </c>
      <c r="D4430" t="str">
        <f>"567         "</f>
        <v xml:space="preserve">567         </v>
      </c>
      <c r="E4430" t="s">
        <v>1675</v>
      </c>
      <c r="F4430" t="s">
        <v>1676</v>
      </c>
      <c r="G4430">
        <v>60</v>
      </c>
      <c r="H4430">
        <v>250331</v>
      </c>
      <c r="I4430">
        <v>4550</v>
      </c>
      <c r="J4430" t="s">
        <v>226</v>
      </c>
      <c r="K4430">
        <v>403</v>
      </c>
      <c r="L4430">
        <v>12.19</v>
      </c>
      <c r="M4430">
        <v>17131</v>
      </c>
      <c r="N4430" t="s">
        <v>154</v>
      </c>
      <c r="O4430">
        <v>250416</v>
      </c>
      <c r="P4430">
        <v>47.81</v>
      </c>
    </row>
    <row r="4431" spans="1:16" x14ac:dyDescent="0.25">
      <c r="A4431" t="s">
        <v>3296</v>
      </c>
      <c r="B4431" t="s">
        <v>2931</v>
      </c>
      <c r="C4431">
        <v>3877</v>
      </c>
      <c r="D4431" t="str">
        <f>"24000600    "</f>
        <v xml:space="preserve">24000600    </v>
      </c>
      <c r="E4431" t="s">
        <v>1521</v>
      </c>
      <c r="F4431" t="s">
        <v>1522</v>
      </c>
      <c r="G4431">
        <v>9.5</v>
      </c>
      <c r="H4431">
        <v>250318</v>
      </c>
      <c r="I4431">
        <v>4410</v>
      </c>
      <c r="J4431" t="s">
        <v>165</v>
      </c>
      <c r="K4431">
        <v>133.5</v>
      </c>
      <c r="L4431">
        <v>1.93</v>
      </c>
      <c r="M4431">
        <v>48601</v>
      </c>
      <c r="N4431" t="s">
        <v>107</v>
      </c>
      <c r="O4431">
        <v>250403</v>
      </c>
      <c r="P4431">
        <v>7.57</v>
      </c>
    </row>
    <row r="4432" spans="1:16" x14ac:dyDescent="0.25">
      <c r="A4432" t="s">
        <v>3296</v>
      </c>
      <c r="B4432" t="s">
        <v>2931</v>
      </c>
      <c r="C4432">
        <v>3877</v>
      </c>
      <c r="D4432" t="str">
        <f>"24000600    "</f>
        <v xml:space="preserve">24000600    </v>
      </c>
      <c r="E4432" t="s">
        <v>1521</v>
      </c>
      <c r="F4432" t="s">
        <v>1522</v>
      </c>
      <c r="G4432">
        <v>20</v>
      </c>
      <c r="H4432">
        <v>250318</v>
      </c>
      <c r="I4432">
        <v>4410</v>
      </c>
      <c r="J4432" t="s">
        <v>165</v>
      </c>
      <c r="K4432">
        <v>133.5</v>
      </c>
      <c r="L4432">
        <v>0</v>
      </c>
      <c r="M4432">
        <v>48601</v>
      </c>
      <c r="N4432" t="s">
        <v>107</v>
      </c>
      <c r="O4432">
        <v>250403</v>
      </c>
      <c r="P4432">
        <v>20</v>
      </c>
    </row>
    <row r="4433" spans="1:16" x14ac:dyDescent="0.25">
      <c r="A4433" t="s">
        <v>3296</v>
      </c>
      <c r="B4433" t="s">
        <v>2931</v>
      </c>
      <c r="C4433">
        <v>3877</v>
      </c>
      <c r="D4433" t="str">
        <f>"24000600    "</f>
        <v xml:space="preserve">24000600    </v>
      </c>
      <c r="E4433" t="s">
        <v>1521</v>
      </c>
      <c r="F4433" t="s">
        <v>1522</v>
      </c>
      <c r="G4433">
        <v>104</v>
      </c>
      <c r="H4433">
        <v>250318</v>
      </c>
      <c r="I4433">
        <v>4410</v>
      </c>
      <c r="J4433" t="s">
        <v>165</v>
      </c>
      <c r="K4433">
        <v>133.5</v>
      </c>
      <c r="L4433">
        <v>12.77</v>
      </c>
      <c r="M4433">
        <v>48601</v>
      </c>
      <c r="N4433" t="s">
        <v>107</v>
      </c>
      <c r="O4433">
        <v>250403</v>
      </c>
      <c r="P4433">
        <v>91.23</v>
      </c>
    </row>
    <row r="4434" spans="1:16" x14ac:dyDescent="0.25">
      <c r="A4434" t="s">
        <v>3296</v>
      </c>
      <c r="B4434" t="s">
        <v>2931</v>
      </c>
      <c r="C4434">
        <v>2458</v>
      </c>
      <c r="D4434" t="str">
        <f>"3271        "</f>
        <v xml:space="preserve">3271        </v>
      </c>
      <c r="E4434" t="s">
        <v>1284</v>
      </c>
      <c r="F4434" t="s">
        <v>1285</v>
      </c>
      <c r="G4434">
        <v>17</v>
      </c>
      <c r="H4434">
        <v>250218</v>
      </c>
      <c r="I4434">
        <v>4410</v>
      </c>
      <c r="J4434" t="s">
        <v>165</v>
      </c>
      <c r="K4434">
        <v>139</v>
      </c>
      <c r="L4434">
        <v>0</v>
      </c>
      <c r="M4434">
        <v>17524</v>
      </c>
      <c r="N4434" t="s">
        <v>139</v>
      </c>
      <c r="O4434">
        <v>250227</v>
      </c>
      <c r="P4434">
        <v>17</v>
      </c>
    </row>
    <row r="4435" spans="1:16" x14ac:dyDescent="0.25">
      <c r="A4435" t="s">
        <v>3296</v>
      </c>
      <c r="B4435" t="s">
        <v>2931</v>
      </c>
      <c r="C4435">
        <v>2458</v>
      </c>
      <c r="D4435" t="str">
        <f>"3271        "</f>
        <v xml:space="preserve">3271        </v>
      </c>
      <c r="E4435" t="s">
        <v>1284</v>
      </c>
      <c r="F4435" t="s">
        <v>1285</v>
      </c>
      <c r="G4435">
        <v>122</v>
      </c>
      <c r="H4435">
        <v>250218</v>
      </c>
      <c r="I4435">
        <v>4410</v>
      </c>
      <c r="J4435" t="s">
        <v>165</v>
      </c>
      <c r="K4435">
        <v>139</v>
      </c>
      <c r="L4435">
        <v>14.98</v>
      </c>
      <c r="M4435">
        <v>17524</v>
      </c>
      <c r="N4435" t="s">
        <v>139</v>
      </c>
      <c r="O4435">
        <v>250227</v>
      </c>
      <c r="P4435">
        <v>107.02</v>
      </c>
    </row>
    <row r="4436" spans="1:16" x14ac:dyDescent="0.25">
      <c r="A4436" t="s">
        <v>3296</v>
      </c>
      <c r="B4436" t="s">
        <v>2931</v>
      </c>
      <c r="C4436">
        <v>5505</v>
      </c>
      <c r="D4436" t="str">
        <f>"9045566406  "</f>
        <v xml:space="preserve">9045566406  </v>
      </c>
      <c r="E4436" t="s">
        <v>1750</v>
      </c>
      <c r="F4436" t="s">
        <v>1752</v>
      </c>
      <c r="G4436">
        <v>656.37</v>
      </c>
      <c r="H4436">
        <v>250401</v>
      </c>
      <c r="I4436">
        <v>4400</v>
      </c>
      <c r="J4436" t="s">
        <v>162</v>
      </c>
      <c r="K4436">
        <v>656.37</v>
      </c>
      <c r="L4436">
        <v>133.37</v>
      </c>
      <c r="M4436">
        <v>16447</v>
      </c>
      <c r="N4436" t="s">
        <v>1751</v>
      </c>
      <c r="O4436">
        <v>250425</v>
      </c>
      <c r="P4436">
        <v>523</v>
      </c>
    </row>
    <row r="4437" spans="1:16" x14ac:dyDescent="0.25">
      <c r="A4437" t="s">
        <v>3296</v>
      </c>
      <c r="B4437" t="s">
        <v>2931</v>
      </c>
      <c r="C4437">
        <v>13487</v>
      </c>
      <c r="D4437" t="str">
        <f>"9045578899  "</f>
        <v xml:space="preserve">9045578899  </v>
      </c>
      <c r="E4437" t="s">
        <v>1750</v>
      </c>
      <c r="F4437" t="s">
        <v>1752</v>
      </c>
      <c r="G4437">
        <v>217.11</v>
      </c>
      <c r="H4437">
        <v>250930</v>
      </c>
      <c r="I4437">
        <v>4400</v>
      </c>
      <c r="J4437" t="s">
        <v>162</v>
      </c>
      <c r="K4437">
        <v>434.23</v>
      </c>
      <c r="L4437">
        <v>44.11</v>
      </c>
      <c r="M4437">
        <v>16322</v>
      </c>
      <c r="N4437" t="s">
        <v>331</v>
      </c>
      <c r="O4437">
        <v>251010</v>
      </c>
      <c r="P4437">
        <v>173</v>
      </c>
    </row>
    <row r="4438" spans="1:16" x14ac:dyDescent="0.25">
      <c r="A4438" t="s">
        <v>3296</v>
      </c>
      <c r="B4438" t="s">
        <v>2931</v>
      </c>
      <c r="C4438">
        <v>13487</v>
      </c>
      <c r="D4438" t="str">
        <f>"9045578899  "</f>
        <v xml:space="preserve">9045578899  </v>
      </c>
      <c r="E4438" t="s">
        <v>1750</v>
      </c>
      <c r="F4438" t="s">
        <v>1752</v>
      </c>
      <c r="G4438">
        <v>217.12</v>
      </c>
      <c r="H4438">
        <v>250930</v>
      </c>
      <c r="I4438">
        <v>4400</v>
      </c>
      <c r="J4438" t="s">
        <v>162</v>
      </c>
      <c r="K4438">
        <v>434.23</v>
      </c>
      <c r="L4438">
        <v>44.12</v>
      </c>
      <c r="M4438">
        <v>16322</v>
      </c>
      <c r="N4438" t="s">
        <v>331</v>
      </c>
      <c r="O4438">
        <v>251010</v>
      </c>
      <c r="P4438">
        <v>173</v>
      </c>
    </row>
    <row r="4439" spans="1:16" x14ac:dyDescent="0.25">
      <c r="A4439" t="s">
        <v>3296</v>
      </c>
      <c r="B4439" t="s">
        <v>2931</v>
      </c>
      <c r="C4439">
        <v>458</v>
      </c>
      <c r="D4439" t="str">
        <f>"60596       "</f>
        <v xml:space="preserve">60596       </v>
      </c>
      <c r="E4439" t="s">
        <v>534</v>
      </c>
      <c r="F4439" t="s">
        <v>535</v>
      </c>
      <c r="G4439">
        <v>687.24</v>
      </c>
      <c r="H4439">
        <v>250108</v>
      </c>
      <c r="I4439">
        <v>4400</v>
      </c>
      <c r="J4439" t="s">
        <v>162</v>
      </c>
      <c r="K4439">
        <v>2290.8000000000002</v>
      </c>
      <c r="L4439">
        <v>139.63999999999999</v>
      </c>
      <c r="M4439">
        <v>14952</v>
      </c>
      <c r="N4439" t="s">
        <v>213</v>
      </c>
      <c r="O4439">
        <v>250123</v>
      </c>
      <c r="P4439">
        <v>547.6</v>
      </c>
    </row>
    <row r="4440" spans="1:16" x14ac:dyDescent="0.25">
      <c r="A4440" t="s">
        <v>3296</v>
      </c>
      <c r="B4440" t="s">
        <v>2931</v>
      </c>
      <c r="C4440">
        <v>458</v>
      </c>
      <c r="D4440" t="str">
        <f>"60596       "</f>
        <v xml:space="preserve">60596       </v>
      </c>
      <c r="E4440" t="s">
        <v>534</v>
      </c>
      <c r="F4440" t="s">
        <v>535</v>
      </c>
      <c r="G4440">
        <v>1603.56</v>
      </c>
      <c r="H4440">
        <v>250108</v>
      </c>
      <c r="I4440">
        <v>4400</v>
      </c>
      <c r="J4440" t="s">
        <v>162</v>
      </c>
      <c r="K4440">
        <v>2290.8000000000002</v>
      </c>
      <c r="L4440">
        <v>325.82</v>
      </c>
      <c r="M4440">
        <v>14981</v>
      </c>
      <c r="N4440" t="s">
        <v>252</v>
      </c>
      <c r="O4440">
        <v>250123</v>
      </c>
      <c r="P4440">
        <v>1277.74</v>
      </c>
    </row>
    <row r="4441" spans="1:16" x14ac:dyDescent="0.25">
      <c r="A4441" t="s">
        <v>3296</v>
      </c>
      <c r="B4441" t="s">
        <v>2931</v>
      </c>
      <c r="C4441">
        <v>3894</v>
      </c>
      <c r="D4441" t="str">
        <f>"8169294     "</f>
        <v xml:space="preserve">8169294     </v>
      </c>
      <c r="E4441" t="s">
        <v>1322</v>
      </c>
      <c r="F4441" t="s">
        <v>1323</v>
      </c>
      <c r="G4441">
        <v>416.68</v>
      </c>
      <c r="H4441">
        <v>250320</v>
      </c>
      <c r="I4441">
        <v>1196</v>
      </c>
      <c r="J4441" t="s">
        <v>340</v>
      </c>
      <c r="K4441">
        <v>416.68</v>
      </c>
      <c r="L4441">
        <v>84.66</v>
      </c>
      <c r="M4441">
        <v>97701</v>
      </c>
      <c r="N4441" t="s">
        <v>1017</v>
      </c>
      <c r="O4441">
        <v>250403</v>
      </c>
      <c r="P4441">
        <v>332.02</v>
      </c>
    </row>
    <row r="4442" spans="1:16" x14ac:dyDescent="0.25">
      <c r="A4442" t="s">
        <v>3296</v>
      </c>
      <c r="B4442" t="s">
        <v>2931</v>
      </c>
      <c r="C4442">
        <v>4392</v>
      </c>
      <c r="D4442" t="str">
        <f>"8169434     "</f>
        <v xml:space="preserve">8169434     </v>
      </c>
      <c r="E4442" t="s">
        <v>1322</v>
      </c>
      <c r="F4442" t="s">
        <v>1323</v>
      </c>
      <c r="G4442">
        <v>128.36000000000001</v>
      </c>
      <c r="H4442">
        <v>250331</v>
      </c>
      <c r="I4442">
        <v>1196</v>
      </c>
      <c r="J4442" t="s">
        <v>340</v>
      </c>
      <c r="K4442">
        <v>128.36000000000001</v>
      </c>
      <c r="L4442">
        <v>26.08</v>
      </c>
      <c r="M4442">
        <v>97701</v>
      </c>
      <c r="N4442" t="s">
        <v>1017</v>
      </c>
      <c r="O4442">
        <v>250411</v>
      </c>
      <c r="P4442">
        <v>102.28</v>
      </c>
    </row>
    <row r="4443" spans="1:16" x14ac:dyDescent="0.25">
      <c r="A4443" t="s">
        <v>3296</v>
      </c>
      <c r="B4443" t="s">
        <v>2931</v>
      </c>
      <c r="C4443">
        <v>2633</v>
      </c>
      <c r="D4443" t="str">
        <f>"2215026     "</f>
        <v xml:space="preserve">2215026     </v>
      </c>
      <c r="E4443" t="s">
        <v>1322</v>
      </c>
      <c r="F4443" t="s">
        <v>1323</v>
      </c>
      <c r="G4443">
        <v>115.95</v>
      </c>
      <c r="H4443">
        <v>250224</v>
      </c>
      <c r="I4443">
        <v>4842</v>
      </c>
      <c r="J4443" t="s">
        <v>15</v>
      </c>
      <c r="K4443">
        <v>115.95</v>
      </c>
      <c r="L4443">
        <v>23.56</v>
      </c>
      <c r="M4443">
        <v>13901</v>
      </c>
      <c r="N4443" t="s">
        <v>116</v>
      </c>
      <c r="O4443">
        <v>250307</v>
      </c>
      <c r="P4443">
        <v>92.39</v>
      </c>
    </row>
    <row r="4444" spans="1:16" x14ac:dyDescent="0.25">
      <c r="A4444" t="s">
        <v>3296</v>
      </c>
      <c r="B4444" t="s">
        <v>2931</v>
      </c>
      <c r="C4444">
        <v>6779</v>
      </c>
      <c r="D4444" t="str">
        <f>"2216971     "</f>
        <v xml:space="preserve">2216971     </v>
      </c>
      <c r="E4444" t="s">
        <v>1322</v>
      </c>
      <c r="F4444" t="s">
        <v>1323</v>
      </c>
      <c r="G4444">
        <v>186.23</v>
      </c>
      <c r="H4444">
        <v>250512</v>
      </c>
      <c r="I4444">
        <v>4860</v>
      </c>
      <c r="J4444" t="s">
        <v>286</v>
      </c>
      <c r="K4444">
        <v>186.23</v>
      </c>
      <c r="L4444">
        <v>37.840000000000003</v>
      </c>
      <c r="M4444">
        <v>13901</v>
      </c>
      <c r="N4444" t="s">
        <v>116</v>
      </c>
      <c r="O4444">
        <v>250516</v>
      </c>
      <c r="P4444">
        <v>148.38999999999999</v>
      </c>
    </row>
    <row r="4445" spans="1:16" x14ac:dyDescent="0.25">
      <c r="A4445" t="s">
        <v>3296</v>
      </c>
      <c r="B4445" t="s">
        <v>2931</v>
      </c>
      <c r="C4445">
        <v>4273</v>
      </c>
      <c r="D4445" t="str">
        <f>"1689361     "</f>
        <v xml:space="preserve">1689361     </v>
      </c>
      <c r="E4445" t="s">
        <v>1610</v>
      </c>
      <c r="F4445" t="s">
        <v>1611</v>
      </c>
      <c r="G4445">
        <v>2719.91</v>
      </c>
      <c r="H4445">
        <v>250309</v>
      </c>
      <c r="I4445">
        <v>4557</v>
      </c>
      <c r="J4445" t="s">
        <v>1152</v>
      </c>
      <c r="K4445">
        <v>2719.91</v>
      </c>
      <c r="L4445">
        <v>552.65</v>
      </c>
      <c r="M4445">
        <v>66754</v>
      </c>
      <c r="N4445" t="s">
        <v>119</v>
      </c>
      <c r="O4445">
        <v>250410</v>
      </c>
      <c r="P4445">
        <v>2167.2600000000002</v>
      </c>
    </row>
    <row r="4446" spans="1:16" x14ac:dyDescent="0.25">
      <c r="A4446" t="s">
        <v>3296</v>
      </c>
      <c r="B4446" t="s">
        <v>2931</v>
      </c>
      <c r="C4446">
        <v>4801</v>
      </c>
      <c r="D4446" t="str">
        <f>"1689732     "</f>
        <v xml:space="preserve">1689732     </v>
      </c>
      <c r="E4446" t="s">
        <v>1610</v>
      </c>
      <c r="F4446" t="s">
        <v>1611</v>
      </c>
      <c r="G4446">
        <v>55.62</v>
      </c>
      <c r="H4446">
        <v>250316</v>
      </c>
      <c r="I4446">
        <v>4557</v>
      </c>
      <c r="J4446" t="s">
        <v>1152</v>
      </c>
      <c r="K4446">
        <v>55.62</v>
      </c>
      <c r="L4446">
        <v>11.3</v>
      </c>
      <c r="M4446">
        <v>66754</v>
      </c>
      <c r="N4446" t="s">
        <v>119</v>
      </c>
      <c r="O4446">
        <v>250415</v>
      </c>
      <c r="P4446">
        <v>44.32</v>
      </c>
    </row>
    <row r="4447" spans="1:16" x14ac:dyDescent="0.25">
      <c r="A4447" t="s">
        <v>3296</v>
      </c>
      <c r="B4447" t="s">
        <v>2931</v>
      </c>
      <c r="C4447">
        <v>4969</v>
      </c>
      <c r="D4447" t="str">
        <f>"1691112     "</f>
        <v xml:space="preserve">1691112     </v>
      </c>
      <c r="E4447" t="s">
        <v>1610</v>
      </c>
      <c r="F4447" t="s">
        <v>1611</v>
      </c>
      <c r="G4447">
        <v>88.33</v>
      </c>
      <c r="H4447">
        <v>250331</v>
      </c>
      <c r="I4447">
        <v>4557</v>
      </c>
      <c r="J4447" t="s">
        <v>1152</v>
      </c>
      <c r="K4447">
        <v>88.33</v>
      </c>
      <c r="L4447">
        <v>17.95</v>
      </c>
      <c r="M4447">
        <v>66754</v>
      </c>
      <c r="N4447" t="s">
        <v>119</v>
      </c>
      <c r="O4447">
        <v>250416</v>
      </c>
      <c r="P4447">
        <v>70.38</v>
      </c>
    </row>
    <row r="4448" spans="1:16" x14ac:dyDescent="0.25">
      <c r="A4448" t="s">
        <v>3296</v>
      </c>
      <c r="B4448" t="s">
        <v>2931</v>
      </c>
      <c r="C4448">
        <v>4982</v>
      </c>
      <c r="D4448" t="str">
        <f>"1690225     "</f>
        <v xml:space="preserve">1690225     </v>
      </c>
      <c r="E4448" t="s">
        <v>1610</v>
      </c>
      <c r="F4448" t="s">
        <v>1611</v>
      </c>
      <c r="G4448">
        <v>1470.7</v>
      </c>
      <c r="H4448">
        <v>250323</v>
      </c>
      <c r="I4448">
        <v>4557</v>
      </c>
      <c r="J4448" t="s">
        <v>1152</v>
      </c>
      <c r="K4448">
        <v>1470.7</v>
      </c>
      <c r="L4448">
        <v>298.83</v>
      </c>
      <c r="M4448">
        <v>66754</v>
      </c>
      <c r="N4448" t="s">
        <v>119</v>
      </c>
      <c r="O4448">
        <v>250416</v>
      </c>
      <c r="P4448">
        <v>1171.8699999999999</v>
      </c>
    </row>
    <row r="4449" spans="1:16" x14ac:dyDescent="0.25">
      <c r="A4449" t="s">
        <v>3296</v>
      </c>
      <c r="B4449" t="s">
        <v>2931</v>
      </c>
      <c r="C4449">
        <v>5201</v>
      </c>
      <c r="D4449" t="str">
        <f>"1691158     "</f>
        <v xml:space="preserve">1691158     </v>
      </c>
      <c r="E4449" t="s">
        <v>1610</v>
      </c>
      <c r="F4449" t="s">
        <v>1611</v>
      </c>
      <c r="G4449">
        <v>111.88</v>
      </c>
      <c r="H4449">
        <v>250401</v>
      </c>
      <c r="I4449">
        <v>4557</v>
      </c>
      <c r="J4449" t="s">
        <v>1152</v>
      </c>
      <c r="K4449">
        <v>111.88</v>
      </c>
      <c r="L4449">
        <v>22.73</v>
      </c>
      <c r="M4449">
        <v>66754</v>
      </c>
      <c r="N4449" t="s">
        <v>119</v>
      </c>
      <c r="O4449">
        <v>250422</v>
      </c>
      <c r="P4449">
        <v>89.15</v>
      </c>
    </row>
    <row r="4450" spans="1:16" x14ac:dyDescent="0.25">
      <c r="A4450" t="s">
        <v>3296</v>
      </c>
      <c r="B4450" t="s">
        <v>2931</v>
      </c>
      <c r="C4450">
        <v>5525</v>
      </c>
      <c r="D4450" t="str">
        <f>"1690926     "</f>
        <v xml:space="preserve">1690926     </v>
      </c>
      <c r="E4450" t="s">
        <v>1610</v>
      </c>
      <c r="F4450" t="s">
        <v>1611</v>
      </c>
      <c r="G4450">
        <v>419.99</v>
      </c>
      <c r="H4450">
        <v>250401</v>
      </c>
      <c r="I4450">
        <v>4557</v>
      </c>
      <c r="J4450" t="s">
        <v>1152</v>
      </c>
      <c r="K4450">
        <v>419.99</v>
      </c>
      <c r="L4450">
        <v>85.34</v>
      </c>
      <c r="M4450">
        <v>66754</v>
      </c>
      <c r="N4450" t="s">
        <v>119</v>
      </c>
      <c r="O4450">
        <v>250425</v>
      </c>
      <c r="P4450">
        <v>334.65</v>
      </c>
    </row>
    <row r="4451" spans="1:16" x14ac:dyDescent="0.25">
      <c r="A4451" t="s">
        <v>3296</v>
      </c>
      <c r="B4451" t="s">
        <v>2931</v>
      </c>
      <c r="C4451">
        <v>5535</v>
      </c>
      <c r="D4451" t="str">
        <f>"1690925     "</f>
        <v xml:space="preserve">1690925     </v>
      </c>
      <c r="E4451" t="s">
        <v>1610</v>
      </c>
      <c r="F4451" t="s">
        <v>1611</v>
      </c>
      <c r="G4451">
        <v>1997.75</v>
      </c>
      <c r="H4451">
        <v>250401</v>
      </c>
      <c r="I4451">
        <v>4557</v>
      </c>
      <c r="J4451" t="s">
        <v>1152</v>
      </c>
      <c r="K4451">
        <v>1997.75</v>
      </c>
      <c r="L4451">
        <v>405.92</v>
      </c>
      <c r="M4451">
        <v>66754</v>
      </c>
      <c r="N4451" t="s">
        <v>119</v>
      </c>
      <c r="O4451">
        <v>250425</v>
      </c>
      <c r="P4451">
        <v>1591.83</v>
      </c>
    </row>
    <row r="4452" spans="1:16" x14ac:dyDescent="0.25">
      <c r="A4452" t="s">
        <v>3296</v>
      </c>
      <c r="B4452" t="s">
        <v>2931</v>
      </c>
      <c r="C4452">
        <v>6142</v>
      </c>
      <c r="D4452" t="str">
        <f>"1692759     "</f>
        <v xml:space="preserve">1692759     </v>
      </c>
      <c r="E4452" t="s">
        <v>1610</v>
      </c>
      <c r="F4452" t="s">
        <v>1611</v>
      </c>
      <c r="G4452">
        <v>42.07</v>
      </c>
      <c r="H4452">
        <v>250413</v>
      </c>
      <c r="I4452">
        <v>4557</v>
      </c>
      <c r="J4452" t="s">
        <v>1152</v>
      </c>
      <c r="K4452">
        <v>42.07</v>
      </c>
      <c r="L4452">
        <v>8.5500000000000007</v>
      </c>
      <c r="M4452">
        <v>66754</v>
      </c>
      <c r="N4452" t="s">
        <v>119</v>
      </c>
      <c r="O4452">
        <v>250509</v>
      </c>
      <c r="P4452">
        <v>33.520000000000003</v>
      </c>
    </row>
    <row r="4453" spans="1:16" x14ac:dyDescent="0.25">
      <c r="A4453" t="s">
        <v>3296</v>
      </c>
      <c r="B4453" t="s">
        <v>2931</v>
      </c>
      <c r="C4453">
        <v>6458</v>
      </c>
      <c r="D4453" t="str">
        <f>"1693262     "</f>
        <v xml:space="preserve">1693262     </v>
      </c>
      <c r="E4453" t="s">
        <v>1610</v>
      </c>
      <c r="F4453" t="s">
        <v>1611</v>
      </c>
      <c r="G4453">
        <v>206.55</v>
      </c>
      <c r="H4453">
        <v>250420</v>
      </c>
      <c r="I4453">
        <v>4557</v>
      </c>
      <c r="J4453" t="s">
        <v>1152</v>
      </c>
      <c r="K4453">
        <v>206.55</v>
      </c>
      <c r="L4453">
        <v>41.97</v>
      </c>
      <c r="M4453">
        <v>66754</v>
      </c>
      <c r="N4453" t="s">
        <v>119</v>
      </c>
      <c r="O4453">
        <v>250513</v>
      </c>
      <c r="P4453">
        <v>164.58</v>
      </c>
    </row>
    <row r="4454" spans="1:16" x14ac:dyDescent="0.25">
      <c r="A4454" t="s">
        <v>3296</v>
      </c>
      <c r="B4454" t="s">
        <v>2931</v>
      </c>
      <c r="C4454">
        <v>6574</v>
      </c>
      <c r="D4454" t="str">
        <f>"1694330     "</f>
        <v xml:space="preserve">1694330     </v>
      </c>
      <c r="E4454" t="s">
        <v>1610</v>
      </c>
      <c r="F4454" t="s">
        <v>1611</v>
      </c>
      <c r="G4454">
        <v>228.35</v>
      </c>
      <c r="H4454">
        <v>250430</v>
      </c>
      <c r="I4454">
        <v>4557</v>
      </c>
      <c r="J4454" t="s">
        <v>1152</v>
      </c>
      <c r="K4454">
        <v>228.35</v>
      </c>
      <c r="L4454">
        <v>46.4</v>
      </c>
      <c r="M4454">
        <v>66754</v>
      </c>
      <c r="N4454" t="s">
        <v>119</v>
      </c>
      <c r="O4454">
        <v>250514</v>
      </c>
      <c r="P4454">
        <v>181.95</v>
      </c>
    </row>
    <row r="4455" spans="1:16" x14ac:dyDescent="0.25">
      <c r="A4455" t="s">
        <v>3296</v>
      </c>
      <c r="B4455" t="s">
        <v>2931</v>
      </c>
      <c r="C4455">
        <v>9841</v>
      </c>
      <c r="D4455" t="str">
        <f>"1699357     "</f>
        <v xml:space="preserve">1699357     </v>
      </c>
      <c r="E4455" t="s">
        <v>1610</v>
      </c>
      <c r="F4455" t="s">
        <v>1611</v>
      </c>
      <c r="G4455">
        <v>733.55</v>
      </c>
      <c r="H4455">
        <v>250720</v>
      </c>
      <c r="I4455">
        <v>4557</v>
      </c>
      <c r="J4455" t="s">
        <v>1152</v>
      </c>
      <c r="K4455">
        <v>733.55</v>
      </c>
      <c r="L4455">
        <v>149.05000000000001</v>
      </c>
      <c r="M4455">
        <v>66754</v>
      </c>
      <c r="N4455" t="s">
        <v>119</v>
      </c>
      <c r="O4455">
        <v>250729</v>
      </c>
      <c r="P4455">
        <v>584.5</v>
      </c>
    </row>
    <row r="4456" spans="1:16" x14ac:dyDescent="0.25">
      <c r="A4456" t="s">
        <v>3296</v>
      </c>
      <c r="B4456" t="s">
        <v>2931</v>
      </c>
      <c r="C4456">
        <v>10293</v>
      </c>
      <c r="D4456" t="str">
        <f>"1699667     "</f>
        <v xml:space="preserve">1699667     </v>
      </c>
      <c r="E4456" t="s">
        <v>1610</v>
      </c>
      <c r="F4456" t="s">
        <v>1611</v>
      </c>
      <c r="G4456">
        <v>388.87</v>
      </c>
      <c r="H4456">
        <v>250727</v>
      </c>
      <c r="I4456">
        <v>4557</v>
      </c>
      <c r="J4456" t="s">
        <v>1152</v>
      </c>
      <c r="K4456">
        <v>388.87</v>
      </c>
      <c r="L4456">
        <v>79.010000000000005</v>
      </c>
      <c r="M4456">
        <v>66754</v>
      </c>
      <c r="N4456" t="s">
        <v>119</v>
      </c>
      <c r="O4456">
        <v>250813</v>
      </c>
      <c r="P4456">
        <v>309.86</v>
      </c>
    </row>
    <row r="4457" spans="1:16" x14ac:dyDescent="0.25">
      <c r="A4457" t="s">
        <v>3296</v>
      </c>
      <c r="B4457" t="s">
        <v>2931</v>
      </c>
      <c r="C4457">
        <v>10802</v>
      </c>
      <c r="D4457" t="str">
        <f>"1700676     "</f>
        <v xml:space="preserve">1700676     </v>
      </c>
      <c r="E4457" t="s">
        <v>1610</v>
      </c>
      <c r="F4457" t="s">
        <v>1611</v>
      </c>
      <c r="G4457">
        <v>996.56</v>
      </c>
      <c r="H4457">
        <v>250817</v>
      </c>
      <c r="I4457">
        <v>4557</v>
      </c>
      <c r="J4457" t="s">
        <v>1152</v>
      </c>
      <c r="K4457">
        <v>996.56</v>
      </c>
      <c r="L4457">
        <v>202.49</v>
      </c>
      <c r="M4457">
        <v>66754</v>
      </c>
      <c r="N4457" t="s">
        <v>119</v>
      </c>
      <c r="O4457">
        <v>250822</v>
      </c>
      <c r="P4457">
        <v>794.07</v>
      </c>
    </row>
    <row r="4458" spans="1:16" x14ac:dyDescent="0.25">
      <c r="A4458" t="s">
        <v>3296</v>
      </c>
      <c r="B4458" t="s">
        <v>2931</v>
      </c>
      <c r="C4458">
        <v>11809</v>
      </c>
      <c r="D4458" t="str">
        <f>"1701169     "</f>
        <v xml:space="preserve">1701169     </v>
      </c>
      <c r="E4458" t="s">
        <v>1610</v>
      </c>
      <c r="F4458" t="s">
        <v>1611</v>
      </c>
      <c r="G4458">
        <v>726.83</v>
      </c>
      <c r="H4458">
        <v>250831</v>
      </c>
      <c r="I4458">
        <v>4557</v>
      </c>
      <c r="J4458" t="s">
        <v>1152</v>
      </c>
      <c r="K4458">
        <v>726.83</v>
      </c>
      <c r="L4458">
        <v>147.68</v>
      </c>
      <c r="M4458">
        <v>66754</v>
      </c>
      <c r="N4458" t="s">
        <v>119</v>
      </c>
      <c r="O4458">
        <v>250910</v>
      </c>
      <c r="P4458">
        <v>579.15</v>
      </c>
    </row>
    <row r="4459" spans="1:16" x14ac:dyDescent="0.25">
      <c r="A4459" t="s">
        <v>3296</v>
      </c>
      <c r="B4459" t="s">
        <v>2931</v>
      </c>
      <c r="C4459">
        <v>15540</v>
      </c>
      <c r="D4459" t="str">
        <f>"1703974     "</f>
        <v xml:space="preserve">1703974     </v>
      </c>
      <c r="E4459" t="s">
        <v>1610</v>
      </c>
      <c r="F4459" t="s">
        <v>1611</v>
      </c>
      <c r="G4459">
        <v>1069.3599999999999</v>
      </c>
      <c r="H4459">
        <v>251109</v>
      </c>
      <c r="I4459">
        <v>4557</v>
      </c>
      <c r="J4459" t="s">
        <v>1152</v>
      </c>
      <c r="K4459">
        <v>1069.3599999999999</v>
      </c>
      <c r="L4459">
        <v>217.28</v>
      </c>
      <c r="M4459">
        <v>66754</v>
      </c>
      <c r="N4459" t="s">
        <v>119</v>
      </c>
      <c r="O4459">
        <v>251121</v>
      </c>
      <c r="P4459">
        <v>852.08</v>
      </c>
    </row>
    <row r="4460" spans="1:16" x14ac:dyDescent="0.25">
      <c r="A4460" t="s">
        <v>3296</v>
      </c>
      <c r="B4460" t="s">
        <v>2931</v>
      </c>
      <c r="C4460">
        <v>5265</v>
      </c>
      <c r="D4460" t="str">
        <f>"1691870     "</f>
        <v xml:space="preserve">1691870     </v>
      </c>
      <c r="E4460" t="s">
        <v>1610</v>
      </c>
      <c r="F4460" t="s">
        <v>1611</v>
      </c>
      <c r="G4460">
        <v>456</v>
      </c>
      <c r="H4460">
        <v>250408</v>
      </c>
      <c r="I4460">
        <v>4600</v>
      </c>
      <c r="J4460" t="s">
        <v>278</v>
      </c>
      <c r="K4460">
        <v>456</v>
      </c>
      <c r="L4460">
        <v>92.65</v>
      </c>
      <c r="M4460">
        <v>66754</v>
      </c>
      <c r="N4460" t="s">
        <v>119</v>
      </c>
      <c r="O4460">
        <v>250423</v>
      </c>
      <c r="P4460">
        <v>363.35</v>
      </c>
    </row>
    <row r="4461" spans="1:16" x14ac:dyDescent="0.25">
      <c r="A4461" t="s">
        <v>3296</v>
      </c>
      <c r="B4461" t="s">
        <v>2931</v>
      </c>
      <c r="C4461">
        <v>5441</v>
      </c>
      <c r="D4461" t="str">
        <f>"1692504     "</f>
        <v xml:space="preserve">1692504     </v>
      </c>
      <c r="E4461" t="s">
        <v>1610</v>
      </c>
      <c r="F4461" t="s">
        <v>1611</v>
      </c>
      <c r="G4461">
        <v>148.28</v>
      </c>
      <c r="H4461">
        <v>250415</v>
      </c>
      <c r="I4461">
        <v>4600</v>
      </c>
      <c r="J4461" t="s">
        <v>278</v>
      </c>
      <c r="K4461">
        <v>148.28</v>
      </c>
      <c r="L4461">
        <v>30.13</v>
      </c>
      <c r="M4461">
        <v>66722</v>
      </c>
      <c r="N4461" t="s">
        <v>118</v>
      </c>
      <c r="O4461">
        <v>250424</v>
      </c>
      <c r="P4461">
        <v>118.15</v>
      </c>
    </row>
    <row r="4462" spans="1:16" x14ac:dyDescent="0.25">
      <c r="A4462" t="s">
        <v>3296</v>
      </c>
      <c r="B4462" t="s">
        <v>2931</v>
      </c>
      <c r="C4462">
        <v>5473</v>
      </c>
      <c r="D4462" t="str">
        <f>"1692505     "</f>
        <v xml:space="preserve">1692505     </v>
      </c>
      <c r="E4462" t="s">
        <v>1610</v>
      </c>
      <c r="F4462" t="s">
        <v>1611</v>
      </c>
      <c r="G4462">
        <v>122.99</v>
      </c>
      <c r="H4462">
        <v>250415</v>
      </c>
      <c r="I4462">
        <v>4600</v>
      </c>
      <c r="J4462" t="s">
        <v>278</v>
      </c>
      <c r="K4462">
        <v>122.99</v>
      </c>
      <c r="L4462">
        <v>24.99</v>
      </c>
      <c r="M4462">
        <v>66754</v>
      </c>
      <c r="N4462" t="s">
        <v>119</v>
      </c>
      <c r="O4462">
        <v>250424</v>
      </c>
      <c r="P4462">
        <v>98</v>
      </c>
    </row>
    <row r="4463" spans="1:16" x14ac:dyDescent="0.25">
      <c r="A4463" t="s">
        <v>3296</v>
      </c>
      <c r="B4463" t="s">
        <v>2931</v>
      </c>
      <c r="C4463">
        <v>5641</v>
      </c>
      <c r="D4463" t="str">
        <f>"1693118     "</f>
        <v xml:space="preserve">1693118     </v>
      </c>
      <c r="E4463" t="s">
        <v>1610</v>
      </c>
      <c r="F4463" t="s">
        <v>1611</v>
      </c>
      <c r="G4463">
        <v>114.71</v>
      </c>
      <c r="H4463">
        <v>250423</v>
      </c>
      <c r="I4463">
        <v>4600</v>
      </c>
      <c r="J4463" t="s">
        <v>278</v>
      </c>
      <c r="K4463">
        <v>114.71</v>
      </c>
      <c r="L4463">
        <v>23.31</v>
      </c>
      <c r="M4463">
        <v>65422</v>
      </c>
      <c r="N4463" t="s">
        <v>117</v>
      </c>
      <c r="O4463">
        <v>250428</v>
      </c>
      <c r="P4463">
        <v>91.4</v>
      </c>
    </row>
    <row r="4464" spans="1:16" x14ac:dyDescent="0.25">
      <c r="A4464" t="s">
        <v>3296</v>
      </c>
      <c r="B4464" t="s">
        <v>2931</v>
      </c>
      <c r="C4464">
        <v>5647</v>
      </c>
      <c r="D4464" t="str">
        <f>"1693119     "</f>
        <v xml:space="preserve">1693119     </v>
      </c>
      <c r="E4464" t="s">
        <v>1610</v>
      </c>
      <c r="F4464" t="s">
        <v>1611</v>
      </c>
      <c r="G4464">
        <v>88.6</v>
      </c>
      <c r="H4464">
        <v>250423</v>
      </c>
      <c r="I4464">
        <v>4600</v>
      </c>
      <c r="J4464" t="s">
        <v>278</v>
      </c>
      <c r="K4464">
        <v>88.6</v>
      </c>
      <c r="L4464">
        <v>18</v>
      </c>
      <c r="M4464">
        <v>66754</v>
      </c>
      <c r="N4464" t="s">
        <v>119</v>
      </c>
      <c r="O4464">
        <v>250428</v>
      </c>
      <c r="P4464">
        <v>70.599999999999994</v>
      </c>
    </row>
    <row r="4465" spans="1:16" x14ac:dyDescent="0.25">
      <c r="A4465" t="s">
        <v>3296</v>
      </c>
      <c r="B4465" t="s">
        <v>2931</v>
      </c>
      <c r="C4465">
        <v>5941</v>
      </c>
      <c r="D4465" t="str">
        <f>"1693722     "</f>
        <v xml:space="preserve">1693722     </v>
      </c>
      <c r="E4465" t="s">
        <v>1610</v>
      </c>
      <c r="F4465" t="s">
        <v>1611</v>
      </c>
      <c r="G4465">
        <v>277.86</v>
      </c>
      <c r="H4465">
        <v>250429</v>
      </c>
      <c r="I4465">
        <v>4600</v>
      </c>
      <c r="J4465" t="s">
        <v>278</v>
      </c>
      <c r="K4465">
        <v>277.86</v>
      </c>
      <c r="L4465">
        <v>56.46</v>
      </c>
      <c r="M4465">
        <v>66754</v>
      </c>
      <c r="N4465" t="s">
        <v>119</v>
      </c>
      <c r="O4465">
        <v>250507</v>
      </c>
      <c r="P4465">
        <v>221.4</v>
      </c>
    </row>
    <row r="4466" spans="1:16" x14ac:dyDescent="0.25">
      <c r="A4466" t="s">
        <v>3296</v>
      </c>
      <c r="B4466" t="s">
        <v>2931</v>
      </c>
      <c r="C4466">
        <v>6432</v>
      </c>
      <c r="D4466" t="str">
        <f>"1694446     "</f>
        <v xml:space="preserve">1694446     </v>
      </c>
      <c r="E4466" t="s">
        <v>1610</v>
      </c>
      <c r="F4466" t="s">
        <v>1611</v>
      </c>
      <c r="G4466">
        <v>152.22999999999999</v>
      </c>
      <c r="H4466">
        <v>250506</v>
      </c>
      <c r="I4466">
        <v>4600</v>
      </c>
      <c r="J4466" t="s">
        <v>278</v>
      </c>
      <c r="K4466">
        <v>152.22999999999999</v>
      </c>
      <c r="L4466">
        <v>30.93</v>
      </c>
      <c r="M4466">
        <v>66754</v>
      </c>
      <c r="N4466" t="s">
        <v>119</v>
      </c>
      <c r="O4466">
        <v>250513</v>
      </c>
      <c r="P4466">
        <v>121.3</v>
      </c>
    </row>
    <row r="4467" spans="1:16" x14ac:dyDescent="0.25">
      <c r="A4467" t="s">
        <v>3296</v>
      </c>
      <c r="B4467" t="s">
        <v>2931</v>
      </c>
      <c r="C4467">
        <v>6809</v>
      </c>
      <c r="D4467" t="str">
        <f>"1694965     "</f>
        <v xml:space="preserve">1694965     </v>
      </c>
      <c r="E4467" t="s">
        <v>1610</v>
      </c>
      <c r="F4467" t="s">
        <v>1611</v>
      </c>
      <c r="G4467">
        <v>121.23</v>
      </c>
      <c r="H4467">
        <v>250513</v>
      </c>
      <c r="I4467">
        <v>4600</v>
      </c>
      <c r="J4467" t="s">
        <v>278</v>
      </c>
      <c r="K4467">
        <v>121.23</v>
      </c>
      <c r="L4467">
        <v>24.63</v>
      </c>
      <c r="M4467">
        <v>66754</v>
      </c>
      <c r="N4467" t="s">
        <v>119</v>
      </c>
      <c r="O4467">
        <v>250516</v>
      </c>
      <c r="P4467">
        <v>96.6</v>
      </c>
    </row>
    <row r="4468" spans="1:16" x14ac:dyDescent="0.25">
      <c r="A4468" t="s">
        <v>3296</v>
      </c>
      <c r="B4468" t="s">
        <v>2931</v>
      </c>
      <c r="C4468">
        <v>7111</v>
      </c>
      <c r="D4468" t="str">
        <f>"1695596     "</f>
        <v xml:space="preserve">1695596     </v>
      </c>
      <c r="E4468" t="s">
        <v>1610</v>
      </c>
      <c r="F4468" t="s">
        <v>1611</v>
      </c>
      <c r="G4468">
        <v>52.58</v>
      </c>
      <c r="H4468">
        <v>250520</v>
      </c>
      <c r="I4468">
        <v>4600</v>
      </c>
      <c r="J4468" t="s">
        <v>278</v>
      </c>
      <c r="K4468">
        <v>52.58</v>
      </c>
      <c r="L4468">
        <v>10.68</v>
      </c>
      <c r="M4468">
        <v>66754</v>
      </c>
      <c r="N4468" t="s">
        <v>119</v>
      </c>
      <c r="O4468">
        <v>250522</v>
      </c>
      <c r="P4468">
        <v>41.9</v>
      </c>
    </row>
    <row r="4469" spans="1:16" x14ac:dyDescent="0.25">
      <c r="A4469" t="s">
        <v>3296</v>
      </c>
      <c r="B4469" t="s">
        <v>2931</v>
      </c>
      <c r="C4469">
        <v>7718</v>
      </c>
      <c r="D4469" t="str">
        <f>"1696085     "</f>
        <v xml:space="preserve">1696085     </v>
      </c>
      <c r="E4469" t="s">
        <v>1610</v>
      </c>
      <c r="F4469" t="s">
        <v>1611</v>
      </c>
      <c r="G4469">
        <v>174.16</v>
      </c>
      <c r="H4469">
        <v>250527</v>
      </c>
      <c r="I4469">
        <v>4600</v>
      </c>
      <c r="J4469" t="s">
        <v>278</v>
      </c>
      <c r="K4469">
        <v>497.61</v>
      </c>
      <c r="L4469">
        <v>35.39</v>
      </c>
      <c r="M4469">
        <v>65451</v>
      </c>
      <c r="N4469" t="s">
        <v>1988</v>
      </c>
      <c r="O4469">
        <v>250609</v>
      </c>
      <c r="P4469">
        <v>138.77000000000001</v>
      </c>
    </row>
    <row r="4470" spans="1:16" x14ac:dyDescent="0.25">
      <c r="A4470" t="s">
        <v>3296</v>
      </c>
      <c r="B4470" t="s">
        <v>2931</v>
      </c>
      <c r="C4470">
        <v>7718</v>
      </c>
      <c r="D4470" t="str">
        <f>"1696085     "</f>
        <v xml:space="preserve">1696085     </v>
      </c>
      <c r="E4470" t="s">
        <v>1610</v>
      </c>
      <c r="F4470" t="s">
        <v>1611</v>
      </c>
      <c r="G4470">
        <v>323.45</v>
      </c>
      <c r="H4470">
        <v>250527</v>
      </c>
      <c r="I4470">
        <v>4600</v>
      </c>
      <c r="J4470" t="s">
        <v>278</v>
      </c>
      <c r="K4470">
        <v>497.61</v>
      </c>
      <c r="L4470">
        <v>65.72</v>
      </c>
      <c r="M4470">
        <v>66754</v>
      </c>
      <c r="N4470" t="s">
        <v>119</v>
      </c>
      <c r="O4470">
        <v>250609</v>
      </c>
      <c r="P4470">
        <v>257.73</v>
      </c>
    </row>
    <row r="4471" spans="1:16" x14ac:dyDescent="0.25">
      <c r="A4471" t="s">
        <v>3296</v>
      </c>
      <c r="B4471" t="s">
        <v>2931</v>
      </c>
      <c r="C4471">
        <v>8207</v>
      </c>
      <c r="D4471" t="str">
        <f>"1696959     "</f>
        <v xml:space="preserve">1696959     </v>
      </c>
      <c r="E4471" t="s">
        <v>1610</v>
      </c>
      <c r="F4471" t="s">
        <v>1611</v>
      </c>
      <c r="G4471">
        <v>637.72</v>
      </c>
      <c r="H4471">
        <v>250603</v>
      </c>
      <c r="I4471">
        <v>4600</v>
      </c>
      <c r="J4471" t="s">
        <v>278</v>
      </c>
      <c r="K4471">
        <v>637.72</v>
      </c>
      <c r="L4471">
        <v>129.58000000000001</v>
      </c>
      <c r="M4471">
        <v>65422</v>
      </c>
      <c r="N4471" t="s">
        <v>117</v>
      </c>
      <c r="O4471">
        <v>250612</v>
      </c>
      <c r="P4471">
        <v>508.14</v>
      </c>
    </row>
    <row r="4472" spans="1:16" x14ac:dyDescent="0.25">
      <c r="A4472" t="s">
        <v>3296</v>
      </c>
      <c r="B4472" t="s">
        <v>2931</v>
      </c>
      <c r="C4472">
        <v>8298</v>
      </c>
      <c r="D4472" t="str">
        <f>"1696958     "</f>
        <v xml:space="preserve">1696958     </v>
      </c>
      <c r="E4472" t="s">
        <v>1610</v>
      </c>
      <c r="F4472" t="s">
        <v>1611</v>
      </c>
      <c r="G4472">
        <v>62.81</v>
      </c>
      <c r="H4472">
        <v>250603</v>
      </c>
      <c r="I4472">
        <v>4600</v>
      </c>
      <c r="J4472" t="s">
        <v>278</v>
      </c>
      <c r="K4472">
        <v>62.81</v>
      </c>
      <c r="L4472">
        <v>12.76</v>
      </c>
      <c r="M4472">
        <v>66754</v>
      </c>
      <c r="N4472" t="s">
        <v>119</v>
      </c>
      <c r="O4472">
        <v>250612</v>
      </c>
      <c r="P4472">
        <v>50.05</v>
      </c>
    </row>
    <row r="4473" spans="1:16" x14ac:dyDescent="0.25">
      <c r="A4473" t="s">
        <v>3296</v>
      </c>
      <c r="B4473" t="s">
        <v>2931</v>
      </c>
      <c r="C4473">
        <v>8800</v>
      </c>
      <c r="D4473" t="str">
        <f>"1697447     "</f>
        <v xml:space="preserve">1697447     </v>
      </c>
      <c r="E4473" t="s">
        <v>1610</v>
      </c>
      <c r="F4473" t="s">
        <v>1611</v>
      </c>
      <c r="G4473">
        <v>141.19</v>
      </c>
      <c r="H4473">
        <v>250610</v>
      </c>
      <c r="I4473">
        <v>4600</v>
      </c>
      <c r="J4473" t="s">
        <v>278</v>
      </c>
      <c r="K4473">
        <v>141.19</v>
      </c>
      <c r="L4473">
        <v>28.69</v>
      </c>
      <c r="M4473">
        <v>66754</v>
      </c>
      <c r="N4473" t="s">
        <v>119</v>
      </c>
      <c r="O4473">
        <v>250618</v>
      </c>
      <c r="P4473">
        <v>112.5</v>
      </c>
    </row>
    <row r="4474" spans="1:16" x14ac:dyDescent="0.25">
      <c r="A4474" t="s">
        <v>3296</v>
      </c>
      <c r="B4474" t="s">
        <v>2931</v>
      </c>
      <c r="C4474">
        <v>9258</v>
      </c>
      <c r="D4474" t="str">
        <f>"1698404     "</f>
        <v xml:space="preserve">1698404     </v>
      </c>
      <c r="E4474" t="s">
        <v>1610</v>
      </c>
      <c r="F4474" t="s">
        <v>1611</v>
      </c>
      <c r="G4474">
        <v>67.14</v>
      </c>
      <c r="H4474">
        <v>250624</v>
      </c>
      <c r="I4474">
        <v>4600</v>
      </c>
      <c r="J4474" t="s">
        <v>278</v>
      </c>
      <c r="K4474">
        <v>67.14</v>
      </c>
      <c r="L4474">
        <v>13.64</v>
      </c>
      <c r="M4474">
        <v>66754</v>
      </c>
      <c r="N4474" t="s">
        <v>119</v>
      </c>
      <c r="O4474">
        <v>250701</v>
      </c>
      <c r="P4474">
        <v>53.5</v>
      </c>
    </row>
    <row r="4475" spans="1:16" x14ac:dyDescent="0.25">
      <c r="A4475" t="s">
        <v>3296</v>
      </c>
      <c r="B4475" t="s">
        <v>2931</v>
      </c>
      <c r="C4475">
        <v>9323</v>
      </c>
      <c r="D4475" t="str">
        <f>"1698750     "</f>
        <v xml:space="preserve">1698750     </v>
      </c>
      <c r="E4475" t="s">
        <v>1610</v>
      </c>
      <c r="F4475" t="s">
        <v>1611</v>
      </c>
      <c r="G4475">
        <v>228.91</v>
      </c>
      <c r="H4475">
        <v>250630</v>
      </c>
      <c r="I4475">
        <v>4600</v>
      </c>
      <c r="J4475" t="s">
        <v>278</v>
      </c>
      <c r="K4475">
        <v>228.91</v>
      </c>
      <c r="L4475">
        <v>46.51</v>
      </c>
      <c r="M4475">
        <v>66754</v>
      </c>
      <c r="N4475" t="s">
        <v>119</v>
      </c>
      <c r="O4475">
        <v>250703</v>
      </c>
      <c r="P4475">
        <v>182.4</v>
      </c>
    </row>
    <row r="4476" spans="1:16" x14ac:dyDescent="0.25">
      <c r="A4476" t="s">
        <v>3296</v>
      </c>
      <c r="B4476" t="s">
        <v>2931</v>
      </c>
      <c r="C4476">
        <v>9633</v>
      </c>
      <c r="D4476" t="str">
        <f>"1698872     "</f>
        <v xml:space="preserve">1698872     </v>
      </c>
      <c r="E4476" t="s">
        <v>1610</v>
      </c>
      <c r="F4476" t="s">
        <v>1611</v>
      </c>
      <c r="G4476">
        <v>280.99</v>
      </c>
      <c r="H4476">
        <v>250708</v>
      </c>
      <c r="I4476">
        <v>4600</v>
      </c>
      <c r="J4476" t="s">
        <v>278</v>
      </c>
      <c r="K4476">
        <v>280.99</v>
      </c>
      <c r="L4476">
        <v>57.09</v>
      </c>
      <c r="M4476">
        <v>66754</v>
      </c>
      <c r="N4476" t="s">
        <v>119</v>
      </c>
      <c r="O4476">
        <v>250722</v>
      </c>
      <c r="P4476">
        <v>223.9</v>
      </c>
    </row>
    <row r="4477" spans="1:16" x14ac:dyDescent="0.25">
      <c r="A4477" t="s">
        <v>3296</v>
      </c>
      <c r="B4477" t="s">
        <v>2931</v>
      </c>
      <c r="C4477">
        <v>9754</v>
      </c>
      <c r="D4477" t="str">
        <f>"1699123     "</f>
        <v xml:space="preserve">1699123     </v>
      </c>
      <c r="E4477" t="s">
        <v>1610</v>
      </c>
      <c r="F4477" t="s">
        <v>1611</v>
      </c>
      <c r="G4477">
        <v>117.34</v>
      </c>
      <c r="H4477">
        <v>250713</v>
      </c>
      <c r="I4477">
        <v>4600</v>
      </c>
      <c r="J4477" t="s">
        <v>278</v>
      </c>
      <c r="K4477">
        <v>117.34</v>
      </c>
      <c r="L4477">
        <v>23.84</v>
      </c>
      <c r="M4477">
        <v>66754</v>
      </c>
      <c r="N4477" t="s">
        <v>119</v>
      </c>
      <c r="O4477">
        <v>250728</v>
      </c>
      <c r="P4477">
        <v>93.5</v>
      </c>
    </row>
    <row r="4478" spans="1:16" x14ac:dyDescent="0.25">
      <c r="A4478" t="s">
        <v>3296</v>
      </c>
      <c r="B4478" t="s">
        <v>2931</v>
      </c>
      <c r="C4478">
        <v>9761</v>
      </c>
      <c r="D4478" t="str">
        <f>"1699180     "</f>
        <v xml:space="preserve">1699180     </v>
      </c>
      <c r="E4478" t="s">
        <v>1610</v>
      </c>
      <c r="F4478" t="s">
        <v>1611</v>
      </c>
      <c r="G4478">
        <v>63.5</v>
      </c>
      <c r="H4478">
        <v>250715</v>
      </c>
      <c r="I4478">
        <v>4600</v>
      </c>
      <c r="J4478" t="s">
        <v>278</v>
      </c>
      <c r="K4478">
        <v>63.5</v>
      </c>
      <c r="L4478">
        <v>12.9</v>
      </c>
      <c r="M4478">
        <v>66754</v>
      </c>
      <c r="N4478" t="s">
        <v>119</v>
      </c>
      <c r="O4478">
        <v>250728</v>
      </c>
      <c r="P4478">
        <v>50.6</v>
      </c>
    </row>
    <row r="4479" spans="1:16" x14ac:dyDescent="0.25">
      <c r="A4479" t="s">
        <v>3296</v>
      </c>
      <c r="B4479" t="s">
        <v>2931</v>
      </c>
      <c r="C4479">
        <v>9978</v>
      </c>
      <c r="D4479" t="str">
        <f>"1699638     "</f>
        <v xml:space="preserve">1699638     </v>
      </c>
      <c r="E4479" t="s">
        <v>1610</v>
      </c>
      <c r="F4479" t="s">
        <v>1611</v>
      </c>
      <c r="G4479">
        <v>302.39</v>
      </c>
      <c r="H4479">
        <v>250729</v>
      </c>
      <c r="I4479">
        <v>4600</v>
      </c>
      <c r="J4479" t="s">
        <v>278</v>
      </c>
      <c r="K4479">
        <v>302.39</v>
      </c>
      <c r="L4479">
        <v>61.44</v>
      </c>
      <c r="M4479">
        <v>66754</v>
      </c>
      <c r="N4479" t="s">
        <v>119</v>
      </c>
      <c r="O4479">
        <v>250806</v>
      </c>
      <c r="P4479">
        <v>240.95</v>
      </c>
    </row>
    <row r="4480" spans="1:16" x14ac:dyDescent="0.25">
      <c r="A4480" t="s">
        <v>3296</v>
      </c>
      <c r="B4480" t="s">
        <v>2931</v>
      </c>
      <c r="C4480">
        <v>10191</v>
      </c>
      <c r="D4480" t="str">
        <f>"1699941     "</f>
        <v xml:space="preserve">1699941     </v>
      </c>
      <c r="E4480" t="s">
        <v>1610</v>
      </c>
      <c r="F4480" t="s">
        <v>1611</v>
      </c>
      <c r="G4480">
        <v>46.94</v>
      </c>
      <c r="H4480">
        <v>250805</v>
      </c>
      <c r="I4480">
        <v>4600</v>
      </c>
      <c r="J4480" t="s">
        <v>278</v>
      </c>
      <c r="K4480">
        <v>46.94</v>
      </c>
      <c r="L4480">
        <v>9.5399999999999991</v>
      </c>
      <c r="M4480">
        <v>66754</v>
      </c>
      <c r="N4480" t="s">
        <v>119</v>
      </c>
      <c r="O4480">
        <v>250812</v>
      </c>
      <c r="P4480">
        <v>37.4</v>
      </c>
    </row>
    <row r="4481" spans="1:16" x14ac:dyDescent="0.25">
      <c r="A4481" t="s">
        <v>3296</v>
      </c>
      <c r="B4481" t="s">
        <v>2931</v>
      </c>
      <c r="C4481">
        <v>10483</v>
      </c>
      <c r="D4481" t="str">
        <f>"1700122     "</f>
        <v xml:space="preserve">1700122     </v>
      </c>
      <c r="E4481" t="s">
        <v>1610</v>
      </c>
      <c r="F4481" t="s">
        <v>1611</v>
      </c>
      <c r="G4481">
        <v>353.6</v>
      </c>
      <c r="H4481">
        <v>250812</v>
      </c>
      <c r="I4481">
        <v>4600</v>
      </c>
      <c r="J4481" t="s">
        <v>278</v>
      </c>
      <c r="K4481">
        <v>353.6</v>
      </c>
      <c r="L4481">
        <v>71.849999999999994</v>
      </c>
      <c r="M4481">
        <v>66754</v>
      </c>
      <c r="N4481" t="s">
        <v>119</v>
      </c>
      <c r="O4481">
        <v>250820</v>
      </c>
      <c r="P4481">
        <v>281.75</v>
      </c>
    </row>
    <row r="4482" spans="1:16" x14ac:dyDescent="0.25">
      <c r="A4482" t="s">
        <v>3296</v>
      </c>
      <c r="B4482" t="s">
        <v>2931</v>
      </c>
      <c r="C4482">
        <v>10794</v>
      </c>
      <c r="D4482" t="str">
        <f>"1700637     "</f>
        <v xml:space="preserve">1700637     </v>
      </c>
      <c r="E4482" t="s">
        <v>1610</v>
      </c>
      <c r="F4482" t="s">
        <v>1611</v>
      </c>
      <c r="G4482">
        <v>137.55000000000001</v>
      </c>
      <c r="H4482">
        <v>250819</v>
      </c>
      <c r="I4482">
        <v>4600</v>
      </c>
      <c r="J4482" t="s">
        <v>278</v>
      </c>
      <c r="K4482">
        <v>137.55000000000001</v>
      </c>
      <c r="L4482">
        <v>27.95</v>
      </c>
      <c r="M4482">
        <v>66754</v>
      </c>
      <c r="N4482" t="s">
        <v>119</v>
      </c>
      <c r="O4482">
        <v>250822</v>
      </c>
      <c r="P4482">
        <v>109.6</v>
      </c>
    </row>
    <row r="4483" spans="1:16" x14ac:dyDescent="0.25">
      <c r="A4483" t="s">
        <v>3296</v>
      </c>
      <c r="B4483" t="s">
        <v>2931</v>
      </c>
      <c r="C4483">
        <v>11294</v>
      </c>
      <c r="D4483" t="str">
        <f>"1700861     "</f>
        <v xml:space="preserve">1700861     </v>
      </c>
      <c r="E4483" t="s">
        <v>1610</v>
      </c>
      <c r="F4483" t="s">
        <v>1611</v>
      </c>
      <c r="G4483">
        <v>325.11</v>
      </c>
      <c r="H4483">
        <v>250826</v>
      </c>
      <c r="I4483">
        <v>4600</v>
      </c>
      <c r="J4483" t="s">
        <v>278</v>
      </c>
      <c r="K4483">
        <v>325.11</v>
      </c>
      <c r="L4483">
        <v>66.06</v>
      </c>
      <c r="M4483">
        <v>66754</v>
      </c>
      <c r="N4483" t="s">
        <v>119</v>
      </c>
      <c r="O4483">
        <v>250903</v>
      </c>
      <c r="P4483">
        <v>259.05</v>
      </c>
    </row>
    <row r="4484" spans="1:16" x14ac:dyDescent="0.25">
      <c r="A4484" t="s">
        <v>3296</v>
      </c>
      <c r="B4484" t="s">
        <v>2931</v>
      </c>
      <c r="C4484">
        <v>11414</v>
      </c>
      <c r="D4484" t="str">
        <f>"1701259     "</f>
        <v xml:space="preserve">1701259     </v>
      </c>
      <c r="E4484" t="s">
        <v>1610</v>
      </c>
      <c r="F4484" t="s">
        <v>1611</v>
      </c>
      <c r="G4484">
        <v>120.65</v>
      </c>
      <c r="H4484">
        <v>250902</v>
      </c>
      <c r="I4484">
        <v>4600</v>
      </c>
      <c r="J4484" t="s">
        <v>278</v>
      </c>
      <c r="K4484">
        <v>309.04000000000002</v>
      </c>
      <c r="L4484">
        <v>24.51</v>
      </c>
      <c r="M4484">
        <v>66722</v>
      </c>
      <c r="N4484" t="s">
        <v>118</v>
      </c>
      <c r="O4484">
        <v>250904</v>
      </c>
      <c r="P4484">
        <v>96.14</v>
      </c>
    </row>
    <row r="4485" spans="1:16" x14ac:dyDescent="0.25">
      <c r="A4485" t="s">
        <v>3296</v>
      </c>
      <c r="B4485" t="s">
        <v>2931</v>
      </c>
      <c r="C4485">
        <v>11414</v>
      </c>
      <c r="D4485" t="str">
        <f>"1701259     "</f>
        <v xml:space="preserve">1701259     </v>
      </c>
      <c r="E4485" t="s">
        <v>1610</v>
      </c>
      <c r="F4485" t="s">
        <v>1611</v>
      </c>
      <c r="G4485">
        <v>188.39</v>
      </c>
      <c r="H4485">
        <v>250902</v>
      </c>
      <c r="I4485">
        <v>4600</v>
      </c>
      <c r="J4485" t="s">
        <v>278</v>
      </c>
      <c r="K4485">
        <v>309.04000000000002</v>
      </c>
      <c r="L4485">
        <v>38.28</v>
      </c>
      <c r="M4485">
        <v>66754</v>
      </c>
      <c r="N4485" t="s">
        <v>119</v>
      </c>
      <c r="O4485">
        <v>250904</v>
      </c>
      <c r="P4485">
        <v>150.11000000000001</v>
      </c>
    </row>
    <row r="4486" spans="1:16" x14ac:dyDescent="0.25">
      <c r="A4486" t="s">
        <v>3296</v>
      </c>
      <c r="B4486" t="s">
        <v>2931</v>
      </c>
      <c r="C4486">
        <v>11500</v>
      </c>
      <c r="D4486" t="str">
        <f>"1700862     "</f>
        <v xml:space="preserve">1700862     </v>
      </c>
      <c r="E4486" t="s">
        <v>1610</v>
      </c>
      <c r="F4486" t="s">
        <v>1611</v>
      </c>
      <c r="G4486">
        <v>248.49</v>
      </c>
      <c r="H4486">
        <v>250826</v>
      </c>
      <c r="I4486">
        <v>4600</v>
      </c>
      <c r="J4486" t="s">
        <v>278</v>
      </c>
      <c r="K4486">
        <v>248.49</v>
      </c>
      <c r="L4486">
        <v>50.49</v>
      </c>
      <c r="M4486">
        <v>66722</v>
      </c>
      <c r="N4486" t="s">
        <v>118</v>
      </c>
      <c r="O4486">
        <v>250908</v>
      </c>
      <c r="P4486">
        <v>198</v>
      </c>
    </row>
    <row r="4487" spans="1:16" x14ac:dyDescent="0.25">
      <c r="A4487" t="s">
        <v>3296</v>
      </c>
      <c r="B4487" t="s">
        <v>2931</v>
      </c>
      <c r="C4487">
        <v>11501</v>
      </c>
      <c r="D4487" t="str">
        <f>"9147653     "</f>
        <v xml:space="preserve">9147653     </v>
      </c>
      <c r="E4487" t="s">
        <v>1610</v>
      </c>
      <c r="F4487" t="s">
        <v>1611</v>
      </c>
      <c r="G4487">
        <v>-90.36</v>
      </c>
      <c r="H4487">
        <v>250831</v>
      </c>
      <c r="I4487">
        <v>4600</v>
      </c>
      <c r="J4487" t="s">
        <v>278</v>
      </c>
      <c r="K4487">
        <v>-90.36</v>
      </c>
      <c r="L4487">
        <v>-18.36</v>
      </c>
      <c r="M4487">
        <v>66722</v>
      </c>
      <c r="N4487" t="s">
        <v>118</v>
      </c>
      <c r="O4487">
        <v>250908</v>
      </c>
      <c r="P4487">
        <v>-72</v>
      </c>
    </row>
    <row r="4488" spans="1:16" x14ac:dyDescent="0.25">
      <c r="A4488" t="s">
        <v>3296</v>
      </c>
      <c r="B4488" t="s">
        <v>2931</v>
      </c>
      <c r="C4488">
        <v>11918</v>
      </c>
      <c r="D4488" t="str">
        <f>"1701409     "</f>
        <v xml:space="preserve">1701409     </v>
      </c>
      <c r="E4488" t="s">
        <v>1610</v>
      </c>
      <c r="F4488" t="s">
        <v>1611</v>
      </c>
      <c r="G4488">
        <v>204</v>
      </c>
      <c r="H4488">
        <v>250909</v>
      </c>
      <c r="I4488">
        <v>4600</v>
      </c>
      <c r="J4488" t="s">
        <v>278</v>
      </c>
      <c r="K4488">
        <v>204</v>
      </c>
      <c r="L4488">
        <v>41.45</v>
      </c>
      <c r="M4488">
        <v>66754</v>
      </c>
      <c r="N4488" t="s">
        <v>119</v>
      </c>
      <c r="O4488">
        <v>250912</v>
      </c>
      <c r="P4488">
        <v>162.55000000000001</v>
      </c>
    </row>
    <row r="4489" spans="1:16" x14ac:dyDescent="0.25">
      <c r="A4489" t="s">
        <v>3296</v>
      </c>
      <c r="B4489" t="s">
        <v>2931</v>
      </c>
      <c r="C4489">
        <v>12039</v>
      </c>
      <c r="D4489" t="str">
        <f>"1701408     "</f>
        <v xml:space="preserve">1701408     </v>
      </c>
      <c r="E4489" t="s">
        <v>1610</v>
      </c>
      <c r="F4489" t="s">
        <v>1611</v>
      </c>
      <c r="G4489">
        <v>289.39999999999998</v>
      </c>
      <c r="H4489">
        <v>250909</v>
      </c>
      <c r="I4489">
        <v>4600</v>
      </c>
      <c r="J4489" t="s">
        <v>278</v>
      </c>
      <c r="K4489">
        <v>289.39999999999998</v>
      </c>
      <c r="L4489">
        <v>58.8</v>
      </c>
      <c r="M4489">
        <v>65422</v>
      </c>
      <c r="N4489" t="s">
        <v>117</v>
      </c>
      <c r="O4489">
        <v>250915</v>
      </c>
      <c r="P4489">
        <v>230.6</v>
      </c>
    </row>
    <row r="4490" spans="1:16" x14ac:dyDescent="0.25">
      <c r="A4490" t="s">
        <v>3296</v>
      </c>
      <c r="B4490" t="s">
        <v>2931</v>
      </c>
      <c r="C4490">
        <v>12346</v>
      </c>
      <c r="D4490" t="str">
        <f>"1701802     "</f>
        <v xml:space="preserve">1701802     </v>
      </c>
      <c r="E4490" t="s">
        <v>1610</v>
      </c>
      <c r="F4490" t="s">
        <v>1611</v>
      </c>
      <c r="G4490">
        <v>373.43</v>
      </c>
      <c r="H4490">
        <v>250916</v>
      </c>
      <c r="I4490">
        <v>4600</v>
      </c>
      <c r="J4490" t="s">
        <v>278</v>
      </c>
      <c r="K4490">
        <v>373.43</v>
      </c>
      <c r="L4490">
        <v>75.88</v>
      </c>
      <c r="M4490">
        <v>66754</v>
      </c>
      <c r="N4490" t="s">
        <v>119</v>
      </c>
      <c r="O4490">
        <v>250919</v>
      </c>
      <c r="P4490">
        <v>297.55</v>
      </c>
    </row>
    <row r="4491" spans="1:16" x14ac:dyDescent="0.25">
      <c r="A4491" t="s">
        <v>3296</v>
      </c>
      <c r="B4491" t="s">
        <v>2931</v>
      </c>
      <c r="C4491">
        <v>12348</v>
      </c>
      <c r="D4491" t="str">
        <f>"9147695     "</f>
        <v xml:space="preserve">9147695     </v>
      </c>
      <c r="E4491" t="s">
        <v>1610</v>
      </c>
      <c r="F4491" t="s">
        <v>1611</v>
      </c>
      <c r="G4491">
        <v>-40.47</v>
      </c>
      <c r="H4491">
        <v>250916</v>
      </c>
      <c r="I4491">
        <v>4600</v>
      </c>
      <c r="J4491" t="s">
        <v>278</v>
      </c>
      <c r="K4491">
        <v>-40.47</v>
      </c>
      <c r="L4491">
        <v>-8.2200000000000006</v>
      </c>
      <c r="M4491">
        <v>66754</v>
      </c>
      <c r="N4491" t="s">
        <v>119</v>
      </c>
      <c r="O4491">
        <v>250919</v>
      </c>
      <c r="P4491">
        <v>-32.25</v>
      </c>
    </row>
    <row r="4492" spans="1:16" x14ac:dyDescent="0.25">
      <c r="A4492" t="s">
        <v>3296</v>
      </c>
      <c r="B4492" t="s">
        <v>2931</v>
      </c>
      <c r="C4492">
        <v>12757</v>
      </c>
      <c r="D4492" t="str">
        <f>"1702025     "</f>
        <v xml:space="preserve">1702025     </v>
      </c>
      <c r="E4492" t="s">
        <v>1610</v>
      </c>
      <c r="F4492" t="s">
        <v>1611</v>
      </c>
      <c r="G4492">
        <v>680.51</v>
      </c>
      <c r="H4492">
        <v>250923</v>
      </c>
      <c r="I4492">
        <v>4600</v>
      </c>
      <c r="J4492" t="s">
        <v>278</v>
      </c>
      <c r="K4492">
        <v>680.51</v>
      </c>
      <c r="L4492">
        <v>138.27000000000001</v>
      </c>
      <c r="M4492">
        <v>66754</v>
      </c>
      <c r="N4492" t="s">
        <v>119</v>
      </c>
      <c r="O4492">
        <v>250930</v>
      </c>
      <c r="P4492">
        <v>542.24</v>
      </c>
    </row>
    <row r="4493" spans="1:16" x14ac:dyDescent="0.25">
      <c r="A4493" t="s">
        <v>3296</v>
      </c>
      <c r="B4493" t="s">
        <v>2931</v>
      </c>
      <c r="C4493">
        <v>13376</v>
      </c>
      <c r="D4493" t="str">
        <f>"1702249     "</f>
        <v xml:space="preserve">1702249     </v>
      </c>
      <c r="E4493" t="s">
        <v>1610</v>
      </c>
      <c r="F4493" t="s">
        <v>1611</v>
      </c>
      <c r="G4493">
        <v>50.95</v>
      </c>
      <c r="H4493">
        <v>250930</v>
      </c>
      <c r="I4493">
        <v>4600</v>
      </c>
      <c r="J4493" t="s">
        <v>278</v>
      </c>
      <c r="K4493">
        <v>335.52</v>
      </c>
      <c r="L4493">
        <v>10.35</v>
      </c>
      <c r="M4493">
        <v>65422</v>
      </c>
      <c r="N4493" t="s">
        <v>117</v>
      </c>
      <c r="O4493">
        <v>251008</v>
      </c>
      <c r="P4493">
        <v>40.6</v>
      </c>
    </row>
    <row r="4494" spans="1:16" x14ac:dyDescent="0.25">
      <c r="A4494" t="s">
        <v>3296</v>
      </c>
      <c r="B4494" t="s">
        <v>2931</v>
      </c>
      <c r="C4494">
        <v>13376</v>
      </c>
      <c r="D4494" t="str">
        <f>"1702249     "</f>
        <v xml:space="preserve">1702249     </v>
      </c>
      <c r="E4494" t="s">
        <v>1610</v>
      </c>
      <c r="F4494" t="s">
        <v>1611</v>
      </c>
      <c r="G4494">
        <v>284.57</v>
      </c>
      <c r="H4494">
        <v>250930</v>
      </c>
      <c r="I4494">
        <v>4600</v>
      </c>
      <c r="J4494" t="s">
        <v>278</v>
      </c>
      <c r="K4494">
        <v>335.52</v>
      </c>
      <c r="L4494">
        <v>57.82</v>
      </c>
      <c r="M4494">
        <v>66754</v>
      </c>
      <c r="N4494" t="s">
        <v>119</v>
      </c>
      <c r="O4494">
        <v>251008</v>
      </c>
      <c r="P4494">
        <v>226.75</v>
      </c>
    </row>
    <row r="4495" spans="1:16" x14ac:dyDescent="0.25">
      <c r="A4495" t="s">
        <v>3296</v>
      </c>
      <c r="B4495" t="s">
        <v>2931</v>
      </c>
      <c r="C4495">
        <v>13736</v>
      </c>
      <c r="D4495" t="str">
        <f>"1702673     "</f>
        <v xml:space="preserve">1702673     </v>
      </c>
      <c r="E4495" t="s">
        <v>1610</v>
      </c>
      <c r="F4495" t="s">
        <v>1611</v>
      </c>
      <c r="G4495">
        <v>214.42</v>
      </c>
      <c r="H4495">
        <v>251007</v>
      </c>
      <c r="I4495">
        <v>4600</v>
      </c>
      <c r="J4495" t="s">
        <v>278</v>
      </c>
      <c r="K4495">
        <v>214.42</v>
      </c>
      <c r="L4495">
        <v>43.57</v>
      </c>
      <c r="M4495">
        <v>66754</v>
      </c>
      <c r="N4495" t="s">
        <v>119</v>
      </c>
      <c r="O4495">
        <v>251017</v>
      </c>
      <c r="P4495">
        <v>170.85</v>
      </c>
    </row>
    <row r="4496" spans="1:16" x14ac:dyDescent="0.25">
      <c r="A4496" t="s">
        <v>3296</v>
      </c>
      <c r="B4496" t="s">
        <v>2931</v>
      </c>
      <c r="C4496">
        <v>13943</v>
      </c>
      <c r="D4496" t="str">
        <f>"1702822     "</f>
        <v xml:space="preserve">1702822     </v>
      </c>
      <c r="E4496" t="s">
        <v>1610</v>
      </c>
      <c r="F4496" t="s">
        <v>1611</v>
      </c>
      <c r="G4496">
        <v>410.51</v>
      </c>
      <c r="H4496">
        <v>251014</v>
      </c>
      <c r="I4496">
        <v>4600</v>
      </c>
      <c r="J4496" t="s">
        <v>278</v>
      </c>
      <c r="K4496">
        <v>410.51</v>
      </c>
      <c r="L4496">
        <v>83.41</v>
      </c>
      <c r="M4496">
        <v>66754</v>
      </c>
      <c r="N4496" t="s">
        <v>119</v>
      </c>
      <c r="O4496">
        <v>251021</v>
      </c>
      <c r="P4496">
        <v>327.10000000000002</v>
      </c>
    </row>
    <row r="4497" spans="1:16" x14ac:dyDescent="0.25">
      <c r="A4497" t="s">
        <v>3296</v>
      </c>
      <c r="B4497" t="s">
        <v>2931</v>
      </c>
      <c r="C4497">
        <v>14141</v>
      </c>
      <c r="D4497" t="str">
        <f>"1703319     "</f>
        <v xml:space="preserve">1703319     </v>
      </c>
      <c r="E4497" t="s">
        <v>1610</v>
      </c>
      <c r="F4497" t="s">
        <v>1611</v>
      </c>
      <c r="G4497">
        <v>75.55</v>
      </c>
      <c r="H4497">
        <v>251021</v>
      </c>
      <c r="I4497">
        <v>4600</v>
      </c>
      <c r="J4497" t="s">
        <v>278</v>
      </c>
      <c r="K4497">
        <v>75.55</v>
      </c>
      <c r="L4497">
        <v>15.35</v>
      </c>
      <c r="M4497">
        <v>66754</v>
      </c>
      <c r="N4497" t="s">
        <v>119</v>
      </c>
      <c r="O4497">
        <v>251024</v>
      </c>
      <c r="P4497">
        <v>60.2</v>
      </c>
    </row>
    <row r="4498" spans="1:16" x14ac:dyDescent="0.25">
      <c r="A4498" t="s">
        <v>3296</v>
      </c>
      <c r="B4498" t="s">
        <v>2931</v>
      </c>
      <c r="C4498">
        <v>14285</v>
      </c>
      <c r="D4498" t="str">
        <f>"1703440     "</f>
        <v xml:space="preserve">1703440     </v>
      </c>
      <c r="E4498" t="s">
        <v>1610</v>
      </c>
      <c r="F4498" t="s">
        <v>1611</v>
      </c>
      <c r="G4498">
        <v>191.64</v>
      </c>
      <c r="H4498">
        <v>251026</v>
      </c>
      <c r="I4498">
        <v>4600</v>
      </c>
      <c r="J4498" t="s">
        <v>278</v>
      </c>
      <c r="K4498">
        <v>191.64</v>
      </c>
      <c r="L4498">
        <v>38.94</v>
      </c>
      <c r="M4498">
        <v>66754</v>
      </c>
      <c r="N4498" t="s">
        <v>119</v>
      </c>
      <c r="O4498">
        <v>251028</v>
      </c>
      <c r="P4498">
        <v>152.69999999999999</v>
      </c>
    </row>
    <row r="4499" spans="1:16" x14ac:dyDescent="0.25">
      <c r="A4499" t="s">
        <v>3296</v>
      </c>
      <c r="B4499" t="s">
        <v>2931</v>
      </c>
      <c r="C4499">
        <v>14761</v>
      </c>
      <c r="D4499" t="str">
        <f>"1703542     "</f>
        <v xml:space="preserve">1703542     </v>
      </c>
      <c r="E4499" t="s">
        <v>1610</v>
      </c>
      <c r="F4499" t="s">
        <v>1611</v>
      </c>
      <c r="G4499">
        <v>193.33</v>
      </c>
      <c r="H4499">
        <v>251028</v>
      </c>
      <c r="I4499">
        <v>4600</v>
      </c>
      <c r="J4499" t="s">
        <v>278</v>
      </c>
      <c r="K4499">
        <v>193.33</v>
      </c>
      <c r="L4499">
        <v>39.28</v>
      </c>
      <c r="M4499">
        <v>66754</v>
      </c>
      <c r="N4499" t="s">
        <v>119</v>
      </c>
      <c r="O4499">
        <v>251106</v>
      </c>
      <c r="P4499">
        <v>154.05000000000001</v>
      </c>
    </row>
    <row r="4500" spans="1:16" x14ac:dyDescent="0.25">
      <c r="A4500" t="s">
        <v>3296</v>
      </c>
      <c r="B4500" t="s">
        <v>2931</v>
      </c>
      <c r="C4500">
        <v>14998</v>
      </c>
      <c r="D4500" t="str">
        <f>"1703691     "</f>
        <v xml:space="preserve">1703691     </v>
      </c>
      <c r="E4500" t="s">
        <v>1610</v>
      </c>
      <c r="F4500" t="s">
        <v>1611</v>
      </c>
      <c r="G4500">
        <v>182.35</v>
      </c>
      <c r="H4500">
        <v>251104</v>
      </c>
      <c r="I4500">
        <v>4600</v>
      </c>
      <c r="J4500" t="s">
        <v>278</v>
      </c>
      <c r="K4500">
        <v>182.35</v>
      </c>
      <c r="L4500">
        <v>37.049999999999997</v>
      </c>
      <c r="M4500">
        <v>66754</v>
      </c>
      <c r="N4500" t="s">
        <v>119</v>
      </c>
      <c r="O4500">
        <v>251110</v>
      </c>
      <c r="P4500">
        <v>145.30000000000001</v>
      </c>
    </row>
    <row r="4501" spans="1:16" x14ac:dyDescent="0.25">
      <c r="A4501" t="s">
        <v>3296</v>
      </c>
      <c r="B4501" t="s">
        <v>2931</v>
      </c>
      <c r="C4501">
        <v>15402</v>
      </c>
      <c r="D4501" t="str">
        <f>"1704008     "</f>
        <v xml:space="preserve">1704008     </v>
      </c>
      <c r="E4501" t="s">
        <v>1610</v>
      </c>
      <c r="F4501" t="s">
        <v>1611</v>
      </c>
      <c r="G4501">
        <v>93.25</v>
      </c>
      <c r="H4501">
        <v>251111</v>
      </c>
      <c r="I4501">
        <v>4600</v>
      </c>
      <c r="J4501" t="s">
        <v>278</v>
      </c>
      <c r="K4501">
        <v>93.25</v>
      </c>
      <c r="L4501">
        <v>18.95</v>
      </c>
      <c r="M4501">
        <v>66754</v>
      </c>
      <c r="N4501" t="s">
        <v>119</v>
      </c>
      <c r="O4501">
        <v>251120</v>
      </c>
      <c r="P4501">
        <v>74.3</v>
      </c>
    </row>
    <row r="4502" spans="1:16" x14ac:dyDescent="0.25">
      <c r="A4502" t="s">
        <v>3296</v>
      </c>
      <c r="B4502" t="s">
        <v>2931</v>
      </c>
      <c r="C4502">
        <v>15743</v>
      </c>
      <c r="D4502" t="str">
        <f>"1704325     "</f>
        <v xml:space="preserve">1704325     </v>
      </c>
      <c r="E4502" t="s">
        <v>1610</v>
      </c>
      <c r="F4502" t="s">
        <v>1611</v>
      </c>
      <c r="G4502">
        <v>302.45999999999998</v>
      </c>
      <c r="H4502">
        <v>251118</v>
      </c>
      <c r="I4502">
        <v>4600</v>
      </c>
      <c r="J4502" t="s">
        <v>278</v>
      </c>
      <c r="K4502">
        <v>302.45999999999998</v>
      </c>
      <c r="L4502">
        <v>61.46</v>
      </c>
      <c r="M4502">
        <v>66754</v>
      </c>
      <c r="N4502" t="s">
        <v>119</v>
      </c>
      <c r="O4502">
        <v>251126</v>
      </c>
      <c r="P4502">
        <v>241</v>
      </c>
    </row>
    <row r="4503" spans="1:16" x14ac:dyDescent="0.25">
      <c r="A4503" t="s">
        <v>3296</v>
      </c>
      <c r="B4503" t="s">
        <v>2931</v>
      </c>
      <c r="C4503">
        <v>15850</v>
      </c>
      <c r="D4503" t="str">
        <f>"1704674     "</f>
        <v xml:space="preserve">1704674     </v>
      </c>
      <c r="E4503" t="s">
        <v>1610</v>
      </c>
      <c r="F4503" t="s">
        <v>1611</v>
      </c>
      <c r="G4503">
        <v>132.4</v>
      </c>
      <c r="H4503">
        <v>251125</v>
      </c>
      <c r="I4503">
        <v>4600</v>
      </c>
      <c r="J4503" t="s">
        <v>278</v>
      </c>
      <c r="K4503">
        <v>132.4</v>
      </c>
      <c r="L4503">
        <v>26.9</v>
      </c>
      <c r="M4503">
        <v>66754</v>
      </c>
      <c r="N4503" t="s">
        <v>119</v>
      </c>
      <c r="O4503">
        <v>251127</v>
      </c>
      <c r="P4503">
        <v>105.5</v>
      </c>
    </row>
    <row r="4504" spans="1:16" x14ac:dyDescent="0.25">
      <c r="A4504" t="s">
        <v>3296</v>
      </c>
      <c r="B4504" t="s">
        <v>2931</v>
      </c>
      <c r="C4504">
        <v>16462</v>
      </c>
      <c r="D4504" t="str">
        <f>"1704673     "</f>
        <v xml:space="preserve">1704673     </v>
      </c>
      <c r="E4504" t="s">
        <v>1610</v>
      </c>
      <c r="F4504" t="s">
        <v>1611</v>
      </c>
      <c r="G4504">
        <v>88.98</v>
      </c>
      <c r="H4504">
        <v>251125</v>
      </c>
      <c r="I4504">
        <v>4600</v>
      </c>
      <c r="J4504" t="s">
        <v>278</v>
      </c>
      <c r="K4504">
        <v>177.96</v>
      </c>
      <c r="L4504">
        <v>18.079999999999998</v>
      </c>
      <c r="M4504">
        <v>66722</v>
      </c>
      <c r="N4504" t="s">
        <v>118</v>
      </c>
      <c r="O4504">
        <v>251209</v>
      </c>
      <c r="P4504">
        <v>70.900000000000006</v>
      </c>
    </row>
    <row r="4505" spans="1:16" x14ac:dyDescent="0.25">
      <c r="A4505" t="s">
        <v>3296</v>
      </c>
      <c r="B4505" t="s">
        <v>2931</v>
      </c>
      <c r="C4505">
        <v>16462</v>
      </c>
      <c r="D4505" t="str">
        <f>"1704673     "</f>
        <v xml:space="preserve">1704673     </v>
      </c>
      <c r="E4505" t="s">
        <v>1610</v>
      </c>
      <c r="F4505" t="s">
        <v>1611</v>
      </c>
      <c r="G4505">
        <v>88.98</v>
      </c>
      <c r="H4505">
        <v>251125</v>
      </c>
      <c r="I4505">
        <v>4600</v>
      </c>
      <c r="J4505" t="s">
        <v>278</v>
      </c>
      <c r="K4505">
        <v>177.96</v>
      </c>
      <c r="L4505">
        <v>18.079999999999998</v>
      </c>
      <c r="M4505">
        <v>66754</v>
      </c>
      <c r="N4505" t="s">
        <v>119</v>
      </c>
      <c r="O4505">
        <v>251209</v>
      </c>
      <c r="P4505">
        <v>70.900000000000006</v>
      </c>
    </row>
    <row r="4506" spans="1:16" x14ac:dyDescent="0.25">
      <c r="A4506" t="s">
        <v>3296</v>
      </c>
      <c r="B4506" t="s">
        <v>2931</v>
      </c>
      <c r="C4506">
        <v>16601</v>
      </c>
      <c r="D4506" t="str">
        <f>"1705133     "</f>
        <v xml:space="preserve">1705133     </v>
      </c>
      <c r="E4506" t="s">
        <v>1610</v>
      </c>
      <c r="F4506" t="s">
        <v>1611</v>
      </c>
      <c r="G4506">
        <v>921.42</v>
      </c>
      <c r="H4506">
        <v>251202</v>
      </c>
      <c r="I4506">
        <v>4600</v>
      </c>
      <c r="J4506" t="s">
        <v>278</v>
      </c>
      <c r="K4506">
        <v>2529.52</v>
      </c>
      <c r="L4506">
        <v>187.22</v>
      </c>
      <c r="M4506">
        <v>66722</v>
      </c>
      <c r="N4506" t="s">
        <v>118</v>
      </c>
      <c r="O4506">
        <v>251210</v>
      </c>
      <c r="P4506">
        <v>734.2</v>
      </c>
    </row>
    <row r="4507" spans="1:16" x14ac:dyDescent="0.25">
      <c r="A4507" t="s">
        <v>3296</v>
      </c>
      <c r="B4507" t="s">
        <v>2931</v>
      </c>
      <c r="C4507">
        <v>16601</v>
      </c>
      <c r="D4507" t="str">
        <f>"1705133     "</f>
        <v xml:space="preserve">1705133     </v>
      </c>
      <c r="E4507" t="s">
        <v>1610</v>
      </c>
      <c r="F4507" t="s">
        <v>1611</v>
      </c>
      <c r="G4507">
        <v>1608.1</v>
      </c>
      <c r="H4507">
        <v>251202</v>
      </c>
      <c r="I4507">
        <v>4600</v>
      </c>
      <c r="J4507" t="s">
        <v>278</v>
      </c>
      <c r="K4507">
        <v>2529.52</v>
      </c>
      <c r="L4507">
        <v>326.75</v>
      </c>
      <c r="M4507">
        <v>66754</v>
      </c>
      <c r="N4507" t="s">
        <v>119</v>
      </c>
      <c r="O4507">
        <v>251210</v>
      </c>
      <c r="P4507">
        <v>1281.3499999999999</v>
      </c>
    </row>
    <row r="4508" spans="1:16" x14ac:dyDescent="0.25">
      <c r="A4508" t="s">
        <v>3296</v>
      </c>
      <c r="B4508" t="s">
        <v>2931</v>
      </c>
      <c r="C4508">
        <v>16649</v>
      </c>
      <c r="D4508" t="str">
        <f>"9147869     "</f>
        <v xml:space="preserve">9147869     </v>
      </c>
      <c r="E4508" t="s">
        <v>1610</v>
      </c>
      <c r="F4508" t="s">
        <v>1611</v>
      </c>
      <c r="G4508">
        <v>-31.37</v>
      </c>
      <c r="H4508">
        <v>251207</v>
      </c>
      <c r="I4508">
        <v>4600</v>
      </c>
      <c r="J4508" t="s">
        <v>278</v>
      </c>
      <c r="K4508">
        <v>-46.44</v>
      </c>
      <c r="L4508">
        <v>-6.37</v>
      </c>
      <c r="M4508">
        <v>66722</v>
      </c>
      <c r="N4508" t="s">
        <v>118</v>
      </c>
      <c r="O4508">
        <v>251211</v>
      </c>
      <c r="P4508">
        <v>-25</v>
      </c>
    </row>
    <row r="4509" spans="1:16" x14ac:dyDescent="0.25">
      <c r="A4509" t="s">
        <v>3296</v>
      </c>
      <c r="B4509" t="s">
        <v>2931</v>
      </c>
      <c r="C4509">
        <v>16649</v>
      </c>
      <c r="D4509" t="str">
        <f>"9147869     "</f>
        <v xml:space="preserve">9147869     </v>
      </c>
      <c r="E4509" t="s">
        <v>1610</v>
      </c>
      <c r="F4509" t="s">
        <v>1611</v>
      </c>
      <c r="G4509">
        <v>-15.07</v>
      </c>
      <c r="H4509">
        <v>251207</v>
      </c>
      <c r="I4509">
        <v>4600</v>
      </c>
      <c r="J4509" t="s">
        <v>278</v>
      </c>
      <c r="K4509">
        <v>-46.44</v>
      </c>
      <c r="L4509">
        <v>-3.06</v>
      </c>
      <c r="M4509">
        <v>66754</v>
      </c>
      <c r="N4509" t="s">
        <v>119</v>
      </c>
      <c r="O4509">
        <v>251211</v>
      </c>
      <c r="P4509">
        <v>-12.01</v>
      </c>
    </row>
    <row r="4510" spans="1:16" x14ac:dyDescent="0.25">
      <c r="A4510" t="s">
        <v>3296</v>
      </c>
      <c r="B4510" t="s">
        <v>2931</v>
      </c>
      <c r="C4510">
        <v>17012</v>
      </c>
      <c r="D4510" t="str">
        <f>"1705752     "</f>
        <v xml:space="preserve">1705752     </v>
      </c>
      <c r="E4510" t="s">
        <v>1610</v>
      </c>
      <c r="F4510" t="s">
        <v>1611</v>
      </c>
      <c r="G4510">
        <v>394.15</v>
      </c>
      <c r="H4510">
        <v>251209</v>
      </c>
      <c r="I4510">
        <v>4600</v>
      </c>
      <c r="J4510" t="s">
        <v>278</v>
      </c>
      <c r="K4510">
        <v>394.15</v>
      </c>
      <c r="L4510">
        <v>80.09</v>
      </c>
      <c r="M4510">
        <v>66754</v>
      </c>
      <c r="N4510" t="s">
        <v>119</v>
      </c>
      <c r="O4510">
        <v>251216</v>
      </c>
      <c r="P4510">
        <v>314.06</v>
      </c>
    </row>
    <row r="4511" spans="1:16" x14ac:dyDescent="0.25">
      <c r="A4511" t="s">
        <v>3296</v>
      </c>
      <c r="B4511" t="s">
        <v>2931</v>
      </c>
      <c r="C4511">
        <v>17362</v>
      </c>
      <c r="D4511" t="str">
        <f>"9147936     "</f>
        <v xml:space="preserve">9147936     </v>
      </c>
      <c r="E4511" t="s">
        <v>1610</v>
      </c>
      <c r="F4511" t="s">
        <v>1611</v>
      </c>
      <c r="G4511">
        <v>-14.06</v>
      </c>
      <c r="H4511">
        <v>251216</v>
      </c>
      <c r="I4511">
        <v>4600</v>
      </c>
      <c r="J4511" t="s">
        <v>278</v>
      </c>
      <c r="K4511">
        <v>-14.06</v>
      </c>
      <c r="L4511">
        <v>-2.86</v>
      </c>
      <c r="M4511">
        <v>66754</v>
      </c>
      <c r="N4511" t="s">
        <v>119</v>
      </c>
      <c r="O4511">
        <v>251219</v>
      </c>
      <c r="P4511">
        <v>-11.2</v>
      </c>
    </row>
    <row r="4512" spans="1:16" x14ac:dyDescent="0.25">
      <c r="A4512" t="s">
        <v>3296</v>
      </c>
      <c r="B4512" t="s">
        <v>2931</v>
      </c>
      <c r="C4512">
        <v>17366</v>
      </c>
      <c r="D4512" t="str">
        <f>"1706326     "</f>
        <v xml:space="preserve">1706326     </v>
      </c>
      <c r="E4512" t="s">
        <v>1610</v>
      </c>
      <c r="F4512" t="s">
        <v>1611</v>
      </c>
      <c r="G4512">
        <v>418.73</v>
      </c>
      <c r="H4512">
        <v>251216</v>
      </c>
      <c r="I4512">
        <v>4600</v>
      </c>
      <c r="J4512" t="s">
        <v>278</v>
      </c>
      <c r="K4512">
        <v>1680.26</v>
      </c>
      <c r="L4512">
        <v>85.08</v>
      </c>
      <c r="M4512">
        <v>66722</v>
      </c>
      <c r="N4512" t="s">
        <v>118</v>
      </c>
      <c r="O4512">
        <v>251219</v>
      </c>
      <c r="P4512">
        <v>333.65</v>
      </c>
    </row>
    <row r="4513" spans="1:16" x14ac:dyDescent="0.25">
      <c r="A4513" t="s">
        <v>3296</v>
      </c>
      <c r="B4513" t="s">
        <v>2931</v>
      </c>
      <c r="C4513">
        <v>17366</v>
      </c>
      <c r="D4513" t="str">
        <f>"1706326     "</f>
        <v xml:space="preserve">1706326     </v>
      </c>
      <c r="E4513" t="s">
        <v>1610</v>
      </c>
      <c r="F4513" t="s">
        <v>1611</v>
      </c>
      <c r="G4513">
        <v>1261.53</v>
      </c>
      <c r="H4513">
        <v>251216</v>
      </c>
      <c r="I4513">
        <v>4600</v>
      </c>
      <c r="J4513" t="s">
        <v>278</v>
      </c>
      <c r="K4513">
        <v>1680.26</v>
      </c>
      <c r="L4513">
        <v>256.33</v>
      </c>
      <c r="M4513">
        <v>66754</v>
      </c>
      <c r="N4513" t="s">
        <v>119</v>
      </c>
      <c r="O4513">
        <v>251219</v>
      </c>
      <c r="P4513">
        <v>1005.2</v>
      </c>
    </row>
    <row r="4514" spans="1:16" x14ac:dyDescent="0.25">
      <c r="A4514" t="s">
        <v>3296</v>
      </c>
      <c r="B4514" t="s">
        <v>2931</v>
      </c>
      <c r="C4514">
        <v>8663</v>
      </c>
      <c r="D4514" t="str">
        <f>"16001446    "</f>
        <v xml:space="preserve">16001446    </v>
      </c>
      <c r="E4514" t="s">
        <v>2884</v>
      </c>
      <c r="F4514" t="s">
        <v>2885</v>
      </c>
      <c r="G4514">
        <v>71.53</v>
      </c>
      <c r="H4514">
        <v>250531</v>
      </c>
      <c r="I4514">
        <v>4470</v>
      </c>
      <c r="J4514" t="s">
        <v>203</v>
      </c>
      <c r="K4514">
        <v>143.07</v>
      </c>
      <c r="L4514">
        <v>14.53</v>
      </c>
      <c r="M4514">
        <v>69702</v>
      </c>
      <c r="N4514" t="s">
        <v>124</v>
      </c>
      <c r="O4514">
        <v>250617</v>
      </c>
      <c r="P4514">
        <v>57</v>
      </c>
    </row>
    <row r="4515" spans="1:16" x14ac:dyDescent="0.25">
      <c r="A4515" t="s">
        <v>3296</v>
      </c>
      <c r="B4515" t="s">
        <v>2931</v>
      </c>
      <c r="C4515">
        <v>8663</v>
      </c>
      <c r="D4515" t="str">
        <f>"16001446    "</f>
        <v xml:space="preserve">16001446    </v>
      </c>
      <c r="E4515" t="s">
        <v>2884</v>
      </c>
      <c r="F4515" t="s">
        <v>2885</v>
      </c>
      <c r="G4515">
        <v>71.540000000000006</v>
      </c>
      <c r="H4515">
        <v>250531</v>
      </c>
      <c r="I4515">
        <v>4470</v>
      </c>
      <c r="J4515" t="s">
        <v>203</v>
      </c>
      <c r="K4515">
        <v>143.07</v>
      </c>
      <c r="L4515">
        <v>14.54</v>
      </c>
      <c r="M4515">
        <v>69704</v>
      </c>
      <c r="N4515" t="s">
        <v>89</v>
      </c>
      <c r="O4515">
        <v>250617</v>
      </c>
      <c r="P4515">
        <v>57</v>
      </c>
    </row>
    <row r="4516" spans="1:16" x14ac:dyDescent="0.25">
      <c r="A4516" t="s">
        <v>3296</v>
      </c>
      <c r="B4516" t="s">
        <v>2931</v>
      </c>
      <c r="C4516">
        <v>86</v>
      </c>
      <c r="D4516" t="str">
        <f>"48014196    "</f>
        <v xml:space="preserve">48014196    </v>
      </c>
      <c r="E4516" t="s">
        <v>2884</v>
      </c>
      <c r="F4516" t="s">
        <v>2885</v>
      </c>
      <c r="G4516">
        <v>14389.64</v>
      </c>
      <c r="H4516">
        <v>250101</v>
      </c>
      <c r="I4516">
        <v>4820</v>
      </c>
      <c r="J4516" t="s">
        <v>169</v>
      </c>
      <c r="K4516">
        <v>14389.64</v>
      </c>
      <c r="L4516">
        <v>2923.79</v>
      </c>
      <c r="M4516">
        <v>69502</v>
      </c>
      <c r="N4516" t="s">
        <v>2410</v>
      </c>
      <c r="O4516">
        <v>250107</v>
      </c>
      <c r="P4516">
        <v>11465.85</v>
      </c>
    </row>
    <row r="4517" spans="1:16" x14ac:dyDescent="0.25">
      <c r="A4517" t="s">
        <v>3296</v>
      </c>
      <c r="B4517" t="s">
        <v>2931</v>
      </c>
      <c r="C4517">
        <v>115</v>
      </c>
      <c r="D4517" t="str">
        <f>"48014197    "</f>
        <v xml:space="preserve">48014197    </v>
      </c>
      <c r="E4517" t="s">
        <v>2884</v>
      </c>
      <c r="F4517" t="s">
        <v>2885</v>
      </c>
      <c r="G4517">
        <v>647.53</v>
      </c>
      <c r="H4517">
        <v>250101</v>
      </c>
      <c r="I4517">
        <v>4820</v>
      </c>
      <c r="J4517" t="s">
        <v>169</v>
      </c>
      <c r="K4517">
        <v>647.53</v>
      </c>
      <c r="L4517">
        <v>131.57</v>
      </c>
      <c r="M4517">
        <v>69502</v>
      </c>
      <c r="N4517" t="s">
        <v>2410</v>
      </c>
      <c r="O4517">
        <v>250110</v>
      </c>
      <c r="P4517">
        <v>515.96</v>
      </c>
    </row>
    <row r="4518" spans="1:16" x14ac:dyDescent="0.25">
      <c r="A4518" t="s">
        <v>3296</v>
      </c>
      <c r="B4518" t="s">
        <v>2931</v>
      </c>
      <c r="C4518">
        <v>671</v>
      </c>
      <c r="D4518" t="str">
        <f>"48014254    "</f>
        <v xml:space="preserve">48014254    </v>
      </c>
      <c r="E4518" t="s">
        <v>2884</v>
      </c>
      <c r="F4518" t="s">
        <v>2885</v>
      </c>
      <c r="G4518">
        <v>14173.8</v>
      </c>
      <c r="H4518">
        <v>250201</v>
      </c>
      <c r="I4518">
        <v>4820</v>
      </c>
      <c r="J4518" t="s">
        <v>169</v>
      </c>
      <c r="K4518">
        <v>14389.64</v>
      </c>
      <c r="L4518">
        <v>2879.94</v>
      </c>
      <c r="M4518">
        <v>69502</v>
      </c>
      <c r="N4518" t="s">
        <v>2410</v>
      </c>
      <c r="O4518">
        <v>250127</v>
      </c>
      <c r="P4518">
        <v>11293.86</v>
      </c>
    </row>
    <row r="4519" spans="1:16" x14ac:dyDescent="0.25">
      <c r="A4519" t="s">
        <v>3296</v>
      </c>
      <c r="B4519" t="s">
        <v>2931</v>
      </c>
      <c r="C4519">
        <v>671</v>
      </c>
      <c r="D4519" t="str">
        <f>"48014254    "</f>
        <v xml:space="preserve">48014254    </v>
      </c>
      <c r="E4519" t="s">
        <v>2884</v>
      </c>
      <c r="F4519" t="s">
        <v>2885</v>
      </c>
      <c r="G4519">
        <v>215.84</v>
      </c>
      <c r="H4519">
        <v>250201</v>
      </c>
      <c r="I4519">
        <v>4820</v>
      </c>
      <c r="J4519" t="s">
        <v>169</v>
      </c>
      <c r="K4519">
        <v>14389.64</v>
      </c>
      <c r="L4519">
        <v>43.86</v>
      </c>
      <c r="M4519">
        <v>69809</v>
      </c>
      <c r="N4519" t="s">
        <v>2900</v>
      </c>
      <c r="O4519">
        <v>250127</v>
      </c>
      <c r="P4519">
        <v>171.98</v>
      </c>
    </row>
    <row r="4520" spans="1:16" x14ac:dyDescent="0.25">
      <c r="A4520" t="s">
        <v>3296</v>
      </c>
      <c r="B4520" t="s">
        <v>2931</v>
      </c>
      <c r="C4520">
        <v>801</v>
      </c>
      <c r="D4520" t="str">
        <f>"48014255    "</f>
        <v xml:space="preserve">48014255    </v>
      </c>
      <c r="E4520" t="s">
        <v>2884</v>
      </c>
      <c r="F4520" t="s">
        <v>2885</v>
      </c>
      <c r="G4520">
        <v>647.53</v>
      </c>
      <c r="H4520">
        <v>250201</v>
      </c>
      <c r="I4520">
        <v>4820</v>
      </c>
      <c r="J4520" t="s">
        <v>169</v>
      </c>
      <c r="K4520">
        <v>647.53</v>
      </c>
      <c r="L4520">
        <v>131.57</v>
      </c>
      <c r="M4520">
        <v>69502</v>
      </c>
      <c r="N4520" t="s">
        <v>2410</v>
      </c>
      <c r="O4520">
        <v>250129</v>
      </c>
      <c r="P4520">
        <v>515.96</v>
      </c>
    </row>
    <row r="4521" spans="1:16" x14ac:dyDescent="0.25">
      <c r="A4521" t="s">
        <v>3296</v>
      </c>
      <c r="B4521" t="s">
        <v>2931</v>
      </c>
      <c r="C4521">
        <v>2236</v>
      </c>
      <c r="D4521" t="str">
        <f>"48014304    "</f>
        <v xml:space="preserve">48014304    </v>
      </c>
      <c r="E4521" t="s">
        <v>2884</v>
      </c>
      <c r="F4521" t="s">
        <v>2885</v>
      </c>
      <c r="G4521">
        <v>14245.74</v>
      </c>
      <c r="H4521">
        <v>250220</v>
      </c>
      <c r="I4521">
        <v>4820</v>
      </c>
      <c r="J4521" t="s">
        <v>169</v>
      </c>
      <c r="K4521">
        <v>14389.64</v>
      </c>
      <c r="L4521">
        <v>2894.55</v>
      </c>
      <c r="M4521">
        <v>69502</v>
      </c>
      <c r="N4521" t="s">
        <v>2410</v>
      </c>
      <c r="O4521">
        <v>250221</v>
      </c>
      <c r="P4521">
        <v>11351.19</v>
      </c>
    </row>
    <row r="4522" spans="1:16" x14ac:dyDescent="0.25">
      <c r="A4522" t="s">
        <v>3296</v>
      </c>
      <c r="B4522" t="s">
        <v>2931</v>
      </c>
      <c r="C4522">
        <v>2236</v>
      </c>
      <c r="D4522" t="str">
        <f>"48014304    "</f>
        <v xml:space="preserve">48014304    </v>
      </c>
      <c r="E4522" t="s">
        <v>2884</v>
      </c>
      <c r="F4522" t="s">
        <v>2885</v>
      </c>
      <c r="G4522">
        <v>143.9</v>
      </c>
      <c r="H4522">
        <v>250220</v>
      </c>
      <c r="I4522">
        <v>4820</v>
      </c>
      <c r="J4522" t="s">
        <v>169</v>
      </c>
      <c r="K4522">
        <v>14389.64</v>
      </c>
      <c r="L4522">
        <v>29.24</v>
      </c>
      <c r="M4522">
        <v>69801</v>
      </c>
      <c r="N4522" t="s">
        <v>1077</v>
      </c>
      <c r="O4522">
        <v>250221</v>
      </c>
      <c r="P4522">
        <v>114.66</v>
      </c>
    </row>
    <row r="4523" spans="1:16" x14ac:dyDescent="0.25">
      <c r="A4523" t="s">
        <v>3296</v>
      </c>
      <c r="B4523" t="s">
        <v>2931</v>
      </c>
      <c r="C4523">
        <v>2421</v>
      </c>
      <c r="D4523" t="str">
        <f>"48014305    "</f>
        <v xml:space="preserve">48014305    </v>
      </c>
      <c r="E4523" t="s">
        <v>2884</v>
      </c>
      <c r="F4523" t="s">
        <v>2885</v>
      </c>
      <c r="G4523">
        <v>615.15</v>
      </c>
      <c r="H4523">
        <v>250301</v>
      </c>
      <c r="I4523">
        <v>4820</v>
      </c>
      <c r="J4523" t="s">
        <v>169</v>
      </c>
      <c r="K4523">
        <v>647.53</v>
      </c>
      <c r="L4523">
        <v>124.99</v>
      </c>
      <c r="M4523">
        <v>69502</v>
      </c>
      <c r="N4523" t="s">
        <v>2410</v>
      </c>
      <c r="O4523">
        <v>250225</v>
      </c>
      <c r="P4523">
        <v>490.16</v>
      </c>
    </row>
    <row r="4524" spans="1:16" x14ac:dyDescent="0.25">
      <c r="A4524" t="s">
        <v>3296</v>
      </c>
      <c r="B4524" t="s">
        <v>2931</v>
      </c>
      <c r="C4524">
        <v>2421</v>
      </c>
      <c r="D4524" t="str">
        <f>"48014305    "</f>
        <v xml:space="preserve">48014305    </v>
      </c>
      <c r="E4524" t="s">
        <v>2884</v>
      </c>
      <c r="F4524" t="s">
        <v>2885</v>
      </c>
      <c r="G4524">
        <v>32.380000000000003</v>
      </c>
      <c r="H4524">
        <v>250301</v>
      </c>
      <c r="I4524">
        <v>4820</v>
      </c>
      <c r="J4524" t="s">
        <v>169</v>
      </c>
      <c r="K4524">
        <v>647.53</v>
      </c>
      <c r="L4524">
        <v>6.58</v>
      </c>
      <c r="M4524">
        <v>69801</v>
      </c>
      <c r="N4524" t="s">
        <v>1077</v>
      </c>
      <c r="O4524">
        <v>250225</v>
      </c>
      <c r="P4524">
        <v>25.8</v>
      </c>
    </row>
    <row r="4525" spans="1:16" x14ac:dyDescent="0.25">
      <c r="A4525" t="s">
        <v>3296</v>
      </c>
      <c r="B4525" t="s">
        <v>2931</v>
      </c>
      <c r="C4525">
        <v>4079</v>
      </c>
      <c r="D4525" t="str">
        <f>"48014375    "</f>
        <v xml:space="preserve">48014375    </v>
      </c>
      <c r="E4525" t="s">
        <v>2884</v>
      </c>
      <c r="F4525" t="s">
        <v>2885</v>
      </c>
      <c r="G4525">
        <v>14389.64</v>
      </c>
      <c r="H4525">
        <v>250324</v>
      </c>
      <c r="I4525">
        <v>4820</v>
      </c>
      <c r="J4525" t="s">
        <v>169</v>
      </c>
      <c r="K4525">
        <v>14389.64</v>
      </c>
      <c r="L4525">
        <v>2923.79</v>
      </c>
      <c r="M4525">
        <v>69502</v>
      </c>
      <c r="N4525" t="s">
        <v>2410</v>
      </c>
      <c r="O4525">
        <v>250407</v>
      </c>
      <c r="P4525">
        <v>11465.85</v>
      </c>
    </row>
    <row r="4526" spans="1:16" x14ac:dyDescent="0.25">
      <c r="A4526" t="s">
        <v>3296</v>
      </c>
      <c r="B4526" t="s">
        <v>2931</v>
      </c>
      <c r="C4526">
        <v>4553</v>
      </c>
      <c r="D4526" t="str">
        <f>"48014376    "</f>
        <v xml:space="preserve">48014376    </v>
      </c>
      <c r="E4526" t="s">
        <v>2884</v>
      </c>
      <c r="F4526" t="s">
        <v>2885</v>
      </c>
      <c r="G4526">
        <v>647.53</v>
      </c>
      <c r="H4526">
        <v>250401</v>
      </c>
      <c r="I4526">
        <v>4820</v>
      </c>
      <c r="J4526" t="s">
        <v>169</v>
      </c>
      <c r="K4526">
        <v>647.53</v>
      </c>
      <c r="L4526">
        <v>131.57</v>
      </c>
      <c r="M4526">
        <v>69502</v>
      </c>
      <c r="N4526" t="s">
        <v>2410</v>
      </c>
      <c r="O4526">
        <v>250414</v>
      </c>
      <c r="P4526">
        <v>515.96</v>
      </c>
    </row>
    <row r="4527" spans="1:16" x14ac:dyDescent="0.25">
      <c r="A4527" t="s">
        <v>3296</v>
      </c>
      <c r="B4527" t="s">
        <v>2931</v>
      </c>
      <c r="C4527">
        <v>5603</v>
      </c>
      <c r="D4527" t="str">
        <f>"48014440    "</f>
        <v xml:space="preserve">48014440    </v>
      </c>
      <c r="E4527" t="s">
        <v>2884</v>
      </c>
      <c r="F4527" t="s">
        <v>2885</v>
      </c>
      <c r="G4527">
        <v>14389.64</v>
      </c>
      <c r="H4527">
        <v>250501</v>
      </c>
      <c r="I4527">
        <v>4820</v>
      </c>
      <c r="J4527" t="s">
        <v>169</v>
      </c>
      <c r="K4527">
        <v>14389.64</v>
      </c>
      <c r="L4527">
        <v>2923.79</v>
      </c>
      <c r="M4527">
        <v>69501</v>
      </c>
      <c r="N4527" t="s">
        <v>123</v>
      </c>
      <c r="O4527">
        <v>250425</v>
      </c>
      <c r="P4527">
        <v>11465.85</v>
      </c>
    </row>
    <row r="4528" spans="1:16" x14ac:dyDescent="0.25">
      <c r="A4528" t="s">
        <v>3296</v>
      </c>
      <c r="B4528" t="s">
        <v>2931</v>
      </c>
      <c r="C4528">
        <v>5861</v>
      </c>
      <c r="D4528" t="str">
        <f>"48014441    "</f>
        <v xml:space="preserve">48014441    </v>
      </c>
      <c r="E4528" t="s">
        <v>2884</v>
      </c>
      <c r="F4528" t="s">
        <v>2885</v>
      </c>
      <c r="G4528">
        <v>647.53</v>
      </c>
      <c r="H4528">
        <v>250501</v>
      </c>
      <c r="I4528">
        <v>4820</v>
      </c>
      <c r="J4528" t="s">
        <v>169</v>
      </c>
      <c r="K4528">
        <v>647.53</v>
      </c>
      <c r="L4528">
        <v>131.57</v>
      </c>
      <c r="M4528">
        <v>69502</v>
      </c>
      <c r="N4528" t="s">
        <v>2410</v>
      </c>
      <c r="O4528">
        <v>250505</v>
      </c>
      <c r="P4528">
        <v>515.96</v>
      </c>
    </row>
    <row r="4529" spans="1:16" x14ac:dyDescent="0.25">
      <c r="A4529" t="s">
        <v>3296</v>
      </c>
      <c r="B4529" t="s">
        <v>2931</v>
      </c>
      <c r="C4529">
        <v>6463</v>
      </c>
      <c r="D4529" t="str">
        <f>"48014561    "</f>
        <v xml:space="preserve">48014561    </v>
      </c>
      <c r="E4529" t="s">
        <v>2884</v>
      </c>
      <c r="F4529" t="s">
        <v>2885</v>
      </c>
      <c r="G4529">
        <v>30</v>
      </c>
      <c r="H4529">
        <v>250423</v>
      </c>
      <c r="I4529">
        <v>4820</v>
      </c>
      <c r="J4529" t="s">
        <v>169</v>
      </c>
      <c r="K4529">
        <v>30</v>
      </c>
      <c r="L4529">
        <v>6.1</v>
      </c>
      <c r="M4529">
        <v>69502</v>
      </c>
      <c r="N4529" t="s">
        <v>2410</v>
      </c>
      <c r="O4529">
        <v>250513</v>
      </c>
      <c r="P4529">
        <v>23.9</v>
      </c>
    </row>
    <row r="4530" spans="1:16" x14ac:dyDescent="0.25">
      <c r="A4530" t="s">
        <v>3296</v>
      </c>
      <c r="B4530" t="s">
        <v>2931</v>
      </c>
      <c r="C4530">
        <v>7387</v>
      </c>
      <c r="D4530" t="str">
        <f>"48014636    "</f>
        <v xml:space="preserve">48014636    </v>
      </c>
      <c r="E4530" t="s">
        <v>2884</v>
      </c>
      <c r="F4530" t="s">
        <v>2885</v>
      </c>
      <c r="G4530">
        <v>14389.64</v>
      </c>
      <c r="H4530">
        <v>250601</v>
      </c>
      <c r="I4530">
        <v>4820</v>
      </c>
      <c r="J4530" t="s">
        <v>169</v>
      </c>
      <c r="K4530">
        <v>14389.64</v>
      </c>
      <c r="L4530">
        <v>2923.79</v>
      </c>
      <c r="M4530">
        <v>69502</v>
      </c>
      <c r="N4530" t="s">
        <v>2410</v>
      </c>
      <c r="O4530">
        <v>250603</v>
      </c>
      <c r="P4530">
        <v>11465.85</v>
      </c>
    </row>
    <row r="4531" spans="1:16" x14ac:dyDescent="0.25">
      <c r="A4531" t="s">
        <v>3296</v>
      </c>
      <c r="B4531" t="s">
        <v>2931</v>
      </c>
      <c r="C4531">
        <v>8141</v>
      </c>
      <c r="D4531" t="str">
        <f>"48014637    "</f>
        <v xml:space="preserve">48014637    </v>
      </c>
      <c r="E4531" t="s">
        <v>2884</v>
      </c>
      <c r="F4531" t="s">
        <v>2885</v>
      </c>
      <c r="G4531">
        <v>647.53</v>
      </c>
      <c r="H4531">
        <v>250601</v>
      </c>
      <c r="I4531">
        <v>4820</v>
      </c>
      <c r="J4531" t="s">
        <v>169</v>
      </c>
      <c r="K4531">
        <v>647.53</v>
      </c>
      <c r="L4531">
        <v>131.57</v>
      </c>
      <c r="M4531">
        <v>69502</v>
      </c>
      <c r="N4531" t="s">
        <v>2410</v>
      </c>
      <c r="O4531">
        <v>250611</v>
      </c>
      <c r="P4531">
        <v>515.96</v>
      </c>
    </row>
    <row r="4532" spans="1:16" x14ac:dyDescent="0.25">
      <c r="A4532" t="s">
        <v>3296</v>
      </c>
      <c r="B4532" t="s">
        <v>2931</v>
      </c>
      <c r="C4532">
        <v>9267</v>
      </c>
      <c r="D4532" t="str">
        <f>"48014693    "</f>
        <v xml:space="preserve">48014693    </v>
      </c>
      <c r="E4532" t="s">
        <v>2884</v>
      </c>
      <c r="F4532" t="s">
        <v>2885</v>
      </c>
      <c r="G4532">
        <v>14389.64</v>
      </c>
      <c r="H4532">
        <v>250701</v>
      </c>
      <c r="I4532">
        <v>4820</v>
      </c>
      <c r="J4532" t="s">
        <v>169</v>
      </c>
      <c r="K4532">
        <v>14389.64</v>
      </c>
      <c r="L4532">
        <v>2923.79</v>
      </c>
      <c r="M4532">
        <v>69502</v>
      </c>
      <c r="N4532" t="s">
        <v>2410</v>
      </c>
      <c r="O4532">
        <v>250701</v>
      </c>
      <c r="P4532">
        <v>11465.85</v>
      </c>
    </row>
    <row r="4533" spans="1:16" x14ac:dyDescent="0.25">
      <c r="A4533" t="s">
        <v>3296</v>
      </c>
      <c r="B4533" t="s">
        <v>2931</v>
      </c>
      <c r="C4533">
        <v>9274</v>
      </c>
      <c r="D4533" t="str">
        <f>"48014694    "</f>
        <v xml:space="preserve">48014694    </v>
      </c>
      <c r="E4533" t="s">
        <v>2884</v>
      </c>
      <c r="F4533" t="s">
        <v>2885</v>
      </c>
      <c r="G4533">
        <v>647.53</v>
      </c>
      <c r="H4533">
        <v>250701</v>
      </c>
      <c r="I4533">
        <v>4820</v>
      </c>
      <c r="J4533" t="s">
        <v>169</v>
      </c>
      <c r="K4533">
        <v>647.53</v>
      </c>
      <c r="L4533">
        <v>131.57</v>
      </c>
      <c r="M4533">
        <v>69502</v>
      </c>
      <c r="N4533" t="s">
        <v>2410</v>
      </c>
      <c r="O4533">
        <v>250701</v>
      </c>
      <c r="P4533">
        <v>515.96</v>
      </c>
    </row>
    <row r="4534" spans="1:16" x14ac:dyDescent="0.25">
      <c r="A4534" t="s">
        <v>3296</v>
      </c>
      <c r="B4534" t="s">
        <v>2931</v>
      </c>
      <c r="C4534">
        <v>9799</v>
      </c>
      <c r="D4534" t="str">
        <f>"48014757    "</f>
        <v xml:space="preserve">48014757    </v>
      </c>
      <c r="E4534" t="s">
        <v>2884</v>
      </c>
      <c r="F4534" t="s">
        <v>2885</v>
      </c>
      <c r="G4534">
        <v>14389.64</v>
      </c>
      <c r="H4534">
        <v>250801</v>
      </c>
      <c r="I4534">
        <v>4820</v>
      </c>
      <c r="J4534" t="s">
        <v>169</v>
      </c>
      <c r="K4534">
        <v>14389.64</v>
      </c>
      <c r="L4534">
        <v>2923.79</v>
      </c>
      <c r="M4534">
        <v>69502</v>
      </c>
      <c r="N4534" t="s">
        <v>2410</v>
      </c>
      <c r="O4534">
        <v>250729</v>
      </c>
      <c r="P4534">
        <v>11465.85</v>
      </c>
    </row>
    <row r="4535" spans="1:16" x14ac:dyDescent="0.25">
      <c r="A4535" t="s">
        <v>3296</v>
      </c>
      <c r="B4535" t="s">
        <v>2931</v>
      </c>
      <c r="C4535">
        <v>9919</v>
      </c>
      <c r="D4535" t="str">
        <f>"48014758    "</f>
        <v xml:space="preserve">48014758    </v>
      </c>
      <c r="E4535" t="s">
        <v>2884</v>
      </c>
      <c r="F4535" t="s">
        <v>2885</v>
      </c>
      <c r="G4535">
        <v>647.53</v>
      </c>
      <c r="H4535">
        <v>250801</v>
      </c>
      <c r="I4535">
        <v>4820</v>
      </c>
      <c r="J4535" t="s">
        <v>169</v>
      </c>
      <c r="K4535">
        <v>647.53</v>
      </c>
      <c r="L4535">
        <v>131.57</v>
      </c>
      <c r="M4535">
        <v>69502</v>
      </c>
      <c r="N4535" t="s">
        <v>2410</v>
      </c>
      <c r="O4535">
        <v>250804</v>
      </c>
      <c r="P4535">
        <v>515.96</v>
      </c>
    </row>
    <row r="4536" spans="1:16" x14ac:dyDescent="0.25">
      <c r="A4536" t="s">
        <v>3296</v>
      </c>
      <c r="B4536" t="s">
        <v>2931</v>
      </c>
      <c r="C4536">
        <v>10626</v>
      </c>
      <c r="D4536" t="str">
        <f>"48014809    "</f>
        <v xml:space="preserve">48014809    </v>
      </c>
      <c r="E4536" t="s">
        <v>2884</v>
      </c>
      <c r="F4536" t="s">
        <v>2885</v>
      </c>
      <c r="G4536">
        <v>14389.64</v>
      </c>
      <c r="H4536">
        <v>250901</v>
      </c>
      <c r="I4536">
        <v>4820</v>
      </c>
      <c r="J4536" t="s">
        <v>169</v>
      </c>
      <c r="K4536">
        <v>14389.64</v>
      </c>
      <c r="L4536">
        <v>2923.79</v>
      </c>
      <c r="M4536">
        <v>69502</v>
      </c>
      <c r="N4536" t="s">
        <v>2410</v>
      </c>
      <c r="O4536">
        <v>250820</v>
      </c>
      <c r="P4536">
        <v>11465.85</v>
      </c>
    </row>
    <row r="4537" spans="1:16" x14ac:dyDescent="0.25">
      <c r="A4537" t="s">
        <v>3296</v>
      </c>
      <c r="B4537" t="s">
        <v>2931</v>
      </c>
      <c r="C4537">
        <v>10733</v>
      </c>
      <c r="D4537" t="str">
        <f>"48014810    "</f>
        <v xml:space="preserve">48014810    </v>
      </c>
      <c r="E4537" t="s">
        <v>2884</v>
      </c>
      <c r="F4537" t="s">
        <v>2885</v>
      </c>
      <c r="G4537">
        <v>647.53</v>
      </c>
      <c r="H4537">
        <v>250901</v>
      </c>
      <c r="I4537">
        <v>4820</v>
      </c>
      <c r="J4537" t="s">
        <v>169</v>
      </c>
      <c r="K4537">
        <v>647.53</v>
      </c>
      <c r="L4537">
        <v>131.57</v>
      </c>
      <c r="M4537">
        <v>69502</v>
      </c>
      <c r="N4537" t="s">
        <v>2410</v>
      </c>
      <c r="O4537">
        <v>250821</v>
      </c>
      <c r="P4537">
        <v>515.96</v>
      </c>
    </row>
    <row r="4538" spans="1:16" x14ac:dyDescent="0.25">
      <c r="A4538" t="s">
        <v>3296</v>
      </c>
      <c r="B4538" t="s">
        <v>2931</v>
      </c>
      <c r="C4538">
        <v>12653</v>
      </c>
      <c r="D4538" t="str">
        <f>"48014876    "</f>
        <v xml:space="preserve">48014876    </v>
      </c>
      <c r="E4538" t="s">
        <v>2884</v>
      </c>
      <c r="F4538" t="s">
        <v>2885</v>
      </c>
      <c r="G4538">
        <v>14389.64</v>
      </c>
      <c r="H4538">
        <v>251001</v>
      </c>
      <c r="I4538">
        <v>4820</v>
      </c>
      <c r="J4538" t="s">
        <v>169</v>
      </c>
      <c r="K4538">
        <v>14389.64</v>
      </c>
      <c r="L4538">
        <v>2923.79</v>
      </c>
      <c r="M4538">
        <v>69502</v>
      </c>
      <c r="N4538" t="s">
        <v>2410</v>
      </c>
      <c r="O4538">
        <v>250929</v>
      </c>
      <c r="P4538">
        <v>11465.85</v>
      </c>
    </row>
    <row r="4539" spans="1:16" x14ac:dyDescent="0.25">
      <c r="A4539" t="s">
        <v>3296</v>
      </c>
      <c r="B4539" t="s">
        <v>2931</v>
      </c>
      <c r="C4539">
        <v>12770</v>
      </c>
      <c r="D4539" t="str">
        <f>"48014877    "</f>
        <v xml:space="preserve">48014877    </v>
      </c>
      <c r="E4539" t="s">
        <v>2884</v>
      </c>
      <c r="F4539" t="s">
        <v>2885</v>
      </c>
      <c r="G4539">
        <v>647.53</v>
      </c>
      <c r="H4539">
        <v>251001</v>
      </c>
      <c r="I4539">
        <v>4820</v>
      </c>
      <c r="J4539" t="s">
        <v>169</v>
      </c>
      <c r="K4539">
        <v>647.53</v>
      </c>
      <c r="L4539">
        <v>131.57</v>
      </c>
      <c r="M4539">
        <v>69502</v>
      </c>
      <c r="N4539" t="s">
        <v>2410</v>
      </c>
      <c r="O4539">
        <v>250930</v>
      </c>
      <c r="P4539">
        <v>515.96</v>
      </c>
    </row>
    <row r="4540" spans="1:16" x14ac:dyDescent="0.25">
      <c r="A4540" t="s">
        <v>3296</v>
      </c>
      <c r="B4540" t="s">
        <v>2931</v>
      </c>
      <c r="C4540">
        <v>14004</v>
      </c>
      <c r="D4540" t="str">
        <f>"48014928    "</f>
        <v xml:space="preserve">48014928    </v>
      </c>
      <c r="E4540" t="s">
        <v>2884</v>
      </c>
      <c r="F4540" t="s">
        <v>2885</v>
      </c>
      <c r="G4540">
        <v>14389.64</v>
      </c>
      <c r="H4540">
        <v>251101</v>
      </c>
      <c r="I4540">
        <v>4820</v>
      </c>
      <c r="J4540" t="s">
        <v>169</v>
      </c>
      <c r="K4540">
        <v>14389.64</v>
      </c>
      <c r="L4540">
        <v>2923.79</v>
      </c>
      <c r="M4540">
        <v>69502</v>
      </c>
      <c r="N4540" t="s">
        <v>2410</v>
      </c>
      <c r="O4540">
        <v>251021</v>
      </c>
      <c r="P4540">
        <v>11465.85</v>
      </c>
    </row>
    <row r="4541" spans="1:16" x14ac:dyDescent="0.25">
      <c r="A4541" t="s">
        <v>3296</v>
      </c>
      <c r="B4541" t="s">
        <v>2931</v>
      </c>
      <c r="C4541">
        <v>14235</v>
      </c>
      <c r="D4541" t="str">
        <f>"48014929    "</f>
        <v xml:space="preserve">48014929    </v>
      </c>
      <c r="E4541" t="s">
        <v>2884</v>
      </c>
      <c r="F4541" t="s">
        <v>2885</v>
      </c>
      <c r="G4541">
        <v>647.53</v>
      </c>
      <c r="H4541">
        <v>251101</v>
      </c>
      <c r="I4541">
        <v>4820</v>
      </c>
      <c r="J4541" t="s">
        <v>169</v>
      </c>
      <c r="K4541">
        <v>647.53</v>
      </c>
      <c r="L4541">
        <v>131.57</v>
      </c>
      <c r="M4541">
        <v>69502</v>
      </c>
      <c r="N4541" t="s">
        <v>2410</v>
      </c>
      <c r="O4541">
        <v>251027</v>
      </c>
      <c r="P4541">
        <v>515.96</v>
      </c>
    </row>
    <row r="4542" spans="1:16" x14ac:dyDescent="0.25">
      <c r="A4542" t="s">
        <v>3296</v>
      </c>
      <c r="B4542" t="s">
        <v>2931</v>
      </c>
      <c r="C4542">
        <v>15854</v>
      </c>
      <c r="D4542" t="str">
        <f>"48014978    "</f>
        <v xml:space="preserve">48014978    </v>
      </c>
      <c r="E4542" t="s">
        <v>2884</v>
      </c>
      <c r="F4542" t="s">
        <v>2885</v>
      </c>
      <c r="G4542">
        <v>647.53</v>
      </c>
      <c r="H4542">
        <v>251201</v>
      </c>
      <c r="I4542">
        <v>4820</v>
      </c>
      <c r="J4542" t="s">
        <v>169</v>
      </c>
      <c r="K4542">
        <v>647.53</v>
      </c>
      <c r="L4542">
        <v>131.57</v>
      </c>
      <c r="M4542">
        <v>69502</v>
      </c>
      <c r="N4542" t="s">
        <v>2410</v>
      </c>
      <c r="O4542">
        <v>251127</v>
      </c>
      <c r="P4542">
        <v>515.96</v>
      </c>
    </row>
    <row r="4543" spans="1:16" x14ac:dyDescent="0.25">
      <c r="A4543" t="s">
        <v>3296</v>
      </c>
      <c r="B4543" t="s">
        <v>2931</v>
      </c>
      <c r="C4543">
        <v>16127</v>
      </c>
      <c r="D4543" t="str">
        <f>"48014977    "</f>
        <v xml:space="preserve">48014977    </v>
      </c>
      <c r="E4543" t="s">
        <v>2884</v>
      </c>
      <c r="F4543" t="s">
        <v>2885</v>
      </c>
      <c r="G4543">
        <v>14389.64</v>
      </c>
      <c r="H4543">
        <v>251201</v>
      </c>
      <c r="I4543">
        <v>4820</v>
      </c>
      <c r="J4543" t="s">
        <v>169</v>
      </c>
      <c r="K4543">
        <v>14389.64</v>
      </c>
      <c r="L4543">
        <v>2923.79</v>
      </c>
      <c r="M4543">
        <v>69502</v>
      </c>
      <c r="N4543" t="s">
        <v>2410</v>
      </c>
      <c r="O4543">
        <v>251204</v>
      </c>
      <c r="P4543">
        <v>11465.85</v>
      </c>
    </row>
    <row r="4544" spans="1:16" x14ac:dyDescent="0.25">
      <c r="A4544" t="s">
        <v>3296</v>
      </c>
      <c r="B4544" t="s">
        <v>2931</v>
      </c>
      <c r="C4544">
        <v>13366</v>
      </c>
      <c r="D4544" t="str">
        <f>"1752        "</f>
        <v xml:space="preserve">1752        </v>
      </c>
      <c r="E4544" t="s">
        <v>996</v>
      </c>
      <c r="F4544" t="s">
        <v>997</v>
      </c>
      <c r="G4544">
        <v>8.7799999999999994</v>
      </c>
      <c r="H4544">
        <v>251003</v>
      </c>
      <c r="I4544">
        <v>4347</v>
      </c>
      <c r="J4544" t="s">
        <v>328</v>
      </c>
      <c r="K4544">
        <v>107.78</v>
      </c>
      <c r="L4544">
        <v>1.78</v>
      </c>
      <c r="M4544">
        <v>12982</v>
      </c>
      <c r="N4544" t="s">
        <v>1384</v>
      </c>
      <c r="O4544">
        <v>251008</v>
      </c>
      <c r="P4544">
        <v>7</v>
      </c>
    </row>
    <row r="4545" spans="1:16" x14ac:dyDescent="0.25">
      <c r="A4545" t="s">
        <v>3296</v>
      </c>
      <c r="B4545" t="s">
        <v>2931</v>
      </c>
      <c r="C4545">
        <v>13433</v>
      </c>
      <c r="D4545" t="str">
        <f>"1753        "</f>
        <v xml:space="preserve">1753        </v>
      </c>
      <c r="E4545" t="s">
        <v>996</v>
      </c>
      <c r="F4545" t="s">
        <v>997</v>
      </c>
      <c r="G4545">
        <v>8.7799999999999994</v>
      </c>
      <c r="H4545">
        <v>251003</v>
      </c>
      <c r="I4545">
        <v>4347</v>
      </c>
      <c r="J4545" t="s">
        <v>328</v>
      </c>
      <c r="K4545">
        <v>43.78</v>
      </c>
      <c r="L4545">
        <v>1.78</v>
      </c>
      <c r="M4545">
        <v>54222</v>
      </c>
      <c r="N4545" t="s">
        <v>48</v>
      </c>
      <c r="O4545">
        <v>251010</v>
      </c>
      <c r="P4545">
        <v>7</v>
      </c>
    </row>
    <row r="4546" spans="1:16" x14ac:dyDescent="0.25">
      <c r="A4546" t="s">
        <v>3296</v>
      </c>
      <c r="B4546" t="s">
        <v>2931</v>
      </c>
      <c r="C4546">
        <v>15648</v>
      </c>
      <c r="D4546" t="str">
        <f>"1784        "</f>
        <v xml:space="preserve">1784        </v>
      </c>
      <c r="E4546" t="s">
        <v>996</v>
      </c>
      <c r="F4546" t="s">
        <v>997</v>
      </c>
      <c r="G4546">
        <v>8.7799999999999994</v>
      </c>
      <c r="H4546">
        <v>251119</v>
      </c>
      <c r="I4546">
        <v>4347</v>
      </c>
      <c r="J4546" t="s">
        <v>328</v>
      </c>
      <c r="K4546">
        <v>43.78</v>
      </c>
      <c r="L4546">
        <v>1.78</v>
      </c>
      <c r="M4546">
        <v>54222</v>
      </c>
      <c r="N4546" t="s">
        <v>48</v>
      </c>
      <c r="O4546">
        <v>251124</v>
      </c>
      <c r="P4546">
        <v>7</v>
      </c>
    </row>
    <row r="4547" spans="1:16" x14ac:dyDescent="0.25">
      <c r="A4547" t="s">
        <v>3296</v>
      </c>
      <c r="B4547" t="s">
        <v>2931</v>
      </c>
      <c r="C4547">
        <v>3008</v>
      </c>
      <c r="D4547" t="str">
        <f>"1701        "</f>
        <v xml:space="preserve">1701        </v>
      </c>
      <c r="E4547" t="s">
        <v>996</v>
      </c>
      <c r="F4547" t="s">
        <v>997</v>
      </c>
      <c r="G4547">
        <v>48.5</v>
      </c>
      <c r="H4547">
        <v>250310</v>
      </c>
      <c r="I4547">
        <v>4440</v>
      </c>
      <c r="J4547" t="s">
        <v>346</v>
      </c>
      <c r="K4547">
        <v>105.78</v>
      </c>
      <c r="L4547">
        <v>5.96</v>
      </c>
      <c r="M4547">
        <v>66722</v>
      </c>
      <c r="N4547" t="s">
        <v>118</v>
      </c>
      <c r="O4547">
        <v>250314</v>
      </c>
      <c r="P4547">
        <v>42.54</v>
      </c>
    </row>
    <row r="4548" spans="1:16" x14ac:dyDescent="0.25">
      <c r="A4548" t="s">
        <v>3296</v>
      </c>
      <c r="B4548" t="s">
        <v>2931</v>
      </c>
      <c r="C4548">
        <v>3008</v>
      </c>
      <c r="D4548" t="str">
        <f>"1701        "</f>
        <v xml:space="preserve">1701        </v>
      </c>
      <c r="E4548" t="s">
        <v>996</v>
      </c>
      <c r="F4548" t="s">
        <v>997</v>
      </c>
      <c r="G4548">
        <v>48.5</v>
      </c>
      <c r="H4548">
        <v>250310</v>
      </c>
      <c r="I4548">
        <v>4440</v>
      </c>
      <c r="J4548" t="s">
        <v>346</v>
      </c>
      <c r="K4548">
        <v>105.78</v>
      </c>
      <c r="L4548">
        <v>5.96</v>
      </c>
      <c r="M4548">
        <v>67522</v>
      </c>
      <c r="N4548" t="s">
        <v>121</v>
      </c>
      <c r="O4548">
        <v>250314</v>
      </c>
      <c r="P4548">
        <v>42.54</v>
      </c>
    </row>
    <row r="4549" spans="1:16" x14ac:dyDescent="0.25">
      <c r="A4549" t="s">
        <v>3296</v>
      </c>
      <c r="B4549" t="s">
        <v>2931</v>
      </c>
      <c r="C4549">
        <v>7293</v>
      </c>
      <c r="D4549" t="str">
        <f>"1721        "</f>
        <v xml:space="preserve">1721        </v>
      </c>
      <c r="E4549" t="s">
        <v>996</v>
      </c>
      <c r="F4549" t="s">
        <v>997</v>
      </c>
      <c r="G4549">
        <v>8.7799999999999994</v>
      </c>
      <c r="H4549">
        <v>250527</v>
      </c>
      <c r="I4549">
        <v>4440</v>
      </c>
      <c r="J4549" t="s">
        <v>346</v>
      </c>
      <c r="K4549">
        <v>41.78</v>
      </c>
      <c r="L4549">
        <v>1.78</v>
      </c>
      <c r="M4549">
        <v>68601</v>
      </c>
      <c r="N4549" t="s">
        <v>1031</v>
      </c>
      <c r="O4549">
        <v>250602</v>
      </c>
      <c r="P4549">
        <v>7</v>
      </c>
    </row>
    <row r="4550" spans="1:16" x14ac:dyDescent="0.25">
      <c r="A4550" t="s">
        <v>3296</v>
      </c>
      <c r="B4550" t="s">
        <v>2931</v>
      </c>
      <c r="C4550">
        <v>7293</v>
      </c>
      <c r="D4550" t="str">
        <f>"1721        "</f>
        <v xml:space="preserve">1721        </v>
      </c>
      <c r="E4550" t="s">
        <v>996</v>
      </c>
      <c r="F4550" t="s">
        <v>997</v>
      </c>
      <c r="G4550">
        <v>33</v>
      </c>
      <c r="H4550">
        <v>250527</v>
      </c>
      <c r="I4550">
        <v>4440</v>
      </c>
      <c r="J4550" t="s">
        <v>346</v>
      </c>
      <c r="K4550">
        <v>41.78</v>
      </c>
      <c r="L4550">
        <v>4.05</v>
      </c>
      <c r="M4550">
        <v>68601</v>
      </c>
      <c r="N4550" t="s">
        <v>1031</v>
      </c>
      <c r="O4550">
        <v>250602</v>
      </c>
      <c r="P4550">
        <v>28.95</v>
      </c>
    </row>
    <row r="4551" spans="1:16" x14ac:dyDescent="0.25">
      <c r="A4551" t="s">
        <v>3296</v>
      </c>
      <c r="B4551" t="s">
        <v>2931</v>
      </c>
      <c r="C4551">
        <v>13366</v>
      </c>
      <c r="D4551" t="str">
        <f>"1752        "</f>
        <v xml:space="preserve">1752        </v>
      </c>
      <c r="E4551" t="s">
        <v>996</v>
      </c>
      <c r="F4551" t="s">
        <v>997</v>
      </c>
      <c r="G4551">
        <v>99</v>
      </c>
      <c r="H4551">
        <v>251003</v>
      </c>
      <c r="I4551">
        <v>4440</v>
      </c>
      <c r="J4551" t="s">
        <v>346</v>
      </c>
      <c r="K4551">
        <v>107.78</v>
      </c>
      <c r="L4551">
        <v>12.16</v>
      </c>
      <c r="M4551">
        <v>12982</v>
      </c>
      <c r="N4551" t="s">
        <v>1384</v>
      </c>
      <c r="O4551">
        <v>251008</v>
      </c>
      <c r="P4551">
        <v>86.84</v>
      </c>
    </row>
    <row r="4552" spans="1:16" x14ac:dyDescent="0.25">
      <c r="A4552" t="s">
        <v>3296</v>
      </c>
      <c r="B4552" t="s">
        <v>2931</v>
      </c>
      <c r="C4552">
        <v>13433</v>
      </c>
      <c r="D4552" t="str">
        <f>"1753        "</f>
        <v xml:space="preserve">1753        </v>
      </c>
      <c r="E4552" t="s">
        <v>996</v>
      </c>
      <c r="F4552" t="s">
        <v>997</v>
      </c>
      <c r="G4552">
        <v>35</v>
      </c>
      <c r="H4552">
        <v>251003</v>
      </c>
      <c r="I4552">
        <v>4440</v>
      </c>
      <c r="J4552" t="s">
        <v>346</v>
      </c>
      <c r="K4552">
        <v>43.78</v>
      </c>
      <c r="L4552">
        <v>4.3</v>
      </c>
      <c r="M4552">
        <v>54222</v>
      </c>
      <c r="N4552" t="s">
        <v>48</v>
      </c>
      <c r="O4552">
        <v>251010</v>
      </c>
      <c r="P4552">
        <v>30.7</v>
      </c>
    </row>
    <row r="4553" spans="1:16" x14ac:dyDescent="0.25">
      <c r="A4553" t="s">
        <v>3296</v>
      </c>
      <c r="B4553" t="s">
        <v>2931</v>
      </c>
      <c r="C4553">
        <v>14737</v>
      </c>
      <c r="D4553" t="str">
        <f>"1773        "</f>
        <v xml:space="preserve">1773        </v>
      </c>
      <c r="E4553" t="s">
        <v>996</v>
      </c>
      <c r="F4553" t="s">
        <v>997</v>
      </c>
      <c r="G4553">
        <v>122</v>
      </c>
      <c r="H4553">
        <v>251104</v>
      </c>
      <c r="I4553">
        <v>4440</v>
      </c>
      <c r="J4553" t="s">
        <v>346</v>
      </c>
      <c r="K4553">
        <v>130.78</v>
      </c>
      <c r="L4553">
        <v>14.98</v>
      </c>
      <c r="M4553">
        <v>61122</v>
      </c>
      <c r="N4553" t="s">
        <v>86</v>
      </c>
      <c r="O4553">
        <v>251106</v>
      </c>
      <c r="P4553">
        <v>107.02</v>
      </c>
    </row>
    <row r="4554" spans="1:16" x14ac:dyDescent="0.25">
      <c r="A4554" t="s">
        <v>3296</v>
      </c>
      <c r="B4554" t="s">
        <v>2931</v>
      </c>
      <c r="C4554">
        <v>15648</v>
      </c>
      <c r="D4554" t="str">
        <f>"1784        "</f>
        <v xml:space="preserve">1784        </v>
      </c>
      <c r="E4554" t="s">
        <v>996</v>
      </c>
      <c r="F4554" t="s">
        <v>997</v>
      </c>
      <c r="G4554">
        <v>35</v>
      </c>
      <c r="H4554">
        <v>251119</v>
      </c>
      <c r="I4554">
        <v>4440</v>
      </c>
      <c r="J4554" t="s">
        <v>346</v>
      </c>
      <c r="K4554">
        <v>43.78</v>
      </c>
      <c r="L4554">
        <v>4.3</v>
      </c>
      <c r="M4554">
        <v>54222</v>
      </c>
      <c r="N4554" t="s">
        <v>48</v>
      </c>
      <c r="O4554">
        <v>251124</v>
      </c>
      <c r="P4554">
        <v>30.7</v>
      </c>
    </row>
    <row r="4555" spans="1:16" x14ac:dyDescent="0.25">
      <c r="A4555" t="s">
        <v>3296</v>
      </c>
      <c r="B4555" t="s">
        <v>2931</v>
      </c>
      <c r="C4555">
        <v>3008</v>
      </c>
      <c r="D4555" t="str">
        <f>"1701        "</f>
        <v xml:space="preserve">1701        </v>
      </c>
      <c r="E4555" t="s">
        <v>996</v>
      </c>
      <c r="F4555" t="s">
        <v>997</v>
      </c>
      <c r="G4555">
        <v>4.3899999999999997</v>
      </c>
      <c r="H4555">
        <v>250310</v>
      </c>
      <c r="I4555">
        <v>4470</v>
      </c>
      <c r="J4555" t="s">
        <v>203</v>
      </c>
      <c r="K4555">
        <v>105.78</v>
      </c>
      <c r="L4555">
        <v>0.89</v>
      </c>
      <c r="M4555">
        <v>66722</v>
      </c>
      <c r="N4555" t="s">
        <v>118</v>
      </c>
      <c r="O4555">
        <v>250314</v>
      </c>
      <c r="P4555">
        <v>3.5</v>
      </c>
    </row>
    <row r="4556" spans="1:16" x14ac:dyDescent="0.25">
      <c r="A4556" t="s">
        <v>3296</v>
      </c>
      <c r="B4556" t="s">
        <v>2931</v>
      </c>
      <c r="C4556">
        <v>3008</v>
      </c>
      <c r="D4556" t="str">
        <f>"1701        "</f>
        <v xml:space="preserve">1701        </v>
      </c>
      <c r="E4556" t="s">
        <v>996</v>
      </c>
      <c r="F4556" t="s">
        <v>997</v>
      </c>
      <c r="G4556">
        <v>4.3899999999999997</v>
      </c>
      <c r="H4556">
        <v>250310</v>
      </c>
      <c r="I4556">
        <v>4470</v>
      </c>
      <c r="J4556" t="s">
        <v>203</v>
      </c>
      <c r="K4556">
        <v>105.78</v>
      </c>
      <c r="L4556">
        <v>0.89</v>
      </c>
      <c r="M4556">
        <v>67522</v>
      </c>
      <c r="N4556" t="s">
        <v>121</v>
      </c>
      <c r="O4556">
        <v>250314</v>
      </c>
      <c r="P4556">
        <v>3.5</v>
      </c>
    </row>
    <row r="4557" spans="1:16" x14ac:dyDescent="0.25">
      <c r="A4557" t="s">
        <v>3296</v>
      </c>
      <c r="B4557" t="s">
        <v>2931</v>
      </c>
      <c r="C4557">
        <v>14737</v>
      </c>
      <c r="D4557" t="str">
        <f>"1773        "</f>
        <v xml:space="preserve">1773        </v>
      </c>
      <c r="E4557" t="s">
        <v>996</v>
      </c>
      <c r="F4557" t="s">
        <v>997</v>
      </c>
      <c r="G4557">
        <v>8.7799999999999994</v>
      </c>
      <c r="H4557">
        <v>251104</v>
      </c>
      <c r="I4557">
        <v>4470</v>
      </c>
      <c r="J4557" t="s">
        <v>203</v>
      </c>
      <c r="K4557">
        <v>130.78</v>
      </c>
      <c r="L4557">
        <v>1.78</v>
      </c>
      <c r="M4557">
        <v>61122</v>
      </c>
      <c r="N4557" t="s">
        <v>86</v>
      </c>
      <c r="O4557">
        <v>251106</v>
      </c>
      <c r="P4557">
        <v>7</v>
      </c>
    </row>
    <row r="4558" spans="1:16" x14ac:dyDescent="0.25">
      <c r="A4558" t="s">
        <v>3296</v>
      </c>
      <c r="B4558" t="s">
        <v>2931</v>
      </c>
      <c r="C4558">
        <v>235</v>
      </c>
      <c r="D4558" t="str">
        <f>"270367      "</f>
        <v xml:space="preserve">270367      </v>
      </c>
      <c r="E4558" t="s">
        <v>364</v>
      </c>
      <c r="F4558" t="s">
        <v>365</v>
      </c>
      <c r="G4558">
        <v>156.88</v>
      </c>
      <c r="H4558">
        <v>250109</v>
      </c>
      <c r="I4558">
        <v>4350</v>
      </c>
      <c r="J4558" t="s">
        <v>290</v>
      </c>
      <c r="K4558">
        <v>156.88</v>
      </c>
      <c r="L4558">
        <v>31.88</v>
      </c>
      <c r="M4558">
        <v>69811</v>
      </c>
      <c r="N4558" t="s">
        <v>230</v>
      </c>
      <c r="O4558">
        <v>250120</v>
      </c>
      <c r="P4558">
        <v>125</v>
      </c>
    </row>
    <row r="4559" spans="1:16" x14ac:dyDescent="0.25">
      <c r="A4559" t="s">
        <v>3296</v>
      </c>
      <c r="B4559" t="s">
        <v>2931</v>
      </c>
      <c r="C4559">
        <v>1661</v>
      </c>
      <c r="D4559" t="str">
        <f>"270426      "</f>
        <v xml:space="preserve">270426      </v>
      </c>
      <c r="E4559" t="s">
        <v>364</v>
      </c>
      <c r="F4559" t="s">
        <v>365</v>
      </c>
      <c r="G4559">
        <v>125.5</v>
      </c>
      <c r="H4559">
        <v>250205</v>
      </c>
      <c r="I4559">
        <v>4350</v>
      </c>
      <c r="J4559" t="s">
        <v>290</v>
      </c>
      <c r="K4559">
        <v>125.5</v>
      </c>
      <c r="L4559">
        <v>25.5</v>
      </c>
      <c r="M4559">
        <v>69811</v>
      </c>
      <c r="N4559" t="s">
        <v>230</v>
      </c>
      <c r="O4559">
        <v>250212</v>
      </c>
      <c r="P4559">
        <v>100</v>
      </c>
    </row>
    <row r="4560" spans="1:16" x14ac:dyDescent="0.25">
      <c r="A4560" t="s">
        <v>3296</v>
      </c>
      <c r="B4560" t="s">
        <v>2931</v>
      </c>
      <c r="C4560">
        <v>1815</v>
      </c>
      <c r="D4560" t="str">
        <f>"471002      "</f>
        <v xml:space="preserve">471002      </v>
      </c>
      <c r="E4560" t="s">
        <v>364</v>
      </c>
      <c r="F4560" t="s">
        <v>365</v>
      </c>
      <c r="G4560">
        <v>1631.5</v>
      </c>
      <c r="H4560">
        <v>250211</v>
      </c>
      <c r="I4560">
        <v>4350</v>
      </c>
      <c r="J4560" t="s">
        <v>290</v>
      </c>
      <c r="K4560">
        <v>1631.5</v>
      </c>
      <c r="L4560">
        <v>331.5</v>
      </c>
      <c r="M4560">
        <v>59702</v>
      </c>
      <c r="N4560" t="s">
        <v>45</v>
      </c>
      <c r="O4560">
        <v>250214</v>
      </c>
      <c r="P4560">
        <v>1300</v>
      </c>
    </row>
    <row r="4561" spans="1:16" x14ac:dyDescent="0.25">
      <c r="A4561" t="s">
        <v>3296</v>
      </c>
      <c r="B4561" t="s">
        <v>2931</v>
      </c>
      <c r="C4561">
        <v>3273</v>
      </c>
      <c r="D4561" t="str">
        <f>"270525      "</f>
        <v xml:space="preserve">270525      </v>
      </c>
      <c r="E4561" t="s">
        <v>364</v>
      </c>
      <c r="F4561" t="s">
        <v>365</v>
      </c>
      <c r="G4561">
        <v>125.5</v>
      </c>
      <c r="H4561">
        <v>250305</v>
      </c>
      <c r="I4561">
        <v>4350</v>
      </c>
      <c r="J4561" t="s">
        <v>290</v>
      </c>
      <c r="K4561">
        <v>125.5</v>
      </c>
      <c r="L4561">
        <v>25.5</v>
      </c>
      <c r="M4561">
        <v>69811</v>
      </c>
      <c r="N4561" t="s">
        <v>230</v>
      </c>
      <c r="O4561">
        <v>250318</v>
      </c>
      <c r="P4561">
        <v>100</v>
      </c>
    </row>
    <row r="4562" spans="1:16" x14ac:dyDescent="0.25">
      <c r="A4562" t="s">
        <v>3296</v>
      </c>
      <c r="B4562" t="s">
        <v>2931</v>
      </c>
      <c r="C4562">
        <v>5274</v>
      </c>
      <c r="D4562" t="str">
        <f>"270760      "</f>
        <v xml:space="preserve">270760      </v>
      </c>
      <c r="E4562" t="s">
        <v>364</v>
      </c>
      <c r="F4562" t="s">
        <v>365</v>
      </c>
      <c r="G4562">
        <v>156.88</v>
      </c>
      <c r="H4562">
        <v>250409</v>
      </c>
      <c r="I4562">
        <v>4350</v>
      </c>
      <c r="J4562" t="s">
        <v>290</v>
      </c>
      <c r="K4562">
        <v>156.88</v>
      </c>
      <c r="L4562">
        <v>31.88</v>
      </c>
      <c r="M4562">
        <v>69811</v>
      </c>
      <c r="N4562" t="s">
        <v>230</v>
      </c>
      <c r="O4562">
        <v>250423</v>
      </c>
      <c r="P4562">
        <v>125</v>
      </c>
    </row>
    <row r="4563" spans="1:16" x14ac:dyDescent="0.25">
      <c r="A4563" t="s">
        <v>3296</v>
      </c>
      <c r="B4563" t="s">
        <v>2931</v>
      </c>
      <c r="C4563">
        <v>6328</v>
      </c>
      <c r="D4563" t="str">
        <f>"270861      "</f>
        <v xml:space="preserve">270861      </v>
      </c>
      <c r="E4563" t="s">
        <v>364</v>
      </c>
      <c r="F4563" t="s">
        <v>365</v>
      </c>
      <c r="G4563">
        <v>125.5</v>
      </c>
      <c r="H4563">
        <v>250507</v>
      </c>
      <c r="I4563">
        <v>4350</v>
      </c>
      <c r="J4563" t="s">
        <v>290</v>
      </c>
      <c r="K4563">
        <v>125.5</v>
      </c>
      <c r="L4563">
        <v>25.5</v>
      </c>
      <c r="M4563">
        <v>69811</v>
      </c>
      <c r="N4563" t="s">
        <v>230</v>
      </c>
      <c r="O4563">
        <v>250512</v>
      </c>
      <c r="P4563">
        <v>100</v>
      </c>
    </row>
    <row r="4564" spans="1:16" x14ac:dyDescent="0.25">
      <c r="A4564" t="s">
        <v>3296</v>
      </c>
      <c r="B4564" t="s">
        <v>2931</v>
      </c>
      <c r="C4564">
        <v>10478</v>
      </c>
      <c r="D4564" t="str">
        <f>"271187      "</f>
        <v xml:space="preserve">271187      </v>
      </c>
      <c r="E4564" t="s">
        <v>364</v>
      </c>
      <c r="F4564" t="s">
        <v>365</v>
      </c>
      <c r="G4564">
        <v>94.13</v>
      </c>
      <c r="H4564">
        <v>250813</v>
      </c>
      <c r="I4564">
        <v>4350</v>
      </c>
      <c r="J4564" t="s">
        <v>290</v>
      </c>
      <c r="K4564">
        <v>94.13</v>
      </c>
      <c r="L4564">
        <v>19.13</v>
      </c>
      <c r="M4564">
        <v>69811</v>
      </c>
      <c r="N4564" t="s">
        <v>230</v>
      </c>
      <c r="O4564">
        <v>250820</v>
      </c>
      <c r="P4564">
        <v>75</v>
      </c>
    </row>
    <row r="4565" spans="1:16" x14ac:dyDescent="0.25">
      <c r="A4565" t="s">
        <v>3296</v>
      </c>
      <c r="B4565" t="s">
        <v>2931</v>
      </c>
      <c r="C4565">
        <v>11561</v>
      </c>
      <c r="D4565" t="str">
        <f>"271277      "</f>
        <v xml:space="preserve">271277      </v>
      </c>
      <c r="E4565" t="s">
        <v>364</v>
      </c>
      <c r="F4565" t="s">
        <v>365</v>
      </c>
      <c r="G4565">
        <v>125.5</v>
      </c>
      <c r="H4565">
        <v>250903</v>
      </c>
      <c r="I4565">
        <v>4350</v>
      </c>
      <c r="J4565" t="s">
        <v>290</v>
      </c>
      <c r="K4565">
        <v>125.5</v>
      </c>
      <c r="L4565">
        <v>25.5</v>
      </c>
      <c r="M4565">
        <v>69811</v>
      </c>
      <c r="N4565" t="s">
        <v>230</v>
      </c>
      <c r="O4565">
        <v>250908</v>
      </c>
      <c r="P4565">
        <v>100</v>
      </c>
    </row>
    <row r="4566" spans="1:16" x14ac:dyDescent="0.25">
      <c r="A4566" t="s">
        <v>3296</v>
      </c>
      <c r="B4566" t="s">
        <v>2931</v>
      </c>
      <c r="C4566">
        <v>12909</v>
      </c>
      <c r="D4566" t="str">
        <f>"271355      "</f>
        <v xml:space="preserve">271355      </v>
      </c>
      <c r="E4566" t="s">
        <v>364</v>
      </c>
      <c r="F4566" t="s">
        <v>365</v>
      </c>
      <c r="G4566">
        <v>156.88</v>
      </c>
      <c r="H4566">
        <v>251001</v>
      </c>
      <c r="I4566">
        <v>4350</v>
      </c>
      <c r="J4566" t="s">
        <v>290</v>
      </c>
      <c r="K4566">
        <v>156.88</v>
      </c>
      <c r="L4566">
        <v>31.88</v>
      </c>
      <c r="M4566">
        <v>69811</v>
      </c>
      <c r="N4566" t="s">
        <v>230</v>
      </c>
      <c r="O4566">
        <v>251001</v>
      </c>
      <c r="P4566">
        <v>125</v>
      </c>
    </row>
    <row r="4567" spans="1:16" x14ac:dyDescent="0.25">
      <c r="A4567" t="s">
        <v>3296</v>
      </c>
      <c r="B4567" t="s">
        <v>2931</v>
      </c>
      <c r="C4567">
        <v>13807</v>
      </c>
      <c r="D4567" t="str">
        <f>"471228      "</f>
        <v xml:space="preserve">471228      </v>
      </c>
      <c r="E4567" t="s">
        <v>364</v>
      </c>
      <c r="F4567" t="s">
        <v>365</v>
      </c>
      <c r="G4567">
        <v>439.25</v>
      </c>
      <c r="H4567">
        <v>251013</v>
      </c>
      <c r="I4567">
        <v>4350</v>
      </c>
      <c r="J4567" t="s">
        <v>290</v>
      </c>
      <c r="K4567">
        <v>439.25</v>
      </c>
      <c r="L4567">
        <v>89.25</v>
      </c>
      <c r="M4567">
        <v>66760</v>
      </c>
      <c r="N4567" t="s">
        <v>2449</v>
      </c>
      <c r="O4567">
        <v>251020</v>
      </c>
      <c r="P4567">
        <v>350</v>
      </c>
    </row>
    <row r="4568" spans="1:16" x14ac:dyDescent="0.25">
      <c r="A4568" t="s">
        <v>3296</v>
      </c>
      <c r="B4568" t="s">
        <v>2931</v>
      </c>
      <c r="C4568">
        <v>14979</v>
      </c>
      <c r="D4568" t="str">
        <f>"271520      "</f>
        <v xml:space="preserve">271520      </v>
      </c>
      <c r="E4568" t="s">
        <v>364</v>
      </c>
      <c r="F4568" t="s">
        <v>365</v>
      </c>
      <c r="G4568">
        <v>125.5</v>
      </c>
      <c r="H4568">
        <v>251105</v>
      </c>
      <c r="I4568">
        <v>4350</v>
      </c>
      <c r="J4568" t="s">
        <v>290</v>
      </c>
      <c r="K4568">
        <v>125.5</v>
      </c>
      <c r="L4568">
        <v>25.5</v>
      </c>
      <c r="M4568">
        <v>69811</v>
      </c>
      <c r="N4568" t="s">
        <v>230</v>
      </c>
      <c r="O4568">
        <v>251110</v>
      </c>
      <c r="P4568">
        <v>100</v>
      </c>
    </row>
    <row r="4569" spans="1:16" x14ac:dyDescent="0.25">
      <c r="A4569" t="s">
        <v>3296</v>
      </c>
      <c r="B4569" t="s">
        <v>2931</v>
      </c>
      <c r="C4569">
        <v>16247</v>
      </c>
      <c r="D4569" t="str">
        <f>"271647      "</f>
        <v xml:space="preserve">271647      </v>
      </c>
      <c r="E4569" t="s">
        <v>364</v>
      </c>
      <c r="F4569" t="s">
        <v>365</v>
      </c>
      <c r="G4569">
        <v>94.13</v>
      </c>
      <c r="H4569">
        <v>251203</v>
      </c>
      <c r="I4569">
        <v>4350</v>
      </c>
      <c r="J4569" t="s">
        <v>290</v>
      </c>
      <c r="K4569">
        <v>94.13</v>
      </c>
      <c r="L4569">
        <v>19.13</v>
      </c>
      <c r="M4569">
        <v>69811</v>
      </c>
      <c r="N4569" t="s">
        <v>230</v>
      </c>
      <c r="O4569">
        <v>251205</v>
      </c>
      <c r="P4569">
        <v>75</v>
      </c>
    </row>
    <row r="4570" spans="1:16" x14ac:dyDescent="0.25">
      <c r="A4570" t="s">
        <v>3296</v>
      </c>
      <c r="B4570" t="s">
        <v>2931</v>
      </c>
      <c r="C4570">
        <v>2938</v>
      </c>
      <c r="D4570" t="str">
        <f>"156805      "</f>
        <v xml:space="preserve">156805      </v>
      </c>
      <c r="E4570" t="s">
        <v>364</v>
      </c>
      <c r="F4570" t="s">
        <v>365</v>
      </c>
      <c r="G4570">
        <v>119</v>
      </c>
      <c r="H4570">
        <v>250228</v>
      </c>
      <c r="I4570">
        <v>4510</v>
      </c>
      <c r="J4570" t="s">
        <v>240</v>
      </c>
      <c r="K4570">
        <v>119</v>
      </c>
      <c r="L4570">
        <v>10.82</v>
      </c>
      <c r="M4570">
        <v>69704</v>
      </c>
      <c r="N4570" t="s">
        <v>89</v>
      </c>
      <c r="O4570">
        <v>250313</v>
      </c>
      <c r="P4570">
        <v>108.18</v>
      </c>
    </row>
    <row r="4571" spans="1:16" x14ac:dyDescent="0.25">
      <c r="A4571" t="s">
        <v>3296</v>
      </c>
      <c r="B4571" t="s">
        <v>2931</v>
      </c>
      <c r="C4571">
        <v>8190</v>
      </c>
      <c r="D4571" t="str">
        <f>"2809        "</f>
        <v xml:space="preserve">2809        </v>
      </c>
      <c r="E4571" t="s">
        <v>2020</v>
      </c>
      <c r="F4571" t="s">
        <v>2021</v>
      </c>
      <c r="G4571">
        <v>55</v>
      </c>
      <c r="H4571">
        <v>250531</v>
      </c>
      <c r="I4571">
        <v>4420</v>
      </c>
      <c r="J4571" t="s">
        <v>330</v>
      </c>
      <c r="K4571">
        <v>427.5</v>
      </c>
      <c r="L4571">
        <v>6.75</v>
      </c>
      <c r="M4571">
        <v>61122</v>
      </c>
      <c r="N4571" t="s">
        <v>86</v>
      </c>
      <c r="O4571">
        <v>250612</v>
      </c>
      <c r="P4571">
        <v>48.25</v>
      </c>
    </row>
    <row r="4572" spans="1:16" x14ac:dyDescent="0.25">
      <c r="A4572" t="s">
        <v>3296</v>
      </c>
      <c r="B4572" t="s">
        <v>2931</v>
      </c>
      <c r="C4572">
        <v>8190</v>
      </c>
      <c r="D4572" t="str">
        <f>"2809        "</f>
        <v xml:space="preserve">2809        </v>
      </c>
      <c r="E4572" t="s">
        <v>2020</v>
      </c>
      <c r="F4572" t="s">
        <v>2021</v>
      </c>
      <c r="G4572">
        <v>244.25</v>
      </c>
      <c r="H4572">
        <v>250531</v>
      </c>
      <c r="I4572">
        <v>4420</v>
      </c>
      <c r="J4572" t="s">
        <v>330</v>
      </c>
      <c r="K4572">
        <v>427.5</v>
      </c>
      <c r="L4572">
        <v>30</v>
      </c>
      <c r="M4572">
        <v>65222</v>
      </c>
      <c r="N4572" t="s">
        <v>87</v>
      </c>
      <c r="O4572">
        <v>250612</v>
      </c>
      <c r="P4572">
        <v>214.25</v>
      </c>
    </row>
    <row r="4573" spans="1:16" x14ac:dyDescent="0.25">
      <c r="A4573" t="s">
        <v>3296</v>
      </c>
      <c r="B4573" t="s">
        <v>2931</v>
      </c>
      <c r="C4573">
        <v>8190</v>
      </c>
      <c r="D4573" t="str">
        <f>"2809        "</f>
        <v xml:space="preserve">2809        </v>
      </c>
      <c r="E4573" t="s">
        <v>2020</v>
      </c>
      <c r="F4573" t="s">
        <v>2021</v>
      </c>
      <c r="G4573">
        <v>128.25</v>
      </c>
      <c r="H4573">
        <v>250531</v>
      </c>
      <c r="I4573">
        <v>4420</v>
      </c>
      <c r="J4573" t="s">
        <v>330</v>
      </c>
      <c r="K4573">
        <v>427.5</v>
      </c>
      <c r="L4573">
        <v>15.75</v>
      </c>
      <c r="M4573">
        <v>68601</v>
      </c>
      <c r="N4573" t="s">
        <v>1031</v>
      </c>
      <c r="O4573">
        <v>250612</v>
      </c>
      <c r="P4573">
        <v>112.5</v>
      </c>
    </row>
    <row r="4574" spans="1:16" x14ac:dyDescent="0.25">
      <c r="A4574" t="s">
        <v>3296</v>
      </c>
      <c r="B4574" t="s">
        <v>2931</v>
      </c>
      <c r="C4574">
        <v>8233</v>
      </c>
      <c r="D4574" t="str">
        <f>"1426        "</f>
        <v xml:space="preserve">1426        </v>
      </c>
      <c r="E4574" t="s">
        <v>2022</v>
      </c>
      <c r="F4574" t="s">
        <v>2023</v>
      </c>
      <c r="G4574">
        <v>136.4</v>
      </c>
      <c r="H4574">
        <v>250531</v>
      </c>
      <c r="I4574">
        <v>4520</v>
      </c>
      <c r="J4574" t="s">
        <v>280</v>
      </c>
      <c r="K4574">
        <v>141.4</v>
      </c>
      <c r="L4574">
        <v>16.75</v>
      </c>
      <c r="M4574">
        <v>13861</v>
      </c>
      <c r="N4574" t="s">
        <v>604</v>
      </c>
      <c r="O4574">
        <v>250612</v>
      </c>
      <c r="P4574">
        <v>119.65</v>
      </c>
    </row>
    <row r="4575" spans="1:16" x14ac:dyDescent="0.25">
      <c r="A4575" t="s">
        <v>3296</v>
      </c>
      <c r="B4575" t="s">
        <v>2931</v>
      </c>
      <c r="C4575">
        <v>8233</v>
      </c>
      <c r="D4575" t="str">
        <f>"1426        "</f>
        <v xml:space="preserve">1426        </v>
      </c>
      <c r="E4575" t="s">
        <v>2022</v>
      </c>
      <c r="F4575" t="s">
        <v>2023</v>
      </c>
      <c r="G4575">
        <v>5</v>
      </c>
      <c r="H4575">
        <v>250531</v>
      </c>
      <c r="I4575">
        <v>4600</v>
      </c>
      <c r="J4575" t="s">
        <v>278</v>
      </c>
      <c r="K4575">
        <v>141.4</v>
      </c>
      <c r="L4575">
        <v>1.02</v>
      </c>
      <c r="M4575">
        <v>13861</v>
      </c>
      <c r="N4575" t="s">
        <v>604</v>
      </c>
      <c r="O4575">
        <v>250612</v>
      </c>
      <c r="P4575">
        <v>3.98</v>
      </c>
    </row>
    <row r="4576" spans="1:16" x14ac:dyDescent="0.25">
      <c r="A4576" t="s">
        <v>3296</v>
      </c>
      <c r="B4576" t="s">
        <v>2931</v>
      </c>
      <c r="C4576">
        <v>1331</v>
      </c>
      <c r="D4576" t="str">
        <f>"3912        "</f>
        <v xml:space="preserve">3912        </v>
      </c>
      <c r="E4576" t="s">
        <v>945</v>
      </c>
      <c r="F4576" t="s">
        <v>946</v>
      </c>
      <c r="G4576">
        <v>275.97000000000003</v>
      </c>
      <c r="H4576">
        <v>250206</v>
      </c>
      <c r="I4576">
        <v>4400</v>
      </c>
      <c r="J4576" t="s">
        <v>162</v>
      </c>
      <c r="K4576">
        <v>275.97000000000003</v>
      </c>
      <c r="L4576">
        <v>56.07</v>
      </c>
      <c r="M4576">
        <v>59501</v>
      </c>
      <c r="N4576" t="s">
        <v>62</v>
      </c>
      <c r="O4576">
        <v>250207</v>
      </c>
      <c r="P4576">
        <v>219.9</v>
      </c>
    </row>
    <row r="4577" spans="1:16" x14ac:dyDescent="0.25">
      <c r="A4577" t="s">
        <v>3296</v>
      </c>
      <c r="B4577" t="s">
        <v>2931</v>
      </c>
      <c r="C4577">
        <v>5335</v>
      </c>
      <c r="D4577" t="str">
        <f>"3984        "</f>
        <v xml:space="preserve">3984        </v>
      </c>
      <c r="E4577" t="s">
        <v>945</v>
      </c>
      <c r="F4577" t="s">
        <v>946</v>
      </c>
      <c r="G4577">
        <v>1136.28</v>
      </c>
      <c r="H4577">
        <v>250417</v>
      </c>
      <c r="I4577">
        <v>4400</v>
      </c>
      <c r="J4577" t="s">
        <v>162</v>
      </c>
      <c r="K4577">
        <v>1136.28</v>
      </c>
      <c r="L4577">
        <v>230.88</v>
      </c>
      <c r="M4577">
        <v>59501</v>
      </c>
      <c r="N4577" t="s">
        <v>62</v>
      </c>
      <c r="O4577">
        <v>250423</v>
      </c>
      <c r="P4577">
        <v>905.4</v>
      </c>
    </row>
    <row r="4578" spans="1:16" x14ac:dyDescent="0.25">
      <c r="A4578" t="s">
        <v>3296</v>
      </c>
      <c r="B4578" t="s">
        <v>2931</v>
      </c>
      <c r="C4578">
        <v>1750</v>
      </c>
      <c r="D4578" t="str">
        <f>"65555       "</f>
        <v xml:space="preserve">65555       </v>
      </c>
      <c r="E4578" t="s">
        <v>1100</v>
      </c>
      <c r="F4578" t="s">
        <v>1101</v>
      </c>
      <c r="G4578">
        <v>438.95</v>
      </c>
      <c r="H4578">
        <v>250210</v>
      </c>
      <c r="I4578">
        <v>4400</v>
      </c>
      <c r="J4578" t="s">
        <v>162</v>
      </c>
      <c r="K4578">
        <v>438.95</v>
      </c>
      <c r="L4578">
        <v>89.19</v>
      </c>
      <c r="M4578">
        <v>69501</v>
      </c>
      <c r="N4578" t="s">
        <v>123</v>
      </c>
      <c r="O4578">
        <v>250213</v>
      </c>
      <c r="P4578">
        <v>349.76</v>
      </c>
    </row>
    <row r="4579" spans="1:16" x14ac:dyDescent="0.25">
      <c r="A4579" t="s">
        <v>3296</v>
      </c>
      <c r="B4579" t="s">
        <v>2931</v>
      </c>
      <c r="C4579">
        <v>341</v>
      </c>
      <c r="D4579" t="str">
        <f>"32712       "</f>
        <v xml:space="preserve">32712       </v>
      </c>
      <c r="E4579" t="s">
        <v>435</v>
      </c>
      <c r="F4579" t="s">
        <v>436</v>
      </c>
      <c r="G4579">
        <v>494.47</v>
      </c>
      <c r="H4579">
        <v>250116</v>
      </c>
      <c r="I4579">
        <v>4400</v>
      </c>
      <c r="J4579" t="s">
        <v>162</v>
      </c>
      <c r="K4579">
        <v>494.47</v>
      </c>
      <c r="L4579">
        <v>100.47</v>
      </c>
      <c r="M4579">
        <v>56564</v>
      </c>
      <c r="N4579" t="s">
        <v>56</v>
      </c>
      <c r="O4579">
        <v>250122</v>
      </c>
      <c r="P4579">
        <v>394</v>
      </c>
    </row>
    <row r="4580" spans="1:16" x14ac:dyDescent="0.25">
      <c r="A4580" t="s">
        <v>3296</v>
      </c>
      <c r="B4580" t="s">
        <v>2931</v>
      </c>
      <c r="C4580">
        <v>14275</v>
      </c>
      <c r="D4580" t="str">
        <f>"1000000226  "</f>
        <v xml:space="preserve">1000000226  </v>
      </c>
      <c r="E4580" t="s">
        <v>2924</v>
      </c>
      <c r="F4580" t="s">
        <v>2925</v>
      </c>
      <c r="G4580">
        <v>39.22</v>
      </c>
      <c r="H4580">
        <v>251001</v>
      </c>
      <c r="I4580">
        <v>4410</v>
      </c>
      <c r="J4580" t="s">
        <v>165</v>
      </c>
      <c r="K4580">
        <v>39.22</v>
      </c>
      <c r="L4580">
        <v>4.82</v>
      </c>
      <c r="M4580">
        <v>17525</v>
      </c>
      <c r="N4580" t="s">
        <v>140</v>
      </c>
      <c r="O4580">
        <v>251028</v>
      </c>
      <c r="P4580">
        <v>34.4</v>
      </c>
    </row>
    <row r="4581" spans="1:16" x14ac:dyDescent="0.25">
      <c r="A4581" t="s">
        <v>3296</v>
      </c>
      <c r="B4581" t="s">
        <v>2931</v>
      </c>
      <c r="C4581">
        <v>9697</v>
      </c>
      <c r="D4581" t="str">
        <f>"262859      "</f>
        <v xml:space="preserve">262859      </v>
      </c>
      <c r="E4581" t="s">
        <v>3007</v>
      </c>
      <c r="F4581" t="s">
        <v>3008</v>
      </c>
      <c r="G4581">
        <v>66.38</v>
      </c>
      <c r="H4581">
        <v>250617</v>
      </c>
      <c r="I4581">
        <v>4460</v>
      </c>
      <c r="J4581" t="s">
        <v>2952</v>
      </c>
      <c r="K4581">
        <v>66.38</v>
      </c>
      <c r="L4581">
        <v>0</v>
      </c>
      <c r="M4581">
        <v>17131</v>
      </c>
      <c r="N4581" t="s">
        <v>154</v>
      </c>
      <c r="O4581">
        <v>250724</v>
      </c>
      <c r="P4581">
        <v>66.38</v>
      </c>
    </row>
    <row r="4582" spans="1:16" x14ac:dyDescent="0.25">
      <c r="A4582" t="s">
        <v>3296</v>
      </c>
      <c r="B4582" t="s">
        <v>2931</v>
      </c>
      <c r="C4582">
        <v>2002</v>
      </c>
      <c r="D4582" t="str">
        <f>"262904      "</f>
        <v xml:space="preserve">262904      </v>
      </c>
      <c r="E4582" t="s">
        <v>3007</v>
      </c>
      <c r="F4582" t="s">
        <v>3008</v>
      </c>
      <c r="G4582">
        <v>80.98</v>
      </c>
      <c r="H4582">
        <v>250210</v>
      </c>
      <c r="I4582">
        <v>4552</v>
      </c>
      <c r="J4582" t="s">
        <v>1025</v>
      </c>
      <c r="K4582">
        <v>161.94999999999999</v>
      </c>
      <c r="L4582">
        <v>16.45</v>
      </c>
      <c r="M4582">
        <v>66722</v>
      </c>
      <c r="N4582" t="s">
        <v>118</v>
      </c>
      <c r="O4582">
        <v>250218</v>
      </c>
      <c r="P4582">
        <v>64.53</v>
      </c>
    </row>
    <row r="4583" spans="1:16" x14ac:dyDescent="0.25">
      <c r="A4583" t="s">
        <v>3296</v>
      </c>
      <c r="B4583" t="s">
        <v>2931</v>
      </c>
      <c r="C4583">
        <v>2002</v>
      </c>
      <c r="D4583" t="str">
        <f>"262904      "</f>
        <v xml:space="preserve">262904      </v>
      </c>
      <c r="E4583" t="s">
        <v>3007</v>
      </c>
      <c r="F4583" t="s">
        <v>3008</v>
      </c>
      <c r="G4583">
        <v>80.97</v>
      </c>
      <c r="H4583">
        <v>250210</v>
      </c>
      <c r="I4583">
        <v>4552</v>
      </c>
      <c r="J4583" t="s">
        <v>1025</v>
      </c>
      <c r="K4583">
        <v>161.94999999999999</v>
      </c>
      <c r="L4583">
        <v>16.45</v>
      </c>
      <c r="M4583">
        <v>66754</v>
      </c>
      <c r="N4583" t="s">
        <v>119</v>
      </c>
      <c r="O4583">
        <v>250218</v>
      </c>
      <c r="P4583">
        <v>64.52</v>
      </c>
    </row>
    <row r="4584" spans="1:16" x14ac:dyDescent="0.25">
      <c r="A4584" t="s">
        <v>3296</v>
      </c>
      <c r="B4584" t="s">
        <v>2931</v>
      </c>
      <c r="C4584">
        <v>2993</v>
      </c>
      <c r="D4584" t="str">
        <f>"109839574   "</f>
        <v xml:space="preserve">109839574   </v>
      </c>
      <c r="E4584" t="s">
        <v>3331</v>
      </c>
      <c r="F4584" t="s">
        <v>1385</v>
      </c>
      <c r="G4584">
        <v>150.53</v>
      </c>
      <c r="H4584">
        <v>250224</v>
      </c>
      <c r="I4584">
        <v>4600</v>
      </c>
      <c r="J4584" t="s">
        <v>278</v>
      </c>
      <c r="K4584">
        <v>150.53</v>
      </c>
      <c r="L4584">
        <v>30.59</v>
      </c>
      <c r="M4584">
        <v>17634</v>
      </c>
      <c r="N4584" t="s">
        <v>634</v>
      </c>
      <c r="O4584">
        <v>250314</v>
      </c>
      <c r="P4584">
        <v>119.94</v>
      </c>
    </row>
    <row r="4585" spans="1:16" x14ac:dyDescent="0.25">
      <c r="A4585" t="s">
        <v>3296</v>
      </c>
      <c r="B4585" t="s">
        <v>2931</v>
      </c>
      <c r="C4585">
        <v>5703</v>
      </c>
      <c r="D4585" t="str">
        <f>"109946152   "</f>
        <v xml:space="preserve">109946152   </v>
      </c>
      <c r="E4585" t="s">
        <v>3331</v>
      </c>
      <c r="F4585" t="s">
        <v>1385</v>
      </c>
      <c r="G4585">
        <v>368.64</v>
      </c>
      <c r="H4585">
        <v>250404</v>
      </c>
      <c r="I4585">
        <v>4600</v>
      </c>
      <c r="J4585" t="s">
        <v>278</v>
      </c>
      <c r="K4585">
        <v>368.64</v>
      </c>
      <c r="L4585">
        <v>74.900000000000006</v>
      </c>
      <c r="M4585">
        <v>17634</v>
      </c>
      <c r="N4585" t="s">
        <v>634</v>
      </c>
      <c r="O4585">
        <v>250429</v>
      </c>
      <c r="P4585">
        <v>293.74</v>
      </c>
    </row>
    <row r="4586" spans="1:16" x14ac:dyDescent="0.25">
      <c r="A4586" t="s">
        <v>3296</v>
      </c>
      <c r="B4586" t="s">
        <v>2931</v>
      </c>
      <c r="C4586">
        <v>5870</v>
      </c>
      <c r="D4586" t="str">
        <f>"109974660   "</f>
        <v xml:space="preserve">109974660   </v>
      </c>
      <c r="E4586" t="s">
        <v>3331</v>
      </c>
      <c r="F4586" t="s">
        <v>1385</v>
      </c>
      <c r="G4586">
        <v>24.93</v>
      </c>
      <c r="H4586">
        <v>250416</v>
      </c>
      <c r="I4586">
        <v>4600</v>
      </c>
      <c r="J4586" t="s">
        <v>278</v>
      </c>
      <c r="K4586">
        <v>24.93</v>
      </c>
      <c r="L4586">
        <v>5.07</v>
      </c>
      <c r="M4586">
        <v>17634</v>
      </c>
      <c r="N4586" t="s">
        <v>634</v>
      </c>
      <c r="O4586">
        <v>250506</v>
      </c>
      <c r="P4586">
        <v>19.86</v>
      </c>
    </row>
    <row r="4587" spans="1:16" x14ac:dyDescent="0.25">
      <c r="A4587" t="s">
        <v>3296</v>
      </c>
      <c r="B4587" t="s">
        <v>2931</v>
      </c>
      <c r="C4587">
        <v>8553</v>
      </c>
      <c r="D4587" t="str">
        <f>"110051433   "</f>
        <v xml:space="preserve">110051433   </v>
      </c>
      <c r="E4587" t="s">
        <v>3331</v>
      </c>
      <c r="F4587" t="s">
        <v>1385</v>
      </c>
      <c r="G4587">
        <v>170.24</v>
      </c>
      <c r="H4587">
        <v>250521</v>
      </c>
      <c r="I4587">
        <v>4600</v>
      </c>
      <c r="J4587" t="s">
        <v>278</v>
      </c>
      <c r="K4587">
        <v>170.24</v>
      </c>
      <c r="L4587">
        <v>0</v>
      </c>
      <c r="M4587">
        <v>17634</v>
      </c>
      <c r="N4587" t="s">
        <v>634</v>
      </c>
      <c r="O4587">
        <v>250617</v>
      </c>
      <c r="P4587">
        <v>170.24</v>
      </c>
    </row>
    <row r="4588" spans="1:16" x14ac:dyDescent="0.25">
      <c r="A4588" t="s">
        <v>3296</v>
      </c>
      <c r="B4588" t="s">
        <v>2931</v>
      </c>
      <c r="C4588">
        <v>12907</v>
      </c>
      <c r="D4588" t="str">
        <f>"2560894357  "</f>
        <v xml:space="preserve">2560894357  </v>
      </c>
      <c r="E4588" t="s">
        <v>1827</v>
      </c>
      <c r="F4588" t="s">
        <v>1828</v>
      </c>
      <c r="G4588">
        <v>25.34</v>
      </c>
      <c r="H4588">
        <v>250930</v>
      </c>
      <c r="I4588">
        <v>4560</v>
      </c>
      <c r="J4588" t="s">
        <v>390</v>
      </c>
      <c r="K4588">
        <v>25.34</v>
      </c>
      <c r="L4588">
        <v>5.15</v>
      </c>
      <c r="M4588">
        <v>59504</v>
      </c>
      <c r="N4588" t="s">
        <v>193</v>
      </c>
      <c r="O4588">
        <v>251001</v>
      </c>
      <c r="P4588">
        <v>20.190000000000001</v>
      </c>
    </row>
    <row r="4589" spans="1:16" x14ac:dyDescent="0.25">
      <c r="A4589" t="s">
        <v>3296</v>
      </c>
      <c r="B4589" t="s">
        <v>2931</v>
      </c>
      <c r="C4589">
        <v>14540</v>
      </c>
      <c r="D4589" t="str">
        <f>"2561001996  "</f>
        <v xml:space="preserve">2561001996  </v>
      </c>
      <c r="E4589" t="s">
        <v>1827</v>
      </c>
      <c r="F4589" t="s">
        <v>1828</v>
      </c>
      <c r="G4589">
        <v>43.8</v>
      </c>
      <c r="H4589">
        <v>251031</v>
      </c>
      <c r="I4589">
        <v>4560</v>
      </c>
      <c r="J4589" t="s">
        <v>390</v>
      </c>
      <c r="K4589">
        <v>113.28</v>
      </c>
      <c r="L4589">
        <v>8.9</v>
      </c>
      <c r="M4589">
        <v>59504</v>
      </c>
      <c r="N4589" t="s">
        <v>193</v>
      </c>
      <c r="O4589">
        <v>251104</v>
      </c>
      <c r="P4589">
        <v>34.9</v>
      </c>
    </row>
    <row r="4590" spans="1:16" x14ac:dyDescent="0.25">
      <c r="A4590" t="s">
        <v>3296</v>
      </c>
      <c r="B4590" t="s">
        <v>2931</v>
      </c>
      <c r="C4590">
        <v>8129</v>
      </c>
      <c r="D4590" t="str">
        <f>"2560493559  "</f>
        <v xml:space="preserve">2560493559  </v>
      </c>
      <c r="E4590" t="s">
        <v>1827</v>
      </c>
      <c r="F4590" t="s">
        <v>1828</v>
      </c>
      <c r="G4590">
        <v>20.96</v>
      </c>
      <c r="H4590">
        <v>250531</v>
      </c>
      <c r="I4590">
        <v>4580</v>
      </c>
      <c r="J4590" t="s">
        <v>126</v>
      </c>
      <c r="K4590">
        <v>20.96</v>
      </c>
      <c r="L4590">
        <v>4.26</v>
      </c>
      <c r="M4590">
        <v>59504</v>
      </c>
      <c r="N4590" t="s">
        <v>193</v>
      </c>
      <c r="O4590">
        <v>250611</v>
      </c>
      <c r="P4590">
        <v>16.7</v>
      </c>
    </row>
    <row r="4591" spans="1:16" x14ac:dyDescent="0.25">
      <c r="A4591" t="s">
        <v>3296</v>
      </c>
      <c r="B4591" t="s">
        <v>2931</v>
      </c>
      <c r="C4591">
        <v>14540</v>
      </c>
      <c r="D4591" t="str">
        <f>"2561001996  "</f>
        <v xml:space="preserve">2561001996  </v>
      </c>
      <c r="E4591" t="s">
        <v>1827</v>
      </c>
      <c r="F4591" t="s">
        <v>1828</v>
      </c>
      <c r="G4591">
        <v>50.59</v>
      </c>
      <c r="H4591">
        <v>251031</v>
      </c>
      <c r="I4591">
        <v>4590</v>
      </c>
      <c r="J4591" t="s">
        <v>388</v>
      </c>
      <c r="K4591">
        <v>113.28</v>
      </c>
      <c r="L4591">
        <v>10.28</v>
      </c>
      <c r="M4591">
        <v>59504</v>
      </c>
      <c r="N4591" t="s">
        <v>193</v>
      </c>
      <c r="O4591">
        <v>251104</v>
      </c>
      <c r="P4591">
        <v>40.31</v>
      </c>
    </row>
    <row r="4592" spans="1:16" x14ac:dyDescent="0.25">
      <c r="A4592" t="s">
        <v>3296</v>
      </c>
      <c r="B4592" t="s">
        <v>2931</v>
      </c>
      <c r="C4592">
        <v>5966</v>
      </c>
      <c r="D4592" t="str">
        <f>"2560388806  "</f>
        <v xml:space="preserve">2560388806  </v>
      </c>
      <c r="E4592" t="s">
        <v>1827</v>
      </c>
      <c r="F4592" t="s">
        <v>1828</v>
      </c>
      <c r="G4592">
        <v>40.78</v>
      </c>
      <c r="H4592">
        <v>250430</v>
      </c>
      <c r="I4592">
        <v>4600</v>
      </c>
      <c r="J4592" t="s">
        <v>278</v>
      </c>
      <c r="K4592">
        <v>40.78</v>
      </c>
      <c r="L4592">
        <v>8.2899999999999991</v>
      </c>
      <c r="M4592">
        <v>59504</v>
      </c>
      <c r="N4592" t="s">
        <v>193</v>
      </c>
      <c r="O4592">
        <v>250507</v>
      </c>
      <c r="P4592">
        <v>32.49</v>
      </c>
    </row>
    <row r="4593" spans="1:16" x14ac:dyDescent="0.25">
      <c r="A4593" t="s">
        <v>3296</v>
      </c>
      <c r="B4593" t="s">
        <v>2931</v>
      </c>
      <c r="C4593">
        <v>9395</v>
      </c>
      <c r="D4593" t="str">
        <f>"2560592819  "</f>
        <v xml:space="preserve">2560592819  </v>
      </c>
      <c r="E4593" t="s">
        <v>1827</v>
      </c>
      <c r="F4593" t="s">
        <v>1828</v>
      </c>
      <c r="G4593">
        <v>128.91</v>
      </c>
      <c r="H4593">
        <v>250630</v>
      </c>
      <c r="I4593">
        <v>4600</v>
      </c>
      <c r="J4593" t="s">
        <v>278</v>
      </c>
      <c r="K4593">
        <v>128.91</v>
      </c>
      <c r="L4593">
        <v>26.19</v>
      </c>
      <c r="M4593">
        <v>59504</v>
      </c>
      <c r="N4593" t="s">
        <v>193</v>
      </c>
      <c r="O4593">
        <v>250707</v>
      </c>
      <c r="P4593">
        <v>102.72</v>
      </c>
    </row>
    <row r="4594" spans="1:16" x14ac:dyDescent="0.25">
      <c r="A4594" t="s">
        <v>3296</v>
      </c>
      <c r="B4594" t="s">
        <v>2931</v>
      </c>
      <c r="C4594">
        <v>14540</v>
      </c>
      <c r="D4594" t="str">
        <f>"2561001996  "</f>
        <v xml:space="preserve">2561001996  </v>
      </c>
      <c r="E4594" t="s">
        <v>1827</v>
      </c>
      <c r="F4594" t="s">
        <v>1828</v>
      </c>
      <c r="G4594">
        <v>18.89</v>
      </c>
      <c r="H4594">
        <v>251031</v>
      </c>
      <c r="I4594">
        <v>4600</v>
      </c>
      <c r="J4594" t="s">
        <v>278</v>
      </c>
      <c r="K4594">
        <v>113.28</v>
      </c>
      <c r="L4594">
        <v>3.84</v>
      </c>
      <c r="M4594">
        <v>59504</v>
      </c>
      <c r="N4594" t="s">
        <v>193</v>
      </c>
      <c r="O4594">
        <v>251104</v>
      </c>
      <c r="P4594">
        <v>15.05</v>
      </c>
    </row>
    <row r="4595" spans="1:16" x14ac:dyDescent="0.25">
      <c r="A4595" t="s">
        <v>3296</v>
      </c>
      <c r="B4595" t="s">
        <v>2931</v>
      </c>
      <c r="C4595">
        <v>10928</v>
      </c>
      <c r="D4595" t="str">
        <f>"6025080005  "</f>
        <v xml:space="preserve">6025080005  </v>
      </c>
      <c r="E4595" t="s">
        <v>2231</v>
      </c>
      <c r="F4595" t="s">
        <v>2232</v>
      </c>
      <c r="G4595">
        <v>795</v>
      </c>
      <c r="H4595">
        <v>250825</v>
      </c>
      <c r="I4595">
        <v>4600</v>
      </c>
      <c r="J4595" t="s">
        <v>278</v>
      </c>
      <c r="K4595">
        <v>795</v>
      </c>
      <c r="L4595">
        <v>161.53</v>
      </c>
      <c r="M4595">
        <v>13502</v>
      </c>
      <c r="N4595" t="s">
        <v>302</v>
      </c>
      <c r="O4595">
        <v>250827</v>
      </c>
      <c r="P4595">
        <v>633.47</v>
      </c>
    </row>
    <row r="4596" spans="1:16" x14ac:dyDescent="0.25">
      <c r="A4596" t="s">
        <v>3296</v>
      </c>
      <c r="B4596" t="s">
        <v>2931</v>
      </c>
      <c r="C4596">
        <v>16341</v>
      </c>
      <c r="D4596" t="str">
        <f>"6025120002  "</f>
        <v xml:space="preserve">6025120002  </v>
      </c>
      <c r="E4596" t="s">
        <v>2231</v>
      </c>
      <c r="F4596" t="s">
        <v>2232</v>
      </c>
      <c r="G4596">
        <v>150</v>
      </c>
      <c r="H4596">
        <v>251204</v>
      </c>
      <c r="I4596">
        <v>4600</v>
      </c>
      <c r="J4596" t="s">
        <v>278</v>
      </c>
      <c r="K4596">
        <v>150</v>
      </c>
      <c r="L4596">
        <v>30.48</v>
      </c>
      <c r="M4596">
        <v>17521</v>
      </c>
      <c r="N4596" t="s">
        <v>136</v>
      </c>
      <c r="O4596">
        <v>251208</v>
      </c>
      <c r="P4596">
        <v>119.52</v>
      </c>
    </row>
    <row r="4597" spans="1:16" x14ac:dyDescent="0.25">
      <c r="A4597" t="s">
        <v>3296</v>
      </c>
      <c r="B4597" t="s">
        <v>2931</v>
      </c>
      <c r="C4597">
        <v>16398</v>
      </c>
      <c r="D4597" t="str">
        <f>"6847        "</f>
        <v xml:space="preserve">6847        </v>
      </c>
      <c r="E4597" t="s">
        <v>2231</v>
      </c>
      <c r="F4597" t="s">
        <v>2232</v>
      </c>
      <c r="G4597">
        <v>150</v>
      </c>
      <c r="H4597">
        <v>251204</v>
      </c>
      <c r="I4597">
        <v>4600</v>
      </c>
      <c r="J4597" t="s">
        <v>278</v>
      </c>
      <c r="K4597">
        <v>150</v>
      </c>
      <c r="L4597">
        <v>30.48</v>
      </c>
      <c r="M4597">
        <v>17521</v>
      </c>
      <c r="N4597" t="s">
        <v>136</v>
      </c>
      <c r="O4597">
        <v>251208</v>
      </c>
      <c r="P4597">
        <v>119.52</v>
      </c>
    </row>
    <row r="4598" spans="1:16" x14ac:dyDescent="0.25">
      <c r="A4598" t="s">
        <v>3296</v>
      </c>
      <c r="B4598" t="s">
        <v>2931</v>
      </c>
      <c r="C4598">
        <v>17305</v>
      </c>
      <c r="D4598" t="str">
        <f>"6025120004  "</f>
        <v xml:space="preserve">6025120004  </v>
      </c>
      <c r="E4598" t="s">
        <v>2231</v>
      </c>
      <c r="F4598" t="s">
        <v>2232</v>
      </c>
      <c r="G4598">
        <v>78.5</v>
      </c>
      <c r="H4598">
        <v>251217</v>
      </c>
      <c r="I4598">
        <v>4600</v>
      </c>
      <c r="J4598" t="s">
        <v>278</v>
      </c>
      <c r="K4598">
        <v>78.5</v>
      </c>
      <c r="L4598">
        <v>15.95</v>
      </c>
      <c r="M4598">
        <v>17131</v>
      </c>
      <c r="N4598" t="s">
        <v>154</v>
      </c>
      <c r="O4598">
        <v>251219</v>
      </c>
      <c r="P4598">
        <v>62.55</v>
      </c>
    </row>
    <row r="4599" spans="1:16" x14ac:dyDescent="0.25">
      <c r="A4599" t="s">
        <v>3296</v>
      </c>
      <c r="B4599" t="s">
        <v>2931</v>
      </c>
      <c r="C4599">
        <v>6775</v>
      </c>
      <c r="D4599" t="str">
        <f>"235055      "</f>
        <v xml:space="preserve">235055      </v>
      </c>
      <c r="E4599" t="s">
        <v>2957</v>
      </c>
      <c r="F4599" t="s">
        <v>2958</v>
      </c>
      <c r="G4599">
        <v>180</v>
      </c>
      <c r="H4599">
        <v>250512</v>
      </c>
      <c r="I4599">
        <v>4441</v>
      </c>
      <c r="J4599" t="s">
        <v>234</v>
      </c>
      <c r="K4599">
        <v>450</v>
      </c>
      <c r="L4599">
        <v>0</v>
      </c>
      <c r="M4599">
        <v>13601</v>
      </c>
      <c r="N4599" t="s">
        <v>115</v>
      </c>
      <c r="O4599">
        <v>250516</v>
      </c>
      <c r="P4599">
        <v>180</v>
      </c>
    </row>
    <row r="4600" spans="1:16" x14ac:dyDescent="0.25">
      <c r="A4600" t="s">
        <v>3296</v>
      </c>
      <c r="B4600" t="s">
        <v>2931</v>
      </c>
      <c r="C4600">
        <v>6775</v>
      </c>
      <c r="D4600" t="str">
        <f>"235055      "</f>
        <v xml:space="preserve">235055      </v>
      </c>
      <c r="E4600" t="s">
        <v>2957</v>
      </c>
      <c r="F4600" t="s">
        <v>2958</v>
      </c>
      <c r="G4600">
        <v>270</v>
      </c>
      <c r="H4600">
        <v>250512</v>
      </c>
      <c r="I4600">
        <v>4441</v>
      </c>
      <c r="J4600" t="s">
        <v>234</v>
      </c>
      <c r="K4600">
        <v>450</v>
      </c>
      <c r="L4600">
        <v>0</v>
      </c>
      <c r="M4600">
        <v>13802</v>
      </c>
      <c r="N4600" t="s">
        <v>34</v>
      </c>
      <c r="O4600">
        <v>250516</v>
      </c>
      <c r="P4600">
        <v>270</v>
      </c>
    </row>
    <row r="4601" spans="1:16" x14ac:dyDescent="0.25">
      <c r="A4601" t="s">
        <v>3296</v>
      </c>
      <c r="B4601" t="s">
        <v>2931</v>
      </c>
      <c r="C4601">
        <v>9888</v>
      </c>
      <c r="D4601" t="str">
        <f>"7788        "</f>
        <v xml:space="preserve">7788        </v>
      </c>
      <c r="E4601" t="s">
        <v>2154</v>
      </c>
      <c r="F4601" t="s">
        <v>2155</v>
      </c>
      <c r="G4601">
        <v>672.21</v>
      </c>
      <c r="H4601">
        <v>250727</v>
      </c>
      <c r="I4601">
        <v>4380</v>
      </c>
      <c r="J4601" t="s">
        <v>211</v>
      </c>
      <c r="K4601">
        <v>672.21</v>
      </c>
      <c r="L4601">
        <v>0</v>
      </c>
      <c r="M4601">
        <v>59501</v>
      </c>
      <c r="N4601" t="s">
        <v>62</v>
      </c>
      <c r="O4601">
        <v>250801</v>
      </c>
      <c r="P4601">
        <v>672.21</v>
      </c>
    </row>
    <row r="4602" spans="1:16" x14ac:dyDescent="0.25">
      <c r="A4602" t="s">
        <v>3296</v>
      </c>
      <c r="B4602" t="s">
        <v>2931</v>
      </c>
      <c r="C4602">
        <v>14222</v>
      </c>
      <c r="D4602" t="str">
        <f>"885243      "</f>
        <v xml:space="preserve">885243      </v>
      </c>
      <c r="E4602" t="s">
        <v>844</v>
      </c>
      <c r="F4602" t="s">
        <v>845</v>
      </c>
      <c r="G4602">
        <v>125.51</v>
      </c>
      <c r="H4602">
        <v>251023</v>
      </c>
      <c r="I4602">
        <v>4380</v>
      </c>
      <c r="J4602" t="s">
        <v>211</v>
      </c>
      <c r="K4602">
        <v>125.51</v>
      </c>
      <c r="L4602">
        <v>25.5</v>
      </c>
      <c r="M4602">
        <v>17951</v>
      </c>
      <c r="N4602" t="s">
        <v>207</v>
      </c>
      <c r="O4602">
        <v>251027</v>
      </c>
      <c r="P4602">
        <v>100.01</v>
      </c>
    </row>
    <row r="4603" spans="1:16" x14ac:dyDescent="0.25">
      <c r="A4603" t="s">
        <v>3296</v>
      </c>
      <c r="B4603" t="s">
        <v>2931</v>
      </c>
      <c r="C4603">
        <v>14286</v>
      </c>
      <c r="D4603" t="str">
        <f>"885466      "</f>
        <v xml:space="preserve">885466      </v>
      </c>
      <c r="E4603" t="s">
        <v>844</v>
      </c>
      <c r="F4603" t="s">
        <v>845</v>
      </c>
      <c r="G4603">
        <v>575.04999999999995</v>
      </c>
      <c r="H4603">
        <v>251027</v>
      </c>
      <c r="I4603">
        <v>4380</v>
      </c>
      <c r="J4603" t="s">
        <v>211</v>
      </c>
      <c r="K4603">
        <v>575.04999999999995</v>
      </c>
      <c r="L4603">
        <v>116.84</v>
      </c>
      <c r="M4603">
        <v>17951</v>
      </c>
      <c r="N4603" t="s">
        <v>207</v>
      </c>
      <c r="O4603">
        <v>251028</v>
      </c>
      <c r="P4603">
        <v>458.21</v>
      </c>
    </row>
    <row r="4604" spans="1:16" x14ac:dyDescent="0.25">
      <c r="A4604" t="s">
        <v>3296</v>
      </c>
      <c r="B4604" t="s">
        <v>2931</v>
      </c>
      <c r="C4604">
        <v>14383</v>
      </c>
      <c r="D4604" t="str">
        <f>"885669      "</f>
        <v xml:space="preserve">885669      </v>
      </c>
      <c r="E4604" t="s">
        <v>844</v>
      </c>
      <c r="F4604" t="s">
        <v>845</v>
      </c>
      <c r="G4604">
        <v>81.58</v>
      </c>
      <c r="H4604">
        <v>251029</v>
      </c>
      <c r="I4604">
        <v>4380</v>
      </c>
      <c r="J4604" t="s">
        <v>211</v>
      </c>
      <c r="K4604">
        <v>81.58</v>
      </c>
      <c r="L4604">
        <v>16.579999999999998</v>
      </c>
      <c r="M4604">
        <v>17951</v>
      </c>
      <c r="N4604" t="s">
        <v>207</v>
      </c>
      <c r="O4604">
        <v>251031</v>
      </c>
      <c r="P4604">
        <v>65</v>
      </c>
    </row>
    <row r="4605" spans="1:16" x14ac:dyDescent="0.25">
      <c r="A4605" t="s">
        <v>3296</v>
      </c>
      <c r="B4605" t="s">
        <v>2931</v>
      </c>
      <c r="C4605">
        <v>1092</v>
      </c>
      <c r="D4605" t="str">
        <f>"872244      "</f>
        <v xml:space="preserve">872244      </v>
      </c>
      <c r="E4605" t="s">
        <v>844</v>
      </c>
      <c r="F4605" t="s">
        <v>845</v>
      </c>
      <c r="G4605">
        <v>1193.3800000000001</v>
      </c>
      <c r="H4605">
        <v>250130</v>
      </c>
      <c r="I4605">
        <v>4600</v>
      </c>
      <c r="J4605" t="s">
        <v>278</v>
      </c>
      <c r="K4605">
        <v>1193.3800000000001</v>
      </c>
      <c r="L4605">
        <v>242.48</v>
      </c>
      <c r="M4605">
        <v>49501</v>
      </c>
      <c r="N4605" t="s">
        <v>110</v>
      </c>
      <c r="O4605">
        <v>250204</v>
      </c>
      <c r="P4605">
        <v>950.9</v>
      </c>
    </row>
    <row r="4606" spans="1:16" x14ac:dyDescent="0.25">
      <c r="A4606" t="s">
        <v>3296</v>
      </c>
      <c r="B4606" t="s">
        <v>2931</v>
      </c>
      <c r="C4606">
        <v>13768</v>
      </c>
      <c r="D4606" t="str">
        <f>"112205      "</f>
        <v xml:space="preserve">112205      </v>
      </c>
      <c r="E4606" t="s">
        <v>3145</v>
      </c>
      <c r="F4606" t="s">
        <v>3146</v>
      </c>
      <c r="G4606">
        <v>7700</v>
      </c>
      <c r="H4606">
        <v>251010</v>
      </c>
      <c r="I4606">
        <v>4346</v>
      </c>
      <c r="J4606" t="s">
        <v>334</v>
      </c>
      <c r="K4606">
        <v>7700</v>
      </c>
      <c r="L4606">
        <v>0</v>
      </c>
      <c r="M4606">
        <v>11903</v>
      </c>
      <c r="N4606" t="s">
        <v>32</v>
      </c>
      <c r="O4606">
        <v>251017</v>
      </c>
      <c r="P4606">
        <v>7700</v>
      </c>
    </row>
    <row r="4607" spans="1:16" x14ac:dyDescent="0.25">
      <c r="A4607" t="s">
        <v>3296</v>
      </c>
      <c r="B4607" t="s">
        <v>2931</v>
      </c>
      <c r="C4607">
        <v>17740</v>
      </c>
      <c r="D4607" t="str">
        <f>"9715        "</f>
        <v xml:space="preserve">9715        </v>
      </c>
      <c r="E4607" t="s">
        <v>2774</v>
      </c>
      <c r="F4607" t="s">
        <v>2775</v>
      </c>
      <c r="G4607">
        <v>853.4</v>
      </c>
      <c r="H4607">
        <v>251223</v>
      </c>
      <c r="I4607">
        <v>4390</v>
      </c>
      <c r="J4607" t="s">
        <v>232</v>
      </c>
      <c r="K4607">
        <v>853.4</v>
      </c>
      <c r="L4607">
        <v>173.4</v>
      </c>
      <c r="M4607">
        <v>49501</v>
      </c>
      <c r="N4607" t="s">
        <v>110</v>
      </c>
      <c r="O4607">
        <v>251230</v>
      </c>
      <c r="P4607">
        <v>680</v>
      </c>
    </row>
    <row r="4608" spans="1:16" x14ac:dyDescent="0.25">
      <c r="A4608" t="s">
        <v>3296</v>
      </c>
      <c r="B4608" t="s">
        <v>2931</v>
      </c>
      <c r="C4608">
        <v>2443</v>
      </c>
      <c r="D4608" t="str">
        <f>"2717478     "</f>
        <v xml:space="preserve">2717478     </v>
      </c>
      <c r="E4608" t="s">
        <v>2902</v>
      </c>
      <c r="F4608" t="s">
        <v>2903</v>
      </c>
      <c r="G4608">
        <v>227.77</v>
      </c>
      <c r="H4608">
        <v>250224</v>
      </c>
      <c r="I4608">
        <v>4380</v>
      </c>
      <c r="J4608" t="s">
        <v>211</v>
      </c>
      <c r="K4608">
        <v>361.46</v>
      </c>
      <c r="L4608">
        <v>46.28</v>
      </c>
      <c r="M4608">
        <v>17951</v>
      </c>
      <c r="N4608" t="s">
        <v>207</v>
      </c>
      <c r="O4608">
        <v>250226</v>
      </c>
      <c r="P4608">
        <v>181.49</v>
      </c>
    </row>
    <row r="4609" spans="1:16" x14ac:dyDescent="0.25">
      <c r="A4609" t="s">
        <v>3296</v>
      </c>
      <c r="B4609" t="s">
        <v>2931</v>
      </c>
      <c r="C4609">
        <v>2444</v>
      </c>
      <c r="D4609" t="str">
        <f>"2717429     "</f>
        <v xml:space="preserve">2717429     </v>
      </c>
      <c r="E4609" t="s">
        <v>2902</v>
      </c>
      <c r="F4609" t="s">
        <v>2903</v>
      </c>
      <c r="G4609">
        <v>1184.95</v>
      </c>
      <c r="H4609">
        <v>250224</v>
      </c>
      <c r="I4609">
        <v>4380</v>
      </c>
      <c r="J4609" t="s">
        <v>211</v>
      </c>
      <c r="K4609">
        <v>1899.56</v>
      </c>
      <c r="L4609">
        <v>240.77</v>
      </c>
      <c r="M4609">
        <v>17951</v>
      </c>
      <c r="N4609" t="s">
        <v>207</v>
      </c>
      <c r="O4609">
        <v>250226</v>
      </c>
      <c r="P4609">
        <v>944.18</v>
      </c>
    </row>
    <row r="4610" spans="1:16" x14ac:dyDescent="0.25">
      <c r="A4610" t="s">
        <v>3296</v>
      </c>
      <c r="B4610" t="s">
        <v>2931</v>
      </c>
      <c r="C4610">
        <v>2466</v>
      </c>
      <c r="D4610" t="str">
        <f>"2718326     "</f>
        <v xml:space="preserve">2718326     </v>
      </c>
      <c r="E4610" t="s">
        <v>2902</v>
      </c>
      <c r="F4610" t="s">
        <v>2903</v>
      </c>
      <c r="G4610">
        <v>3099.49</v>
      </c>
      <c r="H4610">
        <v>250301</v>
      </c>
      <c r="I4610">
        <v>4380</v>
      </c>
      <c r="J4610" t="s">
        <v>211</v>
      </c>
      <c r="K4610">
        <v>3099.49</v>
      </c>
      <c r="L4610">
        <v>629.78</v>
      </c>
      <c r="M4610">
        <v>17951</v>
      </c>
      <c r="N4610" t="s">
        <v>207</v>
      </c>
      <c r="O4610">
        <v>250227</v>
      </c>
      <c r="P4610">
        <v>2469.71</v>
      </c>
    </row>
    <row r="4611" spans="1:16" x14ac:dyDescent="0.25">
      <c r="A4611" t="s">
        <v>3296</v>
      </c>
      <c r="B4611" t="s">
        <v>2931</v>
      </c>
      <c r="C4611">
        <v>8582</v>
      </c>
      <c r="D4611" t="str">
        <f>"2720487     "</f>
        <v xml:space="preserve">2720487     </v>
      </c>
      <c r="E4611" t="s">
        <v>2902</v>
      </c>
      <c r="F4611" t="s">
        <v>2903</v>
      </c>
      <c r="G4611">
        <v>231.41</v>
      </c>
      <c r="H4611">
        <v>250526</v>
      </c>
      <c r="I4611">
        <v>4380</v>
      </c>
      <c r="J4611" t="s">
        <v>211</v>
      </c>
      <c r="K4611">
        <v>367.31</v>
      </c>
      <c r="L4611">
        <v>47.02</v>
      </c>
      <c r="M4611">
        <v>17951</v>
      </c>
      <c r="N4611" t="s">
        <v>207</v>
      </c>
      <c r="O4611">
        <v>250617</v>
      </c>
      <c r="P4611">
        <v>184.39</v>
      </c>
    </row>
    <row r="4612" spans="1:16" x14ac:dyDescent="0.25">
      <c r="A4612" t="s">
        <v>3296</v>
      </c>
      <c r="B4612" t="s">
        <v>2931</v>
      </c>
      <c r="C4612">
        <v>8590</v>
      </c>
      <c r="D4612" t="str">
        <f>"2720438     "</f>
        <v xml:space="preserve">2720438     </v>
      </c>
      <c r="E4612" t="s">
        <v>2902</v>
      </c>
      <c r="F4612" t="s">
        <v>2903</v>
      </c>
      <c r="G4612">
        <v>1195.8699999999999</v>
      </c>
      <c r="H4612">
        <v>250526</v>
      </c>
      <c r="I4612">
        <v>4380</v>
      </c>
      <c r="J4612" t="s">
        <v>211</v>
      </c>
      <c r="K4612">
        <v>1917.1</v>
      </c>
      <c r="L4612">
        <v>242.99</v>
      </c>
      <c r="M4612">
        <v>17951</v>
      </c>
      <c r="N4612" t="s">
        <v>207</v>
      </c>
      <c r="O4612">
        <v>250617</v>
      </c>
      <c r="P4612">
        <v>952.88</v>
      </c>
    </row>
    <row r="4613" spans="1:16" x14ac:dyDescent="0.25">
      <c r="A4613" t="s">
        <v>3296</v>
      </c>
      <c r="B4613" t="s">
        <v>2931</v>
      </c>
      <c r="C4613">
        <v>8595</v>
      </c>
      <c r="D4613" t="str">
        <f>"2721346     "</f>
        <v xml:space="preserve">2721346     </v>
      </c>
      <c r="E4613" t="s">
        <v>2902</v>
      </c>
      <c r="F4613" t="s">
        <v>2903</v>
      </c>
      <c r="G4613">
        <v>3132.24</v>
      </c>
      <c r="H4613">
        <v>250527</v>
      </c>
      <c r="I4613">
        <v>4380</v>
      </c>
      <c r="J4613" t="s">
        <v>211</v>
      </c>
      <c r="K4613">
        <v>3132.24</v>
      </c>
      <c r="L4613">
        <v>636.42999999999995</v>
      </c>
      <c r="M4613">
        <v>17952</v>
      </c>
      <c r="N4613" t="s">
        <v>157</v>
      </c>
      <c r="O4613">
        <v>250617</v>
      </c>
      <c r="P4613">
        <v>2495.81</v>
      </c>
    </row>
    <row r="4614" spans="1:16" x14ac:dyDescent="0.25">
      <c r="A4614" t="s">
        <v>3296</v>
      </c>
      <c r="B4614" t="s">
        <v>2931</v>
      </c>
      <c r="C4614">
        <v>12040</v>
      </c>
      <c r="D4614" t="str">
        <f>"2724329     "</f>
        <v xml:space="preserve">2724329     </v>
      </c>
      <c r="E4614" t="s">
        <v>2902</v>
      </c>
      <c r="F4614" t="s">
        <v>2903</v>
      </c>
      <c r="G4614">
        <v>31.86</v>
      </c>
      <c r="H4614">
        <v>250902</v>
      </c>
      <c r="I4614">
        <v>4380</v>
      </c>
      <c r="J4614" t="s">
        <v>211</v>
      </c>
      <c r="K4614">
        <v>1062.04</v>
      </c>
      <c r="L4614">
        <v>6.47</v>
      </c>
      <c r="M4614">
        <v>17739</v>
      </c>
      <c r="N4614" t="s">
        <v>928</v>
      </c>
      <c r="O4614">
        <v>250915</v>
      </c>
      <c r="P4614">
        <v>25.39</v>
      </c>
    </row>
    <row r="4615" spans="1:16" x14ac:dyDescent="0.25">
      <c r="A4615" t="s">
        <v>3296</v>
      </c>
      <c r="B4615" t="s">
        <v>2931</v>
      </c>
      <c r="C4615">
        <v>12040</v>
      </c>
      <c r="D4615" t="str">
        <f>"2724329     "</f>
        <v xml:space="preserve">2724329     </v>
      </c>
      <c r="E4615" t="s">
        <v>2902</v>
      </c>
      <c r="F4615" t="s">
        <v>2903</v>
      </c>
      <c r="G4615">
        <v>350.47</v>
      </c>
      <c r="H4615">
        <v>250902</v>
      </c>
      <c r="I4615">
        <v>4380</v>
      </c>
      <c r="J4615" t="s">
        <v>211</v>
      </c>
      <c r="K4615">
        <v>1062.04</v>
      </c>
      <c r="L4615">
        <v>71.209999999999994</v>
      </c>
      <c r="M4615">
        <v>17912</v>
      </c>
      <c r="N4615" t="s">
        <v>505</v>
      </c>
      <c r="O4615">
        <v>250915</v>
      </c>
      <c r="P4615">
        <v>279.26</v>
      </c>
    </row>
    <row r="4616" spans="1:16" x14ac:dyDescent="0.25">
      <c r="A4616" t="s">
        <v>3296</v>
      </c>
      <c r="B4616" t="s">
        <v>2931</v>
      </c>
      <c r="C4616">
        <v>12040</v>
      </c>
      <c r="D4616" t="str">
        <f>"2724329     "</f>
        <v xml:space="preserve">2724329     </v>
      </c>
      <c r="E4616" t="s">
        <v>2902</v>
      </c>
      <c r="F4616" t="s">
        <v>2903</v>
      </c>
      <c r="G4616">
        <v>679.71</v>
      </c>
      <c r="H4616">
        <v>250902</v>
      </c>
      <c r="I4616">
        <v>4380</v>
      </c>
      <c r="J4616" t="s">
        <v>211</v>
      </c>
      <c r="K4616">
        <v>1062.04</v>
      </c>
      <c r="L4616">
        <v>138.11000000000001</v>
      </c>
      <c r="M4616">
        <v>17952</v>
      </c>
      <c r="N4616" t="s">
        <v>157</v>
      </c>
      <c r="O4616">
        <v>250915</v>
      </c>
      <c r="P4616">
        <v>541.6</v>
      </c>
    </row>
    <row r="4617" spans="1:16" x14ac:dyDescent="0.25">
      <c r="A4617" t="s">
        <v>3296</v>
      </c>
      <c r="B4617" t="s">
        <v>2931</v>
      </c>
      <c r="C4617">
        <v>12042</v>
      </c>
      <c r="D4617" t="str">
        <f>"2723469     "</f>
        <v xml:space="preserve">2723469     </v>
      </c>
      <c r="E4617" t="s">
        <v>2902</v>
      </c>
      <c r="F4617" t="s">
        <v>2903</v>
      </c>
      <c r="G4617">
        <v>141.38999999999999</v>
      </c>
      <c r="H4617">
        <v>250901</v>
      </c>
      <c r="I4617">
        <v>4380</v>
      </c>
      <c r="J4617" t="s">
        <v>211</v>
      </c>
      <c r="K4617">
        <v>226.88</v>
      </c>
      <c r="L4617">
        <v>28.73</v>
      </c>
      <c r="M4617">
        <v>17951</v>
      </c>
      <c r="N4617" t="s">
        <v>207</v>
      </c>
      <c r="O4617">
        <v>250915</v>
      </c>
      <c r="P4617">
        <v>112.66</v>
      </c>
    </row>
    <row r="4618" spans="1:16" x14ac:dyDescent="0.25">
      <c r="A4618" t="s">
        <v>3296</v>
      </c>
      <c r="B4618" t="s">
        <v>2931</v>
      </c>
      <c r="C4618">
        <v>12047</v>
      </c>
      <c r="D4618" t="str">
        <f>"2723420     "</f>
        <v xml:space="preserve">2723420     </v>
      </c>
      <c r="E4618" t="s">
        <v>2902</v>
      </c>
      <c r="F4618" t="s">
        <v>2903</v>
      </c>
      <c r="G4618">
        <v>134.22999999999999</v>
      </c>
      <c r="H4618">
        <v>250901</v>
      </c>
      <c r="I4618">
        <v>4380</v>
      </c>
      <c r="J4618" t="s">
        <v>211</v>
      </c>
      <c r="K4618">
        <v>3244.7</v>
      </c>
      <c r="L4618">
        <v>27.27</v>
      </c>
      <c r="M4618">
        <v>17739</v>
      </c>
      <c r="N4618" t="s">
        <v>928</v>
      </c>
      <c r="O4618">
        <v>250915</v>
      </c>
      <c r="P4618">
        <v>106.96</v>
      </c>
    </row>
    <row r="4619" spans="1:16" x14ac:dyDescent="0.25">
      <c r="A4619" t="s">
        <v>3296</v>
      </c>
      <c r="B4619" t="s">
        <v>2931</v>
      </c>
      <c r="C4619">
        <v>12047</v>
      </c>
      <c r="D4619" t="str">
        <f>"2723420     "</f>
        <v xml:space="preserve">2723420     </v>
      </c>
      <c r="E4619" t="s">
        <v>2902</v>
      </c>
      <c r="F4619" t="s">
        <v>2903</v>
      </c>
      <c r="G4619">
        <v>1476.54</v>
      </c>
      <c r="H4619">
        <v>250901</v>
      </c>
      <c r="I4619">
        <v>4380</v>
      </c>
      <c r="J4619" t="s">
        <v>211</v>
      </c>
      <c r="K4619">
        <v>3244.7</v>
      </c>
      <c r="L4619">
        <v>300.01</v>
      </c>
      <c r="M4619">
        <v>17912</v>
      </c>
      <c r="N4619" t="s">
        <v>505</v>
      </c>
      <c r="O4619">
        <v>250915</v>
      </c>
      <c r="P4619">
        <v>1176.53</v>
      </c>
    </row>
    <row r="4620" spans="1:16" x14ac:dyDescent="0.25">
      <c r="A4620" t="s">
        <v>3296</v>
      </c>
      <c r="B4620" t="s">
        <v>2931</v>
      </c>
      <c r="C4620">
        <v>12047</v>
      </c>
      <c r="D4620" t="str">
        <f>"2723420     "</f>
        <v xml:space="preserve">2723420     </v>
      </c>
      <c r="E4620" t="s">
        <v>2902</v>
      </c>
      <c r="F4620" t="s">
        <v>2903</v>
      </c>
      <c r="G4620">
        <v>2863.58</v>
      </c>
      <c r="H4620">
        <v>250901</v>
      </c>
      <c r="I4620">
        <v>4380</v>
      </c>
      <c r="J4620" t="s">
        <v>211</v>
      </c>
      <c r="K4620">
        <v>3244.7</v>
      </c>
      <c r="L4620">
        <v>581.84</v>
      </c>
      <c r="M4620">
        <v>17952</v>
      </c>
      <c r="N4620" t="s">
        <v>157</v>
      </c>
      <c r="O4620">
        <v>250915</v>
      </c>
      <c r="P4620">
        <v>2281.7399999999998</v>
      </c>
    </row>
    <row r="4621" spans="1:16" x14ac:dyDescent="0.25">
      <c r="A4621" t="s">
        <v>3296</v>
      </c>
      <c r="B4621" t="s">
        <v>2931</v>
      </c>
      <c r="C4621">
        <v>15994</v>
      </c>
      <c r="D4621" t="str">
        <f>"2726500     "</f>
        <v xml:space="preserve">2726500     </v>
      </c>
      <c r="E4621" t="s">
        <v>2902</v>
      </c>
      <c r="F4621" t="s">
        <v>2903</v>
      </c>
      <c r="G4621">
        <v>1443.85</v>
      </c>
      <c r="H4621">
        <v>251127</v>
      </c>
      <c r="I4621">
        <v>4380</v>
      </c>
      <c r="J4621" t="s">
        <v>211</v>
      </c>
      <c r="K4621">
        <v>2314.66</v>
      </c>
      <c r="L4621">
        <v>293.37</v>
      </c>
      <c r="M4621">
        <v>17951</v>
      </c>
      <c r="N4621" t="s">
        <v>207</v>
      </c>
      <c r="O4621">
        <v>251201</v>
      </c>
      <c r="P4621">
        <v>1150.48</v>
      </c>
    </row>
    <row r="4622" spans="1:16" x14ac:dyDescent="0.25">
      <c r="A4622" t="s">
        <v>3296</v>
      </c>
      <c r="B4622" t="s">
        <v>2931</v>
      </c>
      <c r="C4622">
        <v>15995</v>
      </c>
      <c r="D4622" t="str">
        <f>"2727409     "</f>
        <v xml:space="preserve">2727409     </v>
      </c>
      <c r="E4622" t="s">
        <v>2902</v>
      </c>
      <c r="F4622" t="s">
        <v>2903</v>
      </c>
      <c r="G4622">
        <v>2812.94</v>
      </c>
      <c r="H4622">
        <v>251128</v>
      </c>
      <c r="I4622">
        <v>4380</v>
      </c>
      <c r="J4622" t="s">
        <v>211</v>
      </c>
      <c r="K4622">
        <v>2812.94</v>
      </c>
      <c r="L4622">
        <v>571.54999999999995</v>
      </c>
      <c r="M4622">
        <v>17952</v>
      </c>
      <c r="N4622" t="s">
        <v>157</v>
      </c>
      <c r="O4622">
        <v>251201</v>
      </c>
      <c r="P4622">
        <v>2241.39</v>
      </c>
    </row>
    <row r="4623" spans="1:16" x14ac:dyDescent="0.25">
      <c r="A4623" t="s">
        <v>3296</v>
      </c>
      <c r="B4623" t="s">
        <v>2931</v>
      </c>
      <c r="C4623">
        <v>15996</v>
      </c>
      <c r="D4623" t="str">
        <f>"2726549     "</f>
        <v xml:space="preserve">2726549     </v>
      </c>
      <c r="E4623" t="s">
        <v>2902</v>
      </c>
      <c r="F4623" t="s">
        <v>2903</v>
      </c>
      <c r="G4623">
        <v>226.63</v>
      </c>
      <c r="H4623">
        <v>251127</v>
      </c>
      <c r="I4623">
        <v>4380</v>
      </c>
      <c r="J4623" t="s">
        <v>211</v>
      </c>
      <c r="K4623">
        <v>359.12</v>
      </c>
      <c r="L4623">
        <v>46.05</v>
      </c>
      <c r="M4623">
        <v>17951</v>
      </c>
      <c r="N4623" t="s">
        <v>207</v>
      </c>
      <c r="O4623">
        <v>251201</v>
      </c>
      <c r="P4623">
        <v>180.58</v>
      </c>
    </row>
    <row r="4624" spans="1:16" x14ac:dyDescent="0.25">
      <c r="A4624" t="s">
        <v>3296</v>
      </c>
      <c r="B4624" t="s">
        <v>2931</v>
      </c>
      <c r="C4624">
        <v>8789</v>
      </c>
      <c r="D4624" t="str">
        <f>"50016773    "</f>
        <v xml:space="preserve">50016773    </v>
      </c>
      <c r="E4624" t="s">
        <v>2902</v>
      </c>
      <c r="F4624" t="s">
        <v>2903</v>
      </c>
      <c r="G4624">
        <v>200</v>
      </c>
      <c r="H4624">
        <v>250609</v>
      </c>
      <c r="I4624">
        <v>4470</v>
      </c>
      <c r="J4624" t="s">
        <v>203</v>
      </c>
      <c r="K4624">
        <v>200</v>
      </c>
      <c r="L4624">
        <v>0</v>
      </c>
      <c r="M4624">
        <v>17952</v>
      </c>
      <c r="N4624" t="s">
        <v>157</v>
      </c>
      <c r="O4624">
        <v>250618</v>
      </c>
      <c r="P4624">
        <v>200</v>
      </c>
    </row>
    <row r="4625" spans="1:16" x14ac:dyDescent="0.25">
      <c r="A4625" t="s">
        <v>3296</v>
      </c>
      <c r="B4625" t="s">
        <v>2931</v>
      </c>
      <c r="C4625">
        <v>2443</v>
      </c>
      <c r="D4625" t="str">
        <f>"2717478     "</f>
        <v xml:space="preserve">2717478     </v>
      </c>
      <c r="E4625" t="s">
        <v>2902</v>
      </c>
      <c r="F4625" t="s">
        <v>2903</v>
      </c>
      <c r="G4625">
        <v>133.69</v>
      </c>
      <c r="H4625">
        <v>250224</v>
      </c>
      <c r="I4625">
        <v>4573</v>
      </c>
      <c r="J4625" t="s">
        <v>646</v>
      </c>
      <c r="K4625">
        <v>361.46</v>
      </c>
      <c r="L4625">
        <v>27.16</v>
      </c>
      <c r="M4625">
        <v>17951</v>
      </c>
      <c r="N4625" t="s">
        <v>207</v>
      </c>
      <c r="O4625">
        <v>250226</v>
      </c>
      <c r="P4625">
        <v>106.53</v>
      </c>
    </row>
    <row r="4626" spans="1:16" x14ac:dyDescent="0.25">
      <c r="A4626" t="s">
        <v>3296</v>
      </c>
      <c r="B4626" t="s">
        <v>2931</v>
      </c>
      <c r="C4626">
        <v>2444</v>
      </c>
      <c r="D4626" t="str">
        <f>"2717429     "</f>
        <v xml:space="preserve">2717429     </v>
      </c>
      <c r="E4626" t="s">
        <v>2902</v>
      </c>
      <c r="F4626" t="s">
        <v>2903</v>
      </c>
      <c r="G4626">
        <v>714.61</v>
      </c>
      <c r="H4626">
        <v>250224</v>
      </c>
      <c r="I4626">
        <v>4573</v>
      </c>
      <c r="J4626" t="s">
        <v>646</v>
      </c>
      <c r="K4626">
        <v>1899.56</v>
      </c>
      <c r="L4626">
        <v>145.19999999999999</v>
      </c>
      <c r="M4626">
        <v>17951</v>
      </c>
      <c r="N4626" t="s">
        <v>207</v>
      </c>
      <c r="O4626">
        <v>250226</v>
      </c>
      <c r="P4626">
        <v>569.41</v>
      </c>
    </row>
    <row r="4627" spans="1:16" x14ac:dyDescent="0.25">
      <c r="A4627" t="s">
        <v>3296</v>
      </c>
      <c r="B4627" t="s">
        <v>2931</v>
      </c>
      <c r="C4627">
        <v>8582</v>
      </c>
      <c r="D4627" t="str">
        <f>"2720487     "</f>
        <v xml:space="preserve">2720487     </v>
      </c>
      <c r="E4627" t="s">
        <v>2902</v>
      </c>
      <c r="F4627" t="s">
        <v>2903</v>
      </c>
      <c r="G4627">
        <v>135.9</v>
      </c>
      <c r="H4627">
        <v>250526</v>
      </c>
      <c r="I4627">
        <v>4573</v>
      </c>
      <c r="J4627" t="s">
        <v>646</v>
      </c>
      <c r="K4627">
        <v>367.31</v>
      </c>
      <c r="L4627">
        <v>27.61</v>
      </c>
      <c r="M4627">
        <v>17951</v>
      </c>
      <c r="N4627" t="s">
        <v>207</v>
      </c>
      <c r="O4627">
        <v>250617</v>
      </c>
      <c r="P4627">
        <v>108.29</v>
      </c>
    </row>
    <row r="4628" spans="1:16" x14ac:dyDescent="0.25">
      <c r="A4628" t="s">
        <v>3296</v>
      </c>
      <c r="B4628" t="s">
        <v>2931</v>
      </c>
      <c r="C4628">
        <v>8590</v>
      </c>
      <c r="D4628" t="str">
        <f>"2720438     "</f>
        <v xml:space="preserve">2720438     </v>
      </c>
      <c r="E4628" t="s">
        <v>2902</v>
      </c>
      <c r="F4628" t="s">
        <v>2903</v>
      </c>
      <c r="G4628">
        <v>721.23</v>
      </c>
      <c r="H4628">
        <v>250526</v>
      </c>
      <c r="I4628">
        <v>4573</v>
      </c>
      <c r="J4628" t="s">
        <v>646</v>
      </c>
      <c r="K4628">
        <v>1917.1</v>
      </c>
      <c r="L4628">
        <v>146.54</v>
      </c>
      <c r="M4628">
        <v>17951</v>
      </c>
      <c r="N4628" t="s">
        <v>207</v>
      </c>
      <c r="O4628">
        <v>250617</v>
      </c>
      <c r="P4628">
        <v>574.69000000000005</v>
      </c>
    </row>
    <row r="4629" spans="1:16" x14ac:dyDescent="0.25">
      <c r="A4629" t="s">
        <v>3296</v>
      </c>
      <c r="B4629" t="s">
        <v>2931</v>
      </c>
      <c r="C4629">
        <v>12042</v>
      </c>
      <c r="D4629" t="str">
        <f>"2723469     "</f>
        <v xml:space="preserve">2723469     </v>
      </c>
      <c r="E4629" t="s">
        <v>2902</v>
      </c>
      <c r="F4629" t="s">
        <v>2903</v>
      </c>
      <c r="G4629">
        <v>85.49</v>
      </c>
      <c r="H4629">
        <v>250901</v>
      </c>
      <c r="I4629">
        <v>4573</v>
      </c>
      <c r="J4629" t="s">
        <v>646</v>
      </c>
      <c r="K4629">
        <v>226.88</v>
      </c>
      <c r="L4629">
        <v>17.37</v>
      </c>
      <c r="M4629">
        <v>17951</v>
      </c>
      <c r="N4629" t="s">
        <v>207</v>
      </c>
      <c r="O4629">
        <v>250915</v>
      </c>
      <c r="P4629">
        <v>68.12</v>
      </c>
    </row>
    <row r="4630" spans="1:16" x14ac:dyDescent="0.25">
      <c r="A4630" t="s">
        <v>3296</v>
      </c>
      <c r="B4630" t="s">
        <v>2931</v>
      </c>
      <c r="C4630">
        <v>12047</v>
      </c>
      <c r="D4630" t="str">
        <f>"2723420     "</f>
        <v xml:space="preserve">2723420     </v>
      </c>
      <c r="E4630" t="s">
        <v>2902</v>
      </c>
      <c r="F4630" t="s">
        <v>2903</v>
      </c>
      <c r="G4630">
        <v>-36.89</v>
      </c>
      <c r="H4630">
        <v>250901</v>
      </c>
      <c r="I4630">
        <v>4573</v>
      </c>
      <c r="J4630" t="s">
        <v>646</v>
      </c>
      <c r="K4630">
        <v>3244.7</v>
      </c>
      <c r="L4630">
        <v>-7.5</v>
      </c>
      <c r="M4630">
        <v>17739</v>
      </c>
      <c r="N4630" t="s">
        <v>928</v>
      </c>
      <c r="O4630">
        <v>250915</v>
      </c>
      <c r="P4630">
        <v>-29.39</v>
      </c>
    </row>
    <row r="4631" spans="1:16" x14ac:dyDescent="0.25">
      <c r="A4631" t="s">
        <v>3296</v>
      </c>
      <c r="B4631" t="s">
        <v>2931</v>
      </c>
      <c r="C4631">
        <v>12047</v>
      </c>
      <c r="D4631" t="str">
        <f>"2723420     "</f>
        <v xml:space="preserve">2723420     </v>
      </c>
      <c r="E4631" t="s">
        <v>2902</v>
      </c>
      <c r="F4631" t="s">
        <v>2903</v>
      </c>
      <c r="G4631">
        <v>-405.78</v>
      </c>
      <c r="H4631">
        <v>250901</v>
      </c>
      <c r="I4631">
        <v>4573</v>
      </c>
      <c r="J4631" t="s">
        <v>646</v>
      </c>
      <c r="K4631">
        <v>3244.7</v>
      </c>
      <c r="L4631">
        <v>-82.45</v>
      </c>
      <c r="M4631">
        <v>17912</v>
      </c>
      <c r="N4631" t="s">
        <v>505</v>
      </c>
      <c r="O4631">
        <v>250915</v>
      </c>
      <c r="P4631">
        <v>-323.33</v>
      </c>
    </row>
    <row r="4632" spans="1:16" x14ac:dyDescent="0.25">
      <c r="A4632" t="s">
        <v>3296</v>
      </c>
      <c r="B4632" t="s">
        <v>2931</v>
      </c>
      <c r="C4632">
        <v>12047</v>
      </c>
      <c r="D4632" t="str">
        <f>"2723420     "</f>
        <v xml:space="preserve">2723420     </v>
      </c>
      <c r="E4632" t="s">
        <v>2902</v>
      </c>
      <c r="F4632" t="s">
        <v>2903</v>
      </c>
      <c r="G4632">
        <v>-786.98</v>
      </c>
      <c r="H4632">
        <v>250901</v>
      </c>
      <c r="I4632">
        <v>4573</v>
      </c>
      <c r="J4632" t="s">
        <v>646</v>
      </c>
      <c r="K4632">
        <v>3244.7</v>
      </c>
      <c r="L4632">
        <v>-159.9</v>
      </c>
      <c r="M4632">
        <v>17952</v>
      </c>
      <c r="N4632" t="s">
        <v>157</v>
      </c>
      <c r="O4632">
        <v>250915</v>
      </c>
      <c r="P4632">
        <v>-627.08000000000004</v>
      </c>
    </row>
    <row r="4633" spans="1:16" x14ac:dyDescent="0.25">
      <c r="A4633" t="s">
        <v>3296</v>
      </c>
      <c r="B4633" t="s">
        <v>2931</v>
      </c>
      <c r="C4633">
        <v>15994</v>
      </c>
      <c r="D4633" t="str">
        <f>"2726500     "</f>
        <v xml:space="preserve">2726500     </v>
      </c>
      <c r="E4633" t="s">
        <v>2902</v>
      </c>
      <c r="F4633" t="s">
        <v>2903</v>
      </c>
      <c r="G4633">
        <v>870.81</v>
      </c>
      <c r="H4633">
        <v>251127</v>
      </c>
      <c r="I4633">
        <v>4573</v>
      </c>
      <c r="J4633" t="s">
        <v>646</v>
      </c>
      <c r="K4633">
        <v>2314.66</v>
      </c>
      <c r="L4633">
        <v>176.94</v>
      </c>
      <c r="M4633">
        <v>17951</v>
      </c>
      <c r="N4633" t="s">
        <v>207</v>
      </c>
      <c r="O4633">
        <v>251201</v>
      </c>
      <c r="P4633">
        <v>693.87</v>
      </c>
    </row>
    <row r="4634" spans="1:16" x14ac:dyDescent="0.25">
      <c r="A4634" t="s">
        <v>3296</v>
      </c>
      <c r="B4634" t="s">
        <v>2931</v>
      </c>
      <c r="C4634">
        <v>15996</v>
      </c>
      <c r="D4634" t="str">
        <f>"2726549     "</f>
        <v xml:space="preserve">2726549     </v>
      </c>
      <c r="E4634" t="s">
        <v>2902</v>
      </c>
      <c r="F4634" t="s">
        <v>2903</v>
      </c>
      <c r="G4634">
        <v>132.49</v>
      </c>
      <c r="H4634">
        <v>251127</v>
      </c>
      <c r="I4634">
        <v>4573</v>
      </c>
      <c r="J4634" t="s">
        <v>646</v>
      </c>
      <c r="K4634">
        <v>359.12</v>
      </c>
      <c r="L4634">
        <v>26.92</v>
      </c>
      <c r="M4634">
        <v>17951</v>
      </c>
      <c r="N4634" t="s">
        <v>207</v>
      </c>
      <c r="O4634">
        <v>251201</v>
      </c>
      <c r="P4634">
        <v>105.57</v>
      </c>
    </row>
    <row r="4635" spans="1:16" x14ac:dyDescent="0.25">
      <c r="A4635" t="s">
        <v>3296</v>
      </c>
      <c r="B4635" t="s">
        <v>2931</v>
      </c>
      <c r="C4635">
        <v>10751</v>
      </c>
      <c r="D4635" t="str">
        <f>"50017049    "</f>
        <v xml:space="preserve">50017049    </v>
      </c>
      <c r="E4635" t="s">
        <v>2902</v>
      </c>
      <c r="F4635" t="s">
        <v>2903</v>
      </c>
      <c r="G4635">
        <v>4238.5</v>
      </c>
      <c r="H4635">
        <v>250819</v>
      </c>
      <c r="I4635">
        <v>4800</v>
      </c>
      <c r="J4635" t="s">
        <v>2919</v>
      </c>
      <c r="K4635">
        <v>4238.5</v>
      </c>
      <c r="L4635">
        <v>0</v>
      </c>
      <c r="M4635">
        <v>17737</v>
      </c>
      <c r="N4635" t="s">
        <v>156</v>
      </c>
      <c r="O4635">
        <v>250821</v>
      </c>
      <c r="P4635">
        <v>4238.5</v>
      </c>
    </row>
    <row r="4636" spans="1:16" x14ac:dyDescent="0.25">
      <c r="A4636" t="s">
        <v>3296</v>
      </c>
      <c r="B4636" t="s">
        <v>2931</v>
      </c>
      <c r="C4636">
        <v>13995</v>
      </c>
      <c r="D4636" t="str">
        <f>"11001009    "</f>
        <v xml:space="preserve">11001009    </v>
      </c>
      <c r="E4636" t="s">
        <v>2902</v>
      </c>
      <c r="F4636" t="s">
        <v>2903</v>
      </c>
      <c r="G4636">
        <v>321.76</v>
      </c>
      <c r="H4636">
        <v>251017</v>
      </c>
      <c r="I4636">
        <v>4800</v>
      </c>
      <c r="J4636" t="s">
        <v>2919</v>
      </c>
      <c r="K4636">
        <v>321.76</v>
      </c>
      <c r="L4636">
        <v>0</v>
      </c>
      <c r="M4636">
        <v>17951</v>
      </c>
      <c r="N4636" t="s">
        <v>207</v>
      </c>
      <c r="O4636">
        <v>251021</v>
      </c>
      <c r="P4636">
        <v>321.76</v>
      </c>
    </row>
    <row r="4637" spans="1:16" x14ac:dyDescent="0.25">
      <c r="A4637" t="s">
        <v>3296</v>
      </c>
      <c r="B4637" t="s">
        <v>2931</v>
      </c>
      <c r="C4637">
        <v>13999</v>
      </c>
      <c r="D4637" t="str">
        <f>"11001010    "</f>
        <v xml:space="preserve">11001010    </v>
      </c>
      <c r="E4637" t="s">
        <v>2902</v>
      </c>
      <c r="F4637" t="s">
        <v>2903</v>
      </c>
      <c r="G4637">
        <v>1620</v>
      </c>
      <c r="H4637">
        <v>251017</v>
      </c>
      <c r="I4637">
        <v>4800</v>
      </c>
      <c r="J4637" t="s">
        <v>2919</v>
      </c>
      <c r="K4637">
        <v>1620</v>
      </c>
      <c r="L4637">
        <v>0</v>
      </c>
      <c r="M4637">
        <v>17951</v>
      </c>
      <c r="N4637" t="s">
        <v>207</v>
      </c>
      <c r="O4637">
        <v>251021</v>
      </c>
      <c r="P4637">
        <v>1620</v>
      </c>
    </row>
    <row r="4638" spans="1:16" x14ac:dyDescent="0.25">
      <c r="A4638" t="s">
        <v>3296</v>
      </c>
      <c r="B4638" t="s">
        <v>2931</v>
      </c>
      <c r="C4638">
        <v>4244</v>
      </c>
      <c r="D4638" t="str">
        <f>"40042389    "</f>
        <v xml:space="preserve">40042389    </v>
      </c>
      <c r="E4638" t="s">
        <v>2902</v>
      </c>
      <c r="F4638" t="s">
        <v>2903</v>
      </c>
      <c r="G4638">
        <v>1312.73</v>
      </c>
      <c r="H4638">
        <v>250320</v>
      </c>
      <c r="I4638">
        <v>4820</v>
      </c>
      <c r="J4638" t="s">
        <v>169</v>
      </c>
      <c r="K4638">
        <v>1312.73</v>
      </c>
      <c r="L4638">
        <v>266.73</v>
      </c>
      <c r="M4638">
        <v>13841</v>
      </c>
      <c r="N4638" t="s">
        <v>178</v>
      </c>
      <c r="O4638">
        <v>250409</v>
      </c>
      <c r="P4638">
        <v>1046</v>
      </c>
    </row>
    <row r="4639" spans="1:16" x14ac:dyDescent="0.25">
      <c r="A4639" t="s">
        <v>3296</v>
      </c>
      <c r="B4639" t="s">
        <v>2931</v>
      </c>
      <c r="C4639">
        <v>9277</v>
      </c>
      <c r="D4639" t="str">
        <f>"40042762    "</f>
        <v xml:space="preserve">40042762    </v>
      </c>
      <c r="E4639" t="s">
        <v>2902</v>
      </c>
      <c r="F4639" t="s">
        <v>2903</v>
      </c>
      <c r="G4639">
        <v>471.88</v>
      </c>
      <c r="H4639">
        <v>250627</v>
      </c>
      <c r="I4639">
        <v>4820</v>
      </c>
      <c r="J4639" t="s">
        <v>169</v>
      </c>
      <c r="K4639">
        <v>471.88</v>
      </c>
      <c r="L4639">
        <v>95.88</v>
      </c>
      <c r="M4639">
        <v>13841</v>
      </c>
      <c r="N4639" t="s">
        <v>178</v>
      </c>
      <c r="O4639">
        <v>250701</v>
      </c>
      <c r="P4639">
        <v>376</v>
      </c>
    </row>
    <row r="4640" spans="1:16" x14ac:dyDescent="0.25">
      <c r="A4640" t="s">
        <v>3296</v>
      </c>
      <c r="B4640" t="s">
        <v>2931</v>
      </c>
      <c r="C4640">
        <v>9292</v>
      </c>
      <c r="D4640" t="str">
        <f>"40042740    "</f>
        <v xml:space="preserve">40042740    </v>
      </c>
      <c r="E4640" t="s">
        <v>2902</v>
      </c>
      <c r="F4640" t="s">
        <v>2903</v>
      </c>
      <c r="G4640">
        <v>1610.5</v>
      </c>
      <c r="H4640">
        <v>250626</v>
      </c>
      <c r="I4640">
        <v>4820</v>
      </c>
      <c r="J4640" t="s">
        <v>169</v>
      </c>
      <c r="K4640">
        <v>1610.5</v>
      </c>
      <c r="L4640">
        <v>197.78</v>
      </c>
      <c r="M4640">
        <v>13841</v>
      </c>
      <c r="N4640" t="s">
        <v>178</v>
      </c>
      <c r="O4640">
        <v>250702</v>
      </c>
      <c r="P4640">
        <v>1412.72</v>
      </c>
    </row>
    <row r="4641" spans="1:16" x14ac:dyDescent="0.25">
      <c r="A4641" t="s">
        <v>3296</v>
      </c>
      <c r="B4641" t="s">
        <v>2931</v>
      </c>
      <c r="C4641">
        <v>9530</v>
      </c>
      <c r="D4641" t="str">
        <f>"40042771    "</f>
        <v xml:space="preserve">40042771    </v>
      </c>
      <c r="E4641" t="s">
        <v>2902</v>
      </c>
      <c r="F4641" t="s">
        <v>2903</v>
      </c>
      <c r="G4641">
        <v>9042.2800000000007</v>
      </c>
      <c r="H4641">
        <v>250630</v>
      </c>
      <c r="I4641">
        <v>4820</v>
      </c>
      <c r="J4641" t="s">
        <v>169</v>
      </c>
      <c r="K4641">
        <v>9042.2800000000007</v>
      </c>
      <c r="L4641">
        <v>1837.28</v>
      </c>
      <c r="M4641">
        <v>13841</v>
      </c>
      <c r="N4641" t="s">
        <v>178</v>
      </c>
      <c r="O4641">
        <v>250709</v>
      </c>
      <c r="P4641">
        <v>7205</v>
      </c>
    </row>
    <row r="4642" spans="1:16" x14ac:dyDescent="0.25">
      <c r="A4642" t="s">
        <v>3296</v>
      </c>
      <c r="B4642" t="s">
        <v>2931</v>
      </c>
      <c r="C4642">
        <v>16319</v>
      </c>
      <c r="D4642" t="str">
        <f>"40043127    "</f>
        <v xml:space="preserve">40043127    </v>
      </c>
      <c r="E4642" t="s">
        <v>2902</v>
      </c>
      <c r="F4642" t="s">
        <v>2903</v>
      </c>
      <c r="G4642">
        <v>1639.03</v>
      </c>
      <c r="H4642">
        <v>251202</v>
      </c>
      <c r="I4642">
        <v>4820</v>
      </c>
      <c r="J4642" t="s">
        <v>169</v>
      </c>
      <c r="K4642">
        <v>1639.03</v>
      </c>
      <c r="L4642">
        <v>333.03</v>
      </c>
      <c r="M4642">
        <v>13841</v>
      </c>
      <c r="N4642" t="s">
        <v>178</v>
      </c>
      <c r="O4642">
        <v>251205</v>
      </c>
      <c r="P4642">
        <v>1306</v>
      </c>
    </row>
    <row r="4643" spans="1:16" x14ac:dyDescent="0.25">
      <c r="A4643" t="s">
        <v>3296</v>
      </c>
      <c r="B4643" t="s">
        <v>2931</v>
      </c>
      <c r="C4643">
        <v>17099</v>
      </c>
      <c r="D4643" t="str">
        <f>"40043241    "</f>
        <v xml:space="preserve">40043241    </v>
      </c>
      <c r="E4643" t="s">
        <v>2902</v>
      </c>
      <c r="F4643" t="s">
        <v>2903</v>
      </c>
      <c r="G4643">
        <v>5349.44</v>
      </c>
      <c r="H4643">
        <v>251211</v>
      </c>
      <c r="I4643">
        <v>4820</v>
      </c>
      <c r="J4643" t="s">
        <v>169</v>
      </c>
      <c r="K4643">
        <v>5349.44</v>
      </c>
      <c r="L4643">
        <v>1086.94</v>
      </c>
      <c r="M4643">
        <v>13841</v>
      </c>
      <c r="N4643" t="s">
        <v>178</v>
      </c>
      <c r="O4643">
        <v>251217</v>
      </c>
      <c r="P4643">
        <v>4262.5</v>
      </c>
    </row>
    <row r="4644" spans="1:16" x14ac:dyDescent="0.25">
      <c r="A4644" t="s">
        <v>3296</v>
      </c>
      <c r="B4644" t="s">
        <v>2931</v>
      </c>
      <c r="C4644">
        <v>17756</v>
      </c>
      <c r="D4644" t="str">
        <f>"40043247    "</f>
        <v xml:space="preserve">40043247    </v>
      </c>
      <c r="E4644" t="s">
        <v>2902</v>
      </c>
      <c r="F4644" t="s">
        <v>2903</v>
      </c>
      <c r="G4644">
        <v>1547</v>
      </c>
      <c r="H4644">
        <v>251217</v>
      </c>
      <c r="I4644">
        <v>4820</v>
      </c>
      <c r="J4644" t="s">
        <v>169</v>
      </c>
      <c r="K4644">
        <v>1547</v>
      </c>
      <c r="L4644">
        <v>189.98</v>
      </c>
      <c r="M4644">
        <v>13841</v>
      </c>
      <c r="N4644" t="s">
        <v>178</v>
      </c>
      <c r="O4644">
        <v>251230</v>
      </c>
      <c r="P4644">
        <v>1357.02</v>
      </c>
    </row>
    <row r="4645" spans="1:16" x14ac:dyDescent="0.25">
      <c r="A4645" t="s">
        <v>3296</v>
      </c>
      <c r="B4645" t="s">
        <v>2931</v>
      </c>
      <c r="C4645">
        <v>6342</v>
      </c>
      <c r="D4645" t="str">
        <f>"103         "</f>
        <v xml:space="preserve">103         </v>
      </c>
      <c r="E4645" t="s">
        <v>3078</v>
      </c>
      <c r="F4645" t="s">
        <v>3079</v>
      </c>
      <c r="G4645">
        <v>53</v>
      </c>
      <c r="H4645">
        <v>250430</v>
      </c>
      <c r="I4645">
        <v>4410</v>
      </c>
      <c r="J4645" t="s">
        <v>165</v>
      </c>
      <c r="K4645">
        <v>53</v>
      </c>
      <c r="L4645">
        <v>0</v>
      </c>
      <c r="M4645">
        <v>13801</v>
      </c>
      <c r="N4645" t="s">
        <v>33</v>
      </c>
      <c r="O4645">
        <v>250512</v>
      </c>
      <c r="P4645">
        <v>53</v>
      </c>
    </row>
    <row r="4646" spans="1:16" x14ac:dyDescent="0.25">
      <c r="A4646" t="s">
        <v>3296</v>
      </c>
      <c r="B4646" t="s">
        <v>2931</v>
      </c>
      <c r="C4646">
        <v>9082</v>
      </c>
      <c r="D4646" t="str">
        <f>"2103        "</f>
        <v xml:space="preserve">2103        </v>
      </c>
      <c r="E4646" t="s">
        <v>2095</v>
      </c>
      <c r="F4646" t="s">
        <v>2096</v>
      </c>
      <c r="G4646">
        <v>440</v>
      </c>
      <c r="H4646">
        <v>250611</v>
      </c>
      <c r="I4646">
        <v>4400</v>
      </c>
      <c r="J4646" t="s">
        <v>162</v>
      </c>
      <c r="K4646">
        <v>440</v>
      </c>
      <c r="L4646">
        <v>89.4</v>
      </c>
      <c r="M4646">
        <v>17808</v>
      </c>
      <c r="N4646" t="s">
        <v>24</v>
      </c>
      <c r="O4646">
        <v>250626</v>
      </c>
      <c r="P4646">
        <v>350.6</v>
      </c>
    </row>
    <row r="4647" spans="1:16" x14ac:dyDescent="0.25">
      <c r="A4647" t="s">
        <v>3296</v>
      </c>
      <c r="B4647" t="s">
        <v>2931</v>
      </c>
      <c r="C4647">
        <v>12187</v>
      </c>
      <c r="D4647" t="str">
        <f>"202500182   "</f>
        <v xml:space="preserve">202500182   </v>
      </c>
      <c r="E4647" t="s">
        <v>2095</v>
      </c>
      <c r="F4647" t="s">
        <v>2096</v>
      </c>
      <c r="G4647">
        <v>185</v>
      </c>
      <c r="H4647">
        <v>250915</v>
      </c>
      <c r="I4647">
        <v>4400</v>
      </c>
      <c r="J4647" t="s">
        <v>162</v>
      </c>
      <c r="K4647">
        <v>185</v>
      </c>
      <c r="L4647">
        <v>37.590000000000003</v>
      </c>
      <c r="M4647">
        <v>17737</v>
      </c>
      <c r="N4647" t="s">
        <v>156</v>
      </c>
      <c r="O4647">
        <v>250917</v>
      </c>
      <c r="P4647">
        <v>147.41</v>
      </c>
    </row>
    <row r="4648" spans="1:16" x14ac:dyDescent="0.25">
      <c r="A4648" t="s">
        <v>3296</v>
      </c>
      <c r="B4648" t="s">
        <v>2931</v>
      </c>
      <c r="C4648">
        <v>15922</v>
      </c>
      <c r="D4648" t="str">
        <f>"202501804   "</f>
        <v xml:space="preserve">202501804   </v>
      </c>
      <c r="E4648" t="s">
        <v>2095</v>
      </c>
      <c r="F4648" t="s">
        <v>2096</v>
      </c>
      <c r="G4648">
        <v>720</v>
      </c>
      <c r="H4648">
        <v>251119</v>
      </c>
      <c r="I4648">
        <v>4600</v>
      </c>
      <c r="J4648" t="s">
        <v>278</v>
      </c>
      <c r="K4648">
        <v>720</v>
      </c>
      <c r="L4648">
        <v>146.29</v>
      </c>
      <c r="M4648">
        <v>17812</v>
      </c>
      <c r="N4648" t="s">
        <v>816</v>
      </c>
      <c r="O4648">
        <v>251201</v>
      </c>
      <c r="P4648">
        <v>573.71</v>
      </c>
    </row>
    <row r="4649" spans="1:16" x14ac:dyDescent="0.25">
      <c r="A4649" t="s">
        <v>3296</v>
      </c>
      <c r="B4649" t="s">
        <v>2931</v>
      </c>
      <c r="C4649">
        <v>13898</v>
      </c>
      <c r="D4649" t="str">
        <f>"40496       "</f>
        <v xml:space="preserve">40496       </v>
      </c>
      <c r="E4649" t="s">
        <v>1078</v>
      </c>
      <c r="F4649" t="s">
        <v>1079</v>
      </c>
      <c r="G4649">
        <v>2619.0700000000002</v>
      </c>
      <c r="H4649">
        <v>251016</v>
      </c>
      <c r="I4649">
        <v>1196</v>
      </c>
      <c r="J4649" t="s">
        <v>340</v>
      </c>
      <c r="K4649">
        <v>2619.0700000000002</v>
      </c>
      <c r="L4649">
        <v>0</v>
      </c>
      <c r="M4649">
        <v>97603</v>
      </c>
      <c r="N4649" t="s">
        <v>2289</v>
      </c>
      <c r="O4649">
        <v>251020</v>
      </c>
      <c r="P4649">
        <v>2619.0700000000002</v>
      </c>
    </row>
    <row r="4650" spans="1:16" x14ac:dyDescent="0.25">
      <c r="A4650" t="s">
        <v>3296</v>
      </c>
      <c r="B4650" t="s">
        <v>2931</v>
      </c>
      <c r="C4650">
        <v>2615</v>
      </c>
      <c r="D4650" t="str">
        <f>"39745       "</f>
        <v xml:space="preserve">39745       </v>
      </c>
      <c r="E4650" t="s">
        <v>1078</v>
      </c>
      <c r="F4650" t="s">
        <v>1079</v>
      </c>
      <c r="G4650">
        <v>92.46</v>
      </c>
      <c r="H4650">
        <v>250228</v>
      </c>
      <c r="I4650">
        <v>4390</v>
      </c>
      <c r="J4650" t="s">
        <v>232</v>
      </c>
      <c r="K4650">
        <v>92.46</v>
      </c>
      <c r="L4650">
        <v>0</v>
      </c>
      <c r="M4650">
        <v>17952</v>
      </c>
      <c r="N4650" t="s">
        <v>157</v>
      </c>
      <c r="O4650">
        <v>250307</v>
      </c>
      <c r="P4650">
        <v>92.46</v>
      </c>
    </row>
    <row r="4651" spans="1:16" x14ac:dyDescent="0.25">
      <c r="A4651" t="s">
        <v>3296</v>
      </c>
      <c r="B4651" t="s">
        <v>2931</v>
      </c>
      <c r="C4651">
        <v>3494</v>
      </c>
      <c r="D4651" t="str">
        <f>"39767       "</f>
        <v xml:space="preserve">39767       </v>
      </c>
      <c r="E4651" t="s">
        <v>1078</v>
      </c>
      <c r="F4651" t="s">
        <v>1079</v>
      </c>
      <c r="G4651">
        <v>255.17</v>
      </c>
      <c r="H4651">
        <v>250314</v>
      </c>
      <c r="I4651">
        <v>4390</v>
      </c>
      <c r="J4651" t="s">
        <v>232</v>
      </c>
      <c r="K4651">
        <v>255.17</v>
      </c>
      <c r="L4651">
        <v>0</v>
      </c>
      <c r="M4651">
        <v>17952</v>
      </c>
      <c r="N4651" t="s">
        <v>157</v>
      </c>
      <c r="O4651">
        <v>250324</v>
      </c>
      <c r="P4651">
        <v>255.17</v>
      </c>
    </row>
    <row r="4652" spans="1:16" x14ac:dyDescent="0.25">
      <c r="A4652" t="s">
        <v>3296</v>
      </c>
      <c r="B4652" t="s">
        <v>2931</v>
      </c>
      <c r="C4652">
        <v>3563</v>
      </c>
      <c r="D4652" t="str">
        <f>"39764       "</f>
        <v xml:space="preserve">39764       </v>
      </c>
      <c r="E4652" t="s">
        <v>1078</v>
      </c>
      <c r="F4652" t="s">
        <v>1079</v>
      </c>
      <c r="G4652">
        <v>350</v>
      </c>
      <c r="H4652">
        <v>250314</v>
      </c>
      <c r="I4652">
        <v>4390</v>
      </c>
      <c r="J4652" t="s">
        <v>232</v>
      </c>
      <c r="K4652">
        <v>1350</v>
      </c>
      <c r="L4652">
        <v>0</v>
      </c>
      <c r="M4652">
        <v>13841</v>
      </c>
      <c r="N4652" t="s">
        <v>178</v>
      </c>
      <c r="O4652">
        <v>250325</v>
      </c>
      <c r="P4652">
        <v>350</v>
      </c>
    </row>
    <row r="4653" spans="1:16" x14ac:dyDescent="0.25">
      <c r="A4653" t="s">
        <v>3296</v>
      </c>
      <c r="B4653" t="s">
        <v>2931</v>
      </c>
      <c r="C4653">
        <v>3563</v>
      </c>
      <c r="D4653" t="str">
        <f>"39764       "</f>
        <v xml:space="preserve">39764       </v>
      </c>
      <c r="E4653" t="s">
        <v>1078</v>
      </c>
      <c r="F4653" t="s">
        <v>1079</v>
      </c>
      <c r="G4653">
        <v>1000</v>
      </c>
      <c r="H4653">
        <v>250314</v>
      </c>
      <c r="I4653">
        <v>4390</v>
      </c>
      <c r="J4653" t="s">
        <v>232</v>
      </c>
      <c r="K4653">
        <v>1350</v>
      </c>
      <c r="L4653">
        <v>0</v>
      </c>
      <c r="M4653">
        <v>17952</v>
      </c>
      <c r="N4653" t="s">
        <v>157</v>
      </c>
      <c r="O4653">
        <v>250325</v>
      </c>
      <c r="P4653">
        <v>1000</v>
      </c>
    </row>
    <row r="4654" spans="1:16" x14ac:dyDescent="0.25">
      <c r="A4654" t="s">
        <v>3296</v>
      </c>
      <c r="B4654" t="s">
        <v>2931</v>
      </c>
      <c r="C4654">
        <v>7505</v>
      </c>
      <c r="D4654" t="str">
        <f>"40082       "</f>
        <v xml:space="preserve">40082       </v>
      </c>
      <c r="E4654" t="s">
        <v>1078</v>
      </c>
      <c r="F4654" t="s">
        <v>1079</v>
      </c>
      <c r="G4654">
        <v>822.14</v>
      </c>
      <c r="H4654">
        <v>250528</v>
      </c>
      <c r="I4654">
        <v>4390</v>
      </c>
      <c r="J4654" t="s">
        <v>232</v>
      </c>
      <c r="K4654">
        <v>822.14</v>
      </c>
      <c r="L4654">
        <v>0</v>
      </c>
      <c r="M4654">
        <v>17951</v>
      </c>
      <c r="N4654" t="s">
        <v>207</v>
      </c>
      <c r="O4654">
        <v>250604</v>
      </c>
      <c r="P4654">
        <v>822.14</v>
      </c>
    </row>
    <row r="4655" spans="1:16" x14ac:dyDescent="0.25">
      <c r="A4655" t="s">
        <v>3296</v>
      </c>
      <c r="B4655" t="s">
        <v>2931</v>
      </c>
      <c r="C4655">
        <v>9047</v>
      </c>
      <c r="D4655" t="str">
        <f>"40122       "</f>
        <v xml:space="preserve">40122       </v>
      </c>
      <c r="E4655" t="s">
        <v>1078</v>
      </c>
      <c r="F4655" t="s">
        <v>1079</v>
      </c>
      <c r="G4655">
        <v>144.61000000000001</v>
      </c>
      <c r="H4655">
        <v>250618</v>
      </c>
      <c r="I4655">
        <v>4390</v>
      </c>
      <c r="J4655" t="s">
        <v>232</v>
      </c>
      <c r="K4655">
        <v>144.61000000000001</v>
      </c>
      <c r="L4655">
        <v>0</v>
      </c>
      <c r="M4655">
        <v>17952</v>
      </c>
      <c r="N4655" t="s">
        <v>157</v>
      </c>
      <c r="O4655">
        <v>250626</v>
      </c>
      <c r="P4655">
        <v>144.61000000000001</v>
      </c>
    </row>
    <row r="4656" spans="1:16" x14ac:dyDescent="0.25">
      <c r="A4656" t="s">
        <v>3296</v>
      </c>
      <c r="B4656" t="s">
        <v>2931</v>
      </c>
      <c r="C4656">
        <v>9048</v>
      </c>
      <c r="D4656" t="str">
        <f>"40124       "</f>
        <v xml:space="preserve">40124       </v>
      </c>
      <c r="E4656" t="s">
        <v>1078</v>
      </c>
      <c r="F4656" t="s">
        <v>1079</v>
      </c>
      <c r="G4656">
        <v>253.85</v>
      </c>
      <c r="H4656">
        <v>250618</v>
      </c>
      <c r="I4656">
        <v>4390</v>
      </c>
      <c r="J4656" t="s">
        <v>232</v>
      </c>
      <c r="K4656">
        <v>253.85</v>
      </c>
      <c r="L4656">
        <v>0</v>
      </c>
      <c r="M4656">
        <v>17952</v>
      </c>
      <c r="N4656" t="s">
        <v>157</v>
      </c>
      <c r="O4656">
        <v>250626</v>
      </c>
      <c r="P4656">
        <v>253.85</v>
      </c>
    </row>
    <row r="4657" spans="1:16" x14ac:dyDescent="0.25">
      <c r="A4657" t="s">
        <v>3296</v>
      </c>
      <c r="B4657" t="s">
        <v>2931</v>
      </c>
      <c r="C4657">
        <v>9352</v>
      </c>
      <c r="D4657" t="str">
        <f>"40162       "</f>
        <v xml:space="preserve">40162       </v>
      </c>
      <c r="E4657" t="s">
        <v>1078</v>
      </c>
      <c r="F4657" t="s">
        <v>1079</v>
      </c>
      <c r="G4657">
        <v>176.09</v>
      </c>
      <c r="H4657">
        <v>250630</v>
      </c>
      <c r="I4657">
        <v>4390</v>
      </c>
      <c r="J4657" t="s">
        <v>232</v>
      </c>
      <c r="K4657">
        <v>176.09</v>
      </c>
      <c r="L4657">
        <v>0</v>
      </c>
      <c r="M4657">
        <v>17952</v>
      </c>
      <c r="N4657" t="s">
        <v>157</v>
      </c>
      <c r="O4657">
        <v>250704</v>
      </c>
      <c r="P4657">
        <v>176.09</v>
      </c>
    </row>
    <row r="4658" spans="1:16" x14ac:dyDescent="0.25">
      <c r="A4658" t="s">
        <v>3296</v>
      </c>
      <c r="B4658" t="s">
        <v>2931</v>
      </c>
      <c r="C4658">
        <v>10845</v>
      </c>
      <c r="D4658" t="str">
        <f>"40337       "</f>
        <v xml:space="preserve">40337       </v>
      </c>
      <c r="E4658" t="s">
        <v>1078</v>
      </c>
      <c r="F4658" t="s">
        <v>1079</v>
      </c>
      <c r="G4658">
        <v>253.08</v>
      </c>
      <c r="H4658">
        <v>250822</v>
      </c>
      <c r="I4658">
        <v>4390</v>
      </c>
      <c r="J4658" t="s">
        <v>232</v>
      </c>
      <c r="K4658">
        <v>253.08</v>
      </c>
      <c r="L4658">
        <v>0</v>
      </c>
      <c r="M4658">
        <v>17952</v>
      </c>
      <c r="N4658" t="s">
        <v>157</v>
      </c>
      <c r="O4658">
        <v>250825</v>
      </c>
      <c r="P4658">
        <v>253.08</v>
      </c>
    </row>
    <row r="4659" spans="1:16" x14ac:dyDescent="0.25">
      <c r="A4659" t="s">
        <v>3296</v>
      </c>
      <c r="B4659" t="s">
        <v>2931</v>
      </c>
      <c r="C4659">
        <v>11370</v>
      </c>
      <c r="D4659" t="str">
        <f>"40356       "</f>
        <v xml:space="preserve">40356       </v>
      </c>
      <c r="E4659" t="s">
        <v>1078</v>
      </c>
      <c r="F4659" t="s">
        <v>1079</v>
      </c>
      <c r="G4659">
        <v>763.56</v>
      </c>
      <c r="H4659">
        <v>250831</v>
      </c>
      <c r="I4659">
        <v>4390</v>
      </c>
      <c r="J4659" t="s">
        <v>232</v>
      </c>
      <c r="K4659">
        <v>763.56</v>
      </c>
      <c r="L4659">
        <v>0</v>
      </c>
      <c r="M4659">
        <v>17951</v>
      </c>
      <c r="N4659" t="s">
        <v>207</v>
      </c>
      <c r="O4659">
        <v>250904</v>
      </c>
      <c r="P4659">
        <v>763.56</v>
      </c>
    </row>
    <row r="4660" spans="1:16" x14ac:dyDescent="0.25">
      <c r="A4660" t="s">
        <v>3296</v>
      </c>
      <c r="B4660" t="s">
        <v>2931</v>
      </c>
      <c r="C4660">
        <v>13430</v>
      </c>
      <c r="D4660" t="str">
        <f>"40458       "</f>
        <v xml:space="preserve">40458       </v>
      </c>
      <c r="E4660" t="s">
        <v>1078</v>
      </c>
      <c r="F4660" t="s">
        <v>1079</v>
      </c>
      <c r="G4660">
        <v>1458.97</v>
      </c>
      <c r="H4660">
        <v>251007</v>
      </c>
      <c r="I4660">
        <v>4390</v>
      </c>
      <c r="J4660" t="s">
        <v>232</v>
      </c>
      <c r="K4660">
        <v>1458.97</v>
      </c>
      <c r="L4660">
        <v>0</v>
      </c>
      <c r="M4660">
        <v>17952</v>
      </c>
      <c r="N4660" t="s">
        <v>157</v>
      </c>
      <c r="O4660">
        <v>251009</v>
      </c>
      <c r="P4660">
        <v>1458.97</v>
      </c>
    </row>
    <row r="4661" spans="1:16" x14ac:dyDescent="0.25">
      <c r="A4661" t="s">
        <v>3296</v>
      </c>
      <c r="B4661" t="s">
        <v>2931</v>
      </c>
      <c r="C4661">
        <v>14468</v>
      </c>
      <c r="D4661" t="str">
        <f>"40582       "</f>
        <v xml:space="preserve">40582       </v>
      </c>
      <c r="E4661" t="s">
        <v>1078</v>
      </c>
      <c r="F4661" t="s">
        <v>1079</v>
      </c>
      <c r="G4661">
        <v>199.81</v>
      </c>
      <c r="H4661">
        <v>251031</v>
      </c>
      <c r="I4661">
        <v>4390</v>
      </c>
      <c r="J4661" t="s">
        <v>232</v>
      </c>
      <c r="K4661">
        <v>199.81</v>
      </c>
      <c r="L4661">
        <v>0</v>
      </c>
      <c r="M4661">
        <v>17737</v>
      </c>
      <c r="N4661" t="s">
        <v>156</v>
      </c>
      <c r="O4661">
        <v>251103</v>
      </c>
      <c r="P4661">
        <v>199.81</v>
      </c>
    </row>
    <row r="4662" spans="1:16" x14ac:dyDescent="0.25">
      <c r="A4662" t="s">
        <v>3296</v>
      </c>
      <c r="B4662" t="s">
        <v>2931</v>
      </c>
      <c r="C4662">
        <v>14483</v>
      </c>
      <c r="D4662" t="str">
        <f>"40557       "</f>
        <v xml:space="preserve">40557       </v>
      </c>
      <c r="E4662" t="s">
        <v>1078</v>
      </c>
      <c r="F4662" t="s">
        <v>1079</v>
      </c>
      <c r="G4662">
        <v>66.849999999999994</v>
      </c>
      <c r="H4662">
        <v>251031</v>
      </c>
      <c r="I4662">
        <v>4390</v>
      </c>
      <c r="J4662" t="s">
        <v>232</v>
      </c>
      <c r="K4662">
        <v>66.849999999999994</v>
      </c>
      <c r="L4662">
        <v>0</v>
      </c>
      <c r="M4662">
        <v>17952</v>
      </c>
      <c r="N4662" t="s">
        <v>157</v>
      </c>
      <c r="O4662">
        <v>251103</v>
      </c>
      <c r="P4662">
        <v>66.849999999999994</v>
      </c>
    </row>
    <row r="4663" spans="1:16" x14ac:dyDescent="0.25">
      <c r="A4663" t="s">
        <v>3296</v>
      </c>
      <c r="B4663" t="s">
        <v>2931</v>
      </c>
      <c r="C4663">
        <v>14486</v>
      </c>
      <c r="D4663" t="str">
        <f>"40579       "</f>
        <v xml:space="preserve">40579       </v>
      </c>
      <c r="E4663" t="s">
        <v>1078</v>
      </c>
      <c r="F4663" t="s">
        <v>1079</v>
      </c>
      <c r="G4663">
        <v>1047.93</v>
      </c>
      <c r="H4663">
        <v>251031</v>
      </c>
      <c r="I4663">
        <v>4390</v>
      </c>
      <c r="J4663" t="s">
        <v>232</v>
      </c>
      <c r="K4663">
        <v>1047.93</v>
      </c>
      <c r="L4663">
        <v>0</v>
      </c>
      <c r="M4663">
        <v>17951</v>
      </c>
      <c r="N4663" t="s">
        <v>207</v>
      </c>
      <c r="O4663">
        <v>251103</v>
      </c>
      <c r="P4663">
        <v>1047.93</v>
      </c>
    </row>
    <row r="4664" spans="1:16" x14ac:dyDescent="0.25">
      <c r="A4664" t="s">
        <v>3296</v>
      </c>
      <c r="B4664" t="s">
        <v>2931</v>
      </c>
      <c r="C4664">
        <v>14581</v>
      </c>
      <c r="D4664" t="str">
        <f>"40593       "</f>
        <v xml:space="preserve">40593       </v>
      </c>
      <c r="E4664" t="s">
        <v>1078</v>
      </c>
      <c r="F4664" t="s">
        <v>1079</v>
      </c>
      <c r="G4664">
        <v>122.64</v>
      </c>
      <c r="H4664">
        <v>251031</v>
      </c>
      <c r="I4664">
        <v>4390</v>
      </c>
      <c r="J4664" t="s">
        <v>232</v>
      </c>
      <c r="K4664">
        <v>122.64</v>
      </c>
      <c r="L4664">
        <v>0</v>
      </c>
      <c r="M4664">
        <v>17952</v>
      </c>
      <c r="N4664" t="s">
        <v>157</v>
      </c>
      <c r="O4664">
        <v>251105</v>
      </c>
      <c r="P4664">
        <v>122.64</v>
      </c>
    </row>
    <row r="4665" spans="1:16" x14ac:dyDescent="0.25">
      <c r="A4665" t="s">
        <v>3296</v>
      </c>
      <c r="B4665" t="s">
        <v>2931</v>
      </c>
      <c r="C4665">
        <v>15690</v>
      </c>
      <c r="D4665" t="str">
        <f>"40680       "</f>
        <v xml:space="preserve">40680       </v>
      </c>
      <c r="E4665" t="s">
        <v>1078</v>
      </c>
      <c r="F4665" t="s">
        <v>1079</v>
      </c>
      <c r="G4665">
        <v>282.23</v>
      </c>
      <c r="H4665">
        <v>251121</v>
      </c>
      <c r="I4665">
        <v>4390</v>
      </c>
      <c r="J4665" t="s">
        <v>232</v>
      </c>
      <c r="K4665">
        <v>282.23</v>
      </c>
      <c r="L4665">
        <v>0</v>
      </c>
      <c r="M4665">
        <v>17951</v>
      </c>
      <c r="N4665" t="s">
        <v>207</v>
      </c>
      <c r="O4665">
        <v>251125</v>
      </c>
      <c r="P4665">
        <v>282.23</v>
      </c>
    </row>
    <row r="4666" spans="1:16" x14ac:dyDescent="0.25">
      <c r="A4666" t="s">
        <v>3296</v>
      </c>
      <c r="B4666" t="s">
        <v>2931</v>
      </c>
      <c r="C4666">
        <v>15792</v>
      </c>
      <c r="D4666" t="str">
        <f>"40691       "</f>
        <v xml:space="preserve">40691       </v>
      </c>
      <c r="E4666" t="s">
        <v>1078</v>
      </c>
      <c r="F4666" t="s">
        <v>1079</v>
      </c>
      <c r="G4666">
        <v>653.25</v>
      </c>
      <c r="H4666">
        <v>251121</v>
      </c>
      <c r="I4666">
        <v>4390</v>
      </c>
      <c r="J4666" t="s">
        <v>232</v>
      </c>
      <c r="K4666">
        <v>653.25</v>
      </c>
      <c r="L4666">
        <v>0</v>
      </c>
      <c r="M4666">
        <v>13801</v>
      </c>
      <c r="N4666" t="s">
        <v>33</v>
      </c>
      <c r="O4666">
        <v>251127</v>
      </c>
      <c r="P4666">
        <v>653.25</v>
      </c>
    </row>
    <row r="4667" spans="1:16" x14ac:dyDescent="0.25">
      <c r="A4667" t="s">
        <v>3296</v>
      </c>
      <c r="B4667" t="s">
        <v>2931</v>
      </c>
      <c r="C4667">
        <v>17943</v>
      </c>
      <c r="D4667" t="str">
        <f>"40837       "</f>
        <v xml:space="preserve">40837       </v>
      </c>
      <c r="E4667" t="s">
        <v>1078</v>
      </c>
      <c r="F4667" t="s">
        <v>1079</v>
      </c>
      <c r="G4667">
        <v>1250.3900000000001</v>
      </c>
      <c r="H4667">
        <v>251231</v>
      </c>
      <c r="I4667">
        <v>4390</v>
      </c>
      <c r="J4667" t="s">
        <v>232</v>
      </c>
      <c r="K4667">
        <v>1250.3900000000001</v>
      </c>
      <c r="L4667">
        <v>0</v>
      </c>
      <c r="M4667">
        <v>17951</v>
      </c>
      <c r="N4667" t="s">
        <v>207</v>
      </c>
      <c r="O4667">
        <v>260107</v>
      </c>
      <c r="P4667">
        <v>1250.3900000000001</v>
      </c>
    </row>
    <row r="4668" spans="1:16" x14ac:dyDescent="0.25">
      <c r="A4668" t="s">
        <v>3296</v>
      </c>
      <c r="B4668" t="s">
        <v>2931</v>
      </c>
      <c r="C4668">
        <v>18485</v>
      </c>
      <c r="D4668" t="str">
        <f>"40907       "</f>
        <v xml:space="preserve">40907       </v>
      </c>
      <c r="E4668" t="s">
        <v>1078</v>
      </c>
      <c r="F4668" t="s">
        <v>1079</v>
      </c>
      <c r="G4668">
        <v>314.63</v>
      </c>
      <c r="H4668">
        <v>251231</v>
      </c>
      <c r="I4668">
        <v>4390</v>
      </c>
      <c r="J4668" t="s">
        <v>232</v>
      </c>
      <c r="K4668">
        <v>314.63</v>
      </c>
      <c r="L4668">
        <v>0</v>
      </c>
      <c r="M4668">
        <v>17951</v>
      </c>
      <c r="N4668" t="s">
        <v>207</v>
      </c>
      <c r="O4668">
        <v>260114</v>
      </c>
      <c r="P4668">
        <v>314.63</v>
      </c>
    </row>
    <row r="4669" spans="1:16" x14ac:dyDescent="0.25">
      <c r="A4669" t="s">
        <v>3296</v>
      </c>
      <c r="B4669" t="s">
        <v>2931</v>
      </c>
      <c r="C4669">
        <v>6226</v>
      </c>
      <c r="D4669" t="str">
        <f>"39889       "</f>
        <v xml:space="preserve">39889       </v>
      </c>
      <c r="E4669" t="s">
        <v>1078</v>
      </c>
      <c r="F4669" t="s">
        <v>1079</v>
      </c>
      <c r="G4669">
        <v>216.55</v>
      </c>
      <c r="H4669">
        <v>250425</v>
      </c>
      <c r="I4669">
        <v>4400</v>
      </c>
      <c r="J4669" t="s">
        <v>162</v>
      </c>
      <c r="K4669">
        <v>216.55</v>
      </c>
      <c r="L4669">
        <v>44</v>
      </c>
      <c r="M4669">
        <v>13801</v>
      </c>
      <c r="N4669" t="s">
        <v>33</v>
      </c>
      <c r="O4669">
        <v>250512</v>
      </c>
      <c r="P4669">
        <v>172.55</v>
      </c>
    </row>
    <row r="4670" spans="1:16" x14ac:dyDescent="0.25">
      <c r="A4670" t="s">
        <v>3296</v>
      </c>
      <c r="B4670" t="s">
        <v>2931</v>
      </c>
      <c r="C4670">
        <v>13828</v>
      </c>
      <c r="D4670" t="str">
        <f>"40497       "</f>
        <v xml:space="preserve">40497       </v>
      </c>
      <c r="E4670" t="s">
        <v>1078</v>
      </c>
      <c r="F4670" t="s">
        <v>1079</v>
      </c>
      <c r="G4670">
        <v>39.5</v>
      </c>
      <c r="H4670">
        <v>251016</v>
      </c>
      <c r="I4670">
        <v>4420</v>
      </c>
      <c r="J4670" t="s">
        <v>330</v>
      </c>
      <c r="K4670">
        <v>2850.67</v>
      </c>
      <c r="L4670">
        <v>0</v>
      </c>
      <c r="M4670">
        <v>17951</v>
      </c>
      <c r="N4670" t="s">
        <v>207</v>
      </c>
      <c r="O4670">
        <v>251020</v>
      </c>
      <c r="P4670">
        <v>39.5</v>
      </c>
    </row>
    <row r="4671" spans="1:16" x14ac:dyDescent="0.25">
      <c r="A4671" t="s">
        <v>3296</v>
      </c>
      <c r="B4671" t="s">
        <v>2931</v>
      </c>
      <c r="C4671">
        <v>10893</v>
      </c>
      <c r="D4671" t="str">
        <f>"40340       "</f>
        <v xml:space="preserve">40340       </v>
      </c>
      <c r="E4671" t="s">
        <v>1078</v>
      </c>
      <c r="F4671" t="s">
        <v>1079</v>
      </c>
      <c r="G4671">
        <v>447.28</v>
      </c>
      <c r="H4671">
        <v>250822</v>
      </c>
      <c r="I4671">
        <v>4572</v>
      </c>
      <c r="J4671" t="s">
        <v>173</v>
      </c>
      <c r="K4671">
        <v>447.28</v>
      </c>
      <c r="L4671">
        <v>90.88</v>
      </c>
      <c r="M4671">
        <v>17951</v>
      </c>
      <c r="N4671" t="s">
        <v>207</v>
      </c>
      <c r="O4671">
        <v>250826</v>
      </c>
      <c r="P4671">
        <v>356.4</v>
      </c>
    </row>
    <row r="4672" spans="1:16" x14ac:dyDescent="0.25">
      <c r="A4672" t="s">
        <v>3296</v>
      </c>
      <c r="B4672" t="s">
        <v>2931</v>
      </c>
      <c r="C4672">
        <v>11071</v>
      </c>
      <c r="D4672" t="str">
        <f>"40346       "</f>
        <v xml:space="preserve">40346       </v>
      </c>
      <c r="E4672" t="s">
        <v>1078</v>
      </c>
      <c r="F4672" t="s">
        <v>1079</v>
      </c>
      <c r="G4672">
        <v>157.28</v>
      </c>
      <c r="H4672">
        <v>250826</v>
      </c>
      <c r="I4672">
        <v>4572</v>
      </c>
      <c r="J4672" t="s">
        <v>173</v>
      </c>
      <c r="K4672">
        <v>157.28</v>
      </c>
      <c r="L4672">
        <v>31.96</v>
      </c>
      <c r="M4672">
        <v>17951</v>
      </c>
      <c r="N4672" t="s">
        <v>207</v>
      </c>
      <c r="O4672">
        <v>250829</v>
      </c>
      <c r="P4672">
        <v>125.32</v>
      </c>
    </row>
    <row r="4673" spans="1:16" x14ac:dyDescent="0.25">
      <c r="A4673" t="s">
        <v>3296</v>
      </c>
      <c r="B4673" t="s">
        <v>2931</v>
      </c>
      <c r="C4673">
        <v>13828</v>
      </c>
      <c r="D4673" t="str">
        <f>"40497       "</f>
        <v xml:space="preserve">40497       </v>
      </c>
      <c r="E4673" t="s">
        <v>1078</v>
      </c>
      <c r="F4673" t="s">
        <v>1079</v>
      </c>
      <c r="G4673">
        <v>2811.17</v>
      </c>
      <c r="H4673">
        <v>251016</v>
      </c>
      <c r="I4673">
        <v>4572</v>
      </c>
      <c r="J4673" t="s">
        <v>173</v>
      </c>
      <c r="K4673">
        <v>2850.67</v>
      </c>
      <c r="L4673">
        <v>0</v>
      </c>
      <c r="M4673">
        <v>17951</v>
      </c>
      <c r="N4673" t="s">
        <v>207</v>
      </c>
      <c r="O4673">
        <v>251020</v>
      </c>
      <c r="P4673">
        <v>2811.17</v>
      </c>
    </row>
    <row r="4674" spans="1:16" x14ac:dyDescent="0.25">
      <c r="A4674" t="s">
        <v>3296</v>
      </c>
      <c r="B4674" t="s">
        <v>2931</v>
      </c>
      <c r="C4674">
        <v>13836</v>
      </c>
      <c r="D4674" t="str">
        <f>"40508       "</f>
        <v xml:space="preserve">40508       </v>
      </c>
      <c r="E4674" t="s">
        <v>1078</v>
      </c>
      <c r="F4674" t="s">
        <v>1079</v>
      </c>
      <c r="G4674">
        <v>49.69</v>
      </c>
      <c r="H4674">
        <v>251017</v>
      </c>
      <c r="I4674">
        <v>4572</v>
      </c>
      <c r="J4674" t="s">
        <v>173</v>
      </c>
      <c r="K4674">
        <v>49.69</v>
      </c>
      <c r="L4674">
        <v>10.1</v>
      </c>
      <c r="M4674">
        <v>17951</v>
      </c>
      <c r="N4674" t="s">
        <v>207</v>
      </c>
      <c r="O4674">
        <v>251020</v>
      </c>
      <c r="P4674">
        <v>39.590000000000003</v>
      </c>
    </row>
    <row r="4675" spans="1:16" x14ac:dyDescent="0.25">
      <c r="A4675" t="s">
        <v>3296</v>
      </c>
      <c r="B4675" t="s">
        <v>2931</v>
      </c>
      <c r="C4675">
        <v>14485</v>
      </c>
      <c r="D4675" t="str">
        <f>"40584       "</f>
        <v xml:space="preserve">40584       </v>
      </c>
      <c r="E4675" t="s">
        <v>1078</v>
      </c>
      <c r="F4675" t="s">
        <v>1079</v>
      </c>
      <c r="G4675">
        <v>133.13</v>
      </c>
      <c r="H4675">
        <v>251031</v>
      </c>
      <c r="I4675">
        <v>4572</v>
      </c>
      <c r="J4675" t="s">
        <v>173</v>
      </c>
      <c r="K4675">
        <v>325.89999999999998</v>
      </c>
      <c r="L4675">
        <v>27.05</v>
      </c>
      <c r="M4675">
        <v>17951</v>
      </c>
      <c r="N4675" t="s">
        <v>207</v>
      </c>
      <c r="O4675">
        <v>251103</v>
      </c>
      <c r="P4675">
        <v>106.08</v>
      </c>
    </row>
    <row r="4676" spans="1:16" x14ac:dyDescent="0.25">
      <c r="A4676" t="s">
        <v>3296</v>
      </c>
      <c r="B4676" t="s">
        <v>2931</v>
      </c>
      <c r="C4676">
        <v>14659</v>
      </c>
      <c r="D4676" t="str">
        <f>"40606       "</f>
        <v xml:space="preserve">40606       </v>
      </c>
      <c r="E4676" t="s">
        <v>1078</v>
      </c>
      <c r="F4676" t="s">
        <v>1079</v>
      </c>
      <c r="G4676">
        <v>196.5</v>
      </c>
      <c r="H4676">
        <v>251104</v>
      </c>
      <c r="I4676">
        <v>4572</v>
      </c>
      <c r="J4676" t="s">
        <v>173</v>
      </c>
      <c r="K4676">
        <v>196.5</v>
      </c>
      <c r="L4676">
        <v>39.93</v>
      </c>
      <c r="M4676">
        <v>17951</v>
      </c>
      <c r="N4676" t="s">
        <v>207</v>
      </c>
      <c r="O4676">
        <v>251105</v>
      </c>
      <c r="P4676">
        <v>156.57</v>
      </c>
    </row>
    <row r="4677" spans="1:16" x14ac:dyDescent="0.25">
      <c r="A4677" t="s">
        <v>3296</v>
      </c>
      <c r="B4677" t="s">
        <v>2931</v>
      </c>
      <c r="C4677">
        <v>16497</v>
      </c>
      <c r="D4677" t="str">
        <f>"40729       "</f>
        <v xml:space="preserve">40729       </v>
      </c>
      <c r="E4677" t="s">
        <v>1078</v>
      </c>
      <c r="F4677" t="s">
        <v>1079</v>
      </c>
      <c r="G4677">
        <v>274.48</v>
      </c>
      <c r="H4677">
        <v>251205</v>
      </c>
      <c r="I4677">
        <v>4572</v>
      </c>
      <c r="J4677" t="s">
        <v>173</v>
      </c>
      <c r="K4677">
        <v>274.48</v>
      </c>
      <c r="L4677">
        <v>55.77</v>
      </c>
      <c r="M4677">
        <v>17951</v>
      </c>
      <c r="N4677" t="s">
        <v>207</v>
      </c>
      <c r="O4677">
        <v>251209</v>
      </c>
      <c r="P4677">
        <v>218.71</v>
      </c>
    </row>
    <row r="4678" spans="1:16" x14ac:dyDescent="0.25">
      <c r="A4678" t="s">
        <v>3296</v>
      </c>
      <c r="B4678" t="s">
        <v>2931</v>
      </c>
      <c r="C4678">
        <v>1658</v>
      </c>
      <c r="D4678" t="str">
        <f>"39642       "</f>
        <v xml:space="preserve">39642       </v>
      </c>
      <c r="E4678" t="s">
        <v>1078</v>
      </c>
      <c r="F4678" t="s">
        <v>1079</v>
      </c>
      <c r="G4678">
        <v>143.94</v>
      </c>
      <c r="H4678">
        <v>250207</v>
      </c>
      <c r="I4678">
        <v>4600</v>
      </c>
      <c r="J4678" t="s">
        <v>278</v>
      </c>
      <c r="K4678">
        <v>143.94</v>
      </c>
      <c r="L4678">
        <v>29.25</v>
      </c>
      <c r="M4678">
        <v>17807</v>
      </c>
      <c r="N4678" t="s">
        <v>23</v>
      </c>
      <c r="O4678">
        <v>250212</v>
      </c>
      <c r="P4678">
        <v>114.69</v>
      </c>
    </row>
    <row r="4679" spans="1:16" x14ac:dyDescent="0.25">
      <c r="A4679" t="s">
        <v>3296</v>
      </c>
      <c r="B4679" t="s">
        <v>2931</v>
      </c>
      <c r="C4679">
        <v>14080</v>
      </c>
      <c r="D4679" t="str">
        <f>"40519       "</f>
        <v xml:space="preserve">40519       </v>
      </c>
      <c r="E4679" t="s">
        <v>1078</v>
      </c>
      <c r="F4679" t="s">
        <v>1079</v>
      </c>
      <c r="G4679">
        <v>29.78</v>
      </c>
      <c r="H4679">
        <v>251017</v>
      </c>
      <c r="I4679">
        <v>4600</v>
      </c>
      <c r="J4679" t="s">
        <v>278</v>
      </c>
      <c r="K4679">
        <v>29.78</v>
      </c>
      <c r="L4679">
        <v>6.05</v>
      </c>
      <c r="M4679">
        <v>17952</v>
      </c>
      <c r="N4679" t="s">
        <v>157</v>
      </c>
      <c r="O4679">
        <v>251023</v>
      </c>
      <c r="P4679">
        <v>23.73</v>
      </c>
    </row>
    <row r="4680" spans="1:16" x14ac:dyDescent="0.25">
      <c r="A4680" t="s">
        <v>3296</v>
      </c>
      <c r="B4680" t="s">
        <v>2931</v>
      </c>
      <c r="C4680">
        <v>14485</v>
      </c>
      <c r="D4680" t="str">
        <f>"40584       "</f>
        <v xml:space="preserve">40584       </v>
      </c>
      <c r="E4680" t="s">
        <v>1078</v>
      </c>
      <c r="F4680" t="s">
        <v>1079</v>
      </c>
      <c r="G4680">
        <v>192.77</v>
      </c>
      <c r="H4680">
        <v>251031</v>
      </c>
      <c r="I4680">
        <v>4600</v>
      </c>
      <c r="J4680" t="s">
        <v>278</v>
      </c>
      <c r="K4680">
        <v>325.89999999999998</v>
      </c>
      <c r="L4680">
        <v>39.17</v>
      </c>
      <c r="M4680">
        <v>17807</v>
      </c>
      <c r="N4680" t="s">
        <v>23</v>
      </c>
      <c r="O4680">
        <v>251103</v>
      </c>
      <c r="P4680">
        <v>153.6</v>
      </c>
    </row>
    <row r="4681" spans="1:16" x14ac:dyDescent="0.25">
      <c r="A4681" t="s">
        <v>3296</v>
      </c>
      <c r="B4681" t="s">
        <v>2931</v>
      </c>
      <c r="C4681">
        <v>12466</v>
      </c>
      <c r="D4681" t="str">
        <f>"190925      "</f>
        <v xml:space="preserve">190925      </v>
      </c>
      <c r="E4681" t="s">
        <v>3015</v>
      </c>
      <c r="F4681" t="s">
        <v>3016</v>
      </c>
      <c r="G4681">
        <v>81</v>
      </c>
      <c r="H4681">
        <v>250912</v>
      </c>
      <c r="I4681">
        <v>4440</v>
      </c>
      <c r="J4681" t="s">
        <v>346</v>
      </c>
      <c r="K4681">
        <v>81</v>
      </c>
      <c r="L4681">
        <v>0</v>
      </c>
      <c r="M4681">
        <v>12982</v>
      </c>
      <c r="N4681" t="s">
        <v>1384</v>
      </c>
      <c r="O4681">
        <v>250924</v>
      </c>
      <c r="P4681">
        <v>81</v>
      </c>
    </row>
    <row r="4682" spans="1:16" x14ac:dyDescent="0.25">
      <c r="A4682" t="s">
        <v>3296</v>
      </c>
      <c r="B4682" t="s">
        <v>2931</v>
      </c>
      <c r="C4682">
        <v>13364</v>
      </c>
      <c r="D4682" t="str">
        <f>"260925      "</f>
        <v xml:space="preserve">260925      </v>
      </c>
      <c r="E4682" t="s">
        <v>3015</v>
      </c>
      <c r="F4682" t="s">
        <v>3016</v>
      </c>
      <c r="G4682">
        <v>99</v>
      </c>
      <c r="H4682">
        <v>250924</v>
      </c>
      <c r="I4682">
        <v>4440</v>
      </c>
      <c r="J4682" t="s">
        <v>346</v>
      </c>
      <c r="K4682">
        <v>99</v>
      </c>
      <c r="L4682">
        <v>0</v>
      </c>
      <c r="M4682">
        <v>12982</v>
      </c>
      <c r="N4682" t="s">
        <v>1384</v>
      </c>
      <c r="O4682">
        <v>251008</v>
      </c>
      <c r="P4682">
        <v>99</v>
      </c>
    </row>
    <row r="4683" spans="1:16" x14ac:dyDescent="0.25">
      <c r="A4683" t="s">
        <v>3296</v>
      </c>
      <c r="B4683" t="s">
        <v>2931</v>
      </c>
      <c r="C4683">
        <v>2371</v>
      </c>
      <c r="D4683" t="str">
        <f>"210225      "</f>
        <v xml:space="preserve">210225      </v>
      </c>
      <c r="E4683" t="s">
        <v>3015</v>
      </c>
      <c r="F4683" t="s">
        <v>3016</v>
      </c>
      <c r="G4683">
        <v>180</v>
      </c>
      <c r="H4683">
        <v>250218</v>
      </c>
      <c r="I4683">
        <v>4860</v>
      </c>
      <c r="J4683" t="s">
        <v>286</v>
      </c>
      <c r="K4683">
        <v>180</v>
      </c>
      <c r="L4683">
        <v>0</v>
      </c>
      <c r="M4683">
        <v>11902</v>
      </c>
      <c r="N4683" t="s">
        <v>329</v>
      </c>
      <c r="O4683">
        <v>250225</v>
      </c>
      <c r="P4683">
        <v>180</v>
      </c>
    </row>
    <row r="4684" spans="1:16" x14ac:dyDescent="0.25">
      <c r="A4684" t="s">
        <v>3296</v>
      </c>
      <c r="B4684" t="s">
        <v>2931</v>
      </c>
      <c r="C4684">
        <v>1714</v>
      </c>
      <c r="D4684" t="str">
        <f>"1501014     "</f>
        <v xml:space="preserve">1501014     </v>
      </c>
      <c r="E4684" t="s">
        <v>587</v>
      </c>
      <c r="F4684" t="s">
        <v>588</v>
      </c>
      <c r="G4684">
        <v>516.70000000000005</v>
      </c>
      <c r="H4684">
        <v>250131</v>
      </c>
      <c r="I4684">
        <v>4400</v>
      </c>
      <c r="J4684" t="s">
        <v>162</v>
      </c>
      <c r="K4684">
        <v>516.70000000000005</v>
      </c>
      <c r="L4684">
        <v>104.99</v>
      </c>
      <c r="M4684">
        <v>17808</v>
      </c>
      <c r="N4684" t="s">
        <v>24</v>
      </c>
      <c r="O4684">
        <v>250213</v>
      </c>
      <c r="P4684">
        <v>411.71</v>
      </c>
    </row>
    <row r="4685" spans="1:16" x14ac:dyDescent="0.25">
      <c r="A4685" t="s">
        <v>3296</v>
      </c>
      <c r="B4685" t="s">
        <v>2931</v>
      </c>
      <c r="C4685">
        <v>2302</v>
      </c>
      <c r="D4685" t="str">
        <f>"1501082     "</f>
        <v xml:space="preserve">1501082     </v>
      </c>
      <c r="E4685" t="s">
        <v>587</v>
      </c>
      <c r="F4685" t="s">
        <v>588</v>
      </c>
      <c r="G4685">
        <v>186.65</v>
      </c>
      <c r="H4685">
        <v>250218</v>
      </c>
      <c r="I4685">
        <v>4400</v>
      </c>
      <c r="J4685" t="s">
        <v>162</v>
      </c>
      <c r="K4685">
        <v>186.65</v>
      </c>
      <c r="L4685">
        <v>37.92</v>
      </c>
      <c r="M4685">
        <v>17802</v>
      </c>
      <c r="N4685" t="s">
        <v>18</v>
      </c>
      <c r="O4685">
        <v>250224</v>
      </c>
      <c r="P4685">
        <v>148.72999999999999</v>
      </c>
    </row>
    <row r="4686" spans="1:16" x14ac:dyDescent="0.25">
      <c r="A4686" t="s">
        <v>3296</v>
      </c>
      <c r="B4686" t="s">
        <v>2931</v>
      </c>
      <c r="C4686">
        <v>3773</v>
      </c>
      <c r="D4686" t="str">
        <f>"1501201     "</f>
        <v xml:space="preserve">1501201     </v>
      </c>
      <c r="E4686" t="s">
        <v>587</v>
      </c>
      <c r="F4686" t="s">
        <v>588</v>
      </c>
      <c r="G4686">
        <v>62.45</v>
      </c>
      <c r="H4686">
        <v>250318</v>
      </c>
      <c r="I4686">
        <v>4400</v>
      </c>
      <c r="J4686" t="s">
        <v>162</v>
      </c>
      <c r="K4686">
        <v>62.45</v>
      </c>
      <c r="L4686">
        <v>12.69</v>
      </c>
      <c r="M4686">
        <v>17808</v>
      </c>
      <c r="N4686" t="s">
        <v>24</v>
      </c>
      <c r="O4686">
        <v>250401</v>
      </c>
      <c r="P4686">
        <v>49.76</v>
      </c>
    </row>
    <row r="4687" spans="1:16" x14ac:dyDescent="0.25">
      <c r="A4687" t="s">
        <v>3296</v>
      </c>
      <c r="B4687" t="s">
        <v>2931</v>
      </c>
      <c r="C4687">
        <v>7527</v>
      </c>
      <c r="D4687" t="str">
        <f>"1501508     "</f>
        <v xml:space="preserve">1501508     </v>
      </c>
      <c r="E4687" t="s">
        <v>587</v>
      </c>
      <c r="F4687" t="s">
        <v>588</v>
      </c>
      <c r="G4687">
        <v>81.95</v>
      </c>
      <c r="H4687">
        <v>250526</v>
      </c>
      <c r="I4687">
        <v>4400</v>
      </c>
      <c r="J4687" t="s">
        <v>162</v>
      </c>
      <c r="K4687">
        <v>130.94999999999999</v>
      </c>
      <c r="L4687">
        <v>16.649999999999999</v>
      </c>
      <c r="M4687">
        <v>17808</v>
      </c>
      <c r="N4687" t="s">
        <v>24</v>
      </c>
      <c r="O4687">
        <v>250604</v>
      </c>
      <c r="P4687">
        <v>65.3</v>
      </c>
    </row>
    <row r="4688" spans="1:16" x14ac:dyDescent="0.25">
      <c r="A4688" t="s">
        <v>3296</v>
      </c>
      <c r="B4688" t="s">
        <v>2931</v>
      </c>
      <c r="C4688">
        <v>7527</v>
      </c>
      <c r="D4688" t="str">
        <f>"1501508     "</f>
        <v xml:space="preserve">1501508     </v>
      </c>
      <c r="E4688" t="s">
        <v>587</v>
      </c>
      <c r="F4688" t="s">
        <v>588</v>
      </c>
      <c r="G4688">
        <v>49</v>
      </c>
      <c r="H4688">
        <v>250526</v>
      </c>
      <c r="I4688">
        <v>4400</v>
      </c>
      <c r="J4688" t="s">
        <v>162</v>
      </c>
      <c r="K4688">
        <v>130.94999999999999</v>
      </c>
      <c r="L4688">
        <v>9.9600000000000009</v>
      </c>
      <c r="M4688">
        <v>17951</v>
      </c>
      <c r="N4688" t="s">
        <v>207</v>
      </c>
      <c r="O4688">
        <v>250604</v>
      </c>
      <c r="P4688">
        <v>39.04</v>
      </c>
    </row>
    <row r="4689" spans="1:16" x14ac:dyDescent="0.25">
      <c r="A4689" t="s">
        <v>3296</v>
      </c>
      <c r="B4689" t="s">
        <v>2931</v>
      </c>
      <c r="C4689">
        <v>7528</v>
      </c>
      <c r="D4689" t="str">
        <f>"1501511     "</f>
        <v xml:space="preserve">1501511     </v>
      </c>
      <c r="E4689" t="s">
        <v>587</v>
      </c>
      <c r="F4689" t="s">
        <v>588</v>
      </c>
      <c r="G4689">
        <v>41.65</v>
      </c>
      <c r="H4689">
        <v>250526</v>
      </c>
      <c r="I4689">
        <v>4400</v>
      </c>
      <c r="J4689" t="s">
        <v>162</v>
      </c>
      <c r="K4689">
        <v>41.65</v>
      </c>
      <c r="L4689">
        <v>8.4600000000000009</v>
      </c>
      <c r="M4689">
        <v>17808</v>
      </c>
      <c r="N4689" t="s">
        <v>24</v>
      </c>
      <c r="O4689">
        <v>250604</v>
      </c>
      <c r="P4689">
        <v>33.19</v>
      </c>
    </row>
    <row r="4690" spans="1:16" x14ac:dyDescent="0.25">
      <c r="A4690" t="s">
        <v>3296</v>
      </c>
      <c r="B4690" t="s">
        <v>2931</v>
      </c>
      <c r="C4690">
        <v>7541</v>
      </c>
      <c r="D4690" t="str">
        <f>"1501507     "</f>
        <v xml:space="preserve">1501507     </v>
      </c>
      <c r="E4690" t="s">
        <v>587</v>
      </c>
      <c r="F4690" t="s">
        <v>588</v>
      </c>
      <c r="G4690">
        <v>300</v>
      </c>
      <c r="H4690">
        <v>250526</v>
      </c>
      <c r="I4690">
        <v>4400</v>
      </c>
      <c r="J4690" t="s">
        <v>162</v>
      </c>
      <c r="K4690">
        <v>1637.85</v>
      </c>
      <c r="L4690">
        <v>60.96</v>
      </c>
      <c r="M4690">
        <v>17808</v>
      </c>
      <c r="N4690" t="s">
        <v>24</v>
      </c>
      <c r="O4690">
        <v>250604</v>
      </c>
      <c r="P4690">
        <v>239.04</v>
      </c>
    </row>
    <row r="4691" spans="1:16" x14ac:dyDescent="0.25">
      <c r="A4691" t="s">
        <v>3296</v>
      </c>
      <c r="B4691" t="s">
        <v>2931</v>
      </c>
      <c r="C4691">
        <v>7561</v>
      </c>
      <c r="D4691" t="str">
        <f>"1501509     "</f>
        <v xml:space="preserve">1501509     </v>
      </c>
      <c r="E4691" t="s">
        <v>587</v>
      </c>
      <c r="F4691" t="s">
        <v>588</v>
      </c>
      <c r="G4691">
        <v>38</v>
      </c>
      <c r="H4691">
        <v>250526</v>
      </c>
      <c r="I4691">
        <v>4400</v>
      </c>
      <c r="J4691" t="s">
        <v>162</v>
      </c>
      <c r="K4691">
        <v>38</v>
      </c>
      <c r="L4691">
        <v>7.72</v>
      </c>
      <c r="M4691">
        <v>17802</v>
      </c>
      <c r="N4691" t="s">
        <v>18</v>
      </c>
      <c r="O4691">
        <v>250604</v>
      </c>
      <c r="P4691">
        <v>30.28</v>
      </c>
    </row>
    <row r="4692" spans="1:16" x14ac:dyDescent="0.25">
      <c r="A4692" t="s">
        <v>3296</v>
      </c>
      <c r="B4692" t="s">
        <v>2931</v>
      </c>
      <c r="C4692">
        <v>12188</v>
      </c>
      <c r="D4692" t="str">
        <f>"1502100     "</f>
        <v xml:space="preserve">1502100     </v>
      </c>
      <c r="E4692" t="s">
        <v>587</v>
      </c>
      <c r="F4692" t="s">
        <v>588</v>
      </c>
      <c r="G4692">
        <v>3.34</v>
      </c>
      <c r="H4692">
        <v>250915</v>
      </c>
      <c r="I4692">
        <v>4400</v>
      </c>
      <c r="J4692" t="s">
        <v>162</v>
      </c>
      <c r="K4692">
        <v>194.35</v>
      </c>
      <c r="L4692">
        <v>0.68</v>
      </c>
      <c r="M4692">
        <v>17737</v>
      </c>
      <c r="N4692" t="s">
        <v>156</v>
      </c>
      <c r="O4692">
        <v>250917</v>
      </c>
      <c r="P4692">
        <v>2.66</v>
      </c>
    </row>
    <row r="4693" spans="1:16" x14ac:dyDescent="0.25">
      <c r="A4693" t="s">
        <v>3296</v>
      </c>
      <c r="B4693" t="s">
        <v>2931</v>
      </c>
      <c r="C4693">
        <v>12520</v>
      </c>
      <c r="D4693" t="str">
        <f>"1502097     "</f>
        <v xml:space="preserve">1502097     </v>
      </c>
      <c r="E4693" t="s">
        <v>587</v>
      </c>
      <c r="F4693" t="s">
        <v>588</v>
      </c>
      <c r="G4693">
        <v>250</v>
      </c>
      <c r="H4693">
        <v>250915</v>
      </c>
      <c r="I4693">
        <v>4400</v>
      </c>
      <c r="J4693" t="s">
        <v>162</v>
      </c>
      <c r="K4693">
        <v>250</v>
      </c>
      <c r="L4693">
        <v>50.8</v>
      </c>
      <c r="M4693">
        <v>17802</v>
      </c>
      <c r="N4693" t="s">
        <v>18</v>
      </c>
      <c r="O4693">
        <v>250925</v>
      </c>
      <c r="P4693">
        <v>199.2</v>
      </c>
    </row>
    <row r="4694" spans="1:16" x14ac:dyDescent="0.25">
      <c r="A4694" t="s">
        <v>3296</v>
      </c>
      <c r="B4694" t="s">
        <v>2931</v>
      </c>
      <c r="C4694">
        <v>16705</v>
      </c>
      <c r="D4694" t="str">
        <f>"1502562     "</f>
        <v xml:space="preserve">1502562     </v>
      </c>
      <c r="E4694" t="s">
        <v>587</v>
      </c>
      <c r="F4694" t="s">
        <v>588</v>
      </c>
      <c r="G4694">
        <v>160.94999999999999</v>
      </c>
      <c r="H4694">
        <v>251208</v>
      </c>
      <c r="I4694">
        <v>4400</v>
      </c>
      <c r="J4694" t="s">
        <v>162</v>
      </c>
      <c r="K4694">
        <v>160.94999999999999</v>
      </c>
      <c r="L4694">
        <v>32.700000000000003</v>
      </c>
      <c r="M4694">
        <v>17808</v>
      </c>
      <c r="N4694" t="s">
        <v>24</v>
      </c>
      <c r="O4694">
        <v>251211</v>
      </c>
      <c r="P4694">
        <v>128.25</v>
      </c>
    </row>
    <row r="4695" spans="1:16" x14ac:dyDescent="0.25">
      <c r="A4695" t="s">
        <v>3296</v>
      </c>
      <c r="B4695" t="s">
        <v>2931</v>
      </c>
      <c r="C4695">
        <v>2304</v>
      </c>
      <c r="D4695" t="str">
        <f>"1501085     "</f>
        <v xml:space="preserve">1501085     </v>
      </c>
      <c r="E4695" t="s">
        <v>587</v>
      </c>
      <c r="F4695" t="s">
        <v>588</v>
      </c>
      <c r="G4695">
        <v>19.920000000000002</v>
      </c>
      <c r="H4695">
        <v>250218</v>
      </c>
      <c r="I4695">
        <v>4555</v>
      </c>
      <c r="J4695" t="s">
        <v>352</v>
      </c>
      <c r="K4695">
        <v>56.95</v>
      </c>
      <c r="L4695">
        <v>4.05</v>
      </c>
      <c r="M4695">
        <v>17711</v>
      </c>
      <c r="N4695" t="s">
        <v>155</v>
      </c>
      <c r="O4695">
        <v>250224</v>
      </c>
      <c r="P4695">
        <v>15.87</v>
      </c>
    </row>
    <row r="4696" spans="1:16" x14ac:dyDescent="0.25">
      <c r="A4696" t="s">
        <v>3296</v>
      </c>
      <c r="B4696" t="s">
        <v>2931</v>
      </c>
      <c r="C4696">
        <v>5352</v>
      </c>
      <c r="D4696" t="str">
        <f>"1501336     "</f>
        <v xml:space="preserve">1501336     </v>
      </c>
      <c r="E4696" t="s">
        <v>587</v>
      </c>
      <c r="F4696" t="s">
        <v>588</v>
      </c>
      <c r="G4696">
        <v>16.64</v>
      </c>
      <c r="H4696">
        <v>250414</v>
      </c>
      <c r="I4696">
        <v>4555</v>
      </c>
      <c r="J4696" t="s">
        <v>352</v>
      </c>
      <c r="K4696">
        <v>49.95</v>
      </c>
      <c r="L4696">
        <v>3.38</v>
      </c>
      <c r="M4696">
        <v>17711</v>
      </c>
      <c r="N4696" t="s">
        <v>155</v>
      </c>
      <c r="O4696">
        <v>250423</v>
      </c>
      <c r="P4696">
        <v>13.26</v>
      </c>
    </row>
    <row r="4697" spans="1:16" x14ac:dyDescent="0.25">
      <c r="A4697" t="s">
        <v>3296</v>
      </c>
      <c r="B4697" t="s">
        <v>2931</v>
      </c>
      <c r="C4697">
        <v>5249</v>
      </c>
      <c r="D4697" t="str">
        <f>"1501265     "</f>
        <v xml:space="preserve">1501265     </v>
      </c>
      <c r="E4697" t="s">
        <v>587</v>
      </c>
      <c r="F4697" t="s">
        <v>588</v>
      </c>
      <c r="G4697">
        <v>238.95</v>
      </c>
      <c r="H4697">
        <v>250401</v>
      </c>
      <c r="I4697">
        <v>4580</v>
      </c>
      <c r="J4697" t="s">
        <v>126</v>
      </c>
      <c r="K4697">
        <v>238.95</v>
      </c>
      <c r="L4697">
        <v>48.55</v>
      </c>
      <c r="M4697">
        <v>17802</v>
      </c>
      <c r="N4697" t="s">
        <v>18</v>
      </c>
      <c r="O4697">
        <v>250423</v>
      </c>
      <c r="P4697">
        <v>190.4</v>
      </c>
    </row>
    <row r="4698" spans="1:16" x14ac:dyDescent="0.25">
      <c r="A4698" t="s">
        <v>3296</v>
      </c>
      <c r="B4698" t="s">
        <v>2931</v>
      </c>
      <c r="C4698">
        <v>7519</v>
      </c>
      <c r="D4698" t="str">
        <f>"1501513     "</f>
        <v xml:space="preserve">1501513     </v>
      </c>
      <c r="E4698" t="s">
        <v>587</v>
      </c>
      <c r="F4698" t="s">
        <v>588</v>
      </c>
      <c r="G4698">
        <v>199</v>
      </c>
      <c r="H4698">
        <v>250526</v>
      </c>
      <c r="I4698">
        <v>4580</v>
      </c>
      <c r="J4698" t="s">
        <v>126</v>
      </c>
      <c r="K4698">
        <v>199</v>
      </c>
      <c r="L4698">
        <v>40.43</v>
      </c>
      <c r="M4698">
        <v>17802</v>
      </c>
      <c r="N4698" t="s">
        <v>18</v>
      </c>
      <c r="O4698">
        <v>250604</v>
      </c>
      <c r="P4698">
        <v>158.57</v>
      </c>
    </row>
    <row r="4699" spans="1:16" x14ac:dyDescent="0.25">
      <c r="A4699" t="s">
        <v>3296</v>
      </c>
      <c r="B4699" t="s">
        <v>2931</v>
      </c>
      <c r="C4699">
        <v>7542</v>
      </c>
      <c r="D4699" t="str">
        <f>"1501512     "</f>
        <v xml:space="preserve">1501512     </v>
      </c>
      <c r="E4699" t="s">
        <v>587</v>
      </c>
      <c r="F4699" t="s">
        <v>588</v>
      </c>
      <c r="G4699">
        <v>9.6</v>
      </c>
      <c r="H4699">
        <v>250526</v>
      </c>
      <c r="I4699">
        <v>4580</v>
      </c>
      <c r="J4699" t="s">
        <v>126</v>
      </c>
      <c r="K4699">
        <v>9.6</v>
      </c>
      <c r="L4699">
        <v>1.95</v>
      </c>
      <c r="M4699">
        <v>17951</v>
      </c>
      <c r="N4699" t="s">
        <v>207</v>
      </c>
      <c r="O4699">
        <v>250604</v>
      </c>
      <c r="P4699">
        <v>7.65</v>
      </c>
    </row>
    <row r="4700" spans="1:16" x14ac:dyDescent="0.25">
      <c r="A4700" t="s">
        <v>3296</v>
      </c>
      <c r="B4700" t="s">
        <v>2931</v>
      </c>
      <c r="C4700">
        <v>7556</v>
      </c>
      <c r="D4700" t="str">
        <f>"1501510     "</f>
        <v xml:space="preserve">1501510     </v>
      </c>
      <c r="E4700" t="s">
        <v>587</v>
      </c>
      <c r="F4700" t="s">
        <v>588</v>
      </c>
      <c r="G4700">
        <v>27.7</v>
      </c>
      <c r="H4700">
        <v>250526</v>
      </c>
      <c r="I4700">
        <v>4580</v>
      </c>
      <c r="J4700" t="s">
        <v>126</v>
      </c>
      <c r="K4700">
        <v>222.7</v>
      </c>
      <c r="L4700">
        <v>5.63</v>
      </c>
      <c r="M4700">
        <v>17803</v>
      </c>
      <c r="N4700" t="s">
        <v>19</v>
      </c>
      <c r="O4700">
        <v>250604</v>
      </c>
      <c r="P4700">
        <v>22.07</v>
      </c>
    </row>
    <row r="4701" spans="1:16" x14ac:dyDescent="0.25">
      <c r="A4701" t="s">
        <v>3296</v>
      </c>
      <c r="B4701" t="s">
        <v>2931</v>
      </c>
      <c r="C4701">
        <v>7556</v>
      </c>
      <c r="D4701" t="str">
        <f>"1501510     "</f>
        <v xml:space="preserve">1501510     </v>
      </c>
      <c r="E4701" t="s">
        <v>587</v>
      </c>
      <c r="F4701" t="s">
        <v>588</v>
      </c>
      <c r="G4701">
        <v>195</v>
      </c>
      <c r="H4701">
        <v>250526</v>
      </c>
      <c r="I4701">
        <v>4580</v>
      </c>
      <c r="J4701" t="s">
        <v>126</v>
      </c>
      <c r="K4701">
        <v>222.7</v>
      </c>
      <c r="L4701">
        <v>39.619999999999997</v>
      </c>
      <c r="M4701">
        <v>17808</v>
      </c>
      <c r="N4701" t="s">
        <v>24</v>
      </c>
      <c r="O4701">
        <v>250604</v>
      </c>
      <c r="P4701">
        <v>155.38</v>
      </c>
    </row>
    <row r="4702" spans="1:16" x14ac:dyDescent="0.25">
      <c r="A4702" t="s">
        <v>3296</v>
      </c>
      <c r="B4702" t="s">
        <v>2931</v>
      </c>
      <c r="C4702">
        <v>11973</v>
      </c>
      <c r="D4702" t="str">
        <f>"1502008     "</f>
        <v xml:space="preserve">1502008     </v>
      </c>
      <c r="E4702" t="s">
        <v>587</v>
      </c>
      <c r="F4702" t="s">
        <v>588</v>
      </c>
      <c r="G4702">
        <v>45.74</v>
      </c>
      <c r="H4702">
        <v>250831</v>
      </c>
      <c r="I4702">
        <v>4580</v>
      </c>
      <c r="J4702" t="s">
        <v>126</v>
      </c>
      <c r="K4702">
        <v>500.4</v>
      </c>
      <c r="L4702">
        <v>9.2899999999999991</v>
      </c>
      <c r="M4702">
        <v>17802</v>
      </c>
      <c r="N4702" t="s">
        <v>18</v>
      </c>
      <c r="O4702">
        <v>250915</v>
      </c>
      <c r="P4702">
        <v>36.450000000000003</v>
      </c>
    </row>
    <row r="4703" spans="1:16" x14ac:dyDescent="0.25">
      <c r="A4703" t="s">
        <v>3296</v>
      </c>
      <c r="B4703" t="s">
        <v>2931</v>
      </c>
      <c r="C4703">
        <v>12188</v>
      </c>
      <c r="D4703" t="str">
        <f>"1502100     "</f>
        <v xml:space="preserve">1502100     </v>
      </c>
      <c r="E4703" t="s">
        <v>587</v>
      </c>
      <c r="F4703" t="s">
        <v>588</v>
      </c>
      <c r="G4703">
        <v>176.25</v>
      </c>
      <c r="H4703">
        <v>250915</v>
      </c>
      <c r="I4703">
        <v>4580</v>
      </c>
      <c r="J4703" t="s">
        <v>126</v>
      </c>
      <c r="K4703">
        <v>194.35</v>
      </c>
      <c r="L4703">
        <v>35.81</v>
      </c>
      <c r="M4703">
        <v>17952</v>
      </c>
      <c r="N4703" t="s">
        <v>157</v>
      </c>
      <c r="O4703">
        <v>250917</v>
      </c>
      <c r="P4703">
        <v>140.44</v>
      </c>
    </row>
    <row r="4704" spans="1:16" x14ac:dyDescent="0.25">
      <c r="A4704" t="s">
        <v>3296</v>
      </c>
      <c r="B4704" t="s">
        <v>2931</v>
      </c>
      <c r="C4704">
        <v>14068</v>
      </c>
      <c r="D4704" t="str">
        <f>"1502244     "</f>
        <v xml:space="preserve">1502244     </v>
      </c>
      <c r="E4704" t="s">
        <v>587</v>
      </c>
      <c r="F4704" t="s">
        <v>588</v>
      </c>
      <c r="G4704">
        <v>155</v>
      </c>
      <c r="H4704">
        <v>251013</v>
      </c>
      <c r="I4704">
        <v>4580</v>
      </c>
      <c r="J4704" t="s">
        <v>126</v>
      </c>
      <c r="K4704">
        <v>155</v>
      </c>
      <c r="L4704">
        <v>31.49</v>
      </c>
      <c r="M4704">
        <v>17802</v>
      </c>
      <c r="N4704" t="s">
        <v>18</v>
      </c>
      <c r="O4704">
        <v>251022</v>
      </c>
      <c r="P4704">
        <v>123.51</v>
      </c>
    </row>
    <row r="4705" spans="1:16" x14ac:dyDescent="0.25">
      <c r="A4705" t="s">
        <v>3296</v>
      </c>
      <c r="B4705" t="s">
        <v>2931</v>
      </c>
      <c r="C4705">
        <v>17275</v>
      </c>
      <c r="D4705" t="str">
        <f>"1502617     "</f>
        <v xml:space="preserve">1502617     </v>
      </c>
      <c r="E4705" t="s">
        <v>587</v>
      </c>
      <c r="F4705" t="s">
        <v>588</v>
      </c>
      <c r="G4705">
        <v>42.45</v>
      </c>
      <c r="H4705">
        <v>251215</v>
      </c>
      <c r="I4705">
        <v>4580</v>
      </c>
      <c r="J4705" t="s">
        <v>126</v>
      </c>
      <c r="K4705">
        <v>42.45</v>
      </c>
      <c r="L4705">
        <v>8.6300000000000008</v>
      </c>
      <c r="M4705">
        <v>17803</v>
      </c>
      <c r="N4705" t="s">
        <v>19</v>
      </c>
      <c r="O4705">
        <v>251219</v>
      </c>
      <c r="P4705">
        <v>33.82</v>
      </c>
    </row>
    <row r="4706" spans="1:16" x14ac:dyDescent="0.25">
      <c r="A4706" t="s">
        <v>3296</v>
      </c>
      <c r="B4706" t="s">
        <v>2931</v>
      </c>
      <c r="C4706">
        <v>564</v>
      </c>
      <c r="D4706" t="str">
        <f>"1500954     "</f>
        <v xml:space="preserve">1500954     </v>
      </c>
      <c r="E4706" t="s">
        <v>587</v>
      </c>
      <c r="F4706" t="s">
        <v>588</v>
      </c>
      <c r="G4706">
        <v>267.55</v>
      </c>
      <c r="H4706">
        <v>250120</v>
      </c>
      <c r="I4706">
        <v>4600</v>
      </c>
      <c r="J4706" t="s">
        <v>278</v>
      </c>
      <c r="K4706">
        <v>267.55</v>
      </c>
      <c r="L4706">
        <v>54.36</v>
      </c>
      <c r="M4706">
        <v>17802</v>
      </c>
      <c r="N4706" t="s">
        <v>18</v>
      </c>
      <c r="O4706">
        <v>250124</v>
      </c>
      <c r="P4706">
        <v>213.19</v>
      </c>
    </row>
    <row r="4707" spans="1:16" x14ac:dyDescent="0.25">
      <c r="A4707" t="s">
        <v>3296</v>
      </c>
      <c r="B4707" t="s">
        <v>2931</v>
      </c>
      <c r="C4707">
        <v>1016</v>
      </c>
      <c r="D4707" t="str">
        <f>"1500955     "</f>
        <v xml:space="preserve">1500955     </v>
      </c>
      <c r="E4707" t="s">
        <v>587</v>
      </c>
      <c r="F4707" t="s">
        <v>588</v>
      </c>
      <c r="G4707">
        <v>612.95000000000005</v>
      </c>
      <c r="H4707">
        <v>250120</v>
      </c>
      <c r="I4707">
        <v>4600</v>
      </c>
      <c r="J4707" t="s">
        <v>278</v>
      </c>
      <c r="K4707">
        <v>612.95000000000005</v>
      </c>
      <c r="L4707">
        <v>124.54</v>
      </c>
      <c r="M4707">
        <v>17812</v>
      </c>
      <c r="N4707" t="s">
        <v>816</v>
      </c>
      <c r="O4707">
        <v>250203</v>
      </c>
      <c r="P4707">
        <v>488.41</v>
      </c>
    </row>
    <row r="4708" spans="1:16" x14ac:dyDescent="0.25">
      <c r="A4708" t="s">
        <v>3296</v>
      </c>
      <c r="B4708" t="s">
        <v>2931</v>
      </c>
      <c r="C4708">
        <v>1716</v>
      </c>
      <c r="D4708" t="str">
        <f>"1501015     "</f>
        <v xml:space="preserve">1501015     </v>
      </c>
      <c r="E4708" t="s">
        <v>587</v>
      </c>
      <c r="F4708" t="s">
        <v>588</v>
      </c>
      <c r="G4708">
        <v>86.6</v>
      </c>
      <c r="H4708">
        <v>250131</v>
      </c>
      <c r="I4708">
        <v>4600</v>
      </c>
      <c r="J4708" t="s">
        <v>278</v>
      </c>
      <c r="K4708">
        <v>86.6</v>
      </c>
      <c r="L4708">
        <v>17.600000000000001</v>
      </c>
      <c r="M4708">
        <v>17802</v>
      </c>
      <c r="N4708" t="s">
        <v>18</v>
      </c>
      <c r="O4708">
        <v>250213</v>
      </c>
      <c r="P4708">
        <v>69</v>
      </c>
    </row>
    <row r="4709" spans="1:16" x14ac:dyDescent="0.25">
      <c r="A4709" t="s">
        <v>3296</v>
      </c>
      <c r="B4709" t="s">
        <v>2931</v>
      </c>
      <c r="C4709">
        <v>1717</v>
      </c>
      <c r="D4709" t="str">
        <f>"1501016     "</f>
        <v xml:space="preserve">1501016     </v>
      </c>
      <c r="E4709" t="s">
        <v>587</v>
      </c>
      <c r="F4709" t="s">
        <v>588</v>
      </c>
      <c r="G4709">
        <v>1403.85</v>
      </c>
      <c r="H4709">
        <v>250131</v>
      </c>
      <c r="I4709">
        <v>4600</v>
      </c>
      <c r="J4709" t="s">
        <v>278</v>
      </c>
      <c r="K4709">
        <v>1403.85</v>
      </c>
      <c r="L4709">
        <v>285.24</v>
      </c>
      <c r="M4709">
        <v>17812</v>
      </c>
      <c r="N4709" t="s">
        <v>816</v>
      </c>
      <c r="O4709">
        <v>250213</v>
      </c>
      <c r="P4709">
        <v>1118.6099999999999</v>
      </c>
    </row>
    <row r="4710" spans="1:16" x14ac:dyDescent="0.25">
      <c r="A4710" t="s">
        <v>3296</v>
      </c>
      <c r="B4710" t="s">
        <v>2931</v>
      </c>
      <c r="C4710">
        <v>2300</v>
      </c>
      <c r="D4710" t="str">
        <f>"1501084     "</f>
        <v xml:space="preserve">1501084     </v>
      </c>
      <c r="E4710" t="s">
        <v>587</v>
      </c>
      <c r="F4710" t="s">
        <v>588</v>
      </c>
      <c r="G4710">
        <v>1351.25</v>
      </c>
      <c r="H4710">
        <v>250218</v>
      </c>
      <c r="I4710">
        <v>4600</v>
      </c>
      <c r="J4710" t="s">
        <v>278</v>
      </c>
      <c r="K4710">
        <v>1351.25</v>
      </c>
      <c r="L4710">
        <v>274.56</v>
      </c>
      <c r="M4710">
        <v>17812</v>
      </c>
      <c r="N4710" t="s">
        <v>816</v>
      </c>
      <c r="O4710">
        <v>250224</v>
      </c>
      <c r="P4710">
        <v>1076.69</v>
      </c>
    </row>
    <row r="4711" spans="1:16" x14ac:dyDescent="0.25">
      <c r="A4711" t="s">
        <v>3296</v>
      </c>
      <c r="B4711" t="s">
        <v>2931</v>
      </c>
      <c r="C4711">
        <v>2304</v>
      </c>
      <c r="D4711" t="str">
        <f>"1501085     "</f>
        <v xml:space="preserve">1501085     </v>
      </c>
      <c r="E4711" t="s">
        <v>587</v>
      </c>
      <c r="F4711" t="s">
        <v>588</v>
      </c>
      <c r="G4711">
        <v>14.34</v>
      </c>
      <c r="H4711">
        <v>250218</v>
      </c>
      <c r="I4711">
        <v>4600</v>
      </c>
      <c r="J4711" t="s">
        <v>278</v>
      </c>
      <c r="K4711">
        <v>56.95</v>
      </c>
      <c r="L4711">
        <v>2.91</v>
      </c>
      <c r="M4711">
        <v>17711</v>
      </c>
      <c r="N4711" t="s">
        <v>155</v>
      </c>
      <c r="O4711">
        <v>250224</v>
      </c>
      <c r="P4711">
        <v>11.43</v>
      </c>
    </row>
    <row r="4712" spans="1:16" x14ac:dyDescent="0.25">
      <c r="A4712" t="s">
        <v>3296</v>
      </c>
      <c r="B4712" t="s">
        <v>2931</v>
      </c>
      <c r="C4712">
        <v>2304</v>
      </c>
      <c r="D4712" t="str">
        <f>"1501085     "</f>
        <v xml:space="preserve">1501085     </v>
      </c>
      <c r="E4712" t="s">
        <v>587</v>
      </c>
      <c r="F4712" t="s">
        <v>588</v>
      </c>
      <c r="G4712">
        <v>22.69</v>
      </c>
      <c r="H4712">
        <v>250218</v>
      </c>
      <c r="I4712">
        <v>4600</v>
      </c>
      <c r="J4712" t="s">
        <v>278</v>
      </c>
      <c r="K4712">
        <v>56.95</v>
      </c>
      <c r="L4712">
        <v>4.6100000000000003</v>
      </c>
      <c r="M4712">
        <v>17711</v>
      </c>
      <c r="N4712" t="s">
        <v>155</v>
      </c>
      <c r="O4712">
        <v>250224</v>
      </c>
      <c r="P4712">
        <v>18.079999999999998</v>
      </c>
    </row>
    <row r="4713" spans="1:16" x14ac:dyDescent="0.25">
      <c r="A4713" t="s">
        <v>3296</v>
      </c>
      <c r="B4713" t="s">
        <v>2931</v>
      </c>
      <c r="C4713">
        <v>2305</v>
      </c>
      <c r="D4713" t="str">
        <f>"1501083     "</f>
        <v xml:space="preserve">1501083     </v>
      </c>
      <c r="E4713" t="s">
        <v>587</v>
      </c>
      <c r="F4713" t="s">
        <v>588</v>
      </c>
      <c r="G4713">
        <v>872.95</v>
      </c>
      <c r="H4713">
        <v>250218</v>
      </c>
      <c r="I4713">
        <v>4600</v>
      </c>
      <c r="J4713" t="s">
        <v>278</v>
      </c>
      <c r="K4713">
        <v>972.95</v>
      </c>
      <c r="L4713">
        <v>177.37</v>
      </c>
      <c r="M4713">
        <v>17802</v>
      </c>
      <c r="N4713" t="s">
        <v>18</v>
      </c>
      <c r="O4713">
        <v>250224</v>
      </c>
      <c r="P4713">
        <v>695.58</v>
      </c>
    </row>
    <row r="4714" spans="1:16" x14ac:dyDescent="0.25">
      <c r="A4714" t="s">
        <v>3296</v>
      </c>
      <c r="B4714" t="s">
        <v>2931</v>
      </c>
      <c r="C4714">
        <v>2305</v>
      </c>
      <c r="D4714" t="str">
        <f>"1501083     "</f>
        <v xml:space="preserve">1501083     </v>
      </c>
      <c r="E4714" t="s">
        <v>587</v>
      </c>
      <c r="F4714" t="s">
        <v>588</v>
      </c>
      <c r="G4714">
        <v>100</v>
      </c>
      <c r="H4714">
        <v>250218</v>
      </c>
      <c r="I4714">
        <v>4600</v>
      </c>
      <c r="J4714" t="s">
        <v>278</v>
      </c>
      <c r="K4714">
        <v>972.95</v>
      </c>
      <c r="L4714">
        <v>20.32</v>
      </c>
      <c r="M4714">
        <v>17812</v>
      </c>
      <c r="N4714" t="s">
        <v>816</v>
      </c>
      <c r="O4714">
        <v>250224</v>
      </c>
      <c r="P4714">
        <v>79.680000000000007</v>
      </c>
    </row>
    <row r="4715" spans="1:16" x14ac:dyDescent="0.25">
      <c r="A4715" t="s">
        <v>3296</v>
      </c>
      <c r="B4715" t="s">
        <v>2931</v>
      </c>
      <c r="C4715">
        <v>2324</v>
      </c>
      <c r="D4715" t="str">
        <f>"1501103     "</f>
        <v xml:space="preserve">1501103     </v>
      </c>
      <c r="E4715" t="s">
        <v>587</v>
      </c>
      <c r="F4715" t="s">
        <v>588</v>
      </c>
      <c r="G4715">
        <v>302.45</v>
      </c>
      <c r="H4715">
        <v>250219</v>
      </c>
      <c r="I4715">
        <v>4600</v>
      </c>
      <c r="J4715" t="s">
        <v>278</v>
      </c>
      <c r="K4715">
        <v>302.45</v>
      </c>
      <c r="L4715">
        <v>61.45</v>
      </c>
      <c r="M4715">
        <v>11301</v>
      </c>
      <c r="N4715" t="s">
        <v>92</v>
      </c>
      <c r="O4715">
        <v>250224</v>
      </c>
      <c r="P4715">
        <v>241</v>
      </c>
    </row>
    <row r="4716" spans="1:16" x14ac:dyDescent="0.25">
      <c r="A4716" t="s">
        <v>3296</v>
      </c>
      <c r="B4716" t="s">
        <v>2931</v>
      </c>
      <c r="C4716">
        <v>3792</v>
      </c>
      <c r="D4716" t="str">
        <f>"1501203     "</f>
        <v xml:space="preserve">1501203     </v>
      </c>
      <c r="E4716" t="s">
        <v>587</v>
      </c>
      <c r="F4716" t="s">
        <v>588</v>
      </c>
      <c r="G4716">
        <v>1118.8499999999999</v>
      </c>
      <c r="H4716">
        <v>250318</v>
      </c>
      <c r="I4716">
        <v>4600</v>
      </c>
      <c r="J4716" t="s">
        <v>278</v>
      </c>
      <c r="K4716">
        <v>1118.8499999999999</v>
      </c>
      <c r="L4716">
        <v>227.34</v>
      </c>
      <c r="M4716">
        <v>17812</v>
      </c>
      <c r="N4716" t="s">
        <v>816</v>
      </c>
      <c r="O4716">
        <v>250401</v>
      </c>
      <c r="P4716">
        <v>891.51</v>
      </c>
    </row>
    <row r="4717" spans="1:16" x14ac:dyDescent="0.25">
      <c r="A4717" t="s">
        <v>3296</v>
      </c>
      <c r="B4717" t="s">
        <v>2931</v>
      </c>
      <c r="C4717">
        <v>4498</v>
      </c>
      <c r="D4717" t="str">
        <f>"1501202     "</f>
        <v xml:space="preserve">1501202     </v>
      </c>
      <c r="E4717" t="s">
        <v>587</v>
      </c>
      <c r="F4717" t="s">
        <v>588</v>
      </c>
      <c r="G4717">
        <v>175.1</v>
      </c>
      <c r="H4717">
        <v>250318</v>
      </c>
      <c r="I4717">
        <v>4600</v>
      </c>
      <c r="J4717" t="s">
        <v>278</v>
      </c>
      <c r="K4717">
        <v>175.1</v>
      </c>
      <c r="L4717">
        <v>35.58</v>
      </c>
      <c r="M4717">
        <v>17802</v>
      </c>
      <c r="N4717" t="s">
        <v>18</v>
      </c>
      <c r="O4717">
        <v>250414</v>
      </c>
      <c r="P4717">
        <v>139.52000000000001</v>
      </c>
    </row>
    <row r="4718" spans="1:16" x14ac:dyDescent="0.25">
      <c r="A4718" t="s">
        <v>3296</v>
      </c>
      <c r="B4718" t="s">
        <v>2931</v>
      </c>
      <c r="C4718">
        <v>5248</v>
      </c>
      <c r="D4718" t="str">
        <f>"1501267     "</f>
        <v xml:space="preserve">1501267     </v>
      </c>
      <c r="E4718" t="s">
        <v>587</v>
      </c>
      <c r="F4718" t="s">
        <v>588</v>
      </c>
      <c r="G4718">
        <v>1094.25</v>
      </c>
      <c r="H4718">
        <v>250401</v>
      </c>
      <c r="I4718">
        <v>4600</v>
      </c>
      <c r="J4718" t="s">
        <v>278</v>
      </c>
      <c r="K4718">
        <v>1094.25</v>
      </c>
      <c r="L4718">
        <v>222.34</v>
      </c>
      <c r="M4718">
        <v>17812</v>
      </c>
      <c r="N4718" t="s">
        <v>816</v>
      </c>
      <c r="O4718">
        <v>250423</v>
      </c>
      <c r="P4718">
        <v>871.91</v>
      </c>
    </row>
    <row r="4719" spans="1:16" x14ac:dyDescent="0.25">
      <c r="A4719" t="s">
        <v>3296</v>
      </c>
      <c r="B4719" t="s">
        <v>2931</v>
      </c>
      <c r="C4719">
        <v>5250</v>
      </c>
      <c r="D4719" t="str">
        <f>"1501266     "</f>
        <v xml:space="preserve">1501266     </v>
      </c>
      <c r="E4719" t="s">
        <v>587</v>
      </c>
      <c r="F4719" t="s">
        <v>588</v>
      </c>
      <c r="G4719">
        <v>101.25</v>
      </c>
      <c r="H4719">
        <v>250401</v>
      </c>
      <c r="I4719">
        <v>4600</v>
      </c>
      <c r="J4719" t="s">
        <v>278</v>
      </c>
      <c r="K4719">
        <v>101.25</v>
      </c>
      <c r="L4719">
        <v>20.57</v>
      </c>
      <c r="M4719">
        <v>17802</v>
      </c>
      <c r="N4719" t="s">
        <v>18</v>
      </c>
      <c r="O4719">
        <v>250423</v>
      </c>
      <c r="P4719">
        <v>80.680000000000007</v>
      </c>
    </row>
    <row r="4720" spans="1:16" x14ac:dyDescent="0.25">
      <c r="A4720" t="s">
        <v>3296</v>
      </c>
      <c r="B4720" t="s">
        <v>2931</v>
      </c>
      <c r="C4720">
        <v>5352</v>
      </c>
      <c r="D4720" t="str">
        <f>"1501336     "</f>
        <v xml:space="preserve">1501336     </v>
      </c>
      <c r="E4720" t="s">
        <v>587</v>
      </c>
      <c r="F4720" t="s">
        <v>588</v>
      </c>
      <c r="G4720">
        <v>33.31</v>
      </c>
      <c r="H4720">
        <v>250414</v>
      </c>
      <c r="I4720">
        <v>4600</v>
      </c>
      <c r="J4720" t="s">
        <v>278</v>
      </c>
      <c r="K4720">
        <v>49.95</v>
      </c>
      <c r="L4720">
        <v>6.77</v>
      </c>
      <c r="M4720">
        <v>17711</v>
      </c>
      <c r="N4720" t="s">
        <v>155</v>
      </c>
      <c r="O4720">
        <v>250423</v>
      </c>
      <c r="P4720">
        <v>26.54</v>
      </c>
    </row>
    <row r="4721" spans="1:16" x14ac:dyDescent="0.25">
      <c r="A4721" t="s">
        <v>3296</v>
      </c>
      <c r="B4721" t="s">
        <v>2931</v>
      </c>
      <c r="C4721">
        <v>5370</v>
      </c>
      <c r="D4721" t="str">
        <f>"1501335     "</f>
        <v xml:space="preserve">1501335     </v>
      </c>
      <c r="E4721" t="s">
        <v>587</v>
      </c>
      <c r="F4721" t="s">
        <v>588</v>
      </c>
      <c r="G4721">
        <v>982.25</v>
      </c>
      <c r="H4721">
        <v>250414</v>
      </c>
      <c r="I4721">
        <v>4600</v>
      </c>
      <c r="J4721" t="s">
        <v>278</v>
      </c>
      <c r="K4721">
        <v>982.25</v>
      </c>
      <c r="L4721">
        <v>199.58</v>
      </c>
      <c r="M4721">
        <v>17812</v>
      </c>
      <c r="N4721" t="s">
        <v>816</v>
      </c>
      <c r="O4721">
        <v>250424</v>
      </c>
      <c r="P4721">
        <v>782.67</v>
      </c>
    </row>
    <row r="4722" spans="1:16" x14ac:dyDescent="0.25">
      <c r="A4722" t="s">
        <v>3296</v>
      </c>
      <c r="B4722" t="s">
        <v>2931</v>
      </c>
      <c r="C4722">
        <v>5771</v>
      </c>
      <c r="D4722" t="str">
        <f>"1501334     "</f>
        <v xml:space="preserve">1501334     </v>
      </c>
      <c r="E4722" t="s">
        <v>587</v>
      </c>
      <c r="F4722" t="s">
        <v>588</v>
      </c>
      <c r="G4722">
        <v>159.44999999999999</v>
      </c>
      <c r="H4722">
        <v>250414</v>
      </c>
      <c r="I4722">
        <v>4600</v>
      </c>
      <c r="J4722" t="s">
        <v>278</v>
      </c>
      <c r="K4722">
        <v>159.44999999999999</v>
      </c>
      <c r="L4722">
        <v>32.4</v>
      </c>
      <c r="M4722">
        <v>17802</v>
      </c>
      <c r="N4722" t="s">
        <v>18</v>
      </c>
      <c r="O4722">
        <v>250430</v>
      </c>
      <c r="P4722">
        <v>127.05</v>
      </c>
    </row>
    <row r="4723" spans="1:16" x14ac:dyDescent="0.25">
      <c r="A4723" t="s">
        <v>3296</v>
      </c>
      <c r="B4723" t="s">
        <v>2931</v>
      </c>
      <c r="C4723">
        <v>6713</v>
      </c>
      <c r="D4723" t="str">
        <f>"1501405     "</f>
        <v xml:space="preserve">1501405     </v>
      </c>
      <c r="E4723" t="s">
        <v>587</v>
      </c>
      <c r="F4723" t="s">
        <v>588</v>
      </c>
      <c r="G4723">
        <v>851.25</v>
      </c>
      <c r="H4723">
        <v>250430</v>
      </c>
      <c r="I4723">
        <v>4600</v>
      </c>
      <c r="J4723" t="s">
        <v>278</v>
      </c>
      <c r="K4723">
        <v>851.25</v>
      </c>
      <c r="L4723">
        <v>172.96</v>
      </c>
      <c r="M4723">
        <v>17812</v>
      </c>
      <c r="N4723" t="s">
        <v>816</v>
      </c>
      <c r="O4723">
        <v>250516</v>
      </c>
      <c r="P4723">
        <v>678.29</v>
      </c>
    </row>
    <row r="4724" spans="1:16" x14ac:dyDescent="0.25">
      <c r="A4724" t="s">
        <v>3296</v>
      </c>
      <c r="B4724" t="s">
        <v>2931</v>
      </c>
      <c r="C4724">
        <v>7197</v>
      </c>
      <c r="D4724" t="str">
        <f>"1501460     "</f>
        <v xml:space="preserve">1501460     </v>
      </c>
      <c r="E4724" t="s">
        <v>587</v>
      </c>
      <c r="F4724" t="s">
        <v>588</v>
      </c>
      <c r="G4724">
        <v>101.65</v>
      </c>
      <c r="H4724">
        <v>250512</v>
      </c>
      <c r="I4724">
        <v>4600</v>
      </c>
      <c r="J4724" t="s">
        <v>278</v>
      </c>
      <c r="K4724">
        <v>101.65</v>
      </c>
      <c r="L4724">
        <v>20.65</v>
      </c>
      <c r="M4724">
        <v>17802</v>
      </c>
      <c r="N4724" t="s">
        <v>18</v>
      </c>
      <c r="O4724">
        <v>250527</v>
      </c>
      <c r="P4724">
        <v>81</v>
      </c>
    </row>
    <row r="4725" spans="1:16" x14ac:dyDescent="0.25">
      <c r="A4725" t="s">
        <v>3296</v>
      </c>
      <c r="B4725" t="s">
        <v>2931</v>
      </c>
      <c r="C4725">
        <v>7198</v>
      </c>
      <c r="D4725" t="str">
        <f>"1501461     "</f>
        <v xml:space="preserve">1501461     </v>
      </c>
      <c r="E4725" t="s">
        <v>587</v>
      </c>
      <c r="F4725" t="s">
        <v>588</v>
      </c>
      <c r="G4725">
        <v>448.85</v>
      </c>
      <c r="H4725">
        <v>250512</v>
      </c>
      <c r="I4725">
        <v>4600</v>
      </c>
      <c r="J4725" t="s">
        <v>278</v>
      </c>
      <c r="K4725">
        <v>448.85</v>
      </c>
      <c r="L4725">
        <v>91.2</v>
      </c>
      <c r="M4725">
        <v>17812</v>
      </c>
      <c r="N4725" t="s">
        <v>816</v>
      </c>
      <c r="O4725">
        <v>250527</v>
      </c>
      <c r="P4725">
        <v>357.65</v>
      </c>
    </row>
    <row r="4726" spans="1:16" x14ac:dyDescent="0.25">
      <c r="A4726" t="s">
        <v>3296</v>
      </c>
      <c r="B4726" t="s">
        <v>2931</v>
      </c>
      <c r="C4726">
        <v>7541</v>
      </c>
      <c r="D4726" t="str">
        <f>"1501507     "</f>
        <v xml:space="preserve">1501507     </v>
      </c>
      <c r="E4726" t="s">
        <v>587</v>
      </c>
      <c r="F4726" t="s">
        <v>588</v>
      </c>
      <c r="G4726">
        <v>600</v>
      </c>
      <c r="H4726">
        <v>250526</v>
      </c>
      <c r="I4726">
        <v>4600</v>
      </c>
      <c r="J4726" t="s">
        <v>278</v>
      </c>
      <c r="K4726">
        <v>1637.85</v>
      </c>
      <c r="L4726">
        <v>121.91</v>
      </c>
      <c r="M4726">
        <v>17802</v>
      </c>
      <c r="N4726" t="s">
        <v>18</v>
      </c>
      <c r="O4726">
        <v>250604</v>
      </c>
      <c r="P4726">
        <v>478.09</v>
      </c>
    </row>
    <row r="4727" spans="1:16" x14ac:dyDescent="0.25">
      <c r="A4727" t="s">
        <v>3296</v>
      </c>
      <c r="B4727" t="s">
        <v>2931</v>
      </c>
      <c r="C4727">
        <v>7541</v>
      </c>
      <c r="D4727" t="str">
        <f>"1501507     "</f>
        <v xml:space="preserve">1501507     </v>
      </c>
      <c r="E4727" t="s">
        <v>587</v>
      </c>
      <c r="F4727" t="s">
        <v>588</v>
      </c>
      <c r="G4727">
        <v>737.85</v>
      </c>
      <c r="H4727">
        <v>250526</v>
      </c>
      <c r="I4727">
        <v>4600</v>
      </c>
      <c r="J4727" t="s">
        <v>278</v>
      </c>
      <c r="K4727">
        <v>1637.85</v>
      </c>
      <c r="L4727">
        <v>149.91999999999999</v>
      </c>
      <c r="M4727">
        <v>17812</v>
      </c>
      <c r="N4727" t="s">
        <v>816</v>
      </c>
      <c r="O4727">
        <v>250604</v>
      </c>
      <c r="P4727">
        <v>587.92999999999995</v>
      </c>
    </row>
    <row r="4728" spans="1:16" x14ac:dyDescent="0.25">
      <c r="A4728" t="s">
        <v>3296</v>
      </c>
      <c r="B4728" t="s">
        <v>2931</v>
      </c>
      <c r="C4728">
        <v>7550</v>
      </c>
      <c r="D4728" t="str">
        <f>"1501506     "</f>
        <v xml:space="preserve">1501506     </v>
      </c>
      <c r="E4728" t="s">
        <v>587</v>
      </c>
      <c r="F4728" t="s">
        <v>588</v>
      </c>
      <c r="G4728">
        <v>845.95</v>
      </c>
      <c r="H4728">
        <v>250526</v>
      </c>
      <c r="I4728">
        <v>4600</v>
      </c>
      <c r="J4728" t="s">
        <v>278</v>
      </c>
      <c r="K4728">
        <v>845.95</v>
      </c>
      <c r="L4728">
        <v>171.89</v>
      </c>
      <c r="M4728">
        <v>17812</v>
      </c>
      <c r="N4728" t="s">
        <v>816</v>
      </c>
      <c r="O4728">
        <v>250604</v>
      </c>
      <c r="P4728">
        <v>674.06</v>
      </c>
    </row>
    <row r="4729" spans="1:16" x14ac:dyDescent="0.25">
      <c r="A4729" t="s">
        <v>3296</v>
      </c>
      <c r="B4729" t="s">
        <v>2931</v>
      </c>
      <c r="C4729">
        <v>11520</v>
      </c>
      <c r="D4729" t="str">
        <f>"1502009     "</f>
        <v xml:space="preserve">1502009     </v>
      </c>
      <c r="E4729" t="s">
        <v>587</v>
      </c>
      <c r="F4729" t="s">
        <v>588</v>
      </c>
      <c r="G4729">
        <v>1913.9</v>
      </c>
      <c r="H4729">
        <v>250831</v>
      </c>
      <c r="I4729">
        <v>4600</v>
      </c>
      <c r="J4729" t="s">
        <v>278</v>
      </c>
      <c r="K4729">
        <v>1913.9</v>
      </c>
      <c r="L4729">
        <v>388.88</v>
      </c>
      <c r="M4729">
        <v>17812</v>
      </c>
      <c r="N4729" t="s">
        <v>816</v>
      </c>
      <c r="O4729">
        <v>250908</v>
      </c>
      <c r="P4729">
        <v>1525.02</v>
      </c>
    </row>
    <row r="4730" spans="1:16" x14ac:dyDescent="0.25">
      <c r="A4730" t="s">
        <v>3296</v>
      </c>
      <c r="B4730" t="s">
        <v>2931</v>
      </c>
      <c r="C4730">
        <v>11973</v>
      </c>
      <c r="D4730" t="str">
        <f>"1502008     "</f>
        <v xml:space="preserve">1502008     </v>
      </c>
      <c r="E4730" t="s">
        <v>587</v>
      </c>
      <c r="F4730" t="s">
        <v>588</v>
      </c>
      <c r="G4730">
        <v>454.66</v>
      </c>
      <c r="H4730">
        <v>250831</v>
      </c>
      <c r="I4730">
        <v>4600</v>
      </c>
      <c r="J4730" t="s">
        <v>278</v>
      </c>
      <c r="K4730">
        <v>500.4</v>
      </c>
      <c r="L4730">
        <v>92.38</v>
      </c>
      <c r="M4730">
        <v>17802</v>
      </c>
      <c r="N4730" t="s">
        <v>18</v>
      </c>
      <c r="O4730">
        <v>250915</v>
      </c>
      <c r="P4730">
        <v>362.28</v>
      </c>
    </row>
    <row r="4731" spans="1:16" x14ac:dyDescent="0.25">
      <c r="A4731" t="s">
        <v>3296</v>
      </c>
      <c r="B4731" t="s">
        <v>2931</v>
      </c>
      <c r="C4731">
        <v>12188</v>
      </c>
      <c r="D4731" t="str">
        <f>"1502100     "</f>
        <v xml:space="preserve">1502100     </v>
      </c>
      <c r="E4731" t="s">
        <v>587</v>
      </c>
      <c r="F4731" t="s">
        <v>588</v>
      </c>
      <c r="G4731">
        <v>14.76</v>
      </c>
      <c r="H4731">
        <v>250915</v>
      </c>
      <c r="I4731">
        <v>4600</v>
      </c>
      <c r="J4731" t="s">
        <v>278</v>
      </c>
      <c r="K4731">
        <v>194.35</v>
      </c>
      <c r="L4731">
        <v>3</v>
      </c>
      <c r="M4731">
        <v>17711</v>
      </c>
      <c r="N4731" t="s">
        <v>155</v>
      </c>
      <c r="O4731">
        <v>250917</v>
      </c>
      <c r="P4731">
        <v>11.76</v>
      </c>
    </row>
    <row r="4732" spans="1:16" x14ac:dyDescent="0.25">
      <c r="A4732" t="s">
        <v>3296</v>
      </c>
      <c r="B4732" t="s">
        <v>2931</v>
      </c>
      <c r="C4732">
        <v>12566</v>
      </c>
      <c r="D4732" t="str">
        <f>"1502098     "</f>
        <v xml:space="preserve">1502098     </v>
      </c>
      <c r="E4732" t="s">
        <v>587</v>
      </c>
      <c r="F4732" t="s">
        <v>588</v>
      </c>
      <c r="G4732">
        <v>131.19999999999999</v>
      </c>
      <c r="H4732">
        <v>250915</v>
      </c>
      <c r="I4732">
        <v>4600</v>
      </c>
      <c r="J4732" t="s">
        <v>278</v>
      </c>
      <c r="K4732">
        <v>131.19999999999999</v>
      </c>
      <c r="L4732">
        <v>26.66</v>
      </c>
      <c r="M4732">
        <v>17802</v>
      </c>
      <c r="N4732" t="s">
        <v>18</v>
      </c>
      <c r="O4732">
        <v>250926</v>
      </c>
      <c r="P4732">
        <v>104.54</v>
      </c>
    </row>
    <row r="4733" spans="1:16" x14ac:dyDescent="0.25">
      <c r="A4733" t="s">
        <v>3296</v>
      </c>
      <c r="B4733" t="s">
        <v>2931</v>
      </c>
      <c r="C4733">
        <v>12568</v>
      </c>
      <c r="D4733" t="str">
        <f>"1502099     "</f>
        <v xml:space="preserve">1502099     </v>
      </c>
      <c r="E4733" t="s">
        <v>587</v>
      </c>
      <c r="F4733" t="s">
        <v>588</v>
      </c>
      <c r="G4733">
        <v>960.9</v>
      </c>
      <c r="H4733">
        <v>250915</v>
      </c>
      <c r="I4733">
        <v>4600</v>
      </c>
      <c r="J4733" t="s">
        <v>278</v>
      </c>
      <c r="K4733">
        <v>960.9</v>
      </c>
      <c r="L4733">
        <v>195.24</v>
      </c>
      <c r="M4733">
        <v>17812</v>
      </c>
      <c r="N4733" t="s">
        <v>816</v>
      </c>
      <c r="O4733">
        <v>250926</v>
      </c>
      <c r="P4733">
        <v>765.66</v>
      </c>
    </row>
    <row r="4734" spans="1:16" x14ac:dyDescent="0.25">
      <c r="A4734" t="s">
        <v>3296</v>
      </c>
      <c r="B4734" t="s">
        <v>2931</v>
      </c>
      <c r="C4734">
        <v>13559</v>
      </c>
      <c r="D4734" t="str">
        <f>"1502176     "</f>
        <v xml:space="preserve">1502176     </v>
      </c>
      <c r="E4734" t="s">
        <v>587</v>
      </c>
      <c r="F4734" t="s">
        <v>588</v>
      </c>
      <c r="G4734">
        <v>1425.7</v>
      </c>
      <c r="H4734">
        <v>250929</v>
      </c>
      <c r="I4734">
        <v>4600</v>
      </c>
      <c r="J4734" t="s">
        <v>278</v>
      </c>
      <c r="K4734">
        <v>1425.7</v>
      </c>
      <c r="L4734">
        <v>289.68</v>
      </c>
      <c r="M4734">
        <v>17812</v>
      </c>
      <c r="N4734" t="s">
        <v>816</v>
      </c>
      <c r="O4734">
        <v>251013</v>
      </c>
      <c r="P4734">
        <v>1136.02</v>
      </c>
    </row>
    <row r="4735" spans="1:16" x14ac:dyDescent="0.25">
      <c r="A4735" t="s">
        <v>3296</v>
      </c>
      <c r="B4735" t="s">
        <v>2931</v>
      </c>
      <c r="C4735">
        <v>13560</v>
      </c>
      <c r="D4735" t="str">
        <f>"1502177     "</f>
        <v xml:space="preserve">1502177     </v>
      </c>
      <c r="E4735" t="s">
        <v>587</v>
      </c>
      <c r="F4735" t="s">
        <v>588</v>
      </c>
      <c r="G4735">
        <v>68.650000000000006</v>
      </c>
      <c r="H4735">
        <v>250929</v>
      </c>
      <c r="I4735">
        <v>4600</v>
      </c>
      <c r="J4735" t="s">
        <v>278</v>
      </c>
      <c r="K4735">
        <v>68.650000000000006</v>
      </c>
      <c r="L4735">
        <v>13.95</v>
      </c>
      <c r="M4735">
        <v>17802</v>
      </c>
      <c r="N4735" t="s">
        <v>18</v>
      </c>
      <c r="O4735">
        <v>251013</v>
      </c>
      <c r="P4735">
        <v>54.7</v>
      </c>
    </row>
    <row r="4736" spans="1:16" x14ac:dyDescent="0.25">
      <c r="A4736" t="s">
        <v>3296</v>
      </c>
      <c r="B4736" t="s">
        <v>2931</v>
      </c>
      <c r="C4736">
        <v>13798</v>
      </c>
      <c r="D4736" t="str">
        <f>"1502245     "</f>
        <v xml:space="preserve">1502245     </v>
      </c>
      <c r="E4736" t="s">
        <v>587</v>
      </c>
      <c r="F4736" t="s">
        <v>588</v>
      </c>
      <c r="G4736">
        <v>137.55000000000001</v>
      </c>
      <c r="H4736">
        <v>251013</v>
      </c>
      <c r="I4736">
        <v>4600</v>
      </c>
      <c r="J4736" t="s">
        <v>278</v>
      </c>
      <c r="K4736">
        <v>137.55000000000001</v>
      </c>
      <c r="L4736">
        <v>27.95</v>
      </c>
      <c r="M4736">
        <v>17802</v>
      </c>
      <c r="N4736" t="s">
        <v>18</v>
      </c>
      <c r="O4736">
        <v>251020</v>
      </c>
      <c r="P4736">
        <v>109.6</v>
      </c>
    </row>
    <row r="4737" spans="1:16" x14ac:dyDescent="0.25">
      <c r="A4737" t="s">
        <v>3296</v>
      </c>
      <c r="B4737" t="s">
        <v>2931</v>
      </c>
      <c r="C4737">
        <v>13845</v>
      </c>
      <c r="D4737" t="str">
        <f>"1502246     "</f>
        <v xml:space="preserve">1502246     </v>
      </c>
      <c r="E4737" t="s">
        <v>587</v>
      </c>
      <c r="F4737" t="s">
        <v>588</v>
      </c>
      <c r="G4737">
        <v>736.3</v>
      </c>
      <c r="H4737">
        <v>251013</v>
      </c>
      <c r="I4737">
        <v>4600</v>
      </c>
      <c r="J4737" t="s">
        <v>278</v>
      </c>
      <c r="K4737">
        <v>736.3</v>
      </c>
      <c r="L4737">
        <v>149.61000000000001</v>
      </c>
      <c r="M4737">
        <v>17812</v>
      </c>
      <c r="N4737" t="s">
        <v>816</v>
      </c>
      <c r="O4737">
        <v>251020</v>
      </c>
      <c r="P4737">
        <v>586.69000000000005</v>
      </c>
    </row>
    <row r="4738" spans="1:16" x14ac:dyDescent="0.25">
      <c r="A4738" t="s">
        <v>3296</v>
      </c>
      <c r="B4738" t="s">
        <v>2931</v>
      </c>
      <c r="C4738">
        <v>14330</v>
      </c>
      <c r="D4738" t="str">
        <f>"1502318     "</f>
        <v xml:space="preserve">1502318     </v>
      </c>
      <c r="E4738" t="s">
        <v>587</v>
      </c>
      <c r="F4738" t="s">
        <v>588</v>
      </c>
      <c r="G4738">
        <v>255.7</v>
      </c>
      <c r="H4738">
        <v>251027</v>
      </c>
      <c r="I4738">
        <v>4600</v>
      </c>
      <c r="J4738" t="s">
        <v>278</v>
      </c>
      <c r="K4738">
        <v>255.7</v>
      </c>
      <c r="L4738">
        <v>51.95</v>
      </c>
      <c r="M4738">
        <v>17802</v>
      </c>
      <c r="N4738" t="s">
        <v>18</v>
      </c>
      <c r="O4738">
        <v>251029</v>
      </c>
      <c r="P4738">
        <v>203.75</v>
      </c>
    </row>
    <row r="4739" spans="1:16" x14ac:dyDescent="0.25">
      <c r="A4739" t="s">
        <v>3296</v>
      </c>
      <c r="B4739" t="s">
        <v>2931</v>
      </c>
      <c r="C4739">
        <v>15916</v>
      </c>
      <c r="D4739" t="str">
        <f>"1502397     "</f>
        <v xml:space="preserve">1502397     </v>
      </c>
      <c r="E4739" t="s">
        <v>587</v>
      </c>
      <c r="F4739" t="s">
        <v>588</v>
      </c>
      <c r="G4739">
        <v>157.1</v>
      </c>
      <c r="H4739">
        <v>251101</v>
      </c>
      <c r="I4739">
        <v>4600</v>
      </c>
      <c r="J4739" t="s">
        <v>278</v>
      </c>
      <c r="K4739">
        <v>157.1</v>
      </c>
      <c r="L4739">
        <v>31.92</v>
      </c>
      <c r="M4739">
        <v>17802</v>
      </c>
      <c r="N4739" t="s">
        <v>18</v>
      </c>
      <c r="O4739">
        <v>251201</v>
      </c>
      <c r="P4739">
        <v>125.18</v>
      </c>
    </row>
    <row r="4740" spans="1:16" x14ac:dyDescent="0.25">
      <c r="A4740" t="s">
        <v>3296</v>
      </c>
      <c r="B4740" t="s">
        <v>2931</v>
      </c>
      <c r="C4740">
        <v>15917</v>
      </c>
      <c r="D4740" t="str">
        <f>"1502396     "</f>
        <v xml:space="preserve">1502396     </v>
      </c>
      <c r="E4740" t="s">
        <v>587</v>
      </c>
      <c r="F4740" t="s">
        <v>588</v>
      </c>
      <c r="G4740">
        <v>1622.25</v>
      </c>
      <c r="H4740">
        <v>251101</v>
      </c>
      <c r="I4740">
        <v>4600</v>
      </c>
      <c r="J4740" t="s">
        <v>278</v>
      </c>
      <c r="K4740">
        <v>1622.25</v>
      </c>
      <c r="L4740">
        <v>329.62</v>
      </c>
      <c r="M4740">
        <v>17812</v>
      </c>
      <c r="N4740" t="s">
        <v>816</v>
      </c>
      <c r="O4740">
        <v>251201</v>
      </c>
      <c r="P4740">
        <v>1292.6300000000001</v>
      </c>
    </row>
    <row r="4741" spans="1:16" x14ac:dyDescent="0.25">
      <c r="A4741" t="s">
        <v>3296</v>
      </c>
      <c r="B4741" t="s">
        <v>2931</v>
      </c>
      <c r="C4741">
        <v>16041</v>
      </c>
      <c r="D4741" t="str">
        <f>"1502476     "</f>
        <v xml:space="preserve">1502476     </v>
      </c>
      <c r="E4741" t="s">
        <v>587</v>
      </c>
      <c r="F4741" t="s">
        <v>588</v>
      </c>
      <c r="G4741">
        <v>640.25</v>
      </c>
      <c r="H4741">
        <v>251124</v>
      </c>
      <c r="I4741">
        <v>4600</v>
      </c>
      <c r="J4741" t="s">
        <v>278</v>
      </c>
      <c r="K4741">
        <v>640.25</v>
      </c>
      <c r="L4741">
        <v>130.09</v>
      </c>
      <c r="M4741">
        <v>17802</v>
      </c>
      <c r="N4741" t="s">
        <v>18</v>
      </c>
      <c r="O4741">
        <v>251202</v>
      </c>
      <c r="P4741">
        <v>510.16</v>
      </c>
    </row>
    <row r="4742" spans="1:16" x14ac:dyDescent="0.25">
      <c r="A4742" t="s">
        <v>3296</v>
      </c>
      <c r="B4742" t="s">
        <v>2931</v>
      </c>
      <c r="C4742">
        <v>16042</v>
      </c>
      <c r="D4742" t="str">
        <f>"1502477     "</f>
        <v xml:space="preserve">1502477     </v>
      </c>
      <c r="E4742" t="s">
        <v>587</v>
      </c>
      <c r="F4742" t="s">
        <v>588</v>
      </c>
      <c r="G4742">
        <v>1253.4000000000001</v>
      </c>
      <c r="H4742">
        <v>251124</v>
      </c>
      <c r="I4742">
        <v>4600</v>
      </c>
      <c r="J4742" t="s">
        <v>278</v>
      </c>
      <c r="K4742">
        <v>1253.4000000000001</v>
      </c>
      <c r="L4742">
        <v>254.67</v>
      </c>
      <c r="M4742">
        <v>17812</v>
      </c>
      <c r="N4742" t="s">
        <v>816</v>
      </c>
      <c r="O4742">
        <v>251202</v>
      </c>
      <c r="P4742">
        <v>998.73</v>
      </c>
    </row>
    <row r="4743" spans="1:16" x14ac:dyDescent="0.25">
      <c r="A4743" t="s">
        <v>3296</v>
      </c>
      <c r="B4743" t="s">
        <v>2931</v>
      </c>
      <c r="C4743">
        <v>16706</v>
      </c>
      <c r="D4743" t="str">
        <f>"1502563     "</f>
        <v xml:space="preserve">1502563     </v>
      </c>
      <c r="E4743" t="s">
        <v>587</v>
      </c>
      <c r="F4743" t="s">
        <v>588</v>
      </c>
      <c r="G4743">
        <v>62.2</v>
      </c>
      <c r="H4743">
        <v>251130</v>
      </c>
      <c r="I4743">
        <v>4600</v>
      </c>
      <c r="J4743" t="s">
        <v>278</v>
      </c>
      <c r="K4743">
        <v>62.2</v>
      </c>
      <c r="L4743">
        <v>12.64</v>
      </c>
      <c r="M4743">
        <v>17802</v>
      </c>
      <c r="N4743" t="s">
        <v>18</v>
      </c>
      <c r="O4743">
        <v>251211</v>
      </c>
      <c r="P4743">
        <v>49.56</v>
      </c>
    </row>
    <row r="4744" spans="1:16" x14ac:dyDescent="0.25">
      <c r="A4744" t="s">
        <v>3296</v>
      </c>
      <c r="B4744" t="s">
        <v>2931</v>
      </c>
      <c r="C4744">
        <v>17084</v>
      </c>
      <c r="D4744" t="str">
        <f>"1502615     "</f>
        <v xml:space="preserve">1502615     </v>
      </c>
      <c r="E4744" t="s">
        <v>587</v>
      </c>
      <c r="F4744" t="s">
        <v>588</v>
      </c>
      <c r="G4744">
        <v>226.7</v>
      </c>
      <c r="H4744">
        <v>251215</v>
      </c>
      <c r="I4744">
        <v>4600</v>
      </c>
      <c r="J4744" t="s">
        <v>278</v>
      </c>
      <c r="K4744">
        <v>226.7</v>
      </c>
      <c r="L4744">
        <v>46.06</v>
      </c>
      <c r="M4744">
        <v>17802</v>
      </c>
      <c r="N4744" t="s">
        <v>18</v>
      </c>
      <c r="O4744">
        <v>251217</v>
      </c>
      <c r="P4744">
        <v>180.64</v>
      </c>
    </row>
    <row r="4745" spans="1:16" x14ac:dyDescent="0.25">
      <c r="A4745" t="s">
        <v>3296</v>
      </c>
      <c r="B4745" t="s">
        <v>2931</v>
      </c>
      <c r="C4745">
        <v>17085</v>
      </c>
      <c r="D4745" t="str">
        <f>"1502616     "</f>
        <v xml:space="preserve">1502616     </v>
      </c>
      <c r="E4745" t="s">
        <v>587</v>
      </c>
      <c r="F4745" t="s">
        <v>588</v>
      </c>
      <c r="G4745">
        <v>1188.8</v>
      </c>
      <c r="H4745">
        <v>251215</v>
      </c>
      <c r="I4745">
        <v>4600</v>
      </c>
      <c r="J4745" t="s">
        <v>278</v>
      </c>
      <c r="K4745">
        <v>1188.8</v>
      </c>
      <c r="L4745">
        <v>241.55</v>
      </c>
      <c r="M4745">
        <v>17812</v>
      </c>
      <c r="N4745" t="s">
        <v>816</v>
      </c>
      <c r="O4745">
        <v>251217</v>
      </c>
      <c r="P4745">
        <v>947.25</v>
      </c>
    </row>
    <row r="4746" spans="1:16" x14ac:dyDescent="0.25">
      <c r="A4746" t="s">
        <v>3296</v>
      </c>
      <c r="B4746" t="s">
        <v>2931</v>
      </c>
      <c r="C4746">
        <v>16719</v>
      </c>
      <c r="D4746" t="str">
        <f>"27/2025     "</f>
        <v xml:space="preserve">27/2025     </v>
      </c>
      <c r="E4746" t="s">
        <v>3185</v>
      </c>
      <c r="F4746" t="s">
        <v>3186</v>
      </c>
      <c r="G4746">
        <v>1120</v>
      </c>
      <c r="H4746">
        <v>251210</v>
      </c>
      <c r="I4746">
        <v>4820</v>
      </c>
      <c r="J4746" t="s">
        <v>169</v>
      </c>
      <c r="K4746">
        <v>1120</v>
      </c>
      <c r="L4746">
        <v>0</v>
      </c>
      <c r="M4746">
        <v>13841</v>
      </c>
      <c r="N4746" t="s">
        <v>178</v>
      </c>
      <c r="O4746">
        <v>251211</v>
      </c>
      <c r="P4746">
        <v>1120</v>
      </c>
    </row>
    <row r="4747" spans="1:16" x14ac:dyDescent="0.25">
      <c r="A4747" t="s">
        <v>3296</v>
      </c>
      <c r="B4747" t="s">
        <v>2931</v>
      </c>
      <c r="C4747">
        <v>1588</v>
      </c>
      <c r="D4747" t="str">
        <f>"2480167073  "</f>
        <v xml:space="preserve">2480167073  </v>
      </c>
      <c r="E4747" t="s">
        <v>2855</v>
      </c>
      <c r="F4747" t="s">
        <v>2856</v>
      </c>
      <c r="G4747">
        <v>216</v>
      </c>
      <c r="H4747">
        <v>250131</v>
      </c>
      <c r="I4747">
        <v>4470</v>
      </c>
      <c r="J4747" t="s">
        <v>203</v>
      </c>
      <c r="K4747">
        <v>216</v>
      </c>
      <c r="L4747">
        <v>0</v>
      </c>
      <c r="M4747">
        <v>17951</v>
      </c>
      <c r="N4747" t="s">
        <v>207</v>
      </c>
      <c r="O4747">
        <v>250211</v>
      </c>
      <c r="P4747">
        <v>216</v>
      </c>
    </row>
    <row r="4748" spans="1:16" x14ac:dyDescent="0.25">
      <c r="A4748" t="s">
        <v>3296</v>
      </c>
      <c r="B4748" t="s">
        <v>2931</v>
      </c>
      <c r="C4748">
        <v>1589</v>
      </c>
      <c r="D4748" t="str">
        <f t="shared" ref="D4748:D4754" si="86">"2480167074  "</f>
        <v xml:space="preserve">2480167074  </v>
      </c>
      <c r="E4748" t="s">
        <v>2855</v>
      </c>
      <c r="F4748" t="s">
        <v>2856</v>
      </c>
      <c r="G4748">
        <v>23.76</v>
      </c>
      <c r="H4748">
        <v>250131</v>
      </c>
      <c r="I4748">
        <v>4470</v>
      </c>
      <c r="J4748" t="s">
        <v>203</v>
      </c>
      <c r="K4748">
        <v>1296</v>
      </c>
      <c r="L4748">
        <v>0</v>
      </c>
      <c r="M4748">
        <v>13540</v>
      </c>
      <c r="N4748" t="s">
        <v>131</v>
      </c>
      <c r="O4748">
        <v>250211</v>
      </c>
      <c r="P4748">
        <v>23.76</v>
      </c>
    </row>
    <row r="4749" spans="1:16" x14ac:dyDescent="0.25">
      <c r="A4749" t="s">
        <v>3296</v>
      </c>
      <c r="B4749" t="s">
        <v>2931</v>
      </c>
      <c r="C4749">
        <v>1589</v>
      </c>
      <c r="D4749" t="str">
        <f t="shared" si="86"/>
        <v xml:space="preserve">2480167074  </v>
      </c>
      <c r="E4749" t="s">
        <v>2855</v>
      </c>
      <c r="F4749" t="s">
        <v>2856</v>
      </c>
      <c r="G4749">
        <v>192.24</v>
      </c>
      <c r="H4749">
        <v>250131</v>
      </c>
      <c r="I4749">
        <v>4470</v>
      </c>
      <c r="J4749" t="s">
        <v>203</v>
      </c>
      <c r="K4749">
        <v>1296</v>
      </c>
      <c r="L4749">
        <v>0</v>
      </c>
      <c r="M4749">
        <v>17950</v>
      </c>
      <c r="N4749" t="s">
        <v>132</v>
      </c>
      <c r="O4749">
        <v>250211</v>
      </c>
      <c r="P4749">
        <v>192.24</v>
      </c>
    </row>
    <row r="4750" spans="1:16" x14ac:dyDescent="0.25">
      <c r="A4750" t="s">
        <v>3296</v>
      </c>
      <c r="B4750" t="s">
        <v>2931</v>
      </c>
      <c r="C4750">
        <v>1589</v>
      </c>
      <c r="D4750" t="str">
        <f t="shared" si="86"/>
        <v xml:space="preserve">2480167074  </v>
      </c>
      <c r="E4750" t="s">
        <v>2855</v>
      </c>
      <c r="F4750" t="s">
        <v>2856</v>
      </c>
      <c r="G4750">
        <v>216</v>
      </c>
      <c r="H4750">
        <v>250131</v>
      </c>
      <c r="I4750">
        <v>4470</v>
      </c>
      <c r="J4750" t="s">
        <v>203</v>
      </c>
      <c r="K4750">
        <v>1296</v>
      </c>
      <c r="L4750">
        <v>0</v>
      </c>
      <c r="M4750">
        <v>17951</v>
      </c>
      <c r="N4750" t="s">
        <v>207</v>
      </c>
      <c r="O4750">
        <v>250211</v>
      </c>
      <c r="P4750">
        <v>216</v>
      </c>
    </row>
    <row r="4751" spans="1:16" x14ac:dyDescent="0.25">
      <c r="A4751" t="s">
        <v>3296</v>
      </c>
      <c r="B4751" t="s">
        <v>2931</v>
      </c>
      <c r="C4751">
        <v>1589</v>
      </c>
      <c r="D4751" t="str">
        <f t="shared" si="86"/>
        <v xml:space="preserve">2480167074  </v>
      </c>
      <c r="E4751" t="s">
        <v>2855</v>
      </c>
      <c r="F4751" t="s">
        <v>2856</v>
      </c>
      <c r="G4751">
        <v>432</v>
      </c>
      <c r="H4751">
        <v>250131</v>
      </c>
      <c r="I4751">
        <v>4470</v>
      </c>
      <c r="J4751" t="s">
        <v>203</v>
      </c>
      <c r="K4751">
        <v>1296</v>
      </c>
      <c r="L4751">
        <v>0</v>
      </c>
      <c r="M4751">
        <v>49501</v>
      </c>
      <c r="N4751" t="s">
        <v>110</v>
      </c>
      <c r="O4751">
        <v>250211</v>
      </c>
      <c r="P4751">
        <v>432</v>
      </c>
    </row>
    <row r="4752" spans="1:16" x14ac:dyDescent="0.25">
      <c r="A4752" t="s">
        <v>3296</v>
      </c>
      <c r="B4752" t="s">
        <v>2931</v>
      </c>
      <c r="C4752">
        <v>1589</v>
      </c>
      <c r="D4752" t="str">
        <f t="shared" si="86"/>
        <v xml:space="preserve">2480167074  </v>
      </c>
      <c r="E4752" t="s">
        <v>2855</v>
      </c>
      <c r="F4752" t="s">
        <v>2856</v>
      </c>
      <c r="G4752">
        <v>216</v>
      </c>
      <c r="H4752">
        <v>250131</v>
      </c>
      <c r="I4752">
        <v>4470</v>
      </c>
      <c r="J4752" t="s">
        <v>203</v>
      </c>
      <c r="K4752">
        <v>1296</v>
      </c>
      <c r="L4752">
        <v>0</v>
      </c>
      <c r="M4752">
        <v>49503</v>
      </c>
      <c r="N4752" t="s">
        <v>267</v>
      </c>
      <c r="O4752">
        <v>250211</v>
      </c>
      <c r="P4752">
        <v>216</v>
      </c>
    </row>
    <row r="4753" spans="1:16" x14ac:dyDescent="0.25">
      <c r="A4753" t="s">
        <v>3296</v>
      </c>
      <c r="B4753" t="s">
        <v>2931</v>
      </c>
      <c r="C4753">
        <v>1589</v>
      </c>
      <c r="D4753" t="str">
        <f t="shared" si="86"/>
        <v xml:space="preserve">2480167074  </v>
      </c>
      <c r="E4753" t="s">
        <v>2855</v>
      </c>
      <c r="F4753" t="s">
        <v>2856</v>
      </c>
      <c r="G4753">
        <v>131.76</v>
      </c>
      <c r="H4753">
        <v>250131</v>
      </c>
      <c r="I4753">
        <v>4470</v>
      </c>
      <c r="J4753" t="s">
        <v>203</v>
      </c>
      <c r="K4753">
        <v>1296</v>
      </c>
      <c r="L4753">
        <v>0</v>
      </c>
      <c r="M4753">
        <v>59502</v>
      </c>
      <c r="N4753" t="s">
        <v>63</v>
      </c>
      <c r="O4753">
        <v>250211</v>
      </c>
      <c r="P4753">
        <v>131.76</v>
      </c>
    </row>
    <row r="4754" spans="1:16" x14ac:dyDescent="0.25">
      <c r="A4754" t="s">
        <v>3296</v>
      </c>
      <c r="B4754" t="s">
        <v>2931</v>
      </c>
      <c r="C4754">
        <v>1589</v>
      </c>
      <c r="D4754" t="str">
        <f t="shared" si="86"/>
        <v xml:space="preserve">2480167074  </v>
      </c>
      <c r="E4754" t="s">
        <v>2855</v>
      </c>
      <c r="F4754" t="s">
        <v>2856</v>
      </c>
      <c r="G4754">
        <v>84.24</v>
      </c>
      <c r="H4754">
        <v>250131</v>
      </c>
      <c r="I4754">
        <v>4470</v>
      </c>
      <c r="J4754" t="s">
        <v>203</v>
      </c>
      <c r="K4754">
        <v>1296</v>
      </c>
      <c r="L4754">
        <v>0</v>
      </c>
      <c r="M4754">
        <v>59802</v>
      </c>
      <c r="N4754" t="s">
        <v>195</v>
      </c>
      <c r="O4754">
        <v>250211</v>
      </c>
      <c r="P4754">
        <v>84.24</v>
      </c>
    </row>
    <row r="4755" spans="1:16" x14ac:dyDescent="0.25">
      <c r="A4755" t="s">
        <v>3296</v>
      </c>
      <c r="B4755" t="s">
        <v>2931</v>
      </c>
      <c r="C4755">
        <v>1593</v>
      </c>
      <c r="D4755" t="str">
        <f>"2480167075  "</f>
        <v xml:space="preserve">2480167075  </v>
      </c>
      <c r="E4755" t="s">
        <v>2855</v>
      </c>
      <c r="F4755" t="s">
        <v>2856</v>
      </c>
      <c r="G4755">
        <v>216</v>
      </c>
      <c r="H4755">
        <v>250131</v>
      </c>
      <c r="I4755">
        <v>4470</v>
      </c>
      <c r="J4755" t="s">
        <v>203</v>
      </c>
      <c r="K4755">
        <v>216</v>
      </c>
      <c r="L4755">
        <v>0</v>
      </c>
      <c r="M4755">
        <v>59501</v>
      </c>
      <c r="N4755" t="s">
        <v>62</v>
      </c>
      <c r="O4755">
        <v>250211</v>
      </c>
      <c r="P4755">
        <v>216</v>
      </c>
    </row>
    <row r="4756" spans="1:16" x14ac:dyDescent="0.25">
      <c r="A4756" t="s">
        <v>3296</v>
      </c>
      <c r="B4756" t="s">
        <v>2931</v>
      </c>
      <c r="C4756">
        <v>1858</v>
      </c>
      <c r="D4756" t="str">
        <f>"2480167076  "</f>
        <v xml:space="preserve">2480167076  </v>
      </c>
      <c r="E4756" t="s">
        <v>2855</v>
      </c>
      <c r="F4756" t="s">
        <v>2856</v>
      </c>
      <c r="G4756">
        <v>72</v>
      </c>
      <c r="H4756">
        <v>250131</v>
      </c>
      <c r="I4756">
        <v>4471</v>
      </c>
      <c r="J4756" t="s">
        <v>191</v>
      </c>
      <c r="K4756">
        <v>216</v>
      </c>
      <c r="L4756">
        <v>0</v>
      </c>
      <c r="M4756">
        <v>11401</v>
      </c>
      <c r="N4756" t="s">
        <v>91</v>
      </c>
      <c r="O4756">
        <v>250214</v>
      </c>
      <c r="P4756">
        <v>72</v>
      </c>
    </row>
    <row r="4757" spans="1:16" x14ac:dyDescent="0.25">
      <c r="A4757" t="s">
        <v>3296</v>
      </c>
      <c r="B4757" t="s">
        <v>2931</v>
      </c>
      <c r="C4757">
        <v>1858</v>
      </c>
      <c r="D4757" t="str">
        <f>"2480167076  "</f>
        <v xml:space="preserve">2480167076  </v>
      </c>
      <c r="E4757" t="s">
        <v>2855</v>
      </c>
      <c r="F4757" t="s">
        <v>2856</v>
      </c>
      <c r="G4757">
        <v>144</v>
      </c>
      <c r="H4757">
        <v>250131</v>
      </c>
      <c r="I4757">
        <v>4471</v>
      </c>
      <c r="J4757" t="s">
        <v>191</v>
      </c>
      <c r="K4757">
        <v>216</v>
      </c>
      <c r="L4757">
        <v>0</v>
      </c>
      <c r="M4757">
        <v>14952</v>
      </c>
      <c r="N4757" t="s">
        <v>213</v>
      </c>
      <c r="O4757">
        <v>250214</v>
      </c>
      <c r="P4757">
        <v>144</v>
      </c>
    </row>
    <row r="4758" spans="1:16" x14ac:dyDescent="0.25">
      <c r="A4758" t="s">
        <v>3296</v>
      </c>
      <c r="B4758" t="s">
        <v>2931</v>
      </c>
      <c r="C4758">
        <v>1825</v>
      </c>
      <c r="D4758" t="str">
        <f>"2480166263  "</f>
        <v xml:space="preserve">2480166263  </v>
      </c>
      <c r="E4758" t="s">
        <v>2855</v>
      </c>
      <c r="F4758" t="s">
        <v>2856</v>
      </c>
      <c r="G4758">
        <v>316.26</v>
      </c>
      <c r="H4758">
        <v>250131</v>
      </c>
      <c r="I4758">
        <v>4842</v>
      </c>
      <c r="J4758" t="s">
        <v>15</v>
      </c>
      <c r="K4758">
        <v>316.26</v>
      </c>
      <c r="L4758">
        <v>64.260000000000005</v>
      </c>
      <c r="M4758">
        <v>69501</v>
      </c>
      <c r="N4758" t="s">
        <v>123</v>
      </c>
      <c r="O4758">
        <v>250214</v>
      </c>
      <c r="P4758">
        <v>252</v>
      </c>
    </row>
    <row r="4759" spans="1:16" x14ac:dyDescent="0.25">
      <c r="A4759" t="s">
        <v>3296</v>
      </c>
      <c r="B4759" t="s">
        <v>2931</v>
      </c>
      <c r="C4759">
        <v>14528</v>
      </c>
      <c r="D4759" t="str">
        <f>"44342111    "</f>
        <v xml:space="preserve">44342111    </v>
      </c>
      <c r="E4759" t="s">
        <v>2518</v>
      </c>
      <c r="F4759" t="s">
        <v>2519</v>
      </c>
      <c r="G4759">
        <v>59.9</v>
      </c>
      <c r="H4759">
        <v>251022</v>
      </c>
      <c r="I4759">
        <v>4580</v>
      </c>
      <c r="J4759" t="s">
        <v>126</v>
      </c>
      <c r="K4759">
        <v>59.9</v>
      </c>
      <c r="L4759">
        <v>12.17</v>
      </c>
      <c r="M4759">
        <v>17711</v>
      </c>
      <c r="N4759" t="s">
        <v>155</v>
      </c>
      <c r="O4759">
        <v>251104</v>
      </c>
      <c r="P4759">
        <v>47.73</v>
      </c>
    </row>
    <row r="4760" spans="1:16" x14ac:dyDescent="0.25">
      <c r="A4760" t="s">
        <v>3296</v>
      </c>
      <c r="B4760" t="s">
        <v>2931</v>
      </c>
      <c r="C4760">
        <v>14529</v>
      </c>
      <c r="D4760" t="str">
        <f>"44342103    "</f>
        <v xml:space="preserve">44342103    </v>
      </c>
      <c r="E4760" t="s">
        <v>2518</v>
      </c>
      <c r="F4760" t="s">
        <v>2519</v>
      </c>
      <c r="G4760">
        <v>164.7</v>
      </c>
      <c r="H4760">
        <v>251022</v>
      </c>
      <c r="I4760">
        <v>4580</v>
      </c>
      <c r="J4760" t="s">
        <v>126</v>
      </c>
      <c r="K4760">
        <v>164.7</v>
      </c>
      <c r="L4760">
        <v>33.46</v>
      </c>
      <c r="M4760">
        <v>17711</v>
      </c>
      <c r="N4760" t="s">
        <v>155</v>
      </c>
      <c r="O4760">
        <v>251104</v>
      </c>
      <c r="P4760">
        <v>131.24</v>
      </c>
    </row>
    <row r="4761" spans="1:16" x14ac:dyDescent="0.25">
      <c r="A4761" t="s">
        <v>3296</v>
      </c>
      <c r="B4761" t="s">
        <v>2931</v>
      </c>
      <c r="C4761">
        <v>1864</v>
      </c>
      <c r="D4761" t="str">
        <f>"300125      "</f>
        <v xml:space="preserve">300125      </v>
      </c>
      <c r="E4761" t="s">
        <v>3217</v>
      </c>
      <c r="F4761" t="s">
        <v>3218</v>
      </c>
      <c r="G4761">
        <v>3788</v>
      </c>
      <c r="H4761">
        <v>250201</v>
      </c>
      <c r="I4761">
        <v>4410</v>
      </c>
      <c r="J4761" t="s">
        <v>165</v>
      </c>
      <c r="K4761">
        <v>3788</v>
      </c>
      <c r="L4761">
        <v>0</v>
      </c>
      <c r="M4761">
        <v>11961</v>
      </c>
      <c r="N4761" t="s">
        <v>909</v>
      </c>
      <c r="O4761">
        <v>250214</v>
      </c>
      <c r="P4761">
        <v>3788</v>
      </c>
    </row>
    <row r="4762" spans="1:16" x14ac:dyDescent="0.25">
      <c r="A4762" t="s">
        <v>3296</v>
      </c>
      <c r="B4762" t="s">
        <v>2931</v>
      </c>
      <c r="C4762">
        <v>16300</v>
      </c>
      <c r="D4762" t="str">
        <f>"592306      "</f>
        <v xml:space="preserve">592306      </v>
      </c>
      <c r="E4762" t="s">
        <v>2674</v>
      </c>
      <c r="F4762" t="s">
        <v>2675</v>
      </c>
      <c r="G4762">
        <v>49817.23</v>
      </c>
      <c r="H4762">
        <v>251128</v>
      </c>
      <c r="I4762">
        <v>1198</v>
      </c>
      <c r="J4762" t="s">
        <v>610</v>
      </c>
      <c r="K4762">
        <v>49817.23</v>
      </c>
      <c r="L4762">
        <v>10122.23</v>
      </c>
      <c r="M4762">
        <v>95511</v>
      </c>
      <c r="N4762" t="s">
        <v>1947</v>
      </c>
      <c r="O4762">
        <v>251205</v>
      </c>
      <c r="P4762">
        <v>39695</v>
      </c>
    </row>
    <row r="4763" spans="1:16" x14ac:dyDescent="0.25">
      <c r="A4763" t="s">
        <v>3296</v>
      </c>
      <c r="B4763" t="s">
        <v>2931</v>
      </c>
      <c r="C4763">
        <v>2</v>
      </c>
      <c r="D4763" t="str">
        <f>"84427014763 "</f>
        <v xml:space="preserve">84427014763 </v>
      </c>
      <c r="E4763" t="s">
        <v>2812</v>
      </c>
      <c r="F4763" t="s">
        <v>2813</v>
      </c>
      <c r="G4763">
        <v>194.07</v>
      </c>
      <c r="H4763">
        <v>250101</v>
      </c>
      <c r="I4763">
        <v>4370</v>
      </c>
      <c r="J4763" t="s">
        <v>198</v>
      </c>
      <c r="K4763">
        <v>194.07</v>
      </c>
      <c r="L4763">
        <v>0</v>
      </c>
      <c r="M4763">
        <v>13661</v>
      </c>
      <c r="N4763" t="s">
        <v>243</v>
      </c>
      <c r="O4763">
        <v>241231</v>
      </c>
      <c r="P4763">
        <v>194.07</v>
      </c>
    </row>
    <row r="4764" spans="1:16" x14ac:dyDescent="0.25">
      <c r="A4764" t="s">
        <v>3296</v>
      </c>
      <c r="B4764" t="s">
        <v>2931</v>
      </c>
      <c r="C4764">
        <v>13</v>
      </c>
      <c r="D4764" t="str">
        <f>"84426362429 "</f>
        <v xml:space="preserve">84426362429 </v>
      </c>
      <c r="E4764" t="s">
        <v>2812</v>
      </c>
      <c r="F4764" t="s">
        <v>2813</v>
      </c>
      <c r="G4764">
        <v>57.34</v>
      </c>
      <c r="H4764">
        <v>250101</v>
      </c>
      <c r="I4764">
        <v>4370</v>
      </c>
      <c r="J4764" t="s">
        <v>198</v>
      </c>
      <c r="K4764">
        <v>3467.88</v>
      </c>
      <c r="L4764">
        <v>0</v>
      </c>
      <c r="M4764">
        <v>18951</v>
      </c>
      <c r="N4764" t="s">
        <v>782</v>
      </c>
      <c r="O4764">
        <v>241231</v>
      </c>
      <c r="P4764">
        <v>57.34</v>
      </c>
    </row>
    <row r="4765" spans="1:16" x14ac:dyDescent="0.25">
      <c r="A4765" t="s">
        <v>3296</v>
      </c>
      <c r="B4765" t="s">
        <v>2931</v>
      </c>
      <c r="C4765">
        <v>13</v>
      </c>
      <c r="D4765" t="str">
        <f>"84426362429 "</f>
        <v xml:space="preserve">84426362429 </v>
      </c>
      <c r="E4765" t="s">
        <v>2812</v>
      </c>
      <c r="F4765" t="s">
        <v>2813</v>
      </c>
      <c r="G4765">
        <v>24.77</v>
      </c>
      <c r="H4765">
        <v>250101</v>
      </c>
      <c r="I4765">
        <v>4370</v>
      </c>
      <c r="J4765" t="s">
        <v>198</v>
      </c>
      <c r="K4765">
        <v>3467.88</v>
      </c>
      <c r="L4765">
        <v>0</v>
      </c>
      <c r="M4765">
        <v>54222</v>
      </c>
      <c r="N4765" t="s">
        <v>48</v>
      </c>
      <c r="O4765">
        <v>241231</v>
      </c>
      <c r="P4765">
        <v>24.77</v>
      </c>
    </row>
    <row r="4766" spans="1:16" x14ac:dyDescent="0.25">
      <c r="A4766" t="s">
        <v>3296</v>
      </c>
      <c r="B4766" t="s">
        <v>2931</v>
      </c>
      <c r="C4766">
        <v>13</v>
      </c>
      <c r="D4766" t="str">
        <f>"84426362429 "</f>
        <v xml:space="preserve">84426362429 </v>
      </c>
      <c r="E4766" t="s">
        <v>2812</v>
      </c>
      <c r="F4766" t="s">
        <v>2813</v>
      </c>
      <c r="G4766">
        <v>326.73</v>
      </c>
      <c r="H4766">
        <v>250101</v>
      </c>
      <c r="I4766">
        <v>4370</v>
      </c>
      <c r="J4766" t="s">
        <v>198</v>
      </c>
      <c r="K4766">
        <v>3467.88</v>
      </c>
      <c r="L4766">
        <v>0</v>
      </c>
      <c r="M4766">
        <v>59112</v>
      </c>
      <c r="N4766" t="s">
        <v>44</v>
      </c>
      <c r="O4766">
        <v>241231</v>
      </c>
      <c r="P4766">
        <v>326.73</v>
      </c>
    </row>
    <row r="4767" spans="1:16" x14ac:dyDescent="0.25">
      <c r="A4767" t="s">
        <v>3296</v>
      </c>
      <c r="B4767" t="s">
        <v>2931</v>
      </c>
      <c r="C4767">
        <v>13</v>
      </c>
      <c r="D4767" t="str">
        <f>"84426362429 "</f>
        <v xml:space="preserve">84426362429 </v>
      </c>
      <c r="E4767" t="s">
        <v>2812</v>
      </c>
      <c r="F4767" t="s">
        <v>2813</v>
      </c>
      <c r="G4767">
        <v>458.14</v>
      </c>
      <c r="H4767">
        <v>250101</v>
      </c>
      <c r="I4767">
        <v>4370</v>
      </c>
      <c r="J4767" t="s">
        <v>198</v>
      </c>
      <c r="K4767">
        <v>3467.88</v>
      </c>
      <c r="L4767">
        <v>0</v>
      </c>
      <c r="M4767">
        <v>59504</v>
      </c>
      <c r="N4767" t="s">
        <v>193</v>
      </c>
      <c r="O4767">
        <v>241231</v>
      </c>
      <c r="P4767">
        <v>458.14</v>
      </c>
    </row>
    <row r="4768" spans="1:16" x14ac:dyDescent="0.25">
      <c r="A4768" t="s">
        <v>3296</v>
      </c>
      <c r="B4768" t="s">
        <v>2931</v>
      </c>
      <c r="C4768">
        <v>16</v>
      </c>
      <c r="D4768" t="str">
        <f>"84426364757 "</f>
        <v xml:space="preserve">84426364757 </v>
      </c>
      <c r="E4768" t="s">
        <v>2812</v>
      </c>
      <c r="F4768" t="s">
        <v>2813</v>
      </c>
      <c r="G4768">
        <v>1215.27</v>
      </c>
      <c r="H4768">
        <v>250101</v>
      </c>
      <c r="I4768">
        <v>4370</v>
      </c>
      <c r="J4768" t="s">
        <v>198</v>
      </c>
      <c r="K4768">
        <v>6099.23</v>
      </c>
      <c r="L4768">
        <v>0</v>
      </c>
      <c r="M4768">
        <v>17711</v>
      </c>
      <c r="N4768" t="s">
        <v>155</v>
      </c>
      <c r="O4768">
        <v>241231</v>
      </c>
      <c r="P4768">
        <v>1215.27</v>
      </c>
    </row>
    <row r="4769" spans="1:16" x14ac:dyDescent="0.25">
      <c r="A4769" t="s">
        <v>3296</v>
      </c>
      <c r="B4769" t="s">
        <v>2931</v>
      </c>
      <c r="C4769">
        <v>16</v>
      </c>
      <c r="D4769" t="str">
        <f>"84426364757 "</f>
        <v xml:space="preserve">84426364757 </v>
      </c>
      <c r="E4769" t="s">
        <v>2812</v>
      </c>
      <c r="F4769" t="s">
        <v>2813</v>
      </c>
      <c r="G4769">
        <v>57.34</v>
      </c>
      <c r="H4769">
        <v>250101</v>
      </c>
      <c r="I4769">
        <v>4370</v>
      </c>
      <c r="J4769" t="s">
        <v>198</v>
      </c>
      <c r="K4769">
        <v>6099.23</v>
      </c>
      <c r="L4769">
        <v>0</v>
      </c>
      <c r="M4769">
        <v>17737</v>
      </c>
      <c r="N4769" t="s">
        <v>156</v>
      </c>
      <c r="O4769">
        <v>241231</v>
      </c>
      <c r="P4769">
        <v>57.34</v>
      </c>
    </row>
    <row r="4770" spans="1:16" x14ac:dyDescent="0.25">
      <c r="A4770" t="s">
        <v>3296</v>
      </c>
      <c r="B4770" t="s">
        <v>2931</v>
      </c>
      <c r="C4770">
        <v>16</v>
      </c>
      <c r="D4770" t="str">
        <f>"84426364757 "</f>
        <v xml:space="preserve">84426364757 </v>
      </c>
      <c r="E4770" t="s">
        <v>2812</v>
      </c>
      <c r="F4770" t="s">
        <v>2813</v>
      </c>
      <c r="G4770">
        <v>52.09</v>
      </c>
      <c r="H4770">
        <v>250101</v>
      </c>
      <c r="I4770">
        <v>4370</v>
      </c>
      <c r="J4770" t="s">
        <v>198</v>
      </c>
      <c r="K4770">
        <v>6099.23</v>
      </c>
      <c r="L4770">
        <v>0</v>
      </c>
      <c r="M4770">
        <v>66754</v>
      </c>
      <c r="N4770" t="s">
        <v>119</v>
      </c>
      <c r="O4770">
        <v>241231</v>
      </c>
      <c r="P4770">
        <v>52.09</v>
      </c>
    </row>
    <row r="4771" spans="1:16" x14ac:dyDescent="0.25">
      <c r="A4771" t="s">
        <v>3296</v>
      </c>
      <c r="B4771" t="s">
        <v>2931</v>
      </c>
      <c r="C4771">
        <v>16</v>
      </c>
      <c r="D4771" t="str">
        <f>"84426364757 "</f>
        <v xml:space="preserve">84426364757 </v>
      </c>
      <c r="E4771" t="s">
        <v>2812</v>
      </c>
      <c r="F4771" t="s">
        <v>2813</v>
      </c>
      <c r="G4771">
        <v>19.68</v>
      </c>
      <c r="H4771">
        <v>250101</v>
      </c>
      <c r="I4771">
        <v>4370</v>
      </c>
      <c r="J4771" t="s">
        <v>198</v>
      </c>
      <c r="K4771">
        <v>6099.23</v>
      </c>
      <c r="L4771">
        <v>0</v>
      </c>
      <c r="M4771">
        <v>67522</v>
      </c>
      <c r="N4771" t="s">
        <v>121</v>
      </c>
      <c r="O4771">
        <v>241231</v>
      </c>
      <c r="P4771">
        <v>19.68</v>
      </c>
    </row>
    <row r="4772" spans="1:16" x14ac:dyDescent="0.25">
      <c r="A4772" t="s">
        <v>3296</v>
      </c>
      <c r="B4772" t="s">
        <v>2931</v>
      </c>
      <c r="C4772">
        <v>16</v>
      </c>
      <c r="D4772" t="str">
        <f>"84426364757 "</f>
        <v xml:space="preserve">84426364757 </v>
      </c>
      <c r="E4772" t="s">
        <v>2812</v>
      </c>
      <c r="F4772" t="s">
        <v>2813</v>
      </c>
      <c r="G4772">
        <v>180.43</v>
      </c>
      <c r="H4772">
        <v>250101</v>
      </c>
      <c r="I4772">
        <v>4370</v>
      </c>
      <c r="J4772" t="s">
        <v>198</v>
      </c>
      <c r="K4772">
        <v>6099.23</v>
      </c>
      <c r="L4772">
        <v>0</v>
      </c>
      <c r="M4772">
        <v>67554</v>
      </c>
      <c r="N4772" t="s">
        <v>317</v>
      </c>
      <c r="O4772">
        <v>241231</v>
      </c>
      <c r="P4772">
        <v>180.43</v>
      </c>
    </row>
    <row r="4773" spans="1:16" x14ac:dyDescent="0.25">
      <c r="A4773" t="s">
        <v>3296</v>
      </c>
      <c r="B4773" t="s">
        <v>2931</v>
      </c>
      <c r="C4773">
        <v>25</v>
      </c>
      <c r="D4773" t="str">
        <f>"84426362432 "</f>
        <v xml:space="preserve">84426362432 </v>
      </c>
      <c r="E4773" t="s">
        <v>2812</v>
      </c>
      <c r="F4773" t="s">
        <v>2813</v>
      </c>
      <c r="G4773">
        <v>541.66</v>
      </c>
      <c r="H4773">
        <v>250101</v>
      </c>
      <c r="I4773">
        <v>4370</v>
      </c>
      <c r="J4773" t="s">
        <v>198</v>
      </c>
      <c r="K4773">
        <v>2888.35</v>
      </c>
      <c r="L4773">
        <v>0</v>
      </c>
      <c r="M4773">
        <v>59505</v>
      </c>
      <c r="N4773" t="s">
        <v>194</v>
      </c>
      <c r="O4773">
        <v>241231</v>
      </c>
      <c r="P4773">
        <v>541.66</v>
      </c>
    </row>
    <row r="4774" spans="1:16" x14ac:dyDescent="0.25">
      <c r="A4774" t="s">
        <v>3296</v>
      </c>
      <c r="B4774" t="s">
        <v>2931</v>
      </c>
      <c r="C4774">
        <v>25</v>
      </c>
      <c r="D4774" t="str">
        <f>"84426362432 "</f>
        <v xml:space="preserve">84426362432 </v>
      </c>
      <c r="E4774" t="s">
        <v>2812</v>
      </c>
      <c r="F4774" t="s">
        <v>2813</v>
      </c>
      <c r="G4774">
        <v>180.42</v>
      </c>
      <c r="H4774">
        <v>250101</v>
      </c>
      <c r="I4774">
        <v>4370</v>
      </c>
      <c r="J4774" t="s">
        <v>198</v>
      </c>
      <c r="K4774">
        <v>2888.35</v>
      </c>
      <c r="L4774">
        <v>0</v>
      </c>
      <c r="M4774">
        <v>59812</v>
      </c>
      <c r="N4774" t="s">
        <v>196</v>
      </c>
      <c r="O4774">
        <v>241231</v>
      </c>
      <c r="P4774">
        <v>180.42</v>
      </c>
    </row>
    <row r="4775" spans="1:16" x14ac:dyDescent="0.25">
      <c r="A4775" t="s">
        <v>3296</v>
      </c>
      <c r="B4775" t="s">
        <v>2931</v>
      </c>
      <c r="C4775">
        <v>31</v>
      </c>
      <c r="D4775" t="str">
        <f>"84425509694 "</f>
        <v xml:space="preserve">84425509694 </v>
      </c>
      <c r="E4775" t="s">
        <v>2812</v>
      </c>
      <c r="F4775" t="s">
        <v>2813</v>
      </c>
      <c r="G4775">
        <v>1154.82</v>
      </c>
      <c r="H4775">
        <v>250101</v>
      </c>
      <c r="I4775">
        <v>4370</v>
      </c>
      <c r="J4775" t="s">
        <v>198</v>
      </c>
      <c r="K4775">
        <v>4619.28</v>
      </c>
      <c r="L4775">
        <v>0</v>
      </c>
      <c r="M4775">
        <v>18975</v>
      </c>
      <c r="N4775" t="s">
        <v>2816</v>
      </c>
      <c r="O4775">
        <v>241231</v>
      </c>
      <c r="P4775">
        <v>1154.82</v>
      </c>
    </row>
    <row r="4776" spans="1:16" x14ac:dyDescent="0.25">
      <c r="A4776" t="s">
        <v>3296</v>
      </c>
      <c r="B4776" t="s">
        <v>2931</v>
      </c>
      <c r="C4776">
        <v>32</v>
      </c>
      <c r="D4776" t="str">
        <f>"84426362199 "</f>
        <v xml:space="preserve">84426362199 </v>
      </c>
      <c r="E4776" t="s">
        <v>2812</v>
      </c>
      <c r="F4776" t="s">
        <v>2813</v>
      </c>
      <c r="G4776">
        <v>56.46</v>
      </c>
      <c r="H4776">
        <v>250101</v>
      </c>
      <c r="I4776">
        <v>4370</v>
      </c>
      <c r="J4776" t="s">
        <v>198</v>
      </c>
      <c r="K4776">
        <v>56.46</v>
      </c>
      <c r="L4776">
        <v>0</v>
      </c>
      <c r="M4776">
        <v>13861</v>
      </c>
      <c r="N4776" t="s">
        <v>604</v>
      </c>
      <c r="O4776">
        <v>241231</v>
      </c>
      <c r="P4776">
        <v>56.46</v>
      </c>
    </row>
    <row r="4777" spans="1:16" x14ac:dyDescent="0.25">
      <c r="A4777" t="s">
        <v>3296</v>
      </c>
      <c r="B4777" t="s">
        <v>2931</v>
      </c>
      <c r="C4777">
        <v>34</v>
      </c>
      <c r="D4777" t="str">
        <f>"84426362474 "</f>
        <v xml:space="preserve">84426362474 </v>
      </c>
      <c r="E4777" t="s">
        <v>2812</v>
      </c>
      <c r="F4777" t="s">
        <v>2813</v>
      </c>
      <c r="G4777">
        <v>932.48</v>
      </c>
      <c r="H4777">
        <v>250101</v>
      </c>
      <c r="I4777">
        <v>4370</v>
      </c>
      <c r="J4777" t="s">
        <v>198</v>
      </c>
      <c r="K4777">
        <v>3729.98</v>
      </c>
      <c r="L4777">
        <v>0</v>
      </c>
      <c r="M4777">
        <v>11501</v>
      </c>
      <c r="N4777" t="s">
        <v>13</v>
      </c>
      <c r="O4777">
        <v>241231</v>
      </c>
      <c r="P4777">
        <v>932.48</v>
      </c>
    </row>
    <row r="4778" spans="1:16" x14ac:dyDescent="0.25">
      <c r="A4778" t="s">
        <v>3296</v>
      </c>
      <c r="B4778" t="s">
        <v>2931</v>
      </c>
      <c r="C4778">
        <v>41</v>
      </c>
      <c r="D4778" t="str">
        <f>"84426461757 "</f>
        <v xml:space="preserve">84426461757 </v>
      </c>
      <c r="E4778" t="s">
        <v>2812</v>
      </c>
      <c r="F4778" t="s">
        <v>2813</v>
      </c>
      <c r="G4778">
        <v>860.84</v>
      </c>
      <c r="H4778">
        <v>250101</v>
      </c>
      <c r="I4778">
        <v>4370</v>
      </c>
      <c r="J4778" t="s">
        <v>198</v>
      </c>
      <c r="K4778">
        <v>3443.33</v>
      </c>
      <c r="L4778">
        <v>0</v>
      </c>
      <c r="M4778">
        <v>11401</v>
      </c>
      <c r="N4778" t="s">
        <v>91</v>
      </c>
      <c r="O4778">
        <v>241231</v>
      </c>
      <c r="P4778">
        <v>860.84</v>
      </c>
    </row>
    <row r="4779" spans="1:16" x14ac:dyDescent="0.25">
      <c r="A4779" t="s">
        <v>3296</v>
      </c>
      <c r="B4779" t="s">
        <v>2931</v>
      </c>
      <c r="C4779">
        <v>47</v>
      </c>
      <c r="D4779" t="str">
        <f t="shared" ref="D4779:D4784" si="87">"84426362416 "</f>
        <v xml:space="preserve">84426362416 </v>
      </c>
      <c r="E4779" t="s">
        <v>2812</v>
      </c>
      <c r="F4779" t="s">
        <v>2813</v>
      </c>
      <c r="G4779">
        <v>190.46</v>
      </c>
      <c r="H4779">
        <v>250101</v>
      </c>
      <c r="I4779">
        <v>4370</v>
      </c>
      <c r="J4779" t="s">
        <v>198</v>
      </c>
      <c r="K4779">
        <v>637.74</v>
      </c>
      <c r="L4779">
        <v>0</v>
      </c>
      <c r="M4779">
        <v>17802</v>
      </c>
      <c r="N4779" t="s">
        <v>18</v>
      </c>
      <c r="O4779">
        <v>241231</v>
      </c>
      <c r="P4779">
        <v>190.46</v>
      </c>
    </row>
    <row r="4780" spans="1:16" x14ac:dyDescent="0.25">
      <c r="A4780" t="s">
        <v>3296</v>
      </c>
      <c r="B4780" t="s">
        <v>2931</v>
      </c>
      <c r="C4780">
        <v>47</v>
      </c>
      <c r="D4780" t="str">
        <f t="shared" si="87"/>
        <v xml:space="preserve">84426362416 </v>
      </c>
      <c r="E4780" t="s">
        <v>2812</v>
      </c>
      <c r="F4780" t="s">
        <v>2813</v>
      </c>
      <c r="G4780">
        <v>22.12</v>
      </c>
      <c r="H4780">
        <v>250101</v>
      </c>
      <c r="I4780">
        <v>4370</v>
      </c>
      <c r="J4780" t="s">
        <v>198</v>
      </c>
      <c r="K4780">
        <v>637.74</v>
      </c>
      <c r="L4780">
        <v>0</v>
      </c>
      <c r="M4780">
        <v>17806</v>
      </c>
      <c r="N4780" t="s">
        <v>22</v>
      </c>
      <c r="O4780">
        <v>241231</v>
      </c>
      <c r="P4780">
        <v>22.12</v>
      </c>
    </row>
    <row r="4781" spans="1:16" x14ac:dyDescent="0.25">
      <c r="A4781" t="s">
        <v>3296</v>
      </c>
      <c r="B4781" t="s">
        <v>2931</v>
      </c>
      <c r="C4781">
        <v>47</v>
      </c>
      <c r="D4781" t="str">
        <f t="shared" si="87"/>
        <v xml:space="preserve">84426362416 </v>
      </c>
      <c r="E4781" t="s">
        <v>2812</v>
      </c>
      <c r="F4781" t="s">
        <v>2813</v>
      </c>
      <c r="G4781">
        <v>22.12</v>
      </c>
      <c r="H4781">
        <v>250101</v>
      </c>
      <c r="I4781">
        <v>4370</v>
      </c>
      <c r="J4781" t="s">
        <v>198</v>
      </c>
      <c r="K4781">
        <v>637.74</v>
      </c>
      <c r="L4781">
        <v>0</v>
      </c>
      <c r="M4781">
        <v>46556</v>
      </c>
      <c r="N4781" t="s">
        <v>458</v>
      </c>
      <c r="O4781">
        <v>241231</v>
      </c>
      <c r="P4781">
        <v>22.12</v>
      </c>
    </row>
    <row r="4782" spans="1:16" x14ac:dyDescent="0.25">
      <c r="A4782" t="s">
        <v>3296</v>
      </c>
      <c r="B4782" t="s">
        <v>2931</v>
      </c>
      <c r="C4782">
        <v>47</v>
      </c>
      <c r="D4782" t="str">
        <f t="shared" si="87"/>
        <v xml:space="preserve">84426362416 </v>
      </c>
      <c r="E4782" t="s">
        <v>2812</v>
      </c>
      <c r="F4782" t="s">
        <v>2813</v>
      </c>
      <c r="G4782">
        <v>190.46</v>
      </c>
      <c r="H4782">
        <v>250101</v>
      </c>
      <c r="I4782">
        <v>4370</v>
      </c>
      <c r="J4782" t="s">
        <v>198</v>
      </c>
      <c r="K4782">
        <v>637.74</v>
      </c>
      <c r="L4782">
        <v>0</v>
      </c>
      <c r="M4782">
        <v>46557</v>
      </c>
      <c r="N4782" t="s">
        <v>104</v>
      </c>
      <c r="O4782">
        <v>241231</v>
      </c>
      <c r="P4782">
        <v>190.46</v>
      </c>
    </row>
    <row r="4783" spans="1:16" x14ac:dyDescent="0.25">
      <c r="A4783" t="s">
        <v>3296</v>
      </c>
      <c r="B4783" t="s">
        <v>2931</v>
      </c>
      <c r="C4783">
        <v>47</v>
      </c>
      <c r="D4783" t="str">
        <f t="shared" si="87"/>
        <v xml:space="preserve">84426362416 </v>
      </c>
      <c r="E4783" t="s">
        <v>2812</v>
      </c>
      <c r="F4783" t="s">
        <v>2813</v>
      </c>
      <c r="G4783">
        <v>190.46</v>
      </c>
      <c r="H4783">
        <v>250101</v>
      </c>
      <c r="I4783">
        <v>4370</v>
      </c>
      <c r="J4783" t="s">
        <v>198</v>
      </c>
      <c r="K4783">
        <v>637.74</v>
      </c>
      <c r="L4783">
        <v>0</v>
      </c>
      <c r="M4783">
        <v>56559</v>
      </c>
      <c r="N4783" t="s">
        <v>51</v>
      </c>
      <c r="O4783">
        <v>241231</v>
      </c>
      <c r="P4783">
        <v>190.46</v>
      </c>
    </row>
    <row r="4784" spans="1:16" x14ac:dyDescent="0.25">
      <c r="A4784" t="s">
        <v>3296</v>
      </c>
      <c r="B4784" t="s">
        <v>2931</v>
      </c>
      <c r="C4784">
        <v>47</v>
      </c>
      <c r="D4784" t="str">
        <f t="shared" si="87"/>
        <v xml:space="preserve">84426362416 </v>
      </c>
      <c r="E4784" t="s">
        <v>2812</v>
      </c>
      <c r="F4784" t="s">
        <v>2813</v>
      </c>
      <c r="G4784">
        <v>22.12</v>
      </c>
      <c r="H4784">
        <v>250101</v>
      </c>
      <c r="I4784">
        <v>4370</v>
      </c>
      <c r="J4784" t="s">
        <v>198</v>
      </c>
      <c r="K4784">
        <v>637.74</v>
      </c>
      <c r="L4784">
        <v>0</v>
      </c>
      <c r="M4784">
        <v>56562</v>
      </c>
      <c r="N4784" t="s">
        <v>54</v>
      </c>
      <c r="O4784">
        <v>241231</v>
      </c>
      <c r="P4784">
        <v>22.12</v>
      </c>
    </row>
    <row r="4785" spans="1:16" x14ac:dyDescent="0.25">
      <c r="A4785" t="s">
        <v>3296</v>
      </c>
      <c r="B4785" t="s">
        <v>2931</v>
      </c>
      <c r="C4785">
        <v>52</v>
      </c>
      <c r="D4785" t="str">
        <f t="shared" ref="D4785:D4793" si="88">"84425512128 "</f>
        <v xml:space="preserve">84425512128 </v>
      </c>
      <c r="E4785" t="s">
        <v>2812</v>
      </c>
      <c r="F4785" t="s">
        <v>2813</v>
      </c>
      <c r="G4785">
        <v>58.5</v>
      </c>
      <c r="H4785">
        <v>250101</v>
      </c>
      <c r="I4785">
        <v>4370</v>
      </c>
      <c r="J4785" t="s">
        <v>198</v>
      </c>
      <c r="K4785">
        <v>81359.740000000005</v>
      </c>
      <c r="L4785">
        <v>0</v>
      </c>
      <c r="M4785">
        <v>13254</v>
      </c>
      <c r="N4785" t="s">
        <v>2817</v>
      </c>
      <c r="O4785">
        <v>250102</v>
      </c>
      <c r="P4785">
        <v>58.5</v>
      </c>
    </row>
    <row r="4786" spans="1:16" x14ac:dyDescent="0.25">
      <c r="A4786" t="s">
        <v>3296</v>
      </c>
      <c r="B4786" t="s">
        <v>2931</v>
      </c>
      <c r="C4786">
        <v>52</v>
      </c>
      <c r="D4786" t="str">
        <f t="shared" si="88"/>
        <v xml:space="preserve">84425512128 </v>
      </c>
      <c r="E4786" t="s">
        <v>2812</v>
      </c>
      <c r="F4786" t="s">
        <v>2813</v>
      </c>
      <c r="G4786">
        <v>344.09</v>
      </c>
      <c r="H4786">
        <v>250101</v>
      </c>
      <c r="I4786">
        <v>4370</v>
      </c>
      <c r="J4786" t="s">
        <v>198</v>
      </c>
      <c r="K4786">
        <v>81359.740000000005</v>
      </c>
      <c r="L4786">
        <v>0</v>
      </c>
      <c r="M4786">
        <v>13454</v>
      </c>
      <c r="N4786" t="s">
        <v>2818</v>
      </c>
      <c r="O4786">
        <v>250102</v>
      </c>
      <c r="P4786">
        <v>344.09</v>
      </c>
    </row>
    <row r="4787" spans="1:16" x14ac:dyDescent="0.25">
      <c r="A4787" t="s">
        <v>3296</v>
      </c>
      <c r="B4787" t="s">
        <v>2931</v>
      </c>
      <c r="C4787">
        <v>52</v>
      </c>
      <c r="D4787" t="str">
        <f t="shared" si="88"/>
        <v xml:space="preserve">84425512128 </v>
      </c>
      <c r="E4787" t="s">
        <v>2812</v>
      </c>
      <c r="F4787" t="s">
        <v>2813</v>
      </c>
      <c r="G4787">
        <v>299.36</v>
      </c>
      <c r="H4787">
        <v>250101</v>
      </c>
      <c r="I4787">
        <v>4370</v>
      </c>
      <c r="J4787" t="s">
        <v>198</v>
      </c>
      <c r="K4787">
        <v>81359.740000000005</v>
      </c>
      <c r="L4787">
        <v>0</v>
      </c>
      <c r="M4787">
        <v>13554</v>
      </c>
      <c r="N4787" t="s">
        <v>2819</v>
      </c>
      <c r="O4787">
        <v>250102</v>
      </c>
      <c r="P4787">
        <v>299.36</v>
      </c>
    </row>
    <row r="4788" spans="1:16" x14ac:dyDescent="0.25">
      <c r="A4788" t="s">
        <v>3296</v>
      </c>
      <c r="B4788" t="s">
        <v>2931</v>
      </c>
      <c r="C4788">
        <v>52</v>
      </c>
      <c r="D4788" t="str">
        <f t="shared" si="88"/>
        <v xml:space="preserve">84425512128 </v>
      </c>
      <c r="E4788" t="s">
        <v>2812</v>
      </c>
      <c r="F4788" t="s">
        <v>2813</v>
      </c>
      <c r="G4788">
        <v>1987.29</v>
      </c>
      <c r="H4788">
        <v>250101</v>
      </c>
      <c r="I4788">
        <v>4370</v>
      </c>
      <c r="J4788" t="s">
        <v>198</v>
      </c>
      <c r="K4788">
        <v>81359.740000000005</v>
      </c>
      <c r="L4788">
        <v>0</v>
      </c>
      <c r="M4788">
        <v>14975</v>
      </c>
      <c r="N4788" t="s">
        <v>84</v>
      </c>
      <c r="O4788">
        <v>250102</v>
      </c>
      <c r="P4788">
        <v>1987.29</v>
      </c>
    </row>
    <row r="4789" spans="1:16" x14ac:dyDescent="0.25">
      <c r="A4789" t="s">
        <v>3296</v>
      </c>
      <c r="B4789" t="s">
        <v>2931</v>
      </c>
      <c r="C4789">
        <v>52</v>
      </c>
      <c r="D4789" t="str">
        <f t="shared" si="88"/>
        <v xml:space="preserve">84425512128 </v>
      </c>
      <c r="E4789" t="s">
        <v>2812</v>
      </c>
      <c r="F4789" t="s">
        <v>2813</v>
      </c>
      <c r="G4789">
        <v>4945.63</v>
      </c>
      <c r="H4789">
        <v>250101</v>
      </c>
      <c r="I4789">
        <v>4370</v>
      </c>
      <c r="J4789" t="s">
        <v>198</v>
      </c>
      <c r="K4789">
        <v>81359.740000000005</v>
      </c>
      <c r="L4789">
        <v>0</v>
      </c>
      <c r="M4789">
        <v>17975</v>
      </c>
      <c r="N4789" t="s">
        <v>29</v>
      </c>
      <c r="O4789">
        <v>250102</v>
      </c>
      <c r="P4789">
        <v>4945.63</v>
      </c>
    </row>
    <row r="4790" spans="1:16" x14ac:dyDescent="0.25">
      <c r="A4790" t="s">
        <v>3296</v>
      </c>
      <c r="B4790" t="s">
        <v>2931</v>
      </c>
      <c r="C4790">
        <v>52</v>
      </c>
      <c r="D4790" t="str">
        <f t="shared" si="88"/>
        <v xml:space="preserve">84425512128 </v>
      </c>
      <c r="E4790" t="s">
        <v>2812</v>
      </c>
      <c r="F4790" t="s">
        <v>2813</v>
      </c>
      <c r="G4790">
        <v>4290.7299999999996</v>
      </c>
      <c r="H4790">
        <v>250101</v>
      </c>
      <c r="I4790">
        <v>4370</v>
      </c>
      <c r="J4790" t="s">
        <v>198</v>
      </c>
      <c r="K4790">
        <v>81359.740000000005</v>
      </c>
      <c r="L4790">
        <v>0</v>
      </c>
      <c r="M4790">
        <v>18975</v>
      </c>
      <c r="N4790" t="s">
        <v>2816</v>
      </c>
      <c r="O4790">
        <v>250102</v>
      </c>
      <c r="P4790">
        <v>4290.7299999999996</v>
      </c>
    </row>
    <row r="4791" spans="1:16" x14ac:dyDescent="0.25">
      <c r="A4791" t="s">
        <v>3296</v>
      </c>
      <c r="B4791" t="s">
        <v>2931</v>
      </c>
      <c r="C4791">
        <v>52</v>
      </c>
      <c r="D4791" t="str">
        <f t="shared" si="88"/>
        <v xml:space="preserve">84425512128 </v>
      </c>
      <c r="E4791" t="s">
        <v>2812</v>
      </c>
      <c r="F4791" t="s">
        <v>2813</v>
      </c>
      <c r="G4791">
        <v>3206.76</v>
      </c>
      <c r="H4791">
        <v>250101</v>
      </c>
      <c r="I4791">
        <v>4370</v>
      </c>
      <c r="J4791" t="s">
        <v>198</v>
      </c>
      <c r="K4791">
        <v>81359.740000000005</v>
      </c>
      <c r="L4791">
        <v>0</v>
      </c>
      <c r="M4791">
        <v>49705</v>
      </c>
      <c r="N4791" t="s">
        <v>114</v>
      </c>
      <c r="O4791">
        <v>250102</v>
      </c>
      <c r="P4791">
        <v>3206.76</v>
      </c>
    </row>
    <row r="4792" spans="1:16" x14ac:dyDescent="0.25">
      <c r="A4792" t="s">
        <v>3296</v>
      </c>
      <c r="B4792" t="s">
        <v>2931</v>
      </c>
      <c r="C4792">
        <v>52</v>
      </c>
      <c r="D4792" t="str">
        <f t="shared" si="88"/>
        <v xml:space="preserve">84425512128 </v>
      </c>
      <c r="E4792" t="s">
        <v>2812</v>
      </c>
      <c r="F4792" t="s">
        <v>2813</v>
      </c>
      <c r="G4792">
        <v>2994.48</v>
      </c>
      <c r="H4792">
        <v>250101</v>
      </c>
      <c r="I4792">
        <v>4370</v>
      </c>
      <c r="J4792" t="s">
        <v>198</v>
      </c>
      <c r="K4792">
        <v>81359.740000000005</v>
      </c>
      <c r="L4792">
        <v>0</v>
      </c>
      <c r="M4792">
        <v>59705</v>
      </c>
      <c r="N4792" t="s">
        <v>47</v>
      </c>
      <c r="O4792">
        <v>250102</v>
      </c>
      <c r="P4792">
        <v>2994.48</v>
      </c>
    </row>
    <row r="4793" spans="1:16" x14ac:dyDescent="0.25">
      <c r="A4793" t="s">
        <v>3296</v>
      </c>
      <c r="B4793" t="s">
        <v>2931</v>
      </c>
      <c r="C4793">
        <v>52</v>
      </c>
      <c r="D4793" t="str">
        <f t="shared" si="88"/>
        <v xml:space="preserve">84425512128 </v>
      </c>
      <c r="E4793" t="s">
        <v>2812</v>
      </c>
      <c r="F4793" t="s">
        <v>2813</v>
      </c>
      <c r="G4793">
        <v>2213.11</v>
      </c>
      <c r="H4793">
        <v>250101</v>
      </c>
      <c r="I4793">
        <v>4370</v>
      </c>
      <c r="J4793" t="s">
        <v>198</v>
      </c>
      <c r="K4793">
        <v>81359.740000000005</v>
      </c>
      <c r="L4793">
        <v>0</v>
      </c>
      <c r="M4793">
        <v>69708</v>
      </c>
      <c r="N4793" t="s">
        <v>125</v>
      </c>
      <c r="O4793">
        <v>250102</v>
      </c>
      <c r="P4793">
        <v>2213.11</v>
      </c>
    </row>
    <row r="4794" spans="1:16" x14ac:dyDescent="0.25">
      <c r="A4794" t="s">
        <v>3296</v>
      </c>
      <c r="B4794" t="s">
        <v>2931</v>
      </c>
      <c r="C4794">
        <v>53</v>
      </c>
      <c r="D4794" t="str">
        <f>"84426362322 "</f>
        <v xml:space="preserve">84426362322 </v>
      </c>
      <c r="E4794" t="s">
        <v>2812</v>
      </c>
      <c r="F4794" t="s">
        <v>2813</v>
      </c>
      <c r="G4794">
        <v>252.33</v>
      </c>
      <c r="H4794">
        <v>250101</v>
      </c>
      <c r="I4794">
        <v>4370</v>
      </c>
      <c r="J4794" t="s">
        <v>198</v>
      </c>
      <c r="K4794">
        <v>6959.66</v>
      </c>
      <c r="L4794">
        <v>0</v>
      </c>
      <c r="M4794">
        <v>11401</v>
      </c>
      <c r="N4794" t="s">
        <v>91</v>
      </c>
      <c r="O4794">
        <v>250102</v>
      </c>
      <c r="P4794">
        <v>252.33</v>
      </c>
    </row>
    <row r="4795" spans="1:16" x14ac:dyDescent="0.25">
      <c r="A4795" t="s">
        <v>3296</v>
      </c>
      <c r="B4795" t="s">
        <v>2931</v>
      </c>
      <c r="C4795">
        <v>53</v>
      </c>
      <c r="D4795" t="str">
        <f>"84426362322 "</f>
        <v xml:space="preserve">84426362322 </v>
      </c>
      <c r="E4795" t="s">
        <v>2812</v>
      </c>
      <c r="F4795" t="s">
        <v>2813</v>
      </c>
      <c r="G4795">
        <v>119.96</v>
      </c>
      <c r="H4795">
        <v>250101</v>
      </c>
      <c r="I4795">
        <v>4370</v>
      </c>
      <c r="J4795" t="s">
        <v>198</v>
      </c>
      <c r="K4795">
        <v>6959.66</v>
      </c>
      <c r="L4795">
        <v>0</v>
      </c>
      <c r="M4795">
        <v>14951</v>
      </c>
      <c r="N4795" t="s">
        <v>186</v>
      </c>
      <c r="O4795">
        <v>250102</v>
      </c>
      <c r="P4795">
        <v>119.96</v>
      </c>
    </row>
    <row r="4796" spans="1:16" x14ac:dyDescent="0.25">
      <c r="A4796" t="s">
        <v>3296</v>
      </c>
      <c r="B4796" t="s">
        <v>2931</v>
      </c>
      <c r="C4796">
        <v>53</v>
      </c>
      <c r="D4796" t="str">
        <f>"84426362322 "</f>
        <v xml:space="preserve">84426362322 </v>
      </c>
      <c r="E4796" t="s">
        <v>2812</v>
      </c>
      <c r="F4796" t="s">
        <v>2813</v>
      </c>
      <c r="G4796">
        <v>504.63</v>
      </c>
      <c r="H4796">
        <v>250101</v>
      </c>
      <c r="I4796">
        <v>4370</v>
      </c>
      <c r="J4796" t="s">
        <v>198</v>
      </c>
      <c r="K4796">
        <v>6959.66</v>
      </c>
      <c r="L4796">
        <v>0</v>
      </c>
      <c r="M4796">
        <v>14952</v>
      </c>
      <c r="N4796" t="s">
        <v>213</v>
      </c>
      <c r="O4796">
        <v>250102</v>
      </c>
      <c r="P4796">
        <v>504.63</v>
      </c>
    </row>
    <row r="4797" spans="1:16" x14ac:dyDescent="0.25">
      <c r="A4797" t="s">
        <v>3296</v>
      </c>
      <c r="B4797" t="s">
        <v>2931</v>
      </c>
      <c r="C4797">
        <v>53</v>
      </c>
      <c r="D4797" t="str">
        <f>"84426362322 "</f>
        <v xml:space="preserve">84426362322 </v>
      </c>
      <c r="E4797" t="s">
        <v>2812</v>
      </c>
      <c r="F4797" t="s">
        <v>2813</v>
      </c>
      <c r="G4797">
        <v>604.1</v>
      </c>
      <c r="H4797">
        <v>250101</v>
      </c>
      <c r="I4797">
        <v>4370</v>
      </c>
      <c r="J4797" t="s">
        <v>198</v>
      </c>
      <c r="K4797">
        <v>6959.66</v>
      </c>
      <c r="L4797">
        <v>0</v>
      </c>
      <c r="M4797">
        <v>14952</v>
      </c>
      <c r="N4797" t="s">
        <v>213</v>
      </c>
      <c r="O4797">
        <v>250102</v>
      </c>
      <c r="P4797">
        <v>604.1</v>
      </c>
    </row>
    <row r="4798" spans="1:16" x14ac:dyDescent="0.25">
      <c r="A4798" t="s">
        <v>3296</v>
      </c>
      <c r="B4798" t="s">
        <v>2931</v>
      </c>
      <c r="C4798">
        <v>53</v>
      </c>
      <c r="D4798" t="str">
        <f>"84426362322 "</f>
        <v xml:space="preserve">84426362322 </v>
      </c>
      <c r="E4798" t="s">
        <v>2812</v>
      </c>
      <c r="F4798" t="s">
        <v>2813</v>
      </c>
      <c r="G4798">
        <v>258.89999999999998</v>
      </c>
      <c r="H4798">
        <v>250101</v>
      </c>
      <c r="I4798">
        <v>4370</v>
      </c>
      <c r="J4798" t="s">
        <v>198</v>
      </c>
      <c r="K4798">
        <v>6959.66</v>
      </c>
      <c r="L4798">
        <v>0</v>
      </c>
      <c r="M4798">
        <v>14981</v>
      </c>
      <c r="N4798" t="s">
        <v>252</v>
      </c>
      <c r="O4798">
        <v>250102</v>
      </c>
      <c r="P4798">
        <v>258.89999999999998</v>
      </c>
    </row>
    <row r="4799" spans="1:16" x14ac:dyDescent="0.25">
      <c r="A4799" t="s">
        <v>3296</v>
      </c>
      <c r="B4799" t="s">
        <v>2931</v>
      </c>
      <c r="C4799">
        <v>55</v>
      </c>
      <c r="D4799" t="str">
        <f t="shared" ref="D4799:D4831" si="89">"84426645405 "</f>
        <v xml:space="preserve">84426645405 </v>
      </c>
      <c r="E4799" t="s">
        <v>2812</v>
      </c>
      <c r="F4799" t="s">
        <v>2813</v>
      </c>
      <c r="G4799">
        <v>26.43</v>
      </c>
      <c r="H4799">
        <v>250101</v>
      </c>
      <c r="I4799">
        <v>4370</v>
      </c>
      <c r="J4799" t="s">
        <v>198</v>
      </c>
      <c r="K4799">
        <v>32609.78</v>
      </c>
      <c r="L4799">
        <v>0</v>
      </c>
      <c r="M4799">
        <v>10001</v>
      </c>
      <c r="N4799" t="s">
        <v>2820</v>
      </c>
      <c r="O4799">
        <v>250102</v>
      </c>
      <c r="P4799">
        <v>26.43</v>
      </c>
    </row>
    <row r="4800" spans="1:16" x14ac:dyDescent="0.25">
      <c r="A4800" t="s">
        <v>3296</v>
      </c>
      <c r="B4800" t="s">
        <v>2931</v>
      </c>
      <c r="C4800">
        <v>55</v>
      </c>
      <c r="D4800" t="str">
        <f t="shared" si="89"/>
        <v xml:space="preserve">84426645405 </v>
      </c>
      <c r="E4800" t="s">
        <v>2812</v>
      </c>
      <c r="F4800" t="s">
        <v>2813</v>
      </c>
      <c r="G4800">
        <v>26.43</v>
      </c>
      <c r="H4800">
        <v>250101</v>
      </c>
      <c r="I4800">
        <v>4370</v>
      </c>
      <c r="J4800" t="s">
        <v>198</v>
      </c>
      <c r="K4800">
        <v>32609.78</v>
      </c>
      <c r="L4800">
        <v>0</v>
      </c>
      <c r="M4800">
        <v>10002</v>
      </c>
      <c r="N4800" t="s">
        <v>513</v>
      </c>
      <c r="O4800">
        <v>250102</v>
      </c>
      <c r="P4800">
        <v>26.43</v>
      </c>
    </row>
    <row r="4801" spans="1:16" x14ac:dyDescent="0.25">
      <c r="A4801" t="s">
        <v>3296</v>
      </c>
      <c r="B4801" t="s">
        <v>2931</v>
      </c>
      <c r="C4801">
        <v>55</v>
      </c>
      <c r="D4801" t="str">
        <f t="shared" si="89"/>
        <v xml:space="preserve">84426645405 </v>
      </c>
      <c r="E4801" t="s">
        <v>2812</v>
      </c>
      <c r="F4801" t="s">
        <v>2813</v>
      </c>
      <c r="G4801">
        <v>4033.4</v>
      </c>
      <c r="H4801">
        <v>250101</v>
      </c>
      <c r="I4801">
        <v>4370</v>
      </c>
      <c r="J4801" t="s">
        <v>198</v>
      </c>
      <c r="K4801">
        <v>32609.78</v>
      </c>
      <c r="L4801">
        <v>0</v>
      </c>
      <c r="M4801">
        <v>11501</v>
      </c>
      <c r="N4801" t="s">
        <v>13</v>
      </c>
      <c r="O4801">
        <v>250102</v>
      </c>
      <c r="P4801">
        <v>4033.4</v>
      </c>
    </row>
    <row r="4802" spans="1:16" x14ac:dyDescent="0.25">
      <c r="A4802" t="s">
        <v>3296</v>
      </c>
      <c r="B4802" t="s">
        <v>2931</v>
      </c>
      <c r="C4802">
        <v>55</v>
      </c>
      <c r="D4802" t="str">
        <f t="shared" si="89"/>
        <v xml:space="preserve">84426645405 </v>
      </c>
      <c r="E4802" t="s">
        <v>2812</v>
      </c>
      <c r="F4802" t="s">
        <v>2813</v>
      </c>
      <c r="G4802">
        <v>13.77</v>
      </c>
      <c r="H4802">
        <v>250101</v>
      </c>
      <c r="I4802">
        <v>4370</v>
      </c>
      <c r="J4802" t="s">
        <v>198</v>
      </c>
      <c r="K4802">
        <v>32609.78</v>
      </c>
      <c r="L4802">
        <v>0</v>
      </c>
      <c r="M4802">
        <v>11801</v>
      </c>
      <c r="N4802" t="s">
        <v>40</v>
      </c>
      <c r="O4802">
        <v>250102</v>
      </c>
      <c r="P4802">
        <v>13.77</v>
      </c>
    </row>
    <row r="4803" spans="1:16" x14ac:dyDescent="0.25">
      <c r="A4803" t="s">
        <v>3296</v>
      </c>
      <c r="B4803" t="s">
        <v>2931</v>
      </c>
      <c r="C4803">
        <v>55</v>
      </c>
      <c r="D4803" t="str">
        <f t="shared" si="89"/>
        <v xml:space="preserve">84426645405 </v>
      </c>
      <c r="E4803" t="s">
        <v>2812</v>
      </c>
      <c r="F4803" t="s">
        <v>2813</v>
      </c>
      <c r="G4803">
        <v>21.41</v>
      </c>
      <c r="H4803">
        <v>250101</v>
      </c>
      <c r="I4803">
        <v>4370</v>
      </c>
      <c r="J4803" t="s">
        <v>198</v>
      </c>
      <c r="K4803">
        <v>32609.78</v>
      </c>
      <c r="L4803">
        <v>0</v>
      </c>
      <c r="M4803">
        <v>12981</v>
      </c>
      <c r="N4803" t="s">
        <v>2821</v>
      </c>
      <c r="O4803">
        <v>250102</v>
      </c>
      <c r="P4803">
        <v>21.41</v>
      </c>
    </row>
    <row r="4804" spans="1:16" x14ac:dyDescent="0.25">
      <c r="A4804" t="s">
        <v>3296</v>
      </c>
      <c r="B4804" t="s">
        <v>2931</v>
      </c>
      <c r="C4804">
        <v>55</v>
      </c>
      <c r="D4804" t="str">
        <f t="shared" si="89"/>
        <v xml:space="preserve">84426645405 </v>
      </c>
      <c r="E4804" t="s">
        <v>2812</v>
      </c>
      <c r="F4804" t="s">
        <v>2813</v>
      </c>
      <c r="G4804">
        <v>10.72</v>
      </c>
      <c r="H4804">
        <v>250101</v>
      </c>
      <c r="I4804">
        <v>4370</v>
      </c>
      <c r="J4804" t="s">
        <v>198</v>
      </c>
      <c r="K4804">
        <v>32609.78</v>
      </c>
      <c r="L4804">
        <v>0</v>
      </c>
      <c r="M4804">
        <v>13254</v>
      </c>
      <c r="N4804" t="s">
        <v>2817</v>
      </c>
      <c r="O4804">
        <v>250102</v>
      </c>
      <c r="P4804">
        <v>10.72</v>
      </c>
    </row>
    <row r="4805" spans="1:16" x14ac:dyDescent="0.25">
      <c r="A4805" t="s">
        <v>3296</v>
      </c>
      <c r="B4805" t="s">
        <v>2931</v>
      </c>
      <c r="C4805">
        <v>55</v>
      </c>
      <c r="D4805" t="str">
        <f t="shared" si="89"/>
        <v xml:space="preserve">84426645405 </v>
      </c>
      <c r="E4805" t="s">
        <v>2812</v>
      </c>
      <c r="F4805" t="s">
        <v>2813</v>
      </c>
      <c r="G4805">
        <v>1.31</v>
      </c>
      <c r="H4805">
        <v>250101</v>
      </c>
      <c r="I4805">
        <v>4370</v>
      </c>
      <c r="J4805" t="s">
        <v>198</v>
      </c>
      <c r="K4805">
        <v>32609.78</v>
      </c>
      <c r="L4805">
        <v>0</v>
      </c>
      <c r="M4805">
        <v>13281</v>
      </c>
      <c r="N4805" t="s">
        <v>476</v>
      </c>
      <c r="O4805">
        <v>250102</v>
      </c>
      <c r="P4805">
        <v>1.31</v>
      </c>
    </row>
    <row r="4806" spans="1:16" x14ac:dyDescent="0.25">
      <c r="A4806" t="s">
        <v>3296</v>
      </c>
      <c r="B4806" t="s">
        <v>2931</v>
      </c>
      <c r="C4806">
        <v>55</v>
      </c>
      <c r="D4806" t="str">
        <f t="shared" si="89"/>
        <v xml:space="preserve">84426645405 </v>
      </c>
      <c r="E4806" t="s">
        <v>2812</v>
      </c>
      <c r="F4806" t="s">
        <v>2813</v>
      </c>
      <c r="G4806">
        <v>63.03</v>
      </c>
      <c r="H4806">
        <v>250101</v>
      </c>
      <c r="I4806">
        <v>4370</v>
      </c>
      <c r="J4806" t="s">
        <v>198</v>
      </c>
      <c r="K4806">
        <v>32609.78</v>
      </c>
      <c r="L4806">
        <v>0</v>
      </c>
      <c r="M4806">
        <v>13454</v>
      </c>
      <c r="N4806" t="s">
        <v>2818</v>
      </c>
      <c r="O4806">
        <v>250102</v>
      </c>
      <c r="P4806">
        <v>63.03</v>
      </c>
    </row>
    <row r="4807" spans="1:16" x14ac:dyDescent="0.25">
      <c r="A4807" t="s">
        <v>3296</v>
      </c>
      <c r="B4807" t="s">
        <v>2931</v>
      </c>
      <c r="C4807">
        <v>55</v>
      </c>
      <c r="D4807" t="str">
        <f t="shared" si="89"/>
        <v xml:space="preserve">84426645405 </v>
      </c>
      <c r="E4807" t="s">
        <v>2812</v>
      </c>
      <c r="F4807" t="s">
        <v>2813</v>
      </c>
      <c r="G4807">
        <v>15.77</v>
      </c>
      <c r="H4807">
        <v>250101</v>
      </c>
      <c r="I4807">
        <v>4370</v>
      </c>
      <c r="J4807" t="s">
        <v>198</v>
      </c>
      <c r="K4807">
        <v>32609.78</v>
      </c>
      <c r="L4807">
        <v>0</v>
      </c>
      <c r="M4807">
        <v>13461</v>
      </c>
      <c r="N4807" t="s">
        <v>1544</v>
      </c>
      <c r="O4807">
        <v>250102</v>
      </c>
      <c r="P4807">
        <v>15.77</v>
      </c>
    </row>
    <row r="4808" spans="1:16" x14ac:dyDescent="0.25">
      <c r="A4808" t="s">
        <v>3296</v>
      </c>
      <c r="B4808" t="s">
        <v>2931</v>
      </c>
      <c r="C4808">
        <v>55</v>
      </c>
      <c r="D4808" t="str">
        <f t="shared" si="89"/>
        <v xml:space="preserve">84426645405 </v>
      </c>
      <c r="E4808" t="s">
        <v>2812</v>
      </c>
      <c r="F4808" t="s">
        <v>2813</v>
      </c>
      <c r="G4808">
        <v>54.84</v>
      </c>
      <c r="H4808">
        <v>250101</v>
      </c>
      <c r="I4808">
        <v>4370</v>
      </c>
      <c r="J4808" t="s">
        <v>198</v>
      </c>
      <c r="K4808">
        <v>32609.78</v>
      </c>
      <c r="L4808">
        <v>0</v>
      </c>
      <c r="M4808">
        <v>13554</v>
      </c>
      <c r="N4808" t="s">
        <v>2819</v>
      </c>
      <c r="O4808">
        <v>250102</v>
      </c>
      <c r="P4808">
        <v>54.84</v>
      </c>
    </row>
    <row r="4809" spans="1:16" x14ac:dyDescent="0.25">
      <c r="A4809" t="s">
        <v>3296</v>
      </c>
      <c r="B4809" t="s">
        <v>2931</v>
      </c>
      <c r="C4809">
        <v>55</v>
      </c>
      <c r="D4809" t="str">
        <f t="shared" si="89"/>
        <v xml:space="preserve">84426645405 </v>
      </c>
      <c r="E4809" t="s">
        <v>2812</v>
      </c>
      <c r="F4809" t="s">
        <v>2813</v>
      </c>
      <c r="G4809">
        <v>15.77</v>
      </c>
      <c r="H4809">
        <v>250101</v>
      </c>
      <c r="I4809">
        <v>4370</v>
      </c>
      <c r="J4809" t="s">
        <v>198</v>
      </c>
      <c r="K4809">
        <v>32609.78</v>
      </c>
      <c r="L4809">
        <v>0</v>
      </c>
      <c r="M4809">
        <v>13561</v>
      </c>
      <c r="N4809" t="s">
        <v>241</v>
      </c>
      <c r="O4809">
        <v>250102</v>
      </c>
      <c r="P4809">
        <v>15.77</v>
      </c>
    </row>
    <row r="4810" spans="1:16" x14ac:dyDescent="0.25">
      <c r="A4810" t="s">
        <v>3296</v>
      </c>
      <c r="B4810" t="s">
        <v>2931</v>
      </c>
      <c r="C4810">
        <v>55</v>
      </c>
      <c r="D4810" t="str">
        <f t="shared" si="89"/>
        <v xml:space="preserve">84426645405 </v>
      </c>
      <c r="E4810" t="s">
        <v>2812</v>
      </c>
      <c r="F4810" t="s">
        <v>2813</v>
      </c>
      <c r="G4810">
        <v>27.06</v>
      </c>
      <c r="H4810">
        <v>250101</v>
      </c>
      <c r="I4810">
        <v>4370</v>
      </c>
      <c r="J4810" t="s">
        <v>198</v>
      </c>
      <c r="K4810">
        <v>32609.78</v>
      </c>
      <c r="L4810">
        <v>0</v>
      </c>
      <c r="M4810">
        <v>13661</v>
      </c>
      <c r="N4810" t="s">
        <v>243</v>
      </c>
      <c r="O4810">
        <v>250102</v>
      </c>
      <c r="P4810">
        <v>27.06</v>
      </c>
    </row>
    <row r="4811" spans="1:16" x14ac:dyDescent="0.25">
      <c r="A4811" t="s">
        <v>3296</v>
      </c>
      <c r="B4811" t="s">
        <v>2931</v>
      </c>
      <c r="C4811">
        <v>55</v>
      </c>
      <c r="D4811" t="str">
        <f t="shared" si="89"/>
        <v xml:space="preserve">84426645405 </v>
      </c>
      <c r="E4811" t="s">
        <v>2812</v>
      </c>
      <c r="F4811" t="s">
        <v>2813</v>
      </c>
      <c r="G4811">
        <v>54.9</v>
      </c>
      <c r="H4811">
        <v>250101</v>
      </c>
      <c r="I4811">
        <v>4370</v>
      </c>
      <c r="J4811" t="s">
        <v>198</v>
      </c>
      <c r="K4811">
        <v>32609.78</v>
      </c>
      <c r="L4811">
        <v>0</v>
      </c>
      <c r="M4811">
        <v>13861</v>
      </c>
      <c r="N4811" t="s">
        <v>604</v>
      </c>
      <c r="O4811">
        <v>250102</v>
      </c>
      <c r="P4811">
        <v>54.9</v>
      </c>
    </row>
    <row r="4812" spans="1:16" x14ac:dyDescent="0.25">
      <c r="A4812" t="s">
        <v>3296</v>
      </c>
      <c r="B4812" t="s">
        <v>2931</v>
      </c>
      <c r="C4812">
        <v>55</v>
      </c>
      <c r="D4812" t="str">
        <f t="shared" si="89"/>
        <v xml:space="preserve">84426645405 </v>
      </c>
      <c r="E4812" t="s">
        <v>2812</v>
      </c>
      <c r="F4812" t="s">
        <v>2813</v>
      </c>
      <c r="G4812">
        <v>76.489999999999995</v>
      </c>
      <c r="H4812">
        <v>250101</v>
      </c>
      <c r="I4812">
        <v>4370</v>
      </c>
      <c r="J4812" t="s">
        <v>198</v>
      </c>
      <c r="K4812">
        <v>32609.78</v>
      </c>
      <c r="L4812">
        <v>0</v>
      </c>
      <c r="M4812">
        <v>13940</v>
      </c>
      <c r="N4812" t="s">
        <v>14</v>
      </c>
      <c r="O4812">
        <v>250102</v>
      </c>
      <c r="P4812">
        <v>76.489999999999995</v>
      </c>
    </row>
    <row r="4813" spans="1:16" x14ac:dyDescent="0.25">
      <c r="A4813" t="s">
        <v>3296</v>
      </c>
      <c r="B4813" t="s">
        <v>2931</v>
      </c>
      <c r="C4813">
        <v>55</v>
      </c>
      <c r="D4813" t="str">
        <f t="shared" si="89"/>
        <v xml:space="preserve">84426645405 </v>
      </c>
      <c r="E4813" t="s">
        <v>2812</v>
      </c>
      <c r="F4813" t="s">
        <v>2813</v>
      </c>
      <c r="G4813">
        <v>10.01</v>
      </c>
      <c r="H4813">
        <v>250101</v>
      </c>
      <c r="I4813">
        <v>4370</v>
      </c>
      <c r="J4813" t="s">
        <v>198</v>
      </c>
      <c r="K4813">
        <v>32609.78</v>
      </c>
      <c r="L4813">
        <v>0</v>
      </c>
      <c r="M4813">
        <v>14432</v>
      </c>
      <c r="N4813" t="s">
        <v>75</v>
      </c>
      <c r="O4813">
        <v>250102</v>
      </c>
      <c r="P4813">
        <v>10.01</v>
      </c>
    </row>
    <row r="4814" spans="1:16" x14ac:dyDescent="0.25">
      <c r="A4814" t="s">
        <v>3296</v>
      </c>
      <c r="B4814" t="s">
        <v>2931</v>
      </c>
      <c r="C4814">
        <v>55</v>
      </c>
      <c r="D4814" t="str">
        <f t="shared" si="89"/>
        <v xml:space="preserve">84426645405 </v>
      </c>
      <c r="E4814" t="s">
        <v>2812</v>
      </c>
      <c r="F4814" t="s">
        <v>2813</v>
      </c>
      <c r="G4814">
        <v>0.38</v>
      </c>
      <c r="H4814">
        <v>250101</v>
      </c>
      <c r="I4814">
        <v>4370</v>
      </c>
      <c r="J4814" t="s">
        <v>198</v>
      </c>
      <c r="K4814">
        <v>32609.78</v>
      </c>
      <c r="L4814">
        <v>0</v>
      </c>
      <c r="M4814">
        <v>14912</v>
      </c>
      <c r="N4814" t="s">
        <v>80</v>
      </c>
      <c r="O4814">
        <v>250102</v>
      </c>
      <c r="P4814">
        <v>0.38</v>
      </c>
    </row>
    <row r="4815" spans="1:16" x14ac:dyDescent="0.25">
      <c r="A4815" t="s">
        <v>3296</v>
      </c>
      <c r="B4815" t="s">
        <v>2931</v>
      </c>
      <c r="C4815">
        <v>55</v>
      </c>
      <c r="D4815" t="str">
        <f t="shared" si="89"/>
        <v xml:space="preserve">84426645405 </v>
      </c>
      <c r="E4815" t="s">
        <v>2812</v>
      </c>
      <c r="F4815" t="s">
        <v>2813</v>
      </c>
      <c r="G4815">
        <v>279.37</v>
      </c>
      <c r="H4815">
        <v>250101</v>
      </c>
      <c r="I4815">
        <v>4370</v>
      </c>
      <c r="J4815" t="s">
        <v>198</v>
      </c>
      <c r="K4815">
        <v>32609.78</v>
      </c>
      <c r="L4815">
        <v>0</v>
      </c>
      <c r="M4815">
        <v>14975</v>
      </c>
      <c r="N4815" t="s">
        <v>84</v>
      </c>
      <c r="O4815">
        <v>250102</v>
      </c>
      <c r="P4815">
        <v>279.37</v>
      </c>
    </row>
    <row r="4816" spans="1:16" x14ac:dyDescent="0.25">
      <c r="A4816" t="s">
        <v>3296</v>
      </c>
      <c r="B4816" t="s">
        <v>2931</v>
      </c>
      <c r="C4816">
        <v>55</v>
      </c>
      <c r="D4816" t="str">
        <f t="shared" si="89"/>
        <v xml:space="preserve">84426645405 </v>
      </c>
      <c r="E4816" t="s">
        <v>2812</v>
      </c>
      <c r="F4816" t="s">
        <v>2813</v>
      </c>
      <c r="G4816">
        <v>156.41</v>
      </c>
      <c r="H4816">
        <v>250101</v>
      </c>
      <c r="I4816">
        <v>4370</v>
      </c>
      <c r="J4816" t="s">
        <v>198</v>
      </c>
      <c r="K4816">
        <v>32609.78</v>
      </c>
      <c r="L4816">
        <v>0</v>
      </c>
      <c r="M4816">
        <v>17737</v>
      </c>
      <c r="N4816" t="s">
        <v>156</v>
      </c>
      <c r="O4816">
        <v>250102</v>
      </c>
      <c r="P4816">
        <v>156.41</v>
      </c>
    </row>
    <row r="4817" spans="1:16" x14ac:dyDescent="0.25">
      <c r="A4817" t="s">
        <v>3296</v>
      </c>
      <c r="B4817" t="s">
        <v>2931</v>
      </c>
      <c r="C4817">
        <v>55</v>
      </c>
      <c r="D4817" t="str">
        <f t="shared" si="89"/>
        <v xml:space="preserve">84426645405 </v>
      </c>
      <c r="E4817" t="s">
        <v>2812</v>
      </c>
      <c r="F4817" t="s">
        <v>2813</v>
      </c>
      <c r="G4817">
        <v>2.19</v>
      </c>
      <c r="H4817">
        <v>250101</v>
      </c>
      <c r="I4817">
        <v>4370</v>
      </c>
      <c r="J4817" t="s">
        <v>198</v>
      </c>
      <c r="K4817">
        <v>32609.78</v>
      </c>
      <c r="L4817">
        <v>0</v>
      </c>
      <c r="M4817">
        <v>17913</v>
      </c>
      <c r="N4817" t="s">
        <v>26</v>
      </c>
      <c r="O4817">
        <v>250102</v>
      </c>
      <c r="P4817">
        <v>2.19</v>
      </c>
    </row>
    <row r="4818" spans="1:16" x14ac:dyDescent="0.25">
      <c r="A4818" t="s">
        <v>3296</v>
      </c>
      <c r="B4818" t="s">
        <v>2931</v>
      </c>
      <c r="C4818">
        <v>55</v>
      </c>
      <c r="D4818" t="str">
        <f t="shared" si="89"/>
        <v xml:space="preserve">84426645405 </v>
      </c>
      <c r="E4818" t="s">
        <v>2812</v>
      </c>
      <c r="F4818" t="s">
        <v>2813</v>
      </c>
      <c r="G4818">
        <v>1.1499999999999999</v>
      </c>
      <c r="H4818">
        <v>250101</v>
      </c>
      <c r="I4818">
        <v>4370</v>
      </c>
      <c r="J4818" t="s">
        <v>198</v>
      </c>
      <c r="K4818">
        <v>32609.78</v>
      </c>
      <c r="L4818">
        <v>0</v>
      </c>
      <c r="M4818">
        <v>17915</v>
      </c>
      <c r="N4818" t="s">
        <v>305</v>
      </c>
      <c r="O4818">
        <v>250102</v>
      </c>
      <c r="P4818">
        <v>1.1499999999999999</v>
      </c>
    </row>
    <row r="4819" spans="1:16" x14ac:dyDescent="0.25">
      <c r="A4819" t="s">
        <v>3296</v>
      </c>
      <c r="B4819" t="s">
        <v>2931</v>
      </c>
      <c r="C4819">
        <v>55</v>
      </c>
      <c r="D4819" t="str">
        <f t="shared" si="89"/>
        <v xml:space="preserve">84426645405 </v>
      </c>
      <c r="E4819" t="s">
        <v>2812</v>
      </c>
      <c r="F4819" t="s">
        <v>2813</v>
      </c>
      <c r="G4819">
        <v>695.25</v>
      </c>
      <c r="H4819">
        <v>250101</v>
      </c>
      <c r="I4819">
        <v>4370</v>
      </c>
      <c r="J4819" t="s">
        <v>198</v>
      </c>
      <c r="K4819">
        <v>32609.78</v>
      </c>
      <c r="L4819">
        <v>0</v>
      </c>
      <c r="M4819">
        <v>17975</v>
      </c>
      <c r="N4819" t="s">
        <v>29</v>
      </c>
      <c r="O4819">
        <v>250102</v>
      </c>
      <c r="P4819">
        <v>695.25</v>
      </c>
    </row>
    <row r="4820" spans="1:16" x14ac:dyDescent="0.25">
      <c r="A4820" t="s">
        <v>3296</v>
      </c>
      <c r="B4820" t="s">
        <v>2931</v>
      </c>
      <c r="C4820">
        <v>55</v>
      </c>
      <c r="D4820" t="str">
        <f t="shared" si="89"/>
        <v xml:space="preserve">84426645405 </v>
      </c>
      <c r="E4820" t="s">
        <v>2812</v>
      </c>
      <c r="F4820" t="s">
        <v>2813</v>
      </c>
      <c r="G4820">
        <v>57.61</v>
      </c>
      <c r="H4820">
        <v>250101</v>
      </c>
      <c r="I4820">
        <v>4370</v>
      </c>
      <c r="J4820" t="s">
        <v>198</v>
      </c>
      <c r="K4820">
        <v>32609.78</v>
      </c>
      <c r="L4820">
        <v>0</v>
      </c>
      <c r="M4820">
        <v>18950</v>
      </c>
      <c r="N4820" t="s">
        <v>2226</v>
      </c>
      <c r="O4820">
        <v>250102</v>
      </c>
      <c r="P4820">
        <v>57.61</v>
      </c>
    </row>
    <row r="4821" spans="1:16" x14ac:dyDescent="0.25">
      <c r="A4821" t="s">
        <v>3296</v>
      </c>
      <c r="B4821" t="s">
        <v>2931</v>
      </c>
      <c r="C4821">
        <v>55</v>
      </c>
      <c r="D4821" t="str">
        <f t="shared" si="89"/>
        <v xml:space="preserve">84426645405 </v>
      </c>
      <c r="E4821" t="s">
        <v>2812</v>
      </c>
      <c r="F4821" t="s">
        <v>2813</v>
      </c>
      <c r="G4821">
        <v>567.26</v>
      </c>
      <c r="H4821">
        <v>250101</v>
      </c>
      <c r="I4821">
        <v>4370</v>
      </c>
      <c r="J4821" t="s">
        <v>198</v>
      </c>
      <c r="K4821">
        <v>32609.78</v>
      </c>
      <c r="L4821">
        <v>0</v>
      </c>
      <c r="M4821">
        <v>18972</v>
      </c>
      <c r="N4821" t="s">
        <v>39</v>
      </c>
      <c r="O4821">
        <v>250102</v>
      </c>
      <c r="P4821">
        <v>567.26</v>
      </c>
    </row>
    <row r="4822" spans="1:16" x14ac:dyDescent="0.25">
      <c r="A4822" t="s">
        <v>3296</v>
      </c>
      <c r="B4822" t="s">
        <v>2931</v>
      </c>
      <c r="C4822">
        <v>55</v>
      </c>
      <c r="D4822" t="str">
        <f t="shared" si="89"/>
        <v xml:space="preserve">84426645405 </v>
      </c>
      <c r="E4822" t="s">
        <v>2812</v>
      </c>
      <c r="F4822" t="s">
        <v>2813</v>
      </c>
      <c r="G4822">
        <v>603.19000000000005</v>
      </c>
      <c r="H4822">
        <v>250101</v>
      </c>
      <c r="I4822">
        <v>4370</v>
      </c>
      <c r="J4822" t="s">
        <v>198</v>
      </c>
      <c r="K4822">
        <v>32609.78</v>
      </c>
      <c r="L4822">
        <v>0</v>
      </c>
      <c r="M4822">
        <v>18975</v>
      </c>
      <c r="N4822" t="s">
        <v>2816</v>
      </c>
      <c r="O4822">
        <v>250102</v>
      </c>
      <c r="P4822">
        <v>603.19000000000005</v>
      </c>
    </row>
    <row r="4823" spans="1:16" x14ac:dyDescent="0.25">
      <c r="A4823" t="s">
        <v>3296</v>
      </c>
      <c r="B4823" t="s">
        <v>2931</v>
      </c>
      <c r="C4823">
        <v>55</v>
      </c>
      <c r="D4823" t="str">
        <f t="shared" si="89"/>
        <v xml:space="preserve">84426645405 </v>
      </c>
      <c r="E4823" t="s">
        <v>2812</v>
      </c>
      <c r="F4823" t="s">
        <v>2813</v>
      </c>
      <c r="G4823">
        <v>0.76</v>
      </c>
      <c r="H4823">
        <v>250101</v>
      </c>
      <c r="I4823">
        <v>4370</v>
      </c>
      <c r="J4823" t="s">
        <v>198</v>
      </c>
      <c r="K4823">
        <v>32609.78</v>
      </c>
      <c r="L4823">
        <v>0</v>
      </c>
      <c r="M4823">
        <v>44252</v>
      </c>
      <c r="N4823" t="s">
        <v>217</v>
      </c>
      <c r="O4823">
        <v>250102</v>
      </c>
      <c r="P4823">
        <v>0.76</v>
      </c>
    </row>
    <row r="4824" spans="1:16" x14ac:dyDescent="0.25">
      <c r="A4824" t="s">
        <v>3296</v>
      </c>
      <c r="B4824" t="s">
        <v>2931</v>
      </c>
      <c r="C4824">
        <v>55</v>
      </c>
      <c r="D4824" t="str">
        <f t="shared" si="89"/>
        <v xml:space="preserve">84426645405 </v>
      </c>
      <c r="E4824" t="s">
        <v>2812</v>
      </c>
      <c r="F4824" t="s">
        <v>2813</v>
      </c>
      <c r="G4824">
        <v>3.24</v>
      </c>
      <c r="H4824">
        <v>250101</v>
      </c>
      <c r="I4824">
        <v>4370</v>
      </c>
      <c r="J4824" t="s">
        <v>198</v>
      </c>
      <c r="K4824">
        <v>32609.78</v>
      </c>
      <c r="L4824">
        <v>0</v>
      </c>
      <c r="M4824">
        <v>49112</v>
      </c>
      <c r="N4824" t="s">
        <v>109</v>
      </c>
      <c r="O4824">
        <v>250102</v>
      </c>
      <c r="P4824">
        <v>3.24</v>
      </c>
    </row>
    <row r="4825" spans="1:16" x14ac:dyDescent="0.25">
      <c r="A4825" t="s">
        <v>3296</v>
      </c>
      <c r="B4825" t="s">
        <v>2931</v>
      </c>
      <c r="C4825">
        <v>55</v>
      </c>
      <c r="D4825" t="str">
        <f t="shared" si="89"/>
        <v xml:space="preserve">84426645405 </v>
      </c>
      <c r="E4825" t="s">
        <v>2812</v>
      </c>
      <c r="F4825" t="s">
        <v>2813</v>
      </c>
      <c r="G4825">
        <v>450.8</v>
      </c>
      <c r="H4825">
        <v>250101</v>
      </c>
      <c r="I4825">
        <v>4370</v>
      </c>
      <c r="J4825" t="s">
        <v>198</v>
      </c>
      <c r="K4825">
        <v>32609.78</v>
      </c>
      <c r="L4825">
        <v>0</v>
      </c>
      <c r="M4825">
        <v>49705</v>
      </c>
      <c r="N4825" t="s">
        <v>114</v>
      </c>
      <c r="O4825">
        <v>250102</v>
      </c>
      <c r="P4825">
        <v>450.8</v>
      </c>
    </row>
    <row r="4826" spans="1:16" x14ac:dyDescent="0.25">
      <c r="A4826" t="s">
        <v>3296</v>
      </c>
      <c r="B4826" t="s">
        <v>2931</v>
      </c>
      <c r="C4826">
        <v>55</v>
      </c>
      <c r="D4826" t="str">
        <f t="shared" si="89"/>
        <v xml:space="preserve">84426645405 </v>
      </c>
      <c r="E4826" t="s">
        <v>2812</v>
      </c>
      <c r="F4826" t="s">
        <v>2813</v>
      </c>
      <c r="G4826">
        <v>2.23</v>
      </c>
      <c r="H4826">
        <v>250101</v>
      </c>
      <c r="I4826">
        <v>4370</v>
      </c>
      <c r="J4826" t="s">
        <v>198</v>
      </c>
      <c r="K4826">
        <v>32609.78</v>
      </c>
      <c r="L4826">
        <v>0</v>
      </c>
      <c r="M4826">
        <v>59113</v>
      </c>
      <c r="N4826" t="s">
        <v>61</v>
      </c>
      <c r="O4826">
        <v>250102</v>
      </c>
      <c r="P4826">
        <v>2.23</v>
      </c>
    </row>
    <row r="4827" spans="1:16" x14ac:dyDescent="0.25">
      <c r="A4827" t="s">
        <v>3296</v>
      </c>
      <c r="B4827" t="s">
        <v>2931</v>
      </c>
      <c r="C4827">
        <v>55</v>
      </c>
      <c r="D4827" t="str">
        <f t="shared" si="89"/>
        <v xml:space="preserve">84426645405 </v>
      </c>
      <c r="E4827" t="s">
        <v>2812</v>
      </c>
      <c r="F4827" t="s">
        <v>2813</v>
      </c>
      <c r="G4827">
        <v>1.1000000000000001</v>
      </c>
      <c r="H4827">
        <v>250101</v>
      </c>
      <c r="I4827">
        <v>4370</v>
      </c>
      <c r="J4827" t="s">
        <v>198</v>
      </c>
      <c r="K4827">
        <v>32609.78</v>
      </c>
      <c r="L4827">
        <v>0</v>
      </c>
      <c r="M4827">
        <v>59114</v>
      </c>
      <c r="N4827" t="s">
        <v>299</v>
      </c>
      <c r="O4827">
        <v>250102</v>
      </c>
      <c r="P4827">
        <v>1.1000000000000001</v>
      </c>
    </row>
    <row r="4828" spans="1:16" x14ac:dyDescent="0.25">
      <c r="A4828" t="s">
        <v>3296</v>
      </c>
      <c r="B4828" t="s">
        <v>2931</v>
      </c>
      <c r="C4828">
        <v>55</v>
      </c>
      <c r="D4828" t="str">
        <f t="shared" si="89"/>
        <v xml:space="preserve">84426645405 </v>
      </c>
      <c r="E4828" t="s">
        <v>2812</v>
      </c>
      <c r="F4828" t="s">
        <v>2813</v>
      </c>
      <c r="G4828">
        <v>420.96</v>
      </c>
      <c r="H4828">
        <v>250101</v>
      </c>
      <c r="I4828">
        <v>4370</v>
      </c>
      <c r="J4828" t="s">
        <v>198</v>
      </c>
      <c r="K4828">
        <v>32609.78</v>
      </c>
      <c r="L4828">
        <v>0</v>
      </c>
      <c r="M4828">
        <v>59705</v>
      </c>
      <c r="N4828" t="s">
        <v>47</v>
      </c>
      <c r="O4828">
        <v>250102</v>
      </c>
      <c r="P4828">
        <v>420.96</v>
      </c>
    </row>
    <row r="4829" spans="1:16" x14ac:dyDescent="0.25">
      <c r="A4829" t="s">
        <v>3296</v>
      </c>
      <c r="B4829" t="s">
        <v>2931</v>
      </c>
      <c r="C4829">
        <v>55</v>
      </c>
      <c r="D4829" t="str">
        <f t="shared" si="89"/>
        <v xml:space="preserve">84426645405 </v>
      </c>
      <c r="E4829" t="s">
        <v>2812</v>
      </c>
      <c r="F4829" t="s">
        <v>2813</v>
      </c>
      <c r="G4829">
        <v>146.55000000000001</v>
      </c>
      <c r="H4829">
        <v>250101</v>
      </c>
      <c r="I4829">
        <v>4370</v>
      </c>
      <c r="J4829" t="s">
        <v>198</v>
      </c>
      <c r="K4829">
        <v>32609.78</v>
      </c>
      <c r="L4829">
        <v>0</v>
      </c>
      <c r="M4829">
        <v>67554</v>
      </c>
      <c r="N4829" t="s">
        <v>317</v>
      </c>
      <c r="O4829">
        <v>250102</v>
      </c>
      <c r="P4829">
        <v>146.55000000000001</v>
      </c>
    </row>
    <row r="4830" spans="1:16" x14ac:dyDescent="0.25">
      <c r="A4830" t="s">
        <v>3296</v>
      </c>
      <c r="B4830" t="s">
        <v>2931</v>
      </c>
      <c r="C4830">
        <v>55</v>
      </c>
      <c r="D4830" t="str">
        <f t="shared" si="89"/>
        <v xml:space="preserve">84426645405 </v>
      </c>
      <c r="E4830" t="s">
        <v>2812</v>
      </c>
      <c r="F4830" t="s">
        <v>2813</v>
      </c>
      <c r="G4830">
        <v>1.54</v>
      </c>
      <c r="H4830">
        <v>250101</v>
      </c>
      <c r="I4830">
        <v>4370</v>
      </c>
      <c r="J4830" t="s">
        <v>198</v>
      </c>
      <c r="K4830">
        <v>32609.78</v>
      </c>
      <c r="L4830">
        <v>0</v>
      </c>
      <c r="M4830">
        <v>69112</v>
      </c>
      <c r="N4830" t="s">
        <v>227</v>
      </c>
      <c r="O4830">
        <v>250102</v>
      </c>
      <c r="P4830">
        <v>1.54</v>
      </c>
    </row>
    <row r="4831" spans="1:16" x14ac:dyDescent="0.25">
      <c r="A4831" t="s">
        <v>3296</v>
      </c>
      <c r="B4831" t="s">
        <v>2931</v>
      </c>
      <c r="C4831">
        <v>55</v>
      </c>
      <c r="D4831" t="str">
        <f t="shared" si="89"/>
        <v xml:space="preserve">84426645405 </v>
      </c>
      <c r="E4831" t="s">
        <v>2812</v>
      </c>
      <c r="F4831" t="s">
        <v>2813</v>
      </c>
      <c r="G4831">
        <v>311.10000000000002</v>
      </c>
      <c r="H4831">
        <v>250101</v>
      </c>
      <c r="I4831">
        <v>4370</v>
      </c>
      <c r="J4831" t="s">
        <v>198</v>
      </c>
      <c r="K4831">
        <v>32609.78</v>
      </c>
      <c r="L4831">
        <v>0</v>
      </c>
      <c r="M4831">
        <v>69708</v>
      </c>
      <c r="N4831" t="s">
        <v>125</v>
      </c>
      <c r="O4831">
        <v>250102</v>
      </c>
      <c r="P4831">
        <v>311.10000000000002</v>
      </c>
    </row>
    <row r="4832" spans="1:16" x14ac:dyDescent="0.25">
      <c r="A4832" t="s">
        <v>3296</v>
      </c>
      <c r="B4832" t="s">
        <v>2931</v>
      </c>
      <c r="C4832">
        <v>58</v>
      </c>
      <c r="D4832" t="str">
        <f>"84426356697 "</f>
        <v xml:space="preserve">84426356697 </v>
      </c>
      <c r="E4832" t="s">
        <v>2812</v>
      </c>
      <c r="F4832" t="s">
        <v>2813</v>
      </c>
      <c r="G4832">
        <v>118.74</v>
      </c>
      <c r="H4832">
        <v>250101</v>
      </c>
      <c r="I4832">
        <v>4370</v>
      </c>
      <c r="J4832" t="s">
        <v>198</v>
      </c>
      <c r="K4832">
        <v>118.74</v>
      </c>
      <c r="L4832">
        <v>0</v>
      </c>
      <c r="M4832">
        <v>13401</v>
      </c>
      <c r="N4832" t="s">
        <v>10</v>
      </c>
      <c r="O4832">
        <v>250102</v>
      </c>
      <c r="P4832">
        <v>118.74</v>
      </c>
    </row>
    <row r="4833" spans="1:16" x14ac:dyDescent="0.25">
      <c r="A4833" t="s">
        <v>3296</v>
      </c>
      <c r="B4833" t="s">
        <v>2931</v>
      </c>
      <c r="C4833">
        <v>61</v>
      </c>
      <c r="D4833" t="str">
        <f>"84426362898 "</f>
        <v xml:space="preserve">84426362898 </v>
      </c>
      <c r="E4833" t="s">
        <v>2812</v>
      </c>
      <c r="F4833" t="s">
        <v>2813</v>
      </c>
      <c r="G4833">
        <v>73.010000000000005</v>
      </c>
      <c r="H4833">
        <v>250101</v>
      </c>
      <c r="I4833">
        <v>4370</v>
      </c>
      <c r="J4833" t="s">
        <v>198</v>
      </c>
      <c r="K4833">
        <v>4360.12</v>
      </c>
      <c r="L4833">
        <v>0</v>
      </c>
      <c r="M4833">
        <v>13540</v>
      </c>
      <c r="N4833" t="s">
        <v>131</v>
      </c>
      <c r="O4833">
        <v>250102</v>
      </c>
      <c r="P4833">
        <v>73.010000000000005</v>
      </c>
    </row>
    <row r="4834" spans="1:16" x14ac:dyDescent="0.25">
      <c r="A4834" t="s">
        <v>3296</v>
      </c>
      <c r="B4834" t="s">
        <v>2931</v>
      </c>
      <c r="C4834">
        <v>61</v>
      </c>
      <c r="D4834" t="str">
        <f>"84426362898 "</f>
        <v xml:space="preserve">84426362898 </v>
      </c>
      <c r="E4834" t="s">
        <v>2812</v>
      </c>
      <c r="F4834" t="s">
        <v>2813</v>
      </c>
      <c r="G4834">
        <v>1011.16</v>
      </c>
      <c r="H4834">
        <v>250101</v>
      </c>
      <c r="I4834">
        <v>4370</v>
      </c>
      <c r="J4834" t="s">
        <v>198</v>
      </c>
      <c r="K4834">
        <v>4360.12</v>
      </c>
      <c r="L4834">
        <v>0</v>
      </c>
      <c r="M4834">
        <v>17950</v>
      </c>
      <c r="N4834" t="s">
        <v>132</v>
      </c>
      <c r="O4834">
        <v>250102</v>
      </c>
      <c r="P4834">
        <v>1011.16</v>
      </c>
    </row>
    <row r="4835" spans="1:16" x14ac:dyDescent="0.25">
      <c r="A4835" t="s">
        <v>3296</v>
      </c>
      <c r="B4835" t="s">
        <v>2931</v>
      </c>
      <c r="C4835">
        <v>61</v>
      </c>
      <c r="D4835" t="str">
        <f>"84426362898 "</f>
        <v xml:space="preserve">84426362898 </v>
      </c>
      <c r="E4835" t="s">
        <v>2812</v>
      </c>
      <c r="F4835" t="s">
        <v>2813</v>
      </c>
      <c r="G4835">
        <v>242.47</v>
      </c>
      <c r="H4835">
        <v>250101</v>
      </c>
      <c r="I4835">
        <v>4370</v>
      </c>
      <c r="J4835" t="s">
        <v>198</v>
      </c>
      <c r="K4835">
        <v>4360.12</v>
      </c>
      <c r="L4835">
        <v>0</v>
      </c>
      <c r="M4835">
        <v>17956</v>
      </c>
      <c r="N4835" t="s">
        <v>170</v>
      </c>
      <c r="O4835">
        <v>250102</v>
      </c>
      <c r="P4835">
        <v>242.47</v>
      </c>
    </row>
    <row r="4836" spans="1:16" x14ac:dyDescent="0.25">
      <c r="A4836" t="s">
        <v>3296</v>
      </c>
      <c r="B4836" t="s">
        <v>2931</v>
      </c>
      <c r="C4836">
        <v>65</v>
      </c>
      <c r="D4836" t="str">
        <f>"84426362377 "</f>
        <v xml:space="preserve">84426362377 </v>
      </c>
      <c r="E4836" t="s">
        <v>2812</v>
      </c>
      <c r="F4836" t="s">
        <v>2813</v>
      </c>
      <c r="G4836">
        <v>1165.69</v>
      </c>
      <c r="H4836">
        <v>250101</v>
      </c>
      <c r="I4836">
        <v>4370</v>
      </c>
      <c r="J4836" t="s">
        <v>198</v>
      </c>
      <c r="K4836">
        <v>1748.53</v>
      </c>
      <c r="L4836">
        <v>0</v>
      </c>
      <c r="M4836">
        <v>13540</v>
      </c>
      <c r="N4836" t="s">
        <v>131</v>
      </c>
      <c r="O4836">
        <v>250102</v>
      </c>
      <c r="P4836">
        <v>1165.69</v>
      </c>
    </row>
    <row r="4837" spans="1:16" x14ac:dyDescent="0.25">
      <c r="A4837" t="s">
        <v>3296</v>
      </c>
      <c r="B4837" t="s">
        <v>2931</v>
      </c>
      <c r="C4837">
        <v>65</v>
      </c>
      <c r="D4837" t="str">
        <f>"84426362377 "</f>
        <v xml:space="preserve">84426362377 </v>
      </c>
      <c r="E4837" t="s">
        <v>2812</v>
      </c>
      <c r="F4837" t="s">
        <v>2813</v>
      </c>
      <c r="G4837">
        <v>582.84</v>
      </c>
      <c r="H4837">
        <v>250101</v>
      </c>
      <c r="I4837">
        <v>4370</v>
      </c>
      <c r="J4837" t="s">
        <v>198</v>
      </c>
      <c r="K4837">
        <v>1748.53</v>
      </c>
      <c r="L4837">
        <v>0</v>
      </c>
      <c r="M4837">
        <v>17950</v>
      </c>
      <c r="N4837" t="s">
        <v>132</v>
      </c>
      <c r="O4837">
        <v>250102</v>
      </c>
      <c r="P4837">
        <v>582.84</v>
      </c>
    </row>
    <row r="4838" spans="1:16" x14ac:dyDescent="0.25">
      <c r="A4838" t="s">
        <v>3296</v>
      </c>
      <c r="B4838" t="s">
        <v>2931</v>
      </c>
      <c r="C4838">
        <v>66</v>
      </c>
      <c r="D4838" t="str">
        <f t="shared" ref="D4838:D4873" si="90">"1017199336  "</f>
        <v xml:space="preserve">1017199336  </v>
      </c>
      <c r="E4838" t="s">
        <v>2812</v>
      </c>
      <c r="F4838" t="s">
        <v>2813</v>
      </c>
      <c r="G4838">
        <v>1130.3</v>
      </c>
      <c r="H4838">
        <v>250101</v>
      </c>
      <c r="I4838">
        <v>4370</v>
      </c>
      <c r="J4838" t="s">
        <v>198</v>
      </c>
      <c r="K4838">
        <v>38380.89</v>
      </c>
      <c r="L4838">
        <v>0</v>
      </c>
      <c r="M4838">
        <v>11001</v>
      </c>
      <c r="N4838" t="s">
        <v>93</v>
      </c>
      <c r="O4838">
        <v>250102</v>
      </c>
      <c r="P4838">
        <v>1130.3</v>
      </c>
    </row>
    <row r="4839" spans="1:16" x14ac:dyDescent="0.25">
      <c r="A4839" t="s">
        <v>3296</v>
      </c>
      <c r="B4839" t="s">
        <v>2931</v>
      </c>
      <c r="C4839">
        <v>66</v>
      </c>
      <c r="D4839" t="str">
        <f t="shared" si="90"/>
        <v xml:space="preserve">1017199336  </v>
      </c>
      <c r="E4839" t="s">
        <v>2812</v>
      </c>
      <c r="F4839" t="s">
        <v>2813</v>
      </c>
      <c r="G4839">
        <v>51.55</v>
      </c>
      <c r="H4839">
        <v>250101</v>
      </c>
      <c r="I4839">
        <v>4370</v>
      </c>
      <c r="J4839" t="s">
        <v>198</v>
      </c>
      <c r="K4839">
        <v>38380.89</v>
      </c>
      <c r="L4839">
        <v>0</v>
      </c>
      <c r="M4839">
        <v>13501</v>
      </c>
      <c r="N4839" t="s">
        <v>66</v>
      </c>
      <c r="O4839">
        <v>250102</v>
      </c>
      <c r="P4839">
        <v>51.55</v>
      </c>
    </row>
    <row r="4840" spans="1:16" x14ac:dyDescent="0.25">
      <c r="A4840" t="s">
        <v>3296</v>
      </c>
      <c r="B4840" t="s">
        <v>2931</v>
      </c>
      <c r="C4840">
        <v>66</v>
      </c>
      <c r="D4840" t="str">
        <f t="shared" si="90"/>
        <v xml:space="preserve">1017199336  </v>
      </c>
      <c r="E4840" t="s">
        <v>2812</v>
      </c>
      <c r="F4840" t="s">
        <v>2813</v>
      </c>
      <c r="G4840">
        <v>255.92</v>
      </c>
      <c r="H4840">
        <v>250101</v>
      </c>
      <c r="I4840">
        <v>4370</v>
      </c>
      <c r="J4840" t="s">
        <v>198</v>
      </c>
      <c r="K4840">
        <v>38380.89</v>
      </c>
      <c r="L4840">
        <v>0</v>
      </c>
      <c r="M4840">
        <v>17131</v>
      </c>
      <c r="N4840" t="s">
        <v>154</v>
      </c>
      <c r="O4840">
        <v>250102</v>
      </c>
      <c r="P4840">
        <v>255.92</v>
      </c>
    </row>
    <row r="4841" spans="1:16" x14ac:dyDescent="0.25">
      <c r="A4841" t="s">
        <v>3296</v>
      </c>
      <c r="B4841" t="s">
        <v>2931</v>
      </c>
      <c r="C4841">
        <v>66</v>
      </c>
      <c r="D4841" t="str">
        <f t="shared" si="90"/>
        <v xml:space="preserve">1017199336  </v>
      </c>
      <c r="E4841" t="s">
        <v>2812</v>
      </c>
      <c r="F4841" t="s">
        <v>2813</v>
      </c>
      <c r="G4841">
        <v>249.18</v>
      </c>
      <c r="H4841">
        <v>250101</v>
      </c>
      <c r="I4841">
        <v>4370</v>
      </c>
      <c r="J4841" t="s">
        <v>198</v>
      </c>
      <c r="K4841">
        <v>38380.89</v>
      </c>
      <c r="L4841">
        <v>0</v>
      </c>
      <c r="M4841">
        <v>17527</v>
      </c>
      <c r="N4841" t="s">
        <v>142</v>
      </c>
      <c r="O4841">
        <v>250102</v>
      </c>
      <c r="P4841">
        <v>249.18</v>
      </c>
    </row>
    <row r="4842" spans="1:16" x14ac:dyDescent="0.25">
      <c r="A4842" t="s">
        <v>3296</v>
      </c>
      <c r="B4842" t="s">
        <v>2931</v>
      </c>
      <c r="C4842">
        <v>66</v>
      </c>
      <c r="D4842" t="str">
        <f t="shared" si="90"/>
        <v xml:space="preserve">1017199336  </v>
      </c>
      <c r="E4842" t="s">
        <v>2812</v>
      </c>
      <c r="F4842" t="s">
        <v>2813</v>
      </c>
      <c r="G4842">
        <v>631.46</v>
      </c>
      <c r="H4842">
        <v>250101</v>
      </c>
      <c r="I4842">
        <v>4370</v>
      </c>
      <c r="J4842" t="s">
        <v>198</v>
      </c>
      <c r="K4842">
        <v>38380.89</v>
      </c>
      <c r="L4842">
        <v>0</v>
      </c>
      <c r="M4842">
        <v>17538</v>
      </c>
      <c r="N4842" t="s">
        <v>129</v>
      </c>
      <c r="O4842">
        <v>250102</v>
      </c>
      <c r="P4842">
        <v>631.46</v>
      </c>
    </row>
    <row r="4843" spans="1:16" x14ac:dyDescent="0.25">
      <c r="A4843" t="s">
        <v>3296</v>
      </c>
      <c r="B4843" t="s">
        <v>2931</v>
      </c>
      <c r="C4843">
        <v>66</v>
      </c>
      <c r="D4843" t="str">
        <f t="shared" si="90"/>
        <v xml:space="preserve">1017199336  </v>
      </c>
      <c r="E4843" t="s">
        <v>2812</v>
      </c>
      <c r="F4843" t="s">
        <v>2813</v>
      </c>
      <c r="G4843">
        <v>291.97000000000003</v>
      </c>
      <c r="H4843">
        <v>250101</v>
      </c>
      <c r="I4843">
        <v>4370</v>
      </c>
      <c r="J4843" t="s">
        <v>198</v>
      </c>
      <c r="K4843">
        <v>38380.89</v>
      </c>
      <c r="L4843">
        <v>0</v>
      </c>
      <c r="M4843">
        <v>17711</v>
      </c>
      <c r="N4843" t="s">
        <v>155</v>
      </c>
      <c r="O4843">
        <v>250102</v>
      </c>
      <c r="P4843">
        <v>291.97000000000003</v>
      </c>
    </row>
    <row r="4844" spans="1:16" x14ac:dyDescent="0.25">
      <c r="A4844" t="s">
        <v>3296</v>
      </c>
      <c r="B4844" t="s">
        <v>2931</v>
      </c>
      <c r="C4844">
        <v>66</v>
      </c>
      <c r="D4844" t="str">
        <f t="shared" si="90"/>
        <v xml:space="preserve">1017199336  </v>
      </c>
      <c r="E4844" t="s">
        <v>2812</v>
      </c>
      <c r="F4844" t="s">
        <v>2813</v>
      </c>
      <c r="G4844">
        <v>537.87</v>
      </c>
      <c r="H4844">
        <v>250101</v>
      </c>
      <c r="I4844">
        <v>4370</v>
      </c>
      <c r="J4844" t="s">
        <v>198</v>
      </c>
      <c r="K4844">
        <v>38380.89</v>
      </c>
      <c r="L4844">
        <v>0</v>
      </c>
      <c r="M4844">
        <v>17737</v>
      </c>
      <c r="N4844" t="s">
        <v>156</v>
      </c>
      <c r="O4844">
        <v>250102</v>
      </c>
      <c r="P4844">
        <v>537.87</v>
      </c>
    </row>
    <row r="4845" spans="1:16" x14ac:dyDescent="0.25">
      <c r="A4845" t="s">
        <v>3296</v>
      </c>
      <c r="B4845" t="s">
        <v>2931</v>
      </c>
      <c r="C4845">
        <v>66</v>
      </c>
      <c r="D4845" t="str">
        <f t="shared" si="90"/>
        <v xml:space="preserve">1017199336  </v>
      </c>
      <c r="E4845" t="s">
        <v>2812</v>
      </c>
      <c r="F4845" t="s">
        <v>2813</v>
      </c>
      <c r="G4845">
        <v>436.94</v>
      </c>
      <c r="H4845">
        <v>250101</v>
      </c>
      <c r="I4845">
        <v>4370</v>
      </c>
      <c r="J4845" t="s">
        <v>198</v>
      </c>
      <c r="K4845">
        <v>38380.89</v>
      </c>
      <c r="L4845">
        <v>0</v>
      </c>
      <c r="M4845">
        <v>17802</v>
      </c>
      <c r="N4845" t="s">
        <v>18</v>
      </c>
      <c r="O4845">
        <v>250102</v>
      </c>
      <c r="P4845">
        <v>436.94</v>
      </c>
    </row>
    <row r="4846" spans="1:16" x14ac:dyDescent="0.25">
      <c r="A4846" t="s">
        <v>3296</v>
      </c>
      <c r="B4846" t="s">
        <v>2931</v>
      </c>
      <c r="C4846">
        <v>66</v>
      </c>
      <c r="D4846" t="str">
        <f t="shared" si="90"/>
        <v xml:space="preserve">1017199336  </v>
      </c>
      <c r="E4846" t="s">
        <v>2812</v>
      </c>
      <c r="F4846" t="s">
        <v>2813</v>
      </c>
      <c r="G4846">
        <v>5.42</v>
      </c>
      <c r="H4846">
        <v>250101</v>
      </c>
      <c r="I4846">
        <v>4370</v>
      </c>
      <c r="J4846" t="s">
        <v>198</v>
      </c>
      <c r="K4846">
        <v>38380.89</v>
      </c>
      <c r="L4846">
        <v>0</v>
      </c>
      <c r="M4846">
        <v>17803</v>
      </c>
      <c r="N4846" t="s">
        <v>19</v>
      </c>
      <c r="O4846">
        <v>250102</v>
      </c>
      <c r="P4846">
        <v>5.42</v>
      </c>
    </row>
    <row r="4847" spans="1:16" x14ac:dyDescent="0.25">
      <c r="A4847" t="s">
        <v>3296</v>
      </c>
      <c r="B4847" t="s">
        <v>2931</v>
      </c>
      <c r="C4847">
        <v>66</v>
      </c>
      <c r="D4847" t="str">
        <f t="shared" si="90"/>
        <v xml:space="preserve">1017199336  </v>
      </c>
      <c r="E4847" t="s">
        <v>2812</v>
      </c>
      <c r="F4847" t="s">
        <v>2813</v>
      </c>
      <c r="G4847">
        <v>608.30999999999995</v>
      </c>
      <c r="H4847">
        <v>250101</v>
      </c>
      <c r="I4847">
        <v>4370</v>
      </c>
      <c r="J4847" t="s">
        <v>198</v>
      </c>
      <c r="K4847">
        <v>38380.89</v>
      </c>
      <c r="L4847">
        <v>0</v>
      </c>
      <c r="M4847">
        <v>17808</v>
      </c>
      <c r="N4847" t="s">
        <v>24</v>
      </c>
      <c r="O4847">
        <v>250102</v>
      </c>
      <c r="P4847">
        <v>608.30999999999995</v>
      </c>
    </row>
    <row r="4848" spans="1:16" x14ac:dyDescent="0.25">
      <c r="A4848" t="s">
        <v>3296</v>
      </c>
      <c r="B4848" t="s">
        <v>2931</v>
      </c>
      <c r="C4848">
        <v>66</v>
      </c>
      <c r="D4848" t="str">
        <f t="shared" si="90"/>
        <v xml:space="preserve">1017199336  </v>
      </c>
      <c r="E4848" t="s">
        <v>2812</v>
      </c>
      <c r="F4848" t="s">
        <v>2813</v>
      </c>
      <c r="G4848">
        <v>162.19999999999999</v>
      </c>
      <c r="H4848">
        <v>250101</v>
      </c>
      <c r="I4848">
        <v>4370</v>
      </c>
      <c r="J4848" t="s">
        <v>198</v>
      </c>
      <c r="K4848">
        <v>38380.89</v>
      </c>
      <c r="L4848">
        <v>0</v>
      </c>
      <c r="M4848">
        <v>17809</v>
      </c>
      <c r="N4848" t="s">
        <v>25</v>
      </c>
      <c r="O4848">
        <v>250102</v>
      </c>
      <c r="P4848">
        <v>162.19999999999999</v>
      </c>
    </row>
    <row r="4849" spans="1:16" x14ac:dyDescent="0.25">
      <c r="A4849" t="s">
        <v>3296</v>
      </c>
      <c r="B4849" t="s">
        <v>2931</v>
      </c>
      <c r="C4849">
        <v>66</v>
      </c>
      <c r="D4849" t="str">
        <f t="shared" si="90"/>
        <v xml:space="preserve">1017199336  </v>
      </c>
      <c r="E4849" t="s">
        <v>2812</v>
      </c>
      <c r="F4849" t="s">
        <v>2813</v>
      </c>
      <c r="G4849">
        <v>282.58</v>
      </c>
      <c r="H4849">
        <v>250101</v>
      </c>
      <c r="I4849">
        <v>4370</v>
      </c>
      <c r="J4849" t="s">
        <v>198</v>
      </c>
      <c r="K4849">
        <v>38380.89</v>
      </c>
      <c r="L4849">
        <v>0</v>
      </c>
      <c r="M4849">
        <v>18972</v>
      </c>
      <c r="N4849" t="s">
        <v>39</v>
      </c>
      <c r="O4849">
        <v>250102</v>
      </c>
      <c r="P4849">
        <v>282.58</v>
      </c>
    </row>
    <row r="4850" spans="1:16" x14ac:dyDescent="0.25">
      <c r="A4850" t="s">
        <v>3296</v>
      </c>
      <c r="B4850" t="s">
        <v>2931</v>
      </c>
      <c r="C4850">
        <v>66</v>
      </c>
      <c r="D4850" t="str">
        <f t="shared" si="90"/>
        <v xml:space="preserve">1017199336  </v>
      </c>
      <c r="E4850" t="s">
        <v>2812</v>
      </c>
      <c r="F4850" t="s">
        <v>2813</v>
      </c>
      <c r="G4850">
        <v>55.62</v>
      </c>
      <c r="H4850">
        <v>250101</v>
      </c>
      <c r="I4850">
        <v>4370</v>
      </c>
      <c r="J4850" t="s">
        <v>198</v>
      </c>
      <c r="K4850">
        <v>38380.89</v>
      </c>
      <c r="L4850">
        <v>0</v>
      </c>
      <c r="M4850">
        <v>46554</v>
      </c>
      <c r="N4850" t="s">
        <v>102</v>
      </c>
      <c r="O4850">
        <v>250102</v>
      </c>
      <c r="P4850">
        <v>55.62</v>
      </c>
    </row>
    <row r="4851" spans="1:16" x14ac:dyDescent="0.25">
      <c r="A4851" t="s">
        <v>3296</v>
      </c>
      <c r="B4851" t="s">
        <v>2931</v>
      </c>
      <c r="C4851">
        <v>66</v>
      </c>
      <c r="D4851" t="str">
        <f t="shared" si="90"/>
        <v xml:space="preserve">1017199336  </v>
      </c>
      <c r="E4851" t="s">
        <v>2812</v>
      </c>
      <c r="F4851" t="s">
        <v>2813</v>
      </c>
      <c r="G4851">
        <v>141.29</v>
      </c>
      <c r="H4851">
        <v>250101</v>
      </c>
      <c r="I4851">
        <v>4370</v>
      </c>
      <c r="J4851" t="s">
        <v>198</v>
      </c>
      <c r="K4851">
        <v>38380.89</v>
      </c>
      <c r="L4851">
        <v>0</v>
      </c>
      <c r="M4851">
        <v>46555</v>
      </c>
      <c r="N4851" t="s">
        <v>103</v>
      </c>
      <c r="O4851">
        <v>250102</v>
      </c>
      <c r="P4851">
        <v>141.29</v>
      </c>
    </row>
    <row r="4852" spans="1:16" x14ac:dyDescent="0.25">
      <c r="A4852" t="s">
        <v>3296</v>
      </c>
      <c r="B4852" t="s">
        <v>2931</v>
      </c>
      <c r="C4852">
        <v>66</v>
      </c>
      <c r="D4852" t="str">
        <f t="shared" si="90"/>
        <v xml:space="preserve">1017199336  </v>
      </c>
      <c r="E4852" t="s">
        <v>2812</v>
      </c>
      <c r="F4852" t="s">
        <v>2813</v>
      </c>
      <c r="G4852">
        <v>102.16</v>
      </c>
      <c r="H4852">
        <v>250101</v>
      </c>
      <c r="I4852">
        <v>4370</v>
      </c>
      <c r="J4852" t="s">
        <v>198</v>
      </c>
      <c r="K4852">
        <v>38380.89</v>
      </c>
      <c r="L4852">
        <v>0</v>
      </c>
      <c r="M4852">
        <v>46556</v>
      </c>
      <c r="N4852" t="s">
        <v>458</v>
      </c>
      <c r="O4852">
        <v>250102</v>
      </c>
      <c r="P4852">
        <v>102.16</v>
      </c>
    </row>
    <row r="4853" spans="1:16" x14ac:dyDescent="0.25">
      <c r="A4853" t="s">
        <v>3296</v>
      </c>
      <c r="B4853" t="s">
        <v>2931</v>
      </c>
      <c r="C4853">
        <v>66</v>
      </c>
      <c r="D4853" t="str">
        <f t="shared" si="90"/>
        <v xml:space="preserve">1017199336  </v>
      </c>
      <c r="E4853" t="s">
        <v>2812</v>
      </c>
      <c r="F4853" t="s">
        <v>2813</v>
      </c>
      <c r="G4853">
        <v>141.29</v>
      </c>
      <c r="H4853">
        <v>250101</v>
      </c>
      <c r="I4853">
        <v>4370</v>
      </c>
      <c r="J4853" t="s">
        <v>198</v>
      </c>
      <c r="K4853">
        <v>38380.89</v>
      </c>
      <c r="L4853">
        <v>0</v>
      </c>
      <c r="M4853">
        <v>46557</v>
      </c>
      <c r="N4853" t="s">
        <v>104</v>
      </c>
      <c r="O4853">
        <v>250102</v>
      </c>
      <c r="P4853">
        <v>141.29</v>
      </c>
    </row>
    <row r="4854" spans="1:16" x14ac:dyDescent="0.25">
      <c r="A4854" t="s">
        <v>3296</v>
      </c>
      <c r="B4854" t="s">
        <v>2931</v>
      </c>
      <c r="C4854">
        <v>66</v>
      </c>
      <c r="D4854" t="str">
        <f t="shared" si="90"/>
        <v xml:space="preserve">1017199336  </v>
      </c>
      <c r="E4854" t="s">
        <v>2812</v>
      </c>
      <c r="F4854" t="s">
        <v>2813</v>
      </c>
      <c r="G4854">
        <v>130.53</v>
      </c>
      <c r="H4854">
        <v>250101</v>
      </c>
      <c r="I4854">
        <v>4370</v>
      </c>
      <c r="J4854" t="s">
        <v>198</v>
      </c>
      <c r="K4854">
        <v>38380.89</v>
      </c>
      <c r="L4854">
        <v>0</v>
      </c>
      <c r="M4854">
        <v>47522</v>
      </c>
      <c r="N4854" t="s">
        <v>106</v>
      </c>
      <c r="O4854">
        <v>250102</v>
      </c>
      <c r="P4854">
        <v>130.53</v>
      </c>
    </row>
    <row r="4855" spans="1:16" x14ac:dyDescent="0.25">
      <c r="A4855" t="s">
        <v>3296</v>
      </c>
      <c r="B4855" t="s">
        <v>2931</v>
      </c>
      <c r="C4855">
        <v>66</v>
      </c>
      <c r="D4855" t="str">
        <f t="shared" si="90"/>
        <v xml:space="preserve">1017199336  </v>
      </c>
      <c r="E4855" t="s">
        <v>2812</v>
      </c>
      <c r="F4855" t="s">
        <v>2813</v>
      </c>
      <c r="G4855">
        <v>189.72</v>
      </c>
      <c r="H4855">
        <v>250101</v>
      </c>
      <c r="I4855">
        <v>4370</v>
      </c>
      <c r="J4855" t="s">
        <v>198</v>
      </c>
      <c r="K4855">
        <v>38380.89</v>
      </c>
      <c r="L4855">
        <v>0</v>
      </c>
      <c r="M4855">
        <v>49501</v>
      </c>
      <c r="N4855" t="s">
        <v>110</v>
      </c>
      <c r="O4855">
        <v>250102</v>
      </c>
      <c r="P4855">
        <v>189.72</v>
      </c>
    </row>
    <row r="4856" spans="1:16" x14ac:dyDescent="0.25">
      <c r="A4856" t="s">
        <v>3296</v>
      </c>
      <c r="B4856" t="s">
        <v>2931</v>
      </c>
      <c r="C4856">
        <v>66</v>
      </c>
      <c r="D4856" t="str">
        <f t="shared" si="90"/>
        <v xml:space="preserve">1017199336  </v>
      </c>
      <c r="E4856" t="s">
        <v>2812</v>
      </c>
      <c r="F4856" t="s">
        <v>2813</v>
      </c>
      <c r="G4856">
        <v>703.01</v>
      </c>
      <c r="H4856">
        <v>250101</v>
      </c>
      <c r="I4856">
        <v>4370</v>
      </c>
      <c r="J4856" t="s">
        <v>198</v>
      </c>
      <c r="K4856">
        <v>38380.89</v>
      </c>
      <c r="L4856">
        <v>0</v>
      </c>
      <c r="M4856">
        <v>49701</v>
      </c>
      <c r="N4856" t="s">
        <v>111</v>
      </c>
      <c r="O4856">
        <v>250102</v>
      </c>
      <c r="P4856">
        <v>703.01</v>
      </c>
    </row>
    <row r="4857" spans="1:16" x14ac:dyDescent="0.25">
      <c r="A4857" t="s">
        <v>3296</v>
      </c>
      <c r="B4857" t="s">
        <v>2931</v>
      </c>
      <c r="C4857">
        <v>66</v>
      </c>
      <c r="D4857" t="str">
        <f t="shared" si="90"/>
        <v xml:space="preserve">1017199336  </v>
      </c>
      <c r="E4857" t="s">
        <v>2812</v>
      </c>
      <c r="F4857" t="s">
        <v>2813</v>
      </c>
      <c r="G4857">
        <v>136.28</v>
      </c>
      <c r="H4857">
        <v>250101</v>
      </c>
      <c r="I4857">
        <v>4370</v>
      </c>
      <c r="J4857" t="s">
        <v>198</v>
      </c>
      <c r="K4857">
        <v>38380.89</v>
      </c>
      <c r="L4857">
        <v>0</v>
      </c>
      <c r="M4857">
        <v>56558</v>
      </c>
      <c r="N4857" t="s">
        <v>50</v>
      </c>
      <c r="O4857">
        <v>250102</v>
      </c>
      <c r="P4857">
        <v>136.28</v>
      </c>
    </row>
    <row r="4858" spans="1:16" x14ac:dyDescent="0.25">
      <c r="A4858" t="s">
        <v>3296</v>
      </c>
      <c r="B4858" t="s">
        <v>2931</v>
      </c>
      <c r="C4858">
        <v>66</v>
      </c>
      <c r="D4858" t="str">
        <f t="shared" si="90"/>
        <v xml:space="preserve">1017199336  </v>
      </c>
      <c r="E4858" t="s">
        <v>2812</v>
      </c>
      <c r="F4858" t="s">
        <v>2813</v>
      </c>
      <c r="G4858">
        <v>605.53</v>
      </c>
      <c r="H4858">
        <v>250101</v>
      </c>
      <c r="I4858">
        <v>4370</v>
      </c>
      <c r="J4858" t="s">
        <v>198</v>
      </c>
      <c r="K4858">
        <v>38380.89</v>
      </c>
      <c r="L4858">
        <v>0</v>
      </c>
      <c r="M4858">
        <v>56559</v>
      </c>
      <c r="N4858" t="s">
        <v>51</v>
      </c>
      <c r="O4858">
        <v>250102</v>
      </c>
      <c r="P4858">
        <v>605.53</v>
      </c>
    </row>
    <row r="4859" spans="1:16" x14ac:dyDescent="0.25">
      <c r="A4859" t="s">
        <v>3296</v>
      </c>
      <c r="B4859" t="s">
        <v>2931</v>
      </c>
      <c r="C4859">
        <v>66</v>
      </c>
      <c r="D4859" t="str">
        <f t="shared" si="90"/>
        <v xml:space="preserve">1017199336  </v>
      </c>
      <c r="E4859" t="s">
        <v>2812</v>
      </c>
      <c r="F4859" t="s">
        <v>2813</v>
      </c>
      <c r="G4859">
        <v>45.22</v>
      </c>
      <c r="H4859">
        <v>250101</v>
      </c>
      <c r="I4859">
        <v>4370</v>
      </c>
      <c r="J4859" t="s">
        <v>198</v>
      </c>
      <c r="K4859">
        <v>38380.89</v>
      </c>
      <c r="L4859">
        <v>0</v>
      </c>
      <c r="M4859">
        <v>56562</v>
      </c>
      <c r="N4859" t="s">
        <v>54</v>
      </c>
      <c r="O4859">
        <v>250102</v>
      </c>
      <c r="P4859">
        <v>45.22</v>
      </c>
    </row>
    <row r="4860" spans="1:16" x14ac:dyDescent="0.25">
      <c r="A4860" t="s">
        <v>3296</v>
      </c>
      <c r="B4860" t="s">
        <v>2931</v>
      </c>
      <c r="C4860">
        <v>66</v>
      </c>
      <c r="D4860" t="str">
        <f t="shared" si="90"/>
        <v xml:space="preserve">1017199336  </v>
      </c>
      <c r="E4860" t="s">
        <v>2812</v>
      </c>
      <c r="F4860" t="s">
        <v>2813</v>
      </c>
      <c r="G4860">
        <v>371.68</v>
      </c>
      <c r="H4860">
        <v>250101</v>
      </c>
      <c r="I4860">
        <v>4370</v>
      </c>
      <c r="J4860" t="s">
        <v>198</v>
      </c>
      <c r="K4860">
        <v>38380.89</v>
      </c>
      <c r="L4860">
        <v>0</v>
      </c>
      <c r="M4860">
        <v>56564</v>
      </c>
      <c r="N4860" t="s">
        <v>56</v>
      </c>
      <c r="O4860">
        <v>250102</v>
      </c>
      <c r="P4860">
        <v>371.68</v>
      </c>
    </row>
    <row r="4861" spans="1:16" x14ac:dyDescent="0.25">
      <c r="A4861" t="s">
        <v>3296</v>
      </c>
      <c r="B4861" t="s">
        <v>2931</v>
      </c>
      <c r="C4861">
        <v>66</v>
      </c>
      <c r="D4861" t="str">
        <f t="shared" si="90"/>
        <v xml:space="preserve">1017199336  </v>
      </c>
      <c r="E4861" t="s">
        <v>2812</v>
      </c>
      <c r="F4861" t="s">
        <v>2813</v>
      </c>
      <c r="G4861">
        <v>111.35</v>
      </c>
      <c r="H4861">
        <v>250101</v>
      </c>
      <c r="I4861">
        <v>4370</v>
      </c>
      <c r="J4861" t="s">
        <v>198</v>
      </c>
      <c r="K4861">
        <v>38380.89</v>
      </c>
      <c r="L4861">
        <v>0</v>
      </c>
      <c r="M4861">
        <v>59501</v>
      </c>
      <c r="N4861" t="s">
        <v>62</v>
      </c>
      <c r="O4861">
        <v>250102</v>
      </c>
      <c r="P4861">
        <v>111.35</v>
      </c>
    </row>
    <row r="4862" spans="1:16" x14ac:dyDescent="0.25">
      <c r="A4862" t="s">
        <v>3296</v>
      </c>
      <c r="B4862" t="s">
        <v>2931</v>
      </c>
      <c r="C4862">
        <v>66</v>
      </c>
      <c r="D4862" t="str">
        <f t="shared" si="90"/>
        <v xml:space="preserve">1017199336  </v>
      </c>
      <c r="E4862" t="s">
        <v>2812</v>
      </c>
      <c r="F4862" t="s">
        <v>2813</v>
      </c>
      <c r="G4862">
        <v>72.5</v>
      </c>
      <c r="H4862">
        <v>250101</v>
      </c>
      <c r="I4862">
        <v>4370</v>
      </c>
      <c r="J4862" t="s">
        <v>198</v>
      </c>
      <c r="K4862">
        <v>38380.89</v>
      </c>
      <c r="L4862">
        <v>0</v>
      </c>
      <c r="M4862">
        <v>59504</v>
      </c>
      <c r="N4862" t="s">
        <v>193</v>
      </c>
      <c r="O4862">
        <v>250102</v>
      </c>
      <c r="P4862">
        <v>72.5</v>
      </c>
    </row>
    <row r="4863" spans="1:16" x14ac:dyDescent="0.25">
      <c r="A4863" t="s">
        <v>3296</v>
      </c>
      <c r="B4863" t="s">
        <v>2931</v>
      </c>
      <c r="C4863">
        <v>66</v>
      </c>
      <c r="D4863" t="str">
        <f t="shared" si="90"/>
        <v xml:space="preserve">1017199336  </v>
      </c>
      <c r="E4863" t="s">
        <v>2812</v>
      </c>
      <c r="F4863" t="s">
        <v>2813</v>
      </c>
      <c r="G4863">
        <v>77.92</v>
      </c>
      <c r="H4863">
        <v>250101</v>
      </c>
      <c r="I4863">
        <v>4370</v>
      </c>
      <c r="J4863" t="s">
        <v>198</v>
      </c>
      <c r="K4863">
        <v>38380.89</v>
      </c>
      <c r="L4863">
        <v>0</v>
      </c>
      <c r="M4863">
        <v>59505</v>
      </c>
      <c r="N4863" t="s">
        <v>194</v>
      </c>
      <c r="O4863">
        <v>250102</v>
      </c>
      <c r="P4863">
        <v>77.92</v>
      </c>
    </row>
    <row r="4864" spans="1:16" x14ac:dyDescent="0.25">
      <c r="A4864" t="s">
        <v>3296</v>
      </c>
      <c r="B4864" t="s">
        <v>2931</v>
      </c>
      <c r="C4864">
        <v>66</v>
      </c>
      <c r="D4864" t="str">
        <f t="shared" si="90"/>
        <v xml:space="preserve">1017199336  </v>
      </c>
      <c r="E4864" t="s">
        <v>2812</v>
      </c>
      <c r="F4864" t="s">
        <v>2813</v>
      </c>
      <c r="G4864">
        <v>864.17</v>
      </c>
      <c r="H4864">
        <v>250101</v>
      </c>
      <c r="I4864">
        <v>4370</v>
      </c>
      <c r="J4864" t="s">
        <v>198</v>
      </c>
      <c r="K4864">
        <v>38380.89</v>
      </c>
      <c r="L4864">
        <v>0</v>
      </c>
      <c r="M4864">
        <v>59702</v>
      </c>
      <c r="N4864" t="s">
        <v>45</v>
      </c>
      <c r="O4864">
        <v>250102</v>
      </c>
      <c r="P4864">
        <v>864.17</v>
      </c>
    </row>
    <row r="4865" spans="1:16" x14ac:dyDescent="0.25">
      <c r="A4865" t="s">
        <v>3296</v>
      </c>
      <c r="B4865" t="s">
        <v>2931</v>
      </c>
      <c r="C4865">
        <v>66</v>
      </c>
      <c r="D4865" t="str">
        <f t="shared" si="90"/>
        <v xml:space="preserve">1017199336  </v>
      </c>
      <c r="E4865" t="s">
        <v>2812</v>
      </c>
      <c r="F4865" t="s">
        <v>2813</v>
      </c>
      <c r="G4865">
        <v>100.58</v>
      </c>
      <c r="H4865">
        <v>250101</v>
      </c>
      <c r="I4865">
        <v>4370</v>
      </c>
      <c r="J4865" t="s">
        <v>198</v>
      </c>
      <c r="K4865">
        <v>38380.89</v>
      </c>
      <c r="L4865">
        <v>0</v>
      </c>
      <c r="M4865">
        <v>66722</v>
      </c>
      <c r="N4865" t="s">
        <v>118</v>
      </c>
      <c r="O4865">
        <v>250102</v>
      </c>
      <c r="P4865">
        <v>100.58</v>
      </c>
    </row>
    <row r="4866" spans="1:16" x14ac:dyDescent="0.25">
      <c r="A4866" t="s">
        <v>3296</v>
      </c>
      <c r="B4866" t="s">
        <v>2931</v>
      </c>
      <c r="C4866">
        <v>66</v>
      </c>
      <c r="D4866" t="str">
        <f t="shared" si="90"/>
        <v xml:space="preserve">1017199336  </v>
      </c>
      <c r="E4866" t="s">
        <v>2812</v>
      </c>
      <c r="F4866" t="s">
        <v>2813</v>
      </c>
      <c r="G4866">
        <v>200.52</v>
      </c>
      <c r="H4866">
        <v>250101</v>
      </c>
      <c r="I4866">
        <v>4370</v>
      </c>
      <c r="J4866" t="s">
        <v>198</v>
      </c>
      <c r="K4866">
        <v>38380.89</v>
      </c>
      <c r="L4866">
        <v>0</v>
      </c>
      <c r="M4866">
        <v>66754</v>
      </c>
      <c r="N4866" t="s">
        <v>119</v>
      </c>
      <c r="O4866">
        <v>250102</v>
      </c>
      <c r="P4866">
        <v>200.52</v>
      </c>
    </row>
    <row r="4867" spans="1:16" x14ac:dyDescent="0.25">
      <c r="A4867" t="s">
        <v>3296</v>
      </c>
      <c r="B4867" t="s">
        <v>2931</v>
      </c>
      <c r="C4867">
        <v>66</v>
      </c>
      <c r="D4867" t="str">
        <f t="shared" si="90"/>
        <v xml:space="preserve">1017199336  </v>
      </c>
      <c r="E4867" t="s">
        <v>2812</v>
      </c>
      <c r="F4867" t="s">
        <v>2813</v>
      </c>
      <c r="G4867">
        <v>83.08</v>
      </c>
      <c r="H4867">
        <v>250101</v>
      </c>
      <c r="I4867">
        <v>4370</v>
      </c>
      <c r="J4867" t="s">
        <v>198</v>
      </c>
      <c r="K4867">
        <v>38380.89</v>
      </c>
      <c r="L4867">
        <v>0</v>
      </c>
      <c r="M4867">
        <v>66756</v>
      </c>
      <c r="N4867" t="s">
        <v>120</v>
      </c>
      <c r="O4867">
        <v>250102</v>
      </c>
      <c r="P4867">
        <v>83.08</v>
      </c>
    </row>
    <row r="4868" spans="1:16" x14ac:dyDescent="0.25">
      <c r="A4868" t="s">
        <v>3296</v>
      </c>
      <c r="B4868" t="s">
        <v>2931</v>
      </c>
      <c r="C4868">
        <v>66</v>
      </c>
      <c r="D4868" t="str">
        <f t="shared" si="90"/>
        <v xml:space="preserve">1017199336  </v>
      </c>
      <c r="E4868" t="s">
        <v>2812</v>
      </c>
      <c r="F4868" t="s">
        <v>2813</v>
      </c>
      <c r="G4868">
        <v>413.57</v>
      </c>
      <c r="H4868">
        <v>250101</v>
      </c>
      <c r="I4868">
        <v>4370</v>
      </c>
      <c r="J4868" t="s">
        <v>198</v>
      </c>
      <c r="K4868">
        <v>38380.89</v>
      </c>
      <c r="L4868">
        <v>0</v>
      </c>
      <c r="M4868">
        <v>67522</v>
      </c>
      <c r="N4868" t="s">
        <v>121</v>
      </c>
      <c r="O4868">
        <v>250102</v>
      </c>
      <c r="P4868">
        <v>413.57</v>
      </c>
    </row>
    <row r="4869" spans="1:16" x14ac:dyDescent="0.25">
      <c r="A4869" t="s">
        <v>3296</v>
      </c>
      <c r="B4869" t="s">
        <v>2931</v>
      </c>
      <c r="C4869">
        <v>66</v>
      </c>
      <c r="D4869" t="str">
        <f t="shared" si="90"/>
        <v xml:space="preserve">1017199336  </v>
      </c>
      <c r="E4869" t="s">
        <v>2812</v>
      </c>
      <c r="F4869" t="s">
        <v>2813</v>
      </c>
      <c r="G4869">
        <v>323.05</v>
      </c>
      <c r="H4869">
        <v>250101</v>
      </c>
      <c r="I4869">
        <v>4370</v>
      </c>
      <c r="J4869" t="s">
        <v>198</v>
      </c>
      <c r="K4869">
        <v>38380.89</v>
      </c>
      <c r="L4869">
        <v>0</v>
      </c>
      <c r="M4869">
        <v>67522</v>
      </c>
      <c r="N4869" t="s">
        <v>121</v>
      </c>
      <c r="O4869">
        <v>250102</v>
      </c>
      <c r="P4869">
        <v>323.05</v>
      </c>
    </row>
    <row r="4870" spans="1:16" x14ac:dyDescent="0.25">
      <c r="A4870" t="s">
        <v>3296</v>
      </c>
      <c r="B4870" t="s">
        <v>2931</v>
      </c>
      <c r="C4870">
        <v>66</v>
      </c>
      <c r="D4870" t="str">
        <f t="shared" si="90"/>
        <v xml:space="preserve">1017199336  </v>
      </c>
      <c r="E4870" t="s">
        <v>2812</v>
      </c>
      <c r="F4870" t="s">
        <v>2813</v>
      </c>
      <c r="G4870">
        <v>577.78</v>
      </c>
      <c r="H4870">
        <v>250101</v>
      </c>
      <c r="I4870">
        <v>4370</v>
      </c>
      <c r="J4870" t="s">
        <v>198</v>
      </c>
      <c r="K4870">
        <v>38380.89</v>
      </c>
      <c r="L4870">
        <v>0</v>
      </c>
      <c r="M4870">
        <v>67554</v>
      </c>
      <c r="N4870" t="s">
        <v>317</v>
      </c>
      <c r="O4870">
        <v>250102</v>
      </c>
      <c r="P4870">
        <v>577.78</v>
      </c>
    </row>
    <row r="4871" spans="1:16" x14ac:dyDescent="0.25">
      <c r="A4871" t="s">
        <v>3296</v>
      </c>
      <c r="B4871" t="s">
        <v>2931</v>
      </c>
      <c r="C4871">
        <v>66</v>
      </c>
      <c r="D4871" t="str">
        <f t="shared" si="90"/>
        <v xml:space="preserve">1017199336  </v>
      </c>
      <c r="E4871" t="s">
        <v>2812</v>
      </c>
      <c r="F4871" t="s">
        <v>2813</v>
      </c>
      <c r="G4871">
        <v>102.91</v>
      </c>
      <c r="H4871">
        <v>250101</v>
      </c>
      <c r="I4871">
        <v>4370</v>
      </c>
      <c r="J4871" t="s">
        <v>198</v>
      </c>
      <c r="K4871">
        <v>38380.89</v>
      </c>
      <c r="L4871">
        <v>0</v>
      </c>
      <c r="M4871">
        <v>69111</v>
      </c>
      <c r="N4871" t="s">
        <v>657</v>
      </c>
      <c r="O4871">
        <v>250102</v>
      </c>
      <c r="P4871">
        <v>102.91</v>
      </c>
    </row>
    <row r="4872" spans="1:16" x14ac:dyDescent="0.25">
      <c r="A4872" t="s">
        <v>3296</v>
      </c>
      <c r="B4872" t="s">
        <v>2931</v>
      </c>
      <c r="C4872">
        <v>66</v>
      </c>
      <c r="D4872" t="str">
        <f t="shared" si="90"/>
        <v xml:space="preserve">1017199336  </v>
      </c>
      <c r="E4872" t="s">
        <v>2812</v>
      </c>
      <c r="F4872" t="s">
        <v>2813</v>
      </c>
      <c r="G4872">
        <v>179.57</v>
      </c>
      <c r="H4872">
        <v>250101</v>
      </c>
      <c r="I4872">
        <v>4370</v>
      </c>
      <c r="J4872" t="s">
        <v>198</v>
      </c>
      <c r="K4872">
        <v>38380.89</v>
      </c>
      <c r="L4872">
        <v>0</v>
      </c>
      <c r="M4872">
        <v>69501</v>
      </c>
      <c r="N4872" t="s">
        <v>123</v>
      </c>
      <c r="O4872">
        <v>250102</v>
      </c>
      <c r="P4872">
        <v>179.57</v>
      </c>
    </row>
    <row r="4873" spans="1:16" x14ac:dyDescent="0.25">
      <c r="A4873" t="s">
        <v>3296</v>
      </c>
      <c r="B4873" t="s">
        <v>2931</v>
      </c>
      <c r="C4873">
        <v>66</v>
      </c>
      <c r="D4873" t="str">
        <f t="shared" si="90"/>
        <v xml:space="preserve">1017199336  </v>
      </c>
      <c r="E4873" t="s">
        <v>2812</v>
      </c>
      <c r="F4873" t="s">
        <v>2813</v>
      </c>
      <c r="G4873">
        <v>108.59</v>
      </c>
      <c r="H4873">
        <v>250101</v>
      </c>
      <c r="I4873">
        <v>4370</v>
      </c>
      <c r="J4873" t="s">
        <v>198</v>
      </c>
      <c r="K4873">
        <v>38380.89</v>
      </c>
      <c r="L4873">
        <v>0</v>
      </c>
      <c r="M4873">
        <v>69702</v>
      </c>
      <c r="N4873" t="s">
        <v>124</v>
      </c>
      <c r="O4873">
        <v>250102</v>
      </c>
      <c r="P4873">
        <v>108.59</v>
      </c>
    </row>
    <row r="4874" spans="1:16" x14ac:dyDescent="0.25">
      <c r="A4874" t="s">
        <v>3296</v>
      </c>
      <c r="B4874" t="s">
        <v>2931</v>
      </c>
      <c r="C4874">
        <v>71</v>
      </c>
      <c r="D4874" t="str">
        <f>"84426904654 "</f>
        <v xml:space="preserve">84426904654 </v>
      </c>
      <c r="E4874" t="s">
        <v>2812</v>
      </c>
      <c r="F4874" t="s">
        <v>2813</v>
      </c>
      <c r="G4874">
        <v>179.64</v>
      </c>
      <c r="H4874">
        <v>250101</v>
      </c>
      <c r="I4874">
        <v>4370</v>
      </c>
      <c r="J4874" t="s">
        <v>198</v>
      </c>
      <c r="K4874">
        <v>179.64</v>
      </c>
      <c r="L4874">
        <v>0</v>
      </c>
      <c r="M4874">
        <v>13901</v>
      </c>
      <c r="N4874" t="s">
        <v>116</v>
      </c>
      <c r="O4874">
        <v>250103</v>
      </c>
      <c r="P4874">
        <v>179.64</v>
      </c>
    </row>
    <row r="4875" spans="1:16" x14ac:dyDescent="0.25">
      <c r="A4875" t="s">
        <v>3296</v>
      </c>
      <c r="B4875" t="s">
        <v>2931</v>
      </c>
      <c r="C4875">
        <v>77</v>
      </c>
      <c r="D4875" t="str">
        <f>"84427539390 "</f>
        <v xml:space="preserve">84427539390 </v>
      </c>
      <c r="E4875" t="s">
        <v>2812</v>
      </c>
      <c r="F4875" t="s">
        <v>2813</v>
      </c>
      <c r="G4875">
        <v>1482.02</v>
      </c>
      <c r="H4875">
        <v>250101</v>
      </c>
      <c r="I4875">
        <v>4370</v>
      </c>
      <c r="J4875" t="s">
        <v>198</v>
      </c>
      <c r="K4875">
        <v>1482.02</v>
      </c>
      <c r="L4875">
        <v>0</v>
      </c>
      <c r="M4875">
        <v>17950</v>
      </c>
      <c r="N4875" t="s">
        <v>132</v>
      </c>
      <c r="O4875">
        <v>250107</v>
      </c>
      <c r="P4875">
        <v>1482.02</v>
      </c>
    </row>
    <row r="4876" spans="1:16" x14ac:dyDescent="0.25">
      <c r="A4876" t="s">
        <v>3296</v>
      </c>
      <c r="B4876" t="s">
        <v>2931</v>
      </c>
      <c r="C4876">
        <v>124</v>
      </c>
      <c r="D4876" t="str">
        <f t="shared" ref="D4876:D4885" si="91">"84429356380 "</f>
        <v xml:space="preserve">84429356380 </v>
      </c>
      <c r="E4876" t="s">
        <v>2812</v>
      </c>
      <c r="F4876" t="s">
        <v>2813</v>
      </c>
      <c r="G4876">
        <v>267.62</v>
      </c>
      <c r="H4876">
        <v>250101</v>
      </c>
      <c r="I4876">
        <v>4370</v>
      </c>
      <c r="J4876" t="s">
        <v>198</v>
      </c>
      <c r="K4876">
        <v>11065.86</v>
      </c>
      <c r="L4876">
        <v>0</v>
      </c>
      <c r="M4876">
        <v>56558</v>
      </c>
      <c r="N4876" t="s">
        <v>50</v>
      </c>
      <c r="O4876">
        <v>250113</v>
      </c>
      <c r="P4876">
        <v>267.62</v>
      </c>
    </row>
    <row r="4877" spans="1:16" x14ac:dyDescent="0.25">
      <c r="A4877" t="s">
        <v>3296</v>
      </c>
      <c r="B4877" t="s">
        <v>2931</v>
      </c>
      <c r="C4877">
        <v>124</v>
      </c>
      <c r="D4877" t="str">
        <f t="shared" si="91"/>
        <v xml:space="preserve">84429356380 </v>
      </c>
      <c r="E4877" t="s">
        <v>2812</v>
      </c>
      <c r="F4877" t="s">
        <v>2813</v>
      </c>
      <c r="G4877">
        <v>56.55</v>
      </c>
      <c r="H4877">
        <v>250101</v>
      </c>
      <c r="I4877">
        <v>4370</v>
      </c>
      <c r="J4877" t="s">
        <v>198</v>
      </c>
      <c r="K4877">
        <v>11065.86</v>
      </c>
      <c r="L4877">
        <v>0</v>
      </c>
      <c r="M4877">
        <v>56559</v>
      </c>
      <c r="N4877" t="s">
        <v>51</v>
      </c>
      <c r="O4877">
        <v>250113</v>
      </c>
      <c r="P4877">
        <v>56.55</v>
      </c>
    </row>
    <row r="4878" spans="1:16" x14ac:dyDescent="0.25">
      <c r="A4878" t="s">
        <v>3296</v>
      </c>
      <c r="B4878" t="s">
        <v>2931</v>
      </c>
      <c r="C4878">
        <v>124</v>
      </c>
      <c r="D4878" t="str">
        <f t="shared" si="91"/>
        <v xml:space="preserve">84429356380 </v>
      </c>
      <c r="E4878" t="s">
        <v>2812</v>
      </c>
      <c r="F4878" t="s">
        <v>2813</v>
      </c>
      <c r="G4878">
        <v>230.64</v>
      </c>
      <c r="H4878">
        <v>250101</v>
      </c>
      <c r="I4878">
        <v>4370</v>
      </c>
      <c r="J4878" t="s">
        <v>198</v>
      </c>
      <c r="K4878">
        <v>11065.86</v>
      </c>
      <c r="L4878">
        <v>0</v>
      </c>
      <c r="M4878">
        <v>56561</v>
      </c>
      <c r="N4878" t="s">
        <v>53</v>
      </c>
      <c r="O4878">
        <v>250113</v>
      </c>
      <c r="P4878">
        <v>230.64</v>
      </c>
    </row>
    <row r="4879" spans="1:16" x14ac:dyDescent="0.25">
      <c r="A4879" t="s">
        <v>3296</v>
      </c>
      <c r="B4879" t="s">
        <v>2931</v>
      </c>
      <c r="C4879">
        <v>124</v>
      </c>
      <c r="D4879" t="str">
        <f t="shared" si="91"/>
        <v xml:space="preserve">84429356380 </v>
      </c>
      <c r="E4879" t="s">
        <v>2812</v>
      </c>
      <c r="F4879" t="s">
        <v>2813</v>
      </c>
      <c r="G4879">
        <v>15.46</v>
      </c>
      <c r="H4879">
        <v>250101</v>
      </c>
      <c r="I4879">
        <v>4370</v>
      </c>
      <c r="J4879" t="s">
        <v>198</v>
      </c>
      <c r="K4879">
        <v>11065.86</v>
      </c>
      <c r="L4879">
        <v>0</v>
      </c>
      <c r="M4879">
        <v>56564</v>
      </c>
      <c r="N4879" t="s">
        <v>56</v>
      </c>
      <c r="O4879">
        <v>250113</v>
      </c>
      <c r="P4879">
        <v>15.46</v>
      </c>
    </row>
    <row r="4880" spans="1:16" x14ac:dyDescent="0.25">
      <c r="A4880" t="s">
        <v>3296</v>
      </c>
      <c r="B4880" t="s">
        <v>2931</v>
      </c>
      <c r="C4880">
        <v>124</v>
      </c>
      <c r="D4880" t="str">
        <f t="shared" si="91"/>
        <v xml:space="preserve">84429356380 </v>
      </c>
      <c r="E4880" t="s">
        <v>2812</v>
      </c>
      <c r="F4880" t="s">
        <v>2813</v>
      </c>
      <c r="G4880">
        <v>38.68</v>
      </c>
      <c r="H4880">
        <v>250101</v>
      </c>
      <c r="I4880">
        <v>4370</v>
      </c>
      <c r="J4880" t="s">
        <v>198</v>
      </c>
      <c r="K4880">
        <v>11065.86</v>
      </c>
      <c r="L4880">
        <v>0</v>
      </c>
      <c r="M4880">
        <v>56575</v>
      </c>
      <c r="N4880" t="s">
        <v>245</v>
      </c>
      <c r="O4880">
        <v>250113</v>
      </c>
      <c r="P4880">
        <v>38.68</v>
      </c>
    </row>
    <row r="4881" spans="1:16" x14ac:dyDescent="0.25">
      <c r="A4881" t="s">
        <v>3296</v>
      </c>
      <c r="B4881" t="s">
        <v>2931</v>
      </c>
      <c r="C4881">
        <v>124</v>
      </c>
      <c r="D4881" t="str">
        <f t="shared" si="91"/>
        <v xml:space="preserve">84429356380 </v>
      </c>
      <c r="E4881" t="s">
        <v>2812</v>
      </c>
      <c r="F4881" t="s">
        <v>2813</v>
      </c>
      <c r="G4881">
        <v>39.78</v>
      </c>
      <c r="H4881">
        <v>250101</v>
      </c>
      <c r="I4881">
        <v>4370</v>
      </c>
      <c r="J4881" t="s">
        <v>198</v>
      </c>
      <c r="K4881">
        <v>11065.86</v>
      </c>
      <c r="L4881">
        <v>0</v>
      </c>
      <c r="M4881">
        <v>56575</v>
      </c>
      <c r="N4881" t="s">
        <v>245</v>
      </c>
      <c r="O4881">
        <v>250113</v>
      </c>
      <c r="P4881">
        <v>39.78</v>
      </c>
    </row>
    <row r="4882" spans="1:16" x14ac:dyDescent="0.25">
      <c r="A4882" t="s">
        <v>3296</v>
      </c>
      <c r="B4882" t="s">
        <v>2931</v>
      </c>
      <c r="C4882">
        <v>124</v>
      </c>
      <c r="D4882" t="str">
        <f t="shared" si="91"/>
        <v xml:space="preserve">84429356380 </v>
      </c>
      <c r="E4882" t="s">
        <v>2812</v>
      </c>
      <c r="F4882" t="s">
        <v>2813</v>
      </c>
      <c r="G4882">
        <v>318.72000000000003</v>
      </c>
      <c r="H4882">
        <v>250101</v>
      </c>
      <c r="I4882">
        <v>4370</v>
      </c>
      <c r="J4882" t="s">
        <v>198</v>
      </c>
      <c r="K4882">
        <v>11065.86</v>
      </c>
      <c r="L4882">
        <v>0</v>
      </c>
      <c r="M4882">
        <v>59111</v>
      </c>
      <c r="N4882" t="s">
        <v>60</v>
      </c>
      <c r="O4882">
        <v>250113</v>
      </c>
      <c r="P4882">
        <v>318.72000000000003</v>
      </c>
    </row>
    <row r="4883" spans="1:16" x14ac:dyDescent="0.25">
      <c r="A4883" t="s">
        <v>3296</v>
      </c>
      <c r="B4883" t="s">
        <v>2931</v>
      </c>
      <c r="C4883">
        <v>124</v>
      </c>
      <c r="D4883" t="str">
        <f t="shared" si="91"/>
        <v xml:space="preserve">84429356380 </v>
      </c>
      <c r="E4883" t="s">
        <v>2812</v>
      </c>
      <c r="F4883" t="s">
        <v>2813</v>
      </c>
      <c r="G4883">
        <v>1484.36</v>
      </c>
      <c r="H4883">
        <v>250101</v>
      </c>
      <c r="I4883">
        <v>4370</v>
      </c>
      <c r="J4883" t="s">
        <v>198</v>
      </c>
      <c r="K4883">
        <v>11065.86</v>
      </c>
      <c r="L4883">
        <v>0</v>
      </c>
      <c r="M4883">
        <v>59501</v>
      </c>
      <c r="N4883" t="s">
        <v>62</v>
      </c>
      <c r="O4883">
        <v>250113</v>
      </c>
      <c r="P4883">
        <v>1484.36</v>
      </c>
    </row>
    <row r="4884" spans="1:16" x14ac:dyDescent="0.25">
      <c r="A4884" t="s">
        <v>3296</v>
      </c>
      <c r="B4884" t="s">
        <v>2931</v>
      </c>
      <c r="C4884">
        <v>124</v>
      </c>
      <c r="D4884" t="str">
        <f t="shared" si="91"/>
        <v xml:space="preserve">84429356380 </v>
      </c>
      <c r="E4884" t="s">
        <v>2812</v>
      </c>
      <c r="F4884" t="s">
        <v>2813</v>
      </c>
      <c r="G4884">
        <v>191.95</v>
      </c>
      <c r="H4884">
        <v>250101</v>
      </c>
      <c r="I4884">
        <v>4370</v>
      </c>
      <c r="J4884" t="s">
        <v>198</v>
      </c>
      <c r="K4884">
        <v>11065.86</v>
      </c>
      <c r="L4884">
        <v>0</v>
      </c>
      <c r="M4884">
        <v>59502</v>
      </c>
      <c r="N4884" t="s">
        <v>63</v>
      </c>
      <c r="O4884">
        <v>250113</v>
      </c>
      <c r="P4884">
        <v>191.95</v>
      </c>
    </row>
    <row r="4885" spans="1:16" x14ac:dyDescent="0.25">
      <c r="A4885" t="s">
        <v>3296</v>
      </c>
      <c r="B4885" t="s">
        <v>2931</v>
      </c>
      <c r="C4885">
        <v>124</v>
      </c>
      <c r="D4885" t="str">
        <f t="shared" si="91"/>
        <v xml:space="preserve">84429356380 </v>
      </c>
      <c r="E4885" t="s">
        <v>2812</v>
      </c>
      <c r="F4885" t="s">
        <v>2813</v>
      </c>
      <c r="G4885">
        <v>122.72</v>
      </c>
      <c r="H4885">
        <v>250101</v>
      </c>
      <c r="I4885">
        <v>4370</v>
      </c>
      <c r="J4885" t="s">
        <v>198</v>
      </c>
      <c r="K4885">
        <v>11065.86</v>
      </c>
      <c r="L4885">
        <v>0</v>
      </c>
      <c r="M4885">
        <v>59802</v>
      </c>
      <c r="N4885" t="s">
        <v>195</v>
      </c>
      <c r="O4885">
        <v>250113</v>
      </c>
      <c r="P4885">
        <v>122.72</v>
      </c>
    </row>
    <row r="4886" spans="1:16" x14ac:dyDescent="0.25">
      <c r="A4886" t="s">
        <v>3296</v>
      </c>
      <c r="B4886" t="s">
        <v>2931</v>
      </c>
      <c r="C4886">
        <v>153</v>
      </c>
      <c r="D4886" t="str">
        <f>"84429044074 "</f>
        <v xml:space="preserve">84429044074 </v>
      </c>
      <c r="E4886" t="s">
        <v>2812</v>
      </c>
      <c r="F4886" t="s">
        <v>2813</v>
      </c>
      <c r="G4886">
        <v>54.8</v>
      </c>
      <c r="H4886">
        <v>250101</v>
      </c>
      <c r="I4886">
        <v>4370</v>
      </c>
      <c r="J4886" t="s">
        <v>198</v>
      </c>
      <c r="K4886">
        <v>54.8</v>
      </c>
      <c r="L4886">
        <v>0</v>
      </c>
      <c r="M4886">
        <v>13841</v>
      </c>
      <c r="N4886" t="s">
        <v>178</v>
      </c>
      <c r="O4886">
        <v>250114</v>
      </c>
      <c r="P4886">
        <v>54.8</v>
      </c>
    </row>
    <row r="4887" spans="1:16" x14ac:dyDescent="0.25">
      <c r="A4887" t="s">
        <v>3296</v>
      </c>
      <c r="B4887" t="s">
        <v>2931</v>
      </c>
      <c r="C4887">
        <v>157</v>
      </c>
      <c r="D4887" t="str">
        <f t="shared" ref="D4887:D4892" si="92">"84429578566 "</f>
        <v xml:space="preserve">84429578566 </v>
      </c>
      <c r="E4887" t="s">
        <v>2812</v>
      </c>
      <c r="F4887" t="s">
        <v>2813</v>
      </c>
      <c r="G4887">
        <v>382.72</v>
      </c>
      <c r="H4887">
        <v>250101</v>
      </c>
      <c r="I4887">
        <v>4370</v>
      </c>
      <c r="J4887" t="s">
        <v>198</v>
      </c>
      <c r="K4887">
        <v>8825.4699999999993</v>
      </c>
      <c r="L4887">
        <v>0</v>
      </c>
      <c r="M4887">
        <v>46554</v>
      </c>
      <c r="N4887" t="s">
        <v>102</v>
      </c>
      <c r="O4887">
        <v>250114</v>
      </c>
      <c r="P4887">
        <v>382.72</v>
      </c>
    </row>
    <row r="4888" spans="1:16" x14ac:dyDescent="0.25">
      <c r="A4888" t="s">
        <v>3296</v>
      </c>
      <c r="B4888" t="s">
        <v>2931</v>
      </c>
      <c r="C4888">
        <v>157</v>
      </c>
      <c r="D4888" t="str">
        <f t="shared" si="92"/>
        <v xml:space="preserve">84429578566 </v>
      </c>
      <c r="E4888" t="s">
        <v>2812</v>
      </c>
      <c r="F4888" t="s">
        <v>2813</v>
      </c>
      <c r="G4888">
        <v>31.58</v>
      </c>
      <c r="H4888">
        <v>250101</v>
      </c>
      <c r="I4888">
        <v>4370</v>
      </c>
      <c r="J4888" t="s">
        <v>198</v>
      </c>
      <c r="K4888">
        <v>8825.4699999999993</v>
      </c>
      <c r="L4888">
        <v>0</v>
      </c>
      <c r="M4888">
        <v>46555</v>
      </c>
      <c r="N4888" t="s">
        <v>103</v>
      </c>
      <c r="O4888">
        <v>250114</v>
      </c>
      <c r="P4888">
        <v>31.58</v>
      </c>
    </row>
    <row r="4889" spans="1:16" x14ac:dyDescent="0.25">
      <c r="A4889" t="s">
        <v>3296</v>
      </c>
      <c r="B4889" t="s">
        <v>2931</v>
      </c>
      <c r="C4889">
        <v>157</v>
      </c>
      <c r="D4889" t="str">
        <f t="shared" si="92"/>
        <v xml:space="preserve">84429578566 </v>
      </c>
      <c r="E4889" t="s">
        <v>2812</v>
      </c>
      <c r="F4889" t="s">
        <v>2813</v>
      </c>
      <c r="G4889">
        <v>11.04</v>
      </c>
      <c r="H4889">
        <v>250101</v>
      </c>
      <c r="I4889">
        <v>4370</v>
      </c>
      <c r="J4889" t="s">
        <v>198</v>
      </c>
      <c r="K4889">
        <v>8825.4699999999993</v>
      </c>
      <c r="L4889">
        <v>0</v>
      </c>
      <c r="M4889">
        <v>46557</v>
      </c>
      <c r="N4889" t="s">
        <v>104</v>
      </c>
      <c r="O4889">
        <v>250114</v>
      </c>
      <c r="P4889">
        <v>11.04</v>
      </c>
    </row>
    <row r="4890" spans="1:16" x14ac:dyDescent="0.25">
      <c r="A4890" t="s">
        <v>3296</v>
      </c>
      <c r="B4890" t="s">
        <v>2931</v>
      </c>
      <c r="C4890">
        <v>157</v>
      </c>
      <c r="D4890" t="str">
        <f t="shared" si="92"/>
        <v xml:space="preserve">84429578566 </v>
      </c>
      <c r="E4890" t="s">
        <v>2812</v>
      </c>
      <c r="F4890" t="s">
        <v>2813</v>
      </c>
      <c r="G4890">
        <v>296.2</v>
      </c>
      <c r="H4890">
        <v>250101</v>
      </c>
      <c r="I4890">
        <v>4370</v>
      </c>
      <c r="J4890" t="s">
        <v>198</v>
      </c>
      <c r="K4890">
        <v>8825.4699999999993</v>
      </c>
      <c r="L4890">
        <v>0</v>
      </c>
      <c r="M4890">
        <v>47522</v>
      </c>
      <c r="N4890" t="s">
        <v>106</v>
      </c>
      <c r="O4890">
        <v>250114</v>
      </c>
      <c r="P4890">
        <v>296.2</v>
      </c>
    </row>
    <row r="4891" spans="1:16" x14ac:dyDescent="0.25">
      <c r="A4891" t="s">
        <v>3296</v>
      </c>
      <c r="B4891" t="s">
        <v>2931</v>
      </c>
      <c r="C4891">
        <v>157</v>
      </c>
      <c r="D4891" t="str">
        <f t="shared" si="92"/>
        <v xml:space="preserve">84429578566 </v>
      </c>
      <c r="E4891" t="s">
        <v>2812</v>
      </c>
      <c r="F4891" t="s">
        <v>2813</v>
      </c>
      <c r="G4891">
        <v>1340.36</v>
      </c>
      <c r="H4891">
        <v>250101</v>
      </c>
      <c r="I4891">
        <v>4370</v>
      </c>
      <c r="J4891" t="s">
        <v>198</v>
      </c>
      <c r="K4891">
        <v>8825.4699999999993</v>
      </c>
      <c r="L4891">
        <v>0</v>
      </c>
      <c r="M4891">
        <v>49501</v>
      </c>
      <c r="N4891" t="s">
        <v>110</v>
      </c>
      <c r="O4891">
        <v>250114</v>
      </c>
      <c r="P4891">
        <v>1340.36</v>
      </c>
    </row>
    <row r="4892" spans="1:16" x14ac:dyDescent="0.25">
      <c r="A4892" t="s">
        <v>3296</v>
      </c>
      <c r="B4892" t="s">
        <v>2931</v>
      </c>
      <c r="C4892">
        <v>157</v>
      </c>
      <c r="D4892" t="str">
        <f t="shared" si="92"/>
        <v xml:space="preserve">84429578566 </v>
      </c>
      <c r="E4892" t="s">
        <v>2812</v>
      </c>
      <c r="F4892" t="s">
        <v>2813</v>
      </c>
      <c r="G4892">
        <v>144.47</v>
      </c>
      <c r="H4892">
        <v>250101</v>
      </c>
      <c r="I4892">
        <v>4370</v>
      </c>
      <c r="J4892" t="s">
        <v>198</v>
      </c>
      <c r="K4892">
        <v>8825.4699999999993</v>
      </c>
      <c r="L4892">
        <v>0</v>
      </c>
      <c r="M4892">
        <v>49503</v>
      </c>
      <c r="N4892" t="s">
        <v>267</v>
      </c>
      <c r="O4892">
        <v>250114</v>
      </c>
      <c r="P4892">
        <v>144.47</v>
      </c>
    </row>
    <row r="4893" spans="1:16" x14ac:dyDescent="0.25">
      <c r="A4893" t="s">
        <v>3296</v>
      </c>
      <c r="B4893" t="s">
        <v>2931</v>
      </c>
      <c r="C4893">
        <v>160</v>
      </c>
      <c r="D4893" t="str">
        <f t="shared" ref="D4893:D4899" si="93">"84429596098 "</f>
        <v xml:space="preserve">84429596098 </v>
      </c>
      <c r="E4893" t="s">
        <v>2812</v>
      </c>
      <c r="F4893" t="s">
        <v>2813</v>
      </c>
      <c r="G4893">
        <v>1147.69</v>
      </c>
      <c r="H4893">
        <v>250101</v>
      </c>
      <c r="I4893">
        <v>4370</v>
      </c>
      <c r="J4893" t="s">
        <v>198</v>
      </c>
      <c r="K4893">
        <v>10808.77</v>
      </c>
      <c r="L4893">
        <v>0</v>
      </c>
      <c r="M4893">
        <v>17951</v>
      </c>
      <c r="N4893" t="s">
        <v>207</v>
      </c>
      <c r="O4893">
        <v>250114</v>
      </c>
      <c r="P4893">
        <v>1147.69</v>
      </c>
    </row>
    <row r="4894" spans="1:16" x14ac:dyDescent="0.25">
      <c r="A4894" t="s">
        <v>3296</v>
      </c>
      <c r="B4894" t="s">
        <v>2931</v>
      </c>
      <c r="C4894">
        <v>160</v>
      </c>
      <c r="D4894" t="str">
        <f t="shared" si="93"/>
        <v xml:space="preserve">84429596098 </v>
      </c>
      <c r="E4894" t="s">
        <v>2812</v>
      </c>
      <c r="F4894" t="s">
        <v>2813</v>
      </c>
      <c r="G4894">
        <v>8.08</v>
      </c>
      <c r="H4894">
        <v>250101</v>
      </c>
      <c r="I4894">
        <v>4370</v>
      </c>
      <c r="J4894" t="s">
        <v>198</v>
      </c>
      <c r="K4894">
        <v>10808.77</v>
      </c>
      <c r="L4894">
        <v>0</v>
      </c>
      <c r="M4894">
        <v>17952</v>
      </c>
      <c r="N4894" t="s">
        <v>157</v>
      </c>
      <c r="O4894">
        <v>250114</v>
      </c>
      <c r="P4894">
        <v>8.08</v>
      </c>
    </row>
    <row r="4895" spans="1:16" x14ac:dyDescent="0.25">
      <c r="A4895" t="s">
        <v>3296</v>
      </c>
      <c r="B4895" t="s">
        <v>2931</v>
      </c>
      <c r="C4895">
        <v>160</v>
      </c>
      <c r="D4895" t="str">
        <f t="shared" si="93"/>
        <v xml:space="preserve">84429596098 </v>
      </c>
      <c r="E4895" t="s">
        <v>2812</v>
      </c>
      <c r="F4895" t="s">
        <v>2813</v>
      </c>
      <c r="G4895">
        <v>112.47</v>
      </c>
      <c r="H4895">
        <v>250101</v>
      </c>
      <c r="I4895">
        <v>4370</v>
      </c>
      <c r="J4895" t="s">
        <v>198</v>
      </c>
      <c r="K4895">
        <v>10808.77</v>
      </c>
      <c r="L4895">
        <v>0</v>
      </c>
      <c r="M4895">
        <v>17952</v>
      </c>
      <c r="N4895" t="s">
        <v>157</v>
      </c>
      <c r="O4895">
        <v>250114</v>
      </c>
      <c r="P4895">
        <v>112.47</v>
      </c>
    </row>
    <row r="4896" spans="1:16" x14ac:dyDescent="0.25">
      <c r="A4896" t="s">
        <v>3296</v>
      </c>
      <c r="B4896" t="s">
        <v>2931</v>
      </c>
      <c r="C4896">
        <v>160</v>
      </c>
      <c r="D4896" t="str">
        <f t="shared" si="93"/>
        <v xml:space="preserve">84429596098 </v>
      </c>
      <c r="E4896" t="s">
        <v>2812</v>
      </c>
      <c r="F4896" t="s">
        <v>2813</v>
      </c>
      <c r="G4896">
        <v>1245.71</v>
      </c>
      <c r="H4896">
        <v>250101</v>
      </c>
      <c r="I4896">
        <v>4370</v>
      </c>
      <c r="J4896" t="s">
        <v>198</v>
      </c>
      <c r="K4896">
        <v>10808.77</v>
      </c>
      <c r="L4896">
        <v>0</v>
      </c>
      <c r="M4896">
        <v>17952</v>
      </c>
      <c r="N4896" t="s">
        <v>157</v>
      </c>
      <c r="O4896">
        <v>250114</v>
      </c>
      <c r="P4896">
        <v>1245.71</v>
      </c>
    </row>
    <row r="4897" spans="1:16" x14ac:dyDescent="0.25">
      <c r="A4897" t="s">
        <v>3296</v>
      </c>
      <c r="B4897" t="s">
        <v>2931</v>
      </c>
      <c r="C4897">
        <v>160</v>
      </c>
      <c r="D4897" t="str">
        <f t="shared" si="93"/>
        <v xml:space="preserve">84429596098 </v>
      </c>
      <c r="E4897" t="s">
        <v>2812</v>
      </c>
      <c r="F4897" t="s">
        <v>2813</v>
      </c>
      <c r="G4897">
        <v>16.329999999999998</v>
      </c>
      <c r="H4897">
        <v>250101</v>
      </c>
      <c r="I4897">
        <v>4370</v>
      </c>
      <c r="J4897" t="s">
        <v>198</v>
      </c>
      <c r="K4897">
        <v>10808.77</v>
      </c>
      <c r="L4897">
        <v>0</v>
      </c>
      <c r="M4897">
        <v>17955</v>
      </c>
      <c r="N4897" t="s">
        <v>899</v>
      </c>
      <c r="O4897">
        <v>250114</v>
      </c>
      <c r="P4897">
        <v>16.329999999999998</v>
      </c>
    </row>
    <row r="4898" spans="1:16" x14ac:dyDescent="0.25">
      <c r="A4898" t="s">
        <v>3296</v>
      </c>
      <c r="B4898" t="s">
        <v>2931</v>
      </c>
      <c r="C4898">
        <v>160</v>
      </c>
      <c r="D4898" t="str">
        <f t="shared" si="93"/>
        <v xml:space="preserve">84429596098 </v>
      </c>
      <c r="E4898" t="s">
        <v>2812</v>
      </c>
      <c r="F4898" t="s">
        <v>2813</v>
      </c>
      <c r="G4898">
        <v>148.52000000000001</v>
      </c>
      <c r="H4898">
        <v>250101</v>
      </c>
      <c r="I4898">
        <v>4370</v>
      </c>
      <c r="J4898" t="s">
        <v>198</v>
      </c>
      <c r="K4898">
        <v>10808.77</v>
      </c>
      <c r="L4898">
        <v>0</v>
      </c>
      <c r="M4898">
        <v>46554</v>
      </c>
      <c r="N4898" t="s">
        <v>102</v>
      </c>
      <c r="O4898">
        <v>250114</v>
      </c>
      <c r="P4898">
        <v>148.52000000000001</v>
      </c>
    </row>
    <row r="4899" spans="1:16" x14ac:dyDescent="0.25">
      <c r="A4899" t="s">
        <v>3296</v>
      </c>
      <c r="B4899" t="s">
        <v>2931</v>
      </c>
      <c r="C4899">
        <v>160</v>
      </c>
      <c r="D4899" t="str">
        <f t="shared" si="93"/>
        <v xml:space="preserve">84429596098 </v>
      </c>
      <c r="E4899" t="s">
        <v>2812</v>
      </c>
      <c r="F4899" t="s">
        <v>2813</v>
      </c>
      <c r="G4899">
        <v>23.42</v>
      </c>
      <c r="H4899">
        <v>250101</v>
      </c>
      <c r="I4899">
        <v>4370</v>
      </c>
      <c r="J4899" t="s">
        <v>198</v>
      </c>
      <c r="K4899">
        <v>10808.77</v>
      </c>
      <c r="L4899">
        <v>0</v>
      </c>
      <c r="M4899">
        <v>49701</v>
      </c>
      <c r="N4899" t="s">
        <v>111</v>
      </c>
      <c r="O4899">
        <v>250114</v>
      </c>
      <c r="P4899">
        <v>23.42</v>
      </c>
    </row>
    <row r="4900" spans="1:16" x14ac:dyDescent="0.25">
      <c r="A4900" t="s">
        <v>3296</v>
      </c>
      <c r="B4900" t="s">
        <v>2931</v>
      </c>
      <c r="C4900">
        <v>225</v>
      </c>
      <c r="D4900" t="str">
        <f t="shared" ref="D4900:D4905" si="94">"84429203640 "</f>
        <v xml:space="preserve">84429203640 </v>
      </c>
      <c r="E4900" t="s">
        <v>2812</v>
      </c>
      <c r="F4900" t="s">
        <v>2813</v>
      </c>
      <c r="G4900">
        <v>296.83999999999997</v>
      </c>
      <c r="H4900">
        <v>250101</v>
      </c>
      <c r="I4900">
        <v>4370</v>
      </c>
      <c r="J4900" t="s">
        <v>198</v>
      </c>
      <c r="K4900">
        <v>11873.34</v>
      </c>
      <c r="L4900">
        <v>0</v>
      </c>
      <c r="M4900">
        <v>66754</v>
      </c>
      <c r="N4900" t="s">
        <v>119</v>
      </c>
      <c r="O4900">
        <v>250120</v>
      </c>
      <c r="P4900">
        <v>296.83999999999997</v>
      </c>
    </row>
    <row r="4901" spans="1:16" x14ac:dyDescent="0.25">
      <c r="A4901" t="s">
        <v>3296</v>
      </c>
      <c r="B4901" t="s">
        <v>2931</v>
      </c>
      <c r="C4901">
        <v>225</v>
      </c>
      <c r="D4901" t="str">
        <f t="shared" si="94"/>
        <v xml:space="preserve">84429203640 </v>
      </c>
      <c r="E4901" t="s">
        <v>2812</v>
      </c>
      <c r="F4901" t="s">
        <v>2813</v>
      </c>
      <c r="G4901">
        <v>593.66</v>
      </c>
      <c r="H4901">
        <v>250101</v>
      </c>
      <c r="I4901">
        <v>4370</v>
      </c>
      <c r="J4901" t="s">
        <v>198</v>
      </c>
      <c r="K4901">
        <v>11873.34</v>
      </c>
      <c r="L4901">
        <v>0</v>
      </c>
      <c r="M4901">
        <v>67554</v>
      </c>
      <c r="N4901" t="s">
        <v>317</v>
      </c>
      <c r="O4901">
        <v>250120</v>
      </c>
      <c r="P4901">
        <v>593.66</v>
      </c>
    </row>
    <row r="4902" spans="1:16" x14ac:dyDescent="0.25">
      <c r="A4902" t="s">
        <v>3296</v>
      </c>
      <c r="B4902" t="s">
        <v>2931</v>
      </c>
      <c r="C4902">
        <v>225</v>
      </c>
      <c r="D4902" t="str">
        <f t="shared" si="94"/>
        <v xml:space="preserve">84429203640 </v>
      </c>
      <c r="E4902" t="s">
        <v>2812</v>
      </c>
      <c r="F4902" t="s">
        <v>2813</v>
      </c>
      <c r="G4902">
        <v>593.66</v>
      </c>
      <c r="H4902">
        <v>250101</v>
      </c>
      <c r="I4902">
        <v>4370</v>
      </c>
      <c r="J4902" t="s">
        <v>198</v>
      </c>
      <c r="K4902">
        <v>11873.34</v>
      </c>
      <c r="L4902">
        <v>0</v>
      </c>
      <c r="M4902">
        <v>69111</v>
      </c>
      <c r="N4902" t="s">
        <v>657</v>
      </c>
      <c r="O4902">
        <v>250120</v>
      </c>
      <c r="P4902">
        <v>593.66</v>
      </c>
    </row>
    <row r="4903" spans="1:16" x14ac:dyDescent="0.25">
      <c r="A4903" t="s">
        <v>3296</v>
      </c>
      <c r="B4903" t="s">
        <v>2931</v>
      </c>
      <c r="C4903">
        <v>225</v>
      </c>
      <c r="D4903" t="str">
        <f t="shared" si="94"/>
        <v xml:space="preserve">84429203640 </v>
      </c>
      <c r="E4903" t="s">
        <v>2812</v>
      </c>
      <c r="F4903" t="s">
        <v>2813</v>
      </c>
      <c r="G4903">
        <v>1187.3399999999999</v>
      </c>
      <c r="H4903">
        <v>250101</v>
      </c>
      <c r="I4903">
        <v>4370</v>
      </c>
      <c r="J4903" t="s">
        <v>198</v>
      </c>
      <c r="K4903">
        <v>11873.34</v>
      </c>
      <c r="L4903">
        <v>0</v>
      </c>
      <c r="M4903">
        <v>69501</v>
      </c>
      <c r="N4903" t="s">
        <v>123</v>
      </c>
      <c r="O4903">
        <v>250120</v>
      </c>
      <c r="P4903">
        <v>1187.3399999999999</v>
      </c>
    </row>
    <row r="4904" spans="1:16" x14ac:dyDescent="0.25">
      <c r="A4904" t="s">
        <v>3296</v>
      </c>
      <c r="B4904" t="s">
        <v>2931</v>
      </c>
      <c r="C4904">
        <v>225</v>
      </c>
      <c r="D4904" t="str">
        <f t="shared" si="94"/>
        <v xml:space="preserve">84429203640 </v>
      </c>
      <c r="E4904" t="s">
        <v>2812</v>
      </c>
      <c r="F4904" t="s">
        <v>2813</v>
      </c>
      <c r="G4904">
        <v>237.46</v>
      </c>
      <c r="H4904">
        <v>250101</v>
      </c>
      <c r="I4904">
        <v>4370</v>
      </c>
      <c r="J4904" t="s">
        <v>198</v>
      </c>
      <c r="K4904">
        <v>11873.34</v>
      </c>
      <c r="L4904">
        <v>0</v>
      </c>
      <c r="M4904">
        <v>69702</v>
      </c>
      <c r="N4904" t="s">
        <v>124</v>
      </c>
      <c r="O4904">
        <v>250120</v>
      </c>
      <c r="P4904">
        <v>237.46</v>
      </c>
    </row>
    <row r="4905" spans="1:16" x14ac:dyDescent="0.25">
      <c r="A4905" t="s">
        <v>3296</v>
      </c>
      <c r="B4905" t="s">
        <v>2931</v>
      </c>
      <c r="C4905">
        <v>225</v>
      </c>
      <c r="D4905" t="str">
        <f t="shared" si="94"/>
        <v xml:space="preserve">84429203640 </v>
      </c>
      <c r="E4905" t="s">
        <v>2812</v>
      </c>
      <c r="F4905" t="s">
        <v>2813</v>
      </c>
      <c r="G4905">
        <v>59.36</v>
      </c>
      <c r="H4905">
        <v>250101</v>
      </c>
      <c r="I4905">
        <v>4370</v>
      </c>
      <c r="J4905" t="s">
        <v>198</v>
      </c>
      <c r="K4905">
        <v>11873.34</v>
      </c>
      <c r="L4905">
        <v>0</v>
      </c>
      <c r="M4905">
        <v>69704</v>
      </c>
      <c r="N4905" t="s">
        <v>89</v>
      </c>
      <c r="O4905">
        <v>250120</v>
      </c>
      <c r="P4905">
        <v>59.36</v>
      </c>
    </row>
    <row r="4906" spans="1:16" x14ac:dyDescent="0.25">
      <c r="A4906" t="s">
        <v>3296</v>
      </c>
      <c r="B4906" t="s">
        <v>2931</v>
      </c>
      <c r="C4906">
        <v>3301</v>
      </c>
      <c r="D4906" t="str">
        <f>"84504527607 "</f>
        <v xml:space="preserve">84504527607 </v>
      </c>
      <c r="E4906" t="s">
        <v>2812</v>
      </c>
      <c r="F4906" t="s">
        <v>2813</v>
      </c>
      <c r="G4906">
        <v>54.1</v>
      </c>
      <c r="H4906">
        <v>250221</v>
      </c>
      <c r="I4906">
        <v>4370</v>
      </c>
      <c r="J4906" t="s">
        <v>198</v>
      </c>
      <c r="K4906">
        <v>491.85</v>
      </c>
      <c r="L4906">
        <v>0</v>
      </c>
      <c r="M4906">
        <v>13540</v>
      </c>
      <c r="N4906" t="s">
        <v>131</v>
      </c>
      <c r="O4906">
        <v>250318</v>
      </c>
      <c r="P4906">
        <v>54.1</v>
      </c>
    </row>
    <row r="4907" spans="1:16" x14ac:dyDescent="0.25">
      <c r="A4907" t="s">
        <v>3296</v>
      </c>
      <c r="B4907" t="s">
        <v>2931</v>
      </c>
      <c r="C4907">
        <v>3301</v>
      </c>
      <c r="D4907" t="str">
        <f>"84504527607 "</f>
        <v xml:space="preserve">84504527607 </v>
      </c>
      <c r="E4907" t="s">
        <v>2812</v>
      </c>
      <c r="F4907" t="s">
        <v>2813</v>
      </c>
      <c r="G4907">
        <v>437.75</v>
      </c>
      <c r="H4907">
        <v>250221</v>
      </c>
      <c r="I4907">
        <v>4370</v>
      </c>
      <c r="J4907" t="s">
        <v>198</v>
      </c>
      <c r="K4907">
        <v>491.85</v>
      </c>
      <c r="L4907">
        <v>0</v>
      </c>
      <c r="M4907">
        <v>17950</v>
      </c>
      <c r="N4907" t="s">
        <v>132</v>
      </c>
      <c r="O4907">
        <v>250318</v>
      </c>
      <c r="P4907">
        <v>437.75</v>
      </c>
    </row>
    <row r="4908" spans="1:16" x14ac:dyDescent="0.25">
      <c r="A4908" t="s">
        <v>3296</v>
      </c>
      <c r="B4908" t="s">
        <v>2931</v>
      </c>
      <c r="C4908">
        <v>4240</v>
      </c>
      <c r="D4908" t="str">
        <f>"84505870858 "</f>
        <v xml:space="preserve">84505870858 </v>
      </c>
      <c r="E4908" t="s">
        <v>2812</v>
      </c>
      <c r="F4908" t="s">
        <v>2813</v>
      </c>
      <c r="G4908">
        <v>36.21</v>
      </c>
      <c r="H4908">
        <v>250311</v>
      </c>
      <c r="I4908">
        <v>4370</v>
      </c>
      <c r="J4908" t="s">
        <v>198</v>
      </c>
      <c r="K4908">
        <v>72.42</v>
      </c>
      <c r="L4908">
        <v>0</v>
      </c>
      <c r="M4908">
        <v>66722</v>
      </c>
      <c r="N4908" t="s">
        <v>118</v>
      </c>
      <c r="O4908">
        <v>250409</v>
      </c>
      <c r="P4908">
        <v>36.21</v>
      </c>
    </row>
    <row r="4909" spans="1:16" x14ac:dyDescent="0.25">
      <c r="A4909" t="s">
        <v>3296</v>
      </c>
      <c r="B4909" t="s">
        <v>2931</v>
      </c>
      <c r="C4909">
        <v>4240</v>
      </c>
      <c r="D4909" t="str">
        <f>"84505870858 "</f>
        <v xml:space="preserve">84505870858 </v>
      </c>
      <c r="E4909" t="s">
        <v>2812</v>
      </c>
      <c r="F4909" t="s">
        <v>2813</v>
      </c>
      <c r="G4909">
        <v>36.21</v>
      </c>
      <c r="H4909">
        <v>250311</v>
      </c>
      <c r="I4909">
        <v>4370</v>
      </c>
      <c r="J4909" t="s">
        <v>198</v>
      </c>
      <c r="K4909">
        <v>72.42</v>
      </c>
      <c r="L4909">
        <v>0</v>
      </c>
      <c r="M4909">
        <v>66754</v>
      </c>
      <c r="N4909" t="s">
        <v>119</v>
      </c>
      <c r="O4909">
        <v>250409</v>
      </c>
      <c r="P4909">
        <v>36.21</v>
      </c>
    </row>
    <row r="4910" spans="1:16" x14ac:dyDescent="0.25">
      <c r="A4910" t="s">
        <v>3296</v>
      </c>
      <c r="B4910" t="s">
        <v>2931</v>
      </c>
      <c r="C4910">
        <v>5035</v>
      </c>
      <c r="D4910" t="str">
        <f>"1017209514  "</f>
        <v xml:space="preserve">1017209514  </v>
      </c>
      <c r="E4910" t="s">
        <v>2812</v>
      </c>
      <c r="F4910" t="s">
        <v>2813</v>
      </c>
      <c r="G4910">
        <v>219.37</v>
      </c>
      <c r="H4910">
        <v>250327</v>
      </c>
      <c r="I4910">
        <v>4370</v>
      </c>
      <c r="J4910" t="s">
        <v>198</v>
      </c>
      <c r="K4910">
        <v>219.37</v>
      </c>
      <c r="L4910">
        <v>0</v>
      </c>
      <c r="M4910">
        <v>49701</v>
      </c>
      <c r="N4910" t="s">
        <v>111</v>
      </c>
      <c r="O4910">
        <v>250416</v>
      </c>
      <c r="P4910">
        <v>219.37</v>
      </c>
    </row>
    <row r="4911" spans="1:16" x14ac:dyDescent="0.25">
      <c r="A4911" t="s">
        <v>3296</v>
      </c>
      <c r="B4911" t="s">
        <v>2931</v>
      </c>
      <c r="C4911">
        <v>8220</v>
      </c>
      <c r="D4911" t="str">
        <f>"84510747361 "</f>
        <v xml:space="preserve">84510747361 </v>
      </c>
      <c r="E4911" t="s">
        <v>2812</v>
      </c>
      <c r="F4911" t="s">
        <v>2813</v>
      </c>
      <c r="G4911">
        <v>218.19</v>
      </c>
      <c r="H4911">
        <v>250513</v>
      </c>
      <c r="I4911">
        <v>4370</v>
      </c>
      <c r="J4911" t="s">
        <v>198</v>
      </c>
      <c r="K4911">
        <v>218.19</v>
      </c>
      <c r="L4911">
        <v>0</v>
      </c>
      <c r="M4911">
        <v>56571</v>
      </c>
      <c r="N4911" t="s">
        <v>553</v>
      </c>
      <c r="O4911">
        <v>250612</v>
      </c>
      <c r="P4911">
        <v>218.19</v>
      </c>
    </row>
    <row r="4912" spans="1:16" x14ac:dyDescent="0.25">
      <c r="A4912" t="s">
        <v>3296</v>
      </c>
      <c r="B4912" t="s">
        <v>2931</v>
      </c>
      <c r="C4912">
        <v>9272</v>
      </c>
      <c r="D4912" t="str">
        <f>"84512985639 "</f>
        <v xml:space="preserve">84512985639 </v>
      </c>
      <c r="E4912" t="s">
        <v>2812</v>
      </c>
      <c r="F4912" t="s">
        <v>2813</v>
      </c>
      <c r="G4912">
        <v>130.35</v>
      </c>
      <c r="H4912">
        <v>250613</v>
      </c>
      <c r="I4912">
        <v>4370</v>
      </c>
      <c r="J4912" t="s">
        <v>198</v>
      </c>
      <c r="K4912">
        <v>130.35</v>
      </c>
      <c r="L4912">
        <v>0</v>
      </c>
      <c r="M4912">
        <v>69501</v>
      </c>
      <c r="N4912" t="s">
        <v>123</v>
      </c>
      <c r="O4912">
        <v>250701</v>
      </c>
      <c r="P4912">
        <v>130.35</v>
      </c>
    </row>
    <row r="4913" spans="1:16" x14ac:dyDescent="0.25">
      <c r="A4913" t="s">
        <v>3296</v>
      </c>
      <c r="B4913" t="s">
        <v>2931</v>
      </c>
      <c r="C4913">
        <v>10643</v>
      </c>
      <c r="D4913" t="str">
        <f>"1017215454  "</f>
        <v xml:space="preserve">1017215454  </v>
      </c>
      <c r="E4913" t="s">
        <v>2812</v>
      </c>
      <c r="F4913" t="s">
        <v>2813</v>
      </c>
      <c r="G4913">
        <v>143.59</v>
      </c>
      <c r="H4913">
        <v>250804</v>
      </c>
      <c r="I4913">
        <v>4370</v>
      </c>
      <c r="J4913" t="s">
        <v>198</v>
      </c>
      <c r="K4913">
        <v>1345.91</v>
      </c>
      <c r="L4913">
        <v>0</v>
      </c>
      <c r="M4913">
        <v>47522</v>
      </c>
      <c r="N4913" t="s">
        <v>106</v>
      </c>
      <c r="O4913">
        <v>250821</v>
      </c>
      <c r="P4913">
        <v>143.59</v>
      </c>
    </row>
    <row r="4914" spans="1:16" x14ac:dyDescent="0.25">
      <c r="A4914" t="s">
        <v>3296</v>
      </c>
      <c r="B4914" t="s">
        <v>2931</v>
      </c>
      <c r="C4914">
        <v>10643</v>
      </c>
      <c r="D4914" t="str">
        <f>"1017215454  "</f>
        <v xml:space="preserve">1017215454  </v>
      </c>
      <c r="E4914" t="s">
        <v>2812</v>
      </c>
      <c r="F4914" t="s">
        <v>2813</v>
      </c>
      <c r="G4914">
        <v>609.91999999999996</v>
      </c>
      <c r="H4914">
        <v>250804</v>
      </c>
      <c r="I4914">
        <v>4370</v>
      </c>
      <c r="J4914" t="s">
        <v>198</v>
      </c>
      <c r="K4914">
        <v>1345.91</v>
      </c>
      <c r="L4914">
        <v>0</v>
      </c>
      <c r="M4914">
        <v>49701</v>
      </c>
      <c r="N4914" t="s">
        <v>111</v>
      </c>
      <c r="O4914">
        <v>250821</v>
      </c>
      <c r="P4914">
        <v>609.91999999999996</v>
      </c>
    </row>
    <row r="4915" spans="1:16" x14ac:dyDescent="0.25">
      <c r="A4915" t="s">
        <v>3296</v>
      </c>
      <c r="B4915" t="s">
        <v>2931</v>
      </c>
      <c r="C4915">
        <v>10643</v>
      </c>
      <c r="D4915" t="str">
        <f>"1017215454  "</f>
        <v xml:space="preserve">1017215454  </v>
      </c>
      <c r="E4915" t="s">
        <v>2812</v>
      </c>
      <c r="F4915" t="s">
        <v>2813</v>
      </c>
      <c r="G4915">
        <v>101.72</v>
      </c>
      <c r="H4915">
        <v>250804</v>
      </c>
      <c r="I4915">
        <v>4370</v>
      </c>
      <c r="J4915" t="s">
        <v>198</v>
      </c>
      <c r="K4915">
        <v>1345.91</v>
      </c>
      <c r="L4915">
        <v>0</v>
      </c>
      <c r="M4915">
        <v>66756</v>
      </c>
      <c r="N4915" t="s">
        <v>120</v>
      </c>
      <c r="O4915">
        <v>250821</v>
      </c>
      <c r="P4915">
        <v>101.72</v>
      </c>
    </row>
    <row r="4916" spans="1:16" x14ac:dyDescent="0.25">
      <c r="A4916" t="s">
        <v>3296</v>
      </c>
      <c r="B4916" t="s">
        <v>2931</v>
      </c>
      <c r="C4916">
        <v>10643</v>
      </c>
      <c r="D4916" t="str">
        <f>"1017215454  "</f>
        <v xml:space="preserve">1017215454  </v>
      </c>
      <c r="E4916" t="s">
        <v>2812</v>
      </c>
      <c r="F4916" t="s">
        <v>2813</v>
      </c>
      <c r="G4916">
        <v>357.59</v>
      </c>
      <c r="H4916">
        <v>250804</v>
      </c>
      <c r="I4916">
        <v>4370</v>
      </c>
      <c r="J4916" t="s">
        <v>198</v>
      </c>
      <c r="K4916">
        <v>1345.91</v>
      </c>
      <c r="L4916">
        <v>0</v>
      </c>
      <c r="M4916">
        <v>67522</v>
      </c>
      <c r="N4916" t="s">
        <v>121</v>
      </c>
      <c r="O4916">
        <v>250821</v>
      </c>
      <c r="P4916">
        <v>357.59</v>
      </c>
    </row>
    <row r="4917" spans="1:16" x14ac:dyDescent="0.25">
      <c r="A4917" t="s">
        <v>3296</v>
      </c>
      <c r="B4917" t="s">
        <v>2931</v>
      </c>
      <c r="C4917">
        <v>10643</v>
      </c>
      <c r="D4917" t="str">
        <f>"1017215454  "</f>
        <v xml:space="preserve">1017215454  </v>
      </c>
      <c r="E4917" t="s">
        <v>2812</v>
      </c>
      <c r="F4917" t="s">
        <v>2813</v>
      </c>
      <c r="G4917">
        <v>133.09</v>
      </c>
      <c r="H4917">
        <v>250804</v>
      </c>
      <c r="I4917">
        <v>4370</v>
      </c>
      <c r="J4917" t="s">
        <v>198</v>
      </c>
      <c r="K4917">
        <v>1345.91</v>
      </c>
      <c r="L4917">
        <v>0</v>
      </c>
      <c r="M4917">
        <v>69111</v>
      </c>
      <c r="N4917" t="s">
        <v>657</v>
      </c>
      <c r="O4917">
        <v>250821</v>
      </c>
      <c r="P4917">
        <v>133.09</v>
      </c>
    </row>
    <row r="4918" spans="1:16" x14ac:dyDescent="0.25">
      <c r="A4918" t="s">
        <v>3296</v>
      </c>
      <c r="B4918" t="s">
        <v>2931</v>
      </c>
      <c r="C4918">
        <v>10659</v>
      </c>
      <c r="D4918" t="str">
        <f>"1017215763  "</f>
        <v xml:space="preserve">1017215763  </v>
      </c>
      <c r="E4918" t="s">
        <v>2812</v>
      </c>
      <c r="F4918" t="s">
        <v>2813</v>
      </c>
      <c r="G4918">
        <v>230.14</v>
      </c>
      <c r="H4918">
        <v>250811</v>
      </c>
      <c r="I4918">
        <v>4370</v>
      </c>
      <c r="J4918" t="s">
        <v>198</v>
      </c>
      <c r="K4918">
        <v>588.04</v>
      </c>
      <c r="L4918">
        <v>0</v>
      </c>
      <c r="M4918">
        <v>46556</v>
      </c>
      <c r="N4918" t="s">
        <v>458</v>
      </c>
      <c r="O4918">
        <v>250821</v>
      </c>
      <c r="P4918">
        <v>230.14</v>
      </c>
    </row>
    <row r="4919" spans="1:16" x14ac:dyDescent="0.25">
      <c r="A4919" t="s">
        <v>3296</v>
      </c>
      <c r="B4919" t="s">
        <v>2931</v>
      </c>
      <c r="C4919">
        <v>10659</v>
      </c>
      <c r="D4919" t="str">
        <f>"1017215763  "</f>
        <v xml:space="preserve">1017215763  </v>
      </c>
      <c r="E4919" t="s">
        <v>2812</v>
      </c>
      <c r="F4919" t="s">
        <v>2813</v>
      </c>
      <c r="G4919">
        <v>357.9</v>
      </c>
      <c r="H4919">
        <v>250811</v>
      </c>
      <c r="I4919">
        <v>4370</v>
      </c>
      <c r="J4919" t="s">
        <v>198</v>
      </c>
      <c r="K4919">
        <v>588.04</v>
      </c>
      <c r="L4919">
        <v>0</v>
      </c>
      <c r="M4919">
        <v>49701</v>
      </c>
      <c r="N4919" t="s">
        <v>111</v>
      </c>
      <c r="O4919">
        <v>250821</v>
      </c>
      <c r="P4919">
        <v>357.9</v>
      </c>
    </row>
    <row r="4920" spans="1:16" x14ac:dyDescent="0.25">
      <c r="A4920" t="s">
        <v>3296</v>
      </c>
      <c r="B4920" t="s">
        <v>2931</v>
      </c>
      <c r="C4920">
        <v>12084</v>
      </c>
      <c r="D4920" t="str">
        <f>"84517731558 "</f>
        <v xml:space="preserve">84517731558 </v>
      </c>
      <c r="E4920" t="s">
        <v>2812</v>
      </c>
      <c r="F4920" t="s">
        <v>2813</v>
      </c>
      <c r="G4920">
        <v>69.73</v>
      </c>
      <c r="H4920">
        <v>250829</v>
      </c>
      <c r="I4920">
        <v>4370</v>
      </c>
      <c r="J4920" t="s">
        <v>198</v>
      </c>
      <c r="K4920">
        <v>69.73</v>
      </c>
      <c r="L4920">
        <v>0</v>
      </c>
      <c r="M4920">
        <v>59111</v>
      </c>
      <c r="N4920" t="s">
        <v>60</v>
      </c>
      <c r="O4920">
        <v>250916</v>
      </c>
      <c r="P4920">
        <v>69.73</v>
      </c>
    </row>
    <row r="4921" spans="1:16" x14ac:dyDescent="0.25">
      <c r="A4921" t="s">
        <v>3296</v>
      </c>
      <c r="B4921" t="s">
        <v>2931</v>
      </c>
      <c r="C4921">
        <v>12232</v>
      </c>
      <c r="D4921" t="str">
        <f t="shared" ref="D4921:D4926" si="95">"84517904424 "</f>
        <v xml:space="preserve">84517904424 </v>
      </c>
      <c r="E4921" t="s">
        <v>2812</v>
      </c>
      <c r="F4921" t="s">
        <v>2813</v>
      </c>
      <c r="G4921">
        <v>47.45</v>
      </c>
      <c r="H4921">
        <v>250902</v>
      </c>
      <c r="I4921">
        <v>4370</v>
      </c>
      <c r="J4921" t="s">
        <v>198</v>
      </c>
      <c r="K4921">
        <v>468.89</v>
      </c>
      <c r="L4921">
        <v>0</v>
      </c>
      <c r="M4921">
        <v>14975</v>
      </c>
      <c r="N4921" t="s">
        <v>84</v>
      </c>
      <c r="O4921">
        <v>250917</v>
      </c>
      <c r="P4921">
        <v>47.45</v>
      </c>
    </row>
    <row r="4922" spans="1:16" x14ac:dyDescent="0.25">
      <c r="A4922" t="s">
        <v>3296</v>
      </c>
      <c r="B4922" t="s">
        <v>2931</v>
      </c>
      <c r="C4922">
        <v>12232</v>
      </c>
      <c r="D4922" t="str">
        <f t="shared" si="95"/>
        <v xml:space="preserve">84517904424 </v>
      </c>
      <c r="E4922" t="s">
        <v>2812</v>
      </c>
      <c r="F4922" t="s">
        <v>2813</v>
      </c>
      <c r="G4922">
        <v>118.09</v>
      </c>
      <c r="H4922">
        <v>250902</v>
      </c>
      <c r="I4922">
        <v>4370</v>
      </c>
      <c r="J4922" t="s">
        <v>198</v>
      </c>
      <c r="K4922">
        <v>468.89</v>
      </c>
      <c r="L4922">
        <v>0</v>
      </c>
      <c r="M4922">
        <v>17975</v>
      </c>
      <c r="N4922" t="s">
        <v>29</v>
      </c>
      <c r="O4922">
        <v>250917</v>
      </c>
      <c r="P4922">
        <v>118.09</v>
      </c>
    </row>
    <row r="4923" spans="1:16" x14ac:dyDescent="0.25">
      <c r="A4923" t="s">
        <v>3296</v>
      </c>
      <c r="B4923" t="s">
        <v>2931</v>
      </c>
      <c r="C4923">
        <v>12232</v>
      </c>
      <c r="D4923" t="str">
        <f t="shared" si="95"/>
        <v xml:space="preserve">84517904424 </v>
      </c>
      <c r="E4923" t="s">
        <v>2812</v>
      </c>
      <c r="F4923" t="s">
        <v>2813</v>
      </c>
      <c r="G4923">
        <v>102.44</v>
      </c>
      <c r="H4923">
        <v>250902</v>
      </c>
      <c r="I4923">
        <v>4370</v>
      </c>
      <c r="J4923" t="s">
        <v>198</v>
      </c>
      <c r="K4923">
        <v>468.89</v>
      </c>
      <c r="L4923">
        <v>0</v>
      </c>
      <c r="M4923">
        <v>18975</v>
      </c>
      <c r="N4923" t="s">
        <v>2816</v>
      </c>
      <c r="O4923">
        <v>250917</v>
      </c>
      <c r="P4923">
        <v>102.44</v>
      </c>
    </row>
    <row r="4924" spans="1:16" x14ac:dyDescent="0.25">
      <c r="A4924" t="s">
        <v>3296</v>
      </c>
      <c r="B4924" t="s">
        <v>2931</v>
      </c>
      <c r="C4924">
        <v>12232</v>
      </c>
      <c r="D4924" t="str">
        <f t="shared" si="95"/>
        <v xml:space="preserve">84517904424 </v>
      </c>
      <c r="E4924" t="s">
        <v>2812</v>
      </c>
      <c r="F4924" t="s">
        <v>2813</v>
      </c>
      <c r="G4924">
        <v>76.569999999999993</v>
      </c>
      <c r="H4924">
        <v>250902</v>
      </c>
      <c r="I4924">
        <v>4370</v>
      </c>
      <c r="J4924" t="s">
        <v>198</v>
      </c>
      <c r="K4924">
        <v>468.89</v>
      </c>
      <c r="L4924">
        <v>0</v>
      </c>
      <c r="M4924">
        <v>49705</v>
      </c>
      <c r="N4924" t="s">
        <v>114</v>
      </c>
      <c r="O4924">
        <v>250917</v>
      </c>
      <c r="P4924">
        <v>76.569999999999993</v>
      </c>
    </row>
    <row r="4925" spans="1:16" x14ac:dyDescent="0.25">
      <c r="A4925" t="s">
        <v>3296</v>
      </c>
      <c r="B4925" t="s">
        <v>2931</v>
      </c>
      <c r="C4925">
        <v>12232</v>
      </c>
      <c r="D4925" t="str">
        <f t="shared" si="95"/>
        <v xml:space="preserve">84517904424 </v>
      </c>
      <c r="E4925" t="s">
        <v>2812</v>
      </c>
      <c r="F4925" t="s">
        <v>2813</v>
      </c>
      <c r="G4925">
        <v>71.5</v>
      </c>
      <c r="H4925">
        <v>250902</v>
      </c>
      <c r="I4925">
        <v>4370</v>
      </c>
      <c r="J4925" t="s">
        <v>198</v>
      </c>
      <c r="K4925">
        <v>468.89</v>
      </c>
      <c r="L4925">
        <v>0</v>
      </c>
      <c r="M4925">
        <v>59705</v>
      </c>
      <c r="N4925" t="s">
        <v>47</v>
      </c>
      <c r="O4925">
        <v>250917</v>
      </c>
      <c r="P4925">
        <v>71.5</v>
      </c>
    </row>
    <row r="4926" spans="1:16" x14ac:dyDescent="0.25">
      <c r="A4926" t="s">
        <v>3296</v>
      </c>
      <c r="B4926" t="s">
        <v>2931</v>
      </c>
      <c r="C4926">
        <v>12232</v>
      </c>
      <c r="D4926" t="str">
        <f t="shared" si="95"/>
        <v xml:space="preserve">84517904424 </v>
      </c>
      <c r="E4926" t="s">
        <v>2812</v>
      </c>
      <c r="F4926" t="s">
        <v>2813</v>
      </c>
      <c r="G4926">
        <v>52.84</v>
      </c>
      <c r="H4926">
        <v>250902</v>
      </c>
      <c r="I4926">
        <v>4370</v>
      </c>
      <c r="J4926" t="s">
        <v>198</v>
      </c>
      <c r="K4926">
        <v>468.89</v>
      </c>
      <c r="L4926">
        <v>0</v>
      </c>
      <c r="M4926">
        <v>69708</v>
      </c>
      <c r="N4926" t="s">
        <v>125</v>
      </c>
      <c r="O4926">
        <v>250917</v>
      </c>
      <c r="P4926">
        <v>52.84</v>
      </c>
    </row>
    <row r="4927" spans="1:16" x14ac:dyDescent="0.25">
      <c r="A4927" t="s">
        <v>3296</v>
      </c>
      <c r="B4927" t="s">
        <v>2931</v>
      </c>
      <c r="C4927">
        <v>12778</v>
      </c>
      <c r="D4927" t="str">
        <f>"1017217600  "</f>
        <v xml:space="preserve">1017217600  </v>
      </c>
      <c r="E4927" t="s">
        <v>2812</v>
      </c>
      <c r="F4927" t="s">
        <v>2813</v>
      </c>
      <c r="G4927">
        <v>329.67</v>
      </c>
      <c r="H4927">
        <v>250916</v>
      </c>
      <c r="I4927">
        <v>4370</v>
      </c>
      <c r="J4927" t="s">
        <v>198</v>
      </c>
      <c r="K4927">
        <v>329.67</v>
      </c>
      <c r="L4927">
        <v>0</v>
      </c>
      <c r="M4927">
        <v>11001</v>
      </c>
      <c r="N4927" t="s">
        <v>93</v>
      </c>
      <c r="O4927">
        <v>250930</v>
      </c>
      <c r="P4927">
        <v>329.67</v>
      </c>
    </row>
    <row r="4928" spans="1:16" x14ac:dyDescent="0.25">
      <c r="A4928" t="s">
        <v>3296</v>
      </c>
      <c r="B4928" t="s">
        <v>2931</v>
      </c>
      <c r="C4928">
        <v>14990</v>
      </c>
      <c r="D4928" t="str">
        <f>"84521223997 "</f>
        <v xml:space="preserve">84521223997 </v>
      </c>
      <c r="E4928" t="s">
        <v>2812</v>
      </c>
      <c r="F4928" t="s">
        <v>2813</v>
      </c>
      <c r="G4928">
        <v>33.85</v>
      </c>
      <c r="H4928">
        <v>251020</v>
      </c>
      <c r="I4928">
        <v>4370</v>
      </c>
      <c r="J4928" t="s">
        <v>198</v>
      </c>
      <c r="K4928">
        <v>68.59</v>
      </c>
      <c r="L4928">
        <v>0</v>
      </c>
      <c r="M4928">
        <v>17737</v>
      </c>
      <c r="N4928" t="s">
        <v>156</v>
      </c>
      <c r="O4928">
        <v>251110</v>
      </c>
      <c r="P4928">
        <v>33.85</v>
      </c>
    </row>
    <row r="4929" spans="1:16" x14ac:dyDescent="0.25">
      <c r="A4929" t="s">
        <v>3296</v>
      </c>
      <c r="B4929" t="s">
        <v>2931</v>
      </c>
      <c r="C4929">
        <v>14990</v>
      </c>
      <c r="D4929" t="str">
        <f>"84521223997 "</f>
        <v xml:space="preserve">84521223997 </v>
      </c>
      <c r="E4929" t="s">
        <v>2812</v>
      </c>
      <c r="F4929" t="s">
        <v>2813</v>
      </c>
      <c r="G4929">
        <v>34.74</v>
      </c>
      <c r="H4929">
        <v>251020</v>
      </c>
      <c r="I4929">
        <v>4370</v>
      </c>
      <c r="J4929" t="s">
        <v>198</v>
      </c>
      <c r="K4929">
        <v>68.59</v>
      </c>
      <c r="L4929">
        <v>0</v>
      </c>
      <c r="M4929">
        <v>67554</v>
      </c>
      <c r="N4929" t="s">
        <v>317</v>
      </c>
      <c r="O4929">
        <v>251110</v>
      </c>
      <c r="P4929">
        <v>34.74</v>
      </c>
    </row>
    <row r="4930" spans="1:16" x14ac:dyDescent="0.25">
      <c r="A4930" t="s">
        <v>3296</v>
      </c>
      <c r="B4930" t="s">
        <v>2931</v>
      </c>
      <c r="C4930">
        <v>13054</v>
      </c>
      <c r="D4930" t="str">
        <f>"ML211653    "</f>
        <v xml:space="preserve">ML211653    </v>
      </c>
      <c r="E4930" t="s">
        <v>2415</v>
      </c>
      <c r="F4930" t="s">
        <v>2416</v>
      </c>
      <c r="G4930">
        <v>2080</v>
      </c>
      <c r="H4930">
        <v>250930</v>
      </c>
      <c r="I4930">
        <v>4380</v>
      </c>
      <c r="J4930" t="s">
        <v>211</v>
      </c>
      <c r="K4930">
        <v>2080</v>
      </c>
      <c r="L4930">
        <v>422.63</v>
      </c>
      <c r="M4930">
        <v>13841</v>
      </c>
      <c r="N4930" t="s">
        <v>178</v>
      </c>
      <c r="O4930">
        <v>251003</v>
      </c>
      <c r="P4930">
        <v>1657.37</v>
      </c>
    </row>
    <row r="4931" spans="1:16" x14ac:dyDescent="0.25">
      <c r="A4931" t="s">
        <v>3296</v>
      </c>
      <c r="B4931" t="s">
        <v>2931</v>
      </c>
      <c r="C4931">
        <v>14509</v>
      </c>
      <c r="D4931" t="str">
        <f>"ML211930    "</f>
        <v xml:space="preserve">ML211930    </v>
      </c>
      <c r="E4931" t="s">
        <v>2415</v>
      </c>
      <c r="F4931" t="s">
        <v>2416</v>
      </c>
      <c r="G4931">
        <v>2080</v>
      </c>
      <c r="H4931">
        <v>251031</v>
      </c>
      <c r="I4931">
        <v>4380</v>
      </c>
      <c r="J4931" t="s">
        <v>211</v>
      </c>
      <c r="K4931">
        <v>2080</v>
      </c>
      <c r="L4931">
        <v>422.63</v>
      </c>
      <c r="M4931">
        <v>13841</v>
      </c>
      <c r="N4931" t="s">
        <v>178</v>
      </c>
      <c r="O4931">
        <v>251104</v>
      </c>
      <c r="P4931">
        <v>1657.37</v>
      </c>
    </row>
    <row r="4932" spans="1:16" x14ac:dyDescent="0.25">
      <c r="A4932" t="s">
        <v>3296</v>
      </c>
      <c r="B4932" t="s">
        <v>2931</v>
      </c>
      <c r="C4932">
        <v>16054</v>
      </c>
      <c r="D4932" t="str">
        <f>"ML212290    "</f>
        <v xml:space="preserve">ML212290    </v>
      </c>
      <c r="E4932" t="s">
        <v>2415</v>
      </c>
      <c r="F4932" t="s">
        <v>2416</v>
      </c>
      <c r="G4932">
        <v>2080</v>
      </c>
      <c r="H4932">
        <v>251130</v>
      </c>
      <c r="I4932">
        <v>4380</v>
      </c>
      <c r="J4932" t="s">
        <v>211</v>
      </c>
      <c r="K4932">
        <v>2080</v>
      </c>
      <c r="L4932">
        <v>422.63</v>
      </c>
      <c r="M4932">
        <v>13841</v>
      </c>
      <c r="N4932" t="s">
        <v>178</v>
      </c>
      <c r="O4932">
        <v>251203</v>
      </c>
      <c r="P4932">
        <v>1657.37</v>
      </c>
    </row>
    <row r="4933" spans="1:16" x14ac:dyDescent="0.25">
      <c r="A4933" t="s">
        <v>3296</v>
      </c>
      <c r="B4933" t="s">
        <v>2931</v>
      </c>
      <c r="C4933">
        <v>18310</v>
      </c>
      <c r="D4933" t="str">
        <f>"ML212648    "</f>
        <v xml:space="preserve">ML212648    </v>
      </c>
      <c r="E4933" t="s">
        <v>2415</v>
      </c>
      <c r="F4933" t="s">
        <v>2416</v>
      </c>
      <c r="G4933">
        <v>2152.35</v>
      </c>
      <c r="H4933">
        <v>251231</v>
      </c>
      <c r="I4933">
        <v>4380</v>
      </c>
      <c r="J4933" t="s">
        <v>211</v>
      </c>
      <c r="K4933">
        <v>2152.35</v>
      </c>
      <c r="L4933">
        <v>437.33</v>
      </c>
      <c r="M4933">
        <v>13841</v>
      </c>
      <c r="N4933" t="s">
        <v>178</v>
      </c>
      <c r="O4933">
        <v>260113</v>
      </c>
      <c r="P4933">
        <v>1715.02</v>
      </c>
    </row>
    <row r="4934" spans="1:16" x14ac:dyDescent="0.25">
      <c r="A4934" t="s">
        <v>3296</v>
      </c>
      <c r="B4934" t="s">
        <v>2931</v>
      </c>
      <c r="C4934">
        <v>18312</v>
      </c>
      <c r="D4934" t="str">
        <f>"MH300556    "</f>
        <v xml:space="preserve">MH300556    </v>
      </c>
      <c r="E4934" t="s">
        <v>2415</v>
      </c>
      <c r="F4934" t="s">
        <v>2416</v>
      </c>
      <c r="G4934">
        <v>-72.349999999999994</v>
      </c>
      <c r="H4934">
        <v>251231</v>
      </c>
      <c r="I4934">
        <v>4380</v>
      </c>
      <c r="J4934" t="s">
        <v>211</v>
      </c>
      <c r="K4934">
        <v>-72.349999999999994</v>
      </c>
      <c r="L4934">
        <v>-14.7</v>
      </c>
      <c r="M4934">
        <v>13841</v>
      </c>
      <c r="N4934" t="s">
        <v>178</v>
      </c>
      <c r="O4934">
        <v>260113</v>
      </c>
      <c r="P4934">
        <v>-57.65</v>
      </c>
    </row>
    <row r="4935" spans="1:16" x14ac:dyDescent="0.25">
      <c r="A4935" t="s">
        <v>3296</v>
      </c>
      <c r="B4935" t="s">
        <v>2931</v>
      </c>
      <c r="C4935">
        <v>15177</v>
      </c>
      <c r="D4935" t="str">
        <f>"6738        "</f>
        <v xml:space="preserve">6738        </v>
      </c>
      <c r="E4935" t="s">
        <v>2558</v>
      </c>
      <c r="F4935" t="s">
        <v>2559</v>
      </c>
      <c r="G4935">
        <v>67.52</v>
      </c>
      <c r="H4935">
        <v>251106</v>
      </c>
      <c r="I4935">
        <v>4580</v>
      </c>
      <c r="J4935" t="s">
        <v>126</v>
      </c>
      <c r="K4935">
        <v>67.52</v>
      </c>
      <c r="L4935">
        <v>13.72</v>
      </c>
      <c r="M4935">
        <v>17521</v>
      </c>
      <c r="N4935" t="s">
        <v>136</v>
      </c>
      <c r="O4935">
        <v>251113</v>
      </c>
      <c r="P4935">
        <v>53.8</v>
      </c>
    </row>
    <row r="4936" spans="1:16" x14ac:dyDescent="0.25">
      <c r="A4936" t="s">
        <v>3296</v>
      </c>
      <c r="B4936" t="s">
        <v>2931</v>
      </c>
      <c r="C4936">
        <v>3682</v>
      </c>
      <c r="D4936" t="str">
        <f>"17-03       "</f>
        <v xml:space="preserve">17-03       </v>
      </c>
      <c r="E4936" t="s">
        <v>3225</v>
      </c>
      <c r="F4936" t="s">
        <v>3226</v>
      </c>
      <c r="G4936">
        <v>459.8</v>
      </c>
      <c r="H4936">
        <v>250326</v>
      </c>
      <c r="I4936">
        <v>4410</v>
      </c>
      <c r="J4936" t="s">
        <v>165</v>
      </c>
      <c r="K4936">
        <v>459.8</v>
      </c>
      <c r="L4936">
        <v>0</v>
      </c>
      <c r="M4936">
        <v>11902</v>
      </c>
      <c r="N4936" t="s">
        <v>329</v>
      </c>
      <c r="O4936">
        <v>250328</v>
      </c>
      <c r="P4936">
        <v>459.8</v>
      </c>
    </row>
    <row r="4937" spans="1:16" x14ac:dyDescent="0.25">
      <c r="A4937" t="s">
        <v>3296</v>
      </c>
      <c r="B4937" t="s">
        <v>2931</v>
      </c>
      <c r="C4937">
        <v>9028</v>
      </c>
      <c r="D4937" t="str">
        <f>"6128        "</f>
        <v xml:space="preserve">6128        </v>
      </c>
      <c r="E4937" t="s">
        <v>1219</v>
      </c>
      <c r="F4937" t="s">
        <v>1220</v>
      </c>
      <c r="G4937">
        <v>10</v>
      </c>
      <c r="H4937">
        <v>250613</v>
      </c>
      <c r="I4937">
        <v>4347</v>
      </c>
      <c r="J4937" t="s">
        <v>328</v>
      </c>
      <c r="K4937">
        <v>294.10000000000002</v>
      </c>
      <c r="L4937">
        <v>1.23</v>
      </c>
      <c r="M4937">
        <v>17737</v>
      </c>
      <c r="N4937" t="s">
        <v>156</v>
      </c>
      <c r="O4937">
        <v>250626</v>
      </c>
      <c r="P4937">
        <v>8.77</v>
      </c>
    </row>
    <row r="4938" spans="1:16" x14ac:dyDescent="0.25">
      <c r="A4938" t="s">
        <v>3296</v>
      </c>
      <c r="B4938" t="s">
        <v>2931</v>
      </c>
      <c r="C4938">
        <v>3582</v>
      </c>
      <c r="D4938" t="str">
        <f>"5753        "</f>
        <v xml:space="preserve">5753        </v>
      </c>
      <c r="E4938" t="s">
        <v>1219</v>
      </c>
      <c r="F4938" t="s">
        <v>1220</v>
      </c>
      <c r="G4938">
        <v>185.7</v>
      </c>
      <c r="H4938">
        <v>250314</v>
      </c>
      <c r="I4938">
        <v>4410</v>
      </c>
      <c r="J4938" t="s">
        <v>165</v>
      </c>
      <c r="K4938">
        <v>185.7</v>
      </c>
      <c r="L4938">
        <v>22.81</v>
      </c>
      <c r="M4938">
        <v>12982</v>
      </c>
      <c r="N4938" t="s">
        <v>1384</v>
      </c>
      <c r="O4938">
        <v>250325</v>
      </c>
      <c r="P4938">
        <v>162.88999999999999</v>
      </c>
    </row>
    <row r="4939" spans="1:16" x14ac:dyDescent="0.25">
      <c r="A4939" t="s">
        <v>3296</v>
      </c>
      <c r="B4939" t="s">
        <v>2931</v>
      </c>
      <c r="C4939">
        <v>6054</v>
      </c>
      <c r="D4939" t="str">
        <f>"202491      "</f>
        <v xml:space="preserve">202491      </v>
      </c>
      <c r="E4939" t="s">
        <v>1219</v>
      </c>
      <c r="F4939" t="s">
        <v>1220</v>
      </c>
      <c r="G4939">
        <v>12</v>
      </c>
      <c r="H4939">
        <v>250428</v>
      </c>
      <c r="I4939">
        <v>4410</v>
      </c>
      <c r="J4939" t="s">
        <v>165</v>
      </c>
      <c r="K4939">
        <v>85</v>
      </c>
      <c r="L4939">
        <v>0</v>
      </c>
      <c r="M4939">
        <v>16930</v>
      </c>
      <c r="N4939" t="s">
        <v>135</v>
      </c>
      <c r="O4939">
        <v>250508</v>
      </c>
      <c r="P4939">
        <v>12</v>
      </c>
    </row>
    <row r="4940" spans="1:16" x14ac:dyDescent="0.25">
      <c r="A4940" t="s">
        <v>3296</v>
      </c>
      <c r="B4940" t="s">
        <v>2931</v>
      </c>
      <c r="C4940">
        <v>6054</v>
      </c>
      <c r="D4940" t="str">
        <f>"202491      "</f>
        <v xml:space="preserve">202491      </v>
      </c>
      <c r="E4940" t="s">
        <v>1219</v>
      </c>
      <c r="F4940" t="s">
        <v>1220</v>
      </c>
      <c r="G4940">
        <v>73</v>
      </c>
      <c r="H4940">
        <v>250428</v>
      </c>
      <c r="I4940">
        <v>4410</v>
      </c>
      <c r="J4940" t="s">
        <v>165</v>
      </c>
      <c r="K4940">
        <v>85</v>
      </c>
      <c r="L4940">
        <v>8.9600000000000009</v>
      </c>
      <c r="M4940">
        <v>16930</v>
      </c>
      <c r="N4940" t="s">
        <v>135</v>
      </c>
      <c r="O4940">
        <v>250508</v>
      </c>
      <c r="P4940">
        <v>64.040000000000006</v>
      </c>
    </row>
    <row r="4941" spans="1:16" x14ac:dyDescent="0.25">
      <c r="A4941" t="s">
        <v>3296</v>
      </c>
      <c r="B4941" t="s">
        <v>2931</v>
      </c>
      <c r="C4941">
        <v>7211</v>
      </c>
      <c r="D4941" t="str">
        <f>"5964        "</f>
        <v xml:space="preserve">5964        </v>
      </c>
      <c r="E4941" t="s">
        <v>1219</v>
      </c>
      <c r="F4941" t="s">
        <v>1220</v>
      </c>
      <c r="G4941">
        <v>21.06</v>
      </c>
      <c r="H4941">
        <v>250514</v>
      </c>
      <c r="I4941">
        <v>4410</v>
      </c>
      <c r="J4941" t="s">
        <v>165</v>
      </c>
      <c r="K4941">
        <v>266</v>
      </c>
      <c r="L4941">
        <v>0</v>
      </c>
      <c r="M4941">
        <v>17521</v>
      </c>
      <c r="N4941" t="s">
        <v>136</v>
      </c>
      <c r="O4941">
        <v>250527</v>
      </c>
      <c r="P4941">
        <v>21.06</v>
      </c>
    </row>
    <row r="4942" spans="1:16" x14ac:dyDescent="0.25">
      <c r="A4942" t="s">
        <v>3296</v>
      </c>
      <c r="B4942" t="s">
        <v>2931</v>
      </c>
      <c r="C4942">
        <v>7211</v>
      </c>
      <c r="D4942" t="str">
        <f>"5964        "</f>
        <v xml:space="preserve">5964        </v>
      </c>
      <c r="E4942" t="s">
        <v>1219</v>
      </c>
      <c r="F4942" t="s">
        <v>1220</v>
      </c>
      <c r="G4942">
        <v>244.94</v>
      </c>
      <c r="H4942">
        <v>250514</v>
      </c>
      <c r="I4942">
        <v>4410</v>
      </c>
      <c r="J4942" t="s">
        <v>165</v>
      </c>
      <c r="K4942">
        <v>266</v>
      </c>
      <c r="L4942">
        <v>30.08</v>
      </c>
      <c r="M4942">
        <v>17521</v>
      </c>
      <c r="N4942" t="s">
        <v>136</v>
      </c>
      <c r="O4942">
        <v>250527</v>
      </c>
      <c r="P4942">
        <v>214.86</v>
      </c>
    </row>
    <row r="4943" spans="1:16" x14ac:dyDescent="0.25">
      <c r="A4943" t="s">
        <v>3296</v>
      </c>
      <c r="B4943" t="s">
        <v>2931</v>
      </c>
      <c r="C4943">
        <v>7237</v>
      </c>
      <c r="D4943" t="str">
        <f>"5980        "</f>
        <v xml:space="preserve">5980        </v>
      </c>
      <c r="E4943" t="s">
        <v>1219</v>
      </c>
      <c r="F4943" t="s">
        <v>1220</v>
      </c>
      <c r="G4943">
        <v>21.06</v>
      </c>
      <c r="H4943">
        <v>250516</v>
      </c>
      <c r="I4943">
        <v>4410</v>
      </c>
      <c r="J4943" t="s">
        <v>165</v>
      </c>
      <c r="K4943">
        <v>266</v>
      </c>
      <c r="L4943">
        <v>0</v>
      </c>
      <c r="M4943">
        <v>17521</v>
      </c>
      <c r="N4943" t="s">
        <v>136</v>
      </c>
      <c r="O4943">
        <v>250527</v>
      </c>
      <c r="P4943">
        <v>21.06</v>
      </c>
    </row>
    <row r="4944" spans="1:16" x14ac:dyDescent="0.25">
      <c r="A4944" t="s">
        <v>3296</v>
      </c>
      <c r="B4944" t="s">
        <v>2931</v>
      </c>
      <c r="C4944">
        <v>7237</v>
      </c>
      <c r="D4944" t="str">
        <f>"5980        "</f>
        <v xml:space="preserve">5980        </v>
      </c>
      <c r="E4944" t="s">
        <v>1219</v>
      </c>
      <c r="F4944" t="s">
        <v>1220</v>
      </c>
      <c r="G4944">
        <v>244.94</v>
      </c>
      <c r="H4944">
        <v>250516</v>
      </c>
      <c r="I4944">
        <v>4410</v>
      </c>
      <c r="J4944" t="s">
        <v>165</v>
      </c>
      <c r="K4944">
        <v>266</v>
      </c>
      <c r="L4944">
        <v>30.08</v>
      </c>
      <c r="M4944">
        <v>17521</v>
      </c>
      <c r="N4944" t="s">
        <v>136</v>
      </c>
      <c r="O4944">
        <v>250527</v>
      </c>
      <c r="P4944">
        <v>214.86</v>
      </c>
    </row>
    <row r="4945" spans="1:16" x14ac:dyDescent="0.25">
      <c r="A4945" t="s">
        <v>3296</v>
      </c>
      <c r="B4945" t="s">
        <v>2931</v>
      </c>
      <c r="C4945">
        <v>9028</v>
      </c>
      <c r="D4945" t="str">
        <f>"6128        "</f>
        <v xml:space="preserve">6128        </v>
      </c>
      <c r="E4945" t="s">
        <v>1219</v>
      </c>
      <c r="F4945" t="s">
        <v>1220</v>
      </c>
      <c r="G4945">
        <v>204.1</v>
      </c>
      <c r="H4945">
        <v>250613</v>
      </c>
      <c r="I4945">
        <v>4410</v>
      </c>
      <c r="J4945" t="s">
        <v>165</v>
      </c>
      <c r="K4945">
        <v>294.10000000000002</v>
      </c>
      <c r="L4945">
        <v>25.06</v>
      </c>
      <c r="M4945">
        <v>17737</v>
      </c>
      <c r="N4945" t="s">
        <v>156</v>
      </c>
      <c r="O4945">
        <v>250626</v>
      </c>
      <c r="P4945">
        <v>179.04</v>
      </c>
    </row>
    <row r="4946" spans="1:16" x14ac:dyDescent="0.25">
      <c r="A4946" t="s">
        <v>3296</v>
      </c>
      <c r="B4946" t="s">
        <v>2931</v>
      </c>
      <c r="C4946">
        <v>10629</v>
      </c>
      <c r="D4946" t="str">
        <f>"6301        "</f>
        <v xml:space="preserve">6301        </v>
      </c>
      <c r="E4946" t="s">
        <v>1219</v>
      </c>
      <c r="F4946" t="s">
        <v>1220</v>
      </c>
      <c r="G4946">
        <v>429.3</v>
      </c>
      <c r="H4946">
        <v>250817</v>
      </c>
      <c r="I4946">
        <v>4410</v>
      </c>
      <c r="J4946" t="s">
        <v>165</v>
      </c>
      <c r="K4946">
        <v>1259.3</v>
      </c>
      <c r="L4946">
        <v>52.72</v>
      </c>
      <c r="M4946">
        <v>11605</v>
      </c>
      <c r="N4946" t="s">
        <v>1066</v>
      </c>
      <c r="O4946">
        <v>250821</v>
      </c>
      <c r="P4946">
        <v>376.58</v>
      </c>
    </row>
    <row r="4947" spans="1:16" x14ac:dyDescent="0.25">
      <c r="A4947" t="s">
        <v>3296</v>
      </c>
      <c r="B4947" t="s">
        <v>2931</v>
      </c>
      <c r="C4947">
        <v>12746</v>
      </c>
      <c r="D4947" t="str">
        <f>"6460        "</f>
        <v xml:space="preserve">6460        </v>
      </c>
      <c r="E4947" t="s">
        <v>1219</v>
      </c>
      <c r="F4947" t="s">
        <v>1220</v>
      </c>
      <c r="G4947">
        <v>101</v>
      </c>
      <c r="H4947">
        <v>250923</v>
      </c>
      <c r="I4947">
        <v>4410</v>
      </c>
      <c r="J4947" t="s">
        <v>165</v>
      </c>
      <c r="K4947">
        <v>101</v>
      </c>
      <c r="L4947">
        <v>12.4</v>
      </c>
      <c r="M4947">
        <v>16930</v>
      </c>
      <c r="N4947" t="s">
        <v>135</v>
      </c>
      <c r="O4947">
        <v>250930</v>
      </c>
      <c r="P4947">
        <v>88.6</v>
      </c>
    </row>
    <row r="4948" spans="1:16" x14ac:dyDescent="0.25">
      <c r="A4948" t="s">
        <v>3296</v>
      </c>
      <c r="B4948" t="s">
        <v>2931</v>
      </c>
      <c r="C4948">
        <v>13720</v>
      </c>
      <c r="D4948" t="str">
        <f>"6556        "</f>
        <v xml:space="preserve">6556        </v>
      </c>
      <c r="E4948" t="s">
        <v>1219</v>
      </c>
      <c r="F4948" t="s">
        <v>1220</v>
      </c>
      <c r="G4948">
        <v>101</v>
      </c>
      <c r="H4948">
        <v>251007</v>
      </c>
      <c r="I4948">
        <v>4410</v>
      </c>
      <c r="J4948" t="s">
        <v>165</v>
      </c>
      <c r="K4948">
        <v>101</v>
      </c>
      <c r="L4948">
        <v>12.4</v>
      </c>
      <c r="M4948">
        <v>16930</v>
      </c>
      <c r="N4948" t="s">
        <v>135</v>
      </c>
      <c r="O4948">
        <v>251017</v>
      </c>
      <c r="P4948">
        <v>88.6</v>
      </c>
    </row>
    <row r="4949" spans="1:16" x14ac:dyDescent="0.25">
      <c r="A4949" t="s">
        <v>3296</v>
      </c>
      <c r="B4949" t="s">
        <v>2931</v>
      </c>
      <c r="C4949">
        <v>13740</v>
      </c>
      <c r="D4949" t="str">
        <f>"6562        "</f>
        <v xml:space="preserve">6562        </v>
      </c>
      <c r="E4949" t="s">
        <v>1219</v>
      </c>
      <c r="F4949" t="s">
        <v>1220</v>
      </c>
      <c r="G4949">
        <v>77</v>
      </c>
      <c r="H4949">
        <v>251008</v>
      </c>
      <c r="I4949">
        <v>4410</v>
      </c>
      <c r="J4949" t="s">
        <v>165</v>
      </c>
      <c r="K4949">
        <v>77</v>
      </c>
      <c r="L4949">
        <v>9.4600000000000009</v>
      </c>
      <c r="M4949">
        <v>16930</v>
      </c>
      <c r="N4949" t="s">
        <v>135</v>
      </c>
      <c r="O4949">
        <v>251017</v>
      </c>
      <c r="P4949">
        <v>67.540000000000006</v>
      </c>
    </row>
    <row r="4950" spans="1:16" x14ac:dyDescent="0.25">
      <c r="A4950" t="s">
        <v>3296</v>
      </c>
      <c r="B4950" t="s">
        <v>2931</v>
      </c>
      <c r="C4950">
        <v>14210</v>
      </c>
      <c r="D4950" t="str">
        <f>"6594        "</f>
        <v xml:space="preserve">6594        </v>
      </c>
      <c r="E4950" t="s">
        <v>1219</v>
      </c>
      <c r="F4950" t="s">
        <v>1220</v>
      </c>
      <c r="G4950">
        <v>141</v>
      </c>
      <c r="H4950">
        <v>251021</v>
      </c>
      <c r="I4950">
        <v>4410</v>
      </c>
      <c r="J4950" t="s">
        <v>165</v>
      </c>
      <c r="K4950">
        <v>141</v>
      </c>
      <c r="L4950">
        <v>17.32</v>
      </c>
      <c r="M4950">
        <v>16930</v>
      </c>
      <c r="N4950" t="s">
        <v>135</v>
      </c>
      <c r="O4950">
        <v>251027</v>
      </c>
      <c r="P4950">
        <v>123.68</v>
      </c>
    </row>
    <row r="4951" spans="1:16" x14ac:dyDescent="0.25">
      <c r="A4951" t="s">
        <v>3296</v>
      </c>
      <c r="B4951" t="s">
        <v>2931</v>
      </c>
      <c r="C4951">
        <v>16837</v>
      </c>
      <c r="D4951" t="str">
        <f>"6876        "</f>
        <v xml:space="preserve">6876        </v>
      </c>
      <c r="E4951" t="s">
        <v>1219</v>
      </c>
      <c r="F4951" t="s">
        <v>1220</v>
      </c>
      <c r="G4951">
        <v>24</v>
      </c>
      <c r="H4951">
        <v>251203</v>
      </c>
      <c r="I4951">
        <v>4410</v>
      </c>
      <c r="J4951" t="s">
        <v>165</v>
      </c>
      <c r="K4951">
        <v>230</v>
      </c>
      <c r="L4951">
        <v>0</v>
      </c>
      <c r="M4951">
        <v>17521</v>
      </c>
      <c r="N4951" t="s">
        <v>136</v>
      </c>
      <c r="O4951">
        <v>251212</v>
      </c>
      <c r="P4951">
        <v>24</v>
      </c>
    </row>
    <row r="4952" spans="1:16" x14ac:dyDescent="0.25">
      <c r="A4952" t="s">
        <v>3296</v>
      </c>
      <c r="B4952" t="s">
        <v>2931</v>
      </c>
      <c r="C4952">
        <v>16837</v>
      </c>
      <c r="D4952" t="str">
        <f>"6876        "</f>
        <v xml:space="preserve">6876        </v>
      </c>
      <c r="E4952" t="s">
        <v>1219</v>
      </c>
      <c r="F4952" t="s">
        <v>1220</v>
      </c>
      <c r="G4952">
        <v>206</v>
      </c>
      <c r="H4952">
        <v>251203</v>
      </c>
      <c r="I4952">
        <v>4410</v>
      </c>
      <c r="J4952" t="s">
        <v>165</v>
      </c>
      <c r="K4952">
        <v>230</v>
      </c>
      <c r="L4952">
        <v>25.3</v>
      </c>
      <c r="M4952">
        <v>17521</v>
      </c>
      <c r="N4952" t="s">
        <v>136</v>
      </c>
      <c r="O4952">
        <v>251212</v>
      </c>
      <c r="P4952">
        <v>180.7</v>
      </c>
    </row>
    <row r="4953" spans="1:16" x14ac:dyDescent="0.25">
      <c r="A4953" t="s">
        <v>3296</v>
      </c>
      <c r="B4953" t="s">
        <v>2931</v>
      </c>
      <c r="C4953">
        <v>17902</v>
      </c>
      <c r="D4953" t="str">
        <f>"6971        "</f>
        <v xml:space="preserve">6971        </v>
      </c>
      <c r="E4953" t="s">
        <v>1219</v>
      </c>
      <c r="F4953" t="s">
        <v>1220</v>
      </c>
      <c r="G4953">
        <v>24</v>
      </c>
      <c r="H4953">
        <v>251217</v>
      </c>
      <c r="I4953">
        <v>4410</v>
      </c>
      <c r="J4953" t="s">
        <v>165</v>
      </c>
      <c r="K4953">
        <v>246</v>
      </c>
      <c r="L4953">
        <v>0</v>
      </c>
      <c r="M4953">
        <v>17521</v>
      </c>
      <c r="N4953" t="s">
        <v>136</v>
      </c>
      <c r="O4953">
        <v>260107</v>
      </c>
      <c r="P4953">
        <v>24</v>
      </c>
    </row>
    <row r="4954" spans="1:16" x14ac:dyDescent="0.25">
      <c r="A4954" t="s">
        <v>3296</v>
      </c>
      <c r="B4954" t="s">
        <v>2931</v>
      </c>
      <c r="C4954">
        <v>17902</v>
      </c>
      <c r="D4954" t="str">
        <f>"6971        "</f>
        <v xml:space="preserve">6971        </v>
      </c>
      <c r="E4954" t="s">
        <v>1219</v>
      </c>
      <c r="F4954" t="s">
        <v>1220</v>
      </c>
      <c r="G4954">
        <v>222</v>
      </c>
      <c r="H4954">
        <v>251217</v>
      </c>
      <c r="I4954">
        <v>4410</v>
      </c>
      <c r="J4954" t="s">
        <v>165</v>
      </c>
      <c r="K4954">
        <v>246</v>
      </c>
      <c r="L4954">
        <v>27.26</v>
      </c>
      <c r="M4954">
        <v>17521</v>
      </c>
      <c r="N4954" t="s">
        <v>136</v>
      </c>
      <c r="O4954">
        <v>260107</v>
      </c>
      <c r="P4954">
        <v>194.74</v>
      </c>
    </row>
    <row r="4955" spans="1:16" x14ac:dyDescent="0.25">
      <c r="A4955" t="s">
        <v>3296</v>
      </c>
      <c r="B4955" t="s">
        <v>2931</v>
      </c>
      <c r="C4955">
        <v>2202</v>
      </c>
      <c r="D4955" t="str">
        <f>"5675        "</f>
        <v xml:space="preserve">5675        </v>
      </c>
      <c r="E4955" t="s">
        <v>1219</v>
      </c>
      <c r="F4955" t="s">
        <v>1220</v>
      </c>
      <c r="G4955">
        <v>419</v>
      </c>
      <c r="H4955">
        <v>250216</v>
      </c>
      <c r="I4955">
        <v>4412</v>
      </c>
      <c r="J4955" t="s">
        <v>884</v>
      </c>
      <c r="K4955">
        <v>1049</v>
      </c>
      <c r="L4955">
        <v>51.46</v>
      </c>
      <c r="M4955">
        <v>13601</v>
      </c>
      <c r="N4955" t="s">
        <v>115</v>
      </c>
      <c r="O4955">
        <v>250221</v>
      </c>
      <c r="P4955">
        <v>367.54</v>
      </c>
    </row>
    <row r="4956" spans="1:16" x14ac:dyDescent="0.25">
      <c r="A4956" t="s">
        <v>3296</v>
      </c>
      <c r="B4956" t="s">
        <v>2931</v>
      </c>
      <c r="C4956">
        <v>2202</v>
      </c>
      <c r="D4956" t="str">
        <f>"5675        "</f>
        <v xml:space="preserve">5675        </v>
      </c>
      <c r="E4956" t="s">
        <v>1219</v>
      </c>
      <c r="F4956" t="s">
        <v>1220</v>
      </c>
      <c r="G4956">
        <v>419</v>
      </c>
      <c r="H4956">
        <v>250216</v>
      </c>
      <c r="I4956">
        <v>4412</v>
      </c>
      <c r="J4956" t="s">
        <v>884</v>
      </c>
      <c r="K4956">
        <v>1049</v>
      </c>
      <c r="L4956">
        <v>51.46</v>
      </c>
      <c r="M4956">
        <v>13801</v>
      </c>
      <c r="N4956" t="s">
        <v>33</v>
      </c>
      <c r="O4956">
        <v>250221</v>
      </c>
      <c r="P4956">
        <v>367.54</v>
      </c>
    </row>
    <row r="4957" spans="1:16" x14ac:dyDescent="0.25">
      <c r="A4957" t="s">
        <v>3296</v>
      </c>
      <c r="B4957" t="s">
        <v>2931</v>
      </c>
      <c r="C4957">
        <v>17203</v>
      </c>
      <c r="D4957" t="str">
        <f>"6956        "</f>
        <v xml:space="preserve">6956        </v>
      </c>
      <c r="E4957" t="s">
        <v>1219</v>
      </c>
      <c r="F4957" t="s">
        <v>1220</v>
      </c>
      <c r="G4957">
        <v>75</v>
      </c>
      <c r="H4957">
        <v>251215</v>
      </c>
      <c r="I4957">
        <v>4412</v>
      </c>
      <c r="J4957" t="s">
        <v>884</v>
      </c>
      <c r="K4957">
        <v>229</v>
      </c>
      <c r="L4957">
        <v>15.24</v>
      </c>
      <c r="M4957">
        <v>13861</v>
      </c>
      <c r="N4957" t="s">
        <v>604</v>
      </c>
      <c r="O4957">
        <v>251218</v>
      </c>
      <c r="P4957">
        <v>59.76</v>
      </c>
    </row>
    <row r="4958" spans="1:16" x14ac:dyDescent="0.25">
      <c r="A4958" t="s">
        <v>3296</v>
      </c>
      <c r="B4958" t="s">
        <v>2931</v>
      </c>
      <c r="C4958">
        <v>17203</v>
      </c>
      <c r="D4958" t="str">
        <f>"6956        "</f>
        <v xml:space="preserve">6956        </v>
      </c>
      <c r="E4958" t="s">
        <v>1219</v>
      </c>
      <c r="F4958" t="s">
        <v>1220</v>
      </c>
      <c r="G4958">
        <v>154</v>
      </c>
      <c r="H4958">
        <v>251215</v>
      </c>
      <c r="I4958">
        <v>4412</v>
      </c>
      <c r="J4958" t="s">
        <v>884</v>
      </c>
      <c r="K4958">
        <v>229</v>
      </c>
      <c r="L4958">
        <v>18.91</v>
      </c>
      <c r="M4958">
        <v>13861</v>
      </c>
      <c r="N4958" t="s">
        <v>604</v>
      </c>
      <c r="O4958">
        <v>251218</v>
      </c>
      <c r="P4958">
        <v>135.09</v>
      </c>
    </row>
    <row r="4959" spans="1:16" x14ac:dyDescent="0.25">
      <c r="A4959" t="s">
        <v>3296</v>
      </c>
      <c r="B4959" t="s">
        <v>2931</v>
      </c>
      <c r="C4959">
        <v>10833</v>
      </c>
      <c r="D4959" t="str">
        <f>"6297        "</f>
        <v xml:space="preserve">6297        </v>
      </c>
      <c r="E4959" t="s">
        <v>1219</v>
      </c>
      <c r="F4959" t="s">
        <v>1220</v>
      </c>
      <c r="G4959">
        <v>22</v>
      </c>
      <c r="H4959">
        <v>250813</v>
      </c>
      <c r="I4959">
        <v>4440</v>
      </c>
      <c r="J4959" t="s">
        <v>346</v>
      </c>
      <c r="K4959">
        <v>110</v>
      </c>
      <c r="L4959">
        <v>2.7</v>
      </c>
      <c r="M4959">
        <v>17711</v>
      </c>
      <c r="N4959" t="s">
        <v>155</v>
      </c>
      <c r="O4959">
        <v>250825</v>
      </c>
      <c r="P4959">
        <v>19.3</v>
      </c>
    </row>
    <row r="4960" spans="1:16" x14ac:dyDescent="0.25">
      <c r="A4960" t="s">
        <v>3296</v>
      </c>
      <c r="B4960" t="s">
        <v>2931</v>
      </c>
      <c r="C4960">
        <v>10833</v>
      </c>
      <c r="D4960" t="str">
        <f>"6297        "</f>
        <v xml:space="preserve">6297        </v>
      </c>
      <c r="E4960" t="s">
        <v>1219</v>
      </c>
      <c r="F4960" t="s">
        <v>1220</v>
      </c>
      <c r="G4960">
        <v>88</v>
      </c>
      <c r="H4960">
        <v>250813</v>
      </c>
      <c r="I4960">
        <v>4440</v>
      </c>
      <c r="J4960" t="s">
        <v>346</v>
      </c>
      <c r="K4960">
        <v>110</v>
      </c>
      <c r="L4960">
        <v>10.81</v>
      </c>
      <c r="M4960">
        <v>17711</v>
      </c>
      <c r="N4960" t="s">
        <v>155</v>
      </c>
      <c r="O4960">
        <v>250825</v>
      </c>
      <c r="P4960">
        <v>77.19</v>
      </c>
    </row>
    <row r="4961" spans="1:16" x14ac:dyDescent="0.25">
      <c r="A4961" t="s">
        <v>3296</v>
      </c>
      <c r="B4961" t="s">
        <v>2931</v>
      </c>
      <c r="C4961">
        <v>13368</v>
      </c>
      <c r="D4961" t="str">
        <f>"6490        "</f>
        <v xml:space="preserve">6490        </v>
      </c>
      <c r="E4961" t="s">
        <v>1219</v>
      </c>
      <c r="F4961" t="s">
        <v>1220</v>
      </c>
      <c r="G4961">
        <v>130</v>
      </c>
      <c r="H4961">
        <v>250927</v>
      </c>
      <c r="I4961">
        <v>4440</v>
      </c>
      <c r="J4961" t="s">
        <v>346</v>
      </c>
      <c r="K4961">
        <v>130</v>
      </c>
      <c r="L4961">
        <v>15.96</v>
      </c>
      <c r="M4961">
        <v>12982</v>
      </c>
      <c r="N4961" t="s">
        <v>1384</v>
      </c>
      <c r="O4961">
        <v>251008</v>
      </c>
      <c r="P4961">
        <v>114.04</v>
      </c>
    </row>
    <row r="4962" spans="1:16" x14ac:dyDescent="0.25">
      <c r="A4962" t="s">
        <v>3296</v>
      </c>
      <c r="B4962" t="s">
        <v>2931</v>
      </c>
      <c r="C4962">
        <v>17813</v>
      </c>
      <c r="D4962" t="str">
        <f>"6993        "</f>
        <v xml:space="preserve">6993        </v>
      </c>
      <c r="E4962" t="s">
        <v>1219</v>
      </c>
      <c r="F4962" t="s">
        <v>1220</v>
      </c>
      <c r="G4962">
        <v>90</v>
      </c>
      <c r="H4962">
        <v>251218</v>
      </c>
      <c r="I4962">
        <v>4440</v>
      </c>
      <c r="J4962" t="s">
        <v>346</v>
      </c>
      <c r="K4962">
        <v>90</v>
      </c>
      <c r="L4962">
        <v>11.05</v>
      </c>
      <c r="M4962">
        <v>13501</v>
      </c>
      <c r="N4962" t="s">
        <v>66</v>
      </c>
      <c r="O4962">
        <v>251230</v>
      </c>
      <c r="P4962">
        <v>78.95</v>
      </c>
    </row>
    <row r="4963" spans="1:16" x14ac:dyDescent="0.25">
      <c r="A4963" t="s">
        <v>3296</v>
      </c>
      <c r="B4963" t="s">
        <v>2931</v>
      </c>
      <c r="C4963">
        <v>7576</v>
      </c>
      <c r="D4963" t="str">
        <f>"6043        "</f>
        <v xml:space="preserve">6043        </v>
      </c>
      <c r="E4963" t="s">
        <v>1219</v>
      </c>
      <c r="F4963" t="s">
        <v>1220</v>
      </c>
      <c r="G4963">
        <v>84</v>
      </c>
      <c r="H4963">
        <v>250527</v>
      </c>
      <c r="I4963">
        <v>4470</v>
      </c>
      <c r="J4963" t="s">
        <v>203</v>
      </c>
      <c r="K4963">
        <v>218</v>
      </c>
      <c r="L4963">
        <v>10.32</v>
      </c>
      <c r="M4963">
        <v>16321</v>
      </c>
      <c r="N4963" t="s">
        <v>16</v>
      </c>
      <c r="O4963">
        <v>250604</v>
      </c>
      <c r="P4963">
        <v>73.680000000000007</v>
      </c>
    </row>
    <row r="4964" spans="1:16" x14ac:dyDescent="0.25">
      <c r="A4964" t="s">
        <v>3296</v>
      </c>
      <c r="B4964" t="s">
        <v>2931</v>
      </c>
      <c r="C4964">
        <v>7576</v>
      </c>
      <c r="D4964" t="str">
        <f>"6043        "</f>
        <v xml:space="preserve">6043        </v>
      </c>
      <c r="E4964" t="s">
        <v>1219</v>
      </c>
      <c r="F4964" t="s">
        <v>1220</v>
      </c>
      <c r="G4964">
        <v>84</v>
      </c>
      <c r="H4964">
        <v>250527</v>
      </c>
      <c r="I4964">
        <v>4470</v>
      </c>
      <c r="J4964" t="s">
        <v>203</v>
      </c>
      <c r="K4964">
        <v>218</v>
      </c>
      <c r="L4964">
        <v>10.32</v>
      </c>
      <c r="M4964">
        <v>16322</v>
      </c>
      <c r="N4964" t="s">
        <v>331</v>
      </c>
      <c r="O4964">
        <v>250604</v>
      </c>
      <c r="P4964">
        <v>73.680000000000007</v>
      </c>
    </row>
    <row r="4965" spans="1:16" x14ac:dyDescent="0.25">
      <c r="A4965" t="s">
        <v>3296</v>
      </c>
      <c r="B4965" t="s">
        <v>2931</v>
      </c>
      <c r="C4965">
        <v>9028</v>
      </c>
      <c r="D4965" t="str">
        <f>"6128        "</f>
        <v xml:space="preserve">6128        </v>
      </c>
      <c r="E4965" t="s">
        <v>1219</v>
      </c>
      <c r="F4965" t="s">
        <v>1220</v>
      </c>
      <c r="G4965">
        <v>80</v>
      </c>
      <c r="H4965">
        <v>250613</v>
      </c>
      <c r="I4965">
        <v>4470</v>
      </c>
      <c r="J4965" t="s">
        <v>203</v>
      </c>
      <c r="K4965">
        <v>294.10000000000002</v>
      </c>
      <c r="L4965">
        <v>9.82</v>
      </c>
      <c r="M4965">
        <v>17737</v>
      </c>
      <c r="N4965" t="s">
        <v>156</v>
      </c>
      <c r="O4965">
        <v>250626</v>
      </c>
      <c r="P4965">
        <v>70.180000000000007</v>
      </c>
    </row>
    <row r="4966" spans="1:16" x14ac:dyDescent="0.25">
      <c r="A4966" t="s">
        <v>3296</v>
      </c>
      <c r="B4966" t="s">
        <v>2931</v>
      </c>
      <c r="C4966">
        <v>10629</v>
      </c>
      <c r="D4966" t="str">
        <f>"6301        "</f>
        <v xml:space="preserve">6301        </v>
      </c>
      <c r="E4966" t="s">
        <v>1219</v>
      </c>
      <c r="F4966" t="s">
        <v>1220</v>
      </c>
      <c r="G4966">
        <v>830</v>
      </c>
      <c r="H4966">
        <v>250817</v>
      </c>
      <c r="I4966">
        <v>4470</v>
      </c>
      <c r="J4966" t="s">
        <v>203</v>
      </c>
      <c r="K4966">
        <v>1259.3</v>
      </c>
      <c r="L4966">
        <v>101.93</v>
      </c>
      <c r="M4966">
        <v>11605</v>
      </c>
      <c r="N4966" t="s">
        <v>1066</v>
      </c>
      <c r="O4966">
        <v>250821</v>
      </c>
      <c r="P4966">
        <v>728.07</v>
      </c>
    </row>
    <row r="4967" spans="1:16" x14ac:dyDescent="0.25">
      <c r="A4967" t="s">
        <v>3296</v>
      </c>
      <c r="B4967" t="s">
        <v>2931</v>
      </c>
      <c r="C4967">
        <v>2202</v>
      </c>
      <c r="D4967" t="str">
        <f>"5675        "</f>
        <v xml:space="preserve">5675        </v>
      </c>
      <c r="E4967" t="s">
        <v>1219</v>
      </c>
      <c r="F4967" t="s">
        <v>1220</v>
      </c>
      <c r="G4967">
        <v>105.5</v>
      </c>
      <c r="H4967">
        <v>250216</v>
      </c>
      <c r="I4967">
        <v>4820</v>
      </c>
      <c r="J4967" t="s">
        <v>169</v>
      </c>
      <c r="K4967">
        <v>1049</v>
      </c>
      <c r="L4967">
        <v>21.44</v>
      </c>
      <c r="M4967">
        <v>13601</v>
      </c>
      <c r="N4967" t="s">
        <v>115</v>
      </c>
      <c r="O4967">
        <v>250221</v>
      </c>
      <c r="P4967">
        <v>84.06</v>
      </c>
    </row>
    <row r="4968" spans="1:16" x14ac:dyDescent="0.25">
      <c r="A4968" t="s">
        <v>3296</v>
      </c>
      <c r="B4968" t="s">
        <v>2931</v>
      </c>
      <c r="C4968">
        <v>2202</v>
      </c>
      <c r="D4968" t="str">
        <f>"5675        "</f>
        <v xml:space="preserve">5675        </v>
      </c>
      <c r="E4968" t="s">
        <v>1219</v>
      </c>
      <c r="F4968" t="s">
        <v>1220</v>
      </c>
      <c r="G4968">
        <v>105.5</v>
      </c>
      <c r="H4968">
        <v>250216</v>
      </c>
      <c r="I4968">
        <v>4820</v>
      </c>
      <c r="J4968" t="s">
        <v>169</v>
      </c>
      <c r="K4968">
        <v>1049</v>
      </c>
      <c r="L4968">
        <v>21.44</v>
      </c>
      <c r="M4968">
        <v>13801</v>
      </c>
      <c r="N4968" t="s">
        <v>33</v>
      </c>
      <c r="O4968">
        <v>250221</v>
      </c>
      <c r="P4968">
        <v>84.06</v>
      </c>
    </row>
    <row r="4969" spans="1:16" x14ac:dyDescent="0.25">
      <c r="A4969" t="s">
        <v>3296</v>
      </c>
      <c r="B4969" t="s">
        <v>2931</v>
      </c>
      <c r="C4969">
        <v>7576</v>
      </c>
      <c r="D4969" t="str">
        <f>"6043        "</f>
        <v xml:space="preserve">6043        </v>
      </c>
      <c r="E4969" t="s">
        <v>1219</v>
      </c>
      <c r="F4969" t="s">
        <v>1220</v>
      </c>
      <c r="G4969">
        <v>25</v>
      </c>
      <c r="H4969">
        <v>250527</v>
      </c>
      <c r="I4969">
        <v>4820</v>
      </c>
      <c r="J4969" t="s">
        <v>169</v>
      </c>
      <c r="K4969">
        <v>218</v>
      </c>
      <c r="L4969">
        <v>5.08</v>
      </c>
      <c r="M4969">
        <v>16321</v>
      </c>
      <c r="N4969" t="s">
        <v>16</v>
      </c>
      <c r="O4969">
        <v>250604</v>
      </c>
      <c r="P4969">
        <v>19.920000000000002</v>
      </c>
    </row>
    <row r="4970" spans="1:16" x14ac:dyDescent="0.25">
      <c r="A4970" t="s">
        <v>3296</v>
      </c>
      <c r="B4970" t="s">
        <v>2931</v>
      </c>
      <c r="C4970">
        <v>7576</v>
      </c>
      <c r="D4970" t="str">
        <f>"6043        "</f>
        <v xml:space="preserve">6043        </v>
      </c>
      <c r="E4970" t="s">
        <v>1219</v>
      </c>
      <c r="F4970" t="s">
        <v>1220</v>
      </c>
      <c r="G4970">
        <v>25</v>
      </c>
      <c r="H4970">
        <v>250527</v>
      </c>
      <c r="I4970">
        <v>4820</v>
      </c>
      <c r="J4970" t="s">
        <v>169</v>
      </c>
      <c r="K4970">
        <v>218</v>
      </c>
      <c r="L4970">
        <v>5.08</v>
      </c>
      <c r="M4970">
        <v>16322</v>
      </c>
      <c r="N4970" t="s">
        <v>331</v>
      </c>
      <c r="O4970">
        <v>250604</v>
      </c>
      <c r="P4970">
        <v>19.920000000000002</v>
      </c>
    </row>
    <row r="4971" spans="1:16" x14ac:dyDescent="0.25">
      <c r="A4971" t="s">
        <v>3296</v>
      </c>
      <c r="B4971" t="s">
        <v>2931</v>
      </c>
      <c r="C4971">
        <v>1808</v>
      </c>
      <c r="D4971" t="str">
        <f>"7852        "</f>
        <v xml:space="preserve">7852        </v>
      </c>
      <c r="E4971" t="s">
        <v>1129</v>
      </c>
      <c r="F4971" t="s">
        <v>1130</v>
      </c>
      <c r="G4971">
        <v>239.15</v>
      </c>
      <c r="H4971">
        <v>250211</v>
      </c>
      <c r="I4971">
        <v>4400</v>
      </c>
      <c r="J4971" t="s">
        <v>162</v>
      </c>
      <c r="K4971">
        <v>478.31</v>
      </c>
      <c r="L4971">
        <v>48.59</v>
      </c>
      <c r="M4971">
        <v>17131</v>
      </c>
      <c r="N4971" t="s">
        <v>154</v>
      </c>
      <c r="O4971">
        <v>250214</v>
      </c>
      <c r="P4971">
        <v>190.56</v>
      </c>
    </row>
    <row r="4972" spans="1:16" x14ac:dyDescent="0.25">
      <c r="A4972" t="s">
        <v>3296</v>
      </c>
      <c r="B4972" t="s">
        <v>2931</v>
      </c>
      <c r="C4972">
        <v>1808</v>
      </c>
      <c r="D4972" t="str">
        <f>"7852        "</f>
        <v xml:space="preserve">7852        </v>
      </c>
      <c r="E4972" t="s">
        <v>1129</v>
      </c>
      <c r="F4972" t="s">
        <v>1130</v>
      </c>
      <c r="G4972">
        <v>239.16</v>
      </c>
      <c r="H4972">
        <v>250211</v>
      </c>
      <c r="I4972">
        <v>4400</v>
      </c>
      <c r="J4972" t="s">
        <v>162</v>
      </c>
      <c r="K4972">
        <v>478.31</v>
      </c>
      <c r="L4972">
        <v>48.59</v>
      </c>
      <c r="M4972">
        <v>17711</v>
      </c>
      <c r="N4972" t="s">
        <v>155</v>
      </c>
      <c r="O4972">
        <v>250214</v>
      </c>
      <c r="P4972">
        <v>190.57</v>
      </c>
    </row>
    <row r="4973" spans="1:16" x14ac:dyDescent="0.25">
      <c r="A4973" t="s">
        <v>3296</v>
      </c>
      <c r="B4973" t="s">
        <v>2931</v>
      </c>
      <c r="C4973">
        <v>3542</v>
      </c>
      <c r="D4973" t="str">
        <f>"7908        "</f>
        <v xml:space="preserve">7908        </v>
      </c>
      <c r="E4973" t="s">
        <v>1129</v>
      </c>
      <c r="F4973" t="s">
        <v>1130</v>
      </c>
      <c r="G4973">
        <v>747.28</v>
      </c>
      <c r="H4973">
        <v>250312</v>
      </c>
      <c r="I4973">
        <v>4400</v>
      </c>
      <c r="J4973" t="s">
        <v>162</v>
      </c>
      <c r="K4973">
        <v>1494.56</v>
      </c>
      <c r="L4973">
        <v>151.84</v>
      </c>
      <c r="M4973">
        <v>17131</v>
      </c>
      <c r="N4973" t="s">
        <v>154</v>
      </c>
      <c r="O4973">
        <v>250325</v>
      </c>
      <c r="P4973">
        <v>595.44000000000005</v>
      </c>
    </row>
    <row r="4974" spans="1:16" x14ac:dyDescent="0.25">
      <c r="A4974" t="s">
        <v>3296</v>
      </c>
      <c r="B4974" t="s">
        <v>2931</v>
      </c>
      <c r="C4974">
        <v>3542</v>
      </c>
      <c r="D4974" t="str">
        <f>"7908        "</f>
        <v xml:space="preserve">7908        </v>
      </c>
      <c r="E4974" t="s">
        <v>1129</v>
      </c>
      <c r="F4974" t="s">
        <v>1130</v>
      </c>
      <c r="G4974">
        <v>747.28</v>
      </c>
      <c r="H4974">
        <v>250312</v>
      </c>
      <c r="I4974">
        <v>4400</v>
      </c>
      <c r="J4974" t="s">
        <v>162</v>
      </c>
      <c r="K4974">
        <v>1494.56</v>
      </c>
      <c r="L4974">
        <v>151.84</v>
      </c>
      <c r="M4974">
        <v>17711</v>
      </c>
      <c r="N4974" t="s">
        <v>155</v>
      </c>
      <c r="O4974">
        <v>250325</v>
      </c>
      <c r="P4974">
        <v>595.44000000000005</v>
      </c>
    </row>
    <row r="4975" spans="1:16" x14ac:dyDescent="0.25">
      <c r="A4975" t="s">
        <v>3296</v>
      </c>
      <c r="B4975" t="s">
        <v>2931</v>
      </c>
      <c r="C4975">
        <v>3820</v>
      </c>
      <c r="D4975" t="str">
        <f>"7917        "</f>
        <v xml:space="preserve">7917        </v>
      </c>
      <c r="E4975" t="s">
        <v>1129</v>
      </c>
      <c r="F4975" t="s">
        <v>1130</v>
      </c>
      <c r="G4975">
        <v>1310.71</v>
      </c>
      <c r="H4975">
        <v>250319</v>
      </c>
      <c r="I4975">
        <v>4400</v>
      </c>
      <c r="J4975" t="s">
        <v>162</v>
      </c>
      <c r="K4975">
        <v>3660.12</v>
      </c>
      <c r="L4975">
        <v>266.32</v>
      </c>
      <c r="M4975">
        <v>17711</v>
      </c>
      <c r="N4975" t="s">
        <v>155</v>
      </c>
      <c r="O4975">
        <v>250402</v>
      </c>
      <c r="P4975">
        <v>1044.3900000000001</v>
      </c>
    </row>
    <row r="4976" spans="1:16" x14ac:dyDescent="0.25">
      <c r="A4976" t="s">
        <v>3296</v>
      </c>
      <c r="B4976" t="s">
        <v>2931</v>
      </c>
      <c r="C4976">
        <v>9151</v>
      </c>
      <c r="D4976" t="str">
        <f>"8066        "</f>
        <v xml:space="preserve">8066        </v>
      </c>
      <c r="E4976" t="s">
        <v>1129</v>
      </c>
      <c r="F4976" t="s">
        <v>1130</v>
      </c>
      <c r="G4976">
        <v>149.87</v>
      </c>
      <c r="H4976">
        <v>250618</v>
      </c>
      <c r="I4976">
        <v>4400</v>
      </c>
      <c r="J4976" t="s">
        <v>162</v>
      </c>
      <c r="K4976">
        <v>2997.5</v>
      </c>
      <c r="L4976">
        <v>30.45</v>
      </c>
      <c r="M4976">
        <v>13501</v>
      </c>
      <c r="N4976" t="s">
        <v>66</v>
      </c>
      <c r="O4976">
        <v>250627</v>
      </c>
      <c r="P4976">
        <v>119.42</v>
      </c>
    </row>
    <row r="4977" spans="1:16" x14ac:dyDescent="0.25">
      <c r="A4977" t="s">
        <v>3296</v>
      </c>
      <c r="B4977" t="s">
        <v>2931</v>
      </c>
      <c r="C4977">
        <v>9151</v>
      </c>
      <c r="D4977" t="str">
        <f>"8066        "</f>
        <v xml:space="preserve">8066        </v>
      </c>
      <c r="E4977" t="s">
        <v>1129</v>
      </c>
      <c r="F4977" t="s">
        <v>1130</v>
      </c>
      <c r="G4977">
        <v>2847.63</v>
      </c>
      <c r="H4977">
        <v>250618</v>
      </c>
      <c r="I4977">
        <v>4400</v>
      </c>
      <c r="J4977" t="s">
        <v>162</v>
      </c>
      <c r="K4977">
        <v>2997.5</v>
      </c>
      <c r="L4977">
        <v>578.6</v>
      </c>
      <c r="M4977">
        <v>17538</v>
      </c>
      <c r="N4977" t="s">
        <v>129</v>
      </c>
      <c r="O4977">
        <v>250627</v>
      </c>
      <c r="P4977">
        <v>2269.0300000000002</v>
      </c>
    </row>
    <row r="4978" spans="1:16" x14ac:dyDescent="0.25">
      <c r="A4978" t="s">
        <v>3296</v>
      </c>
      <c r="B4978" t="s">
        <v>2931</v>
      </c>
      <c r="C4978">
        <v>9259</v>
      </c>
      <c r="D4978" t="str">
        <f>"8079        "</f>
        <v xml:space="preserve">8079        </v>
      </c>
      <c r="E4978" t="s">
        <v>1129</v>
      </c>
      <c r="F4978" t="s">
        <v>1130</v>
      </c>
      <c r="G4978">
        <v>303.17</v>
      </c>
      <c r="H4978">
        <v>250626</v>
      </c>
      <c r="I4978">
        <v>4400</v>
      </c>
      <c r="J4978" t="s">
        <v>162</v>
      </c>
      <c r="K4978">
        <v>606.35</v>
      </c>
      <c r="L4978">
        <v>61.6</v>
      </c>
      <c r="M4978">
        <v>17131</v>
      </c>
      <c r="N4978" t="s">
        <v>154</v>
      </c>
      <c r="O4978">
        <v>250701</v>
      </c>
      <c r="P4978">
        <v>241.57</v>
      </c>
    </row>
    <row r="4979" spans="1:16" x14ac:dyDescent="0.25">
      <c r="A4979" t="s">
        <v>3296</v>
      </c>
      <c r="B4979" t="s">
        <v>2931</v>
      </c>
      <c r="C4979">
        <v>9259</v>
      </c>
      <c r="D4979" t="str">
        <f>"8079        "</f>
        <v xml:space="preserve">8079        </v>
      </c>
      <c r="E4979" t="s">
        <v>1129</v>
      </c>
      <c r="F4979" t="s">
        <v>1130</v>
      </c>
      <c r="G4979">
        <v>303.18</v>
      </c>
      <c r="H4979">
        <v>250626</v>
      </c>
      <c r="I4979">
        <v>4400</v>
      </c>
      <c r="J4979" t="s">
        <v>162</v>
      </c>
      <c r="K4979">
        <v>606.35</v>
      </c>
      <c r="L4979">
        <v>61.6</v>
      </c>
      <c r="M4979">
        <v>17711</v>
      </c>
      <c r="N4979" t="s">
        <v>155</v>
      </c>
      <c r="O4979">
        <v>250701</v>
      </c>
      <c r="P4979">
        <v>241.58</v>
      </c>
    </row>
    <row r="4980" spans="1:16" x14ac:dyDescent="0.25">
      <c r="A4980" t="s">
        <v>3296</v>
      </c>
      <c r="B4980" t="s">
        <v>2931</v>
      </c>
      <c r="C4980">
        <v>12544</v>
      </c>
      <c r="D4980" t="str">
        <f>"8206        "</f>
        <v xml:space="preserve">8206        </v>
      </c>
      <c r="E4980" t="s">
        <v>1129</v>
      </c>
      <c r="F4980" t="s">
        <v>1130</v>
      </c>
      <c r="G4980">
        <v>304.68</v>
      </c>
      <c r="H4980">
        <v>250916</v>
      </c>
      <c r="I4980">
        <v>4400</v>
      </c>
      <c r="J4980" t="s">
        <v>162</v>
      </c>
      <c r="K4980">
        <v>609.36</v>
      </c>
      <c r="L4980">
        <v>61.91</v>
      </c>
      <c r="M4980">
        <v>17131</v>
      </c>
      <c r="N4980" t="s">
        <v>154</v>
      </c>
      <c r="O4980">
        <v>250926</v>
      </c>
      <c r="P4980">
        <v>242.77</v>
      </c>
    </row>
    <row r="4981" spans="1:16" x14ac:dyDescent="0.25">
      <c r="A4981" t="s">
        <v>3296</v>
      </c>
      <c r="B4981" t="s">
        <v>2931</v>
      </c>
      <c r="C4981">
        <v>12544</v>
      </c>
      <c r="D4981" t="str">
        <f>"8206        "</f>
        <v xml:space="preserve">8206        </v>
      </c>
      <c r="E4981" t="s">
        <v>1129</v>
      </c>
      <c r="F4981" t="s">
        <v>1130</v>
      </c>
      <c r="G4981">
        <v>304.68</v>
      </c>
      <c r="H4981">
        <v>250916</v>
      </c>
      <c r="I4981">
        <v>4400</v>
      </c>
      <c r="J4981" t="s">
        <v>162</v>
      </c>
      <c r="K4981">
        <v>609.36</v>
      </c>
      <c r="L4981">
        <v>61.91</v>
      </c>
      <c r="M4981">
        <v>17711</v>
      </c>
      <c r="N4981" t="s">
        <v>155</v>
      </c>
      <c r="O4981">
        <v>250926</v>
      </c>
      <c r="P4981">
        <v>242.77</v>
      </c>
    </row>
    <row r="4982" spans="1:16" x14ac:dyDescent="0.25">
      <c r="A4982" t="s">
        <v>3296</v>
      </c>
      <c r="B4982" t="s">
        <v>2931</v>
      </c>
      <c r="C4982">
        <v>12575</v>
      </c>
      <c r="D4982" t="str">
        <f>"8207        "</f>
        <v xml:space="preserve">8207        </v>
      </c>
      <c r="E4982" t="s">
        <v>1129</v>
      </c>
      <c r="F4982" t="s">
        <v>1130</v>
      </c>
      <c r="G4982">
        <v>845</v>
      </c>
      <c r="H4982">
        <v>250916</v>
      </c>
      <c r="I4982">
        <v>4400</v>
      </c>
      <c r="J4982" t="s">
        <v>162</v>
      </c>
      <c r="K4982">
        <v>1690</v>
      </c>
      <c r="L4982">
        <v>171.69</v>
      </c>
      <c r="M4982">
        <v>17131</v>
      </c>
      <c r="N4982" t="s">
        <v>154</v>
      </c>
      <c r="O4982">
        <v>250926</v>
      </c>
      <c r="P4982">
        <v>673.31</v>
      </c>
    </row>
    <row r="4983" spans="1:16" x14ac:dyDescent="0.25">
      <c r="A4983" t="s">
        <v>3296</v>
      </c>
      <c r="B4983" t="s">
        <v>2931</v>
      </c>
      <c r="C4983">
        <v>12575</v>
      </c>
      <c r="D4983" t="str">
        <f>"8207        "</f>
        <v xml:space="preserve">8207        </v>
      </c>
      <c r="E4983" t="s">
        <v>1129</v>
      </c>
      <c r="F4983" t="s">
        <v>1130</v>
      </c>
      <c r="G4983">
        <v>845</v>
      </c>
      <c r="H4983">
        <v>250916</v>
      </c>
      <c r="I4983">
        <v>4400</v>
      </c>
      <c r="J4983" t="s">
        <v>162</v>
      </c>
      <c r="K4983">
        <v>1690</v>
      </c>
      <c r="L4983">
        <v>171.69</v>
      </c>
      <c r="M4983">
        <v>17711</v>
      </c>
      <c r="N4983" t="s">
        <v>155</v>
      </c>
      <c r="O4983">
        <v>250926</v>
      </c>
      <c r="P4983">
        <v>673.31</v>
      </c>
    </row>
    <row r="4984" spans="1:16" x14ac:dyDescent="0.25">
      <c r="A4984" t="s">
        <v>3296</v>
      </c>
      <c r="B4984" t="s">
        <v>2931</v>
      </c>
      <c r="C4984">
        <v>13806</v>
      </c>
      <c r="D4984" t="str">
        <f>"8261        "</f>
        <v xml:space="preserve">8261        </v>
      </c>
      <c r="E4984" t="s">
        <v>1129</v>
      </c>
      <c r="F4984" t="s">
        <v>1130</v>
      </c>
      <c r="G4984">
        <v>990.96</v>
      </c>
      <c r="H4984">
        <v>251013</v>
      </c>
      <c r="I4984">
        <v>4400</v>
      </c>
      <c r="J4984" t="s">
        <v>162</v>
      </c>
      <c r="K4984">
        <v>1981.92</v>
      </c>
      <c r="L4984">
        <v>201.35</v>
      </c>
      <c r="M4984">
        <v>17131</v>
      </c>
      <c r="N4984" t="s">
        <v>154</v>
      </c>
      <c r="O4984">
        <v>251020</v>
      </c>
      <c r="P4984">
        <v>789.61</v>
      </c>
    </row>
    <row r="4985" spans="1:16" x14ac:dyDescent="0.25">
      <c r="A4985" t="s">
        <v>3296</v>
      </c>
      <c r="B4985" t="s">
        <v>2931</v>
      </c>
      <c r="C4985">
        <v>13806</v>
      </c>
      <c r="D4985" t="str">
        <f>"8261        "</f>
        <v xml:space="preserve">8261        </v>
      </c>
      <c r="E4985" t="s">
        <v>1129</v>
      </c>
      <c r="F4985" t="s">
        <v>1130</v>
      </c>
      <c r="G4985">
        <v>990.96</v>
      </c>
      <c r="H4985">
        <v>251013</v>
      </c>
      <c r="I4985">
        <v>4400</v>
      </c>
      <c r="J4985" t="s">
        <v>162</v>
      </c>
      <c r="K4985">
        <v>1981.92</v>
      </c>
      <c r="L4985">
        <v>201.35</v>
      </c>
      <c r="M4985">
        <v>17711</v>
      </c>
      <c r="N4985" t="s">
        <v>155</v>
      </c>
      <c r="O4985">
        <v>251020</v>
      </c>
      <c r="P4985">
        <v>789.61</v>
      </c>
    </row>
    <row r="4986" spans="1:16" x14ac:dyDescent="0.25">
      <c r="A4986" t="s">
        <v>3296</v>
      </c>
      <c r="B4986" t="s">
        <v>2931</v>
      </c>
      <c r="C4986">
        <v>14382</v>
      </c>
      <c r="D4986" t="str">
        <f>"8284        "</f>
        <v xml:space="preserve">8284        </v>
      </c>
      <c r="E4986" t="s">
        <v>1129</v>
      </c>
      <c r="F4986" t="s">
        <v>1130</v>
      </c>
      <c r="G4986">
        <v>524.69000000000005</v>
      </c>
      <c r="H4986">
        <v>251028</v>
      </c>
      <c r="I4986">
        <v>4400</v>
      </c>
      <c r="J4986" t="s">
        <v>162</v>
      </c>
      <c r="K4986">
        <v>524.69000000000005</v>
      </c>
      <c r="L4986">
        <v>106.61</v>
      </c>
      <c r="M4986">
        <v>17711</v>
      </c>
      <c r="N4986" t="s">
        <v>155</v>
      </c>
      <c r="O4986">
        <v>251031</v>
      </c>
      <c r="P4986">
        <v>418.08</v>
      </c>
    </row>
    <row r="4987" spans="1:16" x14ac:dyDescent="0.25">
      <c r="A4987" t="s">
        <v>3296</v>
      </c>
      <c r="B4987" t="s">
        <v>2931</v>
      </c>
      <c r="C4987">
        <v>16287</v>
      </c>
      <c r="D4987" t="str">
        <f>"8343        "</f>
        <v xml:space="preserve">8343        </v>
      </c>
      <c r="E4987" t="s">
        <v>1129</v>
      </c>
      <c r="F4987" t="s">
        <v>1130</v>
      </c>
      <c r="G4987">
        <v>322.5</v>
      </c>
      <c r="H4987">
        <v>251204</v>
      </c>
      <c r="I4987">
        <v>4400</v>
      </c>
      <c r="J4987" t="s">
        <v>162</v>
      </c>
      <c r="K4987">
        <v>645</v>
      </c>
      <c r="L4987">
        <v>65.53</v>
      </c>
      <c r="M4987">
        <v>17131</v>
      </c>
      <c r="N4987" t="s">
        <v>154</v>
      </c>
      <c r="O4987">
        <v>251205</v>
      </c>
      <c r="P4987">
        <v>256.97000000000003</v>
      </c>
    </row>
    <row r="4988" spans="1:16" x14ac:dyDescent="0.25">
      <c r="A4988" t="s">
        <v>3296</v>
      </c>
      <c r="B4988" t="s">
        <v>2931</v>
      </c>
      <c r="C4988">
        <v>16287</v>
      </c>
      <c r="D4988" t="str">
        <f>"8343        "</f>
        <v xml:space="preserve">8343        </v>
      </c>
      <c r="E4988" t="s">
        <v>1129</v>
      </c>
      <c r="F4988" t="s">
        <v>1130</v>
      </c>
      <c r="G4988">
        <v>322.5</v>
      </c>
      <c r="H4988">
        <v>251204</v>
      </c>
      <c r="I4988">
        <v>4400</v>
      </c>
      <c r="J4988" t="s">
        <v>162</v>
      </c>
      <c r="K4988">
        <v>645</v>
      </c>
      <c r="L4988">
        <v>65.53</v>
      </c>
      <c r="M4988">
        <v>17711</v>
      </c>
      <c r="N4988" t="s">
        <v>155</v>
      </c>
      <c r="O4988">
        <v>251205</v>
      </c>
      <c r="P4988">
        <v>256.97000000000003</v>
      </c>
    </row>
    <row r="4989" spans="1:16" x14ac:dyDescent="0.25">
      <c r="A4989" t="s">
        <v>3296</v>
      </c>
      <c r="B4989" t="s">
        <v>2931</v>
      </c>
      <c r="C4989">
        <v>3820</v>
      </c>
      <c r="D4989" t="str">
        <f>"7917        "</f>
        <v xml:space="preserve">7917        </v>
      </c>
      <c r="E4989" t="s">
        <v>1129</v>
      </c>
      <c r="F4989" t="s">
        <v>1130</v>
      </c>
      <c r="G4989">
        <v>417.25</v>
      </c>
      <c r="H4989">
        <v>250319</v>
      </c>
      <c r="I4989">
        <v>4560</v>
      </c>
      <c r="J4989" t="s">
        <v>390</v>
      </c>
      <c r="K4989">
        <v>3660.12</v>
      </c>
      <c r="L4989">
        <v>84.78</v>
      </c>
      <c r="M4989">
        <v>17711</v>
      </c>
      <c r="N4989" t="s">
        <v>155</v>
      </c>
      <c r="O4989">
        <v>250402</v>
      </c>
      <c r="P4989">
        <v>332.47</v>
      </c>
    </row>
    <row r="4990" spans="1:16" x14ac:dyDescent="0.25">
      <c r="A4990" t="s">
        <v>3296</v>
      </c>
      <c r="B4990" t="s">
        <v>2931</v>
      </c>
      <c r="C4990">
        <v>3820</v>
      </c>
      <c r="D4990" t="str">
        <f>"7917        "</f>
        <v xml:space="preserve">7917        </v>
      </c>
      <c r="E4990" t="s">
        <v>1129</v>
      </c>
      <c r="F4990" t="s">
        <v>1130</v>
      </c>
      <c r="G4990">
        <v>1932.16</v>
      </c>
      <c r="H4990">
        <v>250319</v>
      </c>
      <c r="I4990">
        <v>4600</v>
      </c>
      <c r="J4990" t="s">
        <v>278</v>
      </c>
      <c r="K4990">
        <v>3660.12</v>
      </c>
      <c r="L4990">
        <v>392.59</v>
      </c>
      <c r="M4990">
        <v>17711</v>
      </c>
      <c r="N4990" t="s">
        <v>155</v>
      </c>
      <c r="O4990">
        <v>250402</v>
      </c>
      <c r="P4990">
        <v>1539.57</v>
      </c>
    </row>
    <row r="4991" spans="1:16" x14ac:dyDescent="0.25">
      <c r="A4991" t="s">
        <v>3296</v>
      </c>
      <c r="B4991" t="s">
        <v>2931</v>
      </c>
      <c r="C4991">
        <v>327</v>
      </c>
      <c r="D4991" t="str">
        <f>"1006        "</f>
        <v xml:space="preserve">1006        </v>
      </c>
      <c r="E4991" t="s">
        <v>421</v>
      </c>
      <c r="F4991" t="s">
        <v>422</v>
      </c>
      <c r="G4991">
        <v>200</v>
      </c>
      <c r="H4991">
        <v>250115</v>
      </c>
      <c r="I4991">
        <v>4420</v>
      </c>
      <c r="J4991" t="s">
        <v>330</v>
      </c>
      <c r="K4991">
        <v>200</v>
      </c>
      <c r="L4991">
        <v>24.56</v>
      </c>
      <c r="M4991">
        <v>17807</v>
      </c>
      <c r="N4991" t="s">
        <v>23</v>
      </c>
      <c r="O4991">
        <v>250121</v>
      </c>
      <c r="P4991">
        <v>175.44</v>
      </c>
    </row>
    <row r="4992" spans="1:16" x14ac:dyDescent="0.25">
      <c r="A4992" t="s">
        <v>3296</v>
      </c>
      <c r="B4992" t="s">
        <v>2931</v>
      </c>
      <c r="C4992">
        <v>1990</v>
      </c>
      <c r="D4992" t="str">
        <f>"1042        "</f>
        <v xml:space="preserve">1042        </v>
      </c>
      <c r="E4992" t="s">
        <v>421</v>
      </c>
      <c r="F4992" t="s">
        <v>422</v>
      </c>
      <c r="G4992">
        <v>126.56</v>
      </c>
      <c r="H4992">
        <v>250213</v>
      </c>
      <c r="I4992">
        <v>4420</v>
      </c>
      <c r="J4992" t="s">
        <v>330</v>
      </c>
      <c r="K4992">
        <v>450</v>
      </c>
      <c r="L4992">
        <v>11.51</v>
      </c>
      <c r="M4992">
        <v>17531</v>
      </c>
      <c r="N4992" t="s">
        <v>145</v>
      </c>
      <c r="O4992">
        <v>250218</v>
      </c>
      <c r="P4992">
        <v>115.05</v>
      </c>
    </row>
    <row r="4993" spans="1:16" x14ac:dyDescent="0.25">
      <c r="A4993" t="s">
        <v>3296</v>
      </c>
      <c r="B4993" t="s">
        <v>2931</v>
      </c>
      <c r="C4993">
        <v>1990</v>
      </c>
      <c r="D4993" t="str">
        <f>"1042        "</f>
        <v xml:space="preserve">1042        </v>
      </c>
      <c r="E4993" t="s">
        <v>421</v>
      </c>
      <c r="F4993" t="s">
        <v>422</v>
      </c>
      <c r="G4993">
        <v>323.44</v>
      </c>
      <c r="H4993">
        <v>250213</v>
      </c>
      <c r="I4993">
        <v>4420</v>
      </c>
      <c r="J4993" t="s">
        <v>330</v>
      </c>
      <c r="K4993">
        <v>450</v>
      </c>
      <c r="L4993">
        <v>29.4</v>
      </c>
      <c r="M4993">
        <v>17533</v>
      </c>
      <c r="N4993" t="s">
        <v>147</v>
      </c>
      <c r="O4993">
        <v>250218</v>
      </c>
      <c r="P4993">
        <v>294.04000000000002</v>
      </c>
    </row>
    <row r="4994" spans="1:16" x14ac:dyDescent="0.25">
      <c r="A4994" t="s">
        <v>3296</v>
      </c>
      <c r="B4994" t="s">
        <v>2931</v>
      </c>
      <c r="C4994">
        <v>3475</v>
      </c>
      <c r="D4994" t="str">
        <f>"1071        "</f>
        <v xml:space="preserve">1071        </v>
      </c>
      <c r="E4994" t="s">
        <v>421</v>
      </c>
      <c r="F4994" t="s">
        <v>422</v>
      </c>
      <c r="G4994">
        <v>216.67</v>
      </c>
      <c r="H4994">
        <v>250310</v>
      </c>
      <c r="I4994">
        <v>4420</v>
      </c>
      <c r="J4994" t="s">
        <v>330</v>
      </c>
      <c r="K4994">
        <v>620</v>
      </c>
      <c r="L4994">
        <v>26.61</v>
      </c>
      <c r="M4994">
        <v>17805</v>
      </c>
      <c r="N4994" t="s">
        <v>21</v>
      </c>
      <c r="O4994">
        <v>250324</v>
      </c>
      <c r="P4994">
        <v>190.06</v>
      </c>
    </row>
    <row r="4995" spans="1:16" x14ac:dyDescent="0.25">
      <c r="A4995" t="s">
        <v>3296</v>
      </c>
      <c r="B4995" t="s">
        <v>2931</v>
      </c>
      <c r="C4995">
        <v>3475</v>
      </c>
      <c r="D4995" t="str">
        <f>"1071        "</f>
        <v xml:space="preserve">1071        </v>
      </c>
      <c r="E4995" t="s">
        <v>421</v>
      </c>
      <c r="F4995" t="s">
        <v>422</v>
      </c>
      <c r="G4995">
        <v>403.33</v>
      </c>
      <c r="H4995">
        <v>250310</v>
      </c>
      <c r="I4995">
        <v>4420</v>
      </c>
      <c r="J4995" t="s">
        <v>330</v>
      </c>
      <c r="K4995">
        <v>620</v>
      </c>
      <c r="L4995">
        <v>49.53</v>
      </c>
      <c r="M4995">
        <v>17809</v>
      </c>
      <c r="N4995" t="s">
        <v>25</v>
      </c>
      <c r="O4995">
        <v>250324</v>
      </c>
      <c r="P4995">
        <v>353.8</v>
      </c>
    </row>
    <row r="4996" spans="1:16" x14ac:dyDescent="0.25">
      <c r="A4996" t="s">
        <v>3296</v>
      </c>
      <c r="B4996" t="s">
        <v>2931</v>
      </c>
      <c r="C4996">
        <v>4900</v>
      </c>
      <c r="D4996" t="str">
        <f>"1119        "</f>
        <v xml:space="preserve">1119        </v>
      </c>
      <c r="E4996" t="s">
        <v>421</v>
      </c>
      <c r="F4996" t="s">
        <v>422</v>
      </c>
      <c r="G4996">
        <v>1190</v>
      </c>
      <c r="H4996">
        <v>250408</v>
      </c>
      <c r="I4996">
        <v>4420</v>
      </c>
      <c r="J4996" t="s">
        <v>330</v>
      </c>
      <c r="K4996">
        <v>1190</v>
      </c>
      <c r="L4996">
        <v>146.13999999999999</v>
      </c>
      <c r="M4996">
        <v>11951</v>
      </c>
      <c r="N4996" t="s">
        <v>428</v>
      </c>
      <c r="O4996">
        <v>250416</v>
      </c>
      <c r="P4996">
        <v>1043.8599999999999</v>
      </c>
    </row>
    <row r="4997" spans="1:16" x14ac:dyDescent="0.25">
      <c r="A4997" t="s">
        <v>3296</v>
      </c>
      <c r="B4997" t="s">
        <v>2931</v>
      </c>
      <c r="C4997">
        <v>6787</v>
      </c>
      <c r="D4997" t="str">
        <f>"1191        "</f>
        <v xml:space="preserve">1191        </v>
      </c>
      <c r="E4997" t="s">
        <v>421</v>
      </c>
      <c r="F4997" t="s">
        <v>422</v>
      </c>
      <c r="G4997">
        <v>1090</v>
      </c>
      <c r="H4997">
        <v>250512</v>
      </c>
      <c r="I4997">
        <v>4420</v>
      </c>
      <c r="J4997" t="s">
        <v>330</v>
      </c>
      <c r="K4997">
        <v>1090</v>
      </c>
      <c r="L4997">
        <v>133.86000000000001</v>
      </c>
      <c r="M4997">
        <v>13501</v>
      </c>
      <c r="N4997" t="s">
        <v>66</v>
      </c>
      <c r="O4997">
        <v>250516</v>
      </c>
      <c r="P4997">
        <v>956.14</v>
      </c>
    </row>
    <row r="4998" spans="1:16" x14ac:dyDescent="0.25">
      <c r="A4998" t="s">
        <v>3296</v>
      </c>
      <c r="B4998" t="s">
        <v>2931</v>
      </c>
      <c r="C4998">
        <v>11235</v>
      </c>
      <c r="D4998" t="str">
        <f>"1392        "</f>
        <v xml:space="preserve">1392        </v>
      </c>
      <c r="E4998" t="s">
        <v>421</v>
      </c>
      <c r="F4998" t="s">
        <v>422</v>
      </c>
      <c r="G4998">
        <v>100</v>
      </c>
      <c r="H4998">
        <v>250829</v>
      </c>
      <c r="I4998">
        <v>4420</v>
      </c>
      <c r="J4998" t="s">
        <v>330</v>
      </c>
      <c r="K4998">
        <v>400</v>
      </c>
      <c r="L4998">
        <v>12.28</v>
      </c>
      <c r="M4998">
        <v>17131</v>
      </c>
      <c r="N4998" t="s">
        <v>154</v>
      </c>
      <c r="O4998">
        <v>250902</v>
      </c>
      <c r="P4998">
        <v>87.72</v>
      </c>
    </row>
    <row r="4999" spans="1:16" x14ac:dyDescent="0.25">
      <c r="A4999" t="s">
        <v>3296</v>
      </c>
      <c r="B4999" t="s">
        <v>2931</v>
      </c>
      <c r="C4999">
        <v>11235</v>
      </c>
      <c r="D4999" t="str">
        <f>"1392        "</f>
        <v xml:space="preserve">1392        </v>
      </c>
      <c r="E4999" t="s">
        <v>421</v>
      </c>
      <c r="F4999" t="s">
        <v>422</v>
      </c>
      <c r="G4999">
        <v>100</v>
      </c>
      <c r="H4999">
        <v>250829</v>
      </c>
      <c r="I4999">
        <v>4420</v>
      </c>
      <c r="J4999" t="s">
        <v>330</v>
      </c>
      <c r="K4999">
        <v>400</v>
      </c>
      <c r="L4999">
        <v>12.28</v>
      </c>
      <c r="M4999">
        <v>17711</v>
      </c>
      <c r="N4999" t="s">
        <v>155</v>
      </c>
      <c r="O4999">
        <v>250902</v>
      </c>
      <c r="P4999">
        <v>87.72</v>
      </c>
    </row>
    <row r="5000" spans="1:16" x14ac:dyDescent="0.25">
      <c r="A5000" t="s">
        <v>3296</v>
      </c>
      <c r="B5000" t="s">
        <v>2931</v>
      </c>
      <c r="C5000">
        <v>11235</v>
      </c>
      <c r="D5000" t="str">
        <f>"1392        "</f>
        <v xml:space="preserve">1392        </v>
      </c>
      <c r="E5000" t="s">
        <v>421</v>
      </c>
      <c r="F5000" t="s">
        <v>422</v>
      </c>
      <c r="G5000">
        <v>200</v>
      </c>
      <c r="H5000">
        <v>250829</v>
      </c>
      <c r="I5000">
        <v>4420</v>
      </c>
      <c r="J5000" t="s">
        <v>330</v>
      </c>
      <c r="K5000">
        <v>400</v>
      </c>
      <c r="L5000">
        <v>24.56</v>
      </c>
      <c r="M5000">
        <v>17808</v>
      </c>
      <c r="N5000" t="s">
        <v>24</v>
      </c>
      <c r="O5000">
        <v>250902</v>
      </c>
      <c r="P5000">
        <v>175.44</v>
      </c>
    </row>
    <row r="5001" spans="1:16" x14ac:dyDescent="0.25">
      <c r="A5001" t="s">
        <v>3296</v>
      </c>
      <c r="B5001" t="s">
        <v>2931</v>
      </c>
      <c r="C5001">
        <v>11251</v>
      </c>
      <c r="D5001" t="str">
        <f>"1391        "</f>
        <v xml:space="preserve">1391        </v>
      </c>
      <c r="E5001" t="s">
        <v>421</v>
      </c>
      <c r="F5001" t="s">
        <v>422</v>
      </c>
      <c r="G5001">
        <v>395</v>
      </c>
      <c r="H5001">
        <v>250829</v>
      </c>
      <c r="I5001">
        <v>4420</v>
      </c>
      <c r="J5001" t="s">
        <v>330</v>
      </c>
      <c r="K5001">
        <v>395</v>
      </c>
      <c r="L5001">
        <v>48.51</v>
      </c>
      <c r="M5001">
        <v>11951</v>
      </c>
      <c r="N5001" t="s">
        <v>428</v>
      </c>
      <c r="O5001">
        <v>250902</v>
      </c>
      <c r="P5001">
        <v>346.49</v>
      </c>
    </row>
    <row r="5002" spans="1:16" x14ac:dyDescent="0.25">
      <c r="A5002" t="s">
        <v>3296</v>
      </c>
      <c r="B5002" t="s">
        <v>2931</v>
      </c>
      <c r="C5002">
        <v>11445</v>
      </c>
      <c r="D5002" t="str">
        <f>"1390        "</f>
        <v xml:space="preserve">1390        </v>
      </c>
      <c r="E5002" t="s">
        <v>421</v>
      </c>
      <c r="F5002" t="s">
        <v>422</v>
      </c>
      <c r="G5002">
        <v>111.9</v>
      </c>
      <c r="H5002">
        <v>250829</v>
      </c>
      <c r="I5002">
        <v>4420</v>
      </c>
      <c r="J5002" t="s">
        <v>330</v>
      </c>
      <c r="K5002">
        <v>470</v>
      </c>
      <c r="L5002">
        <v>13.74</v>
      </c>
      <c r="M5002">
        <v>17531</v>
      </c>
      <c r="N5002" t="s">
        <v>145</v>
      </c>
      <c r="O5002">
        <v>250905</v>
      </c>
      <c r="P5002">
        <v>98.16</v>
      </c>
    </row>
    <row r="5003" spans="1:16" x14ac:dyDescent="0.25">
      <c r="A5003" t="s">
        <v>3296</v>
      </c>
      <c r="B5003" t="s">
        <v>2931</v>
      </c>
      <c r="C5003">
        <v>11445</v>
      </c>
      <c r="D5003" t="str">
        <f>"1390        "</f>
        <v xml:space="preserve">1390        </v>
      </c>
      <c r="E5003" t="s">
        <v>421</v>
      </c>
      <c r="F5003" t="s">
        <v>422</v>
      </c>
      <c r="G5003">
        <v>67.14</v>
      </c>
      <c r="H5003">
        <v>250829</v>
      </c>
      <c r="I5003">
        <v>4420</v>
      </c>
      <c r="J5003" t="s">
        <v>330</v>
      </c>
      <c r="K5003">
        <v>470</v>
      </c>
      <c r="L5003">
        <v>8.25</v>
      </c>
      <c r="M5003">
        <v>17532</v>
      </c>
      <c r="N5003" t="s">
        <v>146</v>
      </c>
      <c r="O5003">
        <v>250905</v>
      </c>
      <c r="P5003">
        <v>58.89</v>
      </c>
    </row>
    <row r="5004" spans="1:16" x14ac:dyDescent="0.25">
      <c r="A5004" t="s">
        <v>3296</v>
      </c>
      <c r="B5004" t="s">
        <v>2931</v>
      </c>
      <c r="C5004">
        <v>11445</v>
      </c>
      <c r="D5004" t="str">
        <f>"1390        "</f>
        <v xml:space="preserve">1390        </v>
      </c>
      <c r="E5004" t="s">
        <v>421</v>
      </c>
      <c r="F5004" t="s">
        <v>422</v>
      </c>
      <c r="G5004">
        <v>156.68</v>
      </c>
      <c r="H5004">
        <v>250829</v>
      </c>
      <c r="I5004">
        <v>4420</v>
      </c>
      <c r="J5004" t="s">
        <v>330</v>
      </c>
      <c r="K5004">
        <v>470</v>
      </c>
      <c r="L5004">
        <v>19.239999999999998</v>
      </c>
      <c r="M5004">
        <v>17533</v>
      </c>
      <c r="N5004" t="s">
        <v>147</v>
      </c>
      <c r="O5004">
        <v>250905</v>
      </c>
      <c r="P5004">
        <v>137.44</v>
      </c>
    </row>
    <row r="5005" spans="1:16" x14ac:dyDescent="0.25">
      <c r="A5005" t="s">
        <v>3296</v>
      </c>
      <c r="B5005" t="s">
        <v>2931</v>
      </c>
      <c r="C5005">
        <v>11445</v>
      </c>
      <c r="D5005" t="str">
        <f>"1390        "</f>
        <v xml:space="preserve">1390        </v>
      </c>
      <c r="E5005" t="s">
        <v>421</v>
      </c>
      <c r="F5005" t="s">
        <v>422</v>
      </c>
      <c r="G5005">
        <v>134.28</v>
      </c>
      <c r="H5005">
        <v>250829</v>
      </c>
      <c r="I5005">
        <v>4420</v>
      </c>
      <c r="J5005" t="s">
        <v>330</v>
      </c>
      <c r="K5005">
        <v>470</v>
      </c>
      <c r="L5005">
        <v>16.489999999999998</v>
      </c>
      <c r="M5005">
        <v>17533</v>
      </c>
      <c r="N5005" t="s">
        <v>147</v>
      </c>
      <c r="O5005">
        <v>250905</v>
      </c>
      <c r="P5005">
        <v>117.79</v>
      </c>
    </row>
    <row r="5006" spans="1:16" x14ac:dyDescent="0.25">
      <c r="A5006" t="s">
        <v>3296</v>
      </c>
      <c r="B5006" t="s">
        <v>2931</v>
      </c>
      <c r="C5006">
        <v>13716</v>
      </c>
      <c r="D5006" t="str">
        <f>"1534        "</f>
        <v xml:space="preserve">1534        </v>
      </c>
      <c r="E5006" t="s">
        <v>421</v>
      </c>
      <c r="F5006" t="s">
        <v>422</v>
      </c>
      <c r="G5006">
        <v>145</v>
      </c>
      <c r="H5006">
        <v>251007</v>
      </c>
      <c r="I5006">
        <v>4420</v>
      </c>
      <c r="J5006" t="s">
        <v>330</v>
      </c>
      <c r="K5006">
        <v>290</v>
      </c>
      <c r="L5006">
        <v>17.809999999999999</v>
      </c>
      <c r="M5006">
        <v>16121</v>
      </c>
      <c r="N5006" t="s">
        <v>127</v>
      </c>
      <c r="O5006">
        <v>251017</v>
      </c>
      <c r="P5006">
        <v>127.19</v>
      </c>
    </row>
    <row r="5007" spans="1:16" x14ac:dyDescent="0.25">
      <c r="A5007" t="s">
        <v>3296</v>
      </c>
      <c r="B5007" t="s">
        <v>2931</v>
      </c>
      <c r="C5007">
        <v>13716</v>
      </c>
      <c r="D5007" t="str">
        <f>"1534        "</f>
        <v xml:space="preserve">1534        </v>
      </c>
      <c r="E5007" t="s">
        <v>421</v>
      </c>
      <c r="F5007" t="s">
        <v>422</v>
      </c>
      <c r="G5007">
        <v>145</v>
      </c>
      <c r="H5007">
        <v>251007</v>
      </c>
      <c r="I5007">
        <v>4420</v>
      </c>
      <c r="J5007" t="s">
        <v>330</v>
      </c>
      <c r="K5007">
        <v>290</v>
      </c>
      <c r="L5007">
        <v>17.809999999999999</v>
      </c>
      <c r="M5007">
        <v>16820</v>
      </c>
      <c r="N5007" t="s">
        <v>128</v>
      </c>
      <c r="O5007">
        <v>251017</v>
      </c>
      <c r="P5007">
        <v>127.19</v>
      </c>
    </row>
    <row r="5008" spans="1:16" x14ac:dyDescent="0.25">
      <c r="A5008" t="s">
        <v>3296</v>
      </c>
      <c r="B5008" t="s">
        <v>2931</v>
      </c>
      <c r="C5008">
        <v>13725</v>
      </c>
      <c r="D5008" t="str">
        <f>"1537        "</f>
        <v xml:space="preserve">1537        </v>
      </c>
      <c r="E5008" t="s">
        <v>421</v>
      </c>
      <c r="F5008" t="s">
        <v>422</v>
      </c>
      <c r="G5008">
        <v>150</v>
      </c>
      <c r="H5008">
        <v>251007</v>
      </c>
      <c r="I5008">
        <v>4420</v>
      </c>
      <c r="J5008" t="s">
        <v>330</v>
      </c>
      <c r="K5008">
        <v>150</v>
      </c>
      <c r="L5008">
        <v>18.420000000000002</v>
      </c>
      <c r="M5008">
        <v>17808</v>
      </c>
      <c r="N5008" t="s">
        <v>24</v>
      </c>
      <c r="O5008">
        <v>251017</v>
      </c>
      <c r="P5008">
        <v>131.58000000000001</v>
      </c>
    </row>
    <row r="5009" spans="1:16" x14ac:dyDescent="0.25">
      <c r="A5009" t="s">
        <v>3296</v>
      </c>
      <c r="B5009" t="s">
        <v>2931</v>
      </c>
      <c r="C5009">
        <v>14487</v>
      </c>
      <c r="D5009" t="str">
        <f>"1571        "</f>
        <v xml:space="preserve">1571        </v>
      </c>
      <c r="E5009" t="s">
        <v>421</v>
      </c>
      <c r="F5009" t="s">
        <v>422</v>
      </c>
      <c r="G5009">
        <v>300</v>
      </c>
      <c r="H5009">
        <v>251029</v>
      </c>
      <c r="I5009">
        <v>4420</v>
      </c>
      <c r="J5009" t="s">
        <v>330</v>
      </c>
      <c r="K5009">
        <v>300</v>
      </c>
      <c r="L5009">
        <v>36.840000000000003</v>
      </c>
      <c r="M5009">
        <v>17808</v>
      </c>
      <c r="N5009" t="s">
        <v>24</v>
      </c>
      <c r="O5009">
        <v>251103</v>
      </c>
      <c r="P5009">
        <v>263.16000000000003</v>
      </c>
    </row>
    <row r="5010" spans="1:16" x14ac:dyDescent="0.25">
      <c r="A5010" t="s">
        <v>3296</v>
      </c>
      <c r="B5010" t="s">
        <v>2931</v>
      </c>
      <c r="C5010">
        <v>15833</v>
      </c>
      <c r="D5010" t="str">
        <f>"1618        "</f>
        <v xml:space="preserve">1618        </v>
      </c>
      <c r="E5010" t="s">
        <v>421</v>
      </c>
      <c r="F5010" t="s">
        <v>422</v>
      </c>
      <c r="G5010">
        <v>240</v>
      </c>
      <c r="H5010">
        <v>251125</v>
      </c>
      <c r="I5010">
        <v>4420</v>
      </c>
      <c r="J5010" t="s">
        <v>330</v>
      </c>
      <c r="K5010">
        <v>240</v>
      </c>
      <c r="L5010">
        <v>29.47</v>
      </c>
      <c r="M5010">
        <v>17808</v>
      </c>
      <c r="N5010" t="s">
        <v>24</v>
      </c>
      <c r="O5010">
        <v>251127</v>
      </c>
      <c r="P5010">
        <v>210.53</v>
      </c>
    </row>
    <row r="5011" spans="1:16" x14ac:dyDescent="0.25">
      <c r="A5011" t="s">
        <v>3296</v>
      </c>
      <c r="B5011" t="s">
        <v>2931</v>
      </c>
      <c r="C5011">
        <v>15970</v>
      </c>
      <c r="D5011" t="str">
        <f>"1620        "</f>
        <v xml:space="preserve">1620        </v>
      </c>
      <c r="E5011" t="s">
        <v>421</v>
      </c>
      <c r="F5011" t="s">
        <v>422</v>
      </c>
      <c r="G5011">
        <v>450</v>
      </c>
      <c r="H5011">
        <v>251128</v>
      </c>
      <c r="I5011">
        <v>4420</v>
      </c>
      <c r="J5011" t="s">
        <v>330</v>
      </c>
      <c r="K5011">
        <v>450</v>
      </c>
      <c r="L5011">
        <v>55.26</v>
      </c>
      <c r="M5011">
        <v>16820</v>
      </c>
      <c r="N5011" t="s">
        <v>128</v>
      </c>
      <c r="O5011">
        <v>251201</v>
      </c>
      <c r="P5011">
        <v>394.74</v>
      </c>
    </row>
    <row r="5012" spans="1:16" x14ac:dyDescent="0.25">
      <c r="A5012" t="s">
        <v>3296</v>
      </c>
      <c r="B5012" t="s">
        <v>2931</v>
      </c>
      <c r="C5012">
        <v>16691</v>
      </c>
      <c r="D5012" t="str">
        <f>"1638        "</f>
        <v xml:space="preserve">1638        </v>
      </c>
      <c r="E5012" t="s">
        <v>421</v>
      </c>
      <c r="F5012" t="s">
        <v>422</v>
      </c>
      <c r="G5012">
        <v>350</v>
      </c>
      <c r="H5012">
        <v>251130</v>
      </c>
      <c r="I5012">
        <v>4420</v>
      </c>
      <c r="J5012" t="s">
        <v>330</v>
      </c>
      <c r="K5012">
        <v>700</v>
      </c>
      <c r="L5012">
        <v>42.98</v>
      </c>
      <c r="M5012">
        <v>17526</v>
      </c>
      <c r="N5012" t="s">
        <v>141</v>
      </c>
      <c r="O5012">
        <v>251211</v>
      </c>
      <c r="P5012">
        <v>307.02</v>
      </c>
    </row>
    <row r="5013" spans="1:16" x14ac:dyDescent="0.25">
      <c r="A5013" t="s">
        <v>3296</v>
      </c>
      <c r="B5013" t="s">
        <v>2931</v>
      </c>
      <c r="C5013">
        <v>16691</v>
      </c>
      <c r="D5013" t="str">
        <f>"1638        "</f>
        <v xml:space="preserve">1638        </v>
      </c>
      <c r="E5013" t="s">
        <v>421</v>
      </c>
      <c r="F5013" t="s">
        <v>422</v>
      </c>
      <c r="G5013">
        <v>350</v>
      </c>
      <c r="H5013">
        <v>251130</v>
      </c>
      <c r="I5013">
        <v>4420</v>
      </c>
      <c r="J5013" t="s">
        <v>330</v>
      </c>
      <c r="K5013">
        <v>700</v>
      </c>
      <c r="L5013">
        <v>42.98</v>
      </c>
      <c r="M5013">
        <v>17527</v>
      </c>
      <c r="N5013" t="s">
        <v>142</v>
      </c>
      <c r="O5013">
        <v>251211</v>
      </c>
      <c r="P5013">
        <v>307.02</v>
      </c>
    </row>
    <row r="5014" spans="1:16" x14ac:dyDescent="0.25">
      <c r="A5014" t="s">
        <v>3296</v>
      </c>
      <c r="B5014" t="s">
        <v>2931</v>
      </c>
      <c r="C5014">
        <v>9201</v>
      </c>
      <c r="D5014" t="str">
        <f>"27228       "</f>
        <v xml:space="preserve">27228       </v>
      </c>
      <c r="E5014" t="s">
        <v>3305</v>
      </c>
      <c r="F5014" t="s">
        <v>3306</v>
      </c>
      <c r="G5014">
        <v>76.510000000000005</v>
      </c>
      <c r="H5014">
        <v>250625</v>
      </c>
      <c r="I5014">
        <v>4400</v>
      </c>
      <c r="J5014" t="s">
        <v>162</v>
      </c>
      <c r="K5014">
        <v>76.510000000000005</v>
      </c>
      <c r="L5014">
        <v>15.55</v>
      </c>
      <c r="M5014">
        <v>17737</v>
      </c>
      <c r="N5014" t="s">
        <v>156</v>
      </c>
      <c r="O5014">
        <v>250627</v>
      </c>
      <c r="P5014">
        <v>60.96</v>
      </c>
    </row>
    <row r="5015" spans="1:16" x14ac:dyDescent="0.25">
      <c r="A5015" t="s">
        <v>3296</v>
      </c>
      <c r="B5015" t="s">
        <v>2931</v>
      </c>
      <c r="C5015">
        <v>1209</v>
      </c>
      <c r="D5015" t="str">
        <f>"20788       "</f>
        <v xml:space="preserve">20788       </v>
      </c>
      <c r="E5015" t="s">
        <v>2886</v>
      </c>
      <c r="F5015" t="s">
        <v>2887</v>
      </c>
      <c r="G5015">
        <v>14338.96</v>
      </c>
      <c r="H5015">
        <v>250127</v>
      </c>
      <c r="I5015">
        <v>4345</v>
      </c>
      <c r="J5015" t="s">
        <v>2901</v>
      </c>
      <c r="K5015">
        <v>14338.96</v>
      </c>
      <c r="L5015">
        <v>0</v>
      </c>
      <c r="M5015">
        <v>13501</v>
      </c>
      <c r="N5015" t="s">
        <v>66</v>
      </c>
      <c r="O5015">
        <v>250205</v>
      </c>
      <c r="P5015">
        <v>14338.96</v>
      </c>
    </row>
    <row r="5016" spans="1:16" x14ac:dyDescent="0.25">
      <c r="A5016" t="s">
        <v>3296</v>
      </c>
      <c r="B5016" t="s">
        <v>2931</v>
      </c>
      <c r="C5016">
        <v>5162</v>
      </c>
      <c r="D5016" t="str">
        <f>"20848       "</f>
        <v xml:space="preserve">20848       </v>
      </c>
      <c r="E5016" t="s">
        <v>2886</v>
      </c>
      <c r="F5016" t="s">
        <v>2887</v>
      </c>
      <c r="G5016">
        <v>12361.4</v>
      </c>
      <c r="H5016">
        <v>250331</v>
      </c>
      <c r="I5016">
        <v>4345</v>
      </c>
      <c r="J5016" t="s">
        <v>2901</v>
      </c>
      <c r="K5016">
        <v>12361.4</v>
      </c>
      <c r="L5016">
        <v>0</v>
      </c>
      <c r="M5016">
        <v>13501</v>
      </c>
      <c r="N5016" t="s">
        <v>66</v>
      </c>
      <c r="O5016">
        <v>250417</v>
      </c>
      <c r="P5016">
        <v>12361.4</v>
      </c>
    </row>
    <row r="5017" spans="1:16" x14ac:dyDescent="0.25">
      <c r="A5017" t="s">
        <v>3296</v>
      </c>
      <c r="B5017" t="s">
        <v>2931</v>
      </c>
      <c r="C5017">
        <v>10365</v>
      </c>
      <c r="D5017" t="str">
        <f>"20909       "</f>
        <v xml:space="preserve">20909       </v>
      </c>
      <c r="E5017" t="s">
        <v>2886</v>
      </c>
      <c r="F5017" t="s">
        <v>2887</v>
      </c>
      <c r="G5017">
        <v>16040.28</v>
      </c>
      <c r="H5017">
        <v>250731</v>
      </c>
      <c r="I5017">
        <v>4345</v>
      </c>
      <c r="J5017" t="s">
        <v>2901</v>
      </c>
      <c r="K5017">
        <v>16040.28</v>
      </c>
      <c r="L5017">
        <v>0</v>
      </c>
      <c r="M5017">
        <v>13501</v>
      </c>
      <c r="N5017" t="s">
        <v>66</v>
      </c>
      <c r="O5017">
        <v>250818</v>
      </c>
      <c r="P5017">
        <v>16040.28</v>
      </c>
    </row>
    <row r="5018" spans="1:16" x14ac:dyDescent="0.25">
      <c r="A5018" t="s">
        <v>3296</v>
      </c>
      <c r="B5018" t="s">
        <v>2931</v>
      </c>
      <c r="C5018">
        <v>14284</v>
      </c>
      <c r="D5018" t="str">
        <f>"20920       "</f>
        <v xml:space="preserve">20920       </v>
      </c>
      <c r="E5018" t="s">
        <v>2886</v>
      </c>
      <c r="F5018" t="s">
        <v>2887</v>
      </c>
      <c r="G5018">
        <v>17128.400000000001</v>
      </c>
      <c r="H5018">
        <v>251024</v>
      </c>
      <c r="I5018">
        <v>4345</v>
      </c>
      <c r="J5018" t="s">
        <v>2901</v>
      </c>
      <c r="K5018">
        <v>17128.400000000001</v>
      </c>
      <c r="L5018">
        <v>0</v>
      </c>
      <c r="M5018">
        <v>13501</v>
      </c>
      <c r="N5018" t="s">
        <v>66</v>
      </c>
      <c r="O5018">
        <v>251028</v>
      </c>
      <c r="P5018">
        <v>17128.400000000001</v>
      </c>
    </row>
    <row r="5019" spans="1:16" x14ac:dyDescent="0.25">
      <c r="A5019" t="s">
        <v>3296</v>
      </c>
      <c r="B5019" t="s">
        <v>2931</v>
      </c>
      <c r="C5019">
        <v>18604</v>
      </c>
      <c r="D5019" t="str">
        <f>"20959       "</f>
        <v xml:space="preserve">20959       </v>
      </c>
      <c r="E5019" t="s">
        <v>2886</v>
      </c>
      <c r="F5019" t="s">
        <v>2887</v>
      </c>
      <c r="G5019">
        <v>26887.09</v>
      </c>
      <c r="H5019">
        <v>251231</v>
      </c>
      <c r="I5019">
        <v>4345</v>
      </c>
      <c r="J5019" t="s">
        <v>2901</v>
      </c>
      <c r="K5019">
        <v>26887.09</v>
      </c>
      <c r="L5019">
        <v>0</v>
      </c>
      <c r="M5019">
        <v>13501</v>
      </c>
      <c r="N5019" t="s">
        <v>66</v>
      </c>
      <c r="O5019">
        <v>260119</v>
      </c>
      <c r="P5019">
        <v>26887.09</v>
      </c>
    </row>
    <row r="5020" spans="1:16" x14ac:dyDescent="0.25">
      <c r="A5020" t="s">
        <v>3296</v>
      </c>
      <c r="B5020" t="s">
        <v>2931</v>
      </c>
      <c r="C5020">
        <v>749</v>
      </c>
      <c r="D5020" t="str">
        <f>"54789       "</f>
        <v xml:space="preserve">54789       </v>
      </c>
      <c r="E5020" t="s">
        <v>2886</v>
      </c>
      <c r="F5020" t="s">
        <v>2887</v>
      </c>
      <c r="G5020">
        <v>66</v>
      </c>
      <c r="H5020">
        <v>250124</v>
      </c>
      <c r="I5020">
        <v>4380</v>
      </c>
      <c r="J5020" t="s">
        <v>211</v>
      </c>
      <c r="K5020">
        <v>600</v>
      </c>
      <c r="L5020">
        <v>0</v>
      </c>
      <c r="M5020">
        <v>13540</v>
      </c>
      <c r="N5020" t="s">
        <v>131</v>
      </c>
      <c r="O5020">
        <v>250128</v>
      </c>
      <c r="P5020">
        <v>66</v>
      </c>
    </row>
    <row r="5021" spans="1:16" x14ac:dyDescent="0.25">
      <c r="A5021" t="s">
        <v>3296</v>
      </c>
      <c r="B5021" t="s">
        <v>2931</v>
      </c>
      <c r="C5021">
        <v>749</v>
      </c>
      <c r="D5021" t="str">
        <f>"54789       "</f>
        <v xml:space="preserve">54789       </v>
      </c>
      <c r="E5021" t="s">
        <v>2886</v>
      </c>
      <c r="F5021" t="s">
        <v>2887</v>
      </c>
      <c r="G5021">
        <v>534</v>
      </c>
      <c r="H5021">
        <v>250124</v>
      </c>
      <c r="I5021">
        <v>4380</v>
      </c>
      <c r="J5021" t="s">
        <v>211</v>
      </c>
      <c r="K5021">
        <v>600</v>
      </c>
      <c r="L5021">
        <v>0</v>
      </c>
      <c r="M5021">
        <v>17950</v>
      </c>
      <c r="N5021" t="s">
        <v>132</v>
      </c>
      <c r="O5021">
        <v>250128</v>
      </c>
      <c r="P5021">
        <v>534</v>
      </c>
    </row>
    <row r="5022" spans="1:16" x14ac:dyDescent="0.25">
      <c r="A5022" t="s">
        <v>3296</v>
      </c>
      <c r="B5022" t="s">
        <v>2931</v>
      </c>
      <c r="C5022">
        <v>16305</v>
      </c>
      <c r="D5022" t="str">
        <f>"55900       "</f>
        <v xml:space="preserve">55900       </v>
      </c>
      <c r="E5022" t="s">
        <v>2886</v>
      </c>
      <c r="F5022" t="s">
        <v>2887</v>
      </c>
      <c r="G5022">
        <v>66</v>
      </c>
      <c r="H5022">
        <v>251205</v>
      </c>
      <c r="I5022">
        <v>4380</v>
      </c>
      <c r="J5022" t="s">
        <v>211</v>
      </c>
      <c r="K5022">
        <v>600</v>
      </c>
      <c r="L5022">
        <v>0</v>
      </c>
      <c r="M5022">
        <v>13540</v>
      </c>
      <c r="N5022" t="s">
        <v>131</v>
      </c>
      <c r="O5022">
        <v>251205</v>
      </c>
      <c r="P5022">
        <v>66</v>
      </c>
    </row>
    <row r="5023" spans="1:16" x14ac:dyDescent="0.25">
      <c r="A5023" t="s">
        <v>3296</v>
      </c>
      <c r="B5023" t="s">
        <v>2931</v>
      </c>
      <c r="C5023">
        <v>16305</v>
      </c>
      <c r="D5023" t="str">
        <f>"55900       "</f>
        <v xml:space="preserve">55900       </v>
      </c>
      <c r="E5023" t="s">
        <v>2886</v>
      </c>
      <c r="F5023" t="s">
        <v>2887</v>
      </c>
      <c r="G5023">
        <v>534</v>
      </c>
      <c r="H5023">
        <v>251205</v>
      </c>
      <c r="I5023">
        <v>4380</v>
      </c>
      <c r="J5023" t="s">
        <v>211</v>
      </c>
      <c r="K5023">
        <v>600</v>
      </c>
      <c r="L5023">
        <v>0</v>
      </c>
      <c r="M5023">
        <v>17950</v>
      </c>
      <c r="N5023" t="s">
        <v>132</v>
      </c>
      <c r="O5023">
        <v>251205</v>
      </c>
      <c r="P5023">
        <v>534</v>
      </c>
    </row>
    <row r="5024" spans="1:16" x14ac:dyDescent="0.25">
      <c r="A5024" t="s">
        <v>3296</v>
      </c>
      <c r="B5024" t="s">
        <v>2931</v>
      </c>
      <c r="C5024">
        <v>9143</v>
      </c>
      <c r="D5024" t="str">
        <f>"52891       "</f>
        <v xml:space="preserve">52891       </v>
      </c>
      <c r="E5024" t="s">
        <v>2886</v>
      </c>
      <c r="F5024" t="s">
        <v>2887</v>
      </c>
      <c r="G5024">
        <v>481.71</v>
      </c>
      <c r="H5024">
        <v>250618</v>
      </c>
      <c r="I5024">
        <v>4470</v>
      </c>
      <c r="J5024" t="s">
        <v>203</v>
      </c>
      <c r="K5024">
        <v>5753.96</v>
      </c>
      <c r="L5024">
        <v>97.88</v>
      </c>
      <c r="M5024">
        <v>13501</v>
      </c>
      <c r="N5024" t="s">
        <v>66</v>
      </c>
      <c r="O5024">
        <v>250627</v>
      </c>
      <c r="P5024">
        <v>383.83</v>
      </c>
    </row>
    <row r="5025" spans="1:16" x14ac:dyDescent="0.25">
      <c r="A5025" t="s">
        <v>3296</v>
      </c>
      <c r="B5025" t="s">
        <v>2931</v>
      </c>
      <c r="C5025">
        <v>87</v>
      </c>
      <c r="D5025" t="str">
        <f>"54358       "</f>
        <v xml:space="preserve">54358       </v>
      </c>
      <c r="E5025" t="s">
        <v>2886</v>
      </c>
      <c r="F5025" t="s">
        <v>2887</v>
      </c>
      <c r="G5025">
        <v>3557.49</v>
      </c>
      <c r="H5025">
        <v>250101</v>
      </c>
      <c r="I5025">
        <v>4820</v>
      </c>
      <c r="J5025" t="s">
        <v>169</v>
      </c>
      <c r="K5025">
        <v>3557.49</v>
      </c>
      <c r="L5025">
        <v>722.84</v>
      </c>
      <c r="M5025">
        <v>17956</v>
      </c>
      <c r="N5025" t="s">
        <v>170</v>
      </c>
      <c r="O5025">
        <v>250107</v>
      </c>
      <c r="P5025">
        <v>2834.65</v>
      </c>
    </row>
    <row r="5026" spans="1:16" x14ac:dyDescent="0.25">
      <c r="A5026" t="s">
        <v>3296</v>
      </c>
      <c r="B5026" t="s">
        <v>2931</v>
      </c>
      <c r="C5026">
        <v>94</v>
      </c>
      <c r="D5026" t="str">
        <f>"54359       "</f>
        <v xml:space="preserve">54359       </v>
      </c>
      <c r="E5026" t="s">
        <v>2886</v>
      </c>
      <c r="F5026" t="s">
        <v>2887</v>
      </c>
      <c r="G5026">
        <v>1777.86</v>
      </c>
      <c r="H5026">
        <v>250101</v>
      </c>
      <c r="I5026">
        <v>4820</v>
      </c>
      <c r="J5026" t="s">
        <v>169</v>
      </c>
      <c r="K5026">
        <v>1777.86</v>
      </c>
      <c r="L5026">
        <v>361.24</v>
      </c>
      <c r="M5026">
        <v>13641</v>
      </c>
      <c r="N5026" t="s">
        <v>871</v>
      </c>
      <c r="O5026">
        <v>250107</v>
      </c>
      <c r="P5026">
        <v>1416.62</v>
      </c>
    </row>
    <row r="5027" spans="1:16" x14ac:dyDescent="0.25">
      <c r="A5027" t="s">
        <v>3296</v>
      </c>
      <c r="B5027" t="s">
        <v>2931</v>
      </c>
      <c r="C5027">
        <v>479</v>
      </c>
      <c r="D5027" t="str">
        <f>"54365       "</f>
        <v xml:space="preserve">54365       </v>
      </c>
      <c r="E5027" t="s">
        <v>2886</v>
      </c>
      <c r="F5027" t="s">
        <v>2887</v>
      </c>
      <c r="G5027">
        <v>3557.49</v>
      </c>
      <c r="H5027">
        <v>250201</v>
      </c>
      <c r="I5027">
        <v>4820</v>
      </c>
      <c r="J5027" t="s">
        <v>169</v>
      </c>
      <c r="K5027">
        <v>3557.49</v>
      </c>
      <c r="L5027">
        <v>722.84</v>
      </c>
      <c r="M5027">
        <v>17956</v>
      </c>
      <c r="N5027" t="s">
        <v>170</v>
      </c>
      <c r="O5027">
        <v>250123</v>
      </c>
      <c r="P5027">
        <v>2834.65</v>
      </c>
    </row>
    <row r="5028" spans="1:16" x14ac:dyDescent="0.25">
      <c r="A5028" t="s">
        <v>3296</v>
      </c>
      <c r="B5028" t="s">
        <v>2931</v>
      </c>
      <c r="C5028">
        <v>480</v>
      </c>
      <c r="D5028" t="str">
        <f>"54366       "</f>
        <v xml:space="preserve">54366       </v>
      </c>
      <c r="E5028" t="s">
        <v>2886</v>
      </c>
      <c r="F5028" t="s">
        <v>2887</v>
      </c>
      <c r="G5028">
        <v>1777.86</v>
      </c>
      <c r="H5028">
        <v>250201</v>
      </c>
      <c r="I5028">
        <v>4820</v>
      </c>
      <c r="J5028" t="s">
        <v>169</v>
      </c>
      <c r="K5028">
        <v>1777.86</v>
      </c>
      <c r="L5028">
        <v>361.24</v>
      </c>
      <c r="M5028">
        <v>13641</v>
      </c>
      <c r="N5028" t="s">
        <v>871</v>
      </c>
      <c r="O5028">
        <v>250123</v>
      </c>
      <c r="P5028">
        <v>1416.62</v>
      </c>
    </row>
    <row r="5029" spans="1:16" x14ac:dyDescent="0.25">
      <c r="A5029" t="s">
        <v>3296</v>
      </c>
      <c r="B5029" t="s">
        <v>2931</v>
      </c>
      <c r="C5029">
        <v>2309</v>
      </c>
      <c r="D5029" t="str">
        <f>"54372       "</f>
        <v xml:space="preserve">54372       </v>
      </c>
      <c r="E5029" t="s">
        <v>2886</v>
      </c>
      <c r="F5029" t="s">
        <v>2887</v>
      </c>
      <c r="G5029">
        <v>3593.05</v>
      </c>
      <c r="H5029">
        <v>250301</v>
      </c>
      <c r="I5029">
        <v>4820</v>
      </c>
      <c r="J5029" t="s">
        <v>169</v>
      </c>
      <c r="K5029">
        <v>3593.05</v>
      </c>
      <c r="L5029">
        <v>730.06</v>
      </c>
      <c r="M5029">
        <v>17956</v>
      </c>
      <c r="N5029" t="s">
        <v>170</v>
      </c>
      <c r="O5029">
        <v>250224</v>
      </c>
      <c r="P5029">
        <v>2862.99</v>
      </c>
    </row>
    <row r="5030" spans="1:16" x14ac:dyDescent="0.25">
      <c r="A5030" t="s">
        <v>3296</v>
      </c>
      <c r="B5030" t="s">
        <v>2931</v>
      </c>
      <c r="C5030">
        <v>2325</v>
      </c>
      <c r="D5030" t="str">
        <f>"54373       "</f>
        <v xml:space="preserve">54373       </v>
      </c>
      <c r="E5030" t="s">
        <v>2886</v>
      </c>
      <c r="F5030" t="s">
        <v>2887</v>
      </c>
      <c r="G5030">
        <v>1793.42</v>
      </c>
      <c r="H5030">
        <v>250301</v>
      </c>
      <c r="I5030">
        <v>4820</v>
      </c>
      <c r="J5030" t="s">
        <v>169</v>
      </c>
      <c r="K5030">
        <v>1793.42</v>
      </c>
      <c r="L5030">
        <v>364.4</v>
      </c>
      <c r="M5030">
        <v>13641</v>
      </c>
      <c r="N5030" t="s">
        <v>871</v>
      </c>
      <c r="O5030">
        <v>250224</v>
      </c>
      <c r="P5030">
        <v>1429.02</v>
      </c>
    </row>
    <row r="5031" spans="1:16" x14ac:dyDescent="0.25">
      <c r="A5031" t="s">
        <v>3296</v>
      </c>
      <c r="B5031" t="s">
        <v>2931</v>
      </c>
      <c r="C5031">
        <v>4057</v>
      </c>
      <c r="D5031" t="str">
        <f>"54381       "</f>
        <v xml:space="preserve">54381       </v>
      </c>
      <c r="E5031" t="s">
        <v>2886</v>
      </c>
      <c r="F5031" t="s">
        <v>2887</v>
      </c>
      <c r="G5031">
        <v>3593.05</v>
      </c>
      <c r="H5031">
        <v>250401</v>
      </c>
      <c r="I5031">
        <v>4820</v>
      </c>
      <c r="J5031" t="s">
        <v>169</v>
      </c>
      <c r="K5031">
        <v>3593.05</v>
      </c>
      <c r="L5031">
        <v>730.06</v>
      </c>
      <c r="M5031">
        <v>17956</v>
      </c>
      <c r="N5031" t="s">
        <v>170</v>
      </c>
      <c r="O5031">
        <v>250407</v>
      </c>
      <c r="P5031">
        <v>2862.99</v>
      </c>
    </row>
    <row r="5032" spans="1:16" x14ac:dyDescent="0.25">
      <c r="A5032" t="s">
        <v>3296</v>
      </c>
      <c r="B5032" t="s">
        <v>2931</v>
      </c>
      <c r="C5032">
        <v>4078</v>
      </c>
      <c r="D5032" t="str">
        <f>"54382       "</f>
        <v xml:space="preserve">54382       </v>
      </c>
      <c r="E5032" t="s">
        <v>2886</v>
      </c>
      <c r="F5032" t="s">
        <v>2887</v>
      </c>
      <c r="G5032">
        <v>1793.42</v>
      </c>
      <c r="H5032">
        <v>250401</v>
      </c>
      <c r="I5032">
        <v>4820</v>
      </c>
      <c r="J5032" t="s">
        <v>169</v>
      </c>
      <c r="K5032">
        <v>1793.42</v>
      </c>
      <c r="L5032">
        <v>364.4</v>
      </c>
      <c r="M5032">
        <v>13641</v>
      </c>
      <c r="N5032" t="s">
        <v>871</v>
      </c>
      <c r="O5032">
        <v>250407</v>
      </c>
      <c r="P5032">
        <v>1429.02</v>
      </c>
    </row>
    <row r="5033" spans="1:16" x14ac:dyDescent="0.25">
      <c r="A5033" t="s">
        <v>3296</v>
      </c>
      <c r="B5033" t="s">
        <v>2931</v>
      </c>
      <c r="C5033">
        <v>5574</v>
      </c>
      <c r="D5033" t="str">
        <f>"54393       "</f>
        <v xml:space="preserve">54393       </v>
      </c>
      <c r="E5033" t="s">
        <v>2886</v>
      </c>
      <c r="F5033" t="s">
        <v>2887</v>
      </c>
      <c r="G5033">
        <v>1793.42</v>
      </c>
      <c r="H5033">
        <v>250416</v>
      </c>
      <c r="I5033">
        <v>4820</v>
      </c>
      <c r="J5033" t="s">
        <v>169</v>
      </c>
      <c r="K5033">
        <v>1793.42</v>
      </c>
      <c r="L5033">
        <v>364.4</v>
      </c>
      <c r="M5033">
        <v>13641</v>
      </c>
      <c r="N5033" t="s">
        <v>871</v>
      </c>
      <c r="O5033">
        <v>250425</v>
      </c>
      <c r="P5033">
        <v>1429.02</v>
      </c>
    </row>
    <row r="5034" spans="1:16" x14ac:dyDescent="0.25">
      <c r="A5034" t="s">
        <v>3296</v>
      </c>
      <c r="B5034" t="s">
        <v>2931</v>
      </c>
      <c r="C5034">
        <v>5618</v>
      </c>
      <c r="D5034" t="str">
        <f>"54392       "</f>
        <v xml:space="preserve">54392       </v>
      </c>
      <c r="E5034" t="s">
        <v>2886</v>
      </c>
      <c r="F5034" t="s">
        <v>2887</v>
      </c>
      <c r="G5034">
        <v>3593.05</v>
      </c>
      <c r="H5034">
        <v>250501</v>
      </c>
      <c r="I5034">
        <v>4820</v>
      </c>
      <c r="J5034" t="s">
        <v>169</v>
      </c>
      <c r="K5034">
        <v>3593.05</v>
      </c>
      <c r="L5034">
        <v>730.06</v>
      </c>
      <c r="M5034">
        <v>17956</v>
      </c>
      <c r="N5034" t="s">
        <v>170</v>
      </c>
      <c r="O5034">
        <v>250425</v>
      </c>
      <c r="P5034">
        <v>2862.99</v>
      </c>
    </row>
    <row r="5035" spans="1:16" x14ac:dyDescent="0.25">
      <c r="A5035" t="s">
        <v>3296</v>
      </c>
      <c r="B5035" t="s">
        <v>2931</v>
      </c>
      <c r="C5035">
        <v>7370</v>
      </c>
      <c r="D5035" t="str">
        <f>"54402       "</f>
        <v xml:space="preserve">54402       </v>
      </c>
      <c r="E5035" t="s">
        <v>2886</v>
      </c>
      <c r="F5035" t="s">
        <v>2887</v>
      </c>
      <c r="G5035">
        <v>3593.05</v>
      </c>
      <c r="H5035">
        <v>250601</v>
      </c>
      <c r="I5035">
        <v>4820</v>
      </c>
      <c r="J5035" t="s">
        <v>169</v>
      </c>
      <c r="K5035">
        <v>3593.05</v>
      </c>
      <c r="L5035">
        <v>730.06</v>
      </c>
      <c r="M5035">
        <v>17956</v>
      </c>
      <c r="N5035" t="s">
        <v>170</v>
      </c>
      <c r="O5035">
        <v>250603</v>
      </c>
      <c r="P5035">
        <v>2862.99</v>
      </c>
    </row>
    <row r="5036" spans="1:16" x14ac:dyDescent="0.25">
      <c r="A5036" t="s">
        <v>3296</v>
      </c>
      <c r="B5036" t="s">
        <v>2931</v>
      </c>
      <c r="C5036">
        <v>7388</v>
      </c>
      <c r="D5036" t="str">
        <f>"54403       "</f>
        <v xml:space="preserve">54403       </v>
      </c>
      <c r="E5036" t="s">
        <v>2886</v>
      </c>
      <c r="F5036" t="s">
        <v>2887</v>
      </c>
      <c r="G5036">
        <v>1793.42</v>
      </c>
      <c r="H5036">
        <v>250601</v>
      </c>
      <c r="I5036">
        <v>4820</v>
      </c>
      <c r="J5036" t="s">
        <v>169</v>
      </c>
      <c r="K5036">
        <v>1793.42</v>
      </c>
      <c r="L5036">
        <v>364.4</v>
      </c>
      <c r="M5036">
        <v>13641</v>
      </c>
      <c r="N5036" t="s">
        <v>871</v>
      </c>
      <c r="O5036">
        <v>250603</v>
      </c>
      <c r="P5036">
        <v>1429.02</v>
      </c>
    </row>
    <row r="5037" spans="1:16" x14ac:dyDescent="0.25">
      <c r="A5037" t="s">
        <v>3296</v>
      </c>
      <c r="B5037" t="s">
        <v>2931</v>
      </c>
      <c r="C5037">
        <v>8950</v>
      </c>
      <c r="D5037" t="str">
        <f>"54414       "</f>
        <v xml:space="preserve">54414       </v>
      </c>
      <c r="E5037" t="s">
        <v>2886</v>
      </c>
      <c r="F5037" t="s">
        <v>2887</v>
      </c>
      <c r="G5037">
        <v>1793.42</v>
      </c>
      <c r="H5037">
        <v>250701</v>
      </c>
      <c r="I5037">
        <v>4820</v>
      </c>
      <c r="J5037" t="s">
        <v>169</v>
      </c>
      <c r="K5037">
        <v>1793.42</v>
      </c>
      <c r="L5037">
        <v>364.4</v>
      </c>
      <c r="M5037">
        <v>13641</v>
      </c>
      <c r="N5037" t="s">
        <v>871</v>
      </c>
      <c r="O5037">
        <v>250619</v>
      </c>
      <c r="P5037">
        <v>1429.02</v>
      </c>
    </row>
    <row r="5038" spans="1:16" x14ac:dyDescent="0.25">
      <c r="A5038" t="s">
        <v>3296</v>
      </c>
      <c r="B5038" t="s">
        <v>2931</v>
      </c>
      <c r="C5038">
        <v>9143</v>
      </c>
      <c r="D5038" t="str">
        <f>"52891       "</f>
        <v xml:space="preserve">52891       </v>
      </c>
      <c r="E5038" t="s">
        <v>2886</v>
      </c>
      <c r="F5038" t="s">
        <v>2887</v>
      </c>
      <c r="G5038">
        <v>2471.25</v>
      </c>
      <c r="H5038">
        <v>250618</v>
      </c>
      <c r="I5038">
        <v>4820</v>
      </c>
      <c r="J5038" t="s">
        <v>169</v>
      </c>
      <c r="K5038">
        <v>5753.96</v>
      </c>
      <c r="L5038">
        <v>224.66</v>
      </c>
      <c r="M5038">
        <v>13541</v>
      </c>
      <c r="N5038" t="s">
        <v>2922</v>
      </c>
      <c r="O5038">
        <v>250627</v>
      </c>
      <c r="P5038">
        <v>2246.59</v>
      </c>
    </row>
    <row r="5039" spans="1:16" x14ac:dyDescent="0.25">
      <c r="A5039" t="s">
        <v>3296</v>
      </c>
      <c r="B5039" t="s">
        <v>2931</v>
      </c>
      <c r="C5039">
        <v>9143</v>
      </c>
      <c r="D5039" t="str">
        <f>"52891       "</f>
        <v xml:space="preserve">52891       </v>
      </c>
      <c r="E5039" t="s">
        <v>2886</v>
      </c>
      <c r="F5039" t="s">
        <v>2887</v>
      </c>
      <c r="G5039">
        <v>2801</v>
      </c>
      <c r="H5039">
        <v>250618</v>
      </c>
      <c r="I5039">
        <v>4820</v>
      </c>
      <c r="J5039" t="s">
        <v>169</v>
      </c>
      <c r="K5039">
        <v>5753.96</v>
      </c>
      <c r="L5039">
        <v>343.98</v>
      </c>
      <c r="M5039">
        <v>13541</v>
      </c>
      <c r="N5039" t="s">
        <v>2922</v>
      </c>
      <c r="O5039">
        <v>250627</v>
      </c>
      <c r="P5039">
        <v>2457.02</v>
      </c>
    </row>
    <row r="5040" spans="1:16" x14ac:dyDescent="0.25">
      <c r="A5040" t="s">
        <v>3296</v>
      </c>
      <c r="B5040" t="s">
        <v>2931</v>
      </c>
      <c r="C5040">
        <v>9181</v>
      </c>
      <c r="D5040" t="str">
        <f>"54413       "</f>
        <v xml:space="preserve">54413       </v>
      </c>
      <c r="E5040" t="s">
        <v>2886</v>
      </c>
      <c r="F5040" t="s">
        <v>2887</v>
      </c>
      <c r="G5040">
        <v>3593.05</v>
      </c>
      <c r="H5040">
        <v>250701</v>
      </c>
      <c r="I5040">
        <v>4820</v>
      </c>
      <c r="J5040" t="s">
        <v>169</v>
      </c>
      <c r="K5040">
        <v>3593.05</v>
      </c>
      <c r="L5040">
        <v>730.06</v>
      </c>
      <c r="M5040">
        <v>17956</v>
      </c>
      <c r="N5040" t="s">
        <v>170</v>
      </c>
      <c r="O5040">
        <v>250627</v>
      </c>
      <c r="P5040">
        <v>2862.99</v>
      </c>
    </row>
    <row r="5041" spans="1:16" x14ac:dyDescent="0.25">
      <c r="A5041" t="s">
        <v>3296</v>
      </c>
      <c r="B5041" t="s">
        <v>2931</v>
      </c>
      <c r="C5041">
        <v>9809</v>
      </c>
      <c r="D5041" t="str">
        <f>"54424       "</f>
        <v xml:space="preserve">54424       </v>
      </c>
      <c r="E5041" t="s">
        <v>2886</v>
      </c>
      <c r="F5041" t="s">
        <v>2887</v>
      </c>
      <c r="G5041">
        <v>3593.05</v>
      </c>
      <c r="H5041">
        <v>250801</v>
      </c>
      <c r="I5041">
        <v>4820</v>
      </c>
      <c r="J5041" t="s">
        <v>169</v>
      </c>
      <c r="K5041">
        <v>3593.05</v>
      </c>
      <c r="L5041">
        <v>730.06</v>
      </c>
      <c r="M5041">
        <v>17956</v>
      </c>
      <c r="N5041" t="s">
        <v>170</v>
      </c>
      <c r="O5041">
        <v>250729</v>
      </c>
      <c r="P5041">
        <v>2862.99</v>
      </c>
    </row>
    <row r="5042" spans="1:16" x14ac:dyDescent="0.25">
      <c r="A5042" t="s">
        <v>3296</v>
      </c>
      <c r="B5042" t="s">
        <v>2931</v>
      </c>
      <c r="C5042">
        <v>9810</v>
      </c>
      <c r="D5042" t="str">
        <f>"54425       "</f>
        <v xml:space="preserve">54425       </v>
      </c>
      <c r="E5042" t="s">
        <v>2886</v>
      </c>
      <c r="F5042" t="s">
        <v>2887</v>
      </c>
      <c r="G5042">
        <v>1793.42</v>
      </c>
      <c r="H5042">
        <v>250801</v>
      </c>
      <c r="I5042">
        <v>4820</v>
      </c>
      <c r="J5042" t="s">
        <v>169</v>
      </c>
      <c r="K5042">
        <v>1793.42</v>
      </c>
      <c r="L5042">
        <v>364.4</v>
      </c>
      <c r="M5042">
        <v>13641</v>
      </c>
      <c r="N5042" t="s">
        <v>871</v>
      </c>
      <c r="O5042">
        <v>250729</v>
      </c>
      <c r="P5042">
        <v>1429.02</v>
      </c>
    </row>
    <row r="5043" spans="1:16" x14ac:dyDescent="0.25">
      <c r="A5043" t="s">
        <v>3296</v>
      </c>
      <c r="B5043" t="s">
        <v>2931</v>
      </c>
      <c r="C5043">
        <v>10573</v>
      </c>
      <c r="D5043" t="str">
        <f>"54439       "</f>
        <v xml:space="preserve">54439       </v>
      </c>
      <c r="E5043" t="s">
        <v>2886</v>
      </c>
      <c r="F5043" t="s">
        <v>2887</v>
      </c>
      <c r="G5043">
        <v>1793.42</v>
      </c>
      <c r="H5043">
        <v>250901</v>
      </c>
      <c r="I5043">
        <v>4820</v>
      </c>
      <c r="J5043" t="s">
        <v>169</v>
      </c>
      <c r="K5043">
        <v>1793.42</v>
      </c>
      <c r="L5043">
        <v>364.4</v>
      </c>
      <c r="M5043">
        <v>13641</v>
      </c>
      <c r="N5043" t="s">
        <v>871</v>
      </c>
      <c r="O5043">
        <v>250820</v>
      </c>
      <c r="P5043">
        <v>1429.02</v>
      </c>
    </row>
    <row r="5044" spans="1:16" x14ac:dyDescent="0.25">
      <c r="A5044" t="s">
        <v>3296</v>
      </c>
      <c r="B5044" t="s">
        <v>2931</v>
      </c>
      <c r="C5044">
        <v>10785</v>
      </c>
      <c r="D5044" t="str">
        <f>"54438       "</f>
        <v xml:space="preserve">54438       </v>
      </c>
      <c r="E5044" t="s">
        <v>2886</v>
      </c>
      <c r="F5044" t="s">
        <v>2887</v>
      </c>
      <c r="G5044">
        <v>3593.05</v>
      </c>
      <c r="H5044">
        <v>250901</v>
      </c>
      <c r="I5044">
        <v>4820</v>
      </c>
      <c r="J5044" t="s">
        <v>169</v>
      </c>
      <c r="K5044">
        <v>3593.05</v>
      </c>
      <c r="L5044">
        <v>730.06</v>
      </c>
      <c r="M5044">
        <v>17956</v>
      </c>
      <c r="N5044" t="s">
        <v>170</v>
      </c>
      <c r="O5044">
        <v>250822</v>
      </c>
      <c r="P5044">
        <v>2862.99</v>
      </c>
    </row>
    <row r="5045" spans="1:16" x14ac:dyDescent="0.25">
      <c r="A5045" t="s">
        <v>3296</v>
      </c>
      <c r="B5045" t="s">
        <v>2931</v>
      </c>
      <c r="C5045">
        <v>12338</v>
      </c>
      <c r="D5045" t="str">
        <f>"54449       "</f>
        <v xml:space="preserve">54449       </v>
      </c>
      <c r="E5045" t="s">
        <v>2886</v>
      </c>
      <c r="F5045" t="s">
        <v>2887</v>
      </c>
      <c r="G5045">
        <v>1793.42</v>
      </c>
      <c r="H5045">
        <v>251001</v>
      </c>
      <c r="I5045">
        <v>4820</v>
      </c>
      <c r="J5045" t="s">
        <v>169</v>
      </c>
      <c r="K5045">
        <v>1793.42</v>
      </c>
      <c r="L5045">
        <v>364.4</v>
      </c>
      <c r="M5045">
        <v>13641</v>
      </c>
      <c r="N5045" t="s">
        <v>871</v>
      </c>
      <c r="O5045">
        <v>250919</v>
      </c>
      <c r="P5045">
        <v>1429.02</v>
      </c>
    </row>
    <row r="5046" spans="1:16" x14ac:dyDescent="0.25">
      <c r="A5046" t="s">
        <v>3296</v>
      </c>
      <c r="B5046" t="s">
        <v>2931</v>
      </c>
      <c r="C5046">
        <v>12351</v>
      </c>
      <c r="D5046" t="str">
        <f>"54448       "</f>
        <v xml:space="preserve">54448       </v>
      </c>
      <c r="E5046" t="s">
        <v>2886</v>
      </c>
      <c r="F5046" t="s">
        <v>2887</v>
      </c>
      <c r="G5046">
        <v>3593.05</v>
      </c>
      <c r="H5046">
        <v>251001</v>
      </c>
      <c r="I5046">
        <v>4820</v>
      </c>
      <c r="J5046" t="s">
        <v>169</v>
      </c>
      <c r="K5046">
        <v>3593.05</v>
      </c>
      <c r="L5046">
        <v>730.06</v>
      </c>
      <c r="M5046">
        <v>17956</v>
      </c>
      <c r="N5046" t="s">
        <v>170</v>
      </c>
      <c r="O5046">
        <v>250919</v>
      </c>
      <c r="P5046">
        <v>2862.99</v>
      </c>
    </row>
    <row r="5047" spans="1:16" x14ac:dyDescent="0.25">
      <c r="A5047" t="s">
        <v>3296</v>
      </c>
      <c r="B5047" t="s">
        <v>2931</v>
      </c>
      <c r="C5047">
        <v>13848</v>
      </c>
      <c r="D5047" t="str">
        <f>"54459       "</f>
        <v xml:space="preserve">54459       </v>
      </c>
      <c r="E5047" t="s">
        <v>2886</v>
      </c>
      <c r="F5047" t="s">
        <v>2887</v>
      </c>
      <c r="G5047">
        <v>1793.42</v>
      </c>
      <c r="H5047">
        <v>251101</v>
      </c>
      <c r="I5047">
        <v>4820</v>
      </c>
      <c r="J5047" t="s">
        <v>169</v>
      </c>
      <c r="K5047">
        <v>1793.42</v>
      </c>
      <c r="L5047">
        <v>364.4</v>
      </c>
      <c r="M5047">
        <v>13641</v>
      </c>
      <c r="N5047" t="s">
        <v>871</v>
      </c>
      <c r="O5047">
        <v>251020</v>
      </c>
      <c r="P5047">
        <v>1429.02</v>
      </c>
    </row>
    <row r="5048" spans="1:16" x14ac:dyDescent="0.25">
      <c r="A5048" t="s">
        <v>3296</v>
      </c>
      <c r="B5048" t="s">
        <v>2931</v>
      </c>
      <c r="C5048">
        <v>14142</v>
      </c>
      <c r="D5048" t="str">
        <f>"54458       "</f>
        <v xml:space="preserve">54458       </v>
      </c>
      <c r="E5048" t="s">
        <v>2886</v>
      </c>
      <c r="F5048" t="s">
        <v>2887</v>
      </c>
      <c r="G5048">
        <v>3593.05</v>
      </c>
      <c r="H5048">
        <v>251101</v>
      </c>
      <c r="I5048">
        <v>4820</v>
      </c>
      <c r="J5048" t="s">
        <v>169</v>
      </c>
      <c r="K5048">
        <v>3593.05</v>
      </c>
      <c r="L5048">
        <v>730.06</v>
      </c>
      <c r="M5048">
        <v>17956</v>
      </c>
      <c r="N5048" t="s">
        <v>170</v>
      </c>
      <c r="O5048">
        <v>251024</v>
      </c>
      <c r="P5048">
        <v>2862.99</v>
      </c>
    </row>
    <row r="5049" spans="1:16" x14ac:dyDescent="0.25">
      <c r="A5049" t="s">
        <v>3296</v>
      </c>
      <c r="B5049" t="s">
        <v>2931</v>
      </c>
      <c r="C5049">
        <v>15610</v>
      </c>
      <c r="D5049" t="str">
        <f>"54467       "</f>
        <v xml:space="preserve">54467       </v>
      </c>
      <c r="E5049" t="s">
        <v>2886</v>
      </c>
      <c r="F5049" t="s">
        <v>2887</v>
      </c>
      <c r="G5049">
        <v>3593.05</v>
      </c>
      <c r="H5049">
        <v>251201</v>
      </c>
      <c r="I5049">
        <v>4820</v>
      </c>
      <c r="J5049" t="s">
        <v>169</v>
      </c>
      <c r="K5049">
        <v>3593.05</v>
      </c>
      <c r="L5049">
        <v>730.06</v>
      </c>
      <c r="M5049">
        <v>17956</v>
      </c>
      <c r="N5049" t="s">
        <v>170</v>
      </c>
      <c r="O5049">
        <v>251121</v>
      </c>
      <c r="P5049">
        <v>2862.99</v>
      </c>
    </row>
    <row r="5050" spans="1:16" x14ac:dyDescent="0.25">
      <c r="A5050" t="s">
        <v>3296</v>
      </c>
      <c r="B5050" t="s">
        <v>2931</v>
      </c>
      <c r="C5050">
        <v>15637</v>
      </c>
      <c r="D5050" t="str">
        <f>"54468       "</f>
        <v xml:space="preserve">54468       </v>
      </c>
      <c r="E5050" t="s">
        <v>2886</v>
      </c>
      <c r="F5050" t="s">
        <v>2887</v>
      </c>
      <c r="G5050">
        <v>1793.42</v>
      </c>
      <c r="H5050">
        <v>251201</v>
      </c>
      <c r="I5050">
        <v>4820</v>
      </c>
      <c r="J5050" t="s">
        <v>169</v>
      </c>
      <c r="K5050">
        <v>1793.42</v>
      </c>
      <c r="L5050">
        <v>364.4</v>
      </c>
      <c r="M5050">
        <v>13641</v>
      </c>
      <c r="N5050" t="s">
        <v>871</v>
      </c>
      <c r="O5050">
        <v>251124</v>
      </c>
      <c r="P5050">
        <v>1429.02</v>
      </c>
    </row>
    <row r="5051" spans="1:16" x14ac:dyDescent="0.25">
      <c r="A5051" t="s">
        <v>3296</v>
      </c>
      <c r="B5051" t="s">
        <v>2931</v>
      </c>
      <c r="C5051">
        <v>771</v>
      </c>
      <c r="D5051" t="str">
        <f>"250103      "</f>
        <v xml:space="preserve">250103      </v>
      </c>
      <c r="E5051" t="s">
        <v>727</v>
      </c>
      <c r="F5051" t="s">
        <v>728</v>
      </c>
      <c r="G5051">
        <v>30</v>
      </c>
      <c r="H5051">
        <v>250122</v>
      </c>
      <c r="I5051">
        <v>4510</v>
      </c>
      <c r="J5051" t="s">
        <v>240</v>
      </c>
      <c r="K5051">
        <v>30</v>
      </c>
      <c r="L5051">
        <v>3.68</v>
      </c>
      <c r="M5051">
        <v>17532</v>
      </c>
      <c r="N5051" t="s">
        <v>146</v>
      </c>
      <c r="O5051">
        <v>250129</v>
      </c>
      <c r="P5051">
        <v>26.32</v>
      </c>
    </row>
    <row r="5052" spans="1:16" x14ac:dyDescent="0.25">
      <c r="A5052" t="s">
        <v>3296</v>
      </c>
      <c r="B5052" t="s">
        <v>2931</v>
      </c>
      <c r="C5052">
        <v>6690</v>
      </c>
      <c r="D5052" t="str">
        <f>"250503      "</f>
        <v xml:space="preserve">250503      </v>
      </c>
      <c r="E5052" t="s">
        <v>727</v>
      </c>
      <c r="F5052" t="s">
        <v>728</v>
      </c>
      <c r="G5052">
        <v>23</v>
      </c>
      <c r="H5052">
        <v>250509</v>
      </c>
      <c r="I5052">
        <v>4510</v>
      </c>
      <c r="J5052" t="s">
        <v>240</v>
      </c>
      <c r="K5052">
        <v>23</v>
      </c>
      <c r="L5052">
        <v>2.82</v>
      </c>
      <c r="M5052">
        <v>17532</v>
      </c>
      <c r="N5052" t="s">
        <v>146</v>
      </c>
      <c r="O5052">
        <v>250515</v>
      </c>
      <c r="P5052">
        <v>20.18</v>
      </c>
    </row>
    <row r="5053" spans="1:16" x14ac:dyDescent="0.25">
      <c r="A5053" t="s">
        <v>3296</v>
      </c>
      <c r="B5053" t="s">
        <v>2931</v>
      </c>
      <c r="C5053">
        <v>17901</v>
      </c>
      <c r="D5053" t="str">
        <f>"2503        "</f>
        <v xml:space="preserve">2503        </v>
      </c>
      <c r="E5053" t="s">
        <v>3199</v>
      </c>
      <c r="F5053" t="s">
        <v>3200</v>
      </c>
      <c r="G5053">
        <v>150</v>
      </c>
      <c r="H5053">
        <v>251223</v>
      </c>
      <c r="I5053">
        <v>4440</v>
      </c>
      <c r="J5053" t="s">
        <v>346</v>
      </c>
      <c r="K5053">
        <v>150</v>
      </c>
      <c r="L5053">
        <v>0</v>
      </c>
      <c r="M5053">
        <v>13501</v>
      </c>
      <c r="N5053" t="s">
        <v>66</v>
      </c>
      <c r="O5053">
        <v>260107</v>
      </c>
      <c r="P5053">
        <v>150</v>
      </c>
    </row>
    <row r="5054" spans="1:16" x14ac:dyDescent="0.25">
      <c r="A5054" t="s">
        <v>3296</v>
      </c>
      <c r="B5054" t="s">
        <v>2931</v>
      </c>
      <c r="C5054">
        <v>9152</v>
      </c>
      <c r="D5054" t="str">
        <f>"73          "</f>
        <v xml:space="preserve">73          </v>
      </c>
      <c r="E5054" t="s">
        <v>3118</v>
      </c>
      <c r="F5054" t="s">
        <v>3119</v>
      </c>
      <c r="G5054">
        <v>500</v>
      </c>
      <c r="H5054">
        <v>250625</v>
      </c>
      <c r="I5054">
        <v>4470</v>
      </c>
      <c r="J5054" t="s">
        <v>203</v>
      </c>
      <c r="K5054">
        <v>500</v>
      </c>
      <c r="L5054">
        <v>0</v>
      </c>
      <c r="M5054">
        <v>17972</v>
      </c>
      <c r="N5054" t="s">
        <v>28</v>
      </c>
      <c r="O5054">
        <v>250627</v>
      </c>
      <c r="P5054">
        <v>500</v>
      </c>
    </row>
    <row r="5055" spans="1:16" x14ac:dyDescent="0.25">
      <c r="A5055" t="s">
        <v>3296</v>
      </c>
      <c r="B5055" t="s">
        <v>2931</v>
      </c>
      <c r="C5055">
        <v>12014</v>
      </c>
      <c r="D5055" t="str">
        <f>"2166        "</f>
        <v xml:space="preserve">2166        </v>
      </c>
      <c r="E5055" t="s">
        <v>2309</v>
      </c>
      <c r="F5055" t="s">
        <v>2310</v>
      </c>
      <c r="G5055">
        <v>40</v>
      </c>
      <c r="H5055">
        <v>250910</v>
      </c>
      <c r="I5055">
        <v>4470</v>
      </c>
      <c r="J5055" t="s">
        <v>203</v>
      </c>
      <c r="K5055">
        <v>40</v>
      </c>
      <c r="L5055">
        <v>8.1300000000000008</v>
      </c>
      <c r="M5055">
        <v>17711</v>
      </c>
      <c r="N5055" t="s">
        <v>155</v>
      </c>
      <c r="O5055">
        <v>250915</v>
      </c>
      <c r="P5055">
        <v>31.87</v>
      </c>
    </row>
    <row r="5056" spans="1:16" x14ac:dyDescent="0.25">
      <c r="A5056" t="s">
        <v>3296</v>
      </c>
      <c r="B5056" t="s">
        <v>2931</v>
      </c>
      <c r="C5056">
        <v>644</v>
      </c>
      <c r="D5056" t="str">
        <f>"15399103138 "</f>
        <v xml:space="preserve">15399103138 </v>
      </c>
      <c r="E5056" t="s">
        <v>644</v>
      </c>
      <c r="F5056" t="s">
        <v>645</v>
      </c>
      <c r="G5056">
        <v>273.5</v>
      </c>
      <c r="H5056">
        <v>250101</v>
      </c>
      <c r="I5056">
        <v>4380</v>
      </c>
      <c r="J5056" t="s">
        <v>211</v>
      </c>
      <c r="K5056">
        <v>3741.69</v>
      </c>
      <c r="L5056">
        <v>55.57</v>
      </c>
      <c r="M5056">
        <v>13540</v>
      </c>
      <c r="N5056" t="s">
        <v>131</v>
      </c>
      <c r="O5056">
        <v>250127</v>
      </c>
      <c r="P5056">
        <v>217.93</v>
      </c>
    </row>
    <row r="5057" spans="1:16" x14ac:dyDescent="0.25">
      <c r="A5057" t="s">
        <v>3296</v>
      </c>
      <c r="B5057" t="s">
        <v>2931</v>
      </c>
      <c r="C5057">
        <v>644</v>
      </c>
      <c r="D5057" t="str">
        <f>"15399103138 "</f>
        <v xml:space="preserve">15399103138 </v>
      </c>
      <c r="E5057" t="s">
        <v>644</v>
      </c>
      <c r="F5057" t="s">
        <v>645</v>
      </c>
      <c r="G5057">
        <v>2212.83</v>
      </c>
      <c r="H5057">
        <v>250101</v>
      </c>
      <c r="I5057">
        <v>4380</v>
      </c>
      <c r="J5057" t="s">
        <v>211</v>
      </c>
      <c r="K5057">
        <v>3741.69</v>
      </c>
      <c r="L5057">
        <v>449.62</v>
      </c>
      <c r="M5057">
        <v>17950</v>
      </c>
      <c r="N5057" t="s">
        <v>132</v>
      </c>
      <c r="O5057">
        <v>250127</v>
      </c>
      <c r="P5057">
        <v>1763.21</v>
      </c>
    </row>
    <row r="5058" spans="1:16" x14ac:dyDescent="0.25">
      <c r="A5058" t="s">
        <v>3296</v>
      </c>
      <c r="B5058" t="s">
        <v>2931</v>
      </c>
      <c r="C5058">
        <v>2448</v>
      </c>
      <c r="D5058" t="str">
        <f>"137761009/2 "</f>
        <v xml:space="preserve">137761009/2 </v>
      </c>
      <c r="E5058" t="s">
        <v>644</v>
      </c>
      <c r="F5058" t="s">
        <v>645</v>
      </c>
      <c r="G5058">
        <v>93.2</v>
      </c>
      <c r="H5058">
        <v>250225</v>
      </c>
      <c r="I5058">
        <v>4380</v>
      </c>
      <c r="J5058" t="s">
        <v>211</v>
      </c>
      <c r="K5058">
        <v>169.46</v>
      </c>
      <c r="L5058">
        <v>18.04</v>
      </c>
      <c r="M5058">
        <v>17950</v>
      </c>
      <c r="N5058" t="s">
        <v>132</v>
      </c>
      <c r="O5058">
        <v>250227</v>
      </c>
      <c r="P5058">
        <v>75.16</v>
      </c>
    </row>
    <row r="5059" spans="1:16" x14ac:dyDescent="0.25">
      <c r="A5059" t="s">
        <v>3296</v>
      </c>
      <c r="B5059" t="s">
        <v>2931</v>
      </c>
      <c r="C5059">
        <v>4954</v>
      </c>
      <c r="D5059" t="str">
        <f>"15399105663 "</f>
        <v xml:space="preserve">15399105663 </v>
      </c>
      <c r="E5059" t="s">
        <v>644</v>
      </c>
      <c r="F5059" t="s">
        <v>645</v>
      </c>
      <c r="G5059">
        <v>157.88999999999999</v>
      </c>
      <c r="H5059">
        <v>250331</v>
      </c>
      <c r="I5059">
        <v>4380</v>
      </c>
      <c r="J5059" t="s">
        <v>211</v>
      </c>
      <c r="K5059">
        <v>287.74</v>
      </c>
      <c r="L5059">
        <v>32.08</v>
      </c>
      <c r="M5059">
        <v>17950</v>
      </c>
      <c r="N5059" t="s">
        <v>132</v>
      </c>
      <c r="O5059">
        <v>250416</v>
      </c>
      <c r="P5059">
        <v>125.81</v>
      </c>
    </row>
    <row r="5060" spans="1:16" x14ac:dyDescent="0.25">
      <c r="A5060" t="s">
        <v>3296</v>
      </c>
      <c r="B5060" t="s">
        <v>2931</v>
      </c>
      <c r="C5060">
        <v>5046</v>
      </c>
      <c r="D5060" t="str">
        <f>"15399104714 "</f>
        <v xml:space="preserve">15399104714 </v>
      </c>
      <c r="E5060" t="s">
        <v>644</v>
      </c>
      <c r="F5060" t="s">
        <v>645</v>
      </c>
      <c r="G5060">
        <v>201.78</v>
      </c>
      <c r="H5060">
        <v>250331</v>
      </c>
      <c r="I5060">
        <v>4380</v>
      </c>
      <c r="J5060" t="s">
        <v>211</v>
      </c>
      <c r="K5060">
        <v>2886.29</v>
      </c>
      <c r="L5060">
        <v>41</v>
      </c>
      <c r="M5060">
        <v>13540</v>
      </c>
      <c r="N5060" t="s">
        <v>131</v>
      </c>
      <c r="O5060">
        <v>250416</v>
      </c>
      <c r="P5060">
        <v>160.78</v>
      </c>
    </row>
    <row r="5061" spans="1:16" x14ac:dyDescent="0.25">
      <c r="A5061" t="s">
        <v>3296</v>
      </c>
      <c r="B5061" t="s">
        <v>2931</v>
      </c>
      <c r="C5061">
        <v>5046</v>
      </c>
      <c r="D5061" t="str">
        <f>"15399104714 "</f>
        <v xml:space="preserve">15399104714 </v>
      </c>
      <c r="E5061" t="s">
        <v>644</v>
      </c>
      <c r="F5061" t="s">
        <v>645</v>
      </c>
      <c r="G5061">
        <v>1632.59</v>
      </c>
      <c r="H5061">
        <v>250331</v>
      </c>
      <c r="I5061">
        <v>4380</v>
      </c>
      <c r="J5061" t="s">
        <v>211</v>
      </c>
      <c r="K5061">
        <v>2886.29</v>
      </c>
      <c r="L5061">
        <v>331.72</v>
      </c>
      <c r="M5061">
        <v>17950</v>
      </c>
      <c r="N5061" t="s">
        <v>132</v>
      </c>
      <c r="O5061">
        <v>250416</v>
      </c>
      <c r="P5061">
        <v>1300.8699999999999</v>
      </c>
    </row>
    <row r="5062" spans="1:16" x14ac:dyDescent="0.25">
      <c r="A5062" t="s">
        <v>3296</v>
      </c>
      <c r="B5062" t="s">
        <v>2931</v>
      </c>
      <c r="C5062">
        <v>5075</v>
      </c>
      <c r="D5062" t="str">
        <f>"15399104645 "</f>
        <v xml:space="preserve">15399104645 </v>
      </c>
      <c r="E5062" t="s">
        <v>644</v>
      </c>
      <c r="F5062" t="s">
        <v>645</v>
      </c>
      <c r="G5062">
        <v>367.45</v>
      </c>
      <c r="H5062">
        <v>250331</v>
      </c>
      <c r="I5062">
        <v>4380</v>
      </c>
      <c r="J5062" t="s">
        <v>211</v>
      </c>
      <c r="K5062">
        <v>612.55999999999995</v>
      </c>
      <c r="L5062">
        <v>74.66</v>
      </c>
      <c r="M5062">
        <v>17956</v>
      </c>
      <c r="N5062" t="s">
        <v>170</v>
      </c>
      <c r="O5062">
        <v>250416</v>
      </c>
      <c r="P5062">
        <v>292.79000000000002</v>
      </c>
    </row>
    <row r="5063" spans="1:16" x14ac:dyDescent="0.25">
      <c r="A5063" t="s">
        <v>3296</v>
      </c>
      <c r="B5063" t="s">
        <v>2931</v>
      </c>
      <c r="C5063">
        <v>9715</v>
      </c>
      <c r="D5063" t="str">
        <f>"15399106613 "</f>
        <v xml:space="preserve">15399106613 </v>
      </c>
      <c r="E5063" t="s">
        <v>644</v>
      </c>
      <c r="F5063" t="s">
        <v>645</v>
      </c>
      <c r="G5063">
        <v>370.5</v>
      </c>
      <c r="H5063">
        <v>250630</v>
      </c>
      <c r="I5063">
        <v>4380</v>
      </c>
      <c r="J5063" t="s">
        <v>211</v>
      </c>
      <c r="K5063">
        <v>617.27</v>
      </c>
      <c r="L5063">
        <v>75.28</v>
      </c>
      <c r="M5063">
        <v>17956</v>
      </c>
      <c r="N5063" t="s">
        <v>170</v>
      </c>
      <c r="O5063">
        <v>250725</v>
      </c>
      <c r="P5063">
        <v>295.22000000000003</v>
      </c>
    </row>
    <row r="5064" spans="1:16" x14ac:dyDescent="0.25">
      <c r="A5064" t="s">
        <v>3296</v>
      </c>
      <c r="B5064" t="s">
        <v>2931</v>
      </c>
      <c r="C5064">
        <v>9718</v>
      </c>
      <c r="D5064" t="str">
        <f>"15399106684 "</f>
        <v xml:space="preserve">15399106684 </v>
      </c>
      <c r="E5064" t="s">
        <v>644</v>
      </c>
      <c r="F5064" t="s">
        <v>645</v>
      </c>
      <c r="G5064">
        <v>204.12</v>
      </c>
      <c r="H5064">
        <v>250630</v>
      </c>
      <c r="I5064">
        <v>4380</v>
      </c>
      <c r="J5064" t="s">
        <v>211</v>
      </c>
      <c r="K5064">
        <v>2919.24</v>
      </c>
      <c r="L5064">
        <v>41.47</v>
      </c>
      <c r="M5064">
        <v>13540</v>
      </c>
      <c r="N5064" t="s">
        <v>131</v>
      </c>
      <c r="O5064">
        <v>250725</v>
      </c>
      <c r="P5064">
        <v>162.65</v>
      </c>
    </row>
    <row r="5065" spans="1:16" x14ac:dyDescent="0.25">
      <c r="A5065" t="s">
        <v>3296</v>
      </c>
      <c r="B5065" t="s">
        <v>2931</v>
      </c>
      <c r="C5065">
        <v>9718</v>
      </c>
      <c r="D5065" t="str">
        <f>"15399106684 "</f>
        <v xml:space="preserve">15399106684 </v>
      </c>
      <c r="E5065" t="s">
        <v>644</v>
      </c>
      <c r="F5065" t="s">
        <v>645</v>
      </c>
      <c r="G5065">
        <v>1651.51</v>
      </c>
      <c r="H5065">
        <v>250630</v>
      </c>
      <c r="I5065">
        <v>4380</v>
      </c>
      <c r="J5065" t="s">
        <v>211</v>
      </c>
      <c r="K5065">
        <v>2919.24</v>
      </c>
      <c r="L5065">
        <v>335.57</v>
      </c>
      <c r="M5065">
        <v>17950</v>
      </c>
      <c r="N5065" t="s">
        <v>132</v>
      </c>
      <c r="O5065">
        <v>250725</v>
      </c>
      <c r="P5065">
        <v>1315.94</v>
      </c>
    </row>
    <row r="5066" spans="1:16" x14ac:dyDescent="0.25">
      <c r="A5066" t="s">
        <v>3296</v>
      </c>
      <c r="B5066" t="s">
        <v>2931</v>
      </c>
      <c r="C5066">
        <v>9719</v>
      </c>
      <c r="D5066" t="str">
        <f>"15399107630 "</f>
        <v xml:space="preserve">15399107630 </v>
      </c>
      <c r="E5066" t="s">
        <v>644</v>
      </c>
      <c r="F5066" t="s">
        <v>645</v>
      </c>
      <c r="G5066">
        <v>157.88999999999999</v>
      </c>
      <c r="H5066">
        <v>250630</v>
      </c>
      <c r="I5066">
        <v>4380</v>
      </c>
      <c r="J5066" t="s">
        <v>211</v>
      </c>
      <c r="K5066">
        <v>287.74</v>
      </c>
      <c r="L5066">
        <v>32.08</v>
      </c>
      <c r="M5066">
        <v>17950</v>
      </c>
      <c r="N5066" t="s">
        <v>132</v>
      </c>
      <c r="O5066">
        <v>250725</v>
      </c>
      <c r="P5066">
        <v>125.81</v>
      </c>
    </row>
    <row r="5067" spans="1:16" x14ac:dyDescent="0.25">
      <c r="A5067" t="s">
        <v>3296</v>
      </c>
      <c r="B5067" t="s">
        <v>2931</v>
      </c>
      <c r="C5067">
        <v>13802</v>
      </c>
      <c r="D5067" t="str">
        <f>"15399109705 "</f>
        <v xml:space="preserve">15399109705 </v>
      </c>
      <c r="E5067" t="s">
        <v>644</v>
      </c>
      <c r="F5067" t="s">
        <v>645</v>
      </c>
      <c r="G5067">
        <v>141.03</v>
      </c>
      <c r="H5067">
        <v>251001</v>
      </c>
      <c r="I5067">
        <v>4380</v>
      </c>
      <c r="J5067" t="s">
        <v>211</v>
      </c>
      <c r="K5067">
        <v>261.55</v>
      </c>
      <c r="L5067">
        <v>28.66</v>
      </c>
      <c r="M5067">
        <v>17950</v>
      </c>
      <c r="N5067" t="s">
        <v>132</v>
      </c>
      <c r="O5067">
        <v>251020</v>
      </c>
      <c r="P5067">
        <v>112.37</v>
      </c>
    </row>
    <row r="5068" spans="1:16" x14ac:dyDescent="0.25">
      <c r="A5068" t="s">
        <v>3296</v>
      </c>
      <c r="B5068" t="s">
        <v>2931</v>
      </c>
      <c r="C5068">
        <v>13830</v>
      </c>
      <c r="D5068" t="str">
        <f>"15399108761 "</f>
        <v xml:space="preserve">15399108761 </v>
      </c>
      <c r="E5068" t="s">
        <v>644</v>
      </c>
      <c r="F5068" t="s">
        <v>645</v>
      </c>
      <c r="G5068">
        <v>207.4</v>
      </c>
      <c r="H5068">
        <v>251001</v>
      </c>
      <c r="I5068">
        <v>4380</v>
      </c>
      <c r="J5068" t="s">
        <v>211</v>
      </c>
      <c r="K5068">
        <v>2972.46</v>
      </c>
      <c r="L5068">
        <v>42.14</v>
      </c>
      <c r="M5068">
        <v>13540</v>
      </c>
      <c r="N5068" t="s">
        <v>131</v>
      </c>
      <c r="O5068">
        <v>251020</v>
      </c>
      <c r="P5068">
        <v>165.26</v>
      </c>
    </row>
    <row r="5069" spans="1:16" x14ac:dyDescent="0.25">
      <c r="A5069" t="s">
        <v>3296</v>
      </c>
      <c r="B5069" t="s">
        <v>2931</v>
      </c>
      <c r="C5069">
        <v>13830</v>
      </c>
      <c r="D5069" t="str">
        <f>"15399108761 "</f>
        <v xml:space="preserve">15399108761 </v>
      </c>
      <c r="E5069" t="s">
        <v>644</v>
      </c>
      <c r="F5069" t="s">
        <v>645</v>
      </c>
      <c r="G5069">
        <v>1678.04</v>
      </c>
      <c r="H5069">
        <v>251001</v>
      </c>
      <c r="I5069">
        <v>4380</v>
      </c>
      <c r="J5069" t="s">
        <v>211</v>
      </c>
      <c r="K5069">
        <v>2972.46</v>
      </c>
      <c r="L5069">
        <v>340.96</v>
      </c>
      <c r="M5069">
        <v>17950</v>
      </c>
      <c r="N5069" t="s">
        <v>132</v>
      </c>
      <c r="O5069">
        <v>251020</v>
      </c>
      <c r="P5069">
        <v>1337.08</v>
      </c>
    </row>
    <row r="5070" spans="1:16" x14ac:dyDescent="0.25">
      <c r="A5070" t="s">
        <v>3296</v>
      </c>
      <c r="B5070" t="s">
        <v>2931</v>
      </c>
      <c r="C5070">
        <v>13851</v>
      </c>
      <c r="D5070" t="str">
        <f>"15399108697 "</f>
        <v xml:space="preserve">15399108697 </v>
      </c>
      <c r="E5070" t="s">
        <v>644</v>
      </c>
      <c r="F5070" t="s">
        <v>645</v>
      </c>
      <c r="G5070">
        <v>108.14</v>
      </c>
      <c r="H5070">
        <v>251001</v>
      </c>
      <c r="I5070">
        <v>4380</v>
      </c>
      <c r="J5070" t="s">
        <v>211</v>
      </c>
      <c r="K5070">
        <v>225.44</v>
      </c>
      <c r="L5070">
        <v>21.97</v>
      </c>
      <c r="M5070">
        <v>17956</v>
      </c>
      <c r="N5070" t="s">
        <v>170</v>
      </c>
      <c r="O5070">
        <v>251020</v>
      </c>
      <c r="P5070">
        <v>86.17</v>
      </c>
    </row>
    <row r="5071" spans="1:16" x14ac:dyDescent="0.25">
      <c r="A5071" t="s">
        <v>3296</v>
      </c>
      <c r="B5071" t="s">
        <v>2931</v>
      </c>
      <c r="C5071">
        <v>13851</v>
      </c>
      <c r="D5071" t="str">
        <f>"15399108697 "</f>
        <v xml:space="preserve">15399108697 </v>
      </c>
      <c r="E5071" t="s">
        <v>644</v>
      </c>
      <c r="F5071" t="s">
        <v>645</v>
      </c>
      <c r="G5071">
        <v>117.3</v>
      </c>
      <c r="H5071">
        <v>251001</v>
      </c>
      <c r="I5071">
        <v>4380</v>
      </c>
      <c r="J5071" t="s">
        <v>211</v>
      </c>
      <c r="K5071">
        <v>225.44</v>
      </c>
      <c r="L5071">
        <v>23.83</v>
      </c>
      <c r="M5071">
        <v>17956</v>
      </c>
      <c r="N5071" t="s">
        <v>170</v>
      </c>
      <c r="O5071">
        <v>251020</v>
      </c>
      <c r="P5071">
        <v>93.47</v>
      </c>
    </row>
    <row r="5072" spans="1:16" x14ac:dyDescent="0.25">
      <c r="A5072" t="s">
        <v>3296</v>
      </c>
      <c r="B5072" t="s">
        <v>2931</v>
      </c>
      <c r="C5072">
        <v>18363</v>
      </c>
      <c r="D5072" t="str">
        <f>"15399110723 "</f>
        <v xml:space="preserve">15399110723 </v>
      </c>
      <c r="E5072" t="s">
        <v>644</v>
      </c>
      <c r="F5072" t="s">
        <v>645</v>
      </c>
      <c r="G5072">
        <v>378.74</v>
      </c>
      <c r="H5072">
        <v>251231</v>
      </c>
      <c r="I5072">
        <v>4380</v>
      </c>
      <c r="J5072" t="s">
        <v>211</v>
      </c>
      <c r="K5072">
        <v>630.9</v>
      </c>
      <c r="L5072">
        <v>76.959999999999994</v>
      </c>
      <c r="M5072">
        <v>17956</v>
      </c>
      <c r="N5072" t="s">
        <v>170</v>
      </c>
      <c r="O5072">
        <v>260113</v>
      </c>
      <c r="P5072">
        <v>301.77999999999997</v>
      </c>
    </row>
    <row r="5073" spans="1:16" x14ac:dyDescent="0.25">
      <c r="A5073" t="s">
        <v>3296</v>
      </c>
      <c r="B5073" t="s">
        <v>2931</v>
      </c>
      <c r="C5073">
        <v>18444</v>
      </c>
      <c r="D5073" t="str">
        <f>"15399110790 "</f>
        <v xml:space="preserve">15399110790 </v>
      </c>
      <c r="E5073" t="s">
        <v>644</v>
      </c>
      <c r="F5073" t="s">
        <v>645</v>
      </c>
      <c r="G5073">
        <v>207.4</v>
      </c>
      <c r="H5073">
        <v>251231</v>
      </c>
      <c r="I5073">
        <v>4380</v>
      </c>
      <c r="J5073" t="s">
        <v>211</v>
      </c>
      <c r="K5073">
        <v>2972.46</v>
      </c>
      <c r="L5073">
        <v>42.14</v>
      </c>
      <c r="M5073">
        <v>13540</v>
      </c>
      <c r="N5073" t="s">
        <v>131</v>
      </c>
      <c r="O5073">
        <v>260113</v>
      </c>
      <c r="P5073">
        <v>165.26</v>
      </c>
    </row>
    <row r="5074" spans="1:16" x14ac:dyDescent="0.25">
      <c r="A5074" t="s">
        <v>3296</v>
      </c>
      <c r="B5074" t="s">
        <v>2931</v>
      </c>
      <c r="C5074">
        <v>18444</v>
      </c>
      <c r="D5074" t="str">
        <f>"15399110790 "</f>
        <v xml:space="preserve">15399110790 </v>
      </c>
      <c r="E5074" t="s">
        <v>644</v>
      </c>
      <c r="F5074" t="s">
        <v>645</v>
      </c>
      <c r="G5074">
        <v>1678.04</v>
      </c>
      <c r="H5074">
        <v>251231</v>
      </c>
      <c r="I5074">
        <v>4380</v>
      </c>
      <c r="J5074" t="s">
        <v>211</v>
      </c>
      <c r="K5074">
        <v>2972.46</v>
      </c>
      <c r="L5074">
        <v>340.96</v>
      </c>
      <c r="M5074">
        <v>17950</v>
      </c>
      <c r="N5074" t="s">
        <v>132</v>
      </c>
      <c r="O5074">
        <v>260113</v>
      </c>
      <c r="P5074">
        <v>1337.08</v>
      </c>
    </row>
    <row r="5075" spans="1:16" x14ac:dyDescent="0.25">
      <c r="A5075" t="s">
        <v>3296</v>
      </c>
      <c r="B5075" t="s">
        <v>2931</v>
      </c>
      <c r="C5075">
        <v>18487</v>
      </c>
      <c r="D5075" t="str">
        <f>"15399111725 "</f>
        <v xml:space="preserve">15399111725 </v>
      </c>
      <c r="E5075" t="s">
        <v>644</v>
      </c>
      <c r="F5075" t="s">
        <v>645</v>
      </c>
      <c r="G5075">
        <v>162.19</v>
      </c>
      <c r="H5075">
        <v>251231</v>
      </c>
      <c r="I5075">
        <v>4380</v>
      </c>
      <c r="J5075" t="s">
        <v>211</v>
      </c>
      <c r="K5075">
        <v>294.36</v>
      </c>
      <c r="L5075">
        <v>32.950000000000003</v>
      </c>
      <c r="M5075">
        <v>17950</v>
      </c>
      <c r="N5075" t="s">
        <v>132</v>
      </c>
      <c r="O5075">
        <v>260114</v>
      </c>
      <c r="P5075">
        <v>129.24</v>
      </c>
    </row>
    <row r="5076" spans="1:16" x14ac:dyDescent="0.25">
      <c r="A5076" t="s">
        <v>3296</v>
      </c>
      <c r="B5076" t="s">
        <v>2931</v>
      </c>
      <c r="C5076">
        <v>644</v>
      </c>
      <c r="D5076" t="str">
        <f>"15399103138 "</f>
        <v xml:space="preserve">15399103138 </v>
      </c>
      <c r="E5076" t="s">
        <v>644</v>
      </c>
      <c r="F5076" t="s">
        <v>645</v>
      </c>
      <c r="G5076">
        <v>138.09</v>
      </c>
      <c r="H5076">
        <v>250101</v>
      </c>
      <c r="I5076">
        <v>4573</v>
      </c>
      <c r="J5076" t="s">
        <v>646</v>
      </c>
      <c r="K5076">
        <v>3741.69</v>
      </c>
      <c r="L5076">
        <v>28.06</v>
      </c>
      <c r="M5076">
        <v>13540</v>
      </c>
      <c r="N5076" t="s">
        <v>131</v>
      </c>
      <c r="O5076">
        <v>250127</v>
      </c>
      <c r="P5076">
        <v>110.03</v>
      </c>
    </row>
    <row r="5077" spans="1:16" x14ac:dyDescent="0.25">
      <c r="A5077" t="s">
        <v>3296</v>
      </c>
      <c r="B5077" t="s">
        <v>2931</v>
      </c>
      <c r="C5077">
        <v>644</v>
      </c>
      <c r="D5077" t="str">
        <f>"15399103138 "</f>
        <v xml:space="preserve">15399103138 </v>
      </c>
      <c r="E5077" t="s">
        <v>644</v>
      </c>
      <c r="F5077" t="s">
        <v>645</v>
      </c>
      <c r="G5077">
        <v>1117.27</v>
      </c>
      <c r="H5077">
        <v>250101</v>
      </c>
      <c r="I5077">
        <v>4573</v>
      </c>
      <c r="J5077" t="s">
        <v>646</v>
      </c>
      <c r="K5077">
        <v>3741.69</v>
      </c>
      <c r="L5077">
        <v>227.02</v>
      </c>
      <c r="M5077">
        <v>17950</v>
      </c>
      <c r="N5077" t="s">
        <v>132</v>
      </c>
      <c r="O5077">
        <v>250127</v>
      </c>
      <c r="P5077">
        <v>890.25</v>
      </c>
    </row>
    <row r="5078" spans="1:16" x14ac:dyDescent="0.25">
      <c r="A5078" t="s">
        <v>3296</v>
      </c>
      <c r="B5078" t="s">
        <v>2931</v>
      </c>
      <c r="C5078">
        <v>2448</v>
      </c>
      <c r="D5078" t="str">
        <f>"137761009/2 "</f>
        <v xml:space="preserve">137761009/2 </v>
      </c>
      <c r="E5078" t="s">
        <v>644</v>
      </c>
      <c r="F5078" t="s">
        <v>645</v>
      </c>
      <c r="G5078">
        <v>76.260000000000005</v>
      </c>
      <c r="H5078">
        <v>250225</v>
      </c>
      <c r="I5078">
        <v>4573</v>
      </c>
      <c r="J5078" t="s">
        <v>646</v>
      </c>
      <c r="K5078">
        <v>169.46</v>
      </c>
      <c r="L5078">
        <v>14.76</v>
      </c>
      <c r="M5078">
        <v>17950</v>
      </c>
      <c r="N5078" t="s">
        <v>132</v>
      </c>
      <c r="O5078">
        <v>250227</v>
      </c>
      <c r="P5078">
        <v>61.5</v>
      </c>
    </row>
    <row r="5079" spans="1:16" x14ac:dyDescent="0.25">
      <c r="A5079" t="s">
        <v>3296</v>
      </c>
      <c r="B5079" t="s">
        <v>2931</v>
      </c>
      <c r="C5079">
        <v>4954</v>
      </c>
      <c r="D5079" t="str">
        <f>"15399105663 "</f>
        <v xml:space="preserve">15399105663 </v>
      </c>
      <c r="E5079" t="s">
        <v>644</v>
      </c>
      <c r="F5079" t="s">
        <v>645</v>
      </c>
      <c r="G5079">
        <v>129.85</v>
      </c>
      <c r="H5079">
        <v>250331</v>
      </c>
      <c r="I5079">
        <v>4573</v>
      </c>
      <c r="J5079" t="s">
        <v>646</v>
      </c>
      <c r="K5079">
        <v>287.74</v>
      </c>
      <c r="L5079">
        <v>26.38</v>
      </c>
      <c r="M5079">
        <v>17950</v>
      </c>
      <c r="N5079" t="s">
        <v>132</v>
      </c>
      <c r="O5079">
        <v>250416</v>
      </c>
      <c r="P5079">
        <v>103.47</v>
      </c>
    </row>
    <row r="5080" spans="1:16" x14ac:dyDescent="0.25">
      <c r="A5080" t="s">
        <v>3296</v>
      </c>
      <c r="B5080" t="s">
        <v>2931</v>
      </c>
      <c r="C5080">
        <v>5046</v>
      </c>
      <c r="D5080" t="str">
        <f>"15399104714 "</f>
        <v xml:space="preserve">15399104714 </v>
      </c>
      <c r="E5080" t="s">
        <v>644</v>
      </c>
      <c r="F5080" t="s">
        <v>645</v>
      </c>
      <c r="G5080">
        <v>115.71</v>
      </c>
      <c r="H5080">
        <v>250331</v>
      </c>
      <c r="I5080">
        <v>4573</v>
      </c>
      <c r="J5080" t="s">
        <v>646</v>
      </c>
      <c r="K5080">
        <v>2886.29</v>
      </c>
      <c r="L5080">
        <v>23.51</v>
      </c>
      <c r="M5080">
        <v>13540</v>
      </c>
      <c r="N5080" t="s">
        <v>131</v>
      </c>
      <c r="O5080">
        <v>250416</v>
      </c>
      <c r="P5080">
        <v>92.2</v>
      </c>
    </row>
    <row r="5081" spans="1:16" x14ac:dyDescent="0.25">
      <c r="A5081" t="s">
        <v>3296</v>
      </c>
      <c r="B5081" t="s">
        <v>2931</v>
      </c>
      <c r="C5081">
        <v>5046</v>
      </c>
      <c r="D5081" t="str">
        <f>"15399104714 "</f>
        <v xml:space="preserve">15399104714 </v>
      </c>
      <c r="E5081" t="s">
        <v>644</v>
      </c>
      <c r="F5081" t="s">
        <v>645</v>
      </c>
      <c r="G5081">
        <v>936.21</v>
      </c>
      <c r="H5081">
        <v>250331</v>
      </c>
      <c r="I5081">
        <v>4573</v>
      </c>
      <c r="J5081" t="s">
        <v>646</v>
      </c>
      <c r="K5081">
        <v>2886.29</v>
      </c>
      <c r="L5081">
        <v>190.23</v>
      </c>
      <c r="M5081">
        <v>17950</v>
      </c>
      <c r="N5081" t="s">
        <v>132</v>
      </c>
      <c r="O5081">
        <v>250416</v>
      </c>
      <c r="P5081">
        <v>745.98</v>
      </c>
    </row>
    <row r="5082" spans="1:16" x14ac:dyDescent="0.25">
      <c r="A5082" t="s">
        <v>3296</v>
      </c>
      <c r="B5082" t="s">
        <v>2931</v>
      </c>
      <c r="C5082">
        <v>5075</v>
      </c>
      <c r="D5082" t="str">
        <f>"15399104645 "</f>
        <v xml:space="preserve">15399104645 </v>
      </c>
      <c r="E5082" t="s">
        <v>644</v>
      </c>
      <c r="F5082" t="s">
        <v>645</v>
      </c>
      <c r="G5082">
        <v>245.11</v>
      </c>
      <c r="H5082">
        <v>250331</v>
      </c>
      <c r="I5082">
        <v>4573</v>
      </c>
      <c r="J5082" t="s">
        <v>646</v>
      </c>
      <c r="K5082">
        <v>612.55999999999995</v>
      </c>
      <c r="L5082">
        <v>49.8</v>
      </c>
      <c r="M5082">
        <v>17956</v>
      </c>
      <c r="N5082" t="s">
        <v>170</v>
      </c>
      <c r="O5082">
        <v>250416</v>
      </c>
      <c r="P5082">
        <v>195.31</v>
      </c>
    </row>
    <row r="5083" spans="1:16" x14ac:dyDescent="0.25">
      <c r="A5083" t="s">
        <v>3296</v>
      </c>
      <c r="B5083" t="s">
        <v>2931</v>
      </c>
      <c r="C5083">
        <v>9715</v>
      </c>
      <c r="D5083" t="str">
        <f>"15399106613 "</f>
        <v xml:space="preserve">15399106613 </v>
      </c>
      <c r="E5083" t="s">
        <v>644</v>
      </c>
      <c r="F5083" t="s">
        <v>645</v>
      </c>
      <c r="G5083">
        <v>246.77</v>
      </c>
      <c r="H5083">
        <v>250630</v>
      </c>
      <c r="I5083">
        <v>4573</v>
      </c>
      <c r="J5083" t="s">
        <v>646</v>
      </c>
      <c r="K5083">
        <v>617.27</v>
      </c>
      <c r="L5083">
        <v>50.14</v>
      </c>
      <c r="M5083">
        <v>17956</v>
      </c>
      <c r="N5083" t="s">
        <v>170</v>
      </c>
      <c r="O5083">
        <v>250725</v>
      </c>
      <c r="P5083">
        <v>196.63</v>
      </c>
    </row>
    <row r="5084" spans="1:16" x14ac:dyDescent="0.25">
      <c r="A5084" t="s">
        <v>3296</v>
      </c>
      <c r="B5084" t="s">
        <v>2931</v>
      </c>
      <c r="C5084">
        <v>9718</v>
      </c>
      <c r="D5084" t="str">
        <f>"15399106684 "</f>
        <v xml:space="preserve">15399106684 </v>
      </c>
      <c r="E5084" t="s">
        <v>644</v>
      </c>
      <c r="F5084" t="s">
        <v>645</v>
      </c>
      <c r="G5084">
        <v>117</v>
      </c>
      <c r="H5084">
        <v>250630</v>
      </c>
      <c r="I5084">
        <v>4573</v>
      </c>
      <c r="J5084" t="s">
        <v>646</v>
      </c>
      <c r="K5084">
        <v>2919.24</v>
      </c>
      <c r="L5084">
        <v>23.77</v>
      </c>
      <c r="M5084">
        <v>13540</v>
      </c>
      <c r="N5084" t="s">
        <v>131</v>
      </c>
      <c r="O5084">
        <v>250725</v>
      </c>
      <c r="P5084">
        <v>93.23</v>
      </c>
    </row>
    <row r="5085" spans="1:16" x14ac:dyDescent="0.25">
      <c r="A5085" t="s">
        <v>3296</v>
      </c>
      <c r="B5085" t="s">
        <v>2931</v>
      </c>
      <c r="C5085">
        <v>9718</v>
      </c>
      <c r="D5085" t="str">
        <f>"15399106684 "</f>
        <v xml:space="preserve">15399106684 </v>
      </c>
      <c r="E5085" t="s">
        <v>644</v>
      </c>
      <c r="F5085" t="s">
        <v>645</v>
      </c>
      <c r="G5085">
        <v>946.61</v>
      </c>
      <c r="H5085">
        <v>250630</v>
      </c>
      <c r="I5085">
        <v>4573</v>
      </c>
      <c r="J5085" t="s">
        <v>646</v>
      </c>
      <c r="K5085">
        <v>2919.24</v>
      </c>
      <c r="L5085">
        <v>192.34</v>
      </c>
      <c r="M5085">
        <v>17950</v>
      </c>
      <c r="N5085" t="s">
        <v>132</v>
      </c>
      <c r="O5085">
        <v>250725</v>
      </c>
      <c r="P5085">
        <v>754.27</v>
      </c>
    </row>
    <row r="5086" spans="1:16" x14ac:dyDescent="0.25">
      <c r="A5086" t="s">
        <v>3296</v>
      </c>
      <c r="B5086" t="s">
        <v>2931</v>
      </c>
      <c r="C5086">
        <v>9719</v>
      </c>
      <c r="D5086" t="str">
        <f>"15399107630 "</f>
        <v xml:space="preserve">15399107630 </v>
      </c>
      <c r="E5086" t="s">
        <v>644</v>
      </c>
      <c r="F5086" t="s">
        <v>645</v>
      </c>
      <c r="G5086">
        <v>129.85</v>
      </c>
      <c r="H5086">
        <v>250630</v>
      </c>
      <c r="I5086">
        <v>4573</v>
      </c>
      <c r="J5086" t="s">
        <v>646</v>
      </c>
      <c r="K5086">
        <v>287.74</v>
      </c>
      <c r="L5086">
        <v>26.38</v>
      </c>
      <c r="M5086">
        <v>17950</v>
      </c>
      <c r="N5086" t="s">
        <v>132</v>
      </c>
      <c r="O5086">
        <v>250725</v>
      </c>
      <c r="P5086">
        <v>103.47</v>
      </c>
    </row>
    <row r="5087" spans="1:16" x14ac:dyDescent="0.25">
      <c r="A5087" t="s">
        <v>3296</v>
      </c>
      <c r="B5087" t="s">
        <v>2931</v>
      </c>
      <c r="C5087">
        <v>13802</v>
      </c>
      <c r="D5087" t="str">
        <f>"15399109705 "</f>
        <v xml:space="preserve">15399109705 </v>
      </c>
      <c r="E5087" t="s">
        <v>644</v>
      </c>
      <c r="F5087" t="s">
        <v>645</v>
      </c>
      <c r="G5087">
        <v>120.52</v>
      </c>
      <c r="H5087">
        <v>251001</v>
      </c>
      <c r="I5087">
        <v>4573</v>
      </c>
      <c r="J5087" t="s">
        <v>646</v>
      </c>
      <c r="K5087">
        <v>261.55</v>
      </c>
      <c r="L5087">
        <v>24.49</v>
      </c>
      <c r="M5087">
        <v>17950</v>
      </c>
      <c r="N5087" t="s">
        <v>132</v>
      </c>
      <c r="O5087">
        <v>251020</v>
      </c>
      <c r="P5087">
        <v>96.03</v>
      </c>
    </row>
    <row r="5088" spans="1:16" x14ac:dyDescent="0.25">
      <c r="A5088" t="s">
        <v>3296</v>
      </c>
      <c r="B5088" t="s">
        <v>2931</v>
      </c>
      <c r="C5088">
        <v>13830</v>
      </c>
      <c r="D5088" t="str">
        <f>"15399108761 "</f>
        <v xml:space="preserve">15399108761 </v>
      </c>
      <c r="E5088" t="s">
        <v>644</v>
      </c>
      <c r="F5088" t="s">
        <v>645</v>
      </c>
      <c r="G5088">
        <v>119.57</v>
      </c>
      <c r="H5088">
        <v>251001</v>
      </c>
      <c r="I5088">
        <v>4573</v>
      </c>
      <c r="J5088" t="s">
        <v>646</v>
      </c>
      <c r="K5088">
        <v>2972.46</v>
      </c>
      <c r="L5088">
        <v>24.3</v>
      </c>
      <c r="M5088">
        <v>13540</v>
      </c>
      <c r="N5088" t="s">
        <v>131</v>
      </c>
      <c r="O5088">
        <v>251020</v>
      </c>
      <c r="P5088">
        <v>95.27</v>
      </c>
    </row>
    <row r="5089" spans="1:16" x14ac:dyDescent="0.25">
      <c r="A5089" t="s">
        <v>3296</v>
      </c>
      <c r="B5089" t="s">
        <v>2931</v>
      </c>
      <c r="C5089">
        <v>13830</v>
      </c>
      <c r="D5089" t="str">
        <f>"15399108761 "</f>
        <v xml:space="preserve">15399108761 </v>
      </c>
      <c r="E5089" t="s">
        <v>644</v>
      </c>
      <c r="F5089" t="s">
        <v>645</v>
      </c>
      <c r="G5089">
        <v>967.45</v>
      </c>
      <c r="H5089">
        <v>251001</v>
      </c>
      <c r="I5089">
        <v>4573</v>
      </c>
      <c r="J5089" t="s">
        <v>646</v>
      </c>
      <c r="K5089">
        <v>2972.46</v>
      </c>
      <c r="L5089">
        <v>196.57</v>
      </c>
      <c r="M5089">
        <v>17950</v>
      </c>
      <c r="N5089" t="s">
        <v>132</v>
      </c>
      <c r="O5089">
        <v>251020</v>
      </c>
      <c r="P5089">
        <v>770.88</v>
      </c>
    </row>
    <row r="5090" spans="1:16" x14ac:dyDescent="0.25">
      <c r="A5090" t="s">
        <v>3296</v>
      </c>
      <c r="B5090" t="s">
        <v>2931</v>
      </c>
      <c r="C5090">
        <v>18363</v>
      </c>
      <c r="D5090" t="str">
        <f>"15399110723 "</f>
        <v xml:space="preserve">15399110723 </v>
      </c>
      <c r="E5090" t="s">
        <v>644</v>
      </c>
      <c r="F5090" t="s">
        <v>645</v>
      </c>
      <c r="G5090">
        <v>252.16</v>
      </c>
      <c r="H5090">
        <v>251231</v>
      </c>
      <c r="I5090">
        <v>4573</v>
      </c>
      <c r="J5090" t="s">
        <v>646</v>
      </c>
      <c r="K5090">
        <v>630.9</v>
      </c>
      <c r="L5090">
        <v>51.24</v>
      </c>
      <c r="M5090">
        <v>17956</v>
      </c>
      <c r="N5090" t="s">
        <v>170</v>
      </c>
      <c r="O5090">
        <v>260113</v>
      </c>
      <c r="P5090">
        <v>200.92</v>
      </c>
    </row>
    <row r="5091" spans="1:16" x14ac:dyDescent="0.25">
      <c r="A5091" t="s">
        <v>3296</v>
      </c>
      <c r="B5091" t="s">
        <v>2931</v>
      </c>
      <c r="C5091">
        <v>18444</v>
      </c>
      <c r="D5091" t="str">
        <f>"15399110790 "</f>
        <v xml:space="preserve">15399110790 </v>
      </c>
      <c r="E5091" t="s">
        <v>644</v>
      </c>
      <c r="F5091" t="s">
        <v>645</v>
      </c>
      <c r="G5091">
        <v>119.57</v>
      </c>
      <c r="H5091">
        <v>251231</v>
      </c>
      <c r="I5091">
        <v>4573</v>
      </c>
      <c r="J5091" t="s">
        <v>646</v>
      </c>
      <c r="K5091">
        <v>2972.46</v>
      </c>
      <c r="L5091">
        <v>24.3</v>
      </c>
      <c r="M5091">
        <v>13540</v>
      </c>
      <c r="N5091" t="s">
        <v>131</v>
      </c>
      <c r="O5091">
        <v>260113</v>
      </c>
      <c r="P5091">
        <v>95.27</v>
      </c>
    </row>
    <row r="5092" spans="1:16" x14ac:dyDescent="0.25">
      <c r="A5092" t="s">
        <v>3296</v>
      </c>
      <c r="B5092" t="s">
        <v>2931</v>
      </c>
      <c r="C5092">
        <v>18444</v>
      </c>
      <c r="D5092" t="str">
        <f>"15399110790 "</f>
        <v xml:space="preserve">15399110790 </v>
      </c>
      <c r="E5092" t="s">
        <v>644</v>
      </c>
      <c r="F5092" t="s">
        <v>645</v>
      </c>
      <c r="G5092">
        <v>967.45</v>
      </c>
      <c r="H5092">
        <v>251231</v>
      </c>
      <c r="I5092">
        <v>4573</v>
      </c>
      <c r="J5092" t="s">
        <v>646</v>
      </c>
      <c r="K5092">
        <v>2972.46</v>
      </c>
      <c r="L5092">
        <v>196.57</v>
      </c>
      <c r="M5092">
        <v>17950</v>
      </c>
      <c r="N5092" t="s">
        <v>132</v>
      </c>
      <c r="O5092">
        <v>260113</v>
      </c>
      <c r="P5092">
        <v>770.88</v>
      </c>
    </row>
    <row r="5093" spans="1:16" x14ac:dyDescent="0.25">
      <c r="A5093" t="s">
        <v>3296</v>
      </c>
      <c r="B5093" t="s">
        <v>2931</v>
      </c>
      <c r="C5093">
        <v>18487</v>
      </c>
      <c r="D5093" t="str">
        <f>"15399111725 "</f>
        <v xml:space="preserve">15399111725 </v>
      </c>
      <c r="E5093" t="s">
        <v>644</v>
      </c>
      <c r="F5093" t="s">
        <v>645</v>
      </c>
      <c r="G5093">
        <v>132.16999999999999</v>
      </c>
      <c r="H5093">
        <v>251231</v>
      </c>
      <c r="I5093">
        <v>4573</v>
      </c>
      <c r="J5093" t="s">
        <v>646</v>
      </c>
      <c r="K5093">
        <v>294.36</v>
      </c>
      <c r="L5093">
        <v>26.86</v>
      </c>
      <c r="M5093">
        <v>17950</v>
      </c>
      <c r="N5093" t="s">
        <v>132</v>
      </c>
      <c r="O5093">
        <v>260114</v>
      </c>
      <c r="P5093">
        <v>105.31</v>
      </c>
    </row>
    <row r="5094" spans="1:16" x14ac:dyDescent="0.25">
      <c r="A5094" t="s">
        <v>3296</v>
      </c>
      <c r="B5094" t="s">
        <v>2931</v>
      </c>
      <c r="C5094">
        <v>9122</v>
      </c>
      <c r="D5094" t="str">
        <f>"250625      "</f>
        <v xml:space="preserve">250625      </v>
      </c>
      <c r="E5094" t="s">
        <v>3045</v>
      </c>
      <c r="F5094" t="s">
        <v>3046</v>
      </c>
      <c r="G5094">
        <v>60</v>
      </c>
      <c r="H5094">
        <v>250624</v>
      </c>
      <c r="I5094">
        <v>4380</v>
      </c>
      <c r="J5094" t="s">
        <v>211</v>
      </c>
      <c r="K5094">
        <v>240</v>
      </c>
      <c r="L5094">
        <v>0</v>
      </c>
      <c r="M5094">
        <v>16930</v>
      </c>
      <c r="N5094" t="s">
        <v>135</v>
      </c>
      <c r="O5094">
        <v>250626</v>
      </c>
      <c r="P5094">
        <v>60</v>
      </c>
    </row>
    <row r="5095" spans="1:16" x14ac:dyDescent="0.25">
      <c r="A5095" t="s">
        <v>3296</v>
      </c>
      <c r="B5095" t="s">
        <v>2931</v>
      </c>
      <c r="C5095">
        <v>4036</v>
      </c>
      <c r="D5095" t="str">
        <f>"250325      "</f>
        <v xml:space="preserve">250325      </v>
      </c>
      <c r="E5095" t="s">
        <v>3045</v>
      </c>
      <c r="F5095" t="s">
        <v>3046</v>
      </c>
      <c r="G5095">
        <v>180</v>
      </c>
      <c r="H5095">
        <v>250325</v>
      </c>
      <c r="I5095">
        <v>4820</v>
      </c>
      <c r="J5095" t="s">
        <v>169</v>
      </c>
      <c r="K5095">
        <v>180</v>
      </c>
      <c r="L5095">
        <v>0</v>
      </c>
      <c r="M5095">
        <v>13641</v>
      </c>
      <c r="N5095" t="s">
        <v>871</v>
      </c>
      <c r="O5095">
        <v>250407</v>
      </c>
      <c r="P5095">
        <v>180</v>
      </c>
    </row>
    <row r="5096" spans="1:16" x14ac:dyDescent="0.25">
      <c r="A5096" t="s">
        <v>3296</v>
      </c>
      <c r="B5096" t="s">
        <v>2931</v>
      </c>
      <c r="C5096">
        <v>9122</v>
      </c>
      <c r="D5096" t="str">
        <f>"250625      "</f>
        <v xml:space="preserve">250625      </v>
      </c>
      <c r="E5096" t="s">
        <v>3045</v>
      </c>
      <c r="F5096" t="s">
        <v>3046</v>
      </c>
      <c r="G5096">
        <v>180</v>
      </c>
      <c r="H5096">
        <v>250624</v>
      </c>
      <c r="I5096">
        <v>4820</v>
      </c>
      <c r="J5096" t="s">
        <v>169</v>
      </c>
      <c r="K5096">
        <v>240</v>
      </c>
      <c r="L5096">
        <v>0</v>
      </c>
      <c r="M5096">
        <v>16930</v>
      </c>
      <c r="N5096" t="s">
        <v>135</v>
      </c>
      <c r="O5096">
        <v>250626</v>
      </c>
      <c r="P5096">
        <v>180</v>
      </c>
    </row>
    <row r="5097" spans="1:16" x14ac:dyDescent="0.25">
      <c r="A5097" t="s">
        <v>3296</v>
      </c>
      <c r="B5097" t="s">
        <v>2931</v>
      </c>
      <c r="C5097">
        <v>15956</v>
      </c>
      <c r="D5097" t="str">
        <f>"241125      "</f>
        <v xml:space="preserve">241125      </v>
      </c>
      <c r="E5097" t="s">
        <v>3045</v>
      </c>
      <c r="F5097" t="s">
        <v>3046</v>
      </c>
      <c r="G5097">
        <v>210</v>
      </c>
      <c r="H5097">
        <v>251124</v>
      </c>
      <c r="I5097">
        <v>4820</v>
      </c>
      <c r="J5097" t="s">
        <v>169</v>
      </c>
      <c r="K5097">
        <v>210</v>
      </c>
      <c r="L5097">
        <v>0</v>
      </c>
      <c r="M5097">
        <v>13641</v>
      </c>
      <c r="N5097" t="s">
        <v>871</v>
      </c>
      <c r="O5097">
        <v>251201</v>
      </c>
      <c r="P5097">
        <v>210</v>
      </c>
    </row>
    <row r="5098" spans="1:16" x14ac:dyDescent="0.25">
      <c r="A5098" t="s">
        <v>3296</v>
      </c>
      <c r="B5098" t="s">
        <v>2931</v>
      </c>
      <c r="C5098">
        <v>8744</v>
      </c>
      <c r="D5098" t="str">
        <f>"1434346     "</f>
        <v xml:space="preserve">1434346     </v>
      </c>
      <c r="E5098" t="s">
        <v>745</v>
      </c>
      <c r="F5098" t="s">
        <v>746</v>
      </c>
      <c r="G5098">
        <v>87.52</v>
      </c>
      <c r="H5098">
        <v>250605</v>
      </c>
      <c r="I5098">
        <v>4530</v>
      </c>
      <c r="J5098" t="s">
        <v>293</v>
      </c>
      <c r="K5098">
        <v>385.64</v>
      </c>
      <c r="L5098">
        <v>17.78</v>
      </c>
      <c r="M5098">
        <v>44453</v>
      </c>
      <c r="N5098" t="s">
        <v>100</v>
      </c>
      <c r="O5098">
        <v>250617</v>
      </c>
      <c r="P5098">
        <v>69.739999999999995</v>
      </c>
    </row>
    <row r="5099" spans="1:16" x14ac:dyDescent="0.25">
      <c r="A5099" t="s">
        <v>3296</v>
      </c>
      <c r="B5099" t="s">
        <v>2931</v>
      </c>
      <c r="C5099">
        <v>831</v>
      </c>
      <c r="D5099" t="str">
        <f>"1426159     "</f>
        <v xml:space="preserve">1426159     </v>
      </c>
      <c r="E5099" t="s">
        <v>745</v>
      </c>
      <c r="F5099" t="s">
        <v>746</v>
      </c>
      <c r="G5099">
        <v>113.43</v>
      </c>
      <c r="H5099">
        <v>250117</v>
      </c>
      <c r="I5099">
        <v>4534</v>
      </c>
      <c r="J5099" t="s">
        <v>349</v>
      </c>
      <c r="K5099">
        <v>226.87</v>
      </c>
      <c r="L5099">
        <v>23.05</v>
      </c>
      <c r="M5099">
        <v>54222</v>
      </c>
      <c r="N5099" t="s">
        <v>48</v>
      </c>
      <c r="O5099">
        <v>250129</v>
      </c>
      <c r="P5099">
        <v>90.38</v>
      </c>
    </row>
    <row r="5100" spans="1:16" x14ac:dyDescent="0.25">
      <c r="A5100" t="s">
        <v>3296</v>
      </c>
      <c r="B5100" t="s">
        <v>2931</v>
      </c>
      <c r="C5100">
        <v>831</v>
      </c>
      <c r="D5100" t="str">
        <f>"1426159     "</f>
        <v xml:space="preserve">1426159     </v>
      </c>
      <c r="E5100" t="s">
        <v>745</v>
      </c>
      <c r="F5100" t="s">
        <v>746</v>
      </c>
      <c r="G5100">
        <v>113.44</v>
      </c>
      <c r="H5100">
        <v>250117</v>
      </c>
      <c r="I5100">
        <v>4534</v>
      </c>
      <c r="J5100" t="s">
        <v>349</v>
      </c>
      <c r="K5100">
        <v>226.87</v>
      </c>
      <c r="L5100">
        <v>23.05</v>
      </c>
      <c r="M5100">
        <v>54252</v>
      </c>
      <c r="N5100" t="s">
        <v>742</v>
      </c>
      <c r="O5100">
        <v>250129</v>
      </c>
      <c r="P5100">
        <v>90.39</v>
      </c>
    </row>
    <row r="5101" spans="1:16" x14ac:dyDescent="0.25">
      <c r="A5101" t="s">
        <v>3296</v>
      </c>
      <c r="B5101" t="s">
        <v>2931</v>
      </c>
      <c r="C5101">
        <v>1650</v>
      </c>
      <c r="D5101" t="str">
        <f>"1426995     "</f>
        <v xml:space="preserve">1426995     </v>
      </c>
      <c r="E5101" t="s">
        <v>745</v>
      </c>
      <c r="F5101" t="s">
        <v>746</v>
      </c>
      <c r="G5101">
        <v>199</v>
      </c>
      <c r="H5101">
        <v>250131</v>
      </c>
      <c r="I5101">
        <v>4580</v>
      </c>
      <c r="J5101" t="s">
        <v>126</v>
      </c>
      <c r="K5101">
        <v>199</v>
      </c>
      <c r="L5101">
        <v>40.43</v>
      </c>
      <c r="M5101">
        <v>17711</v>
      </c>
      <c r="N5101" t="s">
        <v>155</v>
      </c>
      <c r="O5101">
        <v>250212</v>
      </c>
      <c r="P5101">
        <v>158.57</v>
      </c>
    </row>
    <row r="5102" spans="1:16" x14ac:dyDescent="0.25">
      <c r="A5102" t="s">
        <v>3296</v>
      </c>
      <c r="B5102" t="s">
        <v>2931</v>
      </c>
      <c r="C5102">
        <v>6540</v>
      </c>
      <c r="D5102" t="str">
        <f>"1431903     "</f>
        <v xml:space="preserve">1431903     </v>
      </c>
      <c r="E5102" t="s">
        <v>745</v>
      </c>
      <c r="F5102" t="s">
        <v>746</v>
      </c>
      <c r="G5102">
        <v>15.86</v>
      </c>
      <c r="H5102">
        <v>250425</v>
      </c>
      <c r="I5102">
        <v>4600</v>
      </c>
      <c r="J5102" t="s">
        <v>278</v>
      </c>
      <c r="K5102">
        <v>15.86</v>
      </c>
      <c r="L5102">
        <v>3.22</v>
      </c>
      <c r="M5102">
        <v>17972</v>
      </c>
      <c r="N5102" t="s">
        <v>28</v>
      </c>
      <c r="O5102">
        <v>250513</v>
      </c>
      <c r="P5102">
        <v>12.64</v>
      </c>
    </row>
    <row r="5103" spans="1:16" x14ac:dyDescent="0.25">
      <c r="A5103" t="s">
        <v>3296</v>
      </c>
      <c r="B5103" t="s">
        <v>2931</v>
      </c>
      <c r="C5103">
        <v>8040</v>
      </c>
      <c r="D5103" t="str">
        <f>"1433089     "</f>
        <v xml:space="preserve">1433089     </v>
      </c>
      <c r="E5103" t="s">
        <v>745</v>
      </c>
      <c r="F5103" t="s">
        <v>746</v>
      </c>
      <c r="G5103">
        <v>249</v>
      </c>
      <c r="H5103">
        <v>250516</v>
      </c>
      <c r="I5103">
        <v>4600</v>
      </c>
      <c r="J5103" t="s">
        <v>278</v>
      </c>
      <c r="K5103">
        <v>249</v>
      </c>
      <c r="L5103">
        <v>0</v>
      </c>
      <c r="M5103">
        <v>17971</v>
      </c>
      <c r="N5103" t="s">
        <v>27</v>
      </c>
      <c r="O5103">
        <v>250611</v>
      </c>
      <c r="P5103">
        <v>249</v>
      </c>
    </row>
    <row r="5104" spans="1:16" x14ac:dyDescent="0.25">
      <c r="A5104" t="s">
        <v>3296</v>
      </c>
      <c r="B5104" t="s">
        <v>2931</v>
      </c>
      <c r="C5104">
        <v>8744</v>
      </c>
      <c r="D5104" t="str">
        <f>"1434346     "</f>
        <v xml:space="preserve">1434346     </v>
      </c>
      <c r="E5104" t="s">
        <v>745</v>
      </c>
      <c r="F5104" t="s">
        <v>746</v>
      </c>
      <c r="G5104">
        <v>298.12</v>
      </c>
      <c r="H5104">
        <v>250605</v>
      </c>
      <c r="I5104">
        <v>4600</v>
      </c>
      <c r="J5104" t="s">
        <v>278</v>
      </c>
      <c r="K5104">
        <v>385.64</v>
      </c>
      <c r="L5104">
        <v>60.57</v>
      </c>
      <c r="M5104">
        <v>44453</v>
      </c>
      <c r="N5104" t="s">
        <v>100</v>
      </c>
      <c r="O5104">
        <v>250617</v>
      </c>
      <c r="P5104">
        <v>237.55</v>
      </c>
    </row>
    <row r="5105" spans="1:16" x14ac:dyDescent="0.25">
      <c r="A5105" t="s">
        <v>3296</v>
      </c>
      <c r="B5105" t="s">
        <v>2931</v>
      </c>
      <c r="C5105">
        <v>3504</v>
      </c>
      <c r="D5105" t="str">
        <f>"40282279    "</f>
        <v xml:space="preserve">40282279    </v>
      </c>
      <c r="E5105" t="s">
        <v>489</v>
      </c>
      <c r="F5105" t="s">
        <v>490</v>
      </c>
      <c r="G5105">
        <v>43.31</v>
      </c>
      <c r="H5105">
        <v>250308</v>
      </c>
      <c r="I5105">
        <v>4400</v>
      </c>
      <c r="J5105" t="s">
        <v>162</v>
      </c>
      <c r="K5105">
        <v>43.31</v>
      </c>
      <c r="L5105">
        <v>8.8000000000000007</v>
      </c>
      <c r="M5105">
        <v>17952</v>
      </c>
      <c r="N5105" t="s">
        <v>157</v>
      </c>
      <c r="O5105">
        <v>250324</v>
      </c>
      <c r="P5105">
        <v>34.51</v>
      </c>
    </row>
    <row r="5106" spans="1:16" x14ac:dyDescent="0.25">
      <c r="A5106" t="s">
        <v>3296</v>
      </c>
      <c r="B5106" t="s">
        <v>2931</v>
      </c>
      <c r="C5106">
        <v>7488</v>
      </c>
      <c r="D5106" t="str">
        <f>"40327469    "</f>
        <v xml:space="preserve">40327469    </v>
      </c>
      <c r="E5106" t="s">
        <v>489</v>
      </c>
      <c r="F5106" t="s">
        <v>490</v>
      </c>
      <c r="G5106">
        <v>64.72</v>
      </c>
      <c r="H5106">
        <v>250523</v>
      </c>
      <c r="I5106">
        <v>4530</v>
      </c>
      <c r="J5106" t="s">
        <v>293</v>
      </c>
      <c r="K5106">
        <v>86.24</v>
      </c>
      <c r="L5106">
        <v>13.15</v>
      </c>
      <c r="M5106">
        <v>67554</v>
      </c>
      <c r="N5106" t="s">
        <v>317</v>
      </c>
      <c r="O5106">
        <v>250604</v>
      </c>
      <c r="P5106">
        <v>51.57</v>
      </c>
    </row>
    <row r="5107" spans="1:16" x14ac:dyDescent="0.25">
      <c r="A5107" t="s">
        <v>3296</v>
      </c>
      <c r="B5107" t="s">
        <v>2931</v>
      </c>
      <c r="C5107">
        <v>2211</v>
      </c>
      <c r="D5107" t="str">
        <f>"40273251    "</f>
        <v xml:space="preserve">40273251    </v>
      </c>
      <c r="E5107" t="s">
        <v>489</v>
      </c>
      <c r="F5107" t="s">
        <v>490</v>
      </c>
      <c r="G5107">
        <v>23.8</v>
      </c>
      <c r="H5107">
        <v>250217</v>
      </c>
      <c r="I5107">
        <v>4560</v>
      </c>
      <c r="J5107" t="s">
        <v>390</v>
      </c>
      <c r="K5107">
        <v>63.72</v>
      </c>
      <c r="L5107">
        <v>4.84</v>
      </c>
      <c r="M5107">
        <v>67554</v>
      </c>
      <c r="N5107" t="s">
        <v>317</v>
      </c>
      <c r="O5107">
        <v>250221</v>
      </c>
      <c r="P5107">
        <v>18.96</v>
      </c>
    </row>
    <row r="5108" spans="1:16" x14ac:dyDescent="0.25">
      <c r="A5108" t="s">
        <v>3296</v>
      </c>
      <c r="B5108" t="s">
        <v>2931</v>
      </c>
      <c r="C5108">
        <v>7488</v>
      </c>
      <c r="D5108" t="str">
        <f>"40327469    "</f>
        <v xml:space="preserve">40327469    </v>
      </c>
      <c r="E5108" t="s">
        <v>489</v>
      </c>
      <c r="F5108" t="s">
        <v>490</v>
      </c>
      <c r="G5108">
        <v>11.52</v>
      </c>
      <c r="H5108">
        <v>250523</v>
      </c>
      <c r="I5108">
        <v>4560</v>
      </c>
      <c r="J5108" t="s">
        <v>390</v>
      </c>
      <c r="K5108">
        <v>86.24</v>
      </c>
      <c r="L5108">
        <v>2.34</v>
      </c>
      <c r="M5108">
        <v>67554</v>
      </c>
      <c r="N5108" t="s">
        <v>317</v>
      </c>
      <c r="O5108">
        <v>250604</v>
      </c>
      <c r="P5108">
        <v>9.18</v>
      </c>
    </row>
    <row r="5109" spans="1:16" x14ac:dyDescent="0.25">
      <c r="A5109" t="s">
        <v>3296</v>
      </c>
      <c r="B5109" t="s">
        <v>2931</v>
      </c>
      <c r="C5109">
        <v>7194</v>
      </c>
      <c r="D5109" t="str">
        <f>"40319661    "</f>
        <v xml:space="preserve">40319661    </v>
      </c>
      <c r="E5109" t="s">
        <v>489</v>
      </c>
      <c r="F5109" t="s">
        <v>490</v>
      </c>
      <c r="G5109">
        <v>8.07</v>
      </c>
      <c r="H5109">
        <v>250510</v>
      </c>
      <c r="I5109">
        <v>4580</v>
      </c>
      <c r="J5109" t="s">
        <v>126</v>
      </c>
      <c r="K5109">
        <v>136.59</v>
      </c>
      <c r="L5109">
        <v>1.64</v>
      </c>
      <c r="M5109">
        <v>17527</v>
      </c>
      <c r="N5109" t="s">
        <v>142</v>
      </c>
      <c r="O5109">
        <v>250527</v>
      </c>
      <c r="P5109">
        <v>6.43</v>
      </c>
    </row>
    <row r="5110" spans="1:16" x14ac:dyDescent="0.25">
      <c r="A5110" t="s">
        <v>3296</v>
      </c>
      <c r="B5110" t="s">
        <v>2931</v>
      </c>
      <c r="C5110">
        <v>7488</v>
      </c>
      <c r="D5110" t="str">
        <f>"40327469    "</f>
        <v xml:space="preserve">40327469    </v>
      </c>
      <c r="E5110" t="s">
        <v>489</v>
      </c>
      <c r="F5110" t="s">
        <v>490</v>
      </c>
      <c r="G5110">
        <v>4.6399999999999997</v>
      </c>
      <c r="H5110">
        <v>250523</v>
      </c>
      <c r="I5110">
        <v>4580</v>
      </c>
      <c r="J5110" t="s">
        <v>126</v>
      </c>
      <c r="K5110">
        <v>86.24</v>
      </c>
      <c r="L5110">
        <v>0.94</v>
      </c>
      <c r="M5110">
        <v>67554</v>
      </c>
      <c r="N5110" t="s">
        <v>317</v>
      </c>
      <c r="O5110">
        <v>250604</v>
      </c>
      <c r="P5110">
        <v>3.7</v>
      </c>
    </row>
    <row r="5111" spans="1:16" x14ac:dyDescent="0.25">
      <c r="A5111" t="s">
        <v>3296</v>
      </c>
      <c r="B5111" t="s">
        <v>2931</v>
      </c>
      <c r="C5111">
        <v>7557</v>
      </c>
      <c r="D5111" t="str">
        <f>"40329635    "</f>
        <v xml:space="preserve">40329635    </v>
      </c>
      <c r="E5111" t="s">
        <v>489</v>
      </c>
      <c r="F5111" t="s">
        <v>490</v>
      </c>
      <c r="G5111">
        <v>82.89</v>
      </c>
      <c r="H5111">
        <v>250524</v>
      </c>
      <c r="I5111">
        <v>4580</v>
      </c>
      <c r="J5111" t="s">
        <v>126</v>
      </c>
      <c r="K5111">
        <v>82.89</v>
      </c>
      <c r="L5111">
        <v>16.84</v>
      </c>
      <c r="M5111">
        <v>17527</v>
      </c>
      <c r="N5111" t="s">
        <v>142</v>
      </c>
      <c r="O5111">
        <v>250604</v>
      </c>
      <c r="P5111">
        <v>66.05</v>
      </c>
    </row>
    <row r="5112" spans="1:16" x14ac:dyDescent="0.25">
      <c r="A5112" t="s">
        <v>3296</v>
      </c>
      <c r="B5112" t="s">
        <v>2931</v>
      </c>
      <c r="C5112">
        <v>12133</v>
      </c>
      <c r="D5112" t="str">
        <f>"40397941    "</f>
        <v xml:space="preserve">40397941    </v>
      </c>
      <c r="E5112" t="s">
        <v>489</v>
      </c>
      <c r="F5112" t="s">
        <v>490</v>
      </c>
      <c r="G5112">
        <v>51.66</v>
      </c>
      <c r="H5112">
        <v>250913</v>
      </c>
      <c r="I5112">
        <v>4580</v>
      </c>
      <c r="J5112" t="s">
        <v>126</v>
      </c>
      <c r="K5112">
        <v>51.66</v>
      </c>
      <c r="L5112">
        <v>10.5</v>
      </c>
      <c r="M5112">
        <v>17527</v>
      </c>
      <c r="N5112" t="s">
        <v>142</v>
      </c>
      <c r="O5112">
        <v>250916</v>
      </c>
      <c r="P5112">
        <v>41.16</v>
      </c>
    </row>
    <row r="5113" spans="1:16" x14ac:dyDescent="0.25">
      <c r="A5113" t="s">
        <v>3296</v>
      </c>
      <c r="B5113" t="s">
        <v>2931</v>
      </c>
      <c r="C5113">
        <v>14054</v>
      </c>
      <c r="D5113" t="str">
        <f>"40421742    "</f>
        <v xml:space="preserve">40421742    </v>
      </c>
      <c r="E5113" t="s">
        <v>489</v>
      </c>
      <c r="F5113" t="s">
        <v>490</v>
      </c>
      <c r="G5113">
        <v>896.31</v>
      </c>
      <c r="H5113">
        <v>251018</v>
      </c>
      <c r="I5113">
        <v>4580</v>
      </c>
      <c r="J5113" t="s">
        <v>126</v>
      </c>
      <c r="K5113">
        <v>2987.69</v>
      </c>
      <c r="L5113">
        <v>182.12</v>
      </c>
      <c r="M5113">
        <v>17527</v>
      </c>
      <c r="N5113" t="s">
        <v>142</v>
      </c>
      <c r="O5113">
        <v>251022</v>
      </c>
      <c r="P5113">
        <v>714.19</v>
      </c>
    </row>
    <row r="5114" spans="1:16" x14ac:dyDescent="0.25">
      <c r="A5114" t="s">
        <v>3296</v>
      </c>
      <c r="B5114" t="s">
        <v>2931</v>
      </c>
      <c r="C5114">
        <v>14056</v>
      </c>
      <c r="D5114" t="str">
        <f>"30009176    "</f>
        <v xml:space="preserve">30009176    </v>
      </c>
      <c r="E5114" t="s">
        <v>489</v>
      </c>
      <c r="F5114" t="s">
        <v>490</v>
      </c>
      <c r="G5114">
        <v>-141.53</v>
      </c>
      <c r="H5114">
        <v>251018</v>
      </c>
      <c r="I5114">
        <v>4580</v>
      </c>
      <c r="J5114" t="s">
        <v>126</v>
      </c>
      <c r="K5114">
        <v>-471.75</v>
      </c>
      <c r="L5114">
        <v>-28.76</v>
      </c>
      <c r="M5114">
        <v>17527</v>
      </c>
      <c r="N5114" t="s">
        <v>142</v>
      </c>
      <c r="O5114">
        <v>251022</v>
      </c>
      <c r="P5114">
        <v>-112.77</v>
      </c>
    </row>
    <row r="5115" spans="1:16" x14ac:dyDescent="0.25">
      <c r="A5115" t="s">
        <v>3296</v>
      </c>
      <c r="B5115" t="s">
        <v>2931</v>
      </c>
      <c r="C5115">
        <v>14361</v>
      </c>
      <c r="D5115" t="str">
        <f>"40425927    "</f>
        <v xml:space="preserve">40425927    </v>
      </c>
      <c r="E5115" t="s">
        <v>489</v>
      </c>
      <c r="F5115" t="s">
        <v>490</v>
      </c>
      <c r="G5115">
        <v>156.86000000000001</v>
      </c>
      <c r="H5115">
        <v>251025</v>
      </c>
      <c r="I5115">
        <v>4580</v>
      </c>
      <c r="J5115" t="s">
        <v>126</v>
      </c>
      <c r="K5115">
        <v>459.19</v>
      </c>
      <c r="L5115">
        <v>31.87</v>
      </c>
      <c r="M5115">
        <v>17527</v>
      </c>
      <c r="N5115" t="s">
        <v>142</v>
      </c>
      <c r="O5115">
        <v>251030</v>
      </c>
      <c r="P5115">
        <v>124.99</v>
      </c>
    </row>
    <row r="5116" spans="1:16" x14ac:dyDescent="0.25">
      <c r="A5116" t="s">
        <v>3296</v>
      </c>
      <c r="B5116" t="s">
        <v>2931</v>
      </c>
      <c r="C5116">
        <v>17697</v>
      </c>
      <c r="D5116" t="str">
        <f>"40461280    "</f>
        <v xml:space="preserve">40461280    </v>
      </c>
      <c r="E5116" t="s">
        <v>489</v>
      </c>
      <c r="F5116" t="s">
        <v>490</v>
      </c>
      <c r="G5116">
        <v>636.80999999999995</v>
      </c>
      <c r="H5116">
        <v>251220</v>
      </c>
      <c r="I5116">
        <v>4580</v>
      </c>
      <c r="J5116" t="s">
        <v>126</v>
      </c>
      <c r="K5116">
        <v>636.80999999999995</v>
      </c>
      <c r="L5116">
        <v>129.38999999999999</v>
      </c>
      <c r="M5116">
        <v>17737</v>
      </c>
      <c r="N5116" t="s">
        <v>156</v>
      </c>
      <c r="O5116">
        <v>251229</v>
      </c>
      <c r="P5116">
        <v>507.42</v>
      </c>
    </row>
    <row r="5117" spans="1:16" x14ac:dyDescent="0.25">
      <c r="A5117" t="s">
        <v>3296</v>
      </c>
      <c r="B5117" t="s">
        <v>2931</v>
      </c>
      <c r="C5117">
        <v>399</v>
      </c>
      <c r="D5117" t="str">
        <f>"40257663    "</f>
        <v xml:space="preserve">40257663    </v>
      </c>
      <c r="E5117" t="s">
        <v>489</v>
      </c>
      <c r="F5117" t="s">
        <v>490</v>
      </c>
      <c r="G5117">
        <v>6.45</v>
      </c>
      <c r="H5117">
        <v>250118</v>
      </c>
      <c r="I5117">
        <v>4600</v>
      </c>
      <c r="J5117" t="s">
        <v>278</v>
      </c>
      <c r="K5117">
        <v>6.45</v>
      </c>
      <c r="L5117">
        <v>1.31</v>
      </c>
      <c r="M5117">
        <v>17527</v>
      </c>
      <c r="N5117" t="s">
        <v>142</v>
      </c>
      <c r="O5117">
        <v>250122</v>
      </c>
      <c r="P5117">
        <v>5.14</v>
      </c>
    </row>
    <row r="5118" spans="1:16" x14ac:dyDescent="0.25">
      <c r="A5118" t="s">
        <v>3296</v>
      </c>
      <c r="B5118" t="s">
        <v>2931</v>
      </c>
      <c r="C5118">
        <v>1559</v>
      </c>
      <c r="D5118" t="str">
        <f>"40266465    "</f>
        <v xml:space="preserve">40266465    </v>
      </c>
      <c r="E5118" t="s">
        <v>489</v>
      </c>
      <c r="F5118" t="s">
        <v>490</v>
      </c>
      <c r="G5118">
        <v>55.25</v>
      </c>
      <c r="H5118">
        <v>250204</v>
      </c>
      <c r="I5118">
        <v>4600</v>
      </c>
      <c r="J5118" t="s">
        <v>278</v>
      </c>
      <c r="K5118">
        <v>55.25</v>
      </c>
      <c r="L5118">
        <v>11.23</v>
      </c>
      <c r="M5118">
        <v>67554</v>
      </c>
      <c r="N5118" t="s">
        <v>317</v>
      </c>
      <c r="O5118">
        <v>250211</v>
      </c>
      <c r="P5118">
        <v>44.02</v>
      </c>
    </row>
    <row r="5119" spans="1:16" x14ac:dyDescent="0.25">
      <c r="A5119" t="s">
        <v>3296</v>
      </c>
      <c r="B5119" t="s">
        <v>2931</v>
      </c>
      <c r="C5119">
        <v>1880</v>
      </c>
      <c r="D5119" t="str">
        <f>"40269354    "</f>
        <v xml:space="preserve">40269354    </v>
      </c>
      <c r="E5119" t="s">
        <v>489</v>
      </c>
      <c r="F5119" t="s">
        <v>490</v>
      </c>
      <c r="G5119">
        <v>29.28</v>
      </c>
      <c r="H5119">
        <v>250210</v>
      </c>
      <c r="I5119">
        <v>4600</v>
      </c>
      <c r="J5119" t="s">
        <v>278</v>
      </c>
      <c r="K5119">
        <v>29.28</v>
      </c>
      <c r="L5119">
        <v>5.95</v>
      </c>
      <c r="M5119">
        <v>67554</v>
      </c>
      <c r="N5119" t="s">
        <v>317</v>
      </c>
      <c r="O5119">
        <v>250214</v>
      </c>
      <c r="P5119">
        <v>23.33</v>
      </c>
    </row>
    <row r="5120" spans="1:16" x14ac:dyDescent="0.25">
      <c r="A5120" t="s">
        <v>3296</v>
      </c>
      <c r="B5120" t="s">
        <v>2931</v>
      </c>
      <c r="C5120">
        <v>2000</v>
      </c>
      <c r="D5120" t="str">
        <f>"40268851    "</f>
        <v xml:space="preserve">40268851    </v>
      </c>
      <c r="E5120" t="s">
        <v>489</v>
      </c>
      <c r="F5120" t="s">
        <v>490</v>
      </c>
      <c r="G5120">
        <v>83.7</v>
      </c>
      <c r="H5120">
        <v>250208</v>
      </c>
      <c r="I5120">
        <v>4600</v>
      </c>
      <c r="J5120" t="s">
        <v>278</v>
      </c>
      <c r="K5120">
        <v>83.7</v>
      </c>
      <c r="L5120">
        <v>17.010000000000002</v>
      </c>
      <c r="M5120">
        <v>17638</v>
      </c>
      <c r="N5120" t="s">
        <v>1182</v>
      </c>
      <c r="O5120">
        <v>250218</v>
      </c>
      <c r="P5120">
        <v>66.69</v>
      </c>
    </row>
    <row r="5121" spans="1:16" x14ac:dyDescent="0.25">
      <c r="A5121" t="s">
        <v>3296</v>
      </c>
      <c r="B5121" t="s">
        <v>2931</v>
      </c>
      <c r="C5121">
        <v>2211</v>
      </c>
      <c r="D5121" t="str">
        <f>"40273251    "</f>
        <v xml:space="preserve">40273251    </v>
      </c>
      <c r="E5121" t="s">
        <v>489</v>
      </c>
      <c r="F5121" t="s">
        <v>490</v>
      </c>
      <c r="G5121">
        <v>39.92</v>
      </c>
      <c r="H5121">
        <v>250217</v>
      </c>
      <c r="I5121">
        <v>4600</v>
      </c>
      <c r="J5121" t="s">
        <v>278</v>
      </c>
      <c r="K5121">
        <v>63.72</v>
      </c>
      <c r="L5121">
        <v>8.11</v>
      </c>
      <c r="M5121">
        <v>67554</v>
      </c>
      <c r="N5121" t="s">
        <v>317</v>
      </c>
      <c r="O5121">
        <v>250221</v>
      </c>
      <c r="P5121">
        <v>31.81</v>
      </c>
    </row>
    <row r="5122" spans="1:16" x14ac:dyDescent="0.25">
      <c r="A5122" t="s">
        <v>3296</v>
      </c>
      <c r="B5122" t="s">
        <v>2931</v>
      </c>
      <c r="C5122">
        <v>2639</v>
      </c>
      <c r="D5122" t="str">
        <f>"40275594    "</f>
        <v xml:space="preserve">40275594    </v>
      </c>
      <c r="E5122" t="s">
        <v>489</v>
      </c>
      <c r="F5122" t="s">
        <v>490</v>
      </c>
      <c r="G5122">
        <v>52.87</v>
      </c>
      <c r="H5122">
        <v>250222</v>
      </c>
      <c r="I5122">
        <v>4600</v>
      </c>
      <c r="J5122" t="s">
        <v>278</v>
      </c>
      <c r="K5122">
        <v>52.87</v>
      </c>
      <c r="L5122">
        <v>10.74</v>
      </c>
      <c r="M5122">
        <v>17527</v>
      </c>
      <c r="N5122" t="s">
        <v>142</v>
      </c>
      <c r="O5122">
        <v>250307</v>
      </c>
      <c r="P5122">
        <v>42.13</v>
      </c>
    </row>
    <row r="5123" spans="1:16" x14ac:dyDescent="0.25">
      <c r="A5123" t="s">
        <v>3296</v>
      </c>
      <c r="B5123" t="s">
        <v>2931</v>
      </c>
      <c r="C5123">
        <v>7194</v>
      </c>
      <c r="D5123" t="str">
        <f>"40319661    "</f>
        <v xml:space="preserve">40319661    </v>
      </c>
      <c r="E5123" t="s">
        <v>489</v>
      </c>
      <c r="F5123" t="s">
        <v>490</v>
      </c>
      <c r="G5123">
        <v>128.52000000000001</v>
      </c>
      <c r="H5123">
        <v>250510</v>
      </c>
      <c r="I5123">
        <v>4600</v>
      </c>
      <c r="J5123" t="s">
        <v>278</v>
      </c>
      <c r="K5123">
        <v>136.59</v>
      </c>
      <c r="L5123">
        <v>26.11</v>
      </c>
      <c r="M5123">
        <v>17526</v>
      </c>
      <c r="N5123" t="s">
        <v>141</v>
      </c>
      <c r="O5123">
        <v>250527</v>
      </c>
      <c r="P5123">
        <v>102.41</v>
      </c>
    </row>
    <row r="5124" spans="1:16" x14ac:dyDescent="0.25">
      <c r="A5124" t="s">
        <v>3296</v>
      </c>
      <c r="B5124" t="s">
        <v>2931</v>
      </c>
      <c r="C5124">
        <v>7488</v>
      </c>
      <c r="D5124" t="str">
        <f>"40327469    "</f>
        <v xml:space="preserve">40327469    </v>
      </c>
      <c r="E5124" t="s">
        <v>489</v>
      </c>
      <c r="F5124" t="s">
        <v>490</v>
      </c>
      <c r="G5124">
        <v>5.36</v>
      </c>
      <c r="H5124">
        <v>250523</v>
      </c>
      <c r="I5124">
        <v>4600</v>
      </c>
      <c r="J5124" t="s">
        <v>278</v>
      </c>
      <c r="K5124">
        <v>86.24</v>
      </c>
      <c r="L5124">
        <v>1.0900000000000001</v>
      </c>
      <c r="M5124">
        <v>67554</v>
      </c>
      <c r="N5124" t="s">
        <v>317</v>
      </c>
      <c r="O5124">
        <v>250604</v>
      </c>
      <c r="P5124">
        <v>4.2699999999999996</v>
      </c>
    </row>
    <row r="5125" spans="1:16" x14ac:dyDescent="0.25">
      <c r="A5125" t="s">
        <v>3296</v>
      </c>
      <c r="B5125" t="s">
        <v>2931</v>
      </c>
      <c r="C5125">
        <v>12720</v>
      </c>
      <c r="D5125" t="str">
        <f>"40402238    "</f>
        <v xml:space="preserve">40402238    </v>
      </c>
      <c r="E5125" t="s">
        <v>489</v>
      </c>
      <c r="F5125" t="s">
        <v>490</v>
      </c>
      <c r="G5125">
        <v>52.7</v>
      </c>
      <c r="H5125">
        <v>250920</v>
      </c>
      <c r="I5125">
        <v>4600</v>
      </c>
      <c r="J5125" t="s">
        <v>278</v>
      </c>
      <c r="K5125">
        <v>52.7</v>
      </c>
      <c r="L5125">
        <v>10.71</v>
      </c>
      <c r="M5125">
        <v>17711</v>
      </c>
      <c r="N5125" t="s">
        <v>155</v>
      </c>
      <c r="O5125">
        <v>250929</v>
      </c>
      <c r="P5125">
        <v>41.99</v>
      </c>
    </row>
    <row r="5126" spans="1:16" x14ac:dyDescent="0.25">
      <c r="A5126" t="s">
        <v>3296</v>
      </c>
      <c r="B5126" t="s">
        <v>2931</v>
      </c>
      <c r="C5126">
        <v>14054</v>
      </c>
      <c r="D5126" t="str">
        <f>"40421742    "</f>
        <v xml:space="preserve">40421742    </v>
      </c>
      <c r="E5126" t="s">
        <v>489</v>
      </c>
      <c r="F5126" t="s">
        <v>490</v>
      </c>
      <c r="G5126">
        <v>2091.38</v>
      </c>
      <c r="H5126">
        <v>251018</v>
      </c>
      <c r="I5126">
        <v>4600</v>
      </c>
      <c r="J5126" t="s">
        <v>278</v>
      </c>
      <c r="K5126">
        <v>2987.69</v>
      </c>
      <c r="L5126">
        <v>424.94</v>
      </c>
      <c r="M5126">
        <v>17638</v>
      </c>
      <c r="N5126" t="s">
        <v>1182</v>
      </c>
      <c r="O5126">
        <v>251022</v>
      </c>
      <c r="P5126">
        <v>1666.44</v>
      </c>
    </row>
    <row r="5127" spans="1:16" x14ac:dyDescent="0.25">
      <c r="A5127" t="s">
        <v>3296</v>
      </c>
      <c r="B5127" t="s">
        <v>2931</v>
      </c>
      <c r="C5127">
        <v>14056</v>
      </c>
      <c r="D5127" t="str">
        <f>"30009176    "</f>
        <v xml:space="preserve">30009176    </v>
      </c>
      <c r="E5127" t="s">
        <v>489</v>
      </c>
      <c r="F5127" t="s">
        <v>490</v>
      </c>
      <c r="G5127">
        <v>-330.22</v>
      </c>
      <c r="H5127">
        <v>251018</v>
      </c>
      <c r="I5127">
        <v>4600</v>
      </c>
      <c r="J5127" t="s">
        <v>278</v>
      </c>
      <c r="K5127">
        <v>-471.75</v>
      </c>
      <c r="L5127">
        <v>-67.099999999999994</v>
      </c>
      <c r="M5127">
        <v>17638</v>
      </c>
      <c r="N5127" t="s">
        <v>1182</v>
      </c>
      <c r="O5127">
        <v>251022</v>
      </c>
      <c r="P5127">
        <v>-263.12</v>
      </c>
    </row>
    <row r="5128" spans="1:16" x14ac:dyDescent="0.25">
      <c r="A5128" t="s">
        <v>3296</v>
      </c>
      <c r="B5128" t="s">
        <v>2931</v>
      </c>
      <c r="C5128">
        <v>14361</v>
      </c>
      <c r="D5128" t="str">
        <f>"40425927    "</f>
        <v xml:space="preserve">40425927    </v>
      </c>
      <c r="E5128" t="s">
        <v>489</v>
      </c>
      <c r="F5128" t="s">
        <v>490</v>
      </c>
      <c r="G5128">
        <v>302.33</v>
      </c>
      <c r="H5128">
        <v>251025</v>
      </c>
      <c r="I5128">
        <v>4600</v>
      </c>
      <c r="J5128" t="s">
        <v>278</v>
      </c>
      <c r="K5128">
        <v>459.19</v>
      </c>
      <c r="L5128">
        <v>61.43</v>
      </c>
      <c r="M5128">
        <v>17638</v>
      </c>
      <c r="N5128" t="s">
        <v>1182</v>
      </c>
      <c r="O5128">
        <v>251030</v>
      </c>
      <c r="P5128">
        <v>240.9</v>
      </c>
    </row>
    <row r="5129" spans="1:16" x14ac:dyDescent="0.25">
      <c r="A5129" t="s">
        <v>3296</v>
      </c>
      <c r="B5129" t="s">
        <v>2931</v>
      </c>
      <c r="C5129">
        <v>12342</v>
      </c>
      <c r="D5129" t="str">
        <f>"194         "</f>
        <v xml:space="preserve">194         </v>
      </c>
      <c r="E5129" t="s">
        <v>2346</v>
      </c>
      <c r="F5129" t="s">
        <v>2347</v>
      </c>
      <c r="G5129">
        <v>661.3</v>
      </c>
      <c r="H5129">
        <v>250910</v>
      </c>
      <c r="I5129">
        <v>4580</v>
      </c>
      <c r="J5129" t="s">
        <v>126</v>
      </c>
      <c r="K5129">
        <v>661.3</v>
      </c>
      <c r="L5129">
        <v>134.37</v>
      </c>
      <c r="M5129">
        <v>46554</v>
      </c>
      <c r="N5129" t="s">
        <v>102</v>
      </c>
      <c r="O5129">
        <v>250919</v>
      </c>
      <c r="P5129">
        <v>526.92999999999995</v>
      </c>
    </row>
    <row r="5130" spans="1:16" x14ac:dyDescent="0.25">
      <c r="A5130" t="s">
        <v>3296</v>
      </c>
      <c r="B5130" t="s">
        <v>2931</v>
      </c>
      <c r="C5130">
        <v>9736</v>
      </c>
      <c r="D5130" t="str">
        <f>"3346        "</f>
        <v xml:space="preserve">3346        </v>
      </c>
      <c r="E5130" t="s">
        <v>2142</v>
      </c>
      <c r="F5130" t="s">
        <v>2143</v>
      </c>
      <c r="G5130">
        <v>93.5</v>
      </c>
      <c r="H5130">
        <v>250715</v>
      </c>
      <c r="I5130">
        <v>4390</v>
      </c>
      <c r="J5130" t="s">
        <v>232</v>
      </c>
      <c r="K5130">
        <v>850</v>
      </c>
      <c r="L5130">
        <v>19</v>
      </c>
      <c r="M5130">
        <v>13552</v>
      </c>
      <c r="N5130" t="s">
        <v>133</v>
      </c>
      <c r="O5130">
        <v>250728</v>
      </c>
      <c r="P5130">
        <v>74.5</v>
      </c>
    </row>
    <row r="5131" spans="1:16" x14ac:dyDescent="0.25">
      <c r="A5131" t="s">
        <v>3296</v>
      </c>
      <c r="B5131" t="s">
        <v>2931</v>
      </c>
      <c r="C5131">
        <v>9736</v>
      </c>
      <c r="D5131" t="str">
        <f>"3346        "</f>
        <v xml:space="preserve">3346        </v>
      </c>
      <c r="E5131" t="s">
        <v>2142</v>
      </c>
      <c r="F5131" t="s">
        <v>2143</v>
      </c>
      <c r="G5131">
        <v>756.5</v>
      </c>
      <c r="H5131">
        <v>250715</v>
      </c>
      <c r="I5131">
        <v>4390</v>
      </c>
      <c r="J5131" t="s">
        <v>232</v>
      </c>
      <c r="K5131">
        <v>850</v>
      </c>
      <c r="L5131">
        <v>153.71</v>
      </c>
      <c r="M5131">
        <v>17918</v>
      </c>
      <c r="N5131" t="s">
        <v>152</v>
      </c>
      <c r="O5131">
        <v>250728</v>
      </c>
      <c r="P5131">
        <v>602.79</v>
      </c>
    </row>
    <row r="5132" spans="1:16" x14ac:dyDescent="0.25">
      <c r="A5132" t="s">
        <v>3296</v>
      </c>
      <c r="B5132" t="s">
        <v>2931</v>
      </c>
      <c r="C5132">
        <v>17059</v>
      </c>
      <c r="D5132" t="str">
        <f>"30898       "</f>
        <v xml:space="preserve">30898       </v>
      </c>
      <c r="E5132" t="s">
        <v>2718</v>
      </c>
      <c r="F5132" t="s">
        <v>2719</v>
      </c>
      <c r="G5132">
        <v>1062.25</v>
      </c>
      <c r="H5132">
        <v>251211</v>
      </c>
      <c r="I5132">
        <v>4390</v>
      </c>
      <c r="J5132" t="s">
        <v>232</v>
      </c>
      <c r="K5132">
        <v>9656.81</v>
      </c>
      <c r="L5132">
        <v>215.84</v>
      </c>
      <c r="M5132">
        <v>13540</v>
      </c>
      <c r="N5132" t="s">
        <v>131</v>
      </c>
      <c r="O5132">
        <v>251216</v>
      </c>
      <c r="P5132">
        <v>846.41</v>
      </c>
    </row>
    <row r="5133" spans="1:16" x14ac:dyDescent="0.25">
      <c r="A5133" t="s">
        <v>3296</v>
      </c>
      <c r="B5133" t="s">
        <v>2931</v>
      </c>
      <c r="C5133">
        <v>17059</v>
      </c>
      <c r="D5133" t="str">
        <f>"30898       "</f>
        <v xml:space="preserve">30898       </v>
      </c>
      <c r="E5133" t="s">
        <v>2718</v>
      </c>
      <c r="F5133" t="s">
        <v>2719</v>
      </c>
      <c r="G5133">
        <v>8594.56</v>
      </c>
      <c r="H5133">
        <v>251211</v>
      </c>
      <c r="I5133">
        <v>4390</v>
      </c>
      <c r="J5133" t="s">
        <v>232</v>
      </c>
      <c r="K5133">
        <v>9656.81</v>
      </c>
      <c r="L5133">
        <v>1746.31</v>
      </c>
      <c r="M5133">
        <v>17950</v>
      </c>
      <c r="N5133" t="s">
        <v>132</v>
      </c>
      <c r="O5133">
        <v>251216</v>
      </c>
      <c r="P5133">
        <v>6848.25</v>
      </c>
    </row>
    <row r="5134" spans="1:16" x14ac:dyDescent="0.25">
      <c r="A5134" t="s">
        <v>3296</v>
      </c>
      <c r="B5134" t="s">
        <v>2931</v>
      </c>
      <c r="C5134">
        <v>17959</v>
      </c>
      <c r="D5134" t="str">
        <f>"30989       "</f>
        <v xml:space="preserve">30989       </v>
      </c>
      <c r="E5134" t="s">
        <v>2718</v>
      </c>
      <c r="F5134" t="s">
        <v>2719</v>
      </c>
      <c r="G5134">
        <v>526.32000000000005</v>
      </c>
      <c r="H5134">
        <v>251229</v>
      </c>
      <c r="I5134">
        <v>4390</v>
      </c>
      <c r="J5134" t="s">
        <v>232</v>
      </c>
      <c r="K5134">
        <v>4784.7</v>
      </c>
      <c r="L5134">
        <v>106.94</v>
      </c>
      <c r="M5134">
        <v>13540</v>
      </c>
      <c r="N5134" t="s">
        <v>131</v>
      </c>
      <c r="O5134">
        <v>260107</v>
      </c>
      <c r="P5134">
        <v>419.38</v>
      </c>
    </row>
    <row r="5135" spans="1:16" x14ac:dyDescent="0.25">
      <c r="A5135" t="s">
        <v>3296</v>
      </c>
      <c r="B5135" t="s">
        <v>2931</v>
      </c>
      <c r="C5135">
        <v>17959</v>
      </c>
      <c r="D5135" t="str">
        <f>"30989       "</f>
        <v xml:space="preserve">30989       </v>
      </c>
      <c r="E5135" t="s">
        <v>2718</v>
      </c>
      <c r="F5135" t="s">
        <v>2719</v>
      </c>
      <c r="G5135">
        <v>4258.38</v>
      </c>
      <c r="H5135">
        <v>251229</v>
      </c>
      <c r="I5135">
        <v>4390</v>
      </c>
      <c r="J5135" t="s">
        <v>232</v>
      </c>
      <c r="K5135">
        <v>4784.7</v>
      </c>
      <c r="L5135">
        <v>865.25</v>
      </c>
      <c r="M5135">
        <v>17950</v>
      </c>
      <c r="N5135" t="s">
        <v>132</v>
      </c>
      <c r="O5135">
        <v>260107</v>
      </c>
      <c r="P5135">
        <v>3393.13</v>
      </c>
    </row>
    <row r="5136" spans="1:16" x14ac:dyDescent="0.25">
      <c r="A5136" t="s">
        <v>3296</v>
      </c>
      <c r="B5136" t="s">
        <v>2931</v>
      </c>
      <c r="C5136">
        <v>1730</v>
      </c>
      <c r="D5136" t="str">
        <f>"118-24      "</f>
        <v xml:space="preserve">118-24      </v>
      </c>
      <c r="E5136" t="s">
        <v>3001</v>
      </c>
      <c r="F5136" t="s">
        <v>3002</v>
      </c>
      <c r="G5136">
        <v>250</v>
      </c>
      <c r="H5136">
        <v>250205</v>
      </c>
      <c r="I5136">
        <v>4350</v>
      </c>
      <c r="J5136" t="s">
        <v>290</v>
      </c>
      <c r="K5136">
        <v>250</v>
      </c>
      <c r="L5136">
        <v>0</v>
      </c>
      <c r="M5136">
        <v>49702</v>
      </c>
      <c r="N5136" t="s">
        <v>112</v>
      </c>
      <c r="O5136">
        <v>250213</v>
      </c>
      <c r="P5136">
        <v>250</v>
      </c>
    </row>
    <row r="5137" spans="1:16" x14ac:dyDescent="0.25">
      <c r="A5137" t="s">
        <v>3296</v>
      </c>
      <c r="B5137" t="s">
        <v>2931</v>
      </c>
      <c r="C5137">
        <v>1740</v>
      </c>
      <c r="D5137" t="str">
        <f>"404875      "</f>
        <v xml:space="preserve">404875      </v>
      </c>
      <c r="E5137" t="s">
        <v>1096</v>
      </c>
      <c r="F5137" t="s">
        <v>1097</v>
      </c>
      <c r="G5137">
        <v>2823.75</v>
      </c>
      <c r="H5137">
        <v>250207</v>
      </c>
      <c r="I5137">
        <v>4367</v>
      </c>
      <c r="J5137" t="s">
        <v>159</v>
      </c>
      <c r="K5137">
        <v>2823.75</v>
      </c>
      <c r="L5137">
        <v>573.75</v>
      </c>
      <c r="M5137">
        <v>11801</v>
      </c>
      <c r="N5137" t="s">
        <v>40</v>
      </c>
      <c r="O5137">
        <v>250213</v>
      </c>
      <c r="P5137">
        <v>2250</v>
      </c>
    </row>
    <row r="5138" spans="1:16" x14ac:dyDescent="0.25">
      <c r="A5138" t="s">
        <v>3296</v>
      </c>
      <c r="B5138" t="s">
        <v>2931</v>
      </c>
      <c r="C5138">
        <v>9136</v>
      </c>
      <c r="D5138" t="str">
        <f>"405564      "</f>
        <v xml:space="preserve">405564      </v>
      </c>
      <c r="E5138" t="s">
        <v>1096</v>
      </c>
      <c r="F5138" t="s">
        <v>1097</v>
      </c>
      <c r="G5138">
        <v>3197.74</v>
      </c>
      <c r="H5138">
        <v>250617</v>
      </c>
      <c r="I5138">
        <v>4367</v>
      </c>
      <c r="J5138" t="s">
        <v>159</v>
      </c>
      <c r="K5138">
        <v>3197.74</v>
      </c>
      <c r="L5138">
        <v>649.74</v>
      </c>
      <c r="M5138">
        <v>11801</v>
      </c>
      <c r="N5138" t="s">
        <v>40</v>
      </c>
      <c r="O5138">
        <v>250627</v>
      </c>
      <c r="P5138">
        <v>2548</v>
      </c>
    </row>
    <row r="5139" spans="1:16" x14ac:dyDescent="0.25">
      <c r="A5139" t="s">
        <v>3296</v>
      </c>
      <c r="B5139" t="s">
        <v>2931</v>
      </c>
      <c r="C5139">
        <v>445</v>
      </c>
      <c r="D5139" t="str">
        <f>"6270228     "</f>
        <v xml:space="preserve">6270228     </v>
      </c>
      <c r="E5139" t="s">
        <v>295</v>
      </c>
      <c r="F5139" t="s">
        <v>297</v>
      </c>
      <c r="G5139">
        <v>1270.8599999999999</v>
      </c>
      <c r="H5139">
        <v>250114</v>
      </c>
      <c r="I5139">
        <v>4530</v>
      </c>
      <c r="J5139" t="s">
        <v>293</v>
      </c>
      <c r="K5139">
        <v>1270.8599999999999</v>
      </c>
      <c r="L5139">
        <v>258.22000000000003</v>
      </c>
      <c r="M5139">
        <v>47522</v>
      </c>
      <c r="N5139" t="s">
        <v>106</v>
      </c>
      <c r="O5139">
        <v>250122</v>
      </c>
      <c r="P5139">
        <v>1012.64</v>
      </c>
    </row>
    <row r="5140" spans="1:16" x14ac:dyDescent="0.25">
      <c r="A5140" t="s">
        <v>3296</v>
      </c>
      <c r="B5140" t="s">
        <v>2931</v>
      </c>
      <c r="C5140">
        <v>481</v>
      </c>
      <c r="D5140" t="str">
        <f>"6269438     "</f>
        <v xml:space="preserve">6269438     </v>
      </c>
      <c r="E5140" t="s">
        <v>295</v>
      </c>
      <c r="F5140" t="s">
        <v>297</v>
      </c>
      <c r="G5140">
        <v>663.68</v>
      </c>
      <c r="H5140">
        <v>250107</v>
      </c>
      <c r="I5140">
        <v>4530</v>
      </c>
      <c r="J5140" t="s">
        <v>293</v>
      </c>
      <c r="K5140">
        <v>663.68</v>
      </c>
      <c r="L5140">
        <v>134.85</v>
      </c>
      <c r="M5140">
        <v>44222</v>
      </c>
      <c r="N5140" t="s">
        <v>96</v>
      </c>
      <c r="O5140">
        <v>250123</v>
      </c>
      <c r="P5140">
        <v>528.83000000000004</v>
      </c>
    </row>
    <row r="5141" spans="1:16" x14ac:dyDescent="0.25">
      <c r="A5141" t="s">
        <v>3296</v>
      </c>
      <c r="B5141" t="s">
        <v>2931</v>
      </c>
      <c r="C5141">
        <v>512</v>
      </c>
      <c r="D5141" t="str">
        <f>"6270347     "</f>
        <v xml:space="preserve">6270347     </v>
      </c>
      <c r="E5141" t="s">
        <v>295</v>
      </c>
      <c r="F5141" t="s">
        <v>297</v>
      </c>
      <c r="G5141">
        <v>1304.57</v>
      </c>
      <c r="H5141">
        <v>250115</v>
      </c>
      <c r="I5141">
        <v>4530</v>
      </c>
      <c r="J5141" t="s">
        <v>293</v>
      </c>
      <c r="K5141">
        <v>1304.57</v>
      </c>
      <c r="L5141">
        <v>265.07</v>
      </c>
      <c r="M5141">
        <v>47522</v>
      </c>
      <c r="N5141" t="s">
        <v>106</v>
      </c>
      <c r="O5141">
        <v>250123</v>
      </c>
      <c r="P5141">
        <v>1039.5</v>
      </c>
    </row>
    <row r="5142" spans="1:16" x14ac:dyDescent="0.25">
      <c r="A5142" t="s">
        <v>3296</v>
      </c>
      <c r="B5142" t="s">
        <v>2931</v>
      </c>
      <c r="C5142">
        <v>522</v>
      </c>
      <c r="D5142" t="str">
        <f>"6270463     "</f>
        <v xml:space="preserve">6270463     </v>
      </c>
      <c r="E5142" t="s">
        <v>295</v>
      </c>
      <c r="F5142" t="s">
        <v>297</v>
      </c>
      <c r="G5142">
        <v>65.69</v>
      </c>
      <c r="H5142">
        <v>250115</v>
      </c>
      <c r="I5142">
        <v>4530</v>
      </c>
      <c r="J5142" t="s">
        <v>293</v>
      </c>
      <c r="K5142">
        <v>65.69</v>
      </c>
      <c r="L5142">
        <v>13.35</v>
      </c>
      <c r="M5142">
        <v>67522</v>
      </c>
      <c r="N5142" t="s">
        <v>121</v>
      </c>
      <c r="O5142">
        <v>250123</v>
      </c>
      <c r="P5142">
        <v>52.34</v>
      </c>
    </row>
    <row r="5143" spans="1:16" x14ac:dyDescent="0.25">
      <c r="A5143" t="s">
        <v>3296</v>
      </c>
      <c r="B5143" t="s">
        <v>2931</v>
      </c>
      <c r="C5143">
        <v>539</v>
      </c>
      <c r="D5143" t="str">
        <f>"6270757     "</f>
        <v xml:space="preserve">6270757     </v>
      </c>
      <c r="E5143" t="s">
        <v>295</v>
      </c>
      <c r="F5143" t="s">
        <v>297</v>
      </c>
      <c r="G5143">
        <v>116.3</v>
      </c>
      <c r="H5143">
        <v>250117</v>
      </c>
      <c r="I5143">
        <v>4530</v>
      </c>
      <c r="J5143" t="s">
        <v>293</v>
      </c>
      <c r="K5143">
        <v>116.3</v>
      </c>
      <c r="L5143">
        <v>23.63</v>
      </c>
      <c r="M5143">
        <v>67522</v>
      </c>
      <c r="N5143" t="s">
        <v>121</v>
      </c>
      <c r="O5143">
        <v>250123</v>
      </c>
      <c r="P5143">
        <v>92.67</v>
      </c>
    </row>
    <row r="5144" spans="1:16" x14ac:dyDescent="0.25">
      <c r="A5144" t="s">
        <v>3296</v>
      </c>
      <c r="B5144" t="s">
        <v>2931</v>
      </c>
      <c r="C5144">
        <v>550</v>
      </c>
      <c r="D5144" t="str">
        <f>"6271053     "</f>
        <v xml:space="preserve">6271053     </v>
      </c>
      <c r="E5144" t="s">
        <v>295</v>
      </c>
      <c r="F5144" t="s">
        <v>297</v>
      </c>
      <c r="G5144">
        <v>106.12</v>
      </c>
      <c r="H5144">
        <v>250120</v>
      </c>
      <c r="I5144">
        <v>4530</v>
      </c>
      <c r="J5144" t="s">
        <v>293</v>
      </c>
      <c r="K5144">
        <v>106.12</v>
      </c>
      <c r="L5144">
        <v>21.56</v>
      </c>
      <c r="M5144">
        <v>66722</v>
      </c>
      <c r="N5144" t="s">
        <v>118</v>
      </c>
      <c r="O5144">
        <v>250123</v>
      </c>
      <c r="P5144">
        <v>84.56</v>
      </c>
    </row>
    <row r="5145" spans="1:16" x14ac:dyDescent="0.25">
      <c r="A5145" t="s">
        <v>3296</v>
      </c>
      <c r="B5145" t="s">
        <v>2931</v>
      </c>
      <c r="C5145">
        <v>551</v>
      </c>
      <c r="D5145" t="str">
        <f>"6271090     "</f>
        <v xml:space="preserve">6271090     </v>
      </c>
      <c r="E5145" t="s">
        <v>295</v>
      </c>
      <c r="F5145" t="s">
        <v>297</v>
      </c>
      <c r="G5145">
        <v>158.86000000000001</v>
      </c>
      <c r="H5145">
        <v>250120</v>
      </c>
      <c r="I5145">
        <v>4530</v>
      </c>
      <c r="J5145" t="s">
        <v>293</v>
      </c>
      <c r="K5145">
        <v>158.86000000000001</v>
      </c>
      <c r="L5145">
        <v>32.28</v>
      </c>
      <c r="M5145">
        <v>66722</v>
      </c>
      <c r="N5145" t="s">
        <v>118</v>
      </c>
      <c r="O5145">
        <v>250123</v>
      </c>
      <c r="P5145">
        <v>126.58</v>
      </c>
    </row>
    <row r="5146" spans="1:16" x14ac:dyDescent="0.25">
      <c r="A5146" t="s">
        <v>3296</v>
      </c>
      <c r="B5146" t="s">
        <v>2931</v>
      </c>
      <c r="C5146">
        <v>584</v>
      </c>
      <c r="D5146" t="str">
        <f>"6269997     "</f>
        <v xml:space="preserve">6269997     </v>
      </c>
      <c r="E5146" t="s">
        <v>295</v>
      </c>
      <c r="F5146" t="s">
        <v>297</v>
      </c>
      <c r="G5146">
        <v>118.36</v>
      </c>
      <c r="H5146">
        <v>250110</v>
      </c>
      <c r="I5146">
        <v>4530</v>
      </c>
      <c r="J5146" t="s">
        <v>293</v>
      </c>
      <c r="K5146">
        <v>118.36</v>
      </c>
      <c r="L5146">
        <v>24.05</v>
      </c>
      <c r="M5146">
        <v>17522</v>
      </c>
      <c r="N5146" t="s">
        <v>137</v>
      </c>
      <c r="O5146">
        <v>250124</v>
      </c>
      <c r="P5146">
        <v>94.31</v>
      </c>
    </row>
    <row r="5147" spans="1:16" x14ac:dyDescent="0.25">
      <c r="A5147" t="s">
        <v>3296</v>
      </c>
      <c r="B5147" t="s">
        <v>2931</v>
      </c>
      <c r="C5147">
        <v>600</v>
      </c>
      <c r="D5147" t="str">
        <f>"6270257     "</f>
        <v xml:space="preserve">6270257     </v>
      </c>
      <c r="E5147" t="s">
        <v>295</v>
      </c>
      <c r="F5147" t="s">
        <v>297</v>
      </c>
      <c r="G5147">
        <v>86.97</v>
      </c>
      <c r="H5147">
        <v>250114</v>
      </c>
      <c r="I5147">
        <v>4530</v>
      </c>
      <c r="J5147" t="s">
        <v>293</v>
      </c>
      <c r="K5147">
        <v>86.97</v>
      </c>
      <c r="L5147">
        <v>17.670000000000002</v>
      </c>
      <c r="M5147">
        <v>17522</v>
      </c>
      <c r="N5147" t="s">
        <v>137</v>
      </c>
      <c r="O5147">
        <v>250124</v>
      </c>
      <c r="P5147">
        <v>69.3</v>
      </c>
    </row>
    <row r="5148" spans="1:16" x14ac:dyDescent="0.25">
      <c r="A5148" t="s">
        <v>3296</v>
      </c>
      <c r="B5148" t="s">
        <v>2931</v>
      </c>
      <c r="C5148">
        <v>612</v>
      </c>
      <c r="D5148" t="str">
        <f>"6271460     "</f>
        <v xml:space="preserve">6271460     </v>
      </c>
      <c r="E5148" t="s">
        <v>295</v>
      </c>
      <c r="F5148" t="s">
        <v>297</v>
      </c>
      <c r="G5148">
        <v>118.36</v>
      </c>
      <c r="H5148">
        <v>250122</v>
      </c>
      <c r="I5148">
        <v>4530</v>
      </c>
      <c r="J5148" t="s">
        <v>293</v>
      </c>
      <c r="K5148">
        <v>118.36</v>
      </c>
      <c r="L5148">
        <v>24.05</v>
      </c>
      <c r="M5148">
        <v>55222</v>
      </c>
      <c r="N5148" t="s">
        <v>43</v>
      </c>
      <c r="O5148">
        <v>250124</v>
      </c>
      <c r="P5148">
        <v>94.31</v>
      </c>
    </row>
    <row r="5149" spans="1:16" x14ac:dyDescent="0.25">
      <c r="A5149" t="s">
        <v>3296</v>
      </c>
      <c r="B5149" t="s">
        <v>2931</v>
      </c>
      <c r="C5149">
        <v>691</v>
      </c>
      <c r="D5149" t="str">
        <f>"6271629     "</f>
        <v xml:space="preserve">6271629     </v>
      </c>
      <c r="E5149" t="s">
        <v>295</v>
      </c>
      <c r="F5149" t="s">
        <v>297</v>
      </c>
      <c r="G5149">
        <v>2351.7600000000002</v>
      </c>
      <c r="H5149">
        <v>250123</v>
      </c>
      <c r="I5149">
        <v>4530</v>
      </c>
      <c r="J5149" t="s">
        <v>293</v>
      </c>
      <c r="K5149">
        <v>2351.7600000000002</v>
      </c>
      <c r="L5149">
        <v>477.85</v>
      </c>
      <c r="M5149">
        <v>46555</v>
      </c>
      <c r="N5149" t="s">
        <v>103</v>
      </c>
      <c r="O5149">
        <v>250128</v>
      </c>
      <c r="P5149">
        <v>1873.91</v>
      </c>
    </row>
    <row r="5150" spans="1:16" x14ac:dyDescent="0.25">
      <c r="A5150" t="s">
        <v>3296</v>
      </c>
      <c r="B5150" t="s">
        <v>2931</v>
      </c>
      <c r="C5150">
        <v>796</v>
      </c>
      <c r="D5150" t="str">
        <f>"6270631     "</f>
        <v xml:space="preserve">6270631     </v>
      </c>
      <c r="E5150" t="s">
        <v>295</v>
      </c>
      <c r="F5150" t="s">
        <v>297</v>
      </c>
      <c r="G5150">
        <v>345.68</v>
      </c>
      <c r="H5150">
        <v>250116</v>
      </c>
      <c r="I5150">
        <v>4530</v>
      </c>
      <c r="J5150" t="s">
        <v>293</v>
      </c>
      <c r="K5150">
        <v>345.68</v>
      </c>
      <c r="L5150">
        <v>70.239999999999995</v>
      </c>
      <c r="M5150">
        <v>46554</v>
      </c>
      <c r="N5150" t="s">
        <v>102</v>
      </c>
      <c r="O5150">
        <v>250129</v>
      </c>
      <c r="P5150">
        <v>275.44</v>
      </c>
    </row>
    <row r="5151" spans="1:16" x14ac:dyDescent="0.25">
      <c r="A5151" t="s">
        <v>3296</v>
      </c>
      <c r="B5151" t="s">
        <v>2931</v>
      </c>
      <c r="C5151">
        <v>798</v>
      </c>
      <c r="D5151" t="str">
        <f>"6270791     "</f>
        <v xml:space="preserve">6270791     </v>
      </c>
      <c r="E5151" t="s">
        <v>295</v>
      </c>
      <c r="F5151" t="s">
        <v>297</v>
      </c>
      <c r="G5151">
        <v>264.08</v>
      </c>
      <c r="H5151">
        <v>250117</v>
      </c>
      <c r="I5151">
        <v>4530</v>
      </c>
      <c r="J5151" t="s">
        <v>293</v>
      </c>
      <c r="K5151">
        <v>264.08</v>
      </c>
      <c r="L5151">
        <v>53.66</v>
      </c>
      <c r="M5151">
        <v>46554</v>
      </c>
      <c r="N5151" t="s">
        <v>102</v>
      </c>
      <c r="O5151">
        <v>250129</v>
      </c>
      <c r="P5151">
        <v>210.42</v>
      </c>
    </row>
    <row r="5152" spans="1:16" x14ac:dyDescent="0.25">
      <c r="A5152" t="s">
        <v>3296</v>
      </c>
      <c r="B5152" t="s">
        <v>2931</v>
      </c>
      <c r="C5152">
        <v>805</v>
      </c>
      <c r="D5152" t="str">
        <f>"6271061     "</f>
        <v xml:space="preserve">6271061     </v>
      </c>
      <c r="E5152" t="s">
        <v>295</v>
      </c>
      <c r="F5152" t="s">
        <v>297</v>
      </c>
      <c r="G5152">
        <v>1033.6199999999999</v>
      </c>
      <c r="H5152">
        <v>250120</v>
      </c>
      <c r="I5152">
        <v>4530</v>
      </c>
      <c r="J5152" t="s">
        <v>293</v>
      </c>
      <c r="K5152">
        <v>1327.09</v>
      </c>
      <c r="L5152">
        <v>210.02</v>
      </c>
      <c r="M5152">
        <v>17527</v>
      </c>
      <c r="N5152" t="s">
        <v>142</v>
      </c>
      <c r="O5152">
        <v>250129</v>
      </c>
      <c r="P5152">
        <v>823.6</v>
      </c>
    </row>
    <row r="5153" spans="1:16" x14ac:dyDescent="0.25">
      <c r="A5153" t="s">
        <v>3296</v>
      </c>
      <c r="B5153" t="s">
        <v>2931</v>
      </c>
      <c r="C5153">
        <v>815</v>
      </c>
      <c r="D5153" t="str">
        <f>"6271650     "</f>
        <v xml:space="preserve">6271650     </v>
      </c>
      <c r="E5153" t="s">
        <v>295</v>
      </c>
      <c r="F5153" t="s">
        <v>297</v>
      </c>
      <c r="G5153">
        <v>710.15</v>
      </c>
      <c r="H5153">
        <v>250123</v>
      </c>
      <c r="I5153">
        <v>4530</v>
      </c>
      <c r="J5153" t="s">
        <v>293</v>
      </c>
      <c r="K5153">
        <v>710.15</v>
      </c>
      <c r="L5153">
        <v>144.29</v>
      </c>
      <c r="M5153">
        <v>46555</v>
      </c>
      <c r="N5153" t="s">
        <v>103</v>
      </c>
      <c r="O5153">
        <v>250129</v>
      </c>
      <c r="P5153">
        <v>565.86</v>
      </c>
    </row>
    <row r="5154" spans="1:16" x14ac:dyDescent="0.25">
      <c r="A5154" t="s">
        <v>3296</v>
      </c>
      <c r="B5154" t="s">
        <v>2931</v>
      </c>
      <c r="C5154">
        <v>1131</v>
      </c>
      <c r="D5154" t="str">
        <f>"6271961     "</f>
        <v xml:space="preserve">6271961     </v>
      </c>
      <c r="E5154" t="s">
        <v>295</v>
      </c>
      <c r="F5154" t="s">
        <v>297</v>
      </c>
      <c r="G5154">
        <v>304.14</v>
      </c>
      <c r="H5154">
        <v>250127</v>
      </c>
      <c r="I5154">
        <v>4530</v>
      </c>
      <c r="J5154" t="s">
        <v>293</v>
      </c>
      <c r="K5154">
        <v>304.14</v>
      </c>
      <c r="L5154">
        <v>61.8</v>
      </c>
      <c r="M5154">
        <v>56564</v>
      </c>
      <c r="N5154" t="s">
        <v>56</v>
      </c>
      <c r="O5154">
        <v>250204</v>
      </c>
      <c r="P5154">
        <v>242.34</v>
      </c>
    </row>
    <row r="5155" spans="1:16" x14ac:dyDescent="0.25">
      <c r="A5155" t="s">
        <v>3296</v>
      </c>
      <c r="B5155" t="s">
        <v>2931</v>
      </c>
      <c r="C5155">
        <v>1132</v>
      </c>
      <c r="D5155" t="str">
        <f>"6271960     "</f>
        <v xml:space="preserve">6271960     </v>
      </c>
      <c r="E5155" t="s">
        <v>295</v>
      </c>
      <c r="F5155" t="s">
        <v>297</v>
      </c>
      <c r="G5155">
        <v>101.38</v>
      </c>
      <c r="H5155">
        <v>250127</v>
      </c>
      <c r="I5155">
        <v>4530</v>
      </c>
      <c r="J5155" t="s">
        <v>293</v>
      </c>
      <c r="K5155">
        <v>101.38</v>
      </c>
      <c r="L5155">
        <v>20.6</v>
      </c>
      <c r="M5155">
        <v>56564</v>
      </c>
      <c r="N5155" t="s">
        <v>56</v>
      </c>
      <c r="O5155">
        <v>250204</v>
      </c>
      <c r="P5155">
        <v>80.78</v>
      </c>
    </row>
    <row r="5156" spans="1:16" x14ac:dyDescent="0.25">
      <c r="A5156" t="s">
        <v>3296</v>
      </c>
      <c r="B5156" t="s">
        <v>2931</v>
      </c>
      <c r="C5156">
        <v>1696</v>
      </c>
      <c r="D5156" t="str">
        <f>"6273595     "</f>
        <v xml:space="preserve">6273595     </v>
      </c>
      <c r="E5156" t="s">
        <v>295</v>
      </c>
      <c r="F5156" t="s">
        <v>297</v>
      </c>
      <c r="G5156">
        <v>317.72000000000003</v>
      </c>
      <c r="H5156">
        <v>250206</v>
      </c>
      <c r="I5156">
        <v>4530</v>
      </c>
      <c r="J5156" t="s">
        <v>293</v>
      </c>
      <c r="K5156">
        <v>317.72000000000003</v>
      </c>
      <c r="L5156">
        <v>64.56</v>
      </c>
      <c r="M5156">
        <v>46554</v>
      </c>
      <c r="N5156" t="s">
        <v>102</v>
      </c>
      <c r="O5156">
        <v>250212</v>
      </c>
      <c r="P5156">
        <v>253.16</v>
      </c>
    </row>
    <row r="5157" spans="1:16" x14ac:dyDescent="0.25">
      <c r="A5157" t="s">
        <v>3296</v>
      </c>
      <c r="B5157" t="s">
        <v>2931</v>
      </c>
      <c r="C5157">
        <v>1900</v>
      </c>
      <c r="D5157" t="str">
        <f>"6273994     "</f>
        <v xml:space="preserve">6273994     </v>
      </c>
      <c r="E5157" t="s">
        <v>295</v>
      </c>
      <c r="F5157" t="s">
        <v>297</v>
      </c>
      <c r="G5157">
        <v>53.36</v>
      </c>
      <c r="H5157">
        <v>250211</v>
      </c>
      <c r="I5157">
        <v>4530</v>
      </c>
      <c r="J5157" t="s">
        <v>293</v>
      </c>
      <c r="K5157">
        <v>53.36</v>
      </c>
      <c r="L5157">
        <v>10.84</v>
      </c>
      <c r="M5157">
        <v>56563</v>
      </c>
      <c r="N5157" t="s">
        <v>55</v>
      </c>
      <c r="O5157">
        <v>250214</v>
      </c>
      <c r="P5157">
        <v>42.52</v>
      </c>
    </row>
    <row r="5158" spans="1:16" x14ac:dyDescent="0.25">
      <c r="A5158" t="s">
        <v>3296</v>
      </c>
      <c r="B5158" t="s">
        <v>2931</v>
      </c>
      <c r="C5158">
        <v>1982</v>
      </c>
      <c r="D5158" t="str">
        <f>"6273229     "</f>
        <v xml:space="preserve">6273229     </v>
      </c>
      <c r="E5158" t="s">
        <v>295</v>
      </c>
      <c r="F5158" t="s">
        <v>297</v>
      </c>
      <c r="G5158">
        <v>473.44</v>
      </c>
      <c r="H5158">
        <v>250204</v>
      </c>
      <c r="I5158">
        <v>4530</v>
      </c>
      <c r="J5158" t="s">
        <v>293</v>
      </c>
      <c r="K5158">
        <v>473.44</v>
      </c>
      <c r="L5158">
        <v>96.2</v>
      </c>
      <c r="M5158">
        <v>46555</v>
      </c>
      <c r="N5158" t="s">
        <v>103</v>
      </c>
      <c r="O5158">
        <v>250218</v>
      </c>
      <c r="P5158">
        <v>377.24</v>
      </c>
    </row>
    <row r="5159" spans="1:16" x14ac:dyDescent="0.25">
      <c r="A5159" t="s">
        <v>3296</v>
      </c>
      <c r="B5159" t="s">
        <v>2931</v>
      </c>
      <c r="C5159">
        <v>1986</v>
      </c>
      <c r="D5159" t="str">
        <f>"6273365     "</f>
        <v xml:space="preserve">6273365     </v>
      </c>
      <c r="E5159" t="s">
        <v>295</v>
      </c>
      <c r="F5159" t="s">
        <v>297</v>
      </c>
      <c r="G5159">
        <v>1422.43</v>
      </c>
      <c r="H5159">
        <v>250205</v>
      </c>
      <c r="I5159">
        <v>4530</v>
      </c>
      <c r="J5159" t="s">
        <v>293</v>
      </c>
      <c r="K5159">
        <v>1422.43</v>
      </c>
      <c r="L5159">
        <v>289.02</v>
      </c>
      <c r="M5159">
        <v>46555</v>
      </c>
      <c r="N5159" t="s">
        <v>103</v>
      </c>
      <c r="O5159">
        <v>250218</v>
      </c>
      <c r="P5159">
        <v>1133.4100000000001</v>
      </c>
    </row>
    <row r="5160" spans="1:16" x14ac:dyDescent="0.25">
      <c r="A5160" t="s">
        <v>3296</v>
      </c>
      <c r="B5160" t="s">
        <v>2931</v>
      </c>
      <c r="C5160">
        <v>2243</v>
      </c>
      <c r="D5160" t="str">
        <f>"6274749     "</f>
        <v xml:space="preserve">6274749     </v>
      </c>
      <c r="E5160" t="s">
        <v>295</v>
      </c>
      <c r="F5160" t="s">
        <v>297</v>
      </c>
      <c r="G5160">
        <v>219.38</v>
      </c>
      <c r="H5160">
        <v>250217</v>
      </c>
      <c r="I5160">
        <v>4530</v>
      </c>
      <c r="J5160" t="s">
        <v>293</v>
      </c>
      <c r="K5160">
        <v>438.76</v>
      </c>
      <c r="L5160">
        <v>44.58</v>
      </c>
      <c r="M5160">
        <v>18125</v>
      </c>
      <c r="N5160" t="s">
        <v>1230</v>
      </c>
      <c r="O5160">
        <v>250221</v>
      </c>
      <c r="P5160">
        <v>174.8</v>
      </c>
    </row>
    <row r="5161" spans="1:16" x14ac:dyDescent="0.25">
      <c r="A5161" t="s">
        <v>3296</v>
      </c>
      <c r="B5161" t="s">
        <v>2931</v>
      </c>
      <c r="C5161">
        <v>2243</v>
      </c>
      <c r="D5161" t="str">
        <f>"6274749     "</f>
        <v xml:space="preserve">6274749     </v>
      </c>
      <c r="E5161" t="s">
        <v>295</v>
      </c>
      <c r="F5161" t="s">
        <v>297</v>
      </c>
      <c r="G5161">
        <v>219.38</v>
      </c>
      <c r="H5161">
        <v>250217</v>
      </c>
      <c r="I5161">
        <v>4530</v>
      </c>
      <c r="J5161" t="s">
        <v>293</v>
      </c>
      <c r="K5161">
        <v>438.76</v>
      </c>
      <c r="L5161">
        <v>44.58</v>
      </c>
      <c r="M5161">
        <v>18742</v>
      </c>
      <c r="N5161" t="s">
        <v>323</v>
      </c>
      <c r="O5161">
        <v>250221</v>
      </c>
      <c r="P5161">
        <v>174.8</v>
      </c>
    </row>
    <row r="5162" spans="1:16" x14ac:dyDescent="0.25">
      <c r="A5162" t="s">
        <v>3296</v>
      </c>
      <c r="B5162" t="s">
        <v>2931</v>
      </c>
      <c r="C5162">
        <v>2244</v>
      </c>
      <c r="D5162" t="str">
        <f>"6274678     "</f>
        <v xml:space="preserve">6274678     </v>
      </c>
      <c r="E5162" t="s">
        <v>295</v>
      </c>
      <c r="F5162" t="s">
        <v>297</v>
      </c>
      <c r="G5162">
        <v>61.31</v>
      </c>
      <c r="H5162">
        <v>250217</v>
      </c>
      <c r="I5162">
        <v>4530</v>
      </c>
      <c r="J5162" t="s">
        <v>293</v>
      </c>
      <c r="K5162">
        <v>122.61</v>
      </c>
      <c r="L5162">
        <v>12.46</v>
      </c>
      <c r="M5162">
        <v>18125</v>
      </c>
      <c r="N5162" t="s">
        <v>1230</v>
      </c>
      <c r="O5162">
        <v>250221</v>
      </c>
      <c r="P5162">
        <v>48.85</v>
      </c>
    </row>
    <row r="5163" spans="1:16" x14ac:dyDescent="0.25">
      <c r="A5163" t="s">
        <v>3296</v>
      </c>
      <c r="B5163" t="s">
        <v>2931</v>
      </c>
      <c r="C5163">
        <v>2244</v>
      </c>
      <c r="D5163" t="str">
        <f>"6274678     "</f>
        <v xml:space="preserve">6274678     </v>
      </c>
      <c r="E5163" t="s">
        <v>295</v>
      </c>
      <c r="F5163" t="s">
        <v>297</v>
      </c>
      <c r="G5163">
        <v>61.3</v>
      </c>
      <c r="H5163">
        <v>250217</v>
      </c>
      <c r="I5163">
        <v>4530</v>
      </c>
      <c r="J5163" t="s">
        <v>293</v>
      </c>
      <c r="K5163">
        <v>122.61</v>
      </c>
      <c r="L5163">
        <v>12.46</v>
      </c>
      <c r="M5163">
        <v>18742</v>
      </c>
      <c r="N5163" t="s">
        <v>323</v>
      </c>
      <c r="O5163">
        <v>250221</v>
      </c>
      <c r="P5163">
        <v>48.84</v>
      </c>
    </row>
    <row r="5164" spans="1:16" x14ac:dyDescent="0.25">
      <c r="A5164" t="s">
        <v>3296</v>
      </c>
      <c r="B5164" t="s">
        <v>2931</v>
      </c>
      <c r="C5164">
        <v>2245</v>
      </c>
      <c r="D5164" t="str">
        <f>"6274737     "</f>
        <v xml:space="preserve">6274737     </v>
      </c>
      <c r="E5164" t="s">
        <v>295</v>
      </c>
      <c r="F5164" t="s">
        <v>297</v>
      </c>
      <c r="G5164">
        <v>267.60000000000002</v>
      </c>
      <c r="H5164">
        <v>250217</v>
      </c>
      <c r="I5164">
        <v>4530</v>
      </c>
      <c r="J5164" t="s">
        <v>293</v>
      </c>
      <c r="K5164">
        <v>267.60000000000002</v>
      </c>
      <c r="L5164">
        <v>54.37</v>
      </c>
      <c r="M5164">
        <v>17807</v>
      </c>
      <c r="N5164" t="s">
        <v>23</v>
      </c>
      <c r="O5164">
        <v>250221</v>
      </c>
      <c r="P5164">
        <v>213.23</v>
      </c>
    </row>
    <row r="5165" spans="1:16" x14ac:dyDescent="0.25">
      <c r="A5165" t="s">
        <v>3296</v>
      </c>
      <c r="B5165" t="s">
        <v>2931</v>
      </c>
      <c r="C5165">
        <v>2246</v>
      </c>
      <c r="D5165" t="str">
        <f>"6274672     "</f>
        <v xml:space="preserve">6274672     </v>
      </c>
      <c r="E5165" t="s">
        <v>295</v>
      </c>
      <c r="F5165" t="s">
        <v>297</v>
      </c>
      <c r="G5165">
        <v>118.36</v>
      </c>
      <c r="H5165">
        <v>250217</v>
      </c>
      <c r="I5165">
        <v>4530</v>
      </c>
      <c r="J5165" t="s">
        <v>293</v>
      </c>
      <c r="K5165">
        <v>118.36</v>
      </c>
      <c r="L5165">
        <v>24.05</v>
      </c>
      <c r="M5165">
        <v>17807</v>
      </c>
      <c r="N5165" t="s">
        <v>23</v>
      </c>
      <c r="O5165">
        <v>250221</v>
      </c>
      <c r="P5165">
        <v>94.31</v>
      </c>
    </row>
    <row r="5166" spans="1:16" x14ac:dyDescent="0.25">
      <c r="A5166" t="s">
        <v>3296</v>
      </c>
      <c r="B5166" t="s">
        <v>2931</v>
      </c>
      <c r="C5166">
        <v>2247</v>
      </c>
      <c r="D5166" t="str">
        <f>"6275136     "</f>
        <v xml:space="preserve">6275136     </v>
      </c>
      <c r="E5166" t="s">
        <v>295</v>
      </c>
      <c r="F5166" t="s">
        <v>297</v>
      </c>
      <c r="G5166">
        <v>61.31</v>
      </c>
      <c r="H5166">
        <v>250219</v>
      </c>
      <c r="I5166">
        <v>4530</v>
      </c>
      <c r="J5166" t="s">
        <v>293</v>
      </c>
      <c r="K5166">
        <v>61.31</v>
      </c>
      <c r="L5166">
        <v>12.46</v>
      </c>
      <c r="M5166">
        <v>18125</v>
      </c>
      <c r="N5166" t="s">
        <v>1230</v>
      </c>
      <c r="O5166">
        <v>250221</v>
      </c>
      <c r="P5166">
        <v>48.85</v>
      </c>
    </row>
    <row r="5167" spans="1:16" x14ac:dyDescent="0.25">
      <c r="A5167" t="s">
        <v>3296</v>
      </c>
      <c r="B5167" t="s">
        <v>2931</v>
      </c>
      <c r="C5167">
        <v>2854</v>
      </c>
      <c r="D5167" t="str">
        <f>"6274894     "</f>
        <v xml:space="preserve">6274894     </v>
      </c>
      <c r="E5167" t="s">
        <v>295</v>
      </c>
      <c r="F5167" t="s">
        <v>297</v>
      </c>
      <c r="G5167">
        <v>1112.01</v>
      </c>
      <c r="H5167">
        <v>250218</v>
      </c>
      <c r="I5167">
        <v>4530</v>
      </c>
      <c r="J5167" t="s">
        <v>293</v>
      </c>
      <c r="K5167">
        <v>1112.01</v>
      </c>
      <c r="L5167">
        <v>225.95</v>
      </c>
      <c r="M5167">
        <v>67522</v>
      </c>
      <c r="N5167" t="s">
        <v>121</v>
      </c>
      <c r="O5167">
        <v>250312</v>
      </c>
      <c r="P5167">
        <v>886.06</v>
      </c>
    </row>
    <row r="5168" spans="1:16" x14ac:dyDescent="0.25">
      <c r="A5168" t="s">
        <v>3296</v>
      </c>
      <c r="B5168" t="s">
        <v>2931</v>
      </c>
      <c r="C5168">
        <v>2856</v>
      </c>
      <c r="D5168" t="str">
        <f>"6274869     "</f>
        <v xml:space="preserve">6274869     </v>
      </c>
      <c r="E5168" t="s">
        <v>295</v>
      </c>
      <c r="F5168" t="s">
        <v>297</v>
      </c>
      <c r="G5168">
        <v>1628.21</v>
      </c>
      <c r="H5168">
        <v>250218</v>
      </c>
      <c r="I5168">
        <v>4530</v>
      </c>
      <c r="J5168" t="s">
        <v>293</v>
      </c>
      <c r="K5168">
        <v>1628.21</v>
      </c>
      <c r="L5168">
        <v>330.83</v>
      </c>
      <c r="M5168">
        <v>67522</v>
      </c>
      <c r="N5168" t="s">
        <v>121</v>
      </c>
      <c r="O5168">
        <v>250312</v>
      </c>
      <c r="P5168">
        <v>1297.3800000000001</v>
      </c>
    </row>
    <row r="5169" spans="1:16" x14ac:dyDescent="0.25">
      <c r="A5169" t="s">
        <v>3296</v>
      </c>
      <c r="B5169" t="s">
        <v>2931</v>
      </c>
      <c r="C5169">
        <v>3817</v>
      </c>
      <c r="D5169" t="str">
        <f>"6276492     "</f>
        <v xml:space="preserve">6276492     </v>
      </c>
      <c r="E5169" t="s">
        <v>295</v>
      </c>
      <c r="F5169" t="s">
        <v>297</v>
      </c>
      <c r="G5169">
        <v>522.77</v>
      </c>
      <c r="H5169">
        <v>250303</v>
      </c>
      <c r="I5169">
        <v>4530</v>
      </c>
      <c r="J5169" t="s">
        <v>293</v>
      </c>
      <c r="K5169">
        <v>522.77</v>
      </c>
      <c r="L5169">
        <v>106.22</v>
      </c>
      <c r="M5169">
        <v>17527</v>
      </c>
      <c r="N5169" t="s">
        <v>142</v>
      </c>
      <c r="O5169">
        <v>250402</v>
      </c>
      <c r="P5169">
        <v>416.55</v>
      </c>
    </row>
    <row r="5170" spans="1:16" x14ac:dyDescent="0.25">
      <c r="A5170" t="s">
        <v>3296</v>
      </c>
      <c r="B5170" t="s">
        <v>2931</v>
      </c>
      <c r="C5170">
        <v>4014</v>
      </c>
      <c r="D5170" t="str">
        <f>"6277112     "</f>
        <v xml:space="preserve">6277112     </v>
      </c>
      <c r="E5170" t="s">
        <v>295</v>
      </c>
      <c r="F5170" t="s">
        <v>297</v>
      </c>
      <c r="G5170">
        <v>195.73</v>
      </c>
      <c r="H5170">
        <v>250306</v>
      </c>
      <c r="I5170">
        <v>4530</v>
      </c>
      <c r="J5170" t="s">
        <v>293</v>
      </c>
      <c r="K5170">
        <v>195.73</v>
      </c>
      <c r="L5170">
        <v>39.770000000000003</v>
      </c>
      <c r="M5170">
        <v>67522</v>
      </c>
      <c r="N5170" t="s">
        <v>121</v>
      </c>
      <c r="O5170">
        <v>250407</v>
      </c>
      <c r="P5170">
        <v>155.96</v>
      </c>
    </row>
    <row r="5171" spans="1:16" x14ac:dyDescent="0.25">
      <c r="A5171" t="s">
        <v>3296</v>
      </c>
      <c r="B5171" t="s">
        <v>2931</v>
      </c>
      <c r="C5171">
        <v>4638</v>
      </c>
      <c r="D5171" t="str">
        <f>"6279179     "</f>
        <v xml:space="preserve">6279179     </v>
      </c>
      <c r="E5171" t="s">
        <v>295</v>
      </c>
      <c r="F5171" t="s">
        <v>297</v>
      </c>
      <c r="G5171">
        <v>417.6</v>
      </c>
      <c r="H5171">
        <v>250325</v>
      </c>
      <c r="I5171">
        <v>4530</v>
      </c>
      <c r="J5171" t="s">
        <v>293</v>
      </c>
      <c r="K5171">
        <v>417.6</v>
      </c>
      <c r="L5171">
        <v>84.85</v>
      </c>
      <c r="M5171">
        <v>46556</v>
      </c>
      <c r="N5171" t="s">
        <v>458</v>
      </c>
      <c r="O5171">
        <v>250414</v>
      </c>
      <c r="P5171">
        <v>332.75</v>
      </c>
    </row>
    <row r="5172" spans="1:16" x14ac:dyDescent="0.25">
      <c r="A5172" t="s">
        <v>3296</v>
      </c>
      <c r="B5172" t="s">
        <v>2931</v>
      </c>
      <c r="C5172">
        <v>4824</v>
      </c>
      <c r="D5172" t="str">
        <f>"6278867     "</f>
        <v xml:space="preserve">6278867     </v>
      </c>
      <c r="E5172" t="s">
        <v>295</v>
      </c>
      <c r="F5172" t="s">
        <v>297</v>
      </c>
      <c r="G5172">
        <v>109.02</v>
      </c>
      <c r="H5172">
        <v>250321</v>
      </c>
      <c r="I5172">
        <v>4530</v>
      </c>
      <c r="J5172" t="s">
        <v>293</v>
      </c>
      <c r="K5172">
        <v>109.02</v>
      </c>
      <c r="L5172">
        <v>22.15</v>
      </c>
      <c r="M5172">
        <v>17527</v>
      </c>
      <c r="N5172" t="s">
        <v>142</v>
      </c>
      <c r="O5172">
        <v>250415</v>
      </c>
      <c r="P5172">
        <v>86.87</v>
      </c>
    </row>
    <row r="5173" spans="1:16" x14ac:dyDescent="0.25">
      <c r="A5173" t="s">
        <v>3296</v>
      </c>
      <c r="B5173" t="s">
        <v>2931</v>
      </c>
      <c r="C5173">
        <v>4984</v>
      </c>
      <c r="D5173" t="str">
        <f>"6278979     "</f>
        <v xml:space="preserve">6278979     </v>
      </c>
      <c r="E5173" t="s">
        <v>295</v>
      </c>
      <c r="F5173" t="s">
        <v>297</v>
      </c>
      <c r="G5173">
        <v>83.26</v>
      </c>
      <c r="H5173">
        <v>250324</v>
      </c>
      <c r="I5173">
        <v>4530</v>
      </c>
      <c r="J5173" t="s">
        <v>293</v>
      </c>
      <c r="K5173">
        <v>83.26</v>
      </c>
      <c r="L5173">
        <v>16.920000000000002</v>
      </c>
      <c r="M5173">
        <v>17527</v>
      </c>
      <c r="N5173" t="s">
        <v>142</v>
      </c>
      <c r="O5173">
        <v>250416</v>
      </c>
      <c r="P5173">
        <v>66.34</v>
      </c>
    </row>
    <row r="5174" spans="1:16" x14ac:dyDescent="0.25">
      <c r="A5174" t="s">
        <v>3296</v>
      </c>
      <c r="B5174" t="s">
        <v>2931</v>
      </c>
      <c r="C5174">
        <v>4994</v>
      </c>
      <c r="D5174" t="str">
        <f>"6278977     "</f>
        <v xml:space="preserve">6278977     </v>
      </c>
      <c r="E5174" t="s">
        <v>295</v>
      </c>
      <c r="F5174" t="s">
        <v>297</v>
      </c>
      <c r="G5174">
        <v>197.06</v>
      </c>
      <c r="H5174">
        <v>250324</v>
      </c>
      <c r="I5174">
        <v>4530</v>
      </c>
      <c r="J5174" t="s">
        <v>293</v>
      </c>
      <c r="K5174">
        <v>197.06</v>
      </c>
      <c r="L5174">
        <v>40.04</v>
      </c>
      <c r="M5174">
        <v>17803</v>
      </c>
      <c r="N5174" t="s">
        <v>19</v>
      </c>
      <c r="O5174">
        <v>250416</v>
      </c>
      <c r="P5174">
        <v>157.02000000000001</v>
      </c>
    </row>
    <row r="5175" spans="1:16" x14ac:dyDescent="0.25">
      <c r="A5175" t="s">
        <v>3296</v>
      </c>
      <c r="B5175" t="s">
        <v>2931</v>
      </c>
      <c r="C5175">
        <v>5045</v>
      </c>
      <c r="D5175" t="str">
        <f>"6279548     "</f>
        <v xml:space="preserve">6279548     </v>
      </c>
      <c r="E5175" t="s">
        <v>295</v>
      </c>
      <c r="F5175" t="s">
        <v>297</v>
      </c>
      <c r="G5175">
        <v>328.43</v>
      </c>
      <c r="H5175">
        <v>250327</v>
      </c>
      <c r="I5175">
        <v>4530</v>
      </c>
      <c r="J5175" t="s">
        <v>293</v>
      </c>
      <c r="K5175">
        <v>328.43</v>
      </c>
      <c r="L5175">
        <v>66.73</v>
      </c>
      <c r="M5175">
        <v>17804</v>
      </c>
      <c r="N5175" t="s">
        <v>20</v>
      </c>
      <c r="O5175">
        <v>250416</v>
      </c>
      <c r="P5175">
        <v>261.7</v>
      </c>
    </row>
    <row r="5176" spans="1:16" x14ac:dyDescent="0.25">
      <c r="A5176" t="s">
        <v>3296</v>
      </c>
      <c r="B5176" t="s">
        <v>2931</v>
      </c>
      <c r="C5176">
        <v>5207</v>
      </c>
      <c r="D5176" t="str">
        <f>"6279765     "</f>
        <v xml:space="preserve">6279765     </v>
      </c>
      <c r="E5176" t="s">
        <v>295</v>
      </c>
      <c r="F5176" t="s">
        <v>297</v>
      </c>
      <c r="G5176">
        <v>612.87</v>
      </c>
      <c r="H5176">
        <v>250331</v>
      </c>
      <c r="I5176">
        <v>4530</v>
      </c>
      <c r="J5176" t="s">
        <v>293</v>
      </c>
      <c r="K5176">
        <v>612.87</v>
      </c>
      <c r="L5176">
        <v>124.53</v>
      </c>
      <c r="M5176">
        <v>46554</v>
      </c>
      <c r="N5176" t="s">
        <v>102</v>
      </c>
      <c r="O5176">
        <v>250422</v>
      </c>
      <c r="P5176">
        <v>488.34</v>
      </c>
    </row>
    <row r="5177" spans="1:16" x14ac:dyDescent="0.25">
      <c r="A5177" t="s">
        <v>3296</v>
      </c>
      <c r="B5177" t="s">
        <v>2931</v>
      </c>
      <c r="C5177">
        <v>5515</v>
      </c>
      <c r="D5177" t="str">
        <f>"6280269     "</f>
        <v xml:space="preserve">6280269     </v>
      </c>
      <c r="E5177" t="s">
        <v>295</v>
      </c>
      <c r="F5177" t="s">
        <v>297</v>
      </c>
      <c r="G5177">
        <v>614</v>
      </c>
      <c r="H5177">
        <v>250401</v>
      </c>
      <c r="I5177">
        <v>4530</v>
      </c>
      <c r="J5177" t="s">
        <v>293</v>
      </c>
      <c r="K5177">
        <v>614</v>
      </c>
      <c r="L5177">
        <v>124.76</v>
      </c>
      <c r="M5177">
        <v>17804</v>
      </c>
      <c r="N5177" t="s">
        <v>20</v>
      </c>
      <c r="O5177">
        <v>250425</v>
      </c>
      <c r="P5177">
        <v>489.24</v>
      </c>
    </row>
    <row r="5178" spans="1:16" x14ac:dyDescent="0.25">
      <c r="A5178" t="s">
        <v>3296</v>
      </c>
      <c r="B5178" t="s">
        <v>2931</v>
      </c>
      <c r="C5178">
        <v>5626</v>
      </c>
      <c r="D5178" t="str">
        <f>"6281341     "</f>
        <v xml:space="preserve">6281341     </v>
      </c>
      <c r="E5178" t="s">
        <v>295</v>
      </c>
      <c r="F5178" t="s">
        <v>297</v>
      </c>
      <c r="G5178">
        <v>326.52999999999997</v>
      </c>
      <c r="H5178">
        <v>250409</v>
      </c>
      <c r="I5178">
        <v>4530</v>
      </c>
      <c r="J5178" t="s">
        <v>293</v>
      </c>
      <c r="K5178">
        <v>522.26</v>
      </c>
      <c r="L5178">
        <v>66.349999999999994</v>
      </c>
      <c r="M5178">
        <v>66756</v>
      </c>
      <c r="N5178" t="s">
        <v>120</v>
      </c>
      <c r="O5178">
        <v>250425</v>
      </c>
      <c r="P5178">
        <v>260.18</v>
      </c>
    </row>
    <row r="5179" spans="1:16" x14ac:dyDescent="0.25">
      <c r="A5179" t="s">
        <v>3296</v>
      </c>
      <c r="B5179" t="s">
        <v>2931</v>
      </c>
      <c r="C5179">
        <v>5626</v>
      </c>
      <c r="D5179" t="str">
        <f>"6281341     "</f>
        <v xml:space="preserve">6281341     </v>
      </c>
      <c r="E5179" t="s">
        <v>295</v>
      </c>
      <c r="F5179" t="s">
        <v>297</v>
      </c>
      <c r="G5179">
        <v>195.73</v>
      </c>
      <c r="H5179">
        <v>250409</v>
      </c>
      <c r="I5179">
        <v>4530</v>
      </c>
      <c r="J5179" t="s">
        <v>293</v>
      </c>
      <c r="K5179">
        <v>522.26</v>
      </c>
      <c r="L5179">
        <v>39.770000000000003</v>
      </c>
      <c r="M5179">
        <v>67522</v>
      </c>
      <c r="N5179" t="s">
        <v>121</v>
      </c>
      <c r="O5179">
        <v>250425</v>
      </c>
      <c r="P5179">
        <v>155.96</v>
      </c>
    </row>
    <row r="5180" spans="1:16" x14ac:dyDescent="0.25">
      <c r="A5180" t="s">
        <v>3296</v>
      </c>
      <c r="B5180" t="s">
        <v>2931</v>
      </c>
      <c r="C5180">
        <v>5862</v>
      </c>
      <c r="D5180" t="str">
        <f>"6281930     "</f>
        <v xml:space="preserve">6281930     </v>
      </c>
      <c r="E5180" t="s">
        <v>295</v>
      </c>
      <c r="F5180" t="s">
        <v>297</v>
      </c>
      <c r="G5180">
        <v>121.98</v>
      </c>
      <c r="H5180">
        <v>250415</v>
      </c>
      <c r="I5180">
        <v>4530</v>
      </c>
      <c r="J5180" t="s">
        <v>293</v>
      </c>
      <c r="K5180">
        <v>135.53</v>
      </c>
      <c r="L5180">
        <v>24.78</v>
      </c>
      <c r="M5180">
        <v>69112</v>
      </c>
      <c r="N5180" t="s">
        <v>227</v>
      </c>
      <c r="O5180">
        <v>250505</v>
      </c>
      <c r="P5180">
        <v>97.2</v>
      </c>
    </row>
    <row r="5181" spans="1:16" x14ac:dyDescent="0.25">
      <c r="A5181" t="s">
        <v>3296</v>
      </c>
      <c r="B5181" t="s">
        <v>2931</v>
      </c>
      <c r="C5181">
        <v>5862</v>
      </c>
      <c r="D5181" t="str">
        <f>"6281930     "</f>
        <v xml:space="preserve">6281930     </v>
      </c>
      <c r="E5181" t="s">
        <v>295</v>
      </c>
      <c r="F5181" t="s">
        <v>297</v>
      </c>
      <c r="G5181">
        <v>6.78</v>
      </c>
      <c r="H5181">
        <v>250415</v>
      </c>
      <c r="I5181">
        <v>4530</v>
      </c>
      <c r="J5181" t="s">
        <v>293</v>
      </c>
      <c r="K5181">
        <v>135.53</v>
      </c>
      <c r="L5181">
        <v>1.38</v>
      </c>
      <c r="M5181">
        <v>69810</v>
      </c>
      <c r="N5181" t="s">
        <v>229</v>
      </c>
      <c r="O5181">
        <v>250505</v>
      </c>
      <c r="P5181">
        <v>5.4</v>
      </c>
    </row>
    <row r="5182" spans="1:16" x14ac:dyDescent="0.25">
      <c r="A5182" t="s">
        <v>3296</v>
      </c>
      <c r="B5182" t="s">
        <v>2931</v>
      </c>
      <c r="C5182">
        <v>5862</v>
      </c>
      <c r="D5182" t="str">
        <f>"6281930     "</f>
        <v xml:space="preserve">6281930     </v>
      </c>
      <c r="E5182" t="s">
        <v>295</v>
      </c>
      <c r="F5182" t="s">
        <v>297</v>
      </c>
      <c r="G5182">
        <v>6.77</v>
      </c>
      <c r="H5182">
        <v>250415</v>
      </c>
      <c r="I5182">
        <v>4530</v>
      </c>
      <c r="J5182" t="s">
        <v>293</v>
      </c>
      <c r="K5182">
        <v>135.53</v>
      </c>
      <c r="L5182">
        <v>1.38</v>
      </c>
      <c r="M5182">
        <v>69811</v>
      </c>
      <c r="N5182" t="s">
        <v>230</v>
      </c>
      <c r="O5182">
        <v>250505</v>
      </c>
      <c r="P5182">
        <v>5.39</v>
      </c>
    </row>
    <row r="5183" spans="1:16" x14ac:dyDescent="0.25">
      <c r="A5183" t="s">
        <v>3296</v>
      </c>
      <c r="B5183" t="s">
        <v>2931</v>
      </c>
      <c r="C5183">
        <v>5863</v>
      </c>
      <c r="D5183" t="str">
        <f>"6281927     "</f>
        <v xml:space="preserve">6281927     </v>
      </c>
      <c r="E5183" t="s">
        <v>295</v>
      </c>
      <c r="F5183" t="s">
        <v>297</v>
      </c>
      <c r="G5183">
        <v>436.92</v>
      </c>
      <c r="H5183">
        <v>250415</v>
      </c>
      <c r="I5183">
        <v>4530</v>
      </c>
      <c r="J5183" t="s">
        <v>293</v>
      </c>
      <c r="K5183">
        <v>436.92</v>
      </c>
      <c r="L5183">
        <v>88.78</v>
      </c>
      <c r="M5183">
        <v>46554</v>
      </c>
      <c r="N5183" t="s">
        <v>102</v>
      </c>
      <c r="O5183">
        <v>250505</v>
      </c>
      <c r="P5183">
        <v>348.14</v>
      </c>
    </row>
    <row r="5184" spans="1:16" x14ac:dyDescent="0.25">
      <c r="A5184" t="s">
        <v>3296</v>
      </c>
      <c r="B5184" t="s">
        <v>2931</v>
      </c>
      <c r="C5184">
        <v>6085</v>
      </c>
      <c r="D5184" t="str">
        <f>"6281912     "</f>
        <v xml:space="preserve">6281912     </v>
      </c>
      <c r="E5184" t="s">
        <v>295</v>
      </c>
      <c r="F5184" t="s">
        <v>297</v>
      </c>
      <c r="G5184">
        <v>109.02</v>
      </c>
      <c r="H5184">
        <v>250415</v>
      </c>
      <c r="I5184">
        <v>4530</v>
      </c>
      <c r="J5184" t="s">
        <v>293</v>
      </c>
      <c r="K5184">
        <v>109.02</v>
      </c>
      <c r="L5184">
        <v>22.15</v>
      </c>
      <c r="M5184">
        <v>54622</v>
      </c>
      <c r="N5184" t="s">
        <v>42</v>
      </c>
      <c r="O5184">
        <v>250508</v>
      </c>
      <c r="P5184">
        <v>86.87</v>
      </c>
    </row>
    <row r="5185" spans="1:16" x14ac:dyDescent="0.25">
      <c r="A5185" t="s">
        <v>3296</v>
      </c>
      <c r="B5185" t="s">
        <v>2931</v>
      </c>
      <c r="C5185">
        <v>6343</v>
      </c>
      <c r="D5185" t="str">
        <f>"6282985     "</f>
        <v xml:space="preserve">6282985     </v>
      </c>
      <c r="E5185" t="s">
        <v>295</v>
      </c>
      <c r="F5185" t="s">
        <v>297</v>
      </c>
      <c r="G5185">
        <v>117.58</v>
      </c>
      <c r="H5185">
        <v>250423</v>
      </c>
      <c r="I5185">
        <v>4530</v>
      </c>
      <c r="J5185" t="s">
        <v>293</v>
      </c>
      <c r="K5185">
        <v>130.65</v>
      </c>
      <c r="L5185">
        <v>23.89</v>
      </c>
      <c r="M5185">
        <v>69112</v>
      </c>
      <c r="N5185" t="s">
        <v>227</v>
      </c>
      <c r="O5185">
        <v>250512</v>
      </c>
      <c r="P5185">
        <v>93.69</v>
      </c>
    </row>
    <row r="5186" spans="1:16" x14ac:dyDescent="0.25">
      <c r="A5186" t="s">
        <v>3296</v>
      </c>
      <c r="B5186" t="s">
        <v>2931</v>
      </c>
      <c r="C5186">
        <v>6343</v>
      </c>
      <c r="D5186" t="str">
        <f>"6282985     "</f>
        <v xml:space="preserve">6282985     </v>
      </c>
      <c r="E5186" t="s">
        <v>295</v>
      </c>
      <c r="F5186" t="s">
        <v>297</v>
      </c>
      <c r="G5186">
        <v>6.54</v>
      </c>
      <c r="H5186">
        <v>250423</v>
      </c>
      <c r="I5186">
        <v>4530</v>
      </c>
      <c r="J5186" t="s">
        <v>293</v>
      </c>
      <c r="K5186">
        <v>130.65</v>
      </c>
      <c r="L5186">
        <v>1.33</v>
      </c>
      <c r="M5186">
        <v>69810</v>
      </c>
      <c r="N5186" t="s">
        <v>229</v>
      </c>
      <c r="O5186">
        <v>250512</v>
      </c>
      <c r="P5186">
        <v>5.21</v>
      </c>
    </row>
    <row r="5187" spans="1:16" x14ac:dyDescent="0.25">
      <c r="A5187" t="s">
        <v>3296</v>
      </c>
      <c r="B5187" t="s">
        <v>2931</v>
      </c>
      <c r="C5187">
        <v>6343</v>
      </c>
      <c r="D5187" t="str">
        <f>"6282985     "</f>
        <v xml:space="preserve">6282985     </v>
      </c>
      <c r="E5187" t="s">
        <v>295</v>
      </c>
      <c r="F5187" t="s">
        <v>297</v>
      </c>
      <c r="G5187">
        <v>6.53</v>
      </c>
      <c r="H5187">
        <v>250423</v>
      </c>
      <c r="I5187">
        <v>4530</v>
      </c>
      <c r="J5187" t="s">
        <v>293</v>
      </c>
      <c r="K5187">
        <v>130.65</v>
      </c>
      <c r="L5187">
        <v>1.33</v>
      </c>
      <c r="M5187">
        <v>69811</v>
      </c>
      <c r="N5187" t="s">
        <v>230</v>
      </c>
      <c r="O5187">
        <v>250512</v>
      </c>
      <c r="P5187">
        <v>5.2</v>
      </c>
    </row>
    <row r="5188" spans="1:16" x14ac:dyDescent="0.25">
      <c r="A5188" t="s">
        <v>3296</v>
      </c>
      <c r="B5188" t="s">
        <v>2931</v>
      </c>
      <c r="C5188">
        <v>6460</v>
      </c>
      <c r="D5188" t="str">
        <f>"6283785     "</f>
        <v xml:space="preserve">6283785     </v>
      </c>
      <c r="E5188" t="s">
        <v>295</v>
      </c>
      <c r="F5188" t="s">
        <v>297</v>
      </c>
      <c r="G5188">
        <v>218.46</v>
      </c>
      <c r="H5188">
        <v>250429</v>
      </c>
      <c r="I5188">
        <v>4530</v>
      </c>
      <c r="J5188" t="s">
        <v>293</v>
      </c>
      <c r="K5188">
        <v>218.46</v>
      </c>
      <c r="L5188">
        <v>44.39</v>
      </c>
      <c r="M5188">
        <v>46554</v>
      </c>
      <c r="N5188" t="s">
        <v>102</v>
      </c>
      <c r="O5188">
        <v>250513</v>
      </c>
      <c r="P5188">
        <v>174.07</v>
      </c>
    </row>
    <row r="5189" spans="1:16" x14ac:dyDescent="0.25">
      <c r="A5189" t="s">
        <v>3296</v>
      </c>
      <c r="B5189" t="s">
        <v>2931</v>
      </c>
      <c r="C5189">
        <v>6569</v>
      </c>
      <c r="D5189" t="str">
        <f>"6283579     "</f>
        <v xml:space="preserve">6283579     </v>
      </c>
      <c r="E5189" t="s">
        <v>295</v>
      </c>
      <c r="F5189" t="s">
        <v>297</v>
      </c>
      <c r="G5189">
        <v>109.02</v>
      </c>
      <c r="H5189">
        <v>250428</v>
      </c>
      <c r="I5189">
        <v>4530</v>
      </c>
      <c r="J5189" t="s">
        <v>293</v>
      </c>
      <c r="K5189">
        <v>109.02</v>
      </c>
      <c r="L5189">
        <v>22.15</v>
      </c>
      <c r="M5189">
        <v>17527</v>
      </c>
      <c r="N5189" t="s">
        <v>142</v>
      </c>
      <c r="O5189">
        <v>250514</v>
      </c>
      <c r="P5189">
        <v>86.87</v>
      </c>
    </row>
    <row r="5190" spans="1:16" x14ac:dyDescent="0.25">
      <c r="A5190" t="s">
        <v>3296</v>
      </c>
      <c r="B5190" t="s">
        <v>2931</v>
      </c>
      <c r="C5190">
        <v>7239</v>
      </c>
      <c r="D5190" t="str">
        <f>"6284264     "</f>
        <v xml:space="preserve">6284264     </v>
      </c>
      <c r="E5190" t="s">
        <v>295</v>
      </c>
      <c r="F5190" t="s">
        <v>297</v>
      </c>
      <c r="G5190">
        <v>408.58</v>
      </c>
      <c r="H5190">
        <v>250502</v>
      </c>
      <c r="I5190">
        <v>4530</v>
      </c>
      <c r="J5190" t="s">
        <v>293</v>
      </c>
      <c r="K5190">
        <v>408.58</v>
      </c>
      <c r="L5190">
        <v>83.02</v>
      </c>
      <c r="M5190">
        <v>46554</v>
      </c>
      <c r="N5190" t="s">
        <v>102</v>
      </c>
      <c r="O5190">
        <v>250527</v>
      </c>
      <c r="P5190">
        <v>325.56</v>
      </c>
    </row>
    <row r="5191" spans="1:16" x14ac:dyDescent="0.25">
      <c r="A5191" t="s">
        <v>3296</v>
      </c>
      <c r="B5191" t="s">
        <v>2931</v>
      </c>
      <c r="C5191">
        <v>7605</v>
      </c>
      <c r="D5191" t="str">
        <f>"6285668     "</f>
        <v xml:space="preserve">6285668     </v>
      </c>
      <c r="E5191" t="s">
        <v>295</v>
      </c>
      <c r="F5191" t="s">
        <v>297</v>
      </c>
      <c r="G5191">
        <v>79.430000000000007</v>
      </c>
      <c r="H5191">
        <v>250512</v>
      </c>
      <c r="I5191">
        <v>4530</v>
      </c>
      <c r="J5191" t="s">
        <v>293</v>
      </c>
      <c r="K5191">
        <v>79.430000000000007</v>
      </c>
      <c r="L5191">
        <v>16.14</v>
      </c>
      <c r="M5191">
        <v>65422</v>
      </c>
      <c r="N5191" t="s">
        <v>117</v>
      </c>
      <c r="O5191">
        <v>250605</v>
      </c>
      <c r="P5191">
        <v>63.29</v>
      </c>
    </row>
    <row r="5192" spans="1:16" x14ac:dyDescent="0.25">
      <c r="A5192" t="s">
        <v>3296</v>
      </c>
      <c r="B5192" t="s">
        <v>2931</v>
      </c>
      <c r="C5192">
        <v>8012</v>
      </c>
      <c r="D5192" t="str">
        <f>"6286386     "</f>
        <v xml:space="preserve">6286386     </v>
      </c>
      <c r="E5192" t="s">
        <v>295</v>
      </c>
      <c r="F5192" t="s">
        <v>297</v>
      </c>
      <c r="G5192">
        <v>79.430000000000007</v>
      </c>
      <c r="H5192">
        <v>250515</v>
      </c>
      <c r="I5192">
        <v>4530</v>
      </c>
      <c r="J5192" t="s">
        <v>293</v>
      </c>
      <c r="K5192">
        <v>79.430000000000007</v>
      </c>
      <c r="L5192">
        <v>16.14</v>
      </c>
      <c r="M5192">
        <v>17737</v>
      </c>
      <c r="N5192" t="s">
        <v>156</v>
      </c>
      <c r="O5192">
        <v>250611</v>
      </c>
      <c r="P5192">
        <v>63.29</v>
      </c>
    </row>
    <row r="5193" spans="1:16" x14ac:dyDescent="0.25">
      <c r="A5193" t="s">
        <v>3296</v>
      </c>
      <c r="B5193" t="s">
        <v>2931</v>
      </c>
      <c r="C5193">
        <v>8374</v>
      </c>
      <c r="D5193" t="str">
        <f>"6286881     "</f>
        <v xml:space="preserve">6286881     </v>
      </c>
      <c r="E5193" t="s">
        <v>295</v>
      </c>
      <c r="F5193" t="s">
        <v>297</v>
      </c>
      <c r="G5193">
        <v>128.54</v>
      </c>
      <c r="H5193">
        <v>250520</v>
      </c>
      <c r="I5193">
        <v>4530</v>
      </c>
      <c r="J5193" t="s">
        <v>293</v>
      </c>
      <c r="K5193">
        <v>128.54</v>
      </c>
      <c r="L5193">
        <v>26.12</v>
      </c>
      <c r="M5193">
        <v>44222</v>
      </c>
      <c r="N5193" t="s">
        <v>96</v>
      </c>
      <c r="O5193">
        <v>250613</v>
      </c>
      <c r="P5193">
        <v>102.42</v>
      </c>
    </row>
    <row r="5194" spans="1:16" x14ac:dyDescent="0.25">
      <c r="A5194" t="s">
        <v>3296</v>
      </c>
      <c r="B5194" t="s">
        <v>2931</v>
      </c>
      <c r="C5194">
        <v>8457</v>
      </c>
      <c r="D5194" t="str">
        <f>"6287613     "</f>
        <v xml:space="preserve">6287613     </v>
      </c>
      <c r="E5194" t="s">
        <v>295</v>
      </c>
      <c r="F5194" t="s">
        <v>297</v>
      </c>
      <c r="G5194">
        <v>516.34</v>
      </c>
      <c r="H5194">
        <v>250523</v>
      </c>
      <c r="I5194">
        <v>4530</v>
      </c>
      <c r="J5194" t="s">
        <v>293</v>
      </c>
      <c r="K5194">
        <v>516.34</v>
      </c>
      <c r="L5194">
        <v>104.91</v>
      </c>
      <c r="M5194">
        <v>46554</v>
      </c>
      <c r="N5194" t="s">
        <v>102</v>
      </c>
      <c r="O5194">
        <v>250613</v>
      </c>
      <c r="P5194">
        <v>411.43</v>
      </c>
    </row>
    <row r="5195" spans="1:16" x14ac:dyDescent="0.25">
      <c r="A5195" t="s">
        <v>3296</v>
      </c>
      <c r="B5195" t="s">
        <v>2931</v>
      </c>
      <c r="C5195">
        <v>8939</v>
      </c>
      <c r="D5195" t="str">
        <f>"6289160     "</f>
        <v xml:space="preserve">6289160     </v>
      </c>
      <c r="E5195" t="s">
        <v>295</v>
      </c>
      <c r="F5195" t="s">
        <v>297</v>
      </c>
      <c r="G5195">
        <v>195.73</v>
      </c>
      <c r="H5195">
        <v>250605</v>
      </c>
      <c r="I5195">
        <v>4530</v>
      </c>
      <c r="J5195" t="s">
        <v>293</v>
      </c>
      <c r="K5195">
        <v>195.73</v>
      </c>
      <c r="L5195">
        <v>39.770000000000003</v>
      </c>
      <c r="M5195">
        <v>66722</v>
      </c>
      <c r="N5195" t="s">
        <v>118</v>
      </c>
      <c r="O5195">
        <v>250619</v>
      </c>
      <c r="P5195">
        <v>155.96</v>
      </c>
    </row>
    <row r="5196" spans="1:16" x14ac:dyDescent="0.25">
      <c r="A5196" t="s">
        <v>3296</v>
      </c>
      <c r="B5196" t="s">
        <v>2931</v>
      </c>
      <c r="C5196">
        <v>8963</v>
      </c>
      <c r="D5196" t="str">
        <f t="shared" ref="D5196:D5201" si="96">"6290229     "</f>
        <v xml:space="preserve">6290229     </v>
      </c>
      <c r="E5196" t="s">
        <v>295</v>
      </c>
      <c r="F5196" t="s">
        <v>297</v>
      </c>
      <c r="G5196">
        <v>412</v>
      </c>
      <c r="H5196">
        <v>250612</v>
      </c>
      <c r="I5196">
        <v>4530</v>
      </c>
      <c r="J5196" t="s">
        <v>293</v>
      </c>
      <c r="K5196">
        <v>1605.77</v>
      </c>
      <c r="L5196">
        <v>83.71</v>
      </c>
      <c r="M5196">
        <v>54222</v>
      </c>
      <c r="N5196" t="s">
        <v>48</v>
      </c>
      <c r="O5196">
        <v>250619</v>
      </c>
      <c r="P5196">
        <v>328.29</v>
      </c>
    </row>
    <row r="5197" spans="1:16" x14ac:dyDescent="0.25">
      <c r="A5197" t="s">
        <v>3296</v>
      </c>
      <c r="B5197" t="s">
        <v>2931</v>
      </c>
      <c r="C5197">
        <v>8963</v>
      </c>
      <c r="D5197" t="str">
        <f t="shared" si="96"/>
        <v xml:space="preserve">6290229     </v>
      </c>
      <c r="E5197" t="s">
        <v>295</v>
      </c>
      <c r="F5197" t="s">
        <v>297</v>
      </c>
      <c r="G5197">
        <v>226.36</v>
      </c>
      <c r="H5197">
        <v>250612</v>
      </c>
      <c r="I5197">
        <v>4530</v>
      </c>
      <c r="J5197" t="s">
        <v>293</v>
      </c>
      <c r="K5197">
        <v>1605.77</v>
      </c>
      <c r="L5197">
        <v>45.99</v>
      </c>
      <c r="M5197">
        <v>54222</v>
      </c>
      <c r="N5197" t="s">
        <v>48</v>
      </c>
      <c r="O5197">
        <v>250619</v>
      </c>
      <c r="P5197">
        <v>180.37</v>
      </c>
    </row>
    <row r="5198" spans="1:16" x14ac:dyDescent="0.25">
      <c r="A5198" t="s">
        <v>3296</v>
      </c>
      <c r="B5198" t="s">
        <v>2931</v>
      </c>
      <c r="C5198">
        <v>8963</v>
      </c>
      <c r="D5198" t="str">
        <f t="shared" si="96"/>
        <v xml:space="preserve">6290229     </v>
      </c>
      <c r="E5198" t="s">
        <v>295</v>
      </c>
      <c r="F5198" t="s">
        <v>297</v>
      </c>
      <c r="G5198">
        <v>137.97999999999999</v>
      </c>
      <c r="H5198">
        <v>250612</v>
      </c>
      <c r="I5198">
        <v>4530</v>
      </c>
      <c r="J5198" t="s">
        <v>293</v>
      </c>
      <c r="K5198">
        <v>1605.77</v>
      </c>
      <c r="L5198">
        <v>28.04</v>
      </c>
      <c r="M5198">
        <v>54251</v>
      </c>
      <c r="N5198" t="s">
        <v>485</v>
      </c>
      <c r="O5198">
        <v>250619</v>
      </c>
      <c r="P5198">
        <v>109.94</v>
      </c>
    </row>
    <row r="5199" spans="1:16" x14ac:dyDescent="0.25">
      <c r="A5199" t="s">
        <v>3296</v>
      </c>
      <c r="B5199" t="s">
        <v>2931</v>
      </c>
      <c r="C5199">
        <v>8963</v>
      </c>
      <c r="D5199" t="str">
        <f t="shared" si="96"/>
        <v xml:space="preserve">6290229     </v>
      </c>
      <c r="E5199" t="s">
        <v>295</v>
      </c>
      <c r="F5199" t="s">
        <v>297</v>
      </c>
      <c r="G5199">
        <v>159.80000000000001</v>
      </c>
      <c r="H5199">
        <v>250612</v>
      </c>
      <c r="I5199">
        <v>4530</v>
      </c>
      <c r="J5199" t="s">
        <v>293</v>
      </c>
      <c r="K5199">
        <v>1605.77</v>
      </c>
      <c r="L5199">
        <v>32.47</v>
      </c>
      <c r="M5199">
        <v>54422</v>
      </c>
      <c r="N5199" t="s">
        <v>49</v>
      </c>
      <c r="O5199">
        <v>250619</v>
      </c>
      <c r="P5199">
        <v>127.33</v>
      </c>
    </row>
    <row r="5200" spans="1:16" x14ac:dyDescent="0.25">
      <c r="A5200" t="s">
        <v>3296</v>
      </c>
      <c r="B5200" t="s">
        <v>2931</v>
      </c>
      <c r="C5200">
        <v>8963</v>
      </c>
      <c r="D5200" t="str">
        <f t="shared" si="96"/>
        <v xml:space="preserve">6290229     </v>
      </c>
      <c r="E5200" t="s">
        <v>295</v>
      </c>
      <c r="F5200" t="s">
        <v>297</v>
      </c>
      <c r="G5200">
        <v>226.36</v>
      </c>
      <c r="H5200">
        <v>250612</v>
      </c>
      <c r="I5200">
        <v>4530</v>
      </c>
      <c r="J5200" t="s">
        <v>293</v>
      </c>
      <c r="K5200">
        <v>1605.77</v>
      </c>
      <c r="L5200">
        <v>45.99</v>
      </c>
      <c r="M5200">
        <v>54422</v>
      </c>
      <c r="N5200" t="s">
        <v>49</v>
      </c>
      <c r="O5200">
        <v>250619</v>
      </c>
      <c r="P5200">
        <v>180.37</v>
      </c>
    </row>
    <row r="5201" spans="1:16" x14ac:dyDescent="0.25">
      <c r="A5201" t="s">
        <v>3296</v>
      </c>
      <c r="B5201" t="s">
        <v>2931</v>
      </c>
      <c r="C5201">
        <v>8963</v>
      </c>
      <c r="D5201" t="str">
        <f t="shared" si="96"/>
        <v xml:space="preserve">6290229     </v>
      </c>
      <c r="E5201" t="s">
        <v>295</v>
      </c>
      <c r="F5201" t="s">
        <v>297</v>
      </c>
      <c r="G5201">
        <v>443.27</v>
      </c>
      <c r="H5201">
        <v>250612</v>
      </c>
      <c r="I5201">
        <v>4530</v>
      </c>
      <c r="J5201" t="s">
        <v>293</v>
      </c>
      <c r="K5201">
        <v>1605.77</v>
      </c>
      <c r="L5201">
        <v>90.07</v>
      </c>
      <c r="M5201">
        <v>59704</v>
      </c>
      <c r="N5201" t="s">
        <v>46</v>
      </c>
      <c r="O5201">
        <v>250619</v>
      </c>
      <c r="P5201">
        <v>353.2</v>
      </c>
    </row>
    <row r="5202" spans="1:16" x14ac:dyDescent="0.25">
      <c r="A5202" t="s">
        <v>3296</v>
      </c>
      <c r="B5202" t="s">
        <v>2931</v>
      </c>
      <c r="C5202">
        <v>10687</v>
      </c>
      <c r="D5202" t="str">
        <f>"6296192     "</f>
        <v xml:space="preserve">6296192     </v>
      </c>
      <c r="E5202" t="s">
        <v>295</v>
      </c>
      <c r="F5202" t="s">
        <v>297</v>
      </c>
      <c r="G5202">
        <v>3012.08</v>
      </c>
      <c r="H5202">
        <v>250813</v>
      </c>
      <c r="I5202">
        <v>4530</v>
      </c>
      <c r="J5202" t="s">
        <v>293</v>
      </c>
      <c r="K5202">
        <v>3012.08</v>
      </c>
      <c r="L5202">
        <v>612.02</v>
      </c>
      <c r="M5202">
        <v>56559</v>
      </c>
      <c r="N5202" t="s">
        <v>51</v>
      </c>
      <c r="O5202">
        <v>250821</v>
      </c>
      <c r="P5202">
        <v>2400.06</v>
      </c>
    </row>
    <row r="5203" spans="1:16" x14ac:dyDescent="0.25">
      <c r="A5203" t="s">
        <v>3296</v>
      </c>
      <c r="B5203" t="s">
        <v>2931</v>
      </c>
      <c r="C5203">
        <v>10702</v>
      </c>
      <c r="D5203" t="str">
        <f>"6296227     "</f>
        <v xml:space="preserve">6296227     </v>
      </c>
      <c r="E5203" t="s">
        <v>295</v>
      </c>
      <c r="F5203" t="s">
        <v>297</v>
      </c>
      <c r="G5203">
        <v>152.11000000000001</v>
      </c>
      <c r="H5203">
        <v>250814</v>
      </c>
      <c r="I5203">
        <v>4530</v>
      </c>
      <c r="J5203" t="s">
        <v>293</v>
      </c>
      <c r="K5203">
        <v>152.11000000000001</v>
      </c>
      <c r="L5203">
        <v>30.91</v>
      </c>
      <c r="M5203">
        <v>56522</v>
      </c>
      <c r="N5203" t="s">
        <v>68</v>
      </c>
      <c r="O5203">
        <v>250821</v>
      </c>
      <c r="P5203">
        <v>121.2</v>
      </c>
    </row>
    <row r="5204" spans="1:16" x14ac:dyDescent="0.25">
      <c r="A5204" t="s">
        <v>3296</v>
      </c>
      <c r="B5204" t="s">
        <v>2931</v>
      </c>
      <c r="C5204">
        <v>10707</v>
      </c>
      <c r="D5204" t="str">
        <f>"6296255     "</f>
        <v xml:space="preserve">6296255     </v>
      </c>
      <c r="E5204" t="s">
        <v>295</v>
      </c>
      <c r="F5204" t="s">
        <v>297</v>
      </c>
      <c r="G5204">
        <v>3782.22</v>
      </c>
      <c r="H5204">
        <v>250814</v>
      </c>
      <c r="I5204">
        <v>4530</v>
      </c>
      <c r="J5204" t="s">
        <v>293</v>
      </c>
      <c r="K5204">
        <v>3782.22</v>
      </c>
      <c r="L5204">
        <v>768.5</v>
      </c>
      <c r="M5204">
        <v>56559</v>
      </c>
      <c r="N5204" t="s">
        <v>51</v>
      </c>
      <c r="O5204">
        <v>250821</v>
      </c>
      <c r="P5204">
        <v>3013.72</v>
      </c>
    </row>
    <row r="5205" spans="1:16" x14ac:dyDescent="0.25">
      <c r="A5205" t="s">
        <v>3296</v>
      </c>
      <c r="B5205" t="s">
        <v>2931</v>
      </c>
      <c r="C5205">
        <v>10708</v>
      </c>
      <c r="D5205" t="str">
        <f>"6296353     "</f>
        <v xml:space="preserve">6296353     </v>
      </c>
      <c r="E5205" t="s">
        <v>295</v>
      </c>
      <c r="F5205" t="s">
        <v>297</v>
      </c>
      <c r="G5205">
        <v>334.34</v>
      </c>
      <c r="H5205">
        <v>250814</v>
      </c>
      <c r="I5205">
        <v>4530</v>
      </c>
      <c r="J5205" t="s">
        <v>293</v>
      </c>
      <c r="K5205">
        <v>334.34</v>
      </c>
      <c r="L5205">
        <v>67.930000000000007</v>
      </c>
      <c r="M5205">
        <v>54622</v>
      </c>
      <c r="N5205" t="s">
        <v>42</v>
      </c>
      <c r="O5205">
        <v>250821</v>
      </c>
      <c r="P5205">
        <v>266.41000000000003</v>
      </c>
    </row>
    <row r="5206" spans="1:16" x14ac:dyDescent="0.25">
      <c r="A5206" t="s">
        <v>3296</v>
      </c>
      <c r="B5206" t="s">
        <v>2931</v>
      </c>
      <c r="C5206">
        <v>10710</v>
      </c>
      <c r="D5206" t="str">
        <f>"6296365     "</f>
        <v xml:space="preserve">6296365     </v>
      </c>
      <c r="E5206" t="s">
        <v>295</v>
      </c>
      <c r="F5206" t="s">
        <v>297</v>
      </c>
      <c r="G5206">
        <v>183.92</v>
      </c>
      <c r="H5206">
        <v>250814</v>
      </c>
      <c r="I5206">
        <v>4530</v>
      </c>
      <c r="J5206" t="s">
        <v>293</v>
      </c>
      <c r="K5206">
        <v>183.92</v>
      </c>
      <c r="L5206">
        <v>37.369999999999997</v>
      </c>
      <c r="M5206">
        <v>17913</v>
      </c>
      <c r="N5206" t="s">
        <v>26</v>
      </c>
      <c r="O5206">
        <v>250821</v>
      </c>
      <c r="P5206">
        <v>146.55000000000001</v>
      </c>
    </row>
    <row r="5207" spans="1:16" x14ac:dyDescent="0.25">
      <c r="A5207" t="s">
        <v>3296</v>
      </c>
      <c r="B5207" t="s">
        <v>2931</v>
      </c>
      <c r="C5207">
        <v>10737</v>
      </c>
      <c r="D5207" t="str">
        <f>"6296567     "</f>
        <v xml:space="preserve">6296567     </v>
      </c>
      <c r="E5207" t="s">
        <v>295</v>
      </c>
      <c r="F5207" t="s">
        <v>297</v>
      </c>
      <c r="G5207">
        <v>988.09</v>
      </c>
      <c r="H5207">
        <v>250818</v>
      </c>
      <c r="I5207">
        <v>4530</v>
      </c>
      <c r="J5207" t="s">
        <v>293</v>
      </c>
      <c r="K5207">
        <v>988.09</v>
      </c>
      <c r="L5207">
        <v>200.77</v>
      </c>
      <c r="M5207">
        <v>56565</v>
      </c>
      <c r="N5207" t="s">
        <v>57</v>
      </c>
      <c r="O5207">
        <v>250821</v>
      </c>
      <c r="P5207">
        <v>787.32</v>
      </c>
    </row>
    <row r="5208" spans="1:16" x14ac:dyDescent="0.25">
      <c r="A5208" t="s">
        <v>3296</v>
      </c>
      <c r="B5208" t="s">
        <v>2931</v>
      </c>
      <c r="C5208">
        <v>10741</v>
      </c>
      <c r="D5208" t="str">
        <f>"6296750     "</f>
        <v xml:space="preserve">6296750     </v>
      </c>
      <c r="E5208" t="s">
        <v>295</v>
      </c>
      <c r="F5208" t="s">
        <v>297</v>
      </c>
      <c r="G5208">
        <v>543.59</v>
      </c>
      <c r="H5208">
        <v>250819</v>
      </c>
      <c r="I5208">
        <v>4530</v>
      </c>
      <c r="J5208" t="s">
        <v>293</v>
      </c>
      <c r="K5208">
        <v>543.59</v>
      </c>
      <c r="L5208">
        <v>105.21</v>
      </c>
      <c r="M5208">
        <v>16431</v>
      </c>
      <c r="N5208" t="s">
        <v>17</v>
      </c>
      <c r="O5208">
        <v>250821</v>
      </c>
      <c r="P5208">
        <v>438.38</v>
      </c>
    </row>
    <row r="5209" spans="1:16" x14ac:dyDescent="0.25">
      <c r="A5209" t="s">
        <v>3296</v>
      </c>
      <c r="B5209" t="s">
        <v>2931</v>
      </c>
      <c r="C5209">
        <v>10761</v>
      </c>
      <c r="D5209" t="str">
        <f>"6296228     "</f>
        <v xml:space="preserve">6296228     </v>
      </c>
      <c r="E5209" t="s">
        <v>295</v>
      </c>
      <c r="F5209" t="s">
        <v>297</v>
      </c>
      <c r="G5209">
        <v>118.36</v>
      </c>
      <c r="H5209">
        <v>250814</v>
      </c>
      <c r="I5209">
        <v>4530</v>
      </c>
      <c r="J5209" t="s">
        <v>293</v>
      </c>
      <c r="K5209">
        <v>118.36</v>
      </c>
      <c r="L5209">
        <v>24.05</v>
      </c>
      <c r="M5209">
        <v>56564</v>
      </c>
      <c r="N5209" t="s">
        <v>56</v>
      </c>
      <c r="O5209">
        <v>250822</v>
      </c>
      <c r="P5209">
        <v>94.31</v>
      </c>
    </row>
    <row r="5210" spans="1:16" x14ac:dyDescent="0.25">
      <c r="A5210" t="s">
        <v>3296</v>
      </c>
      <c r="B5210" t="s">
        <v>2931</v>
      </c>
      <c r="C5210">
        <v>10765</v>
      </c>
      <c r="D5210" t="str">
        <f>"6296420     "</f>
        <v xml:space="preserve">6296420     </v>
      </c>
      <c r="E5210" t="s">
        <v>295</v>
      </c>
      <c r="F5210" t="s">
        <v>297</v>
      </c>
      <c r="G5210">
        <v>1093.05</v>
      </c>
      <c r="H5210">
        <v>250815</v>
      </c>
      <c r="I5210">
        <v>4530</v>
      </c>
      <c r="J5210" t="s">
        <v>293</v>
      </c>
      <c r="K5210">
        <v>1093.05</v>
      </c>
      <c r="L5210">
        <v>222.09</v>
      </c>
      <c r="M5210">
        <v>56564</v>
      </c>
      <c r="N5210" t="s">
        <v>56</v>
      </c>
      <c r="O5210">
        <v>250822</v>
      </c>
      <c r="P5210">
        <v>870.96</v>
      </c>
    </row>
    <row r="5211" spans="1:16" x14ac:dyDescent="0.25">
      <c r="A5211" t="s">
        <v>3296</v>
      </c>
      <c r="B5211" t="s">
        <v>2931</v>
      </c>
      <c r="C5211">
        <v>10770</v>
      </c>
      <c r="D5211" t="str">
        <f>"6296857     "</f>
        <v xml:space="preserve">6296857     </v>
      </c>
      <c r="E5211" t="s">
        <v>295</v>
      </c>
      <c r="F5211" t="s">
        <v>297</v>
      </c>
      <c r="G5211">
        <v>273.26</v>
      </c>
      <c r="H5211">
        <v>250819</v>
      </c>
      <c r="I5211">
        <v>4530</v>
      </c>
      <c r="J5211" t="s">
        <v>293</v>
      </c>
      <c r="K5211">
        <v>273.26</v>
      </c>
      <c r="L5211">
        <v>55.52</v>
      </c>
      <c r="M5211">
        <v>55222</v>
      </c>
      <c r="N5211" t="s">
        <v>43</v>
      </c>
      <c r="O5211">
        <v>250822</v>
      </c>
      <c r="P5211">
        <v>217.74</v>
      </c>
    </row>
    <row r="5212" spans="1:16" x14ac:dyDescent="0.25">
      <c r="A5212" t="s">
        <v>3296</v>
      </c>
      <c r="B5212" t="s">
        <v>2931</v>
      </c>
      <c r="C5212">
        <v>10800</v>
      </c>
      <c r="D5212" t="str">
        <f>"6296370     "</f>
        <v xml:space="preserve">6296370     </v>
      </c>
      <c r="E5212" t="s">
        <v>295</v>
      </c>
      <c r="F5212" t="s">
        <v>297</v>
      </c>
      <c r="G5212">
        <v>88.57</v>
      </c>
      <c r="H5212">
        <v>250814</v>
      </c>
      <c r="I5212">
        <v>4530</v>
      </c>
      <c r="J5212" t="s">
        <v>293</v>
      </c>
      <c r="K5212">
        <v>88.57</v>
      </c>
      <c r="L5212">
        <v>18</v>
      </c>
      <c r="M5212">
        <v>14432</v>
      </c>
      <c r="N5212" t="s">
        <v>75</v>
      </c>
      <c r="O5212">
        <v>250822</v>
      </c>
      <c r="P5212">
        <v>70.569999999999993</v>
      </c>
    </row>
    <row r="5213" spans="1:16" x14ac:dyDescent="0.25">
      <c r="A5213" t="s">
        <v>3296</v>
      </c>
      <c r="B5213" t="s">
        <v>2931</v>
      </c>
      <c r="C5213">
        <v>10818</v>
      </c>
      <c r="D5213" t="str">
        <f>"6296250     "</f>
        <v xml:space="preserve">6296250     </v>
      </c>
      <c r="E5213" t="s">
        <v>295</v>
      </c>
      <c r="F5213" t="s">
        <v>297</v>
      </c>
      <c r="G5213">
        <v>1476.6</v>
      </c>
      <c r="H5213">
        <v>250814</v>
      </c>
      <c r="I5213">
        <v>4530</v>
      </c>
      <c r="J5213" t="s">
        <v>293</v>
      </c>
      <c r="K5213">
        <v>1476.6</v>
      </c>
      <c r="L5213">
        <v>300.02999999999997</v>
      </c>
      <c r="M5213">
        <v>54422</v>
      </c>
      <c r="N5213" t="s">
        <v>49</v>
      </c>
      <c r="O5213">
        <v>250825</v>
      </c>
      <c r="P5213">
        <v>1176.57</v>
      </c>
    </row>
    <row r="5214" spans="1:16" x14ac:dyDescent="0.25">
      <c r="A5214" t="s">
        <v>3296</v>
      </c>
      <c r="B5214" t="s">
        <v>2931</v>
      </c>
      <c r="C5214">
        <v>10862</v>
      </c>
      <c r="D5214" t="str">
        <f>"6296912     "</f>
        <v xml:space="preserve">6296912     </v>
      </c>
      <c r="E5214" t="s">
        <v>295</v>
      </c>
      <c r="F5214" t="s">
        <v>297</v>
      </c>
      <c r="G5214">
        <v>3366.44</v>
      </c>
      <c r="H5214">
        <v>250820</v>
      </c>
      <c r="I5214">
        <v>4530</v>
      </c>
      <c r="J5214" t="s">
        <v>293</v>
      </c>
      <c r="K5214">
        <v>3366.44</v>
      </c>
      <c r="L5214">
        <v>684.02</v>
      </c>
      <c r="M5214">
        <v>17802</v>
      </c>
      <c r="N5214" t="s">
        <v>18</v>
      </c>
      <c r="O5214">
        <v>250825</v>
      </c>
      <c r="P5214">
        <v>2682.42</v>
      </c>
    </row>
    <row r="5215" spans="1:16" x14ac:dyDescent="0.25">
      <c r="A5215" t="s">
        <v>3296</v>
      </c>
      <c r="B5215" t="s">
        <v>2931</v>
      </c>
      <c r="C5215">
        <v>10863</v>
      </c>
      <c r="D5215" t="str">
        <f>"6296987     "</f>
        <v xml:space="preserve">6296987     </v>
      </c>
      <c r="E5215" t="s">
        <v>295</v>
      </c>
      <c r="F5215" t="s">
        <v>297</v>
      </c>
      <c r="G5215">
        <v>674.78</v>
      </c>
      <c r="H5215">
        <v>250820</v>
      </c>
      <c r="I5215">
        <v>4530</v>
      </c>
      <c r="J5215" t="s">
        <v>293</v>
      </c>
      <c r="K5215">
        <v>674.78</v>
      </c>
      <c r="L5215">
        <v>137.11000000000001</v>
      </c>
      <c r="M5215">
        <v>17805</v>
      </c>
      <c r="N5215" t="s">
        <v>21</v>
      </c>
      <c r="O5215">
        <v>250825</v>
      </c>
      <c r="P5215">
        <v>537.66999999999996</v>
      </c>
    </row>
    <row r="5216" spans="1:16" x14ac:dyDescent="0.25">
      <c r="A5216" t="s">
        <v>3296</v>
      </c>
      <c r="B5216" t="s">
        <v>2931</v>
      </c>
      <c r="C5216">
        <v>10917</v>
      </c>
      <c r="D5216" t="str">
        <f>"6296737     "</f>
        <v xml:space="preserve">6296737     </v>
      </c>
      <c r="E5216" t="s">
        <v>295</v>
      </c>
      <c r="F5216" t="s">
        <v>297</v>
      </c>
      <c r="G5216">
        <v>8151.26</v>
      </c>
      <c r="H5216">
        <v>250819</v>
      </c>
      <c r="I5216">
        <v>4530</v>
      </c>
      <c r="J5216" t="s">
        <v>293</v>
      </c>
      <c r="K5216">
        <v>8151.26</v>
      </c>
      <c r="L5216">
        <v>1656.23</v>
      </c>
      <c r="M5216">
        <v>56558</v>
      </c>
      <c r="N5216" t="s">
        <v>50</v>
      </c>
      <c r="O5216">
        <v>250827</v>
      </c>
      <c r="P5216">
        <v>6495.03</v>
      </c>
    </row>
    <row r="5217" spans="1:16" x14ac:dyDescent="0.25">
      <c r="A5217" t="s">
        <v>3296</v>
      </c>
      <c r="B5217" t="s">
        <v>2931</v>
      </c>
      <c r="C5217">
        <v>10919</v>
      </c>
      <c r="D5217" t="str">
        <f>"6297106     "</f>
        <v xml:space="preserve">6297106     </v>
      </c>
      <c r="E5217" t="s">
        <v>295</v>
      </c>
      <c r="F5217" t="s">
        <v>297</v>
      </c>
      <c r="G5217">
        <v>840.44</v>
      </c>
      <c r="H5217">
        <v>250821</v>
      </c>
      <c r="I5217">
        <v>4530</v>
      </c>
      <c r="J5217" t="s">
        <v>293</v>
      </c>
      <c r="K5217">
        <v>840.44</v>
      </c>
      <c r="L5217">
        <v>170.77</v>
      </c>
      <c r="M5217">
        <v>17523</v>
      </c>
      <c r="N5217" t="s">
        <v>138</v>
      </c>
      <c r="O5217">
        <v>250827</v>
      </c>
      <c r="P5217">
        <v>669.67</v>
      </c>
    </row>
    <row r="5218" spans="1:16" x14ac:dyDescent="0.25">
      <c r="A5218" t="s">
        <v>3296</v>
      </c>
      <c r="B5218" t="s">
        <v>2931</v>
      </c>
      <c r="C5218">
        <v>10921</v>
      </c>
      <c r="D5218" t="str">
        <f>"6297209     "</f>
        <v xml:space="preserve">6297209     </v>
      </c>
      <c r="E5218" t="s">
        <v>295</v>
      </c>
      <c r="F5218" t="s">
        <v>297</v>
      </c>
      <c r="G5218">
        <v>86.97</v>
      </c>
      <c r="H5218">
        <v>250822</v>
      </c>
      <c r="I5218">
        <v>4530</v>
      </c>
      <c r="J5218" t="s">
        <v>293</v>
      </c>
      <c r="K5218">
        <v>86.97</v>
      </c>
      <c r="L5218">
        <v>17.670000000000002</v>
      </c>
      <c r="M5218">
        <v>17522</v>
      </c>
      <c r="N5218" t="s">
        <v>137</v>
      </c>
      <c r="O5218">
        <v>250827</v>
      </c>
      <c r="P5218">
        <v>69.3</v>
      </c>
    </row>
    <row r="5219" spans="1:16" x14ac:dyDescent="0.25">
      <c r="A5219" t="s">
        <v>3296</v>
      </c>
      <c r="B5219" t="s">
        <v>2931</v>
      </c>
      <c r="C5219">
        <v>10922</v>
      </c>
      <c r="D5219" t="str">
        <f>"6297240     "</f>
        <v xml:space="preserve">6297240     </v>
      </c>
      <c r="E5219" t="s">
        <v>295</v>
      </c>
      <c r="F5219" t="s">
        <v>297</v>
      </c>
      <c r="G5219">
        <v>477.9</v>
      </c>
      <c r="H5219">
        <v>250822</v>
      </c>
      <c r="I5219">
        <v>4530</v>
      </c>
      <c r="J5219" t="s">
        <v>293</v>
      </c>
      <c r="K5219">
        <v>477.9</v>
      </c>
      <c r="L5219">
        <v>97.1</v>
      </c>
      <c r="M5219">
        <v>17527</v>
      </c>
      <c r="N5219" t="s">
        <v>142</v>
      </c>
      <c r="O5219">
        <v>250827</v>
      </c>
      <c r="P5219">
        <v>380.8</v>
      </c>
    </row>
    <row r="5220" spans="1:16" x14ac:dyDescent="0.25">
      <c r="A5220" t="s">
        <v>3296</v>
      </c>
      <c r="B5220" t="s">
        <v>2931</v>
      </c>
      <c r="C5220">
        <v>10950</v>
      </c>
      <c r="D5220" t="str">
        <f>"6297462     "</f>
        <v xml:space="preserve">6297462     </v>
      </c>
      <c r="E5220" t="s">
        <v>295</v>
      </c>
      <c r="F5220" t="s">
        <v>297</v>
      </c>
      <c r="G5220">
        <v>1486.41</v>
      </c>
      <c r="H5220">
        <v>250825</v>
      </c>
      <c r="I5220">
        <v>4530</v>
      </c>
      <c r="J5220" t="s">
        <v>293</v>
      </c>
      <c r="K5220">
        <v>1486.41</v>
      </c>
      <c r="L5220">
        <v>302.02</v>
      </c>
      <c r="M5220">
        <v>67522</v>
      </c>
      <c r="N5220" t="s">
        <v>121</v>
      </c>
      <c r="O5220">
        <v>250827</v>
      </c>
      <c r="P5220">
        <v>1184.3900000000001</v>
      </c>
    </row>
    <row r="5221" spans="1:16" x14ac:dyDescent="0.25">
      <c r="A5221" t="s">
        <v>3296</v>
      </c>
      <c r="B5221" t="s">
        <v>2931</v>
      </c>
      <c r="C5221">
        <v>10952</v>
      </c>
      <c r="D5221" t="str">
        <f>"6297497     "</f>
        <v xml:space="preserve">6297497     </v>
      </c>
      <c r="E5221" t="s">
        <v>295</v>
      </c>
      <c r="F5221" t="s">
        <v>297</v>
      </c>
      <c r="G5221">
        <v>3349.61</v>
      </c>
      <c r="H5221">
        <v>250825</v>
      </c>
      <c r="I5221">
        <v>4530</v>
      </c>
      <c r="J5221" t="s">
        <v>293</v>
      </c>
      <c r="K5221">
        <v>3349.61</v>
      </c>
      <c r="L5221">
        <v>680.6</v>
      </c>
      <c r="M5221">
        <v>67522</v>
      </c>
      <c r="N5221" t="s">
        <v>121</v>
      </c>
      <c r="O5221">
        <v>250827</v>
      </c>
      <c r="P5221">
        <v>2669.01</v>
      </c>
    </row>
    <row r="5222" spans="1:16" x14ac:dyDescent="0.25">
      <c r="A5222" t="s">
        <v>3296</v>
      </c>
      <c r="B5222" t="s">
        <v>2931</v>
      </c>
      <c r="C5222">
        <v>10954</v>
      </c>
      <c r="D5222" t="str">
        <f>"6297368     "</f>
        <v xml:space="preserve">6297368     </v>
      </c>
      <c r="E5222" t="s">
        <v>295</v>
      </c>
      <c r="F5222" t="s">
        <v>297</v>
      </c>
      <c r="G5222">
        <v>133.80000000000001</v>
      </c>
      <c r="H5222">
        <v>250825</v>
      </c>
      <c r="I5222">
        <v>4530</v>
      </c>
      <c r="J5222" t="s">
        <v>293</v>
      </c>
      <c r="K5222">
        <v>133.80000000000001</v>
      </c>
      <c r="L5222">
        <v>27.19</v>
      </c>
      <c r="M5222">
        <v>69501</v>
      </c>
      <c r="N5222" t="s">
        <v>123</v>
      </c>
      <c r="O5222">
        <v>250827</v>
      </c>
      <c r="P5222">
        <v>106.61</v>
      </c>
    </row>
    <row r="5223" spans="1:16" x14ac:dyDescent="0.25">
      <c r="A5223" t="s">
        <v>3296</v>
      </c>
      <c r="B5223" t="s">
        <v>2931</v>
      </c>
      <c r="C5223">
        <v>10955</v>
      </c>
      <c r="D5223" t="str">
        <f>"6297469     "</f>
        <v xml:space="preserve">6297469     </v>
      </c>
      <c r="E5223" t="s">
        <v>295</v>
      </c>
      <c r="F5223" t="s">
        <v>297</v>
      </c>
      <c r="G5223">
        <v>2428.19</v>
      </c>
      <c r="H5223">
        <v>250825</v>
      </c>
      <c r="I5223">
        <v>4530</v>
      </c>
      <c r="J5223" t="s">
        <v>293</v>
      </c>
      <c r="K5223">
        <v>2428.19</v>
      </c>
      <c r="L5223">
        <v>493.38</v>
      </c>
      <c r="M5223">
        <v>67522</v>
      </c>
      <c r="N5223" t="s">
        <v>121</v>
      </c>
      <c r="O5223">
        <v>250827</v>
      </c>
      <c r="P5223">
        <v>1934.81</v>
      </c>
    </row>
    <row r="5224" spans="1:16" x14ac:dyDescent="0.25">
      <c r="A5224" t="s">
        <v>3296</v>
      </c>
      <c r="B5224" t="s">
        <v>2931</v>
      </c>
      <c r="C5224">
        <v>10959</v>
      </c>
      <c r="D5224" t="str">
        <f>"6297628     "</f>
        <v xml:space="preserve">6297628     </v>
      </c>
      <c r="E5224" t="s">
        <v>295</v>
      </c>
      <c r="F5224" t="s">
        <v>297</v>
      </c>
      <c r="G5224">
        <v>1771.08</v>
      </c>
      <c r="H5224">
        <v>250826</v>
      </c>
      <c r="I5224">
        <v>4530</v>
      </c>
      <c r="J5224" t="s">
        <v>293</v>
      </c>
      <c r="K5224">
        <v>1924.02</v>
      </c>
      <c r="L5224">
        <v>359.86</v>
      </c>
      <c r="M5224">
        <v>46557</v>
      </c>
      <c r="N5224" t="s">
        <v>104</v>
      </c>
      <c r="O5224">
        <v>250827</v>
      </c>
      <c r="P5224">
        <v>1411.22</v>
      </c>
    </row>
    <row r="5225" spans="1:16" x14ac:dyDescent="0.25">
      <c r="A5225" t="s">
        <v>3296</v>
      </c>
      <c r="B5225" t="s">
        <v>2931</v>
      </c>
      <c r="C5225">
        <v>10962</v>
      </c>
      <c r="D5225" t="str">
        <f>"6297563     "</f>
        <v xml:space="preserve">6297563     </v>
      </c>
      <c r="E5225" t="s">
        <v>295</v>
      </c>
      <c r="F5225" t="s">
        <v>297</v>
      </c>
      <c r="G5225">
        <v>1298.8599999999999</v>
      </c>
      <c r="H5225">
        <v>250826</v>
      </c>
      <c r="I5225">
        <v>4530</v>
      </c>
      <c r="J5225" t="s">
        <v>293</v>
      </c>
      <c r="K5225">
        <v>1298.8599999999999</v>
      </c>
      <c r="L5225">
        <v>263.91000000000003</v>
      </c>
      <c r="M5225">
        <v>66722</v>
      </c>
      <c r="N5225" t="s">
        <v>118</v>
      </c>
      <c r="O5225">
        <v>250828</v>
      </c>
      <c r="P5225">
        <v>1034.95</v>
      </c>
    </row>
    <row r="5226" spans="1:16" x14ac:dyDescent="0.25">
      <c r="A5226" t="s">
        <v>3296</v>
      </c>
      <c r="B5226" t="s">
        <v>2931</v>
      </c>
      <c r="C5226">
        <v>10997</v>
      </c>
      <c r="D5226" t="str">
        <f>"6297786     "</f>
        <v xml:space="preserve">6297786     </v>
      </c>
      <c r="E5226" t="s">
        <v>295</v>
      </c>
      <c r="F5226" t="s">
        <v>297</v>
      </c>
      <c r="G5226">
        <v>83.75</v>
      </c>
      <c r="H5226">
        <v>250827</v>
      </c>
      <c r="I5226">
        <v>4530</v>
      </c>
      <c r="J5226" t="s">
        <v>293</v>
      </c>
      <c r="K5226">
        <v>83.75</v>
      </c>
      <c r="L5226">
        <v>17.02</v>
      </c>
      <c r="M5226">
        <v>69501</v>
      </c>
      <c r="N5226" t="s">
        <v>123</v>
      </c>
      <c r="O5226">
        <v>250828</v>
      </c>
      <c r="P5226">
        <v>66.73</v>
      </c>
    </row>
    <row r="5227" spans="1:16" x14ac:dyDescent="0.25">
      <c r="A5227" t="s">
        <v>3296</v>
      </c>
      <c r="B5227" t="s">
        <v>2931</v>
      </c>
      <c r="C5227">
        <v>11002</v>
      </c>
      <c r="D5227" t="str">
        <f>"6297314     "</f>
        <v xml:space="preserve">6297314     </v>
      </c>
      <c r="E5227" t="s">
        <v>295</v>
      </c>
      <c r="F5227" t="s">
        <v>297</v>
      </c>
      <c r="G5227">
        <v>552.78</v>
      </c>
      <c r="H5227">
        <v>250822</v>
      </c>
      <c r="I5227">
        <v>4530</v>
      </c>
      <c r="J5227" t="s">
        <v>293</v>
      </c>
      <c r="K5227">
        <v>552.78</v>
      </c>
      <c r="L5227">
        <v>112.32</v>
      </c>
      <c r="M5227">
        <v>44222</v>
      </c>
      <c r="N5227" t="s">
        <v>96</v>
      </c>
      <c r="O5227">
        <v>250829</v>
      </c>
      <c r="P5227">
        <v>440.46</v>
      </c>
    </row>
    <row r="5228" spans="1:16" x14ac:dyDescent="0.25">
      <c r="A5228" t="s">
        <v>3296</v>
      </c>
      <c r="B5228" t="s">
        <v>2931</v>
      </c>
      <c r="C5228">
        <v>11007</v>
      </c>
      <c r="D5228" t="str">
        <f>"6297210     "</f>
        <v xml:space="preserve">6297210     </v>
      </c>
      <c r="E5228" t="s">
        <v>295</v>
      </c>
      <c r="F5228" t="s">
        <v>297</v>
      </c>
      <c r="G5228">
        <v>677.13</v>
      </c>
      <c r="H5228">
        <v>250822</v>
      </c>
      <c r="I5228">
        <v>4530</v>
      </c>
      <c r="J5228" t="s">
        <v>293</v>
      </c>
      <c r="K5228">
        <v>1623.53</v>
      </c>
      <c r="L5228">
        <v>137.58000000000001</v>
      </c>
      <c r="M5228">
        <v>17522</v>
      </c>
      <c r="N5228" t="s">
        <v>137</v>
      </c>
      <c r="O5228">
        <v>250829</v>
      </c>
      <c r="P5228">
        <v>539.54999999999995</v>
      </c>
    </row>
    <row r="5229" spans="1:16" x14ac:dyDescent="0.25">
      <c r="A5229" t="s">
        <v>3296</v>
      </c>
      <c r="B5229" t="s">
        <v>2931</v>
      </c>
      <c r="C5229">
        <v>11007</v>
      </c>
      <c r="D5229" t="str">
        <f>"6297210     "</f>
        <v xml:space="preserve">6297210     </v>
      </c>
      <c r="E5229" t="s">
        <v>295</v>
      </c>
      <c r="F5229" t="s">
        <v>297</v>
      </c>
      <c r="G5229">
        <v>720.32</v>
      </c>
      <c r="H5229">
        <v>250822</v>
      </c>
      <c r="I5229">
        <v>4530</v>
      </c>
      <c r="J5229" t="s">
        <v>293</v>
      </c>
      <c r="K5229">
        <v>1623.53</v>
      </c>
      <c r="L5229">
        <v>146.36000000000001</v>
      </c>
      <c r="M5229">
        <v>17522</v>
      </c>
      <c r="N5229" t="s">
        <v>137</v>
      </c>
      <c r="O5229">
        <v>250829</v>
      </c>
      <c r="P5229">
        <v>573.96</v>
      </c>
    </row>
    <row r="5230" spans="1:16" x14ac:dyDescent="0.25">
      <c r="A5230" t="s">
        <v>3296</v>
      </c>
      <c r="B5230" t="s">
        <v>2931</v>
      </c>
      <c r="C5230">
        <v>11088</v>
      </c>
      <c r="D5230" t="str">
        <f>"6297237     "</f>
        <v xml:space="preserve">6297237     </v>
      </c>
      <c r="E5230" t="s">
        <v>295</v>
      </c>
      <c r="F5230" t="s">
        <v>297</v>
      </c>
      <c r="G5230">
        <v>12099.89</v>
      </c>
      <c r="H5230">
        <v>250822</v>
      </c>
      <c r="I5230">
        <v>4530</v>
      </c>
      <c r="J5230" t="s">
        <v>293</v>
      </c>
      <c r="K5230">
        <v>12099.89</v>
      </c>
      <c r="L5230">
        <v>2458.54</v>
      </c>
      <c r="M5230">
        <v>17803</v>
      </c>
      <c r="N5230" t="s">
        <v>19</v>
      </c>
      <c r="O5230">
        <v>250829</v>
      </c>
      <c r="P5230">
        <v>9641.35</v>
      </c>
    </row>
    <row r="5231" spans="1:16" x14ac:dyDescent="0.25">
      <c r="A5231" t="s">
        <v>3296</v>
      </c>
      <c r="B5231" t="s">
        <v>2931</v>
      </c>
      <c r="C5231">
        <v>11099</v>
      </c>
      <c r="D5231" t="str">
        <f>"6296582     "</f>
        <v xml:space="preserve">6296582     </v>
      </c>
      <c r="E5231" t="s">
        <v>295</v>
      </c>
      <c r="F5231" t="s">
        <v>297</v>
      </c>
      <c r="G5231">
        <v>7735.44</v>
      </c>
      <c r="H5231">
        <v>250818</v>
      </c>
      <c r="I5231">
        <v>4530</v>
      </c>
      <c r="J5231" t="s">
        <v>293</v>
      </c>
      <c r="K5231">
        <v>7735.44</v>
      </c>
      <c r="L5231">
        <v>1571.74</v>
      </c>
      <c r="M5231">
        <v>56560</v>
      </c>
      <c r="N5231" t="s">
        <v>52</v>
      </c>
      <c r="O5231">
        <v>250829</v>
      </c>
      <c r="P5231">
        <v>6163.7</v>
      </c>
    </row>
    <row r="5232" spans="1:16" x14ac:dyDescent="0.25">
      <c r="A5232" t="s">
        <v>3296</v>
      </c>
      <c r="B5232" t="s">
        <v>2931</v>
      </c>
      <c r="C5232">
        <v>11109</v>
      </c>
      <c r="D5232" t="str">
        <f>"6297725     "</f>
        <v xml:space="preserve">6297725     </v>
      </c>
      <c r="E5232" t="s">
        <v>295</v>
      </c>
      <c r="F5232" t="s">
        <v>297</v>
      </c>
      <c r="G5232">
        <v>606.03</v>
      </c>
      <c r="H5232">
        <v>250827</v>
      </c>
      <c r="I5232">
        <v>4530</v>
      </c>
      <c r="J5232" t="s">
        <v>293</v>
      </c>
      <c r="K5232">
        <v>606.03</v>
      </c>
      <c r="L5232">
        <v>123.14</v>
      </c>
      <c r="M5232">
        <v>17527</v>
      </c>
      <c r="N5232" t="s">
        <v>142</v>
      </c>
      <c r="O5232">
        <v>250829</v>
      </c>
      <c r="P5232">
        <v>482.89</v>
      </c>
    </row>
    <row r="5233" spans="1:16" x14ac:dyDescent="0.25">
      <c r="A5233" t="s">
        <v>3296</v>
      </c>
      <c r="B5233" t="s">
        <v>2931</v>
      </c>
      <c r="C5233">
        <v>11182</v>
      </c>
      <c r="D5233" t="str">
        <f>"6296946     "</f>
        <v xml:space="preserve">6296946     </v>
      </c>
      <c r="E5233" t="s">
        <v>295</v>
      </c>
      <c r="F5233" t="s">
        <v>297</v>
      </c>
      <c r="G5233">
        <v>12043.77</v>
      </c>
      <c r="H5233">
        <v>250820</v>
      </c>
      <c r="I5233">
        <v>4530</v>
      </c>
      <c r="J5233" t="s">
        <v>293</v>
      </c>
      <c r="K5233">
        <v>12043.77</v>
      </c>
      <c r="L5233">
        <v>2447.14</v>
      </c>
      <c r="M5233">
        <v>17806</v>
      </c>
      <c r="N5233" t="s">
        <v>22</v>
      </c>
      <c r="O5233">
        <v>250901</v>
      </c>
      <c r="P5233">
        <v>9596.6299999999992</v>
      </c>
    </row>
    <row r="5234" spans="1:16" x14ac:dyDescent="0.25">
      <c r="A5234" t="s">
        <v>3296</v>
      </c>
      <c r="B5234" t="s">
        <v>2931</v>
      </c>
      <c r="C5234">
        <v>11184</v>
      </c>
      <c r="D5234" t="str">
        <f>"6297223     "</f>
        <v xml:space="preserve">6297223     </v>
      </c>
      <c r="E5234" t="s">
        <v>295</v>
      </c>
      <c r="F5234" t="s">
        <v>297</v>
      </c>
      <c r="G5234">
        <v>507.87</v>
      </c>
      <c r="H5234">
        <v>250822</v>
      </c>
      <c r="I5234">
        <v>4530</v>
      </c>
      <c r="J5234" t="s">
        <v>293</v>
      </c>
      <c r="K5234">
        <v>507.87</v>
      </c>
      <c r="L5234">
        <v>103.19</v>
      </c>
      <c r="M5234">
        <v>17804</v>
      </c>
      <c r="N5234" t="s">
        <v>20</v>
      </c>
      <c r="O5234">
        <v>250901</v>
      </c>
      <c r="P5234">
        <v>404.68</v>
      </c>
    </row>
    <row r="5235" spans="1:16" x14ac:dyDescent="0.25">
      <c r="A5235" t="s">
        <v>3296</v>
      </c>
      <c r="B5235" t="s">
        <v>2931</v>
      </c>
      <c r="C5235">
        <v>11242</v>
      </c>
      <c r="D5235" t="str">
        <f>"6297086     "</f>
        <v xml:space="preserve">6297086     </v>
      </c>
      <c r="E5235" t="s">
        <v>295</v>
      </c>
      <c r="F5235" t="s">
        <v>297</v>
      </c>
      <c r="G5235">
        <v>216.06</v>
      </c>
      <c r="H5235">
        <v>250821</v>
      </c>
      <c r="I5235">
        <v>4530</v>
      </c>
      <c r="J5235" t="s">
        <v>293</v>
      </c>
      <c r="K5235">
        <v>216.06</v>
      </c>
      <c r="L5235">
        <v>43.9</v>
      </c>
      <c r="M5235">
        <v>17526</v>
      </c>
      <c r="N5235" t="s">
        <v>141</v>
      </c>
      <c r="O5235">
        <v>250902</v>
      </c>
      <c r="P5235">
        <v>172.16</v>
      </c>
    </row>
    <row r="5236" spans="1:16" x14ac:dyDescent="0.25">
      <c r="A5236" t="s">
        <v>3296</v>
      </c>
      <c r="B5236" t="s">
        <v>2931</v>
      </c>
      <c r="C5236">
        <v>11244</v>
      </c>
      <c r="D5236" t="str">
        <f>"6297367     "</f>
        <v xml:space="preserve">6297367     </v>
      </c>
      <c r="E5236" t="s">
        <v>295</v>
      </c>
      <c r="F5236" t="s">
        <v>297</v>
      </c>
      <c r="G5236">
        <v>97.4</v>
      </c>
      <c r="H5236">
        <v>250825</v>
      </c>
      <c r="I5236">
        <v>4530</v>
      </c>
      <c r="J5236" t="s">
        <v>293</v>
      </c>
      <c r="K5236">
        <v>195.1</v>
      </c>
      <c r="L5236">
        <v>19.79</v>
      </c>
      <c r="M5236">
        <v>14432</v>
      </c>
      <c r="N5236" t="s">
        <v>75</v>
      </c>
      <c r="O5236">
        <v>250902</v>
      </c>
      <c r="P5236">
        <v>77.61</v>
      </c>
    </row>
    <row r="5237" spans="1:16" x14ac:dyDescent="0.25">
      <c r="A5237" t="s">
        <v>3296</v>
      </c>
      <c r="B5237" t="s">
        <v>2931</v>
      </c>
      <c r="C5237">
        <v>11244</v>
      </c>
      <c r="D5237" t="str">
        <f>"6297367     "</f>
        <v xml:space="preserve">6297367     </v>
      </c>
      <c r="E5237" t="s">
        <v>295</v>
      </c>
      <c r="F5237" t="s">
        <v>297</v>
      </c>
      <c r="G5237">
        <v>97.7</v>
      </c>
      <c r="H5237">
        <v>250825</v>
      </c>
      <c r="I5237">
        <v>4530</v>
      </c>
      <c r="J5237" t="s">
        <v>293</v>
      </c>
      <c r="K5237">
        <v>195.1</v>
      </c>
      <c r="L5237">
        <v>19.850000000000001</v>
      </c>
      <c r="M5237">
        <v>14912</v>
      </c>
      <c r="N5237" t="s">
        <v>80</v>
      </c>
      <c r="O5237">
        <v>250902</v>
      </c>
      <c r="P5237">
        <v>77.849999999999994</v>
      </c>
    </row>
    <row r="5238" spans="1:16" x14ac:dyDescent="0.25">
      <c r="A5238" t="s">
        <v>3296</v>
      </c>
      <c r="B5238" t="s">
        <v>2931</v>
      </c>
      <c r="C5238">
        <v>11246</v>
      </c>
      <c r="D5238" t="str">
        <f>"6297785     "</f>
        <v xml:space="preserve">6297785     </v>
      </c>
      <c r="E5238" t="s">
        <v>295</v>
      </c>
      <c r="F5238" t="s">
        <v>297</v>
      </c>
      <c r="G5238">
        <v>177.18</v>
      </c>
      <c r="H5238">
        <v>250827</v>
      </c>
      <c r="I5238">
        <v>4530</v>
      </c>
      <c r="J5238" t="s">
        <v>293</v>
      </c>
      <c r="K5238">
        <v>177.18</v>
      </c>
      <c r="L5238">
        <v>36</v>
      </c>
      <c r="M5238">
        <v>67554</v>
      </c>
      <c r="N5238" t="s">
        <v>317</v>
      </c>
      <c r="O5238">
        <v>250902</v>
      </c>
      <c r="P5238">
        <v>141.18</v>
      </c>
    </row>
    <row r="5239" spans="1:16" x14ac:dyDescent="0.25">
      <c r="A5239" t="s">
        <v>3296</v>
      </c>
      <c r="B5239" t="s">
        <v>2931</v>
      </c>
      <c r="C5239">
        <v>11265</v>
      </c>
      <c r="D5239" t="str">
        <f>"6297624     "</f>
        <v xml:space="preserve">6297624     </v>
      </c>
      <c r="E5239" t="s">
        <v>295</v>
      </c>
      <c r="F5239" t="s">
        <v>297</v>
      </c>
      <c r="G5239">
        <v>1694.37</v>
      </c>
      <c r="H5239">
        <v>250826</v>
      </c>
      <c r="I5239">
        <v>4530</v>
      </c>
      <c r="J5239" t="s">
        <v>293</v>
      </c>
      <c r="K5239">
        <v>3388.74</v>
      </c>
      <c r="L5239">
        <v>344.27</v>
      </c>
      <c r="M5239">
        <v>46556</v>
      </c>
      <c r="N5239" t="s">
        <v>458</v>
      </c>
      <c r="O5239">
        <v>250902</v>
      </c>
      <c r="P5239">
        <v>1350.1</v>
      </c>
    </row>
    <row r="5240" spans="1:16" x14ac:dyDescent="0.25">
      <c r="A5240" t="s">
        <v>3296</v>
      </c>
      <c r="B5240" t="s">
        <v>2931</v>
      </c>
      <c r="C5240">
        <v>11266</v>
      </c>
      <c r="D5240" t="str">
        <f>"6297715     "</f>
        <v xml:space="preserve">6297715     </v>
      </c>
      <c r="E5240" t="s">
        <v>295</v>
      </c>
      <c r="F5240" t="s">
        <v>297</v>
      </c>
      <c r="G5240">
        <v>3921.18</v>
      </c>
      <c r="H5240">
        <v>250827</v>
      </c>
      <c r="I5240">
        <v>4530</v>
      </c>
      <c r="J5240" t="s">
        <v>293</v>
      </c>
      <c r="K5240">
        <v>7842.36</v>
      </c>
      <c r="L5240">
        <v>796.73</v>
      </c>
      <c r="M5240">
        <v>46555</v>
      </c>
      <c r="N5240" t="s">
        <v>103</v>
      </c>
      <c r="O5240">
        <v>250902</v>
      </c>
      <c r="P5240">
        <v>3124.45</v>
      </c>
    </row>
    <row r="5241" spans="1:16" x14ac:dyDescent="0.25">
      <c r="A5241" t="s">
        <v>3296</v>
      </c>
      <c r="B5241" t="s">
        <v>2931</v>
      </c>
      <c r="C5241">
        <v>11613</v>
      </c>
      <c r="D5241" t="str">
        <f>"6297042     "</f>
        <v xml:space="preserve">6297042     </v>
      </c>
      <c r="E5241" t="s">
        <v>295</v>
      </c>
      <c r="F5241" t="s">
        <v>297</v>
      </c>
      <c r="G5241">
        <v>7085.98</v>
      </c>
      <c r="H5241">
        <v>250821</v>
      </c>
      <c r="I5241">
        <v>4530</v>
      </c>
      <c r="J5241" t="s">
        <v>293</v>
      </c>
      <c r="K5241">
        <v>7085.98</v>
      </c>
      <c r="L5241">
        <v>1439.78</v>
      </c>
      <c r="M5241">
        <v>17807</v>
      </c>
      <c r="N5241" t="s">
        <v>23</v>
      </c>
      <c r="O5241">
        <v>250909</v>
      </c>
      <c r="P5241">
        <v>5646.2</v>
      </c>
    </row>
    <row r="5242" spans="1:16" x14ac:dyDescent="0.25">
      <c r="A5242" t="s">
        <v>3296</v>
      </c>
      <c r="B5242" t="s">
        <v>2931</v>
      </c>
      <c r="C5242">
        <v>11627</v>
      </c>
      <c r="D5242" t="str">
        <f>"6297359     "</f>
        <v xml:space="preserve">6297359     </v>
      </c>
      <c r="E5242" t="s">
        <v>295</v>
      </c>
      <c r="F5242" t="s">
        <v>297</v>
      </c>
      <c r="G5242">
        <v>158.86000000000001</v>
      </c>
      <c r="H5242">
        <v>250825</v>
      </c>
      <c r="I5242">
        <v>4530</v>
      </c>
      <c r="J5242" t="s">
        <v>293</v>
      </c>
      <c r="K5242">
        <v>158.86000000000001</v>
      </c>
      <c r="L5242">
        <v>32.28</v>
      </c>
      <c r="M5242">
        <v>47522</v>
      </c>
      <c r="N5242" t="s">
        <v>106</v>
      </c>
      <c r="O5242">
        <v>250909</v>
      </c>
      <c r="P5242">
        <v>126.58</v>
      </c>
    </row>
    <row r="5243" spans="1:16" x14ac:dyDescent="0.25">
      <c r="A5243" t="s">
        <v>3296</v>
      </c>
      <c r="B5243" t="s">
        <v>2931</v>
      </c>
      <c r="C5243">
        <v>11645</v>
      </c>
      <c r="D5243" t="str">
        <f>"6297586     "</f>
        <v xml:space="preserve">6297586     </v>
      </c>
      <c r="E5243" t="s">
        <v>295</v>
      </c>
      <c r="F5243" t="s">
        <v>297</v>
      </c>
      <c r="G5243">
        <v>1925.08</v>
      </c>
      <c r="H5243">
        <v>250826</v>
      </c>
      <c r="I5243">
        <v>4530</v>
      </c>
      <c r="J5243" t="s">
        <v>293</v>
      </c>
      <c r="K5243">
        <v>1925.08</v>
      </c>
      <c r="L5243">
        <v>391.15</v>
      </c>
      <c r="M5243">
        <v>44222</v>
      </c>
      <c r="N5243" t="s">
        <v>96</v>
      </c>
      <c r="O5243">
        <v>250909</v>
      </c>
      <c r="P5243">
        <v>1533.93</v>
      </c>
    </row>
    <row r="5244" spans="1:16" x14ac:dyDescent="0.25">
      <c r="A5244" t="s">
        <v>3296</v>
      </c>
      <c r="B5244" t="s">
        <v>2931</v>
      </c>
      <c r="C5244">
        <v>11648</v>
      </c>
      <c r="D5244" t="str">
        <f>"6297632     "</f>
        <v xml:space="preserve">6297632     </v>
      </c>
      <c r="E5244" t="s">
        <v>295</v>
      </c>
      <c r="F5244" t="s">
        <v>297</v>
      </c>
      <c r="G5244">
        <v>3692.54</v>
      </c>
      <c r="H5244">
        <v>250826</v>
      </c>
      <c r="I5244">
        <v>4530</v>
      </c>
      <c r="J5244" t="s">
        <v>293</v>
      </c>
      <c r="K5244">
        <v>3692.54</v>
      </c>
      <c r="L5244">
        <v>750.28</v>
      </c>
      <c r="M5244">
        <v>46554</v>
      </c>
      <c r="N5244" t="s">
        <v>102</v>
      </c>
      <c r="O5244">
        <v>250909</v>
      </c>
      <c r="P5244">
        <v>2942.26</v>
      </c>
    </row>
    <row r="5245" spans="1:16" x14ac:dyDescent="0.25">
      <c r="A5245" t="s">
        <v>3296</v>
      </c>
      <c r="B5245" t="s">
        <v>2931</v>
      </c>
      <c r="C5245">
        <v>11667</v>
      </c>
      <c r="D5245" t="str">
        <f>"6297599     "</f>
        <v xml:space="preserve">6297599     </v>
      </c>
      <c r="E5245" t="s">
        <v>295</v>
      </c>
      <c r="F5245" t="s">
        <v>297</v>
      </c>
      <c r="G5245">
        <v>2293.73</v>
      </c>
      <c r="H5245">
        <v>250826</v>
      </c>
      <c r="I5245">
        <v>4530</v>
      </c>
      <c r="J5245" t="s">
        <v>293</v>
      </c>
      <c r="K5245">
        <v>2293.73</v>
      </c>
      <c r="L5245">
        <v>466.06</v>
      </c>
      <c r="M5245">
        <v>47522</v>
      </c>
      <c r="N5245" t="s">
        <v>106</v>
      </c>
      <c r="O5245">
        <v>250909</v>
      </c>
      <c r="P5245">
        <v>1827.67</v>
      </c>
    </row>
    <row r="5246" spans="1:16" x14ac:dyDescent="0.25">
      <c r="A5246" t="s">
        <v>3296</v>
      </c>
      <c r="B5246" t="s">
        <v>2931</v>
      </c>
      <c r="C5246">
        <v>11713</v>
      </c>
      <c r="D5246" t="str">
        <f>"6297248     "</f>
        <v xml:space="preserve">6297248     </v>
      </c>
      <c r="E5246" t="s">
        <v>295</v>
      </c>
      <c r="F5246" t="s">
        <v>297</v>
      </c>
      <c r="G5246">
        <v>1338.88</v>
      </c>
      <c r="H5246">
        <v>250822</v>
      </c>
      <c r="I5246">
        <v>4530</v>
      </c>
      <c r="J5246" t="s">
        <v>293</v>
      </c>
      <c r="K5246">
        <v>1505.92</v>
      </c>
      <c r="L5246">
        <v>272.04000000000002</v>
      </c>
      <c r="M5246">
        <v>54422</v>
      </c>
      <c r="N5246" t="s">
        <v>49</v>
      </c>
      <c r="O5246">
        <v>250910</v>
      </c>
      <c r="P5246">
        <v>1066.8399999999999</v>
      </c>
    </row>
    <row r="5247" spans="1:16" x14ac:dyDescent="0.25">
      <c r="A5247" t="s">
        <v>3296</v>
      </c>
      <c r="B5247" t="s">
        <v>2931</v>
      </c>
      <c r="C5247">
        <v>11760</v>
      </c>
      <c r="D5247" t="str">
        <f>"6297774     "</f>
        <v xml:space="preserve">6297774     </v>
      </c>
      <c r="E5247" t="s">
        <v>295</v>
      </c>
      <c r="F5247" t="s">
        <v>297</v>
      </c>
      <c r="G5247">
        <v>203</v>
      </c>
      <c r="H5247">
        <v>250827</v>
      </c>
      <c r="I5247">
        <v>4530</v>
      </c>
      <c r="J5247" t="s">
        <v>293</v>
      </c>
      <c r="K5247">
        <v>203</v>
      </c>
      <c r="L5247">
        <v>41.25</v>
      </c>
      <c r="M5247">
        <v>44222</v>
      </c>
      <c r="N5247" t="s">
        <v>96</v>
      </c>
      <c r="O5247">
        <v>250910</v>
      </c>
      <c r="P5247">
        <v>161.75</v>
      </c>
    </row>
    <row r="5248" spans="1:16" x14ac:dyDescent="0.25">
      <c r="A5248" t="s">
        <v>3296</v>
      </c>
      <c r="B5248" t="s">
        <v>2931</v>
      </c>
      <c r="C5248">
        <v>11761</v>
      </c>
      <c r="D5248" t="str">
        <f>"6297795     "</f>
        <v xml:space="preserve">6297795     </v>
      </c>
      <c r="E5248" t="s">
        <v>295</v>
      </c>
      <c r="F5248" t="s">
        <v>297</v>
      </c>
      <c r="G5248">
        <v>5122.08</v>
      </c>
      <c r="H5248">
        <v>250827</v>
      </c>
      <c r="I5248">
        <v>4530</v>
      </c>
      <c r="J5248" t="s">
        <v>293</v>
      </c>
      <c r="K5248">
        <v>5122.08</v>
      </c>
      <c r="L5248">
        <v>1040.74</v>
      </c>
      <c r="M5248">
        <v>66756</v>
      </c>
      <c r="N5248" t="s">
        <v>120</v>
      </c>
      <c r="O5248">
        <v>250910</v>
      </c>
      <c r="P5248">
        <v>4081.34</v>
      </c>
    </row>
    <row r="5249" spans="1:16" x14ac:dyDescent="0.25">
      <c r="A5249" t="s">
        <v>3296</v>
      </c>
      <c r="B5249" t="s">
        <v>2931</v>
      </c>
      <c r="C5249">
        <v>11762</v>
      </c>
      <c r="D5249" t="str">
        <f>"6297796     "</f>
        <v xml:space="preserve">6297796     </v>
      </c>
      <c r="E5249" t="s">
        <v>295</v>
      </c>
      <c r="F5249" t="s">
        <v>297</v>
      </c>
      <c r="G5249">
        <v>218.46</v>
      </c>
      <c r="H5249">
        <v>250827</v>
      </c>
      <c r="I5249">
        <v>4530</v>
      </c>
      <c r="J5249" t="s">
        <v>293</v>
      </c>
      <c r="K5249">
        <v>218.46</v>
      </c>
      <c r="L5249">
        <v>44.39</v>
      </c>
      <c r="M5249">
        <v>46554</v>
      </c>
      <c r="N5249" t="s">
        <v>102</v>
      </c>
      <c r="O5249">
        <v>250910</v>
      </c>
      <c r="P5249">
        <v>174.07</v>
      </c>
    </row>
    <row r="5250" spans="1:16" x14ac:dyDescent="0.25">
      <c r="A5250" t="s">
        <v>3296</v>
      </c>
      <c r="B5250" t="s">
        <v>2931</v>
      </c>
      <c r="C5250">
        <v>11882</v>
      </c>
      <c r="D5250" t="str">
        <f>"6297156     "</f>
        <v xml:space="preserve">6297156     </v>
      </c>
      <c r="E5250" t="s">
        <v>295</v>
      </c>
      <c r="F5250" t="s">
        <v>297</v>
      </c>
      <c r="G5250">
        <v>1799.52</v>
      </c>
      <c r="H5250">
        <v>250821</v>
      </c>
      <c r="I5250">
        <v>4530</v>
      </c>
      <c r="J5250" t="s">
        <v>293</v>
      </c>
      <c r="K5250">
        <v>1799.52</v>
      </c>
      <c r="L5250">
        <v>365.64</v>
      </c>
      <c r="M5250">
        <v>17521</v>
      </c>
      <c r="N5250" t="s">
        <v>136</v>
      </c>
      <c r="O5250">
        <v>250911</v>
      </c>
      <c r="P5250">
        <v>1433.88</v>
      </c>
    </row>
    <row r="5251" spans="1:16" x14ac:dyDescent="0.25">
      <c r="A5251" t="s">
        <v>3296</v>
      </c>
      <c r="B5251" t="s">
        <v>2931</v>
      </c>
      <c r="C5251">
        <v>11930</v>
      </c>
      <c r="D5251" t="str">
        <f>"6298066     "</f>
        <v xml:space="preserve">6298066     </v>
      </c>
      <c r="E5251" t="s">
        <v>295</v>
      </c>
      <c r="F5251" t="s">
        <v>297</v>
      </c>
      <c r="G5251">
        <v>79.430000000000007</v>
      </c>
      <c r="H5251">
        <v>250829</v>
      </c>
      <c r="I5251">
        <v>4530</v>
      </c>
      <c r="J5251" t="s">
        <v>293</v>
      </c>
      <c r="K5251">
        <v>79.430000000000007</v>
      </c>
      <c r="L5251">
        <v>16.14</v>
      </c>
      <c r="M5251">
        <v>56564</v>
      </c>
      <c r="N5251" t="s">
        <v>56</v>
      </c>
      <c r="O5251">
        <v>250912</v>
      </c>
      <c r="P5251">
        <v>63.29</v>
      </c>
    </row>
    <row r="5252" spans="1:16" x14ac:dyDescent="0.25">
      <c r="A5252" t="s">
        <v>3296</v>
      </c>
      <c r="B5252" t="s">
        <v>2931</v>
      </c>
      <c r="C5252">
        <v>11992</v>
      </c>
      <c r="D5252" t="str">
        <f>"6297049     "</f>
        <v xml:space="preserve">6297049     </v>
      </c>
      <c r="E5252" t="s">
        <v>295</v>
      </c>
      <c r="F5252" t="s">
        <v>297</v>
      </c>
      <c r="G5252">
        <v>6995.9</v>
      </c>
      <c r="H5252">
        <v>250821</v>
      </c>
      <c r="I5252">
        <v>4530</v>
      </c>
      <c r="J5252" t="s">
        <v>293</v>
      </c>
      <c r="K5252">
        <v>6995.9</v>
      </c>
      <c r="L5252">
        <v>1421.48</v>
      </c>
      <c r="M5252">
        <v>17807</v>
      </c>
      <c r="N5252" t="s">
        <v>23</v>
      </c>
      <c r="O5252">
        <v>250915</v>
      </c>
      <c r="P5252">
        <v>5574.42</v>
      </c>
    </row>
    <row r="5253" spans="1:16" x14ac:dyDescent="0.25">
      <c r="A5253" t="s">
        <v>3296</v>
      </c>
      <c r="B5253" t="s">
        <v>2931</v>
      </c>
      <c r="C5253">
        <v>12060</v>
      </c>
      <c r="D5253" t="str">
        <f>"6297161     "</f>
        <v xml:space="preserve">6297161     </v>
      </c>
      <c r="E5253" t="s">
        <v>295</v>
      </c>
      <c r="F5253" t="s">
        <v>297</v>
      </c>
      <c r="G5253">
        <v>3201.81</v>
      </c>
      <c r="H5253">
        <v>250821</v>
      </c>
      <c r="I5253">
        <v>4530</v>
      </c>
      <c r="J5253" t="s">
        <v>293</v>
      </c>
      <c r="K5253">
        <v>3201.81</v>
      </c>
      <c r="L5253">
        <v>650.57000000000005</v>
      </c>
      <c r="M5253">
        <v>17711</v>
      </c>
      <c r="N5253" t="s">
        <v>155</v>
      </c>
      <c r="O5253">
        <v>250916</v>
      </c>
      <c r="P5253">
        <v>2551.2399999999998</v>
      </c>
    </row>
    <row r="5254" spans="1:16" x14ac:dyDescent="0.25">
      <c r="A5254" t="s">
        <v>3296</v>
      </c>
      <c r="B5254" t="s">
        <v>2931</v>
      </c>
      <c r="C5254">
        <v>12162</v>
      </c>
      <c r="D5254" t="str">
        <f>"6297439     "</f>
        <v xml:space="preserve">6297439     </v>
      </c>
      <c r="E5254" t="s">
        <v>295</v>
      </c>
      <c r="F5254" t="s">
        <v>297</v>
      </c>
      <c r="G5254">
        <v>632.32000000000005</v>
      </c>
      <c r="H5254">
        <v>250825</v>
      </c>
      <c r="I5254">
        <v>4530</v>
      </c>
      <c r="J5254" t="s">
        <v>293</v>
      </c>
      <c r="K5254">
        <v>632.32000000000005</v>
      </c>
      <c r="L5254">
        <v>128.47999999999999</v>
      </c>
      <c r="M5254">
        <v>44222</v>
      </c>
      <c r="N5254" t="s">
        <v>96</v>
      </c>
      <c r="O5254">
        <v>250917</v>
      </c>
      <c r="P5254">
        <v>503.84</v>
      </c>
    </row>
    <row r="5255" spans="1:16" x14ac:dyDescent="0.25">
      <c r="A5255" t="s">
        <v>3296</v>
      </c>
      <c r="B5255" t="s">
        <v>2931</v>
      </c>
      <c r="C5255">
        <v>12262</v>
      </c>
      <c r="D5255" t="str">
        <f>"6297574     "</f>
        <v xml:space="preserve">6297574     </v>
      </c>
      <c r="E5255" t="s">
        <v>295</v>
      </c>
      <c r="F5255" t="s">
        <v>297</v>
      </c>
      <c r="G5255">
        <v>1227.6400000000001</v>
      </c>
      <c r="H5255">
        <v>250826</v>
      </c>
      <c r="I5255">
        <v>4530</v>
      </c>
      <c r="J5255" t="s">
        <v>293</v>
      </c>
      <c r="K5255">
        <v>1227.6400000000001</v>
      </c>
      <c r="L5255">
        <v>249.44</v>
      </c>
      <c r="M5255">
        <v>14422</v>
      </c>
      <c r="N5255" t="s">
        <v>73</v>
      </c>
      <c r="O5255">
        <v>250918</v>
      </c>
      <c r="P5255">
        <v>978.2</v>
      </c>
    </row>
    <row r="5256" spans="1:16" x14ac:dyDescent="0.25">
      <c r="A5256" t="s">
        <v>3296</v>
      </c>
      <c r="B5256" t="s">
        <v>2931</v>
      </c>
      <c r="C5256">
        <v>12263</v>
      </c>
      <c r="D5256" t="str">
        <f>"6297797     "</f>
        <v xml:space="preserve">6297797     </v>
      </c>
      <c r="E5256" t="s">
        <v>295</v>
      </c>
      <c r="F5256" t="s">
        <v>297</v>
      </c>
      <c r="G5256">
        <v>64.86</v>
      </c>
      <c r="H5256">
        <v>250827</v>
      </c>
      <c r="I5256">
        <v>4530</v>
      </c>
      <c r="J5256" t="s">
        <v>293</v>
      </c>
      <c r="K5256">
        <v>519.9</v>
      </c>
      <c r="L5256">
        <v>13.18</v>
      </c>
      <c r="M5256">
        <v>14640</v>
      </c>
      <c r="N5256" t="s">
        <v>78</v>
      </c>
      <c r="O5256">
        <v>250918</v>
      </c>
      <c r="P5256">
        <v>51.68</v>
      </c>
    </row>
    <row r="5257" spans="1:16" x14ac:dyDescent="0.25">
      <c r="A5257" t="s">
        <v>3296</v>
      </c>
      <c r="B5257" t="s">
        <v>2931</v>
      </c>
      <c r="C5257">
        <v>12263</v>
      </c>
      <c r="D5257" t="str">
        <f>"6297797     "</f>
        <v xml:space="preserve">6297797     </v>
      </c>
      <c r="E5257" t="s">
        <v>295</v>
      </c>
      <c r="F5257" t="s">
        <v>297</v>
      </c>
      <c r="G5257">
        <v>455.04</v>
      </c>
      <c r="H5257">
        <v>250827</v>
      </c>
      <c r="I5257">
        <v>4530</v>
      </c>
      <c r="J5257" t="s">
        <v>293</v>
      </c>
      <c r="K5257">
        <v>519.9</v>
      </c>
      <c r="L5257">
        <v>92.46</v>
      </c>
      <c r="M5257">
        <v>14640</v>
      </c>
      <c r="N5257" t="s">
        <v>78</v>
      </c>
      <c r="O5257">
        <v>250918</v>
      </c>
      <c r="P5257">
        <v>362.58</v>
      </c>
    </row>
    <row r="5258" spans="1:16" x14ac:dyDescent="0.25">
      <c r="A5258" t="s">
        <v>3296</v>
      </c>
      <c r="B5258" t="s">
        <v>2931</v>
      </c>
      <c r="C5258">
        <v>12295</v>
      </c>
      <c r="D5258" t="str">
        <f>"6298903     "</f>
        <v xml:space="preserve">6298903     </v>
      </c>
      <c r="E5258" t="s">
        <v>295</v>
      </c>
      <c r="F5258" t="s">
        <v>297</v>
      </c>
      <c r="G5258">
        <v>600.97</v>
      </c>
      <c r="H5258">
        <v>250904</v>
      </c>
      <c r="I5258">
        <v>4530</v>
      </c>
      <c r="J5258" t="s">
        <v>293</v>
      </c>
      <c r="K5258">
        <v>600.97</v>
      </c>
      <c r="L5258">
        <v>122.11</v>
      </c>
      <c r="M5258">
        <v>46556</v>
      </c>
      <c r="N5258" t="s">
        <v>458</v>
      </c>
      <c r="O5258">
        <v>250918</v>
      </c>
      <c r="P5258">
        <v>478.86</v>
      </c>
    </row>
    <row r="5259" spans="1:16" x14ac:dyDescent="0.25">
      <c r="A5259" t="s">
        <v>3296</v>
      </c>
      <c r="B5259" t="s">
        <v>2931</v>
      </c>
      <c r="C5259">
        <v>12357</v>
      </c>
      <c r="D5259" t="str">
        <f>"6299258     "</f>
        <v xml:space="preserve">6299258     </v>
      </c>
      <c r="E5259" t="s">
        <v>295</v>
      </c>
      <c r="F5259" t="s">
        <v>297</v>
      </c>
      <c r="G5259">
        <v>264.98</v>
      </c>
      <c r="H5259">
        <v>250908</v>
      </c>
      <c r="I5259">
        <v>4530</v>
      </c>
      <c r="J5259" t="s">
        <v>293</v>
      </c>
      <c r="K5259">
        <v>264.98</v>
      </c>
      <c r="L5259">
        <v>53.84</v>
      </c>
      <c r="M5259">
        <v>66722</v>
      </c>
      <c r="N5259" t="s">
        <v>118</v>
      </c>
      <c r="O5259">
        <v>250919</v>
      </c>
      <c r="P5259">
        <v>211.14</v>
      </c>
    </row>
    <row r="5260" spans="1:16" x14ac:dyDescent="0.25">
      <c r="A5260" t="s">
        <v>3296</v>
      </c>
      <c r="B5260" t="s">
        <v>2931</v>
      </c>
      <c r="C5260">
        <v>12374</v>
      </c>
      <c r="D5260" t="str">
        <f>"6299459     "</f>
        <v xml:space="preserve">6299459     </v>
      </c>
      <c r="E5260" t="s">
        <v>295</v>
      </c>
      <c r="F5260" t="s">
        <v>297</v>
      </c>
      <c r="G5260">
        <v>86.97</v>
      </c>
      <c r="H5260">
        <v>250909</v>
      </c>
      <c r="I5260">
        <v>4530</v>
      </c>
      <c r="J5260" t="s">
        <v>293</v>
      </c>
      <c r="K5260">
        <v>86.97</v>
      </c>
      <c r="L5260">
        <v>17.670000000000002</v>
      </c>
      <c r="M5260">
        <v>47522</v>
      </c>
      <c r="N5260" t="s">
        <v>106</v>
      </c>
      <c r="O5260">
        <v>250919</v>
      </c>
      <c r="P5260">
        <v>69.3</v>
      </c>
    </row>
    <row r="5261" spans="1:16" x14ac:dyDescent="0.25">
      <c r="A5261" t="s">
        <v>3296</v>
      </c>
      <c r="B5261" t="s">
        <v>2931</v>
      </c>
      <c r="C5261">
        <v>12375</v>
      </c>
      <c r="D5261" t="str">
        <f>"6299348     "</f>
        <v xml:space="preserve">6299348     </v>
      </c>
      <c r="E5261" t="s">
        <v>295</v>
      </c>
      <c r="F5261" t="s">
        <v>297</v>
      </c>
      <c r="G5261">
        <v>385.96</v>
      </c>
      <c r="H5261">
        <v>250909</v>
      </c>
      <c r="I5261">
        <v>4530</v>
      </c>
      <c r="J5261" t="s">
        <v>293</v>
      </c>
      <c r="K5261">
        <v>385.96</v>
      </c>
      <c r="L5261">
        <v>78.42</v>
      </c>
      <c r="M5261">
        <v>17807</v>
      </c>
      <c r="N5261" t="s">
        <v>23</v>
      </c>
      <c r="O5261">
        <v>250919</v>
      </c>
      <c r="P5261">
        <v>307.54000000000002</v>
      </c>
    </row>
    <row r="5262" spans="1:16" x14ac:dyDescent="0.25">
      <c r="A5262" t="s">
        <v>3296</v>
      </c>
      <c r="B5262" t="s">
        <v>2931</v>
      </c>
      <c r="C5262">
        <v>12377</v>
      </c>
      <c r="D5262" t="str">
        <f>"6299528     "</f>
        <v xml:space="preserve">6299528     </v>
      </c>
      <c r="E5262" t="s">
        <v>295</v>
      </c>
      <c r="F5262" t="s">
        <v>297</v>
      </c>
      <c r="G5262">
        <v>195.73</v>
      </c>
      <c r="H5262">
        <v>250910</v>
      </c>
      <c r="I5262">
        <v>4530</v>
      </c>
      <c r="J5262" t="s">
        <v>293</v>
      </c>
      <c r="K5262">
        <v>195.73</v>
      </c>
      <c r="L5262">
        <v>39.770000000000003</v>
      </c>
      <c r="M5262">
        <v>66722</v>
      </c>
      <c r="N5262" t="s">
        <v>118</v>
      </c>
      <c r="O5262">
        <v>250919</v>
      </c>
      <c r="P5262">
        <v>155.96</v>
      </c>
    </row>
    <row r="5263" spans="1:16" x14ac:dyDescent="0.25">
      <c r="A5263" t="s">
        <v>3296</v>
      </c>
      <c r="B5263" t="s">
        <v>2931</v>
      </c>
      <c r="C5263">
        <v>12381</v>
      </c>
      <c r="D5263" t="str">
        <f>"6299595     "</f>
        <v xml:space="preserve">6299595     </v>
      </c>
      <c r="E5263" t="s">
        <v>295</v>
      </c>
      <c r="F5263" t="s">
        <v>297</v>
      </c>
      <c r="G5263">
        <v>1832.73</v>
      </c>
      <c r="H5263">
        <v>250910</v>
      </c>
      <c r="I5263">
        <v>4530</v>
      </c>
      <c r="J5263" t="s">
        <v>293</v>
      </c>
      <c r="K5263">
        <v>1832.73</v>
      </c>
      <c r="L5263">
        <v>372.39</v>
      </c>
      <c r="M5263">
        <v>66756</v>
      </c>
      <c r="N5263" t="s">
        <v>120</v>
      </c>
      <c r="O5263">
        <v>250919</v>
      </c>
      <c r="P5263">
        <v>1460.34</v>
      </c>
    </row>
    <row r="5264" spans="1:16" x14ac:dyDescent="0.25">
      <c r="A5264" t="s">
        <v>3296</v>
      </c>
      <c r="B5264" t="s">
        <v>2931</v>
      </c>
      <c r="C5264">
        <v>12411</v>
      </c>
      <c r="D5264" t="str">
        <f>"6299956     "</f>
        <v xml:space="preserve">6299956     </v>
      </c>
      <c r="E5264" t="s">
        <v>295</v>
      </c>
      <c r="F5264" t="s">
        <v>297</v>
      </c>
      <c r="G5264">
        <v>109.02</v>
      </c>
      <c r="H5264">
        <v>250912</v>
      </c>
      <c r="I5264">
        <v>4530</v>
      </c>
      <c r="J5264" t="s">
        <v>293</v>
      </c>
      <c r="K5264">
        <v>109.02</v>
      </c>
      <c r="L5264">
        <v>22.15</v>
      </c>
      <c r="M5264">
        <v>46556</v>
      </c>
      <c r="N5264" t="s">
        <v>458</v>
      </c>
      <c r="O5264">
        <v>250919</v>
      </c>
      <c r="P5264">
        <v>86.87</v>
      </c>
    </row>
    <row r="5265" spans="1:16" x14ac:dyDescent="0.25">
      <c r="A5265" t="s">
        <v>3296</v>
      </c>
      <c r="B5265" t="s">
        <v>2931</v>
      </c>
      <c r="C5265">
        <v>12412</v>
      </c>
      <c r="D5265" t="str">
        <f>"6299853     "</f>
        <v xml:space="preserve">6299853     </v>
      </c>
      <c r="E5265" t="s">
        <v>295</v>
      </c>
      <c r="F5265" t="s">
        <v>297</v>
      </c>
      <c r="G5265">
        <v>360.79</v>
      </c>
      <c r="H5265">
        <v>250912</v>
      </c>
      <c r="I5265">
        <v>4530</v>
      </c>
      <c r="J5265" t="s">
        <v>293</v>
      </c>
      <c r="K5265">
        <v>360.79</v>
      </c>
      <c r="L5265">
        <v>73.31</v>
      </c>
      <c r="M5265">
        <v>46556</v>
      </c>
      <c r="N5265" t="s">
        <v>458</v>
      </c>
      <c r="O5265">
        <v>250919</v>
      </c>
      <c r="P5265">
        <v>287.48</v>
      </c>
    </row>
    <row r="5266" spans="1:16" x14ac:dyDescent="0.25">
      <c r="A5266" t="s">
        <v>3296</v>
      </c>
      <c r="B5266" t="s">
        <v>2931</v>
      </c>
      <c r="C5266">
        <v>12421</v>
      </c>
      <c r="D5266" t="str">
        <f>"6300081     "</f>
        <v xml:space="preserve">6300081     </v>
      </c>
      <c r="E5266" t="s">
        <v>295</v>
      </c>
      <c r="F5266" t="s">
        <v>297</v>
      </c>
      <c r="G5266">
        <v>236.72</v>
      </c>
      <c r="H5266">
        <v>250915</v>
      </c>
      <c r="I5266">
        <v>4530</v>
      </c>
      <c r="J5266" t="s">
        <v>293</v>
      </c>
      <c r="K5266">
        <v>236.72</v>
      </c>
      <c r="L5266">
        <v>48.1</v>
      </c>
      <c r="M5266">
        <v>55222</v>
      </c>
      <c r="N5266" t="s">
        <v>43</v>
      </c>
      <c r="O5266">
        <v>250919</v>
      </c>
      <c r="P5266">
        <v>188.62</v>
      </c>
    </row>
    <row r="5267" spans="1:16" x14ac:dyDescent="0.25">
      <c r="A5267" t="s">
        <v>3296</v>
      </c>
      <c r="B5267" t="s">
        <v>2931</v>
      </c>
      <c r="C5267">
        <v>12424</v>
      </c>
      <c r="D5267" t="str">
        <f>"6300194     "</f>
        <v xml:space="preserve">6300194     </v>
      </c>
      <c r="E5267" t="s">
        <v>295</v>
      </c>
      <c r="F5267" t="s">
        <v>297</v>
      </c>
      <c r="G5267">
        <v>109.02</v>
      </c>
      <c r="H5267">
        <v>250916</v>
      </c>
      <c r="I5267">
        <v>4530</v>
      </c>
      <c r="J5267" t="s">
        <v>293</v>
      </c>
      <c r="K5267">
        <v>109.02</v>
      </c>
      <c r="L5267">
        <v>22.15</v>
      </c>
      <c r="M5267">
        <v>46556</v>
      </c>
      <c r="N5267" t="s">
        <v>458</v>
      </c>
      <c r="O5267">
        <v>250919</v>
      </c>
      <c r="P5267">
        <v>86.87</v>
      </c>
    </row>
    <row r="5268" spans="1:16" x14ac:dyDescent="0.25">
      <c r="A5268" t="s">
        <v>3296</v>
      </c>
      <c r="B5268" t="s">
        <v>2931</v>
      </c>
      <c r="C5268">
        <v>12660</v>
      </c>
      <c r="D5268" t="str">
        <f>"6298685     "</f>
        <v xml:space="preserve">6298685     </v>
      </c>
      <c r="E5268" t="s">
        <v>295</v>
      </c>
      <c r="F5268" t="s">
        <v>297</v>
      </c>
      <c r="G5268">
        <v>72.489999999999995</v>
      </c>
      <c r="H5268">
        <v>250903</v>
      </c>
      <c r="I5268">
        <v>4530</v>
      </c>
      <c r="J5268" t="s">
        <v>293</v>
      </c>
      <c r="K5268">
        <v>72.489999999999995</v>
      </c>
      <c r="L5268">
        <v>14.73</v>
      </c>
      <c r="M5268">
        <v>14432</v>
      </c>
      <c r="N5268" t="s">
        <v>75</v>
      </c>
      <c r="O5268">
        <v>250929</v>
      </c>
      <c r="P5268">
        <v>57.76</v>
      </c>
    </row>
    <row r="5269" spans="1:16" x14ac:dyDescent="0.25">
      <c r="A5269" t="s">
        <v>3296</v>
      </c>
      <c r="B5269" t="s">
        <v>2931</v>
      </c>
      <c r="C5269">
        <v>12707</v>
      </c>
      <c r="D5269" t="str">
        <f>"6298883     "</f>
        <v xml:space="preserve">6298883     </v>
      </c>
      <c r="E5269" t="s">
        <v>295</v>
      </c>
      <c r="F5269" t="s">
        <v>297</v>
      </c>
      <c r="G5269">
        <v>42.29</v>
      </c>
      <c r="H5269">
        <v>250904</v>
      </c>
      <c r="I5269">
        <v>4530</v>
      </c>
      <c r="J5269" t="s">
        <v>293</v>
      </c>
      <c r="K5269">
        <v>42.29</v>
      </c>
      <c r="L5269">
        <v>8.59</v>
      </c>
      <c r="M5269">
        <v>14422</v>
      </c>
      <c r="N5269" t="s">
        <v>73</v>
      </c>
      <c r="O5269">
        <v>250929</v>
      </c>
      <c r="P5269">
        <v>33.700000000000003</v>
      </c>
    </row>
    <row r="5270" spans="1:16" x14ac:dyDescent="0.25">
      <c r="A5270" t="s">
        <v>3296</v>
      </c>
      <c r="B5270" t="s">
        <v>2931</v>
      </c>
      <c r="C5270">
        <v>12777</v>
      </c>
      <c r="D5270" t="str">
        <f>"6300196     "</f>
        <v xml:space="preserve">6300196     </v>
      </c>
      <c r="E5270" t="s">
        <v>295</v>
      </c>
      <c r="F5270" t="s">
        <v>297</v>
      </c>
      <c r="G5270">
        <v>218.04</v>
      </c>
      <c r="H5270">
        <v>250916</v>
      </c>
      <c r="I5270">
        <v>4530</v>
      </c>
      <c r="J5270" t="s">
        <v>293</v>
      </c>
      <c r="K5270">
        <v>218.04</v>
      </c>
      <c r="L5270">
        <v>44.3</v>
      </c>
      <c r="M5270">
        <v>66756</v>
      </c>
      <c r="N5270" t="s">
        <v>120</v>
      </c>
      <c r="O5270">
        <v>250930</v>
      </c>
      <c r="P5270">
        <v>173.74</v>
      </c>
    </row>
    <row r="5271" spans="1:16" x14ac:dyDescent="0.25">
      <c r="A5271" t="s">
        <v>3296</v>
      </c>
      <c r="B5271" t="s">
        <v>2931</v>
      </c>
      <c r="C5271">
        <v>12784</v>
      </c>
      <c r="D5271" t="str">
        <f>"6300476     "</f>
        <v xml:space="preserve">6300476     </v>
      </c>
      <c r="E5271" t="s">
        <v>295</v>
      </c>
      <c r="F5271" t="s">
        <v>297</v>
      </c>
      <c r="G5271">
        <v>312.02999999999997</v>
      </c>
      <c r="H5271">
        <v>250917</v>
      </c>
      <c r="I5271">
        <v>4530</v>
      </c>
      <c r="J5271" t="s">
        <v>293</v>
      </c>
      <c r="K5271">
        <v>312.02999999999997</v>
      </c>
      <c r="L5271">
        <v>63.4</v>
      </c>
      <c r="M5271">
        <v>67522</v>
      </c>
      <c r="N5271" t="s">
        <v>121</v>
      </c>
      <c r="O5271">
        <v>250930</v>
      </c>
      <c r="P5271">
        <v>248.63</v>
      </c>
    </row>
    <row r="5272" spans="1:16" x14ac:dyDescent="0.25">
      <c r="A5272" t="s">
        <v>3296</v>
      </c>
      <c r="B5272" t="s">
        <v>2931</v>
      </c>
      <c r="C5272">
        <v>12787</v>
      </c>
      <c r="D5272" t="str">
        <f>"6300434     "</f>
        <v xml:space="preserve">6300434     </v>
      </c>
      <c r="E5272" t="s">
        <v>295</v>
      </c>
      <c r="F5272" t="s">
        <v>297</v>
      </c>
      <c r="G5272">
        <v>180.04</v>
      </c>
      <c r="H5272">
        <v>250917</v>
      </c>
      <c r="I5272">
        <v>4530</v>
      </c>
      <c r="J5272" t="s">
        <v>293</v>
      </c>
      <c r="K5272">
        <v>180.04</v>
      </c>
      <c r="L5272">
        <v>36.58</v>
      </c>
      <c r="M5272">
        <v>17523</v>
      </c>
      <c r="N5272" t="s">
        <v>138</v>
      </c>
      <c r="O5272">
        <v>250930</v>
      </c>
      <c r="P5272">
        <v>143.46</v>
      </c>
    </row>
    <row r="5273" spans="1:16" x14ac:dyDescent="0.25">
      <c r="A5273" t="s">
        <v>3296</v>
      </c>
      <c r="B5273" t="s">
        <v>2931</v>
      </c>
      <c r="C5273">
        <v>12792</v>
      </c>
      <c r="D5273" t="str">
        <f>"6300591     "</f>
        <v xml:space="preserve">6300591     </v>
      </c>
      <c r="E5273" t="s">
        <v>295</v>
      </c>
      <c r="F5273" t="s">
        <v>297</v>
      </c>
      <c r="G5273">
        <v>1237.6300000000001</v>
      </c>
      <c r="H5273">
        <v>250918</v>
      </c>
      <c r="I5273">
        <v>4530</v>
      </c>
      <c r="J5273" t="s">
        <v>293</v>
      </c>
      <c r="K5273">
        <v>1237.6300000000001</v>
      </c>
      <c r="L5273">
        <v>251.47</v>
      </c>
      <c r="M5273">
        <v>56558</v>
      </c>
      <c r="N5273" t="s">
        <v>50</v>
      </c>
      <c r="O5273">
        <v>250930</v>
      </c>
      <c r="P5273">
        <v>986.16</v>
      </c>
    </row>
    <row r="5274" spans="1:16" x14ac:dyDescent="0.25">
      <c r="A5274" t="s">
        <v>3296</v>
      </c>
      <c r="B5274" t="s">
        <v>2931</v>
      </c>
      <c r="C5274">
        <v>12827</v>
      </c>
      <c r="D5274" t="str">
        <f>"6300964     "</f>
        <v xml:space="preserve">6300964     </v>
      </c>
      <c r="E5274" t="s">
        <v>295</v>
      </c>
      <c r="F5274" t="s">
        <v>297</v>
      </c>
      <c r="G5274">
        <v>275.7</v>
      </c>
      <c r="H5274">
        <v>250922</v>
      </c>
      <c r="I5274">
        <v>4530</v>
      </c>
      <c r="J5274" t="s">
        <v>293</v>
      </c>
      <c r="K5274">
        <v>275.7</v>
      </c>
      <c r="L5274">
        <v>56.02</v>
      </c>
      <c r="M5274">
        <v>17807</v>
      </c>
      <c r="N5274" t="s">
        <v>23</v>
      </c>
      <c r="O5274">
        <v>250930</v>
      </c>
      <c r="P5274">
        <v>219.68</v>
      </c>
    </row>
    <row r="5275" spans="1:16" x14ac:dyDescent="0.25">
      <c r="A5275" t="s">
        <v>3296</v>
      </c>
      <c r="B5275" t="s">
        <v>2931</v>
      </c>
      <c r="C5275">
        <v>12832</v>
      </c>
      <c r="D5275" t="str">
        <f>"6301028     "</f>
        <v xml:space="preserve">6301028     </v>
      </c>
      <c r="E5275" t="s">
        <v>295</v>
      </c>
      <c r="F5275" t="s">
        <v>297</v>
      </c>
      <c r="G5275">
        <v>79.430000000000007</v>
      </c>
      <c r="H5275">
        <v>250923</v>
      </c>
      <c r="I5275">
        <v>4530</v>
      </c>
      <c r="J5275" t="s">
        <v>293</v>
      </c>
      <c r="K5275">
        <v>79.430000000000007</v>
      </c>
      <c r="L5275">
        <v>16.14</v>
      </c>
      <c r="M5275">
        <v>67522</v>
      </c>
      <c r="N5275" t="s">
        <v>121</v>
      </c>
      <c r="O5275">
        <v>250930</v>
      </c>
      <c r="P5275">
        <v>63.29</v>
      </c>
    </row>
    <row r="5276" spans="1:16" x14ac:dyDescent="0.25">
      <c r="A5276" t="s">
        <v>3296</v>
      </c>
      <c r="B5276" t="s">
        <v>2931</v>
      </c>
      <c r="C5276">
        <v>12861</v>
      </c>
      <c r="D5276" t="str">
        <f>"6301519     "</f>
        <v xml:space="preserve">6301519     </v>
      </c>
      <c r="E5276" t="s">
        <v>295</v>
      </c>
      <c r="F5276" t="s">
        <v>297</v>
      </c>
      <c r="G5276">
        <v>273.26</v>
      </c>
      <c r="H5276">
        <v>250926</v>
      </c>
      <c r="I5276">
        <v>4530</v>
      </c>
      <c r="J5276" t="s">
        <v>293</v>
      </c>
      <c r="K5276">
        <v>273.26</v>
      </c>
      <c r="L5276">
        <v>55.52</v>
      </c>
      <c r="M5276">
        <v>56564</v>
      </c>
      <c r="N5276" t="s">
        <v>56</v>
      </c>
      <c r="O5276">
        <v>250930</v>
      </c>
      <c r="P5276">
        <v>217.74</v>
      </c>
    </row>
    <row r="5277" spans="1:16" x14ac:dyDescent="0.25">
      <c r="A5277" t="s">
        <v>3296</v>
      </c>
      <c r="B5277" t="s">
        <v>2931</v>
      </c>
      <c r="C5277">
        <v>12881</v>
      </c>
      <c r="D5277" t="str">
        <f>"6299059     "</f>
        <v xml:space="preserve">6299059     </v>
      </c>
      <c r="E5277" t="s">
        <v>295</v>
      </c>
      <c r="F5277" t="s">
        <v>297</v>
      </c>
      <c r="G5277">
        <v>119.83</v>
      </c>
      <c r="H5277">
        <v>250905</v>
      </c>
      <c r="I5277">
        <v>4530</v>
      </c>
      <c r="J5277" t="s">
        <v>293</v>
      </c>
      <c r="K5277">
        <v>119.83</v>
      </c>
      <c r="L5277">
        <v>24.35</v>
      </c>
      <c r="M5277">
        <v>14422</v>
      </c>
      <c r="N5277" t="s">
        <v>73</v>
      </c>
      <c r="O5277">
        <v>251001</v>
      </c>
      <c r="P5277">
        <v>95.48</v>
      </c>
    </row>
    <row r="5278" spans="1:16" x14ac:dyDescent="0.25">
      <c r="A5278" t="s">
        <v>3296</v>
      </c>
      <c r="B5278" t="s">
        <v>2931</v>
      </c>
      <c r="C5278">
        <v>12884</v>
      </c>
      <c r="D5278" t="str">
        <f>"6299173     "</f>
        <v xml:space="preserve">6299173     </v>
      </c>
      <c r="E5278" t="s">
        <v>295</v>
      </c>
      <c r="F5278" t="s">
        <v>297</v>
      </c>
      <c r="G5278">
        <v>26.36</v>
      </c>
      <c r="H5278">
        <v>250908</v>
      </c>
      <c r="I5278">
        <v>4530</v>
      </c>
      <c r="J5278" t="s">
        <v>293</v>
      </c>
      <c r="K5278">
        <v>26.36</v>
      </c>
      <c r="L5278">
        <v>5.36</v>
      </c>
      <c r="M5278">
        <v>14640</v>
      </c>
      <c r="N5278" t="s">
        <v>78</v>
      </c>
      <c r="O5278">
        <v>251001</v>
      </c>
      <c r="P5278">
        <v>21</v>
      </c>
    </row>
    <row r="5279" spans="1:16" x14ac:dyDescent="0.25">
      <c r="A5279" t="s">
        <v>3296</v>
      </c>
      <c r="B5279" t="s">
        <v>2931</v>
      </c>
      <c r="C5279">
        <v>13850</v>
      </c>
      <c r="D5279" t="str">
        <f>"6302946     "</f>
        <v xml:space="preserve">6302946     </v>
      </c>
      <c r="E5279" t="s">
        <v>295</v>
      </c>
      <c r="F5279" t="s">
        <v>297</v>
      </c>
      <c r="G5279">
        <v>72.489999999999995</v>
      </c>
      <c r="H5279">
        <v>251007</v>
      </c>
      <c r="I5279">
        <v>4530</v>
      </c>
      <c r="J5279" t="s">
        <v>293</v>
      </c>
      <c r="K5279">
        <v>72.489999999999995</v>
      </c>
      <c r="L5279">
        <v>14.73</v>
      </c>
      <c r="M5279">
        <v>14952</v>
      </c>
      <c r="N5279" t="s">
        <v>213</v>
      </c>
      <c r="O5279">
        <v>251020</v>
      </c>
      <c r="P5279">
        <v>57.76</v>
      </c>
    </row>
    <row r="5280" spans="1:16" x14ac:dyDescent="0.25">
      <c r="A5280" t="s">
        <v>3296</v>
      </c>
      <c r="B5280" t="s">
        <v>2931</v>
      </c>
      <c r="C5280">
        <v>13882</v>
      </c>
      <c r="D5280" t="str">
        <f>"6303324     "</f>
        <v xml:space="preserve">6303324     </v>
      </c>
      <c r="E5280" t="s">
        <v>295</v>
      </c>
      <c r="F5280" t="s">
        <v>297</v>
      </c>
      <c r="G5280">
        <v>118.36</v>
      </c>
      <c r="H5280">
        <v>251009</v>
      </c>
      <c r="I5280">
        <v>4530</v>
      </c>
      <c r="J5280" t="s">
        <v>293</v>
      </c>
      <c r="K5280">
        <v>118.36</v>
      </c>
      <c r="L5280">
        <v>24.05</v>
      </c>
      <c r="M5280">
        <v>55222</v>
      </c>
      <c r="N5280" t="s">
        <v>43</v>
      </c>
      <c r="O5280">
        <v>251020</v>
      </c>
      <c r="P5280">
        <v>94.31</v>
      </c>
    </row>
    <row r="5281" spans="1:16" x14ac:dyDescent="0.25">
      <c r="A5281" t="s">
        <v>3296</v>
      </c>
      <c r="B5281" t="s">
        <v>2931</v>
      </c>
      <c r="C5281">
        <v>13917</v>
      </c>
      <c r="D5281" t="str">
        <f>"6301635     "</f>
        <v xml:space="preserve">6301635     </v>
      </c>
      <c r="E5281" t="s">
        <v>295</v>
      </c>
      <c r="F5281" t="s">
        <v>297</v>
      </c>
      <c r="G5281">
        <v>264.08</v>
      </c>
      <c r="H5281">
        <v>251001</v>
      </c>
      <c r="I5281">
        <v>4530</v>
      </c>
      <c r="J5281" t="s">
        <v>293</v>
      </c>
      <c r="K5281">
        <v>264.08</v>
      </c>
      <c r="L5281">
        <v>53.66</v>
      </c>
      <c r="M5281">
        <v>56558</v>
      </c>
      <c r="N5281" t="s">
        <v>50</v>
      </c>
      <c r="O5281">
        <v>251020</v>
      </c>
      <c r="P5281">
        <v>210.42</v>
      </c>
    </row>
    <row r="5282" spans="1:16" x14ac:dyDescent="0.25">
      <c r="A5282" t="s">
        <v>3296</v>
      </c>
      <c r="B5282" t="s">
        <v>2931</v>
      </c>
      <c r="C5282">
        <v>13989</v>
      </c>
      <c r="D5282" t="str">
        <f>"6302514     "</f>
        <v xml:space="preserve">6302514     </v>
      </c>
      <c r="E5282" t="s">
        <v>295</v>
      </c>
      <c r="F5282" t="s">
        <v>297</v>
      </c>
      <c r="G5282">
        <v>94.25</v>
      </c>
      <c r="H5282">
        <v>251003</v>
      </c>
      <c r="I5282">
        <v>4530</v>
      </c>
      <c r="J5282" t="s">
        <v>293</v>
      </c>
      <c r="K5282">
        <v>94.25</v>
      </c>
      <c r="L5282">
        <v>19.149999999999999</v>
      </c>
      <c r="M5282">
        <v>14952</v>
      </c>
      <c r="N5282" t="s">
        <v>213</v>
      </c>
      <c r="O5282">
        <v>251021</v>
      </c>
      <c r="P5282">
        <v>75.099999999999994</v>
      </c>
    </row>
    <row r="5283" spans="1:16" x14ac:dyDescent="0.25">
      <c r="A5283" t="s">
        <v>3296</v>
      </c>
      <c r="B5283" t="s">
        <v>2931</v>
      </c>
      <c r="C5283">
        <v>13990</v>
      </c>
      <c r="D5283" t="str">
        <f>"6303005     "</f>
        <v xml:space="preserve">6303005     </v>
      </c>
      <c r="E5283" t="s">
        <v>295</v>
      </c>
      <c r="F5283" t="s">
        <v>297</v>
      </c>
      <c r="G5283">
        <v>-65.760000000000005</v>
      </c>
      <c r="H5283">
        <v>251007</v>
      </c>
      <c r="I5283">
        <v>4530</v>
      </c>
      <c r="J5283" t="s">
        <v>293</v>
      </c>
      <c r="K5283">
        <v>-65.760000000000005</v>
      </c>
      <c r="L5283">
        <v>-13.36</v>
      </c>
      <c r="M5283">
        <v>14952</v>
      </c>
      <c r="N5283" t="s">
        <v>213</v>
      </c>
      <c r="O5283">
        <v>251021</v>
      </c>
      <c r="P5283">
        <v>-52.4</v>
      </c>
    </row>
    <row r="5284" spans="1:16" x14ac:dyDescent="0.25">
      <c r="A5284" t="s">
        <v>3296</v>
      </c>
      <c r="B5284" t="s">
        <v>2931</v>
      </c>
      <c r="C5284">
        <v>14157</v>
      </c>
      <c r="D5284" t="str">
        <f>"6303428     "</f>
        <v xml:space="preserve">6303428     </v>
      </c>
      <c r="E5284" t="s">
        <v>295</v>
      </c>
      <c r="F5284" t="s">
        <v>297</v>
      </c>
      <c r="G5284">
        <v>504.32</v>
      </c>
      <c r="H5284">
        <v>251010</v>
      </c>
      <c r="I5284">
        <v>4530</v>
      </c>
      <c r="J5284" t="s">
        <v>293</v>
      </c>
      <c r="K5284">
        <v>504.32</v>
      </c>
      <c r="L5284">
        <v>102.47</v>
      </c>
      <c r="M5284">
        <v>46555</v>
      </c>
      <c r="N5284" t="s">
        <v>103</v>
      </c>
      <c r="O5284">
        <v>251024</v>
      </c>
      <c r="P5284">
        <v>401.85</v>
      </c>
    </row>
    <row r="5285" spans="1:16" x14ac:dyDescent="0.25">
      <c r="A5285" t="s">
        <v>3296</v>
      </c>
      <c r="B5285" t="s">
        <v>2931</v>
      </c>
      <c r="C5285">
        <v>14159</v>
      </c>
      <c r="D5285" t="str">
        <f>"6303461     "</f>
        <v xml:space="preserve">6303461     </v>
      </c>
      <c r="E5285" t="s">
        <v>295</v>
      </c>
      <c r="F5285" t="s">
        <v>297</v>
      </c>
      <c r="G5285">
        <v>3325.98</v>
      </c>
      <c r="H5285">
        <v>251010</v>
      </c>
      <c r="I5285">
        <v>4530</v>
      </c>
      <c r="J5285" t="s">
        <v>293</v>
      </c>
      <c r="K5285">
        <v>3325.98</v>
      </c>
      <c r="L5285">
        <v>675.8</v>
      </c>
      <c r="M5285">
        <v>44424</v>
      </c>
      <c r="N5285" t="s">
        <v>99</v>
      </c>
      <c r="O5285">
        <v>251024</v>
      </c>
      <c r="P5285">
        <v>2650.18</v>
      </c>
    </row>
    <row r="5286" spans="1:16" x14ac:dyDescent="0.25">
      <c r="A5286" t="s">
        <v>3296</v>
      </c>
      <c r="B5286" t="s">
        <v>2931</v>
      </c>
      <c r="C5286">
        <v>14237</v>
      </c>
      <c r="D5286" t="str">
        <f>"6304428     "</f>
        <v xml:space="preserve">6304428     </v>
      </c>
      <c r="E5286" t="s">
        <v>295</v>
      </c>
      <c r="F5286" t="s">
        <v>297</v>
      </c>
      <c r="G5286">
        <v>79.430000000000007</v>
      </c>
      <c r="H5286">
        <v>251020</v>
      </c>
      <c r="I5286">
        <v>4530</v>
      </c>
      <c r="J5286" t="s">
        <v>293</v>
      </c>
      <c r="K5286">
        <v>79.430000000000007</v>
      </c>
      <c r="L5286">
        <v>16.14</v>
      </c>
      <c r="M5286">
        <v>67522</v>
      </c>
      <c r="N5286" t="s">
        <v>121</v>
      </c>
      <c r="O5286">
        <v>251027</v>
      </c>
      <c r="P5286">
        <v>63.29</v>
      </c>
    </row>
    <row r="5287" spans="1:16" x14ac:dyDescent="0.25">
      <c r="A5287" t="s">
        <v>3296</v>
      </c>
      <c r="B5287" t="s">
        <v>2931</v>
      </c>
      <c r="C5287">
        <v>14239</v>
      </c>
      <c r="D5287" t="str">
        <f>"6304640     "</f>
        <v xml:space="preserve">6304640     </v>
      </c>
      <c r="E5287" t="s">
        <v>295</v>
      </c>
      <c r="F5287" t="s">
        <v>297</v>
      </c>
      <c r="G5287">
        <v>195.73</v>
      </c>
      <c r="H5287">
        <v>251021</v>
      </c>
      <c r="I5287">
        <v>4530</v>
      </c>
      <c r="J5287" t="s">
        <v>293</v>
      </c>
      <c r="K5287">
        <v>195.73</v>
      </c>
      <c r="L5287">
        <v>39.770000000000003</v>
      </c>
      <c r="M5287">
        <v>67522</v>
      </c>
      <c r="N5287" t="s">
        <v>121</v>
      </c>
      <c r="O5287">
        <v>251027</v>
      </c>
      <c r="P5287">
        <v>155.96</v>
      </c>
    </row>
    <row r="5288" spans="1:16" x14ac:dyDescent="0.25">
      <c r="A5288" t="s">
        <v>3296</v>
      </c>
      <c r="B5288" t="s">
        <v>2931</v>
      </c>
      <c r="C5288">
        <v>14396</v>
      </c>
      <c r="D5288" t="str">
        <f>"6304557     "</f>
        <v xml:space="preserve">6304557     </v>
      </c>
      <c r="E5288" t="s">
        <v>295</v>
      </c>
      <c r="F5288" t="s">
        <v>297</v>
      </c>
      <c r="G5288">
        <v>161.22999999999999</v>
      </c>
      <c r="H5288">
        <v>251021</v>
      </c>
      <c r="I5288">
        <v>4530</v>
      </c>
      <c r="J5288" t="s">
        <v>293</v>
      </c>
      <c r="K5288">
        <v>161.22999999999999</v>
      </c>
      <c r="L5288">
        <v>32.76</v>
      </c>
      <c r="M5288">
        <v>44222</v>
      </c>
      <c r="N5288" t="s">
        <v>96</v>
      </c>
      <c r="O5288">
        <v>251031</v>
      </c>
      <c r="P5288">
        <v>128.47</v>
      </c>
    </row>
    <row r="5289" spans="1:16" x14ac:dyDescent="0.25">
      <c r="A5289" t="s">
        <v>3296</v>
      </c>
      <c r="B5289" t="s">
        <v>2931</v>
      </c>
      <c r="C5289">
        <v>14437</v>
      </c>
      <c r="D5289" t="str">
        <f>"6305500     "</f>
        <v xml:space="preserve">6305500     </v>
      </c>
      <c r="E5289" t="s">
        <v>295</v>
      </c>
      <c r="F5289" t="s">
        <v>297</v>
      </c>
      <c r="G5289">
        <v>161.22999999999999</v>
      </c>
      <c r="H5289">
        <v>251028</v>
      </c>
      <c r="I5289">
        <v>4530</v>
      </c>
      <c r="J5289" t="s">
        <v>293</v>
      </c>
      <c r="K5289">
        <v>161.22999999999999</v>
      </c>
      <c r="L5289">
        <v>32.76</v>
      </c>
      <c r="M5289">
        <v>46556</v>
      </c>
      <c r="N5289" t="s">
        <v>458</v>
      </c>
      <c r="O5289">
        <v>251031</v>
      </c>
      <c r="P5289">
        <v>128.47</v>
      </c>
    </row>
    <row r="5290" spans="1:16" x14ac:dyDescent="0.25">
      <c r="A5290" t="s">
        <v>3296</v>
      </c>
      <c r="B5290" t="s">
        <v>2931</v>
      </c>
      <c r="C5290">
        <v>14791</v>
      </c>
      <c r="D5290" t="str">
        <f>"6306083     "</f>
        <v xml:space="preserve">6306083     </v>
      </c>
      <c r="E5290" t="s">
        <v>295</v>
      </c>
      <c r="F5290" t="s">
        <v>297</v>
      </c>
      <c r="G5290">
        <v>72.489999999999995</v>
      </c>
      <c r="H5290">
        <v>251030</v>
      </c>
      <c r="I5290">
        <v>4530</v>
      </c>
      <c r="J5290" t="s">
        <v>293</v>
      </c>
      <c r="K5290">
        <v>72.489999999999995</v>
      </c>
      <c r="L5290">
        <v>14.73</v>
      </c>
      <c r="M5290">
        <v>59113</v>
      </c>
      <c r="N5290" t="s">
        <v>61</v>
      </c>
      <c r="O5290">
        <v>251106</v>
      </c>
      <c r="P5290">
        <v>57.76</v>
      </c>
    </row>
    <row r="5291" spans="1:16" x14ac:dyDescent="0.25">
      <c r="A5291" t="s">
        <v>3296</v>
      </c>
      <c r="B5291" t="s">
        <v>2931</v>
      </c>
      <c r="C5291">
        <v>14794</v>
      </c>
      <c r="D5291" t="str">
        <f>"6306014     "</f>
        <v xml:space="preserve">6306014     </v>
      </c>
      <c r="E5291" t="s">
        <v>295</v>
      </c>
      <c r="F5291" t="s">
        <v>297</v>
      </c>
      <c r="G5291">
        <v>220.73</v>
      </c>
      <c r="H5291">
        <v>251030</v>
      </c>
      <c r="I5291">
        <v>4530</v>
      </c>
      <c r="J5291" t="s">
        <v>293</v>
      </c>
      <c r="K5291">
        <v>220.73</v>
      </c>
      <c r="L5291">
        <v>44.85</v>
      </c>
      <c r="M5291">
        <v>54222</v>
      </c>
      <c r="N5291" t="s">
        <v>48</v>
      </c>
      <c r="O5291">
        <v>251106</v>
      </c>
      <c r="P5291">
        <v>175.88</v>
      </c>
    </row>
    <row r="5292" spans="1:16" x14ac:dyDescent="0.25">
      <c r="A5292" t="s">
        <v>3296</v>
      </c>
      <c r="B5292" t="s">
        <v>2931</v>
      </c>
      <c r="C5292">
        <v>15520</v>
      </c>
      <c r="D5292" t="str">
        <f>"6306692     "</f>
        <v xml:space="preserve">6306692     </v>
      </c>
      <c r="E5292" t="s">
        <v>295</v>
      </c>
      <c r="F5292" t="s">
        <v>297</v>
      </c>
      <c r="G5292">
        <v>1139.06</v>
      </c>
      <c r="H5292">
        <v>251104</v>
      </c>
      <c r="I5292">
        <v>4530</v>
      </c>
      <c r="J5292" t="s">
        <v>293</v>
      </c>
      <c r="K5292">
        <v>1139.06</v>
      </c>
      <c r="L5292">
        <v>231.44</v>
      </c>
      <c r="M5292">
        <v>59501</v>
      </c>
      <c r="N5292" t="s">
        <v>62</v>
      </c>
      <c r="O5292">
        <v>251121</v>
      </c>
      <c r="P5292">
        <v>907.62</v>
      </c>
    </row>
    <row r="5293" spans="1:16" x14ac:dyDescent="0.25">
      <c r="A5293" t="s">
        <v>3296</v>
      </c>
      <c r="B5293" t="s">
        <v>2931</v>
      </c>
      <c r="C5293">
        <v>15533</v>
      </c>
      <c r="D5293" t="str">
        <f>"6307636     "</f>
        <v xml:space="preserve">6307636     </v>
      </c>
      <c r="E5293" t="s">
        <v>295</v>
      </c>
      <c r="F5293" t="s">
        <v>297</v>
      </c>
      <c r="G5293">
        <v>126.97</v>
      </c>
      <c r="H5293">
        <v>251111</v>
      </c>
      <c r="I5293">
        <v>4530</v>
      </c>
      <c r="J5293" t="s">
        <v>293</v>
      </c>
      <c r="K5293">
        <v>126.97</v>
      </c>
      <c r="L5293">
        <v>25.8</v>
      </c>
      <c r="M5293">
        <v>46554</v>
      </c>
      <c r="N5293" t="s">
        <v>102</v>
      </c>
      <c r="O5293">
        <v>251121</v>
      </c>
      <c r="P5293">
        <v>101.17</v>
      </c>
    </row>
    <row r="5294" spans="1:16" x14ac:dyDescent="0.25">
      <c r="A5294" t="s">
        <v>3296</v>
      </c>
      <c r="B5294" t="s">
        <v>2931</v>
      </c>
      <c r="C5294">
        <v>15588</v>
      </c>
      <c r="D5294" t="str">
        <f>"6308908     "</f>
        <v xml:space="preserve">6308908     </v>
      </c>
      <c r="E5294" t="s">
        <v>295</v>
      </c>
      <c r="F5294" t="s">
        <v>297</v>
      </c>
      <c r="G5294">
        <v>83.26</v>
      </c>
      <c r="H5294">
        <v>251119</v>
      </c>
      <c r="I5294">
        <v>4530</v>
      </c>
      <c r="J5294" t="s">
        <v>293</v>
      </c>
      <c r="K5294">
        <v>83.26</v>
      </c>
      <c r="L5294">
        <v>16.920000000000002</v>
      </c>
      <c r="M5294">
        <v>46556</v>
      </c>
      <c r="N5294" t="s">
        <v>458</v>
      </c>
      <c r="O5294">
        <v>251121</v>
      </c>
      <c r="P5294">
        <v>66.34</v>
      </c>
    </row>
    <row r="5295" spans="1:16" x14ac:dyDescent="0.25">
      <c r="A5295" t="s">
        <v>3296</v>
      </c>
      <c r="B5295" t="s">
        <v>2931</v>
      </c>
      <c r="C5295">
        <v>15676</v>
      </c>
      <c r="D5295" t="str">
        <f>"6306953     "</f>
        <v xml:space="preserve">6306953     </v>
      </c>
      <c r="E5295" t="s">
        <v>295</v>
      </c>
      <c r="F5295" t="s">
        <v>297</v>
      </c>
      <c r="G5295">
        <v>96.22</v>
      </c>
      <c r="H5295">
        <v>251105</v>
      </c>
      <c r="I5295">
        <v>4530</v>
      </c>
      <c r="J5295" t="s">
        <v>293</v>
      </c>
      <c r="K5295">
        <v>96.22</v>
      </c>
      <c r="L5295">
        <v>19.55</v>
      </c>
      <c r="M5295">
        <v>14422</v>
      </c>
      <c r="N5295" t="s">
        <v>73</v>
      </c>
      <c r="O5295">
        <v>251124</v>
      </c>
      <c r="P5295">
        <v>76.67</v>
      </c>
    </row>
    <row r="5296" spans="1:16" x14ac:dyDescent="0.25">
      <c r="A5296" t="s">
        <v>3296</v>
      </c>
      <c r="B5296" t="s">
        <v>2931</v>
      </c>
      <c r="C5296">
        <v>15911</v>
      </c>
      <c r="D5296" t="str">
        <f>"6310022     "</f>
        <v xml:space="preserve">6310022     </v>
      </c>
      <c r="E5296" t="s">
        <v>295</v>
      </c>
      <c r="F5296" t="s">
        <v>297</v>
      </c>
      <c r="G5296">
        <v>249.72</v>
      </c>
      <c r="H5296">
        <v>251127</v>
      </c>
      <c r="I5296">
        <v>4530</v>
      </c>
      <c r="J5296" t="s">
        <v>293</v>
      </c>
      <c r="K5296">
        <v>249.72</v>
      </c>
      <c r="L5296">
        <v>50.74</v>
      </c>
      <c r="M5296">
        <v>56562</v>
      </c>
      <c r="N5296" t="s">
        <v>54</v>
      </c>
      <c r="O5296">
        <v>251128</v>
      </c>
      <c r="P5296">
        <v>198.98</v>
      </c>
    </row>
    <row r="5297" spans="1:16" x14ac:dyDescent="0.25">
      <c r="A5297" t="s">
        <v>3296</v>
      </c>
      <c r="B5297" t="s">
        <v>2931</v>
      </c>
      <c r="C5297">
        <v>16119</v>
      </c>
      <c r="D5297" t="str">
        <f>"6309516     "</f>
        <v xml:space="preserve">6309516     </v>
      </c>
      <c r="E5297" t="s">
        <v>295</v>
      </c>
      <c r="F5297" t="s">
        <v>297</v>
      </c>
      <c r="G5297">
        <v>51.15</v>
      </c>
      <c r="H5297">
        <v>251124</v>
      </c>
      <c r="I5297">
        <v>4530</v>
      </c>
      <c r="J5297" t="s">
        <v>293</v>
      </c>
      <c r="K5297">
        <v>51.15</v>
      </c>
      <c r="L5297">
        <v>10.39</v>
      </c>
      <c r="M5297">
        <v>14422</v>
      </c>
      <c r="N5297" t="s">
        <v>73</v>
      </c>
      <c r="O5297">
        <v>251203</v>
      </c>
      <c r="P5297">
        <v>40.76</v>
      </c>
    </row>
    <row r="5298" spans="1:16" x14ac:dyDescent="0.25">
      <c r="A5298" t="s">
        <v>3296</v>
      </c>
      <c r="B5298" t="s">
        <v>2931</v>
      </c>
      <c r="C5298">
        <v>16416</v>
      </c>
      <c r="D5298" t="str">
        <f>"6308882     "</f>
        <v xml:space="preserve">6308882     </v>
      </c>
      <c r="E5298" t="s">
        <v>295</v>
      </c>
      <c r="F5298" t="s">
        <v>297</v>
      </c>
      <c r="G5298">
        <v>1055.25</v>
      </c>
      <c r="H5298">
        <v>251119</v>
      </c>
      <c r="I5298">
        <v>4530</v>
      </c>
      <c r="J5298" t="s">
        <v>293</v>
      </c>
      <c r="K5298">
        <v>1055.25</v>
      </c>
      <c r="L5298">
        <v>214.41</v>
      </c>
      <c r="M5298">
        <v>14990</v>
      </c>
      <c r="N5298" t="s">
        <v>85</v>
      </c>
      <c r="O5298">
        <v>251208</v>
      </c>
      <c r="P5298">
        <v>840.84</v>
      </c>
    </row>
    <row r="5299" spans="1:16" x14ac:dyDescent="0.25">
      <c r="A5299" t="s">
        <v>3296</v>
      </c>
      <c r="B5299" t="s">
        <v>2931</v>
      </c>
      <c r="C5299">
        <v>16419</v>
      </c>
      <c r="D5299" t="str">
        <f>"6310371     "</f>
        <v xml:space="preserve">6310371     </v>
      </c>
      <c r="E5299" t="s">
        <v>295</v>
      </c>
      <c r="F5299" t="s">
        <v>297</v>
      </c>
      <c r="G5299">
        <v>-34.200000000000003</v>
      </c>
      <c r="H5299">
        <v>251130</v>
      </c>
      <c r="I5299">
        <v>4530</v>
      </c>
      <c r="J5299" t="s">
        <v>293</v>
      </c>
      <c r="K5299">
        <v>-34.200000000000003</v>
      </c>
      <c r="L5299">
        <v>-6.95</v>
      </c>
      <c r="M5299">
        <v>14990</v>
      </c>
      <c r="N5299" t="s">
        <v>85</v>
      </c>
      <c r="O5299">
        <v>251208</v>
      </c>
      <c r="P5299">
        <v>-27.25</v>
      </c>
    </row>
    <row r="5300" spans="1:16" x14ac:dyDescent="0.25">
      <c r="A5300" t="s">
        <v>3296</v>
      </c>
      <c r="B5300" t="s">
        <v>2931</v>
      </c>
      <c r="C5300">
        <v>16444</v>
      </c>
      <c r="D5300" t="str">
        <f>"6309892     "</f>
        <v xml:space="preserve">6309892     </v>
      </c>
      <c r="E5300" t="s">
        <v>295</v>
      </c>
      <c r="F5300" t="s">
        <v>297</v>
      </c>
      <c r="G5300">
        <v>214</v>
      </c>
      <c r="H5300">
        <v>251126</v>
      </c>
      <c r="I5300">
        <v>4530</v>
      </c>
      <c r="J5300" t="s">
        <v>293</v>
      </c>
      <c r="K5300">
        <v>214</v>
      </c>
      <c r="L5300">
        <v>43.48</v>
      </c>
      <c r="M5300">
        <v>14990</v>
      </c>
      <c r="N5300" t="s">
        <v>85</v>
      </c>
      <c r="O5300">
        <v>251208</v>
      </c>
      <c r="P5300">
        <v>170.52</v>
      </c>
    </row>
    <row r="5301" spans="1:16" x14ac:dyDescent="0.25">
      <c r="A5301" t="s">
        <v>3296</v>
      </c>
      <c r="B5301" t="s">
        <v>2931</v>
      </c>
      <c r="C5301">
        <v>17659</v>
      </c>
      <c r="D5301" t="str">
        <f>"6310956     "</f>
        <v xml:space="preserve">6310956     </v>
      </c>
      <c r="E5301" t="s">
        <v>295</v>
      </c>
      <c r="F5301" t="s">
        <v>297</v>
      </c>
      <c r="G5301">
        <v>89.8</v>
      </c>
      <c r="H5301">
        <v>251204</v>
      </c>
      <c r="I5301">
        <v>4530</v>
      </c>
      <c r="J5301" t="s">
        <v>293</v>
      </c>
      <c r="K5301">
        <v>89.8</v>
      </c>
      <c r="L5301">
        <v>18.25</v>
      </c>
      <c r="M5301">
        <v>14990</v>
      </c>
      <c r="N5301" t="s">
        <v>85</v>
      </c>
      <c r="O5301">
        <v>251229</v>
      </c>
      <c r="P5301">
        <v>71.55</v>
      </c>
    </row>
    <row r="5302" spans="1:16" x14ac:dyDescent="0.25">
      <c r="A5302" t="s">
        <v>3296</v>
      </c>
      <c r="B5302" t="s">
        <v>2931</v>
      </c>
      <c r="C5302">
        <v>17724</v>
      </c>
      <c r="D5302" t="str">
        <f>"6310930     "</f>
        <v xml:space="preserve">6310930     </v>
      </c>
      <c r="E5302" t="s">
        <v>295</v>
      </c>
      <c r="F5302" t="s">
        <v>297</v>
      </c>
      <c r="G5302">
        <v>273.26</v>
      </c>
      <c r="H5302">
        <v>251204</v>
      </c>
      <c r="I5302">
        <v>4530</v>
      </c>
      <c r="J5302" t="s">
        <v>293</v>
      </c>
      <c r="K5302">
        <v>273.26</v>
      </c>
      <c r="L5302">
        <v>55.52</v>
      </c>
      <c r="M5302">
        <v>56564</v>
      </c>
      <c r="N5302" t="s">
        <v>56</v>
      </c>
      <c r="O5302">
        <v>251230</v>
      </c>
      <c r="P5302">
        <v>217.74</v>
      </c>
    </row>
    <row r="5303" spans="1:16" x14ac:dyDescent="0.25">
      <c r="A5303" t="s">
        <v>3296</v>
      </c>
      <c r="B5303" t="s">
        <v>2931</v>
      </c>
      <c r="C5303">
        <v>17726</v>
      </c>
      <c r="D5303" t="str">
        <f>"6311008     "</f>
        <v xml:space="preserve">6311008     </v>
      </c>
      <c r="E5303" t="s">
        <v>295</v>
      </c>
      <c r="F5303" t="s">
        <v>297</v>
      </c>
      <c r="G5303">
        <v>26.36</v>
      </c>
      <c r="H5303">
        <v>251204</v>
      </c>
      <c r="I5303">
        <v>4530</v>
      </c>
      <c r="J5303" t="s">
        <v>293</v>
      </c>
      <c r="K5303">
        <v>26.36</v>
      </c>
      <c r="L5303">
        <v>5.36</v>
      </c>
      <c r="M5303">
        <v>14640</v>
      </c>
      <c r="N5303" t="s">
        <v>78</v>
      </c>
      <c r="O5303">
        <v>251230</v>
      </c>
      <c r="P5303">
        <v>21</v>
      </c>
    </row>
    <row r="5304" spans="1:16" x14ac:dyDescent="0.25">
      <c r="A5304" t="s">
        <v>3296</v>
      </c>
      <c r="B5304" t="s">
        <v>2931</v>
      </c>
      <c r="C5304">
        <v>17766</v>
      </c>
      <c r="D5304" t="str">
        <f>"6311449     "</f>
        <v xml:space="preserve">6311449     </v>
      </c>
      <c r="E5304" t="s">
        <v>295</v>
      </c>
      <c r="F5304" t="s">
        <v>297</v>
      </c>
      <c r="G5304">
        <v>42.29</v>
      </c>
      <c r="H5304">
        <v>251209</v>
      </c>
      <c r="I5304">
        <v>4530</v>
      </c>
      <c r="J5304" t="s">
        <v>293</v>
      </c>
      <c r="K5304">
        <v>42.29</v>
      </c>
      <c r="L5304">
        <v>8.59</v>
      </c>
      <c r="M5304">
        <v>14640</v>
      </c>
      <c r="N5304" t="s">
        <v>78</v>
      </c>
      <c r="O5304">
        <v>251230</v>
      </c>
      <c r="P5304">
        <v>33.700000000000003</v>
      </c>
    </row>
    <row r="5305" spans="1:16" x14ac:dyDescent="0.25">
      <c r="A5305" t="s">
        <v>3296</v>
      </c>
      <c r="B5305" t="s">
        <v>2931</v>
      </c>
      <c r="C5305">
        <v>17771</v>
      </c>
      <c r="D5305" t="str">
        <f>"6311454     "</f>
        <v xml:space="preserve">6311454     </v>
      </c>
      <c r="E5305" t="s">
        <v>295</v>
      </c>
      <c r="F5305" t="s">
        <v>297</v>
      </c>
      <c r="G5305">
        <v>483.69</v>
      </c>
      <c r="H5305">
        <v>251209</v>
      </c>
      <c r="I5305">
        <v>4530</v>
      </c>
      <c r="J5305" t="s">
        <v>293</v>
      </c>
      <c r="K5305">
        <v>483.69</v>
      </c>
      <c r="L5305">
        <v>98.28</v>
      </c>
      <c r="M5305">
        <v>46555</v>
      </c>
      <c r="N5305" t="s">
        <v>103</v>
      </c>
      <c r="O5305">
        <v>251230</v>
      </c>
      <c r="P5305">
        <v>385.41</v>
      </c>
    </row>
    <row r="5306" spans="1:16" x14ac:dyDescent="0.25">
      <c r="A5306" t="s">
        <v>3296</v>
      </c>
      <c r="B5306" t="s">
        <v>2931</v>
      </c>
      <c r="C5306">
        <v>17864</v>
      </c>
      <c r="D5306" t="str">
        <f>"6311968     "</f>
        <v xml:space="preserve">6311968     </v>
      </c>
      <c r="E5306" t="s">
        <v>295</v>
      </c>
      <c r="F5306" t="s">
        <v>297</v>
      </c>
      <c r="G5306">
        <v>273.26</v>
      </c>
      <c r="H5306">
        <v>251211</v>
      </c>
      <c r="I5306">
        <v>4530</v>
      </c>
      <c r="J5306" t="s">
        <v>293</v>
      </c>
      <c r="K5306">
        <v>273.26</v>
      </c>
      <c r="L5306">
        <v>55.52</v>
      </c>
      <c r="M5306">
        <v>56564</v>
      </c>
      <c r="N5306" t="s">
        <v>56</v>
      </c>
      <c r="O5306">
        <v>251231</v>
      </c>
      <c r="P5306">
        <v>217.74</v>
      </c>
    </row>
    <row r="5307" spans="1:16" x14ac:dyDescent="0.25">
      <c r="A5307" t="s">
        <v>3296</v>
      </c>
      <c r="B5307" t="s">
        <v>2931</v>
      </c>
      <c r="C5307">
        <v>17865</v>
      </c>
      <c r="D5307" t="str">
        <f>"6311967     "</f>
        <v xml:space="preserve">6311967     </v>
      </c>
      <c r="E5307" t="s">
        <v>295</v>
      </c>
      <c r="F5307" t="s">
        <v>297</v>
      </c>
      <c r="G5307">
        <v>149.09</v>
      </c>
      <c r="H5307">
        <v>251211</v>
      </c>
      <c r="I5307">
        <v>4530</v>
      </c>
      <c r="J5307" t="s">
        <v>293</v>
      </c>
      <c r="K5307">
        <v>149.09</v>
      </c>
      <c r="L5307">
        <v>30.29</v>
      </c>
      <c r="M5307">
        <v>49501</v>
      </c>
      <c r="N5307" t="s">
        <v>110</v>
      </c>
      <c r="O5307">
        <v>251231</v>
      </c>
      <c r="P5307">
        <v>118.8</v>
      </c>
    </row>
    <row r="5308" spans="1:16" x14ac:dyDescent="0.25">
      <c r="A5308" t="s">
        <v>3296</v>
      </c>
      <c r="B5308" t="s">
        <v>2931</v>
      </c>
      <c r="C5308">
        <v>18217</v>
      </c>
      <c r="D5308" t="str">
        <f>"6313128     "</f>
        <v xml:space="preserve">6313128     </v>
      </c>
      <c r="E5308" t="s">
        <v>295</v>
      </c>
      <c r="F5308" t="s">
        <v>297</v>
      </c>
      <c r="G5308">
        <v>149.09</v>
      </c>
      <c r="H5308">
        <v>251222</v>
      </c>
      <c r="I5308">
        <v>4530</v>
      </c>
      <c r="J5308" t="s">
        <v>293</v>
      </c>
      <c r="K5308">
        <v>149.09</v>
      </c>
      <c r="L5308">
        <v>30.29</v>
      </c>
      <c r="M5308">
        <v>49501</v>
      </c>
      <c r="N5308" t="s">
        <v>110</v>
      </c>
      <c r="O5308">
        <v>260112</v>
      </c>
      <c r="P5308">
        <v>118.8</v>
      </c>
    </row>
    <row r="5309" spans="1:16" x14ac:dyDescent="0.25">
      <c r="A5309" t="s">
        <v>3296</v>
      </c>
      <c r="B5309" t="s">
        <v>2931</v>
      </c>
      <c r="C5309">
        <v>178</v>
      </c>
      <c r="D5309" t="str">
        <f>"6269279     "</f>
        <v xml:space="preserve">6269279     </v>
      </c>
      <c r="E5309" t="s">
        <v>295</v>
      </c>
      <c r="F5309" t="s">
        <v>297</v>
      </c>
      <c r="G5309">
        <v>114.97</v>
      </c>
      <c r="H5309">
        <v>250103</v>
      </c>
      <c r="I5309">
        <v>4532</v>
      </c>
      <c r="J5309" t="s">
        <v>296</v>
      </c>
      <c r="K5309">
        <v>114.97</v>
      </c>
      <c r="L5309">
        <v>23.36</v>
      </c>
      <c r="M5309">
        <v>17737</v>
      </c>
      <c r="N5309" t="s">
        <v>156</v>
      </c>
      <c r="O5309">
        <v>250115</v>
      </c>
      <c r="P5309">
        <v>91.61</v>
      </c>
    </row>
    <row r="5310" spans="1:16" x14ac:dyDescent="0.25">
      <c r="A5310" t="s">
        <v>3296</v>
      </c>
      <c r="B5310" t="s">
        <v>2931</v>
      </c>
      <c r="C5310">
        <v>805</v>
      </c>
      <c r="D5310" t="str">
        <f>"6271061     "</f>
        <v xml:space="preserve">6271061     </v>
      </c>
      <c r="E5310" t="s">
        <v>295</v>
      </c>
      <c r="F5310" t="s">
        <v>297</v>
      </c>
      <c r="G5310">
        <v>293.47000000000003</v>
      </c>
      <c r="H5310">
        <v>250120</v>
      </c>
      <c r="I5310">
        <v>4532</v>
      </c>
      <c r="J5310" t="s">
        <v>296</v>
      </c>
      <c r="K5310">
        <v>1327.09</v>
      </c>
      <c r="L5310">
        <v>59.63</v>
      </c>
      <c r="M5310">
        <v>17527</v>
      </c>
      <c r="N5310" t="s">
        <v>142</v>
      </c>
      <c r="O5310">
        <v>250129</v>
      </c>
      <c r="P5310">
        <v>233.84</v>
      </c>
    </row>
    <row r="5311" spans="1:16" x14ac:dyDescent="0.25">
      <c r="A5311" t="s">
        <v>3296</v>
      </c>
      <c r="B5311" t="s">
        <v>2931</v>
      </c>
      <c r="C5311">
        <v>833</v>
      </c>
      <c r="D5311" t="str">
        <f>"6271360     "</f>
        <v xml:space="preserve">6271360     </v>
      </c>
      <c r="E5311" t="s">
        <v>295</v>
      </c>
      <c r="F5311" t="s">
        <v>297</v>
      </c>
      <c r="G5311">
        <v>188.09</v>
      </c>
      <c r="H5311">
        <v>250121</v>
      </c>
      <c r="I5311">
        <v>4532</v>
      </c>
      <c r="J5311" t="s">
        <v>296</v>
      </c>
      <c r="K5311">
        <v>188.09</v>
      </c>
      <c r="L5311">
        <v>38.22</v>
      </c>
      <c r="M5311">
        <v>17527</v>
      </c>
      <c r="N5311" t="s">
        <v>142</v>
      </c>
      <c r="O5311">
        <v>250129</v>
      </c>
      <c r="P5311">
        <v>149.87</v>
      </c>
    </row>
    <row r="5312" spans="1:16" x14ac:dyDescent="0.25">
      <c r="A5312" t="s">
        <v>3296</v>
      </c>
      <c r="B5312" t="s">
        <v>2931</v>
      </c>
      <c r="C5312">
        <v>879</v>
      </c>
      <c r="D5312" t="str">
        <f>"6272272     "</f>
        <v xml:space="preserve">6272272     </v>
      </c>
      <c r="E5312" t="s">
        <v>295</v>
      </c>
      <c r="F5312" t="s">
        <v>297</v>
      </c>
      <c r="G5312">
        <v>-188.09</v>
      </c>
      <c r="H5312">
        <v>250128</v>
      </c>
      <c r="I5312">
        <v>4532</v>
      </c>
      <c r="J5312" t="s">
        <v>296</v>
      </c>
      <c r="K5312">
        <v>-188.09</v>
      </c>
      <c r="L5312">
        <v>-38.22</v>
      </c>
      <c r="M5312">
        <v>17527</v>
      </c>
      <c r="N5312" t="s">
        <v>142</v>
      </c>
      <c r="O5312">
        <v>250130</v>
      </c>
      <c r="P5312">
        <v>-149.87</v>
      </c>
    </row>
    <row r="5313" spans="1:16" x14ac:dyDescent="0.25">
      <c r="A5313" t="s">
        <v>3296</v>
      </c>
      <c r="B5313" t="s">
        <v>2931</v>
      </c>
      <c r="C5313">
        <v>892</v>
      </c>
      <c r="D5313" t="str">
        <f>"6272273     "</f>
        <v xml:space="preserve">6272273     </v>
      </c>
      <c r="E5313" t="s">
        <v>295</v>
      </c>
      <c r="F5313" t="s">
        <v>297</v>
      </c>
      <c r="G5313">
        <v>283.35000000000002</v>
      </c>
      <c r="H5313">
        <v>250128</v>
      </c>
      <c r="I5313">
        <v>4532</v>
      </c>
      <c r="J5313" t="s">
        <v>296</v>
      </c>
      <c r="K5313">
        <v>283.35000000000002</v>
      </c>
      <c r="L5313">
        <v>57.57</v>
      </c>
      <c r="M5313">
        <v>17527</v>
      </c>
      <c r="N5313" t="s">
        <v>142</v>
      </c>
      <c r="O5313">
        <v>250130</v>
      </c>
      <c r="P5313">
        <v>225.78</v>
      </c>
    </row>
    <row r="5314" spans="1:16" x14ac:dyDescent="0.25">
      <c r="A5314" t="s">
        <v>3296</v>
      </c>
      <c r="B5314" t="s">
        <v>2931</v>
      </c>
      <c r="C5314">
        <v>1050</v>
      </c>
      <c r="D5314" t="str">
        <f>"6272715     "</f>
        <v xml:space="preserve">6272715     </v>
      </c>
      <c r="E5314" t="s">
        <v>295</v>
      </c>
      <c r="F5314" t="s">
        <v>297</v>
      </c>
      <c r="G5314">
        <v>924.3</v>
      </c>
      <c r="H5314">
        <v>250130</v>
      </c>
      <c r="I5314">
        <v>4532</v>
      </c>
      <c r="J5314" t="s">
        <v>296</v>
      </c>
      <c r="K5314">
        <v>924.3</v>
      </c>
      <c r="L5314">
        <v>187.81</v>
      </c>
      <c r="M5314">
        <v>59501</v>
      </c>
      <c r="N5314" t="s">
        <v>62</v>
      </c>
      <c r="O5314">
        <v>250203</v>
      </c>
      <c r="P5314">
        <v>736.49</v>
      </c>
    </row>
    <row r="5315" spans="1:16" x14ac:dyDescent="0.25">
      <c r="A5315" t="s">
        <v>3296</v>
      </c>
      <c r="B5315" t="s">
        <v>2931</v>
      </c>
      <c r="C5315">
        <v>1655</v>
      </c>
      <c r="D5315" t="str">
        <f>"6272844     "</f>
        <v xml:space="preserve">6272844     </v>
      </c>
      <c r="E5315" t="s">
        <v>295</v>
      </c>
      <c r="F5315" t="s">
        <v>297</v>
      </c>
      <c r="G5315">
        <v>1917.3</v>
      </c>
      <c r="H5315">
        <v>250131</v>
      </c>
      <c r="I5315">
        <v>4532</v>
      </c>
      <c r="J5315" t="s">
        <v>296</v>
      </c>
      <c r="K5315">
        <v>2558.81</v>
      </c>
      <c r="L5315">
        <v>389.57</v>
      </c>
      <c r="M5315">
        <v>17711</v>
      </c>
      <c r="N5315" t="s">
        <v>155</v>
      </c>
      <c r="O5315">
        <v>250212</v>
      </c>
      <c r="P5315">
        <v>1527.73</v>
      </c>
    </row>
    <row r="5316" spans="1:16" x14ac:dyDescent="0.25">
      <c r="A5316" t="s">
        <v>3296</v>
      </c>
      <c r="B5316" t="s">
        <v>2931</v>
      </c>
      <c r="C5316">
        <v>1655</v>
      </c>
      <c r="D5316" t="str">
        <f>"6272844     "</f>
        <v xml:space="preserve">6272844     </v>
      </c>
      <c r="E5316" t="s">
        <v>295</v>
      </c>
      <c r="F5316" t="s">
        <v>297</v>
      </c>
      <c r="G5316">
        <v>641.51</v>
      </c>
      <c r="H5316">
        <v>250131</v>
      </c>
      <c r="I5316">
        <v>4532</v>
      </c>
      <c r="J5316" t="s">
        <v>296</v>
      </c>
      <c r="K5316">
        <v>2558.81</v>
      </c>
      <c r="L5316">
        <v>130.35</v>
      </c>
      <c r="M5316">
        <v>17737</v>
      </c>
      <c r="N5316" t="s">
        <v>156</v>
      </c>
      <c r="O5316">
        <v>250212</v>
      </c>
      <c r="P5316">
        <v>511.16</v>
      </c>
    </row>
    <row r="5317" spans="1:16" x14ac:dyDescent="0.25">
      <c r="A5317" t="s">
        <v>3296</v>
      </c>
      <c r="B5317" t="s">
        <v>2931</v>
      </c>
      <c r="C5317">
        <v>2242</v>
      </c>
      <c r="D5317" t="str">
        <f>"6273807     "</f>
        <v xml:space="preserve">6273807     </v>
      </c>
      <c r="E5317" t="s">
        <v>295</v>
      </c>
      <c r="F5317" t="s">
        <v>297</v>
      </c>
      <c r="G5317">
        <v>270.25</v>
      </c>
      <c r="H5317">
        <v>250210</v>
      </c>
      <c r="I5317">
        <v>4532</v>
      </c>
      <c r="J5317" t="s">
        <v>296</v>
      </c>
      <c r="K5317">
        <v>270.25</v>
      </c>
      <c r="L5317">
        <v>54.91</v>
      </c>
      <c r="M5317">
        <v>49501</v>
      </c>
      <c r="N5317" t="s">
        <v>110</v>
      </c>
      <c r="O5317">
        <v>250221</v>
      </c>
      <c r="P5317">
        <v>215.34</v>
      </c>
    </row>
    <row r="5318" spans="1:16" x14ac:dyDescent="0.25">
      <c r="A5318" t="s">
        <v>3296</v>
      </c>
      <c r="B5318" t="s">
        <v>2931</v>
      </c>
      <c r="C5318">
        <v>2498</v>
      </c>
      <c r="D5318" t="str">
        <f>"6272139     "</f>
        <v xml:space="preserve">6272139     </v>
      </c>
      <c r="E5318" t="s">
        <v>295</v>
      </c>
      <c r="F5318" t="s">
        <v>297</v>
      </c>
      <c r="G5318">
        <v>196.38</v>
      </c>
      <c r="H5318">
        <v>250201</v>
      </c>
      <c r="I5318">
        <v>4532</v>
      </c>
      <c r="J5318" t="s">
        <v>296</v>
      </c>
      <c r="K5318">
        <v>196.38</v>
      </c>
      <c r="L5318">
        <v>39.9</v>
      </c>
      <c r="M5318">
        <v>49501</v>
      </c>
      <c r="N5318" t="s">
        <v>110</v>
      </c>
      <c r="O5318">
        <v>250303</v>
      </c>
      <c r="P5318">
        <v>156.47999999999999</v>
      </c>
    </row>
    <row r="5319" spans="1:16" x14ac:dyDescent="0.25">
      <c r="A5319" t="s">
        <v>3296</v>
      </c>
      <c r="B5319" t="s">
        <v>2931</v>
      </c>
      <c r="C5319">
        <v>2499</v>
      </c>
      <c r="D5319" t="str">
        <f>"6272192     "</f>
        <v xml:space="preserve">6272192     </v>
      </c>
      <c r="E5319" t="s">
        <v>295</v>
      </c>
      <c r="F5319" t="s">
        <v>297</v>
      </c>
      <c r="G5319">
        <v>277.52999999999997</v>
      </c>
      <c r="H5319">
        <v>250201</v>
      </c>
      <c r="I5319">
        <v>4532</v>
      </c>
      <c r="J5319" t="s">
        <v>296</v>
      </c>
      <c r="K5319">
        <v>277.52999999999997</v>
      </c>
      <c r="L5319">
        <v>56.39</v>
      </c>
      <c r="M5319">
        <v>49501</v>
      </c>
      <c r="N5319" t="s">
        <v>110</v>
      </c>
      <c r="O5319">
        <v>250303</v>
      </c>
      <c r="P5319">
        <v>221.14</v>
      </c>
    </row>
    <row r="5320" spans="1:16" x14ac:dyDescent="0.25">
      <c r="A5320" t="s">
        <v>3296</v>
      </c>
      <c r="B5320" t="s">
        <v>2931</v>
      </c>
      <c r="C5320">
        <v>2876</v>
      </c>
      <c r="D5320" t="str">
        <f>"6275796     "</f>
        <v xml:space="preserve">6275796     </v>
      </c>
      <c r="E5320" t="s">
        <v>295</v>
      </c>
      <c r="F5320" t="s">
        <v>297</v>
      </c>
      <c r="G5320">
        <v>68.400000000000006</v>
      </c>
      <c r="H5320">
        <v>250225</v>
      </c>
      <c r="I5320">
        <v>4532</v>
      </c>
      <c r="J5320" t="s">
        <v>296</v>
      </c>
      <c r="K5320">
        <v>68.400000000000006</v>
      </c>
      <c r="L5320">
        <v>13.9</v>
      </c>
      <c r="M5320">
        <v>59501</v>
      </c>
      <c r="N5320" t="s">
        <v>62</v>
      </c>
      <c r="O5320">
        <v>250312</v>
      </c>
      <c r="P5320">
        <v>54.5</v>
      </c>
    </row>
    <row r="5321" spans="1:16" x14ac:dyDescent="0.25">
      <c r="A5321" t="s">
        <v>3296</v>
      </c>
      <c r="B5321" t="s">
        <v>2931</v>
      </c>
      <c r="C5321">
        <v>4216</v>
      </c>
      <c r="D5321" t="str">
        <f>"6277651     "</f>
        <v xml:space="preserve">6277651     </v>
      </c>
      <c r="E5321" t="s">
        <v>295</v>
      </c>
      <c r="F5321" t="s">
        <v>297</v>
      </c>
      <c r="G5321">
        <v>96.95</v>
      </c>
      <c r="H5321">
        <v>250311</v>
      </c>
      <c r="I5321">
        <v>4532</v>
      </c>
      <c r="J5321" t="s">
        <v>296</v>
      </c>
      <c r="K5321">
        <v>96.95</v>
      </c>
      <c r="L5321">
        <v>19.7</v>
      </c>
      <c r="M5321">
        <v>59501</v>
      </c>
      <c r="N5321" t="s">
        <v>62</v>
      </c>
      <c r="O5321">
        <v>250409</v>
      </c>
      <c r="P5321">
        <v>77.25</v>
      </c>
    </row>
    <row r="5322" spans="1:16" x14ac:dyDescent="0.25">
      <c r="A5322" t="s">
        <v>3296</v>
      </c>
      <c r="B5322" t="s">
        <v>2931</v>
      </c>
      <c r="C5322">
        <v>4690</v>
      </c>
      <c r="D5322" t="str">
        <f>"6278313     "</f>
        <v xml:space="preserve">6278313     </v>
      </c>
      <c r="E5322" t="s">
        <v>295</v>
      </c>
      <c r="F5322" t="s">
        <v>297</v>
      </c>
      <c r="G5322">
        <v>348.65</v>
      </c>
      <c r="H5322">
        <v>250317</v>
      </c>
      <c r="I5322">
        <v>4532</v>
      </c>
      <c r="J5322" t="s">
        <v>296</v>
      </c>
      <c r="K5322">
        <v>348.65</v>
      </c>
      <c r="L5322">
        <v>70.84</v>
      </c>
      <c r="M5322">
        <v>17711</v>
      </c>
      <c r="N5322" t="s">
        <v>155</v>
      </c>
      <c r="O5322">
        <v>250414</v>
      </c>
      <c r="P5322">
        <v>277.81</v>
      </c>
    </row>
    <row r="5323" spans="1:16" x14ac:dyDescent="0.25">
      <c r="A5323" t="s">
        <v>3296</v>
      </c>
      <c r="B5323" t="s">
        <v>2931</v>
      </c>
      <c r="C5323">
        <v>4766</v>
      </c>
      <c r="D5323" t="str">
        <f>"6278434     "</f>
        <v xml:space="preserve">6278434     </v>
      </c>
      <c r="E5323" t="s">
        <v>295</v>
      </c>
      <c r="F5323" t="s">
        <v>297</v>
      </c>
      <c r="G5323">
        <v>99.7</v>
      </c>
      <c r="H5323">
        <v>250318</v>
      </c>
      <c r="I5323">
        <v>4532</v>
      </c>
      <c r="J5323" t="s">
        <v>296</v>
      </c>
      <c r="K5323">
        <v>99.7</v>
      </c>
      <c r="L5323">
        <v>20.260000000000002</v>
      </c>
      <c r="M5323">
        <v>59113</v>
      </c>
      <c r="N5323" t="s">
        <v>61</v>
      </c>
      <c r="O5323">
        <v>250415</v>
      </c>
      <c r="P5323">
        <v>79.44</v>
      </c>
    </row>
    <row r="5324" spans="1:16" x14ac:dyDescent="0.25">
      <c r="A5324" t="s">
        <v>3296</v>
      </c>
      <c r="B5324" t="s">
        <v>2931</v>
      </c>
      <c r="C5324">
        <v>5109</v>
      </c>
      <c r="D5324" t="str">
        <f>"6279833     "</f>
        <v xml:space="preserve">6279833     </v>
      </c>
      <c r="E5324" t="s">
        <v>295</v>
      </c>
      <c r="F5324" t="s">
        <v>297</v>
      </c>
      <c r="G5324">
        <v>324.93</v>
      </c>
      <c r="H5324">
        <v>250331</v>
      </c>
      <c r="I5324">
        <v>4532</v>
      </c>
      <c r="J5324" t="s">
        <v>296</v>
      </c>
      <c r="K5324">
        <v>324.93</v>
      </c>
      <c r="L5324">
        <v>66.02</v>
      </c>
      <c r="M5324">
        <v>17711</v>
      </c>
      <c r="N5324" t="s">
        <v>155</v>
      </c>
      <c r="O5324">
        <v>250416</v>
      </c>
      <c r="P5324">
        <v>258.91000000000003</v>
      </c>
    </row>
    <row r="5325" spans="1:16" x14ac:dyDescent="0.25">
      <c r="A5325" t="s">
        <v>3296</v>
      </c>
      <c r="B5325" t="s">
        <v>2931</v>
      </c>
      <c r="C5325">
        <v>5512</v>
      </c>
      <c r="D5325" t="str">
        <f>"6280273     "</f>
        <v xml:space="preserve">6280273     </v>
      </c>
      <c r="E5325" t="s">
        <v>295</v>
      </c>
      <c r="F5325" t="s">
        <v>297</v>
      </c>
      <c r="G5325">
        <v>144.25</v>
      </c>
      <c r="H5325">
        <v>250401</v>
      </c>
      <c r="I5325">
        <v>4532</v>
      </c>
      <c r="J5325" t="s">
        <v>296</v>
      </c>
      <c r="K5325">
        <v>144.25</v>
      </c>
      <c r="L5325">
        <v>29.31</v>
      </c>
      <c r="M5325">
        <v>44222</v>
      </c>
      <c r="N5325" t="s">
        <v>96</v>
      </c>
      <c r="O5325">
        <v>250425</v>
      </c>
      <c r="P5325">
        <v>114.94</v>
      </c>
    </row>
    <row r="5326" spans="1:16" x14ac:dyDescent="0.25">
      <c r="A5326" t="s">
        <v>3296</v>
      </c>
      <c r="B5326" t="s">
        <v>2931</v>
      </c>
      <c r="C5326">
        <v>5544</v>
      </c>
      <c r="D5326" t="str">
        <f>"6280683     "</f>
        <v xml:space="preserve">6280683     </v>
      </c>
      <c r="E5326" t="s">
        <v>295</v>
      </c>
      <c r="F5326" t="s">
        <v>297</v>
      </c>
      <c r="G5326">
        <v>185.55</v>
      </c>
      <c r="H5326">
        <v>250403</v>
      </c>
      <c r="I5326">
        <v>4532</v>
      </c>
      <c r="J5326" t="s">
        <v>296</v>
      </c>
      <c r="K5326">
        <v>185.55</v>
      </c>
      <c r="L5326">
        <v>37.700000000000003</v>
      </c>
      <c r="M5326">
        <v>46554</v>
      </c>
      <c r="N5326" t="s">
        <v>102</v>
      </c>
      <c r="O5326">
        <v>250425</v>
      </c>
      <c r="P5326">
        <v>147.85</v>
      </c>
    </row>
    <row r="5327" spans="1:16" x14ac:dyDescent="0.25">
      <c r="A5327" t="s">
        <v>3296</v>
      </c>
      <c r="B5327" t="s">
        <v>2931</v>
      </c>
      <c r="C5327">
        <v>7491</v>
      </c>
      <c r="D5327" t="str">
        <f>"6285244     "</f>
        <v xml:space="preserve">6285244     </v>
      </c>
      <c r="E5327" t="s">
        <v>295</v>
      </c>
      <c r="F5327" t="s">
        <v>297</v>
      </c>
      <c r="G5327">
        <v>225.32</v>
      </c>
      <c r="H5327">
        <v>250508</v>
      </c>
      <c r="I5327">
        <v>4532</v>
      </c>
      <c r="J5327" t="s">
        <v>296</v>
      </c>
      <c r="K5327">
        <v>225.32</v>
      </c>
      <c r="L5327">
        <v>45.78</v>
      </c>
      <c r="M5327">
        <v>17952</v>
      </c>
      <c r="N5327" t="s">
        <v>157</v>
      </c>
      <c r="O5327">
        <v>250604</v>
      </c>
      <c r="P5327">
        <v>179.54</v>
      </c>
    </row>
    <row r="5328" spans="1:16" x14ac:dyDescent="0.25">
      <c r="A5328" t="s">
        <v>3296</v>
      </c>
      <c r="B5328" t="s">
        <v>2931</v>
      </c>
      <c r="C5328">
        <v>10740</v>
      </c>
      <c r="D5328" t="str">
        <f>"6296556     "</f>
        <v xml:space="preserve">6296556     </v>
      </c>
      <c r="E5328" t="s">
        <v>295</v>
      </c>
      <c r="F5328" t="s">
        <v>297</v>
      </c>
      <c r="G5328">
        <v>383.04</v>
      </c>
      <c r="H5328">
        <v>250818</v>
      </c>
      <c r="I5328">
        <v>4532</v>
      </c>
      <c r="J5328" t="s">
        <v>296</v>
      </c>
      <c r="K5328">
        <v>383.04</v>
      </c>
      <c r="L5328">
        <v>77.83</v>
      </c>
      <c r="M5328">
        <v>46554</v>
      </c>
      <c r="N5328" t="s">
        <v>102</v>
      </c>
      <c r="O5328">
        <v>250821</v>
      </c>
      <c r="P5328">
        <v>305.20999999999998</v>
      </c>
    </row>
    <row r="5329" spans="1:16" x14ac:dyDescent="0.25">
      <c r="A5329" t="s">
        <v>3296</v>
      </c>
      <c r="B5329" t="s">
        <v>2931</v>
      </c>
      <c r="C5329">
        <v>10823</v>
      </c>
      <c r="D5329" t="str">
        <f>"6296577     "</f>
        <v xml:space="preserve">6296577     </v>
      </c>
      <c r="E5329" t="s">
        <v>295</v>
      </c>
      <c r="F5329" t="s">
        <v>297</v>
      </c>
      <c r="G5329">
        <v>26.36</v>
      </c>
      <c r="H5329">
        <v>250818</v>
      </c>
      <c r="I5329">
        <v>4532</v>
      </c>
      <c r="J5329" t="s">
        <v>296</v>
      </c>
      <c r="K5329">
        <v>26.36</v>
      </c>
      <c r="L5329">
        <v>5.36</v>
      </c>
      <c r="M5329">
        <v>56563</v>
      </c>
      <c r="N5329" t="s">
        <v>55</v>
      </c>
      <c r="O5329">
        <v>250825</v>
      </c>
      <c r="P5329">
        <v>21</v>
      </c>
    </row>
    <row r="5330" spans="1:16" x14ac:dyDescent="0.25">
      <c r="A5330" t="s">
        <v>3296</v>
      </c>
      <c r="B5330" t="s">
        <v>2931</v>
      </c>
      <c r="C5330">
        <v>10860</v>
      </c>
      <c r="D5330" t="str">
        <f>"6296562     "</f>
        <v xml:space="preserve">6296562     </v>
      </c>
      <c r="E5330" t="s">
        <v>295</v>
      </c>
      <c r="F5330" t="s">
        <v>297</v>
      </c>
      <c r="G5330">
        <v>165.5</v>
      </c>
      <c r="H5330">
        <v>250818</v>
      </c>
      <c r="I5330">
        <v>4532</v>
      </c>
      <c r="J5330" t="s">
        <v>296</v>
      </c>
      <c r="K5330">
        <v>165.5</v>
      </c>
      <c r="L5330">
        <v>33.630000000000003</v>
      </c>
      <c r="M5330">
        <v>17913</v>
      </c>
      <c r="N5330" t="s">
        <v>26</v>
      </c>
      <c r="O5330">
        <v>250825</v>
      </c>
      <c r="P5330">
        <v>131.87</v>
      </c>
    </row>
    <row r="5331" spans="1:16" x14ac:dyDescent="0.25">
      <c r="A5331" t="s">
        <v>3296</v>
      </c>
      <c r="B5331" t="s">
        <v>2931</v>
      </c>
      <c r="C5331">
        <v>10946</v>
      </c>
      <c r="D5331" t="str">
        <f>"6297271     "</f>
        <v xml:space="preserve">6297271     </v>
      </c>
      <c r="E5331" t="s">
        <v>295</v>
      </c>
      <c r="F5331" t="s">
        <v>297</v>
      </c>
      <c r="G5331">
        <v>599.66</v>
      </c>
      <c r="H5331">
        <v>250822</v>
      </c>
      <c r="I5331">
        <v>4532</v>
      </c>
      <c r="J5331" t="s">
        <v>296</v>
      </c>
      <c r="K5331">
        <v>599.66</v>
      </c>
      <c r="L5331">
        <v>121.84</v>
      </c>
      <c r="M5331">
        <v>17803</v>
      </c>
      <c r="N5331" t="s">
        <v>19</v>
      </c>
      <c r="O5331">
        <v>250827</v>
      </c>
      <c r="P5331">
        <v>477.82</v>
      </c>
    </row>
    <row r="5332" spans="1:16" x14ac:dyDescent="0.25">
      <c r="A5332" t="s">
        <v>3296</v>
      </c>
      <c r="B5332" t="s">
        <v>2931</v>
      </c>
      <c r="C5332">
        <v>10959</v>
      </c>
      <c r="D5332" t="str">
        <f>"6297628     "</f>
        <v xml:space="preserve">6297628     </v>
      </c>
      <c r="E5332" t="s">
        <v>295</v>
      </c>
      <c r="F5332" t="s">
        <v>297</v>
      </c>
      <c r="G5332">
        <v>152.94</v>
      </c>
      <c r="H5332">
        <v>250826</v>
      </c>
      <c r="I5332">
        <v>4532</v>
      </c>
      <c r="J5332" t="s">
        <v>296</v>
      </c>
      <c r="K5332">
        <v>1924.02</v>
      </c>
      <c r="L5332">
        <v>31.08</v>
      </c>
      <c r="M5332">
        <v>46557</v>
      </c>
      <c r="N5332" t="s">
        <v>104</v>
      </c>
      <c r="O5332">
        <v>250827</v>
      </c>
      <c r="P5332">
        <v>121.86</v>
      </c>
    </row>
    <row r="5333" spans="1:16" x14ac:dyDescent="0.25">
      <c r="A5333" t="s">
        <v>3296</v>
      </c>
      <c r="B5333" t="s">
        <v>2931</v>
      </c>
      <c r="C5333">
        <v>11007</v>
      </c>
      <c r="D5333" t="str">
        <f>"6297210     "</f>
        <v xml:space="preserve">6297210     </v>
      </c>
      <c r="E5333" t="s">
        <v>295</v>
      </c>
      <c r="F5333" t="s">
        <v>297</v>
      </c>
      <c r="G5333">
        <v>226.08</v>
      </c>
      <c r="H5333">
        <v>250822</v>
      </c>
      <c r="I5333">
        <v>4532</v>
      </c>
      <c r="J5333" t="s">
        <v>296</v>
      </c>
      <c r="K5333">
        <v>1623.53</v>
      </c>
      <c r="L5333">
        <v>45.94</v>
      </c>
      <c r="M5333">
        <v>17522</v>
      </c>
      <c r="N5333" t="s">
        <v>137</v>
      </c>
      <c r="O5333">
        <v>250829</v>
      </c>
      <c r="P5333">
        <v>180.14</v>
      </c>
    </row>
    <row r="5334" spans="1:16" x14ac:dyDescent="0.25">
      <c r="A5334" t="s">
        <v>3296</v>
      </c>
      <c r="B5334" t="s">
        <v>2931</v>
      </c>
      <c r="C5334">
        <v>11181</v>
      </c>
      <c r="D5334" t="str">
        <f>"6296925     "</f>
        <v xml:space="preserve">6296925     </v>
      </c>
      <c r="E5334" t="s">
        <v>295</v>
      </c>
      <c r="F5334" t="s">
        <v>297</v>
      </c>
      <c r="G5334">
        <v>136.22</v>
      </c>
      <c r="H5334">
        <v>250820</v>
      </c>
      <c r="I5334">
        <v>4532</v>
      </c>
      <c r="J5334" t="s">
        <v>296</v>
      </c>
      <c r="K5334">
        <v>136.22</v>
      </c>
      <c r="L5334">
        <v>27.68</v>
      </c>
      <c r="M5334">
        <v>17806</v>
      </c>
      <c r="N5334" t="s">
        <v>22</v>
      </c>
      <c r="O5334">
        <v>250901</v>
      </c>
      <c r="P5334">
        <v>108.54</v>
      </c>
    </row>
    <row r="5335" spans="1:16" x14ac:dyDescent="0.25">
      <c r="A5335" t="s">
        <v>3296</v>
      </c>
      <c r="B5335" t="s">
        <v>2931</v>
      </c>
      <c r="C5335">
        <v>11713</v>
      </c>
      <c r="D5335" t="str">
        <f>"6297248     "</f>
        <v xml:space="preserve">6297248     </v>
      </c>
      <c r="E5335" t="s">
        <v>295</v>
      </c>
      <c r="F5335" t="s">
        <v>297</v>
      </c>
      <c r="G5335">
        <v>167.04</v>
      </c>
      <c r="H5335">
        <v>250822</v>
      </c>
      <c r="I5335">
        <v>4532</v>
      </c>
      <c r="J5335" t="s">
        <v>296</v>
      </c>
      <c r="K5335">
        <v>1505.92</v>
      </c>
      <c r="L5335">
        <v>33.94</v>
      </c>
      <c r="M5335">
        <v>54422</v>
      </c>
      <c r="N5335" t="s">
        <v>49</v>
      </c>
      <c r="O5335">
        <v>250910</v>
      </c>
      <c r="P5335">
        <v>133.1</v>
      </c>
    </row>
    <row r="5336" spans="1:16" x14ac:dyDescent="0.25">
      <c r="A5336" t="s">
        <v>3296</v>
      </c>
      <c r="B5336" t="s">
        <v>2931</v>
      </c>
      <c r="C5336">
        <v>11748</v>
      </c>
      <c r="D5336" t="str">
        <f>"5016949     "</f>
        <v xml:space="preserve">5016949     </v>
      </c>
      <c r="E5336" t="s">
        <v>295</v>
      </c>
      <c r="F5336" t="s">
        <v>297</v>
      </c>
      <c r="G5336">
        <v>-183.92</v>
      </c>
      <c r="H5336">
        <v>250903</v>
      </c>
      <c r="I5336">
        <v>4532</v>
      </c>
      <c r="J5336" t="s">
        <v>296</v>
      </c>
      <c r="K5336">
        <v>-183.92</v>
      </c>
      <c r="L5336">
        <v>-37.369999999999997</v>
      </c>
      <c r="M5336">
        <v>49501</v>
      </c>
      <c r="N5336" t="s">
        <v>110</v>
      </c>
      <c r="O5336">
        <v>250910</v>
      </c>
      <c r="P5336">
        <v>-146.55000000000001</v>
      </c>
    </row>
    <row r="5337" spans="1:16" x14ac:dyDescent="0.25">
      <c r="A5337" t="s">
        <v>3296</v>
      </c>
      <c r="B5337" t="s">
        <v>2931</v>
      </c>
      <c r="C5337">
        <v>11753</v>
      </c>
      <c r="D5337" t="str">
        <f>"6297732     "</f>
        <v xml:space="preserve">6297732     </v>
      </c>
      <c r="E5337" t="s">
        <v>295</v>
      </c>
      <c r="F5337" t="s">
        <v>297</v>
      </c>
      <c r="G5337">
        <v>93.62</v>
      </c>
      <c r="H5337">
        <v>250827</v>
      </c>
      <c r="I5337">
        <v>4532</v>
      </c>
      <c r="J5337" t="s">
        <v>296</v>
      </c>
      <c r="K5337">
        <v>93.62</v>
      </c>
      <c r="L5337">
        <v>19.02</v>
      </c>
      <c r="M5337">
        <v>16431</v>
      </c>
      <c r="N5337" t="s">
        <v>17</v>
      </c>
      <c r="O5337">
        <v>250910</v>
      </c>
      <c r="P5337">
        <v>74.599999999999994</v>
      </c>
    </row>
    <row r="5338" spans="1:16" x14ac:dyDescent="0.25">
      <c r="A5338" t="s">
        <v>3296</v>
      </c>
      <c r="B5338" t="s">
        <v>2931</v>
      </c>
      <c r="C5338">
        <v>11754</v>
      </c>
      <c r="D5338" t="str">
        <f>"6297770     "</f>
        <v xml:space="preserve">6297770     </v>
      </c>
      <c r="E5338" t="s">
        <v>295</v>
      </c>
      <c r="F5338" t="s">
        <v>297</v>
      </c>
      <c r="G5338">
        <v>351.75</v>
      </c>
      <c r="H5338">
        <v>250827</v>
      </c>
      <c r="I5338">
        <v>4532</v>
      </c>
      <c r="J5338" t="s">
        <v>296</v>
      </c>
      <c r="K5338">
        <v>351.75</v>
      </c>
      <c r="L5338">
        <v>71.47</v>
      </c>
      <c r="M5338">
        <v>49112</v>
      </c>
      <c r="N5338" t="s">
        <v>109</v>
      </c>
      <c r="O5338">
        <v>250910</v>
      </c>
      <c r="P5338">
        <v>280.27999999999997</v>
      </c>
    </row>
    <row r="5339" spans="1:16" x14ac:dyDescent="0.25">
      <c r="A5339" t="s">
        <v>3296</v>
      </c>
      <c r="B5339" t="s">
        <v>2931</v>
      </c>
      <c r="C5339">
        <v>11767</v>
      </c>
      <c r="D5339" t="str">
        <f>"6297773     "</f>
        <v xml:space="preserve">6297773     </v>
      </c>
      <c r="E5339" t="s">
        <v>295</v>
      </c>
      <c r="F5339" t="s">
        <v>297</v>
      </c>
      <c r="G5339">
        <v>359.48</v>
      </c>
      <c r="H5339">
        <v>250827</v>
      </c>
      <c r="I5339">
        <v>4532</v>
      </c>
      <c r="J5339" t="s">
        <v>296</v>
      </c>
      <c r="K5339">
        <v>359.48</v>
      </c>
      <c r="L5339">
        <v>73.040000000000006</v>
      </c>
      <c r="M5339">
        <v>49501</v>
      </c>
      <c r="N5339" t="s">
        <v>110</v>
      </c>
      <c r="O5339">
        <v>250910</v>
      </c>
      <c r="P5339">
        <v>286.44</v>
      </c>
    </row>
    <row r="5340" spans="1:16" x14ac:dyDescent="0.25">
      <c r="A5340" t="s">
        <v>3296</v>
      </c>
      <c r="B5340" t="s">
        <v>2931</v>
      </c>
      <c r="C5340">
        <v>12048</v>
      </c>
      <c r="D5340" t="str">
        <f>"6297498     "</f>
        <v xml:space="preserve">6297498     </v>
      </c>
      <c r="E5340" t="s">
        <v>295</v>
      </c>
      <c r="F5340" t="s">
        <v>297</v>
      </c>
      <c r="G5340">
        <v>183.92</v>
      </c>
      <c r="H5340">
        <v>250825</v>
      </c>
      <c r="I5340">
        <v>4532</v>
      </c>
      <c r="J5340" t="s">
        <v>296</v>
      </c>
      <c r="K5340">
        <v>183.92</v>
      </c>
      <c r="L5340">
        <v>37.369999999999997</v>
      </c>
      <c r="M5340">
        <v>49501</v>
      </c>
      <c r="N5340" t="s">
        <v>110</v>
      </c>
      <c r="O5340">
        <v>250915</v>
      </c>
      <c r="P5340">
        <v>146.55000000000001</v>
      </c>
    </row>
    <row r="5341" spans="1:16" x14ac:dyDescent="0.25">
      <c r="A5341" t="s">
        <v>3296</v>
      </c>
      <c r="B5341" t="s">
        <v>2931</v>
      </c>
      <c r="C5341">
        <v>12049</v>
      </c>
      <c r="D5341" t="str">
        <f>"6297365     "</f>
        <v xml:space="preserve">6297365     </v>
      </c>
      <c r="E5341" t="s">
        <v>295</v>
      </c>
      <c r="F5341" t="s">
        <v>297</v>
      </c>
      <c r="G5341">
        <v>183.92</v>
      </c>
      <c r="H5341">
        <v>250825</v>
      </c>
      <c r="I5341">
        <v>4532</v>
      </c>
      <c r="J5341" t="s">
        <v>296</v>
      </c>
      <c r="K5341">
        <v>183.92</v>
      </c>
      <c r="L5341">
        <v>37.369999999999997</v>
      </c>
      <c r="M5341">
        <v>49501</v>
      </c>
      <c r="N5341" t="s">
        <v>110</v>
      </c>
      <c r="O5341">
        <v>250915</v>
      </c>
      <c r="P5341">
        <v>146.55000000000001</v>
      </c>
    </row>
    <row r="5342" spans="1:16" x14ac:dyDescent="0.25">
      <c r="A5342" t="s">
        <v>3296</v>
      </c>
      <c r="B5342" t="s">
        <v>2931</v>
      </c>
      <c r="C5342">
        <v>12059</v>
      </c>
      <c r="D5342" t="str">
        <f>"6299570     "</f>
        <v xml:space="preserve">6299570     </v>
      </c>
      <c r="E5342" t="s">
        <v>295</v>
      </c>
      <c r="F5342" t="s">
        <v>297</v>
      </c>
      <c r="G5342">
        <v>-61.31</v>
      </c>
      <c r="H5342">
        <v>250910</v>
      </c>
      <c r="I5342">
        <v>4532</v>
      </c>
      <c r="J5342" t="s">
        <v>296</v>
      </c>
      <c r="K5342">
        <v>-61.31</v>
      </c>
      <c r="L5342">
        <v>-12.46</v>
      </c>
      <c r="M5342">
        <v>49501</v>
      </c>
      <c r="N5342" t="s">
        <v>110</v>
      </c>
      <c r="O5342">
        <v>250916</v>
      </c>
      <c r="P5342">
        <v>-48.85</v>
      </c>
    </row>
    <row r="5343" spans="1:16" x14ac:dyDescent="0.25">
      <c r="A5343" t="s">
        <v>3296</v>
      </c>
      <c r="B5343" t="s">
        <v>2931</v>
      </c>
      <c r="C5343">
        <v>12106</v>
      </c>
      <c r="D5343" t="str">
        <f>"6298384     "</f>
        <v xml:space="preserve">6298384     </v>
      </c>
      <c r="E5343" t="s">
        <v>295</v>
      </c>
      <c r="F5343" t="s">
        <v>297</v>
      </c>
      <c r="G5343">
        <v>349.24</v>
      </c>
      <c r="H5343">
        <v>250901</v>
      </c>
      <c r="I5343">
        <v>4532</v>
      </c>
      <c r="J5343" t="s">
        <v>296</v>
      </c>
      <c r="K5343">
        <v>349.24</v>
      </c>
      <c r="L5343">
        <v>70.959999999999994</v>
      </c>
      <c r="M5343">
        <v>16431</v>
      </c>
      <c r="N5343" t="s">
        <v>17</v>
      </c>
      <c r="O5343">
        <v>250916</v>
      </c>
      <c r="P5343">
        <v>278.27999999999997</v>
      </c>
    </row>
    <row r="5344" spans="1:16" x14ac:dyDescent="0.25">
      <c r="A5344" t="s">
        <v>3296</v>
      </c>
      <c r="B5344" t="s">
        <v>2931</v>
      </c>
      <c r="C5344">
        <v>12243</v>
      </c>
      <c r="D5344" t="str">
        <f>"6297369     "</f>
        <v xml:space="preserve">6297369     </v>
      </c>
      <c r="E5344" t="s">
        <v>295</v>
      </c>
      <c r="F5344" t="s">
        <v>297</v>
      </c>
      <c r="G5344">
        <v>79.430000000000007</v>
      </c>
      <c r="H5344">
        <v>250825</v>
      </c>
      <c r="I5344">
        <v>4532</v>
      </c>
      <c r="J5344" t="s">
        <v>296</v>
      </c>
      <c r="K5344">
        <v>158.86000000000001</v>
      </c>
      <c r="L5344">
        <v>16.14</v>
      </c>
      <c r="M5344">
        <v>17525</v>
      </c>
      <c r="N5344" t="s">
        <v>140</v>
      </c>
      <c r="O5344">
        <v>250918</v>
      </c>
      <c r="P5344">
        <v>63.29</v>
      </c>
    </row>
    <row r="5345" spans="1:16" x14ac:dyDescent="0.25">
      <c r="A5345" t="s">
        <v>3296</v>
      </c>
      <c r="B5345" t="s">
        <v>2931</v>
      </c>
      <c r="C5345">
        <v>12243</v>
      </c>
      <c r="D5345" t="str">
        <f>"6297369     "</f>
        <v xml:space="preserve">6297369     </v>
      </c>
      <c r="E5345" t="s">
        <v>295</v>
      </c>
      <c r="F5345" t="s">
        <v>297</v>
      </c>
      <c r="G5345">
        <v>79.430000000000007</v>
      </c>
      <c r="H5345">
        <v>250825</v>
      </c>
      <c r="I5345">
        <v>4532</v>
      </c>
      <c r="J5345" t="s">
        <v>296</v>
      </c>
      <c r="K5345">
        <v>158.86000000000001</v>
      </c>
      <c r="L5345">
        <v>16.14</v>
      </c>
      <c r="M5345">
        <v>17529</v>
      </c>
      <c r="N5345" t="s">
        <v>143</v>
      </c>
      <c r="O5345">
        <v>250918</v>
      </c>
      <c r="P5345">
        <v>63.29</v>
      </c>
    </row>
    <row r="5346" spans="1:16" x14ac:dyDescent="0.25">
      <c r="A5346" t="s">
        <v>3296</v>
      </c>
      <c r="B5346" t="s">
        <v>2931</v>
      </c>
      <c r="C5346">
        <v>12386</v>
      </c>
      <c r="D5346" t="str">
        <f>"6299728     "</f>
        <v xml:space="preserve">6299728     </v>
      </c>
      <c r="E5346" t="s">
        <v>295</v>
      </c>
      <c r="F5346" t="s">
        <v>297</v>
      </c>
      <c r="G5346">
        <v>397.61</v>
      </c>
      <c r="H5346">
        <v>250911</v>
      </c>
      <c r="I5346">
        <v>4532</v>
      </c>
      <c r="J5346" t="s">
        <v>296</v>
      </c>
      <c r="K5346">
        <v>397.61</v>
      </c>
      <c r="L5346">
        <v>80.790000000000006</v>
      </c>
      <c r="M5346">
        <v>56562</v>
      </c>
      <c r="N5346" t="s">
        <v>54</v>
      </c>
      <c r="O5346">
        <v>250919</v>
      </c>
      <c r="P5346">
        <v>316.82</v>
      </c>
    </row>
    <row r="5347" spans="1:16" x14ac:dyDescent="0.25">
      <c r="A5347" t="s">
        <v>3296</v>
      </c>
      <c r="B5347" t="s">
        <v>2931</v>
      </c>
      <c r="C5347">
        <v>12479</v>
      </c>
      <c r="D5347" t="str">
        <f>"6297799     "</f>
        <v xml:space="preserve">6297799     </v>
      </c>
      <c r="E5347" t="s">
        <v>295</v>
      </c>
      <c r="F5347" t="s">
        <v>297</v>
      </c>
      <c r="G5347">
        <v>309.26</v>
      </c>
      <c r="H5347">
        <v>250901</v>
      </c>
      <c r="I5347">
        <v>4532</v>
      </c>
      <c r="J5347" t="s">
        <v>296</v>
      </c>
      <c r="K5347">
        <v>413.36</v>
      </c>
      <c r="L5347">
        <v>62.84</v>
      </c>
      <c r="M5347">
        <v>14432</v>
      </c>
      <c r="N5347" t="s">
        <v>75</v>
      </c>
      <c r="O5347">
        <v>250925</v>
      </c>
      <c r="P5347">
        <v>246.42</v>
      </c>
    </row>
    <row r="5348" spans="1:16" x14ac:dyDescent="0.25">
      <c r="A5348" t="s">
        <v>3296</v>
      </c>
      <c r="B5348" t="s">
        <v>2931</v>
      </c>
      <c r="C5348">
        <v>12479</v>
      </c>
      <c r="D5348" t="str">
        <f>"6297799     "</f>
        <v xml:space="preserve">6297799     </v>
      </c>
      <c r="E5348" t="s">
        <v>295</v>
      </c>
      <c r="F5348" t="s">
        <v>297</v>
      </c>
      <c r="G5348">
        <v>104.1</v>
      </c>
      <c r="H5348">
        <v>250901</v>
      </c>
      <c r="I5348">
        <v>4532</v>
      </c>
      <c r="J5348" t="s">
        <v>296</v>
      </c>
      <c r="K5348">
        <v>413.36</v>
      </c>
      <c r="L5348">
        <v>21.15</v>
      </c>
      <c r="M5348">
        <v>14912</v>
      </c>
      <c r="N5348" t="s">
        <v>80</v>
      </c>
      <c r="O5348">
        <v>250925</v>
      </c>
      <c r="P5348">
        <v>82.95</v>
      </c>
    </row>
    <row r="5349" spans="1:16" x14ac:dyDescent="0.25">
      <c r="A5349" t="s">
        <v>3296</v>
      </c>
      <c r="B5349" t="s">
        <v>2931</v>
      </c>
      <c r="C5349">
        <v>12523</v>
      </c>
      <c r="D5349" t="str">
        <f>"6297366     "</f>
        <v xml:space="preserve">6297366     </v>
      </c>
      <c r="E5349" t="s">
        <v>295</v>
      </c>
      <c r="F5349" t="s">
        <v>297</v>
      </c>
      <c r="G5349">
        <v>323.55</v>
      </c>
      <c r="H5349">
        <v>250901</v>
      </c>
      <c r="I5349">
        <v>4532</v>
      </c>
      <c r="J5349" t="s">
        <v>296</v>
      </c>
      <c r="K5349">
        <v>323.55</v>
      </c>
      <c r="L5349">
        <v>65.739999999999995</v>
      </c>
      <c r="M5349">
        <v>49112</v>
      </c>
      <c r="N5349" t="s">
        <v>109</v>
      </c>
      <c r="O5349">
        <v>250926</v>
      </c>
      <c r="P5349">
        <v>257.81</v>
      </c>
    </row>
    <row r="5350" spans="1:16" x14ac:dyDescent="0.25">
      <c r="A5350" t="s">
        <v>3296</v>
      </c>
      <c r="B5350" t="s">
        <v>2931</v>
      </c>
      <c r="C5350">
        <v>12951</v>
      </c>
      <c r="D5350" t="str">
        <f>"6301570     "</f>
        <v xml:space="preserve">6301570     </v>
      </c>
      <c r="E5350" t="s">
        <v>295</v>
      </c>
      <c r="F5350" t="s">
        <v>297</v>
      </c>
      <c r="G5350">
        <v>202.59</v>
      </c>
      <c r="H5350">
        <v>250926</v>
      </c>
      <c r="I5350">
        <v>4532</v>
      </c>
      <c r="J5350" t="s">
        <v>296</v>
      </c>
      <c r="K5350">
        <v>202.59</v>
      </c>
      <c r="L5350">
        <v>41.16</v>
      </c>
      <c r="M5350">
        <v>46554</v>
      </c>
      <c r="N5350" t="s">
        <v>102</v>
      </c>
      <c r="O5350">
        <v>251002</v>
      </c>
      <c r="P5350">
        <v>161.43</v>
      </c>
    </row>
    <row r="5351" spans="1:16" x14ac:dyDescent="0.25">
      <c r="A5351" t="s">
        <v>3296</v>
      </c>
      <c r="B5351" t="s">
        <v>2931</v>
      </c>
      <c r="C5351">
        <v>13053</v>
      </c>
      <c r="D5351" t="str">
        <f>"6301860     "</f>
        <v xml:space="preserve">6301860     </v>
      </c>
      <c r="E5351" t="s">
        <v>295</v>
      </c>
      <c r="F5351" t="s">
        <v>297</v>
      </c>
      <c r="G5351">
        <v>217.06</v>
      </c>
      <c r="H5351">
        <v>250930</v>
      </c>
      <c r="I5351">
        <v>4532</v>
      </c>
      <c r="J5351" t="s">
        <v>296</v>
      </c>
      <c r="K5351">
        <v>217.06</v>
      </c>
      <c r="L5351">
        <v>44.1</v>
      </c>
      <c r="M5351">
        <v>59113</v>
      </c>
      <c r="N5351" t="s">
        <v>61</v>
      </c>
      <c r="O5351">
        <v>251003</v>
      </c>
      <c r="P5351">
        <v>172.96</v>
      </c>
    </row>
    <row r="5352" spans="1:16" x14ac:dyDescent="0.25">
      <c r="A5352" t="s">
        <v>3296</v>
      </c>
      <c r="B5352" t="s">
        <v>2931</v>
      </c>
      <c r="C5352">
        <v>13077</v>
      </c>
      <c r="D5352" t="str">
        <f>"6301603     "</f>
        <v xml:space="preserve">6301603     </v>
      </c>
      <c r="E5352" t="s">
        <v>295</v>
      </c>
      <c r="F5352" t="s">
        <v>297</v>
      </c>
      <c r="G5352">
        <v>61.42</v>
      </c>
      <c r="H5352">
        <v>250926</v>
      </c>
      <c r="I5352">
        <v>4532</v>
      </c>
      <c r="J5352" t="s">
        <v>296</v>
      </c>
      <c r="K5352">
        <v>61.42</v>
      </c>
      <c r="L5352">
        <v>12.48</v>
      </c>
      <c r="M5352">
        <v>46554</v>
      </c>
      <c r="N5352" t="s">
        <v>102</v>
      </c>
      <c r="O5352">
        <v>251003</v>
      </c>
      <c r="P5352">
        <v>48.94</v>
      </c>
    </row>
    <row r="5353" spans="1:16" x14ac:dyDescent="0.25">
      <c r="A5353" t="s">
        <v>3296</v>
      </c>
      <c r="B5353" t="s">
        <v>2931</v>
      </c>
      <c r="C5353">
        <v>14169</v>
      </c>
      <c r="D5353" t="str">
        <f>"6304611     "</f>
        <v xml:space="preserve">6304611     </v>
      </c>
      <c r="E5353" t="s">
        <v>295</v>
      </c>
      <c r="F5353" t="s">
        <v>297</v>
      </c>
      <c r="G5353">
        <v>132.88</v>
      </c>
      <c r="H5353">
        <v>251021</v>
      </c>
      <c r="I5353">
        <v>4532</v>
      </c>
      <c r="J5353" t="s">
        <v>296</v>
      </c>
      <c r="K5353">
        <v>132.88</v>
      </c>
      <c r="L5353">
        <v>27</v>
      </c>
      <c r="M5353">
        <v>44222</v>
      </c>
      <c r="N5353" t="s">
        <v>96</v>
      </c>
      <c r="O5353">
        <v>251024</v>
      </c>
      <c r="P5353">
        <v>105.88</v>
      </c>
    </row>
    <row r="5354" spans="1:16" x14ac:dyDescent="0.25">
      <c r="A5354" t="s">
        <v>3296</v>
      </c>
      <c r="B5354" t="s">
        <v>2931</v>
      </c>
      <c r="C5354">
        <v>14412</v>
      </c>
      <c r="D5354" t="str">
        <f>"6305443     "</f>
        <v xml:space="preserve">6305443     </v>
      </c>
      <c r="E5354" t="s">
        <v>295</v>
      </c>
      <c r="F5354" t="s">
        <v>297</v>
      </c>
      <c r="G5354">
        <v>483.69</v>
      </c>
      <c r="H5354">
        <v>251027</v>
      </c>
      <c r="I5354">
        <v>4532</v>
      </c>
      <c r="J5354" t="s">
        <v>296</v>
      </c>
      <c r="K5354">
        <v>483.69</v>
      </c>
      <c r="L5354">
        <v>98.28</v>
      </c>
      <c r="M5354">
        <v>56562</v>
      </c>
      <c r="N5354" t="s">
        <v>54</v>
      </c>
      <c r="O5354">
        <v>251031</v>
      </c>
      <c r="P5354">
        <v>385.41</v>
      </c>
    </row>
    <row r="5355" spans="1:16" x14ac:dyDescent="0.25">
      <c r="A5355" t="s">
        <v>3296</v>
      </c>
      <c r="B5355" t="s">
        <v>2931</v>
      </c>
      <c r="C5355">
        <v>14434</v>
      </c>
      <c r="D5355" t="str">
        <f>"6304558     "</f>
        <v xml:space="preserve">6304558     </v>
      </c>
      <c r="E5355" t="s">
        <v>295</v>
      </c>
      <c r="F5355" t="s">
        <v>297</v>
      </c>
      <c r="G5355">
        <v>317.64999999999998</v>
      </c>
      <c r="H5355">
        <v>251021</v>
      </c>
      <c r="I5355">
        <v>4532</v>
      </c>
      <c r="J5355" t="s">
        <v>296</v>
      </c>
      <c r="K5355">
        <v>317.64999999999998</v>
      </c>
      <c r="L5355">
        <v>64.540000000000006</v>
      </c>
      <c r="M5355">
        <v>46554</v>
      </c>
      <c r="N5355" t="s">
        <v>102</v>
      </c>
      <c r="O5355">
        <v>251031</v>
      </c>
      <c r="P5355">
        <v>253.11</v>
      </c>
    </row>
    <row r="5356" spans="1:16" x14ac:dyDescent="0.25">
      <c r="A5356" t="s">
        <v>3296</v>
      </c>
      <c r="B5356" t="s">
        <v>2931</v>
      </c>
      <c r="C5356">
        <v>14792</v>
      </c>
      <c r="D5356" t="str">
        <f>"6306141     "</f>
        <v xml:space="preserve">6306141     </v>
      </c>
      <c r="E5356" t="s">
        <v>295</v>
      </c>
      <c r="F5356" t="s">
        <v>297</v>
      </c>
      <c r="G5356">
        <v>1612.3</v>
      </c>
      <c r="H5356">
        <v>251030</v>
      </c>
      <c r="I5356">
        <v>4532</v>
      </c>
      <c r="J5356" t="s">
        <v>296</v>
      </c>
      <c r="K5356">
        <v>1612.3</v>
      </c>
      <c r="L5356">
        <v>327.60000000000002</v>
      </c>
      <c r="M5356">
        <v>56562</v>
      </c>
      <c r="N5356" t="s">
        <v>54</v>
      </c>
      <c r="O5356">
        <v>251106</v>
      </c>
      <c r="P5356">
        <v>1284.7</v>
      </c>
    </row>
    <row r="5357" spans="1:16" x14ac:dyDescent="0.25">
      <c r="A5357" t="s">
        <v>3296</v>
      </c>
      <c r="B5357" t="s">
        <v>2931</v>
      </c>
      <c r="C5357">
        <v>15662</v>
      </c>
      <c r="D5357" t="str">
        <f>"6308068     "</f>
        <v xml:space="preserve">6308068     </v>
      </c>
      <c r="E5357" t="s">
        <v>295</v>
      </c>
      <c r="F5357" t="s">
        <v>297</v>
      </c>
      <c r="G5357">
        <v>86.42</v>
      </c>
      <c r="H5357">
        <v>251113</v>
      </c>
      <c r="I5357">
        <v>4532</v>
      </c>
      <c r="J5357" t="s">
        <v>296</v>
      </c>
      <c r="K5357">
        <v>86.42</v>
      </c>
      <c r="L5357">
        <v>17.559999999999999</v>
      </c>
      <c r="M5357">
        <v>17711</v>
      </c>
      <c r="N5357" t="s">
        <v>155</v>
      </c>
      <c r="O5357">
        <v>251124</v>
      </c>
      <c r="P5357">
        <v>68.86</v>
      </c>
    </row>
    <row r="5358" spans="1:16" x14ac:dyDescent="0.25">
      <c r="A5358" t="s">
        <v>3296</v>
      </c>
      <c r="B5358" t="s">
        <v>2931</v>
      </c>
      <c r="C5358">
        <v>15664</v>
      </c>
      <c r="D5358" t="str">
        <f>"6308140     "</f>
        <v xml:space="preserve">6308140     </v>
      </c>
      <c r="E5358" t="s">
        <v>295</v>
      </c>
      <c r="F5358" t="s">
        <v>297</v>
      </c>
      <c r="G5358">
        <v>116.3</v>
      </c>
      <c r="H5358">
        <v>251114</v>
      </c>
      <c r="I5358">
        <v>4532</v>
      </c>
      <c r="J5358" t="s">
        <v>296</v>
      </c>
      <c r="K5358">
        <v>116.3</v>
      </c>
      <c r="L5358">
        <v>23.63</v>
      </c>
      <c r="M5358">
        <v>17711</v>
      </c>
      <c r="N5358" t="s">
        <v>155</v>
      </c>
      <c r="O5358">
        <v>251124</v>
      </c>
      <c r="P5358">
        <v>92.67</v>
      </c>
    </row>
    <row r="5359" spans="1:16" x14ac:dyDescent="0.25">
      <c r="A5359" t="s">
        <v>3296</v>
      </c>
      <c r="B5359" t="s">
        <v>2931</v>
      </c>
      <c r="C5359">
        <v>16443</v>
      </c>
      <c r="D5359" t="str">
        <f>"6309620     "</f>
        <v xml:space="preserve">6309620     </v>
      </c>
      <c r="E5359" t="s">
        <v>295</v>
      </c>
      <c r="F5359" t="s">
        <v>297</v>
      </c>
      <c r="G5359">
        <v>644.91999999999996</v>
      </c>
      <c r="H5359">
        <v>251125</v>
      </c>
      <c r="I5359">
        <v>4532</v>
      </c>
      <c r="J5359" t="s">
        <v>296</v>
      </c>
      <c r="K5359">
        <v>644.91999999999996</v>
      </c>
      <c r="L5359">
        <v>131.04</v>
      </c>
      <c r="M5359">
        <v>56562</v>
      </c>
      <c r="N5359" t="s">
        <v>54</v>
      </c>
      <c r="O5359">
        <v>251208</v>
      </c>
      <c r="P5359">
        <v>513.88</v>
      </c>
    </row>
    <row r="5360" spans="1:16" x14ac:dyDescent="0.25">
      <c r="A5360" t="s">
        <v>3296</v>
      </c>
      <c r="B5360" t="s">
        <v>2931</v>
      </c>
      <c r="C5360">
        <v>17826</v>
      </c>
      <c r="D5360" t="str">
        <f>"6312661     "</f>
        <v xml:space="preserve">6312661     </v>
      </c>
      <c r="E5360" t="s">
        <v>295</v>
      </c>
      <c r="F5360" t="s">
        <v>297</v>
      </c>
      <c r="G5360">
        <v>249.72</v>
      </c>
      <c r="H5360">
        <v>251217</v>
      </c>
      <c r="I5360">
        <v>4532</v>
      </c>
      <c r="J5360" t="s">
        <v>296</v>
      </c>
      <c r="K5360">
        <v>249.72</v>
      </c>
      <c r="L5360">
        <v>50.74</v>
      </c>
      <c r="M5360">
        <v>56562</v>
      </c>
      <c r="N5360" t="s">
        <v>54</v>
      </c>
      <c r="O5360">
        <v>251230</v>
      </c>
      <c r="P5360">
        <v>198.98</v>
      </c>
    </row>
    <row r="5361" spans="1:16" x14ac:dyDescent="0.25">
      <c r="A5361" t="s">
        <v>3296</v>
      </c>
      <c r="B5361" t="s">
        <v>2931</v>
      </c>
      <c r="C5361">
        <v>17870</v>
      </c>
      <c r="D5361" t="str">
        <f>"6311947     "</f>
        <v xml:space="preserve">6311947     </v>
      </c>
      <c r="E5361" t="s">
        <v>295</v>
      </c>
      <c r="F5361" t="s">
        <v>297</v>
      </c>
      <c r="G5361">
        <v>386.55</v>
      </c>
      <c r="H5361">
        <v>251211</v>
      </c>
      <c r="I5361">
        <v>4532</v>
      </c>
      <c r="J5361" t="s">
        <v>296</v>
      </c>
      <c r="K5361">
        <v>386.55</v>
      </c>
      <c r="L5361">
        <v>78.540000000000006</v>
      </c>
      <c r="M5361">
        <v>56562</v>
      </c>
      <c r="N5361" t="s">
        <v>54</v>
      </c>
      <c r="O5361">
        <v>251231</v>
      </c>
      <c r="P5361">
        <v>308.01</v>
      </c>
    </row>
    <row r="5362" spans="1:16" x14ac:dyDescent="0.25">
      <c r="A5362" t="s">
        <v>3296</v>
      </c>
      <c r="B5362" t="s">
        <v>2931</v>
      </c>
      <c r="C5362">
        <v>18102</v>
      </c>
      <c r="D5362" t="str">
        <f>"6312857     "</f>
        <v xml:space="preserve">6312857     </v>
      </c>
      <c r="E5362" t="s">
        <v>295</v>
      </c>
      <c r="F5362" t="s">
        <v>297</v>
      </c>
      <c r="G5362">
        <v>212.25</v>
      </c>
      <c r="H5362">
        <v>251218</v>
      </c>
      <c r="I5362">
        <v>4532</v>
      </c>
      <c r="J5362" t="s">
        <v>296</v>
      </c>
      <c r="K5362">
        <v>212.25</v>
      </c>
      <c r="L5362">
        <v>43.13</v>
      </c>
      <c r="M5362">
        <v>46554</v>
      </c>
      <c r="N5362" t="s">
        <v>102</v>
      </c>
      <c r="O5362">
        <v>260109</v>
      </c>
      <c r="P5362">
        <v>169.12</v>
      </c>
    </row>
    <row r="5363" spans="1:16" x14ac:dyDescent="0.25">
      <c r="A5363" t="s">
        <v>3296</v>
      </c>
      <c r="B5363" t="s">
        <v>2931</v>
      </c>
      <c r="C5363">
        <v>10769</v>
      </c>
      <c r="D5363" t="str">
        <f>"6296551     "</f>
        <v xml:space="preserve">6296551     </v>
      </c>
      <c r="E5363" t="s">
        <v>295</v>
      </c>
      <c r="F5363" t="s">
        <v>297</v>
      </c>
      <c r="G5363">
        <v>2905.56</v>
      </c>
      <c r="H5363">
        <v>250818</v>
      </c>
      <c r="I5363">
        <v>4580</v>
      </c>
      <c r="J5363" t="s">
        <v>126</v>
      </c>
      <c r="K5363">
        <v>2905.56</v>
      </c>
      <c r="L5363">
        <v>590.37</v>
      </c>
      <c r="M5363">
        <v>56562</v>
      </c>
      <c r="N5363" t="s">
        <v>54</v>
      </c>
      <c r="O5363">
        <v>250822</v>
      </c>
      <c r="P5363">
        <v>2315.19</v>
      </c>
    </row>
    <row r="5364" spans="1:16" x14ac:dyDescent="0.25">
      <c r="A5364" t="s">
        <v>3296</v>
      </c>
      <c r="B5364" t="s">
        <v>2931</v>
      </c>
      <c r="C5364">
        <v>10889</v>
      </c>
      <c r="D5364" t="str">
        <f>"6297287     "</f>
        <v xml:space="preserve">6297287     </v>
      </c>
      <c r="E5364" t="s">
        <v>295</v>
      </c>
      <c r="F5364" t="s">
        <v>297</v>
      </c>
      <c r="G5364">
        <v>428.98</v>
      </c>
      <c r="H5364">
        <v>250822</v>
      </c>
      <c r="I5364">
        <v>4580</v>
      </c>
      <c r="J5364" t="s">
        <v>126</v>
      </c>
      <c r="K5364">
        <v>428.98</v>
      </c>
      <c r="L5364">
        <v>87.16</v>
      </c>
      <c r="M5364">
        <v>56562</v>
      </c>
      <c r="N5364" t="s">
        <v>54</v>
      </c>
      <c r="O5364">
        <v>250826</v>
      </c>
      <c r="P5364">
        <v>341.82</v>
      </c>
    </row>
    <row r="5365" spans="1:16" x14ac:dyDescent="0.25">
      <c r="A5365" t="s">
        <v>3296</v>
      </c>
      <c r="B5365" t="s">
        <v>2931</v>
      </c>
      <c r="C5365">
        <v>10920</v>
      </c>
      <c r="D5365" t="str">
        <f>"6297050     "</f>
        <v xml:space="preserve">6297050     </v>
      </c>
      <c r="E5365" t="s">
        <v>295</v>
      </c>
      <c r="F5365" t="s">
        <v>297</v>
      </c>
      <c r="G5365">
        <v>238.29</v>
      </c>
      <c r="H5365">
        <v>250821</v>
      </c>
      <c r="I5365">
        <v>4580</v>
      </c>
      <c r="J5365" t="s">
        <v>126</v>
      </c>
      <c r="K5365">
        <v>238.29</v>
      </c>
      <c r="L5365">
        <v>48.42</v>
      </c>
      <c r="M5365">
        <v>17537</v>
      </c>
      <c r="N5365" t="s">
        <v>151</v>
      </c>
      <c r="O5365">
        <v>250827</v>
      </c>
      <c r="P5365">
        <v>189.87</v>
      </c>
    </row>
    <row r="5366" spans="1:16" x14ac:dyDescent="0.25">
      <c r="A5366" t="s">
        <v>3296</v>
      </c>
      <c r="B5366" t="s">
        <v>2931</v>
      </c>
      <c r="C5366">
        <v>10721</v>
      </c>
      <c r="D5366" t="str">
        <f>"6296436     "</f>
        <v xml:space="preserve">6296436     </v>
      </c>
      <c r="E5366" t="s">
        <v>295</v>
      </c>
      <c r="F5366" t="s">
        <v>297</v>
      </c>
      <c r="G5366">
        <v>189.57</v>
      </c>
      <c r="H5366">
        <v>250815</v>
      </c>
      <c r="I5366">
        <v>4590</v>
      </c>
      <c r="J5366" t="s">
        <v>388</v>
      </c>
      <c r="K5366">
        <v>189.57</v>
      </c>
      <c r="L5366">
        <v>38.520000000000003</v>
      </c>
      <c r="M5366">
        <v>56561</v>
      </c>
      <c r="N5366" t="s">
        <v>53</v>
      </c>
      <c r="O5366">
        <v>250821</v>
      </c>
      <c r="P5366">
        <v>151.05000000000001</v>
      </c>
    </row>
    <row r="5367" spans="1:16" x14ac:dyDescent="0.25">
      <c r="A5367" t="s">
        <v>3296</v>
      </c>
      <c r="B5367" t="s">
        <v>2931</v>
      </c>
      <c r="C5367">
        <v>822</v>
      </c>
      <c r="D5367" t="str">
        <f>"6271760     "</f>
        <v xml:space="preserve">6271760     </v>
      </c>
      <c r="E5367" t="s">
        <v>295</v>
      </c>
      <c r="F5367" t="s">
        <v>297</v>
      </c>
      <c r="G5367">
        <v>56.68</v>
      </c>
      <c r="H5367">
        <v>250124</v>
      </c>
      <c r="I5367">
        <v>4600</v>
      </c>
      <c r="J5367" t="s">
        <v>278</v>
      </c>
      <c r="K5367">
        <v>56.68</v>
      </c>
      <c r="L5367">
        <v>11.52</v>
      </c>
      <c r="M5367">
        <v>46555</v>
      </c>
      <c r="N5367" t="s">
        <v>103</v>
      </c>
      <c r="O5367">
        <v>250129</v>
      </c>
      <c r="P5367">
        <v>45.16</v>
      </c>
    </row>
    <row r="5368" spans="1:16" x14ac:dyDescent="0.25">
      <c r="A5368" t="s">
        <v>3296</v>
      </c>
      <c r="B5368" t="s">
        <v>2931</v>
      </c>
      <c r="C5368">
        <v>10994</v>
      </c>
      <c r="D5368" t="str">
        <f>"6297598     "</f>
        <v xml:space="preserve">6297598     </v>
      </c>
      <c r="E5368" t="s">
        <v>295</v>
      </c>
      <c r="F5368" t="s">
        <v>297</v>
      </c>
      <c r="G5368">
        <v>355.66</v>
      </c>
      <c r="H5368">
        <v>250826</v>
      </c>
      <c r="I5368">
        <v>4600</v>
      </c>
      <c r="J5368" t="s">
        <v>278</v>
      </c>
      <c r="K5368">
        <v>355.66</v>
      </c>
      <c r="L5368">
        <v>72.27</v>
      </c>
      <c r="M5368">
        <v>54222</v>
      </c>
      <c r="N5368" t="s">
        <v>48</v>
      </c>
      <c r="O5368">
        <v>250828</v>
      </c>
      <c r="P5368">
        <v>283.39</v>
      </c>
    </row>
    <row r="5369" spans="1:16" x14ac:dyDescent="0.25">
      <c r="A5369" t="s">
        <v>3296</v>
      </c>
      <c r="B5369" t="s">
        <v>2931</v>
      </c>
      <c r="C5369">
        <v>11183</v>
      </c>
      <c r="D5369" t="str">
        <f>"6297083     "</f>
        <v xml:space="preserve">6297083     </v>
      </c>
      <c r="E5369" t="s">
        <v>295</v>
      </c>
      <c r="F5369" t="s">
        <v>297</v>
      </c>
      <c r="G5369">
        <v>6556.62</v>
      </c>
      <c r="H5369">
        <v>250821</v>
      </c>
      <c r="I5369">
        <v>4600</v>
      </c>
      <c r="J5369" t="s">
        <v>278</v>
      </c>
      <c r="K5369">
        <v>6556.62</v>
      </c>
      <c r="L5369">
        <v>1332.22</v>
      </c>
      <c r="M5369">
        <v>17809</v>
      </c>
      <c r="N5369" t="s">
        <v>25</v>
      </c>
      <c r="O5369">
        <v>250901</v>
      </c>
      <c r="P5369">
        <v>5224.3999999999996</v>
      </c>
    </row>
    <row r="5370" spans="1:16" x14ac:dyDescent="0.25">
      <c r="A5370" t="s">
        <v>3296</v>
      </c>
      <c r="B5370" t="s">
        <v>2931</v>
      </c>
      <c r="C5370">
        <v>12789</v>
      </c>
      <c r="D5370" t="str">
        <f>"6300430     "</f>
        <v xml:space="preserve">6300430     </v>
      </c>
      <c r="E5370" t="s">
        <v>295</v>
      </c>
      <c r="F5370" t="s">
        <v>297</v>
      </c>
      <c r="G5370">
        <v>118.36</v>
      </c>
      <c r="H5370">
        <v>250917</v>
      </c>
      <c r="I5370">
        <v>4600</v>
      </c>
      <c r="J5370" t="s">
        <v>278</v>
      </c>
      <c r="K5370">
        <v>118.36</v>
      </c>
      <c r="L5370">
        <v>24.05</v>
      </c>
      <c r="M5370">
        <v>55222</v>
      </c>
      <c r="N5370" t="s">
        <v>43</v>
      </c>
      <c r="O5370">
        <v>250930</v>
      </c>
      <c r="P5370">
        <v>94.31</v>
      </c>
    </row>
    <row r="5371" spans="1:16" x14ac:dyDescent="0.25">
      <c r="A5371" t="s">
        <v>3296</v>
      </c>
      <c r="B5371" t="s">
        <v>2931</v>
      </c>
      <c r="C5371">
        <v>14168</v>
      </c>
      <c r="D5371" t="str">
        <f>"6304687     "</f>
        <v xml:space="preserve">6304687     </v>
      </c>
      <c r="E5371" t="s">
        <v>295</v>
      </c>
      <c r="F5371" t="s">
        <v>297</v>
      </c>
      <c r="G5371">
        <v>256.89</v>
      </c>
      <c r="H5371">
        <v>251021</v>
      </c>
      <c r="I5371">
        <v>4600</v>
      </c>
      <c r="J5371" t="s">
        <v>278</v>
      </c>
      <c r="K5371">
        <v>256.89</v>
      </c>
      <c r="L5371">
        <v>52.2</v>
      </c>
      <c r="M5371">
        <v>51147</v>
      </c>
      <c r="N5371" t="s">
        <v>2363</v>
      </c>
      <c r="O5371">
        <v>251024</v>
      </c>
      <c r="P5371">
        <v>204.69</v>
      </c>
    </row>
    <row r="5372" spans="1:16" x14ac:dyDescent="0.25">
      <c r="A5372" t="s">
        <v>3296</v>
      </c>
      <c r="B5372" t="s">
        <v>2931</v>
      </c>
      <c r="C5372">
        <v>492</v>
      </c>
      <c r="D5372" t="str">
        <f>"7250245508  "</f>
        <v xml:space="preserve">7250245508  </v>
      </c>
      <c r="E5372" t="s">
        <v>552</v>
      </c>
      <c r="F5372" t="s">
        <v>554</v>
      </c>
      <c r="G5372">
        <v>77.709999999999994</v>
      </c>
      <c r="H5372">
        <v>250101</v>
      </c>
      <c r="I5372">
        <v>4572</v>
      </c>
      <c r="J5372" t="s">
        <v>173</v>
      </c>
      <c r="K5372">
        <v>77.709999999999994</v>
      </c>
      <c r="L5372">
        <v>15.79</v>
      </c>
      <c r="M5372">
        <v>56571</v>
      </c>
      <c r="N5372" t="s">
        <v>553</v>
      </c>
      <c r="O5372">
        <v>250123</v>
      </c>
      <c r="P5372">
        <v>61.92</v>
      </c>
    </row>
    <row r="5373" spans="1:16" x14ac:dyDescent="0.25">
      <c r="A5373" t="s">
        <v>3296</v>
      </c>
      <c r="B5373" t="s">
        <v>2931</v>
      </c>
      <c r="C5373">
        <v>493</v>
      </c>
      <c r="D5373" t="str">
        <f>"7250245498  "</f>
        <v xml:space="preserve">7250245498  </v>
      </c>
      <c r="E5373" t="s">
        <v>552</v>
      </c>
      <c r="F5373" t="s">
        <v>554</v>
      </c>
      <c r="G5373">
        <v>62.47</v>
      </c>
      <c r="H5373">
        <v>250101</v>
      </c>
      <c r="I5373">
        <v>4572</v>
      </c>
      <c r="J5373" t="s">
        <v>173</v>
      </c>
      <c r="K5373">
        <v>62.47</v>
      </c>
      <c r="L5373">
        <v>12.69</v>
      </c>
      <c r="M5373">
        <v>56571</v>
      </c>
      <c r="N5373" t="s">
        <v>553</v>
      </c>
      <c r="O5373">
        <v>250123</v>
      </c>
      <c r="P5373">
        <v>49.78</v>
      </c>
    </row>
    <row r="5374" spans="1:16" x14ac:dyDescent="0.25">
      <c r="A5374" t="s">
        <v>3296</v>
      </c>
      <c r="B5374" t="s">
        <v>2931</v>
      </c>
      <c r="C5374">
        <v>15419</v>
      </c>
      <c r="D5374" t="str">
        <f t="shared" ref="D5374:D5379" si="97">"23114201    "</f>
        <v xml:space="preserve">23114201    </v>
      </c>
      <c r="E5374" t="s">
        <v>2590</v>
      </c>
      <c r="F5374" t="s">
        <v>2591</v>
      </c>
      <c r="G5374">
        <v>100</v>
      </c>
      <c r="H5374">
        <v>251113</v>
      </c>
      <c r="I5374">
        <v>4400</v>
      </c>
      <c r="J5374" t="s">
        <v>162</v>
      </c>
      <c r="K5374">
        <v>297.14999999999998</v>
      </c>
      <c r="L5374">
        <v>0</v>
      </c>
      <c r="M5374">
        <v>17131</v>
      </c>
      <c r="N5374" t="s">
        <v>154</v>
      </c>
      <c r="O5374">
        <v>251120</v>
      </c>
      <c r="P5374">
        <v>100</v>
      </c>
    </row>
    <row r="5375" spans="1:16" x14ac:dyDescent="0.25">
      <c r="A5375" t="s">
        <v>3296</v>
      </c>
      <c r="B5375" t="s">
        <v>2931</v>
      </c>
      <c r="C5375">
        <v>15419</v>
      </c>
      <c r="D5375" t="str">
        <f t="shared" si="97"/>
        <v xml:space="preserve">23114201    </v>
      </c>
      <c r="E5375" t="s">
        <v>2590</v>
      </c>
      <c r="F5375" t="s">
        <v>2591</v>
      </c>
      <c r="G5375">
        <v>-190.48</v>
      </c>
      <c r="H5375">
        <v>251113</v>
      </c>
      <c r="I5375">
        <v>4400</v>
      </c>
      <c r="J5375" t="s">
        <v>162</v>
      </c>
      <c r="K5375">
        <v>297.14999999999998</v>
      </c>
      <c r="L5375">
        <v>0</v>
      </c>
      <c r="M5375">
        <v>17131</v>
      </c>
      <c r="N5375" t="s">
        <v>154</v>
      </c>
      <c r="O5375">
        <v>251120</v>
      </c>
      <c r="P5375">
        <v>-190.48</v>
      </c>
    </row>
    <row r="5376" spans="1:16" x14ac:dyDescent="0.25">
      <c r="A5376" t="s">
        <v>3296</v>
      </c>
      <c r="B5376" t="s">
        <v>2931</v>
      </c>
      <c r="C5376">
        <v>15419</v>
      </c>
      <c r="D5376" t="str">
        <f t="shared" si="97"/>
        <v xml:space="preserve">23114201    </v>
      </c>
      <c r="E5376" t="s">
        <v>2590</v>
      </c>
      <c r="F5376" t="s">
        <v>2591</v>
      </c>
      <c r="G5376">
        <v>239.06</v>
      </c>
      <c r="H5376">
        <v>251113</v>
      </c>
      <c r="I5376">
        <v>4400</v>
      </c>
      <c r="J5376" t="s">
        <v>162</v>
      </c>
      <c r="K5376">
        <v>297.14999999999998</v>
      </c>
      <c r="L5376">
        <v>48.57</v>
      </c>
      <c r="M5376">
        <v>17131</v>
      </c>
      <c r="N5376" t="s">
        <v>154</v>
      </c>
      <c r="O5376">
        <v>251120</v>
      </c>
      <c r="P5376">
        <v>190.49</v>
      </c>
    </row>
    <row r="5377" spans="1:16" x14ac:dyDescent="0.25">
      <c r="A5377" t="s">
        <v>3296</v>
      </c>
      <c r="B5377" t="s">
        <v>2931</v>
      </c>
      <c r="C5377">
        <v>15419</v>
      </c>
      <c r="D5377" t="str">
        <f t="shared" si="97"/>
        <v xml:space="preserve">23114201    </v>
      </c>
      <c r="E5377" t="s">
        <v>2590</v>
      </c>
      <c r="F5377" t="s">
        <v>2591</v>
      </c>
      <c r="G5377">
        <v>100</v>
      </c>
      <c r="H5377">
        <v>251113</v>
      </c>
      <c r="I5377">
        <v>4400</v>
      </c>
      <c r="J5377" t="s">
        <v>162</v>
      </c>
      <c r="K5377">
        <v>297.14999999999998</v>
      </c>
      <c r="L5377">
        <v>0</v>
      </c>
      <c r="M5377">
        <v>17711</v>
      </c>
      <c r="N5377" t="s">
        <v>155</v>
      </c>
      <c r="O5377">
        <v>251120</v>
      </c>
      <c r="P5377">
        <v>100</v>
      </c>
    </row>
    <row r="5378" spans="1:16" x14ac:dyDescent="0.25">
      <c r="A5378" t="s">
        <v>3296</v>
      </c>
      <c r="B5378" t="s">
        <v>2931</v>
      </c>
      <c r="C5378">
        <v>15419</v>
      </c>
      <c r="D5378" t="str">
        <f t="shared" si="97"/>
        <v xml:space="preserve">23114201    </v>
      </c>
      <c r="E5378" t="s">
        <v>2590</v>
      </c>
      <c r="F5378" t="s">
        <v>2591</v>
      </c>
      <c r="G5378">
        <v>-190.49</v>
      </c>
      <c r="H5378">
        <v>251113</v>
      </c>
      <c r="I5378">
        <v>4400</v>
      </c>
      <c r="J5378" t="s">
        <v>162</v>
      </c>
      <c r="K5378">
        <v>297.14999999999998</v>
      </c>
      <c r="L5378">
        <v>0</v>
      </c>
      <c r="M5378">
        <v>17711</v>
      </c>
      <c r="N5378" t="s">
        <v>155</v>
      </c>
      <c r="O5378">
        <v>251120</v>
      </c>
      <c r="P5378">
        <v>-190.49</v>
      </c>
    </row>
    <row r="5379" spans="1:16" x14ac:dyDescent="0.25">
      <c r="A5379" t="s">
        <v>3296</v>
      </c>
      <c r="B5379" t="s">
        <v>2931</v>
      </c>
      <c r="C5379">
        <v>15419</v>
      </c>
      <c r="D5379" t="str">
        <f t="shared" si="97"/>
        <v xml:space="preserve">23114201    </v>
      </c>
      <c r="E5379" t="s">
        <v>2590</v>
      </c>
      <c r="F5379" t="s">
        <v>2591</v>
      </c>
      <c r="G5379">
        <v>239.06</v>
      </c>
      <c r="H5379">
        <v>251113</v>
      </c>
      <c r="I5379">
        <v>4400</v>
      </c>
      <c r="J5379" t="s">
        <v>162</v>
      </c>
      <c r="K5379">
        <v>297.14999999999998</v>
      </c>
      <c r="L5379">
        <v>48.57</v>
      </c>
      <c r="M5379">
        <v>17711</v>
      </c>
      <c r="N5379" t="s">
        <v>155</v>
      </c>
      <c r="O5379">
        <v>251120</v>
      </c>
      <c r="P5379">
        <v>190.49</v>
      </c>
    </row>
    <row r="5380" spans="1:16" x14ac:dyDescent="0.25">
      <c r="A5380" t="s">
        <v>3296</v>
      </c>
      <c r="B5380" t="s">
        <v>2931</v>
      </c>
      <c r="C5380">
        <v>17311</v>
      </c>
      <c r="D5380" t="str">
        <f>"295389      "</f>
        <v xml:space="preserve">295389      </v>
      </c>
      <c r="E5380" t="s">
        <v>1649</v>
      </c>
      <c r="F5380" t="s">
        <v>1650</v>
      </c>
      <c r="G5380">
        <v>254.15</v>
      </c>
      <c r="H5380">
        <v>251201</v>
      </c>
      <c r="I5380">
        <v>4580</v>
      </c>
      <c r="J5380" t="s">
        <v>126</v>
      </c>
      <c r="K5380">
        <v>254.15</v>
      </c>
      <c r="L5380">
        <v>51.64</v>
      </c>
      <c r="M5380">
        <v>17521</v>
      </c>
      <c r="N5380" t="s">
        <v>136</v>
      </c>
      <c r="O5380">
        <v>251219</v>
      </c>
      <c r="P5380">
        <v>202.51</v>
      </c>
    </row>
    <row r="5381" spans="1:16" x14ac:dyDescent="0.25">
      <c r="A5381" t="s">
        <v>3296</v>
      </c>
      <c r="B5381" t="s">
        <v>2931</v>
      </c>
      <c r="C5381">
        <v>18221</v>
      </c>
      <c r="D5381" t="str">
        <f>"297191      "</f>
        <v xml:space="preserve">297191      </v>
      </c>
      <c r="E5381" t="s">
        <v>1649</v>
      </c>
      <c r="F5381" t="s">
        <v>1650</v>
      </c>
      <c r="G5381">
        <v>241.6</v>
      </c>
      <c r="H5381">
        <v>251231</v>
      </c>
      <c r="I5381">
        <v>4580</v>
      </c>
      <c r="J5381" t="s">
        <v>126</v>
      </c>
      <c r="K5381">
        <v>241.6</v>
      </c>
      <c r="L5381">
        <v>49.09</v>
      </c>
      <c r="M5381">
        <v>17521</v>
      </c>
      <c r="N5381" t="s">
        <v>136</v>
      </c>
      <c r="O5381">
        <v>260112</v>
      </c>
      <c r="P5381">
        <v>192.51</v>
      </c>
    </row>
    <row r="5382" spans="1:16" x14ac:dyDescent="0.25">
      <c r="A5382" t="s">
        <v>3296</v>
      </c>
      <c r="B5382" t="s">
        <v>2931</v>
      </c>
      <c r="C5382">
        <v>4723</v>
      </c>
      <c r="D5382" t="str">
        <f>"271736      "</f>
        <v xml:space="preserve">271736      </v>
      </c>
      <c r="E5382" t="s">
        <v>1649</v>
      </c>
      <c r="F5382" t="s">
        <v>1650</v>
      </c>
      <c r="G5382">
        <v>2227.9499999999998</v>
      </c>
      <c r="H5382">
        <v>250403</v>
      </c>
      <c r="I5382">
        <v>4600</v>
      </c>
      <c r="J5382" t="s">
        <v>278</v>
      </c>
      <c r="K5382">
        <v>2227.9499999999998</v>
      </c>
      <c r="L5382">
        <v>452.69</v>
      </c>
      <c r="M5382">
        <v>46554</v>
      </c>
      <c r="N5382" t="s">
        <v>102</v>
      </c>
      <c r="O5382">
        <v>250415</v>
      </c>
      <c r="P5382">
        <v>1775.26</v>
      </c>
    </row>
    <row r="5383" spans="1:16" x14ac:dyDescent="0.25">
      <c r="A5383" t="s">
        <v>3296</v>
      </c>
      <c r="B5383" t="s">
        <v>2931</v>
      </c>
      <c r="C5383">
        <v>4734</v>
      </c>
      <c r="D5383" t="str">
        <f>"271737      "</f>
        <v xml:space="preserve">271737      </v>
      </c>
      <c r="E5383" t="s">
        <v>1649</v>
      </c>
      <c r="F5383" t="s">
        <v>1650</v>
      </c>
      <c r="G5383">
        <v>379</v>
      </c>
      <c r="H5383">
        <v>250403</v>
      </c>
      <c r="I5383">
        <v>4600</v>
      </c>
      <c r="J5383" t="s">
        <v>278</v>
      </c>
      <c r="K5383">
        <v>379</v>
      </c>
      <c r="L5383">
        <v>77.010000000000005</v>
      </c>
      <c r="M5383">
        <v>46554</v>
      </c>
      <c r="N5383" t="s">
        <v>102</v>
      </c>
      <c r="O5383">
        <v>250415</v>
      </c>
      <c r="P5383">
        <v>301.99</v>
      </c>
    </row>
    <row r="5384" spans="1:16" x14ac:dyDescent="0.25">
      <c r="A5384" t="s">
        <v>3296</v>
      </c>
      <c r="B5384" t="s">
        <v>2931</v>
      </c>
      <c r="C5384">
        <v>1720</v>
      </c>
      <c r="D5384" t="str">
        <f>"410000611   "</f>
        <v xml:space="preserve">410000611   </v>
      </c>
      <c r="E5384" t="s">
        <v>770</v>
      </c>
      <c r="F5384" t="s">
        <v>771</v>
      </c>
      <c r="G5384">
        <v>380.89</v>
      </c>
      <c r="H5384">
        <v>250131</v>
      </c>
      <c r="I5384">
        <v>4346</v>
      </c>
      <c r="J5384" t="s">
        <v>334</v>
      </c>
      <c r="K5384">
        <v>380.89</v>
      </c>
      <c r="L5384">
        <v>77.39</v>
      </c>
      <c r="M5384">
        <v>11801</v>
      </c>
      <c r="N5384" t="s">
        <v>40</v>
      </c>
      <c r="O5384">
        <v>250213</v>
      </c>
      <c r="P5384">
        <v>303.5</v>
      </c>
    </row>
    <row r="5385" spans="1:16" x14ac:dyDescent="0.25">
      <c r="A5385" t="s">
        <v>3296</v>
      </c>
      <c r="B5385" t="s">
        <v>2931</v>
      </c>
      <c r="C5385">
        <v>18529</v>
      </c>
      <c r="D5385" t="str">
        <f>"410006958   "</f>
        <v xml:space="preserve">410006958   </v>
      </c>
      <c r="E5385" t="s">
        <v>770</v>
      </c>
      <c r="F5385" t="s">
        <v>771</v>
      </c>
      <c r="G5385">
        <v>241.46</v>
      </c>
      <c r="H5385">
        <v>251231</v>
      </c>
      <c r="I5385">
        <v>4346</v>
      </c>
      <c r="J5385" t="s">
        <v>334</v>
      </c>
      <c r="K5385">
        <v>241.46</v>
      </c>
      <c r="L5385">
        <v>49.06</v>
      </c>
      <c r="M5385">
        <v>11801</v>
      </c>
      <c r="N5385" t="s">
        <v>40</v>
      </c>
      <c r="O5385">
        <v>260115</v>
      </c>
      <c r="P5385">
        <v>192.4</v>
      </c>
    </row>
    <row r="5386" spans="1:16" x14ac:dyDescent="0.25">
      <c r="A5386" t="s">
        <v>3296</v>
      </c>
      <c r="B5386" t="s">
        <v>2931</v>
      </c>
      <c r="C5386">
        <v>4589</v>
      </c>
      <c r="D5386" t="str">
        <f>"410001569   "</f>
        <v xml:space="preserve">410001569   </v>
      </c>
      <c r="E5386" t="s">
        <v>770</v>
      </c>
      <c r="F5386" t="s">
        <v>771</v>
      </c>
      <c r="G5386">
        <v>1370.11</v>
      </c>
      <c r="H5386">
        <v>250401</v>
      </c>
      <c r="I5386">
        <v>4366</v>
      </c>
      <c r="J5386" t="s">
        <v>65</v>
      </c>
      <c r="K5386">
        <v>2042.83</v>
      </c>
      <c r="L5386">
        <v>278.39</v>
      </c>
      <c r="M5386">
        <v>11801</v>
      </c>
      <c r="N5386" t="s">
        <v>40</v>
      </c>
      <c r="O5386">
        <v>250414</v>
      </c>
      <c r="P5386">
        <v>1091.72</v>
      </c>
    </row>
    <row r="5387" spans="1:16" x14ac:dyDescent="0.25">
      <c r="A5387" t="s">
        <v>3296</v>
      </c>
      <c r="B5387" t="s">
        <v>2931</v>
      </c>
      <c r="C5387">
        <v>6238</v>
      </c>
      <c r="D5387" t="str">
        <f>"410002179   "</f>
        <v xml:space="preserve">410002179   </v>
      </c>
      <c r="E5387" t="s">
        <v>770</v>
      </c>
      <c r="F5387" t="s">
        <v>771</v>
      </c>
      <c r="G5387">
        <v>1369.72</v>
      </c>
      <c r="H5387">
        <v>250501</v>
      </c>
      <c r="I5387">
        <v>4366</v>
      </c>
      <c r="J5387" t="s">
        <v>65</v>
      </c>
      <c r="K5387">
        <v>2042.83</v>
      </c>
      <c r="L5387">
        <v>278.31</v>
      </c>
      <c r="M5387">
        <v>11801</v>
      </c>
      <c r="N5387" t="s">
        <v>40</v>
      </c>
      <c r="O5387">
        <v>250512</v>
      </c>
      <c r="P5387">
        <v>1091.4100000000001</v>
      </c>
    </row>
    <row r="5388" spans="1:16" x14ac:dyDescent="0.25">
      <c r="A5388" t="s">
        <v>3296</v>
      </c>
      <c r="B5388" t="s">
        <v>2931</v>
      </c>
      <c r="C5388">
        <v>8038</v>
      </c>
      <c r="D5388" t="str">
        <f>"410002827   "</f>
        <v xml:space="preserve">410002827   </v>
      </c>
      <c r="E5388" t="s">
        <v>770</v>
      </c>
      <c r="F5388" t="s">
        <v>771</v>
      </c>
      <c r="G5388">
        <v>1367.41</v>
      </c>
      <c r="H5388">
        <v>250601</v>
      </c>
      <c r="I5388">
        <v>4366</v>
      </c>
      <c r="J5388" t="s">
        <v>65</v>
      </c>
      <c r="K5388">
        <v>2042.83</v>
      </c>
      <c r="L5388">
        <v>277.83999999999997</v>
      </c>
      <c r="M5388">
        <v>11801</v>
      </c>
      <c r="N5388" t="s">
        <v>40</v>
      </c>
      <c r="O5388">
        <v>250611</v>
      </c>
      <c r="P5388">
        <v>1089.57</v>
      </c>
    </row>
    <row r="5389" spans="1:16" x14ac:dyDescent="0.25">
      <c r="A5389" t="s">
        <v>3296</v>
      </c>
      <c r="B5389" t="s">
        <v>2931</v>
      </c>
      <c r="C5389">
        <v>9592</v>
      </c>
      <c r="D5389" t="str">
        <f>"410003282   "</f>
        <v xml:space="preserve">410003282   </v>
      </c>
      <c r="E5389" t="s">
        <v>770</v>
      </c>
      <c r="F5389" t="s">
        <v>771</v>
      </c>
      <c r="G5389">
        <v>1002.42</v>
      </c>
      <c r="H5389">
        <v>250701</v>
      </c>
      <c r="I5389">
        <v>4366</v>
      </c>
      <c r="J5389" t="s">
        <v>65</v>
      </c>
      <c r="K5389">
        <v>3045.25</v>
      </c>
      <c r="L5389">
        <v>203.68</v>
      </c>
      <c r="M5389">
        <v>11801</v>
      </c>
      <c r="N5389" t="s">
        <v>40</v>
      </c>
      <c r="O5389">
        <v>250721</v>
      </c>
      <c r="P5389">
        <v>798.74</v>
      </c>
    </row>
    <row r="5390" spans="1:16" x14ac:dyDescent="0.25">
      <c r="A5390" t="s">
        <v>3296</v>
      </c>
      <c r="B5390" t="s">
        <v>2931</v>
      </c>
      <c r="C5390">
        <v>9592</v>
      </c>
      <c r="D5390" t="str">
        <f>"410003282   "</f>
        <v xml:space="preserve">410003282   </v>
      </c>
      <c r="E5390" t="s">
        <v>770</v>
      </c>
      <c r="F5390" t="s">
        <v>771</v>
      </c>
      <c r="G5390">
        <v>1367.41</v>
      </c>
      <c r="H5390">
        <v>250701</v>
      </c>
      <c r="I5390">
        <v>4366</v>
      </c>
      <c r="J5390" t="s">
        <v>65</v>
      </c>
      <c r="K5390">
        <v>3045.25</v>
      </c>
      <c r="L5390">
        <v>277.83999999999997</v>
      </c>
      <c r="M5390">
        <v>11801</v>
      </c>
      <c r="N5390" t="s">
        <v>40</v>
      </c>
      <c r="O5390">
        <v>250721</v>
      </c>
      <c r="P5390">
        <v>1089.57</v>
      </c>
    </row>
    <row r="5391" spans="1:16" x14ac:dyDescent="0.25">
      <c r="A5391" t="s">
        <v>3296</v>
      </c>
      <c r="B5391" t="s">
        <v>2931</v>
      </c>
      <c r="C5391">
        <v>10064</v>
      </c>
      <c r="D5391" t="str">
        <f>"410003815   "</f>
        <v xml:space="preserve">410003815   </v>
      </c>
      <c r="E5391" t="s">
        <v>770</v>
      </c>
      <c r="F5391" t="s">
        <v>771</v>
      </c>
      <c r="G5391">
        <v>1367.47</v>
      </c>
      <c r="H5391">
        <v>250801</v>
      </c>
      <c r="I5391">
        <v>4366</v>
      </c>
      <c r="J5391" t="s">
        <v>65</v>
      </c>
      <c r="K5391">
        <v>2042.83</v>
      </c>
      <c r="L5391">
        <v>277.85000000000002</v>
      </c>
      <c r="M5391">
        <v>11801</v>
      </c>
      <c r="N5391" t="s">
        <v>40</v>
      </c>
      <c r="O5391">
        <v>250811</v>
      </c>
      <c r="P5391">
        <v>1089.6199999999999</v>
      </c>
    </row>
    <row r="5392" spans="1:16" x14ac:dyDescent="0.25">
      <c r="A5392" t="s">
        <v>3296</v>
      </c>
      <c r="B5392" t="s">
        <v>2931</v>
      </c>
      <c r="C5392">
        <v>11576</v>
      </c>
      <c r="D5392" t="str">
        <f>"410004294   "</f>
        <v xml:space="preserve">410004294   </v>
      </c>
      <c r="E5392" t="s">
        <v>770</v>
      </c>
      <c r="F5392" t="s">
        <v>771</v>
      </c>
      <c r="G5392">
        <v>1367.47</v>
      </c>
      <c r="H5392">
        <v>250901</v>
      </c>
      <c r="I5392">
        <v>4366</v>
      </c>
      <c r="J5392" t="s">
        <v>65</v>
      </c>
      <c r="K5392">
        <v>2042.83</v>
      </c>
      <c r="L5392">
        <v>277.85000000000002</v>
      </c>
      <c r="M5392">
        <v>11801</v>
      </c>
      <c r="N5392" t="s">
        <v>40</v>
      </c>
      <c r="O5392">
        <v>250909</v>
      </c>
      <c r="P5392">
        <v>1089.6199999999999</v>
      </c>
    </row>
    <row r="5393" spans="1:16" x14ac:dyDescent="0.25">
      <c r="A5393" t="s">
        <v>3296</v>
      </c>
      <c r="B5393" t="s">
        <v>2931</v>
      </c>
      <c r="C5393">
        <v>13359</v>
      </c>
      <c r="D5393" t="str">
        <f>"410004915   "</f>
        <v xml:space="preserve">410004915   </v>
      </c>
      <c r="E5393" t="s">
        <v>770</v>
      </c>
      <c r="F5393" t="s">
        <v>771</v>
      </c>
      <c r="G5393">
        <v>1367.47</v>
      </c>
      <c r="H5393">
        <v>251001</v>
      </c>
      <c r="I5393">
        <v>4366</v>
      </c>
      <c r="J5393" t="s">
        <v>65</v>
      </c>
      <c r="K5393">
        <v>2042.83</v>
      </c>
      <c r="L5393">
        <v>277.85000000000002</v>
      </c>
      <c r="M5393">
        <v>11801</v>
      </c>
      <c r="N5393" t="s">
        <v>40</v>
      </c>
      <c r="O5393">
        <v>251008</v>
      </c>
      <c r="P5393">
        <v>1089.6199999999999</v>
      </c>
    </row>
    <row r="5394" spans="1:16" x14ac:dyDescent="0.25">
      <c r="A5394" t="s">
        <v>3296</v>
      </c>
      <c r="B5394" t="s">
        <v>2931</v>
      </c>
      <c r="C5394">
        <v>14986</v>
      </c>
      <c r="D5394" t="str">
        <f>"410005240   "</f>
        <v xml:space="preserve">410005240   </v>
      </c>
      <c r="E5394" t="s">
        <v>770</v>
      </c>
      <c r="F5394" t="s">
        <v>771</v>
      </c>
      <c r="G5394">
        <v>1367.47</v>
      </c>
      <c r="H5394">
        <v>251101</v>
      </c>
      <c r="I5394">
        <v>4366</v>
      </c>
      <c r="J5394" t="s">
        <v>65</v>
      </c>
      <c r="K5394">
        <v>2042.83</v>
      </c>
      <c r="L5394">
        <v>277.85000000000002</v>
      </c>
      <c r="M5394">
        <v>11801</v>
      </c>
      <c r="N5394" t="s">
        <v>40</v>
      </c>
      <c r="O5394">
        <v>251110</v>
      </c>
      <c r="P5394">
        <v>1089.6199999999999</v>
      </c>
    </row>
    <row r="5395" spans="1:16" x14ac:dyDescent="0.25">
      <c r="A5395" t="s">
        <v>3296</v>
      </c>
      <c r="B5395" t="s">
        <v>2931</v>
      </c>
      <c r="C5395">
        <v>16425</v>
      </c>
      <c r="D5395" t="str">
        <f>"410006022   "</f>
        <v xml:space="preserve">410006022   </v>
      </c>
      <c r="E5395" t="s">
        <v>770</v>
      </c>
      <c r="F5395" t="s">
        <v>771</v>
      </c>
      <c r="G5395">
        <v>1367.47</v>
      </c>
      <c r="H5395">
        <v>251201</v>
      </c>
      <c r="I5395">
        <v>4366</v>
      </c>
      <c r="J5395" t="s">
        <v>65</v>
      </c>
      <c r="K5395">
        <v>2042.83</v>
      </c>
      <c r="L5395">
        <v>277.85000000000002</v>
      </c>
      <c r="M5395">
        <v>11801</v>
      </c>
      <c r="N5395" t="s">
        <v>40</v>
      </c>
      <c r="O5395">
        <v>251208</v>
      </c>
      <c r="P5395">
        <v>1089.6199999999999</v>
      </c>
    </row>
    <row r="5396" spans="1:16" x14ac:dyDescent="0.25">
      <c r="A5396" t="s">
        <v>3296</v>
      </c>
      <c r="B5396" t="s">
        <v>2931</v>
      </c>
      <c r="C5396">
        <v>905</v>
      </c>
      <c r="D5396" t="str">
        <f>"410000216   "</f>
        <v xml:space="preserve">410000216   </v>
      </c>
      <c r="E5396" t="s">
        <v>770</v>
      </c>
      <c r="F5396" t="s">
        <v>771</v>
      </c>
      <c r="G5396">
        <v>3196.78</v>
      </c>
      <c r="H5396">
        <v>250120</v>
      </c>
      <c r="I5396">
        <v>4367</v>
      </c>
      <c r="J5396" t="s">
        <v>159</v>
      </c>
      <c r="K5396">
        <v>12787.12</v>
      </c>
      <c r="L5396">
        <v>649.54</v>
      </c>
      <c r="M5396">
        <v>11801</v>
      </c>
      <c r="N5396" t="s">
        <v>40</v>
      </c>
      <c r="O5396">
        <v>250131</v>
      </c>
      <c r="P5396">
        <v>2547.2399999999998</v>
      </c>
    </row>
    <row r="5397" spans="1:16" x14ac:dyDescent="0.25">
      <c r="A5397" t="s">
        <v>3296</v>
      </c>
      <c r="B5397" t="s">
        <v>2931</v>
      </c>
      <c r="C5397">
        <v>1721</v>
      </c>
      <c r="D5397" t="str">
        <f>"410000610   "</f>
        <v xml:space="preserve">410000610   </v>
      </c>
      <c r="E5397" t="s">
        <v>770</v>
      </c>
      <c r="F5397" t="s">
        <v>771</v>
      </c>
      <c r="G5397">
        <v>2042.83</v>
      </c>
      <c r="H5397">
        <v>250201</v>
      </c>
      <c r="I5397">
        <v>4367</v>
      </c>
      <c r="J5397" t="s">
        <v>159</v>
      </c>
      <c r="K5397">
        <v>2042.83</v>
      </c>
      <c r="L5397">
        <v>415.08</v>
      </c>
      <c r="M5397">
        <v>11801</v>
      </c>
      <c r="N5397" t="s">
        <v>40</v>
      </c>
      <c r="O5397">
        <v>250213</v>
      </c>
      <c r="P5397">
        <v>1627.75</v>
      </c>
    </row>
    <row r="5398" spans="1:16" x14ac:dyDescent="0.25">
      <c r="A5398" t="s">
        <v>3296</v>
      </c>
      <c r="B5398" t="s">
        <v>2931</v>
      </c>
      <c r="C5398">
        <v>2909</v>
      </c>
      <c r="D5398" t="str">
        <f>"410001080   "</f>
        <v xml:space="preserve">410001080   </v>
      </c>
      <c r="E5398" t="s">
        <v>770</v>
      </c>
      <c r="F5398" t="s">
        <v>771</v>
      </c>
      <c r="G5398">
        <v>2042.83</v>
      </c>
      <c r="H5398">
        <v>250301</v>
      </c>
      <c r="I5398">
        <v>4367</v>
      </c>
      <c r="J5398" t="s">
        <v>159</v>
      </c>
      <c r="K5398">
        <v>2042.83</v>
      </c>
      <c r="L5398">
        <v>415.08</v>
      </c>
      <c r="M5398">
        <v>11801</v>
      </c>
      <c r="N5398" t="s">
        <v>40</v>
      </c>
      <c r="O5398">
        <v>250313</v>
      </c>
      <c r="P5398">
        <v>1627.75</v>
      </c>
    </row>
    <row r="5399" spans="1:16" x14ac:dyDescent="0.25">
      <c r="A5399" t="s">
        <v>3296</v>
      </c>
      <c r="B5399" t="s">
        <v>2931</v>
      </c>
      <c r="C5399">
        <v>4589</v>
      </c>
      <c r="D5399" t="str">
        <f>"410001569   "</f>
        <v xml:space="preserve">410001569   </v>
      </c>
      <c r="E5399" t="s">
        <v>770</v>
      </c>
      <c r="F5399" t="s">
        <v>771</v>
      </c>
      <c r="G5399">
        <v>672.72</v>
      </c>
      <c r="H5399">
        <v>250401</v>
      </c>
      <c r="I5399">
        <v>4367</v>
      </c>
      <c r="J5399" t="s">
        <v>159</v>
      </c>
      <c r="K5399">
        <v>2042.83</v>
      </c>
      <c r="L5399">
        <v>136.69</v>
      </c>
      <c r="M5399">
        <v>11801</v>
      </c>
      <c r="N5399" t="s">
        <v>40</v>
      </c>
      <c r="O5399">
        <v>250414</v>
      </c>
      <c r="P5399">
        <v>536.03</v>
      </c>
    </row>
    <row r="5400" spans="1:16" x14ac:dyDescent="0.25">
      <c r="A5400" t="s">
        <v>3296</v>
      </c>
      <c r="B5400" t="s">
        <v>2931</v>
      </c>
      <c r="C5400">
        <v>6238</v>
      </c>
      <c r="D5400" t="str">
        <f>"410002179   "</f>
        <v xml:space="preserve">410002179   </v>
      </c>
      <c r="E5400" t="s">
        <v>770</v>
      </c>
      <c r="F5400" t="s">
        <v>771</v>
      </c>
      <c r="G5400">
        <v>673.11</v>
      </c>
      <c r="H5400">
        <v>250501</v>
      </c>
      <c r="I5400">
        <v>4367</v>
      </c>
      <c r="J5400" t="s">
        <v>159</v>
      </c>
      <c r="K5400">
        <v>2042.83</v>
      </c>
      <c r="L5400">
        <v>136.77000000000001</v>
      </c>
      <c r="M5400">
        <v>11801</v>
      </c>
      <c r="N5400" t="s">
        <v>40</v>
      </c>
      <c r="O5400">
        <v>250512</v>
      </c>
      <c r="P5400">
        <v>536.34</v>
      </c>
    </row>
    <row r="5401" spans="1:16" x14ac:dyDescent="0.25">
      <c r="A5401" t="s">
        <v>3296</v>
      </c>
      <c r="B5401" t="s">
        <v>2931</v>
      </c>
      <c r="C5401">
        <v>8038</v>
      </c>
      <c r="D5401" t="str">
        <f>"410002827   "</f>
        <v xml:space="preserve">410002827   </v>
      </c>
      <c r="E5401" t="s">
        <v>770</v>
      </c>
      <c r="F5401" t="s">
        <v>771</v>
      </c>
      <c r="G5401">
        <v>675.42</v>
      </c>
      <c r="H5401">
        <v>250601</v>
      </c>
      <c r="I5401">
        <v>4367</v>
      </c>
      <c r="J5401" t="s">
        <v>159</v>
      </c>
      <c r="K5401">
        <v>2042.83</v>
      </c>
      <c r="L5401">
        <v>137.24</v>
      </c>
      <c r="M5401">
        <v>11801</v>
      </c>
      <c r="N5401" t="s">
        <v>40</v>
      </c>
      <c r="O5401">
        <v>250611</v>
      </c>
      <c r="P5401">
        <v>538.17999999999995</v>
      </c>
    </row>
    <row r="5402" spans="1:16" x14ac:dyDescent="0.25">
      <c r="A5402" t="s">
        <v>3296</v>
      </c>
      <c r="B5402" t="s">
        <v>2931</v>
      </c>
      <c r="C5402">
        <v>9592</v>
      </c>
      <c r="D5402" t="str">
        <f>"410003282   "</f>
        <v xml:space="preserve">410003282   </v>
      </c>
      <c r="E5402" t="s">
        <v>770</v>
      </c>
      <c r="F5402" t="s">
        <v>771</v>
      </c>
      <c r="G5402">
        <v>675.42</v>
      </c>
      <c r="H5402">
        <v>250701</v>
      </c>
      <c r="I5402">
        <v>4367</v>
      </c>
      <c r="J5402" t="s">
        <v>159</v>
      </c>
      <c r="K5402">
        <v>3045.25</v>
      </c>
      <c r="L5402">
        <v>137.24</v>
      </c>
      <c r="M5402">
        <v>11801</v>
      </c>
      <c r="N5402" t="s">
        <v>40</v>
      </c>
      <c r="O5402">
        <v>250721</v>
      </c>
      <c r="P5402">
        <v>538.17999999999995</v>
      </c>
    </row>
    <row r="5403" spans="1:16" x14ac:dyDescent="0.25">
      <c r="A5403" t="s">
        <v>3296</v>
      </c>
      <c r="B5403" t="s">
        <v>2931</v>
      </c>
      <c r="C5403">
        <v>10064</v>
      </c>
      <c r="D5403" t="str">
        <f>"410003815   "</f>
        <v xml:space="preserve">410003815   </v>
      </c>
      <c r="E5403" t="s">
        <v>770</v>
      </c>
      <c r="F5403" t="s">
        <v>771</v>
      </c>
      <c r="G5403">
        <v>675.36</v>
      </c>
      <c r="H5403">
        <v>250801</v>
      </c>
      <c r="I5403">
        <v>4367</v>
      </c>
      <c r="J5403" t="s">
        <v>159</v>
      </c>
      <c r="K5403">
        <v>2042.83</v>
      </c>
      <c r="L5403">
        <v>137.22</v>
      </c>
      <c r="M5403">
        <v>11801</v>
      </c>
      <c r="N5403" t="s">
        <v>40</v>
      </c>
      <c r="O5403">
        <v>250811</v>
      </c>
      <c r="P5403">
        <v>538.14</v>
      </c>
    </row>
    <row r="5404" spans="1:16" x14ac:dyDescent="0.25">
      <c r="A5404" t="s">
        <v>3296</v>
      </c>
      <c r="B5404" t="s">
        <v>2931</v>
      </c>
      <c r="C5404">
        <v>11576</v>
      </c>
      <c r="D5404" t="str">
        <f>"410004294   "</f>
        <v xml:space="preserve">410004294   </v>
      </c>
      <c r="E5404" t="s">
        <v>770</v>
      </c>
      <c r="F5404" t="s">
        <v>771</v>
      </c>
      <c r="G5404">
        <v>675.36</v>
      </c>
      <c r="H5404">
        <v>250901</v>
      </c>
      <c r="I5404">
        <v>4367</v>
      </c>
      <c r="J5404" t="s">
        <v>159</v>
      </c>
      <c r="K5404">
        <v>2042.83</v>
      </c>
      <c r="L5404">
        <v>137.22</v>
      </c>
      <c r="M5404">
        <v>11801</v>
      </c>
      <c r="N5404" t="s">
        <v>40</v>
      </c>
      <c r="O5404">
        <v>250909</v>
      </c>
      <c r="P5404">
        <v>538.14</v>
      </c>
    </row>
    <row r="5405" spans="1:16" x14ac:dyDescent="0.25">
      <c r="A5405" t="s">
        <v>3296</v>
      </c>
      <c r="B5405" t="s">
        <v>2931</v>
      </c>
      <c r="C5405">
        <v>13359</v>
      </c>
      <c r="D5405" t="str">
        <f>"410004915   "</f>
        <v xml:space="preserve">410004915   </v>
      </c>
      <c r="E5405" t="s">
        <v>770</v>
      </c>
      <c r="F5405" t="s">
        <v>771</v>
      </c>
      <c r="G5405">
        <v>675.36</v>
      </c>
      <c r="H5405">
        <v>251001</v>
      </c>
      <c r="I5405">
        <v>4367</v>
      </c>
      <c r="J5405" t="s">
        <v>159</v>
      </c>
      <c r="K5405">
        <v>2042.83</v>
      </c>
      <c r="L5405">
        <v>137.22</v>
      </c>
      <c r="M5405">
        <v>11801</v>
      </c>
      <c r="N5405" t="s">
        <v>40</v>
      </c>
      <c r="O5405">
        <v>251008</v>
      </c>
      <c r="P5405">
        <v>538.14</v>
      </c>
    </row>
    <row r="5406" spans="1:16" x14ac:dyDescent="0.25">
      <c r="A5406" t="s">
        <v>3296</v>
      </c>
      <c r="B5406" t="s">
        <v>2931</v>
      </c>
      <c r="C5406">
        <v>14986</v>
      </c>
      <c r="D5406" t="str">
        <f>"410005240   "</f>
        <v xml:space="preserve">410005240   </v>
      </c>
      <c r="E5406" t="s">
        <v>770</v>
      </c>
      <c r="F5406" t="s">
        <v>771</v>
      </c>
      <c r="G5406">
        <v>675.36</v>
      </c>
      <c r="H5406">
        <v>251101</v>
      </c>
      <c r="I5406">
        <v>4367</v>
      </c>
      <c r="J5406" t="s">
        <v>159</v>
      </c>
      <c r="K5406">
        <v>2042.83</v>
      </c>
      <c r="L5406">
        <v>137.22</v>
      </c>
      <c r="M5406">
        <v>11801</v>
      </c>
      <c r="N5406" t="s">
        <v>40</v>
      </c>
      <c r="O5406">
        <v>251110</v>
      </c>
      <c r="P5406">
        <v>538.14</v>
      </c>
    </row>
    <row r="5407" spans="1:16" x14ac:dyDescent="0.25">
      <c r="A5407" t="s">
        <v>3296</v>
      </c>
      <c r="B5407" t="s">
        <v>2931</v>
      </c>
      <c r="C5407">
        <v>16425</v>
      </c>
      <c r="D5407" t="str">
        <f>"410006022   "</f>
        <v xml:space="preserve">410006022   </v>
      </c>
      <c r="E5407" t="s">
        <v>770</v>
      </c>
      <c r="F5407" t="s">
        <v>771</v>
      </c>
      <c r="G5407">
        <v>675.36</v>
      </c>
      <c r="H5407">
        <v>251201</v>
      </c>
      <c r="I5407">
        <v>4367</v>
      </c>
      <c r="J5407" t="s">
        <v>159</v>
      </c>
      <c r="K5407">
        <v>2042.83</v>
      </c>
      <c r="L5407">
        <v>137.22</v>
      </c>
      <c r="M5407">
        <v>11801</v>
      </c>
      <c r="N5407" t="s">
        <v>40</v>
      </c>
      <c r="O5407">
        <v>251208</v>
      </c>
      <c r="P5407">
        <v>538.14</v>
      </c>
    </row>
    <row r="5408" spans="1:16" x14ac:dyDescent="0.25">
      <c r="A5408" t="s">
        <v>3296</v>
      </c>
      <c r="B5408" t="s">
        <v>2931</v>
      </c>
      <c r="C5408">
        <v>2837</v>
      </c>
      <c r="D5408" t="str">
        <f>"410001081   "</f>
        <v xml:space="preserve">410001081   </v>
      </c>
      <c r="E5408" t="s">
        <v>770</v>
      </c>
      <c r="F5408" t="s">
        <v>771</v>
      </c>
      <c r="G5408">
        <v>92.87</v>
      </c>
      <c r="H5408">
        <v>250228</v>
      </c>
      <c r="I5408">
        <v>4368</v>
      </c>
      <c r="J5408" t="s">
        <v>1082</v>
      </c>
      <c r="K5408">
        <v>92.87</v>
      </c>
      <c r="L5408">
        <v>18.87</v>
      </c>
      <c r="M5408">
        <v>11801</v>
      </c>
      <c r="N5408" t="s">
        <v>40</v>
      </c>
      <c r="O5408">
        <v>250312</v>
      </c>
      <c r="P5408">
        <v>74</v>
      </c>
    </row>
    <row r="5409" spans="1:16" x14ac:dyDescent="0.25">
      <c r="A5409" t="s">
        <v>3296</v>
      </c>
      <c r="B5409" t="s">
        <v>2931</v>
      </c>
      <c r="C5409">
        <v>6232</v>
      </c>
      <c r="D5409" t="str">
        <f>"410002371   "</f>
        <v xml:space="preserve">410002371   </v>
      </c>
      <c r="E5409" t="s">
        <v>770</v>
      </c>
      <c r="F5409" t="s">
        <v>771</v>
      </c>
      <c r="G5409">
        <v>678.33</v>
      </c>
      <c r="H5409">
        <v>250430</v>
      </c>
      <c r="I5409">
        <v>4368</v>
      </c>
      <c r="J5409" t="s">
        <v>1082</v>
      </c>
      <c r="K5409">
        <v>678.33</v>
      </c>
      <c r="L5409">
        <v>137.83000000000001</v>
      </c>
      <c r="M5409">
        <v>11801</v>
      </c>
      <c r="N5409" t="s">
        <v>40</v>
      </c>
      <c r="O5409">
        <v>250512</v>
      </c>
      <c r="P5409">
        <v>540.5</v>
      </c>
    </row>
    <row r="5410" spans="1:16" x14ac:dyDescent="0.25">
      <c r="A5410" t="s">
        <v>3296</v>
      </c>
      <c r="B5410" t="s">
        <v>2931</v>
      </c>
      <c r="C5410">
        <v>8011</v>
      </c>
      <c r="D5410" t="str">
        <f>"410002948   "</f>
        <v xml:space="preserve">410002948   </v>
      </c>
      <c r="E5410" t="s">
        <v>770</v>
      </c>
      <c r="F5410" t="s">
        <v>771</v>
      </c>
      <c r="G5410">
        <v>92.87</v>
      </c>
      <c r="H5410">
        <v>250531</v>
      </c>
      <c r="I5410">
        <v>4368</v>
      </c>
      <c r="J5410" t="s">
        <v>1082</v>
      </c>
      <c r="K5410">
        <v>92.87</v>
      </c>
      <c r="L5410">
        <v>18.87</v>
      </c>
      <c r="M5410">
        <v>11801</v>
      </c>
      <c r="N5410" t="s">
        <v>40</v>
      </c>
      <c r="O5410">
        <v>250611</v>
      </c>
      <c r="P5410">
        <v>74</v>
      </c>
    </row>
    <row r="5411" spans="1:16" x14ac:dyDescent="0.25">
      <c r="A5411" t="s">
        <v>3296</v>
      </c>
      <c r="B5411" t="s">
        <v>2931</v>
      </c>
      <c r="C5411">
        <v>13358</v>
      </c>
      <c r="D5411" t="str">
        <f>"410004916   "</f>
        <v xml:space="preserve">410004916   </v>
      </c>
      <c r="E5411" t="s">
        <v>770</v>
      </c>
      <c r="F5411" t="s">
        <v>771</v>
      </c>
      <c r="G5411">
        <v>185.74</v>
      </c>
      <c r="H5411">
        <v>250930</v>
      </c>
      <c r="I5411">
        <v>4368</v>
      </c>
      <c r="J5411" t="s">
        <v>1082</v>
      </c>
      <c r="K5411">
        <v>185.74</v>
      </c>
      <c r="L5411">
        <v>37.74</v>
      </c>
      <c r="M5411">
        <v>11801</v>
      </c>
      <c r="N5411" t="s">
        <v>40</v>
      </c>
      <c r="O5411">
        <v>251008</v>
      </c>
      <c r="P5411">
        <v>148</v>
      </c>
    </row>
    <row r="5412" spans="1:16" x14ac:dyDescent="0.25">
      <c r="A5412" t="s">
        <v>3296</v>
      </c>
      <c r="B5412" t="s">
        <v>2931</v>
      </c>
      <c r="C5412">
        <v>14984</v>
      </c>
      <c r="D5412" t="str">
        <f>"410005241   "</f>
        <v xml:space="preserve">410005241   </v>
      </c>
      <c r="E5412" t="s">
        <v>770</v>
      </c>
      <c r="F5412" t="s">
        <v>771</v>
      </c>
      <c r="G5412">
        <v>371.48</v>
      </c>
      <c r="H5412">
        <v>251031</v>
      </c>
      <c r="I5412">
        <v>4368</v>
      </c>
      <c r="J5412" t="s">
        <v>1082</v>
      </c>
      <c r="K5412">
        <v>371.48</v>
      </c>
      <c r="L5412">
        <v>75.48</v>
      </c>
      <c r="M5412">
        <v>11801</v>
      </c>
      <c r="N5412" t="s">
        <v>40</v>
      </c>
      <c r="O5412">
        <v>251110</v>
      </c>
      <c r="P5412">
        <v>296</v>
      </c>
    </row>
    <row r="5413" spans="1:16" x14ac:dyDescent="0.25">
      <c r="A5413" t="s">
        <v>3296</v>
      </c>
      <c r="B5413" t="s">
        <v>2931</v>
      </c>
      <c r="C5413">
        <v>18408</v>
      </c>
      <c r="D5413" t="str">
        <f>"410006573   "</f>
        <v xml:space="preserve">410006573   </v>
      </c>
      <c r="E5413" t="s">
        <v>770</v>
      </c>
      <c r="F5413" t="s">
        <v>771</v>
      </c>
      <c r="G5413">
        <v>204.57</v>
      </c>
      <c r="H5413">
        <v>251231</v>
      </c>
      <c r="I5413">
        <v>4368</v>
      </c>
      <c r="J5413" t="s">
        <v>1082</v>
      </c>
      <c r="K5413">
        <v>204.57</v>
      </c>
      <c r="L5413">
        <v>41.57</v>
      </c>
      <c r="M5413">
        <v>11801</v>
      </c>
      <c r="N5413" t="s">
        <v>40</v>
      </c>
      <c r="O5413">
        <v>260113</v>
      </c>
      <c r="P5413">
        <v>163</v>
      </c>
    </row>
    <row r="5414" spans="1:16" x14ac:dyDescent="0.25">
      <c r="A5414" t="s">
        <v>3296</v>
      </c>
      <c r="B5414" t="s">
        <v>2931</v>
      </c>
      <c r="C5414">
        <v>12934</v>
      </c>
      <c r="D5414" t="str">
        <f>"410004494   "</f>
        <v xml:space="preserve">410004494   </v>
      </c>
      <c r="E5414" t="s">
        <v>770</v>
      </c>
      <c r="F5414" t="s">
        <v>771</v>
      </c>
      <c r="G5414">
        <v>8722.25</v>
      </c>
      <c r="H5414">
        <v>250930</v>
      </c>
      <c r="I5414">
        <v>4369</v>
      </c>
      <c r="J5414" t="s">
        <v>188</v>
      </c>
      <c r="K5414">
        <v>8722.25</v>
      </c>
      <c r="L5414">
        <v>1772.25</v>
      </c>
      <c r="M5414">
        <v>11801</v>
      </c>
      <c r="N5414" t="s">
        <v>40</v>
      </c>
      <c r="O5414">
        <v>251002</v>
      </c>
      <c r="P5414">
        <v>6950</v>
      </c>
    </row>
    <row r="5415" spans="1:16" x14ac:dyDescent="0.25">
      <c r="A5415" t="s">
        <v>3296</v>
      </c>
      <c r="B5415" t="s">
        <v>2931</v>
      </c>
      <c r="C5415">
        <v>16801</v>
      </c>
      <c r="D5415" t="str">
        <f>"410006221   "</f>
        <v xml:space="preserve">410006221   </v>
      </c>
      <c r="E5415" t="s">
        <v>770</v>
      </c>
      <c r="F5415" t="s">
        <v>771</v>
      </c>
      <c r="G5415">
        <v>92.87</v>
      </c>
      <c r="H5415">
        <v>251130</v>
      </c>
      <c r="I5415">
        <v>4369</v>
      </c>
      <c r="J5415" t="s">
        <v>188</v>
      </c>
      <c r="K5415">
        <v>92.87</v>
      </c>
      <c r="L5415">
        <v>18.87</v>
      </c>
      <c r="M5415">
        <v>11801</v>
      </c>
      <c r="N5415" t="s">
        <v>40</v>
      </c>
      <c r="O5415">
        <v>251212</v>
      </c>
      <c r="P5415">
        <v>74</v>
      </c>
    </row>
    <row r="5416" spans="1:16" x14ac:dyDescent="0.25">
      <c r="A5416" t="s">
        <v>3296</v>
      </c>
      <c r="B5416" t="s">
        <v>2931</v>
      </c>
      <c r="C5416">
        <v>3654</v>
      </c>
      <c r="D5416" t="str">
        <f>"3025295     "</f>
        <v xml:space="preserve">3025295     </v>
      </c>
      <c r="E5416" t="s">
        <v>1491</v>
      </c>
      <c r="F5416" t="s">
        <v>1492</v>
      </c>
      <c r="G5416">
        <v>536.39</v>
      </c>
      <c r="H5416">
        <v>250324</v>
      </c>
      <c r="I5416">
        <v>4400</v>
      </c>
      <c r="J5416" t="s">
        <v>162</v>
      </c>
      <c r="K5416">
        <v>536.39</v>
      </c>
      <c r="L5416">
        <v>108.99</v>
      </c>
      <c r="M5416">
        <v>17523</v>
      </c>
      <c r="N5416" t="s">
        <v>138</v>
      </c>
      <c r="O5416">
        <v>250327</v>
      </c>
      <c r="P5416">
        <v>427.4</v>
      </c>
    </row>
    <row r="5417" spans="1:16" x14ac:dyDescent="0.25">
      <c r="A5417" t="s">
        <v>3296</v>
      </c>
      <c r="B5417" t="s">
        <v>2931</v>
      </c>
      <c r="C5417">
        <v>13563</v>
      </c>
      <c r="D5417" t="str">
        <f>"3025947     "</f>
        <v xml:space="preserve">3025947     </v>
      </c>
      <c r="E5417" t="s">
        <v>1491</v>
      </c>
      <c r="F5417" t="s">
        <v>1492</v>
      </c>
      <c r="G5417">
        <v>811.99</v>
      </c>
      <c r="H5417">
        <v>250930</v>
      </c>
      <c r="I5417">
        <v>4580</v>
      </c>
      <c r="J5417" t="s">
        <v>126</v>
      </c>
      <c r="K5417">
        <v>811.99</v>
      </c>
      <c r="L5417">
        <v>164.99</v>
      </c>
      <c r="M5417">
        <v>56561</v>
      </c>
      <c r="N5417" t="s">
        <v>53</v>
      </c>
      <c r="O5417">
        <v>251013</v>
      </c>
      <c r="P5417">
        <v>647</v>
      </c>
    </row>
    <row r="5418" spans="1:16" x14ac:dyDescent="0.25">
      <c r="A5418" t="s">
        <v>3296</v>
      </c>
      <c r="B5418" t="s">
        <v>2931</v>
      </c>
      <c r="C5418">
        <v>1113</v>
      </c>
      <c r="D5418" t="str">
        <f>"1127761     "</f>
        <v xml:space="preserve">1127761     </v>
      </c>
      <c r="E5418" t="s">
        <v>854</v>
      </c>
      <c r="F5418" t="s">
        <v>855</v>
      </c>
      <c r="G5418">
        <v>572.23</v>
      </c>
      <c r="H5418">
        <v>250127</v>
      </c>
      <c r="I5418">
        <v>4555</v>
      </c>
      <c r="J5418" t="s">
        <v>352</v>
      </c>
      <c r="K5418">
        <v>572.23</v>
      </c>
      <c r="L5418">
        <v>116.27</v>
      </c>
      <c r="M5418">
        <v>44453</v>
      </c>
      <c r="N5418" t="s">
        <v>100</v>
      </c>
      <c r="O5418">
        <v>250204</v>
      </c>
      <c r="P5418">
        <v>455.96</v>
      </c>
    </row>
    <row r="5419" spans="1:16" x14ac:dyDescent="0.25">
      <c r="A5419" t="s">
        <v>3296</v>
      </c>
      <c r="B5419" t="s">
        <v>2931</v>
      </c>
      <c r="C5419">
        <v>2485</v>
      </c>
      <c r="D5419" t="str">
        <f>"1129656     "</f>
        <v xml:space="preserve">1129656     </v>
      </c>
      <c r="E5419" t="s">
        <v>854</v>
      </c>
      <c r="F5419" t="s">
        <v>855</v>
      </c>
      <c r="G5419">
        <v>167</v>
      </c>
      <c r="H5419">
        <v>250218</v>
      </c>
      <c r="I5419">
        <v>4555</v>
      </c>
      <c r="J5419" t="s">
        <v>352</v>
      </c>
      <c r="K5419">
        <v>177.98</v>
      </c>
      <c r="L5419">
        <v>33.93</v>
      </c>
      <c r="M5419">
        <v>44453</v>
      </c>
      <c r="N5419" t="s">
        <v>100</v>
      </c>
      <c r="O5419">
        <v>250228</v>
      </c>
      <c r="P5419">
        <v>133.07</v>
      </c>
    </row>
    <row r="5420" spans="1:16" x14ac:dyDescent="0.25">
      <c r="A5420" t="s">
        <v>3296</v>
      </c>
      <c r="B5420" t="s">
        <v>2931</v>
      </c>
      <c r="C5420">
        <v>5206</v>
      </c>
      <c r="D5420" t="str">
        <f>"1132554     "</f>
        <v xml:space="preserve">1132554     </v>
      </c>
      <c r="E5420" t="s">
        <v>854</v>
      </c>
      <c r="F5420" t="s">
        <v>855</v>
      </c>
      <c r="G5420">
        <v>492.21</v>
      </c>
      <c r="H5420">
        <v>250327</v>
      </c>
      <c r="I5420">
        <v>4555</v>
      </c>
      <c r="J5420" t="s">
        <v>352</v>
      </c>
      <c r="K5420">
        <v>492.21</v>
      </c>
      <c r="L5420">
        <v>100.01</v>
      </c>
      <c r="M5420">
        <v>44453</v>
      </c>
      <c r="N5420" t="s">
        <v>100</v>
      </c>
      <c r="O5420">
        <v>250422</v>
      </c>
      <c r="P5420">
        <v>392.2</v>
      </c>
    </row>
    <row r="5421" spans="1:16" x14ac:dyDescent="0.25">
      <c r="A5421" t="s">
        <v>3296</v>
      </c>
      <c r="B5421" t="s">
        <v>2931</v>
      </c>
      <c r="C5421">
        <v>12478</v>
      </c>
      <c r="D5421" t="str">
        <f>"1145934     "</f>
        <v xml:space="preserve">1145934     </v>
      </c>
      <c r="E5421" t="s">
        <v>854</v>
      </c>
      <c r="F5421" t="s">
        <v>855</v>
      </c>
      <c r="G5421">
        <v>393.3</v>
      </c>
      <c r="H5421">
        <v>250905</v>
      </c>
      <c r="I5421">
        <v>4555</v>
      </c>
      <c r="J5421" t="s">
        <v>352</v>
      </c>
      <c r="K5421">
        <v>393.3</v>
      </c>
      <c r="L5421">
        <v>79.91</v>
      </c>
      <c r="M5421">
        <v>44453</v>
      </c>
      <c r="N5421" t="s">
        <v>100</v>
      </c>
      <c r="O5421">
        <v>250925</v>
      </c>
      <c r="P5421">
        <v>313.39</v>
      </c>
    </row>
    <row r="5422" spans="1:16" x14ac:dyDescent="0.25">
      <c r="A5422" t="s">
        <v>3296</v>
      </c>
      <c r="B5422" t="s">
        <v>2931</v>
      </c>
      <c r="C5422">
        <v>12480</v>
      </c>
      <c r="D5422" t="str">
        <f>"1145935     "</f>
        <v xml:space="preserve">1145935     </v>
      </c>
      <c r="E5422" t="s">
        <v>854</v>
      </c>
      <c r="F5422" t="s">
        <v>855</v>
      </c>
      <c r="G5422">
        <v>30.18</v>
      </c>
      <c r="H5422">
        <v>250905</v>
      </c>
      <c r="I5422">
        <v>4555</v>
      </c>
      <c r="J5422" t="s">
        <v>352</v>
      </c>
      <c r="K5422">
        <v>30.18</v>
      </c>
      <c r="L5422">
        <v>6.13</v>
      </c>
      <c r="M5422">
        <v>44453</v>
      </c>
      <c r="N5422" t="s">
        <v>100</v>
      </c>
      <c r="O5422">
        <v>250925</v>
      </c>
      <c r="P5422">
        <v>24.05</v>
      </c>
    </row>
    <row r="5423" spans="1:16" x14ac:dyDescent="0.25">
      <c r="A5423" t="s">
        <v>3296</v>
      </c>
      <c r="B5423" t="s">
        <v>2931</v>
      </c>
      <c r="C5423">
        <v>2485</v>
      </c>
      <c r="D5423" t="str">
        <f>"1129656     "</f>
        <v xml:space="preserve">1129656     </v>
      </c>
      <c r="E5423" t="s">
        <v>854</v>
      </c>
      <c r="F5423" t="s">
        <v>855</v>
      </c>
      <c r="G5423">
        <v>10.98</v>
      </c>
      <c r="H5423">
        <v>250218</v>
      </c>
      <c r="I5423">
        <v>4600</v>
      </c>
      <c r="J5423" t="s">
        <v>278</v>
      </c>
      <c r="K5423">
        <v>177.98</v>
      </c>
      <c r="L5423">
        <v>2.23</v>
      </c>
      <c r="M5423">
        <v>44453</v>
      </c>
      <c r="N5423" t="s">
        <v>100</v>
      </c>
      <c r="O5423">
        <v>250228</v>
      </c>
      <c r="P5423">
        <v>8.75</v>
      </c>
    </row>
    <row r="5424" spans="1:16" x14ac:dyDescent="0.25">
      <c r="A5424" t="s">
        <v>3296</v>
      </c>
      <c r="B5424" t="s">
        <v>2931</v>
      </c>
      <c r="C5424">
        <v>15095</v>
      </c>
      <c r="D5424" t="str">
        <f>"1149610     "</f>
        <v xml:space="preserve">1149610     </v>
      </c>
      <c r="E5424" t="s">
        <v>854</v>
      </c>
      <c r="F5424" t="s">
        <v>855</v>
      </c>
      <c r="G5424">
        <v>19.329999999999998</v>
      </c>
      <c r="H5424">
        <v>251020</v>
      </c>
      <c r="I5424">
        <v>4600</v>
      </c>
      <c r="J5424" t="s">
        <v>278</v>
      </c>
      <c r="K5424">
        <v>19.329999999999998</v>
      </c>
      <c r="L5424">
        <v>3.93</v>
      </c>
      <c r="M5424">
        <v>44453</v>
      </c>
      <c r="N5424" t="s">
        <v>100</v>
      </c>
      <c r="O5424">
        <v>251111</v>
      </c>
      <c r="P5424">
        <v>15.4</v>
      </c>
    </row>
    <row r="5425" spans="1:16" x14ac:dyDescent="0.25">
      <c r="A5425" t="s">
        <v>3296</v>
      </c>
      <c r="B5425" t="s">
        <v>2931</v>
      </c>
      <c r="C5425">
        <v>6705</v>
      </c>
      <c r="D5425" t="str">
        <f>"31 1142014  "</f>
        <v xml:space="preserve">31 1142014  </v>
      </c>
      <c r="E5425" t="s">
        <v>1878</v>
      </c>
      <c r="F5425" t="s">
        <v>1879</v>
      </c>
      <c r="G5425">
        <v>94.12</v>
      </c>
      <c r="H5425">
        <v>250509</v>
      </c>
      <c r="I5425">
        <v>4470</v>
      </c>
      <c r="J5425" t="s">
        <v>203</v>
      </c>
      <c r="K5425">
        <v>188.25</v>
      </c>
      <c r="L5425">
        <v>19.12</v>
      </c>
      <c r="M5425">
        <v>17532</v>
      </c>
      <c r="N5425" t="s">
        <v>146</v>
      </c>
      <c r="O5425">
        <v>250515</v>
      </c>
      <c r="P5425">
        <v>75</v>
      </c>
    </row>
    <row r="5426" spans="1:16" x14ac:dyDescent="0.25">
      <c r="A5426" t="s">
        <v>3296</v>
      </c>
      <c r="B5426" t="s">
        <v>2931</v>
      </c>
      <c r="C5426">
        <v>6705</v>
      </c>
      <c r="D5426" t="str">
        <f>"31 1142014  "</f>
        <v xml:space="preserve">31 1142014  </v>
      </c>
      <c r="E5426" t="s">
        <v>1878</v>
      </c>
      <c r="F5426" t="s">
        <v>1879</v>
      </c>
      <c r="G5426">
        <v>94.13</v>
      </c>
      <c r="H5426">
        <v>250509</v>
      </c>
      <c r="I5426">
        <v>4470</v>
      </c>
      <c r="J5426" t="s">
        <v>203</v>
      </c>
      <c r="K5426">
        <v>188.25</v>
      </c>
      <c r="L5426">
        <v>19.13</v>
      </c>
      <c r="M5426">
        <v>17533</v>
      </c>
      <c r="N5426" t="s">
        <v>147</v>
      </c>
      <c r="O5426">
        <v>250515</v>
      </c>
      <c r="P5426">
        <v>75</v>
      </c>
    </row>
    <row r="5427" spans="1:16" x14ac:dyDescent="0.25">
      <c r="A5427" t="s">
        <v>3296</v>
      </c>
      <c r="B5427" t="s">
        <v>2931</v>
      </c>
      <c r="C5427">
        <v>3310</v>
      </c>
      <c r="D5427" t="str">
        <f>"8288        "</f>
        <v xml:space="preserve">8288        </v>
      </c>
      <c r="E5427" t="s">
        <v>1411</v>
      </c>
      <c r="F5427" t="s">
        <v>1412</v>
      </c>
      <c r="G5427">
        <v>8345.75</v>
      </c>
      <c r="H5427">
        <v>250228</v>
      </c>
      <c r="I5427">
        <v>4440</v>
      </c>
      <c r="J5427" t="s">
        <v>346</v>
      </c>
      <c r="K5427">
        <v>8345.75</v>
      </c>
      <c r="L5427">
        <v>1695.75</v>
      </c>
      <c r="M5427">
        <v>18120</v>
      </c>
      <c r="N5427" t="s">
        <v>37</v>
      </c>
      <c r="O5427">
        <v>250318</v>
      </c>
      <c r="P5427">
        <v>6650</v>
      </c>
    </row>
    <row r="5428" spans="1:16" x14ac:dyDescent="0.25">
      <c r="A5428" t="s">
        <v>3296</v>
      </c>
      <c r="B5428" t="s">
        <v>2931</v>
      </c>
      <c r="C5428">
        <v>3635</v>
      </c>
      <c r="D5428" t="str">
        <f>"8294        "</f>
        <v xml:space="preserve">8294        </v>
      </c>
      <c r="E5428" t="s">
        <v>1411</v>
      </c>
      <c r="F5428" t="s">
        <v>1412</v>
      </c>
      <c r="G5428">
        <v>6419.33</v>
      </c>
      <c r="H5428">
        <v>250313</v>
      </c>
      <c r="I5428">
        <v>4440</v>
      </c>
      <c r="J5428" t="s">
        <v>346</v>
      </c>
      <c r="K5428">
        <v>6419.33</v>
      </c>
      <c r="L5428">
        <v>1304.33</v>
      </c>
      <c r="M5428">
        <v>18120</v>
      </c>
      <c r="N5428" t="s">
        <v>37</v>
      </c>
      <c r="O5428">
        <v>250327</v>
      </c>
      <c r="P5428">
        <v>5115</v>
      </c>
    </row>
    <row r="5429" spans="1:16" x14ac:dyDescent="0.25">
      <c r="A5429" t="s">
        <v>3296</v>
      </c>
      <c r="B5429" t="s">
        <v>2931</v>
      </c>
      <c r="C5429">
        <v>3637</v>
      </c>
      <c r="D5429" t="str">
        <f>"8293        "</f>
        <v xml:space="preserve">8293        </v>
      </c>
      <c r="E5429" t="s">
        <v>1411</v>
      </c>
      <c r="F5429" t="s">
        <v>1412</v>
      </c>
      <c r="G5429">
        <v>10134.129999999999</v>
      </c>
      <c r="H5429">
        <v>250313</v>
      </c>
      <c r="I5429">
        <v>4440</v>
      </c>
      <c r="J5429" t="s">
        <v>346</v>
      </c>
      <c r="K5429">
        <v>10134.129999999999</v>
      </c>
      <c r="L5429">
        <v>2059.13</v>
      </c>
      <c r="M5429">
        <v>18820</v>
      </c>
      <c r="N5429" t="s">
        <v>372</v>
      </c>
      <c r="O5429">
        <v>250327</v>
      </c>
      <c r="P5429">
        <v>8075</v>
      </c>
    </row>
    <row r="5430" spans="1:16" x14ac:dyDescent="0.25">
      <c r="A5430" t="s">
        <v>3296</v>
      </c>
      <c r="B5430" t="s">
        <v>2931</v>
      </c>
      <c r="C5430">
        <v>3645</v>
      </c>
      <c r="D5430" t="str">
        <f>"8291        "</f>
        <v xml:space="preserve">8291        </v>
      </c>
      <c r="E5430" t="s">
        <v>1411</v>
      </c>
      <c r="F5430" t="s">
        <v>1412</v>
      </c>
      <c r="G5430">
        <v>7906.5</v>
      </c>
      <c r="H5430">
        <v>250313</v>
      </c>
      <c r="I5430">
        <v>4440</v>
      </c>
      <c r="J5430" t="s">
        <v>346</v>
      </c>
      <c r="K5430">
        <v>7906.5</v>
      </c>
      <c r="L5430">
        <v>1606.5</v>
      </c>
      <c r="M5430">
        <v>18120</v>
      </c>
      <c r="N5430" t="s">
        <v>37</v>
      </c>
      <c r="O5430">
        <v>250327</v>
      </c>
      <c r="P5430">
        <v>6300</v>
      </c>
    </row>
    <row r="5431" spans="1:16" x14ac:dyDescent="0.25">
      <c r="A5431" t="s">
        <v>3296</v>
      </c>
      <c r="B5431" t="s">
        <v>2931</v>
      </c>
      <c r="C5431">
        <v>3671</v>
      </c>
      <c r="D5431" t="str">
        <f>"8290        "</f>
        <v xml:space="preserve">8290        </v>
      </c>
      <c r="E5431" t="s">
        <v>1411</v>
      </c>
      <c r="F5431" t="s">
        <v>1412</v>
      </c>
      <c r="G5431">
        <v>8609.2999999999993</v>
      </c>
      <c r="H5431">
        <v>250313</v>
      </c>
      <c r="I5431">
        <v>4440</v>
      </c>
      <c r="J5431" t="s">
        <v>346</v>
      </c>
      <c r="K5431">
        <v>8609.2999999999993</v>
      </c>
      <c r="L5431">
        <v>1749.3</v>
      </c>
      <c r="M5431">
        <v>18120</v>
      </c>
      <c r="N5431" t="s">
        <v>37</v>
      </c>
      <c r="O5431">
        <v>250328</v>
      </c>
      <c r="P5431">
        <v>6860</v>
      </c>
    </row>
    <row r="5432" spans="1:16" x14ac:dyDescent="0.25">
      <c r="A5432" t="s">
        <v>3296</v>
      </c>
      <c r="B5432" t="s">
        <v>2931</v>
      </c>
      <c r="C5432">
        <v>3685</v>
      </c>
      <c r="D5432" t="str">
        <f>"8295        "</f>
        <v xml:space="preserve">8295        </v>
      </c>
      <c r="E5432" t="s">
        <v>1411</v>
      </c>
      <c r="F5432" t="s">
        <v>1412</v>
      </c>
      <c r="G5432">
        <v>8015.69</v>
      </c>
      <c r="H5432">
        <v>250314</v>
      </c>
      <c r="I5432">
        <v>4440</v>
      </c>
      <c r="J5432" t="s">
        <v>346</v>
      </c>
      <c r="K5432">
        <v>8015.69</v>
      </c>
      <c r="L5432">
        <v>1628.69</v>
      </c>
      <c r="M5432">
        <v>18120</v>
      </c>
      <c r="N5432" t="s">
        <v>37</v>
      </c>
      <c r="O5432">
        <v>250328</v>
      </c>
      <c r="P5432">
        <v>6387</v>
      </c>
    </row>
    <row r="5433" spans="1:16" x14ac:dyDescent="0.25">
      <c r="A5433" t="s">
        <v>3296</v>
      </c>
      <c r="B5433" t="s">
        <v>2931</v>
      </c>
      <c r="C5433">
        <v>3686</v>
      </c>
      <c r="D5433" t="str">
        <f>"8292        "</f>
        <v xml:space="preserve">8292        </v>
      </c>
      <c r="E5433" t="s">
        <v>1411</v>
      </c>
      <c r="F5433" t="s">
        <v>1412</v>
      </c>
      <c r="G5433">
        <v>9538</v>
      </c>
      <c r="H5433">
        <v>250313</v>
      </c>
      <c r="I5433">
        <v>4440</v>
      </c>
      <c r="J5433" t="s">
        <v>346</v>
      </c>
      <c r="K5433">
        <v>9538</v>
      </c>
      <c r="L5433">
        <v>1938</v>
      </c>
      <c r="M5433">
        <v>18820</v>
      </c>
      <c r="N5433" t="s">
        <v>372</v>
      </c>
      <c r="O5433">
        <v>250328</v>
      </c>
      <c r="P5433">
        <v>7600</v>
      </c>
    </row>
    <row r="5434" spans="1:16" x14ac:dyDescent="0.25">
      <c r="A5434" t="s">
        <v>3296</v>
      </c>
      <c r="B5434" t="s">
        <v>2931</v>
      </c>
      <c r="C5434">
        <v>3692</v>
      </c>
      <c r="D5434" t="str">
        <f>"8289        "</f>
        <v xml:space="preserve">8289        </v>
      </c>
      <c r="E5434" t="s">
        <v>1411</v>
      </c>
      <c r="F5434" t="s">
        <v>1412</v>
      </c>
      <c r="G5434">
        <v>10014.9</v>
      </c>
      <c r="H5434">
        <v>250313</v>
      </c>
      <c r="I5434">
        <v>4440</v>
      </c>
      <c r="J5434" t="s">
        <v>346</v>
      </c>
      <c r="K5434">
        <v>10014.9</v>
      </c>
      <c r="L5434">
        <v>2034.9</v>
      </c>
      <c r="M5434">
        <v>18120</v>
      </c>
      <c r="N5434" t="s">
        <v>37</v>
      </c>
      <c r="O5434">
        <v>250328</v>
      </c>
      <c r="P5434">
        <v>7980</v>
      </c>
    </row>
    <row r="5435" spans="1:16" x14ac:dyDescent="0.25">
      <c r="A5435" t="s">
        <v>3296</v>
      </c>
      <c r="B5435" t="s">
        <v>2931</v>
      </c>
      <c r="C5435">
        <v>4408</v>
      </c>
      <c r="D5435" t="str">
        <f>"8298        "</f>
        <v xml:space="preserve">8298        </v>
      </c>
      <c r="E5435" t="s">
        <v>1411</v>
      </c>
      <c r="F5435" t="s">
        <v>1412</v>
      </c>
      <c r="G5435">
        <v>12801</v>
      </c>
      <c r="H5435">
        <v>250327</v>
      </c>
      <c r="I5435">
        <v>4440</v>
      </c>
      <c r="J5435" t="s">
        <v>346</v>
      </c>
      <c r="K5435">
        <v>12801</v>
      </c>
      <c r="L5435">
        <v>2601</v>
      </c>
      <c r="M5435">
        <v>18820</v>
      </c>
      <c r="N5435" t="s">
        <v>372</v>
      </c>
      <c r="O5435">
        <v>250411</v>
      </c>
      <c r="P5435">
        <v>10200</v>
      </c>
    </row>
    <row r="5436" spans="1:16" x14ac:dyDescent="0.25">
      <c r="A5436" t="s">
        <v>3296</v>
      </c>
      <c r="B5436" t="s">
        <v>2931</v>
      </c>
      <c r="C5436">
        <v>8834</v>
      </c>
      <c r="D5436" t="str">
        <f>"8406        "</f>
        <v xml:space="preserve">8406        </v>
      </c>
      <c r="E5436" t="s">
        <v>1411</v>
      </c>
      <c r="F5436" t="s">
        <v>1412</v>
      </c>
      <c r="G5436">
        <v>7680.6</v>
      </c>
      <c r="H5436">
        <v>250606</v>
      </c>
      <c r="I5436">
        <v>4440</v>
      </c>
      <c r="J5436" t="s">
        <v>346</v>
      </c>
      <c r="K5436">
        <v>7680.6</v>
      </c>
      <c r="L5436">
        <v>1560.6</v>
      </c>
      <c r="M5436">
        <v>18120</v>
      </c>
      <c r="N5436" t="s">
        <v>37</v>
      </c>
      <c r="O5436">
        <v>250618</v>
      </c>
      <c r="P5436">
        <v>6120</v>
      </c>
    </row>
    <row r="5437" spans="1:16" x14ac:dyDescent="0.25">
      <c r="A5437" t="s">
        <v>3296</v>
      </c>
      <c r="B5437" t="s">
        <v>2931</v>
      </c>
      <c r="C5437">
        <v>8835</v>
      </c>
      <c r="D5437" t="str">
        <f>"8400        "</f>
        <v xml:space="preserve">8400        </v>
      </c>
      <c r="E5437" t="s">
        <v>1411</v>
      </c>
      <c r="F5437" t="s">
        <v>1412</v>
      </c>
      <c r="G5437">
        <v>7906.5</v>
      </c>
      <c r="H5437">
        <v>250605</v>
      </c>
      <c r="I5437">
        <v>4440</v>
      </c>
      <c r="J5437" t="s">
        <v>346</v>
      </c>
      <c r="K5437">
        <v>7906.5</v>
      </c>
      <c r="L5437">
        <v>1606.5</v>
      </c>
      <c r="M5437">
        <v>18120</v>
      </c>
      <c r="N5437" t="s">
        <v>37</v>
      </c>
      <c r="O5437">
        <v>250618</v>
      </c>
      <c r="P5437">
        <v>6300</v>
      </c>
    </row>
    <row r="5438" spans="1:16" x14ac:dyDescent="0.25">
      <c r="A5438" t="s">
        <v>3296</v>
      </c>
      <c r="B5438" t="s">
        <v>2931</v>
      </c>
      <c r="C5438">
        <v>8837</v>
      </c>
      <c r="D5438" t="str">
        <f>"8403        "</f>
        <v xml:space="preserve">8403        </v>
      </c>
      <c r="E5438" t="s">
        <v>1411</v>
      </c>
      <c r="F5438" t="s">
        <v>1412</v>
      </c>
      <c r="G5438">
        <v>10134.129999999999</v>
      </c>
      <c r="H5438">
        <v>250606</v>
      </c>
      <c r="I5438">
        <v>4440</v>
      </c>
      <c r="J5438" t="s">
        <v>346</v>
      </c>
      <c r="K5438">
        <v>10134.129999999999</v>
      </c>
      <c r="L5438">
        <v>2059.13</v>
      </c>
      <c r="M5438">
        <v>18820</v>
      </c>
      <c r="N5438" t="s">
        <v>372</v>
      </c>
      <c r="O5438">
        <v>250618</v>
      </c>
      <c r="P5438">
        <v>8075</v>
      </c>
    </row>
    <row r="5439" spans="1:16" x14ac:dyDescent="0.25">
      <c r="A5439" t="s">
        <v>3296</v>
      </c>
      <c r="B5439" t="s">
        <v>2931</v>
      </c>
      <c r="C5439">
        <v>8838</v>
      </c>
      <c r="D5439" t="str">
        <f>"8401        "</f>
        <v xml:space="preserve">8401        </v>
      </c>
      <c r="E5439" t="s">
        <v>1411</v>
      </c>
      <c r="F5439" t="s">
        <v>1412</v>
      </c>
      <c r="G5439">
        <v>12550</v>
      </c>
      <c r="H5439">
        <v>250605</v>
      </c>
      <c r="I5439">
        <v>4440</v>
      </c>
      <c r="J5439" t="s">
        <v>346</v>
      </c>
      <c r="K5439">
        <v>12550</v>
      </c>
      <c r="L5439">
        <v>2550</v>
      </c>
      <c r="M5439">
        <v>18120</v>
      </c>
      <c r="N5439" t="s">
        <v>37</v>
      </c>
      <c r="O5439">
        <v>250618</v>
      </c>
      <c r="P5439">
        <v>10000</v>
      </c>
    </row>
    <row r="5440" spans="1:16" x14ac:dyDescent="0.25">
      <c r="A5440" t="s">
        <v>3296</v>
      </c>
      <c r="B5440" t="s">
        <v>2931</v>
      </c>
      <c r="C5440">
        <v>8841</v>
      </c>
      <c r="D5440" t="str">
        <f>"8404        "</f>
        <v xml:space="preserve">8404        </v>
      </c>
      <c r="E5440" t="s">
        <v>1411</v>
      </c>
      <c r="F5440" t="s">
        <v>1412</v>
      </c>
      <c r="G5440">
        <v>12801</v>
      </c>
      <c r="H5440">
        <v>250606</v>
      </c>
      <c r="I5440">
        <v>4440</v>
      </c>
      <c r="J5440" t="s">
        <v>346</v>
      </c>
      <c r="K5440">
        <v>12801</v>
      </c>
      <c r="L5440">
        <v>2601</v>
      </c>
      <c r="M5440">
        <v>18820</v>
      </c>
      <c r="N5440" t="s">
        <v>372</v>
      </c>
      <c r="O5440">
        <v>250618</v>
      </c>
      <c r="P5440">
        <v>10200</v>
      </c>
    </row>
    <row r="5441" spans="1:16" x14ac:dyDescent="0.25">
      <c r="A5441" t="s">
        <v>3296</v>
      </c>
      <c r="B5441" t="s">
        <v>2931</v>
      </c>
      <c r="C5441">
        <v>8842</v>
      </c>
      <c r="D5441" t="str">
        <f>"8398        "</f>
        <v xml:space="preserve">8398        </v>
      </c>
      <c r="E5441" t="s">
        <v>1411</v>
      </c>
      <c r="F5441" t="s">
        <v>1412</v>
      </c>
      <c r="G5441">
        <v>9663.5</v>
      </c>
      <c r="H5441">
        <v>250605</v>
      </c>
      <c r="I5441">
        <v>4440</v>
      </c>
      <c r="J5441" t="s">
        <v>346</v>
      </c>
      <c r="K5441">
        <v>9663.5</v>
      </c>
      <c r="L5441">
        <v>1963.5</v>
      </c>
      <c r="M5441">
        <v>18120</v>
      </c>
      <c r="N5441" t="s">
        <v>37</v>
      </c>
      <c r="O5441">
        <v>250618</v>
      </c>
      <c r="P5441">
        <v>7700</v>
      </c>
    </row>
    <row r="5442" spans="1:16" x14ac:dyDescent="0.25">
      <c r="A5442" t="s">
        <v>3296</v>
      </c>
      <c r="B5442" t="s">
        <v>2931</v>
      </c>
      <c r="C5442">
        <v>8845</v>
      </c>
      <c r="D5442" t="str">
        <f>"8405        "</f>
        <v xml:space="preserve">8405        </v>
      </c>
      <c r="E5442" t="s">
        <v>1411</v>
      </c>
      <c r="F5442" t="s">
        <v>1412</v>
      </c>
      <c r="G5442">
        <v>6400.5</v>
      </c>
      <c r="H5442">
        <v>250606</v>
      </c>
      <c r="I5442">
        <v>4440</v>
      </c>
      <c r="J5442" t="s">
        <v>346</v>
      </c>
      <c r="K5442">
        <v>6400.5</v>
      </c>
      <c r="L5442">
        <v>1300.5</v>
      </c>
      <c r="M5442">
        <v>18120</v>
      </c>
      <c r="N5442" t="s">
        <v>37</v>
      </c>
      <c r="O5442">
        <v>250618</v>
      </c>
      <c r="P5442">
        <v>5100</v>
      </c>
    </row>
    <row r="5443" spans="1:16" x14ac:dyDescent="0.25">
      <c r="A5443" t="s">
        <v>3296</v>
      </c>
      <c r="B5443" t="s">
        <v>2931</v>
      </c>
      <c r="C5443">
        <v>8846</v>
      </c>
      <c r="D5443" t="str">
        <f>"8399        "</f>
        <v xml:space="preserve">8399        </v>
      </c>
      <c r="E5443" t="s">
        <v>1411</v>
      </c>
      <c r="F5443" t="s">
        <v>1412</v>
      </c>
      <c r="G5443">
        <v>8609.2999999999993</v>
      </c>
      <c r="H5443">
        <v>250605</v>
      </c>
      <c r="I5443">
        <v>4440</v>
      </c>
      <c r="J5443" t="s">
        <v>346</v>
      </c>
      <c r="K5443">
        <v>8609.2999999999993</v>
      </c>
      <c r="L5443">
        <v>1749.3</v>
      </c>
      <c r="M5443">
        <v>18120</v>
      </c>
      <c r="N5443" t="s">
        <v>37</v>
      </c>
      <c r="O5443">
        <v>250618</v>
      </c>
      <c r="P5443">
        <v>6860</v>
      </c>
    </row>
    <row r="5444" spans="1:16" x14ac:dyDescent="0.25">
      <c r="A5444" t="s">
        <v>3296</v>
      </c>
      <c r="B5444" t="s">
        <v>2931</v>
      </c>
      <c r="C5444">
        <v>8848</v>
      </c>
      <c r="D5444" t="str">
        <f>"8402        "</f>
        <v xml:space="preserve">8402        </v>
      </c>
      <c r="E5444" t="s">
        <v>1411</v>
      </c>
      <c r="F5444" t="s">
        <v>1412</v>
      </c>
      <c r="G5444">
        <v>8941.8799999999992</v>
      </c>
      <c r="H5444">
        <v>250606</v>
      </c>
      <c r="I5444">
        <v>4440</v>
      </c>
      <c r="J5444" t="s">
        <v>346</v>
      </c>
      <c r="K5444">
        <v>8941.8799999999992</v>
      </c>
      <c r="L5444">
        <v>1816.88</v>
      </c>
      <c r="M5444">
        <v>18820</v>
      </c>
      <c r="N5444" t="s">
        <v>372</v>
      </c>
      <c r="O5444">
        <v>250618</v>
      </c>
      <c r="P5444">
        <v>7125</v>
      </c>
    </row>
    <row r="5445" spans="1:16" x14ac:dyDescent="0.25">
      <c r="A5445" t="s">
        <v>3296</v>
      </c>
      <c r="B5445" t="s">
        <v>2931</v>
      </c>
      <c r="C5445">
        <v>8850</v>
      </c>
      <c r="D5445" t="str">
        <f>"8407        "</f>
        <v xml:space="preserve">8407        </v>
      </c>
      <c r="E5445" t="s">
        <v>1411</v>
      </c>
      <c r="F5445" t="s">
        <v>1412</v>
      </c>
      <c r="G5445">
        <v>9538</v>
      </c>
      <c r="H5445">
        <v>250606</v>
      </c>
      <c r="I5445">
        <v>4440</v>
      </c>
      <c r="J5445" t="s">
        <v>346</v>
      </c>
      <c r="K5445">
        <v>9538</v>
      </c>
      <c r="L5445">
        <v>1938</v>
      </c>
      <c r="M5445">
        <v>18120</v>
      </c>
      <c r="N5445" t="s">
        <v>37</v>
      </c>
      <c r="O5445">
        <v>250618</v>
      </c>
      <c r="P5445">
        <v>7600</v>
      </c>
    </row>
    <row r="5446" spans="1:16" x14ac:dyDescent="0.25">
      <c r="A5446" t="s">
        <v>3296</v>
      </c>
      <c r="B5446" t="s">
        <v>2931</v>
      </c>
      <c r="C5446">
        <v>12265</v>
      </c>
      <c r="D5446" t="str">
        <f>"1093        "</f>
        <v xml:space="preserve">1093        </v>
      </c>
      <c r="E5446" t="s">
        <v>1411</v>
      </c>
      <c r="F5446" t="s">
        <v>1412</v>
      </c>
      <c r="G5446">
        <v>10134.129999999999</v>
      </c>
      <c r="H5446">
        <v>250831</v>
      </c>
      <c r="I5446">
        <v>4440</v>
      </c>
      <c r="J5446" t="s">
        <v>346</v>
      </c>
      <c r="K5446">
        <v>10134.129999999999</v>
      </c>
      <c r="L5446">
        <v>2059.13</v>
      </c>
      <c r="M5446">
        <v>18820</v>
      </c>
      <c r="N5446" t="s">
        <v>372</v>
      </c>
      <c r="O5446">
        <v>250918</v>
      </c>
      <c r="P5446">
        <v>8075</v>
      </c>
    </row>
    <row r="5447" spans="1:16" x14ac:dyDescent="0.25">
      <c r="A5447" t="s">
        <v>3296</v>
      </c>
      <c r="B5447" t="s">
        <v>2931</v>
      </c>
      <c r="C5447">
        <v>12273</v>
      </c>
      <c r="D5447" t="str">
        <f>"1091        "</f>
        <v xml:space="preserve">1091        </v>
      </c>
      <c r="E5447" t="s">
        <v>1411</v>
      </c>
      <c r="F5447" t="s">
        <v>1412</v>
      </c>
      <c r="G5447">
        <v>7467.25</v>
      </c>
      <c r="H5447">
        <v>250915</v>
      </c>
      <c r="I5447">
        <v>4440</v>
      </c>
      <c r="J5447" t="s">
        <v>346</v>
      </c>
      <c r="K5447">
        <v>7467.25</v>
      </c>
      <c r="L5447">
        <v>1517.25</v>
      </c>
      <c r="M5447">
        <v>18120</v>
      </c>
      <c r="N5447" t="s">
        <v>37</v>
      </c>
      <c r="O5447">
        <v>250918</v>
      </c>
      <c r="P5447">
        <v>5950</v>
      </c>
    </row>
    <row r="5448" spans="1:16" x14ac:dyDescent="0.25">
      <c r="A5448" t="s">
        <v>3296</v>
      </c>
      <c r="B5448" t="s">
        <v>2931</v>
      </c>
      <c r="C5448">
        <v>12321</v>
      </c>
      <c r="D5448" t="str">
        <f>"1094        "</f>
        <v xml:space="preserve">1094        </v>
      </c>
      <c r="E5448" t="s">
        <v>1411</v>
      </c>
      <c r="F5448" t="s">
        <v>1412</v>
      </c>
      <c r="G5448">
        <v>12622.8</v>
      </c>
      <c r="H5448">
        <v>250916</v>
      </c>
      <c r="I5448">
        <v>4440</v>
      </c>
      <c r="J5448" t="s">
        <v>346</v>
      </c>
      <c r="K5448">
        <v>12622.8</v>
      </c>
      <c r="L5448">
        <v>2564.79</v>
      </c>
      <c r="M5448">
        <v>18820</v>
      </c>
      <c r="N5448" t="s">
        <v>372</v>
      </c>
      <c r="O5448">
        <v>250919</v>
      </c>
      <c r="P5448">
        <v>10058.01</v>
      </c>
    </row>
    <row r="5449" spans="1:16" x14ac:dyDescent="0.25">
      <c r="A5449" t="s">
        <v>3296</v>
      </c>
      <c r="B5449" t="s">
        <v>2931</v>
      </c>
      <c r="C5449">
        <v>12538</v>
      </c>
      <c r="D5449" t="str">
        <f>"1092        "</f>
        <v xml:space="preserve">1092        </v>
      </c>
      <c r="E5449" t="s">
        <v>1411</v>
      </c>
      <c r="F5449" t="s">
        <v>1412</v>
      </c>
      <c r="G5449">
        <v>12550</v>
      </c>
      <c r="H5449">
        <v>250916</v>
      </c>
      <c r="I5449">
        <v>4440</v>
      </c>
      <c r="J5449" t="s">
        <v>346</v>
      </c>
      <c r="K5449">
        <v>12550</v>
      </c>
      <c r="L5449">
        <v>2550</v>
      </c>
      <c r="M5449">
        <v>18120</v>
      </c>
      <c r="N5449" t="s">
        <v>37</v>
      </c>
      <c r="O5449">
        <v>250926</v>
      </c>
      <c r="P5449">
        <v>10000</v>
      </c>
    </row>
    <row r="5450" spans="1:16" x14ac:dyDescent="0.25">
      <c r="A5450" t="s">
        <v>3296</v>
      </c>
      <c r="B5450" t="s">
        <v>2931</v>
      </c>
      <c r="C5450">
        <v>12573</v>
      </c>
      <c r="D5450" t="str">
        <f>"1096        "</f>
        <v xml:space="preserve">1096        </v>
      </c>
      <c r="E5450" t="s">
        <v>1411</v>
      </c>
      <c r="F5450" t="s">
        <v>1412</v>
      </c>
      <c r="G5450">
        <v>8782.5</v>
      </c>
      <c r="H5450">
        <v>250916</v>
      </c>
      <c r="I5450">
        <v>4440</v>
      </c>
      <c r="J5450" t="s">
        <v>346</v>
      </c>
      <c r="K5450">
        <v>8782.5</v>
      </c>
      <c r="L5450">
        <v>1784.49</v>
      </c>
      <c r="M5450">
        <v>18120</v>
      </c>
      <c r="N5450" t="s">
        <v>37</v>
      </c>
      <c r="O5450">
        <v>250926</v>
      </c>
      <c r="P5450">
        <v>6998.01</v>
      </c>
    </row>
    <row r="5451" spans="1:16" x14ac:dyDescent="0.25">
      <c r="A5451" t="s">
        <v>3296</v>
      </c>
      <c r="B5451" t="s">
        <v>2931</v>
      </c>
      <c r="C5451">
        <v>12576</v>
      </c>
      <c r="D5451" t="str">
        <f>"1095        "</f>
        <v xml:space="preserve">1095        </v>
      </c>
      <c r="E5451" t="s">
        <v>1411</v>
      </c>
      <c r="F5451" t="s">
        <v>1412</v>
      </c>
      <c r="G5451">
        <v>7680.6</v>
      </c>
      <c r="H5451">
        <v>250916</v>
      </c>
      <c r="I5451">
        <v>4440</v>
      </c>
      <c r="J5451" t="s">
        <v>346</v>
      </c>
      <c r="K5451">
        <v>7680.6</v>
      </c>
      <c r="L5451">
        <v>1560.6</v>
      </c>
      <c r="M5451">
        <v>18120</v>
      </c>
      <c r="N5451" t="s">
        <v>37</v>
      </c>
      <c r="O5451">
        <v>250926</v>
      </c>
      <c r="P5451">
        <v>6120</v>
      </c>
    </row>
    <row r="5452" spans="1:16" x14ac:dyDescent="0.25">
      <c r="A5452" t="s">
        <v>3296</v>
      </c>
      <c r="B5452" t="s">
        <v>2931</v>
      </c>
      <c r="C5452">
        <v>13292</v>
      </c>
      <c r="D5452" t="str">
        <f>"1099        "</f>
        <v xml:space="preserve">1099        </v>
      </c>
      <c r="E5452" t="s">
        <v>1411</v>
      </c>
      <c r="F5452" t="s">
        <v>1412</v>
      </c>
      <c r="G5452">
        <v>9036</v>
      </c>
      <c r="H5452">
        <v>250927</v>
      </c>
      <c r="I5452">
        <v>4440</v>
      </c>
      <c r="J5452" t="s">
        <v>346</v>
      </c>
      <c r="K5452">
        <v>9036</v>
      </c>
      <c r="L5452">
        <v>1836</v>
      </c>
      <c r="M5452">
        <v>18120</v>
      </c>
      <c r="N5452" t="s">
        <v>37</v>
      </c>
      <c r="O5452">
        <v>251007</v>
      </c>
      <c r="P5452">
        <v>7200</v>
      </c>
    </row>
    <row r="5453" spans="1:16" x14ac:dyDescent="0.25">
      <c r="A5453" t="s">
        <v>3296</v>
      </c>
      <c r="B5453" t="s">
        <v>2931</v>
      </c>
      <c r="C5453">
        <v>16850</v>
      </c>
      <c r="D5453" t="str">
        <f>"1163        "</f>
        <v xml:space="preserve">1163        </v>
      </c>
      <c r="E5453" t="s">
        <v>1411</v>
      </c>
      <c r="F5453" t="s">
        <v>1412</v>
      </c>
      <c r="G5453">
        <v>6588.75</v>
      </c>
      <c r="H5453">
        <v>251204</v>
      </c>
      <c r="I5453">
        <v>4440</v>
      </c>
      <c r="J5453" t="s">
        <v>346</v>
      </c>
      <c r="K5453">
        <v>6588.75</v>
      </c>
      <c r="L5453">
        <v>1338.75</v>
      </c>
      <c r="M5453">
        <v>18120</v>
      </c>
      <c r="N5453" t="s">
        <v>37</v>
      </c>
      <c r="O5453">
        <v>251215</v>
      </c>
      <c r="P5453">
        <v>5250</v>
      </c>
    </row>
    <row r="5454" spans="1:16" x14ac:dyDescent="0.25">
      <c r="A5454" t="s">
        <v>3296</v>
      </c>
      <c r="B5454" t="s">
        <v>2931</v>
      </c>
      <c r="C5454">
        <v>16995</v>
      </c>
      <c r="D5454" t="str">
        <f>"1210        "</f>
        <v xml:space="preserve">1210        </v>
      </c>
      <c r="E5454" t="s">
        <v>1411</v>
      </c>
      <c r="F5454" t="s">
        <v>1412</v>
      </c>
      <c r="G5454">
        <v>7040.55</v>
      </c>
      <c r="H5454">
        <v>251130</v>
      </c>
      <c r="I5454">
        <v>4440</v>
      </c>
      <c r="J5454" t="s">
        <v>346</v>
      </c>
      <c r="K5454">
        <v>7040.55</v>
      </c>
      <c r="L5454">
        <v>1430.55</v>
      </c>
      <c r="M5454">
        <v>18120</v>
      </c>
      <c r="N5454" t="s">
        <v>37</v>
      </c>
      <c r="O5454">
        <v>251216</v>
      </c>
      <c r="P5454">
        <v>5610</v>
      </c>
    </row>
    <row r="5455" spans="1:16" x14ac:dyDescent="0.25">
      <c r="A5455" t="s">
        <v>3296</v>
      </c>
      <c r="B5455" t="s">
        <v>2931</v>
      </c>
      <c r="C5455">
        <v>17278</v>
      </c>
      <c r="D5455" t="str">
        <f>"1169        "</f>
        <v xml:space="preserve">1169        </v>
      </c>
      <c r="E5455" t="s">
        <v>1411</v>
      </c>
      <c r="F5455" t="s">
        <v>1412</v>
      </c>
      <c r="G5455">
        <v>7363.09</v>
      </c>
      <c r="H5455">
        <v>251204</v>
      </c>
      <c r="I5455">
        <v>4440</v>
      </c>
      <c r="J5455" t="s">
        <v>346</v>
      </c>
      <c r="K5455">
        <v>7363.09</v>
      </c>
      <c r="L5455">
        <v>1496.09</v>
      </c>
      <c r="M5455">
        <v>18120</v>
      </c>
      <c r="N5455" t="s">
        <v>37</v>
      </c>
      <c r="O5455">
        <v>251219</v>
      </c>
      <c r="P5455">
        <v>5867</v>
      </c>
    </row>
    <row r="5456" spans="1:16" x14ac:dyDescent="0.25">
      <c r="A5456" t="s">
        <v>3296</v>
      </c>
      <c r="B5456" t="s">
        <v>2931</v>
      </c>
      <c r="C5456">
        <v>17370</v>
      </c>
      <c r="D5456" t="str">
        <f>"1166        "</f>
        <v xml:space="preserve">1166        </v>
      </c>
      <c r="E5456" t="s">
        <v>1411</v>
      </c>
      <c r="F5456" t="s">
        <v>1412</v>
      </c>
      <c r="G5456">
        <v>11466.94</v>
      </c>
      <c r="H5456">
        <v>251204</v>
      </c>
      <c r="I5456">
        <v>4440</v>
      </c>
      <c r="J5456" t="s">
        <v>346</v>
      </c>
      <c r="K5456">
        <v>11466.94</v>
      </c>
      <c r="L5456">
        <v>2329.94</v>
      </c>
      <c r="M5456">
        <v>18820</v>
      </c>
      <c r="N5456" t="s">
        <v>372</v>
      </c>
      <c r="O5456">
        <v>251219</v>
      </c>
      <c r="P5456">
        <v>9137</v>
      </c>
    </row>
    <row r="5457" spans="1:16" x14ac:dyDescent="0.25">
      <c r="A5457" t="s">
        <v>3296</v>
      </c>
      <c r="B5457" t="s">
        <v>2931</v>
      </c>
      <c r="C5457">
        <v>17382</v>
      </c>
      <c r="D5457" t="str">
        <f>"1165        "</f>
        <v xml:space="preserve">1165        </v>
      </c>
      <c r="E5457" t="s">
        <v>1411</v>
      </c>
      <c r="F5457" t="s">
        <v>1412</v>
      </c>
      <c r="G5457">
        <v>10542</v>
      </c>
      <c r="H5457">
        <v>251204</v>
      </c>
      <c r="I5457">
        <v>4440</v>
      </c>
      <c r="J5457" t="s">
        <v>346</v>
      </c>
      <c r="K5457">
        <v>10542</v>
      </c>
      <c r="L5457">
        <v>2142</v>
      </c>
      <c r="M5457">
        <v>18120</v>
      </c>
      <c r="N5457" t="s">
        <v>37</v>
      </c>
      <c r="O5457">
        <v>251219</v>
      </c>
      <c r="P5457">
        <v>8400</v>
      </c>
    </row>
    <row r="5458" spans="1:16" x14ac:dyDescent="0.25">
      <c r="A5458" t="s">
        <v>3296</v>
      </c>
      <c r="B5458" t="s">
        <v>2931</v>
      </c>
      <c r="C5458">
        <v>17544</v>
      </c>
      <c r="D5458" t="str">
        <f>"1164        "</f>
        <v xml:space="preserve">1164        </v>
      </c>
      <c r="E5458" t="s">
        <v>1411</v>
      </c>
      <c r="F5458" t="s">
        <v>1412</v>
      </c>
      <c r="G5458">
        <v>12048</v>
      </c>
      <c r="H5458">
        <v>251204</v>
      </c>
      <c r="I5458">
        <v>4440</v>
      </c>
      <c r="J5458" t="s">
        <v>346</v>
      </c>
      <c r="K5458">
        <v>12048</v>
      </c>
      <c r="L5458">
        <v>2448</v>
      </c>
      <c r="M5458">
        <v>18120</v>
      </c>
      <c r="N5458" t="s">
        <v>37</v>
      </c>
      <c r="O5458">
        <v>251222</v>
      </c>
      <c r="P5458">
        <v>9600</v>
      </c>
    </row>
    <row r="5459" spans="1:16" x14ac:dyDescent="0.25">
      <c r="A5459" t="s">
        <v>3296</v>
      </c>
      <c r="B5459" t="s">
        <v>2931</v>
      </c>
      <c r="C5459">
        <v>17560</v>
      </c>
      <c r="D5459" t="str">
        <f>"1162        "</f>
        <v xml:space="preserve">1162        </v>
      </c>
      <c r="E5459" t="s">
        <v>1411</v>
      </c>
      <c r="F5459" t="s">
        <v>1412</v>
      </c>
      <c r="G5459">
        <v>7906.5</v>
      </c>
      <c r="H5459">
        <v>251204</v>
      </c>
      <c r="I5459">
        <v>4440</v>
      </c>
      <c r="J5459" t="s">
        <v>346</v>
      </c>
      <c r="K5459">
        <v>7906.5</v>
      </c>
      <c r="L5459">
        <v>1606.5</v>
      </c>
      <c r="M5459">
        <v>18120</v>
      </c>
      <c r="N5459" t="s">
        <v>37</v>
      </c>
      <c r="O5459">
        <v>251222</v>
      </c>
      <c r="P5459">
        <v>6300</v>
      </c>
    </row>
    <row r="5460" spans="1:16" x14ac:dyDescent="0.25">
      <c r="A5460" t="s">
        <v>3296</v>
      </c>
      <c r="B5460" t="s">
        <v>2931</v>
      </c>
      <c r="C5460">
        <v>17618</v>
      </c>
      <c r="D5460" t="str">
        <f>"1167        "</f>
        <v xml:space="preserve">1167        </v>
      </c>
      <c r="E5460" t="s">
        <v>1411</v>
      </c>
      <c r="F5460" t="s">
        <v>1412</v>
      </c>
      <c r="G5460">
        <v>17168.400000000001</v>
      </c>
      <c r="H5460">
        <v>251204</v>
      </c>
      <c r="I5460">
        <v>4440</v>
      </c>
      <c r="J5460" t="s">
        <v>346</v>
      </c>
      <c r="K5460">
        <v>17168.400000000001</v>
      </c>
      <c r="L5460">
        <v>3488.4</v>
      </c>
      <c r="M5460">
        <v>18820</v>
      </c>
      <c r="N5460" t="s">
        <v>372</v>
      </c>
      <c r="O5460">
        <v>251223</v>
      </c>
      <c r="P5460">
        <v>13680</v>
      </c>
    </row>
    <row r="5461" spans="1:16" x14ac:dyDescent="0.25">
      <c r="A5461" t="s">
        <v>3296</v>
      </c>
      <c r="B5461" t="s">
        <v>2931</v>
      </c>
      <c r="C5461">
        <v>17631</v>
      </c>
      <c r="D5461" t="str">
        <f>"1170        "</f>
        <v xml:space="preserve">1170        </v>
      </c>
      <c r="E5461" t="s">
        <v>1411</v>
      </c>
      <c r="F5461" t="s">
        <v>1412</v>
      </c>
      <c r="G5461">
        <v>8534.01</v>
      </c>
      <c r="H5461">
        <v>251204</v>
      </c>
      <c r="I5461">
        <v>4440</v>
      </c>
      <c r="J5461" t="s">
        <v>346</v>
      </c>
      <c r="K5461">
        <v>8534.01</v>
      </c>
      <c r="L5461">
        <v>1734</v>
      </c>
      <c r="M5461">
        <v>18120</v>
      </c>
      <c r="N5461" t="s">
        <v>37</v>
      </c>
      <c r="O5461">
        <v>251223</v>
      </c>
      <c r="P5461">
        <v>6800.01</v>
      </c>
    </row>
    <row r="5462" spans="1:16" x14ac:dyDescent="0.25">
      <c r="A5462" t="s">
        <v>3296</v>
      </c>
      <c r="B5462" t="s">
        <v>2931</v>
      </c>
      <c r="C5462">
        <v>16672</v>
      </c>
      <c r="D5462" t="str">
        <f>"98          "</f>
        <v xml:space="preserve">98          </v>
      </c>
      <c r="E5462" t="s">
        <v>3183</v>
      </c>
      <c r="F5462" t="s">
        <v>3184</v>
      </c>
      <c r="G5462">
        <v>105</v>
      </c>
      <c r="H5462">
        <v>251130</v>
      </c>
      <c r="I5462">
        <v>4440</v>
      </c>
      <c r="J5462" t="s">
        <v>346</v>
      </c>
      <c r="K5462">
        <v>115</v>
      </c>
      <c r="L5462">
        <v>12.89</v>
      </c>
      <c r="M5462">
        <v>14541</v>
      </c>
      <c r="N5462" t="s">
        <v>76</v>
      </c>
      <c r="O5462">
        <v>251211</v>
      </c>
      <c r="P5462">
        <v>92.11</v>
      </c>
    </row>
    <row r="5463" spans="1:16" x14ac:dyDescent="0.25">
      <c r="A5463" t="s">
        <v>3296</v>
      </c>
      <c r="B5463" t="s">
        <v>2931</v>
      </c>
      <c r="C5463">
        <v>16672</v>
      </c>
      <c r="D5463" t="str">
        <f>"98          "</f>
        <v xml:space="preserve">98          </v>
      </c>
      <c r="E5463" t="s">
        <v>3183</v>
      </c>
      <c r="F5463" t="s">
        <v>3184</v>
      </c>
      <c r="G5463">
        <v>10</v>
      </c>
      <c r="H5463">
        <v>251130</v>
      </c>
      <c r="I5463">
        <v>4470</v>
      </c>
      <c r="J5463" t="s">
        <v>203</v>
      </c>
      <c r="K5463">
        <v>115</v>
      </c>
      <c r="L5463">
        <v>2.0299999999999998</v>
      </c>
      <c r="M5463">
        <v>14541</v>
      </c>
      <c r="N5463" t="s">
        <v>76</v>
      </c>
      <c r="O5463">
        <v>251211</v>
      </c>
      <c r="P5463">
        <v>7.97</v>
      </c>
    </row>
    <row r="5464" spans="1:16" x14ac:dyDescent="0.25">
      <c r="A5464" t="s">
        <v>3296</v>
      </c>
      <c r="B5464" t="s">
        <v>2931</v>
      </c>
      <c r="C5464">
        <v>4050</v>
      </c>
      <c r="D5464" t="str">
        <f>"60128797    "</f>
        <v xml:space="preserve">60128797    </v>
      </c>
      <c r="E5464" t="s">
        <v>1553</v>
      </c>
      <c r="F5464" t="s">
        <v>1554</v>
      </c>
      <c r="G5464">
        <v>387.8</v>
      </c>
      <c r="H5464">
        <v>250307</v>
      </c>
      <c r="I5464">
        <v>4580</v>
      </c>
      <c r="J5464" t="s">
        <v>126</v>
      </c>
      <c r="K5464">
        <v>387.8</v>
      </c>
      <c r="L5464">
        <v>78.8</v>
      </c>
      <c r="M5464">
        <v>13861</v>
      </c>
      <c r="N5464" t="s">
        <v>604</v>
      </c>
      <c r="O5464">
        <v>250407</v>
      </c>
      <c r="P5464">
        <v>309</v>
      </c>
    </row>
    <row r="5465" spans="1:16" x14ac:dyDescent="0.25">
      <c r="A5465" t="s">
        <v>3296</v>
      </c>
      <c r="B5465" t="s">
        <v>2931</v>
      </c>
      <c r="C5465">
        <v>702</v>
      </c>
      <c r="D5465" t="str">
        <f>"9008057247  "</f>
        <v xml:space="preserve">9008057247  </v>
      </c>
      <c r="E5465" t="s">
        <v>679</v>
      </c>
      <c r="F5465" t="s">
        <v>681</v>
      </c>
      <c r="G5465">
        <v>136.5</v>
      </c>
      <c r="H5465">
        <v>250123</v>
      </c>
      <c r="I5465">
        <v>4410</v>
      </c>
      <c r="J5465" t="s">
        <v>165</v>
      </c>
      <c r="K5465">
        <v>136.5</v>
      </c>
      <c r="L5465">
        <v>16.760000000000002</v>
      </c>
      <c r="M5465">
        <v>13932</v>
      </c>
      <c r="N5465" t="s">
        <v>680</v>
      </c>
      <c r="O5465">
        <v>250128</v>
      </c>
      <c r="P5465">
        <v>119.74</v>
      </c>
    </row>
    <row r="5466" spans="1:16" x14ac:dyDescent="0.25">
      <c r="A5466" t="s">
        <v>3296</v>
      </c>
      <c r="B5466" t="s">
        <v>2931</v>
      </c>
      <c r="C5466">
        <v>1026</v>
      </c>
      <c r="D5466" t="str">
        <f>"9008059358  "</f>
        <v xml:space="preserve">9008059358  </v>
      </c>
      <c r="E5466" t="s">
        <v>679</v>
      </c>
      <c r="F5466" t="s">
        <v>681</v>
      </c>
      <c r="G5466">
        <v>63.8</v>
      </c>
      <c r="H5466">
        <v>250128</v>
      </c>
      <c r="I5466">
        <v>4410</v>
      </c>
      <c r="J5466" t="s">
        <v>165</v>
      </c>
      <c r="K5466">
        <v>118.3</v>
      </c>
      <c r="L5466">
        <v>7.84</v>
      </c>
      <c r="M5466">
        <v>13932</v>
      </c>
      <c r="N5466" t="s">
        <v>680</v>
      </c>
      <c r="O5466">
        <v>250203</v>
      </c>
      <c r="P5466">
        <v>55.96</v>
      </c>
    </row>
    <row r="5467" spans="1:16" x14ac:dyDescent="0.25">
      <c r="A5467" t="s">
        <v>3296</v>
      </c>
      <c r="B5467" t="s">
        <v>2931</v>
      </c>
      <c r="C5467">
        <v>1026</v>
      </c>
      <c r="D5467" t="str">
        <f>"9008059358  "</f>
        <v xml:space="preserve">9008059358  </v>
      </c>
      <c r="E5467" t="s">
        <v>679</v>
      </c>
      <c r="F5467" t="s">
        <v>681</v>
      </c>
      <c r="G5467">
        <v>54.5</v>
      </c>
      <c r="H5467">
        <v>250128</v>
      </c>
      <c r="I5467">
        <v>4410</v>
      </c>
      <c r="J5467" t="s">
        <v>165</v>
      </c>
      <c r="K5467">
        <v>118.3</v>
      </c>
      <c r="L5467">
        <v>6.69</v>
      </c>
      <c r="M5467">
        <v>16951</v>
      </c>
      <c r="N5467" t="s">
        <v>488</v>
      </c>
      <c r="O5467">
        <v>250203</v>
      </c>
      <c r="P5467">
        <v>47.81</v>
      </c>
    </row>
    <row r="5468" spans="1:16" x14ac:dyDescent="0.25">
      <c r="A5468" t="s">
        <v>3296</v>
      </c>
      <c r="B5468" t="s">
        <v>2931</v>
      </c>
      <c r="C5468">
        <v>1027</v>
      </c>
      <c r="D5468" t="str">
        <f>"9008060784  "</f>
        <v xml:space="preserve">9008060784  </v>
      </c>
      <c r="E5468" t="s">
        <v>679</v>
      </c>
      <c r="F5468" t="s">
        <v>681</v>
      </c>
      <c r="G5468">
        <v>77.349999999999994</v>
      </c>
      <c r="H5468">
        <v>250129</v>
      </c>
      <c r="I5468">
        <v>4410</v>
      </c>
      <c r="J5468" t="s">
        <v>165</v>
      </c>
      <c r="K5468">
        <v>154.69999999999999</v>
      </c>
      <c r="L5468">
        <v>9.5</v>
      </c>
      <c r="M5468">
        <v>13932</v>
      </c>
      <c r="N5468" t="s">
        <v>680</v>
      </c>
      <c r="O5468">
        <v>250203</v>
      </c>
      <c r="P5468">
        <v>67.849999999999994</v>
      </c>
    </row>
    <row r="5469" spans="1:16" x14ac:dyDescent="0.25">
      <c r="A5469" t="s">
        <v>3296</v>
      </c>
      <c r="B5469" t="s">
        <v>2931</v>
      </c>
      <c r="C5469">
        <v>1027</v>
      </c>
      <c r="D5469" t="str">
        <f>"9008060784  "</f>
        <v xml:space="preserve">9008060784  </v>
      </c>
      <c r="E5469" t="s">
        <v>679</v>
      </c>
      <c r="F5469" t="s">
        <v>681</v>
      </c>
      <c r="G5469">
        <v>77.349999999999994</v>
      </c>
      <c r="H5469">
        <v>250129</v>
      </c>
      <c r="I5469">
        <v>4410</v>
      </c>
      <c r="J5469" t="s">
        <v>165</v>
      </c>
      <c r="K5469">
        <v>154.69999999999999</v>
      </c>
      <c r="L5469">
        <v>9.5</v>
      </c>
      <c r="M5469">
        <v>16951</v>
      </c>
      <c r="N5469" t="s">
        <v>488</v>
      </c>
      <c r="O5469">
        <v>250203</v>
      </c>
      <c r="P5469">
        <v>67.849999999999994</v>
      </c>
    </row>
    <row r="5470" spans="1:16" x14ac:dyDescent="0.25">
      <c r="A5470" t="s">
        <v>3296</v>
      </c>
      <c r="B5470" t="s">
        <v>2931</v>
      </c>
      <c r="C5470">
        <v>1034</v>
      </c>
      <c r="D5470" t="str">
        <f>"47766       "</f>
        <v xml:space="preserve">47766       </v>
      </c>
      <c r="E5470" t="s">
        <v>827</v>
      </c>
      <c r="F5470" t="s">
        <v>828</v>
      </c>
      <c r="G5470">
        <v>164.64</v>
      </c>
      <c r="H5470">
        <v>250130</v>
      </c>
      <c r="I5470">
        <v>4400</v>
      </c>
      <c r="J5470" t="s">
        <v>162</v>
      </c>
      <c r="K5470">
        <v>164.64</v>
      </c>
      <c r="L5470">
        <v>33.450000000000003</v>
      </c>
      <c r="M5470">
        <v>17524</v>
      </c>
      <c r="N5470" t="s">
        <v>139</v>
      </c>
      <c r="O5470">
        <v>250203</v>
      </c>
      <c r="P5470">
        <v>131.19</v>
      </c>
    </row>
    <row r="5471" spans="1:16" x14ac:dyDescent="0.25">
      <c r="A5471" t="s">
        <v>3296</v>
      </c>
      <c r="B5471" t="s">
        <v>2931</v>
      </c>
      <c r="C5471">
        <v>2649</v>
      </c>
      <c r="D5471" t="str">
        <f>"47911       "</f>
        <v xml:space="preserve">47911       </v>
      </c>
      <c r="E5471" t="s">
        <v>827</v>
      </c>
      <c r="F5471" t="s">
        <v>828</v>
      </c>
      <c r="G5471">
        <v>58.54</v>
      </c>
      <c r="H5471">
        <v>250225</v>
      </c>
      <c r="I5471">
        <v>4400</v>
      </c>
      <c r="J5471" t="s">
        <v>162</v>
      </c>
      <c r="K5471">
        <v>1303.54</v>
      </c>
      <c r="L5471">
        <v>11.89</v>
      </c>
      <c r="M5471">
        <v>17524</v>
      </c>
      <c r="N5471" t="s">
        <v>139</v>
      </c>
      <c r="O5471">
        <v>250310</v>
      </c>
      <c r="P5471">
        <v>46.65</v>
      </c>
    </row>
    <row r="5472" spans="1:16" x14ac:dyDescent="0.25">
      <c r="A5472" t="s">
        <v>3296</v>
      </c>
      <c r="B5472" t="s">
        <v>2931</v>
      </c>
      <c r="C5472">
        <v>4215</v>
      </c>
      <c r="D5472" t="str">
        <f>"48067       "</f>
        <v xml:space="preserve">48067       </v>
      </c>
      <c r="E5472" t="s">
        <v>827</v>
      </c>
      <c r="F5472" t="s">
        <v>828</v>
      </c>
      <c r="G5472">
        <v>374.53</v>
      </c>
      <c r="H5472">
        <v>250327</v>
      </c>
      <c r="I5472">
        <v>4400</v>
      </c>
      <c r="J5472" t="s">
        <v>162</v>
      </c>
      <c r="K5472">
        <v>374.53</v>
      </c>
      <c r="L5472">
        <v>76.099999999999994</v>
      </c>
      <c r="M5472">
        <v>17523</v>
      </c>
      <c r="N5472" t="s">
        <v>138</v>
      </c>
      <c r="O5472">
        <v>250409</v>
      </c>
      <c r="P5472">
        <v>298.43</v>
      </c>
    </row>
    <row r="5473" spans="1:16" x14ac:dyDescent="0.25">
      <c r="A5473" t="s">
        <v>3296</v>
      </c>
      <c r="B5473" t="s">
        <v>2931</v>
      </c>
      <c r="C5473">
        <v>5946</v>
      </c>
      <c r="D5473" t="str">
        <f>"48288       "</f>
        <v xml:space="preserve">48288       </v>
      </c>
      <c r="E5473" t="s">
        <v>827</v>
      </c>
      <c r="F5473" t="s">
        <v>828</v>
      </c>
      <c r="G5473">
        <v>56.68</v>
      </c>
      <c r="H5473">
        <v>250430</v>
      </c>
      <c r="I5473">
        <v>4400</v>
      </c>
      <c r="J5473" t="s">
        <v>162</v>
      </c>
      <c r="K5473">
        <v>56.68</v>
      </c>
      <c r="L5473">
        <v>11.52</v>
      </c>
      <c r="M5473">
        <v>17535</v>
      </c>
      <c r="N5473" t="s">
        <v>149</v>
      </c>
      <c r="O5473">
        <v>250507</v>
      </c>
      <c r="P5473">
        <v>45.16</v>
      </c>
    </row>
    <row r="5474" spans="1:16" x14ac:dyDescent="0.25">
      <c r="A5474" t="s">
        <v>3296</v>
      </c>
      <c r="B5474" t="s">
        <v>2931</v>
      </c>
      <c r="C5474">
        <v>7356</v>
      </c>
      <c r="D5474" t="str">
        <f>"48485       "</f>
        <v xml:space="preserve">48485       </v>
      </c>
      <c r="E5474" t="s">
        <v>827</v>
      </c>
      <c r="F5474" t="s">
        <v>828</v>
      </c>
      <c r="G5474">
        <v>61.77</v>
      </c>
      <c r="H5474">
        <v>250521</v>
      </c>
      <c r="I5474">
        <v>4400</v>
      </c>
      <c r="J5474" t="s">
        <v>162</v>
      </c>
      <c r="K5474">
        <v>102.26</v>
      </c>
      <c r="L5474">
        <v>12.55</v>
      </c>
      <c r="M5474">
        <v>17524</v>
      </c>
      <c r="N5474" t="s">
        <v>139</v>
      </c>
      <c r="O5474">
        <v>250603</v>
      </c>
      <c r="P5474">
        <v>49.22</v>
      </c>
    </row>
    <row r="5475" spans="1:16" x14ac:dyDescent="0.25">
      <c r="A5475" t="s">
        <v>3296</v>
      </c>
      <c r="B5475" t="s">
        <v>2931</v>
      </c>
      <c r="C5475">
        <v>10424</v>
      </c>
      <c r="D5475" t="str">
        <f>"49055       "</f>
        <v xml:space="preserve">49055       </v>
      </c>
      <c r="E5475" t="s">
        <v>827</v>
      </c>
      <c r="F5475" t="s">
        <v>828</v>
      </c>
      <c r="G5475">
        <v>24.9</v>
      </c>
      <c r="H5475">
        <v>250804</v>
      </c>
      <c r="I5475">
        <v>4400</v>
      </c>
      <c r="J5475" t="s">
        <v>162</v>
      </c>
      <c r="K5475">
        <v>2093.1999999999998</v>
      </c>
      <c r="L5475">
        <v>5.0599999999999996</v>
      </c>
      <c r="M5475">
        <v>17524</v>
      </c>
      <c r="N5475" t="s">
        <v>139</v>
      </c>
      <c r="O5475">
        <v>250819</v>
      </c>
      <c r="P5475">
        <v>19.84</v>
      </c>
    </row>
    <row r="5476" spans="1:16" x14ac:dyDescent="0.25">
      <c r="A5476" t="s">
        <v>3296</v>
      </c>
      <c r="B5476" t="s">
        <v>2931</v>
      </c>
      <c r="C5476">
        <v>10498</v>
      </c>
      <c r="D5476" t="str">
        <f>"49091       "</f>
        <v xml:space="preserve">49091       </v>
      </c>
      <c r="E5476" t="s">
        <v>827</v>
      </c>
      <c r="F5476" t="s">
        <v>828</v>
      </c>
      <c r="G5476">
        <v>11.09</v>
      </c>
      <c r="H5476">
        <v>250814</v>
      </c>
      <c r="I5476">
        <v>4400</v>
      </c>
      <c r="J5476" t="s">
        <v>162</v>
      </c>
      <c r="K5476">
        <v>629.02</v>
      </c>
      <c r="L5476">
        <v>2.25</v>
      </c>
      <c r="M5476">
        <v>17523</v>
      </c>
      <c r="N5476" t="s">
        <v>138</v>
      </c>
      <c r="O5476">
        <v>250820</v>
      </c>
      <c r="P5476">
        <v>8.84</v>
      </c>
    </row>
    <row r="5477" spans="1:16" x14ac:dyDescent="0.25">
      <c r="A5477" t="s">
        <v>3296</v>
      </c>
      <c r="B5477" t="s">
        <v>2931</v>
      </c>
      <c r="C5477">
        <v>10498</v>
      </c>
      <c r="D5477" t="str">
        <f>"49091       "</f>
        <v xml:space="preserve">49091       </v>
      </c>
      <c r="E5477" t="s">
        <v>827</v>
      </c>
      <c r="F5477" t="s">
        <v>828</v>
      </c>
      <c r="G5477">
        <v>473.93</v>
      </c>
      <c r="H5477">
        <v>250814</v>
      </c>
      <c r="I5477">
        <v>4400</v>
      </c>
      <c r="J5477" t="s">
        <v>162</v>
      </c>
      <c r="K5477">
        <v>629.02</v>
      </c>
      <c r="L5477">
        <v>96.3</v>
      </c>
      <c r="M5477">
        <v>17523</v>
      </c>
      <c r="N5477" t="s">
        <v>138</v>
      </c>
      <c r="O5477">
        <v>250820</v>
      </c>
      <c r="P5477">
        <v>377.63</v>
      </c>
    </row>
    <row r="5478" spans="1:16" x14ac:dyDescent="0.25">
      <c r="A5478" t="s">
        <v>3296</v>
      </c>
      <c r="B5478" t="s">
        <v>2931</v>
      </c>
      <c r="C5478">
        <v>10498</v>
      </c>
      <c r="D5478" t="str">
        <f>"49091       "</f>
        <v xml:space="preserve">49091       </v>
      </c>
      <c r="E5478" t="s">
        <v>827</v>
      </c>
      <c r="F5478" t="s">
        <v>828</v>
      </c>
      <c r="G5478">
        <v>144</v>
      </c>
      <c r="H5478">
        <v>250814</v>
      </c>
      <c r="I5478">
        <v>4400</v>
      </c>
      <c r="J5478" t="s">
        <v>162</v>
      </c>
      <c r="K5478">
        <v>629.02</v>
      </c>
      <c r="L5478">
        <v>29.26</v>
      </c>
      <c r="M5478">
        <v>17950</v>
      </c>
      <c r="N5478" t="s">
        <v>132</v>
      </c>
      <c r="O5478">
        <v>250820</v>
      </c>
      <c r="P5478">
        <v>114.74</v>
      </c>
    </row>
    <row r="5479" spans="1:16" x14ac:dyDescent="0.25">
      <c r="A5479" t="s">
        <v>3296</v>
      </c>
      <c r="B5479" t="s">
        <v>2931</v>
      </c>
      <c r="C5479">
        <v>14119</v>
      </c>
      <c r="D5479" t="str">
        <f>"49557       "</f>
        <v xml:space="preserve">49557       </v>
      </c>
      <c r="E5479" t="s">
        <v>827</v>
      </c>
      <c r="F5479" t="s">
        <v>828</v>
      </c>
      <c r="G5479">
        <v>103.98</v>
      </c>
      <c r="H5479">
        <v>251021</v>
      </c>
      <c r="I5479">
        <v>4400</v>
      </c>
      <c r="J5479" t="s">
        <v>162</v>
      </c>
      <c r="K5479">
        <v>103.98</v>
      </c>
      <c r="L5479">
        <v>21.13</v>
      </c>
      <c r="M5479">
        <v>17523</v>
      </c>
      <c r="N5479" t="s">
        <v>138</v>
      </c>
      <c r="O5479">
        <v>251024</v>
      </c>
      <c r="P5479">
        <v>82.85</v>
      </c>
    </row>
    <row r="5480" spans="1:16" x14ac:dyDescent="0.25">
      <c r="A5480" t="s">
        <v>3296</v>
      </c>
      <c r="B5480" t="s">
        <v>2931</v>
      </c>
      <c r="C5480">
        <v>16098</v>
      </c>
      <c r="D5480" t="str">
        <f>"49833       "</f>
        <v xml:space="preserve">49833       </v>
      </c>
      <c r="E5480" t="s">
        <v>827</v>
      </c>
      <c r="F5480" t="s">
        <v>828</v>
      </c>
      <c r="G5480">
        <v>171.7</v>
      </c>
      <c r="H5480">
        <v>251128</v>
      </c>
      <c r="I5480">
        <v>4400</v>
      </c>
      <c r="J5480" t="s">
        <v>162</v>
      </c>
      <c r="K5480">
        <v>171.7</v>
      </c>
      <c r="L5480">
        <v>34.89</v>
      </c>
      <c r="M5480">
        <v>17523</v>
      </c>
      <c r="N5480" t="s">
        <v>138</v>
      </c>
      <c r="O5480">
        <v>251203</v>
      </c>
      <c r="P5480">
        <v>136.81</v>
      </c>
    </row>
    <row r="5481" spans="1:16" x14ac:dyDescent="0.25">
      <c r="A5481" t="s">
        <v>3296</v>
      </c>
      <c r="B5481" t="s">
        <v>2931</v>
      </c>
      <c r="C5481">
        <v>5937</v>
      </c>
      <c r="D5481" t="str">
        <f>"48284       "</f>
        <v xml:space="preserve">48284       </v>
      </c>
      <c r="E5481" t="s">
        <v>827</v>
      </c>
      <c r="F5481" t="s">
        <v>828</v>
      </c>
      <c r="G5481">
        <v>2</v>
      </c>
      <c r="H5481">
        <v>250430</v>
      </c>
      <c r="I5481">
        <v>4470</v>
      </c>
      <c r="J5481" t="s">
        <v>203</v>
      </c>
      <c r="K5481">
        <v>160</v>
      </c>
      <c r="L5481">
        <v>0.41</v>
      </c>
      <c r="M5481">
        <v>13501</v>
      </c>
      <c r="N5481" t="s">
        <v>66</v>
      </c>
      <c r="O5481">
        <v>250507</v>
      </c>
      <c r="P5481">
        <v>1.59</v>
      </c>
    </row>
    <row r="5482" spans="1:16" x14ac:dyDescent="0.25">
      <c r="A5482" t="s">
        <v>3296</v>
      </c>
      <c r="B5482" t="s">
        <v>2931</v>
      </c>
      <c r="C5482">
        <v>5937</v>
      </c>
      <c r="D5482" t="str">
        <f>"48284       "</f>
        <v xml:space="preserve">48284       </v>
      </c>
      <c r="E5482" t="s">
        <v>827</v>
      </c>
      <c r="F5482" t="s">
        <v>828</v>
      </c>
      <c r="G5482">
        <v>39.5</v>
      </c>
      <c r="H5482">
        <v>250430</v>
      </c>
      <c r="I5482">
        <v>4470</v>
      </c>
      <c r="J5482" t="s">
        <v>203</v>
      </c>
      <c r="K5482">
        <v>160</v>
      </c>
      <c r="L5482">
        <v>8.0299999999999994</v>
      </c>
      <c r="M5482">
        <v>16121</v>
      </c>
      <c r="N5482" t="s">
        <v>127</v>
      </c>
      <c r="O5482">
        <v>250507</v>
      </c>
      <c r="P5482">
        <v>31.47</v>
      </c>
    </row>
    <row r="5483" spans="1:16" x14ac:dyDescent="0.25">
      <c r="A5483" t="s">
        <v>3296</v>
      </c>
      <c r="B5483" t="s">
        <v>2931</v>
      </c>
      <c r="C5483">
        <v>5937</v>
      </c>
      <c r="D5483" t="str">
        <f>"48284       "</f>
        <v xml:space="preserve">48284       </v>
      </c>
      <c r="E5483" t="s">
        <v>827</v>
      </c>
      <c r="F5483" t="s">
        <v>828</v>
      </c>
      <c r="G5483">
        <v>39.5</v>
      </c>
      <c r="H5483">
        <v>250430</v>
      </c>
      <c r="I5483">
        <v>4470</v>
      </c>
      <c r="J5483" t="s">
        <v>203</v>
      </c>
      <c r="K5483">
        <v>160</v>
      </c>
      <c r="L5483">
        <v>8.0299999999999994</v>
      </c>
      <c r="M5483">
        <v>16820</v>
      </c>
      <c r="N5483" t="s">
        <v>128</v>
      </c>
      <c r="O5483">
        <v>250507</v>
      </c>
      <c r="P5483">
        <v>31.47</v>
      </c>
    </row>
    <row r="5484" spans="1:16" x14ac:dyDescent="0.25">
      <c r="A5484" t="s">
        <v>3296</v>
      </c>
      <c r="B5484" t="s">
        <v>2931</v>
      </c>
      <c r="C5484">
        <v>5937</v>
      </c>
      <c r="D5484" t="str">
        <f>"48284       "</f>
        <v xml:space="preserve">48284       </v>
      </c>
      <c r="E5484" t="s">
        <v>827</v>
      </c>
      <c r="F5484" t="s">
        <v>828</v>
      </c>
      <c r="G5484">
        <v>79</v>
      </c>
      <c r="H5484">
        <v>250430</v>
      </c>
      <c r="I5484">
        <v>4470</v>
      </c>
      <c r="J5484" t="s">
        <v>203</v>
      </c>
      <c r="K5484">
        <v>160</v>
      </c>
      <c r="L5484">
        <v>16.05</v>
      </c>
      <c r="M5484">
        <v>17538</v>
      </c>
      <c r="N5484" t="s">
        <v>129</v>
      </c>
      <c r="O5484">
        <v>250507</v>
      </c>
      <c r="P5484">
        <v>62.95</v>
      </c>
    </row>
    <row r="5485" spans="1:16" x14ac:dyDescent="0.25">
      <c r="A5485" t="s">
        <v>3296</v>
      </c>
      <c r="B5485" t="s">
        <v>2931</v>
      </c>
      <c r="C5485">
        <v>15406</v>
      </c>
      <c r="D5485" t="str">
        <f>"49710       "</f>
        <v xml:space="preserve">49710       </v>
      </c>
      <c r="E5485" t="s">
        <v>827</v>
      </c>
      <c r="F5485" t="s">
        <v>828</v>
      </c>
      <c r="G5485">
        <v>9.3800000000000008</v>
      </c>
      <c r="H5485">
        <v>251112</v>
      </c>
      <c r="I5485">
        <v>4470</v>
      </c>
      <c r="J5485" t="s">
        <v>203</v>
      </c>
      <c r="K5485">
        <v>187.58</v>
      </c>
      <c r="L5485">
        <v>1.91</v>
      </c>
      <c r="M5485">
        <v>13561</v>
      </c>
      <c r="N5485" t="s">
        <v>241</v>
      </c>
      <c r="O5485">
        <v>251120</v>
      </c>
      <c r="P5485">
        <v>7.47</v>
      </c>
    </row>
    <row r="5486" spans="1:16" x14ac:dyDescent="0.25">
      <c r="A5486" t="s">
        <v>3296</v>
      </c>
      <c r="B5486" t="s">
        <v>2931</v>
      </c>
      <c r="C5486">
        <v>15406</v>
      </c>
      <c r="D5486" t="str">
        <f>"49710       "</f>
        <v xml:space="preserve">49710       </v>
      </c>
      <c r="E5486" t="s">
        <v>827</v>
      </c>
      <c r="F5486" t="s">
        <v>828</v>
      </c>
      <c r="G5486">
        <v>150.62</v>
      </c>
      <c r="H5486">
        <v>251112</v>
      </c>
      <c r="I5486">
        <v>4470</v>
      </c>
      <c r="J5486" t="s">
        <v>203</v>
      </c>
      <c r="K5486">
        <v>187.58</v>
      </c>
      <c r="L5486">
        <v>30.6</v>
      </c>
      <c r="M5486">
        <v>17971</v>
      </c>
      <c r="N5486" t="s">
        <v>27</v>
      </c>
      <c r="O5486">
        <v>251120</v>
      </c>
      <c r="P5486">
        <v>120.02</v>
      </c>
    </row>
    <row r="5487" spans="1:16" x14ac:dyDescent="0.25">
      <c r="A5487" t="s">
        <v>3296</v>
      </c>
      <c r="B5487" t="s">
        <v>2931</v>
      </c>
      <c r="C5487">
        <v>5394</v>
      </c>
      <c r="D5487" t="str">
        <f>"48213       "</f>
        <v xml:space="preserve">48213       </v>
      </c>
      <c r="E5487" t="s">
        <v>827</v>
      </c>
      <c r="F5487" t="s">
        <v>828</v>
      </c>
      <c r="G5487">
        <v>18</v>
      </c>
      <c r="H5487">
        <v>250415</v>
      </c>
      <c r="I5487">
        <v>4500</v>
      </c>
      <c r="J5487" t="s">
        <v>312</v>
      </c>
      <c r="K5487">
        <v>18</v>
      </c>
      <c r="L5487">
        <v>3.66</v>
      </c>
      <c r="M5487">
        <v>13501</v>
      </c>
      <c r="N5487" t="s">
        <v>66</v>
      </c>
      <c r="O5487">
        <v>250424</v>
      </c>
      <c r="P5487">
        <v>14.34</v>
      </c>
    </row>
    <row r="5488" spans="1:16" x14ac:dyDescent="0.25">
      <c r="A5488" t="s">
        <v>3296</v>
      </c>
      <c r="B5488" t="s">
        <v>2931</v>
      </c>
      <c r="C5488">
        <v>10515</v>
      </c>
      <c r="D5488" t="str">
        <f>"49128       "</f>
        <v xml:space="preserve">49128       </v>
      </c>
      <c r="E5488" t="s">
        <v>827</v>
      </c>
      <c r="F5488" t="s">
        <v>828</v>
      </c>
      <c r="G5488">
        <v>13.06</v>
      </c>
      <c r="H5488">
        <v>250815</v>
      </c>
      <c r="I5488">
        <v>4500</v>
      </c>
      <c r="J5488" t="s">
        <v>312</v>
      </c>
      <c r="K5488">
        <v>13.06</v>
      </c>
      <c r="L5488">
        <v>2.65</v>
      </c>
      <c r="M5488">
        <v>17537</v>
      </c>
      <c r="N5488" t="s">
        <v>151</v>
      </c>
      <c r="O5488">
        <v>250820</v>
      </c>
      <c r="P5488">
        <v>10.41</v>
      </c>
    </row>
    <row r="5489" spans="1:16" x14ac:dyDescent="0.25">
      <c r="A5489" t="s">
        <v>3296</v>
      </c>
      <c r="B5489" t="s">
        <v>2931</v>
      </c>
      <c r="C5489">
        <v>3859</v>
      </c>
      <c r="D5489" t="str">
        <f>"48046       "</f>
        <v xml:space="preserve">48046       </v>
      </c>
      <c r="E5489" t="s">
        <v>827</v>
      </c>
      <c r="F5489" t="s">
        <v>828</v>
      </c>
      <c r="G5489">
        <v>234.25</v>
      </c>
      <c r="H5489">
        <v>250319</v>
      </c>
      <c r="I5489">
        <v>4530</v>
      </c>
      <c r="J5489" t="s">
        <v>293</v>
      </c>
      <c r="K5489">
        <v>234.25</v>
      </c>
      <c r="L5489">
        <v>47.6</v>
      </c>
      <c r="M5489">
        <v>17531</v>
      </c>
      <c r="N5489" t="s">
        <v>145</v>
      </c>
      <c r="O5489">
        <v>250402</v>
      </c>
      <c r="P5489">
        <v>186.65</v>
      </c>
    </row>
    <row r="5490" spans="1:16" x14ac:dyDescent="0.25">
      <c r="A5490" t="s">
        <v>3296</v>
      </c>
      <c r="B5490" t="s">
        <v>2931</v>
      </c>
      <c r="C5490">
        <v>6903</v>
      </c>
      <c r="D5490" t="str">
        <f>"48442       "</f>
        <v xml:space="preserve">48442       </v>
      </c>
      <c r="E5490" t="s">
        <v>827</v>
      </c>
      <c r="F5490" t="s">
        <v>828</v>
      </c>
      <c r="G5490">
        <v>60.87</v>
      </c>
      <c r="H5490">
        <v>250515</v>
      </c>
      <c r="I5490">
        <v>4530</v>
      </c>
      <c r="J5490" t="s">
        <v>293</v>
      </c>
      <c r="K5490">
        <v>60.87</v>
      </c>
      <c r="L5490">
        <v>12.37</v>
      </c>
      <c r="M5490">
        <v>17534</v>
      </c>
      <c r="N5490" t="s">
        <v>148</v>
      </c>
      <c r="O5490">
        <v>250520</v>
      </c>
      <c r="P5490">
        <v>48.5</v>
      </c>
    </row>
    <row r="5491" spans="1:16" x14ac:dyDescent="0.25">
      <c r="A5491" t="s">
        <v>3296</v>
      </c>
      <c r="B5491" t="s">
        <v>2931</v>
      </c>
      <c r="C5491">
        <v>10517</v>
      </c>
      <c r="D5491" t="str">
        <f>"49127       "</f>
        <v xml:space="preserve">49127       </v>
      </c>
      <c r="E5491" t="s">
        <v>827</v>
      </c>
      <c r="F5491" t="s">
        <v>828</v>
      </c>
      <c r="G5491">
        <v>31.53</v>
      </c>
      <c r="H5491">
        <v>250815</v>
      </c>
      <c r="I5491">
        <v>4530</v>
      </c>
      <c r="J5491" t="s">
        <v>293</v>
      </c>
      <c r="K5491">
        <v>31.53</v>
      </c>
      <c r="L5491">
        <v>6.41</v>
      </c>
      <c r="M5491">
        <v>17534</v>
      </c>
      <c r="N5491" t="s">
        <v>148</v>
      </c>
      <c r="O5491">
        <v>250820</v>
      </c>
      <c r="P5491">
        <v>25.12</v>
      </c>
    </row>
    <row r="5492" spans="1:16" x14ac:dyDescent="0.25">
      <c r="A5492" t="s">
        <v>3296</v>
      </c>
      <c r="B5492" t="s">
        <v>2931</v>
      </c>
      <c r="C5492">
        <v>12097</v>
      </c>
      <c r="D5492" t="str">
        <f>"49305       "</f>
        <v xml:space="preserve">49305       </v>
      </c>
      <c r="E5492" t="s">
        <v>827</v>
      </c>
      <c r="F5492" t="s">
        <v>828</v>
      </c>
      <c r="G5492">
        <v>12.55</v>
      </c>
      <c r="H5492">
        <v>250909</v>
      </c>
      <c r="I5492">
        <v>4530</v>
      </c>
      <c r="J5492" t="s">
        <v>293</v>
      </c>
      <c r="K5492">
        <v>114.05</v>
      </c>
      <c r="L5492">
        <v>2.5499999999999998</v>
      </c>
      <c r="M5492">
        <v>13561</v>
      </c>
      <c r="N5492" t="s">
        <v>241</v>
      </c>
      <c r="O5492">
        <v>250916</v>
      </c>
      <c r="P5492">
        <v>10</v>
      </c>
    </row>
    <row r="5493" spans="1:16" x14ac:dyDescent="0.25">
      <c r="A5493" t="s">
        <v>3296</v>
      </c>
      <c r="B5493" t="s">
        <v>2931</v>
      </c>
      <c r="C5493">
        <v>12097</v>
      </c>
      <c r="D5493" t="str">
        <f>"49305       "</f>
        <v xml:space="preserve">49305       </v>
      </c>
      <c r="E5493" t="s">
        <v>827</v>
      </c>
      <c r="F5493" t="s">
        <v>828</v>
      </c>
      <c r="G5493">
        <v>101.5</v>
      </c>
      <c r="H5493">
        <v>250909</v>
      </c>
      <c r="I5493">
        <v>4530</v>
      </c>
      <c r="J5493" t="s">
        <v>293</v>
      </c>
      <c r="K5493">
        <v>114.05</v>
      </c>
      <c r="L5493">
        <v>20.62</v>
      </c>
      <c r="M5493">
        <v>17971</v>
      </c>
      <c r="N5493" t="s">
        <v>27</v>
      </c>
      <c r="O5493">
        <v>250916</v>
      </c>
      <c r="P5493">
        <v>80.88</v>
      </c>
    </row>
    <row r="5494" spans="1:16" x14ac:dyDescent="0.25">
      <c r="A5494" t="s">
        <v>3296</v>
      </c>
      <c r="B5494" t="s">
        <v>2931</v>
      </c>
      <c r="C5494">
        <v>1097</v>
      </c>
      <c r="D5494" t="str">
        <f>"47807       "</f>
        <v xml:space="preserve">47807       </v>
      </c>
      <c r="E5494" t="s">
        <v>827</v>
      </c>
      <c r="F5494" t="s">
        <v>828</v>
      </c>
      <c r="G5494">
        <v>68</v>
      </c>
      <c r="H5494">
        <v>250131</v>
      </c>
      <c r="I5494">
        <v>4560</v>
      </c>
      <c r="J5494" t="s">
        <v>390</v>
      </c>
      <c r="K5494">
        <v>220.8</v>
      </c>
      <c r="L5494">
        <v>13.82</v>
      </c>
      <c r="M5494">
        <v>17737</v>
      </c>
      <c r="N5494" t="s">
        <v>156</v>
      </c>
      <c r="O5494">
        <v>250204</v>
      </c>
      <c r="P5494">
        <v>54.18</v>
      </c>
    </row>
    <row r="5495" spans="1:16" x14ac:dyDescent="0.25">
      <c r="A5495" t="s">
        <v>3296</v>
      </c>
      <c r="B5495" t="s">
        <v>2931</v>
      </c>
      <c r="C5495">
        <v>2775</v>
      </c>
      <c r="D5495" t="str">
        <f>"47972       "</f>
        <v xml:space="preserve">47972       </v>
      </c>
      <c r="E5495" t="s">
        <v>827</v>
      </c>
      <c r="F5495" t="s">
        <v>828</v>
      </c>
      <c r="G5495">
        <v>131.9</v>
      </c>
      <c r="H5495">
        <v>250227</v>
      </c>
      <c r="I5495">
        <v>4560</v>
      </c>
      <c r="J5495" t="s">
        <v>390</v>
      </c>
      <c r="K5495">
        <v>193.4</v>
      </c>
      <c r="L5495">
        <v>26.8</v>
      </c>
      <c r="M5495">
        <v>17522</v>
      </c>
      <c r="N5495" t="s">
        <v>137</v>
      </c>
      <c r="O5495">
        <v>250312</v>
      </c>
      <c r="P5495">
        <v>105.1</v>
      </c>
    </row>
    <row r="5496" spans="1:16" x14ac:dyDescent="0.25">
      <c r="A5496" t="s">
        <v>3296</v>
      </c>
      <c r="B5496" t="s">
        <v>2931</v>
      </c>
      <c r="C5496">
        <v>10047</v>
      </c>
      <c r="D5496" t="str">
        <f>"49042       "</f>
        <v xml:space="preserve">49042       </v>
      </c>
      <c r="E5496" t="s">
        <v>827</v>
      </c>
      <c r="F5496" t="s">
        <v>828</v>
      </c>
      <c r="G5496">
        <v>37.4</v>
      </c>
      <c r="H5496">
        <v>250731</v>
      </c>
      <c r="I5496">
        <v>4560</v>
      </c>
      <c r="J5496" t="s">
        <v>390</v>
      </c>
      <c r="K5496">
        <v>346.42</v>
      </c>
      <c r="L5496">
        <v>7.6</v>
      </c>
      <c r="M5496">
        <v>17737</v>
      </c>
      <c r="N5496" t="s">
        <v>156</v>
      </c>
      <c r="O5496">
        <v>250808</v>
      </c>
      <c r="P5496">
        <v>29.8</v>
      </c>
    </row>
    <row r="5497" spans="1:16" x14ac:dyDescent="0.25">
      <c r="A5497" t="s">
        <v>3296</v>
      </c>
      <c r="B5497" t="s">
        <v>2931</v>
      </c>
      <c r="C5497">
        <v>11019</v>
      </c>
      <c r="D5497" t="str">
        <f>"49126       "</f>
        <v xml:space="preserve">49126       </v>
      </c>
      <c r="E5497" t="s">
        <v>827</v>
      </c>
      <c r="F5497" t="s">
        <v>828</v>
      </c>
      <c r="G5497">
        <v>127.19</v>
      </c>
      <c r="H5497">
        <v>250815</v>
      </c>
      <c r="I5497">
        <v>4560</v>
      </c>
      <c r="J5497" t="s">
        <v>390</v>
      </c>
      <c r="K5497">
        <v>133.99</v>
      </c>
      <c r="L5497">
        <v>25.84</v>
      </c>
      <c r="M5497">
        <v>17971</v>
      </c>
      <c r="N5497" t="s">
        <v>27</v>
      </c>
      <c r="O5497">
        <v>250829</v>
      </c>
      <c r="P5497">
        <v>101.35</v>
      </c>
    </row>
    <row r="5498" spans="1:16" x14ac:dyDescent="0.25">
      <c r="A5498" t="s">
        <v>3296</v>
      </c>
      <c r="B5498" t="s">
        <v>2931</v>
      </c>
      <c r="C5498">
        <v>1097</v>
      </c>
      <c r="D5498" t="str">
        <f>"47807       "</f>
        <v xml:space="preserve">47807       </v>
      </c>
      <c r="E5498" t="s">
        <v>827</v>
      </c>
      <c r="F5498" t="s">
        <v>828</v>
      </c>
      <c r="G5498">
        <v>115</v>
      </c>
      <c r="H5498">
        <v>250131</v>
      </c>
      <c r="I5498">
        <v>4580</v>
      </c>
      <c r="J5498" t="s">
        <v>126</v>
      </c>
      <c r="K5498">
        <v>220.8</v>
      </c>
      <c r="L5498">
        <v>23.37</v>
      </c>
      <c r="M5498">
        <v>17737</v>
      </c>
      <c r="N5498" t="s">
        <v>156</v>
      </c>
      <c r="O5498">
        <v>250204</v>
      </c>
      <c r="P5498">
        <v>91.63</v>
      </c>
    </row>
    <row r="5499" spans="1:16" x14ac:dyDescent="0.25">
      <c r="A5499" t="s">
        <v>3296</v>
      </c>
      <c r="B5499" t="s">
        <v>2931</v>
      </c>
      <c r="C5499">
        <v>1097</v>
      </c>
      <c r="D5499" t="str">
        <f>"47807       "</f>
        <v xml:space="preserve">47807       </v>
      </c>
      <c r="E5499" t="s">
        <v>827</v>
      </c>
      <c r="F5499" t="s">
        <v>828</v>
      </c>
      <c r="G5499">
        <v>37.799999999999997</v>
      </c>
      <c r="H5499">
        <v>250131</v>
      </c>
      <c r="I5499">
        <v>4580</v>
      </c>
      <c r="J5499" t="s">
        <v>126</v>
      </c>
      <c r="K5499">
        <v>220.8</v>
      </c>
      <c r="L5499">
        <v>7.68</v>
      </c>
      <c r="M5499">
        <v>17737</v>
      </c>
      <c r="N5499" t="s">
        <v>156</v>
      </c>
      <c r="O5499">
        <v>250204</v>
      </c>
      <c r="P5499">
        <v>30.12</v>
      </c>
    </row>
    <row r="5500" spans="1:16" x14ac:dyDescent="0.25">
      <c r="A5500" t="s">
        <v>3296</v>
      </c>
      <c r="B5500" t="s">
        <v>2931</v>
      </c>
      <c r="C5500">
        <v>1238</v>
      </c>
      <c r="D5500" t="str">
        <f>"47765       "</f>
        <v xml:space="preserve">47765       </v>
      </c>
      <c r="E5500" t="s">
        <v>827</v>
      </c>
      <c r="F5500" t="s">
        <v>828</v>
      </c>
      <c r="G5500">
        <v>366.76</v>
      </c>
      <c r="H5500">
        <v>250130</v>
      </c>
      <c r="I5500">
        <v>4580</v>
      </c>
      <c r="J5500" t="s">
        <v>126</v>
      </c>
      <c r="K5500">
        <v>366.76</v>
      </c>
      <c r="L5500">
        <v>74.52</v>
      </c>
      <c r="M5500">
        <v>17521</v>
      </c>
      <c r="N5500" t="s">
        <v>136</v>
      </c>
      <c r="O5500">
        <v>250206</v>
      </c>
      <c r="P5500">
        <v>292.24</v>
      </c>
    </row>
    <row r="5501" spans="1:16" x14ac:dyDescent="0.25">
      <c r="A5501" t="s">
        <v>3296</v>
      </c>
      <c r="B5501" t="s">
        <v>2931</v>
      </c>
      <c r="C5501">
        <v>2122</v>
      </c>
      <c r="D5501" t="str">
        <f>"47875       "</f>
        <v xml:space="preserve">47875       </v>
      </c>
      <c r="E5501" t="s">
        <v>827</v>
      </c>
      <c r="F5501" t="s">
        <v>828</v>
      </c>
      <c r="G5501">
        <v>198</v>
      </c>
      <c r="H5501">
        <v>250214</v>
      </c>
      <c r="I5501">
        <v>4580</v>
      </c>
      <c r="J5501" t="s">
        <v>126</v>
      </c>
      <c r="K5501">
        <v>198</v>
      </c>
      <c r="L5501">
        <v>40.229999999999997</v>
      </c>
      <c r="M5501">
        <v>17527</v>
      </c>
      <c r="N5501" t="s">
        <v>142</v>
      </c>
      <c r="O5501">
        <v>250220</v>
      </c>
      <c r="P5501">
        <v>157.77000000000001</v>
      </c>
    </row>
    <row r="5502" spans="1:16" x14ac:dyDescent="0.25">
      <c r="A5502" t="s">
        <v>3296</v>
      </c>
      <c r="B5502" t="s">
        <v>2931</v>
      </c>
      <c r="C5502">
        <v>2649</v>
      </c>
      <c r="D5502" t="str">
        <f>"47911       "</f>
        <v xml:space="preserve">47911       </v>
      </c>
      <c r="E5502" t="s">
        <v>827</v>
      </c>
      <c r="F5502" t="s">
        <v>828</v>
      </c>
      <c r="G5502">
        <v>1245</v>
      </c>
      <c r="H5502">
        <v>250225</v>
      </c>
      <c r="I5502">
        <v>4580</v>
      </c>
      <c r="J5502" t="s">
        <v>126</v>
      </c>
      <c r="K5502">
        <v>1303.54</v>
      </c>
      <c r="L5502">
        <v>252.97</v>
      </c>
      <c r="M5502">
        <v>17524</v>
      </c>
      <c r="N5502" t="s">
        <v>139</v>
      </c>
      <c r="O5502">
        <v>250310</v>
      </c>
      <c r="P5502">
        <v>992.03</v>
      </c>
    </row>
    <row r="5503" spans="1:16" x14ac:dyDescent="0.25">
      <c r="A5503" t="s">
        <v>3296</v>
      </c>
      <c r="B5503" t="s">
        <v>2931</v>
      </c>
      <c r="C5503">
        <v>2722</v>
      </c>
      <c r="D5503" t="str">
        <f>"47974       "</f>
        <v xml:space="preserve">47974       </v>
      </c>
      <c r="E5503" t="s">
        <v>827</v>
      </c>
      <c r="F5503" t="s">
        <v>828</v>
      </c>
      <c r="G5503">
        <v>70</v>
      </c>
      <c r="H5503">
        <v>250227</v>
      </c>
      <c r="I5503">
        <v>4580</v>
      </c>
      <c r="J5503" t="s">
        <v>126</v>
      </c>
      <c r="K5503">
        <v>70</v>
      </c>
      <c r="L5503">
        <v>14.22</v>
      </c>
      <c r="M5503">
        <v>17527</v>
      </c>
      <c r="N5503" t="s">
        <v>142</v>
      </c>
      <c r="O5503">
        <v>250311</v>
      </c>
      <c r="P5503">
        <v>55.78</v>
      </c>
    </row>
    <row r="5504" spans="1:16" x14ac:dyDescent="0.25">
      <c r="A5504" t="s">
        <v>3296</v>
      </c>
      <c r="B5504" t="s">
        <v>2931</v>
      </c>
      <c r="C5504">
        <v>2725</v>
      </c>
      <c r="D5504" t="str">
        <f>"47973       "</f>
        <v xml:space="preserve">47973       </v>
      </c>
      <c r="E5504" t="s">
        <v>827</v>
      </c>
      <c r="F5504" t="s">
        <v>828</v>
      </c>
      <c r="G5504">
        <v>74.900000000000006</v>
      </c>
      <c r="H5504">
        <v>250227</v>
      </c>
      <c r="I5504">
        <v>4580</v>
      </c>
      <c r="J5504" t="s">
        <v>126</v>
      </c>
      <c r="K5504">
        <v>74.900000000000006</v>
      </c>
      <c r="L5504">
        <v>15.22</v>
      </c>
      <c r="M5504">
        <v>17537</v>
      </c>
      <c r="N5504" t="s">
        <v>151</v>
      </c>
      <c r="O5504">
        <v>250311</v>
      </c>
      <c r="P5504">
        <v>59.68</v>
      </c>
    </row>
    <row r="5505" spans="1:16" x14ac:dyDescent="0.25">
      <c r="A5505" t="s">
        <v>3296</v>
      </c>
      <c r="B5505" t="s">
        <v>2931</v>
      </c>
      <c r="C5505">
        <v>2726</v>
      </c>
      <c r="D5505" t="str">
        <f>"47975       "</f>
        <v xml:space="preserve">47975       </v>
      </c>
      <c r="E5505" t="s">
        <v>827</v>
      </c>
      <c r="F5505" t="s">
        <v>828</v>
      </c>
      <c r="G5505">
        <v>139</v>
      </c>
      <c r="H5505">
        <v>250227</v>
      </c>
      <c r="I5505">
        <v>4580</v>
      </c>
      <c r="J5505" t="s">
        <v>126</v>
      </c>
      <c r="K5505">
        <v>268.25</v>
      </c>
      <c r="L5505">
        <v>28.24</v>
      </c>
      <c r="M5505">
        <v>17711</v>
      </c>
      <c r="N5505" t="s">
        <v>155</v>
      </c>
      <c r="O5505">
        <v>250311</v>
      </c>
      <c r="P5505">
        <v>110.76</v>
      </c>
    </row>
    <row r="5506" spans="1:16" x14ac:dyDescent="0.25">
      <c r="A5506" t="s">
        <v>3296</v>
      </c>
      <c r="B5506" t="s">
        <v>2931</v>
      </c>
      <c r="C5506">
        <v>3603</v>
      </c>
      <c r="D5506" t="str">
        <f>"48038       "</f>
        <v xml:space="preserve">48038       </v>
      </c>
      <c r="E5506" t="s">
        <v>827</v>
      </c>
      <c r="F5506" t="s">
        <v>828</v>
      </c>
      <c r="G5506">
        <v>129.18</v>
      </c>
      <c r="H5506">
        <v>250314</v>
      </c>
      <c r="I5506">
        <v>4580</v>
      </c>
      <c r="J5506" t="s">
        <v>126</v>
      </c>
      <c r="K5506">
        <v>129.18</v>
      </c>
      <c r="L5506">
        <v>26.25</v>
      </c>
      <c r="M5506">
        <v>17521</v>
      </c>
      <c r="N5506" t="s">
        <v>136</v>
      </c>
      <c r="O5506">
        <v>250326</v>
      </c>
      <c r="P5506">
        <v>102.93</v>
      </c>
    </row>
    <row r="5507" spans="1:16" x14ac:dyDescent="0.25">
      <c r="A5507" t="s">
        <v>3296</v>
      </c>
      <c r="B5507" t="s">
        <v>2931</v>
      </c>
      <c r="C5507">
        <v>4361</v>
      </c>
      <c r="D5507" t="str">
        <f>"48146       "</f>
        <v xml:space="preserve">48146       </v>
      </c>
      <c r="E5507" t="s">
        <v>827</v>
      </c>
      <c r="F5507" t="s">
        <v>828</v>
      </c>
      <c r="G5507">
        <v>328.63</v>
      </c>
      <c r="H5507">
        <v>250331</v>
      </c>
      <c r="I5507">
        <v>4580</v>
      </c>
      <c r="J5507" t="s">
        <v>126</v>
      </c>
      <c r="K5507">
        <v>426.53</v>
      </c>
      <c r="L5507">
        <v>66.77</v>
      </c>
      <c r="M5507">
        <v>17527</v>
      </c>
      <c r="N5507" t="s">
        <v>142</v>
      </c>
      <c r="O5507">
        <v>250411</v>
      </c>
      <c r="P5507">
        <v>261.86</v>
      </c>
    </row>
    <row r="5508" spans="1:16" x14ac:dyDescent="0.25">
      <c r="A5508" t="s">
        <v>3296</v>
      </c>
      <c r="B5508" t="s">
        <v>2931</v>
      </c>
      <c r="C5508">
        <v>4414</v>
      </c>
      <c r="D5508" t="str">
        <f>"48145       "</f>
        <v xml:space="preserve">48145       </v>
      </c>
      <c r="E5508" t="s">
        <v>827</v>
      </c>
      <c r="F5508" t="s">
        <v>828</v>
      </c>
      <c r="G5508">
        <v>168.31</v>
      </c>
      <c r="H5508">
        <v>250331</v>
      </c>
      <c r="I5508">
        <v>4580</v>
      </c>
      <c r="J5508" t="s">
        <v>126</v>
      </c>
      <c r="K5508">
        <v>168.31</v>
      </c>
      <c r="L5508">
        <v>34.200000000000003</v>
      </c>
      <c r="M5508">
        <v>17522</v>
      </c>
      <c r="N5508" t="s">
        <v>137</v>
      </c>
      <c r="O5508">
        <v>250411</v>
      </c>
      <c r="P5508">
        <v>134.11000000000001</v>
      </c>
    </row>
    <row r="5509" spans="1:16" x14ac:dyDescent="0.25">
      <c r="A5509" t="s">
        <v>3296</v>
      </c>
      <c r="B5509" t="s">
        <v>2931</v>
      </c>
      <c r="C5509">
        <v>4492</v>
      </c>
      <c r="D5509" t="str">
        <f>"48108       "</f>
        <v xml:space="preserve">48108       </v>
      </c>
      <c r="E5509" t="s">
        <v>827</v>
      </c>
      <c r="F5509" t="s">
        <v>828</v>
      </c>
      <c r="G5509">
        <v>287.7</v>
      </c>
      <c r="H5509">
        <v>250331</v>
      </c>
      <c r="I5509">
        <v>4580</v>
      </c>
      <c r="J5509" t="s">
        <v>126</v>
      </c>
      <c r="K5509">
        <v>287.7</v>
      </c>
      <c r="L5509">
        <v>58.46</v>
      </c>
      <c r="M5509">
        <v>17535</v>
      </c>
      <c r="N5509" t="s">
        <v>149</v>
      </c>
      <c r="O5509">
        <v>250411</v>
      </c>
      <c r="P5509">
        <v>229.24</v>
      </c>
    </row>
    <row r="5510" spans="1:16" x14ac:dyDescent="0.25">
      <c r="A5510" t="s">
        <v>3296</v>
      </c>
      <c r="B5510" t="s">
        <v>2931</v>
      </c>
      <c r="C5510">
        <v>5405</v>
      </c>
      <c r="D5510" t="str">
        <f>"48206       "</f>
        <v xml:space="preserve">48206       </v>
      </c>
      <c r="E5510" t="s">
        <v>827</v>
      </c>
      <c r="F5510" t="s">
        <v>828</v>
      </c>
      <c r="G5510">
        <v>22.5</v>
      </c>
      <c r="H5510">
        <v>250415</v>
      </c>
      <c r="I5510">
        <v>4580</v>
      </c>
      <c r="J5510" t="s">
        <v>126</v>
      </c>
      <c r="K5510">
        <v>22.5</v>
      </c>
      <c r="L5510">
        <v>4.57</v>
      </c>
      <c r="M5510">
        <v>17711</v>
      </c>
      <c r="N5510" t="s">
        <v>155</v>
      </c>
      <c r="O5510">
        <v>250424</v>
      </c>
      <c r="P5510">
        <v>17.93</v>
      </c>
    </row>
    <row r="5511" spans="1:16" x14ac:dyDescent="0.25">
      <c r="A5511" t="s">
        <v>3296</v>
      </c>
      <c r="B5511" t="s">
        <v>2931</v>
      </c>
      <c r="C5511">
        <v>5951</v>
      </c>
      <c r="D5511" t="str">
        <f>"48289       "</f>
        <v xml:space="preserve">48289       </v>
      </c>
      <c r="E5511" t="s">
        <v>827</v>
      </c>
      <c r="F5511" t="s">
        <v>828</v>
      </c>
      <c r="G5511">
        <v>19.8</v>
      </c>
      <c r="H5511">
        <v>250430</v>
      </c>
      <c r="I5511">
        <v>4580</v>
      </c>
      <c r="J5511" t="s">
        <v>126</v>
      </c>
      <c r="K5511">
        <v>19.8</v>
      </c>
      <c r="L5511">
        <v>4.0199999999999996</v>
      </c>
      <c r="M5511">
        <v>17525</v>
      </c>
      <c r="N5511" t="s">
        <v>140</v>
      </c>
      <c r="O5511">
        <v>250507</v>
      </c>
      <c r="P5511">
        <v>15.78</v>
      </c>
    </row>
    <row r="5512" spans="1:16" x14ac:dyDescent="0.25">
      <c r="A5512" t="s">
        <v>3296</v>
      </c>
      <c r="B5512" t="s">
        <v>2931</v>
      </c>
      <c r="C5512">
        <v>6233</v>
      </c>
      <c r="D5512" t="str">
        <f>"48292       "</f>
        <v xml:space="preserve">48292       </v>
      </c>
      <c r="E5512" t="s">
        <v>827</v>
      </c>
      <c r="F5512" t="s">
        <v>828</v>
      </c>
      <c r="G5512">
        <v>92.9</v>
      </c>
      <c r="H5512">
        <v>250430</v>
      </c>
      <c r="I5512">
        <v>4580</v>
      </c>
      <c r="J5512" t="s">
        <v>126</v>
      </c>
      <c r="K5512">
        <v>92.9</v>
      </c>
      <c r="L5512">
        <v>18.88</v>
      </c>
      <c r="M5512">
        <v>17527</v>
      </c>
      <c r="N5512" t="s">
        <v>142</v>
      </c>
      <c r="O5512">
        <v>250512</v>
      </c>
      <c r="P5512">
        <v>74.02</v>
      </c>
    </row>
    <row r="5513" spans="1:16" x14ac:dyDescent="0.25">
      <c r="A5513" t="s">
        <v>3296</v>
      </c>
      <c r="B5513" t="s">
        <v>2931</v>
      </c>
      <c r="C5513">
        <v>6662</v>
      </c>
      <c r="D5513" t="str">
        <f>"48337       "</f>
        <v xml:space="preserve">48337       </v>
      </c>
      <c r="E5513" t="s">
        <v>827</v>
      </c>
      <c r="F5513" t="s">
        <v>828</v>
      </c>
      <c r="G5513">
        <v>45</v>
      </c>
      <c r="H5513">
        <v>250430</v>
      </c>
      <c r="I5513">
        <v>4580</v>
      </c>
      <c r="J5513" t="s">
        <v>126</v>
      </c>
      <c r="K5513">
        <v>49.44</v>
      </c>
      <c r="L5513">
        <v>9.14</v>
      </c>
      <c r="M5513">
        <v>17538</v>
      </c>
      <c r="N5513" t="s">
        <v>129</v>
      </c>
      <c r="O5513">
        <v>250515</v>
      </c>
      <c r="P5513">
        <v>35.86</v>
      </c>
    </row>
    <row r="5514" spans="1:16" x14ac:dyDescent="0.25">
      <c r="A5514" t="s">
        <v>3296</v>
      </c>
      <c r="B5514" t="s">
        <v>2931</v>
      </c>
      <c r="C5514">
        <v>6825</v>
      </c>
      <c r="D5514" t="str">
        <f>"48285       "</f>
        <v xml:space="preserve">48285       </v>
      </c>
      <c r="E5514" t="s">
        <v>827</v>
      </c>
      <c r="F5514" t="s">
        <v>828</v>
      </c>
      <c r="G5514">
        <v>57.3</v>
      </c>
      <c r="H5514">
        <v>250430</v>
      </c>
      <c r="I5514">
        <v>4580</v>
      </c>
      <c r="J5514" t="s">
        <v>126</v>
      </c>
      <c r="K5514">
        <v>57.3</v>
      </c>
      <c r="L5514">
        <v>11.64</v>
      </c>
      <c r="M5514">
        <v>17521</v>
      </c>
      <c r="N5514" t="s">
        <v>136</v>
      </c>
      <c r="O5514">
        <v>250519</v>
      </c>
      <c r="P5514">
        <v>45.66</v>
      </c>
    </row>
    <row r="5515" spans="1:16" x14ac:dyDescent="0.25">
      <c r="A5515" t="s">
        <v>3296</v>
      </c>
      <c r="B5515" t="s">
        <v>2931</v>
      </c>
      <c r="C5515">
        <v>7058</v>
      </c>
      <c r="D5515" t="str">
        <f>"48441       "</f>
        <v xml:space="preserve">48441       </v>
      </c>
      <c r="E5515" t="s">
        <v>827</v>
      </c>
      <c r="F5515" t="s">
        <v>828</v>
      </c>
      <c r="G5515">
        <v>29.1</v>
      </c>
      <c r="H5515">
        <v>250515</v>
      </c>
      <c r="I5515">
        <v>4580</v>
      </c>
      <c r="J5515" t="s">
        <v>126</v>
      </c>
      <c r="K5515">
        <v>29.1</v>
      </c>
      <c r="L5515">
        <v>5.91</v>
      </c>
      <c r="M5515">
        <v>17521</v>
      </c>
      <c r="N5515" t="s">
        <v>136</v>
      </c>
      <c r="O5515">
        <v>250522</v>
      </c>
      <c r="P5515">
        <v>23.19</v>
      </c>
    </row>
    <row r="5516" spans="1:16" x14ac:dyDescent="0.25">
      <c r="A5516" t="s">
        <v>3296</v>
      </c>
      <c r="B5516" t="s">
        <v>2931</v>
      </c>
      <c r="C5516">
        <v>9653</v>
      </c>
      <c r="D5516" t="str">
        <f>"48864       "</f>
        <v xml:space="preserve">48864       </v>
      </c>
      <c r="E5516" t="s">
        <v>827</v>
      </c>
      <c r="F5516" t="s">
        <v>828</v>
      </c>
      <c r="G5516">
        <v>2765</v>
      </c>
      <c r="H5516">
        <v>250711</v>
      </c>
      <c r="I5516">
        <v>4580</v>
      </c>
      <c r="J5516" t="s">
        <v>126</v>
      </c>
      <c r="K5516">
        <v>2780.49</v>
      </c>
      <c r="L5516">
        <v>561.80999999999995</v>
      </c>
      <c r="M5516">
        <v>17521</v>
      </c>
      <c r="N5516" t="s">
        <v>136</v>
      </c>
      <c r="O5516">
        <v>250724</v>
      </c>
      <c r="P5516">
        <v>2203.19</v>
      </c>
    </row>
    <row r="5517" spans="1:16" x14ac:dyDescent="0.25">
      <c r="A5517" t="s">
        <v>3296</v>
      </c>
      <c r="B5517" t="s">
        <v>2931</v>
      </c>
      <c r="C5517">
        <v>10047</v>
      </c>
      <c r="D5517" t="str">
        <f>"49042       "</f>
        <v xml:space="preserve">49042       </v>
      </c>
      <c r="E5517" t="s">
        <v>827</v>
      </c>
      <c r="F5517" t="s">
        <v>828</v>
      </c>
      <c r="G5517">
        <v>115</v>
      </c>
      <c r="H5517">
        <v>250731</v>
      </c>
      <c r="I5517">
        <v>4580</v>
      </c>
      <c r="J5517" t="s">
        <v>126</v>
      </c>
      <c r="K5517">
        <v>346.42</v>
      </c>
      <c r="L5517">
        <v>23.37</v>
      </c>
      <c r="M5517">
        <v>17737</v>
      </c>
      <c r="N5517" t="s">
        <v>156</v>
      </c>
      <c r="O5517">
        <v>250808</v>
      </c>
      <c r="P5517">
        <v>91.63</v>
      </c>
    </row>
    <row r="5518" spans="1:16" x14ac:dyDescent="0.25">
      <c r="A5518" t="s">
        <v>3296</v>
      </c>
      <c r="B5518" t="s">
        <v>2931</v>
      </c>
      <c r="C5518">
        <v>10047</v>
      </c>
      <c r="D5518" t="str">
        <f>"49042       "</f>
        <v xml:space="preserve">49042       </v>
      </c>
      <c r="E5518" t="s">
        <v>827</v>
      </c>
      <c r="F5518" t="s">
        <v>828</v>
      </c>
      <c r="G5518">
        <v>172.36</v>
      </c>
      <c r="H5518">
        <v>250731</v>
      </c>
      <c r="I5518">
        <v>4580</v>
      </c>
      <c r="J5518" t="s">
        <v>126</v>
      </c>
      <c r="K5518">
        <v>346.42</v>
      </c>
      <c r="L5518">
        <v>35.020000000000003</v>
      </c>
      <c r="M5518">
        <v>17952</v>
      </c>
      <c r="N5518" t="s">
        <v>157</v>
      </c>
      <c r="O5518">
        <v>250808</v>
      </c>
      <c r="P5518">
        <v>137.34</v>
      </c>
    </row>
    <row r="5519" spans="1:16" x14ac:dyDescent="0.25">
      <c r="A5519" t="s">
        <v>3296</v>
      </c>
      <c r="B5519" t="s">
        <v>2931</v>
      </c>
      <c r="C5519">
        <v>10424</v>
      </c>
      <c r="D5519" t="str">
        <f>"49055       "</f>
        <v xml:space="preserve">49055       </v>
      </c>
      <c r="E5519" t="s">
        <v>827</v>
      </c>
      <c r="F5519" t="s">
        <v>828</v>
      </c>
      <c r="G5519">
        <v>1034.1500000000001</v>
      </c>
      <c r="H5519">
        <v>250804</v>
      </c>
      <c r="I5519">
        <v>4580</v>
      </c>
      <c r="J5519" t="s">
        <v>126</v>
      </c>
      <c r="K5519">
        <v>2093.1999999999998</v>
      </c>
      <c r="L5519">
        <v>210.13</v>
      </c>
      <c r="M5519">
        <v>17524</v>
      </c>
      <c r="N5519" t="s">
        <v>139</v>
      </c>
      <c r="O5519">
        <v>250819</v>
      </c>
      <c r="P5519">
        <v>824.02</v>
      </c>
    </row>
    <row r="5520" spans="1:16" x14ac:dyDescent="0.25">
      <c r="A5520" t="s">
        <v>3296</v>
      </c>
      <c r="B5520" t="s">
        <v>2931</v>
      </c>
      <c r="C5520">
        <v>11213</v>
      </c>
      <c r="D5520" t="str">
        <f>"49239       "</f>
        <v xml:space="preserve">49239       </v>
      </c>
      <c r="E5520" t="s">
        <v>827</v>
      </c>
      <c r="F5520" t="s">
        <v>828</v>
      </c>
      <c r="G5520">
        <v>120.43</v>
      </c>
      <c r="H5520">
        <v>250830</v>
      </c>
      <c r="I5520">
        <v>4580</v>
      </c>
      <c r="J5520" t="s">
        <v>126</v>
      </c>
      <c r="K5520">
        <v>120.43</v>
      </c>
      <c r="L5520">
        <v>24.47</v>
      </c>
      <c r="M5520">
        <v>17521</v>
      </c>
      <c r="N5520" t="s">
        <v>136</v>
      </c>
      <c r="O5520">
        <v>250902</v>
      </c>
      <c r="P5520">
        <v>95.96</v>
      </c>
    </row>
    <row r="5521" spans="1:16" x14ac:dyDescent="0.25">
      <c r="A5521" t="s">
        <v>3296</v>
      </c>
      <c r="B5521" t="s">
        <v>2931</v>
      </c>
      <c r="C5521">
        <v>11312</v>
      </c>
      <c r="D5521" t="str">
        <f>"49240       "</f>
        <v xml:space="preserve">49240       </v>
      </c>
      <c r="E5521" t="s">
        <v>827</v>
      </c>
      <c r="F5521" t="s">
        <v>828</v>
      </c>
      <c r="G5521">
        <v>85</v>
      </c>
      <c r="H5521">
        <v>250830</v>
      </c>
      <c r="I5521">
        <v>4580</v>
      </c>
      <c r="J5521" t="s">
        <v>126</v>
      </c>
      <c r="K5521">
        <v>230</v>
      </c>
      <c r="L5521">
        <v>17.27</v>
      </c>
      <c r="M5521">
        <v>17524</v>
      </c>
      <c r="N5521" t="s">
        <v>139</v>
      </c>
      <c r="O5521">
        <v>250903</v>
      </c>
      <c r="P5521">
        <v>67.73</v>
      </c>
    </row>
    <row r="5522" spans="1:16" x14ac:dyDescent="0.25">
      <c r="A5522" t="s">
        <v>3296</v>
      </c>
      <c r="B5522" t="s">
        <v>2931</v>
      </c>
      <c r="C5522">
        <v>12529</v>
      </c>
      <c r="D5522" t="str">
        <f>"49340       "</f>
        <v xml:space="preserve">49340       </v>
      </c>
      <c r="E5522" t="s">
        <v>827</v>
      </c>
      <c r="F5522" t="s">
        <v>828</v>
      </c>
      <c r="G5522">
        <v>132.4</v>
      </c>
      <c r="H5522">
        <v>250916</v>
      </c>
      <c r="I5522">
        <v>4580</v>
      </c>
      <c r="J5522" t="s">
        <v>126</v>
      </c>
      <c r="K5522">
        <v>132.4</v>
      </c>
      <c r="L5522">
        <v>26.9</v>
      </c>
      <c r="M5522">
        <v>17527</v>
      </c>
      <c r="N5522" t="s">
        <v>142</v>
      </c>
      <c r="O5522">
        <v>250926</v>
      </c>
      <c r="P5522">
        <v>105.5</v>
      </c>
    </row>
    <row r="5523" spans="1:16" x14ac:dyDescent="0.25">
      <c r="A5523" t="s">
        <v>3296</v>
      </c>
      <c r="B5523" t="s">
        <v>2931</v>
      </c>
      <c r="C5523">
        <v>13000</v>
      </c>
      <c r="D5523" t="str">
        <f>"49443       "</f>
        <v xml:space="preserve">49443       </v>
      </c>
      <c r="E5523" t="s">
        <v>827</v>
      </c>
      <c r="F5523" t="s">
        <v>828</v>
      </c>
      <c r="G5523">
        <v>35.79</v>
      </c>
      <c r="H5523">
        <v>250930</v>
      </c>
      <c r="I5523">
        <v>4580</v>
      </c>
      <c r="J5523" t="s">
        <v>126</v>
      </c>
      <c r="K5523">
        <v>35.79</v>
      </c>
      <c r="L5523">
        <v>7.27</v>
      </c>
      <c r="M5523">
        <v>17537</v>
      </c>
      <c r="N5523" t="s">
        <v>151</v>
      </c>
      <c r="O5523">
        <v>251003</v>
      </c>
      <c r="P5523">
        <v>28.52</v>
      </c>
    </row>
    <row r="5524" spans="1:16" x14ac:dyDescent="0.25">
      <c r="A5524" t="s">
        <v>3296</v>
      </c>
      <c r="B5524" t="s">
        <v>2931</v>
      </c>
      <c r="C5524">
        <v>13442</v>
      </c>
      <c r="D5524" t="str">
        <f>"49444       "</f>
        <v xml:space="preserve">49444       </v>
      </c>
      <c r="E5524" t="s">
        <v>827</v>
      </c>
      <c r="F5524" t="s">
        <v>828</v>
      </c>
      <c r="G5524">
        <v>75.040000000000006</v>
      </c>
      <c r="H5524">
        <v>250930</v>
      </c>
      <c r="I5524">
        <v>4580</v>
      </c>
      <c r="J5524" t="s">
        <v>126</v>
      </c>
      <c r="K5524">
        <v>81.760000000000005</v>
      </c>
      <c r="L5524">
        <v>15.25</v>
      </c>
      <c r="M5524">
        <v>17522</v>
      </c>
      <c r="N5524" t="s">
        <v>137</v>
      </c>
      <c r="O5524">
        <v>251010</v>
      </c>
      <c r="P5524">
        <v>59.79</v>
      </c>
    </row>
    <row r="5525" spans="1:16" x14ac:dyDescent="0.25">
      <c r="A5525" t="s">
        <v>3296</v>
      </c>
      <c r="B5525" t="s">
        <v>2931</v>
      </c>
      <c r="C5525">
        <v>14514</v>
      </c>
      <c r="D5525" t="str">
        <f>"49572       "</f>
        <v xml:space="preserve">49572       </v>
      </c>
      <c r="E5525" t="s">
        <v>827</v>
      </c>
      <c r="F5525" t="s">
        <v>828</v>
      </c>
      <c r="G5525">
        <v>3254</v>
      </c>
      <c r="H5525">
        <v>251029</v>
      </c>
      <c r="I5525">
        <v>4580</v>
      </c>
      <c r="J5525" t="s">
        <v>126</v>
      </c>
      <c r="K5525">
        <v>3254</v>
      </c>
      <c r="L5525">
        <v>661.17</v>
      </c>
      <c r="M5525">
        <v>11903</v>
      </c>
      <c r="N5525" t="s">
        <v>32</v>
      </c>
      <c r="O5525">
        <v>251104</v>
      </c>
      <c r="P5525">
        <v>2592.83</v>
      </c>
    </row>
    <row r="5526" spans="1:16" x14ac:dyDescent="0.25">
      <c r="A5526" t="s">
        <v>3296</v>
      </c>
      <c r="B5526" t="s">
        <v>2931</v>
      </c>
      <c r="C5526">
        <v>14539</v>
      </c>
      <c r="D5526" t="str">
        <f>"49639       "</f>
        <v xml:space="preserve">49639       </v>
      </c>
      <c r="E5526" t="s">
        <v>827</v>
      </c>
      <c r="F5526" t="s">
        <v>828</v>
      </c>
      <c r="G5526">
        <v>131.19999999999999</v>
      </c>
      <c r="H5526">
        <v>251031</v>
      </c>
      <c r="I5526">
        <v>4580</v>
      </c>
      <c r="J5526" t="s">
        <v>126</v>
      </c>
      <c r="K5526">
        <v>131.19999999999999</v>
      </c>
      <c r="L5526">
        <v>26.66</v>
      </c>
      <c r="M5526">
        <v>17521</v>
      </c>
      <c r="N5526" t="s">
        <v>136</v>
      </c>
      <c r="O5526">
        <v>251104</v>
      </c>
      <c r="P5526">
        <v>104.54</v>
      </c>
    </row>
    <row r="5527" spans="1:16" x14ac:dyDescent="0.25">
      <c r="A5527" t="s">
        <v>3296</v>
      </c>
      <c r="B5527" t="s">
        <v>2931</v>
      </c>
      <c r="C5527">
        <v>15279</v>
      </c>
      <c r="D5527" t="str">
        <f>"49713       "</f>
        <v xml:space="preserve">49713       </v>
      </c>
      <c r="E5527" t="s">
        <v>827</v>
      </c>
      <c r="F5527" t="s">
        <v>828</v>
      </c>
      <c r="G5527">
        <v>54.8</v>
      </c>
      <c r="H5527">
        <v>251031</v>
      </c>
      <c r="I5527">
        <v>4580</v>
      </c>
      <c r="J5527" t="s">
        <v>126</v>
      </c>
      <c r="K5527">
        <v>54.8</v>
      </c>
      <c r="L5527">
        <v>11.13</v>
      </c>
      <c r="M5527">
        <v>17538</v>
      </c>
      <c r="N5527" t="s">
        <v>129</v>
      </c>
      <c r="O5527">
        <v>251117</v>
      </c>
      <c r="P5527">
        <v>43.67</v>
      </c>
    </row>
    <row r="5528" spans="1:16" x14ac:dyDescent="0.25">
      <c r="A5528" t="s">
        <v>3296</v>
      </c>
      <c r="B5528" t="s">
        <v>2931</v>
      </c>
      <c r="C5528">
        <v>15326</v>
      </c>
      <c r="D5528" t="str">
        <f>"49715       "</f>
        <v xml:space="preserve">49715       </v>
      </c>
      <c r="E5528" t="s">
        <v>827</v>
      </c>
      <c r="F5528" t="s">
        <v>828</v>
      </c>
      <c r="G5528">
        <v>249</v>
      </c>
      <c r="H5528">
        <v>251112</v>
      </c>
      <c r="I5528">
        <v>4580</v>
      </c>
      <c r="J5528" t="s">
        <v>126</v>
      </c>
      <c r="K5528">
        <v>249</v>
      </c>
      <c r="L5528">
        <v>50.59</v>
      </c>
      <c r="M5528">
        <v>17711</v>
      </c>
      <c r="N5528" t="s">
        <v>155</v>
      </c>
      <c r="O5528">
        <v>251118</v>
      </c>
      <c r="P5528">
        <v>198.41</v>
      </c>
    </row>
    <row r="5529" spans="1:16" x14ac:dyDescent="0.25">
      <c r="A5529" t="s">
        <v>3296</v>
      </c>
      <c r="B5529" t="s">
        <v>2931</v>
      </c>
      <c r="C5529">
        <v>15406</v>
      </c>
      <c r="D5529" t="str">
        <f>"49710       "</f>
        <v xml:space="preserve">49710       </v>
      </c>
      <c r="E5529" t="s">
        <v>827</v>
      </c>
      <c r="F5529" t="s">
        <v>828</v>
      </c>
      <c r="G5529">
        <v>20.92</v>
      </c>
      <c r="H5529">
        <v>251112</v>
      </c>
      <c r="I5529">
        <v>4580</v>
      </c>
      <c r="J5529" t="s">
        <v>126</v>
      </c>
      <c r="K5529">
        <v>187.58</v>
      </c>
      <c r="L5529">
        <v>4.25</v>
      </c>
      <c r="M5529">
        <v>17971</v>
      </c>
      <c r="N5529" t="s">
        <v>27</v>
      </c>
      <c r="O5529">
        <v>251120</v>
      </c>
      <c r="P5529">
        <v>16.670000000000002</v>
      </c>
    </row>
    <row r="5530" spans="1:16" x14ac:dyDescent="0.25">
      <c r="A5530" t="s">
        <v>3296</v>
      </c>
      <c r="B5530" t="s">
        <v>2931</v>
      </c>
      <c r="C5530">
        <v>15614</v>
      </c>
      <c r="D5530" t="str">
        <f>"49711       "</f>
        <v xml:space="preserve">49711       </v>
      </c>
      <c r="E5530" t="s">
        <v>827</v>
      </c>
      <c r="F5530" t="s">
        <v>828</v>
      </c>
      <c r="G5530">
        <v>4.21</v>
      </c>
      <c r="H5530">
        <v>251112</v>
      </c>
      <c r="I5530">
        <v>4580</v>
      </c>
      <c r="J5530" t="s">
        <v>126</v>
      </c>
      <c r="K5530">
        <v>4.21</v>
      </c>
      <c r="L5530">
        <v>0.86</v>
      </c>
      <c r="M5530">
        <v>17526</v>
      </c>
      <c r="N5530" t="s">
        <v>141</v>
      </c>
      <c r="O5530">
        <v>251124</v>
      </c>
      <c r="P5530">
        <v>3.35</v>
      </c>
    </row>
    <row r="5531" spans="1:16" x14ac:dyDescent="0.25">
      <c r="A5531" t="s">
        <v>3296</v>
      </c>
      <c r="B5531" t="s">
        <v>2931</v>
      </c>
      <c r="C5531">
        <v>15788</v>
      </c>
      <c r="D5531" t="str">
        <f>"49712       "</f>
        <v xml:space="preserve">49712       </v>
      </c>
      <c r="E5531" t="s">
        <v>827</v>
      </c>
      <c r="F5531" t="s">
        <v>828</v>
      </c>
      <c r="G5531">
        <v>43.8</v>
      </c>
      <c r="H5531">
        <v>251112</v>
      </c>
      <c r="I5531">
        <v>4580</v>
      </c>
      <c r="J5531" t="s">
        <v>126</v>
      </c>
      <c r="K5531">
        <v>102.15</v>
      </c>
      <c r="L5531">
        <v>8.9</v>
      </c>
      <c r="M5531">
        <v>17524</v>
      </c>
      <c r="N5531" t="s">
        <v>139</v>
      </c>
      <c r="O5531">
        <v>251127</v>
      </c>
      <c r="P5531">
        <v>34.9</v>
      </c>
    </row>
    <row r="5532" spans="1:16" x14ac:dyDescent="0.25">
      <c r="A5532" t="s">
        <v>3296</v>
      </c>
      <c r="B5532" t="s">
        <v>2931</v>
      </c>
      <c r="C5532">
        <v>17208</v>
      </c>
      <c r="D5532" t="str">
        <f>"49904       "</f>
        <v xml:space="preserve">49904       </v>
      </c>
      <c r="E5532" t="s">
        <v>827</v>
      </c>
      <c r="F5532" t="s">
        <v>828</v>
      </c>
      <c r="G5532">
        <v>91</v>
      </c>
      <c r="H5532">
        <v>251215</v>
      </c>
      <c r="I5532">
        <v>4580</v>
      </c>
      <c r="J5532" t="s">
        <v>126</v>
      </c>
      <c r="K5532">
        <v>182</v>
      </c>
      <c r="L5532">
        <v>18.489999999999998</v>
      </c>
      <c r="M5532">
        <v>17525</v>
      </c>
      <c r="N5532" t="s">
        <v>140</v>
      </c>
      <c r="O5532">
        <v>251218</v>
      </c>
      <c r="P5532">
        <v>72.510000000000005</v>
      </c>
    </row>
    <row r="5533" spans="1:16" x14ac:dyDescent="0.25">
      <c r="A5533" t="s">
        <v>3296</v>
      </c>
      <c r="B5533" t="s">
        <v>2931</v>
      </c>
      <c r="C5533">
        <v>17331</v>
      </c>
      <c r="D5533" t="str">
        <f>"49902       "</f>
        <v xml:space="preserve">49902       </v>
      </c>
      <c r="E5533" t="s">
        <v>827</v>
      </c>
      <c r="F5533" t="s">
        <v>828</v>
      </c>
      <c r="G5533">
        <v>381.5</v>
      </c>
      <c r="H5533">
        <v>251215</v>
      </c>
      <c r="I5533">
        <v>4580</v>
      </c>
      <c r="J5533" t="s">
        <v>126</v>
      </c>
      <c r="K5533">
        <v>381.5</v>
      </c>
      <c r="L5533">
        <v>77.52</v>
      </c>
      <c r="M5533">
        <v>17521</v>
      </c>
      <c r="N5533" t="s">
        <v>136</v>
      </c>
      <c r="O5533">
        <v>251219</v>
      </c>
      <c r="P5533">
        <v>303.98</v>
      </c>
    </row>
    <row r="5534" spans="1:16" x14ac:dyDescent="0.25">
      <c r="A5534" t="s">
        <v>3296</v>
      </c>
      <c r="B5534" t="s">
        <v>2931</v>
      </c>
      <c r="C5534">
        <v>1033</v>
      </c>
      <c r="D5534" t="str">
        <f>"47768       "</f>
        <v xml:space="preserve">47768       </v>
      </c>
      <c r="E5534" t="s">
        <v>827</v>
      </c>
      <c r="F5534" t="s">
        <v>828</v>
      </c>
      <c r="G5534">
        <v>94.82</v>
      </c>
      <c r="H5534">
        <v>250130</v>
      </c>
      <c r="I5534">
        <v>4600</v>
      </c>
      <c r="J5534" t="s">
        <v>278</v>
      </c>
      <c r="K5534">
        <v>94.82</v>
      </c>
      <c r="L5534">
        <v>19.27</v>
      </c>
      <c r="M5534">
        <v>17523</v>
      </c>
      <c r="N5534" t="s">
        <v>138</v>
      </c>
      <c r="O5534">
        <v>250203</v>
      </c>
      <c r="P5534">
        <v>75.55</v>
      </c>
    </row>
    <row r="5535" spans="1:16" x14ac:dyDescent="0.25">
      <c r="A5535" t="s">
        <v>3296</v>
      </c>
      <c r="B5535" t="s">
        <v>2931</v>
      </c>
      <c r="C5535">
        <v>1237</v>
      </c>
      <c r="D5535" t="str">
        <f>"47767       "</f>
        <v xml:space="preserve">47767       </v>
      </c>
      <c r="E5535" t="s">
        <v>827</v>
      </c>
      <c r="F5535" t="s">
        <v>828</v>
      </c>
      <c r="G5535">
        <v>89.7</v>
      </c>
      <c r="H5535">
        <v>250130</v>
      </c>
      <c r="I5535">
        <v>4600</v>
      </c>
      <c r="J5535" t="s">
        <v>278</v>
      </c>
      <c r="K5535">
        <v>89.7</v>
      </c>
      <c r="L5535">
        <v>18.23</v>
      </c>
      <c r="M5535">
        <v>17809</v>
      </c>
      <c r="N5535" t="s">
        <v>25</v>
      </c>
      <c r="O5535">
        <v>250206</v>
      </c>
      <c r="P5535">
        <v>71.47</v>
      </c>
    </row>
    <row r="5536" spans="1:16" x14ac:dyDescent="0.25">
      <c r="A5536" t="s">
        <v>3296</v>
      </c>
      <c r="B5536" t="s">
        <v>2931</v>
      </c>
      <c r="C5536">
        <v>2130</v>
      </c>
      <c r="D5536" t="str">
        <f>"47876       "</f>
        <v xml:space="preserve">47876       </v>
      </c>
      <c r="E5536" t="s">
        <v>827</v>
      </c>
      <c r="F5536" t="s">
        <v>828</v>
      </c>
      <c r="G5536">
        <v>115.91</v>
      </c>
      <c r="H5536">
        <v>250214</v>
      </c>
      <c r="I5536">
        <v>4600</v>
      </c>
      <c r="J5536" t="s">
        <v>278</v>
      </c>
      <c r="K5536">
        <v>115.91</v>
      </c>
      <c r="L5536">
        <v>23.55</v>
      </c>
      <c r="M5536">
        <v>17521</v>
      </c>
      <c r="N5536" t="s">
        <v>136</v>
      </c>
      <c r="O5536">
        <v>250220</v>
      </c>
      <c r="P5536">
        <v>92.36</v>
      </c>
    </row>
    <row r="5537" spans="1:16" x14ac:dyDescent="0.25">
      <c r="A5537" t="s">
        <v>3296</v>
      </c>
      <c r="B5537" t="s">
        <v>2931</v>
      </c>
      <c r="C5537">
        <v>2726</v>
      </c>
      <c r="D5537" t="str">
        <f>"47975       "</f>
        <v xml:space="preserve">47975       </v>
      </c>
      <c r="E5537" t="s">
        <v>827</v>
      </c>
      <c r="F5537" t="s">
        <v>828</v>
      </c>
      <c r="G5537">
        <v>88</v>
      </c>
      <c r="H5537">
        <v>250227</v>
      </c>
      <c r="I5537">
        <v>4600</v>
      </c>
      <c r="J5537" t="s">
        <v>278</v>
      </c>
      <c r="K5537">
        <v>268.25</v>
      </c>
      <c r="L5537">
        <v>17.88</v>
      </c>
      <c r="M5537">
        <v>17737</v>
      </c>
      <c r="N5537" t="s">
        <v>156</v>
      </c>
      <c r="O5537">
        <v>250311</v>
      </c>
      <c r="P5537">
        <v>70.12</v>
      </c>
    </row>
    <row r="5538" spans="1:16" x14ac:dyDescent="0.25">
      <c r="A5538" t="s">
        <v>3296</v>
      </c>
      <c r="B5538" t="s">
        <v>2931</v>
      </c>
      <c r="C5538">
        <v>2726</v>
      </c>
      <c r="D5538" t="str">
        <f>"47975       "</f>
        <v xml:space="preserve">47975       </v>
      </c>
      <c r="E5538" t="s">
        <v>827</v>
      </c>
      <c r="F5538" t="s">
        <v>828</v>
      </c>
      <c r="G5538">
        <v>41.25</v>
      </c>
      <c r="H5538">
        <v>250227</v>
      </c>
      <c r="I5538">
        <v>4600</v>
      </c>
      <c r="J5538" t="s">
        <v>278</v>
      </c>
      <c r="K5538">
        <v>268.25</v>
      </c>
      <c r="L5538">
        <v>8.3800000000000008</v>
      </c>
      <c r="M5538">
        <v>17952</v>
      </c>
      <c r="N5538" t="s">
        <v>157</v>
      </c>
      <c r="O5538">
        <v>250311</v>
      </c>
      <c r="P5538">
        <v>32.869999999999997</v>
      </c>
    </row>
    <row r="5539" spans="1:16" x14ac:dyDescent="0.25">
      <c r="A5539" t="s">
        <v>3296</v>
      </c>
      <c r="B5539" t="s">
        <v>2931</v>
      </c>
      <c r="C5539">
        <v>2775</v>
      </c>
      <c r="D5539" t="str">
        <f>"47972       "</f>
        <v xml:space="preserve">47972       </v>
      </c>
      <c r="E5539" t="s">
        <v>827</v>
      </c>
      <c r="F5539" t="s">
        <v>828</v>
      </c>
      <c r="G5539">
        <v>61.5</v>
      </c>
      <c r="H5539">
        <v>250227</v>
      </c>
      <c r="I5539">
        <v>4600</v>
      </c>
      <c r="J5539" t="s">
        <v>278</v>
      </c>
      <c r="K5539">
        <v>193.4</v>
      </c>
      <c r="L5539">
        <v>12.5</v>
      </c>
      <c r="M5539">
        <v>17633</v>
      </c>
      <c r="N5539" t="s">
        <v>628</v>
      </c>
      <c r="O5539">
        <v>250312</v>
      </c>
      <c r="P5539">
        <v>49</v>
      </c>
    </row>
    <row r="5540" spans="1:16" x14ac:dyDescent="0.25">
      <c r="A5540" t="s">
        <v>3296</v>
      </c>
      <c r="B5540" t="s">
        <v>2931</v>
      </c>
      <c r="C5540">
        <v>4361</v>
      </c>
      <c r="D5540" t="str">
        <f>"48146       "</f>
        <v xml:space="preserve">48146       </v>
      </c>
      <c r="E5540" t="s">
        <v>827</v>
      </c>
      <c r="F5540" t="s">
        <v>828</v>
      </c>
      <c r="G5540">
        <v>97.9</v>
      </c>
      <c r="H5540">
        <v>250331</v>
      </c>
      <c r="I5540">
        <v>4600</v>
      </c>
      <c r="J5540" t="s">
        <v>278</v>
      </c>
      <c r="K5540">
        <v>426.53</v>
      </c>
      <c r="L5540">
        <v>19.89</v>
      </c>
      <c r="M5540">
        <v>17527</v>
      </c>
      <c r="N5540" t="s">
        <v>142</v>
      </c>
      <c r="O5540">
        <v>250411</v>
      </c>
      <c r="P5540">
        <v>78.010000000000005</v>
      </c>
    </row>
    <row r="5541" spans="1:16" x14ac:dyDescent="0.25">
      <c r="A5541" t="s">
        <v>3296</v>
      </c>
      <c r="B5541" t="s">
        <v>2931</v>
      </c>
      <c r="C5541">
        <v>4897</v>
      </c>
      <c r="D5541" t="str">
        <f>"48168       "</f>
        <v xml:space="preserve">48168       </v>
      </c>
      <c r="E5541" t="s">
        <v>827</v>
      </c>
      <c r="F5541" t="s">
        <v>828</v>
      </c>
      <c r="G5541">
        <v>105.38</v>
      </c>
      <c r="H5541">
        <v>250408</v>
      </c>
      <c r="I5541">
        <v>4600</v>
      </c>
      <c r="J5541" t="s">
        <v>278</v>
      </c>
      <c r="K5541">
        <v>200.34</v>
      </c>
      <c r="L5541">
        <v>21.41</v>
      </c>
      <c r="M5541">
        <v>17524</v>
      </c>
      <c r="N5541" t="s">
        <v>139</v>
      </c>
      <c r="O5541">
        <v>250416</v>
      </c>
      <c r="P5541">
        <v>83.97</v>
      </c>
    </row>
    <row r="5542" spans="1:16" x14ac:dyDescent="0.25">
      <c r="A5542" t="s">
        <v>3296</v>
      </c>
      <c r="B5542" t="s">
        <v>2931</v>
      </c>
      <c r="C5542">
        <v>4897</v>
      </c>
      <c r="D5542" t="str">
        <f>"48168       "</f>
        <v xml:space="preserve">48168       </v>
      </c>
      <c r="E5542" t="s">
        <v>827</v>
      </c>
      <c r="F5542" t="s">
        <v>828</v>
      </c>
      <c r="G5542">
        <v>94.96</v>
      </c>
      <c r="H5542">
        <v>250408</v>
      </c>
      <c r="I5542">
        <v>4600</v>
      </c>
      <c r="J5542" t="s">
        <v>278</v>
      </c>
      <c r="K5542">
        <v>200.34</v>
      </c>
      <c r="L5542">
        <v>19.29</v>
      </c>
      <c r="M5542">
        <v>17635</v>
      </c>
      <c r="N5542" t="s">
        <v>1264</v>
      </c>
      <c r="O5542">
        <v>250416</v>
      </c>
      <c r="P5542">
        <v>75.67</v>
      </c>
    </row>
    <row r="5543" spans="1:16" x14ac:dyDescent="0.25">
      <c r="A5543" t="s">
        <v>3296</v>
      </c>
      <c r="B5543" t="s">
        <v>2931</v>
      </c>
      <c r="C5543">
        <v>5715</v>
      </c>
      <c r="D5543" t="str">
        <f>"48205       "</f>
        <v xml:space="preserve">48205       </v>
      </c>
      <c r="E5543" t="s">
        <v>827</v>
      </c>
      <c r="F5543" t="s">
        <v>828</v>
      </c>
      <c r="G5543">
        <v>27.42</v>
      </c>
      <c r="H5543">
        <v>250415</v>
      </c>
      <c r="I5543">
        <v>4600</v>
      </c>
      <c r="J5543" t="s">
        <v>278</v>
      </c>
      <c r="K5543">
        <v>27.42</v>
      </c>
      <c r="L5543">
        <v>5.57</v>
      </c>
      <c r="M5543">
        <v>17527</v>
      </c>
      <c r="N5543" t="s">
        <v>142</v>
      </c>
      <c r="O5543">
        <v>250429</v>
      </c>
      <c r="P5543">
        <v>21.85</v>
      </c>
    </row>
    <row r="5544" spans="1:16" x14ac:dyDescent="0.25">
      <c r="A5544" t="s">
        <v>3296</v>
      </c>
      <c r="B5544" t="s">
        <v>2931</v>
      </c>
      <c r="C5544">
        <v>5936</v>
      </c>
      <c r="D5544" t="str">
        <f>"48287       "</f>
        <v xml:space="preserve">48287       </v>
      </c>
      <c r="E5544" t="s">
        <v>827</v>
      </c>
      <c r="F5544" t="s">
        <v>828</v>
      </c>
      <c r="G5544">
        <v>100.54</v>
      </c>
      <c r="H5544">
        <v>250430</v>
      </c>
      <c r="I5544">
        <v>4600</v>
      </c>
      <c r="J5544" t="s">
        <v>278</v>
      </c>
      <c r="K5544">
        <v>100.54</v>
      </c>
      <c r="L5544">
        <v>20.43</v>
      </c>
      <c r="M5544">
        <v>17524</v>
      </c>
      <c r="N5544" t="s">
        <v>139</v>
      </c>
      <c r="O5544">
        <v>250507</v>
      </c>
      <c r="P5544">
        <v>80.11</v>
      </c>
    </row>
    <row r="5545" spans="1:16" x14ac:dyDescent="0.25">
      <c r="A5545" t="s">
        <v>3296</v>
      </c>
      <c r="B5545" t="s">
        <v>2931</v>
      </c>
      <c r="C5545">
        <v>5939</v>
      </c>
      <c r="D5545" t="str">
        <f>"48286       "</f>
        <v xml:space="preserve">48286       </v>
      </c>
      <c r="E5545" t="s">
        <v>827</v>
      </c>
      <c r="F5545" t="s">
        <v>828</v>
      </c>
      <c r="G5545">
        <v>39</v>
      </c>
      <c r="H5545">
        <v>250430</v>
      </c>
      <c r="I5545">
        <v>4600</v>
      </c>
      <c r="J5545" t="s">
        <v>278</v>
      </c>
      <c r="K5545">
        <v>39</v>
      </c>
      <c r="L5545">
        <v>7.92</v>
      </c>
      <c r="M5545">
        <v>17526</v>
      </c>
      <c r="N5545" t="s">
        <v>141</v>
      </c>
      <c r="O5545">
        <v>250507</v>
      </c>
      <c r="P5545">
        <v>31.08</v>
      </c>
    </row>
    <row r="5546" spans="1:16" x14ac:dyDescent="0.25">
      <c r="A5546" t="s">
        <v>3296</v>
      </c>
      <c r="B5546" t="s">
        <v>2931</v>
      </c>
      <c r="C5546">
        <v>5940</v>
      </c>
      <c r="D5546" t="str">
        <f>"48293       "</f>
        <v xml:space="preserve">48293       </v>
      </c>
      <c r="E5546" t="s">
        <v>827</v>
      </c>
      <c r="F5546" t="s">
        <v>828</v>
      </c>
      <c r="G5546">
        <v>51.15</v>
      </c>
      <c r="H5546">
        <v>250430</v>
      </c>
      <c r="I5546">
        <v>4600</v>
      </c>
      <c r="J5546" t="s">
        <v>278</v>
      </c>
      <c r="K5546">
        <v>51.15</v>
      </c>
      <c r="L5546">
        <v>10.39</v>
      </c>
      <c r="M5546">
        <v>17711</v>
      </c>
      <c r="N5546" t="s">
        <v>155</v>
      </c>
      <c r="O5546">
        <v>250507</v>
      </c>
      <c r="P5546">
        <v>40.76</v>
      </c>
    </row>
    <row r="5547" spans="1:16" x14ac:dyDescent="0.25">
      <c r="A5547" t="s">
        <v>3296</v>
      </c>
      <c r="B5547" t="s">
        <v>2931</v>
      </c>
      <c r="C5547">
        <v>5956</v>
      </c>
      <c r="D5547" t="str">
        <f>"48291       "</f>
        <v xml:space="preserve">48291       </v>
      </c>
      <c r="E5547" t="s">
        <v>827</v>
      </c>
      <c r="F5547" t="s">
        <v>828</v>
      </c>
      <c r="G5547">
        <v>29.2</v>
      </c>
      <c r="H5547">
        <v>250430</v>
      </c>
      <c r="I5547">
        <v>4600</v>
      </c>
      <c r="J5547" t="s">
        <v>278</v>
      </c>
      <c r="K5547">
        <v>29.2</v>
      </c>
      <c r="L5547">
        <v>5.93</v>
      </c>
      <c r="M5547">
        <v>17523</v>
      </c>
      <c r="N5547" t="s">
        <v>138</v>
      </c>
      <c r="O5547">
        <v>250507</v>
      </c>
      <c r="P5547">
        <v>23.27</v>
      </c>
    </row>
    <row r="5548" spans="1:16" x14ac:dyDescent="0.25">
      <c r="A5548" t="s">
        <v>3296</v>
      </c>
      <c r="B5548" t="s">
        <v>2931</v>
      </c>
      <c r="C5548">
        <v>6551</v>
      </c>
      <c r="D5548" t="str">
        <f>"48290       "</f>
        <v xml:space="preserve">48290       </v>
      </c>
      <c r="E5548" t="s">
        <v>827</v>
      </c>
      <c r="F5548" t="s">
        <v>828</v>
      </c>
      <c r="G5548">
        <v>13.68</v>
      </c>
      <c r="H5548">
        <v>250430</v>
      </c>
      <c r="I5548">
        <v>4600</v>
      </c>
      <c r="J5548" t="s">
        <v>278</v>
      </c>
      <c r="K5548">
        <v>13.68</v>
      </c>
      <c r="L5548">
        <v>2.78</v>
      </c>
      <c r="M5548">
        <v>17522</v>
      </c>
      <c r="N5548" t="s">
        <v>137</v>
      </c>
      <c r="O5548">
        <v>250514</v>
      </c>
      <c r="P5548">
        <v>10.9</v>
      </c>
    </row>
    <row r="5549" spans="1:16" x14ac:dyDescent="0.25">
      <c r="A5549" t="s">
        <v>3296</v>
      </c>
      <c r="B5549" t="s">
        <v>2931</v>
      </c>
      <c r="C5549">
        <v>6662</v>
      </c>
      <c r="D5549" t="str">
        <f>"48337       "</f>
        <v xml:space="preserve">48337       </v>
      </c>
      <c r="E5549" t="s">
        <v>827</v>
      </c>
      <c r="F5549" t="s">
        <v>828</v>
      </c>
      <c r="G5549">
        <v>4.4400000000000004</v>
      </c>
      <c r="H5549">
        <v>250430</v>
      </c>
      <c r="I5549">
        <v>4600</v>
      </c>
      <c r="J5549" t="s">
        <v>278</v>
      </c>
      <c r="K5549">
        <v>49.44</v>
      </c>
      <c r="L5549">
        <v>0.9</v>
      </c>
      <c r="M5549">
        <v>17536</v>
      </c>
      <c r="N5549" t="s">
        <v>150</v>
      </c>
      <c r="O5549">
        <v>250515</v>
      </c>
      <c r="P5549">
        <v>3.54</v>
      </c>
    </row>
    <row r="5550" spans="1:16" x14ac:dyDescent="0.25">
      <c r="A5550" t="s">
        <v>3296</v>
      </c>
      <c r="B5550" t="s">
        <v>2931</v>
      </c>
      <c r="C5550">
        <v>6875</v>
      </c>
      <c r="D5550" t="str">
        <f>"48440       "</f>
        <v xml:space="preserve">48440       </v>
      </c>
      <c r="E5550" t="s">
        <v>827</v>
      </c>
      <c r="F5550" t="s">
        <v>828</v>
      </c>
      <c r="G5550">
        <v>34.46</v>
      </c>
      <c r="H5550">
        <v>250515</v>
      </c>
      <c r="I5550">
        <v>4600</v>
      </c>
      <c r="J5550" t="s">
        <v>278</v>
      </c>
      <c r="K5550">
        <v>34.46</v>
      </c>
      <c r="L5550">
        <v>7</v>
      </c>
      <c r="M5550">
        <v>17529</v>
      </c>
      <c r="N5550" t="s">
        <v>143</v>
      </c>
      <c r="O5550">
        <v>250520</v>
      </c>
      <c r="P5550">
        <v>27.46</v>
      </c>
    </row>
    <row r="5551" spans="1:16" x14ac:dyDescent="0.25">
      <c r="A5551" t="s">
        <v>3296</v>
      </c>
      <c r="B5551" t="s">
        <v>2931</v>
      </c>
      <c r="C5551">
        <v>7356</v>
      </c>
      <c r="D5551" t="str">
        <f>"48485       "</f>
        <v xml:space="preserve">48485       </v>
      </c>
      <c r="E5551" t="s">
        <v>827</v>
      </c>
      <c r="F5551" t="s">
        <v>828</v>
      </c>
      <c r="G5551">
        <v>40.49</v>
      </c>
      <c r="H5551">
        <v>250521</v>
      </c>
      <c r="I5551">
        <v>4600</v>
      </c>
      <c r="J5551" t="s">
        <v>278</v>
      </c>
      <c r="K5551">
        <v>102.26</v>
      </c>
      <c r="L5551">
        <v>8.23</v>
      </c>
      <c r="M5551">
        <v>17524</v>
      </c>
      <c r="N5551" t="s">
        <v>139</v>
      </c>
      <c r="O5551">
        <v>250603</v>
      </c>
      <c r="P5551">
        <v>32.26</v>
      </c>
    </row>
    <row r="5552" spans="1:16" x14ac:dyDescent="0.25">
      <c r="A5552" t="s">
        <v>3296</v>
      </c>
      <c r="B5552" t="s">
        <v>2931</v>
      </c>
      <c r="C5552">
        <v>9653</v>
      </c>
      <c r="D5552" t="str">
        <f>"48864       "</f>
        <v xml:space="preserve">48864       </v>
      </c>
      <c r="E5552" t="s">
        <v>827</v>
      </c>
      <c r="F5552" t="s">
        <v>828</v>
      </c>
      <c r="G5552">
        <v>15.49</v>
      </c>
      <c r="H5552">
        <v>250711</v>
      </c>
      <c r="I5552">
        <v>4600</v>
      </c>
      <c r="J5552" t="s">
        <v>278</v>
      </c>
      <c r="K5552">
        <v>2780.49</v>
      </c>
      <c r="L5552">
        <v>3.15</v>
      </c>
      <c r="M5552">
        <v>17521</v>
      </c>
      <c r="N5552" t="s">
        <v>136</v>
      </c>
      <c r="O5552">
        <v>250724</v>
      </c>
      <c r="P5552">
        <v>12.34</v>
      </c>
    </row>
    <row r="5553" spans="1:16" x14ac:dyDescent="0.25">
      <c r="A5553" t="s">
        <v>3296</v>
      </c>
      <c r="B5553" t="s">
        <v>2931</v>
      </c>
      <c r="C5553">
        <v>10047</v>
      </c>
      <c r="D5553" t="str">
        <f>"49042       "</f>
        <v xml:space="preserve">49042       </v>
      </c>
      <c r="E5553" t="s">
        <v>827</v>
      </c>
      <c r="F5553" t="s">
        <v>828</v>
      </c>
      <c r="G5553">
        <v>21.66</v>
      </c>
      <c r="H5553">
        <v>250731</v>
      </c>
      <c r="I5553">
        <v>4600</v>
      </c>
      <c r="J5553" t="s">
        <v>278</v>
      </c>
      <c r="K5553">
        <v>346.42</v>
      </c>
      <c r="L5553">
        <v>4.4000000000000004</v>
      </c>
      <c r="M5553">
        <v>17711</v>
      </c>
      <c r="N5553" t="s">
        <v>155</v>
      </c>
      <c r="O5553">
        <v>250808</v>
      </c>
      <c r="P5553">
        <v>17.260000000000002</v>
      </c>
    </row>
    <row r="5554" spans="1:16" x14ac:dyDescent="0.25">
      <c r="A5554" t="s">
        <v>3296</v>
      </c>
      <c r="B5554" t="s">
        <v>2931</v>
      </c>
      <c r="C5554">
        <v>10424</v>
      </c>
      <c r="D5554" t="str">
        <f>"49055       "</f>
        <v xml:space="preserve">49055       </v>
      </c>
      <c r="E5554" t="s">
        <v>827</v>
      </c>
      <c r="F5554" t="s">
        <v>828</v>
      </c>
      <c r="G5554">
        <v>1034.1500000000001</v>
      </c>
      <c r="H5554">
        <v>250804</v>
      </c>
      <c r="I5554">
        <v>4600</v>
      </c>
      <c r="J5554" t="s">
        <v>278</v>
      </c>
      <c r="K5554">
        <v>2093.1999999999998</v>
      </c>
      <c r="L5554">
        <v>210.13</v>
      </c>
      <c r="M5554">
        <v>17635</v>
      </c>
      <c r="N5554" t="s">
        <v>1264</v>
      </c>
      <c r="O5554">
        <v>250819</v>
      </c>
      <c r="P5554">
        <v>824.02</v>
      </c>
    </row>
    <row r="5555" spans="1:16" x14ac:dyDescent="0.25">
      <c r="A5555" t="s">
        <v>3296</v>
      </c>
      <c r="B5555" t="s">
        <v>2931</v>
      </c>
      <c r="C5555">
        <v>10778</v>
      </c>
      <c r="D5555" t="str">
        <f>"49130       "</f>
        <v xml:space="preserve">49130       </v>
      </c>
      <c r="E5555" t="s">
        <v>827</v>
      </c>
      <c r="F5555" t="s">
        <v>828</v>
      </c>
      <c r="G5555">
        <v>28.8</v>
      </c>
      <c r="H5555">
        <v>250815</v>
      </c>
      <c r="I5555">
        <v>4600</v>
      </c>
      <c r="J5555" t="s">
        <v>278</v>
      </c>
      <c r="K5555">
        <v>28.8</v>
      </c>
      <c r="L5555">
        <v>5.85</v>
      </c>
      <c r="M5555">
        <v>17527</v>
      </c>
      <c r="N5555" t="s">
        <v>142</v>
      </c>
      <c r="O5555">
        <v>250822</v>
      </c>
      <c r="P5555">
        <v>22.95</v>
      </c>
    </row>
    <row r="5556" spans="1:16" x14ac:dyDescent="0.25">
      <c r="A5556" t="s">
        <v>3296</v>
      </c>
      <c r="B5556" t="s">
        <v>2931</v>
      </c>
      <c r="C5556">
        <v>10780</v>
      </c>
      <c r="D5556" t="str">
        <f>"49129       "</f>
        <v xml:space="preserve">49129       </v>
      </c>
      <c r="E5556" t="s">
        <v>827</v>
      </c>
      <c r="F5556" t="s">
        <v>828</v>
      </c>
      <c r="G5556">
        <v>19.72</v>
      </c>
      <c r="H5556">
        <v>250815</v>
      </c>
      <c r="I5556">
        <v>4600</v>
      </c>
      <c r="J5556" t="s">
        <v>278</v>
      </c>
      <c r="K5556">
        <v>19.72</v>
      </c>
      <c r="L5556">
        <v>4.01</v>
      </c>
      <c r="M5556">
        <v>17522</v>
      </c>
      <c r="N5556" t="s">
        <v>137</v>
      </c>
      <c r="O5556">
        <v>250822</v>
      </c>
      <c r="P5556">
        <v>15.71</v>
      </c>
    </row>
    <row r="5557" spans="1:16" x14ac:dyDescent="0.25">
      <c r="A5557" t="s">
        <v>3296</v>
      </c>
      <c r="B5557" t="s">
        <v>2931</v>
      </c>
      <c r="C5557">
        <v>10938</v>
      </c>
      <c r="D5557" t="str">
        <f>"49162       "</f>
        <v xml:space="preserve">49162       </v>
      </c>
      <c r="E5557" t="s">
        <v>827</v>
      </c>
      <c r="F5557" t="s">
        <v>828</v>
      </c>
      <c r="G5557">
        <v>233.4</v>
      </c>
      <c r="H5557">
        <v>250821</v>
      </c>
      <c r="I5557">
        <v>4600</v>
      </c>
      <c r="J5557" t="s">
        <v>278</v>
      </c>
      <c r="K5557">
        <v>233.4</v>
      </c>
      <c r="L5557">
        <v>47.42</v>
      </c>
      <c r="M5557">
        <v>13502</v>
      </c>
      <c r="N5557" t="s">
        <v>302</v>
      </c>
      <c r="O5557">
        <v>250827</v>
      </c>
      <c r="P5557">
        <v>185.98</v>
      </c>
    </row>
    <row r="5558" spans="1:16" x14ac:dyDescent="0.25">
      <c r="A5558" t="s">
        <v>3296</v>
      </c>
      <c r="B5558" t="s">
        <v>2931</v>
      </c>
      <c r="C5558">
        <v>11019</v>
      </c>
      <c r="D5558" t="str">
        <f>"49126       "</f>
        <v xml:space="preserve">49126       </v>
      </c>
      <c r="E5558" t="s">
        <v>827</v>
      </c>
      <c r="F5558" t="s">
        <v>828</v>
      </c>
      <c r="G5558">
        <v>6.8</v>
      </c>
      <c r="H5558">
        <v>250815</v>
      </c>
      <c r="I5558">
        <v>4600</v>
      </c>
      <c r="J5558" t="s">
        <v>278</v>
      </c>
      <c r="K5558">
        <v>133.99</v>
      </c>
      <c r="L5558">
        <v>1.38</v>
      </c>
      <c r="M5558">
        <v>13561</v>
      </c>
      <c r="N5558" t="s">
        <v>241</v>
      </c>
      <c r="O5558">
        <v>250829</v>
      </c>
      <c r="P5558">
        <v>5.42</v>
      </c>
    </row>
    <row r="5559" spans="1:16" x14ac:dyDescent="0.25">
      <c r="A5559" t="s">
        <v>3296</v>
      </c>
      <c r="B5559" t="s">
        <v>2931</v>
      </c>
      <c r="C5559">
        <v>11312</v>
      </c>
      <c r="D5559" t="str">
        <f>"49240       "</f>
        <v xml:space="preserve">49240       </v>
      </c>
      <c r="E5559" t="s">
        <v>827</v>
      </c>
      <c r="F5559" t="s">
        <v>828</v>
      </c>
      <c r="G5559">
        <v>145</v>
      </c>
      <c r="H5559">
        <v>250830</v>
      </c>
      <c r="I5559">
        <v>4600</v>
      </c>
      <c r="J5559" t="s">
        <v>278</v>
      </c>
      <c r="K5559">
        <v>230</v>
      </c>
      <c r="L5559">
        <v>29.46</v>
      </c>
      <c r="M5559">
        <v>17524</v>
      </c>
      <c r="N5559" t="s">
        <v>139</v>
      </c>
      <c r="O5559">
        <v>250903</v>
      </c>
      <c r="P5559">
        <v>115.54</v>
      </c>
    </row>
    <row r="5560" spans="1:16" x14ac:dyDescent="0.25">
      <c r="A5560" t="s">
        <v>3296</v>
      </c>
      <c r="B5560" t="s">
        <v>2931</v>
      </c>
      <c r="C5560">
        <v>11678</v>
      </c>
      <c r="D5560" t="str">
        <f>"49241       "</f>
        <v xml:space="preserve">49241       </v>
      </c>
      <c r="E5560" t="s">
        <v>827</v>
      </c>
      <c r="F5560" t="s">
        <v>828</v>
      </c>
      <c r="G5560">
        <v>131.58000000000001</v>
      </c>
      <c r="H5560">
        <v>250830</v>
      </c>
      <c r="I5560">
        <v>4600</v>
      </c>
      <c r="J5560" t="s">
        <v>278</v>
      </c>
      <c r="K5560">
        <v>131.58000000000001</v>
      </c>
      <c r="L5560">
        <v>26.74</v>
      </c>
      <c r="M5560">
        <v>17711</v>
      </c>
      <c r="N5560" t="s">
        <v>155</v>
      </c>
      <c r="O5560">
        <v>250910</v>
      </c>
      <c r="P5560">
        <v>104.84</v>
      </c>
    </row>
    <row r="5561" spans="1:16" x14ac:dyDescent="0.25">
      <c r="A5561" t="s">
        <v>3296</v>
      </c>
      <c r="B5561" t="s">
        <v>2931</v>
      </c>
      <c r="C5561">
        <v>12277</v>
      </c>
      <c r="D5561" t="str">
        <f>"49339       "</f>
        <v xml:space="preserve">49339       </v>
      </c>
      <c r="E5561" t="s">
        <v>827</v>
      </c>
      <c r="F5561" t="s">
        <v>828</v>
      </c>
      <c r="G5561">
        <v>343.96</v>
      </c>
      <c r="H5561">
        <v>250916</v>
      </c>
      <c r="I5561">
        <v>4600</v>
      </c>
      <c r="J5561" t="s">
        <v>278</v>
      </c>
      <c r="K5561">
        <v>343.96</v>
      </c>
      <c r="L5561">
        <v>69.89</v>
      </c>
      <c r="M5561">
        <v>17524</v>
      </c>
      <c r="N5561" t="s">
        <v>139</v>
      </c>
      <c r="O5561">
        <v>250918</v>
      </c>
      <c r="P5561">
        <v>274.07</v>
      </c>
    </row>
    <row r="5562" spans="1:16" x14ac:dyDescent="0.25">
      <c r="A5562" t="s">
        <v>3296</v>
      </c>
      <c r="B5562" t="s">
        <v>2931</v>
      </c>
      <c r="C5562">
        <v>13219</v>
      </c>
      <c r="D5562" t="str">
        <f>"49442       "</f>
        <v xml:space="preserve">49442       </v>
      </c>
      <c r="E5562" t="s">
        <v>827</v>
      </c>
      <c r="F5562" t="s">
        <v>828</v>
      </c>
      <c r="G5562">
        <v>0.43</v>
      </c>
      <c r="H5562">
        <v>250930</v>
      </c>
      <c r="I5562">
        <v>4600</v>
      </c>
      <c r="J5562" t="s">
        <v>278</v>
      </c>
      <c r="K5562">
        <v>35.71</v>
      </c>
      <c r="L5562">
        <v>0.09</v>
      </c>
      <c r="M5562">
        <v>13540</v>
      </c>
      <c r="N5562" t="s">
        <v>131</v>
      </c>
      <c r="O5562">
        <v>251006</v>
      </c>
      <c r="P5562">
        <v>0.34</v>
      </c>
    </row>
    <row r="5563" spans="1:16" x14ac:dyDescent="0.25">
      <c r="A5563" t="s">
        <v>3296</v>
      </c>
      <c r="B5563" t="s">
        <v>2931</v>
      </c>
      <c r="C5563">
        <v>13219</v>
      </c>
      <c r="D5563" t="str">
        <f>"49442       "</f>
        <v xml:space="preserve">49442       </v>
      </c>
      <c r="E5563" t="s">
        <v>827</v>
      </c>
      <c r="F5563" t="s">
        <v>828</v>
      </c>
      <c r="G5563">
        <v>31.8</v>
      </c>
      <c r="H5563">
        <v>250930</v>
      </c>
      <c r="I5563">
        <v>4600</v>
      </c>
      <c r="J5563" t="s">
        <v>278</v>
      </c>
      <c r="K5563">
        <v>35.71</v>
      </c>
      <c r="L5563">
        <v>6.46</v>
      </c>
      <c r="M5563">
        <v>17862</v>
      </c>
      <c r="N5563" t="s">
        <v>130</v>
      </c>
      <c r="O5563">
        <v>251006</v>
      </c>
      <c r="P5563">
        <v>25.34</v>
      </c>
    </row>
    <row r="5564" spans="1:16" x14ac:dyDescent="0.25">
      <c r="A5564" t="s">
        <v>3296</v>
      </c>
      <c r="B5564" t="s">
        <v>2931</v>
      </c>
      <c r="C5564">
        <v>13219</v>
      </c>
      <c r="D5564" t="str">
        <f>"49442       "</f>
        <v xml:space="preserve">49442       </v>
      </c>
      <c r="E5564" t="s">
        <v>827</v>
      </c>
      <c r="F5564" t="s">
        <v>828</v>
      </c>
      <c r="G5564">
        <v>3.48</v>
      </c>
      <c r="H5564">
        <v>250930</v>
      </c>
      <c r="I5564">
        <v>4600</v>
      </c>
      <c r="J5564" t="s">
        <v>278</v>
      </c>
      <c r="K5564">
        <v>35.71</v>
      </c>
      <c r="L5564">
        <v>0.71</v>
      </c>
      <c r="M5564">
        <v>17950</v>
      </c>
      <c r="N5564" t="s">
        <v>132</v>
      </c>
      <c r="O5564">
        <v>251006</v>
      </c>
      <c r="P5564">
        <v>2.77</v>
      </c>
    </row>
    <row r="5565" spans="1:16" x14ac:dyDescent="0.25">
      <c r="A5565" t="s">
        <v>3296</v>
      </c>
      <c r="B5565" t="s">
        <v>2931</v>
      </c>
      <c r="C5565">
        <v>13442</v>
      </c>
      <c r="D5565" t="str">
        <f>"49444       "</f>
        <v xml:space="preserve">49444       </v>
      </c>
      <c r="E5565" t="s">
        <v>827</v>
      </c>
      <c r="F5565" t="s">
        <v>828</v>
      </c>
      <c r="G5565">
        <v>6.72</v>
      </c>
      <c r="H5565">
        <v>250930</v>
      </c>
      <c r="I5565">
        <v>4600</v>
      </c>
      <c r="J5565" t="s">
        <v>278</v>
      </c>
      <c r="K5565">
        <v>81.760000000000005</v>
      </c>
      <c r="L5565">
        <v>1.37</v>
      </c>
      <c r="M5565">
        <v>17633</v>
      </c>
      <c r="N5565" t="s">
        <v>628</v>
      </c>
      <c r="O5565">
        <v>251010</v>
      </c>
      <c r="P5565">
        <v>5.35</v>
      </c>
    </row>
    <row r="5566" spans="1:16" x14ac:dyDescent="0.25">
      <c r="A5566" t="s">
        <v>3296</v>
      </c>
      <c r="B5566" t="s">
        <v>2931</v>
      </c>
      <c r="C5566">
        <v>14049</v>
      </c>
      <c r="D5566" t="str">
        <f>"49533       "</f>
        <v xml:space="preserve">49533       </v>
      </c>
      <c r="E5566" t="s">
        <v>827</v>
      </c>
      <c r="F5566" t="s">
        <v>828</v>
      </c>
      <c r="G5566">
        <v>92.03</v>
      </c>
      <c r="H5566">
        <v>251015</v>
      </c>
      <c r="I5566">
        <v>4600</v>
      </c>
      <c r="J5566" t="s">
        <v>278</v>
      </c>
      <c r="K5566">
        <v>92.03</v>
      </c>
      <c r="L5566">
        <v>18.7</v>
      </c>
      <c r="M5566">
        <v>17524</v>
      </c>
      <c r="N5566" t="s">
        <v>139</v>
      </c>
      <c r="O5566">
        <v>251022</v>
      </c>
      <c r="P5566">
        <v>73.33</v>
      </c>
    </row>
    <row r="5567" spans="1:16" x14ac:dyDescent="0.25">
      <c r="A5567" t="s">
        <v>3296</v>
      </c>
      <c r="B5567" t="s">
        <v>2931</v>
      </c>
      <c r="C5567">
        <v>14866</v>
      </c>
      <c r="D5567" t="str">
        <f>"49640       "</f>
        <v xml:space="preserve">49640       </v>
      </c>
      <c r="E5567" t="s">
        <v>827</v>
      </c>
      <c r="F5567" t="s">
        <v>828</v>
      </c>
      <c r="G5567">
        <v>237.67</v>
      </c>
      <c r="H5567">
        <v>251031</v>
      </c>
      <c r="I5567">
        <v>4600</v>
      </c>
      <c r="J5567" t="s">
        <v>278</v>
      </c>
      <c r="K5567">
        <v>237.67</v>
      </c>
      <c r="L5567">
        <v>48.29</v>
      </c>
      <c r="M5567">
        <v>17524</v>
      </c>
      <c r="N5567" t="s">
        <v>139</v>
      </c>
      <c r="O5567">
        <v>251107</v>
      </c>
      <c r="P5567">
        <v>189.38</v>
      </c>
    </row>
    <row r="5568" spans="1:16" x14ac:dyDescent="0.25">
      <c r="A5568" t="s">
        <v>3296</v>
      </c>
      <c r="B5568" t="s">
        <v>2931</v>
      </c>
      <c r="C5568">
        <v>15406</v>
      </c>
      <c r="D5568" t="str">
        <f>"49710       "</f>
        <v xml:space="preserve">49710       </v>
      </c>
      <c r="E5568" t="s">
        <v>827</v>
      </c>
      <c r="F5568" t="s">
        <v>828</v>
      </c>
      <c r="G5568">
        <v>6.66</v>
      </c>
      <c r="H5568">
        <v>251112</v>
      </c>
      <c r="I5568">
        <v>4600</v>
      </c>
      <c r="J5568" t="s">
        <v>278</v>
      </c>
      <c r="K5568">
        <v>187.58</v>
      </c>
      <c r="L5568">
        <v>1.35</v>
      </c>
      <c r="M5568">
        <v>17971</v>
      </c>
      <c r="N5568" t="s">
        <v>27</v>
      </c>
      <c r="O5568">
        <v>251120</v>
      </c>
      <c r="P5568">
        <v>5.31</v>
      </c>
    </row>
    <row r="5569" spans="1:16" x14ac:dyDescent="0.25">
      <c r="A5569" t="s">
        <v>3296</v>
      </c>
      <c r="B5569" t="s">
        <v>2931</v>
      </c>
      <c r="C5569">
        <v>15496</v>
      </c>
      <c r="D5569" t="str">
        <f>"49709       "</f>
        <v xml:space="preserve">49709       </v>
      </c>
      <c r="E5569" t="s">
        <v>827</v>
      </c>
      <c r="F5569" t="s">
        <v>828</v>
      </c>
      <c r="G5569">
        <v>22.38</v>
      </c>
      <c r="H5569">
        <v>251112</v>
      </c>
      <c r="I5569">
        <v>4600</v>
      </c>
      <c r="J5569" t="s">
        <v>278</v>
      </c>
      <c r="K5569">
        <v>22.38</v>
      </c>
      <c r="L5569">
        <v>4.55</v>
      </c>
      <c r="M5569">
        <v>17640</v>
      </c>
      <c r="N5569" t="s">
        <v>2594</v>
      </c>
      <c r="O5569">
        <v>251121</v>
      </c>
      <c r="P5569">
        <v>17.829999999999998</v>
      </c>
    </row>
    <row r="5570" spans="1:16" x14ac:dyDescent="0.25">
      <c r="A5570" t="s">
        <v>3296</v>
      </c>
      <c r="B5570" t="s">
        <v>2931</v>
      </c>
      <c r="C5570">
        <v>15613</v>
      </c>
      <c r="D5570" t="str">
        <f>"49714       "</f>
        <v xml:space="preserve">49714       </v>
      </c>
      <c r="E5570" t="s">
        <v>827</v>
      </c>
      <c r="F5570" t="s">
        <v>828</v>
      </c>
      <c r="G5570">
        <v>20.56</v>
      </c>
      <c r="H5570">
        <v>251101</v>
      </c>
      <c r="I5570">
        <v>4600</v>
      </c>
      <c r="J5570" t="s">
        <v>278</v>
      </c>
      <c r="K5570">
        <v>20.56</v>
      </c>
      <c r="L5570">
        <v>4.18</v>
      </c>
      <c r="M5570">
        <v>17522</v>
      </c>
      <c r="N5570" t="s">
        <v>137</v>
      </c>
      <c r="O5570">
        <v>251124</v>
      </c>
      <c r="P5570">
        <v>16.38</v>
      </c>
    </row>
    <row r="5571" spans="1:16" x14ac:dyDescent="0.25">
      <c r="A5571" t="s">
        <v>3296</v>
      </c>
      <c r="B5571" t="s">
        <v>2931</v>
      </c>
      <c r="C5571">
        <v>15788</v>
      </c>
      <c r="D5571" t="str">
        <f>"49712       "</f>
        <v xml:space="preserve">49712       </v>
      </c>
      <c r="E5571" t="s">
        <v>827</v>
      </c>
      <c r="F5571" t="s">
        <v>828</v>
      </c>
      <c r="G5571">
        <v>2</v>
      </c>
      <c r="H5571">
        <v>251112</v>
      </c>
      <c r="I5571">
        <v>4600</v>
      </c>
      <c r="J5571" t="s">
        <v>278</v>
      </c>
      <c r="K5571">
        <v>102.15</v>
      </c>
      <c r="L5571">
        <v>0.41</v>
      </c>
      <c r="M5571">
        <v>13501</v>
      </c>
      <c r="N5571" t="s">
        <v>66</v>
      </c>
      <c r="O5571">
        <v>251127</v>
      </c>
      <c r="P5571">
        <v>1.59</v>
      </c>
    </row>
    <row r="5572" spans="1:16" x14ac:dyDescent="0.25">
      <c r="A5572" t="s">
        <v>3296</v>
      </c>
      <c r="B5572" t="s">
        <v>2931</v>
      </c>
      <c r="C5572">
        <v>15788</v>
      </c>
      <c r="D5572" t="str">
        <f>"49712       "</f>
        <v xml:space="preserve">49712       </v>
      </c>
      <c r="E5572" t="s">
        <v>827</v>
      </c>
      <c r="F5572" t="s">
        <v>828</v>
      </c>
      <c r="G5572">
        <v>18.96</v>
      </c>
      <c r="H5572">
        <v>251112</v>
      </c>
      <c r="I5572">
        <v>4600</v>
      </c>
      <c r="J5572" t="s">
        <v>278</v>
      </c>
      <c r="K5572">
        <v>102.15</v>
      </c>
      <c r="L5572">
        <v>3.85</v>
      </c>
      <c r="M5572">
        <v>16820</v>
      </c>
      <c r="N5572" t="s">
        <v>128</v>
      </c>
      <c r="O5572">
        <v>251127</v>
      </c>
      <c r="P5572">
        <v>15.11</v>
      </c>
    </row>
    <row r="5573" spans="1:16" x14ac:dyDescent="0.25">
      <c r="A5573" t="s">
        <v>3296</v>
      </c>
      <c r="B5573" t="s">
        <v>2931</v>
      </c>
      <c r="C5573">
        <v>15788</v>
      </c>
      <c r="D5573" t="str">
        <f>"49712       "</f>
        <v xml:space="preserve">49712       </v>
      </c>
      <c r="E5573" t="s">
        <v>827</v>
      </c>
      <c r="F5573" t="s">
        <v>828</v>
      </c>
      <c r="G5573">
        <v>18.43</v>
      </c>
      <c r="H5573">
        <v>251112</v>
      </c>
      <c r="I5573">
        <v>4600</v>
      </c>
      <c r="J5573" t="s">
        <v>278</v>
      </c>
      <c r="K5573">
        <v>102.15</v>
      </c>
      <c r="L5573">
        <v>3.74</v>
      </c>
      <c r="M5573">
        <v>17524</v>
      </c>
      <c r="N5573" t="s">
        <v>139</v>
      </c>
      <c r="O5573">
        <v>251127</v>
      </c>
      <c r="P5573">
        <v>14.69</v>
      </c>
    </row>
    <row r="5574" spans="1:16" x14ac:dyDescent="0.25">
      <c r="A5574" t="s">
        <v>3296</v>
      </c>
      <c r="B5574" t="s">
        <v>2931</v>
      </c>
      <c r="C5574">
        <v>15788</v>
      </c>
      <c r="D5574" t="str">
        <f>"49712       "</f>
        <v xml:space="preserve">49712       </v>
      </c>
      <c r="E5574" t="s">
        <v>827</v>
      </c>
      <c r="F5574" t="s">
        <v>828</v>
      </c>
      <c r="G5574">
        <v>18.96</v>
      </c>
      <c r="H5574">
        <v>251112</v>
      </c>
      <c r="I5574">
        <v>4600</v>
      </c>
      <c r="J5574" t="s">
        <v>278</v>
      </c>
      <c r="K5574">
        <v>102.15</v>
      </c>
      <c r="L5574">
        <v>3.85</v>
      </c>
      <c r="M5574">
        <v>17808</v>
      </c>
      <c r="N5574" t="s">
        <v>24</v>
      </c>
      <c r="O5574">
        <v>251127</v>
      </c>
      <c r="P5574">
        <v>15.11</v>
      </c>
    </row>
    <row r="5575" spans="1:16" x14ac:dyDescent="0.25">
      <c r="A5575" t="s">
        <v>3296</v>
      </c>
      <c r="B5575" t="s">
        <v>2931</v>
      </c>
      <c r="C5575">
        <v>16471</v>
      </c>
      <c r="D5575" t="str">
        <f>"49832       "</f>
        <v xml:space="preserve">49832       </v>
      </c>
      <c r="E5575" t="s">
        <v>827</v>
      </c>
      <c r="F5575" t="s">
        <v>828</v>
      </c>
      <c r="G5575">
        <v>90.15</v>
      </c>
      <c r="H5575">
        <v>251128</v>
      </c>
      <c r="I5575">
        <v>4600</v>
      </c>
      <c r="J5575" t="s">
        <v>278</v>
      </c>
      <c r="K5575">
        <v>190.15</v>
      </c>
      <c r="L5575">
        <v>18.32</v>
      </c>
      <c r="M5575">
        <v>17524</v>
      </c>
      <c r="N5575" t="s">
        <v>139</v>
      </c>
      <c r="O5575">
        <v>251209</v>
      </c>
      <c r="P5575">
        <v>71.83</v>
      </c>
    </row>
    <row r="5576" spans="1:16" x14ac:dyDescent="0.25">
      <c r="A5576" t="s">
        <v>3296</v>
      </c>
      <c r="B5576" t="s">
        <v>2931</v>
      </c>
      <c r="C5576">
        <v>16471</v>
      </c>
      <c r="D5576" t="str">
        <f>"49832       "</f>
        <v xml:space="preserve">49832       </v>
      </c>
      <c r="E5576" t="s">
        <v>827</v>
      </c>
      <c r="F5576" t="s">
        <v>828</v>
      </c>
      <c r="G5576">
        <v>100</v>
      </c>
      <c r="H5576">
        <v>251128</v>
      </c>
      <c r="I5576">
        <v>4600</v>
      </c>
      <c r="J5576" t="s">
        <v>278</v>
      </c>
      <c r="K5576">
        <v>190.15</v>
      </c>
      <c r="L5576">
        <v>20.32</v>
      </c>
      <c r="M5576">
        <v>17635</v>
      </c>
      <c r="N5576" t="s">
        <v>1264</v>
      </c>
      <c r="O5576">
        <v>251209</v>
      </c>
      <c r="P5576">
        <v>79.680000000000007</v>
      </c>
    </row>
    <row r="5577" spans="1:16" x14ac:dyDescent="0.25">
      <c r="A5577" t="s">
        <v>3296</v>
      </c>
      <c r="B5577" t="s">
        <v>2931</v>
      </c>
      <c r="C5577">
        <v>17029</v>
      </c>
      <c r="D5577" t="str">
        <f>"49903       "</f>
        <v xml:space="preserve">49903       </v>
      </c>
      <c r="E5577" t="s">
        <v>827</v>
      </c>
      <c r="F5577" t="s">
        <v>828</v>
      </c>
      <c r="G5577">
        <v>234.8</v>
      </c>
      <c r="H5577">
        <v>251215</v>
      </c>
      <c r="I5577">
        <v>4600</v>
      </c>
      <c r="J5577" t="s">
        <v>278</v>
      </c>
      <c r="K5577">
        <v>234.8</v>
      </c>
      <c r="L5577">
        <v>47.71</v>
      </c>
      <c r="M5577">
        <v>17524</v>
      </c>
      <c r="N5577" t="s">
        <v>139</v>
      </c>
      <c r="O5577">
        <v>251216</v>
      </c>
      <c r="P5577">
        <v>187.09</v>
      </c>
    </row>
    <row r="5578" spans="1:16" x14ac:dyDescent="0.25">
      <c r="A5578" t="s">
        <v>3296</v>
      </c>
      <c r="B5578" t="s">
        <v>2931</v>
      </c>
      <c r="C5578">
        <v>17182</v>
      </c>
      <c r="D5578" t="str">
        <f>"49905       "</f>
        <v xml:space="preserve">49905       </v>
      </c>
      <c r="E5578" t="s">
        <v>827</v>
      </c>
      <c r="F5578" t="s">
        <v>828</v>
      </c>
      <c r="G5578">
        <v>46.14</v>
      </c>
      <c r="H5578">
        <v>251215</v>
      </c>
      <c r="I5578">
        <v>4600</v>
      </c>
      <c r="J5578" t="s">
        <v>278</v>
      </c>
      <c r="K5578">
        <v>46.14</v>
      </c>
      <c r="L5578">
        <v>9.3800000000000008</v>
      </c>
      <c r="M5578">
        <v>17529</v>
      </c>
      <c r="N5578" t="s">
        <v>143</v>
      </c>
      <c r="O5578">
        <v>251218</v>
      </c>
      <c r="P5578">
        <v>36.76</v>
      </c>
    </row>
    <row r="5579" spans="1:16" x14ac:dyDescent="0.25">
      <c r="A5579" t="s">
        <v>3296</v>
      </c>
      <c r="B5579" t="s">
        <v>2931</v>
      </c>
      <c r="C5579">
        <v>17187</v>
      </c>
      <c r="D5579" t="str">
        <f>"49906       "</f>
        <v xml:space="preserve">49906       </v>
      </c>
      <c r="E5579" t="s">
        <v>827</v>
      </c>
      <c r="F5579" t="s">
        <v>828</v>
      </c>
      <c r="G5579">
        <v>15.79</v>
      </c>
      <c r="H5579">
        <v>251215</v>
      </c>
      <c r="I5579">
        <v>4600</v>
      </c>
      <c r="J5579" t="s">
        <v>278</v>
      </c>
      <c r="K5579">
        <v>15.79</v>
      </c>
      <c r="L5579">
        <v>3.21</v>
      </c>
      <c r="M5579">
        <v>17812</v>
      </c>
      <c r="N5579" t="s">
        <v>816</v>
      </c>
      <c r="O5579">
        <v>251218</v>
      </c>
      <c r="P5579">
        <v>12.58</v>
      </c>
    </row>
    <row r="5580" spans="1:16" x14ac:dyDescent="0.25">
      <c r="A5580" t="s">
        <v>3296</v>
      </c>
      <c r="B5580" t="s">
        <v>2931</v>
      </c>
      <c r="C5580">
        <v>17208</v>
      </c>
      <c r="D5580" t="str">
        <f>"49904       "</f>
        <v xml:space="preserve">49904       </v>
      </c>
      <c r="E5580" t="s">
        <v>827</v>
      </c>
      <c r="F5580" t="s">
        <v>828</v>
      </c>
      <c r="G5580">
        <v>91</v>
      </c>
      <c r="H5580">
        <v>251215</v>
      </c>
      <c r="I5580">
        <v>4600</v>
      </c>
      <c r="J5580" t="s">
        <v>278</v>
      </c>
      <c r="K5580">
        <v>182</v>
      </c>
      <c r="L5580">
        <v>18.489999999999998</v>
      </c>
      <c r="M5580">
        <v>17636</v>
      </c>
      <c r="N5580" t="s">
        <v>620</v>
      </c>
      <c r="O5580">
        <v>251218</v>
      </c>
      <c r="P5580">
        <v>72.510000000000005</v>
      </c>
    </row>
    <row r="5581" spans="1:16" x14ac:dyDescent="0.25">
      <c r="A5581" t="s">
        <v>3296</v>
      </c>
      <c r="B5581" t="s">
        <v>2931</v>
      </c>
      <c r="C5581">
        <v>12012</v>
      </c>
      <c r="D5581" t="str">
        <f>"11719       "</f>
        <v xml:space="preserve">11719       </v>
      </c>
      <c r="E5581" t="s">
        <v>2307</v>
      </c>
      <c r="F5581" t="s">
        <v>2308</v>
      </c>
      <c r="G5581">
        <v>1138.92</v>
      </c>
      <c r="H5581">
        <v>250831</v>
      </c>
      <c r="I5581">
        <v>4390</v>
      </c>
      <c r="J5581" t="s">
        <v>232</v>
      </c>
      <c r="K5581">
        <v>1138.92</v>
      </c>
      <c r="L5581">
        <v>231.41</v>
      </c>
      <c r="M5581">
        <v>49501</v>
      </c>
      <c r="N5581" t="s">
        <v>110</v>
      </c>
      <c r="O5581">
        <v>250915</v>
      </c>
      <c r="P5581">
        <v>907.51</v>
      </c>
    </row>
    <row r="5582" spans="1:16" x14ac:dyDescent="0.25">
      <c r="A5582" t="s">
        <v>3296</v>
      </c>
      <c r="B5582" t="s">
        <v>2931</v>
      </c>
      <c r="C5582">
        <v>16488</v>
      </c>
      <c r="D5582" t="str">
        <f>"5240171339  "</f>
        <v xml:space="preserve">5240171339  </v>
      </c>
      <c r="E5582" t="s">
        <v>1148</v>
      </c>
      <c r="F5582" t="s">
        <v>1149</v>
      </c>
      <c r="G5582">
        <v>35.28</v>
      </c>
      <c r="H5582">
        <v>251130</v>
      </c>
      <c r="I5582">
        <v>4580</v>
      </c>
      <c r="J5582" t="s">
        <v>126</v>
      </c>
      <c r="K5582">
        <v>35.28</v>
      </c>
      <c r="L5582">
        <v>7.17</v>
      </c>
      <c r="M5582">
        <v>17809</v>
      </c>
      <c r="N5582" t="s">
        <v>25</v>
      </c>
      <c r="O5582">
        <v>251209</v>
      </c>
      <c r="P5582">
        <v>28.11</v>
      </c>
    </row>
    <row r="5583" spans="1:16" x14ac:dyDescent="0.25">
      <c r="A5583" t="s">
        <v>3296</v>
      </c>
      <c r="B5583" t="s">
        <v>2931</v>
      </c>
      <c r="C5583">
        <v>1869</v>
      </c>
      <c r="D5583" t="str">
        <f>"5239251437  "</f>
        <v xml:space="preserve">5239251437  </v>
      </c>
      <c r="E5583" t="s">
        <v>1148</v>
      </c>
      <c r="F5583" t="s">
        <v>1149</v>
      </c>
      <c r="G5583">
        <v>146.69999999999999</v>
      </c>
      <c r="H5583">
        <v>250210</v>
      </c>
      <c r="I5583">
        <v>4590</v>
      </c>
      <c r="J5583" t="s">
        <v>388</v>
      </c>
      <c r="K5583">
        <v>146.69999999999999</v>
      </c>
      <c r="L5583">
        <v>29.81</v>
      </c>
      <c r="M5583">
        <v>17806</v>
      </c>
      <c r="N5583" t="s">
        <v>22</v>
      </c>
      <c r="O5583">
        <v>250214</v>
      </c>
      <c r="P5583">
        <v>116.89</v>
      </c>
    </row>
    <row r="5584" spans="1:16" x14ac:dyDescent="0.25">
      <c r="A5584" t="s">
        <v>3296</v>
      </c>
      <c r="B5584" t="s">
        <v>2931</v>
      </c>
      <c r="C5584">
        <v>5916</v>
      </c>
      <c r="D5584" t="str">
        <f>"5239450191  "</f>
        <v xml:space="preserve">5239450191  </v>
      </c>
      <c r="E5584" t="s">
        <v>1148</v>
      </c>
      <c r="F5584" t="s">
        <v>1149</v>
      </c>
      <c r="G5584">
        <v>31.41</v>
      </c>
      <c r="H5584">
        <v>250428</v>
      </c>
      <c r="I5584">
        <v>4590</v>
      </c>
      <c r="J5584" t="s">
        <v>388</v>
      </c>
      <c r="K5584">
        <v>31.41</v>
      </c>
      <c r="L5584">
        <v>6.38</v>
      </c>
      <c r="M5584">
        <v>17806</v>
      </c>
      <c r="N5584" t="s">
        <v>22</v>
      </c>
      <c r="O5584">
        <v>250507</v>
      </c>
      <c r="P5584">
        <v>25.03</v>
      </c>
    </row>
    <row r="5585" spans="1:16" x14ac:dyDescent="0.25">
      <c r="A5585" t="s">
        <v>3296</v>
      </c>
      <c r="B5585" t="s">
        <v>2931</v>
      </c>
      <c r="C5585">
        <v>11858</v>
      </c>
      <c r="D5585" t="str">
        <f>"5239911849  "</f>
        <v xml:space="preserve">5239911849  </v>
      </c>
      <c r="E5585" t="s">
        <v>1148</v>
      </c>
      <c r="F5585" t="s">
        <v>1149</v>
      </c>
      <c r="G5585">
        <v>312.36</v>
      </c>
      <c r="H5585">
        <v>250908</v>
      </c>
      <c r="I5585">
        <v>4590</v>
      </c>
      <c r="J5585" t="s">
        <v>388</v>
      </c>
      <c r="K5585">
        <v>312.36</v>
      </c>
      <c r="L5585">
        <v>63.47</v>
      </c>
      <c r="M5585">
        <v>17806</v>
      </c>
      <c r="N5585" t="s">
        <v>22</v>
      </c>
      <c r="O5585">
        <v>250911</v>
      </c>
      <c r="P5585">
        <v>248.89</v>
      </c>
    </row>
    <row r="5586" spans="1:16" x14ac:dyDescent="0.25">
      <c r="A5586" t="s">
        <v>3296</v>
      </c>
      <c r="B5586" t="s">
        <v>2931</v>
      </c>
      <c r="C5586">
        <v>14388</v>
      </c>
      <c r="D5586" t="str">
        <f>"5240066373  "</f>
        <v xml:space="preserve">5240066373  </v>
      </c>
      <c r="E5586" t="s">
        <v>1148</v>
      </c>
      <c r="F5586" t="s">
        <v>1149</v>
      </c>
      <c r="G5586">
        <v>931.43</v>
      </c>
      <c r="H5586">
        <v>251027</v>
      </c>
      <c r="I5586">
        <v>4590</v>
      </c>
      <c r="J5586" t="s">
        <v>388</v>
      </c>
      <c r="K5586">
        <v>931.43</v>
      </c>
      <c r="L5586">
        <v>189.25</v>
      </c>
      <c r="M5586">
        <v>17806</v>
      </c>
      <c r="N5586" t="s">
        <v>22</v>
      </c>
      <c r="O5586">
        <v>251031</v>
      </c>
      <c r="P5586">
        <v>742.18</v>
      </c>
    </row>
    <row r="5587" spans="1:16" x14ac:dyDescent="0.25">
      <c r="A5587" t="s">
        <v>3296</v>
      </c>
      <c r="B5587" t="s">
        <v>2931</v>
      </c>
      <c r="C5587">
        <v>15050</v>
      </c>
      <c r="D5587" t="str">
        <f>"5240086551  "</f>
        <v xml:space="preserve">5240086551  </v>
      </c>
      <c r="E5587" t="s">
        <v>1148</v>
      </c>
      <c r="F5587" t="s">
        <v>1149</v>
      </c>
      <c r="G5587">
        <v>1458.01</v>
      </c>
      <c r="H5587">
        <v>251031</v>
      </c>
      <c r="I5587">
        <v>4590</v>
      </c>
      <c r="J5587" t="s">
        <v>388</v>
      </c>
      <c r="K5587">
        <v>1458.01</v>
      </c>
      <c r="L5587">
        <v>296.25</v>
      </c>
      <c r="M5587">
        <v>17806</v>
      </c>
      <c r="N5587" t="s">
        <v>22</v>
      </c>
      <c r="O5587">
        <v>251111</v>
      </c>
      <c r="P5587">
        <v>1161.76</v>
      </c>
    </row>
    <row r="5588" spans="1:16" x14ac:dyDescent="0.25">
      <c r="A5588" t="s">
        <v>3296</v>
      </c>
      <c r="B5588" t="s">
        <v>2931</v>
      </c>
      <c r="C5588">
        <v>16456</v>
      </c>
      <c r="D5588" t="str">
        <f>"5240150987  "</f>
        <v xml:space="preserve">5240150987  </v>
      </c>
      <c r="E5588" t="s">
        <v>1148</v>
      </c>
      <c r="F5588" t="s">
        <v>1149</v>
      </c>
      <c r="G5588">
        <v>248.13</v>
      </c>
      <c r="H5588">
        <v>251124</v>
      </c>
      <c r="I5588">
        <v>4590</v>
      </c>
      <c r="J5588" t="s">
        <v>388</v>
      </c>
      <c r="K5588">
        <v>248.13</v>
      </c>
      <c r="L5588">
        <v>50.42</v>
      </c>
      <c r="M5588">
        <v>17806</v>
      </c>
      <c r="N5588" t="s">
        <v>22</v>
      </c>
      <c r="O5588">
        <v>251209</v>
      </c>
      <c r="P5588">
        <v>197.71</v>
      </c>
    </row>
    <row r="5589" spans="1:16" x14ac:dyDescent="0.25">
      <c r="A5589" t="s">
        <v>3296</v>
      </c>
      <c r="B5589" t="s">
        <v>2931</v>
      </c>
      <c r="C5589">
        <v>16504</v>
      </c>
      <c r="D5589" t="str">
        <f>"5240175745  "</f>
        <v xml:space="preserve">5240175745  </v>
      </c>
      <c r="E5589" t="s">
        <v>1148</v>
      </c>
      <c r="F5589" t="s">
        <v>1149</v>
      </c>
      <c r="G5589">
        <v>78</v>
      </c>
      <c r="H5589">
        <v>251201</v>
      </c>
      <c r="I5589">
        <v>4590</v>
      </c>
      <c r="J5589" t="s">
        <v>388</v>
      </c>
      <c r="K5589">
        <v>78</v>
      </c>
      <c r="L5589">
        <v>15.85</v>
      </c>
      <c r="M5589">
        <v>17806</v>
      </c>
      <c r="N5589" t="s">
        <v>22</v>
      </c>
      <c r="O5589">
        <v>251209</v>
      </c>
      <c r="P5589">
        <v>62.15</v>
      </c>
    </row>
    <row r="5590" spans="1:16" x14ac:dyDescent="0.25">
      <c r="A5590" t="s">
        <v>3296</v>
      </c>
      <c r="B5590" t="s">
        <v>2931</v>
      </c>
      <c r="C5590">
        <v>17274</v>
      </c>
      <c r="D5590" t="str">
        <f>"5240210895  "</f>
        <v xml:space="preserve">5240210895  </v>
      </c>
      <c r="E5590" t="s">
        <v>1148</v>
      </c>
      <c r="F5590" t="s">
        <v>1149</v>
      </c>
      <c r="G5590">
        <v>125</v>
      </c>
      <c r="H5590">
        <v>251215</v>
      </c>
      <c r="I5590">
        <v>4590</v>
      </c>
      <c r="J5590" t="s">
        <v>388</v>
      </c>
      <c r="K5590">
        <v>125</v>
      </c>
      <c r="L5590">
        <v>25.4</v>
      </c>
      <c r="M5590">
        <v>17806</v>
      </c>
      <c r="N5590" t="s">
        <v>22</v>
      </c>
      <c r="O5590">
        <v>251219</v>
      </c>
      <c r="P5590">
        <v>99.6</v>
      </c>
    </row>
    <row r="5591" spans="1:16" x14ac:dyDescent="0.25">
      <c r="A5591" t="s">
        <v>3296</v>
      </c>
      <c r="B5591" t="s">
        <v>2931</v>
      </c>
      <c r="C5591">
        <v>15181</v>
      </c>
      <c r="D5591" t="str">
        <f>"5240111111  "</f>
        <v xml:space="preserve">5240111111  </v>
      </c>
      <c r="E5591" t="s">
        <v>1148</v>
      </c>
      <c r="F5591" t="s">
        <v>1149</v>
      </c>
      <c r="G5591">
        <v>29.58</v>
      </c>
      <c r="H5591">
        <v>251110</v>
      </c>
      <c r="I5591">
        <v>4600</v>
      </c>
      <c r="J5591" t="s">
        <v>278</v>
      </c>
      <c r="K5591">
        <v>29.58</v>
      </c>
      <c r="L5591">
        <v>6.01</v>
      </c>
      <c r="M5591">
        <v>17638</v>
      </c>
      <c r="N5591" t="s">
        <v>1182</v>
      </c>
      <c r="O5591">
        <v>251113</v>
      </c>
      <c r="P5591">
        <v>23.57</v>
      </c>
    </row>
    <row r="5592" spans="1:16" x14ac:dyDescent="0.25">
      <c r="A5592" t="s">
        <v>3296</v>
      </c>
      <c r="B5592" t="s">
        <v>2931</v>
      </c>
      <c r="C5592">
        <v>15747</v>
      </c>
      <c r="D5592" t="str">
        <f>"5240132103  "</f>
        <v xml:space="preserve">5240132103  </v>
      </c>
      <c r="E5592" t="s">
        <v>1148</v>
      </c>
      <c r="F5592" t="s">
        <v>1149</v>
      </c>
      <c r="G5592">
        <v>51.43</v>
      </c>
      <c r="H5592">
        <v>251117</v>
      </c>
      <c r="I5592">
        <v>4600</v>
      </c>
      <c r="J5592" t="s">
        <v>278</v>
      </c>
      <c r="K5592">
        <v>51.43</v>
      </c>
      <c r="L5592">
        <v>10.45</v>
      </c>
      <c r="M5592">
        <v>17638</v>
      </c>
      <c r="N5592" t="s">
        <v>1182</v>
      </c>
      <c r="O5592">
        <v>251126</v>
      </c>
      <c r="P5592">
        <v>40.98</v>
      </c>
    </row>
    <row r="5593" spans="1:16" x14ac:dyDescent="0.25">
      <c r="A5593" t="s">
        <v>3296</v>
      </c>
      <c r="B5593" t="s">
        <v>2931</v>
      </c>
      <c r="C5593">
        <v>5972</v>
      </c>
      <c r="D5593" t="str">
        <f>"1           "</f>
        <v xml:space="preserve">1           </v>
      </c>
      <c r="E5593" t="s">
        <v>1829</v>
      </c>
      <c r="F5593" t="s">
        <v>1830</v>
      </c>
      <c r="G5593">
        <v>502</v>
      </c>
      <c r="H5593">
        <v>250429</v>
      </c>
      <c r="I5593">
        <v>4842</v>
      </c>
      <c r="J5593" t="s">
        <v>15</v>
      </c>
      <c r="K5593">
        <v>502</v>
      </c>
      <c r="L5593">
        <v>102</v>
      </c>
      <c r="M5593">
        <v>13901</v>
      </c>
      <c r="N5593" t="s">
        <v>116</v>
      </c>
      <c r="O5593">
        <v>250507</v>
      </c>
      <c r="P5593">
        <v>400</v>
      </c>
    </row>
    <row r="5594" spans="1:16" x14ac:dyDescent="0.25">
      <c r="A5594" t="s">
        <v>3296</v>
      </c>
      <c r="B5594" t="s">
        <v>2931</v>
      </c>
      <c r="C5594">
        <v>10425</v>
      </c>
      <c r="D5594" t="str">
        <f>"VL0106568   "</f>
        <v xml:space="preserve">VL0106568   </v>
      </c>
      <c r="E5594" t="s">
        <v>2189</v>
      </c>
      <c r="F5594" t="s">
        <v>2190</v>
      </c>
      <c r="G5594">
        <v>90.15</v>
      </c>
      <c r="H5594">
        <v>250815</v>
      </c>
      <c r="I5594">
        <v>4600</v>
      </c>
      <c r="J5594" t="s">
        <v>278</v>
      </c>
      <c r="K5594">
        <v>90.15</v>
      </c>
      <c r="L5594">
        <v>18.32</v>
      </c>
      <c r="M5594">
        <v>56573</v>
      </c>
      <c r="N5594" t="s">
        <v>843</v>
      </c>
      <c r="O5594">
        <v>250819</v>
      </c>
      <c r="P5594">
        <v>71.83</v>
      </c>
    </row>
    <row r="5595" spans="1:16" x14ac:dyDescent="0.25">
      <c r="A5595" t="s">
        <v>3296</v>
      </c>
      <c r="B5595" t="s">
        <v>2931</v>
      </c>
      <c r="C5595">
        <v>6759</v>
      </c>
      <c r="D5595" t="str">
        <f>"2903369274  "</f>
        <v xml:space="preserve">2903369274  </v>
      </c>
      <c r="E5595" t="s">
        <v>1882</v>
      </c>
      <c r="F5595" t="s">
        <v>1883</v>
      </c>
      <c r="G5595">
        <v>74.239999999999995</v>
      </c>
      <c r="H5595">
        <v>250508</v>
      </c>
      <c r="I5595">
        <v>4580</v>
      </c>
      <c r="J5595" t="s">
        <v>126</v>
      </c>
      <c r="K5595">
        <v>74.239999999999995</v>
      </c>
      <c r="L5595">
        <v>15.08</v>
      </c>
      <c r="M5595">
        <v>17521</v>
      </c>
      <c r="N5595" t="s">
        <v>136</v>
      </c>
      <c r="O5595">
        <v>250516</v>
      </c>
      <c r="P5595">
        <v>59.16</v>
      </c>
    </row>
    <row r="5596" spans="1:16" x14ac:dyDescent="0.25">
      <c r="A5596" t="s">
        <v>3296</v>
      </c>
      <c r="B5596" t="s">
        <v>2931</v>
      </c>
      <c r="C5596">
        <v>12901</v>
      </c>
      <c r="D5596" t="str">
        <f>"13790       "</f>
        <v xml:space="preserve">13790       </v>
      </c>
      <c r="E5596" t="s">
        <v>1217</v>
      </c>
      <c r="F5596" t="s">
        <v>1218</v>
      </c>
      <c r="G5596">
        <v>154.53</v>
      </c>
      <c r="H5596">
        <v>250924</v>
      </c>
      <c r="I5596">
        <v>4400</v>
      </c>
      <c r="J5596" t="s">
        <v>162</v>
      </c>
      <c r="K5596">
        <v>154.53</v>
      </c>
      <c r="L5596">
        <v>31.4</v>
      </c>
      <c r="M5596">
        <v>17529</v>
      </c>
      <c r="N5596" t="s">
        <v>143</v>
      </c>
      <c r="O5596">
        <v>251001</v>
      </c>
      <c r="P5596">
        <v>123.13</v>
      </c>
    </row>
    <row r="5597" spans="1:16" x14ac:dyDescent="0.25">
      <c r="A5597" t="s">
        <v>3296</v>
      </c>
      <c r="B5597" t="s">
        <v>2931</v>
      </c>
      <c r="C5597">
        <v>11095</v>
      </c>
      <c r="D5597" t="str">
        <f>"13702       "</f>
        <v xml:space="preserve">13702       </v>
      </c>
      <c r="E5597" t="s">
        <v>1217</v>
      </c>
      <c r="F5597" t="s">
        <v>1218</v>
      </c>
      <c r="G5597">
        <v>158.03</v>
      </c>
      <c r="H5597">
        <v>250827</v>
      </c>
      <c r="I5597">
        <v>4590</v>
      </c>
      <c r="J5597" t="s">
        <v>388</v>
      </c>
      <c r="K5597">
        <v>158.03</v>
      </c>
      <c r="L5597">
        <v>32.11</v>
      </c>
      <c r="M5597">
        <v>56522</v>
      </c>
      <c r="N5597" t="s">
        <v>68</v>
      </c>
      <c r="O5597">
        <v>250829</v>
      </c>
      <c r="P5597">
        <v>125.92</v>
      </c>
    </row>
    <row r="5598" spans="1:16" x14ac:dyDescent="0.25">
      <c r="A5598" t="s">
        <v>3296</v>
      </c>
      <c r="B5598" t="s">
        <v>2931</v>
      </c>
      <c r="C5598">
        <v>2198</v>
      </c>
      <c r="D5598" t="str">
        <f>"13049       "</f>
        <v xml:space="preserve">13049       </v>
      </c>
      <c r="E5598" t="s">
        <v>1217</v>
      </c>
      <c r="F5598" t="s">
        <v>1218</v>
      </c>
      <c r="G5598">
        <v>649.52</v>
      </c>
      <c r="H5598">
        <v>250212</v>
      </c>
      <c r="I5598">
        <v>4600</v>
      </c>
      <c r="J5598" t="s">
        <v>278</v>
      </c>
      <c r="K5598">
        <v>698.72</v>
      </c>
      <c r="L5598">
        <v>131.97</v>
      </c>
      <c r="M5598">
        <v>17525</v>
      </c>
      <c r="N5598" t="s">
        <v>140</v>
      </c>
      <c r="O5598">
        <v>250221</v>
      </c>
      <c r="P5598">
        <v>517.54999999999995</v>
      </c>
    </row>
    <row r="5599" spans="1:16" x14ac:dyDescent="0.25">
      <c r="A5599" t="s">
        <v>3296</v>
      </c>
      <c r="B5599" t="s">
        <v>2931</v>
      </c>
      <c r="C5599">
        <v>2198</v>
      </c>
      <c r="D5599" t="str">
        <f>"13049       "</f>
        <v xml:space="preserve">13049       </v>
      </c>
      <c r="E5599" t="s">
        <v>1217</v>
      </c>
      <c r="F5599" t="s">
        <v>1218</v>
      </c>
      <c r="G5599">
        <v>49.2</v>
      </c>
      <c r="H5599">
        <v>250212</v>
      </c>
      <c r="I5599">
        <v>4600</v>
      </c>
      <c r="J5599" t="s">
        <v>278</v>
      </c>
      <c r="K5599">
        <v>698.72</v>
      </c>
      <c r="L5599">
        <v>10</v>
      </c>
      <c r="M5599">
        <v>17529</v>
      </c>
      <c r="N5599" t="s">
        <v>143</v>
      </c>
      <c r="O5599">
        <v>250221</v>
      </c>
      <c r="P5599">
        <v>39.200000000000003</v>
      </c>
    </row>
    <row r="5600" spans="1:16" x14ac:dyDescent="0.25">
      <c r="A5600" t="s">
        <v>3296</v>
      </c>
      <c r="B5600" t="s">
        <v>2931</v>
      </c>
      <c r="C5600">
        <v>5511</v>
      </c>
      <c r="D5600" t="str">
        <f>"13272       "</f>
        <v xml:space="preserve">13272       </v>
      </c>
      <c r="E5600" t="s">
        <v>1217</v>
      </c>
      <c r="F5600" t="s">
        <v>1218</v>
      </c>
      <c r="G5600">
        <v>174.34</v>
      </c>
      <c r="H5600">
        <v>250417</v>
      </c>
      <c r="I5600">
        <v>4600</v>
      </c>
      <c r="J5600" t="s">
        <v>278</v>
      </c>
      <c r="K5600">
        <v>174.34</v>
      </c>
      <c r="L5600">
        <v>35.42</v>
      </c>
      <c r="M5600">
        <v>17525</v>
      </c>
      <c r="N5600" t="s">
        <v>140</v>
      </c>
      <c r="O5600">
        <v>250425</v>
      </c>
      <c r="P5600">
        <v>138.91999999999999</v>
      </c>
    </row>
    <row r="5601" spans="1:16" x14ac:dyDescent="0.25">
      <c r="A5601" t="s">
        <v>3296</v>
      </c>
      <c r="B5601" t="s">
        <v>2931</v>
      </c>
      <c r="C5601">
        <v>10970</v>
      </c>
      <c r="D5601" t="str">
        <f>"13666       "</f>
        <v xml:space="preserve">13666       </v>
      </c>
      <c r="E5601" t="s">
        <v>1217</v>
      </c>
      <c r="F5601" t="s">
        <v>1218</v>
      </c>
      <c r="G5601">
        <v>129.93</v>
      </c>
      <c r="H5601">
        <v>250820</v>
      </c>
      <c r="I5601">
        <v>4600</v>
      </c>
      <c r="J5601" t="s">
        <v>278</v>
      </c>
      <c r="K5601">
        <v>129.93</v>
      </c>
      <c r="L5601">
        <v>26.4</v>
      </c>
      <c r="M5601">
        <v>17525</v>
      </c>
      <c r="N5601" t="s">
        <v>140</v>
      </c>
      <c r="O5601">
        <v>250828</v>
      </c>
      <c r="P5601">
        <v>103.53</v>
      </c>
    </row>
    <row r="5602" spans="1:16" x14ac:dyDescent="0.25">
      <c r="A5602" t="s">
        <v>3296</v>
      </c>
      <c r="B5602" t="s">
        <v>2931</v>
      </c>
      <c r="C5602">
        <v>1619</v>
      </c>
      <c r="D5602" t="str">
        <f>"58          "</f>
        <v xml:space="preserve">58          </v>
      </c>
      <c r="E5602" t="s">
        <v>1055</v>
      </c>
      <c r="F5602" t="s">
        <v>1056</v>
      </c>
      <c r="G5602">
        <v>220.41</v>
      </c>
      <c r="H5602">
        <v>250203</v>
      </c>
      <c r="I5602">
        <v>4534</v>
      </c>
      <c r="J5602" t="s">
        <v>349</v>
      </c>
      <c r="K5602">
        <v>440.82</v>
      </c>
      <c r="L5602">
        <v>44.78</v>
      </c>
      <c r="M5602">
        <v>54222</v>
      </c>
      <c r="N5602" t="s">
        <v>48</v>
      </c>
      <c r="O5602">
        <v>250211</v>
      </c>
      <c r="P5602">
        <v>175.63</v>
      </c>
    </row>
    <row r="5603" spans="1:16" x14ac:dyDescent="0.25">
      <c r="A5603" t="s">
        <v>3296</v>
      </c>
      <c r="B5603" t="s">
        <v>2931</v>
      </c>
      <c r="C5603">
        <v>1619</v>
      </c>
      <c r="D5603" t="str">
        <f>"58          "</f>
        <v xml:space="preserve">58          </v>
      </c>
      <c r="E5603" t="s">
        <v>1055</v>
      </c>
      <c r="F5603" t="s">
        <v>1056</v>
      </c>
      <c r="G5603">
        <v>220.41</v>
      </c>
      <c r="H5603">
        <v>250203</v>
      </c>
      <c r="I5603">
        <v>4534</v>
      </c>
      <c r="J5603" t="s">
        <v>349</v>
      </c>
      <c r="K5603">
        <v>440.82</v>
      </c>
      <c r="L5603">
        <v>44.78</v>
      </c>
      <c r="M5603">
        <v>54252</v>
      </c>
      <c r="N5603" t="s">
        <v>742</v>
      </c>
      <c r="O5603">
        <v>250211</v>
      </c>
      <c r="P5603">
        <v>175.63</v>
      </c>
    </row>
    <row r="5604" spans="1:16" x14ac:dyDescent="0.25">
      <c r="A5604" t="s">
        <v>3296</v>
      </c>
      <c r="B5604" t="s">
        <v>2931</v>
      </c>
      <c r="C5604">
        <v>1932</v>
      </c>
      <c r="D5604" t="str">
        <f>"82/25       "</f>
        <v xml:space="preserve">82/25       </v>
      </c>
      <c r="E5604" t="s">
        <v>3208</v>
      </c>
      <c r="F5604" t="s">
        <v>3209</v>
      </c>
      <c r="G5604">
        <v>4220</v>
      </c>
      <c r="H5604">
        <v>250205</v>
      </c>
      <c r="I5604">
        <v>4410</v>
      </c>
      <c r="J5604" t="s">
        <v>165</v>
      </c>
      <c r="K5604">
        <v>5500</v>
      </c>
      <c r="L5604">
        <v>0</v>
      </c>
      <c r="M5604">
        <v>11902</v>
      </c>
      <c r="N5604" t="s">
        <v>329</v>
      </c>
      <c r="O5604">
        <v>250218</v>
      </c>
      <c r="P5604">
        <v>4220</v>
      </c>
    </row>
    <row r="5605" spans="1:16" x14ac:dyDescent="0.25">
      <c r="A5605" t="s">
        <v>3296</v>
      </c>
      <c r="B5605" t="s">
        <v>2931</v>
      </c>
      <c r="C5605">
        <v>1934</v>
      </c>
      <c r="D5605" t="str">
        <f>"80/25       "</f>
        <v xml:space="preserve">80/25       </v>
      </c>
      <c r="E5605" t="s">
        <v>3208</v>
      </c>
      <c r="F5605" t="s">
        <v>3209</v>
      </c>
      <c r="G5605">
        <v>1325</v>
      </c>
      <c r="H5605">
        <v>250207</v>
      </c>
      <c r="I5605">
        <v>4410</v>
      </c>
      <c r="J5605" t="s">
        <v>165</v>
      </c>
      <c r="K5605">
        <v>1645</v>
      </c>
      <c r="L5605">
        <v>0</v>
      </c>
      <c r="M5605">
        <v>11902</v>
      </c>
      <c r="N5605" t="s">
        <v>329</v>
      </c>
      <c r="O5605">
        <v>250218</v>
      </c>
      <c r="P5605">
        <v>1325</v>
      </c>
    </row>
    <row r="5606" spans="1:16" x14ac:dyDescent="0.25">
      <c r="A5606" t="s">
        <v>3296</v>
      </c>
      <c r="B5606" t="s">
        <v>2931</v>
      </c>
      <c r="C5606">
        <v>1937</v>
      </c>
      <c r="D5606" t="str">
        <f>"83/25       "</f>
        <v xml:space="preserve">83/25       </v>
      </c>
      <c r="E5606" t="s">
        <v>3208</v>
      </c>
      <c r="F5606" t="s">
        <v>3209</v>
      </c>
      <c r="G5606">
        <v>1805</v>
      </c>
      <c r="H5606">
        <v>250214</v>
      </c>
      <c r="I5606">
        <v>4410</v>
      </c>
      <c r="J5606" t="s">
        <v>165</v>
      </c>
      <c r="K5606">
        <v>2125</v>
      </c>
      <c r="L5606">
        <v>0</v>
      </c>
      <c r="M5606">
        <v>11902</v>
      </c>
      <c r="N5606" t="s">
        <v>329</v>
      </c>
      <c r="O5606">
        <v>250218</v>
      </c>
      <c r="P5606">
        <v>1805</v>
      </c>
    </row>
    <row r="5607" spans="1:16" x14ac:dyDescent="0.25">
      <c r="A5607" t="s">
        <v>3296</v>
      </c>
      <c r="B5607" t="s">
        <v>2931</v>
      </c>
      <c r="C5607">
        <v>2374</v>
      </c>
      <c r="D5607" t="str">
        <f>"112/25      "</f>
        <v xml:space="preserve">112/25      </v>
      </c>
      <c r="E5607" t="s">
        <v>3208</v>
      </c>
      <c r="F5607" t="s">
        <v>3209</v>
      </c>
      <c r="G5607">
        <v>1985</v>
      </c>
      <c r="H5607">
        <v>250221</v>
      </c>
      <c r="I5607">
        <v>4410</v>
      </c>
      <c r="J5607" t="s">
        <v>165</v>
      </c>
      <c r="K5607">
        <v>2305</v>
      </c>
      <c r="L5607">
        <v>0</v>
      </c>
      <c r="M5607">
        <v>11902</v>
      </c>
      <c r="N5607" t="s">
        <v>329</v>
      </c>
      <c r="O5607">
        <v>250225</v>
      </c>
      <c r="P5607">
        <v>1985</v>
      </c>
    </row>
    <row r="5608" spans="1:16" x14ac:dyDescent="0.25">
      <c r="A5608" t="s">
        <v>3296</v>
      </c>
      <c r="B5608" t="s">
        <v>2931</v>
      </c>
      <c r="C5608">
        <v>2891</v>
      </c>
      <c r="D5608" t="str">
        <f>"145/25      "</f>
        <v xml:space="preserve">145/25      </v>
      </c>
      <c r="E5608" t="s">
        <v>3208</v>
      </c>
      <c r="F5608" t="s">
        <v>3209</v>
      </c>
      <c r="G5608">
        <v>1325</v>
      </c>
      <c r="H5608">
        <v>250306</v>
      </c>
      <c r="I5608">
        <v>4410</v>
      </c>
      <c r="J5608" t="s">
        <v>165</v>
      </c>
      <c r="K5608">
        <v>1645</v>
      </c>
      <c r="L5608">
        <v>0</v>
      </c>
      <c r="M5608">
        <v>11902</v>
      </c>
      <c r="N5608" t="s">
        <v>329</v>
      </c>
      <c r="O5608">
        <v>250313</v>
      </c>
      <c r="P5608">
        <v>1325</v>
      </c>
    </row>
    <row r="5609" spans="1:16" x14ac:dyDescent="0.25">
      <c r="A5609" t="s">
        <v>3296</v>
      </c>
      <c r="B5609" t="s">
        <v>2931</v>
      </c>
      <c r="C5609">
        <v>4152</v>
      </c>
      <c r="D5609" t="str">
        <f>"162/25/2    "</f>
        <v xml:space="preserve">162/25/2    </v>
      </c>
      <c r="E5609" t="s">
        <v>3208</v>
      </c>
      <c r="F5609" t="s">
        <v>3209</v>
      </c>
      <c r="G5609">
        <v>705</v>
      </c>
      <c r="H5609">
        <v>250401</v>
      </c>
      <c r="I5609">
        <v>4410</v>
      </c>
      <c r="J5609" t="s">
        <v>165</v>
      </c>
      <c r="K5609">
        <v>1025</v>
      </c>
      <c r="L5609">
        <v>0</v>
      </c>
      <c r="M5609">
        <v>11902</v>
      </c>
      <c r="N5609" t="s">
        <v>329</v>
      </c>
      <c r="O5609">
        <v>250408</v>
      </c>
      <c r="P5609">
        <v>705</v>
      </c>
    </row>
    <row r="5610" spans="1:16" x14ac:dyDescent="0.25">
      <c r="A5610" t="s">
        <v>3296</v>
      </c>
      <c r="B5610" t="s">
        <v>2931</v>
      </c>
      <c r="C5610">
        <v>10752</v>
      </c>
      <c r="D5610" t="str">
        <f>"325/25      "</f>
        <v xml:space="preserve">325/25      </v>
      </c>
      <c r="E5610" t="s">
        <v>3208</v>
      </c>
      <c r="F5610" t="s">
        <v>3209</v>
      </c>
      <c r="G5610">
        <v>1545</v>
      </c>
      <c r="H5610">
        <v>250821</v>
      </c>
      <c r="I5610">
        <v>4410</v>
      </c>
      <c r="J5610" t="s">
        <v>165</v>
      </c>
      <c r="K5610">
        <v>1865</v>
      </c>
      <c r="L5610">
        <v>0</v>
      </c>
      <c r="M5610">
        <v>11902</v>
      </c>
      <c r="N5610" t="s">
        <v>329</v>
      </c>
      <c r="O5610">
        <v>250822</v>
      </c>
      <c r="P5610">
        <v>1545</v>
      </c>
    </row>
    <row r="5611" spans="1:16" x14ac:dyDescent="0.25">
      <c r="A5611" t="s">
        <v>3296</v>
      </c>
      <c r="B5611" t="s">
        <v>2931</v>
      </c>
      <c r="C5611">
        <v>1932</v>
      </c>
      <c r="D5611" t="str">
        <f>"82/25       "</f>
        <v xml:space="preserve">82/25       </v>
      </c>
      <c r="E5611" t="s">
        <v>3208</v>
      </c>
      <c r="F5611" t="s">
        <v>3209</v>
      </c>
      <c r="G5611">
        <v>280</v>
      </c>
      <c r="H5611">
        <v>250205</v>
      </c>
      <c r="I5611">
        <v>4420</v>
      </c>
      <c r="J5611" t="s">
        <v>330</v>
      </c>
      <c r="K5611">
        <v>5500</v>
      </c>
      <c r="L5611">
        <v>0</v>
      </c>
      <c r="M5611">
        <v>11902</v>
      </c>
      <c r="N5611" t="s">
        <v>329</v>
      </c>
      <c r="O5611">
        <v>250218</v>
      </c>
      <c r="P5611">
        <v>280</v>
      </c>
    </row>
    <row r="5612" spans="1:16" x14ac:dyDescent="0.25">
      <c r="A5612" t="s">
        <v>3296</v>
      </c>
      <c r="B5612" t="s">
        <v>2931</v>
      </c>
      <c r="C5612">
        <v>1934</v>
      </c>
      <c r="D5612" t="str">
        <f>"80/25       "</f>
        <v xml:space="preserve">80/25       </v>
      </c>
      <c r="E5612" t="s">
        <v>3208</v>
      </c>
      <c r="F5612" t="s">
        <v>3209</v>
      </c>
      <c r="G5612">
        <v>70</v>
      </c>
      <c r="H5612">
        <v>250207</v>
      </c>
      <c r="I5612">
        <v>4420</v>
      </c>
      <c r="J5612" t="s">
        <v>330</v>
      </c>
      <c r="K5612">
        <v>1645</v>
      </c>
      <c r="L5612">
        <v>0</v>
      </c>
      <c r="M5612">
        <v>11902</v>
      </c>
      <c r="N5612" t="s">
        <v>329</v>
      </c>
      <c r="O5612">
        <v>250218</v>
      </c>
      <c r="P5612">
        <v>70</v>
      </c>
    </row>
    <row r="5613" spans="1:16" x14ac:dyDescent="0.25">
      <c r="A5613" t="s">
        <v>3296</v>
      </c>
      <c r="B5613" t="s">
        <v>2931</v>
      </c>
      <c r="C5613">
        <v>1937</v>
      </c>
      <c r="D5613" t="str">
        <f>"83/25       "</f>
        <v xml:space="preserve">83/25       </v>
      </c>
      <c r="E5613" t="s">
        <v>3208</v>
      </c>
      <c r="F5613" t="s">
        <v>3209</v>
      </c>
      <c r="G5613">
        <v>70</v>
      </c>
      <c r="H5613">
        <v>250214</v>
      </c>
      <c r="I5613">
        <v>4420</v>
      </c>
      <c r="J5613" t="s">
        <v>330</v>
      </c>
      <c r="K5613">
        <v>2125</v>
      </c>
      <c r="L5613">
        <v>0</v>
      </c>
      <c r="M5613">
        <v>11902</v>
      </c>
      <c r="N5613" t="s">
        <v>329</v>
      </c>
      <c r="O5613">
        <v>250218</v>
      </c>
      <c r="P5613">
        <v>70</v>
      </c>
    </row>
    <row r="5614" spans="1:16" x14ac:dyDescent="0.25">
      <c r="A5614" t="s">
        <v>3296</v>
      </c>
      <c r="B5614" t="s">
        <v>2931</v>
      </c>
      <c r="C5614">
        <v>2374</v>
      </c>
      <c r="D5614" t="str">
        <f>"112/25      "</f>
        <v xml:space="preserve">112/25      </v>
      </c>
      <c r="E5614" t="s">
        <v>3208</v>
      </c>
      <c r="F5614" t="s">
        <v>3209</v>
      </c>
      <c r="G5614">
        <v>70</v>
      </c>
      <c r="H5614">
        <v>250221</v>
      </c>
      <c r="I5614">
        <v>4420</v>
      </c>
      <c r="J5614" t="s">
        <v>330</v>
      </c>
      <c r="K5614">
        <v>2305</v>
      </c>
      <c r="L5614">
        <v>0</v>
      </c>
      <c r="M5614">
        <v>11902</v>
      </c>
      <c r="N5614" t="s">
        <v>329</v>
      </c>
      <c r="O5614">
        <v>250225</v>
      </c>
      <c r="P5614">
        <v>70</v>
      </c>
    </row>
    <row r="5615" spans="1:16" x14ac:dyDescent="0.25">
      <c r="A5615" t="s">
        <v>3296</v>
      </c>
      <c r="B5615" t="s">
        <v>2931</v>
      </c>
      <c r="C5615">
        <v>2891</v>
      </c>
      <c r="D5615" t="str">
        <f>"145/25      "</f>
        <v xml:space="preserve">145/25      </v>
      </c>
      <c r="E5615" t="s">
        <v>3208</v>
      </c>
      <c r="F5615" t="s">
        <v>3209</v>
      </c>
      <c r="G5615">
        <v>70</v>
      </c>
      <c r="H5615">
        <v>250306</v>
      </c>
      <c r="I5615">
        <v>4420</v>
      </c>
      <c r="J5615" t="s">
        <v>330</v>
      </c>
      <c r="K5615">
        <v>1645</v>
      </c>
      <c r="L5615">
        <v>0</v>
      </c>
      <c r="M5615">
        <v>11902</v>
      </c>
      <c r="N5615" t="s">
        <v>329</v>
      </c>
      <c r="O5615">
        <v>250313</v>
      </c>
      <c r="P5615">
        <v>70</v>
      </c>
    </row>
    <row r="5616" spans="1:16" x14ac:dyDescent="0.25">
      <c r="A5616" t="s">
        <v>3296</v>
      </c>
      <c r="B5616" t="s">
        <v>2931</v>
      </c>
      <c r="C5616">
        <v>4152</v>
      </c>
      <c r="D5616" t="str">
        <f>"162/25/2    "</f>
        <v xml:space="preserve">162/25/2    </v>
      </c>
      <c r="E5616" t="s">
        <v>3208</v>
      </c>
      <c r="F5616" t="s">
        <v>3209</v>
      </c>
      <c r="G5616">
        <v>70</v>
      </c>
      <c r="H5616">
        <v>250401</v>
      </c>
      <c r="I5616">
        <v>4420</v>
      </c>
      <c r="J5616" t="s">
        <v>330</v>
      </c>
      <c r="K5616">
        <v>1025</v>
      </c>
      <c r="L5616">
        <v>0</v>
      </c>
      <c r="M5616">
        <v>11902</v>
      </c>
      <c r="N5616" t="s">
        <v>329</v>
      </c>
      <c r="O5616">
        <v>250408</v>
      </c>
      <c r="P5616">
        <v>70</v>
      </c>
    </row>
    <row r="5617" spans="1:16" x14ac:dyDescent="0.25">
      <c r="A5617" t="s">
        <v>3296</v>
      </c>
      <c r="B5617" t="s">
        <v>2931</v>
      </c>
      <c r="C5617">
        <v>10752</v>
      </c>
      <c r="D5617" t="str">
        <f>"325/25      "</f>
        <v xml:space="preserve">325/25      </v>
      </c>
      <c r="E5617" t="s">
        <v>3208</v>
      </c>
      <c r="F5617" t="s">
        <v>3209</v>
      </c>
      <c r="G5617">
        <v>70</v>
      </c>
      <c r="H5617">
        <v>250821</v>
      </c>
      <c r="I5617">
        <v>4420</v>
      </c>
      <c r="J5617" t="s">
        <v>330</v>
      </c>
      <c r="K5617">
        <v>1865</v>
      </c>
      <c r="L5617">
        <v>0</v>
      </c>
      <c r="M5617">
        <v>11902</v>
      </c>
      <c r="N5617" t="s">
        <v>329</v>
      </c>
      <c r="O5617">
        <v>250822</v>
      </c>
      <c r="P5617">
        <v>70</v>
      </c>
    </row>
    <row r="5618" spans="1:16" x14ac:dyDescent="0.25">
      <c r="A5618" t="s">
        <v>3296</v>
      </c>
      <c r="B5618" t="s">
        <v>2931</v>
      </c>
      <c r="C5618">
        <v>653</v>
      </c>
      <c r="D5618" t="str">
        <f>"070/25      "</f>
        <v xml:space="preserve">070/25      </v>
      </c>
      <c r="E5618" t="s">
        <v>3208</v>
      </c>
      <c r="F5618" t="s">
        <v>3209</v>
      </c>
      <c r="G5618">
        <v>1000</v>
      </c>
      <c r="H5618">
        <v>250124</v>
      </c>
      <c r="I5618">
        <v>4440</v>
      </c>
      <c r="J5618" t="s">
        <v>346</v>
      </c>
      <c r="K5618">
        <v>1000</v>
      </c>
      <c r="L5618">
        <v>0</v>
      </c>
      <c r="M5618">
        <v>11902</v>
      </c>
      <c r="N5618" t="s">
        <v>329</v>
      </c>
      <c r="O5618">
        <v>250127</v>
      </c>
      <c r="P5618">
        <v>1000</v>
      </c>
    </row>
    <row r="5619" spans="1:16" x14ac:dyDescent="0.25">
      <c r="A5619" t="s">
        <v>3296</v>
      </c>
      <c r="B5619" t="s">
        <v>2931</v>
      </c>
      <c r="C5619">
        <v>1932</v>
      </c>
      <c r="D5619" t="str">
        <f>"82/25       "</f>
        <v xml:space="preserve">82/25       </v>
      </c>
      <c r="E5619" t="s">
        <v>3208</v>
      </c>
      <c r="F5619" t="s">
        <v>3209</v>
      </c>
      <c r="G5619">
        <v>800</v>
      </c>
      <c r="H5619">
        <v>250205</v>
      </c>
      <c r="I5619">
        <v>4440</v>
      </c>
      <c r="J5619" t="s">
        <v>346</v>
      </c>
      <c r="K5619">
        <v>5500</v>
      </c>
      <c r="L5619">
        <v>0</v>
      </c>
      <c r="M5619">
        <v>11902</v>
      </c>
      <c r="N5619" t="s">
        <v>329</v>
      </c>
      <c r="O5619">
        <v>250218</v>
      </c>
      <c r="P5619">
        <v>800</v>
      </c>
    </row>
    <row r="5620" spans="1:16" x14ac:dyDescent="0.25">
      <c r="A5620" t="s">
        <v>3296</v>
      </c>
      <c r="B5620" t="s">
        <v>2931</v>
      </c>
      <c r="C5620">
        <v>1932</v>
      </c>
      <c r="D5620" t="str">
        <f>"82/25       "</f>
        <v xml:space="preserve">82/25       </v>
      </c>
      <c r="E5620" t="s">
        <v>3208</v>
      </c>
      <c r="F5620" t="s">
        <v>3209</v>
      </c>
      <c r="G5620">
        <v>200</v>
      </c>
      <c r="H5620">
        <v>250205</v>
      </c>
      <c r="I5620">
        <v>4440</v>
      </c>
      <c r="J5620" t="s">
        <v>346</v>
      </c>
      <c r="K5620">
        <v>5500</v>
      </c>
      <c r="L5620">
        <v>0</v>
      </c>
      <c r="M5620">
        <v>11902</v>
      </c>
      <c r="N5620" t="s">
        <v>329</v>
      </c>
      <c r="O5620">
        <v>250218</v>
      </c>
      <c r="P5620">
        <v>200</v>
      </c>
    </row>
    <row r="5621" spans="1:16" x14ac:dyDescent="0.25">
      <c r="A5621" t="s">
        <v>3296</v>
      </c>
      <c r="B5621" t="s">
        <v>2931</v>
      </c>
      <c r="C5621">
        <v>1934</v>
      </c>
      <c r="D5621" t="str">
        <f>"80/25       "</f>
        <v xml:space="preserve">80/25       </v>
      </c>
      <c r="E5621" t="s">
        <v>3208</v>
      </c>
      <c r="F5621" t="s">
        <v>3209</v>
      </c>
      <c r="G5621">
        <v>200</v>
      </c>
      <c r="H5621">
        <v>250207</v>
      </c>
      <c r="I5621">
        <v>4440</v>
      </c>
      <c r="J5621" t="s">
        <v>346</v>
      </c>
      <c r="K5621">
        <v>1645</v>
      </c>
      <c r="L5621">
        <v>0</v>
      </c>
      <c r="M5621">
        <v>11902</v>
      </c>
      <c r="N5621" t="s">
        <v>329</v>
      </c>
      <c r="O5621">
        <v>250218</v>
      </c>
      <c r="P5621">
        <v>200</v>
      </c>
    </row>
    <row r="5622" spans="1:16" x14ac:dyDescent="0.25">
      <c r="A5622" t="s">
        <v>3296</v>
      </c>
      <c r="B5622" t="s">
        <v>2931</v>
      </c>
      <c r="C5622">
        <v>1934</v>
      </c>
      <c r="D5622" t="str">
        <f>"80/25       "</f>
        <v xml:space="preserve">80/25       </v>
      </c>
      <c r="E5622" t="s">
        <v>3208</v>
      </c>
      <c r="F5622" t="s">
        <v>3209</v>
      </c>
      <c r="G5622">
        <v>50</v>
      </c>
      <c r="H5622">
        <v>250207</v>
      </c>
      <c r="I5622">
        <v>4440</v>
      </c>
      <c r="J5622" t="s">
        <v>346</v>
      </c>
      <c r="K5622">
        <v>1645</v>
      </c>
      <c r="L5622">
        <v>0</v>
      </c>
      <c r="M5622">
        <v>11902</v>
      </c>
      <c r="N5622" t="s">
        <v>329</v>
      </c>
      <c r="O5622">
        <v>250218</v>
      </c>
      <c r="P5622">
        <v>50</v>
      </c>
    </row>
    <row r="5623" spans="1:16" x14ac:dyDescent="0.25">
      <c r="A5623" t="s">
        <v>3296</v>
      </c>
      <c r="B5623" t="s">
        <v>2931</v>
      </c>
      <c r="C5623">
        <v>1937</v>
      </c>
      <c r="D5623" t="str">
        <f>"83/25       "</f>
        <v xml:space="preserve">83/25       </v>
      </c>
      <c r="E5623" t="s">
        <v>3208</v>
      </c>
      <c r="F5623" t="s">
        <v>3209</v>
      </c>
      <c r="G5623">
        <v>200</v>
      </c>
      <c r="H5623">
        <v>250214</v>
      </c>
      <c r="I5623">
        <v>4440</v>
      </c>
      <c r="J5623" t="s">
        <v>346</v>
      </c>
      <c r="K5623">
        <v>2125</v>
      </c>
      <c r="L5623">
        <v>0</v>
      </c>
      <c r="M5623">
        <v>11902</v>
      </c>
      <c r="N5623" t="s">
        <v>329</v>
      </c>
      <c r="O5623">
        <v>250218</v>
      </c>
      <c r="P5623">
        <v>200</v>
      </c>
    </row>
    <row r="5624" spans="1:16" x14ac:dyDescent="0.25">
      <c r="A5624" t="s">
        <v>3296</v>
      </c>
      <c r="B5624" t="s">
        <v>2931</v>
      </c>
      <c r="C5624">
        <v>1937</v>
      </c>
      <c r="D5624" t="str">
        <f>"83/25       "</f>
        <v xml:space="preserve">83/25       </v>
      </c>
      <c r="E5624" t="s">
        <v>3208</v>
      </c>
      <c r="F5624" t="s">
        <v>3209</v>
      </c>
      <c r="G5624">
        <v>50</v>
      </c>
      <c r="H5624">
        <v>250214</v>
      </c>
      <c r="I5624">
        <v>4440</v>
      </c>
      <c r="J5624" t="s">
        <v>346</v>
      </c>
      <c r="K5624">
        <v>2125</v>
      </c>
      <c r="L5624">
        <v>0</v>
      </c>
      <c r="M5624">
        <v>11902</v>
      </c>
      <c r="N5624" t="s">
        <v>329</v>
      </c>
      <c r="O5624">
        <v>250218</v>
      </c>
      <c r="P5624">
        <v>50</v>
      </c>
    </row>
    <row r="5625" spans="1:16" x14ac:dyDescent="0.25">
      <c r="A5625" t="s">
        <v>3296</v>
      </c>
      <c r="B5625" t="s">
        <v>2931</v>
      </c>
      <c r="C5625">
        <v>2374</v>
      </c>
      <c r="D5625" t="str">
        <f>"112/25      "</f>
        <v xml:space="preserve">112/25      </v>
      </c>
      <c r="E5625" t="s">
        <v>3208</v>
      </c>
      <c r="F5625" t="s">
        <v>3209</v>
      </c>
      <c r="G5625">
        <v>200</v>
      </c>
      <c r="H5625">
        <v>250221</v>
      </c>
      <c r="I5625">
        <v>4440</v>
      </c>
      <c r="J5625" t="s">
        <v>346</v>
      </c>
      <c r="K5625">
        <v>2305</v>
      </c>
      <c r="L5625">
        <v>0</v>
      </c>
      <c r="M5625">
        <v>11902</v>
      </c>
      <c r="N5625" t="s">
        <v>329</v>
      </c>
      <c r="O5625">
        <v>250225</v>
      </c>
      <c r="P5625">
        <v>200</v>
      </c>
    </row>
    <row r="5626" spans="1:16" x14ac:dyDescent="0.25">
      <c r="A5626" t="s">
        <v>3296</v>
      </c>
      <c r="B5626" t="s">
        <v>2931</v>
      </c>
      <c r="C5626">
        <v>2374</v>
      </c>
      <c r="D5626" t="str">
        <f>"112/25      "</f>
        <v xml:space="preserve">112/25      </v>
      </c>
      <c r="E5626" t="s">
        <v>3208</v>
      </c>
      <c r="F5626" t="s">
        <v>3209</v>
      </c>
      <c r="G5626">
        <v>50</v>
      </c>
      <c r="H5626">
        <v>250221</v>
      </c>
      <c r="I5626">
        <v>4440</v>
      </c>
      <c r="J5626" t="s">
        <v>346</v>
      </c>
      <c r="K5626">
        <v>2305</v>
      </c>
      <c r="L5626">
        <v>0</v>
      </c>
      <c r="M5626">
        <v>11902</v>
      </c>
      <c r="N5626" t="s">
        <v>329</v>
      </c>
      <c r="O5626">
        <v>250225</v>
      </c>
      <c r="P5626">
        <v>50</v>
      </c>
    </row>
    <row r="5627" spans="1:16" x14ac:dyDescent="0.25">
      <c r="A5627" t="s">
        <v>3296</v>
      </c>
      <c r="B5627" t="s">
        <v>2931</v>
      </c>
      <c r="C5627">
        <v>2891</v>
      </c>
      <c r="D5627" t="str">
        <f>"145/25      "</f>
        <v xml:space="preserve">145/25      </v>
      </c>
      <c r="E5627" t="s">
        <v>3208</v>
      </c>
      <c r="F5627" t="s">
        <v>3209</v>
      </c>
      <c r="G5627">
        <v>200</v>
      </c>
      <c r="H5627">
        <v>250306</v>
      </c>
      <c r="I5627">
        <v>4440</v>
      </c>
      <c r="J5627" t="s">
        <v>346</v>
      </c>
      <c r="K5627">
        <v>1645</v>
      </c>
      <c r="L5627">
        <v>0</v>
      </c>
      <c r="M5627">
        <v>11902</v>
      </c>
      <c r="N5627" t="s">
        <v>329</v>
      </c>
      <c r="O5627">
        <v>250313</v>
      </c>
      <c r="P5627">
        <v>200</v>
      </c>
    </row>
    <row r="5628" spans="1:16" x14ac:dyDescent="0.25">
      <c r="A5628" t="s">
        <v>3296</v>
      </c>
      <c r="B5628" t="s">
        <v>2931</v>
      </c>
      <c r="C5628">
        <v>2891</v>
      </c>
      <c r="D5628" t="str">
        <f>"145/25      "</f>
        <v xml:space="preserve">145/25      </v>
      </c>
      <c r="E5628" t="s">
        <v>3208</v>
      </c>
      <c r="F5628" t="s">
        <v>3209</v>
      </c>
      <c r="G5628">
        <v>50</v>
      </c>
      <c r="H5628">
        <v>250306</v>
      </c>
      <c r="I5628">
        <v>4440</v>
      </c>
      <c r="J5628" t="s">
        <v>346</v>
      </c>
      <c r="K5628">
        <v>1645</v>
      </c>
      <c r="L5628">
        <v>0</v>
      </c>
      <c r="M5628">
        <v>11902</v>
      </c>
      <c r="N5628" t="s">
        <v>329</v>
      </c>
      <c r="O5628">
        <v>250313</v>
      </c>
      <c r="P5628">
        <v>50</v>
      </c>
    </row>
    <row r="5629" spans="1:16" x14ac:dyDescent="0.25">
      <c r="A5629" t="s">
        <v>3296</v>
      </c>
      <c r="B5629" t="s">
        <v>2931</v>
      </c>
      <c r="C5629">
        <v>4152</v>
      </c>
      <c r="D5629" t="str">
        <f>"162/25/2    "</f>
        <v xml:space="preserve">162/25/2    </v>
      </c>
      <c r="E5629" t="s">
        <v>3208</v>
      </c>
      <c r="F5629" t="s">
        <v>3209</v>
      </c>
      <c r="G5629">
        <v>200</v>
      </c>
      <c r="H5629">
        <v>250401</v>
      </c>
      <c r="I5629">
        <v>4440</v>
      </c>
      <c r="J5629" t="s">
        <v>346</v>
      </c>
      <c r="K5629">
        <v>1025</v>
      </c>
      <c r="L5629">
        <v>0</v>
      </c>
      <c r="M5629">
        <v>11902</v>
      </c>
      <c r="N5629" t="s">
        <v>329</v>
      </c>
      <c r="O5629">
        <v>250408</v>
      </c>
      <c r="P5629">
        <v>200</v>
      </c>
    </row>
    <row r="5630" spans="1:16" x14ac:dyDescent="0.25">
      <c r="A5630" t="s">
        <v>3296</v>
      </c>
      <c r="B5630" t="s">
        <v>2931</v>
      </c>
      <c r="C5630">
        <v>4152</v>
      </c>
      <c r="D5630" t="str">
        <f>"162/25/2    "</f>
        <v xml:space="preserve">162/25/2    </v>
      </c>
      <c r="E5630" t="s">
        <v>3208</v>
      </c>
      <c r="F5630" t="s">
        <v>3209</v>
      </c>
      <c r="G5630">
        <v>50</v>
      </c>
      <c r="H5630">
        <v>250401</v>
      </c>
      <c r="I5630">
        <v>4440</v>
      </c>
      <c r="J5630" t="s">
        <v>346</v>
      </c>
      <c r="K5630">
        <v>1025</v>
      </c>
      <c r="L5630">
        <v>0</v>
      </c>
      <c r="M5630">
        <v>11902</v>
      </c>
      <c r="N5630" t="s">
        <v>329</v>
      </c>
      <c r="O5630">
        <v>250408</v>
      </c>
      <c r="P5630">
        <v>50</v>
      </c>
    </row>
    <row r="5631" spans="1:16" x14ac:dyDescent="0.25">
      <c r="A5631" t="s">
        <v>3296</v>
      </c>
      <c r="B5631" t="s">
        <v>2931</v>
      </c>
      <c r="C5631">
        <v>10752</v>
      </c>
      <c r="D5631" t="str">
        <f>"325/25      "</f>
        <v xml:space="preserve">325/25      </v>
      </c>
      <c r="E5631" t="s">
        <v>3208</v>
      </c>
      <c r="F5631" t="s">
        <v>3209</v>
      </c>
      <c r="G5631">
        <v>200</v>
      </c>
      <c r="H5631">
        <v>250821</v>
      </c>
      <c r="I5631">
        <v>4440</v>
      </c>
      <c r="J5631" t="s">
        <v>346</v>
      </c>
      <c r="K5631">
        <v>1865</v>
      </c>
      <c r="L5631">
        <v>0</v>
      </c>
      <c r="M5631">
        <v>11902</v>
      </c>
      <c r="N5631" t="s">
        <v>329</v>
      </c>
      <c r="O5631">
        <v>250822</v>
      </c>
      <c r="P5631">
        <v>200</v>
      </c>
    </row>
    <row r="5632" spans="1:16" x14ac:dyDescent="0.25">
      <c r="A5632" t="s">
        <v>3296</v>
      </c>
      <c r="B5632" t="s">
        <v>2931</v>
      </c>
      <c r="C5632">
        <v>10752</v>
      </c>
      <c r="D5632" t="str">
        <f>"325/25      "</f>
        <v xml:space="preserve">325/25      </v>
      </c>
      <c r="E5632" t="s">
        <v>3208</v>
      </c>
      <c r="F5632" t="s">
        <v>3209</v>
      </c>
      <c r="G5632">
        <v>50</v>
      </c>
      <c r="H5632">
        <v>250821</v>
      </c>
      <c r="I5632">
        <v>4440</v>
      </c>
      <c r="J5632" t="s">
        <v>346</v>
      </c>
      <c r="K5632">
        <v>1865</v>
      </c>
      <c r="L5632">
        <v>0</v>
      </c>
      <c r="M5632">
        <v>11902</v>
      </c>
      <c r="N5632" t="s">
        <v>329</v>
      </c>
      <c r="O5632">
        <v>250822</v>
      </c>
      <c r="P5632">
        <v>50</v>
      </c>
    </row>
    <row r="5633" spans="1:16" x14ac:dyDescent="0.25">
      <c r="A5633" t="s">
        <v>3296</v>
      </c>
      <c r="B5633" t="s">
        <v>2931</v>
      </c>
      <c r="C5633">
        <v>918</v>
      </c>
      <c r="D5633" t="str">
        <f>"4138        "</f>
        <v xml:space="preserve">4138        </v>
      </c>
      <c r="E5633" t="s">
        <v>783</v>
      </c>
      <c r="F5633" t="s">
        <v>784</v>
      </c>
      <c r="G5633">
        <v>176.02</v>
      </c>
      <c r="H5633">
        <v>250117</v>
      </c>
      <c r="I5633">
        <v>4600</v>
      </c>
      <c r="J5633" t="s">
        <v>278</v>
      </c>
      <c r="K5633">
        <v>176.02</v>
      </c>
      <c r="L5633">
        <v>35.770000000000003</v>
      </c>
      <c r="M5633">
        <v>17632</v>
      </c>
      <c r="N5633" t="s">
        <v>615</v>
      </c>
      <c r="O5633">
        <v>250131</v>
      </c>
      <c r="P5633">
        <v>140.25</v>
      </c>
    </row>
    <row r="5634" spans="1:16" x14ac:dyDescent="0.25">
      <c r="A5634" t="s">
        <v>3296</v>
      </c>
      <c r="B5634" t="s">
        <v>2931</v>
      </c>
      <c r="C5634">
        <v>2161</v>
      </c>
      <c r="D5634" t="str">
        <f>"4194        "</f>
        <v xml:space="preserve">4194        </v>
      </c>
      <c r="E5634" t="s">
        <v>783</v>
      </c>
      <c r="F5634" t="s">
        <v>784</v>
      </c>
      <c r="G5634">
        <v>139.88999999999999</v>
      </c>
      <c r="H5634">
        <v>250217</v>
      </c>
      <c r="I5634">
        <v>4600</v>
      </c>
      <c r="J5634" t="s">
        <v>278</v>
      </c>
      <c r="K5634">
        <v>139.88999999999999</v>
      </c>
      <c r="L5634">
        <v>28.42</v>
      </c>
      <c r="M5634">
        <v>17521</v>
      </c>
      <c r="N5634" t="s">
        <v>136</v>
      </c>
      <c r="O5634">
        <v>250220</v>
      </c>
      <c r="P5634">
        <v>111.47</v>
      </c>
    </row>
    <row r="5635" spans="1:16" x14ac:dyDescent="0.25">
      <c r="A5635" t="s">
        <v>3296</v>
      </c>
      <c r="B5635" t="s">
        <v>2931</v>
      </c>
      <c r="C5635">
        <v>6552</v>
      </c>
      <c r="D5635" t="str">
        <f>"4336        "</f>
        <v xml:space="preserve">4336        </v>
      </c>
      <c r="E5635" t="s">
        <v>783</v>
      </c>
      <c r="F5635" t="s">
        <v>784</v>
      </c>
      <c r="G5635">
        <v>232.71</v>
      </c>
      <c r="H5635">
        <v>250430</v>
      </c>
      <c r="I5635">
        <v>4600</v>
      </c>
      <c r="J5635" t="s">
        <v>278</v>
      </c>
      <c r="K5635">
        <v>232.71</v>
      </c>
      <c r="L5635">
        <v>47.28</v>
      </c>
      <c r="M5635">
        <v>17521</v>
      </c>
      <c r="N5635" t="s">
        <v>136</v>
      </c>
      <c r="O5635">
        <v>250514</v>
      </c>
      <c r="P5635">
        <v>185.43</v>
      </c>
    </row>
    <row r="5636" spans="1:16" x14ac:dyDescent="0.25">
      <c r="A5636" t="s">
        <v>3296</v>
      </c>
      <c r="B5636" t="s">
        <v>2931</v>
      </c>
      <c r="C5636">
        <v>12736</v>
      </c>
      <c r="D5636" t="str">
        <f>"4738        "</f>
        <v xml:space="preserve">4738        </v>
      </c>
      <c r="E5636" t="s">
        <v>783</v>
      </c>
      <c r="F5636" t="s">
        <v>784</v>
      </c>
      <c r="G5636">
        <v>450.56</v>
      </c>
      <c r="H5636">
        <v>250922</v>
      </c>
      <c r="I5636">
        <v>4600</v>
      </c>
      <c r="J5636" t="s">
        <v>278</v>
      </c>
      <c r="K5636">
        <v>450.56</v>
      </c>
      <c r="L5636">
        <v>91.55</v>
      </c>
      <c r="M5636">
        <v>17521</v>
      </c>
      <c r="N5636" t="s">
        <v>136</v>
      </c>
      <c r="O5636">
        <v>250929</v>
      </c>
      <c r="P5636">
        <v>359.01</v>
      </c>
    </row>
    <row r="5637" spans="1:16" x14ac:dyDescent="0.25">
      <c r="A5637" t="s">
        <v>3296</v>
      </c>
      <c r="B5637" t="s">
        <v>2931</v>
      </c>
      <c r="C5637">
        <v>13747</v>
      </c>
      <c r="D5637" t="str">
        <f>"4793        "</f>
        <v xml:space="preserve">4793        </v>
      </c>
      <c r="E5637" t="s">
        <v>783</v>
      </c>
      <c r="F5637" t="s">
        <v>784</v>
      </c>
      <c r="G5637">
        <v>176.02</v>
      </c>
      <c r="H5637">
        <v>251009</v>
      </c>
      <c r="I5637">
        <v>4600</v>
      </c>
      <c r="J5637" t="s">
        <v>278</v>
      </c>
      <c r="K5637">
        <v>176.02</v>
      </c>
      <c r="L5637">
        <v>35.770000000000003</v>
      </c>
      <c r="M5637">
        <v>17521</v>
      </c>
      <c r="N5637" t="s">
        <v>136</v>
      </c>
      <c r="O5637">
        <v>251017</v>
      </c>
      <c r="P5637">
        <v>140.25</v>
      </c>
    </row>
    <row r="5638" spans="1:16" x14ac:dyDescent="0.25">
      <c r="A5638" t="s">
        <v>3296</v>
      </c>
      <c r="B5638" t="s">
        <v>2931</v>
      </c>
      <c r="C5638">
        <v>15110</v>
      </c>
      <c r="D5638" t="str">
        <f>"4864        "</f>
        <v xml:space="preserve">4864        </v>
      </c>
      <c r="E5638" t="s">
        <v>783</v>
      </c>
      <c r="F5638" t="s">
        <v>784</v>
      </c>
      <c r="G5638">
        <v>347.64</v>
      </c>
      <c r="H5638">
        <v>251110</v>
      </c>
      <c r="I5638">
        <v>4600</v>
      </c>
      <c r="J5638" t="s">
        <v>278</v>
      </c>
      <c r="K5638">
        <v>347.64</v>
      </c>
      <c r="L5638">
        <v>70.64</v>
      </c>
      <c r="M5638">
        <v>17521</v>
      </c>
      <c r="N5638" t="s">
        <v>136</v>
      </c>
      <c r="O5638">
        <v>251111</v>
      </c>
      <c r="P5638">
        <v>277</v>
      </c>
    </row>
    <row r="5639" spans="1:16" x14ac:dyDescent="0.25">
      <c r="A5639" t="s">
        <v>3296</v>
      </c>
      <c r="B5639" t="s">
        <v>2931</v>
      </c>
      <c r="C5639">
        <v>16211</v>
      </c>
      <c r="D5639" t="str">
        <f>"4904        "</f>
        <v xml:space="preserve">4904        </v>
      </c>
      <c r="E5639" t="s">
        <v>783</v>
      </c>
      <c r="F5639" t="s">
        <v>784</v>
      </c>
      <c r="G5639">
        <v>370.82</v>
      </c>
      <c r="H5639">
        <v>251202</v>
      </c>
      <c r="I5639">
        <v>4600</v>
      </c>
      <c r="J5639" t="s">
        <v>278</v>
      </c>
      <c r="K5639">
        <v>370.82</v>
      </c>
      <c r="L5639">
        <v>75.349999999999994</v>
      </c>
      <c r="M5639">
        <v>17521</v>
      </c>
      <c r="N5639" t="s">
        <v>136</v>
      </c>
      <c r="O5639">
        <v>251204</v>
      </c>
      <c r="P5639">
        <v>295.47000000000003</v>
      </c>
    </row>
    <row r="5640" spans="1:16" x14ac:dyDescent="0.25">
      <c r="A5640" t="s">
        <v>3296</v>
      </c>
      <c r="B5640" t="s">
        <v>2931</v>
      </c>
      <c r="C5640">
        <v>660</v>
      </c>
      <c r="D5640" t="str">
        <f>"14146       "</f>
        <v xml:space="preserve">14146       </v>
      </c>
      <c r="E5640" t="s">
        <v>651</v>
      </c>
      <c r="F5640" t="s">
        <v>652</v>
      </c>
      <c r="G5640">
        <v>177.14</v>
      </c>
      <c r="H5640">
        <v>250121</v>
      </c>
      <c r="I5640">
        <v>4470</v>
      </c>
      <c r="J5640" t="s">
        <v>203</v>
      </c>
      <c r="K5640">
        <v>177.14</v>
      </c>
      <c r="L5640">
        <v>35.99</v>
      </c>
      <c r="M5640">
        <v>56528</v>
      </c>
      <c r="N5640" t="s">
        <v>70</v>
      </c>
      <c r="O5640">
        <v>250127</v>
      </c>
      <c r="P5640">
        <v>141.15</v>
      </c>
    </row>
    <row r="5641" spans="1:16" x14ac:dyDescent="0.25">
      <c r="A5641" t="s">
        <v>3296</v>
      </c>
      <c r="B5641" t="s">
        <v>2931</v>
      </c>
      <c r="C5641">
        <v>4849</v>
      </c>
      <c r="D5641" t="str">
        <f>"14277       "</f>
        <v xml:space="preserve">14277       </v>
      </c>
      <c r="E5641" t="s">
        <v>651</v>
      </c>
      <c r="F5641" t="s">
        <v>652</v>
      </c>
      <c r="G5641">
        <v>3490.51</v>
      </c>
      <c r="H5641">
        <v>250407</v>
      </c>
      <c r="I5641">
        <v>4600</v>
      </c>
      <c r="J5641" t="s">
        <v>278</v>
      </c>
      <c r="K5641">
        <v>3490.51</v>
      </c>
      <c r="L5641">
        <v>709.23</v>
      </c>
      <c r="M5641">
        <v>56550</v>
      </c>
      <c r="N5641" t="s">
        <v>1667</v>
      </c>
      <c r="O5641">
        <v>250415</v>
      </c>
      <c r="P5641">
        <v>2781.28</v>
      </c>
    </row>
    <row r="5642" spans="1:16" x14ac:dyDescent="0.25">
      <c r="A5642" t="s">
        <v>3296</v>
      </c>
      <c r="B5642" t="s">
        <v>2931</v>
      </c>
      <c r="C5642">
        <v>10576</v>
      </c>
      <c r="D5642" t="str">
        <f>"14482       "</f>
        <v xml:space="preserve">14482       </v>
      </c>
      <c r="E5642" t="s">
        <v>651</v>
      </c>
      <c r="F5642" t="s">
        <v>652</v>
      </c>
      <c r="G5642">
        <v>3809.82</v>
      </c>
      <c r="H5642">
        <v>250812</v>
      </c>
      <c r="I5642">
        <v>4600</v>
      </c>
      <c r="J5642" t="s">
        <v>278</v>
      </c>
      <c r="K5642">
        <v>3809.82</v>
      </c>
      <c r="L5642">
        <v>774.11</v>
      </c>
      <c r="M5642">
        <v>56550</v>
      </c>
      <c r="N5642" t="s">
        <v>1667</v>
      </c>
      <c r="O5642">
        <v>250820</v>
      </c>
      <c r="P5642">
        <v>3035.71</v>
      </c>
    </row>
    <row r="5643" spans="1:16" x14ac:dyDescent="0.25">
      <c r="A5643" t="s">
        <v>3296</v>
      </c>
      <c r="B5643" t="s">
        <v>2931</v>
      </c>
      <c r="C5643">
        <v>12997</v>
      </c>
      <c r="D5643" t="str">
        <f>"300449      "</f>
        <v xml:space="preserve">300449      </v>
      </c>
      <c r="E5643" t="s">
        <v>651</v>
      </c>
      <c r="F5643" t="s">
        <v>652</v>
      </c>
      <c r="G5643">
        <v>219.63</v>
      </c>
      <c r="H5643">
        <v>250930</v>
      </c>
      <c r="I5643">
        <v>4600</v>
      </c>
      <c r="J5643" t="s">
        <v>278</v>
      </c>
      <c r="K5643">
        <v>219.63</v>
      </c>
      <c r="L5643">
        <v>44.63</v>
      </c>
      <c r="M5643">
        <v>56528</v>
      </c>
      <c r="N5643" t="s">
        <v>70</v>
      </c>
      <c r="O5643">
        <v>251003</v>
      </c>
      <c r="P5643">
        <v>175</v>
      </c>
    </row>
    <row r="5644" spans="1:16" x14ac:dyDescent="0.25">
      <c r="A5644" t="s">
        <v>3296</v>
      </c>
      <c r="B5644" t="s">
        <v>2931</v>
      </c>
      <c r="C5644">
        <v>13822</v>
      </c>
      <c r="D5644" t="str">
        <f>"300464      "</f>
        <v xml:space="preserve">300464      </v>
      </c>
      <c r="E5644" t="s">
        <v>651</v>
      </c>
      <c r="F5644" t="s">
        <v>652</v>
      </c>
      <c r="G5644">
        <v>464.85</v>
      </c>
      <c r="H5644">
        <v>251010</v>
      </c>
      <c r="I5644">
        <v>4600</v>
      </c>
      <c r="J5644" t="s">
        <v>278</v>
      </c>
      <c r="K5644">
        <v>464.85</v>
      </c>
      <c r="L5644">
        <v>94.45</v>
      </c>
      <c r="M5644">
        <v>56528</v>
      </c>
      <c r="N5644" t="s">
        <v>70</v>
      </c>
      <c r="O5644">
        <v>251020</v>
      </c>
      <c r="P5644">
        <v>370.4</v>
      </c>
    </row>
    <row r="5645" spans="1:16" x14ac:dyDescent="0.25">
      <c r="A5645" t="s">
        <v>3296</v>
      </c>
      <c r="B5645" t="s">
        <v>2931</v>
      </c>
      <c r="C5645">
        <v>14212</v>
      </c>
      <c r="D5645" t="str">
        <f>"300481      "</f>
        <v xml:space="preserve">300481      </v>
      </c>
      <c r="E5645" t="s">
        <v>651</v>
      </c>
      <c r="F5645" t="s">
        <v>652</v>
      </c>
      <c r="G5645">
        <v>219.63</v>
      </c>
      <c r="H5645">
        <v>251022</v>
      </c>
      <c r="I5645">
        <v>4600</v>
      </c>
      <c r="J5645" t="s">
        <v>278</v>
      </c>
      <c r="K5645">
        <v>219.63</v>
      </c>
      <c r="L5645">
        <v>44.63</v>
      </c>
      <c r="M5645">
        <v>56550</v>
      </c>
      <c r="N5645" t="s">
        <v>1667</v>
      </c>
      <c r="O5645">
        <v>251027</v>
      </c>
      <c r="P5645">
        <v>175</v>
      </c>
    </row>
    <row r="5646" spans="1:16" x14ac:dyDescent="0.25">
      <c r="A5646" t="s">
        <v>3296</v>
      </c>
      <c r="B5646" t="s">
        <v>2931</v>
      </c>
      <c r="C5646">
        <v>14685</v>
      </c>
      <c r="D5646" t="str">
        <f>"14621       "</f>
        <v xml:space="preserve">14621       </v>
      </c>
      <c r="E5646" t="s">
        <v>651</v>
      </c>
      <c r="F5646" t="s">
        <v>652</v>
      </c>
      <c r="G5646">
        <v>11.8</v>
      </c>
      <c r="H5646">
        <v>251029</v>
      </c>
      <c r="I5646">
        <v>4600</v>
      </c>
      <c r="J5646" t="s">
        <v>278</v>
      </c>
      <c r="K5646">
        <v>348.78</v>
      </c>
      <c r="L5646">
        <v>0</v>
      </c>
      <c r="M5646">
        <v>56528</v>
      </c>
      <c r="N5646" t="s">
        <v>70</v>
      </c>
      <c r="O5646">
        <v>251106</v>
      </c>
      <c r="P5646">
        <v>11.8</v>
      </c>
    </row>
    <row r="5647" spans="1:16" x14ac:dyDescent="0.25">
      <c r="A5647" t="s">
        <v>3296</v>
      </c>
      <c r="B5647" t="s">
        <v>2931</v>
      </c>
      <c r="C5647">
        <v>14685</v>
      </c>
      <c r="D5647" t="str">
        <f>"14621       "</f>
        <v xml:space="preserve">14621       </v>
      </c>
      <c r="E5647" t="s">
        <v>651</v>
      </c>
      <c r="F5647" t="s">
        <v>652</v>
      </c>
      <c r="G5647">
        <v>336.98</v>
      </c>
      <c r="H5647">
        <v>251029</v>
      </c>
      <c r="I5647">
        <v>4600</v>
      </c>
      <c r="J5647" t="s">
        <v>278</v>
      </c>
      <c r="K5647">
        <v>348.78</v>
      </c>
      <c r="L5647">
        <v>68.47</v>
      </c>
      <c r="M5647">
        <v>56550</v>
      </c>
      <c r="N5647" t="s">
        <v>1667</v>
      </c>
      <c r="O5647">
        <v>251106</v>
      </c>
      <c r="P5647">
        <v>268.51</v>
      </c>
    </row>
    <row r="5648" spans="1:16" x14ac:dyDescent="0.25">
      <c r="A5648" t="s">
        <v>3296</v>
      </c>
      <c r="B5648" t="s">
        <v>2931</v>
      </c>
      <c r="C5648">
        <v>16800</v>
      </c>
      <c r="D5648" t="str">
        <f>"14666       "</f>
        <v xml:space="preserve">14666       </v>
      </c>
      <c r="E5648" t="s">
        <v>651</v>
      </c>
      <c r="F5648" t="s">
        <v>652</v>
      </c>
      <c r="G5648">
        <v>256.49</v>
      </c>
      <c r="H5648">
        <v>251127</v>
      </c>
      <c r="I5648">
        <v>4600</v>
      </c>
      <c r="J5648" t="s">
        <v>278</v>
      </c>
      <c r="K5648">
        <v>5623.12</v>
      </c>
      <c r="L5648">
        <v>0</v>
      </c>
      <c r="M5648">
        <v>56528</v>
      </c>
      <c r="N5648" t="s">
        <v>70</v>
      </c>
      <c r="O5648">
        <v>251212</v>
      </c>
      <c r="P5648">
        <v>256.49</v>
      </c>
    </row>
    <row r="5649" spans="1:16" x14ac:dyDescent="0.25">
      <c r="A5649" t="s">
        <v>3296</v>
      </c>
      <c r="B5649" t="s">
        <v>2931</v>
      </c>
      <c r="C5649">
        <v>16800</v>
      </c>
      <c r="D5649" t="str">
        <f>"14666       "</f>
        <v xml:space="preserve">14666       </v>
      </c>
      <c r="E5649" t="s">
        <v>651</v>
      </c>
      <c r="F5649" t="s">
        <v>652</v>
      </c>
      <c r="G5649">
        <v>5366.63</v>
      </c>
      <c r="H5649">
        <v>251127</v>
      </c>
      <c r="I5649">
        <v>4600</v>
      </c>
      <c r="J5649" t="s">
        <v>278</v>
      </c>
      <c r="K5649">
        <v>5623.12</v>
      </c>
      <c r="L5649">
        <v>1090.43</v>
      </c>
      <c r="M5649">
        <v>56528</v>
      </c>
      <c r="N5649" t="s">
        <v>70</v>
      </c>
      <c r="O5649">
        <v>251212</v>
      </c>
      <c r="P5649">
        <v>4276.2</v>
      </c>
    </row>
    <row r="5650" spans="1:16" x14ac:dyDescent="0.25">
      <c r="A5650" t="s">
        <v>3296</v>
      </c>
      <c r="B5650" t="s">
        <v>2931</v>
      </c>
      <c r="C5650">
        <v>4858</v>
      </c>
      <c r="D5650" t="str">
        <f>"202505      "</f>
        <v xml:space="preserve">202505      </v>
      </c>
      <c r="E5650" t="s">
        <v>3233</v>
      </c>
      <c r="F5650" t="s">
        <v>3234</v>
      </c>
      <c r="G5650">
        <v>600</v>
      </c>
      <c r="H5650">
        <v>250409</v>
      </c>
      <c r="I5650">
        <v>4580</v>
      </c>
      <c r="J5650" t="s">
        <v>126</v>
      </c>
      <c r="K5650">
        <v>600</v>
      </c>
      <c r="L5650">
        <v>0</v>
      </c>
      <c r="M5650">
        <v>17524</v>
      </c>
      <c r="N5650" t="s">
        <v>139</v>
      </c>
      <c r="O5650">
        <v>250416</v>
      </c>
      <c r="P5650">
        <v>600</v>
      </c>
    </row>
    <row r="5651" spans="1:16" x14ac:dyDescent="0.25">
      <c r="A5651" t="s">
        <v>3296</v>
      </c>
      <c r="B5651" t="s">
        <v>2931</v>
      </c>
      <c r="C5651">
        <v>12531</v>
      </c>
      <c r="D5651" t="str">
        <f>"156         "</f>
        <v xml:space="preserve">156         </v>
      </c>
      <c r="E5651" t="s">
        <v>2364</v>
      </c>
      <c r="F5651" t="s">
        <v>2365</v>
      </c>
      <c r="G5651">
        <v>130</v>
      </c>
      <c r="H5651">
        <v>250916</v>
      </c>
      <c r="I5651">
        <v>4600</v>
      </c>
      <c r="J5651" t="s">
        <v>278</v>
      </c>
      <c r="K5651">
        <v>130</v>
      </c>
      <c r="L5651">
        <v>26.41</v>
      </c>
      <c r="M5651">
        <v>56573</v>
      </c>
      <c r="N5651" t="s">
        <v>843</v>
      </c>
      <c r="O5651">
        <v>250926</v>
      </c>
      <c r="P5651">
        <v>103.59</v>
      </c>
    </row>
    <row r="5652" spans="1:16" x14ac:dyDescent="0.25">
      <c r="A5652" t="s">
        <v>3296</v>
      </c>
      <c r="B5652" t="s">
        <v>2931</v>
      </c>
      <c r="C5652">
        <v>14393</v>
      </c>
      <c r="D5652" t="str">
        <f>"97543       "</f>
        <v xml:space="preserve">97543       </v>
      </c>
      <c r="E5652" t="s">
        <v>2503</v>
      </c>
      <c r="F5652" t="s">
        <v>2505</v>
      </c>
      <c r="G5652">
        <v>961.82</v>
      </c>
      <c r="H5652">
        <v>251023</v>
      </c>
      <c r="I5652">
        <v>4590</v>
      </c>
      <c r="J5652" t="s">
        <v>388</v>
      </c>
      <c r="K5652">
        <v>961.82</v>
      </c>
      <c r="L5652">
        <v>195.43</v>
      </c>
      <c r="M5652">
        <v>17816</v>
      </c>
      <c r="N5652" t="s">
        <v>2504</v>
      </c>
      <c r="O5652">
        <v>251031</v>
      </c>
      <c r="P5652">
        <v>766.39</v>
      </c>
    </row>
    <row r="5653" spans="1:16" x14ac:dyDescent="0.25">
      <c r="A5653" t="s">
        <v>3296</v>
      </c>
      <c r="B5653" t="s">
        <v>2931</v>
      </c>
      <c r="C5653">
        <v>568</v>
      </c>
      <c r="D5653" t="str">
        <f>"41637       "</f>
        <v xml:space="preserve">41637       </v>
      </c>
      <c r="E5653" t="s">
        <v>593</v>
      </c>
      <c r="F5653" t="s">
        <v>594</v>
      </c>
      <c r="G5653">
        <v>488.32</v>
      </c>
      <c r="H5653">
        <v>250122</v>
      </c>
      <c r="I5653">
        <v>4600</v>
      </c>
      <c r="J5653" t="s">
        <v>278</v>
      </c>
      <c r="K5653">
        <v>488.32</v>
      </c>
      <c r="L5653">
        <v>99.22</v>
      </c>
      <c r="M5653">
        <v>17807</v>
      </c>
      <c r="N5653" t="s">
        <v>23</v>
      </c>
      <c r="O5653">
        <v>250124</v>
      </c>
      <c r="P5653">
        <v>389.1</v>
      </c>
    </row>
    <row r="5654" spans="1:16" x14ac:dyDescent="0.25">
      <c r="A5654" t="s">
        <v>3296</v>
      </c>
      <c r="B5654" t="s">
        <v>2931</v>
      </c>
      <c r="C5654">
        <v>17746</v>
      </c>
      <c r="D5654" t="str">
        <f>"44693       "</f>
        <v xml:space="preserve">44693       </v>
      </c>
      <c r="E5654" t="s">
        <v>593</v>
      </c>
      <c r="F5654" t="s">
        <v>594</v>
      </c>
      <c r="G5654">
        <v>120</v>
      </c>
      <c r="H5654">
        <v>251212</v>
      </c>
      <c r="I5654">
        <v>4600</v>
      </c>
      <c r="J5654" t="s">
        <v>278</v>
      </c>
      <c r="K5654">
        <v>251.98</v>
      </c>
      <c r="L5654">
        <v>24.38</v>
      </c>
      <c r="M5654">
        <v>17805</v>
      </c>
      <c r="N5654" t="s">
        <v>21</v>
      </c>
      <c r="O5654">
        <v>251230</v>
      </c>
      <c r="P5654">
        <v>95.62</v>
      </c>
    </row>
    <row r="5655" spans="1:16" x14ac:dyDescent="0.25">
      <c r="A5655" t="s">
        <v>3296</v>
      </c>
      <c r="B5655" t="s">
        <v>2931</v>
      </c>
      <c r="C5655">
        <v>17746</v>
      </c>
      <c r="D5655" t="str">
        <f>"44693       "</f>
        <v xml:space="preserve">44693       </v>
      </c>
      <c r="E5655" t="s">
        <v>593</v>
      </c>
      <c r="F5655" t="s">
        <v>594</v>
      </c>
      <c r="G5655">
        <v>131.97999999999999</v>
      </c>
      <c r="H5655">
        <v>251212</v>
      </c>
      <c r="I5655">
        <v>4600</v>
      </c>
      <c r="J5655" t="s">
        <v>278</v>
      </c>
      <c r="K5655">
        <v>251.98</v>
      </c>
      <c r="L5655">
        <v>26.82</v>
      </c>
      <c r="M5655">
        <v>17807</v>
      </c>
      <c r="N5655" t="s">
        <v>23</v>
      </c>
      <c r="O5655">
        <v>251230</v>
      </c>
      <c r="P5655">
        <v>105.16</v>
      </c>
    </row>
    <row r="5656" spans="1:16" x14ac:dyDescent="0.25">
      <c r="A5656" t="s">
        <v>3296</v>
      </c>
      <c r="B5656" t="s">
        <v>2931</v>
      </c>
      <c r="C5656">
        <v>9180</v>
      </c>
      <c r="D5656" t="str">
        <f>"1047        "</f>
        <v xml:space="preserve">1047        </v>
      </c>
      <c r="E5656" t="s">
        <v>1689</v>
      </c>
      <c r="F5656" t="s">
        <v>1690</v>
      </c>
      <c r="G5656">
        <v>10447.879999999999</v>
      </c>
      <c r="H5656">
        <v>250605</v>
      </c>
      <c r="I5656">
        <v>4580</v>
      </c>
      <c r="J5656" t="s">
        <v>126</v>
      </c>
      <c r="K5656">
        <v>10447.879999999999</v>
      </c>
      <c r="L5656">
        <v>2122.88</v>
      </c>
      <c r="M5656">
        <v>54222</v>
      </c>
      <c r="N5656" t="s">
        <v>48</v>
      </c>
      <c r="O5656">
        <v>250627</v>
      </c>
      <c r="P5656">
        <v>8325</v>
      </c>
    </row>
    <row r="5657" spans="1:16" x14ac:dyDescent="0.25">
      <c r="A5657" t="s">
        <v>3296</v>
      </c>
      <c r="B5657" t="s">
        <v>2931</v>
      </c>
      <c r="C5657">
        <v>5194</v>
      </c>
      <c r="D5657" t="str">
        <f>"1021        "</f>
        <v xml:space="preserve">1021        </v>
      </c>
      <c r="E5657" t="s">
        <v>1689</v>
      </c>
      <c r="F5657" t="s">
        <v>1690</v>
      </c>
      <c r="G5657">
        <v>696.53</v>
      </c>
      <c r="H5657">
        <v>250310</v>
      </c>
      <c r="I5657">
        <v>4600</v>
      </c>
      <c r="J5657" t="s">
        <v>278</v>
      </c>
      <c r="K5657">
        <v>1393.06</v>
      </c>
      <c r="L5657">
        <v>141.53</v>
      </c>
      <c r="M5657">
        <v>44422</v>
      </c>
      <c r="N5657" t="s">
        <v>97</v>
      </c>
      <c r="O5657">
        <v>250422</v>
      </c>
      <c r="P5657">
        <v>555</v>
      </c>
    </row>
    <row r="5658" spans="1:16" x14ac:dyDescent="0.25">
      <c r="A5658" t="s">
        <v>3296</v>
      </c>
      <c r="B5658" t="s">
        <v>2931</v>
      </c>
      <c r="C5658">
        <v>5194</v>
      </c>
      <c r="D5658" t="str">
        <f>"1021        "</f>
        <v xml:space="preserve">1021        </v>
      </c>
      <c r="E5658" t="s">
        <v>1689</v>
      </c>
      <c r="F5658" t="s">
        <v>1690</v>
      </c>
      <c r="G5658">
        <v>696.53</v>
      </c>
      <c r="H5658">
        <v>250310</v>
      </c>
      <c r="I5658">
        <v>4600</v>
      </c>
      <c r="J5658" t="s">
        <v>278</v>
      </c>
      <c r="K5658">
        <v>1393.06</v>
      </c>
      <c r="L5658">
        <v>141.53</v>
      </c>
      <c r="M5658">
        <v>54222</v>
      </c>
      <c r="N5658" t="s">
        <v>48</v>
      </c>
      <c r="O5658">
        <v>250422</v>
      </c>
      <c r="P5658">
        <v>555</v>
      </c>
    </row>
    <row r="5659" spans="1:16" x14ac:dyDescent="0.25">
      <c r="A5659" t="s">
        <v>3296</v>
      </c>
      <c r="B5659" t="s">
        <v>2931</v>
      </c>
      <c r="C5659">
        <v>10822</v>
      </c>
      <c r="D5659" t="str">
        <f>"1064        "</f>
        <v xml:space="preserve">1064        </v>
      </c>
      <c r="E5659" t="s">
        <v>1689</v>
      </c>
      <c r="F5659" t="s">
        <v>1690</v>
      </c>
      <c r="G5659">
        <v>2089.58</v>
      </c>
      <c r="H5659">
        <v>250815</v>
      </c>
      <c r="I5659">
        <v>4600</v>
      </c>
      <c r="J5659" t="s">
        <v>278</v>
      </c>
      <c r="K5659">
        <v>2089.58</v>
      </c>
      <c r="L5659">
        <v>424.58</v>
      </c>
      <c r="M5659">
        <v>54222</v>
      </c>
      <c r="N5659" t="s">
        <v>48</v>
      </c>
      <c r="O5659">
        <v>250825</v>
      </c>
      <c r="P5659">
        <v>1665</v>
      </c>
    </row>
    <row r="5660" spans="1:16" x14ac:dyDescent="0.25">
      <c r="A5660" t="s">
        <v>3296</v>
      </c>
      <c r="B5660" t="s">
        <v>2931</v>
      </c>
      <c r="C5660">
        <v>11629</v>
      </c>
      <c r="D5660" t="str">
        <f>"1065        "</f>
        <v xml:space="preserve">1065        </v>
      </c>
      <c r="E5660" t="s">
        <v>1689</v>
      </c>
      <c r="F5660" t="s">
        <v>1690</v>
      </c>
      <c r="G5660">
        <v>2911.36</v>
      </c>
      <c r="H5660">
        <v>250825</v>
      </c>
      <c r="I5660">
        <v>4600</v>
      </c>
      <c r="J5660" t="s">
        <v>278</v>
      </c>
      <c r="K5660">
        <v>2911.36</v>
      </c>
      <c r="L5660">
        <v>591.54999999999995</v>
      </c>
      <c r="M5660">
        <v>44422</v>
      </c>
      <c r="N5660" t="s">
        <v>97</v>
      </c>
      <c r="O5660">
        <v>250909</v>
      </c>
      <c r="P5660">
        <v>2319.81</v>
      </c>
    </row>
    <row r="5661" spans="1:16" x14ac:dyDescent="0.25">
      <c r="A5661" t="s">
        <v>3296</v>
      </c>
      <c r="B5661" t="s">
        <v>2931</v>
      </c>
      <c r="C5661">
        <v>11823</v>
      </c>
      <c r="D5661" t="str">
        <f>"1048        "</f>
        <v xml:space="preserve">1048        </v>
      </c>
      <c r="E5661" t="s">
        <v>1689</v>
      </c>
      <c r="F5661" t="s">
        <v>1690</v>
      </c>
      <c r="G5661">
        <v>2846.1</v>
      </c>
      <c r="H5661">
        <v>250815</v>
      </c>
      <c r="I5661">
        <v>4600</v>
      </c>
      <c r="J5661" t="s">
        <v>278</v>
      </c>
      <c r="K5661">
        <v>5692.2</v>
      </c>
      <c r="L5661">
        <v>578.29</v>
      </c>
      <c r="M5661">
        <v>44422</v>
      </c>
      <c r="N5661" t="s">
        <v>97</v>
      </c>
      <c r="O5661">
        <v>250911</v>
      </c>
      <c r="P5661">
        <v>2267.81</v>
      </c>
    </row>
    <row r="5662" spans="1:16" x14ac:dyDescent="0.25">
      <c r="A5662" t="s">
        <v>3296</v>
      </c>
      <c r="B5662" t="s">
        <v>2931</v>
      </c>
      <c r="C5662">
        <v>6452</v>
      </c>
      <c r="D5662" t="str">
        <f>"1096        "</f>
        <v xml:space="preserve">1096        </v>
      </c>
      <c r="E5662" t="s">
        <v>1863</v>
      </c>
      <c r="F5662" t="s">
        <v>1864</v>
      </c>
      <c r="G5662">
        <v>25.1</v>
      </c>
      <c r="H5662">
        <v>250508</v>
      </c>
      <c r="I5662">
        <v>4940</v>
      </c>
      <c r="J5662" t="s">
        <v>250</v>
      </c>
      <c r="K5662">
        <v>55.1</v>
      </c>
      <c r="L5662">
        <v>5.0999999999999996</v>
      </c>
      <c r="M5662">
        <v>14432</v>
      </c>
      <c r="N5662" t="s">
        <v>75</v>
      </c>
      <c r="O5662">
        <v>250513</v>
      </c>
      <c r="P5662">
        <v>20</v>
      </c>
    </row>
    <row r="5663" spans="1:16" x14ac:dyDescent="0.25">
      <c r="A5663" t="s">
        <v>3296</v>
      </c>
      <c r="B5663" t="s">
        <v>2931</v>
      </c>
      <c r="C5663">
        <v>6452</v>
      </c>
      <c r="D5663" t="str">
        <f>"1096        "</f>
        <v xml:space="preserve">1096        </v>
      </c>
      <c r="E5663" t="s">
        <v>1863</v>
      </c>
      <c r="F5663" t="s">
        <v>1864</v>
      </c>
      <c r="G5663">
        <v>30</v>
      </c>
      <c r="H5663">
        <v>250508</v>
      </c>
      <c r="I5663">
        <v>4940</v>
      </c>
      <c r="J5663" t="s">
        <v>250</v>
      </c>
      <c r="K5663">
        <v>55.1</v>
      </c>
      <c r="L5663">
        <v>0</v>
      </c>
      <c r="M5663">
        <v>14432</v>
      </c>
      <c r="N5663" t="s">
        <v>75</v>
      </c>
      <c r="O5663">
        <v>250513</v>
      </c>
      <c r="P5663">
        <v>30</v>
      </c>
    </row>
    <row r="5664" spans="1:16" x14ac:dyDescent="0.25">
      <c r="A5664" t="s">
        <v>3296</v>
      </c>
      <c r="B5664" t="s">
        <v>2931</v>
      </c>
      <c r="C5664">
        <v>6743</v>
      </c>
      <c r="D5664" t="str">
        <f>"142         "</f>
        <v xml:space="preserve">142         </v>
      </c>
      <c r="E5664" t="s">
        <v>1880</v>
      </c>
      <c r="F5664" t="s">
        <v>1881</v>
      </c>
      <c r="G5664">
        <v>605.41</v>
      </c>
      <c r="H5664">
        <v>250429</v>
      </c>
      <c r="I5664">
        <v>4440</v>
      </c>
      <c r="J5664" t="s">
        <v>346</v>
      </c>
      <c r="K5664">
        <v>605.41</v>
      </c>
      <c r="L5664">
        <v>123.01</v>
      </c>
      <c r="M5664">
        <v>17521</v>
      </c>
      <c r="N5664" t="s">
        <v>136</v>
      </c>
      <c r="O5664">
        <v>250516</v>
      </c>
      <c r="P5664">
        <v>482.4</v>
      </c>
    </row>
    <row r="5665" spans="1:16" x14ac:dyDescent="0.25">
      <c r="A5665" t="s">
        <v>3296</v>
      </c>
      <c r="B5665" t="s">
        <v>2931</v>
      </c>
      <c r="C5665">
        <v>2476</v>
      </c>
      <c r="D5665" t="str">
        <f>"11157       "</f>
        <v xml:space="preserve">11157       </v>
      </c>
      <c r="E5665" t="s">
        <v>1286</v>
      </c>
      <c r="F5665" t="s">
        <v>1287</v>
      </c>
      <c r="G5665">
        <v>188.25</v>
      </c>
      <c r="H5665">
        <v>250221</v>
      </c>
      <c r="I5665">
        <v>4350</v>
      </c>
      <c r="J5665" t="s">
        <v>290</v>
      </c>
      <c r="K5665">
        <v>188.25</v>
      </c>
      <c r="L5665">
        <v>38.25</v>
      </c>
      <c r="M5665">
        <v>49702</v>
      </c>
      <c r="N5665" t="s">
        <v>112</v>
      </c>
      <c r="O5665">
        <v>250228</v>
      </c>
      <c r="P5665">
        <v>150</v>
      </c>
    </row>
    <row r="5666" spans="1:16" x14ac:dyDescent="0.25">
      <c r="A5666" t="s">
        <v>3296</v>
      </c>
      <c r="B5666" t="s">
        <v>2931</v>
      </c>
      <c r="C5666">
        <v>4720</v>
      </c>
      <c r="D5666" t="str">
        <f>"12077       "</f>
        <v xml:space="preserve">12077       </v>
      </c>
      <c r="E5666" t="s">
        <v>1286</v>
      </c>
      <c r="F5666" t="s">
        <v>1287</v>
      </c>
      <c r="G5666">
        <v>61.5</v>
      </c>
      <c r="H5666">
        <v>250326</v>
      </c>
      <c r="I5666">
        <v>4510</v>
      </c>
      <c r="J5666" t="s">
        <v>240</v>
      </c>
      <c r="K5666">
        <v>61.5</v>
      </c>
      <c r="L5666">
        <v>5.59</v>
      </c>
      <c r="M5666">
        <v>47522</v>
      </c>
      <c r="N5666" t="s">
        <v>106</v>
      </c>
      <c r="O5666">
        <v>250415</v>
      </c>
      <c r="P5666">
        <v>55.91</v>
      </c>
    </row>
    <row r="5667" spans="1:16" x14ac:dyDescent="0.25">
      <c r="A5667" t="s">
        <v>3296</v>
      </c>
      <c r="B5667" t="s">
        <v>2931</v>
      </c>
      <c r="C5667">
        <v>9127</v>
      </c>
      <c r="D5667" t="str">
        <f>"1021        "</f>
        <v xml:space="preserve">1021        </v>
      </c>
      <c r="E5667" t="s">
        <v>2097</v>
      </c>
      <c r="F5667" t="s">
        <v>2098</v>
      </c>
      <c r="G5667">
        <v>2136.0100000000002</v>
      </c>
      <c r="H5667">
        <v>250617</v>
      </c>
      <c r="I5667">
        <v>4380</v>
      </c>
      <c r="J5667" t="s">
        <v>211</v>
      </c>
      <c r="K5667">
        <v>3588.76</v>
      </c>
      <c r="L5667">
        <v>434.01</v>
      </c>
      <c r="M5667">
        <v>67554</v>
      </c>
      <c r="N5667" t="s">
        <v>317</v>
      </c>
      <c r="O5667">
        <v>250626</v>
      </c>
      <c r="P5667">
        <v>1702</v>
      </c>
    </row>
    <row r="5668" spans="1:16" x14ac:dyDescent="0.25">
      <c r="A5668" t="s">
        <v>3296</v>
      </c>
      <c r="B5668" t="s">
        <v>2931</v>
      </c>
      <c r="C5668">
        <v>9127</v>
      </c>
      <c r="D5668" t="str">
        <f>"1021        "</f>
        <v xml:space="preserve">1021        </v>
      </c>
      <c r="E5668" t="s">
        <v>2097</v>
      </c>
      <c r="F5668" t="s">
        <v>2098</v>
      </c>
      <c r="G5668">
        <v>135</v>
      </c>
      <c r="H5668">
        <v>250617</v>
      </c>
      <c r="I5668">
        <v>4420</v>
      </c>
      <c r="J5668" t="s">
        <v>330</v>
      </c>
      <c r="K5668">
        <v>3588.76</v>
      </c>
      <c r="L5668">
        <v>16.579999999999998</v>
      </c>
      <c r="M5668">
        <v>67554</v>
      </c>
      <c r="N5668" t="s">
        <v>317</v>
      </c>
      <c r="O5668">
        <v>250626</v>
      </c>
      <c r="P5668">
        <v>118.42</v>
      </c>
    </row>
    <row r="5669" spans="1:16" x14ac:dyDescent="0.25">
      <c r="A5669" t="s">
        <v>3296</v>
      </c>
      <c r="B5669" t="s">
        <v>2931</v>
      </c>
      <c r="C5669">
        <v>9127</v>
      </c>
      <c r="D5669" t="str">
        <f>"1021        "</f>
        <v xml:space="preserve">1021        </v>
      </c>
      <c r="E5669" t="s">
        <v>2097</v>
      </c>
      <c r="F5669" t="s">
        <v>2098</v>
      </c>
      <c r="G5669">
        <v>1317.75</v>
      </c>
      <c r="H5669">
        <v>250617</v>
      </c>
      <c r="I5669">
        <v>4420</v>
      </c>
      <c r="J5669" t="s">
        <v>330</v>
      </c>
      <c r="K5669">
        <v>3588.76</v>
      </c>
      <c r="L5669">
        <v>267.75</v>
      </c>
      <c r="M5669">
        <v>67554</v>
      </c>
      <c r="N5669" t="s">
        <v>317</v>
      </c>
      <c r="O5669">
        <v>250626</v>
      </c>
      <c r="P5669">
        <v>1050</v>
      </c>
    </row>
    <row r="5670" spans="1:16" x14ac:dyDescent="0.25">
      <c r="A5670" t="s">
        <v>3296</v>
      </c>
      <c r="B5670" t="s">
        <v>2931</v>
      </c>
      <c r="C5670">
        <v>8517</v>
      </c>
      <c r="D5670" t="str">
        <f>"172         "</f>
        <v xml:space="preserve">172         </v>
      </c>
      <c r="E5670" t="s">
        <v>2038</v>
      </c>
      <c r="F5670" t="s">
        <v>2040</v>
      </c>
      <c r="G5670">
        <v>31375</v>
      </c>
      <c r="H5670">
        <v>250609</v>
      </c>
      <c r="I5670">
        <v>1198</v>
      </c>
      <c r="J5670" t="s">
        <v>610</v>
      </c>
      <c r="K5670">
        <v>31375</v>
      </c>
      <c r="L5670">
        <v>6375</v>
      </c>
      <c r="M5670">
        <v>96511</v>
      </c>
      <c r="N5670" t="s">
        <v>2039</v>
      </c>
      <c r="O5670">
        <v>250617</v>
      </c>
      <c r="P5670">
        <v>25000</v>
      </c>
    </row>
    <row r="5671" spans="1:16" x14ac:dyDescent="0.25">
      <c r="A5671" t="s">
        <v>3296</v>
      </c>
      <c r="B5671" t="s">
        <v>2931</v>
      </c>
      <c r="C5671">
        <v>9904</v>
      </c>
      <c r="D5671" t="str">
        <f>"23619       "</f>
        <v xml:space="preserve">23619       </v>
      </c>
      <c r="E5671" t="s">
        <v>939</v>
      </c>
      <c r="F5671" t="s">
        <v>940</v>
      </c>
      <c r="G5671">
        <v>346.64</v>
      </c>
      <c r="H5671">
        <v>250729</v>
      </c>
      <c r="I5671">
        <v>4367</v>
      </c>
      <c r="J5671" t="s">
        <v>159</v>
      </c>
      <c r="K5671">
        <v>693.28</v>
      </c>
      <c r="L5671">
        <v>70.430000000000007</v>
      </c>
      <c r="M5671">
        <v>49501</v>
      </c>
      <c r="N5671" t="s">
        <v>110</v>
      </c>
      <c r="O5671">
        <v>250804</v>
      </c>
      <c r="P5671">
        <v>276.20999999999998</v>
      </c>
    </row>
    <row r="5672" spans="1:16" x14ac:dyDescent="0.25">
      <c r="A5672" t="s">
        <v>3296</v>
      </c>
      <c r="B5672" t="s">
        <v>2931</v>
      </c>
      <c r="C5672">
        <v>7866</v>
      </c>
      <c r="D5672" t="str">
        <f>"23250       "</f>
        <v xml:space="preserve">23250       </v>
      </c>
      <c r="E5672" t="s">
        <v>939</v>
      </c>
      <c r="F5672" t="s">
        <v>940</v>
      </c>
      <c r="G5672">
        <v>1934.8</v>
      </c>
      <c r="H5672">
        <v>250602</v>
      </c>
      <c r="I5672">
        <v>4390</v>
      </c>
      <c r="J5672" t="s">
        <v>232</v>
      </c>
      <c r="K5672">
        <v>1934.8</v>
      </c>
      <c r="L5672">
        <v>393.13</v>
      </c>
      <c r="M5672">
        <v>49501</v>
      </c>
      <c r="N5672" t="s">
        <v>110</v>
      </c>
      <c r="O5672">
        <v>250610</v>
      </c>
      <c r="P5672">
        <v>1541.67</v>
      </c>
    </row>
    <row r="5673" spans="1:16" x14ac:dyDescent="0.25">
      <c r="A5673" t="s">
        <v>3296</v>
      </c>
      <c r="B5673" t="s">
        <v>2931</v>
      </c>
      <c r="C5673">
        <v>9869</v>
      </c>
      <c r="D5673" t="str">
        <f>"23618       "</f>
        <v xml:space="preserve">23618       </v>
      </c>
      <c r="E5673" t="s">
        <v>939</v>
      </c>
      <c r="F5673" t="s">
        <v>940</v>
      </c>
      <c r="G5673">
        <v>935.06</v>
      </c>
      <c r="H5673">
        <v>250728</v>
      </c>
      <c r="I5673">
        <v>4390</v>
      </c>
      <c r="J5673" t="s">
        <v>232</v>
      </c>
      <c r="K5673">
        <v>935.06</v>
      </c>
      <c r="L5673">
        <v>189.99</v>
      </c>
      <c r="M5673">
        <v>49501</v>
      </c>
      <c r="N5673" t="s">
        <v>110</v>
      </c>
      <c r="O5673">
        <v>250731</v>
      </c>
      <c r="P5673">
        <v>745.07</v>
      </c>
    </row>
    <row r="5674" spans="1:16" x14ac:dyDescent="0.25">
      <c r="A5674" t="s">
        <v>3296</v>
      </c>
      <c r="B5674" t="s">
        <v>2931</v>
      </c>
      <c r="C5674">
        <v>14089</v>
      </c>
      <c r="D5674" t="str">
        <f>"24207       "</f>
        <v xml:space="preserve">24207       </v>
      </c>
      <c r="E5674" t="s">
        <v>939</v>
      </c>
      <c r="F5674" t="s">
        <v>940</v>
      </c>
      <c r="G5674">
        <v>61.85</v>
      </c>
      <c r="H5674">
        <v>251022</v>
      </c>
      <c r="I5674">
        <v>4530</v>
      </c>
      <c r="J5674" t="s">
        <v>293</v>
      </c>
      <c r="K5674">
        <v>61.85</v>
      </c>
      <c r="L5674">
        <v>12.57</v>
      </c>
      <c r="M5674">
        <v>46554</v>
      </c>
      <c r="N5674" t="s">
        <v>102</v>
      </c>
      <c r="O5674">
        <v>251023</v>
      </c>
      <c r="P5674">
        <v>49.28</v>
      </c>
    </row>
    <row r="5675" spans="1:16" x14ac:dyDescent="0.25">
      <c r="A5675" t="s">
        <v>3296</v>
      </c>
      <c r="B5675" t="s">
        <v>2931</v>
      </c>
      <c r="C5675">
        <v>16333</v>
      </c>
      <c r="D5675" t="str">
        <f>"24557       "</f>
        <v xml:space="preserve">24557       </v>
      </c>
      <c r="E5675" t="s">
        <v>939</v>
      </c>
      <c r="F5675" t="s">
        <v>940</v>
      </c>
      <c r="G5675">
        <v>20.329999999999998</v>
      </c>
      <c r="H5675">
        <v>251204</v>
      </c>
      <c r="I5675">
        <v>4580</v>
      </c>
      <c r="J5675" t="s">
        <v>126</v>
      </c>
      <c r="K5675">
        <v>20.329999999999998</v>
      </c>
      <c r="L5675">
        <v>4.13</v>
      </c>
      <c r="M5675">
        <v>49501</v>
      </c>
      <c r="N5675" t="s">
        <v>110</v>
      </c>
      <c r="O5675">
        <v>251208</v>
      </c>
      <c r="P5675">
        <v>16.2</v>
      </c>
    </row>
    <row r="5676" spans="1:16" x14ac:dyDescent="0.25">
      <c r="A5676" t="s">
        <v>3296</v>
      </c>
      <c r="B5676" t="s">
        <v>2931</v>
      </c>
      <c r="C5676">
        <v>4084</v>
      </c>
      <c r="D5676" t="str">
        <f>"22833       "</f>
        <v xml:space="preserve">22833       </v>
      </c>
      <c r="E5676" t="s">
        <v>939</v>
      </c>
      <c r="F5676" t="s">
        <v>940</v>
      </c>
      <c r="G5676">
        <v>167.07</v>
      </c>
      <c r="H5676">
        <v>250331</v>
      </c>
      <c r="I5676">
        <v>4590</v>
      </c>
      <c r="J5676" t="s">
        <v>388</v>
      </c>
      <c r="K5676">
        <v>167.07</v>
      </c>
      <c r="L5676">
        <v>33.950000000000003</v>
      </c>
      <c r="M5676">
        <v>49501</v>
      </c>
      <c r="N5676" t="s">
        <v>110</v>
      </c>
      <c r="O5676">
        <v>250407</v>
      </c>
      <c r="P5676">
        <v>133.12</v>
      </c>
    </row>
    <row r="5677" spans="1:16" x14ac:dyDescent="0.25">
      <c r="A5677" t="s">
        <v>3296</v>
      </c>
      <c r="B5677" t="s">
        <v>2931</v>
      </c>
      <c r="C5677">
        <v>13463</v>
      </c>
      <c r="D5677" t="str">
        <f>"24093       "</f>
        <v xml:space="preserve">24093       </v>
      </c>
      <c r="E5677" t="s">
        <v>939</v>
      </c>
      <c r="F5677" t="s">
        <v>940</v>
      </c>
      <c r="G5677">
        <v>153.28</v>
      </c>
      <c r="H5677">
        <v>251007</v>
      </c>
      <c r="I5677">
        <v>4590</v>
      </c>
      <c r="J5677" t="s">
        <v>388</v>
      </c>
      <c r="K5677">
        <v>153.28</v>
      </c>
      <c r="L5677">
        <v>31.14</v>
      </c>
      <c r="M5677">
        <v>49501</v>
      </c>
      <c r="N5677" t="s">
        <v>110</v>
      </c>
      <c r="O5677">
        <v>251010</v>
      </c>
      <c r="P5677">
        <v>122.14</v>
      </c>
    </row>
    <row r="5678" spans="1:16" x14ac:dyDescent="0.25">
      <c r="A5678" t="s">
        <v>3296</v>
      </c>
      <c r="B5678" t="s">
        <v>2931</v>
      </c>
      <c r="C5678">
        <v>1322</v>
      </c>
      <c r="D5678" t="str">
        <f>"22413       "</f>
        <v xml:space="preserve">22413       </v>
      </c>
      <c r="E5678" t="s">
        <v>939</v>
      </c>
      <c r="F5678" t="s">
        <v>940</v>
      </c>
      <c r="G5678">
        <v>122.28</v>
      </c>
      <c r="H5678">
        <v>250131</v>
      </c>
      <c r="I5678">
        <v>4600</v>
      </c>
      <c r="J5678" t="s">
        <v>278</v>
      </c>
      <c r="K5678">
        <v>122.28</v>
      </c>
      <c r="L5678">
        <v>24.85</v>
      </c>
      <c r="M5678">
        <v>49501</v>
      </c>
      <c r="N5678" t="s">
        <v>110</v>
      </c>
      <c r="O5678">
        <v>250207</v>
      </c>
      <c r="P5678">
        <v>97.43</v>
      </c>
    </row>
    <row r="5679" spans="1:16" x14ac:dyDescent="0.25">
      <c r="A5679" t="s">
        <v>3296</v>
      </c>
      <c r="B5679" t="s">
        <v>2931</v>
      </c>
      <c r="C5679">
        <v>2505</v>
      </c>
      <c r="D5679" t="str">
        <f>"22585       "</f>
        <v xml:space="preserve">22585       </v>
      </c>
      <c r="E5679" t="s">
        <v>939</v>
      </c>
      <c r="F5679" t="s">
        <v>940</v>
      </c>
      <c r="G5679">
        <v>65.69</v>
      </c>
      <c r="H5679">
        <v>250224</v>
      </c>
      <c r="I5679">
        <v>4600</v>
      </c>
      <c r="J5679" t="s">
        <v>278</v>
      </c>
      <c r="K5679">
        <v>65.69</v>
      </c>
      <c r="L5679">
        <v>13.35</v>
      </c>
      <c r="M5679">
        <v>49501</v>
      </c>
      <c r="N5679" t="s">
        <v>110</v>
      </c>
      <c r="O5679">
        <v>250303</v>
      </c>
      <c r="P5679">
        <v>52.34</v>
      </c>
    </row>
    <row r="5680" spans="1:16" x14ac:dyDescent="0.25">
      <c r="A5680" t="s">
        <v>3296</v>
      </c>
      <c r="B5680" t="s">
        <v>2931</v>
      </c>
      <c r="C5680">
        <v>11282</v>
      </c>
      <c r="D5680" t="str">
        <f>"23826       "</f>
        <v xml:space="preserve">23826       </v>
      </c>
      <c r="E5680" t="s">
        <v>939</v>
      </c>
      <c r="F5680" t="s">
        <v>940</v>
      </c>
      <c r="G5680">
        <v>678.28</v>
      </c>
      <c r="H5680">
        <v>250827</v>
      </c>
      <c r="I5680">
        <v>4600</v>
      </c>
      <c r="J5680" t="s">
        <v>278</v>
      </c>
      <c r="K5680">
        <v>678.28</v>
      </c>
      <c r="L5680">
        <v>137.82</v>
      </c>
      <c r="M5680">
        <v>49501</v>
      </c>
      <c r="N5680" t="s">
        <v>110</v>
      </c>
      <c r="O5680">
        <v>250903</v>
      </c>
      <c r="P5680">
        <v>540.46</v>
      </c>
    </row>
    <row r="5681" spans="1:16" x14ac:dyDescent="0.25">
      <c r="A5681" t="s">
        <v>3296</v>
      </c>
      <c r="B5681" t="s">
        <v>2931</v>
      </c>
      <c r="C5681">
        <v>12582</v>
      </c>
      <c r="D5681" t="str">
        <f>"24007       "</f>
        <v xml:space="preserve">24007       </v>
      </c>
      <c r="E5681" t="s">
        <v>939</v>
      </c>
      <c r="F5681" t="s">
        <v>940</v>
      </c>
      <c r="G5681">
        <v>174.13</v>
      </c>
      <c r="H5681">
        <v>250924</v>
      </c>
      <c r="I5681">
        <v>4600</v>
      </c>
      <c r="J5681" t="s">
        <v>278</v>
      </c>
      <c r="K5681">
        <v>174.13</v>
      </c>
      <c r="L5681">
        <v>35.380000000000003</v>
      </c>
      <c r="M5681">
        <v>49501</v>
      </c>
      <c r="N5681" t="s">
        <v>110</v>
      </c>
      <c r="O5681">
        <v>250926</v>
      </c>
      <c r="P5681">
        <v>138.75</v>
      </c>
    </row>
    <row r="5682" spans="1:16" x14ac:dyDescent="0.25">
      <c r="A5682" t="s">
        <v>3296</v>
      </c>
      <c r="B5682" t="s">
        <v>2931</v>
      </c>
      <c r="C5682">
        <v>13610</v>
      </c>
      <c r="D5682" t="str">
        <f>"24061       "</f>
        <v xml:space="preserve">24061       </v>
      </c>
      <c r="E5682" t="s">
        <v>939</v>
      </c>
      <c r="F5682" t="s">
        <v>940</v>
      </c>
      <c r="G5682">
        <v>36.270000000000003</v>
      </c>
      <c r="H5682">
        <v>251002</v>
      </c>
      <c r="I5682">
        <v>4600</v>
      </c>
      <c r="J5682" t="s">
        <v>278</v>
      </c>
      <c r="K5682">
        <v>36.270000000000003</v>
      </c>
      <c r="L5682">
        <v>7.37</v>
      </c>
      <c r="M5682">
        <v>46554</v>
      </c>
      <c r="N5682" t="s">
        <v>102</v>
      </c>
      <c r="O5682">
        <v>251013</v>
      </c>
      <c r="P5682">
        <v>28.9</v>
      </c>
    </row>
    <row r="5683" spans="1:16" x14ac:dyDescent="0.25">
      <c r="A5683" t="s">
        <v>3296</v>
      </c>
      <c r="B5683" t="s">
        <v>2931</v>
      </c>
      <c r="C5683">
        <v>14277</v>
      </c>
      <c r="D5683" t="str">
        <f>"4777        "</f>
        <v xml:space="preserve">4777        </v>
      </c>
      <c r="E5683" t="s">
        <v>2491</v>
      </c>
      <c r="F5683" t="s">
        <v>2492</v>
      </c>
      <c r="G5683">
        <v>5</v>
      </c>
      <c r="H5683">
        <v>251024</v>
      </c>
      <c r="I5683">
        <v>4410</v>
      </c>
      <c r="J5683" t="s">
        <v>165</v>
      </c>
      <c r="K5683">
        <v>110.4</v>
      </c>
      <c r="L5683">
        <v>1.02</v>
      </c>
      <c r="M5683">
        <v>49702</v>
      </c>
      <c r="N5683" t="s">
        <v>112</v>
      </c>
      <c r="O5683">
        <v>251028</v>
      </c>
      <c r="P5683">
        <v>3.98</v>
      </c>
    </row>
    <row r="5684" spans="1:16" x14ac:dyDescent="0.25">
      <c r="A5684" t="s">
        <v>3296</v>
      </c>
      <c r="B5684" t="s">
        <v>2931</v>
      </c>
      <c r="C5684">
        <v>14277</v>
      </c>
      <c r="D5684" t="str">
        <f>"4777        "</f>
        <v xml:space="preserve">4777        </v>
      </c>
      <c r="E5684" t="s">
        <v>2491</v>
      </c>
      <c r="F5684" t="s">
        <v>2492</v>
      </c>
      <c r="G5684">
        <v>105.4</v>
      </c>
      <c r="H5684">
        <v>251024</v>
      </c>
      <c r="I5684">
        <v>4410</v>
      </c>
      <c r="J5684" t="s">
        <v>165</v>
      </c>
      <c r="K5684">
        <v>110.4</v>
      </c>
      <c r="L5684">
        <v>12.94</v>
      </c>
      <c r="M5684">
        <v>49702</v>
      </c>
      <c r="N5684" t="s">
        <v>112</v>
      </c>
      <c r="O5684">
        <v>251028</v>
      </c>
      <c r="P5684">
        <v>92.46</v>
      </c>
    </row>
    <row r="5685" spans="1:16" x14ac:dyDescent="0.25">
      <c r="A5685" t="s">
        <v>3296</v>
      </c>
      <c r="B5685" t="s">
        <v>2931</v>
      </c>
      <c r="C5685">
        <v>16605</v>
      </c>
      <c r="D5685" t="str">
        <f>"11223       "</f>
        <v xml:space="preserve">11223       </v>
      </c>
      <c r="E5685" t="s">
        <v>2690</v>
      </c>
      <c r="F5685" t="s">
        <v>2691</v>
      </c>
      <c r="G5685">
        <v>323.79000000000002</v>
      </c>
      <c r="H5685">
        <v>251204</v>
      </c>
      <c r="I5685">
        <v>4350</v>
      </c>
      <c r="J5685" t="s">
        <v>290</v>
      </c>
      <c r="K5685">
        <v>323.79000000000002</v>
      </c>
      <c r="L5685">
        <v>65.790000000000006</v>
      </c>
      <c r="M5685">
        <v>49702</v>
      </c>
      <c r="N5685" t="s">
        <v>112</v>
      </c>
      <c r="O5685">
        <v>251210</v>
      </c>
      <c r="P5685">
        <v>258</v>
      </c>
    </row>
    <row r="5686" spans="1:16" x14ac:dyDescent="0.25">
      <c r="A5686" t="s">
        <v>3296</v>
      </c>
      <c r="B5686" t="s">
        <v>2931</v>
      </c>
      <c r="C5686">
        <v>5111</v>
      </c>
      <c r="D5686" t="str">
        <f>"99 / 2776564"</f>
        <v>99 / 2776564</v>
      </c>
      <c r="E5686" t="s">
        <v>577</v>
      </c>
      <c r="F5686" t="s">
        <v>578</v>
      </c>
      <c r="G5686">
        <v>237.65</v>
      </c>
      <c r="H5686">
        <v>250331</v>
      </c>
      <c r="I5686">
        <v>1196</v>
      </c>
      <c r="J5686" t="s">
        <v>340</v>
      </c>
      <c r="K5686">
        <v>237.65</v>
      </c>
      <c r="L5686">
        <v>48.29</v>
      </c>
      <c r="M5686">
        <v>97604</v>
      </c>
      <c r="N5686" t="s">
        <v>341</v>
      </c>
      <c r="O5686">
        <v>250416</v>
      </c>
      <c r="P5686">
        <v>189.36</v>
      </c>
    </row>
    <row r="5687" spans="1:16" x14ac:dyDescent="0.25">
      <c r="A5687" t="s">
        <v>3296</v>
      </c>
      <c r="B5687" t="s">
        <v>2931</v>
      </c>
      <c r="C5687">
        <v>7108</v>
      </c>
      <c r="D5687" t="str">
        <f>"33 / 2810959"</f>
        <v>33 / 2810959</v>
      </c>
      <c r="E5687" t="s">
        <v>577</v>
      </c>
      <c r="F5687" t="s">
        <v>578</v>
      </c>
      <c r="G5687">
        <v>72.5</v>
      </c>
      <c r="H5687">
        <v>250514</v>
      </c>
      <c r="I5687">
        <v>4390</v>
      </c>
      <c r="J5687" t="s">
        <v>232</v>
      </c>
      <c r="K5687">
        <v>72.5</v>
      </c>
      <c r="L5687">
        <v>14.73</v>
      </c>
      <c r="M5687">
        <v>17952</v>
      </c>
      <c r="N5687" t="s">
        <v>157</v>
      </c>
      <c r="O5687">
        <v>250522</v>
      </c>
      <c r="P5687">
        <v>57.77</v>
      </c>
    </row>
    <row r="5688" spans="1:16" x14ac:dyDescent="0.25">
      <c r="A5688" t="s">
        <v>3296</v>
      </c>
      <c r="B5688" t="s">
        <v>2931</v>
      </c>
      <c r="C5688">
        <v>2399</v>
      </c>
      <c r="D5688" t="str">
        <f>"97 / 2732243"</f>
        <v>97 / 2732243</v>
      </c>
      <c r="E5688" t="s">
        <v>577</v>
      </c>
      <c r="F5688" t="s">
        <v>578</v>
      </c>
      <c r="G5688">
        <v>71.2</v>
      </c>
      <c r="H5688">
        <v>250215</v>
      </c>
      <c r="I5688">
        <v>4400</v>
      </c>
      <c r="J5688" t="s">
        <v>162</v>
      </c>
      <c r="K5688">
        <v>71.2</v>
      </c>
      <c r="L5688">
        <v>14.47</v>
      </c>
      <c r="M5688">
        <v>17524</v>
      </c>
      <c r="N5688" t="s">
        <v>139</v>
      </c>
      <c r="O5688">
        <v>250225</v>
      </c>
      <c r="P5688">
        <v>56.73</v>
      </c>
    </row>
    <row r="5689" spans="1:16" x14ac:dyDescent="0.25">
      <c r="A5689" t="s">
        <v>3296</v>
      </c>
      <c r="B5689" t="s">
        <v>2931</v>
      </c>
      <c r="C5689">
        <v>2607</v>
      </c>
      <c r="D5689" t="str">
        <f>"98 / 2732244"</f>
        <v>98 / 2732244</v>
      </c>
      <c r="E5689" t="s">
        <v>577</v>
      </c>
      <c r="F5689" t="s">
        <v>578</v>
      </c>
      <c r="G5689">
        <v>33.700000000000003</v>
      </c>
      <c r="H5689">
        <v>250215</v>
      </c>
      <c r="I5689">
        <v>4400</v>
      </c>
      <c r="J5689" t="s">
        <v>162</v>
      </c>
      <c r="K5689">
        <v>33.700000000000003</v>
      </c>
      <c r="L5689">
        <v>6.85</v>
      </c>
      <c r="M5689">
        <v>17523</v>
      </c>
      <c r="N5689" t="s">
        <v>138</v>
      </c>
      <c r="O5689">
        <v>250307</v>
      </c>
      <c r="P5689">
        <v>26.85</v>
      </c>
    </row>
    <row r="5690" spans="1:16" x14ac:dyDescent="0.25">
      <c r="A5690" t="s">
        <v>3296</v>
      </c>
      <c r="B5690" t="s">
        <v>2931</v>
      </c>
      <c r="C5690">
        <v>5701</v>
      </c>
      <c r="D5690" t="str">
        <f>"22 / 2790660"</f>
        <v>22 / 2790660</v>
      </c>
      <c r="E5690" t="s">
        <v>577</v>
      </c>
      <c r="F5690" t="s">
        <v>578</v>
      </c>
      <c r="G5690">
        <v>10.199999999999999</v>
      </c>
      <c r="H5690">
        <v>250422</v>
      </c>
      <c r="I5690">
        <v>4400</v>
      </c>
      <c r="J5690" t="s">
        <v>162</v>
      </c>
      <c r="K5690">
        <v>10.199999999999999</v>
      </c>
      <c r="L5690">
        <v>2.0699999999999998</v>
      </c>
      <c r="M5690">
        <v>17523</v>
      </c>
      <c r="N5690" t="s">
        <v>138</v>
      </c>
      <c r="O5690">
        <v>250429</v>
      </c>
      <c r="P5690">
        <v>8.1300000000000008</v>
      </c>
    </row>
    <row r="5691" spans="1:16" x14ac:dyDescent="0.25">
      <c r="A5691" t="s">
        <v>3296</v>
      </c>
      <c r="B5691" t="s">
        <v>2931</v>
      </c>
      <c r="C5691">
        <v>16192</v>
      </c>
      <c r="D5691" t="str">
        <f>"64 / 2983903"</f>
        <v>64 / 2983903</v>
      </c>
      <c r="E5691" t="s">
        <v>577</v>
      </c>
      <c r="F5691" t="s">
        <v>578</v>
      </c>
      <c r="G5691">
        <v>12.84</v>
      </c>
      <c r="H5691">
        <v>251130</v>
      </c>
      <c r="I5691">
        <v>4400</v>
      </c>
      <c r="J5691" t="s">
        <v>162</v>
      </c>
      <c r="K5691">
        <v>12.84</v>
      </c>
      <c r="L5691">
        <v>2.61</v>
      </c>
      <c r="M5691">
        <v>17534</v>
      </c>
      <c r="N5691" t="s">
        <v>148</v>
      </c>
      <c r="O5691">
        <v>251204</v>
      </c>
      <c r="P5691">
        <v>10.23</v>
      </c>
    </row>
    <row r="5692" spans="1:16" x14ac:dyDescent="0.25">
      <c r="A5692" t="s">
        <v>3296</v>
      </c>
      <c r="B5692" t="s">
        <v>2931</v>
      </c>
      <c r="C5692">
        <v>9195</v>
      </c>
      <c r="D5692" t="str">
        <f>"44 / 2840552"</f>
        <v>44 / 2840552</v>
      </c>
      <c r="E5692" t="s">
        <v>577</v>
      </c>
      <c r="F5692" t="s">
        <v>578</v>
      </c>
      <c r="G5692">
        <v>41.3</v>
      </c>
      <c r="H5692">
        <v>250617</v>
      </c>
      <c r="I5692">
        <v>4560</v>
      </c>
      <c r="J5692" t="s">
        <v>390</v>
      </c>
      <c r="K5692">
        <v>41.3</v>
      </c>
      <c r="L5692">
        <v>8.39</v>
      </c>
      <c r="M5692">
        <v>17952</v>
      </c>
      <c r="N5692" t="s">
        <v>157</v>
      </c>
      <c r="O5692">
        <v>250627</v>
      </c>
      <c r="P5692">
        <v>32.909999999999997</v>
      </c>
    </row>
    <row r="5693" spans="1:16" x14ac:dyDescent="0.25">
      <c r="A5693" t="s">
        <v>3296</v>
      </c>
      <c r="B5693" t="s">
        <v>2931</v>
      </c>
      <c r="C5693">
        <v>690</v>
      </c>
      <c r="D5693" t="str">
        <f>"51 / 2701487"</f>
        <v>51 / 2701487</v>
      </c>
      <c r="E5693" t="s">
        <v>577</v>
      </c>
      <c r="F5693" t="s">
        <v>578</v>
      </c>
      <c r="G5693">
        <v>118.25</v>
      </c>
      <c r="H5693">
        <v>250116</v>
      </c>
      <c r="I5693">
        <v>4580</v>
      </c>
      <c r="J5693" t="s">
        <v>126</v>
      </c>
      <c r="K5693">
        <v>118.25</v>
      </c>
      <c r="L5693">
        <v>24.03</v>
      </c>
      <c r="M5693">
        <v>17521</v>
      </c>
      <c r="N5693" t="s">
        <v>136</v>
      </c>
      <c r="O5693">
        <v>250127</v>
      </c>
      <c r="P5693">
        <v>94.22</v>
      </c>
    </row>
    <row r="5694" spans="1:16" x14ac:dyDescent="0.25">
      <c r="A5694" t="s">
        <v>3296</v>
      </c>
      <c r="B5694" t="s">
        <v>2931</v>
      </c>
      <c r="C5694">
        <v>2707</v>
      </c>
      <c r="D5694" t="str">
        <f>"32 / 2734361"</f>
        <v>32 / 2734361</v>
      </c>
      <c r="E5694" t="s">
        <v>577</v>
      </c>
      <c r="F5694" t="s">
        <v>578</v>
      </c>
      <c r="G5694">
        <v>66.42</v>
      </c>
      <c r="H5694">
        <v>250218</v>
      </c>
      <c r="I5694">
        <v>4580</v>
      </c>
      <c r="J5694" t="s">
        <v>126</v>
      </c>
      <c r="K5694">
        <v>104.65</v>
      </c>
      <c r="L5694">
        <v>13.5</v>
      </c>
      <c r="M5694">
        <v>17525</v>
      </c>
      <c r="N5694" t="s">
        <v>140</v>
      </c>
      <c r="O5694">
        <v>250311</v>
      </c>
      <c r="P5694">
        <v>52.92</v>
      </c>
    </row>
    <row r="5695" spans="1:16" x14ac:dyDescent="0.25">
      <c r="A5695" t="s">
        <v>3296</v>
      </c>
      <c r="B5695" t="s">
        <v>2931</v>
      </c>
      <c r="C5695">
        <v>6558</v>
      </c>
      <c r="D5695" t="str">
        <f>"18 / 2795234"</f>
        <v>18 / 2795234</v>
      </c>
      <c r="E5695" t="s">
        <v>577</v>
      </c>
      <c r="F5695" t="s">
        <v>578</v>
      </c>
      <c r="G5695">
        <v>62.9</v>
      </c>
      <c r="H5695">
        <v>250429</v>
      </c>
      <c r="I5695">
        <v>4580</v>
      </c>
      <c r="J5695" t="s">
        <v>126</v>
      </c>
      <c r="K5695">
        <v>62.9</v>
      </c>
      <c r="L5695">
        <v>12.78</v>
      </c>
      <c r="M5695">
        <v>17521</v>
      </c>
      <c r="N5695" t="s">
        <v>136</v>
      </c>
      <c r="O5695">
        <v>250514</v>
      </c>
      <c r="P5695">
        <v>50.12</v>
      </c>
    </row>
    <row r="5696" spans="1:16" x14ac:dyDescent="0.25">
      <c r="A5696" t="s">
        <v>3296</v>
      </c>
      <c r="B5696" t="s">
        <v>2931</v>
      </c>
      <c r="C5696">
        <v>9191</v>
      </c>
      <c r="D5696" t="str">
        <f>"42 / 2840550"</f>
        <v>42 / 2840550</v>
      </c>
      <c r="E5696" t="s">
        <v>577</v>
      </c>
      <c r="F5696" t="s">
        <v>578</v>
      </c>
      <c r="G5696">
        <v>128.5</v>
      </c>
      <c r="H5696">
        <v>250617</v>
      </c>
      <c r="I5696">
        <v>4580</v>
      </c>
      <c r="J5696" t="s">
        <v>126</v>
      </c>
      <c r="K5696">
        <v>128.5</v>
      </c>
      <c r="L5696">
        <v>26.11</v>
      </c>
      <c r="M5696">
        <v>17523</v>
      </c>
      <c r="N5696" t="s">
        <v>138</v>
      </c>
      <c r="O5696">
        <v>250627</v>
      </c>
      <c r="P5696">
        <v>102.39</v>
      </c>
    </row>
    <row r="5697" spans="1:16" x14ac:dyDescent="0.25">
      <c r="A5697" t="s">
        <v>3296</v>
      </c>
      <c r="B5697" t="s">
        <v>2931</v>
      </c>
      <c r="C5697">
        <v>10784</v>
      </c>
      <c r="D5697" t="str">
        <f>"63 / 2890120"</f>
        <v>63 / 2890120</v>
      </c>
      <c r="E5697" t="s">
        <v>577</v>
      </c>
      <c r="F5697" t="s">
        <v>578</v>
      </c>
      <c r="G5697">
        <v>148.36000000000001</v>
      </c>
      <c r="H5697">
        <v>250814</v>
      </c>
      <c r="I5697">
        <v>4580</v>
      </c>
      <c r="J5697" t="s">
        <v>126</v>
      </c>
      <c r="K5697">
        <v>148.36000000000001</v>
      </c>
      <c r="L5697">
        <v>30.14</v>
      </c>
      <c r="M5697">
        <v>17521</v>
      </c>
      <c r="N5697" t="s">
        <v>136</v>
      </c>
      <c r="O5697">
        <v>250822</v>
      </c>
      <c r="P5697">
        <v>118.22</v>
      </c>
    </row>
    <row r="5698" spans="1:16" x14ac:dyDescent="0.25">
      <c r="A5698" t="s">
        <v>3296</v>
      </c>
      <c r="B5698" t="s">
        <v>2931</v>
      </c>
      <c r="C5698">
        <v>12303</v>
      </c>
      <c r="D5698" t="str">
        <f>"82 / 2900632"</f>
        <v>82 / 2900632</v>
      </c>
      <c r="E5698" t="s">
        <v>577</v>
      </c>
      <c r="F5698" t="s">
        <v>578</v>
      </c>
      <c r="G5698">
        <v>24.3</v>
      </c>
      <c r="H5698">
        <v>250901</v>
      </c>
      <c r="I5698">
        <v>4580</v>
      </c>
      <c r="J5698" t="s">
        <v>126</v>
      </c>
      <c r="K5698">
        <v>24.3</v>
      </c>
      <c r="L5698">
        <v>4.9400000000000004</v>
      </c>
      <c r="M5698">
        <v>17521</v>
      </c>
      <c r="N5698" t="s">
        <v>136</v>
      </c>
      <c r="O5698">
        <v>250919</v>
      </c>
      <c r="P5698">
        <v>19.36</v>
      </c>
    </row>
    <row r="5699" spans="1:16" x14ac:dyDescent="0.25">
      <c r="A5699" t="s">
        <v>3296</v>
      </c>
      <c r="B5699" t="s">
        <v>2931</v>
      </c>
      <c r="C5699">
        <v>12760</v>
      </c>
      <c r="D5699" t="str">
        <f>"01 / 2919519"</f>
        <v>01 / 2919519</v>
      </c>
      <c r="E5699" t="s">
        <v>577</v>
      </c>
      <c r="F5699" t="s">
        <v>578</v>
      </c>
      <c r="G5699">
        <v>68.849999999999994</v>
      </c>
      <c r="H5699">
        <v>250917</v>
      </c>
      <c r="I5699">
        <v>4580</v>
      </c>
      <c r="J5699" t="s">
        <v>126</v>
      </c>
      <c r="K5699">
        <v>121.35</v>
      </c>
      <c r="L5699">
        <v>13.99</v>
      </c>
      <c r="M5699">
        <v>17525</v>
      </c>
      <c r="N5699" t="s">
        <v>140</v>
      </c>
      <c r="O5699">
        <v>250930</v>
      </c>
      <c r="P5699">
        <v>54.86</v>
      </c>
    </row>
    <row r="5700" spans="1:16" x14ac:dyDescent="0.25">
      <c r="A5700" t="s">
        <v>3296</v>
      </c>
      <c r="B5700" t="s">
        <v>2931</v>
      </c>
      <c r="C5700">
        <v>12760</v>
      </c>
      <c r="D5700" t="str">
        <f>"01 / 2919519"</f>
        <v>01 / 2919519</v>
      </c>
      <c r="E5700" t="s">
        <v>577</v>
      </c>
      <c r="F5700" t="s">
        <v>578</v>
      </c>
      <c r="G5700">
        <v>52.5</v>
      </c>
      <c r="H5700">
        <v>250917</v>
      </c>
      <c r="I5700">
        <v>4580</v>
      </c>
      <c r="J5700" t="s">
        <v>126</v>
      </c>
      <c r="K5700">
        <v>121.35</v>
      </c>
      <c r="L5700">
        <v>10.67</v>
      </c>
      <c r="M5700">
        <v>17529</v>
      </c>
      <c r="N5700" t="s">
        <v>143</v>
      </c>
      <c r="O5700">
        <v>250930</v>
      </c>
      <c r="P5700">
        <v>41.83</v>
      </c>
    </row>
    <row r="5701" spans="1:16" x14ac:dyDescent="0.25">
      <c r="A5701" t="s">
        <v>3296</v>
      </c>
      <c r="B5701" t="s">
        <v>2931</v>
      </c>
      <c r="C5701">
        <v>14995</v>
      </c>
      <c r="D5701" t="str">
        <f>"17 / 2952106"</f>
        <v>17 / 2952106</v>
      </c>
      <c r="E5701" t="s">
        <v>577</v>
      </c>
      <c r="F5701" t="s">
        <v>578</v>
      </c>
      <c r="G5701">
        <v>45.22</v>
      </c>
      <c r="H5701">
        <v>251029</v>
      </c>
      <c r="I5701">
        <v>4580</v>
      </c>
      <c r="J5701" t="s">
        <v>126</v>
      </c>
      <c r="K5701">
        <v>45.22</v>
      </c>
      <c r="L5701">
        <v>9.19</v>
      </c>
      <c r="M5701">
        <v>17950</v>
      </c>
      <c r="N5701" t="s">
        <v>132</v>
      </c>
      <c r="O5701">
        <v>251110</v>
      </c>
      <c r="P5701">
        <v>36.03</v>
      </c>
    </row>
    <row r="5702" spans="1:16" x14ac:dyDescent="0.25">
      <c r="A5702" t="s">
        <v>3296</v>
      </c>
      <c r="B5702" t="s">
        <v>2931</v>
      </c>
      <c r="C5702">
        <v>15321</v>
      </c>
      <c r="D5702" t="str">
        <f>"30 / 2967129"</f>
        <v>30 / 2967129</v>
      </c>
      <c r="E5702" t="s">
        <v>577</v>
      </c>
      <c r="F5702" t="s">
        <v>578</v>
      </c>
      <c r="G5702">
        <v>9.4</v>
      </c>
      <c r="H5702">
        <v>251031</v>
      </c>
      <c r="I5702">
        <v>4580</v>
      </c>
      <c r="J5702" t="s">
        <v>126</v>
      </c>
      <c r="K5702">
        <v>9.4</v>
      </c>
      <c r="L5702">
        <v>1.91</v>
      </c>
      <c r="M5702">
        <v>17532</v>
      </c>
      <c r="N5702" t="s">
        <v>146</v>
      </c>
      <c r="O5702">
        <v>251118</v>
      </c>
      <c r="P5702">
        <v>7.49</v>
      </c>
    </row>
    <row r="5703" spans="1:16" x14ac:dyDescent="0.25">
      <c r="A5703" t="s">
        <v>3296</v>
      </c>
      <c r="B5703" t="s">
        <v>2931</v>
      </c>
      <c r="C5703">
        <v>15322</v>
      </c>
      <c r="D5703" t="str">
        <f>"34 / 2967133"</f>
        <v>34 / 2967133</v>
      </c>
      <c r="E5703" t="s">
        <v>577</v>
      </c>
      <c r="F5703" t="s">
        <v>578</v>
      </c>
      <c r="G5703">
        <v>11.2</v>
      </c>
      <c r="H5703">
        <v>251031</v>
      </c>
      <c r="I5703">
        <v>4580</v>
      </c>
      <c r="J5703" t="s">
        <v>126</v>
      </c>
      <c r="K5703">
        <v>31.15</v>
      </c>
      <c r="L5703">
        <v>2.2799999999999998</v>
      </c>
      <c r="M5703">
        <v>17525</v>
      </c>
      <c r="N5703" t="s">
        <v>140</v>
      </c>
      <c r="O5703">
        <v>251118</v>
      </c>
      <c r="P5703">
        <v>8.92</v>
      </c>
    </row>
    <row r="5704" spans="1:16" x14ac:dyDescent="0.25">
      <c r="A5704" t="s">
        <v>3296</v>
      </c>
      <c r="B5704" t="s">
        <v>2931</v>
      </c>
      <c r="C5704">
        <v>15525</v>
      </c>
      <c r="D5704" t="str">
        <f>"36 / 2967135"</f>
        <v>36 / 2967135</v>
      </c>
      <c r="E5704" t="s">
        <v>577</v>
      </c>
      <c r="F5704" t="s">
        <v>578</v>
      </c>
      <c r="G5704">
        <v>153.85</v>
      </c>
      <c r="H5704">
        <v>251101</v>
      </c>
      <c r="I5704">
        <v>4580</v>
      </c>
      <c r="J5704" t="s">
        <v>126</v>
      </c>
      <c r="K5704">
        <v>153.85</v>
      </c>
      <c r="L5704">
        <v>31.26</v>
      </c>
      <c r="M5704">
        <v>17538</v>
      </c>
      <c r="N5704" t="s">
        <v>129</v>
      </c>
      <c r="O5704">
        <v>251121</v>
      </c>
      <c r="P5704">
        <v>122.59</v>
      </c>
    </row>
    <row r="5705" spans="1:16" x14ac:dyDescent="0.25">
      <c r="A5705" t="s">
        <v>3296</v>
      </c>
      <c r="B5705" t="s">
        <v>2931</v>
      </c>
      <c r="C5705">
        <v>15949</v>
      </c>
      <c r="D5705" t="str">
        <f>"39 / 2967138"</f>
        <v>39 / 2967138</v>
      </c>
      <c r="E5705" t="s">
        <v>577</v>
      </c>
      <c r="F5705" t="s">
        <v>578</v>
      </c>
      <c r="G5705">
        <v>14</v>
      </c>
      <c r="H5705">
        <v>251113</v>
      </c>
      <c r="I5705">
        <v>4580</v>
      </c>
      <c r="J5705" t="s">
        <v>126</v>
      </c>
      <c r="K5705">
        <v>133</v>
      </c>
      <c r="L5705">
        <v>2.84</v>
      </c>
      <c r="M5705">
        <v>17522</v>
      </c>
      <c r="N5705" t="s">
        <v>137</v>
      </c>
      <c r="O5705">
        <v>251201</v>
      </c>
      <c r="P5705">
        <v>11.16</v>
      </c>
    </row>
    <row r="5706" spans="1:16" x14ac:dyDescent="0.25">
      <c r="A5706" t="s">
        <v>3296</v>
      </c>
      <c r="B5706" t="s">
        <v>2931</v>
      </c>
      <c r="C5706">
        <v>16241</v>
      </c>
      <c r="D5706" t="str">
        <f>"38 / 2983877"</f>
        <v>38 / 2983877</v>
      </c>
      <c r="E5706" t="s">
        <v>577</v>
      </c>
      <c r="F5706" t="s">
        <v>578</v>
      </c>
      <c r="G5706">
        <v>172</v>
      </c>
      <c r="H5706">
        <v>251130</v>
      </c>
      <c r="I5706">
        <v>4580</v>
      </c>
      <c r="J5706" t="s">
        <v>126</v>
      </c>
      <c r="K5706">
        <v>172</v>
      </c>
      <c r="L5706">
        <v>34.950000000000003</v>
      </c>
      <c r="M5706">
        <v>17521</v>
      </c>
      <c r="N5706" t="s">
        <v>136</v>
      </c>
      <c r="O5706">
        <v>251205</v>
      </c>
      <c r="P5706">
        <v>137.05000000000001</v>
      </c>
    </row>
    <row r="5707" spans="1:16" x14ac:dyDescent="0.25">
      <c r="A5707" t="s">
        <v>3296</v>
      </c>
      <c r="B5707" t="s">
        <v>2931</v>
      </c>
      <c r="C5707">
        <v>16685</v>
      </c>
      <c r="D5707" t="str">
        <f>"43 / 2983882"</f>
        <v>43 / 2983882</v>
      </c>
      <c r="E5707" t="s">
        <v>577</v>
      </c>
      <c r="F5707" t="s">
        <v>578</v>
      </c>
      <c r="G5707">
        <v>1024.82</v>
      </c>
      <c r="H5707">
        <v>251130</v>
      </c>
      <c r="I5707">
        <v>4580</v>
      </c>
      <c r="J5707" t="s">
        <v>126</v>
      </c>
      <c r="K5707">
        <v>1024.82</v>
      </c>
      <c r="L5707">
        <v>208.23</v>
      </c>
      <c r="M5707">
        <v>17523</v>
      </c>
      <c r="N5707" t="s">
        <v>138</v>
      </c>
      <c r="O5707">
        <v>251211</v>
      </c>
      <c r="P5707">
        <v>816.59</v>
      </c>
    </row>
    <row r="5708" spans="1:16" x14ac:dyDescent="0.25">
      <c r="A5708" t="s">
        <v>3296</v>
      </c>
      <c r="B5708" t="s">
        <v>2931</v>
      </c>
      <c r="C5708">
        <v>16703</v>
      </c>
      <c r="D5708" t="str">
        <f>"40 / 2983879"</f>
        <v>40 / 2983879</v>
      </c>
      <c r="E5708" t="s">
        <v>577</v>
      </c>
      <c r="F5708" t="s">
        <v>578</v>
      </c>
      <c r="G5708">
        <v>24.6</v>
      </c>
      <c r="H5708">
        <v>251130</v>
      </c>
      <c r="I5708">
        <v>4580</v>
      </c>
      <c r="J5708" t="s">
        <v>126</v>
      </c>
      <c r="K5708">
        <v>24.6</v>
      </c>
      <c r="L5708">
        <v>5</v>
      </c>
      <c r="M5708">
        <v>17527</v>
      </c>
      <c r="N5708" t="s">
        <v>142</v>
      </c>
      <c r="O5708">
        <v>251211</v>
      </c>
      <c r="P5708">
        <v>19.600000000000001</v>
      </c>
    </row>
    <row r="5709" spans="1:16" x14ac:dyDescent="0.25">
      <c r="A5709" t="s">
        <v>3296</v>
      </c>
      <c r="B5709" t="s">
        <v>2931</v>
      </c>
      <c r="C5709">
        <v>17707</v>
      </c>
      <c r="D5709" t="str">
        <f>"26 / 2992603"</f>
        <v>26 / 2992603</v>
      </c>
      <c r="E5709" t="s">
        <v>577</v>
      </c>
      <c r="F5709" t="s">
        <v>578</v>
      </c>
      <c r="G5709">
        <v>128.9</v>
      </c>
      <c r="H5709">
        <v>251212</v>
      </c>
      <c r="I5709">
        <v>4580</v>
      </c>
      <c r="J5709" t="s">
        <v>126</v>
      </c>
      <c r="K5709">
        <v>128.9</v>
      </c>
      <c r="L5709">
        <v>26.19</v>
      </c>
      <c r="M5709">
        <v>17521</v>
      </c>
      <c r="N5709" t="s">
        <v>136</v>
      </c>
      <c r="O5709">
        <v>251229</v>
      </c>
      <c r="P5709">
        <v>102.71</v>
      </c>
    </row>
    <row r="5710" spans="1:16" x14ac:dyDescent="0.25">
      <c r="A5710" t="s">
        <v>3296</v>
      </c>
      <c r="B5710" t="s">
        <v>2931</v>
      </c>
      <c r="C5710">
        <v>2360</v>
      </c>
      <c r="D5710" t="str">
        <f>"96 / 2732242"</f>
        <v>96 / 2732242</v>
      </c>
      <c r="E5710" t="s">
        <v>577</v>
      </c>
      <c r="F5710" t="s">
        <v>578</v>
      </c>
      <c r="G5710">
        <v>181.5</v>
      </c>
      <c r="H5710">
        <v>250215</v>
      </c>
      <c r="I5710">
        <v>4590</v>
      </c>
      <c r="J5710" t="s">
        <v>388</v>
      </c>
      <c r="K5710">
        <v>181.5</v>
      </c>
      <c r="L5710">
        <v>36.880000000000003</v>
      </c>
      <c r="M5710">
        <v>17957</v>
      </c>
      <c r="N5710" t="s">
        <v>812</v>
      </c>
      <c r="O5710">
        <v>250224</v>
      </c>
      <c r="P5710">
        <v>144.62</v>
      </c>
    </row>
    <row r="5711" spans="1:16" x14ac:dyDescent="0.25">
      <c r="A5711" t="s">
        <v>3296</v>
      </c>
      <c r="B5711" t="s">
        <v>2931</v>
      </c>
      <c r="C5711">
        <v>3087</v>
      </c>
      <c r="D5711" t="str">
        <f>"85 / 2748889"</f>
        <v>85 / 2748889</v>
      </c>
      <c r="E5711" t="s">
        <v>577</v>
      </c>
      <c r="F5711" t="s">
        <v>578</v>
      </c>
      <c r="G5711">
        <v>29.3</v>
      </c>
      <c r="H5711">
        <v>250228</v>
      </c>
      <c r="I5711">
        <v>4590</v>
      </c>
      <c r="J5711" t="s">
        <v>388</v>
      </c>
      <c r="K5711">
        <v>29.3</v>
      </c>
      <c r="L5711">
        <v>5.95</v>
      </c>
      <c r="M5711">
        <v>17952</v>
      </c>
      <c r="N5711" t="s">
        <v>157</v>
      </c>
      <c r="O5711">
        <v>250314</v>
      </c>
      <c r="P5711">
        <v>23.35</v>
      </c>
    </row>
    <row r="5712" spans="1:16" x14ac:dyDescent="0.25">
      <c r="A5712" t="s">
        <v>3296</v>
      </c>
      <c r="B5712" t="s">
        <v>2931</v>
      </c>
      <c r="C5712">
        <v>5070</v>
      </c>
      <c r="D5712" t="str">
        <f>"01 / 2776566"</f>
        <v>01 / 2776566</v>
      </c>
      <c r="E5712" t="s">
        <v>577</v>
      </c>
      <c r="F5712" t="s">
        <v>578</v>
      </c>
      <c r="G5712">
        <v>167.5</v>
      </c>
      <c r="H5712">
        <v>250331</v>
      </c>
      <c r="I5712">
        <v>4590</v>
      </c>
      <c r="J5712" t="s">
        <v>388</v>
      </c>
      <c r="K5712">
        <v>167.5</v>
      </c>
      <c r="L5712">
        <v>34.03</v>
      </c>
      <c r="M5712">
        <v>17952</v>
      </c>
      <c r="N5712" t="s">
        <v>157</v>
      </c>
      <c r="O5712">
        <v>250416</v>
      </c>
      <c r="P5712">
        <v>133.47</v>
      </c>
    </row>
    <row r="5713" spans="1:16" x14ac:dyDescent="0.25">
      <c r="A5713" t="s">
        <v>3296</v>
      </c>
      <c r="B5713" t="s">
        <v>2931</v>
      </c>
      <c r="C5713">
        <v>5698</v>
      </c>
      <c r="D5713" t="str">
        <f>"21 / 2790659"</f>
        <v>21 / 2790659</v>
      </c>
      <c r="E5713" t="s">
        <v>577</v>
      </c>
      <c r="F5713" t="s">
        <v>578</v>
      </c>
      <c r="G5713">
        <v>190.09</v>
      </c>
      <c r="H5713">
        <v>250422</v>
      </c>
      <c r="I5713">
        <v>4590</v>
      </c>
      <c r="J5713" t="s">
        <v>388</v>
      </c>
      <c r="K5713">
        <v>190.09</v>
      </c>
      <c r="L5713">
        <v>38.619999999999997</v>
      </c>
      <c r="M5713">
        <v>17952</v>
      </c>
      <c r="N5713" t="s">
        <v>157</v>
      </c>
      <c r="O5713">
        <v>250429</v>
      </c>
      <c r="P5713">
        <v>151.47</v>
      </c>
    </row>
    <row r="5714" spans="1:16" x14ac:dyDescent="0.25">
      <c r="A5714" t="s">
        <v>3296</v>
      </c>
      <c r="B5714" t="s">
        <v>2931</v>
      </c>
      <c r="C5714">
        <v>8241</v>
      </c>
      <c r="D5714" t="str">
        <f>"39 / 2821073"</f>
        <v>39 / 2821073</v>
      </c>
      <c r="E5714" t="s">
        <v>577</v>
      </c>
      <c r="F5714" t="s">
        <v>578</v>
      </c>
      <c r="G5714">
        <v>334.14</v>
      </c>
      <c r="H5714">
        <v>250528</v>
      </c>
      <c r="I5714">
        <v>4590</v>
      </c>
      <c r="J5714" t="s">
        <v>388</v>
      </c>
      <c r="K5714">
        <v>334.14</v>
      </c>
      <c r="L5714">
        <v>67.89</v>
      </c>
      <c r="M5714">
        <v>17952</v>
      </c>
      <c r="N5714" t="s">
        <v>157</v>
      </c>
      <c r="O5714">
        <v>250612</v>
      </c>
      <c r="P5714">
        <v>266.25</v>
      </c>
    </row>
    <row r="5715" spans="1:16" x14ac:dyDescent="0.25">
      <c r="A5715" t="s">
        <v>3296</v>
      </c>
      <c r="B5715" t="s">
        <v>2931</v>
      </c>
      <c r="C5715">
        <v>12759</v>
      </c>
      <c r="D5715" t="str">
        <f>"99 / 2919517"</f>
        <v>99 / 2919517</v>
      </c>
      <c r="E5715" t="s">
        <v>577</v>
      </c>
      <c r="F5715" t="s">
        <v>578</v>
      </c>
      <c r="G5715">
        <v>157.15</v>
      </c>
      <c r="H5715">
        <v>250917</v>
      </c>
      <c r="I5715">
        <v>4590</v>
      </c>
      <c r="J5715" t="s">
        <v>388</v>
      </c>
      <c r="K5715">
        <v>157.15</v>
      </c>
      <c r="L5715">
        <v>31.93</v>
      </c>
      <c r="M5715">
        <v>17952</v>
      </c>
      <c r="N5715" t="s">
        <v>157</v>
      </c>
      <c r="O5715">
        <v>250930</v>
      </c>
      <c r="P5715">
        <v>125.22</v>
      </c>
    </row>
    <row r="5716" spans="1:16" x14ac:dyDescent="0.25">
      <c r="A5716" t="s">
        <v>3296</v>
      </c>
      <c r="B5716" t="s">
        <v>2931</v>
      </c>
      <c r="C5716">
        <v>15293</v>
      </c>
      <c r="D5716" t="str">
        <f>"32 / 2967131"</f>
        <v>32 / 2967131</v>
      </c>
      <c r="E5716" t="s">
        <v>577</v>
      </c>
      <c r="F5716" t="s">
        <v>578</v>
      </c>
      <c r="G5716">
        <v>84</v>
      </c>
      <c r="H5716">
        <v>251031</v>
      </c>
      <c r="I5716">
        <v>4590</v>
      </c>
      <c r="J5716" t="s">
        <v>388</v>
      </c>
      <c r="K5716">
        <v>84</v>
      </c>
      <c r="L5716">
        <v>17.07</v>
      </c>
      <c r="M5716">
        <v>17952</v>
      </c>
      <c r="N5716" t="s">
        <v>157</v>
      </c>
      <c r="O5716">
        <v>251117</v>
      </c>
      <c r="P5716">
        <v>66.930000000000007</v>
      </c>
    </row>
    <row r="5717" spans="1:16" x14ac:dyDescent="0.25">
      <c r="A5717" t="s">
        <v>3296</v>
      </c>
      <c r="B5717" t="s">
        <v>2931</v>
      </c>
      <c r="C5717">
        <v>543</v>
      </c>
      <c r="D5717" t="str">
        <f>"52 / 2701488"</f>
        <v>52 / 2701488</v>
      </c>
      <c r="E5717" t="s">
        <v>577</v>
      </c>
      <c r="F5717" t="s">
        <v>578</v>
      </c>
      <c r="G5717">
        <v>127.31</v>
      </c>
      <c r="H5717">
        <v>250116</v>
      </c>
      <c r="I5717">
        <v>4600</v>
      </c>
      <c r="J5717" t="s">
        <v>278</v>
      </c>
      <c r="K5717">
        <v>127.31</v>
      </c>
      <c r="L5717">
        <v>25.87</v>
      </c>
      <c r="M5717">
        <v>17711</v>
      </c>
      <c r="N5717" t="s">
        <v>155</v>
      </c>
      <c r="O5717">
        <v>250123</v>
      </c>
      <c r="P5717">
        <v>101.44</v>
      </c>
    </row>
    <row r="5718" spans="1:16" x14ac:dyDescent="0.25">
      <c r="A5718" t="s">
        <v>3296</v>
      </c>
      <c r="B5718" t="s">
        <v>2931</v>
      </c>
      <c r="C5718">
        <v>689</v>
      </c>
      <c r="D5718" t="str">
        <f>"53 / 2701489"</f>
        <v>53 / 2701489</v>
      </c>
      <c r="E5718" t="s">
        <v>577</v>
      </c>
      <c r="F5718" t="s">
        <v>578</v>
      </c>
      <c r="G5718">
        <v>18</v>
      </c>
      <c r="H5718">
        <v>250116</v>
      </c>
      <c r="I5718">
        <v>4600</v>
      </c>
      <c r="J5718" t="s">
        <v>278</v>
      </c>
      <c r="K5718">
        <v>18</v>
      </c>
      <c r="L5718">
        <v>3.66</v>
      </c>
      <c r="M5718">
        <v>17523</v>
      </c>
      <c r="N5718" t="s">
        <v>138</v>
      </c>
      <c r="O5718">
        <v>250127</v>
      </c>
      <c r="P5718">
        <v>14.34</v>
      </c>
    </row>
    <row r="5719" spans="1:16" x14ac:dyDescent="0.25">
      <c r="A5719" t="s">
        <v>3296</v>
      </c>
      <c r="B5719" t="s">
        <v>2931</v>
      </c>
      <c r="C5719">
        <v>2358</v>
      </c>
      <c r="D5719" t="str">
        <f>"03 / 2732249"</f>
        <v>03 / 2732249</v>
      </c>
      <c r="E5719" t="s">
        <v>577</v>
      </c>
      <c r="F5719" t="s">
        <v>578</v>
      </c>
      <c r="G5719">
        <v>237.8</v>
      </c>
      <c r="H5719">
        <v>250215</v>
      </c>
      <c r="I5719">
        <v>4600</v>
      </c>
      <c r="J5719" t="s">
        <v>278</v>
      </c>
      <c r="K5719">
        <v>237.8</v>
      </c>
      <c r="L5719">
        <v>48.32</v>
      </c>
      <c r="M5719">
        <v>17522</v>
      </c>
      <c r="N5719" t="s">
        <v>137</v>
      </c>
      <c r="O5719">
        <v>250224</v>
      </c>
      <c r="P5719">
        <v>189.48</v>
      </c>
    </row>
    <row r="5720" spans="1:16" x14ac:dyDescent="0.25">
      <c r="A5720" t="s">
        <v>3296</v>
      </c>
      <c r="B5720" t="s">
        <v>2931</v>
      </c>
      <c r="C5720">
        <v>2398</v>
      </c>
      <c r="D5720" t="str">
        <f>"95 / 2732241"</f>
        <v>95 / 2732241</v>
      </c>
      <c r="E5720" t="s">
        <v>577</v>
      </c>
      <c r="F5720" t="s">
        <v>578</v>
      </c>
      <c r="G5720">
        <v>26.5</v>
      </c>
      <c r="H5720">
        <v>250215</v>
      </c>
      <c r="I5720">
        <v>4600</v>
      </c>
      <c r="J5720" t="s">
        <v>278</v>
      </c>
      <c r="K5720">
        <v>26.5</v>
      </c>
      <c r="L5720">
        <v>5.38</v>
      </c>
      <c r="M5720">
        <v>17526</v>
      </c>
      <c r="N5720" t="s">
        <v>141</v>
      </c>
      <c r="O5720">
        <v>250225</v>
      </c>
      <c r="P5720">
        <v>21.12</v>
      </c>
    </row>
    <row r="5721" spans="1:16" x14ac:dyDescent="0.25">
      <c r="A5721" t="s">
        <v>3296</v>
      </c>
      <c r="B5721" t="s">
        <v>2931</v>
      </c>
      <c r="C5721">
        <v>2406</v>
      </c>
      <c r="D5721" t="str">
        <f>"31 / 2734360"</f>
        <v>31 / 2734360</v>
      </c>
      <c r="E5721" t="s">
        <v>577</v>
      </c>
      <c r="F5721" t="s">
        <v>578</v>
      </c>
      <c r="G5721">
        <v>43.4</v>
      </c>
      <c r="H5721">
        <v>250218</v>
      </c>
      <c r="I5721">
        <v>4600</v>
      </c>
      <c r="J5721" t="s">
        <v>278</v>
      </c>
      <c r="K5721">
        <v>43.4</v>
      </c>
      <c r="L5721">
        <v>8.82</v>
      </c>
      <c r="M5721">
        <v>17526</v>
      </c>
      <c r="N5721" t="s">
        <v>141</v>
      </c>
      <c r="O5721">
        <v>250225</v>
      </c>
      <c r="P5721">
        <v>34.58</v>
      </c>
    </row>
    <row r="5722" spans="1:16" x14ac:dyDescent="0.25">
      <c r="A5722" t="s">
        <v>3296</v>
      </c>
      <c r="B5722" t="s">
        <v>2931</v>
      </c>
      <c r="C5722">
        <v>2667</v>
      </c>
      <c r="D5722" t="str">
        <f>"37 / 2734366"</f>
        <v>37 / 2734366</v>
      </c>
      <c r="E5722" t="s">
        <v>577</v>
      </c>
      <c r="F5722" t="s">
        <v>578</v>
      </c>
      <c r="G5722">
        <v>204.7</v>
      </c>
      <c r="H5722">
        <v>250218</v>
      </c>
      <c r="I5722">
        <v>4600</v>
      </c>
      <c r="J5722" t="s">
        <v>278</v>
      </c>
      <c r="K5722">
        <v>204.7</v>
      </c>
      <c r="L5722">
        <v>41.59</v>
      </c>
      <c r="M5722">
        <v>17522</v>
      </c>
      <c r="N5722" t="s">
        <v>137</v>
      </c>
      <c r="O5722">
        <v>250310</v>
      </c>
      <c r="P5722">
        <v>163.11000000000001</v>
      </c>
    </row>
    <row r="5723" spans="1:16" x14ac:dyDescent="0.25">
      <c r="A5723" t="s">
        <v>3296</v>
      </c>
      <c r="B5723" t="s">
        <v>2931</v>
      </c>
      <c r="C5723">
        <v>2707</v>
      </c>
      <c r="D5723" t="str">
        <f>"32 / 2734361"</f>
        <v>32 / 2734361</v>
      </c>
      <c r="E5723" t="s">
        <v>577</v>
      </c>
      <c r="F5723" t="s">
        <v>578</v>
      </c>
      <c r="G5723">
        <v>38.229999999999997</v>
      </c>
      <c r="H5723">
        <v>250218</v>
      </c>
      <c r="I5723">
        <v>4600</v>
      </c>
      <c r="J5723" t="s">
        <v>278</v>
      </c>
      <c r="K5723">
        <v>104.65</v>
      </c>
      <c r="L5723">
        <v>7.77</v>
      </c>
      <c r="M5723">
        <v>17636</v>
      </c>
      <c r="N5723" t="s">
        <v>620</v>
      </c>
      <c r="O5723">
        <v>250311</v>
      </c>
      <c r="P5723">
        <v>30.46</v>
      </c>
    </row>
    <row r="5724" spans="1:16" x14ac:dyDescent="0.25">
      <c r="A5724" t="s">
        <v>3296</v>
      </c>
      <c r="B5724" t="s">
        <v>2931</v>
      </c>
      <c r="C5724">
        <v>3089</v>
      </c>
      <c r="D5724" t="str">
        <f>"84 / 2748888"</f>
        <v>84 / 2748888</v>
      </c>
      <c r="E5724" t="s">
        <v>577</v>
      </c>
      <c r="F5724" t="s">
        <v>578</v>
      </c>
      <c r="G5724">
        <v>2.97</v>
      </c>
      <c r="H5724">
        <v>250228</v>
      </c>
      <c r="I5724">
        <v>4600</v>
      </c>
      <c r="J5724" t="s">
        <v>278</v>
      </c>
      <c r="K5724">
        <v>27</v>
      </c>
      <c r="L5724">
        <v>0.6</v>
      </c>
      <c r="M5724">
        <v>13501</v>
      </c>
      <c r="N5724" t="s">
        <v>66</v>
      </c>
      <c r="O5724">
        <v>250314</v>
      </c>
      <c r="P5724">
        <v>2.37</v>
      </c>
    </row>
    <row r="5725" spans="1:16" x14ac:dyDescent="0.25">
      <c r="A5725" t="s">
        <v>3296</v>
      </c>
      <c r="B5725" t="s">
        <v>2931</v>
      </c>
      <c r="C5725">
        <v>3089</v>
      </c>
      <c r="D5725" t="str">
        <f>"84 / 2748888"</f>
        <v>84 / 2748888</v>
      </c>
      <c r="E5725" t="s">
        <v>577</v>
      </c>
      <c r="F5725" t="s">
        <v>578</v>
      </c>
      <c r="G5725">
        <v>12.01</v>
      </c>
      <c r="H5725">
        <v>250228</v>
      </c>
      <c r="I5725">
        <v>4600</v>
      </c>
      <c r="J5725" t="s">
        <v>278</v>
      </c>
      <c r="K5725">
        <v>27</v>
      </c>
      <c r="L5725">
        <v>2.44</v>
      </c>
      <c r="M5725">
        <v>16121</v>
      </c>
      <c r="N5725" t="s">
        <v>127</v>
      </c>
      <c r="O5725">
        <v>250314</v>
      </c>
      <c r="P5725">
        <v>9.57</v>
      </c>
    </row>
    <row r="5726" spans="1:16" x14ac:dyDescent="0.25">
      <c r="A5726" t="s">
        <v>3296</v>
      </c>
      <c r="B5726" t="s">
        <v>2931</v>
      </c>
      <c r="C5726">
        <v>3089</v>
      </c>
      <c r="D5726" t="str">
        <f>"84 / 2748888"</f>
        <v>84 / 2748888</v>
      </c>
      <c r="E5726" t="s">
        <v>577</v>
      </c>
      <c r="F5726" t="s">
        <v>578</v>
      </c>
      <c r="G5726">
        <v>12.02</v>
      </c>
      <c r="H5726">
        <v>250228</v>
      </c>
      <c r="I5726">
        <v>4600</v>
      </c>
      <c r="J5726" t="s">
        <v>278</v>
      </c>
      <c r="K5726">
        <v>27</v>
      </c>
      <c r="L5726">
        <v>2.44</v>
      </c>
      <c r="M5726">
        <v>17538</v>
      </c>
      <c r="N5726" t="s">
        <v>129</v>
      </c>
      <c r="O5726">
        <v>250314</v>
      </c>
      <c r="P5726">
        <v>9.58</v>
      </c>
    </row>
    <row r="5727" spans="1:16" x14ac:dyDescent="0.25">
      <c r="A5727" t="s">
        <v>3296</v>
      </c>
      <c r="B5727" t="s">
        <v>2931</v>
      </c>
      <c r="C5727">
        <v>3345</v>
      </c>
      <c r="D5727" t="str">
        <f>"86 / 2748890"</f>
        <v>86 / 2748890</v>
      </c>
      <c r="E5727" t="s">
        <v>577</v>
      </c>
      <c r="F5727" t="s">
        <v>578</v>
      </c>
      <c r="G5727">
        <v>28.4</v>
      </c>
      <c r="H5727">
        <v>250228</v>
      </c>
      <c r="I5727">
        <v>4600</v>
      </c>
      <c r="J5727" t="s">
        <v>278</v>
      </c>
      <c r="K5727">
        <v>28.4</v>
      </c>
      <c r="L5727">
        <v>5.77</v>
      </c>
      <c r="M5727">
        <v>17524</v>
      </c>
      <c r="N5727" t="s">
        <v>139</v>
      </c>
      <c r="O5727">
        <v>250318</v>
      </c>
      <c r="P5727">
        <v>22.63</v>
      </c>
    </row>
    <row r="5728" spans="1:16" x14ac:dyDescent="0.25">
      <c r="A5728" t="s">
        <v>3296</v>
      </c>
      <c r="B5728" t="s">
        <v>2931</v>
      </c>
      <c r="C5728">
        <v>5050</v>
      </c>
      <c r="D5728" t="str">
        <f>"02 / 2776567"</f>
        <v>02 / 2776567</v>
      </c>
      <c r="E5728" t="s">
        <v>577</v>
      </c>
      <c r="F5728" t="s">
        <v>578</v>
      </c>
      <c r="G5728">
        <v>66.400000000000006</v>
      </c>
      <c r="H5728">
        <v>250331</v>
      </c>
      <c r="I5728">
        <v>4600</v>
      </c>
      <c r="J5728" t="s">
        <v>278</v>
      </c>
      <c r="K5728">
        <v>66.400000000000006</v>
      </c>
      <c r="L5728">
        <v>13.49</v>
      </c>
      <c r="M5728">
        <v>17524</v>
      </c>
      <c r="N5728" t="s">
        <v>139</v>
      </c>
      <c r="O5728">
        <v>250416</v>
      </c>
      <c r="P5728">
        <v>52.91</v>
      </c>
    </row>
    <row r="5729" spans="1:16" x14ac:dyDescent="0.25">
      <c r="A5729" t="s">
        <v>3296</v>
      </c>
      <c r="B5729" t="s">
        <v>2931</v>
      </c>
      <c r="C5729">
        <v>5236</v>
      </c>
      <c r="D5729" t="str">
        <f>"00 / 2776565"</f>
        <v>00 / 2776565</v>
      </c>
      <c r="E5729" t="s">
        <v>577</v>
      </c>
      <c r="F5729" t="s">
        <v>578</v>
      </c>
      <c r="G5729">
        <v>42.99</v>
      </c>
      <c r="H5729">
        <v>250331</v>
      </c>
      <c r="I5729">
        <v>4600</v>
      </c>
      <c r="J5729" t="s">
        <v>278</v>
      </c>
      <c r="K5729">
        <v>42.99</v>
      </c>
      <c r="L5729">
        <v>8.74</v>
      </c>
      <c r="M5729">
        <v>17526</v>
      </c>
      <c r="N5729" t="s">
        <v>141</v>
      </c>
      <c r="O5729">
        <v>250422</v>
      </c>
      <c r="P5729">
        <v>34.25</v>
      </c>
    </row>
    <row r="5730" spans="1:16" x14ac:dyDescent="0.25">
      <c r="A5730" t="s">
        <v>3296</v>
      </c>
      <c r="B5730" t="s">
        <v>2931</v>
      </c>
      <c r="C5730">
        <v>5710</v>
      </c>
      <c r="D5730" t="str">
        <f>"14 / 2776579"</f>
        <v>14 / 2776579</v>
      </c>
      <c r="E5730" t="s">
        <v>577</v>
      </c>
      <c r="F5730" t="s">
        <v>578</v>
      </c>
      <c r="G5730">
        <v>31.4</v>
      </c>
      <c r="H5730">
        <v>250401</v>
      </c>
      <c r="I5730">
        <v>4600</v>
      </c>
      <c r="J5730" t="s">
        <v>278</v>
      </c>
      <c r="K5730">
        <v>31.4</v>
      </c>
      <c r="L5730">
        <v>6.38</v>
      </c>
      <c r="M5730">
        <v>17522</v>
      </c>
      <c r="N5730" t="s">
        <v>137</v>
      </c>
      <c r="O5730">
        <v>250429</v>
      </c>
      <c r="P5730">
        <v>25.02</v>
      </c>
    </row>
    <row r="5731" spans="1:16" x14ac:dyDescent="0.25">
      <c r="A5731" t="s">
        <v>3296</v>
      </c>
      <c r="B5731" t="s">
        <v>2931</v>
      </c>
      <c r="C5731">
        <v>5830</v>
      </c>
      <c r="D5731" t="str">
        <f>"19 / 2790657"</f>
        <v>19 / 2790657</v>
      </c>
      <c r="E5731" t="s">
        <v>577</v>
      </c>
      <c r="F5731" t="s">
        <v>578</v>
      </c>
      <c r="G5731">
        <v>283.75</v>
      </c>
      <c r="H5731">
        <v>250422</v>
      </c>
      <c r="I5731">
        <v>4600</v>
      </c>
      <c r="J5731" t="s">
        <v>278</v>
      </c>
      <c r="K5731">
        <v>283.75</v>
      </c>
      <c r="L5731">
        <v>57.65</v>
      </c>
      <c r="M5731">
        <v>17526</v>
      </c>
      <c r="N5731" t="s">
        <v>141</v>
      </c>
      <c r="O5731">
        <v>250505</v>
      </c>
      <c r="P5731">
        <v>226.1</v>
      </c>
    </row>
    <row r="5732" spans="1:16" x14ac:dyDescent="0.25">
      <c r="A5732" t="s">
        <v>3296</v>
      </c>
      <c r="B5732" t="s">
        <v>2931</v>
      </c>
      <c r="C5732">
        <v>5844</v>
      </c>
      <c r="D5732" t="str">
        <f>"20 / 2790658"</f>
        <v>20 / 2790658</v>
      </c>
      <c r="E5732" t="s">
        <v>577</v>
      </c>
      <c r="F5732" t="s">
        <v>578</v>
      </c>
      <c r="G5732">
        <v>63.8</v>
      </c>
      <c r="H5732">
        <v>250422</v>
      </c>
      <c r="I5732">
        <v>4600</v>
      </c>
      <c r="J5732" t="s">
        <v>278</v>
      </c>
      <c r="K5732">
        <v>63.8</v>
      </c>
      <c r="L5732">
        <v>12.96</v>
      </c>
      <c r="M5732">
        <v>17527</v>
      </c>
      <c r="N5732" t="s">
        <v>142</v>
      </c>
      <c r="O5732">
        <v>250505</v>
      </c>
      <c r="P5732">
        <v>50.84</v>
      </c>
    </row>
    <row r="5733" spans="1:16" x14ac:dyDescent="0.25">
      <c r="A5733" t="s">
        <v>3296</v>
      </c>
      <c r="B5733" t="s">
        <v>2931</v>
      </c>
      <c r="C5733">
        <v>6289</v>
      </c>
      <c r="D5733" t="str">
        <f>"20 / 2795236"</f>
        <v>20 / 2795236</v>
      </c>
      <c r="E5733" t="s">
        <v>577</v>
      </c>
      <c r="F5733" t="s">
        <v>578</v>
      </c>
      <c r="G5733">
        <v>37.4</v>
      </c>
      <c r="H5733">
        <v>250429</v>
      </c>
      <c r="I5733">
        <v>4600</v>
      </c>
      <c r="J5733" t="s">
        <v>278</v>
      </c>
      <c r="K5733">
        <v>37.4</v>
      </c>
      <c r="L5733">
        <v>7.6</v>
      </c>
      <c r="M5733">
        <v>17525</v>
      </c>
      <c r="N5733" t="s">
        <v>140</v>
      </c>
      <c r="O5733">
        <v>250512</v>
      </c>
      <c r="P5733">
        <v>29.8</v>
      </c>
    </row>
    <row r="5734" spans="1:16" x14ac:dyDescent="0.25">
      <c r="A5734" t="s">
        <v>3296</v>
      </c>
      <c r="B5734" t="s">
        <v>2931</v>
      </c>
      <c r="C5734">
        <v>7104</v>
      </c>
      <c r="D5734" t="str">
        <f>"32 / 2810958"</f>
        <v>32 / 2810958</v>
      </c>
      <c r="E5734" t="s">
        <v>577</v>
      </c>
      <c r="F5734" t="s">
        <v>578</v>
      </c>
      <c r="G5734">
        <v>36.17</v>
      </c>
      <c r="H5734">
        <v>250514</v>
      </c>
      <c r="I5734">
        <v>4600</v>
      </c>
      <c r="J5734" t="s">
        <v>278</v>
      </c>
      <c r="K5734">
        <v>36.17</v>
      </c>
      <c r="L5734">
        <v>7.35</v>
      </c>
      <c r="M5734">
        <v>17527</v>
      </c>
      <c r="N5734" t="s">
        <v>142</v>
      </c>
      <c r="O5734">
        <v>250522</v>
      </c>
      <c r="P5734">
        <v>28.82</v>
      </c>
    </row>
    <row r="5735" spans="1:16" x14ac:dyDescent="0.25">
      <c r="A5735" t="s">
        <v>3296</v>
      </c>
      <c r="B5735" t="s">
        <v>2931</v>
      </c>
      <c r="C5735">
        <v>7105</v>
      </c>
      <c r="D5735" t="str">
        <f>"34 / 2810960"</f>
        <v>34 / 2810960</v>
      </c>
      <c r="E5735" t="s">
        <v>577</v>
      </c>
      <c r="F5735" t="s">
        <v>578</v>
      </c>
      <c r="G5735">
        <v>27.9</v>
      </c>
      <c r="H5735">
        <v>250514</v>
      </c>
      <c r="I5735">
        <v>4600</v>
      </c>
      <c r="J5735" t="s">
        <v>278</v>
      </c>
      <c r="K5735">
        <v>27.9</v>
      </c>
      <c r="L5735">
        <v>5.67</v>
      </c>
      <c r="M5735">
        <v>17525</v>
      </c>
      <c r="N5735" t="s">
        <v>140</v>
      </c>
      <c r="O5735">
        <v>250522</v>
      </c>
      <c r="P5735">
        <v>22.23</v>
      </c>
    </row>
    <row r="5736" spans="1:16" x14ac:dyDescent="0.25">
      <c r="A5736" t="s">
        <v>3296</v>
      </c>
      <c r="B5736" t="s">
        <v>2931</v>
      </c>
      <c r="C5736">
        <v>7110</v>
      </c>
      <c r="D5736" t="str">
        <f>"31 / 2810957"</f>
        <v>31 / 2810957</v>
      </c>
      <c r="E5736" t="s">
        <v>577</v>
      </c>
      <c r="F5736" t="s">
        <v>578</v>
      </c>
      <c r="G5736">
        <v>54.95</v>
      </c>
      <c r="H5736">
        <v>250514</v>
      </c>
      <c r="I5736">
        <v>4600</v>
      </c>
      <c r="J5736" t="s">
        <v>278</v>
      </c>
      <c r="K5736">
        <v>54.95</v>
      </c>
      <c r="L5736">
        <v>11.17</v>
      </c>
      <c r="M5736">
        <v>17532</v>
      </c>
      <c r="N5736" t="s">
        <v>146</v>
      </c>
      <c r="O5736">
        <v>250522</v>
      </c>
      <c r="P5736">
        <v>43.78</v>
      </c>
    </row>
    <row r="5737" spans="1:16" x14ac:dyDescent="0.25">
      <c r="A5737" t="s">
        <v>3296</v>
      </c>
      <c r="B5737" t="s">
        <v>2931</v>
      </c>
      <c r="C5737">
        <v>7322</v>
      </c>
      <c r="D5737" t="str">
        <f>"30 / 2810956"</f>
        <v>30 / 2810956</v>
      </c>
      <c r="E5737" t="s">
        <v>577</v>
      </c>
      <c r="F5737" t="s">
        <v>578</v>
      </c>
      <c r="G5737">
        <v>120.5</v>
      </c>
      <c r="H5737">
        <v>250514</v>
      </c>
      <c r="I5737">
        <v>4600</v>
      </c>
      <c r="J5737" t="s">
        <v>278</v>
      </c>
      <c r="K5737">
        <v>120.5</v>
      </c>
      <c r="L5737">
        <v>24.48</v>
      </c>
      <c r="M5737">
        <v>17526</v>
      </c>
      <c r="N5737" t="s">
        <v>141</v>
      </c>
      <c r="O5737">
        <v>250603</v>
      </c>
      <c r="P5737">
        <v>96.02</v>
      </c>
    </row>
    <row r="5738" spans="1:16" x14ac:dyDescent="0.25">
      <c r="A5738" t="s">
        <v>3296</v>
      </c>
      <c r="B5738" t="s">
        <v>2931</v>
      </c>
      <c r="C5738">
        <v>8461</v>
      </c>
      <c r="D5738" t="str">
        <f>"84 / 2827189"</f>
        <v>84 / 2827189</v>
      </c>
      <c r="E5738" t="s">
        <v>577</v>
      </c>
      <c r="F5738" t="s">
        <v>578</v>
      </c>
      <c r="G5738">
        <v>115.2</v>
      </c>
      <c r="H5738">
        <v>250531</v>
      </c>
      <c r="I5738">
        <v>4600</v>
      </c>
      <c r="J5738" t="s">
        <v>278</v>
      </c>
      <c r="K5738">
        <v>115.2</v>
      </c>
      <c r="L5738">
        <v>23.41</v>
      </c>
      <c r="M5738">
        <v>17633</v>
      </c>
      <c r="N5738" t="s">
        <v>628</v>
      </c>
      <c r="O5738">
        <v>250613</v>
      </c>
      <c r="P5738">
        <v>91.79</v>
      </c>
    </row>
    <row r="5739" spans="1:16" x14ac:dyDescent="0.25">
      <c r="A5739" t="s">
        <v>3296</v>
      </c>
      <c r="B5739" t="s">
        <v>2931</v>
      </c>
      <c r="C5739">
        <v>8464</v>
      </c>
      <c r="D5739" t="str">
        <f>"74 / 2827179"</f>
        <v>74 / 2827179</v>
      </c>
      <c r="E5739" t="s">
        <v>577</v>
      </c>
      <c r="F5739" t="s">
        <v>578</v>
      </c>
      <c r="G5739">
        <v>53.2</v>
      </c>
      <c r="H5739">
        <v>250528</v>
      </c>
      <c r="I5739">
        <v>4600</v>
      </c>
      <c r="J5739" t="s">
        <v>278</v>
      </c>
      <c r="K5739">
        <v>53.2</v>
      </c>
      <c r="L5739">
        <v>10.81</v>
      </c>
      <c r="M5739">
        <v>17526</v>
      </c>
      <c r="N5739" t="s">
        <v>141</v>
      </c>
      <c r="O5739">
        <v>250613</v>
      </c>
      <c r="P5739">
        <v>42.39</v>
      </c>
    </row>
    <row r="5740" spans="1:16" x14ac:dyDescent="0.25">
      <c r="A5740" t="s">
        <v>3296</v>
      </c>
      <c r="B5740" t="s">
        <v>2931</v>
      </c>
      <c r="C5740">
        <v>8527</v>
      </c>
      <c r="D5740" t="str">
        <f>"75 / 2827180"</f>
        <v>75 / 2827180</v>
      </c>
      <c r="E5740" t="s">
        <v>577</v>
      </c>
      <c r="F5740" t="s">
        <v>578</v>
      </c>
      <c r="G5740">
        <v>75.400000000000006</v>
      </c>
      <c r="H5740">
        <v>250602</v>
      </c>
      <c r="I5740">
        <v>4600</v>
      </c>
      <c r="J5740" t="s">
        <v>278</v>
      </c>
      <c r="K5740">
        <v>75.400000000000006</v>
      </c>
      <c r="L5740">
        <v>15.32</v>
      </c>
      <c r="M5740">
        <v>17527</v>
      </c>
      <c r="N5740" t="s">
        <v>142</v>
      </c>
      <c r="O5740">
        <v>250617</v>
      </c>
      <c r="P5740">
        <v>60.08</v>
      </c>
    </row>
    <row r="5741" spans="1:16" x14ac:dyDescent="0.25">
      <c r="A5741" t="s">
        <v>3296</v>
      </c>
      <c r="B5741" t="s">
        <v>2931</v>
      </c>
      <c r="C5741">
        <v>8544</v>
      </c>
      <c r="D5741" t="str">
        <f>"73 / 2827178"</f>
        <v>73 / 2827178</v>
      </c>
      <c r="E5741" t="s">
        <v>577</v>
      </c>
      <c r="F5741" t="s">
        <v>578</v>
      </c>
      <c r="G5741">
        <v>261.76</v>
      </c>
      <c r="H5741">
        <v>250531</v>
      </c>
      <c r="I5741">
        <v>4600</v>
      </c>
      <c r="J5741" t="s">
        <v>278</v>
      </c>
      <c r="K5741">
        <v>261.76</v>
      </c>
      <c r="L5741">
        <v>53.19</v>
      </c>
      <c r="M5741">
        <v>17521</v>
      </c>
      <c r="N5741" t="s">
        <v>136</v>
      </c>
      <c r="O5741">
        <v>250617</v>
      </c>
      <c r="P5741">
        <v>208.57</v>
      </c>
    </row>
    <row r="5742" spans="1:16" x14ac:dyDescent="0.25">
      <c r="A5742" t="s">
        <v>3296</v>
      </c>
      <c r="B5742" t="s">
        <v>2931</v>
      </c>
      <c r="C5742">
        <v>8698</v>
      </c>
      <c r="D5742" t="str">
        <f>"76 / 2827181"</f>
        <v>76 / 2827181</v>
      </c>
      <c r="E5742" t="s">
        <v>577</v>
      </c>
      <c r="F5742" t="s">
        <v>578</v>
      </c>
      <c r="G5742">
        <v>52.3</v>
      </c>
      <c r="H5742">
        <v>250530</v>
      </c>
      <c r="I5742">
        <v>4600</v>
      </c>
      <c r="J5742" t="s">
        <v>278</v>
      </c>
      <c r="K5742">
        <v>52.3</v>
      </c>
      <c r="L5742">
        <v>10.63</v>
      </c>
      <c r="M5742">
        <v>17525</v>
      </c>
      <c r="N5742" t="s">
        <v>140</v>
      </c>
      <c r="O5742">
        <v>250617</v>
      </c>
      <c r="P5742">
        <v>41.67</v>
      </c>
    </row>
    <row r="5743" spans="1:16" x14ac:dyDescent="0.25">
      <c r="A5743" t="s">
        <v>3296</v>
      </c>
      <c r="B5743" t="s">
        <v>2931</v>
      </c>
      <c r="C5743">
        <v>9193</v>
      </c>
      <c r="D5743" t="str">
        <f>"43 / 2840551"</f>
        <v>43 / 2840551</v>
      </c>
      <c r="E5743" t="s">
        <v>577</v>
      </c>
      <c r="F5743" t="s">
        <v>578</v>
      </c>
      <c r="G5743">
        <v>7.4</v>
      </c>
      <c r="H5743">
        <v>250617</v>
      </c>
      <c r="I5743">
        <v>4600</v>
      </c>
      <c r="J5743" t="s">
        <v>278</v>
      </c>
      <c r="K5743">
        <v>7.4</v>
      </c>
      <c r="L5743">
        <v>1.5</v>
      </c>
      <c r="M5743">
        <v>17527</v>
      </c>
      <c r="N5743" t="s">
        <v>142</v>
      </c>
      <c r="O5743">
        <v>250627</v>
      </c>
      <c r="P5743">
        <v>5.9</v>
      </c>
    </row>
    <row r="5744" spans="1:16" x14ac:dyDescent="0.25">
      <c r="A5744" t="s">
        <v>3296</v>
      </c>
      <c r="B5744" t="s">
        <v>2931</v>
      </c>
      <c r="C5744">
        <v>9798</v>
      </c>
      <c r="D5744" t="str">
        <f>"33 / 2865232"</f>
        <v>33 / 2865232</v>
      </c>
      <c r="E5744" t="s">
        <v>577</v>
      </c>
      <c r="F5744" t="s">
        <v>578</v>
      </c>
      <c r="G5744">
        <v>80.2</v>
      </c>
      <c r="H5744">
        <v>250715</v>
      </c>
      <c r="I5744">
        <v>4600</v>
      </c>
      <c r="J5744" t="s">
        <v>278</v>
      </c>
      <c r="K5744">
        <v>80.2</v>
      </c>
      <c r="L5744">
        <v>16.3</v>
      </c>
      <c r="M5744">
        <v>17737</v>
      </c>
      <c r="N5744" t="s">
        <v>156</v>
      </c>
      <c r="O5744">
        <v>250729</v>
      </c>
      <c r="P5744">
        <v>63.9</v>
      </c>
    </row>
    <row r="5745" spans="1:16" x14ac:dyDescent="0.25">
      <c r="A5745" t="s">
        <v>3296</v>
      </c>
      <c r="B5745" t="s">
        <v>2931</v>
      </c>
      <c r="C5745">
        <v>10783</v>
      </c>
      <c r="D5745" t="str">
        <f>"64 / 2890121"</f>
        <v>64 / 2890121</v>
      </c>
      <c r="E5745" t="s">
        <v>577</v>
      </c>
      <c r="F5745" t="s">
        <v>578</v>
      </c>
      <c r="G5745">
        <v>11.4</v>
      </c>
      <c r="H5745">
        <v>250814</v>
      </c>
      <c r="I5745">
        <v>4600</v>
      </c>
      <c r="J5745" t="s">
        <v>278</v>
      </c>
      <c r="K5745">
        <v>11.4</v>
      </c>
      <c r="L5745">
        <v>2.3199999999999998</v>
      </c>
      <c r="M5745">
        <v>17523</v>
      </c>
      <c r="N5745" t="s">
        <v>138</v>
      </c>
      <c r="O5745">
        <v>250822</v>
      </c>
      <c r="P5745">
        <v>9.08</v>
      </c>
    </row>
    <row r="5746" spans="1:16" x14ac:dyDescent="0.25">
      <c r="A5746" t="s">
        <v>3296</v>
      </c>
      <c r="B5746" t="s">
        <v>2931</v>
      </c>
      <c r="C5746">
        <v>12353</v>
      </c>
      <c r="D5746" t="str">
        <f>"10 / 2919528"</f>
        <v>10 / 2919528</v>
      </c>
      <c r="E5746" t="s">
        <v>577</v>
      </c>
      <c r="F5746" t="s">
        <v>578</v>
      </c>
      <c r="G5746">
        <v>176.29</v>
      </c>
      <c r="H5746">
        <v>250917</v>
      </c>
      <c r="I5746">
        <v>4600</v>
      </c>
      <c r="J5746" t="s">
        <v>278</v>
      </c>
      <c r="K5746">
        <v>229.5</v>
      </c>
      <c r="L5746">
        <v>35.82</v>
      </c>
      <c r="M5746">
        <v>17522</v>
      </c>
      <c r="N5746" t="s">
        <v>137</v>
      </c>
      <c r="O5746">
        <v>250919</v>
      </c>
      <c r="P5746">
        <v>140.47</v>
      </c>
    </row>
    <row r="5747" spans="1:16" x14ac:dyDescent="0.25">
      <c r="A5747" t="s">
        <v>3296</v>
      </c>
      <c r="B5747" t="s">
        <v>2931</v>
      </c>
      <c r="C5747">
        <v>12353</v>
      </c>
      <c r="D5747" t="str">
        <f>"10 / 2919528"</f>
        <v>10 / 2919528</v>
      </c>
      <c r="E5747" t="s">
        <v>577</v>
      </c>
      <c r="F5747" t="s">
        <v>578</v>
      </c>
      <c r="G5747">
        <v>53.21</v>
      </c>
      <c r="H5747">
        <v>250917</v>
      </c>
      <c r="I5747">
        <v>4600</v>
      </c>
      <c r="J5747" t="s">
        <v>278</v>
      </c>
      <c r="K5747">
        <v>229.5</v>
      </c>
      <c r="L5747">
        <v>10.3</v>
      </c>
      <c r="M5747">
        <v>17633</v>
      </c>
      <c r="N5747" t="s">
        <v>628</v>
      </c>
      <c r="O5747">
        <v>250919</v>
      </c>
      <c r="P5747">
        <v>42.91</v>
      </c>
    </row>
    <row r="5748" spans="1:16" x14ac:dyDescent="0.25">
      <c r="A5748" t="s">
        <v>3296</v>
      </c>
      <c r="B5748" t="s">
        <v>2931</v>
      </c>
      <c r="C5748">
        <v>12415</v>
      </c>
      <c r="D5748" t="str">
        <f>"98 / 2919516"</f>
        <v>98 / 2919516</v>
      </c>
      <c r="E5748" t="s">
        <v>577</v>
      </c>
      <c r="F5748" t="s">
        <v>578</v>
      </c>
      <c r="G5748">
        <v>209.49</v>
      </c>
      <c r="H5748">
        <v>250917</v>
      </c>
      <c r="I5748">
        <v>4600</v>
      </c>
      <c r="J5748" t="s">
        <v>278</v>
      </c>
      <c r="K5748">
        <v>209.49</v>
      </c>
      <c r="L5748">
        <v>42.57</v>
      </c>
      <c r="M5748">
        <v>17526</v>
      </c>
      <c r="N5748" t="s">
        <v>141</v>
      </c>
      <c r="O5748">
        <v>250919</v>
      </c>
      <c r="P5748">
        <v>166.92</v>
      </c>
    </row>
    <row r="5749" spans="1:16" x14ac:dyDescent="0.25">
      <c r="A5749" t="s">
        <v>3296</v>
      </c>
      <c r="B5749" t="s">
        <v>2931</v>
      </c>
      <c r="C5749">
        <v>13147</v>
      </c>
      <c r="D5749" t="str">
        <f>"23 / 2927622"</f>
        <v>23 / 2927622</v>
      </c>
      <c r="E5749" t="s">
        <v>577</v>
      </c>
      <c r="F5749" t="s">
        <v>578</v>
      </c>
      <c r="G5749">
        <v>71.98</v>
      </c>
      <c r="H5749">
        <v>250930</v>
      </c>
      <c r="I5749">
        <v>4600</v>
      </c>
      <c r="J5749" t="s">
        <v>278</v>
      </c>
      <c r="K5749">
        <v>71.98</v>
      </c>
      <c r="L5749">
        <v>14.63</v>
      </c>
      <c r="M5749">
        <v>17633</v>
      </c>
      <c r="N5749" t="s">
        <v>628</v>
      </c>
      <c r="O5749">
        <v>251006</v>
      </c>
      <c r="P5749">
        <v>57.35</v>
      </c>
    </row>
    <row r="5750" spans="1:16" x14ac:dyDescent="0.25">
      <c r="A5750" t="s">
        <v>3296</v>
      </c>
      <c r="B5750" t="s">
        <v>2931</v>
      </c>
      <c r="C5750">
        <v>13398</v>
      </c>
      <c r="D5750" t="str">
        <f>"16 / 2927615"</f>
        <v>16 / 2927615</v>
      </c>
      <c r="E5750" t="s">
        <v>577</v>
      </c>
      <c r="F5750" t="s">
        <v>578</v>
      </c>
      <c r="G5750">
        <v>738</v>
      </c>
      <c r="H5750">
        <v>250930</v>
      </c>
      <c r="I5750">
        <v>4600</v>
      </c>
      <c r="J5750" t="s">
        <v>278</v>
      </c>
      <c r="K5750">
        <v>738</v>
      </c>
      <c r="L5750">
        <v>149.94999999999999</v>
      </c>
      <c r="M5750">
        <v>17527</v>
      </c>
      <c r="N5750" t="s">
        <v>142</v>
      </c>
      <c r="O5750">
        <v>251008</v>
      </c>
      <c r="P5750">
        <v>588.04999999999995</v>
      </c>
    </row>
    <row r="5751" spans="1:16" x14ac:dyDescent="0.25">
      <c r="A5751" t="s">
        <v>3296</v>
      </c>
      <c r="B5751" t="s">
        <v>2931</v>
      </c>
      <c r="C5751">
        <v>13632</v>
      </c>
      <c r="D5751" t="str">
        <f>"15 / 2927614"</f>
        <v>15 / 2927614</v>
      </c>
      <c r="E5751" t="s">
        <v>577</v>
      </c>
      <c r="F5751" t="s">
        <v>578</v>
      </c>
      <c r="G5751">
        <v>133.94999999999999</v>
      </c>
      <c r="H5751">
        <v>250930</v>
      </c>
      <c r="I5751">
        <v>4600</v>
      </c>
      <c r="J5751" t="s">
        <v>278</v>
      </c>
      <c r="K5751">
        <v>133.94999999999999</v>
      </c>
      <c r="L5751">
        <v>27.22</v>
      </c>
      <c r="M5751">
        <v>17526</v>
      </c>
      <c r="N5751" t="s">
        <v>141</v>
      </c>
      <c r="O5751">
        <v>251013</v>
      </c>
      <c r="P5751">
        <v>106.73</v>
      </c>
    </row>
    <row r="5752" spans="1:16" x14ac:dyDescent="0.25">
      <c r="A5752" t="s">
        <v>3296</v>
      </c>
      <c r="B5752" t="s">
        <v>2931</v>
      </c>
      <c r="C5752">
        <v>13978</v>
      </c>
      <c r="D5752" t="str">
        <f>"12 / 2940440"</f>
        <v>12 / 2940440</v>
      </c>
      <c r="E5752" t="s">
        <v>577</v>
      </c>
      <c r="F5752" t="s">
        <v>578</v>
      </c>
      <c r="G5752">
        <v>26.3</v>
      </c>
      <c r="H5752">
        <v>251011</v>
      </c>
      <c r="I5752">
        <v>4600</v>
      </c>
      <c r="J5752" t="s">
        <v>278</v>
      </c>
      <c r="K5752">
        <v>26.3</v>
      </c>
      <c r="L5752">
        <v>5.34</v>
      </c>
      <c r="M5752">
        <v>17526</v>
      </c>
      <c r="N5752" t="s">
        <v>141</v>
      </c>
      <c r="O5752">
        <v>251021</v>
      </c>
      <c r="P5752">
        <v>20.96</v>
      </c>
    </row>
    <row r="5753" spans="1:16" x14ac:dyDescent="0.25">
      <c r="A5753" t="s">
        <v>3296</v>
      </c>
      <c r="B5753" t="s">
        <v>2931</v>
      </c>
      <c r="C5753">
        <v>13979</v>
      </c>
      <c r="D5753" t="str">
        <f>"11 / 2940439"</f>
        <v>11 / 2940439</v>
      </c>
      <c r="E5753" t="s">
        <v>577</v>
      </c>
      <c r="F5753" t="s">
        <v>578</v>
      </c>
      <c r="G5753">
        <v>22.9</v>
      </c>
      <c r="H5753">
        <v>251011</v>
      </c>
      <c r="I5753">
        <v>4600</v>
      </c>
      <c r="J5753" t="s">
        <v>278</v>
      </c>
      <c r="K5753">
        <v>22.9</v>
      </c>
      <c r="L5753">
        <v>4.6500000000000004</v>
      </c>
      <c r="M5753">
        <v>17521</v>
      </c>
      <c r="N5753" t="s">
        <v>136</v>
      </c>
      <c r="O5753">
        <v>251021</v>
      </c>
      <c r="P5753">
        <v>18.25</v>
      </c>
    </row>
    <row r="5754" spans="1:16" x14ac:dyDescent="0.25">
      <c r="A5754" t="s">
        <v>3296</v>
      </c>
      <c r="B5754" t="s">
        <v>2931</v>
      </c>
      <c r="C5754">
        <v>14052</v>
      </c>
      <c r="D5754" t="str">
        <f>"13 / 2940441"</f>
        <v>13 / 2940441</v>
      </c>
      <c r="E5754" t="s">
        <v>577</v>
      </c>
      <c r="F5754" t="s">
        <v>578</v>
      </c>
      <c r="G5754">
        <v>19.3</v>
      </c>
      <c r="H5754">
        <v>251011</v>
      </c>
      <c r="I5754">
        <v>4600</v>
      </c>
      <c r="J5754" t="s">
        <v>278</v>
      </c>
      <c r="K5754">
        <v>19.3</v>
      </c>
      <c r="L5754">
        <v>3.92</v>
      </c>
      <c r="M5754">
        <v>17527</v>
      </c>
      <c r="N5754" t="s">
        <v>142</v>
      </c>
      <c r="O5754">
        <v>251022</v>
      </c>
      <c r="P5754">
        <v>15.38</v>
      </c>
    </row>
    <row r="5755" spans="1:16" x14ac:dyDescent="0.25">
      <c r="A5755" t="s">
        <v>3296</v>
      </c>
      <c r="B5755" t="s">
        <v>2931</v>
      </c>
      <c r="C5755">
        <v>14642</v>
      </c>
      <c r="D5755" t="str">
        <f>"18 / 2952107"</f>
        <v>18 / 2952107</v>
      </c>
      <c r="E5755" t="s">
        <v>577</v>
      </c>
      <c r="F5755" t="s">
        <v>578</v>
      </c>
      <c r="G5755">
        <v>67.900000000000006</v>
      </c>
      <c r="H5755">
        <v>251029</v>
      </c>
      <c r="I5755">
        <v>4600</v>
      </c>
      <c r="J5755" t="s">
        <v>278</v>
      </c>
      <c r="K5755">
        <v>67.900000000000006</v>
      </c>
      <c r="L5755">
        <v>13.8</v>
      </c>
      <c r="M5755">
        <v>17526</v>
      </c>
      <c r="N5755" t="s">
        <v>141</v>
      </c>
      <c r="O5755">
        <v>251105</v>
      </c>
      <c r="P5755">
        <v>54.1</v>
      </c>
    </row>
    <row r="5756" spans="1:16" x14ac:dyDescent="0.25">
      <c r="A5756" t="s">
        <v>3296</v>
      </c>
      <c r="B5756" t="s">
        <v>2931</v>
      </c>
      <c r="C5756">
        <v>14643</v>
      </c>
      <c r="D5756" t="str">
        <f>"20 / 2952109"</f>
        <v>20 / 2952109</v>
      </c>
      <c r="E5756" t="s">
        <v>577</v>
      </c>
      <c r="F5756" t="s">
        <v>578</v>
      </c>
      <c r="G5756">
        <v>23.5</v>
      </c>
      <c r="H5756">
        <v>251029</v>
      </c>
      <c r="I5756">
        <v>4600</v>
      </c>
      <c r="J5756" t="s">
        <v>278</v>
      </c>
      <c r="K5756">
        <v>23.5</v>
      </c>
      <c r="L5756">
        <v>4.7699999999999996</v>
      </c>
      <c r="M5756">
        <v>17523</v>
      </c>
      <c r="N5756" t="s">
        <v>138</v>
      </c>
      <c r="O5756">
        <v>251105</v>
      </c>
      <c r="P5756">
        <v>18.73</v>
      </c>
    </row>
    <row r="5757" spans="1:16" x14ac:dyDescent="0.25">
      <c r="A5757" t="s">
        <v>3296</v>
      </c>
      <c r="B5757" t="s">
        <v>2931</v>
      </c>
      <c r="C5757">
        <v>15322</v>
      </c>
      <c r="D5757" t="str">
        <f>"34 / 2967133"</f>
        <v>34 / 2967133</v>
      </c>
      <c r="E5757" t="s">
        <v>577</v>
      </c>
      <c r="F5757" t="s">
        <v>578</v>
      </c>
      <c r="G5757">
        <v>19.95</v>
      </c>
      <c r="H5757">
        <v>251031</v>
      </c>
      <c r="I5757">
        <v>4600</v>
      </c>
      <c r="J5757" t="s">
        <v>278</v>
      </c>
      <c r="K5757">
        <v>31.15</v>
      </c>
      <c r="L5757">
        <v>4.05</v>
      </c>
      <c r="M5757">
        <v>17525</v>
      </c>
      <c r="N5757" t="s">
        <v>140</v>
      </c>
      <c r="O5757">
        <v>251118</v>
      </c>
      <c r="P5757">
        <v>15.9</v>
      </c>
    </row>
    <row r="5758" spans="1:16" x14ac:dyDescent="0.25">
      <c r="A5758" t="s">
        <v>3296</v>
      </c>
      <c r="B5758" t="s">
        <v>2931</v>
      </c>
      <c r="C5758">
        <v>15534</v>
      </c>
      <c r="D5758" t="str">
        <f>"35 / 2967134"</f>
        <v>35 / 2967134</v>
      </c>
      <c r="E5758" t="s">
        <v>577</v>
      </c>
      <c r="F5758" t="s">
        <v>578</v>
      </c>
      <c r="G5758">
        <v>38.5</v>
      </c>
      <c r="H5758">
        <v>251113</v>
      </c>
      <c r="I5758">
        <v>4600</v>
      </c>
      <c r="J5758" t="s">
        <v>278</v>
      </c>
      <c r="K5758">
        <v>38.5</v>
      </c>
      <c r="L5758">
        <v>7.82</v>
      </c>
      <c r="M5758">
        <v>17523</v>
      </c>
      <c r="N5758" t="s">
        <v>138</v>
      </c>
      <c r="O5758">
        <v>251121</v>
      </c>
      <c r="P5758">
        <v>30.68</v>
      </c>
    </row>
    <row r="5759" spans="1:16" x14ac:dyDescent="0.25">
      <c r="A5759" t="s">
        <v>3296</v>
      </c>
      <c r="B5759" t="s">
        <v>2931</v>
      </c>
      <c r="C5759">
        <v>15714</v>
      </c>
      <c r="D5759" t="str">
        <f>"31 / 2967130"</f>
        <v>31 / 2967130</v>
      </c>
      <c r="E5759" t="s">
        <v>577</v>
      </c>
      <c r="F5759" t="s">
        <v>578</v>
      </c>
      <c r="G5759">
        <v>67.3</v>
      </c>
      <c r="H5759">
        <v>251113</v>
      </c>
      <c r="I5759">
        <v>4600</v>
      </c>
      <c r="J5759" t="s">
        <v>278</v>
      </c>
      <c r="K5759">
        <v>67.3</v>
      </c>
      <c r="L5759">
        <v>13.67</v>
      </c>
      <c r="M5759">
        <v>17638</v>
      </c>
      <c r="N5759" t="s">
        <v>1182</v>
      </c>
      <c r="O5759">
        <v>251125</v>
      </c>
      <c r="P5759">
        <v>53.63</v>
      </c>
    </row>
    <row r="5760" spans="1:16" x14ac:dyDescent="0.25">
      <c r="A5760" t="s">
        <v>3296</v>
      </c>
      <c r="B5760" t="s">
        <v>2931</v>
      </c>
      <c r="C5760">
        <v>15949</v>
      </c>
      <c r="D5760" t="str">
        <f>"39 / 2967138"</f>
        <v>39 / 2967138</v>
      </c>
      <c r="E5760" t="s">
        <v>577</v>
      </c>
      <c r="F5760" t="s">
        <v>578</v>
      </c>
      <c r="G5760">
        <v>119</v>
      </c>
      <c r="H5760">
        <v>251113</v>
      </c>
      <c r="I5760">
        <v>4600</v>
      </c>
      <c r="J5760" t="s">
        <v>278</v>
      </c>
      <c r="K5760">
        <v>133</v>
      </c>
      <c r="L5760">
        <v>24.18</v>
      </c>
      <c r="M5760">
        <v>17633</v>
      </c>
      <c r="N5760" t="s">
        <v>628</v>
      </c>
      <c r="O5760">
        <v>251201</v>
      </c>
      <c r="P5760">
        <v>94.82</v>
      </c>
    </row>
    <row r="5761" spans="1:16" x14ac:dyDescent="0.25">
      <c r="A5761" t="s">
        <v>3296</v>
      </c>
      <c r="B5761" t="s">
        <v>2931</v>
      </c>
      <c r="C5761">
        <v>16242</v>
      </c>
      <c r="D5761" t="str">
        <f>"45 / 2983884"</f>
        <v>45 / 2983884</v>
      </c>
      <c r="E5761" t="s">
        <v>577</v>
      </c>
      <c r="F5761" t="s">
        <v>578</v>
      </c>
      <c r="G5761">
        <v>246.21</v>
      </c>
      <c r="H5761">
        <v>251130</v>
      </c>
      <c r="I5761">
        <v>4600</v>
      </c>
      <c r="J5761" t="s">
        <v>278</v>
      </c>
      <c r="K5761">
        <v>246.21</v>
      </c>
      <c r="L5761">
        <v>50.03</v>
      </c>
      <c r="M5761">
        <v>17522</v>
      </c>
      <c r="N5761" t="s">
        <v>137</v>
      </c>
      <c r="O5761">
        <v>251205</v>
      </c>
      <c r="P5761">
        <v>196.18</v>
      </c>
    </row>
    <row r="5762" spans="1:16" x14ac:dyDescent="0.25">
      <c r="A5762" t="s">
        <v>3296</v>
      </c>
      <c r="B5762" t="s">
        <v>2931</v>
      </c>
      <c r="C5762">
        <v>16315</v>
      </c>
      <c r="D5762" t="str">
        <f>"41 / 2983880"</f>
        <v>41 / 2983880</v>
      </c>
      <c r="E5762" t="s">
        <v>577</v>
      </c>
      <c r="F5762" t="s">
        <v>578</v>
      </c>
      <c r="G5762">
        <v>22.7</v>
      </c>
      <c r="H5762">
        <v>251130</v>
      </c>
      <c r="I5762">
        <v>4600</v>
      </c>
      <c r="J5762" t="s">
        <v>278</v>
      </c>
      <c r="K5762">
        <v>22.7</v>
      </c>
      <c r="L5762">
        <v>4.6100000000000003</v>
      </c>
      <c r="M5762">
        <v>17711</v>
      </c>
      <c r="N5762" t="s">
        <v>155</v>
      </c>
      <c r="O5762">
        <v>251205</v>
      </c>
      <c r="P5762">
        <v>18.09</v>
      </c>
    </row>
    <row r="5763" spans="1:16" x14ac:dyDescent="0.25">
      <c r="A5763" t="s">
        <v>3296</v>
      </c>
      <c r="B5763" t="s">
        <v>2931</v>
      </c>
      <c r="C5763">
        <v>16435</v>
      </c>
      <c r="D5763" t="str">
        <f>"39 / 2983878"</f>
        <v>39 / 2983878</v>
      </c>
      <c r="E5763" t="s">
        <v>577</v>
      </c>
      <c r="F5763" t="s">
        <v>578</v>
      </c>
      <c r="G5763">
        <v>110.35</v>
      </c>
      <c r="H5763">
        <v>251130</v>
      </c>
      <c r="I5763">
        <v>4600</v>
      </c>
      <c r="J5763" t="s">
        <v>278</v>
      </c>
      <c r="K5763">
        <v>110.35</v>
      </c>
      <c r="L5763">
        <v>22.42</v>
      </c>
      <c r="M5763">
        <v>17526</v>
      </c>
      <c r="N5763" t="s">
        <v>141</v>
      </c>
      <c r="O5763">
        <v>251208</v>
      </c>
      <c r="P5763">
        <v>87.93</v>
      </c>
    </row>
    <row r="5764" spans="1:16" x14ac:dyDescent="0.25">
      <c r="A5764" t="s">
        <v>3296</v>
      </c>
      <c r="B5764" t="s">
        <v>2931</v>
      </c>
      <c r="C5764">
        <v>17693</v>
      </c>
      <c r="D5764" t="str">
        <f>"27 / 2992604"</f>
        <v>27 / 2992604</v>
      </c>
      <c r="E5764" t="s">
        <v>577</v>
      </c>
      <c r="F5764" t="s">
        <v>578</v>
      </c>
      <c r="G5764">
        <v>523.35</v>
      </c>
      <c r="H5764">
        <v>251212</v>
      </c>
      <c r="I5764">
        <v>4600</v>
      </c>
      <c r="J5764" t="s">
        <v>278</v>
      </c>
      <c r="K5764">
        <v>523.35</v>
      </c>
      <c r="L5764">
        <v>106.34</v>
      </c>
      <c r="M5764">
        <v>17526</v>
      </c>
      <c r="N5764" t="s">
        <v>141</v>
      </c>
      <c r="O5764">
        <v>251229</v>
      </c>
      <c r="P5764">
        <v>417.01</v>
      </c>
    </row>
    <row r="5765" spans="1:16" x14ac:dyDescent="0.25">
      <c r="A5765" t="s">
        <v>3296</v>
      </c>
      <c r="B5765" t="s">
        <v>2931</v>
      </c>
      <c r="C5765">
        <v>17698</v>
      </c>
      <c r="D5765" t="str">
        <f>"31 / 2992608"</f>
        <v>31 / 2992608</v>
      </c>
      <c r="E5765" t="s">
        <v>577</v>
      </c>
      <c r="F5765" t="s">
        <v>578</v>
      </c>
      <c r="G5765">
        <v>216</v>
      </c>
      <c r="H5765">
        <v>251212</v>
      </c>
      <c r="I5765">
        <v>4600</v>
      </c>
      <c r="J5765" t="s">
        <v>278</v>
      </c>
      <c r="K5765">
        <v>216</v>
      </c>
      <c r="L5765">
        <v>43.89</v>
      </c>
      <c r="M5765">
        <v>17523</v>
      </c>
      <c r="N5765" t="s">
        <v>138</v>
      </c>
      <c r="O5765">
        <v>251229</v>
      </c>
      <c r="P5765">
        <v>172.11</v>
      </c>
    </row>
    <row r="5766" spans="1:16" x14ac:dyDescent="0.25">
      <c r="A5766" t="s">
        <v>3296</v>
      </c>
      <c r="B5766" t="s">
        <v>2931</v>
      </c>
      <c r="C5766">
        <v>17714</v>
      </c>
      <c r="D5766" t="str">
        <f>"28 / 2992605"</f>
        <v>28 / 2992605</v>
      </c>
      <c r="E5766" t="s">
        <v>577</v>
      </c>
      <c r="F5766" t="s">
        <v>578</v>
      </c>
      <c r="G5766">
        <v>56.17</v>
      </c>
      <c r="H5766">
        <v>251212</v>
      </c>
      <c r="I5766">
        <v>4600</v>
      </c>
      <c r="J5766" t="s">
        <v>278</v>
      </c>
      <c r="K5766">
        <v>123</v>
      </c>
      <c r="L5766">
        <v>11.41</v>
      </c>
      <c r="M5766">
        <v>17524</v>
      </c>
      <c r="N5766" t="s">
        <v>139</v>
      </c>
      <c r="O5766">
        <v>251229</v>
      </c>
      <c r="P5766">
        <v>44.76</v>
      </c>
    </row>
    <row r="5767" spans="1:16" x14ac:dyDescent="0.25">
      <c r="A5767" t="s">
        <v>3296</v>
      </c>
      <c r="B5767" t="s">
        <v>2931</v>
      </c>
      <c r="C5767">
        <v>17714</v>
      </c>
      <c r="D5767" t="str">
        <f>"28 / 2992605"</f>
        <v>28 / 2992605</v>
      </c>
      <c r="E5767" t="s">
        <v>577</v>
      </c>
      <c r="F5767" t="s">
        <v>578</v>
      </c>
      <c r="G5767">
        <v>66.83</v>
      </c>
      <c r="H5767">
        <v>251212</v>
      </c>
      <c r="I5767">
        <v>4600</v>
      </c>
      <c r="J5767" t="s">
        <v>278</v>
      </c>
      <c r="K5767">
        <v>123</v>
      </c>
      <c r="L5767">
        <v>13.58</v>
      </c>
      <c r="M5767">
        <v>17635</v>
      </c>
      <c r="N5767" t="s">
        <v>1264</v>
      </c>
      <c r="O5767">
        <v>251229</v>
      </c>
      <c r="P5767">
        <v>53.25</v>
      </c>
    </row>
    <row r="5768" spans="1:16" x14ac:dyDescent="0.25">
      <c r="A5768" t="s">
        <v>3296</v>
      </c>
      <c r="B5768" t="s">
        <v>2931</v>
      </c>
      <c r="C5768">
        <v>4117</v>
      </c>
      <c r="D5768" t="str">
        <f>"35695       "</f>
        <v xml:space="preserve">35695       </v>
      </c>
      <c r="E5768" t="s">
        <v>1570</v>
      </c>
      <c r="F5768" t="s">
        <v>1571</v>
      </c>
      <c r="G5768">
        <v>815.75</v>
      </c>
      <c r="H5768">
        <v>250325</v>
      </c>
      <c r="I5768">
        <v>4600</v>
      </c>
      <c r="J5768" t="s">
        <v>278</v>
      </c>
      <c r="K5768">
        <v>815.75</v>
      </c>
      <c r="L5768">
        <v>165.75</v>
      </c>
      <c r="M5768">
        <v>49501</v>
      </c>
      <c r="N5768" t="s">
        <v>110</v>
      </c>
      <c r="O5768">
        <v>250407</v>
      </c>
      <c r="P5768">
        <v>650</v>
      </c>
    </row>
    <row r="5769" spans="1:16" x14ac:dyDescent="0.25">
      <c r="A5769" t="s">
        <v>3296</v>
      </c>
      <c r="B5769" t="s">
        <v>2931</v>
      </c>
      <c r="C5769">
        <v>10973</v>
      </c>
      <c r="D5769" t="str">
        <f>"36224       "</f>
        <v xml:space="preserve">36224       </v>
      </c>
      <c r="E5769" t="s">
        <v>1570</v>
      </c>
      <c r="F5769" t="s">
        <v>1571</v>
      </c>
      <c r="G5769">
        <v>48.67</v>
      </c>
      <c r="H5769">
        <v>250822</v>
      </c>
      <c r="I5769">
        <v>4600</v>
      </c>
      <c r="J5769" t="s">
        <v>278</v>
      </c>
      <c r="K5769">
        <v>48.67</v>
      </c>
      <c r="L5769">
        <v>9.89</v>
      </c>
      <c r="M5769">
        <v>49501</v>
      </c>
      <c r="N5769" t="s">
        <v>110</v>
      </c>
      <c r="O5769">
        <v>250828</v>
      </c>
      <c r="P5769">
        <v>38.78</v>
      </c>
    </row>
    <row r="5770" spans="1:16" x14ac:dyDescent="0.25">
      <c r="A5770" t="s">
        <v>3296</v>
      </c>
      <c r="B5770" t="s">
        <v>2931</v>
      </c>
      <c r="C5770">
        <v>2862</v>
      </c>
      <c r="D5770" t="str">
        <f>"20250266    "</f>
        <v xml:space="preserve">20250266    </v>
      </c>
      <c r="E5770" t="s">
        <v>1374</v>
      </c>
      <c r="F5770" t="s">
        <v>1375</v>
      </c>
      <c r="G5770">
        <v>1936.04</v>
      </c>
      <c r="H5770">
        <v>250219</v>
      </c>
      <c r="I5770">
        <v>4580</v>
      </c>
      <c r="J5770" t="s">
        <v>126</v>
      </c>
      <c r="K5770">
        <v>1936.04</v>
      </c>
      <c r="L5770">
        <v>393.38</v>
      </c>
      <c r="M5770">
        <v>17521</v>
      </c>
      <c r="N5770" t="s">
        <v>136</v>
      </c>
      <c r="O5770">
        <v>250312</v>
      </c>
      <c r="P5770">
        <v>1542.66</v>
      </c>
    </row>
    <row r="5771" spans="1:16" x14ac:dyDescent="0.25">
      <c r="A5771" t="s">
        <v>3296</v>
      </c>
      <c r="B5771" t="s">
        <v>2931</v>
      </c>
      <c r="C5771">
        <v>17230</v>
      </c>
      <c r="D5771" t="str">
        <f>"445         "</f>
        <v xml:space="preserve">445         </v>
      </c>
      <c r="E5771" t="s">
        <v>2748</v>
      </c>
      <c r="F5771" t="s">
        <v>2749</v>
      </c>
      <c r="G5771">
        <v>34700</v>
      </c>
      <c r="H5771">
        <v>251209</v>
      </c>
      <c r="I5771">
        <v>4390</v>
      </c>
      <c r="J5771" t="s">
        <v>232</v>
      </c>
      <c r="K5771">
        <v>34700</v>
      </c>
      <c r="L5771">
        <v>0</v>
      </c>
      <c r="M5771">
        <v>17952</v>
      </c>
      <c r="N5771" t="s">
        <v>157</v>
      </c>
      <c r="O5771">
        <v>251218</v>
      </c>
      <c r="P5771">
        <v>34700</v>
      </c>
    </row>
    <row r="5772" spans="1:16" x14ac:dyDescent="0.25">
      <c r="A5772" t="s">
        <v>3296</v>
      </c>
      <c r="B5772" t="s">
        <v>2931</v>
      </c>
      <c r="C5772">
        <v>17769</v>
      </c>
      <c r="D5772" t="str">
        <f>"448         "</f>
        <v xml:space="preserve">448         </v>
      </c>
      <c r="E5772" t="s">
        <v>2748</v>
      </c>
      <c r="F5772" t="s">
        <v>2749</v>
      </c>
      <c r="G5772">
        <v>27400</v>
      </c>
      <c r="H5772">
        <v>251218</v>
      </c>
      <c r="I5772">
        <v>4390</v>
      </c>
      <c r="J5772" t="s">
        <v>232</v>
      </c>
      <c r="K5772">
        <v>27400</v>
      </c>
      <c r="L5772">
        <v>0</v>
      </c>
      <c r="M5772">
        <v>59501</v>
      </c>
      <c r="N5772" t="s">
        <v>62</v>
      </c>
      <c r="O5772">
        <v>251230</v>
      </c>
      <c r="P5772">
        <v>27400</v>
      </c>
    </row>
    <row r="5773" spans="1:16" x14ac:dyDescent="0.25">
      <c r="A5773" t="s">
        <v>3296</v>
      </c>
      <c r="B5773" t="s">
        <v>2931</v>
      </c>
      <c r="C5773">
        <v>17173</v>
      </c>
      <c r="D5773" t="str">
        <f>"2239        "</f>
        <v xml:space="preserve">2239        </v>
      </c>
      <c r="E5773" t="s">
        <v>2740</v>
      </c>
      <c r="F5773" t="s">
        <v>2741</v>
      </c>
      <c r="G5773">
        <v>200.8</v>
      </c>
      <c r="H5773">
        <v>251129</v>
      </c>
      <c r="I5773">
        <v>4364</v>
      </c>
      <c r="J5773" t="s">
        <v>470</v>
      </c>
      <c r="K5773">
        <v>200.8</v>
      </c>
      <c r="L5773">
        <v>40.799999999999997</v>
      </c>
      <c r="M5773">
        <v>46554</v>
      </c>
      <c r="N5773" t="s">
        <v>102</v>
      </c>
      <c r="O5773">
        <v>251218</v>
      </c>
      <c r="P5773">
        <v>160</v>
      </c>
    </row>
    <row r="5774" spans="1:16" x14ac:dyDescent="0.25">
      <c r="A5774" t="s">
        <v>3296</v>
      </c>
      <c r="B5774" t="s">
        <v>2931</v>
      </c>
      <c r="C5774">
        <v>9216</v>
      </c>
      <c r="D5774" t="str">
        <f>"4327        "</f>
        <v xml:space="preserve">4327        </v>
      </c>
      <c r="E5774" t="s">
        <v>3120</v>
      </c>
      <c r="F5774" t="s">
        <v>3121</v>
      </c>
      <c r="G5774">
        <v>64.52</v>
      </c>
      <c r="H5774">
        <v>250618</v>
      </c>
      <c r="I5774">
        <v>4410</v>
      </c>
      <c r="J5774" t="s">
        <v>165</v>
      </c>
      <c r="K5774">
        <v>64.52</v>
      </c>
      <c r="L5774">
        <v>0</v>
      </c>
      <c r="M5774">
        <v>11603</v>
      </c>
      <c r="N5774" t="s">
        <v>897</v>
      </c>
      <c r="O5774">
        <v>250627</v>
      </c>
      <c r="P5774">
        <v>64.52</v>
      </c>
    </row>
    <row r="5775" spans="1:16" x14ac:dyDescent="0.25">
      <c r="A5775" t="s">
        <v>3296</v>
      </c>
      <c r="B5775" t="s">
        <v>2931</v>
      </c>
      <c r="C5775">
        <v>14849</v>
      </c>
      <c r="D5775" t="str">
        <f>"1194        "</f>
        <v xml:space="preserve">1194        </v>
      </c>
      <c r="E5775" t="s">
        <v>3120</v>
      </c>
      <c r="F5775" t="s">
        <v>3121</v>
      </c>
      <c r="G5775">
        <v>64.52</v>
      </c>
      <c r="H5775">
        <v>251031</v>
      </c>
      <c r="I5775">
        <v>4410</v>
      </c>
      <c r="J5775" t="s">
        <v>165</v>
      </c>
      <c r="K5775">
        <v>64.52</v>
      </c>
      <c r="L5775">
        <v>0</v>
      </c>
      <c r="M5775">
        <v>11603</v>
      </c>
      <c r="N5775" t="s">
        <v>897</v>
      </c>
      <c r="O5775">
        <v>251107</v>
      </c>
      <c r="P5775">
        <v>64.52</v>
      </c>
    </row>
    <row r="5776" spans="1:16" x14ac:dyDescent="0.25">
      <c r="A5776" t="s">
        <v>3296</v>
      </c>
      <c r="B5776" t="s">
        <v>2931</v>
      </c>
      <c r="C5776">
        <v>8978</v>
      </c>
      <c r="D5776" t="str">
        <f>"1003564     "</f>
        <v xml:space="preserve">1003564     </v>
      </c>
      <c r="E5776" t="s">
        <v>2076</v>
      </c>
      <c r="F5776" t="s">
        <v>2077</v>
      </c>
      <c r="G5776">
        <v>219.62</v>
      </c>
      <c r="H5776">
        <v>250601</v>
      </c>
      <c r="I5776">
        <v>4552</v>
      </c>
      <c r="J5776" t="s">
        <v>1025</v>
      </c>
      <c r="K5776">
        <v>219.62</v>
      </c>
      <c r="L5776">
        <v>44.62</v>
      </c>
      <c r="M5776">
        <v>66754</v>
      </c>
      <c r="N5776" t="s">
        <v>119</v>
      </c>
      <c r="O5776">
        <v>250624</v>
      </c>
      <c r="P5776">
        <v>175</v>
      </c>
    </row>
    <row r="5777" spans="1:16" x14ac:dyDescent="0.25">
      <c r="A5777" t="s">
        <v>3296</v>
      </c>
      <c r="B5777" t="s">
        <v>2931</v>
      </c>
      <c r="C5777">
        <v>1317</v>
      </c>
      <c r="D5777" t="str">
        <f>"608780      "</f>
        <v xml:space="preserve">608780      </v>
      </c>
      <c r="E5777" t="s">
        <v>937</v>
      </c>
      <c r="F5777" t="s">
        <v>938</v>
      </c>
      <c r="G5777">
        <v>25.9</v>
      </c>
      <c r="H5777">
        <v>250131</v>
      </c>
      <c r="I5777">
        <v>4410</v>
      </c>
      <c r="J5777" t="s">
        <v>165</v>
      </c>
      <c r="K5777">
        <v>25.9</v>
      </c>
      <c r="L5777">
        <v>3.18</v>
      </c>
      <c r="M5777">
        <v>13932</v>
      </c>
      <c r="N5777" t="s">
        <v>680</v>
      </c>
      <c r="O5777">
        <v>250207</v>
      </c>
      <c r="P5777">
        <v>22.72</v>
      </c>
    </row>
    <row r="5778" spans="1:16" x14ac:dyDescent="0.25">
      <c r="A5778" t="s">
        <v>3296</v>
      </c>
      <c r="B5778" t="s">
        <v>2931</v>
      </c>
      <c r="C5778">
        <v>1318</v>
      </c>
      <c r="D5778" t="str">
        <f>"608779      "</f>
        <v xml:space="preserve">608779      </v>
      </c>
      <c r="E5778" t="s">
        <v>937</v>
      </c>
      <c r="F5778" t="s">
        <v>938</v>
      </c>
      <c r="G5778">
        <v>2367.75</v>
      </c>
      <c r="H5778">
        <v>250131</v>
      </c>
      <c r="I5778">
        <v>4410</v>
      </c>
      <c r="J5778" t="s">
        <v>165</v>
      </c>
      <c r="K5778">
        <v>2367.75</v>
      </c>
      <c r="L5778">
        <v>0</v>
      </c>
      <c r="M5778">
        <v>13932</v>
      </c>
      <c r="N5778" t="s">
        <v>680</v>
      </c>
      <c r="O5778">
        <v>250207</v>
      </c>
      <c r="P5778">
        <v>2367.75</v>
      </c>
    </row>
    <row r="5779" spans="1:16" x14ac:dyDescent="0.25">
      <c r="A5779" t="s">
        <v>3296</v>
      </c>
      <c r="B5779" t="s">
        <v>2931</v>
      </c>
      <c r="C5779">
        <v>2552</v>
      </c>
      <c r="D5779" t="str">
        <f>"609346      "</f>
        <v xml:space="preserve">609346      </v>
      </c>
      <c r="E5779" t="s">
        <v>937</v>
      </c>
      <c r="F5779" t="s">
        <v>938</v>
      </c>
      <c r="G5779">
        <v>11.1</v>
      </c>
      <c r="H5779">
        <v>250228</v>
      </c>
      <c r="I5779">
        <v>4410</v>
      </c>
      <c r="J5779" t="s">
        <v>165</v>
      </c>
      <c r="K5779">
        <v>11.1</v>
      </c>
      <c r="L5779">
        <v>1.36</v>
      </c>
      <c r="M5779">
        <v>13932</v>
      </c>
      <c r="N5779" t="s">
        <v>680</v>
      </c>
      <c r="O5779">
        <v>250304</v>
      </c>
      <c r="P5779">
        <v>9.74</v>
      </c>
    </row>
    <row r="5780" spans="1:16" x14ac:dyDescent="0.25">
      <c r="A5780" t="s">
        <v>3296</v>
      </c>
      <c r="B5780" t="s">
        <v>2931</v>
      </c>
      <c r="C5780">
        <v>2553</v>
      </c>
      <c r="D5780" t="str">
        <f>"609360      "</f>
        <v xml:space="preserve">609360      </v>
      </c>
      <c r="E5780" t="s">
        <v>937</v>
      </c>
      <c r="F5780" t="s">
        <v>938</v>
      </c>
      <c r="G5780">
        <v>1974.15</v>
      </c>
      <c r="H5780">
        <v>250228</v>
      </c>
      <c r="I5780">
        <v>4410</v>
      </c>
      <c r="J5780" t="s">
        <v>165</v>
      </c>
      <c r="K5780">
        <v>1974.15</v>
      </c>
      <c r="L5780">
        <v>0</v>
      </c>
      <c r="M5780">
        <v>13932</v>
      </c>
      <c r="N5780" t="s">
        <v>680</v>
      </c>
      <c r="O5780">
        <v>250304</v>
      </c>
      <c r="P5780">
        <v>1974.15</v>
      </c>
    </row>
    <row r="5781" spans="1:16" x14ac:dyDescent="0.25">
      <c r="A5781" t="s">
        <v>3296</v>
      </c>
      <c r="B5781" t="s">
        <v>2931</v>
      </c>
      <c r="C5781">
        <v>4031</v>
      </c>
      <c r="D5781" t="str">
        <f>"610222      "</f>
        <v xml:space="preserve">610222      </v>
      </c>
      <c r="E5781" t="s">
        <v>937</v>
      </c>
      <c r="F5781" t="s">
        <v>938</v>
      </c>
      <c r="G5781">
        <v>7.4</v>
      </c>
      <c r="H5781">
        <v>250331</v>
      </c>
      <c r="I5781">
        <v>4410</v>
      </c>
      <c r="J5781" t="s">
        <v>165</v>
      </c>
      <c r="K5781">
        <v>7.4</v>
      </c>
      <c r="L5781">
        <v>0.91</v>
      </c>
      <c r="M5781">
        <v>13932</v>
      </c>
      <c r="N5781" t="s">
        <v>680</v>
      </c>
      <c r="O5781">
        <v>250407</v>
      </c>
      <c r="P5781">
        <v>6.49</v>
      </c>
    </row>
    <row r="5782" spans="1:16" x14ac:dyDescent="0.25">
      <c r="A5782" t="s">
        <v>3296</v>
      </c>
      <c r="B5782" t="s">
        <v>2931</v>
      </c>
      <c r="C5782">
        <v>4054</v>
      </c>
      <c r="D5782" t="str">
        <f>"610262      "</f>
        <v xml:space="preserve">610262      </v>
      </c>
      <c r="E5782" t="s">
        <v>937</v>
      </c>
      <c r="F5782" t="s">
        <v>938</v>
      </c>
      <c r="G5782">
        <v>2583</v>
      </c>
      <c r="H5782">
        <v>250331</v>
      </c>
      <c r="I5782">
        <v>4410</v>
      </c>
      <c r="J5782" t="s">
        <v>165</v>
      </c>
      <c r="K5782">
        <v>2583</v>
      </c>
      <c r="L5782">
        <v>0</v>
      </c>
      <c r="M5782">
        <v>13932</v>
      </c>
      <c r="N5782" t="s">
        <v>680</v>
      </c>
      <c r="O5782">
        <v>250407</v>
      </c>
      <c r="P5782">
        <v>2583</v>
      </c>
    </row>
    <row r="5783" spans="1:16" x14ac:dyDescent="0.25">
      <c r="A5783" t="s">
        <v>3296</v>
      </c>
      <c r="B5783" t="s">
        <v>2931</v>
      </c>
      <c r="C5783">
        <v>5125</v>
      </c>
      <c r="D5783" t="str">
        <f>"610787      "</f>
        <v xml:space="preserve">610787      </v>
      </c>
      <c r="E5783" t="s">
        <v>937</v>
      </c>
      <c r="F5783" t="s">
        <v>938</v>
      </c>
      <c r="G5783">
        <v>80.33</v>
      </c>
      <c r="H5783">
        <v>250412</v>
      </c>
      <c r="I5783">
        <v>4410</v>
      </c>
      <c r="J5783" t="s">
        <v>165</v>
      </c>
      <c r="K5783">
        <v>160.65</v>
      </c>
      <c r="L5783">
        <v>9.8699999999999992</v>
      </c>
      <c r="M5783">
        <v>13452</v>
      </c>
      <c r="N5783" t="s">
        <v>1684</v>
      </c>
      <c r="O5783">
        <v>250417</v>
      </c>
      <c r="P5783">
        <v>70.459999999999994</v>
      </c>
    </row>
    <row r="5784" spans="1:16" x14ac:dyDescent="0.25">
      <c r="A5784" t="s">
        <v>3296</v>
      </c>
      <c r="B5784" t="s">
        <v>2931</v>
      </c>
      <c r="C5784">
        <v>5125</v>
      </c>
      <c r="D5784" t="str">
        <f>"610787      "</f>
        <v xml:space="preserve">610787      </v>
      </c>
      <c r="E5784" t="s">
        <v>937</v>
      </c>
      <c r="F5784" t="s">
        <v>938</v>
      </c>
      <c r="G5784">
        <v>80.319999999999993</v>
      </c>
      <c r="H5784">
        <v>250412</v>
      </c>
      <c r="I5784">
        <v>4410</v>
      </c>
      <c r="J5784" t="s">
        <v>165</v>
      </c>
      <c r="K5784">
        <v>160.65</v>
      </c>
      <c r="L5784">
        <v>9.86</v>
      </c>
      <c r="M5784">
        <v>13552</v>
      </c>
      <c r="N5784" t="s">
        <v>133</v>
      </c>
      <c r="O5784">
        <v>250417</v>
      </c>
      <c r="P5784">
        <v>70.459999999999994</v>
      </c>
    </row>
    <row r="5785" spans="1:16" x14ac:dyDescent="0.25">
      <c r="A5785" t="s">
        <v>3296</v>
      </c>
      <c r="B5785" t="s">
        <v>2931</v>
      </c>
      <c r="C5785">
        <v>5777</v>
      </c>
      <c r="D5785" t="str">
        <f>"611034      "</f>
        <v xml:space="preserve">611034      </v>
      </c>
      <c r="E5785" t="s">
        <v>937</v>
      </c>
      <c r="F5785" t="s">
        <v>938</v>
      </c>
      <c r="G5785">
        <v>9.41</v>
      </c>
      <c r="H5785">
        <v>250425</v>
      </c>
      <c r="I5785">
        <v>4410</v>
      </c>
      <c r="J5785" t="s">
        <v>165</v>
      </c>
      <c r="K5785">
        <v>122.81</v>
      </c>
      <c r="L5785">
        <v>1.91</v>
      </c>
      <c r="M5785">
        <v>13901</v>
      </c>
      <c r="N5785" t="s">
        <v>116</v>
      </c>
      <c r="O5785">
        <v>250505</v>
      </c>
      <c r="P5785">
        <v>7.5</v>
      </c>
    </row>
    <row r="5786" spans="1:16" x14ac:dyDescent="0.25">
      <c r="A5786" t="s">
        <v>3296</v>
      </c>
      <c r="B5786" t="s">
        <v>2931</v>
      </c>
      <c r="C5786">
        <v>5777</v>
      </c>
      <c r="D5786" t="str">
        <f>"611034      "</f>
        <v xml:space="preserve">611034      </v>
      </c>
      <c r="E5786" t="s">
        <v>937</v>
      </c>
      <c r="F5786" t="s">
        <v>938</v>
      </c>
      <c r="G5786">
        <v>113.4</v>
      </c>
      <c r="H5786">
        <v>250425</v>
      </c>
      <c r="I5786">
        <v>4410</v>
      </c>
      <c r="J5786" t="s">
        <v>165</v>
      </c>
      <c r="K5786">
        <v>122.81</v>
      </c>
      <c r="L5786">
        <v>13.93</v>
      </c>
      <c r="M5786">
        <v>13901</v>
      </c>
      <c r="N5786" t="s">
        <v>116</v>
      </c>
      <c r="O5786">
        <v>250505</v>
      </c>
      <c r="P5786">
        <v>99.47</v>
      </c>
    </row>
    <row r="5787" spans="1:16" x14ac:dyDescent="0.25">
      <c r="A5787" t="s">
        <v>3296</v>
      </c>
      <c r="B5787" t="s">
        <v>2931</v>
      </c>
      <c r="C5787">
        <v>5866</v>
      </c>
      <c r="D5787" t="str">
        <f>"611174      "</f>
        <v xml:space="preserve">611174      </v>
      </c>
      <c r="E5787" t="s">
        <v>937</v>
      </c>
      <c r="F5787" t="s">
        <v>938</v>
      </c>
      <c r="G5787">
        <v>22.2</v>
      </c>
      <c r="H5787">
        <v>250430</v>
      </c>
      <c r="I5787">
        <v>4410</v>
      </c>
      <c r="J5787" t="s">
        <v>165</v>
      </c>
      <c r="K5787">
        <v>22.2</v>
      </c>
      <c r="L5787">
        <v>2.73</v>
      </c>
      <c r="M5787">
        <v>13932</v>
      </c>
      <c r="N5787" t="s">
        <v>680</v>
      </c>
      <c r="O5787">
        <v>250506</v>
      </c>
      <c r="P5787">
        <v>19.47</v>
      </c>
    </row>
    <row r="5788" spans="1:16" x14ac:dyDescent="0.25">
      <c r="A5788" t="s">
        <v>3296</v>
      </c>
      <c r="B5788" t="s">
        <v>2931</v>
      </c>
      <c r="C5788">
        <v>5867</v>
      </c>
      <c r="D5788" t="str">
        <f>"611222      "</f>
        <v xml:space="preserve">611222      </v>
      </c>
      <c r="E5788" t="s">
        <v>937</v>
      </c>
      <c r="F5788" t="s">
        <v>938</v>
      </c>
      <c r="G5788">
        <v>1900.35</v>
      </c>
      <c r="H5788">
        <v>250430</v>
      </c>
      <c r="I5788">
        <v>4410</v>
      </c>
      <c r="J5788" t="s">
        <v>165</v>
      </c>
      <c r="K5788">
        <v>1900.35</v>
      </c>
      <c r="L5788">
        <v>0</v>
      </c>
      <c r="M5788">
        <v>13932</v>
      </c>
      <c r="N5788" t="s">
        <v>680</v>
      </c>
      <c r="O5788">
        <v>250506</v>
      </c>
      <c r="P5788">
        <v>1900.35</v>
      </c>
    </row>
    <row r="5789" spans="1:16" x14ac:dyDescent="0.25">
      <c r="A5789" t="s">
        <v>3296</v>
      </c>
      <c r="B5789" t="s">
        <v>2931</v>
      </c>
      <c r="C5789">
        <v>7272</v>
      </c>
      <c r="D5789" t="str">
        <f>"612102      "</f>
        <v xml:space="preserve">612102      </v>
      </c>
      <c r="E5789" t="s">
        <v>937</v>
      </c>
      <c r="F5789" t="s">
        <v>938</v>
      </c>
      <c r="G5789">
        <v>104</v>
      </c>
      <c r="H5789">
        <v>250523</v>
      </c>
      <c r="I5789">
        <v>4410</v>
      </c>
      <c r="J5789" t="s">
        <v>165</v>
      </c>
      <c r="K5789">
        <v>104</v>
      </c>
      <c r="L5789">
        <v>12.77</v>
      </c>
      <c r="M5789">
        <v>17918</v>
      </c>
      <c r="N5789" t="s">
        <v>152</v>
      </c>
      <c r="O5789">
        <v>250602</v>
      </c>
      <c r="P5789">
        <v>91.23</v>
      </c>
    </row>
    <row r="5790" spans="1:16" x14ac:dyDescent="0.25">
      <c r="A5790" t="s">
        <v>3296</v>
      </c>
      <c r="B5790" t="s">
        <v>2931</v>
      </c>
      <c r="C5790">
        <v>7407</v>
      </c>
      <c r="D5790" t="str">
        <f>"612345      "</f>
        <v xml:space="preserve">612345      </v>
      </c>
      <c r="E5790" t="s">
        <v>937</v>
      </c>
      <c r="F5790" t="s">
        <v>938</v>
      </c>
      <c r="G5790">
        <v>18.5</v>
      </c>
      <c r="H5790">
        <v>250530</v>
      </c>
      <c r="I5790">
        <v>4410</v>
      </c>
      <c r="J5790" t="s">
        <v>165</v>
      </c>
      <c r="K5790">
        <v>18.5</v>
      </c>
      <c r="L5790">
        <v>2.27</v>
      </c>
      <c r="M5790">
        <v>13932</v>
      </c>
      <c r="N5790" t="s">
        <v>680</v>
      </c>
      <c r="O5790">
        <v>250603</v>
      </c>
      <c r="P5790">
        <v>16.23</v>
      </c>
    </row>
    <row r="5791" spans="1:16" x14ac:dyDescent="0.25">
      <c r="A5791" t="s">
        <v>3296</v>
      </c>
      <c r="B5791" t="s">
        <v>2931</v>
      </c>
      <c r="C5791">
        <v>7499</v>
      </c>
      <c r="D5791" t="str">
        <f>"612388      "</f>
        <v xml:space="preserve">612388      </v>
      </c>
      <c r="E5791" t="s">
        <v>937</v>
      </c>
      <c r="F5791" t="s">
        <v>938</v>
      </c>
      <c r="G5791">
        <v>1346.85</v>
      </c>
      <c r="H5791">
        <v>250531</v>
      </c>
      <c r="I5791">
        <v>4410</v>
      </c>
      <c r="J5791" t="s">
        <v>165</v>
      </c>
      <c r="K5791">
        <v>1346.85</v>
      </c>
      <c r="L5791">
        <v>0</v>
      </c>
      <c r="M5791">
        <v>13932</v>
      </c>
      <c r="N5791" t="s">
        <v>680</v>
      </c>
      <c r="O5791">
        <v>250604</v>
      </c>
      <c r="P5791">
        <v>1346.85</v>
      </c>
    </row>
    <row r="5792" spans="1:16" x14ac:dyDescent="0.25">
      <c r="A5792" t="s">
        <v>3296</v>
      </c>
      <c r="B5792" t="s">
        <v>2931</v>
      </c>
      <c r="C5792">
        <v>9371</v>
      </c>
      <c r="D5792" t="str">
        <f>"613260      "</f>
        <v xml:space="preserve">613260      </v>
      </c>
      <c r="E5792" t="s">
        <v>937</v>
      </c>
      <c r="F5792" t="s">
        <v>938</v>
      </c>
      <c r="G5792">
        <v>36.9</v>
      </c>
      <c r="H5792">
        <v>250630</v>
      </c>
      <c r="I5792">
        <v>4410</v>
      </c>
      <c r="J5792" t="s">
        <v>165</v>
      </c>
      <c r="K5792">
        <v>36.9</v>
      </c>
      <c r="L5792">
        <v>0</v>
      </c>
      <c r="M5792">
        <v>13932</v>
      </c>
      <c r="N5792" t="s">
        <v>680</v>
      </c>
      <c r="O5792">
        <v>250707</v>
      </c>
      <c r="P5792">
        <v>36.9</v>
      </c>
    </row>
    <row r="5793" spans="1:16" x14ac:dyDescent="0.25">
      <c r="A5793" t="s">
        <v>3296</v>
      </c>
      <c r="B5793" t="s">
        <v>2931</v>
      </c>
      <c r="C5793">
        <v>11283</v>
      </c>
      <c r="D5793" t="str">
        <f>"613985      "</f>
        <v xml:space="preserve">613985      </v>
      </c>
      <c r="E5793" t="s">
        <v>937</v>
      </c>
      <c r="F5793" t="s">
        <v>938</v>
      </c>
      <c r="G5793">
        <v>66.599999999999994</v>
      </c>
      <c r="H5793">
        <v>250829</v>
      </c>
      <c r="I5793">
        <v>4410</v>
      </c>
      <c r="J5793" t="s">
        <v>165</v>
      </c>
      <c r="K5793">
        <v>66.599999999999994</v>
      </c>
      <c r="L5793">
        <v>8.18</v>
      </c>
      <c r="M5793">
        <v>13932</v>
      </c>
      <c r="N5793" t="s">
        <v>680</v>
      </c>
      <c r="O5793">
        <v>250903</v>
      </c>
      <c r="P5793">
        <v>58.42</v>
      </c>
    </row>
    <row r="5794" spans="1:16" x14ac:dyDescent="0.25">
      <c r="A5794" t="s">
        <v>3296</v>
      </c>
      <c r="B5794" t="s">
        <v>2931</v>
      </c>
      <c r="C5794">
        <v>11284</v>
      </c>
      <c r="D5794" t="str">
        <f>"614031      "</f>
        <v xml:space="preserve">614031      </v>
      </c>
      <c r="E5794" t="s">
        <v>937</v>
      </c>
      <c r="F5794" t="s">
        <v>938</v>
      </c>
      <c r="G5794">
        <v>1002.45</v>
      </c>
      <c r="H5794">
        <v>250831</v>
      </c>
      <c r="I5794">
        <v>4410</v>
      </c>
      <c r="J5794" t="s">
        <v>165</v>
      </c>
      <c r="K5794">
        <v>1002.45</v>
      </c>
      <c r="L5794">
        <v>0</v>
      </c>
      <c r="M5794">
        <v>13932</v>
      </c>
      <c r="N5794" t="s">
        <v>680</v>
      </c>
      <c r="O5794">
        <v>250903</v>
      </c>
      <c r="P5794">
        <v>1002.45</v>
      </c>
    </row>
    <row r="5795" spans="1:16" x14ac:dyDescent="0.25">
      <c r="A5795" t="s">
        <v>3296</v>
      </c>
      <c r="B5795" t="s">
        <v>2931</v>
      </c>
      <c r="C5795">
        <v>13229</v>
      </c>
      <c r="D5795" t="str">
        <f>"615252      "</f>
        <v xml:space="preserve">615252      </v>
      </c>
      <c r="E5795" t="s">
        <v>937</v>
      </c>
      <c r="F5795" t="s">
        <v>938</v>
      </c>
      <c r="G5795">
        <v>239.85</v>
      </c>
      <c r="H5795">
        <v>250930</v>
      </c>
      <c r="I5795">
        <v>4410</v>
      </c>
      <c r="J5795" t="s">
        <v>165</v>
      </c>
      <c r="K5795">
        <v>239.85</v>
      </c>
      <c r="L5795">
        <v>0</v>
      </c>
      <c r="M5795">
        <v>13932</v>
      </c>
      <c r="N5795" t="s">
        <v>680</v>
      </c>
      <c r="O5795">
        <v>251007</v>
      </c>
      <c r="P5795">
        <v>239.85</v>
      </c>
    </row>
    <row r="5796" spans="1:16" x14ac:dyDescent="0.25">
      <c r="A5796" t="s">
        <v>3296</v>
      </c>
      <c r="B5796" t="s">
        <v>2931</v>
      </c>
      <c r="C5796">
        <v>13235</v>
      </c>
      <c r="D5796" t="str">
        <f>"615042      "</f>
        <v xml:space="preserve">615042      </v>
      </c>
      <c r="E5796" t="s">
        <v>937</v>
      </c>
      <c r="F5796" t="s">
        <v>938</v>
      </c>
      <c r="G5796">
        <v>62.9</v>
      </c>
      <c r="H5796">
        <v>250930</v>
      </c>
      <c r="I5796">
        <v>4410</v>
      </c>
      <c r="J5796" t="s">
        <v>165</v>
      </c>
      <c r="K5796">
        <v>62.9</v>
      </c>
      <c r="L5796">
        <v>7.72</v>
      </c>
      <c r="M5796">
        <v>13932</v>
      </c>
      <c r="N5796" t="s">
        <v>680</v>
      </c>
      <c r="O5796">
        <v>251007</v>
      </c>
      <c r="P5796">
        <v>55.18</v>
      </c>
    </row>
    <row r="5797" spans="1:16" x14ac:dyDescent="0.25">
      <c r="A5797" t="s">
        <v>3296</v>
      </c>
      <c r="B5797" t="s">
        <v>2931</v>
      </c>
      <c r="C5797">
        <v>13236</v>
      </c>
      <c r="D5797" t="str">
        <f>"615108      "</f>
        <v xml:space="preserve">615108      </v>
      </c>
      <c r="E5797" t="s">
        <v>937</v>
      </c>
      <c r="F5797" t="s">
        <v>938</v>
      </c>
      <c r="G5797">
        <v>762.6</v>
      </c>
      <c r="H5797">
        <v>250930</v>
      </c>
      <c r="I5797">
        <v>4410</v>
      </c>
      <c r="J5797" t="s">
        <v>165</v>
      </c>
      <c r="K5797">
        <v>762.6</v>
      </c>
      <c r="L5797">
        <v>0</v>
      </c>
      <c r="M5797">
        <v>13932</v>
      </c>
      <c r="N5797" t="s">
        <v>680</v>
      </c>
      <c r="O5797">
        <v>251007</v>
      </c>
      <c r="P5797">
        <v>762.6</v>
      </c>
    </row>
    <row r="5798" spans="1:16" x14ac:dyDescent="0.25">
      <c r="A5798" t="s">
        <v>3296</v>
      </c>
      <c r="B5798" t="s">
        <v>2931</v>
      </c>
      <c r="C5798">
        <v>14828</v>
      </c>
      <c r="D5798" t="str">
        <f>"616369      "</f>
        <v xml:space="preserve">616369      </v>
      </c>
      <c r="E5798" t="s">
        <v>937</v>
      </c>
      <c r="F5798" t="s">
        <v>938</v>
      </c>
      <c r="G5798">
        <v>965.55</v>
      </c>
      <c r="H5798">
        <v>251031</v>
      </c>
      <c r="I5798">
        <v>4410</v>
      </c>
      <c r="J5798" t="s">
        <v>165</v>
      </c>
      <c r="K5798">
        <v>965.55</v>
      </c>
      <c r="L5798">
        <v>0</v>
      </c>
      <c r="M5798">
        <v>13932</v>
      </c>
      <c r="N5798" t="s">
        <v>680</v>
      </c>
      <c r="O5798">
        <v>251107</v>
      </c>
      <c r="P5798">
        <v>965.55</v>
      </c>
    </row>
    <row r="5799" spans="1:16" x14ac:dyDescent="0.25">
      <c r="A5799" t="s">
        <v>3296</v>
      </c>
      <c r="B5799" t="s">
        <v>2931</v>
      </c>
      <c r="C5799">
        <v>14829</v>
      </c>
      <c r="D5799" t="str">
        <f>"616140      "</f>
        <v xml:space="preserve">616140      </v>
      </c>
      <c r="E5799" t="s">
        <v>937</v>
      </c>
      <c r="F5799" t="s">
        <v>938</v>
      </c>
      <c r="G5799">
        <v>25.9</v>
      </c>
      <c r="H5799">
        <v>251031</v>
      </c>
      <c r="I5799">
        <v>4410</v>
      </c>
      <c r="J5799" t="s">
        <v>165</v>
      </c>
      <c r="K5799">
        <v>25.9</v>
      </c>
      <c r="L5799">
        <v>3.18</v>
      </c>
      <c r="M5799">
        <v>13932</v>
      </c>
      <c r="N5799" t="s">
        <v>680</v>
      </c>
      <c r="O5799">
        <v>251107</v>
      </c>
      <c r="P5799">
        <v>22.72</v>
      </c>
    </row>
    <row r="5800" spans="1:16" x14ac:dyDescent="0.25">
      <c r="A5800" t="s">
        <v>3296</v>
      </c>
      <c r="B5800" t="s">
        <v>2931</v>
      </c>
      <c r="C5800">
        <v>14830</v>
      </c>
      <c r="D5800" t="str">
        <f>"616141      "</f>
        <v xml:space="preserve">616141      </v>
      </c>
      <c r="E5800" t="s">
        <v>937</v>
      </c>
      <c r="F5800" t="s">
        <v>938</v>
      </c>
      <c r="G5800">
        <v>55.35</v>
      </c>
      <c r="H5800">
        <v>251031</v>
      </c>
      <c r="I5800">
        <v>4410</v>
      </c>
      <c r="J5800" t="s">
        <v>165</v>
      </c>
      <c r="K5800">
        <v>55.35</v>
      </c>
      <c r="L5800">
        <v>0</v>
      </c>
      <c r="M5800">
        <v>13932</v>
      </c>
      <c r="N5800" t="s">
        <v>680</v>
      </c>
      <c r="O5800">
        <v>251107</v>
      </c>
      <c r="P5800">
        <v>55.35</v>
      </c>
    </row>
    <row r="5801" spans="1:16" x14ac:dyDescent="0.25">
      <c r="A5801" t="s">
        <v>3296</v>
      </c>
      <c r="B5801" t="s">
        <v>2931</v>
      </c>
      <c r="C5801">
        <v>16136</v>
      </c>
      <c r="D5801" t="str">
        <f>"617312      "</f>
        <v xml:space="preserve">617312      </v>
      </c>
      <c r="E5801" t="s">
        <v>937</v>
      </c>
      <c r="F5801" t="s">
        <v>938</v>
      </c>
      <c r="G5801">
        <v>49.2</v>
      </c>
      <c r="H5801">
        <v>251128</v>
      </c>
      <c r="I5801">
        <v>4410</v>
      </c>
      <c r="J5801" t="s">
        <v>165</v>
      </c>
      <c r="K5801">
        <v>49.2</v>
      </c>
      <c r="L5801">
        <v>0</v>
      </c>
      <c r="M5801">
        <v>13932</v>
      </c>
      <c r="N5801" t="s">
        <v>680</v>
      </c>
      <c r="O5801">
        <v>251204</v>
      </c>
      <c r="P5801">
        <v>49.2</v>
      </c>
    </row>
    <row r="5802" spans="1:16" x14ac:dyDescent="0.25">
      <c r="A5802" t="s">
        <v>3296</v>
      </c>
      <c r="B5802" t="s">
        <v>2931</v>
      </c>
      <c r="C5802">
        <v>16137</v>
      </c>
      <c r="D5802" t="str">
        <f>"617311      "</f>
        <v xml:space="preserve">617311      </v>
      </c>
      <c r="E5802" t="s">
        <v>937</v>
      </c>
      <c r="F5802" t="s">
        <v>938</v>
      </c>
      <c r="G5802">
        <v>22.2</v>
      </c>
      <c r="H5802">
        <v>251128</v>
      </c>
      <c r="I5802">
        <v>4410</v>
      </c>
      <c r="J5802" t="s">
        <v>165</v>
      </c>
      <c r="K5802">
        <v>22.2</v>
      </c>
      <c r="L5802">
        <v>2.73</v>
      </c>
      <c r="M5802">
        <v>13932</v>
      </c>
      <c r="N5802" t="s">
        <v>680</v>
      </c>
      <c r="O5802">
        <v>251204</v>
      </c>
      <c r="P5802">
        <v>19.47</v>
      </c>
    </row>
    <row r="5803" spans="1:16" x14ac:dyDescent="0.25">
      <c r="A5803" t="s">
        <v>3296</v>
      </c>
      <c r="B5803" t="s">
        <v>2931</v>
      </c>
      <c r="C5803">
        <v>16138</v>
      </c>
      <c r="D5803" t="str">
        <f>"617379      "</f>
        <v xml:space="preserve">617379      </v>
      </c>
      <c r="E5803" t="s">
        <v>937</v>
      </c>
      <c r="F5803" t="s">
        <v>938</v>
      </c>
      <c r="G5803">
        <v>996.3</v>
      </c>
      <c r="H5803">
        <v>251130</v>
      </c>
      <c r="I5803">
        <v>4410</v>
      </c>
      <c r="J5803" t="s">
        <v>165</v>
      </c>
      <c r="K5803">
        <v>996.3</v>
      </c>
      <c r="L5803">
        <v>0</v>
      </c>
      <c r="M5803">
        <v>13932</v>
      </c>
      <c r="N5803" t="s">
        <v>680</v>
      </c>
      <c r="O5803">
        <v>251204</v>
      </c>
      <c r="P5803">
        <v>996.3</v>
      </c>
    </row>
    <row r="5804" spans="1:16" x14ac:dyDescent="0.25">
      <c r="A5804" t="s">
        <v>3296</v>
      </c>
      <c r="B5804" t="s">
        <v>2931</v>
      </c>
      <c r="C5804">
        <v>17898</v>
      </c>
      <c r="D5804" t="str">
        <f>"618426      "</f>
        <v xml:space="preserve">618426      </v>
      </c>
      <c r="E5804" t="s">
        <v>937</v>
      </c>
      <c r="F5804" t="s">
        <v>938</v>
      </c>
      <c r="G5804">
        <v>3.7</v>
      </c>
      <c r="H5804">
        <v>251220</v>
      </c>
      <c r="I5804">
        <v>4410</v>
      </c>
      <c r="J5804" t="s">
        <v>165</v>
      </c>
      <c r="K5804">
        <v>3.7</v>
      </c>
      <c r="L5804">
        <v>0.45</v>
      </c>
      <c r="M5804">
        <v>13932</v>
      </c>
      <c r="N5804" t="s">
        <v>680</v>
      </c>
      <c r="O5804">
        <v>260107</v>
      </c>
      <c r="P5804">
        <v>3.25</v>
      </c>
    </row>
    <row r="5805" spans="1:16" x14ac:dyDescent="0.25">
      <c r="A5805" t="s">
        <v>3296</v>
      </c>
      <c r="B5805" t="s">
        <v>2931</v>
      </c>
      <c r="C5805">
        <v>17899</v>
      </c>
      <c r="D5805" t="str">
        <f>"618427      "</f>
        <v xml:space="preserve">618427      </v>
      </c>
      <c r="E5805" t="s">
        <v>937</v>
      </c>
      <c r="F5805" t="s">
        <v>938</v>
      </c>
      <c r="G5805">
        <v>18.45</v>
      </c>
      <c r="H5805">
        <v>251220</v>
      </c>
      <c r="I5805">
        <v>4410</v>
      </c>
      <c r="J5805" t="s">
        <v>165</v>
      </c>
      <c r="K5805">
        <v>18.45</v>
      </c>
      <c r="L5805">
        <v>0</v>
      </c>
      <c r="M5805">
        <v>13932</v>
      </c>
      <c r="N5805" t="s">
        <v>680</v>
      </c>
      <c r="O5805">
        <v>260107</v>
      </c>
      <c r="P5805">
        <v>18.45</v>
      </c>
    </row>
    <row r="5806" spans="1:16" x14ac:dyDescent="0.25">
      <c r="A5806" t="s">
        <v>3296</v>
      </c>
      <c r="B5806" t="s">
        <v>2931</v>
      </c>
      <c r="C5806">
        <v>17925</v>
      </c>
      <c r="D5806" t="str">
        <f>"618509      "</f>
        <v xml:space="preserve">618509      </v>
      </c>
      <c r="E5806" t="s">
        <v>937</v>
      </c>
      <c r="F5806" t="s">
        <v>938</v>
      </c>
      <c r="G5806">
        <v>473.55</v>
      </c>
      <c r="H5806">
        <v>251231</v>
      </c>
      <c r="I5806">
        <v>4410</v>
      </c>
      <c r="J5806" t="s">
        <v>165</v>
      </c>
      <c r="K5806">
        <v>473.55</v>
      </c>
      <c r="L5806">
        <v>0</v>
      </c>
      <c r="M5806">
        <v>13932</v>
      </c>
      <c r="N5806" t="s">
        <v>680</v>
      </c>
      <c r="O5806">
        <v>260107</v>
      </c>
      <c r="P5806">
        <v>473.55</v>
      </c>
    </row>
    <row r="5807" spans="1:16" x14ac:dyDescent="0.25">
      <c r="A5807" t="s">
        <v>3296</v>
      </c>
      <c r="B5807" t="s">
        <v>2931</v>
      </c>
      <c r="C5807">
        <v>11354</v>
      </c>
      <c r="D5807" t="str">
        <f>"3703        "</f>
        <v xml:space="preserve">3703        </v>
      </c>
      <c r="E5807" t="s">
        <v>2126</v>
      </c>
      <c r="F5807" t="s">
        <v>2127</v>
      </c>
      <c r="G5807">
        <v>14912.71</v>
      </c>
      <c r="H5807">
        <v>250902</v>
      </c>
      <c r="I5807">
        <v>4380</v>
      </c>
      <c r="J5807" t="s">
        <v>211</v>
      </c>
      <c r="K5807">
        <v>5030.07</v>
      </c>
      <c r="L5807">
        <v>3030.07</v>
      </c>
      <c r="M5807">
        <v>17538</v>
      </c>
      <c r="N5807" t="s">
        <v>129</v>
      </c>
      <c r="O5807">
        <v>250904</v>
      </c>
      <c r="P5807">
        <v>11882.64</v>
      </c>
    </row>
    <row r="5808" spans="1:16" x14ac:dyDescent="0.25">
      <c r="A5808" t="s">
        <v>3296</v>
      </c>
      <c r="B5808" t="s">
        <v>2931</v>
      </c>
      <c r="C5808">
        <v>9424</v>
      </c>
      <c r="D5808" t="str">
        <f>"3603        "</f>
        <v xml:space="preserve">3603        </v>
      </c>
      <c r="E5808" t="s">
        <v>2126</v>
      </c>
      <c r="F5808" t="s">
        <v>2127</v>
      </c>
      <c r="G5808">
        <v>10663.4</v>
      </c>
      <c r="H5808">
        <v>250702</v>
      </c>
      <c r="I5808">
        <v>4390</v>
      </c>
      <c r="J5808" t="s">
        <v>232</v>
      </c>
      <c r="K5808">
        <v>10663.4</v>
      </c>
      <c r="L5808">
        <v>0</v>
      </c>
      <c r="M5808">
        <v>17952</v>
      </c>
      <c r="N5808" t="s">
        <v>157</v>
      </c>
      <c r="O5808">
        <v>250707</v>
      </c>
      <c r="P5808">
        <v>10663.4</v>
      </c>
    </row>
    <row r="5809" spans="1:16" x14ac:dyDescent="0.25">
      <c r="A5809" t="s">
        <v>3296</v>
      </c>
      <c r="B5809" t="s">
        <v>2931</v>
      </c>
      <c r="C5809">
        <v>17757</v>
      </c>
      <c r="D5809" t="str">
        <f>"4078864297  "</f>
        <v xml:space="preserve">4078864297  </v>
      </c>
      <c r="E5809" t="s">
        <v>2045</v>
      </c>
      <c r="F5809" t="s">
        <v>2046</v>
      </c>
      <c r="G5809">
        <v>1034</v>
      </c>
      <c r="H5809">
        <v>251209</v>
      </c>
      <c r="I5809">
        <v>4530</v>
      </c>
      <c r="J5809" t="s">
        <v>293</v>
      </c>
      <c r="K5809">
        <v>1034</v>
      </c>
      <c r="L5809">
        <v>210.1</v>
      </c>
      <c r="M5809">
        <v>69111</v>
      </c>
      <c r="N5809" t="s">
        <v>657</v>
      </c>
      <c r="O5809">
        <v>251230</v>
      </c>
      <c r="P5809">
        <v>823.9</v>
      </c>
    </row>
    <row r="5810" spans="1:16" x14ac:dyDescent="0.25">
      <c r="A5810" t="s">
        <v>3296</v>
      </c>
      <c r="B5810" t="s">
        <v>2931</v>
      </c>
      <c r="C5810">
        <v>13973</v>
      </c>
      <c r="D5810" t="str">
        <f>"0610960964  "</f>
        <v xml:space="preserve">0610960964  </v>
      </c>
      <c r="E5810" t="s">
        <v>2045</v>
      </c>
      <c r="F5810" t="s">
        <v>2046</v>
      </c>
      <c r="G5810">
        <v>898.64</v>
      </c>
      <c r="H5810">
        <v>251001</v>
      </c>
      <c r="I5810">
        <v>4580</v>
      </c>
      <c r="J5810" t="s">
        <v>126</v>
      </c>
      <c r="K5810">
        <v>898.64</v>
      </c>
      <c r="L5810">
        <v>182.59</v>
      </c>
      <c r="M5810">
        <v>69702</v>
      </c>
      <c r="N5810" t="s">
        <v>124</v>
      </c>
      <c r="O5810">
        <v>251021</v>
      </c>
      <c r="P5810">
        <v>716.05</v>
      </c>
    </row>
    <row r="5811" spans="1:16" x14ac:dyDescent="0.25">
      <c r="A5811" t="s">
        <v>3296</v>
      </c>
      <c r="B5811" t="s">
        <v>2931</v>
      </c>
      <c r="C5811">
        <v>8605</v>
      </c>
      <c r="D5811" t="str">
        <f>"0604689359  "</f>
        <v xml:space="preserve">0604689359  </v>
      </c>
      <c r="E5811" t="s">
        <v>2045</v>
      </c>
      <c r="F5811" t="s">
        <v>2046</v>
      </c>
      <c r="G5811">
        <v>2444</v>
      </c>
      <c r="H5811">
        <v>250527</v>
      </c>
      <c r="I5811">
        <v>4600</v>
      </c>
      <c r="J5811" t="s">
        <v>278</v>
      </c>
      <c r="K5811">
        <v>2444</v>
      </c>
      <c r="L5811">
        <v>496.59</v>
      </c>
      <c r="M5811">
        <v>59111</v>
      </c>
      <c r="N5811" t="s">
        <v>60</v>
      </c>
      <c r="O5811">
        <v>250617</v>
      </c>
      <c r="P5811">
        <v>1947.41</v>
      </c>
    </row>
    <row r="5812" spans="1:16" x14ac:dyDescent="0.25">
      <c r="A5812" t="s">
        <v>3296</v>
      </c>
      <c r="B5812" t="s">
        <v>2931</v>
      </c>
      <c r="C5812">
        <v>2594</v>
      </c>
      <c r="D5812" t="str">
        <f>"4729        "</f>
        <v xml:space="preserve">4729        </v>
      </c>
      <c r="E5812" t="s">
        <v>2955</v>
      </c>
      <c r="F5812" t="s">
        <v>2956</v>
      </c>
      <c r="G5812">
        <v>2250</v>
      </c>
      <c r="H5812">
        <v>250220</v>
      </c>
      <c r="I5812">
        <v>4441</v>
      </c>
      <c r="J5812" t="s">
        <v>234</v>
      </c>
      <c r="K5812">
        <v>2250</v>
      </c>
      <c r="L5812">
        <v>0</v>
      </c>
      <c r="M5812">
        <v>11903</v>
      </c>
      <c r="N5812" t="s">
        <v>32</v>
      </c>
      <c r="O5812">
        <v>250306</v>
      </c>
      <c r="P5812">
        <v>2250</v>
      </c>
    </row>
    <row r="5813" spans="1:16" x14ac:dyDescent="0.25">
      <c r="A5813" t="s">
        <v>3296</v>
      </c>
      <c r="B5813" t="s">
        <v>2931</v>
      </c>
      <c r="C5813">
        <v>2595</v>
      </c>
      <c r="D5813" t="str">
        <f>"4733        "</f>
        <v xml:space="preserve">4733        </v>
      </c>
      <c r="E5813" t="s">
        <v>2955</v>
      </c>
      <c r="F5813" t="s">
        <v>2956</v>
      </c>
      <c r="G5813">
        <v>450</v>
      </c>
      <c r="H5813">
        <v>250301</v>
      </c>
      <c r="I5813">
        <v>4441</v>
      </c>
      <c r="J5813" t="s">
        <v>234</v>
      </c>
      <c r="K5813">
        <v>450</v>
      </c>
      <c r="L5813">
        <v>0</v>
      </c>
      <c r="M5813">
        <v>11903</v>
      </c>
      <c r="N5813" t="s">
        <v>32</v>
      </c>
      <c r="O5813">
        <v>250307</v>
      </c>
      <c r="P5813">
        <v>450</v>
      </c>
    </row>
    <row r="5814" spans="1:16" x14ac:dyDescent="0.25">
      <c r="A5814" t="s">
        <v>3296</v>
      </c>
      <c r="B5814" t="s">
        <v>2931</v>
      </c>
      <c r="C5814">
        <v>2612</v>
      </c>
      <c r="D5814" t="str">
        <f>"4756        "</f>
        <v xml:space="preserve">4756        </v>
      </c>
      <c r="E5814" t="s">
        <v>2955</v>
      </c>
      <c r="F5814" t="s">
        <v>2956</v>
      </c>
      <c r="G5814">
        <v>225</v>
      </c>
      <c r="H5814">
        <v>250301</v>
      </c>
      <c r="I5814">
        <v>4441</v>
      </c>
      <c r="J5814" t="s">
        <v>234</v>
      </c>
      <c r="K5814">
        <v>225</v>
      </c>
      <c r="L5814">
        <v>0</v>
      </c>
      <c r="M5814">
        <v>11903</v>
      </c>
      <c r="N5814" t="s">
        <v>32</v>
      </c>
      <c r="O5814">
        <v>250307</v>
      </c>
      <c r="P5814">
        <v>225</v>
      </c>
    </row>
    <row r="5815" spans="1:16" x14ac:dyDescent="0.25">
      <c r="A5815" t="s">
        <v>3296</v>
      </c>
      <c r="B5815" t="s">
        <v>2931</v>
      </c>
      <c r="C5815">
        <v>2739</v>
      </c>
      <c r="D5815" t="str">
        <f>"4815        "</f>
        <v xml:space="preserve">4815        </v>
      </c>
      <c r="E5815" t="s">
        <v>2955</v>
      </c>
      <c r="F5815" t="s">
        <v>2956</v>
      </c>
      <c r="G5815">
        <v>225</v>
      </c>
      <c r="H5815">
        <v>250228</v>
      </c>
      <c r="I5815">
        <v>4441</v>
      </c>
      <c r="J5815" t="s">
        <v>234</v>
      </c>
      <c r="K5815">
        <v>225</v>
      </c>
      <c r="L5815">
        <v>0</v>
      </c>
      <c r="M5815">
        <v>11903</v>
      </c>
      <c r="N5815" t="s">
        <v>32</v>
      </c>
      <c r="O5815">
        <v>250311</v>
      </c>
      <c r="P5815">
        <v>225</v>
      </c>
    </row>
    <row r="5816" spans="1:16" x14ac:dyDescent="0.25">
      <c r="A5816" t="s">
        <v>3296</v>
      </c>
      <c r="B5816" t="s">
        <v>2931</v>
      </c>
      <c r="C5816">
        <v>3957</v>
      </c>
      <c r="D5816" t="str">
        <f>"4915        "</f>
        <v xml:space="preserve">4915        </v>
      </c>
      <c r="E5816" t="s">
        <v>2955</v>
      </c>
      <c r="F5816" t="s">
        <v>2956</v>
      </c>
      <c r="G5816">
        <v>275</v>
      </c>
      <c r="H5816">
        <v>250321</v>
      </c>
      <c r="I5816">
        <v>4441</v>
      </c>
      <c r="J5816" t="s">
        <v>234</v>
      </c>
      <c r="K5816">
        <v>275</v>
      </c>
      <c r="L5816">
        <v>0</v>
      </c>
      <c r="M5816">
        <v>11903</v>
      </c>
      <c r="N5816" t="s">
        <v>32</v>
      </c>
      <c r="O5816">
        <v>250404</v>
      </c>
      <c r="P5816">
        <v>275</v>
      </c>
    </row>
    <row r="5817" spans="1:16" x14ac:dyDescent="0.25">
      <c r="A5817" t="s">
        <v>3296</v>
      </c>
      <c r="B5817" t="s">
        <v>2931</v>
      </c>
      <c r="C5817">
        <v>125</v>
      </c>
      <c r="D5817" t="str">
        <f>"1046078369  "</f>
        <v xml:space="preserve">1046078369  </v>
      </c>
      <c r="E5817" t="s">
        <v>2932</v>
      </c>
      <c r="F5817" t="s">
        <v>2933</v>
      </c>
      <c r="G5817">
        <v>95</v>
      </c>
      <c r="H5817">
        <v>250101</v>
      </c>
      <c r="I5817">
        <v>4440</v>
      </c>
      <c r="J5817" t="s">
        <v>346</v>
      </c>
      <c r="K5817">
        <v>95</v>
      </c>
      <c r="L5817">
        <v>0</v>
      </c>
      <c r="M5817">
        <v>67522</v>
      </c>
      <c r="N5817" t="s">
        <v>121</v>
      </c>
      <c r="O5817">
        <v>250113</v>
      </c>
      <c r="P5817">
        <v>95</v>
      </c>
    </row>
    <row r="5818" spans="1:16" x14ac:dyDescent="0.25">
      <c r="A5818" t="s">
        <v>3296</v>
      </c>
      <c r="B5818" t="s">
        <v>2931</v>
      </c>
      <c r="C5818">
        <v>6109</v>
      </c>
      <c r="D5818" t="str">
        <f>"24496       "</f>
        <v xml:space="preserve">24496       </v>
      </c>
      <c r="E5818" t="s">
        <v>1841</v>
      </c>
      <c r="F5818" t="s">
        <v>1842</v>
      </c>
      <c r="G5818">
        <v>282.38</v>
      </c>
      <c r="H5818">
        <v>250501</v>
      </c>
      <c r="I5818">
        <v>4347</v>
      </c>
      <c r="J5818" t="s">
        <v>328</v>
      </c>
      <c r="K5818">
        <v>753.01</v>
      </c>
      <c r="L5818">
        <v>57.38</v>
      </c>
      <c r="M5818">
        <v>17523</v>
      </c>
      <c r="N5818" t="s">
        <v>138</v>
      </c>
      <c r="O5818">
        <v>250509</v>
      </c>
      <c r="P5818">
        <v>225</v>
      </c>
    </row>
    <row r="5819" spans="1:16" x14ac:dyDescent="0.25">
      <c r="A5819" t="s">
        <v>3296</v>
      </c>
      <c r="B5819" t="s">
        <v>2931</v>
      </c>
      <c r="C5819">
        <v>6109</v>
      </c>
      <c r="D5819" t="str">
        <f>"24496       "</f>
        <v xml:space="preserve">24496       </v>
      </c>
      <c r="E5819" t="s">
        <v>1841</v>
      </c>
      <c r="F5819" t="s">
        <v>1842</v>
      </c>
      <c r="G5819">
        <v>470.63</v>
      </c>
      <c r="H5819">
        <v>250501</v>
      </c>
      <c r="I5819">
        <v>4600</v>
      </c>
      <c r="J5819" t="s">
        <v>278</v>
      </c>
      <c r="K5819">
        <v>753.01</v>
      </c>
      <c r="L5819">
        <v>95.63</v>
      </c>
      <c r="M5819">
        <v>17523</v>
      </c>
      <c r="N5819" t="s">
        <v>138</v>
      </c>
      <c r="O5819">
        <v>250509</v>
      </c>
      <c r="P5819">
        <v>375</v>
      </c>
    </row>
    <row r="5820" spans="1:16" x14ac:dyDescent="0.25">
      <c r="A5820" t="s">
        <v>3296</v>
      </c>
      <c r="B5820" t="s">
        <v>2931</v>
      </c>
      <c r="C5820">
        <v>7333</v>
      </c>
      <c r="D5820" t="str">
        <f>"2209        "</f>
        <v xml:space="preserve">2209        </v>
      </c>
      <c r="E5820" t="s">
        <v>1950</v>
      </c>
      <c r="F5820" t="s">
        <v>1952</v>
      </c>
      <c r="G5820">
        <v>67.5</v>
      </c>
      <c r="H5820">
        <v>250520</v>
      </c>
      <c r="I5820">
        <v>4520</v>
      </c>
      <c r="J5820" t="s">
        <v>280</v>
      </c>
      <c r="K5820">
        <v>72.5</v>
      </c>
      <c r="L5820">
        <v>8.2899999999999991</v>
      </c>
      <c r="M5820">
        <v>41138</v>
      </c>
      <c r="N5820" t="s">
        <v>1951</v>
      </c>
      <c r="O5820">
        <v>250603</v>
      </c>
      <c r="P5820">
        <v>59.21</v>
      </c>
    </row>
    <row r="5821" spans="1:16" x14ac:dyDescent="0.25">
      <c r="A5821" t="s">
        <v>3296</v>
      </c>
      <c r="B5821" t="s">
        <v>2931</v>
      </c>
      <c r="C5821">
        <v>7333</v>
      </c>
      <c r="D5821" t="str">
        <f>"2209        "</f>
        <v xml:space="preserve">2209        </v>
      </c>
      <c r="E5821" t="s">
        <v>1950</v>
      </c>
      <c r="F5821" t="s">
        <v>1952</v>
      </c>
      <c r="G5821">
        <v>5</v>
      </c>
      <c r="H5821">
        <v>250520</v>
      </c>
      <c r="I5821">
        <v>4600</v>
      </c>
      <c r="J5821" t="s">
        <v>278</v>
      </c>
      <c r="K5821">
        <v>72.5</v>
      </c>
      <c r="L5821">
        <v>1.02</v>
      </c>
      <c r="M5821">
        <v>41138</v>
      </c>
      <c r="N5821" t="s">
        <v>1951</v>
      </c>
      <c r="O5821">
        <v>250603</v>
      </c>
      <c r="P5821">
        <v>3.98</v>
      </c>
    </row>
    <row r="5822" spans="1:16" x14ac:dyDescent="0.25">
      <c r="A5822" t="s">
        <v>3296</v>
      </c>
      <c r="B5822" t="s">
        <v>2931</v>
      </c>
      <c r="C5822">
        <v>9169</v>
      </c>
      <c r="D5822" t="str">
        <f>"424         "</f>
        <v xml:space="preserve">424         </v>
      </c>
      <c r="E5822" t="s">
        <v>2103</v>
      </c>
      <c r="F5822" t="s">
        <v>2104</v>
      </c>
      <c r="G5822">
        <v>225.97</v>
      </c>
      <c r="H5822">
        <v>250620</v>
      </c>
      <c r="I5822">
        <v>4400</v>
      </c>
      <c r="J5822" t="s">
        <v>162</v>
      </c>
      <c r="K5822">
        <v>251.07</v>
      </c>
      <c r="L5822">
        <v>45.91</v>
      </c>
      <c r="M5822">
        <v>69113</v>
      </c>
      <c r="N5822" t="s">
        <v>122</v>
      </c>
      <c r="O5822">
        <v>250627</v>
      </c>
      <c r="P5822">
        <v>180.06</v>
      </c>
    </row>
    <row r="5823" spans="1:16" x14ac:dyDescent="0.25">
      <c r="A5823" t="s">
        <v>3296</v>
      </c>
      <c r="B5823" t="s">
        <v>2931</v>
      </c>
      <c r="C5823">
        <v>9169</v>
      </c>
      <c r="D5823" t="str">
        <f>"424         "</f>
        <v xml:space="preserve">424         </v>
      </c>
      <c r="E5823" t="s">
        <v>2103</v>
      </c>
      <c r="F5823" t="s">
        <v>2104</v>
      </c>
      <c r="G5823">
        <v>12.55</v>
      </c>
      <c r="H5823">
        <v>250620</v>
      </c>
      <c r="I5823">
        <v>4400</v>
      </c>
      <c r="J5823" t="s">
        <v>162</v>
      </c>
      <c r="K5823">
        <v>251.07</v>
      </c>
      <c r="L5823">
        <v>2.5499999999999998</v>
      </c>
      <c r="M5823">
        <v>69802</v>
      </c>
      <c r="N5823" t="s">
        <v>375</v>
      </c>
      <c r="O5823">
        <v>250627</v>
      </c>
      <c r="P5823">
        <v>10</v>
      </c>
    </row>
    <row r="5824" spans="1:16" x14ac:dyDescent="0.25">
      <c r="A5824" t="s">
        <v>3296</v>
      </c>
      <c r="B5824" t="s">
        <v>2931</v>
      </c>
      <c r="C5824">
        <v>9169</v>
      </c>
      <c r="D5824" t="str">
        <f>"424         "</f>
        <v xml:space="preserve">424         </v>
      </c>
      <c r="E5824" t="s">
        <v>2103</v>
      </c>
      <c r="F5824" t="s">
        <v>2104</v>
      </c>
      <c r="G5824">
        <v>12.55</v>
      </c>
      <c r="H5824">
        <v>250620</v>
      </c>
      <c r="I5824">
        <v>4400</v>
      </c>
      <c r="J5824" t="s">
        <v>162</v>
      </c>
      <c r="K5824">
        <v>251.07</v>
      </c>
      <c r="L5824">
        <v>2.5499999999999998</v>
      </c>
      <c r="M5824">
        <v>69804</v>
      </c>
      <c r="N5824" t="s">
        <v>376</v>
      </c>
      <c r="O5824">
        <v>250627</v>
      </c>
      <c r="P5824">
        <v>10</v>
      </c>
    </row>
    <row r="5825" spans="1:16" x14ac:dyDescent="0.25">
      <c r="A5825" t="s">
        <v>3296</v>
      </c>
      <c r="B5825" t="s">
        <v>2931</v>
      </c>
      <c r="C5825">
        <v>16709</v>
      </c>
      <c r="D5825" t="str">
        <f>"466         "</f>
        <v xml:space="preserve">466         </v>
      </c>
      <c r="E5825" t="s">
        <v>2103</v>
      </c>
      <c r="F5825" t="s">
        <v>2104</v>
      </c>
      <c r="G5825">
        <v>1884.67</v>
      </c>
      <c r="H5825">
        <v>251209</v>
      </c>
      <c r="I5825">
        <v>4400</v>
      </c>
      <c r="J5825" t="s">
        <v>162</v>
      </c>
      <c r="K5825">
        <v>1884.67</v>
      </c>
      <c r="L5825">
        <v>382.94</v>
      </c>
      <c r="M5825">
        <v>69501</v>
      </c>
      <c r="N5825" t="s">
        <v>123</v>
      </c>
      <c r="O5825">
        <v>251211</v>
      </c>
      <c r="P5825">
        <v>1501.73</v>
      </c>
    </row>
    <row r="5826" spans="1:16" x14ac:dyDescent="0.25">
      <c r="A5826" t="s">
        <v>3296</v>
      </c>
      <c r="B5826" t="s">
        <v>2931</v>
      </c>
      <c r="C5826">
        <v>8926</v>
      </c>
      <c r="D5826" t="str">
        <f>"1614        "</f>
        <v xml:space="preserve">1614        </v>
      </c>
      <c r="E5826" t="s">
        <v>2065</v>
      </c>
      <c r="F5826" t="s">
        <v>2067</v>
      </c>
      <c r="G5826">
        <v>17582.25</v>
      </c>
      <c r="H5826">
        <v>250612</v>
      </c>
      <c r="I5826">
        <v>1196</v>
      </c>
      <c r="J5826" t="s">
        <v>340</v>
      </c>
      <c r="K5826">
        <v>17582.25</v>
      </c>
      <c r="L5826">
        <v>0</v>
      </c>
      <c r="M5826">
        <v>96501</v>
      </c>
      <c r="N5826" t="s">
        <v>2066</v>
      </c>
      <c r="O5826">
        <v>250619</v>
      </c>
      <c r="P5826">
        <v>17582.25</v>
      </c>
    </row>
    <row r="5827" spans="1:16" x14ac:dyDescent="0.25">
      <c r="A5827" t="s">
        <v>3296</v>
      </c>
      <c r="B5827" t="s">
        <v>2931</v>
      </c>
      <c r="C5827">
        <v>9481</v>
      </c>
      <c r="D5827" t="str">
        <f>"1613        "</f>
        <v xml:space="preserve">1613        </v>
      </c>
      <c r="E5827" t="s">
        <v>2065</v>
      </c>
      <c r="F5827" t="s">
        <v>2067</v>
      </c>
      <c r="G5827">
        <v>5274.68</v>
      </c>
      <c r="H5827">
        <v>250609</v>
      </c>
      <c r="I5827">
        <v>1196</v>
      </c>
      <c r="J5827" t="s">
        <v>340</v>
      </c>
      <c r="K5827">
        <v>5274.68</v>
      </c>
      <c r="L5827">
        <v>0</v>
      </c>
      <c r="M5827">
        <v>96501</v>
      </c>
      <c r="N5827" t="s">
        <v>2066</v>
      </c>
      <c r="O5827">
        <v>250709</v>
      </c>
      <c r="P5827">
        <v>5274.68</v>
      </c>
    </row>
    <row r="5828" spans="1:16" x14ac:dyDescent="0.25">
      <c r="A5828" t="s">
        <v>3296</v>
      </c>
      <c r="B5828" t="s">
        <v>2931</v>
      </c>
      <c r="C5828">
        <v>9505</v>
      </c>
      <c r="D5828" t="str">
        <f>"1620        "</f>
        <v xml:space="preserve">1620        </v>
      </c>
      <c r="E5828" t="s">
        <v>2065</v>
      </c>
      <c r="F5828" t="s">
        <v>2067</v>
      </c>
      <c r="G5828">
        <v>6500</v>
      </c>
      <c r="H5828">
        <v>250624</v>
      </c>
      <c r="I5828">
        <v>1196</v>
      </c>
      <c r="J5828" t="s">
        <v>340</v>
      </c>
      <c r="K5828">
        <v>6500</v>
      </c>
      <c r="L5828">
        <v>0</v>
      </c>
      <c r="M5828">
        <v>96501</v>
      </c>
      <c r="N5828" t="s">
        <v>2066</v>
      </c>
      <c r="O5828">
        <v>250709</v>
      </c>
      <c r="P5828">
        <v>6500</v>
      </c>
    </row>
    <row r="5829" spans="1:16" x14ac:dyDescent="0.25">
      <c r="A5829" t="s">
        <v>3296</v>
      </c>
      <c r="B5829" t="s">
        <v>2931</v>
      </c>
      <c r="C5829">
        <v>9526</v>
      </c>
      <c r="D5829" t="str">
        <f>"1612        "</f>
        <v xml:space="preserve">1612        </v>
      </c>
      <c r="E5829" t="s">
        <v>2065</v>
      </c>
      <c r="F5829" t="s">
        <v>2067</v>
      </c>
      <c r="G5829">
        <v>12307.58</v>
      </c>
      <c r="H5829">
        <v>250630</v>
      </c>
      <c r="I5829">
        <v>1196</v>
      </c>
      <c r="J5829" t="s">
        <v>340</v>
      </c>
      <c r="K5829">
        <v>12307.58</v>
      </c>
      <c r="L5829">
        <v>0</v>
      </c>
      <c r="M5829">
        <v>96501</v>
      </c>
      <c r="N5829" t="s">
        <v>2066</v>
      </c>
      <c r="O5829">
        <v>250709</v>
      </c>
      <c r="P5829">
        <v>12307.58</v>
      </c>
    </row>
    <row r="5830" spans="1:16" x14ac:dyDescent="0.25">
      <c r="A5830" t="s">
        <v>3296</v>
      </c>
      <c r="B5830" t="s">
        <v>2931</v>
      </c>
      <c r="C5830">
        <v>10288</v>
      </c>
      <c r="D5830" t="str">
        <f>"1634        "</f>
        <v xml:space="preserve">1634        </v>
      </c>
      <c r="E5830" t="s">
        <v>2065</v>
      </c>
      <c r="F5830" t="s">
        <v>2067</v>
      </c>
      <c r="G5830">
        <v>6500</v>
      </c>
      <c r="H5830">
        <v>250804</v>
      </c>
      <c r="I5830">
        <v>1196</v>
      </c>
      <c r="J5830" t="s">
        <v>340</v>
      </c>
      <c r="K5830">
        <v>6500</v>
      </c>
      <c r="L5830">
        <v>0</v>
      </c>
      <c r="M5830">
        <v>96501</v>
      </c>
      <c r="N5830" t="s">
        <v>2066</v>
      </c>
      <c r="O5830">
        <v>250813</v>
      </c>
      <c r="P5830">
        <v>6500</v>
      </c>
    </row>
    <row r="5831" spans="1:16" x14ac:dyDescent="0.25">
      <c r="A5831" t="s">
        <v>3296</v>
      </c>
      <c r="B5831" t="s">
        <v>2931</v>
      </c>
      <c r="C5831">
        <v>10644</v>
      </c>
      <c r="D5831" t="str">
        <f>"1632        "</f>
        <v xml:space="preserve">1632        </v>
      </c>
      <c r="E5831" t="s">
        <v>2065</v>
      </c>
      <c r="F5831" t="s">
        <v>2067</v>
      </c>
      <c r="G5831">
        <v>12307.58</v>
      </c>
      <c r="H5831">
        <v>250814</v>
      </c>
      <c r="I5831">
        <v>1196</v>
      </c>
      <c r="J5831" t="s">
        <v>340</v>
      </c>
      <c r="K5831">
        <v>12307.58</v>
      </c>
      <c r="L5831">
        <v>0</v>
      </c>
      <c r="M5831">
        <v>96501</v>
      </c>
      <c r="N5831" t="s">
        <v>2066</v>
      </c>
      <c r="O5831">
        <v>250821</v>
      </c>
      <c r="P5831">
        <v>12307.58</v>
      </c>
    </row>
    <row r="5832" spans="1:16" x14ac:dyDescent="0.25">
      <c r="A5832" t="s">
        <v>3296</v>
      </c>
      <c r="B5832" t="s">
        <v>2931</v>
      </c>
      <c r="C5832">
        <v>10883</v>
      </c>
      <c r="D5832" t="str">
        <f>"1633        "</f>
        <v xml:space="preserve">1633        </v>
      </c>
      <c r="E5832" t="s">
        <v>2065</v>
      </c>
      <c r="F5832" t="s">
        <v>2067</v>
      </c>
      <c r="G5832">
        <v>5274.68</v>
      </c>
      <c r="H5832">
        <v>250820</v>
      </c>
      <c r="I5832">
        <v>1196</v>
      </c>
      <c r="J5832" t="s">
        <v>340</v>
      </c>
      <c r="K5832">
        <v>5274.68</v>
      </c>
      <c r="L5832">
        <v>0</v>
      </c>
      <c r="M5832">
        <v>96501</v>
      </c>
      <c r="N5832" t="s">
        <v>2066</v>
      </c>
      <c r="O5832">
        <v>250826</v>
      </c>
      <c r="P5832">
        <v>5274.68</v>
      </c>
    </row>
    <row r="5833" spans="1:16" x14ac:dyDescent="0.25">
      <c r="A5833" t="s">
        <v>3296</v>
      </c>
      <c r="B5833" t="s">
        <v>2931</v>
      </c>
      <c r="C5833">
        <v>11737</v>
      </c>
      <c r="D5833" t="str">
        <f>"1659        "</f>
        <v xml:space="preserve">1659        </v>
      </c>
      <c r="E5833" t="s">
        <v>2065</v>
      </c>
      <c r="F5833" t="s">
        <v>2067</v>
      </c>
      <c r="G5833">
        <v>350</v>
      </c>
      <c r="H5833">
        <v>250829</v>
      </c>
      <c r="I5833">
        <v>1196</v>
      </c>
      <c r="J5833" t="s">
        <v>340</v>
      </c>
      <c r="K5833">
        <v>700</v>
      </c>
      <c r="L5833">
        <v>0</v>
      </c>
      <c r="M5833">
        <v>96501</v>
      </c>
      <c r="N5833" t="s">
        <v>2066</v>
      </c>
      <c r="O5833">
        <v>250910</v>
      </c>
      <c r="P5833">
        <v>350</v>
      </c>
    </row>
    <row r="5834" spans="1:16" x14ac:dyDescent="0.25">
      <c r="A5834" t="s">
        <v>3296</v>
      </c>
      <c r="B5834" t="s">
        <v>2931</v>
      </c>
      <c r="C5834">
        <v>11737</v>
      </c>
      <c r="D5834" t="str">
        <f>"1659        "</f>
        <v xml:space="preserve">1659        </v>
      </c>
      <c r="E5834" t="s">
        <v>2065</v>
      </c>
      <c r="F5834" t="s">
        <v>2067</v>
      </c>
      <c r="G5834">
        <v>350</v>
      </c>
      <c r="H5834">
        <v>250829</v>
      </c>
      <c r="I5834">
        <v>1196</v>
      </c>
      <c r="J5834" t="s">
        <v>340</v>
      </c>
      <c r="K5834">
        <v>700</v>
      </c>
      <c r="L5834">
        <v>0</v>
      </c>
      <c r="M5834">
        <v>96501</v>
      </c>
      <c r="N5834" t="s">
        <v>2066</v>
      </c>
      <c r="O5834">
        <v>250910</v>
      </c>
      <c r="P5834">
        <v>350</v>
      </c>
    </row>
    <row r="5835" spans="1:16" x14ac:dyDescent="0.25">
      <c r="A5835" t="s">
        <v>3296</v>
      </c>
      <c r="B5835" t="s">
        <v>2931</v>
      </c>
      <c r="C5835">
        <v>13864</v>
      </c>
      <c r="D5835" t="str">
        <f>"1682        "</f>
        <v xml:space="preserve">1682        </v>
      </c>
      <c r="E5835" t="s">
        <v>2065</v>
      </c>
      <c r="F5835" t="s">
        <v>2067</v>
      </c>
      <c r="G5835">
        <v>749.5</v>
      </c>
      <c r="H5835">
        <v>251007</v>
      </c>
      <c r="I5835">
        <v>1196</v>
      </c>
      <c r="J5835" t="s">
        <v>340</v>
      </c>
      <c r="K5835">
        <v>749.5</v>
      </c>
      <c r="L5835">
        <v>0</v>
      </c>
      <c r="M5835">
        <v>96501</v>
      </c>
      <c r="N5835" t="s">
        <v>2066</v>
      </c>
      <c r="O5835">
        <v>251020</v>
      </c>
      <c r="P5835">
        <v>749.5</v>
      </c>
    </row>
    <row r="5836" spans="1:16" x14ac:dyDescent="0.25">
      <c r="A5836" t="s">
        <v>3296</v>
      </c>
      <c r="B5836" t="s">
        <v>2931</v>
      </c>
      <c r="C5836">
        <v>9921</v>
      </c>
      <c r="D5836" t="str">
        <f>"1631        "</f>
        <v xml:space="preserve">1631        </v>
      </c>
      <c r="E5836" t="s">
        <v>2065</v>
      </c>
      <c r="F5836" t="s">
        <v>2067</v>
      </c>
      <c r="G5836">
        <v>17582.25</v>
      </c>
      <c r="H5836">
        <v>250728</v>
      </c>
      <c r="I5836">
        <v>1197</v>
      </c>
      <c r="J5836" t="s">
        <v>2156</v>
      </c>
      <c r="K5836">
        <v>17582.25</v>
      </c>
      <c r="L5836">
        <v>0</v>
      </c>
      <c r="M5836">
        <v>96501</v>
      </c>
      <c r="N5836" t="s">
        <v>2066</v>
      </c>
      <c r="O5836">
        <v>250804</v>
      </c>
      <c r="P5836">
        <v>17582.25</v>
      </c>
    </row>
    <row r="5837" spans="1:16" x14ac:dyDescent="0.25">
      <c r="A5837" t="s">
        <v>3296</v>
      </c>
      <c r="B5837" t="s">
        <v>2931</v>
      </c>
      <c r="C5837">
        <v>12571</v>
      </c>
      <c r="D5837" t="str">
        <f>"41714045    "</f>
        <v xml:space="preserve">41714045    </v>
      </c>
      <c r="E5837" t="s">
        <v>2368</v>
      </c>
      <c r="F5837" t="s">
        <v>2369</v>
      </c>
      <c r="G5837">
        <v>65.55</v>
      </c>
      <c r="H5837">
        <v>250916</v>
      </c>
      <c r="I5837">
        <v>4600</v>
      </c>
      <c r="J5837" t="s">
        <v>278</v>
      </c>
      <c r="K5837">
        <v>65.55</v>
      </c>
      <c r="L5837">
        <v>13.32</v>
      </c>
      <c r="M5837">
        <v>17812</v>
      </c>
      <c r="N5837" t="s">
        <v>816</v>
      </c>
      <c r="O5837">
        <v>250926</v>
      </c>
      <c r="P5837">
        <v>52.23</v>
      </c>
    </row>
    <row r="5838" spans="1:16" x14ac:dyDescent="0.25">
      <c r="A5838" t="s">
        <v>3296</v>
      </c>
      <c r="B5838" t="s">
        <v>2931</v>
      </c>
      <c r="C5838">
        <v>2777</v>
      </c>
      <c r="D5838" t="str">
        <f>"25024       "</f>
        <v xml:space="preserve">25024       </v>
      </c>
      <c r="E5838" t="s">
        <v>1353</v>
      </c>
      <c r="F5838" t="s">
        <v>1355</v>
      </c>
      <c r="G5838">
        <v>978.9</v>
      </c>
      <c r="H5838">
        <v>250228</v>
      </c>
      <c r="I5838">
        <v>1196</v>
      </c>
      <c r="J5838" t="s">
        <v>340</v>
      </c>
      <c r="K5838">
        <v>978.9</v>
      </c>
      <c r="L5838">
        <v>198.9</v>
      </c>
      <c r="M5838">
        <v>97501</v>
      </c>
      <c r="N5838" t="s">
        <v>1354</v>
      </c>
      <c r="O5838">
        <v>250312</v>
      </c>
      <c r="P5838">
        <v>780</v>
      </c>
    </row>
    <row r="5839" spans="1:16" x14ac:dyDescent="0.25">
      <c r="A5839" t="s">
        <v>3296</v>
      </c>
      <c r="B5839" t="s">
        <v>2931</v>
      </c>
      <c r="C5839">
        <v>668</v>
      </c>
      <c r="D5839" t="str">
        <f>"44518       "</f>
        <v xml:space="preserve">44518       </v>
      </c>
      <c r="E5839" t="s">
        <v>656</v>
      </c>
      <c r="F5839" t="s">
        <v>658</v>
      </c>
      <c r="G5839">
        <v>295.55</v>
      </c>
      <c r="H5839">
        <v>250121</v>
      </c>
      <c r="I5839">
        <v>4590</v>
      </c>
      <c r="J5839" t="s">
        <v>388</v>
      </c>
      <c r="K5839">
        <v>2543.94</v>
      </c>
      <c r="L5839">
        <v>60.05</v>
      </c>
      <c r="M5839">
        <v>69111</v>
      </c>
      <c r="N5839" t="s">
        <v>657</v>
      </c>
      <c r="O5839">
        <v>250127</v>
      </c>
      <c r="P5839">
        <v>235.5</v>
      </c>
    </row>
    <row r="5840" spans="1:16" x14ac:dyDescent="0.25">
      <c r="A5840" t="s">
        <v>3296</v>
      </c>
      <c r="B5840" t="s">
        <v>2931</v>
      </c>
      <c r="C5840">
        <v>668</v>
      </c>
      <c r="D5840" t="str">
        <f>"44518       "</f>
        <v xml:space="preserve">44518       </v>
      </c>
      <c r="E5840" t="s">
        <v>656</v>
      </c>
      <c r="F5840" t="s">
        <v>658</v>
      </c>
      <c r="G5840">
        <v>2248.39</v>
      </c>
      <c r="H5840">
        <v>250121</v>
      </c>
      <c r="I5840">
        <v>4590</v>
      </c>
      <c r="J5840" t="s">
        <v>388</v>
      </c>
      <c r="K5840">
        <v>2543.94</v>
      </c>
      <c r="L5840">
        <v>456.84</v>
      </c>
      <c r="M5840">
        <v>69501</v>
      </c>
      <c r="N5840" t="s">
        <v>123</v>
      </c>
      <c r="O5840">
        <v>250127</v>
      </c>
      <c r="P5840">
        <v>1791.55</v>
      </c>
    </row>
    <row r="5841" spans="1:16" x14ac:dyDescent="0.25">
      <c r="A5841" t="s">
        <v>3296</v>
      </c>
      <c r="B5841" t="s">
        <v>2931</v>
      </c>
      <c r="C5841">
        <v>9880</v>
      </c>
      <c r="D5841" t="str">
        <f>"45935       "</f>
        <v xml:space="preserve">45935       </v>
      </c>
      <c r="E5841" t="s">
        <v>656</v>
      </c>
      <c r="F5841" t="s">
        <v>658</v>
      </c>
      <c r="G5841">
        <v>417.46</v>
      </c>
      <c r="H5841">
        <v>250724</v>
      </c>
      <c r="I5841">
        <v>4600</v>
      </c>
      <c r="J5841" t="s">
        <v>278</v>
      </c>
      <c r="K5841">
        <v>417.46</v>
      </c>
      <c r="L5841">
        <v>84.82</v>
      </c>
      <c r="M5841">
        <v>59501</v>
      </c>
      <c r="N5841" t="s">
        <v>62</v>
      </c>
      <c r="O5841">
        <v>250801</v>
      </c>
      <c r="P5841">
        <v>332.64</v>
      </c>
    </row>
    <row r="5842" spans="1:16" x14ac:dyDescent="0.25">
      <c r="A5842" t="s">
        <v>3296</v>
      </c>
      <c r="B5842" t="s">
        <v>2931</v>
      </c>
      <c r="C5842">
        <v>9053</v>
      </c>
      <c r="D5842" t="str">
        <f>"0917617605  "</f>
        <v xml:space="preserve">0917617605  </v>
      </c>
      <c r="E5842" t="s">
        <v>2090</v>
      </c>
      <c r="F5842" t="s">
        <v>2091</v>
      </c>
      <c r="G5842">
        <v>119.23</v>
      </c>
      <c r="H5842">
        <v>250616</v>
      </c>
      <c r="I5842">
        <v>4420</v>
      </c>
      <c r="J5842" t="s">
        <v>330</v>
      </c>
      <c r="K5842">
        <v>689.87</v>
      </c>
      <c r="L5842">
        <v>24.23</v>
      </c>
      <c r="M5842">
        <v>17529</v>
      </c>
      <c r="N5842" t="s">
        <v>143</v>
      </c>
      <c r="O5842">
        <v>250626</v>
      </c>
      <c r="P5842">
        <v>95</v>
      </c>
    </row>
    <row r="5843" spans="1:16" x14ac:dyDescent="0.25">
      <c r="A5843" t="s">
        <v>3296</v>
      </c>
      <c r="B5843" t="s">
        <v>2931</v>
      </c>
      <c r="C5843">
        <v>9053</v>
      </c>
      <c r="D5843" t="str">
        <f>"0917617605  "</f>
        <v xml:space="preserve">0917617605  </v>
      </c>
      <c r="E5843" t="s">
        <v>2090</v>
      </c>
      <c r="F5843" t="s">
        <v>2091</v>
      </c>
      <c r="G5843">
        <v>220.87</v>
      </c>
      <c r="H5843">
        <v>250616</v>
      </c>
      <c r="I5843">
        <v>4470</v>
      </c>
      <c r="J5843" t="s">
        <v>203</v>
      </c>
      <c r="K5843">
        <v>689.87</v>
      </c>
      <c r="L5843">
        <v>44.88</v>
      </c>
      <c r="M5843">
        <v>17529</v>
      </c>
      <c r="N5843" t="s">
        <v>143</v>
      </c>
      <c r="O5843">
        <v>250626</v>
      </c>
      <c r="P5843">
        <v>175.99</v>
      </c>
    </row>
    <row r="5844" spans="1:16" x14ac:dyDescent="0.25">
      <c r="A5844" t="s">
        <v>3296</v>
      </c>
      <c r="B5844" t="s">
        <v>2931</v>
      </c>
      <c r="C5844">
        <v>9053</v>
      </c>
      <c r="D5844" t="str">
        <f>"0917617605  "</f>
        <v xml:space="preserve">0917617605  </v>
      </c>
      <c r="E5844" t="s">
        <v>2090</v>
      </c>
      <c r="F5844" t="s">
        <v>2091</v>
      </c>
      <c r="G5844">
        <v>349.77</v>
      </c>
      <c r="H5844">
        <v>250616</v>
      </c>
      <c r="I5844">
        <v>4600</v>
      </c>
      <c r="J5844" t="s">
        <v>278</v>
      </c>
      <c r="K5844">
        <v>689.87</v>
      </c>
      <c r="L5844">
        <v>71.069999999999993</v>
      </c>
      <c r="M5844">
        <v>17529</v>
      </c>
      <c r="N5844" t="s">
        <v>143</v>
      </c>
      <c r="O5844">
        <v>250626</v>
      </c>
      <c r="P5844">
        <v>278.7</v>
      </c>
    </row>
    <row r="5845" spans="1:16" x14ac:dyDescent="0.25">
      <c r="A5845" t="s">
        <v>3296</v>
      </c>
      <c r="B5845" t="s">
        <v>2931</v>
      </c>
      <c r="C5845">
        <v>6061</v>
      </c>
      <c r="D5845" t="str">
        <f>"2030        "</f>
        <v xml:space="preserve">2030        </v>
      </c>
      <c r="E5845" t="s">
        <v>1839</v>
      </c>
      <c r="F5845" t="s">
        <v>1840</v>
      </c>
      <c r="G5845">
        <v>1154.5999999999999</v>
      </c>
      <c r="H5845">
        <v>250430</v>
      </c>
      <c r="I5845">
        <v>4590</v>
      </c>
      <c r="J5845" t="s">
        <v>388</v>
      </c>
      <c r="K5845">
        <v>1154.5999999999999</v>
      </c>
      <c r="L5845">
        <v>234.6</v>
      </c>
      <c r="M5845">
        <v>49501</v>
      </c>
      <c r="N5845" t="s">
        <v>110</v>
      </c>
      <c r="O5845">
        <v>250508</v>
      </c>
      <c r="P5845">
        <v>920</v>
      </c>
    </row>
    <row r="5846" spans="1:16" x14ac:dyDescent="0.25">
      <c r="A5846" t="s">
        <v>3296</v>
      </c>
      <c r="B5846" t="s">
        <v>2931</v>
      </c>
      <c r="C5846">
        <v>169</v>
      </c>
      <c r="D5846" t="str">
        <f>"82079/2     "</f>
        <v xml:space="preserve">82079/2     </v>
      </c>
      <c r="E5846" t="s">
        <v>284</v>
      </c>
      <c r="F5846" t="s">
        <v>285</v>
      </c>
      <c r="G5846">
        <v>6.21</v>
      </c>
      <c r="H5846">
        <v>250110</v>
      </c>
      <c r="I5846">
        <v>4520</v>
      </c>
      <c r="J5846" t="s">
        <v>280</v>
      </c>
      <c r="K5846">
        <v>137.91999999999999</v>
      </c>
      <c r="L5846">
        <v>1.26</v>
      </c>
      <c r="M5846">
        <v>14431</v>
      </c>
      <c r="N5846" t="s">
        <v>74</v>
      </c>
      <c r="O5846">
        <v>250115</v>
      </c>
      <c r="P5846">
        <v>4.95</v>
      </c>
    </row>
    <row r="5847" spans="1:16" x14ac:dyDescent="0.25">
      <c r="A5847" t="s">
        <v>3296</v>
      </c>
      <c r="B5847" t="s">
        <v>2931</v>
      </c>
      <c r="C5847">
        <v>169</v>
      </c>
      <c r="D5847" t="str">
        <f>"82079/2     "</f>
        <v xml:space="preserve">82079/2     </v>
      </c>
      <c r="E5847" t="s">
        <v>284</v>
      </c>
      <c r="F5847" t="s">
        <v>285</v>
      </c>
      <c r="G5847">
        <v>131.71</v>
      </c>
      <c r="H5847">
        <v>250110</v>
      </c>
      <c r="I5847">
        <v>4520</v>
      </c>
      <c r="J5847" t="s">
        <v>280</v>
      </c>
      <c r="K5847">
        <v>137.91999999999999</v>
      </c>
      <c r="L5847">
        <v>16.170000000000002</v>
      </c>
      <c r="M5847">
        <v>14431</v>
      </c>
      <c r="N5847" t="s">
        <v>74</v>
      </c>
      <c r="O5847">
        <v>250115</v>
      </c>
      <c r="P5847">
        <v>115.54</v>
      </c>
    </row>
    <row r="5848" spans="1:16" x14ac:dyDescent="0.25">
      <c r="A5848" t="s">
        <v>3296</v>
      </c>
      <c r="B5848" t="s">
        <v>2931</v>
      </c>
      <c r="C5848">
        <v>2765</v>
      </c>
      <c r="D5848" t="str">
        <f>"82900       "</f>
        <v xml:space="preserve">82900       </v>
      </c>
      <c r="E5848" t="s">
        <v>284</v>
      </c>
      <c r="F5848" t="s">
        <v>285</v>
      </c>
      <c r="G5848">
        <v>3.1</v>
      </c>
      <c r="H5848">
        <v>250228</v>
      </c>
      <c r="I5848">
        <v>4520</v>
      </c>
      <c r="J5848" t="s">
        <v>280</v>
      </c>
      <c r="K5848">
        <v>513.53</v>
      </c>
      <c r="L5848">
        <v>0.63</v>
      </c>
      <c r="M5848">
        <v>14422</v>
      </c>
      <c r="N5848" t="s">
        <v>73</v>
      </c>
      <c r="O5848">
        <v>250311</v>
      </c>
      <c r="P5848">
        <v>2.4700000000000002</v>
      </c>
    </row>
    <row r="5849" spans="1:16" x14ac:dyDescent="0.25">
      <c r="A5849" t="s">
        <v>3296</v>
      </c>
      <c r="B5849" t="s">
        <v>2931</v>
      </c>
      <c r="C5849">
        <v>2765</v>
      </c>
      <c r="D5849" t="str">
        <f>"82900       "</f>
        <v xml:space="preserve">82900       </v>
      </c>
      <c r="E5849" t="s">
        <v>284</v>
      </c>
      <c r="F5849" t="s">
        <v>285</v>
      </c>
      <c r="G5849">
        <v>358.23</v>
      </c>
      <c r="H5849">
        <v>250228</v>
      </c>
      <c r="I5849">
        <v>4520</v>
      </c>
      <c r="J5849" t="s">
        <v>280</v>
      </c>
      <c r="K5849">
        <v>513.53</v>
      </c>
      <c r="L5849">
        <v>43.99</v>
      </c>
      <c r="M5849">
        <v>14431</v>
      </c>
      <c r="N5849" t="s">
        <v>74</v>
      </c>
      <c r="O5849">
        <v>250311</v>
      </c>
      <c r="P5849">
        <v>314.24</v>
      </c>
    </row>
    <row r="5850" spans="1:16" x14ac:dyDescent="0.25">
      <c r="A5850" t="s">
        <v>3296</v>
      </c>
      <c r="B5850" t="s">
        <v>2931</v>
      </c>
      <c r="C5850">
        <v>2765</v>
      </c>
      <c r="D5850" t="str">
        <f>"82900       "</f>
        <v xml:space="preserve">82900       </v>
      </c>
      <c r="E5850" t="s">
        <v>284</v>
      </c>
      <c r="F5850" t="s">
        <v>285</v>
      </c>
      <c r="G5850">
        <v>3.11</v>
      </c>
      <c r="H5850">
        <v>250228</v>
      </c>
      <c r="I5850">
        <v>4520</v>
      </c>
      <c r="J5850" t="s">
        <v>280</v>
      </c>
      <c r="K5850">
        <v>513.53</v>
      </c>
      <c r="L5850">
        <v>0.63</v>
      </c>
      <c r="M5850">
        <v>14990</v>
      </c>
      <c r="N5850" t="s">
        <v>85</v>
      </c>
      <c r="O5850">
        <v>250311</v>
      </c>
      <c r="P5850">
        <v>2.48</v>
      </c>
    </row>
    <row r="5851" spans="1:16" x14ac:dyDescent="0.25">
      <c r="A5851" t="s">
        <v>3296</v>
      </c>
      <c r="B5851" t="s">
        <v>2931</v>
      </c>
      <c r="C5851">
        <v>2765</v>
      </c>
      <c r="D5851" t="str">
        <f>"82900       "</f>
        <v xml:space="preserve">82900       </v>
      </c>
      <c r="E5851" t="s">
        <v>284</v>
      </c>
      <c r="F5851" t="s">
        <v>285</v>
      </c>
      <c r="G5851">
        <v>149.09</v>
      </c>
      <c r="H5851">
        <v>250228</v>
      </c>
      <c r="I5851">
        <v>4520</v>
      </c>
      <c r="J5851" t="s">
        <v>280</v>
      </c>
      <c r="K5851">
        <v>513.53</v>
      </c>
      <c r="L5851">
        <v>18.309999999999999</v>
      </c>
      <c r="M5851">
        <v>14990</v>
      </c>
      <c r="N5851" t="s">
        <v>85</v>
      </c>
      <c r="O5851">
        <v>250311</v>
      </c>
      <c r="P5851">
        <v>130.78</v>
      </c>
    </row>
    <row r="5852" spans="1:16" x14ac:dyDescent="0.25">
      <c r="A5852" t="s">
        <v>3296</v>
      </c>
      <c r="B5852" t="s">
        <v>2931</v>
      </c>
      <c r="C5852">
        <v>12961</v>
      </c>
      <c r="D5852" t="str">
        <f>"84268       "</f>
        <v xml:space="preserve">84268       </v>
      </c>
      <c r="E5852" t="s">
        <v>284</v>
      </c>
      <c r="F5852" t="s">
        <v>285</v>
      </c>
      <c r="G5852">
        <v>355.89</v>
      </c>
      <c r="H5852">
        <v>250924</v>
      </c>
      <c r="I5852">
        <v>4520</v>
      </c>
      <c r="J5852" t="s">
        <v>280</v>
      </c>
      <c r="K5852">
        <v>355.89</v>
      </c>
      <c r="L5852">
        <v>43.71</v>
      </c>
      <c r="M5852">
        <v>14422</v>
      </c>
      <c r="N5852" t="s">
        <v>73</v>
      </c>
      <c r="O5852">
        <v>251003</v>
      </c>
      <c r="P5852">
        <v>312.18</v>
      </c>
    </row>
    <row r="5853" spans="1:16" x14ac:dyDescent="0.25">
      <c r="A5853" t="s">
        <v>3296</v>
      </c>
      <c r="B5853" t="s">
        <v>2931</v>
      </c>
      <c r="C5853">
        <v>12971</v>
      </c>
      <c r="D5853" t="str">
        <f>"84337       "</f>
        <v xml:space="preserve">84337       </v>
      </c>
      <c r="E5853" t="s">
        <v>284</v>
      </c>
      <c r="F5853" t="s">
        <v>285</v>
      </c>
      <c r="G5853">
        <v>30.11</v>
      </c>
      <c r="H5853">
        <v>250929</v>
      </c>
      <c r="I5853">
        <v>4520</v>
      </c>
      <c r="J5853" t="s">
        <v>280</v>
      </c>
      <c r="K5853">
        <v>30.11</v>
      </c>
      <c r="L5853">
        <v>3.7</v>
      </c>
      <c r="M5853">
        <v>14422</v>
      </c>
      <c r="N5853" t="s">
        <v>73</v>
      </c>
      <c r="O5853">
        <v>251003</v>
      </c>
      <c r="P5853">
        <v>26.41</v>
      </c>
    </row>
    <row r="5854" spans="1:16" x14ac:dyDescent="0.25">
      <c r="A5854" t="s">
        <v>3296</v>
      </c>
      <c r="B5854" t="s">
        <v>2931</v>
      </c>
      <c r="C5854">
        <v>15342</v>
      </c>
      <c r="D5854" t="str">
        <f>"1293        "</f>
        <v xml:space="preserve">1293        </v>
      </c>
      <c r="E5854" t="s">
        <v>284</v>
      </c>
      <c r="F5854" t="s">
        <v>285</v>
      </c>
      <c r="G5854">
        <v>647.95000000000005</v>
      </c>
      <c r="H5854">
        <v>251031</v>
      </c>
      <c r="I5854">
        <v>4520</v>
      </c>
      <c r="J5854" t="s">
        <v>280</v>
      </c>
      <c r="K5854">
        <v>647.95000000000005</v>
      </c>
      <c r="L5854">
        <v>79.569999999999993</v>
      </c>
      <c r="M5854">
        <v>14422</v>
      </c>
      <c r="N5854" t="s">
        <v>73</v>
      </c>
      <c r="O5854">
        <v>251119</v>
      </c>
      <c r="P5854">
        <v>568.38</v>
      </c>
    </row>
    <row r="5855" spans="1:16" x14ac:dyDescent="0.25">
      <c r="A5855" t="s">
        <v>3296</v>
      </c>
      <c r="B5855" t="s">
        <v>2931</v>
      </c>
      <c r="C5855">
        <v>18023</v>
      </c>
      <c r="D5855" t="str">
        <f>"1530        "</f>
        <v xml:space="preserve">1530        </v>
      </c>
      <c r="E5855" t="s">
        <v>284</v>
      </c>
      <c r="F5855" t="s">
        <v>285</v>
      </c>
      <c r="G5855">
        <v>114.66</v>
      </c>
      <c r="H5855">
        <v>251231</v>
      </c>
      <c r="I5855">
        <v>4520</v>
      </c>
      <c r="J5855" t="s">
        <v>280</v>
      </c>
      <c r="K5855">
        <v>114.66</v>
      </c>
      <c r="L5855">
        <v>14.08</v>
      </c>
      <c r="M5855">
        <v>14990</v>
      </c>
      <c r="N5855" t="s">
        <v>85</v>
      </c>
      <c r="O5855">
        <v>260108</v>
      </c>
      <c r="P5855">
        <v>100.58</v>
      </c>
    </row>
    <row r="5856" spans="1:16" x14ac:dyDescent="0.25">
      <c r="A5856" t="s">
        <v>3296</v>
      </c>
      <c r="B5856" t="s">
        <v>2931</v>
      </c>
      <c r="C5856">
        <v>3389</v>
      </c>
      <c r="D5856" t="str">
        <f>"6768        "</f>
        <v xml:space="preserve">6768        </v>
      </c>
      <c r="E5856" t="s">
        <v>1415</v>
      </c>
      <c r="F5856" t="s">
        <v>1416</v>
      </c>
      <c r="G5856">
        <v>1203</v>
      </c>
      <c r="H5856">
        <v>250301</v>
      </c>
      <c r="I5856">
        <v>4420</v>
      </c>
      <c r="J5856" t="s">
        <v>330</v>
      </c>
      <c r="K5856">
        <v>1203</v>
      </c>
      <c r="L5856">
        <v>147.74</v>
      </c>
      <c r="M5856">
        <v>18972</v>
      </c>
      <c r="N5856" t="s">
        <v>39</v>
      </c>
      <c r="O5856">
        <v>250320</v>
      </c>
      <c r="P5856">
        <v>1055.26</v>
      </c>
    </row>
    <row r="5857" spans="1:16" x14ac:dyDescent="0.25">
      <c r="A5857" t="s">
        <v>3296</v>
      </c>
      <c r="B5857" t="s">
        <v>2931</v>
      </c>
      <c r="C5857">
        <v>13762</v>
      </c>
      <c r="D5857" t="str">
        <f>"1337        "</f>
        <v xml:space="preserve">1337        </v>
      </c>
      <c r="E5857" t="s">
        <v>2445</v>
      </c>
      <c r="F5857" t="s">
        <v>2446</v>
      </c>
      <c r="G5857">
        <v>263.25</v>
      </c>
      <c r="H5857">
        <v>251009</v>
      </c>
      <c r="I5857">
        <v>4600</v>
      </c>
      <c r="J5857" t="s">
        <v>278</v>
      </c>
      <c r="K5857">
        <v>263.25</v>
      </c>
      <c r="L5857">
        <v>53.49</v>
      </c>
      <c r="M5857">
        <v>49704</v>
      </c>
      <c r="N5857" t="s">
        <v>113</v>
      </c>
      <c r="O5857">
        <v>251017</v>
      </c>
      <c r="P5857">
        <v>209.76</v>
      </c>
    </row>
    <row r="5858" spans="1:16" x14ac:dyDescent="0.25">
      <c r="A5858" t="s">
        <v>3296</v>
      </c>
      <c r="B5858" t="s">
        <v>2931</v>
      </c>
      <c r="C5858">
        <v>15932</v>
      </c>
      <c r="D5858" t="str">
        <f>"26112025    "</f>
        <v xml:space="preserve">26112025    </v>
      </c>
      <c r="E5858" t="s">
        <v>2636</v>
      </c>
      <c r="F5858" t="s">
        <v>2637</v>
      </c>
      <c r="G5858">
        <v>5780.45</v>
      </c>
      <c r="H5858">
        <v>251126</v>
      </c>
      <c r="I5858">
        <v>4580</v>
      </c>
      <c r="J5858" t="s">
        <v>126</v>
      </c>
      <c r="K5858">
        <v>5780.45</v>
      </c>
      <c r="L5858">
        <v>1174.51</v>
      </c>
      <c r="M5858">
        <v>13201</v>
      </c>
      <c r="N5858" t="s">
        <v>269</v>
      </c>
      <c r="O5858">
        <v>251201</v>
      </c>
      <c r="P5858">
        <v>4605.9399999999996</v>
      </c>
    </row>
    <row r="5859" spans="1:16" x14ac:dyDescent="0.25">
      <c r="A5859" t="s">
        <v>3296</v>
      </c>
      <c r="B5859" t="s">
        <v>2931</v>
      </c>
      <c r="C5859">
        <v>15717</v>
      </c>
      <c r="D5859" t="str">
        <f>"6025110129  "</f>
        <v xml:space="preserve">6025110129  </v>
      </c>
      <c r="E5859" t="s">
        <v>3165</v>
      </c>
      <c r="F5859" t="s">
        <v>3166</v>
      </c>
      <c r="G5859">
        <v>45</v>
      </c>
      <c r="H5859">
        <v>251121</v>
      </c>
      <c r="I5859">
        <v>4350</v>
      </c>
      <c r="J5859" t="s">
        <v>290</v>
      </c>
      <c r="K5859">
        <v>45</v>
      </c>
      <c r="L5859">
        <v>0</v>
      </c>
      <c r="M5859">
        <v>13861</v>
      </c>
      <c r="N5859" t="s">
        <v>604</v>
      </c>
      <c r="O5859">
        <v>251125</v>
      </c>
      <c r="P5859">
        <v>45</v>
      </c>
    </row>
    <row r="5860" spans="1:16" x14ac:dyDescent="0.25">
      <c r="A5860" t="s">
        <v>3296</v>
      </c>
      <c r="B5860" t="s">
        <v>2931</v>
      </c>
      <c r="C5860">
        <v>2741</v>
      </c>
      <c r="D5860" t="str">
        <f>"5339665     "</f>
        <v xml:space="preserve">5339665     </v>
      </c>
      <c r="E5860" t="s">
        <v>1342</v>
      </c>
      <c r="F5860" t="s">
        <v>1343</v>
      </c>
      <c r="G5860">
        <v>136.24</v>
      </c>
      <c r="H5860">
        <v>250228</v>
      </c>
      <c r="I5860">
        <v>4380</v>
      </c>
      <c r="J5860" t="s">
        <v>211</v>
      </c>
      <c r="K5860">
        <v>136.24</v>
      </c>
      <c r="L5860">
        <v>27.68</v>
      </c>
      <c r="M5860">
        <v>13841</v>
      </c>
      <c r="N5860" t="s">
        <v>178</v>
      </c>
      <c r="O5860">
        <v>250311</v>
      </c>
      <c r="P5860">
        <v>108.56</v>
      </c>
    </row>
    <row r="5861" spans="1:16" x14ac:dyDescent="0.25">
      <c r="A5861" t="s">
        <v>3296</v>
      </c>
      <c r="B5861" t="s">
        <v>2931</v>
      </c>
      <c r="C5861">
        <v>6231</v>
      </c>
      <c r="D5861" t="str">
        <f>"5342694     "</f>
        <v xml:space="preserve">5342694     </v>
      </c>
      <c r="E5861" t="s">
        <v>1342</v>
      </c>
      <c r="F5861" t="s">
        <v>1343</v>
      </c>
      <c r="G5861">
        <v>170.37</v>
      </c>
      <c r="H5861">
        <v>250430</v>
      </c>
      <c r="I5861">
        <v>4380</v>
      </c>
      <c r="J5861" t="s">
        <v>211</v>
      </c>
      <c r="K5861">
        <v>170.37</v>
      </c>
      <c r="L5861">
        <v>34.619999999999997</v>
      </c>
      <c r="M5861">
        <v>13841</v>
      </c>
      <c r="N5861" t="s">
        <v>178</v>
      </c>
      <c r="O5861">
        <v>250512</v>
      </c>
      <c r="P5861">
        <v>135.75</v>
      </c>
    </row>
    <row r="5862" spans="1:16" x14ac:dyDescent="0.25">
      <c r="A5862" t="s">
        <v>3296</v>
      </c>
      <c r="B5862" t="s">
        <v>2931</v>
      </c>
      <c r="C5862">
        <v>9392</v>
      </c>
      <c r="D5862" t="str">
        <f>"5345760     "</f>
        <v xml:space="preserve">5345760     </v>
      </c>
      <c r="E5862" t="s">
        <v>1342</v>
      </c>
      <c r="F5862" t="s">
        <v>1343</v>
      </c>
      <c r="G5862">
        <v>136.29</v>
      </c>
      <c r="H5862">
        <v>250630</v>
      </c>
      <c r="I5862">
        <v>4380</v>
      </c>
      <c r="J5862" t="s">
        <v>211</v>
      </c>
      <c r="K5862">
        <v>136.29</v>
      </c>
      <c r="L5862">
        <v>27.69</v>
      </c>
      <c r="M5862">
        <v>13841</v>
      </c>
      <c r="N5862" t="s">
        <v>178</v>
      </c>
      <c r="O5862">
        <v>250707</v>
      </c>
      <c r="P5862">
        <v>108.6</v>
      </c>
    </row>
    <row r="5863" spans="1:16" x14ac:dyDescent="0.25">
      <c r="A5863" t="s">
        <v>3296</v>
      </c>
      <c r="B5863" t="s">
        <v>2931</v>
      </c>
      <c r="C5863">
        <v>11170</v>
      </c>
      <c r="D5863" t="str">
        <f>"5349015     "</f>
        <v xml:space="preserve">5349015     </v>
      </c>
      <c r="E5863" t="s">
        <v>1342</v>
      </c>
      <c r="F5863" t="s">
        <v>1343</v>
      </c>
      <c r="G5863">
        <v>136.29</v>
      </c>
      <c r="H5863">
        <v>250829</v>
      </c>
      <c r="I5863">
        <v>4380</v>
      </c>
      <c r="J5863" t="s">
        <v>211</v>
      </c>
      <c r="K5863">
        <v>136.29</v>
      </c>
      <c r="L5863">
        <v>27.69</v>
      </c>
      <c r="M5863">
        <v>13841</v>
      </c>
      <c r="N5863" t="s">
        <v>178</v>
      </c>
      <c r="O5863">
        <v>250901</v>
      </c>
      <c r="P5863">
        <v>108.6</v>
      </c>
    </row>
    <row r="5864" spans="1:16" x14ac:dyDescent="0.25">
      <c r="A5864" t="s">
        <v>3296</v>
      </c>
      <c r="B5864" t="s">
        <v>2931</v>
      </c>
      <c r="C5864">
        <v>14525</v>
      </c>
      <c r="D5864" t="str">
        <f>"5352191     "</f>
        <v xml:space="preserve">5352191     </v>
      </c>
      <c r="E5864" t="s">
        <v>1342</v>
      </c>
      <c r="F5864" t="s">
        <v>1343</v>
      </c>
      <c r="G5864">
        <v>170.37</v>
      </c>
      <c r="H5864">
        <v>251031</v>
      </c>
      <c r="I5864">
        <v>4380</v>
      </c>
      <c r="J5864" t="s">
        <v>211</v>
      </c>
      <c r="K5864">
        <v>170.37</v>
      </c>
      <c r="L5864">
        <v>34.619999999999997</v>
      </c>
      <c r="M5864">
        <v>13841</v>
      </c>
      <c r="N5864" t="s">
        <v>178</v>
      </c>
      <c r="O5864">
        <v>251104</v>
      </c>
      <c r="P5864">
        <v>135.75</v>
      </c>
    </row>
    <row r="5865" spans="1:16" x14ac:dyDescent="0.25">
      <c r="A5865" t="s">
        <v>3296</v>
      </c>
      <c r="B5865" t="s">
        <v>2931</v>
      </c>
      <c r="C5865">
        <v>18036</v>
      </c>
      <c r="D5865" t="str">
        <f>"5355346     "</f>
        <v xml:space="preserve">5355346     </v>
      </c>
      <c r="E5865" t="s">
        <v>1342</v>
      </c>
      <c r="F5865" t="s">
        <v>1343</v>
      </c>
      <c r="G5865">
        <v>136.29</v>
      </c>
      <c r="H5865">
        <v>251231</v>
      </c>
      <c r="I5865">
        <v>4380</v>
      </c>
      <c r="J5865" t="s">
        <v>211</v>
      </c>
      <c r="K5865">
        <v>136.29</v>
      </c>
      <c r="L5865">
        <v>27.69</v>
      </c>
      <c r="M5865">
        <v>13841</v>
      </c>
      <c r="N5865" t="s">
        <v>178</v>
      </c>
      <c r="O5865">
        <v>260108</v>
      </c>
      <c r="P5865">
        <v>108.6</v>
      </c>
    </row>
    <row r="5866" spans="1:16" x14ac:dyDescent="0.25">
      <c r="A5866" t="s">
        <v>3296</v>
      </c>
      <c r="B5866" t="s">
        <v>2931</v>
      </c>
      <c r="C5866">
        <v>17637</v>
      </c>
      <c r="D5866" t="str">
        <f>"767973      "</f>
        <v xml:space="preserve">767973      </v>
      </c>
      <c r="E5866" t="s">
        <v>1805</v>
      </c>
      <c r="F5866" t="s">
        <v>1806</v>
      </c>
      <c r="G5866">
        <v>318</v>
      </c>
      <c r="H5866">
        <v>251218</v>
      </c>
      <c r="I5866">
        <v>4410</v>
      </c>
      <c r="J5866" t="s">
        <v>165</v>
      </c>
      <c r="K5866">
        <v>318</v>
      </c>
      <c r="L5866">
        <v>39.049999999999997</v>
      </c>
      <c r="M5866">
        <v>13281</v>
      </c>
      <c r="N5866" t="s">
        <v>476</v>
      </c>
      <c r="O5866">
        <v>251223</v>
      </c>
      <c r="P5866">
        <v>278.95</v>
      </c>
    </row>
    <row r="5867" spans="1:16" x14ac:dyDescent="0.25">
      <c r="A5867" t="s">
        <v>3296</v>
      </c>
      <c r="B5867" t="s">
        <v>2931</v>
      </c>
      <c r="C5867">
        <v>18005</v>
      </c>
      <c r="D5867" t="str">
        <f>"767582      "</f>
        <v xml:space="preserve">767582      </v>
      </c>
      <c r="E5867" t="s">
        <v>1805</v>
      </c>
      <c r="F5867" t="s">
        <v>1806</v>
      </c>
      <c r="G5867">
        <v>10</v>
      </c>
      <c r="H5867">
        <v>251216</v>
      </c>
      <c r="I5867">
        <v>4410</v>
      </c>
      <c r="J5867" t="s">
        <v>165</v>
      </c>
      <c r="K5867">
        <v>362</v>
      </c>
      <c r="L5867">
        <v>2.0299999999999998</v>
      </c>
      <c r="M5867">
        <v>13801</v>
      </c>
      <c r="N5867" t="s">
        <v>33</v>
      </c>
      <c r="O5867">
        <v>260108</v>
      </c>
      <c r="P5867">
        <v>7.97</v>
      </c>
    </row>
    <row r="5868" spans="1:16" x14ac:dyDescent="0.25">
      <c r="A5868" t="s">
        <v>3296</v>
      </c>
      <c r="B5868" t="s">
        <v>2931</v>
      </c>
      <c r="C5868">
        <v>18005</v>
      </c>
      <c r="D5868" t="str">
        <f>"767582      "</f>
        <v xml:space="preserve">767582      </v>
      </c>
      <c r="E5868" t="s">
        <v>1805</v>
      </c>
      <c r="F5868" t="s">
        <v>1806</v>
      </c>
      <c r="G5868">
        <v>352</v>
      </c>
      <c r="H5868">
        <v>251216</v>
      </c>
      <c r="I5868">
        <v>4410</v>
      </c>
      <c r="J5868" t="s">
        <v>165</v>
      </c>
      <c r="K5868">
        <v>362</v>
      </c>
      <c r="L5868">
        <v>43.23</v>
      </c>
      <c r="M5868">
        <v>13801</v>
      </c>
      <c r="N5868" t="s">
        <v>33</v>
      </c>
      <c r="O5868">
        <v>260108</v>
      </c>
      <c r="P5868">
        <v>308.77</v>
      </c>
    </row>
    <row r="5869" spans="1:16" x14ac:dyDescent="0.25">
      <c r="A5869" t="s">
        <v>3296</v>
      </c>
      <c r="B5869" t="s">
        <v>2931</v>
      </c>
      <c r="C5869">
        <v>5838</v>
      </c>
      <c r="D5869" t="str">
        <f>"734456      "</f>
        <v xml:space="preserve">734456      </v>
      </c>
      <c r="E5869" t="s">
        <v>1805</v>
      </c>
      <c r="F5869" t="s">
        <v>1806</v>
      </c>
      <c r="G5869">
        <v>978</v>
      </c>
      <c r="H5869">
        <v>250429</v>
      </c>
      <c r="I5869">
        <v>4820</v>
      </c>
      <c r="J5869" t="s">
        <v>169</v>
      </c>
      <c r="K5869">
        <v>978</v>
      </c>
      <c r="L5869">
        <v>120.11</v>
      </c>
      <c r="M5869">
        <v>13841</v>
      </c>
      <c r="N5869" t="s">
        <v>178</v>
      </c>
      <c r="O5869">
        <v>250505</v>
      </c>
      <c r="P5869">
        <v>857.89</v>
      </c>
    </row>
    <row r="5870" spans="1:16" x14ac:dyDescent="0.25">
      <c r="A5870" t="s">
        <v>3296</v>
      </c>
      <c r="B5870" t="s">
        <v>2931</v>
      </c>
      <c r="C5870">
        <v>15773</v>
      </c>
      <c r="D5870" t="str">
        <f>"764007      "</f>
        <v xml:space="preserve">764007      </v>
      </c>
      <c r="E5870" t="s">
        <v>1805</v>
      </c>
      <c r="F5870" t="s">
        <v>1806</v>
      </c>
      <c r="G5870">
        <v>10</v>
      </c>
      <c r="H5870">
        <v>251125</v>
      </c>
      <c r="I5870">
        <v>4820</v>
      </c>
      <c r="J5870" t="s">
        <v>169</v>
      </c>
      <c r="K5870">
        <v>910</v>
      </c>
      <c r="L5870">
        <v>2.0299999999999998</v>
      </c>
      <c r="M5870">
        <v>13841</v>
      </c>
      <c r="N5870" t="s">
        <v>178</v>
      </c>
      <c r="O5870">
        <v>251126</v>
      </c>
      <c r="P5870">
        <v>7.97</v>
      </c>
    </row>
    <row r="5871" spans="1:16" x14ac:dyDescent="0.25">
      <c r="A5871" t="s">
        <v>3296</v>
      </c>
      <c r="B5871" t="s">
        <v>2931</v>
      </c>
      <c r="C5871">
        <v>15773</v>
      </c>
      <c r="D5871" t="str">
        <f>"764007      "</f>
        <v xml:space="preserve">764007      </v>
      </c>
      <c r="E5871" t="s">
        <v>1805</v>
      </c>
      <c r="F5871" t="s">
        <v>1806</v>
      </c>
      <c r="G5871">
        <v>900</v>
      </c>
      <c r="H5871">
        <v>251125</v>
      </c>
      <c r="I5871">
        <v>4820</v>
      </c>
      <c r="J5871" t="s">
        <v>169</v>
      </c>
      <c r="K5871">
        <v>910</v>
      </c>
      <c r="L5871">
        <v>110.53</v>
      </c>
      <c r="M5871">
        <v>13841</v>
      </c>
      <c r="N5871" t="s">
        <v>178</v>
      </c>
      <c r="O5871">
        <v>251126</v>
      </c>
      <c r="P5871">
        <v>789.47</v>
      </c>
    </row>
    <row r="5872" spans="1:16" x14ac:dyDescent="0.25">
      <c r="A5872" t="s">
        <v>3296</v>
      </c>
      <c r="B5872" t="s">
        <v>2931</v>
      </c>
      <c r="C5872">
        <v>18215</v>
      </c>
      <c r="D5872" t="str">
        <f>"38000192    "</f>
        <v xml:space="preserve">38000192    </v>
      </c>
      <c r="E5872" t="s">
        <v>2894</v>
      </c>
      <c r="F5872" t="s">
        <v>2895</v>
      </c>
      <c r="G5872">
        <v>1431.96</v>
      </c>
      <c r="H5872">
        <v>251231</v>
      </c>
      <c r="I5872">
        <v>4390</v>
      </c>
      <c r="J5872" t="s">
        <v>232</v>
      </c>
      <c r="K5872">
        <v>1431.96</v>
      </c>
      <c r="L5872">
        <v>290.95999999999998</v>
      </c>
      <c r="M5872">
        <v>13841</v>
      </c>
      <c r="N5872" t="s">
        <v>178</v>
      </c>
      <c r="O5872">
        <v>260112</v>
      </c>
      <c r="P5872">
        <v>1141</v>
      </c>
    </row>
    <row r="5873" spans="1:16" x14ac:dyDescent="0.25">
      <c r="A5873" t="s">
        <v>3296</v>
      </c>
      <c r="B5873" t="s">
        <v>2931</v>
      </c>
      <c r="C5873">
        <v>3706</v>
      </c>
      <c r="D5873" t="str">
        <f>"77001224    "</f>
        <v xml:space="preserve">77001224    </v>
      </c>
      <c r="E5873" t="s">
        <v>2894</v>
      </c>
      <c r="F5873" t="s">
        <v>2895</v>
      </c>
      <c r="G5873">
        <v>631.91999999999996</v>
      </c>
      <c r="H5873">
        <v>250304</v>
      </c>
      <c r="I5873">
        <v>4573</v>
      </c>
      <c r="J5873" t="s">
        <v>646</v>
      </c>
      <c r="K5873">
        <v>631.91999999999996</v>
      </c>
      <c r="L5873">
        <v>128.4</v>
      </c>
      <c r="M5873">
        <v>13841</v>
      </c>
      <c r="N5873" t="s">
        <v>178</v>
      </c>
      <c r="O5873">
        <v>250328</v>
      </c>
      <c r="P5873">
        <v>503.52</v>
      </c>
    </row>
    <row r="5874" spans="1:16" x14ac:dyDescent="0.25">
      <c r="A5874" t="s">
        <v>3296</v>
      </c>
      <c r="B5874" t="s">
        <v>2931</v>
      </c>
      <c r="C5874">
        <v>8585</v>
      </c>
      <c r="D5874" t="str">
        <f>"77004888    "</f>
        <v xml:space="preserve">77004888    </v>
      </c>
      <c r="E5874" t="s">
        <v>2894</v>
      </c>
      <c r="F5874" t="s">
        <v>2895</v>
      </c>
      <c r="G5874">
        <v>762.37</v>
      </c>
      <c r="H5874">
        <v>250531</v>
      </c>
      <c r="I5874">
        <v>4573</v>
      </c>
      <c r="J5874" t="s">
        <v>646</v>
      </c>
      <c r="K5874">
        <v>762.37</v>
      </c>
      <c r="L5874">
        <v>154.9</v>
      </c>
      <c r="M5874">
        <v>13841</v>
      </c>
      <c r="N5874" t="s">
        <v>178</v>
      </c>
      <c r="O5874">
        <v>250617</v>
      </c>
      <c r="P5874">
        <v>607.47</v>
      </c>
    </row>
    <row r="5875" spans="1:16" x14ac:dyDescent="0.25">
      <c r="A5875" t="s">
        <v>3296</v>
      </c>
      <c r="B5875" t="s">
        <v>2931</v>
      </c>
      <c r="C5875">
        <v>11795</v>
      </c>
      <c r="D5875" t="str">
        <f>"77009574    "</f>
        <v xml:space="preserve">77009574    </v>
      </c>
      <c r="E5875" t="s">
        <v>2894</v>
      </c>
      <c r="F5875" t="s">
        <v>2895</v>
      </c>
      <c r="G5875">
        <v>722.84</v>
      </c>
      <c r="H5875">
        <v>250831</v>
      </c>
      <c r="I5875">
        <v>4573</v>
      </c>
      <c r="J5875" t="s">
        <v>646</v>
      </c>
      <c r="K5875">
        <v>722.84</v>
      </c>
      <c r="L5875">
        <v>146.87</v>
      </c>
      <c r="M5875">
        <v>13841</v>
      </c>
      <c r="N5875" t="s">
        <v>178</v>
      </c>
      <c r="O5875">
        <v>250910</v>
      </c>
      <c r="P5875">
        <v>575.97</v>
      </c>
    </row>
    <row r="5876" spans="1:16" x14ac:dyDescent="0.25">
      <c r="A5876" t="s">
        <v>3296</v>
      </c>
      <c r="B5876" t="s">
        <v>2931</v>
      </c>
      <c r="C5876">
        <v>16452</v>
      </c>
      <c r="D5876" t="str">
        <f>"77012679    "</f>
        <v xml:space="preserve">77012679    </v>
      </c>
      <c r="E5876" t="s">
        <v>2894</v>
      </c>
      <c r="F5876" t="s">
        <v>2895</v>
      </c>
      <c r="G5876">
        <v>386.82</v>
      </c>
      <c r="H5876">
        <v>251202</v>
      </c>
      <c r="I5876">
        <v>4573</v>
      </c>
      <c r="J5876" t="s">
        <v>646</v>
      </c>
      <c r="K5876">
        <v>386.82</v>
      </c>
      <c r="L5876">
        <v>78.599999999999994</v>
      </c>
      <c r="M5876">
        <v>13841</v>
      </c>
      <c r="N5876" t="s">
        <v>178</v>
      </c>
      <c r="O5876">
        <v>251208</v>
      </c>
      <c r="P5876">
        <v>308.22000000000003</v>
      </c>
    </row>
    <row r="5877" spans="1:16" x14ac:dyDescent="0.25">
      <c r="A5877" t="s">
        <v>3296</v>
      </c>
      <c r="B5877" t="s">
        <v>2931</v>
      </c>
      <c r="C5877">
        <v>109</v>
      </c>
      <c r="D5877" t="str">
        <f>"11000017    "</f>
        <v xml:space="preserve">11000017    </v>
      </c>
      <c r="E5877" t="s">
        <v>2894</v>
      </c>
      <c r="F5877" t="s">
        <v>2895</v>
      </c>
      <c r="G5877">
        <v>5469.94</v>
      </c>
      <c r="H5877">
        <v>250101</v>
      </c>
      <c r="I5877">
        <v>4820</v>
      </c>
      <c r="J5877" t="s">
        <v>169</v>
      </c>
      <c r="K5877">
        <v>5469.94</v>
      </c>
      <c r="L5877">
        <v>1111.42</v>
      </c>
      <c r="M5877">
        <v>13841</v>
      </c>
      <c r="N5877" t="s">
        <v>178</v>
      </c>
      <c r="O5877">
        <v>250110</v>
      </c>
      <c r="P5877">
        <v>4358.5200000000004</v>
      </c>
    </row>
    <row r="5878" spans="1:16" x14ac:dyDescent="0.25">
      <c r="A5878" t="s">
        <v>3296</v>
      </c>
      <c r="B5878" t="s">
        <v>2931</v>
      </c>
      <c r="C5878">
        <v>575</v>
      </c>
      <c r="D5878" t="str">
        <f>"11000055    "</f>
        <v xml:space="preserve">11000055    </v>
      </c>
      <c r="E5878" t="s">
        <v>2894</v>
      </c>
      <c r="F5878" t="s">
        <v>2895</v>
      </c>
      <c r="G5878">
        <v>5469.94</v>
      </c>
      <c r="H5878">
        <v>250201</v>
      </c>
      <c r="I5878">
        <v>4820</v>
      </c>
      <c r="J5878" t="s">
        <v>169</v>
      </c>
      <c r="K5878">
        <v>5469.94</v>
      </c>
      <c r="L5878">
        <v>1111.42</v>
      </c>
      <c r="M5878">
        <v>13841</v>
      </c>
      <c r="N5878" t="s">
        <v>178</v>
      </c>
      <c r="O5878">
        <v>250124</v>
      </c>
      <c r="P5878">
        <v>4358.5200000000004</v>
      </c>
    </row>
    <row r="5879" spans="1:16" x14ac:dyDescent="0.25">
      <c r="A5879" t="s">
        <v>3296</v>
      </c>
      <c r="B5879" t="s">
        <v>2931</v>
      </c>
      <c r="C5879">
        <v>2326</v>
      </c>
      <c r="D5879" t="str">
        <f>"11000092    "</f>
        <v xml:space="preserve">11000092    </v>
      </c>
      <c r="E5879" t="s">
        <v>2894</v>
      </c>
      <c r="F5879" t="s">
        <v>2895</v>
      </c>
      <c r="G5879">
        <v>5469.94</v>
      </c>
      <c r="H5879">
        <v>250301</v>
      </c>
      <c r="I5879">
        <v>4820</v>
      </c>
      <c r="J5879" t="s">
        <v>169</v>
      </c>
      <c r="K5879">
        <v>5469.94</v>
      </c>
      <c r="L5879">
        <v>1111.42</v>
      </c>
      <c r="M5879">
        <v>13841</v>
      </c>
      <c r="N5879" t="s">
        <v>178</v>
      </c>
      <c r="O5879">
        <v>250224</v>
      </c>
      <c r="P5879">
        <v>4358.5200000000004</v>
      </c>
    </row>
    <row r="5880" spans="1:16" x14ac:dyDescent="0.25">
      <c r="A5880" t="s">
        <v>3296</v>
      </c>
      <c r="B5880" t="s">
        <v>2931</v>
      </c>
      <c r="C5880">
        <v>4011</v>
      </c>
      <c r="D5880" t="str">
        <f>"11000129    "</f>
        <v xml:space="preserve">11000129    </v>
      </c>
      <c r="E5880" t="s">
        <v>2894</v>
      </c>
      <c r="F5880" t="s">
        <v>2895</v>
      </c>
      <c r="G5880">
        <v>5469.94</v>
      </c>
      <c r="H5880">
        <v>250401</v>
      </c>
      <c r="I5880">
        <v>4820</v>
      </c>
      <c r="J5880" t="s">
        <v>169</v>
      </c>
      <c r="K5880">
        <v>5469.94</v>
      </c>
      <c r="L5880">
        <v>1111.42</v>
      </c>
      <c r="M5880">
        <v>13841</v>
      </c>
      <c r="N5880" t="s">
        <v>178</v>
      </c>
      <c r="O5880">
        <v>250407</v>
      </c>
      <c r="P5880">
        <v>4358.5200000000004</v>
      </c>
    </row>
    <row r="5881" spans="1:16" x14ac:dyDescent="0.25">
      <c r="A5881" t="s">
        <v>3296</v>
      </c>
      <c r="B5881" t="s">
        <v>2931</v>
      </c>
      <c r="C5881">
        <v>5569</v>
      </c>
      <c r="D5881" t="str">
        <f>"11000171    "</f>
        <v xml:space="preserve">11000171    </v>
      </c>
      <c r="E5881" t="s">
        <v>2894</v>
      </c>
      <c r="F5881" t="s">
        <v>2895</v>
      </c>
      <c r="G5881">
        <v>5469.94</v>
      </c>
      <c r="H5881">
        <v>250501</v>
      </c>
      <c r="I5881">
        <v>4820</v>
      </c>
      <c r="J5881" t="s">
        <v>169</v>
      </c>
      <c r="K5881">
        <v>5469.94</v>
      </c>
      <c r="L5881">
        <v>1111.42</v>
      </c>
      <c r="M5881">
        <v>13841</v>
      </c>
      <c r="N5881" t="s">
        <v>178</v>
      </c>
      <c r="O5881">
        <v>250425</v>
      </c>
      <c r="P5881">
        <v>4358.5200000000004</v>
      </c>
    </row>
    <row r="5882" spans="1:16" x14ac:dyDescent="0.25">
      <c r="A5882" t="s">
        <v>3296</v>
      </c>
      <c r="B5882" t="s">
        <v>2931</v>
      </c>
      <c r="C5882">
        <v>7380</v>
      </c>
      <c r="D5882" t="str">
        <f>"11000211    "</f>
        <v xml:space="preserve">11000211    </v>
      </c>
      <c r="E5882" t="s">
        <v>2894</v>
      </c>
      <c r="F5882" t="s">
        <v>2895</v>
      </c>
      <c r="G5882">
        <v>5469.94</v>
      </c>
      <c r="H5882">
        <v>250601</v>
      </c>
      <c r="I5882">
        <v>4820</v>
      </c>
      <c r="J5882" t="s">
        <v>169</v>
      </c>
      <c r="K5882">
        <v>5469.94</v>
      </c>
      <c r="L5882">
        <v>1111.42</v>
      </c>
      <c r="M5882">
        <v>13841</v>
      </c>
      <c r="N5882" t="s">
        <v>178</v>
      </c>
      <c r="O5882">
        <v>250603</v>
      </c>
      <c r="P5882">
        <v>4358.5200000000004</v>
      </c>
    </row>
    <row r="5883" spans="1:16" x14ac:dyDescent="0.25">
      <c r="A5883" t="s">
        <v>3296</v>
      </c>
      <c r="B5883" t="s">
        <v>2931</v>
      </c>
      <c r="C5883">
        <v>9170</v>
      </c>
      <c r="D5883" t="str">
        <f>"11000338    "</f>
        <v xml:space="preserve">11000338    </v>
      </c>
      <c r="E5883" t="s">
        <v>2894</v>
      </c>
      <c r="F5883" t="s">
        <v>2895</v>
      </c>
      <c r="G5883">
        <v>5469.94</v>
      </c>
      <c r="H5883">
        <v>250701</v>
      </c>
      <c r="I5883">
        <v>4820</v>
      </c>
      <c r="J5883" t="s">
        <v>169</v>
      </c>
      <c r="K5883">
        <v>5469.94</v>
      </c>
      <c r="L5883">
        <v>1111.42</v>
      </c>
      <c r="M5883">
        <v>13841</v>
      </c>
      <c r="N5883" t="s">
        <v>178</v>
      </c>
      <c r="O5883">
        <v>250627</v>
      </c>
      <c r="P5883">
        <v>4358.5200000000004</v>
      </c>
    </row>
    <row r="5884" spans="1:16" x14ac:dyDescent="0.25">
      <c r="A5884" t="s">
        <v>3296</v>
      </c>
      <c r="B5884" t="s">
        <v>2931</v>
      </c>
      <c r="C5884">
        <v>9811</v>
      </c>
      <c r="D5884" t="str">
        <f>"11000396    "</f>
        <v xml:space="preserve">11000396    </v>
      </c>
      <c r="E5884" t="s">
        <v>2894</v>
      </c>
      <c r="F5884" t="s">
        <v>2895</v>
      </c>
      <c r="G5884">
        <v>5469.94</v>
      </c>
      <c r="H5884">
        <v>250801</v>
      </c>
      <c r="I5884">
        <v>4820</v>
      </c>
      <c r="J5884" t="s">
        <v>169</v>
      </c>
      <c r="K5884">
        <v>5469.94</v>
      </c>
      <c r="L5884">
        <v>1111.42</v>
      </c>
      <c r="M5884">
        <v>13841</v>
      </c>
      <c r="N5884" t="s">
        <v>178</v>
      </c>
      <c r="O5884">
        <v>250729</v>
      </c>
      <c r="P5884">
        <v>4358.5200000000004</v>
      </c>
    </row>
    <row r="5885" spans="1:16" x14ac:dyDescent="0.25">
      <c r="A5885" t="s">
        <v>3296</v>
      </c>
      <c r="B5885" t="s">
        <v>2931</v>
      </c>
      <c r="C5885">
        <v>10622</v>
      </c>
      <c r="D5885" t="str">
        <f>"11000437    "</f>
        <v xml:space="preserve">11000437    </v>
      </c>
      <c r="E5885" t="s">
        <v>2894</v>
      </c>
      <c r="F5885" t="s">
        <v>2895</v>
      </c>
      <c r="G5885">
        <v>5469.94</v>
      </c>
      <c r="H5885">
        <v>250901</v>
      </c>
      <c r="I5885">
        <v>4820</v>
      </c>
      <c r="J5885" t="s">
        <v>169</v>
      </c>
      <c r="K5885">
        <v>5469.94</v>
      </c>
      <c r="L5885">
        <v>1111.42</v>
      </c>
      <c r="M5885">
        <v>13841</v>
      </c>
      <c r="N5885" t="s">
        <v>178</v>
      </c>
      <c r="O5885">
        <v>250820</v>
      </c>
      <c r="P5885">
        <v>4358.5200000000004</v>
      </c>
    </row>
    <row r="5886" spans="1:16" x14ac:dyDescent="0.25">
      <c r="A5886" t="s">
        <v>3296</v>
      </c>
      <c r="B5886" t="s">
        <v>2931</v>
      </c>
      <c r="C5886">
        <v>12350</v>
      </c>
      <c r="D5886" t="str">
        <f>"11000491    "</f>
        <v xml:space="preserve">11000491    </v>
      </c>
      <c r="E5886" t="s">
        <v>2894</v>
      </c>
      <c r="F5886" t="s">
        <v>2895</v>
      </c>
      <c r="G5886">
        <v>5469.94</v>
      </c>
      <c r="H5886">
        <v>251001</v>
      </c>
      <c r="I5886">
        <v>4820</v>
      </c>
      <c r="J5886" t="s">
        <v>169</v>
      </c>
      <c r="K5886">
        <v>5469.94</v>
      </c>
      <c r="L5886">
        <v>1111.42</v>
      </c>
      <c r="M5886">
        <v>13841</v>
      </c>
      <c r="N5886" t="s">
        <v>178</v>
      </c>
      <c r="O5886">
        <v>250919</v>
      </c>
      <c r="P5886">
        <v>4358.5200000000004</v>
      </c>
    </row>
    <row r="5887" spans="1:16" x14ac:dyDescent="0.25">
      <c r="A5887" t="s">
        <v>3296</v>
      </c>
      <c r="B5887" t="s">
        <v>2931</v>
      </c>
      <c r="C5887">
        <v>13842</v>
      </c>
      <c r="D5887" t="str">
        <f>"11000535    "</f>
        <v xml:space="preserve">11000535    </v>
      </c>
      <c r="E5887" t="s">
        <v>2894</v>
      </c>
      <c r="F5887" t="s">
        <v>2895</v>
      </c>
      <c r="G5887">
        <v>5469.94</v>
      </c>
      <c r="H5887">
        <v>251101</v>
      </c>
      <c r="I5887">
        <v>4820</v>
      </c>
      <c r="J5887" t="s">
        <v>169</v>
      </c>
      <c r="K5887">
        <v>5469.94</v>
      </c>
      <c r="L5887">
        <v>1111.42</v>
      </c>
      <c r="M5887">
        <v>13841</v>
      </c>
      <c r="N5887" t="s">
        <v>178</v>
      </c>
      <c r="O5887">
        <v>251020</v>
      </c>
      <c r="P5887">
        <v>4358.5200000000004</v>
      </c>
    </row>
    <row r="5888" spans="1:16" x14ac:dyDescent="0.25">
      <c r="A5888" t="s">
        <v>3296</v>
      </c>
      <c r="B5888" t="s">
        <v>2931</v>
      </c>
      <c r="C5888">
        <v>15630</v>
      </c>
      <c r="D5888" t="str">
        <f>"11000586    "</f>
        <v xml:space="preserve">11000586    </v>
      </c>
      <c r="E5888" t="s">
        <v>2894</v>
      </c>
      <c r="F5888" t="s">
        <v>2895</v>
      </c>
      <c r="G5888">
        <v>5469.94</v>
      </c>
      <c r="H5888">
        <v>251201</v>
      </c>
      <c r="I5888">
        <v>4820</v>
      </c>
      <c r="J5888" t="s">
        <v>169</v>
      </c>
      <c r="K5888">
        <v>5469.94</v>
      </c>
      <c r="L5888">
        <v>1111.42</v>
      </c>
      <c r="M5888">
        <v>13841</v>
      </c>
      <c r="N5888" t="s">
        <v>178</v>
      </c>
      <c r="O5888">
        <v>251124</v>
      </c>
      <c r="P5888">
        <v>4358.5200000000004</v>
      </c>
    </row>
    <row r="5889" spans="1:16" x14ac:dyDescent="0.25">
      <c r="A5889" t="s">
        <v>3296</v>
      </c>
      <c r="B5889" t="s">
        <v>2931</v>
      </c>
      <c r="C5889">
        <v>17123</v>
      </c>
      <c r="D5889" t="str">
        <f>"171225      "</f>
        <v xml:space="preserve">171225      </v>
      </c>
      <c r="E5889" t="s">
        <v>2894</v>
      </c>
      <c r="F5889" t="s">
        <v>2895</v>
      </c>
      <c r="G5889">
        <v>300</v>
      </c>
      <c r="H5889">
        <v>251217</v>
      </c>
      <c r="I5889">
        <v>4842</v>
      </c>
      <c r="J5889" t="s">
        <v>15</v>
      </c>
      <c r="K5889">
        <v>300</v>
      </c>
      <c r="L5889">
        <v>0</v>
      </c>
      <c r="M5889">
        <v>13841</v>
      </c>
      <c r="N5889" t="s">
        <v>178</v>
      </c>
      <c r="O5889">
        <v>251217</v>
      </c>
      <c r="P5889">
        <v>300</v>
      </c>
    </row>
    <row r="5890" spans="1:16" x14ac:dyDescent="0.25">
      <c r="A5890" t="s">
        <v>3296</v>
      </c>
      <c r="B5890" t="s">
        <v>2931</v>
      </c>
      <c r="C5890">
        <v>3522</v>
      </c>
      <c r="D5890" t="str">
        <f>"6025030017  "</f>
        <v xml:space="preserve">6025030017  </v>
      </c>
      <c r="E5890" t="s">
        <v>3031</v>
      </c>
      <c r="F5890" t="s">
        <v>3033</v>
      </c>
      <c r="G5890">
        <v>850</v>
      </c>
      <c r="H5890">
        <v>250304</v>
      </c>
      <c r="I5890">
        <v>4440</v>
      </c>
      <c r="J5890" t="s">
        <v>346</v>
      </c>
      <c r="K5890">
        <v>850</v>
      </c>
      <c r="L5890">
        <v>0</v>
      </c>
      <c r="M5890">
        <v>18123</v>
      </c>
      <c r="N5890" t="s">
        <v>3032</v>
      </c>
      <c r="O5890">
        <v>250325</v>
      </c>
      <c r="P5890">
        <v>850</v>
      </c>
    </row>
    <row r="5891" spans="1:16" x14ac:dyDescent="0.25">
      <c r="A5891" t="s">
        <v>3296</v>
      </c>
      <c r="B5891" t="s">
        <v>2931</v>
      </c>
      <c r="C5891">
        <v>3527</v>
      </c>
      <c r="D5891" t="str">
        <f>"6025030018  "</f>
        <v xml:space="preserve">6025030018  </v>
      </c>
      <c r="E5891" t="s">
        <v>3031</v>
      </c>
      <c r="F5891" t="s">
        <v>3033</v>
      </c>
      <c r="G5891">
        <v>2550</v>
      </c>
      <c r="H5891">
        <v>250304</v>
      </c>
      <c r="I5891">
        <v>4440</v>
      </c>
      <c r="J5891" t="s">
        <v>346</v>
      </c>
      <c r="K5891">
        <v>2550</v>
      </c>
      <c r="L5891">
        <v>0</v>
      </c>
      <c r="M5891">
        <v>18123</v>
      </c>
      <c r="N5891" t="s">
        <v>3032</v>
      </c>
      <c r="O5891">
        <v>250325</v>
      </c>
      <c r="P5891">
        <v>2550</v>
      </c>
    </row>
    <row r="5892" spans="1:16" x14ac:dyDescent="0.25">
      <c r="A5892" t="s">
        <v>3296</v>
      </c>
      <c r="B5892" t="s">
        <v>2931</v>
      </c>
      <c r="C5892">
        <v>7368</v>
      </c>
      <c r="D5892" t="str">
        <f>"6025050014  "</f>
        <v xml:space="preserve">6025050014  </v>
      </c>
      <c r="E5892" t="s">
        <v>3031</v>
      </c>
      <c r="F5892" t="s">
        <v>3033</v>
      </c>
      <c r="G5892">
        <v>1700</v>
      </c>
      <c r="H5892">
        <v>250515</v>
      </c>
      <c r="I5892">
        <v>4440</v>
      </c>
      <c r="J5892" t="s">
        <v>346</v>
      </c>
      <c r="K5892">
        <v>1700</v>
      </c>
      <c r="L5892">
        <v>0</v>
      </c>
      <c r="M5892">
        <v>18123</v>
      </c>
      <c r="N5892" t="s">
        <v>3032</v>
      </c>
      <c r="O5892">
        <v>250603</v>
      </c>
      <c r="P5892">
        <v>1700</v>
      </c>
    </row>
    <row r="5893" spans="1:16" x14ac:dyDescent="0.25">
      <c r="A5893" t="s">
        <v>3296</v>
      </c>
      <c r="B5893" t="s">
        <v>2931</v>
      </c>
      <c r="C5893">
        <v>7386</v>
      </c>
      <c r="D5893" t="str">
        <f>"6025050015  "</f>
        <v xml:space="preserve">6025050015  </v>
      </c>
      <c r="E5893" t="s">
        <v>3031</v>
      </c>
      <c r="F5893" t="s">
        <v>3033</v>
      </c>
      <c r="G5893">
        <v>4250</v>
      </c>
      <c r="H5893">
        <v>250515</v>
      </c>
      <c r="I5893">
        <v>4440</v>
      </c>
      <c r="J5893" t="s">
        <v>346</v>
      </c>
      <c r="K5893">
        <v>4250</v>
      </c>
      <c r="L5893">
        <v>0</v>
      </c>
      <c r="M5893">
        <v>18123</v>
      </c>
      <c r="N5893" t="s">
        <v>3032</v>
      </c>
      <c r="O5893">
        <v>250603</v>
      </c>
      <c r="P5893">
        <v>4250</v>
      </c>
    </row>
    <row r="5894" spans="1:16" x14ac:dyDescent="0.25">
      <c r="A5894" t="s">
        <v>3296</v>
      </c>
      <c r="B5894" t="s">
        <v>2931</v>
      </c>
      <c r="C5894">
        <v>6872</v>
      </c>
      <c r="D5894" t="str">
        <f>"261         "</f>
        <v xml:space="preserve">261         </v>
      </c>
      <c r="E5894" t="s">
        <v>3034</v>
      </c>
      <c r="F5894" t="s">
        <v>3035</v>
      </c>
      <c r="G5894">
        <v>180</v>
      </c>
      <c r="H5894">
        <v>250515</v>
      </c>
      <c r="I5894">
        <v>4440</v>
      </c>
      <c r="J5894" t="s">
        <v>346</v>
      </c>
      <c r="K5894">
        <v>180</v>
      </c>
      <c r="L5894">
        <v>0</v>
      </c>
      <c r="M5894">
        <v>13861</v>
      </c>
      <c r="N5894" t="s">
        <v>604</v>
      </c>
      <c r="O5894">
        <v>250520</v>
      </c>
      <c r="P5894">
        <v>180</v>
      </c>
    </row>
    <row r="5895" spans="1:16" x14ac:dyDescent="0.25">
      <c r="A5895" t="s">
        <v>3296</v>
      </c>
      <c r="B5895" t="s">
        <v>2931</v>
      </c>
      <c r="C5895">
        <v>6878</v>
      </c>
      <c r="D5895" t="str">
        <f>"262         "</f>
        <v xml:space="preserve">262         </v>
      </c>
      <c r="E5895" t="s">
        <v>3034</v>
      </c>
      <c r="F5895" t="s">
        <v>3035</v>
      </c>
      <c r="G5895">
        <v>180</v>
      </c>
      <c r="H5895">
        <v>250515</v>
      </c>
      <c r="I5895">
        <v>4440</v>
      </c>
      <c r="J5895" t="s">
        <v>346</v>
      </c>
      <c r="K5895">
        <v>180</v>
      </c>
      <c r="L5895">
        <v>0</v>
      </c>
      <c r="M5895">
        <v>13861</v>
      </c>
      <c r="N5895" t="s">
        <v>604</v>
      </c>
      <c r="O5895">
        <v>250520</v>
      </c>
      <c r="P5895">
        <v>180</v>
      </c>
    </row>
    <row r="5896" spans="1:16" x14ac:dyDescent="0.25">
      <c r="A5896" t="s">
        <v>3296</v>
      </c>
      <c r="B5896" t="s">
        <v>2931</v>
      </c>
      <c r="C5896">
        <v>10598</v>
      </c>
      <c r="D5896" t="str">
        <f>"306         "</f>
        <v xml:space="preserve">306         </v>
      </c>
      <c r="E5896" t="s">
        <v>3034</v>
      </c>
      <c r="F5896" t="s">
        <v>3035</v>
      </c>
      <c r="G5896">
        <v>164.9</v>
      </c>
      <c r="H5896">
        <v>250819</v>
      </c>
      <c r="I5896">
        <v>4500</v>
      </c>
      <c r="J5896" t="s">
        <v>312</v>
      </c>
      <c r="K5896">
        <v>164.9</v>
      </c>
      <c r="L5896">
        <v>0</v>
      </c>
      <c r="M5896">
        <v>13801</v>
      </c>
      <c r="N5896" t="s">
        <v>33</v>
      </c>
      <c r="O5896">
        <v>250820</v>
      </c>
      <c r="P5896">
        <v>164.9</v>
      </c>
    </row>
    <row r="5897" spans="1:16" x14ac:dyDescent="0.25">
      <c r="A5897" t="s">
        <v>3296</v>
      </c>
      <c r="B5897" t="s">
        <v>2931</v>
      </c>
      <c r="C5897">
        <v>6863</v>
      </c>
      <c r="D5897" t="str">
        <f>"191         "</f>
        <v xml:space="preserve">191         </v>
      </c>
      <c r="E5897" t="s">
        <v>3034</v>
      </c>
      <c r="F5897" t="s">
        <v>3035</v>
      </c>
      <c r="G5897">
        <v>256.89999999999998</v>
      </c>
      <c r="H5897">
        <v>250514</v>
      </c>
      <c r="I5897">
        <v>4600</v>
      </c>
      <c r="J5897" t="s">
        <v>278</v>
      </c>
      <c r="K5897">
        <v>256.89999999999998</v>
      </c>
      <c r="L5897">
        <v>0</v>
      </c>
      <c r="M5897">
        <v>13801</v>
      </c>
      <c r="N5897" t="s">
        <v>33</v>
      </c>
      <c r="O5897">
        <v>250519</v>
      </c>
      <c r="P5897">
        <v>256.89999999999998</v>
      </c>
    </row>
    <row r="5898" spans="1:16" x14ac:dyDescent="0.25">
      <c r="A5898" t="s">
        <v>3296</v>
      </c>
      <c r="B5898" t="s">
        <v>2931</v>
      </c>
      <c r="C5898">
        <v>15947</v>
      </c>
      <c r="D5898" t="str">
        <f>"126/22144   "</f>
        <v xml:space="preserve">126/22144   </v>
      </c>
      <c r="E5898" t="s">
        <v>2642</v>
      </c>
      <c r="F5898" t="s">
        <v>2643</v>
      </c>
      <c r="G5898">
        <v>1544.05</v>
      </c>
      <c r="H5898">
        <v>251117</v>
      </c>
      <c r="I5898">
        <v>4600</v>
      </c>
      <c r="J5898" t="s">
        <v>278</v>
      </c>
      <c r="K5898">
        <v>1544.05</v>
      </c>
      <c r="L5898">
        <v>189.62</v>
      </c>
      <c r="M5898">
        <v>17632</v>
      </c>
      <c r="N5898" t="s">
        <v>615</v>
      </c>
      <c r="O5898">
        <v>251201</v>
      </c>
      <c r="P5898">
        <v>1354.43</v>
      </c>
    </row>
    <row r="5899" spans="1:16" x14ac:dyDescent="0.25">
      <c r="A5899" t="s">
        <v>3296</v>
      </c>
      <c r="B5899" t="s">
        <v>2931</v>
      </c>
      <c r="C5899">
        <v>17058</v>
      </c>
      <c r="D5899" t="str">
        <f>"75          "</f>
        <v xml:space="preserve">75          </v>
      </c>
      <c r="E5899" t="s">
        <v>2716</v>
      </c>
      <c r="F5899" t="s">
        <v>2717</v>
      </c>
      <c r="G5899">
        <v>796</v>
      </c>
      <c r="H5899">
        <v>251210</v>
      </c>
      <c r="I5899">
        <v>4410</v>
      </c>
      <c r="J5899" t="s">
        <v>165</v>
      </c>
      <c r="K5899">
        <v>796</v>
      </c>
      <c r="L5899">
        <v>97.75</v>
      </c>
      <c r="M5899">
        <v>13401</v>
      </c>
      <c r="N5899" t="s">
        <v>10</v>
      </c>
      <c r="O5899">
        <v>251216</v>
      </c>
      <c r="P5899">
        <v>698.25</v>
      </c>
    </row>
    <row r="5900" spans="1:16" x14ac:dyDescent="0.25">
      <c r="A5900" t="s">
        <v>3296</v>
      </c>
      <c r="B5900" t="s">
        <v>2931</v>
      </c>
      <c r="C5900">
        <v>17218</v>
      </c>
      <c r="D5900" t="str">
        <f>"77          "</f>
        <v xml:space="preserve">77          </v>
      </c>
      <c r="E5900" t="s">
        <v>2716</v>
      </c>
      <c r="F5900" t="s">
        <v>2717</v>
      </c>
      <c r="G5900">
        <v>30</v>
      </c>
      <c r="H5900">
        <v>251210</v>
      </c>
      <c r="I5900">
        <v>4410</v>
      </c>
      <c r="J5900" t="s">
        <v>165</v>
      </c>
      <c r="K5900">
        <v>922.7</v>
      </c>
      <c r="L5900">
        <v>0</v>
      </c>
      <c r="M5900">
        <v>11941</v>
      </c>
      <c r="N5900" t="s">
        <v>426</v>
      </c>
      <c r="O5900">
        <v>251218</v>
      </c>
      <c r="P5900">
        <v>30</v>
      </c>
    </row>
    <row r="5901" spans="1:16" x14ac:dyDescent="0.25">
      <c r="A5901" t="s">
        <v>3296</v>
      </c>
      <c r="B5901" t="s">
        <v>2931</v>
      </c>
      <c r="C5901">
        <v>17218</v>
      </c>
      <c r="D5901" t="str">
        <f>"77          "</f>
        <v xml:space="preserve">77          </v>
      </c>
      <c r="E5901" t="s">
        <v>2716</v>
      </c>
      <c r="F5901" t="s">
        <v>2717</v>
      </c>
      <c r="G5901">
        <v>892.7</v>
      </c>
      <c r="H5901">
        <v>251210</v>
      </c>
      <c r="I5901">
        <v>4410</v>
      </c>
      <c r="J5901" t="s">
        <v>165</v>
      </c>
      <c r="K5901">
        <v>922.7</v>
      </c>
      <c r="L5901">
        <v>109.63</v>
      </c>
      <c r="M5901">
        <v>11941</v>
      </c>
      <c r="N5901" t="s">
        <v>426</v>
      </c>
      <c r="O5901">
        <v>251218</v>
      </c>
      <c r="P5901">
        <v>783.07</v>
      </c>
    </row>
    <row r="5902" spans="1:16" x14ac:dyDescent="0.25">
      <c r="A5902" t="s">
        <v>3296</v>
      </c>
      <c r="B5902" t="s">
        <v>2931</v>
      </c>
      <c r="C5902">
        <v>4232</v>
      </c>
      <c r="D5902" t="str">
        <f>"7180657951  "</f>
        <v xml:space="preserve">7180657951  </v>
      </c>
      <c r="E5902" t="s">
        <v>1598</v>
      </c>
      <c r="F5902" t="s">
        <v>1599</v>
      </c>
      <c r="G5902">
        <v>2698.43</v>
      </c>
      <c r="H5902">
        <v>250306</v>
      </c>
      <c r="I5902">
        <v>4555</v>
      </c>
      <c r="J5902" t="s">
        <v>352</v>
      </c>
      <c r="K5902">
        <v>2698.43</v>
      </c>
      <c r="L5902">
        <v>548.29</v>
      </c>
      <c r="M5902">
        <v>44453</v>
      </c>
      <c r="N5902" t="s">
        <v>100</v>
      </c>
      <c r="O5902">
        <v>250409</v>
      </c>
      <c r="P5902">
        <v>2150.14</v>
      </c>
    </row>
    <row r="5903" spans="1:16" x14ac:dyDescent="0.25">
      <c r="A5903" t="s">
        <v>3296</v>
      </c>
      <c r="B5903" t="s">
        <v>2931</v>
      </c>
      <c r="C5903">
        <v>4235</v>
      </c>
      <c r="D5903" t="str">
        <f>"7180658095  "</f>
        <v xml:space="preserve">7180658095  </v>
      </c>
      <c r="E5903" t="s">
        <v>1598</v>
      </c>
      <c r="F5903" t="s">
        <v>1599</v>
      </c>
      <c r="G5903">
        <v>76.2</v>
      </c>
      <c r="H5903">
        <v>250311</v>
      </c>
      <c r="I5903">
        <v>4555</v>
      </c>
      <c r="J5903" t="s">
        <v>352</v>
      </c>
      <c r="K5903">
        <v>76.2</v>
      </c>
      <c r="L5903">
        <v>15.48</v>
      </c>
      <c r="M5903">
        <v>44422</v>
      </c>
      <c r="N5903" t="s">
        <v>97</v>
      </c>
      <c r="O5903">
        <v>250409</v>
      </c>
      <c r="P5903">
        <v>60.72</v>
      </c>
    </row>
    <row r="5904" spans="1:16" x14ac:dyDescent="0.25">
      <c r="A5904" t="s">
        <v>3296</v>
      </c>
      <c r="B5904" t="s">
        <v>2931</v>
      </c>
      <c r="C5904">
        <v>5202</v>
      </c>
      <c r="D5904" t="str">
        <f>"7180658611  "</f>
        <v xml:space="preserve">7180658611  </v>
      </c>
      <c r="E5904" t="s">
        <v>1598</v>
      </c>
      <c r="F5904" t="s">
        <v>1599</v>
      </c>
      <c r="G5904">
        <v>201</v>
      </c>
      <c r="H5904">
        <v>250321</v>
      </c>
      <c r="I5904">
        <v>4555</v>
      </c>
      <c r="J5904" t="s">
        <v>352</v>
      </c>
      <c r="K5904">
        <v>201</v>
      </c>
      <c r="L5904">
        <v>40.840000000000003</v>
      </c>
      <c r="M5904">
        <v>44422</v>
      </c>
      <c r="N5904" t="s">
        <v>97</v>
      </c>
      <c r="O5904">
        <v>250422</v>
      </c>
      <c r="P5904">
        <v>160.16</v>
      </c>
    </row>
    <row r="5905" spans="1:16" x14ac:dyDescent="0.25">
      <c r="A5905" t="s">
        <v>3296</v>
      </c>
      <c r="B5905" t="s">
        <v>2931</v>
      </c>
      <c r="C5905">
        <v>13988</v>
      </c>
      <c r="D5905" t="str">
        <f>"7180667208  "</f>
        <v xml:space="preserve">7180667208  </v>
      </c>
      <c r="E5905" t="s">
        <v>1598</v>
      </c>
      <c r="F5905" t="s">
        <v>1599</v>
      </c>
      <c r="G5905">
        <v>665.02</v>
      </c>
      <c r="H5905">
        <v>251003</v>
      </c>
      <c r="I5905">
        <v>4555</v>
      </c>
      <c r="J5905" t="s">
        <v>352</v>
      </c>
      <c r="K5905">
        <v>665.02</v>
      </c>
      <c r="L5905">
        <v>135.12</v>
      </c>
      <c r="M5905">
        <v>44453</v>
      </c>
      <c r="N5905" t="s">
        <v>100</v>
      </c>
      <c r="O5905">
        <v>251021</v>
      </c>
      <c r="P5905">
        <v>529.9</v>
      </c>
    </row>
    <row r="5906" spans="1:16" x14ac:dyDescent="0.25">
      <c r="A5906" t="s">
        <v>3296</v>
      </c>
      <c r="B5906" t="s">
        <v>2931</v>
      </c>
      <c r="C5906">
        <v>14148</v>
      </c>
      <c r="D5906" t="str">
        <f>"7180667302  "</f>
        <v xml:space="preserve">7180667302  </v>
      </c>
      <c r="E5906" t="s">
        <v>1598</v>
      </c>
      <c r="F5906" t="s">
        <v>1599</v>
      </c>
      <c r="G5906">
        <v>35.22</v>
      </c>
      <c r="H5906">
        <v>251007</v>
      </c>
      <c r="I5906">
        <v>4555</v>
      </c>
      <c r="J5906" t="s">
        <v>352</v>
      </c>
      <c r="K5906">
        <v>35.22</v>
      </c>
      <c r="L5906">
        <v>7.16</v>
      </c>
      <c r="M5906">
        <v>44422</v>
      </c>
      <c r="N5906" t="s">
        <v>97</v>
      </c>
      <c r="O5906">
        <v>251024</v>
      </c>
      <c r="P5906">
        <v>28.06</v>
      </c>
    </row>
    <row r="5907" spans="1:16" x14ac:dyDescent="0.25">
      <c r="A5907" t="s">
        <v>3296</v>
      </c>
      <c r="B5907" t="s">
        <v>2931</v>
      </c>
      <c r="C5907">
        <v>8358</v>
      </c>
      <c r="D5907" t="str">
        <f>"7180661460  "</f>
        <v xml:space="preserve">7180661460  </v>
      </c>
      <c r="E5907" t="s">
        <v>1598</v>
      </c>
      <c r="F5907" t="s">
        <v>1599</v>
      </c>
      <c r="G5907">
        <v>1248.94</v>
      </c>
      <c r="H5907">
        <v>250521</v>
      </c>
      <c r="I5907">
        <v>4580</v>
      </c>
      <c r="J5907" t="s">
        <v>126</v>
      </c>
      <c r="K5907">
        <v>1248.94</v>
      </c>
      <c r="L5907">
        <v>253.77</v>
      </c>
      <c r="M5907">
        <v>44422</v>
      </c>
      <c r="N5907" t="s">
        <v>97</v>
      </c>
      <c r="O5907">
        <v>250613</v>
      </c>
      <c r="P5907">
        <v>995.17</v>
      </c>
    </row>
    <row r="5908" spans="1:16" x14ac:dyDescent="0.25">
      <c r="A5908" t="s">
        <v>3296</v>
      </c>
      <c r="B5908" t="s">
        <v>2931</v>
      </c>
      <c r="C5908">
        <v>8952</v>
      </c>
      <c r="D5908" t="str">
        <f>"7104506525  "</f>
        <v xml:space="preserve">7104506525  </v>
      </c>
      <c r="E5908" t="s">
        <v>1598</v>
      </c>
      <c r="F5908" t="s">
        <v>1599</v>
      </c>
      <c r="G5908">
        <v>1244.92</v>
      </c>
      <c r="H5908">
        <v>250609</v>
      </c>
      <c r="I5908">
        <v>4580</v>
      </c>
      <c r="J5908" t="s">
        <v>126</v>
      </c>
      <c r="K5908">
        <v>1244.92</v>
      </c>
      <c r="L5908">
        <v>252.95</v>
      </c>
      <c r="M5908">
        <v>44422</v>
      </c>
      <c r="N5908" t="s">
        <v>97</v>
      </c>
      <c r="O5908">
        <v>250619</v>
      </c>
      <c r="P5908">
        <v>991.97</v>
      </c>
    </row>
    <row r="5909" spans="1:16" x14ac:dyDescent="0.25">
      <c r="A5909" t="s">
        <v>3296</v>
      </c>
      <c r="B5909" t="s">
        <v>2931</v>
      </c>
      <c r="C5909">
        <v>1859</v>
      </c>
      <c r="D5909" t="str">
        <f>"30014697    "</f>
        <v xml:space="preserve">30014697    </v>
      </c>
      <c r="E5909" t="s">
        <v>1144</v>
      </c>
      <c r="F5909" t="s">
        <v>1145</v>
      </c>
      <c r="G5909">
        <v>25</v>
      </c>
      <c r="H5909">
        <v>250212</v>
      </c>
      <c r="I5909">
        <v>4510</v>
      </c>
      <c r="J5909" t="s">
        <v>240</v>
      </c>
      <c r="K5909">
        <v>50</v>
      </c>
      <c r="L5909">
        <v>2.27</v>
      </c>
      <c r="M5909">
        <v>17131</v>
      </c>
      <c r="N5909" t="s">
        <v>154</v>
      </c>
      <c r="O5909">
        <v>250214</v>
      </c>
      <c r="P5909">
        <v>22.73</v>
      </c>
    </row>
    <row r="5910" spans="1:16" x14ac:dyDescent="0.25">
      <c r="A5910" t="s">
        <v>3296</v>
      </c>
      <c r="B5910" t="s">
        <v>2931</v>
      </c>
      <c r="C5910">
        <v>1859</v>
      </c>
      <c r="D5910" t="str">
        <f>"30014697    "</f>
        <v xml:space="preserve">30014697    </v>
      </c>
      <c r="E5910" t="s">
        <v>1144</v>
      </c>
      <c r="F5910" t="s">
        <v>1145</v>
      </c>
      <c r="G5910">
        <v>25</v>
      </c>
      <c r="H5910">
        <v>250212</v>
      </c>
      <c r="I5910">
        <v>4510</v>
      </c>
      <c r="J5910" t="s">
        <v>240</v>
      </c>
      <c r="K5910">
        <v>50</v>
      </c>
      <c r="L5910">
        <v>2.27</v>
      </c>
      <c r="M5910">
        <v>17711</v>
      </c>
      <c r="N5910" t="s">
        <v>155</v>
      </c>
      <c r="O5910">
        <v>250214</v>
      </c>
      <c r="P5910">
        <v>22.73</v>
      </c>
    </row>
    <row r="5911" spans="1:16" x14ac:dyDescent="0.25">
      <c r="A5911" t="s">
        <v>3296</v>
      </c>
      <c r="B5911" t="s">
        <v>2931</v>
      </c>
      <c r="C5911">
        <v>15849</v>
      </c>
      <c r="D5911" t="str">
        <f>"30019009    "</f>
        <v xml:space="preserve">30019009    </v>
      </c>
      <c r="E5911" t="s">
        <v>1144</v>
      </c>
      <c r="F5911" t="s">
        <v>1145</v>
      </c>
      <c r="G5911">
        <v>26.5</v>
      </c>
      <c r="H5911">
        <v>251126</v>
      </c>
      <c r="I5911">
        <v>4510</v>
      </c>
      <c r="J5911" t="s">
        <v>240</v>
      </c>
      <c r="K5911">
        <v>53</v>
      </c>
      <c r="L5911">
        <v>2.41</v>
      </c>
      <c r="M5911">
        <v>17131</v>
      </c>
      <c r="N5911" t="s">
        <v>154</v>
      </c>
      <c r="O5911">
        <v>251127</v>
      </c>
      <c r="P5911">
        <v>24.09</v>
      </c>
    </row>
    <row r="5912" spans="1:16" x14ac:dyDescent="0.25">
      <c r="A5912" t="s">
        <v>3296</v>
      </c>
      <c r="B5912" t="s">
        <v>2931</v>
      </c>
      <c r="C5912">
        <v>15849</v>
      </c>
      <c r="D5912" t="str">
        <f>"30019009    "</f>
        <v xml:space="preserve">30019009    </v>
      </c>
      <c r="E5912" t="s">
        <v>1144</v>
      </c>
      <c r="F5912" t="s">
        <v>1145</v>
      </c>
      <c r="G5912">
        <v>26.5</v>
      </c>
      <c r="H5912">
        <v>251126</v>
      </c>
      <c r="I5912">
        <v>4510</v>
      </c>
      <c r="J5912" t="s">
        <v>240</v>
      </c>
      <c r="K5912">
        <v>53</v>
      </c>
      <c r="L5912">
        <v>2.41</v>
      </c>
      <c r="M5912">
        <v>17711</v>
      </c>
      <c r="N5912" t="s">
        <v>155</v>
      </c>
      <c r="O5912">
        <v>251127</v>
      </c>
      <c r="P5912">
        <v>24.09</v>
      </c>
    </row>
    <row r="5913" spans="1:16" x14ac:dyDescent="0.25">
      <c r="A5913" t="s">
        <v>3296</v>
      </c>
      <c r="B5913" t="s">
        <v>2931</v>
      </c>
      <c r="C5913">
        <v>8770</v>
      </c>
      <c r="D5913" t="str">
        <f>"101/250020  "</f>
        <v xml:space="preserve">101/250020  </v>
      </c>
      <c r="E5913" t="s">
        <v>2906</v>
      </c>
      <c r="F5913" t="s">
        <v>2907</v>
      </c>
      <c r="G5913">
        <v>23.49</v>
      </c>
      <c r="H5913">
        <v>250606</v>
      </c>
      <c r="I5913">
        <v>4500</v>
      </c>
      <c r="J5913" t="s">
        <v>312</v>
      </c>
      <c r="K5913">
        <v>23.49</v>
      </c>
      <c r="L5913">
        <v>4.7699999999999996</v>
      </c>
      <c r="M5913">
        <v>13802</v>
      </c>
      <c r="N5913" t="s">
        <v>34</v>
      </c>
      <c r="O5913">
        <v>250618</v>
      </c>
      <c r="P5913">
        <v>18.72</v>
      </c>
    </row>
    <row r="5914" spans="1:16" x14ac:dyDescent="0.25">
      <c r="A5914" t="s">
        <v>3296</v>
      </c>
      <c r="B5914" t="s">
        <v>2931</v>
      </c>
      <c r="C5914">
        <v>16613</v>
      </c>
      <c r="D5914" t="str">
        <f>"101/250057  "</f>
        <v xml:space="preserve">101/250057  </v>
      </c>
      <c r="E5914" t="s">
        <v>2906</v>
      </c>
      <c r="F5914" t="s">
        <v>2907</v>
      </c>
      <c r="G5914">
        <v>23.84</v>
      </c>
      <c r="H5914">
        <v>251130</v>
      </c>
      <c r="I5914">
        <v>4600</v>
      </c>
      <c r="J5914" t="s">
        <v>278</v>
      </c>
      <c r="K5914">
        <v>23.84</v>
      </c>
      <c r="L5914">
        <v>4.84</v>
      </c>
      <c r="M5914">
        <v>13802</v>
      </c>
      <c r="N5914" t="s">
        <v>34</v>
      </c>
      <c r="O5914">
        <v>251210</v>
      </c>
      <c r="P5914">
        <v>19</v>
      </c>
    </row>
    <row r="5915" spans="1:16" x14ac:dyDescent="0.25">
      <c r="A5915" t="s">
        <v>3296</v>
      </c>
      <c r="B5915" t="s">
        <v>2931</v>
      </c>
      <c r="C5915">
        <v>1086</v>
      </c>
      <c r="D5915" t="str">
        <f>"27670       "</f>
        <v xml:space="preserve">27670       </v>
      </c>
      <c r="E5915" t="s">
        <v>835</v>
      </c>
      <c r="F5915" t="s">
        <v>836</v>
      </c>
      <c r="G5915">
        <v>180.72</v>
      </c>
      <c r="H5915">
        <v>250129</v>
      </c>
      <c r="I5915">
        <v>4400</v>
      </c>
      <c r="J5915" t="s">
        <v>162</v>
      </c>
      <c r="K5915">
        <v>180.72</v>
      </c>
      <c r="L5915">
        <v>36.72</v>
      </c>
      <c r="M5915">
        <v>56564</v>
      </c>
      <c r="N5915" t="s">
        <v>56</v>
      </c>
      <c r="O5915">
        <v>250204</v>
      </c>
      <c r="P5915">
        <v>144</v>
      </c>
    </row>
    <row r="5916" spans="1:16" x14ac:dyDescent="0.25">
      <c r="A5916" t="s">
        <v>3296</v>
      </c>
      <c r="B5916" t="s">
        <v>2931</v>
      </c>
      <c r="C5916">
        <v>1072</v>
      </c>
      <c r="D5916" t="str">
        <f>"27666       "</f>
        <v xml:space="preserve">27666       </v>
      </c>
      <c r="E5916" t="s">
        <v>835</v>
      </c>
      <c r="F5916" t="s">
        <v>836</v>
      </c>
      <c r="G5916">
        <v>2410.86</v>
      </c>
      <c r="H5916">
        <v>250121</v>
      </c>
      <c r="I5916">
        <v>4600</v>
      </c>
      <c r="J5916" t="s">
        <v>278</v>
      </c>
      <c r="K5916">
        <v>2410.86</v>
      </c>
      <c r="L5916">
        <v>489.86</v>
      </c>
      <c r="M5916">
        <v>56564</v>
      </c>
      <c r="N5916" t="s">
        <v>56</v>
      </c>
      <c r="O5916">
        <v>250204</v>
      </c>
      <c r="P5916">
        <v>1921</v>
      </c>
    </row>
    <row r="5917" spans="1:16" x14ac:dyDescent="0.25">
      <c r="A5917" t="s">
        <v>3296</v>
      </c>
      <c r="B5917" t="s">
        <v>2931</v>
      </c>
      <c r="C5917">
        <v>17732</v>
      </c>
      <c r="D5917" t="str">
        <f>"6025120010  "</f>
        <v xml:space="preserve">6025120010  </v>
      </c>
      <c r="E5917" t="s">
        <v>2771</v>
      </c>
      <c r="F5917" t="s">
        <v>2772</v>
      </c>
      <c r="G5917">
        <v>1311.92</v>
      </c>
      <c r="H5917">
        <v>251221</v>
      </c>
      <c r="I5917">
        <v>4390</v>
      </c>
      <c r="J5917" t="s">
        <v>232</v>
      </c>
      <c r="K5917">
        <v>1311.92</v>
      </c>
      <c r="L5917">
        <v>0</v>
      </c>
      <c r="M5917">
        <v>69501</v>
      </c>
      <c r="N5917" t="s">
        <v>123</v>
      </c>
      <c r="O5917">
        <v>251230</v>
      </c>
      <c r="P5917">
        <v>1311.92</v>
      </c>
    </row>
    <row r="5918" spans="1:16" x14ac:dyDescent="0.25">
      <c r="A5918" t="s">
        <v>3296</v>
      </c>
      <c r="B5918" t="s">
        <v>2931</v>
      </c>
      <c r="C5918">
        <v>2113</v>
      </c>
      <c r="D5918" t="str">
        <f>"6607        "</f>
        <v xml:space="preserve">6607        </v>
      </c>
      <c r="E5918" t="s">
        <v>3009</v>
      </c>
      <c r="F5918" t="s">
        <v>3010</v>
      </c>
      <c r="G5918">
        <v>200</v>
      </c>
      <c r="H5918">
        <v>250213</v>
      </c>
      <c r="I5918">
        <v>4460</v>
      </c>
      <c r="J5918" t="s">
        <v>2952</v>
      </c>
      <c r="K5918">
        <v>200</v>
      </c>
      <c r="L5918">
        <v>0</v>
      </c>
      <c r="M5918">
        <v>17131</v>
      </c>
      <c r="N5918" t="s">
        <v>154</v>
      </c>
      <c r="O5918">
        <v>250220</v>
      </c>
      <c r="P5918">
        <v>200</v>
      </c>
    </row>
    <row r="5919" spans="1:16" x14ac:dyDescent="0.25">
      <c r="A5919" t="s">
        <v>3296</v>
      </c>
      <c r="B5919" t="s">
        <v>2931</v>
      </c>
      <c r="C5919">
        <v>7443</v>
      </c>
      <c r="D5919" t="str">
        <f>"1039048     "</f>
        <v xml:space="preserve">1039048     </v>
      </c>
      <c r="E5919" t="s">
        <v>1966</v>
      </c>
      <c r="F5919" t="s">
        <v>1967</v>
      </c>
      <c r="G5919">
        <v>978.16</v>
      </c>
      <c r="H5919">
        <v>250507</v>
      </c>
      <c r="I5919">
        <v>4555</v>
      </c>
      <c r="J5919" t="s">
        <v>352</v>
      </c>
      <c r="K5919">
        <v>978.16</v>
      </c>
      <c r="L5919">
        <v>198.75</v>
      </c>
      <c r="M5919">
        <v>44453</v>
      </c>
      <c r="N5919" t="s">
        <v>100</v>
      </c>
      <c r="O5919">
        <v>250603</v>
      </c>
      <c r="P5919">
        <v>779.41</v>
      </c>
    </row>
    <row r="5920" spans="1:16" x14ac:dyDescent="0.25">
      <c r="A5920" t="s">
        <v>3296</v>
      </c>
      <c r="B5920" t="s">
        <v>2931</v>
      </c>
      <c r="C5920">
        <v>16399</v>
      </c>
      <c r="D5920" t="str">
        <f>"1039951     "</f>
        <v xml:space="preserve">1039951     </v>
      </c>
      <c r="E5920" t="s">
        <v>1966</v>
      </c>
      <c r="F5920" t="s">
        <v>1967</v>
      </c>
      <c r="G5920">
        <v>810.73</v>
      </c>
      <c r="H5920">
        <v>251121</v>
      </c>
      <c r="I5920">
        <v>4555</v>
      </c>
      <c r="J5920" t="s">
        <v>352</v>
      </c>
      <c r="K5920">
        <v>810.73</v>
      </c>
      <c r="L5920">
        <v>164.73</v>
      </c>
      <c r="M5920">
        <v>44453</v>
      </c>
      <c r="N5920" t="s">
        <v>100</v>
      </c>
      <c r="O5920">
        <v>251208</v>
      </c>
      <c r="P5920">
        <v>646</v>
      </c>
    </row>
    <row r="5921" spans="1:16" x14ac:dyDescent="0.25">
      <c r="A5921" t="s">
        <v>3296</v>
      </c>
      <c r="B5921" t="s">
        <v>2931</v>
      </c>
      <c r="C5921">
        <v>17678</v>
      </c>
      <c r="D5921" t="str">
        <f>"1040025     "</f>
        <v xml:space="preserve">1040025     </v>
      </c>
      <c r="E5921" t="s">
        <v>1966</v>
      </c>
      <c r="F5921" t="s">
        <v>1967</v>
      </c>
      <c r="G5921">
        <v>285.70999999999998</v>
      </c>
      <c r="H5921">
        <v>251205</v>
      </c>
      <c r="I5921">
        <v>4600</v>
      </c>
      <c r="J5921" t="s">
        <v>278</v>
      </c>
      <c r="K5921">
        <v>285.70999999999998</v>
      </c>
      <c r="L5921">
        <v>58.05</v>
      </c>
      <c r="M5921">
        <v>54252</v>
      </c>
      <c r="N5921" t="s">
        <v>742</v>
      </c>
      <c r="O5921">
        <v>251229</v>
      </c>
      <c r="P5921">
        <v>227.66</v>
      </c>
    </row>
    <row r="5922" spans="1:16" x14ac:dyDescent="0.25">
      <c r="A5922" t="s">
        <v>3296</v>
      </c>
      <c r="B5922" t="s">
        <v>2931</v>
      </c>
      <c r="C5922">
        <v>13814</v>
      </c>
      <c r="D5922" t="str">
        <f>"901566      "</f>
        <v xml:space="preserve">901566      </v>
      </c>
      <c r="E5922" t="s">
        <v>2452</v>
      </c>
      <c r="F5922" t="s">
        <v>2453</v>
      </c>
      <c r="G5922">
        <v>11830</v>
      </c>
      <c r="H5922">
        <v>251010</v>
      </c>
      <c r="I5922">
        <v>4400</v>
      </c>
      <c r="J5922" t="s">
        <v>162</v>
      </c>
      <c r="K5922">
        <v>11830</v>
      </c>
      <c r="L5922">
        <v>2403.71</v>
      </c>
      <c r="M5922">
        <v>59504</v>
      </c>
      <c r="N5922" t="s">
        <v>193</v>
      </c>
      <c r="O5922">
        <v>251020</v>
      </c>
      <c r="P5922">
        <v>9426.2900000000009</v>
      </c>
    </row>
    <row r="5923" spans="1:16" x14ac:dyDescent="0.25">
      <c r="A5923" t="s">
        <v>3296</v>
      </c>
      <c r="B5923" t="s">
        <v>2931</v>
      </c>
      <c r="C5923">
        <v>14557</v>
      </c>
      <c r="D5923" t="str">
        <f>"17-2025     "</f>
        <v xml:space="preserve">17-2025     </v>
      </c>
      <c r="E5923" t="s">
        <v>3157</v>
      </c>
      <c r="F5923" t="s">
        <v>3158</v>
      </c>
      <c r="G5923">
        <v>1393.05</v>
      </c>
      <c r="H5923">
        <v>251029</v>
      </c>
      <c r="I5923">
        <v>4440</v>
      </c>
      <c r="J5923" t="s">
        <v>346</v>
      </c>
      <c r="K5923">
        <v>1393.05</v>
      </c>
      <c r="L5923">
        <v>283.05</v>
      </c>
      <c r="M5923">
        <v>13801</v>
      </c>
      <c r="N5923" t="s">
        <v>33</v>
      </c>
      <c r="O5923">
        <v>251104</v>
      </c>
      <c r="P5923">
        <v>1110</v>
      </c>
    </row>
    <row r="5924" spans="1:16" x14ac:dyDescent="0.25">
      <c r="A5924" t="s">
        <v>3296</v>
      </c>
      <c r="B5924" t="s">
        <v>2931</v>
      </c>
      <c r="C5924">
        <v>8778</v>
      </c>
      <c r="D5924" t="str">
        <f>"86          "</f>
        <v xml:space="preserve">86          </v>
      </c>
      <c r="E5924" t="s">
        <v>2052</v>
      </c>
      <c r="F5924" t="s">
        <v>2703</v>
      </c>
      <c r="G5924">
        <v>589.5</v>
      </c>
      <c r="H5924">
        <v>250609</v>
      </c>
      <c r="I5924">
        <v>4600</v>
      </c>
      <c r="J5924" t="s">
        <v>278</v>
      </c>
      <c r="K5924">
        <v>589.5</v>
      </c>
      <c r="L5924">
        <v>119.78</v>
      </c>
      <c r="M5924">
        <v>59702</v>
      </c>
      <c r="N5924" t="s">
        <v>45</v>
      </c>
      <c r="O5924">
        <v>250618</v>
      </c>
      <c r="P5924">
        <v>469.72</v>
      </c>
    </row>
    <row r="5925" spans="1:16" x14ac:dyDescent="0.25">
      <c r="A5925" t="s">
        <v>3296</v>
      </c>
      <c r="B5925" t="s">
        <v>2931</v>
      </c>
      <c r="C5925">
        <v>11880</v>
      </c>
      <c r="D5925" t="str">
        <f>"1000192     "</f>
        <v xml:space="preserve">1000192     </v>
      </c>
      <c r="E5925" t="s">
        <v>1670</v>
      </c>
      <c r="F5925" t="s">
        <v>1671</v>
      </c>
      <c r="G5925">
        <v>75.3</v>
      </c>
      <c r="H5925">
        <v>250905</v>
      </c>
      <c r="I5925">
        <v>4470</v>
      </c>
      <c r="J5925" t="s">
        <v>203</v>
      </c>
      <c r="K5925">
        <v>75.3</v>
      </c>
      <c r="L5925">
        <v>15.3</v>
      </c>
      <c r="M5925">
        <v>66754</v>
      </c>
      <c r="N5925" t="s">
        <v>119</v>
      </c>
      <c r="O5925">
        <v>250911</v>
      </c>
      <c r="P5925">
        <v>60</v>
      </c>
    </row>
    <row r="5926" spans="1:16" x14ac:dyDescent="0.25">
      <c r="A5926" t="s">
        <v>3296</v>
      </c>
      <c r="B5926" t="s">
        <v>2931</v>
      </c>
      <c r="C5926">
        <v>16646</v>
      </c>
      <c r="D5926" t="str">
        <f>"5000095     "</f>
        <v xml:space="preserve">5000095     </v>
      </c>
      <c r="E5926" t="s">
        <v>1670</v>
      </c>
      <c r="F5926" t="s">
        <v>1671</v>
      </c>
      <c r="G5926">
        <v>62.75</v>
      </c>
      <c r="H5926">
        <v>251203</v>
      </c>
      <c r="I5926">
        <v>4940</v>
      </c>
      <c r="J5926" t="s">
        <v>250</v>
      </c>
      <c r="K5926">
        <v>62.75</v>
      </c>
      <c r="L5926">
        <v>12.75</v>
      </c>
      <c r="M5926">
        <v>66754</v>
      </c>
      <c r="N5926" t="s">
        <v>119</v>
      </c>
      <c r="O5926">
        <v>251211</v>
      </c>
      <c r="P5926">
        <v>50</v>
      </c>
    </row>
    <row r="5927" spans="1:16" x14ac:dyDescent="0.25">
      <c r="A5927" t="s">
        <v>3296</v>
      </c>
      <c r="B5927" t="s">
        <v>2931</v>
      </c>
      <c r="C5927">
        <v>15122</v>
      </c>
      <c r="D5927" t="str">
        <f>"81067856    "</f>
        <v xml:space="preserve">81067856    </v>
      </c>
      <c r="E5927" t="s">
        <v>3161</v>
      </c>
      <c r="F5927" t="s">
        <v>3162</v>
      </c>
      <c r="G5927">
        <v>32</v>
      </c>
      <c r="H5927">
        <v>251110</v>
      </c>
      <c r="I5927">
        <v>4510</v>
      </c>
      <c r="J5927" t="s">
        <v>240</v>
      </c>
      <c r="K5927">
        <v>32</v>
      </c>
      <c r="L5927">
        <v>0</v>
      </c>
      <c r="M5927">
        <v>17538</v>
      </c>
      <c r="N5927" t="s">
        <v>129</v>
      </c>
      <c r="O5927">
        <v>251111</v>
      </c>
      <c r="P5927">
        <v>32</v>
      </c>
    </row>
    <row r="5928" spans="1:16" x14ac:dyDescent="0.25">
      <c r="A5928" t="s">
        <v>3296</v>
      </c>
      <c r="B5928" t="s">
        <v>2931</v>
      </c>
      <c r="C5928">
        <v>4961</v>
      </c>
      <c r="D5928" t="str">
        <f>"1250400010  "</f>
        <v xml:space="preserve">1250400010  </v>
      </c>
      <c r="E5928" t="s">
        <v>1677</v>
      </c>
      <c r="F5928" t="s">
        <v>1678</v>
      </c>
      <c r="G5928">
        <v>15.06</v>
      </c>
      <c r="H5928">
        <v>250408</v>
      </c>
      <c r="I5928">
        <v>4500</v>
      </c>
      <c r="J5928" t="s">
        <v>312</v>
      </c>
      <c r="K5928">
        <v>15.06</v>
      </c>
      <c r="L5928">
        <v>3.06</v>
      </c>
      <c r="M5928">
        <v>13901</v>
      </c>
      <c r="N5928" t="s">
        <v>116</v>
      </c>
      <c r="O5928">
        <v>250416</v>
      </c>
      <c r="P5928">
        <v>12</v>
      </c>
    </row>
    <row r="5929" spans="1:16" x14ac:dyDescent="0.25">
      <c r="A5929" t="s">
        <v>3296</v>
      </c>
      <c r="B5929" t="s">
        <v>2931</v>
      </c>
      <c r="C5929">
        <v>7832</v>
      </c>
      <c r="D5929" t="str">
        <f>"1173        "</f>
        <v xml:space="preserve">1173        </v>
      </c>
      <c r="E5929" t="s">
        <v>1995</v>
      </c>
      <c r="F5929" t="s">
        <v>1996</v>
      </c>
      <c r="G5929">
        <v>40.5</v>
      </c>
      <c r="H5929">
        <v>250530</v>
      </c>
      <c r="I5929">
        <v>4410</v>
      </c>
      <c r="J5929" t="s">
        <v>165</v>
      </c>
      <c r="K5929">
        <v>81</v>
      </c>
      <c r="L5929">
        <v>4.97</v>
      </c>
      <c r="M5929">
        <v>17131</v>
      </c>
      <c r="N5929" t="s">
        <v>154</v>
      </c>
      <c r="O5929">
        <v>250609</v>
      </c>
      <c r="P5929">
        <v>35.53</v>
      </c>
    </row>
    <row r="5930" spans="1:16" x14ac:dyDescent="0.25">
      <c r="A5930" t="s">
        <v>3296</v>
      </c>
      <c r="B5930" t="s">
        <v>2931</v>
      </c>
      <c r="C5930">
        <v>7832</v>
      </c>
      <c r="D5930" t="str">
        <f>"1173        "</f>
        <v xml:space="preserve">1173        </v>
      </c>
      <c r="E5930" t="s">
        <v>1995</v>
      </c>
      <c r="F5930" t="s">
        <v>1996</v>
      </c>
      <c r="G5930">
        <v>40.5</v>
      </c>
      <c r="H5930">
        <v>250530</v>
      </c>
      <c r="I5930">
        <v>4410</v>
      </c>
      <c r="J5930" t="s">
        <v>165</v>
      </c>
      <c r="K5930">
        <v>81</v>
      </c>
      <c r="L5930">
        <v>4.97</v>
      </c>
      <c r="M5930">
        <v>17711</v>
      </c>
      <c r="N5930" t="s">
        <v>155</v>
      </c>
      <c r="O5930">
        <v>250609</v>
      </c>
      <c r="P5930">
        <v>35.53</v>
      </c>
    </row>
    <row r="5931" spans="1:16" x14ac:dyDescent="0.25">
      <c r="A5931" t="s">
        <v>3296</v>
      </c>
      <c r="B5931" t="s">
        <v>2931</v>
      </c>
      <c r="C5931">
        <v>10178</v>
      </c>
      <c r="D5931" t="str">
        <f>"1183        "</f>
        <v xml:space="preserve">1183        </v>
      </c>
      <c r="E5931" t="s">
        <v>1995</v>
      </c>
      <c r="F5931" t="s">
        <v>1996</v>
      </c>
      <c r="G5931">
        <v>12</v>
      </c>
      <c r="H5931">
        <v>250806</v>
      </c>
      <c r="I5931">
        <v>4410</v>
      </c>
      <c r="J5931" t="s">
        <v>165</v>
      </c>
      <c r="K5931">
        <v>84</v>
      </c>
      <c r="L5931">
        <v>1.47</v>
      </c>
      <c r="M5931">
        <v>17711</v>
      </c>
      <c r="N5931" t="s">
        <v>155</v>
      </c>
      <c r="O5931">
        <v>250812</v>
      </c>
      <c r="P5931">
        <v>10.53</v>
      </c>
    </row>
    <row r="5932" spans="1:16" x14ac:dyDescent="0.25">
      <c r="A5932" t="s">
        <v>3296</v>
      </c>
      <c r="B5932" t="s">
        <v>2931</v>
      </c>
      <c r="C5932">
        <v>10178</v>
      </c>
      <c r="D5932" t="str">
        <f>"1183        "</f>
        <v xml:space="preserve">1183        </v>
      </c>
      <c r="E5932" t="s">
        <v>1995</v>
      </c>
      <c r="F5932" t="s">
        <v>1996</v>
      </c>
      <c r="G5932">
        <v>72</v>
      </c>
      <c r="H5932">
        <v>250806</v>
      </c>
      <c r="I5932">
        <v>4410</v>
      </c>
      <c r="J5932" t="s">
        <v>165</v>
      </c>
      <c r="K5932">
        <v>84</v>
      </c>
      <c r="L5932">
        <v>8.84</v>
      </c>
      <c r="M5932">
        <v>17711</v>
      </c>
      <c r="N5932" t="s">
        <v>155</v>
      </c>
      <c r="O5932">
        <v>250812</v>
      </c>
      <c r="P5932">
        <v>63.16</v>
      </c>
    </row>
    <row r="5933" spans="1:16" x14ac:dyDescent="0.25">
      <c r="A5933" t="s">
        <v>3296</v>
      </c>
      <c r="B5933" t="s">
        <v>2931</v>
      </c>
      <c r="C5933">
        <v>10194</v>
      </c>
      <c r="D5933" t="str">
        <f>"1184        "</f>
        <v xml:space="preserve">1184        </v>
      </c>
      <c r="E5933" t="s">
        <v>1995</v>
      </c>
      <c r="F5933" t="s">
        <v>1996</v>
      </c>
      <c r="G5933">
        <v>7.5</v>
      </c>
      <c r="H5933">
        <v>250806</v>
      </c>
      <c r="I5933">
        <v>4520</v>
      </c>
      <c r="J5933" t="s">
        <v>280</v>
      </c>
      <c r="K5933">
        <v>100</v>
      </c>
      <c r="L5933">
        <v>0</v>
      </c>
      <c r="M5933">
        <v>17971</v>
      </c>
      <c r="N5933" t="s">
        <v>27</v>
      </c>
      <c r="O5933">
        <v>250812</v>
      </c>
      <c r="P5933">
        <v>7.5</v>
      </c>
    </row>
    <row r="5934" spans="1:16" x14ac:dyDescent="0.25">
      <c r="A5934" t="s">
        <v>3296</v>
      </c>
      <c r="B5934" t="s">
        <v>2931</v>
      </c>
      <c r="C5934">
        <v>10194</v>
      </c>
      <c r="D5934" t="str">
        <f>"1184        "</f>
        <v xml:space="preserve">1184        </v>
      </c>
      <c r="E5934" t="s">
        <v>1995</v>
      </c>
      <c r="F5934" t="s">
        <v>1996</v>
      </c>
      <c r="G5934">
        <v>92.5</v>
      </c>
      <c r="H5934">
        <v>250806</v>
      </c>
      <c r="I5934">
        <v>4600</v>
      </c>
      <c r="J5934" t="s">
        <v>278</v>
      </c>
      <c r="K5934">
        <v>100</v>
      </c>
      <c r="L5934">
        <v>0</v>
      </c>
      <c r="M5934">
        <v>17971</v>
      </c>
      <c r="N5934" t="s">
        <v>27</v>
      </c>
      <c r="O5934">
        <v>250812</v>
      </c>
      <c r="P5934">
        <v>92.5</v>
      </c>
    </row>
    <row r="5935" spans="1:16" x14ac:dyDescent="0.25">
      <c r="A5935" t="s">
        <v>3296</v>
      </c>
      <c r="B5935" t="s">
        <v>2931</v>
      </c>
      <c r="C5935">
        <v>12819</v>
      </c>
      <c r="D5935" t="str">
        <f>"36130385    "</f>
        <v xml:space="preserve">36130385    </v>
      </c>
      <c r="E5935" t="s">
        <v>2396</v>
      </c>
      <c r="F5935" t="s">
        <v>2397</v>
      </c>
      <c r="G5935">
        <v>153.19</v>
      </c>
      <c r="H5935">
        <v>250922</v>
      </c>
      <c r="I5935">
        <v>4420</v>
      </c>
      <c r="J5935" t="s">
        <v>330</v>
      </c>
      <c r="K5935">
        <v>6149.15</v>
      </c>
      <c r="L5935">
        <v>31.13</v>
      </c>
      <c r="M5935">
        <v>66754</v>
      </c>
      <c r="N5935" t="s">
        <v>119</v>
      </c>
      <c r="O5935">
        <v>250930</v>
      </c>
      <c r="P5935">
        <v>122.06</v>
      </c>
    </row>
    <row r="5936" spans="1:16" x14ac:dyDescent="0.25">
      <c r="A5936" t="s">
        <v>3296</v>
      </c>
      <c r="B5936" t="s">
        <v>2931</v>
      </c>
      <c r="C5936">
        <v>12819</v>
      </c>
      <c r="D5936" t="str">
        <f>"36130385    "</f>
        <v xml:space="preserve">36130385    </v>
      </c>
      <c r="E5936" t="s">
        <v>2396</v>
      </c>
      <c r="F5936" t="s">
        <v>2397</v>
      </c>
      <c r="G5936">
        <v>153.19</v>
      </c>
      <c r="H5936">
        <v>250922</v>
      </c>
      <c r="I5936">
        <v>4420</v>
      </c>
      <c r="J5936" t="s">
        <v>330</v>
      </c>
      <c r="K5936">
        <v>6149.15</v>
      </c>
      <c r="L5936">
        <v>31.13</v>
      </c>
      <c r="M5936">
        <v>66754</v>
      </c>
      <c r="N5936" t="s">
        <v>119</v>
      </c>
      <c r="O5936">
        <v>250930</v>
      </c>
      <c r="P5936">
        <v>122.06</v>
      </c>
    </row>
    <row r="5937" spans="1:16" x14ac:dyDescent="0.25">
      <c r="A5937" t="s">
        <v>3296</v>
      </c>
      <c r="B5937" t="s">
        <v>2931</v>
      </c>
      <c r="C5937">
        <v>12819</v>
      </c>
      <c r="D5937" t="str">
        <f>"36130385    "</f>
        <v xml:space="preserve">36130385    </v>
      </c>
      <c r="E5937" t="s">
        <v>2396</v>
      </c>
      <c r="F5937" t="s">
        <v>2397</v>
      </c>
      <c r="G5937">
        <v>2705.27</v>
      </c>
      <c r="H5937">
        <v>250922</v>
      </c>
      <c r="I5937">
        <v>4551</v>
      </c>
      <c r="J5937" t="s">
        <v>1127</v>
      </c>
      <c r="K5937">
        <v>6149.15</v>
      </c>
      <c r="L5937">
        <v>549.67999999999995</v>
      </c>
      <c r="M5937">
        <v>66754</v>
      </c>
      <c r="N5937" t="s">
        <v>119</v>
      </c>
      <c r="O5937">
        <v>250930</v>
      </c>
      <c r="P5937">
        <v>2155.59</v>
      </c>
    </row>
    <row r="5938" spans="1:16" x14ac:dyDescent="0.25">
      <c r="A5938" t="s">
        <v>3296</v>
      </c>
      <c r="B5938" t="s">
        <v>2931</v>
      </c>
      <c r="C5938">
        <v>12819</v>
      </c>
      <c r="D5938" t="str">
        <f>"36130385    "</f>
        <v xml:space="preserve">36130385    </v>
      </c>
      <c r="E5938" t="s">
        <v>2396</v>
      </c>
      <c r="F5938" t="s">
        <v>2397</v>
      </c>
      <c r="G5938">
        <v>3137.5</v>
      </c>
      <c r="H5938">
        <v>250922</v>
      </c>
      <c r="I5938">
        <v>4551</v>
      </c>
      <c r="J5938" t="s">
        <v>1127</v>
      </c>
      <c r="K5938">
        <v>6149.15</v>
      </c>
      <c r="L5938">
        <v>637.5</v>
      </c>
      <c r="M5938">
        <v>66754</v>
      </c>
      <c r="N5938" t="s">
        <v>119</v>
      </c>
      <c r="O5938">
        <v>250930</v>
      </c>
      <c r="P5938">
        <v>2500</v>
      </c>
    </row>
    <row r="5939" spans="1:16" x14ac:dyDescent="0.25">
      <c r="A5939" t="s">
        <v>3296</v>
      </c>
      <c r="B5939" t="s">
        <v>2931</v>
      </c>
      <c r="C5939">
        <v>7782</v>
      </c>
      <c r="D5939" t="str">
        <f>"448         "</f>
        <v xml:space="preserve">448         </v>
      </c>
      <c r="E5939" t="s">
        <v>1991</v>
      </c>
      <c r="F5939" t="s">
        <v>1992</v>
      </c>
      <c r="G5939">
        <v>447.81</v>
      </c>
      <c r="H5939">
        <v>250514</v>
      </c>
      <c r="I5939">
        <v>4346</v>
      </c>
      <c r="J5939" t="s">
        <v>334</v>
      </c>
      <c r="K5939">
        <v>447.81</v>
      </c>
      <c r="L5939">
        <v>90.99</v>
      </c>
      <c r="M5939">
        <v>56528</v>
      </c>
      <c r="N5939" t="s">
        <v>70</v>
      </c>
      <c r="O5939">
        <v>250609</v>
      </c>
      <c r="P5939">
        <v>356.82</v>
      </c>
    </row>
    <row r="5940" spans="1:16" x14ac:dyDescent="0.25">
      <c r="A5940" t="s">
        <v>3296</v>
      </c>
      <c r="B5940" t="s">
        <v>2931</v>
      </c>
      <c r="C5940">
        <v>9362</v>
      </c>
      <c r="D5940" t="str">
        <f>"7742        "</f>
        <v xml:space="preserve">7742        </v>
      </c>
      <c r="E5940" t="s">
        <v>1876</v>
      </c>
      <c r="F5940" t="s">
        <v>1877</v>
      </c>
      <c r="G5940">
        <v>1001.49</v>
      </c>
      <c r="H5940">
        <v>250702</v>
      </c>
      <c r="I5940">
        <v>4390</v>
      </c>
      <c r="J5940" t="s">
        <v>232</v>
      </c>
      <c r="K5940">
        <v>1001.49</v>
      </c>
      <c r="L5940">
        <v>203.49</v>
      </c>
      <c r="M5940">
        <v>17951</v>
      </c>
      <c r="N5940" t="s">
        <v>207</v>
      </c>
      <c r="O5940">
        <v>250704</v>
      </c>
      <c r="P5940">
        <v>798</v>
      </c>
    </row>
    <row r="5941" spans="1:16" x14ac:dyDescent="0.25">
      <c r="A5941" t="s">
        <v>3296</v>
      </c>
      <c r="B5941" t="s">
        <v>2931</v>
      </c>
      <c r="C5941">
        <v>8405</v>
      </c>
      <c r="D5941" t="str">
        <f>"7594        "</f>
        <v xml:space="preserve">7594        </v>
      </c>
      <c r="E5941" t="s">
        <v>1876</v>
      </c>
      <c r="F5941" t="s">
        <v>1877</v>
      </c>
      <c r="G5941">
        <v>1001.49</v>
      </c>
      <c r="H5941">
        <v>250605</v>
      </c>
      <c r="I5941">
        <v>4550</v>
      </c>
      <c r="J5941" t="s">
        <v>226</v>
      </c>
      <c r="K5941">
        <v>1001.49</v>
      </c>
      <c r="L5941">
        <v>203.49</v>
      </c>
      <c r="M5941">
        <v>17951</v>
      </c>
      <c r="N5941" t="s">
        <v>207</v>
      </c>
      <c r="O5941">
        <v>250613</v>
      </c>
      <c r="P5941">
        <v>798</v>
      </c>
    </row>
    <row r="5942" spans="1:16" x14ac:dyDescent="0.25">
      <c r="A5942" t="s">
        <v>3296</v>
      </c>
      <c r="B5942" t="s">
        <v>2931</v>
      </c>
      <c r="C5942">
        <v>6694</v>
      </c>
      <c r="D5942" t="str">
        <f>"7391        "</f>
        <v xml:space="preserve">7391        </v>
      </c>
      <c r="E5942" t="s">
        <v>1876</v>
      </c>
      <c r="F5942" t="s">
        <v>1877</v>
      </c>
      <c r="G5942">
        <v>1760.03</v>
      </c>
      <c r="H5942">
        <v>250509</v>
      </c>
      <c r="I5942">
        <v>4600</v>
      </c>
      <c r="J5942" t="s">
        <v>278</v>
      </c>
      <c r="K5942">
        <v>1760.03</v>
      </c>
      <c r="L5942">
        <v>357.62</v>
      </c>
      <c r="M5942">
        <v>17951</v>
      </c>
      <c r="N5942" t="s">
        <v>207</v>
      </c>
      <c r="O5942">
        <v>250515</v>
      </c>
      <c r="P5942">
        <v>1402.41</v>
      </c>
    </row>
    <row r="5943" spans="1:16" x14ac:dyDescent="0.25">
      <c r="A5943" t="s">
        <v>3296</v>
      </c>
      <c r="B5943" t="s">
        <v>2931</v>
      </c>
      <c r="C5943">
        <v>7352</v>
      </c>
      <c r="D5943" t="str">
        <f>"7470        "</f>
        <v xml:space="preserve">7470        </v>
      </c>
      <c r="E5943" t="s">
        <v>1876</v>
      </c>
      <c r="F5943" t="s">
        <v>1877</v>
      </c>
      <c r="G5943">
        <v>941.25</v>
      </c>
      <c r="H5943">
        <v>250521</v>
      </c>
      <c r="I5943">
        <v>4600</v>
      </c>
      <c r="J5943" t="s">
        <v>278</v>
      </c>
      <c r="K5943">
        <v>941.25</v>
      </c>
      <c r="L5943">
        <v>191.25</v>
      </c>
      <c r="M5943">
        <v>17951</v>
      </c>
      <c r="N5943" t="s">
        <v>207</v>
      </c>
      <c r="O5943">
        <v>250603</v>
      </c>
      <c r="P5943">
        <v>750</v>
      </c>
    </row>
    <row r="5944" spans="1:16" x14ac:dyDescent="0.25">
      <c r="A5944" t="s">
        <v>3296</v>
      </c>
      <c r="B5944" t="s">
        <v>2931</v>
      </c>
      <c r="C5944">
        <v>12761</v>
      </c>
      <c r="D5944" t="str">
        <f>"40817       "</f>
        <v xml:space="preserve">40817       </v>
      </c>
      <c r="E5944" t="s">
        <v>2388</v>
      </c>
      <c r="F5944" t="s">
        <v>2389</v>
      </c>
      <c r="G5944">
        <v>185.24</v>
      </c>
      <c r="H5944">
        <v>250924</v>
      </c>
      <c r="I5944">
        <v>4600</v>
      </c>
      <c r="J5944" t="s">
        <v>278</v>
      </c>
      <c r="K5944">
        <v>185.24</v>
      </c>
      <c r="L5944">
        <v>37.64</v>
      </c>
      <c r="M5944">
        <v>17521</v>
      </c>
      <c r="N5944" t="s">
        <v>136</v>
      </c>
      <c r="O5944">
        <v>250930</v>
      </c>
      <c r="P5944">
        <v>147.6</v>
      </c>
    </row>
    <row r="5945" spans="1:16" x14ac:dyDescent="0.25">
      <c r="A5945" t="s">
        <v>3296</v>
      </c>
      <c r="B5945" t="s">
        <v>2931</v>
      </c>
      <c r="C5945">
        <v>4246</v>
      </c>
      <c r="D5945" t="str">
        <f>"10387       "</f>
        <v xml:space="preserve">10387       </v>
      </c>
      <c r="E5945" t="s">
        <v>1602</v>
      </c>
      <c r="F5945" t="s">
        <v>1603</v>
      </c>
      <c r="G5945">
        <v>163.15</v>
      </c>
      <c r="H5945">
        <v>250327</v>
      </c>
      <c r="I5945">
        <v>4364</v>
      </c>
      <c r="J5945" t="s">
        <v>470</v>
      </c>
      <c r="K5945">
        <v>2523.1799999999998</v>
      </c>
      <c r="L5945">
        <v>33.15</v>
      </c>
      <c r="M5945">
        <v>17711</v>
      </c>
      <c r="N5945" t="s">
        <v>155</v>
      </c>
      <c r="O5945">
        <v>250409</v>
      </c>
      <c r="P5945">
        <v>130</v>
      </c>
    </row>
    <row r="5946" spans="1:16" x14ac:dyDescent="0.25">
      <c r="A5946" t="s">
        <v>3296</v>
      </c>
      <c r="B5946" t="s">
        <v>2931</v>
      </c>
      <c r="C5946">
        <v>4246</v>
      </c>
      <c r="D5946" t="str">
        <f>"10387       "</f>
        <v xml:space="preserve">10387       </v>
      </c>
      <c r="E5946" t="s">
        <v>1602</v>
      </c>
      <c r="F5946" t="s">
        <v>1603</v>
      </c>
      <c r="G5946">
        <v>2360.0300000000002</v>
      </c>
      <c r="H5946">
        <v>250327</v>
      </c>
      <c r="I5946">
        <v>4600</v>
      </c>
      <c r="J5946" t="s">
        <v>278</v>
      </c>
      <c r="K5946">
        <v>2523.1799999999998</v>
      </c>
      <c r="L5946">
        <v>479.53</v>
      </c>
      <c r="M5946">
        <v>17711</v>
      </c>
      <c r="N5946" t="s">
        <v>155</v>
      </c>
      <c r="O5946">
        <v>250409</v>
      </c>
      <c r="P5946">
        <v>1880.5</v>
      </c>
    </row>
    <row r="5947" spans="1:16" x14ac:dyDescent="0.25">
      <c r="A5947" t="s">
        <v>3296</v>
      </c>
      <c r="B5947" t="s">
        <v>2931</v>
      </c>
      <c r="C5947">
        <v>337</v>
      </c>
      <c r="D5947" t="str">
        <f>"FI005338    "</f>
        <v xml:space="preserve">FI005338    </v>
      </c>
      <c r="E5947" t="s">
        <v>433</v>
      </c>
      <c r="F5947" t="s">
        <v>434</v>
      </c>
      <c r="G5947">
        <v>215.86</v>
      </c>
      <c r="H5947">
        <v>250101</v>
      </c>
      <c r="I5947">
        <v>1011</v>
      </c>
      <c r="J5947" t="s">
        <v>393</v>
      </c>
      <c r="K5947">
        <v>215.86</v>
      </c>
      <c r="L5947">
        <v>43.86</v>
      </c>
      <c r="M5947">
        <v>51151</v>
      </c>
      <c r="N5947" t="s">
        <v>221</v>
      </c>
      <c r="O5947">
        <v>250122</v>
      </c>
      <c r="P5947">
        <v>172</v>
      </c>
    </row>
    <row r="5948" spans="1:16" x14ac:dyDescent="0.25">
      <c r="A5948" t="s">
        <v>3296</v>
      </c>
      <c r="B5948" t="s">
        <v>2931</v>
      </c>
      <c r="C5948">
        <v>6549</v>
      </c>
      <c r="D5948" t="str">
        <f>"FI010204    "</f>
        <v xml:space="preserve">FI010204    </v>
      </c>
      <c r="E5948" t="s">
        <v>433</v>
      </c>
      <c r="F5948" t="s">
        <v>434</v>
      </c>
      <c r="G5948">
        <v>323.79000000000002</v>
      </c>
      <c r="H5948">
        <v>250429</v>
      </c>
      <c r="I5948">
        <v>1011</v>
      </c>
      <c r="J5948" t="s">
        <v>393</v>
      </c>
      <c r="K5948">
        <v>323.79000000000002</v>
      </c>
      <c r="L5948">
        <v>65.790000000000006</v>
      </c>
      <c r="M5948">
        <v>51151</v>
      </c>
      <c r="N5948" t="s">
        <v>221</v>
      </c>
      <c r="O5948">
        <v>250514</v>
      </c>
      <c r="P5948">
        <v>258</v>
      </c>
    </row>
    <row r="5949" spans="1:16" x14ac:dyDescent="0.25">
      <c r="A5949" t="s">
        <v>3296</v>
      </c>
      <c r="B5949" t="s">
        <v>2931</v>
      </c>
      <c r="C5949">
        <v>9638</v>
      </c>
      <c r="D5949" t="str">
        <f>"FI012767    "</f>
        <v xml:space="preserve">FI012767    </v>
      </c>
      <c r="E5949" t="s">
        <v>433</v>
      </c>
      <c r="F5949" t="s">
        <v>434</v>
      </c>
      <c r="G5949">
        <v>323.79000000000002</v>
      </c>
      <c r="H5949">
        <v>250703</v>
      </c>
      <c r="I5949">
        <v>4367</v>
      </c>
      <c r="J5949" t="s">
        <v>159</v>
      </c>
      <c r="K5949">
        <v>323.79000000000002</v>
      </c>
      <c r="L5949">
        <v>65.790000000000006</v>
      </c>
      <c r="M5949">
        <v>51151</v>
      </c>
      <c r="N5949" t="s">
        <v>221</v>
      </c>
      <c r="O5949">
        <v>250723</v>
      </c>
      <c r="P5949">
        <v>258</v>
      </c>
    </row>
    <row r="5950" spans="1:16" x14ac:dyDescent="0.25">
      <c r="A5950" t="s">
        <v>3296</v>
      </c>
      <c r="B5950" t="s">
        <v>2931</v>
      </c>
      <c r="C5950">
        <v>13145</v>
      </c>
      <c r="D5950" t="str">
        <f>"FI015838    "</f>
        <v xml:space="preserve">FI015838    </v>
      </c>
      <c r="E5950" t="s">
        <v>433</v>
      </c>
      <c r="F5950" t="s">
        <v>434</v>
      </c>
      <c r="G5950">
        <v>323.79000000000002</v>
      </c>
      <c r="H5950">
        <v>250930</v>
      </c>
      <c r="I5950">
        <v>4367</v>
      </c>
      <c r="J5950" t="s">
        <v>159</v>
      </c>
      <c r="K5950">
        <v>323.79000000000002</v>
      </c>
      <c r="L5950">
        <v>65.790000000000006</v>
      </c>
      <c r="M5950">
        <v>51151</v>
      </c>
      <c r="N5950" t="s">
        <v>221</v>
      </c>
      <c r="O5950">
        <v>251006</v>
      </c>
      <c r="P5950">
        <v>258</v>
      </c>
    </row>
    <row r="5951" spans="1:16" x14ac:dyDescent="0.25">
      <c r="A5951" t="s">
        <v>3296</v>
      </c>
      <c r="B5951" t="s">
        <v>2931</v>
      </c>
      <c r="C5951">
        <v>18163</v>
      </c>
      <c r="D5951" t="str">
        <f>"FI019294    "</f>
        <v xml:space="preserve">FI019294    </v>
      </c>
      <c r="E5951" t="s">
        <v>433</v>
      </c>
      <c r="F5951" t="s">
        <v>434</v>
      </c>
      <c r="G5951">
        <v>323.79000000000002</v>
      </c>
      <c r="H5951">
        <v>251231</v>
      </c>
      <c r="I5951">
        <v>4367</v>
      </c>
      <c r="J5951" t="s">
        <v>159</v>
      </c>
      <c r="K5951">
        <v>323.79000000000002</v>
      </c>
      <c r="L5951">
        <v>65.790000000000006</v>
      </c>
      <c r="M5951">
        <v>51151</v>
      </c>
      <c r="N5951" t="s">
        <v>221</v>
      </c>
      <c r="O5951">
        <v>260109</v>
      </c>
      <c r="P5951">
        <v>258</v>
      </c>
    </row>
    <row r="5952" spans="1:16" x14ac:dyDescent="0.25">
      <c r="A5952" t="s">
        <v>3296</v>
      </c>
      <c r="B5952" t="s">
        <v>2931</v>
      </c>
      <c r="C5952">
        <v>356</v>
      </c>
      <c r="D5952" t="str">
        <f>"FI005770    "</f>
        <v xml:space="preserve">FI005770    </v>
      </c>
      <c r="E5952" t="s">
        <v>433</v>
      </c>
      <c r="F5952" t="s">
        <v>434</v>
      </c>
      <c r="G5952">
        <v>420.18</v>
      </c>
      <c r="H5952">
        <v>250108</v>
      </c>
      <c r="I5952">
        <v>4600</v>
      </c>
      <c r="J5952" t="s">
        <v>278</v>
      </c>
      <c r="K5952">
        <v>420.18</v>
      </c>
      <c r="L5952">
        <v>85.38</v>
      </c>
      <c r="M5952">
        <v>46554</v>
      </c>
      <c r="N5952" t="s">
        <v>102</v>
      </c>
      <c r="O5952">
        <v>250122</v>
      </c>
      <c r="P5952">
        <v>334.8</v>
      </c>
    </row>
    <row r="5953" spans="1:16" x14ac:dyDescent="0.25">
      <c r="A5953" t="s">
        <v>3296</v>
      </c>
      <c r="B5953" t="s">
        <v>2931</v>
      </c>
      <c r="C5953">
        <v>1013</v>
      </c>
      <c r="D5953" t="str">
        <f>"FI006607    "</f>
        <v xml:space="preserve">FI006607    </v>
      </c>
      <c r="E5953" t="s">
        <v>433</v>
      </c>
      <c r="F5953" t="s">
        <v>434</v>
      </c>
      <c r="G5953">
        <v>147.71</v>
      </c>
      <c r="H5953">
        <v>250127</v>
      </c>
      <c r="I5953">
        <v>4600</v>
      </c>
      <c r="J5953" t="s">
        <v>278</v>
      </c>
      <c r="K5953">
        <v>147.71</v>
      </c>
      <c r="L5953">
        <v>30.01</v>
      </c>
      <c r="M5953">
        <v>46554</v>
      </c>
      <c r="N5953" t="s">
        <v>102</v>
      </c>
      <c r="O5953">
        <v>250203</v>
      </c>
      <c r="P5953">
        <v>117.7</v>
      </c>
    </row>
    <row r="5954" spans="1:16" x14ac:dyDescent="0.25">
      <c r="A5954" t="s">
        <v>3296</v>
      </c>
      <c r="B5954" t="s">
        <v>2931</v>
      </c>
      <c r="C5954">
        <v>14827</v>
      </c>
      <c r="D5954" t="str">
        <f>"262884      "</f>
        <v xml:space="preserve">262884      </v>
      </c>
      <c r="E5954" t="s">
        <v>1559</v>
      </c>
      <c r="F5954" t="s">
        <v>1560</v>
      </c>
      <c r="G5954">
        <v>23</v>
      </c>
      <c r="H5954">
        <v>251031</v>
      </c>
      <c r="I5954">
        <v>4364</v>
      </c>
      <c r="J5954" t="s">
        <v>470</v>
      </c>
      <c r="K5954">
        <v>98.44</v>
      </c>
      <c r="L5954">
        <v>4.67</v>
      </c>
      <c r="M5954">
        <v>13401</v>
      </c>
      <c r="N5954" t="s">
        <v>10</v>
      </c>
      <c r="O5954">
        <v>251107</v>
      </c>
      <c r="P5954">
        <v>18.329999999999998</v>
      </c>
    </row>
    <row r="5955" spans="1:16" x14ac:dyDescent="0.25">
      <c r="A5955" t="s">
        <v>3296</v>
      </c>
      <c r="B5955" t="s">
        <v>2931</v>
      </c>
      <c r="C5955">
        <v>14827</v>
      </c>
      <c r="D5955" t="str">
        <f>"262884      "</f>
        <v xml:space="preserve">262884      </v>
      </c>
      <c r="E5955" t="s">
        <v>1559</v>
      </c>
      <c r="F5955" t="s">
        <v>1560</v>
      </c>
      <c r="G5955">
        <v>75.44</v>
      </c>
      <c r="H5955">
        <v>251031</v>
      </c>
      <c r="I5955">
        <v>4500</v>
      </c>
      <c r="J5955" t="s">
        <v>312</v>
      </c>
      <c r="K5955">
        <v>98.44</v>
      </c>
      <c r="L5955">
        <v>15.33</v>
      </c>
      <c r="M5955">
        <v>13402</v>
      </c>
      <c r="N5955" t="s">
        <v>307</v>
      </c>
      <c r="O5955">
        <v>251107</v>
      </c>
      <c r="P5955">
        <v>60.11</v>
      </c>
    </row>
    <row r="5956" spans="1:16" x14ac:dyDescent="0.25">
      <c r="A5956" t="s">
        <v>3296</v>
      </c>
      <c r="B5956" t="s">
        <v>2931</v>
      </c>
      <c r="C5956">
        <v>4099</v>
      </c>
      <c r="D5956" t="str">
        <f>"258632      "</f>
        <v xml:space="preserve">258632      </v>
      </c>
      <c r="E5956" t="s">
        <v>1559</v>
      </c>
      <c r="F5956" t="s">
        <v>1560</v>
      </c>
      <c r="G5956">
        <v>100</v>
      </c>
      <c r="H5956">
        <v>250317</v>
      </c>
      <c r="I5956">
        <v>4600</v>
      </c>
      <c r="J5956" t="s">
        <v>278</v>
      </c>
      <c r="K5956">
        <v>502.83</v>
      </c>
      <c r="L5956">
        <v>20.32</v>
      </c>
      <c r="M5956">
        <v>17531</v>
      </c>
      <c r="N5956" t="s">
        <v>145</v>
      </c>
      <c r="O5956">
        <v>250407</v>
      </c>
      <c r="P5956">
        <v>79.680000000000007</v>
      </c>
    </row>
    <row r="5957" spans="1:16" x14ac:dyDescent="0.25">
      <c r="A5957" t="s">
        <v>3296</v>
      </c>
      <c r="B5957" t="s">
        <v>2931</v>
      </c>
      <c r="C5957">
        <v>4099</v>
      </c>
      <c r="D5957" t="str">
        <f>"258632      "</f>
        <v xml:space="preserve">258632      </v>
      </c>
      <c r="E5957" t="s">
        <v>1559</v>
      </c>
      <c r="F5957" t="s">
        <v>1560</v>
      </c>
      <c r="G5957">
        <v>252.83</v>
      </c>
      <c r="H5957">
        <v>250317</v>
      </c>
      <c r="I5957">
        <v>4600</v>
      </c>
      <c r="J5957" t="s">
        <v>278</v>
      </c>
      <c r="K5957">
        <v>502.83</v>
      </c>
      <c r="L5957">
        <v>51.37</v>
      </c>
      <c r="M5957">
        <v>17538</v>
      </c>
      <c r="N5957" t="s">
        <v>129</v>
      </c>
      <c r="O5957">
        <v>250407</v>
      </c>
      <c r="P5957">
        <v>201.46</v>
      </c>
    </row>
    <row r="5958" spans="1:16" x14ac:dyDescent="0.25">
      <c r="A5958" t="s">
        <v>3296</v>
      </c>
      <c r="B5958" t="s">
        <v>2931</v>
      </c>
      <c r="C5958">
        <v>4099</v>
      </c>
      <c r="D5958" t="str">
        <f>"258632      "</f>
        <v xml:space="preserve">258632      </v>
      </c>
      <c r="E5958" t="s">
        <v>1559</v>
      </c>
      <c r="F5958" t="s">
        <v>1560</v>
      </c>
      <c r="G5958">
        <v>150</v>
      </c>
      <c r="H5958">
        <v>250317</v>
      </c>
      <c r="I5958">
        <v>4600</v>
      </c>
      <c r="J5958" t="s">
        <v>278</v>
      </c>
      <c r="K5958">
        <v>502.83</v>
      </c>
      <c r="L5958">
        <v>30.48</v>
      </c>
      <c r="M5958">
        <v>17645</v>
      </c>
      <c r="N5958" t="s">
        <v>1561</v>
      </c>
      <c r="O5958">
        <v>250407</v>
      </c>
      <c r="P5958">
        <v>119.52</v>
      </c>
    </row>
    <row r="5959" spans="1:16" x14ac:dyDescent="0.25">
      <c r="A5959" t="s">
        <v>3296</v>
      </c>
      <c r="B5959" t="s">
        <v>2931</v>
      </c>
      <c r="C5959">
        <v>7324</v>
      </c>
      <c r="D5959" t="str">
        <f>"259912      "</f>
        <v xml:space="preserve">259912      </v>
      </c>
      <c r="E5959" t="s">
        <v>1559</v>
      </c>
      <c r="F5959" t="s">
        <v>1560</v>
      </c>
      <c r="G5959">
        <v>50</v>
      </c>
      <c r="H5959">
        <v>250521</v>
      </c>
      <c r="I5959">
        <v>4600</v>
      </c>
      <c r="J5959" t="s">
        <v>278</v>
      </c>
      <c r="K5959">
        <v>50</v>
      </c>
      <c r="L5959">
        <v>0</v>
      </c>
      <c r="M5959">
        <v>13801</v>
      </c>
      <c r="N5959" t="s">
        <v>33</v>
      </c>
      <c r="O5959">
        <v>250603</v>
      </c>
      <c r="P5959">
        <v>50</v>
      </c>
    </row>
    <row r="5960" spans="1:16" x14ac:dyDescent="0.25">
      <c r="A5960" t="s">
        <v>3296</v>
      </c>
      <c r="B5960" t="s">
        <v>2931</v>
      </c>
      <c r="C5960">
        <v>14832</v>
      </c>
      <c r="D5960" t="str">
        <f>"262579      "</f>
        <v xml:space="preserve">262579      </v>
      </c>
      <c r="E5960" t="s">
        <v>1559</v>
      </c>
      <c r="F5960" t="s">
        <v>1560</v>
      </c>
      <c r="G5960">
        <v>440</v>
      </c>
      <c r="H5960">
        <v>251020</v>
      </c>
      <c r="I5960">
        <v>4600</v>
      </c>
      <c r="J5960" t="s">
        <v>278</v>
      </c>
      <c r="K5960">
        <v>985.67</v>
      </c>
      <c r="L5960">
        <v>89.4</v>
      </c>
      <c r="M5960">
        <v>17531</v>
      </c>
      <c r="N5960" t="s">
        <v>145</v>
      </c>
      <c r="O5960">
        <v>251107</v>
      </c>
      <c r="P5960">
        <v>350.6</v>
      </c>
    </row>
    <row r="5961" spans="1:16" x14ac:dyDescent="0.25">
      <c r="A5961" t="s">
        <v>3296</v>
      </c>
      <c r="B5961" t="s">
        <v>2931</v>
      </c>
      <c r="C5961">
        <v>14832</v>
      </c>
      <c r="D5961" t="str">
        <f>"262579      "</f>
        <v xml:space="preserve">262579      </v>
      </c>
      <c r="E5961" t="s">
        <v>1559</v>
      </c>
      <c r="F5961" t="s">
        <v>1560</v>
      </c>
      <c r="G5961">
        <v>245</v>
      </c>
      <c r="H5961">
        <v>251020</v>
      </c>
      <c r="I5961">
        <v>4600</v>
      </c>
      <c r="J5961" t="s">
        <v>278</v>
      </c>
      <c r="K5961">
        <v>985.67</v>
      </c>
      <c r="L5961">
        <v>49.78</v>
      </c>
      <c r="M5961">
        <v>17538</v>
      </c>
      <c r="N5961" t="s">
        <v>129</v>
      </c>
      <c r="O5961">
        <v>251107</v>
      </c>
      <c r="P5961">
        <v>195.22</v>
      </c>
    </row>
    <row r="5962" spans="1:16" x14ac:dyDescent="0.25">
      <c r="A5962" t="s">
        <v>3296</v>
      </c>
      <c r="B5962" t="s">
        <v>2931</v>
      </c>
      <c r="C5962">
        <v>14832</v>
      </c>
      <c r="D5962" t="str">
        <f>"262579      "</f>
        <v xml:space="preserve">262579      </v>
      </c>
      <c r="E5962" t="s">
        <v>1559</v>
      </c>
      <c r="F5962" t="s">
        <v>1560</v>
      </c>
      <c r="G5962">
        <v>300.67</v>
      </c>
      <c r="H5962">
        <v>251020</v>
      </c>
      <c r="I5962">
        <v>4600</v>
      </c>
      <c r="J5962" t="s">
        <v>278</v>
      </c>
      <c r="K5962">
        <v>985.67</v>
      </c>
      <c r="L5962">
        <v>61.09</v>
      </c>
      <c r="M5962">
        <v>17645</v>
      </c>
      <c r="N5962" t="s">
        <v>1561</v>
      </c>
      <c r="O5962">
        <v>251107</v>
      </c>
      <c r="P5962">
        <v>239.58</v>
      </c>
    </row>
    <row r="5963" spans="1:16" x14ac:dyDescent="0.25">
      <c r="A5963" t="s">
        <v>3296</v>
      </c>
      <c r="B5963" t="s">
        <v>2931</v>
      </c>
      <c r="C5963">
        <v>17092</v>
      </c>
      <c r="D5963" t="str">
        <f>"263948      "</f>
        <v xml:space="preserve">263948      </v>
      </c>
      <c r="E5963" t="s">
        <v>1559</v>
      </c>
      <c r="F5963" t="s">
        <v>1560</v>
      </c>
      <c r="G5963">
        <v>352.97</v>
      </c>
      <c r="H5963">
        <v>251215</v>
      </c>
      <c r="I5963">
        <v>4600</v>
      </c>
      <c r="J5963" t="s">
        <v>278</v>
      </c>
      <c r="K5963">
        <v>352.97</v>
      </c>
      <c r="L5963">
        <v>71.72</v>
      </c>
      <c r="M5963">
        <v>13801</v>
      </c>
      <c r="N5963" t="s">
        <v>33</v>
      </c>
      <c r="O5963">
        <v>251217</v>
      </c>
      <c r="P5963">
        <v>281.25</v>
      </c>
    </row>
    <row r="5964" spans="1:16" x14ac:dyDescent="0.25">
      <c r="A5964" t="s">
        <v>3296</v>
      </c>
      <c r="B5964" t="s">
        <v>2931</v>
      </c>
      <c r="C5964">
        <v>11541</v>
      </c>
      <c r="D5964" t="str">
        <f>"141320455   "</f>
        <v xml:space="preserve">141320455   </v>
      </c>
      <c r="E5964" t="s">
        <v>2281</v>
      </c>
      <c r="F5964" t="s">
        <v>2282</v>
      </c>
      <c r="G5964">
        <v>2953.64</v>
      </c>
      <c r="H5964">
        <v>250831</v>
      </c>
      <c r="I5964">
        <v>4580</v>
      </c>
      <c r="J5964" t="s">
        <v>126</v>
      </c>
      <c r="K5964">
        <v>2953.64</v>
      </c>
      <c r="L5964">
        <v>600.14</v>
      </c>
      <c r="M5964">
        <v>11903</v>
      </c>
      <c r="N5964" t="s">
        <v>32</v>
      </c>
      <c r="O5964">
        <v>250908</v>
      </c>
      <c r="P5964">
        <v>2353.5</v>
      </c>
    </row>
    <row r="5965" spans="1:16" x14ac:dyDescent="0.25">
      <c r="A5965" t="s">
        <v>3296</v>
      </c>
      <c r="B5965" t="s">
        <v>2931</v>
      </c>
      <c r="C5965">
        <v>12987</v>
      </c>
      <c r="D5965" t="str">
        <f>"141320968   "</f>
        <v xml:space="preserve">141320968   </v>
      </c>
      <c r="E5965" t="s">
        <v>2281</v>
      </c>
      <c r="F5965" t="s">
        <v>2282</v>
      </c>
      <c r="G5965">
        <v>4792.8500000000004</v>
      </c>
      <c r="H5965">
        <v>250926</v>
      </c>
      <c r="I5965">
        <v>4580</v>
      </c>
      <c r="J5965" t="s">
        <v>126</v>
      </c>
      <c r="K5965">
        <v>4792.8500000000004</v>
      </c>
      <c r="L5965">
        <v>973.85</v>
      </c>
      <c r="M5965">
        <v>11903</v>
      </c>
      <c r="N5965" t="s">
        <v>32</v>
      </c>
      <c r="O5965">
        <v>251003</v>
      </c>
      <c r="P5965">
        <v>3819</v>
      </c>
    </row>
    <row r="5966" spans="1:16" x14ac:dyDescent="0.25">
      <c r="A5966" t="s">
        <v>3296</v>
      </c>
      <c r="B5966" t="s">
        <v>2931</v>
      </c>
      <c r="C5966">
        <v>5679</v>
      </c>
      <c r="D5966" t="str">
        <f>"25006402    "</f>
        <v xml:space="preserve">25006402    </v>
      </c>
      <c r="E5966" t="s">
        <v>1781</v>
      </c>
      <c r="F5966" t="s">
        <v>1782</v>
      </c>
      <c r="G5966">
        <v>105.22</v>
      </c>
      <c r="H5966">
        <v>250424</v>
      </c>
      <c r="I5966">
        <v>4940</v>
      </c>
      <c r="J5966" t="s">
        <v>250</v>
      </c>
      <c r="K5966">
        <v>105.22</v>
      </c>
      <c r="L5966">
        <v>21.38</v>
      </c>
      <c r="M5966">
        <v>69501</v>
      </c>
      <c r="N5966" t="s">
        <v>123</v>
      </c>
      <c r="O5966">
        <v>250428</v>
      </c>
      <c r="P5966">
        <v>83.84</v>
      </c>
    </row>
    <row r="5967" spans="1:16" x14ac:dyDescent="0.25">
      <c r="A5967" t="s">
        <v>3296</v>
      </c>
      <c r="B5967" t="s">
        <v>2931</v>
      </c>
      <c r="C5967">
        <v>7613</v>
      </c>
      <c r="D5967" t="str">
        <f>"040625      "</f>
        <v xml:space="preserve">040625      </v>
      </c>
      <c r="E5967" t="s">
        <v>2942</v>
      </c>
      <c r="F5967" t="s">
        <v>2943</v>
      </c>
      <c r="G5967">
        <v>110</v>
      </c>
      <c r="H5967">
        <v>250605</v>
      </c>
      <c r="I5967">
        <v>4441</v>
      </c>
      <c r="J5967" t="s">
        <v>234</v>
      </c>
      <c r="K5967">
        <v>440</v>
      </c>
      <c r="L5967">
        <v>22.35</v>
      </c>
      <c r="M5967">
        <v>66754</v>
      </c>
      <c r="N5967" t="s">
        <v>119</v>
      </c>
      <c r="O5967">
        <v>250605</v>
      </c>
      <c r="P5967">
        <v>87.65</v>
      </c>
    </row>
    <row r="5968" spans="1:16" x14ac:dyDescent="0.25">
      <c r="A5968" t="s">
        <v>3296</v>
      </c>
      <c r="B5968" t="s">
        <v>2931</v>
      </c>
      <c r="C5968">
        <v>7613</v>
      </c>
      <c r="D5968" t="str">
        <f>"040625      "</f>
        <v xml:space="preserve">040625      </v>
      </c>
      <c r="E5968" t="s">
        <v>2942</v>
      </c>
      <c r="F5968" t="s">
        <v>2943</v>
      </c>
      <c r="G5968">
        <v>110</v>
      </c>
      <c r="H5968">
        <v>250605</v>
      </c>
      <c r="I5968">
        <v>4441</v>
      </c>
      <c r="J5968" t="s">
        <v>234</v>
      </c>
      <c r="K5968">
        <v>440</v>
      </c>
      <c r="L5968">
        <v>22.35</v>
      </c>
      <c r="M5968">
        <v>67554</v>
      </c>
      <c r="N5968" t="s">
        <v>317</v>
      </c>
      <c r="O5968">
        <v>250605</v>
      </c>
      <c r="P5968">
        <v>87.65</v>
      </c>
    </row>
    <row r="5969" spans="1:16" x14ac:dyDescent="0.25">
      <c r="A5969" t="s">
        <v>3296</v>
      </c>
      <c r="B5969" t="s">
        <v>2931</v>
      </c>
      <c r="C5969">
        <v>7613</v>
      </c>
      <c r="D5969" t="str">
        <f>"040625      "</f>
        <v xml:space="preserve">040625      </v>
      </c>
      <c r="E5969" t="s">
        <v>2942</v>
      </c>
      <c r="F5969" t="s">
        <v>2943</v>
      </c>
      <c r="G5969">
        <v>220</v>
      </c>
      <c r="H5969">
        <v>250605</v>
      </c>
      <c r="I5969">
        <v>4441</v>
      </c>
      <c r="J5969" t="s">
        <v>234</v>
      </c>
      <c r="K5969">
        <v>440</v>
      </c>
      <c r="L5969">
        <v>44.7</v>
      </c>
      <c r="M5969">
        <v>69702</v>
      </c>
      <c r="N5969" t="s">
        <v>124</v>
      </c>
      <c r="O5969">
        <v>250605</v>
      </c>
      <c r="P5969">
        <v>175.3</v>
      </c>
    </row>
    <row r="5970" spans="1:16" x14ac:dyDescent="0.25">
      <c r="A5970" t="s">
        <v>3296</v>
      </c>
      <c r="B5970" t="s">
        <v>2931</v>
      </c>
      <c r="C5970">
        <v>11746</v>
      </c>
      <c r="D5970" t="str">
        <f>"10250002478 "</f>
        <v xml:space="preserve">10250002478 </v>
      </c>
      <c r="E5970" t="s">
        <v>2942</v>
      </c>
      <c r="F5970" t="s">
        <v>2943</v>
      </c>
      <c r="G5970">
        <v>220</v>
      </c>
      <c r="H5970">
        <v>250903</v>
      </c>
      <c r="I5970">
        <v>4470</v>
      </c>
      <c r="J5970" t="s">
        <v>203</v>
      </c>
      <c r="K5970">
        <v>220</v>
      </c>
      <c r="L5970">
        <v>44.7</v>
      </c>
      <c r="M5970">
        <v>17131</v>
      </c>
      <c r="N5970" t="s">
        <v>154</v>
      </c>
      <c r="O5970">
        <v>250910</v>
      </c>
      <c r="P5970">
        <v>175.3</v>
      </c>
    </row>
    <row r="5971" spans="1:16" x14ac:dyDescent="0.25">
      <c r="A5971" t="s">
        <v>3296</v>
      </c>
      <c r="B5971" t="s">
        <v>2931</v>
      </c>
      <c r="C5971">
        <v>2681</v>
      </c>
      <c r="D5971" t="str">
        <f>"2248        "</f>
        <v xml:space="preserve">2248        </v>
      </c>
      <c r="E5971" t="s">
        <v>3019</v>
      </c>
      <c r="F5971" t="s">
        <v>3020</v>
      </c>
      <c r="G5971">
        <v>107</v>
      </c>
      <c r="H5971">
        <v>250226</v>
      </c>
      <c r="I5971">
        <v>4440</v>
      </c>
      <c r="J5971" t="s">
        <v>346</v>
      </c>
      <c r="K5971">
        <v>107</v>
      </c>
      <c r="L5971">
        <v>0</v>
      </c>
      <c r="M5971">
        <v>47522</v>
      </c>
      <c r="N5971" t="s">
        <v>106</v>
      </c>
      <c r="O5971">
        <v>250311</v>
      </c>
      <c r="P5971">
        <v>107</v>
      </c>
    </row>
    <row r="5972" spans="1:16" x14ac:dyDescent="0.25">
      <c r="A5972" t="s">
        <v>3296</v>
      </c>
      <c r="B5972" t="s">
        <v>2931</v>
      </c>
      <c r="C5972">
        <v>5695</v>
      </c>
      <c r="D5972" t="str">
        <f>"77583       "</f>
        <v xml:space="preserve">77583       </v>
      </c>
      <c r="E5972" t="s">
        <v>1785</v>
      </c>
      <c r="F5972" t="s">
        <v>1786</v>
      </c>
      <c r="G5972">
        <v>2798.65</v>
      </c>
      <c r="H5972">
        <v>250425</v>
      </c>
      <c r="I5972">
        <v>4400</v>
      </c>
      <c r="J5972" t="s">
        <v>162</v>
      </c>
      <c r="K5972">
        <v>2798.65</v>
      </c>
      <c r="L5972">
        <v>568.65</v>
      </c>
      <c r="M5972">
        <v>49501</v>
      </c>
      <c r="N5972" t="s">
        <v>110</v>
      </c>
      <c r="O5972">
        <v>250429</v>
      </c>
      <c r="P5972">
        <v>2230</v>
      </c>
    </row>
    <row r="5973" spans="1:16" x14ac:dyDescent="0.25">
      <c r="A5973" t="s">
        <v>3296</v>
      </c>
      <c r="B5973" t="s">
        <v>2931</v>
      </c>
      <c r="C5973">
        <v>1748</v>
      </c>
      <c r="D5973" t="str">
        <f>"1010001875  "</f>
        <v xml:space="preserve">1010001875  </v>
      </c>
      <c r="E5973" t="s">
        <v>2936</v>
      </c>
      <c r="F5973" t="s">
        <v>2937</v>
      </c>
      <c r="G5973">
        <v>150</v>
      </c>
      <c r="H5973">
        <v>250131</v>
      </c>
      <c r="I5973">
        <v>4410</v>
      </c>
      <c r="J5973" t="s">
        <v>165</v>
      </c>
      <c r="K5973">
        <v>200</v>
      </c>
      <c r="L5973">
        <v>18.420000000000002</v>
      </c>
      <c r="M5973">
        <v>65422</v>
      </c>
      <c r="N5973" t="s">
        <v>117</v>
      </c>
      <c r="O5973">
        <v>250213</v>
      </c>
      <c r="P5973">
        <v>131.58000000000001</v>
      </c>
    </row>
    <row r="5974" spans="1:16" x14ac:dyDescent="0.25">
      <c r="A5974" t="s">
        <v>3296</v>
      </c>
      <c r="B5974" t="s">
        <v>2931</v>
      </c>
      <c r="C5974">
        <v>1748</v>
      </c>
      <c r="D5974" t="str">
        <f>"1010001875  "</f>
        <v xml:space="preserve">1010001875  </v>
      </c>
      <c r="E5974" t="s">
        <v>2936</v>
      </c>
      <c r="F5974" t="s">
        <v>2937</v>
      </c>
      <c r="G5974">
        <v>50</v>
      </c>
      <c r="H5974">
        <v>250131</v>
      </c>
      <c r="I5974">
        <v>4410</v>
      </c>
      <c r="J5974" t="s">
        <v>165</v>
      </c>
      <c r="K5974">
        <v>200</v>
      </c>
      <c r="L5974">
        <v>6.14</v>
      </c>
      <c r="M5974">
        <v>66722</v>
      </c>
      <c r="N5974" t="s">
        <v>118</v>
      </c>
      <c r="O5974">
        <v>250213</v>
      </c>
      <c r="P5974">
        <v>43.86</v>
      </c>
    </row>
    <row r="5975" spans="1:16" x14ac:dyDescent="0.25">
      <c r="A5975" t="s">
        <v>3296</v>
      </c>
      <c r="B5975" t="s">
        <v>2931</v>
      </c>
      <c r="C5975">
        <v>2710</v>
      </c>
      <c r="D5975" t="str">
        <f>"1010002026  "</f>
        <v xml:space="preserve">1010002026  </v>
      </c>
      <c r="E5975" t="s">
        <v>2936</v>
      </c>
      <c r="F5975" t="s">
        <v>2937</v>
      </c>
      <c r="G5975">
        <v>16.68</v>
      </c>
      <c r="H5975">
        <v>250227</v>
      </c>
      <c r="I5975">
        <v>4410</v>
      </c>
      <c r="J5975" t="s">
        <v>165</v>
      </c>
      <c r="K5975">
        <v>22.24</v>
      </c>
      <c r="L5975">
        <v>0</v>
      </c>
      <c r="M5975">
        <v>65422</v>
      </c>
      <c r="N5975" t="s">
        <v>117</v>
      </c>
      <c r="O5975">
        <v>250311</v>
      </c>
      <c r="P5975">
        <v>16.68</v>
      </c>
    </row>
    <row r="5976" spans="1:16" x14ac:dyDescent="0.25">
      <c r="A5976" t="s">
        <v>3296</v>
      </c>
      <c r="B5976" t="s">
        <v>2931</v>
      </c>
      <c r="C5976">
        <v>2710</v>
      </c>
      <c r="D5976" t="str">
        <f>"1010002026  "</f>
        <v xml:space="preserve">1010002026  </v>
      </c>
      <c r="E5976" t="s">
        <v>2936</v>
      </c>
      <c r="F5976" t="s">
        <v>2937</v>
      </c>
      <c r="G5976">
        <v>5.56</v>
      </c>
      <c r="H5976">
        <v>250227</v>
      </c>
      <c r="I5976">
        <v>4410</v>
      </c>
      <c r="J5976" t="s">
        <v>165</v>
      </c>
      <c r="K5976">
        <v>22.24</v>
      </c>
      <c r="L5976">
        <v>0</v>
      </c>
      <c r="M5976">
        <v>66722</v>
      </c>
      <c r="N5976" t="s">
        <v>118</v>
      </c>
      <c r="O5976">
        <v>250311</v>
      </c>
      <c r="P5976">
        <v>5.56</v>
      </c>
    </row>
    <row r="5977" spans="1:16" x14ac:dyDescent="0.25">
      <c r="A5977" t="s">
        <v>3296</v>
      </c>
      <c r="B5977" t="s">
        <v>2931</v>
      </c>
      <c r="C5977">
        <v>164</v>
      </c>
      <c r="D5977" t="str">
        <f>"2560007522  "</f>
        <v xml:space="preserve">2560007522  </v>
      </c>
      <c r="E5977" t="s">
        <v>277</v>
      </c>
      <c r="F5977" t="s">
        <v>279</v>
      </c>
      <c r="G5977">
        <v>12.55</v>
      </c>
      <c r="H5977">
        <v>250106</v>
      </c>
      <c r="I5977">
        <v>4520</v>
      </c>
      <c r="J5977" t="s">
        <v>280</v>
      </c>
      <c r="K5977">
        <v>939.46</v>
      </c>
      <c r="L5977">
        <v>2.5499999999999998</v>
      </c>
      <c r="M5977">
        <v>17913</v>
      </c>
      <c r="N5977" t="s">
        <v>26</v>
      </c>
      <c r="O5977">
        <v>250114</v>
      </c>
      <c r="P5977">
        <v>10</v>
      </c>
    </row>
    <row r="5978" spans="1:16" x14ac:dyDescent="0.25">
      <c r="A5978" t="s">
        <v>3296</v>
      </c>
      <c r="B5978" t="s">
        <v>2931</v>
      </c>
      <c r="C5978">
        <v>164</v>
      </c>
      <c r="D5978" t="str">
        <f>"2560007522  "</f>
        <v xml:space="preserve">2560007522  </v>
      </c>
      <c r="E5978" t="s">
        <v>277</v>
      </c>
      <c r="F5978" t="s">
        <v>279</v>
      </c>
      <c r="G5978">
        <v>834.22</v>
      </c>
      <c r="H5978">
        <v>250106</v>
      </c>
      <c r="I5978">
        <v>4520</v>
      </c>
      <c r="J5978" t="s">
        <v>280</v>
      </c>
      <c r="K5978">
        <v>939.46</v>
      </c>
      <c r="L5978">
        <v>102.45</v>
      </c>
      <c r="M5978">
        <v>17913</v>
      </c>
      <c r="N5978" t="s">
        <v>26</v>
      </c>
      <c r="O5978">
        <v>250114</v>
      </c>
      <c r="P5978">
        <v>731.77</v>
      </c>
    </row>
    <row r="5979" spans="1:16" x14ac:dyDescent="0.25">
      <c r="A5979" t="s">
        <v>3296</v>
      </c>
      <c r="B5979" t="s">
        <v>2931</v>
      </c>
      <c r="C5979">
        <v>164</v>
      </c>
      <c r="D5979" t="str">
        <f>"2560007522  "</f>
        <v xml:space="preserve">2560007522  </v>
      </c>
      <c r="E5979" t="s">
        <v>277</v>
      </c>
      <c r="F5979" t="s">
        <v>279</v>
      </c>
      <c r="G5979">
        <v>92.69</v>
      </c>
      <c r="H5979">
        <v>250106</v>
      </c>
      <c r="I5979">
        <v>4520</v>
      </c>
      <c r="J5979" t="s">
        <v>280</v>
      </c>
      <c r="K5979">
        <v>939.46</v>
      </c>
      <c r="L5979">
        <v>11.38</v>
      </c>
      <c r="M5979">
        <v>17982</v>
      </c>
      <c r="N5979" t="s">
        <v>281</v>
      </c>
      <c r="O5979">
        <v>250114</v>
      </c>
      <c r="P5979">
        <v>81.31</v>
      </c>
    </row>
    <row r="5980" spans="1:16" x14ac:dyDescent="0.25">
      <c r="A5980" t="s">
        <v>3296</v>
      </c>
      <c r="B5980" t="s">
        <v>2931</v>
      </c>
      <c r="C5980">
        <v>165</v>
      </c>
      <c r="D5980" t="str">
        <f>"2560007520  "</f>
        <v xml:space="preserve">2560007520  </v>
      </c>
      <c r="E5980" t="s">
        <v>277</v>
      </c>
      <c r="F5980" t="s">
        <v>279</v>
      </c>
      <c r="G5980">
        <v>1407.31</v>
      </c>
      <c r="H5980">
        <v>250106</v>
      </c>
      <c r="I5980">
        <v>4520</v>
      </c>
      <c r="J5980" t="s">
        <v>280</v>
      </c>
      <c r="K5980">
        <v>1723.22</v>
      </c>
      <c r="L5980">
        <v>172.83</v>
      </c>
      <c r="M5980">
        <v>59113</v>
      </c>
      <c r="N5980" t="s">
        <v>61</v>
      </c>
      <c r="O5980">
        <v>250114</v>
      </c>
      <c r="P5980">
        <v>1234.48</v>
      </c>
    </row>
    <row r="5981" spans="1:16" x14ac:dyDescent="0.25">
      <c r="A5981" t="s">
        <v>3296</v>
      </c>
      <c r="B5981" t="s">
        <v>2931</v>
      </c>
      <c r="C5981">
        <v>165</v>
      </c>
      <c r="D5981" t="str">
        <f>"2560007520  "</f>
        <v xml:space="preserve">2560007520  </v>
      </c>
      <c r="E5981" t="s">
        <v>277</v>
      </c>
      <c r="F5981" t="s">
        <v>279</v>
      </c>
      <c r="G5981">
        <v>248.35</v>
      </c>
      <c r="H5981">
        <v>250106</v>
      </c>
      <c r="I5981">
        <v>4520</v>
      </c>
      <c r="J5981" t="s">
        <v>280</v>
      </c>
      <c r="K5981">
        <v>1723.22</v>
      </c>
      <c r="L5981">
        <v>30.5</v>
      </c>
      <c r="M5981">
        <v>59803</v>
      </c>
      <c r="N5981" t="s">
        <v>282</v>
      </c>
      <c r="O5981">
        <v>250114</v>
      </c>
      <c r="P5981">
        <v>217.85</v>
      </c>
    </row>
    <row r="5982" spans="1:16" x14ac:dyDescent="0.25">
      <c r="A5982" t="s">
        <v>3296</v>
      </c>
      <c r="B5982" t="s">
        <v>2931</v>
      </c>
      <c r="C5982">
        <v>166</v>
      </c>
      <c r="D5982" t="str">
        <f>"2560007524  "</f>
        <v xml:space="preserve">2560007524  </v>
      </c>
      <c r="E5982" t="s">
        <v>277</v>
      </c>
      <c r="F5982" t="s">
        <v>279</v>
      </c>
      <c r="G5982">
        <v>393.76</v>
      </c>
      <c r="H5982">
        <v>250106</v>
      </c>
      <c r="I5982">
        <v>4520</v>
      </c>
      <c r="J5982" t="s">
        <v>280</v>
      </c>
      <c r="K5982">
        <v>554.76</v>
      </c>
      <c r="L5982">
        <v>48.36</v>
      </c>
      <c r="M5982">
        <v>69112</v>
      </c>
      <c r="N5982" t="s">
        <v>227</v>
      </c>
      <c r="O5982">
        <v>250114</v>
      </c>
      <c r="P5982">
        <v>345.4</v>
      </c>
    </row>
    <row r="5983" spans="1:16" x14ac:dyDescent="0.25">
      <c r="A5983" t="s">
        <v>3296</v>
      </c>
      <c r="B5983" t="s">
        <v>2931</v>
      </c>
      <c r="C5983">
        <v>166</v>
      </c>
      <c r="D5983" t="str">
        <f>"2560007524  "</f>
        <v xml:space="preserve">2560007524  </v>
      </c>
      <c r="E5983" t="s">
        <v>277</v>
      </c>
      <c r="F5983" t="s">
        <v>279</v>
      </c>
      <c r="G5983">
        <v>21.88</v>
      </c>
      <c r="H5983">
        <v>250106</v>
      </c>
      <c r="I5983">
        <v>4520</v>
      </c>
      <c r="J5983" t="s">
        <v>280</v>
      </c>
      <c r="K5983">
        <v>554.76</v>
      </c>
      <c r="L5983">
        <v>2.69</v>
      </c>
      <c r="M5983">
        <v>69810</v>
      </c>
      <c r="N5983" t="s">
        <v>229</v>
      </c>
      <c r="O5983">
        <v>250114</v>
      </c>
      <c r="P5983">
        <v>19.190000000000001</v>
      </c>
    </row>
    <row r="5984" spans="1:16" x14ac:dyDescent="0.25">
      <c r="A5984" t="s">
        <v>3296</v>
      </c>
      <c r="B5984" t="s">
        <v>2931</v>
      </c>
      <c r="C5984">
        <v>166</v>
      </c>
      <c r="D5984" t="str">
        <f>"2560007524  "</f>
        <v xml:space="preserve">2560007524  </v>
      </c>
      <c r="E5984" t="s">
        <v>277</v>
      </c>
      <c r="F5984" t="s">
        <v>279</v>
      </c>
      <c r="G5984">
        <v>21.87</v>
      </c>
      <c r="H5984">
        <v>250106</v>
      </c>
      <c r="I5984">
        <v>4520</v>
      </c>
      <c r="J5984" t="s">
        <v>280</v>
      </c>
      <c r="K5984">
        <v>554.76</v>
      </c>
      <c r="L5984">
        <v>2.69</v>
      </c>
      <c r="M5984">
        <v>69811</v>
      </c>
      <c r="N5984" t="s">
        <v>230</v>
      </c>
      <c r="O5984">
        <v>250114</v>
      </c>
      <c r="P5984">
        <v>19.18</v>
      </c>
    </row>
    <row r="5985" spans="1:16" x14ac:dyDescent="0.25">
      <c r="A5985" t="s">
        <v>3296</v>
      </c>
      <c r="B5985" t="s">
        <v>2931</v>
      </c>
      <c r="C5985">
        <v>167</v>
      </c>
      <c r="D5985" t="str">
        <f t="shared" ref="D5985:D5996" si="98">"2560007523  "</f>
        <v xml:space="preserve">2560007523  </v>
      </c>
      <c r="E5985" t="s">
        <v>277</v>
      </c>
      <c r="F5985" t="s">
        <v>279</v>
      </c>
      <c r="G5985">
        <v>6.57</v>
      </c>
      <c r="H5985">
        <v>250106</v>
      </c>
      <c r="I5985">
        <v>4520</v>
      </c>
      <c r="J5985" t="s">
        <v>280</v>
      </c>
      <c r="K5985">
        <v>2597.87</v>
      </c>
      <c r="L5985">
        <v>1.33</v>
      </c>
      <c r="M5985">
        <v>14422</v>
      </c>
      <c r="N5985" t="s">
        <v>73</v>
      </c>
      <c r="O5985">
        <v>250114</v>
      </c>
      <c r="P5985">
        <v>5.24</v>
      </c>
    </row>
    <row r="5986" spans="1:16" x14ac:dyDescent="0.25">
      <c r="A5986" t="s">
        <v>3296</v>
      </c>
      <c r="B5986" t="s">
        <v>2931</v>
      </c>
      <c r="C5986">
        <v>167</v>
      </c>
      <c r="D5986" t="str">
        <f t="shared" si="98"/>
        <v xml:space="preserve">2560007523  </v>
      </c>
      <c r="E5986" t="s">
        <v>277</v>
      </c>
      <c r="F5986" t="s">
        <v>279</v>
      </c>
      <c r="G5986">
        <v>19.41</v>
      </c>
      <c r="H5986">
        <v>250106</v>
      </c>
      <c r="I5986">
        <v>4520</v>
      </c>
      <c r="J5986" t="s">
        <v>280</v>
      </c>
      <c r="K5986">
        <v>2597.87</v>
      </c>
      <c r="L5986">
        <v>2.38</v>
      </c>
      <c r="M5986">
        <v>14422</v>
      </c>
      <c r="N5986" t="s">
        <v>73</v>
      </c>
      <c r="O5986">
        <v>250114</v>
      </c>
      <c r="P5986">
        <v>17.03</v>
      </c>
    </row>
    <row r="5987" spans="1:16" x14ac:dyDescent="0.25">
      <c r="A5987" t="s">
        <v>3296</v>
      </c>
      <c r="B5987" t="s">
        <v>2931</v>
      </c>
      <c r="C5987">
        <v>167</v>
      </c>
      <c r="D5987" t="str">
        <f t="shared" si="98"/>
        <v xml:space="preserve">2560007523  </v>
      </c>
      <c r="E5987" t="s">
        <v>277</v>
      </c>
      <c r="F5987" t="s">
        <v>279</v>
      </c>
      <c r="G5987">
        <v>26.27</v>
      </c>
      <c r="H5987">
        <v>250106</v>
      </c>
      <c r="I5987">
        <v>4520</v>
      </c>
      <c r="J5987" t="s">
        <v>280</v>
      </c>
      <c r="K5987">
        <v>2597.87</v>
      </c>
      <c r="L5987">
        <v>5.34</v>
      </c>
      <c r="M5987">
        <v>14431</v>
      </c>
      <c r="N5987" t="s">
        <v>74</v>
      </c>
      <c r="O5987">
        <v>250114</v>
      </c>
      <c r="P5987">
        <v>20.93</v>
      </c>
    </row>
    <row r="5988" spans="1:16" x14ac:dyDescent="0.25">
      <c r="A5988" t="s">
        <v>3296</v>
      </c>
      <c r="B5988" t="s">
        <v>2931</v>
      </c>
      <c r="C5988">
        <v>167</v>
      </c>
      <c r="D5988" t="str">
        <f t="shared" si="98"/>
        <v xml:space="preserve">2560007523  </v>
      </c>
      <c r="E5988" t="s">
        <v>277</v>
      </c>
      <c r="F5988" t="s">
        <v>279</v>
      </c>
      <c r="G5988">
        <v>77.650000000000006</v>
      </c>
      <c r="H5988">
        <v>250106</v>
      </c>
      <c r="I5988">
        <v>4520</v>
      </c>
      <c r="J5988" t="s">
        <v>280</v>
      </c>
      <c r="K5988">
        <v>2597.87</v>
      </c>
      <c r="L5988">
        <v>9.5399999999999991</v>
      </c>
      <c r="M5988">
        <v>14431</v>
      </c>
      <c r="N5988" t="s">
        <v>74</v>
      </c>
      <c r="O5988">
        <v>250114</v>
      </c>
      <c r="P5988">
        <v>68.11</v>
      </c>
    </row>
    <row r="5989" spans="1:16" x14ac:dyDescent="0.25">
      <c r="A5989" t="s">
        <v>3296</v>
      </c>
      <c r="B5989" t="s">
        <v>2931</v>
      </c>
      <c r="C5989">
        <v>167</v>
      </c>
      <c r="D5989" t="str">
        <f t="shared" si="98"/>
        <v xml:space="preserve">2560007523  </v>
      </c>
      <c r="E5989" t="s">
        <v>277</v>
      </c>
      <c r="F5989" t="s">
        <v>279</v>
      </c>
      <c r="G5989">
        <v>111.64</v>
      </c>
      <c r="H5989">
        <v>250106</v>
      </c>
      <c r="I5989">
        <v>4520</v>
      </c>
      <c r="J5989" t="s">
        <v>280</v>
      </c>
      <c r="K5989">
        <v>2597.87</v>
      </c>
      <c r="L5989">
        <v>22.68</v>
      </c>
      <c r="M5989">
        <v>14432</v>
      </c>
      <c r="N5989" t="s">
        <v>75</v>
      </c>
      <c r="O5989">
        <v>250114</v>
      </c>
      <c r="P5989">
        <v>88.96</v>
      </c>
    </row>
    <row r="5990" spans="1:16" x14ac:dyDescent="0.25">
      <c r="A5990" t="s">
        <v>3296</v>
      </c>
      <c r="B5990" t="s">
        <v>2931</v>
      </c>
      <c r="C5990">
        <v>167</v>
      </c>
      <c r="D5990" t="str">
        <f t="shared" si="98"/>
        <v xml:space="preserve">2560007523  </v>
      </c>
      <c r="E5990" t="s">
        <v>277</v>
      </c>
      <c r="F5990" t="s">
        <v>279</v>
      </c>
      <c r="G5990">
        <v>329.99</v>
      </c>
      <c r="H5990">
        <v>250106</v>
      </c>
      <c r="I5990">
        <v>4520</v>
      </c>
      <c r="J5990" t="s">
        <v>280</v>
      </c>
      <c r="K5990">
        <v>2597.87</v>
      </c>
      <c r="L5990">
        <v>40.53</v>
      </c>
      <c r="M5990">
        <v>14432</v>
      </c>
      <c r="N5990" t="s">
        <v>75</v>
      </c>
      <c r="O5990">
        <v>250114</v>
      </c>
      <c r="P5990">
        <v>289.45999999999998</v>
      </c>
    </row>
    <row r="5991" spans="1:16" x14ac:dyDescent="0.25">
      <c r="A5991" t="s">
        <v>3296</v>
      </c>
      <c r="B5991" t="s">
        <v>2931</v>
      </c>
      <c r="C5991">
        <v>167</v>
      </c>
      <c r="D5991" t="str">
        <f t="shared" si="98"/>
        <v xml:space="preserve">2560007523  </v>
      </c>
      <c r="E5991" t="s">
        <v>277</v>
      </c>
      <c r="F5991" t="s">
        <v>279</v>
      </c>
      <c r="G5991">
        <v>6.57</v>
      </c>
      <c r="H5991">
        <v>250106</v>
      </c>
      <c r="I5991">
        <v>4520</v>
      </c>
      <c r="J5991" t="s">
        <v>280</v>
      </c>
      <c r="K5991">
        <v>2597.87</v>
      </c>
      <c r="L5991">
        <v>1.33</v>
      </c>
      <c r="M5991">
        <v>14640</v>
      </c>
      <c r="N5991" t="s">
        <v>78</v>
      </c>
      <c r="O5991">
        <v>250114</v>
      </c>
      <c r="P5991">
        <v>5.24</v>
      </c>
    </row>
    <row r="5992" spans="1:16" x14ac:dyDescent="0.25">
      <c r="A5992" t="s">
        <v>3296</v>
      </c>
      <c r="B5992" t="s">
        <v>2931</v>
      </c>
      <c r="C5992">
        <v>167</v>
      </c>
      <c r="D5992" t="str">
        <f t="shared" si="98"/>
        <v xml:space="preserve">2560007523  </v>
      </c>
      <c r="E5992" t="s">
        <v>277</v>
      </c>
      <c r="F5992" t="s">
        <v>279</v>
      </c>
      <c r="G5992">
        <v>19.41</v>
      </c>
      <c r="H5992">
        <v>250106</v>
      </c>
      <c r="I5992">
        <v>4520</v>
      </c>
      <c r="J5992" t="s">
        <v>280</v>
      </c>
      <c r="K5992">
        <v>2597.87</v>
      </c>
      <c r="L5992">
        <v>2.38</v>
      </c>
      <c r="M5992">
        <v>14640</v>
      </c>
      <c r="N5992" t="s">
        <v>78</v>
      </c>
      <c r="O5992">
        <v>250114</v>
      </c>
      <c r="P5992">
        <v>17.03</v>
      </c>
    </row>
    <row r="5993" spans="1:16" x14ac:dyDescent="0.25">
      <c r="A5993" t="s">
        <v>3296</v>
      </c>
      <c r="B5993" t="s">
        <v>2931</v>
      </c>
      <c r="C5993">
        <v>167</v>
      </c>
      <c r="D5993" t="str">
        <f t="shared" si="98"/>
        <v xml:space="preserve">2560007523  </v>
      </c>
      <c r="E5993" t="s">
        <v>277</v>
      </c>
      <c r="F5993" t="s">
        <v>279</v>
      </c>
      <c r="G5993">
        <v>26.27</v>
      </c>
      <c r="H5993">
        <v>250106</v>
      </c>
      <c r="I5993">
        <v>4520</v>
      </c>
      <c r="J5993" t="s">
        <v>280</v>
      </c>
      <c r="K5993">
        <v>2597.87</v>
      </c>
      <c r="L5993">
        <v>5.34</v>
      </c>
      <c r="M5993">
        <v>14642</v>
      </c>
      <c r="N5993" t="s">
        <v>283</v>
      </c>
      <c r="O5993">
        <v>250114</v>
      </c>
      <c r="P5993">
        <v>20.93</v>
      </c>
    </row>
    <row r="5994" spans="1:16" x14ac:dyDescent="0.25">
      <c r="A5994" t="s">
        <v>3296</v>
      </c>
      <c r="B5994" t="s">
        <v>2931</v>
      </c>
      <c r="C5994">
        <v>167</v>
      </c>
      <c r="D5994" t="str">
        <f t="shared" si="98"/>
        <v xml:space="preserve">2560007523  </v>
      </c>
      <c r="E5994" t="s">
        <v>277</v>
      </c>
      <c r="F5994" t="s">
        <v>279</v>
      </c>
      <c r="G5994">
        <v>77.650000000000006</v>
      </c>
      <c r="H5994">
        <v>250106</v>
      </c>
      <c r="I5994">
        <v>4520</v>
      </c>
      <c r="J5994" t="s">
        <v>280</v>
      </c>
      <c r="K5994">
        <v>2597.87</v>
      </c>
      <c r="L5994">
        <v>9.5399999999999991</v>
      </c>
      <c r="M5994">
        <v>14642</v>
      </c>
      <c r="N5994" t="s">
        <v>283</v>
      </c>
      <c r="O5994">
        <v>250114</v>
      </c>
      <c r="P5994">
        <v>68.11</v>
      </c>
    </row>
    <row r="5995" spans="1:16" x14ac:dyDescent="0.25">
      <c r="A5995" t="s">
        <v>3296</v>
      </c>
      <c r="B5995" t="s">
        <v>2931</v>
      </c>
      <c r="C5995">
        <v>167</v>
      </c>
      <c r="D5995" t="str">
        <f t="shared" si="98"/>
        <v xml:space="preserve">2560007523  </v>
      </c>
      <c r="E5995" t="s">
        <v>277</v>
      </c>
      <c r="F5995" t="s">
        <v>279</v>
      </c>
      <c r="G5995">
        <v>479.41</v>
      </c>
      <c r="H5995">
        <v>250106</v>
      </c>
      <c r="I5995">
        <v>4520</v>
      </c>
      <c r="J5995" t="s">
        <v>280</v>
      </c>
      <c r="K5995">
        <v>2597.87</v>
      </c>
      <c r="L5995">
        <v>97.41</v>
      </c>
      <c r="M5995">
        <v>14912</v>
      </c>
      <c r="N5995" t="s">
        <v>80</v>
      </c>
      <c r="O5995">
        <v>250114</v>
      </c>
      <c r="P5995">
        <v>382</v>
      </c>
    </row>
    <row r="5996" spans="1:16" x14ac:dyDescent="0.25">
      <c r="A5996" t="s">
        <v>3296</v>
      </c>
      <c r="B5996" t="s">
        <v>2931</v>
      </c>
      <c r="C5996">
        <v>167</v>
      </c>
      <c r="D5996" t="str">
        <f t="shared" si="98"/>
        <v xml:space="preserve">2560007523  </v>
      </c>
      <c r="E5996" t="s">
        <v>277</v>
      </c>
      <c r="F5996" t="s">
        <v>279</v>
      </c>
      <c r="G5996">
        <v>1417.03</v>
      </c>
      <c r="H5996">
        <v>250106</v>
      </c>
      <c r="I5996">
        <v>4520</v>
      </c>
      <c r="J5996" t="s">
        <v>280</v>
      </c>
      <c r="K5996">
        <v>2597.87</v>
      </c>
      <c r="L5996">
        <v>174.02</v>
      </c>
      <c r="M5996">
        <v>14912</v>
      </c>
      <c r="N5996" t="s">
        <v>80</v>
      </c>
      <c r="O5996">
        <v>250114</v>
      </c>
      <c r="P5996">
        <v>1243.01</v>
      </c>
    </row>
    <row r="5997" spans="1:16" x14ac:dyDescent="0.25">
      <c r="A5997" t="s">
        <v>3296</v>
      </c>
      <c r="B5997" t="s">
        <v>2931</v>
      </c>
      <c r="C5997">
        <v>181</v>
      </c>
      <c r="D5997" t="str">
        <f>"2560023662  "</f>
        <v xml:space="preserve">2560023662  </v>
      </c>
      <c r="E5997" t="s">
        <v>277</v>
      </c>
      <c r="F5997" t="s">
        <v>279</v>
      </c>
      <c r="G5997">
        <v>57.45</v>
      </c>
      <c r="H5997">
        <v>250113</v>
      </c>
      <c r="I5997">
        <v>4520</v>
      </c>
      <c r="J5997" t="s">
        <v>280</v>
      </c>
      <c r="K5997">
        <v>3420.57</v>
      </c>
      <c r="L5997">
        <v>7.06</v>
      </c>
      <c r="M5997">
        <v>16442</v>
      </c>
      <c r="N5997" t="s">
        <v>304</v>
      </c>
      <c r="O5997">
        <v>250115</v>
      </c>
      <c r="P5997">
        <v>50.39</v>
      </c>
    </row>
    <row r="5998" spans="1:16" x14ac:dyDescent="0.25">
      <c r="A5998" t="s">
        <v>3296</v>
      </c>
      <c r="B5998" t="s">
        <v>2931</v>
      </c>
      <c r="C5998">
        <v>181</v>
      </c>
      <c r="D5998" t="str">
        <f>"2560023662  "</f>
        <v xml:space="preserve">2560023662  </v>
      </c>
      <c r="E5998" t="s">
        <v>277</v>
      </c>
      <c r="F5998" t="s">
        <v>279</v>
      </c>
      <c r="G5998">
        <v>12.55</v>
      </c>
      <c r="H5998">
        <v>250113</v>
      </c>
      <c r="I5998">
        <v>4520</v>
      </c>
      <c r="J5998" t="s">
        <v>280</v>
      </c>
      <c r="K5998">
        <v>3420.57</v>
      </c>
      <c r="L5998">
        <v>2.5499999999999998</v>
      </c>
      <c r="M5998">
        <v>17913</v>
      </c>
      <c r="N5998" t="s">
        <v>26</v>
      </c>
      <c r="O5998">
        <v>250115</v>
      </c>
      <c r="P5998">
        <v>10</v>
      </c>
    </row>
    <row r="5999" spans="1:16" x14ac:dyDescent="0.25">
      <c r="A5999" t="s">
        <v>3296</v>
      </c>
      <c r="B5999" t="s">
        <v>2931</v>
      </c>
      <c r="C5999">
        <v>181</v>
      </c>
      <c r="D5999" t="str">
        <f>"2560023662  "</f>
        <v xml:space="preserve">2560023662  </v>
      </c>
      <c r="E5999" t="s">
        <v>277</v>
      </c>
      <c r="F5999" t="s">
        <v>279</v>
      </c>
      <c r="G5999">
        <v>3008.47</v>
      </c>
      <c r="H5999">
        <v>250113</v>
      </c>
      <c r="I5999">
        <v>4520</v>
      </c>
      <c r="J5999" t="s">
        <v>280</v>
      </c>
      <c r="K5999">
        <v>3420.57</v>
      </c>
      <c r="L5999">
        <v>369.46</v>
      </c>
      <c r="M5999">
        <v>17913</v>
      </c>
      <c r="N5999" t="s">
        <v>26</v>
      </c>
      <c r="O5999">
        <v>250115</v>
      </c>
      <c r="P5999">
        <v>2639.01</v>
      </c>
    </row>
    <row r="6000" spans="1:16" x14ac:dyDescent="0.25">
      <c r="A6000" t="s">
        <v>3296</v>
      </c>
      <c r="B6000" t="s">
        <v>2931</v>
      </c>
      <c r="C6000">
        <v>181</v>
      </c>
      <c r="D6000" t="str">
        <f>"2560023662  "</f>
        <v xml:space="preserve">2560023662  </v>
      </c>
      <c r="E6000" t="s">
        <v>277</v>
      </c>
      <c r="F6000" t="s">
        <v>279</v>
      </c>
      <c r="G6000">
        <v>342.1</v>
      </c>
      <c r="H6000">
        <v>250113</v>
      </c>
      <c r="I6000">
        <v>4520</v>
      </c>
      <c r="J6000" t="s">
        <v>280</v>
      </c>
      <c r="K6000">
        <v>3420.57</v>
      </c>
      <c r="L6000">
        <v>42.01</v>
      </c>
      <c r="M6000">
        <v>17982</v>
      </c>
      <c r="N6000" t="s">
        <v>281</v>
      </c>
      <c r="O6000">
        <v>250115</v>
      </c>
      <c r="P6000">
        <v>300.08999999999997</v>
      </c>
    </row>
    <row r="6001" spans="1:16" x14ac:dyDescent="0.25">
      <c r="A6001" t="s">
        <v>3296</v>
      </c>
      <c r="B6001" t="s">
        <v>2931</v>
      </c>
      <c r="C6001">
        <v>182</v>
      </c>
      <c r="D6001" t="str">
        <f>"2560023656  "</f>
        <v xml:space="preserve">2560023656  </v>
      </c>
      <c r="E6001" t="s">
        <v>277</v>
      </c>
      <c r="F6001" t="s">
        <v>279</v>
      </c>
      <c r="G6001">
        <v>2947.28</v>
      </c>
      <c r="H6001">
        <v>250113</v>
      </c>
      <c r="I6001">
        <v>4520</v>
      </c>
      <c r="J6001" t="s">
        <v>280</v>
      </c>
      <c r="K6001">
        <v>3109.99</v>
      </c>
      <c r="L6001">
        <v>361.95</v>
      </c>
      <c r="M6001">
        <v>54451</v>
      </c>
      <c r="N6001" t="s">
        <v>218</v>
      </c>
      <c r="O6001">
        <v>250115</v>
      </c>
      <c r="P6001">
        <v>2585.33</v>
      </c>
    </row>
    <row r="6002" spans="1:16" x14ac:dyDescent="0.25">
      <c r="A6002" t="s">
        <v>3296</v>
      </c>
      <c r="B6002" t="s">
        <v>2931</v>
      </c>
      <c r="C6002">
        <v>183</v>
      </c>
      <c r="D6002" t="str">
        <f>"2560023660  "</f>
        <v xml:space="preserve">2560023660  </v>
      </c>
      <c r="E6002" t="s">
        <v>277</v>
      </c>
      <c r="F6002" t="s">
        <v>279</v>
      </c>
      <c r="G6002">
        <v>1038.1500000000001</v>
      </c>
      <c r="H6002">
        <v>250113</v>
      </c>
      <c r="I6002">
        <v>4520</v>
      </c>
      <c r="J6002" t="s">
        <v>280</v>
      </c>
      <c r="K6002">
        <v>1153.55</v>
      </c>
      <c r="L6002">
        <v>127.49</v>
      </c>
      <c r="M6002">
        <v>17915</v>
      </c>
      <c r="N6002" t="s">
        <v>305</v>
      </c>
      <c r="O6002">
        <v>250115</v>
      </c>
      <c r="P6002">
        <v>910.66</v>
      </c>
    </row>
    <row r="6003" spans="1:16" x14ac:dyDescent="0.25">
      <c r="A6003" t="s">
        <v>3296</v>
      </c>
      <c r="B6003" t="s">
        <v>2931</v>
      </c>
      <c r="C6003">
        <v>183</v>
      </c>
      <c r="D6003" t="str">
        <f>"2560023660  "</f>
        <v xml:space="preserve">2560023660  </v>
      </c>
      <c r="E6003" t="s">
        <v>277</v>
      </c>
      <c r="F6003" t="s">
        <v>279</v>
      </c>
      <c r="G6003">
        <v>115.4</v>
      </c>
      <c r="H6003">
        <v>250113</v>
      </c>
      <c r="I6003">
        <v>4520</v>
      </c>
      <c r="J6003" t="s">
        <v>280</v>
      </c>
      <c r="K6003">
        <v>1153.55</v>
      </c>
      <c r="L6003">
        <v>14.17</v>
      </c>
      <c r="M6003">
        <v>17982</v>
      </c>
      <c r="N6003" t="s">
        <v>281</v>
      </c>
      <c r="O6003">
        <v>250115</v>
      </c>
      <c r="P6003">
        <v>101.23</v>
      </c>
    </row>
    <row r="6004" spans="1:16" x14ac:dyDescent="0.25">
      <c r="A6004" t="s">
        <v>3296</v>
      </c>
      <c r="B6004" t="s">
        <v>2931</v>
      </c>
      <c r="C6004">
        <v>184</v>
      </c>
      <c r="D6004" t="str">
        <f>"2560023665  "</f>
        <v xml:space="preserve">2560023665  </v>
      </c>
      <c r="E6004" t="s">
        <v>277</v>
      </c>
      <c r="F6004" t="s">
        <v>279</v>
      </c>
      <c r="G6004">
        <v>789.31</v>
      </c>
      <c r="H6004">
        <v>250113</v>
      </c>
      <c r="I6004">
        <v>4520</v>
      </c>
      <c r="J6004" t="s">
        <v>280</v>
      </c>
      <c r="K6004">
        <v>889.56</v>
      </c>
      <c r="L6004">
        <v>96.93</v>
      </c>
      <c r="M6004">
        <v>69112</v>
      </c>
      <c r="N6004" t="s">
        <v>227</v>
      </c>
      <c r="O6004">
        <v>250115</v>
      </c>
      <c r="P6004">
        <v>692.38</v>
      </c>
    </row>
    <row r="6005" spans="1:16" x14ac:dyDescent="0.25">
      <c r="A6005" t="s">
        <v>3296</v>
      </c>
      <c r="B6005" t="s">
        <v>2931</v>
      </c>
      <c r="C6005">
        <v>184</v>
      </c>
      <c r="D6005" t="str">
        <f>"2560023665  "</f>
        <v xml:space="preserve">2560023665  </v>
      </c>
      <c r="E6005" t="s">
        <v>277</v>
      </c>
      <c r="F6005" t="s">
        <v>279</v>
      </c>
      <c r="G6005">
        <v>43.85</v>
      </c>
      <c r="H6005">
        <v>250113</v>
      </c>
      <c r="I6005">
        <v>4520</v>
      </c>
      <c r="J6005" t="s">
        <v>280</v>
      </c>
      <c r="K6005">
        <v>889.56</v>
      </c>
      <c r="L6005">
        <v>5.39</v>
      </c>
      <c r="M6005">
        <v>69810</v>
      </c>
      <c r="N6005" t="s">
        <v>229</v>
      </c>
      <c r="O6005">
        <v>250115</v>
      </c>
      <c r="P6005">
        <v>38.46</v>
      </c>
    </row>
    <row r="6006" spans="1:16" x14ac:dyDescent="0.25">
      <c r="A6006" t="s">
        <v>3296</v>
      </c>
      <c r="B6006" t="s">
        <v>2931</v>
      </c>
      <c r="C6006">
        <v>184</v>
      </c>
      <c r="D6006" t="str">
        <f>"2560023665  "</f>
        <v xml:space="preserve">2560023665  </v>
      </c>
      <c r="E6006" t="s">
        <v>277</v>
      </c>
      <c r="F6006" t="s">
        <v>279</v>
      </c>
      <c r="G6006">
        <v>43.85</v>
      </c>
      <c r="H6006">
        <v>250113</v>
      </c>
      <c r="I6006">
        <v>4520</v>
      </c>
      <c r="J6006" t="s">
        <v>280</v>
      </c>
      <c r="K6006">
        <v>889.56</v>
      </c>
      <c r="L6006">
        <v>5.39</v>
      </c>
      <c r="M6006">
        <v>69811</v>
      </c>
      <c r="N6006" t="s">
        <v>230</v>
      </c>
      <c r="O6006">
        <v>250115</v>
      </c>
      <c r="P6006">
        <v>38.46</v>
      </c>
    </row>
    <row r="6007" spans="1:16" x14ac:dyDescent="0.25">
      <c r="A6007" t="s">
        <v>3296</v>
      </c>
      <c r="B6007" t="s">
        <v>2931</v>
      </c>
      <c r="C6007">
        <v>258</v>
      </c>
      <c r="D6007" t="str">
        <f>"2560023657  "</f>
        <v xml:space="preserve">2560023657  </v>
      </c>
      <c r="E6007" t="s">
        <v>277</v>
      </c>
      <c r="F6007" t="s">
        <v>279</v>
      </c>
      <c r="G6007">
        <v>1316.35</v>
      </c>
      <c r="H6007">
        <v>250113</v>
      </c>
      <c r="I6007">
        <v>4520</v>
      </c>
      <c r="J6007" t="s">
        <v>280</v>
      </c>
      <c r="K6007">
        <v>1548.65</v>
      </c>
      <c r="L6007">
        <v>161.66</v>
      </c>
      <c r="M6007">
        <v>59113</v>
      </c>
      <c r="N6007" t="s">
        <v>61</v>
      </c>
      <c r="O6007">
        <v>250120</v>
      </c>
      <c r="P6007">
        <v>1154.69</v>
      </c>
    </row>
    <row r="6008" spans="1:16" x14ac:dyDescent="0.25">
      <c r="A6008" t="s">
        <v>3296</v>
      </c>
      <c r="B6008" t="s">
        <v>2931</v>
      </c>
      <c r="C6008">
        <v>258</v>
      </c>
      <c r="D6008" t="str">
        <f>"2560023657  "</f>
        <v xml:space="preserve">2560023657  </v>
      </c>
      <c r="E6008" t="s">
        <v>277</v>
      </c>
      <c r="F6008" t="s">
        <v>279</v>
      </c>
      <c r="G6008">
        <v>232.3</v>
      </c>
      <c r="H6008">
        <v>250113</v>
      </c>
      <c r="I6008">
        <v>4520</v>
      </c>
      <c r="J6008" t="s">
        <v>280</v>
      </c>
      <c r="K6008">
        <v>1548.65</v>
      </c>
      <c r="L6008">
        <v>28.53</v>
      </c>
      <c r="M6008">
        <v>59803</v>
      </c>
      <c r="N6008" t="s">
        <v>282</v>
      </c>
      <c r="O6008">
        <v>250120</v>
      </c>
      <c r="P6008">
        <v>203.77</v>
      </c>
    </row>
    <row r="6009" spans="1:16" x14ac:dyDescent="0.25">
      <c r="A6009" t="s">
        <v>3296</v>
      </c>
      <c r="B6009" t="s">
        <v>2931</v>
      </c>
      <c r="C6009">
        <v>259</v>
      </c>
      <c r="D6009" t="str">
        <f t="shared" ref="D6009:D6021" si="99">"2560023663  "</f>
        <v xml:space="preserve">2560023663  </v>
      </c>
      <c r="E6009" t="s">
        <v>277</v>
      </c>
      <c r="F6009" t="s">
        <v>279</v>
      </c>
      <c r="G6009">
        <v>6.52</v>
      </c>
      <c r="H6009">
        <v>250113</v>
      </c>
      <c r="I6009">
        <v>4520</v>
      </c>
      <c r="J6009" t="s">
        <v>280</v>
      </c>
      <c r="K6009">
        <v>5921.02</v>
      </c>
      <c r="L6009">
        <v>1.32</v>
      </c>
      <c r="M6009">
        <v>14422</v>
      </c>
      <c r="N6009" t="s">
        <v>73</v>
      </c>
      <c r="O6009">
        <v>250120</v>
      </c>
      <c r="P6009">
        <v>5.2</v>
      </c>
    </row>
    <row r="6010" spans="1:16" x14ac:dyDescent="0.25">
      <c r="A6010" t="s">
        <v>3296</v>
      </c>
      <c r="B6010" t="s">
        <v>2931</v>
      </c>
      <c r="C6010">
        <v>259</v>
      </c>
      <c r="D6010" t="str">
        <f t="shared" si="99"/>
        <v xml:space="preserve">2560023663  </v>
      </c>
      <c r="E6010" t="s">
        <v>277</v>
      </c>
      <c r="F6010" t="s">
        <v>279</v>
      </c>
      <c r="G6010">
        <v>51.26</v>
      </c>
      <c r="H6010">
        <v>250113</v>
      </c>
      <c r="I6010">
        <v>4520</v>
      </c>
      <c r="J6010" t="s">
        <v>280</v>
      </c>
      <c r="K6010">
        <v>5921.02</v>
      </c>
      <c r="L6010">
        <v>6.3</v>
      </c>
      <c r="M6010">
        <v>14422</v>
      </c>
      <c r="N6010" t="s">
        <v>73</v>
      </c>
      <c r="O6010">
        <v>250120</v>
      </c>
      <c r="P6010">
        <v>44.96</v>
      </c>
    </row>
    <row r="6011" spans="1:16" x14ac:dyDescent="0.25">
      <c r="A6011" t="s">
        <v>3296</v>
      </c>
      <c r="B6011" t="s">
        <v>2931</v>
      </c>
      <c r="C6011">
        <v>259</v>
      </c>
      <c r="D6011" t="str">
        <f t="shared" si="99"/>
        <v xml:space="preserve">2560023663  </v>
      </c>
      <c r="E6011" t="s">
        <v>277</v>
      </c>
      <c r="F6011" t="s">
        <v>279</v>
      </c>
      <c r="G6011">
        <v>26.08</v>
      </c>
      <c r="H6011">
        <v>250113</v>
      </c>
      <c r="I6011">
        <v>4520</v>
      </c>
      <c r="J6011" t="s">
        <v>280</v>
      </c>
      <c r="K6011">
        <v>5921.02</v>
      </c>
      <c r="L6011">
        <v>5.3</v>
      </c>
      <c r="M6011">
        <v>14431</v>
      </c>
      <c r="N6011" t="s">
        <v>74</v>
      </c>
      <c r="O6011">
        <v>250120</v>
      </c>
      <c r="P6011">
        <v>20.78</v>
      </c>
    </row>
    <row r="6012" spans="1:16" x14ac:dyDescent="0.25">
      <c r="A6012" t="s">
        <v>3296</v>
      </c>
      <c r="B6012" t="s">
        <v>2931</v>
      </c>
      <c r="C6012">
        <v>259</v>
      </c>
      <c r="D6012" t="str">
        <f t="shared" si="99"/>
        <v xml:space="preserve">2560023663  </v>
      </c>
      <c r="E6012" t="s">
        <v>277</v>
      </c>
      <c r="F6012" t="s">
        <v>279</v>
      </c>
      <c r="G6012">
        <v>205.03</v>
      </c>
      <c r="H6012">
        <v>250113</v>
      </c>
      <c r="I6012">
        <v>4520</v>
      </c>
      <c r="J6012" t="s">
        <v>280</v>
      </c>
      <c r="K6012">
        <v>5921.02</v>
      </c>
      <c r="L6012">
        <v>25.18</v>
      </c>
      <c r="M6012">
        <v>14431</v>
      </c>
      <c r="N6012" t="s">
        <v>74</v>
      </c>
      <c r="O6012">
        <v>250120</v>
      </c>
      <c r="P6012">
        <v>179.85</v>
      </c>
    </row>
    <row r="6013" spans="1:16" x14ac:dyDescent="0.25">
      <c r="A6013" t="s">
        <v>3296</v>
      </c>
      <c r="B6013" t="s">
        <v>2931</v>
      </c>
      <c r="C6013">
        <v>259</v>
      </c>
      <c r="D6013" t="str">
        <f t="shared" si="99"/>
        <v xml:space="preserve">2560023663  </v>
      </c>
      <c r="E6013" t="s">
        <v>277</v>
      </c>
      <c r="F6013" t="s">
        <v>279</v>
      </c>
      <c r="G6013">
        <v>110.86</v>
      </c>
      <c r="H6013">
        <v>250113</v>
      </c>
      <c r="I6013">
        <v>4520</v>
      </c>
      <c r="J6013" t="s">
        <v>280</v>
      </c>
      <c r="K6013">
        <v>5921.02</v>
      </c>
      <c r="L6013">
        <v>22.53</v>
      </c>
      <c r="M6013">
        <v>14432</v>
      </c>
      <c r="N6013" t="s">
        <v>75</v>
      </c>
      <c r="O6013">
        <v>250120</v>
      </c>
      <c r="P6013">
        <v>88.33</v>
      </c>
    </row>
    <row r="6014" spans="1:16" x14ac:dyDescent="0.25">
      <c r="A6014" t="s">
        <v>3296</v>
      </c>
      <c r="B6014" t="s">
        <v>2931</v>
      </c>
      <c r="C6014">
        <v>259</v>
      </c>
      <c r="D6014" t="str">
        <f t="shared" si="99"/>
        <v xml:space="preserve">2560023663  </v>
      </c>
      <c r="E6014" t="s">
        <v>277</v>
      </c>
      <c r="F6014" t="s">
        <v>279</v>
      </c>
      <c r="G6014">
        <v>871.39</v>
      </c>
      <c r="H6014">
        <v>250113</v>
      </c>
      <c r="I6014">
        <v>4520</v>
      </c>
      <c r="J6014" t="s">
        <v>280</v>
      </c>
      <c r="K6014">
        <v>5921.02</v>
      </c>
      <c r="L6014">
        <v>107.01</v>
      </c>
      <c r="M6014">
        <v>14432</v>
      </c>
      <c r="N6014" t="s">
        <v>75</v>
      </c>
      <c r="O6014">
        <v>250120</v>
      </c>
      <c r="P6014">
        <v>764.38</v>
      </c>
    </row>
    <row r="6015" spans="1:16" x14ac:dyDescent="0.25">
      <c r="A6015" t="s">
        <v>3296</v>
      </c>
      <c r="B6015" t="s">
        <v>2931</v>
      </c>
      <c r="C6015">
        <v>259</v>
      </c>
      <c r="D6015" t="str">
        <f t="shared" si="99"/>
        <v xml:space="preserve">2560023663  </v>
      </c>
      <c r="E6015" t="s">
        <v>277</v>
      </c>
      <c r="F6015" t="s">
        <v>279</v>
      </c>
      <c r="G6015">
        <v>6.53</v>
      </c>
      <c r="H6015">
        <v>250113</v>
      </c>
      <c r="I6015">
        <v>4520</v>
      </c>
      <c r="J6015" t="s">
        <v>280</v>
      </c>
      <c r="K6015">
        <v>5921.02</v>
      </c>
      <c r="L6015">
        <v>1.33</v>
      </c>
      <c r="M6015">
        <v>14640</v>
      </c>
      <c r="N6015" t="s">
        <v>78</v>
      </c>
      <c r="O6015">
        <v>250120</v>
      </c>
      <c r="P6015">
        <v>5.2</v>
      </c>
    </row>
    <row r="6016" spans="1:16" x14ac:dyDescent="0.25">
      <c r="A6016" t="s">
        <v>3296</v>
      </c>
      <c r="B6016" t="s">
        <v>2931</v>
      </c>
      <c r="C6016">
        <v>259</v>
      </c>
      <c r="D6016" t="str">
        <f t="shared" si="99"/>
        <v xml:space="preserve">2560023663  </v>
      </c>
      <c r="E6016" t="s">
        <v>277</v>
      </c>
      <c r="F6016" t="s">
        <v>279</v>
      </c>
      <c r="G6016">
        <v>51.27</v>
      </c>
      <c r="H6016">
        <v>250113</v>
      </c>
      <c r="I6016">
        <v>4520</v>
      </c>
      <c r="J6016" t="s">
        <v>280</v>
      </c>
      <c r="K6016">
        <v>5921.02</v>
      </c>
      <c r="L6016">
        <v>6.3</v>
      </c>
      <c r="M6016">
        <v>14640</v>
      </c>
      <c r="N6016" t="s">
        <v>78</v>
      </c>
      <c r="O6016">
        <v>250120</v>
      </c>
      <c r="P6016">
        <v>44.97</v>
      </c>
    </row>
    <row r="6017" spans="1:16" x14ac:dyDescent="0.25">
      <c r="A6017" t="s">
        <v>3296</v>
      </c>
      <c r="B6017" t="s">
        <v>2931</v>
      </c>
      <c r="C6017">
        <v>259</v>
      </c>
      <c r="D6017" t="str">
        <f t="shared" si="99"/>
        <v xml:space="preserve">2560023663  </v>
      </c>
      <c r="E6017" t="s">
        <v>277</v>
      </c>
      <c r="F6017" t="s">
        <v>279</v>
      </c>
      <c r="G6017">
        <v>26.08</v>
      </c>
      <c r="H6017">
        <v>250113</v>
      </c>
      <c r="I6017">
        <v>4520</v>
      </c>
      <c r="J6017" t="s">
        <v>280</v>
      </c>
      <c r="K6017">
        <v>5921.02</v>
      </c>
      <c r="L6017">
        <v>5.3</v>
      </c>
      <c r="M6017">
        <v>14642</v>
      </c>
      <c r="N6017" t="s">
        <v>283</v>
      </c>
      <c r="O6017">
        <v>250120</v>
      </c>
      <c r="P6017">
        <v>20.78</v>
      </c>
    </row>
    <row r="6018" spans="1:16" x14ac:dyDescent="0.25">
      <c r="A6018" t="s">
        <v>3296</v>
      </c>
      <c r="B6018" t="s">
        <v>2931</v>
      </c>
      <c r="C6018">
        <v>259</v>
      </c>
      <c r="D6018" t="str">
        <f t="shared" si="99"/>
        <v xml:space="preserve">2560023663  </v>
      </c>
      <c r="E6018" t="s">
        <v>277</v>
      </c>
      <c r="F6018" t="s">
        <v>279</v>
      </c>
      <c r="G6018">
        <v>205.03</v>
      </c>
      <c r="H6018">
        <v>250113</v>
      </c>
      <c r="I6018">
        <v>4520</v>
      </c>
      <c r="J6018" t="s">
        <v>280</v>
      </c>
      <c r="K6018">
        <v>5921.02</v>
      </c>
      <c r="L6018">
        <v>25.18</v>
      </c>
      <c r="M6018">
        <v>14642</v>
      </c>
      <c r="N6018" t="s">
        <v>283</v>
      </c>
      <c r="O6018">
        <v>250120</v>
      </c>
      <c r="P6018">
        <v>179.85</v>
      </c>
    </row>
    <row r="6019" spans="1:16" x14ac:dyDescent="0.25">
      <c r="A6019" t="s">
        <v>3296</v>
      </c>
      <c r="B6019" t="s">
        <v>2931</v>
      </c>
      <c r="C6019">
        <v>259</v>
      </c>
      <c r="D6019" t="str">
        <f t="shared" si="99"/>
        <v xml:space="preserve">2560023663  </v>
      </c>
      <c r="E6019" t="s">
        <v>277</v>
      </c>
      <c r="F6019" t="s">
        <v>279</v>
      </c>
      <c r="G6019">
        <v>476.03</v>
      </c>
      <c r="H6019">
        <v>250113</v>
      </c>
      <c r="I6019">
        <v>4520</v>
      </c>
      <c r="J6019" t="s">
        <v>280</v>
      </c>
      <c r="K6019">
        <v>5921.02</v>
      </c>
      <c r="L6019">
        <v>96.72</v>
      </c>
      <c r="M6019">
        <v>14912</v>
      </c>
      <c r="N6019" t="s">
        <v>80</v>
      </c>
      <c r="O6019">
        <v>250120</v>
      </c>
      <c r="P6019">
        <v>379.31</v>
      </c>
    </row>
    <row r="6020" spans="1:16" x14ac:dyDescent="0.25">
      <c r="A6020" t="s">
        <v>3296</v>
      </c>
      <c r="B6020" t="s">
        <v>2931</v>
      </c>
      <c r="C6020">
        <v>259</v>
      </c>
      <c r="D6020" t="str">
        <f t="shared" si="99"/>
        <v xml:space="preserve">2560023663  </v>
      </c>
      <c r="E6020" t="s">
        <v>277</v>
      </c>
      <c r="F6020" t="s">
        <v>279</v>
      </c>
      <c r="G6020">
        <v>3741.87</v>
      </c>
      <c r="H6020">
        <v>250113</v>
      </c>
      <c r="I6020">
        <v>4520</v>
      </c>
      <c r="J6020" t="s">
        <v>280</v>
      </c>
      <c r="K6020">
        <v>5921.02</v>
      </c>
      <c r="L6020">
        <v>459.53</v>
      </c>
      <c r="M6020">
        <v>14912</v>
      </c>
      <c r="N6020" t="s">
        <v>80</v>
      </c>
      <c r="O6020">
        <v>250120</v>
      </c>
      <c r="P6020">
        <v>3282.34</v>
      </c>
    </row>
    <row r="6021" spans="1:16" x14ac:dyDescent="0.25">
      <c r="A6021" t="s">
        <v>3296</v>
      </c>
      <c r="B6021" t="s">
        <v>2931</v>
      </c>
      <c r="C6021">
        <v>259</v>
      </c>
      <c r="D6021" t="str">
        <f t="shared" si="99"/>
        <v xml:space="preserve">2560023663  </v>
      </c>
      <c r="E6021" t="s">
        <v>277</v>
      </c>
      <c r="F6021" t="s">
        <v>279</v>
      </c>
      <c r="G6021">
        <v>143.07</v>
      </c>
      <c r="H6021">
        <v>250113</v>
      </c>
      <c r="I6021">
        <v>4520</v>
      </c>
      <c r="J6021" t="s">
        <v>280</v>
      </c>
      <c r="K6021">
        <v>5921.02</v>
      </c>
      <c r="L6021">
        <v>17.57</v>
      </c>
      <c r="M6021">
        <v>14990</v>
      </c>
      <c r="N6021" t="s">
        <v>85</v>
      </c>
      <c r="O6021">
        <v>250120</v>
      </c>
      <c r="P6021">
        <v>125.5</v>
      </c>
    </row>
    <row r="6022" spans="1:16" x14ac:dyDescent="0.25">
      <c r="A6022" t="s">
        <v>3296</v>
      </c>
      <c r="B6022" t="s">
        <v>2931</v>
      </c>
      <c r="C6022">
        <v>261</v>
      </c>
      <c r="D6022" t="str">
        <f>"2560023661  "</f>
        <v xml:space="preserve">2560023661  </v>
      </c>
      <c r="E6022" t="s">
        <v>277</v>
      </c>
      <c r="F6022" t="s">
        <v>279</v>
      </c>
      <c r="G6022">
        <v>162.44</v>
      </c>
      <c r="H6022">
        <v>250113</v>
      </c>
      <c r="I6022">
        <v>4520</v>
      </c>
      <c r="J6022" t="s">
        <v>280</v>
      </c>
      <c r="K6022">
        <v>787.76</v>
      </c>
      <c r="L6022">
        <v>19.95</v>
      </c>
      <c r="M6022">
        <v>44251</v>
      </c>
      <c r="N6022" t="s">
        <v>215</v>
      </c>
      <c r="O6022">
        <v>250120</v>
      </c>
      <c r="P6022">
        <v>142.49</v>
      </c>
    </row>
    <row r="6023" spans="1:16" x14ac:dyDescent="0.25">
      <c r="A6023" t="s">
        <v>3296</v>
      </c>
      <c r="B6023" t="s">
        <v>2931</v>
      </c>
      <c r="C6023">
        <v>261</v>
      </c>
      <c r="D6023" t="str">
        <f>"2560023661  "</f>
        <v xml:space="preserve">2560023661  </v>
      </c>
      <c r="E6023" t="s">
        <v>277</v>
      </c>
      <c r="F6023" t="s">
        <v>279</v>
      </c>
      <c r="G6023">
        <v>564.69000000000005</v>
      </c>
      <c r="H6023">
        <v>250113</v>
      </c>
      <c r="I6023">
        <v>4520</v>
      </c>
      <c r="J6023" t="s">
        <v>280</v>
      </c>
      <c r="K6023">
        <v>787.76</v>
      </c>
      <c r="L6023">
        <v>69.349999999999994</v>
      </c>
      <c r="M6023">
        <v>44252</v>
      </c>
      <c r="N6023" t="s">
        <v>217</v>
      </c>
      <c r="O6023">
        <v>250120</v>
      </c>
      <c r="P6023">
        <v>495.34</v>
      </c>
    </row>
    <row r="6024" spans="1:16" x14ac:dyDescent="0.25">
      <c r="A6024" t="s">
        <v>3296</v>
      </c>
      <c r="B6024" t="s">
        <v>2931</v>
      </c>
      <c r="C6024">
        <v>262</v>
      </c>
      <c r="D6024" t="str">
        <f>"2560023655  "</f>
        <v xml:space="preserve">2560023655  </v>
      </c>
      <c r="E6024" t="s">
        <v>277</v>
      </c>
      <c r="F6024" t="s">
        <v>279</v>
      </c>
      <c r="G6024">
        <v>2142.1</v>
      </c>
      <c r="H6024">
        <v>250113</v>
      </c>
      <c r="I6024">
        <v>4520</v>
      </c>
      <c r="J6024" t="s">
        <v>280</v>
      </c>
      <c r="K6024">
        <v>2153.2600000000002</v>
      </c>
      <c r="L6024">
        <v>263.06</v>
      </c>
      <c r="M6024">
        <v>59114</v>
      </c>
      <c r="N6024" t="s">
        <v>299</v>
      </c>
      <c r="O6024">
        <v>250120</v>
      </c>
      <c r="P6024">
        <v>1879.04</v>
      </c>
    </row>
    <row r="6025" spans="1:16" x14ac:dyDescent="0.25">
      <c r="A6025" t="s">
        <v>3296</v>
      </c>
      <c r="B6025" t="s">
        <v>2931</v>
      </c>
      <c r="C6025">
        <v>265</v>
      </c>
      <c r="D6025" t="str">
        <f>"2560023659  "</f>
        <v xml:space="preserve">2560023659  </v>
      </c>
      <c r="E6025" t="s">
        <v>277</v>
      </c>
      <c r="F6025" t="s">
        <v>279</v>
      </c>
      <c r="G6025">
        <v>3370.18</v>
      </c>
      <c r="H6025">
        <v>250113</v>
      </c>
      <c r="I6025">
        <v>4520</v>
      </c>
      <c r="J6025" t="s">
        <v>280</v>
      </c>
      <c r="K6025">
        <v>3585.69</v>
      </c>
      <c r="L6025">
        <v>413.88</v>
      </c>
      <c r="M6025">
        <v>49112</v>
      </c>
      <c r="N6025" t="s">
        <v>109</v>
      </c>
      <c r="O6025">
        <v>250120</v>
      </c>
      <c r="P6025">
        <v>2956.3</v>
      </c>
    </row>
    <row r="6026" spans="1:16" x14ac:dyDescent="0.25">
      <c r="A6026" t="s">
        <v>3296</v>
      </c>
      <c r="B6026" t="s">
        <v>2931</v>
      </c>
      <c r="C6026">
        <v>271</v>
      </c>
      <c r="D6026" t="str">
        <f>"2560023658  "</f>
        <v xml:space="preserve">2560023658  </v>
      </c>
      <c r="E6026" t="s">
        <v>277</v>
      </c>
      <c r="F6026" t="s">
        <v>279</v>
      </c>
      <c r="G6026">
        <v>1586.49</v>
      </c>
      <c r="H6026">
        <v>250113</v>
      </c>
      <c r="I6026">
        <v>4520</v>
      </c>
      <c r="J6026" t="s">
        <v>280</v>
      </c>
      <c r="K6026">
        <v>2191.2399999999998</v>
      </c>
      <c r="L6026">
        <v>194.83</v>
      </c>
      <c r="M6026">
        <v>69113</v>
      </c>
      <c r="N6026" t="s">
        <v>122</v>
      </c>
      <c r="O6026">
        <v>250120</v>
      </c>
      <c r="P6026">
        <v>1391.66</v>
      </c>
    </row>
    <row r="6027" spans="1:16" x14ac:dyDescent="0.25">
      <c r="A6027" t="s">
        <v>3296</v>
      </c>
      <c r="B6027" t="s">
        <v>2931</v>
      </c>
      <c r="C6027">
        <v>271</v>
      </c>
      <c r="D6027" t="str">
        <f>"2560023658  "</f>
        <v xml:space="preserve">2560023658  </v>
      </c>
      <c r="E6027" t="s">
        <v>277</v>
      </c>
      <c r="F6027" t="s">
        <v>279</v>
      </c>
      <c r="G6027">
        <v>186.65</v>
      </c>
      <c r="H6027">
        <v>250113</v>
      </c>
      <c r="I6027">
        <v>4520</v>
      </c>
      <c r="J6027" t="s">
        <v>280</v>
      </c>
      <c r="K6027">
        <v>2191.2399999999998</v>
      </c>
      <c r="L6027">
        <v>22.92</v>
      </c>
      <c r="M6027">
        <v>69802</v>
      </c>
      <c r="N6027" t="s">
        <v>375</v>
      </c>
      <c r="O6027">
        <v>250120</v>
      </c>
      <c r="P6027">
        <v>163.72999999999999</v>
      </c>
    </row>
    <row r="6028" spans="1:16" x14ac:dyDescent="0.25">
      <c r="A6028" t="s">
        <v>3296</v>
      </c>
      <c r="B6028" t="s">
        <v>2931</v>
      </c>
      <c r="C6028">
        <v>271</v>
      </c>
      <c r="D6028" t="str">
        <f>"2560023658  "</f>
        <v xml:space="preserve">2560023658  </v>
      </c>
      <c r="E6028" t="s">
        <v>277</v>
      </c>
      <c r="F6028" t="s">
        <v>279</v>
      </c>
      <c r="G6028">
        <v>93.32</v>
      </c>
      <c r="H6028">
        <v>250113</v>
      </c>
      <c r="I6028">
        <v>4520</v>
      </c>
      <c r="J6028" t="s">
        <v>280</v>
      </c>
      <c r="K6028">
        <v>2191.2399999999998</v>
      </c>
      <c r="L6028">
        <v>11.46</v>
      </c>
      <c r="M6028">
        <v>69804</v>
      </c>
      <c r="N6028" t="s">
        <v>376</v>
      </c>
      <c r="O6028">
        <v>250120</v>
      </c>
      <c r="P6028">
        <v>81.86</v>
      </c>
    </row>
    <row r="6029" spans="1:16" x14ac:dyDescent="0.25">
      <c r="A6029" t="s">
        <v>3296</v>
      </c>
      <c r="B6029" t="s">
        <v>2931</v>
      </c>
      <c r="C6029">
        <v>304</v>
      </c>
      <c r="D6029" t="str">
        <f>"2560023664  "</f>
        <v xml:space="preserve">2560023664  </v>
      </c>
      <c r="E6029" t="s">
        <v>277</v>
      </c>
      <c r="F6029" t="s">
        <v>279</v>
      </c>
      <c r="G6029">
        <v>176.74</v>
      </c>
      <c r="H6029">
        <v>250113</v>
      </c>
      <c r="I6029">
        <v>4520</v>
      </c>
      <c r="J6029" t="s">
        <v>280</v>
      </c>
      <c r="K6029">
        <v>1006.39</v>
      </c>
      <c r="L6029">
        <v>21.7</v>
      </c>
      <c r="M6029">
        <v>44222</v>
      </c>
      <c r="N6029" t="s">
        <v>96</v>
      </c>
      <c r="O6029">
        <v>250121</v>
      </c>
      <c r="P6029">
        <v>155.04</v>
      </c>
    </row>
    <row r="6030" spans="1:16" x14ac:dyDescent="0.25">
      <c r="A6030" t="s">
        <v>3296</v>
      </c>
      <c r="B6030" t="s">
        <v>2931</v>
      </c>
      <c r="C6030">
        <v>304</v>
      </c>
      <c r="D6030" t="str">
        <f>"2560023664  "</f>
        <v xml:space="preserve">2560023664  </v>
      </c>
      <c r="E6030" t="s">
        <v>277</v>
      </c>
      <c r="F6030" t="s">
        <v>279</v>
      </c>
      <c r="G6030">
        <v>22.15</v>
      </c>
      <c r="H6030">
        <v>250113</v>
      </c>
      <c r="I6030">
        <v>4520</v>
      </c>
      <c r="J6030" t="s">
        <v>280</v>
      </c>
      <c r="K6030">
        <v>1006.39</v>
      </c>
      <c r="L6030">
        <v>4.5</v>
      </c>
      <c r="M6030">
        <v>44253</v>
      </c>
      <c r="N6030" t="s">
        <v>403</v>
      </c>
      <c r="O6030">
        <v>250121</v>
      </c>
      <c r="P6030">
        <v>17.649999999999999</v>
      </c>
    </row>
    <row r="6031" spans="1:16" x14ac:dyDescent="0.25">
      <c r="A6031" t="s">
        <v>3296</v>
      </c>
      <c r="B6031" t="s">
        <v>2931</v>
      </c>
      <c r="C6031">
        <v>304</v>
      </c>
      <c r="D6031" t="str">
        <f>"2560023664  "</f>
        <v xml:space="preserve">2560023664  </v>
      </c>
      <c r="E6031" t="s">
        <v>277</v>
      </c>
      <c r="F6031" t="s">
        <v>279</v>
      </c>
      <c r="G6031">
        <v>581.1</v>
      </c>
      <c r="H6031">
        <v>250113</v>
      </c>
      <c r="I6031">
        <v>4520</v>
      </c>
      <c r="J6031" t="s">
        <v>280</v>
      </c>
      <c r="K6031">
        <v>1006.39</v>
      </c>
      <c r="L6031">
        <v>71.36</v>
      </c>
      <c r="M6031">
        <v>44253</v>
      </c>
      <c r="N6031" t="s">
        <v>403</v>
      </c>
      <c r="O6031">
        <v>250121</v>
      </c>
      <c r="P6031">
        <v>509.74</v>
      </c>
    </row>
    <row r="6032" spans="1:16" x14ac:dyDescent="0.25">
      <c r="A6032" t="s">
        <v>3296</v>
      </c>
      <c r="B6032" t="s">
        <v>2931</v>
      </c>
      <c r="C6032">
        <v>397</v>
      </c>
      <c r="D6032" t="str">
        <f>"2560046535  "</f>
        <v xml:space="preserve">2560046535  </v>
      </c>
      <c r="E6032" t="s">
        <v>277</v>
      </c>
      <c r="F6032" t="s">
        <v>279</v>
      </c>
      <c r="G6032">
        <v>164.88</v>
      </c>
      <c r="H6032">
        <v>250120</v>
      </c>
      <c r="I6032">
        <v>4520</v>
      </c>
      <c r="J6032" t="s">
        <v>280</v>
      </c>
      <c r="K6032">
        <v>182.68</v>
      </c>
      <c r="L6032">
        <v>20.25</v>
      </c>
      <c r="M6032">
        <v>13940</v>
      </c>
      <c r="N6032" t="s">
        <v>14</v>
      </c>
      <c r="O6032">
        <v>250122</v>
      </c>
      <c r="P6032">
        <v>144.63</v>
      </c>
    </row>
    <row r="6033" spans="1:16" x14ac:dyDescent="0.25">
      <c r="A6033" t="s">
        <v>3296</v>
      </c>
      <c r="B6033" t="s">
        <v>2931</v>
      </c>
      <c r="C6033">
        <v>398</v>
      </c>
      <c r="D6033" t="str">
        <f>"2560046529  "</f>
        <v xml:space="preserve">2560046529  </v>
      </c>
      <c r="E6033" t="s">
        <v>277</v>
      </c>
      <c r="F6033" t="s">
        <v>279</v>
      </c>
      <c r="G6033">
        <v>84.11</v>
      </c>
      <c r="H6033">
        <v>250120</v>
      </c>
      <c r="I6033">
        <v>4520</v>
      </c>
      <c r="J6033" t="s">
        <v>280</v>
      </c>
      <c r="K6033">
        <v>958.46</v>
      </c>
      <c r="L6033">
        <v>17.09</v>
      </c>
      <c r="M6033">
        <v>17915</v>
      </c>
      <c r="N6033" t="s">
        <v>305</v>
      </c>
      <c r="O6033">
        <v>250122</v>
      </c>
      <c r="P6033">
        <v>67.02</v>
      </c>
    </row>
    <row r="6034" spans="1:16" x14ac:dyDescent="0.25">
      <c r="A6034" t="s">
        <v>3296</v>
      </c>
      <c r="B6034" t="s">
        <v>2931</v>
      </c>
      <c r="C6034">
        <v>398</v>
      </c>
      <c r="D6034" t="str">
        <f>"2560046529  "</f>
        <v xml:space="preserve">2560046529  </v>
      </c>
      <c r="E6034" t="s">
        <v>277</v>
      </c>
      <c r="F6034" t="s">
        <v>279</v>
      </c>
      <c r="G6034">
        <v>778.5</v>
      </c>
      <c r="H6034">
        <v>250120</v>
      </c>
      <c r="I6034">
        <v>4520</v>
      </c>
      <c r="J6034" t="s">
        <v>280</v>
      </c>
      <c r="K6034">
        <v>958.46</v>
      </c>
      <c r="L6034">
        <v>95.61</v>
      </c>
      <c r="M6034">
        <v>17915</v>
      </c>
      <c r="N6034" t="s">
        <v>305</v>
      </c>
      <c r="O6034">
        <v>250122</v>
      </c>
      <c r="P6034">
        <v>682.89</v>
      </c>
    </row>
    <row r="6035" spans="1:16" x14ac:dyDescent="0.25">
      <c r="A6035" t="s">
        <v>3296</v>
      </c>
      <c r="B6035" t="s">
        <v>2931</v>
      </c>
      <c r="C6035">
        <v>398</v>
      </c>
      <c r="D6035" t="str">
        <f>"2560046529  "</f>
        <v xml:space="preserve">2560046529  </v>
      </c>
      <c r="E6035" t="s">
        <v>277</v>
      </c>
      <c r="F6035" t="s">
        <v>279</v>
      </c>
      <c r="G6035">
        <v>9.35</v>
      </c>
      <c r="H6035">
        <v>250120</v>
      </c>
      <c r="I6035">
        <v>4520</v>
      </c>
      <c r="J6035" t="s">
        <v>280</v>
      </c>
      <c r="K6035">
        <v>958.46</v>
      </c>
      <c r="L6035">
        <v>1.9</v>
      </c>
      <c r="M6035">
        <v>17982</v>
      </c>
      <c r="N6035" t="s">
        <v>281</v>
      </c>
      <c r="O6035">
        <v>250122</v>
      </c>
      <c r="P6035">
        <v>7.45</v>
      </c>
    </row>
    <row r="6036" spans="1:16" x14ac:dyDescent="0.25">
      <c r="A6036" t="s">
        <v>3296</v>
      </c>
      <c r="B6036" t="s">
        <v>2931</v>
      </c>
      <c r="C6036">
        <v>398</v>
      </c>
      <c r="D6036" t="str">
        <f>"2560046529  "</f>
        <v xml:space="preserve">2560046529  </v>
      </c>
      <c r="E6036" t="s">
        <v>277</v>
      </c>
      <c r="F6036" t="s">
        <v>279</v>
      </c>
      <c r="G6036">
        <v>86.5</v>
      </c>
      <c r="H6036">
        <v>250120</v>
      </c>
      <c r="I6036">
        <v>4520</v>
      </c>
      <c r="J6036" t="s">
        <v>280</v>
      </c>
      <c r="K6036">
        <v>958.46</v>
      </c>
      <c r="L6036">
        <v>10.62</v>
      </c>
      <c r="M6036">
        <v>17982</v>
      </c>
      <c r="N6036" t="s">
        <v>281</v>
      </c>
      <c r="O6036">
        <v>250122</v>
      </c>
      <c r="P6036">
        <v>75.88</v>
      </c>
    </row>
    <row r="6037" spans="1:16" x14ac:dyDescent="0.25">
      <c r="A6037" t="s">
        <v>3296</v>
      </c>
      <c r="B6037" t="s">
        <v>2931</v>
      </c>
      <c r="C6037">
        <v>401</v>
      </c>
      <c r="D6037" t="str">
        <f>"2560046525  "</f>
        <v xml:space="preserve">2560046525  </v>
      </c>
      <c r="E6037" t="s">
        <v>277</v>
      </c>
      <c r="F6037" t="s">
        <v>279</v>
      </c>
      <c r="G6037">
        <v>330</v>
      </c>
      <c r="H6037">
        <v>250120</v>
      </c>
      <c r="I6037">
        <v>4520</v>
      </c>
      <c r="J6037" t="s">
        <v>280</v>
      </c>
      <c r="K6037">
        <v>2493.77</v>
      </c>
      <c r="L6037">
        <v>40.53</v>
      </c>
      <c r="M6037">
        <v>54422</v>
      </c>
      <c r="N6037" t="s">
        <v>49</v>
      </c>
      <c r="O6037">
        <v>250122</v>
      </c>
      <c r="P6037">
        <v>289.47000000000003</v>
      </c>
    </row>
    <row r="6038" spans="1:16" x14ac:dyDescent="0.25">
      <c r="A6038" t="s">
        <v>3296</v>
      </c>
      <c r="B6038" t="s">
        <v>2931</v>
      </c>
      <c r="C6038">
        <v>401</v>
      </c>
      <c r="D6038" t="str">
        <f>"2560046525  "</f>
        <v xml:space="preserve">2560046525  </v>
      </c>
      <c r="E6038" t="s">
        <v>277</v>
      </c>
      <c r="F6038" t="s">
        <v>279</v>
      </c>
      <c r="G6038">
        <v>2085.81</v>
      </c>
      <c r="H6038">
        <v>250120</v>
      </c>
      <c r="I6038">
        <v>4520</v>
      </c>
      <c r="J6038" t="s">
        <v>280</v>
      </c>
      <c r="K6038">
        <v>2493.77</v>
      </c>
      <c r="L6038">
        <v>256.14999999999998</v>
      </c>
      <c r="M6038">
        <v>54451</v>
      </c>
      <c r="N6038" t="s">
        <v>218</v>
      </c>
      <c r="O6038">
        <v>250122</v>
      </c>
      <c r="P6038">
        <v>1829.66</v>
      </c>
    </row>
    <row r="6039" spans="1:16" x14ac:dyDescent="0.25">
      <c r="A6039" t="s">
        <v>3296</v>
      </c>
      <c r="B6039" t="s">
        <v>2931</v>
      </c>
      <c r="C6039">
        <v>405</v>
      </c>
      <c r="D6039" t="str">
        <f>"2560046527  "</f>
        <v xml:space="preserve">2560046527  </v>
      </c>
      <c r="E6039" t="s">
        <v>277</v>
      </c>
      <c r="F6039" t="s">
        <v>279</v>
      </c>
      <c r="G6039">
        <v>1941.65</v>
      </c>
      <c r="H6039">
        <v>250120</v>
      </c>
      <c r="I6039">
        <v>4520</v>
      </c>
      <c r="J6039" t="s">
        <v>280</v>
      </c>
      <c r="K6039">
        <v>2284.29</v>
      </c>
      <c r="L6039">
        <v>238.45</v>
      </c>
      <c r="M6039">
        <v>69113</v>
      </c>
      <c r="N6039" t="s">
        <v>122</v>
      </c>
      <c r="O6039">
        <v>250122</v>
      </c>
      <c r="P6039">
        <v>1703.2</v>
      </c>
    </row>
    <row r="6040" spans="1:16" x14ac:dyDescent="0.25">
      <c r="A6040" t="s">
        <v>3296</v>
      </c>
      <c r="B6040" t="s">
        <v>2931</v>
      </c>
      <c r="C6040">
        <v>405</v>
      </c>
      <c r="D6040" t="str">
        <f>"2560046527  "</f>
        <v xml:space="preserve">2560046527  </v>
      </c>
      <c r="E6040" t="s">
        <v>277</v>
      </c>
      <c r="F6040" t="s">
        <v>279</v>
      </c>
      <c r="G6040">
        <v>228.43</v>
      </c>
      <c r="H6040">
        <v>250120</v>
      </c>
      <c r="I6040">
        <v>4520</v>
      </c>
      <c r="J6040" t="s">
        <v>280</v>
      </c>
      <c r="K6040">
        <v>2284.29</v>
      </c>
      <c r="L6040">
        <v>28.05</v>
      </c>
      <c r="M6040">
        <v>69802</v>
      </c>
      <c r="N6040" t="s">
        <v>375</v>
      </c>
      <c r="O6040">
        <v>250122</v>
      </c>
      <c r="P6040">
        <v>200.38</v>
      </c>
    </row>
    <row r="6041" spans="1:16" x14ac:dyDescent="0.25">
      <c r="A6041" t="s">
        <v>3296</v>
      </c>
      <c r="B6041" t="s">
        <v>2931</v>
      </c>
      <c r="C6041">
        <v>405</v>
      </c>
      <c r="D6041" t="str">
        <f>"2560046527  "</f>
        <v xml:space="preserve">2560046527  </v>
      </c>
      <c r="E6041" t="s">
        <v>277</v>
      </c>
      <c r="F6041" t="s">
        <v>279</v>
      </c>
      <c r="G6041">
        <v>114.21</v>
      </c>
      <c r="H6041">
        <v>250120</v>
      </c>
      <c r="I6041">
        <v>4520</v>
      </c>
      <c r="J6041" t="s">
        <v>280</v>
      </c>
      <c r="K6041">
        <v>2284.29</v>
      </c>
      <c r="L6041">
        <v>14.03</v>
      </c>
      <c r="M6041">
        <v>69804</v>
      </c>
      <c r="N6041" t="s">
        <v>376</v>
      </c>
      <c r="O6041">
        <v>250122</v>
      </c>
      <c r="P6041">
        <v>100.18</v>
      </c>
    </row>
    <row r="6042" spans="1:16" x14ac:dyDescent="0.25">
      <c r="A6042" t="s">
        <v>3296</v>
      </c>
      <c r="B6042" t="s">
        <v>2931</v>
      </c>
      <c r="C6042">
        <v>513</v>
      </c>
      <c r="D6042" t="str">
        <f>"2560046528  "</f>
        <v xml:space="preserve">2560046528  </v>
      </c>
      <c r="E6042" t="s">
        <v>277</v>
      </c>
      <c r="F6042" t="s">
        <v>279</v>
      </c>
      <c r="G6042">
        <v>2602.11</v>
      </c>
      <c r="H6042">
        <v>250120</v>
      </c>
      <c r="I6042">
        <v>4520</v>
      </c>
      <c r="J6042" t="s">
        <v>280</v>
      </c>
      <c r="K6042">
        <v>2616.71</v>
      </c>
      <c r="L6042">
        <v>319.56</v>
      </c>
      <c r="M6042">
        <v>49112</v>
      </c>
      <c r="N6042" t="s">
        <v>109</v>
      </c>
      <c r="O6042">
        <v>250123</v>
      </c>
      <c r="P6042">
        <v>2282.5500000000002</v>
      </c>
    </row>
    <row r="6043" spans="1:16" x14ac:dyDescent="0.25">
      <c r="A6043" t="s">
        <v>3296</v>
      </c>
      <c r="B6043" t="s">
        <v>2931</v>
      </c>
      <c r="C6043">
        <v>592</v>
      </c>
      <c r="D6043" t="str">
        <f>"2560046524  "</f>
        <v xml:space="preserve">2560046524  </v>
      </c>
      <c r="E6043" t="s">
        <v>277</v>
      </c>
      <c r="F6043" t="s">
        <v>279</v>
      </c>
      <c r="G6043">
        <v>892.2</v>
      </c>
      <c r="H6043">
        <v>250120</v>
      </c>
      <c r="I6043">
        <v>4520</v>
      </c>
      <c r="J6043" t="s">
        <v>280</v>
      </c>
      <c r="K6043">
        <v>926.27</v>
      </c>
      <c r="L6043">
        <v>109.57</v>
      </c>
      <c r="M6043">
        <v>59114</v>
      </c>
      <c r="N6043" t="s">
        <v>299</v>
      </c>
      <c r="O6043">
        <v>250124</v>
      </c>
      <c r="P6043">
        <v>782.63</v>
      </c>
    </row>
    <row r="6044" spans="1:16" x14ac:dyDescent="0.25">
      <c r="A6044" t="s">
        <v>3296</v>
      </c>
      <c r="B6044" t="s">
        <v>2931</v>
      </c>
      <c r="C6044">
        <v>593</v>
      </c>
      <c r="D6044" t="str">
        <f>"2560046526  "</f>
        <v xml:space="preserve">2560046526  </v>
      </c>
      <c r="E6044" t="s">
        <v>277</v>
      </c>
      <c r="F6044" t="s">
        <v>279</v>
      </c>
      <c r="G6044">
        <v>2585.4899999999998</v>
      </c>
      <c r="H6044">
        <v>250120</v>
      </c>
      <c r="I6044">
        <v>4520</v>
      </c>
      <c r="J6044" t="s">
        <v>280</v>
      </c>
      <c r="K6044">
        <v>3176</v>
      </c>
      <c r="L6044">
        <v>317.52</v>
      </c>
      <c r="M6044">
        <v>59113</v>
      </c>
      <c r="N6044" t="s">
        <v>61</v>
      </c>
      <c r="O6044">
        <v>250124</v>
      </c>
      <c r="P6044">
        <v>2267.9699999999998</v>
      </c>
    </row>
    <row r="6045" spans="1:16" x14ac:dyDescent="0.25">
      <c r="A6045" t="s">
        <v>3296</v>
      </c>
      <c r="B6045" t="s">
        <v>2931</v>
      </c>
      <c r="C6045">
        <v>593</v>
      </c>
      <c r="D6045" t="str">
        <f>"2560046526  "</f>
        <v xml:space="preserve">2560046526  </v>
      </c>
      <c r="E6045" t="s">
        <v>277</v>
      </c>
      <c r="F6045" t="s">
        <v>279</v>
      </c>
      <c r="G6045">
        <v>456.26</v>
      </c>
      <c r="H6045">
        <v>250120</v>
      </c>
      <c r="I6045">
        <v>4520</v>
      </c>
      <c r="J6045" t="s">
        <v>280</v>
      </c>
      <c r="K6045">
        <v>3176</v>
      </c>
      <c r="L6045">
        <v>56.03</v>
      </c>
      <c r="M6045">
        <v>59803</v>
      </c>
      <c r="N6045" t="s">
        <v>282</v>
      </c>
      <c r="O6045">
        <v>250124</v>
      </c>
      <c r="P6045">
        <v>400.23</v>
      </c>
    </row>
    <row r="6046" spans="1:16" x14ac:dyDescent="0.25">
      <c r="A6046" t="s">
        <v>3296</v>
      </c>
      <c r="B6046" t="s">
        <v>2931</v>
      </c>
      <c r="C6046">
        <v>633</v>
      </c>
      <c r="D6046" t="str">
        <f t="shared" ref="D6046:D6059" si="100">"2560046532  "</f>
        <v xml:space="preserve">2560046532  </v>
      </c>
      <c r="E6046" t="s">
        <v>277</v>
      </c>
      <c r="F6046" t="s">
        <v>279</v>
      </c>
      <c r="G6046">
        <v>9.0399999999999991</v>
      </c>
      <c r="H6046">
        <v>250120</v>
      </c>
      <c r="I6046">
        <v>4520</v>
      </c>
      <c r="J6046" t="s">
        <v>280</v>
      </c>
      <c r="K6046">
        <v>8769.49</v>
      </c>
      <c r="L6046">
        <v>1.84</v>
      </c>
      <c r="M6046">
        <v>14422</v>
      </c>
      <c r="N6046" t="s">
        <v>73</v>
      </c>
      <c r="O6046">
        <v>250124</v>
      </c>
      <c r="P6046">
        <v>7.2</v>
      </c>
    </row>
    <row r="6047" spans="1:16" x14ac:dyDescent="0.25">
      <c r="A6047" t="s">
        <v>3296</v>
      </c>
      <c r="B6047" t="s">
        <v>2931</v>
      </c>
      <c r="C6047">
        <v>633</v>
      </c>
      <c r="D6047" t="str">
        <f t="shared" si="100"/>
        <v xml:space="preserve">2560046532  </v>
      </c>
      <c r="E6047" t="s">
        <v>277</v>
      </c>
      <c r="F6047" t="s">
        <v>279</v>
      </c>
      <c r="G6047">
        <v>67.72</v>
      </c>
      <c r="H6047">
        <v>250120</v>
      </c>
      <c r="I6047">
        <v>4520</v>
      </c>
      <c r="J6047" t="s">
        <v>280</v>
      </c>
      <c r="K6047">
        <v>8769.49</v>
      </c>
      <c r="L6047">
        <v>8.32</v>
      </c>
      <c r="M6047">
        <v>14422</v>
      </c>
      <c r="N6047" t="s">
        <v>73</v>
      </c>
      <c r="O6047">
        <v>250124</v>
      </c>
      <c r="P6047">
        <v>59.4</v>
      </c>
    </row>
    <row r="6048" spans="1:16" x14ac:dyDescent="0.25">
      <c r="A6048" t="s">
        <v>3296</v>
      </c>
      <c r="B6048" t="s">
        <v>2931</v>
      </c>
      <c r="C6048">
        <v>633</v>
      </c>
      <c r="D6048" t="str">
        <f t="shared" si="100"/>
        <v xml:space="preserve">2560046532  </v>
      </c>
      <c r="E6048" t="s">
        <v>277</v>
      </c>
      <c r="F6048" t="s">
        <v>279</v>
      </c>
      <c r="G6048">
        <v>36.15</v>
      </c>
      <c r="H6048">
        <v>250120</v>
      </c>
      <c r="I6048">
        <v>4520</v>
      </c>
      <c r="J6048" t="s">
        <v>280</v>
      </c>
      <c r="K6048">
        <v>8769.49</v>
      </c>
      <c r="L6048">
        <v>7.35</v>
      </c>
      <c r="M6048">
        <v>14431</v>
      </c>
      <c r="N6048" t="s">
        <v>74</v>
      </c>
      <c r="O6048">
        <v>250124</v>
      </c>
      <c r="P6048">
        <v>28.8</v>
      </c>
    </row>
    <row r="6049" spans="1:16" x14ac:dyDescent="0.25">
      <c r="A6049" t="s">
        <v>3296</v>
      </c>
      <c r="B6049" t="s">
        <v>2931</v>
      </c>
      <c r="C6049">
        <v>633</v>
      </c>
      <c r="D6049" t="str">
        <f t="shared" si="100"/>
        <v xml:space="preserve">2560046532  </v>
      </c>
      <c r="E6049" t="s">
        <v>277</v>
      </c>
      <c r="F6049" t="s">
        <v>279</v>
      </c>
      <c r="G6049">
        <v>270.88</v>
      </c>
      <c r="H6049">
        <v>250120</v>
      </c>
      <c r="I6049">
        <v>4520</v>
      </c>
      <c r="J6049" t="s">
        <v>280</v>
      </c>
      <c r="K6049">
        <v>8769.49</v>
      </c>
      <c r="L6049">
        <v>33.270000000000003</v>
      </c>
      <c r="M6049">
        <v>14431</v>
      </c>
      <c r="N6049" t="s">
        <v>74</v>
      </c>
      <c r="O6049">
        <v>250124</v>
      </c>
      <c r="P6049">
        <v>237.61</v>
      </c>
    </row>
    <row r="6050" spans="1:16" x14ac:dyDescent="0.25">
      <c r="A6050" t="s">
        <v>3296</v>
      </c>
      <c r="B6050" t="s">
        <v>2931</v>
      </c>
      <c r="C6050">
        <v>633</v>
      </c>
      <c r="D6050" t="str">
        <f t="shared" si="100"/>
        <v xml:space="preserve">2560046532  </v>
      </c>
      <c r="E6050" t="s">
        <v>277</v>
      </c>
      <c r="F6050" t="s">
        <v>279</v>
      </c>
      <c r="G6050">
        <v>153.65</v>
      </c>
      <c r="H6050">
        <v>250120</v>
      </c>
      <c r="I6050">
        <v>4520</v>
      </c>
      <c r="J6050" t="s">
        <v>280</v>
      </c>
      <c r="K6050">
        <v>8769.49</v>
      </c>
      <c r="L6050">
        <v>31.22</v>
      </c>
      <c r="M6050">
        <v>14432</v>
      </c>
      <c r="N6050" t="s">
        <v>75</v>
      </c>
      <c r="O6050">
        <v>250124</v>
      </c>
      <c r="P6050">
        <v>122.43</v>
      </c>
    </row>
    <row r="6051" spans="1:16" x14ac:dyDescent="0.25">
      <c r="A6051" t="s">
        <v>3296</v>
      </c>
      <c r="B6051" t="s">
        <v>2931</v>
      </c>
      <c r="C6051">
        <v>633</v>
      </c>
      <c r="D6051" t="str">
        <f t="shared" si="100"/>
        <v xml:space="preserve">2560046532  </v>
      </c>
      <c r="E6051" t="s">
        <v>277</v>
      </c>
      <c r="F6051" t="s">
        <v>279</v>
      </c>
      <c r="G6051">
        <v>1151.24</v>
      </c>
      <c r="H6051">
        <v>250120</v>
      </c>
      <c r="I6051">
        <v>4520</v>
      </c>
      <c r="J6051" t="s">
        <v>280</v>
      </c>
      <c r="K6051">
        <v>8769.49</v>
      </c>
      <c r="L6051">
        <v>141.38</v>
      </c>
      <c r="M6051">
        <v>14432</v>
      </c>
      <c r="N6051" t="s">
        <v>75</v>
      </c>
      <c r="O6051">
        <v>250124</v>
      </c>
      <c r="P6051">
        <v>1009.86</v>
      </c>
    </row>
    <row r="6052" spans="1:16" x14ac:dyDescent="0.25">
      <c r="A6052" t="s">
        <v>3296</v>
      </c>
      <c r="B6052" t="s">
        <v>2931</v>
      </c>
      <c r="C6052">
        <v>633</v>
      </c>
      <c r="D6052" t="str">
        <f t="shared" si="100"/>
        <v xml:space="preserve">2560046532  </v>
      </c>
      <c r="E6052" t="s">
        <v>277</v>
      </c>
      <c r="F6052" t="s">
        <v>279</v>
      </c>
      <c r="G6052">
        <v>9.0399999999999991</v>
      </c>
      <c r="H6052">
        <v>250120</v>
      </c>
      <c r="I6052">
        <v>4520</v>
      </c>
      <c r="J6052" t="s">
        <v>280</v>
      </c>
      <c r="K6052">
        <v>8769.49</v>
      </c>
      <c r="L6052">
        <v>1.84</v>
      </c>
      <c r="M6052">
        <v>14640</v>
      </c>
      <c r="N6052" t="s">
        <v>78</v>
      </c>
      <c r="O6052">
        <v>250124</v>
      </c>
      <c r="P6052">
        <v>7.2</v>
      </c>
    </row>
    <row r="6053" spans="1:16" x14ac:dyDescent="0.25">
      <c r="A6053" t="s">
        <v>3296</v>
      </c>
      <c r="B6053" t="s">
        <v>2931</v>
      </c>
      <c r="C6053">
        <v>633</v>
      </c>
      <c r="D6053" t="str">
        <f t="shared" si="100"/>
        <v xml:space="preserve">2560046532  </v>
      </c>
      <c r="E6053" t="s">
        <v>277</v>
      </c>
      <c r="F6053" t="s">
        <v>279</v>
      </c>
      <c r="G6053">
        <v>67.709999999999994</v>
      </c>
      <c r="H6053">
        <v>250120</v>
      </c>
      <c r="I6053">
        <v>4520</v>
      </c>
      <c r="J6053" t="s">
        <v>280</v>
      </c>
      <c r="K6053">
        <v>8769.49</v>
      </c>
      <c r="L6053">
        <v>8.32</v>
      </c>
      <c r="M6053">
        <v>14640</v>
      </c>
      <c r="N6053" t="s">
        <v>78</v>
      </c>
      <c r="O6053">
        <v>250124</v>
      </c>
      <c r="P6053">
        <v>59.39</v>
      </c>
    </row>
    <row r="6054" spans="1:16" x14ac:dyDescent="0.25">
      <c r="A6054" t="s">
        <v>3296</v>
      </c>
      <c r="B6054" t="s">
        <v>2931</v>
      </c>
      <c r="C6054">
        <v>633</v>
      </c>
      <c r="D6054" t="str">
        <f t="shared" si="100"/>
        <v xml:space="preserve">2560046532  </v>
      </c>
      <c r="E6054" t="s">
        <v>277</v>
      </c>
      <c r="F6054" t="s">
        <v>279</v>
      </c>
      <c r="G6054">
        <v>36.15</v>
      </c>
      <c r="H6054">
        <v>250120</v>
      </c>
      <c r="I6054">
        <v>4520</v>
      </c>
      <c r="J6054" t="s">
        <v>280</v>
      </c>
      <c r="K6054">
        <v>8769.49</v>
      </c>
      <c r="L6054">
        <v>7.35</v>
      </c>
      <c r="M6054">
        <v>14642</v>
      </c>
      <c r="N6054" t="s">
        <v>283</v>
      </c>
      <c r="O6054">
        <v>250124</v>
      </c>
      <c r="P6054">
        <v>28.8</v>
      </c>
    </row>
    <row r="6055" spans="1:16" x14ac:dyDescent="0.25">
      <c r="A6055" t="s">
        <v>3296</v>
      </c>
      <c r="B6055" t="s">
        <v>2931</v>
      </c>
      <c r="C6055">
        <v>633</v>
      </c>
      <c r="D6055" t="str">
        <f t="shared" si="100"/>
        <v xml:space="preserve">2560046532  </v>
      </c>
      <c r="E6055" t="s">
        <v>277</v>
      </c>
      <c r="F6055" t="s">
        <v>279</v>
      </c>
      <c r="G6055">
        <v>270.88</v>
      </c>
      <c r="H6055">
        <v>250120</v>
      </c>
      <c r="I6055">
        <v>4520</v>
      </c>
      <c r="J6055" t="s">
        <v>280</v>
      </c>
      <c r="K6055">
        <v>8769.49</v>
      </c>
      <c r="L6055">
        <v>33.270000000000003</v>
      </c>
      <c r="M6055">
        <v>14642</v>
      </c>
      <c r="N6055" t="s">
        <v>283</v>
      </c>
      <c r="O6055">
        <v>250124</v>
      </c>
      <c r="P6055">
        <v>237.61</v>
      </c>
    </row>
    <row r="6056" spans="1:16" x14ac:dyDescent="0.25">
      <c r="A6056" t="s">
        <v>3296</v>
      </c>
      <c r="B6056" t="s">
        <v>2931</v>
      </c>
      <c r="C6056">
        <v>633</v>
      </c>
      <c r="D6056" t="str">
        <f t="shared" si="100"/>
        <v xml:space="preserve">2560046532  </v>
      </c>
      <c r="E6056" t="s">
        <v>277</v>
      </c>
      <c r="F6056" t="s">
        <v>279</v>
      </c>
      <c r="G6056">
        <v>659.78</v>
      </c>
      <c r="H6056">
        <v>250120</v>
      </c>
      <c r="I6056">
        <v>4520</v>
      </c>
      <c r="J6056" t="s">
        <v>280</v>
      </c>
      <c r="K6056">
        <v>8769.49</v>
      </c>
      <c r="L6056">
        <v>134.06</v>
      </c>
      <c r="M6056">
        <v>14912</v>
      </c>
      <c r="N6056" t="s">
        <v>80</v>
      </c>
      <c r="O6056">
        <v>250124</v>
      </c>
      <c r="P6056">
        <v>525.72</v>
      </c>
    </row>
    <row r="6057" spans="1:16" x14ac:dyDescent="0.25">
      <c r="A6057" t="s">
        <v>3296</v>
      </c>
      <c r="B6057" t="s">
        <v>2931</v>
      </c>
      <c r="C6057">
        <v>633</v>
      </c>
      <c r="D6057" t="str">
        <f t="shared" si="100"/>
        <v xml:space="preserve">2560046532  </v>
      </c>
      <c r="E6057" t="s">
        <v>277</v>
      </c>
      <c r="F6057" t="s">
        <v>279</v>
      </c>
      <c r="G6057">
        <v>4943.55</v>
      </c>
      <c r="H6057">
        <v>250120</v>
      </c>
      <c r="I6057">
        <v>4520</v>
      </c>
      <c r="J6057" t="s">
        <v>280</v>
      </c>
      <c r="K6057">
        <v>8769.49</v>
      </c>
      <c r="L6057">
        <v>607.1</v>
      </c>
      <c r="M6057">
        <v>14912</v>
      </c>
      <c r="N6057" t="s">
        <v>80</v>
      </c>
      <c r="O6057">
        <v>250124</v>
      </c>
      <c r="P6057">
        <v>4336.45</v>
      </c>
    </row>
    <row r="6058" spans="1:16" x14ac:dyDescent="0.25">
      <c r="A6058" t="s">
        <v>3296</v>
      </c>
      <c r="B6058" t="s">
        <v>2931</v>
      </c>
      <c r="C6058">
        <v>633</v>
      </c>
      <c r="D6058" t="str">
        <f t="shared" si="100"/>
        <v xml:space="preserve">2560046532  </v>
      </c>
      <c r="E6058" t="s">
        <v>277</v>
      </c>
      <c r="F6058" t="s">
        <v>279</v>
      </c>
      <c r="G6058">
        <v>505.38</v>
      </c>
      <c r="H6058">
        <v>250120</v>
      </c>
      <c r="I6058">
        <v>4520</v>
      </c>
      <c r="J6058" t="s">
        <v>280</v>
      </c>
      <c r="K6058">
        <v>8769.49</v>
      </c>
      <c r="L6058">
        <v>102.69</v>
      </c>
      <c r="M6058">
        <v>14972</v>
      </c>
      <c r="N6058" t="s">
        <v>82</v>
      </c>
      <c r="O6058">
        <v>250124</v>
      </c>
      <c r="P6058">
        <v>402.69</v>
      </c>
    </row>
    <row r="6059" spans="1:16" x14ac:dyDescent="0.25">
      <c r="A6059" t="s">
        <v>3296</v>
      </c>
      <c r="B6059" t="s">
        <v>2931</v>
      </c>
      <c r="C6059">
        <v>633</v>
      </c>
      <c r="D6059" t="str">
        <f t="shared" si="100"/>
        <v xml:space="preserve">2560046532  </v>
      </c>
      <c r="E6059" t="s">
        <v>277</v>
      </c>
      <c r="F6059" t="s">
        <v>279</v>
      </c>
      <c r="G6059">
        <v>588.32000000000005</v>
      </c>
      <c r="H6059">
        <v>250120</v>
      </c>
      <c r="I6059">
        <v>4520</v>
      </c>
      <c r="J6059" t="s">
        <v>280</v>
      </c>
      <c r="K6059">
        <v>8769.49</v>
      </c>
      <c r="L6059">
        <v>72.25</v>
      </c>
      <c r="M6059">
        <v>14972</v>
      </c>
      <c r="N6059" t="s">
        <v>82</v>
      </c>
      <c r="O6059">
        <v>250124</v>
      </c>
      <c r="P6059">
        <v>516.07000000000005</v>
      </c>
    </row>
    <row r="6060" spans="1:16" x14ac:dyDescent="0.25">
      <c r="A6060" t="s">
        <v>3296</v>
      </c>
      <c r="B6060" t="s">
        <v>2931</v>
      </c>
      <c r="C6060">
        <v>659</v>
      </c>
      <c r="D6060" t="str">
        <f>"2560046534  "</f>
        <v xml:space="preserve">2560046534  </v>
      </c>
      <c r="E6060" t="s">
        <v>277</v>
      </c>
      <c r="F6060" t="s">
        <v>279</v>
      </c>
      <c r="G6060">
        <v>1378.5</v>
      </c>
      <c r="H6060">
        <v>250120</v>
      </c>
      <c r="I6060">
        <v>4520</v>
      </c>
      <c r="J6060" t="s">
        <v>280</v>
      </c>
      <c r="K6060">
        <v>1556.77</v>
      </c>
      <c r="L6060">
        <v>169.29</v>
      </c>
      <c r="M6060">
        <v>69112</v>
      </c>
      <c r="N6060" t="s">
        <v>227</v>
      </c>
      <c r="O6060">
        <v>250127</v>
      </c>
      <c r="P6060">
        <v>1209.21</v>
      </c>
    </row>
    <row r="6061" spans="1:16" x14ac:dyDescent="0.25">
      <c r="A6061" t="s">
        <v>3296</v>
      </c>
      <c r="B6061" t="s">
        <v>2931</v>
      </c>
      <c r="C6061">
        <v>659</v>
      </c>
      <c r="D6061" t="str">
        <f>"2560046534  "</f>
        <v xml:space="preserve">2560046534  </v>
      </c>
      <c r="E6061" t="s">
        <v>277</v>
      </c>
      <c r="F6061" t="s">
        <v>279</v>
      </c>
      <c r="G6061">
        <v>76.58</v>
      </c>
      <c r="H6061">
        <v>250120</v>
      </c>
      <c r="I6061">
        <v>4520</v>
      </c>
      <c r="J6061" t="s">
        <v>280</v>
      </c>
      <c r="K6061">
        <v>1556.77</v>
      </c>
      <c r="L6061">
        <v>9.4</v>
      </c>
      <c r="M6061">
        <v>69810</v>
      </c>
      <c r="N6061" t="s">
        <v>229</v>
      </c>
      <c r="O6061">
        <v>250127</v>
      </c>
      <c r="P6061">
        <v>67.180000000000007</v>
      </c>
    </row>
    <row r="6062" spans="1:16" x14ac:dyDescent="0.25">
      <c r="A6062" t="s">
        <v>3296</v>
      </c>
      <c r="B6062" t="s">
        <v>2931</v>
      </c>
      <c r="C6062">
        <v>659</v>
      </c>
      <c r="D6062" t="str">
        <f>"2560046534  "</f>
        <v xml:space="preserve">2560046534  </v>
      </c>
      <c r="E6062" t="s">
        <v>277</v>
      </c>
      <c r="F6062" t="s">
        <v>279</v>
      </c>
      <c r="G6062">
        <v>76.59</v>
      </c>
      <c r="H6062">
        <v>250120</v>
      </c>
      <c r="I6062">
        <v>4520</v>
      </c>
      <c r="J6062" t="s">
        <v>280</v>
      </c>
      <c r="K6062">
        <v>1556.77</v>
      </c>
      <c r="L6062">
        <v>9.41</v>
      </c>
      <c r="M6062">
        <v>69811</v>
      </c>
      <c r="N6062" t="s">
        <v>230</v>
      </c>
      <c r="O6062">
        <v>250127</v>
      </c>
      <c r="P6062">
        <v>67.180000000000007</v>
      </c>
    </row>
    <row r="6063" spans="1:16" x14ac:dyDescent="0.25">
      <c r="A6063" t="s">
        <v>3296</v>
      </c>
      <c r="B6063" t="s">
        <v>2931</v>
      </c>
      <c r="C6063">
        <v>667</v>
      </c>
      <c r="D6063" t="str">
        <f t="shared" ref="D6063:D6068" si="101">"2560046531  "</f>
        <v xml:space="preserve">2560046531  </v>
      </c>
      <c r="E6063" t="s">
        <v>277</v>
      </c>
      <c r="F6063" t="s">
        <v>279</v>
      </c>
      <c r="G6063">
        <v>280</v>
      </c>
      <c r="H6063">
        <v>250120</v>
      </c>
      <c r="I6063">
        <v>4520</v>
      </c>
      <c r="J6063" t="s">
        <v>280</v>
      </c>
      <c r="K6063">
        <v>4870.6000000000004</v>
      </c>
      <c r="L6063">
        <v>34.39</v>
      </c>
      <c r="M6063">
        <v>16431</v>
      </c>
      <c r="N6063" t="s">
        <v>17</v>
      </c>
      <c r="O6063">
        <v>250127</v>
      </c>
      <c r="P6063">
        <v>245.61</v>
      </c>
    </row>
    <row r="6064" spans="1:16" x14ac:dyDescent="0.25">
      <c r="A6064" t="s">
        <v>3296</v>
      </c>
      <c r="B6064" t="s">
        <v>2931</v>
      </c>
      <c r="C6064">
        <v>667</v>
      </c>
      <c r="D6064" t="str">
        <f t="shared" si="101"/>
        <v xml:space="preserve">2560046531  </v>
      </c>
      <c r="E6064" t="s">
        <v>277</v>
      </c>
      <c r="F6064" t="s">
        <v>279</v>
      </c>
      <c r="G6064">
        <v>158.6</v>
      </c>
      <c r="H6064">
        <v>250120</v>
      </c>
      <c r="I6064">
        <v>4520</v>
      </c>
      <c r="J6064" t="s">
        <v>280</v>
      </c>
      <c r="K6064">
        <v>4870.6000000000004</v>
      </c>
      <c r="L6064">
        <v>19.48</v>
      </c>
      <c r="M6064">
        <v>16442</v>
      </c>
      <c r="N6064" t="s">
        <v>304</v>
      </c>
      <c r="O6064">
        <v>250127</v>
      </c>
      <c r="P6064">
        <v>139.12</v>
      </c>
    </row>
    <row r="6065" spans="1:16" x14ac:dyDescent="0.25">
      <c r="A6065" t="s">
        <v>3296</v>
      </c>
      <c r="B6065" t="s">
        <v>2931</v>
      </c>
      <c r="C6065">
        <v>667</v>
      </c>
      <c r="D6065" t="str">
        <f t="shared" si="101"/>
        <v xml:space="preserve">2560046531  </v>
      </c>
      <c r="E6065" t="s">
        <v>277</v>
      </c>
      <c r="F6065" t="s">
        <v>279</v>
      </c>
      <c r="G6065">
        <v>55.17</v>
      </c>
      <c r="H6065">
        <v>250120</v>
      </c>
      <c r="I6065">
        <v>4520</v>
      </c>
      <c r="J6065" t="s">
        <v>280</v>
      </c>
      <c r="K6065">
        <v>4870.6000000000004</v>
      </c>
      <c r="L6065">
        <v>11.21</v>
      </c>
      <c r="M6065">
        <v>17913</v>
      </c>
      <c r="N6065" t="s">
        <v>26</v>
      </c>
      <c r="O6065">
        <v>250127</v>
      </c>
      <c r="P6065">
        <v>43.96</v>
      </c>
    </row>
    <row r="6066" spans="1:16" x14ac:dyDescent="0.25">
      <c r="A6066" t="s">
        <v>3296</v>
      </c>
      <c r="B6066" t="s">
        <v>2931</v>
      </c>
      <c r="C6066">
        <v>667</v>
      </c>
      <c r="D6066" t="str">
        <f t="shared" si="101"/>
        <v xml:space="preserve">2560046531  </v>
      </c>
      <c r="E6066" t="s">
        <v>277</v>
      </c>
      <c r="F6066" t="s">
        <v>279</v>
      </c>
      <c r="G6066">
        <v>3596.83</v>
      </c>
      <c r="H6066">
        <v>250120</v>
      </c>
      <c r="I6066">
        <v>4520</v>
      </c>
      <c r="J6066" t="s">
        <v>280</v>
      </c>
      <c r="K6066">
        <v>4870.6000000000004</v>
      </c>
      <c r="L6066">
        <v>441.72</v>
      </c>
      <c r="M6066">
        <v>17913</v>
      </c>
      <c r="N6066" t="s">
        <v>26</v>
      </c>
      <c r="O6066">
        <v>250127</v>
      </c>
      <c r="P6066">
        <v>3155.11</v>
      </c>
    </row>
    <row r="6067" spans="1:16" x14ac:dyDescent="0.25">
      <c r="A6067" t="s">
        <v>3296</v>
      </c>
      <c r="B6067" t="s">
        <v>2931</v>
      </c>
      <c r="C6067">
        <v>667</v>
      </c>
      <c r="D6067" t="str">
        <f t="shared" si="101"/>
        <v xml:space="preserve">2560046531  </v>
      </c>
      <c r="E6067" t="s">
        <v>277</v>
      </c>
      <c r="F6067" t="s">
        <v>279</v>
      </c>
      <c r="G6067">
        <v>430</v>
      </c>
      <c r="H6067">
        <v>250120</v>
      </c>
      <c r="I6067">
        <v>4520</v>
      </c>
      <c r="J6067" t="s">
        <v>280</v>
      </c>
      <c r="K6067">
        <v>4870.6000000000004</v>
      </c>
      <c r="L6067">
        <v>52.81</v>
      </c>
      <c r="M6067">
        <v>17982</v>
      </c>
      <c r="N6067" t="s">
        <v>281</v>
      </c>
      <c r="O6067">
        <v>250127</v>
      </c>
      <c r="P6067">
        <v>377.19</v>
      </c>
    </row>
    <row r="6068" spans="1:16" x14ac:dyDescent="0.25">
      <c r="A6068" t="s">
        <v>3296</v>
      </c>
      <c r="B6068" t="s">
        <v>2931</v>
      </c>
      <c r="C6068">
        <v>667</v>
      </c>
      <c r="D6068" t="str">
        <f t="shared" si="101"/>
        <v xml:space="preserve">2560046531  </v>
      </c>
      <c r="E6068" t="s">
        <v>277</v>
      </c>
      <c r="F6068" t="s">
        <v>279</v>
      </c>
      <c r="G6068">
        <v>350</v>
      </c>
      <c r="H6068">
        <v>250120</v>
      </c>
      <c r="I6068">
        <v>4520</v>
      </c>
      <c r="J6068" t="s">
        <v>280</v>
      </c>
      <c r="K6068">
        <v>4870.6000000000004</v>
      </c>
      <c r="L6068">
        <v>42.98</v>
      </c>
      <c r="M6068">
        <v>17984</v>
      </c>
      <c r="N6068" t="s">
        <v>655</v>
      </c>
      <c r="O6068">
        <v>250127</v>
      </c>
      <c r="P6068">
        <v>307.02</v>
      </c>
    </row>
    <row r="6069" spans="1:16" x14ac:dyDescent="0.25">
      <c r="A6069" t="s">
        <v>3296</v>
      </c>
      <c r="B6069" t="s">
        <v>2931</v>
      </c>
      <c r="C6069">
        <v>735</v>
      </c>
      <c r="D6069" t="str">
        <f>"2560065450  "</f>
        <v xml:space="preserve">2560065450  </v>
      </c>
      <c r="E6069" t="s">
        <v>277</v>
      </c>
      <c r="F6069" t="s">
        <v>279</v>
      </c>
      <c r="G6069">
        <v>706.59</v>
      </c>
      <c r="H6069">
        <v>250127</v>
      </c>
      <c r="I6069">
        <v>4520</v>
      </c>
      <c r="J6069" t="s">
        <v>280</v>
      </c>
      <c r="K6069">
        <v>843.03</v>
      </c>
      <c r="L6069">
        <v>86.77</v>
      </c>
      <c r="M6069">
        <v>59114</v>
      </c>
      <c r="N6069" t="s">
        <v>299</v>
      </c>
      <c r="O6069">
        <v>250128</v>
      </c>
      <c r="P6069">
        <v>619.82000000000005</v>
      </c>
    </row>
    <row r="6070" spans="1:16" x14ac:dyDescent="0.25">
      <c r="A6070" t="s">
        <v>3296</v>
      </c>
      <c r="B6070" t="s">
        <v>2931</v>
      </c>
      <c r="C6070">
        <v>735</v>
      </c>
      <c r="D6070" t="str">
        <f>"2560065450  "</f>
        <v xml:space="preserve">2560065450  </v>
      </c>
      <c r="E6070" t="s">
        <v>277</v>
      </c>
      <c r="F6070" t="s">
        <v>279</v>
      </c>
      <c r="G6070">
        <v>78.510000000000005</v>
      </c>
      <c r="H6070">
        <v>250127</v>
      </c>
      <c r="I6070">
        <v>4520</v>
      </c>
      <c r="J6070" t="s">
        <v>280</v>
      </c>
      <c r="K6070">
        <v>843.03</v>
      </c>
      <c r="L6070">
        <v>9.64</v>
      </c>
      <c r="M6070">
        <v>59808</v>
      </c>
      <c r="N6070" t="s">
        <v>699</v>
      </c>
      <c r="O6070">
        <v>250128</v>
      </c>
      <c r="P6070">
        <v>68.87</v>
      </c>
    </row>
    <row r="6071" spans="1:16" x14ac:dyDescent="0.25">
      <c r="A6071" t="s">
        <v>3296</v>
      </c>
      <c r="B6071" t="s">
        <v>2931</v>
      </c>
      <c r="C6071">
        <v>737</v>
      </c>
      <c r="D6071" t="str">
        <f>"2560065451  "</f>
        <v xml:space="preserve">2560065451  </v>
      </c>
      <c r="E6071" t="s">
        <v>277</v>
      </c>
      <c r="F6071" t="s">
        <v>279</v>
      </c>
      <c r="G6071">
        <v>410</v>
      </c>
      <c r="H6071">
        <v>250127</v>
      </c>
      <c r="I6071">
        <v>4520</v>
      </c>
      <c r="J6071" t="s">
        <v>280</v>
      </c>
      <c r="K6071">
        <v>2415.15</v>
      </c>
      <c r="L6071">
        <v>50.35</v>
      </c>
      <c r="M6071">
        <v>54422</v>
      </c>
      <c r="N6071" t="s">
        <v>49</v>
      </c>
      <c r="O6071">
        <v>250128</v>
      </c>
      <c r="P6071">
        <v>359.65</v>
      </c>
    </row>
    <row r="6072" spans="1:16" x14ac:dyDescent="0.25">
      <c r="A6072" t="s">
        <v>3296</v>
      </c>
      <c r="B6072" t="s">
        <v>2931</v>
      </c>
      <c r="C6072">
        <v>737</v>
      </c>
      <c r="D6072" t="str">
        <f>"2560065451  "</f>
        <v xml:space="preserve">2560065451  </v>
      </c>
      <c r="E6072" t="s">
        <v>277</v>
      </c>
      <c r="F6072" t="s">
        <v>279</v>
      </c>
      <c r="G6072">
        <v>1505.85</v>
      </c>
      <c r="H6072">
        <v>250127</v>
      </c>
      <c r="I6072">
        <v>4520</v>
      </c>
      <c r="J6072" t="s">
        <v>280</v>
      </c>
      <c r="K6072">
        <v>2415.15</v>
      </c>
      <c r="L6072">
        <v>184.93</v>
      </c>
      <c r="M6072">
        <v>54451</v>
      </c>
      <c r="N6072" t="s">
        <v>218</v>
      </c>
      <c r="O6072">
        <v>250128</v>
      </c>
      <c r="P6072">
        <v>1320.92</v>
      </c>
    </row>
    <row r="6073" spans="1:16" x14ac:dyDescent="0.25">
      <c r="A6073" t="s">
        <v>3296</v>
      </c>
      <c r="B6073" t="s">
        <v>2931</v>
      </c>
      <c r="C6073">
        <v>740</v>
      </c>
      <c r="D6073" t="str">
        <f>"2560065452  "</f>
        <v xml:space="preserve">2560065452  </v>
      </c>
      <c r="E6073" t="s">
        <v>277</v>
      </c>
      <c r="F6073" t="s">
        <v>279</v>
      </c>
      <c r="G6073">
        <v>1611.91</v>
      </c>
      <c r="H6073">
        <v>250127</v>
      </c>
      <c r="I6073">
        <v>4520</v>
      </c>
      <c r="J6073" t="s">
        <v>280</v>
      </c>
      <c r="K6073">
        <v>2018.68</v>
      </c>
      <c r="L6073">
        <v>197.95</v>
      </c>
      <c r="M6073">
        <v>59113</v>
      </c>
      <c r="N6073" t="s">
        <v>61</v>
      </c>
      <c r="O6073">
        <v>250128</v>
      </c>
      <c r="P6073">
        <v>1413.96</v>
      </c>
    </row>
    <row r="6074" spans="1:16" x14ac:dyDescent="0.25">
      <c r="A6074" t="s">
        <v>3296</v>
      </c>
      <c r="B6074" t="s">
        <v>2931</v>
      </c>
      <c r="C6074">
        <v>740</v>
      </c>
      <c r="D6074" t="str">
        <f>"2560065452  "</f>
        <v xml:space="preserve">2560065452  </v>
      </c>
      <c r="E6074" t="s">
        <v>277</v>
      </c>
      <c r="F6074" t="s">
        <v>279</v>
      </c>
      <c r="G6074">
        <v>284.45</v>
      </c>
      <c r="H6074">
        <v>250127</v>
      </c>
      <c r="I6074">
        <v>4520</v>
      </c>
      <c r="J6074" t="s">
        <v>280</v>
      </c>
      <c r="K6074">
        <v>2018.68</v>
      </c>
      <c r="L6074">
        <v>34.93</v>
      </c>
      <c r="M6074">
        <v>59803</v>
      </c>
      <c r="N6074" t="s">
        <v>282</v>
      </c>
      <c r="O6074">
        <v>250128</v>
      </c>
      <c r="P6074">
        <v>249.52</v>
      </c>
    </row>
    <row r="6075" spans="1:16" x14ac:dyDescent="0.25">
      <c r="A6075" t="s">
        <v>3296</v>
      </c>
      <c r="B6075" t="s">
        <v>2931</v>
      </c>
      <c r="C6075">
        <v>764</v>
      </c>
      <c r="D6075" t="str">
        <f>"2560046530  "</f>
        <v xml:space="preserve">2560046530  </v>
      </c>
      <c r="E6075" t="s">
        <v>277</v>
      </c>
      <c r="F6075" t="s">
        <v>279</v>
      </c>
      <c r="G6075">
        <v>1062.5</v>
      </c>
      <c r="H6075">
        <v>250120</v>
      </c>
      <c r="I6075">
        <v>4520</v>
      </c>
      <c r="J6075" t="s">
        <v>280</v>
      </c>
      <c r="K6075">
        <v>1091.2</v>
      </c>
      <c r="L6075">
        <v>130.47999999999999</v>
      </c>
      <c r="M6075">
        <v>44222</v>
      </c>
      <c r="N6075" t="s">
        <v>96</v>
      </c>
      <c r="O6075">
        <v>250129</v>
      </c>
      <c r="P6075">
        <v>932.02</v>
      </c>
    </row>
    <row r="6076" spans="1:16" x14ac:dyDescent="0.25">
      <c r="A6076" t="s">
        <v>3296</v>
      </c>
      <c r="B6076" t="s">
        <v>2931</v>
      </c>
      <c r="C6076">
        <v>765</v>
      </c>
      <c r="D6076" t="str">
        <f>"2560046533  "</f>
        <v xml:space="preserve">2560046533  </v>
      </c>
      <c r="E6076" t="s">
        <v>277</v>
      </c>
      <c r="F6076" t="s">
        <v>279</v>
      </c>
      <c r="G6076">
        <v>428.25</v>
      </c>
      <c r="H6076">
        <v>250120</v>
      </c>
      <c r="I6076">
        <v>4520</v>
      </c>
      <c r="J6076" t="s">
        <v>280</v>
      </c>
      <c r="K6076">
        <v>428.25</v>
      </c>
      <c r="L6076">
        <v>52.59</v>
      </c>
      <c r="M6076">
        <v>44253</v>
      </c>
      <c r="N6076" t="s">
        <v>403</v>
      </c>
      <c r="O6076">
        <v>250129</v>
      </c>
      <c r="P6076">
        <v>375.66</v>
      </c>
    </row>
    <row r="6077" spans="1:16" x14ac:dyDescent="0.25">
      <c r="A6077" t="s">
        <v>3296</v>
      </c>
      <c r="B6077" t="s">
        <v>2931</v>
      </c>
      <c r="C6077">
        <v>826</v>
      </c>
      <c r="D6077" t="str">
        <f>"2560065453  "</f>
        <v xml:space="preserve">2560065453  </v>
      </c>
      <c r="E6077" t="s">
        <v>277</v>
      </c>
      <c r="F6077" t="s">
        <v>279</v>
      </c>
      <c r="G6077">
        <v>1475.81</v>
      </c>
      <c r="H6077">
        <v>250127</v>
      </c>
      <c r="I6077">
        <v>4520</v>
      </c>
      <c r="J6077" t="s">
        <v>280</v>
      </c>
      <c r="K6077">
        <v>1935.73</v>
      </c>
      <c r="L6077">
        <v>181.24</v>
      </c>
      <c r="M6077">
        <v>69113</v>
      </c>
      <c r="N6077" t="s">
        <v>122</v>
      </c>
      <c r="O6077">
        <v>250129</v>
      </c>
      <c r="P6077">
        <v>1294.57</v>
      </c>
    </row>
    <row r="6078" spans="1:16" x14ac:dyDescent="0.25">
      <c r="A6078" t="s">
        <v>3296</v>
      </c>
      <c r="B6078" t="s">
        <v>2931</v>
      </c>
      <c r="C6078">
        <v>826</v>
      </c>
      <c r="D6078" t="str">
        <f>"2560065453  "</f>
        <v xml:space="preserve">2560065453  </v>
      </c>
      <c r="E6078" t="s">
        <v>277</v>
      </c>
      <c r="F6078" t="s">
        <v>279</v>
      </c>
      <c r="G6078">
        <v>173.63</v>
      </c>
      <c r="H6078">
        <v>250127</v>
      </c>
      <c r="I6078">
        <v>4520</v>
      </c>
      <c r="J6078" t="s">
        <v>280</v>
      </c>
      <c r="K6078">
        <v>1935.73</v>
      </c>
      <c r="L6078">
        <v>21.32</v>
      </c>
      <c r="M6078">
        <v>69802</v>
      </c>
      <c r="N6078" t="s">
        <v>375</v>
      </c>
      <c r="O6078">
        <v>250129</v>
      </c>
      <c r="P6078">
        <v>152.31</v>
      </c>
    </row>
    <row r="6079" spans="1:16" x14ac:dyDescent="0.25">
      <c r="A6079" t="s">
        <v>3296</v>
      </c>
      <c r="B6079" t="s">
        <v>2931</v>
      </c>
      <c r="C6079">
        <v>826</v>
      </c>
      <c r="D6079" t="str">
        <f>"2560065453  "</f>
        <v xml:space="preserve">2560065453  </v>
      </c>
      <c r="E6079" t="s">
        <v>277</v>
      </c>
      <c r="F6079" t="s">
        <v>279</v>
      </c>
      <c r="G6079">
        <v>86.81</v>
      </c>
      <c r="H6079">
        <v>250127</v>
      </c>
      <c r="I6079">
        <v>4520</v>
      </c>
      <c r="J6079" t="s">
        <v>280</v>
      </c>
      <c r="K6079">
        <v>1935.73</v>
      </c>
      <c r="L6079">
        <v>10.66</v>
      </c>
      <c r="M6079">
        <v>69804</v>
      </c>
      <c r="N6079" t="s">
        <v>376</v>
      </c>
      <c r="O6079">
        <v>250129</v>
      </c>
      <c r="P6079">
        <v>76.150000000000006</v>
      </c>
    </row>
    <row r="6080" spans="1:16" x14ac:dyDescent="0.25">
      <c r="A6080" t="s">
        <v>3296</v>
      </c>
      <c r="B6080" t="s">
        <v>2931</v>
      </c>
      <c r="C6080">
        <v>827</v>
      </c>
      <c r="D6080" t="str">
        <f>"2560065460  "</f>
        <v xml:space="preserve">2560065460  </v>
      </c>
      <c r="E6080" t="s">
        <v>277</v>
      </c>
      <c r="F6080" t="s">
        <v>279</v>
      </c>
      <c r="G6080">
        <v>1180.06</v>
      </c>
      <c r="H6080">
        <v>250127</v>
      </c>
      <c r="I6080">
        <v>4520</v>
      </c>
      <c r="J6080" t="s">
        <v>280</v>
      </c>
      <c r="K6080">
        <v>1354.94</v>
      </c>
      <c r="L6080">
        <v>144.91999999999999</v>
      </c>
      <c r="M6080">
        <v>69112</v>
      </c>
      <c r="N6080" t="s">
        <v>227</v>
      </c>
      <c r="O6080">
        <v>250129</v>
      </c>
      <c r="P6080">
        <v>1035.1400000000001</v>
      </c>
    </row>
    <row r="6081" spans="1:16" x14ac:dyDescent="0.25">
      <c r="A6081" t="s">
        <v>3296</v>
      </c>
      <c r="B6081" t="s">
        <v>2931</v>
      </c>
      <c r="C6081">
        <v>827</v>
      </c>
      <c r="D6081" t="str">
        <f>"2560065460  "</f>
        <v xml:space="preserve">2560065460  </v>
      </c>
      <c r="E6081" t="s">
        <v>277</v>
      </c>
      <c r="F6081" t="s">
        <v>279</v>
      </c>
      <c r="G6081">
        <v>65.56</v>
      </c>
      <c r="H6081">
        <v>250127</v>
      </c>
      <c r="I6081">
        <v>4520</v>
      </c>
      <c r="J6081" t="s">
        <v>280</v>
      </c>
      <c r="K6081">
        <v>1354.94</v>
      </c>
      <c r="L6081">
        <v>8.0500000000000007</v>
      </c>
      <c r="M6081">
        <v>69810</v>
      </c>
      <c r="N6081" t="s">
        <v>229</v>
      </c>
      <c r="O6081">
        <v>250129</v>
      </c>
      <c r="P6081">
        <v>57.51</v>
      </c>
    </row>
    <row r="6082" spans="1:16" x14ac:dyDescent="0.25">
      <c r="A6082" t="s">
        <v>3296</v>
      </c>
      <c r="B6082" t="s">
        <v>2931</v>
      </c>
      <c r="C6082">
        <v>827</v>
      </c>
      <c r="D6082" t="str">
        <f>"2560065460  "</f>
        <v xml:space="preserve">2560065460  </v>
      </c>
      <c r="E6082" t="s">
        <v>277</v>
      </c>
      <c r="F6082" t="s">
        <v>279</v>
      </c>
      <c r="G6082">
        <v>65.56</v>
      </c>
      <c r="H6082">
        <v>250127</v>
      </c>
      <c r="I6082">
        <v>4520</v>
      </c>
      <c r="J6082" t="s">
        <v>280</v>
      </c>
      <c r="K6082">
        <v>1354.94</v>
      </c>
      <c r="L6082">
        <v>8.0500000000000007</v>
      </c>
      <c r="M6082">
        <v>69811</v>
      </c>
      <c r="N6082" t="s">
        <v>230</v>
      </c>
      <c r="O6082">
        <v>250129</v>
      </c>
      <c r="P6082">
        <v>57.51</v>
      </c>
    </row>
    <row r="6083" spans="1:16" x14ac:dyDescent="0.25">
      <c r="A6083" t="s">
        <v>3296</v>
      </c>
      <c r="B6083" t="s">
        <v>2931</v>
      </c>
      <c r="C6083">
        <v>909</v>
      </c>
      <c r="D6083" t="str">
        <f>"2560065457  "</f>
        <v xml:space="preserve">2560065457  </v>
      </c>
      <c r="E6083" t="s">
        <v>277</v>
      </c>
      <c r="F6083" t="s">
        <v>279</v>
      </c>
      <c r="G6083">
        <v>357.16</v>
      </c>
      <c r="H6083">
        <v>250127</v>
      </c>
      <c r="I6083">
        <v>4520</v>
      </c>
      <c r="J6083" t="s">
        <v>280</v>
      </c>
      <c r="K6083">
        <v>3911.11</v>
      </c>
      <c r="L6083">
        <v>43.86</v>
      </c>
      <c r="M6083">
        <v>16442</v>
      </c>
      <c r="N6083" t="s">
        <v>304</v>
      </c>
      <c r="O6083">
        <v>250131</v>
      </c>
      <c r="P6083">
        <v>313.3</v>
      </c>
    </row>
    <row r="6084" spans="1:16" x14ac:dyDescent="0.25">
      <c r="A6084" t="s">
        <v>3296</v>
      </c>
      <c r="B6084" t="s">
        <v>2931</v>
      </c>
      <c r="C6084">
        <v>909</v>
      </c>
      <c r="D6084" t="str">
        <f>"2560065457  "</f>
        <v xml:space="preserve">2560065457  </v>
      </c>
      <c r="E6084" t="s">
        <v>277</v>
      </c>
      <c r="F6084" t="s">
        <v>279</v>
      </c>
      <c r="G6084">
        <v>-12.55</v>
      </c>
      <c r="H6084">
        <v>250127</v>
      </c>
      <c r="I6084">
        <v>4520</v>
      </c>
      <c r="J6084" t="s">
        <v>280</v>
      </c>
      <c r="K6084">
        <v>3911.11</v>
      </c>
      <c r="L6084">
        <v>-2.5499999999999998</v>
      </c>
      <c r="M6084">
        <v>17913</v>
      </c>
      <c r="N6084" t="s">
        <v>26</v>
      </c>
      <c r="O6084">
        <v>250131</v>
      </c>
      <c r="P6084">
        <v>-10</v>
      </c>
    </row>
    <row r="6085" spans="1:16" x14ac:dyDescent="0.25">
      <c r="A6085" t="s">
        <v>3296</v>
      </c>
      <c r="B6085" t="s">
        <v>2931</v>
      </c>
      <c r="C6085">
        <v>909</v>
      </c>
      <c r="D6085" t="str">
        <f>"2560065457  "</f>
        <v xml:space="preserve">2560065457  </v>
      </c>
      <c r="E6085" t="s">
        <v>277</v>
      </c>
      <c r="F6085" t="s">
        <v>279</v>
      </c>
      <c r="G6085">
        <v>3174.1</v>
      </c>
      <c r="H6085">
        <v>250127</v>
      </c>
      <c r="I6085">
        <v>4520</v>
      </c>
      <c r="J6085" t="s">
        <v>280</v>
      </c>
      <c r="K6085">
        <v>3911.11</v>
      </c>
      <c r="L6085">
        <v>389.8</v>
      </c>
      <c r="M6085">
        <v>17913</v>
      </c>
      <c r="N6085" t="s">
        <v>26</v>
      </c>
      <c r="O6085">
        <v>250131</v>
      </c>
      <c r="P6085">
        <v>2784.3</v>
      </c>
    </row>
    <row r="6086" spans="1:16" x14ac:dyDescent="0.25">
      <c r="A6086" t="s">
        <v>3296</v>
      </c>
      <c r="B6086" t="s">
        <v>2931</v>
      </c>
      <c r="C6086">
        <v>909</v>
      </c>
      <c r="D6086" t="str">
        <f>"2560065457  "</f>
        <v xml:space="preserve">2560065457  </v>
      </c>
      <c r="E6086" t="s">
        <v>277</v>
      </c>
      <c r="F6086" t="s">
        <v>279</v>
      </c>
      <c r="G6086">
        <v>392.4</v>
      </c>
      <c r="H6086">
        <v>250127</v>
      </c>
      <c r="I6086">
        <v>4520</v>
      </c>
      <c r="J6086" t="s">
        <v>280</v>
      </c>
      <c r="K6086">
        <v>3911.11</v>
      </c>
      <c r="L6086">
        <v>48.19</v>
      </c>
      <c r="M6086">
        <v>17982</v>
      </c>
      <c r="N6086" t="s">
        <v>281</v>
      </c>
      <c r="O6086">
        <v>250131</v>
      </c>
      <c r="P6086">
        <v>344.21</v>
      </c>
    </row>
    <row r="6087" spans="1:16" x14ac:dyDescent="0.25">
      <c r="A6087" t="s">
        <v>3296</v>
      </c>
      <c r="B6087" t="s">
        <v>2931</v>
      </c>
      <c r="C6087">
        <v>1012</v>
      </c>
      <c r="D6087" t="str">
        <f>"2560065455  "</f>
        <v xml:space="preserve">2560065455  </v>
      </c>
      <c r="E6087" t="s">
        <v>277</v>
      </c>
      <c r="F6087" t="s">
        <v>279</v>
      </c>
      <c r="G6087">
        <v>350.49</v>
      </c>
      <c r="H6087">
        <v>250127</v>
      </c>
      <c r="I6087">
        <v>4520</v>
      </c>
      <c r="J6087" t="s">
        <v>280</v>
      </c>
      <c r="K6087">
        <v>389.39</v>
      </c>
      <c r="L6087">
        <v>43.04</v>
      </c>
      <c r="M6087">
        <v>17915</v>
      </c>
      <c r="N6087" t="s">
        <v>305</v>
      </c>
      <c r="O6087">
        <v>250203</v>
      </c>
      <c r="P6087">
        <v>307.45</v>
      </c>
    </row>
    <row r="6088" spans="1:16" x14ac:dyDescent="0.25">
      <c r="A6088" t="s">
        <v>3296</v>
      </c>
      <c r="B6088" t="s">
        <v>2931</v>
      </c>
      <c r="C6088">
        <v>1012</v>
      </c>
      <c r="D6088" t="str">
        <f>"2560065455  "</f>
        <v xml:space="preserve">2560065455  </v>
      </c>
      <c r="E6088" t="s">
        <v>277</v>
      </c>
      <c r="F6088" t="s">
        <v>279</v>
      </c>
      <c r="G6088">
        <v>38.9</v>
      </c>
      <c r="H6088">
        <v>250127</v>
      </c>
      <c r="I6088">
        <v>4520</v>
      </c>
      <c r="J6088" t="s">
        <v>280</v>
      </c>
      <c r="K6088">
        <v>389.39</v>
      </c>
      <c r="L6088">
        <v>4.78</v>
      </c>
      <c r="M6088">
        <v>17982</v>
      </c>
      <c r="N6088" t="s">
        <v>281</v>
      </c>
      <c r="O6088">
        <v>250203</v>
      </c>
      <c r="P6088">
        <v>34.119999999999997</v>
      </c>
    </row>
    <row r="6089" spans="1:16" x14ac:dyDescent="0.25">
      <c r="A6089" t="s">
        <v>3296</v>
      </c>
      <c r="B6089" t="s">
        <v>2931</v>
      </c>
      <c r="C6089">
        <v>1095</v>
      </c>
      <c r="D6089" t="str">
        <f>"2560078927  "</f>
        <v xml:space="preserve">2560078927  </v>
      </c>
      <c r="E6089" t="s">
        <v>277</v>
      </c>
      <c r="F6089" t="s">
        <v>279</v>
      </c>
      <c r="G6089">
        <v>1682.84</v>
      </c>
      <c r="H6089">
        <v>250131</v>
      </c>
      <c r="I6089">
        <v>4520</v>
      </c>
      <c r="J6089" t="s">
        <v>280</v>
      </c>
      <c r="K6089">
        <v>2055.37</v>
      </c>
      <c r="L6089">
        <v>206.66</v>
      </c>
      <c r="M6089">
        <v>59113</v>
      </c>
      <c r="N6089" t="s">
        <v>61</v>
      </c>
      <c r="O6089">
        <v>250204</v>
      </c>
      <c r="P6089">
        <v>1476.18</v>
      </c>
    </row>
    <row r="6090" spans="1:16" x14ac:dyDescent="0.25">
      <c r="A6090" t="s">
        <v>3296</v>
      </c>
      <c r="B6090" t="s">
        <v>2931</v>
      </c>
      <c r="C6090">
        <v>1095</v>
      </c>
      <c r="D6090" t="str">
        <f>"2560078927  "</f>
        <v xml:space="preserve">2560078927  </v>
      </c>
      <c r="E6090" t="s">
        <v>277</v>
      </c>
      <c r="F6090" t="s">
        <v>279</v>
      </c>
      <c r="G6090">
        <v>296.97000000000003</v>
      </c>
      <c r="H6090">
        <v>250131</v>
      </c>
      <c r="I6090">
        <v>4520</v>
      </c>
      <c r="J6090" t="s">
        <v>280</v>
      </c>
      <c r="K6090">
        <v>2055.37</v>
      </c>
      <c r="L6090">
        <v>36.47</v>
      </c>
      <c r="M6090">
        <v>59803</v>
      </c>
      <c r="N6090" t="s">
        <v>282</v>
      </c>
      <c r="O6090">
        <v>250204</v>
      </c>
      <c r="P6090">
        <v>260.5</v>
      </c>
    </row>
    <row r="6091" spans="1:16" x14ac:dyDescent="0.25">
      <c r="A6091" t="s">
        <v>3296</v>
      </c>
      <c r="B6091" t="s">
        <v>2931</v>
      </c>
      <c r="C6091">
        <v>1099</v>
      </c>
      <c r="D6091" t="str">
        <f>"2560078925  "</f>
        <v xml:space="preserve">2560078925  </v>
      </c>
      <c r="E6091" t="s">
        <v>277</v>
      </c>
      <c r="F6091" t="s">
        <v>279</v>
      </c>
      <c r="G6091">
        <v>1052.1600000000001</v>
      </c>
      <c r="H6091">
        <v>250131</v>
      </c>
      <c r="I6091">
        <v>4520</v>
      </c>
      <c r="J6091" t="s">
        <v>280</v>
      </c>
      <c r="K6091">
        <v>1102.44</v>
      </c>
      <c r="L6091">
        <v>129.21</v>
      </c>
      <c r="M6091">
        <v>59114</v>
      </c>
      <c r="N6091" t="s">
        <v>299</v>
      </c>
      <c r="O6091">
        <v>250204</v>
      </c>
      <c r="P6091">
        <v>922.95</v>
      </c>
    </row>
    <row r="6092" spans="1:16" x14ac:dyDescent="0.25">
      <c r="A6092" t="s">
        <v>3296</v>
      </c>
      <c r="B6092" t="s">
        <v>2931</v>
      </c>
      <c r="C6092">
        <v>1110</v>
      </c>
      <c r="D6092" t="str">
        <f>"2560112590  "</f>
        <v xml:space="preserve">2560112590  </v>
      </c>
      <c r="E6092" t="s">
        <v>277</v>
      </c>
      <c r="F6092" t="s">
        <v>279</v>
      </c>
      <c r="G6092">
        <v>260.51</v>
      </c>
      <c r="H6092">
        <v>250131</v>
      </c>
      <c r="I6092">
        <v>4520</v>
      </c>
      <c r="J6092" t="s">
        <v>280</v>
      </c>
      <c r="K6092">
        <v>260.51</v>
      </c>
      <c r="L6092">
        <v>31.99</v>
      </c>
      <c r="M6092">
        <v>59113</v>
      </c>
      <c r="N6092" t="s">
        <v>61</v>
      </c>
      <c r="O6092">
        <v>250204</v>
      </c>
      <c r="P6092">
        <v>228.52</v>
      </c>
    </row>
    <row r="6093" spans="1:16" x14ac:dyDescent="0.25">
      <c r="A6093" t="s">
        <v>3296</v>
      </c>
      <c r="B6093" t="s">
        <v>2931</v>
      </c>
      <c r="C6093">
        <v>1112</v>
      </c>
      <c r="D6093" t="str">
        <f>"2560112589  "</f>
        <v xml:space="preserve">2560112589  </v>
      </c>
      <c r="E6093" t="s">
        <v>277</v>
      </c>
      <c r="F6093" t="s">
        <v>279</v>
      </c>
      <c r="G6093">
        <v>54.77</v>
      </c>
      <c r="H6093">
        <v>250131</v>
      </c>
      <c r="I6093">
        <v>4520</v>
      </c>
      <c r="J6093" t="s">
        <v>280</v>
      </c>
      <c r="K6093">
        <v>54.77</v>
      </c>
      <c r="L6093">
        <v>6.73</v>
      </c>
      <c r="M6093">
        <v>54451</v>
      </c>
      <c r="N6093" t="s">
        <v>218</v>
      </c>
      <c r="O6093">
        <v>250204</v>
      </c>
      <c r="P6093">
        <v>48.04</v>
      </c>
    </row>
    <row r="6094" spans="1:16" x14ac:dyDescent="0.25">
      <c r="A6094" t="s">
        <v>3296</v>
      </c>
      <c r="B6094" t="s">
        <v>2931</v>
      </c>
      <c r="C6094">
        <v>1119</v>
      </c>
      <c r="D6094" t="str">
        <f>"2560112594  "</f>
        <v xml:space="preserve">2560112594  </v>
      </c>
      <c r="E6094" t="s">
        <v>277</v>
      </c>
      <c r="F6094" t="s">
        <v>279</v>
      </c>
      <c r="G6094">
        <v>122.5</v>
      </c>
      <c r="H6094">
        <v>250203</v>
      </c>
      <c r="I6094">
        <v>4520</v>
      </c>
      <c r="J6094" t="s">
        <v>280</v>
      </c>
      <c r="K6094">
        <v>1224.95</v>
      </c>
      <c r="L6094">
        <v>15.04</v>
      </c>
      <c r="M6094">
        <v>16431</v>
      </c>
      <c r="N6094" t="s">
        <v>17</v>
      </c>
      <c r="O6094">
        <v>250204</v>
      </c>
      <c r="P6094">
        <v>107.46</v>
      </c>
    </row>
    <row r="6095" spans="1:16" x14ac:dyDescent="0.25">
      <c r="A6095" t="s">
        <v>3296</v>
      </c>
      <c r="B6095" t="s">
        <v>2931</v>
      </c>
      <c r="C6095">
        <v>1119</v>
      </c>
      <c r="D6095" t="str">
        <f>"2560112594  "</f>
        <v xml:space="preserve">2560112594  </v>
      </c>
      <c r="E6095" t="s">
        <v>277</v>
      </c>
      <c r="F6095" t="s">
        <v>279</v>
      </c>
      <c r="G6095">
        <v>165.7</v>
      </c>
      <c r="H6095">
        <v>250203</v>
      </c>
      <c r="I6095">
        <v>4520</v>
      </c>
      <c r="J6095" t="s">
        <v>280</v>
      </c>
      <c r="K6095">
        <v>1224.95</v>
      </c>
      <c r="L6095">
        <v>20.350000000000001</v>
      </c>
      <c r="M6095">
        <v>16442</v>
      </c>
      <c r="N6095" t="s">
        <v>304</v>
      </c>
      <c r="O6095">
        <v>250204</v>
      </c>
      <c r="P6095">
        <v>145.35</v>
      </c>
    </row>
    <row r="6096" spans="1:16" x14ac:dyDescent="0.25">
      <c r="A6096" t="s">
        <v>3296</v>
      </c>
      <c r="B6096" t="s">
        <v>2931</v>
      </c>
      <c r="C6096">
        <v>1119</v>
      </c>
      <c r="D6096" t="str">
        <f>"2560112594  "</f>
        <v xml:space="preserve">2560112594  </v>
      </c>
      <c r="E6096" t="s">
        <v>277</v>
      </c>
      <c r="F6096" t="s">
        <v>279</v>
      </c>
      <c r="G6096">
        <v>69.97</v>
      </c>
      <c r="H6096">
        <v>250203</v>
      </c>
      <c r="I6096">
        <v>4520</v>
      </c>
      <c r="J6096" t="s">
        <v>280</v>
      </c>
      <c r="K6096">
        <v>1224.95</v>
      </c>
      <c r="L6096">
        <v>14.22</v>
      </c>
      <c r="M6096">
        <v>17913</v>
      </c>
      <c r="N6096" t="s">
        <v>26</v>
      </c>
      <c r="O6096">
        <v>250204</v>
      </c>
      <c r="P6096">
        <v>55.75</v>
      </c>
    </row>
    <row r="6097" spans="1:16" x14ac:dyDescent="0.25">
      <c r="A6097" t="s">
        <v>3296</v>
      </c>
      <c r="B6097" t="s">
        <v>2931</v>
      </c>
      <c r="C6097">
        <v>1119</v>
      </c>
      <c r="D6097" t="str">
        <f>"2560112594  "</f>
        <v xml:space="preserve">2560112594  </v>
      </c>
      <c r="E6097" t="s">
        <v>277</v>
      </c>
      <c r="F6097" t="s">
        <v>279</v>
      </c>
      <c r="G6097">
        <v>744.28</v>
      </c>
      <c r="H6097">
        <v>250203</v>
      </c>
      <c r="I6097">
        <v>4520</v>
      </c>
      <c r="J6097" t="s">
        <v>280</v>
      </c>
      <c r="K6097">
        <v>1224.95</v>
      </c>
      <c r="L6097">
        <v>91.4</v>
      </c>
      <c r="M6097">
        <v>17913</v>
      </c>
      <c r="N6097" t="s">
        <v>26</v>
      </c>
      <c r="O6097">
        <v>250204</v>
      </c>
      <c r="P6097">
        <v>652.88</v>
      </c>
    </row>
    <row r="6098" spans="1:16" x14ac:dyDescent="0.25">
      <c r="A6098" t="s">
        <v>3296</v>
      </c>
      <c r="B6098" t="s">
        <v>2931</v>
      </c>
      <c r="C6098">
        <v>1119</v>
      </c>
      <c r="D6098" t="str">
        <f>"2560112594  "</f>
        <v xml:space="preserve">2560112594  </v>
      </c>
      <c r="E6098" t="s">
        <v>277</v>
      </c>
      <c r="F6098" t="s">
        <v>279</v>
      </c>
      <c r="G6098">
        <v>122.5</v>
      </c>
      <c r="H6098">
        <v>250203</v>
      </c>
      <c r="I6098">
        <v>4520</v>
      </c>
      <c r="J6098" t="s">
        <v>280</v>
      </c>
      <c r="K6098">
        <v>1224.95</v>
      </c>
      <c r="L6098">
        <v>15.04</v>
      </c>
      <c r="M6098">
        <v>17982</v>
      </c>
      <c r="N6098" t="s">
        <v>281</v>
      </c>
      <c r="O6098">
        <v>250204</v>
      </c>
      <c r="P6098">
        <v>107.46</v>
      </c>
    </row>
    <row r="6099" spans="1:16" x14ac:dyDescent="0.25">
      <c r="A6099" t="s">
        <v>3296</v>
      </c>
      <c r="B6099" t="s">
        <v>2931</v>
      </c>
      <c r="C6099">
        <v>1185</v>
      </c>
      <c r="D6099" t="str">
        <f>"2560078935  "</f>
        <v xml:space="preserve">2560078935  </v>
      </c>
      <c r="E6099" t="s">
        <v>277</v>
      </c>
      <c r="F6099" t="s">
        <v>279</v>
      </c>
      <c r="G6099">
        <v>1129.55</v>
      </c>
      <c r="H6099">
        <v>250131</v>
      </c>
      <c r="I6099">
        <v>4520</v>
      </c>
      <c r="J6099" t="s">
        <v>280</v>
      </c>
      <c r="K6099">
        <v>1352.53</v>
      </c>
      <c r="L6099">
        <v>138.72</v>
      </c>
      <c r="M6099">
        <v>69112</v>
      </c>
      <c r="N6099" t="s">
        <v>227</v>
      </c>
      <c r="O6099">
        <v>250205</v>
      </c>
      <c r="P6099">
        <v>990.83</v>
      </c>
    </row>
    <row r="6100" spans="1:16" x14ac:dyDescent="0.25">
      <c r="A6100" t="s">
        <v>3296</v>
      </c>
      <c r="B6100" t="s">
        <v>2931</v>
      </c>
      <c r="C6100">
        <v>1185</v>
      </c>
      <c r="D6100" t="str">
        <f>"2560078935  "</f>
        <v xml:space="preserve">2560078935  </v>
      </c>
      <c r="E6100" t="s">
        <v>277</v>
      </c>
      <c r="F6100" t="s">
        <v>279</v>
      </c>
      <c r="G6100">
        <v>62.75</v>
      </c>
      <c r="H6100">
        <v>250131</v>
      </c>
      <c r="I6100">
        <v>4520</v>
      </c>
      <c r="J6100" t="s">
        <v>280</v>
      </c>
      <c r="K6100">
        <v>1352.53</v>
      </c>
      <c r="L6100">
        <v>7.71</v>
      </c>
      <c r="M6100">
        <v>69810</v>
      </c>
      <c r="N6100" t="s">
        <v>229</v>
      </c>
      <c r="O6100">
        <v>250205</v>
      </c>
      <c r="P6100">
        <v>55.04</v>
      </c>
    </row>
    <row r="6101" spans="1:16" x14ac:dyDescent="0.25">
      <c r="A6101" t="s">
        <v>3296</v>
      </c>
      <c r="B6101" t="s">
        <v>2931</v>
      </c>
      <c r="C6101">
        <v>1185</v>
      </c>
      <c r="D6101" t="str">
        <f>"2560078935  "</f>
        <v xml:space="preserve">2560078935  </v>
      </c>
      <c r="E6101" t="s">
        <v>277</v>
      </c>
      <c r="F6101" t="s">
        <v>279</v>
      </c>
      <c r="G6101">
        <v>62.75</v>
      </c>
      <c r="H6101">
        <v>250131</v>
      </c>
      <c r="I6101">
        <v>4520</v>
      </c>
      <c r="J6101" t="s">
        <v>280</v>
      </c>
      <c r="K6101">
        <v>1352.53</v>
      </c>
      <c r="L6101">
        <v>7.71</v>
      </c>
      <c r="M6101">
        <v>69811</v>
      </c>
      <c r="N6101" t="s">
        <v>230</v>
      </c>
      <c r="O6101">
        <v>250205</v>
      </c>
      <c r="P6101">
        <v>55.04</v>
      </c>
    </row>
    <row r="6102" spans="1:16" x14ac:dyDescent="0.25">
      <c r="A6102" t="s">
        <v>3296</v>
      </c>
      <c r="B6102" t="s">
        <v>2931</v>
      </c>
      <c r="C6102">
        <v>1206</v>
      </c>
      <c r="D6102" t="str">
        <f>"2560078926  "</f>
        <v xml:space="preserve">2560078926  </v>
      </c>
      <c r="E6102" t="s">
        <v>277</v>
      </c>
      <c r="F6102" t="s">
        <v>279</v>
      </c>
      <c r="G6102">
        <v>840</v>
      </c>
      <c r="H6102">
        <v>250131</v>
      </c>
      <c r="I6102">
        <v>4520</v>
      </c>
      <c r="J6102" t="s">
        <v>280</v>
      </c>
      <c r="K6102">
        <v>3918.04</v>
      </c>
      <c r="L6102">
        <v>103.16</v>
      </c>
      <c r="M6102">
        <v>54422</v>
      </c>
      <c r="N6102" t="s">
        <v>49</v>
      </c>
      <c r="O6102">
        <v>250205</v>
      </c>
      <c r="P6102">
        <v>736.84</v>
      </c>
    </row>
    <row r="6103" spans="1:16" x14ac:dyDescent="0.25">
      <c r="A6103" t="s">
        <v>3296</v>
      </c>
      <c r="B6103" t="s">
        <v>2931</v>
      </c>
      <c r="C6103">
        <v>1206</v>
      </c>
      <c r="D6103" t="str">
        <f>"2560078926  "</f>
        <v xml:space="preserve">2560078926  </v>
      </c>
      <c r="E6103" t="s">
        <v>277</v>
      </c>
      <c r="F6103" t="s">
        <v>279</v>
      </c>
      <c r="G6103">
        <v>2649.46</v>
      </c>
      <c r="H6103">
        <v>250131</v>
      </c>
      <c r="I6103">
        <v>4520</v>
      </c>
      <c r="J6103" t="s">
        <v>280</v>
      </c>
      <c r="K6103">
        <v>3918.04</v>
      </c>
      <c r="L6103">
        <v>325.37</v>
      </c>
      <c r="M6103">
        <v>54451</v>
      </c>
      <c r="N6103" t="s">
        <v>218</v>
      </c>
      <c r="O6103">
        <v>250205</v>
      </c>
      <c r="P6103">
        <v>2324.09</v>
      </c>
    </row>
    <row r="6104" spans="1:16" x14ac:dyDescent="0.25">
      <c r="A6104" t="s">
        <v>3296</v>
      </c>
      <c r="B6104" t="s">
        <v>2931</v>
      </c>
      <c r="C6104">
        <v>1208</v>
      </c>
      <c r="D6104" t="str">
        <f>"2560078928  "</f>
        <v xml:space="preserve">2560078928  </v>
      </c>
      <c r="E6104" t="s">
        <v>277</v>
      </c>
      <c r="F6104" t="s">
        <v>279</v>
      </c>
      <c r="G6104">
        <v>1490.58</v>
      </c>
      <c r="H6104">
        <v>250131</v>
      </c>
      <c r="I6104">
        <v>4520</v>
      </c>
      <c r="J6104" t="s">
        <v>280</v>
      </c>
      <c r="K6104">
        <v>1870.54</v>
      </c>
      <c r="L6104">
        <v>183.05</v>
      </c>
      <c r="M6104">
        <v>69113</v>
      </c>
      <c r="N6104" t="s">
        <v>122</v>
      </c>
      <c r="O6104">
        <v>250205</v>
      </c>
      <c r="P6104">
        <v>1307.53</v>
      </c>
    </row>
    <row r="6105" spans="1:16" x14ac:dyDescent="0.25">
      <c r="A6105" t="s">
        <v>3296</v>
      </c>
      <c r="B6105" t="s">
        <v>2931</v>
      </c>
      <c r="C6105">
        <v>1208</v>
      </c>
      <c r="D6105" t="str">
        <f>"2560078928  "</f>
        <v xml:space="preserve">2560078928  </v>
      </c>
      <c r="E6105" t="s">
        <v>277</v>
      </c>
      <c r="F6105" t="s">
        <v>279</v>
      </c>
      <c r="G6105">
        <v>175.36</v>
      </c>
      <c r="H6105">
        <v>250131</v>
      </c>
      <c r="I6105">
        <v>4520</v>
      </c>
      <c r="J6105" t="s">
        <v>280</v>
      </c>
      <c r="K6105">
        <v>1870.54</v>
      </c>
      <c r="L6105">
        <v>21.54</v>
      </c>
      <c r="M6105">
        <v>69802</v>
      </c>
      <c r="N6105" t="s">
        <v>375</v>
      </c>
      <c r="O6105">
        <v>250205</v>
      </c>
      <c r="P6105">
        <v>153.82</v>
      </c>
    </row>
    <row r="6106" spans="1:16" x14ac:dyDescent="0.25">
      <c r="A6106" t="s">
        <v>3296</v>
      </c>
      <c r="B6106" t="s">
        <v>2931</v>
      </c>
      <c r="C6106">
        <v>1208</v>
      </c>
      <c r="D6106" t="str">
        <f>"2560078928  "</f>
        <v xml:space="preserve">2560078928  </v>
      </c>
      <c r="E6106" t="s">
        <v>277</v>
      </c>
      <c r="F6106" t="s">
        <v>279</v>
      </c>
      <c r="G6106">
        <v>87.68</v>
      </c>
      <c r="H6106">
        <v>250131</v>
      </c>
      <c r="I6106">
        <v>4520</v>
      </c>
      <c r="J6106" t="s">
        <v>280</v>
      </c>
      <c r="K6106">
        <v>1870.54</v>
      </c>
      <c r="L6106">
        <v>10.77</v>
      </c>
      <c r="M6106">
        <v>69804</v>
      </c>
      <c r="N6106" t="s">
        <v>376</v>
      </c>
      <c r="O6106">
        <v>250205</v>
      </c>
      <c r="P6106">
        <v>76.91</v>
      </c>
    </row>
    <row r="6107" spans="1:16" x14ac:dyDescent="0.25">
      <c r="A6107" t="s">
        <v>3296</v>
      </c>
      <c r="B6107" t="s">
        <v>2931</v>
      </c>
      <c r="C6107">
        <v>1312</v>
      </c>
      <c r="D6107" t="str">
        <f>"2560065456  "</f>
        <v xml:space="preserve">2560065456  </v>
      </c>
      <c r="E6107" t="s">
        <v>277</v>
      </c>
      <c r="F6107" t="s">
        <v>279</v>
      </c>
      <c r="G6107">
        <v>897.01</v>
      </c>
      <c r="H6107">
        <v>250127</v>
      </c>
      <c r="I6107">
        <v>4520</v>
      </c>
      <c r="J6107" t="s">
        <v>280</v>
      </c>
      <c r="K6107">
        <v>1424.57</v>
      </c>
      <c r="L6107">
        <v>110.16</v>
      </c>
      <c r="M6107">
        <v>44251</v>
      </c>
      <c r="N6107" t="s">
        <v>215</v>
      </c>
      <c r="O6107">
        <v>250207</v>
      </c>
      <c r="P6107">
        <v>786.85</v>
      </c>
    </row>
    <row r="6108" spans="1:16" x14ac:dyDescent="0.25">
      <c r="A6108" t="s">
        <v>3296</v>
      </c>
      <c r="B6108" t="s">
        <v>2931</v>
      </c>
      <c r="C6108">
        <v>1312</v>
      </c>
      <c r="D6108" t="str">
        <f>"2560065456  "</f>
        <v xml:space="preserve">2560065456  </v>
      </c>
      <c r="E6108" t="s">
        <v>277</v>
      </c>
      <c r="F6108" t="s">
        <v>279</v>
      </c>
      <c r="G6108">
        <v>458.2</v>
      </c>
      <c r="H6108">
        <v>250127</v>
      </c>
      <c r="I6108">
        <v>4520</v>
      </c>
      <c r="J6108" t="s">
        <v>280</v>
      </c>
      <c r="K6108">
        <v>1424.57</v>
      </c>
      <c r="L6108">
        <v>56.27</v>
      </c>
      <c r="M6108">
        <v>44252</v>
      </c>
      <c r="N6108" t="s">
        <v>217</v>
      </c>
      <c r="O6108">
        <v>250207</v>
      </c>
      <c r="P6108">
        <v>401.93</v>
      </c>
    </row>
    <row r="6109" spans="1:16" x14ac:dyDescent="0.25">
      <c r="A6109" t="s">
        <v>3296</v>
      </c>
      <c r="B6109" t="s">
        <v>2931</v>
      </c>
      <c r="C6109">
        <v>1319</v>
      </c>
      <c r="D6109" t="str">
        <f>"2560078930  "</f>
        <v xml:space="preserve">2560078930  </v>
      </c>
      <c r="E6109" t="s">
        <v>277</v>
      </c>
      <c r="F6109" t="s">
        <v>279</v>
      </c>
      <c r="G6109">
        <v>-12.55</v>
      </c>
      <c r="H6109">
        <v>250131</v>
      </c>
      <c r="I6109">
        <v>4520</v>
      </c>
      <c r="J6109" t="s">
        <v>280</v>
      </c>
      <c r="K6109">
        <v>96.12</v>
      </c>
      <c r="L6109">
        <v>-2.5499999999999998</v>
      </c>
      <c r="M6109">
        <v>17915</v>
      </c>
      <c r="N6109" t="s">
        <v>305</v>
      </c>
      <c r="O6109">
        <v>250207</v>
      </c>
      <c r="P6109">
        <v>-10</v>
      </c>
    </row>
    <row r="6110" spans="1:16" x14ac:dyDescent="0.25">
      <c r="A6110" t="s">
        <v>3296</v>
      </c>
      <c r="B6110" t="s">
        <v>2931</v>
      </c>
      <c r="C6110">
        <v>1319</v>
      </c>
      <c r="D6110" t="str">
        <f>"2560078930  "</f>
        <v xml:space="preserve">2560078930  </v>
      </c>
      <c r="E6110" t="s">
        <v>277</v>
      </c>
      <c r="F6110" t="s">
        <v>279</v>
      </c>
      <c r="G6110">
        <v>97.77</v>
      </c>
      <c r="H6110">
        <v>250131</v>
      </c>
      <c r="I6110">
        <v>4520</v>
      </c>
      <c r="J6110" t="s">
        <v>280</v>
      </c>
      <c r="K6110">
        <v>96.12</v>
      </c>
      <c r="L6110">
        <v>12.01</v>
      </c>
      <c r="M6110">
        <v>17915</v>
      </c>
      <c r="N6110" t="s">
        <v>305</v>
      </c>
      <c r="O6110">
        <v>250207</v>
      </c>
      <c r="P6110">
        <v>85.76</v>
      </c>
    </row>
    <row r="6111" spans="1:16" x14ac:dyDescent="0.25">
      <c r="A6111" t="s">
        <v>3296</v>
      </c>
      <c r="B6111" t="s">
        <v>2931</v>
      </c>
      <c r="C6111">
        <v>1319</v>
      </c>
      <c r="D6111" t="str">
        <f>"2560078930  "</f>
        <v xml:space="preserve">2560078930  </v>
      </c>
      <c r="E6111" t="s">
        <v>277</v>
      </c>
      <c r="F6111" t="s">
        <v>279</v>
      </c>
      <c r="G6111">
        <v>10.9</v>
      </c>
      <c r="H6111">
        <v>250131</v>
      </c>
      <c r="I6111">
        <v>4520</v>
      </c>
      <c r="J6111" t="s">
        <v>280</v>
      </c>
      <c r="K6111">
        <v>96.12</v>
      </c>
      <c r="L6111">
        <v>1.34</v>
      </c>
      <c r="M6111">
        <v>17982</v>
      </c>
      <c r="N6111" t="s">
        <v>281</v>
      </c>
      <c r="O6111">
        <v>250207</v>
      </c>
      <c r="P6111">
        <v>9.56</v>
      </c>
    </row>
    <row r="6112" spans="1:16" x14ac:dyDescent="0.25">
      <c r="A6112" t="s">
        <v>3296</v>
      </c>
      <c r="B6112" t="s">
        <v>2931</v>
      </c>
      <c r="C6112">
        <v>1336</v>
      </c>
      <c r="D6112" t="str">
        <f>"2560112592  "</f>
        <v xml:space="preserve">2560112592  </v>
      </c>
      <c r="E6112" t="s">
        <v>277</v>
      </c>
      <c r="F6112" t="s">
        <v>279</v>
      </c>
      <c r="G6112">
        <v>12.55</v>
      </c>
      <c r="H6112">
        <v>250203</v>
      </c>
      <c r="I6112">
        <v>4520</v>
      </c>
      <c r="J6112" t="s">
        <v>280</v>
      </c>
      <c r="K6112">
        <v>1018.41</v>
      </c>
      <c r="L6112">
        <v>2.5499999999999998</v>
      </c>
      <c r="M6112">
        <v>17915</v>
      </c>
      <c r="N6112" t="s">
        <v>305</v>
      </c>
      <c r="O6112">
        <v>250207</v>
      </c>
      <c r="P6112">
        <v>10</v>
      </c>
    </row>
    <row r="6113" spans="1:16" x14ac:dyDescent="0.25">
      <c r="A6113" t="s">
        <v>3296</v>
      </c>
      <c r="B6113" t="s">
        <v>2931</v>
      </c>
      <c r="C6113">
        <v>1336</v>
      </c>
      <c r="D6113" t="str">
        <f>"2560112592  "</f>
        <v xml:space="preserve">2560112592  </v>
      </c>
      <c r="E6113" t="s">
        <v>277</v>
      </c>
      <c r="F6113" t="s">
        <v>279</v>
      </c>
      <c r="G6113">
        <v>905.26</v>
      </c>
      <c r="H6113">
        <v>250203</v>
      </c>
      <c r="I6113">
        <v>4520</v>
      </c>
      <c r="J6113" t="s">
        <v>280</v>
      </c>
      <c r="K6113">
        <v>1018.41</v>
      </c>
      <c r="L6113">
        <v>111.17</v>
      </c>
      <c r="M6113">
        <v>17915</v>
      </c>
      <c r="N6113" t="s">
        <v>305</v>
      </c>
      <c r="O6113">
        <v>250207</v>
      </c>
      <c r="P6113">
        <v>794.09</v>
      </c>
    </row>
    <row r="6114" spans="1:16" x14ac:dyDescent="0.25">
      <c r="A6114" t="s">
        <v>3296</v>
      </c>
      <c r="B6114" t="s">
        <v>2931</v>
      </c>
      <c r="C6114">
        <v>1336</v>
      </c>
      <c r="D6114" t="str">
        <f>"2560112592  "</f>
        <v xml:space="preserve">2560112592  </v>
      </c>
      <c r="E6114" t="s">
        <v>277</v>
      </c>
      <c r="F6114" t="s">
        <v>279</v>
      </c>
      <c r="G6114">
        <v>100.6</v>
      </c>
      <c r="H6114">
        <v>250203</v>
      </c>
      <c r="I6114">
        <v>4520</v>
      </c>
      <c r="J6114" t="s">
        <v>280</v>
      </c>
      <c r="K6114">
        <v>1018.41</v>
      </c>
      <c r="L6114">
        <v>12.35</v>
      </c>
      <c r="M6114">
        <v>17982</v>
      </c>
      <c r="N6114" t="s">
        <v>281</v>
      </c>
      <c r="O6114">
        <v>250207</v>
      </c>
      <c r="P6114">
        <v>88.25</v>
      </c>
    </row>
    <row r="6115" spans="1:16" x14ac:dyDescent="0.25">
      <c r="A6115" t="s">
        <v>3296</v>
      </c>
      <c r="B6115" t="s">
        <v>2931</v>
      </c>
      <c r="C6115">
        <v>1344</v>
      </c>
      <c r="D6115" t="str">
        <f>"2560078932  "</f>
        <v xml:space="preserve">2560078932  </v>
      </c>
      <c r="E6115" t="s">
        <v>277</v>
      </c>
      <c r="F6115" t="s">
        <v>279</v>
      </c>
      <c r="G6115">
        <v>65.459999999999994</v>
      </c>
      <c r="H6115">
        <v>250131</v>
      </c>
      <c r="I6115">
        <v>4520</v>
      </c>
      <c r="J6115" t="s">
        <v>280</v>
      </c>
      <c r="K6115">
        <v>1620.09</v>
      </c>
      <c r="L6115">
        <v>8.0399999999999991</v>
      </c>
      <c r="M6115">
        <v>16442</v>
      </c>
      <c r="N6115" t="s">
        <v>304</v>
      </c>
      <c r="O6115">
        <v>250207</v>
      </c>
      <c r="P6115">
        <v>57.42</v>
      </c>
    </row>
    <row r="6116" spans="1:16" x14ac:dyDescent="0.25">
      <c r="A6116" t="s">
        <v>3296</v>
      </c>
      <c r="B6116" t="s">
        <v>2931</v>
      </c>
      <c r="C6116">
        <v>1344</v>
      </c>
      <c r="D6116" t="str">
        <f>"2560078932  "</f>
        <v xml:space="preserve">2560078932  </v>
      </c>
      <c r="E6116" t="s">
        <v>277</v>
      </c>
      <c r="F6116" t="s">
        <v>279</v>
      </c>
      <c r="G6116">
        <v>34.04</v>
      </c>
      <c r="H6116">
        <v>250131</v>
      </c>
      <c r="I6116">
        <v>4520</v>
      </c>
      <c r="J6116" t="s">
        <v>280</v>
      </c>
      <c r="K6116">
        <v>1620.09</v>
      </c>
      <c r="L6116">
        <v>6.92</v>
      </c>
      <c r="M6116">
        <v>17913</v>
      </c>
      <c r="N6116" t="s">
        <v>26</v>
      </c>
      <c r="O6116">
        <v>250207</v>
      </c>
      <c r="P6116">
        <v>27.12</v>
      </c>
    </row>
    <row r="6117" spans="1:16" x14ac:dyDescent="0.25">
      <c r="A6117" t="s">
        <v>3296</v>
      </c>
      <c r="B6117" t="s">
        <v>2931</v>
      </c>
      <c r="C6117">
        <v>1344</v>
      </c>
      <c r="D6117" t="str">
        <f>"2560078932  "</f>
        <v xml:space="preserve">2560078932  </v>
      </c>
      <c r="E6117" t="s">
        <v>277</v>
      </c>
      <c r="F6117" t="s">
        <v>279</v>
      </c>
      <c r="G6117">
        <v>1008.59</v>
      </c>
      <c r="H6117">
        <v>250131</v>
      </c>
      <c r="I6117">
        <v>4520</v>
      </c>
      <c r="J6117" t="s">
        <v>280</v>
      </c>
      <c r="K6117">
        <v>1620.09</v>
      </c>
      <c r="L6117">
        <v>123.86</v>
      </c>
      <c r="M6117">
        <v>17913</v>
      </c>
      <c r="N6117" t="s">
        <v>26</v>
      </c>
      <c r="O6117">
        <v>250207</v>
      </c>
      <c r="P6117">
        <v>884.73</v>
      </c>
    </row>
    <row r="6118" spans="1:16" x14ac:dyDescent="0.25">
      <c r="A6118" t="s">
        <v>3296</v>
      </c>
      <c r="B6118" t="s">
        <v>2931</v>
      </c>
      <c r="C6118">
        <v>1344</v>
      </c>
      <c r="D6118" t="str">
        <f>"2560078932  "</f>
        <v xml:space="preserve">2560078932  </v>
      </c>
      <c r="E6118" t="s">
        <v>277</v>
      </c>
      <c r="F6118" t="s">
        <v>279</v>
      </c>
      <c r="G6118">
        <v>162</v>
      </c>
      <c r="H6118">
        <v>250131</v>
      </c>
      <c r="I6118">
        <v>4520</v>
      </c>
      <c r="J6118" t="s">
        <v>280</v>
      </c>
      <c r="K6118">
        <v>1620.09</v>
      </c>
      <c r="L6118">
        <v>19.89</v>
      </c>
      <c r="M6118">
        <v>17982</v>
      </c>
      <c r="N6118" t="s">
        <v>281</v>
      </c>
      <c r="O6118">
        <v>250207</v>
      </c>
      <c r="P6118">
        <v>142.11000000000001</v>
      </c>
    </row>
    <row r="6119" spans="1:16" x14ac:dyDescent="0.25">
      <c r="A6119" t="s">
        <v>3296</v>
      </c>
      <c r="B6119" t="s">
        <v>2931</v>
      </c>
      <c r="C6119">
        <v>1344</v>
      </c>
      <c r="D6119" t="str">
        <f>"2560078932  "</f>
        <v xml:space="preserve">2560078932  </v>
      </c>
      <c r="E6119" t="s">
        <v>277</v>
      </c>
      <c r="F6119" t="s">
        <v>279</v>
      </c>
      <c r="G6119">
        <v>350</v>
      </c>
      <c r="H6119">
        <v>250131</v>
      </c>
      <c r="I6119">
        <v>4520</v>
      </c>
      <c r="J6119" t="s">
        <v>280</v>
      </c>
      <c r="K6119">
        <v>1620.09</v>
      </c>
      <c r="L6119">
        <v>42.98</v>
      </c>
      <c r="M6119">
        <v>17984</v>
      </c>
      <c r="N6119" t="s">
        <v>655</v>
      </c>
      <c r="O6119">
        <v>250207</v>
      </c>
      <c r="P6119">
        <v>307.02</v>
      </c>
    </row>
    <row r="6120" spans="1:16" x14ac:dyDescent="0.25">
      <c r="A6120" t="s">
        <v>3296</v>
      </c>
      <c r="B6120" t="s">
        <v>2931</v>
      </c>
      <c r="C6120">
        <v>1349</v>
      </c>
      <c r="D6120" t="str">
        <f>"2560112593  "</f>
        <v xml:space="preserve">2560112593  </v>
      </c>
      <c r="E6120" t="s">
        <v>277</v>
      </c>
      <c r="F6120" t="s">
        <v>279</v>
      </c>
      <c r="G6120">
        <v>18.190000000000001</v>
      </c>
      <c r="H6120">
        <v>250131</v>
      </c>
      <c r="I6120">
        <v>4520</v>
      </c>
      <c r="J6120" t="s">
        <v>280</v>
      </c>
      <c r="K6120">
        <v>18.190000000000001</v>
      </c>
      <c r="L6120">
        <v>2.23</v>
      </c>
      <c r="M6120">
        <v>44252</v>
      </c>
      <c r="N6120" t="s">
        <v>217</v>
      </c>
      <c r="O6120">
        <v>250207</v>
      </c>
      <c r="P6120">
        <v>15.96</v>
      </c>
    </row>
    <row r="6121" spans="1:16" x14ac:dyDescent="0.25">
      <c r="A6121" t="s">
        <v>3296</v>
      </c>
      <c r="B6121" t="s">
        <v>2931</v>
      </c>
      <c r="C6121">
        <v>1412</v>
      </c>
      <c r="D6121" t="str">
        <f>"2560065454  "</f>
        <v xml:space="preserve">2560065454  </v>
      </c>
      <c r="E6121" t="s">
        <v>277</v>
      </c>
      <c r="F6121" t="s">
        <v>279</v>
      </c>
      <c r="G6121">
        <v>2391.06</v>
      </c>
      <c r="H6121">
        <v>250127</v>
      </c>
      <c r="I6121">
        <v>4520</v>
      </c>
      <c r="J6121" t="s">
        <v>280</v>
      </c>
      <c r="K6121">
        <v>2460.5</v>
      </c>
      <c r="L6121">
        <v>293.64</v>
      </c>
      <c r="M6121">
        <v>49112</v>
      </c>
      <c r="N6121" t="s">
        <v>109</v>
      </c>
      <c r="O6121">
        <v>250210</v>
      </c>
      <c r="P6121">
        <v>2097.42</v>
      </c>
    </row>
    <row r="6122" spans="1:16" x14ac:dyDescent="0.25">
      <c r="A6122" t="s">
        <v>3296</v>
      </c>
      <c r="B6122" t="s">
        <v>2931</v>
      </c>
      <c r="C6122">
        <v>1421</v>
      </c>
      <c r="D6122" t="str">
        <f>"2560078929  "</f>
        <v xml:space="preserve">2560078929  </v>
      </c>
      <c r="E6122" t="s">
        <v>277</v>
      </c>
      <c r="F6122" t="s">
        <v>279</v>
      </c>
      <c r="G6122">
        <v>2280.56</v>
      </c>
      <c r="H6122">
        <v>250131</v>
      </c>
      <c r="I6122">
        <v>4520</v>
      </c>
      <c r="J6122" t="s">
        <v>280</v>
      </c>
      <c r="K6122">
        <v>2305.66</v>
      </c>
      <c r="L6122">
        <v>280.07</v>
      </c>
      <c r="M6122">
        <v>49112</v>
      </c>
      <c r="N6122" t="s">
        <v>109</v>
      </c>
      <c r="O6122">
        <v>250210</v>
      </c>
      <c r="P6122">
        <v>2000.49</v>
      </c>
    </row>
    <row r="6123" spans="1:16" x14ac:dyDescent="0.25">
      <c r="A6123" t="s">
        <v>3296</v>
      </c>
      <c r="B6123" t="s">
        <v>2931</v>
      </c>
      <c r="C6123">
        <v>1431</v>
      </c>
      <c r="D6123" t="str">
        <f>"2560112591  "</f>
        <v xml:space="preserve">2560112591  </v>
      </c>
      <c r="E6123" t="s">
        <v>277</v>
      </c>
      <c r="F6123" t="s">
        <v>279</v>
      </c>
      <c r="G6123">
        <v>125.17</v>
      </c>
      <c r="H6123">
        <v>250131</v>
      </c>
      <c r="I6123">
        <v>4520</v>
      </c>
      <c r="J6123" t="s">
        <v>280</v>
      </c>
      <c r="K6123">
        <v>125.17</v>
      </c>
      <c r="L6123">
        <v>15.37</v>
      </c>
      <c r="M6123">
        <v>49112</v>
      </c>
      <c r="N6123" t="s">
        <v>109</v>
      </c>
      <c r="O6123">
        <v>250210</v>
      </c>
      <c r="P6123">
        <v>109.8</v>
      </c>
    </row>
    <row r="6124" spans="1:16" x14ac:dyDescent="0.25">
      <c r="A6124" t="s">
        <v>3296</v>
      </c>
      <c r="B6124" t="s">
        <v>2931</v>
      </c>
      <c r="C6124">
        <v>1491</v>
      </c>
      <c r="D6124" t="str">
        <f t="shared" ref="D6124:D6136" si="102">"2560078933  "</f>
        <v xml:space="preserve">2560078933  </v>
      </c>
      <c r="E6124" t="s">
        <v>277</v>
      </c>
      <c r="F6124" t="s">
        <v>279</v>
      </c>
      <c r="G6124">
        <v>12.32</v>
      </c>
      <c r="H6124">
        <v>250131</v>
      </c>
      <c r="I6124">
        <v>4520</v>
      </c>
      <c r="J6124" t="s">
        <v>280</v>
      </c>
      <c r="K6124">
        <v>7525.29</v>
      </c>
      <c r="L6124">
        <v>2.5</v>
      </c>
      <c r="M6124">
        <v>14422</v>
      </c>
      <c r="N6124" t="s">
        <v>73</v>
      </c>
      <c r="O6124">
        <v>250210</v>
      </c>
      <c r="P6124">
        <v>9.82</v>
      </c>
    </row>
    <row r="6125" spans="1:16" x14ac:dyDescent="0.25">
      <c r="A6125" t="s">
        <v>3296</v>
      </c>
      <c r="B6125" t="s">
        <v>2931</v>
      </c>
      <c r="C6125">
        <v>1491</v>
      </c>
      <c r="D6125" t="str">
        <f t="shared" si="102"/>
        <v xml:space="preserve">2560078933  </v>
      </c>
      <c r="E6125" t="s">
        <v>277</v>
      </c>
      <c r="F6125" t="s">
        <v>279</v>
      </c>
      <c r="G6125">
        <v>60.89</v>
      </c>
      <c r="H6125">
        <v>250131</v>
      </c>
      <c r="I6125">
        <v>4520</v>
      </c>
      <c r="J6125" t="s">
        <v>280</v>
      </c>
      <c r="K6125">
        <v>7525.29</v>
      </c>
      <c r="L6125">
        <v>7.48</v>
      </c>
      <c r="M6125">
        <v>14422</v>
      </c>
      <c r="N6125" t="s">
        <v>73</v>
      </c>
      <c r="O6125">
        <v>250210</v>
      </c>
      <c r="P6125">
        <v>53.41</v>
      </c>
    </row>
    <row r="6126" spans="1:16" x14ac:dyDescent="0.25">
      <c r="A6126" t="s">
        <v>3296</v>
      </c>
      <c r="B6126" t="s">
        <v>2931</v>
      </c>
      <c r="C6126">
        <v>1491</v>
      </c>
      <c r="D6126" t="str">
        <f t="shared" si="102"/>
        <v xml:space="preserve">2560078933  </v>
      </c>
      <c r="E6126" t="s">
        <v>277</v>
      </c>
      <c r="F6126" t="s">
        <v>279</v>
      </c>
      <c r="G6126">
        <v>49.28</v>
      </c>
      <c r="H6126">
        <v>250131</v>
      </c>
      <c r="I6126">
        <v>4520</v>
      </c>
      <c r="J6126" t="s">
        <v>280</v>
      </c>
      <c r="K6126">
        <v>7525.29</v>
      </c>
      <c r="L6126">
        <v>10.01</v>
      </c>
      <c r="M6126">
        <v>14431</v>
      </c>
      <c r="N6126" t="s">
        <v>74</v>
      </c>
      <c r="O6126">
        <v>250210</v>
      </c>
      <c r="P6126">
        <v>39.270000000000003</v>
      </c>
    </row>
    <row r="6127" spans="1:16" x14ac:dyDescent="0.25">
      <c r="A6127" t="s">
        <v>3296</v>
      </c>
      <c r="B6127" t="s">
        <v>2931</v>
      </c>
      <c r="C6127">
        <v>1491</v>
      </c>
      <c r="D6127" t="str">
        <f t="shared" si="102"/>
        <v xml:space="preserve">2560078933  </v>
      </c>
      <c r="E6127" t="s">
        <v>277</v>
      </c>
      <c r="F6127" t="s">
        <v>279</v>
      </c>
      <c r="G6127">
        <v>243.57</v>
      </c>
      <c r="H6127">
        <v>250131</v>
      </c>
      <c r="I6127">
        <v>4520</v>
      </c>
      <c r="J6127" t="s">
        <v>280</v>
      </c>
      <c r="K6127">
        <v>7525.29</v>
      </c>
      <c r="L6127">
        <v>29.91</v>
      </c>
      <c r="M6127">
        <v>14431</v>
      </c>
      <c r="N6127" t="s">
        <v>74</v>
      </c>
      <c r="O6127">
        <v>250210</v>
      </c>
      <c r="P6127">
        <v>213.66</v>
      </c>
    </row>
    <row r="6128" spans="1:16" x14ac:dyDescent="0.25">
      <c r="A6128" t="s">
        <v>3296</v>
      </c>
      <c r="B6128" t="s">
        <v>2931</v>
      </c>
      <c r="C6128">
        <v>1491</v>
      </c>
      <c r="D6128" t="str">
        <f t="shared" si="102"/>
        <v xml:space="preserve">2560078933  </v>
      </c>
      <c r="E6128" t="s">
        <v>277</v>
      </c>
      <c r="F6128" t="s">
        <v>279</v>
      </c>
      <c r="G6128">
        <v>209.43</v>
      </c>
      <c r="H6128">
        <v>250131</v>
      </c>
      <c r="I6128">
        <v>4520</v>
      </c>
      <c r="J6128" t="s">
        <v>280</v>
      </c>
      <c r="K6128">
        <v>7525.29</v>
      </c>
      <c r="L6128">
        <v>42.55</v>
      </c>
      <c r="M6128">
        <v>14432</v>
      </c>
      <c r="N6128" t="s">
        <v>75</v>
      </c>
      <c r="O6128">
        <v>250210</v>
      </c>
      <c r="P6128">
        <v>166.88</v>
      </c>
    </row>
    <row r="6129" spans="1:16" x14ac:dyDescent="0.25">
      <c r="A6129" t="s">
        <v>3296</v>
      </c>
      <c r="B6129" t="s">
        <v>2931</v>
      </c>
      <c r="C6129">
        <v>1491</v>
      </c>
      <c r="D6129" t="str">
        <f t="shared" si="102"/>
        <v xml:space="preserve">2560078933  </v>
      </c>
      <c r="E6129" t="s">
        <v>277</v>
      </c>
      <c r="F6129" t="s">
        <v>279</v>
      </c>
      <c r="G6129">
        <v>1035.18</v>
      </c>
      <c r="H6129">
        <v>250131</v>
      </c>
      <c r="I6129">
        <v>4520</v>
      </c>
      <c r="J6129" t="s">
        <v>280</v>
      </c>
      <c r="K6129">
        <v>7525.29</v>
      </c>
      <c r="L6129">
        <v>127.13</v>
      </c>
      <c r="M6129">
        <v>14432</v>
      </c>
      <c r="N6129" t="s">
        <v>75</v>
      </c>
      <c r="O6129">
        <v>250210</v>
      </c>
      <c r="P6129">
        <v>908.05</v>
      </c>
    </row>
    <row r="6130" spans="1:16" x14ac:dyDescent="0.25">
      <c r="A6130" t="s">
        <v>3296</v>
      </c>
      <c r="B6130" t="s">
        <v>2931</v>
      </c>
      <c r="C6130">
        <v>1491</v>
      </c>
      <c r="D6130" t="str">
        <f t="shared" si="102"/>
        <v xml:space="preserve">2560078933  </v>
      </c>
      <c r="E6130" t="s">
        <v>277</v>
      </c>
      <c r="F6130" t="s">
        <v>279</v>
      </c>
      <c r="G6130">
        <v>12.31</v>
      </c>
      <c r="H6130">
        <v>250131</v>
      </c>
      <c r="I6130">
        <v>4520</v>
      </c>
      <c r="J6130" t="s">
        <v>280</v>
      </c>
      <c r="K6130">
        <v>7525.29</v>
      </c>
      <c r="L6130">
        <v>2.5</v>
      </c>
      <c r="M6130">
        <v>14640</v>
      </c>
      <c r="N6130" t="s">
        <v>78</v>
      </c>
      <c r="O6130">
        <v>250210</v>
      </c>
      <c r="P6130">
        <v>9.81</v>
      </c>
    </row>
    <row r="6131" spans="1:16" x14ac:dyDescent="0.25">
      <c r="A6131" t="s">
        <v>3296</v>
      </c>
      <c r="B6131" t="s">
        <v>2931</v>
      </c>
      <c r="C6131">
        <v>1491</v>
      </c>
      <c r="D6131" t="str">
        <f t="shared" si="102"/>
        <v xml:space="preserve">2560078933  </v>
      </c>
      <c r="E6131" t="s">
        <v>277</v>
      </c>
      <c r="F6131" t="s">
        <v>279</v>
      </c>
      <c r="G6131">
        <v>60.9</v>
      </c>
      <c r="H6131">
        <v>250131</v>
      </c>
      <c r="I6131">
        <v>4520</v>
      </c>
      <c r="J6131" t="s">
        <v>280</v>
      </c>
      <c r="K6131">
        <v>7525.29</v>
      </c>
      <c r="L6131">
        <v>7.48</v>
      </c>
      <c r="M6131">
        <v>14640</v>
      </c>
      <c r="N6131" t="s">
        <v>78</v>
      </c>
      <c r="O6131">
        <v>250210</v>
      </c>
      <c r="P6131">
        <v>53.42</v>
      </c>
    </row>
    <row r="6132" spans="1:16" x14ac:dyDescent="0.25">
      <c r="A6132" t="s">
        <v>3296</v>
      </c>
      <c r="B6132" t="s">
        <v>2931</v>
      </c>
      <c r="C6132">
        <v>1491</v>
      </c>
      <c r="D6132" t="str">
        <f t="shared" si="102"/>
        <v xml:space="preserve">2560078933  </v>
      </c>
      <c r="E6132" t="s">
        <v>277</v>
      </c>
      <c r="F6132" t="s">
        <v>279</v>
      </c>
      <c r="G6132">
        <v>49.28</v>
      </c>
      <c r="H6132">
        <v>250131</v>
      </c>
      <c r="I6132">
        <v>4520</v>
      </c>
      <c r="J6132" t="s">
        <v>280</v>
      </c>
      <c r="K6132">
        <v>7525.29</v>
      </c>
      <c r="L6132">
        <v>10.01</v>
      </c>
      <c r="M6132">
        <v>14642</v>
      </c>
      <c r="N6132" t="s">
        <v>283</v>
      </c>
      <c r="O6132">
        <v>250210</v>
      </c>
      <c r="P6132">
        <v>39.270000000000003</v>
      </c>
    </row>
    <row r="6133" spans="1:16" x14ac:dyDescent="0.25">
      <c r="A6133" t="s">
        <v>3296</v>
      </c>
      <c r="B6133" t="s">
        <v>2931</v>
      </c>
      <c r="C6133">
        <v>1491</v>
      </c>
      <c r="D6133" t="str">
        <f t="shared" si="102"/>
        <v xml:space="preserve">2560078933  </v>
      </c>
      <c r="E6133" t="s">
        <v>277</v>
      </c>
      <c r="F6133" t="s">
        <v>279</v>
      </c>
      <c r="G6133">
        <v>243.57</v>
      </c>
      <c r="H6133">
        <v>250131</v>
      </c>
      <c r="I6133">
        <v>4520</v>
      </c>
      <c r="J6133" t="s">
        <v>280</v>
      </c>
      <c r="K6133">
        <v>7525.29</v>
      </c>
      <c r="L6133">
        <v>29.91</v>
      </c>
      <c r="M6133">
        <v>14642</v>
      </c>
      <c r="N6133" t="s">
        <v>283</v>
      </c>
      <c r="O6133">
        <v>250210</v>
      </c>
      <c r="P6133">
        <v>213.66</v>
      </c>
    </row>
    <row r="6134" spans="1:16" x14ac:dyDescent="0.25">
      <c r="A6134" t="s">
        <v>3296</v>
      </c>
      <c r="B6134" t="s">
        <v>2931</v>
      </c>
      <c r="C6134">
        <v>1491</v>
      </c>
      <c r="D6134" t="str">
        <f t="shared" si="102"/>
        <v xml:space="preserve">2560078933  </v>
      </c>
      <c r="E6134" t="s">
        <v>277</v>
      </c>
      <c r="F6134" t="s">
        <v>279</v>
      </c>
      <c r="G6134">
        <v>899.3</v>
      </c>
      <c r="H6134">
        <v>250131</v>
      </c>
      <c r="I6134">
        <v>4520</v>
      </c>
      <c r="J6134" t="s">
        <v>280</v>
      </c>
      <c r="K6134">
        <v>7525.29</v>
      </c>
      <c r="L6134">
        <v>182.73</v>
      </c>
      <c r="M6134">
        <v>14912</v>
      </c>
      <c r="N6134" t="s">
        <v>80</v>
      </c>
      <c r="O6134">
        <v>250210</v>
      </c>
      <c r="P6134">
        <v>716.57</v>
      </c>
    </row>
    <row r="6135" spans="1:16" x14ac:dyDescent="0.25">
      <c r="A6135" t="s">
        <v>3296</v>
      </c>
      <c r="B6135" t="s">
        <v>2931</v>
      </c>
      <c r="C6135">
        <v>1491</v>
      </c>
      <c r="D6135" t="str">
        <f t="shared" si="102"/>
        <v xml:space="preserve">2560078933  </v>
      </c>
      <c r="E6135" t="s">
        <v>277</v>
      </c>
      <c r="F6135" t="s">
        <v>279</v>
      </c>
      <c r="G6135">
        <v>4445.2</v>
      </c>
      <c r="H6135">
        <v>250131</v>
      </c>
      <c r="I6135">
        <v>4520</v>
      </c>
      <c r="J6135" t="s">
        <v>280</v>
      </c>
      <c r="K6135">
        <v>7525.29</v>
      </c>
      <c r="L6135">
        <v>545.9</v>
      </c>
      <c r="M6135">
        <v>14912</v>
      </c>
      <c r="N6135" t="s">
        <v>80</v>
      </c>
      <c r="O6135">
        <v>250210</v>
      </c>
      <c r="P6135">
        <v>3899.3</v>
      </c>
    </row>
    <row r="6136" spans="1:16" x14ac:dyDescent="0.25">
      <c r="A6136" t="s">
        <v>3296</v>
      </c>
      <c r="B6136" t="s">
        <v>2931</v>
      </c>
      <c r="C6136">
        <v>1491</v>
      </c>
      <c r="D6136" t="str">
        <f t="shared" si="102"/>
        <v xml:space="preserve">2560078933  </v>
      </c>
      <c r="E6136" t="s">
        <v>277</v>
      </c>
      <c r="F6136" t="s">
        <v>279</v>
      </c>
      <c r="G6136">
        <v>204.06</v>
      </c>
      <c r="H6136">
        <v>250131</v>
      </c>
      <c r="I6136">
        <v>4520</v>
      </c>
      <c r="J6136" t="s">
        <v>280</v>
      </c>
      <c r="K6136">
        <v>7525.29</v>
      </c>
      <c r="L6136">
        <v>25.06</v>
      </c>
      <c r="M6136">
        <v>14990</v>
      </c>
      <c r="N6136" t="s">
        <v>85</v>
      </c>
      <c r="O6136">
        <v>250210</v>
      </c>
      <c r="P6136">
        <v>179</v>
      </c>
    </row>
    <row r="6137" spans="1:16" x14ac:dyDescent="0.25">
      <c r="A6137" t="s">
        <v>3296</v>
      </c>
      <c r="B6137" t="s">
        <v>2931</v>
      </c>
      <c r="C6137">
        <v>1503</v>
      </c>
      <c r="D6137" t="str">
        <f t="shared" ref="D6137:D6151" si="103">"2560065458  "</f>
        <v xml:space="preserve">2560065458  </v>
      </c>
      <c r="E6137" t="s">
        <v>277</v>
      </c>
      <c r="F6137" t="s">
        <v>279</v>
      </c>
      <c r="G6137">
        <v>6.72</v>
      </c>
      <c r="H6137">
        <v>250127</v>
      </c>
      <c r="I6137">
        <v>4520</v>
      </c>
      <c r="J6137" t="s">
        <v>280</v>
      </c>
      <c r="K6137">
        <v>6057.64</v>
      </c>
      <c r="L6137">
        <v>0.83</v>
      </c>
      <c r="M6137">
        <v>14422</v>
      </c>
      <c r="N6137" t="s">
        <v>73</v>
      </c>
      <c r="O6137">
        <v>250210</v>
      </c>
      <c r="P6137">
        <v>5.89</v>
      </c>
    </row>
    <row r="6138" spans="1:16" x14ac:dyDescent="0.25">
      <c r="A6138" t="s">
        <v>3296</v>
      </c>
      <c r="B6138" t="s">
        <v>2931</v>
      </c>
      <c r="C6138">
        <v>1503</v>
      </c>
      <c r="D6138" t="str">
        <f t="shared" si="103"/>
        <v xml:space="preserve">2560065458  </v>
      </c>
      <c r="E6138" t="s">
        <v>277</v>
      </c>
      <c r="F6138" t="s">
        <v>279</v>
      </c>
      <c r="G6138">
        <v>50.56</v>
      </c>
      <c r="H6138">
        <v>250127</v>
      </c>
      <c r="I6138">
        <v>4520</v>
      </c>
      <c r="J6138" t="s">
        <v>280</v>
      </c>
      <c r="K6138">
        <v>6057.64</v>
      </c>
      <c r="L6138">
        <v>6.21</v>
      </c>
      <c r="M6138">
        <v>14422</v>
      </c>
      <c r="N6138" t="s">
        <v>73</v>
      </c>
      <c r="O6138">
        <v>250210</v>
      </c>
      <c r="P6138">
        <v>44.35</v>
      </c>
    </row>
    <row r="6139" spans="1:16" x14ac:dyDescent="0.25">
      <c r="A6139" t="s">
        <v>3296</v>
      </c>
      <c r="B6139" t="s">
        <v>2931</v>
      </c>
      <c r="C6139">
        <v>1503</v>
      </c>
      <c r="D6139" t="str">
        <f t="shared" si="103"/>
        <v xml:space="preserve">2560065458  </v>
      </c>
      <c r="E6139" t="s">
        <v>277</v>
      </c>
      <c r="F6139" t="s">
        <v>279</v>
      </c>
      <c r="G6139">
        <v>26.86</v>
      </c>
      <c r="H6139">
        <v>250127</v>
      </c>
      <c r="I6139">
        <v>4520</v>
      </c>
      <c r="J6139" t="s">
        <v>280</v>
      </c>
      <c r="K6139">
        <v>6057.64</v>
      </c>
      <c r="L6139">
        <v>5.46</v>
      </c>
      <c r="M6139">
        <v>14431</v>
      </c>
      <c r="N6139" t="s">
        <v>74</v>
      </c>
      <c r="O6139">
        <v>250210</v>
      </c>
      <c r="P6139">
        <v>21.4</v>
      </c>
    </row>
    <row r="6140" spans="1:16" x14ac:dyDescent="0.25">
      <c r="A6140" t="s">
        <v>3296</v>
      </c>
      <c r="B6140" t="s">
        <v>2931</v>
      </c>
      <c r="C6140">
        <v>1503</v>
      </c>
      <c r="D6140" t="str">
        <f t="shared" si="103"/>
        <v xml:space="preserve">2560065458  </v>
      </c>
      <c r="E6140" t="s">
        <v>277</v>
      </c>
      <c r="F6140" t="s">
        <v>279</v>
      </c>
      <c r="G6140">
        <v>202.25</v>
      </c>
      <c r="H6140">
        <v>250127</v>
      </c>
      <c r="I6140">
        <v>4520</v>
      </c>
      <c r="J6140" t="s">
        <v>280</v>
      </c>
      <c r="K6140">
        <v>6057.64</v>
      </c>
      <c r="L6140">
        <v>24.84</v>
      </c>
      <c r="M6140">
        <v>14431</v>
      </c>
      <c r="N6140" t="s">
        <v>74</v>
      </c>
      <c r="O6140">
        <v>250210</v>
      </c>
      <c r="P6140">
        <v>177.41</v>
      </c>
    </row>
    <row r="6141" spans="1:16" x14ac:dyDescent="0.25">
      <c r="A6141" t="s">
        <v>3296</v>
      </c>
      <c r="B6141" t="s">
        <v>2931</v>
      </c>
      <c r="C6141">
        <v>1503</v>
      </c>
      <c r="D6141" t="str">
        <f t="shared" si="103"/>
        <v xml:space="preserve">2560065458  </v>
      </c>
      <c r="E6141" t="s">
        <v>277</v>
      </c>
      <c r="F6141" t="s">
        <v>279</v>
      </c>
      <c r="G6141">
        <v>114.17</v>
      </c>
      <c r="H6141">
        <v>250127</v>
      </c>
      <c r="I6141">
        <v>4520</v>
      </c>
      <c r="J6141" t="s">
        <v>280</v>
      </c>
      <c r="K6141">
        <v>6057.64</v>
      </c>
      <c r="L6141">
        <v>23.2</v>
      </c>
      <c r="M6141">
        <v>14432</v>
      </c>
      <c r="N6141" t="s">
        <v>75</v>
      </c>
      <c r="O6141">
        <v>250210</v>
      </c>
      <c r="P6141">
        <v>90.97</v>
      </c>
    </row>
    <row r="6142" spans="1:16" x14ac:dyDescent="0.25">
      <c r="A6142" t="s">
        <v>3296</v>
      </c>
      <c r="B6142" t="s">
        <v>2931</v>
      </c>
      <c r="C6142">
        <v>1503</v>
      </c>
      <c r="D6142" t="str">
        <f t="shared" si="103"/>
        <v xml:space="preserve">2560065458  </v>
      </c>
      <c r="E6142" t="s">
        <v>277</v>
      </c>
      <c r="F6142" t="s">
        <v>279</v>
      </c>
      <c r="G6142">
        <v>859.57</v>
      </c>
      <c r="H6142">
        <v>250127</v>
      </c>
      <c r="I6142">
        <v>4520</v>
      </c>
      <c r="J6142" t="s">
        <v>280</v>
      </c>
      <c r="K6142">
        <v>6057.64</v>
      </c>
      <c r="L6142">
        <v>105.56</v>
      </c>
      <c r="M6142">
        <v>14432</v>
      </c>
      <c r="N6142" t="s">
        <v>75</v>
      </c>
      <c r="O6142">
        <v>250210</v>
      </c>
      <c r="P6142">
        <v>754.01</v>
      </c>
    </row>
    <row r="6143" spans="1:16" x14ac:dyDescent="0.25">
      <c r="A6143" t="s">
        <v>3296</v>
      </c>
      <c r="B6143" t="s">
        <v>2931</v>
      </c>
      <c r="C6143">
        <v>1503</v>
      </c>
      <c r="D6143" t="str">
        <f t="shared" si="103"/>
        <v xml:space="preserve">2560065458  </v>
      </c>
      <c r="E6143" t="s">
        <v>277</v>
      </c>
      <c r="F6143" t="s">
        <v>279</v>
      </c>
      <c r="G6143">
        <v>6.72</v>
      </c>
      <c r="H6143">
        <v>250127</v>
      </c>
      <c r="I6143">
        <v>4520</v>
      </c>
      <c r="J6143" t="s">
        <v>280</v>
      </c>
      <c r="K6143">
        <v>6057.64</v>
      </c>
      <c r="L6143">
        <v>0.83</v>
      </c>
      <c r="M6143">
        <v>14640</v>
      </c>
      <c r="N6143" t="s">
        <v>78</v>
      </c>
      <c r="O6143">
        <v>250210</v>
      </c>
      <c r="P6143">
        <v>5.89</v>
      </c>
    </row>
    <row r="6144" spans="1:16" x14ac:dyDescent="0.25">
      <c r="A6144" t="s">
        <v>3296</v>
      </c>
      <c r="B6144" t="s">
        <v>2931</v>
      </c>
      <c r="C6144">
        <v>1503</v>
      </c>
      <c r="D6144" t="str">
        <f t="shared" si="103"/>
        <v xml:space="preserve">2560065458  </v>
      </c>
      <c r="E6144" t="s">
        <v>277</v>
      </c>
      <c r="F6144" t="s">
        <v>279</v>
      </c>
      <c r="G6144">
        <v>50.57</v>
      </c>
      <c r="H6144">
        <v>250127</v>
      </c>
      <c r="I6144">
        <v>4520</v>
      </c>
      <c r="J6144" t="s">
        <v>280</v>
      </c>
      <c r="K6144">
        <v>6057.64</v>
      </c>
      <c r="L6144">
        <v>6.21</v>
      </c>
      <c r="M6144">
        <v>14640</v>
      </c>
      <c r="N6144" t="s">
        <v>78</v>
      </c>
      <c r="O6144">
        <v>250210</v>
      </c>
      <c r="P6144">
        <v>44.36</v>
      </c>
    </row>
    <row r="6145" spans="1:16" x14ac:dyDescent="0.25">
      <c r="A6145" t="s">
        <v>3296</v>
      </c>
      <c r="B6145" t="s">
        <v>2931</v>
      </c>
      <c r="C6145">
        <v>1503</v>
      </c>
      <c r="D6145" t="str">
        <f t="shared" si="103"/>
        <v xml:space="preserve">2560065458  </v>
      </c>
      <c r="E6145" t="s">
        <v>277</v>
      </c>
      <c r="F6145" t="s">
        <v>279</v>
      </c>
      <c r="G6145">
        <v>26.86</v>
      </c>
      <c r="H6145">
        <v>250127</v>
      </c>
      <c r="I6145">
        <v>4520</v>
      </c>
      <c r="J6145" t="s">
        <v>280</v>
      </c>
      <c r="K6145">
        <v>6057.64</v>
      </c>
      <c r="L6145">
        <v>5.46</v>
      </c>
      <c r="M6145">
        <v>14642</v>
      </c>
      <c r="N6145" t="s">
        <v>283</v>
      </c>
      <c r="O6145">
        <v>250210</v>
      </c>
      <c r="P6145">
        <v>21.4</v>
      </c>
    </row>
    <row r="6146" spans="1:16" x14ac:dyDescent="0.25">
      <c r="A6146" t="s">
        <v>3296</v>
      </c>
      <c r="B6146" t="s">
        <v>2931</v>
      </c>
      <c r="C6146">
        <v>1503</v>
      </c>
      <c r="D6146" t="str">
        <f t="shared" si="103"/>
        <v xml:space="preserve">2560065458  </v>
      </c>
      <c r="E6146" t="s">
        <v>277</v>
      </c>
      <c r="F6146" t="s">
        <v>279</v>
      </c>
      <c r="G6146">
        <v>202.25</v>
      </c>
      <c r="H6146">
        <v>250127</v>
      </c>
      <c r="I6146">
        <v>4520</v>
      </c>
      <c r="J6146" t="s">
        <v>280</v>
      </c>
      <c r="K6146">
        <v>6057.64</v>
      </c>
      <c r="L6146">
        <v>24.84</v>
      </c>
      <c r="M6146">
        <v>14642</v>
      </c>
      <c r="N6146" t="s">
        <v>283</v>
      </c>
      <c r="O6146">
        <v>250210</v>
      </c>
      <c r="P6146">
        <v>177.41</v>
      </c>
    </row>
    <row r="6147" spans="1:16" x14ac:dyDescent="0.25">
      <c r="A6147" t="s">
        <v>3296</v>
      </c>
      <c r="B6147" t="s">
        <v>2931</v>
      </c>
      <c r="C6147">
        <v>1503</v>
      </c>
      <c r="D6147" t="str">
        <f t="shared" si="103"/>
        <v xml:space="preserve">2560065458  </v>
      </c>
      <c r="E6147" t="s">
        <v>277</v>
      </c>
      <c r="F6147" t="s">
        <v>279</v>
      </c>
      <c r="G6147">
        <v>13.44</v>
      </c>
      <c r="H6147">
        <v>250127</v>
      </c>
      <c r="I6147">
        <v>4520</v>
      </c>
      <c r="J6147" t="s">
        <v>280</v>
      </c>
      <c r="K6147">
        <v>6057.64</v>
      </c>
      <c r="L6147">
        <v>2.73</v>
      </c>
      <c r="M6147">
        <v>14912</v>
      </c>
      <c r="N6147" t="s">
        <v>80</v>
      </c>
      <c r="O6147">
        <v>250210</v>
      </c>
      <c r="P6147">
        <v>10.71</v>
      </c>
    </row>
    <row r="6148" spans="1:16" x14ac:dyDescent="0.25">
      <c r="A6148" t="s">
        <v>3296</v>
      </c>
      <c r="B6148" t="s">
        <v>2931</v>
      </c>
      <c r="C6148">
        <v>1503</v>
      </c>
      <c r="D6148" t="str">
        <f t="shared" si="103"/>
        <v xml:space="preserve">2560065458  </v>
      </c>
      <c r="E6148" t="s">
        <v>277</v>
      </c>
      <c r="F6148" t="s">
        <v>279</v>
      </c>
      <c r="G6148">
        <v>490.25</v>
      </c>
      <c r="H6148">
        <v>250127</v>
      </c>
      <c r="I6148">
        <v>4520</v>
      </c>
      <c r="J6148" t="s">
        <v>280</v>
      </c>
      <c r="K6148">
        <v>6057.64</v>
      </c>
      <c r="L6148">
        <v>99.61</v>
      </c>
      <c r="M6148">
        <v>14912</v>
      </c>
      <c r="N6148" t="s">
        <v>80</v>
      </c>
      <c r="O6148">
        <v>250210</v>
      </c>
      <c r="P6148">
        <v>390.64</v>
      </c>
    </row>
    <row r="6149" spans="1:16" x14ac:dyDescent="0.25">
      <c r="A6149" t="s">
        <v>3296</v>
      </c>
      <c r="B6149" t="s">
        <v>2931</v>
      </c>
      <c r="C6149">
        <v>1503</v>
      </c>
      <c r="D6149" t="str">
        <f t="shared" si="103"/>
        <v xml:space="preserve">2560065458  </v>
      </c>
      <c r="E6149" t="s">
        <v>277</v>
      </c>
      <c r="F6149" t="s">
        <v>279</v>
      </c>
      <c r="G6149">
        <v>3677.66</v>
      </c>
      <c r="H6149">
        <v>250127</v>
      </c>
      <c r="I6149">
        <v>4520</v>
      </c>
      <c r="J6149" t="s">
        <v>280</v>
      </c>
      <c r="K6149">
        <v>6057.64</v>
      </c>
      <c r="L6149">
        <v>451.64</v>
      </c>
      <c r="M6149">
        <v>14912</v>
      </c>
      <c r="N6149" t="s">
        <v>80</v>
      </c>
      <c r="O6149">
        <v>250210</v>
      </c>
      <c r="P6149">
        <v>3226.02</v>
      </c>
    </row>
    <row r="6150" spans="1:16" x14ac:dyDescent="0.25">
      <c r="A6150" t="s">
        <v>3296</v>
      </c>
      <c r="B6150" t="s">
        <v>2931</v>
      </c>
      <c r="C6150">
        <v>1503</v>
      </c>
      <c r="D6150" t="str">
        <f t="shared" si="103"/>
        <v xml:space="preserve">2560065458  </v>
      </c>
      <c r="E6150" t="s">
        <v>277</v>
      </c>
      <c r="F6150" t="s">
        <v>279</v>
      </c>
      <c r="G6150">
        <v>143.07</v>
      </c>
      <c r="H6150">
        <v>250127</v>
      </c>
      <c r="I6150">
        <v>4520</v>
      </c>
      <c r="J6150" t="s">
        <v>280</v>
      </c>
      <c r="K6150">
        <v>6057.64</v>
      </c>
      <c r="L6150">
        <v>17.57</v>
      </c>
      <c r="M6150">
        <v>14990</v>
      </c>
      <c r="N6150" t="s">
        <v>85</v>
      </c>
      <c r="O6150">
        <v>250210</v>
      </c>
      <c r="P6150">
        <v>125.5</v>
      </c>
    </row>
    <row r="6151" spans="1:16" x14ac:dyDescent="0.25">
      <c r="A6151" t="s">
        <v>3296</v>
      </c>
      <c r="B6151" t="s">
        <v>2931</v>
      </c>
      <c r="C6151">
        <v>1503</v>
      </c>
      <c r="D6151" t="str">
        <f t="shared" si="103"/>
        <v xml:space="preserve">2560065458  </v>
      </c>
      <c r="E6151" t="s">
        <v>277</v>
      </c>
      <c r="F6151" t="s">
        <v>279</v>
      </c>
      <c r="G6151">
        <v>186.69</v>
      </c>
      <c r="H6151">
        <v>250127</v>
      </c>
      <c r="I6151">
        <v>4520</v>
      </c>
      <c r="J6151" t="s">
        <v>280</v>
      </c>
      <c r="K6151">
        <v>6057.64</v>
      </c>
      <c r="L6151">
        <v>22.93</v>
      </c>
      <c r="M6151">
        <v>14990</v>
      </c>
      <c r="N6151" t="s">
        <v>85</v>
      </c>
      <c r="O6151">
        <v>250210</v>
      </c>
      <c r="P6151">
        <v>163.76</v>
      </c>
    </row>
    <row r="6152" spans="1:16" x14ac:dyDescent="0.25">
      <c r="A6152" t="s">
        <v>3296</v>
      </c>
      <c r="B6152" t="s">
        <v>2931</v>
      </c>
      <c r="C6152">
        <v>1583</v>
      </c>
      <c r="D6152" t="str">
        <f>"2560128306  "</f>
        <v xml:space="preserve">2560128306  </v>
      </c>
      <c r="E6152" t="s">
        <v>277</v>
      </c>
      <c r="F6152" t="s">
        <v>279</v>
      </c>
      <c r="G6152">
        <v>1529.66</v>
      </c>
      <c r="H6152">
        <v>250210</v>
      </c>
      <c r="I6152">
        <v>4520</v>
      </c>
      <c r="J6152" t="s">
        <v>280</v>
      </c>
      <c r="K6152">
        <v>2082.6</v>
      </c>
      <c r="L6152">
        <v>187.85</v>
      </c>
      <c r="M6152">
        <v>59113</v>
      </c>
      <c r="N6152" t="s">
        <v>61</v>
      </c>
      <c r="O6152">
        <v>250211</v>
      </c>
      <c r="P6152">
        <v>1341.81</v>
      </c>
    </row>
    <row r="6153" spans="1:16" x14ac:dyDescent="0.25">
      <c r="A6153" t="s">
        <v>3296</v>
      </c>
      <c r="B6153" t="s">
        <v>2931</v>
      </c>
      <c r="C6153">
        <v>1583</v>
      </c>
      <c r="D6153" t="str">
        <f>"2560128306  "</f>
        <v xml:space="preserve">2560128306  </v>
      </c>
      <c r="E6153" t="s">
        <v>277</v>
      </c>
      <c r="F6153" t="s">
        <v>279</v>
      </c>
      <c r="G6153">
        <v>269.94</v>
      </c>
      <c r="H6153">
        <v>250210</v>
      </c>
      <c r="I6153">
        <v>4520</v>
      </c>
      <c r="J6153" t="s">
        <v>280</v>
      </c>
      <c r="K6153">
        <v>2082.6</v>
      </c>
      <c r="L6153">
        <v>33.15</v>
      </c>
      <c r="M6153">
        <v>59803</v>
      </c>
      <c r="N6153" t="s">
        <v>282</v>
      </c>
      <c r="O6153">
        <v>250211</v>
      </c>
      <c r="P6153">
        <v>236.79</v>
      </c>
    </row>
    <row r="6154" spans="1:16" x14ac:dyDescent="0.25">
      <c r="A6154" t="s">
        <v>3296</v>
      </c>
      <c r="B6154" t="s">
        <v>2931</v>
      </c>
      <c r="C6154">
        <v>1585</v>
      </c>
      <c r="D6154" t="str">
        <f>"2560128304  "</f>
        <v xml:space="preserve">2560128304  </v>
      </c>
      <c r="E6154" t="s">
        <v>277</v>
      </c>
      <c r="F6154" t="s">
        <v>279</v>
      </c>
      <c r="G6154">
        <v>890.42</v>
      </c>
      <c r="H6154">
        <v>250210</v>
      </c>
      <c r="I6154">
        <v>4520</v>
      </c>
      <c r="J6154" t="s">
        <v>280</v>
      </c>
      <c r="K6154">
        <v>876.4</v>
      </c>
      <c r="L6154">
        <v>109.35</v>
      </c>
      <c r="M6154">
        <v>59114</v>
      </c>
      <c r="N6154" t="s">
        <v>299</v>
      </c>
      <c r="O6154">
        <v>250211</v>
      </c>
      <c r="P6154">
        <v>781.07</v>
      </c>
    </row>
    <row r="6155" spans="1:16" x14ac:dyDescent="0.25">
      <c r="A6155" t="s">
        <v>3296</v>
      </c>
      <c r="B6155" t="s">
        <v>2931</v>
      </c>
      <c r="C6155">
        <v>1645</v>
      </c>
      <c r="D6155" t="str">
        <f>"2560128307  "</f>
        <v xml:space="preserve">2560128307  </v>
      </c>
      <c r="E6155" t="s">
        <v>277</v>
      </c>
      <c r="F6155" t="s">
        <v>279</v>
      </c>
      <c r="G6155">
        <v>1944.57</v>
      </c>
      <c r="H6155">
        <v>250210</v>
      </c>
      <c r="I6155">
        <v>4520</v>
      </c>
      <c r="J6155" t="s">
        <v>280</v>
      </c>
      <c r="K6155">
        <v>2300.2800000000002</v>
      </c>
      <c r="L6155">
        <v>238.81</v>
      </c>
      <c r="M6155">
        <v>69113</v>
      </c>
      <c r="N6155" t="s">
        <v>122</v>
      </c>
      <c r="O6155">
        <v>250212</v>
      </c>
      <c r="P6155">
        <v>1705.76</v>
      </c>
    </row>
    <row r="6156" spans="1:16" x14ac:dyDescent="0.25">
      <c r="A6156" t="s">
        <v>3296</v>
      </c>
      <c r="B6156" t="s">
        <v>2931</v>
      </c>
      <c r="C6156">
        <v>1645</v>
      </c>
      <c r="D6156" t="str">
        <f>"2560128307  "</f>
        <v xml:space="preserve">2560128307  </v>
      </c>
      <c r="E6156" t="s">
        <v>277</v>
      </c>
      <c r="F6156" t="s">
        <v>279</v>
      </c>
      <c r="G6156">
        <v>228.77</v>
      </c>
      <c r="H6156">
        <v>250210</v>
      </c>
      <c r="I6156">
        <v>4520</v>
      </c>
      <c r="J6156" t="s">
        <v>280</v>
      </c>
      <c r="K6156">
        <v>2300.2800000000002</v>
      </c>
      <c r="L6156">
        <v>28.09</v>
      </c>
      <c r="M6156">
        <v>69802</v>
      </c>
      <c r="N6156" t="s">
        <v>375</v>
      </c>
      <c r="O6156">
        <v>250212</v>
      </c>
      <c r="P6156">
        <v>200.68</v>
      </c>
    </row>
    <row r="6157" spans="1:16" x14ac:dyDescent="0.25">
      <c r="A6157" t="s">
        <v>3296</v>
      </c>
      <c r="B6157" t="s">
        <v>2931</v>
      </c>
      <c r="C6157">
        <v>1645</v>
      </c>
      <c r="D6157" t="str">
        <f>"2560128307  "</f>
        <v xml:space="preserve">2560128307  </v>
      </c>
      <c r="E6157" t="s">
        <v>277</v>
      </c>
      <c r="F6157" t="s">
        <v>279</v>
      </c>
      <c r="G6157">
        <v>114.39</v>
      </c>
      <c r="H6157">
        <v>250210</v>
      </c>
      <c r="I6157">
        <v>4520</v>
      </c>
      <c r="J6157" t="s">
        <v>280</v>
      </c>
      <c r="K6157">
        <v>2300.2800000000002</v>
      </c>
      <c r="L6157">
        <v>14.05</v>
      </c>
      <c r="M6157">
        <v>69804</v>
      </c>
      <c r="N6157" t="s">
        <v>376</v>
      </c>
      <c r="O6157">
        <v>250212</v>
      </c>
      <c r="P6157">
        <v>100.34</v>
      </c>
    </row>
    <row r="6158" spans="1:16" x14ac:dyDescent="0.25">
      <c r="A6158" t="s">
        <v>3296</v>
      </c>
      <c r="B6158" t="s">
        <v>2931</v>
      </c>
      <c r="C6158">
        <v>1647</v>
      </c>
      <c r="D6158" t="str">
        <f>"2560128314  "</f>
        <v xml:space="preserve">2560128314  </v>
      </c>
      <c r="E6158" t="s">
        <v>277</v>
      </c>
      <c r="F6158" t="s">
        <v>279</v>
      </c>
      <c r="G6158">
        <v>1019.68</v>
      </c>
      <c r="H6158">
        <v>250210</v>
      </c>
      <c r="I6158">
        <v>4520</v>
      </c>
      <c r="J6158" t="s">
        <v>280</v>
      </c>
      <c r="K6158">
        <v>1199.73</v>
      </c>
      <c r="L6158">
        <v>125.22</v>
      </c>
      <c r="M6158">
        <v>69112</v>
      </c>
      <c r="N6158" t="s">
        <v>227</v>
      </c>
      <c r="O6158">
        <v>250212</v>
      </c>
      <c r="P6158">
        <v>894.46</v>
      </c>
    </row>
    <row r="6159" spans="1:16" x14ac:dyDescent="0.25">
      <c r="A6159" t="s">
        <v>3296</v>
      </c>
      <c r="B6159" t="s">
        <v>2931</v>
      </c>
      <c r="C6159">
        <v>1647</v>
      </c>
      <c r="D6159" t="str">
        <f>"2560128314  "</f>
        <v xml:space="preserve">2560128314  </v>
      </c>
      <c r="E6159" t="s">
        <v>277</v>
      </c>
      <c r="F6159" t="s">
        <v>279</v>
      </c>
      <c r="G6159">
        <v>56.65</v>
      </c>
      <c r="H6159">
        <v>250210</v>
      </c>
      <c r="I6159">
        <v>4520</v>
      </c>
      <c r="J6159" t="s">
        <v>280</v>
      </c>
      <c r="K6159">
        <v>1199.73</v>
      </c>
      <c r="L6159">
        <v>6.96</v>
      </c>
      <c r="M6159">
        <v>69810</v>
      </c>
      <c r="N6159" t="s">
        <v>229</v>
      </c>
      <c r="O6159">
        <v>250212</v>
      </c>
      <c r="P6159">
        <v>49.69</v>
      </c>
    </row>
    <row r="6160" spans="1:16" x14ac:dyDescent="0.25">
      <c r="A6160" t="s">
        <v>3296</v>
      </c>
      <c r="B6160" t="s">
        <v>2931</v>
      </c>
      <c r="C6160">
        <v>1647</v>
      </c>
      <c r="D6160" t="str">
        <f>"2560128314  "</f>
        <v xml:space="preserve">2560128314  </v>
      </c>
      <c r="E6160" t="s">
        <v>277</v>
      </c>
      <c r="F6160" t="s">
        <v>279</v>
      </c>
      <c r="G6160">
        <v>56.65</v>
      </c>
      <c r="H6160">
        <v>250210</v>
      </c>
      <c r="I6160">
        <v>4520</v>
      </c>
      <c r="J6160" t="s">
        <v>280</v>
      </c>
      <c r="K6160">
        <v>1199.73</v>
      </c>
      <c r="L6160">
        <v>6.96</v>
      </c>
      <c r="M6160">
        <v>69811</v>
      </c>
      <c r="N6160" t="s">
        <v>230</v>
      </c>
      <c r="O6160">
        <v>250212</v>
      </c>
      <c r="P6160">
        <v>49.69</v>
      </c>
    </row>
    <row r="6161" spans="1:16" x14ac:dyDescent="0.25">
      <c r="A6161" t="s">
        <v>3296</v>
      </c>
      <c r="B6161" t="s">
        <v>2931</v>
      </c>
      <c r="C6161">
        <v>1700</v>
      </c>
      <c r="D6161" t="str">
        <f>"2560112596  "</f>
        <v xml:space="preserve">2560112596  </v>
      </c>
      <c r="E6161" t="s">
        <v>277</v>
      </c>
      <c r="F6161" t="s">
        <v>279</v>
      </c>
      <c r="G6161">
        <v>283.95</v>
      </c>
      <c r="H6161">
        <v>250201</v>
      </c>
      <c r="I6161">
        <v>4520</v>
      </c>
      <c r="J6161" t="s">
        <v>280</v>
      </c>
      <c r="K6161">
        <v>646.03</v>
      </c>
      <c r="L6161">
        <v>34.869999999999997</v>
      </c>
      <c r="M6161">
        <v>44222</v>
      </c>
      <c r="N6161" t="s">
        <v>96</v>
      </c>
      <c r="O6161">
        <v>250212</v>
      </c>
      <c r="P6161">
        <v>249.08</v>
      </c>
    </row>
    <row r="6162" spans="1:16" x14ac:dyDescent="0.25">
      <c r="A6162" t="s">
        <v>3296</v>
      </c>
      <c r="B6162" t="s">
        <v>2931</v>
      </c>
      <c r="C6162">
        <v>1700</v>
      </c>
      <c r="D6162" t="str">
        <f>"2560112596  "</f>
        <v xml:space="preserve">2560112596  </v>
      </c>
      <c r="E6162" t="s">
        <v>277</v>
      </c>
      <c r="F6162" t="s">
        <v>279</v>
      </c>
      <c r="G6162">
        <v>331.43</v>
      </c>
      <c r="H6162">
        <v>250201</v>
      </c>
      <c r="I6162">
        <v>4520</v>
      </c>
      <c r="J6162" t="s">
        <v>280</v>
      </c>
      <c r="K6162">
        <v>646.03</v>
      </c>
      <c r="L6162">
        <v>40.700000000000003</v>
      </c>
      <c r="M6162">
        <v>44253</v>
      </c>
      <c r="N6162" t="s">
        <v>403</v>
      </c>
      <c r="O6162">
        <v>250212</v>
      </c>
      <c r="P6162">
        <v>290.73</v>
      </c>
    </row>
    <row r="6163" spans="1:16" x14ac:dyDescent="0.25">
      <c r="A6163" t="s">
        <v>3296</v>
      </c>
      <c r="B6163" t="s">
        <v>2931</v>
      </c>
      <c r="C6163">
        <v>1701</v>
      </c>
      <c r="D6163" t="str">
        <f>"2560065459  "</f>
        <v xml:space="preserve">2560065459  </v>
      </c>
      <c r="E6163" t="s">
        <v>277</v>
      </c>
      <c r="F6163" t="s">
        <v>279</v>
      </c>
      <c r="G6163">
        <v>492.4</v>
      </c>
      <c r="H6163">
        <v>250127</v>
      </c>
      <c r="I6163">
        <v>4520</v>
      </c>
      <c r="J6163" t="s">
        <v>280</v>
      </c>
      <c r="K6163">
        <v>498.4</v>
      </c>
      <c r="L6163">
        <v>60.47</v>
      </c>
      <c r="M6163">
        <v>44253</v>
      </c>
      <c r="N6163" t="s">
        <v>403</v>
      </c>
      <c r="O6163">
        <v>250212</v>
      </c>
      <c r="P6163">
        <v>431.93</v>
      </c>
    </row>
    <row r="6164" spans="1:16" x14ac:dyDescent="0.25">
      <c r="A6164" t="s">
        <v>3296</v>
      </c>
      <c r="B6164" t="s">
        <v>2931</v>
      </c>
      <c r="C6164">
        <v>1702</v>
      </c>
      <c r="D6164" t="str">
        <f>"2560078934  "</f>
        <v xml:space="preserve">2560078934  </v>
      </c>
      <c r="E6164" t="s">
        <v>277</v>
      </c>
      <c r="F6164" t="s">
        <v>279</v>
      </c>
      <c r="G6164">
        <v>45.26</v>
      </c>
      <c r="H6164">
        <v>250131</v>
      </c>
      <c r="I6164">
        <v>4520</v>
      </c>
      <c r="J6164" t="s">
        <v>280</v>
      </c>
      <c r="K6164">
        <v>45.26</v>
      </c>
      <c r="L6164">
        <v>5.56</v>
      </c>
      <c r="M6164">
        <v>44222</v>
      </c>
      <c r="N6164" t="s">
        <v>96</v>
      </c>
      <c r="O6164">
        <v>250212</v>
      </c>
      <c r="P6164">
        <v>39.700000000000003</v>
      </c>
    </row>
    <row r="6165" spans="1:16" x14ac:dyDescent="0.25">
      <c r="A6165" t="s">
        <v>3296</v>
      </c>
      <c r="B6165" t="s">
        <v>2931</v>
      </c>
      <c r="C6165">
        <v>1703</v>
      </c>
      <c r="D6165" t="str">
        <f t="shared" ref="D6165:D6170" si="104">"2560128311  "</f>
        <v xml:space="preserve">2560128311  </v>
      </c>
      <c r="E6165" t="s">
        <v>277</v>
      </c>
      <c r="F6165" t="s">
        <v>279</v>
      </c>
      <c r="G6165">
        <v>30.3</v>
      </c>
      <c r="H6165">
        <v>250210</v>
      </c>
      <c r="I6165">
        <v>4520</v>
      </c>
      <c r="J6165" t="s">
        <v>280</v>
      </c>
      <c r="K6165">
        <v>2389.6999999999998</v>
      </c>
      <c r="L6165">
        <v>6.16</v>
      </c>
      <c r="M6165">
        <v>16431</v>
      </c>
      <c r="N6165" t="s">
        <v>17</v>
      </c>
      <c r="O6165">
        <v>250212</v>
      </c>
      <c r="P6165">
        <v>24.14</v>
      </c>
    </row>
    <row r="6166" spans="1:16" x14ac:dyDescent="0.25">
      <c r="A6166" t="s">
        <v>3296</v>
      </c>
      <c r="B6166" t="s">
        <v>2931</v>
      </c>
      <c r="C6166">
        <v>1703</v>
      </c>
      <c r="D6166" t="str">
        <f t="shared" si="104"/>
        <v xml:space="preserve">2560128311  </v>
      </c>
      <c r="E6166" t="s">
        <v>277</v>
      </c>
      <c r="F6166" t="s">
        <v>279</v>
      </c>
      <c r="G6166">
        <v>209.1</v>
      </c>
      <c r="H6166">
        <v>250210</v>
      </c>
      <c r="I6166">
        <v>4520</v>
      </c>
      <c r="J6166" t="s">
        <v>280</v>
      </c>
      <c r="K6166">
        <v>2389.6999999999998</v>
      </c>
      <c r="L6166">
        <v>25.68</v>
      </c>
      <c r="M6166">
        <v>16431</v>
      </c>
      <c r="N6166" t="s">
        <v>17</v>
      </c>
      <c r="O6166">
        <v>250212</v>
      </c>
      <c r="P6166">
        <v>183.42</v>
      </c>
    </row>
    <row r="6167" spans="1:16" x14ac:dyDescent="0.25">
      <c r="A6167" t="s">
        <v>3296</v>
      </c>
      <c r="B6167" t="s">
        <v>2931</v>
      </c>
      <c r="C6167">
        <v>1703</v>
      </c>
      <c r="D6167" t="str">
        <f t="shared" si="104"/>
        <v xml:space="preserve">2560128311  </v>
      </c>
      <c r="E6167" t="s">
        <v>277</v>
      </c>
      <c r="F6167" t="s">
        <v>279</v>
      </c>
      <c r="G6167">
        <v>264.2</v>
      </c>
      <c r="H6167">
        <v>250210</v>
      </c>
      <c r="I6167">
        <v>4520</v>
      </c>
      <c r="J6167" t="s">
        <v>280</v>
      </c>
      <c r="K6167">
        <v>2389.6999999999998</v>
      </c>
      <c r="L6167">
        <v>32.450000000000003</v>
      </c>
      <c r="M6167">
        <v>16442</v>
      </c>
      <c r="N6167" t="s">
        <v>304</v>
      </c>
      <c r="O6167">
        <v>250212</v>
      </c>
      <c r="P6167">
        <v>231.75</v>
      </c>
    </row>
    <row r="6168" spans="1:16" x14ac:dyDescent="0.25">
      <c r="A6168" t="s">
        <v>3296</v>
      </c>
      <c r="B6168" t="s">
        <v>2931</v>
      </c>
      <c r="C6168">
        <v>1703</v>
      </c>
      <c r="D6168" t="str">
        <f t="shared" si="104"/>
        <v xml:space="preserve">2560128311  </v>
      </c>
      <c r="E6168" t="s">
        <v>277</v>
      </c>
      <c r="F6168" t="s">
        <v>279</v>
      </c>
      <c r="G6168">
        <v>30.32</v>
      </c>
      <c r="H6168">
        <v>250210</v>
      </c>
      <c r="I6168">
        <v>4520</v>
      </c>
      <c r="J6168" t="s">
        <v>280</v>
      </c>
      <c r="K6168">
        <v>2389.6999999999998</v>
      </c>
      <c r="L6168">
        <v>6.16</v>
      </c>
      <c r="M6168">
        <v>17913</v>
      </c>
      <c r="N6168" t="s">
        <v>26</v>
      </c>
      <c r="O6168">
        <v>250212</v>
      </c>
      <c r="P6168">
        <v>24.16</v>
      </c>
    </row>
    <row r="6169" spans="1:16" x14ac:dyDescent="0.25">
      <c r="A6169" t="s">
        <v>3296</v>
      </c>
      <c r="B6169" t="s">
        <v>2931</v>
      </c>
      <c r="C6169">
        <v>1703</v>
      </c>
      <c r="D6169" t="str">
        <f t="shared" si="104"/>
        <v xml:space="preserve">2560128311  </v>
      </c>
      <c r="E6169" t="s">
        <v>277</v>
      </c>
      <c r="F6169" t="s">
        <v>279</v>
      </c>
      <c r="G6169">
        <v>1616.81</v>
      </c>
      <c r="H6169">
        <v>250210</v>
      </c>
      <c r="I6169">
        <v>4520</v>
      </c>
      <c r="J6169" t="s">
        <v>280</v>
      </c>
      <c r="K6169">
        <v>2389.6999999999998</v>
      </c>
      <c r="L6169">
        <v>198.56</v>
      </c>
      <c r="M6169">
        <v>17913</v>
      </c>
      <c r="N6169" t="s">
        <v>26</v>
      </c>
      <c r="O6169">
        <v>250212</v>
      </c>
      <c r="P6169">
        <v>1418.25</v>
      </c>
    </row>
    <row r="6170" spans="1:16" x14ac:dyDescent="0.25">
      <c r="A6170" t="s">
        <v>3296</v>
      </c>
      <c r="B6170" t="s">
        <v>2931</v>
      </c>
      <c r="C6170">
        <v>1703</v>
      </c>
      <c r="D6170" t="str">
        <f t="shared" si="104"/>
        <v xml:space="preserve">2560128311  </v>
      </c>
      <c r="E6170" t="s">
        <v>277</v>
      </c>
      <c r="F6170" t="s">
        <v>279</v>
      </c>
      <c r="G6170">
        <v>238.97</v>
      </c>
      <c r="H6170">
        <v>250210</v>
      </c>
      <c r="I6170">
        <v>4520</v>
      </c>
      <c r="J6170" t="s">
        <v>280</v>
      </c>
      <c r="K6170">
        <v>2389.6999999999998</v>
      </c>
      <c r="L6170">
        <v>29.35</v>
      </c>
      <c r="M6170">
        <v>17982</v>
      </c>
      <c r="N6170" t="s">
        <v>281</v>
      </c>
      <c r="O6170">
        <v>250212</v>
      </c>
      <c r="P6170">
        <v>209.62</v>
      </c>
    </row>
    <row r="6171" spans="1:16" x14ac:dyDescent="0.25">
      <c r="A6171" t="s">
        <v>3296</v>
      </c>
      <c r="B6171" t="s">
        <v>2931</v>
      </c>
      <c r="C6171">
        <v>1751</v>
      </c>
      <c r="D6171" t="str">
        <f>"2560128305  "</f>
        <v xml:space="preserve">2560128305  </v>
      </c>
      <c r="E6171" t="s">
        <v>277</v>
      </c>
      <c r="F6171" t="s">
        <v>279</v>
      </c>
      <c r="G6171">
        <v>2580.39</v>
      </c>
      <c r="H6171">
        <v>250210</v>
      </c>
      <c r="I6171">
        <v>4520</v>
      </c>
      <c r="J6171" t="s">
        <v>280</v>
      </c>
      <c r="K6171">
        <v>2635.4</v>
      </c>
      <c r="L6171">
        <v>316.89</v>
      </c>
      <c r="M6171">
        <v>54451</v>
      </c>
      <c r="N6171" t="s">
        <v>218</v>
      </c>
      <c r="O6171">
        <v>250213</v>
      </c>
      <c r="P6171">
        <v>2263.5</v>
      </c>
    </row>
    <row r="6172" spans="1:16" x14ac:dyDescent="0.25">
      <c r="A6172" t="s">
        <v>3296</v>
      </c>
      <c r="B6172" t="s">
        <v>2931</v>
      </c>
      <c r="C6172">
        <v>1830</v>
      </c>
      <c r="D6172" t="str">
        <f>"2560112595  "</f>
        <v xml:space="preserve">2560112595  </v>
      </c>
      <c r="E6172" t="s">
        <v>277</v>
      </c>
      <c r="F6172" t="s">
        <v>279</v>
      </c>
      <c r="G6172">
        <v>102.49</v>
      </c>
      <c r="H6172">
        <v>250131</v>
      </c>
      <c r="I6172">
        <v>4520</v>
      </c>
      <c r="J6172" t="s">
        <v>280</v>
      </c>
      <c r="K6172">
        <v>102.49</v>
      </c>
      <c r="L6172">
        <v>12.59</v>
      </c>
      <c r="M6172">
        <v>14432</v>
      </c>
      <c r="N6172" t="s">
        <v>75</v>
      </c>
      <c r="O6172">
        <v>250214</v>
      </c>
      <c r="P6172">
        <v>89.9</v>
      </c>
    </row>
    <row r="6173" spans="1:16" x14ac:dyDescent="0.25">
      <c r="A6173" t="s">
        <v>3296</v>
      </c>
      <c r="B6173" t="s">
        <v>2931</v>
      </c>
      <c r="C6173">
        <v>1854</v>
      </c>
      <c r="D6173" t="str">
        <f t="shared" ref="D6173:D6184" si="105">"2560128312  "</f>
        <v xml:space="preserve">2560128312  </v>
      </c>
      <c r="E6173" t="s">
        <v>277</v>
      </c>
      <c r="F6173" t="s">
        <v>279</v>
      </c>
      <c r="G6173">
        <v>38.33</v>
      </c>
      <c r="H6173">
        <v>250210</v>
      </c>
      <c r="I6173">
        <v>4520</v>
      </c>
      <c r="J6173" t="s">
        <v>280</v>
      </c>
      <c r="K6173">
        <v>7366.88</v>
      </c>
      <c r="L6173">
        <v>7.79</v>
      </c>
      <c r="M6173">
        <v>14331</v>
      </c>
      <c r="N6173" t="s">
        <v>1143</v>
      </c>
      <c r="O6173">
        <v>250214</v>
      </c>
      <c r="P6173">
        <v>30.54</v>
      </c>
    </row>
    <row r="6174" spans="1:16" x14ac:dyDescent="0.25">
      <c r="A6174" t="s">
        <v>3296</v>
      </c>
      <c r="B6174" t="s">
        <v>2931</v>
      </c>
      <c r="C6174">
        <v>1854</v>
      </c>
      <c r="D6174" t="str">
        <f t="shared" si="105"/>
        <v xml:space="preserve">2560128312  </v>
      </c>
      <c r="E6174" t="s">
        <v>277</v>
      </c>
      <c r="F6174" t="s">
        <v>279</v>
      </c>
      <c r="G6174">
        <v>9.58</v>
      </c>
      <c r="H6174">
        <v>250210</v>
      </c>
      <c r="I6174">
        <v>4520</v>
      </c>
      <c r="J6174" t="s">
        <v>280</v>
      </c>
      <c r="K6174">
        <v>7366.88</v>
      </c>
      <c r="L6174">
        <v>1.95</v>
      </c>
      <c r="M6174">
        <v>14422</v>
      </c>
      <c r="N6174" t="s">
        <v>73</v>
      </c>
      <c r="O6174">
        <v>250214</v>
      </c>
      <c r="P6174">
        <v>7.63</v>
      </c>
    </row>
    <row r="6175" spans="1:16" x14ac:dyDescent="0.25">
      <c r="A6175" t="s">
        <v>3296</v>
      </c>
      <c r="B6175" t="s">
        <v>2931</v>
      </c>
      <c r="C6175">
        <v>1854</v>
      </c>
      <c r="D6175" t="str">
        <f t="shared" si="105"/>
        <v xml:space="preserve">2560128312  </v>
      </c>
      <c r="E6175" t="s">
        <v>277</v>
      </c>
      <c r="F6175" t="s">
        <v>279</v>
      </c>
      <c r="G6175">
        <v>64.09</v>
      </c>
      <c r="H6175">
        <v>250210</v>
      </c>
      <c r="I6175">
        <v>4520</v>
      </c>
      <c r="J6175" t="s">
        <v>280</v>
      </c>
      <c r="K6175">
        <v>7366.88</v>
      </c>
      <c r="L6175">
        <v>7.87</v>
      </c>
      <c r="M6175">
        <v>14422</v>
      </c>
      <c r="N6175" t="s">
        <v>73</v>
      </c>
      <c r="O6175">
        <v>250214</v>
      </c>
      <c r="P6175">
        <v>56.22</v>
      </c>
    </row>
    <row r="6176" spans="1:16" x14ac:dyDescent="0.25">
      <c r="A6176" t="s">
        <v>3296</v>
      </c>
      <c r="B6176" t="s">
        <v>2931</v>
      </c>
      <c r="C6176">
        <v>1854</v>
      </c>
      <c r="D6176" t="str">
        <f t="shared" si="105"/>
        <v xml:space="preserve">2560128312  </v>
      </c>
      <c r="E6176" t="s">
        <v>277</v>
      </c>
      <c r="F6176" t="s">
        <v>279</v>
      </c>
      <c r="G6176">
        <v>256.35000000000002</v>
      </c>
      <c r="H6176">
        <v>250210</v>
      </c>
      <c r="I6176">
        <v>4520</v>
      </c>
      <c r="J6176" t="s">
        <v>280</v>
      </c>
      <c r="K6176">
        <v>7366.88</v>
      </c>
      <c r="L6176">
        <v>31.48</v>
      </c>
      <c r="M6176">
        <v>14431</v>
      </c>
      <c r="N6176" t="s">
        <v>74</v>
      </c>
      <c r="O6176">
        <v>250214</v>
      </c>
      <c r="P6176">
        <v>224.87</v>
      </c>
    </row>
    <row r="6177" spans="1:16" x14ac:dyDescent="0.25">
      <c r="A6177" t="s">
        <v>3296</v>
      </c>
      <c r="B6177" t="s">
        <v>2931</v>
      </c>
      <c r="C6177">
        <v>1854</v>
      </c>
      <c r="D6177" t="str">
        <f t="shared" si="105"/>
        <v xml:space="preserve">2560128312  </v>
      </c>
      <c r="E6177" t="s">
        <v>277</v>
      </c>
      <c r="F6177" t="s">
        <v>279</v>
      </c>
      <c r="G6177">
        <v>162.9</v>
      </c>
      <c r="H6177">
        <v>250210</v>
      </c>
      <c r="I6177">
        <v>4520</v>
      </c>
      <c r="J6177" t="s">
        <v>280</v>
      </c>
      <c r="K6177">
        <v>7366.88</v>
      </c>
      <c r="L6177">
        <v>33.1</v>
      </c>
      <c r="M6177">
        <v>14432</v>
      </c>
      <c r="N6177" t="s">
        <v>75</v>
      </c>
      <c r="O6177">
        <v>250214</v>
      </c>
      <c r="P6177">
        <v>129.80000000000001</v>
      </c>
    </row>
    <row r="6178" spans="1:16" x14ac:dyDescent="0.25">
      <c r="A6178" t="s">
        <v>3296</v>
      </c>
      <c r="B6178" t="s">
        <v>2931</v>
      </c>
      <c r="C6178">
        <v>1854</v>
      </c>
      <c r="D6178" t="str">
        <f t="shared" si="105"/>
        <v xml:space="preserve">2560128312  </v>
      </c>
      <c r="E6178" t="s">
        <v>277</v>
      </c>
      <c r="F6178" t="s">
        <v>279</v>
      </c>
      <c r="G6178">
        <v>1089.47</v>
      </c>
      <c r="H6178">
        <v>250210</v>
      </c>
      <c r="I6178">
        <v>4520</v>
      </c>
      <c r="J6178" t="s">
        <v>280</v>
      </c>
      <c r="K6178">
        <v>7366.88</v>
      </c>
      <c r="L6178">
        <v>133.79</v>
      </c>
      <c r="M6178">
        <v>14432</v>
      </c>
      <c r="N6178" t="s">
        <v>75</v>
      </c>
      <c r="O6178">
        <v>250214</v>
      </c>
      <c r="P6178">
        <v>955.68</v>
      </c>
    </row>
    <row r="6179" spans="1:16" x14ac:dyDescent="0.25">
      <c r="A6179" t="s">
        <v>3296</v>
      </c>
      <c r="B6179" t="s">
        <v>2931</v>
      </c>
      <c r="C6179">
        <v>1854</v>
      </c>
      <c r="D6179" t="str">
        <f t="shared" si="105"/>
        <v xml:space="preserve">2560128312  </v>
      </c>
      <c r="E6179" t="s">
        <v>277</v>
      </c>
      <c r="F6179" t="s">
        <v>279</v>
      </c>
      <c r="G6179">
        <v>9.58</v>
      </c>
      <c r="H6179">
        <v>250210</v>
      </c>
      <c r="I6179">
        <v>4520</v>
      </c>
      <c r="J6179" t="s">
        <v>280</v>
      </c>
      <c r="K6179">
        <v>7366.88</v>
      </c>
      <c r="L6179">
        <v>1.95</v>
      </c>
      <c r="M6179">
        <v>14640</v>
      </c>
      <c r="N6179" t="s">
        <v>78</v>
      </c>
      <c r="O6179">
        <v>250214</v>
      </c>
      <c r="P6179">
        <v>7.63</v>
      </c>
    </row>
    <row r="6180" spans="1:16" x14ac:dyDescent="0.25">
      <c r="A6180" t="s">
        <v>3296</v>
      </c>
      <c r="B6180" t="s">
        <v>2931</v>
      </c>
      <c r="C6180">
        <v>1854</v>
      </c>
      <c r="D6180" t="str">
        <f t="shared" si="105"/>
        <v xml:space="preserve">2560128312  </v>
      </c>
      <c r="E6180" t="s">
        <v>277</v>
      </c>
      <c r="F6180" t="s">
        <v>279</v>
      </c>
      <c r="G6180">
        <v>64.08</v>
      </c>
      <c r="H6180">
        <v>250210</v>
      </c>
      <c r="I6180">
        <v>4520</v>
      </c>
      <c r="J6180" t="s">
        <v>280</v>
      </c>
      <c r="K6180">
        <v>7366.88</v>
      </c>
      <c r="L6180">
        <v>7.87</v>
      </c>
      <c r="M6180">
        <v>14640</v>
      </c>
      <c r="N6180" t="s">
        <v>78</v>
      </c>
      <c r="O6180">
        <v>250214</v>
      </c>
      <c r="P6180">
        <v>56.21</v>
      </c>
    </row>
    <row r="6181" spans="1:16" x14ac:dyDescent="0.25">
      <c r="A6181" t="s">
        <v>3296</v>
      </c>
      <c r="B6181" t="s">
        <v>2931</v>
      </c>
      <c r="C6181">
        <v>1854</v>
      </c>
      <c r="D6181" t="str">
        <f t="shared" si="105"/>
        <v xml:space="preserve">2560128312  </v>
      </c>
      <c r="E6181" t="s">
        <v>277</v>
      </c>
      <c r="F6181" t="s">
        <v>279</v>
      </c>
      <c r="G6181">
        <v>38.33</v>
      </c>
      <c r="H6181">
        <v>250210</v>
      </c>
      <c r="I6181">
        <v>4520</v>
      </c>
      <c r="J6181" t="s">
        <v>280</v>
      </c>
      <c r="K6181">
        <v>7366.88</v>
      </c>
      <c r="L6181">
        <v>7.79</v>
      </c>
      <c r="M6181">
        <v>14642</v>
      </c>
      <c r="N6181" t="s">
        <v>283</v>
      </c>
      <c r="O6181">
        <v>250214</v>
      </c>
      <c r="P6181">
        <v>30.54</v>
      </c>
    </row>
    <row r="6182" spans="1:16" x14ac:dyDescent="0.25">
      <c r="A6182" t="s">
        <v>3296</v>
      </c>
      <c r="B6182" t="s">
        <v>2931</v>
      </c>
      <c r="C6182">
        <v>1854</v>
      </c>
      <c r="D6182" t="str">
        <f t="shared" si="105"/>
        <v xml:space="preserve">2560128312  </v>
      </c>
      <c r="E6182" t="s">
        <v>277</v>
      </c>
      <c r="F6182" t="s">
        <v>279</v>
      </c>
      <c r="G6182">
        <v>256.35000000000002</v>
      </c>
      <c r="H6182">
        <v>250210</v>
      </c>
      <c r="I6182">
        <v>4520</v>
      </c>
      <c r="J6182" t="s">
        <v>280</v>
      </c>
      <c r="K6182">
        <v>7366.88</v>
      </c>
      <c r="L6182">
        <v>31.48</v>
      </c>
      <c r="M6182">
        <v>14642</v>
      </c>
      <c r="N6182" t="s">
        <v>283</v>
      </c>
      <c r="O6182">
        <v>250214</v>
      </c>
      <c r="P6182">
        <v>224.87</v>
      </c>
    </row>
    <row r="6183" spans="1:16" x14ac:dyDescent="0.25">
      <c r="A6183" t="s">
        <v>3296</v>
      </c>
      <c r="B6183" t="s">
        <v>2931</v>
      </c>
      <c r="C6183">
        <v>1854</v>
      </c>
      <c r="D6183" t="str">
        <f t="shared" si="105"/>
        <v xml:space="preserve">2560128312  </v>
      </c>
      <c r="E6183" t="s">
        <v>277</v>
      </c>
      <c r="F6183" t="s">
        <v>279</v>
      </c>
      <c r="G6183">
        <v>699.5</v>
      </c>
      <c r="H6183">
        <v>250210</v>
      </c>
      <c r="I6183">
        <v>4520</v>
      </c>
      <c r="J6183" t="s">
        <v>280</v>
      </c>
      <c r="K6183">
        <v>7366.88</v>
      </c>
      <c r="L6183">
        <v>142.13</v>
      </c>
      <c r="M6183">
        <v>14912</v>
      </c>
      <c r="N6183" t="s">
        <v>80</v>
      </c>
      <c r="O6183">
        <v>250214</v>
      </c>
      <c r="P6183">
        <v>557.37</v>
      </c>
    </row>
    <row r="6184" spans="1:16" x14ac:dyDescent="0.25">
      <c r="A6184" t="s">
        <v>3296</v>
      </c>
      <c r="B6184" t="s">
        <v>2931</v>
      </c>
      <c r="C6184">
        <v>1854</v>
      </c>
      <c r="D6184" t="str">
        <f t="shared" si="105"/>
        <v xml:space="preserve">2560128312  </v>
      </c>
      <c r="E6184" t="s">
        <v>277</v>
      </c>
      <c r="F6184" t="s">
        <v>279</v>
      </c>
      <c r="G6184">
        <v>4678.32</v>
      </c>
      <c r="H6184">
        <v>250210</v>
      </c>
      <c r="I6184">
        <v>4520</v>
      </c>
      <c r="J6184" t="s">
        <v>280</v>
      </c>
      <c r="K6184">
        <v>7366.88</v>
      </c>
      <c r="L6184">
        <v>574.53</v>
      </c>
      <c r="M6184">
        <v>14912</v>
      </c>
      <c r="N6184" t="s">
        <v>80</v>
      </c>
      <c r="O6184">
        <v>250214</v>
      </c>
      <c r="P6184">
        <v>4103.79</v>
      </c>
    </row>
    <row r="6185" spans="1:16" x14ac:dyDescent="0.25">
      <c r="A6185" t="s">
        <v>3296</v>
      </c>
      <c r="B6185" t="s">
        <v>2931</v>
      </c>
      <c r="C6185">
        <v>1963</v>
      </c>
      <c r="D6185" t="str">
        <f>"2560078931  "</f>
        <v xml:space="preserve">2560078931  </v>
      </c>
      <c r="E6185" t="s">
        <v>277</v>
      </c>
      <c r="F6185" t="s">
        <v>279</v>
      </c>
      <c r="G6185">
        <v>1036.71</v>
      </c>
      <c r="H6185">
        <v>250131</v>
      </c>
      <c r="I6185">
        <v>4520</v>
      </c>
      <c r="J6185" t="s">
        <v>280</v>
      </c>
      <c r="K6185">
        <v>1475.42</v>
      </c>
      <c r="L6185">
        <v>127.32</v>
      </c>
      <c r="M6185">
        <v>44222</v>
      </c>
      <c r="N6185" t="s">
        <v>96</v>
      </c>
      <c r="O6185">
        <v>250218</v>
      </c>
      <c r="P6185">
        <v>909.39</v>
      </c>
    </row>
    <row r="6186" spans="1:16" x14ac:dyDescent="0.25">
      <c r="A6186" t="s">
        <v>3296</v>
      </c>
      <c r="B6186" t="s">
        <v>2931</v>
      </c>
      <c r="C6186">
        <v>1963</v>
      </c>
      <c r="D6186" t="str">
        <f>"2560078931  "</f>
        <v xml:space="preserve">2560078931  </v>
      </c>
      <c r="E6186" t="s">
        <v>277</v>
      </c>
      <c r="F6186" t="s">
        <v>279</v>
      </c>
      <c r="G6186">
        <v>188.54</v>
      </c>
      <c r="H6186">
        <v>250131</v>
      </c>
      <c r="I6186">
        <v>4520</v>
      </c>
      <c r="J6186" t="s">
        <v>280</v>
      </c>
      <c r="K6186">
        <v>1475.42</v>
      </c>
      <c r="L6186">
        <v>23.15</v>
      </c>
      <c r="M6186">
        <v>44251</v>
      </c>
      <c r="N6186" t="s">
        <v>215</v>
      </c>
      <c r="O6186">
        <v>250218</v>
      </c>
      <c r="P6186">
        <v>165.39</v>
      </c>
    </row>
    <row r="6187" spans="1:16" x14ac:dyDescent="0.25">
      <c r="A6187" t="s">
        <v>3296</v>
      </c>
      <c r="B6187" t="s">
        <v>2931</v>
      </c>
      <c r="C6187">
        <v>2009</v>
      </c>
      <c r="D6187" t="str">
        <f>"2560128309  "</f>
        <v xml:space="preserve">2560128309  </v>
      </c>
      <c r="E6187" t="s">
        <v>277</v>
      </c>
      <c r="F6187" t="s">
        <v>279</v>
      </c>
      <c r="G6187">
        <v>-12.55</v>
      </c>
      <c r="H6187">
        <v>250210</v>
      </c>
      <c r="I6187">
        <v>4520</v>
      </c>
      <c r="J6187" t="s">
        <v>280</v>
      </c>
      <c r="K6187">
        <v>1624.78</v>
      </c>
      <c r="L6187">
        <v>-2.5499999999999998</v>
      </c>
      <c r="M6187">
        <v>17915</v>
      </c>
      <c r="N6187" t="s">
        <v>305</v>
      </c>
      <c r="O6187">
        <v>250219</v>
      </c>
      <c r="P6187">
        <v>-10</v>
      </c>
    </row>
    <row r="6188" spans="1:16" x14ac:dyDescent="0.25">
      <c r="A6188" t="s">
        <v>3296</v>
      </c>
      <c r="B6188" t="s">
        <v>2931</v>
      </c>
      <c r="C6188">
        <v>2009</v>
      </c>
      <c r="D6188" t="str">
        <f>"2560128309  "</f>
        <v xml:space="preserve">2560128309  </v>
      </c>
      <c r="E6188" t="s">
        <v>277</v>
      </c>
      <c r="F6188" t="s">
        <v>279</v>
      </c>
      <c r="G6188">
        <v>826.63</v>
      </c>
      <c r="H6188">
        <v>250210</v>
      </c>
      <c r="I6188">
        <v>4520</v>
      </c>
      <c r="J6188" t="s">
        <v>280</v>
      </c>
      <c r="K6188">
        <v>1624.78</v>
      </c>
      <c r="L6188">
        <v>101.52</v>
      </c>
      <c r="M6188">
        <v>17915</v>
      </c>
      <c r="N6188" t="s">
        <v>305</v>
      </c>
      <c r="O6188">
        <v>250219</v>
      </c>
      <c r="P6188">
        <v>725.11</v>
      </c>
    </row>
    <row r="6189" spans="1:16" x14ac:dyDescent="0.25">
      <c r="A6189" t="s">
        <v>3296</v>
      </c>
      <c r="B6189" t="s">
        <v>2931</v>
      </c>
      <c r="C6189">
        <v>2009</v>
      </c>
      <c r="D6189" t="str">
        <f>"2560128309  "</f>
        <v xml:space="preserve">2560128309  </v>
      </c>
      <c r="E6189" t="s">
        <v>277</v>
      </c>
      <c r="F6189" t="s">
        <v>279</v>
      </c>
      <c r="G6189">
        <v>163.69999999999999</v>
      </c>
      <c r="H6189">
        <v>250210</v>
      </c>
      <c r="I6189">
        <v>4520</v>
      </c>
      <c r="J6189" t="s">
        <v>280</v>
      </c>
      <c r="K6189">
        <v>1624.78</v>
      </c>
      <c r="L6189">
        <v>20.100000000000001</v>
      </c>
      <c r="M6189">
        <v>17982</v>
      </c>
      <c r="N6189" t="s">
        <v>281</v>
      </c>
      <c r="O6189">
        <v>250219</v>
      </c>
      <c r="P6189">
        <v>143.6</v>
      </c>
    </row>
    <row r="6190" spans="1:16" x14ac:dyDescent="0.25">
      <c r="A6190" t="s">
        <v>3296</v>
      </c>
      <c r="B6190" t="s">
        <v>2931</v>
      </c>
      <c r="C6190">
        <v>2009</v>
      </c>
      <c r="D6190" t="str">
        <f>"2560128309  "</f>
        <v xml:space="preserve">2560128309  </v>
      </c>
      <c r="E6190" t="s">
        <v>277</v>
      </c>
      <c r="F6190" t="s">
        <v>279</v>
      </c>
      <c r="G6190">
        <v>647</v>
      </c>
      <c r="H6190">
        <v>250210</v>
      </c>
      <c r="I6190">
        <v>4520</v>
      </c>
      <c r="J6190" t="s">
        <v>280</v>
      </c>
      <c r="K6190">
        <v>1624.78</v>
      </c>
      <c r="L6190">
        <v>79.459999999999994</v>
      </c>
      <c r="M6190">
        <v>17984</v>
      </c>
      <c r="N6190" t="s">
        <v>655</v>
      </c>
      <c r="O6190">
        <v>250219</v>
      </c>
      <c r="P6190">
        <v>567.54</v>
      </c>
    </row>
    <row r="6191" spans="1:16" x14ac:dyDescent="0.25">
      <c r="A6191" t="s">
        <v>3296</v>
      </c>
      <c r="B6191" t="s">
        <v>2931</v>
      </c>
      <c r="C6191">
        <v>2016</v>
      </c>
      <c r="D6191" t="str">
        <f>"2560128310  "</f>
        <v xml:space="preserve">2560128310  </v>
      </c>
      <c r="E6191" t="s">
        <v>277</v>
      </c>
      <c r="F6191" t="s">
        <v>279</v>
      </c>
      <c r="G6191">
        <v>1047.69</v>
      </c>
      <c r="H6191">
        <v>250210</v>
      </c>
      <c r="I6191">
        <v>4520</v>
      </c>
      <c r="J6191" t="s">
        <v>280</v>
      </c>
      <c r="K6191">
        <v>1385.07</v>
      </c>
      <c r="L6191">
        <v>128.66</v>
      </c>
      <c r="M6191">
        <v>44251</v>
      </c>
      <c r="N6191" t="s">
        <v>215</v>
      </c>
      <c r="O6191">
        <v>250219</v>
      </c>
      <c r="P6191">
        <v>919.03</v>
      </c>
    </row>
    <row r="6192" spans="1:16" x14ac:dyDescent="0.25">
      <c r="A6192" t="s">
        <v>3296</v>
      </c>
      <c r="B6192" t="s">
        <v>2931</v>
      </c>
      <c r="C6192">
        <v>2016</v>
      </c>
      <c r="D6192" t="str">
        <f>"2560128310  "</f>
        <v xml:space="preserve">2560128310  </v>
      </c>
      <c r="E6192" t="s">
        <v>277</v>
      </c>
      <c r="F6192" t="s">
        <v>279</v>
      </c>
      <c r="G6192">
        <v>292.05</v>
      </c>
      <c r="H6192">
        <v>250210</v>
      </c>
      <c r="I6192">
        <v>4520</v>
      </c>
      <c r="J6192" t="s">
        <v>280</v>
      </c>
      <c r="K6192">
        <v>1385.07</v>
      </c>
      <c r="L6192">
        <v>35.869999999999997</v>
      </c>
      <c r="M6192">
        <v>44252</v>
      </c>
      <c r="N6192" t="s">
        <v>217</v>
      </c>
      <c r="O6192">
        <v>250219</v>
      </c>
      <c r="P6192">
        <v>256.18</v>
      </c>
    </row>
    <row r="6193" spans="1:16" x14ac:dyDescent="0.25">
      <c r="A6193" t="s">
        <v>3296</v>
      </c>
      <c r="B6193" t="s">
        <v>2931</v>
      </c>
      <c r="C6193">
        <v>2203</v>
      </c>
      <c r="D6193" t="str">
        <f>"2560146974  "</f>
        <v xml:space="preserve">2560146974  </v>
      </c>
      <c r="E6193" t="s">
        <v>277</v>
      </c>
      <c r="F6193" t="s">
        <v>279</v>
      </c>
      <c r="G6193">
        <v>1111.1400000000001</v>
      </c>
      <c r="H6193">
        <v>250217</v>
      </c>
      <c r="I6193">
        <v>4520</v>
      </c>
      <c r="J6193" t="s">
        <v>280</v>
      </c>
      <c r="K6193">
        <v>1716.7</v>
      </c>
      <c r="L6193">
        <v>136.46</v>
      </c>
      <c r="M6193">
        <v>44251</v>
      </c>
      <c r="N6193" t="s">
        <v>215</v>
      </c>
      <c r="O6193">
        <v>250221</v>
      </c>
      <c r="P6193">
        <v>974.68</v>
      </c>
    </row>
    <row r="6194" spans="1:16" x14ac:dyDescent="0.25">
      <c r="A6194" t="s">
        <v>3296</v>
      </c>
      <c r="B6194" t="s">
        <v>2931</v>
      </c>
      <c r="C6194">
        <v>2203</v>
      </c>
      <c r="D6194" t="str">
        <f>"2560146974  "</f>
        <v xml:space="preserve">2560146974  </v>
      </c>
      <c r="E6194" t="s">
        <v>277</v>
      </c>
      <c r="F6194" t="s">
        <v>279</v>
      </c>
      <c r="G6194">
        <v>514.80999999999995</v>
      </c>
      <c r="H6194">
        <v>250217</v>
      </c>
      <c r="I6194">
        <v>4520</v>
      </c>
      <c r="J6194" t="s">
        <v>280</v>
      </c>
      <c r="K6194">
        <v>1716.7</v>
      </c>
      <c r="L6194">
        <v>63.22</v>
      </c>
      <c r="M6194">
        <v>44252</v>
      </c>
      <c r="N6194" t="s">
        <v>217</v>
      </c>
      <c r="O6194">
        <v>250221</v>
      </c>
      <c r="P6194">
        <v>451.59</v>
      </c>
    </row>
    <row r="6195" spans="1:16" x14ac:dyDescent="0.25">
      <c r="A6195" t="s">
        <v>3296</v>
      </c>
      <c r="B6195" t="s">
        <v>2931</v>
      </c>
      <c r="C6195">
        <v>2212</v>
      </c>
      <c r="D6195" t="str">
        <f>"2560146969  "</f>
        <v xml:space="preserve">2560146969  </v>
      </c>
      <c r="E6195" t="s">
        <v>277</v>
      </c>
      <c r="F6195" t="s">
        <v>279</v>
      </c>
      <c r="G6195">
        <v>1710.37</v>
      </c>
      <c r="H6195">
        <v>250217</v>
      </c>
      <c r="I6195">
        <v>4520</v>
      </c>
      <c r="J6195" t="s">
        <v>280</v>
      </c>
      <c r="K6195">
        <v>1660.17</v>
      </c>
      <c r="L6195">
        <v>210.05</v>
      </c>
      <c r="M6195">
        <v>54451</v>
      </c>
      <c r="N6195" t="s">
        <v>218</v>
      </c>
      <c r="O6195">
        <v>250221</v>
      </c>
      <c r="P6195">
        <v>1500.32</v>
      </c>
    </row>
    <row r="6196" spans="1:16" x14ac:dyDescent="0.25">
      <c r="A6196" t="s">
        <v>3296</v>
      </c>
      <c r="B6196" t="s">
        <v>2931</v>
      </c>
      <c r="C6196">
        <v>2213</v>
      </c>
      <c r="D6196" t="str">
        <f>"2560146975  "</f>
        <v xml:space="preserve">2560146975  </v>
      </c>
      <c r="E6196" t="s">
        <v>277</v>
      </c>
      <c r="F6196" t="s">
        <v>279</v>
      </c>
      <c r="G6196">
        <v>100</v>
      </c>
      <c r="H6196">
        <v>250217</v>
      </c>
      <c r="I6196">
        <v>4520</v>
      </c>
      <c r="J6196" t="s">
        <v>280</v>
      </c>
      <c r="K6196">
        <v>2825.2</v>
      </c>
      <c r="L6196">
        <v>12.28</v>
      </c>
      <c r="M6196">
        <v>16431</v>
      </c>
      <c r="N6196" t="s">
        <v>17</v>
      </c>
      <c r="O6196">
        <v>250221</v>
      </c>
      <c r="P6196">
        <v>87.72</v>
      </c>
    </row>
    <row r="6197" spans="1:16" x14ac:dyDescent="0.25">
      <c r="A6197" t="s">
        <v>3296</v>
      </c>
      <c r="B6197" t="s">
        <v>2931</v>
      </c>
      <c r="C6197">
        <v>2213</v>
      </c>
      <c r="D6197" t="str">
        <f>"2560146975  "</f>
        <v xml:space="preserve">2560146975  </v>
      </c>
      <c r="E6197" t="s">
        <v>277</v>
      </c>
      <c r="F6197" t="s">
        <v>279</v>
      </c>
      <c r="G6197">
        <v>296.2</v>
      </c>
      <c r="H6197">
        <v>250217</v>
      </c>
      <c r="I6197">
        <v>4520</v>
      </c>
      <c r="J6197" t="s">
        <v>280</v>
      </c>
      <c r="K6197">
        <v>2825.2</v>
      </c>
      <c r="L6197">
        <v>36.380000000000003</v>
      </c>
      <c r="M6197">
        <v>16442</v>
      </c>
      <c r="N6197" t="s">
        <v>304</v>
      </c>
      <c r="O6197">
        <v>250221</v>
      </c>
      <c r="P6197">
        <v>259.82</v>
      </c>
    </row>
    <row r="6198" spans="1:16" x14ac:dyDescent="0.25">
      <c r="A6198" t="s">
        <v>3296</v>
      </c>
      <c r="B6198" t="s">
        <v>2931</v>
      </c>
      <c r="C6198">
        <v>2213</v>
      </c>
      <c r="D6198" t="str">
        <f>"2560146975  "</f>
        <v xml:space="preserve">2560146975  </v>
      </c>
      <c r="E6198" t="s">
        <v>277</v>
      </c>
      <c r="F6198" t="s">
        <v>279</v>
      </c>
      <c r="G6198">
        <v>-6.51</v>
      </c>
      <c r="H6198">
        <v>250217</v>
      </c>
      <c r="I6198">
        <v>4520</v>
      </c>
      <c r="J6198" t="s">
        <v>280</v>
      </c>
      <c r="K6198">
        <v>2825.2</v>
      </c>
      <c r="L6198">
        <v>-1.32</v>
      </c>
      <c r="M6198">
        <v>17913</v>
      </c>
      <c r="N6198" t="s">
        <v>26</v>
      </c>
      <c r="O6198">
        <v>250221</v>
      </c>
      <c r="P6198">
        <v>-5.19</v>
      </c>
    </row>
    <row r="6199" spans="1:16" x14ac:dyDescent="0.25">
      <c r="A6199" t="s">
        <v>3296</v>
      </c>
      <c r="B6199" t="s">
        <v>2931</v>
      </c>
      <c r="C6199">
        <v>2213</v>
      </c>
      <c r="D6199" t="str">
        <f>"2560146975  "</f>
        <v xml:space="preserve">2560146975  </v>
      </c>
      <c r="E6199" t="s">
        <v>277</v>
      </c>
      <c r="F6199" t="s">
        <v>279</v>
      </c>
      <c r="G6199">
        <v>2152.31</v>
      </c>
      <c r="H6199">
        <v>250217</v>
      </c>
      <c r="I6199">
        <v>4520</v>
      </c>
      <c r="J6199" t="s">
        <v>280</v>
      </c>
      <c r="K6199">
        <v>2825.2</v>
      </c>
      <c r="L6199">
        <v>264.32</v>
      </c>
      <c r="M6199">
        <v>17913</v>
      </c>
      <c r="N6199" t="s">
        <v>26</v>
      </c>
      <c r="O6199">
        <v>250221</v>
      </c>
      <c r="P6199">
        <v>1887.99</v>
      </c>
    </row>
    <row r="6200" spans="1:16" x14ac:dyDescent="0.25">
      <c r="A6200" t="s">
        <v>3296</v>
      </c>
      <c r="B6200" t="s">
        <v>2931</v>
      </c>
      <c r="C6200">
        <v>2213</v>
      </c>
      <c r="D6200" t="str">
        <f>"2560146975  "</f>
        <v xml:space="preserve">2560146975  </v>
      </c>
      <c r="E6200" t="s">
        <v>277</v>
      </c>
      <c r="F6200" t="s">
        <v>279</v>
      </c>
      <c r="G6200">
        <v>283.2</v>
      </c>
      <c r="H6200">
        <v>250217</v>
      </c>
      <c r="I6200">
        <v>4520</v>
      </c>
      <c r="J6200" t="s">
        <v>280</v>
      </c>
      <c r="K6200">
        <v>2825.2</v>
      </c>
      <c r="L6200">
        <v>34.78</v>
      </c>
      <c r="M6200">
        <v>17982</v>
      </c>
      <c r="N6200" t="s">
        <v>281</v>
      </c>
      <c r="O6200">
        <v>250221</v>
      </c>
      <c r="P6200">
        <v>248.42</v>
      </c>
    </row>
    <row r="6201" spans="1:16" x14ac:dyDescent="0.25">
      <c r="A6201" t="s">
        <v>3296</v>
      </c>
      <c r="B6201" t="s">
        <v>2931</v>
      </c>
      <c r="C6201">
        <v>2214</v>
      </c>
      <c r="D6201" t="str">
        <f>"2560146973  "</f>
        <v xml:space="preserve">2560146973  </v>
      </c>
      <c r="E6201" t="s">
        <v>277</v>
      </c>
      <c r="F6201" t="s">
        <v>279</v>
      </c>
      <c r="G6201">
        <v>13.32</v>
      </c>
      <c r="H6201">
        <v>250217</v>
      </c>
      <c r="I6201">
        <v>4520</v>
      </c>
      <c r="J6201" t="s">
        <v>280</v>
      </c>
      <c r="K6201">
        <v>1262.28</v>
      </c>
      <c r="L6201">
        <v>2.71</v>
      </c>
      <c r="M6201">
        <v>17915</v>
      </c>
      <c r="N6201" t="s">
        <v>305</v>
      </c>
      <c r="O6201">
        <v>250221</v>
      </c>
      <c r="P6201">
        <v>10.61</v>
      </c>
    </row>
    <row r="6202" spans="1:16" x14ac:dyDescent="0.25">
      <c r="A6202" t="s">
        <v>3296</v>
      </c>
      <c r="B6202" t="s">
        <v>2931</v>
      </c>
      <c r="C6202">
        <v>2214</v>
      </c>
      <c r="D6202" t="str">
        <f>"2560146973  "</f>
        <v xml:space="preserve">2560146973  </v>
      </c>
      <c r="E6202" t="s">
        <v>277</v>
      </c>
      <c r="F6202" t="s">
        <v>279</v>
      </c>
      <c r="G6202">
        <v>1039.06</v>
      </c>
      <c r="H6202">
        <v>250217</v>
      </c>
      <c r="I6202">
        <v>4520</v>
      </c>
      <c r="J6202" t="s">
        <v>280</v>
      </c>
      <c r="K6202">
        <v>1262.28</v>
      </c>
      <c r="L6202">
        <v>127.6</v>
      </c>
      <c r="M6202">
        <v>17915</v>
      </c>
      <c r="N6202" t="s">
        <v>305</v>
      </c>
      <c r="O6202">
        <v>250221</v>
      </c>
      <c r="P6202">
        <v>911.46</v>
      </c>
    </row>
    <row r="6203" spans="1:16" x14ac:dyDescent="0.25">
      <c r="A6203" t="s">
        <v>3296</v>
      </c>
      <c r="B6203" t="s">
        <v>2931</v>
      </c>
      <c r="C6203">
        <v>2214</v>
      </c>
      <c r="D6203" t="str">
        <f>"2560146973  "</f>
        <v xml:space="preserve">2560146973  </v>
      </c>
      <c r="E6203" t="s">
        <v>277</v>
      </c>
      <c r="F6203" t="s">
        <v>279</v>
      </c>
      <c r="G6203">
        <v>124.9</v>
      </c>
      <c r="H6203">
        <v>250217</v>
      </c>
      <c r="I6203">
        <v>4520</v>
      </c>
      <c r="J6203" t="s">
        <v>280</v>
      </c>
      <c r="K6203">
        <v>1262.28</v>
      </c>
      <c r="L6203">
        <v>15.34</v>
      </c>
      <c r="M6203">
        <v>17982</v>
      </c>
      <c r="N6203" t="s">
        <v>281</v>
      </c>
      <c r="O6203">
        <v>250221</v>
      </c>
      <c r="P6203">
        <v>109.56</v>
      </c>
    </row>
    <row r="6204" spans="1:16" x14ac:dyDescent="0.25">
      <c r="A6204" t="s">
        <v>3296</v>
      </c>
      <c r="B6204" t="s">
        <v>2931</v>
      </c>
      <c r="C6204">
        <v>2214</v>
      </c>
      <c r="D6204" t="str">
        <f>"2560146973  "</f>
        <v xml:space="preserve">2560146973  </v>
      </c>
      <c r="E6204" t="s">
        <v>277</v>
      </c>
      <c r="F6204" t="s">
        <v>279</v>
      </c>
      <c r="G6204">
        <v>85</v>
      </c>
      <c r="H6204">
        <v>250217</v>
      </c>
      <c r="I6204">
        <v>4520</v>
      </c>
      <c r="J6204" t="s">
        <v>280</v>
      </c>
      <c r="K6204">
        <v>1262.28</v>
      </c>
      <c r="L6204">
        <v>10.44</v>
      </c>
      <c r="M6204">
        <v>17984</v>
      </c>
      <c r="N6204" t="s">
        <v>655</v>
      </c>
      <c r="O6204">
        <v>250221</v>
      </c>
      <c r="P6204">
        <v>74.56</v>
      </c>
    </row>
    <row r="6205" spans="1:16" x14ac:dyDescent="0.25">
      <c r="A6205" t="s">
        <v>3296</v>
      </c>
      <c r="B6205" t="s">
        <v>2931</v>
      </c>
      <c r="C6205">
        <v>2216</v>
      </c>
      <c r="D6205" t="str">
        <f>"2560146977  "</f>
        <v xml:space="preserve">2560146977  </v>
      </c>
      <c r="E6205" t="s">
        <v>277</v>
      </c>
      <c r="F6205" t="s">
        <v>279</v>
      </c>
      <c r="G6205">
        <v>184.38</v>
      </c>
      <c r="H6205">
        <v>250217</v>
      </c>
      <c r="I6205">
        <v>4520</v>
      </c>
      <c r="J6205" t="s">
        <v>280</v>
      </c>
      <c r="K6205">
        <v>292.76</v>
      </c>
      <c r="L6205">
        <v>22.64</v>
      </c>
      <c r="M6205">
        <v>44253</v>
      </c>
      <c r="N6205" t="s">
        <v>403</v>
      </c>
      <c r="O6205">
        <v>250221</v>
      </c>
      <c r="P6205">
        <v>161.74</v>
      </c>
    </row>
    <row r="6206" spans="1:16" x14ac:dyDescent="0.25">
      <c r="A6206" t="s">
        <v>3296</v>
      </c>
      <c r="B6206" t="s">
        <v>2931</v>
      </c>
      <c r="C6206">
        <v>2230</v>
      </c>
      <c r="D6206" t="str">
        <f>"2560146968  "</f>
        <v xml:space="preserve">2560146968  </v>
      </c>
      <c r="E6206" t="s">
        <v>277</v>
      </c>
      <c r="F6206" t="s">
        <v>279</v>
      </c>
      <c r="G6206">
        <v>445.09</v>
      </c>
      <c r="H6206">
        <v>250217</v>
      </c>
      <c r="I6206">
        <v>4520</v>
      </c>
      <c r="J6206" t="s">
        <v>280</v>
      </c>
      <c r="K6206">
        <v>432.54</v>
      </c>
      <c r="L6206">
        <v>54.66</v>
      </c>
      <c r="M6206">
        <v>59114</v>
      </c>
      <c r="N6206" t="s">
        <v>299</v>
      </c>
      <c r="O6206">
        <v>250221</v>
      </c>
      <c r="P6206">
        <v>390.43</v>
      </c>
    </row>
    <row r="6207" spans="1:16" x14ac:dyDescent="0.25">
      <c r="A6207" t="s">
        <v>3296</v>
      </c>
      <c r="B6207" t="s">
        <v>2931</v>
      </c>
      <c r="C6207">
        <v>2231</v>
      </c>
      <c r="D6207" t="str">
        <f>"2560146970  "</f>
        <v xml:space="preserve">2560146970  </v>
      </c>
      <c r="E6207" t="s">
        <v>277</v>
      </c>
      <c r="F6207" t="s">
        <v>279</v>
      </c>
      <c r="G6207">
        <v>1967.89</v>
      </c>
      <c r="H6207">
        <v>250217</v>
      </c>
      <c r="I6207">
        <v>4520</v>
      </c>
      <c r="J6207" t="s">
        <v>280</v>
      </c>
      <c r="K6207">
        <v>2290.06</v>
      </c>
      <c r="L6207">
        <v>241.67</v>
      </c>
      <c r="M6207">
        <v>59113</v>
      </c>
      <c r="N6207" t="s">
        <v>61</v>
      </c>
      <c r="O6207">
        <v>250221</v>
      </c>
      <c r="P6207">
        <v>1726.22</v>
      </c>
    </row>
    <row r="6208" spans="1:16" x14ac:dyDescent="0.25">
      <c r="A6208" t="s">
        <v>3296</v>
      </c>
      <c r="B6208" t="s">
        <v>2931</v>
      </c>
      <c r="C6208">
        <v>2231</v>
      </c>
      <c r="D6208" t="str">
        <f>"2560146970  "</f>
        <v xml:space="preserve">2560146970  </v>
      </c>
      <c r="E6208" t="s">
        <v>277</v>
      </c>
      <c r="F6208" t="s">
        <v>279</v>
      </c>
      <c r="G6208">
        <v>347.27</v>
      </c>
      <c r="H6208">
        <v>250217</v>
      </c>
      <c r="I6208">
        <v>4520</v>
      </c>
      <c r="J6208" t="s">
        <v>280</v>
      </c>
      <c r="K6208">
        <v>2290.06</v>
      </c>
      <c r="L6208">
        <v>42.65</v>
      </c>
      <c r="M6208">
        <v>59803</v>
      </c>
      <c r="N6208" t="s">
        <v>282</v>
      </c>
      <c r="O6208">
        <v>250221</v>
      </c>
      <c r="P6208">
        <v>304.62</v>
      </c>
    </row>
    <row r="6209" spans="1:16" x14ac:dyDescent="0.25">
      <c r="A6209" t="s">
        <v>3296</v>
      </c>
      <c r="B6209" t="s">
        <v>2931</v>
      </c>
      <c r="C6209">
        <v>2295</v>
      </c>
      <c r="D6209" t="str">
        <f>"2560146978  "</f>
        <v xml:space="preserve">2560146978  </v>
      </c>
      <c r="E6209" t="s">
        <v>277</v>
      </c>
      <c r="F6209" t="s">
        <v>279</v>
      </c>
      <c r="G6209">
        <v>1760.58</v>
      </c>
      <c r="H6209">
        <v>250217</v>
      </c>
      <c r="I6209">
        <v>4520</v>
      </c>
      <c r="J6209" t="s">
        <v>280</v>
      </c>
      <c r="K6209">
        <v>1840.18</v>
      </c>
      <c r="L6209">
        <v>216.21</v>
      </c>
      <c r="M6209">
        <v>69112</v>
      </c>
      <c r="N6209" t="s">
        <v>227</v>
      </c>
      <c r="O6209">
        <v>250224</v>
      </c>
      <c r="P6209">
        <v>1544.37</v>
      </c>
    </row>
    <row r="6210" spans="1:16" x14ac:dyDescent="0.25">
      <c r="A6210" t="s">
        <v>3296</v>
      </c>
      <c r="B6210" t="s">
        <v>2931</v>
      </c>
      <c r="C6210">
        <v>2295</v>
      </c>
      <c r="D6210" t="str">
        <f>"2560146978  "</f>
        <v xml:space="preserve">2560146978  </v>
      </c>
      <c r="E6210" t="s">
        <v>277</v>
      </c>
      <c r="F6210" t="s">
        <v>279</v>
      </c>
      <c r="G6210">
        <v>97.81</v>
      </c>
      <c r="H6210">
        <v>250217</v>
      </c>
      <c r="I6210">
        <v>4520</v>
      </c>
      <c r="J6210" t="s">
        <v>280</v>
      </c>
      <c r="K6210">
        <v>1840.18</v>
      </c>
      <c r="L6210">
        <v>12.01</v>
      </c>
      <c r="M6210">
        <v>69810</v>
      </c>
      <c r="N6210" t="s">
        <v>229</v>
      </c>
      <c r="O6210">
        <v>250224</v>
      </c>
      <c r="P6210">
        <v>85.8</v>
      </c>
    </row>
    <row r="6211" spans="1:16" x14ac:dyDescent="0.25">
      <c r="A6211" t="s">
        <v>3296</v>
      </c>
      <c r="B6211" t="s">
        <v>2931</v>
      </c>
      <c r="C6211">
        <v>2295</v>
      </c>
      <c r="D6211" t="str">
        <f>"2560146978  "</f>
        <v xml:space="preserve">2560146978  </v>
      </c>
      <c r="E6211" t="s">
        <v>277</v>
      </c>
      <c r="F6211" t="s">
        <v>279</v>
      </c>
      <c r="G6211">
        <v>97.81</v>
      </c>
      <c r="H6211">
        <v>250217</v>
      </c>
      <c r="I6211">
        <v>4520</v>
      </c>
      <c r="J6211" t="s">
        <v>280</v>
      </c>
      <c r="K6211">
        <v>1840.18</v>
      </c>
      <c r="L6211">
        <v>12.01</v>
      </c>
      <c r="M6211">
        <v>69811</v>
      </c>
      <c r="N6211" t="s">
        <v>230</v>
      </c>
      <c r="O6211">
        <v>250224</v>
      </c>
      <c r="P6211">
        <v>85.8</v>
      </c>
    </row>
    <row r="6212" spans="1:16" x14ac:dyDescent="0.25">
      <c r="A6212" t="s">
        <v>3296</v>
      </c>
      <c r="B6212" t="s">
        <v>2931</v>
      </c>
      <c r="C6212">
        <v>2297</v>
      </c>
      <c r="D6212" t="str">
        <f t="shared" ref="D6212:D6225" si="106">"2560146976  "</f>
        <v xml:space="preserve">2560146976  </v>
      </c>
      <c r="E6212" t="s">
        <v>277</v>
      </c>
      <c r="F6212" t="s">
        <v>279</v>
      </c>
      <c r="G6212">
        <v>14.32</v>
      </c>
      <c r="H6212">
        <v>250217</v>
      </c>
      <c r="I6212">
        <v>4520</v>
      </c>
      <c r="J6212" t="s">
        <v>280</v>
      </c>
      <c r="K6212">
        <v>12432.05</v>
      </c>
      <c r="L6212">
        <v>2.91</v>
      </c>
      <c r="M6212">
        <v>14422</v>
      </c>
      <c r="N6212" t="s">
        <v>73</v>
      </c>
      <c r="O6212">
        <v>250224</v>
      </c>
      <c r="P6212">
        <v>11.41</v>
      </c>
    </row>
    <row r="6213" spans="1:16" x14ac:dyDescent="0.25">
      <c r="A6213" t="s">
        <v>3296</v>
      </c>
      <c r="B6213" t="s">
        <v>2931</v>
      </c>
      <c r="C6213">
        <v>2297</v>
      </c>
      <c r="D6213" t="str">
        <f t="shared" si="106"/>
        <v xml:space="preserve">2560146976  </v>
      </c>
      <c r="E6213" t="s">
        <v>277</v>
      </c>
      <c r="F6213" t="s">
        <v>279</v>
      </c>
      <c r="G6213">
        <v>99.36</v>
      </c>
      <c r="H6213">
        <v>250217</v>
      </c>
      <c r="I6213">
        <v>4520</v>
      </c>
      <c r="J6213" t="s">
        <v>280</v>
      </c>
      <c r="K6213">
        <v>12432.05</v>
      </c>
      <c r="L6213">
        <v>12.2</v>
      </c>
      <c r="M6213">
        <v>14422</v>
      </c>
      <c r="N6213" t="s">
        <v>73</v>
      </c>
      <c r="O6213">
        <v>250224</v>
      </c>
      <c r="P6213">
        <v>87.16</v>
      </c>
    </row>
    <row r="6214" spans="1:16" x14ac:dyDescent="0.25">
      <c r="A6214" t="s">
        <v>3296</v>
      </c>
      <c r="B6214" t="s">
        <v>2931</v>
      </c>
      <c r="C6214">
        <v>2297</v>
      </c>
      <c r="D6214" t="str">
        <f t="shared" si="106"/>
        <v xml:space="preserve">2560146976  </v>
      </c>
      <c r="E6214" t="s">
        <v>277</v>
      </c>
      <c r="F6214" t="s">
        <v>279</v>
      </c>
      <c r="G6214">
        <v>57.29</v>
      </c>
      <c r="H6214">
        <v>250217</v>
      </c>
      <c r="I6214">
        <v>4520</v>
      </c>
      <c r="J6214" t="s">
        <v>280</v>
      </c>
      <c r="K6214">
        <v>12432.05</v>
      </c>
      <c r="L6214">
        <v>11.64</v>
      </c>
      <c r="M6214">
        <v>14431</v>
      </c>
      <c r="N6214" t="s">
        <v>74</v>
      </c>
      <c r="O6214">
        <v>250224</v>
      </c>
      <c r="P6214">
        <v>45.65</v>
      </c>
    </row>
    <row r="6215" spans="1:16" x14ac:dyDescent="0.25">
      <c r="A6215" t="s">
        <v>3296</v>
      </c>
      <c r="B6215" t="s">
        <v>2931</v>
      </c>
      <c r="C6215">
        <v>2297</v>
      </c>
      <c r="D6215" t="str">
        <f t="shared" si="106"/>
        <v xml:space="preserve">2560146976  </v>
      </c>
      <c r="E6215" t="s">
        <v>277</v>
      </c>
      <c r="F6215" t="s">
        <v>279</v>
      </c>
      <c r="G6215">
        <v>397.45</v>
      </c>
      <c r="H6215">
        <v>250217</v>
      </c>
      <c r="I6215">
        <v>4520</v>
      </c>
      <c r="J6215" t="s">
        <v>280</v>
      </c>
      <c r="K6215">
        <v>12432.05</v>
      </c>
      <c r="L6215">
        <v>48.81</v>
      </c>
      <c r="M6215">
        <v>14431</v>
      </c>
      <c r="N6215" t="s">
        <v>74</v>
      </c>
      <c r="O6215">
        <v>250224</v>
      </c>
      <c r="P6215">
        <v>348.64</v>
      </c>
    </row>
    <row r="6216" spans="1:16" x14ac:dyDescent="0.25">
      <c r="A6216" t="s">
        <v>3296</v>
      </c>
      <c r="B6216" t="s">
        <v>2931</v>
      </c>
      <c r="C6216">
        <v>2297</v>
      </c>
      <c r="D6216" t="str">
        <f t="shared" si="106"/>
        <v xml:space="preserve">2560146976  </v>
      </c>
      <c r="E6216" t="s">
        <v>277</v>
      </c>
      <c r="F6216" t="s">
        <v>279</v>
      </c>
      <c r="G6216">
        <v>243.47</v>
      </c>
      <c r="H6216">
        <v>250217</v>
      </c>
      <c r="I6216">
        <v>4520</v>
      </c>
      <c r="J6216" t="s">
        <v>280</v>
      </c>
      <c r="K6216">
        <v>12432.05</v>
      </c>
      <c r="L6216">
        <v>49.47</v>
      </c>
      <c r="M6216">
        <v>14432</v>
      </c>
      <c r="N6216" t="s">
        <v>75</v>
      </c>
      <c r="O6216">
        <v>250224</v>
      </c>
      <c r="P6216">
        <v>194</v>
      </c>
    </row>
    <row r="6217" spans="1:16" x14ac:dyDescent="0.25">
      <c r="A6217" t="s">
        <v>3296</v>
      </c>
      <c r="B6217" t="s">
        <v>2931</v>
      </c>
      <c r="C6217">
        <v>2297</v>
      </c>
      <c r="D6217" t="str">
        <f t="shared" si="106"/>
        <v xml:space="preserve">2560146976  </v>
      </c>
      <c r="E6217" t="s">
        <v>277</v>
      </c>
      <c r="F6217" t="s">
        <v>279</v>
      </c>
      <c r="G6217">
        <v>1689.15</v>
      </c>
      <c r="H6217">
        <v>250217</v>
      </c>
      <c r="I6217">
        <v>4520</v>
      </c>
      <c r="J6217" t="s">
        <v>280</v>
      </c>
      <c r="K6217">
        <v>12432.05</v>
      </c>
      <c r="L6217">
        <v>207.44</v>
      </c>
      <c r="M6217">
        <v>14432</v>
      </c>
      <c r="N6217" t="s">
        <v>75</v>
      </c>
      <c r="O6217">
        <v>250224</v>
      </c>
      <c r="P6217">
        <v>1481.71</v>
      </c>
    </row>
    <row r="6218" spans="1:16" x14ac:dyDescent="0.25">
      <c r="A6218" t="s">
        <v>3296</v>
      </c>
      <c r="B6218" t="s">
        <v>2931</v>
      </c>
      <c r="C6218">
        <v>2297</v>
      </c>
      <c r="D6218" t="str">
        <f t="shared" si="106"/>
        <v xml:space="preserve">2560146976  </v>
      </c>
      <c r="E6218" t="s">
        <v>277</v>
      </c>
      <c r="F6218" t="s">
        <v>279</v>
      </c>
      <c r="G6218">
        <v>14.32</v>
      </c>
      <c r="H6218">
        <v>250217</v>
      </c>
      <c r="I6218">
        <v>4520</v>
      </c>
      <c r="J6218" t="s">
        <v>280</v>
      </c>
      <c r="K6218">
        <v>12432.05</v>
      </c>
      <c r="L6218">
        <v>2.91</v>
      </c>
      <c r="M6218">
        <v>14640</v>
      </c>
      <c r="N6218" t="s">
        <v>78</v>
      </c>
      <c r="O6218">
        <v>250224</v>
      </c>
      <c r="P6218">
        <v>11.41</v>
      </c>
    </row>
    <row r="6219" spans="1:16" x14ac:dyDescent="0.25">
      <c r="A6219" t="s">
        <v>3296</v>
      </c>
      <c r="B6219" t="s">
        <v>2931</v>
      </c>
      <c r="C6219">
        <v>2297</v>
      </c>
      <c r="D6219" t="str">
        <f t="shared" si="106"/>
        <v xml:space="preserve">2560146976  </v>
      </c>
      <c r="E6219" t="s">
        <v>277</v>
      </c>
      <c r="F6219" t="s">
        <v>279</v>
      </c>
      <c r="G6219">
        <v>99.36</v>
      </c>
      <c r="H6219">
        <v>250217</v>
      </c>
      <c r="I6219">
        <v>4520</v>
      </c>
      <c r="J6219" t="s">
        <v>280</v>
      </c>
      <c r="K6219">
        <v>12432.05</v>
      </c>
      <c r="L6219">
        <v>12.2</v>
      </c>
      <c r="M6219">
        <v>14640</v>
      </c>
      <c r="N6219" t="s">
        <v>78</v>
      </c>
      <c r="O6219">
        <v>250224</v>
      </c>
      <c r="P6219">
        <v>87.16</v>
      </c>
    </row>
    <row r="6220" spans="1:16" x14ac:dyDescent="0.25">
      <c r="A6220" t="s">
        <v>3296</v>
      </c>
      <c r="B6220" t="s">
        <v>2931</v>
      </c>
      <c r="C6220">
        <v>2297</v>
      </c>
      <c r="D6220" t="str">
        <f t="shared" si="106"/>
        <v xml:space="preserve">2560146976  </v>
      </c>
      <c r="E6220" t="s">
        <v>277</v>
      </c>
      <c r="F6220" t="s">
        <v>279</v>
      </c>
      <c r="G6220">
        <v>57.29</v>
      </c>
      <c r="H6220">
        <v>250217</v>
      </c>
      <c r="I6220">
        <v>4520</v>
      </c>
      <c r="J6220" t="s">
        <v>280</v>
      </c>
      <c r="K6220">
        <v>12432.05</v>
      </c>
      <c r="L6220">
        <v>11.64</v>
      </c>
      <c r="M6220">
        <v>14642</v>
      </c>
      <c r="N6220" t="s">
        <v>283</v>
      </c>
      <c r="O6220">
        <v>250224</v>
      </c>
      <c r="P6220">
        <v>45.65</v>
      </c>
    </row>
    <row r="6221" spans="1:16" x14ac:dyDescent="0.25">
      <c r="A6221" t="s">
        <v>3296</v>
      </c>
      <c r="B6221" t="s">
        <v>2931</v>
      </c>
      <c r="C6221">
        <v>2297</v>
      </c>
      <c r="D6221" t="str">
        <f t="shared" si="106"/>
        <v xml:space="preserve">2560146976  </v>
      </c>
      <c r="E6221" t="s">
        <v>277</v>
      </c>
      <c r="F6221" t="s">
        <v>279</v>
      </c>
      <c r="G6221">
        <v>397.45</v>
      </c>
      <c r="H6221">
        <v>250217</v>
      </c>
      <c r="I6221">
        <v>4520</v>
      </c>
      <c r="J6221" t="s">
        <v>280</v>
      </c>
      <c r="K6221">
        <v>12432.05</v>
      </c>
      <c r="L6221">
        <v>48.81</v>
      </c>
      <c r="M6221">
        <v>14642</v>
      </c>
      <c r="N6221" t="s">
        <v>283</v>
      </c>
      <c r="O6221">
        <v>250224</v>
      </c>
      <c r="P6221">
        <v>348.64</v>
      </c>
    </row>
    <row r="6222" spans="1:16" x14ac:dyDescent="0.25">
      <c r="A6222" t="s">
        <v>3296</v>
      </c>
      <c r="B6222" t="s">
        <v>2931</v>
      </c>
      <c r="C6222">
        <v>2297</v>
      </c>
      <c r="D6222" t="str">
        <f t="shared" si="106"/>
        <v xml:space="preserve">2560146976  </v>
      </c>
      <c r="E6222" t="s">
        <v>277</v>
      </c>
      <c r="F6222" t="s">
        <v>279</v>
      </c>
      <c r="G6222">
        <v>1045.48</v>
      </c>
      <c r="H6222">
        <v>250217</v>
      </c>
      <c r="I6222">
        <v>4520</v>
      </c>
      <c r="J6222" t="s">
        <v>280</v>
      </c>
      <c r="K6222">
        <v>12432.05</v>
      </c>
      <c r="L6222">
        <v>212.43</v>
      </c>
      <c r="M6222">
        <v>14912</v>
      </c>
      <c r="N6222" t="s">
        <v>80</v>
      </c>
      <c r="O6222">
        <v>250224</v>
      </c>
      <c r="P6222">
        <v>833.05</v>
      </c>
    </row>
    <row r="6223" spans="1:16" x14ac:dyDescent="0.25">
      <c r="A6223" t="s">
        <v>3296</v>
      </c>
      <c r="B6223" t="s">
        <v>2931</v>
      </c>
      <c r="C6223">
        <v>2297</v>
      </c>
      <c r="D6223" t="str">
        <f t="shared" si="106"/>
        <v xml:space="preserve">2560146976  </v>
      </c>
      <c r="E6223" t="s">
        <v>277</v>
      </c>
      <c r="F6223" t="s">
        <v>279</v>
      </c>
      <c r="G6223">
        <v>7253.4</v>
      </c>
      <c r="H6223">
        <v>250217</v>
      </c>
      <c r="I6223">
        <v>4520</v>
      </c>
      <c r="J6223" t="s">
        <v>280</v>
      </c>
      <c r="K6223">
        <v>12432.05</v>
      </c>
      <c r="L6223">
        <v>890.77</v>
      </c>
      <c r="M6223">
        <v>14912</v>
      </c>
      <c r="N6223" t="s">
        <v>80</v>
      </c>
      <c r="O6223">
        <v>250224</v>
      </c>
      <c r="P6223">
        <v>6362.63</v>
      </c>
    </row>
    <row r="6224" spans="1:16" x14ac:dyDescent="0.25">
      <c r="A6224" t="s">
        <v>3296</v>
      </c>
      <c r="B6224" t="s">
        <v>2931</v>
      </c>
      <c r="C6224">
        <v>2297</v>
      </c>
      <c r="D6224" t="str">
        <f t="shared" si="106"/>
        <v xml:space="preserve">2560146976  </v>
      </c>
      <c r="E6224" t="s">
        <v>277</v>
      </c>
      <c r="F6224" t="s">
        <v>279</v>
      </c>
      <c r="G6224">
        <v>3.6</v>
      </c>
      <c r="H6224">
        <v>250217</v>
      </c>
      <c r="I6224">
        <v>4520</v>
      </c>
      <c r="J6224" t="s">
        <v>280</v>
      </c>
      <c r="K6224">
        <v>12432.05</v>
      </c>
      <c r="L6224">
        <v>0.73</v>
      </c>
      <c r="M6224">
        <v>14990</v>
      </c>
      <c r="N6224" t="s">
        <v>85</v>
      </c>
      <c r="O6224">
        <v>250224</v>
      </c>
      <c r="P6224">
        <v>2.87</v>
      </c>
    </row>
    <row r="6225" spans="1:16" x14ac:dyDescent="0.25">
      <c r="A6225" t="s">
        <v>3296</v>
      </c>
      <c r="B6225" t="s">
        <v>2931</v>
      </c>
      <c r="C6225">
        <v>2297</v>
      </c>
      <c r="D6225" t="str">
        <f t="shared" si="106"/>
        <v xml:space="preserve">2560146976  </v>
      </c>
      <c r="E6225" t="s">
        <v>277</v>
      </c>
      <c r="F6225" t="s">
        <v>279</v>
      </c>
      <c r="G6225">
        <v>1060.1099999999999</v>
      </c>
      <c r="H6225">
        <v>250217</v>
      </c>
      <c r="I6225">
        <v>4520</v>
      </c>
      <c r="J6225" t="s">
        <v>280</v>
      </c>
      <c r="K6225">
        <v>12432.05</v>
      </c>
      <c r="L6225">
        <v>130.19</v>
      </c>
      <c r="M6225">
        <v>14990</v>
      </c>
      <c r="N6225" t="s">
        <v>85</v>
      </c>
      <c r="O6225">
        <v>250224</v>
      </c>
      <c r="P6225">
        <v>929.92</v>
      </c>
    </row>
    <row r="6226" spans="1:16" x14ac:dyDescent="0.25">
      <c r="A6226" t="s">
        <v>3296</v>
      </c>
      <c r="B6226" t="s">
        <v>2931</v>
      </c>
      <c r="C6226">
        <v>2364</v>
      </c>
      <c r="D6226" t="str">
        <f>"2560146971  "</f>
        <v xml:space="preserve">2560146971  </v>
      </c>
      <c r="E6226" t="s">
        <v>277</v>
      </c>
      <c r="F6226" t="s">
        <v>279</v>
      </c>
      <c r="G6226">
        <v>1536.35</v>
      </c>
      <c r="H6226">
        <v>250217</v>
      </c>
      <c r="I6226">
        <v>4520</v>
      </c>
      <c r="J6226" t="s">
        <v>280</v>
      </c>
      <c r="K6226">
        <v>1836.86</v>
      </c>
      <c r="L6226">
        <v>188.67</v>
      </c>
      <c r="M6226">
        <v>69113</v>
      </c>
      <c r="N6226" t="s">
        <v>122</v>
      </c>
      <c r="O6226">
        <v>250224</v>
      </c>
      <c r="P6226">
        <v>1347.68</v>
      </c>
    </row>
    <row r="6227" spans="1:16" x14ac:dyDescent="0.25">
      <c r="A6227" t="s">
        <v>3296</v>
      </c>
      <c r="B6227" t="s">
        <v>2931</v>
      </c>
      <c r="C6227">
        <v>2364</v>
      </c>
      <c r="D6227" t="str">
        <f>"2560146971  "</f>
        <v xml:space="preserve">2560146971  </v>
      </c>
      <c r="E6227" t="s">
        <v>277</v>
      </c>
      <c r="F6227" t="s">
        <v>279</v>
      </c>
      <c r="G6227">
        <v>180.75</v>
      </c>
      <c r="H6227">
        <v>250217</v>
      </c>
      <c r="I6227">
        <v>4520</v>
      </c>
      <c r="J6227" t="s">
        <v>280</v>
      </c>
      <c r="K6227">
        <v>1836.86</v>
      </c>
      <c r="L6227">
        <v>22.2</v>
      </c>
      <c r="M6227">
        <v>69802</v>
      </c>
      <c r="N6227" t="s">
        <v>375</v>
      </c>
      <c r="O6227">
        <v>250224</v>
      </c>
      <c r="P6227">
        <v>158.55000000000001</v>
      </c>
    </row>
    <row r="6228" spans="1:16" x14ac:dyDescent="0.25">
      <c r="A6228" t="s">
        <v>3296</v>
      </c>
      <c r="B6228" t="s">
        <v>2931</v>
      </c>
      <c r="C6228">
        <v>2364</v>
      </c>
      <c r="D6228" t="str">
        <f>"2560146971  "</f>
        <v xml:space="preserve">2560146971  </v>
      </c>
      <c r="E6228" t="s">
        <v>277</v>
      </c>
      <c r="F6228" t="s">
        <v>279</v>
      </c>
      <c r="G6228">
        <v>90.37</v>
      </c>
      <c r="H6228">
        <v>250217</v>
      </c>
      <c r="I6228">
        <v>4520</v>
      </c>
      <c r="J6228" t="s">
        <v>280</v>
      </c>
      <c r="K6228">
        <v>1836.86</v>
      </c>
      <c r="L6228">
        <v>11.1</v>
      </c>
      <c r="M6228">
        <v>69804</v>
      </c>
      <c r="N6228" t="s">
        <v>376</v>
      </c>
      <c r="O6228">
        <v>250224</v>
      </c>
      <c r="P6228">
        <v>79.27</v>
      </c>
    </row>
    <row r="6229" spans="1:16" x14ac:dyDescent="0.25">
      <c r="A6229" t="s">
        <v>3296</v>
      </c>
      <c r="B6229" t="s">
        <v>2931</v>
      </c>
      <c r="C6229">
        <v>2370</v>
      </c>
      <c r="D6229" t="str">
        <f>"2560128308  "</f>
        <v xml:space="preserve">2560128308  </v>
      </c>
      <c r="E6229" t="s">
        <v>277</v>
      </c>
      <c r="F6229" t="s">
        <v>279</v>
      </c>
      <c r="G6229">
        <v>2773.1</v>
      </c>
      <c r="H6229">
        <v>250210</v>
      </c>
      <c r="I6229">
        <v>4520</v>
      </c>
      <c r="J6229" t="s">
        <v>280</v>
      </c>
      <c r="K6229">
        <v>3059.75</v>
      </c>
      <c r="L6229">
        <v>340.56</v>
      </c>
      <c r="M6229">
        <v>49112</v>
      </c>
      <c r="N6229" t="s">
        <v>109</v>
      </c>
      <c r="O6229">
        <v>250225</v>
      </c>
      <c r="P6229">
        <v>2432.54</v>
      </c>
    </row>
    <row r="6230" spans="1:16" x14ac:dyDescent="0.25">
      <c r="A6230" t="s">
        <v>3296</v>
      </c>
      <c r="B6230" t="s">
        <v>2931</v>
      </c>
      <c r="C6230">
        <v>2379</v>
      </c>
      <c r="D6230" t="str">
        <f>"2560146972  "</f>
        <v xml:space="preserve">2560146972  </v>
      </c>
      <c r="E6230" t="s">
        <v>277</v>
      </c>
      <c r="F6230" t="s">
        <v>279</v>
      </c>
      <c r="G6230">
        <v>2608.0100000000002</v>
      </c>
      <c r="H6230">
        <v>250217</v>
      </c>
      <c r="I6230">
        <v>4520</v>
      </c>
      <c r="J6230" t="s">
        <v>280</v>
      </c>
      <c r="K6230">
        <v>2621.16</v>
      </c>
      <c r="L6230">
        <v>320.27999999999997</v>
      </c>
      <c r="M6230">
        <v>49112</v>
      </c>
      <c r="N6230" t="s">
        <v>109</v>
      </c>
      <c r="O6230">
        <v>250225</v>
      </c>
      <c r="P6230">
        <v>2287.73</v>
      </c>
    </row>
    <row r="6231" spans="1:16" x14ac:dyDescent="0.25">
      <c r="A6231" t="s">
        <v>3296</v>
      </c>
      <c r="B6231" t="s">
        <v>2931</v>
      </c>
      <c r="C6231">
        <v>2445</v>
      </c>
      <c r="D6231" t="str">
        <f>"2560128313  "</f>
        <v xml:space="preserve">2560128313  </v>
      </c>
      <c r="E6231" t="s">
        <v>277</v>
      </c>
      <c r="F6231" t="s">
        <v>279</v>
      </c>
      <c r="G6231">
        <v>372.87</v>
      </c>
      <c r="H6231">
        <v>250210</v>
      </c>
      <c r="I6231">
        <v>4520</v>
      </c>
      <c r="J6231" t="s">
        <v>280</v>
      </c>
      <c r="K6231">
        <v>363.92</v>
      </c>
      <c r="L6231">
        <v>45.79</v>
      </c>
      <c r="M6231">
        <v>44253</v>
      </c>
      <c r="N6231" t="s">
        <v>403</v>
      </c>
      <c r="O6231">
        <v>250227</v>
      </c>
      <c r="P6231">
        <v>327.08</v>
      </c>
    </row>
    <row r="6232" spans="1:16" x14ac:dyDescent="0.25">
      <c r="A6232" t="s">
        <v>3296</v>
      </c>
      <c r="B6232" t="s">
        <v>2931</v>
      </c>
      <c r="C6232">
        <v>2536</v>
      </c>
      <c r="D6232" t="str">
        <f>"2560158277  "</f>
        <v xml:space="preserve">2560158277  </v>
      </c>
      <c r="E6232" t="s">
        <v>277</v>
      </c>
      <c r="F6232" t="s">
        <v>279</v>
      </c>
      <c r="G6232">
        <v>-12.55</v>
      </c>
      <c r="H6232">
        <v>250224</v>
      </c>
      <c r="I6232">
        <v>4520</v>
      </c>
      <c r="J6232" t="s">
        <v>280</v>
      </c>
      <c r="K6232">
        <v>469.84</v>
      </c>
      <c r="L6232">
        <v>-2.5499999999999998</v>
      </c>
      <c r="M6232">
        <v>17913</v>
      </c>
      <c r="N6232" t="s">
        <v>26</v>
      </c>
      <c r="O6232">
        <v>250303</v>
      </c>
      <c r="P6232">
        <v>-10</v>
      </c>
    </row>
    <row r="6233" spans="1:16" x14ac:dyDescent="0.25">
      <c r="A6233" t="s">
        <v>3296</v>
      </c>
      <c r="B6233" t="s">
        <v>2931</v>
      </c>
      <c r="C6233">
        <v>2536</v>
      </c>
      <c r="D6233" t="str">
        <f>"2560158277  "</f>
        <v xml:space="preserve">2560158277  </v>
      </c>
      <c r="E6233" t="s">
        <v>277</v>
      </c>
      <c r="F6233" t="s">
        <v>279</v>
      </c>
      <c r="G6233">
        <v>434.16</v>
      </c>
      <c r="H6233">
        <v>250224</v>
      </c>
      <c r="I6233">
        <v>4520</v>
      </c>
      <c r="J6233" t="s">
        <v>280</v>
      </c>
      <c r="K6233">
        <v>469.84</v>
      </c>
      <c r="L6233">
        <v>53.32</v>
      </c>
      <c r="M6233">
        <v>17913</v>
      </c>
      <c r="N6233" t="s">
        <v>26</v>
      </c>
      <c r="O6233">
        <v>250303</v>
      </c>
      <c r="P6233">
        <v>380.84</v>
      </c>
    </row>
    <row r="6234" spans="1:16" x14ac:dyDescent="0.25">
      <c r="A6234" t="s">
        <v>3296</v>
      </c>
      <c r="B6234" t="s">
        <v>2931</v>
      </c>
      <c r="C6234">
        <v>2536</v>
      </c>
      <c r="D6234" t="str">
        <f>"2560158277  "</f>
        <v xml:space="preserve">2560158277  </v>
      </c>
      <c r="E6234" t="s">
        <v>277</v>
      </c>
      <c r="F6234" t="s">
        <v>279</v>
      </c>
      <c r="G6234">
        <v>48.23</v>
      </c>
      <c r="H6234">
        <v>250224</v>
      </c>
      <c r="I6234">
        <v>4520</v>
      </c>
      <c r="J6234" t="s">
        <v>280</v>
      </c>
      <c r="K6234">
        <v>469.84</v>
      </c>
      <c r="L6234">
        <v>5.92</v>
      </c>
      <c r="M6234">
        <v>17982</v>
      </c>
      <c r="N6234" t="s">
        <v>281</v>
      </c>
      <c r="O6234">
        <v>250303</v>
      </c>
      <c r="P6234">
        <v>42.31</v>
      </c>
    </row>
    <row r="6235" spans="1:16" x14ac:dyDescent="0.25">
      <c r="A6235" t="s">
        <v>3296</v>
      </c>
      <c r="B6235" t="s">
        <v>2931</v>
      </c>
      <c r="C6235">
        <v>2539</v>
      </c>
      <c r="D6235" t="str">
        <f>"2560158276  "</f>
        <v xml:space="preserve">2560158276  </v>
      </c>
      <c r="E6235" t="s">
        <v>277</v>
      </c>
      <c r="F6235" t="s">
        <v>279</v>
      </c>
      <c r="G6235">
        <v>18.059999999999999</v>
      </c>
      <c r="H6235">
        <v>250224</v>
      </c>
      <c r="I6235">
        <v>4520</v>
      </c>
      <c r="J6235" t="s">
        <v>280</v>
      </c>
      <c r="K6235">
        <v>18.059999999999999</v>
      </c>
      <c r="L6235">
        <v>2.2200000000000002</v>
      </c>
      <c r="M6235">
        <v>17915</v>
      </c>
      <c r="N6235" t="s">
        <v>305</v>
      </c>
      <c r="O6235">
        <v>250303</v>
      </c>
      <c r="P6235">
        <v>15.84</v>
      </c>
    </row>
    <row r="6236" spans="1:16" x14ac:dyDescent="0.25">
      <c r="A6236" t="s">
        <v>3296</v>
      </c>
      <c r="B6236" t="s">
        <v>2931</v>
      </c>
      <c r="C6236">
        <v>2645</v>
      </c>
      <c r="D6236" t="str">
        <f t="shared" ref="D6236:D6241" si="107">"2560158278  "</f>
        <v xml:space="preserve">2560158278  </v>
      </c>
      <c r="E6236" t="s">
        <v>277</v>
      </c>
      <c r="F6236" t="s">
        <v>279</v>
      </c>
      <c r="G6236">
        <v>1</v>
      </c>
      <c r="H6236">
        <v>250224</v>
      </c>
      <c r="I6236">
        <v>4520</v>
      </c>
      <c r="J6236" t="s">
        <v>280</v>
      </c>
      <c r="K6236">
        <v>100.23</v>
      </c>
      <c r="L6236">
        <v>0.12</v>
      </c>
      <c r="M6236">
        <v>14422</v>
      </c>
      <c r="N6236" t="s">
        <v>73</v>
      </c>
      <c r="O6236">
        <v>250310</v>
      </c>
      <c r="P6236">
        <v>0.88</v>
      </c>
    </row>
    <row r="6237" spans="1:16" x14ac:dyDescent="0.25">
      <c r="A6237" t="s">
        <v>3296</v>
      </c>
      <c r="B6237" t="s">
        <v>2931</v>
      </c>
      <c r="C6237">
        <v>2645</v>
      </c>
      <c r="D6237" t="str">
        <f t="shared" si="107"/>
        <v xml:space="preserve">2560158278  </v>
      </c>
      <c r="E6237" t="s">
        <v>277</v>
      </c>
      <c r="F6237" t="s">
        <v>279</v>
      </c>
      <c r="G6237">
        <v>4.01</v>
      </c>
      <c r="H6237">
        <v>250224</v>
      </c>
      <c r="I6237">
        <v>4520</v>
      </c>
      <c r="J6237" t="s">
        <v>280</v>
      </c>
      <c r="K6237">
        <v>100.23</v>
      </c>
      <c r="L6237">
        <v>0.49</v>
      </c>
      <c r="M6237">
        <v>14431</v>
      </c>
      <c r="N6237" t="s">
        <v>74</v>
      </c>
      <c r="O6237">
        <v>250310</v>
      </c>
      <c r="P6237">
        <v>3.52</v>
      </c>
    </row>
    <row r="6238" spans="1:16" x14ac:dyDescent="0.25">
      <c r="A6238" t="s">
        <v>3296</v>
      </c>
      <c r="B6238" t="s">
        <v>2931</v>
      </c>
      <c r="C6238">
        <v>2645</v>
      </c>
      <c r="D6238" t="str">
        <f t="shared" si="107"/>
        <v xml:space="preserve">2560158278  </v>
      </c>
      <c r="E6238" t="s">
        <v>277</v>
      </c>
      <c r="F6238" t="s">
        <v>279</v>
      </c>
      <c r="G6238">
        <v>17.04</v>
      </c>
      <c r="H6238">
        <v>250224</v>
      </c>
      <c r="I6238">
        <v>4520</v>
      </c>
      <c r="J6238" t="s">
        <v>280</v>
      </c>
      <c r="K6238">
        <v>100.23</v>
      </c>
      <c r="L6238">
        <v>2.09</v>
      </c>
      <c r="M6238">
        <v>14432</v>
      </c>
      <c r="N6238" t="s">
        <v>75</v>
      </c>
      <c r="O6238">
        <v>250310</v>
      </c>
      <c r="P6238">
        <v>14.95</v>
      </c>
    </row>
    <row r="6239" spans="1:16" x14ac:dyDescent="0.25">
      <c r="A6239" t="s">
        <v>3296</v>
      </c>
      <c r="B6239" t="s">
        <v>2931</v>
      </c>
      <c r="C6239">
        <v>2645</v>
      </c>
      <c r="D6239" t="str">
        <f t="shared" si="107"/>
        <v xml:space="preserve">2560158278  </v>
      </c>
      <c r="E6239" t="s">
        <v>277</v>
      </c>
      <c r="F6239" t="s">
        <v>279</v>
      </c>
      <c r="G6239">
        <v>1</v>
      </c>
      <c r="H6239">
        <v>250224</v>
      </c>
      <c r="I6239">
        <v>4520</v>
      </c>
      <c r="J6239" t="s">
        <v>280</v>
      </c>
      <c r="K6239">
        <v>100.23</v>
      </c>
      <c r="L6239">
        <v>0.12</v>
      </c>
      <c r="M6239">
        <v>14640</v>
      </c>
      <c r="N6239" t="s">
        <v>78</v>
      </c>
      <c r="O6239">
        <v>250310</v>
      </c>
      <c r="P6239">
        <v>0.88</v>
      </c>
    </row>
    <row r="6240" spans="1:16" x14ac:dyDescent="0.25">
      <c r="A6240" t="s">
        <v>3296</v>
      </c>
      <c r="B6240" t="s">
        <v>2931</v>
      </c>
      <c r="C6240">
        <v>2645</v>
      </c>
      <c r="D6240" t="str">
        <f t="shared" si="107"/>
        <v xml:space="preserve">2560158278  </v>
      </c>
      <c r="E6240" t="s">
        <v>277</v>
      </c>
      <c r="F6240" t="s">
        <v>279</v>
      </c>
      <c r="G6240">
        <v>4.01</v>
      </c>
      <c r="H6240">
        <v>250224</v>
      </c>
      <c r="I6240">
        <v>4520</v>
      </c>
      <c r="J6240" t="s">
        <v>280</v>
      </c>
      <c r="K6240">
        <v>100.23</v>
      </c>
      <c r="L6240">
        <v>0.49</v>
      </c>
      <c r="M6240">
        <v>14642</v>
      </c>
      <c r="N6240" t="s">
        <v>283</v>
      </c>
      <c r="O6240">
        <v>250310</v>
      </c>
      <c r="P6240">
        <v>3.52</v>
      </c>
    </row>
    <row r="6241" spans="1:16" x14ac:dyDescent="0.25">
      <c r="A6241" t="s">
        <v>3296</v>
      </c>
      <c r="B6241" t="s">
        <v>2931</v>
      </c>
      <c r="C6241">
        <v>2645</v>
      </c>
      <c r="D6241" t="str">
        <f t="shared" si="107"/>
        <v xml:space="preserve">2560158278  </v>
      </c>
      <c r="E6241" t="s">
        <v>277</v>
      </c>
      <c r="F6241" t="s">
        <v>279</v>
      </c>
      <c r="G6241">
        <v>73.17</v>
      </c>
      <c r="H6241">
        <v>250224</v>
      </c>
      <c r="I6241">
        <v>4520</v>
      </c>
      <c r="J6241" t="s">
        <v>280</v>
      </c>
      <c r="K6241">
        <v>100.23</v>
      </c>
      <c r="L6241">
        <v>8.99</v>
      </c>
      <c r="M6241">
        <v>14912</v>
      </c>
      <c r="N6241" t="s">
        <v>80</v>
      </c>
      <c r="O6241">
        <v>250310</v>
      </c>
      <c r="P6241">
        <v>64.180000000000007</v>
      </c>
    </row>
    <row r="6242" spans="1:16" x14ac:dyDescent="0.25">
      <c r="A6242" t="s">
        <v>3296</v>
      </c>
      <c r="B6242" t="s">
        <v>2931</v>
      </c>
      <c r="C6242">
        <v>2734</v>
      </c>
      <c r="D6242" t="str">
        <f t="shared" ref="D6242:D6253" si="108">"2560171899  "</f>
        <v xml:space="preserve">2560171899  </v>
      </c>
      <c r="E6242" t="s">
        <v>277</v>
      </c>
      <c r="F6242" t="s">
        <v>279</v>
      </c>
      <c r="G6242">
        <v>12.39</v>
      </c>
      <c r="H6242">
        <v>250228</v>
      </c>
      <c r="I6242">
        <v>4520</v>
      </c>
      <c r="J6242" t="s">
        <v>280</v>
      </c>
      <c r="K6242">
        <v>4789.43</v>
      </c>
      <c r="L6242">
        <v>2.52</v>
      </c>
      <c r="M6242">
        <v>14422</v>
      </c>
      <c r="N6242" t="s">
        <v>73</v>
      </c>
      <c r="O6242">
        <v>250311</v>
      </c>
      <c r="P6242">
        <v>9.8699999999999992</v>
      </c>
    </row>
    <row r="6243" spans="1:16" x14ac:dyDescent="0.25">
      <c r="A6243" t="s">
        <v>3296</v>
      </c>
      <c r="B6243" t="s">
        <v>2931</v>
      </c>
      <c r="C6243">
        <v>2734</v>
      </c>
      <c r="D6243" t="str">
        <f t="shared" si="108"/>
        <v xml:space="preserve">2560171899  </v>
      </c>
      <c r="E6243" t="s">
        <v>277</v>
      </c>
      <c r="F6243" t="s">
        <v>279</v>
      </c>
      <c r="G6243">
        <v>35.5</v>
      </c>
      <c r="H6243">
        <v>250228</v>
      </c>
      <c r="I6243">
        <v>4520</v>
      </c>
      <c r="J6243" t="s">
        <v>280</v>
      </c>
      <c r="K6243">
        <v>4789.43</v>
      </c>
      <c r="L6243">
        <v>4.3600000000000003</v>
      </c>
      <c r="M6243">
        <v>14422</v>
      </c>
      <c r="N6243" t="s">
        <v>73</v>
      </c>
      <c r="O6243">
        <v>250311</v>
      </c>
      <c r="P6243">
        <v>31.14</v>
      </c>
    </row>
    <row r="6244" spans="1:16" x14ac:dyDescent="0.25">
      <c r="A6244" t="s">
        <v>3296</v>
      </c>
      <c r="B6244" t="s">
        <v>2931</v>
      </c>
      <c r="C6244">
        <v>2734</v>
      </c>
      <c r="D6244" t="str">
        <f t="shared" si="108"/>
        <v xml:space="preserve">2560171899  </v>
      </c>
      <c r="E6244" t="s">
        <v>277</v>
      </c>
      <c r="F6244" t="s">
        <v>279</v>
      </c>
      <c r="G6244">
        <v>49.58</v>
      </c>
      <c r="H6244">
        <v>250228</v>
      </c>
      <c r="I6244">
        <v>4520</v>
      </c>
      <c r="J6244" t="s">
        <v>280</v>
      </c>
      <c r="K6244">
        <v>4789.43</v>
      </c>
      <c r="L6244">
        <v>10.07</v>
      </c>
      <c r="M6244">
        <v>14431</v>
      </c>
      <c r="N6244" t="s">
        <v>74</v>
      </c>
      <c r="O6244">
        <v>250311</v>
      </c>
      <c r="P6244">
        <v>39.51</v>
      </c>
    </row>
    <row r="6245" spans="1:16" x14ac:dyDescent="0.25">
      <c r="A6245" t="s">
        <v>3296</v>
      </c>
      <c r="B6245" t="s">
        <v>2931</v>
      </c>
      <c r="C6245">
        <v>2734</v>
      </c>
      <c r="D6245" t="str">
        <f t="shared" si="108"/>
        <v xml:space="preserve">2560171899  </v>
      </c>
      <c r="E6245" t="s">
        <v>277</v>
      </c>
      <c r="F6245" t="s">
        <v>279</v>
      </c>
      <c r="G6245">
        <v>142</v>
      </c>
      <c r="H6245">
        <v>250228</v>
      </c>
      <c r="I6245">
        <v>4520</v>
      </c>
      <c r="J6245" t="s">
        <v>280</v>
      </c>
      <c r="K6245">
        <v>4789.43</v>
      </c>
      <c r="L6245">
        <v>17.440000000000001</v>
      </c>
      <c r="M6245">
        <v>14431</v>
      </c>
      <c r="N6245" t="s">
        <v>74</v>
      </c>
      <c r="O6245">
        <v>250311</v>
      </c>
      <c r="P6245">
        <v>124.56</v>
      </c>
    </row>
    <row r="6246" spans="1:16" x14ac:dyDescent="0.25">
      <c r="A6246" t="s">
        <v>3296</v>
      </c>
      <c r="B6246" t="s">
        <v>2931</v>
      </c>
      <c r="C6246">
        <v>2734</v>
      </c>
      <c r="D6246" t="str">
        <f t="shared" si="108"/>
        <v xml:space="preserve">2560171899  </v>
      </c>
      <c r="E6246" t="s">
        <v>277</v>
      </c>
      <c r="F6246" t="s">
        <v>279</v>
      </c>
      <c r="G6246">
        <v>210.71</v>
      </c>
      <c r="H6246">
        <v>250228</v>
      </c>
      <c r="I6246">
        <v>4520</v>
      </c>
      <c r="J6246" t="s">
        <v>280</v>
      </c>
      <c r="K6246">
        <v>4789.43</v>
      </c>
      <c r="L6246">
        <v>42.81</v>
      </c>
      <c r="M6246">
        <v>14432</v>
      </c>
      <c r="N6246" t="s">
        <v>75</v>
      </c>
      <c r="O6246">
        <v>250311</v>
      </c>
      <c r="P6246">
        <v>167.9</v>
      </c>
    </row>
    <row r="6247" spans="1:16" x14ac:dyDescent="0.25">
      <c r="A6247" t="s">
        <v>3296</v>
      </c>
      <c r="B6247" t="s">
        <v>2931</v>
      </c>
      <c r="C6247">
        <v>2734</v>
      </c>
      <c r="D6247" t="str">
        <f t="shared" si="108"/>
        <v xml:space="preserve">2560171899  </v>
      </c>
      <c r="E6247" t="s">
        <v>277</v>
      </c>
      <c r="F6247" t="s">
        <v>279</v>
      </c>
      <c r="G6247">
        <v>603.49</v>
      </c>
      <c r="H6247">
        <v>250228</v>
      </c>
      <c r="I6247">
        <v>4520</v>
      </c>
      <c r="J6247" t="s">
        <v>280</v>
      </c>
      <c r="K6247">
        <v>4789.43</v>
      </c>
      <c r="L6247">
        <v>74.11</v>
      </c>
      <c r="M6247">
        <v>14432</v>
      </c>
      <c r="N6247" t="s">
        <v>75</v>
      </c>
      <c r="O6247">
        <v>250311</v>
      </c>
      <c r="P6247">
        <v>529.38</v>
      </c>
    </row>
    <row r="6248" spans="1:16" x14ac:dyDescent="0.25">
      <c r="A6248" t="s">
        <v>3296</v>
      </c>
      <c r="B6248" t="s">
        <v>2931</v>
      </c>
      <c r="C6248">
        <v>2734</v>
      </c>
      <c r="D6248" t="str">
        <f t="shared" si="108"/>
        <v xml:space="preserve">2560171899  </v>
      </c>
      <c r="E6248" t="s">
        <v>277</v>
      </c>
      <c r="F6248" t="s">
        <v>279</v>
      </c>
      <c r="G6248">
        <v>12.39</v>
      </c>
      <c r="H6248">
        <v>250228</v>
      </c>
      <c r="I6248">
        <v>4520</v>
      </c>
      <c r="J6248" t="s">
        <v>280</v>
      </c>
      <c r="K6248">
        <v>4789.43</v>
      </c>
      <c r="L6248">
        <v>2.52</v>
      </c>
      <c r="M6248">
        <v>14640</v>
      </c>
      <c r="N6248" t="s">
        <v>78</v>
      </c>
      <c r="O6248">
        <v>250311</v>
      </c>
      <c r="P6248">
        <v>9.8699999999999992</v>
      </c>
    </row>
    <row r="6249" spans="1:16" x14ac:dyDescent="0.25">
      <c r="A6249" t="s">
        <v>3296</v>
      </c>
      <c r="B6249" t="s">
        <v>2931</v>
      </c>
      <c r="C6249">
        <v>2734</v>
      </c>
      <c r="D6249" t="str">
        <f t="shared" si="108"/>
        <v xml:space="preserve">2560171899  </v>
      </c>
      <c r="E6249" t="s">
        <v>277</v>
      </c>
      <c r="F6249" t="s">
        <v>279</v>
      </c>
      <c r="G6249">
        <v>35.5</v>
      </c>
      <c r="H6249">
        <v>250228</v>
      </c>
      <c r="I6249">
        <v>4520</v>
      </c>
      <c r="J6249" t="s">
        <v>280</v>
      </c>
      <c r="K6249">
        <v>4789.43</v>
      </c>
      <c r="L6249">
        <v>4.3600000000000003</v>
      </c>
      <c r="M6249">
        <v>14640</v>
      </c>
      <c r="N6249" t="s">
        <v>78</v>
      </c>
      <c r="O6249">
        <v>250311</v>
      </c>
      <c r="P6249">
        <v>31.14</v>
      </c>
    </row>
    <row r="6250" spans="1:16" x14ac:dyDescent="0.25">
      <c r="A6250" t="s">
        <v>3296</v>
      </c>
      <c r="B6250" t="s">
        <v>2931</v>
      </c>
      <c r="C6250">
        <v>2734</v>
      </c>
      <c r="D6250" t="str">
        <f t="shared" si="108"/>
        <v xml:space="preserve">2560171899  </v>
      </c>
      <c r="E6250" t="s">
        <v>277</v>
      </c>
      <c r="F6250" t="s">
        <v>279</v>
      </c>
      <c r="G6250">
        <v>49.58</v>
      </c>
      <c r="H6250">
        <v>250228</v>
      </c>
      <c r="I6250">
        <v>4520</v>
      </c>
      <c r="J6250" t="s">
        <v>280</v>
      </c>
      <c r="K6250">
        <v>4789.43</v>
      </c>
      <c r="L6250">
        <v>10.07</v>
      </c>
      <c r="M6250">
        <v>14642</v>
      </c>
      <c r="N6250" t="s">
        <v>283</v>
      </c>
      <c r="O6250">
        <v>250311</v>
      </c>
      <c r="P6250">
        <v>39.51</v>
      </c>
    </row>
    <row r="6251" spans="1:16" x14ac:dyDescent="0.25">
      <c r="A6251" t="s">
        <v>3296</v>
      </c>
      <c r="B6251" t="s">
        <v>2931</v>
      </c>
      <c r="C6251">
        <v>2734</v>
      </c>
      <c r="D6251" t="str">
        <f t="shared" si="108"/>
        <v xml:space="preserve">2560171899  </v>
      </c>
      <c r="E6251" t="s">
        <v>277</v>
      </c>
      <c r="F6251" t="s">
        <v>279</v>
      </c>
      <c r="G6251">
        <v>142</v>
      </c>
      <c r="H6251">
        <v>250228</v>
      </c>
      <c r="I6251">
        <v>4520</v>
      </c>
      <c r="J6251" t="s">
        <v>280</v>
      </c>
      <c r="K6251">
        <v>4789.43</v>
      </c>
      <c r="L6251">
        <v>17.440000000000001</v>
      </c>
      <c r="M6251">
        <v>14642</v>
      </c>
      <c r="N6251" t="s">
        <v>283</v>
      </c>
      <c r="O6251">
        <v>250311</v>
      </c>
      <c r="P6251">
        <v>124.56</v>
      </c>
    </row>
    <row r="6252" spans="1:16" x14ac:dyDescent="0.25">
      <c r="A6252" t="s">
        <v>3296</v>
      </c>
      <c r="B6252" t="s">
        <v>2931</v>
      </c>
      <c r="C6252">
        <v>2734</v>
      </c>
      <c r="D6252" t="str">
        <f t="shared" si="108"/>
        <v xml:space="preserve">2560171899  </v>
      </c>
      <c r="E6252" t="s">
        <v>277</v>
      </c>
      <c r="F6252" t="s">
        <v>279</v>
      </c>
      <c r="G6252">
        <v>904.81</v>
      </c>
      <c r="H6252">
        <v>250228</v>
      </c>
      <c r="I6252">
        <v>4520</v>
      </c>
      <c r="J6252" t="s">
        <v>280</v>
      </c>
      <c r="K6252">
        <v>4789.43</v>
      </c>
      <c r="L6252">
        <v>183.85</v>
      </c>
      <c r="M6252">
        <v>14912</v>
      </c>
      <c r="N6252" t="s">
        <v>80</v>
      </c>
      <c r="O6252">
        <v>250311</v>
      </c>
      <c r="P6252">
        <v>720.96</v>
      </c>
    </row>
    <row r="6253" spans="1:16" x14ac:dyDescent="0.25">
      <c r="A6253" t="s">
        <v>3296</v>
      </c>
      <c r="B6253" t="s">
        <v>2931</v>
      </c>
      <c r="C6253">
        <v>2734</v>
      </c>
      <c r="D6253" t="str">
        <f t="shared" si="108"/>
        <v xml:space="preserve">2560171899  </v>
      </c>
      <c r="E6253" t="s">
        <v>277</v>
      </c>
      <c r="F6253" t="s">
        <v>279</v>
      </c>
      <c r="G6253">
        <v>2591.48</v>
      </c>
      <c r="H6253">
        <v>250228</v>
      </c>
      <c r="I6253">
        <v>4520</v>
      </c>
      <c r="J6253" t="s">
        <v>280</v>
      </c>
      <c r="K6253">
        <v>4789.43</v>
      </c>
      <c r="L6253">
        <v>318.25</v>
      </c>
      <c r="M6253">
        <v>14912</v>
      </c>
      <c r="N6253" t="s">
        <v>80</v>
      </c>
      <c r="O6253">
        <v>250311</v>
      </c>
      <c r="P6253">
        <v>2273.23</v>
      </c>
    </row>
    <row r="6254" spans="1:16" x14ac:dyDescent="0.25">
      <c r="A6254" t="s">
        <v>3296</v>
      </c>
      <c r="B6254" t="s">
        <v>2931</v>
      </c>
      <c r="C6254">
        <v>2748</v>
      </c>
      <c r="D6254" t="str">
        <f>"2560171900  "</f>
        <v xml:space="preserve">2560171900  </v>
      </c>
      <c r="E6254" t="s">
        <v>277</v>
      </c>
      <c r="F6254" t="s">
        <v>279</v>
      </c>
      <c r="G6254">
        <v>849.79</v>
      </c>
      <c r="H6254">
        <v>250228</v>
      </c>
      <c r="I6254">
        <v>4520</v>
      </c>
      <c r="J6254" t="s">
        <v>280</v>
      </c>
      <c r="K6254">
        <v>984.42</v>
      </c>
      <c r="L6254">
        <v>104.36</v>
      </c>
      <c r="M6254">
        <v>69112</v>
      </c>
      <c r="N6254" t="s">
        <v>227</v>
      </c>
      <c r="O6254">
        <v>250311</v>
      </c>
      <c r="P6254">
        <v>745.43</v>
      </c>
    </row>
    <row r="6255" spans="1:16" x14ac:dyDescent="0.25">
      <c r="A6255" t="s">
        <v>3296</v>
      </c>
      <c r="B6255" t="s">
        <v>2931</v>
      </c>
      <c r="C6255">
        <v>2748</v>
      </c>
      <c r="D6255" t="str">
        <f>"2560171900  "</f>
        <v xml:space="preserve">2560171900  </v>
      </c>
      <c r="E6255" t="s">
        <v>277</v>
      </c>
      <c r="F6255" t="s">
        <v>279</v>
      </c>
      <c r="G6255">
        <v>47.21</v>
      </c>
      <c r="H6255">
        <v>250228</v>
      </c>
      <c r="I6255">
        <v>4520</v>
      </c>
      <c r="J6255" t="s">
        <v>280</v>
      </c>
      <c r="K6255">
        <v>984.42</v>
      </c>
      <c r="L6255">
        <v>5.8</v>
      </c>
      <c r="M6255">
        <v>69810</v>
      </c>
      <c r="N6255" t="s">
        <v>229</v>
      </c>
      <c r="O6255">
        <v>250311</v>
      </c>
      <c r="P6255">
        <v>41.41</v>
      </c>
    </row>
    <row r="6256" spans="1:16" x14ac:dyDescent="0.25">
      <c r="A6256" t="s">
        <v>3296</v>
      </c>
      <c r="B6256" t="s">
        <v>2931</v>
      </c>
      <c r="C6256">
        <v>2748</v>
      </c>
      <c r="D6256" t="str">
        <f>"2560171900  "</f>
        <v xml:space="preserve">2560171900  </v>
      </c>
      <c r="E6256" t="s">
        <v>277</v>
      </c>
      <c r="F6256" t="s">
        <v>279</v>
      </c>
      <c r="G6256">
        <v>47.21</v>
      </c>
      <c r="H6256">
        <v>250228</v>
      </c>
      <c r="I6256">
        <v>4520</v>
      </c>
      <c r="J6256" t="s">
        <v>280</v>
      </c>
      <c r="K6256">
        <v>984.42</v>
      </c>
      <c r="L6256">
        <v>5.8</v>
      </c>
      <c r="M6256">
        <v>69811</v>
      </c>
      <c r="N6256" t="s">
        <v>230</v>
      </c>
      <c r="O6256">
        <v>250311</v>
      </c>
      <c r="P6256">
        <v>41.41</v>
      </c>
    </row>
    <row r="6257" spans="1:16" x14ac:dyDescent="0.25">
      <c r="A6257" t="s">
        <v>3296</v>
      </c>
      <c r="B6257" t="s">
        <v>2931</v>
      </c>
      <c r="C6257">
        <v>2758</v>
      </c>
      <c r="D6257" t="str">
        <f>"2560171894  "</f>
        <v xml:space="preserve">2560171894  </v>
      </c>
      <c r="E6257" t="s">
        <v>277</v>
      </c>
      <c r="F6257" t="s">
        <v>279</v>
      </c>
      <c r="G6257">
        <v>772.19</v>
      </c>
      <c r="H6257">
        <v>250228</v>
      </c>
      <c r="I6257">
        <v>4520</v>
      </c>
      <c r="J6257" t="s">
        <v>280</v>
      </c>
      <c r="K6257">
        <v>772.19</v>
      </c>
      <c r="L6257">
        <v>94.83</v>
      </c>
      <c r="M6257">
        <v>54451</v>
      </c>
      <c r="N6257" t="s">
        <v>218</v>
      </c>
      <c r="O6257">
        <v>250311</v>
      </c>
      <c r="P6257">
        <v>677.36</v>
      </c>
    </row>
    <row r="6258" spans="1:16" x14ac:dyDescent="0.25">
      <c r="A6258" t="s">
        <v>3296</v>
      </c>
      <c r="B6258" t="s">
        <v>2931</v>
      </c>
      <c r="C6258">
        <v>2764</v>
      </c>
      <c r="D6258" t="str">
        <f>"2560171893  "</f>
        <v xml:space="preserve">2560171893  </v>
      </c>
      <c r="E6258" t="s">
        <v>277</v>
      </c>
      <c r="F6258" t="s">
        <v>279</v>
      </c>
      <c r="G6258">
        <v>1191.31</v>
      </c>
      <c r="H6258">
        <v>250228</v>
      </c>
      <c r="I6258">
        <v>4520</v>
      </c>
      <c r="J6258" t="s">
        <v>280</v>
      </c>
      <c r="K6258">
        <v>1516.79</v>
      </c>
      <c r="L6258">
        <v>146.30000000000001</v>
      </c>
      <c r="M6258">
        <v>59114</v>
      </c>
      <c r="N6258" t="s">
        <v>299</v>
      </c>
      <c r="O6258">
        <v>250311</v>
      </c>
      <c r="P6258">
        <v>1045.01</v>
      </c>
    </row>
    <row r="6259" spans="1:16" x14ac:dyDescent="0.25">
      <c r="A6259" t="s">
        <v>3296</v>
      </c>
      <c r="B6259" t="s">
        <v>2931</v>
      </c>
      <c r="C6259">
        <v>2764</v>
      </c>
      <c r="D6259" t="str">
        <f>"2560171893  "</f>
        <v xml:space="preserve">2560171893  </v>
      </c>
      <c r="E6259" t="s">
        <v>277</v>
      </c>
      <c r="F6259" t="s">
        <v>279</v>
      </c>
      <c r="G6259">
        <v>132.37</v>
      </c>
      <c r="H6259">
        <v>250228</v>
      </c>
      <c r="I6259">
        <v>4520</v>
      </c>
      <c r="J6259" t="s">
        <v>280</v>
      </c>
      <c r="K6259">
        <v>1516.79</v>
      </c>
      <c r="L6259">
        <v>16.260000000000002</v>
      </c>
      <c r="M6259">
        <v>59808</v>
      </c>
      <c r="N6259" t="s">
        <v>699</v>
      </c>
      <c r="O6259">
        <v>250311</v>
      </c>
      <c r="P6259">
        <v>116.11</v>
      </c>
    </row>
    <row r="6260" spans="1:16" x14ac:dyDescent="0.25">
      <c r="A6260" t="s">
        <v>3296</v>
      </c>
      <c r="B6260" t="s">
        <v>2931</v>
      </c>
      <c r="C6260">
        <v>2764</v>
      </c>
      <c r="D6260" t="str">
        <f>"2560171893  "</f>
        <v xml:space="preserve">2560171893  </v>
      </c>
      <c r="E6260" t="s">
        <v>277</v>
      </c>
      <c r="F6260" t="s">
        <v>279</v>
      </c>
      <c r="G6260">
        <v>126.75</v>
      </c>
      <c r="H6260">
        <v>250228</v>
      </c>
      <c r="I6260">
        <v>4520</v>
      </c>
      <c r="J6260" t="s">
        <v>280</v>
      </c>
      <c r="K6260">
        <v>1516.79</v>
      </c>
      <c r="L6260">
        <v>15.57</v>
      </c>
      <c r="M6260">
        <v>59810</v>
      </c>
      <c r="N6260" t="s">
        <v>1349</v>
      </c>
      <c r="O6260">
        <v>250311</v>
      </c>
      <c r="P6260">
        <v>111.18</v>
      </c>
    </row>
    <row r="6261" spans="1:16" x14ac:dyDescent="0.25">
      <c r="A6261" t="s">
        <v>3296</v>
      </c>
      <c r="B6261" t="s">
        <v>2931</v>
      </c>
      <c r="C6261">
        <v>2768</v>
      </c>
      <c r="D6261" t="str">
        <f>"2560171897  "</f>
        <v xml:space="preserve">2560171897  </v>
      </c>
      <c r="E6261" t="s">
        <v>277</v>
      </c>
      <c r="F6261" t="s">
        <v>279</v>
      </c>
      <c r="G6261">
        <v>1458.8</v>
      </c>
      <c r="H6261">
        <v>250228</v>
      </c>
      <c r="I6261">
        <v>4520</v>
      </c>
      <c r="J6261" t="s">
        <v>280</v>
      </c>
      <c r="K6261">
        <v>1471.35</v>
      </c>
      <c r="L6261">
        <v>179.15</v>
      </c>
      <c r="M6261">
        <v>49112</v>
      </c>
      <c r="N6261" t="s">
        <v>109</v>
      </c>
      <c r="O6261">
        <v>250311</v>
      </c>
      <c r="P6261">
        <v>1279.6500000000001</v>
      </c>
    </row>
    <row r="6262" spans="1:16" x14ac:dyDescent="0.25">
      <c r="A6262" t="s">
        <v>3296</v>
      </c>
      <c r="B6262" t="s">
        <v>2931</v>
      </c>
      <c r="C6262">
        <v>2794</v>
      </c>
      <c r="D6262" t="str">
        <f>"2560171898  "</f>
        <v xml:space="preserve">2560171898  </v>
      </c>
      <c r="E6262" t="s">
        <v>277</v>
      </c>
      <c r="F6262" t="s">
        <v>279</v>
      </c>
      <c r="G6262">
        <v>280.49</v>
      </c>
      <c r="H6262">
        <v>250228</v>
      </c>
      <c r="I6262">
        <v>4520</v>
      </c>
      <c r="J6262" t="s">
        <v>280</v>
      </c>
      <c r="K6262">
        <v>282.27999999999997</v>
      </c>
      <c r="L6262">
        <v>34.450000000000003</v>
      </c>
      <c r="M6262">
        <v>44252</v>
      </c>
      <c r="N6262" t="s">
        <v>217</v>
      </c>
      <c r="O6262">
        <v>250312</v>
      </c>
      <c r="P6262">
        <v>246.04</v>
      </c>
    </row>
    <row r="6263" spans="1:16" x14ac:dyDescent="0.25">
      <c r="A6263" t="s">
        <v>3296</v>
      </c>
      <c r="B6263" t="s">
        <v>2931</v>
      </c>
      <c r="C6263">
        <v>2812</v>
      </c>
      <c r="D6263" t="str">
        <f>"2560171896  "</f>
        <v xml:space="preserve">2560171896  </v>
      </c>
      <c r="E6263" t="s">
        <v>277</v>
      </c>
      <c r="F6263" t="s">
        <v>279</v>
      </c>
      <c r="G6263">
        <v>2461.2800000000002</v>
      </c>
      <c r="H6263">
        <v>250228</v>
      </c>
      <c r="I6263">
        <v>4520</v>
      </c>
      <c r="J6263" t="s">
        <v>280</v>
      </c>
      <c r="K6263">
        <v>3031.01</v>
      </c>
      <c r="L6263">
        <v>302.26</v>
      </c>
      <c r="M6263">
        <v>69113</v>
      </c>
      <c r="N6263" t="s">
        <v>122</v>
      </c>
      <c r="O6263">
        <v>250312</v>
      </c>
      <c r="P6263">
        <v>2159.02</v>
      </c>
    </row>
    <row r="6264" spans="1:16" x14ac:dyDescent="0.25">
      <c r="A6264" t="s">
        <v>3296</v>
      </c>
      <c r="B6264" t="s">
        <v>2931</v>
      </c>
      <c r="C6264">
        <v>2812</v>
      </c>
      <c r="D6264" t="str">
        <f>"2560171896  "</f>
        <v xml:space="preserve">2560171896  </v>
      </c>
      <c r="E6264" t="s">
        <v>277</v>
      </c>
      <c r="F6264" t="s">
        <v>279</v>
      </c>
      <c r="G6264">
        <v>289.56</v>
      </c>
      <c r="H6264">
        <v>250228</v>
      </c>
      <c r="I6264">
        <v>4520</v>
      </c>
      <c r="J6264" t="s">
        <v>280</v>
      </c>
      <c r="K6264">
        <v>3031.01</v>
      </c>
      <c r="L6264">
        <v>35.56</v>
      </c>
      <c r="M6264">
        <v>69802</v>
      </c>
      <c r="N6264" t="s">
        <v>375</v>
      </c>
      <c r="O6264">
        <v>250312</v>
      </c>
      <c r="P6264">
        <v>254</v>
      </c>
    </row>
    <row r="6265" spans="1:16" x14ac:dyDescent="0.25">
      <c r="A6265" t="s">
        <v>3296</v>
      </c>
      <c r="B6265" t="s">
        <v>2931</v>
      </c>
      <c r="C6265">
        <v>2812</v>
      </c>
      <c r="D6265" t="str">
        <f>"2560171896  "</f>
        <v xml:space="preserve">2560171896  </v>
      </c>
      <c r="E6265" t="s">
        <v>277</v>
      </c>
      <c r="F6265" t="s">
        <v>279</v>
      </c>
      <c r="G6265">
        <v>144.78</v>
      </c>
      <c r="H6265">
        <v>250228</v>
      </c>
      <c r="I6265">
        <v>4520</v>
      </c>
      <c r="J6265" t="s">
        <v>280</v>
      </c>
      <c r="K6265">
        <v>3031.01</v>
      </c>
      <c r="L6265">
        <v>17.78</v>
      </c>
      <c r="M6265">
        <v>69804</v>
      </c>
      <c r="N6265" t="s">
        <v>376</v>
      </c>
      <c r="O6265">
        <v>250312</v>
      </c>
      <c r="P6265">
        <v>127</v>
      </c>
    </row>
    <row r="6266" spans="1:16" x14ac:dyDescent="0.25">
      <c r="A6266" t="s">
        <v>3296</v>
      </c>
      <c r="B6266" t="s">
        <v>2931</v>
      </c>
      <c r="C6266">
        <v>2813</v>
      </c>
      <c r="D6266" t="str">
        <f>"2560171895  "</f>
        <v xml:space="preserve">2560171895  </v>
      </c>
      <c r="E6266" t="s">
        <v>277</v>
      </c>
      <c r="F6266" t="s">
        <v>279</v>
      </c>
      <c r="G6266">
        <v>1264.01</v>
      </c>
      <c r="H6266">
        <v>250228</v>
      </c>
      <c r="I6266">
        <v>4520</v>
      </c>
      <c r="J6266" t="s">
        <v>280</v>
      </c>
      <c r="K6266">
        <v>1574.32</v>
      </c>
      <c r="L6266">
        <v>155.22999999999999</v>
      </c>
      <c r="M6266">
        <v>59113</v>
      </c>
      <c r="N6266" t="s">
        <v>61</v>
      </c>
      <c r="O6266">
        <v>250312</v>
      </c>
      <c r="P6266">
        <v>1108.78</v>
      </c>
    </row>
    <row r="6267" spans="1:16" x14ac:dyDescent="0.25">
      <c r="A6267" t="s">
        <v>3296</v>
      </c>
      <c r="B6267" t="s">
        <v>2931</v>
      </c>
      <c r="C6267">
        <v>2813</v>
      </c>
      <c r="D6267" t="str">
        <f>"2560171895  "</f>
        <v xml:space="preserve">2560171895  </v>
      </c>
      <c r="E6267" t="s">
        <v>277</v>
      </c>
      <c r="F6267" t="s">
        <v>279</v>
      </c>
      <c r="G6267">
        <v>223.06</v>
      </c>
      <c r="H6267">
        <v>250228</v>
      </c>
      <c r="I6267">
        <v>4520</v>
      </c>
      <c r="J6267" t="s">
        <v>280</v>
      </c>
      <c r="K6267">
        <v>1574.32</v>
      </c>
      <c r="L6267">
        <v>27.39</v>
      </c>
      <c r="M6267">
        <v>59803</v>
      </c>
      <c r="N6267" t="s">
        <v>282</v>
      </c>
      <c r="O6267">
        <v>250312</v>
      </c>
      <c r="P6267">
        <v>195.67</v>
      </c>
    </row>
    <row r="6268" spans="1:16" x14ac:dyDescent="0.25">
      <c r="A6268" t="s">
        <v>3296</v>
      </c>
      <c r="B6268" t="s">
        <v>2931</v>
      </c>
      <c r="C6268">
        <v>2920</v>
      </c>
      <c r="D6268" t="str">
        <f>"2560205770  "</f>
        <v xml:space="preserve">2560205770  </v>
      </c>
      <c r="E6268" t="s">
        <v>277</v>
      </c>
      <c r="F6268" t="s">
        <v>279</v>
      </c>
      <c r="G6268">
        <v>283.08</v>
      </c>
      <c r="H6268">
        <v>250228</v>
      </c>
      <c r="I6268">
        <v>4520</v>
      </c>
      <c r="J6268" t="s">
        <v>280</v>
      </c>
      <c r="K6268">
        <v>283.08</v>
      </c>
      <c r="L6268">
        <v>34.76</v>
      </c>
      <c r="M6268">
        <v>59113</v>
      </c>
      <c r="N6268" t="s">
        <v>61</v>
      </c>
      <c r="O6268">
        <v>250313</v>
      </c>
      <c r="P6268">
        <v>248.32</v>
      </c>
    </row>
    <row r="6269" spans="1:16" x14ac:dyDescent="0.25">
      <c r="A6269" t="s">
        <v>3296</v>
      </c>
      <c r="B6269" t="s">
        <v>2931</v>
      </c>
      <c r="C6269">
        <v>2921</v>
      </c>
      <c r="D6269" t="str">
        <f>"2560205771  "</f>
        <v xml:space="preserve">2560205771  </v>
      </c>
      <c r="E6269" t="s">
        <v>277</v>
      </c>
      <c r="F6269" t="s">
        <v>279</v>
      </c>
      <c r="G6269">
        <v>168.55</v>
      </c>
      <c r="H6269">
        <v>250228</v>
      </c>
      <c r="I6269">
        <v>4520</v>
      </c>
      <c r="J6269" t="s">
        <v>280</v>
      </c>
      <c r="K6269">
        <v>1218.75</v>
      </c>
      <c r="L6269">
        <v>34.25</v>
      </c>
      <c r="M6269">
        <v>17915</v>
      </c>
      <c r="N6269" t="s">
        <v>305</v>
      </c>
      <c r="O6269">
        <v>250313</v>
      </c>
      <c r="P6269">
        <v>134.30000000000001</v>
      </c>
    </row>
    <row r="6270" spans="1:16" x14ac:dyDescent="0.25">
      <c r="A6270" t="s">
        <v>3296</v>
      </c>
      <c r="B6270" t="s">
        <v>2931</v>
      </c>
      <c r="C6270">
        <v>2921</v>
      </c>
      <c r="D6270" t="str">
        <f>"2560205771  "</f>
        <v xml:space="preserve">2560205771  </v>
      </c>
      <c r="E6270" t="s">
        <v>277</v>
      </c>
      <c r="F6270" t="s">
        <v>279</v>
      </c>
      <c r="G6270">
        <v>928.32</v>
      </c>
      <c r="H6270">
        <v>250228</v>
      </c>
      <c r="I6270">
        <v>4520</v>
      </c>
      <c r="J6270" t="s">
        <v>280</v>
      </c>
      <c r="K6270">
        <v>1218.75</v>
      </c>
      <c r="L6270">
        <v>114</v>
      </c>
      <c r="M6270">
        <v>17915</v>
      </c>
      <c r="N6270" t="s">
        <v>305</v>
      </c>
      <c r="O6270">
        <v>250313</v>
      </c>
      <c r="P6270">
        <v>814.32</v>
      </c>
    </row>
    <row r="6271" spans="1:16" x14ac:dyDescent="0.25">
      <c r="A6271" t="s">
        <v>3296</v>
      </c>
      <c r="B6271" t="s">
        <v>2931</v>
      </c>
      <c r="C6271">
        <v>2921</v>
      </c>
      <c r="D6271" t="str">
        <f>"2560205771  "</f>
        <v xml:space="preserve">2560205771  </v>
      </c>
      <c r="E6271" t="s">
        <v>277</v>
      </c>
      <c r="F6271" t="s">
        <v>279</v>
      </c>
      <c r="G6271">
        <v>18.73</v>
      </c>
      <c r="H6271">
        <v>250228</v>
      </c>
      <c r="I6271">
        <v>4520</v>
      </c>
      <c r="J6271" t="s">
        <v>280</v>
      </c>
      <c r="K6271">
        <v>1218.75</v>
      </c>
      <c r="L6271">
        <v>3.81</v>
      </c>
      <c r="M6271">
        <v>17982</v>
      </c>
      <c r="N6271" t="s">
        <v>281</v>
      </c>
      <c r="O6271">
        <v>250313</v>
      </c>
      <c r="P6271">
        <v>14.92</v>
      </c>
    </row>
    <row r="6272" spans="1:16" x14ac:dyDescent="0.25">
      <c r="A6272" t="s">
        <v>3296</v>
      </c>
      <c r="B6272" t="s">
        <v>2931</v>
      </c>
      <c r="C6272">
        <v>2921</v>
      </c>
      <c r="D6272" t="str">
        <f>"2560205771  "</f>
        <v xml:space="preserve">2560205771  </v>
      </c>
      <c r="E6272" t="s">
        <v>277</v>
      </c>
      <c r="F6272" t="s">
        <v>279</v>
      </c>
      <c r="G6272">
        <v>103.15</v>
      </c>
      <c r="H6272">
        <v>250228</v>
      </c>
      <c r="I6272">
        <v>4520</v>
      </c>
      <c r="J6272" t="s">
        <v>280</v>
      </c>
      <c r="K6272">
        <v>1218.75</v>
      </c>
      <c r="L6272">
        <v>12.67</v>
      </c>
      <c r="M6272">
        <v>17982</v>
      </c>
      <c r="N6272" t="s">
        <v>281</v>
      </c>
      <c r="O6272">
        <v>250313</v>
      </c>
      <c r="P6272">
        <v>90.48</v>
      </c>
    </row>
    <row r="6273" spans="1:16" x14ac:dyDescent="0.25">
      <c r="A6273" t="s">
        <v>3296</v>
      </c>
      <c r="B6273" t="s">
        <v>2931</v>
      </c>
      <c r="C6273">
        <v>2922</v>
      </c>
      <c r="D6273" t="str">
        <f>"2560205774  "</f>
        <v xml:space="preserve">2560205774  </v>
      </c>
      <c r="E6273" t="s">
        <v>277</v>
      </c>
      <c r="F6273" t="s">
        <v>279</v>
      </c>
      <c r="G6273">
        <v>31.76</v>
      </c>
      <c r="H6273">
        <v>250228</v>
      </c>
      <c r="I6273">
        <v>4520</v>
      </c>
      <c r="J6273" t="s">
        <v>280</v>
      </c>
      <c r="K6273">
        <v>730.39</v>
      </c>
      <c r="L6273">
        <v>6.45</v>
      </c>
      <c r="M6273">
        <v>44253</v>
      </c>
      <c r="N6273" t="s">
        <v>403</v>
      </c>
      <c r="O6273">
        <v>250313</v>
      </c>
      <c r="P6273">
        <v>25.31</v>
      </c>
    </row>
    <row r="6274" spans="1:16" x14ac:dyDescent="0.25">
      <c r="A6274" t="s">
        <v>3296</v>
      </c>
      <c r="B6274" t="s">
        <v>2931</v>
      </c>
      <c r="C6274">
        <v>2922</v>
      </c>
      <c r="D6274" t="str">
        <f>"2560205774  "</f>
        <v xml:space="preserve">2560205774  </v>
      </c>
      <c r="E6274" t="s">
        <v>277</v>
      </c>
      <c r="F6274" t="s">
        <v>279</v>
      </c>
      <c r="G6274">
        <v>698.63</v>
      </c>
      <c r="H6274">
        <v>250228</v>
      </c>
      <c r="I6274">
        <v>4520</v>
      </c>
      <c r="J6274" t="s">
        <v>280</v>
      </c>
      <c r="K6274">
        <v>730.39</v>
      </c>
      <c r="L6274">
        <v>85.8</v>
      </c>
      <c r="M6274">
        <v>44253</v>
      </c>
      <c r="N6274" t="s">
        <v>403</v>
      </c>
      <c r="O6274">
        <v>250313</v>
      </c>
      <c r="P6274">
        <v>612.83000000000004</v>
      </c>
    </row>
    <row r="6275" spans="1:16" x14ac:dyDescent="0.25">
      <c r="A6275" t="s">
        <v>3296</v>
      </c>
      <c r="B6275" t="s">
        <v>2931</v>
      </c>
      <c r="C6275">
        <v>2926</v>
      </c>
      <c r="D6275" t="str">
        <f>"2560205769  "</f>
        <v xml:space="preserve">2560205769  </v>
      </c>
      <c r="E6275" t="s">
        <v>277</v>
      </c>
      <c r="F6275" t="s">
        <v>279</v>
      </c>
      <c r="G6275">
        <v>67.31</v>
      </c>
      <c r="H6275">
        <v>250228</v>
      </c>
      <c r="I6275">
        <v>4520</v>
      </c>
      <c r="J6275" t="s">
        <v>280</v>
      </c>
      <c r="K6275">
        <v>67.31</v>
      </c>
      <c r="L6275">
        <v>8.27</v>
      </c>
      <c r="M6275">
        <v>54451</v>
      </c>
      <c r="N6275" t="s">
        <v>218</v>
      </c>
      <c r="O6275">
        <v>250313</v>
      </c>
      <c r="P6275">
        <v>59.04</v>
      </c>
    </row>
    <row r="6276" spans="1:16" x14ac:dyDescent="0.25">
      <c r="A6276" t="s">
        <v>3296</v>
      </c>
      <c r="B6276" t="s">
        <v>2931</v>
      </c>
      <c r="C6276">
        <v>2940</v>
      </c>
      <c r="D6276" t="str">
        <f>"2560205773  "</f>
        <v xml:space="preserve">2560205773  </v>
      </c>
      <c r="E6276" t="s">
        <v>277</v>
      </c>
      <c r="F6276" t="s">
        <v>279</v>
      </c>
      <c r="G6276">
        <v>59.68</v>
      </c>
      <c r="H6276">
        <v>250228</v>
      </c>
      <c r="I6276">
        <v>4520</v>
      </c>
      <c r="J6276" t="s">
        <v>280</v>
      </c>
      <c r="K6276">
        <v>59.68</v>
      </c>
      <c r="L6276">
        <v>7.33</v>
      </c>
      <c r="M6276">
        <v>14432</v>
      </c>
      <c r="N6276" t="s">
        <v>75</v>
      </c>
      <c r="O6276">
        <v>250313</v>
      </c>
      <c r="P6276">
        <v>52.35</v>
      </c>
    </row>
    <row r="6277" spans="1:16" x14ac:dyDescent="0.25">
      <c r="A6277" t="s">
        <v>3296</v>
      </c>
      <c r="B6277" t="s">
        <v>2931</v>
      </c>
      <c r="C6277">
        <v>3025</v>
      </c>
      <c r="D6277" t="str">
        <f>"2560205772  "</f>
        <v xml:space="preserve">2560205772  </v>
      </c>
      <c r="E6277" t="s">
        <v>277</v>
      </c>
      <c r="F6277" t="s">
        <v>279</v>
      </c>
      <c r="G6277">
        <v>123</v>
      </c>
      <c r="H6277">
        <v>250228</v>
      </c>
      <c r="I6277">
        <v>4520</v>
      </c>
      <c r="J6277" t="s">
        <v>280</v>
      </c>
      <c r="K6277">
        <v>1242.6300000000001</v>
      </c>
      <c r="L6277">
        <v>15.11</v>
      </c>
      <c r="M6277">
        <v>16431</v>
      </c>
      <c r="N6277" t="s">
        <v>17</v>
      </c>
      <c r="O6277">
        <v>250314</v>
      </c>
      <c r="P6277">
        <v>107.89</v>
      </c>
    </row>
    <row r="6278" spans="1:16" x14ac:dyDescent="0.25">
      <c r="A6278" t="s">
        <v>3296</v>
      </c>
      <c r="B6278" t="s">
        <v>2931</v>
      </c>
      <c r="C6278">
        <v>3025</v>
      </c>
      <c r="D6278" t="str">
        <f>"2560205772  "</f>
        <v xml:space="preserve">2560205772  </v>
      </c>
      <c r="E6278" t="s">
        <v>277</v>
      </c>
      <c r="F6278" t="s">
        <v>279</v>
      </c>
      <c r="G6278">
        <v>120.77</v>
      </c>
      <c r="H6278">
        <v>250228</v>
      </c>
      <c r="I6278">
        <v>4520</v>
      </c>
      <c r="J6278" t="s">
        <v>280</v>
      </c>
      <c r="K6278">
        <v>1242.6300000000001</v>
      </c>
      <c r="L6278">
        <v>14.83</v>
      </c>
      <c r="M6278">
        <v>16442</v>
      </c>
      <c r="N6278" t="s">
        <v>304</v>
      </c>
      <c r="O6278">
        <v>250314</v>
      </c>
      <c r="P6278">
        <v>105.94</v>
      </c>
    </row>
    <row r="6279" spans="1:16" x14ac:dyDescent="0.25">
      <c r="A6279" t="s">
        <v>3296</v>
      </c>
      <c r="B6279" t="s">
        <v>2931</v>
      </c>
      <c r="C6279">
        <v>3025</v>
      </c>
      <c r="D6279" t="str">
        <f>"2560205772  "</f>
        <v xml:space="preserve">2560205772  </v>
      </c>
      <c r="E6279" t="s">
        <v>277</v>
      </c>
      <c r="F6279" t="s">
        <v>279</v>
      </c>
      <c r="G6279">
        <v>12.55</v>
      </c>
      <c r="H6279">
        <v>250228</v>
      </c>
      <c r="I6279">
        <v>4520</v>
      </c>
      <c r="J6279" t="s">
        <v>280</v>
      </c>
      <c r="K6279">
        <v>1242.6300000000001</v>
      </c>
      <c r="L6279">
        <v>2.5499999999999998</v>
      </c>
      <c r="M6279">
        <v>17913</v>
      </c>
      <c r="N6279" t="s">
        <v>26</v>
      </c>
      <c r="O6279">
        <v>250314</v>
      </c>
      <c r="P6279">
        <v>10</v>
      </c>
    </row>
    <row r="6280" spans="1:16" x14ac:dyDescent="0.25">
      <c r="A6280" t="s">
        <v>3296</v>
      </c>
      <c r="B6280" t="s">
        <v>2931</v>
      </c>
      <c r="C6280">
        <v>3025</v>
      </c>
      <c r="D6280" t="str">
        <f>"2560205772  "</f>
        <v xml:space="preserve">2560205772  </v>
      </c>
      <c r="E6280" t="s">
        <v>277</v>
      </c>
      <c r="F6280" t="s">
        <v>279</v>
      </c>
      <c r="G6280">
        <v>863.31</v>
      </c>
      <c r="H6280">
        <v>250228</v>
      </c>
      <c r="I6280">
        <v>4520</v>
      </c>
      <c r="J6280" t="s">
        <v>280</v>
      </c>
      <c r="K6280">
        <v>1242.6300000000001</v>
      </c>
      <c r="L6280">
        <v>106.02</v>
      </c>
      <c r="M6280">
        <v>17913</v>
      </c>
      <c r="N6280" t="s">
        <v>26</v>
      </c>
      <c r="O6280">
        <v>250314</v>
      </c>
      <c r="P6280">
        <v>757.29</v>
      </c>
    </row>
    <row r="6281" spans="1:16" x14ac:dyDescent="0.25">
      <c r="A6281" t="s">
        <v>3296</v>
      </c>
      <c r="B6281" t="s">
        <v>2931</v>
      </c>
      <c r="C6281">
        <v>3025</v>
      </c>
      <c r="D6281" t="str">
        <f>"2560205772  "</f>
        <v xml:space="preserve">2560205772  </v>
      </c>
      <c r="E6281" t="s">
        <v>277</v>
      </c>
      <c r="F6281" t="s">
        <v>279</v>
      </c>
      <c r="G6281">
        <v>123</v>
      </c>
      <c r="H6281">
        <v>250228</v>
      </c>
      <c r="I6281">
        <v>4520</v>
      </c>
      <c r="J6281" t="s">
        <v>280</v>
      </c>
      <c r="K6281">
        <v>1242.6300000000001</v>
      </c>
      <c r="L6281">
        <v>15.11</v>
      </c>
      <c r="M6281">
        <v>17982</v>
      </c>
      <c r="N6281" t="s">
        <v>281</v>
      </c>
      <c r="O6281">
        <v>250314</v>
      </c>
      <c r="P6281">
        <v>107.89</v>
      </c>
    </row>
    <row r="6282" spans="1:16" x14ac:dyDescent="0.25">
      <c r="A6282" t="s">
        <v>3296</v>
      </c>
      <c r="B6282" t="s">
        <v>2931</v>
      </c>
      <c r="C6282">
        <v>3466</v>
      </c>
      <c r="D6282" t="str">
        <f>"2560222173  "</f>
        <v xml:space="preserve">2560222173  </v>
      </c>
      <c r="E6282" t="s">
        <v>277</v>
      </c>
      <c r="F6282" t="s">
        <v>279</v>
      </c>
      <c r="G6282">
        <v>1819.09</v>
      </c>
      <c r="H6282">
        <v>250310</v>
      </c>
      <c r="I6282">
        <v>4520</v>
      </c>
      <c r="J6282" t="s">
        <v>280</v>
      </c>
      <c r="K6282">
        <v>2140.1</v>
      </c>
      <c r="L6282">
        <v>223.4</v>
      </c>
      <c r="M6282">
        <v>69113</v>
      </c>
      <c r="N6282" t="s">
        <v>122</v>
      </c>
      <c r="O6282">
        <v>250324</v>
      </c>
      <c r="P6282">
        <v>1595.69</v>
      </c>
    </row>
    <row r="6283" spans="1:16" x14ac:dyDescent="0.25">
      <c r="A6283" t="s">
        <v>3296</v>
      </c>
      <c r="B6283" t="s">
        <v>2931</v>
      </c>
      <c r="C6283">
        <v>3466</v>
      </c>
      <c r="D6283" t="str">
        <f>"2560222173  "</f>
        <v xml:space="preserve">2560222173  </v>
      </c>
      <c r="E6283" t="s">
        <v>277</v>
      </c>
      <c r="F6283" t="s">
        <v>279</v>
      </c>
      <c r="G6283">
        <v>214.01</v>
      </c>
      <c r="H6283">
        <v>250310</v>
      </c>
      <c r="I6283">
        <v>4520</v>
      </c>
      <c r="J6283" t="s">
        <v>280</v>
      </c>
      <c r="K6283">
        <v>2140.1</v>
      </c>
      <c r="L6283">
        <v>26.28</v>
      </c>
      <c r="M6283">
        <v>69802</v>
      </c>
      <c r="N6283" t="s">
        <v>375</v>
      </c>
      <c r="O6283">
        <v>250324</v>
      </c>
      <c r="P6283">
        <v>187.73</v>
      </c>
    </row>
    <row r="6284" spans="1:16" x14ac:dyDescent="0.25">
      <c r="A6284" t="s">
        <v>3296</v>
      </c>
      <c r="B6284" t="s">
        <v>2931</v>
      </c>
      <c r="C6284">
        <v>3466</v>
      </c>
      <c r="D6284" t="str">
        <f>"2560222173  "</f>
        <v xml:space="preserve">2560222173  </v>
      </c>
      <c r="E6284" t="s">
        <v>277</v>
      </c>
      <c r="F6284" t="s">
        <v>279</v>
      </c>
      <c r="G6284">
        <v>107</v>
      </c>
      <c r="H6284">
        <v>250310</v>
      </c>
      <c r="I6284">
        <v>4520</v>
      </c>
      <c r="J6284" t="s">
        <v>280</v>
      </c>
      <c r="K6284">
        <v>2140.1</v>
      </c>
      <c r="L6284">
        <v>13.14</v>
      </c>
      <c r="M6284">
        <v>69804</v>
      </c>
      <c r="N6284" t="s">
        <v>376</v>
      </c>
      <c r="O6284">
        <v>250324</v>
      </c>
      <c r="P6284">
        <v>93.86</v>
      </c>
    </row>
    <row r="6285" spans="1:16" x14ac:dyDescent="0.25">
      <c r="A6285" t="s">
        <v>3296</v>
      </c>
      <c r="B6285" t="s">
        <v>2931</v>
      </c>
      <c r="C6285">
        <v>3468</v>
      </c>
      <c r="D6285" t="str">
        <f>"2560222174  "</f>
        <v xml:space="preserve">2560222174  </v>
      </c>
      <c r="E6285" t="s">
        <v>277</v>
      </c>
      <c r="F6285" t="s">
        <v>279</v>
      </c>
      <c r="G6285">
        <v>1987.87</v>
      </c>
      <c r="H6285">
        <v>250310</v>
      </c>
      <c r="I6285">
        <v>4520</v>
      </c>
      <c r="J6285" t="s">
        <v>280</v>
      </c>
      <c r="K6285">
        <v>2000.42</v>
      </c>
      <c r="L6285">
        <v>244.12</v>
      </c>
      <c r="M6285">
        <v>49112</v>
      </c>
      <c r="N6285" t="s">
        <v>109</v>
      </c>
      <c r="O6285">
        <v>250324</v>
      </c>
      <c r="P6285">
        <v>1743.75</v>
      </c>
    </row>
    <row r="6286" spans="1:16" x14ac:dyDescent="0.25">
      <c r="A6286" t="s">
        <v>3296</v>
      </c>
      <c r="B6286" t="s">
        <v>2931</v>
      </c>
      <c r="C6286">
        <v>3469</v>
      </c>
      <c r="D6286" t="str">
        <f>"2560222171  "</f>
        <v xml:space="preserve">2560222171  </v>
      </c>
      <c r="E6286" t="s">
        <v>277</v>
      </c>
      <c r="F6286" t="s">
        <v>279</v>
      </c>
      <c r="G6286">
        <v>323</v>
      </c>
      <c r="H6286">
        <v>250310</v>
      </c>
      <c r="I6286">
        <v>4520</v>
      </c>
      <c r="J6286" t="s">
        <v>280</v>
      </c>
      <c r="K6286">
        <v>4253.07</v>
      </c>
      <c r="L6286">
        <v>39.67</v>
      </c>
      <c r="M6286">
        <v>54422</v>
      </c>
      <c r="N6286" t="s">
        <v>49</v>
      </c>
      <c r="O6286">
        <v>250324</v>
      </c>
      <c r="P6286">
        <v>283.33</v>
      </c>
    </row>
    <row r="6287" spans="1:16" x14ac:dyDescent="0.25">
      <c r="A6287" t="s">
        <v>3296</v>
      </c>
      <c r="B6287" t="s">
        <v>2931</v>
      </c>
      <c r="C6287">
        <v>3469</v>
      </c>
      <c r="D6287" t="str">
        <f>"2560222171  "</f>
        <v xml:space="preserve">2560222171  </v>
      </c>
      <c r="E6287" t="s">
        <v>277</v>
      </c>
      <c r="F6287" t="s">
        <v>279</v>
      </c>
      <c r="G6287">
        <v>3126.36</v>
      </c>
      <c r="H6287">
        <v>250310</v>
      </c>
      <c r="I6287">
        <v>4520</v>
      </c>
      <c r="J6287" t="s">
        <v>280</v>
      </c>
      <c r="K6287">
        <v>4253.07</v>
      </c>
      <c r="L6287">
        <v>383.94</v>
      </c>
      <c r="M6287">
        <v>54451</v>
      </c>
      <c r="N6287" t="s">
        <v>218</v>
      </c>
      <c r="O6287">
        <v>250324</v>
      </c>
      <c r="P6287">
        <v>2742.42</v>
      </c>
    </row>
    <row r="6288" spans="1:16" x14ac:dyDescent="0.25">
      <c r="A6288" t="s">
        <v>3296</v>
      </c>
      <c r="B6288" t="s">
        <v>2931</v>
      </c>
      <c r="C6288">
        <v>3471</v>
      </c>
      <c r="D6288" t="str">
        <f>"2560222176  "</f>
        <v xml:space="preserve">2560222176  </v>
      </c>
      <c r="E6288" t="s">
        <v>277</v>
      </c>
      <c r="F6288" t="s">
        <v>279</v>
      </c>
      <c r="G6288">
        <v>682.59</v>
      </c>
      <c r="H6288">
        <v>250310</v>
      </c>
      <c r="I6288">
        <v>4520</v>
      </c>
      <c r="J6288" t="s">
        <v>280</v>
      </c>
      <c r="K6288">
        <v>689.79</v>
      </c>
      <c r="L6288">
        <v>83.83</v>
      </c>
      <c r="M6288">
        <v>44252</v>
      </c>
      <c r="N6288" t="s">
        <v>217</v>
      </c>
      <c r="O6288">
        <v>250324</v>
      </c>
      <c r="P6288">
        <v>598.76</v>
      </c>
    </row>
    <row r="6289" spans="1:16" x14ac:dyDescent="0.25">
      <c r="A6289" t="s">
        <v>3296</v>
      </c>
      <c r="B6289" t="s">
        <v>2931</v>
      </c>
      <c r="C6289">
        <v>3476</v>
      </c>
      <c r="D6289" t="str">
        <f>"2560222175  "</f>
        <v xml:space="preserve">2560222175  </v>
      </c>
      <c r="E6289" t="s">
        <v>277</v>
      </c>
      <c r="F6289" t="s">
        <v>279</v>
      </c>
      <c r="G6289">
        <v>68.13</v>
      </c>
      <c r="H6289">
        <v>250310</v>
      </c>
      <c r="I6289">
        <v>4520</v>
      </c>
      <c r="J6289" t="s">
        <v>280</v>
      </c>
      <c r="K6289">
        <v>655.61</v>
      </c>
      <c r="L6289">
        <v>13.84</v>
      </c>
      <c r="M6289">
        <v>17915</v>
      </c>
      <c r="N6289" t="s">
        <v>305</v>
      </c>
      <c r="O6289">
        <v>250324</v>
      </c>
      <c r="P6289">
        <v>54.29</v>
      </c>
    </row>
    <row r="6290" spans="1:16" x14ac:dyDescent="0.25">
      <c r="A6290" t="s">
        <v>3296</v>
      </c>
      <c r="B6290" t="s">
        <v>2931</v>
      </c>
      <c r="C6290">
        <v>3476</v>
      </c>
      <c r="D6290" t="str">
        <f>"2560222175  "</f>
        <v xml:space="preserve">2560222175  </v>
      </c>
      <c r="E6290" t="s">
        <v>277</v>
      </c>
      <c r="F6290" t="s">
        <v>279</v>
      </c>
      <c r="G6290">
        <v>521.91</v>
      </c>
      <c r="H6290">
        <v>250310</v>
      </c>
      <c r="I6290">
        <v>4520</v>
      </c>
      <c r="J6290" t="s">
        <v>280</v>
      </c>
      <c r="K6290">
        <v>655.61</v>
      </c>
      <c r="L6290">
        <v>64.09</v>
      </c>
      <c r="M6290">
        <v>17915</v>
      </c>
      <c r="N6290" t="s">
        <v>305</v>
      </c>
      <c r="O6290">
        <v>250324</v>
      </c>
      <c r="P6290">
        <v>457.82</v>
      </c>
    </row>
    <row r="6291" spans="1:16" x14ac:dyDescent="0.25">
      <c r="A6291" t="s">
        <v>3296</v>
      </c>
      <c r="B6291" t="s">
        <v>2931</v>
      </c>
      <c r="C6291">
        <v>3476</v>
      </c>
      <c r="D6291" t="str">
        <f>"2560222175  "</f>
        <v xml:space="preserve">2560222175  </v>
      </c>
      <c r="E6291" t="s">
        <v>277</v>
      </c>
      <c r="F6291" t="s">
        <v>279</v>
      </c>
      <c r="G6291">
        <v>7.57</v>
      </c>
      <c r="H6291">
        <v>250310</v>
      </c>
      <c r="I6291">
        <v>4520</v>
      </c>
      <c r="J6291" t="s">
        <v>280</v>
      </c>
      <c r="K6291">
        <v>655.61</v>
      </c>
      <c r="L6291">
        <v>1.54</v>
      </c>
      <c r="M6291">
        <v>17982</v>
      </c>
      <c r="N6291" t="s">
        <v>281</v>
      </c>
      <c r="O6291">
        <v>250324</v>
      </c>
      <c r="P6291">
        <v>6.03</v>
      </c>
    </row>
    <row r="6292" spans="1:16" x14ac:dyDescent="0.25">
      <c r="A6292" t="s">
        <v>3296</v>
      </c>
      <c r="B6292" t="s">
        <v>2931</v>
      </c>
      <c r="C6292">
        <v>3476</v>
      </c>
      <c r="D6292" t="str">
        <f>"2560222175  "</f>
        <v xml:space="preserve">2560222175  </v>
      </c>
      <c r="E6292" t="s">
        <v>277</v>
      </c>
      <c r="F6292" t="s">
        <v>279</v>
      </c>
      <c r="G6292">
        <v>58</v>
      </c>
      <c r="H6292">
        <v>250310</v>
      </c>
      <c r="I6292">
        <v>4520</v>
      </c>
      <c r="J6292" t="s">
        <v>280</v>
      </c>
      <c r="K6292">
        <v>655.61</v>
      </c>
      <c r="L6292">
        <v>7.12</v>
      </c>
      <c r="M6292">
        <v>17982</v>
      </c>
      <c r="N6292" t="s">
        <v>281</v>
      </c>
      <c r="O6292">
        <v>250324</v>
      </c>
      <c r="P6292">
        <v>50.88</v>
      </c>
    </row>
    <row r="6293" spans="1:16" x14ac:dyDescent="0.25">
      <c r="A6293" t="s">
        <v>3296</v>
      </c>
      <c r="B6293" t="s">
        <v>2931</v>
      </c>
      <c r="C6293">
        <v>3479</v>
      </c>
      <c r="D6293" t="str">
        <f>"2560222179  "</f>
        <v xml:space="preserve">2560222179  </v>
      </c>
      <c r="E6293" t="s">
        <v>277</v>
      </c>
      <c r="F6293" t="s">
        <v>279</v>
      </c>
      <c r="G6293">
        <v>275.5</v>
      </c>
      <c r="H6293">
        <v>250310</v>
      </c>
      <c r="I6293">
        <v>4520</v>
      </c>
      <c r="J6293" t="s">
        <v>280</v>
      </c>
      <c r="K6293">
        <v>781.77</v>
      </c>
      <c r="L6293">
        <v>33.83</v>
      </c>
      <c r="M6293">
        <v>44222</v>
      </c>
      <c r="N6293" t="s">
        <v>96</v>
      </c>
      <c r="O6293">
        <v>250324</v>
      </c>
      <c r="P6293">
        <v>241.67</v>
      </c>
    </row>
    <row r="6294" spans="1:16" x14ac:dyDescent="0.25">
      <c r="A6294" t="s">
        <v>3296</v>
      </c>
      <c r="B6294" t="s">
        <v>2931</v>
      </c>
      <c r="C6294">
        <v>3479</v>
      </c>
      <c r="D6294" t="str">
        <f>"2560222179  "</f>
        <v xml:space="preserve">2560222179  </v>
      </c>
      <c r="E6294" t="s">
        <v>277</v>
      </c>
      <c r="F6294" t="s">
        <v>279</v>
      </c>
      <c r="G6294">
        <v>481.65</v>
      </c>
      <c r="H6294">
        <v>250310</v>
      </c>
      <c r="I6294">
        <v>4520</v>
      </c>
      <c r="J6294" t="s">
        <v>280</v>
      </c>
      <c r="K6294">
        <v>781.77</v>
      </c>
      <c r="L6294">
        <v>59.15</v>
      </c>
      <c r="M6294">
        <v>44253</v>
      </c>
      <c r="N6294" t="s">
        <v>403</v>
      </c>
      <c r="O6294">
        <v>250324</v>
      </c>
      <c r="P6294">
        <v>422.5</v>
      </c>
    </row>
    <row r="6295" spans="1:16" x14ac:dyDescent="0.25">
      <c r="A6295" t="s">
        <v>3296</v>
      </c>
      <c r="B6295" t="s">
        <v>2931</v>
      </c>
      <c r="C6295">
        <v>3483</v>
      </c>
      <c r="D6295" t="str">
        <f>"2560222180  "</f>
        <v xml:space="preserve">2560222180  </v>
      </c>
      <c r="E6295" t="s">
        <v>277</v>
      </c>
      <c r="F6295" t="s">
        <v>279</v>
      </c>
      <c r="G6295">
        <v>1175.73</v>
      </c>
      <c r="H6295">
        <v>250310</v>
      </c>
      <c r="I6295">
        <v>4520</v>
      </c>
      <c r="J6295" t="s">
        <v>280</v>
      </c>
      <c r="K6295">
        <v>1329.16</v>
      </c>
      <c r="L6295">
        <v>144.38999999999999</v>
      </c>
      <c r="M6295">
        <v>69112</v>
      </c>
      <c r="N6295" t="s">
        <v>227</v>
      </c>
      <c r="O6295">
        <v>250324</v>
      </c>
      <c r="P6295">
        <v>1031.3399999999999</v>
      </c>
    </row>
    <row r="6296" spans="1:16" x14ac:dyDescent="0.25">
      <c r="A6296" t="s">
        <v>3296</v>
      </c>
      <c r="B6296" t="s">
        <v>2931</v>
      </c>
      <c r="C6296">
        <v>3483</v>
      </c>
      <c r="D6296" t="str">
        <f>"2560222180  "</f>
        <v xml:space="preserve">2560222180  </v>
      </c>
      <c r="E6296" t="s">
        <v>277</v>
      </c>
      <c r="F6296" t="s">
        <v>279</v>
      </c>
      <c r="G6296">
        <v>65.319999999999993</v>
      </c>
      <c r="H6296">
        <v>250310</v>
      </c>
      <c r="I6296">
        <v>4520</v>
      </c>
      <c r="J6296" t="s">
        <v>280</v>
      </c>
      <c r="K6296">
        <v>1329.16</v>
      </c>
      <c r="L6296">
        <v>8.02</v>
      </c>
      <c r="M6296">
        <v>69810</v>
      </c>
      <c r="N6296" t="s">
        <v>229</v>
      </c>
      <c r="O6296">
        <v>250324</v>
      </c>
      <c r="P6296">
        <v>57.3</v>
      </c>
    </row>
    <row r="6297" spans="1:16" x14ac:dyDescent="0.25">
      <c r="A6297" t="s">
        <v>3296</v>
      </c>
      <c r="B6297" t="s">
        <v>2931</v>
      </c>
      <c r="C6297">
        <v>3483</v>
      </c>
      <c r="D6297" t="str">
        <f>"2560222180  "</f>
        <v xml:space="preserve">2560222180  </v>
      </c>
      <c r="E6297" t="s">
        <v>277</v>
      </c>
      <c r="F6297" t="s">
        <v>279</v>
      </c>
      <c r="G6297">
        <v>65.319999999999993</v>
      </c>
      <c r="H6297">
        <v>250310</v>
      </c>
      <c r="I6297">
        <v>4520</v>
      </c>
      <c r="J6297" t="s">
        <v>280</v>
      </c>
      <c r="K6297">
        <v>1329.16</v>
      </c>
      <c r="L6297">
        <v>8.02</v>
      </c>
      <c r="M6297">
        <v>69811</v>
      </c>
      <c r="N6297" t="s">
        <v>230</v>
      </c>
      <c r="O6297">
        <v>250324</v>
      </c>
      <c r="P6297">
        <v>57.3</v>
      </c>
    </row>
    <row r="6298" spans="1:16" x14ac:dyDescent="0.25">
      <c r="A6298" t="s">
        <v>3296</v>
      </c>
      <c r="B6298" t="s">
        <v>2931</v>
      </c>
      <c r="C6298">
        <v>3490</v>
      </c>
      <c r="D6298" t="str">
        <f>"2560222170  "</f>
        <v xml:space="preserve">2560222170  </v>
      </c>
      <c r="E6298" t="s">
        <v>277</v>
      </c>
      <c r="F6298" t="s">
        <v>279</v>
      </c>
      <c r="G6298">
        <v>736.95</v>
      </c>
      <c r="H6298">
        <v>250310</v>
      </c>
      <c r="I6298">
        <v>4520</v>
      </c>
      <c r="J6298" t="s">
        <v>280</v>
      </c>
      <c r="K6298">
        <v>792.21</v>
      </c>
      <c r="L6298">
        <v>90.5</v>
      </c>
      <c r="M6298">
        <v>59114</v>
      </c>
      <c r="N6298" t="s">
        <v>299</v>
      </c>
      <c r="O6298">
        <v>250324</v>
      </c>
      <c r="P6298">
        <v>646.45000000000005</v>
      </c>
    </row>
    <row r="6299" spans="1:16" x14ac:dyDescent="0.25">
      <c r="A6299" t="s">
        <v>3296</v>
      </c>
      <c r="B6299" t="s">
        <v>2931</v>
      </c>
      <c r="C6299">
        <v>3496</v>
      </c>
      <c r="D6299" t="str">
        <f t="shared" ref="D6299:D6304" si="109">"2560222177  "</f>
        <v xml:space="preserve">2560222177  </v>
      </c>
      <c r="E6299" t="s">
        <v>277</v>
      </c>
      <c r="F6299" t="s">
        <v>279</v>
      </c>
      <c r="G6299">
        <v>100.4</v>
      </c>
      <c r="H6299">
        <v>250310</v>
      </c>
      <c r="I6299">
        <v>4520</v>
      </c>
      <c r="J6299" t="s">
        <v>280</v>
      </c>
      <c r="K6299">
        <v>2224.09</v>
      </c>
      <c r="L6299">
        <v>12.33</v>
      </c>
      <c r="M6299">
        <v>16431</v>
      </c>
      <c r="N6299" t="s">
        <v>17</v>
      </c>
      <c r="O6299">
        <v>250324</v>
      </c>
      <c r="P6299">
        <v>88.07</v>
      </c>
    </row>
    <row r="6300" spans="1:16" x14ac:dyDescent="0.25">
      <c r="A6300" t="s">
        <v>3296</v>
      </c>
      <c r="B6300" t="s">
        <v>2931</v>
      </c>
      <c r="C6300">
        <v>3496</v>
      </c>
      <c r="D6300" t="str">
        <f t="shared" si="109"/>
        <v xml:space="preserve">2560222177  </v>
      </c>
      <c r="E6300" t="s">
        <v>277</v>
      </c>
      <c r="F6300" t="s">
        <v>279</v>
      </c>
      <c r="G6300">
        <v>225.02</v>
      </c>
      <c r="H6300">
        <v>250310</v>
      </c>
      <c r="I6300">
        <v>4520</v>
      </c>
      <c r="J6300" t="s">
        <v>280</v>
      </c>
      <c r="K6300">
        <v>2224.09</v>
      </c>
      <c r="L6300">
        <v>27.63</v>
      </c>
      <c r="M6300">
        <v>16442</v>
      </c>
      <c r="N6300" t="s">
        <v>304</v>
      </c>
      <c r="O6300">
        <v>250324</v>
      </c>
      <c r="P6300">
        <v>197.39</v>
      </c>
    </row>
    <row r="6301" spans="1:16" x14ac:dyDescent="0.25">
      <c r="A6301" t="s">
        <v>3296</v>
      </c>
      <c r="B6301" t="s">
        <v>2931</v>
      </c>
      <c r="C6301">
        <v>3496</v>
      </c>
      <c r="D6301" t="str">
        <f t="shared" si="109"/>
        <v xml:space="preserve">2560222177  </v>
      </c>
      <c r="E6301" t="s">
        <v>277</v>
      </c>
      <c r="F6301" t="s">
        <v>279</v>
      </c>
      <c r="G6301">
        <v>36.07</v>
      </c>
      <c r="H6301">
        <v>250310</v>
      </c>
      <c r="I6301">
        <v>4520</v>
      </c>
      <c r="J6301" t="s">
        <v>280</v>
      </c>
      <c r="K6301">
        <v>2224.09</v>
      </c>
      <c r="L6301">
        <v>7.33</v>
      </c>
      <c r="M6301">
        <v>17913</v>
      </c>
      <c r="N6301" t="s">
        <v>26</v>
      </c>
      <c r="O6301">
        <v>250324</v>
      </c>
      <c r="P6301">
        <v>28.74</v>
      </c>
    </row>
    <row r="6302" spans="1:16" x14ac:dyDescent="0.25">
      <c r="A6302" t="s">
        <v>3296</v>
      </c>
      <c r="B6302" t="s">
        <v>2931</v>
      </c>
      <c r="C6302">
        <v>3496</v>
      </c>
      <c r="D6302" t="str">
        <f t="shared" si="109"/>
        <v xml:space="preserve">2560222177  </v>
      </c>
      <c r="E6302" t="s">
        <v>277</v>
      </c>
      <c r="F6302" t="s">
        <v>279</v>
      </c>
      <c r="G6302">
        <v>1640.2</v>
      </c>
      <c r="H6302">
        <v>250310</v>
      </c>
      <c r="I6302">
        <v>4520</v>
      </c>
      <c r="J6302" t="s">
        <v>280</v>
      </c>
      <c r="K6302">
        <v>2224.09</v>
      </c>
      <c r="L6302">
        <v>201.43</v>
      </c>
      <c r="M6302">
        <v>17913</v>
      </c>
      <c r="N6302" t="s">
        <v>26</v>
      </c>
      <c r="O6302">
        <v>250324</v>
      </c>
      <c r="P6302">
        <v>1438.77</v>
      </c>
    </row>
    <row r="6303" spans="1:16" x14ac:dyDescent="0.25">
      <c r="A6303" t="s">
        <v>3296</v>
      </c>
      <c r="B6303" t="s">
        <v>2931</v>
      </c>
      <c r="C6303">
        <v>3496</v>
      </c>
      <c r="D6303" t="str">
        <f t="shared" si="109"/>
        <v xml:space="preserve">2560222177  </v>
      </c>
      <c r="E6303" t="s">
        <v>277</v>
      </c>
      <c r="F6303" t="s">
        <v>279</v>
      </c>
      <c r="G6303">
        <v>4</v>
      </c>
      <c r="H6303">
        <v>250310</v>
      </c>
      <c r="I6303">
        <v>4520</v>
      </c>
      <c r="J6303" t="s">
        <v>280</v>
      </c>
      <c r="K6303">
        <v>2224.09</v>
      </c>
      <c r="L6303">
        <v>0.81</v>
      </c>
      <c r="M6303">
        <v>17982</v>
      </c>
      <c r="N6303" t="s">
        <v>281</v>
      </c>
      <c r="O6303">
        <v>250324</v>
      </c>
      <c r="P6303">
        <v>3.19</v>
      </c>
    </row>
    <row r="6304" spans="1:16" x14ac:dyDescent="0.25">
      <c r="A6304" t="s">
        <v>3296</v>
      </c>
      <c r="B6304" t="s">
        <v>2931</v>
      </c>
      <c r="C6304">
        <v>3496</v>
      </c>
      <c r="D6304" t="str">
        <f t="shared" si="109"/>
        <v xml:space="preserve">2560222177  </v>
      </c>
      <c r="E6304" t="s">
        <v>277</v>
      </c>
      <c r="F6304" t="s">
        <v>279</v>
      </c>
      <c r="G6304">
        <v>218.4</v>
      </c>
      <c r="H6304">
        <v>250310</v>
      </c>
      <c r="I6304">
        <v>4520</v>
      </c>
      <c r="J6304" t="s">
        <v>280</v>
      </c>
      <c r="K6304">
        <v>2224.09</v>
      </c>
      <c r="L6304">
        <v>26.82</v>
      </c>
      <c r="M6304">
        <v>17982</v>
      </c>
      <c r="N6304" t="s">
        <v>281</v>
      </c>
      <c r="O6304">
        <v>250324</v>
      </c>
      <c r="P6304">
        <v>191.58</v>
      </c>
    </row>
    <row r="6305" spans="1:16" x14ac:dyDescent="0.25">
      <c r="A6305" t="s">
        <v>3296</v>
      </c>
      <c r="B6305" t="s">
        <v>2931</v>
      </c>
      <c r="C6305">
        <v>3500</v>
      </c>
      <c r="D6305" t="str">
        <f>"2560222172  "</f>
        <v xml:space="preserve">2560222172  </v>
      </c>
      <c r="E6305" t="s">
        <v>277</v>
      </c>
      <c r="F6305" t="s">
        <v>279</v>
      </c>
      <c r="G6305">
        <v>1411.14</v>
      </c>
      <c r="H6305">
        <v>250310</v>
      </c>
      <c r="I6305">
        <v>4520</v>
      </c>
      <c r="J6305" t="s">
        <v>280</v>
      </c>
      <c r="K6305">
        <v>1866.27</v>
      </c>
      <c r="L6305">
        <v>173.3</v>
      </c>
      <c r="M6305">
        <v>59113</v>
      </c>
      <c r="N6305" t="s">
        <v>61</v>
      </c>
      <c r="O6305">
        <v>250324</v>
      </c>
      <c r="P6305">
        <v>1237.8399999999999</v>
      </c>
    </row>
    <row r="6306" spans="1:16" x14ac:dyDescent="0.25">
      <c r="A6306" t="s">
        <v>3296</v>
      </c>
      <c r="B6306" t="s">
        <v>2931</v>
      </c>
      <c r="C6306">
        <v>3500</v>
      </c>
      <c r="D6306" t="str">
        <f>"2560222172  "</f>
        <v xml:space="preserve">2560222172  </v>
      </c>
      <c r="E6306" t="s">
        <v>277</v>
      </c>
      <c r="F6306" t="s">
        <v>279</v>
      </c>
      <c r="G6306">
        <v>249.03</v>
      </c>
      <c r="H6306">
        <v>250310</v>
      </c>
      <c r="I6306">
        <v>4520</v>
      </c>
      <c r="J6306" t="s">
        <v>280</v>
      </c>
      <c r="K6306">
        <v>1866.27</v>
      </c>
      <c r="L6306">
        <v>30.58</v>
      </c>
      <c r="M6306">
        <v>59803</v>
      </c>
      <c r="N6306" t="s">
        <v>282</v>
      </c>
      <c r="O6306">
        <v>250324</v>
      </c>
      <c r="P6306">
        <v>218.45</v>
      </c>
    </row>
    <row r="6307" spans="1:16" x14ac:dyDescent="0.25">
      <c r="A6307" t="s">
        <v>3296</v>
      </c>
      <c r="B6307" t="s">
        <v>2931</v>
      </c>
      <c r="C6307">
        <v>3511</v>
      </c>
      <c r="D6307" t="str">
        <f t="shared" ref="D6307:D6318" si="110">"2560222178  "</f>
        <v xml:space="preserve">2560222178  </v>
      </c>
      <c r="E6307" t="s">
        <v>277</v>
      </c>
      <c r="F6307" t="s">
        <v>279</v>
      </c>
      <c r="G6307">
        <v>1.18</v>
      </c>
      <c r="H6307">
        <v>250310</v>
      </c>
      <c r="I6307">
        <v>4520</v>
      </c>
      <c r="J6307" t="s">
        <v>280</v>
      </c>
      <c r="K6307">
        <v>6537.46</v>
      </c>
      <c r="L6307">
        <v>0.24</v>
      </c>
      <c r="M6307">
        <v>14422</v>
      </c>
      <c r="N6307" t="s">
        <v>73</v>
      </c>
      <c r="O6307">
        <v>250325</v>
      </c>
      <c r="P6307">
        <v>0.94</v>
      </c>
    </row>
    <row r="6308" spans="1:16" x14ac:dyDescent="0.25">
      <c r="A6308" t="s">
        <v>3296</v>
      </c>
      <c r="B6308" t="s">
        <v>2931</v>
      </c>
      <c r="C6308">
        <v>3511</v>
      </c>
      <c r="D6308" t="str">
        <f t="shared" si="110"/>
        <v xml:space="preserve">2560222178  </v>
      </c>
      <c r="E6308" t="s">
        <v>277</v>
      </c>
      <c r="F6308" t="s">
        <v>279</v>
      </c>
      <c r="G6308">
        <v>64.19</v>
      </c>
      <c r="H6308">
        <v>250310</v>
      </c>
      <c r="I6308">
        <v>4520</v>
      </c>
      <c r="J6308" t="s">
        <v>280</v>
      </c>
      <c r="K6308">
        <v>6537.46</v>
      </c>
      <c r="L6308">
        <v>7.88</v>
      </c>
      <c r="M6308">
        <v>14422</v>
      </c>
      <c r="N6308" t="s">
        <v>73</v>
      </c>
      <c r="O6308">
        <v>250325</v>
      </c>
      <c r="P6308">
        <v>56.31</v>
      </c>
    </row>
    <row r="6309" spans="1:16" x14ac:dyDescent="0.25">
      <c r="A6309" t="s">
        <v>3296</v>
      </c>
      <c r="B6309" t="s">
        <v>2931</v>
      </c>
      <c r="C6309">
        <v>3511</v>
      </c>
      <c r="D6309" t="str">
        <f t="shared" si="110"/>
        <v xml:space="preserve">2560222178  </v>
      </c>
      <c r="E6309" t="s">
        <v>277</v>
      </c>
      <c r="F6309" t="s">
        <v>279</v>
      </c>
      <c r="G6309">
        <v>4.72</v>
      </c>
      <c r="H6309">
        <v>250310</v>
      </c>
      <c r="I6309">
        <v>4520</v>
      </c>
      <c r="J6309" t="s">
        <v>280</v>
      </c>
      <c r="K6309">
        <v>6537.46</v>
      </c>
      <c r="L6309">
        <v>0.96</v>
      </c>
      <c r="M6309">
        <v>14431</v>
      </c>
      <c r="N6309" t="s">
        <v>74</v>
      </c>
      <c r="O6309">
        <v>250325</v>
      </c>
      <c r="P6309">
        <v>3.76</v>
      </c>
    </row>
    <row r="6310" spans="1:16" x14ac:dyDescent="0.25">
      <c r="A6310" t="s">
        <v>3296</v>
      </c>
      <c r="B6310" t="s">
        <v>2931</v>
      </c>
      <c r="C6310">
        <v>3511</v>
      </c>
      <c r="D6310" t="str">
        <f t="shared" si="110"/>
        <v xml:space="preserve">2560222178  </v>
      </c>
      <c r="E6310" t="s">
        <v>277</v>
      </c>
      <c r="F6310" t="s">
        <v>279</v>
      </c>
      <c r="G6310">
        <v>256.77999999999997</v>
      </c>
      <c r="H6310">
        <v>250310</v>
      </c>
      <c r="I6310">
        <v>4520</v>
      </c>
      <c r="J6310" t="s">
        <v>280</v>
      </c>
      <c r="K6310">
        <v>6537.46</v>
      </c>
      <c r="L6310">
        <v>31.53</v>
      </c>
      <c r="M6310">
        <v>14431</v>
      </c>
      <c r="N6310" t="s">
        <v>74</v>
      </c>
      <c r="O6310">
        <v>250325</v>
      </c>
      <c r="P6310">
        <v>225.25</v>
      </c>
    </row>
    <row r="6311" spans="1:16" x14ac:dyDescent="0.25">
      <c r="A6311" t="s">
        <v>3296</v>
      </c>
      <c r="B6311" t="s">
        <v>2931</v>
      </c>
      <c r="C6311">
        <v>3511</v>
      </c>
      <c r="D6311" t="str">
        <f t="shared" si="110"/>
        <v xml:space="preserve">2560222178  </v>
      </c>
      <c r="E6311" t="s">
        <v>277</v>
      </c>
      <c r="F6311" t="s">
        <v>279</v>
      </c>
      <c r="G6311">
        <v>20.059999999999999</v>
      </c>
      <c r="H6311">
        <v>250310</v>
      </c>
      <c r="I6311">
        <v>4520</v>
      </c>
      <c r="J6311" t="s">
        <v>280</v>
      </c>
      <c r="K6311">
        <v>6537.46</v>
      </c>
      <c r="L6311">
        <v>4.08</v>
      </c>
      <c r="M6311">
        <v>14432</v>
      </c>
      <c r="N6311" t="s">
        <v>75</v>
      </c>
      <c r="O6311">
        <v>250325</v>
      </c>
      <c r="P6311">
        <v>15.98</v>
      </c>
    </row>
    <row r="6312" spans="1:16" x14ac:dyDescent="0.25">
      <c r="A6312" t="s">
        <v>3296</v>
      </c>
      <c r="B6312" t="s">
        <v>2931</v>
      </c>
      <c r="C6312">
        <v>3511</v>
      </c>
      <c r="D6312" t="str">
        <f t="shared" si="110"/>
        <v xml:space="preserve">2560222178  </v>
      </c>
      <c r="E6312" t="s">
        <v>277</v>
      </c>
      <c r="F6312" t="s">
        <v>279</v>
      </c>
      <c r="G6312">
        <v>1091.31</v>
      </c>
      <c r="H6312">
        <v>250310</v>
      </c>
      <c r="I6312">
        <v>4520</v>
      </c>
      <c r="J6312" t="s">
        <v>280</v>
      </c>
      <c r="K6312">
        <v>6537.46</v>
      </c>
      <c r="L6312">
        <v>134.02000000000001</v>
      </c>
      <c r="M6312">
        <v>14432</v>
      </c>
      <c r="N6312" t="s">
        <v>75</v>
      </c>
      <c r="O6312">
        <v>250325</v>
      </c>
      <c r="P6312">
        <v>957.29</v>
      </c>
    </row>
    <row r="6313" spans="1:16" x14ac:dyDescent="0.25">
      <c r="A6313" t="s">
        <v>3296</v>
      </c>
      <c r="B6313" t="s">
        <v>2931</v>
      </c>
      <c r="C6313">
        <v>3511</v>
      </c>
      <c r="D6313" t="str">
        <f t="shared" si="110"/>
        <v xml:space="preserve">2560222178  </v>
      </c>
      <c r="E6313" t="s">
        <v>277</v>
      </c>
      <c r="F6313" t="s">
        <v>279</v>
      </c>
      <c r="G6313">
        <v>1.18</v>
      </c>
      <c r="H6313">
        <v>250310</v>
      </c>
      <c r="I6313">
        <v>4520</v>
      </c>
      <c r="J6313" t="s">
        <v>280</v>
      </c>
      <c r="K6313">
        <v>6537.46</v>
      </c>
      <c r="L6313">
        <v>0.24</v>
      </c>
      <c r="M6313">
        <v>14640</v>
      </c>
      <c r="N6313" t="s">
        <v>78</v>
      </c>
      <c r="O6313">
        <v>250325</v>
      </c>
      <c r="P6313">
        <v>0.94</v>
      </c>
    </row>
    <row r="6314" spans="1:16" x14ac:dyDescent="0.25">
      <c r="A6314" t="s">
        <v>3296</v>
      </c>
      <c r="B6314" t="s">
        <v>2931</v>
      </c>
      <c r="C6314">
        <v>3511</v>
      </c>
      <c r="D6314" t="str">
        <f t="shared" si="110"/>
        <v xml:space="preserve">2560222178  </v>
      </c>
      <c r="E6314" t="s">
        <v>277</v>
      </c>
      <c r="F6314" t="s">
        <v>279</v>
      </c>
      <c r="G6314">
        <v>64.19</v>
      </c>
      <c r="H6314">
        <v>250310</v>
      </c>
      <c r="I6314">
        <v>4520</v>
      </c>
      <c r="J6314" t="s">
        <v>280</v>
      </c>
      <c r="K6314">
        <v>6537.46</v>
      </c>
      <c r="L6314">
        <v>7.88</v>
      </c>
      <c r="M6314">
        <v>14640</v>
      </c>
      <c r="N6314" t="s">
        <v>78</v>
      </c>
      <c r="O6314">
        <v>250325</v>
      </c>
      <c r="P6314">
        <v>56.31</v>
      </c>
    </row>
    <row r="6315" spans="1:16" x14ac:dyDescent="0.25">
      <c r="A6315" t="s">
        <v>3296</v>
      </c>
      <c r="B6315" t="s">
        <v>2931</v>
      </c>
      <c r="C6315">
        <v>3511</v>
      </c>
      <c r="D6315" t="str">
        <f t="shared" si="110"/>
        <v xml:space="preserve">2560222178  </v>
      </c>
      <c r="E6315" t="s">
        <v>277</v>
      </c>
      <c r="F6315" t="s">
        <v>279</v>
      </c>
      <c r="G6315">
        <v>4.72</v>
      </c>
      <c r="H6315">
        <v>250310</v>
      </c>
      <c r="I6315">
        <v>4520</v>
      </c>
      <c r="J6315" t="s">
        <v>280</v>
      </c>
      <c r="K6315">
        <v>6537.46</v>
      </c>
      <c r="L6315">
        <v>0.96</v>
      </c>
      <c r="M6315">
        <v>14642</v>
      </c>
      <c r="N6315" t="s">
        <v>283</v>
      </c>
      <c r="O6315">
        <v>250325</v>
      </c>
      <c r="P6315">
        <v>3.76</v>
      </c>
    </row>
    <row r="6316" spans="1:16" x14ac:dyDescent="0.25">
      <c r="A6316" t="s">
        <v>3296</v>
      </c>
      <c r="B6316" t="s">
        <v>2931</v>
      </c>
      <c r="C6316">
        <v>3511</v>
      </c>
      <c r="D6316" t="str">
        <f t="shared" si="110"/>
        <v xml:space="preserve">2560222178  </v>
      </c>
      <c r="E6316" t="s">
        <v>277</v>
      </c>
      <c r="F6316" t="s">
        <v>279</v>
      </c>
      <c r="G6316">
        <v>256.77999999999997</v>
      </c>
      <c r="H6316">
        <v>250310</v>
      </c>
      <c r="I6316">
        <v>4520</v>
      </c>
      <c r="J6316" t="s">
        <v>280</v>
      </c>
      <c r="K6316">
        <v>6537.46</v>
      </c>
      <c r="L6316">
        <v>31.53</v>
      </c>
      <c r="M6316">
        <v>14642</v>
      </c>
      <c r="N6316" t="s">
        <v>283</v>
      </c>
      <c r="O6316">
        <v>250325</v>
      </c>
      <c r="P6316">
        <v>225.25</v>
      </c>
    </row>
    <row r="6317" spans="1:16" x14ac:dyDescent="0.25">
      <c r="A6317" t="s">
        <v>3296</v>
      </c>
      <c r="B6317" t="s">
        <v>2931</v>
      </c>
      <c r="C6317">
        <v>3511</v>
      </c>
      <c r="D6317" t="str">
        <f t="shared" si="110"/>
        <v xml:space="preserve">2560222178  </v>
      </c>
      <c r="E6317" t="s">
        <v>277</v>
      </c>
      <c r="F6317" t="s">
        <v>279</v>
      </c>
      <c r="G6317">
        <v>86.14</v>
      </c>
      <c r="H6317">
        <v>250310</v>
      </c>
      <c r="I6317">
        <v>4520</v>
      </c>
      <c r="J6317" t="s">
        <v>280</v>
      </c>
      <c r="K6317">
        <v>6537.46</v>
      </c>
      <c r="L6317">
        <v>17.5</v>
      </c>
      <c r="M6317">
        <v>14912</v>
      </c>
      <c r="N6317" t="s">
        <v>80</v>
      </c>
      <c r="O6317">
        <v>250325</v>
      </c>
      <c r="P6317">
        <v>68.64</v>
      </c>
    </row>
    <row r="6318" spans="1:16" x14ac:dyDescent="0.25">
      <c r="A6318" t="s">
        <v>3296</v>
      </c>
      <c r="B6318" t="s">
        <v>2931</v>
      </c>
      <c r="C6318">
        <v>3511</v>
      </c>
      <c r="D6318" t="str">
        <f t="shared" si="110"/>
        <v xml:space="preserve">2560222178  </v>
      </c>
      <c r="E6318" t="s">
        <v>277</v>
      </c>
      <c r="F6318" t="s">
        <v>279</v>
      </c>
      <c r="G6318">
        <v>4686.21</v>
      </c>
      <c r="H6318">
        <v>250310</v>
      </c>
      <c r="I6318">
        <v>4520</v>
      </c>
      <c r="J6318" t="s">
        <v>280</v>
      </c>
      <c r="K6318">
        <v>6537.46</v>
      </c>
      <c r="L6318">
        <v>575.5</v>
      </c>
      <c r="M6318">
        <v>14912</v>
      </c>
      <c r="N6318" t="s">
        <v>80</v>
      </c>
      <c r="O6318">
        <v>250325</v>
      </c>
      <c r="P6318">
        <v>4110.71</v>
      </c>
    </row>
    <row r="6319" spans="1:16" x14ac:dyDescent="0.25">
      <c r="A6319" t="s">
        <v>3296</v>
      </c>
      <c r="B6319" t="s">
        <v>2931</v>
      </c>
      <c r="C6319">
        <v>3640</v>
      </c>
      <c r="D6319" t="str">
        <f t="shared" ref="D6319:D6330" si="111">"2560242088  "</f>
        <v xml:space="preserve">2560242088  </v>
      </c>
      <c r="E6319" t="s">
        <v>277</v>
      </c>
      <c r="F6319" t="s">
        <v>279</v>
      </c>
      <c r="G6319">
        <v>3.84</v>
      </c>
      <c r="H6319">
        <v>250317</v>
      </c>
      <c r="I6319">
        <v>4520</v>
      </c>
      <c r="J6319" t="s">
        <v>280</v>
      </c>
      <c r="K6319">
        <v>5565.07</v>
      </c>
      <c r="L6319">
        <v>0.78</v>
      </c>
      <c r="M6319">
        <v>14422</v>
      </c>
      <c r="N6319" t="s">
        <v>73</v>
      </c>
      <c r="O6319">
        <v>250327</v>
      </c>
      <c r="P6319">
        <v>3.06</v>
      </c>
    </row>
    <row r="6320" spans="1:16" x14ac:dyDescent="0.25">
      <c r="A6320" t="s">
        <v>3296</v>
      </c>
      <c r="B6320" t="s">
        <v>2931</v>
      </c>
      <c r="C6320">
        <v>3640</v>
      </c>
      <c r="D6320" t="str">
        <f t="shared" si="111"/>
        <v xml:space="preserve">2560242088  </v>
      </c>
      <c r="E6320" t="s">
        <v>277</v>
      </c>
      <c r="F6320" t="s">
        <v>279</v>
      </c>
      <c r="G6320">
        <v>51.81</v>
      </c>
      <c r="H6320">
        <v>250317</v>
      </c>
      <c r="I6320">
        <v>4520</v>
      </c>
      <c r="J6320" t="s">
        <v>280</v>
      </c>
      <c r="K6320">
        <v>5565.07</v>
      </c>
      <c r="L6320">
        <v>6.36</v>
      </c>
      <c r="M6320">
        <v>14422</v>
      </c>
      <c r="N6320" t="s">
        <v>73</v>
      </c>
      <c r="O6320">
        <v>250327</v>
      </c>
      <c r="P6320">
        <v>45.45</v>
      </c>
    </row>
    <row r="6321" spans="1:16" x14ac:dyDescent="0.25">
      <c r="A6321" t="s">
        <v>3296</v>
      </c>
      <c r="B6321" t="s">
        <v>2931</v>
      </c>
      <c r="C6321">
        <v>3640</v>
      </c>
      <c r="D6321" t="str">
        <f t="shared" si="111"/>
        <v xml:space="preserve">2560242088  </v>
      </c>
      <c r="E6321" t="s">
        <v>277</v>
      </c>
      <c r="F6321" t="s">
        <v>279</v>
      </c>
      <c r="G6321">
        <v>15.34</v>
      </c>
      <c r="H6321">
        <v>250317</v>
      </c>
      <c r="I6321">
        <v>4520</v>
      </c>
      <c r="J6321" t="s">
        <v>280</v>
      </c>
      <c r="K6321">
        <v>5565.07</v>
      </c>
      <c r="L6321">
        <v>3.12</v>
      </c>
      <c r="M6321">
        <v>14431</v>
      </c>
      <c r="N6321" t="s">
        <v>74</v>
      </c>
      <c r="O6321">
        <v>250327</v>
      </c>
      <c r="P6321">
        <v>12.22</v>
      </c>
    </row>
    <row r="6322" spans="1:16" x14ac:dyDescent="0.25">
      <c r="A6322" t="s">
        <v>3296</v>
      </c>
      <c r="B6322" t="s">
        <v>2931</v>
      </c>
      <c r="C6322">
        <v>3640</v>
      </c>
      <c r="D6322" t="str">
        <f t="shared" si="111"/>
        <v xml:space="preserve">2560242088  </v>
      </c>
      <c r="E6322" t="s">
        <v>277</v>
      </c>
      <c r="F6322" t="s">
        <v>279</v>
      </c>
      <c r="G6322">
        <v>207.26</v>
      </c>
      <c r="H6322">
        <v>250317</v>
      </c>
      <c r="I6322">
        <v>4520</v>
      </c>
      <c r="J6322" t="s">
        <v>280</v>
      </c>
      <c r="K6322">
        <v>5565.07</v>
      </c>
      <c r="L6322">
        <v>25.45</v>
      </c>
      <c r="M6322">
        <v>14431</v>
      </c>
      <c r="N6322" t="s">
        <v>74</v>
      </c>
      <c r="O6322">
        <v>250327</v>
      </c>
      <c r="P6322">
        <v>181.81</v>
      </c>
    </row>
    <row r="6323" spans="1:16" x14ac:dyDescent="0.25">
      <c r="A6323" t="s">
        <v>3296</v>
      </c>
      <c r="B6323" t="s">
        <v>2931</v>
      </c>
      <c r="C6323">
        <v>3640</v>
      </c>
      <c r="D6323" t="str">
        <f t="shared" si="111"/>
        <v xml:space="preserve">2560242088  </v>
      </c>
      <c r="E6323" t="s">
        <v>277</v>
      </c>
      <c r="F6323" t="s">
        <v>279</v>
      </c>
      <c r="G6323">
        <v>65.209999999999994</v>
      </c>
      <c r="H6323">
        <v>250317</v>
      </c>
      <c r="I6323">
        <v>4520</v>
      </c>
      <c r="J6323" t="s">
        <v>280</v>
      </c>
      <c r="K6323">
        <v>5565.07</v>
      </c>
      <c r="L6323">
        <v>13.25</v>
      </c>
      <c r="M6323">
        <v>14432</v>
      </c>
      <c r="N6323" t="s">
        <v>75</v>
      </c>
      <c r="O6323">
        <v>250327</v>
      </c>
      <c r="P6323">
        <v>51.96</v>
      </c>
    </row>
    <row r="6324" spans="1:16" x14ac:dyDescent="0.25">
      <c r="A6324" t="s">
        <v>3296</v>
      </c>
      <c r="B6324" t="s">
        <v>2931</v>
      </c>
      <c r="C6324">
        <v>3640</v>
      </c>
      <c r="D6324" t="str">
        <f t="shared" si="111"/>
        <v xml:space="preserve">2560242088  </v>
      </c>
      <c r="E6324" t="s">
        <v>277</v>
      </c>
      <c r="F6324" t="s">
        <v>279</v>
      </c>
      <c r="G6324">
        <v>880.85</v>
      </c>
      <c r="H6324">
        <v>250317</v>
      </c>
      <c r="I6324">
        <v>4520</v>
      </c>
      <c r="J6324" t="s">
        <v>280</v>
      </c>
      <c r="K6324">
        <v>5565.07</v>
      </c>
      <c r="L6324">
        <v>108.17</v>
      </c>
      <c r="M6324">
        <v>14432</v>
      </c>
      <c r="N6324" t="s">
        <v>75</v>
      </c>
      <c r="O6324">
        <v>250327</v>
      </c>
      <c r="P6324">
        <v>772.68</v>
      </c>
    </row>
    <row r="6325" spans="1:16" x14ac:dyDescent="0.25">
      <c r="A6325" t="s">
        <v>3296</v>
      </c>
      <c r="B6325" t="s">
        <v>2931</v>
      </c>
      <c r="C6325">
        <v>3640</v>
      </c>
      <c r="D6325" t="str">
        <f t="shared" si="111"/>
        <v xml:space="preserve">2560242088  </v>
      </c>
      <c r="E6325" t="s">
        <v>277</v>
      </c>
      <c r="F6325" t="s">
        <v>279</v>
      </c>
      <c r="G6325">
        <v>3.84</v>
      </c>
      <c r="H6325">
        <v>250317</v>
      </c>
      <c r="I6325">
        <v>4520</v>
      </c>
      <c r="J6325" t="s">
        <v>280</v>
      </c>
      <c r="K6325">
        <v>5565.07</v>
      </c>
      <c r="L6325">
        <v>0.78</v>
      </c>
      <c r="M6325">
        <v>14640</v>
      </c>
      <c r="N6325" t="s">
        <v>78</v>
      </c>
      <c r="O6325">
        <v>250327</v>
      </c>
      <c r="P6325">
        <v>3.06</v>
      </c>
    </row>
    <row r="6326" spans="1:16" x14ac:dyDescent="0.25">
      <c r="A6326" t="s">
        <v>3296</v>
      </c>
      <c r="B6326" t="s">
        <v>2931</v>
      </c>
      <c r="C6326">
        <v>3640</v>
      </c>
      <c r="D6326" t="str">
        <f t="shared" si="111"/>
        <v xml:space="preserve">2560242088  </v>
      </c>
      <c r="E6326" t="s">
        <v>277</v>
      </c>
      <c r="F6326" t="s">
        <v>279</v>
      </c>
      <c r="G6326">
        <v>51.81</v>
      </c>
      <c r="H6326">
        <v>250317</v>
      </c>
      <c r="I6326">
        <v>4520</v>
      </c>
      <c r="J6326" t="s">
        <v>280</v>
      </c>
      <c r="K6326">
        <v>5565.07</v>
      </c>
      <c r="L6326">
        <v>6.36</v>
      </c>
      <c r="M6326">
        <v>14640</v>
      </c>
      <c r="N6326" t="s">
        <v>78</v>
      </c>
      <c r="O6326">
        <v>250327</v>
      </c>
      <c r="P6326">
        <v>45.45</v>
      </c>
    </row>
    <row r="6327" spans="1:16" x14ac:dyDescent="0.25">
      <c r="A6327" t="s">
        <v>3296</v>
      </c>
      <c r="B6327" t="s">
        <v>2931</v>
      </c>
      <c r="C6327">
        <v>3640</v>
      </c>
      <c r="D6327" t="str">
        <f t="shared" si="111"/>
        <v xml:space="preserve">2560242088  </v>
      </c>
      <c r="E6327" t="s">
        <v>277</v>
      </c>
      <c r="F6327" t="s">
        <v>279</v>
      </c>
      <c r="G6327">
        <v>15.34</v>
      </c>
      <c r="H6327">
        <v>250317</v>
      </c>
      <c r="I6327">
        <v>4520</v>
      </c>
      <c r="J6327" t="s">
        <v>280</v>
      </c>
      <c r="K6327">
        <v>5565.07</v>
      </c>
      <c r="L6327">
        <v>3.12</v>
      </c>
      <c r="M6327">
        <v>14642</v>
      </c>
      <c r="N6327" t="s">
        <v>283</v>
      </c>
      <c r="O6327">
        <v>250327</v>
      </c>
      <c r="P6327">
        <v>12.22</v>
      </c>
    </row>
    <row r="6328" spans="1:16" x14ac:dyDescent="0.25">
      <c r="A6328" t="s">
        <v>3296</v>
      </c>
      <c r="B6328" t="s">
        <v>2931</v>
      </c>
      <c r="C6328">
        <v>3640</v>
      </c>
      <c r="D6328" t="str">
        <f t="shared" si="111"/>
        <v xml:space="preserve">2560242088  </v>
      </c>
      <c r="E6328" t="s">
        <v>277</v>
      </c>
      <c r="F6328" t="s">
        <v>279</v>
      </c>
      <c r="G6328">
        <v>207.26</v>
      </c>
      <c r="H6328">
        <v>250317</v>
      </c>
      <c r="I6328">
        <v>4520</v>
      </c>
      <c r="J6328" t="s">
        <v>280</v>
      </c>
      <c r="K6328">
        <v>5565.07</v>
      </c>
      <c r="L6328">
        <v>25.45</v>
      </c>
      <c r="M6328">
        <v>14642</v>
      </c>
      <c r="N6328" t="s">
        <v>283</v>
      </c>
      <c r="O6328">
        <v>250327</v>
      </c>
      <c r="P6328">
        <v>181.81</v>
      </c>
    </row>
    <row r="6329" spans="1:16" x14ac:dyDescent="0.25">
      <c r="A6329" t="s">
        <v>3296</v>
      </c>
      <c r="B6329" t="s">
        <v>2931</v>
      </c>
      <c r="C6329">
        <v>3640</v>
      </c>
      <c r="D6329" t="str">
        <f t="shared" si="111"/>
        <v xml:space="preserve">2560242088  </v>
      </c>
      <c r="E6329" t="s">
        <v>277</v>
      </c>
      <c r="F6329" t="s">
        <v>279</v>
      </c>
      <c r="G6329">
        <v>280.04000000000002</v>
      </c>
      <c r="H6329">
        <v>250317</v>
      </c>
      <c r="I6329">
        <v>4520</v>
      </c>
      <c r="J6329" t="s">
        <v>280</v>
      </c>
      <c r="K6329">
        <v>5565.07</v>
      </c>
      <c r="L6329">
        <v>56.9</v>
      </c>
      <c r="M6329">
        <v>14912</v>
      </c>
      <c r="N6329" t="s">
        <v>80</v>
      </c>
      <c r="O6329">
        <v>250327</v>
      </c>
      <c r="P6329">
        <v>223.14</v>
      </c>
    </row>
    <row r="6330" spans="1:16" x14ac:dyDescent="0.25">
      <c r="A6330" t="s">
        <v>3296</v>
      </c>
      <c r="B6330" t="s">
        <v>2931</v>
      </c>
      <c r="C6330">
        <v>3640</v>
      </c>
      <c r="D6330" t="str">
        <f t="shared" si="111"/>
        <v xml:space="preserve">2560242088  </v>
      </c>
      <c r="E6330" t="s">
        <v>277</v>
      </c>
      <c r="F6330" t="s">
        <v>279</v>
      </c>
      <c r="G6330">
        <v>3782.47</v>
      </c>
      <c r="H6330">
        <v>250317</v>
      </c>
      <c r="I6330">
        <v>4520</v>
      </c>
      <c r="J6330" t="s">
        <v>280</v>
      </c>
      <c r="K6330">
        <v>5565.07</v>
      </c>
      <c r="L6330">
        <v>464.51</v>
      </c>
      <c r="M6330">
        <v>14912</v>
      </c>
      <c r="N6330" t="s">
        <v>80</v>
      </c>
      <c r="O6330">
        <v>250327</v>
      </c>
      <c r="P6330">
        <v>3317.96</v>
      </c>
    </row>
    <row r="6331" spans="1:16" x14ac:dyDescent="0.25">
      <c r="A6331" t="s">
        <v>3296</v>
      </c>
      <c r="B6331" t="s">
        <v>2931</v>
      </c>
      <c r="C6331">
        <v>3647</v>
      </c>
      <c r="D6331" t="str">
        <f>"2560242086  "</f>
        <v xml:space="preserve">2560242086  </v>
      </c>
      <c r="E6331" t="s">
        <v>277</v>
      </c>
      <c r="F6331" t="s">
        <v>279</v>
      </c>
      <c r="G6331">
        <v>1287.1600000000001</v>
      </c>
      <c r="H6331">
        <v>250317</v>
      </c>
      <c r="I6331">
        <v>4520</v>
      </c>
      <c r="J6331" t="s">
        <v>280</v>
      </c>
      <c r="K6331">
        <v>1359.02</v>
      </c>
      <c r="L6331">
        <v>158.07</v>
      </c>
      <c r="M6331">
        <v>44251</v>
      </c>
      <c r="N6331" t="s">
        <v>215</v>
      </c>
      <c r="O6331">
        <v>250327</v>
      </c>
      <c r="P6331">
        <v>1129.0899999999999</v>
      </c>
    </row>
    <row r="6332" spans="1:16" x14ac:dyDescent="0.25">
      <c r="A6332" t="s">
        <v>3296</v>
      </c>
      <c r="B6332" t="s">
        <v>2931</v>
      </c>
      <c r="C6332">
        <v>3649</v>
      </c>
      <c r="D6332" t="str">
        <f>"2560242084  "</f>
        <v xml:space="preserve">2560242084  </v>
      </c>
      <c r="E6332" t="s">
        <v>277</v>
      </c>
      <c r="F6332" t="s">
        <v>279</v>
      </c>
      <c r="G6332">
        <v>1921.03</v>
      </c>
      <c r="H6332">
        <v>250317</v>
      </c>
      <c r="I6332">
        <v>4520</v>
      </c>
      <c r="J6332" t="s">
        <v>280</v>
      </c>
      <c r="K6332">
        <v>1833.42</v>
      </c>
      <c r="L6332">
        <v>235.92</v>
      </c>
      <c r="M6332">
        <v>49112</v>
      </c>
      <c r="N6332" t="s">
        <v>109</v>
      </c>
      <c r="O6332">
        <v>250327</v>
      </c>
      <c r="P6332">
        <v>1685.11</v>
      </c>
    </row>
    <row r="6333" spans="1:16" x14ac:dyDescent="0.25">
      <c r="A6333" t="s">
        <v>3296</v>
      </c>
      <c r="B6333" t="s">
        <v>2931</v>
      </c>
      <c r="C6333">
        <v>3651</v>
      </c>
      <c r="D6333" t="str">
        <f>"2560242080  "</f>
        <v xml:space="preserve">2560242080  </v>
      </c>
      <c r="E6333" t="s">
        <v>277</v>
      </c>
      <c r="F6333" t="s">
        <v>279</v>
      </c>
      <c r="G6333">
        <v>846.88</v>
      </c>
      <c r="H6333">
        <v>250317</v>
      </c>
      <c r="I6333">
        <v>4520</v>
      </c>
      <c r="J6333" t="s">
        <v>280</v>
      </c>
      <c r="K6333">
        <v>940.98</v>
      </c>
      <c r="L6333">
        <v>104</v>
      </c>
      <c r="M6333">
        <v>59114</v>
      </c>
      <c r="N6333" t="s">
        <v>299</v>
      </c>
      <c r="O6333">
        <v>250327</v>
      </c>
      <c r="P6333">
        <v>742.88</v>
      </c>
    </row>
    <row r="6334" spans="1:16" x14ac:dyDescent="0.25">
      <c r="A6334" t="s">
        <v>3296</v>
      </c>
      <c r="B6334" t="s">
        <v>2931</v>
      </c>
      <c r="C6334">
        <v>3651</v>
      </c>
      <c r="D6334" t="str">
        <f>"2560242080  "</f>
        <v xml:space="preserve">2560242080  </v>
      </c>
      <c r="E6334" t="s">
        <v>277</v>
      </c>
      <c r="F6334" t="s">
        <v>279</v>
      </c>
      <c r="G6334">
        <v>94.1</v>
      </c>
      <c r="H6334">
        <v>250317</v>
      </c>
      <c r="I6334">
        <v>4520</v>
      </c>
      <c r="J6334" t="s">
        <v>280</v>
      </c>
      <c r="K6334">
        <v>940.98</v>
      </c>
      <c r="L6334">
        <v>11.56</v>
      </c>
      <c r="M6334">
        <v>59808</v>
      </c>
      <c r="N6334" t="s">
        <v>699</v>
      </c>
      <c r="O6334">
        <v>250327</v>
      </c>
      <c r="P6334">
        <v>82.54</v>
      </c>
    </row>
    <row r="6335" spans="1:16" x14ac:dyDescent="0.25">
      <c r="A6335" t="s">
        <v>3296</v>
      </c>
      <c r="B6335" t="s">
        <v>2931</v>
      </c>
      <c r="C6335">
        <v>3655</v>
      </c>
      <c r="D6335" t="str">
        <f>"2560242082  "</f>
        <v xml:space="preserve">2560242082  </v>
      </c>
      <c r="E6335" t="s">
        <v>277</v>
      </c>
      <c r="F6335" t="s">
        <v>279</v>
      </c>
      <c r="G6335">
        <v>1622.11</v>
      </c>
      <c r="H6335">
        <v>250317</v>
      </c>
      <c r="I6335">
        <v>4520</v>
      </c>
      <c r="J6335" t="s">
        <v>280</v>
      </c>
      <c r="K6335">
        <v>1883.26</v>
      </c>
      <c r="L6335">
        <v>199.21</v>
      </c>
      <c r="M6335">
        <v>59113</v>
      </c>
      <c r="N6335" t="s">
        <v>61</v>
      </c>
      <c r="O6335">
        <v>250327</v>
      </c>
      <c r="P6335">
        <v>1422.9</v>
      </c>
    </row>
    <row r="6336" spans="1:16" x14ac:dyDescent="0.25">
      <c r="A6336" t="s">
        <v>3296</v>
      </c>
      <c r="B6336" t="s">
        <v>2931</v>
      </c>
      <c r="C6336">
        <v>3655</v>
      </c>
      <c r="D6336" t="str">
        <f>"2560242082  "</f>
        <v xml:space="preserve">2560242082  </v>
      </c>
      <c r="E6336" t="s">
        <v>277</v>
      </c>
      <c r="F6336" t="s">
        <v>279</v>
      </c>
      <c r="G6336">
        <v>286.25</v>
      </c>
      <c r="H6336">
        <v>250317</v>
      </c>
      <c r="I6336">
        <v>4520</v>
      </c>
      <c r="J6336" t="s">
        <v>280</v>
      </c>
      <c r="K6336">
        <v>1883.26</v>
      </c>
      <c r="L6336">
        <v>35.15</v>
      </c>
      <c r="M6336">
        <v>59803</v>
      </c>
      <c r="N6336" t="s">
        <v>282</v>
      </c>
      <c r="O6336">
        <v>250327</v>
      </c>
      <c r="P6336">
        <v>251.1</v>
      </c>
    </row>
    <row r="6337" spans="1:16" x14ac:dyDescent="0.25">
      <c r="A6337" t="s">
        <v>3296</v>
      </c>
      <c r="B6337" t="s">
        <v>2931</v>
      </c>
      <c r="C6337">
        <v>3664</v>
      </c>
      <c r="D6337" t="str">
        <f>"2560242083  "</f>
        <v xml:space="preserve">2560242083  </v>
      </c>
      <c r="E6337" t="s">
        <v>277</v>
      </c>
      <c r="F6337" t="s">
        <v>279</v>
      </c>
      <c r="G6337">
        <v>1357.91</v>
      </c>
      <c r="H6337">
        <v>250317</v>
      </c>
      <c r="I6337">
        <v>4520</v>
      </c>
      <c r="J6337" t="s">
        <v>280</v>
      </c>
      <c r="K6337">
        <v>1693.42</v>
      </c>
      <c r="L6337">
        <v>166.76</v>
      </c>
      <c r="M6337">
        <v>69113</v>
      </c>
      <c r="N6337" t="s">
        <v>122</v>
      </c>
      <c r="O6337">
        <v>250328</v>
      </c>
      <c r="P6337">
        <v>1191.1500000000001</v>
      </c>
    </row>
    <row r="6338" spans="1:16" x14ac:dyDescent="0.25">
      <c r="A6338" t="s">
        <v>3296</v>
      </c>
      <c r="B6338" t="s">
        <v>2931</v>
      </c>
      <c r="C6338">
        <v>3664</v>
      </c>
      <c r="D6338" t="str">
        <f>"2560242083  "</f>
        <v xml:space="preserve">2560242083  </v>
      </c>
      <c r="E6338" t="s">
        <v>277</v>
      </c>
      <c r="F6338" t="s">
        <v>279</v>
      </c>
      <c r="G6338">
        <v>159.75</v>
      </c>
      <c r="H6338">
        <v>250317</v>
      </c>
      <c r="I6338">
        <v>4520</v>
      </c>
      <c r="J6338" t="s">
        <v>280</v>
      </c>
      <c r="K6338">
        <v>1693.42</v>
      </c>
      <c r="L6338">
        <v>19.62</v>
      </c>
      <c r="M6338">
        <v>69802</v>
      </c>
      <c r="N6338" t="s">
        <v>375</v>
      </c>
      <c r="O6338">
        <v>250328</v>
      </c>
      <c r="P6338">
        <v>140.13</v>
      </c>
    </row>
    <row r="6339" spans="1:16" x14ac:dyDescent="0.25">
      <c r="A6339" t="s">
        <v>3296</v>
      </c>
      <c r="B6339" t="s">
        <v>2931</v>
      </c>
      <c r="C6339">
        <v>3664</v>
      </c>
      <c r="D6339" t="str">
        <f>"2560242083  "</f>
        <v xml:space="preserve">2560242083  </v>
      </c>
      <c r="E6339" t="s">
        <v>277</v>
      </c>
      <c r="F6339" t="s">
        <v>279</v>
      </c>
      <c r="G6339">
        <v>79.88</v>
      </c>
      <c r="H6339">
        <v>250317</v>
      </c>
      <c r="I6339">
        <v>4520</v>
      </c>
      <c r="J6339" t="s">
        <v>280</v>
      </c>
      <c r="K6339">
        <v>1693.42</v>
      </c>
      <c r="L6339">
        <v>9.81</v>
      </c>
      <c r="M6339">
        <v>69804</v>
      </c>
      <c r="N6339" t="s">
        <v>376</v>
      </c>
      <c r="O6339">
        <v>250328</v>
      </c>
      <c r="P6339">
        <v>70.069999999999993</v>
      </c>
    </row>
    <row r="6340" spans="1:16" x14ac:dyDescent="0.25">
      <c r="A6340" t="s">
        <v>3296</v>
      </c>
      <c r="B6340" t="s">
        <v>2931</v>
      </c>
      <c r="C6340">
        <v>3666</v>
      </c>
      <c r="D6340" t="str">
        <f>"2560242085  "</f>
        <v xml:space="preserve">2560242085  </v>
      </c>
      <c r="E6340" t="s">
        <v>277</v>
      </c>
      <c r="F6340" t="s">
        <v>279</v>
      </c>
      <c r="G6340">
        <v>17.38</v>
      </c>
      <c r="H6340">
        <v>250317</v>
      </c>
      <c r="I6340">
        <v>4520</v>
      </c>
      <c r="J6340" t="s">
        <v>280</v>
      </c>
      <c r="K6340">
        <v>705.95</v>
      </c>
      <c r="L6340">
        <v>3.53</v>
      </c>
      <c r="M6340">
        <v>17915</v>
      </c>
      <c r="N6340" t="s">
        <v>305</v>
      </c>
      <c r="O6340">
        <v>250328</v>
      </c>
      <c r="P6340">
        <v>13.85</v>
      </c>
    </row>
    <row r="6341" spans="1:16" x14ac:dyDescent="0.25">
      <c r="A6341" t="s">
        <v>3296</v>
      </c>
      <c r="B6341" t="s">
        <v>2931</v>
      </c>
      <c r="C6341">
        <v>3666</v>
      </c>
      <c r="D6341" t="str">
        <f>"2560242085  "</f>
        <v xml:space="preserve">2560242085  </v>
      </c>
      <c r="E6341" t="s">
        <v>277</v>
      </c>
      <c r="F6341" t="s">
        <v>279</v>
      </c>
      <c r="G6341">
        <v>619.71</v>
      </c>
      <c r="H6341">
        <v>250317</v>
      </c>
      <c r="I6341">
        <v>4520</v>
      </c>
      <c r="J6341" t="s">
        <v>280</v>
      </c>
      <c r="K6341">
        <v>705.95</v>
      </c>
      <c r="L6341">
        <v>76.099999999999994</v>
      </c>
      <c r="M6341">
        <v>17915</v>
      </c>
      <c r="N6341" t="s">
        <v>305</v>
      </c>
      <c r="O6341">
        <v>250328</v>
      </c>
      <c r="P6341">
        <v>543.61</v>
      </c>
    </row>
    <row r="6342" spans="1:16" x14ac:dyDescent="0.25">
      <c r="A6342" t="s">
        <v>3296</v>
      </c>
      <c r="B6342" t="s">
        <v>2931</v>
      </c>
      <c r="C6342">
        <v>3666</v>
      </c>
      <c r="D6342" t="str">
        <f>"2560242085  "</f>
        <v xml:space="preserve">2560242085  </v>
      </c>
      <c r="E6342" t="s">
        <v>277</v>
      </c>
      <c r="F6342" t="s">
        <v>279</v>
      </c>
      <c r="G6342">
        <v>68.86</v>
      </c>
      <c r="H6342">
        <v>250317</v>
      </c>
      <c r="I6342">
        <v>4520</v>
      </c>
      <c r="J6342" t="s">
        <v>280</v>
      </c>
      <c r="K6342">
        <v>705.95</v>
      </c>
      <c r="L6342">
        <v>8.4600000000000009</v>
      </c>
      <c r="M6342">
        <v>17982</v>
      </c>
      <c r="N6342" t="s">
        <v>281</v>
      </c>
      <c r="O6342">
        <v>250328</v>
      </c>
      <c r="P6342">
        <v>60.4</v>
      </c>
    </row>
    <row r="6343" spans="1:16" x14ac:dyDescent="0.25">
      <c r="A6343" t="s">
        <v>3296</v>
      </c>
      <c r="B6343" t="s">
        <v>2931</v>
      </c>
      <c r="C6343">
        <v>3674</v>
      </c>
      <c r="D6343" t="str">
        <f>"2560242087  "</f>
        <v xml:space="preserve">2560242087  </v>
      </c>
      <c r="E6343" t="s">
        <v>277</v>
      </c>
      <c r="F6343" t="s">
        <v>279</v>
      </c>
      <c r="G6343">
        <v>286.94</v>
      </c>
      <c r="H6343">
        <v>250317</v>
      </c>
      <c r="I6343">
        <v>4520</v>
      </c>
      <c r="J6343" t="s">
        <v>280</v>
      </c>
      <c r="K6343">
        <v>2693.13</v>
      </c>
      <c r="L6343">
        <v>35.24</v>
      </c>
      <c r="M6343">
        <v>16442</v>
      </c>
      <c r="N6343" t="s">
        <v>304</v>
      </c>
      <c r="O6343">
        <v>250328</v>
      </c>
      <c r="P6343">
        <v>251.7</v>
      </c>
    </row>
    <row r="6344" spans="1:16" x14ac:dyDescent="0.25">
      <c r="A6344" t="s">
        <v>3296</v>
      </c>
      <c r="B6344" t="s">
        <v>2931</v>
      </c>
      <c r="C6344">
        <v>3674</v>
      </c>
      <c r="D6344" t="str">
        <f>"2560242087  "</f>
        <v xml:space="preserve">2560242087  </v>
      </c>
      <c r="E6344" t="s">
        <v>277</v>
      </c>
      <c r="F6344" t="s">
        <v>279</v>
      </c>
      <c r="G6344">
        <v>160.13999999999999</v>
      </c>
      <c r="H6344">
        <v>250317</v>
      </c>
      <c r="I6344">
        <v>4520</v>
      </c>
      <c r="J6344" t="s">
        <v>280</v>
      </c>
      <c r="K6344">
        <v>2693.13</v>
      </c>
      <c r="L6344">
        <v>32.54</v>
      </c>
      <c r="M6344">
        <v>17913</v>
      </c>
      <c r="N6344" t="s">
        <v>26</v>
      </c>
      <c r="O6344">
        <v>250328</v>
      </c>
      <c r="P6344">
        <v>127.6</v>
      </c>
    </row>
    <row r="6345" spans="1:16" x14ac:dyDescent="0.25">
      <c r="A6345" t="s">
        <v>3296</v>
      </c>
      <c r="B6345" t="s">
        <v>2931</v>
      </c>
      <c r="C6345">
        <v>3674</v>
      </c>
      <c r="D6345" t="str">
        <f>"2560242087  "</f>
        <v xml:space="preserve">2560242087  </v>
      </c>
      <c r="E6345" t="s">
        <v>277</v>
      </c>
      <c r="F6345" t="s">
        <v>279</v>
      </c>
      <c r="G6345">
        <v>1914.75</v>
      </c>
      <c r="H6345">
        <v>250317</v>
      </c>
      <c r="I6345">
        <v>4520</v>
      </c>
      <c r="J6345" t="s">
        <v>280</v>
      </c>
      <c r="K6345">
        <v>2693.13</v>
      </c>
      <c r="L6345">
        <v>235.14</v>
      </c>
      <c r="M6345">
        <v>17913</v>
      </c>
      <c r="N6345" t="s">
        <v>26</v>
      </c>
      <c r="O6345">
        <v>250328</v>
      </c>
      <c r="P6345">
        <v>1679.61</v>
      </c>
    </row>
    <row r="6346" spans="1:16" x14ac:dyDescent="0.25">
      <c r="A6346" t="s">
        <v>3296</v>
      </c>
      <c r="B6346" t="s">
        <v>2931</v>
      </c>
      <c r="C6346">
        <v>3674</v>
      </c>
      <c r="D6346" t="str">
        <f>"2560242087  "</f>
        <v xml:space="preserve">2560242087  </v>
      </c>
      <c r="E6346" t="s">
        <v>277</v>
      </c>
      <c r="F6346" t="s">
        <v>279</v>
      </c>
      <c r="G6346">
        <v>253.3</v>
      </c>
      <c r="H6346">
        <v>250317</v>
      </c>
      <c r="I6346">
        <v>4520</v>
      </c>
      <c r="J6346" t="s">
        <v>280</v>
      </c>
      <c r="K6346">
        <v>2693.13</v>
      </c>
      <c r="L6346">
        <v>31.11</v>
      </c>
      <c r="M6346">
        <v>17982</v>
      </c>
      <c r="N6346" t="s">
        <v>281</v>
      </c>
      <c r="O6346">
        <v>250328</v>
      </c>
      <c r="P6346">
        <v>222.19</v>
      </c>
    </row>
    <row r="6347" spans="1:16" x14ac:dyDescent="0.25">
      <c r="A6347" t="s">
        <v>3296</v>
      </c>
      <c r="B6347" t="s">
        <v>2931</v>
      </c>
      <c r="C6347">
        <v>3674</v>
      </c>
      <c r="D6347" t="str">
        <f>"2560242087  "</f>
        <v xml:space="preserve">2560242087  </v>
      </c>
      <c r="E6347" t="s">
        <v>277</v>
      </c>
      <c r="F6347" t="s">
        <v>279</v>
      </c>
      <c r="G6347">
        <v>78</v>
      </c>
      <c r="H6347">
        <v>250317</v>
      </c>
      <c r="I6347">
        <v>4520</v>
      </c>
      <c r="J6347" t="s">
        <v>280</v>
      </c>
      <c r="K6347">
        <v>2693.13</v>
      </c>
      <c r="L6347">
        <v>9.58</v>
      </c>
      <c r="M6347">
        <v>17984</v>
      </c>
      <c r="N6347" t="s">
        <v>655</v>
      </c>
      <c r="O6347">
        <v>250328</v>
      </c>
      <c r="P6347">
        <v>68.42</v>
      </c>
    </row>
    <row r="6348" spans="1:16" x14ac:dyDescent="0.25">
      <c r="A6348" t="s">
        <v>3296</v>
      </c>
      <c r="B6348" t="s">
        <v>2931</v>
      </c>
      <c r="C6348">
        <v>3698</v>
      </c>
      <c r="D6348" t="str">
        <f>"2560242090  "</f>
        <v xml:space="preserve">2560242090  </v>
      </c>
      <c r="E6348" t="s">
        <v>277</v>
      </c>
      <c r="F6348" t="s">
        <v>279</v>
      </c>
      <c r="G6348">
        <v>697.6</v>
      </c>
      <c r="H6348">
        <v>250317</v>
      </c>
      <c r="I6348">
        <v>4520</v>
      </c>
      <c r="J6348" t="s">
        <v>280</v>
      </c>
      <c r="K6348">
        <v>815.32</v>
      </c>
      <c r="L6348">
        <v>85.67</v>
      </c>
      <c r="M6348">
        <v>69112</v>
      </c>
      <c r="N6348" t="s">
        <v>227</v>
      </c>
      <c r="O6348">
        <v>250328</v>
      </c>
      <c r="P6348">
        <v>611.92999999999995</v>
      </c>
    </row>
    <row r="6349" spans="1:16" x14ac:dyDescent="0.25">
      <c r="A6349" t="s">
        <v>3296</v>
      </c>
      <c r="B6349" t="s">
        <v>2931</v>
      </c>
      <c r="C6349">
        <v>3698</v>
      </c>
      <c r="D6349" t="str">
        <f>"2560242090  "</f>
        <v xml:space="preserve">2560242090  </v>
      </c>
      <c r="E6349" t="s">
        <v>277</v>
      </c>
      <c r="F6349" t="s">
        <v>279</v>
      </c>
      <c r="G6349">
        <v>38.76</v>
      </c>
      <c r="H6349">
        <v>250317</v>
      </c>
      <c r="I6349">
        <v>4520</v>
      </c>
      <c r="J6349" t="s">
        <v>280</v>
      </c>
      <c r="K6349">
        <v>815.32</v>
      </c>
      <c r="L6349">
        <v>4.76</v>
      </c>
      <c r="M6349">
        <v>69810</v>
      </c>
      <c r="N6349" t="s">
        <v>229</v>
      </c>
      <c r="O6349">
        <v>250328</v>
      </c>
      <c r="P6349">
        <v>34</v>
      </c>
    </row>
    <row r="6350" spans="1:16" x14ac:dyDescent="0.25">
      <c r="A6350" t="s">
        <v>3296</v>
      </c>
      <c r="B6350" t="s">
        <v>2931</v>
      </c>
      <c r="C6350">
        <v>3698</v>
      </c>
      <c r="D6350" t="str">
        <f>"2560242090  "</f>
        <v xml:space="preserve">2560242090  </v>
      </c>
      <c r="E6350" t="s">
        <v>277</v>
      </c>
      <c r="F6350" t="s">
        <v>279</v>
      </c>
      <c r="G6350">
        <v>38.75</v>
      </c>
      <c r="H6350">
        <v>250317</v>
      </c>
      <c r="I6350">
        <v>4520</v>
      </c>
      <c r="J6350" t="s">
        <v>280</v>
      </c>
      <c r="K6350">
        <v>815.32</v>
      </c>
      <c r="L6350">
        <v>4.76</v>
      </c>
      <c r="M6350">
        <v>69811</v>
      </c>
      <c r="N6350" t="s">
        <v>230</v>
      </c>
      <c r="O6350">
        <v>250328</v>
      </c>
      <c r="P6350">
        <v>33.99</v>
      </c>
    </row>
    <row r="6351" spans="1:16" x14ac:dyDescent="0.25">
      <c r="A6351" t="s">
        <v>3296</v>
      </c>
      <c r="B6351" t="s">
        <v>2931</v>
      </c>
      <c r="C6351">
        <v>3711</v>
      </c>
      <c r="D6351" t="str">
        <f>"2560242081  "</f>
        <v xml:space="preserve">2560242081  </v>
      </c>
      <c r="E6351" t="s">
        <v>277</v>
      </c>
      <c r="F6351" t="s">
        <v>279</v>
      </c>
      <c r="G6351">
        <v>492</v>
      </c>
      <c r="H6351">
        <v>250317</v>
      </c>
      <c r="I6351">
        <v>4520</v>
      </c>
      <c r="J6351" t="s">
        <v>280</v>
      </c>
      <c r="K6351">
        <v>1947.63</v>
      </c>
      <c r="L6351">
        <v>60.42</v>
      </c>
      <c r="M6351">
        <v>54422</v>
      </c>
      <c r="N6351" t="s">
        <v>49</v>
      </c>
      <c r="O6351">
        <v>250328</v>
      </c>
      <c r="P6351">
        <v>431.58</v>
      </c>
    </row>
    <row r="6352" spans="1:16" x14ac:dyDescent="0.25">
      <c r="A6352" t="s">
        <v>3296</v>
      </c>
      <c r="B6352" t="s">
        <v>2931</v>
      </c>
      <c r="C6352">
        <v>3711</v>
      </c>
      <c r="D6352" t="str">
        <f>"2560242081  "</f>
        <v xml:space="preserve">2560242081  </v>
      </c>
      <c r="E6352" t="s">
        <v>277</v>
      </c>
      <c r="F6352" t="s">
        <v>279</v>
      </c>
      <c r="G6352">
        <v>1440.68</v>
      </c>
      <c r="H6352">
        <v>250317</v>
      </c>
      <c r="I6352">
        <v>4520</v>
      </c>
      <c r="J6352" t="s">
        <v>280</v>
      </c>
      <c r="K6352">
        <v>1947.63</v>
      </c>
      <c r="L6352">
        <v>176.93</v>
      </c>
      <c r="M6352">
        <v>54451</v>
      </c>
      <c r="N6352" t="s">
        <v>218</v>
      </c>
      <c r="O6352">
        <v>250328</v>
      </c>
      <c r="P6352">
        <v>1263.75</v>
      </c>
    </row>
    <row r="6353" spans="1:16" x14ac:dyDescent="0.25">
      <c r="A6353" t="s">
        <v>3296</v>
      </c>
      <c r="B6353" t="s">
        <v>2931</v>
      </c>
      <c r="C6353">
        <v>3876</v>
      </c>
      <c r="D6353" t="str">
        <f>"2560242089  "</f>
        <v xml:space="preserve">2560242089  </v>
      </c>
      <c r="E6353" t="s">
        <v>277</v>
      </c>
      <c r="F6353" t="s">
        <v>279</v>
      </c>
      <c r="G6353">
        <v>498.13</v>
      </c>
      <c r="H6353">
        <v>250317</v>
      </c>
      <c r="I6353">
        <v>4520</v>
      </c>
      <c r="J6353" t="s">
        <v>280</v>
      </c>
      <c r="K6353">
        <v>498.13</v>
      </c>
      <c r="L6353">
        <v>61.17</v>
      </c>
      <c r="M6353">
        <v>44253</v>
      </c>
      <c r="N6353" t="s">
        <v>403</v>
      </c>
      <c r="O6353">
        <v>250403</v>
      </c>
      <c r="P6353">
        <v>436.96</v>
      </c>
    </row>
    <row r="6354" spans="1:16" x14ac:dyDescent="0.25">
      <c r="A6354" t="s">
        <v>3296</v>
      </c>
      <c r="B6354" t="s">
        <v>2931</v>
      </c>
      <c r="C6354">
        <v>4052</v>
      </c>
      <c r="D6354" t="str">
        <f t="shared" ref="D6354:D6366" si="112">"2560258246  "</f>
        <v xml:space="preserve">2560258246  </v>
      </c>
      <c r="E6354" t="s">
        <v>277</v>
      </c>
      <c r="F6354" t="s">
        <v>279</v>
      </c>
      <c r="G6354">
        <v>7.36</v>
      </c>
      <c r="H6354">
        <v>250324</v>
      </c>
      <c r="I6354">
        <v>4520</v>
      </c>
      <c r="J6354" t="s">
        <v>280</v>
      </c>
      <c r="K6354">
        <v>4179.68</v>
      </c>
      <c r="L6354">
        <v>1.5</v>
      </c>
      <c r="M6354">
        <v>14422</v>
      </c>
      <c r="N6354" t="s">
        <v>73</v>
      </c>
      <c r="O6354">
        <v>250407</v>
      </c>
      <c r="P6354">
        <v>5.86</v>
      </c>
    </row>
    <row r="6355" spans="1:16" x14ac:dyDescent="0.25">
      <c r="A6355" t="s">
        <v>3296</v>
      </c>
      <c r="B6355" t="s">
        <v>2931</v>
      </c>
      <c r="C6355">
        <v>4052</v>
      </c>
      <c r="D6355" t="str">
        <f t="shared" si="112"/>
        <v xml:space="preserve">2560258246  </v>
      </c>
      <c r="E6355" t="s">
        <v>277</v>
      </c>
      <c r="F6355" t="s">
        <v>279</v>
      </c>
      <c r="G6355">
        <v>31.87</v>
      </c>
      <c r="H6355">
        <v>250324</v>
      </c>
      <c r="I6355">
        <v>4520</v>
      </c>
      <c r="J6355" t="s">
        <v>280</v>
      </c>
      <c r="K6355">
        <v>4179.68</v>
      </c>
      <c r="L6355">
        <v>3.91</v>
      </c>
      <c r="M6355">
        <v>14422</v>
      </c>
      <c r="N6355" t="s">
        <v>73</v>
      </c>
      <c r="O6355">
        <v>250407</v>
      </c>
      <c r="P6355">
        <v>27.96</v>
      </c>
    </row>
    <row r="6356" spans="1:16" x14ac:dyDescent="0.25">
      <c r="A6356" t="s">
        <v>3296</v>
      </c>
      <c r="B6356" t="s">
        <v>2931</v>
      </c>
      <c r="C6356">
        <v>4052</v>
      </c>
      <c r="D6356" t="str">
        <f t="shared" si="112"/>
        <v xml:space="preserve">2560258246  </v>
      </c>
      <c r="E6356" t="s">
        <v>277</v>
      </c>
      <c r="F6356" t="s">
        <v>279</v>
      </c>
      <c r="G6356">
        <v>29.42</v>
      </c>
      <c r="H6356">
        <v>250324</v>
      </c>
      <c r="I6356">
        <v>4520</v>
      </c>
      <c r="J6356" t="s">
        <v>280</v>
      </c>
      <c r="K6356">
        <v>4179.68</v>
      </c>
      <c r="L6356">
        <v>5.98</v>
      </c>
      <c r="M6356">
        <v>14431</v>
      </c>
      <c r="N6356" t="s">
        <v>74</v>
      </c>
      <c r="O6356">
        <v>250407</v>
      </c>
      <c r="P6356">
        <v>23.44</v>
      </c>
    </row>
    <row r="6357" spans="1:16" x14ac:dyDescent="0.25">
      <c r="A6357" t="s">
        <v>3296</v>
      </c>
      <c r="B6357" t="s">
        <v>2931</v>
      </c>
      <c r="C6357">
        <v>4052</v>
      </c>
      <c r="D6357" t="str">
        <f t="shared" si="112"/>
        <v xml:space="preserve">2560258246  </v>
      </c>
      <c r="E6357" t="s">
        <v>277</v>
      </c>
      <c r="F6357" t="s">
        <v>279</v>
      </c>
      <c r="G6357">
        <v>127.49</v>
      </c>
      <c r="H6357">
        <v>250324</v>
      </c>
      <c r="I6357">
        <v>4520</v>
      </c>
      <c r="J6357" t="s">
        <v>280</v>
      </c>
      <c r="K6357">
        <v>4179.68</v>
      </c>
      <c r="L6357">
        <v>15.66</v>
      </c>
      <c r="M6357">
        <v>14431</v>
      </c>
      <c r="N6357" t="s">
        <v>74</v>
      </c>
      <c r="O6357">
        <v>250407</v>
      </c>
      <c r="P6357">
        <v>111.83</v>
      </c>
    </row>
    <row r="6358" spans="1:16" x14ac:dyDescent="0.25">
      <c r="A6358" t="s">
        <v>3296</v>
      </c>
      <c r="B6358" t="s">
        <v>2931</v>
      </c>
      <c r="C6358">
        <v>4052</v>
      </c>
      <c r="D6358" t="str">
        <f t="shared" si="112"/>
        <v xml:space="preserve">2560258246  </v>
      </c>
      <c r="E6358" t="s">
        <v>277</v>
      </c>
      <c r="F6358" t="s">
        <v>279</v>
      </c>
      <c r="G6358">
        <v>125.05</v>
      </c>
      <c r="H6358">
        <v>250324</v>
      </c>
      <c r="I6358">
        <v>4520</v>
      </c>
      <c r="J6358" t="s">
        <v>280</v>
      </c>
      <c r="K6358">
        <v>4179.68</v>
      </c>
      <c r="L6358">
        <v>25.41</v>
      </c>
      <c r="M6358">
        <v>14432</v>
      </c>
      <c r="N6358" t="s">
        <v>75</v>
      </c>
      <c r="O6358">
        <v>250407</v>
      </c>
      <c r="P6358">
        <v>99.64</v>
      </c>
    </row>
    <row r="6359" spans="1:16" x14ac:dyDescent="0.25">
      <c r="A6359" t="s">
        <v>3296</v>
      </c>
      <c r="B6359" t="s">
        <v>2931</v>
      </c>
      <c r="C6359">
        <v>4052</v>
      </c>
      <c r="D6359" t="str">
        <f t="shared" si="112"/>
        <v xml:space="preserve">2560258246  </v>
      </c>
      <c r="E6359" t="s">
        <v>277</v>
      </c>
      <c r="F6359" t="s">
        <v>279</v>
      </c>
      <c r="G6359">
        <v>541.85</v>
      </c>
      <c r="H6359">
        <v>250324</v>
      </c>
      <c r="I6359">
        <v>4520</v>
      </c>
      <c r="J6359" t="s">
        <v>280</v>
      </c>
      <c r="K6359">
        <v>4179.68</v>
      </c>
      <c r="L6359">
        <v>66.540000000000006</v>
      </c>
      <c r="M6359">
        <v>14432</v>
      </c>
      <c r="N6359" t="s">
        <v>75</v>
      </c>
      <c r="O6359">
        <v>250407</v>
      </c>
      <c r="P6359">
        <v>475.31</v>
      </c>
    </row>
    <row r="6360" spans="1:16" x14ac:dyDescent="0.25">
      <c r="A6360" t="s">
        <v>3296</v>
      </c>
      <c r="B6360" t="s">
        <v>2931</v>
      </c>
      <c r="C6360">
        <v>4052</v>
      </c>
      <c r="D6360" t="str">
        <f t="shared" si="112"/>
        <v xml:space="preserve">2560258246  </v>
      </c>
      <c r="E6360" t="s">
        <v>277</v>
      </c>
      <c r="F6360" t="s">
        <v>279</v>
      </c>
      <c r="G6360">
        <v>7.35</v>
      </c>
      <c r="H6360">
        <v>250324</v>
      </c>
      <c r="I6360">
        <v>4520</v>
      </c>
      <c r="J6360" t="s">
        <v>280</v>
      </c>
      <c r="K6360">
        <v>4179.68</v>
      </c>
      <c r="L6360">
        <v>1.49</v>
      </c>
      <c r="M6360">
        <v>14640</v>
      </c>
      <c r="N6360" t="s">
        <v>78</v>
      </c>
      <c r="O6360">
        <v>250407</v>
      </c>
      <c r="P6360">
        <v>5.86</v>
      </c>
    </row>
    <row r="6361" spans="1:16" x14ac:dyDescent="0.25">
      <c r="A6361" t="s">
        <v>3296</v>
      </c>
      <c r="B6361" t="s">
        <v>2931</v>
      </c>
      <c r="C6361">
        <v>4052</v>
      </c>
      <c r="D6361" t="str">
        <f t="shared" si="112"/>
        <v xml:space="preserve">2560258246  </v>
      </c>
      <c r="E6361" t="s">
        <v>277</v>
      </c>
      <c r="F6361" t="s">
        <v>279</v>
      </c>
      <c r="G6361">
        <v>31.88</v>
      </c>
      <c r="H6361">
        <v>250324</v>
      </c>
      <c r="I6361">
        <v>4520</v>
      </c>
      <c r="J6361" t="s">
        <v>280</v>
      </c>
      <c r="K6361">
        <v>4179.68</v>
      </c>
      <c r="L6361">
        <v>3.92</v>
      </c>
      <c r="M6361">
        <v>14640</v>
      </c>
      <c r="N6361" t="s">
        <v>78</v>
      </c>
      <c r="O6361">
        <v>250407</v>
      </c>
      <c r="P6361">
        <v>27.96</v>
      </c>
    </row>
    <row r="6362" spans="1:16" x14ac:dyDescent="0.25">
      <c r="A6362" t="s">
        <v>3296</v>
      </c>
      <c r="B6362" t="s">
        <v>2931</v>
      </c>
      <c r="C6362">
        <v>4052</v>
      </c>
      <c r="D6362" t="str">
        <f t="shared" si="112"/>
        <v xml:space="preserve">2560258246  </v>
      </c>
      <c r="E6362" t="s">
        <v>277</v>
      </c>
      <c r="F6362" t="s">
        <v>279</v>
      </c>
      <c r="G6362">
        <v>29.42</v>
      </c>
      <c r="H6362">
        <v>250324</v>
      </c>
      <c r="I6362">
        <v>4520</v>
      </c>
      <c r="J6362" t="s">
        <v>280</v>
      </c>
      <c r="K6362">
        <v>4179.68</v>
      </c>
      <c r="L6362">
        <v>5.98</v>
      </c>
      <c r="M6362">
        <v>14642</v>
      </c>
      <c r="N6362" t="s">
        <v>283</v>
      </c>
      <c r="O6362">
        <v>250407</v>
      </c>
      <c r="P6362">
        <v>23.44</v>
      </c>
    </row>
    <row r="6363" spans="1:16" x14ac:dyDescent="0.25">
      <c r="A6363" t="s">
        <v>3296</v>
      </c>
      <c r="B6363" t="s">
        <v>2931</v>
      </c>
      <c r="C6363">
        <v>4052</v>
      </c>
      <c r="D6363" t="str">
        <f t="shared" si="112"/>
        <v xml:space="preserve">2560258246  </v>
      </c>
      <c r="E6363" t="s">
        <v>277</v>
      </c>
      <c r="F6363" t="s">
        <v>279</v>
      </c>
      <c r="G6363">
        <v>127.49</v>
      </c>
      <c r="H6363">
        <v>250324</v>
      </c>
      <c r="I6363">
        <v>4520</v>
      </c>
      <c r="J6363" t="s">
        <v>280</v>
      </c>
      <c r="K6363">
        <v>4179.68</v>
      </c>
      <c r="L6363">
        <v>15.66</v>
      </c>
      <c r="M6363">
        <v>14642</v>
      </c>
      <c r="N6363" t="s">
        <v>283</v>
      </c>
      <c r="O6363">
        <v>250407</v>
      </c>
      <c r="P6363">
        <v>111.83</v>
      </c>
    </row>
    <row r="6364" spans="1:16" x14ac:dyDescent="0.25">
      <c r="A6364" t="s">
        <v>3296</v>
      </c>
      <c r="B6364" t="s">
        <v>2931</v>
      </c>
      <c r="C6364">
        <v>4052</v>
      </c>
      <c r="D6364" t="str">
        <f t="shared" si="112"/>
        <v xml:space="preserve">2560258246  </v>
      </c>
      <c r="E6364" t="s">
        <v>277</v>
      </c>
      <c r="F6364" t="s">
        <v>279</v>
      </c>
      <c r="G6364">
        <v>536.96</v>
      </c>
      <c r="H6364">
        <v>250324</v>
      </c>
      <c r="I6364">
        <v>4520</v>
      </c>
      <c r="J6364" t="s">
        <v>280</v>
      </c>
      <c r="K6364">
        <v>4179.68</v>
      </c>
      <c r="L6364">
        <v>109.1</v>
      </c>
      <c r="M6364">
        <v>14912</v>
      </c>
      <c r="N6364" t="s">
        <v>80</v>
      </c>
      <c r="O6364">
        <v>250407</v>
      </c>
      <c r="P6364">
        <v>427.86</v>
      </c>
    </row>
    <row r="6365" spans="1:16" x14ac:dyDescent="0.25">
      <c r="A6365" t="s">
        <v>3296</v>
      </c>
      <c r="B6365" t="s">
        <v>2931</v>
      </c>
      <c r="C6365">
        <v>4052</v>
      </c>
      <c r="D6365" t="str">
        <f t="shared" si="112"/>
        <v xml:space="preserve">2560258246  </v>
      </c>
      <c r="E6365" t="s">
        <v>277</v>
      </c>
      <c r="F6365" t="s">
        <v>279</v>
      </c>
      <c r="G6365">
        <v>2326.75</v>
      </c>
      <c r="H6365">
        <v>250324</v>
      </c>
      <c r="I6365">
        <v>4520</v>
      </c>
      <c r="J6365" t="s">
        <v>280</v>
      </c>
      <c r="K6365">
        <v>4179.68</v>
      </c>
      <c r="L6365">
        <v>285.74</v>
      </c>
      <c r="M6365">
        <v>14912</v>
      </c>
      <c r="N6365" t="s">
        <v>80</v>
      </c>
      <c r="O6365">
        <v>250407</v>
      </c>
      <c r="P6365">
        <v>2041.01</v>
      </c>
    </row>
    <row r="6366" spans="1:16" x14ac:dyDescent="0.25">
      <c r="A6366" t="s">
        <v>3296</v>
      </c>
      <c r="B6366" t="s">
        <v>2931</v>
      </c>
      <c r="C6366">
        <v>4052</v>
      </c>
      <c r="D6366" t="str">
        <f t="shared" si="112"/>
        <v xml:space="preserve">2560258246  </v>
      </c>
      <c r="E6366" t="s">
        <v>277</v>
      </c>
      <c r="F6366" t="s">
        <v>279</v>
      </c>
      <c r="G6366">
        <v>256.79000000000002</v>
      </c>
      <c r="H6366">
        <v>250324</v>
      </c>
      <c r="I6366">
        <v>4520</v>
      </c>
      <c r="J6366" t="s">
        <v>280</v>
      </c>
      <c r="K6366">
        <v>4179.68</v>
      </c>
      <c r="L6366">
        <v>31.54</v>
      </c>
      <c r="M6366">
        <v>14990</v>
      </c>
      <c r="N6366" t="s">
        <v>85</v>
      </c>
      <c r="O6366">
        <v>250407</v>
      </c>
      <c r="P6366">
        <v>225.25</v>
      </c>
    </row>
    <row r="6367" spans="1:16" x14ac:dyDescent="0.25">
      <c r="A6367" t="s">
        <v>3296</v>
      </c>
      <c r="B6367" t="s">
        <v>2931</v>
      </c>
      <c r="C6367">
        <v>4053</v>
      </c>
      <c r="D6367" t="str">
        <f>"2560258242  "</f>
        <v xml:space="preserve">2560258242  </v>
      </c>
      <c r="E6367" t="s">
        <v>277</v>
      </c>
      <c r="F6367" t="s">
        <v>279</v>
      </c>
      <c r="G6367">
        <v>1836.35</v>
      </c>
      <c r="H6367">
        <v>250324</v>
      </c>
      <c r="I6367">
        <v>4520</v>
      </c>
      <c r="J6367" t="s">
        <v>280</v>
      </c>
      <c r="K6367">
        <v>2172.96</v>
      </c>
      <c r="L6367">
        <v>225.52</v>
      </c>
      <c r="M6367">
        <v>69113</v>
      </c>
      <c r="N6367" t="s">
        <v>122</v>
      </c>
      <c r="O6367">
        <v>250407</v>
      </c>
      <c r="P6367">
        <v>1610.83</v>
      </c>
    </row>
    <row r="6368" spans="1:16" x14ac:dyDescent="0.25">
      <c r="A6368" t="s">
        <v>3296</v>
      </c>
      <c r="B6368" t="s">
        <v>2931</v>
      </c>
      <c r="C6368">
        <v>4053</v>
      </c>
      <c r="D6368" t="str">
        <f>"2560258242  "</f>
        <v xml:space="preserve">2560258242  </v>
      </c>
      <c r="E6368" t="s">
        <v>277</v>
      </c>
      <c r="F6368" t="s">
        <v>279</v>
      </c>
      <c r="G6368">
        <v>216.04</v>
      </c>
      <c r="H6368">
        <v>250324</v>
      </c>
      <c r="I6368">
        <v>4520</v>
      </c>
      <c r="J6368" t="s">
        <v>280</v>
      </c>
      <c r="K6368">
        <v>2172.96</v>
      </c>
      <c r="L6368">
        <v>26.53</v>
      </c>
      <c r="M6368">
        <v>69802</v>
      </c>
      <c r="N6368" t="s">
        <v>375</v>
      </c>
      <c r="O6368">
        <v>250407</v>
      </c>
      <c r="P6368">
        <v>189.51</v>
      </c>
    </row>
    <row r="6369" spans="1:16" x14ac:dyDescent="0.25">
      <c r="A6369" t="s">
        <v>3296</v>
      </c>
      <c r="B6369" t="s">
        <v>2931</v>
      </c>
      <c r="C6369">
        <v>4053</v>
      </c>
      <c r="D6369" t="str">
        <f>"2560258242  "</f>
        <v xml:space="preserve">2560258242  </v>
      </c>
      <c r="E6369" t="s">
        <v>277</v>
      </c>
      <c r="F6369" t="s">
        <v>279</v>
      </c>
      <c r="G6369">
        <v>108.02</v>
      </c>
      <c r="H6369">
        <v>250324</v>
      </c>
      <c r="I6369">
        <v>4520</v>
      </c>
      <c r="J6369" t="s">
        <v>280</v>
      </c>
      <c r="K6369">
        <v>2172.96</v>
      </c>
      <c r="L6369">
        <v>13.27</v>
      </c>
      <c r="M6369">
        <v>69804</v>
      </c>
      <c r="N6369" t="s">
        <v>376</v>
      </c>
      <c r="O6369">
        <v>250407</v>
      </c>
      <c r="P6369">
        <v>94.75</v>
      </c>
    </row>
    <row r="6370" spans="1:16" x14ac:dyDescent="0.25">
      <c r="A6370" t="s">
        <v>3296</v>
      </c>
      <c r="B6370" t="s">
        <v>2931</v>
      </c>
      <c r="C6370">
        <v>4060</v>
      </c>
      <c r="D6370" t="str">
        <f>"2560258241  "</f>
        <v xml:space="preserve">2560258241  </v>
      </c>
      <c r="E6370" t="s">
        <v>277</v>
      </c>
      <c r="F6370" t="s">
        <v>279</v>
      </c>
      <c r="G6370">
        <v>2013.14</v>
      </c>
      <c r="H6370">
        <v>250324</v>
      </c>
      <c r="I6370">
        <v>4520</v>
      </c>
      <c r="J6370" t="s">
        <v>280</v>
      </c>
      <c r="K6370">
        <v>2393.5</v>
      </c>
      <c r="L6370">
        <v>247.23</v>
      </c>
      <c r="M6370">
        <v>59113</v>
      </c>
      <c r="N6370" t="s">
        <v>61</v>
      </c>
      <c r="O6370">
        <v>250407</v>
      </c>
      <c r="P6370">
        <v>1765.91</v>
      </c>
    </row>
    <row r="6371" spans="1:16" x14ac:dyDescent="0.25">
      <c r="A6371" t="s">
        <v>3296</v>
      </c>
      <c r="B6371" t="s">
        <v>2931</v>
      </c>
      <c r="C6371">
        <v>4060</v>
      </c>
      <c r="D6371" t="str">
        <f>"2560258241  "</f>
        <v xml:space="preserve">2560258241  </v>
      </c>
      <c r="E6371" t="s">
        <v>277</v>
      </c>
      <c r="F6371" t="s">
        <v>279</v>
      </c>
      <c r="G6371">
        <v>355.26</v>
      </c>
      <c r="H6371">
        <v>250324</v>
      </c>
      <c r="I6371">
        <v>4520</v>
      </c>
      <c r="J6371" t="s">
        <v>280</v>
      </c>
      <c r="K6371">
        <v>2393.5</v>
      </c>
      <c r="L6371">
        <v>43.63</v>
      </c>
      <c r="M6371">
        <v>59803</v>
      </c>
      <c r="N6371" t="s">
        <v>282</v>
      </c>
      <c r="O6371">
        <v>250407</v>
      </c>
      <c r="P6371">
        <v>311.63</v>
      </c>
    </row>
    <row r="6372" spans="1:16" x14ac:dyDescent="0.25">
      <c r="A6372" t="s">
        <v>3296</v>
      </c>
      <c r="B6372" t="s">
        <v>2931</v>
      </c>
      <c r="C6372">
        <v>4066</v>
      </c>
      <c r="D6372" t="str">
        <f>"2560258240  "</f>
        <v xml:space="preserve">2560258240  </v>
      </c>
      <c r="E6372" t="s">
        <v>277</v>
      </c>
      <c r="F6372" t="s">
        <v>279</v>
      </c>
      <c r="G6372">
        <v>444</v>
      </c>
      <c r="H6372">
        <v>250324</v>
      </c>
      <c r="I6372">
        <v>4520</v>
      </c>
      <c r="J6372" t="s">
        <v>280</v>
      </c>
      <c r="K6372">
        <v>2929.73</v>
      </c>
      <c r="L6372">
        <v>54.53</v>
      </c>
      <c r="M6372">
        <v>54422</v>
      </c>
      <c r="N6372" t="s">
        <v>49</v>
      </c>
      <c r="O6372">
        <v>250407</v>
      </c>
      <c r="P6372">
        <v>389.47</v>
      </c>
    </row>
    <row r="6373" spans="1:16" x14ac:dyDescent="0.25">
      <c r="A6373" t="s">
        <v>3296</v>
      </c>
      <c r="B6373" t="s">
        <v>2931</v>
      </c>
      <c r="C6373">
        <v>4066</v>
      </c>
      <c r="D6373" t="str">
        <f>"2560258240  "</f>
        <v xml:space="preserve">2560258240  </v>
      </c>
      <c r="E6373" t="s">
        <v>277</v>
      </c>
      <c r="F6373" t="s">
        <v>279</v>
      </c>
      <c r="G6373">
        <v>2525.09</v>
      </c>
      <c r="H6373">
        <v>250324</v>
      </c>
      <c r="I6373">
        <v>4520</v>
      </c>
      <c r="J6373" t="s">
        <v>280</v>
      </c>
      <c r="K6373">
        <v>2929.73</v>
      </c>
      <c r="L6373">
        <v>310.10000000000002</v>
      </c>
      <c r="M6373">
        <v>54451</v>
      </c>
      <c r="N6373" t="s">
        <v>218</v>
      </c>
      <c r="O6373">
        <v>250407</v>
      </c>
      <c r="P6373">
        <v>2214.9899999999998</v>
      </c>
    </row>
    <row r="6374" spans="1:16" x14ac:dyDescent="0.25">
      <c r="A6374" t="s">
        <v>3296</v>
      </c>
      <c r="B6374" t="s">
        <v>2931</v>
      </c>
      <c r="C6374">
        <v>4068</v>
      </c>
      <c r="D6374" t="str">
        <f>"2560258245  "</f>
        <v xml:space="preserve">2560258245  </v>
      </c>
      <c r="E6374" t="s">
        <v>277</v>
      </c>
      <c r="F6374" t="s">
        <v>279</v>
      </c>
      <c r="G6374">
        <v>40</v>
      </c>
      <c r="H6374">
        <v>250324</v>
      </c>
      <c r="I6374">
        <v>4520</v>
      </c>
      <c r="J6374" t="s">
        <v>280</v>
      </c>
      <c r="K6374">
        <v>2616.91</v>
      </c>
      <c r="L6374">
        <v>4.91</v>
      </c>
      <c r="M6374">
        <v>16431</v>
      </c>
      <c r="N6374" t="s">
        <v>17</v>
      </c>
      <c r="O6374">
        <v>250407</v>
      </c>
      <c r="P6374">
        <v>35.090000000000003</v>
      </c>
    </row>
    <row r="6375" spans="1:16" x14ac:dyDescent="0.25">
      <c r="A6375" t="s">
        <v>3296</v>
      </c>
      <c r="B6375" t="s">
        <v>2931</v>
      </c>
      <c r="C6375">
        <v>4068</v>
      </c>
      <c r="D6375" t="str">
        <f>"2560258245  "</f>
        <v xml:space="preserve">2560258245  </v>
      </c>
      <c r="E6375" t="s">
        <v>277</v>
      </c>
      <c r="F6375" t="s">
        <v>279</v>
      </c>
      <c r="G6375">
        <v>218.75</v>
      </c>
      <c r="H6375">
        <v>250324</v>
      </c>
      <c r="I6375">
        <v>4520</v>
      </c>
      <c r="J6375" t="s">
        <v>280</v>
      </c>
      <c r="K6375">
        <v>2616.91</v>
      </c>
      <c r="L6375">
        <v>26.86</v>
      </c>
      <c r="M6375">
        <v>16442</v>
      </c>
      <c r="N6375" t="s">
        <v>304</v>
      </c>
      <c r="O6375">
        <v>250407</v>
      </c>
      <c r="P6375">
        <v>191.89</v>
      </c>
    </row>
    <row r="6376" spans="1:16" x14ac:dyDescent="0.25">
      <c r="A6376" t="s">
        <v>3296</v>
      </c>
      <c r="B6376" t="s">
        <v>2931</v>
      </c>
      <c r="C6376">
        <v>4068</v>
      </c>
      <c r="D6376" t="str">
        <f>"2560258245  "</f>
        <v xml:space="preserve">2560258245  </v>
      </c>
      <c r="E6376" t="s">
        <v>277</v>
      </c>
      <c r="F6376" t="s">
        <v>279</v>
      </c>
      <c r="G6376">
        <v>27.5</v>
      </c>
      <c r="H6376">
        <v>250324</v>
      </c>
      <c r="I6376">
        <v>4520</v>
      </c>
      <c r="J6376" t="s">
        <v>280</v>
      </c>
      <c r="K6376">
        <v>2616.91</v>
      </c>
      <c r="L6376">
        <v>5.59</v>
      </c>
      <c r="M6376">
        <v>17913</v>
      </c>
      <c r="N6376" t="s">
        <v>26</v>
      </c>
      <c r="O6376">
        <v>250407</v>
      </c>
      <c r="P6376">
        <v>21.91</v>
      </c>
    </row>
    <row r="6377" spans="1:16" x14ac:dyDescent="0.25">
      <c r="A6377" t="s">
        <v>3296</v>
      </c>
      <c r="B6377" t="s">
        <v>2931</v>
      </c>
      <c r="C6377">
        <v>4068</v>
      </c>
      <c r="D6377" t="str">
        <f>"2560258245  "</f>
        <v xml:space="preserve">2560258245  </v>
      </c>
      <c r="E6377" t="s">
        <v>277</v>
      </c>
      <c r="F6377" t="s">
        <v>279</v>
      </c>
      <c r="G6377">
        <v>2071.2600000000002</v>
      </c>
      <c r="H6377">
        <v>250324</v>
      </c>
      <c r="I6377">
        <v>4520</v>
      </c>
      <c r="J6377" t="s">
        <v>280</v>
      </c>
      <c r="K6377">
        <v>2616.91</v>
      </c>
      <c r="L6377">
        <v>254.37</v>
      </c>
      <c r="M6377">
        <v>17913</v>
      </c>
      <c r="N6377" t="s">
        <v>26</v>
      </c>
      <c r="O6377">
        <v>250407</v>
      </c>
      <c r="P6377">
        <v>1816.89</v>
      </c>
    </row>
    <row r="6378" spans="1:16" x14ac:dyDescent="0.25">
      <c r="A6378" t="s">
        <v>3296</v>
      </c>
      <c r="B6378" t="s">
        <v>2931</v>
      </c>
      <c r="C6378">
        <v>4068</v>
      </c>
      <c r="D6378" t="str">
        <f>"2560258245  "</f>
        <v xml:space="preserve">2560258245  </v>
      </c>
      <c r="E6378" t="s">
        <v>277</v>
      </c>
      <c r="F6378" t="s">
        <v>279</v>
      </c>
      <c r="G6378">
        <v>259.39999999999998</v>
      </c>
      <c r="H6378">
        <v>250324</v>
      </c>
      <c r="I6378">
        <v>4520</v>
      </c>
      <c r="J6378" t="s">
        <v>280</v>
      </c>
      <c r="K6378">
        <v>2616.91</v>
      </c>
      <c r="L6378">
        <v>31.86</v>
      </c>
      <c r="M6378">
        <v>17982</v>
      </c>
      <c r="N6378" t="s">
        <v>281</v>
      </c>
      <c r="O6378">
        <v>250407</v>
      </c>
      <c r="P6378">
        <v>227.54</v>
      </c>
    </row>
    <row r="6379" spans="1:16" x14ac:dyDescent="0.25">
      <c r="A6379" t="s">
        <v>3296</v>
      </c>
      <c r="B6379" t="s">
        <v>2931</v>
      </c>
      <c r="C6379">
        <v>4072</v>
      </c>
      <c r="D6379" t="str">
        <f>"2560258244  "</f>
        <v xml:space="preserve">2560258244  </v>
      </c>
      <c r="E6379" t="s">
        <v>277</v>
      </c>
      <c r="F6379" t="s">
        <v>279</v>
      </c>
      <c r="G6379">
        <v>20.76</v>
      </c>
      <c r="H6379">
        <v>250324</v>
      </c>
      <c r="I6379">
        <v>4520</v>
      </c>
      <c r="J6379" t="s">
        <v>280</v>
      </c>
      <c r="K6379">
        <v>926.3</v>
      </c>
      <c r="L6379">
        <v>4.22</v>
      </c>
      <c r="M6379">
        <v>17915</v>
      </c>
      <c r="N6379" t="s">
        <v>305</v>
      </c>
      <c r="O6379">
        <v>250407</v>
      </c>
      <c r="P6379">
        <v>16.54</v>
      </c>
    </row>
    <row r="6380" spans="1:16" x14ac:dyDescent="0.25">
      <c r="A6380" t="s">
        <v>3296</v>
      </c>
      <c r="B6380" t="s">
        <v>2931</v>
      </c>
      <c r="C6380">
        <v>4072</v>
      </c>
      <c r="D6380" t="str">
        <f>"2560258244  "</f>
        <v xml:space="preserve">2560258244  </v>
      </c>
      <c r="E6380" t="s">
        <v>277</v>
      </c>
      <c r="F6380" t="s">
        <v>279</v>
      </c>
      <c r="G6380">
        <v>814.99</v>
      </c>
      <c r="H6380">
        <v>250324</v>
      </c>
      <c r="I6380">
        <v>4520</v>
      </c>
      <c r="J6380" t="s">
        <v>280</v>
      </c>
      <c r="K6380">
        <v>926.3</v>
      </c>
      <c r="L6380">
        <v>100.09</v>
      </c>
      <c r="M6380">
        <v>17915</v>
      </c>
      <c r="N6380" t="s">
        <v>305</v>
      </c>
      <c r="O6380">
        <v>250407</v>
      </c>
      <c r="P6380">
        <v>714.9</v>
      </c>
    </row>
    <row r="6381" spans="1:16" x14ac:dyDescent="0.25">
      <c r="A6381" t="s">
        <v>3296</v>
      </c>
      <c r="B6381" t="s">
        <v>2931</v>
      </c>
      <c r="C6381">
        <v>4072</v>
      </c>
      <c r="D6381" t="str">
        <f>"2560258244  "</f>
        <v xml:space="preserve">2560258244  </v>
      </c>
      <c r="E6381" t="s">
        <v>277</v>
      </c>
      <c r="F6381" t="s">
        <v>279</v>
      </c>
      <c r="G6381">
        <v>90.55</v>
      </c>
      <c r="H6381">
        <v>250324</v>
      </c>
      <c r="I6381">
        <v>4520</v>
      </c>
      <c r="J6381" t="s">
        <v>280</v>
      </c>
      <c r="K6381">
        <v>926.3</v>
      </c>
      <c r="L6381">
        <v>11.12</v>
      </c>
      <c r="M6381">
        <v>17982</v>
      </c>
      <c r="N6381" t="s">
        <v>281</v>
      </c>
      <c r="O6381">
        <v>250407</v>
      </c>
      <c r="P6381">
        <v>79.430000000000007</v>
      </c>
    </row>
    <row r="6382" spans="1:16" x14ac:dyDescent="0.25">
      <c r="A6382" t="s">
        <v>3296</v>
      </c>
      <c r="B6382" t="s">
        <v>2931</v>
      </c>
      <c r="C6382">
        <v>4073</v>
      </c>
      <c r="D6382" t="str">
        <f>"2560258239  "</f>
        <v xml:space="preserve">2560258239  </v>
      </c>
      <c r="E6382" t="s">
        <v>277</v>
      </c>
      <c r="F6382" t="s">
        <v>279</v>
      </c>
      <c r="G6382">
        <v>612.91</v>
      </c>
      <c r="H6382">
        <v>250324</v>
      </c>
      <c r="I6382">
        <v>4520</v>
      </c>
      <c r="J6382" t="s">
        <v>280</v>
      </c>
      <c r="K6382">
        <v>661.04</v>
      </c>
      <c r="L6382">
        <v>75.27</v>
      </c>
      <c r="M6382">
        <v>59114</v>
      </c>
      <c r="N6382" t="s">
        <v>299</v>
      </c>
      <c r="O6382">
        <v>250407</v>
      </c>
      <c r="P6382">
        <v>537.64</v>
      </c>
    </row>
    <row r="6383" spans="1:16" x14ac:dyDescent="0.25">
      <c r="A6383" t="s">
        <v>3296</v>
      </c>
      <c r="B6383" t="s">
        <v>2931</v>
      </c>
      <c r="C6383">
        <v>4077</v>
      </c>
      <c r="D6383" t="str">
        <f>"2560258248  "</f>
        <v xml:space="preserve">2560258248  </v>
      </c>
      <c r="E6383" t="s">
        <v>277</v>
      </c>
      <c r="F6383" t="s">
        <v>279</v>
      </c>
      <c r="G6383">
        <v>1112.0899999999999</v>
      </c>
      <c r="H6383">
        <v>250324</v>
      </c>
      <c r="I6383">
        <v>4520</v>
      </c>
      <c r="J6383" t="s">
        <v>280</v>
      </c>
      <c r="K6383">
        <v>1363.12</v>
      </c>
      <c r="L6383">
        <v>136.57</v>
      </c>
      <c r="M6383">
        <v>69112</v>
      </c>
      <c r="N6383" t="s">
        <v>227</v>
      </c>
      <c r="O6383">
        <v>250407</v>
      </c>
      <c r="P6383">
        <v>975.52</v>
      </c>
    </row>
    <row r="6384" spans="1:16" x14ac:dyDescent="0.25">
      <c r="A6384" t="s">
        <v>3296</v>
      </c>
      <c r="B6384" t="s">
        <v>2931</v>
      </c>
      <c r="C6384">
        <v>4077</v>
      </c>
      <c r="D6384" t="str">
        <f>"2560258248  "</f>
        <v xml:space="preserve">2560258248  </v>
      </c>
      <c r="E6384" t="s">
        <v>277</v>
      </c>
      <c r="F6384" t="s">
        <v>279</v>
      </c>
      <c r="G6384">
        <v>61.79</v>
      </c>
      <c r="H6384">
        <v>250324</v>
      </c>
      <c r="I6384">
        <v>4520</v>
      </c>
      <c r="J6384" t="s">
        <v>280</v>
      </c>
      <c r="K6384">
        <v>1363.12</v>
      </c>
      <c r="L6384">
        <v>7.59</v>
      </c>
      <c r="M6384">
        <v>69810</v>
      </c>
      <c r="N6384" t="s">
        <v>229</v>
      </c>
      <c r="O6384">
        <v>250407</v>
      </c>
      <c r="P6384">
        <v>54.2</v>
      </c>
    </row>
    <row r="6385" spans="1:16" x14ac:dyDescent="0.25">
      <c r="A6385" t="s">
        <v>3296</v>
      </c>
      <c r="B6385" t="s">
        <v>2931</v>
      </c>
      <c r="C6385">
        <v>4077</v>
      </c>
      <c r="D6385" t="str">
        <f>"2560258248  "</f>
        <v xml:space="preserve">2560258248  </v>
      </c>
      <c r="E6385" t="s">
        <v>277</v>
      </c>
      <c r="F6385" t="s">
        <v>279</v>
      </c>
      <c r="G6385">
        <v>61.78</v>
      </c>
      <c r="H6385">
        <v>250324</v>
      </c>
      <c r="I6385">
        <v>4520</v>
      </c>
      <c r="J6385" t="s">
        <v>280</v>
      </c>
      <c r="K6385">
        <v>1363.12</v>
      </c>
      <c r="L6385">
        <v>7.59</v>
      </c>
      <c r="M6385">
        <v>69811</v>
      </c>
      <c r="N6385" t="s">
        <v>230</v>
      </c>
      <c r="O6385">
        <v>250407</v>
      </c>
      <c r="P6385">
        <v>54.19</v>
      </c>
    </row>
    <row r="6386" spans="1:16" x14ac:dyDescent="0.25">
      <c r="A6386" t="s">
        <v>3296</v>
      </c>
      <c r="B6386" t="s">
        <v>2931</v>
      </c>
      <c r="C6386">
        <v>4087</v>
      </c>
      <c r="D6386" t="str">
        <f>"2560258243  "</f>
        <v xml:space="preserve">2560258243  </v>
      </c>
      <c r="E6386" t="s">
        <v>277</v>
      </c>
      <c r="F6386" t="s">
        <v>279</v>
      </c>
      <c r="G6386">
        <v>1917.05</v>
      </c>
      <c r="H6386">
        <v>250324</v>
      </c>
      <c r="I6386">
        <v>4520</v>
      </c>
      <c r="J6386" t="s">
        <v>280</v>
      </c>
      <c r="K6386">
        <v>2160.5300000000002</v>
      </c>
      <c r="L6386">
        <v>235.43</v>
      </c>
      <c r="M6386">
        <v>49112</v>
      </c>
      <c r="N6386" t="s">
        <v>109</v>
      </c>
      <c r="O6386">
        <v>250407</v>
      </c>
      <c r="P6386">
        <v>1681.62</v>
      </c>
    </row>
    <row r="6387" spans="1:16" x14ac:dyDescent="0.25">
      <c r="A6387" t="s">
        <v>3296</v>
      </c>
      <c r="B6387" t="s">
        <v>2931</v>
      </c>
      <c r="C6387">
        <v>4197</v>
      </c>
      <c r="D6387" t="str">
        <f>"2560258247  "</f>
        <v xml:space="preserve">2560258247  </v>
      </c>
      <c r="E6387" t="s">
        <v>277</v>
      </c>
      <c r="F6387" t="s">
        <v>279</v>
      </c>
      <c r="G6387">
        <v>243.44</v>
      </c>
      <c r="H6387">
        <v>250324</v>
      </c>
      <c r="I6387">
        <v>4520</v>
      </c>
      <c r="J6387" t="s">
        <v>280</v>
      </c>
      <c r="K6387">
        <v>276.35000000000002</v>
      </c>
      <c r="L6387">
        <v>29.9</v>
      </c>
      <c r="M6387">
        <v>44222</v>
      </c>
      <c r="N6387" t="s">
        <v>96</v>
      </c>
      <c r="O6387">
        <v>250409</v>
      </c>
      <c r="P6387">
        <v>213.54</v>
      </c>
    </row>
    <row r="6388" spans="1:16" x14ac:dyDescent="0.25">
      <c r="A6388" t="s">
        <v>3296</v>
      </c>
      <c r="B6388" t="s">
        <v>2931</v>
      </c>
      <c r="C6388">
        <v>4197</v>
      </c>
      <c r="D6388" t="str">
        <f>"2560258247  "</f>
        <v xml:space="preserve">2560258247  </v>
      </c>
      <c r="E6388" t="s">
        <v>277</v>
      </c>
      <c r="F6388" t="s">
        <v>279</v>
      </c>
      <c r="G6388">
        <v>45.46</v>
      </c>
      <c r="H6388">
        <v>250324</v>
      </c>
      <c r="I6388">
        <v>4520</v>
      </c>
      <c r="J6388" t="s">
        <v>280</v>
      </c>
      <c r="K6388">
        <v>276.35000000000002</v>
      </c>
      <c r="L6388">
        <v>5.58</v>
      </c>
      <c r="M6388">
        <v>44253</v>
      </c>
      <c r="N6388" t="s">
        <v>403</v>
      </c>
      <c r="O6388">
        <v>250409</v>
      </c>
      <c r="P6388">
        <v>39.880000000000003</v>
      </c>
    </row>
    <row r="6389" spans="1:16" x14ac:dyDescent="0.25">
      <c r="A6389" t="s">
        <v>3296</v>
      </c>
      <c r="B6389" t="s">
        <v>2931</v>
      </c>
      <c r="C6389">
        <v>4351</v>
      </c>
      <c r="D6389" t="str">
        <f>"2560275098  "</f>
        <v xml:space="preserve">2560275098  </v>
      </c>
      <c r="E6389" t="s">
        <v>277</v>
      </c>
      <c r="F6389" t="s">
        <v>279</v>
      </c>
      <c r="G6389">
        <v>1462.66</v>
      </c>
      <c r="H6389">
        <v>250331</v>
      </c>
      <c r="I6389">
        <v>4520</v>
      </c>
      <c r="J6389" t="s">
        <v>280</v>
      </c>
      <c r="K6389">
        <v>1718.46</v>
      </c>
      <c r="L6389">
        <v>179.62</v>
      </c>
      <c r="M6389">
        <v>49112</v>
      </c>
      <c r="N6389" t="s">
        <v>109</v>
      </c>
      <c r="O6389">
        <v>250411</v>
      </c>
      <c r="P6389">
        <v>1283.04</v>
      </c>
    </row>
    <row r="6390" spans="1:16" x14ac:dyDescent="0.25">
      <c r="A6390" t="s">
        <v>3296</v>
      </c>
      <c r="B6390" t="s">
        <v>2931</v>
      </c>
      <c r="C6390">
        <v>4355</v>
      </c>
      <c r="D6390" t="str">
        <f>"2560275097  "</f>
        <v xml:space="preserve">2560275097  </v>
      </c>
      <c r="E6390" t="s">
        <v>277</v>
      </c>
      <c r="F6390" t="s">
        <v>279</v>
      </c>
      <c r="G6390">
        <v>1738.23</v>
      </c>
      <c r="H6390">
        <v>250331</v>
      </c>
      <c r="I6390">
        <v>4520</v>
      </c>
      <c r="J6390" t="s">
        <v>280</v>
      </c>
      <c r="K6390">
        <v>2213.1799999999998</v>
      </c>
      <c r="L6390">
        <v>213.47</v>
      </c>
      <c r="M6390">
        <v>69113</v>
      </c>
      <c r="N6390" t="s">
        <v>122</v>
      </c>
      <c r="O6390">
        <v>250411</v>
      </c>
      <c r="P6390">
        <v>1524.76</v>
      </c>
    </row>
    <row r="6391" spans="1:16" x14ac:dyDescent="0.25">
      <c r="A6391" t="s">
        <v>3296</v>
      </c>
      <c r="B6391" t="s">
        <v>2931</v>
      </c>
      <c r="C6391">
        <v>4355</v>
      </c>
      <c r="D6391" t="str">
        <f>"2560275097  "</f>
        <v xml:space="preserve">2560275097  </v>
      </c>
      <c r="E6391" t="s">
        <v>277</v>
      </c>
      <c r="F6391" t="s">
        <v>279</v>
      </c>
      <c r="G6391">
        <v>204.5</v>
      </c>
      <c r="H6391">
        <v>250331</v>
      </c>
      <c r="I6391">
        <v>4520</v>
      </c>
      <c r="J6391" t="s">
        <v>280</v>
      </c>
      <c r="K6391">
        <v>2213.1799999999998</v>
      </c>
      <c r="L6391">
        <v>25.11</v>
      </c>
      <c r="M6391">
        <v>69802</v>
      </c>
      <c r="N6391" t="s">
        <v>375</v>
      </c>
      <c r="O6391">
        <v>250411</v>
      </c>
      <c r="P6391">
        <v>179.39</v>
      </c>
    </row>
    <row r="6392" spans="1:16" x14ac:dyDescent="0.25">
      <c r="A6392" t="s">
        <v>3296</v>
      </c>
      <c r="B6392" t="s">
        <v>2931</v>
      </c>
      <c r="C6392">
        <v>4355</v>
      </c>
      <c r="D6392" t="str">
        <f>"2560275097  "</f>
        <v xml:space="preserve">2560275097  </v>
      </c>
      <c r="E6392" t="s">
        <v>277</v>
      </c>
      <c r="F6392" t="s">
        <v>279</v>
      </c>
      <c r="G6392">
        <v>102.25</v>
      </c>
      <c r="H6392">
        <v>250331</v>
      </c>
      <c r="I6392">
        <v>4520</v>
      </c>
      <c r="J6392" t="s">
        <v>280</v>
      </c>
      <c r="K6392">
        <v>2213.1799999999998</v>
      </c>
      <c r="L6392">
        <v>12.56</v>
      </c>
      <c r="M6392">
        <v>69804</v>
      </c>
      <c r="N6392" t="s">
        <v>376</v>
      </c>
      <c r="O6392">
        <v>250411</v>
      </c>
      <c r="P6392">
        <v>89.69</v>
      </c>
    </row>
    <row r="6393" spans="1:16" x14ac:dyDescent="0.25">
      <c r="A6393" t="s">
        <v>3296</v>
      </c>
      <c r="B6393" t="s">
        <v>2931</v>
      </c>
      <c r="C6393">
        <v>4376</v>
      </c>
      <c r="D6393" t="str">
        <f>"2560275100  "</f>
        <v xml:space="preserve">2560275100  </v>
      </c>
      <c r="E6393" t="s">
        <v>277</v>
      </c>
      <c r="F6393" t="s">
        <v>279</v>
      </c>
      <c r="G6393">
        <v>55.7</v>
      </c>
      <c r="H6393">
        <v>250331</v>
      </c>
      <c r="I6393">
        <v>4520</v>
      </c>
      <c r="J6393" t="s">
        <v>280</v>
      </c>
      <c r="K6393">
        <v>1515.13</v>
      </c>
      <c r="L6393">
        <v>6.84</v>
      </c>
      <c r="M6393">
        <v>16442</v>
      </c>
      <c r="N6393" t="s">
        <v>304</v>
      </c>
      <c r="O6393">
        <v>250411</v>
      </c>
      <c r="P6393">
        <v>48.86</v>
      </c>
    </row>
    <row r="6394" spans="1:16" x14ac:dyDescent="0.25">
      <c r="A6394" t="s">
        <v>3296</v>
      </c>
      <c r="B6394" t="s">
        <v>2931</v>
      </c>
      <c r="C6394">
        <v>4376</v>
      </c>
      <c r="D6394" t="str">
        <f>"2560275100  "</f>
        <v xml:space="preserve">2560275100  </v>
      </c>
      <c r="E6394" t="s">
        <v>277</v>
      </c>
      <c r="F6394" t="s">
        <v>279</v>
      </c>
      <c r="G6394">
        <v>99.87</v>
      </c>
      <c r="H6394">
        <v>250331</v>
      </c>
      <c r="I6394">
        <v>4520</v>
      </c>
      <c r="J6394" t="s">
        <v>280</v>
      </c>
      <c r="K6394">
        <v>1515.13</v>
      </c>
      <c r="L6394">
        <v>20.29</v>
      </c>
      <c r="M6394">
        <v>17913</v>
      </c>
      <c r="N6394" t="s">
        <v>26</v>
      </c>
      <c r="O6394">
        <v>250411</v>
      </c>
      <c r="P6394">
        <v>79.58</v>
      </c>
    </row>
    <row r="6395" spans="1:16" x14ac:dyDescent="0.25">
      <c r="A6395" t="s">
        <v>3296</v>
      </c>
      <c r="B6395" t="s">
        <v>2931</v>
      </c>
      <c r="C6395">
        <v>4376</v>
      </c>
      <c r="D6395" t="str">
        <f>"2560275100  "</f>
        <v xml:space="preserve">2560275100  </v>
      </c>
      <c r="E6395" t="s">
        <v>277</v>
      </c>
      <c r="F6395" t="s">
        <v>279</v>
      </c>
      <c r="G6395">
        <v>1208.06</v>
      </c>
      <c r="H6395">
        <v>250331</v>
      </c>
      <c r="I6395">
        <v>4520</v>
      </c>
      <c r="J6395" t="s">
        <v>280</v>
      </c>
      <c r="K6395">
        <v>1515.13</v>
      </c>
      <c r="L6395">
        <v>148.36000000000001</v>
      </c>
      <c r="M6395">
        <v>17913</v>
      </c>
      <c r="N6395" t="s">
        <v>26</v>
      </c>
      <c r="O6395">
        <v>250411</v>
      </c>
      <c r="P6395">
        <v>1059.7</v>
      </c>
    </row>
    <row r="6396" spans="1:16" x14ac:dyDescent="0.25">
      <c r="A6396" t="s">
        <v>3296</v>
      </c>
      <c r="B6396" t="s">
        <v>2931</v>
      </c>
      <c r="C6396">
        <v>4376</v>
      </c>
      <c r="D6396" t="str">
        <f>"2560275100  "</f>
        <v xml:space="preserve">2560275100  </v>
      </c>
      <c r="E6396" t="s">
        <v>277</v>
      </c>
      <c r="F6396" t="s">
        <v>279</v>
      </c>
      <c r="G6396">
        <v>11.1</v>
      </c>
      <c r="H6396">
        <v>250331</v>
      </c>
      <c r="I6396">
        <v>4520</v>
      </c>
      <c r="J6396" t="s">
        <v>280</v>
      </c>
      <c r="K6396">
        <v>1515.13</v>
      </c>
      <c r="L6396">
        <v>2.2599999999999998</v>
      </c>
      <c r="M6396">
        <v>17982</v>
      </c>
      <c r="N6396" t="s">
        <v>281</v>
      </c>
      <c r="O6396">
        <v>250411</v>
      </c>
      <c r="P6396">
        <v>8.84</v>
      </c>
    </row>
    <row r="6397" spans="1:16" x14ac:dyDescent="0.25">
      <c r="A6397" t="s">
        <v>3296</v>
      </c>
      <c r="B6397" t="s">
        <v>2931</v>
      </c>
      <c r="C6397">
        <v>4376</v>
      </c>
      <c r="D6397" t="str">
        <f>"2560275100  "</f>
        <v xml:space="preserve">2560275100  </v>
      </c>
      <c r="E6397" t="s">
        <v>277</v>
      </c>
      <c r="F6397" t="s">
        <v>279</v>
      </c>
      <c r="G6397">
        <v>140.4</v>
      </c>
      <c r="H6397">
        <v>250331</v>
      </c>
      <c r="I6397">
        <v>4520</v>
      </c>
      <c r="J6397" t="s">
        <v>280</v>
      </c>
      <c r="K6397">
        <v>1515.13</v>
      </c>
      <c r="L6397">
        <v>17.239999999999998</v>
      </c>
      <c r="M6397">
        <v>17982</v>
      </c>
      <c r="N6397" t="s">
        <v>281</v>
      </c>
      <c r="O6397">
        <v>250411</v>
      </c>
      <c r="P6397">
        <v>123.16</v>
      </c>
    </row>
    <row r="6398" spans="1:16" x14ac:dyDescent="0.25">
      <c r="A6398" t="s">
        <v>3296</v>
      </c>
      <c r="B6398" t="s">
        <v>2931</v>
      </c>
      <c r="C6398">
        <v>4390</v>
      </c>
      <c r="D6398" t="str">
        <f>"2560275102  "</f>
        <v xml:space="preserve">2560275102  </v>
      </c>
      <c r="E6398" t="s">
        <v>277</v>
      </c>
      <c r="F6398" t="s">
        <v>279</v>
      </c>
      <c r="G6398">
        <v>26.77</v>
      </c>
      <c r="H6398">
        <v>250331</v>
      </c>
      <c r="I6398">
        <v>4520</v>
      </c>
      <c r="J6398" t="s">
        <v>280</v>
      </c>
      <c r="K6398">
        <v>505.57</v>
      </c>
      <c r="L6398">
        <v>3.29</v>
      </c>
      <c r="M6398">
        <v>44222</v>
      </c>
      <c r="N6398" t="s">
        <v>96</v>
      </c>
      <c r="O6398">
        <v>250411</v>
      </c>
      <c r="P6398">
        <v>23.48</v>
      </c>
    </row>
    <row r="6399" spans="1:16" x14ac:dyDescent="0.25">
      <c r="A6399" t="s">
        <v>3296</v>
      </c>
      <c r="B6399" t="s">
        <v>2931</v>
      </c>
      <c r="C6399">
        <v>4390</v>
      </c>
      <c r="D6399" t="str">
        <f>"2560275102  "</f>
        <v xml:space="preserve">2560275102  </v>
      </c>
      <c r="E6399" t="s">
        <v>277</v>
      </c>
      <c r="F6399" t="s">
        <v>279</v>
      </c>
      <c r="G6399">
        <v>16.149999999999999</v>
      </c>
      <c r="H6399">
        <v>250331</v>
      </c>
      <c r="I6399">
        <v>4520</v>
      </c>
      <c r="J6399" t="s">
        <v>280</v>
      </c>
      <c r="K6399">
        <v>505.57</v>
      </c>
      <c r="L6399">
        <v>3.28</v>
      </c>
      <c r="M6399">
        <v>44253</v>
      </c>
      <c r="N6399" t="s">
        <v>403</v>
      </c>
      <c r="O6399">
        <v>250411</v>
      </c>
      <c r="P6399">
        <v>12.87</v>
      </c>
    </row>
    <row r="6400" spans="1:16" x14ac:dyDescent="0.25">
      <c r="A6400" t="s">
        <v>3296</v>
      </c>
      <c r="B6400" t="s">
        <v>2931</v>
      </c>
      <c r="C6400">
        <v>4390</v>
      </c>
      <c r="D6400" t="str">
        <f>"2560275102  "</f>
        <v xml:space="preserve">2560275102  </v>
      </c>
      <c r="E6400" t="s">
        <v>277</v>
      </c>
      <c r="F6400" t="s">
        <v>279</v>
      </c>
      <c r="G6400">
        <v>462.65</v>
      </c>
      <c r="H6400">
        <v>250331</v>
      </c>
      <c r="I6400">
        <v>4520</v>
      </c>
      <c r="J6400" t="s">
        <v>280</v>
      </c>
      <c r="K6400">
        <v>505.57</v>
      </c>
      <c r="L6400">
        <v>56.82</v>
      </c>
      <c r="M6400">
        <v>44253</v>
      </c>
      <c r="N6400" t="s">
        <v>403</v>
      </c>
      <c r="O6400">
        <v>250411</v>
      </c>
      <c r="P6400">
        <v>405.83</v>
      </c>
    </row>
    <row r="6401" spans="1:16" x14ac:dyDescent="0.25">
      <c r="A6401" t="s">
        <v>3296</v>
      </c>
      <c r="B6401" t="s">
        <v>2931</v>
      </c>
      <c r="C6401">
        <v>4404</v>
      </c>
      <c r="D6401" t="str">
        <f>"2560275095  "</f>
        <v xml:space="preserve">2560275095  </v>
      </c>
      <c r="E6401" t="s">
        <v>277</v>
      </c>
      <c r="F6401" t="s">
        <v>279</v>
      </c>
      <c r="G6401">
        <v>491</v>
      </c>
      <c r="H6401">
        <v>250331</v>
      </c>
      <c r="I6401">
        <v>4520</v>
      </c>
      <c r="J6401" t="s">
        <v>280</v>
      </c>
      <c r="K6401">
        <v>2119.19</v>
      </c>
      <c r="L6401">
        <v>60.3</v>
      </c>
      <c r="M6401">
        <v>54422</v>
      </c>
      <c r="N6401" t="s">
        <v>49</v>
      </c>
      <c r="O6401">
        <v>250411</v>
      </c>
      <c r="P6401">
        <v>430.7</v>
      </c>
    </row>
    <row r="6402" spans="1:16" x14ac:dyDescent="0.25">
      <c r="A6402" t="s">
        <v>3296</v>
      </c>
      <c r="B6402" t="s">
        <v>2931</v>
      </c>
      <c r="C6402">
        <v>4404</v>
      </c>
      <c r="D6402" t="str">
        <f>"2560275095  "</f>
        <v xml:space="preserve">2560275095  </v>
      </c>
      <c r="E6402" t="s">
        <v>277</v>
      </c>
      <c r="F6402" t="s">
        <v>279</v>
      </c>
      <c r="G6402">
        <v>1562.87</v>
      </c>
      <c r="H6402">
        <v>250331</v>
      </c>
      <c r="I6402">
        <v>4520</v>
      </c>
      <c r="J6402" t="s">
        <v>280</v>
      </c>
      <c r="K6402">
        <v>2119.19</v>
      </c>
      <c r="L6402">
        <v>191.93</v>
      </c>
      <c r="M6402">
        <v>54451</v>
      </c>
      <c r="N6402" t="s">
        <v>218</v>
      </c>
      <c r="O6402">
        <v>250411</v>
      </c>
      <c r="P6402">
        <v>1370.94</v>
      </c>
    </row>
    <row r="6403" spans="1:16" x14ac:dyDescent="0.25">
      <c r="A6403" t="s">
        <v>3296</v>
      </c>
      <c r="B6403" t="s">
        <v>2931</v>
      </c>
      <c r="C6403">
        <v>4417</v>
      </c>
      <c r="D6403" t="str">
        <f t="shared" ref="D6403:D6415" si="113">"2560275101  "</f>
        <v xml:space="preserve">2560275101  </v>
      </c>
      <c r="E6403" t="s">
        <v>277</v>
      </c>
      <c r="F6403" t="s">
        <v>279</v>
      </c>
      <c r="G6403">
        <v>2.7</v>
      </c>
      <c r="H6403">
        <v>250331</v>
      </c>
      <c r="I6403">
        <v>4520</v>
      </c>
      <c r="J6403" t="s">
        <v>280</v>
      </c>
      <c r="K6403">
        <v>5829.23</v>
      </c>
      <c r="L6403">
        <v>0.55000000000000004</v>
      </c>
      <c r="M6403">
        <v>14422</v>
      </c>
      <c r="N6403" t="s">
        <v>73</v>
      </c>
      <c r="O6403">
        <v>250411</v>
      </c>
      <c r="P6403">
        <v>2.15</v>
      </c>
    </row>
    <row r="6404" spans="1:16" x14ac:dyDescent="0.25">
      <c r="A6404" t="s">
        <v>3296</v>
      </c>
      <c r="B6404" t="s">
        <v>2931</v>
      </c>
      <c r="C6404">
        <v>4417</v>
      </c>
      <c r="D6404" t="str">
        <f t="shared" si="113"/>
        <v xml:space="preserve">2560275101  </v>
      </c>
      <c r="E6404" t="s">
        <v>277</v>
      </c>
      <c r="F6404" t="s">
        <v>279</v>
      </c>
      <c r="G6404">
        <v>54.17</v>
      </c>
      <c r="H6404">
        <v>250331</v>
      </c>
      <c r="I6404">
        <v>4520</v>
      </c>
      <c r="J6404" t="s">
        <v>280</v>
      </c>
      <c r="K6404">
        <v>5829.23</v>
      </c>
      <c r="L6404">
        <v>6.65</v>
      </c>
      <c r="M6404">
        <v>14422</v>
      </c>
      <c r="N6404" t="s">
        <v>73</v>
      </c>
      <c r="O6404">
        <v>250411</v>
      </c>
      <c r="P6404">
        <v>47.52</v>
      </c>
    </row>
    <row r="6405" spans="1:16" x14ac:dyDescent="0.25">
      <c r="A6405" t="s">
        <v>3296</v>
      </c>
      <c r="B6405" t="s">
        <v>2931</v>
      </c>
      <c r="C6405">
        <v>4417</v>
      </c>
      <c r="D6405" t="str">
        <f t="shared" si="113"/>
        <v xml:space="preserve">2560275101  </v>
      </c>
      <c r="E6405" t="s">
        <v>277</v>
      </c>
      <c r="F6405" t="s">
        <v>279</v>
      </c>
      <c r="G6405">
        <v>10.82</v>
      </c>
      <c r="H6405">
        <v>250331</v>
      </c>
      <c r="I6405">
        <v>4520</v>
      </c>
      <c r="J6405" t="s">
        <v>280</v>
      </c>
      <c r="K6405">
        <v>5829.23</v>
      </c>
      <c r="L6405">
        <v>2.2000000000000002</v>
      </c>
      <c r="M6405">
        <v>14431</v>
      </c>
      <c r="N6405" t="s">
        <v>74</v>
      </c>
      <c r="O6405">
        <v>250411</v>
      </c>
      <c r="P6405">
        <v>8.6199999999999992</v>
      </c>
    </row>
    <row r="6406" spans="1:16" x14ac:dyDescent="0.25">
      <c r="A6406" t="s">
        <v>3296</v>
      </c>
      <c r="B6406" t="s">
        <v>2931</v>
      </c>
      <c r="C6406">
        <v>4417</v>
      </c>
      <c r="D6406" t="str">
        <f t="shared" si="113"/>
        <v xml:space="preserve">2560275101  </v>
      </c>
      <c r="E6406" t="s">
        <v>277</v>
      </c>
      <c r="F6406" t="s">
        <v>279</v>
      </c>
      <c r="G6406">
        <v>216.68</v>
      </c>
      <c r="H6406">
        <v>250331</v>
      </c>
      <c r="I6406">
        <v>4520</v>
      </c>
      <c r="J6406" t="s">
        <v>280</v>
      </c>
      <c r="K6406">
        <v>5829.23</v>
      </c>
      <c r="L6406">
        <v>26.61</v>
      </c>
      <c r="M6406">
        <v>14431</v>
      </c>
      <c r="N6406" t="s">
        <v>74</v>
      </c>
      <c r="O6406">
        <v>250411</v>
      </c>
      <c r="P6406">
        <v>190.07</v>
      </c>
    </row>
    <row r="6407" spans="1:16" x14ac:dyDescent="0.25">
      <c r="A6407" t="s">
        <v>3296</v>
      </c>
      <c r="B6407" t="s">
        <v>2931</v>
      </c>
      <c r="C6407">
        <v>4417</v>
      </c>
      <c r="D6407" t="str">
        <f t="shared" si="113"/>
        <v xml:space="preserve">2560275101  </v>
      </c>
      <c r="E6407" t="s">
        <v>277</v>
      </c>
      <c r="F6407" t="s">
        <v>279</v>
      </c>
      <c r="G6407">
        <v>45.98</v>
      </c>
      <c r="H6407">
        <v>250331</v>
      </c>
      <c r="I6407">
        <v>4520</v>
      </c>
      <c r="J6407" t="s">
        <v>280</v>
      </c>
      <c r="K6407">
        <v>5829.23</v>
      </c>
      <c r="L6407">
        <v>9.34</v>
      </c>
      <c r="M6407">
        <v>14432</v>
      </c>
      <c r="N6407" t="s">
        <v>75</v>
      </c>
      <c r="O6407">
        <v>250411</v>
      </c>
      <c r="P6407">
        <v>36.64</v>
      </c>
    </row>
    <row r="6408" spans="1:16" x14ac:dyDescent="0.25">
      <c r="A6408" t="s">
        <v>3296</v>
      </c>
      <c r="B6408" t="s">
        <v>2931</v>
      </c>
      <c r="C6408">
        <v>4417</v>
      </c>
      <c r="D6408" t="str">
        <f t="shared" si="113"/>
        <v xml:space="preserve">2560275101  </v>
      </c>
      <c r="E6408" t="s">
        <v>277</v>
      </c>
      <c r="F6408" t="s">
        <v>279</v>
      </c>
      <c r="G6408">
        <v>920.87</v>
      </c>
      <c r="H6408">
        <v>250331</v>
      </c>
      <c r="I6408">
        <v>4520</v>
      </c>
      <c r="J6408" t="s">
        <v>280</v>
      </c>
      <c r="K6408">
        <v>5829.23</v>
      </c>
      <c r="L6408">
        <v>113.09</v>
      </c>
      <c r="M6408">
        <v>14432</v>
      </c>
      <c r="N6408" t="s">
        <v>75</v>
      </c>
      <c r="O6408">
        <v>250411</v>
      </c>
      <c r="P6408">
        <v>807.78</v>
      </c>
    </row>
    <row r="6409" spans="1:16" x14ac:dyDescent="0.25">
      <c r="A6409" t="s">
        <v>3296</v>
      </c>
      <c r="B6409" t="s">
        <v>2931</v>
      </c>
      <c r="C6409">
        <v>4417</v>
      </c>
      <c r="D6409" t="str">
        <f t="shared" si="113"/>
        <v xml:space="preserve">2560275101  </v>
      </c>
      <c r="E6409" t="s">
        <v>277</v>
      </c>
      <c r="F6409" t="s">
        <v>279</v>
      </c>
      <c r="G6409">
        <v>2.71</v>
      </c>
      <c r="H6409">
        <v>250331</v>
      </c>
      <c r="I6409">
        <v>4520</v>
      </c>
      <c r="J6409" t="s">
        <v>280</v>
      </c>
      <c r="K6409">
        <v>5829.23</v>
      </c>
      <c r="L6409">
        <v>0.55000000000000004</v>
      </c>
      <c r="M6409">
        <v>14640</v>
      </c>
      <c r="N6409" t="s">
        <v>78</v>
      </c>
      <c r="O6409">
        <v>250411</v>
      </c>
      <c r="P6409">
        <v>2.16</v>
      </c>
    </row>
    <row r="6410" spans="1:16" x14ac:dyDescent="0.25">
      <c r="A6410" t="s">
        <v>3296</v>
      </c>
      <c r="B6410" t="s">
        <v>2931</v>
      </c>
      <c r="C6410">
        <v>4417</v>
      </c>
      <c r="D6410" t="str">
        <f t="shared" si="113"/>
        <v xml:space="preserve">2560275101  </v>
      </c>
      <c r="E6410" t="s">
        <v>277</v>
      </c>
      <c r="F6410" t="s">
        <v>279</v>
      </c>
      <c r="G6410">
        <v>54.16</v>
      </c>
      <c r="H6410">
        <v>250331</v>
      </c>
      <c r="I6410">
        <v>4520</v>
      </c>
      <c r="J6410" t="s">
        <v>280</v>
      </c>
      <c r="K6410">
        <v>5829.23</v>
      </c>
      <c r="L6410">
        <v>6.65</v>
      </c>
      <c r="M6410">
        <v>14640</v>
      </c>
      <c r="N6410" t="s">
        <v>78</v>
      </c>
      <c r="O6410">
        <v>250411</v>
      </c>
      <c r="P6410">
        <v>47.51</v>
      </c>
    </row>
    <row r="6411" spans="1:16" x14ac:dyDescent="0.25">
      <c r="A6411" t="s">
        <v>3296</v>
      </c>
      <c r="B6411" t="s">
        <v>2931</v>
      </c>
      <c r="C6411">
        <v>4417</v>
      </c>
      <c r="D6411" t="str">
        <f t="shared" si="113"/>
        <v xml:space="preserve">2560275101  </v>
      </c>
      <c r="E6411" t="s">
        <v>277</v>
      </c>
      <c r="F6411" t="s">
        <v>279</v>
      </c>
      <c r="G6411">
        <v>10.82</v>
      </c>
      <c r="H6411">
        <v>250331</v>
      </c>
      <c r="I6411">
        <v>4520</v>
      </c>
      <c r="J6411" t="s">
        <v>280</v>
      </c>
      <c r="K6411">
        <v>5829.23</v>
      </c>
      <c r="L6411">
        <v>2.2000000000000002</v>
      </c>
      <c r="M6411">
        <v>14642</v>
      </c>
      <c r="N6411" t="s">
        <v>283</v>
      </c>
      <c r="O6411">
        <v>250411</v>
      </c>
      <c r="P6411">
        <v>8.6199999999999992</v>
      </c>
    </row>
    <row r="6412" spans="1:16" x14ac:dyDescent="0.25">
      <c r="A6412" t="s">
        <v>3296</v>
      </c>
      <c r="B6412" t="s">
        <v>2931</v>
      </c>
      <c r="C6412">
        <v>4417</v>
      </c>
      <c r="D6412" t="str">
        <f t="shared" si="113"/>
        <v xml:space="preserve">2560275101  </v>
      </c>
      <c r="E6412" t="s">
        <v>277</v>
      </c>
      <c r="F6412" t="s">
        <v>279</v>
      </c>
      <c r="G6412">
        <v>216.68</v>
      </c>
      <c r="H6412">
        <v>250331</v>
      </c>
      <c r="I6412">
        <v>4520</v>
      </c>
      <c r="J6412" t="s">
        <v>280</v>
      </c>
      <c r="K6412">
        <v>5829.23</v>
      </c>
      <c r="L6412">
        <v>26.61</v>
      </c>
      <c r="M6412">
        <v>14642</v>
      </c>
      <c r="N6412" t="s">
        <v>283</v>
      </c>
      <c r="O6412">
        <v>250411</v>
      </c>
      <c r="P6412">
        <v>190.07</v>
      </c>
    </row>
    <row r="6413" spans="1:16" x14ac:dyDescent="0.25">
      <c r="A6413" t="s">
        <v>3296</v>
      </c>
      <c r="B6413" t="s">
        <v>2931</v>
      </c>
      <c r="C6413">
        <v>4417</v>
      </c>
      <c r="D6413" t="str">
        <f t="shared" si="113"/>
        <v xml:space="preserve">2560275101  </v>
      </c>
      <c r="E6413" t="s">
        <v>277</v>
      </c>
      <c r="F6413" t="s">
        <v>279</v>
      </c>
      <c r="G6413">
        <v>197.44</v>
      </c>
      <c r="H6413">
        <v>250331</v>
      </c>
      <c r="I6413">
        <v>4520</v>
      </c>
      <c r="J6413" t="s">
        <v>280</v>
      </c>
      <c r="K6413">
        <v>5829.23</v>
      </c>
      <c r="L6413">
        <v>40.119999999999997</v>
      </c>
      <c r="M6413">
        <v>14912</v>
      </c>
      <c r="N6413" t="s">
        <v>80</v>
      </c>
      <c r="O6413">
        <v>250411</v>
      </c>
      <c r="P6413">
        <v>157.32</v>
      </c>
    </row>
    <row r="6414" spans="1:16" x14ac:dyDescent="0.25">
      <c r="A6414" t="s">
        <v>3296</v>
      </c>
      <c r="B6414" t="s">
        <v>2931</v>
      </c>
      <c r="C6414">
        <v>4417</v>
      </c>
      <c r="D6414" t="str">
        <f t="shared" si="113"/>
        <v xml:space="preserve">2560275101  </v>
      </c>
      <c r="E6414" t="s">
        <v>277</v>
      </c>
      <c r="F6414" t="s">
        <v>279</v>
      </c>
      <c r="G6414">
        <v>3954.32</v>
      </c>
      <c r="H6414">
        <v>250331</v>
      </c>
      <c r="I6414">
        <v>4520</v>
      </c>
      <c r="J6414" t="s">
        <v>280</v>
      </c>
      <c r="K6414">
        <v>5829.23</v>
      </c>
      <c r="L6414">
        <v>485.62</v>
      </c>
      <c r="M6414">
        <v>14912</v>
      </c>
      <c r="N6414" t="s">
        <v>80</v>
      </c>
      <c r="O6414">
        <v>250411</v>
      </c>
      <c r="P6414">
        <v>3468.7</v>
      </c>
    </row>
    <row r="6415" spans="1:16" x14ac:dyDescent="0.25">
      <c r="A6415" t="s">
        <v>3296</v>
      </c>
      <c r="B6415" t="s">
        <v>2931</v>
      </c>
      <c r="C6415">
        <v>4417</v>
      </c>
      <c r="D6415" t="str">
        <f t="shared" si="113"/>
        <v xml:space="preserve">2560275101  </v>
      </c>
      <c r="E6415" t="s">
        <v>277</v>
      </c>
      <c r="F6415" t="s">
        <v>279</v>
      </c>
      <c r="G6415">
        <v>141.88</v>
      </c>
      <c r="H6415">
        <v>250331</v>
      </c>
      <c r="I6415">
        <v>4520</v>
      </c>
      <c r="J6415" t="s">
        <v>280</v>
      </c>
      <c r="K6415">
        <v>5829.23</v>
      </c>
      <c r="L6415">
        <v>17.420000000000002</v>
      </c>
      <c r="M6415">
        <v>14990</v>
      </c>
      <c r="N6415" t="s">
        <v>85</v>
      </c>
      <c r="O6415">
        <v>250411</v>
      </c>
      <c r="P6415">
        <v>124.46</v>
      </c>
    </row>
    <row r="6416" spans="1:16" x14ac:dyDescent="0.25">
      <c r="A6416" t="s">
        <v>3296</v>
      </c>
      <c r="B6416" t="s">
        <v>2931</v>
      </c>
      <c r="C6416">
        <v>4420</v>
      </c>
      <c r="D6416" t="str">
        <f>"2560275096  "</f>
        <v xml:space="preserve">2560275096  </v>
      </c>
      <c r="E6416" t="s">
        <v>277</v>
      </c>
      <c r="F6416" t="s">
        <v>279</v>
      </c>
      <c r="G6416">
        <v>1162</v>
      </c>
      <c r="H6416">
        <v>250331</v>
      </c>
      <c r="I6416">
        <v>4520</v>
      </c>
      <c r="J6416" t="s">
        <v>280</v>
      </c>
      <c r="K6416">
        <v>1939.43</v>
      </c>
      <c r="L6416">
        <v>142.69999999999999</v>
      </c>
      <c r="M6416">
        <v>59113</v>
      </c>
      <c r="N6416" t="s">
        <v>61</v>
      </c>
      <c r="O6416">
        <v>250411</v>
      </c>
      <c r="P6416">
        <v>1019.3</v>
      </c>
    </row>
    <row r="6417" spans="1:16" x14ac:dyDescent="0.25">
      <c r="A6417" t="s">
        <v>3296</v>
      </c>
      <c r="B6417" t="s">
        <v>2931</v>
      </c>
      <c r="C6417">
        <v>4420</v>
      </c>
      <c r="D6417" t="str">
        <f>"2560275096  "</f>
        <v xml:space="preserve">2560275096  </v>
      </c>
      <c r="E6417" t="s">
        <v>277</v>
      </c>
      <c r="F6417" t="s">
        <v>279</v>
      </c>
      <c r="G6417">
        <v>286.83</v>
      </c>
      <c r="H6417">
        <v>250331</v>
      </c>
      <c r="I6417">
        <v>4520</v>
      </c>
      <c r="J6417" t="s">
        <v>280</v>
      </c>
      <c r="K6417">
        <v>1939.43</v>
      </c>
      <c r="L6417">
        <v>35.22</v>
      </c>
      <c r="M6417">
        <v>59803</v>
      </c>
      <c r="N6417" t="s">
        <v>282</v>
      </c>
      <c r="O6417">
        <v>250411</v>
      </c>
      <c r="P6417">
        <v>251.61</v>
      </c>
    </row>
    <row r="6418" spans="1:16" x14ac:dyDescent="0.25">
      <c r="A6418" t="s">
        <v>3296</v>
      </c>
      <c r="B6418" t="s">
        <v>2931</v>
      </c>
      <c r="C6418">
        <v>4420</v>
      </c>
      <c r="D6418" t="str">
        <f>"2560275096  "</f>
        <v xml:space="preserve">2560275096  </v>
      </c>
      <c r="E6418" t="s">
        <v>277</v>
      </c>
      <c r="F6418" t="s">
        <v>279</v>
      </c>
      <c r="G6418">
        <v>463.4</v>
      </c>
      <c r="H6418">
        <v>250331</v>
      </c>
      <c r="I6418">
        <v>4520</v>
      </c>
      <c r="J6418" t="s">
        <v>280</v>
      </c>
      <c r="K6418">
        <v>1939.43</v>
      </c>
      <c r="L6418">
        <v>56.91</v>
      </c>
      <c r="M6418">
        <v>59805</v>
      </c>
      <c r="N6418" t="s">
        <v>1404</v>
      </c>
      <c r="O6418">
        <v>250411</v>
      </c>
      <c r="P6418">
        <v>406.49</v>
      </c>
    </row>
    <row r="6419" spans="1:16" x14ac:dyDescent="0.25">
      <c r="A6419" t="s">
        <v>3296</v>
      </c>
      <c r="B6419" t="s">
        <v>2931</v>
      </c>
      <c r="C6419">
        <v>4432</v>
      </c>
      <c r="D6419" t="str">
        <f>"2560275104  "</f>
        <v xml:space="preserve">2560275104  </v>
      </c>
      <c r="E6419" t="s">
        <v>277</v>
      </c>
      <c r="F6419" t="s">
        <v>279</v>
      </c>
      <c r="G6419">
        <v>215.18</v>
      </c>
      <c r="H6419">
        <v>250331</v>
      </c>
      <c r="I6419">
        <v>4520</v>
      </c>
      <c r="J6419" t="s">
        <v>280</v>
      </c>
      <c r="K6419">
        <v>256.08999999999997</v>
      </c>
      <c r="L6419">
        <v>26.43</v>
      </c>
      <c r="M6419">
        <v>13940</v>
      </c>
      <c r="N6419" t="s">
        <v>14</v>
      </c>
      <c r="O6419">
        <v>250411</v>
      </c>
      <c r="P6419">
        <v>188.75</v>
      </c>
    </row>
    <row r="6420" spans="1:16" x14ac:dyDescent="0.25">
      <c r="A6420" t="s">
        <v>3296</v>
      </c>
      <c r="B6420" t="s">
        <v>2931</v>
      </c>
      <c r="C6420">
        <v>4464</v>
      </c>
      <c r="D6420" t="str">
        <f>"2560275099  "</f>
        <v xml:space="preserve">2560275099  </v>
      </c>
      <c r="E6420" t="s">
        <v>277</v>
      </c>
      <c r="F6420" t="s">
        <v>279</v>
      </c>
      <c r="G6420">
        <v>24.75</v>
      </c>
      <c r="H6420">
        <v>250331</v>
      </c>
      <c r="I6420">
        <v>4520</v>
      </c>
      <c r="J6420" t="s">
        <v>280</v>
      </c>
      <c r="K6420">
        <v>1324.33</v>
      </c>
      <c r="L6420">
        <v>5.03</v>
      </c>
      <c r="M6420">
        <v>17915</v>
      </c>
      <c r="N6420" t="s">
        <v>305</v>
      </c>
      <c r="O6420">
        <v>250411</v>
      </c>
      <c r="P6420">
        <v>19.72</v>
      </c>
    </row>
    <row r="6421" spans="1:16" x14ac:dyDescent="0.25">
      <c r="A6421" t="s">
        <v>3296</v>
      </c>
      <c r="B6421" t="s">
        <v>2931</v>
      </c>
      <c r="C6421">
        <v>4464</v>
      </c>
      <c r="D6421" t="str">
        <f>"2560275099  "</f>
        <v xml:space="preserve">2560275099  </v>
      </c>
      <c r="E6421" t="s">
        <v>277</v>
      </c>
      <c r="F6421" t="s">
        <v>279</v>
      </c>
      <c r="G6421">
        <v>1167.1300000000001</v>
      </c>
      <c r="H6421">
        <v>250331</v>
      </c>
      <c r="I6421">
        <v>4520</v>
      </c>
      <c r="J6421" t="s">
        <v>280</v>
      </c>
      <c r="K6421">
        <v>1324.33</v>
      </c>
      <c r="L6421">
        <v>143.33000000000001</v>
      </c>
      <c r="M6421">
        <v>17915</v>
      </c>
      <c r="N6421" t="s">
        <v>305</v>
      </c>
      <c r="O6421">
        <v>250411</v>
      </c>
      <c r="P6421">
        <v>1023.8</v>
      </c>
    </row>
    <row r="6422" spans="1:16" x14ac:dyDescent="0.25">
      <c r="A6422" t="s">
        <v>3296</v>
      </c>
      <c r="B6422" t="s">
        <v>2931</v>
      </c>
      <c r="C6422">
        <v>4464</v>
      </c>
      <c r="D6422" t="str">
        <f>"2560275099  "</f>
        <v xml:space="preserve">2560275099  </v>
      </c>
      <c r="E6422" t="s">
        <v>277</v>
      </c>
      <c r="F6422" t="s">
        <v>279</v>
      </c>
      <c r="G6422">
        <v>2.75</v>
      </c>
      <c r="H6422">
        <v>250331</v>
      </c>
      <c r="I6422">
        <v>4520</v>
      </c>
      <c r="J6422" t="s">
        <v>280</v>
      </c>
      <c r="K6422">
        <v>1324.33</v>
      </c>
      <c r="L6422">
        <v>0.56000000000000005</v>
      </c>
      <c r="M6422">
        <v>17982</v>
      </c>
      <c r="N6422" t="s">
        <v>281</v>
      </c>
      <c r="O6422">
        <v>250411</v>
      </c>
      <c r="P6422">
        <v>2.19</v>
      </c>
    </row>
    <row r="6423" spans="1:16" x14ac:dyDescent="0.25">
      <c r="A6423" t="s">
        <v>3296</v>
      </c>
      <c r="B6423" t="s">
        <v>2931</v>
      </c>
      <c r="C6423">
        <v>4464</v>
      </c>
      <c r="D6423" t="str">
        <f>"2560275099  "</f>
        <v xml:space="preserve">2560275099  </v>
      </c>
      <c r="E6423" t="s">
        <v>277</v>
      </c>
      <c r="F6423" t="s">
        <v>279</v>
      </c>
      <c r="G6423">
        <v>129.69999999999999</v>
      </c>
      <c r="H6423">
        <v>250331</v>
      </c>
      <c r="I6423">
        <v>4520</v>
      </c>
      <c r="J6423" t="s">
        <v>280</v>
      </c>
      <c r="K6423">
        <v>1324.33</v>
      </c>
      <c r="L6423">
        <v>15.93</v>
      </c>
      <c r="M6423">
        <v>17982</v>
      </c>
      <c r="N6423" t="s">
        <v>281</v>
      </c>
      <c r="O6423">
        <v>250411</v>
      </c>
      <c r="P6423">
        <v>113.77</v>
      </c>
    </row>
    <row r="6424" spans="1:16" x14ac:dyDescent="0.25">
      <c r="A6424" t="s">
        <v>3296</v>
      </c>
      <c r="B6424" t="s">
        <v>2931</v>
      </c>
      <c r="C6424">
        <v>4467</v>
      </c>
      <c r="D6424" t="str">
        <f>"2560275094  "</f>
        <v xml:space="preserve">2560275094  </v>
      </c>
      <c r="E6424" t="s">
        <v>277</v>
      </c>
      <c r="F6424" t="s">
        <v>279</v>
      </c>
      <c r="G6424">
        <v>889.86</v>
      </c>
      <c r="H6424">
        <v>250331</v>
      </c>
      <c r="I6424">
        <v>4520</v>
      </c>
      <c r="J6424" t="s">
        <v>280</v>
      </c>
      <c r="K6424">
        <v>976.18</v>
      </c>
      <c r="L6424">
        <v>109.28</v>
      </c>
      <c r="M6424">
        <v>59114</v>
      </c>
      <c r="N6424" t="s">
        <v>299</v>
      </c>
      <c r="O6424">
        <v>250411</v>
      </c>
      <c r="P6424">
        <v>780.58</v>
      </c>
    </row>
    <row r="6425" spans="1:16" x14ac:dyDescent="0.25">
      <c r="A6425" t="s">
        <v>3296</v>
      </c>
      <c r="B6425" t="s">
        <v>2931</v>
      </c>
      <c r="C6425">
        <v>4467</v>
      </c>
      <c r="D6425" t="str">
        <f>"2560275094  "</f>
        <v xml:space="preserve">2560275094  </v>
      </c>
      <c r="E6425" t="s">
        <v>277</v>
      </c>
      <c r="F6425" t="s">
        <v>279</v>
      </c>
      <c r="G6425">
        <v>98.87</v>
      </c>
      <c r="H6425">
        <v>250331</v>
      </c>
      <c r="I6425">
        <v>4520</v>
      </c>
      <c r="J6425" t="s">
        <v>280</v>
      </c>
      <c r="K6425">
        <v>976.18</v>
      </c>
      <c r="L6425">
        <v>12.14</v>
      </c>
      <c r="M6425">
        <v>59808</v>
      </c>
      <c r="N6425" t="s">
        <v>699</v>
      </c>
      <c r="O6425">
        <v>250411</v>
      </c>
      <c r="P6425">
        <v>86.73</v>
      </c>
    </row>
    <row r="6426" spans="1:16" x14ac:dyDescent="0.25">
      <c r="A6426" t="s">
        <v>3296</v>
      </c>
      <c r="B6426" t="s">
        <v>2931</v>
      </c>
      <c r="C6426">
        <v>4475</v>
      </c>
      <c r="D6426" t="str">
        <f>"2560275103  "</f>
        <v xml:space="preserve">2560275103  </v>
      </c>
      <c r="E6426" t="s">
        <v>277</v>
      </c>
      <c r="F6426" t="s">
        <v>279</v>
      </c>
      <c r="G6426">
        <v>2598.25</v>
      </c>
      <c r="H6426">
        <v>250331</v>
      </c>
      <c r="I6426">
        <v>4520</v>
      </c>
      <c r="J6426" t="s">
        <v>280</v>
      </c>
      <c r="K6426">
        <v>2975.13</v>
      </c>
      <c r="L6426">
        <v>319.08</v>
      </c>
      <c r="M6426">
        <v>69112</v>
      </c>
      <c r="N6426" t="s">
        <v>227</v>
      </c>
      <c r="O6426">
        <v>250411</v>
      </c>
      <c r="P6426">
        <v>2279.17</v>
      </c>
    </row>
    <row r="6427" spans="1:16" x14ac:dyDescent="0.25">
      <c r="A6427" t="s">
        <v>3296</v>
      </c>
      <c r="B6427" t="s">
        <v>2931</v>
      </c>
      <c r="C6427">
        <v>4475</v>
      </c>
      <c r="D6427" t="str">
        <f>"2560275103  "</f>
        <v xml:space="preserve">2560275103  </v>
      </c>
      <c r="E6427" t="s">
        <v>277</v>
      </c>
      <c r="F6427" t="s">
        <v>279</v>
      </c>
      <c r="G6427">
        <v>144.35</v>
      </c>
      <c r="H6427">
        <v>250331</v>
      </c>
      <c r="I6427">
        <v>4520</v>
      </c>
      <c r="J6427" t="s">
        <v>280</v>
      </c>
      <c r="K6427">
        <v>2975.13</v>
      </c>
      <c r="L6427">
        <v>17.73</v>
      </c>
      <c r="M6427">
        <v>69810</v>
      </c>
      <c r="N6427" t="s">
        <v>229</v>
      </c>
      <c r="O6427">
        <v>250411</v>
      </c>
      <c r="P6427">
        <v>126.62</v>
      </c>
    </row>
    <row r="6428" spans="1:16" x14ac:dyDescent="0.25">
      <c r="A6428" t="s">
        <v>3296</v>
      </c>
      <c r="B6428" t="s">
        <v>2931</v>
      </c>
      <c r="C6428">
        <v>4475</v>
      </c>
      <c r="D6428" t="str">
        <f>"2560275103  "</f>
        <v xml:space="preserve">2560275103  </v>
      </c>
      <c r="E6428" t="s">
        <v>277</v>
      </c>
      <c r="F6428" t="s">
        <v>279</v>
      </c>
      <c r="G6428">
        <v>144.34</v>
      </c>
      <c r="H6428">
        <v>250331</v>
      </c>
      <c r="I6428">
        <v>4520</v>
      </c>
      <c r="J6428" t="s">
        <v>280</v>
      </c>
      <c r="K6428">
        <v>2975.13</v>
      </c>
      <c r="L6428">
        <v>17.73</v>
      </c>
      <c r="M6428">
        <v>69811</v>
      </c>
      <c r="N6428" t="s">
        <v>230</v>
      </c>
      <c r="O6428">
        <v>250411</v>
      </c>
      <c r="P6428">
        <v>126.61</v>
      </c>
    </row>
    <row r="6429" spans="1:16" x14ac:dyDescent="0.25">
      <c r="A6429" t="s">
        <v>3296</v>
      </c>
      <c r="B6429" t="s">
        <v>2931</v>
      </c>
      <c r="C6429">
        <v>4873</v>
      </c>
      <c r="D6429" t="str">
        <f>"2560320681  "</f>
        <v xml:space="preserve">2560320681  </v>
      </c>
      <c r="E6429" t="s">
        <v>277</v>
      </c>
      <c r="F6429" t="s">
        <v>279</v>
      </c>
      <c r="G6429">
        <v>797.8</v>
      </c>
      <c r="H6429">
        <v>250407</v>
      </c>
      <c r="I6429">
        <v>4520</v>
      </c>
      <c r="J6429" t="s">
        <v>280</v>
      </c>
      <c r="K6429">
        <v>1014.65</v>
      </c>
      <c r="L6429">
        <v>97.98</v>
      </c>
      <c r="M6429">
        <v>69112</v>
      </c>
      <c r="N6429" t="s">
        <v>227</v>
      </c>
      <c r="O6429">
        <v>250416</v>
      </c>
      <c r="P6429">
        <v>699.82</v>
      </c>
    </row>
    <row r="6430" spans="1:16" x14ac:dyDescent="0.25">
      <c r="A6430" t="s">
        <v>3296</v>
      </c>
      <c r="B6430" t="s">
        <v>2931</v>
      </c>
      <c r="C6430">
        <v>4873</v>
      </c>
      <c r="D6430" t="str">
        <f>"2560320681  "</f>
        <v xml:space="preserve">2560320681  </v>
      </c>
      <c r="E6430" t="s">
        <v>277</v>
      </c>
      <c r="F6430" t="s">
        <v>279</v>
      </c>
      <c r="G6430">
        <v>44.32</v>
      </c>
      <c r="H6430">
        <v>250407</v>
      </c>
      <c r="I6430">
        <v>4520</v>
      </c>
      <c r="J6430" t="s">
        <v>280</v>
      </c>
      <c r="K6430">
        <v>1014.65</v>
      </c>
      <c r="L6430">
        <v>5.44</v>
      </c>
      <c r="M6430">
        <v>69810</v>
      </c>
      <c r="N6430" t="s">
        <v>229</v>
      </c>
      <c r="O6430">
        <v>250416</v>
      </c>
      <c r="P6430">
        <v>38.880000000000003</v>
      </c>
    </row>
    <row r="6431" spans="1:16" x14ac:dyDescent="0.25">
      <c r="A6431" t="s">
        <v>3296</v>
      </c>
      <c r="B6431" t="s">
        <v>2931</v>
      </c>
      <c r="C6431">
        <v>4873</v>
      </c>
      <c r="D6431" t="str">
        <f>"2560320681  "</f>
        <v xml:space="preserve">2560320681  </v>
      </c>
      <c r="E6431" t="s">
        <v>277</v>
      </c>
      <c r="F6431" t="s">
        <v>279</v>
      </c>
      <c r="G6431">
        <v>44.32</v>
      </c>
      <c r="H6431">
        <v>250407</v>
      </c>
      <c r="I6431">
        <v>4520</v>
      </c>
      <c r="J6431" t="s">
        <v>280</v>
      </c>
      <c r="K6431">
        <v>1014.65</v>
      </c>
      <c r="L6431">
        <v>5.44</v>
      </c>
      <c r="M6431">
        <v>69811</v>
      </c>
      <c r="N6431" t="s">
        <v>230</v>
      </c>
      <c r="O6431">
        <v>250416</v>
      </c>
      <c r="P6431">
        <v>38.880000000000003</v>
      </c>
    </row>
    <row r="6432" spans="1:16" x14ac:dyDescent="0.25">
      <c r="A6432" t="s">
        <v>3296</v>
      </c>
      <c r="B6432" t="s">
        <v>2931</v>
      </c>
      <c r="C6432">
        <v>4883</v>
      </c>
      <c r="D6432" t="str">
        <f>"2560320675  "</f>
        <v xml:space="preserve">2560320675  </v>
      </c>
      <c r="E6432" t="s">
        <v>277</v>
      </c>
      <c r="F6432" t="s">
        <v>279</v>
      </c>
      <c r="G6432">
        <v>1722.92</v>
      </c>
      <c r="H6432">
        <v>250407</v>
      </c>
      <c r="I6432">
        <v>4520</v>
      </c>
      <c r="J6432" t="s">
        <v>280</v>
      </c>
      <c r="K6432">
        <v>2180.96</v>
      </c>
      <c r="L6432">
        <v>211.59</v>
      </c>
      <c r="M6432">
        <v>69113</v>
      </c>
      <c r="N6432" t="s">
        <v>122</v>
      </c>
      <c r="O6432">
        <v>250416</v>
      </c>
      <c r="P6432">
        <v>1511.33</v>
      </c>
    </row>
    <row r="6433" spans="1:16" x14ac:dyDescent="0.25">
      <c r="A6433" t="s">
        <v>3296</v>
      </c>
      <c r="B6433" t="s">
        <v>2931</v>
      </c>
      <c r="C6433">
        <v>4883</v>
      </c>
      <c r="D6433" t="str">
        <f>"2560320675  "</f>
        <v xml:space="preserve">2560320675  </v>
      </c>
      <c r="E6433" t="s">
        <v>277</v>
      </c>
      <c r="F6433" t="s">
        <v>279</v>
      </c>
      <c r="G6433">
        <v>202.7</v>
      </c>
      <c r="H6433">
        <v>250407</v>
      </c>
      <c r="I6433">
        <v>4520</v>
      </c>
      <c r="J6433" t="s">
        <v>280</v>
      </c>
      <c r="K6433">
        <v>2180.96</v>
      </c>
      <c r="L6433">
        <v>24.89</v>
      </c>
      <c r="M6433">
        <v>69802</v>
      </c>
      <c r="N6433" t="s">
        <v>375</v>
      </c>
      <c r="O6433">
        <v>250416</v>
      </c>
      <c r="P6433">
        <v>177.81</v>
      </c>
    </row>
    <row r="6434" spans="1:16" x14ac:dyDescent="0.25">
      <c r="A6434" t="s">
        <v>3296</v>
      </c>
      <c r="B6434" t="s">
        <v>2931</v>
      </c>
      <c r="C6434">
        <v>4883</v>
      </c>
      <c r="D6434" t="str">
        <f>"2560320675  "</f>
        <v xml:space="preserve">2560320675  </v>
      </c>
      <c r="E6434" t="s">
        <v>277</v>
      </c>
      <c r="F6434" t="s">
        <v>279</v>
      </c>
      <c r="G6434">
        <v>101.35</v>
      </c>
      <c r="H6434">
        <v>250407</v>
      </c>
      <c r="I6434">
        <v>4520</v>
      </c>
      <c r="J6434" t="s">
        <v>280</v>
      </c>
      <c r="K6434">
        <v>2180.96</v>
      </c>
      <c r="L6434">
        <v>12.45</v>
      </c>
      <c r="M6434">
        <v>69804</v>
      </c>
      <c r="N6434" t="s">
        <v>376</v>
      </c>
      <c r="O6434">
        <v>250416</v>
      </c>
      <c r="P6434">
        <v>88.9</v>
      </c>
    </row>
    <row r="6435" spans="1:16" x14ac:dyDescent="0.25">
      <c r="A6435" t="s">
        <v>3296</v>
      </c>
      <c r="B6435" t="s">
        <v>2931</v>
      </c>
      <c r="C6435">
        <v>4908</v>
      </c>
      <c r="D6435" t="str">
        <f t="shared" ref="D6435:D6440" si="114">"2560320678  "</f>
        <v xml:space="preserve">2560320678  </v>
      </c>
      <c r="E6435" t="s">
        <v>277</v>
      </c>
      <c r="F6435" t="s">
        <v>279</v>
      </c>
      <c r="G6435">
        <v>100</v>
      </c>
      <c r="H6435">
        <v>250407</v>
      </c>
      <c r="I6435">
        <v>4520</v>
      </c>
      <c r="J6435" t="s">
        <v>280</v>
      </c>
      <c r="K6435">
        <v>2675.85</v>
      </c>
      <c r="L6435">
        <v>12.28</v>
      </c>
      <c r="M6435">
        <v>16431</v>
      </c>
      <c r="N6435" t="s">
        <v>17</v>
      </c>
      <c r="O6435">
        <v>250416</v>
      </c>
      <c r="P6435">
        <v>87.72</v>
      </c>
    </row>
    <row r="6436" spans="1:16" x14ac:dyDescent="0.25">
      <c r="A6436" t="s">
        <v>3296</v>
      </c>
      <c r="B6436" t="s">
        <v>2931</v>
      </c>
      <c r="C6436">
        <v>4908</v>
      </c>
      <c r="D6436" t="str">
        <f t="shared" si="114"/>
        <v xml:space="preserve">2560320678  </v>
      </c>
      <c r="E6436" t="s">
        <v>277</v>
      </c>
      <c r="F6436" t="s">
        <v>279</v>
      </c>
      <c r="G6436">
        <v>373.73</v>
      </c>
      <c r="H6436">
        <v>250407</v>
      </c>
      <c r="I6436">
        <v>4520</v>
      </c>
      <c r="J6436" t="s">
        <v>280</v>
      </c>
      <c r="K6436">
        <v>2675.85</v>
      </c>
      <c r="L6436">
        <v>45.9</v>
      </c>
      <c r="M6436">
        <v>16441</v>
      </c>
      <c r="N6436" t="s">
        <v>1674</v>
      </c>
      <c r="O6436">
        <v>250416</v>
      </c>
      <c r="P6436">
        <v>327.83</v>
      </c>
    </row>
    <row r="6437" spans="1:16" x14ac:dyDescent="0.25">
      <c r="A6437" t="s">
        <v>3296</v>
      </c>
      <c r="B6437" t="s">
        <v>2931</v>
      </c>
      <c r="C6437">
        <v>4908</v>
      </c>
      <c r="D6437" t="str">
        <f t="shared" si="114"/>
        <v xml:space="preserve">2560320678  </v>
      </c>
      <c r="E6437" t="s">
        <v>277</v>
      </c>
      <c r="F6437" t="s">
        <v>279</v>
      </c>
      <c r="G6437">
        <v>95.75</v>
      </c>
      <c r="H6437">
        <v>250407</v>
      </c>
      <c r="I6437">
        <v>4520</v>
      </c>
      <c r="J6437" t="s">
        <v>280</v>
      </c>
      <c r="K6437">
        <v>2675.85</v>
      </c>
      <c r="L6437">
        <v>11.76</v>
      </c>
      <c r="M6437">
        <v>16442</v>
      </c>
      <c r="N6437" t="s">
        <v>304</v>
      </c>
      <c r="O6437">
        <v>250416</v>
      </c>
      <c r="P6437">
        <v>83.99</v>
      </c>
    </row>
    <row r="6438" spans="1:16" x14ac:dyDescent="0.25">
      <c r="A6438" t="s">
        <v>3296</v>
      </c>
      <c r="B6438" t="s">
        <v>2931</v>
      </c>
      <c r="C6438">
        <v>4908</v>
      </c>
      <c r="D6438" t="str">
        <f t="shared" si="114"/>
        <v xml:space="preserve">2560320678  </v>
      </c>
      <c r="E6438" t="s">
        <v>277</v>
      </c>
      <c r="F6438" t="s">
        <v>279</v>
      </c>
      <c r="G6438">
        <v>-25.1</v>
      </c>
      <c r="H6438">
        <v>250407</v>
      </c>
      <c r="I6438">
        <v>4520</v>
      </c>
      <c r="J6438" t="s">
        <v>280</v>
      </c>
      <c r="K6438">
        <v>2675.85</v>
      </c>
      <c r="L6438">
        <v>-5.0999999999999996</v>
      </c>
      <c r="M6438">
        <v>17913</v>
      </c>
      <c r="N6438" t="s">
        <v>26</v>
      </c>
      <c r="O6438">
        <v>250416</v>
      </c>
      <c r="P6438">
        <v>-20</v>
      </c>
    </row>
    <row r="6439" spans="1:16" x14ac:dyDescent="0.25">
      <c r="A6439" t="s">
        <v>3296</v>
      </c>
      <c r="B6439" t="s">
        <v>2931</v>
      </c>
      <c r="C6439">
        <v>4908</v>
      </c>
      <c r="D6439" t="str">
        <f t="shared" si="114"/>
        <v xml:space="preserve">2560320678  </v>
      </c>
      <c r="E6439" t="s">
        <v>277</v>
      </c>
      <c r="F6439" t="s">
        <v>279</v>
      </c>
      <c r="G6439">
        <v>1861.37</v>
      </c>
      <c r="H6439">
        <v>250407</v>
      </c>
      <c r="I6439">
        <v>4520</v>
      </c>
      <c r="J6439" t="s">
        <v>280</v>
      </c>
      <c r="K6439">
        <v>2675.85</v>
      </c>
      <c r="L6439">
        <v>228.59</v>
      </c>
      <c r="M6439">
        <v>17913</v>
      </c>
      <c r="N6439" t="s">
        <v>26</v>
      </c>
      <c r="O6439">
        <v>250416</v>
      </c>
      <c r="P6439">
        <v>1632.78</v>
      </c>
    </row>
    <row r="6440" spans="1:16" x14ac:dyDescent="0.25">
      <c r="A6440" t="s">
        <v>3296</v>
      </c>
      <c r="B6440" t="s">
        <v>2931</v>
      </c>
      <c r="C6440">
        <v>4908</v>
      </c>
      <c r="D6440" t="str">
        <f t="shared" si="114"/>
        <v xml:space="preserve">2560320678  </v>
      </c>
      <c r="E6440" t="s">
        <v>277</v>
      </c>
      <c r="F6440" t="s">
        <v>279</v>
      </c>
      <c r="G6440">
        <v>270.10000000000002</v>
      </c>
      <c r="H6440">
        <v>250407</v>
      </c>
      <c r="I6440">
        <v>4520</v>
      </c>
      <c r="J6440" t="s">
        <v>280</v>
      </c>
      <c r="K6440">
        <v>2675.85</v>
      </c>
      <c r="L6440">
        <v>33.17</v>
      </c>
      <c r="M6440">
        <v>17982</v>
      </c>
      <c r="N6440" t="s">
        <v>281</v>
      </c>
      <c r="O6440">
        <v>250416</v>
      </c>
      <c r="P6440">
        <v>236.93</v>
      </c>
    </row>
    <row r="6441" spans="1:16" x14ac:dyDescent="0.25">
      <c r="A6441" t="s">
        <v>3296</v>
      </c>
      <c r="B6441" t="s">
        <v>2931</v>
      </c>
      <c r="C6441">
        <v>4918</v>
      </c>
      <c r="D6441" t="str">
        <f>"2560320677  "</f>
        <v xml:space="preserve">2560320677  </v>
      </c>
      <c r="E6441" t="s">
        <v>277</v>
      </c>
      <c r="F6441" t="s">
        <v>279</v>
      </c>
      <c r="G6441">
        <v>92.31</v>
      </c>
      <c r="H6441">
        <v>250407</v>
      </c>
      <c r="I6441">
        <v>4520</v>
      </c>
      <c r="J6441" t="s">
        <v>280</v>
      </c>
      <c r="K6441">
        <v>962.1</v>
      </c>
      <c r="L6441">
        <v>18.760000000000002</v>
      </c>
      <c r="M6441">
        <v>17915</v>
      </c>
      <c r="N6441" t="s">
        <v>305</v>
      </c>
      <c r="O6441">
        <v>250416</v>
      </c>
      <c r="P6441">
        <v>73.55</v>
      </c>
    </row>
    <row r="6442" spans="1:16" x14ac:dyDescent="0.25">
      <c r="A6442" t="s">
        <v>3296</v>
      </c>
      <c r="B6442" t="s">
        <v>2931</v>
      </c>
      <c r="C6442">
        <v>4918</v>
      </c>
      <c r="D6442" t="str">
        <f>"2560320677  "</f>
        <v xml:space="preserve">2560320677  </v>
      </c>
      <c r="E6442" t="s">
        <v>277</v>
      </c>
      <c r="F6442" t="s">
        <v>279</v>
      </c>
      <c r="G6442">
        <v>773.58</v>
      </c>
      <c r="H6442">
        <v>250407</v>
      </c>
      <c r="I6442">
        <v>4520</v>
      </c>
      <c r="J6442" t="s">
        <v>280</v>
      </c>
      <c r="K6442">
        <v>962.1</v>
      </c>
      <c r="L6442">
        <v>95</v>
      </c>
      <c r="M6442">
        <v>17915</v>
      </c>
      <c r="N6442" t="s">
        <v>305</v>
      </c>
      <c r="O6442">
        <v>250416</v>
      </c>
      <c r="P6442">
        <v>678.58</v>
      </c>
    </row>
    <row r="6443" spans="1:16" x14ac:dyDescent="0.25">
      <c r="A6443" t="s">
        <v>3296</v>
      </c>
      <c r="B6443" t="s">
        <v>2931</v>
      </c>
      <c r="C6443">
        <v>4918</v>
      </c>
      <c r="D6443" t="str">
        <f>"2560320677  "</f>
        <v xml:space="preserve">2560320677  </v>
      </c>
      <c r="E6443" t="s">
        <v>277</v>
      </c>
      <c r="F6443" t="s">
        <v>279</v>
      </c>
      <c r="G6443">
        <v>10.26</v>
      </c>
      <c r="H6443">
        <v>250407</v>
      </c>
      <c r="I6443">
        <v>4520</v>
      </c>
      <c r="J6443" t="s">
        <v>280</v>
      </c>
      <c r="K6443">
        <v>962.1</v>
      </c>
      <c r="L6443">
        <v>2.08</v>
      </c>
      <c r="M6443">
        <v>17982</v>
      </c>
      <c r="N6443" t="s">
        <v>281</v>
      </c>
      <c r="O6443">
        <v>250416</v>
      </c>
      <c r="P6443">
        <v>8.18</v>
      </c>
    </row>
    <row r="6444" spans="1:16" x14ac:dyDescent="0.25">
      <c r="A6444" t="s">
        <v>3296</v>
      </c>
      <c r="B6444" t="s">
        <v>2931</v>
      </c>
      <c r="C6444">
        <v>4918</v>
      </c>
      <c r="D6444" t="str">
        <f>"2560320677  "</f>
        <v xml:space="preserve">2560320677  </v>
      </c>
      <c r="E6444" t="s">
        <v>277</v>
      </c>
      <c r="F6444" t="s">
        <v>279</v>
      </c>
      <c r="G6444">
        <v>85.95</v>
      </c>
      <c r="H6444">
        <v>250407</v>
      </c>
      <c r="I6444">
        <v>4520</v>
      </c>
      <c r="J6444" t="s">
        <v>280</v>
      </c>
      <c r="K6444">
        <v>962.1</v>
      </c>
      <c r="L6444">
        <v>10.56</v>
      </c>
      <c r="M6444">
        <v>17982</v>
      </c>
      <c r="N6444" t="s">
        <v>281</v>
      </c>
      <c r="O6444">
        <v>250416</v>
      </c>
      <c r="P6444">
        <v>75.39</v>
      </c>
    </row>
    <row r="6445" spans="1:16" x14ac:dyDescent="0.25">
      <c r="A6445" t="s">
        <v>3296</v>
      </c>
      <c r="B6445" t="s">
        <v>2931</v>
      </c>
      <c r="C6445">
        <v>4922</v>
      </c>
      <c r="D6445" t="str">
        <f>"2560320673  "</f>
        <v xml:space="preserve">2560320673  </v>
      </c>
      <c r="E6445" t="s">
        <v>277</v>
      </c>
      <c r="F6445" t="s">
        <v>279</v>
      </c>
      <c r="G6445">
        <v>415</v>
      </c>
      <c r="H6445">
        <v>250407</v>
      </c>
      <c r="I6445">
        <v>4520</v>
      </c>
      <c r="J6445" t="s">
        <v>280</v>
      </c>
      <c r="K6445">
        <v>1597.4</v>
      </c>
      <c r="L6445">
        <v>50.96</v>
      </c>
      <c r="M6445">
        <v>54451</v>
      </c>
      <c r="N6445" t="s">
        <v>218</v>
      </c>
      <c r="O6445">
        <v>250416</v>
      </c>
      <c r="P6445">
        <v>364.04</v>
      </c>
    </row>
    <row r="6446" spans="1:16" x14ac:dyDescent="0.25">
      <c r="A6446" t="s">
        <v>3296</v>
      </c>
      <c r="B6446" t="s">
        <v>2931</v>
      </c>
      <c r="C6446">
        <v>4922</v>
      </c>
      <c r="D6446" t="str">
        <f>"2560320673  "</f>
        <v xml:space="preserve">2560320673  </v>
      </c>
      <c r="E6446" t="s">
        <v>277</v>
      </c>
      <c r="F6446" t="s">
        <v>279</v>
      </c>
      <c r="G6446">
        <v>999.86</v>
      </c>
      <c r="H6446">
        <v>250407</v>
      </c>
      <c r="I6446">
        <v>4520</v>
      </c>
      <c r="J6446" t="s">
        <v>280</v>
      </c>
      <c r="K6446">
        <v>1597.4</v>
      </c>
      <c r="L6446">
        <v>122.79</v>
      </c>
      <c r="M6446">
        <v>54451</v>
      </c>
      <c r="N6446" t="s">
        <v>218</v>
      </c>
      <c r="O6446">
        <v>250416</v>
      </c>
      <c r="P6446">
        <v>877.07</v>
      </c>
    </row>
    <row r="6447" spans="1:16" x14ac:dyDescent="0.25">
      <c r="A6447" t="s">
        <v>3296</v>
      </c>
      <c r="B6447" t="s">
        <v>2931</v>
      </c>
      <c r="C6447">
        <v>4953</v>
      </c>
      <c r="D6447" t="str">
        <f>"2560320674  "</f>
        <v xml:space="preserve">2560320674  </v>
      </c>
      <c r="E6447" t="s">
        <v>277</v>
      </c>
      <c r="F6447" t="s">
        <v>279</v>
      </c>
      <c r="G6447">
        <v>2153.77</v>
      </c>
      <c r="H6447">
        <v>250407</v>
      </c>
      <c r="I6447">
        <v>4520</v>
      </c>
      <c r="J6447" t="s">
        <v>280</v>
      </c>
      <c r="K6447">
        <v>2533.85</v>
      </c>
      <c r="L6447">
        <v>264.5</v>
      </c>
      <c r="M6447">
        <v>59113</v>
      </c>
      <c r="N6447" t="s">
        <v>61</v>
      </c>
      <c r="O6447">
        <v>250416</v>
      </c>
      <c r="P6447">
        <v>1889.27</v>
      </c>
    </row>
    <row r="6448" spans="1:16" x14ac:dyDescent="0.25">
      <c r="A6448" t="s">
        <v>3296</v>
      </c>
      <c r="B6448" t="s">
        <v>2931</v>
      </c>
      <c r="C6448">
        <v>4953</v>
      </c>
      <c r="D6448" t="str">
        <f>"2560320674  "</f>
        <v xml:space="preserve">2560320674  </v>
      </c>
      <c r="E6448" t="s">
        <v>277</v>
      </c>
      <c r="F6448" t="s">
        <v>279</v>
      </c>
      <c r="G6448">
        <v>380.08</v>
      </c>
      <c r="H6448">
        <v>250407</v>
      </c>
      <c r="I6448">
        <v>4520</v>
      </c>
      <c r="J6448" t="s">
        <v>280</v>
      </c>
      <c r="K6448">
        <v>2533.85</v>
      </c>
      <c r="L6448">
        <v>46.68</v>
      </c>
      <c r="M6448">
        <v>59803</v>
      </c>
      <c r="N6448" t="s">
        <v>282</v>
      </c>
      <c r="O6448">
        <v>250416</v>
      </c>
      <c r="P6448">
        <v>333.4</v>
      </c>
    </row>
    <row r="6449" spans="1:16" x14ac:dyDescent="0.25">
      <c r="A6449" t="s">
        <v>3296</v>
      </c>
      <c r="B6449" t="s">
        <v>2931</v>
      </c>
      <c r="C6449">
        <v>4957</v>
      </c>
      <c r="D6449" t="str">
        <f>"2560320672  "</f>
        <v xml:space="preserve">2560320672  </v>
      </c>
      <c r="E6449" t="s">
        <v>277</v>
      </c>
      <c r="F6449" t="s">
        <v>279</v>
      </c>
      <c r="G6449">
        <v>757.88</v>
      </c>
      <c r="H6449">
        <v>250407</v>
      </c>
      <c r="I6449">
        <v>4520</v>
      </c>
      <c r="J6449" t="s">
        <v>280</v>
      </c>
      <c r="K6449">
        <v>793.06</v>
      </c>
      <c r="L6449">
        <v>93.07</v>
      </c>
      <c r="M6449">
        <v>59114</v>
      </c>
      <c r="N6449" t="s">
        <v>299</v>
      </c>
      <c r="O6449">
        <v>250416</v>
      </c>
      <c r="P6449">
        <v>664.81</v>
      </c>
    </row>
    <row r="6450" spans="1:16" x14ac:dyDescent="0.25">
      <c r="A6450" t="s">
        <v>3296</v>
      </c>
      <c r="B6450" t="s">
        <v>2931</v>
      </c>
      <c r="C6450">
        <v>5128</v>
      </c>
      <c r="D6450" t="str">
        <f t="shared" ref="D6450:D6461" si="115">"2560320679  "</f>
        <v xml:space="preserve">2560320679  </v>
      </c>
      <c r="E6450" t="s">
        <v>277</v>
      </c>
      <c r="F6450" t="s">
        <v>279</v>
      </c>
      <c r="G6450">
        <v>6.04</v>
      </c>
      <c r="H6450">
        <v>250407</v>
      </c>
      <c r="I6450">
        <v>4520</v>
      </c>
      <c r="J6450" t="s">
        <v>280</v>
      </c>
      <c r="K6450">
        <v>4711.25</v>
      </c>
      <c r="L6450">
        <v>1.23</v>
      </c>
      <c r="M6450">
        <v>14422</v>
      </c>
      <c r="N6450" t="s">
        <v>73</v>
      </c>
      <c r="O6450">
        <v>250417</v>
      </c>
      <c r="P6450">
        <v>4.8099999999999996</v>
      </c>
    </row>
    <row r="6451" spans="1:16" x14ac:dyDescent="0.25">
      <c r="A6451" t="s">
        <v>3296</v>
      </c>
      <c r="B6451" t="s">
        <v>2931</v>
      </c>
      <c r="C6451">
        <v>5128</v>
      </c>
      <c r="D6451" t="str">
        <f t="shared" si="115"/>
        <v xml:space="preserve">2560320679  </v>
      </c>
      <c r="E6451" t="s">
        <v>277</v>
      </c>
      <c r="F6451" t="s">
        <v>279</v>
      </c>
      <c r="G6451">
        <v>41.07</v>
      </c>
      <c r="H6451">
        <v>250407</v>
      </c>
      <c r="I6451">
        <v>4520</v>
      </c>
      <c r="J6451" t="s">
        <v>280</v>
      </c>
      <c r="K6451">
        <v>4711.25</v>
      </c>
      <c r="L6451">
        <v>5.04</v>
      </c>
      <c r="M6451">
        <v>14422</v>
      </c>
      <c r="N6451" t="s">
        <v>73</v>
      </c>
      <c r="O6451">
        <v>250417</v>
      </c>
      <c r="P6451">
        <v>36.03</v>
      </c>
    </row>
    <row r="6452" spans="1:16" x14ac:dyDescent="0.25">
      <c r="A6452" t="s">
        <v>3296</v>
      </c>
      <c r="B6452" t="s">
        <v>2931</v>
      </c>
      <c r="C6452">
        <v>5128</v>
      </c>
      <c r="D6452" t="str">
        <f t="shared" si="115"/>
        <v xml:space="preserve">2560320679  </v>
      </c>
      <c r="E6452" t="s">
        <v>277</v>
      </c>
      <c r="F6452" t="s">
        <v>279</v>
      </c>
      <c r="G6452">
        <v>24.17</v>
      </c>
      <c r="H6452">
        <v>250407</v>
      </c>
      <c r="I6452">
        <v>4520</v>
      </c>
      <c r="J6452" t="s">
        <v>280</v>
      </c>
      <c r="K6452">
        <v>4711.25</v>
      </c>
      <c r="L6452">
        <v>4.91</v>
      </c>
      <c r="M6452">
        <v>14431</v>
      </c>
      <c r="N6452" t="s">
        <v>74</v>
      </c>
      <c r="O6452">
        <v>250417</v>
      </c>
      <c r="P6452">
        <v>19.260000000000002</v>
      </c>
    </row>
    <row r="6453" spans="1:16" x14ac:dyDescent="0.25">
      <c r="A6453" t="s">
        <v>3296</v>
      </c>
      <c r="B6453" t="s">
        <v>2931</v>
      </c>
      <c r="C6453">
        <v>5128</v>
      </c>
      <c r="D6453" t="str">
        <f t="shared" si="115"/>
        <v xml:space="preserve">2560320679  </v>
      </c>
      <c r="E6453" t="s">
        <v>277</v>
      </c>
      <c r="F6453" t="s">
        <v>279</v>
      </c>
      <c r="G6453">
        <v>164.28</v>
      </c>
      <c r="H6453">
        <v>250407</v>
      </c>
      <c r="I6453">
        <v>4520</v>
      </c>
      <c r="J6453" t="s">
        <v>280</v>
      </c>
      <c r="K6453">
        <v>4711.25</v>
      </c>
      <c r="L6453">
        <v>20.170000000000002</v>
      </c>
      <c r="M6453">
        <v>14431</v>
      </c>
      <c r="N6453" t="s">
        <v>74</v>
      </c>
      <c r="O6453">
        <v>250417</v>
      </c>
      <c r="P6453">
        <v>144.11000000000001</v>
      </c>
    </row>
    <row r="6454" spans="1:16" x14ac:dyDescent="0.25">
      <c r="A6454" t="s">
        <v>3296</v>
      </c>
      <c r="B6454" t="s">
        <v>2931</v>
      </c>
      <c r="C6454">
        <v>5128</v>
      </c>
      <c r="D6454" t="str">
        <f t="shared" si="115"/>
        <v xml:space="preserve">2560320679  </v>
      </c>
      <c r="E6454" t="s">
        <v>277</v>
      </c>
      <c r="F6454" t="s">
        <v>279</v>
      </c>
      <c r="G6454">
        <v>102.72</v>
      </c>
      <c r="H6454">
        <v>250407</v>
      </c>
      <c r="I6454">
        <v>4520</v>
      </c>
      <c r="J6454" t="s">
        <v>280</v>
      </c>
      <c r="K6454">
        <v>4711.25</v>
      </c>
      <c r="L6454">
        <v>20.87</v>
      </c>
      <c r="M6454">
        <v>14432</v>
      </c>
      <c r="N6454" t="s">
        <v>75</v>
      </c>
      <c r="O6454">
        <v>250417</v>
      </c>
      <c r="P6454">
        <v>81.849999999999994</v>
      </c>
    </row>
    <row r="6455" spans="1:16" x14ac:dyDescent="0.25">
      <c r="A6455" t="s">
        <v>3296</v>
      </c>
      <c r="B6455" t="s">
        <v>2931</v>
      </c>
      <c r="C6455">
        <v>5128</v>
      </c>
      <c r="D6455" t="str">
        <f t="shared" si="115"/>
        <v xml:space="preserve">2560320679  </v>
      </c>
      <c r="E6455" t="s">
        <v>277</v>
      </c>
      <c r="F6455" t="s">
        <v>279</v>
      </c>
      <c r="G6455">
        <v>698.2</v>
      </c>
      <c r="H6455">
        <v>250407</v>
      </c>
      <c r="I6455">
        <v>4520</v>
      </c>
      <c r="J6455" t="s">
        <v>280</v>
      </c>
      <c r="K6455">
        <v>4711.25</v>
      </c>
      <c r="L6455">
        <v>85.74</v>
      </c>
      <c r="M6455">
        <v>14432</v>
      </c>
      <c r="N6455" t="s">
        <v>75</v>
      </c>
      <c r="O6455">
        <v>250417</v>
      </c>
      <c r="P6455">
        <v>612.46</v>
      </c>
    </row>
    <row r="6456" spans="1:16" x14ac:dyDescent="0.25">
      <c r="A6456" t="s">
        <v>3296</v>
      </c>
      <c r="B6456" t="s">
        <v>2931</v>
      </c>
      <c r="C6456">
        <v>5128</v>
      </c>
      <c r="D6456" t="str">
        <f t="shared" si="115"/>
        <v xml:space="preserve">2560320679  </v>
      </c>
      <c r="E6456" t="s">
        <v>277</v>
      </c>
      <c r="F6456" t="s">
        <v>279</v>
      </c>
      <c r="G6456">
        <v>6.04</v>
      </c>
      <c r="H6456">
        <v>250407</v>
      </c>
      <c r="I6456">
        <v>4520</v>
      </c>
      <c r="J6456" t="s">
        <v>280</v>
      </c>
      <c r="K6456">
        <v>4711.25</v>
      </c>
      <c r="L6456">
        <v>1.23</v>
      </c>
      <c r="M6456">
        <v>14640</v>
      </c>
      <c r="N6456" t="s">
        <v>78</v>
      </c>
      <c r="O6456">
        <v>250417</v>
      </c>
      <c r="P6456">
        <v>4.8099999999999996</v>
      </c>
    </row>
    <row r="6457" spans="1:16" x14ac:dyDescent="0.25">
      <c r="A6457" t="s">
        <v>3296</v>
      </c>
      <c r="B6457" t="s">
        <v>2931</v>
      </c>
      <c r="C6457">
        <v>5128</v>
      </c>
      <c r="D6457" t="str">
        <f t="shared" si="115"/>
        <v xml:space="preserve">2560320679  </v>
      </c>
      <c r="E6457" t="s">
        <v>277</v>
      </c>
      <c r="F6457" t="s">
        <v>279</v>
      </c>
      <c r="G6457">
        <v>41.07</v>
      </c>
      <c r="H6457">
        <v>250407</v>
      </c>
      <c r="I6457">
        <v>4520</v>
      </c>
      <c r="J6457" t="s">
        <v>280</v>
      </c>
      <c r="K6457">
        <v>4711.25</v>
      </c>
      <c r="L6457">
        <v>5.04</v>
      </c>
      <c r="M6457">
        <v>14640</v>
      </c>
      <c r="N6457" t="s">
        <v>78</v>
      </c>
      <c r="O6457">
        <v>250417</v>
      </c>
      <c r="P6457">
        <v>36.03</v>
      </c>
    </row>
    <row r="6458" spans="1:16" x14ac:dyDescent="0.25">
      <c r="A6458" t="s">
        <v>3296</v>
      </c>
      <c r="B6458" t="s">
        <v>2931</v>
      </c>
      <c r="C6458">
        <v>5128</v>
      </c>
      <c r="D6458" t="str">
        <f t="shared" si="115"/>
        <v xml:space="preserve">2560320679  </v>
      </c>
      <c r="E6458" t="s">
        <v>277</v>
      </c>
      <c r="F6458" t="s">
        <v>279</v>
      </c>
      <c r="G6458">
        <v>24.17</v>
      </c>
      <c r="H6458">
        <v>250407</v>
      </c>
      <c r="I6458">
        <v>4520</v>
      </c>
      <c r="J6458" t="s">
        <v>280</v>
      </c>
      <c r="K6458">
        <v>4711.25</v>
      </c>
      <c r="L6458">
        <v>4.91</v>
      </c>
      <c r="M6458">
        <v>14642</v>
      </c>
      <c r="N6458" t="s">
        <v>283</v>
      </c>
      <c r="O6458">
        <v>250417</v>
      </c>
      <c r="P6458">
        <v>19.260000000000002</v>
      </c>
    </row>
    <row r="6459" spans="1:16" x14ac:dyDescent="0.25">
      <c r="A6459" t="s">
        <v>3296</v>
      </c>
      <c r="B6459" t="s">
        <v>2931</v>
      </c>
      <c r="C6459">
        <v>5128</v>
      </c>
      <c r="D6459" t="str">
        <f t="shared" si="115"/>
        <v xml:space="preserve">2560320679  </v>
      </c>
      <c r="E6459" t="s">
        <v>277</v>
      </c>
      <c r="F6459" t="s">
        <v>279</v>
      </c>
      <c r="G6459">
        <v>164.28</v>
      </c>
      <c r="H6459">
        <v>250407</v>
      </c>
      <c r="I6459">
        <v>4520</v>
      </c>
      <c r="J6459" t="s">
        <v>280</v>
      </c>
      <c r="K6459">
        <v>4711.25</v>
      </c>
      <c r="L6459">
        <v>20.170000000000002</v>
      </c>
      <c r="M6459">
        <v>14642</v>
      </c>
      <c r="N6459" t="s">
        <v>283</v>
      </c>
      <c r="O6459">
        <v>250417</v>
      </c>
      <c r="P6459">
        <v>144.11000000000001</v>
      </c>
    </row>
    <row r="6460" spans="1:16" x14ac:dyDescent="0.25">
      <c r="A6460" t="s">
        <v>3296</v>
      </c>
      <c r="B6460" t="s">
        <v>2931</v>
      </c>
      <c r="C6460">
        <v>5128</v>
      </c>
      <c r="D6460" t="str">
        <f t="shared" si="115"/>
        <v xml:space="preserve">2560320679  </v>
      </c>
      <c r="E6460" t="s">
        <v>277</v>
      </c>
      <c r="F6460" t="s">
        <v>279</v>
      </c>
      <c r="G6460">
        <v>441.07</v>
      </c>
      <c r="H6460">
        <v>250407</v>
      </c>
      <c r="I6460">
        <v>4520</v>
      </c>
      <c r="J6460" t="s">
        <v>280</v>
      </c>
      <c r="K6460">
        <v>4711.25</v>
      </c>
      <c r="L6460">
        <v>89.62</v>
      </c>
      <c r="M6460">
        <v>14912</v>
      </c>
      <c r="N6460" t="s">
        <v>80</v>
      </c>
      <c r="O6460">
        <v>250417</v>
      </c>
      <c r="P6460">
        <v>351.45</v>
      </c>
    </row>
    <row r="6461" spans="1:16" x14ac:dyDescent="0.25">
      <c r="A6461" t="s">
        <v>3296</v>
      </c>
      <c r="B6461" t="s">
        <v>2931</v>
      </c>
      <c r="C6461">
        <v>5128</v>
      </c>
      <c r="D6461" t="str">
        <f t="shared" si="115"/>
        <v xml:space="preserve">2560320679  </v>
      </c>
      <c r="E6461" t="s">
        <v>277</v>
      </c>
      <c r="F6461" t="s">
        <v>279</v>
      </c>
      <c r="G6461">
        <v>2998.14</v>
      </c>
      <c r="H6461">
        <v>250407</v>
      </c>
      <c r="I6461">
        <v>4520</v>
      </c>
      <c r="J6461" t="s">
        <v>280</v>
      </c>
      <c r="K6461">
        <v>4711.25</v>
      </c>
      <c r="L6461">
        <v>368.19</v>
      </c>
      <c r="M6461">
        <v>14912</v>
      </c>
      <c r="N6461" t="s">
        <v>80</v>
      </c>
      <c r="O6461">
        <v>250417</v>
      </c>
      <c r="P6461">
        <v>2629.95</v>
      </c>
    </row>
    <row r="6462" spans="1:16" x14ac:dyDescent="0.25">
      <c r="A6462" t="s">
        <v>3296</v>
      </c>
      <c r="B6462" t="s">
        <v>2931</v>
      </c>
      <c r="C6462">
        <v>5343</v>
      </c>
      <c r="D6462" t="str">
        <f>"2560338351  "</f>
        <v xml:space="preserve">2560338351  </v>
      </c>
      <c r="E6462" t="s">
        <v>277</v>
      </c>
      <c r="F6462" t="s">
        <v>279</v>
      </c>
      <c r="G6462">
        <v>210.6</v>
      </c>
      <c r="H6462">
        <v>250414</v>
      </c>
      <c r="I6462">
        <v>4520</v>
      </c>
      <c r="J6462" t="s">
        <v>280</v>
      </c>
      <c r="K6462">
        <v>3289.67</v>
      </c>
      <c r="L6462">
        <v>25.86</v>
      </c>
      <c r="M6462">
        <v>16442</v>
      </c>
      <c r="N6462" t="s">
        <v>304</v>
      </c>
      <c r="O6462">
        <v>250423</v>
      </c>
      <c r="P6462">
        <v>184.74</v>
      </c>
    </row>
    <row r="6463" spans="1:16" x14ac:dyDescent="0.25">
      <c r="A6463" t="s">
        <v>3296</v>
      </c>
      <c r="B6463" t="s">
        <v>2931</v>
      </c>
      <c r="C6463">
        <v>5343</v>
      </c>
      <c r="D6463" t="str">
        <f>"2560338351  "</f>
        <v xml:space="preserve">2560338351  </v>
      </c>
      <c r="E6463" t="s">
        <v>277</v>
      </c>
      <c r="F6463" t="s">
        <v>279</v>
      </c>
      <c r="G6463">
        <v>25.1</v>
      </c>
      <c r="H6463">
        <v>250414</v>
      </c>
      <c r="I6463">
        <v>4520</v>
      </c>
      <c r="J6463" t="s">
        <v>280</v>
      </c>
      <c r="K6463">
        <v>3289.67</v>
      </c>
      <c r="L6463">
        <v>5.0999999999999996</v>
      </c>
      <c r="M6463">
        <v>17913</v>
      </c>
      <c r="N6463" t="s">
        <v>26</v>
      </c>
      <c r="O6463">
        <v>250423</v>
      </c>
      <c r="P6463">
        <v>20</v>
      </c>
    </row>
    <row r="6464" spans="1:16" x14ac:dyDescent="0.25">
      <c r="A6464" t="s">
        <v>3296</v>
      </c>
      <c r="B6464" t="s">
        <v>2931</v>
      </c>
      <c r="C6464">
        <v>5343</v>
      </c>
      <c r="D6464" t="str">
        <f>"2560338351  "</f>
        <v xml:space="preserve">2560338351  </v>
      </c>
      <c r="E6464" t="s">
        <v>277</v>
      </c>
      <c r="F6464" t="s">
        <v>279</v>
      </c>
      <c r="G6464">
        <v>2682.47</v>
      </c>
      <c r="H6464">
        <v>250414</v>
      </c>
      <c r="I6464">
        <v>4520</v>
      </c>
      <c r="J6464" t="s">
        <v>280</v>
      </c>
      <c r="K6464">
        <v>3289.67</v>
      </c>
      <c r="L6464">
        <v>329.43</v>
      </c>
      <c r="M6464">
        <v>17913</v>
      </c>
      <c r="N6464" t="s">
        <v>26</v>
      </c>
      <c r="O6464">
        <v>250423</v>
      </c>
      <c r="P6464">
        <v>2353.04</v>
      </c>
    </row>
    <row r="6465" spans="1:16" x14ac:dyDescent="0.25">
      <c r="A6465" t="s">
        <v>3296</v>
      </c>
      <c r="B6465" t="s">
        <v>2931</v>
      </c>
      <c r="C6465">
        <v>5343</v>
      </c>
      <c r="D6465" t="str">
        <f>"2560338351  "</f>
        <v xml:space="preserve">2560338351  </v>
      </c>
      <c r="E6465" t="s">
        <v>277</v>
      </c>
      <c r="F6465" t="s">
        <v>279</v>
      </c>
      <c r="G6465">
        <v>326.5</v>
      </c>
      <c r="H6465">
        <v>250414</v>
      </c>
      <c r="I6465">
        <v>4520</v>
      </c>
      <c r="J6465" t="s">
        <v>280</v>
      </c>
      <c r="K6465">
        <v>3289.67</v>
      </c>
      <c r="L6465">
        <v>40.1</v>
      </c>
      <c r="M6465">
        <v>17982</v>
      </c>
      <c r="N6465" t="s">
        <v>281</v>
      </c>
      <c r="O6465">
        <v>250423</v>
      </c>
      <c r="P6465">
        <v>286.39999999999998</v>
      </c>
    </row>
    <row r="6466" spans="1:16" x14ac:dyDescent="0.25">
      <c r="A6466" t="s">
        <v>3296</v>
      </c>
      <c r="B6466" t="s">
        <v>2931</v>
      </c>
      <c r="C6466">
        <v>5343</v>
      </c>
      <c r="D6466" t="str">
        <f>"2560338351  "</f>
        <v xml:space="preserve">2560338351  </v>
      </c>
      <c r="E6466" t="s">
        <v>277</v>
      </c>
      <c r="F6466" t="s">
        <v>279</v>
      </c>
      <c r="G6466">
        <v>45</v>
      </c>
      <c r="H6466">
        <v>250414</v>
      </c>
      <c r="I6466">
        <v>4520</v>
      </c>
      <c r="J6466" t="s">
        <v>280</v>
      </c>
      <c r="K6466">
        <v>3289.67</v>
      </c>
      <c r="L6466">
        <v>5.53</v>
      </c>
      <c r="M6466">
        <v>17984</v>
      </c>
      <c r="N6466" t="s">
        <v>655</v>
      </c>
      <c r="O6466">
        <v>250423</v>
      </c>
      <c r="P6466">
        <v>39.47</v>
      </c>
    </row>
    <row r="6467" spans="1:16" x14ac:dyDescent="0.25">
      <c r="A6467" t="s">
        <v>3296</v>
      </c>
      <c r="B6467" t="s">
        <v>2931</v>
      </c>
      <c r="C6467">
        <v>5344</v>
      </c>
      <c r="D6467" t="str">
        <f>"2560338350  "</f>
        <v xml:space="preserve">2560338350  </v>
      </c>
      <c r="E6467" t="s">
        <v>277</v>
      </c>
      <c r="F6467" t="s">
        <v>279</v>
      </c>
      <c r="G6467">
        <v>-12.55</v>
      </c>
      <c r="H6467">
        <v>250414</v>
      </c>
      <c r="I6467">
        <v>4520</v>
      </c>
      <c r="J6467" t="s">
        <v>280</v>
      </c>
      <c r="K6467">
        <v>143.53</v>
      </c>
      <c r="L6467">
        <v>-2.5499999999999998</v>
      </c>
      <c r="M6467">
        <v>17915</v>
      </c>
      <c r="N6467" t="s">
        <v>305</v>
      </c>
      <c r="O6467">
        <v>250423</v>
      </c>
      <c r="P6467">
        <v>-10</v>
      </c>
    </row>
    <row r="6468" spans="1:16" x14ac:dyDescent="0.25">
      <c r="A6468" t="s">
        <v>3296</v>
      </c>
      <c r="B6468" t="s">
        <v>2931</v>
      </c>
      <c r="C6468">
        <v>5344</v>
      </c>
      <c r="D6468" t="str">
        <f>"2560338350  "</f>
        <v xml:space="preserve">2560338350  </v>
      </c>
      <c r="E6468" t="s">
        <v>277</v>
      </c>
      <c r="F6468" t="s">
        <v>279</v>
      </c>
      <c r="G6468">
        <v>140.47999999999999</v>
      </c>
      <c r="H6468">
        <v>250414</v>
      </c>
      <c r="I6468">
        <v>4520</v>
      </c>
      <c r="J6468" t="s">
        <v>280</v>
      </c>
      <c r="K6468">
        <v>143.53</v>
      </c>
      <c r="L6468">
        <v>17.25</v>
      </c>
      <c r="M6468">
        <v>17915</v>
      </c>
      <c r="N6468" t="s">
        <v>305</v>
      </c>
      <c r="O6468">
        <v>250423</v>
      </c>
      <c r="P6468">
        <v>123.23</v>
      </c>
    </row>
    <row r="6469" spans="1:16" x14ac:dyDescent="0.25">
      <c r="A6469" t="s">
        <v>3296</v>
      </c>
      <c r="B6469" t="s">
        <v>2931</v>
      </c>
      <c r="C6469">
        <v>5344</v>
      </c>
      <c r="D6469" t="str">
        <f>"2560338350  "</f>
        <v xml:space="preserve">2560338350  </v>
      </c>
      <c r="E6469" t="s">
        <v>277</v>
      </c>
      <c r="F6469" t="s">
        <v>279</v>
      </c>
      <c r="G6469">
        <v>15.6</v>
      </c>
      <c r="H6469">
        <v>250414</v>
      </c>
      <c r="I6469">
        <v>4520</v>
      </c>
      <c r="J6469" t="s">
        <v>280</v>
      </c>
      <c r="K6469">
        <v>143.53</v>
      </c>
      <c r="L6469">
        <v>1.92</v>
      </c>
      <c r="M6469">
        <v>17982</v>
      </c>
      <c r="N6469" t="s">
        <v>281</v>
      </c>
      <c r="O6469">
        <v>250423</v>
      </c>
      <c r="P6469">
        <v>13.68</v>
      </c>
    </row>
    <row r="6470" spans="1:16" x14ac:dyDescent="0.25">
      <c r="A6470" t="s">
        <v>3296</v>
      </c>
      <c r="B6470" t="s">
        <v>2931</v>
      </c>
      <c r="C6470">
        <v>5346</v>
      </c>
      <c r="D6470" t="str">
        <f>"2560338345  "</f>
        <v xml:space="preserve">2560338345  </v>
      </c>
      <c r="E6470" t="s">
        <v>277</v>
      </c>
      <c r="F6470" t="s">
        <v>279</v>
      </c>
      <c r="G6470">
        <v>663.91</v>
      </c>
      <c r="H6470">
        <v>250414</v>
      </c>
      <c r="I6470">
        <v>4520</v>
      </c>
      <c r="J6470" t="s">
        <v>280</v>
      </c>
      <c r="K6470">
        <v>827.73</v>
      </c>
      <c r="L6470">
        <v>81.53</v>
      </c>
      <c r="M6470">
        <v>59114</v>
      </c>
      <c r="N6470" t="s">
        <v>299</v>
      </c>
      <c r="O6470">
        <v>250423</v>
      </c>
      <c r="P6470">
        <v>582.38</v>
      </c>
    </row>
    <row r="6471" spans="1:16" x14ac:dyDescent="0.25">
      <c r="A6471" t="s">
        <v>3296</v>
      </c>
      <c r="B6471" t="s">
        <v>2931</v>
      </c>
      <c r="C6471">
        <v>5346</v>
      </c>
      <c r="D6471" t="str">
        <f>"2560338345  "</f>
        <v xml:space="preserve">2560338345  </v>
      </c>
      <c r="E6471" t="s">
        <v>277</v>
      </c>
      <c r="F6471" t="s">
        <v>279</v>
      </c>
      <c r="G6471">
        <v>73.77</v>
      </c>
      <c r="H6471">
        <v>250414</v>
      </c>
      <c r="I6471">
        <v>4520</v>
      </c>
      <c r="J6471" t="s">
        <v>280</v>
      </c>
      <c r="K6471">
        <v>827.73</v>
      </c>
      <c r="L6471">
        <v>9.06</v>
      </c>
      <c r="M6471">
        <v>59808</v>
      </c>
      <c r="N6471" t="s">
        <v>699</v>
      </c>
      <c r="O6471">
        <v>250423</v>
      </c>
      <c r="P6471">
        <v>64.709999999999994</v>
      </c>
    </row>
    <row r="6472" spans="1:16" x14ac:dyDescent="0.25">
      <c r="A6472" t="s">
        <v>3296</v>
      </c>
      <c r="B6472" t="s">
        <v>2931</v>
      </c>
      <c r="C6472">
        <v>5351</v>
      </c>
      <c r="D6472" t="str">
        <f>"2560338354  "</f>
        <v xml:space="preserve">2560338354  </v>
      </c>
      <c r="E6472" t="s">
        <v>277</v>
      </c>
      <c r="F6472" t="s">
        <v>279</v>
      </c>
      <c r="G6472">
        <v>1147.93</v>
      </c>
      <c r="H6472">
        <v>250414</v>
      </c>
      <c r="I6472">
        <v>4520</v>
      </c>
      <c r="J6472" t="s">
        <v>280</v>
      </c>
      <c r="K6472">
        <v>1474.36</v>
      </c>
      <c r="L6472">
        <v>140.97</v>
      </c>
      <c r="M6472">
        <v>69112</v>
      </c>
      <c r="N6472" t="s">
        <v>227</v>
      </c>
      <c r="O6472">
        <v>250423</v>
      </c>
      <c r="P6472">
        <v>1006.96</v>
      </c>
    </row>
    <row r="6473" spans="1:16" x14ac:dyDescent="0.25">
      <c r="A6473" t="s">
        <v>3296</v>
      </c>
      <c r="B6473" t="s">
        <v>2931</v>
      </c>
      <c r="C6473">
        <v>5351</v>
      </c>
      <c r="D6473" t="str">
        <f>"2560338354  "</f>
        <v xml:space="preserve">2560338354  </v>
      </c>
      <c r="E6473" t="s">
        <v>277</v>
      </c>
      <c r="F6473" t="s">
        <v>279</v>
      </c>
      <c r="G6473">
        <v>63.78</v>
      </c>
      <c r="H6473">
        <v>250414</v>
      </c>
      <c r="I6473">
        <v>4520</v>
      </c>
      <c r="J6473" t="s">
        <v>280</v>
      </c>
      <c r="K6473">
        <v>1474.36</v>
      </c>
      <c r="L6473">
        <v>7.83</v>
      </c>
      <c r="M6473">
        <v>69810</v>
      </c>
      <c r="N6473" t="s">
        <v>229</v>
      </c>
      <c r="O6473">
        <v>250423</v>
      </c>
      <c r="P6473">
        <v>55.95</v>
      </c>
    </row>
    <row r="6474" spans="1:16" x14ac:dyDescent="0.25">
      <c r="A6474" t="s">
        <v>3296</v>
      </c>
      <c r="B6474" t="s">
        <v>2931</v>
      </c>
      <c r="C6474">
        <v>5351</v>
      </c>
      <c r="D6474" t="str">
        <f>"2560338354  "</f>
        <v xml:space="preserve">2560338354  </v>
      </c>
      <c r="E6474" t="s">
        <v>277</v>
      </c>
      <c r="F6474" t="s">
        <v>279</v>
      </c>
      <c r="G6474">
        <v>63.77</v>
      </c>
      <c r="H6474">
        <v>250414</v>
      </c>
      <c r="I6474">
        <v>4520</v>
      </c>
      <c r="J6474" t="s">
        <v>280</v>
      </c>
      <c r="K6474">
        <v>1474.36</v>
      </c>
      <c r="L6474">
        <v>7.83</v>
      </c>
      <c r="M6474">
        <v>69811</v>
      </c>
      <c r="N6474" t="s">
        <v>230</v>
      </c>
      <c r="O6474">
        <v>250423</v>
      </c>
      <c r="P6474">
        <v>55.94</v>
      </c>
    </row>
    <row r="6475" spans="1:16" x14ac:dyDescent="0.25">
      <c r="A6475" t="s">
        <v>3296</v>
      </c>
      <c r="B6475" t="s">
        <v>2931</v>
      </c>
      <c r="C6475">
        <v>5368</v>
      </c>
      <c r="D6475" t="str">
        <f t="shared" ref="D6475:D6486" si="116">"2560338352  "</f>
        <v xml:space="preserve">2560338352  </v>
      </c>
      <c r="E6475" t="s">
        <v>277</v>
      </c>
      <c r="F6475" t="s">
        <v>279</v>
      </c>
      <c r="G6475">
        <v>0.78</v>
      </c>
      <c r="H6475">
        <v>250414</v>
      </c>
      <c r="I6475">
        <v>4520</v>
      </c>
      <c r="J6475" t="s">
        <v>280</v>
      </c>
      <c r="K6475">
        <v>3993.37</v>
      </c>
      <c r="L6475">
        <v>0.16</v>
      </c>
      <c r="M6475">
        <v>14422</v>
      </c>
      <c r="N6475" t="s">
        <v>73</v>
      </c>
      <c r="O6475">
        <v>250424</v>
      </c>
      <c r="P6475">
        <v>0.62</v>
      </c>
    </row>
    <row r="6476" spans="1:16" x14ac:dyDescent="0.25">
      <c r="A6476" t="s">
        <v>3296</v>
      </c>
      <c r="B6476" t="s">
        <v>2931</v>
      </c>
      <c r="C6476">
        <v>5368</v>
      </c>
      <c r="D6476" t="str">
        <f t="shared" si="116"/>
        <v xml:space="preserve">2560338352  </v>
      </c>
      <c r="E6476" t="s">
        <v>277</v>
      </c>
      <c r="F6476" t="s">
        <v>279</v>
      </c>
      <c r="G6476">
        <v>39.159999999999997</v>
      </c>
      <c r="H6476">
        <v>250414</v>
      </c>
      <c r="I6476">
        <v>4520</v>
      </c>
      <c r="J6476" t="s">
        <v>280</v>
      </c>
      <c r="K6476">
        <v>3993.37</v>
      </c>
      <c r="L6476">
        <v>4.8099999999999996</v>
      </c>
      <c r="M6476">
        <v>14422</v>
      </c>
      <c r="N6476" t="s">
        <v>73</v>
      </c>
      <c r="O6476">
        <v>250424</v>
      </c>
      <c r="P6476">
        <v>34.35</v>
      </c>
    </row>
    <row r="6477" spans="1:16" x14ac:dyDescent="0.25">
      <c r="A6477" t="s">
        <v>3296</v>
      </c>
      <c r="B6477" t="s">
        <v>2931</v>
      </c>
      <c r="C6477">
        <v>5368</v>
      </c>
      <c r="D6477" t="str">
        <f t="shared" si="116"/>
        <v xml:space="preserve">2560338352  </v>
      </c>
      <c r="E6477" t="s">
        <v>277</v>
      </c>
      <c r="F6477" t="s">
        <v>279</v>
      </c>
      <c r="G6477">
        <v>3.1</v>
      </c>
      <c r="H6477">
        <v>250414</v>
      </c>
      <c r="I6477">
        <v>4520</v>
      </c>
      <c r="J6477" t="s">
        <v>280</v>
      </c>
      <c r="K6477">
        <v>3993.37</v>
      </c>
      <c r="L6477">
        <v>0.63</v>
      </c>
      <c r="M6477">
        <v>14431</v>
      </c>
      <c r="N6477" t="s">
        <v>74</v>
      </c>
      <c r="O6477">
        <v>250424</v>
      </c>
      <c r="P6477">
        <v>2.4700000000000002</v>
      </c>
    </row>
    <row r="6478" spans="1:16" x14ac:dyDescent="0.25">
      <c r="A6478" t="s">
        <v>3296</v>
      </c>
      <c r="B6478" t="s">
        <v>2931</v>
      </c>
      <c r="C6478">
        <v>5368</v>
      </c>
      <c r="D6478" t="str">
        <f t="shared" si="116"/>
        <v xml:space="preserve">2560338352  </v>
      </c>
      <c r="E6478" t="s">
        <v>277</v>
      </c>
      <c r="F6478" t="s">
        <v>279</v>
      </c>
      <c r="G6478">
        <v>156.63</v>
      </c>
      <c r="H6478">
        <v>250414</v>
      </c>
      <c r="I6478">
        <v>4520</v>
      </c>
      <c r="J6478" t="s">
        <v>280</v>
      </c>
      <c r="K6478">
        <v>3993.37</v>
      </c>
      <c r="L6478">
        <v>19.239999999999998</v>
      </c>
      <c r="M6478">
        <v>14431</v>
      </c>
      <c r="N6478" t="s">
        <v>74</v>
      </c>
      <c r="O6478">
        <v>250424</v>
      </c>
      <c r="P6478">
        <v>137.38999999999999</v>
      </c>
    </row>
    <row r="6479" spans="1:16" x14ac:dyDescent="0.25">
      <c r="A6479" t="s">
        <v>3296</v>
      </c>
      <c r="B6479" t="s">
        <v>2931</v>
      </c>
      <c r="C6479">
        <v>5368</v>
      </c>
      <c r="D6479" t="str">
        <f t="shared" si="116"/>
        <v xml:space="preserve">2560338352  </v>
      </c>
      <c r="E6479" t="s">
        <v>277</v>
      </c>
      <c r="F6479" t="s">
        <v>279</v>
      </c>
      <c r="G6479">
        <v>13.18</v>
      </c>
      <c r="H6479">
        <v>250414</v>
      </c>
      <c r="I6479">
        <v>4520</v>
      </c>
      <c r="J6479" t="s">
        <v>280</v>
      </c>
      <c r="K6479">
        <v>3993.37</v>
      </c>
      <c r="L6479">
        <v>2.68</v>
      </c>
      <c r="M6479">
        <v>14432</v>
      </c>
      <c r="N6479" t="s">
        <v>75</v>
      </c>
      <c r="O6479">
        <v>250424</v>
      </c>
      <c r="P6479">
        <v>10.5</v>
      </c>
    </row>
    <row r="6480" spans="1:16" x14ac:dyDescent="0.25">
      <c r="A6480" t="s">
        <v>3296</v>
      </c>
      <c r="B6480" t="s">
        <v>2931</v>
      </c>
      <c r="C6480">
        <v>5368</v>
      </c>
      <c r="D6480" t="str">
        <f t="shared" si="116"/>
        <v xml:space="preserve">2560338352  </v>
      </c>
      <c r="E6480" t="s">
        <v>277</v>
      </c>
      <c r="F6480" t="s">
        <v>279</v>
      </c>
      <c r="G6480">
        <v>665.69</v>
      </c>
      <c r="H6480">
        <v>250414</v>
      </c>
      <c r="I6480">
        <v>4520</v>
      </c>
      <c r="J6480" t="s">
        <v>280</v>
      </c>
      <c r="K6480">
        <v>3993.37</v>
      </c>
      <c r="L6480">
        <v>81.75</v>
      </c>
      <c r="M6480">
        <v>14432</v>
      </c>
      <c r="N6480" t="s">
        <v>75</v>
      </c>
      <c r="O6480">
        <v>250424</v>
      </c>
      <c r="P6480">
        <v>583.94000000000005</v>
      </c>
    </row>
    <row r="6481" spans="1:16" x14ac:dyDescent="0.25">
      <c r="A6481" t="s">
        <v>3296</v>
      </c>
      <c r="B6481" t="s">
        <v>2931</v>
      </c>
      <c r="C6481">
        <v>5368</v>
      </c>
      <c r="D6481" t="str">
        <f t="shared" si="116"/>
        <v xml:space="preserve">2560338352  </v>
      </c>
      <c r="E6481" t="s">
        <v>277</v>
      </c>
      <c r="F6481" t="s">
        <v>279</v>
      </c>
      <c r="G6481">
        <v>0.77</v>
      </c>
      <c r="H6481">
        <v>250414</v>
      </c>
      <c r="I6481">
        <v>4520</v>
      </c>
      <c r="J6481" t="s">
        <v>280</v>
      </c>
      <c r="K6481">
        <v>3993.37</v>
      </c>
      <c r="L6481">
        <v>0.16</v>
      </c>
      <c r="M6481">
        <v>14640</v>
      </c>
      <c r="N6481" t="s">
        <v>78</v>
      </c>
      <c r="O6481">
        <v>250424</v>
      </c>
      <c r="P6481">
        <v>0.61</v>
      </c>
    </row>
    <row r="6482" spans="1:16" x14ac:dyDescent="0.25">
      <c r="A6482" t="s">
        <v>3296</v>
      </c>
      <c r="B6482" t="s">
        <v>2931</v>
      </c>
      <c r="C6482">
        <v>5368</v>
      </c>
      <c r="D6482" t="str">
        <f t="shared" si="116"/>
        <v xml:space="preserve">2560338352  </v>
      </c>
      <c r="E6482" t="s">
        <v>277</v>
      </c>
      <c r="F6482" t="s">
        <v>279</v>
      </c>
      <c r="G6482">
        <v>39.17</v>
      </c>
      <c r="H6482">
        <v>250414</v>
      </c>
      <c r="I6482">
        <v>4520</v>
      </c>
      <c r="J6482" t="s">
        <v>280</v>
      </c>
      <c r="K6482">
        <v>3993.37</v>
      </c>
      <c r="L6482">
        <v>4.8099999999999996</v>
      </c>
      <c r="M6482">
        <v>14640</v>
      </c>
      <c r="N6482" t="s">
        <v>78</v>
      </c>
      <c r="O6482">
        <v>250424</v>
      </c>
      <c r="P6482">
        <v>34.36</v>
      </c>
    </row>
    <row r="6483" spans="1:16" x14ac:dyDescent="0.25">
      <c r="A6483" t="s">
        <v>3296</v>
      </c>
      <c r="B6483" t="s">
        <v>2931</v>
      </c>
      <c r="C6483">
        <v>5368</v>
      </c>
      <c r="D6483" t="str">
        <f t="shared" si="116"/>
        <v xml:space="preserve">2560338352  </v>
      </c>
      <c r="E6483" t="s">
        <v>277</v>
      </c>
      <c r="F6483" t="s">
        <v>279</v>
      </c>
      <c r="G6483">
        <v>3.1</v>
      </c>
      <c r="H6483">
        <v>250414</v>
      </c>
      <c r="I6483">
        <v>4520</v>
      </c>
      <c r="J6483" t="s">
        <v>280</v>
      </c>
      <c r="K6483">
        <v>3993.37</v>
      </c>
      <c r="L6483">
        <v>0.63</v>
      </c>
      <c r="M6483">
        <v>14642</v>
      </c>
      <c r="N6483" t="s">
        <v>283</v>
      </c>
      <c r="O6483">
        <v>250424</v>
      </c>
      <c r="P6483">
        <v>2.4700000000000002</v>
      </c>
    </row>
    <row r="6484" spans="1:16" x14ac:dyDescent="0.25">
      <c r="A6484" t="s">
        <v>3296</v>
      </c>
      <c r="B6484" t="s">
        <v>2931</v>
      </c>
      <c r="C6484">
        <v>5368</v>
      </c>
      <c r="D6484" t="str">
        <f t="shared" si="116"/>
        <v xml:space="preserve">2560338352  </v>
      </c>
      <c r="E6484" t="s">
        <v>277</v>
      </c>
      <c r="F6484" t="s">
        <v>279</v>
      </c>
      <c r="G6484">
        <v>156.63</v>
      </c>
      <c r="H6484">
        <v>250414</v>
      </c>
      <c r="I6484">
        <v>4520</v>
      </c>
      <c r="J6484" t="s">
        <v>280</v>
      </c>
      <c r="K6484">
        <v>3993.37</v>
      </c>
      <c r="L6484">
        <v>19.239999999999998</v>
      </c>
      <c r="M6484">
        <v>14642</v>
      </c>
      <c r="N6484" t="s">
        <v>283</v>
      </c>
      <c r="O6484">
        <v>250424</v>
      </c>
      <c r="P6484">
        <v>137.38999999999999</v>
      </c>
    </row>
    <row r="6485" spans="1:16" x14ac:dyDescent="0.25">
      <c r="A6485" t="s">
        <v>3296</v>
      </c>
      <c r="B6485" t="s">
        <v>2931</v>
      </c>
      <c r="C6485">
        <v>5368</v>
      </c>
      <c r="D6485" t="str">
        <f t="shared" si="116"/>
        <v xml:space="preserve">2560338352  </v>
      </c>
      <c r="E6485" t="s">
        <v>277</v>
      </c>
      <c r="F6485" t="s">
        <v>279</v>
      </c>
      <c r="G6485">
        <v>56.59</v>
      </c>
      <c r="H6485">
        <v>250414</v>
      </c>
      <c r="I6485">
        <v>4520</v>
      </c>
      <c r="J6485" t="s">
        <v>280</v>
      </c>
      <c r="K6485">
        <v>3993.37</v>
      </c>
      <c r="L6485">
        <v>11.5</v>
      </c>
      <c r="M6485">
        <v>14912</v>
      </c>
      <c r="N6485" t="s">
        <v>80</v>
      </c>
      <c r="O6485">
        <v>250424</v>
      </c>
      <c r="P6485">
        <v>45.09</v>
      </c>
    </row>
    <row r="6486" spans="1:16" x14ac:dyDescent="0.25">
      <c r="A6486" t="s">
        <v>3296</v>
      </c>
      <c r="B6486" t="s">
        <v>2931</v>
      </c>
      <c r="C6486">
        <v>5368</v>
      </c>
      <c r="D6486" t="str">
        <f t="shared" si="116"/>
        <v xml:space="preserve">2560338352  </v>
      </c>
      <c r="E6486" t="s">
        <v>277</v>
      </c>
      <c r="F6486" t="s">
        <v>279</v>
      </c>
      <c r="G6486">
        <v>2858.57</v>
      </c>
      <c r="H6486">
        <v>250414</v>
      </c>
      <c r="I6486">
        <v>4520</v>
      </c>
      <c r="J6486" t="s">
        <v>280</v>
      </c>
      <c r="K6486">
        <v>3993.37</v>
      </c>
      <c r="L6486">
        <v>351.05</v>
      </c>
      <c r="M6486">
        <v>14912</v>
      </c>
      <c r="N6486" t="s">
        <v>80</v>
      </c>
      <c r="O6486">
        <v>250424</v>
      </c>
      <c r="P6486">
        <v>2507.52</v>
      </c>
    </row>
    <row r="6487" spans="1:16" x14ac:dyDescent="0.25">
      <c r="A6487" t="s">
        <v>3296</v>
      </c>
      <c r="B6487" t="s">
        <v>2931</v>
      </c>
      <c r="C6487">
        <v>5369</v>
      </c>
      <c r="D6487" t="str">
        <f>"2560338353  "</f>
        <v xml:space="preserve">2560338353  </v>
      </c>
      <c r="E6487" t="s">
        <v>277</v>
      </c>
      <c r="F6487" t="s">
        <v>279</v>
      </c>
      <c r="G6487">
        <v>176.77</v>
      </c>
      <c r="H6487">
        <v>250414</v>
      </c>
      <c r="I6487">
        <v>4520</v>
      </c>
      <c r="J6487" t="s">
        <v>280</v>
      </c>
      <c r="K6487">
        <v>180.37</v>
      </c>
      <c r="L6487">
        <v>21.71</v>
      </c>
      <c r="M6487">
        <v>44253</v>
      </c>
      <c r="N6487" t="s">
        <v>403</v>
      </c>
      <c r="O6487">
        <v>250424</v>
      </c>
      <c r="P6487">
        <v>155.06</v>
      </c>
    </row>
    <row r="6488" spans="1:16" x14ac:dyDescent="0.25">
      <c r="A6488" t="s">
        <v>3296</v>
      </c>
      <c r="B6488" t="s">
        <v>2931</v>
      </c>
      <c r="C6488">
        <v>5378</v>
      </c>
      <c r="D6488" t="str">
        <f>"2560338346  "</f>
        <v xml:space="preserve">2560338346  </v>
      </c>
      <c r="E6488" t="s">
        <v>277</v>
      </c>
      <c r="F6488" t="s">
        <v>279</v>
      </c>
      <c r="G6488">
        <v>749</v>
      </c>
      <c r="H6488">
        <v>250414</v>
      </c>
      <c r="I6488">
        <v>4520</v>
      </c>
      <c r="J6488" t="s">
        <v>280</v>
      </c>
      <c r="K6488">
        <v>3220.51</v>
      </c>
      <c r="L6488">
        <v>91.98</v>
      </c>
      <c r="M6488">
        <v>54422</v>
      </c>
      <c r="N6488" t="s">
        <v>49</v>
      </c>
      <c r="O6488">
        <v>250424</v>
      </c>
      <c r="P6488">
        <v>657.02</v>
      </c>
    </row>
    <row r="6489" spans="1:16" x14ac:dyDescent="0.25">
      <c r="A6489" t="s">
        <v>3296</v>
      </c>
      <c r="B6489" t="s">
        <v>2931</v>
      </c>
      <c r="C6489">
        <v>5378</v>
      </c>
      <c r="D6489" t="str">
        <f>"2560338346  "</f>
        <v xml:space="preserve">2560338346  </v>
      </c>
      <c r="E6489" t="s">
        <v>277</v>
      </c>
      <c r="F6489" t="s">
        <v>279</v>
      </c>
      <c r="G6489">
        <v>2000.08</v>
      </c>
      <c r="H6489">
        <v>250414</v>
      </c>
      <c r="I6489">
        <v>4520</v>
      </c>
      <c r="J6489" t="s">
        <v>280</v>
      </c>
      <c r="K6489">
        <v>3220.51</v>
      </c>
      <c r="L6489">
        <v>245.62</v>
      </c>
      <c r="M6489">
        <v>54451</v>
      </c>
      <c r="N6489" t="s">
        <v>218</v>
      </c>
      <c r="O6489">
        <v>250424</v>
      </c>
      <c r="P6489">
        <v>1754.46</v>
      </c>
    </row>
    <row r="6490" spans="1:16" x14ac:dyDescent="0.25">
      <c r="A6490" t="s">
        <v>3296</v>
      </c>
      <c r="B6490" t="s">
        <v>2931</v>
      </c>
      <c r="C6490">
        <v>5379</v>
      </c>
      <c r="D6490" t="str">
        <f>"2560338348  "</f>
        <v xml:space="preserve">2560338348  </v>
      </c>
      <c r="E6490" t="s">
        <v>277</v>
      </c>
      <c r="F6490" t="s">
        <v>279</v>
      </c>
      <c r="G6490">
        <v>1585.59</v>
      </c>
      <c r="H6490">
        <v>250414</v>
      </c>
      <c r="I6490">
        <v>4520</v>
      </c>
      <c r="J6490" t="s">
        <v>280</v>
      </c>
      <c r="K6490">
        <v>2047.6</v>
      </c>
      <c r="L6490">
        <v>194.72</v>
      </c>
      <c r="M6490">
        <v>69113</v>
      </c>
      <c r="N6490" t="s">
        <v>122</v>
      </c>
      <c r="O6490">
        <v>250424</v>
      </c>
      <c r="P6490">
        <v>1390.87</v>
      </c>
    </row>
    <row r="6491" spans="1:16" x14ac:dyDescent="0.25">
      <c r="A6491" t="s">
        <v>3296</v>
      </c>
      <c r="B6491" t="s">
        <v>2931</v>
      </c>
      <c r="C6491">
        <v>5379</v>
      </c>
      <c r="D6491" t="str">
        <f>"2560338348  "</f>
        <v xml:space="preserve">2560338348  </v>
      </c>
      <c r="E6491" t="s">
        <v>277</v>
      </c>
      <c r="F6491" t="s">
        <v>279</v>
      </c>
      <c r="G6491">
        <v>186.54</v>
      </c>
      <c r="H6491">
        <v>250414</v>
      </c>
      <c r="I6491">
        <v>4520</v>
      </c>
      <c r="J6491" t="s">
        <v>280</v>
      </c>
      <c r="K6491">
        <v>2047.6</v>
      </c>
      <c r="L6491">
        <v>22.91</v>
      </c>
      <c r="M6491">
        <v>69802</v>
      </c>
      <c r="N6491" t="s">
        <v>375</v>
      </c>
      <c r="O6491">
        <v>250424</v>
      </c>
      <c r="P6491">
        <v>163.63</v>
      </c>
    </row>
    <row r="6492" spans="1:16" x14ac:dyDescent="0.25">
      <c r="A6492" t="s">
        <v>3296</v>
      </c>
      <c r="B6492" t="s">
        <v>2931</v>
      </c>
      <c r="C6492">
        <v>5379</v>
      </c>
      <c r="D6492" t="str">
        <f>"2560338348  "</f>
        <v xml:space="preserve">2560338348  </v>
      </c>
      <c r="E6492" t="s">
        <v>277</v>
      </c>
      <c r="F6492" t="s">
        <v>279</v>
      </c>
      <c r="G6492">
        <v>93.27</v>
      </c>
      <c r="H6492">
        <v>250414</v>
      </c>
      <c r="I6492">
        <v>4520</v>
      </c>
      <c r="J6492" t="s">
        <v>280</v>
      </c>
      <c r="K6492">
        <v>2047.6</v>
      </c>
      <c r="L6492">
        <v>11.45</v>
      </c>
      <c r="M6492">
        <v>69804</v>
      </c>
      <c r="N6492" t="s">
        <v>376</v>
      </c>
      <c r="O6492">
        <v>250424</v>
      </c>
      <c r="P6492">
        <v>81.819999999999993</v>
      </c>
    </row>
    <row r="6493" spans="1:16" x14ac:dyDescent="0.25">
      <c r="A6493" t="s">
        <v>3296</v>
      </c>
      <c r="B6493" t="s">
        <v>2931</v>
      </c>
      <c r="C6493">
        <v>5381</v>
      </c>
      <c r="D6493" t="str">
        <f>"2560338347  "</f>
        <v xml:space="preserve">2560338347  </v>
      </c>
      <c r="E6493" t="s">
        <v>277</v>
      </c>
      <c r="F6493" t="s">
        <v>279</v>
      </c>
      <c r="G6493">
        <v>988.36</v>
      </c>
      <c r="H6493">
        <v>250414</v>
      </c>
      <c r="I6493">
        <v>4520</v>
      </c>
      <c r="J6493" t="s">
        <v>280</v>
      </c>
      <c r="K6493">
        <v>1175.33</v>
      </c>
      <c r="L6493">
        <v>121.38</v>
      </c>
      <c r="M6493">
        <v>59113</v>
      </c>
      <c r="N6493" t="s">
        <v>61</v>
      </c>
      <c r="O6493">
        <v>250424</v>
      </c>
      <c r="P6493">
        <v>866.98</v>
      </c>
    </row>
    <row r="6494" spans="1:16" x14ac:dyDescent="0.25">
      <c r="A6494" t="s">
        <v>3296</v>
      </c>
      <c r="B6494" t="s">
        <v>2931</v>
      </c>
      <c r="C6494">
        <v>5381</v>
      </c>
      <c r="D6494" t="str">
        <f>"2560338347  "</f>
        <v xml:space="preserve">2560338347  </v>
      </c>
      <c r="E6494" t="s">
        <v>277</v>
      </c>
      <c r="F6494" t="s">
        <v>279</v>
      </c>
      <c r="G6494">
        <v>174.42</v>
      </c>
      <c r="H6494">
        <v>250414</v>
      </c>
      <c r="I6494">
        <v>4520</v>
      </c>
      <c r="J6494" t="s">
        <v>280</v>
      </c>
      <c r="K6494">
        <v>1175.33</v>
      </c>
      <c r="L6494">
        <v>21.42</v>
      </c>
      <c r="M6494">
        <v>59803</v>
      </c>
      <c r="N6494" t="s">
        <v>282</v>
      </c>
      <c r="O6494">
        <v>250424</v>
      </c>
      <c r="P6494">
        <v>153</v>
      </c>
    </row>
    <row r="6495" spans="1:16" x14ac:dyDescent="0.25">
      <c r="A6495" t="s">
        <v>3296</v>
      </c>
      <c r="B6495" t="s">
        <v>2931</v>
      </c>
      <c r="C6495">
        <v>5548</v>
      </c>
      <c r="D6495" t="str">
        <f>"2560354728  "</f>
        <v xml:space="preserve">2560354728  </v>
      </c>
      <c r="E6495" t="s">
        <v>277</v>
      </c>
      <c r="F6495" t="s">
        <v>279</v>
      </c>
      <c r="G6495">
        <v>492.95</v>
      </c>
      <c r="H6495">
        <v>250421</v>
      </c>
      <c r="I6495">
        <v>4520</v>
      </c>
      <c r="J6495" t="s">
        <v>280</v>
      </c>
      <c r="K6495">
        <v>492.95</v>
      </c>
      <c r="L6495">
        <v>60.54</v>
      </c>
      <c r="M6495">
        <v>54451</v>
      </c>
      <c r="N6495" t="s">
        <v>218</v>
      </c>
      <c r="O6495">
        <v>250425</v>
      </c>
      <c r="P6495">
        <v>432.41</v>
      </c>
    </row>
    <row r="6496" spans="1:16" x14ac:dyDescent="0.25">
      <c r="A6496" t="s">
        <v>3296</v>
      </c>
      <c r="B6496" t="s">
        <v>2931</v>
      </c>
      <c r="C6496">
        <v>5551</v>
      </c>
      <c r="D6496" t="str">
        <f t="shared" ref="D6496:D6507" si="117">"2560354733  "</f>
        <v xml:space="preserve">2560354733  </v>
      </c>
      <c r="E6496" t="s">
        <v>277</v>
      </c>
      <c r="F6496" t="s">
        <v>279</v>
      </c>
      <c r="G6496">
        <v>3.31</v>
      </c>
      <c r="H6496">
        <v>250421</v>
      </c>
      <c r="I6496">
        <v>4520</v>
      </c>
      <c r="J6496" t="s">
        <v>280</v>
      </c>
      <c r="K6496">
        <v>3833.3</v>
      </c>
      <c r="L6496">
        <v>0.67</v>
      </c>
      <c r="M6496">
        <v>14422</v>
      </c>
      <c r="N6496" t="s">
        <v>73</v>
      </c>
      <c r="O6496">
        <v>250425</v>
      </c>
      <c r="P6496">
        <v>2.64</v>
      </c>
    </row>
    <row r="6497" spans="1:16" x14ac:dyDescent="0.25">
      <c r="A6497" t="s">
        <v>3296</v>
      </c>
      <c r="B6497" t="s">
        <v>2931</v>
      </c>
      <c r="C6497">
        <v>5551</v>
      </c>
      <c r="D6497" t="str">
        <f t="shared" si="117"/>
        <v xml:space="preserve">2560354733  </v>
      </c>
      <c r="E6497" t="s">
        <v>277</v>
      </c>
      <c r="F6497" t="s">
        <v>279</v>
      </c>
      <c r="G6497">
        <v>35.03</v>
      </c>
      <c r="H6497">
        <v>250421</v>
      </c>
      <c r="I6497">
        <v>4520</v>
      </c>
      <c r="J6497" t="s">
        <v>280</v>
      </c>
      <c r="K6497">
        <v>3833.3</v>
      </c>
      <c r="L6497">
        <v>4.3</v>
      </c>
      <c r="M6497">
        <v>14422</v>
      </c>
      <c r="N6497" t="s">
        <v>73</v>
      </c>
      <c r="O6497">
        <v>250425</v>
      </c>
      <c r="P6497">
        <v>30.73</v>
      </c>
    </row>
    <row r="6498" spans="1:16" x14ac:dyDescent="0.25">
      <c r="A6498" t="s">
        <v>3296</v>
      </c>
      <c r="B6498" t="s">
        <v>2931</v>
      </c>
      <c r="C6498">
        <v>5551</v>
      </c>
      <c r="D6498" t="str">
        <f t="shared" si="117"/>
        <v xml:space="preserve">2560354733  </v>
      </c>
      <c r="E6498" t="s">
        <v>277</v>
      </c>
      <c r="F6498" t="s">
        <v>279</v>
      </c>
      <c r="G6498">
        <v>13.23</v>
      </c>
      <c r="H6498">
        <v>250421</v>
      </c>
      <c r="I6498">
        <v>4520</v>
      </c>
      <c r="J6498" t="s">
        <v>280</v>
      </c>
      <c r="K6498">
        <v>3833.3</v>
      </c>
      <c r="L6498">
        <v>2.69</v>
      </c>
      <c r="M6498">
        <v>14431</v>
      </c>
      <c r="N6498" t="s">
        <v>74</v>
      </c>
      <c r="O6498">
        <v>250425</v>
      </c>
      <c r="P6498">
        <v>10.54</v>
      </c>
    </row>
    <row r="6499" spans="1:16" x14ac:dyDescent="0.25">
      <c r="A6499" t="s">
        <v>3296</v>
      </c>
      <c r="B6499" t="s">
        <v>2931</v>
      </c>
      <c r="C6499">
        <v>5551</v>
      </c>
      <c r="D6499" t="str">
        <f t="shared" si="117"/>
        <v xml:space="preserve">2560354733  </v>
      </c>
      <c r="E6499" t="s">
        <v>277</v>
      </c>
      <c r="F6499" t="s">
        <v>279</v>
      </c>
      <c r="G6499">
        <v>140.11000000000001</v>
      </c>
      <c r="H6499">
        <v>250421</v>
      </c>
      <c r="I6499">
        <v>4520</v>
      </c>
      <c r="J6499" t="s">
        <v>280</v>
      </c>
      <c r="K6499">
        <v>3833.3</v>
      </c>
      <c r="L6499">
        <v>17.21</v>
      </c>
      <c r="M6499">
        <v>14431</v>
      </c>
      <c r="N6499" t="s">
        <v>74</v>
      </c>
      <c r="O6499">
        <v>250425</v>
      </c>
      <c r="P6499">
        <v>122.9</v>
      </c>
    </row>
    <row r="6500" spans="1:16" x14ac:dyDescent="0.25">
      <c r="A6500" t="s">
        <v>3296</v>
      </c>
      <c r="B6500" t="s">
        <v>2931</v>
      </c>
      <c r="C6500">
        <v>5551</v>
      </c>
      <c r="D6500" t="str">
        <f t="shared" si="117"/>
        <v xml:space="preserve">2560354733  </v>
      </c>
      <c r="E6500" t="s">
        <v>277</v>
      </c>
      <c r="F6500" t="s">
        <v>279</v>
      </c>
      <c r="G6500">
        <v>56.21</v>
      </c>
      <c r="H6500">
        <v>250421</v>
      </c>
      <c r="I6500">
        <v>4520</v>
      </c>
      <c r="J6500" t="s">
        <v>280</v>
      </c>
      <c r="K6500">
        <v>3833.3</v>
      </c>
      <c r="L6500">
        <v>11.42</v>
      </c>
      <c r="M6500">
        <v>14432</v>
      </c>
      <c r="N6500" t="s">
        <v>75</v>
      </c>
      <c r="O6500">
        <v>250425</v>
      </c>
      <c r="P6500">
        <v>44.79</v>
      </c>
    </row>
    <row r="6501" spans="1:16" x14ac:dyDescent="0.25">
      <c r="A6501" t="s">
        <v>3296</v>
      </c>
      <c r="B6501" t="s">
        <v>2931</v>
      </c>
      <c r="C6501">
        <v>5551</v>
      </c>
      <c r="D6501" t="str">
        <f t="shared" si="117"/>
        <v xml:space="preserve">2560354733  </v>
      </c>
      <c r="E6501" t="s">
        <v>277</v>
      </c>
      <c r="F6501" t="s">
        <v>279</v>
      </c>
      <c r="G6501">
        <v>595.45000000000005</v>
      </c>
      <c r="H6501">
        <v>250421</v>
      </c>
      <c r="I6501">
        <v>4520</v>
      </c>
      <c r="J6501" t="s">
        <v>280</v>
      </c>
      <c r="K6501">
        <v>3833.3</v>
      </c>
      <c r="L6501">
        <v>73.13</v>
      </c>
      <c r="M6501">
        <v>14432</v>
      </c>
      <c r="N6501" t="s">
        <v>75</v>
      </c>
      <c r="O6501">
        <v>250425</v>
      </c>
      <c r="P6501">
        <v>522.32000000000005</v>
      </c>
    </row>
    <row r="6502" spans="1:16" x14ac:dyDescent="0.25">
      <c r="A6502" t="s">
        <v>3296</v>
      </c>
      <c r="B6502" t="s">
        <v>2931</v>
      </c>
      <c r="C6502">
        <v>5551</v>
      </c>
      <c r="D6502" t="str">
        <f t="shared" si="117"/>
        <v xml:space="preserve">2560354733  </v>
      </c>
      <c r="E6502" t="s">
        <v>277</v>
      </c>
      <c r="F6502" t="s">
        <v>279</v>
      </c>
      <c r="G6502">
        <v>3.29</v>
      </c>
      <c r="H6502">
        <v>250421</v>
      </c>
      <c r="I6502">
        <v>4520</v>
      </c>
      <c r="J6502" t="s">
        <v>280</v>
      </c>
      <c r="K6502">
        <v>3833.3</v>
      </c>
      <c r="L6502">
        <v>0.67</v>
      </c>
      <c r="M6502">
        <v>14640</v>
      </c>
      <c r="N6502" t="s">
        <v>78</v>
      </c>
      <c r="O6502">
        <v>250425</v>
      </c>
      <c r="P6502">
        <v>2.62</v>
      </c>
    </row>
    <row r="6503" spans="1:16" x14ac:dyDescent="0.25">
      <c r="A6503" t="s">
        <v>3296</v>
      </c>
      <c r="B6503" t="s">
        <v>2931</v>
      </c>
      <c r="C6503">
        <v>5551</v>
      </c>
      <c r="D6503" t="str">
        <f t="shared" si="117"/>
        <v xml:space="preserve">2560354733  </v>
      </c>
      <c r="E6503" t="s">
        <v>277</v>
      </c>
      <c r="F6503" t="s">
        <v>279</v>
      </c>
      <c r="G6503">
        <v>35.020000000000003</v>
      </c>
      <c r="H6503">
        <v>250421</v>
      </c>
      <c r="I6503">
        <v>4520</v>
      </c>
      <c r="J6503" t="s">
        <v>280</v>
      </c>
      <c r="K6503">
        <v>3833.3</v>
      </c>
      <c r="L6503">
        <v>4.3</v>
      </c>
      <c r="M6503">
        <v>14640</v>
      </c>
      <c r="N6503" t="s">
        <v>78</v>
      </c>
      <c r="O6503">
        <v>250425</v>
      </c>
      <c r="P6503">
        <v>30.72</v>
      </c>
    </row>
    <row r="6504" spans="1:16" x14ac:dyDescent="0.25">
      <c r="A6504" t="s">
        <v>3296</v>
      </c>
      <c r="B6504" t="s">
        <v>2931</v>
      </c>
      <c r="C6504">
        <v>5551</v>
      </c>
      <c r="D6504" t="str">
        <f t="shared" si="117"/>
        <v xml:space="preserve">2560354733  </v>
      </c>
      <c r="E6504" t="s">
        <v>277</v>
      </c>
      <c r="F6504" t="s">
        <v>279</v>
      </c>
      <c r="G6504">
        <v>13.23</v>
      </c>
      <c r="H6504">
        <v>250421</v>
      </c>
      <c r="I6504">
        <v>4520</v>
      </c>
      <c r="J6504" t="s">
        <v>280</v>
      </c>
      <c r="K6504">
        <v>3833.3</v>
      </c>
      <c r="L6504">
        <v>2.69</v>
      </c>
      <c r="M6504">
        <v>14642</v>
      </c>
      <c r="N6504" t="s">
        <v>283</v>
      </c>
      <c r="O6504">
        <v>250425</v>
      </c>
      <c r="P6504">
        <v>10.54</v>
      </c>
    </row>
    <row r="6505" spans="1:16" x14ac:dyDescent="0.25">
      <c r="A6505" t="s">
        <v>3296</v>
      </c>
      <c r="B6505" t="s">
        <v>2931</v>
      </c>
      <c r="C6505">
        <v>5551</v>
      </c>
      <c r="D6505" t="str">
        <f t="shared" si="117"/>
        <v xml:space="preserve">2560354733  </v>
      </c>
      <c r="E6505" t="s">
        <v>277</v>
      </c>
      <c r="F6505" t="s">
        <v>279</v>
      </c>
      <c r="G6505">
        <v>140.11000000000001</v>
      </c>
      <c r="H6505">
        <v>250421</v>
      </c>
      <c r="I6505">
        <v>4520</v>
      </c>
      <c r="J6505" t="s">
        <v>280</v>
      </c>
      <c r="K6505">
        <v>3833.3</v>
      </c>
      <c r="L6505">
        <v>17.21</v>
      </c>
      <c r="M6505">
        <v>14642</v>
      </c>
      <c r="N6505" t="s">
        <v>283</v>
      </c>
      <c r="O6505">
        <v>250425</v>
      </c>
      <c r="P6505">
        <v>122.9</v>
      </c>
    </row>
    <row r="6506" spans="1:16" x14ac:dyDescent="0.25">
      <c r="A6506" t="s">
        <v>3296</v>
      </c>
      <c r="B6506" t="s">
        <v>2931</v>
      </c>
      <c r="C6506">
        <v>5551</v>
      </c>
      <c r="D6506" t="str">
        <f t="shared" si="117"/>
        <v xml:space="preserve">2560354733  </v>
      </c>
      <c r="E6506" t="s">
        <v>277</v>
      </c>
      <c r="F6506" t="s">
        <v>279</v>
      </c>
      <c r="G6506">
        <v>241.36</v>
      </c>
      <c r="H6506">
        <v>250421</v>
      </c>
      <c r="I6506">
        <v>4520</v>
      </c>
      <c r="J6506" t="s">
        <v>280</v>
      </c>
      <c r="K6506">
        <v>3833.3</v>
      </c>
      <c r="L6506">
        <v>49.04</v>
      </c>
      <c r="M6506">
        <v>14912</v>
      </c>
      <c r="N6506" t="s">
        <v>80</v>
      </c>
      <c r="O6506">
        <v>250425</v>
      </c>
      <c r="P6506">
        <v>192.32</v>
      </c>
    </row>
    <row r="6507" spans="1:16" x14ac:dyDescent="0.25">
      <c r="A6507" t="s">
        <v>3296</v>
      </c>
      <c r="B6507" t="s">
        <v>2931</v>
      </c>
      <c r="C6507">
        <v>5551</v>
      </c>
      <c r="D6507" t="str">
        <f t="shared" si="117"/>
        <v xml:space="preserve">2560354733  </v>
      </c>
      <c r="E6507" t="s">
        <v>277</v>
      </c>
      <c r="F6507" t="s">
        <v>279</v>
      </c>
      <c r="G6507">
        <v>2556.9499999999998</v>
      </c>
      <c r="H6507">
        <v>250421</v>
      </c>
      <c r="I6507">
        <v>4520</v>
      </c>
      <c r="J6507" t="s">
        <v>280</v>
      </c>
      <c r="K6507">
        <v>3833.3</v>
      </c>
      <c r="L6507">
        <v>314.01</v>
      </c>
      <c r="M6507">
        <v>14912</v>
      </c>
      <c r="N6507" t="s">
        <v>80</v>
      </c>
      <c r="O6507">
        <v>250425</v>
      </c>
      <c r="P6507">
        <v>2242.94</v>
      </c>
    </row>
    <row r="6508" spans="1:16" x14ac:dyDescent="0.25">
      <c r="A6508" t="s">
        <v>3296</v>
      </c>
      <c r="B6508" t="s">
        <v>2931</v>
      </c>
      <c r="C6508">
        <v>5568</v>
      </c>
      <c r="D6508" t="str">
        <f>"2560354730  "</f>
        <v xml:space="preserve">2560354730  </v>
      </c>
      <c r="E6508" t="s">
        <v>277</v>
      </c>
      <c r="F6508" t="s">
        <v>279</v>
      </c>
      <c r="G6508">
        <v>723.84</v>
      </c>
      <c r="H6508">
        <v>250421</v>
      </c>
      <c r="I6508">
        <v>4520</v>
      </c>
      <c r="J6508" t="s">
        <v>280</v>
      </c>
      <c r="K6508">
        <v>884.57</v>
      </c>
      <c r="L6508">
        <v>88.89</v>
      </c>
      <c r="M6508">
        <v>69113</v>
      </c>
      <c r="N6508" t="s">
        <v>122</v>
      </c>
      <c r="O6508">
        <v>250425</v>
      </c>
      <c r="P6508">
        <v>634.95000000000005</v>
      </c>
    </row>
    <row r="6509" spans="1:16" x14ac:dyDescent="0.25">
      <c r="A6509" t="s">
        <v>3296</v>
      </c>
      <c r="B6509" t="s">
        <v>2931</v>
      </c>
      <c r="C6509">
        <v>5568</v>
      </c>
      <c r="D6509" t="str">
        <f>"2560354730  "</f>
        <v xml:space="preserve">2560354730  </v>
      </c>
      <c r="E6509" t="s">
        <v>277</v>
      </c>
      <c r="F6509" t="s">
        <v>279</v>
      </c>
      <c r="G6509">
        <v>85.16</v>
      </c>
      <c r="H6509">
        <v>250421</v>
      </c>
      <c r="I6509">
        <v>4520</v>
      </c>
      <c r="J6509" t="s">
        <v>280</v>
      </c>
      <c r="K6509">
        <v>884.57</v>
      </c>
      <c r="L6509">
        <v>10.46</v>
      </c>
      <c r="M6509">
        <v>69802</v>
      </c>
      <c r="N6509" t="s">
        <v>375</v>
      </c>
      <c r="O6509">
        <v>250425</v>
      </c>
      <c r="P6509">
        <v>74.7</v>
      </c>
    </row>
    <row r="6510" spans="1:16" x14ac:dyDescent="0.25">
      <c r="A6510" t="s">
        <v>3296</v>
      </c>
      <c r="B6510" t="s">
        <v>2931</v>
      </c>
      <c r="C6510">
        <v>5568</v>
      </c>
      <c r="D6510" t="str">
        <f>"2560354730  "</f>
        <v xml:space="preserve">2560354730  </v>
      </c>
      <c r="E6510" t="s">
        <v>277</v>
      </c>
      <c r="F6510" t="s">
        <v>279</v>
      </c>
      <c r="G6510">
        <v>42.58</v>
      </c>
      <c r="H6510">
        <v>250421</v>
      </c>
      <c r="I6510">
        <v>4520</v>
      </c>
      <c r="J6510" t="s">
        <v>280</v>
      </c>
      <c r="K6510">
        <v>884.57</v>
      </c>
      <c r="L6510">
        <v>5.23</v>
      </c>
      <c r="M6510">
        <v>69804</v>
      </c>
      <c r="N6510" t="s">
        <v>376</v>
      </c>
      <c r="O6510">
        <v>250425</v>
      </c>
      <c r="P6510">
        <v>37.35</v>
      </c>
    </row>
    <row r="6511" spans="1:16" x14ac:dyDescent="0.25">
      <c r="A6511" t="s">
        <v>3296</v>
      </c>
      <c r="B6511" t="s">
        <v>2931</v>
      </c>
      <c r="C6511">
        <v>5571</v>
      </c>
      <c r="D6511" t="str">
        <f>"2560354729  "</f>
        <v xml:space="preserve">2560354729  </v>
      </c>
      <c r="E6511" t="s">
        <v>277</v>
      </c>
      <c r="F6511" t="s">
        <v>279</v>
      </c>
      <c r="G6511">
        <v>262.35000000000002</v>
      </c>
      <c r="H6511">
        <v>250421</v>
      </c>
      <c r="I6511">
        <v>4520</v>
      </c>
      <c r="J6511" t="s">
        <v>280</v>
      </c>
      <c r="K6511">
        <v>274.89999999999998</v>
      </c>
      <c r="L6511">
        <v>32.22</v>
      </c>
      <c r="M6511">
        <v>59113</v>
      </c>
      <c r="N6511" t="s">
        <v>61</v>
      </c>
      <c r="O6511">
        <v>250425</v>
      </c>
      <c r="P6511">
        <v>230.13</v>
      </c>
    </row>
    <row r="6512" spans="1:16" x14ac:dyDescent="0.25">
      <c r="A6512" t="s">
        <v>3296</v>
      </c>
      <c r="B6512" t="s">
        <v>2931</v>
      </c>
      <c r="C6512">
        <v>5598</v>
      </c>
      <c r="D6512" t="str">
        <f>"2560354732  "</f>
        <v xml:space="preserve">2560354732  </v>
      </c>
      <c r="E6512" t="s">
        <v>277</v>
      </c>
      <c r="F6512" t="s">
        <v>279</v>
      </c>
      <c r="G6512">
        <v>-12.55</v>
      </c>
      <c r="H6512">
        <v>250421</v>
      </c>
      <c r="I6512">
        <v>4520</v>
      </c>
      <c r="J6512" t="s">
        <v>280</v>
      </c>
      <c r="K6512">
        <v>77.459999999999994</v>
      </c>
      <c r="L6512">
        <v>-2.5499999999999998</v>
      </c>
      <c r="M6512">
        <v>17913</v>
      </c>
      <c r="N6512" t="s">
        <v>26</v>
      </c>
      <c r="O6512">
        <v>250425</v>
      </c>
      <c r="P6512">
        <v>-10</v>
      </c>
    </row>
    <row r="6513" spans="1:16" x14ac:dyDescent="0.25">
      <c r="A6513" t="s">
        <v>3296</v>
      </c>
      <c r="B6513" t="s">
        <v>2931</v>
      </c>
      <c r="C6513">
        <v>5598</v>
      </c>
      <c r="D6513" t="str">
        <f>"2560354732  "</f>
        <v xml:space="preserve">2560354732  </v>
      </c>
      <c r="E6513" t="s">
        <v>277</v>
      </c>
      <c r="F6513" t="s">
        <v>279</v>
      </c>
      <c r="G6513">
        <v>81.010000000000005</v>
      </c>
      <c r="H6513">
        <v>250421</v>
      </c>
      <c r="I6513">
        <v>4520</v>
      </c>
      <c r="J6513" t="s">
        <v>280</v>
      </c>
      <c r="K6513">
        <v>77.459999999999994</v>
      </c>
      <c r="L6513">
        <v>9.9499999999999993</v>
      </c>
      <c r="M6513">
        <v>17913</v>
      </c>
      <c r="N6513" t="s">
        <v>26</v>
      </c>
      <c r="O6513">
        <v>250425</v>
      </c>
      <c r="P6513">
        <v>71.06</v>
      </c>
    </row>
    <row r="6514" spans="1:16" x14ac:dyDescent="0.25">
      <c r="A6514" t="s">
        <v>3296</v>
      </c>
      <c r="B6514" t="s">
        <v>2931</v>
      </c>
      <c r="C6514">
        <v>5598</v>
      </c>
      <c r="D6514" t="str">
        <f>"2560354732  "</f>
        <v xml:space="preserve">2560354732  </v>
      </c>
      <c r="E6514" t="s">
        <v>277</v>
      </c>
      <c r="F6514" t="s">
        <v>279</v>
      </c>
      <c r="G6514">
        <v>9</v>
      </c>
      <c r="H6514">
        <v>250421</v>
      </c>
      <c r="I6514">
        <v>4520</v>
      </c>
      <c r="J6514" t="s">
        <v>280</v>
      </c>
      <c r="K6514">
        <v>77.459999999999994</v>
      </c>
      <c r="L6514">
        <v>1.1100000000000001</v>
      </c>
      <c r="M6514">
        <v>17982</v>
      </c>
      <c r="N6514" t="s">
        <v>281</v>
      </c>
      <c r="O6514">
        <v>250425</v>
      </c>
      <c r="P6514">
        <v>7.89</v>
      </c>
    </row>
    <row r="6515" spans="1:16" x14ac:dyDescent="0.25">
      <c r="A6515" t="s">
        <v>3296</v>
      </c>
      <c r="B6515" t="s">
        <v>2931</v>
      </c>
      <c r="C6515">
        <v>5615</v>
      </c>
      <c r="D6515" t="str">
        <f>"2560354734  "</f>
        <v xml:space="preserve">2560354734  </v>
      </c>
      <c r="E6515" t="s">
        <v>277</v>
      </c>
      <c r="F6515" t="s">
        <v>279</v>
      </c>
      <c r="G6515">
        <v>268.58999999999997</v>
      </c>
      <c r="H6515">
        <v>250421</v>
      </c>
      <c r="I6515">
        <v>4520</v>
      </c>
      <c r="J6515" t="s">
        <v>280</v>
      </c>
      <c r="K6515">
        <v>300.08999999999997</v>
      </c>
      <c r="L6515">
        <v>32.979999999999997</v>
      </c>
      <c r="M6515">
        <v>68601</v>
      </c>
      <c r="N6515" t="s">
        <v>1031</v>
      </c>
      <c r="O6515">
        <v>250425</v>
      </c>
      <c r="P6515">
        <v>235.61</v>
      </c>
    </row>
    <row r="6516" spans="1:16" x14ac:dyDescent="0.25">
      <c r="A6516" t="s">
        <v>3296</v>
      </c>
      <c r="B6516" t="s">
        <v>2931</v>
      </c>
      <c r="C6516">
        <v>5627</v>
      </c>
      <c r="D6516" t="str">
        <f>"2560320676  "</f>
        <v xml:space="preserve">2560320676  </v>
      </c>
      <c r="E6516" t="s">
        <v>277</v>
      </c>
      <c r="F6516" t="s">
        <v>279</v>
      </c>
      <c r="G6516">
        <v>1257.02</v>
      </c>
      <c r="H6516">
        <v>250407</v>
      </c>
      <c r="I6516">
        <v>4520</v>
      </c>
      <c r="J6516" t="s">
        <v>280</v>
      </c>
      <c r="K6516">
        <v>1286.76</v>
      </c>
      <c r="L6516">
        <v>154.37</v>
      </c>
      <c r="M6516">
        <v>49112</v>
      </c>
      <c r="N6516" t="s">
        <v>109</v>
      </c>
      <c r="O6516">
        <v>250428</v>
      </c>
      <c r="P6516">
        <v>1102.6500000000001</v>
      </c>
    </row>
    <row r="6517" spans="1:16" x14ac:dyDescent="0.25">
      <c r="A6517" t="s">
        <v>3296</v>
      </c>
      <c r="B6517" t="s">
        <v>2931</v>
      </c>
      <c r="C6517">
        <v>5628</v>
      </c>
      <c r="D6517" t="str">
        <f>"2560338349  "</f>
        <v xml:space="preserve">2560338349  </v>
      </c>
      <c r="E6517" t="s">
        <v>277</v>
      </c>
      <c r="F6517" t="s">
        <v>279</v>
      </c>
      <c r="G6517">
        <v>2272.0500000000002</v>
      </c>
      <c r="H6517">
        <v>250414</v>
      </c>
      <c r="I6517">
        <v>4520</v>
      </c>
      <c r="J6517" t="s">
        <v>280</v>
      </c>
      <c r="K6517">
        <v>2880.08</v>
      </c>
      <c r="L6517">
        <v>279.02</v>
      </c>
      <c r="M6517">
        <v>49112</v>
      </c>
      <c r="N6517" t="s">
        <v>109</v>
      </c>
      <c r="O6517">
        <v>250428</v>
      </c>
      <c r="P6517">
        <v>1993.03</v>
      </c>
    </row>
    <row r="6518" spans="1:16" x14ac:dyDescent="0.25">
      <c r="A6518" t="s">
        <v>3296</v>
      </c>
      <c r="B6518" t="s">
        <v>2931</v>
      </c>
      <c r="C6518">
        <v>5819</v>
      </c>
      <c r="D6518" t="str">
        <f>"2560371626  "</f>
        <v xml:space="preserve">2560371626  </v>
      </c>
      <c r="E6518" t="s">
        <v>277</v>
      </c>
      <c r="F6518" t="s">
        <v>279</v>
      </c>
      <c r="G6518">
        <v>302.67</v>
      </c>
      <c r="H6518">
        <v>250428</v>
      </c>
      <c r="I6518">
        <v>4520</v>
      </c>
      <c r="J6518" t="s">
        <v>280</v>
      </c>
      <c r="K6518">
        <v>336.3</v>
      </c>
      <c r="L6518">
        <v>37.17</v>
      </c>
      <c r="M6518">
        <v>69112</v>
      </c>
      <c r="N6518" t="s">
        <v>227</v>
      </c>
      <c r="O6518">
        <v>250505</v>
      </c>
      <c r="P6518">
        <v>265.5</v>
      </c>
    </row>
    <row r="6519" spans="1:16" x14ac:dyDescent="0.25">
      <c r="A6519" t="s">
        <v>3296</v>
      </c>
      <c r="B6519" t="s">
        <v>2931</v>
      </c>
      <c r="C6519">
        <v>5819</v>
      </c>
      <c r="D6519" t="str">
        <f>"2560371626  "</f>
        <v xml:space="preserve">2560371626  </v>
      </c>
      <c r="E6519" t="s">
        <v>277</v>
      </c>
      <c r="F6519" t="s">
        <v>279</v>
      </c>
      <c r="G6519">
        <v>16.82</v>
      </c>
      <c r="H6519">
        <v>250428</v>
      </c>
      <c r="I6519">
        <v>4520</v>
      </c>
      <c r="J6519" t="s">
        <v>280</v>
      </c>
      <c r="K6519">
        <v>336.3</v>
      </c>
      <c r="L6519">
        <v>2.0699999999999998</v>
      </c>
      <c r="M6519">
        <v>69810</v>
      </c>
      <c r="N6519" t="s">
        <v>229</v>
      </c>
      <c r="O6519">
        <v>250505</v>
      </c>
      <c r="P6519">
        <v>14.75</v>
      </c>
    </row>
    <row r="6520" spans="1:16" x14ac:dyDescent="0.25">
      <c r="A6520" t="s">
        <v>3296</v>
      </c>
      <c r="B6520" t="s">
        <v>2931</v>
      </c>
      <c r="C6520">
        <v>5819</v>
      </c>
      <c r="D6520" t="str">
        <f>"2560371626  "</f>
        <v xml:space="preserve">2560371626  </v>
      </c>
      <c r="E6520" t="s">
        <v>277</v>
      </c>
      <c r="F6520" t="s">
        <v>279</v>
      </c>
      <c r="G6520">
        <v>16.809999999999999</v>
      </c>
      <c r="H6520">
        <v>250428</v>
      </c>
      <c r="I6520">
        <v>4520</v>
      </c>
      <c r="J6520" t="s">
        <v>280</v>
      </c>
      <c r="K6520">
        <v>336.3</v>
      </c>
      <c r="L6520">
        <v>2.06</v>
      </c>
      <c r="M6520">
        <v>69811</v>
      </c>
      <c r="N6520" t="s">
        <v>230</v>
      </c>
      <c r="O6520">
        <v>250505</v>
      </c>
      <c r="P6520">
        <v>14.75</v>
      </c>
    </row>
    <row r="6521" spans="1:16" x14ac:dyDescent="0.25">
      <c r="A6521" t="s">
        <v>3296</v>
      </c>
      <c r="B6521" t="s">
        <v>2931</v>
      </c>
      <c r="C6521">
        <v>5822</v>
      </c>
      <c r="D6521" t="str">
        <f>"2560371617  "</f>
        <v xml:space="preserve">2560371617  </v>
      </c>
      <c r="E6521" t="s">
        <v>277</v>
      </c>
      <c r="F6521" t="s">
        <v>279</v>
      </c>
      <c r="G6521">
        <v>617.21</v>
      </c>
      <c r="H6521">
        <v>250428</v>
      </c>
      <c r="I6521">
        <v>4520</v>
      </c>
      <c r="J6521" t="s">
        <v>280</v>
      </c>
      <c r="K6521">
        <v>767.9</v>
      </c>
      <c r="L6521">
        <v>75.8</v>
      </c>
      <c r="M6521">
        <v>59114</v>
      </c>
      <c r="N6521" t="s">
        <v>299</v>
      </c>
      <c r="O6521">
        <v>250505</v>
      </c>
      <c r="P6521">
        <v>541.41</v>
      </c>
    </row>
    <row r="6522" spans="1:16" x14ac:dyDescent="0.25">
      <c r="A6522" t="s">
        <v>3296</v>
      </c>
      <c r="B6522" t="s">
        <v>2931</v>
      </c>
      <c r="C6522">
        <v>5822</v>
      </c>
      <c r="D6522" t="str">
        <f>"2560371617  "</f>
        <v xml:space="preserve">2560371617  </v>
      </c>
      <c r="E6522" t="s">
        <v>277</v>
      </c>
      <c r="F6522" t="s">
        <v>279</v>
      </c>
      <c r="G6522">
        <v>68.58</v>
      </c>
      <c r="H6522">
        <v>250428</v>
      </c>
      <c r="I6522">
        <v>4520</v>
      </c>
      <c r="J6522" t="s">
        <v>280</v>
      </c>
      <c r="K6522">
        <v>767.9</v>
      </c>
      <c r="L6522">
        <v>8.42</v>
      </c>
      <c r="M6522">
        <v>59808</v>
      </c>
      <c r="N6522" t="s">
        <v>699</v>
      </c>
      <c r="O6522">
        <v>250505</v>
      </c>
      <c r="P6522">
        <v>60.16</v>
      </c>
    </row>
    <row r="6523" spans="1:16" x14ac:dyDescent="0.25">
      <c r="A6523" t="s">
        <v>3296</v>
      </c>
      <c r="B6523" t="s">
        <v>2931</v>
      </c>
      <c r="C6523">
        <v>5823</v>
      </c>
      <c r="D6523" t="str">
        <f>"2560371619  "</f>
        <v xml:space="preserve">2560371619  </v>
      </c>
      <c r="E6523" t="s">
        <v>277</v>
      </c>
      <c r="F6523" t="s">
        <v>279</v>
      </c>
      <c r="G6523">
        <v>1588.64</v>
      </c>
      <c r="H6523">
        <v>250428</v>
      </c>
      <c r="I6523">
        <v>4520</v>
      </c>
      <c r="J6523" t="s">
        <v>280</v>
      </c>
      <c r="K6523">
        <v>1831.34</v>
      </c>
      <c r="L6523">
        <v>195.1</v>
      </c>
      <c r="M6523">
        <v>59113</v>
      </c>
      <c r="N6523" t="s">
        <v>61</v>
      </c>
      <c r="O6523">
        <v>250505</v>
      </c>
      <c r="P6523">
        <v>1393.54</v>
      </c>
    </row>
    <row r="6524" spans="1:16" x14ac:dyDescent="0.25">
      <c r="A6524" t="s">
        <v>3296</v>
      </c>
      <c r="B6524" t="s">
        <v>2931</v>
      </c>
      <c r="C6524">
        <v>5823</v>
      </c>
      <c r="D6524" t="str">
        <f>"2560371619  "</f>
        <v xml:space="preserve">2560371619  </v>
      </c>
      <c r="E6524" t="s">
        <v>277</v>
      </c>
      <c r="F6524" t="s">
        <v>279</v>
      </c>
      <c r="G6524">
        <v>280.35000000000002</v>
      </c>
      <c r="H6524">
        <v>250428</v>
      </c>
      <c r="I6524">
        <v>4520</v>
      </c>
      <c r="J6524" t="s">
        <v>280</v>
      </c>
      <c r="K6524">
        <v>1831.34</v>
      </c>
      <c r="L6524">
        <v>34.43</v>
      </c>
      <c r="M6524">
        <v>59803</v>
      </c>
      <c r="N6524" t="s">
        <v>282</v>
      </c>
      <c r="O6524">
        <v>250505</v>
      </c>
      <c r="P6524">
        <v>245.92</v>
      </c>
    </row>
    <row r="6525" spans="1:16" x14ac:dyDescent="0.25">
      <c r="A6525" t="s">
        <v>3296</v>
      </c>
      <c r="B6525" t="s">
        <v>2931</v>
      </c>
      <c r="C6525">
        <v>5826</v>
      </c>
      <c r="D6525" t="str">
        <f>"2560371623  "</f>
        <v xml:space="preserve">2560371623  </v>
      </c>
      <c r="E6525" t="s">
        <v>277</v>
      </c>
      <c r="F6525" t="s">
        <v>279</v>
      </c>
      <c r="G6525">
        <v>65</v>
      </c>
      <c r="H6525">
        <v>250428</v>
      </c>
      <c r="I6525">
        <v>4520</v>
      </c>
      <c r="J6525" t="s">
        <v>280</v>
      </c>
      <c r="K6525">
        <v>2790.27</v>
      </c>
      <c r="L6525">
        <v>7.98</v>
      </c>
      <c r="M6525">
        <v>16441</v>
      </c>
      <c r="N6525" t="s">
        <v>1674</v>
      </c>
      <c r="O6525">
        <v>250505</v>
      </c>
      <c r="P6525">
        <v>57.02</v>
      </c>
    </row>
    <row r="6526" spans="1:16" x14ac:dyDescent="0.25">
      <c r="A6526" t="s">
        <v>3296</v>
      </c>
      <c r="B6526" t="s">
        <v>2931</v>
      </c>
      <c r="C6526">
        <v>5826</v>
      </c>
      <c r="D6526" t="str">
        <f>"2560371623  "</f>
        <v xml:space="preserve">2560371623  </v>
      </c>
      <c r="E6526" t="s">
        <v>277</v>
      </c>
      <c r="F6526" t="s">
        <v>279</v>
      </c>
      <c r="G6526">
        <v>67.650000000000006</v>
      </c>
      <c r="H6526">
        <v>250428</v>
      </c>
      <c r="I6526">
        <v>4520</v>
      </c>
      <c r="J6526" t="s">
        <v>280</v>
      </c>
      <c r="K6526">
        <v>2790.27</v>
      </c>
      <c r="L6526">
        <v>8.31</v>
      </c>
      <c r="M6526">
        <v>16442</v>
      </c>
      <c r="N6526" t="s">
        <v>304</v>
      </c>
      <c r="O6526">
        <v>250505</v>
      </c>
      <c r="P6526">
        <v>59.34</v>
      </c>
    </row>
    <row r="6527" spans="1:16" x14ac:dyDescent="0.25">
      <c r="A6527" t="s">
        <v>3296</v>
      </c>
      <c r="B6527" t="s">
        <v>2931</v>
      </c>
      <c r="C6527">
        <v>5826</v>
      </c>
      <c r="D6527" t="str">
        <f>"2560371623  "</f>
        <v xml:space="preserve">2560371623  </v>
      </c>
      <c r="E6527" t="s">
        <v>277</v>
      </c>
      <c r="F6527" t="s">
        <v>279</v>
      </c>
      <c r="G6527">
        <v>70.19</v>
      </c>
      <c r="H6527">
        <v>250428</v>
      </c>
      <c r="I6527">
        <v>4520</v>
      </c>
      <c r="J6527" t="s">
        <v>280</v>
      </c>
      <c r="K6527">
        <v>2790.27</v>
      </c>
      <c r="L6527">
        <v>14.26</v>
      </c>
      <c r="M6527">
        <v>17913</v>
      </c>
      <c r="N6527" t="s">
        <v>26</v>
      </c>
      <c r="O6527">
        <v>250505</v>
      </c>
      <c r="P6527">
        <v>55.93</v>
      </c>
    </row>
    <row r="6528" spans="1:16" x14ac:dyDescent="0.25">
      <c r="A6528" t="s">
        <v>3296</v>
      </c>
      <c r="B6528" t="s">
        <v>2931</v>
      </c>
      <c r="C6528">
        <v>5826</v>
      </c>
      <c r="D6528" t="str">
        <f>"2560371623  "</f>
        <v xml:space="preserve">2560371623  </v>
      </c>
      <c r="E6528" t="s">
        <v>277</v>
      </c>
      <c r="F6528" t="s">
        <v>279</v>
      </c>
      <c r="G6528">
        <v>2026.83</v>
      </c>
      <c r="H6528">
        <v>250428</v>
      </c>
      <c r="I6528">
        <v>4520</v>
      </c>
      <c r="J6528" t="s">
        <v>280</v>
      </c>
      <c r="K6528">
        <v>2790.27</v>
      </c>
      <c r="L6528">
        <v>248.91</v>
      </c>
      <c r="M6528">
        <v>17913</v>
      </c>
      <c r="N6528" t="s">
        <v>26</v>
      </c>
      <c r="O6528">
        <v>250505</v>
      </c>
      <c r="P6528">
        <v>1777.92</v>
      </c>
    </row>
    <row r="6529" spans="1:16" x14ac:dyDescent="0.25">
      <c r="A6529" t="s">
        <v>3296</v>
      </c>
      <c r="B6529" t="s">
        <v>2931</v>
      </c>
      <c r="C6529">
        <v>5826</v>
      </c>
      <c r="D6529" t="str">
        <f>"2560371623  "</f>
        <v xml:space="preserve">2560371623  </v>
      </c>
      <c r="E6529" t="s">
        <v>277</v>
      </c>
      <c r="F6529" t="s">
        <v>279</v>
      </c>
      <c r="G6529">
        <v>560.6</v>
      </c>
      <c r="H6529">
        <v>250428</v>
      </c>
      <c r="I6529">
        <v>4520</v>
      </c>
      <c r="J6529" t="s">
        <v>280</v>
      </c>
      <c r="K6529">
        <v>2790.27</v>
      </c>
      <c r="L6529">
        <v>68.849999999999994</v>
      </c>
      <c r="M6529">
        <v>17982</v>
      </c>
      <c r="N6529" t="s">
        <v>281</v>
      </c>
      <c r="O6529">
        <v>250505</v>
      </c>
      <c r="P6529">
        <v>491.75</v>
      </c>
    </row>
    <row r="6530" spans="1:16" x14ac:dyDescent="0.25">
      <c r="A6530" t="s">
        <v>3296</v>
      </c>
      <c r="B6530" t="s">
        <v>2931</v>
      </c>
      <c r="C6530">
        <v>5854</v>
      </c>
      <c r="D6530" t="str">
        <f>"2560378642  "</f>
        <v xml:space="preserve">2560378642  </v>
      </c>
      <c r="E6530" t="s">
        <v>277</v>
      </c>
      <c r="F6530" t="s">
        <v>279</v>
      </c>
      <c r="G6530">
        <v>21.96</v>
      </c>
      <c r="H6530">
        <v>250430</v>
      </c>
      <c r="I6530">
        <v>4520</v>
      </c>
      <c r="J6530" t="s">
        <v>280</v>
      </c>
      <c r="K6530">
        <v>371.66</v>
      </c>
      <c r="L6530">
        <v>2.7</v>
      </c>
      <c r="M6530">
        <v>16441</v>
      </c>
      <c r="N6530" t="s">
        <v>1674</v>
      </c>
      <c r="O6530">
        <v>250505</v>
      </c>
      <c r="P6530">
        <v>19.260000000000002</v>
      </c>
    </row>
    <row r="6531" spans="1:16" x14ac:dyDescent="0.25">
      <c r="A6531" t="s">
        <v>3296</v>
      </c>
      <c r="B6531" t="s">
        <v>2931</v>
      </c>
      <c r="C6531">
        <v>5854</v>
      </c>
      <c r="D6531" t="str">
        <f>"2560378642  "</f>
        <v xml:space="preserve">2560378642  </v>
      </c>
      <c r="E6531" t="s">
        <v>277</v>
      </c>
      <c r="F6531" t="s">
        <v>279</v>
      </c>
      <c r="G6531">
        <v>18.190000000000001</v>
      </c>
      <c r="H6531">
        <v>250430</v>
      </c>
      <c r="I6531">
        <v>4520</v>
      </c>
      <c r="J6531" t="s">
        <v>280</v>
      </c>
      <c r="K6531">
        <v>371.66</v>
      </c>
      <c r="L6531">
        <v>2.23</v>
      </c>
      <c r="M6531">
        <v>16442</v>
      </c>
      <c r="N6531" t="s">
        <v>304</v>
      </c>
      <c r="O6531">
        <v>250505</v>
      </c>
      <c r="P6531">
        <v>15.96</v>
      </c>
    </row>
    <row r="6532" spans="1:16" x14ac:dyDescent="0.25">
      <c r="A6532" t="s">
        <v>3296</v>
      </c>
      <c r="B6532" t="s">
        <v>2931</v>
      </c>
      <c r="C6532">
        <v>5854</v>
      </c>
      <c r="D6532" t="str">
        <f>"2560378642  "</f>
        <v xml:space="preserve">2560378642  </v>
      </c>
      <c r="E6532" t="s">
        <v>277</v>
      </c>
      <c r="F6532" t="s">
        <v>279</v>
      </c>
      <c r="G6532">
        <v>298.36</v>
      </c>
      <c r="H6532">
        <v>250430</v>
      </c>
      <c r="I6532">
        <v>4520</v>
      </c>
      <c r="J6532" t="s">
        <v>280</v>
      </c>
      <c r="K6532">
        <v>371.66</v>
      </c>
      <c r="L6532">
        <v>36.64</v>
      </c>
      <c r="M6532">
        <v>17913</v>
      </c>
      <c r="N6532" t="s">
        <v>26</v>
      </c>
      <c r="O6532">
        <v>250505</v>
      </c>
      <c r="P6532">
        <v>261.72000000000003</v>
      </c>
    </row>
    <row r="6533" spans="1:16" x14ac:dyDescent="0.25">
      <c r="A6533" t="s">
        <v>3296</v>
      </c>
      <c r="B6533" t="s">
        <v>2931</v>
      </c>
      <c r="C6533">
        <v>5854</v>
      </c>
      <c r="D6533" t="str">
        <f>"2560378642  "</f>
        <v xml:space="preserve">2560378642  </v>
      </c>
      <c r="E6533" t="s">
        <v>277</v>
      </c>
      <c r="F6533" t="s">
        <v>279</v>
      </c>
      <c r="G6533">
        <v>33.15</v>
      </c>
      <c r="H6533">
        <v>250430</v>
      </c>
      <c r="I6533">
        <v>4520</v>
      </c>
      <c r="J6533" t="s">
        <v>280</v>
      </c>
      <c r="K6533">
        <v>371.66</v>
      </c>
      <c r="L6533">
        <v>4.07</v>
      </c>
      <c r="M6533">
        <v>17982</v>
      </c>
      <c r="N6533" t="s">
        <v>281</v>
      </c>
      <c r="O6533">
        <v>250505</v>
      </c>
      <c r="P6533">
        <v>29.08</v>
      </c>
    </row>
    <row r="6534" spans="1:16" x14ac:dyDescent="0.25">
      <c r="A6534" t="s">
        <v>3296</v>
      </c>
      <c r="B6534" t="s">
        <v>2931</v>
      </c>
      <c r="C6534">
        <v>5856</v>
      </c>
      <c r="D6534" t="str">
        <f>"2560378644  "</f>
        <v xml:space="preserve">2560378644  </v>
      </c>
      <c r="E6534" t="s">
        <v>277</v>
      </c>
      <c r="F6534" t="s">
        <v>279</v>
      </c>
      <c r="G6534">
        <v>699.1</v>
      </c>
      <c r="H6534">
        <v>250430</v>
      </c>
      <c r="I6534">
        <v>4520</v>
      </c>
      <c r="J6534" t="s">
        <v>280</v>
      </c>
      <c r="K6534">
        <v>789.33</v>
      </c>
      <c r="L6534">
        <v>85.85</v>
      </c>
      <c r="M6534">
        <v>69112</v>
      </c>
      <c r="N6534" t="s">
        <v>227</v>
      </c>
      <c r="O6534">
        <v>250505</v>
      </c>
      <c r="P6534">
        <v>613.25</v>
      </c>
    </row>
    <row r="6535" spans="1:16" x14ac:dyDescent="0.25">
      <c r="A6535" t="s">
        <v>3296</v>
      </c>
      <c r="B6535" t="s">
        <v>2931</v>
      </c>
      <c r="C6535">
        <v>5856</v>
      </c>
      <c r="D6535" t="str">
        <f>"2560378644  "</f>
        <v xml:space="preserve">2560378644  </v>
      </c>
      <c r="E6535" t="s">
        <v>277</v>
      </c>
      <c r="F6535" t="s">
        <v>279</v>
      </c>
      <c r="G6535">
        <v>38.840000000000003</v>
      </c>
      <c r="H6535">
        <v>250430</v>
      </c>
      <c r="I6535">
        <v>4520</v>
      </c>
      <c r="J6535" t="s">
        <v>280</v>
      </c>
      <c r="K6535">
        <v>789.33</v>
      </c>
      <c r="L6535">
        <v>4.7699999999999996</v>
      </c>
      <c r="M6535">
        <v>69810</v>
      </c>
      <c r="N6535" t="s">
        <v>229</v>
      </c>
      <c r="O6535">
        <v>250505</v>
      </c>
      <c r="P6535">
        <v>34.07</v>
      </c>
    </row>
    <row r="6536" spans="1:16" x14ac:dyDescent="0.25">
      <c r="A6536" t="s">
        <v>3296</v>
      </c>
      <c r="B6536" t="s">
        <v>2931</v>
      </c>
      <c r="C6536">
        <v>5856</v>
      </c>
      <c r="D6536" t="str">
        <f>"2560378644  "</f>
        <v xml:space="preserve">2560378644  </v>
      </c>
      <c r="E6536" t="s">
        <v>277</v>
      </c>
      <c r="F6536" t="s">
        <v>279</v>
      </c>
      <c r="G6536">
        <v>38.840000000000003</v>
      </c>
      <c r="H6536">
        <v>250430</v>
      </c>
      <c r="I6536">
        <v>4520</v>
      </c>
      <c r="J6536" t="s">
        <v>280</v>
      </c>
      <c r="K6536">
        <v>789.33</v>
      </c>
      <c r="L6536">
        <v>4.7699999999999996</v>
      </c>
      <c r="M6536">
        <v>69811</v>
      </c>
      <c r="N6536" t="s">
        <v>230</v>
      </c>
      <c r="O6536">
        <v>250505</v>
      </c>
      <c r="P6536">
        <v>34.07</v>
      </c>
    </row>
    <row r="6537" spans="1:16" x14ac:dyDescent="0.25">
      <c r="A6537" t="s">
        <v>3296</v>
      </c>
      <c r="B6537" t="s">
        <v>2931</v>
      </c>
      <c r="C6537">
        <v>5865</v>
      </c>
      <c r="D6537" t="str">
        <f>"2560354731  "</f>
        <v xml:space="preserve">2560354731  </v>
      </c>
      <c r="E6537" t="s">
        <v>277</v>
      </c>
      <c r="F6537" t="s">
        <v>279</v>
      </c>
      <c r="G6537">
        <v>661.02</v>
      </c>
      <c r="H6537">
        <v>250421</v>
      </c>
      <c r="I6537">
        <v>4520</v>
      </c>
      <c r="J6537" t="s">
        <v>280</v>
      </c>
      <c r="K6537">
        <v>673.57</v>
      </c>
      <c r="L6537">
        <v>81.180000000000007</v>
      </c>
      <c r="M6537">
        <v>49112</v>
      </c>
      <c r="N6537" t="s">
        <v>109</v>
      </c>
      <c r="O6537">
        <v>250506</v>
      </c>
      <c r="P6537">
        <v>579.84</v>
      </c>
    </row>
    <row r="6538" spans="1:16" x14ac:dyDescent="0.25">
      <c r="A6538" t="s">
        <v>3296</v>
      </c>
      <c r="B6538" t="s">
        <v>2931</v>
      </c>
      <c r="C6538">
        <v>5900</v>
      </c>
      <c r="D6538" t="str">
        <f>"2560371625  "</f>
        <v xml:space="preserve">2560371625  </v>
      </c>
      <c r="E6538" t="s">
        <v>277</v>
      </c>
      <c r="F6538" t="s">
        <v>279</v>
      </c>
      <c r="G6538">
        <v>341.18</v>
      </c>
      <c r="H6538">
        <v>250428</v>
      </c>
      <c r="I6538">
        <v>4520</v>
      </c>
      <c r="J6538" t="s">
        <v>280</v>
      </c>
      <c r="K6538">
        <v>496.41</v>
      </c>
      <c r="L6538">
        <v>41.9</v>
      </c>
      <c r="M6538">
        <v>44253</v>
      </c>
      <c r="N6538" t="s">
        <v>403</v>
      </c>
      <c r="O6538">
        <v>250507</v>
      </c>
      <c r="P6538">
        <v>299.27999999999997</v>
      </c>
    </row>
    <row r="6539" spans="1:16" x14ac:dyDescent="0.25">
      <c r="A6539" t="s">
        <v>3296</v>
      </c>
      <c r="B6539" t="s">
        <v>2931</v>
      </c>
      <c r="C6539">
        <v>5902</v>
      </c>
      <c r="D6539" t="str">
        <f>"2560371618  "</f>
        <v xml:space="preserve">2560371618  </v>
      </c>
      <c r="E6539" t="s">
        <v>277</v>
      </c>
      <c r="F6539" t="s">
        <v>279</v>
      </c>
      <c r="G6539">
        <v>517</v>
      </c>
      <c r="H6539">
        <v>250428</v>
      </c>
      <c r="I6539">
        <v>4520</v>
      </c>
      <c r="J6539" t="s">
        <v>280</v>
      </c>
      <c r="K6539">
        <v>2203.2199999999998</v>
      </c>
      <c r="L6539">
        <v>63.49</v>
      </c>
      <c r="M6539">
        <v>54422</v>
      </c>
      <c r="N6539" t="s">
        <v>49</v>
      </c>
      <c r="O6539">
        <v>250507</v>
      </c>
      <c r="P6539">
        <v>453.51</v>
      </c>
    </row>
    <row r="6540" spans="1:16" x14ac:dyDescent="0.25">
      <c r="A6540" t="s">
        <v>3296</v>
      </c>
      <c r="B6540" t="s">
        <v>2931</v>
      </c>
      <c r="C6540">
        <v>5902</v>
      </c>
      <c r="D6540" t="str">
        <f>"2560371618  "</f>
        <v xml:space="preserve">2560371618  </v>
      </c>
      <c r="E6540" t="s">
        <v>277</v>
      </c>
      <c r="F6540" t="s">
        <v>279</v>
      </c>
      <c r="G6540">
        <v>1654.82</v>
      </c>
      <c r="H6540">
        <v>250428</v>
      </c>
      <c r="I6540">
        <v>4520</v>
      </c>
      <c r="J6540" t="s">
        <v>280</v>
      </c>
      <c r="K6540">
        <v>2203.2199999999998</v>
      </c>
      <c r="L6540">
        <v>203.22</v>
      </c>
      <c r="M6540">
        <v>54451</v>
      </c>
      <c r="N6540" t="s">
        <v>218</v>
      </c>
      <c r="O6540">
        <v>250507</v>
      </c>
      <c r="P6540">
        <v>1451.6</v>
      </c>
    </row>
    <row r="6541" spans="1:16" x14ac:dyDescent="0.25">
      <c r="A6541" t="s">
        <v>3296</v>
      </c>
      <c r="B6541" t="s">
        <v>2931</v>
      </c>
      <c r="C6541">
        <v>5903</v>
      </c>
      <c r="D6541" t="str">
        <f>"2560371621  "</f>
        <v xml:space="preserve">2560371621  </v>
      </c>
      <c r="E6541" t="s">
        <v>277</v>
      </c>
      <c r="F6541" t="s">
        <v>279</v>
      </c>
      <c r="G6541">
        <v>2408.7600000000002</v>
      </c>
      <c r="H6541">
        <v>250428</v>
      </c>
      <c r="I6541">
        <v>4520</v>
      </c>
      <c r="J6541" t="s">
        <v>280</v>
      </c>
      <c r="K6541">
        <v>2486.21</v>
      </c>
      <c r="L6541">
        <v>295.81</v>
      </c>
      <c r="M6541">
        <v>49112</v>
      </c>
      <c r="N6541" t="s">
        <v>109</v>
      </c>
      <c r="O6541">
        <v>250507</v>
      </c>
      <c r="P6541">
        <v>2112.9499999999998</v>
      </c>
    </row>
    <row r="6542" spans="1:16" x14ac:dyDescent="0.25">
      <c r="A6542" t="s">
        <v>3296</v>
      </c>
      <c r="B6542" t="s">
        <v>2931</v>
      </c>
      <c r="C6542">
        <v>5917</v>
      </c>
      <c r="D6542" t="str">
        <f>"2560371622  "</f>
        <v xml:space="preserve">2560371622  </v>
      </c>
      <c r="E6542" t="s">
        <v>277</v>
      </c>
      <c r="F6542" t="s">
        <v>279</v>
      </c>
      <c r="G6542">
        <v>310.7</v>
      </c>
      <c r="H6542">
        <v>250428</v>
      </c>
      <c r="I6542">
        <v>4520</v>
      </c>
      <c r="J6542" t="s">
        <v>280</v>
      </c>
      <c r="K6542">
        <v>1852.73</v>
      </c>
      <c r="L6542">
        <v>63.13</v>
      </c>
      <c r="M6542">
        <v>17915</v>
      </c>
      <c r="N6542" t="s">
        <v>305</v>
      </c>
      <c r="O6542">
        <v>250507</v>
      </c>
      <c r="P6542">
        <v>247.57</v>
      </c>
    </row>
    <row r="6543" spans="1:16" x14ac:dyDescent="0.25">
      <c r="A6543" t="s">
        <v>3296</v>
      </c>
      <c r="B6543" t="s">
        <v>2931</v>
      </c>
      <c r="C6543">
        <v>5917</v>
      </c>
      <c r="D6543" t="str">
        <f>"2560371622  "</f>
        <v xml:space="preserve">2560371622  </v>
      </c>
      <c r="E6543" t="s">
        <v>277</v>
      </c>
      <c r="F6543" t="s">
        <v>279</v>
      </c>
      <c r="G6543">
        <v>833.53</v>
      </c>
      <c r="H6543">
        <v>250428</v>
      </c>
      <c r="I6543">
        <v>4520</v>
      </c>
      <c r="J6543" t="s">
        <v>280</v>
      </c>
      <c r="K6543">
        <v>1852.73</v>
      </c>
      <c r="L6543">
        <v>102.36</v>
      </c>
      <c r="M6543">
        <v>17915</v>
      </c>
      <c r="N6543" t="s">
        <v>305</v>
      </c>
      <c r="O6543">
        <v>250507</v>
      </c>
      <c r="P6543">
        <v>731.17</v>
      </c>
    </row>
    <row r="6544" spans="1:16" x14ac:dyDescent="0.25">
      <c r="A6544" t="s">
        <v>3296</v>
      </c>
      <c r="B6544" t="s">
        <v>2931</v>
      </c>
      <c r="C6544">
        <v>5917</v>
      </c>
      <c r="D6544" t="str">
        <f>"2560371622  "</f>
        <v xml:space="preserve">2560371622  </v>
      </c>
      <c r="E6544" t="s">
        <v>277</v>
      </c>
      <c r="F6544" t="s">
        <v>279</v>
      </c>
      <c r="G6544">
        <v>42.66</v>
      </c>
      <c r="H6544">
        <v>250428</v>
      </c>
      <c r="I6544">
        <v>4520</v>
      </c>
      <c r="J6544" t="s">
        <v>280</v>
      </c>
      <c r="K6544">
        <v>1852.73</v>
      </c>
      <c r="L6544">
        <v>8.67</v>
      </c>
      <c r="M6544">
        <v>17982</v>
      </c>
      <c r="N6544" t="s">
        <v>281</v>
      </c>
      <c r="O6544">
        <v>250507</v>
      </c>
      <c r="P6544">
        <v>33.99</v>
      </c>
    </row>
    <row r="6545" spans="1:16" x14ac:dyDescent="0.25">
      <c r="A6545" t="s">
        <v>3296</v>
      </c>
      <c r="B6545" t="s">
        <v>2931</v>
      </c>
      <c r="C6545">
        <v>5917</v>
      </c>
      <c r="D6545" t="str">
        <f>"2560371622  "</f>
        <v xml:space="preserve">2560371622  </v>
      </c>
      <c r="E6545" t="s">
        <v>277</v>
      </c>
      <c r="F6545" t="s">
        <v>279</v>
      </c>
      <c r="G6545">
        <v>142.6</v>
      </c>
      <c r="H6545">
        <v>250428</v>
      </c>
      <c r="I6545">
        <v>4520</v>
      </c>
      <c r="J6545" t="s">
        <v>280</v>
      </c>
      <c r="K6545">
        <v>1852.73</v>
      </c>
      <c r="L6545">
        <v>17.510000000000002</v>
      </c>
      <c r="M6545">
        <v>17982</v>
      </c>
      <c r="N6545" t="s">
        <v>281</v>
      </c>
      <c r="O6545">
        <v>250507</v>
      </c>
      <c r="P6545">
        <v>125.09</v>
      </c>
    </row>
    <row r="6546" spans="1:16" x14ac:dyDescent="0.25">
      <c r="A6546" t="s">
        <v>3296</v>
      </c>
      <c r="B6546" t="s">
        <v>2931</v>
      </c>
      <c r="C6546">
        <v>5917</v>
      </c>
      <c r="D6546" t="str">
        <f>"2560371622  "</f>
        <v xml:space="preserve">2560371622  </v>
      </c>
      <c r="E6546" t="s">
        <v>277</v>
      </c>
      <c r="F6546" t="s">
        <v>279</v>
      </c>
      <c r="G6546">
        <v>450</v>
      </c>
      <c r="H6546">
        <v>250428</v>
      </c>
      <c r="I6546">
        <v>4520</v>
      </c>
      <c r="J6546" t="s">
        <v>280</v>
      </c>
      <c r="K6546">
        <v>1852.73</v>
      </c>
      <c r="L6546">
        <v>55.26</v>
      </c>
      <c r="M6546">
        <v>17984</v>
      </c>
      <c r="N6546" t="s">
        <v>655</v>
      </c>
      <c r="O6546">
        <v>250507</v>
      </c>
      <c r="P6546">
        <v>394.74</v>
      </c>
    </row>
    <row r="6547" spans="1:16" x14ac:dyDescent="0.25">
      <c r="A6547" t="s">
        <v>3296</v>
      </c>
      <c r="B6547" t="s">
        <v>2931</v>
      </c>
      <c r="C6547">
        <v>5918</v>
      </c>
      <c r="D6547" t="str">
        <f>"2560371620  "</f>
        <v xml:space="preserve">2560371620  </v>
      </c>
      <c r="E6547" t="s">
        <v>277</v>
      </c>
      <c r="F6547" t="s">
        <v>279</v>
      </c>
      <c r="G6547">
        <v>1569.1</v>
      </c>
      <c r="H6547">
        <v>250428</v>
      </c>
      <c r="I6547">
        <v>4520</v>
      </c>
      <c r="J6547" t="s">
        <v>280</v>
      </c>
      <c r="K6547">
        <v>1932.08</v>
      </c>
      <c r="L6547">
        <v>192.7</v>
      </c>
      <c r="M6547">
        <v>69113</v>
      </c>
      <c r="N6547" t="s">
        <v>122</v>
      </c>
      <c r="O6547">
        <v>250507</v>
      </c>
      <c r="P6547">
        <v>1376.4</v>
      </c>
    </row>
    <row r="6548" spans="1:16" x14ac:dyDescent="0.25">
      <c r="A6548" t="s">
        <v>3296</v>
      </c>
      <c r="B6548" t="s">
        <v>2931</v>
      </c>
      <c r="C6548">
        <v>5918</v>
      </c>
      <c r="D6548" t="str">
        <f>"2560371620  "</f>
        <v xml:space="preserve">2560371620  </v>
      </c>
      <c r="E6548" t="s">
        <v>277</v>
      </c>
      <c r="F6548" t="s">
        <v>279</v>
      </c>
      <c r="G6548">
        <v>184.6</v>
      </c>
      <c r="H6548">
        <v>250428</v>
      </c>
      <c r="I6548">
        <v>4520</v>
      </c>
      <c r="J6548" t="s">
        <v>280</v>
      </c>
      <c r="K6548">
        <v>1932.08</v>
      </c>
      <c r="L6548">
        <v>22.67</v>
      </c>
      <c r="M6548">
        <v>69802</v>
      </c>
      <c r="N6548" t="s">
        <v>375</v>
      </c>
      <c r="O6548">
        <v>250507</v>
      </c>
      <c r="P6548">
        <v>161.93</v>
      </c>
    </row>
    <row r="6549" spans="1:16" x14ac:dyDescent="0.25">
      <c r="A6549" t="s">
        <v>3296</v>
      </c>
      <c r="B6549" t="s">
        <v>2931</v>
      </c>
      <c r="C6549">
        <v>5918</v>
      </c>
      <c r="D6549" t="str">
        <f>"2560371620  "</f>
        <v xml:space="preserve">2560371620  </v>
      </c>
      <c r="E6549" t="s">
        <v>277</v>
      </c>
      <c r="F6549" t="s">
        <v>279</v>
      </c>
      <c r="G6549">
        <v>92.3</v>
      </c>
      <c r="H6549">
        <v>250428</v>
      </c>
      <c r="I6549">
        <v>4520</v>
      </c>
      <c r="J6549" t="s">
        <v>280</v>
      </c>
      <c r="K6549">
        <v>1932.08</v>
      </c>
      <c r="L6549">
        <v>11.34</v>
      </c>
      <c r="M6549">
        <v>69804</v>
      </c>
      <c r="N6549" t="s">
        <v>376</v>
      </c>
      <c r="O6549">
        <v>250507</v>
      </c>
      <c r="P6549">
        <v>80.959999999999994</v>
      </c>
    </row>
    <row r="6550" spans="1:16" x14ac:dyDescent="0.25">
      <c r="A6550" t="s">
        <v>3296</v>
      </c>
      <c r="B6550" t="s">
        <v>2931</v>
      </c>
      <c r="C6550">
        <v>5931</v>
      </c>
      <c r="D6550" t="str">
        <f>"2560378638  "</f>
        <v xml:space="preserve">2560378638  </v>
      </c>
      <c r="E6550" t="s">
        <v>277</v>
      </c>
      <c r="F6550" t="s">
        <v>279</v>
      </c>
      <c r="G6550">
        <v>212.22</v>
      </c>
      <c r="H6550">
        <v>250430</v>
      </c>
      <c r="I6550">
        <v>4520</v>
      </c>
      <c r="J6550" t="s">
        <v>280</v>
      </c>
      <c r="K6550">
        <v>212.22</v>
      </c>
      <c r="L6550">
        <v>26.06</v>
      </c>
      <c r="M6550">
        <v>59113</v>
      </c>
      <c r="N6550" t="s">
        <v>61</v>
      </c>
      <c r="O6550">
        <v>250507</v>
      </c>
      <c r="P6550">
        <v>186.16</v>
      </c>
    </row>
    <row r="6551" spans="1:16" x14ac:dyDescent="0.25">
      <c r="A6551" t="s">
        <v>3296</v>
      </c>
      <c r="B6551" t="s">
        <v>2931</v>
      </c>
      <c r="C6551">
        <v>5948</v>
      </c>
      <c r="D6551" t="str">
        <f>"2560378639  "</f>
        <v xml:space="preserve">2560378639  </v>
      </c>
      <c r="E6551" t="s">
        <v>277</v>
      </c>
      <c r="F6551" t="s">
        <v>279</v>
      </c>
      <c r="G6551">
        <v>494.76</v>
      </c>
      <c r="H6551">
        <v>250430</v>
      </c>
      <c r="I6551">
        <v>4520</v>
      </c>
      <c r="J6551" t="s">
        <v>280</v>
      </c>
      <c r="K6551">
        <v>663.88</v>
      </c>
      <c r="L6551">
        <v>60.76</v>
      </c>
      <c r="M6551">
        <v>69113</v>
      </c>
      <c r="N6551" t="s">
        <v>122</v>
      </c>
      <c r="O6551">
        <v>250507</v>
      </c>
      <c r="P6551">
        <v>434</v>
      </c>
    </row>
    <row r="6552" spans="1:16" x14ac:dyDescent="0.25">
      <c r="A6552" t="s">
        <v>3296</v>
      </c>
      <c r="B6552" t="s">
        <v>2931</v>
      </c>
      <c r="C6552">
        <v>5948</v>
      </c>
      <c r="D6552" t="str">
        <f>"2560378639  "</f>
        <v xml:space="preserve">2560378639  </v>
      </c>
      <c r="E6552" t="s">
        <v>277</v>
      </c>
      <c r="F6552" t="s">
        <v>279</v>
      </c>
      <c r="G6552">
        <v>58.21</v>
      </c>
      <c r="H6552">
        <v>250430</v>
      </c>
      <c r="I6552">
        <v>4520</v>
      </c>
      <c r="J6552" t="s">
        <v>280</v>
      </c>
      <c r="K6552">
        <v>663.88</v>
      </c>
      <c r="L6552">
        <v>7.15</v>
      </c>
      <c r="M6552">
        <v>69802</v>
      </c>
      <c r="N6552" t="s">
        <v>375</v>
      </c>
      <c r="O6552">
        <v>250507</v>
      </c>
      <c r="P6552">
        <v>51.06</v>
      </c>
    </row>
    <row r="6553" spans="1:16" x14ac:dyDescent="0.25">
      <c r="A6553" t="s">
        <v>3296</v>
      </c>
      <c r="B6553" t="s">
        <v>2931</v>
      </c>
      <c r="C6553">
        <v>5948</v>
      </c>
      <c r="D6553" t="str">
        <f>"2560378639  "</f>
        <v xml:space="preserve">2560378639  </v>
      </c>
      <c r="E6553" t="s">
        <v>277</v>
      </c>
      <c r="F6553" t="s">
        <v>279</v>
      </c>
      <c r="G6553">
        <v>29.1</v>
      </c>
      <c r="H6553">
        <v>250430</v>
      </c>
      <c r="I6553">
        <v>4520</v>
      </c>
      <c r="J6553" t="s">
        <v>280</v>
      </c>
      <c r="K6553">
        <v>663.88</v>
      </c>
      <c r="L6553">
        <v>3.57</v>
      </c>
      <c r="M6553">
        <v>69804</v>
      </c>
      <c r="N6553" t="s">
        <v>376</v>
      </c>
      <c r="O6553">
        <v>250507</v>
      </c>
      <c r="P6553">
        <v>25.53</v>
      </c>
    </row>
    <row r="6554" spans="1:16" x14ac:dyDescent="0.25">
      <c r="A6554" t="s">
        <v>3296</v>
      </c>
      <c r="B6554" t="s">
        <v>2931</v>
      </c>
      <c r="C6554">
        <v>5959</v>
      </c>
      <c r="D6554" t="str">
        <f>"2560378640  "</f>
        <v xml:space="preserve">2560378640  </v>
      </c>
      <c r="E6554" t="s">
        <v>277</v>
      </c>
      <c r="F6554" t="s">
        <v>279</v>
      </c>
      <c r="G6554">
        <v>845.35</v>
      </c>
      <c r="H6554">
        <v>250430</v>
      </c>
      <c r="I6554">
        <v>4520</v>
      </c>
      <c r="J6554" t="s">
        <v>280</v>
      </c>
      <c r="K6554">
        <v>857.9</v>
      </c>
      <c r="L6554">
        <v>103.81</v>
      </c>
      <c r="M6554">
        <v>49112</v>
      </c>
      <c r="N6554" t="s">
        <v>109</v>
      </c>
      <c r="O6554">
        <v>250507</v>
      </c>
      <c r="P6554">
        <v>741.54</v>
      </c>
    </row>
    <row r="6555" spans="1:16" x14ac:dyDescent="0.25">
      <c r="A6555" t="s">
        <v>3296</v>
      </c>
      <c r="B6555" t="s">
        <v>2931</v>
      </c>
      <c r="C6555">
        <v>5961</v>
      </c>
      <c r="D6555" t="str">
        <f>"2560378637  "</f>
        <v xml:space="preserve">2560378637  </v>
      </c>
      <c r="E6555" t="s">
        <v>277</v>
      </c>
      <c r="F6555" t="s">
        <v>279</v>
      </c>
      <c r="G6555">
        <v>1164.44</v>
      </c>
      <c r="H6555">
        <v>250430</v>
      </c>
      <c r="I6555">
        <v>4520</v>
      </c>
      <c r="J6555" t="s">
        <v>280</v>
      </c>
      <c r="K6555">
        <v>1140.1300000000001</v>
      </c>
      <c r="L6555">
        <v>143</v>
      </c>
      <c r="M6555">
        <v>54451</v>
      </c>
      <c r="N6555" t="s">
        <v>218</v>
      </c>
      <c r="O6555">
        <v>250507</v>
      </c>
      <c r="P6555">
        <v>1021.44</v>
      </c>
    </row>
    <row r="6556" spans="1:16" x14ac:dyDescent="0.25">
      <c r="A6556" t="s">
        <v>3296</v>
      </c>
      <c r="B6556" t="s">
        <v>2931</v>
      </c>
      <c r="C6556">
        <v>5963</v>
      </c>
      <c r="D6556" t="str">
        <f>"2560378641  "</f>
        <v xml:space="preserve">2560378641  </v>
      </c>
      <c r="E6556" t="s">
        <v>277</v>
      </c>
      <c r="F6556" t="s">
        <v>279</v>
      </c>
      <c r="G6556">
        <v>88.4</v>
      </c>
      <c r="H6556">
        <v>250430</v>
      </c>
      <c r="I6556">
        <v>4520</v>
      </c>
      <c r="J6556" t="s">
        <v>280</v>
      </c>
      <c r="K6556">
        <v>98.22</v>
      </c>
      <c r="L6556">
        <v>10.86</v>
      </c>
      <c r="M6556">
        <v>17915</v>
      </c>
      <c r="N6556" t="s">
        <v>305</v>
      </c>
      <c r="O6556">
        <v>250507</v>
      </c>
      <c r="P6556">
        <v>77.540000000000006</v>
      </c>
    </row>
    <row r="6557" spans="1:16" x14ac:dyDescent="0.25">
      <c r="A6557" t="s">
        <v>3296</v>
      </c>
      <c r="B6557" t="s">
        <v>2931</v>
      </c>
      <c r="C6557">
        <v>5963</v>
      </c>
      <c r="D6557" t="str">
        <f>"2560378641  "</f>
        <v xml:space="preserve">2560378641  </v>
      </c>
      <c r="E6557" t="s">
        <v>277</v>
      </c>
      <c r="F6557" t="s">
        <v>279</v>
      </c>
      <c r="G6557">
        <v>9.82</v>
      </c>
      <c r="H6557">
        <v>250430</v>
      </c>
      <c r="I6557">
        <v>4520</v>
      </c>
      <c r="J6557" t="s">
        <v>280</v>
      </c>
      <c r="K6557">
        <v>98.22</v>
      </c>
      <c r="L6557">
        <v>1.21</v>
      </c>
      <c r="M6557">
        <v>17982</v>
      </c>
      <c r="N6557" t="s">
        <v>281</v>
      </c>
      <c r="O6557">
        <v>250507</v>
      </c>
      <c r="P6557">
        <v>8.61</v>
      </c>
    </row>
    <row r="6558" spans="1:16" x14ac:dyDescent="0.25">
      <c r="A6558" t="s">
        <v>3296</v>
      </c>
      <c r="B6558" t="s">
        <v>2931</v>
      </c>
      <c r="C6558">
        <v>6161</v>
      </c>
      <c r="D6558" t="str">
        <f>"2560417537  "</f>
        <v xml:space="preserve">2560417537  </v>
      </c>
      <c r="E6558" t="s">
        <v>277</v>
      </c>
      <c r="F6558" t="s">
        <v>279</v>
      </c>
      <c r="G6558">
        <v>332.69</v>
      </c>
      <c r="H6558">
        <v>250501</v>
      </c>
      <c r="I6558">
        <v>4520</v>
      </c>
      <c r="J6558" t="s">
        <v>280</v>
      </c>
      <c r="K6558">
        <v>345.24</v>
      </c>
      <c r="L6558">
        <v>40.86</v>
      </c>
      <c r="M6558">
        <v>59114</v>
      </c>
      <c r="N6558" t="s">
        <v>299</v>
      </c>
      <c r="O6558">
        <v>250509</v>
      </c>
      <c r="P6558">
        <v>291.83</v>
      </c>
    </row>
    <row r="6559" spans="1:16" x14ac:dyDescent="0.25">
      <c r="A6559" t="s">
        <v>3296</v>
      </c>
      <c r="B6559" t="s">
        <v>2931</v>
      </c>
      <c r="C6559">
        <v>6178</v>
      </c>
      <c r="D6559" t="str">
        <f>"2560417539  "</f>
        <v xml:space="preserve">2560417539  </v>
      </c>
      <c r="E6559" t="s">
        <v>277</v>
      </c>
      <c r="F6559" t="s">
        <v>279</v>
      </c>
      <c r="G6559">
        <v>12.55</v>
      </c>
      <c r="H6559">
        <v>250501</v>
      </c>
      <c r="I6559">
        <v>4520</v>
      </c>
      <c r="J6559" t="s">
        <v>280</v>
      </c>
      <c r="K6559">
        <v>486.64</v>
      </c>
      <c r="L6559">
        <v>2.5499999999999998</v>
      </c>
      <c r="M6559">
        <v>17915</v>
      </c>
      <c r="N6559" t="s">
        <v>305</v>
      </c>
      <c r="O6559">
        <v>250509</v>
      </c>
      <c r="P6559">
        <v>10</v>
      </c>
    </row>
    <row r="6560" spans="1:16" x14ac:dyDescent="0.25">
      <c r="A6560" t="s">
        <v>3296</v>
      </c>
      <c r="B6560" t="s">
        <v>2931</v>
      </c>
      <c r="C6560">
        <v>6178</v>
      </c>
      <c r="D6560" t="str">
        <f>"2560417539  "</f>
        <v xml:space="preserve">2560417539  </v>
      </c>
      <c r="E6560" t="s">
        <v>277</v>
      </c>
      <c r="F6560" t="s">
        <v>279</v>
      </c>
      <c r="G6560">
        <v>358.63</v>
      </c>
      <c r="H6560">
        <v>250501</v>
      </c>
      <c r="I6560">
        <v>4520</v>
      </c>
      <c r="J6560" t="s">
        <v>280</v>
      </c>
      <c r="K6560">
        <v>486.64</v>
      </c>
      <c r="L6560">
        <v>44.04</v>
      </c>
      <c r="M6560">
        <v>17915</v>
      </c>
      <c r="N6560" t="s">
        <v>305</v>
      </c>
      <c r="O6560">
        <v>250509</v>
      </c>
      <c r="P6560">
        <v>314.58999999999997</v>
      </c>
    </row>
    <row r="6561" spans="1:16" x14ac:dyDescent="0.25">
      <c r="A6561" t="s">
        <v>3296</v>
      </c>
      <c r="B6561" t="s">
        <v>2931</v>
      </c>
      <c r="C6561">
        <v>6178</v>
      </c>
      <c r="D6561" t="str">
        <f>"2560417539  "</f>
        <v xml:space="preserve">2560417539  </v>
      </c>
      <c r="E6561" t="s">
        <v>277</v>
      </c>
      <c r="F6561" t="s">
        <v>279</v>
      </c>
      <c r="G6561">
        <v>48.66</v>
      </c>
      <c r="H6561">
        <v>250501</v>
      </c>
      <c r="I6561">
        <v>4520</v>
      </c>
      <c r="J6561" t="s">
        <v>280</v>
      </c>
      <c r="K6561">
        <v>486.64</v>
      </c>
      <c r="L6561">
        <v>5.98</v>
      </c>
      <c r="M6561">
        <v>17982</v>
      </c>
      <c r="N6561" t="s">
        <v>281</v>
      </c>
      <c r="O6561">
        <v>250509</v>
      </c>
      <c r="P6561">
        <v>42.68</v>
      </c>
    </row>
    <row r="6562" spans="1:16" x14ac:dyDescent="0.25">
      <c r="A6562" t="s">
        <v>3296</v>
      </c>
      <c r="B6562" t="s">
        <v>2931</v>
      </c>
      <c r="C6562">
        <v>6178</v>
      </c>
      <c r="D6562" t="str">
        <f>"2560417539  "</f>
        <v xml:space="preserve">2560417539  </v>
      </c>
      <c r="E6562" t="s">
        <v>277</v>
      </c>
      <c r="F6562" t="s">
        <v>279</v>
      </c>
      <c r="G6562">
        <v>66.8</v>
      </c>
      <c r="H6562">
        <v>250501</v>
      </c>
      <c r="I6562">
        <v>4520</v>
      </c>
      <c r="J6562" t="s">
        <v>280</v>
      </c>
      <c r="K6562">
        <v>486.64</v>
      </c>
      <c r="L6562">
        <v>8.1999999999999993</v>
      </c>
      <c r="M6562">
        <v>17984</v>
      </c>
      <c r="N6562" t="s">
        <v>655</v>
      </c>
      <c r="O6562">
        <v>250509</v>
      </c>
      <c r="P6562">
        <v>58.6</v>
      </c>
    </row>
    <row r="6563" spans="1:16" x14ac:dyDescent="0.25">
      <c r="A6563" t="s">
        <v>3296</v>
      </c>
      <c r="B6563" t="s">
        <v>2931</v>
      </c>
      <c r="C6563">
        <v>6184</v>
      </c>
      <c r="D6563" t="str">
        <f>"2560417542  "</f>
        <v xml:space="preserve">2560417542  </v>
      </c>
      <c r="E6563" t="s">
        <v>277</v>
      </c>
      <c r="F6563" t="s">
        <v>279</v>
      </c>
      <c r="G6563">
        <v>417.83</v>
      </c>
      <c r="H6563">
        <v>250501</v>
      </c>
      <c r="I6563">
        <v>4520</v>
      </c>
      <c r="J6563" t="s">
        <v>280</v>
      </c>
      <c r="K6563">
        <v>470.09</v>
      </c>
      <c r="L6563">
        <v>51.31</v>
      </c>
      <c r="M6563">
        <v>44253</v>
      </c>
      <c r="N6563" t="s">
        <v>403</v>
      </c>
      <c r="O6563">
        <v>250509</v>
      </c>
      <c r="P6563">
        <v>366.52</v>
      </c>
    </row>
    <row r="6564" spans="1:16" x14ac:dyDescent="0.25">
      <c r="A6564" t="s">
        <v>3296</v>
      </c>
      <c r="B6564" t="s">
        <v>2931</v>
      </c>
      <c r="C6564">
        <v>6258</v>
      </c>
      <c r="D6564" t="str">
        <f>"2560417538  "</f>
        <v xml:space="preserve">2560417538  </v>
      </c>
      <c r="E6564" t="s">
        <v>277</v>
      </c>
      <c r="F6564" t="s">
        <v>279</v>
      </c>
      <c r="G6564">
        <v>1398.74</v>
      </c>
      <c r="H6564">
        <v>250501</v>
      </c>
      <c r="I6564">
        <v>4520</v>
      </c>
      <c r="J6564" t="s">
        <v>280</v>
      </c>
      <c r="K6564">
        <v>1658.13</v>
      </c>
      <c r="L6564">
        <v>171.78</v>
      </c>
      <c r="M6564">
        <v>59113</v>
      </c>
      <c r="N6564" t="s">
        <v>61</v>
      </c>
      <c r="O6564">
        <v>250512</v>
      </c>
      <c r="P6564">
        <v>1226.96</v>
      </c>
    </row>
    <row r="6565" spans="1:16" x14ac:dyDescent="0.25">
      <c r="A6565" t="s">
        <v>3296</v>
      </c>
      <c r="B6565" t="s">
        <v>2931</v>
      </c>
      <c r="C6565">
        <v>6258</v>
      </c>
      <c r="D6565" t="str">
        <f>"2560417538  "</f>
        <v xml:space="preserve">2560417538  </v>
      </c>
      <c r="E6565" t="s">
        <v>277</v>
      </c>
      <c r="F6565" t="s">
        <v>279</v>
      </c>
      <c r="G6565">
        <v>246.84</v>
      </c>
      <c r="H6565">
        <v>250501</v>
      </c>
      <c r="I6565">
        <v>4520</v>
      </c>
      <c r="J6565" t="s">
        <v>280</v>
      </c>
      <c r="K6565">
        <v>1658.13</v>
      </c>
      <c r="L6565">
        <v>30.31</v>
      </c>
      <c r="M6565">
        <v>59803</v>
      </c>
      <c r="N6565" t="s">
        <v>282</v>
      </c>
      <c r="O6565">
        <v>250512</v>
      </c>
      <c r="P6565">
        <v>216.53</v>
      </c>
    </row>
    <row r="6566" spans="1:16" x14ac:dyDescent="0.25">
      <c r="A6566" t="s">
        <v>3296</v>
      </c>
      <c r="B6566" t="s">
        <v>2931</v>
      </c>
      <c r="C6566">
        <v>6368</v>
      </c>
      <c r="D6566" t="str">
        <f t="shared" ref="D6566:D6577" si="118">"2560371624  "</f>
        <v xml:space="preserve">2560371624  </v>
      </c>
      <c r="E6566" t="s">
        <v>277</v>
      </c>
      <c r="F6566" t="s">
        <v>279</v>
      </c>
      <c r="G6566">
        <v>9.2100000000000009</v>
      </c>
      <c r="H6566">
        <v>250428</v>
      </c>
      <c r="I6566">
        <v>4520</v>
      </c>
      <c r="J6566" t="s">
        <v>280</v>
      </c>
      <c r="K6566">
        <v>4989.0200000000004</v>
      </c>
      <c r="L6566">
        <v>1.87</v>
      </c>
      <c r="M6566">
        <v>14422</v>
      </c>
      <c r="N6566" t="s">
        <v>73</v>
      </c>
      <c r="O6566">
        <v>250513</v>
      </c>
      <c r="P6566">
        <v>7.34</v>
      </c>
    </row>
    <row r="6567" spans="1:16" x14ac:dyDescent="0.25">
      <c r="A6567" t="s">
        <v>3296</v>
      </c>
      <c r="B6567" t="s">
        <v>2931</v>
      </c>
      <c r="C6567">
        <v>6368</v>
      </c>
      <c r="D6567" t="str">
        <f t="shared" si="118"/>
        <v xml:space="preserve">2560371624  </v>
      </c>
      <c r="E6567" t="s">
        <v>277</v>
      </c>
      <c r="F6567" t="s">
        <v>279</v>
      </c>
      <c r="G6567">
        <v>40.68</v>
      </c>
      <c r="H6567">
        <v>250428</v>
      </c>
      <c r="I6567">
        <v>4520</v>
      </c>
      <c r="J6567" t="s">
        <v>280</v>
      </c>
      <c r="K6567">
        <v>4989.0200000000004</v>
      </c>
      <c r="L6567">
        <v>5</v>
      </c>
      <c r="M6567">
        <v>14422</v>
      </c>
      <c r="N6567" t="s">
        <v>73</v>
      </c>
      <c r="O6567">
        <v>250513</v>
      </c>
      <c r="P6567">
        <v>35.68</v>
      </c>
    </row>
    <row r="6568" spans="1:16" x14ac:dyDescent="0.25">
      <c r="A6568" t="s">
        <v>3296</v>
      </c>
      <c r="B6568" t="s">
        <v>2931</v>
      </c>
      <c r="C6568">
        <v>6368</v>
      </c>
      <c r="D6568" t="str">
        <f t="shared" si="118"/>
        <v xml:space="preserve">2560371624  </v>
      </c>
      <c r="E6568" t="s">
        <v>277</v>
      </c>
      <c r="F6568" t="s">
        <v>279</v>
      </c>
      <c r="G6568">
        <v>36.82</v>
      </c>
      <c r="H6568">
        <v>250428</v>
      </c>
      <c r="I6568">
        <v>4520</v>
      </c>
      <c r="J6568" t="s">
        <v>280</v>
      </c>
      <c r="K6568">
        <v>4989.0200000000004</v>
      </c>
      <c r="L6568">
        <v>7.48</v>
      </c>
      <c r="M6568">
        <v>14431</v>
      </c>
      <c r="N6568" t="s">
        <v>74</v>
      </c>
      <c r="O6568">
        <v>250513</v>
      </c>
      <c r="P6568">
        <v>29.34</v>
      </c>
    </row>
    <row r="6569" spans="1:16" x14ac:dyDescent="0.25">
      <c r="A6569" t="s">
        <v>3296</v>
      </c>
      <c r="B6569" t="s">
        <v>2931</v>
      </c>
      <c r="C6569">
        <v>6368</v>
      </c>
      <c r="D6569" t="str">
        <f t="shared" si="118"/>
        <v xml:space="preserve">2560371624  </v>
      </c>
      <c r="E6569" t="s">
        <v>277</v>
      </c>
      <c r="F6569" t="s">
        <v>279</v>
      </c>
      <c r="G6569">
        <v>162.74</v>
      </c>
      <c r="H6569">
        <v>250428</v>
      </c>
      <c r="I6569">
        <v>4520</v>
      </c>
      <c r="J6569" t="s">
        <v>280</v>
      </c>
      <c r="K6569">
        <v>4989.0200000000004</v>
      </c>
      <c r="L6569">
        <v>19.989999999999998</v>
      </c>
      <c r="M6569">
        <v>14431</v>
      </c>
      <c r="N6569" t="s">
        <v>74</v>
      </c>
      <c r="O6569">
        <v>250513</v>
      </c>
      <c r="P6569">
        <v>142.75</v>
      </c>
    </row>
    <row r="6570" spans="1:16" x14ac:dyDescent="0.25">
      <c r="A6570" t="s">
        <v>3296</v>
      </c>
      <c r="B6570" t="s">
        <v>2931</v>
      </c>
      <c r="C6570">
        <v>6368</v>
      </c>
      <c r="D6570" t="str">
        <f t="shared" si="118"/>
        <v xml:space="preserve">2560371624  </v>
      </c>
      <c r="E6570" t="s">
        <v>277</v>
      </c>
      <c r="F6570" t="s">
        <v>279</v>
      </c>
      <c r="G6570">
        <v>156.5</v>
      </c>
      <c r="H6570">
        <v>250428</v>
      </c>
      <c r="I6570">
        <v>4520</v>
      </c>
      <c r="J6570" t="s">
        <v>280</v>
      </c>
      <c r="K6570">
        <v>4989.0200000000004</v>
      </c>
      <c r="L6570">
        <v>31.8</v>
      </c>
      <c r="M6570">
        <v>14432</v>
      </c>
      <c r="N6570" t="s">
        <v>75</v>
      </c>
      <c r="O6570">
        <v>250513</v>
      </c>
      <c r="P6570">
        <v>124.7</v>
      </c>
    </row>
    <row r="6571" spans="1:16" x14ac:dyDescent="0.25">
      <c r="A6571" t="s">
        <v>3296</v>
      </c>
      <c r="B6571" t="s">
        <v>2931</v>
      </c>
      <c r="C6571">
        <v>6368</v>
      </c>
      <c r="D6571" t="str">
        <f t="shared" si="118"/>
        <v xml:space="preserve">2560371624  </v>
      </c>
      <c r="E6571" t="s">
        <v>277</v>
      </c>
      <c r="F6571" t="s">
        <v>279</v>
      </c>
      <c r="G6571">
        <v>691.63</v>
      </c>
      <c r="H6571">
        <v>250428</v>
      </c>
      <c r="I6571">
        <v>4520</v>
      </c>
      <c r="J6571" t="s">
        <v>280</v>
      </c>
      <c r="K6571">
        <v>4989.0200000000004</v>
      </c>
      <c r="L6571">
        <v>84.94</v>
      </c>
      <c r="M6571">
        <v>14432</v>
      </c>
      <c r="N6571" t="s">
        <v>75</v>
      </c>
      <c r="O6571">
        <v>250513</v>
      </c>
      <c r="P6571">
        <v>606.69000000000005</v>
      </c>
    </row>
    <row r="6572" spans="1:16" x14ac:dyDescent="0.25">
      <c r="A6572" t="s">
        <v>3296</v>
      </c>
      <c r="B6572" t="s">
        <v>2931</v>
      </c>
      <c r="C6572">
        <v>6368</v>
      </c>
      <c r="D6572" t="str">
        <f t="shared" si="118"/>
        <v xml:space="preserve">2560371624  </v>
      </c>
      <c r="E6572" t="s">
        <v>277</v>
      </c>
      <c r="F6572" t="s">
        <v>279</v>
      </c>
      <c r="G6572">
        <v>9.2100000000000009</v>
      </c>
      <c r="H6572">
        <v>250428</v>
      </c>
      <c r="I6572">
        <v>4520</v>
      </c>
      <c r="J6572" t="s">
        <v>280</v>
      </c>
      <c r="K6572">
        <v>4989.0200000000004</v>
      </c>
      <c r="L6572">
        <v>1.87</v>
      </c>
      <c r="M6572">
        <v>14640</v>
      </c>
      <c r="N6572" t="s">
        <v>78</v>
      </c>
      <c r="O6572">
        <v>250513</v>
      </c>
      <c r="P6572">
        <v>7.34</v>
      </c>
    </row>
    <row r="6573" spans="1:16" x14ac:dyDescent="0.25">
      <c r="A6573" t="s">
        <v>3296</v>
      </c>
      <c r="B6573" t="s">
        <v>2931</v>
      </c>
      <c r="C6573">
        <v>6368</v>
      </c>
      <c r="D6573" t="str">
        <f t="shared" si="118"/>
        <v xml:space="preserve">2560371624  </v>
      </c>
      <c r="E6573" t="s">
        <v>277</v>
      </c>
      <c r="F6573" t="s">
        <v>279</v>
      </c>
      <c r="G6573">
        <v>40.68</v>
      </c>
      <c r="H6573">
        <v>250428</v>
      </c>
      <c r="I6573">
        <v>4520</v>
      </c>
      <c r="J6573" t="s">
        <v>280</v>
      </c>
      <c r="K6573">
        <v>4989.0200000000004</v>
      </c>
      <c r="L6573">
        <v>5</v>
      </c>
      <c r="M6573">
        <v>14640</v>
      </c>
      <c r="N6573" t="s">
        <v>78</v>
      </c>
      <c r="O6573">
        <v>250513</v>
      </c>
      <c r="P6573">
        <v>35.68</v>
      </c>
    </row>
    <row r="6574" spans="1:16" x14ac:dyDescent="0.25">
      <c r="A6574" t="s">
        <v>3296</v>
      </c>
      <c r="B6574" t="s">
        <v>2931</v>
      </c>
      <c r="C6574">
        <v>6368</v>
      </c>
      <c r="D6574" t="str">
        <f t="shared" si="118"/>
        <v xml:space="preserve">2560371624  </v>
      </c>
      <c r="E6574" t="s">
        <v>277</v>
      </c>
      <c r="F6574" t="s">
        <v>279</v>
      </c>
      <c r="G6574">
        <v>36.82</v>
      </c>
      <c r="H6574">
        <v>250428</v>
      </c>
      <c r="I6574">
        <v>4520</v>
      </c>
      <c r="J6574" t="s">
        <v>280</v>
      </c>
      <c r="K6574">
        <v>4989.0200000000004</v>
      </c>
      <c r="L6574">
        <v>7.48</v>
      </c>
      <c r="M6574">
        <v>14642</v>
      </c>
      <c r="N6574" t="s">
        <v>283</v>
      </c>
      <c r="O6574">
        <v>250513</v>
      </c>
      <c r="P6574">
        <v>29.34</v>
      </c>
    </row>
    <row r="6575" spans="1:16" x14ac:dyDescent="0.25">
      <c r="A6575" t="s">
        <v>3296</v>
      </c>
      <c r="B6575" t="s">
        <v>2931</v>
      </c>
      <c r="C6575">
        <v>6368</v>
      </c>
      <c r="D6575" t="str">
        <f t="shared" si="118"/>
        <v xml:space="preserve">2560371624  </v>
      </c>
      <c r="E6575" t="s">
        <v>277</v>
      </c>
      <c r="F6575" t="s">
        <v>279</v>
      </c>
      <c r="G6575">
        <v>162.74</v>
      </c>
      <c r="H6575">
        <v>250428</v>
      </c>
      <c r="I6575">
        <v>4520</v>
      </c>
      <c r="J6575" t="s">
        <v>280</v>
      </c>
      <c r="K6575">
        <v>4989.0200000000004</v>
      </c>
      <c r="L6575">
        <v>19.989999999999998</v>
      </c>
      <c r="M6575">
        <v>14642</v>
      </c>
      <c r="N6575" t="s">
        <v>283</v>
      </c>
      <c r="O6575">
        <v>250513</v>
      </c>
      <c r="P6575">
        <v>142.75</v>
      </c>
    </row>
    <row r="6576" spans="1:16" x14ac:dyDescent="0.25">
      <c r="A6576" t="s">
        <v>3296</v>
      </c>
      <c r="B6576" t="s">
        <v>2931</v>
      </c>
      <c r="C6576">
        <v>6368</v>
      </c>
      <c r="D6576" t="str">
        <f t="shared" si="118"/>
        <v xml:space="preserve">2560371624  </v>
      </c>
      <c r="E6576" t="s">
        <v>277</v>
      </c>
      <c r="F6576" t="s">
        <v>279</v>
      </c>
      <c r="G6576">
        <v>672.05</v>
      </c>
      <c r="H6576">
        <v>250428</v>
      </c>
      <c r="I6576">
        <v>4520</v>
      </c>
      <c r="J6576" t="s">
        <v>280</v>
      </c>
      <c r="K6576">
        <v>4989.0200000000004</v>
      </c>
      <c r="L6576">
        <v>136.55000000000001</v>
      </c>
      <c r="M6576">
        <v>14912</v>
      </c>
      <c r="N6576" t="s">
        <v>80</v>
      </c>
      <c r="O6576">
        <v>250513</v>
      </c>
      <c r="P6576">
        <v>535.5</v>
      </c>
    </row>
    <row r="6577" spans="1:16" x14ac:dyDescent="0.25">
      <c r="A6577" t="s">
        <v>3296</v>
      </c>
      <c r="B6577" t="s">
        <v>2931</v>
      </c>
      <c r="C6577">
        <v>6368</v>
      </c>
      <c r="D6577" t="str">
        <f t="shared" si="118"/>
        <v xml:space="preserve">2560371624  </v>
      </c>
      <c r="E6577" t="s">
        <v>277</v>
      </c>
      <c r="F6577" t="s">
        <v>279</v>
      </c>
      <c r="G6577">
        <v>2969.94</v>
      </c>
      <c r="H6577">
        <v>250428</v>
      </c>
      <c r="I6577">
        <v>4520</v>
      </c>
      <c r="J6577" t="s">
        <v>280</v>
      </c>
      <c r="K6577">
        <v>4989.0200000000004</v>
      </c>
      <c r="L6577">
        <v>364.73</v>
      </c>
      <c r="M6577">
        <v>14912</v>
      </c>
      <c r="N6577" t="s">
        <v>80</v>
      </c>
      <c r="O6577">
        <v>250513</v>
      </c>
      <c r="P6577">
        <v>2605.21</v>
      </c>
    </row>
    <row r="6578" spans="1:16" x14ac:dyDescent="0.25">
      <c r="A6578" t="s">
        <v>3296</v>
      </c>
      <c r="B6578" t="s">
        <v>2931</v>
      </c>
      <c r="C6578">
        <v>6374</v>
      </c>
      <c r="D6578" t="str">
        <f t="shared" ref="D6578:D6584" si="119">"2560378643  "</f>
        <v xml:space="preserve">2560378643  </v>
      </c>
      <c r="E6578" t="s">
        <v>277</v>
      </c>
      <c r="F6578" t="s">
        <v>279</v>
      </c>
      <c r="G6578">
        <v>18.36</v>
      </c>
      <c r="H6578">
        <v>250430</v>
      </c>
      <c r="I6578">
        <v>4520</v>
      </c>
      <c r="J6578" t="s">
        <v>280</v>
      </c>
      <c r="K6578">
        <v>1828.67</v>
      </c>
      <c r="L6578">
        <v>2.25</v>
      </c>
      <c r="M6578">
        <v>14422</v>
      </c>
      <c r="N6578" t="s">
        <v>73</v>
      </c>
      <c r="O6578">
        <v>250513</v>
      </c>
      <c r="P6578">
        <v>16.11</v>
      </c>
    </row>
    <row r="6579" spans="1:16" x14ac:dyDescent="0.25">
      <c r="A6579" t="s">
        <v>3296</v>
      </c>
      <c r="B6579" t="s">
        <v>2931</v>
      </c>
      <c r="C6579">
        <v>6374</v>
      </c>
      <c r="D6579" t="str">
        <f t="shared" si="119"/>
        <v xml:space="preserve">2560378643  </v>
      </c>
      <c r="E6579" t="s">
        <v>277</v>
      </c>
      <c r="F6579" t="s">
        <v>279</v>
      </c>
      <c r="G6579">
        <v>73.430000000000007</v>
      </c>
      <c r="H6579">
        <v>250430</v>
      </c>
      <c r="I6579">
        <v>4520</v>
      </c>
      <c r="J6579" t="s">
        <v>280</v>
      </c>
      <c r="K6579">
        <v>1828.67</v>
      </c>
      <c r="L6579">
        <v>9.02</v>
      </c>
      <c r="M6579">
        <v>14431</v>
      </c>
      <c r="N6579" t="s">
        <v>74</v>
      </c>
      <c r="O6579">
        <v>250513</v>
      </c>
      <c r="P6579">
        <v>64.41</v>
      </c>
    </row>
    <row r="6580" spans="1:16" x14ac:dyDescent="0.25">
      <c r="A6580" t="s">
        <v>3296</v>
      </c>
      <c r="B6580" t="s">
        <v>2931</v>
      </c>
      <c r="C6580">
        <v>6374</v>
      </c>
      <c r="D6580" t="str">
        <f t="shared" si="119"/>
        <v xml:space="preserve">2560378643  </v>
      </c>
      <c r="E6580" t="s">
        <v>277</v>
      </c>
      <c r="F6580" t="s">
        <v>279</v>
      </c>
      <c r="G6580">
        <v>-7.12</v>
      </c>
      <c r="H6580">
        <v>250430</v>
      </c>
      <c r="I6580">
        <v>4520</v>
      </c>
      <c r="J6580" t="s">
        <v>280</v>
      </c>
      <c r="K6580">
        <v>1828.67</v>
      </c>
      <c r="L6580">
        <v>-1.45</v>
      </c>
      <c r="M6580">
        <v>14432</v>
      </c>
      <c r="N6580" t="s">
        <v>75</v>
      </c>
      <c r="O6580">
        <v>250513</v>
      </c>
      <c r="P6580">
        <v>-5.67</v>
      </c>
    </row>
    <row r="6581" spans="1:16" x14ac:dyDescent="0.25">
      <c r="A6581" t="s">
        <v>3296</v>
      </c>
      <c r="B6581" t="s">
        <v>2931</v>
      </c>
      <c r="C6581">
        <v>6374</v>
      </c>
      <c r="D6581" t="str">
        <f t="shared" si="119"/>
        <v xml:space="preserve">2560378643  </v>
      </c>
      <c r="E6581" t="s">
        <v>277</v>
      </c>
      <c r="F6581" t="s">
        <v>279</v>
      </c>
      <c r="G6581">
        <v>312.08</v>
      </c>
      <c r="H6581">
        <v>250430</v>
      </c>
      <c r="I6581">
        <v>4520</v>
      </c>
      <c r="J6581" t="s">
        <v>280</v>
      </c>
      <c r="K6581">
        <v>1828.67</v>
      </c>
      <c r="L6581">
        <v>38.33</v>
      </c>
      <c r="M6581">
        <v>14432</v>
      </c>
      <c r="N6581" t="s">
        <v>75</v>
      </c>
      <c r="O6581">
        <v>250513</v>
      </c>
      <c r="P6581">
        <v>273.75</v>
      </c>
    </row>
    <row r="6582" spans="1:16" x14ac:dyDescent="0.25">
      <c r="A6582" t="s">
        <v>3296</v>
      </c>
      <c r="B6582" t="s">
        <v>2931</v>
      </c>
      <c r="C6582">
        <v>6374</v>
      </c>
      <c r="D6582" t="str">
        <f t="shared" si="119"/>
        <v xml:space="preserve">2560378643  </v>
      </c>
      <c r="E6582" t="s">
        <v>277</v>
      </c>
      <c r="F6582" t="s">
        <v>279</v>
      </c>
      <c r="G6582">
        <v>18.36</v>
      </c>
      <c r="H6582">
        <v>250430</v>
      </c>
      <c r="I6582">
        <v>4520</v>
      </c>
      <c r="J6582" t="s">
        <v>280</v>
      </c>
      <c r="K6582">
        <v>1828.67</v>
      </c>
      <c r="L6582">
        <v>2.25</v>
      </c>
      <c r="M6582">
        <v>14640</v>
      </c>
      <c r="N6582" t="s">
        <v>78</v>
      </c>
      <c r="O6582">
        <v>250513</v>
      </c>
      <c r="P6582">
        <v>16.11</v>
      </c>
    </row>
    <row r="6583" spans="1:16" x14ac:dyDescent="0.25">
      <c r="A6583" t="s">
        <v>3296</v>
      </c>
      <c r="B6583" t="s">
        <v>2931</v>
      </c>
      <c r="C6583">
        <v>6374</v>
      </c>
      <c r="D6583" t="str">
        <f t="shared" si="119"/>
        <v xml:space="preserve">2560378643  </v>
      </c>
      <c r="E6583" t="s">
        <v>277</v>
      </c>
      <c r="F6583" t="s">
        <v>279</v>
      </c>
      <c r="G6583">
        <v>73.430000000000007</v>
      </c>
      <c r="H6583">
        <v>250430</v>
      </c>
      <c r="I6583">
        <v>4520</v>
      </c>
      <c r="J6583" t="s">
        <v>280</v>
      </c>
      <c r="K6583">
        <v>1828.67</v>
      </c>
      <c r="L6583">
        <v>9.02</v>
      </c>
      <c r="M6583">
        <v>14642</v>
      </c>
      <c r="N6583" t="s">
        <v>283</v>
      </c>
      <c r="O6583">
        <v>250513</v>
      </c>
      <c r="P6583">
        <v>64.41</v>
      </c>
    </row>
    <row r="6584" spans="1:16" x14ac:dyDescent="0.25">
      <c r="A6584" t="s">
        <v>3296</v>
      </c>
      <c r="B6584" t="s">
        <v>2931</v>
      </c>
      <c r="C6584">
        <v>6374</v>
      </c>
      <c r="D6584" t="str">
        <f t="shared" si="119"/>
        <v xml:space="preserve">2560378643  </v>
      </c>
      <c r="E6584" t="s">
        <v>277</v>
      </c>
      <c r="F6584" t="s">
        <v>279</v>
      </c>
      <c r="G6584">
        <v>1340.13</v>
      </c>
      <c r="H6584">
        <v>250430</v>
      </c>
      <c r="I6584">
        <v>4520</v>
      </c>
      <c r="J6584" t="s">
        <v>280</v>
      </c>
      <c r="K6584">
        <v>1828.67</v>
      </c>
      <c r="L6584">
        <v>164.58</v>
      </c>
      <c r="M6584">
        <v>14912</v>
      </c>
      <c r="N6584" t="s">
        <v>80</v>
      </c>
      <c r="O6584">
        <v>250513</v>
      </c>
      <c r="P6584">
        <v>1175.55</v>
      </c>
    </row>
    <row r="6585" spans="1:16" x14ac:dyDescent="0.25">
      <c r="A6585" t="s">
        <v>3296</v>
      </c>
      <c r="B6585" t="s">
        <v>2931</v>
      </c>
      <c r="C6585">
        <v>6400</v>
      </c>
      <c r="D6585" t="str">
        <f t="shared" ref="D6585:D6596" si="120">"2560417541  "</f>
        <v xml:space="preserve">2560417541  </v>
      </c>
      <c r="E6585" t="s">
        <v>277</v>
      </c>
      <c r="F6585" t="s">
        <v>279</v>
      </c>
      <c r="G6585">
        <v>4.26</v>
      </c>
      <c r="H6585">
        <v>250501</v>
      </c>
      <c r="I6585">
        <v>4520</v>
      </c>
      <c r="J6585" t="s">
        <v>280</v>
      </c>
      <c r="K6585">
        <v>2185.14</v>
      </c>
      <c r="L6585">
        <v>0.87</v>
      </c>
      <c r="M6585">
        <v>14422</v>
      </c>
      <c r="N6585" t="s">
        <v>73</v>
      </c>
      <c r="O6585">
        <v>250513</v>
      </c>
      <c r="P6585">
        <v>3.39</v>
      </c>
    </row>
    <row r="6586" spans="1:16" x14ac:dyDescent="0.25">
      <c r="A6586" t="s">
        <v>3296</v>
      </c>
      <c r="B6586" t="s">
        <v>2931</v>
      </c>
      <c r="C6586">
        <v>6400</v>
      </c>
      <c r="D6586" t="str">
        <f t="shared" si="120"/>
        <v xml:space="preserve">2560417541  </v>
      </c>
      <c r="E6586" t="s">
        <v>277</v>
      </c>
      <c r="F6586" t="s">
        <v>279</v>
      </c>
      <c r="G6586">
        <v>17.600000000000001</v>
      </c>
      <c r="H6586">
        <v>250501</v>
      </c>
      <c r="I6586">
        <v>4520</v>
      </c>
      <c r="J6586" t="s">
        <v>280</v>
      </c>
      <c r="K6586">
        <v>2185.14</v>
      </c>
      <c r="L6586">
        <v>2.16</v>
      </c>
      <c r="M6586">
        <v>14422</v>
      </c>
      <c r="N6586" t="s">
        <v>73</v>
      </c>
      <c r="O6586">
        <v>250513</v>
      </c>
      <c r="P6586">
        <v>15.44</v>
      </c>
    </row>
    <row r="6587" spans="1:16" x14ac:dyDescent="0.25">
      <c r="A6587" t="s">
        <v>3296</v>
      </c>
      <c r="B6587" t="s">
        <v>2931</v>
      </c>
      <c r="C6587">
        <v>6400</v>
      </c>
      <c r="D6587" t="str">
        <f t="shared" si="120"/>
        <v xml:space="preserve">2560417541  </v>
      </c>
      <c r="E6587" t="s">
        <v>277</v>
      </c>
      <c r="F6587" t="s">
        <v>279</v>
      </c>
      <c r="G6587">
        <v>17.02</v>
      </c>
      <c r="H6587">
        <v>250501</v>
      </c>
      <c r="I6587">
        <v>4520</v>
      </c>
      <c r="J6587" t="s">
        <v>280</v>
      </c>
      <c r="K6587">
        <v>2185.14</v>
      </c>
      <c r="L6587">
        <v>3.46</v>
      </c>
      <c r="M6587">
        <v>14431</v>
      </c>
      <c r="N6587" t="s">
        <v>74</v>
      </c>
      <c r="O6587">
        <v>250513</v>
      </c>
      <c r="P6587">
        <v>13.56</v>
      </c>
    </row>
    <row r="6588" spans="1:16" x14ac:dyDescent="0.25">
      <c r="A6588" t="s">
        <v>3296</v>
      </c>
      <c r="B6588" t="s">
        <v>2931</v>
      </c>
      <c r="C6588">
        <v>6400</v>
      </c>
      <c r="D6588" t="str">
        <f t="shared" si="120"/>
        <v xml:space="preserve">2560417541  </v>
      </c>
      <c r="E6588" t="s">
        <v>277</v>
      </c>
      <c r="F6588" t="s">
        <v>279</v>
      </c>
      <c r="G6588">
        <v>70.39</v>
      </c>
      <c r="H6588">
        <v>250501</v>
      </c>
      <c r="I6588">
        <v>4520</v>
      </c>
      <c r="J6588" t="s">
        <v>280</v>
      </c>
      <c r="K6588">
        <v>2185.14</v>
      </c>
      <c r="L6588">
        <v>8.64</v>
      </c>
      <c r="M6588">
        <v>14431</v>
      </c>
      <c r="N6588" t="s">
        <v>74</v>
      </c>
      <c r="O6588">
        <v>250513</v>
      </c>
      <c r="P6588">
        <v>61.75</v>
      </c>
    </row>
    <row r="6589" spans="1:16" x14ac:dyDescent="0.25">
      <c r="A6589" t="s">
        <v>3296</v>
      </c>
      <c r="B6589" t="s">
        <v>2931</v>
      </c>
      <c r="C6589">
        <v>6400</v>
      </c>
      <c r="D6589" t="str">
        <f t="shared" si="120"/>
        <v xml:space="preserve">2560417541  </v>
      </c>
      <c r="E6589" t="s">
        <v>277</v>
      </c>
      <c r="F6589" t="s">
        <v>279</v>
      </c>
      <c r="G6589">
        <v>72.34</v>
      </c>
      <c r="H6589">
        <v>250501</v>
      </c>
      <c r="I6589">
        <v>4520</v>
      </c>
      <c r="J6589" t="s">
        <v>280</v>
      </c>
      <c r="K6589">
        <v>2185.14</v>
      </c>
      <c r="L6589">
        <v>14.7</v>
      </c>
      <c r="M6589">
        <v>14432</v>
      </c>
      <c r="N6589" t="s">
        <v>75</v>
      </c>
      <c r="O6589">
        <v>250513</v>
      </c>
      <c r="P6589">
        <v>57.64</v>
      </c>
    </row>
    <row r="6590" spans="1:16" x14ac:dyDescent="0.25">
      <c r="A6590" t="s">
        <v>3296</v>
      </c>
      <c r="B6590" t="s">
        <v>2931</v>
      </c>
      <c r="C6590">
        <v>6400</v>
      </c>
      <c r="D6590" t="str">
        <f t="shared" si="120"/>
        <v xml:space="preserve">2560417541  </v>
      </c>
      <c r="E6590" t="s">
        <v>277</v>
      </c>
      <c r="F6590" t="s">
        <v>279</v>
      </c>
      <c r="G6590">
        <v>299.14</v>
      </c>
      <c r="H6590">
        <v>250501</v>
      </c>
      <c r="I6590">
        <v>4520</v>
      </c>
      <c r="J6590" t="s">
        <v>280</v>
      </c>
      <c r="K6590">
        <v>2185.14</v>
      </c>
      <c r="L6590">
        <v>36.74</v>
      </c>
      <c r="M6590">
        <v>14432</v>
      </c>
      <c r="N6590" t="s">
        <v>75</v>
      </c>
      <c r="O6590">
        <v>250513</v>
      </c>
      <c r="P6590">
        <v>262.39999999999998</v>
      </c>
    </row>
    <row r="6591" spans="1:16" x14ac:dyDescent="0.25">
      <c r="A6591" t="s">
        <v>3296</v>
      </c>
      <c r="B6591" t="s">
        <v>2931</v>
      </c>
      <c r="C6591">
        <v>6400</v>
      </c>
      <c r="D6591" t="str">
        <f t="shared" si="120"/>
        <v xml:space="preserve">2560417541  </v>
      </c>
      <c r="E6591" t="s">
        <v>277</v>
      </c>
      <c r="F6591" t="s">
        <v>279</v>
      </c>
      <c r="G6591">
        <v>4.24</v>
      </c>
      <c r="H6591">
        <v>250501</v>
      </c>
      <c r="I6591">
        <v>4520</v>
      </c>
      <c r="J6591" t="s">
        <v>280</v>
      </c>
      <c r="K6591">
        <v>2185.14</v>
      </c>
      <c r="L6591">
        <v>0.86</v>
      </c>
      <c r="M6591">
        <v>14640</v>
      </c>
      <c r="N6591" t="s">
        <v>78</v>
      </c>
      <c r="O6591">
        <v>250513</v>
      </c>
      <c r="P6591">
        <v>3.38</v>
      </c>
    </row>
    <row r="6592" spans="1:16" x14ac:dyDescent="0.25">
      <c r="A6592" t="s">
        <v>3296</v>
      </c>
      <c r="B6592" t="s">
        <v>2931</v>
      </c>
      <c r="C6592">
        <v>6400</v>
      </c>
      <c r="D6592" t="str">
        <f t="shared" si="120"/>
        <v xml:space="preserve">2560417541  </v>
      </c>
      <c r="E6592" t="s">
        <v>277</v>
      </c>
      <c r="F6592" t="s">
        <v>279</v>
      </c>
      <c r="G6592">
        <v>17.579999999999998</v>
      </c>
      <c r="H6592">
        <v>250501</v>
      </c>
      <c r="I6592">
        <v>4520</v>
      </c>
      <c r="J6592" t="s">
        <v>280</v>
      </c>
      <c r="K6592">
        <v>2185.14</v>
      </c>
      <c r="L6592">
        <v>2.16</v>
      </c>
      <c r="M6592">
        <v>14640</v>
      </c>
      <c r="N6592" t="s">
        <v>78</v>
      </c>
      <c r="O6592">
        <v>250513</v>
      </c>
      <c r="P6592">
        <v>15.42</v>
      </c>
    </row>
    <row r="6593" spans="1:16" x14ac:dyDescent="0.25">
      <c r="A6593" t="s">
        <v>3296</v>
      </c>
      <c r="B6593" t="s">
        <v>2931</v>
      </c>
      <c r="C6593">
        <v>6400</v>
      </c>
      <c r="D6593" t="str">
        <f t="shared" si="120"/>
        <v xml:space="preserve">2560417541  </v>
      </c>
      <c r="E6593" t="s">
        <v>277</v>
      </c>
      <c r="F6593" t="s">
        <v>279</v>
      </c>
      <c r="G6593">
        <v>17.02</v>
      </c>
      <c r="H6593">
        <v>250501</v>
      </c>
      <c r="I6593">
        <v>4520</v>
      </c>
      <c r="J6593" t="s">
        <v>280</v>
      </c>
      <c r="K6593">
        <v>2185.14</v>
      </c>
      <c r="L6593">
        <v>3.46</v>
      </c>
      <c r="M6593">
        <v>14642</v>
      </c>
      <c r="N6593" t="s">
        <v>283</v>
      </c>
      <c r="O6593">
        <v>250513</v>
      </c>
      <c r="P6593">
        <v>13.56</v>
      </c>
    </row>
    <row r="6594" spans="1:16" x14ac:dyDescent="0.25">
      <c r="A6594" t="s">
        <v>3296</v>
      </c>
      <c r="B6594" t="s">
        <v>2931</v>
      </c>
      <c r="C6594">
        <v>6400</v>
      </c>
      <c r="D6594" t="str">
        <f t="shared" si="120"/>
        <v xml:space="preserve">2560417541  </v>
      </c>
      <c r="E6594" t="s">
        <v>277</v>
      </c>
      <c r="F6594" t="s">
        <v>279</v>
      </c>
      <c r="G6594">
        <v>70.39</v>
      </c>
      <c r="H6594">
        <v>250501</v>
      </c>
      <c r="I6594">
        <v>4520</v>
      </c>
      <c r="J6594" t="s">
        <v>280</v>
      </c>
      <c r="K6594">
        <v>2185.14</v>
      </c>
      <c r="L6594">
        <v>8.64</v>
      </c>
      <c r="M6594">
        <v>14642</v>
      </c>
      <c r="N6594" t="s">
        <v>283</v>
      </c>
      <c r="O6594">
        <v>250513</v>
      </c>
      <c r="P6594">
        <v>61.75</v>
      </c>
    </row>
    <row r="6595" spans="1:16" x14ac:dyDescent="0.25">
      <c r="A6595" t="s">
        <v>3296</v>
      </c>
      <c r="B6595" t="s">
        <v>2931</v>
      </c>
      <c r="C6595">
        <v>6400</v>
      </c>
      <c r="D6595" t="str">
        <f t="shared" si="120"/>
        <v xml:space="preserve">2560417541  </v>
      </c>
      <c r="E6595" t="s">
        <v>277</v>
      </c>
      <c r="F6595" t="s">
        <v>279</v>
      </c>
      <c r="G6595">
        <v>310.62</v>
      </c>
      <c r="H6595">
        <v>250501</v>
      </c>
      <c r="I6595">
        <v>4520</v>
      </c>
      <c r="J6595" t="s">
        <v>280</v>
      </c>
      <c r="K6595">
        <v>2185.14</v>
      </c>
      <c r="L6595">
        <v>63.11</v>
      </c>
      <c r="M6595">
        <v>14912</v>
      </c>
      <c r="N6595" t="s">
        <v>80</v>
      </c>
      <c r="O6595">
        <v>250513</v>
      </c>
      <c r="P6595">
        <v>247.51</v>
      </c>
    </row>
    <row r="6596" spans="1:16" x14ac:dyDescent="0.25">
      <c r="A6596" t="s">
        <v>3296</v>
      </c>
      <c r="B6596" t="s">
        <v>2931</v>
      </c>
      <c r="C6596">
        <v>6400</v>
      </c>
      <c r="D6596" t="str">
        <f t="shared" si="120"/>
        <v xml:space="preserve">2560417541  </v>
      </c>
      <c r="E6596" t="s">
        <v>277</v>
      </c>
      <c r="F6596" t="s">
        <v>279</v>
      </c>
      <c r="G6596">
        <v>1284.54</v>
      </c>
      <c r="H6596">
        <v>250501</v>
      </c>
      <c r="I6596">
        <v>4520</v>
      </c>
      <c r="J6596" t="s">
        <v>280</v>
      </c>
      <c r="K6596">
        <v>2185.14</v>
      </c>
      <c r="L6596">
        <v>157.75</v>
      </c>
      <c r="M6596">
        <v>14912</v>
      </c>
      <c r="N6596" t="s">
        <v>80</v>
      </c>
      <c r="O6596">
        <v>250513</v>
      </c>
      <c r="P6596">
        <v>1126.79</v>
      </c>
    </row>
    <row r="6597" spans="1:16" x14ac:dyDescent="0.25">
      <c r="A6597" t="s">
        <v>3296</v>
      </c>
      <c r="B6597" t="s">
        <v>2931</v>
      </c>
      <c r="C6597">
        <v>6413</v>
      </c>
      <c r="D6597" t="str">
        <f t="shared" ref="D6597:D6602" si="121">"2560417540  "</f>
        <v xml:space="preserve">2560417540  </v>
      </c>
      <c r="E6597" t="s">
        <v>277</v>
      </c>
      <c r="F6597" t="s">
        <v>279</v>
      </c>
      <c r="G6597">
        <v>231</v>
      </c>
      <c r="H6597">
        <v>250501</v>
      </c>
      <c r="I6597">
        <v>4520</v>
      </c>
      <c r="J6597" t="s">
        <v>280</v>
      </c>
      <c r="K6597">
        <v>1737.39</v>
      </c>
      <c r="L6597">
        <v>28.37</v>
      </c>
      <c r="M6597">
        <v>16441</v>
      </c>
      <c r="N6597" t="s">
        <v>1674</v>
      </c>
      <c r="O6597">
        <v>250513</v>
      </c>
      <c r="P6597">
        <v>202.63</v>
      </c>
    </row>
    <row r="6598" spans="1:16" x14ac:dyDescent="0.25">
      <c r="A6598" t="s">
        <v>3296</v>
      </c>
      <c r="B6598" t="s">
        <v>2931</v>
      </c>
      <c r="C6598">
        <v>6413</v>
      </c>
      <c r="D6598" t="str">
        <f t="shared" si="121"/>
        <v xml:space="preserve">2560417540  </v>
      </c>
      <c r="E6598" t="s">
        <v>277</v>
      </c>
      <c r="F6598" t="s">
        <v>279</v>
      </c>
      <c r="G6598">
        <v>136.07</v>
      </c>
      <c r="H6598">
        <v>250501</v>
      </c>
      <c r="I6598">
        <v>4520</v>
      </c>
      <c r="J6598" t="s">
        <v>280</v>
      </c>
      <c r="K6598">
        <v>1737.39</v>
      </c>
      <c r="L6598">
        <v>16.71</v>
      </c>
      <c r="M6598">
        <v>16442</v>
      </c>
      <c r="N6598" t="s">
        <v>304</v>
      </c>
      <c r="O6598">
        <v>250513</v>
      </c>
      <c r="P6598">
        <v>119.36</v>
      </c>
    </row>
    <row r="6599" spans="1:16" x14ac:dyDescent="0.25">
      <c r="A6599" t="s">
        <v>3296</v>
      </c>
      <c r="B6599" t="s">
        <v>2931</v>
      </c>
      <c r="C6599">
        <v>6413</v>
      </c>
      <c r="D6599" t="str">
        <f t="shared" si="121"/>
        <v xml:space="preserve">2560417540  </v>
      </c>
      <c r="E6599" t="s">
        <v>277</v>
      </c>
      <c r="F6599" t="s">
        <v>279</v>
      </c>
      <c r="G6599">
        <v>64.5</v>
      </c>
      <c r="H6599">
        <v>250501</v>
      </c>
      <c r="I6599">
        <v>4520</v>
      </c>
      <c r="J6599" t="s">
        <v>280</v>
      </c>
      <c r="K6599">
        <v>1737.39</v>
      </c>
      <c r="L6599">
        <v>13.11</v>
      </c>
      <c r="M6599">
        <v>17913</v>
      </c>
      <c r="N6599" t="s">
        <v>26</v>
      </c>
      <c r="O6599">
        <v>250513</v>
      </c>
      <c r="P6599">
        <v>51.39</v>
      </c>
    </row>
    <row r="6600" spans="1:16" x14ac:dyDescent="0.25">
      <c r="A6600" t="s">
        <v>3296</v>
      </c>
      <c r="B6600" t="s">
        <v>2931</v>
      </c>
      <c r="C6600">
        <v>6413</v>
      </c>
      <c r="D6600" t="str">
        <f t="shared" si="121"/>
        <v xml:space="preserve">2560417540  </v>
      </c>
      <c r="E6600" t="s">
        <v>277</v>
      </c>
      <c r="F6600" t="s">
        <v>279</v>
      </c>
      <c r="G6600">
        <v>1085.77</v>
      </c>
      <c r="H6600">
        <v>250501</v>
      </c>
      <c r="I6600">
        <v>4520</v>
      </c>
      <c r="J6600" t="s">
        <v>280</v>
      </c>
      <c r="K6600">
        <v>1737.39</v>
      </c>
      <c r="L6600">
        <v>133.34</v>
      </c>
      <c r="M6600">
        <v>17913</v>
      </c>
      <c r="N6600" t="s">
        <v>26</v>
      </c>
      <c r="O6600">
        <v>250513</v>
      </c>
      <c r="P6600">
        <v>952.43</v>
      </c>
    </row>
    <row r="6601" spans="1:16" x14ac:dyDescent="0.25">
      <c r="A6601" t="s">
        <v>3296</v>
      </c>
      <c r="B6601" t="s">
        <v>2931</v>
      </c>
      <c r="C6601">
        <v>6413</v>
      </c>
      <c r="D6601" t="str">
        <f t="shared" si="121"/>
        <v xml:space="preserve">2560417540  </v>
      </c>
      <c r="E6601" t="s">
        <v>277</v>
      </c>
      <c r="F6601" t="s">
        <v>279</v>
      </c>
      <c r="G6601">
        <v>7.17</v>
      </c>
      <c r="H6601">
        <v>250501</v>
      </c>
      <c r="I6601">
        <v>4520</v>
      </c>
      <c r="J6601" t="s">
        <v>280</v>
      </c>
      <c r="K6601">
        <v>1737.39</v>
      </c>
      <c r="L6601">
        <v>1.46</v>
      </c>
      <c r="M6601">
        <v>17982</v>
      </c>
      <c r="N6601" t="s">
        <v>281</v>
      </c>
      <c r="O6601">
        <v>250513</v>
      </c>
      <c r="P6601">
        <v>5.71</v>
      </c>
    </row>
    <row r="6602" spans="1:16" x14ac:dyDescent="0.25">
      <c r="A6602" t="s">
        <v>3296</v>
      </c>
      <c r="B6602" t="s">
        <v>2931</v>
      </c>
      <c r="C6602">
        <v>6413</v>
      </c>
      <c r="D6602" t="str">
        <f t="shared" si="121"/>
        <v xml:space="preserve">2560417540  </v>
      </c>
      <c r="E6602" t="s">
        <v>277</v>
      </c>
      <c r="F6602" t="s">
        <v>279</v>
      </c>
      <c r="G6602">
        <v>161.4</v>
      </c>
      <c r="H6602">
        <v>250501</v>
      </c>
      <c r="I6602">
        <v>4520</v>
      </c>
      <c r="J6602" t="s">
        <v>280</v>
      </c>
      <c r="K6602">
        <v>1737.39</v>
      </c>
      <c r="L6602">
        <v>19.82</v>
      </c>
      <c r="M6602">
        <v>17982</v>
      </c>
      <c r="N6602" t="s">
        <v>281</v>
      </c>
      <c r="O6602">
        <v>250513</v>
      </c>
      <c r="P6602">
        <v>141.58000000000001</v>
      </c>
    </row>
    <row r="6603" spans="1:16" x14ac:dyDescent="0.25">
      <c r="A6603" t="s">
        <v>3296</v>
      </c>
      <c r="B6603" t="s">
        <v>2931</v>
      </c>
      <c r="C6603">
        <v>6769</v>
      </c>
      <c r="D6603" t="str">
        <f>"2560433639  "</f>
        <v xml:space="preserve">2560433639  </v>
      </c>
      <c r="E6603" t="s">
        <v>277</v>
      </c>
      <c r="F6603" t="s">
        <v>279</v>
      </c>
      <c r="G6603">
        <v>66.099999999999994</v>
      </c>
      <c r="H6603">
        <v>250512</v>
      </c>
      <c r="I6603">
        <v>4520</v>
      </c>
      <c r="J6603" t="s">
        <v>280</v>
      </c>
      <c r="K6603">
        <v>2646.27</v>
      </c>
      <c r="L6603">
        <v>8.1199999999999992</v>
      </c>
      <c r="M6603">
        <v>16441</v>
      </c>
      <c r="N6603" t="s">
        <v>1674</v>
      </c>
      <c r="O6603">
        <v>250516</v>
      </c>
      <c r="P6603">
        <v>57.98</v>
      </c>
    </row>
    <row r="6604" spans="1:16" x14ac:dyDescent="0.25">
      <c r="A6604" t="s">
        <v>3296</v>
      </c>
      <c r="B6604" t="s">
        <v>2931</v>
      </c>
      <c r="C6604">
        <v>6769</v>
      </c>
      <c r="D6604" t="str">
        <f>"2560433639  "</f>
        <v xml:space="preserve">2560433639  </v>
      </c>
      <c r="E6604" t="s">
        <v>277</v>
      </c>
      <c r="F6604" t="s">
        <v>279</v>
      </c>
      <c r="G6604">
        <v>174.9</v>
      </c>
      <c r="H6604">
        <v>250512</v>
      </c>
      <c r="I6604">
        <v>4520</v>
      </c>
      <c r="J6604" t="s">
        <v>280</v>
      </c>
      <c r="K6604">
        <v>2646.27</v>
      </c>
      <c r="L6604">
        <v>21.48</v>
      </c>
      <c r="M6604">
        <v>16442</v>
      </c>
      <c r="N6604" t="s">
        <v>304</v>
      </c>
      <c r="O6604">
        <v>250516</v>
      </c>
      <c r="P6604">
        <v>153.41999999999999</v>
      </c>
    </row>
    <row r="6605" spans="1:16" x14ac:dyDescent="0.25">
      <c r="A6605" t="s">
        <v>3296</v>
      </c>
      <c r="B6605" t="s">
        <v>2931</v>
      </c>
      <c r="C6605">
        <v>6769</v>
      </c>
      <c r="D6605" t="str">
        <f>"2560433639  "</f>
        <v xml:space="preserve">2560433639  </v>
      </c>
      <c r="E6605" t="s">
        <v>277</v>
      </c>
      <c r="F6605" t="s">
        <v>279</v>
      </c>
      <c r="G6605">
        <v>-12.55</v>
      </c>
      <c r="H6605">
        <v>250512</v>
      </c>
      <c r="I6605">
        <v>4520</v>
      </c>
      <c r="J6605" t="s">
        <v>280</v>
      </c>
      <c r="K6605">
        <v>2646.27</v>
      </c>
      <c r="L6605">
        <v>-2.5499999999999998</v>
      </c>
      <c r="M6605">
        <v>17913</v>
      </c>
      <c r="N6605" t="s">
        <v>26</v>
      </c>
      <c r="O6605">
        <v>250516</v>
      </c>
      <c r="P6605">
        <v>-10</v>
      </c>
    </row>
    <row r="6606" spans="1:16" x14ac:dyDescent="0.25">
      <c r="A6606" t="s">
        <v>3296</v>
      </c>
      <c r="B6606" t="s">
        <v>2931</v>
      </c>
      <c r="C6606">
        <v>6769</v>
      </c>
      <c r="D6606" t="str">
        <f>"2560433639  "</f>
        <v xml:space="preserve">2560433639  </v>
      </c>
      <c r="E6606" t="s">
        <v>277</v>
      </c>
      <c r="F6606" t="s">
        <v>279</v>
      </c>
      <c r="G6606">
        <v>2051.92</v>
      </c>
      <c r="H6606">
        <v>250512</v>
      </c>
      <c r="I6606">
        <v>4520</v>
      </c>
      <c r="J6606" t="s">
        <v>280</v>
      </c>
      <c r="K6606">
        <v>2646.27</v>
      </c>
      <c r="L6606">
        <v>251.99</v>
      </c>
      <c r="M6606">
        <v>17913</v>
      </c>
      <c r="N6606" t="s">
        <v>26</v>
      </c>
      <c r="O6606">
        <v>250516</v>
      </c>
      <c r="P6606">
        <v>1799.93</v>
      </c>
    </row>
    <row r="6607" spans="1:16" x14ac:dyDescent="0.25">
      <c r="A6607" t="s">
        <v>3296</v>
      </c>
      <c r="B6607" t="s">
        <v>2931</v>
      </c>
      <c r="C6607">
        <v>6769</v>
      </c>
      <c r="D6607" t="str">
        <f>"2560433639  "</f>
        <v xml:space="preserve">2560433639  </v>
      </c>
      <c r="E6607" t="s">
        <v>277</v>
      </c>
      <c r="F6607" t="s">
        <v>279</v>
      </c>
      <c r="G6607">
        <v>365.9</v>
      </c>
      <c r="H6607">
        <v>250512</v>
      </c>
      <c r="I6607">
        <v>4520</v>
      </c>
      <c r="J6607" t="s">
        <v>280</v>
      </c>
      <c r="K6607">
        <v>2646.27</v>
      </c>
      <c r="L6607">
        <v>44.94</v>
      </c>
      <c r="M6607">
        <v>17982</v>
      </c>
      <c r="N6607" t="s">
        <v>281</v>
      </c>
      <c r="O6607">
        <v>250516</v>
      </c>
      <c r="P6607">
        <v>320.95999999999998</v>
      </c>
    </row>
    <row r="6608" spans="1:16" x14ac:dyDescent="0.25">
      <c r="A6608" t="s">
        <v>3296</v>
      </c>
      <c r="B6608" t="s">
        <v>2931</v>
      </c>
      <c r="C6608">
        <v>6772</v>
      </c>
      <c r="D6608" t="str">
        <f>"2560433641  "</f>
        <v xml:space="preserve">2560433641  </v>
      </c>
      <c r="E6608" t="s">
        <v>277</v>
      </c>
      <c r="F6608" t="s">
        <v>279</v>
      </c>
      <c r="G6608">
        <v>437.13</v>
      </c>
      <c r="H6608">
        <v>250512</v>
      </c>
      <c r="I6608">
        <v>4520</v>
      </c>
      <c r="J6608" t="s">
        <v>280</v>
      </c>
      <c r="K6608">
        <v>453.55</v>
      </c>
      <c r="L6608">
        <v>53.68</v>
      </c>
      <c r="M6608">
        <v>44253</v>
      </c>
      <c r="N6608" t="s">
        <v>403</v>
      </c>
      <c r="O6608">
        <v>250516</v>
      </c>
      <c r="P6608">
        <v>383.45</v>
      </c>
    </row>
    <row r="6609" spans="1:16" x14ac:dyDescent="0.25">
      <c r="A6609" t="s">
        <v>3296</v>
      </c>
      <c r="B6609" t="s">
        <v>2931</v>
      </c>
      <c r="C6609">
        <v>6773</v>
      </c>
      <c r="D6609" t="str">
        <f>"2560433635  "</f>
        <v xml:space="preserve">2560433635  </v>
      </c>
      <c r="E6609" t="s">
        <v>277</v>
      </c>
      <c r="F6609" t="s">
        <v>279</v>
      </c>
      <c r="G6609">
        <v>2035.57</v>
      </c>
      <c r="H6609">
        <v>250512</v>
      </c>
      <c r="I6609">
        <v>4520</v>
      </c>
      <c r="J6609" t="s">
        <v>280</v>
      </c>
      <c r="K6609">
        <v>2485.92</v>
      </c>
      <c r="L6609">
        <v>249.98</v>
      </c>
      <c r="M6609">
        <v>59113</v>
      </c>
      <c r="N6609" t="s">
        <v>61</v>
      </c>
      <c r="O6609">
        <v>250516</v>
      </c>
      <c r="P6609">
        <v>1785.59</v>
      </c>
    </row>
    <row r="6610" spans="1:16" x14ac:dyDescent="0.25">
      <c r="A6610" t="s">
        <v>3296</v>
      </c>
      <c r="B6610" t="s">
        <v>2931</v>
      </c>
      <c r="C6610">
        <v>6773</v>
      </c>
      <c r="D6610" t="str">
        <f>"2560433635  "</f>
        <v xml:space="preserve">2560433635  </v>
      </c>
      <c r="E6610" t="s">
        <v>277</v>
      </c>
      <c r="F6610" t="s">
        <v>279</v>
      </c>
      <c r="G6610">
        <v>359.22</v>
      </c>
      <c r="H6610">
        <v>250512</v>
      </c>
      <c r="I6610">
        <v>4520</v>
      </c>
      <c r="J6610" t="s">
        <v>280</v>
      </c>
      <c r="K6610">
        <v>2485.92</v>
      </c>
      <c r="L6610">
        <v>44.11</v>
      </c>
      <c r="M6610">
        <v>59803</v>
      </c>
      <c r="N6610" t="s">
        <v>282</v>
      </c>
      <c r="O6610">
        <v>250516</v>
      </c>
      <c r="P6610">
        <v>315.11</v>
      </c>
    </row>
    <row r="6611" spans="1:16" x14ac:dyDescent="0.25">
      <c r="A6611" t="s">
        <v>3296</v>
      </c>
      <c r="B6611" t="s">
        <v>2931</v>
      </c>
      <c r="C6611">
        <v>6784</v>
      </c>
      <c r="D6611" t="str">
        <f>"2560433636  "</f>
        <v xml:space="preserve">2560433636  </v>
      </c>
      <c r="E6611" t="s">
        <v>277</v>
      </c>
      <c r="F6611" t="s">
        <v>279</v>
      </c>
      <c r="G6611">
        <v>1000.31</v>
      </c>
      <c r="H6611">
        <v>250512</v>
      </c>
      <c r="I6611">
        <v>4520</v>
      </c>
      <c r="J6611" t="s">
        <v>280</v>
      </c>
      <c r="K6611">
        <v>1193.53</v>
      </c>
      <c r="L6611">
        <v>122.85</v>
      </c>
      <c r="M6611">
        <v>69113</v>
      </c>
      <c r="N6611" t="s">
        <v>122</v>
      </c>
      <c r="O6611">
        <v>250516</v>
      </c>
      <c r="P6611">
        <v>877.46</v>
      </c>
    </row>
    <row r="6612" spans="1:16" x14ac:dyDescent="0.25">
      <c r="A6612" t="s">
        <v>3296</v>
      </c>
      <c r="B6612" t="s">
        <v>2931</v>
      </c>
      <c r="C6612">
        <v>6784</v>
      </c>
      <c r="D6612" t="str">
        <f>"2560433636  "</f>
        <v xml:space="preserve">2560433636  </v>
      </c>
      <c r="E6612" t="s">
        <v>277</v>
      </c>
      <c r="F6612" t="s">
        <v>279</v>
      </c>
      <c r="G6612">
        <v>117.68</v>
      </c>
      <c r="H6612">
        <v>250512</v>
      </c>
      <c r="I6612">
        <v>4520</v>
      </c>
      <c r="J6612" t="s">
        <v>280</v>
      </c>
      <c r="K6612">
        <v>1193.53</v>
      </c>
      <c r="L6612">
        <v>14.45</v>
      </c>
      <c r="M6612">
        <v>69802</v>
      </c>
      <c r="N6612" t="s">
        <v>375</v>
      </c>
      <c r="O6612">
        <v>250516</v>
      </c>
      <c r="P6612">
        <v>103.23</v>
      </c>
    </row>
    <row r="6613" spans="1:16" x14ac:dyDescent="0.25">
      <c r="A6613" t="s">
        <v>3296</v>
      </c>
      <c r="B6613" t="s">
        <v>2931</v>
      </c>
      <c r="C6613">
        <v>6784</v>
      </c>
      <c r="D6613" t="str">
        <f>"2560433636  "</f>
        <v xml:space="preserve">2560433636  </v>
      </c>
      <c r="E6613" t="s">
        <v>277</v>
      </c>
      <c r="F6613" t="s">
        <v>279</v>
      </c>
      <c r="G6613">
        <v>58.84</v>
      </c>
      <c r="H6613">
        <v>250512</v>
      </c>
      <c r="I6613">
        <v>4520</v>
      </c>
      <c r="J6613" t="s">
        <v>280</v>
      </c>
      <c r="K6613">
        <v>1193.53</v>
      </c>
      <c r="L6613">
        <v>7.23</v>
      </c>
      <c r="M6613">
        <v>69804</v>
      </c>
      <c r="N6613" t="s">
        <v>376</v>
      </c>
      <c r="O6613">
        <v>250516</v>
      </c>
      <c r="P6613">
        <v>51.61</v>
      </c>
    </row>
    <row r="6614" spans="1:16" x14ac:dyDescent="0.25">
      <c r="A6614" t="s">
        <v>3296</v>
      </c>
      <c r="B6614" t="s">
        <v>2931</v>
      </c>
      <c r="C6614">
        <v>6789</v>
      </c>
      <c r="D6614" t="str">
        <f>"2560433634  "</f>
        <v xml:space="preserve">2560433634  </v>
      </c>
      <c r="E6614" t="s">
        <v>277</v>
      </c>
      <c r="F6614" t="s">
        <v>279</v>
      </c>
      <c r="G6614">
        <v>365</v>
      </c>
      <c r="H6614">
        <v>250512</v>
      </c>
      <c r="I6614">
        <v>4520</v>
      </c>
      <c r="J6614" t="s">
        <v>280</v>
      </c>
      <c r="K6614">
        <v>2107.86</v>
      </c>
      <c r="L6614">
        <v>44.82</v>
      </c>
      <c r="M6614">
        <v>54422</v>
      </c>
      <c r="N6614" t="s">
        <v>49</v>
      </c>
      <c r="O6614">
        <v>250516</v>
      </c>
      <c r="P6614">
        <v>320.18</v>
      </c>
    </row>
    <row r="6615" spans="1:16" x14ac:dyDescent="0.25">
      <c r="A6615" t="s">
        <v>3296</v>
      </c>
      <c r="B6615" t="s">
        <v>2931</v>
      </c>
      <c r="C6615">
        <v>6789</v>
      </c>
      <c r="D6615" t="str">
        <f>"2560433634  "</f>
        <v xml:space="preserve">2560433634  </v>
      </c>
      <c r="E6615" t="s">
        <v>277</v>
      </c>
      <c r="F6615" t="s">
        <v>279</v>
      </c>
      <c r="G6615">
        <v>1536.55</v>
      </c>
      <c r="H6615">
        <v>250512</v>
      </c>
      <c r="I6615">
        <v>4520</v>
      </c>
      <c r="J6615" t="s">
        <v>280</v>
      </c>
      <c r="K6615">
        <v>2107.86</v>
      </c>
      <c r="L6615">
        <v>188.7</v>
      </c>
      <c r="M6615">
        <v>54451</v>
      </c>
      <c r="N6615" t="s">
        <v>218</v>
      </c>
      <c r="O6615">
        <v>250516</v>
      </c>
      <c r="P6615">
        <v>1347.85</v>
      </c>
    </row>
    <row r="6616" spans="1:16" x14ac:dyDescent="0.25">
      <c r="A6616" t="s">
        <v>3296</v>
      </c>
      <c r="B6616" t="s">
        <v>2931</v>
      </c>
      <c r="C6616">
        <v>6790</v>
      </c>
      <c r="D6616" t="str">
        <f>"2560433633  "</f>
        <v xml:space="preserve">2560433633  </v>
      </c>
      <c r="E6616" t="s">
        <v>277</v>
      </c>
      <c r="F6616" t="s">
        <v>279</v>
      </c>
      <c r="G6616">
        <v>518.70000000000005</v>
      </c>
      <c r="H6616">
        <v>250512</v>
      </c>
      <c r="I6616">
        <v>4520</v>
      </c>
      <c r="J6616" t="s">
        <v>280</v>
      </c>
      <c r="K6616">
        <v>562.12</v>
      </c>
      <c r="L6616">
        <v>63.7</v>
      </c>
      <c r="M6616">
        <v>59114</v>
      </c>
      <c r="N6616" t="s">
        <v>299</v>
      </c>
      <c r="O6616">
        <v>250516</v>
      </c>
      <c r="P6616">
        <v>455</v>
      </c>
    </row>
    <row r="6617" spans="1:16" x14ac:dyDescent="0.25">
      <c r="A6617" t="s">
        <v>3296</v>
      </c>
      <c r="B6617" t="s">
        <v>2931</v>
      </c>
      <c r="C6617">
        <v>6794</v>
      </c>
      <c r="D6617" t="str">
        <f>"2560433637  "</f>
        <v xml:space="preserve">2560433637  </v>
      </c>
      <c r="E6617" t="s">
        <v>277</v>
      </c>
      <c r="F6617" t="s">
        <v>279</v>
      </c>
      <c r="G6617">
        <v>1592.2</v>
      </c>
      <c r="H6617">
        <v>250512</v>
      </c>
      <c r="I6617">
        <v>4520</v>
      </c>
      <c r="J6617" t="s">
        <v>280</v>
      </c>
      <c r="K6617">
        <v>1807.09</v>
      </c>
      <c r="L6617">
        <v>195.53</v>
      </c>
      <c r="M6617">
        <v>49112</v>
      </c>
      <c r="N6617" t="s">
        <v>109</v>
      </c>
      <c r="O6617">
        <v>250516</v>
      </c>
      <c r="P6617">
        <v>1396.67</v>
      </c>
    </row>
    <row r="6618" spans="1:16" x14ac:dyDescent="0.25">
      <c r="A6618" t="s">
        <v>3296</v>
      </c>
      <c r="B6618" t="s">
        <v>2931</v>
      </c>
      <c r="C6618">
        <v>6795</v>
      </c>
      <c r="D6618" t="str">
        <f>"2560433642  "</f>
        <v xml:space="preserve">2560433642  </v>
      </c>
      <c r="E6618" t="s">
        <v>277</v>
      </c>
      <c r="F6618" t="s">
        <v>279</v>
      </c>
      <c r="G6618">
        <v>462.52</v>
      </c>
      <c r="H6618">
        <v>250512</v>
      </c>
      <c r="I6618">
        <v>4520</v>
      </c>
      <c r="J6618" t="s">
        <v>280</v>
      </c>
      <c r="K6618">
        <v>513.91</v>
      </c>
      <c r="L6618">
        <v>56.8</v>
      </c>
      <c r="M6618">
        <v>69112</v>
      </c>
      <c r="N6618" t="s">
        <v>227</v>
      </c>
      <c r="O6618">
        <v>250516</v>
      </c>
      <c r="P6618">
        <v>405.72</v>
      </c>
    </row>
    <row r="6619" spans="1:16" x14ac:dyDescent="0.25">
      <c r="A6619" t="s">
        <v>3296</v>
      </c>
      <c r="B6619" t="s">
        <v>2931</v>
      </c>
      <c r="C6619">
        <v>6795</v>
      </c>
      <c r="D6619" t="str">
        <f>"2560433642  "</f>
        <v xml:space="preserve">2560433642  </v>
      </c>
      <c r="E6619" t="s">
        <v>277</v>
      </c>
      <c r="F6619" t="s">
        <v>279</v>
      </c>
      <c r="G6619">
        <v>25.7</v>
      </c>
      <c r="H6619">
        <v>250512</v>
      </c>
      <c r="I6619">
        <v>4520</v>
      </c>
      <c r="J6619" t="s">
        <v>280</v>
      </c>
      <c r="K6619">
        <v>513.91</v>
      </c>
      <c r="L6619">
        <v>3.16</v>
      </c>
      <c r="M6619">
        <v>69810</v>
      </c>
      <c r="N6619" t="s">
        <v>229</v>
      </c>
      <c r="O6619">
        <v>250516</v>
      </c>
      <c r="P6619">
        <v>22.54</v>
      </c>
    </row>
    <row r="6620" spans="1:16" x14ac:dyDescent="0.25">
      <c r="A6620" t="s">
        <v>3296</v>
      </c>
      <c r="B6620" t="s">
        <v>2931</v>
      </c>
      <c r="C6620">
        <v>6795</v>
      </c>
      <c r="D6620" t="str">
        <f>"2560433642  "</f>
        <v xml:space="preserve">2560433642  </v>
      </c>
      <c r="E6620" t="s">
        <v>277</v>
      </c>
      <c r="F6620" t="s">
        <v>279</v>
      </c>
      <c r="G6620">
        <v>25.69</v>
      </c>
      <c r="H6620">
        <v>250512</v>
      </c>
      <c r="I6620">
        <v>4520</v>
      </c>
      <c r="J6620" t="s">
        <v>280</v>
      </c>
      <c r="K6620">
        <v>513.91</v>
      </c>
      <c r="L6620">
        <v>3.15</v>
      </c>
      <c r="M6620">
        <v>69811</v>
      </c>
      <c r="N6620" t="s">
        <v>230</v>
      </c>
      <c r="O6620">
        <v>250516</v>
      </c>
      <c r="P6620">
        <v>22.54</v>
      </c>
    </row>
    <row r="6621" spans="1:16" x14ac:dyDescent="0.25">
      <c r="A6621" t="s">
        <v>3296</v>
      </c>
      <c r="B6621" t="s">
        <v>2931</v>
      </c>
      <c r="C6621">
        <v>6889</v>
      </c>
      <c r="D6621" t="str">
        <f>"2560433638  "</f>
        <v xml:space="preserve">2560433638  </v>
      </c>
      <c r="E6621" t="s">
        <v>277</v>
      </c>
      <c r="F6621" t="s">
        <v>279</v>
      </c>
      <c r="G6621">
        <v>48.13</v>
      </c>
      <c r="H6621">
        <v>250512</v>
      </c>
      <c r="I6621">
        <v>4520</v>
      </c>
      <c r="J6621" t="s">
        <v>280</v>
      </c>
      <c r="K6621">
        <v>828.98</v>
      </c>
      <c r="L6621">
        <v>9.7799999999999994</v>
      </c>
      <c r="M6621">
        <v>17915</v>
      </c>
      <c r="N6621" t="s">
        <v>305</v>
      </c>
      <c r="O6621">
        <v>250520</v>
      </c>
      <c r="P6621">
        <v>38.35</v>
      </c>
    </row>
    <row r="6622" spans="1:16" x14ac:dyDescent="0.25">
      <c r="A6622" t="s">
        <v>3296</v>
      </c>
      <c r="B6622" t="s">
        <v>2931</v>
      </c>
      <c r="C6622">
        <v>6889</v>
      </c>
      <c r="D6622" t="str">
        <f>"2560433638  "</f>
        <v xml:space="preserve">2560433638  </v>
      </c>
      <c r="E6622" t="s">
        <v>277</v>
      </c>
      <c r="F6622" t="s">
        <v>279</v>
      </c>
      <c r="G6622">
        <v>432.8</v>
      </c>
      <c r="H6622">
        <v>250512</v>
      </c>
      <c r="I6622">
        <v>4520</v>
      </c>
      <c r="J6622" t="s">
        <v>280</v>
      </c>
      <c r="K6622">
        <v>828.98</v>
      </c>
      <c r="L6622">
        <v>53.15</v>
      </c>
      <c r="M6622">
        <v>17915</v>
      </c>
      <c r="N6622" t="s">
        <v>305</v>
      </c>
      <c r="O6622">
        <v>250520</v>
      </c>
      <c r="P6622">
        <v>379.65</v>
      </c>
    </row>
    <row r="6623" spans="1:16" x14ac:dyDescent="0.25">
      <c r="A6623" t="s">
        <v>3296</v>
      </c>
      <c r="B6623" t="s">
        <v>2931</v>
      </c>
      <c r="C6623">
        <v>6889</v>
      </c>
      <c r="D6623" t="str">
        <f>"2560433638  "</f>
        <v xml:space="preserve">2560433638  </v>
      </c>
      <c r="E6623" t="s">
        <v>277</v>
      </c>
      <c r="F6623" t="s">
        <v>279</v>
      </c>
      <c r="G6623">
        <v>5.35</v>
      </c>
      <c r="H6623">
        <v>250512</v>
      </c>
      <c r="I6623">
        <v>4520</v>
      </c>
      <c r="J6623" t="s">
        <v>280</v>
      </c>
      <c r="K6623">
        <v>828.98</v>
      </c>
      <c r="L6623">
        <v>1.0900000000000001</v>
      </c>
      <c r="M6623">
        <v>17982</v>
      </c>
      <c r="N6623" t="s">
        <v>281</v>
      </c>
      <c r="O6623">
        <v>250520</v>
      </c>
      <c r="P6623">
        <v>4.26</v>
      </c>
    </row>
    <row r="6624" spans="1:16" x14ac:dyDescent="0.25">
      <c r="A6624" t="s">
        <v>3296</v>
      </c>
      <c r="B6624" t="s">
        <v>2931</v>
      </c>
      <c r="C6624">
        <v>6889</v>
      </c>
      <c r="D6624" t="str">
        <f>"2560433638  "</f>
        <v xml:space="preserve">2560433638  </v>
      </c>
      <c r="E6624" t="s">
        <v>277</v>
      </c>
      <c r="F6624" t="s">
        <v>279</v>
      </c>
      <c r="G6624">
        <v>77.55</v>
      </c>
      <c r="H6624">
        <v>250512</v>
      </c>
      <c r="I6624">
        <v>4520</v>
      </c>
      <c r="J6624" t="s">
        <v>280</v>
      </c>
      <c r="K6624">
        <v>828.98</v>
      </c>
      <c r="L6624">
        <v>9.52</v>
      </c>
      <c r="M6624">
        <v>17982</v>
      </c>
      <c r="N6624" t="s">
        <v>281</v>
      </c>
      <c r="O6624">
        <v>250520</v>
      </c>
      <c r="P6624">
        <v>68.03</v>
      </c>
    </row>
    <row r="6625" spans="1:16" x14ac:dyDescent="0.25">
      <c r="A6625" t="s">
        <v>3296</v>
      </c>
      <c r="B6625" t="s">
        <v>2931</v>
      </c>
      <c r="C6625">
        <v>6889</v>
      </c>
      <c r="D6625" t="str">
        <f>"2560433638  "</f>
        <v xml:space="preserve">2560433638  </v>
      </c>
      <c r="E6625" t="s">
        <v>277</v>
      </c>
      <c r="F6625" t="s">
        <v>279</v>
      </c>
      <c r="G6625">
        <v>265.14999999999998</v>
      </c>
      <c r="H6625">
        <v>250512</v>
      </c>
      <c r="I6625">
        <v>4520</v>
      </c>
      <c r="J6625" t="s">
        <v>280</v>
      </c>
      <c r="K6625">
        <v>828.98</v>
      </c>
      <c r="L6625">
        <v>32.56</v>
      </c>
      <c r="M6625">
        <v>17984</v>
      </c>
      <c r="N6625" t="s">
        <v>655</v>
      </c>
      <c r="O6625">
        <v>250520</v>
      </c>
      <c r="P6625">
        <v>232.59</v>
      </c>
    </row>
    <row r="6626" spans="1:16" x14ac:dyDescent="0.25">
      <c r="A6626" t="s">
        <v>3296</v>
      </c>
      <c r="B6626" t="s">
        <v>2931</v>
      </c>
      <c r="C6626">
        <v>6895</v>
      </c>
      <c r="D6626" t="str">
        <f t="shared" ref="D6626:D6638" si="122">"2560433640  "</f>
        <v xml:space="preserve">2560433640  </v>
      </c>
      <c r="E6626" t="s">
        <v>277</v>
      </c>
      <c r="F6626" t="s">
        <v>279</v>
      </c>
      <c r="G6626">
        <v>10.16</v>
      </c>
      <c r="H6626">
        <v>250512</v>
      </c>
      <c r="I6626">
        <v>4520</v>
      </c>
      <c r="J6626" t="s">
        <v>280</v>
      </c>
      <c r="K6626">
        <v>5645.29</v>
      </c>
      <c r="L6626">
        <v>2.06</v>
      </c>
      <c r="M6626">
        <v>14422</v>
      </c>
      <c r="N6626" t="s">
        <v>73</v>
      </c>
      <c r="O6626">
        <v>250520</v>
      </c>
      <c r="P6626">
        <v>8.1</v>
      </c>
    </row>
    <row r="6627" spans="1:16" x14ac:dyDescent="0.25">
      <c r="A6627" t="s">
        <v>3296</v>
      </c>
      <c r="B6627" t="s">
        <v>2931</v>
      </c>
      <c r="C6627">
        <v>6895</v>
      </c>
      <c r="D6627" t="str">
        <f t="shared" si="122"/>
        <v xml:space="preserve">2560433640  </v>
      </c>
      <c r="E6627" t="s">
        <v>277</v>
      </c>
      <c r="F6627" t="s">
        <v>279</v>
      </c>
      <c r="G6627">
        <v>44</v>
      </c>
      <c r="H6627">
        <v>250512</v>
      </c>
      <c r="I6627">
        <v>4520</v>
      </c>
      <c r="J6627" t="s">
        <v>280</v>
      </c>
      <c r="K6627">
        <v>5645.29</v>
      </c>
      <c r="L6627">
        <v>5.4</v>
      </c>
      <c r="M6627">
        <v>14422</v>
      </c>
      <c r="N6627" t="s">
        <v>73</v>
      </c>
      <c r="O6627">
        <v>250520</v>
      </c>
      <c r="P6627">
        <v>38.6</v>
      </c>
    </row>
    <row r="6628" spans="1:16" x14ac:dyDescent="0.25">
      <c r="A6628" t="s">
        <v>3296</v>
      </c>
      <c r="B6628" t="s">
        <v>2931</v>
      </c>
      <c r="C6628">
        <v>6895</v>
      </c>
      <c r="D6628" t="str">
        <f t="shared" si="122"/>
        <v xml:space="preserve">2560433640  </v>
      </c>
      <c r="E6628" t="s">
        <v>277</v>
      </c>
      <c r="F6628" t="s">
        <v>279</v>
      </c>
      <c r="G6628">
        <v>40.619999999999997</v>
      </c>
      <c r="H6628">
        <v>250512</v>
      </c>
      <c r="I6628">
        <v>4520</v>
      </c>
      <c r="J6628" t="s">
        <v>280</v>
      </c>
      <c r="K6628">
        <v>5645.29</v>
      </c>
      <c r="L6628">
        <v>8.25</v>
      </c>
      <c r="M6628">
        <v>14431</v>
      </c>
      <c r="N6628" t="s">
        <v>74</v>
      </c>
      <c r="O6628">
        <v>250520</v>
      </c>
      <c r="P6628">
        <v>32.369999999999997</v>
      </c>
    </row>
    <row r="6629" spans="1:16" x14ac:dyDescent="0.25">
      <c r="A6629" t="s">
        <v>3296</v>
      </c>
      <c r="B6629" t="s">
        <v>2931</v>
      </c>
      <c r="C6629">
        <v>6895</v>
      </c>
      <c r="D6629" t="str">
        <f t="shared" si="122"/>
        <v xml:space="preserve">2560433640  </v>
      </c>
      <c r="E6629" t="s">
        <v>277</v>
      </c>
      <c r="F6629" t="s">
        <v>279</v>
      </c>
      <c r="G6629">
        <v>176.01</v>
      </c>
      <c r="H6629">
        <v>250512</v>
      </c>
      <c r="I6629">
        <v>4520</v>
      </c>
      <c r="J6629" t="s">
        <v>280</v>
      </c>
      <c r="K6629">
        <v>5645.29</v>
      </c>
      <c r="L6629">
        <v>21.62</v>
      </c>
      <c r="M6629">
        <v>14431</v>
      </c>
      <c r="N6629" t="s">
        <v>74</v>
      </c>
      <c r="O6629">
        <v>250520</v>
      </c>
      <c r="P6629">
        <v>154.38999999999999</v>
      </c>
    </row>
    <row r="6630" spans="1:16" x14ac:dyDescent="0.25">
      <c r="A6630" t="s">
        <v>3296</v>
      </c>
      <c r="B6630" t="s">
        <v>2931</v>
      </c>
      <c r="C6630">
        <v>6895</v>
      </c>
      <c r="D6630" t="str">
        <f t="shared" si="122"/>
        <v xml:space="preserve">2560433640  </v>
      </c>
      <c r="E6630" t="s">
        <v>277</v>
      </c>
      <c r="F6630" t="s">
        <v>279</v>
      </c>
      <c r="G6630">
        <v>172.65</v>
      </c>
      <c r="H6630">
        <v>250512</v>
      </c>
      <c r="I6630">
        <v>4520</v>
      </c>
      <c r="J6630" t="s">
        <v>280</v>
      </c>
      <c r="K6630">
        <v>5645.29</v>
      </c>
      <c r="L6630">
        <v>35.08</v>
      </c>
      <c r="M6630">
        <v>14432</v>
      </c>
      <c r="N6630" t="s">
        <v>75</v>
      </c>
      <c r="O6630">
        <v>250520</v>
      </c>
      <c r="P6630">
        <v>137.57</v>
      </c>
    </row>
    <row r="6631" spans="1:16" x14ac:dyDescent="0.25">
      <c r="A6631" t="s">
        <v>3296</v>
      </c>
      <c r="B6631" t="s">
        <v>2931</v>
      </c>
      <c r="C6631">
        <v>6895</v>
      </c>
      <c r="D6631" t="str">
        <f t="shared" si="122"/>
        <v xml:space="preserve">2560433640  </v>
      </c>
      <c r="E6631" t="s">
        <v>277</v>
      </c>
      <c r="F6631" t="s">
        <v>279</v>
      </c>
      <c r="G6631">
        <v>748.03</v>
      </c>
      <c r="H6631">
        <v>250512</v>
      </c>
      <c r="I6631">
        <v>4520</v>
      </c>
      <c r="J6631" t="s">
        <v>280</v>
      </c>
      <c r="K6631">
        <v>5645.29</v>
      </c>
      <c r="L6631">
        <v>91.86</v>
      </c>
      <c r="M6631">
        <v>14432</v>
      </c>
      <c r="N6631" t="s">
        <v>75</v>
      </c>
      <c r="O6631">
        <v>250520</v>
      </c>
      <c r="P6631">
        <v>656.17</v>
      </c>
    </row>
    <row r="6632" spans="1:16" x14ac:dyDescent="0.25">
      <c r="A6632" t="s">
        <v>3296</v>
      </c>
      <c r="B6632" t="s">
        <v>2931</v>
      </c>
      <c r="C6632">
        <v>6895</v>
      </c>
      <c r="D6632" t="str">
        <f t="shared" si="122"/>
        <v xml:space="preserve">2560433640  </v>
      </c>
      <c r="E6632" t="s">
        <v>277</v>
      </c>
      <c r="F6632" t="s">
        <v>279</v>
      </c>
      <c r="G6632">
        <v>10.16</v>
      </c>
      <c r="H6632">
        <v>250512</v>
      </c>
      <c r="I6632">
        <v>4520</v>
      </c>
      <c r="J6632" t="s">
        <v>280</v>
      </c>
      <c r="K6632">
        <v>5645.29</v>
      </c>
      <c r="L6632">
        <v>2.06</v>
      </c>
      <c r="M6632">
        <v>14640</v>
      </c>
      <c r="N6632" t="s">
        <v>78</v>
      </c>
      <c r="O6632">
        <v>250520</v>
      </c>
      <c r="P6632">
        <v>8.1</v>
      </c>
    </row>
    <row r="6633" spans="1:16" x14ac:dyDescent="0.25">
      <c r="A6633" t="s">
        <v>3296</v>
      </c>
      <c r="B6633" t="s">
        <v>2931</v>
      </c>
      <c r="C6633">
        <v>6895</v>
      </c>
      <c r="D6633" t="str">
        <f t="shared" si="122"/>
        <v xml:space="preserve">2560433640  </v>
      </c>
      <c r="E6633" t="s">
        <v>277</v>
      </c>
      <c r="F6633" t="s">
        <v>279</v>
      </c>
      <c r="G6633">
        <v>44</v>
      </c>
      <c r="H6633">
        <v>250512</v>
      </c>
      <c r="I6633">
        <v>4520</v>
      </c>
      <c r="J6633" t="s">
        <v>280</v>
      </c>
      <c r="K6633">
        <v>5645.29</v>
      </c>
      <c r="L6633">
        <v>5.4</v>
      </c>
      <c r="M6633">
        <v>14640</v>
      </c>
      <c r="N6633" t="s">
        <v>78</v>
      </c>
      <c r="O6633">
        <v>250520</v>
      </c>
      <c r="P6633">
        <v>38.6</v>
      </c>
    </row>
    <row r="6634" spans="1:16" x14ac:dyDescent="0.25">
      <c r="A6634" t="s">
        <v>3296</v>
      </c>
      <c r="B6634" t="s">
        <v>2931</v>
      </c>
      <c r="C6634">
        <v>6895</v>
      </c>
      <c r="D6634" t="str">
        <f t="shared" si="122"/>
        <v xml:space="preserve">2560433640  </v>
      </c>
      <c r="E6634" t="s">
        <v>277</v>
      </c>
      <c r="F6634" t="s">
        <v>279</v>
      </c>
      <c r="G6634">
        <v>40.619999999999997</v>
      </c>
      <c r="H6634">
        <v>250512</v>
      </c>
      <c r="I6634">
        <v>4520</v>
      </c>
      <c r="J6634" t="s">
        <v>280</v>
      </c>
      <c r="K6634">
        <v>5645.29</v>
      </c>
      <c r="L6634">
        <v>8.25</v>
      </c>
      <c r="M6634">
        <v>14642</v>
      </c>
      <c r="N6634" t="s">
        <v>283</v>
      </c>
      <c r="O6634">
        <v>250520</v>
      </c>
      <c r="P6634">
        <v>32.369999999999997</v>
      </c>
    </row>
    <row r="6635" spans="1:16" x14ac:dyDescent="0.25">
      <c r="A6635" t="s">
        <v>3296</v>
      </c>
      <c r="B6635" t="s">
        <v>2931</v>
      </c>
      <c r="C6635">
        <v>6895</v>
      </c>
      <c r="D6635" t="str">
        <f t="shared" si="122"/>
        <v xml:space="preserve">2560433640  </v>
      </c>
      <c r="E6635" t="s">
        <v>277</v>
      </c>
      <c r="F6635" t="s">
        <v>279</v>
      </c>
      <c r="G6635">
        <v>176.01</v>
      </c>
      <c r="H6635">
        <v>250512</v>
      </c>
      <c r="I6635">
        <v>4520</v>
      </c>
      <c r="J6635" t="s">
        <v>280</v>
      </c>
      <c r="K6635">
        <v>5645.29</v>
      </c>
      <c r="L6635">
        <v>21.62</v>
      </c>
      <c r="M6635">
        <v>14642</v>
      </c>
      <c r="N6635" t="s">
        <v>283</v>
      </c>
      <c r="O6635">
        <v>250520</v>
      </c>
      <c r="P6635">
        <v>154.38999999999999</v>
      </c>
    </row>
    <row r="6636" spans="1:16" x14ac:dyDescent="0.25">
      <c r="A6636" t="s">
        <v>3296</v>
      </c>
      <c r="B6636" t="s">
        <v>2931</v>
      </c>
      <c r="C6636">
        <v>6895</v>
      </c>
      <c r="D6636" t="str">
        <f t="shared" si="122"/>
        <v xml:space="preserve">2560433640  </v>
      </c>
      <c r="E6636" t="s">
        <v>277</v>
      </c>
      <c r="F6636" t="s">
        <v>279</v>
      </c>
      <c r="G6636">
        <v>741.4</v>
      </c>
      <c r="H6636">
        <v>250512</v>
      </c>
      <c r="I6636">
        <v>4520</v>
      </c>
      <c r="J6636" t="s">
        <v>280</v>
      </c>
      <c r="K6636">
        <v>5645.29</v>
      </c>
      <c r="L6636">
        <v>150.63999999999999</v>
      </c>
      <c r="M6636">
        <v>14912</v>
      </c>
      <c r="N6636" t="s">
        <v>80</v>
      </c>
      <c r="O6636">
        <v>250520</v>
      </c>
      <c r="P6636">
        <v>590.76</v>
      </c>
    </row>
    <row r="6637" spans="1:16" x14ac:dyDescent="0.25">
      <c r="A6637" t="s">
        <v>3296</v>
      </c>
      <c r="B6637" t="s">
        <v>2931</v>
      </c>
      <c r="C6637">
        <v>6895</v>
      </c>
      <c r="D6637" t="str">
        <f t="shared" si="122"/>
        <v xml:space="preserve">2560433640  </v>
      </c>
      <c r="E6637" t="s">
        <v>277</v>
      </c>
      <c r="F6637" t="s">
        <v>279</v>
      </c>
      <c r="G6637">
        <v>3212.13</v>
      </c>
      <c r="H6637">
        <v>250512</v>
      </c>
      <c r="I6637">
        <v>4520</v>
      </c>
      <c r="J6637" t="s">
        <v>280</v>
      </c>
      <c r="K6637">
        <v>5645.29</v>
      </c>
      <c r="L6637">
        <v>394.47</v>
      </c>
      <c r="M6637">
        <v>14912</v>
      </c>
      <c r="N6637" t="s">
        <v>80</v>
      </c>
      <c r="O6637">
        <v>250520</v>
      </c>
      <c r="P6637">
        <v>2817.66</v>
      </c>
    </row>
    <row r="6638" spans="1:16" x14ac:dyDescent="0.25">
      <c r="A6638" t="s">
        <v>3296</v>
      </c>
      <c r="B6638" t="s">
        <v>2931</v>
      </c>
      <c r="C6638">
        <v>6895</v>
      </c>
      <c r="D6638" t="str">
        <f t="shared" si="122"/>
        <v xml:space="preserve">2560433640  </v>
      </c>
      <c r="E6638" t="s">
        <v>277</v>
      </c>
      <c r="F6638" t="s">
        <v>279</v>
      </c>
      <c r="G6638">
        <v>229.5</v>
      </c>
      <c r="H6638">
        <v>250512</v>
      </c>
      <c r="I6638">
        <v>4520</v>
      </c>
      <c r="J6638" t="s">
        <v>280</v>
      </c>
      <c r="K6638">
        <v>5645.29</v>
      </c>
      <c r="L6638">
        <v>28.18</v>
      </c>
      <c r="M6638">
        <v>14990</v>
      </c>
      <c r="N6638" t="s">
        <v>85</v>
      </c>
      <c r="O6638">
        <v>250520</v>
      </c>
      <c r="P6638">
        <v>201.32</v>
      </c>
    </row>
    <row r="6639" spans="1:16" x14ac:dyDescent="0.25">
      <c r="A6639" t="s">
        <v>3296</v>
      </c>
      <c r="B6639" t="s">
        <v>2931</v>
      </c>
      <c r="C6639">
        <v>6933</v>
      </c>
      <c r="D6639" t="str">
        <f>"2560452796  "</f>
        <v xml:space="preserve">2560452796  </v>
      </c>
      <c r="E6639" t="s">
        <v>277</v>
      </c>
      <c r="F6639" t="s">
        <v>279</v>
      </c>
      <c r="G6639">
        <v>141.47999999999999</v>
      </c>
      <c r="H6639">
        <v>250519</v>
      </c>
      <c r="I6639">
        <v>4520</v>
      </c>
      <c r="J6639" t="s">
        <v>280</v>
      </c>
      <c r="K6639">
        <v>2634.87</v>
      </c>
      <c r="L6639">
        <v>17.37</v>
      </c>
      <c r="M6639">
        <v>16442</v>
      </c>
      <c r="N6639" t="s">
        <v>304</v>
      </c>
      <c r="O6639">
        <v>250520</v>
      </c>
      <c r="P6639">
        <v>124.11</v>
      </c>
    </row>
    <row r="6640" spans="1:16" x14ac:dyDescent="0.25">
      <c r="A6640" t="s">
        <v>3296</v>
      </c>
      <c r="B6640" t="s">
        <v>2931</v>
      </c>
      <c r="C6640">
        <v>6933</v>
      </c>
      <c r="D6640" t="str">
        <f>"2560452796  "</f>
        <v xml:space="preserve">2560452796  </v>
      </c>
      <c r="E6640" t="s">
        <v>277</v>
      </c>
      <c r="F6640" t="s">
        <v>279</v>
      </c>
      <c r="G6640">
        <v>1859.89</v>
      </c>
      <c r="H6640">
        <v>250519</v>
      </c>
      <c r="I6640">
        <v>4520</v>
      </c>
      <c r="J6640" t="s">
        <v>280</v>
      </c>
      <c r="K6640">
        <v>2634.87</v>
      </c>
      <c r="L6640">
        <v>228.41</v>
      </c>
      <c r="M6640">
        <v>17913</v>
      </c>
      <c r="N6640" t="s">
        <v>26</v>
      </c>
      <c r="O6640">
        <v>250520</v>
      </c>
      <c r="P6640">
        <v>1631.48</v>
      </c>
    </row>
    <row r="6641" spans="1:16" x14ac:dyDescent="0.25">
      <c r="A6641" t="s">
        <v>3296</v>
      </c>
      <c r="B6641" t="s">
        <v>2931</v>
      </c>
      <c r="C6641">
        <v>6933</v>
      </c>
      <c r="D6641" t="str">
        <f>"2560452796  "</f>
        <v xml:space="preserve">2560452796  </v>
      </c>
      <c r="E6641" t="s">
        <v>277</v>
      </c>
      <c r="F6641" t="s">
        <v>279</v>
      </c>
      <c r="G6641">
        <v>263.5</v>
      </c>
      <c r="H6641">
        <v>250519</v>
      </c>
      <c r="I6641">
        <v>4520</v>
      </c>
      <c r="J6641" t="s">
        <v>280</v>
      </c>
      <c r="K6641">
        <v>2634.87</v>
      </c>
      <c r="L6641">
        <v>32.36</v>
      </c>
      <c r="M6641">
        <v>17982</v>
      </c>
      <c r="N6641" t="s">
        <v>281</v>
      </c>
      <c r="O6641">
        <v>250520</v>
      </c>
      <c r="P6641">
        <v>231.14</v>
      </c>
    </row>
    <row r="6642" spans="1:16" x14ac:dyDescent="0.25">
      <c r="A6642" t="s">
        <v>3296</v>
      </c>
      <c r="B6642" t="s">
        <v>2931</v>
      </c>
      <c r="C6642">
        <v>6933</v>
      </c>
      <c r="D6642" t="str">
        <f>"2560452796  "</f>
        <v xml:space="preserve">2560452796  </v>
      </c>
      <c r="E6642" t="s">
        <v>277</v>
      </c>
      <c r="F6642" t="s">
        <v>279</v>
      </c>
      <c r="G6642">
        <v>370</v>
      </c>
      <c r="H6642">
        <v>250519</v>
      </c>
      <c r="I6642">
        <v>4520</v>
      </c>
      <c r="J6642" t="s">
        <v>280</v>
      </c>
      <c r="K6642">
        <v>2634.87</v>
      </c>
      <c r="L6642">
        <v>45.44</v>
      </c>
      <c r="M6642">
        <v>17984</v>
      </c>
      <c r="N6642" t="s">
        <v>655</v>
      </c>
      <c r="O6642">
        <v>250520</v>
      </c>
      <c r="P6642">
        <v>324.56</v>
      </c>
    </row>
    <row r="6643" spans="1:16" x14ac:dyDescent="0.25">
      <c r="A6643" t="s">
        <v>3296</v>
      </c>
      <c r="B6643" t="s">
        <v>2931</v>
      </c>
      <c r="C6643">
        <v>6934</v>
      </c>
      <c r="D6643" t="str">
        <f>"2560452795  "</f>
        <v xml:space="preserve">2560452795  </v>
      </c>
      <c r="E6643" t="s">
        <v>277</v>
      </c>
      <c r="F6643" t="s">
        <v>279</v>
      </c>
      <c r="G6643">
        <v>-12.55</v>
      </c>
      <c r="H6643">
        <v>250519</v>
      </c>
      <c r="I6643">
        <v>4520</v>
      </c>
      <c r="J6643" t="s">
        <v>280</v>
      </c>
      <c r="K6643">
        <v>615.80999999999995</v>
      </c>
      <c r="L6643">
        <v>-2.5499999999999998</v>
      </c>
      <c r="M6643">
        <v>17915</v>
      </c>
      <c r="N6643" t="s">
        <v>305</v>
      </c>
      <c r="O6643">
        <v>250520</v>
      </c>
      <c r="P6643">
        <v>-10</v>
      </c>
    </row>
    <row r="6644" spans="1:16" x14ac:dyDescent="0.25">
      <c r="A6644" t="s">
        <v>3296</v>
      </c>
      <c r="B6644" t="s">
        <v>2931</v>
      </c>
      <c r="C6644">
        <v>6934</v>
      </c>
      <c r="D6644" t="str">
        <f>"2560452795  "</f>
        <v xml:space="preserve">2560452795  </v>
      </c>
      <c r="E6644" t="s">
        <v>277</v>
      </c>
      <c r="F6644" t="s">
        <v>279</v>
      </c>
      <c r="G6644">
        <v>565.52</v>
      </c>
      <c r="H6644">
        <v>250519</v>
      </c>
      <c r="I6644">
        <v>4520</v>
      </c>
      <c r="J6644" t="s">
        <v>280</v>
      </c>
      <c r="K6644">
        <v>615.80999999999995</v>
      </c>
      <c r="L6644">
        <v>69.45</v>
      </c>
      <c r="M6644">
        <v>17915</v>
      </c>
      <c r="N6644" t="s">
        <v>305</v>
      </c>
      <c r="O6644">
        <v>250520</v>
      </c>
      <c r="P6644">
        <v>496.07</v>
      </c>
    </row>
    <row r="6645" spans="1:16" x14ac:dyDescent="0.25">
      <c r="A6645" t="s">
        <v>3296</v>
      </c>
      <c r="B6645" t="s">
        <v>2931</v>
      </c>
      <c r="C6645">
        <v>6934</v>
      </c>
      <c r="D6645" t="str">
        <f>"2560452795  "</f>
        <v xml:space="preserve">2560452795  </v>
      </c>
      <c r="E6645" t="s">
        <v>277</v>
      </c>
      <c r="F6645" t="s">
        <v>279</v>
      </c>
      <c r="G6645">
        <v>62.84</v>
      </c>
      <c r="H6645">
        <v>250519</v>
      </c>
      <c r="I6645">
        <v>4520</v>
      </c>
      <c r="J6645" t="s">
        <v>280</v>
      </c>
      <c r="K6645">
        <v>615.80999999999995</v>
      </c>
      <c r="L6645">
        <v>7.72</v>
      </c>
      <c r="M6645">
        <v>17982</v>
      </c>
      <c r="N6645" t="s">
        <v>281</v>
      </c>
      <c r="O6645">
        <v>250520</v>
      </c>
      <c r="P6645">
        <v>55.12</v>
      </c>
    </row>
    <row r="6646" spans="1:16" x14ac:dyDescent="0.25">
      <c r="A6646" t="s">
        <v>3296</v>
      </c>
      <c r="B6646" t="s">
        <v>2931</v>
      </c>
      <c r="C6646">
        <v>7009</v>
      </c>
      <c r="D6646" t="str">
        <f>"2560452790  "</f>
        <v xml:space="preserve">2560452790  </v>
      </c>
      <c r="E6646" t="s">
        <v>277</v>
      </c>
      <c r="F6646" t="s">
        <v>279</v>
      </c>
      <c r="G6646">
        <v>619.12</v>
      </c>
      <c r="H6646">
        <v>250519</v>
      </c>
      <c r="I6646">
        <v>4520</v>
      </c>
      <c r="J6646" t="s">
        <v>280</v>
      </c>
      <c r="K6646">
        <v>727.52</v>
      </c>
      <c r="L6646">
        <v>76.03</v>
      </c>
      <c r="M6646">
        <v>59114</v>
      </c>
      <c r="N6646" t="s">
        <v>299</v>
      </c>
      <c r="O6646">
        <v>250521</v>
      </c>
      <c r="P6646">
        <v>543.09</v>
      </c>
    </row>
    <row r="6647" spans="1:16" x14ac:dyDescent="0.25">
      <c r="A6647" t="s">
        <v>3296</v>
      </c>
      <c r="B6647" t="s">
        <v>2931</v>
      </c>
      <c r="C6647">
        <v>7009</v>
      </c>
      <c r="D6647" t="str">
        <f>"2560452790  "</f>
        <v xml:space="preserve">2560452790  </v>
      </c>
      <c r="E6647" t="s">
        <v>277</v>
      </c>
      <c r="F6647" t="s">
        <v>279</v>
      </c>
      <c r="G6647">
        <v>68.790000000000006</v>
      </c>
      <c r="H6647">
        <v>250519</v>
      </c>
      <c r="I6647">
        <v>4520</v>
      </c>
      <c r="J6647" t="s">
        <v>280</v>
      </c>
      <c r="K6647">
        <v>727.52</v>
      </c>
      <c r="L6647">
        <v>8.4499999999999993</v>
      </c>
      <c r="M6647">
        <v>59808</v>
      </c>
      <c r="N6647" t="s">
        <v>699</v>
      </c>
      <c r="O6647">
        <v>250521</v>
      </c>
      <c r="P6647">
        <v>60.34</v>
      </c>
    </row>
    <row r="6648" spans="1:16" x14ac:dyDescent="0.25">
      <c r="A6648" t="s">
        <v>3296</v>
      </c>
      <c r="B6648" t="s">
        <v>2931</v>
      </c>
      <c r="C6648">
        <v>7013</v>
      </c>
      <c r="D6648" t="str">
        <f>"2560452799  "</f>
        <v xml:space="preserve">2560452799  </v>
      </c>
      <c r="E6648" t="s">
        <v>277</v>
      </c>
      <c r="F6648" t="s">
        <v>279</v>
      </c>
      <c r="G6648">
        <v>343.05</v>
      </c>
      <c r="H6648">
        <v>250519</v>
      </c>
      <c r="I6648">
        <v>4520</v>
      </c>
      <c r="J6648" t="s">
        <v>280</v>
      </c>
      <c r="K6648">
        <v>414.68</v>
      </c>
      <c r="L6648">
        <v>42.13</v>
      </c>
      <c r="M6648">
        <v>69112</v>
      </c>
      <c r="N6648" t="s">
        <v>227</v>
      </c>
      <c r="O6648">
        <v>250521</v>
      </c>
      <c r="P6648">
        <v>300.92</v>
      </c>
    </row>
    <row r="6649" spans="1:16" x14ac:dyDescent="0.25">
      <c r="A6649" t="s">
        <v>3296</v>
      </c>
      <c r="B6649" t="s">
        <v>2931</v>
      </c>
      <c r="C6649">
        <v>7013</v>
      </c>
      <c r="D6649" t="str">
        <f>"2560452799  "</f>
        <v xml:space="preserve">2560452799  </v>
      </c>
      <c r="E6649" t="s">
        <v>277</v>
      </c>
      <c r="F6649" t="s">
        <v>279</v>
      </c>
      <c r="G6649">
        <v>19.059999999999999</v>
      </c>
      <c r="H6649">
        <v>250519</v>
      </c>
      <c r="I6649">
        <v>4520</v>
      </c>
      <c r="J6649" t="s">
        <v>280</v>
      </c>
      <c r="K6649">
        <v>414.68</v>
      </c>
      <c r="L6649">
        <v>2.34</v>
      </c>
      <c r="M6649">
        <v>69810</v>
      </c>
      <c r="N6649" t="s">
        <v>229</v>
      </c>
      <c r="O6649">
        <v>250521</v>
      </c>
      <c r="P6649">
        <v>16.72</v>
      </c>
    </row>
    <row r="6650" spans="1:16" x14ac:dyDescent="0.25">
      <c r="A6650" t="s">
        <v>3296</v>
      </c>
      <c r="B6650" t="s">
        <v>2931</v>
      </c>
      <c r="C6650">
        <v>7013</v>
      </c>
      <c r="D6650" t="str">
        <f>"2560452799  "</f>
        <v xml:space="preserve">2560452799  </v>
      </c>
      <c r="E6650" t="s">
        <v>277</v>
      </c>
      <c r="F6650" t="s">
        <v>279</v>
      </c>
      <c r="G6650">
        <v>19.059999999999999</v>
      </c>
      <c r="H6650">
        <v>250519</v>
      </c>
      <c r="I6650">
        <v>4520</v>
      </c>
      <c r="J6650" t="s">
        <v>280</v>
      </c>
      <c r="K6650">
        <v>414.68</v>
      </c>
      <c r="L6650">
        <v>2.34</v>
      </c>
      <c r="M6650">
        <v>69811</v>
      </c>
      <c r="N6650" t="s">
        <v>230</v>
      </c>
      <c r="O6650">
        <v>250521</v>
      </c>
      <c r="P6650">
        <v>16.72</v>
      </c>
    </row>
    <row r="6651" spans="1:16" x14ac:dyDescent="0.25">
      <c r="A6651" t="s">
        <v>3296</v>
      </c>
      <c r="B6651" t="s">
        <v>2931</v>
      </c>
      <c r="C6651">
        <v>7014</v>
      </c>
      <c r="D6651" t="str">
        <f>"2560452792  "</f>
        <v xml:space="preserve">2560452792  </v>
      </c>
      <c r="E6651" t="s">
        <v>277</v>
      </c>
      <c r="F6651" t="s">
        <v>279</v>
      </c>
      <c r="G6651">
        <v>1207.6500000000001</v>
      </c>
      <c r="H6651">
        <v>250519</v>
      </c>
      <c r="I6651">
        <v>4520</v>
      </c>
      <c r="J6651" t="s">
        <v>280</v>
      </c>
      <c r="K6651">
        <v>1834.81</v>
      </c>
      <c r="L6651">
        <v>148.31</v>
      </c>
      <c r="M6651">
        <v>59113</v>
      </c>
      <c r="N6651" t="s">
        <v>61</v>
      </c>
      <c r="O6651">
        <v>250521</v>
      </c>
      <c r="P6651">
        <v>1059.3399999999999</v>
      </c>
    </row>
    <row r="6652" spans="1:16" x14ac:dyDescent="0.25">
      <c r="A6652" t="s">
        <v>3296</v>
      </c>
      <c r="B6652" t="s">
        <v>2931</v>
      </c>
      <c r="C6652">
        <v>7014</v>
      </c>
      <c r="D6652" t="str">
        <f>"2560452792  "</f>
        <v xml:space="preserve">2560452792  </v>
      </c>
      <c r="E6652" t="s">
        <v>277</v>
      </c>
      <c r="F6652" t="s">
        <v>279</v>
      </c>
      <c r="G6652">
        <v>213.11</v>
      </c>
      <c r="H6652">
        <v>250519</v>
      </c>
      <c r="I6652">
        <v>4520</v>
      </c>
      <c r="J6652" t="s">
        <v>280</v>
      </c>
      <c r="K6652">
        <v>1834.81</v>
      </c>
      <c r="L6652">
        <v>26.17</v>
      </c>
      <c r="M6652">
        <v>59803</v>
      </c>
      <c r="N6652" t="s">
        <v>282</v>
      </c>
      <c r="O6652">
        <v>250521</v>
      </c>
      <c r="P6652">
        <v>186.94</v>
      </c>
    </row>
    <row r="6653" spans="1:16" x14ac:dyDescent="0.25">
      <c r="A6653" t="s">
        <v>3296</v>
      </c>
      <c r="B6653" t="s">
        <v>2931</v>
      </c>
      <c r="C6653">
        <v>7014</v>
      </c>
      <c r="D6653" t="str">
        <f>"2560452792  "</f>
        <v xml:space="preserve">2560452792  </v>
      </c>
      <c r="E6653" t="s">
        <v>277</v>
      </c>
      <c r="F6653" t="s">
        <v>279</v>
      </c>
      <c r="G6653">
        <v>451.71</v>
      </c>
      <c r="H6653">
        <v>250519</v>
      </c>
      <c r="I6653">
        <v>4520</v>
      </c>
      <c r="J6653" t="s">
        <v>280</v>
      </c>
      <c r="K6653">
        <v>1834.81</v>
      </c>
      <c r="L6653">
        <v>55.47</v>
      </c>
      <c r="M6653">
        <v>59805</v>
      </c>
      <c r="N6653" t="s">
        <v>1404</v>
      </c>
      <c r="O6653">
        <v>250521</v>
      </c>
      <c r="P6653">
        <v>396.24</v>
      </c>
    </row>
    <row r="6654" spans="1:16" x14ac:dyDescent="0.25">
      <c r="A6654" t="s">
        <v>3296</v>
      </c>
      <c r="B6654" t="s">
        <v>2931</v>
      </c>
      <c r="C6654">
        <v>7015</v>
      </c>
      <c r="D6654" t="str">
        <f>"2560452793  "</f>
        <v xml:space="preserve">2560452793  </v>
      </c>
      <c r="E6654" t="s">
        <v>277</v>
      </c>
      <c r="F6654" t="s">
        <v>279</v>
      </c>
      <c r="G6654">
        <v>1800.74</v>
      </c>
      <c r="H6654">
        <v>250519</v>
      </c>
      <c r="I6654">
        <v>4520</v>
      </c>
      <c r="J6654" t="s">
        <v>280</v>
      </c>
      <c r="K6654">
        <v>2164.31</v>
      </c>
      <c r="L6654">
        <v>221.14</v>
      </c>
      <c r="M6654">
        <v>69113</v>
      </c>
      <c r="N6654" t="s">
        <v>122</v>
      </c>
      <c r="O6654">
        <v>250521</v>
      </c>
      <c r="P6654">
        <v>1579.6</v>
      </c>
    </row>
    <row r="6655" spans="1:16" x14ac:dyDescent="0.25">
      <c r="A6655" t="s">
        <v>3296</v>
      </c>
      <c r="B6655" t="s">
        <v>2931</v>
      </c>
      <c r="C6655">
        <v>7015</v>
      </c>
      <c r="D6655" t="str">
        <f>"2560452793  "</f>
        <v xml:space="preserve">2560452793  </v>
      </c>
      <c r="E6655" t="s">
        <v>277</v>
      </c>
      <c r="F6655" t="s">
        <v>279</v>
      </c>
      <c r="G6655">
        <v>211.85</v>
      </c>
      <c r="H6655">
        <v>250519</v>
      </c>
      <c r="I6655">
        <v>4520</v>
      </c>
      <c r="J6655" t="s">
        <v>280</v>
      </c>
      <c r="K6655">
        <v>2164.31</v>
      </c>
      <c r="L6655">
        <v>26.02</v>
      </c>
      <c r="M6655">
        <v>69802</v>
      </c>
      <c r="N6655" t="s">
        <v>375</v>
      </c>
      <c r="O6655">
        <v>250521</v>
      </c>
      <c r="P6655">
        <v>185.83</v>
      </c>
    </row>
    <row r="6656" spans="1:16" x14ac:dyDescent="0.25">
      <c r="A6656" t="s">
        <v>3296</v>
      </c>
      <c r="B6656" t="s">
        <v>2931</v>
      </c>
      <c r="C6656">
        <v>7015</v>
      </c>
      <c r="D6656" t="str">
        <f>"2560452793  "</f>
        <v xml:space="preserve">2560452793  </v>
      </c>
      <c r="E6656" t="s">
        <v>277</v>
      </c>
      <c r="F6656" t="s">
        <v>279</v>
      </c>
      <c r="G6656">
        <v>105.93</v>
      </c>
      <c r="H6656">
        <v>250519</v>
      </c>
      <c r="I6656">
        <v>4520</v>
      </c>
      <c r="J6656" t="s">
        <v>280</v>
      </c>
      <c r="K6656">
        <v>2164.31</v>
      </c>
      <c r="L6656">
        <v>13.01</v>
      </c>
      <c r="M6656">
        <v>69804</v>
      </c>
      <c r="N6656" t="s">
        <v>376</v>
      </c>
      <c r="O6656">
        <v>250521</v>
      </c>
      <c r="P6656">
        <v>92.92</v>
      </c>
    </row>
    <row r="6657" spans="1:16" x14ac:dyDescent="0.25">
      <c r="A6657" t="s">
        <v>3296</v>
      </c>
      <c r="B6657" t="s">
        <v>2931</v>
      </c>
      <c r="C6657">
        <v>7259</v>
      </c>
      <c r="D6657" t="str">
        <f>"2560452798  "</f>
        <v xml:space="preserve">2560452798  </v>
      </c>
      <c r="E6657" t="s">
        <v>277</v>
      </c>
      <c r="F6657" t="s">
        <v>279</v>
      </c>
      <c r="G6657">
        <v>144.81</v>
      </c>
      <c r="H6657">
        <v>250519</v>
      </c>
      <c r="I6657">
        <v>4520</v>
      </c>
      <c r="J6657" t="s">
        <v>280</v>
      </c>
      <c r="K6657">
        <v>132.26</v>
      </c>
      <c r="L6657">
        <v>17.78</v>
      </c>
      <c r="M6657">
        <v>44253</v>
      </c>
      <c r="N6657" t="s">
        <v>403</v>
      </c>
      <c r="O6657">
        <v>250528</v>
      </c>
      <c r="P6657">
        <v>127.03</v>
      </c>
    </row>
    <row r="6658" spans="1:16" x14ac:dyDescent="0.25">
      <c r="A6658" t="s">
        <v>3296</v>
      </c>
      <c r="B6658" t="s">
        <v>2931</v>
      </c>
      <c r="C6658">
        <v>7260</v>
      </c>
      <c r="D6658" t="str">
        <f t="shared" ref="D6658:D6669" si="123">"2560452797  "</f>
        <v xml:space="preserve">2560452797  </v>
      </c>
      <c r="E6658" t="s">
        <v>277</v>
      </c>
      <c r="F6658" t="s">
        <v>279</v>
      </c>
      <c r="G6658">
        <v>7.12</v>
      </c>
      <c r="H6658">
        <v>250519</v>
      </c>
      <c r="I6658">
        <v>4520</v>
      </c>
      <c r="J6658" t="s">
        <v>280</v>
      </c>
      <c r="K6658">
        <v>4125.6400000000003</v>
      </c>
      <c r="L6658">
        <v>1.45</v>
      </c>
      <c r="M6658">
        <v>14422</v>
      </c>
      <c r="N6658" t="s">
        <v>73</v>
      </c>
      <c r="O6658">
        <v>250528</v>
      </c>
      <c r="P6658">
        <v>5.67</v>
      </c>
    </row>
    <row r="6659" spans="1:16" x14ac:dyDescent="0.25">
      <c r="A6659" t="s">
        <v>3296</v>
      </c>
      <c r="B6659" t="s">
        <v>2931</v>
      </c>
      <c r="C6659">
        <v>7260</v>
      </c>
      <c r="D6659" t="str">
        <f t="shared" si="123"/>
        <v xml:space="preserve">2560452797  </v>
      </c>
      <c r="E6659" t="s">
        <v>277</v>
      </c>
      <c r="F6659" t="s">
        <v>279</v>
      </c>
      <c r="G6659">
        <v>34.14</v>
      </c>
      <c r="H6659">
        <v>250519</v>
      </c>
      <c r="I6659">
        <v>4520</v>
      </c>
      <c r="J6659" t="s">
        <v>280</v>
      </c>
      <c r="K6659">
        <v>4125.6400000000003</v>
      </c>
      <c r="L6659">
        <v>4.1900000000000004</v>
      </c>
      <c r="M6659">
        <v>14422</v>
      </c>
      <c r="N6659" t="s">
        <v>73</v>
      </c>
      <c r="O6659">
        <v>250528</v>
      </c>
      <c r="P6659">
        <v>29.95</v>
      </c>
    </row>
    <row r="6660" spans="1:16" x14ac:dyDescent="0.25">
      <c r="A6660" t="s">
        <v>3296</v>
      </c>
      <c r="B6660" t="s">
        <v>2931</v>
      </c>
      <c r="C6660">
        <v>7260</v>
      </c>
      <c r="D6660" t="str">
        <f t="shared" si="123"/>
        <v xml:space="preserve">2560452797  </v>
      </c>
      <c r="E6660" t="s">
        <v>277</v>
      </c>
      <c r="F6660" t="s">
        <v>279</v>
      </c>
      <c r="G6660">
        <v>28.46</v>
      </c>
      <c r="H6660">
        <v>250519</v>
      </c>
      <c r="I6660">
        <v>4520</v>
      </c>
      <c r="J6660" t="s">
        <v>280</v>
      </c>
      <c r="K6660">
        <v>4125.6400000000003</v>
      </c>
      <c r="L6660">
        <v>5.78</v>
      </c>
      <c r="M6660">
        <v>14431</v>
      </c>
      <c r="N6660" t="s">
        <v>74</v>
      </c>
      <c r="O6660">
        <v>250528</v>
      </c>
      <c r="P6660">
        <v>22.68</v>
      </c>
    </row>
    <row r="6661" spans="1:16" x14ac:dyDescent="0.25">
      <c r="A6661" t="s">
        <v>3296</v>
      </c>
      <c r="B6661" t="s">
        <v>2931</v>
      </c>
      <c r="C6661">
        <v>7260</v>
      </c>
      <c r="D6661" t="str">
        <f t="shared" si="123"/>
        <v xml:space="preserve">2560452797  </v>
      </c>
      <c r="E6661" t="s">
        <v>277</v>
      </c>
      <c r="F6661" t="s">
        <v>279</v>
      </c>
      <c r="G6661">
        <v>136.56</v>
      </c>
      <c r="H6661">
        <v>250519</v>
      </c>
      <c r="I6661">
        <v>4520</v>
      </c>
      <c r="J6661" t="s">
        <v>280</v>
      </c>
      <c r="K6661">
        <v>4125.6400000000003</v>
      </c>
      <c r="L6661">
        <v>16.77</v>
      </c>
      <c r="M6661">
        <v>14431</v>
      </c>
      <c r="N6661" t="s">
        <v>74</v>
      </c>
      <c r="O6661">
        <v>250528</v>
      </c>
      <c r="P6661">
        <v>119.79</v>
      </c>
    </row>
    <row r="6662" spans="1:16" x14ac:dyDescent="0.25">
      <c r="A6662" t="s">
        <v>3296</v>
      </c>
      <c r="B6662" t="s">
        <v>2931</v>
      </c>
      <c r="C6662">
        <v>7260</v>
      </c>
      <c r="D6662" t="str">
        <f t="shared" si="123"/>
        <v xml:space="preserve">2560452797  </v>
      </c>
      <c r="E6662" t="s">
        <v>277</v>
      </c>
      <c r="F6662" t="s">
        <v>279</v>
      </c>
      <c r="G6662">
        <v>120.97</v>
      </c>
      <c r="H6662">
        <v>250519</v>
      </c>
      <c r="I6662">
        <v>4520</v>
      </c>
      <c r="J6662" t="s">
        <v>280</v>
      </c>
      <c r="K6662">
        <v>4125.6400000000003</v>
      </c>
      <c r="L6662">
        <v>24.58</v>
      </c>
      <c r="M6662">
        <v>14432</v>
      </c>
      <c r="N6662" t="s">
        <v>75</v>
      </c>
      <c r="O6662">
        <v>250528</v>
      </c>
      <c r="P6662">
        <v>96.39</v>
      </c>
    </row>
    <row r="6663" spans="1:16" x14ac:dyDescent="0.25">
      <c r="A6663" t="s">
        <v>3296</v>
      </c>
      <c r="B6663" t="s">
        <v>2931</v>
      </c>
      <c r="C6663">
        <v>7260</v>
      </c>
      <c r="D6663" t="str">
        <f t="shared" si="123"/>
        <v xml:space="preserve">2560452797  </v>
      </c>
      <c r="E6663" t="s">
        <v>277</v>
      </c>
      <c r="F6663" t="s">
        <v>279</v>
      </c>
      <c r="G6663">
        <v>580.39</v>
      </c>
      <c r="H6663">
        <v>250519</v>
      </c>
      <c r="I6663">
        <v>4520</v>
      </c>
      <c r="J6663" t="s">
        <v>280</v>
      </c>
      <c r="K6663">
        <v>4125.6400000000003</v>
      </c>
      <c r="L6663">
        <v>71.28</v>
      </c>
      <c r="M6663">
        <v>14432</v>
      </c>
      <c r="N6663" t="s">
        <v>75</v>
      </c>
      <c r="O6663">
        <v>250528</v>
      </c>
      <c r="P6663">
        <v>509.11</v>
      </c>
    </row>
    <row r="6664" spans="1:16" x14ac:dyDescent="0.25">
      <c r="A6664" t="s">
        <v>3296</v>
      </c>
      <c r="B6664" t="s">
        <v>2931</v>
      </c>
      <c r="C6664">
        <v>7260</v>
      </c>
      <c r="D6664" t="str">
        <f t="shared" si="123"/>
        <v xml:space="preserve">2560452797  </v>
      </c>
      <c r="E6664" t="s">
        <v>277</v>
      </c>
      <c r="F6664" t="s">
        <v>279</v>
      </c>
      <c r="G6664">
        <v>7.12</v>
      </c>
      <c r="H6664">
        <v>250519</v>
      </c>
      <c r="I6664">
        <v>4520</v>
      </c>
      <c r="J6664" t="s">
        <v>280</v>
      </c>
      <c r="K6664">
        <v>4125.6400000000003</v>
      </c>
      <c r="L6664">
        <v>1.45</v>
      </c>
      <c r="M6664">
        <v>14640</v>
      </c>
      <c r="N6664" t="s">
        <v>78</v>
      </c>
      <c r="O6664">
        <v>250528</v>
      </c>
      <c r="P6664">
        <v>5.67</v>
      </c>
    </row>
    <row r="6665" spans="1:16" x14ac:dyDescent="0.25">
      <c r="A6665" t="s">
        <v>3296</v>
      </c>
      <c r="B6665" t="s">
        <v>2931</v>
      </c>
      <c r="C6665">
        <v>7260</v>
      </c>
      <c r="D6665" t="str">
        <f t="shared" si="123"/>
        <v xml:space="preserve">2560452797  </v>
      </c>
      <c r="E6665" t="s">
        <v>277</v>
      </c>
      <c r="F6665" t="s">
        <v>279</v>
      </c>
      <c r="G6665">
        <v>34.14</v>
      </c>
      <c r="H6665">
        <v>250519</v>
      </c>
      <c r="I6665">
        <v>4520</v>
      </c>
      <c r="J6665" t="s">
        <v>280</v>
      </c>
      <c r="K6665">
        <v>4125.6400000000003</v>
      </c>
      <c r="L6665">
        <v>4.1900000000000004</v>
      </c>
      <c r="M6665">
        <v>14640</v>
      </c>
      <c r="N6665" t="s">
        <v>78</v>
      </c>
      <c r="O6665">
        <v>250528</v>
      </c>
      <c r="P6665">
        <v>29.95</v>
      </c>
    </row>
    <row r="6666" spans="1:16" x14ac:dyDescent="0.25">
      <c r="A6666" t="s">
        <v>3296</v>
      </c>
      <c r="B6666" t="s">
        <v>2931</v>
      </c>
      <c r="C6666">
        <v>7260</v>
      </c>
      <c r="D6666" t="str">
        <f t="shared" si="123"/>
        <v xml:space="preserve">2560452797  </v>
      </c>
      <c r="E6666" t="s">
        <v>277</v>
      </c>
      <c r="F6666" t="s">
        <v>279</v>
      </c>
      <c r="G6666">
        <v>28.46</v>
      </c>
      <c r="H6666">
        <v>250519</v>
      </c>
      <c r="I6666">
        <v>4520</v>
      </c>
      <c r="J6666" t="s">
        <v>280</v>
      </c>
      <c r="K6666">
        <v>4125.6400000000003</v>
      </c>
      <c r="L6666">
        <v>5.78</v>
      </c>
      <c r="M6666">
        <v>14642</v>
      </c>
      <c r="N6666" t="s">
        <v>283</v>
      </c>
      <c r="O6666">
        <v>250528</v>
      </c>
      <c r="P6666">
        <v>22.68</v>
      </c>
    </row>
    <row r="6667" spans="1:16" x14ac:dyDescent="0.25">
      <c r="A6667" t="s">
        <v>3296</v>
      </c>
      <c r="B6667" t="s">
        <v>2931</v>
      </c>
      <c r="C6667">
        <v>7260</v>
      </c>
      <c r="D6667" t="str">
        <f t="shared" si="123"/>
        <v xml:space="preserve">2560452797  </v>
      </c>
      <c r="E6667" t="s">
        <v>277</v>
      </c>
      <c r="F6667" t="s">
        <v>279</v>
      </c>
      <c r="G6667">
        <v>136.56</v>
      </c>
      <c r="H6667">
        <v>250519</v>
      </c>
      <c r="I6667">
        <v>4520</v>
      </c>
      <c r="J6667" t="s">
        <v>280</v>
      </c>
      <c r="K6667">
        <v>4125.6400000000003</v>
      </c>
      <c r="L6667">
        <v>16.77</v>
      </c>
      <c r="M6667">
        <v>14642</v>
      </c>
      <c r="N6667" t="s">
        <v>283</v>
      </c>
      <c r="O6667">
        <v>250528</v>
      </c>
      <c r="P6667">
        <v>119.79</v>
      </c>
    </row>
    <row r="6668" spans="1:16" x14ac:dyDescent="0.25">
      <c r="A6668" t="s">
        <v>3296</v>
      </c>
      <c r="B6668" t="s">
        <v>2931</v>
      </c>
      <c r="C6668">
        <v>7260</v>
      </c>
      <c r="D6668" t="str">
        <f t="shared" si="123"/>
        <v xml:space="preserve">2560452797  </v>
      </c>
      <c r="E6668" t="s">
        <v>277</v>
      </c>
      <c r="F6668" t="s">
        <v>279</v>
      </c>
      <c r="G6668">
        <v>519.48</v>
      </c>
      <c r="H6668">
        <v>250519</v>
      </c>
      <c r="I6668">
        <v>4520</v>
      </c>
      <c r="J6668" t="s">
        <v>280</v>
      </c>
      <c r="K6668">
        <v>4125.6400000000003</v>
      </c>
      <c r="L6668">
        <v>105.55</v>
      </c>
      <c r="M6668">
        <v>14912</v>
      </c>
      <c r="N6668" t="s">
        <v>80</v>
      </c>
      <c r="O6668">
        <v>250528</v>
      </c>
      <c r="P6668">
        <v>413.93</v>
      </c>
    </row>
    <row r="6669" spans="1:16" x14ac:dyDescent="0.25">
      <c r="A6669" t="s">
        <v>3296</v>
      </c>
      <c r="B6669" t="s">
        <v>2931</v>
      </c>
      <c r="C6669">
        <v>7260</v>
      </c>
      <c r="D6669" t="str">
        <f t="shared" si="123"/>
        <v xml:space="preserve">2560452797  </v>
      </c>
      <c r="E6669" t="s">
        <v>277</v>
      </c>
      <c r="F6669" t="s">
        <v>279</v>
      </c>
      <c r="G6669">
        <v>2492.2399999999998</v>
      </c>
      <c r="H6669">
        <v>250519</v>
      </c>
      <c r="I6669">
        <v>4520</v>
      </c>
      <c r="J6669" t="s">
        <v>280</v>
      </c>
      <c r="K6669">
        <v>4125.6400000000003</v>
      </c>
      <c r="L6669">
        <v>306.06</v>
      </c>
      <c r="M6669">
        <v>14912</v>
      </c>
      <c r="N6669" t="s">
        <v>80</v>
      </c>
      <c r="O6669">
        <v>250528</v>
      </c>
      <c r="P6669">
        <v>2186.1799999999998</v>
      </c>
    </row>
    <row r="6670" spans="1:16" x14ac:dyDescent="0.25">
      <c r="A6670" t="s">
        <v>3296</v>
      </c>
      <c r="B6670" t="s">
        <v>2931</v>
      </c>
      <c r="C6670">
        <v>7274</v>
      </c>
      <c r="D6670" t="str">
        <f>"2560452791  "</f>
        <v xml:space="preserve">2560452791  </v>
      </c>
      <c r="E6670" t="s">
        <v>277</v>
      </c>
      <c r="F6670" t="s">
        <v>279</v>
      </c>
      <c r="G6670">
        <v>1432.24</v>
      </c>
      <c r="H6670">
        <v>250519</v>
      </c>
      <c r="I6670">
        <v>4520</v>
      </c>
      <c r="J6670" t="s">
        <v>280</v>
      </c>
      <c r="K6670">
        <v>1388.24</v>
      </c>
      <c r="L6670">
        <v>175.89</v>
      </c>
      <c r="M6670">
        <v>54451</v>
      </c>
      <c r="N6670" t="s">
        <v>218</v>
      </c>
      <c r="O6670">
        <v>250602</v>
      </c>
      <c r="P6670">
        <v>1256.3499999999999</v>
      </c>
    </row>
    <row r="6671" spans="1:16" x14ac:dyDescent="0.25">
      <c r="A6671" t="s">
        <v>3296</v>
      </c>
      <c r="B6671" t="s">
        <v>2931</v>
      </c>
      <c r="C6671">
        <v>7283</v>
      </c>
      <c r="D6671" t="str">
        <f>"2560452794  "</f>
        <v xml:space="preserve">2560452794  </v>
      </c>
      <c r="E6671" t="s">
        <v>277</v>
      </c>
      <c r="F6671" t="s">
        <v>279</v>
      </c>
      <c r="G6671">
        <v>1260.52</v>
      </c>
      <c r="H6671">
        <v>250519</v>
      </c>
      <c r="I6671">
        <v>4520</v>
      </c>
      <c r="J6671" t="s">
        <v>280</v>
      </c>
      <c r="K6671">
        <v>1286.22</v>
      </c>
      <c r="L6671">
        <v>154.80000000000001</v>
      </c>
      <c r="M6671">
        <v>49112</v>
      </c>
      <c r="N6671" t="s">
        <v>109</v>
      </c>
      <c r="O6671">
        <v>250602</v>
      </c>
      <c r="P6671">
        <v>1105.72</v>
      </c>
    </row>
    <row r="6672" spans="1:16" x14ac:dyDescent="0.25">
      <c r="A6672" t="s">
        <v>3296</v>
      </c>
      <c r="B6672" t="s">
        <v>2931</v>
      </c>
      <c r="C6672">
        <v>7511</v>
      </c>
      <c r="D6672" t="str">
        <f>"2560471257  "</f>
        <v xml:space="preserve">2560471257  </v>
      </c>
      <c r="E6672" t="s">
        <v>277</v>
      </c>
      <c r="F6672" t="s">
        <v>279</v>
      </c>
      <c r="G6672">
        <v>583.04</v>
      </c>
      <c r="H6672">
        <v>250526</v>
      </c>
      <c r="I6672">
        <v>4520</v>
      </c>
      <c r="J6672" t="s">
        <v>280</v>
      </c>
      <c r="K6672">
        <v>804.53</v>
      </c>
      <c r="L6672">
        <v>71.599999999999994</v>
      </c>
      <c r="M6672">
        <v>69112</v>
      </c>
      <c r="N6672" t="s">
        <v>227</v>
      </c>
      <c r="O6672">
        <v>250604</v>
      </c>
      <c r="P6672">
        <v>511.44</v>
      </c>
    </row>
    <row r="6673" spans="1:16" x14ac:dyDescent="0.25">
      <c r="A6673" t="s">
        <v>3296</v>
      </c>
      <c r="B6673" t="s">
        <v>2931</v>
      </c>
      <c r="C6673">
        <v>7511</v>
      </c>
      <c r="D6673" t="str">
        <f>"2560471257  "</f>
        <v xml:space="preserve">2560471257  </v>
      </c>
      <c r="E6673" t="s">
        <v>277</v>
      </c>
      <c r="F6673" t="s">
        <v>279</v>
      </c>
      <c r="G6673">
        <v>32.39</v>
      </c>
      <c r="H6673">
        <v>250526</v>
      </c>
      <c r="I6673">
        <v>4520</v>
      </c>
      <c r="J6673" t="s">
        <v>280</v>
      </c>
      <c r="K6673">
        <v>804.53</v>
      </c>
      <c r="L6673">
        <v>3.98</v>
      </c>
      <c r="M6673">
        <v>69810</v>
      </c>
      <c r="N6673" t="s">
        <v>229</v>
      </c>
      <c r="O6673">
        <v>250604</v>
      </c>
      <c r="P6673">
        <v>28.41</v>
      </c>
    </row>
    <row r="6674" spans="1:16" x14ac:dyDescent="0.25">
      <c r="A6674" t="s">
        <v>3296</v>
      </c>
      <c r="B6674" t="s">
        <v>2931</v>
      </c>
      <c r="C6674">
        <v>7511</v>
      </c>
      <c r="D6674" t="str">
        <f>"2560471257  "</f>
        <v xml:space="preserve">2560471257  </v>
      </c>
      <c r="E6674" t="s">
        <v>277</v>
      </c>
      <c r="F6674" t="s">
        <v>279</v>
      </c>
      <c r="G6674">
        <v>32.39</v>
      </c>
      <c r="H6674">
        <v>250526</v>
      </c>
      <c r="I6674">
        <v>4520</v>
      </c>
      <c r="J6674" t="s">
        <v>280</v>
      </c>
      <c r="K6674">
        <v>804.53</v>
      </c>
      <c r="L6674">
        <v>3.98</v>
      </c>
      <c r="M6674">
        <v>69811</v>
      </c>
      <c r="N6674" t="s">
        <v>230</v>
      </c>
      <c r="O6674">
        <v>250604</v>
      </c>
      <c r="P6674">
        <v>28.41</v>
      </c>
    </row>
    <row r="6675" spans="1:16" x14ac:dyDescent="0.25">
      <c r="A6675" t="s">
        <v>3296</v>
      </c>
      <c r="B6675" t="s">
        <v>2931</v>
      </c>
      <c r="C6675">
        <v>7513</v>
      </c>
      <c r="D6675" t="str">
        <f>"2560471249  "</f>
        <v xml:space="preserve">2560471249  </v>
      </c>
      <c r="E6675" t="s">
        <v>277</v>
      </c>
      <c r="F6675" t="s">
        <v>279</v>
      </c>
      <c r="G6675">
        <v>471.1</v>
      </c>
      <c r="H6675">
        <v>250526</v>
      </c>
      <c r="I6675">
        <v>4520</v>
      </c>
      <c r="J6675" t="s">
        <v>280</v>
      </c>
      <c r="K6675">
        <v>471.1</v>
      </c>
      <c r="L6675">
        <v>57.85</v>
      </c>
      <c r="M6675">
        <v>54451</v>
      </c>
      <c r="N6675" t="s">
        <v>218</v>
      </c>
      <c r="O6675">
        <v>250604</v>
      </c>
      <c r="P6675">
        <v>413.25</v>
      </c>
    </row>
    <row r="6676" spans="1:16" x14ac:dyDescent="0.25">
      <c r="A6676" t="s">
        <v>3296</v>
      </c>
      <c r="B6676" t="s">
        <v>2931</v>
      </c>
      <c r="C6676">
        <v>7514</v>
      </c>
      <c r="D6676" t="str">
        <f>"2560471252  "</f>
        <v xml:space="preserve">2560471252  </v>
      </c>
      <c r="E6676" t="s">
        <v>277</v>
      </c>
      <c r="F6676" t="s">
        <v>279</v>
      </c>
      <c r="G6676">
        <v>1360.03</v>
      </c>
      <c r="H6676">
        <v>250526</v>
      </c>
      <c r="I6676">
        <v>4520</v>
      </c>
      <c r="J6676" t="s">
        <v>280</v>
      </c>
      <c r="K6676">
        <v>1234.5</v>
      </c>
      <c r="L6676">
        <v>167.02</v>
      </c>
      <c r="M6676">
        <v>49112</v>
      </c>
      <c r="N6676" t="s">
        <v>109</v>
      </c>
      <c r="O6676">
        <v>250604</v>
      </c>
      <c r="P6676">
        <v>1193.01</v>
      </c>
    </row>
    <row r="6677" spans="1:16" x14ac:dyDescent="0.25">
      <c r="A6677" t="s">
        <v>3296</v>
      </c>
      <c r="B6677" t="s">
        <v>2931</v>
      </c>
      <c r="C6677">
        <v>7530</v>
      </c>
      <c r="D6677" t="str">
        <f>"2560471250  "</f>
        <v xml:space="preserve">2560471250  </v>
      </c>
      <c r="E6677" t="s">
        <v>277</v>
      </c>
      <c r="F6677" t="s">
        <v>279</v>
      </c>
      <c r="G6677">
        <v>283.94</v>
      </c>
      <c r="H6677">
        <v>250526</v>
      </c>
      <c r="I6677">
        <v>4520</v>
      </c>
      <c r="J6677" t="s">
        <v>280</v>
      </c>
      <c r="K6677">
        <v>277.64</v>
      </c>
      <c r="L6677">
        <v>34.869999999999997</v>
      </c>
      <c r="M6677">
        <v>59113</v>
      </c>
      <c r="N6677" t="s">
        <v>61</v>
      </c>
      <c r="O6677">
        <v>250604</v>
      </c>
      <c r="P6677">
        <v>249.07</v>
      </c>
    </row>
    <row r="6678" spans="1:16" x14ac:dyDescent="0.25">
      <c r="A6678" t="s">
        <v>3296</v>
      </c>
      <c r="B6678" t="s">
        <v>2931</v>
      </c>
      <c r="C6678">
        <v>7536</v>
      </c>
      <c r="D6678" t="str">
        <f>"2560471256  "</f>
        <v xml:space="preserve">2560471256  </v>
      </c>
      <c r="E6678" t="s">
        <v>277</v>
      </c>
      <c r="F6678" t="s">
        <v>279</v>
      </c>
      <c r="G6678">
        <v>52.95</v>
      </c>
      <c r="H6678">
        <v>250526</v>
      </c>
      <c r="I6678">
        <v>4520</v>
      </c>
      <c r="J6678" t="s">
        <v>280</v>
      </c>
      <c r="K6678">
        <v>52.95</v>
      </c>
      <c r="L6678">
        <v>6.5</v>
      </c>
      <c r="M6678">
        <v>44253</v>
      </c>
      <c r="N6678" t="s">
        <v>403</v>
      </c>
      <c r="O6678">
        <v>250604</v>
      </c>
      <c r="P6678">
        <v>46.45</v>
      </c>
    </row>
    <row r="6679" spans="1:16" x14ac:dyDescent="0.25">
      <c r="A6679" t="s">
        <v>3296</v>
      </c>
      <c r="B6679" t="s">
        <v>2931</v>
      </c>
      <c r="C6679">
        <v>7538</v>
      </c>
      <c r="D6679" t="str">
        <f>"2560471251  "</f>
        <v xml:space="preserve">2560471251  </v>
      </c>
      <c r="E6679" t="s">
        <v>277</v>
      </c>
      <c r="F6679" t="s">
        <v>279</v>
      </c>
      <c r="G6679">
        <v>689.54</v>
      </c>
      <c r="H6679">
        <v>250526</v>
      </c>
      <c r="I6679">
        <v>4520</v>
      </c>
      <c r="J6679" t="s">
        <v>280</v>
      </c>
      <c r="K6679">
        <v>876.12</v>
      </c>
      <c r="L6679">
        <v>84.68</v>
      </c>
      <c r="M6679">
        <v>69113</v>
      </c>
      <c r="N6679" t="s">
        <v>122</v>
      </c>
      <c r="O6679">
        <v>250604</v>
      </c>
      <c r="P6679">
        <v>604.86</v>
      </c>
    </row>
    <row r="6680" spans="1:16" x14ac:dyDescent="0.25">
      <c r="A6680" t="s">
        <v>3296</v>
      </c>
      <c r="B6680" t="s">
        <v>2931</v>
      </c>
      <c r="C6680">
        <v>7538</v>
      </c>
      <c r="D6680" t="str">
        <f>"2560471251  "</f>
        <v xml:space="preserve">2560471251  </v>
      </c>
      <c r="E6680" t="s">
        <v>277</v>
      </c>
      <c r="F6680" t="s">
        <v>279</v>
      </c>
      <c r="G6680">
        <v>81.12</v>
      </c>
      <c r="H6680">
        <v>250526</v>
      </c>
      <c r="I6680">
        <v>4520</v>
      </c>
      <c r="J6680" t="s">
        <v>280</v>
      </c>
      <c r="K6680">
        <v>876.12</v>
      </c>
      <c r="L6680">
        <v>9.9600000000000009</v>
      </c>
      <c r="M6680">
        <v>69802</v>
      </c>
      <c r="N6680" t="s">
        <v>375</v>
      </c>
      <c r="O6680">
        <v>250604</v>
      </c>
      <c r="P6680">
        <v>71.16</v>
      </c>
    </row>
    <row r="6681" spans="1:16" x14ac:dyDescent="0.25">
      <c r="A6681" t="s">
        <v>3296</v>
      </c>
      <c r="B6681" t="s">
        <v>2931</v>
      </c>
      <c r="C6681">
        <v>7538</v>
      </c>
      <c r="D6681" t="str">
        <f>"2560471251  "</f>
        <v xml:space="preserve">2560471251  </v>
      </c>
      <c r="E6681" t="s">
        <v>277</v>
      </c>
      <c r="F6681" t="s">
        <v>279</v>
      </c>
      <c r="G6681">
        <v>40.56</v>
      </c>
      <c r="H6681">
        <v>250526</v>
      </c>
      <c r="I6681">
        <v>4520</v>
      </c>
      <c r="J6681" t="s">
        <v>280</v>
      </c>
      <c r="K6681">
        <v>876.12</v>
      </c>
      <c r="L6681">
        <v>4.9800000000000004</v>
      </c>
      <c r="M6681">
        <v>69804</v>
      </c>
      <c r="N6681" t="s">
        <v>376</v>
      </c>
      <c r="O6681">
        <v>250604</v>
      </c>
      <c r="P6681">
        <v>35.58</v>
      </c>
    </row>
    <row r="6682" spans="1:16" x14ac:dyDescent="0.25">
      <c r="A6682" t="s">
        <v>3296</v>
      </c>
      <c r="B6682" t="s">
        <v>2931</v>
      </c>
      <c r="C6682">
        <v>7545</v>
      </c>
      <c r="D6682" t="str">
        <f>"2560471253  "</f>
        <v xml:space="preserve">2560471253  </v>
      </c>
      <c r="E6682" t="s">
        <v>277</v>
      </c>
      <c r="F6682" t="s">
        <v>279</v>
      </c>
      <c r="G6682">
        <v>71.59</v>
      </c>
      <c r="H6682">
        <v>250526</v>
      </c>
      <c r="I6682">
        <v>4520</v>
      </c>
      <c r="J6682" t="s">
        <v>280</v>
      </c>
      <c r="K6682">
        <v>524.55999999999995</v>
      </c>
      <c r="L6682">
        <v>14.55</v>
      </c>
      <c r="M6682">
        <v>17915</v>
      </c>
      <c r="N6682" t="s">
        <v>305</v>
      </c>
      <c r="O6682">
        <v>250604</v>
      </c>
      <c r="P6682">
        <v>57.04</v>
      </c>
    </row>
    <row r="6683" spans="1:16" x14ac:dyDescent="0.25">
      <c r="A6683" t="s">
        <v>3296</v>
      </c>
      <c r="B6683" t="s">
        <v>2931</v>
      </c>
      <c r="C6683">
        <v>7545</v>
      </c>
      <c r="D6683" t="str">
        <f>"2560471253  "</f>
        <v xml:space="preserve">2560471253  </v>
      </c>
      <c r="E6683" t="s">
        <v>277</v>
      </c>
      <c r="F6683" t="s">
        <v>279</v>
      </c>
      <c r="G6683">
        <v>400.51</v>
      </c>
      <c r="H6683">
        <v>250526</v>
      </c>
      <c r="I6683">
        <v>4520</v>
      </c>
      <c r="J6683" t="s">
        <v>280</v>
      </c>
      <c r="K6683">
        <v>524.55999999999995</v>
      </c>
      <c r="L6683">
        <v>49.19</v>
      </c>
      <c r="M6683">
        <v>17915</v>
      </c>
      <c r="N6683" t="s">
        <v>305</v>
      </c>
      <c r="O6683">
        <v>250604</v>
      </c>
      <c r="P6683">
        <v>351.32</v>
      </c>
    </row>
    <row r="6684" spans="1:16" x14ac:dyDescent="0.25">
      <c r="A6684" t="s">
        <v>3296</v>
      </c>
      <c r="B6684" t="s">
        <v>2931</v>
      </c>
      <c r="C6684">
        <v>7545</v>
      </c>
      <c r="D6684" t="str">
        <f>"2560471253  "</f>
        <v xml:space="preserve">2560471253  </v>
      </c>
      <c r="E6684" t="s">
        <v>277</v>
      </c>
      <c r="F6684" t="s">
        <v>279</v>
      </c>
      <c r="G6684">
        <v>7.96</v>
      </c>
      <c r="H6684">
        <v>250526</v>
      </c>
      <c r="I6684">
        <v>4520</v>
      </c>
      <c r="J6684" t="s">
        <v>280</v>
      </c>
      <c r="K6684">
        <v>524.55999999999995</v>
      </c>
      <c r="L6684">
        <v>1.62</v>
      </c>
      <c r="M6684">
        <v>17982</v>
      </c>
      <c r="N6684" t="s">
        <v>281</v>
      </c>
      <c r="O6684">
        <v>250604</v>
      </c>
      <c r="P6684">
        <v>6.34</v>
      </c>
    </row>
    <row r="6685" spans="1:16" x14ac:dyDescent="0.25">
      <c r="A6685" t="s">
        <v>3296</v>
      </c>
      <c r="B6685" t="s">
        <v>2931</v>
      </c>
      <c r="C6685">
        <v>7545</v>
      </c>
      <c r="D6685" t="str">
        <f>"2560471253  "</f>
        <v xml:space="preserve">2560471253  </v>
      </c>
      <c r="E6685" t="s">
        <v>277</v>
      </c>
      <c r="F6685" t="s">
        <v>279</v>
      </c>
      <c r="G6685">
        <v>44.5</v>
      </c>
      <c r="H6685">
        <v>250526</v>
      </c>
      <c r="I6685">
        <v>4520</v>
      </c>
      <c r="J6685" t="s">
        <v>280</v>
      </c>
      <c r="K6685">
        <v>524.55999999999995</v>
      </c>
      <c r="L6685">
        <v>5.46</v>
      </c>
      <c r="M6685">
        <v>17982</v>
      </c>
      <c r="N6685" t="s">
        <v>281</v>
      </c>
      <c r="O6685">
        <v>250604</v>
      </c>
      <c r="P6685">
        <v>39.04</v>
      </c>
    </row>
    <row r="6686" spans="1:16" x14ac:dyDescent="0.25">
      <c r="A6686" t="s">
        <v>3296</v>
      </c>
      <c r="B6686" t="s">
        <v>2931</v>
      </c>
      <c r="C6686">
        <v>7546</v>
      </c>
      <c r="D6686" t="str">
        <f>"2560471248  "</f>
        <v xml:space="preserve">2560471248  </v>
      </c>
      <c r="E6686" t="s">
        <v>277</v>
      </c>
      <c r="F6686" t="s">
        <v>279</v>
      </c>
      <c r="G6686">
        <v>23.51</v>
      </c>
      <c r="H6686">
        <v>250526</v>
      </c>
      <c r="I6686">
        <v>4520</v>
      </c>
      <c r="J6686" t="s">
        <v>280</v>
      </c>
      <c r="K6686">
        <v>36.06</v>
      </c>
      <c r="L6686">
        <v>2.89</v>
      </c>
      <c r="M6686">
        <v>59114</v>
      </c>
      <c r="N6686" t="s">
        <v>299</v>
      </c>
      <c r="O6686">
        <v>250604</v>
      </c>
      <c r="P6686">
        <v>20.62</v>
      </c>
    </row>
    <row r="6687" spans="1:16" x14ac:dyDescent="0.25">
      <c r="A6687" t="s">
        <v>3296</v>
      </c>
      <c r="B6687" t="s">
        <v>2931</v>
      </c>
      <c r="C6687">
        <v>7553</v>
      </c>
      <c r="D6687" t="str">
        <f>"2560471254  "</f>
        <v xml:space="preserve">2560471254  </v>
      </c>
      <c r="E6687" t="s">
        <v>277</v>
      </c>
      <c r="F6687" t="s">
        <v>279</v>
      </c>
      <c r="G6687">
        <v>12.55</v>
      </c>
      <c r="H6687">
        <v>250526</v>
      </c>
      <c r="I6687">
        <v>4520</v>
      </c>
      <c r="J6687" t="s">
        <v>280</v>
      </c>
      <c r="K6687">
        <v>2739.32</v>
      </c>
      <c r="L6687">
        <v>2.5499999999999998</v>
      </c>
      <c r="M6687">
        <v>17913</v>
      </c>
      <c r="N6687" t="s">
        <v>26</v>
      </c>
      <c r="O6687">
        <v>250604</v>
      </c>
      <c r="P6687">
        <v>10</v>
      </c>
    </row>
    <row r="6688" spans="1:16" x14ac:dyDescent="0.25">
      <c r="A6688" t="s">
        <v>3296</v>
      </c>
      <c r="B6688" t="s">
        <v>2931</v>
      </c>
      <c r="C6688">
        <v>7553</v>
      </c>
      <c r="D6688" t="str">
        <f>"2560471254  "</f>
        <v xml:space="preserve">2560471254  </v>
      </c>
      <c r="E6688" t="s">
        <v>277</v>
      </c>
      <c r="F6688" t="s">
        <v>279</v>
      </c>
      <c r="G6688">
        <v>2450.0700000000002</v>
      </c>
      <c r="H6688">
        <v>250526</v>
      </c>
      <c r="I6688">
        <v>4520</v>
      </c>
      <c r="J6688" t="s">
        <v>280</v>
      </c>
      <c r="K6688">
        <v>2739.32</v>
      </c>
      <c r="L6688">
        <v>300.89</v>
      </c>
      <c r="M6688">
        <v>17913</v>
      </c>
      <c r="N6688" t="s">
        <v>26</v>
      </c>
      <c r="O6688">
        <v>250604</v>
      </c>
      <c r="P6688">
        <v>2149.1799999999998</v>
      </c>
    </row>
    <row r="6689" spans="1:16" x14ac:dyDescent="0.25">
      <c r="A6689" t="s">
        <v>3296</v>
      </c>
      <c r="B6689" t="s">
        <v>2931</v>
      </c>
      <c r="C6689">
        <v>7553</v>
      </c>
      <c r="D6689" t="str">
        <f>"2560471254  "</f>
        <v xml:space="preserve">2560471254  </v>
      </c>
      <c r="E6689" t="s">
        <v>277</v>
      </c>
      <c r="F6689" t="s">
        <v>279</v>
      </c>
      <c r="G6689">
        <v>276.7</v>
      </c>
      <c r="H6689">
        <v>250526</v>
      </c>
      <c r="I6689">
        <v>4520</v>
      </c>
      <c r="J6689" t="s">
        <v>280</v>
      </c>
      <c r="K6689">
        <v>2739.32</v>
      </c>
      <c r="L6689">
        <v>33.979999999999997</v>
      </c>
      <c r="M6689">
        <v>17982</v>
      </c>
      <c r="N6689" t="s">
        <v>281</v>
      </c>
      <c r="O6689">
        <v>250604</v>
      </c>
      <c r="P6689">
        <v>242.72</v>
      </c>
    </row>
    <row r="6690" spans="1:16" x14ac:dyDescent="0.25">
      <c r="A6690" t="s">
        <v>3296</v>
      </c>
      <c r="B6690" t="s">
        <v>2931</v>
      </c>
      <c r="C6690">
        <v>7707</v>
      </c>
      <c r="D6690" t="str">
        <f t="shared" ref="D6690:D6703" si="124">"2560471255  "</f>
        <v xml:space="preserve">2560471255  </v>
      </c>
      <c r="E6690" t="s">
        <v>277</v>
      </c>
      <c r="F6690" t="s">
        <v>279</v>
      </c>
      <c r="G6690">
        <v>3.43</v>
      </c>
      <c r="H6690">
        <v>250526</v>
      </c>
      <c r="I6690">
        <v>4520</v>
      </c>
      <c r="J6690" t="s">
        <v>280</v>
      </c>
      <c r="K6690">
        <v>4548.8599999999997</v>
      </c>
      <c r="L6690">
        <v>0.7</v>
      </c>
      <c r="M6690">
        <v>14422</v>
      </c>
      <c r="N6690" t="s">
        <v>73</v>
      </c>
      <c r="O6690">
        <v>250609</v>
      </c>
      <c r="P6690">
        <v>2.73</v>
      </c>
    </row>
    <row r="6691" spans="1:16" x14ac:dyDescent="0.25">
      <c r="A6691" t="s">
        <v>3296</v>
      </c>
      <c r="B6691" t="s">
        <v>2931</v>
      </c>
      <c r="C6691">
        <v>7707</v>
      </c>
      <c r="D6691" t="str">
        <f t="shared" si="124"/>
        <v xml:space="preserve">2560471255  </v>
      </c>
      <c r="E6691" t="s">
        <v>277</v>
      </c>
      <c r="F6691" t="s">
        <v>279</v>
      </c>
      <c r="G6691">
        <v>33.68</v>
      </c>
      <c r="H6691">
        <v>250526</v>
      </c>
      <c r="I6691">
        <v>4520</v>
      </c>
      <c r="J6691" t="s">
        <v>280</v>
      </c>
      <c r="K6691">
        <v>4548.8599999999997</v>
      </c>
      <c r="L6691">
        <v>4.1399999999999997</v>
      </c>
      <c r="M6691">
        <v>14422</v>
      </c>
      <c r="N6691" t="s">
        <v>73</v>
      </c>
      <c r="O6691">
        <v>250609</v>
      </c>
      <c r="P6691">
        <v>29.54</v>
      </c>
    </row>
    <row r="6692" spans="1:16" x14ac:dyDescent="0.25">
      <c r="A6692" t="s">
        <v>3296</v>
      </c>
      <c r="B6692" t="s">
        <v>2931</v>
      </c>
      <c r="C6692">
        <v>7707</v>
      </c>
      <c r="D6692" t="str">
        <f t="shared" si="124"/>
        <v xml:space="preserve">2560471255  </v>
      </c>
      <c r="E6692" t="s">
        <v>277</v>
      </c>
      <c r="F6692" t="s">
        <v>279</v>
      </c>
      <c r="G6692">
        <v>13.72</v>
      </c>
      <c r="H6692">
        <v>250526</v>
      </c>
      <c r="I6692">
        <v>4520</v>
      </c>
      <c r="J6692" t="s">
        <v>280</v>
      </c>
      <c r="K6692">
        <v>4548.8599999999997</v>
      </c>
      <c r="L6692">
        <v>2.79</v>
      </c>
      <c r="M6692">
        <v>14431</v>
      </c>
      <c r="N6692" t="s">
        <v>74</v>
      </c>
      <c r="O6692">
        <v>250609</v>
      </c>
      <c r="P6692">
        <v>10.93</v>
      </c>
    </row>
    <row r="6693" spans="1:16" x14ac:dyDescent="0.25">
      <c r="A6693" t="s">
        <v>3296</v>
      </c>
      <c r="B6693" t="s">
        <v>2931</v>
      </c>
      <c r="C6693">
        <v>7707</v>
      </c>
      <c r="D6693" t="str">
        <f t="shared" si="124"/>
        <v xml:space="preserve">2560471255  </v>
      </c>
      <c r="E6693" t="s">
        <v>277</v>
      </c>
      <c r="F6693" t="s">
        <v>279</v>
      </c>
      <c r="G6693">
        <v>134.72999999999999</v>
      </c>
      <c r="H6693">
        <v>250526</v>
      </c>
      <c r="I6693">
        <v>4520</v>
      </c>
      <c r="J6693" t="s">
        <v>280</v>
      </c>
      <c r="K6693">
        <v>4548.8599999999997</v>
      </c>
      <c r="L6693">
        <v>16.55</v>
      </c>
      <c r="M6693">
        <v>14431</v>
      </c>
      <c r="N6693" t="s">
        <v>74</v>
      </c>
      <c r="O6693">
        <v>250609</v>
      </c>
      <c r="P6693">
        <v>118.18</v>
      </c>
    </row>
    <row r="6694" spans="1:16" x14ac:dyDescent="0.25">
      <c r="A6694" t="s">
        <v>3296</v>
      </c>
      <c r="B6694" t="s">
        <v>2931</v>
      </c>
      <c r="C6694">
        <v>7707</v>
      </c>
      <c r="D6694" t="str">
        <f t="shared" si="124"/>
        <v xml:space="preserve">2560471255  </v>
      </c>
      <c r="E6694" t="s">
        <v>277</v>
      </c>
      <c r="F6694" t="s">
        <v>279</v>
      </c>
      <c r="G6694">
        <v>58.3</v>
      </c>
      <c r="H6694">
        <v>250526</v>
      </c>
      <c r="I6694">
        <v>4520</v>
      </c>
      <c r="J6694" t="s">
        <v>280</v>
      </c>
      <c r="K6694">
        <v>4548.8599999999997</v>
      </c>
      <c r="L6694">
        <v>11.85</v>
      </c>
      <c r="M6694">
        <v>14432</v>
      </c>
      <c r="N6694" t="s">
        <v>75</v>
      </c>
      <c r="O6694">
        <v>250609</v>
      </c>
      <c r="P6694">
        <v>46.45</v>
      </c>
    </row>
    <row r="6695" spans="1:16" x14ac:dyDescent="0.25">
      <c r="A6695" t="s">
        <v>3296</v>
      </c>
      <c r="B6695" t="s">
        <v>2931</v>
      </c>
      <c r="C6695">
        <v>7707</v>
      </c>
      <c r="D6695" t="str">
        <f t="shared" si="124"/>
        <v xml:space="preserve">2560471255  </v>
      </c>
      <c r="E6695" t="s">
        <v>277</v>
      </c>
      <c r="F6695" t="s">
        <v>279</v>
      </c>
      <c r="G6695">
        <v>572.61</v>
      </c>
      <c r="H6695">
        <v>250526</v>
      </c>
      <c r="I6695">
        <v>4520</v>
      </c>
      <c r="J6695" t="s">
        <v>280</v>
      </c>
      <c r="K6695">
        <v>4548.8599999999997</v>
      </c>
      <c r="L6695">
        <v>70.319999999999993</v>
      </c>
      <c r="M6695">
        <v>14432</v>
      </c>
      <c r="N6695" t="s">
        <v>75</v>
      </c>
      <c r="O6695">
        <v>250609</v>
      </c>
      <c r="P6695">
        <v>502.29</v>
      </c>
    </row>
    <row r="6696" spans="1:16" x14ac:dyDescent="0.25">
      <c r="A6696" t="s">
        <v>3296</v>
      </c>
      <c r="B6696" t="s">
        <v>2931</v>
      </c>
      <c r="C6696">
        <v>7707</v>
      </c>
      <c r="D6696" t="str">
        <f t="shared" si="124"/>
        <v xml:space="preserve">2560471255  </v>
      </c>
      <c r="E6696" t="s">
        <v>277</v>
      </c>
      <c r="F6696" t="s">
        <v>279</v>
      </c>
      <c r="G6696">
        <v>3.43</v>
      </c>
      <c r="H6696">
        <v>250526</v>
      </c>
      <c r="I6696">
        <v>4520</v>
      </c>
      <c r="J6696" t="s">
        <v>280</v>
      </c>
      <c r="K6696">
        <v>4548.8599999999997</v>
      </c>
      <c r="L6696">
        <v>0.7</v>
      </c>
      <c r="M6696">
        <v>14640</v>
      </c>
      <c r="N6696" t="s">
        <v>78</v>
      </c>
      <c r="O6696">
        <v>250609</v>
      </c>
      <c r="P6696">
        <v>2.73</v>
      </c>
    </row>
    <row r="6697" spans="1:16" x14ac:dyDescent="0.25">
      <c r="A6697" t="s">
        <v>3296</v>
      </c>
      <c r="B6697" t="s">
        <v>2931</v>
      </c>
      <c r="C6697">
        <v>7707</v>
      </c>
      <c r="D6697" t="str">
        <f t="shared" si="124"/>
        <v xml:space="preserve">2560471255  </v>
      </c>
      <c r="E6697" t="s">
        <v>277</v>
      </c>
      <c r="F6697" t="s">
        <v>279</v>
      </c>
      <c r="G6697">
        <v>33.700000000000003</v>
      </c>
      <c r="H6697">
        <v>250526</v>
      </c>
      <c r="I6697">
        <v>4520</v>
      </c>
      <c r="J6697" t="s">
        <v>280</v>
      </c>
      <c r="K6697">
        <v>4548.8599999999997</v>
      </c>
      <c r="L6697">
        <v>4.1399999999999997</v>
      </c>
      <c r="M6697">
        <v>14640</v>
      </c>
      <c r="N6697" t="s">
        <v>78</v>
      </c>
      <c r="O6697">
        <v>250609</v>
      </c>
      <c r="P6697">
        <v>29.56</v>
      </c>
    </row>
    <row r="6698" spans="1:16" x14ac:dyDescent="0.25">
      <c r="A6698" t="s">
        <v>3296</v>
      </c>
      <c r="B6698" t="s">
        <v>2931</v>
      </c>
      <c r="C6698">
        <v>7707</v>
      </c>
      <c r="D6698" t="str">
        <f t="shared" si="124"/>
        <v xml:space="preserve">2560471255  </v>
      </c>
      <c r="E6698" t="s">
        <v>277</v>
      </c>
      <c r="F6698" t="s">
        <v>279</v>
      </c>
      <c r="G6698">
        <v>13.72</v>
      </c>
      <c r="H6698">
        <v>250526</v>
      </c>
      <c r="I6698">
        <v>4520</v>
      </c>
      <c r="J6698" t="s">
        <v>280</v>
      </c>
      <c r="K6698">
        <v>4548.8599999999997</v>
      </c>
      <c r="L6698">
        <v>2.79</v>
      </c>
      <c r="M6698">
        <v>14642</v>
      </c>
      <c r="N6698" t="s">
        <v>283</v>
      </c>
      <c r="O6698">
        <v>250609</v>
      </c>
      <c r="P6698">
        <v>10.93</v>
      </c>
    </row>
    <row r="6699" spans="1:16" x14ac:dyDescent="0.25">
      <c r="A6699" t="s">
        <v>3296</v>
      </c>
      <c r="B6699" t="s">
        <v>2931</v>
      </c>
      <c r="C6699">
        <v>7707</v>
      </c>
      <c r="D6699" t="str">
        <f t="shared" si="124"/>
        <v xml:space="preserve">2560471255  </v>
      </c>
      <c r="E6699" t="s">
        <v>277</v>
      </c>
      <c r="F6699" t="s">
        <v>279</v>
      </c>
      <c r="G6699">
        <v>134.72999999999999</v>
      </c>
      <c r="H6699">
        <v>250526</v>
      </c>
      <c r="I6699">
        <v>4520</v>
      </c>
      <c r="J6699" t="s">
        <v>280</v>
      </c>
      <c r="K6699">
        <v>4548.8599999999997</v>
      </c>
      <c r="L6699">
        <v>16.55</v>
      </c>
      <c r="M6699">
        <v>14642</v>
      </c>
      <c r="N6699" t="s">
        <v>283</v>
      </c>
      <c r="O6699">
        <v>250609</v>
      </c>
      <c r="P6699">
        <v>118.18</v>
      </c>
    </row>
    <row r="6700" spans="1:16" x14ac:dyDescent="0.25">
      <c r="A6700" t="s">
        <v>3296</v>
      </c>
      <c r="B6700" t="s">
        <v>2931</v>
      </c>
      <c r="C6700">
        <v>7707</v>
      </c>
      <c r="D6700" t="str">
        <f t="shared" si="124"/>
        <v xml:space="preserve">2560471255  </v>
      </c>
      <c r="E6700" t="s">
        <v>277</v>
      </c>
      <c r="F6700" t="s">
        <v>279</v>
      </c>
      <c r="G6700">
        <v>250.36</v>
      </c>
      <c r="H6700">
        <v>250526</v>
      </c>
      <c r="I6700">
        <v>4520</v>
      </c>
      <c r="J6700" t="s">
        <v>280</v>
      </c>
      <c r="K6700">
        <v>4548.8599999999997</v>
      </c>
      <c r="L6700">
        <v>50.87</v>
      </c>
      <c r="M6700">
        <v>14912</v>
      </c>
      <c r="N6700" t="s">
        <v>80</v>
      </c>
      <c r="O6700">
        <v>250609</v>
      </c>
      <c r="P6700">
        <v>199.49</v>
      </c>
    </row>
    <row r="6701" spans="1:16" x14ac:dyDescent="0.25">
      <c r="A6701" t="s">
        <v>3296</v>
      </c>
      <c r="B6701" t="s">
        <v>2931</v>
      </c>
      <c r="C6701">
        <v>7707</v>
      </c>
      <c r="D6701" t="str">
        <f t="shared" si="124"/>
        <v xml:space="preserve">2560471255  </v>
      </c>
      <c r="E6701" t="s">
        <v>277</v>
      </c>
      <c r="F6701" t="s">
        <v>279</v>
      </c>
      <c r="G6701">
        <v>2458.87</v>
      </c>
      <c r="H6701">
        <v>250526</v>
      </c>
      <c r="I6701">
        <v>4520</v>
      </c>
      <c r="J6701" t="s">
        <v>280</v>
      </c>
      <c r="K6701">
        <v>4548.8599999999997</v>
      </c>
      <c r="L6701">
        <v>301.97000000000003</v>
      </c>
      <c r="M6701">
        <v>14912</v>
      </c>
      <c r="N6701" t="s">
        <v>80</v>
      </c>
      <c r="O6701">
        <v>250609</v>
      </c>
      <c r="P6701">
        <v>2156.9</v>
      </c>
    </row>
    <row r="6702" spans="1:16" x14ac:dyDescent="0.25">
      <c r="A6702" t="s">
        <v>3296</v>
      </c>
      <c r="B6702" t="s">
        <v>2931</v>
      </c>
      <c r="C6702">
        <v>7707</v>
      </c>
      <c r="D6702" t="str">
        <f t="shared" si="124"/>
        <v xml:space="preserve">2560471255  </v>
      </c>
      <c r="E6702" t="s">
        <v>277</v>
      </c>
      <c r="F6702" t="s">
        <v>279</v>
      </c>
      <c r="G6702">
        <v>316.33999999999997</v>
      </c>
      <c r="H6702">
        <v>250526</v>
      </c>
      <c r="I6702">
        <v>4520</v>
      </c>
      <c r="J6702" t="s">
        <v>280</v>
      </c>
      <c r="K6702">
        <v>4548.8599999999997</v>
      </c>
      <c r="L6702">
        <v>64.28</v>
      </c>
      <c r="M6702">
        <v>14990</v>
      </c>
      <c r="N6702" t="s">
        <v>85</v>
      </c>
      <c r="O6702">
        <v>250609</v>
      </c>
      <c r="P6702">
        <v>252.06</v>
      </c>
    </row>
    <row r="6703" spans="1:16" x14ac:dyDescent="0.25">
      <c r="A6703" t="s">
        <v>3296</v>
      </c>
      <c r="B6703" t="s">
        <v>2931</v>
      </c>
      <c r="C6703">
        <v>7707</v>
      </c>
      <c r="D6703" t="str">
        <f t="shared" si="124"/>
        <v xml:space="preserve">2560471255  </v>
      </c>
      <c r="E6703" t="s">
        <v>277</v>
      </c>
      <c r="F6703" t="s">
        <v>279</v>
      </c>
      <c r="G6703">
        <v>521.24</v>
      </c>
      <c r="H6703">
        <v>250526</v>
      </c>
      <c r="I6703">
        <v>4520</v>
      </c>
      <c r="J6703" t="s">
        <v>280</v>
      </c>
      <c r="K6703">
        <v>4548.8599999999997</v>
      </c>
      <c r="L6703">
        <v>64.010000000000005</v>
      </c>
      <c r="M6703">
        <v>14990</v>
      </c>
      <c r="N6703" t="s">
        <v>85</v>
      </c>
      <c r="O6703">
        <v>250609</v>
      </c>
      <c r="P6703">
        <v>457.23</v>
      </c>
    </row>
    <row r="6704" spans="1:16" x14ac:dyDescent="0.25">
      <c r="A6704" t="s">
        <v>3296</v>
      </c>
      <c r="B6704" t="s">
        <v>2931</v>
      </c>
      <c r="C6704">
        <v>8072</v>
      </c>
      <c r="D6704" t="str">
        <f>"2560518307  "</f>
        <v xml:space="preserve">2560518307  </v>
      </c>
      <c r="E6704" t="s">
        <v>277</v>
      </c>
      <c r="F6704" t="s">
        <v>279</v>
      </c>
      <c r="G6704">
        <v>72.83</v>
      </c>
      <c r="H6704">
        <v>250602</v>
      </c>
      <c r="I6704">
        <v>4520</v>
      </c>
      <c r="J6704" t="s">
        <v>280</v>
      </c>
      <c r="K6704">
        <v>103.33</v>
      </c>
      <c r="L6704">
        <v>8.94</v>
      </c>
      <c r="M6704">
        <v>59114</v>
      </c>
      <c r="N6704" t="s">
        <v>299</v>
      </c>
      <c r="O6704">
        <v>250611</v>
      </c>
      <c r="P6704">
        <v>63.89</v>
      </c>
    </row>
    <row r="6705" spans="1:16" x14ac:dyDescent="0.25">
      <c r="A6705" t="s">
        <v>3296</v>
      </c>
      <c r="B6705" t="s">
        <v>2931</v>
      </c>
      <c r="C6705">
        <v>8099</v>
      </c>
      <c r="D6705" t="str">
        <f>"2560485523  "</f>
        <v xml:space="preserve">2560485523  </v>
      </c>
      <c r="E6705" t="s">
        <v>277</v>
      </c>
      <c r="F6705" t="s">
        <v>279</v>
      </c>
      <c r="G6705">
        <v>494.94</v>
      </c>
      <c r="H6705">
        <v>250531</v>
      </c>
      <c r="I6705">
        <v>4520</v>
      </c>
      <c r="J6705" t="s">
        <v>280</v>
      </c>
      <c r="K6705">
        <v>494.94</v>
      </c>
      <c r="L6705">
        <v>60.78</v>
      </c>
      <c r="M6705">
        <v>49112</v>
      </c>
      <c r="N6705" t="s">
        <v>109</v>
      </c>
      <c r="O6705">
        <v>250611</v>
      </c>
      <c r="P6705">
        <v>434.16</v>
      </c>
    </row>
    <row r="6706" spans="1:16" x14ac:dyDescent="0.25">
      <c r="A6706" t="s">
        <v>3296</v>
      </c>
      <c r="B6706" t="s">
        <v>2931</v>
      </c>
      <c r="C6706">
        <v>8101</v>
      </c>
      <c r="D6706" t="str">
        <f t="shared" ref="D6706:D6718" si="125">"2560485525  "</f>
        <v xml:space="preserve">2560485525  </v>
      </c>
      <c r="E6706" t="s">
        <v>277</v>
      </c>
      <c r="F6706" t="s">
        <v>279</v>
      </c>
      <c r="G6706">
        <v>1.85</v>
      </c>
      <c r="H6706">
        <v>250531</v>
      </c>
      <c r="I6706">
        <v>4520</v>
      </c>
      <c r="J6706" t="s">
        <v>280</v>
      </c>
      <c r="K6706">
        <v>2295.69</v>
      </c>
      <c r="L6706">
        <v>0.38</v>
      </c>
      <c r="M6706">
        <v>14422</v>
      </c>
      <c r="N6706" t="s">
        <v>73</v>
      </c>
      <c r="O6706">
        <v>250611</v>
      </c>
      <c r="P6706">
        <v>1.47</v>
      </c>
    </row>
    <row r="6707" spans="1:16" x14ac:dyDescent="0.25">
      <c r="A6707" t="s">
        <v>3296</v>
      </c>
      <c r="B6707" t="s">
        <v>2931</v>
      </c>
      <c r="C6707">
        <v>8101</v>
      </c>
      <c r="D6707" t="str">
        <f t="shared" si="125"/>
        <v xml:space="preserve">2560485525  </v>
      </c>
      <c r="E6707" t="s">
        <v>277</v>
      </c>
      <c r="F6707" t="s">
        <v>279</v>
      </c>
      <c r="G6707">
        <v>19.78</v>
      </c>
      <c r="H6707">
        <v>250531</v>
      </c>
      <c r="I6707">
        <v>4520</v>
      </c>
      <c r="J6707" t="s">
        <v>280</v>
      </c>
      <c r="K6707">
        <v>2295.69</v>
      </c>
      <c r="L6707">
        <v>2.4300000000000002</v>
      </c>
      <c r="M6707">
        <v>14422</v>
      </c>
      <c r="N6707" t="s">
        <v>73</v>
      </c>
      <c r="O6707">
        <v>250611</v>
      </c>
      <c r="P6707">
        <v>17.350000000000001</v>
      </c>
    </row>
    <row r="6708" spans="1:16" x14ac:dyDescent="0.25">
      <c r="A6708" t="s">
        <v>3296</v>
      </c>
      <c r="B6708" t="s">
        <v>2931</v>
      </c>
      <c r="C6708">
        <v>8101</v>
      </c>
      <c r="D6708" t="str">
        <f t="shared" si="125"/>
        <v xml:space="preserve">2560485525  </v>
      </c>
      <c r="E6708" t="s">
        <v>277</v>
      </c>
      <c r="F6708" t="s">
        <v>279</v>
      </c>
      <c r="G6708">
        <v>7.42</v>
      </c>
      <c r="H6708">
        <v>250531</v>
      </c>
      <c r="I6708">
        <v>4520</v>
      </c>
      <c r="J6708" t="s">
        <v>280</v>
      </c>
      <c r="K6708">
        <v>2295.69</v>
      </c>
      <c r="L6708">
        <v>1.51</v>
      </c>
      <c r="M6708">
        <v>14431</v>
      </c>
      <c r="N6708" t="s">
        <v>74</v>
      </c>
      <c r="O6708">
        <v>250611</v>
      </c>
      <c r="P6708">
        <v>5.91</v>
      </c>
    </row>
    <row r="6709" spans="1:16" x14ac:dyDescent="0.25">
      <c r="A6709" t="s">
        <v>3296</v>
      </c>
      <c r="B6709" t="s">
        <v>2931</v>
      </c>
      <c r="C6709">
        <v>8101</v>
      </c>
      <c r="D6709" t="str">
        <f t="shared" si="125"/>
        <v xml:space="preserve">2560485525  </v>
      </c>
      <c r="E6709" t="s">
        <v>277</v>
      </c>
      <c r="F6709" t="s">
        <v>279</v>
      </c>
      <c r="G6709">
        <v>79.12</v>
      </c>
      <c r="H6709">
        <v>250531</v>
      </c>
      <c r="I6709">
        <v>4520</v>
      </c>
      <c r="J6709" t="s">
        <v>280</v>
      </c>
      <c r="K6709">
        <v>2295.69</v>
      </c>
      <c r="L6709">
        <v>9.7200000000000006</v>
      </c>
      <c r="M6709">
        <v>14431</v>
      </c>
      <c r="N6709" t="s">
        <v>74</v>
      </c>
      <c r="O6709">
        <v>250611</v>
      </c>
      <c r="P6709">
        <v>69.400000000000006</v>
      </c>
    </row>
    <row r="6710" spans="1:16" x14ac:dyDescent="0.25">
      <c r="A6710" t="s">
        <v>3296</v>
      </c>
      <c r="B6710" t="s">
        <v>2931</v>
      </c>
      <c r="C6710">
        <v>8101</v>
      </c>
      <c r="D6710" t="str">
        <f t="shared" si="125"/>
        <v xml:space="preserve">2560485525  </v>
      </c>
      <c r="E6710" t="s">
        <v>277</v>
      </c>
      <c r="F6710" t="s">
        <v>279</v>
      </c>
      <c r="G6710">
        <v>31.53</v>
      </c>
      <c r="H6710">
        <v>250531</v>
      </c>
      <c r="I6710">
        <v>4520</v>
      </c>
      <c r="J6710" t="s">
        <v>280</v>
      </c>
      <c r="K6710">
        <v>2295.69</v>
      </c>
      <c r="L6710">
        <v>6.41</v>
      </c>
      <c r="M6710">
        <v>14432</v>
      </c>
      <c r="N6710" t="s">
        <v>75</v>
      </c>
      <c r="O6710">
        <v>250611</v>
      </c>
      <c r="P6710">
        <v>25.12</v>
      </c>
    </row>
    <row r="6711" spans="1:16" x14ac:dyDescent="0.25">
      <c r="A6711" t="s">
        <v>3296</v>
      </c>
      <c r="B6711" t="s">
        <v>2931</v>
      </c>
      <c r="C6711">
        <v>8101</v>
      </c>
      <c r="D6711" t="str">
        <f t="shared" si="125"/>
        <v xml:space="preserve">2560485525  </v>
      </c>
      <c r="E6711" t="s">
        <v>277</v>
      </c>
      <c r="F6711" t="s">
        <v>279</v>
      </c>
      <c r="G6711">
        <v>336.26</v>
      </c>
      <c r="H6711">
        <v>250531</v>
      </c>
      <c r="I6711">
        <v>4520</v>
      </c>
      <c r="J6711" t="s">
        <v>280</v>
      </c>
      <c r="K6711">
        <v>2295.69</v>
      </c>
      <c r="L6711">
        <v>41.3</v>
      </c>
      <c r="M6711">
        <v>14432</v>
      </c>
      <c r="N6711" t="s">
        <v>75</v>
      </c>
      <c r="O6711">
        <v>250611</v>
      </c>
      <c r="P6711">
        <v>294.95999999999998</v>
      </c>
    </row>
    <row r="6712" spans="1:16" x14ac:dyDescent="0.25">
      <c r="A6712" t="s">
        <v>3296</v>
      </c>
      <c r="B6712" t="s">
        <v>2931</v>
      </c>
      <c r="C6712">
        <v>8101</v>
      </c>
      <c r="D6712" t="str">
        <f t="shared" si="125"/>
        <v xml:space="preserve">2560485525  </v>
      </c>
      <c r="E6712" t="s">
        <v>277</v>
      </c>
      <c r="F6712" t="s">
        <v>279</v>
      </c>
      <c r="G6712">
        <v>1.85</v>
      </c>
      <c r="H6712">
        <v>250531</v>
      </c>
      <c r="I6712">
        <v>4520</v>
      </c>
      <c r="J6712" t="s">
        <v>280</v>
      </c>
      <c r="K6712">
        <v>2295.69</v>
      </c>
      <c r="L6712">
        <v>0.38</v>
      </c>
      <c r="M6712">
        <v>14640</v>
      </c>
      <c r="N6712" t="s">
        <v>78</v>
      </c>
      <c r="O6712">
        <v>250611</v>
      </c>
      <c r="P6712">
        <v>1.47</v>
      </c>
    </row>
    <row r="6713" spans="1:16" x14ac:dyDescent="0.25">
      <c r="A6713" t="s">
        <v>3296</v>
      </c>
      <c r="B6713" t="s">
        <v>2931</v>
      </c>
      <c r="C6713">
        <v>8101</v>
      </c>
      <c r="D6713" t="str">
        <f t="shared" si="125"/>
        <v xml:space="preserve">2560485525  </v>
      </c>
      <c r="E6713" t="s">
        <v>277</v>
      </c>
      <c r="F6713" t="s">
        <v>279</v>
      </c>
      <c r="G6713">
        <v>19.78</v>
      </c>
      <c r="H6713">
        <v>250531</v>
      </c>
      <c r="I6713">
        <v>4520</v>
      </c>
      <c r="J6713" t="s">
        <v>280</v>
      </c>
      <c r="K6713">
        <v>2295.69</v>
      </c>
      <c r="L6713">
        <v>2.4300000000000002</v>
      </c>
      <c r="M6713">
        <v>14640</v>
      </c>
      <c r="N6713" t="s">
        <v>78</v>
      </c>
      <c r="O6713">
        <v>250611</v>
      </c>
      <c r="P6713">
        <v>17.350000000000001</v>
      </c>
    </row>
    <row r="6714" spans="1:16" x14ac:dyDescent="0.25">
      <c r="A6714" t="s">
        <v>3296</v>
      </c>
      <c r="B6714" t="s">
        <v>2931</v>
      </c>
      <c r="C6714">
        <v>8101</v>
      </c>
      <c r="D6714" t="str">
        <f t="shared" si="125"/>
        <v xml:space="preserve">2560485525  </v>
      </c>
      <c r="E6714" t="s">
        <v>277</v>
      </c>
      <c r="F6714" t="s">
        <v>279</v>
      </c>
      <c r="G6714">
        <v>7.42</v>
      </c>
      <c r="H6714">
        <v>250531</v>
      </c>
      <c r="I6714">
        <v>4520</v>
      </c>
      <c r="J6714" t="s">
        <v>280</v>
      </c>
      <c r="K6714">
        <v>2295.69</v>
      </c>
      <c r="L6714">
        <v>1.51</v>
      </c>
      <c r="M6714">
        <v>14642</v>
      </c>
      <c r="N6714" t="s">
        <v>283</v>
      </c>
      <c r="O6714">
        <v>250611</v>
      </c>
      <c r="P6714">
        <v>5.91</v>
      </c>
    </row>
    <row r="6715" spans="1:16" x14ac:dyDescent="0.25">
      <c r="A6715" t="s">
        <v>3296</v>
      </c>
      <c r="B6715" t="s">
        <v>2931</v>
      </c>
      <c r="C6715">
        <v>8101</v>
      </c>
      <c r="D6715" t="str">
        <f t="shared" si="125"/>
        <v xml:space="preserve">2560485525  </v>
      </c>
      <c r="E6715" t="s">
        <v>277</v>
      </c>
      <c r="F6715" t="s">
        <v>279</v>
      </c>
      <c r="G6715">
        <v>79.12</v>
      </c>
      <c r="H6715">
        <v>250531</v>
      </c>
      <c r="I6715">
        <v>4520</v>
      </c>
      <c r="J6715" t="s">
        <v>280</v>
      </c>
      <c r="K6715">
        <v>2295.69</v>
      </c>
      <c r="L6715">
        <v>9.7200000000000006</v>
      </c>
      <c r="M6715">
        <v>14642</v>
      </c>
      <c r="N6715" t="s">
        <v>283</v>
      </c>
      <c r="O6715">
        <v>250611</v>
      </c>
      <c r="P6715">
        <v>69.400000000000006</v>
      </c>
    </row>
    <row r="6716" spans="1:16" x14ac:dyDescent="0.25">
      <c r="A6716" t="s">
        <v>3296</v>
      </c>
      <c r="B6716" t="s">
        <v>2931</v>
      </c>
      <c r="C6716">
        <v>8101</v>
      </c>
      <c r="D6716" t="str">
        <f t="shared" si="125"/>
        <v xml:space="preserve">2560485525  </v>
      </c>
      <c r="E6716" t="s">
        <v>277</v>
      </c>
      <c r="F6716" t="s">
        <v>279</v>
      </c>
      <c r="G6716">
        <v>135.38999999999999</v>
      </c>
      <c r="H6716">
        <v>250531</v>
      </c>
      <c r="I6716">
        <v>4520</v>
      </c>
      <c r="J6716" t="s">
        <v>280</v>
      </c>
      <c r="K6716">
        <v>2295.69</v>
      </c>
      <c r="L6716">
        <v>27.51</v>
      </c>
      <c r="M6716">
        <v>14912</v>
      </c>
      <c r="N6716" t="s">
        <v>80</v>
      </c>
      <c r="O6716">
        <v>250611</v>
      </c>
      <c r="P6716">
        <v>107.88</v>
      </c>
    </row>
    <row r="6717" spans="1:16" x14ac:dyDescent="0.25">
      <c r="A6717" t="s">
        <v>3296</v>
      </c>
      <c r="B6717" t="s">
        <v>2931</v>
      </c>
      <c r="C6717">
        <v>8101</v>
      </c>
      <c r="D6717" t="str">
        <f t="shared" si="125"/>
        <v xml:space="preserve">2560485525  </v>
      </c>
      <c r="E6717" t="s">
        <v>277</v>
      </c>
      <c r="F6717" t="s">
        <v>279</v>
      </c>
      <c r="G6717">
        <v>1443.93</v>
      </c>
      <c r="H6717">
        <v>250531</v>
      </c>
      <c r="I6717">
        <v>4520</v>
      </c>
      <c r="J6717" t="s">
        <v>280</v>
      </c>
      <c r="K6717">
        <v>2295.69</v>
      </c>
      <c r="L6717">
        <v>177.32</v>
      </c>
      <c r="M6717">
        <v>14912</v>
      </c>
      <c r="N6717" t="s">
        <v>80</v>
      </c>
      <c r="O6717">
        <v>250611</v>
      </c>
      <c r="P6717">
        <v>1266.6099999999999</v>
      </c>
    </row>
    <row r="6718" spans="1:16" x14ac:dyDescent="0.25">
      <c r="A6718" t="s">
        <v>3296</v>
      </c>
      <c r="B6718" t="s">
        <v>2931</v>
      </c>
      <c r="C6718">
        <v>8101</v>
      </c>
      <c r="D6718" t="str">
        <f t="shared" si="125"/>
        <v xml:space="preserve">2560485525  </v>
      </c>
      <c r="E6718" t="s">
        <v>277</v>
      </c>
      <c r="F6718" t="s">
        <v>279</v>
      </c>
      <c r="G6718">
        <v>132.24</v>
      </c>
      <c r="H6718">
        <v>250531</v>
      </c>
      <c r="I6718">
        <v>4520</v>
      </c>
      <c r="J6718" t="s">
        <v>280</v>
      </c>
      <c r="K6718">
        <v>2295.69</v>
      </c>
      <c r="L6718">
        <v>16.239999999999998</v>
      </c>
      <c r="M6718">
        <v>14990</v>
      </c>
      <c r="N6718" t="s">
        <v>85</v>
      </c>
      <c r="O6718">
        <v>250611</v>
      </c>
      <c r="P6718">
        <v>116</v>
      </c>
    </row>
    <row r="6719" spans="1:16" x14ac:dyDescent="0.25">
      <c r="A6719" t="s">
        <v>3296</v>
      </c>
      <c r="B6719" t="s">
        <v>2931</v>
      </c>
      <c r="C6719">
        <v>8105</v>
      </c>
      <c r="D6719" t="str">
        <f>"2560485522  "</f>
        <v xml:space="preserve">2560485522  </v>
      </c>
      <c r="E6719" t="s">
        <v>277</v>
      </c>
      <c r="F6719" t="s">
        <v>279</v>
      </c>
      <c r="G6719">
        <v>710.7</v>
      </c>
      <c r="H6719">
        <v>250531</v>
      </c>
      <c r="I6719">
        <v>4520</v>
      </c>
      <c r="J6719" t="s">
        <v>280</v>
      </c>
      <c r="K6719">
        <v>931.74</v>
      </c>
      <c r="L6719">
        <v>87.28</v>
      </c>
      <c r="M6719">
        <v>69113</v>
      </c>
      <c r="N6719" t="s">
        <v>122</v>
      </c>
      <c r="O6719">
        <v>250611</v>
      </c>
      <c r="P6719">
        <v>623.41999999999996</v>
      </c>
    </row>
    <row r="6720" spans="1:16" x14ac:dyDescent="0.25">
      <c r="A6720" t="s">
        <v>3296</v>
      </c>
      <c r="B6720" t="s">
        <v>2931</v>
      </c>
      <c r="C6720">
        <v>8105</v>
      </c>
      <c r="D6720" t="str">
        <f>"2560485522  "</f>
        <v xml:space="preserve">2560485522  </v>
      </c>
      <c r="E6720" t="s">
        <v>277</v>
      </c>
      <c r="F6720" t="s">
        <v>279</v>
      </c>
      <c r="G6720">
        <v>83.61</v>
      </c>
      <c r="H6720">
        <v>250531</v>
      </c>
      <c r="I6720">
        <v>4520</v>
      </c>
      <c r="J6720" t="s">
        <v>280</v>
      </c>
      <c r="K6720">
        <v>931.74</v>
      </c>
      <c r="L6720">
        <v>10.27</v>
      </c>
      <c r="M6720">
        <v>69802</v>
      </c>
      <c r="N6720" t="s">
        <v>375</v>
      </c>
      <c r="O6720">
        <v>250611</v>
      </c>
      <c r="P6720">
        <v>73.34</v>
      </c>
    </row>
    <row r="6721" spans="1:16" x14ac:dyDescent="0.25">
      <c r="A6721" t="s">
        <v>3296</v>
      </c>
      <c r="B6721" t="s">
        <v>2931</v>
      </c>
      <c r="C6721">
        <v>8105</v>
      </c>
      <c r="D6721" t="str">
        <f>"2560485522  "</f>
        <v xml:space="preserve">2560485522  </v>
      </c>
      <c r="E6721" t="s">
        <v>277</v>
      </c>
      <c r="F6721" t="s">
        <v>279</v>
      </c>
      <c r="G6721">
        <v>41.81</v>
      </c>
      <c r="H6721">
        <v>250531</v>
      </c>
      <c r="I6721">
        <v>4520</v>
      </c>
      <c r="J6721" t="s">
        <v>280</v>
      </c>
      <c r="K6721">
        <v>931.74</v>
      </c>
      <c r="L6721">
        <v>5.13</v>
      </c>
      <c r="M6721">
        <v>69804</v>
      </c>
      <c r="N6721" t="s">
        <v>376</v>
      </c>
      <c r="O6721">
        <v>250611</v>
      </c>
      <c r="P6721">
        <v>36.68</v>
      </c>
    </row>
    <row r="6722" spans="1:16" x14ac:dyDescent="0.25">
      <c r="A6722" t="s">
        <v>3296</v>
      </c>
      <c r="B6722" t="s">
        <v>2931</v>
      </c>
      <c r="C6722">
        <v>8112</v>
      </c>
      <c r="D6722" t="str">
        <f>"2560518310  "</f>
        <v xml:space="preserve">2560518310  </v>
      </c>
      <c r="E6722" t="s">
        <v>277</v>
      </c>
      <c r="F6722" t="s">
        <v>279</v>
      </c>
      <c r="G6722">
        <v>19.97</v>
      </c>
      <c r="H6722">
        <v>250531</v>
      </c>
      <c r="I6722">
        <v>4520</v>
      </c>
      <c r="J6722" t="s">
        <v>280</v>
      </c>
      <c r="K6722">
        <v>19.97</v>
      </c>
      <c r="L6722">
        <v>2.4500000000000002</v>
      </c>
      <c r="M6722">
        <v>14432</v>
      </c>
      <c r="N6722" t="s">
        <v>75</v>
      </c>
      <c r="O6722">
        <v>250611</v>
      </c>
      <c r="P6722">
        <v>17.52</v>
      </c>
    </row>
    <row r="6723" spans="1:16" x14ac:dyDescent="0.25">
      <c r="A6723" t="s">
        <v>3296</v>
      </c>
      <c r="B6723" t="s">
        <v>2931</v>
      </c>
      <c r="C6723">
        <v>8125</v>
      </c>
      <c r="D6723" t="str">
        <f>"2560518309  "</f>
        <v xml:space="preserve">2560518309  </v>
      </c>
      <c r="E6723" t="s">
        <v>277</v>
      </c>
      <c r="F6723" t="s">
        <v>279</v>
      </c>
      <c r="G6723">
        <v>12.55</v>
      </c>
      <c r="H6723">
        <v>250602</v>
      </c>
      <c r="I6723">
        <v>4520</v>
      </c>
      <c r="J6723" t="s">
        <v>280</v>
      </c>
      <c r="K6723">
        <v>541.89</v>
      </c>
      <c r="L6723">
        <v>2.5499999999999998</v>
      </c>
      <c r="M6723">
        <v>17915</v>
      </c>
      <c r="N6723" t="s">
        <v>305</v>
      </c>
      <c r="O6723">
        <v>250611</v>
      </c>
      <c r="P6723">
        <v>10</v>
      </c>
    </row>
    <row r="6724" spans="1:16" x14ac:dyDescent="0.25">
      <c r="A6724" t="s">
        <v>3296</v>
      </c>
      <c r="B6724" t="s">
        <v>2931</v>
      </c>
      <c r="C6724">
        <v>8125</v>
      </c>
      <c r="D6724" t="str">
        <f>"2560518309  "</f>
        <v xml:space="preserve">2560518309  </v>
      </c>
      <c r="E6724" t="s">
        <v>277</v>
      </c>
      <c r="F6724" t="s">
        <v>279</v>
      </c>
      <c r="G6724">
        <v>476.41</v>
      </c>
      <c r="H6724">
        <v>250602</v>
      </c>
      <c r="I6724">
        <v>4520</v>
      </c>
      <c r="J6724" t="s">
        <v>280</v>
      </c>
      <c r="K6724">
        <v>541.89</v>
      </c>
      <c r="L6724">
        <v>58.51</v>
      </c>
      <c r="M6724">
        <v>17915</v>
      </c>
      <c r="N6724" t="s">
        <v>305</v>
      </c>
      <c r="O6724">
        <v>250611</v>
      </c>
      <c r="P6724">
        <v>417.9</v>
      </c>
    </row>
    <row r="6725" spans="1:16" x14ac:dyDescent="0.25">
      <c r="A6725" t="s">
        <v>3296</v>
      </c>
      <c r="B6725" t="s">
        <v>2931</v>
      </c>
      <c r="C6725">
        <v>8125</v>
      </c>
      <c r="D6725" t="str">
        <f>"2560518309  "</f>
        <v xml:space="preserve">2560518309  </v>
      </c>
      <c r="E6725" t="s">
        <v>277</v>
      </c>
      <c r="F6725" t="s">
        <v>279</v>
      </c>
      <c r="G6725">
        <v>52.93</v>
      </c>
      <c r="H6725">
        <v>250602</v>
      </c>
      <c r="I6725">
        <v>4520</v>
      </c>
      <c r="J6725" t="s">
        <v>280</v>
      </c>
      <c r="K6725">
        <v>541.89</v>
      </c>
      <c r="L6725">
        <v>6.5</v>
      </c>
      <c r="M6725">
        <v>17982</v>
      </c>
      <c r="N6725" t="s">
        <v>281</v>
      </c>
      <c r="O6725">
        <v>250611</v>
      </c>
      <c r="P6725">
        <v>46.43</v>
      </c>
    </row>
    <row r="6726" spans="1:16" x14ac:dyDescent="0.25">
      <c r="A6726" t="s">
        <v>3296</v>
      </c>
      <c r="B6726" t="s">
        <v>2931</v>
      </c>
      <c r="C6726">
        <v>8140</v>
      </c>
      <c r="D6726" t="str">
        <f>"2560518308  "</f>
        <v xml:space="preserve">2560518308  </v>
      </c>
      <c r="E6726" t="s">
        <v>277</v>
      </c>
      <c r="F6726" t="s">
        <v>279</v>
      </c>
      <c r="G6726">
        <v>8.82</v>
      </c>
      <c r="H6726">
        <v>250602</v>
      </c>
      <c r="I6726">
        <v>4520</v>
      </c>
      <c r="J6726" t="s">
        <v>280</v>
      </c>
      <c r="K6726">
        <v>8.82</v>
      </c>
      <c r="L6726">
        <v>1.08</v>
      </c>
      <c r="M6726">
        <v>49112</v>
      </c>
      <c r="N6726" t="s">
        <v>109</v>
      </c>
      <c r="O6726">
        <v>250611</v>
      </c>
      <c r="P6726">
        <v>7.74</v>
      </c>
    </row>
    <row r="6727" spans="1:16" x14ac:dyDescent="0.25">
      <c r="A6727" t="s">
        <v>3296</v>
      </c>
      <c r="B6727" t="s">
        <v>2931</v>
      </c>
      <c r="C6727">
        <v>8147</v>
      </c>
      <c r="D6727" t="str">
        <f>"2560485526  "</f>
        <v xml:space="preserve">2560485526  </v>
      </c>
      <c r="E6727" t="s">
        <v>277</v>
      </c>
      <c r="F6727" t="s">
        <v>279</v>
      </c>
      <c r="G6727">
        <v>-10.94</v>
      </c>
      <c r="H6727">
        <v>250531</v>
      </c>
      <c r="I6727">
        <v>4520</v>
      </c>
      <c r="J6727" t="s">
        <v>280</v>
      </c>
      <c r="K6727">
        <v>-12.16</v>
      </c>
      <c r="L6727">
        <v>-1.34</v>
      </c>
      <c r="M6727">
        <v>69112</v>
      </c>
      <c r="N6727" t="s">
        <v>227</v>
      </c>
      <c r="O6727">
        <v>250611</v>
      </c>
      <c r="P6727">
        <v>-9.6</v>
      </c>
    </row>
    <row r="6728" spans="1:16" x14ac:dyDescent="0.25">
      <c r="A6728" t="s">
        <v>3296</v>
      </c>
      <c r="B6728" t="s">
        <v>2931</v>
      </c>
      <c r="C6728">
        <v>8147</v>
      </c>
      <c r="D6728" t="str">
        <f>"2560485526  "</f>
        <v xml:space="preserve">2560485526  </v>
      </c>
      <c r="E6728" t="s">
        <v>277</v>
      </c>
      <c r="F6728" t="s">
        <v>279</v>
      </c>
      <c r="G6728">
        <v>-0.61</v>
      </c>
      <c r="H6728">
        <v>250531</v>
      </c>
      <c r="I6728">
        <v>4520</v>
      </c>
      <c r="J6728" t="s">
        <v>280</v>
      </c>
      <c r="K6728">
        <v>-12.16</v>
      </c>
      <c r="L6728">
        <v>-7.0000000000000007E-2</v>
      </c>
      <c r="M6728">
        <v>69810</v>
      </c>
      <c r="N6728" t="s">
        <v>229</v>
      </c>
      <c r="O6728">
        <v>250611</v>
      </c>
      <c r="P6728">
        <v>-0.54</v>
      </c>
    </row>
    <row r="6729" spans="1:16" x14ac:dyDescent="0.25">
      <c r="A6729" t="s">
        <v>3296</v>
      </c>
      <c r="B6729" t="s">
        <v>2931</v>
      </c>
      <c r="C6729">
        <v>8147</v>
      </c>
      <c r="D6729" t="str">
        <f>"2560485526  "</f>
        <v xml:space="preserve">2560485526  </v>
      </c>
      <c r="E6729" t="s">
        <v>277</v>
      </c>
      <c r="F6729" t="s">
        <v>279</v>
      </c>
      <c r="G6729">
        <v>-0.61</v>
      </c>
      <c r="H6729">
        <v>250531</v>
      </c>
      <c r="I6729">
        <v>4520</v>
      </c>
      <c r="J6729" t="s">
        <v>280</v>
      </c>
      <c r="K6729">
        <v>-12.16</v>
      </c>
      <c r="L6729">
        <v>-7.0000000000000007E-2</v>
      </c>
      <c r="M6729">
        <v>69811</v>
      </c>
      <c r="N6729" t="s">
        <v>230</v>
      </c>
      <c r="O6729">
        <v>250611</v>
      </c>
      <c r="P6729">
        <v>-0.54</v>
      </c>
    </row>
    <row r="6730" spans="1:16" x14ac:dyDescent="0.25">
      <c r="A6730" t="s">
        <v>3296</v>
      </c>
      <c r="B6730" t="s">
        <v>2931</v>
      </c>
      <c r="C6730">
        <v>8165</v>
      </c>
      <c r="D6730" t="str">
        <f>"2560485524  "</f>
        <v xml:space="preserve">2560485524  </v>
      </c>
      <c r="E6730" t="s">
        <v>277</v>
      </c>
      <c r="F6730" t="s">
        <v>279</v>
      </c>
      <c r="G6730">
        <v>-25.1</v>
      </c>
      <c r="H6730">
        <v>250531</v>
      </c>
      <c r="I6730">
        <v>4520</v>
      </c>
      <c r="J6730" t="s">
        <v>280</v>
      </c>
      <c r="K6730">
        <v>76.12</v>
      </c>
      <c r="L6730">
        <v>-5.0999999999999996</v>
      </c>
      <c r="M6730">
        <v>17913</v>
      </c>
      <c r="N6730" t="s">
        <v>26</v>
      </c>
      <c r="O6730">
        <v>250611</v>
      </c>
      <c r="P6730">
        <v>-20</v>
      </c>
    </row>
    <row r="6731" spans="1:16" x14ac:dyDescent="0.25">
      <c r="A6731" t="s">
        <v>3296</v>
      </c>
      <c r="B6731" t="s">
        <v>2931</v>
      </c>
      <c r="C6731">
        <v>8165</v>
      </c>
      <c r="D6731" t="str">
        <f>"2560485524  "</f>
        <v xml:space="preserve">2560485524  </v>
      </c>
      <c r="E6731" t="s">
        <v>277</v>
      </c>
      <c r="F6731" t="s">
        <v>279</v>
      </c>
      <c r="G6731">
        <v>101.22</v>
      </c>
      <c r="H6731">
        <v>250531</v>
      </c>
      <c r="I6731">
        <v>4520</v>
      </c>
      <c r="J6731" t="s">
        <v>280</v>
      </c>
      <c r="K6731">
        <v>76.12</v>
      </c>
      <c r="L6731">
        <v>12.43</v>
      </c>
      <c r="M6731">
        <v>17913</v>
      </c>
      <c r="N6731" t="s">
        <v>26</v>
      </c>
      <c r="O6731">
        <v>250611</v>
      </c>
      <c r="P6731">
        <v>88.79</v>
      </c>
    </row>
    <row r="6732" spans="1:16" x14ac:dyDescent="0.25">
      <c r="A6732" t="s">
        <v>3296</v>
      </c>
      <c r="B6732" t="s">
        <v>2931</v>
      </c>
      <c r="C6732">
        <v>8174</v>
      </c>
      <c r="D6732" t="str">
        <f>"2560485521  "</f>
        <v xml:space="preserve">2560485521  </v>
      </c>
      <c r="E6732" t="s">
        <v>277</v>
      </c>
      <c r="F6732" t="s">
        <v>279</v>
      </c>
      <c r="G6732">
        <v>345</v>
      </c>
      <c r="H6732">
        <v>250531</v>
      </c>
      <c r="I6732">
        <v>4520</v>
      </c>
      <c r="J6732" t="s">
        <v>280</v>
      </c>
      <c r="K6732">
        <v>1152.3900000000001</v>
      </c>
      <c r="L6732">
        <v>42.37</v>
      </c>
      <c r="M6732">
        <v>54422</v>
      </c>
      <c r="N6732" t="s">
        <v>49</v>
      </c>
      <c r="O6732">
        <v>250611</v>
      </c>
      <c r="P6732">
        <v>302.63</v>
      </c>
    </row>
    <row r="6733" spans="1:16" x14ac:dyDescent="0.25">
      <c r="A6733" t="s">
        <v>3296</v>
      </c>
      <c r="B6733" t="s">
        <v>2931</v>
      </c>
      <c r="C6733">
        <v>8174</v>
      </c>
      <c r="D6733" t="str">
        <f>"2560485521  "</f>
        <v xml:space="preserve">2560485521  </v>
      </c>
      <c r="E6733" t="s">
        <v>277</v>
      </c>
      <c r="F6733" t="s">
        <v>279</v>
      </c>
      <c r="G6733">
        <v>599.5</v>
      </c>
      <c r="H6733">
        <v>250531</v>
      </c>
      <c r="I6733">
        <v>4520</v>
      </c>
      <c r="J6733" t="s">
        <v>280</v>
      </c>
      <c r="K6733">
        <v>1152.3900000000001</v>
      </c>
      <c r="L6733">
        <v>73.62</v>
      </c>
      <c r="M6733">
        <v>54451</v>
      </c>
      <c r="N6733" t="s">
        <v>218</v>
      </c>
      <c r="O6733">
        <v>250611</v>
      </c>
      <c r="P6733">
        <v>525.88</v>
      </c>
    </row>
    <row r="6734" spans="1:16" x14ac:dyDescent="0.25">
      <c r="A6734" t="s">
        <v>3296</v>
      </c>
      <c r="B6734" t="s">
        <v>2931</v>
      </c>
      <c r="C6734">
        <v>8467</v>
      </c>
      <c r="D6734" t="str">
        <f>"2560534660  "</f>
        <v xml:space="preserve">2560534660  </v>
      </c>
      <c r="E6734" t="s">
        <v>277</v>
      </c>
      <c r="F6734" t="s">
        <v>279</v>
      </c>
      <c r="G6734">
        <v>13.22</v>
      </c>
      <c r="H6734">
        <v>250609</v>
      </c>
      <c r="I6734">
        <v>4520</v>
      </c>
      <c r="J6734" t="s">
        <v>280</v>
      </c>
      <c r="K6734">
        <v>13.22</v>
      </c>
      <c r="L6734">
        <v>1.62</v>
      </c>
      <c r="M6734">
        <v>59114</v>
      </c>
      <c r="N6734" t="s">
        <v>299</v>
      </c>
      <c r="O6734">
        <v>250613</v>
      </c>
      <c r="P6734">
        <v>11.6</v>
      </c>
    </row>
    <row r="6735" spans="1:16" x14ac:dyDescent="0.25">
      <c r="A6735" t="s">
        <v>3296</v>
      </c>
      <c r="B6735" t="s">
        <v>2931</v>
      </c>
      <c r="C6735">
        <v>8758</v>
      </c>
      <c r="D6735" t="str">
        <f>"2560534663  "</f>
        <v xml:space="preserve">2560534663  </v>
      </c>
      <c r="E6735" t="s">
        <v>277</v>
      </c>
      <c r="F6735" t="s">
        <v>279</v>
      </c>
      <c r="G6735">
        <v>95.88</v>
      </c>
      <c r="H6735">
        <v>250609</v>
      </c>
      <c r="I6735">
        <v>4520</v>
      </c>
      <c r="J6735" t="s">
        <v>280</v>
      </c>
      <c r="K6735">
        <v>724.92</v>
      </c>
      <c r="L6735">
        <v>19.48</v>
      </c>
      <c r="M6735">
        <v>17913</v>
      </c>
      <c r="N6735" t="s">
        <v>26</v>
      </c>
      <c r="O6735">
        <v>250618</v>
      </c>
      <c r="P6735">
        <v>76.400000000000006</v>
      </c>
    </row>
    <row r="6736" spans="1:16" x14ac:dyDescent="0.25">
      <c r="A6736" t="s">
        <v>3296</v>
      </c>
      <c r="B6736" t="s">
        <v>2931</v>
      </c>
      <c r="C6736">
        <v>8758</v>
      </c>
      <c r="D6736" t="str">
        <f>"2560534663  "</f>
        <v xml:space="preserve">2560534663  </v>
      </c>
      <c r="E6736" t="s">
        <v>277</v>
      </c>
      <c r="F6736" t="s">
        <v>279</v>
      </c>
      <c r="G6736">
        <v>436.03</v>
      </c>
      <c r="H6736">
        <v>250609</v>
      </c>
      <c r="I6736">
        <v>4520</v>
      </c>
      <c r="J6736" t="s">
        <v>280</v>
      </c>
      <c r="K6736">
        <v>724.92</v>
      </c>
      <c r="L6736">
        <v>53.55</v>
      </c>
      <c r="M6736">
        <v>17915</v>
      </c>
      <c r="N6736" t="s">
        <v>305</v>
      </c>
      <c r="O6736">
        <v>250618</v>
      </c>
      <c r="P6736">
        <v>382.48</v>
      </c>
    </row>
    <row r="6737" spans="1:16" x14ac:dyDescent="0.25">
      <c r="A6737" t="s">
        <v>3296</v>
      </c>
      <c r="B6737" t="s">
        <v>2931</v>
      </c>
      <c r="C6737">
        <v>8758</v>
      </c>
      <c r="D6737" t="str">
        <f>"2560534663  "</f>
        <v xml:space="preserve">2560534663  </v>
      </c>
      <c r="E6737" t="s">
        <v>277</v>
      </c>
      <c r="F6737" t="s">
        <v>279</v>
      </c>
      <c r="G6737">
        <v>48.5</v>
      </c>
      <c r="H6737">
        <v>250609</v>
      </c>
      <c r="I6737">
        <v>4520</v>
      </c>
      <c r="J6737" t="s">
        <v>280</v>
      </c>
      <c r="K6737">
        <v>724.92</v>
      </c>
      <c r="L6737">
        <v>5.96</v>
      </c>
      <c r="M6737">
        <v>17982</v>
      </c>
      <c r="N6737" t="s">
        <v>281</v>
      </c>
      <c r="O6737">
        <v>250618</v>
      </c>
      <c r="P6737">
        <v>42.54</v>
      </c>
    </row>
    <row r="6738" spans="1:16" x14ac:dyDescent="0.25">
      <c r="A6738" t="s">
        <v>3296</v>
      </c>
      <c r="B6738" t="s">
        <v>2931</v>
      </c>
      <c r="C6738">
        <v>8758</v>
      </c>
      <c r="D6738" t="str">
        <f>"2560534663  "</f>
        <v xml:space="preserve">2560534663  </v>
      </c>
      <c r="E6738" t="s">
        <v>277</v>
      </c>
      <c r="F6738" t="s">
        <v>279</v>
      </c>
      <c r="G6738">
        <v>144.51</v>
      </c>
      <c r="H6738">
        <v>250609</v>
      </c>
      <c r="I6738">
        <v>4520</v>
      </c>
      <c r="J6738" t="s">
        <v>280</v>
      </c>
      <c r="K6738">
        <v>724.92</v>
      </c>
      <c r="L6738">
        <v>17.75</v>
      </c>
      <c r="M6738">
        <v>17984</v>
      </c>
      <c r="N6738" t="s">
        <v>655</v>
      </c>
      <c r="O6738">
        <v>250618</v>
      </c>
      <c r="P6738">
        <v>126.76</v>
      </c>
    </row>
    <row r="6739" spans="1:16" x14ac:dyDescent="0.25">
      <c r="A6739" t="s">
        <v>3296</v>
      </c>
      <c r="B6739" t="s">
        <v>2931</v>
      </c>
      <c r="C6739">
        <v>8765</v>
      </c>
      <c r="D6739" t="str">
        <f>"2560534664  "</f>
        <v xml:space="preserve">2560534664  </v>
      </c>
      <c r="E6739" t="s">
        <v>277</v>
      </c>
      <c r="F6739" t="s">
        <v>279</v>
      </c>
      <c r="G6739">
        <v>-371.2</v>
      </c>
      <c r="H6739">
        <v>250531</v>
      </c>
      <c r="I6739">
        <v>4520</v>
      </c>
      <c r="J6739" t="s">
        <v>280</v>
      </c>
      <c r="K6739">
        <v>-371.2</v>
      </c>
      <c r="L6739">
        <v>-45.59</v>
      </c>
      <c r="M6739">
        <v>17913</v>
      </c>
      <c r="N6739" t="s">
        <v>26</v>
      </c>
      <c r="O6739">
        <v>250618</v>
      </c>
      <c r="P6739">
        <v>-325.61</v>
      </c>
    </row>
    <row r="6740" spans="1:16" x14ac:dyDescent="0.25">
      <c r="A6740" t="s">
        <v>3296</v>
      </c>
      <c r="B6740" t="s">
        <v>2931</v>
      </c>
      <c r="C6740">
        <v>8773</v>
      </c>
      <c r="D6740" t="str">
        <f>"2560534662  "</f>
        <v xml:space="preserve">2560534662  </v>
      </c>
      <c r="E6740" t="s">
        <v>277</v>
      </c>
      <c r="F6740" t="s">
        <v>279</v>
      </c>
      <c r="G6740">
        <v>916.91</v>
      </c>
      <c r="H6740">
        <v>250609</v>
      </c>
      <c r="I6740">
        <v>4520</v>
      </c>
      <c r="J6740" t="s">
        <v>280</v>
      </c>
      <c r="K6740">
        <v>1066.17</v>
      </c>
      <c r="L6740">
        <v>112.6</v>
      </c>
      <c r="M6740">
        <v>69113</v>
      </c>
      <c r="N6740" t="s">
        <v>122</v>
      </c>
      <c r="O6740">
        <v>250618</v>
      </c>
      <c r="P6740">
        <v>804.31</v>
      </c>
    </row>
    <row r="6741" spans="1:16" x14ac:dyDescent="0.25">
      <c r="A6741" t="s">
        <v>3296</v>
      </c>
      <c r="B6741" t="s">
        <v>2931</v>
      </c>
      <c r="C6741">
        <v>8773</v>
      </c>
      <c r="D6741" t="str">
        <f>"2560534662  "</f>
        <v xml:space="preserve">2560534662  </v>
      </c>
      <c r="E6741" t="s">
        <v>277</v>
      </c>
      <c r="F6741" t="s">
        <v>279</v>
      </c>
      <c r="G6741">
        <v>107.87</v>
      </c>
      <c r="H6741">
        <v>250609</v>
      </c>
      <c r="I6741">
        <v>4520</v>
      </c>
      <c r="J6741" t="s">
        <v>280</v>
      </c>
      <c r="K6741">
        <v>1066.17</v>
      </c>
      <c r="L6741">
        <v>13.25</v>
      </c>
      <c r="M6741">
        <v>69802</v>
      </c>
      <c r="N6741" t="s">
        <v>375</v>
      </c>
      <c r="O6741">
        <v>250618</v>
      </c>
      <c r="P6741">
        <v>94.62</v>
      </c>
    </row>
    <row r="6742" spans="1:16" x14ac:dyDescent="0.25">
      <c r="A6742" t="s">
        <v>3296</v>
      </c>
      <c r="B6742" t="s">
        <v>2931</v>
      </c>
      <c r="C6742">
        <v>8773</v>
      </c>
      <c r="D6742" t="str">
        <f>"2560534662  "</f>
        <v xml:space="preserve">2560534662  </v>
      </c>
      <c r="E6742" t="s">
        <v>277</v>
      </c>
      <c r="F6742" t="s">
        <v>279</v>
      </c>
      <c r="G6742">
        <v>53.94</v>
      </c>
      <c r="H6742">
        <v>250609</v>
      </c>
      <c r="I6742">
        <v>4520</v>
      </c>
      <c r="J6742" t="s">
        <v>280</v>
      </c>
      <c r="K6742">
        <v>1066.17</v>
      </c>
      <c r="L6742">
        <v>6.62</v>
      </c>
      <c r="M6742">
        <v>69804</v>
      </c>
      <c r="N6742" t="s">
        <v>376</v>
      </c>
      <c r="O6742">
        <v>250618</v>
      </c>
      <c r="P6742">
        <v>47.32</v>
      </c>
    </row>
    <row r="6743" spans="1:16" x14ac:dyDescent="0.25">
      <c r="A6743" t="s">
        <v>3296</v>
      </c>
      <c r="B6743" t="s">
        <v>2931</v>
      </c>
      <c r="C6743">
        <v>8774</v>
      </c>
      <c r="D6743" t="str">
        <f>"2560534661  "</f>
        <v xml:space="preserve">2560534661  </v>
      </c>
      <c r="E6743" t="s">
        <v>277</v>
      </c>
      <c r="F6743" t="s">
        <v>279</v>
      </c>
      <c r="G6743">
        <v>1323.61</v>
      </c>
      <c r="H6743">
        <v>250609</v>
      </c>
      <c r="I6743">
        <v>4520</v>
      </c>
      <c r="J6743" t="s">
        <v>280</v>
      </c>
      <c r="K6743">
        <v>1348.76</v>
      </c>
      <c r="L6743">
        <v>162.55000000000001</v>
      </c>
      <c r="M6743">
        <v>54451</v>
      </c>
      <c r="N6743" t="s">
        <v>218</v>
      </c>
      <c r="O6743">
        <v>250618</v>
      </c>
      <c r="P6743">
        <v>1161.06</v>
      </c>
    </row>
    <row r="6744" spans="1:16" x14ac:dyDescent="0.25">
      <c r="A6744" t="s">
        <v>3296</v>
      </c>
      <c r="B6744" t="s">
        <v>2931</v>
      </c>
      <c r="C6744">
        <v>8843</v>
      </c>
      <c r="D6744" t="str">
        <f>"2560553007  "</f>
        <v xml:space="preserve">2560553007  </v>
      </c>
      <c r="E6744" t="s">
        <v>277</v>
      </c>
      <c r="F6744" t="s">
        <v>279</v>
      </c>
      <c r="G6744">
        <v>694.76</v>
      </c>
      <c r="H6744">
        <v>250616</v>
      </c>
      <c r="I6744">
        <v>4520</v>
      </c>
      <c r="J6744" t="s">
        <v>280</v>
      </c>
      <c r="K6744">
        <v>974.96</v>
      </c>
      <c r="L6744">
        <v>85.32</v>
      </c>
      <c r="M6744">
        <v>69113</v>
      </c>
      <c r="N6744" t="s">
        <v>122</v>
      </c>
      <c r="O6744">
        <v>250618</v>
      </c>
      <c r="P6744">
        <v>609.44000000000005</v>
      </c>
    </row>
    <row r="6745" spans="1:16" x14ac:dyDescent="0.25">
      <c r="A6745" t="s">
        <v>3296</v>
      </c>
      <c r="B6745" t="s">
        <v>2931</v>
      </c>
      <c r="C6745">
        <v>8843</v>
      </c>
      <c r="D6745" t="str">
        <f>"2560553007  "</f>
        <v xml:space="preserve">2560553007  </v>
      </c>
      <c r="E6745" t="s">
        <v>277</v>
      </c>
      <c r="F6745" t="s">
        <v>279</v>
      </c>
      <c r="G6745">
        <v>81.739999999999995</v>
      </c>
      <c r="H6745">
        <v>250616</v>
      </c>
      <c r="I6745">
        <v>4520</v>
      </c>
      <c r="J6745" t="s">
        <v>280</v>
      </c>
      <c r="K6745">
        <v>974.96</v>
      </c>
      <c r="L6745">
        <v>10.039999999999999</v>
      </c>
      <c r="M6745">
        <v>69802</v>
      </c>
      <c r="N6745" t="s">
        <v>375</v>
      </c>
      <c r="O6745">
        <v>250618</v>
      </c>
      <c r="P6745">
        <v>71.7</v>
      </c>
    </row>
    <row r="6746" spans="1:16" x14ac:dyDescent="0.25">
      <c r="A6746" t="s">
        <v>3296</v>
      </c>
      <c r="B6746" t="s">
        <v>2931</v>
      </c>
      <c r="C6746">
        <v>8843</v>
      </c>
      <c r="D6746" t="str">
        <f>"2560553007  "</f>
        <v xml:space="preserve">2560553007  </v>
      </c>
      <c r="E6746" t="s">
        <v>277</v>
      </c>
      <c r="F6746" t="s">
        <v>279</v>
      </c>
      <c r="G6746">
        <v>40.869999999999997</v>
      </c>
      <c r="H6746">
        <v>250616</v>
      </c>
      <c r="I6746">
        <v>4520</v>
      </c>
      <c r="J6746" t="s">
        <v>280</v>
      </c>
      <c r="K6746">
        <v>974.96</v>
      </c>
      <c r="L6746">
        <v>5.0199999999999996</v>
      </c>
      <c r="M6746">
        <v>69804</v>
      </c>
      <c r="N6746" t="s">
        <v>376</v>
      </c>
      <c r="O6746">
        <v>250618</v>
      </c>
      <c r="P6746">
        <v>35.85</v>
      </c>
    </row>
    <row r="6747" spans="1:16" x14ac:dyDescent="0.25">
      <c r="A6747" t="s">
        <v>3296</v>
      </c>
      <c r="B6747" t="s">
        <v>2931</v>
      </c>
      <c r="C6747">
        <v>8956</v>
      </c>
      <c r="D6747" t="str">
        <f t="shared" ref="D6747:D6756" si="126">"2560534665  "</f>
        <v xml:space="preserve">2560534665  </v>
      </c>
      <c r="E6747" t="s">
        <v>277</v>
      </c>
      <c r="F6747" t="s">
        <v>279</v>
      </c>
      <c r="G6747">
        <v>229.41</v>
      </c>
      <c r="H6747">
        <v>250609</v>
      </c>
      <c r="I6747">
        <v>4520</v>
      </c>
      <c r="J6747" t="s">
        <v>280</v>
      </c>
      <c r="K6747">
        <v>1246.6500000000001</v>
      </c>
      <c r="L6747">
        <v>28.17</v>
      </c>
      <c r="M6747">
        <v>11605</v>
      </c>
      <c r="N6747" t="s">
        <v>1066</v>
      </c>
      <c r="O6747">
        <v>250619</v>
      </c>
      <c r="P6747">
        <v>201.24</v>
      </c>
    </row>
    <row r="6748" spans="1:16" x14ac:dyDescent="0.25">
      <c r="A6748" t="s">
        <v>3296</v>
      </c>
      <c r="B6748" t="s">
        <v>2931</v>
      </c>
      <c r="C6748">
        <v>8956</v>
      </c>
      <c r="D6748" t="str">
        <f t="shared" si="126"/>
        <v xml:space="preserve">2560534665  </v>
      </c>
      <c r="E6748" t="s">
        <v>277</v>
      </c>
      <c r="F6748" t="s">
        <v>279</v>
      </c>
      <c r="G6748">
        <v>7.7</v>
      </c>
      <c r="H6748">
        <v>250609</v>
      </c>
      <c r="I6748">
        <v>4520</v>
      </c>
      <c r="J6748" t="s">
        <v>280</v>
      </c>
      <c r="K6748">
        <v>1246.6500000000001</v>
      </c>
      <c r="L6748">
        <v>0.95</v>
      </c>
      <c r="M6748">
        <v>14422</v>
      </c>
      <c r="N6748" t="s">
        <v>73</v>
      </c>
      <c r="O6748">
        <v>250619</v>
      </c>
      <c r="P6748">
        <v>6.75</v>
      </c>
    </row>
    <row r="6749" spans="1:16" x14ac:dyDescent="0.25">
      <c r="A6749" t="s">
        <v>3296</v>
      </c>
      <c r="B6749" t="s">
        <v>2931</v>
      </c>
      <c r="C6749">
        <v>8956</v>
      </c>
      <c r="D6749" t="str">
        <f t="shared" si="126"/>
        <v xml:space="preserve">2560534665  </v>
      </c>
      <c r="E6749" t="s">
        <v>277</v>
      </c>
      <c r="F6749" t="s">
        <v>279</v>
      </c>
      <c r="G6749">
        <v>30.8</v>
      </c>
      <c r="H6749">
        <v>250609</v>
      </c>
      <c r="I6749">
        <v>4520</v>
      </c>
      <c r="J6749" t="s">
        <v>280</v>
      </c>
      <c r="K6749">
        <v>1246.6500000000001</v>
      </c>
      <c r="L6749">
        <v>3.78</v>
      </c>
      <c r="M6749">
        <v>14431</v>
      </c>
      <c r="N6749" t="s">
        <v>74</v>
      </c>
      <c r="O6749">
        <v>250619</v>
      </c>
      <c r="P6749">
        <v>27.02</v>
      </c>
    </row>
    <row r="6750" spans="1:16" x14ac:dyDescent="0.25">
      <c r="A6750" t="s">
        <v>3296</v>
      </c>
      <c r="B6750" t="s">
        <v>2931</v>
      </c>
      <c r="C6750">
        <v>8956</v>
      </c>
      <c r="D6750" t="str">
        <f t="shared" si="126"/>
        <v xml:space="preserve">2560534665  </v>
      </c>
      <c r="E6750" t="s">
        <v>277</v>
      </c>
      <c r="F6750" t="s">
        <v>279</v>
      </c>
      <c r="G6750">
        <v>17.36</v>
      </c>
      <c r="H6750">
        <v>250609</v>
      </c>
      <c r="I6750">
        <v>4520</v>
      </c>
      <c r="J6750" t="s">
        <v>280</v>
      </c>
      <c r="K6750">
        <v>1246.6500000000001</v>
      </c>
      <c r="L6750">
        <v>3.53</v>
      </c>
      <c r="M6750">
        <v>14432</v>
      </c>
      <c r="N6750" t="s">
        <v>75</v>
      </c>
      <c r="O6750">
        <v>250619</v>
      </c>
      <c r="P6750">
        <v>13.83</v>
      </c>
    </row>
    <row r="6751" spans="1:16" x14ac:dyDescent="0.25">
      <c r="A6751" t="s">
        <v>3296</v>
      </c>
      <c r="B6751" t="s">
        <v>2931</v>
      </c>
      <c r="C6751">
        <v>8956</v>
      </c>
      <c r="D6751" t="str">
        <f t="shared" si="126"/>
        <v xml:space="preserve">2560534665  </v>
      </c>
      <c r="E6751" t="s">
        <v>277</v>
      </c>
      <c r="F6751" t="s">
        <v>279</v>
      </c>
      <c r="G6751">
        <v>130.94</v>
      </c>
      <c r="H6751">
        <v>250609</v>
      </c>
      <c r="I6751">
        <v>4520</v>
      </c>
      <c r="J6751" t="s">
        <v>280</v>
      </c>
      <c r="K6751">
        <v>1246.6500000000001</v>
      </c>
      <c r="L6751">
        <v>16.079999999999998</v>
      </c>
      <c r="M6751">
        <v>14432</v>
      </c>
      <c r="N6751" t="s">
        <v>75</v>
      </c>
      <c r="O6751">
        <v>250619</v>
      </c>
      <c r="P6751">
        <v>114.86</v>
      </c>
    </row>
    <row r="6752" spans="1:16" x14ac:dyDescent="0.25">
      <c r="A6752" t="s">
        <v>3296</v>
      </c>
      <c r="B6752" t="s">
        <v>2931</v>
      </c>
      <c r="C6752">
        <v>8956</v>
      </c>
      <c r="D6752" t="str">
        <f t="shared" si="126"/>
        <v xml:space="preserve">2560534665  </v>
      </c>
      <c r="E6752" t="s">
        <v>277</v>
      </c>
      <c r="F6752" t="s">
        <v>279</v>
      </c>
      <c r="G6752">
        <v>229.74</v>
      </c>
      <c r="H6752">
        <v>250609</v>
      </c>
      <c r="I6752">
        <v>4520</v>
      </c>
      <c r="J6752" t="s">
        <v>280</v>
      </c>
      <c r="K6752">
        <v>1246.6500000000001</v>
      </c>
      <c r="L6752">
        <v>28.21</v>
      </c>
      <c r="M6752">
        <v>14432</v>
      </c>
      <c r="N6752" t="s">
        <v>75</v>
      </c>
      <c r="O6752">
        <v>250619</v>
      </c>
      <c r="P6752">
        <v>201.53</v>
      </c>
    </row>
    <row r="6753" spans="1:16" x14ac:dyDescent="0.25">
      <c r="A6753" t="s">
        <v>3296</v>
      </c>
      <c r="B6753" t="s">
        <v>2931</v>
      </c>
      <c r="C6753">
        <v>8956</v>
      </c>
      <c r="D6753" t="str">
        <f t="shared" si="126"/>
        <v xml:space="preserve">2560534665  </v>
      </c>
      <c r="E6753" t="s">
        <v>277</v>
      </c>
      <c r="F6753" t="s">
        <v>279</v>
      </c>
      <c r="G6753">
        <v>7.7</v>
      </c>
      <c r="H6753">
        <v>250609</v>
      </c>
      <c r="I6753">
        <v>4520</v>
      </c>
      <c r="J6753" t="s">
        <v>280</v>
      </c>
      <c r="K6753">
        <v>1246.6500000000001</v>
      </c>
      <c r="L6753">
        <v>0.95</v>
      </c>
      <c r="M6753">
        <v>14640</v>
      </c>
      <c r="N6753" t="s">
        <v>78</v>
      </c>
      <c r="O6753">
        <v>250619</v>
      </c>
      <c r="P6753">
        <v>6.75</v>
      </c>
    </row>
    <row r="6754" spans="1:16" x14ac:dyDescent="0.25">
      <c r="A6754" t="s">
        <v>3296</v>
      </c>
      <c r="B6754" t="s">
        <v>2931</v>
      </c>
      <c r="C6754">
        <v>8956</v>
      </c>
      <c r="D6754" t="str">
        <f t="shared" si="126"/>
        <v xml:space="preserve">2560534665  </v>
      </c>
      <c r="E6754" t="s">
        <v>277</v>
      </c>
      <c r="F6754" t="s">
        <v>279</v>
      </c>
      <c r="G6754">
        <v>30.8</v>
      </c>
      <c r="H6754">
        <v>250609</v>
      </c>
      <c r="I6754">
        <v>4520</v>
      </c>
      <c r="J6754" t="s">
        <v>280</v>
      </c>
      <c r="K6754">
        <v>1246.6500000000001</v>
      </c>
      <c r="L6754">
        <v>3.78</v>
      </c>
      <c r="M6754">
        <v>14642</v>
      </c>
      <c r="N6754" t="s">
        <v>283</v>
      </c>
      <c r="O6754">
        <v>250619</v>
      </c>
      <c r="P6754">
        <v>27.02</v>
      </c>
    </row>
    <row r="6755" spans="1:16" x14ac:dyDescent="0.25">
      <c r="A6755" t="s">
        <v>3296</v>
      </c>
      <c r="B6755" t="s">
        <v>2931</v>
      </c>
      <c r="C6755">
        <v>8956</v>
      </c>
      <c r="D6755" t="str">
        <f t="shared" si="126"/>
        <v xml:space="preserve">2560534665  </v>
      </c>
      <c r="E6755" t="s">
        <v>277</v>
      </c>
      <c r="F6755" t="s">
        <v>279</v>
      </c>
      <c r="G6755">
        <v>12.55</v>
      </c>
      <c r="H6755">
        <v>250609</v>
      </c>
      <c r="I6755">
        <v>4520</v>
      </c>
      <c r="J6755" t="s">
        <v>280</v>
      </c>
      <c r="K6755">
        <v>1246.6500000000001</v>
      </c>
      <c r="L6755">
        <v>2.5499999999999998</v>
      </c>
      <c r="M6755">
        <v>14912</v>
      </c>
      <c r="N6755" t="s">
        <v>80</v>
      </c>
      <c r="O6755">
        <v>250619</v>
      </c>
      <c r="P6755">
        <v>10</v>
      </c>
    </row>
    <row r="6756" spans="1:16" x14ac:dyDescent="0.25">
      <c r="A6756" t="s">
        <v>3296</v>
      </c>
      <c r="B6756" t="s">
        <v>2931</v>
      </c>
      <c r="C6756">
        <v>8956</v>
      </c>
      <c r="D6756" t="str">
        <f t="shared" si="126"/>
        <v xml:space="preserve">2560534665  </v>
      </c>
      <c r="E6756" t="s">
        <v>277</v>
      </c>
      <c r="F6756" t="s">
        <v>279</v>
      </c>
      <c r="G6756">
        <v>549.65</v>
      </c>
      <c r="H6756">
        <v>250609</v>
      </c>
      <c r="I6756">
        <v>4520</v>
      </c>
      <c r="J6756" t="s">
        <v>280</v>
      </c>
      <c r="K6756">
        <v>1246.6500000000001</v>
      </c>
      <c r="L6756">
        <v>67.5</v>
      </c>
      <c r="M6756">
        <v>14912</v>
      </c>
      <c r="N6756" t="s">
        <v>80</v>
      </c>
      <c r="O6756">
        <v>250619</v>
      </c>
      <c r="P6756">
        <v>482.15</v>
      </c>
    </row>
    <row r="6757" spans="1:16" x14ac:dyDescent="0.25">
      <c r="A6757" t="s">
        <v>3296</v>
      </c>
      <c r="B6757" t="s">
        <v>2931</v>
      </c>
      <c r="C6757">
        <v>9079</v>
      </c>
      <c r="D6757" t="str">
        <f>"2560553008  "</f>
        <v xml:space="preserve">2560553008  </v>
      </c>
      <c r="E6757" t="s">
        <v>277</v>
      </c>
      <c r="F6757" t="s">
        <v>279</v>
      </c>
      <c r="G6757">
        <v>-12.55</v>
      </c>
      <c r="H6757">
        <v>250616</v>
      </c>
      <c r="I6757">
        <v>4520</v>
      </c>
      <c r="J6757" t="s">
        <v>280</v>
      </c>
      <c r="K6757">
        <v>633.29999999999995</v>
      </c>
      <c r="L6757">
        <v>-2.5499999999999998</v>
      </c>
      <c r="M6757">
        <v>17915</v>
      </c>
      <c r="N6757" t="s">
        <v>305</v>
      </c>
      <c r="O6757">
        <v>250626</v>
      </c>
      <c r="P6757">
        <v>-10</v>
      </c>
    </row>
    <row r="6758" spans="1:16" x14ac:dyDescent="0.25">
      <c r="A6758" t="s">
        <v>3296</v>
      </c>
      <c r="B6758" t="s">
        <v>2931</v>
      </c>
      <c r="C6758">
        <v>9079</v>
      </c>
      <c r="D6758" t="str">
        <f>"2560553008  "</f>
        <v xml:space="preserve">2560553008  </v>
      </c>
      <c r="E6758" t="s">
        <v>277</v>
      </c>
      <c r="F6758" t="s">
        <v>279</v>
      </c>
      <c r="G6758">
        <v>181.25</v>
      </c>
      <c r="H6758">
        <v>250616</v>
      </c>
      <c r="I6758">
        <v>4520</v>
      </c>
      <c r="J6758" t="s">
        <v>280</v>
      </c>
      <c r="K6758">
        <v>633.29999999999995</v>
      </c>
      <c r="L6758">
        <v>22.26</v>
      </c>
      <c r="M6758">
        <v>17915</v>
      </c>
      <c r="N6758" t="s">
        <v>305</v>
      </c>
      <c r="O6758">
        <v>250626</v>
      </c>
      <c r="P6758">
        <v>158.99</v>
      </c>
    </row>
    <row r="6759" spans="1:16" x14ac:dyDescent="0.25">
      <c r="A6759" t="s">
        <v>3296</v>
      </c>
      <c r="B6759" t="s">
        <v>2931</v>
      </c>
      <c r="C6759">
        <v>9079</v>
      </c>
      <c r="D6759" t="str">
        <f>"2560553008  "</f>
        <v xml:space="preserve">2560553008  </v>
      </c>
      <c r="E6759" t="s">
        <v>277</v>
      </c>
      <c r="F6759" t="s">
        <v>279</v>
      </c>
      <c r="G6759">
        <v>64.599999999999994</v>
      </c>
      <c r="H6759">
        <v>250616</v>
      </c>
      <c r="I6759">
        <v>4520</v>
      </c>
      <c r="J6759" t="s">
        <v>280</v>
      </c>
      <c r="K6759">
        <v>633.29999999999995</v>
      </c>
      <c r="L6759">
        <v>7.93</v>
      </c>
      <c r="M6759">
        <v>17982</v>
      </c>
      <c r="N6759" t="s">
        <v>281</v>
      </c>
      <c r="O6759">
        <v>250626</v>
      </c>
      <c r="P6759">
        <v>56.67</v>
      </c>
    </row>
    <row r="6760" spans="1:16" x14ac:dyDescent="0.25">
      <c r="A6760" t="s">
        <v>3296</v>
      </c>
      <c r="B6760" t="s">
        <v>2931</v>
      </c>
      <c r="C6760">
        <v>9079</v>
      </c>
      <c r="D6760" t="str">
        <f>"2560553008  "</f>
        <v xml:space="preserve">2560553008  </v>
      </c>
      <c r="E6760" t="s">
        <v>277</v>
      </c>
      <c r="F6760" t="s">
        <v>279</v>
      </c>
      <c r="G6760">
        <v>400</v>
      </c>
      <c r="H6760">
        <v>250616</v>
      </c>
      <c r="I6760">
        <v>4520</v>
      </c>
      <c r="J6760" t="s">
        <v>280</v>
      </c>
      <c r="K6760">
        <v>633.29999999999995</v>
      </c>
      <c r="L6760">
        <v>49.12</v>
      </c>
      <c r="M6760">
        <v>17984</v>
      </c>
      <c r="N6760" t="s">
        <v>655</v>
      </c>
      <c r="O6760">
        <v>250626</v>
      </c>
      <c r="P6760">
        <v>350.88</v>
      </c>
    </row>
    <row r="6761" spans="1:16" x14ac:dyDescent="0.25">
      <c r="A6761" t="s">
        <v>3296</v>
      </c>
      <c r="B6761" t="s">
        <v>2931</v>
      </c>
      <c r="C6761">
        <v>9089</v>
      </c>
      <c r="D6761" t="str">
        <f>"2560553006  "</f>
        <v xml:space="preserve">2560553006  </v>
      </c>
      <c r="E6761" t="s">
        <v>277</v>
      </c>
      <c r="F6761" t="s">
        <v>279</v>
      </c>
      <c r="G6761">
        <v>1265.96</v>
      </c>
      <c r="H6761">
        <v>250616</v>
      </c>
      <c r="I6761">
        <v>4520</v>
      </c>
      <c r="J6761" t="s">
        <v>280</v>
      </c>
      <c r="K6761">
        <v>1228.3</v>
      </c>
      <c r="L6761">
        <v>155.47</v>
      </c>
      <c r="M6761">
        <v>54451</v>
      </c>
      <c r="N6761" t="s">
        <v>218</v>
      </c>
      <c r="O6761">
        <v>250626</v>
      </c>
      <c r="P6761">
        <v>1110.49</v>
      </c>
    </row>
    <row r="6762" spans="1:16" x14ac:dyDescent="0.25">
      <c r="A6762" t="s">
        <v>3296</v>
      </c>
      <c r="B6762" t="s">
        <v>2931</v>
      </c>
      <c r="C6762">
        <v>9182</v>
      </c>
      <c r="D6762" t="str">
        <f>"2560567823  "</f>
        <v xml:space="preserve">2560567823  </v>
      </c>
      <c r="E6762" t="s">
        <v>277</v>
      </c>
      <c r="F6762" t="s">
        <v>279</v>
      </c>
      <c r="G6762">
        <v>877.96</v>
      </c>
      <c r="H6762">
        <v>250623</v>
      </c>
      <c r="I6762">
        <v>4520</v>
      </c>
      <c r="J6762" t="s">
        <v>280</v>
      </c>
      <c r="K6762">
        <v>1164.23</v>
      </c>
      <c r="L6762">
        <v>107.82</v>
      </c>
      <c r="M6762">
        <v>69113</v>
      </c>
      <c r="N6762" t="s">
        <v>122</v>
      </c>
      <c r="O6762">
        <v>250627</v>
      </c>
      <c r="P6762">
        <v>770.14</v>
      </c>
    </row>
    <row r="6763" spans="1:16" x14ac:dyDescent="0.25">
      <c r="A6763" t="s">
        <v>3296</v>
      </c>
      <c r="B6763" t="s">
        <v>2931</v>
      </c>
      <c r="C6763">
        <v>9182</v>
      </c>
      <c r="D6763" t="str">
        <f>"2560567823  "</f>
        <v xml:space="preserve">2560567823  </v>
      </c>
      <c r="E6763" t="s">
        <v>277</v>
      </c>
      <c r="F6763" t="s">
        <v>279</v>
      </c>
      <c r="G6763">
        <v>103.29</v>
      </c>
      <c r="H6763">
        <v>250623</v>
      </c>
      <c r="I6763">
        <v>4520</v>
      </c>
      <c r="J6763" t="s">
        <v>280</v>
      </c>
      <c r="K6763">
        <v>1164.23</v>
      </c>
      <c r="L6763">
        <v>12.68</v>
      </c>
      <c r="M6763">
        <v>69802</v>
      </c>
      <c r="N6763" t="s">
        <v>375</v>
      </c>
      <c r="O6763">
        <v>250627</v>
      </c>
      <c r="P6763">
        <v>90.61</v>
      </c>
    </row>
    <row r="6764" spans="1:16" x14ac:dyDescent="0.25">
      <c r="A6764" t="s">
        <v>3296</v>
      </c>
      <c r="B6764" t="s">
        <v>2931</v>
      </c>
      <c r="C6764">
        <v>9182</v>
      </c>
      <c r="D6764" t="str">
        <f>"2560567823  "</f>
        <v xml:space="preserve">2560567823  </v>
      </c>
      <c r="E6764" t="s">
        <v>277</v>
      </c>
      <c r="F6764" t="s">
        <v>279</v>
      </c>
      <c r="G6764">
        <v>51.64</v>
      </c>
      <c r="H6764">
        <v>250623</v>
      </c>
      <c r="I6764">
        <v>4520</v>
      </c>
      <c r="J6764" t="s">
        <v>280</v>
      </c>
      <c r="K6764">
        <v>1164.23</v>
      </c>
      <c r="L6764">
        <v>6.34</v>
      </c>
      <c r="M6764">
        <v>69804</v>
      </c>
      <c r="N6764" t="s">
        <v>376</v>
      </c>
      <c r="O6764">
        <v>250627</v>
      </c>
      <c r="P6764">
        <v>45.3</v>
      </c>
    </row>
    <row r="6765" spans="1:16" x14ac:dyDescent="0.25">
      <c r="A6765" t="s">
        <v>3296</v>
      </c>
      <c r="B6765" t="s">
        <v>2931</v>
      </c>
      <c r="C6765">
        <v>9189</v>
      </c>
      <c r="D6765" t="str">
        <f t="shared" ref="D6765:D6771" si="127">"2560567825  "</f>
        <v xml:space="preserve">2560567825  </v>
      </c>
      <c r="E6765" t="s">
        <v>277</v>
      </c>
      <c r="F6765" t="s">
        <v>279</v>
      </c>
      <c r="G6765">
        <v>7.58</v>
      </c>
      <c r="H6765">
        <v>250623</v>
      </c>
      <c r="I6765">
        <v>4520</v>
      </c>
      <c r="J6765" t="s">
        <v>280</v>
      </c>
      <c r="K6765">
        <v>758.48</v>
      </c>
      <c r="L6765">
        <v>0.93</v>
      </c>
      <c r="M6765">
        <v>14422</v>
      </c>
      <c r="N6765" t="s">
        <v>73</v>
      </c>
      <c r="O6765">
        <v>250627</v>
      </c>
      <c r="P6765">
        <v>6.65</v>
      </c>
    </row>
    <row r="6766" spans="1:16" x14ac:dyDescent="0.25">
      <c r="A6766" t="s">
        <v>3296</v>
      </c>
      <c r="B6766" t="s">
        <v>2931</v>
      </c>
      <c r="C6766">
        <v>9189</v>
      </c>
      <c r="D6766" t="str">
        <f t="shared" si="127"/>
        <v xml:space="preserve">2560567825  </v>
      </c>
      <c r="E6766" t="s">
        <v>277</v>
      </c>
      <c r="F6766" t="s">
        <v>279</v>
      </c>
      <c r="G6766">
        <v>30.33</v>
      </c>
      <c r="H6766">
        <v>250623</v>
      </c>
      <c r="I6766">
        <v>4520</v>
      </c>
      <c r="J6766" t="s">
        <v>280</v>
      </c>
      <c r="K6766">
        <v>758.48</v>
      </c>
      <c r="L6766">
        <v>3.72</v>
      </c>
      <c r="M6766">
        <v>14431</v>
      </c>
      <c r="N6766" t="s">
        <v>74</v>
      </c>
      <c r="O6766">
        <v>250627</v>
      </c>
      <c r="P6766">
        <v>26.61</v>
      </c>
    </row>
    <row r="6767" spans="1:16" x14ac:dyDescent="0.25">
      <c r="A6767" t="s">
        <v>3296</v>
      </c>
      <c r="B6767" t="s">
        <v>2931</v>
      </c>
      <c r="C6767">
        <v>9189</v>
      </c>
      <c r="D6767" t="str">
        <f t="shared" si="127"/>
        <v xml:space="preserve">2560567825  </v>
      </c>
      <c r="E6767" t="s">
        <v>277</v>
      </c>
      <c r="F6767" t="s">
        <v>279</v>
      </c>
      <c r="G6767">
        <v>128.97</v>
      </c>
      <c r="H6767">
        <v>250623</v>
      </c>
      <c r="I6767">
        <v>4520</v>
      </c>
      <c r="J6767" t="s">
        <v>280</v>
      </c>
      <c r="K6767">
        <v>758.48</v>
      </c>
      <c r="L6767">
        <v>15.84</v>
      </c>
      <c r="M6767">
        <v>14432</v>
      </c>
      <c r="N6767" t="s">
        <v>75</v>
      </c>
      <c r="O6767">
        <v>250627</v>
      </c>
      <c r="P6767">
        <v>113.13</v>
      </c>
    </row>
    <row r="6768" spans="1:16" x14ac:dyDescent="0.25">
      <c r="A6768" t="s">
        <v>3296</v>
      </c>
      <c r="B6768" t="s">
        <v>2931</v>
      </c>
      <c r="C6768">
        <v>9189</v>
      </c>
      <c r="D6768" t="str">
        <f t="shared" si="127"/>
        <v xml:space="preserve">2560567825  </v>
      </c>
      <c r="E6768" t="s">
        <v>277</v>
      </c>
      <c r="F6768" t="s">
        <v>279</v>
      </c>
      <c r="G6768">
        <v>7.58</v>
      </c>
      <c r="H6768">
        <v>250623</v>
      </c>
      <c r="I6768">
        <v>4520</v>
      </c>
      <c r="J6768" t="s">
        <v>280</v>
      </c>
      <c r="K6768">
        <v>758.48</v>
      </c>
      <c r="L6768">
        <v>0.93</v>
      </c>
      <c r="M6768">
        <v>14640</v>
      </c>
      <c r="N6768" t="s">
        <v>78</v>
      </c>
      <c r="O6768">
        <v>250627</v>
      </c>
      <c r="P6768">
        <v>6.65</v>
      </c>
    </row>
    <row r="6769" spans="1:16" x14ac:dyDescent="0.25">
      <c r="A6769" t="s">
        <v>3296</v>
      </c>
      <c r="B6769" t="s">
        <v>2931</v>
      </c>
      <c r="C6769">
        <v>9189</v>
      </c>
      <c r="D6769" t="str">
        <f t="shared" si="127"/>
        <v xml:space="preserve">2560567825  </v>
      </c>
      <c r="E6769" t="s">
        <v>277</v>
      </c>
      <c r="F6769" t="s">
        <v>279</v>
      </c>
      <c r="G6769">
        <v>30.33</v>
      </c>
      <c r="H6769">
        <v>250623</v>
      </c>
      <c r="I6769">
        <v>4520</v>
      </c>
      <c r="J6769" t="s">
        <v>280</v>
      </c>
      <c r="K6769">
        <v>758.48</v>
      </c>
      <c r="L6769">
        <v>3.72</v>
      </c>
      <c r="M6769">
        <v>14642</v>
      </c>
      <c r="N6769" t="s">
        <v>283</v>
      </c>
      <c r="O6769">
        <v>250627</v>
      </c>
      <c r="P6769">
        <v>26.61</v>
      </c>
    </row>
    <row r="6770" spans="1:16" x14ac:dyDescent="0.25">
      <c r="A6770" t="s">
        <v>3296</v>
      </c>
      <c r="B6770" t="s">
        <v>2931</v>
      </c>
      <c r="C6770">
        <v>9189</v>
      </c>
      <c r="D6770" t="str">
        <f t="shared" si="127"/>
        <v xml:space="preserve">2560567825  </v>
      </c>
      <c r="E6770" t="s">
        <v>277</v>
      </c>
      <c r="F6770" t="s">
        <v>279</v>
      </c>
      <c r="G6770">
        <v>108.54</v>
      </c>
      <c r="H6770">
        <v>250623</v>
      </c>
      <c r="I6770">
        <v>4520</v>
      </c>
      <c r="J6770" t="s">
        <v>280</v>
      </c>
      <c r="K6770">
        <v>758.48</v>
      </c>
      <c r="L6770">
        <v>22.05</v>
      </c>
      <c r="M6770">
        <v>14912</v>
      </c>
      <c r="N6770" t="s">
        <v>80</v>
      </c>
      <c r="O6770">
        <v>250627</v>
      </c>
      <c r="P6770">
        <v>86.49</v>
      </c>
    </row>
    <row r="6771" spans="1:16" x14ac:dyDescent="0.25">
      <c r="A6771" t="s">
        <v>3296</v>
      </c>
      <c r="B6771" t="s">
        <v>2931</v>
      </c>
      <c r="C6771">
        <v>9189</v>
      </c>
      <c r="D6771" t="str">
        <f t="shared" si="127"/>
        <v xml:space="preserve">2560567825  </v>
      </c>
      <c r="E6771" t="s">
        <v>277</v>
      </c>
      <c r="F6771" t="s">
        <v>279</v>
      </c>
      <c r="G6771">
        <v>445.15</v>
      </c>
      <c r="H6771">
        <v>250623</v>
      </c>
      <c r="I6771">
        <v>4520</v>
      </c>
      <c r="J6771" t="s">
        <v>280</v>
      </c>
      <c r="K6771">
        <v>758.48</v>
      </c>
      <c r="L6771">
        <v>54.67</v>
      </c>
      <c r="M6771">
        <v>14912</v>
      </c>
      <c r="N6771" t="s">
        <v>80</v>
      </c>
      <c r="O6771">
        <v>250627</v>
      </c>
      <c r="P6771">
        <v>390.48</v>
      </c>
    </row>
    <row r="6772" spans="1:16" x14ac:dyDescent="0.25">
      <c r="A6772" t="s">
        <v>3296</v>
      </c>
      <c r="B6772" t="s">
        <v>2931</v>
      </c>
      <c r="C6772">
        <v>9239</v>
      </c>
      <c r="D6772" t="str">
        <f t="shared" ref="D6772:D6778" si="128">"2560553009  "</f>
        <v xml:space="preserve">2560553009  </v>
      </c>
      <c r="E6772" t="s">
        <v>277</v>
      </c>
      <c r="F6772" t="s">
        <v>279</v>
      </c>
      <c r="G6772">
        <v>21.85</v>
      </c>
      <c r="H6772">
        <v>250616</v>
      </c>
      <c r="I6772">
        <v>4520</v>
      </c>
      <c r="J6772" t="s">
        <v>280</v>
      </c>
      <c r="K6772">
        <v>2184.3200000000002</v>
      </c>
      <c r="L6772">
        <v>2.68</v>
      </c>
      <c r="M6772">
        <v>14422</v>
      </c>
      <c r="N6772" t="s">
        <v>73</v>
      </c>
      <c r="O6772">
        <v>250701</v>
      </c>
      <c r="P6772">
        <v>19.170000000000002</v>
      </c>
    </row>
    <row r="6773" spans="1:16" x14ac:dyDescent="0.25">
      <c r="A6773" t="s">
        <v>3296</v>
      </c>
      <c r="B6773" t="s">
        <v>2931</v>
      </c>
      <c r="C6773">
        <v>9239</v>
      </c>
      <c r="D6773" t="str">
        <f t="shared" si="128"/>
        <v xml:space="preserve">2560553009  </v>
      </c>
      <c r="E6773" t="s">
        <v>277</v>
      </c>
      <c r="F6773" t="s">
        <v>279</v>
      </c>
      <c r="G6773">
        <v>87.37</v>
      </c>
      <c r="H6773">
        <v>250616</v>
      </c>
      <c r="I6773">
        <v>4520</v>
      </c>
      <c r="J6773" t="s">
        <v>280</v>
      </c>
      <c r="K6773">
        <v>2184.3200000000002</v>
      </c>
      <c r="L6773">
        <v>10.73</v>
      </c>
      <c r="M6773">
        <v>14431</v>
      </c>
      <c r="N6773" t="s">
        <v>74</v>
      </c>
      <c r="O6773">
        <v>250701</v>
      </c>
      <c r="P6773">
        <v>76.64</v>
      </c>
    </row>
    <row r="6774" spans="1:16" x14ac:dyDescent="0.25">
      <c r="A6774" t="s">
        <v>3296</v>
      </c>
      <c r="B6774" t="s">
        <v>2931</v>
      </c>
      <c r="C6774">
        <v>9239</v>
      </c>
      <c r="D6774" t="str">
        <f t="shared" si="128"/>
        <v xml:space="preserve">2560553009  </v>
      </c>
      <c r="E6774" t="s">
        <v>277</v>
      </c>
      <c r="F6774" t="s">
        <v>279</v>
      </c>
      <c r="G6774">
        <v>371.33</v>
      </c>
      <c r="H6774">
        <v>250616</v>
      </c>
      <c r="I6774">
        <v>4520</v>
      </c>
      <c r="J6774" t="s">
        <v>280</v>
      </c>
      <c r="K6774">
        <v>2184.3200000000002</v>
      </c>
      <c r="L6774">
        <v>45.6</v>
      </c>
      <c r="M6774">
        <v>14432</v>
      </c>
      <c r="N6774" t="s">
        <v>75</v>
      </c>
      <c r="O6774">
        <v>250701</v>
      </c>
      <c r="P6774">
        <v>325.73</v>
      </c>
    </row>
    <row r="6775" spans="1:16" x14ac:dyDescent="0.25">
      <c r="A6775" t="s">
        <v>3296</v>
      </c>
      <c r="B6775" t="s">
        <v>2931</v>
      </c>
      <c r="C6775">
        <v>9239</v>
      </c>
      <c r="D6775" t="str">
        <f t="shared" si="128"/>
        <v xml:space="preserve">2560553009  </v>
      </c>
      <c r="E6775" t="s">
        <v>277</v>
      </c>
      <c r="F6775" t="s">
        <v>279</v>
      </c>
      <c r="G6775">
        <v>21.85</v>
      </c>
      <c r="H6775">
        <v>250616</v>
      </c>
      <c r="I6775">
        <v>4520</v>
      </c>
      <c r="J6775" t="s">
        <v>280</v>
      </c>
      <c r="K6775">
        <v>2184.3200000000002</v>
      </c>
      <c r="L6775">
        <v>2.68</v>
      </c>
      <c r="M6775">
        <v>14640</v>
      </c>
      <c r="N6775" t="s">
        <v>78</v>
      </c>
      <c r="O6775">
        <v>250701</v>
      </c>
      <c r="P6775">
        <v>19.170000000000002</v>
      </c>
    </row>
    <row r="6776" spans="1:16" x14ac:dyDescent="0.25">
      <c r="A6776" t="s">
        <v>3296</v>
      </c>
      <c r="B6776" t="s">
        <v>2931</v>
      </c>
      <c r="C6776">
        <v>9239</v>
      </c>
      <c r="D6776" t="str">
        <f t="shared" si="128"/>
        <v xml:space="preserve">2560553009  </v>
      </c>
      <c r="E6776" t="s">
        <v>277</v>
      </c>
      <c r="F6776" t="s">
        <v>279</v>
      </c>
      <c r="G6776">
        <v>87.37</v>
      </c>
      <c r="H6776">
        <v>250616</v>
      </c>
      <c r="I6776">
        <v>4520</v>
      </c>
      <c r="J6776" t="s">
        <v>280</v>
      </c>
      <c r="K6776">
        <v>2184.3200000000002</v>
      </c>
      <c r="L6776">
        <v>10.73</v>
      </c>
      <c r="M6776">
        <v>14642</v>
      </c>
      <c r="N6776" t="s">
        <v>283</v>
      </c>
      <c r="O6776">
        <v>250701</v>
      </c>
      <c r="P6776">
        <v>76.64</v>
      </c>
    </row>
    <row r="6777" spans="1:16" x14ac:dyDescent="0.25">
      <c r="A6777" t="s">
        <v>3296</v>
      </c>
      <c r="B6777" t="s">
        <v>2931</v>
      </c>
      <c r="C6777">
        <v>9239</v>
      </c>
      <c r="D6777" t="str">
        <f t="shared" si="128"/>
        <v xml:space="preserve">2560553009  </v>
      </c>
      <c r="E6777" t="s">
        <v>277</v>
      </c>
      <c r="F6777" t="s">
        <v>279</v>
      </c>
      <c r="G6777">
        <v>121.84</v>
      </c>
      <c r="H6777">
        <v>250616</v>
      </c>
      <c r="I6777">
        <v>4520</v>
      </c>
      <c r="J6777" t="s">
        <v>280</v>
      </c>
      <c r="K6777">
        <v>2184.3200000000002</v>
      </c>
      <c r="L6777">
        <v>24.76</v>
      </c>
      <c r="M6777">
        <v>14912</v>
      </c>
      <c r="N6777" t="s">
        <v>80</v>
      </c>
      <c r="O6777">
        <v>250701</v>
      </c>
      <c r="P6777">
        <v>97.08</v>
      </c>
    </row>
    <row r="6778" spans="1:16" x14ac:dyDescent="0.25">
      <c r="A6778" t="s">
        <v>3296</v>
      </c>
      <c r="B6778" t="s">
        <v>2931</v>
      </c>
      <c r="C6778">
        <v>9239</v>
      </c>
      <c r="D6778" t="str">
        <f t="shared" si="128"/>
        <v xml:space="preserve">2560553009  </v>
      </c>
      <c r="E6778" t="s">
        <v>277</v>
      </c>
      <c r="F6778" t="s">
        <v>279</v>
      </c>
      <c r="G6778">
        <v>1472.71</v>
      </c>
      <c r="H6778">
        <v>250616</v>
      </c>
      <c r="I6778">
        <v>4520</v>
      </c>
      <c r="J6778" t="s">
        <v>280</v>
      </c>
      <c r="K6778">
        <v>2184.3200000000002</v>
      </c>
      <c r="L6778">
        <v>180.86</v>
      </c>
      <c r="M6778">
        <v>14912</v>
      </c>
      <c r="N6778" t="s">
        <v>80</v>
      </c>
      <c r="O6778">
        <v>250701</v>
      </c>
      <c r="P6778">
        <v>1291.8499999999999</v>
      </c>
    </row>
    <row r="6779" spans="1:16" x14ac:dyDescent="0.25">
      <c r="A6779" t="s">
        <v>3296</v>
      </c>
      <c r="B6779" t="s">
        <v>2931</v>
      </c>
      <c r="C6779">
        <v>9242</v>
      </c>
      <c r="D6779" t="str">
        <f>"2560553010  "</f>
        <v xml:space="preserve">2560553010  </v>
      </c>
      <c r="E6779" t="s">
        <v>277</v>
      </c>
      <c r="F6779" t="s">
        <v>279</v>
      </c>
      <c r="G6779">
        <v>-28.34</v>
      </c>
      <c r="H6779">
        <v>250616</v>
      </c>
      <c r="I6779">
        <v>4520</v>
      </c>
      <c r="J6779" t="s">
        <v>280</v>
      </c>
      <c r="K6779">
        <v>-28.34</v>
      </c>
      <c r="L6779">
        <v>-3.48</v>
      </c>
      <c r="M6779">
        <v>69112</v>
      </c>
      <c r="N6779" t="s">
        <v>227</v>
      </c>
      <c r="O6779">
        <v>250701</v>
      </c>
      <c r="P6779">
        <v>-24.86</v>
      </c>
    </row>
    <row r="6780" spans="1:16" x14ac:dyDescent="0.25">
      <c r="A6780" t="s">
        <v>3296</v>
      </c>
      <c r="B6780" t="s">
        <v>2931</v>
      </c>
      <c r="C6780">
        <v>9457</v>
      </c>
      <c r="D6780" t="str">
        <f>"2560567824  "</f>
        <v xml:space="preserve">2560567824  </v>
      </c>
      <c r="E6780" t="s">
        <v>277</v>
      </c>
      <c r="F6780" t="s">
        <v>279</v>
      </c>
      <c r="G6780">
        <v>41.07</v>
      </c>
      <c r="H6780">
        <v>250623</v>
      </c>
      <c r="I6780">
        <v>4520</v>
      </c>
      <c r="J6780" t="s">
        <v>280</v>
      </c>
      <c r="K6780">
        <v>41.07</v>
      </c>
      <c r="L6780">
        <v>5.04</v>
      </c>
      <c r="M6780">
        <v>17915</v>
      </c>
      <c r="N6780" t="s">
        <v>305</v>
      </c>
      <c r="O6780">
        <v>250708</v>
      </c>
      <c r="P6780">
        <v>36.03</v>
      </c>
    </row>
    <row r="6781" spans="1:16" x14ac:dyDescent="0.25">
      <c r="A6781" t="s">
        <v>3296</v>
      </c>
      <c r="B6781" t="s">
        <v>2931</v>
      </c>
      <c r="C6781">
        <v>9927</v>
      </c>
      <c r="D6781" t="str">
        <f>"2560674512  "</f>
        <v xml:space="preserve">2560674512  </v>
      </c>
      <c r="E6781" t="s">
        <v>277</v>
      </c>
      <c r="F6781" t="s">
        <v>279</v>
      </c>
      <c r="G6781">
        <v>2372.36</v>
      </c>
      <c r="H6781">
        <v>250728</v>
      </c>
      <c r="I6781">
        <v>4520</v>
      </c>
      <c r="J6781" t="s">
        <v>280</v>
      </c>
      <c r="K6781">
        <v>2458.2600000000002</v>
      </c>
      <c r="L6781">
        <v>291.33999999999997</v>
      </c>
      <c r="M6781">
        <v>59810</v>
      </c>
      <c r="N6781" t="s">
        <v>1349</v>
      </c>
      <c r="O6781">
        <v>250805</v>
      </c>
      <c r="P6781">
        <v>2081.02</v>
      </c>
    </row>
    <row r="6782" spans="1:16" x14ac:dyDescent="0.25">
      <c r="A6782" t="s">
        <v>3296</v>
      </c>
      <c r="B6782" t="s">
        <v>2931</v>
      </c>
      <c r="C6782">
        <v>9929</v>
      </c>
      <c r="D6782" t="str">
        <f>"2560682992  "</f>
        <v xml:space="preserve">2560682992  </v>
      </c>
      <c r="E6782" t="s">
        <v>277</v>
      </c>
      <c r="F6782" t="s">
        <v>279</v>
      </c>
      <c r="G6782">
        <v>612.84</v>
      </c>
      <c r="H6782">
        <v>250731</v>
      </c>
      <c r="I6782">
        <v>4520</v>
      </c>
      <c r="J6782" t="s">
        <v>280</v>
      </c>
      <c r="K6782">
        <v>720.99</v>
      </c>
      <c r="L6782">
        <v>75.260000000000005</v>
      </c>
      <c r="M6782">
        <v>69113</v>
      </c>
      <c r="N6782" t="s">
        <v>122</v>
      </c>
      <c r="O6782">
        <v>250805</v>
      </c>
      <c r="P6782">
        <v>537.58000000000004</v>
      </c>
    </row>
    <row r="6783" spans="1:16" x14ac:dyDescent="0.25">
      <c r="A6783" t="s">
        <v>3296</v>
      </c>
      <c r="B6783" t="s">
        <v>2931</v>
      </c>
      <c r="C6783">
        <v>9929</v>
      </c>
      <c r="D6783" t="str">
        <f>"2560682992  "</f>
        <v xml:space="preserve">2560682992  </v>
      </c>
      <c r="E6783" t="s">
        <v>277</v>
      </c>
      <c r="F6783" t="s">
        <v>279</v>
      </c>
      <c r="G6783">
        <v>72.099999999999994</v>
      </c>
      <c r="H6783">
        <v>250731</v>
      </c>
      <c r="I6783">
        <v>4520</v>
      </c>
      <c r="J6783" t="s">
        <v>280</v>
      </c>
      <c r="K6783">
        <v>720.99</v>
      </c>
      <c r="L6783">
        <v>8.85</v>
      </c>
      <c r="M6783">
        <v>69802</v>
      </c>
      <c r="N6783" t="s">
        <v>375</v>
      </c>
      <c r="O6783">
        <v>250805</v>
      </c>
      <c r="P6783">
        <v>63.25</v>
      </c>
    </row>
    <row r="6784" spans="1:16" x14ac:dyDescent="0.25">
      <c r="A6784" t="s">
        <v>3296</v>
      </c>
      <c r="B6784" t="s">
        <v>2931</v>
      </c>
      <c r="C6784">
        <v>9929</v>
      </c>
      <c r="D6784" t="str">
        <f>"2560682992  "</f>
        <v xml:space="preserve">2560682992  </v>
      </c>
      <c r="E6784" t="s">
        <v>277</v>
      </c>
      <c r="F6784" t="s">
        <v>279</v>
      </c>
      <c r="G6784">
        <v>36.049999999999997</v>
      </c>
      <c r="H6784">
        <v>250731</v>
      </c>
      <c r="I6784">
        <v>4520</v>
      </c>
      <c r="J6784" t="s">
        <v>280</v>
      </c>
      <c r="K6784">
        <v>720.99</v>
      </c>
      <c r="L6784">
        <v>4.43</v>
      </c>
      <c r="M6784">
        <v>69804</v>
      </c>
      <c r="N6784" t="s">
        <v>376</v>
      </c>
      <c r="O6784">
        <v>250805</v>
      </c>
      <c r="P6784">
        <v>31.62</v>
      </c>
    </row>
    <row r="6785" spans="1:16" x14ac:dyDescent="0.25">
      <c r="A6785" t="s">
        <v>3296</v>
      </c>
      <c r="B6785" t="s">
        <v>2931</v>
      </c>
      <c r="C6785">
        <v>9930</v>
      </c>
      <c r="D6785" t="str">
        <f>"2560682991  "</f>
        <v xml:space="preserve">2560682991  </v>
      </c>
      <c r="E6785" t="s">
        <v>277</v>
      </c>
      <c r="F6785" t="s">
        <v>279</v>
      </c>
      <c r="G6785">
        <v>2466.16</v>
      </c>
      <c r="H6785">
        <v>250731</v>
      </c>
      <c r="I6785">
        <v>4520</v>
      </c>
      <c r="J6785" t="s">
        <v>280</v>
      </c>
      <c r="K6785">
        <v>2913.91</v>
      </c>
      <c r="L6785">
        <v>302.86</v>
      </c>
      <c r="M6785">
        <v>59113</v>
      </c>
      <c r="N6785" t="s">
        <v>61</v>
      </c>
      <c r="O6785">
        <v>250805</v>
      </c>
      <c r="P6785">
        <v>2163.3000000000002</v>
      </c>
    </row>
    <row r="6786" spans="1:16" x14ac:dyDescent="0.25">
      <c r="A6786" t="s">
        <v>3296</v>
      </c>
      <c r="B6786" t="s">
        <v>2931</v>
      </c>
      <c r="C6786">
        <v>9930</v>
      </c>
      <c r="D6786" t="str">
        <f>"2560682991  "</f>
        <v xml:space="preserve">2560682991  </v>
      </c>
      <c r="E6786" t="s">
        <v>277</v>
      </c>
      <c r="F6786" t="s">
        <v>279</v>
      </c>
      <c r="G6786">
        <v>435.2</v>
      </c>
      <c r="H6786">
        <v>250731</v>
      </c>
      <c r="I6786">
        <v>4520</v>
      </c>
      <c r="J6786" t="s">
        <v>280</v>
      </c>
      <c r="K6786">
        <v>2913.91</v>
      </c>
      <c r="L6786">
        <v>53.45</v>
      </c>
      <c r="M6786">
        <v>59803</v>
      </c>
      <c r="N6786" t="s">
        <v>282</v>
      </c>
      <c r="O6786">
        <v>250805</v>
      </c>
      <c r="P6786">
        <v>381.75</v>
      </c>
    </row>
    <row r="6787" spans="1:16" x14ac:dyDescent="0.25">
      <c r="A6787" t="s">
        <v>3296</v>
      </c>
      <c r="B6787" t="s">
        <v>2931</v>
      </c>
      <c r="C6787">
        <v>9932</v>
      </c>
      <c r="D6787" t="str">
        <f>"2560682990  "</f>
        <v xml:space="preserve">2560682990  </v>
      </c>
      <c r="E6787" t="s">
        <v>277</v>
      </c>
      <c r="F6787" t="s">
        <v>279</v>
      </c>
      <c r="G6787">
        <v>328.7</v>
      </c>
      <c r="H6787">
        <v>250731</v>
      </c>
      <c r="I6787">
        <v>4520</v>
      </c>
      <c r="J6787" t="s">
        <v>280</v>
      </c>
      <c r="K6787">
        <v>353.88</v>
      </c>
      <c r="L6787">
        <v>40.369999999999997</v>
      </c>
      <c r="M6787">
        <v>59810</v>
      </c>
      <c r="N6787" t="s">
        <v>1349</v>
      </c>
      <c r="O6787">
        <v>250805</v>
      </c>
      <c r="P6787">
        <v>288.33</v>
      </c>
    </row>
    <row r="6788" spans="1:16" x14ac:dyDescent="0.25">
      <c r="A6788" t="s">
        <v>3296</v>
      </c>
      <c r="B6788" t="s">
        <v>2931</v>
      </c>
      <c r="C6788">
        <v>10090</v>
      </c>
      <c r="D6788" t="str">
        <f>"2560717449  "</f>
        <v xml:space="preserve">2560717449  </v>
      </c>
      <c r="E6788" t="s">
        <v>277</v>
      </c>
      <c r="F6788" t="s">
        <v>279</v>
      </c>
      <c r="G6788">
        <v>32.51</v>
      </c>
      <c r="H6788">
        <v>250731</v>
      </c>
      <c r="I6788">
        <v>4520</v>
      </c>
      <c r="J6788" t="s">
        <v>280</v>
      </c>
      <c r="K6788">
        <v>36.119999999999997</v>
      </c>
      <c r="L6788">
        <v>3.99</v>
      </c>
      <c r="M6788">
        <v>69113</v>
      </c>
      <c r="N6788" t="s">
        <v>122</v>
      </c>
      <c r="O6788">
        <v>250811</v>
      </c>
      <c r="P6788">
        <v>28.52</v>
      </c>
    </row>
    <row r="6789" spans="1:16" x14ac:dyDescent="0.25">
      <c r="A6789" t="s">
        <v>3296</v>
      </c>
      <c r="B6789" t="s">
        <v>2931</v>
      </c>
      <c r="C6789">
        <v>10090</v>
      </c>
      <c r="D6789" t="str">
        <f>"2560717449  "</f>
        <v xml:space="preserve">2560717449  </v>
      </c>
      <c r="E6789" t="s">
        <v>277</v>
      </c>
      <c r="F6789" t="s">
        <v>279</v>
      </c>
      <c r="G6789">
        <v>3.61</v>
      </c>
      <c r="H6789">
        <v>250731</v>
      </c>
      <c r="I6789">
        <v>4520</v>
      </c>
      <c r="J6789" t="s">
        <v>280</v>
      </c>
      <c r="K6789">
        <v>36.119999999999997</v>
      </c>
      <c r="L6789">
        <v>0.44</v>
      </c>
      <c r="M6789">
        <v>69802</v>
      </c>
      <c r="N6789" t="s">
        <v>375</v>
      </c>
      <c r="O6789">
        <v>250811</v>
      </c>
      <c r="P6789">
        <v>3.17</v>
      </c>
    </row>
    <row r="6790" spans="1:16" x14ac:dyDescent="0.25">
      <c r="A6790" t="s">
        <v>3296</v>
      </c>
      <c r="B6790" t="s">
        <v>2931</v>
      </c>
      <c r="C6790">
        <v>10098</v>
      </c>
      <c r="D6790" t="str">
        <f>"2560717452  "</f>
        <v xml:space="preserve">2560717452  </v>
      </c>
      <c r="E6790" t="s">
        <v>277</v>
      </c>
      <c r="F6790" t="s">
        <v>279</v>
      </c>
      <c r="G6790">
        <v>24.65</v>
      </c>
      <c r="H6790">
        <v>250804</v>
      </c>
      <c r="I6790">
        <v>4520</v>
      </c>
      <c r="J6790" t="s">
        <v>280</v>
      </c>
      <c r="K6790">
        <v>2402.89</v>
      </c>
      <c r="L6790">
        <v>5.01</v>
      </c>
      <c r="M6790">
        <v>16442</v>
      </c>
      <c r="N6790" t="s">
        <v>304</v>
      </c>
      <c r="O6790">
        <v>250811</v>
      </c>
      <c r="P6790">
        <v>19.64</v>
      </c>
    </row>
    <row r="6791" spans="1:16" x14ac:dyDescent="0.25">
      <c r="A6791" t="s">
        <v>3296</v>
      </c>
      <c r="B6791" t="s">
        <v>2931</v>
      </c>
      <c r="C6791">
        <v>10098</v>
      </c>
      <c r="D6791" t="str">
        <f>"2560717452  "</f>
        <v xml:space="preserve">2560717452  </v>
      </c>
      <c r="E6791" t="s">
        <v>277</v>
      </c>
      <c r="F6791" t="s">
        <v>279</v>
      </c>
      <c r="G6791">
        <v>102.2</v>
      </c>
      <c r="H6791">
        <v>250804</v>
      </c>
      <c r="I6791">
        <v>4520</v>
      </c>
      <c r="J6791" t="s">
        <v>280</v>
      </c>
      <c r="K6791">
        <v>2402.89</v>
      </c>
      <c r="L6791">
        <v>12.55</v>
      </c>
      <c r="M6791">
        <v>16442</v>
      </c>
      <c r="N6791" t="s">
        <v>304</v>
      </c>
      <c r="O6791">
        <v>250811</v>
      </c>
      <c r="P6791">
        <v>89.65</v>
      </c>
    </row>
    <row r="6792" spans="1:16" x14ac:dyDescent="0.25">
      <c r="A6792" t="s">
        <v>3296</v>
      </c>
      <c r="B6792" t="s">
        <v>2931</v>
      </c>
      <c r="C6792">
        <v>10098</v>
      </c>
      <c r="D6792" t="str">
        <f>"2560717452  "</f>
        <v xml:space="preserve">2560717452  </v>
      </c>
      <c r="E6792" t="s">
        <v>277</v>
      </c>
      <c r="F6792" t="s">
        <v>279</v>
      </c>
      <c r="G6792">
        <v>124.73</v>
      </c>
      <c r="H6792">
        <v>250804</v>
      </c>
      <c r="I6792">
        <v>4520</v>
      </c>
      <c r="J6792" t="s">
        <v>280</v>
      </c>
      <c r="K6792">
        <v>2402.89</v>
      </c>
      <c r="L6792">
        <v>25.34</v>
      </c>
      <c r="M6792">
        <v>17913</v>
      </c>
      <c r="N6792" t="s">
        <v>26</v>
      </c>
      <c r="O6792">
        <v>250811</v>
      </c>
      <c r="P6792">
        <v>99.39</v>
      </c>
    </row>
    <row r="6793" spans="1:16" x14ac:dyDescent="0.25">
      <c r="A6793" t="s">
        <v>3296</v>
      </c>
      <c r="B6793" t="s">
        <v>2931</v>
      </c>
      <c r="C6793">
        <v>10098</v>
      </c>
      <c r="D6793" t="str">
        <f>"2560717452  "</f>
        <v xml:space="preserve">2560717452  </v>
      </c>
      <c r="E6793" t="s">
        <v>277</v>
      </c>
      <c r="F6793" t="s">
        <v>279</v>
      </c>
      <c r="G6793">
        <v>1926.01</v>
      </c>
      <c r="H6793">
        <v>250804</v>
      </c>
      <c r="I6793">
        <v>4520</v>
      </c>
      <c r="J6793" t="s">
        <v>280</v>
      </c>
      <c r="K6793">
        <v>2402.89</v>
      </c>
      <c r="L6793">
        <v>236.53</v>
      </c>
      <c r="M6793">
        <v>17913</v>
      </c>
      <c r="N6793" t="s">
        <v>26</v>
      </c>
      <c r="O6793">
        <v>250811</v>
      </c>
      <c r="P6793">
        <v>1689.48</v>
      </c>
    </row>
    <row r="6794" spans="1:16" x14ac:dyDescent="0.25">
      <c r="A6794" t="s">
        <v>3296</v>
      </c>
      <c r="B6794" t="s">
        <v>2931</v>
      </c>
      <c r="C6794">
        <v>10098</v>
      </c>
      <c r="D6794" t="str">
        <f>"2560717452  "</f>
        <v xml:space="preserve">2560717452  </v>
      </c>
      <c r="E6794" t="s">
        <v>277</v>
      </c>
      <c r="F6794" t="s">
        <v>279</v>
      </c>
      <c r="G6794">
        <v>225.3</v>
      </c>
      <c r="H6794">
        <v>250804</v>
      </c>
      <c r="I6794">
        <v>4520</v>
      </c>
      <c r="J6794" t="s">
        <v>280</v>
      </c>
      <c r="K6794">
        <v>2402.89</v>
      </c>
      <c r="L6794">
        <v>27.67</v>
      </c>
      <c r="M6794">
        <v>17982</v>
      </c>
      <c r="N6794" t="s">
        <v>281</v>
      </c>
      <c r="O6794">
        <v>250811</v>
      </c>
      <c r="P6794">
        <v>197.63</v>
      </c>
    </row>
    <row r="6795" spans="1:16" x14ac:dyDescent="0.25">
      <c r="A6795" t="s">
        <v>3296</v>
      </c>
      <c r="B6795" t="s">
        <v>2931</v>
      </c>
      <c r="C6795">
        <v>10104</v>
      </c>
      <c r="D6795" t="str">
        <f>"2560717451  "</f>
        <v xml:space="preserve">2560717451  </v>
      </c>
      <c r="E6795" t="s">
        <v>277</v>
      </c>
      <c r="F6795" t="s">
        <v>279</v>
      </c>
      <c r="G6795">
        <v>837.46</v>
      </c>
      <c r="H6795">
        <v>250804</v>
      </c>
      <c r="I6795">
        <v>4520</v>
      </c>
      <c r="J6795" t="s">
        <v>280</v>
      </c>
      <c r="K6795">
        <v>930.51</v>
      </c>
      <c r="L6795">
        <v>102.85</v>
      </c>
      <c r="M6795">
        <v>17915</v>
      </c>
      <c r="N6795" t="s">
        <v>305</v>
      </c>
      <c r="O6795">
        <v>250811</v>
      </c>
      <c r="P6795">
        <v>734.61</v>
      </c>
    </row>
    <row r="6796" spans="1:16" x14ac:dyDescent="0.25">
      <c r="A6796" t="s">
        <v>3296</v>
      </c>
      <c r="B6796" t="s">
        <v>2931</v>
      </c>
      <c r="C6796">
        <v>10104</v>
      </c>
      <c r="D6796" t="str">
        <f>"2560717451  "</f>
        <v xml:space="preserve">2560717451  </v>
      </c>
      <c r="E6796" t="s">
        <v>277</v>
      </c>
      <c r="F6796" t="s">
        <v>279</v>
      </c>
      <c r="G6796">
        <v>93.05</v>
      </c>
      <c r="H6796">
        <v>250804</v>
      </c>
      <c r="I6796">
        <v>4520</v>
      </c>
      <c r="J6796" t="s">
        <v>280</v>
      </c>
      <c r="K6796">
        <v>930.51</v>
      </c>
      <c r="L6796">
        <v>11.43</v>
      </c>
      <c r="M6796">
        <v>17982</v>
      </c>
      <c r="N6796" t="s">
        <v>281</v>
      </c>
      <c r="O6796">
        <v>250811</v>
      </c>
      <c r="P6796">
        <v>81.62</v>
      </c>
    </row>
    <row r="6797" spans="1:16" x14ac:dyDescent="0.25">
      <c r="A6797" t="s">
        <v>3296</v>
      </c>
      <c r="B6797" t="s">
        <v>2931</v>
      </c>
      <c r="C6797">
        <v>10111</v>
      </c>
      <c r="D6797" t="str">
        <f>"2560717450  "</f>
        <v xml:space="preserve">2560717450  </v>
      </c>
      <c r="E6797" t="s">
        <v>277</v>
      </c>
      <c r="F6797" t="s">
        <v>279</v>
      </c>
      <c r="G6797">
        <v>2063.2800000000002</v>
      </c>
      <c r="H6797">
        <v>250804</v>
      </c>
      <c r="I6797">
        <v>4520</v>
      </c>
      <c r="J6797" t="s">
        <v>280</v>
      </c>
      <c r="K6797">
        <v>2075.83</v>
      </c>
      <c r="L6797">
        <v>253.39</v>
      </c>
      <c r="M6797">
        <v>49112</v>
      </c>
      <c r="N6797" t="s">
        <v>109</v>
      </c>
      <c r="O6797">
        <v>250811</v>
      </c>
      <c r="P6797">
        <v>1809.89</v>
      </c>
    </row>
    <row r="6798" spans="1:16" x14ac:dyDescent="0.25">
      <c r="A6798" t="s">
        <v>3296</v>
      </c>
      <c r="B6798" t="s">
        <v>2931</v>
      </c>
      <c r="C6798">
        <v>10119</v>
      </c>
      <c r="D6798" t="str">
        <f>"2560717453  "</f>
        <v xml:space="preserve">2560717453  </v>
      </c>
      <c r="E6798" t="s">
        <v>277</v>
      </c>
      <c r="F6798" t="s">
        <v>279</v>
      </c>
      <c r="G6798">
        <v>112.35</v>
      </c>
      <c r="H6798">
        <v>250804</v>
      </c>
      <c r="I6798">
        <v>4520</v>
      </c>
      <c r="J6798" t="s">
        <v>280</v>
      </c>
      <c r="K6798">
        <v>2287.9</v>
      </c>
      <c r="L6798">
        <v>22.83</v>
      </c>
      <c r="M6798">
        <v>14432</v>
      </c>
      <c r="N6798" t="s">
        <v>75</v>
      </c>
      <c r="O6798">
        <v>250812</v>
      </c>
      <c r="P6798">
        <v>89.52</v>
      </c>
    </row>
    <row r="6799" spans="1:16" x14ac:dyDescent="0.25">
      <c r="A6799" t="s">
        <v>3296</v>
      </c>
      <c r="B6799" t="s">
        <v>2931</v>
      </c>
      <c r="C6799">
        <v>10119</v>
      </c>
      <c r="D6799" t="str">
        <f>"2560717453  "</f>
        <v xml:space="preserve">2560717453  </v>
      </c>
      <c r="E6799" t="s">
        <v>277</v>
      </c>
      <c r="F6799" t="s">
        <v>279</v>
      </c>
      <c r="G6799">
        <v>505.38</v>
      </c>
      <c r="H6799">
        <v>250804</v>
      </c>
      <c r="I6799">
        <v>4520</v>
      </c>
      <c r="J6799" t="s">
        <v>280</v>
      </c>
      <c r="K6799">
        <v>2287.9</v>
      </c>
      <c r="L6799">
        <v>62.06</v>
      </c>
      <c r="M6799">
        <v>14432</v>
      </c>
      <c r="N6799" t="s">
        <v>75</v>
      </c>
      <c r="O6799">
        <v>250812</v>
      </c>
      <c r="P6799">
        <v>443.32</v>
      </c>
    </row>
    <row r="6800" spans="1:16" x14ac:dyDescent="0.25">
      <c r="A6800" t="s">
        <v>3296</v>
      </c>
      <c r="B6800" t="s">
        <v>2931</v>
      </c>
      <c r="C6800">
        <v>10119</v>
      </c>
      <c r="D6800" t="str">
        <f>"2560717453  "</f>
        <v xml:space="preserve">2560717453  </v>
      </c>
      <c r="E6800" t="s">
        <v>277</v>
      </c>
      <c r="F6800" t="s">
        <v>279</v>
      </c>
      <c r="G6800">
        <v>303.77</v>
      </c>
      <c r="H6800">
        <v>250804</v>
      </c>
      <c r="I6800">
        <v>4520</v>
      </c>
      <c r="J6800" t="s">
        <v>280</v>
      </c>
      <c r="K6800">
        <v>2287.9</v>
      </c>
      <c r="L6800">
        <v>61.72</v>
      </c>
      <c r="M6800">
        <v>14912</v>
      </c>
      <c r="N6800" t="s">
        <v>80</v>
      </c>
      <c r="O6800">
        <v>250812</v>
      </c>
      <c r="P6800">
        <v>242.05</v>
      </c>
    </row>
    <row r="6801" spans="1:16" x14ac:dyDescent="0.25">
      <c r="A6801" t="s">
        <v>3296</v>
      </c>
      <c r="B6801" t="s">
        <v>2931</v>
      </c>
      <c r="C6801">
        <v>10119</v>
      </c>
      <c r="D6801" t="str">
        <f>"2560717453  "</f>
        <v xml:space="preserve">2560717453  </v>
      </c>
      <c r="E6801" t="s">
        <v>277</v>
      </c>
      <c r="F6801" t="s">
        <v>279</v>
      </c>
      <c r="G6801">
        <v>1366.4</v>
      </c>
      <c r="H6801">
        <v>250804</v>
      </c>
      <c r="I6801">
        <v>4520</v>
      </c>
      <c r="J6801" t="s">
        <v>280</v>
      </c>
      <c r="K6801">
        <v>2287.9</v>
      </c>
      <c r="L6801">
        <v>167.8</v>
      </c>
      <c r="M6801">
        <v>14912</v>
      </c>
      <c r="N6801" t="s">
        <v>80</v>
      </c>
      <c r="O6801">
        <v>250812</v>
      </c>
      <c r="P6801">
        <v>1198.5999999999999</v>
      </c>
    </row>
    <row r="6802" spans="1:16" x14ac:dyDescent="0.25">
      <c r="A6802" t="s">
        <v>3296</v>
      </c>
      <c r="B6802" t="s">
        <v>2931</v>
      </c>
      <c r="C6802">
        <v>10130</v>
      </c>
      <c r="D6802" t="str">
        <f>"2560682993  "</f>
        <v xml:space="preserve">2560682993  </v>
      </c>
      <c r="E6802" t="s">
        <v>277</v>
      </c>
      <c r="F6802" t="s">
        <v>279</v>
      </c>
      <c r="G6802">
        <v>647.03</v>
      </c>
      <c r="H6802">
        <v>250731</v>
      </c>
      <c r="I6802">
        <v>4520</v>
      </c>
      <c r="J6802" t="s">
        <v>280</v>
      </c>
      <c r="K6802">
        <v>752.68</v>
      </c>
      <c r="L6802">
        <v>79.459999999999994</v>
      </c>
      <c r="M6802">
        <v>69112</v>
      </c>
      <c r="N6802" t="s">
        <v>227</v>
      </c>
      <c r="O6802">
        <v>250812</v>
      </c>
      <c r="P6802">
        <v>567.57000000000005</v>
      </c>
    </row>
    <row r="6803" spans="1:16" x14ac:dyDescent="0.25">
      <c r="A6803" t="s">
        <v>3296</v>
      </c>
      <c r="B6803" t="s">
        <v>2931</v>
      </c>
      <c r="C6803">
        <v>10130</v>
      </c>
      <c r="D6803" t="str">
        <f>"2560682993  "</f>
        <v xml:space="preserve">2560682993  </v>
      </c>
      <c r="E6803" t="s">
        <v>277</v>
      </c>
      <c r="F6803" t="s">
        <v>279</v>
      </c>
      <c r="G6803">
        <v>35.950000000000003</v>
      </c>
      <c r="H6803">
        <v>250731</v>
      </c>
      <c r="I6803">
        <v>4520</v>
      </c>
      <c r="J6803" t="s">
        <v>280</v>
      </c>
      <c r="K6803">
        <v>752.68</v>
      </c>
      <c r="L6803">
        <v>4.41</v>
      </c>
      <c r="M6803">
        <v>69810</v>
      </c>
      <c r="N6803" t="s">
        <v>229</v>
      </c>
      <c r="O6803">
        <v>250812</v>
      </c>
      <c r="P6803">
        <v>31.54</v>
      </c>
    </row>
    <row r="6804" spans="1:16" x14ac:dyDescent="0.25">
      <c r="A6804" t="s">
        <v>3296</v>
      </c>
      <c r="B6804" t="s">
        <v>2931</v>
      </c>
      <c r="C6804">
        <v>10130</v>
      </c>
      <c r="D6804" t="str">
        <f>"2560682993  "</f>
        <v xml:space="preserve">2560682993  </v>
      </c>
      <c r="E6804" t="s">
        <v>277</v>
      </c>
      <c r="F6804" t="s">
        <v>279</v>
      </c>
      <c r="G6804">
        <v>35.94</v>
      </c>
      <c r="H6804">
        <v>250731</v>
      </c>
      <c r="I6804">
        <v>4520</v>
      </c>
      <c r="J6804" t="s">
        <v>280</v>
      </c>
      <c r="K6804">
        <v>752.68</v>
      </c>
      <c r="L6804">
        <v>4.41</v>
      </c>
      <c r="M6804">
        <v>69811</v>
      </c>
      <c r="N6804" t="s">
        <v>230</v>
      </c>
      <c r="O6804">
        <v>250812</v>
      </c>
      <c r="P6804">
        <v>31.53</v>
      </c>
    </row>
    <row r="6805" spans="1:16" x14ac:dyDescent="0.25">
      <c r="A6805" t="s">
        <v>3296</v>
      </c>
      <c r="B6805" t="s">
        <v>2931</v>
      </c>
      <c r="C6805">
        <v>10286</v>
      </c>
      <c r="D6805" t="str">
        <f>"2560733811  "</f>
        <v xml:space="preserve">2560733811  </v>
      </c>
      <c r="E6805" t="s">
        <v>277</v>
      </c>
      <c r="F6805" t="s">
        <v>279</v>
      </c>
      <c r="G6805">
        <v>1513.42</v>
      </c>
      <c r="H6805">
        <v>250811</v>
      </c>
      <c r="I6805">
        <v>4520</v>
      </c>
      <c r="J6805" t="s">
        <v>280</v>
      </c>
      <c r="K6805">
        <v>1872.82</v>
      </c>
      <c r="L6805">
        <v>185.86</v>
      </c>
      <c r="M6805">
        <v>69113</v>
      </c>
      <c r="N6805" t="s">
        <v>122</v>
      </c>
      <c r="O6805">
        <v>250813</v>
      </c>
      <c r="P6805">
        <v>1327.56</v>
      </c>
    </row>
    <row r="6806" spans="1:16" x14ac:dyDescent="0.25">
      <c r="A6806" t="s">
        <v>3296</v>
      </c>
      <c r="B6806" t="s">
        <v>2931</v>
      </c>
      <c r="C6806">
        <v>10286</v>
      </c>
      <c r="D6806" t="str">
        <f>"2560733811  "</f>
        <v xml:space="preserve">2560733811  </v>
      </c>
      <c r="E6806" t="s">
        <v>277</v>
      </c>
      <c r="F6806" t="s">
        <v>279</v>
      </c>
      <c r="G6806">
        <v>178.05</v>
      </c>
      <c r="H6806">
        <v>250811</v>
      </c>
      <c r="I6806">
        <v>4520</v>
      </c>
      <c r="J6806" t="s">
        <v>280</v>
      </c>
      <c r="K6806">
        <v>1872.82</v>
      </c>
      <c r="L6806">
        <v>21.87</v>
      </c>
      <c r="M6806">
        <v>69802</v>
      </c>
      <c r="N6806" t="s">
        <v>375</v>
      </c>
      <c r="O6806">
        <v>250813</v>
      </c>
      <c r="P6806">
        <v>156.18</v>
      </c>
    </row>
    <row r="6807" spans="1:16" x14ac:dyDescent="0.25">
      <c r="A6807" t="s">
        <v>3296</v>
      </c>
      <c r="B6807" t="s">
        <v>2931</v>
      </c>
      <c r="C6807">
        <v>10286</v>
      </c>
      <c r="D6807" t="str">
        <f>"2560733811  "</f>
        <v xml:space="preserve">2560733811  </v>
      </c>
      <c r="E6807" t="s">
        <v>277</v>
      </c>
      <c r="F6807" t="s">
        <v>279</v>
      </c>
      <c r="G6807">
        <v>89.02</v>
      </c>
      <c r="H6807">
        <v>250811</v>
      </c>
      <c r="I6807">
        <v>4520</v>
      </c>
      <c r="J6807" t="s">
        <v>280</v>
      </c>
      <c r="K6807">
        <v>1872.82</v>
      </c>
      <c r="L6807">
        <v>10.93</v>
      </c>
      <c r="M6807">
        <v>69804</v>
      </c>
      <c r="N6807" t="s">
        <v>376</v>
      </c>
      <c r="O6807">
        <v>250813</v>
      </c>
      <c r="P6807">
        <v>78.09</v>
      </c>
    </row>
    <row r="6808" spans="1:16" x14ac:dyDescent="0.25">
      <c r="A6808" t="s">
        <v>3296</v>
      </c>
      <c r="B6808" t="s">
        <v>2931</v>
      </c>
      <c r="C6808">
        <v>10321</v>
      </c>
      <c r="D6808" t="str">
        <f>"2560717448  "</f>
        <v xml:space="preserve">2560717448  </v>
      </c>
      <c r="E6808" t="s">
        <v>277</v>
      </c>
      <c r="F6808" t="s">
        <v>279</v>
      </c>
      <c r="G6808">
        <v>234.75</v>
      </c>
      <c r="H6808">
        <v>250804</v>
      </c>
      <c r="I6808">
        <v>4520</v>
      </c>
      <c r="J6808" t="s">
        <v>280</v>
      </c>
      <c r="K6808">
        <v>234.75</v>
      </c>
      <c r="L6808">
        <v>28.83</v>
      </c>
      <c r="M6808">
        <v>59113</v>
      </c>
      <c r="N6808" t="s">
        <v>61</v>
      </c>
      <c r="O6808">
        <v>250814</v>
      </c>
      <c r="P6808">
        <v>205.92</v>
      </c>
    </row>
    <row r="6809" spans="1:16" x14ac:dyDescent="0.25">
      <c r="A6809" t="s">
        <v>3296</v>
      </c>
      <c r="B6809" t="s">
        <v>2931</v>
      </c>
      <c r="C6809">
        <v>10323</v>
      </c>
      <c r="D6809" t="str">
        <f>"2560733808  "</f>
        <v xml:space="preserve">2560733808  </v>
      </c>
      <c r="E6809" t="s">
        <v>277</v>
      </c>
      <c r="F6809" t="s">
        <v>279</v>
      </c>
      <c r="G6809">
        <v>1297.06</v>
      </c>
      <c r="H6809">
        <v>250811</v>
      </c>
      <c r="I6809">
        <v>4520</v>
      </c>
      <c r="J6809" t="s">
        <v>280</v>
      </c>
      <c r="K6809">
        <v>1372.85</v>
      </c>
      <c r="L6809">
        <v>159.29</v>
      </c>
      <c r="M6809">
        <v>59114</v>
      </c>
      <c r="N6809" t="s">
        <v>299</v>
      </c>
      <c r="O6809">
        <v>250814</v>
      </c>
      <c r="P6809">
        <v>1137.77</v>
      </c>
    </row>
    <row r="6810" spans="1:16" x14ac:dyDescent="0.25">
      <c r="A6810" t="s">
        <v>3296</v>
      </c>
      <c r="B6810" t="s">
        <v>2931</v>
      </c>
      <c r="C6810">
        <v>10428</v>
      </c>
      <c r="D6810" t="str">
        <f>"2560733814  "</f>
        <v xml:space="preserve">2560733814  </v>
      </c>
      <c r="E6810" t="s">
        <v>277</v>
      </c>
      <c r="F6810" t="s">
        <v>279</v>
      </c>
      <c r="G6810">
        <v>385.46</v>
      </c>
      <c r="H6810">
        <v>250811</v>
      </c>
      <c r="I6810">
        <v>4520</v>
      </c>
      <c r="J6810" t="s">
        <v>280</v>
      </c>
      <c r="K6810">
        <v>2881.72</v>
      </c>
      <c r="L6810">
        <v>47.34</v>
      </c>
      <c r="M6810">
        <v>16442</v>
      </c>
      <c r="N6810" t="s">
        <v>304</v>
      </c>
      <c r="O6810">
        <v>250819</v>
      </c>
      <c r="P6810">
        <v>338.12</v>
      </c>
    </row>
    <row r="6811" spans="1:16" x14ac:dyDescent="0.25">
      <c r="A6811" t="s">
        <v>3296</v>
      </c>
      <c r="B6811" t="s">
        <v>2931</v>
      </c>
      <c r="C6811">
        <v>10428</v>
      </c>
      <c r="D6811" t="str">
        <f>"2560733814  "</f>
        <v xml:space="preserve">2560733814  </v>
      </c>
      <c r="E6811" t="s">
        <v>277</v>
      </c>
      <c r="F6811" t="s">
        <v>279</v>
      </c>
      <c r="G6811">
        <v>71.290000000000006</v>
      </c>
      <c r="H6811">
        <v>250811</v>
      </c>
      <c r="I6811">
        <v>4520</v>
      </c>
      <c r="J6811" t="s">
        <v>280</v>
      </c>
      <c r="K6811">
        <v>2881.72</v>
      </c>
      <c r="L6811">
        <v>14.49</v>
      </c>
      <c r="M6811">
        <v>17913</v>
      </c>
      <c r="N6811" t="s">
        <v>26</v>
      </c>
      <c r="O6811">
        <v>250819</v>
      </c>
      <c r="P6811">
        <v>56.8</v>
      </c>
    </row>
    <row r="6812" spans="1:16" x14ac:dyDescent="0.25">
      <c r="A6812" t="s">
        <v>3296</v>
      </c>
      <c r="B6812" t="s">
        <v>2931</v>
      </c>
      <c r="C6812">
        <v>10428</v>
      </c>
      <c r="D6812" t="str">
        <f>"2560733814  "</f>
        <v xml:space="preserve">2560733814  </v>
      </c>
      <c r="E6812" t="s">
        <v>277</v>
      </c>
      <c r="F6812" t="s">
        <v>279</v>
      </c>
      <c r="G6812">
        <v>1778.05</v>
      </c>
      <c r="H6812">
        <v>250811</v>
      </c>
      <c r="I6812">
        <v>4520</v>
      </c>
      <c r="J6812" t="s">
        <v>280</v>
      </c>
      <c r="K6812">
        <v>2881.72</v>
      </c>
      <c r="L6812">
        <v>218.36</v>
      </c>
      <c r="M6812">
        <v>17913</v>
      </c>
      <c r="N6812" t="s">
        <v>26</v>
      </c>
      <c r="O6812">
        <v>250819</v>
      </c>
      <c r="P6812">
        <v>1559.69</v>
      </c>
    </row>
    <row r="6813" spans="1:16" x14ac:dyDescent="0.25">
      <c r="A6813" t="s">
        <v>3296</v>
      </c>
      <c r="B6813" t="s">
        <v>2931</v>
      </c>
      <c r="C6813">
        <v>10428</v>
      </c>
      <c r="D6813" t="str">
        <f>"2560733814  "</f>
        <v xml:space="preserve">2560733814  </v>
      </c>
      <c r="E6813" t="s">
        <v>277</v>
      </c>
      <c r="F6813" t="s">
        <v>279</v>
      </c>
      <c r="G6813">
        <v>288.17</v>
      </c>
      <c r="H6813">
        <v>250811</v>
      </c>
      <c r="I6813">
        <v>4520</v>
      </c>
      <c r="J6813" t="s">
        <v>280</v>
      </c>
      <c r="K6813">
        <v>2881.72</v>
      </c>
      <c r="L6813">
        <v>35.39</v>
      </c>
      <c r="M6813">
        <v>17982</v>
      </c>
      <c r="N6813" t="s">
        <v>281</v>
      </c>
      <c r="O6813">
        <v>250819</v>
      </c>
      <c r="P6813">
        <v>252.78</v>
      </c>
    </row>
    <row r="6814" spans="1:16" x14ac:dyDescent="0.25">
      <c r="A6814" t="s">
        <v>3296</v>
      </c>
      <c r="B6814" t="s">
        <v>2931</v>
      </c>
      <c r="C6814">
        <v>10432</v>
      </c>
      <c r="D6814" t="str">
        <f>"2560733818  "</f>
        <v xml:space="preserve">2560733818  </v>
      </c>
      <c r="E6814" t="s">
        <v>277</v>
      </c>
      <c r="F6814" t="s">
        <v>279</v>
      </c>
      <c r="G6814">
        <v>35.340000000000003</v>
      </c>
      <c r="H6814">
        <v>250811</v>
      </c>
      <c r="I6814">
        <v>4520</v>
      </c>
      <c r="J6814" t="s">
        <v>280</v>
      </c>
      <c r="K6814">
        <v>377</v>
      </c>
      <c r="L6814">
        <v>7.18</v>
      </c>
      <c r="M6814">
        <v>13940</v>
      </c>
      <c r="N6814" t="s">
        <v>14</v>
      </c>
      <c r="O6814">
        <v>250819</v>
      </c>
      <c r="P6814">
        <v>28.16</v>
      </c>
    </row>
    <row r="6815" spans="1:16" x14ac:dyDescent="0.25">
      <c r="A6815" t="s">
        <v>3296</v>
      </c>
      <c r="B6815" t="s">
        <v>2931</v>
      </c>
      <c r="C6815">
        <v>10432</v>
      </c>
      <c r="D6815" t="str">
        <f>"2560733818  "</f>
        <v xml:space="preserve">2560733818  </v>
      </c>
      <c r="E6815" t="s">
        <v>277</v>
      </c>
      <c r="F6815" t="s">
        <v>279</v>
      </c>
      <c r="G6815">
        <v>341.66</v>
      </c>
      <c r="H6815">
        <v>250811</v>
      </c>
      <c r="I6815">
        <v>4520</v>
      </c>
      <c r="J6815" t="s">
        <v>280</v>
      </c>
      <c r="K6815">
        <v>377</v>
      </c>
      <c r="L6815">
        <v>41.96</v>
      </c>
      <c r="M6815">
        <v>13940</v>
      </c>
      <c r="N6815" t="s">
        <v>14</v>
      </c>
      <c r="O6815">
        <v>250819</v>
      </c>
      <c r="P6815">
        <v>299.7</v>
      </c>
    </row>
    <row r="6816" spans="1:16" x14ac:dyDescent="0.25">
      <c r="A6816" t="s">
        <v>3296</v>
      </c>
      <c r="B6816" t="s">
        <v>2931</v>
      </c>
      <c r="C6816">
        <v>10434</v>
      </c>
      <c r="D6816" t="str">
        <f>"2560733813  "</f>
        <v xml:space="preserve">2560733813  </v>
      </c>
      <c r="E6816" t="s">
        <v>277</v>
      </c>
      <c r="F6816" t="s">
        <v>279</v>
      </c>
      <c r="G6816">
        <v>22.62</v>
      </c>
      <c r="H6816">
        <v>250811</v>
      </c>
      <c r="I6816">
        <v>4520</v>
      </c>
      <c r="J6816" t="s">
        <v>280</v>
      </c>
      <c r="K6816">
        <v>537.24</v>
      </c>
      <c r="L6816">
        <v>4.5999999999999996</v>
      </c>
      <c r="M6816">
        <v>17915</v>
      </c>
      <c r="N6816" t="s">
        <v>305</v>
      </c>
      <c r="O6816">
        <v>250819</v>
      </c>
      <c r="P6816">
        <v>18.02</v>
      </c>
    </row>
    <row r="6817" spans="1:16" x14ac:dyDescent="0.25">
      <c r="A6817" t="s">
        <v>3296</v>
      </c>
      <c r="B6817" t="s">
        <v>2931</v>
      </c>
      <c r="C6817">
        <v>10434</v>
      </c>
      <c r="D6817" t="str">
        <f>"2560733813  "</f>
        <v xml:space="preserve">2560733813  </v>
      </c>
      <c r="E6817" t="s">
        <v>277</v>
      </c>
      <c r="F6817" t="s">
        <v>279</v>
      </c>
      <c r="G6817">
        <v>460.9</v>
      </c>
      <c r="H6817">
        <v>250811</v>
      </c>
      <c r="I6817">
        <v>4520</v>
      </c>
      <c r="J6817" t="s">
        <v>280</v>
      </c>
      <c r="K6817">
        <v>537.24</v>
      </c>
      <c r="L6817">
        <v>56.6</v>
      </c>
      <c r="M6817">
        <v>17915</v>
      </c>
      <c r="N6817" t="s">
        <v>305</v>
      </c>
      <c r="O6817">
        <v>250819</v>
      </c>
      <c r="P6817">
        <v>404.3</v>
      </c>
    </row>
    <row r="6818" spans="1:16" x14ac:dyDescent="0.25">
      <c r="A6818" t="s">
        <v>3296</v>
      </c>
      <c r="B6818" t="s">
        <v>2931</v>
      </c>
      <c r="C6818">
        <v>10434</v>
      </c>
      <c r="D6818" t="str">
        <f>"2560733813  "</f>
        <v xml:space="preserve">2560733813  </v>
      </c>
      <c r="E6818" t="s">
        <v>277</v>
      </c>
      <c r="F6818" t="s">
        <v>279</v>
      </c>
      <c r="G6818">
        <v>53.72</v>
      </c>
      <c r="H6818">
        <v>250811</v>
      </c>
      <c r="I6818">
        <v>4520</v>
      </c>
      <c r="J6818" t="s">
        <v>280</v>
      </c>
      <c r="K6818">
        <v>537.24</v>
      </c>
      <c r="L6818">
        <v>6.6</v>
      </c>
      <c r="M6818">
        <v>17982</v>
      </c>
      <c r="N6818" t="s">
        <v>281</v>
      </c>
      <c r="O6818">
        <v>250819</v>
      </c>
      <c r="P6818">
        <v>47.12</v>
      </c>
    </row>
    <row r="6819" spans="1:16" x14ac:dyDescent="0.25">
      <c r="A6819" t="s">
        <v>3296</v>
      </c>
      <c r="B6819" t="s">
        <v>2931</v>
      </c>
      <c r="C6819">
        <v>10435</v>
      </c>
      <c r="D6819" t="str">
        <f>"2560733810  "</f>
        <v xml:space="preserve">2560733810  </v>
      </c>
      <c r="E6819" t="s">
        <v>277</v>
      </c>
      <c r="F6819" t="s">
        <v>279</v>
      </c>
      <c r="G6819">
        <v>2404.0100000000002</v>
      </c>
      <c r="H6819">
        <v>250811</v>
      </c>
      <c r="I6819">
        <v>4520</v>
      </c>
      <c r="J6819" t="s">
        <v>280</v>
      </c>
      <c r="K6819">
        <v>3311.21</v>
      </c>
      <c r="L6819">
        <v>295.23</v>
      </c>
      <c r="M6819">
        <v>59113</v>
      </c>
      <c r="N6819" t="s">
        <v>61</v>
      </c>
      <c r="O6819">
        <v>250819</v>
      </c>
      <c r="P6819">
        <v>2108.7800000000002</v>
      </c>
    </row>
    <row r="6820" spans="1:16" x14ac:dyDescent="0.25">
      <c r="A6820" t="s">
        <v>3296</v>
      </c>
      <c r="B6820" t="s">
        <v>2931</v>
      </c>
      <c r="C6820">
        <v>10435</v>
      </c>
      <c r="D6820" t="str">
        <f>"2560733810  "</f>
        <v xml:space="preserve">2560733810  </v>
      </c>
      <c r="E6820" t="s">
        <v>277</v>
      </c>
      <c r="F6820" t="s">
        <v>279</v>
      </c>
      <c r="G6820">
        <v>424.24</v>
      </c>
      <c r="H6820">
        <v>250811</v>
      </c>
      <c r="I6820">
        <v>4520</v>
      </c>
      <c r="J6820" t="s">
        <v>280</v>
      </c>
      <c r="K6820">
        <v>3311.21</v>
      </c>
      <c r="L6820">
        <v>52.1</v>
      </c>
      <c r="M6820">
        <v>59803</v>
      </c>
      <c r="N6820" t="s">
        <v>282</v>
      </c>
      <c r="O6820">
        <v>250819</v>
      </c>
      <c r="P6820">
        <v>372.14</v>
      </c>
    </row>
    <row r="6821" spans="1:16" x14ac:dyDescent="0.25">
      <c r="A6821" t="s">
        <v>3296</v>
      </c>
      <c r="B6821" t="s">
        <v>2931</v>
      </c>
      <c r="C6821">
        <v>10436</v>
      </c>
      <c r="D6821" t="str">
        <f>"2560733815  "</f>
        <v xml:space="preserve">2560733815  </v>
      </c>
      <c r="E6821" t="s">
        <v>277</v>
      </c>
      <c r="F6821" t="s">
        <v>279</v>
      </c>
      <c r="G6821">
        <v>920.97</v>
      </c>
      <c r="H6821">
        <v>250811</v>
      </c>
      <c r="I6821">
        <v>4520</v>
      </c>
      <c r="J6821" t="s">
        <v>280</v>
      </c>
      <c r="K6821">
        <v>12160.94</v>
      </c>
      <c r="L6821">
        <v>187.13</v>
      </c>
      <c r="M6821">
        <v>14432</v>
      </c>
      <c r="N6821" t="s">
        <v>75</v>
      </c>
      <c r="O6821">
        <v>250819</v>
      </c>
      <c r="P6821">
        <v>733.84</v>
      </c>
    </row>
    <row r="6822" spans="1:16" x14ac:dyDescent="0.25">
      <c r="A6822" t="s">
        <v>3296</v>
      </c>
      <c r="B6822" t="s">
        <v>2931</v>
      </c>
      <c r="C6822">
        <v>10436</v>
      </c>
      <c r="D6822" t="str">
        <f>"2560733815  "</f>
        <v xml:space="preserve">2560733815  </v>
      </c>
      <c r="E6822" t="s">
        <v>277</v>
      </c>
      <c r="F6822" t="s">
        <v>279</v>
      </c>
      <c r="G6822">
        <v>2362.48</v>
      </c>
      <c r="H6822">
        <v>250811</v>
      </c>
      <c r="I6822">
        <v>4520</v>
      </c>
      <c r="J6822" t="s">
        <v>280</v>
      </c>
      <c r="K6822">
        <v>12160.94</v>
      </c>
      <c r="L6822">
        <v>290.13</v>
      </c>
      <c r="M6822">
        <v>14432</v>
      </c>
      <c r="N6822" t="s">
        <v>75</v>
      </c>
      <c r="O6822">
        <v>250819</v>
      </c>
      <c r="P6822">
        <v>2072.35</v>
      </c>
    </row>
    <row r="6823" spans="1:16" x14ac:dyDescent="0.25">
      <c r="A6823" t="s">
        <v>3296</v>
      </c>
      <c r="B6823" t="s">
        <v>2931</v>
      </c>
      <c r="C6823">
        <v>10436</v>
      </c>
      <c r="D6823" t="str">
        <f>"2560733815  "</f>
        <v xml:space="preserve">2560733815  </v>
      </c>
      <c r="E6823" t="s">
        <v>277</v>
      </c>
      <c r="F6823" t="s">
        <v>279</v>
      </c>
      <c r="G6823">
        <v>2490.0300000000002</v>
      </c>
      <c r="H6823">
        <v>250811</v>
      </c>
      <c r="I6823">
        <v>4520</v>
      </c>
      <c r="J6823" t="s">
        <v>280</v>
      </c>
      <c r="K6823">
        <v>12160.94</v>
      </c>
      <c r="L6823">
        <v>505.94</v>
      </c>
      <c r="M6823">
        <v>14912</v>
      </c>
      <c r="N6823" t="s">
        <v>80</v>
      </c>
      <c r="O6823">
        <v>250819</v>
      </c>
      <c r="P6823">
        <v>1984.09</v>
      </c>
    </row>
    <row r="6824" spans="1:16" x14ac:dyDescent="0.25">
      <c r="A6824" t="s">
        <v>3296</v>
      </c>
      <c r="B6824" t="s">
        <v>2931</v>
      </c>
      <c r="C6824">
        <v>10436</v>
      </c>
      <c r="D6824" t="str">
        <f>"2560733815  "</f>
        <v xml:space="preserve">2560733815  </v>
      </c>
      <c r="E6824" t="s">
        <v>277</v>
      </c>
      <c r="F6824" t="s">
        <v>279</v>
      </c>
      <c r="G6824">
        <v>6387.46</v>
      </c>
      <c r="H6824">
        <v>250811</v>
      </c>
      <c r="I6824">
        <v>4520</v>
      </c>
      <c r="J6824" t="s">
        <v>280</v>
      </c>
      <c r="K6824">
        <v>12160.94</v>
      </c>
      <c r="L6824">
        <v>784.42</v>
      </c>
      <c r="M6824">
        <v>14912</v>
      </c>
      <c r="N6824" t="s">
        <v>80</v>
      </c>
      <c r="O6824">
        <v>250819</v>
      </c>
      <c r="P6824">
        <v>5603.04</v>
      </c>
    </row>
    <row r="6825" spans="1:16" x14ac:dyDescent="0.25">
      <c r="A6825" t="s">
        <v>3296</v>
      </c>
      <c r="B6825" t="s">
        <v>2931</v>
      </c>
      <c r="C6825">
        <v>10440</v>
      </c>
      <c r="D6825" t="str">
        <f>"2560733809  "</f>
        <v xml:space="preserve">2560733809  </v>
      </c>
      <c r="E6825" t="s">
        <v>277</v>
      </c>
      <c r="F6825" t="s">
        <v>279</v>
      </c>
      <c r="G6825">
        <v>3030.53</v>
      </c>
      <c r="H6825">
        <v>250811</v>
      </c>
      <c r="I6825">
        <v>4520</v>
      </c>
      <c r="J6825" t="s">
        <v>280</v>
      </c>
      <c r="K6825">
        <v>3398.41</v>
      </c>
      <c r="L6825">
        <v>372.17</v>
      </c>
      <c r="M6825">
        <v>54422</v>
      </c>
      <c r="N6825" t="s">
        <v>49</v>
      </c>
      <c r="O6825">
        <v>250819</v>
      </c>
      <c r="P6825">
        <v>2658.36</v>
      </c>
    </row>
    <row r="6826" spans="1:16" x14ac:dyDescent="0.25">
      <c r="A6826" t="s">
        <v>3296</v>
      </c>
      <c r="B6826" t="s">
        <v>2931</v>
      </c>
      <c r="C6826">
        <v>10545</v>
      </c>
      <c r="D6826" t="str">
        <f>"2560733816  "</f>
        <v xml:space="preserve">2560733816  </v>
      </c>
      <c r="E6826" t="s">
        <v>277</v>
      </c>
      <c r="F6826" t="s">
        <v>279</v>
      </c>
      <c r="G6826">
        <v>565.36</v>
      </c>
      <c r="H6826">
        <v>250811</v>
      </c>
      <c r="I6826">
        <v>4520</v>
      </c>
      <c r="J6826" t="s">
        <v>280</v>
      </c>
      <c r="K6826">
        <v>669.37</v>
      </c>
      <c r="L6826">
        <v>69.430000000000007</v>
      </c>
      <c r="M6826">
        <v>44253</v>
      </c>
      <c r="N6826" t="s">
        <v>403</v>
      </c>
      <c r="O6826">
        <v>250820</v>
      </c>
      <c r="P6826">
        <v>495.93</v>
      </c>
    </row>
    <row r="6827" spans="1:16" x14ac:dyDescent="0.25">
      <c r="A6827" t="s">
        <v>3296</v>
      </c>
      <c r="B6827" t="s">
        <v>2931</v>
      </c>
      <c r="C6827">
        <v>10552</v>
      </c>
      <c r="D6827" t="str">
        <f>"2560754434  "</f>
        <v xml:space="preserve">2560754434  </v>
      </c>
      <c r="E6827" t="s">
        <v>277</v>
      </c>
      <c r="F6827" t="s">
        <v>279</v>
      </c>
      <c r="G6827">
        <v>307.77999999999997</v>
      </c>
      <c r="H6827">
        <v>250818</v>
      </c>
      <c r="I6827">
        <v>4520</v>
      </c>
      <c r="J6827" t="s">
        <v>280</v>
      </c>
      <c r="K6827">
        <v>1035.58</v>
      </c>
      <c r="L6827">
        <v>37.799999999999997</v>
      </c>
      <c r="M6827">
        <v>44222</v>
      </c>
      <c r="N6827" t="s">
        <v>96</v>
      </c>
      <c r="O6827">
        <v>250820</v>
      </c>
      <c r="P6827">
        <v>269.98</v>
      </c>
    </row>
    <row r="6828" spans="1:16" x14ac:dyDescent="0.25">
      <c r="A6828" t="s">
        <v>3296</v>
      </c>
      <c r="B6828" t="s">
        <v>2931</v>
      </c>
      <c r="C6828">
        <v>10552</v>
      </c>
      <c r="D6828" t="str">
        <f>"2560754434  "</f>
        <v xml:space="preserve">2560754434  </v>
      </c>
      <c r="E6828" t="s">
        <v>277</v>
      </c>
      <c r="F6828" t="s">
        <v>279</v>
      </c>
      <c r="G6828">
        <v>712.2</v>
      </c>
      <c r="H6828">
        <v>250818</v>
      </c>
      <c r="I6828">
        <v>4520</v>
      </c>
      <c r="J6828" t="s">
        <v>280</v>
      </c>
      <c r="K6828">
        <v>1035.58</v>
      </c>
      <c r="L6828">
        <v>87.46</v>
      </c>
      <c r="M6828">
        <v>44253</v>
      </c>
      <c r="N6828" t="s">
        <v>403</v>
      </c>
      <c r="O6828">
        <v>250820</v>
      </c>
      <c r="P6828">
        <v>624.74</v>
      </c>
    </row>
    <row r="6829" spans="1:16" x14ac:dyDescent="0.25">
      <c r="A6829" t="s">
        <v>3296</v>
      </c>
      <c r="B6829" t="s">
        <v>2931</v>
      </c>
      <c r="C6829">
        <v>10567</v>
      </c>
      <c r="D6829" t="str">
        <f>"2560754428  "</f>
        <v xml:space="preserve">2560754428  </v>
      </c>
      <c r="E6829" t="s">
        <v>277</v>
      </c>
      <c r="F6829" t="s">
        <v>279</v>
      </c>
      <c r="G6829">
        <v>1979.67</v>
      </c>
      <c r="H6829">
        <v>250818</v>
      </c>
      <c r="I6829">
        <v>4520</v>
      </c>
      <c r="J6829" t="s">
        <v>280</v>
      </c>
      <c r="K6829">
        <v>2317.67</v>
      </c>
      <c r="L6829">
        <v>243.12</v>
      </c>
      <c r="M6829">
        <v>69113</v>
      </c>
      <c r="N6829" t="s">
        <v>122</v>
      </c>
      <c r="O6829">
        <v>250820</v>
      </c>
      <c r="P6829">
        <v>1736.55</v>
      </c>
    </row>
    <row r="6830" spans="1:16" x14ac:dyDescent="0.25">
      <c r="A6830" t="s">
        <v>3296</v>
      </c>
      <c r="B6830" t="s">
        <v>2931</v>
      </c>
      <c r="C6830">
        <v>10567</v>
      </c>
      <c r="D6830" t="str">
        <f>"2560754428  "</f>
        <v xml:space="preserve">2560754428  </v>
      </c>
      <c r="E6830" t="s">
        <v>277</v>
      </c>
      <c r="F6830" t="s">
        <v>279</v>
      </c>
      <c r="G6830">
        <v>232.9</v>
      </c>
      <c r="H6830">
        <v>250818</v>
      </c>
      <c r="I6830">
        <v>4520</v>
      </c>
      <c r="J6830" t="s">
        <v>280</v>
      </c>
      <c r="K6830">
        <v>2317.67</v>
      </c>
      <c r="L6830">
        <v>28.6</v>
      </c>
      <c r="M6830">
        <v>69802</v>
      </c>
      <c r="N6830" t="s">
        <v>375</v>
      </c>
      <c r="O6830">
        <v>250820</v>
      </c>
      <c r="P6830">
        <v>204.3</v>
      </c>
    </row>
    <row r="6831" spans="1:16" x14ac:dyDescent="0.25">
      <c r="A6831" t="s">
        <v>3296</v>
      </c>
      <c r="B6831" t="s">
        <v>2931</v>
      </c>
      <c r="C6831">
        <v>10567</v>
      </c>
      <c r="D6831" t="str">
        <f>"2560754428  "</f>
        <v xml:space="preserve">2560754428  </v>
      </c>
      <c r="E6831" t="s">
        <v>277</v>
      </c>
      <c r="F6831" t="s">
        <v>279</v>
      </c>
      <c r="G6831">
        <v>116.45</v>
      </c>
      <c r="H6831">
        <v>250818</v>
      </c>
      <c r="I6831">
        <v>4520</v>
      </c>
      <c r="J6831" t="s">
        <v>280</v>
      </c>
      <c r="K6831">
        <v>2317.67</v>
      </c>
      <c r="L6831">
        <v>14.3</v>
      </c>
      <c r="M6831">
        <v>69804</v>
      </c>
      <c r="N6831" t="s">
        <v>376</v>
      </c>
      <c r="O6831">
        <v>250820</v>
      </c>
      <c r="P6831">
        <v>102.15</v>
      </c>
    </row>
    <row r="6832" spans="1:16" x14ac:dyDescent="0.25">
      <c r="A6832" t="s">
        <v>3296</v>
      </c>
      <c r="B6832" t="s">
        <v>2931</v>
      </c>
      <c r="C6832">
        <v>10630</v>
      </c>
      <c r="D6832" t="str">
        <f>"2560754425  "</f>
        <v xml:space="preserve">2560754425  </v>
      </c>
      <c r="E6832" t="s">
        <v>277</v>
      </c>
      <c r="F6832" t="s">
        <v>279</v>
      </c>
      <c r="G6832">
        <v>819.88</v>
      </c>
      <c r="H6832">
        <v>250818</v>
      </c>
      <c r="I6832">
        <v>4520</v>
      </c>
      <c r="J6832" t="s">
        <v>280</v>
      </c>
      <c r="K6832">
        <v>935.63</v>
      </c>
      <c r="L6832">
        <v>100.69</v>
      </c>
      <c r="M6832">
        <v>59114</v>
      </c>
      <c r="N6832" t="s">
        <v>299</v>
      </c>
      <c r="O6832">
        <v>250821</v>
      </c>
      <c r="P6832">
        <v>719.19</v>
      </c>
    </row>
    <row r="6833" spans="1:16" x14ac:dyDescent="0.25">
      <c r="A6833" t="s">
        <v>3296</v>
      </c>
      <c r="B6833" t="s">
        <v>2931</v>
      </c>
      <c r="C6833">
        <v>10630</v>
      </c>
      <c r="D6833" t="str">
        <f>"2560754425  "</f>
        <v xml:space="preserve">2560754425  </v>
      </c>
      <c r="E6833" t="s">
        <v>277</v>
      </c>
      <c r="F6833" t="s">
        <v>279</v>
      </c>
      <c r="G6833">
        <v>91.1</v>
      </c>
      <c r="H6833">
        <v>250818</v>
      </c>
      <c r="I6833">
        <v>4520</v>
      </c>
      <c r="J6833" t="s">
        <v>280</v>
      </c>
      <c r="K6833">
        <v>935.63</v>
      </c>
      <c r="L6833">
        <v>11.19</v>
      </c>
      <c r="M6833">
        <v>59808</v>
      </c>
      <c r="N6833" t="s">
        <v>699</v>
      </c>
      <c r="O6833">
        <v>250821</v>
      </c>
      <c r="P6833">
        <v>79.91</v>
      </c>
    </row>
    <row r="6834" spans="1:16" x14ac:dyDescent="0.25">
      <c r="A6834" t="s">
        <v>3296</v>
      </c>
      <c r="B6834" t="s">
        <v>2931</v>
      </c>
      <c r="C6834">
        <v>10631</v>
      </c>
      <c r="D6834" t="str">
        <f>"2560754427  "</f>
        <v xml:space="preserve">2560754427  </v>
      </c>
      <c r="E6834" t="s">
        <v>277</v>
      </c>
      <c r="F6834" t="s">
        <v>279</v>
      </c>
      <c r="G6834">
        <v>2256.34</v>
      </c>
      <c r="H6834">
        <v>250818</v>
      </c>
      <c r="I6834">
        <v>4520</v>
      </c>
      <c r="J6834" t="s">
        <v>280</v>
      </c>
      <c r="K6834">
        <v>4022.47</v>
      </c>
      <c r="L6834">
        <v>277.08999999999997</v>
      </c>
      <c r="M6834">
        <v>59113</v>
      </c>
      <c r="N6834" t="s">
        <v>61</v>
      </c>
      <c r="O6834">
        <v>250821</v>
      </c>
      <c r="P6834">
        <v>1979.25</v>
      </c>
    </row>
    <row r="6835" spans="1:16" x14ac:dyDescent="0.25">
      <c r="A6835" t="s">
        <v>3296</v>
      </c>
      <c r="B6835" t="s">
        <v>2931</v>
      </c>
      <c r="C6835">
        <v>10631</v>
      </c>
      <c r="D6835" t="str">
        <f>"2560754427  "</f>
        <v xml:space="preserve">2560754427  </v>
      </c>
      <c r="E6835" t="s">
        <v>277</v>
      </c>
      <c r="F6835" t="s">
        <v>279</v>
      </c>
      <c r="G6835">
        <v>398.18</v>
      </c>
      <c r="H6835">
        <v>250818</v>
      </c>
      <c r="I6835">
        <v>4520</v>
      </c>
      <c r="J6835" t="s">
        <v>280</v>
      </c>
      <c r="K6835">
        <v>4022.47</v>
      </c>
      <c r="L6835">
        <v>48.9</v>
      </c>
      <c r="M6835">
        <v>59803</v>
      </c>
      <c r="N6835" t="s">
        <v>282</v>
      </c>
      <c r="O6835">
        <v>250821</v>
      </c>
      <c r="P6835">
        <v>349.28</v>
      </c>
    </row>
    <row r="6836" spans="1:16" x14ac:dyDescent="0.25">
      <c r="A6836" t="s">
        <v>3296</v>
      </c>
      <c r="B6836" t="s">
        <v>2931</v>
      </c>
      <c r="C6836">
        <v>10813</v>
      </c>
      <c r="D6836" t="str">
        <f>"2560754426  "</f>
        <v xml:space="preserve">2560754426  </v>
      </c>
      <c r="E6836" t="s">
        <v>277</v>
      </c>
      <c r="F6836" t="s">
        <v>279</v>
      </c>
      <c r="G6836">
        <v>800</v>
      </c>
      <c r="H6836">
        <v>250818</v>
      </c>
      <c r="I6836">
        <v>4520</v>
      </c>
      <c r="J6836" t="s">
        <v>280</v>
      </c>
      <c r="K6836">
        <v>3092.77</v>
      </c>
      <c r="L6836">
        <v>98.25</v>
      </c>
      <c r="M6836">
        <v>54422</v>
      </c>
      <c r="N6836" t="s">
        <v>49</v>
      </c>
      <c r="O6836">
        <v>250825</v>
      </c>
      <c r="P6836">
        <v>701.75</v>
      </c>
    </row>
    <row r="6837" spans="1:16" x14ac:dyDescent="0.25">
      <c r="A6837" t="s">
        <v>3296</v>
      </c>
      <c r="B6837" t="s">
        <v>2931</v>
      </c>
      <c r="C6837">
        <v>10813</v>
      </c>
      <c r="D6837" t="str">
        <f>"2560754426  "</f>
        <v xml:space="preserve">2560754426  </v>
      </c>
      <c r="E6837" t="s">
        <v>277</v>
      </c>
      <c r="F6837" t="s">
        <v>279</v>
      </c>
      <c r="G6837">
        <v>2228.75</v>
      </c>
      <c r="H6837">
        <v>250818</v>
      </c>
      <c r="I6837">
        <v>4520</v>
      </c>
      <c r="J6837" t="s">
        <v>280</v>
      </c>
      <c r="K6837">
        <v>3092.77</v>
      </c>
      <c r="L6837">
        <v>273.70999999999998</v>
      </c>
      <c r="M6837">
        <v>54451</v>
      </c>
      <c r="N6837" t="s">
        <v>218</v>
      </c>
      <c r="O6837">
        <v>250825</v>
      </c>
      <c r="P6837">
        <v>1955.04</v>
      </c>
    </row>
    <row r="6838" spans="1:16" x14ac:dyDescent="0.25">
      <c r="A6838" t="s">
        <v>3296</v>
      </c>
      <c r="B6838" t="s">
        <v>2931</v>
      </c>
      <c r="C6838">
        <v>10846</v>
      </c>
      <c r="D6838" t="str">
        <f>"2560754430  "</f>
        <v xml:space="preserve">2560754430  </v>
      </c>
      <c r="E6838" t="s">
        <v>277</v>
      </c>
      <c r="F6838" t="s">
        <v>279</v>
      </c>
      <c r="G6838">
        <v>12.55</v>
      </c>
      <c r="H6838">
        <v>250818</v>
      </c>
      <c r="I6838">
        <v>4520</v>
      </c>
      <c r="J6838" t="s">
        <v>280</v>
      </c>
      <c r="K6838">
        <v>788.27</v>
      </c>
      <c r="L6838">
        <v>2.5499999999999998</v>
      </c>
      <c r="M6838">
        <v>17915</v>
      </c>
      <c r="N6838" t="s">
        <v>305</v>
      </c>
      <c r="O6838">
        <v>250825</v>
      </c>
      <c r="P6838">
        <v>10</v>
      </c>
    </row>
    <row r="6839" spans="1:16" x14ac:dyDescent="0.25">
      <c r="A6839" t="s">
        <v>3296</v>
      </c>
      <c r="B6839" t="s">
        <v>2931</v>
      </c>
      <c r="C6839">
        <v>10846</v>
      </c>
      <c r="D6839" t="str">
        <f>"2560754430  "</f>
        <v xml:space="preserve">2560754430  </v>
      </c>
      <c r="E6839" t="s">
        <v>277</v>
      </c>
      <c r="F6839" t="s">
        <v>279</v>
      </c>
      <c r="G6839">
        <v>698.15</v>
      </c>
      <c r="H6839">
        <v>250818</v>
      </c>
      <c r="I6839">
        <v>4520</v>
      </c>
      <c r="J6839" t="s">
        <v>280</v>
      </c>
      <c r="K6839">
        <v>788.27</v>
      </c>
      <c r="L6839">
        <v>85.74</v>
      </c>
      <c r="M6839">
        <v>17915</v>
      </c>
      <c r="N6839" t="s">
        <v>305</v>
      </c>
      <c r="O6839">
        <v>250825</v>
      </c>
      <c r="P6839">
        <v>612.41</v>
      </c>
    </row>
    <row r="6840" spans="1:16" x14ac:dyDescent="0.25">
      <c r="A6840" t="s">
        <v>3296</v>
      </c>
      <c r="B6840" t="s">
        <v>2931</v>
      </c>
      <c r="C6840">
        <v>10846</v>
      </c>
      <c r="D6840" t="str">
        <f>"2560754430  "</f>
        <v xml:space="preserve">2560754430  </v>
      </c>
      <c r="E6840" t="s">
        <v>277</v>
      </c>
      <c r="F6840" t="s">
        <v>279</v>
      </c>
      <c r="G6840">
        <v>77.569999999999993</v>
      </c>
      <c r="H6840">
        <v>250818</v>
      </c>
      <c r="I6840">
        <v>4520</v>
      </c>
      <c r="J6840" t="s">
        <v>280</v>
      </c>
      <c r="K6840">
        <v>788.27</v>
      </c>
      <c r="L6840">
        <v>9.5299999999999994</v>
      </c>
      <c r="M6840">
        <v>17982</v>
      </c>
      <c r="N6840" t="s">
        <v>281</v>
      </c>
      <c r="O6840">
        <v>250825</v>
      </c>
      <c r="P6840">
        <v>68.040000000000006</v>
      </c>
    </row>
    <row r="6841" spans="1:16" x14ac:dyDescent="0.25">
      <c r="A6841" t="s">
        <v>3296</v>
      </c>
      <c r="B6841" t="s">
        <v>2931</v>
      </c>
      <c r="C6841">
        <v>10847</v>
      </c>
      <c r="D6841" t="str">
        <f>"2560754432  "</f>
        <v xml:space="preserve">2560754432  </v>
      </c>
      <c r="E6841" t="s">
        <v>277</v>
      </c>
      <c r="F6841" t="s">
        <v>279</v>
      </c>
      <c r="G6841">
        <v>311.22000000000003</v>
      </c>
      <c r="H6841">
        <v>250818</v>
      </c>
      <c r="I6841">
        <v>4520</v>
      </c>
      <c r="J6841" t="s">
        <v>280</v>
      </c>
      <c r="K6841">
        <v>3135.06</v>
      </c>
      <c r="L6841">
        <v>38.22</v>
      </c>
      <c r="M6841">
        <v>16442</v>
      </c>
      <c r="N6841" t="s">
        <v>304</v>
      </c>
      <c r="O6841">
        <v>250825</v>
      </c>
      <c r="P6841">
        <v>273</v>
      </c>
    </row>
    <row r="6842" spans="1:16" x14ac:dyDescent="0.25">
      <c r="A6842" t="s">
        <v>3296</v>
      </c>
      <c r="B6842" t="s">
        <v>2931</v>
      </c>
      <c r="C6842">
        <v>10847</v>
      </c>
      <c r="D6842" t="str">
        <f>"2560754432  "</f>
        <v xml:space="preserve">2560754432  </v>
      </c>
      <c r="E6842" t="s">
        <v>277</v>
      </c>
      <c r="F6842" t="s">
        <v>279</v>
      </c>
      <c r="G6842">
        <v>51.38</v>
      </c>
      <c r="H6842">
        <v>250818</v>
      </c>
      <c r="I6842">
        <v>4520</v>
      </c>
      <c r="J6842" t="s">
        <v>280</v>
      </c>
      <c r="K6842">
        <v>3135.06</v>
      </c>
      <c r="L6842">
        <v>10.44</v>
      </c>
      <c r="M6842">
        <v>17913</v>
      </c>
      <c r="N6842" t="s">
        <v>26</v>
      </c>
      <c r="O6842">
        <v>250825</v>
      </c>
      <c r="P6842">
        <v>40.94</v>
      </c>
    </row>
    <row r="6843" spans="1:16" x14ac:dyDescent="0.25">
      <c r="A6843" t="s">
        <v>3296</v>
      </c>
      <c r="B6843" t="s">
        <v>2931</v>
      </c>
      <c r="C6843">
        <v>10847</v>
      </c>
      <c r="D6843" t="str">
        <f>"2560754432  "</f>
        <v xml:space="preserve">2560754432  </v>
      </c>
      <c r="E6843" t="s">
        <v>277</v>
      </c>
      <c r="F6843" t="s">
        <v>279</v>
      </c>
      <c r="G6843">
        <v>2490.06</v>
      </c>
      <c r="H6843">
        <v>250818</v>
      </c>
      <c r="I6843">
        <v>4520</v>
      </c>
      <c r="J6843" t="s">
        <v>280</v>
      </c>
      <c r="K6843">
        <v>3135.06</v>
      </c>
      <c r="L6843">
        <v>305.8</v>
      </c>
      <c r="M6843">
        <v>17913</v>
      </c>
      <c r="N6843" t="s">
        <v>26</v>
      </c>
      <c r="O6843">
        <v>250825</v>
      </c>
      <c r="P6843">
        <v>2184.2600000000002</v>
      </c>
    </row>
    <row r="6844" spans="1:16" x14ac:dyDescent="0.25">
      <c r="A6844" t="s">
        <v>3296</v>
      </c>
      <c r="B6844" t="s">
        <v>2931</v>
      </c>
      <c r="C6844">
        <v>10847</v>
      </c>
      <c r="D6844" t="str">
        <f>"2560754432  "</f>
        <v xml:space="preserve">2560754432  </v>
      </c>
      <c r="E6844" t="s">
        <v>277</v>
      </c>
      <c r="F6844" t="s">
        <v>279</v>
      </c>
      <c r="G6844">
        <v>282.39999999999998</v>
      </c>
      <c r="H6844">
        <v>250818</v>
      </c>
      <c r="I6844">
        <v>4520</v>
      </c>
      <c r="J6844" t="s">
        <v>280</v>
      </c>
      <c r="K6844">
        <v>3135.06</v>
      </c>
      <c r="L6844">
        <v>34.68</v>
      </c>
      <c r="M6844">
        <v>17982</v>
      </c>
      <c r="N6844" t="s">
        <v>281</v>
      </c>
      <c r="O6844">
        <v>250825</v>
      </c>
      <c r="P6844">
        <v>247.72</v>
      </c>
    </row>
    <row r="6845" spans="1:16" x14ac:dyDescent="0.25">
      <c r="A6845" t="s">
        <v>3296</v>
      </c>
      <c r="B6845" t="s">
        <v>2931</v>
      </c>
      <c r="C6845">
        <v>10868</v>
      </c>
      <c r="D6845" t="str">
        <f>"2560733812  "</f>
        <v xml:space="preserve">2560733812  </v>
      </c>
      <c r="E6845" t="s">
        <v>277</v>
      </c>
      <c r="F6845" t="s">
        <v>279</v>
      </c>
      <c r="G6845">
        <v>2449.65</v>
      </c>
      <c r="H6845">
        <v>250811</v>
      </c>
      <c r="I6845">
        <v>4520</v>
      </c>
      <c r="J6845" t="s">
        <v>280</v>
      </c>
      <c r="K6845">
        <v>2955.87</v>
      </c>
      <c r="L6845">
        <v>300.83</v>
      </c>
      <c r="M6845">
        <v>49112</v>
      </c>
      <c r="N6845" t="s">
        <v>109</v>
      </c>
      <c r="O6845">
        <v>250825</v>
      </c>
      <c r="P6845">
        <v>2148.8200000000002</v>
      </c>
    </row>
    <row r="6846" spans="1:16" x14ac:dyDescent="0.25">
      <c r="A6846" t="s">
        <v>3296</v>
      </c>
      <c r="B6846" t="s">
        <v>2931</v>
      </c>
      <c r="C6846">
        <v>10872</v>
      </c>
      <c r="D6846" t="str">
        <f>"2560754429  "</f>
        <v xml:space="preserve">2560754429  </v>
      </c>
      <c r="E6846" t="s">
        <v>277</v>
      </c>
      <c r="F6846" t="s">
        <v>279</v>
      </c>
      <c r="G6846">
        <v>2021.11</v>
      </c>
      <c r="H6846">
        <v>250818</v>
      </c>
      <c r="I6846">
        <v>4520</v>
      </c>
      <c r="J6846" t="s">
        <v>280</v>
      </c>
      <c r="K6846">
        <v>2033.66</v>
      </c>
      <c r="L6846">
        <v>248.21</v>
      </c>
      <c r="M6846">
        <v>49112</v>
      </c>
      <c r="N6846" t="s">
        <v>109</v>
      </c>
      <c r="O6846">
        <v>250826</v>
      </c>
      <c r="P6846">
        <v>1772.9</v>
      </c>
    </row>
    <row r="6847" spans="1:16" x14ac:dyDescent="0.25">
      <c r="A6847" t="s">
        <v>3296</v>
      </c>
      <c r="B6847" t="s">
        <v>2931</v>
      </c>
      <c r="C6847">
        <v>10903</v>
      </c>
      <c r="D6847" t="str">
        <f>"2560770563  "</f>
        <v xml:space="preserve">2560770563  </v>
      </c>
      <c r="E6847" t="s">
        <v>277</v>
      </c>
      <c r="F6847" t="s">
        <v>279</v>
      </c>
      <c r="G6847">
        <v>141.9</v>
      </c>
      <c r="H6847">
        <v>250825</v>
      </c>
      <c r="I6847">
        <v>4520</v>
      </c>
      <c r="J6847" t="s">
        <v>280</v>
      </c>
      <c r="K6847">
        <v>2904.96</v>
      </c>
      <c r="L6847">
        <v>17.43</v>
      </c>
      <c r="M6847">
        <v>16442</v>
      </c>
      <c r="N6847" t="s">
        <v>304</v>
      </c>
      <c r="O6847">
        <v>250827</v>
      </c>
      <c r="P6847">
        <v>124.47</v>
      </c>
    </row>
    <row r="6848" spans="1:16" x14ac:dyDescent="0.25">
      <c r="A6848" t="s">
        <v>3296</v>
      </c>
      <c r="B6848" t="s">
        <v>2931</v>
      </c>
      <c r="C6848">
        <v>10903</v>
      </c>
      <c r="D6848" t="str">
        <f>"2560770563  "</f>
        <v xml:space="preserve">2560770563  </v>
      </c>
      <c r="E6848" t="s">
        <v>277</v>
      </c>
      <c r="F6848" t="s">
        <v>279</v>
      </c>
      <c r="G6848">
        <v>-12.55</v>
      </c>
      <c r="H6848">
        <v>250825</v>
      </c>
      <c r="I6848">
        <v>4520</v>
      </c>
      <c r="J6848" t="s">
        <v>280</v>
      </c>
      <c r="K6848">
        <v>2904.96</v>
      </c>
      <c r="L6848">
        <v>-2.5499999999999998</v>
      </c>
      <c r="M6848">
        <v>17913</v>
      </c>
      <c r="N6848" t="s">
        <v>26</v>
      </c>
      <c r="O6848">
        <v>250827</v>
      </c>
      <c r="P6848">
        <v>-10</v>
      </c>
    </row>
    <row r="6849" spans="1:16" x14ac:dyDescent="0.25">
      <c r="A6849" t="s">
        <v>3296</v>
      </c>
      <c r="B6849" t="s">
        <v>2931</v>
      </c>
      <c r="C6849">
        <v>10903</v>
      </c>
      <c r="D6849" t="str">
        <f>"2560770563  "</f>
        <v xml:space="preserve">2560770563  </v>
      </c>
      <c r="E6849" t="s">
        <v>277</v>
      </c>
      <c r="F6849" t="s">
        <v>279</v>
      </c>
      <c r="G6849">
        <v>2483.81</v>
      </c>
      <c r="H6849">
        <v>250825</v>
      </c>
      <c r="I6849">
        <v>4520</v>
      </c>
      <c r="J6849" t="s">
        <v>280</v>
      </c>
      <c r="K6849">
        <v>2904.96</v>
      </c>
      <c r="L6849">
        <v>305.02999999999997</v>
      </c>
      <c r="M6849">
        <v>17913</v>
      </c>
      <c r="N6849" t="s">
        <v>26</v>
      </c>
      <c r="O6849">
        <v>250827</v>
      </c>
      <c r="P6849">
        <v>2178.7800000000002</v>
      </c>
    </row>
    <row r="6850" spans="1:16" x14ac:dyDescent="0.25">
      <c r="A6850" t="s">
        <v>3296</v>
      </c>
      <c r="B6850" t="s">
        <v>2931</v>
      </c>
      <c r="C6850">
        <v>10903</v>
      </c>
      <c r="D6850" t="str">
        <f>"2560770563  "</f>
        <v xml:space="preserve">2560770563  </v>
      </c>
      <c r="E6850" t="s">
        <v>277</v>
      </c>
      <c r="F6850" t="s">
        <v>279</v>
      </c>
      <c r="G6850">
        <v>291.8</v>
      </c>
      <c r="H6850">
        <v>250825</v>
      </c>
      <c r="I6850">
        <v>4520</v>
      </c>
      <c r="J6850" t="s">
        <v>280</v>
      </c>
      <c r="K6850">
        <v>2904.96</v>
      </c>
      <c r="L6850">
        <v>35.840000000000003</v>
      </c>
      <c r="M6850">
        <v>17982</v>
      </c>
      <c r="N6850" t="s">
        <v>281</v>
      </c>
      <c r="O6850">
        <v>250827</v>
      </c>
      <c r="P6850">
        <v>255.96</v>
      </c>
    </row>
    <row r="6851" spans="1:16" x14ac:dyDescent="0.25">
      <c r="A6851" t="s">
        <v>3296</v>
      </c>
      <c r="B6851" t="s">
        <v>2931</v>
      </c>
      <c r="C6851">
        <v>10915</v>
      </c>
      <c r="D6851" t="str">
        <f>"2560770559  "</f>
        <v xml:space="preserve">2560770559  </v>
      </c>
      <c r="E6851" t="s">
        <v>277</v>
      </c>
      <c r="F6851" t="s">
        <v>279</v>
      </c>
      <c r="G6851">
        <v>1869.08</v>
      </c>
      <c r="H6851">
        <v>250825</v>
      </c>
      <c r="I6851">
        <v>4520</v>
      </c>
      <c r="J6851" t="s">
        <v>280</v>
      </c>
      <c r="K6851">
        <v>2198.92</v>
      </c>
      <c r="L6851">
        <v>229.54</v>
      </c>
      <c r="M6851">
        <v>69113</v>
      </c>
      <c r="N6851" t="s">
        <v>122</v>
      </c>
      <c r="O6851">
        <v>250827</v>
      </c>
      <c r="P6851">
        <v>1639.54</v>
      </c>
    </row>
    <row r="6852" spans="1:16" x14ac:dyDescent="0.25">
      <c r="A6852" t="s">
        <v>3296</v>
      </c>
      <c r="B6852" t="s">
        <v>2931</v>
      </c>
      <c r="C6852">
        <v>10915</v>
      </c>
      <c r="D6852" t="str">
        <f>"2560770559  "</f>
        <v xml:space="preserve">2560770559  </v>
      </c>
      <c r="E6852" t="s">
        <v>277</v>
      </c>
      <c r="F6852" t="s">
        <v>279</v>
      </c>
      <c r="G6852">
        <v>219.89</v>
      </c>
      <c r="H6852">
        <v>250825</v>
      </c>
      <c r="I6852">
        <v>4520</v>
      </c>
      <c r="J6852" t="s">
        <v>280</v>
      </c>
      <c r="K6852">
        <v>2198.92</v>
      </c>
      <c r="L6852">
        <v>27</v>
      </c>
      <c r="M6852">
        <v>69802</v>
      </c>
      <c r="N6852" t="s">
        <v>375</v>
      </c>
      <c r="O6852">
        <v>250827</v>
      </c>
      <c r="P6852">
        <v>192.89</v>
      </c>
    </row>
    <row r="6853" spans="1:16" x14ac:dyDescent="0.25">
      <c r="A6853" t="s">
        <v>3296</v>
      </c>
      <c r="B6853" t="s">
        <v>2931</v>
      </c>
      <c r="C6853">
        <v>10915</v>
      </c>
      <c r="D6853" t="str">
        <f>"2560770559  "</f>
        <v xml:space="preserve">2560770559  </v>
      </c>
      <c r="E6853" t="s">
        <v>277</v>
      </c>
      <c r="F6853" t="s">
        <v>279</v>
      </c>
      <c r="G6853">
        <v>109.95</v>
      </c>
      <c r="H6853">
        <v>250825</v>
      </c>
      <c r="I6853">
        <v>4520</v>
      </c>
      <c r="J6853" t="s">
        <v>280</v>
      </c>
      <c r="K6853">
        <v>2198.92</v>
      </c>
      <c r="L6853">
        <v>13.5</v>
      </c>
      <c r="M6853">
        <v>69804</v>
      </c>
      <c r="N6853" t="s">
        <v>376</v>
      </c>
      <c r="O6853">
        <v>250827</v>
      </c>
      <c r="P6853">
        <v>96.45</v>
      </c>
    </row>
    <row r="6854" spans="1:16" x14ac:dyDescent="0.25">
      <c r="A6854" t="s">
        <v>3296</v>
      </c>
      <c r="B6854" t="s">
        <v>2931</v>
      </c>
      <c r="C6854">
        <v>10916</v>
      </c>
      <c r="D6854" t="str">
        <f>"2560770561  "</f>
        <v xml:space="preserve">2560770561  </v>
      </c>
      <c r="E6854" t="s">
        <v>277</v>
      </c>
      <c r="F6854" t="s">
        <v>279</v>
      </c>
      <c r="G6854">
        <v>-12.55</v>
      </c>
      <c r="H6854">
        <v>250825</v>
      </c>
      <c r="I6854">
        <v>4520</v>
      </c>
      <c r="J6854" t="s">
        <v>280</v>
      </c>
      <c r="K6854">
        <v>1493.2</v>
      </c>
      <c r="L6854">
        <v>-2.5499999999999998</v>
      </c>
      <c r="M6854">
        <v>17915</v>
      </c>
      <c r="N6854" t="s">
        <v>305</v>
      </c>
      <c r="O6854">
        <v>250827</v>
      </c>
      <c r="P6854">
        <v>-10</v>
      </c>
    </row>
    <row r="6855" spans="1:16" x14ac:dyDescent="0.25">
      <c r="A6855" t="s">
        <v>3296</v>
      </c>
      <c r="B6855" t="s">
        <v>2931</v>
      </c>
      <c r="C6855">
        <v>10916</v>
      </c>
      <c r="D6855" t="str">
        <f>"2560770561  "</f>
        <v xml:space="preserve">2560770561  </v>
      </c>
      <c r="E6855" t="s">
        <v>277</v>
      </c>
      <c r="F6855" t="s">
        <v>279</v>
      </c>
      <c r="G6855">
        <v>1355.15</v>
      </c>
      <c r="H6855">
        <v>250825</v>
      </c>
      <c r="I6855">
        <v>4520</v>
      </c>
      <c r="J6855" t="s">
        <v>280</v>
      </c>
      <c r="K6855">
        <v>1493.2</v>
      </c>
      <c r="L6855">
        <v>166.42</v>
      </c>
      <c r="M6855">
        <v>17915</v>
      </c>
      <c r="N6855" t="s">
        <v>305</v>
      </c>
      <c r="O6855">
        <v>250827</v>
      </c>
      <c r="P6855">
        <v>1188.73</v>
      </c>
    </row>
    <row r="6856" spans="1:16" x14ac:dyDescent="0.25">
      <c r="A6856" t="s">
        <v>3296</v>
      </c>
      <c r="B6856" t="s">
        <v>2931</v>
      </c>
      <c r="C6856">
        <v>10916</v>
      </c>
      <c r="D6856" t="str">
        <f>"2560770561  "</f>
        <v xml:space="preserve">2560770561  </v>
      </c>
      <c r="E6856" t="s">
        <v>277</v>
      </c>
      <c r="F6856" t="s">
        <v>279</v>
      </c>
      <c r="G6856">
        <v>150.6</v>
      </c>
      <c r="H6856">
        <v>250825</v>
      </c>
      <c r="I6856">
        <v>4520</v>
      </c>
      <c r="J6856" t="s">
        <v>280</v>
      </c>
      <c r="K6856">
        <v>1493.2</v>
      </c>
      <c r="L6856">
        <v>18.489999999999998</v>
      </c>
      <c r="M6856">
        <v>17982</v>
      </c>
      <c r="N6856" t="s">
        <v>281</v>
      </c>
      <c r="O6856">
        <v>250827</v>
      </c>
      <c r="P6856">
        <v>132.11000000000001</v>
      </c>
    </row>
    <row r="6857" spans="1:16" x14ac:dyDescent="0.25">
      <c r="A6857" t="s">
        <v>3296</v>
      </c>
      <c r="B6857" t="s">
        <v>2931</v>
      </c>
      <c r="C6857">
        <v>10929</v>
      </c>
      <c r="D6857" t="str">
        <f>"2560733817  "</f>
        <v xml:space="preserve">2560733817  </v>
      </c>
      <c r="E6857" t="s">
        <v>277</v>
      </c>
      <c r="F6857" t="s">
        <v>279</v>
      </c>
      <c r="G6857">
        <v>905.26</v>
      </c>
      <c r="H6857">
        <v>250811</v>
      </c>
      <c r="I6857">
        <v>4520</v>
      </c>
      <c r="J6857" t="s">
        <v>280</v>
      </c>
      <c r="K6857">
        <v>1144.2</v>
      </c>
      <c r="L6857">
        <v>111.17</v>
      </c>
      <c r="M6857">
        <v>69112</v>
      </c>
      <c r="N6857" t="s">
        <v>227</v>
      </c>
      <c r="O6857">
        <v>250827</v>
      </c>
      <c r="P6857">
        <v>794.09</v>
      </c>
    </row>
    <row r="6858" spans="1:16" x14ac:dyDescent="0.25">
      <c r="A6858" t="s">
        <v>3296</v>
      </c>
      <c r="B6858" t="s">
        <v>2931</v>
      </c>
      <c r="C6858">
        <v>10929</v>
      </c>
      <c r="D6858" t="str">
        <f>"2560733817  "</f>
        <v xml:space="preserve">2560733817  </v>
      </c>
      <c r="E6858" t="s">
        <v>277</v>
      </c>
      <c r="F6858" t="s">
        <v>279</v>
      </c>
      <c r="G6858">
        <v>50.3</v>
      </c>
      <c r="H6858">
        <v>250811</v>
      </c>
      <c r="I6858">
        <v>4520</v>
      </c>
      <c r="J6858" t="s">
        <v>280</v>
      </c>
      <c r="K6858">
        <v>1144.2</v>
      </c>
      <c r="L6858">
        <v>6.18</v>
      </c>
      <c r="M6858">
        <v>69810</v>
      </c>
      <c r="N6858" t="s">
        <v>229</v>
      </c>
      <c r="O6858">
        <v>250827</v>
      </c>
      <c r="P6858">
        <v>44.12</v>
      </c>
    </row>
    <row r="6859" spans="1:16" x14ac:dyDescent="0.25">
      <c r="A6859" t="s">
        <v>3296</v>
      </c>
      <c r="B6859" t="s">
        <v>2931</v>
      </c>
      <c r="C6859">
        <v>10929</v>
      </c>
      <c r="D6859" t="str">
        <f>"2560733817  "</f>
        <v xml:space="preserve">2560733817  </v>
      </c>
      <c r="E6859" t="s">
        <v>277</v>
      </c>
      <c r="F6859" t="s">
        <v>279</v>
      </c>
      <c r="G6859">
        <v>50.29</v>
      </c>
      <c r="H6859">
        <v>250811</v>
      </c>
      <c r="I6859">
        <v>4520</v>
      </c>
      <c r="J6859" t="s">
        <v>280</v>
      </c>
      <c r="K6859">
        <v>1144.2</v>
      </c>
      <c r="L6859">
        <v>6.18</v>
      </c>
      <c r="M6859">
        <v>69811</v>
      </c>
      <c r="N6859" t="s">
        <v>230</v>
      </c>
      <c r="O6859">
        <v>250827</v>
      </c>
      <c r="P6859">
        <v>44.11</v>
      </c>
    </row>
    <row r="6860" spans="1:16" x14ac:dyDescent="0.25">
      <c r="A6860" t="s">
        <v>3296</v>
      </c>
      <c r="B6860" t="s">
        <v>2931</v>
      </c>
      <c r="C6860">
        <v>10932</v>
      </c>
      <c r="D6860" t="str">
        <f>"2560754435  "</f>
        <v xml:space="preserve">2560754435  </v>
      </c>
      <c r="E6860" t="s">
        <v>277</v>
      </c>
      <c r="F6860" t="s">
        <v>279</v>
      </c>
      <c r="G6860">
        <v>1221.8599999999999</v>
      </c>
      <c r="H6860">
        <v>250818</v>
      </c>
      <c r="I6860">
        <v>4520</v>
      </c>
      <c r="J6860" t="s">
        <v>280</v>
      </c>
      <c r="K6860">
        <v>1422.6</v>
      </c>
      <c r="L6860">
        <v>150.05000000000001</v>
      </c>
      <c r="M6860">
        <v>69112</v>
      </c>
      <c r="N6860" t="s">
        <v>227</v>
      </c>
      <c r="O6860">
        <v>250827</v>
      </c>
      <c r="P6860">
        <v>1071.81</v>
      </c>
    </row>
    <row r="6861" spans="1:16" x14ac:dyDescent="0.25">
      <c r="A6861" t="s">
        <v>3296</v>
      </c>
      <c r="B6861" t="s">
        <v>2931</v>
      </c>
      <c r="C6861">
        <v>10932</v>
      </c>
      <c r="D6861" t="str">
        <f>"2560754435  "</f>
        <v xml:space="preserve">2560754435  </v>
      </c>
      <c r="E6861" t="s">
        <v>277</v>
      </c>
      <c r="F6861" t="s">
        <v>279</v>
      </c>
      <c r="G6861">
        <v>67.88</v>
      </c>
      <c r="H6861">
        <v>250818</v>
      </c>
      <c r="I6861">
        <v>4520</v>
      </c>
      <c r="J6861" t="s">
        <v>280</v>
      </c>
      <c r="K6861">
        <v>1422.6</v>
      </c>
      <c r="L6861">
        <v>8.34</v>
      </c>
      <c r="M6861">
        <v>69810</v>
      </c>
      <c r="N6861" t="s">
        <v>229</v>
      </c>
      <c r="O6861">
        <v>250827</v>
      </c>
      <c r="P6861">
        <v>59.54</v>
      </c>
    </row>
    <row r="6862" spans="1:16" x14ac:dyDescent="0.25">
      <c r="A6862" t="s">
        <v>3296</v>
      </c>
      <c r="B6862" t="s">
        <v>2931</v>
      </c>
      <c r="C6862">
        <v>10932</v>
      </c>
      <c r="D6862" t="str">
        <f>"2560754435  "</f>
        <v xml:space="preserve">2560754435  </v>
      </c>
      <c r="E6862" t="s">
        <v>277</v>
      </c>
      <c r="F6862" t="s">
        <v>279</v>
      </c>
      <c r="G6862">
        <v>67.88</v>
      </c>
      <c r="H6862">
        <v>250818</v>
      </c>
      <c r="I6862">
        <v>4520</v>
      </c>
      <c r="J6862" t="s">
        <v>280</v>
      </c>
      <c r="K6862">
        <v>1422.6</v>
      </c>
      <c r="L6862">
        <v>8.34</v>
      </c>
      <c r="M6862">
        <v>69811</v>
      </c>
      <c r="N6862" t="s">
        <v>230</v>
      </c>
      <c r="O6862">
        <v>250827</v>
      </c>
      <c r="P6862">
        <v>59.54</v>
      </c>
    </row>
    <row r="6863" spans="1:16" x14ac:dyDescent="0.25">
      <c r="A6863" t="s">
        <v>3296</v>
      </c>
      <c r="B6863" t="s">
        <v>2931</v>
      </c>
      <c r="C6863">
        <v>10939</v>
      </c>
      <c r="D6863" t="str">
        <f>"2560770566  "</f>
        <v xml:space="preserve">2560770566  </v>
      </c>
      <c r="E6863" t="s">
        <v>277</v>
      </c>
      <c r="F6863" t="s">
        <v>279</v>
      </c>
      <c r="G6863">
        <v>873.63</v>
      </c>
      <c r="H6863">
        <v>250825</v>
      </c>
      <c r="I6863">
        <v>4520</v>
      </c>
      <c r="J6863" t="s">
        <v>280</v>
      </c>
      <c r="K6863">
        <v>1006.69</v>
      </c>
      <c r="L6863">
        <v>107.29</v>
      </c>
      <c r="M6863">
        <v>69112</v>
      </c>
      <c r="N6863" t="s">
        <v>227</v>
      </c>
      <c r="O6863">
        <v>250827</v>
      </c>
      <c r="P6863">
        <v>766.34</v>
      </c>
    </row>
    <row r="6864" spans="1:16" x14ac:dyDescent="0.25">
      <c r="A6864" t="s">
        <v>3296</v>
      </c>
      <c r="B6864" t="s">
        <v>2931</v>
      </c>
      <c r="C6864">
        <v>10939</v>
      </c>
      <c r="D6864" t="str">
        <f>"2560770566  "</f>
        <v xml:space="preserve">2560770566  </v>
      </c>
      <c r="E6864" t="s">
        <v>277</v>
      </c>
      <c r="F6864" t="s">
        <v>279</v>
      </c>
      <c r="G6864">
        <v>48.54</v>
      </c>
      <c r="H6864">
        <v>250825</v>
      </c>
      <c r="I6864">
        <v>4520</v>
      </c>
      <c r="J6864" t="s">
        <v>280</v>
      </c>
      <c r="K6864">
        <v>1006.69</v>
      </c>
      <c r="L6864">
        <v>5.96</v>
      </c>
      <c r="M6864">
        <v>69810</v>
      </c>
      <c r="N6864" t="s">
        <v>229</v>
      </c>
      <c r="O6864">
        <v>250827</v>
      </c>
      <c r="P6864">
        <v>42.58</v>
      </c>
    </row>
    <row r="6865" spans="1:16" x14ac:dyDescent="0.25">
      <c r="A6865" t="s">
        <v>3296</v>
      </c>
      <c r="B6865" t="s">
        <v>2931</v>
      </c>
      <c r="C6865">
        <v>10939</v>
      </c>
      <c r="D6865" t="str">
        <f>"2560770566  "</f>
        <v xml:space="preserve">2560770566  </v>
      </c>
      <c r="E6865" t="s">
        <v>277</v>
      </c>
      <c r="F6865" t="s">
        <v>279</v>
      </c>
      <c r="G6865">
        <v>48.53</v>
      </c>
      <c r="H6865">
        <v>250825</v>
      </c>
      <c r="I6865">
        <v>4520</v>
      </c>
      <c r="J6865" t="s">
        <v>280</v>
      </c>
      <c r="K6865">
        <v>1006.69</v>
      </c>
      <c r="L6865">
        <v>5.96</v>
      </c>
      <c r="M6865">
        <v>69811</v>
      </c>
      <c r="N6865" t="s">
        <v>230</v>
      </c>
      <c r="O6865">
        <v>250827</v>
      </c>
      <c r="P6865">
        <v>42.57</v>
      </c>
    </row>
    <row r="6866" spans="1:16" x14ac:dyDescent="0.25">
      <c r="A6866" t="s">
        <v>3296</v>
      </c>
      <c r="B6866" t="s">
        <v>2931</v>
      </c>
      <c r="C6866">
        <v>10968</v>
      </c>
      <c r="D6866" t="str">
        <f>"2560754431  "</f>
        <v xml:space="preserve">2560754431  </v>
      </c>
      <c r="E6866" t="s">
        <v>277</v>
      </c>
      <c r="F6866" t="s">
        <v>279</v>
      </c>
      <c r="G6866">
        <v>290.56</v>
      </c>
      <c r="H6866">
        <v>250818</v>
      </c>
      <c r="I6866">
        <v>4520</v>
      </c>
      <c r="J6866" t="s">
        <v>280</v>
      </c>
      <c r="K6866">
        <v>2323.2800000000002</v>
      </c>
      <c r="L6866">
        <v>35.68</v>
      </c>
      <c r="M6866">
        <v>44251</v>
      </c>
      <c r="N6866" t="s">
        <v>215</v>
      </c>
      <c r="O6866">
        <v>250828</v>
      </c>
      <c r="P6866">
        <v>254.88</v>
      </c>
    </row>
    <row r="6867" spans="1:16" x14ac:dyDescent="0.25">
      <c r="A6867" t="s">
        <v>3296</v>
      </c>
      <c r="B6867" t="s">
        <v>2931</v>
      </c>
      <c r="C6867">
        <v>10968</v>
      </c>
      <c r="D6867" t="str">
        <f>"2560754431  "</f>
        <v xml:space="preserve">2560754431  </v>
      </c>
      <c r="E6867" t="s">
        <v>277</v>
      </c>
      <c r="F6867" t="s">
        <v>279</v>
      </c>
      <c r="G6867">
        <v>1112.1400000000001</v>
      </c>
      <c r="H6867">
        <v>250818</v>
      </c>
      <c r="I6867">
        <v>4520</v>
      </c>
      <c r="J6867" t="s">
        <v>280</v>
      </c>
      <c r="K6867">
        <v>2323.2800000000002</v>
      </c>
      <c r="L6867">
        <v>136.58000000000001</v>
      </c>
      <c r="M6867">
        <v>44252</v>
      </c>
      <c r="N6867" t="s">
        <v>217</v>
      </c>
      <c r="O6867">
        <v>250828</v>
      </c>
      <c r="P6867">
        <v>975.56</v>
      </c>
    </row>
    <row r="6868" spans="1:16" x14ac:dyDescent="0.25">
      <c r="A6868" t="s">
        <v>3296</v>
      </c>
      <c r="B6868" t="s">
        <v>2931</v>
      </c>
      <c r="C6868">
        <v>10979</v>
      </c>
      <c r="D6868" t="str">
        <f>"2560770565  "</f>
        <v xml:space="preserve">2560770565  </v>
      </c>
      <c r="E6868" t="s">
        <v>277</v>
      </c>
      <c r="F6868" t="s">
        <v>279</v>
      </c>
      <c r="G6868">
        <v>548.85</v>
      </c>
      <c r="H6868">
        <v>250825</v>
      </c>
      <c r="I6868">
        <v>4520</v>
      </c>
      <c r="J6868" t="s">
        <v>280</v>
      </c>
      <c r="K6868">
        <v>555.49</v>
      </c>
      <c r="L6868">
        <v>67.400000000000006</v>
      </c>
      <c r="M6868">
        <v>44222</v>
      </c>
      <c r="N6868" t="s">
        <v>96</v>
      </c>
      <c r="O6868">
        <v>250828</v>
      </c>
      <c r="P6868">
        <v>481.45</v>
      </c>
    </row>
    <row r="6869" spans="1:16" x14ac:dyDescent="0.25">
      <c r="A6869" t="s">
        <v>3296</v>
      </c>
      <c r="B6869" t="s">
        <v>2931</v>
      </c>
      <c r="C6869">
        <v>10980</v>
      </c>
      <c r="D6869" t="str">
        <f>"2560770556  "</f>
        <v xml:space="preserve">2560770556  </v>
      </c>
      <c r="E6869" t="s">
        <v>277</v>
      </c>
      <c r="F6869" t="s">
        <v>279</v>
      </c>
      <c r="G6869">
        <v>509.25</v>
      </c>
      <c r="H6869">
        <v>250825</v>
      </c>
      <c r="I6869">
        <v>4520</v>
      </c>
      <c r="J6869" t="s">
        <v>280</v>
      </c>
      <c r="K6869">
        <v>553.28</v>
      </c>
      <c r="L6869">
        <v>62.54</v>
      </c>
      <c r="M6869">
        <v>59114</v>
      </c>
      <c r="N6869" t="s">
        <v>299</v>
      </c>
      <c r="O6869">
        <v>250828</v>
      </c>
      <c r="P6869">
        <v>446.71</v>
      </c>
    </row>
    <row r="6870" spans="1:16" x14ac:dyDescent="0.25">
      <c r="A6870" t="s">
        <v>3296</v>
      </c>
      <c r="B6870" t="s">
        <v>2931</v>
      </c>
      <c r="C6870">
        <v>10980</v>
      </c>
      <c r="D6870" t="str">
        <f>"2560770556  "</f>
        <v xml:space="preserve">2560770556  </v>
      </c>
      <c r="E6870" t="s">
        <v>277</v>
      </c>
      <c r="F6870" t="s">
        <v>279</v>
      </c>
      <c r="G6870">
        <v>56.58</v>
      </c>
      <c r="H6870">
        <v>250825</v>
      </c>
      <c r="I6870">
        <v>4520</v>
      </c>
      <c r="J6870" t="s">
        <v>280</v>
      </c>
      <c r="K6870">
        <v>553.28</v>
      </c>
      <c r="L6870">
        <v>6.95</v>
      </c>
      <c r="M6870">
        <v>59808</v>
      </c>
      <c r="N6870" t="s">
        <v>699</v>
      </c>
      <c r="O6870">
        <v>250828</v>
      </c>
      <c r="P6870">
        <v>49.63</v>
      </c>
    </row>
    <row r="6871" spans="1:16" x14ac:dyDescent="0.25">
      <c r="A6871" t="s">
        <v>3296</v>
      </c>
      <c r="B6871" t="s">
        <v>2931</v>
      </c>
      <c r="C6871">
        <v>10981</v>
      </c>
      <c r="D6871" t="str">
        <f>"2560770560  "</f>
        <v xml:space="preserve">2560770560  </v>
      </c>
      <c r="E6871" t="s">
        <v>277</v>
      </c>
      <c r="F6871" t="s">
        <v>279</v>
      </c>
      <c r="G6871">
        <v>2387.23</v>
      </c>
      <c r="H6871">
        <v>250825</v>
      </c>
      <c r="I6871">
        <v>4520</v>
      </c>
      <c r="J6871" t="s">
        <v>280</v>
      </c>
      <c r="K6871">
        <v>2449.77</v>
      </c>
      <c r="L6871">
        <v>293.17</v>
      </c>
      <c r="M6871">
        <v>49112</v>
      </c>
      <c r="N6871" t="s">
        <v>109</v>
      </c>
      <c r="O6871">
        <v>250828</v>
      </c>
      <c r="P6871">
        <v>2094.06</v>
      </c>
    </row>
    <row r="6872" spans="1:16" x14ac:dyDescent="0.25">
      <c r="A6872" t="s">
        <v>3296</v>
      </c>
      <c r="B6872" t="s">
        <v>2931</v>
      </c>
      <c r="C6872">
        <v>10982</v>
      </c>
      <c r="D6872" t="str">
        <f>"2560770558  "</f>
        <v xml:space="preserve">2560770558  </v>
      </c>
      <c r="E6872" t="s">
        <v>277</v>
      </c>
      <c r="F6872" t="s">
        <v>279</v>
      </c>
      <c r="G6872">
        <v>2104.2199999999998</v>
      </c>
      <c r="H6872">
        <v>250825</v>
      </c>
      <c r="I6872">
        <v>4520</v>
      </c>
      <c r="J6872" t="s">
        <v>280</v>
      </c>
      <c r="K6872">
        <v>2450.4499999999998</v>
      </c>
      <c r="L6872">
        <v>258.41000000000003</v>
      </c>
      <c r="M6872">
        <v>59113</v>
      </c>
      <c r="N6872" t="s">
        <v>61</v>
      </c>
      <c r="O6872">
        <v>250828</v>
      </c>
      <c r="P6872">
        <v>1845.81</v>
      </c>
    </row>
    <row r="6873" spans="1:16" x14ac:dyDescent="0.25">
      <c r="A6873" t="s">
        <v>3296</v>
      </c>
      <c r="B6873" t="s">
        <v>2931</v>
      </c>
      <c r="C6873">
        <v>10982</v>
      </c>
      <c r="D6873" t="str">
        <f>"2560770558  "</f>
        <v xml:space="preserve">2560770558  </v>
      </c>
      <c r="E6873" t="s">
        <v>277</v>
      </c>
      <c r="F6873" t="s">
        <v>279</v>
      </c>
      <c r="G6873">
        <v>371.33</v>
      </c>
      <c r="H6873">
        <v>250825</v>
      </c>
      <c r="I6873">
        <v>4520</v>
      </c>
      <c r="J6873" t="s">
        <v>280</v>
      </c>
      <c r="K6873">
        <v>2450.4499999999998</v>
      </c>
      <c r="L6873">
        <v>45.6</v>
      </c>
      <c r="M6873">
        <v>59803</v>
      </c>
      <c r="N6873" t="s">
        <v>282</v>
      </c>
      <c r="O6873">
        <v>250828</v>
      </c>
      <c r="P6873">
        <v>325.73</v>
      </c>
    </row>
    <row r="6874" spans="1:16" x14ac:dyDescent="0.25">
      <c r="A6874" t="s">
        <v>3296</v>
      </c>
      <c r="B6874" t="s">
        <v>2931</v>
      </c>
      <c r="C6874">
        <v>10984</v>
      </c>
      <c r="D6874" t="str">
        <f>"2560770562  "</f>
        <v xml:space="preserve">2560770562  </v>
      </c>
      <c r="E6874" t="s">
        <v>277</v>
      </c>
      <c r="F6874" t="s">
        <v>279</v>
      </c>
      <c r="G6874">
        <v>323.63</v>
      </c>
      <c r="H6874">
        <v>250825</v>
      </c>
      <c r="I6874">
        <v>4520</v>
      </c>
      <c r="J6874" t="s">
        <v>280</v>
      </c>
      <c r="K6874">
        <v>450.74</v>
      </c>
      <c r="L6874">
        <v>39.74</v>
      </c>
      <c r="M6874">
        <v>44252</v>
      </c>
      <c r="N6874" t="s">
        <v>217</v>
      </c>
      <c r="O6874">
        <v>250828</v>
      </c>
      <c r="P6874">
        <v>283.89</v>
      </c>
    </row>
    <row r="6875" spans="1:16" x14ac:dyDescent="0.25">
      <c r="A6875" t="s">
        <v>3296</v>
      </c>
      <c r="B6875" t="s">
        <v>2931</v>
      </c>
      <c r="C6875">
        <v>11069</v>
      </c>
      <c r="D6875" t="str">
        <f t="shared" ref="D6875:D6886" si="129">"2560754433  "</f>
        <v xml:space="preserve">2560754433  </v>
      </c>
      <c r="E6875" t="s">
        <v>277</v>
      </c>
      <c r="F6875" t="s">
        <v>279</v>
      </c>
      <c r="G6875">
        <v>55.07</v>
      </c>
      <c r="H6875">
        <v>250818</v>
      </c>
      <c r="I6875">
        <v>4520</v>
      </c>
      <c r="J6875" t="s">
        <v>280</v>
      </c>
      <c r="K6875">
        <v>6924.71</v>
      </c>
      <c r="L6875">
        <v>6.76</v>
      </c>
      <c r="M6875">
        <v>14422</v>
      </c>
      <c r="N6875" t="s">
        <v>73</v>
      </c>
      <c r="O6875">
        <v>250829</v>
      </c>
      <c r="P6875">
        <v>48.31</v>
      </c>
    </row>
    <row r="6876" spans="1:16" x14ac:dyDescent="0.25">
      <c r="A6876" t="s">
        <v>3296</v>
      </c>
      <c r="B6876" t="s">
        <v>2931</v>
      </c>
      <c r="C6876">
        <v>11069</v>
      </c>
      <c r="D6876" t="str">
        <f t="shared" si="129"/>
        <v xml:space="preserve">2560754433  </v>
      </c>
      <c r="E6876" t="s">
        <v>277</v>
      </c>
      <c r="F6876" t="s">
        <v>279</v>
      </c>
      <c r="G6876">
        <v>14.18</v>
      </c>
      <c r="H6876">
        <v>250818</v>
      </c>
      <c r="I6876">
        <v>4520</v>
      </c>
      <c r="J6876" t="s">
        <v>280</v>
      </c>
      <c r="K6876">
        <v>6924.71</v>
      </c>
      <c r="L6876">
        <v>2.88</v>
      </c>
      <c r="M6876">
        <v>14422</v>
      </c>
      <c r="N6876" t="s">
        <v>73</v>
      </c>
      <c r="O6876">
        <v>250829</v>
      </c>
      <c r="P6876">
        <v>11.3</v>
      </c>
    </row>
    <row r="6877" spans="1:16" x14ac:dyDescent="0.25">
      <c r="A6877" t="s">
        <v>3296</v>
      </c>
      <c r="B6877" t="s">
        <v>2931</v>
      </c>
      <c r="C6877">
        <v>11069</v>
      </c>
      <c r="D6877" t="str">
        <f t="shared" si="129"/>
        <v xml:space="preserve">2560754433  </v>
      </c>
      <c r="E6877" t="s">
        <v>277</v>
      </c>
      <c r="F6877" t="s">
        <v>279</v>
      </c>
      <c r="G6877">
        <v>56.71</v>
      </c>
      <c r="H6877">
        <v>250818</v>
      </c>
      <c r="I6877">
        <v>4520</v>
      </c>
      <c r="J6877" t="s">
        <v>280</v>
      </c>
      <c r="K6877">
        <v>6924.71</v>
      </c>
      <c r="L6877">
        <v>11.52</v>
      </c>
      <c r="M6877">
        <v>14431</v>
      </c>
      <c r="N6877" t="s">
        <v>74</v>
      </c>
      <c r="O6877">
        <v>250829</v>
      </c>
      <c r="P6877">
        <v>45.19</v>
      </c>
    </row>
    <row r="6878" spans="1:16" x14ac:dyDescent="0.25">
      <c r="A6878" t="s">
        <v>3296</v>
      </c>
      <c r="B6878" t="s">
        <v>2931</v>
      </c>
      <c r="C6878">
        <v>11069</v>
      </c>
      <c r="D6878" t="str">
        <f t="shared" si="129"/>
        <v xml:space="preserve">2560754433  </v>
      </c>
      <c r="E6878" t="s">
        <v>277</v>
      </c>
      <c r="F6878" t="s">
        <v>279</v>
      </c>
      <c r="G6878">
        <v>220.28</v>
      </c>
      <c r="H6878">
        <v>250818</v>
      </c>
      <c r="I6878">
        <v>4520</v>
      </c>
      <c r="J6878" t="s">
        <v>280</v>
      </c>
      <c r="K6878">
        <v>6924.71</v>
      </c>
      <c r="L6878">
        <v>27.05</v>
      </c>
      <c r="M6878">
        <v>14431</v>
      </c>
      <c r="N6878" t="s">
        <v>74</v>
      </c>
      <c r="O6878">
        <v>250829</v>
      </c>
      <c r="P6878">
        <v>193.23</v>
      </c>
    </row>
    <row r="6879" spans="1:16" x14ac:dyDescent="0.25">
      <c r="A6879" t="s">
        <v>3296</v>
      </c>
      <c r="B6879" t="s">
        <v>2931</v>
      </c>
      <c r="C6879">
        <v>11069</v>
      </c>
      <c r="D6879" t="str">
        <f t="shared" si="129"/>
        <v xml:space="preserve">2560754433  </v>
      </c>
      <c r="E6879" t="s">
        <v>277</v>
      </c>
      <c r="F6879" t="s">
        <v>279</v>
      </c>
      <c r="G6879">
        <v>241.01</v>
      </c>
      <c r="H6879">
        <v>250818</v>
      </c>
      <c r="I6879">
        <v>4520</v>
      </c>
      <c r="J6879" t="s">
        <v>280</v>
      </c>
      <c r="K6879">
        <v>6924.71</v>
      </c>
      <c r="L6879">
        <v>48.97</v>
      </c>
      <c r="M6879">
        <v>14432</v>
      </c>
      <c r="N6879" t="s">
        <v>75</v>
      </c>
      <c r="O6879">
        <v>250829</v>
      </c>
      <c r="P6879">
        <v>192.04</v>
      </c>
    </row>
    <row r="6880" spans="1:16" x14ac:dyDescent="0.25">
      <c r="A6880" t="s">
        <v>3296</v>
      </c>
      <c r="B6880" t="s">
        <v>2931</v>
      </c>
      <c r="C6880">
        <v>11069</v>
      </c>
      <c r="D6880" t="str">
        <f t="shared" si="129"/>
        <v xml:space="preserve">2560754433  </v>
      </c>
      <c r="E6880" t="s">
        <v>277</v>
      </c>
      <c r="F6880" t="s">
        <v>279</v>
      </c>
      <c r="G6880">
        <v>936.19</v>
      </c>
      <c r="H6880">
        <v>250818</v>
      </c>
      <c r="I6880">
        <v>4520</v>
      </c>
      <c r="J6880" t="s">
        <v>280</v>
      </c>
      <c r="K6880">
        <v>6924.71</v>
      </c>
      <c r="L6880">
        <v>114.97</v>
      </c>
      <c r="M6880">
        <v>14432</v>
      </c>
      <c r="N6880" t="s">
        <v>75</v>
      </c>
      <c r="O6880">
        <v>250829</v>
      </c>
      <c r="P6880">
        <v>821.22</v>
      </c>
    </row>
    <row r="6881" spans="1:16" x14ac:dyDescent="0.25">
      <c r="A6881" t="s">
        <v>3296</v>
      </c>
      <c r="B6881" t="s">
        <v>2931</v>
      </c>
      <c r="C6881">
        <v>11069</v>
      </c>
      <c r="D6881" t="str">
        <f t="shared" si="129"/>
        <v xml:space="preserve">2560754433  </v>
      </c>
      <c r="E6881" t="s">
        <v>277</v>
      </c>
      <c r="F6881" t="s">
        <v>279</v>
      </c>
      <c r="G6881">
        <v>55.07</v>
      </c>
      <c r="H6881">
        <v>250818</v>
      </c>
      <c r="I6881">
        <v>4520</v>
      </c>
      <c r="J6881" t="s">
        <v>280</v>
      </c>
      <c r="K6881">
        <v>6924.71</v>
      </c>
      <c r="L6881">
        <v>6.76</v>
      </c>
      <c r="M6881">
        <v>14640</v>
      </c>
      <c r="N6881" t="s">
        <v>78</v>
      </c>
      <c r="O6881">
        <v>250829</v>
      </c>
      <c r="P6881">
        <v>48.31</v>
      </c>
    </row>
    <row r="6882" spans="1:16" x14ac:dyDescent="0.25">
      <c r="A6882" t="s">
        <v>3296</v>
      </c>
      <c r="B6882" t="s">
        <v>2931</v>
      </c>
      <c r="C6882">
        <v>11069</v>
      </c>
      <c r="D6882" t="str">
        <f t="shared" si="129"/>
        <v xml:space="preserve">2560754433  </v>
      </c>
      <c r="E6882" t="s">
        <v>277</v>
      </c>
      <c r="F6882" t="s">
        <v>279</v>
      </c>
      <c r="G6882">
        <v>14.17</v>
      </c>
      <c r="H6882">
        <v>250818</v>
      </c>
      <c r="I6882">
        <v>4520</v>
      </c>
      <c r="J6882" t="s">
        <v>280</v>
      </c>
      <c r="K6882">
        <v>6924.71</v>
      </c>
      <c r="L6882">
        <v>2.88</v>
      </c>
      <c r="M6882">
        <v>14640</v>
      </c>
      <c r="N6882" t="s">
        <v>78</v>
      </c>
      <c r="O6882">
        <v>250829</v>
      </c>
      <c r="P6882">
        <v>11.29</v>
      </c>
    </row>
    <row r="6883" spans="1:16" x14ac:dyDescent="0.25">
      <c r="A6883" t="s">
        <v>3296</v>
      </c>
      <c r="B6883" t="s">
        <v>2931</v>
      </c>
      <c r="C6883">
        <v>11069</v>
      </c>
      <c r="D6883" t="str">
        <f t="shared" si="129"/>
        <v xml:space="preserve">2560754433  </v>
      </c>
      <c r="E6883" t="s">
        <v>277</v>
      </c>
      <c r="F6883" t="s">
        <v>279</v>
      </c>
      <c r="G6883">
        <v>56.71</v>
      </c>
      <c r="H6883">
        <v>250818</v>
      </c>
      <c r="I6883">
        <v>4520</v>
      </c>
      <c r="J6883" t="s">
        <v>280</v>
      </c>
      <c r="K6883">
        <v>6924.71</v>
      </c>
      <c r="L6883">
        <v>11.52</v>
      </c>
      <c r="M6883">
        <v>14642</v>
      </c>
      <c r="N6883" t="s">
        <v>283</v>
      </c>
      <c r="O6883">
        <v>250829</v>
      </c>
      <c r="P6883">
        <v>45.19</v>
      </c>
    </row>
    <row r="6884" spans="1:16" x14ac:dyDescent="0.25">
      <c r="A6884" t="s">
        <v>3296</v>
      </c>
      <c r="B6884" t="s">
        <v>2931</v>
      </c>
      <c r="C6884">
        <v>11069</v>
      </c>
      <c r="D6884" t="str">
        <f t="shared" si="129"/>
        <v xml:space="preserve">2560754433  </v>
      </c>
      <c r="E6884" t="s">
        <v>277</v>
      </c>
      <c r="F6884" t="s">
        <v>279</v>
      </c>
      <c r="G6884">
        <v>220.28</v>
      </c>
      <c r="H6884">
        <v>250818</v>
      </c>
      <c r="I6884">
        <v>4520</v>
      </c>
      <c r="J6884" t="s">
        <v>280</v>
      </c>
      <c r="K6884">
        <v>6924.71</v>
      </c>
      <c r="L6884">
        <v>27.05</v>
      </c>
      <c r="M6884">
        <v>14642</v>
      </c>
      <c r="N6884" t="s">
        <v>283</v>
      </c>
      <c r="O6884">
        <v>250829</v>
      </c>
      <c r="P6884">
        <v>193.23</v>
      </c>
    </row>
    <row r="6885" spans="1:16" x14ac:dyDescent="0.25">
      <c r="A6885" t="s">
        <v>3296</v>
      </c>
      <c r="B6885" t="s">
        <v>2931</v>
      </c>
      <c r="C6885">
        <v>11069</v>
      </c>
      <c r="D6885" t="str">
        <f t="shared" si="129"/>
        <v xml:space="preserve">2560754433  </v>
      </c>
      <c r="E6885" t="s">
        <v>277</v>
      </c>
      <c r="F6885" t="s">
        <v>279</v>
      </c>
      <c r="G6885">
        <v>1034.92</v>
      </c>
      <c r="H6885">
        <v>250818</v>
      </c>
      <c r="I6885">
        <v>4520</v>
      </c>
      <c r="J6885" t="s">
        <v>280</v>
      </c>
      <c r="K6885">
        <v>6924.71</v>
      </c>
      <c r="L6885">
        <v>210.28</v>
      </c>
      <c r="M6885">
        <v>14912</v>
      </c>
      <c r="N6885" t="s">
        <v>80</v>
      </c>
      <c r="O6885">
        <v>250829</v>
      </c>
      <c r="P6885">
        <v>824.64</v>
      </c>
    </row>
    <row r="6886" spans="1:16" x14ac:dyDescent="0.25">
      <c r="A6886" t="s">
        <v>3296</v>
      </c>
      <c r="B6886" t="s">
        <v>2931</v>
      </c>
      <c r="C6886">
        <v>11069</v>
      </c>
      <c r="D6886" t="str">
        <f t="shared" si="129"/>
        <v xml:space="preserve">2560754433  </v>
      </c>
      <c r="E6886" t="s">
        <v>277</v>
      </c>
      <c r="F6886" t="s">
        <v>279</v>
      </c>
      <c r="G6886">
        <v>4020.12</v>
      </c>
      <c r="H6886">
        <v>250818</v>
      </c>
      <c r="I6886">
        <v>4520</v>
      </c>
      <c r="J6886" t="s">
        <v>280</v>
      </c>
      <c r="K6886">
        <v>6924.71</v>
      </c>
      <c r="L6886">
        <v>493.7</v>
      </c>
      <c r="M6886">
        <v>14912</v>
      </c>
      <c r="N6886" t="s">
        <v>80</v>
      </c>
      <c r="O6886">
        <v>250829</v>
      </c>
      <c r="P6886">
        <v>3526.42</v>
      </c>
    </row>
    <row r="6887" spans="1:16" x14ac:dyDescent="0.25">
      <c r="A6887" t="s">
        <v>3296</v>
      </c>
      <c r="B6887" t="s">
        <v>2931</v>
      </c>
      <c r="C6887">
        <v>11148</v>
      </c>
      <c r="D6887" t="str">
        <f>"2560770557  "</f>
        <v xml:space="preserve">2560770557  </v>
      </c>
      <c r="E6887" t="s">
        <v>277</v>
      </c>
      <c r="F6887" t="s">
        <v>279</v>
      </c>
      <c r="G6887">
        <v>508</v>
      </c>
      <c r="H6887">
        <v>250825</v>
      </c>
      <c r="I6887">
        <v>4520</v>
      </c>
      <c r="J6887" t="s">
        <v>280</v>
      </c>
      <c r="K6887">
        <v>2244.85</v>
      </c>
      <c r="L6887">
        <v>62.39</v>
      </c>
      <c r="M6887">
        <v>54422</v>
      </c>
      <c r="N6887" t="s">
        <v>49</v>
      </c>
      <c r="O6887">
        <v>250901</v>
      </c>
      <c r="P6887">
        <v>445.61</v>
      </c>
    </row>
    <row r="6888" spans="1:16" x14ac:dyDescent="0.25">
      <c r="A6888" t="s">
        <v>3296</v>
      </c>
      <c r="B6888" t="s">
        <v>2931</v>
      </c>
      <c r="C6888">
        <v>11148</v>
      </c>
      <c r="D6888" t="str">
        <f>"2560770557  "</f>
        <v xml:space="preserve">2560770557  </v>
      </c>
      <c r="E6888" t="s">
        <v>277</v>
      </c>
      <c r="F6888" t="s">
        <v>279</v>
      </c>
      <c r="G6888">
        <v>1502.7</v>
      </c>
      <c r="H6888">
        <v>250825</v>
      </c>
      <c r="I6888">
        <v>4520</v>
      </c>
      <c r="J6888" t="s">
        <v>280</v>
      </c>
      <c r="K6888">
        <v>2244.85</v>
      </c>
      <c r="L6888">
        <v>184.54</v>
      </c>
      <c r="M6888">
        <v>54451</v>
      </c>
      <c r="N6888" t="s">
        <v>218</v>
      </c>
      <c r="O6888">
        <v>250901</v>
      </c>
      <c r="P6888">
        <v>1318.16</v>
      </c>
    </row>
    <row r="6889" spans="1:16" x14ac:dyDescent="0.25">
      <c r="A6889" t="s">
        <v>3296</v>
      </c>
      <c r="B6889" t="s">
        <v>2931</v>
      </c>
      <c r="C6889">
        <v>11177</v>
      </c>
      <c r="D6889" t="str">
        <f>"2560786485  "</f>
        <v xml:space="preserve">2560786485  </v>
      </c>
      <c r="E6889" t="s">
        <v>277</v>
      </c>
      <c r="F6889" t="s">
        <v>279</v>
      </c>
      <c r="G6889">
        <v>558</v>
      </c>
      <c r="H6889">
        <v>250831</v>
      </c>
      <c r="I6889">
        <v>4520</v>
      </c>
      <c r="J6889" t="s">
        <v>280</v>
      </c>
      <c r="K6889">
        <v>2733.02</v>
      </c>
      <c r="L6889">
        <v>68.53</v>
      </c>
      <c r="M6889">
        <v>54422</v>
      </c>
      <c r="N6889" t="s">
        <v>49</v>
      </c>
      <c r="O6889">
        <v>250901</v>
      </c>
      <c r="P6889">
        <v>489.47</v>
      </c>
    </row>
    <row r="6890" spans="1:16" x14ac:dyDescent="0.25">
      <c r="A6890" t="s">
        <v>3296</v>
      </c>
      <c r="B6890" t="s">
        <v>2931</v>
      </c>
      <c r="C6890">
        <v>11177</v>
      </c>
      <c r="D6890" t="str">
        <f>"2560786485  "</f>
        <v xml:space="preserve">2560786485  </v>
      </c>
      <c r="E6890" t="s">
        <v>277</v>
      </c>
      <c r="F6890" t="s">
        <v>279</v>
      </c>
      <c r="G6890">
        <v>1964.46</v>
      </c>
      <c r="H6890">
        <v>250831</v>
      </c>
      <c r="I6890">
        <v>4520</v>
      </c>
      <c r="J6890" t="s">
        <v>280</v>
      </c>
      <c r="K6890">
        <v>2733.02</v>
      </c>
      <c r="L6890">
        <v>241.25</v>
      </c>
      <c r="M6890">
        <v>54451</v>
      </c>
      <c r="N6890" t="s">
        <v>218</v>
      </c>
      <c r="O6890">
        <v>250901</v>
      </c>
      <c r="P6890">
        <v>1723.21</v>
      </c>
    </row>
    <row r="6891" spans="1:16" x14ac:dyDescent="0.25">
      <c r="A6891" t="s">
        <v>3296</v>
      </c>
      <c r="B6891" t="s">
        <v>2931</v>
      </c>
      <c r="C6891">
        <v>11216</v>
      </c>
      <c r="D6891" t="str">
        <f>"2560786489  "</f>
        <v xml:space="preserve">2560786489  </v>
      </c>
      <c r="E6891" t="s">
        <v>277</v>
      </c>
      <c r="F6891" t="s">
        <v>279</v>
      </c>
      <c r="G6891">
        <v>-7.27</v>
      </c>
      <c r="H6891">
        <v>250831</v>
      </c>
      <c r="I6891">
        <v>4520</v>
      </c>
      <c r="J6891" t="s">
        <v>280</v>
      </c>
      <c r="K6891">
        <v>-19.82</v>
      </c>
      <c r="L6891">
        <v>-0.89</v>
      </c>
      <c r="M6891">
        <v>17915</v>
      </c>
      <c r="N6891" t="s">
        <v>305</v>
      </c>
      <c r="O6891">
        <v>250902</v>
      </c>
      <c r="P6891">
        <v>-6.38</v>
      </c>
    </row>
    <row r="6892" spans="1:16" x14ac:dyDescent="0.25">
      <c r="A6892" t="s">
        <v>3296</v>
      </c>
      <c r="B6892" t="s">
        <v>2931</v>
      </c>
      <c r="C6892">
        <v>11216</v>
      </c>
      <c r="D6892" t="str">
        <f>"2560786489  "</f>
        <v xml:space="preserve">2560786489  </v>
      </c>
      <c r="E6892" t="s">
        <v>277</v>
      </c>
      <c r="F6892" t="s">
        <v>279</v>
      </c>
      <c r="G6892">
        <v>-12.55</v>
      </c>
      <c r="H6892">
        <v>250831</v>
      </c>
      <c r="I6892">
        <v>4520</v>
      </c>
      <c r="J6892" t="s">
        <v>280</v>
      </c>
      <c r="K6892">
        <v>-19.82</v>
      </c>
      <c r="L6892">
        <v>-2.5499999999999998</v>
      </c>
      <c r="M6892">
        <v>17915</v>
      </c>
      <c r="N6892" t="s">
        <v>305</v>
      </c>
      <c r="O6892">
        <v>250902</v>
      </c>
      <c r="P6892">
        <v>-10</v>
      </c>
    </row>
    <row r="6893" spans="1:16" x14ac:dyDescent="0.25">
      <c r="A6893" t="s">
        <v>3296</v>
      </c>
      <c r="B6893" t="s">
        <v>2931</v>
      </c>
      <c r="C6893">
        <v>11253</v>
      </c>
      <c r="D6893" t="str">
        <f>"2560786490  "</f>
        <v xml:space="preserve">2560786490  </v>
      </c>
      <c r="E6893" t="s">
        <v>277</v>
      </c>
      <c r="F6893" t="s">
        <v>279</v>
      </c>
      <c r="G6893">
        <v>117.4</v>
      </c>
      <c r="H6893">
        <v>250831</v>
      </c>
      <c r="I6893">
        <v>4520</v>
      </c>
      <c r="J6893" t="s">
        <v>280</v>
      </c>
      <c r="K6893">
        <v>1251.53</v>
      </c>
      <c r="L6893">
        <v>14.42</v>
      </c>
      <c r="M6893">
        <v>16442</v>
      </c>
      <c r="N6893" t="s">
        <v>304</v>
      </c>
      <c r="O6893">
        <v>250902</v>
      </c>
      <c r="P6893">
        <v>102.98</v>
      </c>
    </row>
    <row r="6894" spans="1:16" x14ac:dyDescent="0.25">
      <c r="A6894" t="s">
        <v>3296</v>
      </c>
      <c r="B6894" t="s">
        <v>2931</v>
      </c>
      <c r="C6894">
        <v>11253</v>
      </c>
      <c r="D6894" t="str">
        <f>"2560786490  "</f>
        <v xml:space="preserve">2560786490  </v>
      </c>
      <c r="E6894" t="s">
        <v>277</v>
      </c>
      <c r="F6894" t="s">
        <v>279</v>
      </c>
      <c r="G6894">
        <v>1008.93</v>
      </c>
      <c r="H6894">
        <v>250831</v>
      </c>
      <c r="I6894">
        <v>4520</v>
      </c>
      <c r="J6894" t="s">
        <v>280</v>
      </c>
      <c r="K6894">
        <v>1251.53</v>
      </c>
      <c r="L6894">
        <v>123.9</v>
      </c>
      <c r="M6894">
        <v>17913</v>
      </c>
      <c r="N6894" t="s">
        <v>26</v>
      </c>
      <c r="O6894">
        <v>250902</v>
      </c>
      <c r="P6894">
        <v>885.03</v>
      </c>
    </row>
    <row r="6895" spans="1:16" x14ac:dyDescent="0.25">
      <c r="A6895" t="s">
        <v>3296</v>
      </c>
      <c r="B6895" t="s">
        <v>2931</v>
      </c>
      <c r="C6895">
        <v>11253</v>
      </c>
      <c r="D6895" t="str">
        <f>"2560786490  "</f>
        <v xml:space="preserve">2560786490  </v>
      </c>
      <c r="E6895" t="s">
        <v>277</v>
      </c>
      <c r="F6895" t="s">
        <v>279</v>
      </c>
      <c r="G6895">
        <v>125.2</v>
      </c>
      <c r="H6895">
        <v>250831</v>
      </c>
      <c r="I6895">
        <v>4520</v>
      </c>
      <c r="J6895" t="s">
        <v>280</v>
      </c>
      <c r="K6895">
        <v>1251.53</v>
      </c>
      <c r="L6895">
        <v>15.38</v>
      </c>
      <c r="M6895">
        <v>17982</v>
      </c>
      <c r="N6895" t="s">
        <v>281</v>
      </c>
      <c r="O6895">
        <v>250902</v>
      </c>
      <c r="P6895">
        <v>109.82</v>
      </c>
    </row>
    <row r="6896" spans="1:16" x14ac:dyDescent="0.25">
      <c r="A6896" t="s">
        <v>3296</v>
      </c>
      <c r="B6896" t="s">
        <v>2931</v>
      </c>
      <c r="C6896">
        <v>11321</v>
      </c>
      <c r="D6896" t="str">
        <f>"2560817438  "</f>
        <v xml:space="preserve">2560817438  </v>
      </c>
      <c r="E6896" t="s">
        <v>277</v>
      </c>
      <c r="F6896" t="s">
        <v>279</v>
      </c>
      <c r="G6896">
        <v>24.56</v>
      </c>
      <c r="H6896">
        <v>250901</v>
      </c>
      <c r="I6896">
        <v>4520</v>
      </c>
      <c r="J6896" t="s">
        <v>280</v>
      </c>
      <c r="K6896">
        <v>24.56</v>
      </c>
      <c r="L6896">
        <v>3.02</v>
      </c>
      <c r="M6896">
        <v>59113</v>
      </c>
      <c r="N6896" t="s">
        <v>61</v>
      </c>
      <c r="O6896">
        <v>250903</v>
      </c>
      <c r="P6896">
        <v>21.54</v>
      </c>
    </row>
    <row r="6897" spans="1:16" x14ac:dyDescent="0.25">
      <c r="A6897" t="s">
        <v>3296</v>
      </c>
      <c r="B6897" t="s">
        <v>2931</v>
      </c>
      <c r="C6897">
        <v>11327</v>
      </c>
      <c r="D6897" t="str">
        <f>"2560786484  "</f>
        <v xml:space="preserve">2560786484  </v>
      </c>
      <c r="E6897" t="s">
        <v>277</v>
      </c>
      <c r="F6897" t="s">
        <v>279</v>
      </c>
      <c r="G6897">
        <v>643.77</v>
      </c>
      <c r="H6897">
        <v>250831</v>
      </c>
      <c r="I6897">
        <v>4520</v>
      </c>
      <c r="J6897" t="s">
        <v>280</v>
      </c>
      <c r="K6897">
        <v>656.32</v>
      </c>
      <c r="L6897">
        <v>79.06</v>
      </c>
      <c r="M6897">
        <v>59114</v>
      </c>
      <c r="N6897" t="s">
        <v>299</v>
      </c>
      <c r="O6897">
        <v>250903</v>
      </c>
      <c r="P6897">
        <v>564.71</v>
      </c>
    </row>
    <row r="6898" spans="1:16" x14ac:dyDescent="0.25">
      <c r="A6898" t="s">
        <v>3296</v>
      </c>
      <c r="B6898" t="s">
        <v>2931</v>
      </c>
      <c r="C6898">
        <v>11330</v>
      </c>
      <c r="D6898" t="str">
        <f>"2560786486  "</f>
        <v xml:space="preserve">2560786486  </v>
      </c>
      <c r="E6898" t="s">
        <v>277</v>
      </c>
      <c r="F6898" t="s">
        <v>279</v>
      </c>
      <c r="G6898">
        <v>1626.04</v>
      </c>
      <c r="H6898">
        <v>250831</v>
      </c>
      <c r="I6898">
        <v>4520</v>
      </c>
      <c r="J6898" t="s">
        <v>280</v>
      </c>
      <c r="K6898">
        <v>1944.39</v>
      </c>
      <c r="L6898">
        <v>199.69</v>
      </c>
      <c r="M6898">
        <v>59113</v>
      </c>
      <c r="N6898" t="s">
        <v>61</v>
      </c>
      <c r="O6898">
        <v>250903</v>
      </c>
      <c r="P6898">
        <v>1426.35</v>
      </c>
    </row>
    <row r="6899" spans="1:16" x14ac:dyDescent="0.25">
      <c r="A6899" t="s">
        <v>3296</v>
      </c>
      <c r="B6899" t="s">
        <v>2931</v>
      </c>
      <c r="C6899">
        <v>11330</v>
      </c>
      <c r="D6899" t="str">
        <f>"2560786486  "</f>
        <v xml:space="preserve">2560786486  </v>
      </c>
      <c r="E6899" t="s">
        <v>277</v>
      </c>
      <c r="F6899" t="s">
        <v>279</v>
      </c>
      <c r="G6899">
        <v>286.95</v>
      </c>
      <c r="H6899">
        <v>250831</v>
      </c>
      <c r="I6899">
        <v>4520</v>
      </c>
      <c r="J6899" t="s">
        <v>280</v>
      </c>
      <c r="K6899">
        <v>1944.39</v>
      </c>
      <c r="L6899">
        <v>35.24</v>
      </c>
      <c r="M6899">
        <v>59803</v>
      </c>
      <c r="N6899" t="s">
        <v>282</v>
      </c>
      <c r="O6899">
        <v>250903</v>
      </c>
      <c r="P6899">
        <v>251.71</v>
      </c>
    </row>
    <row r="6900" spans="1:16" x14ac:dyDescent="0.25">
      <c r="A6900" t="s">
        <v>3296</v>
      </c>
      <c r="B6900" t="s">
        <v>2931</v>
      </c>
      <c r="C6900">
        <v>11335</v>
      </c>
      <c r="D6900" t="str">
        <f>"2560786493  "</f>
        <v xml:space="preserve">2560786493  </v>
      </c>
      <c r="E6900" t="s">
        <v>277</v>
      </c>
      <c r="F6900" t="s">
        <v>279</v>
      </c>
      <c r="G6900">
        <v>1281.3</v>
      </c>
      <c r="H6900">
        <v>250831</v>
      </c>
      <c r="I6900">
        <v>4520</v>
      </c>
      <c r="J6900" t="s">
        <v>280</v>
      </c>
      <c r="K6900">
        <v>1725.66</v>
      </c>
      <c r="L6900">
        <v>157.35</v>
      </c>
      <c r="M6900">
        <v>69112</v>
      </c>
      <c r="N6900" t="s">
        <v>227</v>
      </c>
      <c r="O6900">
        <v>250903</v>
      </c>
      <c r="P6900">
        <v>1123.95</v>
      </c>
    </row>
    <row r="6901" spans="1:16" x14ac:dyDescent="0.25">
      <c r="A6901" t="s">
        <v>3296</v>
      </c>
      <c r="B6901" t="s">
        <v>2931</v>
      </c>
      <c r="C6901">
        <v>11335</v>
      </c>
      <c r="D6901" t="str">
        <f>"2560786493  "</f>
        <v xml:space="preserve">2560786493  </v>
      </c>
      <c r="E6901" t="s">
        <v>277</v>
      </c>
      <c r="F6901" t="s">
        <v>279</v>
      </c>
      <c r="G6901">
        <v>71.19</v>
      </c>
      <c r="H6901">
        <v>250831</v>
      </c>
      <c r="I6901">
        <v>4520</v>
      </c>
      <c r="J6901" t="s">
        <v>280</v>
      </c>
      <c r="K6901">
        <v>1725.66</v>
      </c>
      <c r="L6901">
        <v>8.74</v>
      </c>
      <c r="M6901">
        <v>69810</v>
      </c>
      <c r="N6901" t="s">
        <v>229</v>
      </c>
      <c r="O6901">
        <v>250903</v>
      </c>
      <c r="P6901">
        <v>62.45</v>
      </c>
    </row>
    <row r="6902" spans="1:16" x14ac:dyDescent="0.25">
      <c r="A6902" t="s">
        <v>3296</v>
      </c>
      <c r="B6902" t="s">
        <v>2931</v>
      </c>
      <c r="C6902">
        <v>11335</v>
      </c>
      <c r="D6902" t="str">
        <f>"2560786493  "</f>
        <v xml:space="preserve">2560786493  </v>
      </c>
      <c r="E6902" t="s">
        <v>277</v>
      </c>
      <c r="F6902" t="s">
        <v>279</v>
      </c>
      <c r="G6902">
        <v>71.180000000000007</v>
      </c>
      <c r="H6902">
        <v>250831</v>
      </c>
      <c r="I6902">
        <v>4520</v>
      </c>
      <c r="J6902" t="s">
        <v>280</v>
      </c>
      <c r="K6902">
        <v>1725.66</v>
      </c>
      <c r="L6902">
        <v>8.74</v>
      </c>
      <c r="M6902">
        <v>69811</v>
      </c>
      <c r="N6902" t="s">
        <v>230</v>
      </c>
      <c r="O6902">
        <v>250903</v>
      </c>
      <c r="P6902">
        <v>62.44</v>
      </c>
    </row>
    <row r="6903" spans="1:16" x14ac:dyDescent="0.25">
      <c r="A6903" t="s">
        <v>3296</v>
      </c>
      <c r="B6903" t="s">
        <v>2931</v>
      </c>
      <c r="C6903">
        <v>11347</v>
      </c>
      <c r="D6903" t="str">
        <f t="shared" ref="D6903:D6914" si="130">"2560770564  "</f>
        <v xml:space="preserve">2560770564  </v>
      </c>
      <c r="E6903" t="s">
        <v>277</v>
      </c>
      <c r="F6903" t="s">
        <v>279</v>
      </c>
      <c r="G6903">
        <v>6.42</v>
      </c>
      <c r="H6903">
        <v>250825</v>
      </c>
      <c r="I6903">
        <v>4520</v>
      </c>
      <c r="J6903" t="s">
        <v>280</v>
      </c>
      <c r="K6903">
        <v>5671.78</v>
      </c>
      <c r="L6903">
        <v>1.3</v>
      </c>
      <c r="M6903">
        <v>14422</v>
      </c>
      <c r="N6903" t="s">
        <v>73</v>
      </c>
      <c r="O6903">
        <v>250904</v>
      </c>
      <c r="P6903">
        <v>5.12</v>
      </c>
    </row>
    <row r="6904" spans="1:16" x14ac:dyDescent="0.25">
      <c r="A6904" t="s">
        <v>3296</v>
      </c>
      <c r="B6904" t="s">
        <v>2931</v>
      </c>
      <c r="C6904">
        <v>11347</v>
      </c>
      <c r="D6904" t="str">
        <f t="shared" si="130"/>
        <v xml:space="preserve">2560770564  </v>
      </c>
      <c r="E6904" t="s">
        <v>277</v>
      </c>
      <c r="F6904" t="s">
        <v>279</v>
      </c>
      <c r="G6904">
        <v>50.29</v>
      </c>
      <c r="H6904">
        <v>250825</v>
      </c>
      <c r="I6904">
        <v>4520</v>
      </c>
      <c r="J6904" t="s">
        <v>280</v>
      </c>
      <c r="K6904">
        <v>5671.78</v>
      </c>
      <c r="L6904">
        <v>6.18</v>
      </c>
      <c r="M6904">
        <v>14422</v>
      </c>
      <c r="N6904" t="s">
        <v>73</v>
      </c>
      <c r="O6904">
        <v>250904</v>
      </c>
      <c r="P6904">
        <v>44.11</v>
      </c>
    </row>
    <row r="6905" spans="1:16" x14ac:dyDescent="0.25">
      <c r="A6905" t="s">
        <v>3296</v>
      </c>
      <c r="B6905" t="s">
        <v>2931</v>
      </c>
      <c r="C6905">
        <v>11347</v>
      </c>
      <c r="D6905" t="str">
        <f t="shared" si="130"/>
        <v xml:space="preserve">2560770564  </v>
      </c>
      <c r="E6905" t="s">
        <v>277</v>
      </c>
      <c r="F6905" t="s">
        <v>279</v>
      </c>
      <c r="G6905">
        <v>25.71</v>
      </c>
      <c r="H6905">
        <v>250825</v>
      </c>
      <c r="I6905">
        <v>4520</v>
      </c>
      <c r="J6905" t="s">
        <v>280</v>
      </c>
      <c r="K6905">
        <v>5671.78</v>
      </c>
      <c r="L6905">
        <v>5.22</v>
      </c>
      <c r="M6905">
        <v>14431</v>
      </c>
      <c r="N6905" t="s">
        <v>74</v>
      </c>
      <c r="O6905">
        <v>250904</v>
      </c>
      <c r="P6905">
        <v>20.49</v>
      </c>
    </row>
    <row r="6906" spans="1:16" x14ac:dyDescent="0.25">
      <c r="A6906" t="s">
        <v>3296</v>
      </c>
      <c r="B6906" t="s">
        <v>2931</v>
      </c>
      <c r="C6906">
        <v>11347</v>
      </c>
      <c r="D6906" t="str">
        <f t="shared" si="130"/>
        <v xml:space="preserve">2560770564  </v>
      </c>
      <c r="E6906" t="s">
        <v>277</v>
      </c>
      <c r="F6906" t="s">
        <v>279</v>
      </c>
      <c r="G6906">
        <v>201.16</v>
      </c>
      <c r="H6906">
        <v>250825</v>
      </c>
      <c r="I6906">
        <v>4520</v>
      </c>
      <c r="J6906" t="s">
        <v>280</v>
      </c>
      <c r="K6906">
        <v>5671.78</v>
      </c>
      <c r="L6906">
        <v>24.7</v>
      </c>
      <c r="M6906">
        <v>14431</v>
      </c>
      <c r="N6906" t="s">
        <v>74</v>
      </c>
      <c r="O6906">
        <v>250904</v>
      </c>
      <c r="P6906">
        <v>176.46</v>
      </c>
    </row>
    <row r="6907" spans="1:16" x14ac:dyDescent="0.25">
      <c r="A6907" t="s">
        <v>3296</v>
      </c>
      <c r="B6907" t="s">
        <v>2931</v>
      </c>
      <c r="C6907">
        <v>11347</v>
      </c>
      <c r="D6907" t="str">
        <f t="shared" si="130"/>
        <v xml:space="preserve">2560770564  </v>
      </c>
      <c r="E6907" t="s">
        <v>277</v>
      </c>
      <c r="F6907" t="s">
        <v>279</v>
      </c>
      <c r="G6907">
        <v>109.27</v>
      </c>
      <c r="H6907">
        <v>250825</v>
      </c>
      <c r="I6907">
        <v>4520</v>
      </c>
      <c r="J6907" t="s">
        <v>280</v>
      </c>
      <c r="K6907">
        <v>5671.78</v>
      </c>
      <c r="L6907">
        <v>22.2</v>
      </c>
      <c r="M6907">
        <v>14432</v>
      </c>
      <c r="N6907" t="s">
        <v>75</v>
      </c>
      <c r="O6907">
        <v>250904</v>
      </c>
      <c r="P6907">
        <v>87.07</v>
      </c>
    </row>
    <row r="6908" spans="1:16" x14ac:dyDescent="0.25">
      <c r="A6908" t="s">
        <v>3296</v>
      </c>
      <c r="B6908" t="s">
        <v>2931</v>
      </c>
      <c r="C6908">
        <v>11347</v>
      </c>
      <c r="D6908" t="str">
        <f t="shared" si="130"/>
        <v xml:space="preserve">2560770564  </v>
      </c>
      <c r="E6908" t="s">
        <v>277</v>
      </c>
      <c r="F6908" t="s">
        <v>279</v>
      </c>
      <c r="G6908">
        <v>854.94</v>
      </c>
      <c r="H6908">
        <v>250825</v>
      </c>
      <c r="I6908">
        <v>4520</v>
      </c>
      <c r="J6908" t="s">
        <v>280</v>
      </c>
      <c r="K6908">
        <v>5671.78</v>
      </c>
      <c r="L6908">
        <v>104.99</v>
      </c>
      <c r="M6908">
        <v>14432</v>
      </c>
      <c r="N6908" t="s">
        <v>75</v>
      </c>
      <c r="O6908">
        <v>250904</v>
      </c>
      <c r="P6908">
        <v>749.95</v>
      </c>
    </row>
    <row r="6909" spans="1:16" x14ac:dyDescent="0.25">
      <c r="A6909" t="s">
        <v>3296</v>
      </c>
      <c r="B6909" t="s">
        <v>2931</v>
      </c>
      <c r="C6909">
        <v>11347</v>
      </c>
      <c r="D6909" t="str">
        <f t="shared" si="130"/>
        <v xml:space="preserve">2560770564  </v>
      </c>
      <c r="E6909" t="s">
        <v>277</v>
      </c>
      <c r="F6909" t="s">
        <v>279</v>
      </c>
      <c r="G6909">
        <v>6.43</v>
      </c>
      <c r="H6909">
        <v>250825</v>
      </c>
      <c r="I6909">
        <v>4520</v>
      </c>
      <c r="J6909" t="s">
        <v>280</v>
      </c>
      <c r="K6909">
        <v>5671.78</v>
      </c>
      <c r="L6909">
        <v>1.31</v>
      </c>
      <c r="M6909">
        <v>14640</v>
      </c>
      <c r="N6909" t="s">
        <v>78</v>
      </c>
      <c r="O6909">
        <v>250904</v>
      </c>
      <c r="P6909">
        <v>5.12</v>
      </c>
    </row>
    <row r="6910" spans="1:16" x14ac:dyDescent="0.25">
      <c r="A6910" t="s">
        <v>3296</v>
      </c>
      <c r="B6910" t="s">
        <v>2931</v>
      </c>
      <c r="C6910">
        <v>11347</v>
      </c>
      <c r="D6910" t="str">
        <f t="shared" si="130"/>
        <v xml:space="preserve">2560770564  </v>
      </c>
      <c r="E6910" t="s">
        <v>277</v>
      </c>
      <c r="F6910" t="s">
        <v>279</v>
      </c>
      <c r="G6910">
        <v>50.29</v>
      </c>
      <c r="H6910">
        <v>250825</v>
      </c>
      <c r="I6910">
        <v>4520</v>
      </c>
      <c r="J6910" t="s">
        <v>280</v>
      </c>
      <c r="K6910">
        <v>5671.78</v>
      </c>
      <c r="L6910">
        <v>6.18</v>
      </c>
      <c r="M6910">
        <v>14640</v>
      </c>
      <c r="N6910" t="s">
        <v>78</v>
      </c>
      <c r="O6910">
        <v>250904</v>
      </c>
      <c r="P6910">
        <v>44.11</v>
      </c>
    </row>
    <row r="6911" spans="1:16" x14ac:dyDescent="0.25">
      <c r="A6911" t="s">
        <v>3296</v>
      </c>
      <c r="B6911" t="s">
        <v>2931</v>
      </c>
      <c r="C6911">
        <v>11347</v>
      </c>
      <c r="D6911" t="str">
        <f t="shared" si="130"/>
        <v xml:space="preserve">2560770564  </v>
      </c>
      <c r="E6911" t="s">
        <v>277</v>
      </c>
      <c r="F6911" t="s">
        <v>279</v>
      </c>
      <c r="G6911">
        <v>25.71</v>
      </c>
      <c r="H6911">
        <v>250825</v>
      </c>
      <c r="I6911">
        <v>4520</v>
      </c>
      <c r="J6911" t="s">
        <v>280</v>
      </c>
      <c r="K6911">
        <v>5671.78</v>
      </c>
      <c r="L6911">
        <v>5.22</v>
      </c>
      <c r="M6911">
        <v>14642</v>
      </c>
      <c r="N6911" t="s">
        <v>283</v>
      </c>
      <c r="O6911">
        <v>250904</v>
      </c>
      <c r="P6911">
        <v>20.49</v>
      </c>
    </row>
    <row r="6912" spans="1:16" x14ac:dyDescent="0.25">
      <c r="A6912" t="s">
        <v>3296</v>
      </c>
      <c r="B6912" t="s">
        <v>2931</v>
      </c>
      <c r="C6912">
        <v>11347</v>
      </c>
      <c r="D6912" t="str">
        <f t="shared" si="130"/>
        <v xml:space="preserve">2560770564  </v>
      </c>
      <c r="E6912" t="s">
        <v>277</v>
      </c>
      <c r="F6912" t="s">
        <v>279</v>
      </c>
      <c r="G6912">
        <v>201.16</v>
      </c>
      <c r="H6912">
        <v>250825</v>
      </c>
      <c r="I6912">
        <v>4520</v>
      </c>
      <c r="J6912" t="s">
        <v>280</v>
      </c>
      <c r="K6912">
        <v>5671.78</v>
      </c>
      <c r="L6912">
        <v>24.7</v>
      </c>
      <c r="M6912">
        <v>14642</v>
      </c>
      <c r="N6912" t="s">
        <v>283</v>
      </c>
      <c r="O6912">
        <v>250904</v>
      </c>
      <c r="P6912">
        <v>176.46</v>
      </c>
    </row>
    <row r="6913" spans="1:16" x14ac:dyDescent="0.25">
      <c r="A6913" t="s">
        <v>3296</v>
      </c>
      <c r="B6913" t="s">
        <v>2931</v>
      </c>
      <c r="C6913">
        <v>11347</v>
      </c>
      <c r="D6913" t="str">
        <f t="shared" si="130"/>
        <v xml:space="preserve">2560770564  </v>
      </c>
      <c r="E6913" t="s">
        <v>277</v>
      </c>
      <c r="F6913" t="s">
        <v>279</v>
      </c>
      <c r="G6913">
        <v>469.2</v>
      </c>
      <c r="H6913">
        <v>250825</v>
      </c>
      <c r="I6913">
        <v>4520</v>
      </c>
      <c r="J6913" t="s">
        <v>280</v>
      </c>
      <c r="K6913">
        <v>5671.78</v>
      </c>
      <c r="L6913">
        <v>95.34</v>
      </c>
      <c r="M6913">
        <v>14912</v>
      </c>
      <c r="N6913" t="s">
        <v>80</v>
      </c>
      <c r="O6913">
        <v>250904</v>
      </c>
      <c r="P6913">
        <v>373.86</v>
      </c>
    </row>
    <row r="6914" spans="1:16" x14ac:dyDescent="0.25">
      <c r="A6914" t="s">
        <v>3296</v>
      </c>
      <c r="B6914" t="s">
        <v>2931</v>
      </c>
      <c r="C6914">
        <v>11347</v>
      </c>
      <c r="D6914" t="str">
        <f t="shared" si="130"/>
        <v xml:space="preserve">2560770564  </v>
      </c>
      <c r="E6914" t="s">
        <v>277</v>
      </c>
      <c r="F6914" t="s">
        <v>279</v>
      </c>
      <c r="G6914">
        <v>3671.2</v>
      </c>
      <c r="H6914">
        <v>250825</v>
      </c>
      <c r="I6914">
        <v>4520</v>
      </c>
      <c r="J6914" t="s">
        <v>280</v>
      </c>
      <c r="K6914">
        <v>5671.78</v>
      </c>
      <c r="L6914">
        <v>450.85</v>
      </c>
      <c r="M6914">
        <v>14912</v>
      </c>
      <c r="N6914" t="s">
        <v>80</v>
      </c>
      <c r="O6914">
        <v>250904</v>
      </c>
      <c r="P6914">
        <v>3220.35</v>
      </c>
    </row>
    <row r="6915" spans="1:16" x14ac:dyDescent="0.25">
      <c r="A6915" t="s">
        <v>3296</v>
      </c>
      <c r="B6915" t="s">
        <v>2931</v>
      </c>
      <c r="C6915">
        <v>11378</v>
      </c>
      <c r="D6915" t="str">
        <f t="shared" ref="D6915:D6927" si="131">"2560786491  "</f>
        <v xml:space="preserve">2560786491  </v>
      </c>
      <c r="E6915" t="s">
        <v>277</v>
      </c>
      <c r="F6915" t="s">
        <v>279</v>
      </c>
      <c r="G6915">
        <v>12.38</v>
      </c>
      <c r="H6915">
        <v>250831</v>
      </c>
      <c r="I6915">
        <v>4520</v>
      </c>
      <c r="J6915" t="s">
        <v>280</v>
      </c>
      <c r="K6915">
        <v>8990.5400000000009</v>
      </c>
      <c r="L6915">
        <v>2.52</v>
      </c>
      <c r="M6915">
        <v>14422</v>
      </c>
      <c r="N6915" t="s">
        <v>73</v>
      </c>
      <c r="O6915">
        <v>250904</v>
      </c>
      <c r="P6915">
        <v>9.86</v>
      </c>
    </row>
    <row r="6916" spans="1:16" x14ac:dyDescent="0.25">
      <c r="A6916" t="s">
        <v>3296</v>
      </c>
      <c r="B6916" t="s">
        <v>2931</v>
      </c>
      <c r="C6916">
        <v>11378</v>
      </c>
      <c r="D6916" t="str">
        <f t="shared" si="131"/>
        <v xml:space="preserve">2560786491  </v>
      </c>
      <c r="E6916" t="s">
        <v>277</v>
      </c>
      <c r="F6916" t="s">
        <v>279</v>
      </c>
      <c r="G6916">
        <v>74.77</v>
      </c>
      <c r="H6916">
        <v>250831</v>
      </c>
      <c r="I6916">
        <v>4520</v>
      </c>
      <c r="J6916" t="s">
        <v>280</v>
      </c>
      <c r="K6916">
        <v>8990.5400000000009</v>
      </c>
      <c r="L6916">
        <v>9.18</v>
      </c>
      <c r="M6916">
        <v>14422</v>
      </c>
      <c r="N6916" t="s">
        <v>73</v>
      </c>
      <c r="O6916">
        <v>250904</v>
      </c>
      <c r="P6916">
        <v>65.59</v>
      </c>
    </row>
    <row r="6917" spans="1:16" x14ac:dyDescent="0.25">
      <c r="A6917" t="s">
        <v>3296</v>
      </c>
      <c r="B6917" t="s">
        <v>2931</v>
      </c>
      <c r="C6917">
        <v>11378</v>
      </c>
      <c r="D6917" t="str">
        <f t="shared" si="131"/>
        <v xml:space="preserve">2560786491  </v>
      </c>
      <c r="E6917" t="s">
        <v>277</v>
      </c>
      <c r="F6917" t="s">
        <v>279</v>
      </c>
      <c r="G6917">
        <v>276.25</v>
      </c>
      <c r="H6917">
        <v>250831</v>
      </c>
      <c r="I6917">
        <v>4520</v>
      </c>
      <c r="J6917" t="s">
        <v>280</v>
      </c>
      <c r="K6917">
        <v>8990.5400000000009</v>
      </c>
      <c r="L6917">
        <v>56.13</v>
      </c>
      <c r="M6917">
        <v>14422</v>
      </c>
      <c r="N6917" t="s">
        <v>73</v>
      </c>
      <c r="O6917">
        <v>250904</v>
      </c>
      <c r="P6917">
        <v>220.12</v>
      </c>
    </row>
    <row r="6918" spans="1:16" x14ac:dyDescent="0.25">
      <c r="A6918" t="s">
        <v>3296</v>
      </c>
      <c r="B6918" t="s">
        <v>2931</v>
      </c>
      <c r="C6918">
        <v>11378</v>
      </c>
      <c r="D6918" t="str">
        <f t="shared" si="131"/>
        <v xml:space="preserve">2560786491  </v>
      </c>
      <c r="E6918" t="s">
        <v>277</v>
      </c>
      <c r="F6918" t="s">
        <v>279</v>
      </c>
      <c r="G6918">
        <v>49.52</v>
      </c>
      <c r="H6918">
        <v>250831</v>
      </c>
      <c r="I6918">
        <v>4520</v>
      </c>
      <c r="J6918" t="s">
        <v>280</v>
      </c>
      <c r="K6918">
        <v>8990.5400000000009</v>
      </c>
      <c r="L6918">
        <v>10.06</v>
      </c>
      <c r="M6918">
        <v>14431</v>
      </c>
      <c r="N6918" t="s">
        <v>74</v>
      </c>
      <c r="O6918">
        <v>250904</v>
      </c>
      <c r="P6918">
        <v>39.46</v>
      </c>
    </row>
    <row r="6919" spans="1:16" x14ac:dyDescent="0.25">
      <c r="A6919" t="s">
        <v>3296</v>
      </c>
      <c r="B6919" t="s">
        <v>2931</v>
      </c>
      <c r="C6919">
        <v>11378</v>
      </c>
      <c r="D6919" t="str">
        <f t="shared" si="131"/>
        <v xml:space="preserve">2560786491  </v>
      </c>
      <c r="E6919" t="s">
        <v>277</v>
      </c>
      <c r="F6919" t="s">
        <v>279</v>
      </c>
      <c r="G6919">
        <v>299.05</v>
      </c>
      <c r="H6919">
        <v>250831</v>
      </c>
      <c r="I6919">
        <v>4520</v>
      </c>
      <c r="J6919" t="s">
        <v>280</v>
      </c>
      <c r="K6919">
        <v>8990.5400000000009</v>
      </c>
      <c r="L6919">
        <v>36.729999999999997</v>
      </c>
      <c r="M6919">
        <v>14431</v>
      </c>
      <c r="N6919" t="s">
        <v>74</v>
      </c>
      <c r="O6919">
        <v>250904</v>
      </c>
      <c r="P6919">
        <v>262.32</v>
      </c>
    </row>
    <row r="6920" spans="1:16" x14ac:dyDescent="0.25">
      <c r="A6920" t="s">
        <v>3296</v>
      </c>
      <c r="B6920" t="s">
        <v>2931</v>
      </c>
      <c r="C6920">
        <v>11378</v>
      </c>
      <c r="D6920" t="str">
        <f t="shared" si="131"/>
        <v xml:space="preserve">2560786491  </v>
      </c>
      <c r="E6920" t="s">
        <v>277</v>
      </c>
      <c r="F6920" t="s">
        <v>279</v>
      </c>
      <c r="G6920">
        <v>210.45</v>
      </c>
      <c r="H6920">
        <v>250831</v>
      </c>
      <c r="I6920">
        <v>4520</v>
      </c>
      <c r="J6920" t="s">
        <v>280</v>
      </c>
      <c r="K6920">
        <v>8990.5400000000009</v>
      </c>
      <c r="L6920">
        <v>42.76</v>
      </c>
      <c r="M6920">
        <v>14432</v>
      </c>
      <c r="N6920" t="s">
        <v>75</v>
      </c>
      <c r="O6920">
        <v>250904</v>
      </c>
      <c r="P6920">
        <v>167.69</v>
      </c>
    </row>
    <row r="6921" spans="1:16" x14ac:dyDescent="0.25">
      <c r="A6921" t="s">
        <v>3296</v>
      </c>
      <c r="B6921" t="s">
        <v>2931</v>
      </c>
      <c r="C6921">
        <v>11378</v>
      </c>
      <c r="D6921" t="str">
        <f t="shared" si="131"/>
        <v xml:space="preserve">2560786491  </v>
      </c>
      <c r="E6921" t="s">
        <v>277</v>
      </c>
      <c r="F6921" t="s">
        <v>279</v>
      </c>
      <c r="G6921">
        <v>1270.98</v>
      </c>
      <c r="H6921">
        <v>250831</v>
      </c>
      <c r="I6921">
        <v>4520</v>
      </c>
      <c r="J6921" t="s">
        <v>280</v>
      </c>
      <c r="K6921">
        <v>8990.5400000000009</v>
      </c>
      <c r="L6921">
        <v>156.09</v>
      </c>
      <c r="M6921">
        <v>14432</v>
      </c>
      <c r="N6921" t="s">
        <v>75</v>
      </c>
      <c r="O6921">
        <v>250904</v>
      </c>
      <c r="P6921">
        <v>1114.8900000000001</v>
      </c>
    </row>
    <row r="6922" spans="1:16" x14ac:dyDescent="0.25">
      <c r="A6922" t="s">
        <v>3296</v>
      </c>
      <c r="B6922" t="s">
        <v>2931</v>
      </c>
      <c r="C6922">
        <v>11378</v>
      </c>
      <c r="D6922" t="str">
        <f t="shared" si="131"/>
        <v xml:space="preserve">2560786491  </v>
      </c>
      <c r="E6922" t="s">
        <v>277</v>
      </c>
      <c r="F6922" t="s">
        <v>279</v>
      </c>
      <c r="G6922">
        <v>12.38</v>
      </c>
      <c r="H6922">
        <v>250831</v>
      </c>
      <c r="I6922">
        <v>4520</v>
      </c>
      <c r="J6922" t="s">
        <v>280</v>
      </c>
      <c r="K6922">
        <v>8990.5400000000009</v>
      </c>
      <c r="L6922">
        <v>2.52</v>
      </c>
      <c r="M6922">
        <v>14640</v>
      </c>
      <c r="N6922" t="s">
        <v>78</v>
      </c>
      <c r="O6922">
        <v>250904</v>
      </c>
      <c r="P6922">
        <v>9.86</v>
      </c>
    </row>
    <row r="6923" spans="1:16" x14ac:dyDescent="0.25">
      <c r="A6923" t="s">
        <v>3296</v>
      </c>
      <c r="B6923" t="s">
        <v>2931</v>
      </c>
      <c r="C6923">
        <v>11378</v>
      </c>
      <c r="D6923" t="str">
        <f t="shared" si="131"/>
        <v xml:space="preserve">2560786491  </v>
      </c>
      <c r="E6923" t="s">
        <v>277</v>
      </c>
      <c r="F6923" t="s">
        <v>279</v>
      </c>
      <c r="G6923">
        <v>74.760000000000005</v>
      </c>
      <c r="H6923">
        <v>250831</v>
      </c>
      <c r="I6923">
        <v>4520</v>
      </c>
      <c r="J6923" t="s">
        <v>280</v>
      </c>
      <c r="K6923">
        <v>8990.5400000000009</v>
      </c>
      <c r="L6923">
        <v>9.18</v>
      </c>
      <c r="M6923">
        <v>14640</v>
      </c>
      <c r="N6923" t="s">
        <v>78</v>
      </c>
      <c r="O6923">
        <v>250904</v>
      </c>
      <c r="P6923">
        <v>65.58</v>
      </c>
    </row>
    <row r="6924" spans="1:16" x14ac:dyDescent="0.25">
      <c r="A6924" t="s">
        <v>3296</v>
      </c>
      <c r="B6924" t="s">
        <v>2931</v>
      </c>
      <c r="C6924">
        <v>11378</v>
      </c>
      <c r="D6924" t="str">
        <f t="shared" si="131"/>
        <v xml:space="preserve">2560786491  </v>
      </c>
      <c r="E6924" t="s">
        <v>277</v>
      </c>
      <c r="F6924" t="s">
        <v>279</v>
      </c>
      <c r="G6924">
        <v>49.52</v>
      </c>
      <c r="H6924">
        <v>250831</v>
      </c>
      <c r="I6924">
        <v>4520</v>
      </c>
      <c r="J6924" t="s">
        <v>280</v>
      </c>
      <c r="K6924">
        <v>8990.5400000000009</v>
      </c>
      <c r="L6924">
        <v>10.06</v>
      </c>
      <c r="M6924">
        <v>14642</v>
      </c>
      <c r="N6924" t="s">
        <v>283</v>
      </c>
      <c r="O6924">
        <v>250904</v>
      </c>
      <c r="P6924">
        <v>39.46</v>
      </c>
    </row>
    <row r="6925" spans="1:16" x14ac:dyDescent="0.25">
      <c r="A6925" t="s">
        <v>3296</v>
      </c>
      <c r="B6925" t="s">
        <v>2931</v>
      </c>
      <c r="C6925">
        <v>11378</v>
      </c>
      <c r="D6925" t="str">
        <f t="shared" si="131"/>
        <v xml:space="preserve">2560786491  </v>
      </c>
      <c r="E6925" t="s">
        <v>277</v>
      </c>
      <c r="F6925" t="s">
        <v>279</v>
      </c>
      <c r="G6925">
        <v>299.05</v>
      </c>
      <c r="H6925">
        <v>250831</v>
      </c>
      <c r="I6925">
        <v>4520</v>
      </c>
      <c r="J6925" t="s">
        <v>280</v>
      </c>
      <c r="K6925">
        <v>8990.5400000000009</v>
      </c>
      <c r="L6925">
        <v>36.729999999999997</v>
      </c>
      <c r="M6925">
        <v>14642</v>
      </c>
      <c r="N6925" t="s">
        <v>283</v>
      </c>
      <c r="O6925">
        <v>250904</v>
      </c>
      <c r="P6925">
        <v>262.32</v>
      </c>
    </row>
    <row r="6926" spans="1:16" x14ac:dyDescent="0.25">
      <c r="A6926" t="s">
        <v>3296</v>
      </c>
      <c r="B6926" t="s">
        <v>2931</v>
      </c>
      <c r="C6926">
        <v>11378</v>
      </c>
      <c r="D6926" t="str">
        <f t="shared" si="131"/>
        <v xml:space="preserve">2560786491  </v>
      </c>
      <c r="E6926" t="s">
        <v>277</v>
      </c>
      <c r="F6926" t="s">
        <v>279</v>
      </c>
      <c r="G6926">
        <v>903.7</v>
      </c>
      <c r="H6926">
        <v>250831</v>
      </c>
      <c r="I6926">
        <v>4520</v>
      </c>
      <c r="J6926" t="s">
        <v>280</v>
      </c>
      <c r="K6926">
        <v>8990.5400000000009</v>
      </c>
      <c r="L6926">
        <v>183.62</v>
      </c>
      <c r="M6926">
        <v>14912</v>
      </c>
      <c r="N6926" t="s">
        <v>80</v>
      </c>
      <c r="O6926">
        <v>250904</v>
      </c>
      <c r="P6926">
        <v>720.08</v>
      </c>
    </row>
    <row r="6927" spans="1:16" x14ac:dyDescent="0.25">
      <c r="A6927" t="s">
        <v>3296</v>
      </c>
      <c r="B6927" t="s">
        <v>2931</v>
      </c>
      <c r="C6927">
        <v>11378</v>
      </c>
      <c r="D6927" t="str">
        <f t="shared" si="131"/>
        <v xml:space="preserve">2560786491  </v>
      </c>
      <c r="E6927" t="s">
        <v>277</v>
      </c>
      <c r="F6927" t="s">
        <v>279</v>
      </c>
      <c r="G6927">
        <v>5457.73</v>
      </c>
      <c r="H6927">
        <v>250831</v>
      </c>
      <c r="I6927">
        <v>4520</v>
      </c>
      <c r="J6927" t="s">
        <v>280</v>
      </c>
      <c r="K6927">
        <v>8990.5400000000009</v>
      </c>
      <c r="L6927">
        <v>670.25</v>
      </c>
      <c r="M6927">
        <v>14912</v>
      </c>
      <c r="N6927" t="s">
        <v>80</v>
      </c>
      <c r="O6927">
        <v>250904</v>
      </c>
      <c r="P6927">
        <v>4787.4799999999996</v>
      </c>
    </row>
    <row r="6928" spans="1:16" x14ac:dyDescent="0.25">
      <c r="A6928" t="s">
        <v>3296</v>
      </c>
      <c r="B6928" t="s">
        <v>2931</v>
      </c>
      <c r="C6928">
        <v>11383</v>
      </c>
      <c r="D6928" t="str">
        <f>"2560817442  "</f>
        <v xml:space="preserve">2560817442  </v>
      </c>
      <c r="E6928" t="s">
        <v>277</v>
      </c>
      <c r="F6928" t="s">
        <v>279</v>
      </c>
      <c r="G6928">
        <v>95.9</v>
      </c>
      <c r="H6928">
        <v>250901</v>
      </c>
      <c r="I6928">
        <v>4520</v>
      </c>
      <c r="J6928" t="s">
        <v>280</v>
      </c>
      <c r="K6928">
        <v>1842.45</v>
      </c>
      <c r="L6928">
        <v>11.78</v>
      </c>
      <c r="M6928">
        <v>16442</v>
      </c>
      <c r="N6928" t="s">
        <v>304</v>
      </c>
      <c r="O6928">
        <v>250904</v>
      </c>
      <c r="P6928">
        <v>84.12</v>
      </c>
    </row>
    <row r="6929" spans="1:16" x14ac:dyDescent="0.25">
      <c r="A6929" t="s">
        <v>3296</v>
      </c>
      <c r="B6929" t="s">
        <v>2931</v>
      </c>
      <c r="C6929">
        <v>11383</v>
      </c>
      <c r="D6929" t="str">
        <f>"2560817442  "</f>
        <v xml:space="preserve">2560817442  </v>
      </c>
      <c r="E6929" t="s">
        <v>277</v>
      </c>
      <c r="F6929" t="s">
        <v>279</v>
      </c>
      <c r="G6929">
        <v>1571.85</v>
      </c>
      <c r="H6929">
        <v>250901</v>
      </c>
      <c r="I6929">
        <v>4520</v>
      </c>
      <c r="J6929" t="s">
        <v>280</v>
      </c>
      <c r="K6929">
        <v>1842.45</v>
      </c>
      <c r="L6929">
        <v>193.03</v>
      </c>
      <c r="M6929">
        <v>17913</v>
      </c>
      <c r="N6929" t="s">
        <v>26</v>
      </c>
      <c r="O6929">
        <v>250904</v>
      </c>
      <c r="P6929">
        <v>1378.82</v>
      </c>
    </row>
    <row r="6930" spans="1:16" x14ac:dyDescent="0.25">
      <c r="A6930" t="s">
        <v>3296</v>
      </c>
      <c r="B6930" t="s">
        <v>2931</v>
      </c>
      <c r="C6930">
        <v>11383</v>
      </c>
      <c r="D6930" t="str">
        <f>"2560817442  "</f>
        <v xml:space="preserve">2560817442  </v>
      </c>
      <c r="E6930" t="s">
        <v>277</v>
      </c>
      <c r="F6930" t="s">
        <v>279</v>
      </c>
      <c r="G6930">
        <v>174.7</v>
      </c>
      <c r="H6930">
        <v>250901</v>
      </c>
      <c r="I6930">
        <v>4520</v>
      </c>
      <c r="J6930" t="s">
        <v>280</v>
      </c>
      <c r="K6930">
        <v>1842.45</v>
      </c>
      <c r="L6930">
        <v>21.45</v>
      </c>
      <c r="M6930">
        <v>17982</v>
      </c>
      <c r="N6930" t="s">
        <v>281</v>
      </c>
      <c r="O6930">
        <v>250904</v>
      </c>
      <c r="P6930">
        <v>153.25</v>
      </c>
    </row>
    <row r="6931" spans="1:16" x14ac:dyDescent="0.25">
      <c r="A6931" t="s">
        <v>3296</v>
      </c>
      <c r="B6931" t="s">
        <v>2931</v>
      </c>
      <c r="C6931">
        <v>11384</v>
      </c>
      <c r="D6931" t="str">
        <f>"2560817443  "</f>
        <v xml:space="preserve">2560817443  </v>
      </c>
      <c r="E6931" t="s">
        <v>277</v>
      </c>
      <c r="F6931" t="s">
        <v>279</v>
      </c>
      <c r="G6931">
        <v>168.91</v>
      </c>
      <c r="H6931">
        <v>250831</v>
      </c>
      <c r="I6931">
        <v>4520</v>
      </c>
      <c r="J6931" t="s">
        <v>280</v>
      </c>
      <c r="K6931">
        <v>337.81</v>
      </c>
      <c r="L6931">
        <v>20.74</v>
      </c>
      <c r="M6931">
        <v>14432</v>
      </c>
      <c r="N6931" t="s">
        <v>75</v>
      </c>
      <c r="O6931">
        <v>250904</v>
      </c>
      <c r="P6931">
        <v>148.16999999999999</v>
      </c>
    </row>
    <row r="6932" spans="1:16" x14ac:dyDescent="0.25">
      <c r="A6932" t="s">
        <v>3296</v>
      </c>
      <c r="B6932" t="s">
        <v>2931</v>
      </c>
      <c r="C6932">
        <v>11384</v>
      </c>
      <c r="D6932" t="str">
        <f>"2560817443  "</f>
        <v xml:space="preserve">2560817443  </v>
      </c>
      <c r="E6932" t="s">
        <v>277</v>
      </c>
      <c r="F6932" t="s">
        <v>279</v>
      </c>
      <c r="G6932">
        <v>168.9</v>
      </c>
      <c r="H6932">
        <v>250831</v>
      </c>
      <c r="I6932">
        <v>4520</v>
      </c>
      <c r="J6932" t="s">
        <v>280</v>
      </c>
      <c r="K6932">
        <v>337.81</v>
      </c>
      <c r="L6932">
        <v>20.74</v>
      </c>
      <c r="M6932">
        <v>14912</v>
      </c>
      <c r="N6932" t="s">
        <v>80</v>
      </c>
      <c r="O6932">
        <v>250904</v>
      </c>
      <c r="P6932">
        <v>148.16</v>
      </c>
    </row>
    <row r="6933" spans="1:16" x14ac:dyDescent="0.25">
      <c r="A6933" t="s">
        <v>3296</v>
      </c>
      <c r="B6933" t="s">
        <v>2931</v>
      </c>
      <c r="C6933">
        <v>11433</v>
      </c>
      <c r="D6933" t="str">
        <f>"2560817440  "</f>
        <v xml:space="preserve">2560817440  </v>
      </c>
      <c r="E6933" t="s">
        <v>277</v>
      </c>
      <c r="F6933" t="s">
        <v>279</v>
      </c>
      <c r="G6933">
        <v>84.54</v>
      </c>
      <c r="H6933">
        <v>250831</v>
      </c>
      <c r="I6933">
        <v>4520</v>
      </c>
      <c r="J6933" t="s">
        <v>280</v>
      </c>
      <c r="K6933">
        <v>84.54</v>
      </c>
      <c r="L6933">
        <v>10.38</v>
      </c>
      <c r="M6933">
        <v>49112</v>
      </c>
      <c r="N6933" t="s">
        <v>109</v>
      </c>
      <c r="O6933">
        <v>250905</v>
      </c>
      <c r="P6933">
        <v>74.16</v>
      </c>
    </row>
    <row r="6934" spans="1:16" x14ac:dyDescent="0.25">
      <c r="A6934" t="s">
        <v>3296</v>
      </c>
      <c r="B6934" t="s">
        <v>2931</v>
      </c>
      <c r="C6934">
        <v>11435</v>
      </c>
      <c r="D6934" t="str">
        <f>"2560817441  "</f>
        <v xml:space="preserve">2560817441  </v>
      </c>
      <c r="E6934" t="s">
        <v>277</v>
      </c>
      <c r="F6934" t="s">
        <v>279</v>
      </c>
      <c r="G6934">
        <v>43.42</v>
      </c>
      <c r="H6934">
        <v>250901</v>
      </c>
      <c r="I6934">
        <v>4520</v>
      </c>
      <c r="J6934" t="s">
        <v>280</v>
      </c>
      <c r="K6934">
        <v>1035.6300000000001</v>
      </c>
      <c r="L6934">
        <v>8.82</v>
      </c>
      <c r="M6934">
        <v>17915</v>
      </c>
      <c r="N6934" t="s">
        <v>305</v>
      </c>
      <c r="O6934">
        <v>250905</v>
      </c>
      <c r="P6934">
        <v>34.6</v>
      </c>
    </row>
    <row r="6935" spans="1:16" x14ac:dyDescent="0.25">
      <c r="A6935" t="s">
        <v>3296</v>
      </c>
      <c r="B6935" t="s">
        <v>2931</v>
      </c>
      <c r="C6935">
        <v>11435</v>
      </c>
      <c r="D6935" t="str">
        <f>"2560817441  "</f>
        <v xml:space="preserve">2560817441  </v>
      </c>
      <c r="E6935" t="s">
        <v>277</v>
      </c>
      <c r="F6935" t="s">
        <v>279</v>
      </c>
      <c r="G6935">
        <v>892.99</v>
      </c>
      <c r="H6935">
        <v>250901</v>
      </c>
      <c r="I6935">
        <v>4520</v>
      </c>
      <c r="J6935" t="s">
        <v>280</v>
      </c>
      <c r="K6935">
        <v>1035.6300000000001</v>
      </c>
      <c r="L6935">
        <v>109.67</v>
      </c>
      <c r="M6935">
        <v>17915</v>
      </c>
      <c r="N6935" t="s">
        <v>305</v>
      </c>
      <c r="O6935">
        <v>250905</v>
      </c>
      <c r="P6935">
        <v>783.32</v>
      </c>
    </row>
    <row r="6936" spans="1:16" x14ac:dyDescent="0.25">
      <c r="A6936" t="s">
        <v>3296</v>
      </c>
      <c r="B6936" t="s">
        <v>2931</v>
      </c>
      <c r="C6936">
        <v>11435</v>
      </c>
      <c r="D6936" t="str">
        <f>"2560817441  "</f>
        <v xml:space="preserve">2560817441  </v>
      </c>
      <c r="E6936" t="s">
        <v>277</v>
      </c>
      <c r="F6936" t="s">
        <v>279</v>
      </c>
      <c r="G6936">
        <v>99.22</v>
      </c>
      <c r="H6936">
        <v>250901</v>
      </c>
      <c r="I6936">
        <v>4520</v>
      </c>
      <c r="J6936" t="s">
        <v>280</v>
      </c>
      <c r="K6936">
        <v>1035.6300000000001</v>
      </c>
      <c r="L6936">
        <v>12.18</v>
      </c>
      <c r="M6936">
        <v>17982</v>
      </c>
      <c r="N6936" t="s">
        <v>281</v>
      </c>
      <c r="O6936">
        <v>250905</v>
      </c>
      <c r="P6936">
        <v>87.04</v>
      </c>
    </row>
    <row r="6937" spans="1:16" x14ac:dyDescent="0.25">
      <c r="A6937" t="s">
        <v>3296</v>
      </c>
      <c r="B6937" t="s">
        <v>2931</v>
      </c>
      <c r="C6937">
        <v>11436</v>
      </c>
      <c r="D6937" t="str">
        <f>"2560817444  "</f>
        <v xml:space="preserve">2560817444  </v>
      </c>
      <c r="E6937" t="s">
        <v>277</v>
      </c>
      <c r="F6937" t="s">
        <v>279</v>
      </c>
      <c r="G6937">
        <v>372.11</v>
      </c>
      <c r="H6937">
        <v>250901</v>
      </c>
      <c r="I6937">
        <v>4520</v>
      </c>
      <c r="J6937" t="s">
        <v>280</v>
      </c>
      <c r="K6937">
        <v>502.72</v>
      </c>
      <c r="L6937">
        <v>45.7</v>
      </c>
      <c r="M6937">
        <v>44222</v>
      </c>
      <c r="N6937" t="s">
        <v>96</v>
      </c>
      <c r="O6937">
        <v>250905</v>
      </c>
      <c r="P6937">
        <v>326.41000000000003</v>
      </c>
    </row>
    <row r="6938" spans="1:16" x14ac:dyDescent="0.25">
      <c r="A6938" t="s">
        <v>3296</v>
      </c>
      <c r="B6938" t="s">
        <v>2931</v>
      </c>
      <c r="C6938">
        <v>11439</v>
      </c>
      <c r="D6938" t="str">
        <f>"2560786488  "</f>
        <v xml:space="preserve">2560786488  </v>
      </c>
      <c r="E6938" t="s">
        <v>277</v>
      </c>
      <c r="F6938" t="s">
        <v>279</v>
      </c>
      <c r="G6938">
        <v>2496.5100000000002</v>
      </c>
      <c r="H6938">
        <v>250831</v>
      </c>
      <c r="I6938">
        <v>4520</v>
      </c>
      <c r="J6938" t="s">
        <v>280</v>
      </c>
      <c r="K6938">
        <v>2527.91</v>
      </c>
      <c r="L6938">
        <v>306.58999999999997</v>
      </c>
      <c r="M6938">
        <v>49112</v>
      </c>
      <c r="N6938" t="s">
        <v>109</v>
      </c>
      <c r="O6938">
        <v>250905</v>
      </c>
      <c r="P6938">
        <v>2189.92</v>
      </c>
    </row>
    <row r="6939" spans="1:16" x14ac:dyDescent="0.25">
      <c r="A6939" t="s">
        <v>3296</v>
      </c>
      <c r="B6939" t="s">
        <v>2931</v>
      </c>
      <c r="C6939">
        <v>11450</v>
      </c>
      <c r="D6939" t="str">
        <f>"2560786492  "</f>
        <v xml:space="preserve">2560786492  </v>
      </c>
      <c r="E6939" t="s">
        <v>277</v>
      </c>
      <c r="F6939" t="s">
        <v>279</v>
      </c>
      <c r="G6939">
        <v>52.95</v>
      </c>
      <c r="H6939">
        <v>250831</v>
      </c>
      <c r="I6939">
        <v>4520</v>
      </c>
      <c r="J6939" t="s">
        <v>280</v>
      </c>
      <c r="K6939">
        <v>52.95</v>
      </c>
      <c r="L6939">
        <v>6.5</v>
      </c>
      <c r="M6939">
        <v>44253</v>
      </c>
      <c r="N6939" t="s">
        <v>403</v>
      </c>
      <c r="O6939">
        <v>250905</v>
      </c>
      <c r="P6939">
        <v>46.45</v>
      </c>
    </row>
    <row r="6940" spans="1:16" x14ac:dyDescent="0.25">
      <c r="A6940" t="s">
        <v>3296</v>
      </c>
      <c r="B6940" t="s">
        <v>2931</v>
      </c>
      <c r="C6940">
        <v>11579</v>
      </c>
      <c r="D6940" t="str">
        <f>"2560786487  "</f>
        <v xml:space="preserve">2560786487  </v>
      </c>
      <c r="E6940" t="s">
        <v>277</v>
      </c>
      <c r="F6940" t="s">
        <v>279</v>
      </c>
      <c r="G6940">
        <v>1232.7</v>
      </c>
      <c r="H6940">
        <v>250831</v>
      </c>
      <c r="I6940">
        <v>4520</v>
      </c>
      <c r="J6940" t="s">
        <v>280</v>
      </c>
      <c r="K6940">
        <v>1549.6</v>
      </c>
      <c r="L6940">
        <v>151.38</v>
      </c>
      <c r="M6940">
        <v>69113</v>
      </c>
      <c r="N6940" t="s">
        <v>122</v>
      </c>
      <c r="O6940">
        <v>250909</v>
      </c>
      <c r="P6940">
        <v>1081.32</v>
      </c>
    </row>
    <row r="6941" spans="1:16" x14ac:dyDescent="0.25">
      <c r="A6941" t="s">
        <v>3296</v>
      </c>
      <c r="B6941" t="s">
        <v>2931</v>
      </c>
      <c r="C6941">
        <v>11579</v>
      </c>
      <c r="D6941" t="str">
        <f>"2560786487  "</f>
        <v xml:space="preserve">2560786487  </v>
      </c>
      <c r="E6941" t="s">
        <v>277</v>
      </c>
      <c r="F6941" t="s">
        <v>279</v>
      </c>
      <c r="G6941">
        <v>145.02000000000001</v>
      </c>
      <c r="H6941">
        <v>250831</v>
      </c>
      <c r="I6941">
        <v>4520</v>
      </c>
      <c r="J6941" t="s">
        <v>280</v>
      </c>
      <c r="K6941">
        <v>1549.6</v>
      </c>
      <c r="L6941">
        <v>17.809999999999999</v>
      </c>
      <c r="M6941">
        <v>69802</v>
      </c>
      <c r="N6941" t="s">
        <v>375</v>
      </c>
      <c r="O6941">
        <v>250909</v>
      </c>
      <c r="P6941">
        <v>127.21</v>
      </c>
    </row>
    <row r="6942" spans="1:16" x14ac:dyDescent="0.25">
      <c r="A6942" t="s">
        <v>3296</v>
      </c>
      <c r="B6942" t="s">
        <v>2931</v>
      </c>
      <c r="C6942">
        <v>11579</v>
      </c>
      <c r="D6942" t="str">
        <f>"2560786487  "</f>
        <v xml:space="preserve">2560786487  </v>
      </c>
      <c r="E6942" t="s">
        <v>277</v>
      </c>
      <c r="F6942" t="s">
        <v>279</v>
      </c>
      <c r="G6942">
        <v>72.510000000000005</v>
      </c>
      <c r="H6942">
        <v>250831</v>
      </c>
      <c r="I6942">
        <v>4520</v>
      </c>
      <c r="J6942" t="s">
        <v>280</v>
      </c>
      <c r="K6942">
        <v>1549.6</v>
      </c>
      <c r="L6942">
        <v>8.9</v>
      </c>
      <c r="M6942">
        <v>69804</v>
      </c>
      <c r="N6942" t="s">
        <v>376</v>
      </c>
      <c r="O6942">
        <v>250909</v>
      </c>
      <c r="P6942">
        <v>63.61</v>
      </c>
    </row>
    <row r="6943" spans="1:16" x14ac:dyDescent="0.25">
      <c r="A6943" t="s">
        <v>3296</v>
      </c>
      <c r="B6943" t="s">
        <v>2931</v>
      </c>
      <c r="C6943">
        <v>11670</v>
      </c>
      <c r="D6943" t="str">
        <f>"2560833414  "</f>
        <v xml:space="preserve">2560833414  </v>
      </c>
      <c r="E6943" t="s">
        <v>277</v>
      </c>
      <c r="F6943" t="s">
        <v>279</v>
      </c>
      <c r="G6943">
        <v>1057.03</v>
      </c>
      <c r="H6943">
        <v>250908</v>
      </c>
      <c r="I6943">
        <v>4520</v>
      </c>
      <c r="J6943" t="s">
        <v>280</v>
      </c>
      <c r="K6943">
        <v>1274.18</v>
      </c>
      <c r="L6943">
        <v>129.81</v>
      </c>
      <c r="M6943">
        <v>69112</v>
      </c>
      <c r="N6943" t="s">
        <v>227</v>
      </c>
      <c r="O6943">
        <v>250909</v>
      </c>
      <c r="P6943">
        <v>927.22</v>
      </c>
    </row>
    <row r="6944" spans="1:16" x14ac:dyDescent="0.25">
      <c r="A6944" t="s">
        <v>3296</v>
      </c>
      <c r="B6944" t="s">
        <v>2931</v>
      </c>
      <c r="C6944">
        <v>11670</v>
      </c>
      <c r="D6944" t="str">
        <f>"2560833414  "</f>
        <v xml:space="preserve">2560833414  </v>
      </c>
      <c r="E6944" t="s">
        <v>277</v>
      </c>
      <c r="F6944" t="s">
        <v>279</v>
      </c>
      <c r="G6944">
        <v>58.73</v>
      </c>
      <c r="H6944">
        <v>250908</v>
      </c>
      <c r="I6944">
        <v>4520</v>
      </c>
      <c r="J6944" t="s">
        <v>280</v>
      </c>
      <c r="K6944">
        <v>1274.18</v>
      </c>
      <c r="L6944">
        <v>7.21</v>
      </c>
      <c r="M6944">
        <v>69810</v>
      </c>
      <c r="N6944" t="s">
        <v>229</v>
      </c>
      <c r="O6944">
        <v>250909</v>
      </c>
      <c r="P6944">
        <v>51.52</v>
      </c>
    </row>
    <row r="6945" spans="1:16" x14ac:dyDescent="0.25">
      <c r="A6945" t="s">
        <v>3296</v>
      </c>
      <c r="B6945" t="s">
        <v>2931</v>
      </c>
      <c r="C6945">
        <v>11670</v>
      </c>
      <c r="D6945" t="str">
        <f>"2560833414  "</f>
        <v xml:space="preserve">2560833414  </v>
      </c>
      <c r="E6945" t="s">
        <v>277</v>
      </c>
      <c r="F6945" t="s">
        <v>279</v>
      </c>
      <c r="G6945">
        <v>58.72</v>
      </c>
      <c r="H6945">
        <v>250908</v>
      </c>
      <c r="I6945">
        <v>4520</v>
      </c>
      <c r="J6945" t="s">
        <v>280</v>
      </c>
      <c r="K6945">
        <v>1274.18</v>
      </c>
      <c r="L6945">
        <v>7.21</v>
      </c>
      <c r="M6945">
        <v>69811</v>
      </c>
      <c r="N6945" t="s">
        <v>230</v>
      </c>
      <c r="O6945">
        <v>250909</v>
      </c>
      <c r="P6945">
        <v>51.51</v>
      </c>
    </row>
    <row r="6946" spans="1:16" x14ac:dyDescent="0.25">
      <c r="A6946" t="s">
        <v>3296</v>
      </c>
      <c r="B6946" t="s">
        <v>2931</v>
      </c>
      <c r="C6946">
        <v>11793</v>
      </c>
      <c r="D6946" t="str">
        <f>"2560833404  "</f>
        <v xml:space="preserve">2560833404  </v>
      </c>
      <c r="E6946" t="s">
        <v>277</v>
      </c>
      <c r="F6946" t="s">
        <v>279</v>
      </c>
      <c r="G6946">
        <v>-12.35</v>
      </c>
      <c r="H6946">
        <v>250908</v>
      </c>
      <c r="I6946">
        <v>4520</v>
      </c>
      <c r="J6946" t="s">
        <v>280</v>
      </c>
      <c r="K6946">
        <v>696.67</v>
      </c>
      <c r="L6946">
        <v>-1.52</v>
      </c>
      <c r="M6946">
        <v>59114</v>
      </c>
      <c r="N6946" t="s">
        <v>299</v>
      </c>
      <c r="O6946">
        <v>250910</v>
      </c>
      <c r="P6946">
        <v>-10.83</v>
      </c>
    </row>
    <row r="6947" spans="1:16" x14ac:dyDescent="0.25">
      <c r="A6947" t="s">
        <v>3296</v>
      </c>
      <c r="B6947" t="s">
        <v>2931</v>
      </c>
      <c r="C6947">
        <v>11793</v>
      </c>
      <c r="D6947" t="str">
        <f>"2560833404  "</f>
        <v xml:space="preserve">2560833404  </v>
      </c>
      <c r="E6947" t="s">
        <v>277</v>
      </c>
      <c r="F6947" t="s">
        <v>279</v>
      </c>
      <c r="G6947">
        <v>644.97</v>
      </c>
      <c r="H6947">
        <v>250908</v>
      </c>
      <c r="I6947">
        <v>4520</v>
      </c>
      <c r="J6947" t="s">
        <v>280</v>
      </c>
      <c r="K6947">
        <v>696.67</v>
      </c>
      <c r="L6947">
        <v>79.209999999999994</v>
      </c>
      <c r="M6947">
        <v>59114</v>
      </c>
      <c r="N6947" t="s">
        <v>299</v>
      </c>
      <c r="O6947">
        <v>250910</v>
      </c>
      <c r="P6947">
        <v>565.76</v>
      </c>
    </row>
    <row r="6948" spans="1:16" x14ac:dyDescent="0.25">
      <c r="A6948" t="s">
        <v>3296</v>
      </c>
      <c r="B6948" t="s">
        <v>2931</v>
      </c>
      <c r="C6948">
        <v>11793</v>
      </c>
      <c r="D6948" t="str">
        <f>"2560833404  "</f>
        <v xml:space="preserve">2560833404  </v>
      </c>
      <c r="E6948" t="s">
        <v>277</v>
      </c>
      <c r="F6948" t="s">
        <v>279</v>
      </c>
      <c r="G6948">
        <v>70.290000000000006</v>
      </c>
      <c r="H6948">
        <v>250908</v>
      </c>
      <c r="I6948">
        <v>4520</v>
      </c>
      <c r="J6948" t="s">
        <v>280</v>
      </c>
      <c r="K6948">
        <v>696.67</v>
      </c>
      <c r="L6948">
        <v>8.6300000000000008</v>
      </c>
      <c r="M6948">
        <v>59808</v>
      </c>
      <c r="N6948" t="s">
        <v>699</v>
      </c>
      <c r="O6948">
        <v>250910</v>
      </c>
      <c r="P6948">
        <v>61.66</v>
      </c>
    </row>
    <row r="6949" spans="1:16" x14ac:dyDescent="0.25">
      <c r="A6949" t="s">
        <v>3296</v>
      </c>
      <c r="B6949" t="s">
        <v>2931</v>
      </c>
      <c r="C6949">
        <v>11852</v>
      </c>
      <c r="D6949" t="str">
        <f>"2560833406  "</f>
        <v xml:space="preserve">2560833406  </v>
      </c>
      <c r="E6949" t="s">
        <v>277</v>
      </c>
      <c r="F6949" t="s">
        <v>279</v>
      </c>
      <c r="G6949">
        <v>0.02</v>
      </c>
      <c r="H6949">
        <v>250908</v>
      </c>
      <c r="I6949">
        <v>4520</v>
      </c>
      <c r="J6949" t="s">
        <v>280</v>
      </c>
      <c r="K6949">
        <v>2551.85</v>
      </c>
      <c r="L6949">
        <v>0</v>
      </c>
      <c r="M6949">
        <v>59113</v>
      </c>
      <c r="N6949" t="s">
        <v>61</v>
      </c>
      <c r="O6949">
        <v>250911</v>
      </c>
      <c r="P6949">
        <v>0.02</v>
      </c>
    </row>
    <row r="6950" spans="1:16" x14ac:dyDescent="0.25">
      <c r="A6950" t="s">
        <v>3296</v>
      </c>
      <c r="B6950" t="s">
        <v>2931</v>
      </c>
      <c r="C6950">
        <v>11852</v>
      </c>
      <c r="D6950" t="str">
        <f>"2560833406  "</f>
        <v xml:space="preserve">2560833406  </v>
      </c>
      <c r="E6950" t="s">
        <v>277</v>
      </c>
      <c r="F6950" t="s">
        <v>279</v>
      </c>
      <c r="G6950">
        <v>2179.7199999999998</v>
      </c>
      <c r="H6950">
        <v>250908</v>
      </c>
      <c r="I6950">
        <v>4520</v>
      </c>
      <c r="J6950" t="s">
        <v>280</v>
      </c>
      <c r="K6950">
        <v>2551.85</v>
      </c>
      <c r="L6950">
        <v>267.68</v>
      </c>
      <c r="M6950">
        <v>59113</v>
      </c>
      <c r="N6950" t="s">
        <v>61</v>
      </c>
      <c r="O6950">
        <v>250911</v>
      </c>
      <c r="P6950">
        <v>1912.04</v>
      </c>
    </row>
    <row r="6951" spans="1:16" x14ac:dyDescent="0.25">
      <c r="A6951" t="s">
        <v>3296</v>
      </c>
      <c r="B6951" t="s">
        <v>2931</v>
      </c>
      <c r="C6951">
        <v>11852</v>
      </c>
      <c r="D6951" t="str">
        <f>"2560833406  "</f>
        <v xml:space="preserve">2560833406  </v>
      </c>
      <c r="E6951" t="s">
        <v>277</v>
      </c>
      <c r="F6951" t="s">
        <v>279</v>
      </c>
      <c r="G6951">
        <v>384.66</v>
      </c>
      <c r="H6951">
        <v>250908</v>
      </c>
      <c r="I6951">
        <v>4520</v>
      </c>
      <c r="J6951" t="s">
        <v>280</v>
      </c>
      <c r="K6951">
        <v>2551.85</v>
      </c>
      <c r="L6951">
        <v>47.24</v>
      </c>
      <c r="M6951">
        <v>59803</v>
      </c>
      <c r="N6951" t="s">
        <v>282</v>
      </c>
      <c r="O6951">
        <v>250911</v>
      </c>
      <c r="P6951">
        <v>337.42</v>
      </c>
    </row>
    <row r="6952" spans="1:16" x14ac:dyDescent="0.25">
      <c r="A6952" t="s">
        <v>3296</v>
      </c>
      <c r="B6952" t="s">
        <v>2931</v>
      </c>
      <c r="C6952">
        <v>11853</v>
      </c>
      <c r="D6952" t="str">
        <f>"2560833405  "</f>
        <v xml:space="preserve">2560833405  </v>
      </c>
      <c r="E6952" t="s">
        <v>277</v>
      </c>
      <c r="F6952" t="s">
        <v>279</v>
      </c>
      <c r="G6952">
        <v>618</v>
      </c>
      <c r="H6952">
        <v>250908</v>
      </c>
      <c r="I6952">
        <v>4520</v>
      </c>
      <c r="J6952" t="s">
        <v>280</v>
      </c>
      <c r="K6952">
        <v>1763.2</v>
      </c>
      <c r="L6952">
        <v>75.89</v>
      </c>
      <c r="M6952">
        <v>54422</v>
      </c>
      <c r="N6952" t="s">
        <v>49</v>
      </c>
      <c r="O6952">
        <v>250911</v>
      </c>
      <c r="P6952">
        <v>542.11</v>
      </c>
    </row>
    <row r="6953" spans="1:16" x14ac:dyDescent="0.25">
      <c r="A6953" t="s">
        <v>3296</v>
      </c>
      <c r="B6953" t="s">
        <v>2931</v>
      </c>
      <c r="C6953">
        <v>11853</v>
      </c>
      <c r="D6953" t="str">
        <f>"2560833405  "</f>
        <v xml:space="preserve">2560833405  </v>
      </c>
      <c r="E6953" t="s">
        <v>277</v>
      </c>
      <c r="F6953" t="s">
        <v>279</v>
      </c>
      <c r="G6953">
        <v>1164</v>
      </c>
      <c r="H6953">
        <v>250908</v>
      </c>
      <c r="I6953">
        <v>4520</v>
      </c>
      <c r="J6953" t="s">
        <v>280</v>
      </c>
      <c r="K6953">
        <v>1763.2</v>
      </c>
      <c r="L6953">
        <v>142.94999999999999</v>
      </c>
      <c r="M6953">
        <v>54451</v>
      </c>
      <c r="N6953" t="s">
        <v>218</v>
      </c>
      <c r="O6953">
        <v>250911</v>
      </c>
      <c r="P6953">
        <v>1021.05</v>
      </c>
    </row>
    <row r="6954" spans="1:16" x14ac:dyDescent="0.25">
      <c r="A6954" t="s">
        <v>3296</v>
      </c>
      <c r="B6954" t="s">
        <v>2931</v>
      </c>
      <c r="C6954">
        <v>12063</v>
      </c>
      <c r="D6954" t="str">
        <f>"2560833408  "</f>
        <v xml:space="preserve">2560833408  </v>
      </c>
      <c r="E6954" t="s">
        <v>277</v>
      </c>
      <c r="F6954" t="s">
        <v>279</v>
      </c>
      <c r="G6954">
        <v>2326.98</v>
      </c>
      <c r="H6954">
        <v>250908</v>
      </c>
      <c r="I6954">
        <v>4520</v>
      </c>
      <c r="J6954" t="s">
        <v>280</v>
      </c>
      <c r="K6954">
        <v>2487.33</v>
      </c>
      <c r="L6954">
        <v>285.77</v>
      </c>
      <c r="M6954">
        <v>49112</v>
      </c>
      <c r="N6954" t="s">
        <v>109</v>
      </c>
      <c r="O6954">
        <v>250916</v>
      </c>
      <c r="P6954">
        <v>2041.21</v>
      </c>
    </row>
    <row r="6955" spans="1:16" x14ac:dyDescent="0.25">
      <c r="A6955" t="s">
        <v>3296</v>
      </c>
      <c r="B6955" t="s">
        <v>2931</v>
      </c>
      <c r="C6955">
        <v>12068</v>
      </c>
      <c r="D6955" t="str">
        <f t="shared" ref="D6955:D6969" si="132">"2560833412  "</f>
        <v xml:space="preserve">2560833412  </v>
      </c>
      <c r="E6955" t="s">
        <v>277</v>
      </c>
      <c r="F6955" t="s">
        <v>279</v>
      </c>
      <c r="G6955">
        <v>8.32</v>
      </c>
      <c r="H6955">
        <v>250908</v>
      </c>
      <c r="I6955">
        <v>4520</v>
      </c>
      <c r="J6955" t="s">
        <v>280</v>
      </c>
      <c r="K6955">
        <v>7291.7</v>
      </c>
      <c r="L6955">
        <v>1.69</v>
      </c>
      <c r="M6955">
        <v>14422</v>
      </c>
      <c r="N6955" t="s">
        <v>73</v>
      </c>
      <c r="O6955">
        <v>250916</v>
      </c>
      <c r="P6955">
        <v>6.63</v>
      </c>
    </row>
    <row r="6956" spans="1:16" x14ac:dyDescent="0.25">
      <c r="A6956" t="s">
        <v>3296</v>
      </c>
      <c r="B6956" t="s">
        <v>2931</v>
      </c>
      <c r="C6956">
        <v>12068</v>
      </c>
      <c r="D6956" t="str">
        <f t="shared" si="132"/>
        <v xml:space="preserve">2560833412  </v>
      </c>
      <c r="E6956" t="s">
        <v>277</v>
      </c>
      <c r="F6956" t="s">
        <v>279</v>
      </c>
      <c r="G6956">
        <v>58.74</v>
      </c>
      <c r="H6956">
        <v>250908</v>
      </c>
      <c r="I6956">
        <v>4520</v>
      </c>
      <c r="J6956" t="s">
        <v>280</v>
      </c>
      <c r="K6956">
        <v>7291.7</v>
      </c>
      <c r="L6956">
        <v>7.21</v>
      </c>
      <c r="M6956">
        <v>14422</v>
      </c>
      <c r="N6956" t="s">
        <v>73</v>
      </c>
      <c r="O6956">
        <v>250916</v>
      </c>
      <c r="P6956">
        <v>51.53</v>
      </c>
    </row>
    <row r="6957" spans="1:16" x14ac:dyDescent="0.25">
      <c r="A6957" t="s">
        <v>3296</v>
      </c>
      <c r="B6957" t="s">
        <v>2931</v>
      </c>
      <c r="C6957">
        <v>12068</v>
      </c>
      <c r="D6957" t="str">
        <f t="shared" si="132"/>
        <v xml:space="preserve">2560833412  </v>
      </c>
      <c r="E6957" t="s">
        <v>277</v>
      </c>
      <c r="F6957" t="s">
        <v>279</v>
      </c>
      <c r="G6957">
        <v>33.270000000000003</v>
      </c>
      <c r="H6957">
        <v>250908</v>
      </c>
      <c r="I6957">
        <v>4520</v>
      </c>
      <c r="J6957" t="s">
        <v>280</v>
      </c>
      <c r="K6957">
        <v>7291.7</v>
      </c>
      <c r="L6957">
        <v>6.76</v>
      </c>
      <c r="M6957">
        <v>14431</v>
      </c>
      <c r="N6957" t="s">
        <v>74</v>
      </c>
      <c r="O6957">
        <v>250916</v>
      </c>
      <c r="P6957">
        <v>26.51</v>
      </c>
    </row>
    <row r="6958" spans="1:16" x14ac:dyDescent="0.25">
      <c r="A6958" t="s">
        <v>3296</v>
      </c>
      <c r="B6958" t="s">
        <v>2931</v>
      </c>
      <c r="C6958">
        <v>12068</v>
      </c>
      <c r="D6958" t="str">
        <f t="shared" si="132"/>
        <v xml:space="preserve">2560833412  </v>
      </c>
      <c r="E6958" t="s">
        <v>277</v>
      </c>
      <c r="F6958" t="s">
        <v>279</v>
      </c>
      <c r="G6958">
        <v>234.95</v>
      </c>
      <c r="H6958">
        <v>250908</v>
      </c>
      <c r="I6958">
        <v>4520</v>
      </c>
      <c r="J6958" t="s">
        <v>280</v>
      </c>
      <c r="K6958">
        <v>7291.7</v>
      </c>
      <c r="L6958">
        <v>28.85</v>
      </c>
      <c r="M6958">
        <v>14431</v>
      </c>
      <c r="N6958" t="s">
        <v>74</v>
      </c>
      <c r="O6958">
        <v>250916</v>
      </c>
      <c r="P6958">
        <v>206.1</v>
      </c>
    </row>
    <row r="6959" spans="1:16" x14ac:dyDescent="0.25">
      <c r="A6959" t="s">
        <v>3296</v>
      </c>
      <c r="B6959" t="s">
        <v>2931</v>
      </c>
      <c r="C6959">
        <v>12068</v>
      </c>
      <c r="D6959" t="str">
        <f t="shared" si="132"/>
        <v xml:space="preserve">2560833412  </v>
      </c>
      <c r="E6959" t="s">
        <v>277</v>
      </c>
      <c r="F6959" t="s">
        <v>279</v>
      </c>
      <c r="G6959">
        <v>141.4</v>
      </c>
      <c r="H6959">
        <v>250908</v>
      </c>
      <c r="I6959">
        <v>4520</v>
      </c>
      <c r="J6959" t="s">
        <v>280</v>
      </c>
      <c r="K6959">
        <v>7291.7</v>
      </c>
      <c r="L6959">
        <v>28.73</v>
      </c>
      <c r="M6959">
        <v>14432</v>
      </c>
      <c r="N6959" t="s">
        <v>75</v>
      </c>
      <c r="O6959">
        <v>250916</v>
      </c>
      <c r="P6959">
        <v>112.67</v>
      </c>
    </row>
    <row r="6960" spans="1:16" x14ac:dyDescent="0.25">
      <c r="A6960" t="s">
        <v>3296</v>
      </c>
      <c r="B6960" t="s">
        <v>2931</v>
      </c>
      <c r="C6960">
        <v>12068</v>
      </c>
      <c r="D6960" t="str">
        <f t="shared" si="132"/>
        <v xml:space="preserve">2560833412  </v>
      </c>
      <c r="E6960" t="s">
        <v>277</v>
      </c>
      <c r="F6960" t="s">
        <v>279</v>
      </c>
      <c r="G6960">
        <v>998.53</v>
      </c>
      <c r="H6960">
        <v>250908</v>
      </c>
      <c r="I6960">
        <v>4520</v>
      </c>
      <c r="J6960" t="s">
        <v>280</v>
      </c>
      <c r="K6960">
        <v>7291.7</v>
      </c>
      <c r="L6960">
        <v>122.63</v>
      </c>
      <c r="M6960">
        <v>14432</v>
      </c>
      <c r="N6960" t="s">
        <v>75</v>
      </c>
      <c r="O6960">
        <v>250916</v>
      </c>
      <c r="P6960">
        <v>875.9</v>
      </c>
    </row>
    <row r="6961" spans="1:16" x14ac:dyDescent="0.25">
      <c r="A6961" t="s">
        <v>3296</v>
      </c>
      <c r="B6961" t="s">
        <v>2931</v>
      </c>
      <c r="C6961">
        <v>12068</v>
      </c>
      <c r="D6961" t="str">
        <f t="shared" si="132"/>
        <v xml:space="preserve">2560833412  </v>
      </c>
      <c r="E6961" t="s">
        <v>277</v>
      </c>
      <c r="F6961" t="s">
        <v>279</v>
      </c>
      <c r="G6961">
        <v>145.6</v>
      </c>
      <c r="H6961">
        <v>250908</v>
      </c>
      <c r="I6961">
        <v>4520</v>
      </c>
      <c r="J6961" t="s">
        <v>280</v>
      </c>
      <c r="K6961">
        <v>7291.7</v>
      </c>
      <c r="L6961">
        <v>17.88</v>
      </c>
      <c r="M6961">
        <v>14541</v>
      </c>
      <c r="N6961" t="s">
        <v>76</v>
      </c>
      <c r="O6961">
        <v>250916</v>
      </c>
      <c r="P6961">
        <v>127.72</v>
      </c>
    </row>
    <row r="6962" spans="1:16" x14ac:dyDescent="0.25">
      <c r="A6962" t="s">
        <v>3296</v>
      </c>
      <c r="B6962" t="s">
        <v>2931</v>
      </c>
      <c r="C6962">
        <v>12068</v>
      </c>
      <c r="D6962" t="str">
        <f t="shared" si="132"/>
        <v xml:space="preserve">2560833412  </v>
      </c>
      <c r="E6962" t="s">
        <v>277</v>
      </c>
      <c r="F6962" t="s">
        <v>279</v>
      </c>
      <c r="G6962">
        <v>359.62</v>
      </c>
      <c r="H6962">
        <v>250908</v>
      </c>
      <c r="I6962">
        <v>4520</v>
      </c>
      <c r="J6962" t="s">
        <v>280</v>
      </c>
      <c r="K6962">
        <v>7291.7</v>
      </c>
      <c r="L6962">
        <v>73.069999999999993</v>
      </c>
      <c r="M6962">
        <v>14541</v>
      </c>
      <c r="N6962" t="s">
        <v>76</v>
      </c>
      <c r="O6962">
        <v>250916</v>
      </c>
      <c r="P6962">
        <v>286.55</v>
      </c>
    </row>
    <row r="6963" spans="1:16" x14ac:dyDescent="0.25">
      <c r="A6963" t="s">
        <v>3296</v>
      </c>
      <c r="B6963" t="s">
        <v>2931</v>
      </c>
      <c r="C6963">
        <v>12068</v>
      </c>
      <c r="D6963" t="str">
        <f t="shared" si="132"/>
        <v xml:space="preserve">2560833412  </v>
      </c>
      <c r="E6963" t="s">
        <v>277</v>
      </c>
      <c r="F6963" t="s">
        <v>279</v>
      </c>
      <c r="G6963">
        <v>8.32</v>
      </c>
      <c r="H6963">
        <v>250908</v>
      </c>
      <c r="I6963">
        <v>4520</v>
      </c>
      <c r="J6963" t="s">
        <v>280</v>
      </c>
      <c r="K6963">
        <v>7291.7</v>
      </c>
      <c r="L6963">
        <v>1.69</v>
      </c>
      <c r="M6963">
        <v>14640</v>
      </c>
      <c r="N6963" t="s">
        <v>78</v>
      </c>
      <c r="O6963">
        <v>250916</v>
      </c>
      <c r="P6963">
        <v>6.63</v>
      </c>
    </row>
    <row r="6964" spans="1:16" x14ac:dyDescent="0.25">
      <c r="A6964" t="s">
        <v>3296</v>
      </c>
      <c r="B6964" t="s">
        <v>2931</v>
      </c>
      <c r="C6964">
        <v>12068</v>
      </c>
      <c r="D6964" t="str">
        <f t="shared" si="132"/>
        <v xml:space="preserve">2560833412  </v>
      </c>
      <c r="E6964" t="s">
        <v>277</v>
      </c>
      <c r="F6964" t="s">
        <v>279</v>
      </c>
      <c r="G6964">
        <v>58.72</v>
      </c>
      <c r="H6964">
        <v>250908</v>
      </c>
      <c r="I6964">
        <v>4520</v>
      </c>
      <c r="J6964" t="s">
        <v>280</v>
      </c>
      <c r="K6964">
        <v>7291.7</v>
      </c>
      <c r="L6964">
        <v>7.21</v>
      </c>
      <c r="M6964">
        <v>14640</v>
      </c>
      <c r="N6964" t="s">
        <v>78</v>
      </c>
      <c r="O6964">
        <v>250916</v>
      </c>
      <c r="P6964">
        <v>51.51</v>
      </c>
    </row>
    <row r="6965" spans="1:16" x14ac:dyDescent="0.25">
      <c r="A6965" t="s">
        <v>3296</v>
      </c>
      <c r="B6965" t="s">
        <v>2931</v>
      </c>
      <c r="C6965">
        <v>12068</v>
      </c>
      <c r="D6965" t="str">
        <f t="shared" si="132"/>
        <v xml:space="preserve">2560833412  </v>
      </c>
      <c r="E6965" t="s">
        <v>277</v>
      </c>
      <c r="F6965" t="s">
        <v>279</v>
      </c>
      <c r="G6965">
        <v>33.270000000000003</v>
      </c>
      <c r="H6965">
        <v>250908</v>
      </c>
      <c r="I6965">
        <v>4520</v>
      </c>
      <c r="J6965" t="s">
        <v>280</v>
      </c>
      <c r="K6965">
        <v>7291.7</v>
      </c>
      <c r="L6965">
        <v>6.76</v>
      </c>
      <c r="M6965">
        <v>14642</v>
      </c>
      <c r="N6965" t="s">
        <v>283</v>
      </c>
      <c r="O6965">
        <v>250916</v>
      </c>
      <c r="P6965">
        <v>26.51</v>
      </c>
    </row>
    <row r="6966" spans="1:16" x14ac:dyDescent="0.25">
      <c r="A6966" t="s">
        <v>3296</v>
      </c>
      <c r="B6966" t="s">
        <v>2931</v>
      </c>
      <c r="C6966">
        <v>12068</v>
      </c>
      <c r="D6966" t="str">
        <f t="shared" si="132"/>
        <v xml:space="preserve">2560833412  </v>
      </c>
      <c r="E6966" t="s">
        <v>277</v>
      </c>
      <c r="F6966" t="s">
        <v>279</v>
      </c>
      <c r="G6966">
        <v>234.95</v>
      </c>
      <c r="H6966">
        <v>250908</v>
      </c>
      <c r="I6966">
        <v>4520</v>
      </c>
      <c r="J6966" t="s">
        <v>280</v>
      </c>
      <c r="K6966">
        <v>7291.7</v>
      </c>
      <c r="L6966">
        <v>28.85</v>
      </c>
      <c r="M6966">
        <v>14642</v>
      </c>
      <c r="N6966" t="s">
        <v>283</v>
      </c>
      <c r="O6966">
        <v>250916</v>
      </c>
      <c r="P6966">
        <v>206.1</v>
      </c>
    </row>
    <row r="6967" spans="1:16" x14ac:dyDescent="0.25">
      <c r="A6967" t="s">
        <v>3296</v>
      </c>
      <c r="B6967" t="s">
        <v>2931</v>
      </c>
      <c r="C6967">
        <v>12068</v>
      </c>
      <c r="D6967" t="str">
        <f t="shared" si="132"/>
        <v xml:space="preserve">2560833412  </v>
      </c>
      <c r="E6967" t="s">
        <v>277</v>
      </c>
      <c r="F6967" t="s">
        <v>279</v>
      </c>
      <c r="G6967">
        <v>607.17999999999995</v>
      </c>
      <c r="H6967">
        <v>250908</v>
      </c>
      <c r="I6967">
        <v>4520</v>
      </c>
      <c r="J6967" t="s">
        <v>280</v>
      </c>
      <c r="K6967">
        <v>7291.7</v>
      </c>
      <c r="L6967">
        <v>123.37</v>
      </c>
      <c r="M6967">
        <v>14912</v>
      </c>
      <c r="N6967" t="s">
        <v>80</v>
      </c>
      <c r="O6967">
        <v>250916</v>
      </c>
      <c r="P6967">
        <v>483.81</v>
      </c>
    </row>
    <row r="6968" spans="1:16" x14ac:dyDescent="0.25">
      <c r="A6968" t="s">
        <v>3296</v>
      </c>
      <c r="B6968" t="s">
        <v>2931</v>
      </c>
      <c r="C6968">
        <v>12068</v>
      </c>
      <c r="D6968" t="str">
        <f t="shared" si="132"/>
        <v xml:space="preserve">2560833412  </v>
      </c>
      <c r="E6968" t="s">
        <v>277</v>
      </c>
      <c r="F6968" t="s">
        <v>279</v>
      </c>
      <c r="G6968">
        <v>4287.79</v>
      </c>
      <c r="H6968">
        <v>250908</v>
      </c>
      <c r="I6968">
        <v>4520</v>
      </c>
      <c r="J6968" t="s">
        <v>280</v>
      </c>
      <c r="K6968">
        <v>7291.7</v>
      </c>
      <c r="L6968">
        <v>526.57000000000005</v>
      </c>
      <c r="M6968">
        <v>14912</v>
      </c>
      <c r="N6968" t="s">
        <v>80</v>
      </c>
      <c r="O6968">
        <v>250916</v>
      </c>
      <c r="P6968">
        <v>3761.22</v>
      </c>
    </row>
    <row r="6969" spans="1:16" x14ac:dyDescent="0.25">
      <c r="A6969" t="s">
        <v>3296</v>
      </c>
      <c r="B6969" t="s">
        <v>2931</v>
      </c>
      <c r="C6969">
        <v>12068</v>
      </c>
      <c r="D6969" t="str">
        <f t="shared" si="132"/>
        <v xml:space="preserve">2560833412  </v>
      </c>
      <c r="E6969" t="s">
        <v>277</v>
      </c>
      <c r="F6969" t="s">
        <v>279</v>
      </c>
      <c r="G6969">
        <v>81.040000000000006</v>
      </c>
      <c r="H6969">
        <v>250908</v>
      </c>
      <c r="I6969">
        <v>4520</v>
      </c>
      <c r="J6969" t="s">
        <v>280</v>
      </c>
      <c r="K6969">
        <v>7291.7</v>
      </c>
      <c r="L6969">
        <v>16.47</v>
      </c>
      <c r="M6969">
        <v>18995</v>
      </c>
      <c r="N6969" t="s">
        <v>2317</v>
      </c>
      <c r="O6969">
        <v>250916</v>
      </c>
      <c r="P6969">
        <v>64.569999999999993</v>
      </c>
    </row>
    <row r="6970" spans="1:16" x14ac:dyDescent="0.25">
      <c r="A6970" t="s">
        <v>3296</v>
      </c>
      <c r="B6970" t="s">
        <v>2931</v>
      </c>
      <c r="C6970">
        <v>12069</v>
      </c>
      <c r="D6970" t="str">
        <f>"2560833410  "</f>
        <v xml:space="preserve">2560833410  </v>
      </c>
      <c r="E6970" t="s">
        <v>277</v>
      </c>
      <c r="F6970" t="s">
        <v>279</v>
      </c>
      <c r="G6970">
        <v>612.16</v>
      </c>
      <c r="H6970">
        <v>250908</v>
      </c>
      <c r="I6970">
        <v>4520</v>
      </c>
      <c r="J6970" t="s">
        <v>280</v>
      </c>
      <c r="K6970">
        <v>781.57</v>
      </c>
      <c r="L6970">
        <v>75.180000000000007</v>
      </c>
      <c r="M6970">
        <v>44222</v>
      </c>
      <c r="N6970" t="s">
        <v>96</v>
      </c>
      <c r="O6970">
        <v>250916</v>
      </c>
      <c r="P6970">
        <v>536.98</v>
      </c>
    </row>
    <row r="6971" spans="1:16" x14ac:dyDescent="0.25">
      <c r="A6971" t="s">
        <v>3296</v>
      </c>
      <c r="B6971" t="s">
        <v>2931</v>
      </c>
      <c r="C6971">
        <v>12071</v>
      </c>
      <c r="D6971" t="str">
        <f>"2560833413  "</f>
        <v xml:space="preserve">2560833413  </v>
      </c>
      <c r="E6971" t="s">
        <v>277</v>
      </c>
      <c r="F6971" t="s">
        <v>279</v>
      </c>
      <c r="G6971">
        <v>437.57</v>
      </c>
      <c r="H6971">
        <v>250908</v>
      </c>
      <c r="I6971">
        <v>4520</v>
      </c>
      <c r="J6971" t="s">
        <v>280</v>
      </c>
      <c r="K6971">
        <v>464.51</v>
      </c>
      <c r="L6971">
        <v>53.74</v>
      </c>
      <c r="M6971">
        <v>44253</v>
      </c>
      <c r="N6971" t="s">
        <v>403</v>
      </c>
      <c r="O6971">
        <v>250916</v>
      </c>
      <c r="P6971">
        <v>383.83</v>
      </c>
    </row>
    <row r="6972" spans="1:16" x14ac:dyDescent="0.25">
      <c r="A6972" t="s">
        <v>3296</v>
      </c>
      <c r="B6972" t="s">
        <v>2931</v>
      </c>
      <c r="C6972">
        <v>12096</v>
      </c>
      <c r="D6972" t="str">
        <f>"2560833411  "</f>
        <v xml:space="preserve">2560833411  </v>
      </c>
      <c r="E6972" t="s">
        <v>277</v>
      </c>
      <c r="F6972" t="s">
        <v>279</v>
      </c>
      <c r="G6972">
        <v>147.9</v>
      </c>
      <c r="H6972">
        <v>250908</v>
      </c>
      <c r="I6972">
        <v>4520</v>
      </c>
      <c r="J6972" t="s">
        <v>280</v>
      </c>
      <c r="K6972">
        <v>2876.59</v>
      </c>
      <c r="L6972">
        <v>18.16</v>
      </c>
      <c r="M6972">
        <v>16442</v>
      </c>
      <c r="N6972" t="s">
        <v>304</v>
      </c>
      <c r="O6972">
        <v>250916</v>
      </c>
      <c r="P6972">
        <v>129.74</v>
      </c>
    </row>
    <row r="6973" spans="1:16" x14ac:dyDescent="0.25">
      <c r="A6973" t="s">
        <v>3296</v>
      </c>
      <c r="B6973" t="s">
        <v>2931</v>
      </c>
      <c r="C6973">
        <v>12096</v>
      </c>
      <c r="D6973" t="str">
        <f>"2560833411  "</f>
        <v xml:space="preserve">2560833411  </v>
      </c>
      <c r="E6973" t="s">
        <v>277</v>
      </c>
      <c r="F6973" t="s">
        <v>279</v>
      </c>
      <c r="G6973">
        <v>129.4</v>
      </c>
      <c r="H6973">
        <v>250908</v>
      </c>
      <c r="I6973">
        <v>4520</v>
      </c>
      <c r="J6973" t="s">
        <v>280</v>
      </c>
      <c r="K6973">
        <v>2876.59</v>
      </c>
      <c r="L6973">
        <v>26.29</v>
      </c>
      <c r="M6973">
        <v>17913</v>
      </c>
      <c r="N6973" t="s">
        <v>26</v>
      </c>
      <c r="O6973">
        <v>250916</v>
      </c>
      <c r="P6973">
        <v>103.11</v>
      </c>
    </row>
    <row r="6974" spans="1:16" x14ac:dyDescent="0.25">
      <c r="A6974" t="s">
        <v>3296</v>
      </c>
      <c r="B6974" t="s">
        <v>2931</v>
      </c>
      <c r="C6974">
        <v>12096</v>
      </c>
      <c r="D6974" t="str">
        <f>"2560833411  "</f>
        <v xml:space="preserve">2560833411  </v>
      </c>
      <c r="E6974" t="s">
        <v>277</v>
      </c>
      <c r="F6974" t="s">
        <v>279</v>
      </c>
      <c r="G6974">
        <v>2324.59</v>
      </c>
      <c r="H6974">
        <v>250908</v>
      </c>
      <c r="I6974">
        <v>4520</v>
      </c>
      <c r="J6974" t="s">
        <v>280</v>
      </c>
      <c r="K6974">
        <v>2876.59</v>
      </c>
      <c r="L6974">
        <v>285.48</v>
      </c>
      <c r="M6974">
        <v>17913</v>
      </c>
      <c r="N6974" t="s">
        <v>26</v>
      </c>
      <c r="O6974">
        <v>250916</v>
      </c>
      <c r="P6974">
        <v>2039.11</v>
      </c>
    </row>
    <row r="6975" spans="1:16" x14ac:dyDescent="0.25">
      <c r="A6975" t="s">
        <v>3296</v>
      </c>
      <c r="B6975" t="s">
        <v>2931</v>
      </c>
      <c r="C6975">
        <v>12096</v>
      </c>
      <c r="D6975" t="str">
        <f>"2560833411  "</f>
        <v xml:space="preserve">2560833411  </v>
      </c>
      <c r="E6975" t="s">
        <v>277</v>
      </c>
      <c r="F6975" t="s">
        <v>279</v>
      </c>
      <c r="G6975">
        <v>274.7</v>
      </c>
      <c r="H6975">
        <v>250908</v>
      </c>
      <c r="I6975">
        <v>4520</v>
      </c>
      <c r="J6975" t="s">
        <v>280</v>
      </c>
      <c r="K6975">
        <v>2876.59</v>
      </c>
      <c r="L6975">
        <v>33.74</v>
      </c>
      <c r="M6975">
        <v>17982</v>
      </c>
      <c r="N6975" t="s">
        <v>281</v>
      </c>
      <c r="O6975">
        <v>250916</v>
      </c>
      <c r="P6975">
        <v>240.96</v>
      </c>
    </row>
    <row r="6976" spans="1:16" x14ac:dyDescent="0.25">
      <c r="A6976" t="s">
        <v>3296</v>
      </c>
      <c r="B6976" t="s">
        <v>2931</v>
      </c>
      <c r="C6976">
        <v>12117</v>
      </c>
      <c r="D6976" t="str">
        <f>"2560833409  "</f>
        <v xml:space="preserve">2560833409  </v>
      </c>
      <c r="E6976" t="s">
        <v>277</v>
      </c>
      <c r="F6976" t="s">
        <v>279</v>
      </c>
      <c r="G6976">
        <v>12.55</v>
      </c>
      <c r="H6976">
        <v>250908</v>
      </c>
      <c r="I6976">
        <v>4520</v>
      </c>
      <c r="J6976" t="s">
        <v>280</v>
      </c>
      <c r="K6976">
        <v>1066.6199999999999</v>
      </c>
      <c r="L6976">
        <v>2.5499999999999998</v>
      </c>
      <c r="M6976">
        <v>17915</v>
      </c>
      <c r="N6976" t="s">
        <v>305</v>
      </c>
      <c r="O6976">
        <v>250916</v>
      </c>
      <c r="P6976">
        <v>10</v>
      </c>
    </row>
    <row r="6977" spans="1:16" x14ac:dyDescent="0.25">
      <c r="A6977" t="s">
        <v>3296</v>
      </c>
      <c r="B6977" t="s">
        <v>2931</v>
      </c>
      <c r="C6977">
        <v>12117</v>
      </c>
      <c r="D6977" t="str">
        <f>"2560833409  "</f>
        <v xml:space="preserve">2560833409  </v>
      </c>
      <c r="E6977" t="s">
        <v>277</v>
      </c>
      <c r="F6977" t="s">
        <v>279</v>
      </c>
      <c r="G6977">
        <v>833.67</v>
      </c>
      <c r="H6977">
        <v>250908</v>
      </c>
      <c r="I6977">
        <v>4520</v>
      </c>
      <c r="J6977" t="s">
        <v>280</v>
      </c>
      <c r="K6977">
        <v>1066.6199999999999</v>
      </c>
      <c r="L6977">
        <v>102.38</v>
      </c>
      <c r="M6977">
        <v>17915</v>
      </c>
      <c r="N6977" t="s">
        <v>305</v>
      </c>
      <c r="O6977">
        <v>250916</v>
      </c>
      <c r="P6977">
        <v>731.29</v>
      </c>
    </row>
    <row r="6978" spans="1:16" x14ac:dyDescent="0.25">
      <c r="A6978" t="s">
        <v>3296</v>
      </c>
      <c r="B6978" t="s">
        <v>2931</v>
      </c>
      <c r="C6978">
        <v>12117</v>
      </c>
      <c r="D6978" t="str">
        <f>"2560833409  "</f>
        <v xml:space="preserve">2560833409  </v>
      </c>
      <c r="E6978" t="s">
        <v>277</v>
      </c>
      <c r="F6978" t="s">
        <v>279</v>
      </c>
      <c r="G6978">
        <v>105.4</v>
      </c>
      <c r="H6978">
        <v>250908</v>
      </c>
      <c r="I6978">
        <v>4520</v>
      </c>
      <c r="J6978" t="s">
        <v>280</v>
      </c>
      <c r="K6978">
        <v>1066.6199999999999</v>
      </c>
      <c r="L6978">
        <v>12.94</v>
      </c>
      <c r="M6978">
        <v>17982</v>
      </c>
      <c r="N6978" t="s">
        <v>281</v>
      </c>
      <c r="O6978">
        <v>250916</v>
      </c>
      <c r="P6978">
        <v>92.46</v>
      </c>
    </row>
    <row r="6979" spans="1:16" x14ac:dyDescent="0.25">
      <c r="A6979" t="s">
        <v>3296</v>
      </c>
      <c r="B6979" t="s">
        <v>2931</v>
      </c>
      <c r="C6979">
        <v>12117</v>
      </c>
      <c r="D6979" t="str">
        <f>"2560833409  "</f>
        <v xml:space="preserve">2560833409  </v>
      </c>
      <c r="E6979" t="s">
        <v>277</v>
      </c>
      <c r="F6979" t="s">
        <v>279</v>
      </c>
      <c r="G6979">
        <v>115</v>
      </c>
      <c r="H6979">
        <v>250908</v>
      </c>
      <c r="I6979">
        <v>4520</v>
      </c>
      <c r="J6979" t="s">
        <v>280</v>
      </c>
      <c r="K6979">
        <v>1066.6199999999999</v>
      </c>
      <c r="L6979">
        <v>14.12</v>
      </c>
      <c r="M6979">
        <v>17984</v>
      </c>
      <c r="N6979" t="s">
        <v>655</v>
      </c>
      <c r="O6979">
        <v>250916</v>
      </c>
      <c r="P6979">
        <v>100.88</v>
      </c>
    </row>
    <row r="6980" spans="1:16" x14ac:dyDescent="0.25">
      <c r="A6980" t="s">
        <v>3296</v>
      </c>
      <c r="B6980" t="s">
        <v>2931</v>
      </c>
      <c r="C6980">
        <v>12135</v>
      </c>
      <c r="D6980" t="str">
        <f>"2560849587  "</f>
        <v xml:space="preserve">2560849587  </v>
      </c>
      <c r="E6980" t="s">
        <v>277</v>
      </c>
      <c r="F6980" t="s">
        <v>279</v>
      </c>
      <c r="G6980">
        <v>681.71</v>
      </c>
      <c r="H6980">
        <v>250915</v>
      </c>
      <c r="I6980">
        <v>4520</v>
      </c>
      <c r="J6980" t="s">
        <v>280</v>
      </c>
      <c r="K6980">
        <v>757.46</v>
      </c>
      <c r="L6980">
        <v>83.72</v>
      </c>
      <c r="M6980">
        <v>17915</v>
      </c>
      <c r="N6980" t="s">
        <v>305</v>
      </c>
      <c r="O6980">
        <v>250916</v>
      </c>
      <c r="P6980">
        <v>597.99</v>
      </c>
    </row>
    <row r="6981" spans="1:16" x14ac:dyDescent="0.25">
      <c r="A6981" t="s">
        <v>3296</v>
      </c>
      <c r="B6981" t="s">
        <v>2931</v>
      </c>
      <c r="C6981">
        <v>12135</v>
      </c>
      <c r="D6981" t="str">
        <f>"2560849587  "</f>
        <v xml:space="preserve">2560849587  </v>
      </c>
      <c r="E6981" t="s">
        <v>277</v>
      </c>
      <c r="F6981" t="s">
        <v>279</v>
      </c>
      <c r="G6981">
        <v>75.75</v>
      </c>
      <c r="H6981">
        <v>250915</v>
      </c>
      <c r="I6981">
        <v>4520</v>
      </c>
      <c r="J6981" t="s">
        <v>280</v>
      </c>
      <c r="K6981">
        <v>757.46</v>
      </c>
      <c r="L6981">
        <v>9.3000000000000007</v>
      </c>
      <c r="M6981">
        <v>17982</v>
      </c>
      <c r="N6981" t="s">
        <v>281</v>
      </c>
      <c r="O6981">
        <v>250916</v>
      </c>
      <c r="P6981">
        <v>66.45</v>
      </c>
    </row>
    <row r="6982" spans="1:16" x14ac:dyDescent="0.25">
      <c r="A6982" t="s">
        <v>3296</v>
      </c>
      <c r="B6982" t="s">
        <v>2931</v>
      </c>
      <c r="C6982">
        <v>12137</v>
      </c>
      <c r="D6982" t="str">
        <f>"2560849592  "</f>
        <v xml:space="preserve">2560849592  </v>
      </c>
      <c r="E6982" t="s">
        <v>277</v>
      </c>
      <c r="F6982" t="s">
        <v>279</v>
      </c>
      <c r="G6982">
        <v>1283.1400000000001</v>
      </c>
      <c r="H6982">
        <v>250915</v>
      </c>
      <c r="I6982">
        <v>4520</v>
      </c>
      <c r="J6982" t="s">
        <v>280</v>
      </c>
      <c r="K6982">
        <v>1467.65</v>
      </c>
      <c r="L6982">
        <v>157.58000000000001</v>
      </c>
      <c r="M6982">
        <v>69112</v>
      </c>
      <c r="N6982" t="s">
        <v>227</v>
      </c>
      <c r="O6982">
        <v>250916</v>
      </c>
      <c r="P6982">
        <v>1125.56</v>
      </c>
    </row>
    <row r="6983" spans="1:16" x14ac:dyDescent="0.25">
      <c r="A6983" t="s">
        <v>3296</v>
      </c>
      <c r="B6983" t="s">
        <v>2931</v>
      </c>
      <c r="C6983">
        <v>12137</v>
      </c>
      <c r="D6983" t="str">
        <f>"2560849592  "</f>
        <v xml:space="preserve">2560849592  </v>
      </c>
      <c r="E6983" t="s">
        <v>277</v>
      </c>
      <c r="F6983" t="s">
        <v>279</v>
      </c>
      <c r="G6983">
        <v>71.290000000000006</v>
      </c>
      <c r="H6983">
        <v>250915</v>
      </c>
      <c r="I6983">
        <v>4520</v>
      </c>
      <c r="J6983" t="s">
        <v>280</v>
      </c>
      <c r="K6983">
        <v>1467.65</v>
      </c>
      <c r="L6983">
        <v>8.75</v>
      </c>
      <c r="M6983">
        <v>69810</v>
      </c>
      <c r="N6983" t="s">
        <v>229</v>
      </c>
      <c r="O6983">
        <v>250916</v>
      </c>
      <c r="P6983">
        <v>62.54</v>
      </c>
    </row>
    <row r="6984" spans="1:16" x14ac:dyDescent="0.25">
      <c r="A6984" t="s">
        <v>3296</v>
      </c>
      <c r="B6984" t="s">
        <v>2931</v>
      </c>
      <c r="C6984">
        <v>12137</v>
      </c>
      <c r="D6984" t="str">
        <f>"2560849592  "</f>
        <v xml:space="preserve">2560849592  </v>
      </c>
      <c r="E6984" t="s">
        <v>277</v>
      </c>
      <c r="F6984" t="s">
        <v>279</v>
      </c>
      <c r="G6984">
        <v>71.28</v>
      </c>
      <c r="H6984">
        <v>250915</v>
      </c>
      <c r="I6984">
        <v>4520</v>
      </c>
      <c r="J6984" t="s">
        <v>280</v>
      </c>
      <c r="K6984">
        <v>1467.65</v>
      </c>
      <c r="L6984">
        <v>8.75</v>
      </c>
      <c r="M6984">
        <v>69811</v>
      </c>
      <c r="N6984" t="s">
        <v>230</v>
      </c>
      <c r="O6984">
        <v>250916</v>
      </c>
      <c r="P6984">
        <v>62.53</v>
      </c>
    </row>
    <row r="6985" spans="1:16" x14ac:dyDescent="0.25">
      <c r="A6985" t="s">
        <v>3296</v>
      </c>
      <c r="B6985" t="s">
        <v>2931</v>
      </c>
      <c r="C6985">
        <v>12186</v>
      </c>
      <c r="D6985" t="str">
        <f>"2560849582  "</f>
        <v xml:space="preserve">2560849582  </v>
      </c>
      <c r="E6985" t="s">
        <v>277</v>
      </c>
      <c r="F6985" t="s">
        <v>279</v>
      </c>
      <c r="G6985">
        <v>738.14</v>
      </c>
      <c r="H6985">
        <v>250915</v>
      </c>
      <c r="I6985">
        <v>4520</v>
      </c>
      <c r="J6985" t="s">
        <v>280</v>
      </c>
      <c r="K6985">
        <v>865.77</v>
      </c>
      <c r="L6985">
        <v>90.65</v>
      </c>
      <c r="M6985">
        <v>59114</v>
      </c>
      <c r="N6985" t="s">
        <v>299</v>
      </c>
      <c r="O6985">
        <v>250917</v>
      </c>
      <c r="P6985">
        <v>647.49</v>
      </c>
    </row>
    <row r="6986" spans="1:16" x14ac:dyDescent="0.25">
      <c r="A6986" t="s">
        <v>3296</v>
      </c>
      <c r="B6986" t="s">
        <v>2931</v>
      </c>
      <c r="C6986">
        <v>12186</v>
      </c>
      <c r="D6986" t="str">
        <f>"2560849582  "</f>
        <v xml:space="preserve">2560849582  </v>
      </c>
      <c r="E6986" t="s">
        <v>277</v>
      </c>
      <c r="F6986" t="s">
        <v>279</v>
      </c>
      <c r="G6986">
        <v>82.01</v>
      </c>
      <c r="H6986">
        <v>250915</v>
      </c>
      <c r="I6986">
        <v>4520</v>
      </c>
      <c r="J6986" t="s">
        <v>280</v>
      </c>
      <c r="K6986">
        <v>865.77</v>
      </c>
      <c r="L6986">
        <v>10.07</v>
      </c>
      <c r="M6986">
        <v>59808</v>
      </c>
      <c r="N6986" t="s">
        <v>699</v>
      </c>
      <c r="O6986">
        <v>250917</v>
      </c>
      <c r="P6986">
        <v>71.94</v>
      </c>
    </row>
    <row r="6987" spans="1:16" x14ac:dyDescent="0.25">
      <c r="A6987" t="s">
        <v>3296</v>
      </c>
      <c r="B6987" t="s">
        <v>2931</v>
      </c>
      <c r="C6987">
        <v>12189</v>
      </c>
      <c r="D6987" t="str">
        <f>"2560849584  "</f>
        <v xml:space="preserve">2560849584  </v>
      </c>
      <c r="E6987" t="s">
        <v>277</v>
      </c>
      <c r="F6987" t="s">
        <v>279</v>
      </c>
      <c r="G6987">
        <v>1963.19</v>
      </c>
      <c r="H6987">
        <v>250915</v>
      </c>
      <c r="I6987">
        <v>4520</v>
      </c>
      <c r="J6987" t="s">
        <v>280</v>
      </c>
      <c r="K6987">
        <v>2415.62</v>
      </c>
      <c r="L6987">
        <v>241.09</v>
      </c>
      <c r="M6987">
        <v>59113</v>
      </c>
      <c r="N6987" t="s">
        <v>61</v>
      </c>
      <c r="O6987">
        <v>250917</v>
      </c>
      <c r="P6987">
        <v>1722.1</v>
      </c>
    </row>
    <row r="6988" spans="1:16" x14ac:dyDescent="0.25">
      <c r="A6988" t="s">
        <v>3296</v>
      </c>
      <c r="B6988" t="s">
        <v>2931</v>
      </c>
      <c r="C6988">
        <v>12189</v>
      </c>
      <c r="D6988" t="str">
        <f>"2560849584  "</f>
        <v xml:space="preserve">2560849584  </v>
      </c>
      <c r="E6988" t="s">
        <v>277</v>
      </c>
      <c r="F6988" t="s">
        <v>279</v>
      </c>
      <c r="G6988">
        <v>346.45</v>
      </c>
      <c r="H6988">
        <v>250915</v>
      </c>
      <c r="I6988">
        <v>4520</v>
      </c>
      <c r="J6988" t="s">
        <v>280</v>
      </c>
      <c r="K6988">
        <v>2415.62</v>
      </c>
      <c r="L6988">
        <v>42.55</v>
      </c>
      <c r="M6988">
        <v>59803</v>
      </c>
      <c r="N6988" t="s">
        <v>282</v>
      </c>
      <c r="O6988">
        <v>250917</v>
      </c>
      <c r="P6988">
        <v>303.89999999999998</v>
      </c>
    </row>
    <row r="6989" spans="1:16" x14ac:dyDescent="0.25">
      <c r="A6989" t="s">
        <v>3296</v>
      </c>
      <c r="B6989" t="s">
        <v>2931</v>
      </c>
      <c r="C6989">
        <v>12447</v>
      </c>
      <c r="D6989" t="str">
        <f>"2560849583  "</f>
        <v xml:space="preserve">2560849583  </v>
      </c>
      <c r="E6989" t="s">
        <v>277</v>
      </c>
      <c r="F6989" t="s">
        <v>279</v>
      </c>
      <c r="G6989">
        <v>574</v>
      </c>
      <c r="H6989">
        <v>250915</v>
      </c>
      <c r="I6989">
        <v>4520</v>
      </c>
      <c r="J6989" t="s">
        <v>280</v>
      </c>
      <c r="K6989">
        <v>1715.67</v>
      </c>
      <c r="L6989">
        <v>70.489999999999995</v>
      </c>
      <c r="M6989">
        <v>54422</v>
      </c>
      <c r="N6989" t="s">
        <v>49</v>
      </c>
      <c r="O6989">
        <v>250922</v>
      </c>
      <c r="P6989">
        <v>503.51</v>
      </c>
    </row>
    <row r="6990" spans="1:16" x14ac:dyDescent="0.25">
      <c r="A6990" t="s">
        <v>3296</v>
      </c>
      <c r="B6990" t="s">
        <v>2931</v>
      </c>
      <c r="C6990">
        <v>12447</v>
      </c>
      <c r="D6990" t="str">
        <f>"2560849583  "</f>
        <v xml:space="preserve">2560849583  </v>
      </c>
      <c r="E6990" t="s">
        <v>277</v>
      </c>
      <c r="F6990" t="s">
        <v>279</v>
      </c>
      <c r="G6990">
        <v>1069.29</v>
      </c>
      <c r="H6990">
        <v>250915</v>
      </c>
      <c r="I6990">
        <v>4520</v>
      </c>
      <c r="J6990" t="s">
        <v>280</v>
      </c>
      <c r="K6990">
        <v>1715.67</v>
      </c>
      <c r="L6990">
        <v>131.32</v>
      </c>
      <c r="M6990">
        <v>54451</v>
      </c>
      <c r="N6990" t="s">
        <v>218</v>
      </c>
      <c r="O6990">
        <v>250922</v>
      </c>
      <c r="P6990">
        <v>937.97</v>
      </c>
    </row>
    <row r="6991" spans="1:16" x14ac:dyDescent="0.25">
      <c r="A6991" t="s">
        <v>3296</v>
      </c>
      <c r="B6991" t="s">
        <v>2931</v>
      </c>
      <c r="C6991">
        <v>12452</v>
      </c>
      <c r="D6991" t="str">
        <f>"2560849589  "</f>
        <v xml:space="preserve">2560849589  </v>
      </c>
      <c r="E6991" t="s">
        <v>277</v>
      </c>
      <c r="F6991" t="s">
        <v>279</v>
      </c>
      <c r="G6991">
        <v>128.4</v>
      </c>
      <c r="H6991">
        <v>250915</v>
      </c>
      <c r="I6991">
        <v>4520</v>
      </c>
      <c r="J6991" t="s">
        <v>280</v>
      </c>
      <c r="K6991">
        <v>2738.7</v>
      </c>
      <c r="L6991">
        <v>15.77</v>
      </c>
      <c r="M6991">
        <v>16442</v>
      </c>
      <c r="N6991" t="s">
        <v>304</v>
      </c>
      <c r="O6991">
        <v>250922</v>
      </c>
      <c r="P6991">
        <v>112.63</v>
      </c>
    </row>
    <row r="6992" spans="1:16" x14ac:dyDescent="0.25">
      <c r="A6992" t="s">
        <v>3296</v>
      </c>
      <c r="B6992" t="s">
        <v>2931</v>
      </c>
      <c r="C6992">
        <v>12452</v>
      </c>
      <c r="D6992" t="str">
        <f>"2560849589  "</f>
        <v xml:space="preserve">2560849589  </v>
      </c>
      <c r="E6992" t="s">
        <v>277</v>
      </c>
      <c r="F6992" t="s">
        <v>279</v>
      </c>
      <c r="G6992">
        <v>2178.5</v>
      </c>
      <c r="H6992">
        <v>250915</v>
      </c>
      <c r="I6992">
        <v>4520</v>
      </c>
      <c r="J6992" t="s">
        <v>280</v>
      </c>
      <c r="K6992">
        <v>2738.7</v>
      </c>
      <c r="L6992">
        <v>267.54000000000002</v>
      </c>
      <c r="M6992">
        <v>17913</v>
      </c>
      <c r="N6992" t="s">
        <v>26</v>
      </c>
      <c r="O6992">
        <v>250922</v>
      </c>
      <c r="P6992">
        <v>1910.96</v>
      </c>
    </row>
    <row r="6993" spans="1:16" x14ac:dyDescent="0.25">
      <c r="A6993" t="s">
        <v>3296</v>
      </c>
      <c r="B6993" t="s">
        <v>2931</v>
      </c>
      <c r="C6993">
        <v>12452</v>
      </c>
      <c r="D6993" t="str">
        <f>"2560849589  "</f>
        <v xml:space="preserve">2560849589  </v>
      </c>
      <c r="E6993" t="s">
        <v>277</v>
      </c>
      <c r="F6993" t="s">
        <v>279</v>
      </c>
      <c r="G6993">
        <v>367.43</v>
      </c>
      <c r="H6993">
        <v>250915</v>
      </c>
      <c r="I6993">
        <v>4520</v>
      </c>
      <c r="J6993" t="s">
        <v>280</v>
      </c>
      <c r="K6993">
        <v>2738.7</v>
      </c>
      <c r="L6993">
        <v>45.12</v>
      </c>
      <c r="M6993">
        <v>17982</v>
      </c>
      <c r="N6993" t="s">
        <v>281</v>
      </c>
      <c r="O6993">
        <v>250922</v>
      </c>
      <c r="P6993">
        <v>322.31</v>
      </c>
    </row>
    <row r="6994" spans="1:16" x14ac:dyDescent="0.25">
      <c r="A6994" t="s">
        <v>3296</v>
      </c>
      <c r="B6994" t="s">
        <v>2931</v>
      </c>
      <c r="C6994">
        <v>12454</v>
      </c>
      <c r="D6994" t="str">
        <f>"2560833407  "</f>
        <v xml:space="preserve">2560833407  </v>
      </c>
      <c r="E6994" t="s">
        <v>277</v>
      </c>
      <c r="F6994" t="s">
        <v>279</v>
      </c>
      <c r="G6994">
        <v>1387.06</v>
      </c>
      <c r="H6994">
        <v>250908</v>
      </c>
      <c r="I6994">
        <v>4520</v>
      </c>
      <c r="J6994" t="s">
        <v>280</v>
      </c>
      <c r="K6994">
        <v>1900.37</v>
      </c>
      <c r="L6994">
        <v>170.34</v>
      </c>
      <c r="M6994">
        <v>69113</v>
      </c>
      <c r="N6994" t="s">
        <v>122</v>
      </c>
      <c r="O6994">
        <v>250923</v>
      </c>
      <c r="P6994">
        <v>1216.72</v>
      </c>
    </row>
    <row r="6995" spans="1:16" x14ac:dyDescent="0.25">
      <c r="A6995" t="s">
        <v>3296</v>
      </c>
      <c r="B6995" t="s">
        <v>2931</v>
      </c>
      <c r="C6995">
        <v>12454</v>
      </c>
      <c r="D6995" t="str">
        <f>"2560833407  "</f>
        <v xml:space="preserve">2560833407  </v>
      </c>
      <c r="E6995" t="s">
        <v>277</v>
      </c>
      <c r="F6995" t="s">
        <v>279</v>
      </c>
      <c r="G6995">
        <v>163.18</v>
      </c>
      <c r="H6995">
        <v>250908</v>
      </c>
      <c r="I6995">
        <v>4520</v>
      </c>
      <c r="J6995" t="s">
        <v>280</v>
      </c>
      <c r="K6995">
        <v>1900.37</v>
      </c>
      <c r="L6995">
        <v>20.04</v>
      </c>
      <c r="M6995">
        <v>69802</v>
      </c>
      <c r="N6995" t="s">
        <v>375</v>
      </c>
      <c r="O6995">
        <v>250923</v>
      </c>
      <c r="P6995">
        <v>143.13999999999999</v>
      </c>
    </row>
    <row r="6996" spans="1:16" x14ac:dyDescent="0.25">
      <c r="A6996" t="s">
        <v>3296</v>
      </c>
      <c r="B6996" t="s">
        <v>2931</v>
      </c>
      <c r="C6996">
        <v>12454</v>
      </c>
      <c r="D6996" t="str">
        <f>"2560833407  "</f>
        <v xml:space="preserve">2560833407  </v>
      </c>
      <c r="E6996" t="s">
        <v>277</v>
      </c>
      <c r="F6996" t="s">
        <v>279</v>
      </c>
      <c r="G6996">
        <v>81.59</v>
      </c>
      <c r="H6996">
        <v>250908</v>
      </c>
      <c r="I6996">
        <v>4520</v>
      </c>
      <c r="J6996" t="s">
        <v>280</v>
      </c>
      <c r="K6996">
        <v>1900.37</v>
      </c>
      <c r="L6996">
        <v>10.02</v>
      </c>
      <c r="M6996">
        <v>69804</v>
      </c>
      <c r="N6996" t="s">
        <v>376</v>
      </c>
      <c r="O6996">
        <v>250923</v>
      </c>
      <c r="P6996">
        <v>71.569999999999993</v>
      </c>
    </row>
    <row r="6997" spans="1:16" x14ac:dyDescent="0.25">
      <c r="A6997" t="s">
        <v>3296</v>
      </c>
      <c r="B6997" t="s">
        <v>2931</v>
      </c>
      <c r="C6997">
        <v>12509</v>
      </c>
      <c r="D6997" t="str">
        <f t="shared" ref="D6997:D7012" si="133">"2560849590  "</f>
        <v xml:space="preserve">2560849590  </v>
      </c>
      <c r="E6997" t="s">
        <v>277</v>
      </c>
      <c r="F6997" t="s">
        <v>279</v>
      </c>
      <c r="G6997">
        <v>1.69</v>
      </c>
      <c r="H6997">
        <v>250915</v>
      </c>
      <c r="I6997">
        <v>4520</v>
      </c>
      <c r="J6997" t="s">
        <v>280</v>
      </c>
      <c r="K6997">
        <v>10883.4</v>
      </c>
      <c r="L6997">
        <v>0.34</v>
      </c>
      <c r="M6997">
        <v>14422</v>
      </c>
      <c r="N6997" t="s">
        <v>73</v>
      </c>
      <c r="O6997">
        <v>250925</v>
      </c>
      <c r="P6997">
        <v>1.35</v>
      </c>
    </row>
    <row r="6998" spans="1:16" x14ac:dyDescent="0.25">
      <c r="A6998" t="s">
        <v>3296</v>
      </c>
      <c r="B6998" t="s">
        <v>2931</v>
      </c>
      <c r="C6998">
        <v>12509</v>
      </c>
      <c r="D6998" t="str">
        <f t="shared" si="133"/>
        <v xml:space="preserve">2560849590  </v>
      </c>
      <c r="E6998" t="s">
        <v>277</v>
      </c>
      <c r="F6998" t="s">
        <v>279</v>
      </c>
      <c r="G6998">
        <v>66.930000000000007</v>
      </c>
      <c r="H6998">
        <v>250915</v>
      </c>
      <c r="I6998">
        <v>4520</v>
      </c>
      <c r="J6998" t="s">
        <v>280</v>
      </c>
      <c r="K6998">
        <v>10883.4</v>
      </c>
      <c r="L6998">
        <v>8.2200000000000006</v>
      </c>
      <c r="M6998">
        <v>14422</v>
      </c>
      <c r="N6998" t="s">
        <v>73</v>
      </c>
      <c r="O6998">
        <v>250925</v>
      </c>
      <c r="P6998">
        <v>58.71</v>
      </c>
    </row>
    <row r="6999" spans="1:16" x14ac:dyDescent="0.25">
      <c r="A6999" t="s">
        <v>3296</v>
      </c>
      <c r="B6999" t="s">
        <v>2931</v>
      </c>
      <c r="C6999">
        <v>12509</v>
      </c>
      <c r="D6999" t="str">
        <f t="shared" si="133"/>
        <v xml:space="preserve">2560849590  </v>
      </c>
      <c r="E6999" t="s">
        <v>277</v>
      </c>
      <c r="F6999" t="s">
        <v>279</v>
      </c>
      <c r="G6999">
        <v>6.77</v>
      </c>
      <c r="H6999">
        <v>250915</v>
      </c>
      <c r="I6999">
        <v>4520</v>
      </c>
      <c r="J6999" t="s">
        <v>280</v>
      </c>
      <c r="K6999">
        <v>10883.4</v>
      </c>
      <c r="L6999">
        <v>1.38</v>
      </c>
      <c r="M6999">
        <v>14431</v>
      </c>
      <c r="N6999" t="s">
        <v>74</v>
      </c>
      <c r="O6999">
        <v>250925</v>
      </c>
      <c r="P6999">
        <v>5.39</v>
      </c>
    </row>
    <row r="7000" spans="1:16" x14ac:dyDescent="0.25">
      <c r="A7000" t="s">
        <v>3296</v>
      </c>
      <c r="B7000" t="s">
        <v>2931</v>
      </c>
      <c r="C7000">
        <v>12509</v>
      </c>
      <c r="D7000" t="str">
        <f t="shared" si="133"/>
        <v xml:space="preserve">2560849590  </v>
      </c>
      <c r="E7000" t="s">
        <v>277</v>
      </c>
      <c r="F7000" t="s">
        <v>279</v>
      </c>
      <c r="G7000">
        <v>267.72000000000003</v>
      </c>
      <c r="H7000">
        <v>250915</v>
      </c>
      <c r="I7000">
        <v>4520</v>
      </c>
      <c r="J7000" t="s">
        <v>280</v>
      </c>
      <c r="K7000">
        <v>10883.4</v>
      </c>
      <c r="L7000">
        <v>32.880000000000003</v>
      </c>
      <c r="M7000">
        <v>14431</v>
      </c>
      <c r="N7000" t="s">
        <v>74</v>
      </c>
      <c r="O7000">
        <v>250925</v>
      </c>
      <c r="P7000">
        <v>234.84</v>
      </c>
    </row>
    <row r="7001" spans="1:16" x14ac:dyDescent="0.25">
      <c r="A7001" t="s">
        <v>3296</v>
      </c>
      <c r="B7001" t="s">
        <v>2931</v>
      </c>
      <c r="C7001">
        <v>12509</v>
      </c>
      <c r="D7001" t="str">
        <f t="shared" si="133"/>
        <v xml:space="preserve">2560849590  </v>
      </c>
      <c r="E7001" t="s">
        <v>277</v>
      </c>
      <c r="F7001" t="s">
        <v>279</v>
      </c>
      <c r="G7001">
        <v>28.77</v>
      </c>
      <c r="H7001">
        <v>250915</v>
      </c>
      <c r="I7001">
        <v>4520</v>
      </c>
      <c r="J7001" t="s">
        <v>280</v>
      </c>
      <c r="K7001">
        <v>10883.4</v>
      </c>
      <c r="L7001">
        <v>5.85</v>
      </c>
      <c r="M7001">
        <v>14432</v>
      </c>
      <c r="N7001" t="s">
        <v>75</v>
      </c>
      <c r="O7001">
        <v>250925</v>
      </c>
      <c r="P7001">
        <v>22.92</v>
      </c>
    </row>
    <row r="7002" spans="1:16" x14ac:dyDescent="0.25">
      <c r="A7002" t="s">
        <v>3296</v>
      </c>
      <c r="B7002" t="s">
        <v>2931</v>
      </c>
      <c r="C7002">
        <v>12509</v>
      </c>
      <c r="D7002" t="str">
        <f t="shared" si="133"/>
        <v xml:space="preserve">2560849590  </v>
      </c>
      <c r="E7002" t="s">
        <v>277</v>
      </c>
      <c r="F7002" t="s">
        <v>279</v>
      </c>
      <c r="G7002">
        <v>1137.8</v>
      </c>
      <c r="H7002">
        <v>250915</v>
      </c>
      <c r="I7002">
        <v>4520</v>
      </c>
      <c r="J7002" t="s">
        <v>280</v>
      </c>
      <c r="K7002">
        <v>10883.4</v>
      </c>
      <c r="L7002">
        <v>139.72999999999999</v>
      </c>
      <c r="M7002">
        <v>14432</v>
      </c>
      <c r="N7002" t="s">
        <v>75</v>
      </c>
      <c r="O7002">
        <v>250925</v>
      </c>
      <c r="P7002">
        <v>998.07</v>
      </c>
    </row>
    <row r="7003" spans="1:16" x14ac:dyDescent="0.25">
      <c r="A7003" t="s">
        <v>3296</v>
      </c>
      <c r="B7003" t="s">
        <v>2931</v>
      </c>
      <c r="C7003">
        <v>12509</v>
      </c>
      <c r="D7003" t="str">
        <f t="shared" si="133"/>
        <v xml:space="preserve">2560849590  </v>
      </c>
      <c r="E7003" t="s">
        <v>277</v>
      </c>
      <c r="F7003" t="s">
        <v>279</v>
      </c>
      <c r="G7003">
        <v>1.7</v>
      </c>
      <c r="H7003">
        <v>250915</v>
      </c>
      <c r="I7003">
        <v>4520</v>
      </c>
      <c r="J7003" t="s">
        <v>280</v>
      </c>
      <c r="K7003">
        <v>10883.4</v>
      </c>
      <c r="L7003">
        <v>0.35</v>
      </c>
      <c r="M7003">
        <v>14640</v>
      </c>
      <c r="N7003" t="s">
        <v>78</v>
      </c>
      <c r="O7003">
        <v>250925</v>
      </c>
      <c r="P7003">
        <v>1.35</v>
      </c>
    </row>
    <row r="7004" spans="1:16" x14ac:dyDescent="0.25">
      <c r="A7004" t="s">
        <v>3296</v>
      </c>
      <c r="B7004" t="s">
        <v>2931</v>
      </c>
      <c r="C7004">
        <v>12509</v>
      </c>
      <c r="D7004" t="str">
        <f t="shared" si="133"/>
        <v xml:space="preserve">2560849590  </v>
      </c>
      <c r="E7004" t="s">
        <v>277</v>
      </c>
      <c r="F7004" t="s">
        <v>279</v>
      </c>
      <c r="G7004">
        <v>66.92</v>
      </c>
      <c r="H7004">
        <v>250915</v>
      </c>
      <c r="I7004">
        <v>4520</v>
      </c>
      <c r="J7004" t="s">
        <v>280</v>
      </c>
      <c r="K7004">
        <v>10883.4</v>
      </c>
      <c r="L7004">
        <v>8.2200000000000006</v>
      </c>
      <c r="M7004">
        <v>14640</v>
      </c>
      <c r="N7004" t="s">
        <v>78</v>
      </c>
      <c r="O7004">
        <v>250925</v>
      </c>
      <c r="P7004">
        <v>58.7</v>
      </c>
    </row>
    <row r="7005" spans="1:16" x14ac:dyDescent="0.25">
      <c r="A7005" t="s">
        <v>3296</v>
      </c>
      <c r="B7005" t="s">
        <v>2931</v>
      </c>
      <c r="C7005">
        <v>12509</v>
      </c>
      <c r="D7005" t="str">
        <f t="shared" si="133"/>
        <v xml:space="preserve">2560849590  </v>
      </c>
      <c r="E7005" t="s">
        <v>277</v>
      </c>
      <c r="F7005" t="s">
        <v>279</v>
      </c>
      <c r="G7005">
        <v>6.77</v>
      </c>
      <c r="H7005">
        <v>250915</v>
      </c>
      <c r="I7005">
        <v>4520</v>
      </c>
      <c r="J7005" t="s">
        <v>280</v>
      </c>
      <c r="K7005">
        <v>10883.4</v>
      </c>
      <c r="L7005">
        <v>1.38</v>
      </c>
      <c r="M7005">
        <v>14642</v>
      </c>
      <c r="N7005" t="s">
        <v>283</v>
      </c>
      <c r="O7005">
        <v>250925</v>
      </c>
      <c r="P7005">
        <v>5.39</v>
      </c>
    </row>
    <row r="7006" spans="1:16" x14ac:dyDescent="0.25">
      <c r="A7006" t="s">
        <v>3296</v>
      </c>
      <c r="B7006" t="s">
        <v>2931</v>
      </c>
      <c r="C7006">
        <v>12509</v>
      </c>
      <c r="D7006" t="str">
        <f t="shared" si="133"/>
        <v xml:space="preserve">2560849590  </v>
      </c>
      <c r="E7006" t="s">
        <v>277</v>
      </c>
      <c r="F7006" t="s">
        <v>279</v>
      </c>
      <c r="G7006">
        <v>267.72000000000003</v>
      </c>
      <c r="H7006">
        <v>250915</v>
      </c>
      <c r="I7006">
        <v>4520</v>
      </c>
      <c r="J7006" t="s">
        <v>280</v>
      </c>
      <c r="K7006">
        <v>10883.4</v>
      </c>
      <c r="L7006">
        <v>32.880000000000003</v>
      </c>
      <c r="M7006">
        <v>14642</v>
      </c>
      <c r="N7006" t="s">
        <v>283</v>
      </c>
      <c r="O7006">
        <v>250925</v>
      </c>
      <c r="P7006">
        <v>234.84</v>
      </c>
    </row>
    <row r="7007" spans="1:16" x14ac:dyDescent="0.25">
      <c r="A7007" t="s">
        <v>3296</v>
      </c>
      <c r="B7007" t="s">
        <v>2931</v>
      </c>
      <c r="C7007">
        <v>12509</v>
      </c>
      <c r="D7007" t="str">
        <f t="shared" si="133"/>
        <v xml:space="preserve">2560849590  </v>
      </c>
      <c r="E7007" t="s">
        <v>277</v>
      </c>
      <c r="F7007" t="s">
        <v>279</v>
      </c>
      <c r="G7007">
        <v>123.55</v>
      </c>
      <c r="H7007">
        <v>250915</v>
      </c>
      <c r="I7007">
        <v>4520</v>
      </c>
      <c r="J7007" t="s">
        <v>280</v>
      </c>
      <c r="K7007">
        <v>10883.4</v>
      </c>
      <c r="L7007">
        <v>25.1</v>
      </c>
      <c r="M7007">
        <v>14912</v>
      </c>
      <c r="N7007" t="s">
        <v>80</v>
      </c>
      <c r="O7007">
        <v>250925</v>
      </c>
      <c r="P7007">
        <v>98.45</v>
      </c>
    </row>
    <row r="7008" spans="1:16" x14ac:dyDescent="0.25">
      <c r="A7008" t="s">
        <v>3296</v>
      </c>
      <c r="B7008" t="s">
        <v>2931</v>
      </c>
      <c r="C7008">
        <v>12509</v>
      </c>
      <c r="D7008" t="str">
        <f t="shared" si="133"/>
        <v xml:space="preserve">2560849590  </v>
      </c>
      <c r="E7008" t="s">
        <v>277</v>
      </c>
      <c r="F7008" t="s">
        <v>279</v>
      </c>
      <c r="G7008">
        <v>4885.83</v>
      </c>
      <c r="H7008">
        <v>250915</v>
      </c>
      <c r="I7008">
        <v>4520</v>
      </c>
      <c r="J7008" t="s">
        <v>280</v>
      </c>
      <c r="K7008">
        <v>10883.4</v>
      </c>
      <c r="L7008">
        <v>600.01</v>
      </c>
      <c r="M7008">
        <v>14912</v>
      </c>
      <c r="N7008" t="s">
        <v>80</v>
      </c>
      <c r="O7008">
        <v>250925</v>
      </c>
      <c r="P7008">
        <v>4285.82</v>
      </c>
    </row>
    <row r="7009" spans="1:16" x14ac:dyDescent="0.25">
      <c r="A7009" t="s">
        <v>3296</v>
      </c>
      <c r="B7009" t="s">
        <v>2931</v>
      </c>
      <c r="C7009">
        <v>12509</v>
      </c>
      <c r="D7009" t="str">
        <f t="shared" si="133"/>
        <v xml:space="preserve">2560849590  </v>
      </c>
      <c r="E7009" t="s">
        <v>277</v>
      </c>
      <c r="F7009" t="s">
        <v>279</v>
      </c>
      <c r="G7009">
        <v>45.19</v>
      </c>
      <c r="H7009">
        <v>250915</v>
      </c>
      <c r="I7009">
        <v>4520</v>
      </c>
      <c r="J7009" t="s">
        <v>280</v>
      </c>
      <c r="K7009">
        <v>10883.4</v>
      </c>
      <c r="L7009">
        <v>9.18</v>
      </c>
      <c r="M7009">
        <v>14990</v>
      </c>
      <c r="N7009" t="s">
        <v>85</v>
      </c>
      <c r="O7009">
        <v>250925</v>
      </c>
      <c r="P7009">
        <v>36.01</v>
      </c>
    </row>
    <row r="7010" spans="1:16" x14ac:dyDescent="0.25">
      <c r="A7010" t="s">
        <v>3296</v>
      </c>
      <c r="B7010" t="s">
        <v>2931</v>
      </c>
      <c r="C7010">
        <v>12509</v>
      </c>
      <c r="D7010" t="str">
        <f t="shared" si="133"/>
        <v xml:space="preserve">2560849590  </v>
      </c>
      <c r="E7010" t="s">
        <v>277</v>
      </c>
      <c r="F7010" t="s">
        <v>279</v>
      </c>
      <c r="G7010">
        <v>940.93</v>
      </c>
      <c r="H7010">
        <v>250915</v>
      </c>
      <c r="I7010">
        <v>4520</v>
      </c>
      <c r="J7010" t="s">
        <v>280</v>
      </c>
      <c r="K7010">
        <v>10883.4</v>
      </c>
      <c r="L7010">
        <v>115.55</v>
      </c>
      <c r="M7010">
        <v>14990</v>
      </c>
      <c r="N7010" t="s">
        <v>85</v>
      </c>
      <c r="O7010">
        <v>250925</v>
      </c>
      <c r="P7010">
        <v>825.38</v>
      </c>
    </row>
    <row r="7011" spans="1:16" x14ac:dyDescent="0.25">
      <c r="A7011" t="s">
        <v>3296</v>
      </c>
      <c r="B7011" t="s">
        <v>2931</v>
      </c>
      <c r="C7011">
        <v>12509</v>
      </c>
      <c r="D7011" t="str">
        <f t="shared" si="133"/>
        <v xml:space="preserve">2560849590  </v>
      </c>
      <c r="E7011" t="s">
        <v>277</v>
      </c>
      <c r="F7011" t="s">
        <v>279</v>
      </c>
      <c r="G7011">
        <v>384.04</v>
      </c>
      <c r="H7011">
        <v>250915</v>
      </c>
      <c r="I7011">
        <v>4520</v>
      </c>
      <c r="J7011" t="s">
        <v>280</v>
      </c>
      <c r="K7011">
        <v>10883.4</v>
      </c>
      <c r="L7011">
        <v>78.03</v>
      </c>
      <c r="M7011">
        <v>18995</v>
      </c>
      <c r="N7011" t="s">
        <v>2317</v>
      </c>
      <c r="O7011">
        <v>250925</v>
      </c>
      <c r="P7011">
        <v>306.01</v>
      </c>
    </row>
    <row r="7012" spans="1:16" x14ac:dyDescent="0.25">
      <c r="A7012" t="s">
        <v>3296</v>
      </c>
      <c r="B7012" t="s">
        <v>2931</v>
      </c>
      <c r="C7012">
        <v>12509</v>
      </c>
      <c r="D7012" t="str">
        <f t="shared" si="133"/>
        <v xml:space="preserve">2560849590  </v>
      </c>
      <c r="E7012" t="s">
        <v>277</v>
      </c>
      <c r="F7012" t="s">
        <v>279</v>
      </c>
      <c r="G7012">
        <v>2651.07</v>
      </c>
      <c r="H7012">
        <v>250915</v>
      </c>
      <c r="I7012">
        <v>4520</v>
      </c>
      <c r="J7012" t="s">
        <v>280</v>
      </c>
      <c r="K7012">
        <v>10883.4</v>
      </c>
      <c r="L7012">
        <v>325.57</v>
      </c>
      <c r="M7012">
        <v>18995</v>
      </c>
      <c r="N7012" t="s">
        <v>2317</v>
      </c>
      <c r="O7012">
        <v>250925</v>
      </c>
      <c r="P7012">
        <v>2325.5</v>
      </c>
    </row>
    <row r="7013" spans="1:16" x14ac:dyDescent="0.25">
      <c r="A7013" t="s">
        <v>3296</v>
      </c>
      <c r="B7013" t="s">
        <v>2931</v>
      </c>
      <c r="C7013">
        <v>12513</v>
      </c>
      <c r="D7013" t="str">
        <f>"2560849588  "</f>
        <v xml:space="preserve">2560849588  </v>
      </c>
      <c r="E7013" t="s">
        <v>277</v>
      </c>
      <c r="F7013" t="s">
        <v>279</v>
      </c>
      <c r="G7013">
        <v>813.74</v>
      </c>
      <c r="H7013">
        <v>250915</v>
      </c>
      <c r="I7013">
        <v>4520</v>
      </c>
      <c r="J7013" t="s">
        <v>280</v>
      </c>
      <c r="K7013">
        <v>832.94</v>
      </c>
      <c r="L7013">
        <v>99.93</v>
      </c>
      <c r="M7013">
        <v>44222</v>
      </c>
      <c r="N7013" t="s">
        <v>96</v>
      </c>
      <c r="O7013">
        <v>250925</v>
      </c>
      <c r="P7013">
        <v>713.81</v>
      </c>
    </row>
    <row r="7014" spans="1:16" x14ac:dyDescent="0.25">
      <c r="A7014" t="s">
        <v>3296</v>
      </c>
      <c r="B7014" t="s">
        <v>2931</v>
      </c>
      <c r="C7014">
        <v>12518</v>
      </c>
      <c r="D7014" t="str">
        <f>"2560849591  "</f>
        <v xml:space="preserve">2560849591  </v>
      </c>
      <c r="E7014" t="s">
        <v>277</v>
      </c>
      <c r="F7014" t="s">
        <v>279</v>
      </c>
      <c r="G7014">
        <v>227.25</v>
      </c>
      <c r="H7014">
        <v>250915</v>
      </c>
      <c r="I7014">
        <v>4520</v>
      </c>
      <c r="J7014" t="s">
        <v>280</v>
      </c>
      <c r="K7014">
        <v>612.53</v>
      </c>
      <c r="L7014">
        <v>27.91</v>
      </c>
      <c r="M7014">
        <v>44222</v>
      </c>
      <c r="N7014" t="s">
        <v>96</v>
      </c>
      <c r="O7014">
        <v>250925</v>
      </c>
      <c r="P7014">
        <v>199.34</v>
      </c>
    </row>
    <row r="7015" spans="1:16" x14ac:dyDescent="0.25">
      <c r="A7015" t="s">
        <v>3296</v>
      </c>
      <c r="B7015" t="s">
        <v>2931</v>
      </c>
      <c r="C7015">
        <v>12518</v>
      </c>
      <c r="D7015" t="str">
        <f>"2560849591  "</f>
        <v xml:space="preserve">2560849591  </v>
      </c>
      <c r="E7015" t="s">
        <v>277</v>
      </c>
      <c r="F7015" t="s">
        <v>279</v>
      </c>
      <c r="G7015">
        <v>373.26</v>
      </c>
      <c r="H7015">
        <v>250915</v>
      </c>
      <c r="I7015">
        <v>4520</v>
      </c>
      <c r="J7015" t="s">
        <v>280</v>
      </c>
      <c r="K7015">
        <v>612.53</v>
      </c>
      <c r="L7015">
        <v>45.84</v>
      </c>
      <c r="M7015">
        <v>44253</v>
      </c>
      <c r="N7015" t="s">
        <v>403</v>
      </c>
      <c r="O7015">
        <v>250925</v>
      </c>
      <c r="P7015">
        <v>327.42</v>
      </c>
    </row>
    <row r="7016" spans="1:16" x14ac:dyDescent="0.25">
      <c r="A7016" t="s">
        <v>3296</v>
      </c>
      <c r="B7016" t="s">
        <v>2931</v>
      </c>
      <c r="C7016">
        <v>12524</v>
      </c>
      <c r="D7016" t="str">
        <f>"2560849586  "</f>
        <v xml:space="preserve">2560849586  </v>
      </c>
      <c r="E7016" t="s">
        <v>277</v>
      </c>
      <c r="F7016" t="s">
        <v>279</v>
      </c>
      <c r="G7016">
        <v>2785.79</v>
      </c>
      <c r="H7016">
        <v>250915</v>
      </c>
      <c r="I7016">
        <v>4520</v>
      </c>
      <c r="J7016" t="s">
        <v>280</v>
      </c>
      <c r="K7016">
        <v>2823.57</v>
      </c>
      <c r="L7016">
        <v>342.11</v>
      </c>
      <c r="M7016">
        <v>49112</v>
      </c>
      <c r="N7016" t="s">
        <v>109</v>
      </c>
      <c r="O7016">
        <v>250926</v>
      </c>
      <c r="P7016">
        <v>2443.6799999999998</v>
      </c>
    </row>
    <row r="7017" spans="1:16" x14ac:dyDescent="0.25">
      <c r="A7017" t="s">
        <v>3296</v>
      </c>
      <c r="B7017" t="s">
        <v>2931</v>
      </c>
      <c r="C7017">
        <v>12616</v>
      </c>
      <c r="D7017" t="str">
        <f>"2560849585  "</f>
        <v xml:space="preserve">2560849585  </v>
      </c>
      <c r="E7017" t="s">
        <v>277</v>
      </c>
      <c r="F7017" t="s">
        <v>279</v>
      </c>
      <c r="G7017">
        <v>2078.5300000000002</v>
      </c>
      <c r="H7017">
        <v>250915</v>
      </c>
      <c r="I7017">
        <v>4520</v>
      </c>
      <c r="J7017" t="s">
        <v>280</v>
      </c>
      <c r="K7017">
        <v>2499.4299999999998</v>
      </c>
      <c r="L7017">
        <v>255.26</v>
      </c>
      <c r="M7017">
        <v>69113</v>
      </c>
      <c r="N7017" t="s">
        <v>122</v>
      </c>
      <c r="O7017">
        <v>250929</v>
      </c>
      <c r="P7017">
        <v>1823.27</v>
      </c>
    </row>
    <row r="7018" spans="1:16" x14ac:dyDescent="0.25">
      <c r="A7018" t="s">
        <v>3296</v>
      </c>
      <c r="B7018" t="s">
        <v>2931</v>
      </c>
      <c r="C7018">
        <v>12616</v>
      </c>
      <c r="D7018" t="str">
        <f>"2560849585  "</f>
        <v xml:space="preserve">2560849585  </v>
      </c>
      <c r="E7018" t="s">
        <v>277</v>
      </c>
      <c r="F7018" t="s">
        <v>279</v>
      </c>
      <c r="G7018">
        <v>244.53</v>
      </c>
      <c r="H7018">
        <v>250915</v>
      </c>
      <c r="I7018">
        <v>4520</v>
      </c>
      <c r="J7018" t="s">
        <v>280</v>
      </c>
      <c r="K7018">
        <v>2499.4299999999998</v>
      </c>
      <c r="L7018">
        <v>30.03</v>
      </c>
      <c r="M7018">
        <v>69802</v>
      </c>
      <c r="N7018" t="s">
        <v>375</v>
      </c>
      <c r="O7018">
        <v>250929</v>
      </c>
      <c r="P7018">
        <v>214.5</v>
      </c>
    </row>
    <row r="7019" spans="1:16" x14ac:dyDescent="0.25">
      <c r="A7019" t="s">
        <v>3296</v>
      </c>
      <c r="B7019" t="s">
        <v>2931</v>
      </c>
      <c r="C7019">
        <v>12616</v>
      </c>
      <c r="D7019" t="str">
        <f>"2560849585  "</f>
        <v xml:space="preserve">2560849585  </v>
      </c>
      <c r="E7019" t="s">
        <v>277</v>
      </c>
      <c r="F7019" t="s">
        <v>279</v>
      </c>
      <c r="G7019">
        <v>122.26</v>
      </c>
      <c r="H7019">
        <v>250915</v>
      </c>
      <c r="I7019">
        <v>4520</v>
      </c>
      <c r="J7019" t="s">
        <v>280</v>
      </c>
      <c r="K7019">
        <v>2499.4299999999998</v>
      </c>
      <c r="L7019">
        <v>15.01</v>
      </c>
      <c r="M7019">
        <v>69804</v>
      </c>
      <c r="N7019" t="s">
        <v>376</v>
      </c>
      <c r="O7019">
        <v>250929</v>
      </c>
      <c r="P7019">
        <v>107.25</v>
      </c>
    </row>
    <row r="7020" spans="1:16" x14ac:dyDescent="0.25">
      <c r="A7020" t="s">
        <v>3296</v>
      </c>
      <c r="B7020" t="s">
        <v>2931</v>
      </c>
      <c r="C7020">
        <v>12647</v>
      </c>
      <c r="D7020" t="str">
        <f>"2560870192  "</f>
        <v xml:space="preserve">2560870192  </v>
      </c>
      <c r="E7020" t="s">
        <v>277</v>
      </c>
      <c r="F7020" t="s">
        <v>279</v>
      </c>
      <c r="G7020">
        <v>1101.3499999999999</v>
      </c>
      <c r="H7020">
        <v>250922</v>
      </c>
      <c r="I7020">
        <v>4520</v>
      </c>
      <c r="J7020" t="s">
        <v>280</v>
      </c>
      <c r="K7020">
        <v>1253.69</v>
      </c>
      <c r="L7020">
        <v>135.25</v>
      </c>
      <c r="M7020">
        <v>59114</v>
      </c>
      <c r="N7020" t="s">
        <v>299</v>
      </c>
      <c r="O7020">
        <v>250929</v>
      </c>
      <c r="P7020">
        <v>966.1</v>
      </c>
    </row>
    <row r="7021" spans="1:16" x14ac:dyDescent="0.25">
      <c r="A7021" t="s">
        <v>3296</v>
      </c>
      <c r="B7021" t="s">
        <v>2931</v>
      </c>
      <c r="C7021">
        <v>12647</v>
      </c>
      <c r="D7021" t="str">
        <f>"2560870192  "</f>
        <v xml:space="preserve">2560870192  </v>
      </c>
      <c r="E7021" t="s">
        <v>277</v>
      </c>
      <c r="F7021" t="s">
        <v>279</v>
      </c>
      <c r="G7021">
        <v>122.37</v>
      </c>
      <c r="H7021">
        <v>250922</v>
      </c>
      <c r="I7021">
        <v>4520</v>
      </c>
      <c r="J7021" t="s">
        <v>280</v>
      </c>
      <c r="K7021">
        <v>1253.69</v>
      </c>
      <c r="L7021">
        <v>15.03</v>
      </c>
      <c r="M7021">
        <v>59808</v>
      </c>
      <c r="N7021" t="s">
        <v>699</v>
      </c>
      <c r="O7021">
        <v>250929</v>
      </c>
      <c r="P7021">
        <v>107.34</v>
      </c>
    </row>
    <row r="7022" spans="1:16" x14ac:dyDescent="0.25">
      <c r="A7022" t="s">
        <v>3296</v>
      </c>
      <c r="B7022" t="s">
        <v>2931</v>
      </c>
      <c r="C7022">
        <v>12651</v>
      </c>
      <c r="D7022" t="str">
        <f>"2560870198  "</f>
        <v xml:space="preserve">2560870198  </v>
      </c>
      <c r="E7022" t="s">
        <v>277</v>
      </c>
      <c r="F7022" t="s">
        <v>279</v>
      </c>
      <c r="G7022">
        <v>746.87</v>
      </c>
      <c r="H7022">
        <v>250922</v>
      </c>
      <c r="I7022">
        <v>4520</v>
      </c>
      <c r="J7022" t="s">
        <v>280</v>
      </c>
      <c r="K7022">
        <v>1453.35</v>
      </c>
      <c r="L7022">
        <v>91.72</v>
      </c>
      <c r="M7022">
        <v>44222</v>
      </c>
      <c r="N7022" t="s">
        <v>96</v>
      </c>
      <c r="O7022">
        <v>250929</v>
      </c>
      <c r="P7022">
        <v>655.15</v>
      </c>
    </row>
    <row r="7023" spans="1:16" x14ac:dyDescent="0.25">
      <c r="A7023" t="s">
        <v>3296</v>
      </c>
      <c r="B7023" t="s">
        <v>2931</v>
      </c>
      <c r="C7023">
        <v>12651</v>
      </c>
      <c r="D7023" t="str">
        <f>"2560870198  "</f>
        <v xml:space="preserve">2560870198  </v>
      </c>
      <c r="E7023" t="s">
        <v>277</v>
      </c>
      <c r="F7023" t="s">
        <v>279</v>
      </c>
      <c r="G7023">
        <v>625.39</v>
      </c>
      <c r="H7023">
        <v>250922</v>
      </c>
      <c r="I7023">
        <v>4520</v>
      </c>
      <c r="J7023" t="s">
        <v>280</v>
      </c>
      <c r="K7023">
        <v>1453.35</v>
      </c>
      <c r="L7023">
        <v>76.8</v>
      </c>
      <c r="M7023">
        <v>44251</v>
      </c>
      <c r="N7023" t="s">
        <v>215</v>
      </c>
      <c r="O7023">
        <v>250929</v>
      </c>
      <c r="P7023">
        <v>548.59</v>
      </c>
    </row>
    <row r="7024" spans="1:16" x14ac:dyDescent="0.25">
      <c r="A7024" t="s">
        <v>3296</v>
      </c>
      <c r="B7024" t="s">
        <v>2931</v>
      </c>
      <c r="C7024">
        <v>12652</v>
      </c>
      <c r="D7024" t="str">
        <f>"2560870202  "</f>
        <v xml:space="preserve">2560870202  </v>
      </c>
      <c r="E7024" t="s">
        <v>277</v>
      </c>
      <c r="F7024" t="s">
        <v>279</v>
      </c>
      <c r="G7024">
        <v>1663.04</v>
      </c>
      <c r="H7024">
        <v>250922</v>
      </c>
      <c r="I7024">
        <v>4520</v>
      </c>
      <c r="J7024" t="s">
        <v>280</v>
      </c>
      <c r="K7024">
        <v>2050.9899999999998</v>
      </c>
      <c r="L7024">
        <v>204.23</v>
      </c>
      <c r="M7024">
        <v>69112</v>
      </c>
      <c r="N7024" t="s">
        <v>227</v>
      </c>
      <c r="O7024">
        <v>250929</v>
      </c>
      <c r="P7024">
        <v>1458.81</v>
      </c>
    </row>
    <row r="7025" spans="1:16" x14ac:dyDescent="0.25">
      <c r="A7025" t="s">
        <v>3296</v>
      </c>
      <c r="B7025" t="s">
        <v>2931</v>
      </c>
      <c r="C7025">
        <v>12652</v>
      </c>
      <c r="D7025" t="str">
        <f>"2560870202  "</f>
        <v xml:space="preserve">2560870202  </v>
      </c>
      <c r="E7025" t="s">
        <v>277</v>
      </c>
      <c r="F7025" t="s">
        <v>279</v>
      </c>
      <c r="G7025">
        <v>92.39</v>
      </c>
      <c r="H7025">
        <v>250922</v>
      </c>
      <c r="I7025">
        <v>4520</v>
      </c>
      <c r="J7025" t="s">
        <v>280</v>
      </c>
      <c r="K7025">
        <v>2050.9899999999998</v>
      </c>
      <c r="L7025">
        <v>11.35</v>
      </c>
      <c r="M7025">
        <v>69810</v>
      </c>
      <c r="N7025" t="s">
        <v>229</v>
      </c>
      <c r="O7025">
        <v>250929</v>
      </c>
      <c r="P7025">
        <v>81.040000000000006</v>
      </c>
    </row>
    <row r="7026" spans="1:16" x14ac:dyDescent="0.25">
      <c r="A7026" t="s">
        <v>3296</v>
      </c>
      <c r="B7026" t="s">
        <v>2931</v>
      </c>
      <c r="C7026">
        <v>12652</v>
      </c>
      <c r="D7026" t="str">
        <f>"2560870202  "</f>
        <v xml:space="preserve">2560870202  </v>
      </c>
      <c r="E7026" t="s">
        <v>277</v>
      </c>
      <c r="F7026" t="s">
        <v>279</v>
      </c>
      <c r="G7026">
        <v>92.39</v>
      </c>
      <c r="H7026">
        <v>250922</v>
      </c>
      <c r="I7026">
        <v>4520</v>
      </c>
      <c r="J7026" t="s">
        <v>280</v>
      </c>
      <c r="K7026">
        <v>2050.9899999999998</v>
      </c>
      <c r="L7026">
        <v>11.35</v>
      </c>
      <c r="M7026">
        <v>69811</v>
      </c>
      <c r="N7026" t="s">
        <v>230</v>
      </c>
      <c r="O7026">
        <v>250929</v>
      </c>
      <c r="P7026">
        <v>81.040000000000006</v>
      </c>
    </row>
    <row r="7027" spans="1:16" x14ac:dyDescent="0.25">
      <c r="A7027" t="s">
        <v>3296</v>
      </c>
      <c r="B7027" t="s">
        <v>2931</v>
      </c>
      <c r="C7027">
        <v>12655</v>
      </c>
      <c r="D7027" t="str">
        <f>"2560870194  "</f>
        <v xml:space="preserve">2560870194  </v>
      </c>
      <c r="E7027" t="s">
        <v>277</v>
      </c>
      <c r="F7027" t="s">
        <v>279</v>
      </c>
      <c r="G7027">
        <v>3623.92</v>
      </c>
      <c r="H7027">
        <v>250922</v>
      </c>
      <c r="I7027">
        <v>4520</v>
      </c>
      <c r="J7027" t="s">
        <v>280</v>
      </c>
      <c r="K7027">
        <v>4396.01</v>
      </c>
      <c r="L7027">
        <v>445.04</v>
      </c>
      <c r="M7027">
        <v>59113</v>
      </c>
      <c r="N7027" t="s">
        <v>61</v>
      </c>
      <c r="O7027">
        <v>250929</v>
      </c>
      <c r="P7027">
        <v>3178.88</v>
      </c>
    </row>
    <row r="7028" spans="1:16" x14ac:dyDescent="0.25">
      <c r="A7028" t="s">
        <v>3296</v>
      </c>
      <c r="B7028" t="s">
        <v>2931</v>
      </c>
      <c r="C7028">
        <v>12655</v>
      </c>
      <c r="D7028" t="str">
        <f>"2560870194  "</f>
        <v xml:space="preserve">2560870194  </v>
      </c>
      <c r="E7028" t="s">
        <v>277</v>
      </c>
      <c r="F7028" t="s">
        <v>279</v>
      </c>
      <c r="G7028">
        <v>639.51</v>
      </c>
      <c r="H7028">
        <v>250922</v>
      </c>
      <c r="I7028">
        <v>4520</v>
      </c>
      <c r="J7028" t="s">
        <v>280</v>
      </c>
      <c r="K7028">
        <v>4396.01</v>
      </c>
      <c r="L7028">
        <v>78.540000000000006</v>
      </c>
      <c r="M7028">
        <v>59803</v>
      </c>
      <c r="N7028" t="s">
        <v>282</v>
      </c>
      <c r="O7028">
        <v>250929</v>
      </c>
      <c r="P7028">
        <v>560.97</v>
      </c>
    </row>
    <row r="7029" spans="1:16" x14ac:dyDescent="0.25">
      <c r="A7029" t="s">
        <v>3296</v>
      </c>
      <c r="B7029" t="s">
        <v>2931</v>
      </c>
      <c r="C7029">
        <v>12656</v>
      </c>
      <c r="D7029" t="str">
        <f>"2560870199  "</f>
        <v xml:space="preserve">2560870199  </v>
      </c>
      <c r="E7029" t="s">
        <v>277</v>
      </c>
      <c r="F7029" t="s">
        <v>279</v>
      </c>
      <c r="G7029">
        <v>190</v>
      </c>
      <c r="H7029">
        <v>250922</v>
      </c>
      <c r="I7029">
        <v>4520</v>
      </c>
      <c r="J7029" t="s">
        <v>280</v>
      </c>
      <c r="K7029">
        <v>2878.13</v>
      </c>
      <c r="L7029">
        <v>23.33</v>
      </c>
      <c r="M7029">
        <v>16431</v>
      </c>
      <c r="N7029" t="s">
        <v>17</v>
      </c>
      <c r="O7029">
        <v>250929</v>
      </c>
      <c r="P7029">
        <v>166.67</v>
      </c>
    </row>
    <row r="7030" spans="1:16" x14ac:dyDescent="0.25">
      <c r="A7030" t="s">
        <v>3296</v>
      </c>
      <c r="B7030" t="s">
        <v>2931</v>
      </c>
      <c r="C7030">
        <v>12656</v>
      </c>
      <c r="D7030" t="str">
        <f>"2560870199  "</f>
        <v xml:space="preserve">2560870199  </v>
      </c>
      <c r="E7030" t="s">
        <v>277</v>
      </c>
      <c r="F7030" t="s">
        <v>279</v>
      </c>
      <c r="G7030">
        <v>190.55</v>
      </c>
      <c r="H7030">
        <v>250922</v>
      </c>
      <c r="I7030">
        <v>4520</v>
      </c>
      <c r="J7030" t="s">
        <v>280</v>
      </c>
      <c r="K7030">
        <v>2878.13</v>
      </c>
      <c r="L7030">
        <v>23.4</v>
      </c>
      <c r="M7030">
        <v>16442</v>
      </c>
      <c r="N7030" t="s">
        <v>304</v>
      </c>
      <c r="O7030">
        <v>250929</v>
      </c>
      <c r="P7030">
        <v>167.15</v>
      </c>
    </row>
    <row r="7031" spans="1:16" x14ac:dyDescent="0.25">
      <c r="A7031" t="s">
        <v>3296</v>
      </c>
      <c r="B7031" t="s">
        <v>2931</v>
      </c>
      <c r="C7031">
        <v>12656</v>
      </c>
      <c r="D7031" t="str">
        <f>"2560870199  "</f>
        <v xml:space="preserve">2560870199  </v>
      </c>
      <c r="E7031" t="s">
        <v>277</v>
      </c>
      <c r="F7031" t="s">
        <v>279</v>
      </c>
      <c r="G7031">
        <v>0.03</v>
      </c>
      <c r="H7031">
        <v>250922</v>
      </c>
      <c r="I7031">
        <v>4520</v>
      </c>
      <c r="J7031" t="s">
        <v>280</v>
      </c>
      <c r="K7031">
        <v>2878.13</v>
      </c>
      <c r="L7031">
        <v>0.01</v>
      </c>
      <c r="M7031">
        <v>17913</v>
      </c>
      <c r="N7031" t="s">
        <v>26</v>
      </c>
      <c r="O7031">
        <v>250929</v>
      </c>
      <c r="P7031">
        <v>0.02</v>
      </c>
    </row>
    <row r="7032" spans="1:16" x14ac:dyDescent="0.25">
      <c r="A7032" t="s">
        <v>3296</v>
      </c>
      <c r="B7032" t="s">
        <v>2931</v>
      </c>
      <c r="C7032">
        <v>12656</v>
      </c>
      <c r="D7032" t="str">
        <f>"2560870199  "</f>
        <v xml:space="preserve">2560870199  </v>
      </c>
      <c r="E7032" t="s">
        <v>277</v>
      </c>
      <c r="F7032" t="s">
        <v>279</v>
      </c>
      <c r="G7032">
        <v>2109.75</v>
      </c>
      <c r="H7032">
        <v>250922</v>
      </c>
      <c r="I7032">
        <v>4520</v>
      </c>
      <c r="J7032" t="s">
        <v>280</v>
      </c>
      <c r="K7032">
        <v>2878.13</v>
      </c>
      <c r="L7032">
        <v>259.08999999999997</v>
      </c>
      <c r="M7032">
        <v>17913</v>
      </c>
      <c r="N7032" t="s">
        <v>26</v>
      </c>
      <c r="O7032">
        <v>250929</v>
      </c>
      <c r="P7032">
        <v>1850.66</v>
      </c>
    </row>
    <row r="7033" spans="1:16" x14ac:dyDescent="0.25">
      <c r="A7033" t="s">
        <v>3296</v>
      </c>
      <c r="B7033" t="s">
        <v>2931</v>
      </c>
      <c r="C7033">
        <v>12656</v>
      </c>
      <c r="D7033" t="str">
        <f>"2560870199  "</f>
        <v xml:space="preserve">2560870199  </v>
      </c>
      <c r="E7033" t="s">
        <v>277</v>
      </c>
      <c r="F7033" t="s">
        <v>279</v>
      </c>
      <c r="G7033">
        <v>387.8</v>
      </c>
      <c r="H7033">
        <v>250922</v>
      </c>
      <c r="I7033">
        <v>4520</v>
      </c>
      <c r="J7033" t="s">
        <v>280</v>
      </c>
      <c r="K7033">
        <v>2878.13</v>
      </c>
      <c r="L7033">
        <v>47.62</v>
      </c>
      <c r="M7033">
        <v>17982</v>
      </c>
      <c r="N7033" t="s">
        <v>281</v>
      </c>
      <c r="O7033">
        <v>250929</v>
      </c>
      <c r="P7033">
        <v>340.18</v>
      </c>
    </row>
    <row r="7034" spans="1:16" x14ac:dyDescent="0.25">
      <c r="A7034" t="s">
        <v>3296</v>
      </c>
      <c r="B7034" t="s">
        <v>2931</v>
      </c>
      <c r="C7034">
        <v>12658</v>
      </c>
      <c r="D7034" t="str">
        <f>"2560870195  "</f>
        <v xml:space="preserve">2560870195  </v>
      </c>
      <c r="E7034" t="s">
        <v>277</v>
      </c>
      <c r="F7034" t="s">
        <v>279</v>
      </c>
      <c r="G7034">
        <v>2524.59</v>
      </c>
      <c r="H7034">
        <v>250922</v>
      </c>
      <c r="I7034">
        <v>4520</v>
      </c>
      <c r="J7034" t="s">
        <v>280</v>
      </c>
      <c r="K7034">
        <v>3037.06</v>
      </c>
      <c r="L7034">
        <v>310.04000000000002</v>
      </c>
      <c r="M7034">
        <v>69113</v>
      </c>
      <c r="N7034" t="s">
        <v>122</v>
      </c>
      <c r="O7034">
        <v>250929</v>
      </c>
      <c r="P7034">
        <v>2214.5500000000002</v>
      </c>
    </row>
    <row r="7035" spans="1:16" x14ac:dyDescent="0.25">
      <c r="A7035" t="s">
        <v>3296</v>
      </c>
      <c r="B7035" t="s">
        <v>2931</v>
      </c>
      <c r="C7035">
        <v>12658</v>
      </c>
      <c r="D7035" t="str">
        <f>"2560870195  "</f>
        <v xml:space="preserve">2560870195  </v>
      </c>
      <c r="E7035" t="s">
        <v>277</v>
      </c>
      <c r="F7035" t="s">
        <v>279</v>
      </c>
      <c r="G7035">
        <v>297.01</v>
      </c>
      <c r="H7035">
        <v>250922</v>
      </c>
      <c r="I7035">
        <v>4520</v>
      </c>
      <c r="J7035" t="s">
        <v>280</v>
      </c>
      <c r="K7035">
        <v>3037.06</v>
      </c>
      <c r="L7035">
        <v>36.47</v>
      </c>
      <c r="M7035">
        <v>69802</v>
      </c>
      <c r="N7035" t="s">
        <v>375</v>
      </c>
      <c r="O7035">
        <v>250929</v>
      </c>
      <c r="P7035">
        <v>260.54000000000002</v>
      </c>
    </row>
    <row r="7036" spans="1:16" x14ac:dyDescent="0.25">
      <c r="A7036" t="s">
        <v>3296</v>
      </c>
      <c r="B7036" t="s">
        <v>2931</v>
      </c>
      <c r="C7036">
        <v>12658</v>
      </c>
      <c r="D7036" t="str">
        <f>"2560870195  "</f>
        <v xml:space="preserve">2560870195  </v>
      </c>
      <c r="E7036" t="s">
        <v>277</v>
      </c>
      <c r="F7036" t="s">
        <v>279</v>
      </c>
      <c r="G7036">
        <v>148.51</v>
      </c>
      <c r="H7036">
        <v>250922</v>
      </c>
      <c r="I7036">
        <v>4520</v>
      </c>
      <c r="J7036" t="s">
        <v>280</v>
      </c>
      <c r="K7036">
        <v>3037.06</v>
      </c>
      <c r="L7036">
        <v>18.239999999999998</v>
      </c>
      <c r="M7036">
        <v>69804</v>
      </c>
      <c r="N7036" t="s">
        <v>376</v>
      </c>
      <c r="O7036">
        <v>250929</v>
      </c>
      <c r="P7036">
        <v>130.27000000000001</v>
      </c>
    </row>
    <row r="7037" spans="1:16" x14ac:dyDescent="0.25">
      <c r="A7037" t="s">
        <v>3296</v>
      </c>
      <c r="B7037" t="s">
        <v>2931</v>
      </c>
      <c r="C7037">
        <v>12696</v>
      </c>
      <c r="D7037" t="str">
        <f>"2560870193  "</f>
        <v xml:space="preserve">2560870193  </v>
      </c>
      <c r="E7037" t="s">
        <v>277</v>
      </c>
      <c r="F7037" t="s">
        <v>279</v>
      </c>
      <c r="G7037">
        <v>828</v>
      </c>
      <c r="H7037">
        <v>250922</v>
      </c>
      <c r="I7037">
        <v>4520</v>
      </c>
      <c r="J7037" t="s">
        <v>280</v>
      </c>
      <c r="K7037">
        <v>4267.7</v>
      </c>
      <c r="L7037">
        <v>101.68</v>
      </c>
      <c r="M7037">
        <v>54422</v>
      </c>
      <c r="N7037" t="s">
        <v>49</v>
      </c>
      <c r="O7037">
        <v>250929</v>
      </c>
      <c r="P7037">
        <v>726.32</v>
      </c>
    </row>
    <row r="7038" spans="1:16" x14ac:dyDescent="0.25">
      <c r="A7038" t="s">
        <v>3296</v>
      </c>
      <c r="B7038" t="s">
        <v>2931</v>
      </c>
      <c r="C7038">
        <v>12696</v>
      </c>
      <c r="D7038" t="str">
        <f>"2560870193  "</f>
        <v xml:space="preserve">2560870193  </v>
      </c>
      <c r="E7038" t="s">
        <v>277</v>
      </c>
      <c r="F7038" t="s">
        <v>279</v>
      </c>
      <c r="G7038">
        <v>2345.1</v>
      </c>
      <c r="H7038">
        <v>250922</v>
      </c>
      <c r="I7038">
        <v>4520</v>
      </c>
      <c r="J7038" t="s">
        <v>280</v>
      </c>
      <c r="K7038">
        <v>4267.7</v>
      </c>
      <c r="L7038">
        <v>287.99</v>
      </c>
      <c r="M7038">
        <v>54451</v>
      </c>
      <c r="N7038" t="s">
        <v>218</v>
      </c>
      <c r="O7038">
        <v>250929</v>
      </c>
      <c r="P7038">
        <v>2057.11</v>
      </c>
    </row>
    <row r="7039" spans="1:16" x14ac:dyDescent="0.25">
      <c r="A7039" t="s">
        <v>3296</v>
      </c>
      <c r="B7039" t="s">
        <v>2931</v>
      </c>
      <c r="C7039">
        <v>12721</v>
      </c>
      <c r="D7039" t="str">
        <f>"2560870201  "</f>
        <v xml:space="preserve">2560870201  </v>
      </c>
      <c r="E7039" t="s">
        <v>277</v>
      </c>
      <c r="F7039" t="s">
        <v>279</v>
      </c>
      <c r="G7039">
        <v>524.66</v>
      </c>
      <c r="H7039">
        <v>250922</v>
      </c>
      <c r="I7039">
        <v>4520</v>
      </c>
      <c r="J7039" t="s">
        <v>280</v>
      </c>
      <c r="K7039">
        <v>540.84</v>
      </c>
      <c r="L7039">
        <v>64.430000000000007</v>
      </c>
      <c r="M7039">
        <v>44253</v>
      </c>
      <c r="N7039" t="s">
        <v>403</v>
      </c>
      <c r="O7039">
        <v>250929</v>
      </c>
      <c r="P7039">
        <v>460.23</v>
      </c>
    </row>
    <row r="7040" spans="1:16" x14ac:dyDescent="0.25">
      <c r="A7040" t="s">
        <v>3296</v>
      </c>
      <c r="B7040" t="s">
        <v>2931</v>
      </c>
      <c r="C7040">
        <v>12732</v>
      </c>
      <c r="D7040" t="str">
        <f>"2560870196  "</f>
        <v xml:space="preserve">2560870196  </v>
      </c>
      <c r="E7040" t="s">
        <v>277</v>
      </c>
      <c r="F7040" t="s">
        <v>279</v>
      </c>
      <c r="G7040">
        <v>2620.21</v>
      </c>
      <c r="H7040">
        <v>250922</v>
      </c>
      <c r="I7040">
        <v>4520</v>
      </c>
      <c r="J7040" t="s">
        <v>280</v>
      </c>
      <c r="K7040">
        <v>2689.5</v>
      </c>
      <c r="L7040">
        <v>321.77999999999997</v>
      </c>
      <c r="M7040">
        <v>49112</v>
      </c>
      <c r="N7040" t="s">
        <v>109</v>
      </c>
      <c r="O7040">
        <v>250929</v>
      </c>
      <c r="P7040">
        <v>2298.4299999999998</v>
      </c>
    </row>
    <row r="7041" spans="1:16" x14ac:dyDescent="0.25">
      <c r="A7041" t="s">
        <v>3296</v>
      </c>
      <c r="B7041" t="s">
        <v>2931</v>
      </c>
      <c r="C7041">
        <v>12762</v>
      </c>
      <c r="D7041" t="str">
        <f t="shared" ref="D7041:D7052" si="134">"2560870200  "</f>
        <v xml:space="preserve">2560870200  </v>
      </c>
      <c r="E7041" t="s">
        <v>277</v>
      </c>
      <c r="F7041" t="s">
        <v>279</v>
      </c>
      <c r="G7041">
        <v>6.2</v>
      </c>
      <c r="H7041">
        <v>250922</v>
      </c>
      <c r="I7041">
        <v>4520</v>
      </c>
      <c r="J7041" t="s">
        <v>280</v>
      </c>
      <c r="K7041">
        <v>9401.7099999999991</v>
      </c>
      <c r="L7041">
        <v>1.26</v>
      </c>
      <c r="M7041">
        <v>14422</v>
      </c>
      <c r="N7041" t="s">
        <v>73</v>
      </c>
      <c r="O7041">
        <v>250930</v>
      </c>
      <c r="P7041">
        <v>4.9400000000000004</v>
      </c>
    </row>
    <row r="7042" spans="1:16" x14ac:dyDescent="0.25">
      <c r="A7042" t="s">
        <v>3296</v>
      </c>
      <c r="B7042" t="s">
        <v>2931</v>
      </c>
      <c r="C7042">
        <v>12762</v>
      </c>
      <c r="D7042" t="str">
        <f t="shared" si="134"/>
        <v xml:space="preserve">2560870200  </v>
      </c>
      <c r="E7042" t="s">
        <v>277</v>
      </c>
      <c r="F7042" t="s">
        <v>279</v>
      </c>
      <c r="G7042">
        <v>87.82</v>
      </c>
      <c r="H7042">
        <v>250922</v>
      </c>
      <c r="I7042">
        <v>4520</v>
      </c>
      <c r="J7042" t="s">
        <v>280</v>
      </c>
      <c r="K7042">
        <v>9401.7099999999991</v>
      </c>
      <c r="L7042">
        <v>10.78</v>
      </c>
      <c r="M7042">
        <v>14422</v>
      </c>
      <c r="N7042" t="s">
        <v>73</v>
      </c>
      <c r="O7042">
        <v>250930</v>
      </c>
      <c r="P7042">
        <v>77.040000000000006</v>
      </c>
    </row>
    <row r="7043" spans="1:16" x14ac:dyDescent="0.25">
      <c r="A7043" t="s">
        <v>3296</v>
      </c>
      <c r="B7043" t="s">
        <v>2931</v>
      </c>
      <c r="C7043">
        <v>12762</v>
      </c>
      <c r="D7043" t="str">
        <f t="shared" si="134"/>
        <v xml:space="preserve">2560870200  </v>
      </c>
      <c r="E7043" t="s">
        <v>277</v>
      </c>
      <c r="F7043" t="s">
        <v>279</v>
      </c>
      <c r="G7043">
        <v>24.79</v>
      </c>
      <c r="H7043">
        <v>250922</v>
      </c>
      <c r="I7043">
        <v>4520</v>
      </c>
      <c r="J7043" t="s">
        <v>280</v>
      </c>
      <c r="K7043">
        <v>9401.7099999999991</v>
      </c>
      <c r="L7043">
        <v>5.04</v>
      </c>
      <c r="M7043">
        <v>14431</v>
      </c>
      <c r="N7043" t="s">
        <v>74</v>
      </c>
      <c r="O7043">
        <v>250930</v>
      </c>
      <c r="P7043">
        <v>19.75</v>
      </c>
    </row>
    <row r="7044" spans="1:16" x14ac:dyDescent="0.25">
      <c r="A7044" t="s">
        <v>3296</v>
      </c>
      <c r="B7044" t="s">
        <v>2931</v>
      </c>
      <c r="C7044">
        <v>12762</v>
      </c>
      <c r="D7044" t="str">
        <f t="shared" si="134"/>
        <v xml:space="preserve">2560870200  </v>
      </c>
      <c r="E7044" t="s">
        <v>277</v>
      </c>
      <c r="F7044" t="s">
        <v>279</v>
      </c>
      <c r="G7044">
        <v>351.28</v>
      </c>
      <c r="H7044">
        <v>250922</v>
      </c>
      <c r="I7044">
        <v>4520</v>
      </c>
      <c r="J7044" t="s">
        <v>280</v>
      </c>
      <c r="K7044">
        <v>9401.7099999999991</v>
      </c>
      <c r="L7044">
        <v>43.14</v>
      </c>
      <c r="M7044">
        <v>14431</v>
      </c>
      <c r="N7044" t="s">
        <v>74</v>
      </c>
      <c r="O7044">
        <v>250930</v>
      </c>
      <c r="P7044">
        <v>308.14</v>
      </c>
    </row>
    <row r="7045" spans="1:16" x14ac:dyDescent="0.25">
      <c r="A7045" t="s">
        <v>3296</v>
      </c>
      <c r="B7045" t="s">
        <v>2931</v>
      </c>
      <c r="C7045">
        <v>12762</v>
      </c>
      <c r="D7045" t="str">
        <f t="shared" si="134"/>
        <v xml:space="preserve">2560870200  </v>
      </c>
      <c r="E7045" t="s">
        <v>277</v>
      </c>
      <c r="F7045" t="s">
        <v>279</v>
      </c>
      <c r="G7045">
        <v>105.37</v>
      </c>
      <c r="H7045">
        <v>250922</v>
      </c>
      <c r="I7045">
        <v>4520</v>
      </c>
      <c r="J7045" t="s">
        <v>280</v>
      </c>
      <c r="K7045">
        <v>9401.7099999999991</v>
      </c>
      <c r="L7045">
        <v>21.41</v>
      </c>
      <c r="M7045">
        <v>14432</v>
      </c>
      <c r="N7045" t="s">
        <v>75</v>
      </c>
      <c r="O7045">
        <v>250930</v>
      </c>
      <c r="P7045">
        <v>83.96</v>
      </c>
    </row>
    <row r="7046" spans="1:16" x14ac:dyDescent="0.25">
      <c r="A7046" t="s">
        <v>3296</v>
      </c>
      <c r="B7046" t="s">
        <v>2931</v>
      </c>
      <c r="C7046">
        <v>12762</v>
      </c>
      <c r="D7046" t="str">
        <f t="shared" si="134"/>
        <v xml:space="preserve">2560870200  </v>
      </c>
      <c r="E7046" t="s">
        <v>277</v>
      </c>
      <c r="F7046" t="s">
        <v>279</v>
      </c>
      <c r="G7046">
        <v>1492.92</v>
      </c>
      <c r="H7046">
        <v>250922</v>
      </c>
      <c r="I7046">
        <v>4520</v>
      </c>
      <c r="J7046" t="s">
        <v>280</v>
      </c>
      <c r="K7046">
        <v>9401.7099999999991</v>
      </c>
      <c r="L7046">
        <v>183.34</v>
      </c>
      <c r="M7046">
        <v>14432</v>
      </c>
      <c r="N7046" t="s">
        <v>75</v>
      </c>
      <c r="O7046">
        <v>250930</v>
      </c>
      <c r="P7046">
        <v>1309.58</v>
      </c>
    </row>
    <row r="7047" spans="1:16" x14ac:dyDescent="0.25">
      <c r="A7047" t="s">
        <v>3296</v>
      </c>
      <c r="B7047" t="s">
        <v>2931</v>
      </c>
      <c r="C7047">
        <v>12762</v>
      </c>
      <c r="D7047" t="str">
        <f t="shared" si="134"/>
        <v xml:space="preserve">2560870200  </v>
      </c>
      <c r="E7047" t="s">
        <v>277</v>
      </c>
      <c r="F7047" t="s">
        <v>279</v>
      </c>
      <c r="G7047">
        <v>6.2</v>
      </c>
      <c r="H7047">
        <v>250922</v>
      </c>
      <c r="I7047">
        <v>4520</v>
      </c>
      <c r="J7047" t="s">
        <v>280</v>
      </c>
      <c r="K7047">
        <v>9401.7099999999991</v>
      </c>
      <c r="L7047">
        <v>1.26</v>
      </c>
      <c r="M7047">
        <v>14640</v>
      </c>
      <c r="N7047" t="s">
        <v>78</v>
      </c>
      <c r="O7047">
        <v>250930</v>
      </c>
      <c r="P7047">
        <v>4.9400000000000004</v>
      </c>
    </row>
    <row r="7048" spans="1:16" x14ac:dyDescent="0.25">
      <c r="A7048" t="s">
        <v>3296</v>
      </c>
      <c r="B7048" t="s">
        <v>2931</v>
      </c>
      <c r="C7048">
        <v>12762</v>
      </c>
      <c r="D7048" t="str">
        <f t="shared" si="134"/>
        <v xml:space="preserve">2560870200  </v>
      </c>
      <c r="E7048" t="s">
        <v>277</v>
      </c>
      <c r="F7048" t="s">
        <v>279</v>
      </c>
      <c r="G7048">
        <v>87.81</v>
      </c>
      <c r="H7048">
        <v>250922</v>
      </c>
      <c r="I7048">
        <v>4520</v>
      </c>
      <c r="J7048" t="s">
        <v>280</v>
      </c>
      <c r="K7048">
        <v>9401.7099999999991</v>
      </c>
      <c r="L7048">
        <v>10.78</v>
      </c>
      <c r="M7048">
        <v>14640</v>
      </c>
      <c r="N7048" t="s">
        <v>78</v>
      </c>
      <c r="O7048">
        <v>250930</v>
      </c>
      <c r="P7048">
        <v>77.03</v>
      </c>
    </row>
    <row r="7049" spans="1:16" x14ac:dyDescent="0.25">
      <c r="A7049" t="s">
        <v>3296</v>
      </c>
      <c r="B7049" t="s">
        <v>2931</v>
      </c>
      <c r="C7049">
        <v>12762</v>
      </c>
      <c r="D7049" t="str">
        <f t="shared" si="134"/>
        <v xml:space="preserve">2560870200  </v>
      </c>
      <c r="E7049" t="s">
        <v>277</v>
      </c>
      <c r="F7049" t="s">
        <v>279</v>
      </c>
      <c r="G7049">
        <v>24.79</v>
      </c>
      <c r="H7049">
        <v>250922</v>
      </c>
      <c r="I7049">
        <v>4520</v>
      </c>
      <c r="J7049" t="s">
        <v>280</v>
      </c>
      <c r="K7049">
        <v>9401.7099999999991</v>
      </c>
      <c r="L7049">
        <v>5.04</v>
      </c>
      <c r="M7049">
        <v>14642</v>
      </c>
      <c r="N7049" t="s">
        <v>283</v>
      </c>
      <c r="O7049">
        <v>250930</v>
      </c>
      <c r="P7049">
        <v>19.75</v>
      </c>
    </row>
    <row r="7050" spans="1:16" x14ac:dyDescent="0.25">
      <c r="A7050" t="s">
        <v>3296</v>
      </c>
      <c r="B7050" t="s">
        <v>2931</v>
      </c>
      <c r="C7050">
        <v>12762</v>
      </c>
      <c r="D7050" t="str">
        <f t="shared" si="134"/>
        <v xml:space="preserve">2560870200  </v>
      </c>
      <c r="E7050" t="s">
        <v>277</v>
      </c>
      <c r="F7050" t="s">
        <v>279</v>
      </c>
      <c r="G7050">
        <v>351.28</v>
      </c>
      <c r="H7050">
        <v>250922</v>
      </c>
      <c r="I7050">
        <v>4520</v>
      </c>
      <c r="J7050" t="s">
        <v>280</v>
      </c>
      <c r="K7050">
        <v>9401.7099999999991</v>
      </c>
      <c r="L7050">
        <v>43.14</v>
      </c>
      <c r="M7050">
        <v>14642</v>
      </c>
      <c r="N7050" t="s">
        <v>283</v>
      </c>
      <c r="O7050">
        <v>250930</v>
      </c>
      <c r="P7050">
        <v>308.14</v>
      </c>
    </row>
    <row r="7051" spans="1:16" x14ac:dyDescent="0.25">
      <c r="A7051" t="s">
        <v>3296</v>
      </c>
      <c r="B7051" t="s">
        <v>2931</v>
      </c>
      <c r="C7051">
        <v>12762</v>
      </c>
      <c r="D7051" t="str">
        <f t="shared" si="134"/>
        <v xml:space="preserve">2560870200  </v>
      </c>
      <c r="E7051" t="s">
        <v>277</v>
      </c>
      <c r="F7051" t="s">
        <v>279</v>
      </c>
      <c r="G7051">
        <v>452.46</v>
      </c>
      <c r="H7051">
        <v>250922</v>
      </c>
      <c r="I7051">
        <v>4520</v>
      </c>
      <c r="J7051" t="s">
        <v>280</v>
      </c>
      <c r="K7051">
        <v>9401.7099999999991</v>
      </c>
      <c r="L7051">
        <v>91.93</v>
      </c>
      <c r="M7051">
        <v>14912</v>
      </c>
      <c r="N7051" t="s">
        <v>80</v>
      </c>
      <c r="O7051">
        <v>250930</v>
      </c>
      <c r="P7051">
        <v>360.53</v>
      </c>
    </row>
    <row r="7052" spans="1:16" x14ac:dyDescent="0.25">
      <c r="A7052" t="s">
        <v>3296</v>
      </c>
      <c r="B7052" t="s">
        <v>2931</v>
      </c>
      <c r="C7052">
        <v>12762</v>
      </c>
      <c r="D7052" t="str">
        <f t="shared" si="134"/>
        <v xml:space="preserve">2560870200  </v>
      </c>
      <c r="E7052" t="s">
        <v>277</v>
      </c>
      <c r="F7052" t="s">
        <v>279</v>
      </c>
      <c r="G7052">
        <v>6410.79</v>
      </c>
      <c r="H7052">
        <v>250922</v>
      </c>
      <c r="I7052">
        <v>4520</v>
      </c>
      <c r="J7052" t="s">
        <v>280</v>
      </c>
      <c r="K7052">
        <v>9401.7099999999991</v>
      </c>
      <c r="L7052">
        <v>787.29</v>
      </c>
      <c r="M7052">
        <v>14912</v>
      </c>
      <c r="N7052" t="s">
        <v>80</v>
      </c>
      <c r="O7052">
        <v>250930</v>
      </c>
      <c r="P7052">
        <v>5623.5</v>
      </c>
    </row>
    <row r="7053" spans="1:16" x14ac:dyDescent="0.25">
      <c r="A7053" t="s">
        <v>3296</v>
      </c>
      <c r="B7053" t="s">
        <v>2931</v>
      </c>
      <c r="C7053">
        <v>12839</v>
      </c>
      <c r="D7053" t="str">
        <f t="shared" ref="D7053:D7065" si="135">"2560886373  "</f>
        <v xml:space="preserve">2560886373  </v>
      </c>
      <c r="E7053" t="s">
        <v>277</v>
      </c>
      <c r="F7053" t="s">
        <v>279</v>
      </c>
      <c r="G7053">
        <v>5.98</v>
      </c>
      <c r="H7053">
        <v>250929</v>
      </c>
      <c r="I7053">
        <v>4520</v>
      </c>
      <c r="J7053" t="s">
        <v>280</v>
      </c>
      <c r="K7053">
        <v>5205</v>
      </c>
      <c r="L7053">
        <v>1.22</v>
      </c>
      <c r="M7053">
        <v>14422</v>
      </c>
      <c r="N7053" t="s">
        <v>73</v>
      </c>
      <c r="O7053">
        <v>250930</v>
      </c>
      <c r="P7053">
        <v>4.76</v>
      </c>
    </row>
    <row r="7054" spans="1:16" x14ac:dyDescent="0.25">
      <c r="A7054" t="s">
        <v>3296</v>
      </c>
      <c r="B7054" t="s">
        <v>2931</v>
      </c>
      <c r="C7054">
        <v>12839</v>
      </c>
      <c r="D7054" t="str">
        <f t="shared" si="135"/>
        <v xml:space="preserve">2560886373  </v>
      </c>
      <c r="E7054" t="s">
        <v>277</v>
      </c>
      <c r="F7054" t="s">
        <v>279</v>
      </c>
      <c r="G7054">
        <v>38.06</v>
      </c>
      <c r="H7054">
        <v>250929</v>
      </c>
      <c r="I7054">
        <v>4520</v>
      </c>
      <c r="J7054" t="s">
        <v>280</v>
      </c>
      <c r="K7054">
        <v>5205</v>
      </c>
      <c r="L7054">
        <v>4.67</v>
      </c>
      <c r="M7054">
        <v>14422</v>
      </c>
      <c r="N7054" t="s">
        <v>73</v>
      </c>
      <c r="O7054">
        <v>250930</v>
      </c>
      <c r="P7054">
        <v>33.39</v>
      </c>
    </row>
    <row r="7055" spans="1:16" x14ac:dyDescent="0.25">
      <c r="A7055" t="s">
        <v>3296</v>
      </c>
      <c r="B7055" t="s">
        <v>2931</v>
      </c>
      <c r="C7055">
        <v>12839</v>
      </c>
      <c r="D7055" t="str">
        <f t="shared" si="135"/>
        <v xml:space="preserve">2560886373  </v>
      </c>
      <c r="E7055" t="s">
        <v>277</v>
      </c>
      <c r="F7055" t="s">
        <v>279</v>
      </c>
      <c r="G7055">
        <v>800.94</v>
      </c>
      <c r="H7055">
        <v>250929</v>
      </c>
      <c r="I7055">
        <v>4520</v>
      </c>
      <c r="J7055" t="s">
        <v>280</v>
      </c>
      <c r="K7055">
        <v>5205</v>
      </c>
      <c r="L7055">
        <v>162.74</v>
      </c>
      <c r="M7055">
        <v>14422</v>
      </c>
      <c r="N7055" t="s">
        <v>73</v>
      </c>
      <c r="O7055">
        <v>250930</v>
      </c>
      <c r="P7055">
        <v>638.20000000000005</v>
      </c>
    </row>
    <row r="7056" spans="1:16" x14ac:dyDescent="0.25">
      <c r="A7056" t="s">
        <v>3296</v>
      </c>
      <c r="B7056" t="s">
        <v>2931</v>
      </c>
      <c r="C7056">
        <v>12839</v>
      </c>
      <c r="D7056" t="str">
        <f t="shared" si="135"/>
        <v xml:space="preserve">2560886373  </v>
      </c>
      <c r="E7056" t="s">
        <v>277</v>
      </c>
      <c r="F7056" t="s">
        <v>279</v>
      </c>
      <c r="G7056">
        <v>23.9</v>
      </c>
      <c r="H7056">
        <v>250929</v>
      </c>
      <c r="I7056">
        <v>4520</v>
      </c>
      <c r="J7056" t="s">
        <v>280</v>
      </c>
      <c r="K7056">
        <v>5205</v>
      </c>
      <c r="L7056">
        <v>4.8600000000000003</v>
      </c>
      <c r="M7056">
        <v>14431</v>
      </c>
      <c r="N7056" t="s">
        <v>74</v>
      </c>
      <c r="O7056">
        <v>250930</v>
      </c>
      <c r="P7056">
        <v>19.04</v>
      </c>
    </row>
    <row r="7057" spans="1:16" x14ac:dyDescent="0.25">
      <c r="A7057" t="s">
        <v>3296</v>
      </c>
      <c r="B7057" t="s">
        <v>2931</v>
      </c>
      <c r="C7057">
        <v>12839</v>
      </c>
      <c r="D7057" t="str">
        <f t="shared" si="135"/>
        <v xml:space="preserve">2560886373  </v>
      </c>
      <c r="E7057" t="s">
        <v>277</v>
      </c>
      <c r="F7057" t="s">
        <v>279</v>
      </c>
      <c r="G7057">
        <v>152.26</v>
      </c>
      <c r="H7057">
        <v>250929</v>
      </c>
      <c r="I7057">
        <v>4520</v>
      </c>
      <c r="J7057" t="s">
        <v>280</v>
      </c>
      <c r="K7057">
        <v>5205</v>
      </c>
      <c r="L7057">
        <v>18.7</v>
      </c>
      <c r="M7057">
        <v>14431</v>
      </c>
      <c r="N7057" t="s">
        <v>74</v>
      </c>
      <c r="O7057">
        <v>250930</v>
      </c>
      <c r="P7057">
        <v>133.56</v>
      </c>
    </row>
    <row r="7058" spans="1:16" x14ac:dyDescent="0.25">
      <c r="A7058" t="s">
        <v>3296</v>
      </c>
      <c r="B7058" t="s">
        <v>2931</v>
      </c>
      <c r="C7058">
        <v>12839</v>
      </c>
      <c r="D7058" t="str">
        <f t="shared" si="135"/>
        <v xml:space="preserve">2560886373  </v>
      </c>
      <c r="E7058" t="s">
        <v>277</v>
      </c>
      <c r="F7058" t="s">
        <v>279</v>
      </c>
      <c r="G7058">
        <v>101.59</v>
      </c>
      <c r="H7058">
        <v>250929</v>
      </c>
      <c r="I7058">
        <v>4520</v>
      </c>
      <c r="J7058" t="s">
        <v>280</v>
      </c>
      <c r="K7058">
        <v>5205</v>
      </c>
      <c r="L7058">
        <v>20.64</v>
      </c>
      <c r="M7058">
        <v>14432</v>
      </c>
      <c r="N7058" t="s">
        <v>75</v>
      </c>
      <c r="O7058">
        <v>250930</v>
      </c>
      <c r="P7058">
        <v>80.95</v>
      </c>
    </row>
    <row r="7059" spans="1:16" x14ac:dyDescent="0.25">
      <c r="A7059" t="s">
        <v>3296</v>
      </c>
      <c r="B7059" t="s">
        <v>2931</v>
      </c>
      <c r="C7059">
        <v>12839</v>
      </c>
      <c r="D7059" t="str">
        <f t="shared" si="135"/>
        <v xml:space="preserve">2560886373  </v>
      </c>
      <c r="E7059" t="s">
        <v>277</v>
      </c>
      <c r="F7059" t="s">
        <v>279</v>
      </c>
      <c r="G7059">
        <v>647.1</v>
      </c>
      <c r="H7059">
        <v>250929</v>
      </c>
      <c r="I7059">
        <v>4520</v>
      </c>
      <c r="J7059" t="s">
        <v>280</v>
      </c>
      <c r="K7059">
        <v>5205</v>
      </c>
      <c r="L7059">
        <v>79.47</v>
      </c>
      <c r="M7059">
        <v>14432</v>
      </c>
      <c r="N7059" t="s">
        <v>75</v>
      </c>
      <c r="O7059">
        <v>250930</v>
      </c>
      <c r="P7059">
        <v>567.63</v>
      </c>
    </row>
    <row r="7060" spans="1:16" x14ac:dyDescent="0.25">
      <c r="A7060" t="s">
        <v>3296</v>
      </c>
      <c r="B7060" t="s">
        <v>2931</v>
      </c>
      <c r="C7060">
        <v>12839</v>
      </c>
      <c r="D7060" t="str">
        <f t="shared" si="135"/>
        <v xml:space="preserve">2560886373  </v>
      </c>
      <c r="E7060" t="s">
        <v>277</v>
      </c>
      <c r="F7060" t="s">
        <v>279</v>
      </c>
      <c r="G7060">
        <v>5.98</v>
      </c>
      <c r="H7060">
        <v>250929</v>
      </c>
      <c r="I7060">
        <v>4520</v>
      </c>
      <c r="J7060" t="s">
        <v>280</v>
      </c>
      <c r="K7060">
        <v>5205</v>
      </c>
      <c r="L7060">
        <v>1.22</v>
      </c>
      <c r="M7060">
        <v>14640</v>
      </c>
      <c r="N7060" t="s">
        <v>78</v>
      </c>
      <c r="O7060">
        <v>250930</v>
      </c>
      <c r="P7060">
        <v>4.76</v>
      </c>
    </row>
    <row r="7061" spans="1:16" x14ac:dyDescent="0.25">
      <c r="A7061" t="s">
        <v>3296</v>
      </c>
      <c r="B7061" t="s">
        <v>2931</v>
      </c>
      <c r="C7061">
        <v>12839</v>
      </c>
      <c r="D7061" t="str">
        <f t="shared" si="135"/>
        <v xml:space="preserve">2560886373  </v>
      </c>
      <c r="E7061" t="s">
        <v>277</v>
      </c>
      <c r="F7061" t="s">
        <v>279</v>
      </c>
      <c r="G7061">
        <v>38.07</v>
      </c>
      <c r="H7061">
        <v>250929</v>
      </c>
      <c r="I7061">
        <v>4520</v>
      </c>
      <c r="J7061" t="s">
        <v>280</v>
      </c>
      <c r="K7061">
        <v>5205</v>
      </c>
      <c r="L7061">
        <v>4.68</v>
      </c>
      <c r="M7061">
        <v>14640</v>
      </c>
      <c r="N7061" t="s">
        <v>78</v>
      </c>
      <c r="O7061">
        <v>250930</v>
      </c>
      <c r="P7061">
        <v>33.39</v>
      </c>
    </row>
    <row r="7062" spans="1:16" x14ac:dyDescent="0.25">
      <c r="A7062" t="s">
        <v>3296</v>
      </c>
      <c r="B7062" t="s">
        <v>2931</v>
      </c>
      <c r="C7062">
        <v>12839</v>
      </c>
      <c r="D7062" t="str">
        <f t="shared" si="135"/>
        <v xml:space="preserve">2560886373  </v>
      </c>
      <c r="E7062" t="s">
        <v>277</v>
      </c>
      <c r="F7062" t="s">
        <v>279</v>
      </c>
      <c r="G7062">
        <v>23.9</v>
      </c>
      <c r="H7062">
        <v>250929</v>
      </c>
      <c r="I7062">
        <v>4520</v>
      </c>
      <c r="J7062" t="s">
        <v>280</v>
      </c>
      <c r="K7062">
        <v>5205</v>
      </c>
      <c r="L7062">
        <v>4.8600000000000003</v>
      </c>
      <c r="M7062">
        <v>14642</v>
      </c>
      <c r="N7062" t="s">
        <v>283</v>
      </c>
      <c r="O7062">
        <v>250930</v>
      </c>
      <c r="P7062">
        <v>19.04</v>
      </c>
    </row>
    <row r="7063" spans="1:16" x14ac:dyDescent="0.25">
      <c r="A7063" t="s">
        <v>3296</v>
      </c>
      <c r="B7063" t="s">
        <v>2931</v>
      </c>
      <c r="C7063">
        <v>12839</v>
      </c>
      <c r="D7063" t="str">
        <f t="shared" si="135"/>
        <v xml:space="preserve">2560886373  </v>
      </c>
      <c r="E7063" t="s">
        <v>277</v>
      </c>
      <c r="F7063" t="s">
        <v>279</v>
      </c>
      <c r="G7063">
        <v>152.26</v>
      </c>
      <c r="H7063">
        <v>250929</v>
      </c>
      <c r="I7063">
        <v>4520</v>
      </c>
      <c r="J7063" t="s">
        <v>280</v>
      </c>
      <c r="K7063">
        <v>5205</v>
      </c>
      <c r="L7063">
        <v>18.7</v>
      </c>
      <c r="M7063">
        <v>14642</v>
      </c>
      <c r="N7063" t="s">
        <v>283</v>
      </c>
      <c r="O7063">
        <v>250930</v>
      </c>
      <c r="P7063">
        <v>133.56</v>
      </c>
    </row>
    <row r="7064" spans="1:16" x14ac:dyDescent="0.25">
      <c r="A7064" t="s">
        <v>3296</v>
      </c>
      <c r="B7064" t="s">
        <v>2931</v>
      </c>
      <c r="C7064">
        <v>12839</v>
      </c>
      <c r="D7064" t="str">
        <f t="shared" si="135"/>
        <v xml:space="preserve">2560886373  </v>
      </c>
      <c r="E7064" t="s">
        <v>277</v>
      </c>
      <c r="F7064" t="s">
        <v>279</v>
      </c>
      <c r="G7064">
        <v>436.23</v>
      </c>
      <c r="H7064">
        <v>250929</v>
      </c>
      <c r="I7064">
        <v>4520</v>
      </c>
      <c r="J7064" t="s">
        <v>280</v>
      </c>
      <c r="K7064">
        <v>5205</v>
      </c>
      <c r="L7064">
        <v>88.64</v>
      </c>
      <c r="M7064">
        <v>14912</v>
      </c>
      <c r="N7064" t="s">
        <v>80</v>
      </c>
      <c r="O7064">
        <v>250930</v>
      </c>
      <c r="P7064">
        <v>347.59</v>
      </c>
    </row>
    <row r="7065" spans="1:16" x14ac:dyDescent="0.25">
      <c r="A7065" t="s">
        <v>3296</v>
      </c>
      <c r="B7065" t="s">
        <v>2931</v>
      </c>
      <c r="C7065">
        <v>12839</v>
      </c>
      <c r="D7065" t="str">
        <f t="shared" si="135"/>
        <v xml:space="preserve">2560886373  </v>
      </c>
      <c r="E7065" t="s">
        <v>277</v>
      </c>
      <c r="F7065" t="s">
        <v>279</v>
      </c>
      <c r="G7065">
        <v>2778.73</v>
      </c>
      <c r="H7065">
        <v>250929</v>
      </c>
      <c r="I7065">
        <v>4520</v>
      </c>
      <c r="J7065" t="s">
        <v>280</v>
      </c>
      <c r="K7065">
        <v>5205</v>
      </c>
      <c r="L7065">
        <v>341.25</v>
      </c>
      <c r="M7065">
        <v>14912</v>
      </c>
      <c r="N7065" t="s">
        <v>80</v>
      </c>
      <c r="O7065">
        <v>250930</v>
      </c>
      <c r="P7065">
        <v>2437.48</v>
      </c>
    </row>
    <row r="7066" spans="1:16" x14ac:dyDescent="0.25">
      <c r="A7066" t="s">
        <v>3296</v>
      </c>
      <c r="B7066" t="s">
        <v>2931</v>
      </c>
      <c r="C7066">
        <v>12904</v>
      </c>
      <c r="D7066" t="str">
        <f>"2560886364  "</f>
        <v xml:space="preserve">2560886364  </v>
      </c>
      <c r="E7066" t="s">
        <v>277</v>
      </c>
      <c r="F7066" t="s">
        <v>279</v>
      </c>
      <c r="G7066">
        <v>941.06</v>
      </c>
      <c r="H7066">
        <v>250929</v>
      </c>
      <c r="I7066">
        <v>4520</v>
      </c>
      <c r="J7066" t="s">
        <v>280</v>
      </c>
      <c r="K7066">
        <v>1020.52</v>
      </c>
      <c r="L7066">
        <v>115.57</v>
      </c>
      <c r="M7066">
        <v>59114</v>
      </c>
      <c r="N7066" t="s">
        <v>299</v>
      </c>
      <c r="O7066">
        <v>251001</v>
      </c>
      <c r="P7066">
        <v>825.49</v>
      </c>
    </row>
    <row r="7067" spans="1:16" x14ac:dyDescent="0.25">
      <c r="A7067" t="s">
        <v>3296</v>
      </c>
      <c r="B7067" t="s">
        <v>2931</v>
      </c>
      <c r="C7067">
        <v>12904</v>
      </c>
      <c r="D7067" t="str">
        <f>"2560886364  "</f>
        <v xml:space="preserve">2560886364  </v>
      </c>
      <c r="E7067" t="s">
        <v>277</v>
      </c>
      <c r="F7067" t="s">
        <v>279</v>
      </c>
      <c r="G7067">
        <v>104.56</v>
      </c>
      <c r="H7067">
        <v>250929</v>
      </c>
      <c r="I7067">
        <v>4520</v>
      </c>
      <c r="J7067" t="s">
        <v>280</v>
      </c>
      <c r="K7067">
        <v>1020.52</v>
      </c>
      <c r="L7067">
        <v>12.84</v>
      </c>
      <c r="M7067">
        <v>59808</v>
      </c>
      <c r="N7067" t="s">
        <v>699</v>
      </c>
      <c r="O7067">
        <v>251001</v>
      </c>
      <c r="P7067">
        <v>91.72</v>
      </c>
    </row>
    <row r="7068" spans="1:16" x14ac:dyDescent="0.25">
      <c r="A7068" t="s">
        <v>3296</v>
      </c>
      <c r="B7068" t="s">
        <v>2931</v>
      </c>
      <c r="C7068">
        <v>12905</v>
      </c>
      <c r="D7068" t="str">
        <f>"2560886366  "</f>
        <v xml:space="preserve">2560886366  </v>
      </c>
      <c r="E7068" t="s">
        <v>277</v>
      </c>
      <c r="F7068" t="s">
        <v>279</v>
      </c>
      <c r="G7068">
        <v>2301.15</v>
      </c>
      <c r="H7068">
        <v>250929</v>
      </c>
      <c r="I7068">
        <v>4520</v>
      </c>
      <c r="J7068" t="s">
        <v>280</v>
      </c>
      <c r="K7068">
        <v>2859.91</v>
      </c>
      <c r="L7068">
        <v>282.60000000000002</v>
      </c>
      <c r="M7068">
        <v>59113</v>
      </c>
      <c r="N7068" t="s">
        <v>61</v>
      </c>
      <c r="O7068">
        <v>251001</v>
      </c>
      <c r="P7068">
        <v>2018.55</v>
      </c>
    </row>
    <row r="7069" spans="1:16" x14ac:dyDescent="0.25">
      <c r="A7069" t="s">
        <v>3296</v>
      </c>
      <c r="B7069" t="s">
        <v>2931</v>
      </c>
      <c r="C7069">
        <v>12905</v>
      </c>
      <c r="D7069" t="str">
        <f>"2560886366  "</f>
        <v xml:space="preserve">2560886366  </v>
      </c>
      <c r="E7069" t="s">
        <v>277</v>
      </c>
      <c r="F7069" t="s">
        <v>279</v>
      </c>
      <c r="G7069">
        <v>406.09</v>
      </c>
      <c r="H7069">
        <v>250929</v>
      </c>
      <c r="I7069">
        <v>4520</v>
      </c>
      <c r="J7069" t="s">
        <v>280</v>
      </c>
      <c r="K7069">
        <v>2859.91</v>
      </c>
      <c r="L7069">
        <v>49.87</v>
      </c>
      <c r="M7069">
        <v>59803</v>
      </c>
      <c r="N7069" t="s">
        <v>282</v>
      </c>
      <c r="O7069">
        <v>251001</v>
      </c>
      <c r="P7069">
        <v>356.22</v>
      </c>
    </row>
    <row r="7070" spans="1:16" x14ac:dyDescent="0.25">
      <c r="A7070" t="s">
        <v>3296</v>
      </c>
      <c r="B7070" t="s">
        <v>2931</v>
      </c>
      <c r="C7070">
        <v>12916</v>
      </c>
      <c r="D7070" t="str">
        <f>"2560870197  "</f>
        <v xml:space="preserve">2560870197  </v>
      </c>
      <c r="E7070" t="s">
        <v>277</v>
      </c>
      <c r="F7070" t="s">
        <v>279</v>
      </c>
      <c r="G7070">
        <v>225.92</v>
      </c>
      <c r="H7070">
        <v>250922</v>
      </c>
      <c r="I7070">
        <v>4520</v>
      </c>
      <c r="J7070" t="s">
        <v>280</v>
      </c>
      <c r="K7070">
        <v>1419.05</v>
      </c>
      <c r="L7070">
        <v>27.74</v>
      </c>
      <c r="M7070">
        <v>17131</v>
      </c>
      <c r="N7070" t="s">
        <v>154</v>
      </c>
      <c r="O7070">
        <v>251002</v>
      </c>
      <c r="P7070">
        <v>198.18</v>
      </c>
    </row>
    <row r="7071" spans="1:16" x14ac:dyDescent="0.25">
      <c r="A7071" t="s">
        <v>3296</v>
      </c>
      <c r="B7071" t="s">
        <v>2931</v>
      </c>
      <c r="C7071">
        <v>12916</v>
      </c>
      <c r="D7071" t="str">
        <f>"2560870197  "</f>
        <v xml:space="preserve">2560870197  </v>
      </c>
      <c r="E7071" t="s">
        <v>277</v>
      </c>
      <c r="F7071" t="s">
        <v>279</v>
      </c>
      <c r="G7071">
        <v>12.58</v>
      </c>
      <c r="H7071">
        <v>250922</v>
      </c>
      <c r="I7071">
        <v>4520</v>
      </c>
      <c r="J7071" t="s">
        <v>280</v>
      </c>
      <c r="K7071">
        <v>1419.05</v>
      </c>
      <c r="L7071">
        <v>2.56</v>
      </c>
      <c r="M7071">
        <v>17915</v>
      </c>
      <c r="N7071" t="s">
        <v>305</v>
      </c>
      <c r="O7071">
        <v>251002</v>
      </c>
      <c r="P7071">
        <v>10.02</v>
      </c>
    </row>
    <row r="7072" spans="1:16" x14ac:dyDescent="0.25">
      <c r="A7072" t="s">
        <v>3296</v>
      </c>
      <c r="B7072" t="s">
        <v>2931</v>
      </c>
      <c r="C7072">
        <v>12916</v>
      </c>
      <c r="D7072" t="str">
        <f>"2560870197  "</f>
        <v xml:space="preserve">2560870197  </v>
      </c>
      <c r="E7072" t="s">
        <v>277</v>
      </c>
      <c r="F7072" t="s">
        <v>279</v>
      </c>
      <c r="G7072">
        <v>812.07</v>
      </c>
      <c r="H7072">
        <v>250922</v>
      </c>
      <c r="I7072">
        <v>4520</v>
      </c>
      <c r="J7072" t="s">
        <v>280</v>
      </c>
      <c r="K7072">
        <v>1419.05</v>
      </c>
      <c r="L7072">
        <v>99.73</v>
      </c>
      <c r="M7072">
        <v>17915</v>
      </c>
      <c r="N7072" t="s">
        <v>305</v>
      </c>
      <c r="O7072">
        <v>251002</v>
      </c>
      <c r="P7072">
        <v>712.34</v>
      </c>
    </row>
    <row r="7073" spans="1:16" x14ac:dyDescent="0.25">
      <c r="A7073" t="s">
        <v>3296</v>
      </c>
      <c r="B7073" t="s">
        <v>2931</v>
      </c>
      <c r="C7073">
        <v>12916</v>
      </c>
      <c r="D7073" t="str">
        <f>"2560870197  "</f>
        <v xml:space="preserve">2560870197  </v>
      </c>
      <c r="E7073" t="s">
        <v>277</v>
      </c>
      <c r="F7073" t="s">
        <v>279</v>
      </c>
      <c r="G7073">
        <v>368.48</v>
      </c>
      <c r="H7073">
        <v>250922</v>
      </c>
      <c r="I7073">
        <v>4520</v>
      </c>
      <c r="J7073" t="s">
        <v>280</v>
      </c>
      <c r="K7073">
        <v>1419.05</v>
      </c>
      <c r="L7073">
        <v>45.25</v>
      </c>
      <c r="M7073">
        <v>17984</v>
      </c>
      <c r="N7073" t="s">
        <v>655</v>
      </c>
      <c r="O7073">
        <v>251002</v>
      </c>
      <c r="P7073">
        <v>323.23</v>
      </c>
    </row>
    <row r="7074" spans="1:16" x14ac:dyDescent="0.25">
      <c r="A7074" t="s">
        <v>3296</v>
      </c>
      <c r="B7074" t="s">
        <v>2931</v>
      </c>
      <c r="C7074">
        <v>12928</v>
      </c>
      <c r="D7074" t="str">
        <f>"2560886369  "</f>
        <v xml:space="preserve">2560886369  </v>
      </c>
      <c r="E7074" t="s">
        <v>277</v>
      </c>
      <c r="F7074" t="s">
        <v>279</v>
      </c>
      <c r="G7074">
        <v>-12.55</v>
      </c>
      <c r="H7074">
        <v>250929</v>
      </c>
      <c r="I7074">
        <v>4520</v>
      </c>
      <c r="J7074" t="s">
        <v>280</v>
      </c>
      <c r="K7074">
        <v>923.95</v>
      </c>
      <c r="L7074">
        <v>-2.5499999999999998</v>
      </c>
      <c r="M7074">
        <v>17915</v>
      </c>
      <c r="N7074" t="s">
        <v>305</v>
      </c>
      <c r="O7074">
        <v>251002</v>
      </c>
      <c r="P7074">
        <v>-10</v>
      </c>
    </row>
    <row r="7075" spans="1:16" x14ac:dyDescent="0.25">
      <c r="A7075" t="s">
        <v>3296</v>
      </c>
      <c r="B7075" t="s">
        <v>2931</v>
      </c>
      <c r="C7075">
        <v>12928</v>
      </c>
      <c r="D7075" t="str">
        <f>"2560886369  "</f>
        <v xml:space="preserve">2560886369  </v>
      </c>
      <c r="E7075" t="s">
        <v>277</v>
      </c>
      <c r="F7075" t="s">
        <v>279</v>
      </c>
      <c r="G7075">
        <v>842.85</v>
      </c>
      <c r="H7075">
        <v>250929</v>
      </c>
      <c r="I7075">
        <v>4520</v>
      </c>
      <c r="J7075" t="s">
        <v>280</v>
      </c>
      <c r="K7075">
        <v>923.95</v>
      </c>
      <c r="L7075">
        <v>103.51</v>
      </c>
      <c r="M7075">
        <v>17915</v>
      </c>
      <c r="N7075" t="s">
        <v>305</v>
      </c>
      <c r="O7075">
        <v>251002</v>
      </c>
      <c r="P7075">
        <v>739.34</v>
      </c>
    </row>
    <row r="7076" spans="1:16" x14ac:dyDescent="0.25">
      <c r="A7076" t="s">
        <v>3296</v>
      </c>
      <c r="B7076" t="s">
        <v>2931</v>
      </c>
      <c r="C7076">
        <v>12928</v>
      </c>
      <c r="D7076" t="str">
        <f>"2560886369  "</f>
        <v xml:space="preserve">2560886369  </v>
      </c>
      <c r="E7076" t="s">
        <v>277</v>
      </c>
      <c r="F7076" t="s">
        <v>279</v>
      </c>
      <c r="G7076">
        <v>93.65</v>
      </c>
      <c r="H7076">
        <v>250929</v>
      </c>
      <c r="I7076">
        <v>4520</v>
      </c>
      <c r="J7076" t="s">
        <v>280</v>
      </c>
      <c r="K7076">
        <v>923.95</v>
      </c>
      <c r="L7076">
        <v>11.5</v>
      </c>
      <c r="M7076">
        <v>17982</v>
      </c>
      <c r="N7076" t="s">
        <v>281</v>
      </c>
      <c r="O7076">
        <v>251002</v>
      </c>
      <c r="P7076">
        <v>82.15</v>
      </c>
    </row>
    <row r="7077" spans="1:16" x14ac:dyDescent="0.25">
      <c r="A7077" t="s">
        <v>3296</v>
      </c>
      <c r="B7077" t="s">
        <v>2931</v>
      </c>
      <c r="C7077">
        <v>12953</v>
      </c>
      <c r="D7077" t="str">
        <f>"2560886375  "</f>
        <v xml:space="preserve">2560886375  </v>
      </c>
      <c r="E7077" t="s">
        <v>277</v>
      </c>
      <c r="F7077" t="s">
        <v>279</v>
      </c>
      <c r="G7077">
        <v>273.33999999999997</v>
      </c>
      <c r="H7077">
        <v>250929</v>
      </c>
      <c r="I7077">
        <v>4520</v>
      </c>
      <c r="J7077" t="s">
        <v>280</v>
      </c>
      <c r="K7077">
        <v>339.19</v>
      </c>
      <c r="L7077">
        <v>33.57</v>
      </c>
      <c r="M7077">
        <v>69112</v>
      </c>
      <c r="N7077" t="s">
        <v>227</v>
      </c>
      <c r="O7077">
        <v>251002</v>
      </c>
      <c r="P7077">
        <v>239.77</v>
      </c>
    </row>
    <row r="7078" spans="1:16" x14ac:dyDescent="0.25">
      <c r="A7078" t="s">
        <v>3296</v>
      </c>
      <c r="B7078" t="s">
        <v>2931</v>
      </c>
      <c r="C7078">
        <v>12953</v>
      </c>
      <c r="D7078" t="str">
        <f>"2560886375  "</f>
        <v xml:space="preserve">2560886375  </v>
      </c>
      <c r="E7078" t="s">
        <v>277</v>
      </c>
      <c r="F7078" t="s">
        <v>279</v>
      </c>
      <c r="G7078">
        <v>15.19</v>
      </c>
      <c r="H7078">
        <v>250929</v>
      </c>
      <c r="I7078">
        <v>4520</v>
      </c>
      <c r="J7078" t="s">
        <v>280</v>
      </c>
      <c r="K7078">
        <v>339.19</v>
      </c>
      <c r="L7078">
        <v>1.87</v>
      </c>
      <c r="M7078">
        <v>69810</v>
      </c>
      <c r="N7078" t="s">
        <v>229</v>
      </c>
      <c r="O7078">
        <v>251002</v>
      </c>
      <c r="P7078">
        <v>13.32</v>
      </c>
    </row>
    <row r="7079" spans="1:16" x14ac:dyDescent="0.25">
      <c r="A7079" t="s">
        <v>3296</v>
      </c>
      <c r="B7079" t="s">
        <v>2931</v>
      </c>
      <c r="C7079">
        <v>12953</v>
      </c>
      <c r="D7079" t="str">
        <f>"2560886375  "</f>
        <v xml:space="preserve">2560886375  </v>
      </c>
      <c r="E7079" t="s">
        <v>277</v>
      </c>
      <c r="F7079" t="s">
        <v>279</v>
      </c>
      <c r="G7079">
        <v>15.18</v>
      </c>
      <c r="H7079">
        <v>250929</v>
      </c>
      <c r="I7079">
        <v>4520</v>
      </c>
      <c r="J7079" t="s">
        <v>280</v>
      </c>
      <c r="K7079">
        <v>339.19</v>
      </c>
      <c r="L7079">
        <v>1.86</v>
      </c>
      <c r="M7079">
        <v>69811</v>
      </c>
      <c r="N7079" t="s">
        <v>230</v>
      </c>
      <c r="O7079">
        <v>251002</v>
      </c>
      <c r="P7079">
        <v>13.32</v>
      </c>
    </row>
    <row r="7080" spans="1:16" x14ac:dyDescent="0.25">
      <c r="A7080" t="s">
        <v>3296</v>
      </c>
      <c r="B7080" t="s">
        <v>2931</v>
      </c>
      <c r="C7080">
        <v>12994</v>
      </c>
      <c r="D7080" t="str">
        <f>"2560886365  "</f>
        <v xml:space="preserve">2560886365  </v>
      </c>
      <c r="E7080" t="s">
        <v>277</v>
      </c>
      <c r="F7080" t="s">
        <v>279</v>
      </c>
      <c r="G7080">
        <v>1548.82</v>
      </c>
      <c r="H7080">
        <v>250929</v>
      </c>
      <c r="I7080">
        <v>4520</v>
      </c>
      <c r="J7080" t="s">
        <v>280</v>
      </c>
      <c r="K7080">
        <v>2215.1999999999998</v>
      </c>
      <c r="L7080">
        <v>190.21</v>
      </c>
      <c r="M7080">
        <v>54422</v>
      </c>
      <c r="N7080" t="s">
        <v>49</v>
      </c>
      <c r="O7080">
        <v>251003</v>
      </c>
      <c r="P7080">
        <v>1358.61</v>
      </c>
    </row>
    <row r="7081" spans="1:16" x14ac:dyDescent="0.25">
      <c r="A7081" t="s">
        <v>3296</v>
      </c>
      <c r="B7081" t="s">
        <v>2931</v>
      </c>
      <c r="C7081">
        <v>12998</v>
      </c>
      <c r="D7081" t="str">
        <f>"2560925604  "</f>
        <v xml:space="preserve">2560925604  </v>
      </c>
      <c r="E7081" t="s">
        <v>277</v>
      </c>
      <c r="F7081" t="s">
        <v>279</v>
      </c>
      <c r="G7081">
        <v>1880.35</v>
      </c>
      <c r="H7081">
        <v>250930</v>
      </c>
      <c r="I7081">
        <v>4520</v>
      </c>
      <c r="J7081" t="s">
        <v>280</v>
      </c>
      <c r="K7081">
        <v>1697.99</v>
      </c>
      <c r="L7081">
        <v>230.92</v>
      </c>
      <c r="M7081">
        <v>54451</v>
      </c>
      <c r="N7081" t="s">
        <v>218</v>
      </c>
      <c r="O7081">
        <v>251003</v>
      </c>
      <c r="P7081">
        <v>1649.43</v>
      </c>
    </row>
    <row r="7082" spans="1:16" x14ac:dyDescent="0.25">
      <c r="A7082" t="s">
        <v>3296</v>
      </c>
      <c r="B7082" t="s">
        <v>2931</v>
      </c>
      <c r="C7082">
        <v>13056</v>
      </c>
      <c r="D7082" t="str">
        <f>"2560925605  "</f>
        <v xml:space="preserve">2560925605  </v>
      </c>
      <c r="E7082" t="s">
        <v>277</v>
      </c>
      <c r="F7082" t="s">
        <v>279</v>
      </c>
      <c r="G7082">
        <v>1493.9</v>
      </c>
      <c r="H7082">
        <v>250930</v>
      </c>
      <c r="I7082">
        <v>4520</v>
      </c>
      <c r="J7082" t="s">
        <v>280</v>
      </c>
      <c r="K7082">
        <v>1776.43</v>
      </c>
      <c r="L7082">
        <v>183.46</v>
      </c>
      <c r="M7082">
        <v>59113</v>
      </c>
      <c r="N7082" t="s">
        <v>61</v>
      </c>
      <c r="O7082">
        <v>251003</v>
      </c>
      <c r="P7082">
        <v>1310.44</v>
      </c>
    </row>
    <row r="7083" spans="1:16" x14ac:dyDescent="0.25">
      <c r="A7083" t="s">
        <v>3296</v>
      </c>
      <c r="B7083" t="s">
        <v>2931</v>
      </c>
      <c r="C7083">
        <v>13056</v>
      </c>
      <c r="D7083" t="str">
        <f>"2560925605  "</f>
        <v xml:space="preserve">2560925605  </v>
      </c>
      <c r="E7083" t="s">
        <v>277</v>
      </c>
      <c r="F7083" t="s">
        <v>279</v>
      </c>
      <c r="G7083">
        <v>263.63</v>
      </c>
      <c r="H7083">
        <v>250930</v>
      </c>
      <c r="I7083">
        <v>4520</v>
      </c>
      <c r="J7083" t="s">
        <v>280</v>
      </c>
      <c r="K7083">
        <v>1776.43</v>
      </c>
      <c r="L7083">
        <v>32.380000000000003</v>
      </c>
      <c r="M7083">
        <v>59803</v>
      </c>
      <c r="N7083" t="s">
        <v>282</v>
      </c>
      <c r="O7083">
        <v>251003</v>
      </c>
      <c r="P7083">
        <v>231.25</v>
      </c>
    </row>
    <row r="7084" spans="1:16" x14ac:dyDescent="0.25">
      <c r="A7084" t="s">
        <v>3296</v>
      </c>
      <c r="B7084" t="s">
        <v>2931</v>
      </c>
      <c r="C7084">
        <v>13119</v>
      </c>
      <c r="D7084" t="str">
        <f>"2560886372  "</f>
        <v xml:space="preserve">2560886372  </v>
      </c>
      <c r="E7084" t="s">
        <v>277</v>
      </c>
      <c r="F7084" t="s">
        <v>279</v>
      </c>
      <c r="G7084">
        <v>296.8</v>
      </c>
      <c r="H7084">
        <v>250929</v>
      </c>
      <c r="I7084">
        <v>4520</v>
      </c>
      <c r="J7084" t="s">
        <v>280</v>
      </c>
      <c r="K7084">
        <v>3920.16</v>
      </c>
      <c r="L7084">
        <v>36.450000000000003</v>
      </c>
      <c r="M7084">
        <v>16442</v>
      </c>
      <c r="N7084" t="s">
        <v>304</v>
      </c>
      <c r="O7084">
        <v>251006</v>
      </c>
      <c r="P7084">
        <v>260.35000000000002</v>
      </c>
    </row>
    <row r="7085" spans="1:16" x14ac:dyDescent="0.25">
      <c r="A7085" t="s">
        <v>3296</v>
      </c>
      <c r="B7085" t="s">
        <v>2931</v>
      </c>
      <c r="C7085">
        <v>13119</v>
      </c>
      <c r="D7085" t="str">
        <f>"2560886372  "</f>
        <v xml:space="preserve">2560886372  </v>
      </c>
      <c r="E7085" t="s">
        <v>277</v>
      </c>
      <c r="F7085" t="s">
        <v>279</v>
      </c>
      <c r="G7085">
        <v>12.6</v>
      </c>
      <c r="H7085">
        <v>250929</v>
      </c>
      <c r="I7085">
        <v>4520</v>
      </c>
      <c r="J7085" t="s">
        <v>280</v>
      </c>
      <c r="K7085">
        <v>3920.16</v>
      </c>
      <c r="L7085">
        <v>2.56</v>
      </c>
      <c r="M7085">
        <v>17913</v>
      </c>
      <c r="N7085" t="s">
        <v>26</v>
      </c>
      <c r="O7085">
        <v>251006</v>
      </c>
      <c r="P7085">
        <v>10.039999999999999</v>
      </c>
    </row>
    <row r="7086" spans="1:16" x14ac:dyDescent="0.25">
      <c r="A7086" t="s">
        <v>3296</v>
      </c>
      <c r="B7086" t="s">
        <v>2931</v>
      </c>
      <c r="C7086">
        <v>13119</v>
      </c>
      <c r="D7086" t="str">
        <f>"2560886372  "</f>
        <v xml:space="preserve">2560886372  </v>
      </c>
      <c r="E7086" t="s">
        <v>277</v>
      </c>
      <c r="F7086" t="s">
        <v>279</v>
      </c>
      <c r="G7086">
        <v>3248.46</v>
      </c>
      <c r="H7086">
        <v>250929</v>
      </c>
      <c r="I7086">
        <v>4520</v>
      </c>
      <c r="J7086" t="s">
        <v>280</v>
      </c>
      <c r="K7086">
        <v>3920.16</v>
      </c>
      <c r="L7086">
        <v>398.93</v>
      </c>
      <c r="M7086">
        <v>17913</v>
      </c>
      <c r="N7086" t="s">
        <v>26</v>
      </c>
      <c r="O7086">
        <v>251006</v>
      </c>
      <c r="P7086">
        <v>2849.53</v>
      </c>
    </row>
    <row r="7087" spans="1:16" x14ac:dyDescent="0.25">
      <c r="A7087" t="s">
        <v>3296</v>
      </c>
      <c r="B7087" t="s">
        <v>2931</v>
      </c>
      <c r="C7087">
        <v>13119</v>
      </c>
      <c r="D7087" t="str">
        <f>"2560886372  "</f>
        <v xml:space="preserve">2560886372  </v>
      </c>
      <c r="E7087" t="s">
        <v>277</v>
      </c>
      <c r="F7087" t="s">
        <v>279</v>
      </c>
      <c r="G7087">
        <v>362.3</v>
      </c>
      <c r="H7087">
        <v>250929</v>
      </c>
      <c r="I7087">
        <v>4520</v>
      </c>
      <c r="J7087" t="s">
        <v>280</v>
      </c>
      <c r="K7087">
        <v>3920.16</v>
      </c>
      <c r="L7087">
        <v>44.49</v>
      </c>
      <c r="M7087">
        <v>17982</v>
      </c>
      <c r="N7087" t="s">
        <v>281</v>
      </c>
      <c r="O7087">
        <v>251006</v>
      </c>
      <c r="P7087">
        <v>317.81</v>
      </c>
    </row>
    <row r="7088" spans="1:16" x14ac:dyDescent="0.25">
      <c r="A7088" t="s">
        <v>3296</v>
      </c>
      <c r="B7088" t="s">
        <v>2931</v>
      </c>
      <c r="C7088">
        <v>13125</v>
      </c>
      <c r="D7088" t="str">
        <f>"2560925613  "</f>
        <v xml:space="preserve">2560925613  </v>
      </c>
      <c r="E7088" t="s">
        <v>277</v>
      </c>
      <c r="F7088" t="s">
        <v>279</v>
      </c>
      <c r="G7088">
        <v>941.54</v>
      </c>
      <c r="H7088">
        <v>250930</v>
      </c>
      <c r="I7088">
        <v>4520</v>
      </c>
      <c r="J7088" t="s">
        <v>280</v>
      </c>
      <c r="K7088">
        <v>1086.4000000000001</v>
      </c>
      <c r="L7088">
        <v>115.63</v>
      </c>
      <c r="M7088">
        <v>69112</v>
      </c>
      <c r="N7088" t="s">
        <v>227</v>
      </c>
      <c r="O7088">
        <v>251006</v>
      </c>
      <c r="P7088">
        <v>825.91</v>
      </c>
    </row>
    <row r="7089" spans="1:16" x14ac:dyDescent="0.25">
      <c r="A7089" t="s">
        <v>3296</v>
      </c>
      <c r="B7089" t="s">
        <v>2931</v>
      </c>
      <c r="C7089">
        <v>13125</v>
      </c>
      <c r="D7089" t="str">
        <f>"2560925613  "</f>
        <v xml:space="preserve">2560925613  </v>
      </c>
      <c r="E7089" t="s">
        <v>277</v>
      </c>
      <c r="F7089" t="s">
        <v>279</v>
      </c>
      <c r="G7089">
        <v>52.31</v>
      </c>
      <c r="H7089">
        <v>250930</v>
      </c>
      <c r="I7089">
        <v>4520</v>
      </c>
      <c r="J7089" t="s">
        <v>280</v>
      </c>
      <c r="K7089">
        <v>1086.4000000000001</v>
      </c>
      <c r="L7089">
        <v>6.42</v>
      </c>
      <c r="M7089">
        <v>69810</v>
      </c>
      <c r="N7089" t="s">
        <v>229</v>
      </c>
      <c r="O7089">
        <v>251006</v>
      </c>
      <c r="P7089">
        <v>45.89</v>
      </c>
    </row>
    <row r="7090" spans="1:16" x14ac:dyDescent="0.25">
      <c r="A7090" t="s">
        <v>3296</v>
      </c>
      <c r="B7090" t="s">
        <v>2931</v>
      </c>
      <c r="C7090">
        <v>13125</v>
      </c>
      <c r="D7090" t="str">
        <f>"2560925613  "</f>
        <v xml:space="preserve">2560925613  </v>
      </c>
      <c r="E7090" t="s">
        <v>277</v>
      </c>
      <c r="F7090" t="s">
        <v>279</v>
      </c>
      <c r="G7090">
        <v>52.31</v>
      </c>
      <c r="H7090">
        <v>250930</v>
      </c>
      <c r="I7090">
        <v>4520</v>
      </c>
      <c r="J7090" t="s">
        <v>280</v>
      </c>
      <c r="K7090">
        <v>1086.4000000000001</v>
      </c>
      <c r="L7090">
        <v>6.42</v>
      </c>
      <c r="M7090">
        <v>69811</v>
      </c>
      <c r="N7090" t="s">
        <v>230</v>
      </c>
      <c r="O7090">
        <v>251006</v>
      </c>
      <c r="P7090">
        <v>45.89</v>
      </c>
    </row>
    <row r="7091" spans="1:16" x14ac:dyDescent="0.25">
      <c r="A7091" t="s">
        <v>3296</v>
      </c>
      <c r="B7091" t="s">
        <v>2931</v>
      </c>
      <c r="C7091">
        <v>13201</v>
      </c>
      <c r="D7091" t="str">
        <f>"2560925610  "</f>
        <v xml:space="preserve">2560925610  </v>
      </c>
      <c r="E7091" t="s">
        <v>277</v>
      </c>
      <c r="F7091" t="s">
        <v>279</v>
      </c>
      <c r="G7091">
        <v>-12.55</v>
      </c>
      <c r="H7091">
        <v>250930</v>
      </c>
      <c r="I7091">
        <v>4520</v>
      </c>
      <c r="J7091" t="s">
        <v>280</v>
      </c>
      <c r="K7091">
        <v>312.36</v>
      </c>
      <c r="L7091">
        <v>-2.5499999999999998</v>
      </c>
      <c r="M7091">
        <v>17913</v>
      </c>
      <c r="N7091" t="s">
        <v>26</v>
      </c>
      <c r="O7091">
        <v>251006</v>
      </c>
      <c r="P7091">
        <v>-10</v>
      </c>
    </row>
    <row r="7092" spans="1:16" x14ac:dyDescent="0.25">
      <c r="A7092" t="s">
        <v>3296</v>
      </c>
      <c r="B7092" t="s">
        <v>2931</v>
      </c>
      <c r="C7092">
        <v>13201</v>
      </c>
      <c r="D7092" t="str">
        <f>"2560925610  "</f>
        <v xml:space="preserve">2560925610  </v>
      </c>
      <c r="E7092" t="s">
        <v>277</v>
      </c>
      <c r="F7092" t="s">
        <v>279</v>
      </c>
      <c r="G7092">
        <v>292.41000000000003</v>
      </c>
      <c r="H7092">
        <v>250930</v>
      </c>
      <c r="I7092">
        <v>4520</v>
      </c>
      <c r="J7092" t="s">
        <v>280</v>
      </c>
      <c r="K7092">
        <v>312.36</v>
      </c>
      <c r="L7092">
        <v>35.909999999999997</v>
      </c>
      <c r="M7092">
        <v>17913</v>
      </c>
      <c r="N7092" t="s">
        <v>26</v>
      </c>
      <c r="O7092">
        <v>251006</v>
      </c>
      <c r="P7092">
        <v>256.5</v>
      </c>
    </row>
    <row r="7093" spans="1:16" x14ac:dyDescent="0.25">
      <c r="A7093" t="s">
        <v>3296</v>
      </c>
      <c r="B7093" t="s">
        <v>2931</v>
      </c>
      <c r="C7093">
        <v>13201</v>
      </c>
      <c r="D7093" t="str">
        <f>"2560925610  "</f>
        <v xml:space="preserve">2560925610  </v>
      </c>
      <c r="E7093" t="s">
        <v>277</v>
      </c>
      <c r="F7093" t="s">
        <v>279</v>
      </c>
      <c r="G7093">
        <v>32.5</v>
      </c>
      <c r="H7093">
        <v>250930</v>
      </c>
      <c r="I7093">
        <v>4520</v>
      </c>
      <c r="J7093" t="s">
        <v>280</v>
      </c>
      <c r="K7093">
        <v>312.36</v>
      </c>
      <c r="L7093">
        <v>3.99</v>
      </c>
      <c r="M7093">
        <v>17982</v>
      </c>
      <c r="N7093" t="s">
        <v>281</v>
      </c>
      <c r="O7093">
        <v>251006</v>
      </c>
      <c r="P7093">
        <v>28.51</v>
      </c>
    </row>
    <row r="7094" spans="1:16" x14ac:dyDescent="0.25">
      <c r="A7094" t="s">
        <v>3296</v>
      </c>
      <c r="B7094" t="s">
        <v>2931</v>
      </c>
      <c r="C7094">
        <v>13203</v>
      </c>
      <c r="D7094" t="str">
        <f>"2560925608  "</f>
        <v xml:space="preserve">2560925608  </v>
      </c>
      <c r="E7094" t="s">
        <v>277</v>
      </c>
      <c r="F7094" t="s">
        <v>279</v>
      </c>
      <c r="G7094">
        <v>-12.55</v>
      </c>
      <c r="H7094">
        <v>250930</v>
      </c>
      <c r="I7094">
        <v>4520</v>
      </c>
      <c r="J7094" t="s">
        <v>280</v>
      </c>
      <c r="K7094">
        <v>64.14</v>
      </c>
      <c r="L7094">
        <v>-2.5499999999999998</v>
      </c>
      <c r="M7094">
        <v>17915</v>
      </c>
      <c r="N7094" t="s">
        <v>305</v>
      </c>
      <c r="O7094">
        <v>251006</v>
      </c>
      <c r="P7094">
        <v>-10</v>
      </c>
    </row>
    <row r="7095" spans="1:16" x14ac:dyDescent="0.25">
      <c r="A7095" t="s">
        <v>3296</v>
      </c>
      <c r="B7095" t="s">
        <v>2931</v>
      </c>
      <c r="C7095">
        <v>13203</v>
      </c>
      <c r="D7095" t="str">
        <f>"2560925608  "</f>
        <v xml:space="preserve">2560925608  </v>
      </c>
      <c r="E7095" t="s">
        <v>277</v>
      </c>
      <c r="F7095" t="s">
        <v>279</v>
      </c>
      <c r="G7095">
        <v>68.989999999999995</v>
      </c>
      <c r="H7095">
        <v>250930</v>
      </c>
      <c r="I7095">
        <v>4520</v>
      </c>
      <c r="J7095" t="s">
        <v>280</v>
      </c>
      <c r="K7095">
        <v>64.14</v>
      </c>
      <c r="L7095">
        <v>8.4700000000000006</v>
      </c>
      <c r="M7095">
        <v>17915</v>
      </c>
      <c r="N7095" t="s">
        <v>305</v>
      </c>
      <c r="O7095">
        <v>251006</v>
      </c>
      <c r="P7095">
        <v>60.52</v>
      </c>
    </row>
    <row r="7096" spans="1:16" x14ac:dyDescent="0.25">
      <c r="A7096" t="s">
        <v>3296</v>
      </c>
      <c r="B7096" t="s">
        <v>2931</v>
      </c>
      <c r="C7096">
        <v>13203</v>
      </c>
      <c r="D7096" t="str">
        <f>"2560925608  "</f>
        <v xml:space="preserve">2560925608  </v>
      </c>
      <c r="E7096" t="s">
        <v>277</v>
      </c>
      <c r="F7096" t="s">
        <v>279</v>
      </c>
      <c r="G7096">
        <v>7.7</v>
      </c>
      <c r="H7096">
        <v>250930</v>
      </c>
      <c r="I7096">
        <v>4520</v>
      </c>
      <c r="J7096" t="s">
        <v>280</v>
      </c>
      <c r="K7096">
        <v>64.14</v>
      </c>
      <c r="L7096">
        <v>0.95</v>
      </c>
      <c r="M7096">
        <v>17982</v>
      </c>
      <c r="N7096" t="s">
        <v>281</v>
      </c>
      <c r="O7096">
        <v>251006</v>
      </c>
      <c r="P7096">
        <v>6.75</v>
      </c>
    </row>
    <row r="7097" spans="1:16" x14ac:dyDescent="0.25">
      <c r="A7097" t="s">
        <v>3296</v>
      </c>
      <c r="B7097" t="s">
        <v>2931</v>
      </c>
      <c r="C7097">
        <v>13233</v>
      </c>
      <c r="D7097" t="str">
        <f>"2560870203  "</f>
        <v xml:space="preserve">2560870203  </v>
      </c>
      <c r="E7097" t="s">
        <v>277</v>
      </c>
      <c r="F7097" t="s">
        <v>279</v>
      </c>
      <c r="G7097">
        <v>20.39</v>
      </c>
      <c r="H7097">
        <v>250922</v>
      </c>
      <c r="I7097">
        <v>4520</v>
      </c>
      <c r="J7097" t="s">
        <v>280</v>
      </c>
      <c r="K7097">
        <v>236.69</v>
      </c>
      <c r="L7097">
        <v>4.1399999999999997</v>
      </c>
      <c r="M7097">
        <v>13901</v>
      </c>
      <c r="N7097" t="s">
        <v>116</v>
      </c>
      <c r="O7097">
        <v>251007</v>
      </c>
      <c r="P7097">
        <v>16.25</v>
      </c>
    </row>
    <row r="7098" spans="1:16" x14ac:dyDescent="0.25">
      <c r="A7098" t="s">
        <v>3296</v>
      </c>
      <c r="B7098" t="s">
        <v>2931</v>
      </c>
      <c r="C7098">
        <v>13233</v>
      </c>
      <c r="D7098" t="str">
        <f>"2560870203  "</f>
        <v xml:space="preserve">2560870203  </v>
      </c>
      <c r="E7098" t="s">
        <v>277</v>
      </c>
      <c r="F7098" t="s">
        <v>279</v>
      </c>
      <c r="G7098">
        <v>216.3</v>
      </c>
      <c r="H7098">
        <v>250922</v>
      </c>
      <c r="I7098">
        <v>4520</v>
      </c>
      <c r="J7098" t="s">
        <v>280</v>
      </c>
      <c r="K7098">
        <v>236.69</v>
      </c>
      <c r="L7098">
        <v>26.56</v>
      </c>
      <c r="M7098">
        <v>13901</v>
      </c>
      <c r="N7098" t="s">
        <v>116</v>
      </c>
      <c r="O7098">
        <v>251007</v>
      </c>
      <c r="P7098">
        <v>189.74</v>
      </c>
    </row>
    <row r="7099" spans="1:16" x14ac:dyDescent="0.25">
      <c r="A7099" t="s">
        <v>3296</v>
      </c>
      <c r="B7099" t="s">
        <v>2931</v>
      </c>
      <c r="C7099">
        <v>13350</v>
      </c>
      <c r="D7099" t="str">
        <f>"2560886368  "</f>
        <v xml:space="preserve">2560886368  </v>
      </c>
      <c r="E7099" t="s">
        <v>277</v>
      </c>
      <c r="F7099" t="s">
        <v>279</v>
      </c>
      <c r="G7099">
        <v>2237.94</v>
      </c>
      <c r="H7099">
        <v>250929</v>
      </c>
      <c r="I7099">
        <v>4520</v>
      </c>
      <c r="J7099" t="s">
        <v>280</v>
      </c>
      <c r="K7099">
        <v>2404.15</v>
      </c>
      <c r="L7099">
        <v>274.83</v>
      </c>
      <c r="M7099">
        <v>49112</v>
      </c>
      <c r="N7099" t="s">
        <v>109</v>
      </c>
      <c r="O7099">
        <v>251008</v>
      </c>
      <c r="P7099">
        <v>1963.11</v>
      </c>
    </row>
    <row r="7100" spans="1:16" x14ac:dyDescent="0.25">
      <c r="A7100" t="s">
        <v>3296</v>
      </c>
      <c r="B7100" t="s">
        <v>2931</v>
      </c>
      <c r="C7100">
        <v>13351</v>
      </c>
      <c r="D7100" t="str">
        <f>"2560925607  "</f>
        <v xml:space="preserve">2560925607  </v>
      </c>
      <c r="E7100" t="s">
        <v>277</v>
      </c>
      <c r="F7100" t="s">
        <v>279</v>
      </c>
      <c r="G7100">
        <v>892.02</v>
      </c>
      <c r="H7100">
        <v>250930</v>
      </c>
      <c r="I7100">
        <v>4520</v>
      </c>
      <c r="J7100" t="s">
        <v>280</v>
      </c>
      <c r="K7100">
        <v>904.6</v>
      </c>
      <c r="L7100">
        <v>109.55</v>
      </c>
      <c r="M7100">
        <v>49112</v>
      </c>
      <c r="N7100" t="s">
        <v>109</v>
      </c>
      <c r="O7100">
        <v>251008</v>
      </c>
      <c r="P7100">
        <v>782.47</v>
      </c>
    </row>
    <row r="7101" spans="1:16" x14ac:dyDescent="0.25">
      <c r="A7101" t="s">
        <v>3296</v>
      </c>
      <c r="B7101" t="s">
        <v>2931</v>
      </c>
      <c r="C7101">
        <v>13363</v>
      </c>
      <c r="D7101" t="str">
        <f>"2560937102  "</f>
        <v xml:space="preserve">2560937102  </v>
      </c>
      <c r="E7101" t="s">
        <v>277</v>
      </c>
      <c r="F7101" t="s">
        <v>279</v>
      </c>
      <c r="G7101">
        <v>928.7</v>
      </c>
      <c r="H7101">
        <v>251006</v>
      </c>
      <c r="I7101">
        <v>4520</v>
      </c>
      <c r="J7101" t="s">
        <v>280</v>
      </c>
      <c r="K7101">
        <v>1130.79</v>
      </c>
      <c r="L7101">
        <v>114.05</v>
      </c>
      <c r="M7101">
        <v>49112</v>
      </c>
      <c r="N7101" t="s">
        <v>109</v>
      </c>
      <c r="O7101">
        <v>251008</v>
      </c>
      <c r="P7101">
        <v>814.65</v>
      </c>
    </row>
    <row r="7102" spans="1:16" x14ac:dyDescent="0.25">
      <c r="A7102" t="s">
        <v>3296</v>
      </c>
      <c r="B7102" t="s">
        <v>2931</v>
      </c>
      <c r="C7102">
        <v>13394</v>
      </c>
      <c r="D7102" t="str">
        <f>"2560937105  "</f>
        <v xml:space="preserve">2560937105  </v>
      </c>
      <c r="E7102" t="s">
        <v>277</v>
      </c>
      <c r="F7102" t="s">
        <v>279</v>
      </c>
      <c r="G7102">
        <v>150.30000000000001</v>
      </c>
      <c r="H7102">
        <v>251006</v>
      </c>
      <c r="I7102">
        <v>4520</v>
      </c>
      <c r="J7102" t="s">
        <v>280</v>
      </c>
      <c r="K7102">
        <v>2296.75</v>
      </c>
      <c r="L7102">
        <v>18.46</v>
      </c>
      <c r="M7102">
        <v>16442</v>
      </c>
      <c r="N7102" t="s">
        <v>304</v>
      </c>
      <c r="O7102">
        <v>251008</v>
      </c>
      <c r="P7102">
        <v>131.84</v>
      </c>
    </row>
    <row r="7103" spans="1:16" x14ac:dyDescent="0.25">
      <c r="A7103" t="s">
        <v>3296</v>
      </c>
      <c r="B7103" t="s">
        <v>2931</v>
      </c>
      <c r="C7103">
        <v>13394</v>
      </c>
      <c r="D7103" t="str">
        <f>"2560937105  "</f>
        <v xml:space="preserve">2560937105  </v>
      </c>
      <c r="E7103" t="s">
        <v>277</v>
      </c>
      <c r="F7103" t="s">
        <v>279</v>
      </c>
      <c r="G7103">
        <v>73.319999999999993</v>
      </c>
      <c r="H7103">
        <v>251006</v>
      </c>
      <c r="I7103">
        <v>4520</v>
      </c>
      <c r="J7103" t="s">
        <v>280</v>
      </c>
      <c r="K7103">
        <v>2296.75</v>
      </c>
      <c r="L7103">
        <v>14.9</v>
      </c>
      <c r="M7103">
        <v>17913</v>
      </c>
      <c r="N7103" t="s">
        <v>26</v>
      </c>
      <c r="O7103">
        <v>251008</v>
      </c>
      <c r="P7103">
        <v>58.42</v>
      </c>
    </row>
    <row r="7104" spans="1:16" x14ac:dyDescent="0.25">
      <c r="A7104" t="s">
        <v>3296</v>
      </c>
      <c r="B7104" t="s">
        <v>2931</v>
      </c>
      <c r="C7104">
        <v>13394</v>
      </c>
      <c r="D7104" t="str">
        <f>"2560937105  "</f>
        <v xml:space="preserve">2560937105  </v>
      </c>
      <c r="E7104" t="s">
        <v>277</v>
      </c>
      <c r="F7104" t="s">
        <v>279</v>
      </c>
      <c r="G7104">
        <v>1850.83</v>
      </c>
      <c r="H7104">
        <v>251006</v>
      </c>
      <c r="I7104">
        <v>4520</v>
      </c>
      <c r="J7104" t="s">
        <v>280</v>
      </c>
      <c r="K7104">
        <v>2296.75</v>
      </c>
      <c r="L7104">
        <v>227.29</v>
      </c>
      <c r="M7104">
        <v>17913</v>
      </c>
      <c r="N7104" t="s">
        <v>26</v>
      </c>
      <c r="O7104">
        <v>251008</v>
      </c>
      <c r="P7104">
        <v>1623.54</v>
      </c>
    </row>
    <row r="7105" spans="1:16" x14ac:dyDescent="0.25">
      <c r="A7105" t="s">
        <v>3296</v>
      </c>
      <c r="B7105" t="s">
        <v>2931</v>
      </c>
      <c r="C7105">
        <v>13394</v>
      </c>
      <c r="D7105" t="str">
        <f>"2560937105  "</f>
        <v xml:space="preserve">2560937105  </v>
      </c>
      <c r="E7105" t="s">
        <v>277</v>
      </c>
      <c r="F7105" t="s">
        <v>279</v>
      </c>
      <c r="G7105">
        <v>222.3</v>
      </c>
      <c r="H7105">
        <v>251006</v>
      </c>
      <c r="I7105">
        <v>4520</v>
      </c>
      <c r="J7105" t="s">
        <v>280</v>
      </c>
      <c r="K7105">
        <v>2296.75</v>
      </c>
      <c r="L7105">
        <v>27.3</v>
      </c>
      <c r="M7105">
        <v>17982</v>
      </c>
      <c r="N7105" t="s">
        <v>281</v>
      </c>
      <c r="O7105">
        <v>251008</v>
      </c>
      <c r="P7105">
        <v>195</v>
      </c>
    </row>
    <row r="7106" spans="1:16" x14ac:dyDescent="0.25">
      <c r="A7106" t="s">
        <v>3296</v>
      </c>
      <c r="B7106" t="s">
        <v>2931</v>
      </c>
      <c r="C7106">
        <v>13396</v>
      </c>
      <c r="D7106" t="str">
        <f>"2560937108  "</f>
        <v xml:space="preserve">2560937108  </v>
      </c>
      <c r="E7106" t="s">
        <v>277</v>
      </c>
      <c r="F7106" t="s">
        <v>279</v>
      </c>
      <c r="G7106">
        <v>115.73</v>
      </c>
      <c r="H7106">
        <v>250930</v>
      </c>
      <c r="I7106">
        <v>4520</v>
      </c>
      <c r="J7106" t="s">
        <v>280</v>
      </c>
      <c r="K7106">
        <v>128.59</v>
      </c>
      <c r="L7106">
        <v>14.21</v>
      </c>
      <c r="M7106">
        <v>69112</v>
      </c>
      <c r="N7106" t="s">
        <v>227</v>
      </c>
      <c r="O7106">
        <v>251008</v>
      </c>
      <c r="P7106">
        <v>101.52</v>
      </c>
    </row>
    <row r="7107" spans="1:16" x14ac:dyDescent="0.25">
      <c r="A7107" t="s">
        <v>3296</v>
      </c>
      <c r="B7107" t="s">
        <v>2931</v>
      </c>
      <c r="C7107">
        <v>13396</v>
      </c>
      <c r="D7107" t="str">
        <f>"2560937108  "</f>
        <v xml:space="preserve">2560937108  </v>
      </c>
      <c r="E7107" t="s">
        <v>277</v>
      </c>
      <c r="F7107" t="s">
        <v>279</v>
      </c>
      <c r="G7107">
        <v>6.43</v>
      </c>
      <c r="H7107">
        <v>250930</v>
      </c>
      <c r="I7107">
        <v>4520</v>
      </c>
      <c r="J7107" t="s">
        <v>280</v>
      </c>
      <c r="K7107">
        <v>128.59</v>
      </c>
      <c r="L7107">
        <v>0.79</v>
      </c>
      <c r="M7107">
        <v>69810</v>
      </c>
      <c r="N7107" t="s">
        <v>229</v>
      </c>
      <c r="O7107">
        <v>251008</v>
      </c>
      <c r="P7107">
        <v>5.64</v>
      </c>
    </row>
    <row r="7108" spans="1:16" x14ac:dyDescent="0.25">
      <c r="A7108" t="s">
        <v>3296</v>
      </c>
      <c r="B7108" t="s">
        <v>2931</v>
      </c>
      <c r="C7108">
        <v>13396</v>
      </c>
      <c r="D7108" t="str">
        <f>"2560937108  "</f>
        <v xml:space="preserve">2560937108  </v>
      </c>
      <c r="E7108" t="s">
        <v>277</v>
      </c>
      <c r="F7108" t="s">
        <v>279</v>
      </c>
      <c r="G7108">
        <v>6.43</v>
      </c>
      <c r="H7108">
        <v>250930</v>
      </c>
      <c r="I7108">
        <v>4520</v>
      </c>
      <c r="J7108" t="s">
        <v>280</v>
      </c>
      <c r="K7108">
        <v>128.59</v>
      </c>
      <c r="L7108">
        <v>0.79</v>
      </c>
      <c r="M7108">
        <v>69811</v>
      </c>
      <c r="N7108" t="s">
        <v>230</v>
      </c>
      <c r="O7108">
        <v>251008</v>
      </c>
      <c r="P7108">
        <v>5.64</v>
      </c>
    </row>
    <row r="7109" spans="1:16" x14ac:dyDescent="0.25">
      <c r="A7109" t="s">
        <v>3296</v>
      </c>
      <c r="B7109" t="s">
        <v>2931</v>
      </c>
      <c r="C7109">
        <v>13410</v>
      </c>
      <c r="D7109" t="str">
        <f>"2560886371  "</f>
        <v xml:space="preserve">2560886371  </v>
      </c>
      <c r="E7109" t="s">
        <v>277</v>
      </c>
      <c r="F7109" t="s">
        <v>279</v>
      </c>
      <c r="G7109">
        <v>754.97</v>
      </c>
      <c r="H7109">
        <v>250929</v>
      </c>
      <c r="I7109">
        <v>4520</v>
      </c>
      <c r="J7109" t="s">
        <v>280</v>
      </c>
      <c r="K7109">
        <v>759.17</v>
      </c>
      <c r="L7109">
        <v>92.72</v>
      </c>
      <c r="M7109">
        <v>44222</v>
      </c>
      <c r="N7109" t="s">
        <v>96</v>
      </c>
      <c r="O7109">
        <v>251009</v>
      </c>
      <c r="P7109">
        <v>662.25</v>
      </c>
    </row>
    <row r="7110" spans="1:16" x14ac:dyDescent="0.25">
      <c r="A7110" t="s">
        <v>3296</v>
      </c>
      <c r="B7110" t="s">
        <v>2931</v>
      </c>
      <c r="C7110">
        <v>13411</v>
      </c>
      <c r="D7110" t="str">
        <f>"2560886370  "</f>
        <v xml:space="preserve">2560886370  </v>
      </c>
      <c r="E7110" t="s">
        <v>277</v>
      </c>
      <c r="F7110" t="s">
        <v>279</v>
      </c>
      <c r="G7110">
        <v>196.4</v>
      </c>
      <c r="H7110">
        <v>250929</v>
      </c>
      <c r="I7110">
        <v>4520</v>
      </c>
      <c r="J7110" t="s">
        <v>280</v>
      </c>
      <c r="K7110">
        <v>563.69000000000005</v>
      </c>
      <c r="L7110">
        <v>24.12</v>
      </c>
      <c r="M7110">
        <v>44251</v>
      </c>
      <c r="N7110" t="s">
        <v>215</v>
      </c>
      <c r="O7110">
        <v>251009</v>
      </c>
      <c r="P7110">
        <v>172.28</v>
      </c>
    </row>
    <row r="7111" spans="1:16" x14ac:dyDescent="0.25">
      <c r="A7111" t="s">
        <v>3296</v>
      </c>
      <c r="B7111" t="s">
        <v>2931</v>
      </c>
      <c r="C7111">
        <v>13412</v>
      </c>
      <c r="D7111" t="str">
        <f>"2560886367  "</f>
        <v xml:space="preserve">2560886367  </v>
      </c>
      <c r="E7111" t="s">
        <v>277</v>
      </c>
      <c r="F7111" t="s">
        <v>279</v>
      </c>
      <c r="G7111">
        <v>1085.3800000000001</v>
      </c>
      <c r="H7111">
        <v>250929</v>
      </c>
      <c r="I7111">
        <v>4520</v>
      </c>
      <c r="J7111" t="s">
        <v>280</v>
      </c>
      <c r="K7111">
        <v>1264.3699999999999</v>
      </c>
      <c r="L7111">
        <v>133.29</v>
      </c>
      <c r="M7111">
        <v>69113</v>
      </c>
      <c r="N7111" t="s">
        <v>122</v>
      </c>
      <c r="O7111">
        <v>251009</v>
      </c>
      <c r="P7111">
        <v>952.09</v>
      </c>
    </row>
    <row r="7112" spans="1:16" x14ac:dyDescent="0.25">
      <c r="A7112" t="s">
        <v>3296</v>
      </c>
      <c r="B7112" t="s">
        <v>2931</v>
      </c>
      <c r="C7112">
        <v>13412</v>
      </c>
      <c r="D7112" t="str">
        <f>"2560886367  "</f>
        <v xml:space="preserve">2560886367  </v>
      </c>
      <c r="E7112" t="s">
        <v>277</v>
      </c>
      <c r="F7112" t="s">
        <v>279</v>
      </c>
      <c r="G7112">
        <v>127.69</v>
      </c>
      <c r="H7112">
        <v>250929</v>
      </c>
      <c r="I7112">
        <v>4520</v>
      </c>
      <c r="J7112" t="s">
        <v>280</v>
      </c>
      <c r="K7112">
        <v>1264.3699999999999</v>
      </c>
      <c r="L7112">
        <v>15.68</v>
      </c>
      <c r="M7112">
        <v>69802</v>
      </c>
      <c r="N7112" t="s">
        <v>375</v>
      </c>
      <c r="O7112">
        <v>251009</v>
      </c>
      <c r="P7112">
        <v>112.01</v>
      </c>
    </row>
    <row r="7113" spans="1:16" x14ac:dyDescent="0.25">
      <c r="A7113" t="s">
        <v>3296</v>
      </c>
      <c r="B7113" t="s">
        <v>2931</v>
      </c>
      <c r="C7113">
        <v>13412</v>
      </c>
      <c r="D7113" t="str">
        <f>"2560886367  "</f>
        <v xml:space="preserve">2560886367  </v>
      </c>
      <c r="E7113" t="s">
        <v>277</v>
      </c>
      <c r="F7113" t="s">
        <v>279</v>
      </c>
      <c r="G7113">
        <v>63.85</v>
      </c>
      <c r="H7113">
        <v>250929</v>
      </c>
      <c r="I7113">
        <v>4520</v>
      </c>
      <c r="J7113" t="s">
        <v>280</v>
      </c>
      <c r="K7113">
        <v>1264.3699999999999</v>
      </c>
      <c r="L7113">
        <v>7.84</v>
      </c>
      <c r="M7113">
        <v>69804</v>
      </c>
      <c r="N7113" t="s">
        <v>376</v>
      </c>
      <c r="O7113">
        <v>251009</v>
      </c>
      <c r="P7113">
        <v>56.01</v>
      </c>
    </row>
    <row r="7114" spans="1:16" x14ac:dyDescent="0.25">
      <c r="A7114" t="s">
        <v>3296</v>
      </c>
      <c r="B7114" t="s">
        <v>2931</v>
      </c>
      <c r="C7114">
        <v>13413</v>
      </c>
      <c r="D7114" t="str">
        <f>"2560886374  "</f>
        <v xml:space="preserve">2560886374  </v>
      </c>
      <c r="E7114" t="s">
        <v>277</v>
      </c>
      <c r="F7114" t="s">
        <v>279</v>
      </c>
      <c r="G7114">
        <v>201.62</v>
      </c>
      <c r="H7114">
        <v>250929</v>
      </c>
      <c r="I7114">
        <v>4520</v>
      </c>
      <c r="J7114" t="s">
        <v>280</v>
      </c>
      <c r="K7114">
        <v>736.39</v>
      </c>
      <c r="L7114">
        <v>24.76</v>
      </c>
      <c r="M7114">
        <v>44222</v>
      </c>
      <c r="N7114" t="s">
        <v>96</v>
      </c>
      <c r="O7114">
        <v>251009</v>
      </c>
      <c r="P7114">
        <v>176.86</v>
      </c>
    </row>
    <row r="7115" spans="1:16" x14ac:dyDescent="0.25">
      <c r="A7115" t="s">
        <v>3296</v>
      </c>
      <c r="B7115" t="s">
        <v>2931</v>
      </c>
      <c r="C7115">
        <v>13413</v>
      </c>
      <c r="D7115" t="str">
        <f>"2560886374  "</f>
        <v xml:space="preserve">2560886374  </v>
      </c>
      <c r="E7115" t="s">
        <v>277</v>
      </c>
      <c r="F7115" t="s">
        <v>279</v>
      </c>
      <c r="G7115">
        <v>531.14</v>
      </c>
      <c r="H7115">
        <v>250929</v>
      </c>
      <c r="I7115">
        <v>4520</v>
      </c>
      <c r="J7115" t="s">
        <v>280</v>
      </c>
      <c r="K7115">
        <v>736.39</v>
      </c>
      <c r="L7115">
        <v>65.23</v>
      </c>
      <c r="M7115">
        <v>44253</v>
      </c>
      <c r="N7115" t="s">
        <v>403</v>
      </c>
      <c r="O7115">
        <v>251009</v>
      </c>
      <c r="P7115">
        <v>465.91</v>
      </c>
    </row>
    <row r="7116" spans="1:16" x14ac:dyDescent="0.25">
      <c r="A7116" t="s">
        <v>3296</v>
      </c>
      <c r="B7116" t="s">
        <v>2931</v>
      </c>
      <c r="C7116">
        <v>13414</v>
      </c>
      <c r="D7116" t="str">
        <f>"2560925606  "</f>
        <v xml:space="preserve">2560925606  </v>
      </c>
      <c r="E7116" t="s">
        <v>277</v>
      </c>
      <c r="F7116" t="s">
        <v>279</v>
      </c>
      <c r="G7116">
        <v>955.32</v>
      </c>
      <c r="H7116">
        <v>250930</v>
      </c>
      <c r="I7116">
        <v>4520</v>
      </c>
      <c r="J7116" t="s">
        <v>280</v>
      </c>
      <c r="K7116">
        <v>1133.1099999999999</v>
      </c>
      <c r="L7116">
        <v>117.32</v>
      </c>
      <c r="M7116">
        <v>69113</v>
      </c>
      <c r="N7116" t="s">
        <v>122</v>
      </c>
      <c r="O7116">
        <v>251009</v>
      </c>
      <c r="P7116">
        <v>838</v>
      </c>
    </row>
    <row r="7117" spans="1:16" x14ac:dyDescent="0.25">
      <c r="A7117" t="s">
        <v>3296</v>
      </c>
      <c r="B7117" t="s">
        <v>2931</v>
      </c>
      <c r="C7117">
        <v>13414</v>
      </c>
      <c r="D7117" t="str">
        <f>"2560925606  "</f>
        <v xml:space="preserve">2560925606  </v>
      </c>
      <c r="E7117" t="s">
        <v>277</v>
      </c>
      <c r="F7117" t="s">
        <v>279</v>
      </c>
      <c r="G7117">
        <v>112.39</v>
      </c>
      <c r="H7117">
        <v>250930</v>
      </c>
      <c r="I7117">
        <v>4520</v>
      </c>
      <c r="J7117" t="s">
        <v>280</v>
      </c>
      <c r="K7117">
        <v>1133.1099999999999</v>
      </c>
      <c r="L7117">
        <v>13.8</v>
      </c>
      <c r="M7117">
        <v>69802</v>
      </c>
      <c r="N7117" t="s">
        <v>375</v>
      </c>
      <c r="O7117">
        <v>251009</v>
      </c>
      <c r="P7117">
        <v>98.59</v>
      </c>
    </row>
    <row r="7118" spans="1:16" x14ac:dyDescent="0.25">
      <c r="A7118" t="s">
        <v>3296</v>
      </c>
      <c r="B7118" t="s">
        <v>2931</v>
      </c>
      <c r="C7118">
        <v>13414</v>
      </c>
      <c r="D7118" t="str">
        <f>"2560925606  "</f>
        <v xml:space="preserve">2560925606  </v>
      </c>
      <c r="E7118" t="s">
        <v>277</v>
      </c>
      <c r="F7118" t="s">
        <v>279</v>
      </c>
      <c r="G7118">
        <v>56.2</v>
      </c>
      <c r="H7118">
        <v>250930</v>
      </c>
      <c r="I7118">
        <v>4520</v>
      </c>
      <c r="J7118" t="s">
        <v>280</v>
      </c>
      <c r="K7118">
        <v>1133.1099999999999</v>
      </c>
      <c r="L7118">
        <v>6.9</v>
      </c>
      <c r="M7118">
        <v>69804</v>
      </c>
      <c r="N7118" t="s">
        <v>376</v>
      </c>
      <c r="O7118">
        <v>251009</v>
      </c>
      <c r="P7118">
        <v>49.3</v>
      </c>
    </row>
    <row r="7119" spans="1:16" x14ac:dyDescent="0.25">
      <c r="A7119" t="s">
        <v>3296</v>
      </c>
      <c r="B7119" t="s">
        <v>2931</v>
      </c>
      <c r="C7119">
        <v>13416</v>
      </c>
      <c r="D7119" t="str">
        <f>"2560925609  "</f>
        <v xml:space="preserve">2560925609  </v>
      </c>
      <c r="E7119" t="s">
        <v>277</v>
      </c>
      <c r="F7119" t="s">
        <v>279</v>
      </c>
      <c r="G7119">
        <v>2541.0300000000002</v>
      </c>
      <c r="H7119">
        <v>250930</v>
      </c>
      <c r="I7119">
        <v>4520</v>
      </c>
      <c r="J7119" t="s">
        <v>280</v>
      </c>
      <c r="K7119">
        <v>2605.04</v>
      </c>
      <c r="L7119">
        <v>312.06</v>
      </c>
      <c r="M7119">
        <v>44251</v>
      </c>
      <c r="N7119" t="s">
        <v>215</v>
      </c>
      <c r="O7119">
        <v>251009</v>
      </c>
      <c r="P7119">
        <v>2228.9699999999998</v>
      </c>
    </row>
    <row r="7120" spans="1:16" x14ac:dyDescent="0.25">
      <c r="A7120" t="s">
        <v>3296</v>
      </c>
      <c r="B7120" t="s">
        <v>2931</v>
      </c>
      <c r="C7120">
        <v>13494</v>
      </c>
      <c r="D7120" t="str">
        <f>"2560937100  "</f>
        <v xml:space="preserve">2560937100  </v>
      </c>
      <c r="E7120" t="s">
        <v>277</v>
      </c>
      <c r="F7120" t="s">
        <v>279</v>
      </c>
      <c r="G7120">
        <v>713.29</v>
      </c>
      <c r="H7120">
        <v>251006</v>
      </c>
      <c r="I7120">
        <v>4520</v>
      </c>
      <c r="J7120" t="s">
        <v>280</v>
      </c>
      <c r="K7120">
        <v>874.2</v>
      </c>
      <c r="L7120">
        <v>87.6</v>
      </c>
      <c r="M7120">
        <v>59113</v>
      </c>
      <c r="N7120" t="s">
        <v>61</v>
      </c>
      <c r="O7120">
        <v>251010</v>
      </c>
      <c r="P7120">
        <v>625.69000000000005</v>
      </c>
    </row>
    <row r="7121" spans="1:16" x14ac:dyDescent="0.25">
      <c r="A7121" t="s">
        <v>3296</v>
      </c>
      <c r="B7121" t="s">
        <v>2931</v>
      </c>
      <c r="C7121">
        <v>13494</v>
      </c>
      <c r="D7121" t="str">
        <f>"2560937100  "</f>
        <v xml:space="preserve">2560937100  </v>
      </c>
      <c r="E7121" t="s">
        <v>277</v>
      </c>
      <c r="F7121" t="s">
        <v>279</v>
      </c>
      <c r="G7121">
        <v>125.87</v>
      </c>
      <c r="H7121">
        <v>251006</v>
      </c>
      <c r="I7121">
        <v>4520</v>
      </c>
      <c r="J7121" t="s">
        <v>280</v>
      </c>
      <c r="K7121">
        <v>874.2</v>
      </c>
      <c r="L7121">
        <v>15.46</v>
      </c>
      <c r="M7121">
        <v>59803</v>
      </c>
      <c r="N7121" t="s">
        <v>282</v>
      </c>
      <c r="O7121">
        <v>251010</v>
      </c>
      <c r="P7121">
        <v>110.41</v>
      </c>
    </row>
    <row r="7122" spans="1:16" x14ac:dyDescent="0.25">
      <c r="A7122" t="s">
        <v>3296</v>
      </c>
      <c r="B7122" t="s">
        <v>2931</v>
      </c>
      <c r="C7122">
        <v>13510</v>
      </c>
      <c r="D7122" t="str">
        <f>"2560937099  "</f>
        <v xml:space="preserve">2560937099  </v>
      </c>
      <c r="E7122" t="s">
        <v>277</v>
      </c>
      <c r="F7122" t="s">
        <v>279</v>
      </c>
      <c r="G7122">
        <v>820</v>
      </c>
      <c r="H7122">
        <v>251006</v>
      </c>
      <c r="I7122">
        <v>4520</v>
      </c>
      <c r="J7122" t="s">
        <v>280</v>
      </c>
      <c r="K7122">
        <v>2633.62</v>
      </c>
      <c r="L7122">
        <v>100.7</v>
      </c>
      <c r="M7122">
        <v>54422</v>
      </c>
      <c r="N7122" t="s">
        <v>49</v>
      </c>
      <c r="O7122">
        <v>251010</v>
      </c>
      <c r="P7122">
        <v>719.3</v>
      </c>
    </row>
    <row r="7123" spans="1:16" x14ac:dyDescent="0.25">
      <c r="A7123" t="s">
        <v>3296</v>
      </c>
      <c r="B7123" t="s">
        <v>2931</v>
      </c>
      <c r="C7123">
        <v>13510</v>
      </c>
      <c r="D7123" t="str">
        <f>"2560937099  "</f>
        <v xml:space="preserve">2560937099  </v>
      </c>
      <c r="E7123" t="s">
        <v>277</v>
      </c>
      <c r="F7123" t="s">
        <v>279</v>
      </c>
      <c r="G7123">
        <v>1636.5</v>
      </c>
      <c r="H7123">
        <v>251006</v>
      </c>
      <c r="I7123">
        <v>4520</v>
      </c>
      <c r="J7123" t="s">
        <v>280</v>
      </c>
      <c r="K7123">
        <v>2633.62</v>
      </c>
      <c r="L7123">
        <v>200.97</v>
      </c>
      <c r="M7123">
        <v>54451</v>
      </c>
      <c r="N7123" t="s">
        <v>218</v>
      </c>
      <c r="O7123">
        <v>251010</v>
      </c>
      <c r="P7123">
        <v>1435.53</v>
      </c>
    </row>
    <row r="7124" spans="1:16" x14ac:dyDescent="0.25">
      <c r="A7124" t="s">
        <v>3296</v>
      </c>
      <c r="B7124" t="s">
        <v>2931</v>
      </c>
      <c r="C7124">
        <v>13608</v>
      </c>
      <c r="D7124" t="str">
        <f>"2560925612  "</f>
        <v xml:space="preserve">2560925612  </v>
      </c>
      <c r="E7124" t="s">
        <v>277</v>
      </c>
      <c r="F7124" t="s">
        <v>279</v>
      </c>
      <c r="G7124">
        <v>-25.1</v>
      </c>
      <c r="H7124">
        <v>250930</v>
      </c>
      <c r="I7124">
        <v>4520</v>
      </c>
      <c r="J7124" t="s">
        <v>280</v>
      </c>
      <c r="K7124">
        <v>-25.1</v>
      </c>
      <c r="L7124">
        <v>-5.0999999999999996</v>
      </c>
      <c r="M7124">
        <v>44253</v>
      </c>
      <c r="N7124" t="s">
        <v>403</v>
      </c>
      <c r="O7124">
        <v>251013</v>
      </c>
      <c r="P7124">
        <v>-20</v>
      </c>
    </row>
    <row r="7125" spans="1:16" x14ac:dyDescent="0.25">
      <c r="A7125" t="s">
        <v>3296</v>
      </c>
      <c r="B7125" t="s">
        <v>2931</v>
      </c>
      <c r="C7125">
        <v>13700</v>
      </c>
      <c r="D7125" t="str">
        <f>"2560937107  "</f>
        <v xml:space="preserve">2560937107  </v>
      </c>
      <c r="E7125" t="s">
        <v>277</v>
      </c>
      <c r="F7125" t="s">
        <v>279</v>
      </c>
      <c r="G7125">
        <v>72.37</v>
      </c>
      <c r="H7125">
        <v>251006</v>
      </c>
      <c r="I7125">
        <v>4520</v>
      </c>
      <c r="J7125" t="s">
        <v>280</v>
      </c>
      <c r="K7125">
        <v>348.3</v>
      </c>
      <c r="L7125">
        <v>8.89</v>
      </c>
      <c r="M7125">
        <v>44222</v>
      </c>
      <c r="N7125" t="s">
        <v>96</v>
      </c>
      <c r="O7125">
        <v>251016</v>
      </c>
      <c r="P7125">
        <v>63.48</v>
      </c>
    </row>
    <row r="7126" spans="1:16" x14ac:dyDescent="0.25">
      <c r="A7126" t="s">
        <v>3296</v>
      </c>
      <c r="B7126" t="s">
        <v>2931</v>
      </c>
      <c r="C7126">
        <v>13700</v>
      </c>
      <c r="D7126" t="str">
        <f>"2560937107  "</f>
        <v xml:space="preserve">2560937107  </v>
      </c>
      <c r="E7126" t="s">
        <v>277</v>
      </c>
      <c r="F7126" t="s">
        <v>279</v>
      </c>
      <c r="G7126">
        <v>259.75</v>
      </c>
      <c r="H7126">
        <v>251006</v>
      </c>
      <c r="I7126">
        <v>4520</v>
      </c>
      <c r="J7126" t="s">
        <v>280</v>
      </c>
      <c r="K7126">
        <v>348.3</v>
      </c>
      <c r="L7126">
        <v>31.9</v>
      </c>
      <c r="M7126">
        <v>44253</v>
      </c>
      <c r="N7126" t="s">
        <v>403</v>
      </c>
      <c r="O7126">
        <v>251016</v>
      </c>
      <c r="P7126">
        <v>227.85</v>
      </c>
    </row>
    <row r="7127" spans="1:16" x14ac:dyDescent="0.25">
      <c r="A7127" t="s">
        <v>3296</v>
      </c>
      <c r="B7127" t="s">
        <v>2931</v>
      </c>
      <c r="C7127">
        <v>13702</v>
      </c>
      <c r="D7127" t="str">
        <f>"2560937104  "</f>
        <v xml:space="preserve">2560937104  </v>
      </c>
      <c r="E7127" t="s">
        <v>277</v>
      </c>
      <c r="F7127" t="s">
        <v>279</v>
      </c>
      <c r="G7127">
        <v>139.94999999999999</v>
      </c>
      <c r="H7127">
        <v>251006</v>
      </c>
      <c r="I7127">
        <v>4520</v>
      </c>
      <c r="J7127" t="s">
        <v>280</v>
      </c>
      <c r="K7127">
        <v>215.73</v>
      </c>
      <c r="L7127">
        <v>17.190000000000001</v>
      </c>
      <c r="M7127">
        <v>44222</v>
      </c>
      <c r="N7127" t="s">
        <v>96</v>
      </c>
      <c r="O7127">
        <v>251016</v>
      </c>
      <c r="P7127">
        <v>122.76</v>
      </c>
    </row>
    <row r="7128" spans="1:16" x14ac:dyDescent="0.25">
      <c r="A7128" t="s">
        <v>3296</v>
      </c>
      <c r="B7128" t="s">
        <v>2931</v>
      </c>
      <c r="C7128">
        <v>13703</v>
      </c>
      <c r="D7128" t="str">
        <f>"2560937101  "</f>
        <v xml:space="preserve">2560937101  </v>
      </c>
      <c r="E7128" t="s">
        <v>277</v>
      </c>
      <c r="F7128" t="s">
        <v>279</v>
      </c>
      <c r="G7128">
        <v>911.88</v>
      </c>
      <c r="H7128">
        <v>251006</v>
      </c>
      <c r="I7128">
        <v>4520</v>
      </c>
      <c r="J7128" t="s">
        <v>280</v>
      </c>
      <c r="K7128">
        <v>1072.8</v>
      </c>
      <c r="L7128">
        <v>111.99</v>
      </c>
      <c r="M7128">
        <v>69113</v>
      </c>
      <c r="N7128" t="s">
        <v>122</v>
      </c>
      <c r="O7128">
        <v>251016</v>
      </c>
      <c r="P7128">
        <v>799.89</v>
      </c>
    </row>
    <row r="7129" spans="1:16" x14ac:dyDescent="0.25">
      <c r="A7129" t="s">
        <v>3296</v>
      </c>
      <c r="B7129" t="s">
        <v>2931</v>
      </c>
      <c r="C7129">
        <v>13703</v>
      </c>
      <c r="D7129" t="str">
        <f>"2560937101  "</f>
        <v xml:space="preserve">2560937101  </v>
      </c>
      <c r="E7129" t="s">
        <v>277</v>
      </c>
      <c r="F7129" t="s">
        <v>279</v>
      </c>
      <c r="G7129">
        <v>107.28</v>
      </c>
      <c r="H7129">
        <v>251006</v>
      </c>
      <c r="I7129">
        <v>4520</v>
      </c>
      <c r="J7129" t="s">
        <v>280</v>
      </c>
      <c r="K7129">
        <v>1072.8</v>
      </c>
      <c r="L7129">
        <v>13.17</v>
      </c>
      <c r="M7129">
        <v>69802</v>
      </c>
      <c r="N7129" t="s">
        <v>375</v>
      </c>
      <c r="O7129">
        <v>251016</v>
      </c>
      <c r="P7129">
        <v>94.11</v>
      </c>
    </row>
    <row r="7130" spans="1:16" x14ac:dyDescent="0.25">
      <c r="A7130" t="s">
        <v>3296</v>
      </c>
      <c r="B7130" t="s">
        <v>2931</v>
      </c>
      <c r="C7130">
        <v>13703</v>
      </c>
      <c r="D7130" t="str">
        <f>"2560937101  "</f>
        <v xml:space="preserve">2560937101  </v>
      </c>
      <c r="E7130" t="s">
        <v>277</v>
      </c>
      <c r="F7130" t="s">
        <v>279</v>
      </c>
      <c r="G7130">
        <v>53.64</v>
      </c>
      <c r="H7130">
        <v>251006</v>
      </c>
      <c r="I7130">
        <v>4520</v>
      </c>
      <c r="J7130" t="s">
        <v>280</v>
      </c>
      <c r="K7130">
        <v>1072.8</v>
      </c>
      <c r="L7130">
        <v>6.59</v>
      </c>
      <c r="M7130">
        <v>69804</v>
      </c>
      <c r="N7130" t="s">
        <v>376</v>
      </c>
      <c r="O7130">
        <v>251016</v>
      </c>
      <c r="P7130">
        <v>47.05</v>
      </c>
    </row>
    <row r="7131" spans="1:16" x14ac:dyDescent="0.25">
      <c r="A7131" t="s">
        <v>3296</v>
      </c>
      <c r="B7131" t="s">
        <v>2931</v>
      </c>
      <c r="C7131">
        <v>13704</v>
      </c>
      <c r="D7131" t="str">
        <f>"2560937103  "</f>
        <v xml:space="preserve">2560937103  </v>
      </c>
      <c r="E7131" t="s">
        <v>277</v>
      </c>
      <c r="F7131" t="s">
        <v>279</v>
      </c>
      <c r="G7131">
        <v>68.33</v>
      </c>
      <c r="H7131">
        <v>251006</v>
      </c>
      <c r="I7131">
        <v>4520</v>
      </c>
      <c r="J7131" t="s">
        <v>280</v>
      </c>
      <c r="K7131">
        <v>975.81</v>
      </c>
      <c r="L7131">
        <v>13.88</v>
      </c>
      <c r="M7131">
        <v>17131</v>
      </c>
      <c r="N7131" t="s">
        <v>154</v>
      </c>
      <c r="O7131">
        <v>251016</v>
      </c>
      <c r="P7131">
        <v>54.45</v>
      </c>
    </row>
    <row r="7132" spans="1:16" x14ac:dyDescent="0.25">
      <c r="A7132" t="s">
        <v>3296</v>
      </c>
      <c r="B7132" t="s">
        <v>2931</v>
      </c>
      <c r="C7132">
        <v>13704</v>
      </c>
      <c r="D7132" t="str">
        <f>"2560937103  "</f>
        <v xml:space="preserve">2560937103  </v>
      </c>
      <c r="E7132" t="s">
        <v>277</v>
      </c>
      <c r="F7132" t="s">
        <v>279</v>
      </c>
      <c r="G7132">
        <v>148.88999999999999</v>
      </c>
      <c r="H7132">
        <v>251006</v>
      </c>
      <c r="I7132">
        <v>4520</v>
      </c>
      <c r="J7132" t="s">
        <v>280</v>
      </c>
      <c r="K7132">
        <v>975.81</v>
      </c>
      <c r="L7132">
        <v>18.28</v>
      </c>
      <c r="M7132">
        <v>17131</v>
      </c>
      <c r="N7132" t="s">
        <v>154</v>
      </c>
      <c r="O7132">
        <v>251016</v>
      </c>
      <c r="P7132">
        <v>130.61000000000001</v>
      </c>
    </row>
    <row r="7133" spans="1:16" x14ac:dyDescent="0.25">
      <c r="A7133" t="s">
        <v>3296</v>
      </c>
      <c r="B7133" t="s">
        <v>2931</v>
      </c>
      <c r="C7133">
        <v>13704</v>
      </c>
      <c r="D7133" t="str">
        <f>"2560937103  "</f>
        <v xml:space="preserve">2560937103  </v>
      </c>
      <c r="E7133" t="s">
        <v>277</v>
      </c>
      <c r="F7133" t="s">
        <v>279</v>
      </c>
      <c r="G7133">
        <v>31.15</v>
      </c>
      <c r="H7133">
        <v>251006</v>
      </c>
      <c r="I7133">
        <v>4520</v>
      </c>
      <c r="J7133" t="s">
        <v>280</v>
      </c>
      <c r="K7133">
        <v>975.81</v>
      </c>
      <c r="L7133">
        <v>6.33</v>
      </c>
      <c r="M7133">
        <v>17915</v>
      </c>
      <c r="N7133" t="s">
        <v>305</v>
      </c>
      <c r="O7133">
        <v>251016</v>
      </c>
      <c r="P7133">
        <v>24.82</v>
      </c>
    </row>
    <row r="7134" spans="1:16" x14ac:dyDescent="0.25">
      <c r="A7134" t="s">
        <v>3296</v>
      </c>
      <c r="B7134" t="s">
        <v>2931</v>
      </c>
      <c r="C7134">
        <v>13704</v>
      </c>
      <c r="D7134" t="str">
        <f>"2560937103  "</f>
        <v xml:space="preserve">2560937103  </v>
      </c>
      <c r="E7134" t="s">
        <v>277</v>
      </c>
      <c r="F7134" t="s">
        <v>279</v>
      </c>
      <c r="G7134">
        <v>639.80999999999995</v>
      </c>
      <c r="H7134">
        <v>251006</v>
      </c>
      <c r="I7134">
        <v>4520</v>
      </c>
      <c r="J7134" t="s">
        <v>280</v>
      </c>
      <c r="K7134">
        <v>975.81</v>
      </c>
      <c r="L7134">
        <v>78.569999999999993</v>
      </c>
      <c r="M7134">
        <v>17915</v>
      </c>
      <c r="N7134" t="s">
        <v>305</v>
      </c>
      <c r="O7134">
        <v>251016</v>
      </c>
      <c r="P7134">
        <v>561.24</v>
      </c>
    </row>
    <row r="7135" spans="1:16" x14ac:dyDescent="0.25">
      <c r="A7135" t="s">
        <v>3296</v>
      </c>
      <c r="B7135" t="s">
        <v>2931</v>
      </c>
      <c r="C7135">
        <v>13704</v>
      </c>
      <c r="D7135" t="str">
        <f>"2560937103  "</f>
        <v xml:space="preserve">2560937103  </v>
      </c>
      <c r="E7135" t="s">
        <v>277</v>
      </c>
      <c r="F7135" t="s">
        <v>279</v>
      </c>
      <c r="G7135">
        <v>87.63</v>
      </c>
      <c r="H7135">
        <v>251006</v>
      </c>
      <c r="I7135">
        <v>4520</v>
      </c>
      <c r="J7135" t="s">
        <v>280</v>
      </c>
      <c r="K7135">
        <v>975.81</v>
      </c>
      <c r="L7135">
        <v>10.76</v>
      </c>
      <c r="M7135">
        <v>17982</v>
      </c>
      <c r="N7135" t="s">
        <v>281</v>
      </c>
      <c r="O7135">
        <v>251016</v>
      </c>
      <c r="P7135">
        <v>76.87</v>
      </c>
    </row>
    <row r="7136" spans="1:16" x14ac:dyDescent="0.25">
      <c r="A7136" t="s">
        <v>3296</v>
      </c>
      <c r="B7136" t="s">
        <v>2931</v>
      </c>
      <c r="C7136">
        <v>13706</v>
      </c>
      <c r="D7136" t="str">
        <f>"2560937098  "</f>
        <v xml:space="preserve">2560937098  </v>
      </c>
      <c r="E7136" t="s">
        <v>277</v>
      </c>
      <c r="F7136" t="s">
        <v>279</v>
      </c>
      <c r="G7136">
        <v>808.36</v>
      </c>
      <c r="H7136">
        <v>251006</v>
      </c>
      <c r="I7136">
        <v>4520</v>
      </c>
      <c r="J7136" t="s">
        <v>280</v>
      </c>
      <c r="K7136">
        <v>898.18</v>
      </c>
      <c r="L7136">
        <v>99.27</v>
      </c>
      <c r="M7136">
        <v>59114</v>
      </c>
      <c r="N7136" t="s">
        <v>299</v>
      </c>
      <c r="O7136">
        <v>251016</v>
      </c>
      <c r="P7136">
        <v>709.09</v>
      </c>
    </row>
    <row r="7137" spans="1:16" x14ac:dyDescent="0.25">
      <c r="A7137" t="s">
        <v>3296</v>
      </c>
      <c r="B7137" t="s">
        <v>2931</v>
      </c>
      <c r="C7137">
        <v>13706</v>
      </c>
      <c r="D7137" t="str">
        <f>"2560937098  "</f>
        <v xml:space="preserve">2560937098  </v>
      </c>
      <c r="E7137" t="s">
        <v>277</v>
      </c>
      <c r="F7137" t="s">
        <v>279</v>
      </c>
      <c r="G7137">
        <v>89.82</v>
      </c>
      <c r="H7137">
        <v>251006</v>
      </c>
      <c r="I7137">
        <v>4520</v>
      </c>
      <c r="J7137" t="s">
        <v>280</v>
      </c>
      <c r="K7137">
        <v>898.18</v>
      </c>
      <c r="L7137">
        <v>11.03</v>
      </c>
      <c r="M7137">
        <v>59808</v>
      </c>
      <c r="N7137" t="s">
        <v>699</v>
      </c>
      <c r="O7137">
        <v>251016</v>
      </c>
      <c r="P7137">
        <v>78.790000000000006</v>
      </c>
    </row>
    <row r="7138" spans="1:16" x14ac:dyDescent="0.25">
      <c r="A7138" t="s">
        <v>3296</v>
      </c>
      <c r="B7138" t="s">
        <v>2931</v>
      </c>
      <c r="C7138">
        <v>13780</v>
      </c>
      <c r="D7138" t="str">
        <f t="shared" ref="D7138:D7149" si="136">"2560925611  "</f>
        <v xml:space="preserve">2560925611  </v>
      </c>
      <c r="E7138" t="s">
        <v>277</v>
      </c>
      <c r="F7138" t="s">
        <v>279</v>
      </c>
      <c r="G7138">
        <v>12.46</v>
      </c>
      <c r="H7138">
        <v>251001</v>
      </c>
      <c r="I7138">
        <v>4520</v>
      </c>
      <c r="J7138" t="s">
        <v>280</v>
      </c>
      <c r="K7138">
        <v>5272.78</v>
      </c>
      <c r="L7138">
        <v>2.5299999999999998</v>
      </c>
      <c r="M7138">
        <v>14422</v>
      </c>
      <c r="N7138" t="s">
        <v>73</v>
      </c>
      <c r="O7138">
        <v>251020</v>
      </c>
      <c r="P7138">
        <v>9.93</v>
      </c>
    </row>
    <row r="7139" spans="1:16" x14ac:dyDescent="0.25">
      <c r="A7139" t="s">
        <v>3296</v>
      </c>
      <c r="B7139" t="s">
        <v>2931</v>
      </c>
      <c r="C7139">
        <v>13780</v>
      </c>
      <c r="D7139" t="str">
        <f t="shared" si="136"/>
        <v xml:space="preserve">2560925611  </v>
      </c>
      <c r="E7139" t="s">
        <v>277</v>
      </c>
      <c r="F7139" t="s">
        <v>279</v>
      </c>
      <c r="G7139">
        <v>40.270000000000003</v>
      </c>
      <c r="H7139">
        <v>251001</v>
      </c>
      <c r="I7139">
        <v>4520</v>
      </c>
      <c r="J7139" t="s">
        <v>280</v>
      </c>
      <c r="K7139">
        <v>5272.78</v>
      </c>
      <c r="L7139">
        <v>4.95</v>
      </c>
      <c r="M7139">
        <v>14422</v>
      </c>
      <c r="N7139" t="s">
        <v>73</v>
      </c>
      <c r="O7139">
        <v>251020</v>
      </c>
      <c r="P7139">
        <v>35.32</v>
      </c>
    </row>
    <row r="7140" spans="1:16" x14ac:dyDescent="0.25">
      <c r="A7140" t="s">
        <v>3296</v>
      </c>
      <c r="B7140" t="s">
        <v>2931</v>
      </c>
      <c r="C7140">
        <v>13780</v>
      </c>
      <c r="D7140" t="str">
        <f t="shared" si="136"/>
        <v xml:space="preserve">2560925611  </v>
      </c>
      <c r="E7140" t="s">
        <v>277</v>
      </c>
      <c r="F7140" t="s">
        <v>279</v>
      </c>
      <c r="G7140">
        <v>49.85</v>
      </c>
      <c r="H7140">
        <v>251001</v>
      </c>
      <c r="I7140">
        <v>4520</v>
      </c>
      <c r="J7140" t="s">
        <v>280</v>
      </c>
      <c r="K7140">
        <v>5272.78</v>
      </c>
      <c r="L7140">
        <v>10.130000000000001</v>
      </c>
      <c r="M7140">
        <v>14431</v>
      </c>
      <c r="N7140" t="s">
        <v>74</v>
      </c>
      <c r="O7140">
        <v>251020</v>
      </c>
      <c r="P7140">
        <v>39.72</v>
      </c>
    </row>
    <row r="7141" spans="1:16" x14ac:dyDescent="0.25">
      <c r="A7141" t="s">
        <v>3296</v>
      </c>
      <c r="B7141" t="s">
        <v>2931</v>
      </c>
      <c r="C7141">
        <v>13780</v>
      </c>
      <c r="D7141" t="str">
        <f t="shared" si="136"/>
        <v xml:space="preserve">2560925611  </v>
      </c>
      <c r="E7141" t="s">
        <v>277</v>
      </c>
      <c r="F7141" t="s">
        <v>279</v>
      </c>
      <c r="G7141">
        <v>161.06</v>
      </c>
      <c r="H7141">
        <v>251001</v>
      </c>
      <c r="I7141">
        <v>4520</v>
      </c>
      <c r="J7141" t="s">
        <v>280</v>
      </c>
      <c r="K7141">
        <v>5272.78</v>
      </c>
      <c r="L7141">
        <v>19.78</v>
      </c>
      <c r="M7141">
        <v>14431</v>
      </c>
      <c r="N7141" t="s">
        <v>74</v>
      </c>
      <c r="O7141">
        <v>251020</v>
      </c>
      <c r="P7141">
        <v>141.28</v>
      </c>
    </row>
    <row r="7142" spans="1:16" x14ac:dyDescent="0.25">
      <c r="A7142" t="s">
        <v>3296</v>
      </c>
      <c r="B7142" t="s">
        <v>2931</v>
      </c>
      <c r="C7142">
        <v>13780</v>
      </c>
      <c r="D7142" t="str">
        <f t="shared" si="136"/>
        <v xml:space="preserve">2560925611  </v>
      </c>
      <c r="E7142" t="s">
        <v>277</v>
      </c>
      <c r="F7142" t="s">
        <v>279</v>
      </c>
      <c r="G7142">
        <v>211.87</v>
      </c>
      <c r="H7142">
        <v>251001</v>
      </c>
      <c r="I7142">
        <v>4520</v>
      </c>
      <c r="J7142" t="s">
        <v>280</v>
      </c>
      <c r="K7142">
        <v>5272.78</v>
      </c>
      <c r="L7142">
        <v>43.05</v>
      </c>
      <c r="M7142">
        <v>14432</v>
      </c>
      <c r="N7142" t="s">
        <v>75</v>
      </c>
      <c r="O7142">
        <v>251020</v>
      </c>
      <c r="P7142">
        <v>168.82</v>
      </c>
    </row>
    <row r="7143" spans="1:16" x14ac:dyDescent="0.25">
      <c r="A7143" t="s">
        <v>3296</v>
      </c>
      <c r="B7143" t="s">
        <v>2931</v>
      </c>
      <c r="C7143">
        <v>13780</v>
      </c>
      <c r="D7143" t="str">
        <f t="shared" si="136"/>
        <v xml:space="preserve">2560925611  </v>
      </c>
      <c r="E7143" t="s">
        <v>277</v>
      </c>
      <c r="F7143" t="s">
        <v>279</v>
      </c>
      <c r="G7143">
        <v>684.51</v>
      </c>
      <c r="H7143">
        <v>251001</v>
      </c>
      <c r="I7143">
        <v>4520</v>
      </c>
      <c r="J7143" t="s">
        <v>280</v>
      </c>
      <c r="K7143">
        <v>5272.78</v>
      </c>
      <c r="L7143">
        <v>84.06</v>
      </c>
      <c r="M7143">
        <v>14432</v>
      </c>
      <c r="N7143" t="s">
        <v>75</v>
      </c>
      <c r="O7143">
        <v>251020</v>
      </c>
      <c r="P7143">
        <v>600.45000000000005</v>
      </c>
    </row>
    <row r="7144" spans="1:16" x14ac:dyDescent="0.25">
      <c r="A7144" t="s">
        <v>3296</v>
      </c>
      <c r="B7144" t="s">
        <v>2931</v>
      </c>
      <c r="C7144">
        <v>13780</v>
      </c>
      <c r="D7144" t="str">
        <f t="shared" si="136"/>
        <v xml:space="preserve">2560925611  </v>
      </c>
      <c r="E7144" t="s">
        <v>277</v>
      </c>
      <c r="F7144" t="s">
        <v>279</v>
      </c>
      <c r="G7144">
        <v>12.46</v>
      </c>
      <c r="H7144">
        <v>251001</v>
      </c>
      <c r="I7144">
        <v>4520</v>
      </c>
      <c r="J7144" t="s">
        <v>280</v>
      </c>
      <c r="K7144">
        <v>5272.78</v>
      </c>
      <c r="L7144">
        <v>2.5299999999999998</v>
      </c>
      <c r="M7144">
        <v>14640</v>
      </c>
      <c r="N7144" t="s">
        <v>78</v>
      </c>
      <c r="O7144">
        <v>251020</v>
      </c>
      <c r="P7144">
        <v>9.93</v>
      </c>
    </row>
    <row r="7145" spans="1:16" x14ac:dyDescent="0.25">
      <c r="A7145" t="s">
        <v>3296</v>
      </c>
      <c r="B7145" t="s">
        <v>2931</v>
      </c>
      <c r="C7145">
        <v>13780</v>
      </c>
      <c r="D7145" t="str">
        <f t="shared" si="136"/>
        <v xml:space="preserve">2560925611  </v>
      </c>
      <c r="E7145" t="s">
        <v>277</v>
      </c>
      <c r="F7145" t="s">
        <v>279</v>
      </c>
      <c r="G7145">
        <v>40.26</v>
      </c>
      <c r="H7145">
        <v>251001</v>
      </c>
      <c r="I7145">
        <v>4520</v>
      </c>
      <c r="J7145" t="s">
        <v>280</v>
      </c>
      <c r="K7145">
        <v>5272.78</v>
      </c>
      <c r="L7145">
        <v>4.9400000000000004</v>
      </c>
      <c r="M7145">
        <v>14640</v>
      </c>
      <c r="N7145" t="s">
        <v>78</v>
      </c>
      <c r="O7145">
        <v>251020</v>
      </c>
      <c r="P7145">
        <v>35.32</v>
      </c>
    </row>
    <row r="7146" spans="1:16" x14ac:dyDescent="0.25">
      <c r="A7146" t="s">
        <v>3296</v>
      </c>
      <c r="B7146" t="s">
        <v>2931</v>
      </c>
      <c r="C7146">
        <v>13780</v>
      </c>
      <c r="D7146" t="str">
        <f t="shared" si="136"/>
        <v xml:space="preserve">2560925611  </v>
      </c>
      <c r="E7146" t="s">
        <v>277</v>
      </c>
      <c r="F7146" t="s">
        <v>279</v>
      </c>
      <c r="G7146">
        <v>49.85</v>
      </c>
      <c r="H7146">
        <v>251001</v>
      </c>
      <c r="I7146">
        <v>4520</v>
      </c>
      <c r="J7146" t="s">
        <v>280</v>
      </c>
      <c r="K7146">
        <v>5272.78</v>
      </c>
      <c r="L7146">
        <v>10.130000000000001</v>
      </c>
      <c r="M7146">
        <v>14642</v>
      </c>
      <c r="N7146" t="s">
        <v>283</v>
      </c>
      <c r="O7146">
        <v>251020</v>
      </c>
      <c r="P7146">
        <v>39.72</v>
      </c>
    </row>
    <row r="7147" spans="1:16" x14ac:dyDescent="0.25">
      <c r="A7147" t="s">
        <v>3296</v>
      </c>
      <c r="B7147" t="s">
        <v>2931</v>
      </c>
      <c r="C7147">
        <v>13780</v>
      </c>
      <c r="D7147" t="str">
        <f t="shared" si="136"/>
        <v xml:space="preserve">2560925611  </v>
      </c>
      <c r="E7147" t="s">
        <v>277</v>
      </c>
      <c r="F7147" t="s">
        <v>279</v>
      </c>
      <c r="G7147">
        <v>161.06</v>
      </c>
      <c r="H7147">
        <v>251001</v>
      </c>
      <c r="I7147">
        <v>4520</v>
      </c>
      <c r="J7147" t="s">
        <v>280</v>
      </c>
      <c r="K7147">
        <v>5272.78</v>
      </c>
      <c r="L7147">
        <v>19.78</v>
      </c>
      <c r="M7147">
        <v>14642</v>
      </c>
      <c r="N7147" t="s">
        <v>283</v>
      </c>
      <c r="O7147">
        <v>251020</v>
      </c>
      <c r="P7147">
        <v>141.28</v>
      </c>
    </row>
    <row r="7148" spans="1:16" x14ac:dyDescent="0.25">
      <c r="A7148" t="s">
        <v>3296</v>
      </c>
      <c r="B7148" t="s">
        <v>2931</v>
      </c>
      <c r="C7148">
        <v>13780</v>
      </c>
      <c r="D7148" t="str">
        <f t="shared" si="136"/>
        <v xml:space="preserve">2560925611  </v>
      </c>
      <c r="E7148" t="s">
        <v>277</v>
      </c>
      <c r="F7148" t="s">
        <v>279</v>
      </c>
      <c r="G7148">
        <v>909.78</v>
      </c>
      <c r="H7148">
        <v>251001</v>
      </c>
      <c r="I7148">
        <v>4520</v>
      </c>
      <c r="J7148" t="s">
        <v>280</v>
      </c>
      <c r="K7148">
        <v>5272.78</v>
      </c>
      <c r="L7148">
        <v>184.86</v>
      </c>
      <c r="M7148">
        <v>14912</v>
      </c>
      <c r="N7148" t="s">
        <v>80</v>
      </c>
      <c r="O7148">
        <v>251020</v>
      </c>
      <c r="P7148">
        <v>724.92</v>
      </c>
    </row>
    <row r="7149" spans="1:16" x14ac:dyDescent="0.25">
      <c r="A7149" t="s">
        <v>3296</v>
      </c>
      <c r="B7149" t="s">
        <v>2931</v>
      </c>
      <c r="C7149">
        <v>13780</v>
      </c>
      <c r="D7149" t="str">
        <f t="shared" si="136"/>
        <v xml:space="preserve">2560925611  </v>
      </c>
      <c r="E7149" t="s">
        <v>277</v>
      </c>
      <c r="F7149" t="s">
        <v>279</v>
      </c>
      <c r="G7149">
        <v>2939.35</v>
      </c>
      <c r="H7149">
        <v>251001</v>
      </c>
      <c r="I7149">
        <v>4520</v>
      </c>
      <c r="J7149" t="s">
        <v>280</v>
      </c>
      <c r="K7149">
        <v>5272.78</v>
      </c>
      <c r="L7149">
        <v>360.97</v>
      </c>
      <c r="M7149">
        <v>14912</v>
      </c>
      <c r="N7149" t="s">
        <v>80</v>
      </c>
      <c r="O7149">
        <v>251020</v>
      </c>
      <c r="P7149">
        <v>2578.38</v>
      </c>
    </row>
    <row r="7150" spans="1:16" x14ac:dyDescent="0.25">
      <c r="A7150" t="s">
        <v>3296</v>
      </c>
      <c r="B7150" t="s">
        <v>2931</v>
      </c>
      <c r="C7150">
        <v>13783</v>
      </c>
      <c r="D7150" t="str">
        <f t="shared" ref="D7150:D7161" si="137">"2560937106  "</f>
        <v xml:space="preserve">2560937106  </v>
      </c>
      <c r="E7150" t="s">
        <v>277</v>
      </c>
      <c r="F7150" t="s">
        <v>279</v>
      </c>
      <c r="G7150">
        <v>2.0099999999999998</v>
      </c>
      <c r="H7150">
        <v>251006</v>
      </c>
      <c r="I7150">
        <v>4520</v>
      </c>
      <c r="J7150" t="s">
        <v>280</v>
      </c>
      <c r="K7150">
        <v>2831.68</v>
      </c>
      <c r="L7150">
        <v>0.41</v>
      </c>
      <c r="M7150">
        <v>14331</v>
      </c>
      <c r="N7150" t="s">
        <v>1143</v>
      </c>
      <c r="O7150">
        <v>251020</v>
      </c>
      <c r="P7150">
        <v>1.6</v>
      </c>
    </row>
    <row r="7151" spans="1:16" x14ac:dyDescent="0.25">
      <c r="A7151" t="s">
        <v>3296</v>
      </c>
      <c r="B7151" t="s">
        <v>2931</v>
      </c>
      <c r="C7151">
        <v>13783</v>
      </c>
      <c r="D7151" t="str">
        <f t="shared" si="137"/>
        <v xml:space="preserve">2560937106  </v>
      </c>
      <c r="E7151" t="s">
        <v>277</v>
      </c>
      <c r="F7151" t="s">
        <v>279</v>
      </c>
      <c r="G7151">
        <v>0.5</v>
      </c>
      <c r="H7151">
        <v>251006</v>
      </c>
      <c r="I7151">
        <v>4520</v>
      </c>
      <c r="J7151" t="s">
        <v>280</v>
      </c>
      <c r="K7151">
        <v>2831.68</v>
      </c>
      <c r="L7151">
        <v>0.1</v>
      </c>
      <c r="M7151">
        <v>14422</v>
      </c>
      <c r="N7151" t="s">
        <v>73</v>
      </c>
      <c r="O7151">
        <v>251020</v>
      </c>
      <c r="P7151">
        <v>0.4</v>
      </c>
    </row>
    <row r="7152" spans="1:16" x14ac:dyDescent="0.25">
      <c r="A7152" t="s">
        <v>3296</v>
      </c>
      <c r="B7152" t="s">
        <v>2931</v>
      </c>
      <c r="C7152">
        <v>13783</v>
      </c>
      <c r="D7152" t="str">
        <f t="shared" si="137"/>
        <v xml:space="preserve">2560937106  </v>
      </c>
      <c r="E7152" t="s">
        <v>277</v>
      </c>
      <c r="F7152" t="s">
        <v>279</v>
      </c>
      <c r="G7152">
        <v>27.81</v>
      </c>
      <c r="H7152">
        <v>251006</v>
      </c>
      <c r="I7152">
        <v>4520</v>
      </c>
      <c r="J7152" t="s">
        <v>280</v>
      </c>
      <c r="K7152">
        <v>2831.68</v>
      </c>
      <c r="L7152">
        <v>3.42</v>
      </c>
      <c r="M7152">
        <v>14422</v>
      </c>
      <c r="N7152" t="s">
        <v>73</v>
      </c>
      <c r="O7152">
        <v>251020</v>
      </c>
      <c r="P7152">
        <v>24.39</v>
      </c>
    </row>
    <row r="7153" spans="1:16" x14ac:dyDescent="0.25">
      <c r="A7153" t="s">
        <v>3296</v>
      </c>
      <c r="B7153" t="s">
        <v>2931</v>
      </c>
      <c r="C7153">
        <v>13783</v>
      </c>
      <c r="D7153" t="str">
        <f t="shared" si="137"/>
        <v xml:space="preserve">2560937106  </v>
      </c>
      <c r="E7153" t="s">
        <v>277</v>
      </c>
      <c r="F7153" t="s">
        <v>279</v>
      </c>
      <c r="G7153">
        <v>111.26</v>
      </c>
      <c r="H7153">
        <v>251006</v>
      </c>
      <c r="I7153">
        <v>4520</v>
      </c>
      <c r="J7153" t="s">
        <v>280</v>
      </c>
      <c r="K7153">
        <v>2831.68</v>
      </c>
      <c r="L7153">
        <v>13.66</v>
      </c>
      <c r="M7153">
        <v>14431</v>
      </c>
      <c r="N7153" t="s">
        <v>74</v>
      </c>
      <c r="O7153">
        <v>251020</v>
      </c>
      <c r="P7153">
        <v>97.6</v>
      </c>
    </row>
    <row r="7154" spans="1:16" x14ac:dyDescent="0.25">
      <c r="A7154" t="s">
        <v>3296</v>
      </c>
      <c r="B7154" t="s">
        <v>2931</v>
      </c>
      <c r="C7154">
        <v>13783</v>
      </c>
      <c r="D7154" t="str">
        <f t="shared" si="137"/>
        <v xml:space="preserve">2560937106  </v>
      </c>
      <c r="E7154" t="s">
        <v>277</v>
      </c>
      <c r="F7154" t="s">
        <v>279</v>
      </c>
      <c r="G7154">
        <v>8.5500000000000007</v>
      </c>
      <c r="H7154">
        <v>251006</v>
      </c>
      <c r="I7154">
        <v>4520</v>
      </c>
      <c r="J7154" t="s">
        <v>280</v>
      </c>
      <c r="K7154">
        <v>2831.68</v>
      </c>
      <c r="L7154">
        <v>1.74</v>
      </c>
      <c r="M7154">
        <v>14432</v>
      </c>
      <c r="N7154" t="s">
        <v>75</v>
      </c>
      <c r="O7154">
        <v>251020</v>
      </c>
      <c r="P7154">
        <v>6.81</v>
      </c>
    </row>
    <row r="7155" spans="1:16" x14ac:dyDescent="0.25">
      <c r="A7155" t="s">
        <v>3296</v>
      </c>
      <c r="B7155" t="s">
        <v>2931</v>
      </c>
      <c r="C7155">
        <v>13783</v>
      </c>
      <c r="D7155" t="str">
        <f t="shared" si="137"/>
        <v xml:space="preserve">2560937106  </v>
      </c>
      <c r="E7155" t="s">
        <v>277</v>
      </c>
      <c r="F7155" t="s">
        <v>279</v>
      </c>
      <c r="G7155">
        <v>472.84</v>
      </c>
      <c r="H7155">
        <v>251006</v>
      </c>
      <c r="I7155">
        <v>4520</v>
      </c>
      <c r="J7155" t="s">
        <v>280</v>
      </c>
      <c r="K7155">
        <v>2831.68</v>
      </c>
      <c r="L7155">
        <v>58.07</v>
      </c>
      <c r="M7155">
        <v>14432</v>
      </c>
      <c r="N7155" t="s">
        <v>75</v>
      </c>
      <c r="O7155">
        <v>251020</v>
      </c>
      <c r="P7155">
        <v>414.77</v>
      </c>
    </row>
    <row r="7156" spans="1:16" x14ac:dyDescent="0.25">
      <c r="A7156" t="s">
        <v>3296</v>
      </c>
      <c r="B7156" t="s">
        <v>2931</v>
      </c>
      <c r="C7156">
        <v>13783</v>
      </c>
      <c r="D7156" t="str">
        <f t="shared" si="137"/>
        <v xml:space="preserve">2560937106  </v>
      </c>
      <c r="E7156" t="s">
        <v>277</v>
      </c>
      <c r="F7156" t="s">
        <v>279</v>
      </c>
      <c r="G7156">
        <v>0.51</v>
      </c>
      <c r="H7156">
        <v>251006</v>
      </c>
      <c r="I7156">
        <v>4520</v>
      </c>
      <c r="J7156" t="s">
        <v>280</v>
      </c>
      <c r="K7156">
        <v>2831.68</v>
      </c>
      <c r="L7156">
        <v>0.1</v>
      </c>
      <c r="M7156">
        <v>14640</v>
      </c>
      <c r="N7156" t="s">
        <v>78</v>
      </c>
      <c r="O7156">
        <v>251020</v>
      </c>
      <c r="P7156">
        <v>0.41</v>
      </c>
    </row>
    <row r="7157" spans="1:16" x14ac:dyDescent="0.25">
      <c r="A7157" t="s">
        <v>3296</v>
      </c>
      <c r="B7157" t="s">
        <v>2931</v>
      </c>
      <c r="C7157">
        <v>13783</v>
      </c>
      <c r="D7157" t="str">
        <f t="shared" si="137"/>
        <v xml:space="preserve">2560937106  </v>
      </c>
      <c r="E7157" t="s">
        <v>277</v>
      </c>
      <c r="F7157" t="s">
        <v>279</v>
      </c>
      <c r="G7157">
        <v>27.81</v>
      </c>
      <c r="H7157">
        <v>251006</v>
      </c>
      <c r="I7157">
        <v>4520</v>
      </c>
      <c r="J7157" t="s">
        <v>280</v>
      </c>
      <c r="K7157">
        <v>2831.68</v>
      </c>
      <c r="L7157">
        <v>3.42</v>
      </c>
      <c r="M7157">
        <v>14640</v>
      </c>
      <c r="N7157" t="s">
        <v>78</v>
      </c>
      <c r="O7157">
        <v>251020</v>
      </c>
      <c r="P7157">
        <v>24.39</v>
      </c>
    </row>
    <row r="7158" spans="1:16" x14ac:dyDescent="0.25">
      <c r="A7158" t="s">
        <v>3296</v>
      </c>
      <c r="B7158" t="s">
        <v>2931</v>
      </c>
      <c r="C7158">
        <v>13783</v>
      </c>
      <c r="D7158" t="str">
        <f t="shared" si="137"/>
        <v xml:space="preserve">2560937106  </v>
      </c>
      <c r="E7158" t="s">
        <v>277</v>
      </c>
      <c r="F7158" t="s">
        <v>279</v>
      </c>
      <c r="G7158">
        <v>2.0099999999999998</v>
      </c>
      <c r="H7158">
        <v>251006</v>
      </c>
      <c r="I7158">
        <v>4520</v>
      </c>
      <c r="J7158" t="s">
        <v>280</v>
      </c>
      <c r="K7158">
        <v>2831.68</v>
      </c>
      <c r="L7158">
        <v>0.41</v>
      </c>
      <c r="M7158">
        <v>14642</v>
      </c>
      <c r="N7158" t="s">
        <v>283</v>
      </c>
      <c r="O7158">
        <v>251020</v>
      </c>
      <c r="P7158">
        <v>1.6</v>
      </c>
    </row>
    <row r="7159" spans="1:16" x14ac:dyDescent="0.25">
      <c r="A7159" t="s">
        <v>3296</v>
      </c>
      <c r="B7159" t="s">
        <v>2931</v>
      </c>
      <c r="C7159">
        <v>13783</v>
      </c>
      <c r="D7159" t="str">
        <f t="shared" si="137"/>
        <v xml:space="preserve">2560937106  </v>
      </c>
      <c r="E7159" t="s">
        <v>277</v>
      </c>
      <c r="F7159" t="s">
        <v>279</v>
      </c>
      <c r="G7159">
        <v>111.26</v>
      </c>
      <c r="H7159">
        <v>251006</v>
      </c>
      <c r="I7159">
        <v>4520</v>
      </c>
      <c r="J7159" t="s">
        <v>280</v>
      </c>
      <c r="K7159">
        <v>2831.68</v>
      </c>
      <c r="L7159">
        <v>13.66</v>
      </c>
      <c r="M7159">
        <v>14642</v>
      </c>
      <c r="N7159" t="s">
        <v>283</v>
      </c>
      <c r="O7159">
        <v>251020</v>
      </c>
      <c r="P7159">
        <v>97.6</v>
      </c>
    </row>
    <row r="7160" spans="1:16" x14ac:dyDescent="0.25">
      <c r="A7160" t="s">
        <v>3296</v>
      </c>
      <c r="B7160" t="s">
        <v>2931</v>
      </c>
      <c r="C7160">
        <v>13783</v>
      </c>
      <c r="D7160" t="str">
        <f t="shared" si="137"/>
        <v xml:space="preserve">2560937106  </v>
      </c>
      <c r="E7160" t="s">
        <v>277</v>
      </c>
      <c r="F7160" t="s">
        <v>279</v>
      </c>
      <c r="G7160">
        <v>36.71</v>
      </c>
      <c r="H7160">
        <v>251006</v>
      </c>
      <c r="I7160">
        <v>4520</v>
      </c>
      <c r="J7160" t="s">
        <v>280</v>
      </c>
      <c r="K7160">
        <v>2831.68</v>
      </c>
      <c r="L7160">
        <v>7.46</v>
      </c>
      <c r="M7160">
        <v>14912</v>
      </c>
      <c r="N7160" t="s">
        <v>80</v>
      </c>
      <c r="O7160">
        <v>251020</v>
      </c>
      <c r="P7160">
        <v>29.25</v>
      </c>
    </row>
    <row r="7161" spans="1:16" x14ac:dyDescent="0.25">
      <c r="A7161" t="s">
        <v>3296</v>
      </c>
      <c r="B7161" t="s">
        <v>2931</v>
      </c>
      <c r="C7161">
        <v>13783</v>
      </c>
      <c r="D7161" t="str">
        <f t="shared" si="137"/>
        <v xml:space="preserve">2560937106  </v>
      </c>
      <c r="E7161" t="s">
        <v>277</v>
      </c>
      <c r="F7161" t="s">
        <v>279</v>
      </c>
      <c r="G7161">
        <v>2030.41</v>
      </c>
      <c r="H7161">
        <v>251006</v>
      </c>
      <c r="I7161">
        <v>4520</v>
      </c>
      <c r="J7161" t="s">
        <v>280</v>
      </c>
      <c r="K7161">
        <v>2831.68</v>
      </c>
      <c r="L7161">
        <v>249.35</v>
      </c>
      <c r="M7161">
        <v>14912</v>
      </c>
      <c r="N7161" t="s">
        <v>80</v>
      </c>
      <c r="O7161">
        <v>251020</v>
      </c>
      <c r="P7161">
        <v>1781.06</v>
      </c>
    </row>
    <row r="7162" spans="1:16" x14ac:dyDescent="0.25">
      <c r="A7162" t="s">
        <v>3296</v>
      </c>
      <c r="B7162" t="s">
        <v>2931</v>
      </c>
      <c r="C7162">
        <v>13797</v>
      </c>
      <c r="D7162" t="str">
        <f>"2560952094  "</f>
        <v xml:space="preserve">2560952094  </v>
      </c>
      <c r="E7162" t="s">
        <v>277</v>
      </c>
      <c r="F7162" t="s">
        <v>279</v>
      </c>
      <c r="G7162">
        <v>672.49</v>
      </c>
      <c r="H7162">
        <v>251013</v>
      </c>
      <c r="I7162">
        <v>4520</v>
      </c>
      <c r="J7162" t="s">
        <v>280</v>
      </c>
      <c r="K7162">
        <v>685.07</v>
      </c>
      <c r="L7162">
        <v>82.59</v>
      </c>
      <c r="M7162">
        <v>49112</v>
      </c>
      <c r="N7162" t="s">
        <v>109</v>
      </c>
      <c r="O7162">
        <v>251020</v>
      </c>
      <c r="P7162">
        <v>589.9</v>
      </c>
    </row>
    <row r="7163" spans="1:16" x14ac:dyDescent="0.25">
      <c r="A7163" t="s">
        <v>3296</v>
      </c>
      <c r="B7163" t="s">
        <v>2931</v>
      </c>
      <c r="C7163">
        <v>13801</v>
      </c>
      <c r="D7163" t="str">
        <f>"2560952092  "</f>
        <v xml:space="preserve">2560952092  </v>
      </c>
      <c r="E7163" t="s">
        <v>277</v>
      </c>
      <c r="F7163" t="s">
        <v>279</v>
      </c>
      <c r="G7163">
        <v>1166.6099999999999</v>
      </c>
      <c r="H7163">
        <v>251013</v>
      </c>
      <c r="I7163">
        <v>4520</v>
      </c>
      <c r="J7163" t="s">
        <v>280</v>
      </c>
      <c r="K7163">
        <v>1334.86</v>
      </c>
      <c r="L7163">
        <v>143.27000000000001</v>
      </c>
      <c r="M7163">
        <v>59113</v>
      </c>
      <c r="N7163" t="s">
        <v>61</v>
      </c>
      <c r="O7163">
        <v>251020</v>
      </c>
      <c r="P7163">
        <v>1023.34</v>
      </c>
    </row>
    <row r="7164" spans="1:16" x14ac:dyDescent="0.25">
      <c r="A7164" t="s">
        <v>3296</v>
      </c>
      <c r="B7164" t="s">
        <v>2931</v>
      </c>
      <c r="C7164">
        <v>13801</v>
      </c>
      <c r="D7164" t="str">
        <f>"2560952092  "</f>
        <v xml:space="preserve">2560952092  </v>
      </c>
      <c r="E7164" t="s">
        <v>277</v>
      </c>
      <c r="F7164" t="s">
        <v>279</v>
      </c>
      <c r="G7164">
        <v>205.87</v>
      </c>
      <c r="H7164">
        <v>251013</v>
      </c>
      <c r="I7164">
        <v>4520</v>
      </c>
      <c r="J7164" t="s">
        <v>280</v>
      </c>
      <c r="K7164">
        <v>1334.86</v>
      </c>
      <c r="L7164">
        <v>25.28</v>
      </c>
      <c r="M7164">
        <v>59803</v>
      </c>
      <c r="N7164" t="s">
        <v>282</v>
      </c>
      <c r="O7164">
        <v>251020</v>
      </c>
      <c r="P7164">
        <v>180.59</v>
      </c>
    </row>
    <row r="7165" spans="1:16" x14ac:dyDescent="0.25">
      <c r="A7165" t="s">
        <v>3296</v>
      </c>
      <c r="B7165" t="s">
        <v>2931</v>
      </c>
      <c r="C7165">
        <v>13804</v>
      </c>
      <c r="D7165" t="str">
        <f>"2560952090  "</f>
        <v xml:space="preserve">2560952090  </v>
      </c>
      <c r="E7165" t="s">
        <v>277</v>
      </c>
      <c r="F7165" t="s">
        <v>279</v>
      </c>
      <c r="G7165">
        <v>20.98</v>
      </c>
      <c r="H7165">
        <v>251013</v>
      </c>
      <c r="I7165">
        <v>4520</v>
      </c>
      <c r="J7165" t="s">
        <v>280</v>
      </c>
      <c r="K7165">
        <v>20.98</v>
      </c>
      <c r="L7165">
        <v>2.58</v>
      </c>
      <c r="M7165">
        <v>59114</v>
      </c>
      <c r="N7165" t="s">
        <v>299</v>
      </c>
      <c r="O7165">
        <v>251020</v>
      </c>
      <c r="P7165">
        <v>18.399999999999999</v>
      </c>
    </row>
    <row r="7166" spans="1:16" x14ac:dyDescent="0.25">
      <c r="A7166" t="s">
        <v>3296</v>
      </c>
      <c r="B7166" t="s">
        <v>2931</v>
      </c>
      <c r="C7166">
        <v>13831</v>
      </c>
      <c r="D7166" t="str">
        <f>"2560952091  "</f>
        <v xml:space="preserve">2560952091  </v>
      </c>
      <c r="E7166" t="s">
        <v>277</v>
      </c>
      <c r="F7166" t="s">
        <v>279</v>
      </c>
      <c r="G7166">
        <v>516.19000000000005</v>
      </c>
      <c r="H7166">
        <v>251013</v>
      </c>
      <c r="I7166">
        <v>4520</v>
      </c>
      <c r="J7166" t="s">
        <v>280</v>
      </c>
      <c r="K7166">
        <v>528.77</v>
      </c>
      <c r="L7166">
        <v>63.39</v>
      </c>
      <c r="M7166">
        <v>54451</v>
      </c>
      <c r="N7166" t="s">
        <v>218</v>
      </c>
      <c r="O7166">
        <v>251020</v>
      </c>
      <c r="P7166">
        <v>452.8</v>
      </c>
    </row>
    <row r="7167" spans="1:16" x14ac:dyDescent="0.25">
      <c r="A7167" t="s">
        <v>3296</v>
      </c>
      <c r="B7167" t="s">
        <v>2931</v>
      </c>
      <c r="C7167">
        <v>13834</v>
      </c>
      <c r="D7167" t="str">
        <f>"2560952098  "</f>
        <v xml:space="preserve">2560952098  </v>
      </c>
      <c r="E7167" t="s">
        <v>277</v>
      </c>
      <c r="F7167" t="s">
        <v>279</v>
      </c>
      <c r="G7167">
        <v>1139.5899999999999</v>
      </c>
      <c r="H7167">
        <v>251013</v>
      </c>
      <c r="I7167">
        <v>4520</v>
      </c>
      <c r="J7167" t="s">
        <v>280</v>
      </c>
      <c r="K7167">
        <v>1293.53</v>
      </c>
      <c r="L7167">
        <v>139.94999999999999</v>
      </c>
      <c r="M7167">
        <v>69112</v>
      </c>
      <c r="N7167" t="s">
        <v>227</v>
      </c>
      <c r="O7167">
        <v>251020</v>
      </c>
      <c r="P7167">
        <v>999.64</v>
      </c>
    </row>
    <row r="7168" spans="1:16" x14ac:dyDescent="0.25">
      <c r="A7168" t="s">
        <v>3296</v>
      </c>
      <c r="B7168" t="s">
        <v>2931</v>
      </c>
      <c r="C7168">
        <v>13834</v>
      </c>
      <c r="D7168" t="str">
        <f>"2560952098  "</f>
        <v xml:space="preserve">2560952098  </v>
      </c>
      <c r="E7168" t="s">
        <v>277</v>
      </c>
      <c r="F7168" t="s">
        <v>279</v>
      </c>
      <c r="G7168">
        <v>63.31</v>
      </c>
      <c r="H7168">
        <v>251013</v>
      </c>
      <c r="I7168">
        <v>4520</v>
      </c>
      <c r="J7168" t="s">
        <v>280</v>
      </c>
      <c r="K7168">
        <v>1293.53</v>
      </c>
      <c r="L7168">
        <v>7.77</v>
      </c>
      <c r="M7168">
        <v>69810</v>
      </c>
      <c r="N7168" t="s">
        <v>229</v>
      </c>
      <c r="O7168">
        <v>251020</v>
      </c>
      <c r="P7168">
        <v>55.54</v>
      </c>
    </row>
    <row r="7169" spans="1:16" x14ac:dyDescent="0.25">
      <c r="A7169" t="s">
        <v>3296</v>
      </c>
      <c r="B7169" t="s">
        <v>2931</v>
      </c>
      <c r="C7169">
        <v>13834</v>
      </c>
      <c r="D7169" t="str">
        <f>"2560952098  "</f>
        <v xml:space="preserve">2560952098  </v>
      </c>
      <c r="E7169" t="s">
        <v>277</v>
      </c>
      <c r="F7169" t="s">
        <v>279</v>
      </c>
      <c r="G7169">
        <v>63.31</v>
      </c>
      <c r="H7169">
        <v>251013</v>
      </c>
      <c r="I7169">
        <v>4520</v>
      </c>
      <c r="J7169" t="s">
        <v>280</v>
      </c>
      <c r="K7169">
        <v>1293.53</v>
      </c>
      <c r="L7169">
        <v>7.77</v>
      </c>
      <c r="M7169">
        <v>69811</v>
      </c>
      <c r="N7169" t="s">
        <v>230</v>
      </c>
      <c r="O7169">
        <v>251020</v>
      </c>
      <c r="P7169">
        <v>55.54</v>
      </c>
    </row>
    <row r="7170" spans="1:16" x14ac:dyDescent="0.25">
      <c r="A7170" t="s">
        <v>3296</v>
      </c>
      <c r="B7170" t="s">
        <v>2931</v>
      </c>
      <c r="C7170">
        <v>13841</v>
      </c>
      <c r="D7170" t="str">
        <f>"2560952096  "</f>
        <v xml:space="preserve">2560952096  </v>
      </c>
      <c r="E7170" t="s">
        <v>277</v>
      </c>
      <c r="F7170" t="s">
        <v>279</v>
      </c>
      <c r="G7170">
        <v>135.77000000000001</v>
      </c>
      <c r="H7170">
        <v>251013</v>
      </c>
      <c r="I7170">
        <v>4520</v>
      </c>
      <c r="J7170" t="s">
        <v>280</v>
      </c>
      <c r="K7170">
        <v>1889.65</v>
      </c>
      <c r="L7170">
        <v>27.59</v>
      </c>
      <c r="M7170">
        <v>16431</v>
      </c>
      <c r="N7170" t="s">
        <v>17</v>
      </c>
      <c r="O7170">
        <v>251020</v>
      </c>
      <c r="P7170">
        <v>108.18</v>
      </c>
    </row>
    <row r="7171" spans="1:16" x14ac:dyDescent="0.25">
      <c r="A7171" t="s">
        <v>3296</v>
      </c>
      <c r="B7171" t="s">
        <v>2931</v>
      </c>
      <c r="C7171">
        <v>13841</v>
      </c>
      <c r="D7171" t="str">
        <f>"2560952096  "</f>
        <v xml:space="preserve">2560952096  </v>
      </c>
      <c r="E7171" t="s">
        <v>277</v>
      </c>
      <c r="F7171" t="s">
        <v>279</v>
      </c>
      <c r="G7171">
        <v>1578.48</v>
      </c>
      <c r="H7171">
        <v>251013</v>
      </c>
      <c r="I7171">
        <v>4520</v>
      </c>
      <c r="J7171" t="s">
        <v>280</v>
      </c>
      <c r="K7171">
        <v>1889.65</v>
      </c>
      <c r="L7171">
        <v>193.85</v>
      </c>
      <c r="M7171">
        <v>17913</v>
      </c>
      <c r="N7171" t="s">
        <v>26</v>
      </c>
      <c r="O7171">
        <v>251020</v>
      </c>
      <c r="P7171">
        <v>1384.63</v>
      </c>
    </row>
    <row r="7172" spans="1:16" x14ac:dyDescent="0.25">
      <c r="A7172" t="s">
        <v>3296</v>
      </c>
      <c r="B7172" t="s">
        <v>2931</v>
      </c>
      <c r="C7172">
        <v>13841</v>
      </c>
      <c r="D7172" t="str">
        <f>"2560952096  "</f>
        <v xml:space="preserve">2560952096  </v>
      </c>
      <c r="E7172" t="s">
        <v>277</v>
      </c>
      <c r="F7172" t="s">
        <v>279</v>
      </c>
      <c r="G7172">
        <v>175.4</v>
      </c>
      <c r="H7172">
        <v>251013</v>
      </c>
      <c r="I7172">
        <v>4520</v>
      </c>
      <c r="J7172" t="s">
        <v>280</v>
      </c>
      <c r="K7172">
        <v>1889.65</v>
      </c>
      <c r="L7172">
        <v>21.54</v>
      </c>
      <c r="M7172">
        <v>17982</v>
      </c>
      <c r="N7172" t="s">
        <v>281</v>
      </c>
      <c r="O7172">
        <v>251020</v>
      </c>
      <c r="P7172">
        <v>153.86000000000001</v>
      </c>
    </row>
    <row r="7173" spans="1:16" x14ac:dyDescent="0.25">
      <c r="A7173" t="s">
        <v>3296</v>
      </c>
      <c r="B7173" t="s">
        <v>2931</v>
      </c>
      <c r="C7173">
        <v>13951</v>
      </c>
      <c r="D7173" t="str">
        <f>"2560952093  "</f>
        <v xml:space="preserve">2560952093  </v>
      </c>
      <c r="E7173" t="s">
        <v>277</v>
      </c>
      <c r="F7173" t="s">
        <v>279</v>
      </c>
      <c r="G7173">
        <v>2015.4</v>
      </c>
      <c r="H7173">
        <v>251013</v>
      </c>
      <c r="I7173">
        <v>4520</v>
      </c>
      <c r="J7173" t="s">
        <v>280</v>
      </c>
      <c r="K7173">
        <v>2383.66</v>
      </c>
      <c r="L7173">
        <v>247.51</v>
      </c>
      <c r="M7173">
        <v>69113</v>
      </c>
      <c r="N7173" t="s">
        <v>122</v>
      </c>
      <c r="O7173">
        <v>251021</v>
      </c>
      <c r="P7173">
        <v>1767.89</v>
      </c>
    </row>
    <row r="7174" spans="1:16" x14ac:dyDescent="0.25">
      <c r="A7174" t="s">
        <v>3296</v>
      </c>
      <c r="B7174" t="s">
        <v>2931</v>
      </c>
      <c r="C7174">
        <v>13951</v>
      </c>
      <c r="D7174" t="str">
        <f>"2560952093  "</f>
        <v xml:space="preserve">2560952093  </v>
      </c>
      <c r="E7174" t="s">
        <v>277</v>
      </c>
      <c r="F7174" t="s">
        <v>279</v>
      </c>
      <c r="G7174">
        <v>237.11</v>
      </c>
      <c r="H7174">
        <v>251013</v>
      </c>
      <c r="I7174">
        <v>4520</v>
      </c>
      <c r="J7174" t="s">
        <v>280</v>
      </c>
      <c r="K7174">
        <v>2383.66</v>
      </c>
      <c r="L7174">
        <v>29.12</v>
      </c>
      <c r="M7174">
        <v>69802</v>
      </c>
      <c r="N7174" t="s">
        <v>375</v>
      </c>
      <c r="O7174">
        <v>251021</v>
      </c>
      <c r="P7174">
        <v>207.99</v>
      </c>
    </row>
    <row r="7175" spans="1:16" x14ac:dyDescent="0.25">
      <c r="A7175" t="s">
        <v>3296</v>
      </c>
      <c r="B7175" t="s">
        <v>2931</v>
      </c>
      <c r="C7175">
        <v>13951</v>
      </c>
      <c r="D7175" t="str">
        <f>"2560952093  "</f>
        <v xml:space="preserve">2560952093  </v>
      </c>
      <c r="E7175" t="s">
        <v>277</v>
      </c>
      <c r="F7175" t="s">
        <v>279</v>
      </c>
      <c r="G7175">
        <v>118.55</v>
      </c>
      <c r="H7175">
        <v>251013</v>
      </c>
      <c r="I7175">
        <v>4520</v>
      </c>
      <c r="J7175" t="s">
        <v>280</v>
      </c>
      <c r="K7175">
        <v>2383.66</v>
      </c>
      <c r="L7175">
        <v>14.56</v>
      </c>
      <c r="M7175">
        <v>69804</v>
      </c>
      <c r="N7175" t="s">
        <v>376</v>
      </c>
      <c r="O7175">
        <v>251021</v>
      </c>
      <c r="P7175">
        <v>103.99</v>
      </c>
    </row>
    <row r="7176" spans="1:16" x14ac:dyDescent="0.25">
      <c r="A7176" t="s">
        <v>3296</v>
      </c>
      <c r="B7176" t="s">
        <v>2931</v>
      </c>
      <c r="C7176">
        <v>13966</v>
      </c>
      <c r="D7176" t="str">
        <f>"2560952099  "</f>
        <v xml:space="preserve">2560952099  </v>
      </c>
      <c r="E7176" t="s">
        <v>277</v>
      </c>
      <c r="F7176" t="s">
        <v>279</v>
      </c>
      <c r="G7176">
        <v>390.72</v>
      </c>
      <c r="H7176">
        <v>251013</v>
      </c>
      <c r="I7176">
        <v>4520</v>
      </c>
      <c r="J7176" t="s">
        <v>280</v>
      </c>
      <c r="K7176">
        <v>390.72</v>
      </c>
      <c r="L7176">
        <v>47.98</v>
      </c>
      <c r="M7176">
        <v>13901</v>
      </c>
      <c r="N7176" t="s">
        <v>116</v>
      </c>
      <c r="O7176">
        <v>251021</v>
      </c>
      <c r="P7176">
        <v>342.74</v>
      </c>
    </row>
    <row r="7177" spans="1:16" x14ac:dyDescent="0.25">
      <c r="A7177" t="s">
        <v>3296</v>
      </c>
      <c r="B7177" t="s">
        <v>2931</v>
      </c>
      <c r="C7177">
        <v>14035</v>
      </c>
      <c r="D7177" t="str">
        <f>"2560970346  "</f>
        <v xml:space="preserve">2560970346  </v>
      </c>
      <c r="E7177" t="s">
        <v>277</v>
      </c>
      <c r="F7177" t="s">
        <v>279</v>
      </c>
      <c r="G7177">
        <v>1204.82</v>
      </c>
      <c r="H7177">
        <v>251020</v>
      </c>
      <c r="I7177">
        <v>4520</v>
      </c>
      <c r="J7177" t="s">
        <v>280</v>
      </c>
      <c r="K7177">
        <v>1330.06</v>
      </c>
      <c r="L7177">
        <v>147.96</v>
      </c>
      <c r="M7177">
        <v>54451</v>
      </c>
      <c r="N7177" t="s">
        <v>218</v>
      </c>
      <c r="O7177">
        <v>251022</v>
      </c>
      <c r="P7177">
        <v>1056.8599999999999</v>
      </c>
    </row>
    <row r="7178" spans="1:16" x14ac:dyDescent="0.25">
      <c r="A7178" t="s">
        <v>3296</v>
      </c>
      <c r="B7178" t="s">
        <v>2931</v>
      </c>
      <c r="C7178">
        <v>14036</v>
      </c>
      <c r="D7178" t="str">
        <f>"2560970352  "</f>
        <v xml:space="preserve">2560970352  </v>
      </c>
      <c r="E7178" t="s">
        <v>277</v>
      </c>
      <c r="F7178" t="s">
        <v>279</v>
      </c>
      <c r="G7178">
        <v>182.8</v>
      </c>
      <c r="H7178">
        <v>251020</v>
      </c>
      <c r="I7178">
        <v>4520</v>
      </c>
      <c r="J7178" t="s">
        <v>280</v>
      </c>
      <c r="K7178">
        <v>1135.17</v>
      </c>
      <c r="L7178">
        <v>22.45</v>
      </c>
      <c r="M7178">
        <v>16442</v>
      </c>
      <c r="N7178" t="s">
        <v>304</v>
      </c>
      <c r="O7178">
        <v>251022</v>
      </c>
      <c r="P7178">
        <v>160.35</v>
      </c>
    </row>
    <row r="7179" spans="1:16" x14ac:dyDescent="0.25">
      <c r="A7179" t="s">
        <v>3296</v>
      </c>
      <c r="B7179" t="s">
        <v>2931</v>
      </c>
      <c r="C7179">
        <v>14036</v>
      </c>
      <c r="D7179" t="str">
        <f>"2560970352  "</f>
        <v xml:space="preserve">2560970352  </v>
      </c>
      <c r="E7179" t="s">
        <v>277</v>
      </c>
      <c r="F7179" t="s">
        <v>279</v>
      </c>
      <c r="G7179">
        <v>12.58</v>
      </c>
      <c r="H7179">
        <v>251020</v>
      </c>
      <c r="I7179">
        <v>4520</v>
      </c>
      <c r="J7179" t="s">
        <v>280</v>
      </c>
      <c r="K7179">
        <v>1135.17</v>
      </c>
      <c r="L7179">
        <v>2.56</v>
      </c>
      <c r="M7179">
        <v>17913</v>
      </c>
      <c r="N7179" t="s">
        <v>26</v>
      </c>
      <c r="O7179">
        <v>251022</v>
      </c>
      <c r="P7179">
        <v>10.02</v>
      </c>
    </row>
    <row r="7180" spans="1:16" x14ac:dyDescent="0.25">
      <c r="A7180" t="s">
        <v>3296</v>
      </c>
      <c r="B7180" t="s">
        <v>2931</v>
      </c>
      <c r="C7180">
        <v>14036</v>
      </c>
      <c r="D7180" t="str">
        <f>"2560970352  "</f>
        <v xml:space="preserve">2560970352  </v>
      </c>
      <c r="E7180" t="s">
        <v>277</v>
      </c>
      <c r="F7180" t="s">
        <v>279</v>
      </c>
      <c r="G7180">
        <v>827.49</v>
      </c>
      <c r="H7180">
        <v>251020</v>
      </c>
      <c r="I7180">
        <v>4520</v>
      </c>
      <c r="J7180" t="s">
        <v>280</v>
      </c>
      <c r="K7180">
        <v>1135.17</v>
      </c>
      <c r="L7180">
        <v>101.62</v>
      </c>
      <c r="M7180">
        <v>17913</v>
      </c>
      <c r="N7180" t="s">
        <v>26</v>
      </c>
      <c r="O7180">
        <v>251022</v>
      </c>
      <c r="P7180">
        <v>725.87</v>
      </c>
    </row>
    <row r="7181" spans="1:16" x14ac:dyDescent="0.25">
      <c r="A7181" t="s">
        <v>3296</v>
      </c>
      <c r="B7181" t="s">
        <v>2931</v>
      </c>
      <c r="C7181">
        <v>14036</v>
      </c>
      <c r="D7181" t="str">
        <f>"2560970352  "</f>
        <v xml:space="preserve">2560970352  </v>
      </c>
      <c r="E7181" t="s">
        <v>277</v>
      </c>
      <c r="F7181" t="s">
        <v>279</v>
      </c>
      <c r="G7181">
        <v>112.3</v>
      </c>
      <c r="H7181">
        <v>251020</v>
      </c>
      <c r="I7181">
        <v>4520</v>
      </c>
      <c r="J7181" t="s">
        <v>280</v>
      </c>
      <c r="K7181">
        <v>1135.17</v>
      </c>
      <c r="L7181">
        <v>13.79</v>
      </c>
      <c r="M7181">
        <v>17982</v>
      </c>
      <c r="N7181" t="s">
        <v>281</v>
      </c>
      <c r="O7181">
        <v>251022</v>
      </c>
      <c r="P7181">
        <v>98.51</v>
      </c>
    </row>
    <row r="7182" spans="1:16" x14ac:dyDescent="0.25">
      <c r="A7182" t="s">
        <v>3296</v>
      </c>
      <c r="B7182" t="s">
        <v>2931</v>
      </c>
      <c r="C7182">
        <v>14039</v>
      </c>
      <c r="D7182" t="str">
        <f>"2560970350  "</f>
        <v xml:space="preserve">2560970350  </v>
      </c>
      <c r="E7182" t="s">
        <v>277</v>
      </c>
      <c r="F7182" t="s">
        <v>279</v>
      </c>
      <c r="G7182">
        <v>12.58</v>
      </c>
      <c r="H7182">
        <v>251020</v>
      </c>
      <c r="I7182">
        <v>4520</v>
      </c>
      <c r="J7182" t="s">
        <v>280</v>
      </c>
      <c r="K7182">
        <v>895.46</v>
      </c>
      <c r="L7182">
        <v>2.56</v>
      </c>
      <c r="M7182">
        <v>17915</v>
      </c>
      <c r="N7182" t="s">
        <v>305</v>
      </c>
      <c r="O7182">
        <v>251022</v>
      </c>
      <c r="P7182">
        <v>10.02</v>
      </c>
    </row>
    <row r="7183" spans="1:16" x14ac:dyDescent="0.25">
      <c r="A7183" t="s">
        <v>3296</v>
      </c>
      <c r="B7183" t="s">
        <v>2931</v>
      </c>
      <c r="C7183">
        <v>14039</v>
      </c>
      <c r="D7183" t="str">
        <f>"2560970350  "</f>
        <v xml:space="preserve">2560970350  </v>
      </c>
      <c r="E7183" t="s">
        <v>277</v>
      </c>
      <c r="F7183" t="s">
        <v>279</v>
      </c>
      <c r="G7183">
        <v>794.58</v>
      </c>
      <c r="H7183">
        <v>251020</v>
      </c>
      <c r="I7183">
        <v>4520</v>
      </c>
      <c r="J7183" t="s">
        <v>280</v>
      </c>
      <c r="K7183">
        <v>895.46</v>
      </c>
      <c r="L7183">
        <v>97.58</v>
      </c>
      <c r="M7183">
        <v>17915</v>
      </c>
      <c r="N7183" t="s">
        <v>305</v>
      </c>
      <c r="O7183">
        <v>251022</v>
      </c>
      <c r="P7183">
        <v>697</v>
      </c>
    </row>
    <row r="7184" spans="1:16" x14ac:dyDescent="0.25">
      <c r="A7184" t="s">
        <v>3296</v>
      </c>
      <c r="B7184" t="s">
        <v>2931</v>
      </c>
      <c r="C7184">
        <v>14039</v>
      </c>
      <c r="D7184" t="str">
        <f>"2560970350  "</f>
        <v xml:space="preserve">2560970350  </v>
      </c>
      <c r="E7184" t="s">
        <v>277</v>
      </c>
      <c r="F7184" t="s">
        <v>279</v>
      </c>
      <c r="G7184">
        <v>88.3</v>
      </c>
      <c r="H7184">
        <v>251020</v>
      </c>
      <c r="I7184">
        <v>4520</v>
      </c>
      <c r="J7184" t="s">
        <v>280</v>
      </c>
      <c r="K7184">
        <v>895.46</v>
      </c>
      <c r="L7184">
        <v>10.84</v>
      </c>
      <c r="M7184">
        <v>17982</v>
      </c>
      <c r="N7184" t="s">
        <v>281</v>
      </c>
      <c r="O7184">
        <v>251022</v>
      </c>
      <c r="P7184">
        <v>77.459999999999994</v>
      </c>
    </row>
    <row r="7185" spans="1:16" x14ac:dyDescent="0.25">
      <c r="A7185" t="s">
        <v>3296</v>
      </c>
      <c r="B7185" t="s">
        <v>2931</v>
      </c>
      <c r="C7185">
        <v>14040</v>
      </c>
      <c r="D7185" t="str">
        <f>"2560970355  "</f>
        <v xml:space="preserve">2560970355  </v>
      </c>
      <c r="E7185" t="s">
        <v>277</v>
      </c>
      <c r="F7185" t="s">
        <v>279</v>
      </c>
      <c r="G7185">
        <v>1586.1</v>
      </c>
      <c r="H7185">
        <v>251020</v>
      </c>
      <c r="I7185">
        <v>4520</v>
      </c>
      <c r="J7185" t="s">
        <v>280</v>
      </c>
      <c r="K7185">
        <v>1699.23</v>
      </c>
      <c r="L7185">
        <v>194.78</v>
      </c>
      <c r="M7185">
        <v>69112</v>
      </c>
      <c r="N7185" t="s">
        <v>227</v>
      </c>
      <c r="O7185">
        <v>251022</v>
      </c>
      <c r="P7185">
        <v>1391.32</v>
      </c>
    </row>
    <row r="7186" spans="1:16" x14ac:dyDescent="0.25">
      <c r="A7186" t="s">
        <v>3296</v>
      </c>
      <c r="B7186" t="s">
        <v>2931</v>
      </c>
      <c r="C7186">
        <v>14040</v>
      </c>
      <c r="D7186" t="str">
        <f>"2560970355  "</f>
        <v xml:space="preserve">2560970355  </v>
      </c>
      <c r="E7186" t="s">
        <v>277</v>
      </c>
      <c r="F7186" t="s">
        <v>279</v>
      </c>
      <c r="G7186">
        <v>88.12</v>
      </c>
      <c r="H7186">
        <v>251020</v>
      </c>
      <c r="I7186">
        <v>4520</v>
      </c>
      <c r="J7186" t="s">
        <v>280</v>
      </c>
      <c r="K7186">
        <v>1699.23</v>
      </c>
      <c r="L7186">
        <v>10.82</v>
      </c>
      <c r="M7186">
        <v>69810</v>
      </c>
      <c r="N7186" t="s">
        <v>229</v>
      </c>
      <c r="O7186">
        <v>251022</v>
      </c>
      <c r="P7186">
        <v>77.3</v>
      </c>
    </row>
    <row r="7187" spans="1:16" x14ac:dyDescent="0.25">
      <c r="A7187" t="s">
        <v>3296</v>
      </c>
      <c r="B7187" t="s">
        <v>2931</v>
      </c>
      <c r="C7187">
        <v>14040</v>
      </c>
      <c r="D7187" t="str">
        <f>"2560970355  "</f>
        <v xml:space="preserve">2560970355  </v>
      </c>
      <c r="E7187" t="s">
        <v>277</v>
      </c>
      <c r="F7187" t="s">
        <v>279</v>
      </c>
      <c r="G7187">
        <v>88.12</v>
      </c>
      <c r="H7187">
        <v>251020</v>
      </c>
      <c r="I7187">
        <v>4520</v>
      </c>
      <c r="J7187" t="s">
        <v>280</v>
      </c>
      <c r="K7187">
        <v>1699.23</v>
      </c>
      <c r="L7187">
        <v>10.82</v>
      </c>
      <c r="M7187">
        <v>69811</v>
      </c>
      <c r="N7187" t="s">
        <v>230</v>
      </c>
      <c r="O7187">
        <v>251022</v>
      </c>
      <c r="P7187">
        <v>77.3</v>
      </c>
    </row>
    <row r="7188" spans="1:16" x14ac:dyDescent="0.25">
      <c r="A7188" t="s">
        <v>3296</v>
      </c>
      <c r="B7188" t="s">
        <v>2931</v>
      </c>
      <c r="C7188">
        <v>14100</v>
      </c>
      <c r="D7188" t="str">
        <f>"2560970347  "</f>
        <v xml:space="preserve">2560970347  </v>
      </c>
      <c r="E7188" t="s">
        <v>277</v>
      </c>
      <c r="F7188" t="s">
        <v>279</v>
      </c>
      <c r="G7188">
        <v>1936.89</v>
      </c>
      <c r="H7188">
        <v>251020</v>
      </c>
      <c r="I7188">
        <v>4520</v>
      </c>
      <c r="J7188" t="s">
        <v>280</v>
      </c>
      <c r="K7188">
        <v>2368.86</v>
      </c>
      <c r="L7188">
        <v>237.86</v>
      </c>
      <c r="M7188">
        <v>59113</v>
      </c>
      <c r="N7188" t="s">
        <v>61</v>
      </c>
      <c r="O7188">
        <v>251024</v>
      </c>
      <c r="P7188">
        <v>1699.03</v>
      </c>
    </row>
    <row r="7189" spans="1:16" x14ac:dyDescent="0.25">
      <c r="A7189" t="s">
        <v>3296</v>
      </c>
      <c r="B7189" t="s">
        <v>2931</v>
      </c>
      <c r="C7189">
        <v>14100</v>
      </c>
      <c r="D7189" t="str">
        <f>"2560970347  "</f>
        <v xml:space="preserve">2560970347  </v>
      </c>
      <c r="E7189" t="s">
        <v>277</v>
      </c>
      <c r="F7189" t="s">
        <v>279</v>
      </c>
      <c r="G7189">
        <v>341.8</v>
      </c>
      <c r="H7189">
        <v>251020</v>
      </c>
      <c r="I7189">
        <v>4520</v>
      </c>
      <c r="J7189" t="s">
        <v>280</v>
      </c>
      <c r="K7189">
        <v>2368.86</v>
      </c>
      <c r="L7189">
        <v>41.98</v>
      </c>
      <c r="M7189">
        <v>59803</v>
      </c>
      <c r="N7189" t="s">
        <v>282</v>
      </c>
      <c r="O7189">
        <v>251024</v>
      </c>
      <c r="P7189">
        <v>299.82</v>
      </c>
    </row>
    <row r="7190" spans="1:16" x14ac:dyDescent="0.25">
      <c r="A7190" t="s">
        <v>3296</v>
      </c>
      <c r="B7190" t="s">
        <v>2931</v>
      </c>
      <c r="C7190">
        <v>14102</v>
      </c>
      <c r="D7190" t="str">
        <f>"2560970345  "</f>
        <v xml:space="preserve">2560970345  </v>
      </c>
      <c r="E7190" t="s">
        <v>277</v>
      </c>
      <c r="F7190" t="s">
        <v>279</v>
      </c>
      <c r="G7190">
        <v>647.9</v>
      </c>
      <c r="H7190">
        <v>251020</v>
      </c>
      <c r="I7190">
        <v>4520</v>
      </c>
      <c r="J7190" t="s">
        <v>280</v>
      </c>
      <c r="K7190">
        <v>666.79</v>
      </c>
      <c r="L7190">
        <v>79.569999999999993</v>
      </c>
      <c r="M7190">
        <v>59114</v>
      </c>
      <c r="N7190" t="s">
        <v>299</v>
      </c>
      <c r="O7190">
        <v>251024</v>
      </c>
      <c r="P7190">
        <v>568.33000000000004</v>
      </c>
    </row>
    <row r="7191" spans="1:16" x14ac:dyDescent="0.25">
      <c r="A7191" t="s">
        <v>3296</v>
      </c>
      <c r="B7191" t="s">
        <v>2931</v>
      </c>
      <c r="C7191">
        <v>14135</v>
      </c>
      <c r="D7191" t="str">
        <f>"2560952095  "</f>
        <v xml:space="preserve">2560952095  </v>
      </c>
      <c r="E7191" t="s">
        <v>277</v>
      </c>
      <c r="F7191" t="s">
        <v>279</v>
      </c>
      <c r="G7191">
        <v>1228.45</v>
      </c>
      <c r="H7191">
        <v>251013</v>
      </c>
      <c r="I7191">
        <v>4520</v>
      </c>
      <c r="J7191" t="s">
        <v>280</v>
      </c>
      <c r="K7191">
        <v>1254.53</v>
      </c>
      <c r="L7191">
        <v>150.86000000000001</v>
      </c>
      <c r="M7191">
        <v>44222</v>
      </c>
      <c r="N7191" t="s">
        <v>96</v>
      </c>
      <c r="O7191">
        <v>251024</v>
      </c>
      <c r="P7191">
        <v>1077.5899999999999</v>
      </c>
    </row>
    <row r="7192" spans="1:16" x14ac:dyDescent="0.25">
      <c r="A7192" t="s">
        <v>3296</v>
      </c>
      <c r="B7192" t="s">
        <v>2931</v>
      </c>
      <c r="C7192">
        <v>14136</v>
      </c>
      <c r="D7192" t="str">
        <f>"2560970351  "</f>
        <v xml:space="preserve">2560970351  </v>
      </c>
      <c r="E7192" t="s">
        <v>277</v>
      </c>
      <c r="F7192" t="s">
        <v>279</v>
      </c>
      <c r="G7192">
        <v>310.44</v>
      </c>
      <c r="H7192">
        <v>251020</v>
      </c>
      <c r="I7192">
        <v>4520</v>
      </c>
      <c r="J7192" t="s">
        <v>280</v>
      </c>
      <c r="K7192">
        <v>316.44</v>
      </c>
      <c r="L7192">
        <v>38.119999999999997</v>
      </c>
      <c r="M7192">
        <v>44252</v>
      </c>
      <c r="N7192" t="s">
        <v>217</v>
      </c>
      <c r="O7192">
        <v>251024</v>
      </c>
      <c r="P7192">
        <v>272.32</v>
      </c>
    </row>
    <row r="7193" spans="1:16" x14ac:dyDescent="0.25">
      <c r="A7193" t="s">
        <v>3296</v>
      </c>
      <c r="B7193" t="s">
        <v>2931</v>
      </c>
      <c r="C7193">
        <v>14137</v>
      </c>
      <c r="D7193" t="str">
        <f>"2560970354  "</f>
        <v xml:space="preserve">2560970354  </v>
      </c>
      <c r="E7193" t="s">
        <v>277</v>
      </c>
      <c r="F7193" t="s">
        <v>279</v>
      </c>
      <c r="G7193">
        <v>397.73</v>
      </c>
      <c r="H7193">
        <v>251020</v>
      </c>
      <c r="I7193">
        <v>4520</v>
      </c>
      <c r="J7193" t="s">
        <v>280</v>
      </c>
      <c r="K7193">
        <v>413.63</v>
      </c>
      <c r="L7193">
        <v>48.84</v>
      </c>
      <c r="M7193">
        <v>44253</v>
      </c>
      <c r="N7193" t="s">
        <v>403</v>
      </c>
      <c r="O7193">
        <v>251024</v>
      </c>
      <c r="P7193">
        <v>348.89</v>
      </c>
    </row>
    <row r="7194" spans="1:16" x14ac:dyDescent="0.25">
      <c r="A7194" t="s">
        <v>3296</v>
      </c>
      <c r="B7194" t="s">
        <v>2931</v>
      </c>
      <c r="C7194">
        <v>14194</v>
      </c>
      <c r="D7194" t="str">
        <f t="shared" ref="D7194:D7205" si="138">"2560952097  "</f>
        <v xml:space="preserve">2560952097  </v>
      </c>
      <c r="E7194" t="s">
        <v>277</v>
      </c>
      <c r="F7194" t="s">
        <v>279</v>
      </c>
      <c r="G7194">
        <v>0.44</v>
      </c>
      <c r="H7194">
        <v>251013</v>
      </c>
      <c r="I7194">
        <v>4520</v>
      </c>
      <c r="J7194" t="s">
        <v>280</v>
      </c>
      <c r="K7194">
        <v>4476.16</v>
      </c>
      <c r="L7194">
        <v>0.09</v>
      </c>
      <c r="M7194">
        <v>14422</v>
      </c>
      <c r="N7194" t="s">
        <v>73</v>
      </c>
      <c r="O7194">
        <v>251027</v>
      </c>
      <c r="P7194">
        <v>0.35</v>
      </c>
    </row>
    <row r="7195" spans="1:16" x14ac:dyDescent="0.25">
      <c r="A7195" t="s">
        <v>3296</v>
      </c>
      <c r="B7195" t="s">
        <v>2931</v>
      </c>
      <c r="C7195">
        <v>14194</v>
      </c>
      <c r="D7195" t="str">
        <f t="shared" si="138"/>
        <v xml:space="preserve">2560952097  </v>
      </c>
      <c r="E7195" t="s">
        <v>277</v>
      </c>
      <c r="F7195" t="s">
        <v>279</v>
      </c>
      <c r="G7195">
        <v>44.31</v>
      </c>
      <c r="H7195">
        <v>251013</v>
      </c>
      <c r="I7195">
        <v>4520</v>
      </c>
      <c r="J7195" t="s">
        <v>280</v>
      </c>
      <c r="K7195">
        <v>4476.16</v>
      </c>
      <c r="L7195">
        <v>5.44</v>
      </c>
      <c r="M7195">
        <v>14422</v>
      </c>
      <c r="N7195" t="s">
        <v>73</v>
      </c>
      <c r="O7195">
        <v>251027</v>
      </c>
      <c r="P7195">
        <v>38.869999999999997</v>
      </c>
    </row>
    <row r="7196" spans="1:16" x14ac:dyDescent="0.25">
      <c r="A7196" t="s">
        <v>3296</v>
      </c>
      <c r="B7196" t="s">
        <v>2931</v>
      </c>
      <c r="C7196">
        <v>14194</v>
      </c>
      <c r="D7196" t="str">
        <f t="shared" si="138"/>
        <v xml:space="preserve">2560952097  </v>
      </c>
      <c r="E7196" t="s">
        <v>277</v>
      </c>
      <c r="F7196" t="s">
        <v>279</v>
      </c>
      <c r="G7196">
        <v>1.79</v>
      </c>
      <c r="H7196">
        <v>251013</v>
      </c>
      <c r="I7196">
        <v>4520</v>
      </c>
      <c r="J7196" t="s">
        <v>280</v>
      </c>
      <c r="K7196">
        <v>4476.16</v>
      </c>
      <c r="L7196">
        <v>0.36</v>
      </c>
      <c r="M7196">
        <v>14431</v>
      </c>
      <c r="N7196" t="s">
        <v>74</v>
      </c>
      <c r="O7196">
        <v>251027</v>
      </c>
      <c r="P7196">
        <v>1.43</v>
      </c>
    </row>
    <row r="7197" spans="1:16" x14ac:dyDescent="0.25">
      <c r="A7197" t="s">
        <v>3296</v>
      </c>
      <c r="B7197" t="s">
        <v>2931</v>
      </c>
      <c r="C7197">
        <v>14194</v>
      </c>
      <c r="D7197" t="str">
        <f t="shared" si="138"/>
        <v xml:space="preserve">2560952097  </v>
      </c>
      <c r="E7197" t="s">
        <v>277</v>
      </c>
      <c r="F7197" t="s">
        <v>279</v>
      </c>
      <c r="G7197">
        <v>177.26</v>
      </c>
      <c r="H7197">
        <v>251013</v>
      </c>
      <c r="I7197">
        <v>4520</v>
      </c>
      <c r="J7197" t="s">
        <v>280</v>
      </c>
      <c r="K7197">
        <v>4476.16</v>
      </c>
      <c r="L7197">
        <v>21.77</v>
      </c>
      <c r="M7197">
        <v>14431</v>
      </c>
      <c r="N7197" t="s">
        <v>74</v>
      </c>
      <c r="O7197">
        <v>251027</v>
      </c>
      <c r="P7197">
        <v>155.49</v>
      </c>
    </row>
    <row r="7198" spans="1:16" x14ac:dyDescent="0.25">
      <c r="A7198" t="s">
        <v>3296</v>
      </c>
      <c r="B7198" t="s">
        <v>2931</v>
      </c>
      <c r="C7198">
        <v>14194</v>
      </c>
      <c r="D7198" t="str">
        <f t="shared" si="138"/>
        <v xml:space="preserve">2560952097  </v>
      </c>
      <c r="E7198" t="s">
        <v>277</v>
      </c>
      <c r="F7198" t="s">
        <v>279</v>
      </c>
      <c r="G7198">
        <v>7.6</v>
      </c>
      <c r="H7198">
        <v>251013</v>
      </c>
      <c r="I7198">
        <v>4520</v>
      </c>
      <c r="J7198" t="s">
        <v>280</v>
      </c>
      <c r="K7198">
        <v>4476.16</v>
      </c>
      <c r="L7198">
        <v>1.54</v>
      </c>
      <c r="M7198">
        <v>14432</v>
      </c>
      <c r="N7198" t="s">
        <v>75</v>
      </c>
      <c r="O7198">
        <v>251027</v>
      </c>
      <c r="P7198">
        <v>6.06</v>
      </c>
    </row>
    <row r="7199" spans="1:16" x14ac:dyDescent="0.25">
      <c r="A7199" t="s">
        <v>3296</v>
      </c>
      <c r="B7199" t="s">
        <v>2931</v>
      </c>
      <c r="C7199">
        <v>14194</v>
      </c>
      <c r="D7199" t="str">
        <f t="shared" si="138"/>
        <v xml:space="preserve">2560952097  </v>
      </c>
      <c r="E7199" t="s">
        <v>277</v>
      </c>
      <c r="F7199" t="s">
        <v>279</v>
      </c>
      <c r="G7199">
        <v>753.35</v>
      </c>
      <c r="H7199">
        <v>251013</v>
      </c>
      <c r="I7199">
        <v>4520</v>
      </c>
      <c r="J7199" t="s">
        <v>280</v>
      </c>
      <c r="K7199">
        <v>4476.16</v>
      </c>
      <c r="L7199">
        <v>92.52</v>
      </c>
      <c r="M7199">
        <v>14432</v>
      </c>
      <c r="N7199" t="s">
        <v>75</v>
      </c>
      <c r="O7199">
        <v>251027</v>
      </c>
      <c r="P7199">
        <v>660.83</v>
      </c>
    </row>
    <row r="7200" spans="1:16" x14ac:dyDescent="0.25">
      <c r="A7200" t="s">
        <v>3296</v>
      </c>
      <c r="B7200" t="s">
        <v>2931</v>
      </c>
      <c r="C7200">
        <v>14194</v>
      </c>
      <c r="D7200" t="str">
        <f t="shared" si="138"/>
        <v xml:space="preserve">2560952097  </v>
      </c>
      <c r="E7200" t="s">
        <v>277</v>
      </c>
      <c r="F7200" t="s">
        <v>279</v>
      </c>
      <c r="G7200">
        <v>0.45</v>
      </c>
      <c r="H7200">
        <v>251013</v>
      </c>
      <c r="I7200">
        <v>4520</v>
      </c>
      <c r="J7200" t="s">
        <v>280</v>
      </c>
      <c r="K7200">
        <v>4476.16</v>
      </c>
      <c r="L7200">
        <v>0.09</v>
      </c>
      <c r="M7200">
        <v>14640</v>
      </c>
      <c r="N7200" t="s">
        <v>78</v>
      </c>
      <c r="O7200">
        <v>251027</v>
      </c>
      <c r="P7200">
        <v>0.36</v>
      </c>
    </row>
    <row r="7201" spans="1:16" x14ac:dyDescent="0.25">
      <c r="A7201" t="s">
        <v>3296</v>
      </c>
      <c r="B7201" t="s">
        <v>2931</v>
      </c>
      <c r="C7201">
        <v>14194</v>
      </c>
      <c r="D7201" t="str">
        <f t="shared" si="138"/>
        <v xml:space="preserve">2560952097  </v>
      </c>
      <c r="E7201" t="s">
        <v>277</v>
      </c>
      <c r="F7201" t="s">
        <v>279</v>
      </c>
      <c r="G7201">
        <v>44.31</v>
      </c>
      <c r="H7201">
        <v>251013</v>
      </c>
      <c r="I7201">
        <v>4520</v>
      </c>
      <c r="J7201" t="s">
        <v>280</v>
      </c>
      <c r="K7201">
        <v>4476.16</v>
      </c>
      <c r="L7201">
        <v>5.44</v>
      </c>
      <c r="M7201">
        <v>14640</v>
      </c>
      <c r="N7201" t="s">
        <v>78</v>
      </c>
      <c r="O7201">
        <v>251027</v>
      </c>
      <c r="P7201">
        <v>38.869999999999997</v>
      </c>
    </row>
    <row r="7202" spans="1:16" x14ac:dyDescent="0.25">
      <c r="A7202" t="s">
        <v>3296</v>
      </c>
      <c r="B7202" t="s">
        <v>2931</v>
      </c>
      <c r="C7202">
        <v>14194</v>
      </c>
      <c r="D7202" t="str">
        <f t="shared" si="138"/>
        <v xml:space="preserve">2560952097  </v>
      </c>
      <c r="E7202" t="s">
        <v>277</v>
      </c>
      <c r="F7202" t="s">
        <v>279</v>
      </c>
      <c r="G7202">
        <v>1.79</v>
      </c>
      <c r="H7202">
        <v>251013</v>
      </c>
      <c r="I7202">
        <v>4520</v>
      </c>
      <c r="J7202" t="s">
        <v>280</v>
      </c>
      <c r="K7202">
        <v>4476.16</v>
      </c>
      <c r="L7202">
        <v>0.36</v>
      </c>
      <c r="M7202">
        <v>14642</v>
      </c>
      <c r="N7202" t="s">
        <v>283</v>
      </c>
      <c r="O7202">
        <v>251027</v>
      </c>
      <c r="P7202">
        <v>1.43</v>
      </c>
    </row>
    <row r="7203" spans="1:16" x14ac:dyDescent="0.25">
      <c r="A7203" t="s">
        <v>3296</v>
      </c>
      <c r="B7203" t="s">
        <v>2931</v>
      </c>
      <c r="C7203">
        <v>14194</v>
      </c>
      <c r="D7203" t="str">
        <f t="shared" si="138"/>
        <v xml:space="preserve">2560952097  </v>
      </c>
      <c r="E7203" t="s">
        <v>277</v>
      </c>
      <c r="F7203" t="s">
        <v>279</v>
      </c>
      <c r="G7203">
        <v>177.26</v>
      </c>
      <c r="H7203">
        <v>251013</v>
      </c>
      <c r="I7203">
        <v>4520</v>
      </c>
      <c r="J7203" t="s">
        <v>280</v>
      </c>
      <c r="K7203">
        <v>4476.16</v>
      </c>
      <c r="L7203">
        <v>21.77</v>
      </c>
      <c r="M7203">
        <v>14642</v>
      </c>
      <c r="N7203" t="s">
        <v>283</v>
      </c>
      <c r="O7203">
        <v>251027</v>
      </c>
      <c r="P7203">
        <v>155.49</v>
      </c>
    </row>
    <row r="7204" spans="1:16" x14ac:dyDescent="0.25">
      <c r="A7204" t="s">
        <v>3296</v>
      </c>
      <c r="B7204" t="s">
        <v>2931</v>
      </c>
      <c r="C7204">
        <v>14194</v>
      </c>
      <c r="D7204" t="str">
        <f t="shared" si="138"/>
        <v xml:space="preserve">2560952097  </v>
      </c>
      <c r="E7204" t="s">
        <v>277</v>
      </c>
      <c r="F7204" t="s">
        <v>279</v>
      </c>
      <c r="G7204">
        <v>32.64</v>
      </c>
      <c r="H7204">
        <v>251013</v>
      </c>
      <c r="I7204">
        <v>4520</v>
      </c>
      <c r="J7204" t="s">
        <v>280</v>
      </c>
      <c r="K7204">
        <v>4476.16</v>
      </c>
      <c r="L7204">
        <v>6.63</v>
      </c>
      <c r="M7204">
        <v>14912</v>
      </c>
      <c r="N7204" t="s">
        <v>80</v>
      </c>
      <c r="O7204">
        <v>251027</v>
      </c>
      <c r="P7204">
        <v>26.01</v>
      </c>
    </row>
    <row r="7205" spans="1:16" x14ac:dyDescent="0.25">
      <c r="A7205" t="s">
        <v>3296</v>
      </c>
      <c r="B7205" t="s">
        <v>2931</v>
      </c>
      <c r="C7205">
        <v>14194</v>
      </c>
      <c r="D7205" t="str">
        <f t="shared" si="138"/>
        <v xml:space="preserve">2560952097  </v>
      </c>
      <c r="E7205" t="s">
        <v>277</v>
      </c>
      <c r="F7205" t="s">
        <v>279</v>
      </c>
      <c r="G7205">
        <v>3234.96</v>
      </c>
      <c r="H7205">
        <v>251013</v>
      </c>
      <c r="I7205">
        <v>4520</v>
      </c>
      <c r="J7205" t="s">
        <v>280</v>
      </c>
      <c r="K7205">
        <v>4476.16</v>
      </c>
      <c r="L7205">
        <v>397.28</v>
      </c>
      <c r="M7205">
        <v>14912</v>
      </c>
      <c r="N7205" t="s">
        <v>80</v>
      </c>
      <c r="O7205">
        <v>251027</v>
      </c>
      <c r="P7205">
        <v>2837.68</v>
      </c>
    </row>
    <row r="7206" spans="1:16" x14ac:dyDescent="0.25">
      <c r="A7206" t="s">
        <v>3296</v>
      </c>
      <c r="B7206" t="s">
        <v>2931</v>
      </c>
      <c r="C7206">
        <v>14204</v>
      </c>
      <c r="D7206" t="str">
        <f>"2560970349  "</f>
        <v xml:space="preserve">2560970349  </v>
      </c>
      <c r="E7206" t="s">
        <v>277</v>
      </c>
      <c r="F7206" t="s">
        <v>279</v>
      </c>
      <c r="G7206">
        <v>1423.01</v>
      </c>
      <c r="H7206">
        <v>251020</v>
      </c>
      <c r="I7206">
        <v>4520</v>
      </c>
      <c r="J7206" t="s">
        <v>280</v>
      </c>
      <c r="K7206">
        <v>1435.59</v>
      </c>
      <c r="L7206">
        <v>174.76</v>
      </c>
      <c r="M7206">
        <v>49112</v>
      </c>
      <c r="N7206" t="s">
        <v>109</v>
      </c>
      <c r="O7206">
        <v>251027</v>
      </c>
      <c r="P7206">
        <v>1248.25</v>
      </c>
    </row>
    <row r="7207" spans="1:16" x14ac:dyDescent="0.25">
      <c r="A7207" t="s">
        <v>3296</v>
      </c>
      <c r="B7207" t="s">
        <v>2931</v>
      </c>
      <c r="C7207">
        <v>14252</v>
      </c>
      <c r="D7207" t="str">
        <f t="shared" ref="D7207:D7218" si="139">"2560970353  "</f>
        <v xml:space="preserve">2560970353  </v>
      </c>
      <c r="E7207" t="s">
        <v>277</v>
      </c>
      <c r="F7207" t="s">
        <v>279</v>
      </c>
      <c r="G7207">
        <v>1.27</v>
      </c>
      <c r="H7207">
        <v>251020</v>
      </c>
      <c r="I7207">
        <v>4520</v>
      </c>
      <c r="J7207" t="s">
        <v>280</v>
      </c>
      <c r="K7207">
        <v>4948.26</v>
      </c>
      <c r="L7207">
        <v>0.26</v>
      </c>
      <c r="M7207">
        <v>14422</v>
      </c>
      <c r="N7207" t="s">
        <v>73</v>
      </c>
      <c r="O7207">
        <v>251028</v>
      </c>
      <c r="P7207">
        <v>1.01</v>
      </c>
    </row>
    <row r="7208" spans="1:16" x14ac:dyDescent="0.25">
      <c r="A7208" t="s">
        <v>3296</v>
      </c>
      <c r="B7208" t="s">
        <v>2931</v>
      </c>
      <c r="C7208">
        <v>14252</v>
      </c>
      <c r="D7208" t="str">
        <f t="shared" si="139"/>
        <v xml:space="preserve">2560970353  </v>
      </c>
      <c r="E7208" t="s">
        <v>277</v>
      </c>
      <c r="F7208" t="s">
        <v>279</v>
      </c>
      <c r="G7208">
        <v>48.21</v>
      </c>
      <c r="H7208">
        <v>251020</v>
      </c>
      <c r="I7208">
        <v>4520</v>
      </c>
      <c r="J7208" t="s">
        <v>280</v>
      </c>
      <c r="K7208">
        <v>4948.26</v>
      </c>
      <c r="L7208">
        <v>5.92</v>
      </c>
      <c r="M7208">
        <v>14422</v>
      </c>
      <c r="N7208" t="s">
        <v>73</v>
      </c>
      <c r="O7208">
        <v>251028</v>
      </c>
      <c r="P7208">
        <v>42.29</v>
      </c>
    </row>
    <row r="7209" spans="1:16" x14ac:dyDescent="0.25">
      <c r="A7209" t="s">
        <v>3296</v>
      </c>
      <c r="B7209" t="s">
        <v>2931</v>
      </c>
      <c r="C7209">
        <v>14252</v>
      </c>
      <c r="D7209" t="str">
        <f t="shared" si="139"/>
        <v xml:space="preserve">2560970353  </v>
      </c>
      <c r="E7209" t="s">
        <v>277</v>
      </c>
      <c r="F7209" t="s">
        <v>279</v>
      </c>
      <c r="G7209">
        <v>5.08</v>
      </c>
      <c r="H7209">
        <v>251020</v>
      </c>
      <c r="I7209">
        <v>4520</v>
      </c>
      <c r="J7209" t="s">
        <v>280</v>
      </c>
      <c r="K7209">
        <v>4948.26</v>
      </c>
      <c r="L7209">
        <v>1.03</v>
      </c>
      <c r="M7209">
        <v>14431</v>
      </c>
      <c r="N7209" t="s">
        <v>74</v>
      </c>
      <c r="O7209">
        <v>251028</v>
      </c>
      <c r="P7209">
        <v>4.05</v>
      </c>
    </row>
    <row r="7210" spans="1:16" x14ac:dyDescent="0.25">
      <c r="A7210" t="s">
        <v>3296</v>
      </c>
      <c r="B7210" t="s">
        <v>2931</v>
      </c>
      <c r="C7210">
        <v>14252</v>
      </c>
      <c r="D7210" t="str">
        <f t="shared" si="139"/>
        <v xml:space="preserve">2560970353  </v>
      </c>
      <c r="E7210" t="s">
        <v>277</v>
      </c>
      <c r="F7210" t="s">
        <v>279</v>
      </c>
      <c r="G7210">
        <v>192.85</v>
      </c>
      <c r="H7210">
        <v>251020</v>
      </c>
      <c r="I7210">
        <v>4520</v>
      </c>
      <c r="J7210" t="s">
        <v>280</v>
      </c>
      <c r="K7210">
        <v>4948.26</v>
      </c>
      <c r="L7210">
        <v>23.68</v>
      </c>
      <c r="M7210">
        <v>14431</v>
      </c>
      <c r="N7210" t="s">
        <v>74</v>
      </c>
      <c r="O7210">
        <v>251028</v>
      </c>
      <c r="P7210">
        <v>169.17</v>
      </c>
    </row>
    <row r="7211" spans="1:16" x14ac:dyDescent="0.25">
      <c r="A7211" t="s">
        <v>3296</v>
      </c>
      <c r="B7211" t="s">
        <v>2931</v>
      </c>
      <c r="C7211">
        <v>14252</v>
      </c>
      <c r="D7211" t="str">
        <f t="shared" si="139"/>
        <v xml:space="preserve">2560970353  </v>
      </c>
      <c r="E7211" t="s">
        <v>277</v>
      </c>
      <c r="F7211" t="s">
        <v>279</v>
      </c>
      <c r="G7211">
        <v>21.58</v>
      </c>
      <c r="H7211">
        <v>251020</v>
      </c>
      <c r="I7211">
        <v>4520</v>
      </c>
      <c r="J7211" t="s">
        <v>280</v>
      </c>
      <c r="K7211">
        <v>4948.26</v>
      </c>
      <c r="L7211">
        <v>4.38</v>
      </c>
      <c r="M7211">
        <v>14432</v>
      </c>
      <c r="N7211" t="s">
        <v>75</v>
      </c>
      <c r="O7211">
        <v>251028</v>
      </c>
      <c r="P7211">
        <v>17.2</v>
      </c>
    </row>
    <row r="7212" spans="1:16" x14ac:dyDescent="0.25">
      <c r="A7212" t="s">
        <v>3296</v>
      </c>
      <c r="B7212" t="s">
        <v>2931</v>
      </c>
      <c r="C7212">
        <v>14252</v>
      </c>
      <c r="D7212" t="str">
        <f t="shared" si="139"/>
        <v xml:space="preserve">2560970353  </v>
      </c>
      <c r="E7212" t="s">
        <v>277</v>
      </c>
      <c r="F7212" t="s">
        <v>279</v>
      </c>
      <c r="G7212">
        <v>819.62</v>
      </c>
      <c r="H7212">
        <v>251020</v>
      </c>
      <c r="I7212">
        <v>4520</v>
      </c>
      <c r="J7212" t="s">
        <v>280</v>
      </c>
      <c r="K7212">
        <v>4948.26</v>
      </c>
      <c r="L7212">
        <v>100.66</v>
      </c>
      <c r="M7212">
        <v>14432</v>
      </c>
      <c r="N7212" t="s">
        <v>75</v>
      </c>
      <c r="O7212">
        <v>251028</v>
      </c>
      <c r="P7212">
        <v>718.96</v>
      </c>
    </row>
    <row r="7213" spans="1:16" x14ac:dyDescent="0.25">
      <c r="A7213" t="s">
        <v>3296</v>
      </c>
      <c r="B7213" t="s">
        <v>2931</v>
      </c>
      <c r="C7213">
        <v>14252</v>
      </c>
      <c r="D7213" t="str">
        <f t="shared" si="139"/>
        <v xml:space="preserve">2560970353  </v>
      </c>
      <c r="E7213" t="s">
        <v>277</v>
      </c>
      <c r="F7213" t="s">
        <v>279</v>
      </c>
      <c r="G7213">
        <v>1.27</v>
      </c>
      <c r="H7213">
        <v>251020</v>
      </c>
      <c r="I7213">
        <v>4520</v>
      </c>
      <c r="J7213" t="s">
        <v>280</v>
      </c>
      <c r="K7213">
        <v>4948.26</v>
      </c>
      <c r="L7213">
        <v>0.26</v>
      </c>
      <c r="M7213">
        <v>14640</v>
      </c>
      <c r="N7213" t="s">
        <v>78</v>
      </c>
      <c r="O7213">
        <v>251028</v>
      </c>
      <c r="P7213">
        <v>1.01</v>
      </c>
    </row>
    <row r="7214" spans="1:16" x14ac:dyDescent="0.25">
      <c r="A7214" t="s">
        <v>3296</v>
      </c>
      <c r="B7214" t="s">
        <v>2931</v>
      </c>
      <c r="C7214">
        <v>14252</v>
      </c>
      <c r="D7214" t="str">
        <f t="shared" si="139"/>
        <v xml:space="preserve">2560970353  </v>
      </c>
      <c r="E7214" t="s">
        <v>277</v>
      </c>
      <c r="F7214" t="s">
        <v>279</v>
      </c>
      <c r="G7214">
        <v>48.22</v>
      </c>
      <c r="H7214">
        <v>251020</v>
      </c>
      <c r="I7214">
        <v>4520</v>
      </c>
      <c r="J7214" t="s">
        <v>280</v>
      </c>
      <c r="K7214">
        <v>4948.26</v>
      </c>
      <c r="L7214">
        <v>5.92</v>
      </c>
      <c r="M7214">
        <v>14640</v>
      </c>
      <c r="N7214" t="s">
        <v>78</v>
      </c>
      <c r="O7214">
        <v>251028</v>
      </c>
      <c r="P7214">
        <v>42.3</v>
      </c>
    </row>
    <row r="7215" spans="1:16" x14ac:dyDescent="0.25">
      <c r="A7215" t="s">
        <v>3296</v>
      </c>
      <c r="B7215" t="s">
        <v>2931</v>
      </c>
      <c r="C7215">
        <v>14252</v>
      </c>
      <c r="D7215" t="str">
        <f t="shared" si="139"/>
        <v xml:space="preserve">2560970353  </v>
      </c>
      <c r="E7215" t="s">
        <v>277</v>
      </c>
      <c r="F7215" t="s">
        <v>279</v>
      </c>
      <c r="G7215">
        <v>5.08</v>
      </c>
      <c r="H7215">
        <v>251020</v>
      </c>
      <c r="I7215">
        <v>4520</v>
      </c>
      <c r="J7215" t="s">
        <v>280</v>
      </c>
      <c r="K7215">
        <v>4948.26</v>
      </c>
      <c r="L7215">
        <v>1.03</v>
      </c>
      <c r="M7215">
        <v>14642</v>
      </c>
      <c r="N7215" t="s">
        <v>283</v>
      </c>
      <c r="O7215">
        <v>251028</v>
      </c>
      <c r="P7215">
        <v>4.05</v>
      </c>
    </row>
    <row r="7216" spans="1:16" x14ac:dyDescent="0.25">
      <c r="A7216" t="s">
        <v>3296</v>
      </c>
      <c r="B7216" t="s">
        <v>2931</v>
      </c>
      <c r="C7216">
        <v>14252</v>
      </c>
      <c r="D7216" t="str">
        <f t="shared" si="139"/>
        <v xml:space="preserve">2560970353  </v>
      </c>
      <c r="E7216" t="s">
        <v>277</v>
      </c>
      <c r="F7216" t="s">
        <v>279</v>
      </c>
      <c r="G7216">
        <v>192.85</v>
      </c>
      <c r="H7216">
        <v>251020</v>
      </c>
      <c r="I7216">
        <v>4520</v>
      </c>
      <c r="J7216" t="s">
        <v>280</v>
      </c>
      <c r="K7216">
        <v>4948.26</v>
      </c>
      <c r="L7216">
        <v>23.68</v>
      </c>
      <c r="M7216">
        <v>14642</v>
      </c>
      <c r="N7216" t="s">
        <v>283</v>
      </c>
      <c r="O7216">
        <v>251028</v>
      </c>
      <c r="P7216">
        <v>169.17</v>
      </c>
    </row>
    <row r="7217" spans="1:16" x14ac:dyDescent="0.25">
      <c r="A7217" t="s">
        <v>3296</v>
      </c>
      <c r="B7217" t="s">
        <v>2931</v>
      </c>
      <c r="C7217">
        <v>14252</v>
      </c>
      <c r="D7217" t="str">
        <f t="shared" si="139"/>
        <v xml:space="preserve">2560970353  </v>
      </c>
      <c r="E7217" t="s">
        <v>277</v>
      </c>
      <c r="F7217" t="s">
        <v>279</v>
      </c>
      <c r="G7217">
        <v>92.68</v>
      </c>
      <c r="H7217">
        <v>251020</v>
      </c>
      <c r="I7217">
        <v>4520</v>
      </c>
      <c r="J7217" t="s">
        <v>280</v>
      </c>
      <c r="K7217">
        <v>4948.26</v>
      </c>
      <c r="L7217">
        <v>18.829999999999998</v>
      </c>
      <c r="M7217">
        <v>14912</v>
      </c>
      <c r="N7217" t="s">
        <v>80</v>
      </c>
      <c r="O7217">
        <v>251028</v>
      </c>
      <c r="P7217">
        <v>73.849999999999994</v>
      </c>
    </row>
    <row r="7218" spans="1:16" x14ac:dyDescent="0.25">
      <c r="A7218" t="s">
        <v>3296</v>
      </c>
      <c r="B7218" t="s">
        <v>2931</v>
      </c>
      <c r="C7218">
        <v>14252</v>
      </c>
      <c r="D7218" t="str">
        <f t="shared" si="139"/>
        <v xml:space="preserve">2560970353  </v>
      </c>
      <c r="E7218" t="s">
        <v>277</v>
      </c>
      <c r="F7218" t="s">
        <v>279</v>
      </c>
      <c r="G7218">
        <v>3519.55</v>
      </c>
      <c r="H7218">
        <v>251020</v>
      </c>
      <c r="I7218">
        <v>4520</v>
      </c>
      <c r="J7218" t="s">
        <v>280</v>
      </c>
      <c r="K7218">
        <v>4948.26</v>
      </c>
      <c r="L7218">
        <v>432.23</v>
      </c>
      <c r="M7218">
        <v>14912</v>
      </c>
      <c r="N7218" t="s">
        <v>80</v>
      </c>
      <c r="O7218">
        <v>251028</v>
      </c>
      <c r="P7218">
        <v>3087.32</v>
      </c>
    </row>
    <row r="7219" spans="1:16" x14ac:dyDescent="0.25">
      <c r="A7219" t="s">
        <v>3296</v>
      </c>
      <c r="B7219" t="s">
        <v>2931</v>
      </c>
      <c r="C7219">
        <v>14310</v>
      </c>
      <c r="D7219" t="str">
        <f>"2560985133  "</f>
        <v xml:space="preserve">2560985133  </v>
      </c>
      <c r="E7219" t="s">
        <v>277</v>
      </c>
      <c r="F7219" t="s">
        <v>279</v>
      </c>
      <c r="G7219">
        <v>393.81</v>
      </c>
      <c r="H7219">
        <v>251027</v>
      </c>
      <c r="I7219">
        <v>4520</v>
      </c>
      <c r="J7219" t="s">
        <v>280</v>
      </c>
      <c r="K7219">
        <v>397.41</v>
      </c>
      <c r="L7219">
        <v>48.36</v>
      </c>
      <c r="M7219">
        <v>44253</v>
      </c>
      <c r="N7219" t="s">
        <v>403</v>
      </c>
      <c r="O7219">
        <v>251029</v>
      </c>
      <c r="P7219">
        <v>345.45</v>
      </c>
    </row>
    <row r="7220" spans="1:16" x14ac:dyDescent="0.25">
      <c r="A7220" t="s">
        <v>3296</v>
      </c>
      <c r="B7220" t="s">
        <v>2931</v>
      </c>
      <c r="C7220">
        <v>14311</v>
      </c>
      <c r="D7220" t="str">
        <f>"2560985130  "</f>
        <v xml:space="preserve">2560985130  </v>
      </c>
      <c r="E7220" t="s">
        <v>277</v>
      </c>
      <c r="F7220" t="s">
        <v>279</v>
      </c>
      <c r="G7220">
        <v>903.98</v>
      </c>
      <c r="H7220">
        <v>251027</v>
      </c>
      <c r="I7220">
        <v>4520</v>
      </c>
      <c r="J7220" t="s">
        <v>280</v>
      </c>
      <c r="K7220">
        <v>924.95</v>
      </c>
      <c r="L7220">
        <v>111.02</v>
      </c>
      <c r="M7220">
        <v>44222</v>
      </c>
      <c r="N7220" t="s">
        <v>96</v>
      </c>
      <c r="O7220">
        <v>251029</v>
      </c>
      <c r="P7220">
        <v>792.96</v>
      </c>
    </row>
    <row r="7221" spans="1:16" x14ac:dyDescent="0.25">
      <c r="A7221" t="s">
        <v>3296</v>
      </c>
      <c r="B7221" t="s">
        <v>2931</v>
      </c>
      <c r="C7221">
        <v>14312</v>
      </c>
      <c r="D7221" t="str">
        <f>"2560985127  "</f>
        <v xml:space="preserve">2560985127  </v>
      </c>
      <c r="E7221" t="s">
        <v>277</v>
      </c>
      <c r="F7221" t="s">
        <v>279</v>
      </c>
      <c r="G7221">
        <v>1032.31</v>
      </c>
      <c r="H7221">
        <v>251027</v>
      </c>
      <c r="I7221">
        <v>4520</v>
      </c>
      <c r="J7221" t="s">
        <v>280</v>
      </c>
      <c r="K7221">
        <v>1227.06</v>
      </c>
      <c r="L7221">
        <v>126.77</v>
      </c>
      <c r="M7221">
        <v>59113</v>
      </c>
      <c r="N7221" t="s">
        <v>61</v>
      </c>
      <c r="O7221">
        <v>251029</v>
      </c>
      <c r="P7221">
        <v>905.54</v>
      </c>
    </row>
    <row r="7222" spans="1:16" x14ac:dyDescent="0.25">
      <c r="A7222" t="s">
        <v>3296</v>
      </c>
      <c r="B7222" t="s">
        <v>2931</v>
      </c>
      <c r="C7222">
        <v>14312</v>
      </c>
      <c r="D7222" t="str">
        <f>"2560985127  "</f>
        <v xml:space="preserve">2560985127  </v>
      </c>
      <c r="E7222" t="s">
        <v>277</v>
      </c>
      <c r="F7222" t="s">
        <v>279</v>
      </c>
      <c r="G7222">
        <v>182.17</v>
      </c>
      <c r="H7222">
        <v>251027</v>
      </c>
      <c r="I7222">
        <v>4520</v>
      </c>
      <c r="J7222" t="s">
        <v>280</v>
      </c>
      <c r="K7222">
        <v>1227.06</v>
      </c>
      <c r="L7222">
        <v>22.37</v>
      </c>
      <c r="M7222">
        <v>59803</v>
      </c>
      <c r="N7222" t="s">
        <v>282</v>
      </c>
      <c r="O7222">
        <v>251029</v>
      </c>
      <c r="P7222">
        <v>159.80000000000001</v>
      </c>
    </row>
    <row r="7223" spans="1:16" x14ac:dyDescent="0.25">
      <c r="A7223" t="s">
        <v>3296</v>
      </c>
      <c r="B7223" t="s">
        <v>2931</v>
      </c>
      <c r="C7223">
        <v>14313</v>
      </c>
      <c r="D7223" t="str">
        <f>"2560985125  "</f>
        <v xml:space="preserve">2560985125  </v>
      </c>
      <c r="E7223" t="s">
        <v>277</v>
      </c>
      <c r="F7223" t="s">
        <v>279</v>
      </c>
      <c r="G7223">
        <v>486.15</v>
      </c>
      <c r="H7223">
        <v>251027</v>
      </c>
      <c r="I7223">
        <v>4520</v>
      </c>
      <c r="J7223" t="s">
        <v>280</v>
      </c>
      <c r="K7223">
        <v>632.23</v>
      </c>
      <c r="L7223">
        <v>59.7</v>
      </c>
      <c r="M7223">
        <v>59114</v>
      </c>
      <c r="N7223" t="s">
        <v>299</v>
      </c>
      <c r="O7223">
        <v>251029</v>
      </c>
      <c r="P7223">
        <v>426.45</v>
      </c>
    </row>
    <row r="7224" spans="1:16" x14ac:dyDescent="0.25">
      <c r="A7224" t="s">
        <v>3296</v>
      </c>
      <c r="B7224" t="s">
        <v>2931</v>
      </c>
      <c r="C7224">
        <v>14313</v>
      </c>
      <c r="D7224" t="str">
        <f>"2560985125  "</f>
        <v xml:space="preserve">2560985125  </v>
      </c>
      <c r="E7224" t="s">
        <v>277</v>
      </c>
      <c r="F7224" t="s">
        <v>279</v>
      </c>
      <c r="G7224">
        <v>54.02</v>
      </c>
      <c r="H7224">
        <v>251027</v>
      </c>
      <c r="I7224">
        <v>4520</v>
      </c>
      <c r="J7224" t="s">
        <v>280</v>
      </c>
      <c r="K7224">
        <v>632.23</v>
      </c>
      <c r="L7224">
        <v>6.63</v>
      </c>
      <c r="M7224">
        <v>59808</v>
      </c>
      <c r="N7224" t="s">
        <v>699</v>
      </c>
      <c r="O7224">
        <v>251029</v>
      </c>
      <c r="P7224">
        <v>47.39</v>
      </c>
    </row>
    <row r="7225" spans="1:16" x14ac:dyDescent="0.25">
      <c r="A7225" t="s">
        <v>3296</v>
      </c>
      <c r="B7225" t="s">
        <v>2931</v>
      </c>
      <c r="C7225">
        <v>14331</v>
      </c>
      <c r="D7225" t="str">
        <f>"2560985131  "</f>
        <v xml:space="preserve">2560985131  </v>
      </c>
      <c r="E7225" t="s">
        <v>277</v>
      </c>
      <c r="F7225" t="s">
        <v>279</v>
      </c>
      <c r="G7225">
        <v>98.6</v>
      </c>
      <c r="H7225">
        <v>251027</v>
      </c>
      <c r="I7225">
        <v>4520</v>
      </c>
      <c r="J7225" t="s">
        <v>280</v>
      </c>
      <c r="K7225">
        <v>2916.61</v>
      </c>
      <c r="L7225">
        <v>12.11</v>
      </c>
      <c r="M7225">
        <v>16442</v>
      </c>
      <c r="N7225" t="s">
        <v>304</v>
      </c>
      <c r="O7225">
        <v>251029</v>
      </c>
      <c r="P7225">
        <v>86.49</v>
      </c>
    </row>
    <row r="7226" spans="1:16" x14ac:dyDescent="0.25">
      <c r="A7226" t="s">
        <v>3296</v>
      </c>
      <c r="B7226" t="s">
        <v>2931</v>
      </c>
      <c r="C7226">
        <v>14331</v>
      </c>
      <c r="D7226" t="str">
        <f>"2560985131  "</f>
        <v xml:space="preserve">2560985131  </v>
      </c>
      <c r="E7226" t="s">
        <v>277</v>
      </c>
      <c r="F7226" t="s">
        <v>279</v>
      </c>
      <c r="G7226">
        <v>28.49</v>
      </c>
      <c r="H7226">
        <v>251027</v>
      </c>
      <c r="I7226">
        <v>4520</v>
      </c>
      <c r="J7226" t="s">
        <v>280</v>
      </c>
      <c r="K7226">
        <v>2916.61</v>
      </c>
      <c r="L7226">
        <v>5.79</v>
      </c>
      <c r="M7226">
        <v>17913</v>
      </c>
      <c r="N7226" t="s">
        <v>26</v>
      </c>
      <c r="O7226">
        <v>251029</v>
      </c>
      <c r="P7226">
        <v>22.7</v>
      </c>
    </row>
    <row r="7227" spans="1:16" x14ac:dyDescent="0.25">
      <c r="A7227" t="s">
        <v>3296</v>
      </c>
      <c r="B7227" t="s">
        <v>2931</v>
      </c>
      <c r="C7227">
        <v>14331</v>
      </c>
      <c r="D7227" t="str">
        <f>"2560985131  "</f>
        <v xml:space="preserve">2560985131  </v>
      </c>
      <c r="E7227" t="s">
        <v>277</v>
      </c>
      <c r="F7227" t="s">
        <v>279</v>
      </c>
      <c r="G7227">
        <v>2380.7199999999998</v>
      </c>
      <c r="H7227">
        <v>251027</v>
      </c>
      <c r="I7227">
        <v>4520</v>
      </c>
      <c r="J7227" t="s">
        <v>280</v>
      </c>
      <c r="K7227">
        <v>2916.61</v>
      </c>
      <c r="L7227">
        <v>292.37</v>
      </c>
      <c r="M7227">
        <v>17913</v>
      </c>
      <c r="N7227" t="s">
        <v>26</v>
      </c>
      <c r="O7227">
        <v>251029</v>
      </c>
      <c r="P7227">
        <v>2088.35</v>
      </c>
    </row>
    <row r="7228" spans="1:16" x14ac:dyDescent="0.25">
      <c r="A7228" t="s">
        <v>3296</v>
      </c>
      <c r="B7228" t="s">
        <v>2931</v>
      </c>
      <c r="C7228">
        <v>14331</v>
      </c>
      <c r="D7228" t="str">
        <f>"2560985131  "</f>
        <v xml:space="preserve">2560985131  </v>
      </c>
      <c r="E7228" t="s">
        <v>277</v>
      </c>
      <c r="F7228" t="s">
        <v>279</v>
      </c>
      <c r="G7228">
        <v>288.8</v>
      </c>
      <c r="H7228">
        <v>251027</v>
      </c>
      <c r="I7228">
        <v>4520</v>
      </c>
      <c r="J7228" t="s">
        <v>280</v>
      </c>
      <c r="K7228">
        <v>2916.61</v>
      </c>
      <c r="L7228">
        <v>35.47</v>
      </c>
      <c r="M7228">
        <v>17982</v>
      </c>
      <c r="N7228" t="s">
        <v>281</v>
      </c>
      <c r="O7228">
        <v>251029</v>
      </c>
      <c r="P7228">
        <v>253.33</v>
      </c>
    </row>
    <row r="7229" spans="1:16" x14ac:dyDescent="0.25">
      <c r="A7229" t="s">
        <v>3296</v>
      </c>
      <c r="B7229" t="s">
        <v>2931</v>
      </c>
      <c r="C7229">
        <v>14331</v>
      </c>
      <c r="D7229" t="str">
        <f>"2560985131  "</f>
        <v xml:space="preserve">2560985131  </v>
      </c>
      <c r="E7229" t="s">
        <v>277</v>
      </c>
      <c r="F7229" t="s">
        <v>279</v>
      </c>
      <c r="G7229">
        <v>120</v>
      </c>
      <c r="H7229">
        <v>251027</v>
      </c>
      <c r="I7229">
        <v>4520</v>
      </c>
      <c r="J7229" t="s">
        <v>280</v>
      </c>
      <c r="K7229">
        <v>2916.61</v>
      </c>
      <c r="L7229">
        <v>14.74</v>
      </c>
      <c r="M7229">
        <v>17984</v>
      </c>
      <c r="N7229" t="s">
        <v>655</v>
      </c>
      <c r="O7229">
        <v>251029</v>
      </c>
      <c r="P7229">
        <v>105.26</v>
      </c>
    </row>
    <row r="7230" spans="1:16" x14ac:dyDescent="0.25">
      <c r="A7230" t="s">
        <v>3296</v>
      </c>
      <c r="B7230" t="s">
        <v>2931</v>
      </c>
      <c r="C7230">
        <v>14347</v>
      </c>
      <c r="D7230" t="str">
        <f>"2560970348  "</f>
        <v xml:space="preserve">2560970348  </v>
      </c>
      <c r="E7230" t="s">
        <v>277</v>
      </c>
      <c r="F7230" t="s">
        <v>279</v>
      </c>
      <c r="G7230">
        <v>1278.94</v>
      </c>
      <c r="H7230">
        <v>251020</v>
      </c>
      <c r="I7230">
        <v>4520</v>
      </c>
      <c r="J7230" t="s">
        <v>280</v>
      </c>
      <c r="K7230">
        <v>1480.73</v>
      </c>
      <c r="L7230">
        <v>157.06</v>
      </c>
      <c r="M7230">
        <v>69113</v>
      </c>
      <c r="N7230" t="s">
        <v>122</v>
      </c>
      <c r="O7230">
        <v>251030</v>
      </c>
      <c r="P7230">
        <v>1121.8800000000001</v>
      </c>
    </row>
    <row r="7231" spans="1:16" x14ac:dyDescent="0.25">
      <c r="A7231" t="s">
        <v>3296</v>
      </c>
      <c r="B7231" t="s">
        <v>2931</v>
      </c>
      <c r="C7231">
        <v>14347</v>
      </c>
      <c r="D7231" t="str">
        <f>"2560970348  "</f>
        <v xml:space="preserve">2560970348  </v>
      </c>
      <c r="E7231" t="s">
        <v>277</v>
      </c>
      <c r="F7231" t="s">
        <v>279</v>
      </c>
      <c r="G7231">
        <v>150.46</v>
      </c>
      <c r="H7231">
        <v>251020</v>
      </c>
      <c r="I7231">
        <v>4520</v>
      </c>
      <c r="J7231" t="s">
        <v>280</v>
      </c>
      <c r="K7231">
        <v>1480.73</v>
      </c>
      <c r="L7231">
        <v>18.48</v>
      </c>
      <c r="M7231">
        <v>69802</v>
      </c>
      <c r="N7231" t="s">
        <v>375</v>
      </c>
      <c r="O7231">
        <v>251030</v>
      </c>
      <c r="P7231">
        <v>131.97999999999999</v>
      </c>
    </row>
    <row r="7232" spans="1:16" x14ac:dyDescent="0.25">
      <c r="A7232" t="s">
        <v>3296</v>
      </c>
      <c r="B7232" t="s">
        <v>2931</v>
      </c>
      <c r="C7232">
        <v>14347</v>
      </c>
      <c r="D7232" t="str">
        <f>"2560970348  "</f>
        <v xml:space="preserve">2560970348  </v>
      </c>
      <c r="E7232" t="s">
        <v>277</v>
      </c>
      <c r="F7232" t="s">
        <v>279</v>
      </c>
      <c r="G7232">
        <v>75.23</v>
      </c>
      <c r="H7232">
        <v>251020</v>
      </c>
      <c r="I7232">
        <v>4520</v>
      </c>
      <c r="J7232" t="s">
        <v>280</v>
      </c>
      <c r="K7232">
        <v>1480.73</v>
      </c>
      <c r="L7232">
        <v>9.24</v>
      </c>
      <c r="M7232">
        <v>69804</v>
      </c>
      <c r="N7232" t="s">
        <v>376</v>
      </c>
      <c r="O7232">
        <v>251030</v>
      </c>
      <c r="P7232">
        <v>65.989999999999995</v>
      </c>
    </row>
    <row r="7233" spans="1:16" x14ac:dyDescent="0.25">
      <c r="A7233" t="s">
        <v>3296</v>
      </c>
      <c r="B7233" t="s">
        <v>2931</v>
      </c>
      <c r="C7233">
        <v>14362</v>
      </c>
      <c r="D7233" t="str">
        <f>"2560985129  "</f>
        <v xml:space="preserve">2560985129  </v>
      </c>
      <c r="E7233" t="s">
        <v>277</v>
      </c>
      <c r="F7233" t="s">
        <v>279</v>
      </c>
      <c r="G7233">
        <v>210.9</v>
      </c>
      <c r="H7233">
        <v>251027</v>
      </c>
      <c r="I7233">
        <v>4520</v>
      </c>
      <c r="J7233" t="s">
        <v>280</v>
      </c>
      <c r="K7233">
        <v>1124.4100000000001</v>
      </c>
      <c r="L7233">
        <v>42.85</v>
      </c>
      <c r="M7233">
        <v>17915</v>
      </c>
      <c r="N7233" t="s">
        <v>305</v>
      </c>
      <c r="O7233">
        <v>251030</v>
      </c>
      <c r="P7233">
        <v>168.05</v>
      </c>
    </row>
    <row r="7234" spans="1:16" x14ac:dyDescent="0.25">
      <c r="A7234" t="s">
        <v>3296</v>
      </c>
      <c r="B7234" t="s">
        <v>2931</v>
      </c>
      <c r="C7234">
        <v>14362</v>
      </c>
      <c r="D7234" t="str">
        <f>"2560985129  "</f>
        <v xml:space="preserve">2560985129  </v>
      </c>
      <c r="E7234" t="s">
        <v>277</v>
      </c>
      <c r="F7234" t="s">
        <v>279</v>
      </c>
      <c r="G7234">
        <v>801.07</v>
      </c>
      <c r="H7234">
        <v>251027</v>
      </c>
      <c r="I7234">
        <v>4520</v>
      </c>
      <c r="J7234" t="s">
        <v>280</v>
      </c>
      <c r="K7234">
        <v>1124.4100000000001</v>
      </c>
      <c r="L7234">
        <v>98.38</v>
      </c>
      <c r="M7234">
        <v>17915</v>
      </c>
      <c r="N7234" t="s">
        <v>305</v>
      </c>
      <c r="O7234">
        <v>251030</v>
      </c>
      <c r="P7234">
        <v>702.69</v>
      </c>
    </row>
    <row r="7235" spans="1:16" x14ac:dyDescent="0.25">
      <c r="A7235" t="s">
        <v>3296</v>
      </c>
      <c r="B7235" t="s">
        <v>2931</v>
      </c>
      <c r="C7235">
        <v>14362</v>
      </c>
      <c r="D7235" t="str">
        <f>"2560985129  "</f>
        <v xml:space="preserve">2560985129  </v>
      </c>
      <c r="E7235" t="s">
        <v>277</v>
      </c>
      <c r="F7235" t="s">
        <v>279</v>
      </c>
      <c r="G7235">
        <v>23.48</v>
      </c>
      <c r="H7235">
        <v>251027</v>
      </c>
      <c r="I7235">
        <v>4520</v>
      </c>
      <c r="J7235" t="s">
        <v>280</v>
      </c>
      <c r="K7235">
        <v>1124.4100000000001</v>
      </c>
      <c r="L7235">
        <v>4.7699999999999996</v>
      </c>
      <c r="M7235">
        <v>17982</v>
      </c>
      <c r="N7235" t="s">
        <v>281</v>
      </c>
      <c r="O7235">
        <v>251030</v>
      </c>
      <c r="P7235">
        <v>18.71</v>
      </c>
    </row>
    <row r="7236" spans="1:16" x14ac:dyDescent="0.25">
      <c r="A7236" t="s">
        <v>3296</v>
      </c>
      <c r="B7236" t="s">
        <v>2931</v>
      </c>
      <c r="C7236">
        <v>14362</v>
      </c>
      <c r="D7236" t="str">
        <f>"2560985129  "</f>
        <v xml:space="preserve">2560985129  </v>
      </c>
      <c r="E7236" t="s">
        <v>277</v>
      </c>
      <c r="F7236" t="s">
        <v>279</v>
      </c>
      <c r="G7236">
        <v>88.96</v>
      </c>
      <c r="H7236">
        <v>251027</v>
      </c>
      <c r="I7236">
        <v>4520</v>
      </c>
      <c r="J7236" t="s">
        <v>280</v>
      </c>
      <c r="K7236">
        <v>1124.4100000000001</v>
      </c>
      <c r="L7236">
        <v>10.92</v>
      </c>
      <c r="M7236">
        <v>17982</v>
      </c>
      <c r="N7236" t="s">
        <v>281</v>
      </c>
      <c r="O7236">
        <v>251030</v>
      </c>
      <c r="P7236">
        <v>78.040000000000006</v>
      </c>
    </row>
    <row r="7237" spans="1:16" x14ac:dyDescent="0.25">
      <c r="A7237" t="s">
        <v>3296</v>
      </c>
      <c r="B7237" t="s">
        <v>2931</v>
      </c>
      <c r="C7237">
        <v>14480</v>
      </c>
      <c r="D7237" t="str">
        <f>"2561028206  "</f>
        <v xml:space="preserve">2561028206  </v>
      </c>
      <c r="E7237" t="s">
        <v>277</v>
      </c>
      <c r="F7237" t="s">
        <v>279</v>
      </c>
      <c r="G7237">
        <v>437.93</v>
      </c>
      <c r="H7237">
        <v>251031</v>
      </c>
      <c r="I7237">
        <v>4520</v>
      </c>
      <c r="J7237" t="s">
        <v>280</v>
      </c>
      <c r="K7237">
        <v>505.48</v>
      </c>
      <c r="L7237">
        <v>53.78</v>
      </c>
      <c r="M7237">
        <v>59114</v>
      </c>
      <c r="N7237" t="s">
        <v>299</v>
      </c>
      <c r="O7237">
        <v>251103</v>
      </c>
      <c r="P7237">
        <v>384.15</v>
      </c>
    </row>
    <row r="7238" spans="1:16" x14ac:dyDescent="0.25">
      <c r="A7238" t="s">
        <v>3296</v>
      </c>
      <c r="B7238" t="s">
        <v>2931</v>
      </c>
      <c r="C7238">
        <v>14480</v>
      </c>
      <c r="D7238" t="str">
        <f>"2561028206  "</f>
        <v xml:space="preserve">2561028206  </v>
      </c>
      <c r="E7238" t="s">
        <v>277</v>
      </c>
      <c r="F7238" t="s">
        <v>279</v>
      </c>
      <c r="G7238">
        <v>48.66</v>
      </c>
      <c r="H7238">
        <v>251031</v>
      </c>
      <c r="I7238">
        <v>4520</v>
      </c>
      <c r="J7238" t="s">
        <v>280</v>
      </c>
      <c r="K7238">
        <v>505.48</v>
      </c>
      <c r="L7238">
        <v>5.98</v>
      </c>
      <c r="M7238">
        <v>59808</v>
      </c>
      <c r="N7238" t="s">
        <v>699</v>
      </c>
      <c r="O7238">
        <v>251103</v>
      </c>
      <c r="P7238">
        <v>42.68</v>
      </c>
    </row>
    <row r="7239" spans="1:16" x14ac:dyDescent="0.25">
      <c r="A7239" t="s">
        <v>3296</v>
      </c>
      <c r="B7239" t="s">
        <v>2931</v>
      </c>
      <c r="C7239">
        <v>14481</v>
      </c>
      <c r="D7239" t="str">
        <f>"2561028216  "</f>
        <v xml:space="preserve">2561028216  </v>
      </c>
      <c r="E7239" t="s">
        <v>277</v>
      </c>
      <c r="F7239" t="s">
        <v>279</v>
      </c>
      <c r="G7239">
        <v>1025.3</v>
      </c>
      <c r="H7239">
        <v>251031</v>
      </c>
      <c r="I7239">
        <v>4520</v>
      </c>
      <c r="J7239" t="s">
        <v>280</v>
      </c>
      <c r="K7239">
        <v>1158.0999999999999</v>
      </c>
      <c r="L7239">
        <v>125.91</v>
      </c>
      <c r="M7239">
        <v>69112</v>
      </c>
      <c r="N7239" t="s">
        <v>227</v>
      </c>
      <c r="O7239">
        <v>251103</v>
      </c>
      <c r="P7239">
        <v>899.39</v>
      </c>
    </row>
    <row r="7240" spans="1:16" x14ac:dyDescent="0.25">
      <c r="A7240" t="s">
        <v>3296</v>
      </c>
      <c r="B7240" t="s">
        <v>2931</v>
      </c>
      <c r="C7240">
        <v>14481</v>
      </c>
      <c r="D7240" t="str">
        <f>"2561028216  "</f>
        <v xml:space="preserve">2561028216  </v>
      </c>
      <c r="E7240" t="s">
        <v>277</v>
      </c>
      <c r="F7240" t="s">
        <v>279</v>
      </c>
      <c r="G7240">
        <v>56.96</v>
      </c>
      <c r="H7240">
        <v>251031</v>
      </c>
      <c r="I7240">
        <v>4520</v>
      </c>
      <c r="J7240" t="s">
        <v>280</v>
      </c>
      <c r="K7240">
        <v>1158.0999999999999</v>
      </c>
      <c r="L7240">
        <v>7</v>
      </c>
      <c r="M7240">
        <v>69810</v>
      </c>
      <c r="N7240" t="s">
        <v>229</v>
      </c>
      <c r="O7240">
        <v>251103</v>
      </c>
      <c r="P7240">
        <v>49.96</v>
      </c>
    </row>
    <row r="7241" spans="1:16" x14ac:dyDescent="0.25">
      <c r="A7241" t="s">
        <v>3296</v>
      </c>
      <c r="B7241" t="s">
        <v>2931</v>
      </c>
      <c r="C7241">
        <v>14481</v>
      </c>
      <c r="D7241" t="str">
        <f>"2561028216  "</f>
        <v xml:space="preserve">2561028216  </v>
      </c>
      <c r="E7241" t="s">
        <v>277</v>
      </c>
      <c r="F7241" t="s">
        <v>279</v>
      </c>
      <c r="G7241">
        <v>56.96</v>
      </c>
      <c r="H7241">
        <v>251031</v>
      </c>
      <c r="I7241">
        <v>4520</v>
      </c>
      <c r="J7241" t="s">
        <v>280</v>
      </c>
      <c r="K7241">
        <v>1158.0999999999999</v>
      </c>
      <c r="L7241">
        <v>7</v>
      </c>
      <c r="M7241">
        <v>69811</v>
      </c>
      <c r="N7241" t="s">
        <v>230</v>
      </c>
      <c r="O7241">
        <v>251103</v>
      </c>
      <c r="P7241">
        <v>49.96</v>
      </c>
    </row>
    <row r="7242" spans="1:16" x14ac:dyDescent="0.25">
      <c r="A7242" t="s">
        <v>3296</v>
      </c>
      <c r="B7242" t="s">
        <v>2931</v>
      </c>
      <c r="C7242">
        <v>14489</v>
      </c>
      <c r="D7242" t="str">
        <f>"2561028208  "</f>
        <v xml:space="preserve">2561028208  </v>
      </c>
      <c r="E7242" t="s">
        <v>277</v>
      </c>
      <c r="F7242" t="s">
        <v>279</v>
      </c>
      <c r="G7242">
        <v>1731.87</v>
      </c>
      <c r="H7242">
        <v>251031</v>
      </c>
      <c r="I7242">
        <v>4520</v>
      </c>
      <c r="J7242" t="s">
        <v>280</v>
      </c>
      <c r="K7242">
        <v>2135.1799999999998</v>
      </c>
      <c r="L7242">
        <v>212.69</v>
      </c>
      <c r="M7242">
        <v>59113</v>
      </c>
      <c r="N7242" t="s">
        <v>61</v>
      </c>
      <c r="O7242">
        <v>251103</v>
      </c>
      <c r="P7242">
        <v>1519.18</v>
      </c>
    </row>
    <row r="7243" spans="1:16" x14ac:dyDescent="0.25">
      <c r="A7243" t="s">
        <v>3296</v>
      </c>
      <c r="B7243" t="s">
        <v>2931</v>
      </c>
      <c r="C7243">
        <v>14489</v>
      </c>
      <c r="D7243" t="str">
        <f>"2561028208  "</f>
        <v xml:space="preserve">2561028208  </v>
      </c>
      <c r="E7243" t="s">
        <v>277</v>
      </c>
      <c r="F7243" t="s">
        <v>279</v>
      </c>
      <c r="G7243">
        <v>305.62</v>
      </c>
      <c r="H7243">
        <v>251031</v>
      </c>
      <c r="I7243">
        <v>4520</v>
      </c>
      <c r="J7243" t="s">
        <v>280</v>
      </c>
      <c r="K7243">
        <v>2135.1799999999998</v>
      </c>
      <c r="L7243">
        <v>37.53</v>
      </c>
      <c r="M7243">
        <v>59803</v>
      </c>
      <c r="N7243" t="s">
        <v>282</v>
      </c>
      <c r="O7243">
        <v>251103</v>
      </c>
      <c r="P7243">
        <v>268.08999999999997</v>
      </c>
    </row>
    <row r="7244" spans="1:16" x14ac:dyDescent="0.25">
      <c r="A7244" t="s">
        <v>3296</v>
      </c>
      <c r="B7244" t="s">
        <v>2931</v>
      </c>
      <c r="C7244">
        <v>14522</v>
      </c>
      <c r="D7244" t="str">
        <f>"2561028213  "</f>
        <v xml:space="preserve">2561028213  </v>
      </c>
      <c r="E7244" t="s">
        <v>277</v>
      </c>
      <c r="F7244" t="s">
        <v>279</v>
      </c>
      <c r="G7244">
        <v>101.07</v>
      </c>
      <c r="H7244">
        <v>251031</v>
      </c>
      <c r="I7244">
        <v>4520</v>
      </c>
      <c r="J7244" t="s">
        <v>280</v>
      </c>
      <c r="K7244">
        <v>1284.45</v>
      </c>
      <c r="L7244">
        <v>20.54</v>
      </c>
      <c r="M7244">
        <v>16442</v>
      </c>
      <c r="N7244" t="s">
        <v>304</v>
      </c>
      <c r="O7244">
        <v>251104</v>
      </c>
      <c r="P7244">
        <v>80.53</v>
      </c>
    </row>
    <row r="7245" spans="1:16" x14ac:dyDescent="0.25">
      <c r="A7245" t="s">
        <v>3296</v>
      </c>
      <c r="B7245" t="s">
        <v>2931</v>
      </c>
      <c r="C7245">
        <v>14522</v>
      </c>
      <c r="D7245" t="str">
        <f>"2561028213  "</f>
        <v xml:space="preserve">2561028213  </v>
      </c>
      <c r="E7245" t="s">
        <v>277</v>
      </c>
      <c r="F7245" t="s">
        <v>279</v>
      </c>
      <c r="G7245">
        <v>119.7</v>
      </c>
      <c r="H7245">
        <v>251031</v>
      </c>
      <c r="I7245">
        <v>4520</v>
      </c>
      <c r="J7245" t="s">
        <v>280</v>
      </c>
      <c r="K7245">
        <v>1284.45</v>
      </c>
      <c r="L7245">
        <v>14.7</v>
      </c>
      <c r="M7245">
        <v>16442</v>
      </c>
      <c r="N7245" t="s">
        <v>304</v>
      </c>
      <c r="O7245">
        <v>251104</v>
      </c>
      <c r="P7245">
        <v>105</v>
      </c>
    </row>
    <row r="7246" spans="1:16" x14ac:dyDescent="0.25">
      <c r="A7246" t="s">
        <v>3296</v>
      </c>
      <c r="B7246" t="s">
        <v>2931</v>
      </c>
      <c r="C7246">
        <v>14522</v>
      </c>
      <c r="D7246" t="str">
        <f>"2561028213  "</f>
        <v xml:space="preserve">2561028213  </v>
      </c>
      <c r="E7246" t="s">
        <v>277</v>
      </c>
      <c r="F7246" t="s">
        <v>279</v>
      </c>
      <c r="G7246">
        <v>945.38</v>
      </c>
      <c r="H7246">
        <v>251031</v>
      </c>
      <c r="I7246">
        <v>4520</v>
      </c>
      <c r="J7246" t="s">
        <v>280</v>
      </c>
      <c r="K7246">
        <v>1284.45</v>
      </c>
      <c r="L7246">
        <v>116.1</v>
      </c>
      <c r="M7246">
        <v>17913</v>
      </c>
      <c r="N7246" t="s">
        <v>26</v>
      </c>
      <c r="O7246">
        <v>251104</v>
      </c>
      <c r="P7246">
        <v>829.28</v>
      </c>
    </row>
    <row r="7247" spans="1:16" x14ac:dyDescent="0.25">
      <c r="A7247" t="s">
        <v>3296</v>
      </c>
      <c r="B7247" t="s">
        <v>2931</v>
      </c>
      <c r="C7247">
        <v>14522</v>
      </c>
      <c r="D7247" t="str">
        <f>"2561028213  "</f>
        <v xml:space="preserve">2561028213  </v>
      </c>
      <c r="E7247" t="s">
        <v>277</v>
      </c>
      <c r="F7247" t="s">
        <v>279</v>
      </c>
      <c r="G7247">
        <v>118.3</v>
      </c>
      <c r="H7247">
        <v>251031</v>
      </c>
      <c r="I7247">
        <v>4520</v>
      </c>
      <c r="J7247" t="s">
        <v>280</v>
      </c>
      <c r="K7247">
        <v>1284.45</v>
      </c>
      <c r="L7247">
        <v>14.53</v>
      </c>
      <c r="M7247">
        <v>17982</v>
      </c>
      <c r="N7247" t="s">
        <v>281</v>
      </c>
      <c r="O7247">
        <v>251104</v>
      </c>
      <c r="P7247">
        <v>103.77</v>
      </c>
    </row>
    <row r="7248" spans="1:16" x14ac:dyDescent="0.25">
      <c r="A7248" t="s">
        <v>3296</v>
      </c>
      <c r="B7248" t="s">
        <v>2931</v>
      </c>
      <c r="C7248">
        <v>14548</v>
      </c>
      <c r="D7248" t="str">
        <f>"2560985126  "</f>
        <v xml:space="preserve">2560985126  </v>
      </c>
      <c r="E7248" t="s">
        <v>277</v>
      </c>
      <c r="F7248" t="s">
        <v>279</v>
      </c>
      <c r="G7248">
        <v>787</v>
      </c>
      <c r="H7248">
        <v>251027</v>
      </c>
      <c r="I7248">
        <v>4520</v>
      </c>
      <c r="J7248" t="s">
        <v>280</v>
      </c>
      <c r="K7248">
        <v>2943</v>
      </c>
      <c r="L7248">
        <v>96.65</v>
      </c>
      <c r="M7248">
        <v>54422</v>
      </c>
      <c r="N7248" t="s">
        <v>49</v>
      </c>
      <c r="O7248">
        <v>251104</v>
      </c>
      <c r="P7248">
        <v>690.35</v>
      </c>
    </row>
    <row r="7249" spans="1:16" x14ac:dyDescent="0.25">
      <c r="A7249" t="s">
        <v>3296</v>
      </c>
      <c r="B7249" t="s">
        <v>2931</v>
      </c>
      <c r="C7249">
        <v>14548</v>
      </c>
      <c r="D7249" t="str">
        <f>"2560985126  "</f>
        <v xml:space="preserve">2560985126  </v>
      </c>
      <c r="E7249" t="s">
        <v>277</v>
      </c>
      <c r="F7249" t="s">
        <v>279</v>
      </c>
      <c r="G7249">
        <v>2008.85</v>
      </c>
      <c r="H7249">
        <v>251027</v>
      </c>
      <c r="I7249">
        <v>4520</v>
      </c>
      <c r="J7249" t="s">
        <v>280</v>
      </c>
      <c r="K7249">
        <v>2943</v>
      </c>
      <c r="L7249">
        <v>246.7</v>
      </c>
      <c r="M7249">
        <v>54451</v>
      </c>
      <c r="N7249" t="s">
        <v>218</v>
      </c>
      <c r="O7249">
        <v>251104</v>
      </c>
      <c r="P7249">
        <v>1762.15</v>
      </c>
    </row>
    <row r="7250" spans="1:16" x14ac:dyDescent="0.25">
      <c r="A7250" t="s">
        <v>3296</v>
      </c>
      <c r="B7250" t="s">
        <v>2931</v>
      </c>
      <c r="C7250">
        <v>14559</v>
      </c>
      <c r="D7250" t="str">
        <f>"2561028207  "</f>
        <v xml:space="preserve">2561028207  </v>
      </c>
      <c r="E7250" t="s">
        <v>277</v>
      </c>
      <c r="F7250" t="s">
        <v>279</v>
      </c>
      <c r="G7250">
        <v>894</v>
      </c>
      <c r="H7250">
        <v>251031</v>
      </c>
      <c r="I7250">
        <v>4520</v>
      </c>
      <c r="J7250" t="s">
        <v>280</v>
      </c>
      <c r="K7250">
        <v>2258.34</v>
      </c>
      <c r="L7250">
        <v>109.79</v>
      </c>
      <c r="M7250">
        <v>54422</v>
      </c>
      <c r="N7250" t="s">
        <v>49</v>
      </c>
      <c r="O7250">
        <v>251104</v>
      </c>
      <c r="P7250">
        <v>784.21</v>
      </c>
    </row>
    <row r="7251" spans="1:16" x14ac:dyDescent="0.25">
      <c r="A7251" t="s">
        <v>3296</v>
      </c>
      <c r="B7251" t="s">
        <v>2931</v>
      </c>
      <c r="C7251">
        <v>14559</v>
      </c>
      <c r="D7251" t="str">
        <f>"2561028207  "</f>
        <v xml:space="preserve">2561028207  </v>
      </c>
      <c r="E7251" t="s">
        <v>277</v>
      </c>
      <c r="F7251" t="s">
        <v>279</v>
      </c>
      <c r="G7251">
        <v>1424.9</v>
      </c>
      <c r="H7251">
        <v>251031</v>
      </c>
      <c r="I7251">
        <v>4520</v>
      </c>
      <c r="J7251" t="s">
        <v>280</v>
      </c>
      <c r="K7251">
        <v>2258.34</v>
      </c>
      <c r="L7251">
        <v>174.99</v>
      </c>
      <c r="M7251">
        <v>54451</v>
      </c>
      <c r="N7251" t="s">
        <v>218</v>
      </c>
      <c r="O7251">
        <v>251104</v>
      </c>
      <c r="P7251">
        <v>1249.9100000000001</v>
      </c>
    </row>
    <row r="7252" spans="1:16" x14ac:dyDescent="0.25">
      <c r="A7252" t="s">
        <v>3296</v>
      </c>
      <c r="B7252" t="s">
        <v>2931</v>
      </c>
      <c r="C7252">
        <v>14563</v>
      </c>
      <c r="D7252" t="str">
        <f>"2561028211  "</f>
        <v xml:space="preserve">2561028211  </v>
      </c>
      <c r="E7252" t="s">
        <v>277</v>
      </c>
      <c r="F7252" t="s">
        <v>279</v>
      </c>
      <c r="G7252">
        <v>34.78</v>
      </c>
      <c r="H7252">
        <v>251031</v>
      </c>
      <c r="I7252">
        <v>4520</v>
      </c>
      <c r="J7252" t="s">
        <v>280</v>
      </c>
      <c r="K7252">
        <v>38.65</v>
      </c>
      <c r="L7252">
        <v>4.2699999999999996</v>
      </c>
      <c r="M7252">
        <v>17915</v>
      </c>
      <c r="N7252" t="s">
        <v>305</v>
      </c>
      <c r="O7252">
        <v>251104</v>
      </c>
      <c r="P7252">
        <v>30.51</v>
      </c>
    </row>
    <row r="7253" spans="1:16" x14ac:dyDescent="0.25">
      <c r="A7253" t="s">
        <v>3296</v>
      </c>
      <c r="B7253" t="s">
        <v>2931</v>
      </c>
      <c r="C7253">
        <v>14563</v>
      </c>
      <c r="D7253" t="str">
        <f>"2561028211  "</f>
        <v xml:space="preserve">2561028211  </v>
      </c>
      <c r="E7253" t="s">
        <v>277</v>
      </c>
      <c r="F7253" t="s">
        <v>279</v>
      </c>
      <c r="G7253">
        <v>3.87</v>
      </c>
      <c r="H7253">
        <v>251031</v>
      </c>
      <c r="I7253">
        <v>4520</v>
      </c>
      <c r="J7253" t="s">
        <v>280</v>
      </c>
      <c r="K7253">
        <v>38.65</v>
      </c>
      <c r="L7253">
        <v>0.48</v>
      </c>
      <c r="M7253">
        <v>17982</v>
      </c>
      <c r="N7253" t="s">
        <v>281</v>
      </c>
      <c r="O7253">
        <v>251104</v>
      </c>
      <c r="P7253">
        <v>3.39</v>
      </c>
    </row>
    <row r="7254" spans="1:16" x14ac:dyDescent="0.25">
      <c r="A7254" t="s">
        <v>3296</v>
      </c>
      <c r="B7254" t="s">
        <v>2931</v>
      </c>
      <c r="C7254">
        <v>14585</v>
      </c>
      <c r="D7254" t="str">
        <f>"2561028212  "</f>
        <v xml:space="preserve">2561028212  </v>
      </c>
      <c r="E7254" t="s">
        <v>277</v>
      </c>
      <c r="F7254" t="s">
        <v>279</v>
      </c>
      <c r="G7254">
        <v>1581.27</v>
      </c>
      <c r="H7254">
        <v>251031</v>
      </c>
      <c r="I7254">
        <v>4520</v>
      </c>
      <c r="J7254" t="s">
        <v>280</v>
      </c>
      <c r="K7254">
        <v>1683.73</v>
      </c>
      <c r="L7254">
        <v>194.19</v>
      </c>
      <c r="M7254">
        <v>44222</v>
      </c>
      <c r="N7254" t="s">
        <v>96</v>
      </c>
      <c r="O7254">
        <v>251105</v>
      </c>
      <c r="P7254">
        <v>1387.08</v>
      </c>
    </row>
    <row r="7255" spans="1:16" x14ac:dyDescent="0.25">
      <c r="A7255" t="s">
        <v>3296</v>
      </c>
      <c r="B7255" t="s">
        <v>2931</v>
      </c>
      <c r="C7255">
        <v>14594</v>
      </c>
      <c r="D7255" t="str">
        <f>"2561033882  "</f>
        <v xml:space="preserve">2561033882  </v>
      </c>
      <c r="E7255" t="s">
        <v>277</v>
      </c>
      <c r="F7255" t="s">
        <v>279</v>
      </c>
      <c r="G7255">
        <v>932.56</v>
      </c>
      <c r="H7255">
        <v>251103</v>
      </c>
      <c r="I7255">
        <v>4520</v>
      </c>
      <c r="J7255" t="s">
        <v>280</v>
      </c>
      <c r="K7255">
        <v>1036.1600000000001</v>
      </c>
      <c r="L7255">
        <v>114.52</v>
      </c>
      <c r="M7255">
        <v>17915</v>
      </c>
      <c r="N7255" t="s">
        <v>305</v>
      </c>
      <c r="O7255">
        <v>251105</v>
      </c>
      <c r="P7255">
        <v>818.04</v>
      </c>
    </row>
    <row r="7256" spans="1:16" x14ac:dyDescent="0.25">
      <c r="A7256" t="s">
        <v>3296</v>
      </c>
      <c r="B7256" t="s">
        <v>2931</v>
      </c>
      <c r="C7256">
        <v>14594</v>
      </c>
      <c r="D7256" t="str">
        <f>"2561033882  "</f>
        <v xml:space="preserve">2561033882  </v>
      </c>
      <c r="E7256" t="s">
        <v>277</v>
      </c>
      <c r="F7256" t="s">
        <v>279</v>
      </c>
      <c r="G7256">
        <v>103.6</v>
      </c>
      <c r="H7256">
        <v>251103</v>
      </c>
      <c r="I7256">
        <v>4520</v>
      </c>
      <c r="J7256" t="s">
        <v>280</v>
      </c>
      <c r="K7256">
        <v>1036.1600000000001</v>
      </c>
      <c r="L7256">
        <v>12.72</v>
      </c>
      <c r="M7256">
        <v>17982</v>
      </c>
      <c r="N7256" t="s">
        <v>281</v>
      </c>
      <c r="O7256">
        <v>251105</v>
      </c>
      <c r="P7256">
        <v>90.88</v>
      </c>
    </row>
    <row r="7257" spans="1:16" x14ac:dyDescent="0.25">
      <c r="A7257" t="s">
        <v>3296</v>
      </c>
      <c r="B7257" t="s">
        <v>2931</v>
      </c>
      <c r="C7257">
        <v>14595</v>
      </c>
      <c r="D7257" t="str">
        <f>"2561033883  "</f>
        <v xml:space="preserve">2561033883  </v>
      </c>
      <c r="E7257" t="s">
        <v>277</v>
      </c>
      <c r="F7257" t="s">
        <v>279</v>
      </c>
      <c r="G7257">
        <v>17.100000000000001</v>
      </c>
      <c r="H7257">
        <v>251103</v>
      </c>
      <c r="I7257">
        <v>4520</v>
      </c>
      <c r="J7257" t="s">
        <v>280</v>
      </c>
      <c r="K7257">
        <v>17.100000000000001</v>
      </c>
      <c r="L7257">
        <v>2.1</v>
      </c>
      <c r="M7257">
        <v>44252</v>
      </c>
      <c r="N7257" t="s">
        <v>217</v>
      </c>
      <c r="O7257">
        <v>251105</v>
      </c>
      <c r="P7257">
        <v>15</v>
      </c>
    </row>
    <row r="7258" spans="1:16" x14ac:dyDescent="0.25">
      <c r="A7258" t="s">
        <v>3296</v>
      </c>
      <c r="B7258" t="s">
        <v>2931</v>
      </c>
      <c r="C7258">
        <v>14598</v>
      </c>
      <c r="D7258" t="str">
        <f>"2561033880  "</f>
        <v xml:space="preserve">2561033880  </v>
      </c>
      <c r="E7258" t="s">
        <v>277</v>
      </c>
      <c r="F7258" t="s">
        <v>279</v>
      </c>
      <c r="G7258">
        <v>158</v>
      </c>
      <c r="H7258">
        <v>251030</v>
      </c>
      <c r="I7258">
        <v>4520</v>
      </c>
      <c r="J7258" t="s">
        <v>280</v>
      </c>
      <c r="K7258">
        <v>158</v>
      </c>
      <c r="L7258">
        <v>19.399999999999999</v>
      </c>
      <c r="M7258">
        <v>59113</v>
      </c>
      <c r="N7258" t="s">
        <v>61</v>
      </c>
      <c r="O7258">
        <v>251105</v>
      </c>
      <c r="P7258">
        <v>138.6</v>
      </c>
    </row>
    <row r="7259" spans="1:16" x14ac:dyDescent="0.25">
      <c r="A7259" t="s">
        <v>3296</v>
      </c>
      <c r="B7259" t="s">
        <v>2931</v>
      </c>
      <c r="C7259">
        <v>14601</v>
      </c>
      <c r="D7259" t="str">
        <f>"2561033879  "</f>
        <v xml:space="preserve">2561033879  </v>
      </c>
      <c r="E7259" t="s">
        <v>277</v>
      </c>
      <c r="F7259" t="s">
        <v>279</v>
      </c>
      <c r="G7259">
        <v>42.84</v>
      </c>
      <c r="H7259">
        <v>251103</v>
      </c>
      <c r="I7259">
        <v>4520</v>
      </c>
      <c r="J7259" t="s">
        <v>280</v>
      </c>
      <c r="K7259">
        <v>42.84</v>
      </c>
      <c r="L7259">
        <v>5.26</v>
      </c>
      <c r="M7259">
        <v>59114</v>
      </c>
      <c r="N7259" t="s">
        <v>299</v>
      </c>
      <c r="O7259">
        <v>251105</v>
      </c>
      <c r="P7259">
        <v>37.58</v>
      </c>
    </row>
    <row r="7260" spans="1:16" x14ac:dyDescent="0.25">
      <c r="A7260" t="s">
        <v>3296</v>
      </c>
      <c r="B7260" t="s">
        <v>2931</v>
      </c>
      <c r="C7260">
        <v>14649</v>
      </c>
      <c r="D7260" t="str">
        <f>"2561033884  "</f>
        <v xml:space="preserve">2561033884  </v>
      </c>
      <c r="E7260" t="s">
        <v>277</v>
      </c>
      <c r="F7260" t="s">
        <v>279</v>
      </c>
      <c r="G7260">
        <v>83.06</v>
      </c>
      <c r="H7260">
        <v>251103</v>
      </c>
      <c r="I7260">
        <v>4520</v>
      </c>
      <c r="J7260" t="s">
        <v>280</v>
      </c>
      <c r="K7260">
        <v>1585.29</v>
      </c>
      <c r="L7260">
        <v>16.88</v>
      </c>
      <c r="M7260">
        <v>16431</v>
      </c>
      <c r="N7260" t="s">
        <v>17</v>
      </c>
      <c r="O7260">
        <v>251105</v>
      </c>
      <c r="P7260">
        <v>66.180000000000007</v>
      </c>
    </row>
    <row r="7261" spans="1:16" x14ac:dyDescent="0.25">
      <c r="A7261" t="s">
        <v>3296</v>
      </c>
      <c r="B7261" t="s">
        <v>2931</v>
      </c>
      <c r="C7261">
        <v>14649</v>
      </c>
      <c r="D7261" t="str">
        <f>"2561033884  "</f>
        <v xml:space="preserve">2561033884  </v>
      </c>
      <c r="E7261" t="s">
        <v>277</v>
      </c>
      <c r="F7261" t="s">
        <v>279</v>
      </c>
      <c r="G7261">
        <v>61.8</v>
      </c>
      <c r="H7261">
        <v>251103</v>
      </c>
      <c r="I7261">
        <v>4520</v>
      </c>
      <c r="J7261" t="s">
        <v>280</v>
      </c>
      <c r="K7261">
        <v>1585.29</v>
      </c>
      <c r="L7261">
        <v>7.59</v>
      </c>
      <c r="M7261">
        <v>16442</v>
      </c>
      <c r="N7261" t="s">
        <v>304</v>
      </c>
      <c r="O7261">
        <v>251105</v>
      </c>
      <c r="P7261">
        <v>54.21</v>
      </c>
    </row>
    <row r="7262" spans="1:16" x14ac:dyDescent="0.25">
      <c r="A7262" t="s">
        <v>3296</v>
      </c>
      <c r="B7262" t="s">
        <v>2931</v>
      </c>
      <c r="C7262">
        <v>14649</v>
      </c>
      <c r="D7262" t="str">
        <f>"2561033884  "</f>
        <v xml:space="preserve">2561033884  </v>
      </c>
      <c r="E7262" t="s">
        <v>277</v>
      </c>
      <c r="F7262" t="s">
        <v>279</v>
      </c>
      <c r="G7262">
        <v>12.6</v>
      </c>
      <c r="H7262">
        <v>251103</v>
      </c>
      <c r="I7262">
        <v>4520</v>
      </c>
      <c r="J7262" t="s">
        <v>280</v>
      </c>
      <c r="K7262">
        <v>1585.29</v>
      </c>
      <c r="L7262">
        <v>2.56</v>
      </c>
      <c r="M7262">
        <v>17913</v>
      </c>
      <c r="N7262" t="s">
        <v>26</v>
      </c>
      <c r="O7262">
        <v>251105</v>
      </c>
      <c r="P7262">
        <v>10.039999999999999</v>
      </c>
    </row>
    <row r="7263" spans="1:16" x14ac:dyDescent="0.25">
      <c r="A7263" t="s">
        <v>3296</v>
      </c>
      <c r="B7263" t="s">
        <v>2931</v>
      </c>
      <c r="C7263">
        <v>14649</v>
      </c>
      <c r="D7263" t="str">
        <f>"2561033884  "</f>
        <v xml:space="preserve">2561033884  </v>
      </c>
      <c r="E7263" t="s">
        <v>277</v>
      </c>
      <c r="F7263" t="s">
        <v>279</v>
      </c>
      <c r="G7263">
        <v>1278.8599999999999</v>
      </c>
      <c r="H7263">
        <v>251103</v>
      </c>
      <c r="I7263">
        <v>4520</v>
      </c>
      <c r="J7263" t="s">
        <v>280</v>
      </c>
      <c r="K7263">
        <v>1585.29</v>
      </c>
      <c r="L7263">
        <v>157.05000000000001</v>
      </c>
      <c r="M7263">
        <v>17913</v>
      </c>
      <c r="N7263" t="s">
        <v>26</v>
      </c>
      <c r="O7263">
        <v>251105</v>
      </c>
      <c r="P7263">
        <v>1121.81</v>
      </c>
    </row>
    <row r="7264" spans="1:16" x14ac:dyDescent="0.25">
      <c r="A7264" t="s">
        <v>3296</v>
      </c>
      <c r="B7264" t="s">
        <v>2931</v>
      </c>
      <c r="C7264">
        <v>14649</v>
      </c>
      <c r="D7264" t="str">
        <f>"2561033884  "</f>
        <v xml:space="preserve">2561033884  </v>
      </c>
      <c r="E7264" t="s">
        <v>277</v>
      </c>
      <c r="F7264" t="s">
        <v>279</v>
      </c>
      <c r="G7264">
        <v>148.97</v>
      </c>
      <c r="H7264">
        <v>251103</v>
      </c>
      <c r="I7264">
        <v>4520</v>
      </c>
      <c r="J7264" t="s">
        <v>280</v>
      </c>
      <c r="K7264">
        <v>1585.29</v>
      </c>
      <c r="L7264">
        <v>18.29</v>
      </c>
      <c r="M7264">
        <v>17982</v>
      </c>
      <c r="N7264" t="s">
        <v>281</v>
      </c>
      <c r="O7264">
        <v>251105</v>
      </c>
      <c r="P7264">
        <v>130.68</v>
      </c>
    </row>
    <row r="7265" spans="1:16" x14ac:dyDescent="0.25">
      <c r="A7265" t="s">
        <v>3296</v>
      </c>
      <c r="B7265" t="s">
        <v>2931</v>
      </c>
      <c r="C7265">
        <v>14679</v>
      </c>
      <c r="D7265" t="str">
        <f>"2560985128  "</f>
        <v xml:space="preserve">2560985128  </v>
      </c>
      <c r="E7265" t="s">
        <v>277</v>
      </c>
      <c r="F7265" t="s">
        <v>279</v>
      </c>
      <c r="G7265">
        <v>2296.58</v>
      </c>
      <c r="H7265">
        <v>251027</v>
      </c>
      <c r="I7265">
        <v>4520</v>
      </c>
      <c r="J7265" t="s">
        <v>280</v>
      </c>
      <c r="K7265">
        <v>2476.27</v>
      </c>
      <c r="L7265">
        <v>282.04000000000002</v>
      </c>
      <c r="M7265">
        <v>49112</v>
      </c>
      <c r="N7265" t="s">
        <v>109</v>
      </c>
      <c r="O7265">
        <v>251106</v>
      </c>
      <c r="P7265">
        <v>2014.54</v>
      </c>
    </row>
    <row r="7266" spans="1:16" x14ac:dyDescent="0.25">
      <c r="A7266" t="s">
        <v>3296</v>
      </c>
      <c r="B7266" t="s">
        <v>2931</v>
      </c>
      <c r="C7266">
        <v>14709</v>
      </c>
      <c r="D7266" t="str">
        <f>"2561028210  "</f>
        <v xml:space="preserve">2561028210  </v>
      </c>
      <c r="E7266" t="s">
        <v>277</v>
      </c>
      <c r="F7266" t="s">
        <v>279</v>
      </c>
      <c r="G7266">
        <v>3784.54</v>
      </c>
      <c r="H7266">
        <v>251031</v>
      </c>
      <c r="I7266">
        <v>4520</v>
      </c>
      <c r="J7266" t="s">
        <v>280</v>
      </c>
      <c r="K7266">
        <v>3640.06</v>
      </c>
      <c r="L7266">
        <v>464.77</v>
      </c>
      <c r="M7266">
        <v>49112</v>
      </c>
      <c r="N7266" t="s">
        <v>109</v>
      </c>
      <c r="O7266">
        <v>251106</v>
      </c>
      <c r="P7266">
        <v>3319.77</v>
      </c>
    </row>
    <row r="7267" spans="1:16" x14ac:dyDescent="0.25">
      <c r="A7267" t="s">
        <v>3296</v>
      </c>
      <c r="B7267" t="s">
        <v>2931</v>
      </c>
      <c r="C7267">
        <v>14717</v>
      </c>
      <c r="D7267" t="str">
        <f>"2561033881  "</f>
        <v xml:space="preserve">2561033881  </v>
      </c>
      <c r="E7267" t="s">
        <v>277</v>
      </c>
      <c r="F7267" t="s">
        <v>279</v>
      </c>
      <c r="G7267">
        <v>77.290000000000006</v>
      </c>
      <c r="H7267">
        <v>251030</v>
      </c>
      <c r="I7267">
        <v>4520</v>
      </c>
      <c r="J7267" t="s">
        <v>280</v>
      </c>
      <c r="K7267">
        <v>77.290000000000006</v>
      </c>
      <c r="L7267">
        <v>9.49</v>
      </c>
      <c r="M7267">
        <v>49112</v>
      </c>
      <c r="N7267" t="s">
        <v>109</v>
      </c>
      <c r="O7267">
        <v>251106</v>
      </c>
      <c r="P7267">
        <v>67.8</v>
      </c>
    </row>
    <row r="7268" spans="1:16" x14ac:dyDescent="0.25">
      <c r="A7268" t="s">
        <v>3296</v>
      </c>
      <c r="B7268" t="s">
        <v>2931</v>
      </c>
      <c r="C7268">
        <v>14831</v>
      </c>
      <c r="D7268" t="str">
        <f t="shared" ref="D7268:D7279" si="140">"2560985132  "</f>
        <v xml:space="preserve">2560985132  </v>
      </c>
      <c r="E7268" t="s">
        <v>277</v>
      </c>
      <c r="F7268" t="s">
        <v>279</v>
      </c>
      <c r="G7268">
        <v>15.27</v>
      </c>
      <c r="H7268">
        <v>251027</v>
      </c>
      <c r="I7268">
        <v>4520</v>
      </c>
      <c r="J7268" t="s">
        <v>280</v>
      </c>
      <c r="K7268">
        <v>7303.92</v>
      </c>
      <c r="L7268">
        <v>3.1</v>
      </c>
      <c r="M7268">
        <v>14422</v>
      </c>
      <c r="N7268" t="s">
        <v>73</v>
      </c>
      <c r="O7268">
        <v>251107</v>
      </c>
      <c r="P7268">
        <v>12.17</v>
      </c>
    </row>
    <row r="7269" spans="1:16" x14ac:dyDescent="0.25">
      <c r="A7269" t="s">
        <v>3296</v>
      </c>
      <c r="B7269" t="s">
        <v>2931</v>
      </c>
      <c r="C7269">
        <v>14831</v>
      </c>
      <c r="D7269" t="str">
        <f t="shared" si="140"/>
        <v xml:space="preserve">2560985132  </v>
      </c>
      <c r="E7269" t="s">
        <v>277</v>
      </c>
      <c r="F7269" t="s">
        <v>279</v>
      </c>
      <c r="G7269">
        <v>57.76</v>
      </c>
      <c r="H7269">
        <v>251027</v>
      </c>
      <c r="I7269">
        <v>4520</v>
      </c>
      <c r="J7269" t="s">
        <v>280</v>
      </c>
      <c r="K7269">
        <v>7303.92</v>
      </c>
      <c r="L7269">
        <v>7.09</v>
      </c>
      <c r="M7269">
        <v>14422</v>
      </c>
      <c r="N7269" t="s">
        <v>73</v>
      </c>
      <c r="O7269">
        <v>251107</v>
      </c>
      <c r="P7269">
        <v>50.67</v>
      </c>
    </row>
    <row r="7270" spans="1:16" x14ac:dyDescent="0.25">
      <c r="A7270" t="s">
        <v>3296</v>
      </c>
      <c r="B7270" t="s">
        <v>2931</v>
      </c>
      <c r="C7270">
        <v>14831</v>
      </c>
      <c r="D7270" t="str">
        <f t="shared" si="140"/>
        <v xml:space="preserve">2560985132  </v>
      </c>
      <c r="E7270" t="s">
        <v>277</v>
      </c>
      <c r="F7270" t="s">
        <v>279</v>
      </c>
      <c r="G7270">
        <v>61.1</v>
      </c>
      <c r="H7270">
        <v>251027</v>
      </c>
      <c r="I7270">
        <v>4520</v>
      </c>
      <c r="J7270" t="s">
        <v>280</v>
      </c>
      <c r="K7270">
        <v>7303.92</v>
      </c>
      <c r="L7270">
        <v>12.41</v>
      </c>
      <c r="M7270">
        <v>14431</v>
      </c>
      <c r="N7270" t="s">
        <v>74</v>
      </c>
      <c r="O7270">
        <v>251107</v>
      </c>
      <c r="P7270">
        <v>48.69</v>
      </c>
    </row>
    <row r="7271" spans="1:16" x14ac:dyDescent="0.25">
      <c r="A7271" t="s">
        <v>3296</v>
      </c>
      <c r="B7271" t="s">
        <v>2931</v>
      </c>
      <c r="C7271">
        <v>14831</v>
      </c>
      <c r="D7271" t="str">
        <f t="shared" si="140"/>
        <v xml:space="preserve">2560985132  </v>
      </c>
      <c r="E7271" t="s">
        <v>277</v>
      </c>
      <c r="F7271" t="s">
        <v>279</v>
      </c>
      <c r="G7271">
        <v>231.06</v>
      </c>
      <c r="H7271">
        <v>251027</v>
      </c>
      <c r="I7271">
        <v>4520</v>
      </c>
      <c r="J7271" t="s">
        <v>280</v>
      </c>
      <c r="K7271">
        <v>7303.92</v>
      </c>
      <c r="L7271">
        <v>28.38</v>
      </c>
      <c r="M7271">
        <v>14431</v>
      </c>
      <c r="N7271" t="s">
        <v>74</v>
      </c>
      <c r="O7271">
        <v>251107</v>
      </c>
      <c r="P7271">
        <v>202.68</v>
      </c>
    </row>
    <row r="7272" spans="1:16" x14ac:dyDescent="0.25">
      <c r="A7272" t="s">
        <v>3296</v>
      </c>
      <c r="B7272" t="s">
        <v>2931</v>
      </c>
      <c r="C7272">
        <v>14831</v>
      </c>
      <c r="D7272" t="str">
        <f t="shared" si="140"/>
        <v xml:space="preserve">2560985132  </v>
      </c>
      <c r="E7272" t="s">
        <v>277</v>
      </c>
      <c r="F7272" t="s">
        <v>279</v>
      </c>
      <c r="G7272">
        <v>259.67</v>
      </c>
      <c r="H7272">
        <v>251027</v>
      </c>
      <c r="I7272">
        <v>4520</v>
      </c>
      <c r="J7272" t="s">
        <v>280</v>
      </c>
      <c r="K7272">
        <v>7303.92</v>
      </c>
      <c r="L7272">
        <v>52.76</v>
      </c>
      <c r="M7272">
        <v>14432</v>
      </c>
      <c r="N7272" t="s">
        <v>75</v>
      </c>
      <c r="O7272">
        <v>251107</v>
      </c>
      <c r="P7272">
        <v>206.91</v>
      </c>
    </row>
    <row r="7273" spans="1:16" x14ac:dyDescent="0.25">
      <c r="A7273" t="s">
        <v>3296</v>
      </c>
      <c r="B7273" t="s">
        <v>2931</v>
      </c>
      <c r="C7273">
        <v>14831</v>
      </c>
      <c r="D7273" t="str">
        <f t="shared" si="140"/>
        <v xml:space="preserve">2560985132  </v>
      </c>
      <c r="E7273" t="s">
        <v>277</v>
      </c>
      <c r="F7273" t="s">
        <v>279</v>
      </c>
      <c r="G7273">
        <v>981.99</v>
      </c>
      <c r="H7273">
        <v>251027</v>
      </c>
      <c r="I7273">
        <v>4520</v>
      </c>
      <c r="J7273" t="s">
        <v>280</v>
      </c>
      <c r="K7273">
        <v>7303.92</v>
      </c>
      <c r="L7273">
        <v>120.6</v>
      </c>
      <c r="M7273">
        <v>14432</v>
      </c>
      <c r="N7273" t="s">
        <v>75</v>
      </c>
      <c r="O7273">
        <v>251107</v>
      </c>
      <c r="P7273">
        <v>861.39</v>
      </c>
    </row>
    <row r="7274" spans="1:16" x14ac:dyDescent="0.25">
      <c r="A7274" t="s">
        <v>3296</v>
      </c>
      <c r="B7274" t="s">
        <v>2931</v>
      </c>
      <c r="C7274">
        <v>14831</v>
      </c>
      <c r="D7274" t="str">
        <f t="shared" si="140"/>
        <v xml:space="preserve">2560985132  </v>
      </c>
      <c r="E7274" t="s">
        <v>277</v>
      </c>
      <c r="F7274" t="s">
        <v>279</v>
      </c>
      <c r="G7274">
        <v>15.28</v>
      </c>
      <c r="H7274">
        <v>251027</v>
      </c>
      <c r="I7274">
        <v>4520</v>
      </c>
      <c r="J7274" t="s">
        <v>280</v>
      </c>
      <c r="K7274">
        <v>7303.92</v>
      </c>
      <c r="L7274">
        <v>3.1</v>
      </c>
      <c r="M7274">
        <v>14640</v>
      </c>
      <c r="N7274" t="s">
        <v>78</v>
      </c>
      <c r="O7274">
        <v>251107</v>
      </c>
      <c r="P7274">
        <v>12.18</v>
      </c>
    </row>
    <row r="7275" spans="1:16" x14ac:dyDescent="0.25">
      <c r="A7275" t="s">
        <v>3296</v>
      </c>
      <c r="B7275" t="s">
        <v>2931</v>
      </c>
      <c r="C7275">
        <v>14831</v>
      </c>
      <c r="D7275" t="str">
        <f t="shared" si="140"/>
        <v xml:space="preserve">2560985132  </v>
      </c>
      <c r="E7275" t="s">
        <v>277</v>
      </c>
      <c r="F7275" t="s">
        <v>279</v>
      </c>
      <c r="G7275">
        <v>57.77</v>
      </c>
      <c r="H7275">
        <v>251027</v>
      </c>
      <c r="I7275">
        <v>4520</v>
      </c>
      <c r="J7275" t="s">
        <v>280</v>
      </c>
      <c r="K7275">
        <v>7303.92</v>
      </c>
      <c r="L7275">
        <v>7.09</v>
      </c>
      <c r="M7275">
        <v>14640</v>
      </c>
      <c r="N7275" t="s">
        <v>78</v>
      </c>
      <c r="O7275">
        <v>251107</v>
      </c>
      <c r="P7275">
        <v>50.68</v>
      </c>
    </row>
    <row r="7276" spans="1:16" x14ac:dyDescent="0.25">
      <c r="A7276" t="s">
        <v>3296</v>
      </c>
      <c r="B7276" t="s">
        <v>2931</v>
      </c>
      <c r="C7276">
        <v>14831</v>
      </c>
      <c r="D7276" t="str">
        <f t="shared" si="140"/>
        <v xml:space="preserve">2560985132  </v>
      </c>
      <c r="E7276" t="s">
        <v>277</v>
      </c>
      <c r="F7276" t="s">
        <v>279</v>
      </c>
      <c r="G7276">
        <v>61.1</v>
      </c>
      <c r="H7276">
        <v>251027</v>
      </c>
      <c r="I7276">
        <v>4520</v>
      </c>
      <c r="J7276" t="s">
        <v>280</v>
      </c>
      <c r="K7276">
        <v>7303.92</v>
      </c>
      <c r="L7276">
        <v>12.41</v>
      </c>
      <c r="M7276">
        <v>14642</v>
      </c>
      <c r="N7276" t="s">
        <v>283</v>
      </c>
      <c r="O7276">
        <v>251107</v>
      </c>
      <c r="P7276">
        <v>48.69</v>
      </c>
    </row>
    <row r="7277" spans="1:16" x14ac:dyDescent="0.25">
      <c r="A7277" t="s">
        <v>3296</v>
      </c>
      <c r="B7277" t="s">
        <v>2931</v>
      </c>
      <c r="C7277">
        <v>14831</v>
      </c>
      <c r="D7277" t="str">
        <f t="shared" si="140"/>
        <v xml:space="preserve">2560985132  </v>
      </c>
      <c r="E7277" t="s">
        <v>277</v>
      </c>
      <c r="F7277" t="s">
        <v>279</v>
      </c>
      <c r="G7277">
        <v>231.06</v>
      </c>
      <c r="H7277">
        <v>251027</v>
      </c>
      <c r="I7277">
        <v>4520</v>
      </c>
      <c r="J7277" t="s">
        <v>280</v>
      </c>
      <c r="K7277">
        <v>7303.92</v>
      </c>
      <c r="L7277">
        <v>28.38</v>
      </c>
      <c r="M7277">
        <v>14642</v>
      </c>
      <c r="N7277" t="s">
        <v>283</v>
      </c>
      <c r="O7277">
        <v>251107</v>
      </c>
      <c r="P7277">
        <v>202.68</v>
      </c>
    </row>
    <row r="7278" spans="1:16" x14ac:dyDescent="0.25">
      <c r="A7278" t="s">
        <v>3296</v>
      </c>
      <c r="B7278" t="s">
        <v>2931</v>
      </c>
      <c r="C7278">
        <v>14831</v>
      </c>
      <c r="D7278" t="str">
        <f t="shared" si="140"/>
        <v xml:space="preserve">2560985132  </v>
      </c>
      <c r="E7278" t="s">
        <v>277</v>
      </c>
      <c r="F7278" t="s">
        <v>279</v>
      </c>
      <c r="G7278">
        <v>1115.07</v>
      </c>
      <c r="H7278">
        <v>251027</v>
      </c>
      <c r="I7278">
        <v>4520</v>
      </c>
      <c r="J7278" t="s">
        <v>280</v>
      </c>
      <c r="K7278">
        <v>7303.92</v>
      </c>
      <c r="L7278">
        <v>226.57</v>
      </c>
      <c r="M7278">
        <v>14912</v>
      </c>
      <c r="N7278" t="s">
        <v>80</v>
      </c>
      <c r="O7278">
        <v>251107</v>
      </c>
      <c r="P7278">
        <v>888.5</v>
      </c>
    </row>
    <row r="7279" spans="1:16" x14ac:dyDescent="0.25">
      <c r="A7279" t="s">
        <v>3296</v>
      </c>
      <c r="B7279" t="s">
        <v>2931</v>
      </c>
      <c r="C7279">
        <v>14831</v>
      </c>
      <c r="D7279" t="str">
        <f t="shared" si="140"/>
        <v xml:space="preserve">2560985132  </v>
      </c>
      <c r="E7279" t="s">
        <v>277</v>
      </c>
      <c r="F7279" t="s">
        <v>279</v>
      </c>
      <c r="G7279">
        <v>4216.79</v>
      </c>
      <c r="H7279">
        <v>251027</v>
      </c>
      <c r="I7279">
        <v>4520</v>
      </c>
      <c r="J7279" t="s">
        <v>280</v>
      </c>
      <c r="K7279">
        <v>7303.92</v>
      </c>
      <c r="L7279">
        <v>517.85</v>
      </c>
      <c r="M7279">
        <v>14912</v>
      </c>
      <c r="N7279" t="s">
        <v>80</v>
      </c>
      <c r="O7279">
        <v>251107</v>
      </c>
      <c r="P7279">
        <v>3698.94</v>
      </c>
    </row>
    <row r="7280" spans="1:16" x14ac:dyDescent="0.25">
      <c r="A7280" t="s">
        <v>3296</v>
      </c>
      <c r="B7280" t="s">
        <v>2931</v>
      </c>
      <c r="C7280">
        <v>14875</v>
      </c>
      <c r="D7280" t="str">
        <f t="shared" ref="D7280:D7291" si="141">"2561028214  "</f>
        <v xml:space="preserve">2561028214  </v>
      </c>
      <c r="E7280" t="s">
        <v>277</v>
      </c>
      <c r="F7280" t="s">
        <v>279</v>
      </c>
      <c r="G7280">
        <v>12.5</v>
      </c>
      <c r="H7280">
        <v>251031</v>
      </c>
      <c r="I7280">
        <v>4520</v>
      </c>
      <c r="J7280" t="s">
        <v>280</v>
      </c>
      <c r="K7280">
        <v>6819.8</v>
      </c>
      <c r="L7280">
        <v>2.54</v>
      </c>
      <c r="M7280">
        <v>14422</v>
      </c>
      <c r="N7280" t="s">
        <v>73</v>
      </c>
      <c r="O7280">
        <v>251107</v>
      </c>
      <c r="P7280">
        <v>9.9600000000000009</v>
      </c>
    </row>
    <row r="7281" spans="1:16" x14ac:dyDescent="0.25">
      <c r="A7281" t="s">
        <v>3296</v>
      </c>
      <c r="B7281" t="s">
        <v>2931</v>
      </c>
      <c r="C7281">
        <v>14875</v>
      </c>
      <c r="D7281" t="str">
        <f t="shared" si="141"/>
        <v xml:space="preserve">2561028214  </v>
      </c>
      <c r="E7281" t="s">
        <v>277</v>
      </c>
      <c r="F7281" t="s">
        <v>279</v>
      </c>
      <c r="G7281">
        <v>55.69</v>
      </c>
      <c r="H7281">
        <v>251031</v>
      </c>
      <c r="I7281">
        <v>4520</v>
      </c>
      <c r="J7281" t="s">
        <v>280</v>
      </c>
      <c r="K7281">
        <v>6819.8</v>
      </c>
      <c r="L7281">
        <v>6.84</v>
      </c>
      <c r="M7281">
        <v>14422</v>
      </c>
      <c r="N7281" t="s">
        <v>73</v>
      </c>
      <c r="O7281">
        <v>251107</v>
      </c>
      <c r="P7281">
        <v>48.85</v>
      </c>
    </row>
    <row r="7282" spans="1:16" x14ac:dyDescent="0.25">
      <c r="A7282" t="s">
        <v>3296</v>
      </c>
      <c r="B7282" t="s">
        <v>2931</v>
      </c>
      <c r="C7282">
        <v>14875</v>
      </c>
      <c r="D7282" t="str">
        <f t="shared" si="141"/>
        <v xml:space="preserve">2561028214  </v>
      </c>
      <c r="E7282" t="s">
        <v>277</v>
      </c>
      <c r="F7282" t="s">
        <v>279</v>
      </c>
      <c r="G7282">
        <v>50.02</v>
      </c>
      <c r="H7282">
        <v>251031</v>
      </c>
      <c r="I7282">
        <v>4520</v>
      </c>
      <c r="J7282" t="s">
        <v>280</v>
      </c>
      <c r="K7282">
        <v>6819.8</v>
      </c>
      <c r="L7282">
        <v>10.16</v>
      </c>
      <c r="M7282">
        <v>14431</v>
      </c>
      <c r="N7282" t="s">
        <v>74</v>
      </c>
      <c r="O7282">
        <v>251107</v>
      </c>
      <c r="P7282">
        <v>39.86</v>
      </c>
    </row>
    <row r="7283" spans="1:16" x14ac:dyDescent="0.25">
      <c r="A7283" t="s">
        <v>3296</v>
      </c>
      <c r="B7283" t="s">
        <v>2931</v>
      </c>
      <c r="C7283">
        <v>14875</v>
      </c>
      <c r="D7283" t="str">
        <f t="shared" si="141"/>
        <v xml:space="preserve">2561028214  </v>
      </c>
      <c r="E7283" t="s">
        <v>277</v>
      </c>
      <c r="F7283" t="s">
        <v>279</v>
      </c>
      <c r="G7283">
        <v>222.78</v>
      </c>
      <c r="H7283">
        <v>251031</v>
      </c>
      <c r="I7283">
        <v>4520</v>
      </c>
      <c r="J7283" t="s">
        <v>280</v>
      </c>
      <c r="K7283">
        <v>6819.8</v>
      </c>
      <c r="L7283">
        <v>27.36</v>
      </c>
      <c r="M7283">
        <v>14431</v>
      </c>
      <c r="N7283" t="s">
        <v>74</v>
      </c>
      <c r="O7283">
        <v>251107</v>
      </c>
      <c r="P7283">
        <v>195.42</v>
      </c>
    </row>
    <row r="7284" spans="1:16" x14ac:dyDescent="0.25">
      <c r="A7284" t="s">
        <v>3296</v>
      </c>
      <c r="B7284" t="s">
        <v>2931</v>
      </c>
      <c r="C7284">
        <v>14875</v>
      </c>
      <c r="D7284" t="str">
        <f t="shared" si="141"/>
        <v xml:space="preserve">2561028214  </v>
      </c>
      <c r="E7284" t="s">
        <v>277</v>
      </c>
      <c r="F7284" t="s">
        <v>279</v>
      </c>
      <c r="G7284">
        <v>212.57</v>
      </c>
      <c r="H7284">
        <v>251031</v>
      </c>
      <c r="I7284">
        <v>4520</v>
      </c>
      <c r="J7284" t="s">
        <v>280</v>
      </c>
      <c r="K7284">
        <v>6819.8</v>
      </c>
      <c r="L7284">
        <v>43.19</v>
      </c>
      <c r="M7284">
        <v>14432</v>
      </c>
      <c r="N7284" t="s">
        <v>75</v>
      </c>
      <c r="O7284">
        <v>251107</v>
      </c>
      <c r="P7284">
        <v>169.38</v>
      </c>
    </row>
    <row r="7285" spans="1:16" x14ac:dyDescent="0.25">
      <c r="A7285" t="s">
        <v>3296</v>
      </c>
      <c r="B7285" t="s">
        <v>2931</v>
      </c>
      <c r="C7285">
        <v>14875</v>
      </c>
      <c r="D7285" t="str">
        <f t="shared" si="141"/>
        <v xml:space="preserve">2561028214  </v>
      </c>
      <c r="E7285" t="s">
        <v>277</v>
      </c>
      <c r="F7285" t="s">
        <v>279</v>
      </c>
      <c r="G7285">
        <v>946.8</v>
      </c>
      <c r="H7285">
        <v>251031</v>
      </c>
      <c r="I7285">
        <v>4520</v>
      </c>
      <c r="J7285" t="s">
        <v>280</v>
      </c>
      <c r="K7285">
        <v>6819.8</v>
      </c>
      <c r="L7285">
        <v>116.27</v>
      </c>
      <c r="M7285">
        <v>14432</v>
      </c>
      <c r="N7285" t="s">
        <v>75</v>
      </c>
      <c r="O7285">
        <v>251107</v>
      </c>
      <c r="P7285">
        <v>830.53</v>
      </c>
    </row>
    <row r="7286" spans="1:16" x14ac:dyDescent="0.25">
      <c r="A7286" t="s">
        <v>3296</v>
      </c>
      <c r="B7286" t="s">
        <v>2931</v>
      </c>
      <c r="C7286">
        <v>14875</v>
      </c>
      <c r="D7286" t="str">
        <f t="shared" si="141"/>
        <v xml:space="preserve">2561028214  </v>
      </c>
      <c r="E7286" t="s">
        <v>277</v>
      </c>
      <c r="F7286" t="s">
        <v>279</v>
      </c>
      <c r="G7286">
        <v>12.5</v>
      </c>
      <c r="H7286">
        <v>251031</v>
      </c>
      <c r="I7286">
        <v>4520</v>
      </c>
      <c r="J7286" t="s">
        <v>280</v>
      </c>
      <c r="K7286">
        <v>6819.8</v>
      </c>
      <c r="L7286">
        <v>2.54</v>
      </c>
      <c r="M7286">
        <v>14640</v>
      </c>
      <c r="N7286" t="s">
        <v>78</v>
      </c>
      <c r="O7286">
        <v>251107</v>
      </c>
      <c r="P7286">
        <v>9.9600000000000009</v>
      </c>
    </row>
    <row r="7287" spans="1:16" x14ac:dyDescent="0.25">
      <c r="A7287" t="s">
        <v>3296</v>
      </c>
      <c r="B7287" t="s">
        <v>2931</v>
      </c>
      <c r="C7287">
        <v>14875</v>
      </c>
      <c r="D7287" t="str">
        <f t="shared" si="141"/>
        <v xml:space="preserve">2561028214  </v>
      </c>
      <c r="E7287" t="s">
        <v>277</v>
      </c>
      <c r="F7287" t="s">
        <v>279</v>
      </c>
      <c r="G7287">
        <v>55.69</v>
      </c>
      <c r="H7287">
        <v>251031</v>
      </c>
      <c r="I7287">
        <v>4520</v>
      </c>
      <c r="J7287" t="s">
        <v>280</v>
      </c>
      <c r="K7287">
        <v>6819.8</v>
      </c>
      <c r="L7287">
        <v>6.84</v>
      </c>
      <c r="M7287">
        <v>14640</v>
      </c>
      <c r="N7287" t="s">
        <v>78</v>
      </c>
      <c r="O7287">
        <v>251107</v>
      </c>
      <c r="P7287">
        <v>48.85</v>
      </c>
    </row>
    <row r="7288" spans="1:16" x14ac:dyDescent="0.25">
      <c r="A7288" t="s">
        <v>3296</v>
      </c>
      <c r="B7288" t="s">
        <v>2931</v>
      </c>
      <c r="C7288">
        <v>14875</v>
      </c>
      <c r="D7288" t="str">
        <f t="shared" si="141"/>
        <v xml:space="preserve">2561028214  </v>
      </c>
      <c r="E7288" t="s">
        <v>277</v>
      </c>
      <c r="F7288" t="s">
        <v>279</v>
      </c>
      <c r="G7288">
        <v>50.02</v>
      </c>
      <c r="H7288">
        <v>251031</v>
      </c>
      <c r="I7288">
        <v>4520</v>
      </c>
      <c r="J7288" t="s">
        <v>280</v>
      </c>
      <c r="K7288">
        <v>6819.8</v>
      </c>
      <c r="L7288">
        <v>10.16</v>
      </c>
      <c r="M7288">
        <v>14642</v>
      </c>
      <c r="N7288" t="s">
        <v>283</v>
      </c>
      <c r="O7288">
        <v>251107</v>
      </c>
      <c r="P7288">
        <v>39.86</v>
      </c>
    </row>
    <row r="7289" spans="1:16" x14ac:dyDescent="0.25">
      <c r="A7289" t="s">
        <v>3296</v>
      </c>
      <c r="B7289" t="s">
        <v>2931</v>
      </c>
      <c r="C7289">
        <v>14875</v>
      </c>
      <c r="D7289" t="str">
        <f t="shared" si="141"/>
        <v xml:space="preserve">2561028214  </v>
      </c>
      <c r="E7289" t="s">
        <v>277</v>
      </c>
      <c r="F7289" t="s">
        <v>279</v>
      </c>
      <c r="G7289">
        <v>222.78</v>
      </c>
      <c r="H7289">
        <v>251031</v>
      </c>
      <c r="I7289">
        <v>4520</v>
      </c>
      <c r="J7289" t="s">
        <v>280</v>
      </c>
      <c r="K7289">
        <v>6819.8</v>
      </c>
      <c r="L7289">
        <v>27.36</v>
      </c>
      <c r="M7289">
        <v>14642</v>
      </c>
      <c r="N7289" t="s">
        <v>283</v>
      </c>
      <c r="O7289">
        <v>251107</v>
      </c>
      <c r="P7289">
        <v>195.42</v>
      </c>
    </row>
    <row r="7290" spans="1:16" x14ac:dyDescent="0.25">
      <c r="A7290" t="s">
        <v>3296</v>
      </c>
      <c r="B7290" t="s">
        <v>2931</v>
      </c>
      <c r="C7290">
        <v>14875</v>
      </c>
      <c r="D7290" t="str">
        <f t="shared" si="141"/>
        <v xml:space="preserve">2561028214  </v>
      </c>
      <c r="E7290" t="s">
        <v>277</v>
      </c>
      <c r="F7290" t="s">
        <v>279</v>
      </c>
      <c r="G7290">
        <v>912.8</v>
      </c>
      <c r="H7290">
        <v>251031</v>
      </c>
      <c r="I7290">
        <v>4520</v>
      </c>
      <c r="J7290" t="s">
        <v>280</v>
      </c>
      <c r="K7290">
        <v>6819.8</v>
      </c>
      <c r="L7290">
        <v>185.47</v>
      </c>
      <c r="M7290">
        <v>14912</v>
      </c>
      <c r="N7290" t="s">
        <v>80</v>
      </c>
      <c r="O7290">
        <v>251107</v>
      </c>
      <c r="P7290">
        <v>727.33</v>
      </c>
    </row>
    <row r="7291" spans="1:16" x14ac:dyDescent="0.25">
      <c r="A7291" t="s">
        <v>3296</v>
      </c>
      <c r="B7291" t="s">
        <v>2931</v>
      </c>
      <c r="C7291">
        <v>14875</v>
      </c>
      <c r="D7291" t="str">
        <f t="shared" si="141"/>
        <v xml:space="preserve">2561028214  </v>
      </c>
      <c r="E7291" t="s">
        <v>277</v>
      </c>
      <c r="F7291" t="s">
        <v>279</v>
      </c>
      <c r="G7291">
        <v>4065.65</v>
      </c>
      <c r="H7291">
        <v>251031</v>
      </c>
      <c r="I7291">
        <v>4520</v>
      </c>
      <c r="J7291" t="s">
        <v>280</v>
      </c>
      <c r="K7291">
        <v>6819.8</v>
      </c>
      <c r="L7291">
        <v>499.29</v>
      </c>
      <c r="M7291">
        <v>14912</v>
      </c>
      <c r="N7291" t="s">
        <v>80</v>
      </c>
      <c r="O7291">
        <v>251107</v>
      </c>
      <c r="P7291">
        <v>3566.36</v>
      </c>
    </row>
    <row r="7292" spans="1:16" x14ac:dyDescent="0.25">
      <c r="A7292" t="s">
        <v>3296</v>
      </c>
      <c r="B7292" t="s">
        <v>2931</v>
      </c>
      <c r="C7292">
        <v>14906</v>
      </c>
      <c r="D7292" t="str">
        <f t="shared" ref="D7292:D7297" si="142">"2561033885  "</f>
        <v xml:space="preserve">2561033885  </v>
      </c>
      <c r="E7292" t="s">
        <v>277</v>
      </c>
      <c r="F7292" t="s">
        <v>279</v>
      </c>
      <c r="G7292">
        <v>5.17</v>
      </c>
      <c r="H7292">
        <v>251030</v>
      </c>
      <c r="I7292">
        <v>4520</v>
      </c>
      <c r="J7292" t="s">
        <v>280</v>
      </c>
      <c r="K7292">
        <v>517.22</v>
      </c>
      <c r="L7292">
        <v>0.63</v>
      </c>
      <c r="M7292">
        <v>14422</v>
      </c>
      <c r="N7292" t="s">
        <v>73</v>
      </c>
      <c r="O7292">
        <v>251107</v>
      </c>
      <c r="P7292">
        <v>4.54</v>
      </c>
    </row>
    <row r="7293" spans="1:16" x14ac:dyDescent="0.25">
      <c r="A7293" t="s">
        <v>3296</v>
      </c>
      <c r="B7293" t="s">
        <v>2931</v>
      </c>
      <c r="C7293">
        <v>14906</v>
      </c>
      <c r="D7293" t="str">
        <f t="shared" si="142"/>
        <v xml:space="preserve">2561033885  </v>
      </c>
      <c r="E7293" t="s">
        <v>277</v>
      </c>
      <c r="F7293" t="s">
        <v>279</v>
      </c>
      <c r="G7293">
        <v>20.69</v>
      </c>
      <c r="H7293">
        <v>251030</v>
      </c>
      <c r="I7293">
        <v>4520</v>
      </c>
      <c r="J7293" t="s">
        <v>280</v>
      </c>
      <c r="K7293">
        <v>517.22</v>
      </c>
      <c r="L7293">
        <v>2.54</v>
      </c>
      <c r="M7293">
        <v>14431</v>
      </c>
      <c r="N7293" t="s">
        <v>74</v>
      </c>
      <c r="O7293">
        <v>251107</v>
      </c>
      <c r="P7293">
        <v>18.149999999999999</v>
      </c>
    </row>
    <row r="7294" spans="1:16" x14ac:dyDescent="0.25">
      <c r="A7294" t="s">
        <v>3296</v>
      </c>
      <c r="B7294" t="s">
        <v>2931</v>
      </c>
      <c r="C7294">
        <v>14906</v>
      </c>
      <c r="D7294" t="str">
        <f t="shared" si="142"/>
        <v xml:space="preserve">2561033885  </v>
      </c>
      <c r="E7294" t="s">
        <v>277</v>
      </c>
      <c r="F7294" t="s">
        <v>279</v>
      </c>
      <c r="G7294">
        <v>87.93</v>
      </c>
      <c r="H7294">
        <v>251030</v>
      </c>
      <c r="I7294">
        <v>4520</v>
      </c>
      <c r="J7294" t="s">
        <v>280</v>
      </c>
      <c r="K7294">
        <v>517.22</v>
      </c>
      <c r="L7294">
        <v>10.8</v>
      </c>
      <c r="M7294">
        <v>14432</v>
      </c>
      <c r="N7294" t="s">
        <v>75</v>
      </c>
      <c r="O7294">
        <v>251107</v>
      </c>
      <c r="P7294">
        <v>77.13</v>
      </c>
    </row>
    <row r="7295" spans="1:16" x14ac:dyDescent="0.25">
      <c r="A7295" t="s">
        <v>3296</v>
      </c>
      <c r="B7295" t="s">
        <v>2931</v>
      </c>
      <c r="C7295">
        <v>14906</v>
      </c>
      <c r="D7295" t="str">
        <f t="shared" si="142"/>
        <v xml:space="preserve">2561033885  </v>
      </c>
      <c r="E7295" t="s">
        <v>277</v>
      </c>
      <c r="F7295" t="s">
        <v>279</v>
      </c>
      <c r="G7295">
        <v>5.17</v>
      </c>
      <c r="H7295">
        <v>251030</v>
      </c>
      <c r="I7295">
        <v>4520</v>
      </c>
      <c r="J7295" t="s">
        <v>280</v>
      </c>
      <c r="K7295">
        <v>517.22</v>
      </c>
      <c r="L7295">
        <v>0.63</v>
      </c>
      <c r="M7295">
        <v>14640</v>
      </c>
      <c r="N7295" t="s">
        <v>78</v>
      </c>
      <c r="O7295">
        <v>251107</v>
      </c>
      <c r="P7295">
        <v>4.54</v>
      </c>
    </row>
    <row r="7296" spans="1:16" x14ac:dyDescent="0.25">
      <c r="A7296" t="s">
        <v>3296</v>
      </c>
      <c r="B7296" t="s">
        <v>2931</v>
      </c>
      <c r="C7296">
        <v>14906</v>
      </c>
      <c r="D7296" t="str">
        <f t="shared" si="142"/>
        <v xml:space="preserve">2561033885  </v>
      </c>
      <c r="E7296" t="s">
        <v>277</v>
      </c>
      <c r="F7296" t="s">
        <v>279</v>
      </c>
      <c r="G7296">
        <v>20.69</v>
      </c>
      <c r="H7296">
        <v>251030</v>
      </c>
      <c r="I7296">
        <v>4520</v>
      </c>
      <c r="J7296" t="s">
        <v>280</v>
      </c>
      <c r="K7296">
        <v>517.22</v>
      </c>
      <c r="L7296">
        <v>2.54</v>
      </c>
      <c r="M7296">
        <v>14642</v>
      </c>
      <c r="N7296" t="s">
        <v>283</v>
      </c>
      <c r="O7296">
        <v>251107</v>
      </c>
      <c r="P7296">
        <v>18.149999999999999</v>
      </c>
    </row>
    <row r="7297" spans="1:16" x14ac:dyDescent="0.25">
      <c r="A7297" t="s">
        <v>3296</v>
      </c>
      <c r="B7297" t="s">
        <v>2931</v>
      </c>
      <c r="C7297">
        <v>14906</v>
      </c>
      <c r="D7297" t="str">
        <f t="shared" si="142"/>
        <v xml:space="preserve">2561033885  </v>
      </c>
      <c r="E7297" t="s">
        <v>277</v>
      </c>
      <c r="F7297" t="s">
        <v>279</v>
      </c>
      <c r="G7297">
        <v>377.57</v>
      </c>
      <c r="H7297">
        <v>251030</v>
      </c>
      <c r="I7297">
        <v>4520</v>
      </c>
      <c r="J7297" t="s">
        <v>280</v>
      </c>
      <c r="K7297">
        <v>517.22</v>
      </c>
      <c r="L7297">
        <v>46.37</v>
      </c>
      <c r="M7297">
        <v>14912</v>
      </c>
      <c r="N7297" t="s">
        <v>80</v>
      </c>
      <c r="O7297">
        <v>251107</v>
      </c>
      <c r="P7297">
        <v>331.2</v>
      </c>
    </row>
    <row r="7298" spans="1:16" x14ac:dyDescent="0.25">
      <c r="A7298" t="s">
        <v>3296</v>
      </c>
      <c r="B7298" t="s">
        <v>2931</v>
      </c>
      <c r="C7298">
        <v>15058</v>
      </c>
      <c r="D7298" t="str">
        <f>"2561028209  "</f>
        <v xml:space="preserve">2561028209  </v>
      </c>
      <c r="E7298" t="s">
        <v>277</v>
      </c>
      <c r="F7298" t="s">
        <v>279</v>
      </c>
      <c r="G7298">
        <v>2042.61</v>
      </c>
      <c r="H7298">
        <v>251031</v>
      </c>
      <c r="I7298">
        <v>4520</v>
      </c>
      <c r="J7298" t="s">
        <v>280</v>
      </c>
      <c r="K7298">
        <v>2798.51</v>
      </c>
      <c r="L7298">
        <v>250.85</v>
      </c>
      <c r="M7298">
        <v>69113</v>
      </c>
      <c r="N7298" t="s">
        <v>122</v>
      </c>
      <c r="O7298">
        <v>251111</v>
      </c>
      <c r="P7298">
        <v>1791.76</v>
      </c>
    </row>
    <row r="7299" spans="1:16" x14ac:dyDescent="0.25">
      <c r="A7299" t="s">
        <v>3296</v>
      </c>
      <c r="B7299" t="s">
        <v>2931</v>
      </c>
      <c r="C7299">
        <v>15058</v>
      </c>
      <c r="D7299" t="str">
        <f>"2561028209  "</f>
        <v xml:space="preserve">2561028209  </v>
      </c>
      <c r="E7299" t="s">
        <v>277</v>
      </c>
      <c r="F7299" t="s">
        <v>279</v>
      </c>
      <c r="G7299">
        <v>240.31</v>
      </c>
      <c r="H7299">
        <v>251031</v>
      </c>
      <c r="I7299">
        <v>4520</v>
      </c>
      <c r="J7299" t="s">
        <v>280</v>
      </c>
      <c r="K7299">
        <v>2798.51</v>
      </c>
      <c r="L7299">
        <v>29.51</v>
      </c>
      <c r="M7299">
        <v>69802</v>
      </c>
      <c r="N7299" t="s">
        <v>375</v>
      </c>
      <c r="O7299">
        <v>251111</v>
      </c>
      <c r="P7299">
        <v>210.8</v>
      </c>
    </row>
    <row r="7300" spans="1:16" x14ac:dyDescent="0.25">
      <c r="A7300" t="s">
        <v>3296</v>
      </c>
      <c r="B7300" t="s">
        <v>2931</v>
      </c>
      <c r="C7300">
        <v>15058</v>
      </c>
      <c r="D7300" t="str">
        <f>"2561028209  "</f>
        <v xml:space="preserve">2561028209  </v>
      </c>
      <c r="E7300" t="s">
        <v>277</v>
      </c>
      <c r="F7300" t="s">
        <v>279</v>
      </c>
      <c r="G7300">
        <v>120.15</v>
      </c>
      <c r="H7300">
        <v>251031</v>
      </c>
      <c r="I7300">
        <v>4520</v>
      </c>
      <c r="J7300" t="s">
        <v>280</v>
      </c>
      <c r="K7300">
        <v>2798.51</v>
      </c>
      <c r="L7300">
        <v>14.76</v>
      </c>
      <c r="M7300">
        <v>69804</v>
      </c>
      <c r="N7300" t="s">
        <v>376</v>
      </c>
      <c r="O7300">
        <v>251111</v>
      </c>
      <c r="P7300">
        <v>105.39</v>
      </c>
    </row>
    <row r="7301" spans="1:16" x14ac:dyDescent="0.25">
      <c r="A7301" t="s">
        <v>3296</v>
      </c>
      <c r="B7301" t="s">
        <v>2931</v>
      </c>
      <c r="C7301">
        <v>15102</v>
      </c>
      <c r="D7301" t="str">
        <f>"2561048969  "</f>
        <v xml:space="preserve">2561048969  </v>
      </c>
      <c r="E7301" t="s">
        <v>277</v>
      </c>
      <c r="F7301" t="s">
        <v>279</v>
      </c>
      <c r="G7301">
        <v>594.94000000000005</v>
      </c>
      <c r="H7301">
        <v>251110</v>
      </c>
      <c r="I7301">
        <v>4520</v>
      </c>
      <c r="J7301" t="s">
        <v>280</v>
      </c>
      <c r="K7301">
        <v>673.63</v>
      </c>
      <c r="L7301">
        <v>73.06</v>
      </c>
      <c r="M7301">
        <v>69112</v>
      </c>
      <c r="N7301" t="s">
        <v>227</v>
      </c>
      <c r="O7301">
        <v>251111</v>
      </c>
      <c r="P7301">
        <v>521.88</v>
      </c>
    </row>
    <row r="7302" spans="1:16" x14ac:dyDescent="0.25">
      <c r="A7302" t="s">
        <v>3296</v>
      </c>
      <c r="B7302" t="s">
        <v>2931</v>
      </c>
      <c r="C7302">
        <v>15102</v>
      </c>
      <c r="D7302" t="str">
        <f>"2561048969  "</f>
        <v xml:space="preserve">2561048969  </v>
      </c>
      <c r="E7302" t="s">
        <v>277</v>
      </c>
      <c r="F7302" t="s">
        <v>279</v>
      </c>
      <c r="G7302">
        <v>33.06</v>
      </c>
      <c r="H7302">
        <v>251110</v>
      </c>
      <c r="I7302">
        <v>4520</v>
      </c>
      <c r="J7302" t="s">
        <v>280</v>
      </c>
      <c r="K7302">
        <v>673.63</v>
      </c>
      <c r="L7302">
        <v>4.0599999999999996</v>
      </c>
      <c r="M7302">
        <v>69810</v>
      </c>
      <c r="N7302" t="s">
        <v>229</v>
      </c>
      <c r="O7302">
        <v>251111</v>
      </c>
      <c r="P7302">
        <v>29</v>
      </c>
    </row>
    <row r="7303" spans="1:16" x14ac:dyDescent="0.25">
      <c r="A7303" t="s">
        <v>3296</v>
      </c>
      <c r="B7303" t="s">
        <v>2931</v>
      </c>
      <c r="C7303">
        <v>15102</v>
      </c>
      <c r="D7303" t="str">
        <f>"2561048969  "</f>
        <v xml:space="preserve">2561048969  </v>
      </c>
      <c r="E7303" t="s">
        <v>277</v>
      </c>
      <c r="F7303" t="s">
        <v>279</v>
      </c>
      <c r="G7303">
        <v>33.049999999999997</v>
      </c>
      <c r="H7303">
        <v>251110</v>
      </c>
      <c r="I7303">
        <v>4520</v>
      </c>
      <c r="J7303" t="s">
        <v>280</v>
      </c>
      <c r="K7303">
        <v>673.63</v>
      </c>
      <c r="L7303">
        <v>4.0599999999999996</v>
      </c>
      <c r="M7303">
        <v>69811</v>
      </c>
      <c r="N7303" t="s">
        <v>230</v>
      </c>
      <c r="O7303">
        <v>251111</v>
      </c>
      <c r="P7303">
        <v>28.99</v>
      </c>
    </row>
    <row r="7304" spans="1:16" x14ac:dyDescent="0.25">
      <c r="A7304" t="s">
        <v>3296</v>
      </c>
      <c r="B7304" t="s">
        <v>2931</v>
      </c>
      <c r="C7304">
        <v>15119</v>
      </c>
      <c r="D7304" t="str">
        <f>"2561048960  "</f>
        <v xml:space="preserve">2561048960  </v>
      </c>
      <c r="E7304" t="s">
        <v>277</v>
      </c>
      <c r="F7304" t="s">
        <v>279</v>
      </c>
      <c r="G7304">
        <v>339.34</v>
      </c>
      <c r="H7304">
        <v>251110</v>
      </c>
      <c r="I7304">
        <v>4520</v>
      </c>
      <c r="J7304" t="s">
        <v>280</v>
      </c>
      <c r="K7304">
        <v>656.32</v>
      </c>
      <c r="L7304">
        <v>41.67</v>
      </c>
      <c r="M7304">
        <v>59114</v>
      </c>
      <c r="N7304" t="s">
        <v>299</v>
      </c>
      <c r="O7304">
        <v>251111</v>
      </c>
      <c r="P7304">
        <v>297.67</v>
      </c>
    </row>
    <row r="7305" spans="1:16" x14ac:dyDescent="0.25">
      <c r="A7305" t="s">
        <v>3296</v>
      </c>
      <c r="B7305" t="s">
        <v>2931</v>
      </c>
      <c r="C7305">
        <v>15119</v>
      </c>
      <c r="D7305" t="str">
        <f>"2561048960  "</f>
        <v xml:space="preserve">2561048960  </v>
      </c>
      <c r="E7305" t="s">
        <v>277</v>
      </c>
      <c r="F7305" t="s">
        <v>279</v>
      </c>
      <c r="G7305">
        <v>64.37</v>
      </c>
      <c r="H7305">
        <v>251110</v>
      </c>
      <c r="I7305">
        <v>4520</v>
      </c>
      <c r="J7305" t="s">
        <v>280</v>
      </c>
      <c r="K7305">
        <v>656.32</v>
      </c>
      <c r="L7305">
        <v>7.91</v>
      </c>
      <c r="M7305">
        <v>59808</v>
      </c>
      <c r="N7305" t="s">
        <v>699</v>
      </c>
      <c r="O7305">
        <v>251111</v>
      </c>
      <c r="P7305">
        <v>56.46</v>
      </c>
    </row>
    <row r="7306" spans="1:16" x14ac:dyDescent="0.25">
      <c r="A7306" t="s">
        <v>3296</v>
      </c>
      <c r="B7306" t="s">
        <v>2931</v>
      </c>
      <c r="C7306">
        <v>15119</v>
      </c>
      <c r="D7306" t="str">
        <f>"2561048960  "</f>
        <v xml:space="preserve">2561048960  </v>
      </c>
      <c r="E7306" t="s">
        <v>277</v>
      </c>
      <c r="F7306" t="s">
        <v>279</v>
      </c>
      <c r="G7306">
        <v>240.03</v>
      </c>
      <c r="H7306">
        <v>251110</v>
      </c>
      <c r="I7306">
        <v>4520</v>
      </c>
      <c r="J7306" t="s">
        <v>280</v>
      </c>
      <c r="K7306">
        <v>656.32</v>
      </c>
      <c r="L7306">
        <v>29.48</v>
      </c>
      <c r="M7306">
        <v>59810</v>
      </c>
      <c r="N7306" t="s">
        <v>1349</v>
      </c>
      <c r="O7306">
        <v>251111</v>
      </c>
      <c r="P7306">
        <v>210.55</v>
      </c>
    </row>
    <row r="7307" spans="1:16" x14ac:dyDescent="0.25">
      <c r="A7307" t="s">
        <v>3296</v>
      </c>
      <c r="B7307" t="s">
        <v>2931</v>
      </c>
      <c r="C7307">
        <v>15120</v>
      </c>
      <c r="D7307" t="str">
        <f>"2561048962  "</f>
        <v xml:space="preserve">2561048962  </v>
      </c>
      <c r="E7307" t="s">
        <v>277</v>
      </c>
      <c r="F7307" t="s">
        <v>279</v>
      </c>
      <c r="G7307">
        <v>1384.58</v>
      </c>
      <c r="H7307">
        <v>251110</v>
      </c>
      <c r="I7307">
        <v>4520</v>
      </c>
      <c r="J7307" t="s">
        <v>280</v>
      </c>
      <c r="K7307">
        <v>2921.53</v>
      </c>
      <c r="L7307">
        <v>170.04</v>
      </c>
      <c r="M7307">
        <v>59113</v>
      </c>
      <c r="N7307" t="s">
        <v>61</v>
      </c>
      <c r="O7307">
        <v>251111</v>
      </c>
      <c r="P7307">
        <v>1214.54</v>
      </c>
    </row>
    <row r="7308" spans="1:16" x14ac:dyDescent="0.25">
      <c r="A7308" t="s">
        <v>3296</v>
      </c>
      <c r="B7308" t="s">
        <v>2931</v>
      </c>
      <c r="C7308">
        <v>15120</v>
      </c>
      <c r="D7308" t="str">
        <f>"2561048962  "</f>
        <v xml:space="preserve">2561048962  </v>
      </c>
      <c r="E7308" t="s">
        <v>277</v>
      </c>
      <c r="F7308" t="s">
        <v>279</v>
      </c>
      <c r="G7308">
        <v>426.88</v>
      </c>
      <c r="H7308">
        <v>251110</v>
      </c>
      <c r="I7308">
        <v>4520</v>
      </c>
      <c r="J7308" t="s">
        <v>280</v>
      </c>
      <c r="K7308">
        <v>2921.53</v>
      </c>
      <c r="L7308">
        <v>52.42</v>
      </c>
      <c r="M7308">
        <v>59803</v>
      </c>
      <c r="N7308" t="s">
        <v>282</v>
      </c>
      <c r="O7308">
        <v>251111</v>
      </c>
      <c r="P7308">
        <v>374.46</v>
      </c>
    </row>
    <row r="7309" spans="1:16" x14ac:dyDescent="0.25">
      <c r="A7309" t="s">
        <v>3296</v>
      </c>
      <c r="B7309" t="s">
        <v>2931</v>
      </c>
      <c r="C7309">
        <v>15120</v>
      </c>
      <c r="D7309" t="str">
        <f>"2561048962  "</f>
        <v xml:space="preserve">2561048962  </v>
      </c>
      <c r="E7309" t="s">
        <v>277</v>
      </c>
      <c r="F7309" t="s">
        <v>279</v>
      </c>
      <c r="G7309">
        <v>1034.4000000000001</v>
      </c>
      <c r="H7309">
        <v>251110</v>
      </c>
      <c r="I7309">
        <v>4520</v>
      </c>
      <c r="J7309" t="s">
        <v>280</v>
      </c>
      <c r="K7309">
        <v>2921.53</v>
      </c>
      <c r="L7309">
        <v>127.03</v>
      </c>
      <c r="M7309">
        <v>59805</v>
      </c>
      <c r="N7309" t="s">
        <v>1404</v>
      </c>
      <c r="O7309">
        <v>251111</v>
      </c>
      <c r="P7309">
        <v>907.37</v>
      </c>
    </row>
    <row r="7310" spans="1:16" x14ac:dyDescent="0.25">
      <c r="A7310" t="s">
        <v>3296</v>
      </c>
      <c r="B7310" t="s">
        <v>2931</v>
      </c>
      <c r="C7310">
        <v>15174</v>
      </c>
      <c r="D7310" t="str">
        <f>"2561048965  "</f>
        <v xml:space="preserve">2561048965  </v>
      </c>
      <c r="E7310" t="s">
        <v>277</v>
      </c>
      <c r="F7310" t="s">
        <v>279</v>
      </c>
      <c r="G7310">
        <v>-12.58</v>
      </c>
      <c r="H7310">
        <v>251110</v>
      </c>
      <c r="I7310">
        <v>4520</v>
      </c>
      <c r="J7310" t="s">
        <v>280</v>
      </c>
      <c r="K7310">
        <v>701</v>
      </c>
      <c r="L7310">
        <v>-2.56</v>
      </c>
      <c r="M7310">
        <v>17915</v>
      </c>
      <c r="N7310" t="s">
        <v>305</v>
      </c>
      <c r="O7310">
        <v>251113</v>
      </c>
      <c r="P7310">
        <v>-10.02</v>
      </c>
    </row>
    <row r="7311" spans="1:16" x14ac:dyDescent="0.25">
      <c r="A7311" t="s">
        <v>3296</v>
      </c>
      <c r="B7311" t="s">
        <v>2931</v>
      </c>
      <c r="C7311">
        <v>15174</v>
      </c>
      <c r="D7311" t="str">
        <f>"2561048965  "</f>
        <v xml:space="preserve">2561048965  </v>
      </c>
      <c r="E7311" t="s">
        <v>277</v>
      </c>
      <c r="F7311" t="s">
        <v>279</v>
      </c>
      <c r="G7311">
        <v>642.22</v>
      </c>
      <c r="H7311">
        <v>251110</v>
      </c>
      <c r="I7311">
        <v>4520</v>
      </c>
      <c r="J7311" t="s">
        <v>280</v>
      </c>
      <c r="K7311">
        <v>701</v>
      </c>
      <c r="L7311">
        <v>78.87</v>
      </c>
      <c r="M7311">
        <v>17915</v>
      </c>
      <c r="N7311" t="s">
        <v>305</v>
      </c>
      <c r="O7311">
        <v>251113</v>
      </c>
      <c r="P7311">
        <v>563.35</v>
      </c>
    </row>
    <row r="7312" spans="1:16" x14ac:dyDescent="0.25">
      <c r="A7312" t="s">
        <v>3296</v>
      </c>
      <c r="B7312" t="s">
        <v>2931</v>
      </c>
      <c r="C7312">
        <v>15174</v>
      </c>
      <c r="D7312" t="str">
        <f>"2561048965  "</f>
        <v xml:space="preserve">2561048965  </v>
      </c>
      <c r="E7312" t="s">
        <v>277</v>
      </c>
      <c r="F7312" t="s">
        <v>279</v>
      </c>
      <c r="G7312">
        <v>71.36</v>
      </c>
      <c r="H7312">
        <v>251110</v>
      </c>
      <c r="I7312">
        <v>4520</v>
      </c>
      <c r="J7312" t="s">
        <v>280</v>
      </c>
      <c r="K7312">
        <v>701</v>
      </c>
      <c r="L7312">
        <v>8.76</v>
      </c>
      <c r="M7312">
        <v>17982</v>
      </c>
      <c r="N7312" t="s">
        <v>281</v>
      </c>
      <c r="O7312">
        <v>251113</v>
      </c>
      <c r="P7312">
        <v>62.6</v>
      </c>
    </row>
    <row r="7313" spans="1:16" x14ac:dyDescent="0.25">
      <c r="A7313" t="s">
        <v>3296</v>
      </c>
      <c r="B7313" t="s">
        <v>2931</v>
      </c>
      <c r="C7313">
        <v>15182</v>
      </c>
      <c r="D7313" t="str">
        <f>"2561048964  "</f>
        <v xml:space="preserve">2561048964  </v>
      </c>
      <c r="E7313" t="s">
        <v>277</v>
      </c>
      <c r="F7313" t="s">
        <v>279</v>
      </c>
      <c r="G7313">
        <v>1834.2</v>
      </c>
      <c r="H7313">
        <v>251110</v>
      </c>
      <c r="I7313">
        <v>4520</v>
      </c>
      <c r="J7313" t="s">
        <v>280</v>
      </c>
      <c r="K7313">
        <v>2054.9499999999998</v>
      </c>
      <c r="L7313">
        <v>225.25</v>
      </c>
      <c r="M7313">
        <v>49112</v>
      </c>
      <c r="N7313" t="s">
        <v>109</v>
      </c>
      <c r="O7313">
        <v>251113</v>
      </c>
      <c r="P7313">
        <v>1608.95</v>
      </c>
    </row>
    <row r="7314" spans="1:16" x14ac:dyDescent="0.25">
      <c r="A7314" t="s">
        <v>3296</v>
      </c>
      <c r="B7314" t="s">
        <v>2931</v>
      </c>
      <c r="C7314">
        <v>15183</v>
      </c>
      <c r="D7314" t="str">
        <f>"2561048967  "</f>
        <v xml:space="preserve">2561048967  </v>
      </c>
      <c r="E7314" t="s">
        <v>277</v>
      </c>
      <c r="F7314" t="s">
        <v>279</v>
      </c>
      <c r="G7314">
        <v>69.5</v>
      </c>
      <c r="H7314">
        <v>251110</v>
      </c>
      <c r="I7314">
        <v>4520</v>
      </c>
      <c r="J7314" t="s">
        <v>280</v>
      </c>
      <c r="K7314">
        <v>3460.11</v>
      </c>
      <c r="L7314">
        <v>8.5399999999999991</v>
      </c>
      <c r="M7314">
        <v>16442</v>
      </c>
      <c r="N7314" t="s">
        <v>304</v>
      </c>
      <c r="O7314">
        <v>251113</v>
      </c>
      <c r="P7314">
        <v>60.96</v>
      </c>
    </row>
    <row r="7315" spans="1:16" x14ac:dyDescent="0.25">
      <c r="A7315" t="s">
        <v>3296</v>
      </c>
      <c r="B7315" t="s">
        <v>2931</v>
      </c>
      <c r="C7315">
        <v>15183</v>
      </c>
      <c r="D7315" t="str">
        <f>"2561048967  "</f>
        <v xml:space="preserve">2561048967  </v>
      </c>
      <c r="E7315" t="s">
        <v>277</v>
      </c>
      <c r="F7315" t="s">
        <v>279</v>
      </c>
      <c r="G7315">
        <v>223.5</v>
      </c>
      <c r="H7315">
        <v>251110</v>
      </c>
      <c r="I7315">
        <v>4520</v>
      </c>
      <c r="J7315" t="s">
        <v>280</v>
      </c>
      <c r="K7315">
        <v>3460.11</v>
      </c>
      <c r="L7315">
        <v>45.41</v>
      </c>
      <c r="M7315">
        <v>17913</v>
      </c>
      <c r="N7315" t="s">
        <v>26</v>
      </c>
      <c r="O7315">
        <v>251113</v>
      </c>
      <c r="P7315">
        <v>178.09</v>
      </c>
    </row>
    <row r="7316" spans="1:16" x14ac:dyDescent="0.25">
      <c r="A7316" t="s">
        <v>3296</v>
      </c>
      <c r="B7316" t="s">
        <v>2931</v>
      </c>
      <c r="C7316">
        <v>15183</v>
      </c>
      <c r="D7316" t="str">
        <f>"2561048967  "</f>
        <v xml:space="preserve">2561048967  </v>
      </c>
      <c r="E7316" t="s">
        <v>277</v>
      </c>
      <c r="F7316" t="s">
        <v>279</v>
      </c>
      <c r="G7316">
        <v>2713.45</v>
      </c>
      <c r="H7316">
        <v>251110</v>
      </c>
      <c r="I7316">
        <v>4520</v>
      </c>
      <c r="J7316" t="s">
        <v>280</v>
      </c>
      <c r="K7316">
        <v>3460.11</v>
      </c>
      <c r="L7316">
        <v>333.23</v>
      </c>
      <c r="M7316">
        <v>17913</v>
      </c>
      <c r="N7316" t="s">
        <v>26</v>
      </c>
      <c r="O7316">
        <v>251113</v>
      </c>
      <c r="P7316">
        <v>2380.2199999999998</v>
      </c>
    </row>
    <row r="7317" spans="1:16" x14ac:dyDescent="0.25">
      <c r="A7317" t="s">
        <v>3296</v>
      </c>
      <c r="B7317" t="s">
        <v>2931</v>
      </c>
      <c r="C7317">
        <v>15183</v>
      </c>
      <c r="D7317" t="str">
        <f>"2561048967  "</f>
        <v xml:space="preserve">2561048967  </v>
      </c>
      <c r="E7317" t="s">
        <v>277</v>
      </c>
      <c r="F7317" t="s">
        <v>279</v>
      </c>
      <c r="G7317">
        <v>323.66000000000003</v>
      </c>
      <c r="H7317">
        <v>251110</v>
      </c>
      <c r="I7317">
        <v>4520</v>
      </c>
      <c r="J7317" t="s">
        <v>280</v>
      </c>
      <c r="K7317">
        <v>3460.11</v>
      </c>
      <c r="L7317">
        <v>39.75</v>
      </c>
      <c r="M7317">
        <v>17982</v>
      </c>
      <c r="N7317" t="s">
        <v>281</v>
      </c>
      <c r="O7317">
        <v>251113</v>
      </c>
      <c r="P7317">
        <v>283.91000000000003</v>
      </c>
    </row>
    <row r="7318" spans="1:16" x14ac:dyDescent="0.25">
      <c r="A7318" t="s">
        <v>3296</v>
      </c>
      <c r="B7318" t="s">
        <v>2931</v>
      </c>
      <c r="C7318">
        <v>15183</v>
      </c>
      <c r="D7318" t="str">
        <f>"2561048967  "</f>
        <v xml:space="preserve">2561048967  </v>
      </c>
      <c r="E7318" t="s">
        <v>277</v>
      </c>
      <c r="F7318" t="s">
        <v>279</v>
      </c>
      <c r="G7318">
        <v>130</v>
      </c>
      <c r="H7318">
        <v>251110</v>
      </c>
      <c r="I7318">
        <v>4520</v>
      </c>
      <c r="J7318" t="s">
        <v>280</v>
      </c>
      <c r="K7318">
        <v>3460.11</v>
      </c>
      <c r="L7318">
        <v>15.96</v>
      </c>
      <c r="M7318">
        <v>17984</v>
      </c>
      <c r="N7318" t="s">
        <v>655</v>
      </c>
      <c r="O7318">
        <v>251113</v>
      </c>
      <c r="P7318">
        <v>114.04</v>
      </c>
    </row>
    <row r="7319" spans="1:16" x14ac:dyDescent="0.25">
      <c r="A7319" t="s">
        <v>3296</v>
      </c>
      <c r="B7319" t="s">
        <v>2931</v>
      </c>
      <c r="C7319">
        <v>15185</v>
      </c>
      <c r="D7319" t="str">
        <f>"2561048961  "</f>
        <v xml:space="preserve">2561048961  </v>
      </c>
      <c r="E7319" t="s">
        <v>277</v>
      </c>
      <c r="F7319" t="s">
        <v>279</v>
      </c>
      <c r="G7319">
        <v>750</v>
      </c>
      <c r="H7319">
        <v>251110</v>
      </c>
      <c r="I7319">
        <v>4520</v>
      </c>
      <c r="J7319" t="s">
        <v>280</v>
      </c>
      <c r="K7319">
        <v>2874.65</v>
      </c>
      <c r="L7319">
        <v>92.11</v>
      </c>
      <c r="M7319">
        <v>54422</v>
      </c>
      <c r="N7319" t="s">
        <v>49</v>
      </c>
      <c r="O7319">
        <v>251113</v>
      </c>
      <c r="P7319">
        <v>657.89</v>
      </c>
    </row>
    <row r="7320" spans="1:16" x14ac:dyDescent="0.25">
      <c r="A7320" t="s">
        <v>3296</v>
      </c>
      <c r="B7320" t="s">
        <v>2931</v>
      </c>
      <c r="C7320">
        <v>15185</v>
      </c>
      <c r="D7320" t="str">
        <f>"2561048961  "</f>
        <v xml:space="preserve">2561048961  </v>
      </c>
      <c r="E7320" t="s">
        <v>277</v>
      </c>
      <c r="F7320" t="s">
        <v>279</v>
      </c>
      <c r="G7320">
        <v>1892.42</v>
      </c>
      <c r="H7320">
        <v>251110</v>
      </c>
      <c r="I7320">
        <v>4520</v>
      </c>
      <c r="J7320" t="s">
        <v>280</v>
      </c>
      <c r="K7320">
        <v>2874.65</v>
      </c>
      <c r="L7320">
        <v>232.4</v>
      </c>
      <c r="M7320">
        <v>54451</v>
      </c>
      <c r="N7320" t="s">
        <v>218</v>
      </c>
      <c r="O7320">
        <v>251113</v>
      </c>
      <c r="P7320">
        <v>1660.02</v>
      </c>
    </row>
    <row r="7321" spans="1:16" x14ac:dyDescent="0.25">
      <c r="A7321" t="s">
        <v>3296</v>
      </c>
      <c r="B7321" t="s">
        <v>2931</v>
      </c>
      <c r="C7321">
        <v>15217</v>
      </c>
      <c r="D7321" t="str">
        <f>"2561048963  "</f>
        <v xml:space="preserve">2561048963  </v>
      </c>
      <c r="E7321" t="s">
        <v>277</v>
      </c>
      <c r="F7321" t="s">
        <v>279</v>
      </c>
      <c r="G7321">
        <v>335.85</v>
      </c>
      <c r="H7321">
        <v>251110</v>
      </c>
      <c r="I7321">
        <v>4520</v>
      </c>
      <c r="J7321" t="s">
        <v>280</v>
      </c>
      <c r="K7321">
        <v>3661.21</v>
      </c>
      <c r="L7321">
        <v>41.24</v>
      </c>
      <c r="M7321">
        <v>66722</v>
      </c>
      <c r="N7321" t="s">
        <v>118</v>
      </c>
      <c r="O7321">
        <v>251114</v>
      </c>
      <c r="P7321">
        <v>294.61</v>
      </c>
    </row>
    <row r="7322" spans="1:16" x14ac:dyDescent="0.25">
      <c r="A7322" t="s">
        <v>3296</v>
      </c>
      <c r="B7322" t="s">
        <v>2931</v>
      </c>
      <c r="C7322">
        <v>15217</v>
      </c>
      <c r="D7322" t="str">
        <f>"2561048963  "</f>
        <v xml:space="preserve">2561048963  </v>
      </c>
      <c r="E7322" t="s">
        <v>277</v>
      </c>
      <c r="F7322" t="s">
        <v>279</v>
      </c>
      <c r="G7322">
        <v>2578.8200000000002</v>
      </c>
      <c r="H7322">
        <v>251110</v>
      </c>
      <c r="I7322">
        <v>4520</v>
      </c>
      <c r="J7322" t="s">
        <v>280</v>
      </c>
      <c r="K7322">
        <v>3661.21</v>
      </c>
      <c r="L7322">
        <v>316.7</v>
      </c>
      <c r="M7322">
        <v>69113</v>
      </c>
      <c r="N7322" t="s">
        <v>122</v>
      </c>
      <c r="O7322">
        <v>251114</v>
      </c>
      <c r="P7322">
        <v>2262.12</v>
      </c>
    </row>
    <row r="7323" spans="1:16" x14ac:dyDescent="0.25">
      <c r="A7323" t="s">
        <v>3296</v>
      </c>
      <c r="B7323" t="s">
        <v>2931</v>
      </c>
      <c r="C7323">
        <v>15217</v>
      </c>
      <c r="D7323" t="str">
        <f>"2561048963  "</f>
        <v xml:space="preserve">2561048963  </v>
      </c>
      <c r="E7323" t="s">
        <v>277</v>
      </c>
      <c r="F7323" t="s">
        <v>279</v>
      </c>
      <c r="G7323">
        <v>303.39999999999998</v>
      </c>
      <c r="H7323">
        <v>251110</v>
      </c>
      <c r="I7323">
        <v>4520</v>
      </c>
      <c r="J7323" t="s">
        <v>280</v>
      </c>
      <c r="K7323">
        <v>3661.21</v>
      </c>
      <c r="L7323">
        <v>37.26</v>
      </c>
      <c r="M7323">
        <v>69802</v>
      </c>
      <c r="N7323" t="s">
        <v>375</v>
      </c>
      <c r="O7323">
        <v>251114</v>
      </c>
      <c r="P7323">
        <v>266.14</v>
      </c>
    </row>
    <row r="7324" spans="1:16" x14ac:dyDescent="0.25">
      <c r="A7324" t="s">
        <v>3296</v>
      </c>
      <c r="B7324" t="s">
        <v>2931</v>
      </c>
      <c r="C7324">
        <v>15217</v>
      </c>
      <c r="D7324" t="str">
        <f>"2561048963  "</f>
        <v xml:space="preserve">2561048963  </v>
      </c>
      <c r="E7324" t="s">
        <v>277</v>
      </c>
      <c r="F7324" t="s">
        <v>279</v>
      </c>
      <c r="G7324">
        <v>151.69</v>
      </c>
      <c r="H7324">
        <v>251110</v>
      </c>
      <c r="I7324">
        <v>4520</v>
      </c>
      <c r="J7324" t="s">
        <v>280</v>
      </c>
      <c r="K7324">
        <v>3661.21</v>
      </c>
      <c r="L7324">
        <v>18.63</v>
      </c>
      <c r="M7324">
        <v>69804</v>
      </c>
      <c r="N7324" t="s">
        <v>376</v>
      </c>
      <c r="O7324">
        <v>251114</v>
      </c>
      <c r="P7324">
        <v>133.06</v>
      </c>
    </row>
    <row r="7325" spans="1:16" x14ac:dyDescent="0.25">
      <c r="A7325" t="s">
        <v>3296</v>
      </c>
      <c r="B7325" t="s">
        <v>2931</v>
      </c>
      <c r="C7325">
        <v>15231</v>
      </c>
      <c r="D7325" t="str">
        <f>"2561028215  "</f>
        <v xml:space="preserve">2561028215  </v>
      </c>
      <c r="E7325" t="s">
        <v>277</v>
      </c>
      <c r="F7325" t="s">
        <v>279</v>
      </c>
      <c r="G7325">
        <v>89.41</v>
      </c>
      <c r="H7325">
        <v>251031</v>
      </c>
      <c r="I7325">
        <v>4520</v>
      </c>
      <c r="J7325" t="s">
        <v>280</v>
      </c>
      <c r="K7325">
        <v>89.41</v>
      </c>
      <c r="L7325">
        <v>10.98</v>
      </c>
      <c r="M7325">
        <v>44253</v>
      </c>
      <c r="N7325" t="s">
        <v>403</v>
      </c>
      <c r="O7325">
        <v>251117</v>
      </c>
      <c r="P7325">
        <v>78.430000000000007</v>
      </c>
    </row>
    <row r="7326" spans="1:16" x14ac:dyDescent="0.25">
      <c r="A7326" t="s">
        <v>3296</v>
      </c>
      <c r="B7326" t="s">
        <v>2931</v>
      </c>
      <c r="C7326">
        <v>15235</v>
      </c>
      <c r="D7326" t="str">
        <f>"2561033886  "</f>
        <v xml:space="preserve">2561033886  </v>
      </c>
      <c r="E7326" t="s">
        <v>277</v>
      </c>
      <c r="F7326" t="s">
        <v>279</v>
      </c>
      <c r="G7326">
        <v>500.03</v>
      </c>
      <c r="H7326">
        <v>251103</v>
      </c>
      <c r="I7326">
        <v>4520</v>
      </c>
      <c r="J7326" t="s">
        <v>280</v>
      </c>
      <c r="K7326">
        <v>509.63</v>
      </c>
      <c r="L7326">
        <v>61.41</v>
      </c>
      <c r="M7326">
        <v>44253</v>
      </c>
      <c r="N7326" t="s">
        <v>403</v>
      </c>
      <c r="O7326">
        <v>251117</v>
      </c>
      <c r="P7326">
        <v>438.62</v>
      </c>
    </row>
    <row r="7327" spans="1:16" x14ac:dyDescent="0.25">
      <c r="A7327" t="s">
        <v>3296</v>
      </c>
      <c r="B7327" t="s">
        <v>2931</v>
      </c>
      <c r="C7327">
        <v>15251</v>
      </c>
      <c r="D7327" t="str">
        <f>"2561048966  "</f>
        <v xml:space="preserve">2561048966  </v>
      </c>
      <c r="E7327" t="s">
        <v>277</v>
      </c>
      <c r="F7327" t="s">
        <v>279</v>
      </c>
      <c r="G7327">
        <v>2074.41</v>
      </c>
      <c r="H7327">
        <v>251110</v>
      </c>
      <c r="I7327">
        <v>4520</v>
      </c>
      <c r="J7327" t="s">
        <v>280</v>
      </c>
      <c r="K7327">
        <v>2278.23</v>
      </c>
      <c r="L7327">
        <v>254.75</v>
      </c>
      <c r="M7327">
        <v>44222</v>
      </c>
      <c r="N7327" t="s">
        <v>96</v>
      </c>
      <c r="O7327">
        <v>251117</v>
      </c>
      <c r="P7327">
        <v>1819.66</v>
      </c>
    </row>
    <row r="7328" spans="1:16" x14ac:dyDescent="0.25">
      <c r="A7328" t="s">
        <v>3296</v>
      </c>
      <c r="B7328" t="s">
        <v>2931</v>
      </c>
      <c r="C7328">
        <v>15300</v>
      </c>
      <c r="D7328" t="str">
        <f t="shared" ref="D7328:D7339" si="143">"2561048968  "</f>
        <v xml:space="preserve">2561048968  </v>
      </c>
      <c r="E7328" t="s">
        <v>277</v>
      </c>
      <c r="F7328" t="s">
        <v>279</v>
      </c>
      <c r="G7328">
        <v>4.5</v>
      </c>
      <c r="H7328">
        <v>251110</v>
      </c>
      <c r="I7328">
        <v>4520</v>
      </c>
      <c r="J7328" t="s">
        <v>280</v>
      </c>
      <c r="K7328">
        <v>5437.35</v>
      </c>
      <c r="L7328">
        <v>0.91</v>
      </c>
      <c r="M7328">
        <v>14422</v>
      </c>
      <c r="N7328" t="s">
        <v>73</v>
      </c>
      <c r="O7328">
        <v>251117</v>
      </c>
      <c r="P7328">
        <v>3.59</v>
      </c>
    </row>
    <row r="7329" spans="1:16" x14ac:dyDescent="0.25">
      <c r="A7329" t="s">
        <v>3296</v>
      </c>
      <c r="B7329" t="s">
        <v>2931</v>
      </c>
      <c r="C7329">
        <v>15300</v>
      </c>
      <c r="D7329" t="str">
        <f t="shared" si="143"/>
        <v xml:space="preserve">2561048968  </v>
      </c>
      <c r="E7329" t="s">
        <v>277</v>
      </c>
      <c r="F7329" t="s">
        <v>279</v>
      </c>
      <c r="G7329">
        <v>49.87</v>
      </c>
      <c r="H7329">
        <v>251110</v>
      </c>
      <c r="I7329">
        <v>4520</v>
      </c>
      <c r="J7329" t="s">
        <v>280</v>
      </c>
      <c r="K7329">
        <v>5437.35</v>
      </c>
      <c r="L7329">
        <v>6.12</v>
      </c>
      <c r="M7329">
        <v>14422</v>
      </c>
      <c r="N7329" t="s">
        <v>73</v>
      </c>
      <c r="O7329">
        <v>251117</v>
      </c>
      <c r="P7329">
        <v>43.75</v>
      </c>
    </row>
    <row r="7330" spans="1:16" x14ac:dyDescent="0.25">
      <c r="A7330" t="s">
        <v>3296</v>
      </c>
      <c r="B7330" t="s">
        <v>2931</v>
      </c>
      <c r="C7330">
        <v>15300</v>
      </c>
      <c r="D7330" t="str">
        <f t="shared" si="143"/>
        <v xml:space="preserve">2561048968  </v>
      </c>
      <c r="E7330" t="s">
        <v>277</v>
      </c>
      <c r="F7330" t="s">
        <v>279</v>
      </c>
      <c r="G7330">
        <v>18.02</v>
      </c>
      <c r="H7330">
        <v>251110</v>
      </c>
      <c r="I7330">
        <v>4520</v>
      </c>
      <c r="J7330" t="s">
        <v>280</v>
      </c>
      <c r="K7330">
        <v>5437.35</v>
      </c>
      <c r="L7330">
        <v>3.66</v>
      </c>
      <c r="M7330">
        <v>14431</v>
      </c>
      <c r="N7330" t="s">
        <v>74</v>
      </c>
      <c r="O7330">
        <v>251117</v>
      </c>
      <c r="P7330">
        <v>14.36</v>
      </c>
    </row>
    <row r="7331" spans="1:16" x14ac:dyDescent="0.25">
      <c r="A7331" t="s">
        <v>3296</v>
      </c>
      <c r="B7331" t="s">
        <v>2931</v>
      </c>
      <c r="C7331">
        <v>15300</v>
      </c>
      <c r="D7331" t="str">
        <f t="shared" si="143"/>
        <v xml:space="preserve">2561048968  </v>
      </c>
      <c r="E7331" t="s">
        <v>277</v>
      </c>
      <c r="F7331" t="s">
        <v>279</v>
      </c>
      <c r="G7331">
        <v>199.47</v>
      </c>
      <c r="H7331">
        <v>251110</v>
      </c>
      <c r="I7331">
        <v>4520</v>
      </c>
      <c r="J7331" t="s">
        <v>280</v>
      </c>
      <c r="K7331">
        <v>5437.35</v>
      </c>
      <c r="L7331">
        <v>24.5</v>
      </c>
      <c r="M7331">
        <v>14431</v>
      </c>
      <c r="N7331" t="s">
        <v>74</v>
      </c>
      <c r="O7331">
        <v>251117</v>
      </c>
      <c r="P7331">
        <v>174.97</v>
      </c>
    </row>
    <row r="7332" spans="1:16" x14ac:dyDescent="0.25">
      <c r="A7332" t="s">
        <v>3296</v>
      </c>
      <c r="B7332" t="s">
        <v>2931</v>
      </c>
      <c r="C7332">
        <v>15300</v>
      </c>
      <c r="D7332" t="str">
        <f t="shared" si="143"/>
        <v xml:space="preserve">2561048968  </v>
      </c>
      <c r="E7332" t="s">
        <v>277</v>
      </c>
      <c r="F7332" t="s">
        <v>279</v>
      </c>
      <c r="G7332">
        <v>76.58</v>
      </c>
      <c r="H7332">
        <v>251110</v>
      </c>
      <c r="I7332">
        <v>4520</v>
      </c>
      <c r="J7332" t="s">
        <v>280</v>
      </c>
      <c r="K7332">
        <v>5437.35</v>
      </c>
      <c r="L7332">
        <v>15.56</v>
      </c>
      <c r="M7332">
        <v>14432</v>
      </c>
      <c r="N7332" t="s">
        <v>75</v>
      </c>
      <c r="O7332">
        <v>251117</v>
      </c>
      <c r="P7332">
        <v>61.02</v>
      </c>
    </row>
    <row r="7333" spans="1:16" x14ac:dyDescent="0.25">
      <c r="A7333" t="s">
        <v>3296</v>
      </c>
      <c r="B7333" t="s">
        <v>2931</v>
      </c>
      <c r="C7333">
        <v>15300</v>
      </c>
      <c r="D7333" t="str">
        <f t="shared" si="143"/>
        <v xml:space="preserve">2561048968  </v>
      </c>
      <c r="E7333" t="s">
        <v>277</v>
      </c>
      <c r="F7333" t="s">
        <v>279</v>
      </c>
      <c r="G7333">
        <v>847.77</v>
      </c>
      <c r="H7333">
        <v>251110</v>
      </c>
      <c r="I7333">
        <v>4520</v>
      </c>
      <c r="J7333" t="s">
        <v>280</v>
      </c>
      <c r="K7333">
        <v>5437.35</v>
      </c>
      <c r="L7333">
        <v>104.11</v>
      </c>
      <c r="M7333">
        <v>14432</v>
      </c>
      <c r="N7333" t="s">
        <v>75</v>
      </c>
      <c r="O7333">
        <v>251117</v>
      </c>
      <c r="P7333">
        <v>743.66</v>
      </c>
    </row>
    <row r="7334" spans="1:16" x14ac:dyDescent="0.25">
      <c r="A7334" t="s">
        <v>3296</v>
      </c>
      <c r="B7334" t="s">
        <v>2931</v>
      </c>
      <c r="C7334">
        <v>15300</v>
      </c>
      <c r="D7334" t="str">
        <f t="shared" si="143"/>
        <v xml:space="preserve">2561048968  </v>
      </c>
      <c r="E7334" t="s">
        <v>277</v>
      </c>
      <c r="F7334" t="s">
        <v>279</v>
      </c>
      <c r="G7334">
        <v>4.51</v>
      </c>
      <c r="H7334">
        <v>251110</v>
      </c>
      <c r="I7334">
        <v>4520</v>
      </c>
      <c r="J7334" t="s">
        <v>280</v>
      </c>
      <c r="K7334">
        <v>5437.35</v>
      </c>
      <c r="L7334">
        <v>0.92</v>
      </c>
      <c r="M7334">
        <v>14640</v>
      </c>
      <c r="N7334" t="s">
        <v>78</v>
      </c>
      <c r="O7334">
        <v>251117</v>
      </c>
      <c r="P7334">
        <v>3.59</v>
      </c>
    </row>
    <row r="7335" spans="1:16" x14ac:dyDescent="0.25">
      <c r="A7335" t="s">
        <v>3296</v>
      </c>
      <c r="B7335" t="s">
        <v>2931</v>
      </c>
      <c r="C7335">
        <v>15300</v>
      </c>
      <c r="D7335" t="str">
        <f t="shared" si="143"/>
        <v xml:space="preserve">2561048968  </v>
      </c>
      <c r="E7335" t="s">
        <v>277</v>
      </c>
      <c r="F7335" t="s">
        <v>279</v>
      </c>
      <c r="G7335">
        <v>49.87</v>
      </c>
      <c r="H7335">
        <v>251110</v>
      </c>
      <c r="I7335">
        <v>4520</v>
      </c>
      <c r="J7335" t="s">
        <v>280</v>
      </c>
      <c r="K7335">
        <v>5437.35</v>
      </c>
      <c r="L7335">
        <v>6.12</v>
      </c>
      <c r="M7335">
        <v>14640</v>
      </c>
      <c r="N7335" t="s">
        <v>78</v>
      </c>
      <c r="O7335">
        <v>251117</v>
      </c>
      <c r="P7335">
        <v>43.75</v>
      </c>
    </row>
    <row r="7336" spans="1:16" x14ac:dyDescent="0.25">
      <c r="A7336" t="s">
        <v>3296</v>
      </c>
      <c r="B7336" t="s">
        <v>2931</v>
      </c>
      <c r="C7336">
        <v>15300</v>
      </c>
      <c r="D7336" t="str">
        <f t="shared" si="143"/>
        <v xml:space="preserve">2561048968  </v>
      </c>
      <c r="E7336" t="s">
        <v>277</v>
      </c>
      <c r="F7336" t="s">
        <v>279</v>
      </c>
      <c r="G7336">
        <v>18.02</v>
      </c>
      <c r="H7336">
        <v>251110</v>
      </c>
      <c r="I7336">
        <v>4520</v>
      </c>
      <c r="J7336" t="s">
        <v>280</v>
      </c>
      <c r="K7336">
        <v>5437.35</v>
      </c>
      <c r="L7336">
        <v>3.66</v>
      </c>
      <c r="M7336">
        <v>14642</v>
      </c>
      <c r="N7336" t="s">
        <v>283</v>
      </c>
      <c r="O7336">
        <v>251117</v>
      </c>
      <c r="P7336">
        <v>14.36</v>
      </c>
    </row>
    <row r="7337" spans="1:16" x14ac:dyDescent="0.25">
      <c r="A7337" t="s">
        <v>3296</v>
      </c>
      <c r="B7337" t="s">
        <v>2931</v>
      </c>
      <c r="C7337">
        <v>15300</v>
      </c>
      <c r="D7337" t="str">
        <f t="shared" si="143"/>
        <v xml:space="preserve">2561048968  </v>
      </c>
      <c r="E7337" t="s">
        <v>277</v>
      </c>
      <c r="F7337" t="s">
        <v>279</v>
      </c>
      <c r="G7337">
        <v>199.47</v>
      </c>
      <c r="H7337">
        <v>251110</v>
      </c>
      <c r="I7337">
        <v>4520</v>
      </c>
      <c r="J7337" t="s">
        <v>280</v>
      </c>
      <c r="K7337">
        <v>5437.35</v>
      </c>
      <c r="L7337">
        <v>24.5</v>
      </c>
      <c r="M7337">
        <v>14642</v>
      </c>
      <c r="N7337" t="s">
        <v>283</v>
      </c>
      <c r="O7337">
        <v>251117</v>
      </c>
      <c r="P7337">
        <v>174.97</v>
      </c>
    </row>
    <row r="7338" spans="1:16" x14ac:dyDescent="0.25">
      <c r="A7338" t="s">
        <v>3296</v>
      </c>
      <c r="B7338" t="s">
        <v>2931</v>
      </c>
      <c r="C7338">
        <v>15300</v>
      </c>
      <c r="D7338" t="str">
        <f t="shared" si="143"/>
        <v xml:space="preserve">2561048968  </v>
      </c>
      <c r="E7338" t="s">
        <v>277</v>
      </c>
      <c r="F7338" t="s">
        <v>279</v>
      </c>
      <c r="G7338">
        <v>328.85</v>
      </c>
      <c r="H7338">
        <v>251110</v>
      </c>
      <c r="I7338">
        <v>4520</v>
      </c>
      <c r="J7338" t="s">
        <v>280</v>
      </c>
      <c r="K7338">
        <v>5437.35</v>
      </c>
      <c r="L7338">
        <v>66.819999999999993</v>
      </c>
      <c r="M7338">
        <v>14912</v>
      </c>
      <c r="N7338" t="s">
        <v>80</v>
      </c>
      <c r="O7338">
        <v>251117</v>
      </c>
      <c r="P7338">
        <v>262.02999999999997</v>
      </c>
    </row>
    <row r="7339" spans="1:16" x14ac:dyDescent="0.25">
      <c r="A7339" t="s">
        <v>3296</v>
      </c>
      <c r="B7339" t="s">
        <v>2931</v>
      </c>
      <c r="C7339">
        <v>15300</v>
      </c>
      <c r="D7339" t="str">
        <f t="shared" si="143"/>
        <v xml:space="preserve">2561048968  </v>
      </c>
      <c r="E7339" t="s">
        <v>277</v>
      </c>
      <c r="F7339" t="s">
        <v>279</v>
      </c>
      <c r="G7339">
        <v>3640.42</v>
      </c>
      <c r="H7339">
        <v>251110</v>
      </c>
      <c r="I7339">
        <v>4520</v>
      </c>
      <c r="J7339" t="s">
        <v>280</v>
      </c>
      <c r="K7339">
        <v>5437.35</v>
      </c>
      <c r="L7339">
        <v>447.07</v>
      </c>
      <c r="M7339">
        <v>14912</v>
      </c>
      <c r="N7339" t="s">
        <v>80</v>
      </c>
      <c r="O7339">
        <v>251117</v>
      </c>
      <c r="P7339">
        <v>3193.35</v>
      </c>
    </row>
    <row r="7340" spans="1:16" x14ac:dyDescent="0.25">
      <c r="A7340" t="s">
        <v>3296</v>
      </c>
      <c r="B7340" t="s">
        <v>2931</v>
      </c>
      <c r="C7340">
        <v>15449</v>
      </c>
      <c r="D7340" t="str">
        <f>"2561066859  "</f>
        <v xml:space="preserve">2561066859  </v>
      </c>
      <c r="E7340" t="s">
        <v>277</v>
      </c>
      <c r="F7340" t="s">
        <v>279</v>
      </c>
      <c r="G7340">
        <v>66.989999999999995</v>
      </c>
      <c r="H7340">
        <v>251117</v>
      </c>
      <c r="I7340">
        <v>4520</v>
      </c>
      <c r="J7340" t="s">
        <v>280</v>
      </c>
      <c r="K7340">
        <v>552.41</v>
      </c>
      <c r="L7340">
        <v>13.61</v>
      </c>
      <c r="M7340">
        <v>17915</v>
      </c>
      <c r="N7340" t="s">
        <v>305</v>
      </c>
      <c r="O7340">
        <v>251120</v>
      </c>
      <c r="P7340">
        <v>53.38</v>
      </c>
    </row>
    <row r="7341" spans="1:16" x14ac:dyDescent="0.25">
      <c r="A7341" t="s">
        <v>3296</v>
      </c>
      <c r="B7341" t="s">
        <v>2931</v>
      </c>
      <c r="C7341">
        <v>15449</v>
      </c>
      <c r="D7341" t="str">
        <f>"2561066859  "</f>
        <v xml:space="preserve">2561066859  </v>
      </c>
      <c r="E7341" t="s">
        <v>277</v>
      </c>
      <c r="F7341" t="s">
        <v>279</v>
      </c>
      <c r="G7341">
        <v>436.9</v>
      </c>
      <c r="H7341">
        <v>251117</v>
      </c>
      <c r="I7341">
        <v>4520</v>
      </c>
      <c r="J7341" t="s">
        <v>280</v>
      </c>
      <c r="K7341">
        <v>552.41</v>
      </c>
      <c r="L7341">
        <v>53.65</v>
      </c>
      <c r="M7341">
        <v>17915</v>
      </c>
      <c r="N7341" t="s">
        <v>305</v>
      </c>
      <c r="O7341">
        <v>251120</v>
      </c>
      <c r="P7341">
        <v>383.25</v>
      </c>
    </row>
    <row r="7342" spans="1:16" x14ac:dyDescent="0.25">
      <c r="A7342" t="s">
        <v>3296</v>
      </c>
      <c r="B7342" t="s">
        <v>2931</v>
      </c>
      <c r="C7342">
        <v>15449</v>
      </c>
      <c r="D7342" t="str">
        <f>"2561066859  "</f>
        <v xml:space="preserve">2561066859  </v>
      </c>
      <c r="E7342" t="s">
        <v>277</v>
      </c>
      <c r="F7342" t="s">
        <v>279</v>
      </c>
      <c r="G7342">
        <v>48.52</v>
      </c>
      <c r="H7342">
        <v>251117</v>
      </c>
      <c r="I7342">
        <v>4520</v>
      </c>
      <c r="J7342" t="s">
        <v>280</v>
      </c>
      <c r="K7342">
        <v>552.41</v>
      </c>
      <c r="L7342">
        <v>5.96</v>
      </c>
      <c r="M7342">
        <v>17982</v>
      </c>
      <c r="N7342" t="s">
        <v>281</v>
      </c>
      <c r="O7342">
        <v>251120</v>
      </c>
      <c r="P7342">
        <v>42.56</v>
      </c>
    </row>
    <row r="7343" spans="1:16" x14ac:dyDescent="0.25">
      <c r="A7343" t="s">
        <v>3296</v>
      </c>
      <c r="B7343" t="s">
        <v>2931</v>
      </c>
      <c r="C7343">
        <v>15481</v>
      </c>
      <c r="D7343" t="str">
        <f>"2561066865  "</f>
        <v xml:space="preserve">2561066865  </v>
      </c>
      <c r="E7343" t="s">
        <v>277</v>
      </c>
      <c r="F7343" t="s">
        <v>279</v>
      </c>
      <c r="G7343">
        <v>1082.3599999999999</v>
      </c>
      <c r="H7343">
        <v>251117</v>
      </c>
      <c r="I7343">
        <v>4520</v>
      </c>
      <c r="J7343" t="s">
        <v>280</v>
      </c>
      <c r="K7343">
        <v>1436.79</v>
      </c>
      <c r="L7343">
        <v>132.91999999999999</v>
      </c>
      <c r="M7343">
        <v>69112</v>
      </c>
      <c r="N7343" t="s">
        <v>227</v>
      </c>
      <c r="O7343">
        <v>251121</v>
      </c>
      <c r="P7343">
        <v>949.44</v>
      </c>
    </row>
    <row r="7344" spans="1:16" x14ac:dyDescent="0.25">
      <c r="A7344" t="s">
        <v>3296</v>
      </c>
      <c r="B7344" t="s">
        <v>2931</v>
      </c>
      <c r="C7344">
        <v>15481</v>
      </c>
      <c r="D7344" t="str">
        <f>"2561066865  "</f>
        <v xml:space="preserve">2561066865  </v>
      </c>
      <c r="E7344" t="s">
        <v>277</v>
      </c>
      <c r="F7344" t="s">
        <v>279</v>
      </c>
      <c r="G7344">
        <v>60.13</v>
      </c>
      <c r="H7344">
        <v>251117</v>
      </c>
      <c r="I7344">
        <v>4520</v>
      </c>
      <c r="J7344" t="s">
        <v>280</v>
      </c>
      <c r="K7344">
        <v>1436.79</v>
      </c>
      <c r="L7344">
        <v>7.38</v>
      </c>
      <c r="M7344">
        <v>69810</v>
      </c>
      <c r="N7344" t="s">
        <v>229</v>
      </c>
      <c r="O7344">
        <v>251121</v>
      </c>
      <c r="P7344">
        <v>52.75</v>
      </c>
    </row>
    <row r="7345" spans="1:16" x14ac:dyDescent="0.25">
      <c r="A7345" t="s">
        <v>3296</v>
      </c>
      <c r="B7345" t="s">
        <v>2931</v>
      </c>
      <c r="C7345">
        <v>15481</v>
      </c>
      <c r="D7345" t="str">
        <f>"2561066865  "</f>
        <v xml:space="preserve">2561066865  </v>
      </c>
      <c r="E7345" t="s">
        <v>277</v>
      </c>
      <c r="F7345" t="s">
        <v>279</v>
      </c>
      <c r="G7345">
        <v>60.13</v>
      </c>
      <c r="H7345">
        <v>251117</v>
      </c>
      <c r="I7345">
        <v>4520</v>
      </c>
      <c r="J7345" t="s">
        <v>280</v>
      </c>
      <c r="K7345">
        <v>1436.79</v>
      </c>
      <c r="L7345">
        <v>7.38</v>
      </c>
      <c r="M7345">
        <v>69811</v>
      </c>
      <c r="N7345" t="s">
        <v>230</v>
      </c>
      <c r="O7345">
        <v>251121</v>
      </c>
      <c r="P7345">
        <v>52.75</v>
      </c>
    </row>
    <row r="7346" spans="1:16" x14ac:dyDescent="0.25">
      <c r="A7346" t="s">
        <v>3296</v>
      </c>
      <c r="B7346" t="s">
        <v>2931</v>
      </c>
      <c r="C7346">
        <v>15486</v>
      </c>
      <c r="D7346" t="str">
        <f>"2561066864  "</f>
        <v xml:space="preserve">2561066864  </v>
      </c>
      <c r="E7346" t="s">
        <v>277</v>
      </c>
      <c r="F7346" t="s">
        <v>279</v>
      </c>
      <c r="G7346">
        <v>899.92</v>
      </c>
      <c r="H7346">
        <v>251117</v>
      </c>
      <c r="I7346">
        <v>4520</v>
      </c>
      <c r="J7346" t="s">
        <v>280</v>
      </c>
      <c r="K7346">
        <v>1077.7</v>
      </c>
      <c r="L7346">
        <v>110.52</v>
      </c>
      <c r="M7346">
        <v>44253</v>
      </c>
      <c r="N7346" t="s">
        <v>403</v>
      </c>
      <c r="O7346">
        <v>251121</v>
      </c>
      <c r="P7346">
        <v>789.4</v>
      </c>
    </row>
    <row r="7347" spans="1:16" x14ac:dyDescent="0.25">
      <c r="A7347" t="s">
        <v>3296</v>
      </c>
      <c r="B7347" t="s">
        <v>2931</v>
      </c>
      <c r="C7347">
        <v>15497</v>
      </c>
      <c r="D7347" t="str">
        <f t="shared" ref="D7347:D7352" si="144">"2561066862  "</f>
        <v xml:space="preserve">2561066862  </v>
      </c>
      <c r="E7347" t="s">
        <v>277</v>
      </c>
      <c r="F7347" t="s">
        <v>279</v>
      </c>
      <c r="G7347">
        <v>120</v>
      </c>
      <c r="H7347">
        <v>251117</v>
      </c>
      <c r="I7347">
        <v>4520</v>
      </c>
      <c r="J7347" t="s">
        <v>280</v>
      </c>
      <c r="K7347">
        <v>3460.26</v>
      </c>
      <c r="L7347">
        <v>14.74</v>
      </c>
      <c r="M7347">
        <v>16431</v>
      </c>
      <c r="N7347" t="s">
        <v>17</v>
      </c>
      <c r="O7347">
        <v>251121</v>
      </c>
      <c r="P7347">
        <v>105.26</v>
      </c>
    </row>
    <row r="7348" spans="1:16" x14ac:dyDescent="0.25">
      <c r="A7348" t="s">
        <v>3296</v>
      </c>
      <c r="B7348" t="s">
        <v>2931</v>
      </c>
      <c r="C7348">
        <v>15497</v>
      </c>
      <c r="D7348" t="str">
        <f t="shared" si="144"/>
        <v xml:space="preserve">2561066862  </v>
      </c>
      <c r="E7348" t="s">
        <v>277</v>
      </c>
      <c r="F7348" t="s">
        <v>279</v>
      </c>
      <c r="G7348">
        <v>1200</v>
      </c>
      <c r="H7348">
        <v>251117</v>
      </c>
      <c r="I7348">
        <v>4520</v>
      </c>
      <c r="J7348" t="s">
        <v>280</v>
      </c>
      <c r="K7348">
        <v>3460.26</v>
      </c>
      <c r="L7348">
        <v>147.37</v>
      </c>
      <c r="M7348">
        <v>16441</v>
      </c>
      <c r="N7348" t="s">
        <v>1674</v>
      </c>
      <c r="O7348">
        <v>251121</v>
      </c>
      <c r="P7348">
        <v>1052.6300000000001</v>
      </c>
    </row>
    <row r="7349" spans="1:16" x14ac:dyDescent="0.25">
      <c r="A7349" t="s">
        <v>3296</v>
      </c>
      <c r="B7349" t="s">
        <v>2931</v>
      </c>
      <c r="C7349">
        <v>15497</v>
      </c>
      <c r="D7349" t="str">
        <f t="shared" si="144"/>
        <v xml:space="preserve">2561066862  </v>
      </c>
      <c r="E7349" t="s">
        <v>277</v>
      </c>
      <c r="F7349" t="s">
        <v>279</v>
      </c>
      <c r="G7349">
        <v>125.7</v>
      </c>
      <c r="H7349">
        <v>251117</v>
      </c>
      <c r="I7349">
        <v>4520</v>
      </c>
      <c r="J7349" t="s">
        <v>280</v>
      </c>
      <c r="K7349">
        <v>3460.26</v>
      </c>
      <c r="L7349">
        <v>15.44</v>
      </c>
      <c r="M7349">
        <v>16442</v>
      </c>
      <c r="N7349" t="s">
        <v>304</v>
      </c>
      <c r="O7349">
        <v>251121</v>
      </c>
      <c r="P7349">
        <v>110.26</v>
      </c>
    </row>
    <row r="7350" spans="1:16" x14ac:dyDescent="0.25">
      <c r="A7350" t="s">
        <v>3296</v>
      </c>
      <c r="B7350" t="s">
        <v>2931</v>
      </c>
      <c r="C7350">
        <v>15497</v>
      </c>
      <c r="D7350" t="str">
        <f t="shared" si="144"/>
        <v xml:space="preserve">2561066862  </v>
      </c>
      <c r="E7350" t="s">
        <v>277</v>
      </c>
      <c r="F7350" t="s">
        <v>279</v>
      </c>
      <c r="G7350">
        <v>157.87</v>
      </c>
      <c r="H7350">
        <v>251117</v>
      </c>
      <c r="I7350">
        <v>4520</v>
      </c>
      <c r="J7350" t="s">
        <v>280</v>
      </c>
      <c r="K7350">
        <v>3460.26</v>
      </c>
      <c r="L7350">
        <v>32.08</v>
      </c>
      <c r="M7350">
        <v>17913</v>
      </c>
      <c r="N7350" t="s">
        <v>26</v>
      </c>
      <c r="O7350">
        <v>251121</v>
      </c>
      <c r="P7350">
        <v>125.79</v>
      </c>
    </row>
    <row r="7351" spans="1:16" x14ac:dyDescent="0.25">
      <c r="A7351" t="s">
        <v>3296</v>
      </c>
      <c r="B7351" t="s">
        <v>2931</v>
      </c>
      <c r="C7351">
        <v>15497</v>
      </c>
      <c r="D7351" t="str">
        <f t="shared" si="144"/>
        <v xml:space="preserve">2561066862  </v>
      </c>
      <c r="E7351" t="s">
        <v>277</v>
      </c>
      <c r="F7351" t="s">
        <v>279</v>
      </c>
      <c r="G7351">
        <v>1526.49</v>
      </c>
      <c r="H7351">
        <v>251117</v>
      </c>
      <c r="I7351">
        <v>4520</v>
      </c>
      <c r="J7351" t="s">
        <v>280</v>
      </c>
      <c r="K7351">
        <v>3460.26</v>
      </c>
      <c r="L7351">
        <v>187.46</v>
      </c>
      <c r="M7351">
        <v>17913</v>
      </c>
      <c r="N7351" t="s">
        <v>26</v>
      </c>
      <c r="O7351">
        <v>251121</v>
      </c>
      <c r="P7351">
        <v>1339.03</v>
      </c>
    </row>
    <row r="7352" spans="1:16" x14ac:dyDescent="0.25">
      <c r="A7352" t="s">
        <v>3296</v>
      </c>
      <c r="B7352" t="s">
        <v>2931</v>
      </c>
      <c r="C7352">
        <v>15497</v>
      </c>
      <c r="D7352" t="str">
        <f t="shared" si="144"/>
        <v xml:space="preserve">2561066862  </v>
      </c>
      <c r="E7352" t="s">
        <v>277</v>
      </c>
      <c r="F7352" t="s">
        <v>279</v>
      </c>
      <c r="G7352">
        <v>330.2</v>
      </c>
      <c r="H7352">
        <v>251117</v>
      </c>
      <c r="I7352">
        <v>4520</v>
      </c>
      <c r="J7352" t="s">
        <v>280</v>
      </c>
      <c r="K7352">
        <v>3460.26</v>
      </c>
      <c r="L7352">
        <v>40.549999999999997</v>
      </c>
      <c r="M7352">
        <v>17982</v>
      </c>
      <c r="N7352" t="s">
        <v>281</v>
      </c>
      <c r="O7352">
        <v>251121</v>
      </c>
      <c r="P7352">
        <v>289.64999999999998</v>
      </c>
    </row>
    <row r="7353" spans="1:16" x14ac:dyDescent="0.25">
      <c r="A7353" t="s">
        <v>3296</v>
      </c>
      <c r="B7353" t="s">
        <v>2931</v>
      </c>
      <c r="C7353">
        <v>15560</v>
      </c>
      <c r="D7353" t="str">
        <f>"2561066857  "</f>
        <v xml:space="preserve">2561066857  </v>
      </c>
      <c r="E7353" t="s">
        <v>277</v>
      </c>
      <c r="F7353" t="s">
        <v>279</v>
      </c>
      <c r="G7353">
        <v>1594.48</v>
      </c>
      <c r="H7353">
        <v>251117</v>
      </c>
      <c r="I7353">
        <v>4520</v>
      </c>
      <c r="J7353" t="s">
        <v>280</v>
      </c>
      <c r="K7353">
        <v>1864.48</v>
      </c>
      <c r="L7353">
        <v>195.81</v>
      </c>
      <c r="M7353">
        <v>69113</v>
      </c>
      <c r="N7353" t="s">
        <v>122</v>
      </c>
      <c r="O7353">
        <v>251121</v>
      </c>
      <c r="P7353">
        <v>1398.67</v>
      </c>
    </row>
    <row r="7354" spans="1:16" x14ac:dyDescent="0.25">
      <c r="A7354" t="s">
        <v>3296</v>
      </c>
      <c r="B7354" t="s">
        <v>2931</v>
      </c>
      <c r="C7354">
        <v>15560</v>
      </c>
      <c r="D7354" t="str">
        <f>"2561066857  "</f>
        <v xml:space="preserve">2561066857  </v>
      </c>
      <c r="E7354" t="s">
        <v>277</v>
      </c>
      <c r="F7354" t="s">
        <v>279</v>
      </c>
      <c r="G7354">
        <v>187.59</v>
      </c>
      <c r="H7354">
        <v>251117</v>
      </c>
      <c r="I7354">
        <v>4520</v>
      </c>
      <c r="J7354" t="s">
        <v>280</v>
      </c>
      <c r="K7354">
        <v>1864.48</v>
      </c>
      <c r="L7354">
        <v>23.04</v>
      </c>
      <c r="M7354">
        <v>69802</v>
      </c>
      <c r="N7354" t="s">
        <v>375</v>
      </c>
      <c r="O7354">
        <v>251121</v>
      </c>
      <c r="P7354">
        <v>164.55</v>
      </c>
    </row>
    <row r="7355" spans="1:16" x14ac:dyDescent="0.25">
      <c r="A7355" t="s">
        <v>3296</v>
      </c>
      <c r="B7355" t="s">
        <v>2931</v>
      </c>
      <c r="C7355">
        <v>15560</v>
      </c>
      <c r="D7355" t="str">
        <f>"2561066857  "</f>
        <v xml:space="preserve">2561066857  </v>
      </c>
      <c r="E7355" t="s">
        <v>277</v>
      </c>
      <c r="F7355" t="s">
        <v>279</v>
      </c>
      <c r="G7355">
        <v>93.79</v>
      </c>
      <c r="H7355">
        <v>251117</v>
      </c>
      <c r="I7355">
        <v>4520</v>
      </c>
      <c r="J7355" t="s">
        <v>280</v>
      </c>
      <c r="K7355">
        <v>1864.48</v>
      </c>
      <c r="L7355">
        <v>11.52</v>
      </c>
      <c r="M7355">
        <v>69804</v>
      </c>
      <c r="N7355" t="s">
        <v>376</v>
      </c>
      <c r="O7355">
        <v>251121</v>
      </c>
      <c r="P7355">
        <v>82.27</v>
      </c>
    </row>
    <row r="7356" spans="1:16" x14ac:dyDescent="0.25">
      <c r="A7356" t="s">
        <v>3296</v>
      </c>
      <c r="B7356" t="s">
        <v>2931</v>
      </c>
      <c r="C7356">
        <v>15620</v>
      </c>
      <c r="D7356" t="str">
        <f>"2561066858  "</f>
        <v xml:space="preserve">2561066858  </v>
      </c>
      <c r="E7356" t="s">
        <v>277</v>
      </c>
      <c r="F7356" t="s">
        <v>279</v>
      </c>
      <c r="G7356">
        <v>2497.92</v>
      </c>
      <c r="H7356">
        <v>251117</v>
      </c>
      <c r="I7356">
        <v>4520</v>
      </c>
      <c r="J7356" t="s">
        <v>280</v>
      </c>
      <c r="K7356">
        <v>2700.56</v>
      </c>
      <c r="L7356">
        <v>306.76</v>
      </c>
      <c r="M7356">
        <v>49112</v>
      </c>
      <c r="N7356" t="s">
        <v>109</v>
      </c>
      <c r="O7356">
        <v>251124</v>
      </c>
      <c r="P7356">
        <v>2191.16</v>
      </c>
    </row>
    <row r="7357" spans="1:16" x14ac:dyDescent="0.25">
      <c r="A7357" t="s">
        <v>3296</v>
      </c>
      <c r="B7357" t="s">
        <v>2931</v>
      </c>
      <c r="C7357">
        <v>15649</v>
      </c>
      <c r="D7357" t="str">
        <f>"2561066855  "</f>
        <v xml:space="preserve">2561066855  </v>
      </c>
      <c r="E7357" t="s">
        <v>277</v>
      </c>
      <c r="F7357" t="s">
        <v>279</v>
      </c>
      <c r="G7357">
        <v>953</v>
      </c>
      <c r="H7357">
        <v>251117</v>
      </c>
      <c r="I7357">
        <v>4520</v>
      </c>
      <c r="J7357" t="s">
        <v>280</v>
      </c>
      <c r="K7357">
        <v>2781.77</v>
      </c>
      <c r="L7357">
        <v>117.04</v>
      </c>
      <c r="M7357">
        <v>54422</v>
      </c>
      <c r="N7357" t="s">
        <v>49</v>
      </c>
      <c r="O7357">
        <v>251124</v>
      </c>
      <c r="P7357">
        <v>835.96</v>
      </c>
    </row>
    <row r="7358" spans="1:16" x14ac:dyDescent="0.25">
      <c r="A7358" t="s">
        <v>3296</v>
      </c>
      <c r="B7358" t="s">
        <v>2931</v>
      </c>
      <c r="C7358">
        <v>15649</v>
      </c>
      <c r="D7358" t="str">
        <f>"2561066855  "</f>
        <v xml:space="preserve">2561066855  </v>
      </c>
      <c r="E7358" t="s">
        <v>277</v>
      </c>
      <c r="F7358" t="s">
        <v>279</v>
      </c>
      <c r="G7358">
        <v>1651.3</v>
      </c>
      <c r="H7358">
        <v>251117</v>
      </c>
      <c r="I7358">
        <v>4520</v>
      </c>
      <c r="J7358" t="s">
        <v>280</v>
      </c>
      <c r="K7358">
        <v>2781.77</v>
      </c>
      <c r="L7358">
        <v>202.79</v>
      </c>
      <c r="M7358">
        <v>54451</v>
      </c>
      <c r="N7358" t="s">
        <v>218</v>
      </c>
      <c r="O7358">
        <v>251124</v>
      </c>
      <c r="P7358">
        <v>1448.51</v>
      </c>
    </row>
    <row r="7359" spans="1:16" x14ac:dyDescent="0.25">
      <c r="A7359" t="s">
        <v>3296</v>
      </c>
      <c r="B7359" t="s">
        <v>2931</v>
      </c>
      <c r="C7359">
        <v>15653</v>
      </c>
      <c r="D7359" t="str">
        <f>"2561066856  "</f>
        <v xml:space="preserve">2561066856  </v>
      </c>
      <c r="E7359" t="s">
        <v>277</v>
      </c>
      <c r="F7359" t="s">
        <v>279</v>
      </c>
      <c r="G7359">
        <v>2868.74</v>
      </c>
      <c r="H7359">
        <v>251117</v>
      </c>
      <c r="I7359">
        <v>4520</v>
      </c>
      <c r="J7359" t="s">
        <v>280</v>
      </c>
      <c r="K7359">
        <v>3400.14</v>
      </c>
      <c r="L7359">
        <v>352.3</v>
      </c>
      <c r="M7359">
        <v>59113</v>
      </c>
      <c r="N7359" t="s">
        <v>61</v>
      </c>
      <c r="O7359">
        <v>251124</v>
      </c>
      <c r="P7359">
        <v>2516.44</v>
      </c>
    </row>
    <row r="7360" spans="1:16" x14ac:dyDescent="0.25">
      <c r="A7360" t="s">
        <v>3296</v>
      </c>
      <c r="B7360" t="s">
        <v>2931</v>
      </c>
      <c r="C7360">
        <v>15653</v>
      </c>
      <c r="D7360" t="str">
        <f>"2561066856  "</f>
        <v xml:space="preserve">2561066856  </v>
      </c>
      <c r="E7360" t="s">
        <v>277</v>
      </c>
      <c r="F7360" t="s">
        <v>279</v>
      </c>
      <c r="G7360">
        <v>506.25</v>
      </c>
      <c r="H7360">
        <v>251117</v>
      </c>
      <c r="I7360">
        <v>4520</v>
      </c>
      <c r="J7360" t="s">
        <v>280</v>
      </c>
      <c r="K7360">
        <v>3400.14</v>
      </c>
      <c r="L7360">
        <v>62.17</v>
      </c>
      <c r="M7360">
        <v>59803</v>
      </c>
      <c r="N7360" t="s">
        <v>282</v>
      </c>
      <c r="O7360">
        <v>251124</v>
      </c>
      <c r="P7360">
        <v>444.08</v>
      </c>
    </row>
    <row r="7361" spans="1:16" x14ac:dyDescent="0.25">
      <c r="A7361" t="s">
        <v>3296</v>
      </c>
      <c r="B7361" t="s">
        <v>2931</v>
      </c>
      <c r="C7361">
        <v>15654</v>
      </c>
      <c r="D7361" t="str">
        <f>"2561066854  "</f>
        <v xml:space="preserve">2561066854  </v>
      </c>
      <c r="E7361" t="s">
        <v>277</v>
      </c>
      <c r="F7361" t="s">
        <v>279</v>
      </c>
      <c r="G7361">
        <v>773.12</v>
      </c>
      <c r="H7361">
        <v>251117</v>
      </c>
      <c r="I7361">
        <v>4520</v>
      </c>
      <c r="J7361" t="s">
        <v>280</v>
      </c>
      <c r="K7361">
        <v>852.76</v>
      </c>
      <c r="L7361">
        <v>94.94</v>
      </c>
      <c r="M7361">
        <v>59114</v>
      </c>
      <c r="N7361" t="s">
        <v>299</v>
      </c>
      <c r="O7361">
        <v>251124</v>
      </c>
      <c r="P7361">
        <v>678.18</v>
      </c>
    </row>
    <row r="7362" spans="1:16" x14ac:dyDescent="0.25">
      <c r="A7362" t="s">
        <v>3296</v>
      </c>
      <c r="B7362" t="s">
        <v>2931</v>
      </c>
      <c r="C7362">
        <v>15654</v>
      </c>
      <c r="D7362" t="str">
        <f>"2561066854  "</f>
        <v xml:space="preserve">2561066854  </v>
      </c>
      <c r="E7362" t="s">
        <v>277</v>
      </c>
      <c r="F7362" t="s">
        <v>279</v>
      </c>
      <c r="G7362">
        <v>85.9</v>
      </c>
      <c r="H7362">
        <v>251117</v>
      </c>
      <c r="I7362">
        <v>4520</v>
      </c>
      <c r="J7362" t="s">
        <v>280</v>
      </c>
      <c r="K7362">
        <v>852.76</v>
      </c>
      <c r="L7362">
        <v>10.55</v>
      </c>
      <c r="M7362">
        <v>59808</v>
      </c>
      <c r="N7362" t="s">
        <v>699</v>
      </c>
      <c r="O7362">
        <v>251124</v>
      </c>
      <c r="P7362">
        <v>75.349999999999994</v>
      </c>
    </row>
    <row r="7363" spans="1:16" x14ac:dyDescent="0.25">
      <c r="A7363" t="s">
        <v>3296</v>
      </c>
      <c r="B7363" t="s">
        <v>2931</v>
      </c>
      <c r="C7363">
        <v>15705</v>
      </c>
      <c r="D7363" t="str">
        <f t="shared" ref="D7363:D7374" si="145">"2561066863  "</f>
        <v xml:space="preserve">2561066863  </v>
      </c>
      <c r="E7363" t="s">
        <v>277</v>
      </c>
      <c r="F7363" t="s">
        <v>279</v>
      </c>
      <c r="G7363">
        <v>9.81</v>
      </c>
      <c r="H7363">
        <v>251117</v>
      </c>
      <c r="I7363">
        <v>4520</v>
      </c>
      <c r="J7363" t="s">
        <v>280</v>
      </c>
      <c r="K7363">
        <v>5887.26</v>
      </c>
      <c r="L7363">
        <v>1.99</v>
      </c>
      <c r="M7363">
        <v>14422</v>
      </c>
      <c r="N7363" t="s">
        <v>73</v>
      </c>
      <c r="O7363">
        <v>251125</v>
      </c>
      <c r="P7363">
        <v>7.82</v>
      </c>
    </row>
    <row r="7364" spans="1:16" x14ac:dyDescent="0.25">
      <c r="A7364" t="s">
        <v>3296</v>
      </c>
      <c r="B7364" t="s">
        <v>2931</v>
      </c>
      <c r="C7364">
        <v>15705</v>
      </c>
      <c r="D7364" t="str">
        <f t="shared" si="145"/>
        <v xml:space="preserve">2561066863  </v>
      </c>
      <c r="E7364" t="s">
        <v>277</v>
      </c>
      <c r="F7364" t="s">
        <v>279</v>
      </c>
      <c r="G7364">
        <v>49.06</v>
      </c>
      <c r="H7364">
        <v>251117</v>
      </c>
      <c r="I7364">
        <v>4520</v>
      </c>
      <c r="J7364" t="s">
        <v>280</v>
      </c>
      <c r="K7364">
        <v>5887.26</v>
      </c>
      <c r="L7364">
        <v>6.02</v>
      </c>
      <c r="M7364">
        <v>14422</v>
      </c>
      <c r="N7364" t="s">
        <v>73</v>
      </c>
      <c r="O7364">
        <v>251125</v>
      </c>
      <c r="P7364">
        <v>43.04</v>
      </c>
    </row>
    <row r="7365" spans="1:16" x14ac:dyDescent="0.25">
      <c r="A7365" t="s">
        <v>3296</v>
      </c>
      <c r="B7365" t="s">
        <v>2931</v>
      </c>
      <c r="C7365">
        <v>15705</v>
      </c>
      <c r="D7365" t="str">
        <f t="shared" si="145"/>
        <v xml:space="preserve">2561066863  </v>
      </c>
      <c r="E7365" t="s">
        <v>277</v>
      </c>
      <c r="F7365" t="s">
        <v>279</v>
      </c>
      <c r="G7365">
        <v>39.229999999999997</v>
      </c>
      <c r="H7365">
        <v>251117</v>
      </c>
      <c r="I7365">
        <v>4520</v>
      </c>
      <c r="J7365" t="s">
        <v>280</v>
      </c>
      <c r="K7365">
        <v>5887.26</v>
      </c>
      <c r="L7365">
        <v>7.97</v>
      </c>
      <c r="M7365">
        <v>14431</v>
      </c>
      <c r="N7365" t="s">
        <v>74</v>
      </c>
      <c r="O7365">
        <v>251125</v>
      </c>
      <c r="P7365">
        <v>31.26</v>
      </c>
    </row>
    <row r="7366" spans="1:16" x14ac:dyDescent="0.25">
      <c r="A7366" t="s">
        <v>3296</v>
      </c>
      <c r="B7366" t="s">
        <v>2931</v>
      </c>
      <c r="C7366">
        <v>15705</v>
      </c>
      <c r="D7366" t="str">
        <f t="shared" si="145"/>
        <v xml:space="preserve">2561066863  </v>
      </c>
      <c r="E7366" t="s">
        <v>277</v>
      </c>
      <c r="F7366" t="s">
        <v>279</v>
      </c>
      <c r="G7366">
        <v>196.26</v>
      </c>
      <c r="H7366">
        <v>251117</v>
      </c>
      <c r="I7366">
        <v>4520</v>
      </c>
      <c r="J7366" t="s">
        <v>280</v>
      </c>
      <c r="K7366">
        <v>5887.26</v>
      </c>
      <c r="L7366">
        <v>24.1</v>
      </c>
      <c r="M7366">
        <v>14431</v>
      </c>
      <c r="N7366" t="s">
        <v>74</v>
      </c>
      <c r="O7366">
        <v>251125</v>
      </c>
      <c r="P7366">
        <v>172.16</v>
      </c>
    </row>
    <row r="7367" spans="1:16" x14ac:dyDescent="0.25">
      <c r="A7367" t="s">
        <v>3296</v>
      </c>
      <c r="B7367" t="s">
        <v>2931</v>
      </c>
      <c r="C7367">
        <v>15705</v>
      </c>
      <c r="D7367" t="str">
        <f t="shared" si="145"/>
        <v xml:space="preserve">2561066863  </v>
      </c>
      <c r="E7367" t="s">
        <v>277</v>
      </c>
      <c r="F7367" t="s">
        <v>279</v>
      </c>
      <c r="G7367">
        <v>166.73</v>
      </c>
      <c r="H7367">
        <v>251117</v>
      </c>
      <c r="I7367">
        <v>4520</v>
      </c>
      <c r="J7367" t="s">
        <v>280</v>
      </c>
      <c r="K7367">
        <v>5887.26</v>
      </c>
      <c r="L7367">
        <v>33.880000000000003</v>
      </c>
      <c r="M7367">
        <v>14432</v>
      </c>
      <c r="N7367" t="s">
        <v>75</v>
      </c>
      <c r="O7367">
        <v>251125</v>
      </c>
      <c r="P7367">
        <v>132.85</v>
      </c>
    </row>
    <row r="7368" spans="1:16" x14ac:dyDescent="0.25">
      <c r="A7368" t="s">
        <v>3296</v>
      </c>
      <c r="B7368" t="s">
        <v>2931</v>
      </c>
      <c r="C7368">
        <v>15705</v>
      </c>
      <c r="D7368" t="str">
        <f t="shared" si="145"/>
        <v xml:space="preserve">2561066863  </v>
      </c>
      <c r="E7368" t="s">
        <v>277</v>
      </c>
      <c r="F7368" t="s">
        <v>279</v>
      </c>
      <c r="G7368">
        <v>834.1</v>
      </c>
      <c r="H7368">
        <v>251117</v>
      </c>
      <c r="I7368">
        <v>4520</v>
      </c>
      <c r="J7368" t="s">
        <v>280</v>
      </c>
      <c r="K7368">
        <v>5887.26</v>
      </c>
      <c r="L7368">
        <v>102.43</v>
      </c>
      <c r="M7368">
        <v>14432</v>
      </c>
      <c r="N7368" t="s">
        <v>75</v>
      </c>
      <c r="O7368">
        <v>251125</v>
      </c>
      <c r="P7368">
        <v>731.67</v>
      </c>
    </row>
    <row r="7369" spans="1:16" x14ac:dyDescent="0.25">
      <c r="A7369" t="s">
        <v>3296</v>
      </c>
      <c r="B7369" t="s">
        <v>2931</v>
      </c>
      <c r="C7369">
        <v>15705</v>
      </c>
      <c r="D7369" t="str">
        <f t="shared" si="145"/>
        <v xml:space="preserve">2561066863  </v>
      </c>
      <c r="E7369" t="s">
        <v>277</v>
      </c>
      <c r="F7369" t="s">
        <v>279</v>
      </c>
      <c r="G7369">
        <v>9.81</v>
      </c>
      <c r="H7369">
        <v>251117</v>
      </c>
      <c r="I7369">
        <v>4520</v>
      </c>
      <c r="J7369" t="s">
        <v>280</v>
      </c>
      <c r="K7369">
        <v>5887.26</v>
      </c>
      <c r="L7369">
        <v>1.99</v>
      </c>
      <c r="M7369">
        <v>14640</v>
      </c>
      <c r="N7369" t="s">
        <v>78</v>
      </c>
      <c r="O7369">
        <v>251125</v>
      </c>
      <c r="P7369">
        <v>7.82</v>
      </c>
    </row>
    <row r="7370" spans="1:16" x14ac:dyDescent="0.25">
      <c r="A7370" t="s">
        <v>3296</v>
      </c>
      <c r="B7370" t="s">
        <v>2931</v>
      </c>
      <c r="C7370">
        <v>15705</v>
      </c>
      <c r="D7370" t="str">
        <f t="shared" si="145"/>
        <v xml:space="preserve">2561066863  </v>
      </c>
      <c r="E7370" t="s">
        <v>277</v>
      </c>
      <c r="F7370" t="s">
        <v>279</v>
      </c>
      <c r="G7370">
        <v>49.07</v>
      </c>
      <c r="H7370">
        <v>251117</v>
      </c>
      <c r="I7370">
        <v>4520</v>
      </c>
      <c r="J7370" t="s">
        <v>280</v>
      </c>
      <c r="K7370">
        <v>5887.26</v>
      </c>
      <c r="L7370">
        <v>6.03</v>
      </c>
      <c r="M7370">
        <v>14640</v>
      </c>
      <c r="N7370" t="s">
        <v>78</v>
      </c>
      <c r="O7370">
        <v>251125</v>
      </c>
      <c r="P7370">
        <v>43.04</v>
      </c>
    </row>
    <row r="7371" spans="1:16" x14ac:dyDescent="0.25">
      <c r="A7371" t="s">
        <v>3296</v>
      </c>
      <c r="B7371" t="s">
        <v>2931</v>
      </c>
      <c r="C7371">
        <v>15705</v>
      </c>
      <c r="D7371" t="str">
        <f t="shared" si="145"/>
        <v xml:space="preserve">2561066863  </v>
      </c>
      <c r="E7371" t="s">
        <v>277</v>
      </c>
      <c r="F7371" t="s">
        <v>279</v>
      </c>
      <c r="G7371">
        <v>39.229999999999997</v>
      </c>
      <c r="H7371">
        <v>251117</v>
      </c>
      <c r="I7371">
        <v>4520</v>
      </c>
      <c r="J7371" t="s">
        <v>280</v>
      </c>
      <c r="K7371">
        <v>5887.26</v>
      </c>
      <c r="L7371">
        <v>7.97</v>
      </c>
      <c r="M7371">
        <v>14642</v>
      </c>
      <c r="N7371" t="s">
        <v>283</v>
      </c>
      <c r="O7371">
        <v>251125</v>
      </c>
      <c r="P7371">
        <v>31.26</v>
      </c>
    </row>
    <row r="7372" spans="1:16" x14ac:dyDescent="0.25">
      <c r="A7372" t="s">
        <v>3296</v>
      </c>
      <c r="B7372" t="s">
        <v>2931</v>
      </c>
      <c r="C7372">
        <v>15705</v>
      </c>
      <c r="D7372" t="str">
        <f t="shared" si="145"/>
        <v xml:space="preserve">2561066863  </v>
      </c>
      <c r="E7372" t="s">
        <v>277</v>
      </c>
      <c r="F7372" t="s">
        <v>279</v>
      </c>
      <c r="G7372">
        <v>196.26</v>
      </c>
      <c r="H7372">
        <v>251117</v>
      </c>
      <c r="I7372">
        <v>4520</v>
      </c>
      <c r="J7372" t="s">
        <v>280</v>
      </c>
      <c r="K7372">
        <v>5887.26</v>
      </c>
      <c r="L7372">
        <v>24.1</v>
      </c>
      <c r="M7372">
        <v>14642</v>
      </c>
      <c r="N7372" t="s">
        <v>283</v>
      </c>
      <c r="O7372">
        <v>251125</v>
      </c>
      <c r="P7372">
        <v>172.16</v>
      </c>
    </row>
    <row r="7373" spans="1:16" x14ac:dyDescent="0.25">
      <c r="A7373" t="s">
        <v>3296</v>
      </c>
      <c r="B7373" t="s">
        <v>2931</v>
      </c>
      <c r="C7373">
        <v>15705</v>
      </c>
      <c r="D7373" t="str">
        <f t="shared" si="145"/>
        <v xml:space="preserve">2561066863  </v>
      </c>
      <c r="E7373" t="s">
        <v>277</v>
      </c>
      <c r="F7373" t="s">
        <v>279</v>
      </c>
      <c r="G7373">
        <v>715.97</v>
      </c>
      <c r="H7373">
        <v>251117</v>
      </c>
      <c r="I7373">
        <v>4520</v>
      </c>
      <c r="J7373" t="s">
        <v>280</v>
      </c>
      <c r="K7373">
        <v>5887.26</v>
      </c>
      <c r="L7373">
        <v>145.47999999999999</v>
      </c>
      <c r="M7373">
        <v>14912</v>
      </c>
      <c r="N7373" t="s">
        <v>80</v>
      </c>
      <c r="O7373">
        <v>251125</v>
      </c>
      <c r="P7373">
        <v>570.49</v>
      </c>
    </row>
    <row r="7374" spans="1:16" x14ac:dyDescent="0.25">
      <c r="A7374" t="s">
        <v>3296</v>
      </c>
      <c r="B7374" t="s">
        <v>2931</v>
      </c>
      <c r="C7374">
        <v>15705</v>
      </c>
      <c r="D7374" t="str">
        <f t="shared" si="145"/>
        <v xml:space="preserve">2561066863  </v>
      </c>
      <c r="E7374" t="s">
        <v>277</v>
      </c>
      <c r="F7374" t="s">
        <v>279</v>
      </c>
      <c r="G7374">
        <v>3581.73</v>
      </c>
      <c r="H7374">
        <v>251117</v>
      </c>
      <c r="I7374">
        <v>4520</v>
      </c>
      <c r="J7374" t="s">
        <v>280</v>
      </c>
      <c r="K7374">
        <v>5887.26</v>
      </c>
      <c r="L7374">
        <v>439.86</v>
      </c>
      <c r="M7374">
        <v>14912</v>
      </c>
      <c r="N7374" t="s">
        <v>80</v>
      </c>
      <c r="O7374">
        <v>251125</v>
      </c>
      <c r="P7374">
        <v>3141.87</v>
      </c>
    </row>
    <row r="7375" spans="1:16" x14ac:dyDescent="0.25">
      <c r="A7375" t="s">
        <v>3296</v>
      </c>
      <c r="B7375" t="s">
        <v>2931</v>
      </c>
      <c r="C7375">
        <v>15720</v>
      </c>
      <c r="D7375" t="str">
        <f>"2561083807  "</f>
        <v xml:space="preserve">2561083807  </v>
      </c>
      <c r="E7375" t="s">
        <v>277</v>
      </c>
      <c r="F7375" t="s">
        <v>279</v>
      </c>
      <c r="G7375">
        <v>1101.7</v>
      </c>
      <c r="H7375">
        <v>251124</v>
      </c>
      <c r="I7375">
        <v>4520</v>
      </c>
      <c r="J7375" t="s">
        <v>280</v>
      </c>
      <c r="K7375">
        <v>1299.97</v>
      </c>
      <c r="L7375">
        <v>135.30000000000001</v>
      </c>
      <c r="M7375">
        <v>69112</v>
      </c>
      <c r="N7375" t="s">
        <v>227</v>
      </c>
      <c r="O7375">
        <v>251125</v>
      </c>
      <c r="P7375">
        <v>966.4</v>
      </c>
    </row>
    <row r="7376" spans="1:16" x14ac:dyDescent="0.25">
      <c r="A7376" t="s">
        <v>3296</v>
      </c>
      <c r="B7376" t="s">
        <v>2931</v>
      </c>
      <c r="C7376">
        <v>15720</v>
      </c>
      <c r="D7376" t="str">
        <f>"2561083807  "</f>
        <v xml:space="preserve">2561083807  </v>
      </c>
      <c r="E7376" t="s">
        <v>277</v>
      </c>
      <c r="F7376" t="s">
        <v>279</v>
      </c>
      <c r="G7376">
        <v>61.21</v>
      </c>
      <c r="H7376">
        <v>251124</v>
      </c>
      <c r="I7376">
        <v>4520</v>
      </c>
      <c r="J7376" t="s">
        <v>280</v>
      </c>
      <c r="K7376">
        <v>1299.97</v>
      </c>
      <c r="L7376">
        <v>7.52</v>
      </c>
      <c r="M7376">
        <v>69810</v>
      </c>
      <c r="N7376" t="s">
        <v>229</v>
      </c>
      <c r="O7376">
        <v>251125</v>
      </c>
      <c r="P7376">
        <v>53.69</v>
      </c>
    </row>
    <row r="7377" spans="1:16" x14ac:dyDescent="0.25">
      <c r="A7377" t="s">
        <v>3296</v>
      </c>
      <c r="B7377" t="s">
        <v>2931</v>
      </c>
      <c r="C7377">
        <v>15720</v>
      </c>
      <c r="D7377" t="str">
        <f>"2561083807  "</f>
        <v xml:space="preserve">2561083807  </v>
      </c>
      <c r="E7377" t="s">
        <v>277</v>
      </c>
      <c r="F7377" t="s">
        <v>279</v>
      </c>
      <c r="G7377">
        <v>61.2</v>
      </c>
      <c r="H7377">
        <v>251124</v>
      </c>
      <c r="I7377">
        <v>4520</v>
      </c>
      <c r="J7377" t="s">
        <v>280</v>
      </c>
      <c r="K7377">
        <v>1299.97</v>
      </c>
      <c r="L7377">
        <v>7.52</v>
      </c>
      <c r="M7377">
        <v>69811</v>
      </c>
      <c r="N7377" t="s">
        <v>230</v>
      </c>
      <c r="O7377">
        <v>251125</v>
      </c>
      <c r="P7377">
        <v>53.68</v>
      </c>
    </row>
    <row r="7378" spans="1:16" x14ac:dyDescent="0.25">
      <c r="A7378" t="s">
        <v>3296</v>
      </c>
      <c r="B7378" t="s">
        <v>2931</v>
      </c>
      <c r="C7378">
        <v>15728</v>
      </c>
      <c r="D7378" t="str">
        <f>"2561083797  "</f>
        <v xml:space="preserve">2561083797  </v>
      </c>
      <c r="E7378" t="s">
        <v>277</v>
      </c>
      <c r="F7378" t="s">
        <v>279</v>
      </c>
      <c r="G7378">
        <v>727.81</v>
      </c>
      <c r="H7378">
        <v>251124</v>
      </c>
      <c r="I7378">
        <v>4520</v>
      </c>
      <c r="J7378" t="s">
        <v>280</v>
      </c>
      <c r="K7378">
        <v>727.81</v>
      </c>
      <c r="L7378">
        <v>89.38</v>
      </c>
      <c r="M7378">
        <v>59114</v>
      </c>
      <c r="N7378" t="s">
        <v>299</v>
      </c>
      <c r="O7378">
        <v>251125</v>
      </c>
      <c r="P7378">
        <v>638.42999999999995</v>
      </c>
    </row>
    <row r="7379" spans="1:16" x14ac:dyDescent="0.25">
      <c r="A7379" t="s">
        <v>3296</v>
      </c>
      <c r="B7379" t="s">
        <v>2931</v>
      </c>
      <c r="C7379">
        <v>15729</v>
      </c>
      <c r="D7379" t="str">
        <f>"2561083799  "</f>
        <v xml:space="preserve">2561083799  </v>
      </c>
      <c r="E7379" t="s">
        <v>277</v>
      </c>
      <c r="F7379" t="s">
        <v>279</v>
      </c>
      <c r="G7379">
        <v>2167.2199999999998</v>
      </c>
      <c r="H7379">
        <v>251124</v>
      </c>
      <c r="I7379">
        <v>4520</v>
      </c>
      <c r="J7379" t="s">
        <v>280</v>
      </c>
      <c r="K7379">
        <v>2511.96</v>
      </c>
      <c r="L7379">
        <v>266.14999999999998</v>
      </c>
      <c r="M7379">
        <v>59113</v>
      </c>
      <c r="N7379" t="s">
        <v>61</v>
      </c>
      <c r="O7379">
        <v>251125</v>
      </c>
      <c r="P7379">
        <v>1901.07</v>
      </c>
    </row>
    <row r="7380" spans="1:16" x14ac:dyDescent="0.25">
      <c r="A7380" t="s">
        <v>3296</v>
      </c>
      <c r="B7380" t="s">
        <v>2931</v>
      </c>
      <c r="C7380">
        <v>15729</v>
      </c>
      <c r="D7380" t="str">
        <f>"2561083799  "</f>
        <v xml:space="preserve">2561083799  </v>
      </c>
      <c r="E7380" t="s">
        <v>277</v>
      </c>
      <c r="F7380" t="s">
        <v>279</v>
      </c>
      <c r="G7380">
        <v>382.45</v>
      </c>
      <c r="H7380">
        <v>251124</v>
      </c>
      <c r="I7380">
        <v>4520</v>
      </c>
      <c r="J7380" t="s">
        <v>280</v>
      </c>
      <c r="K7380">
        <v>2511.96</v>
      </c>
      <c r="L7380">
        <v>46.97</v>
      </c>
      <c r="M7380">
        <v>59803</v>
      </c>
      <c r="N7380" t="s">
        <v>282</v>
      </c>
      <c r="O7380">
        <v>251125</v>
      </c>
      <c r="P7380">
        <v>335.48</v>
      </c>
    </row>
    <row r="7381" spans="1:16" x14ac:dyDescent="0.25">
      <c r="A7381" t="s">
        <v>3296</v>
      </c>
      <c r="B7381" t="s">
        <v>2931</v>
      </c>
      <c r="C7381">
        <v>15769</v>
      </c>
      <c r="D7381" t="str">
        <f>"2561083800  "</f>
        <v xml:space="preserve">2561083800  </v>
      </c>
      <c r="E7381" t="s">
        <v>277</v>
      </c>
      <c r="F7381" t="s">
        <v>279</v>
      </c>
      <c r="G7381">
        <v>179.17</v>
      </c>
      <c r="H7381">
        <v>251124</v>
      </c>
      <c r="I7381">
        <v>4520</v>
      </c>
      <c r="J7381" t="s">
        <v>280</v>
      </c>
      <c r="K7381">
        <v>2795.49</v>
      </c>
      <c r="L7381">
        <v>22</v>
      </c>
      <c r="M7381">
        <v>66722</v>
      </c>
      <c r="N7381" t="s">
        <v>118</v>
      </c>
      <c r="O7381">
        <v>251126</v>
      </c>
      <c r="P7381">
        <v>157.16999999999999</v>
      </c>
    </row>
    <row r="7382" spans="1:16" x14ac:dyDescent="0.25">
      <c r="A7382" t="s">
        <v>3296</v>
      </c>
      <c r="B7382" t="s">
        <v>2931</v>
      </c>
      <c r="C7382">
        <v>15769</v>
      </c>
      <c r="D7382" t="str">
        <f>"2561083800  "</f>
        <v xml:space="preserve">2561083800  </v>
      </c>
      <c r="E7382" t="s">
        <v>277</v>
      </c>
      <c r="F7382" t="s">
        <v>279</v>
      </c>
      <c r="G7382">
        <v>2213.19</v>
      </c>
      <c r="H7382">
        <v>251124</v>
      </c>
      <c r="I7382">
        <v>4520</v>
      </c>
      <c r="J7382" t="s">
        <v>280</v>
      </c>
      <c r="K7382">
        <v>2795.49</v>
      </c>
      <c r="L7382">
        <v>271.8</v>
      </c>
      <c r="M7382">
        <v>69113</v>
      </c>
      <c r="N7382" t="s">
        <v>122</v>
      </c>
      <c r="O7382">
        <v>251126</v>
      </c>
      <c r="P7382">
        <v>1941.39</v>
      </c>
    </row>
    <row r="7383" spans="1:16" x14ac:dyDescent="0.25">
      <c r="A7383" t="s">
        <v>3296</v>
      </c>
      <c r="B7383" t="s">
        <v>2931</v>
      </c>
      <c r="C7383">
        <v>15769</v>
      </c>
      <c r="D7383" t="str">
        <f>"2561083800  "</f>
        <v xml:space="preserve">2561083800  </v>
      </c>
      <c r="E7383" t="s">
        <v>277</v>
      </c>
      <c r="F7383" t="s">
        <v>279</v>
      </c>
      <c r="G7383">
        <v>260.37</v>
      </c>
      <c r="H7383">
        <v>251124</v>
      </c>
      <c r="I7383">
        <v>4520</v>
      </c>
      <c r="J7383" t="s">
        <v>280</v>
      </c>
      <c r="K7383">
        <v>2795.49</v>
      </c>
      <c r="L7383">
        <v>31.98</v>
      </c>
      <c r="M7383">
        <v>69802</v>
      </c>
      <c r="N7383" t="s">
        <v>375</v>
      </c>
      <c r="O7383">
        <v>251126</v>
      </c>
      <c r="P7383">
        <v>228.39</v>
      </c>
    </row>
    <row r="7384" spans="1:16" x14ac:dyDescent="0.25">
      <c r="A7384" t="s">
        <v>3296</v>
      </c>
      <c r="B7384" t="s">
        <v>2931</v>
      </c>
      <c r="C7384">
        <v>15769</v>
      </c>
      <c r="D7384" t="str">
        <f>"2561083800  "</f>
        <v xml:space="preserve">2561083800  </v>
      </c>
      <c r="E7384" t="s">
        <v>277</v>
      </c>
      <c r="F7384" t="s">
        <v>279</v>
      </c>
      <c r="G7384">
        <v>130.19</v>
      </c>
      <c r="H7384">
        <v>251124</v>
      </c>
      <c r="I7384">
        <v>4520</v>
      </c>
      <c r="J7384" t="s">
        <v>280</v>
      </c>
      <c r="K7384">
        <v>2795.49</v>
      </c>
      <c r="L7384">
        <v>15.99</v>
      </c>
      <c r="M7384">
        <v>69804</v>
      </c>
      <c r="N7384" t="s">
        <v>376</v>
      </c>
      <c r="O7384">
        <v>251126</v>
      </c>
      <c r="P7384">
        <v>114.2</v>
      </c>
    </row>
    <row r="7385" spans="1:16" x14ac:dyDescent="0.25">
      <c r="A7385" t="s">
        <v>3296</v>
      </c>
      <c r="B7385" t="s">
        <v>2931</v>
      </c>
      <c r="C7385">
        <v>15791</v>
      </c>
      <c r="D7385" t="str">
        <f>"2561066860  "</f>
        <v xml:space="preserve">2561066860  </v>
      </c>
      <c r="E7385" t="s">
        <v>277</v>
      </c>
      <c r="F7385" t="s">
        <v>279</v>
      </c>
      <c r="G7385">
        <v>26.84</v>
      </c>
      <c r="H7385">
        <v>251117</v>
      </c>
      <c r="I7385">
        <v>4520</v>
      </c>
      <c r="J7385" t="s">
        <v>280</v>
      </c>
      <c r="K7385">
        <v>90.95</v>
      </c>
      <c r="L7385">
        <v>3.3</v>
      </c>
      <c r="M7385">
        <v>44251</v>
      </c>
      <c r="N7385" t="s">
        <v>215</v>
      </c>
      <c r="O7385">
        <v>251127</v>
      </c>
      <c r="P7385">
        <v>23.54</v>
      </c>
    </row>
    <row r="7386" spans="1:16" x14ac:dyDescent="0.25">
      <c r="A7386" t="s">
        <v>3296</v>
      </c>
      <c r="B7386" t="s">
        <v>2931</v>
      </c>
      <c r="C7386">
        <v>15793</v>
      </c>
      <c r="D7386" t="str">
        <f>"2561066861  "</f>
        <v xml:space="preserve">2561066861  </v>
      </c>
      <c r="E7386" t="s">
        <v>277</v>
      </c>
      <c r="F7386" t="s">
        <v>279</v>
      </c>
      <c r="G7386">
        <v>1677.48</v>
      </c>
      <c r="H7386">
        <v>251117</v>
      </c>
      <c r="I7386">
        <v>4520</v>
      </c>
      <c r="J7386" t="s">
        <v>280</v>
      </c>
      <c r="K7386">
        <v>1706.82</v>
      </c>
      <c r="L7386">
        <v>206.01</v>
      </c>
      <c r="M7386">
        <v>44251</v>
      </c>
      <c r="N7386" t="s">
        <v>215</v>
      </c>
      <c r="O7386">
        <v>251127</v>
      </c>
      <c r="P7386">
        <v>1471.47</v>
      </c>
    </row>
    <row r="7387" spans="1:16" x14ac:dyDescent="0.25">
      <c r="A7387" t="s">
        <v>3296</v>
      </c>
      <c r="B7387" t="s">
        <v>2931</v>
      </c>
      <c r="C7387">
        <v>15825</v>
      </c>
      <c r="D7387" t="str">
        <f>"2561083798  "</f>
        <v xml:space="preserve">2561083798  </v>
      </c>
      <c r="E7387" t="s">
        <v>277</v>
      </c>
      <c r="F7387" t="s">
        <v>279</v>
      </c>
      <c r="G7387">
        <v>1012.91</v>
      </c>
      <c r="H7387">
        <v>251124</v>
      </c>
      <c r="I7387">
        <v>4520</v>
      </c>
      <c r="J7387" t="s">
        <v>280</v>
      </c>
      <c r="K7387">
        <v>3285.87</v>
      </c>
      <c r="L7387">
        <v>124.39</v>
      </c>
      <c r="M7387">
        <v>54422</v>
      </c>
      <c r="N7387" t="s">
        <v>49</v>
      </c>
      <c r="O7387">
        <v>251127</v>
      </c>
      <c r="P7387">
        <v>888.52</v>
      </c>
    </row>
    <row r="7388" spans="1:16" x14ac:dyDescent="0.25">
      <c r="A7388" t="s">
        <v>3296</v>
      </c>
      <c r="B7388" t="s">
        <v>2931</v>
      </c>
      <c r="C7388">
        <v>15825</v>
      </c>
      <c r="D7388" t="str">
        <f>"2561083798  "</f>
        <v xml:space="preserve">2561083798  </v>
      </c>
      <c r="E7388" t="s">
        <v>277</v>
      </c>
      <c r="F7388" t="s">
        <v>279</v>
      </c>
      <c r="G7388">
        <v>2041.45</v>
      </c>
      <c r="H7388">
        <v>251124</v>
      </c>
      <c r="I7388">
        <v>4520</v>
      </c>
      <c r="J7388" t="s">
        <v>280</v>
      </c>
      <c r="K7388">
        <v>3285.87</v>
      </c>
      <c r="L7388">
        <v>250.7</v>
      </c>
      <c r="M7388">
        <v>54451</v>
      </c>
      <c r="N7388" t="s">
        <v>218</v>
      </c>
      <c r="O7388">
        <v>251127</v>
      </c>
      <c r="P7388">
        <v>1790.75</v>
      </c>
    </row>
    <row r="7389" spans="1:16" x14ac:dyDescent="0.25">
      <c r="A7389" t="s">
        <v>3296</v>
      </c>
      <c r="B7389" t="s">
        <v>2931</v>
      </c>
      <c r="C7389">
        <v>15961</v>
      </c>
      <c r="D7389" t="str">
        <f t="shared" ref="D7389:D7400" si="146">"2561083805  "</f>
        <v xml:space="preserve">2561083805  </v>
      </c>
      <c r="E7389" t="s">
        <v>277</v>
      </c>
      <c r="F7389" t="s">
        <v>279</v>
      </c>
      <c r="G7389">
        <v>5.84</v>
      </c>
      <c r="H7389">
        <v>251124</v>
      </c>
      <c r="I7389">
        <v>4520</v>
      </c>
      <c r="J7389" t="s">
        <v>280</v>
      </c>
      <c r="K7389">
        <v>5169.09</v>
      </c>
      <c r="L7389">
        <v>1.19</v>
      </c>
      <c r="M7389">
        <v>14422</v>
      </c>
      <c r="N7389" t="s">
        <v>73</v>
      </c>
      <c r="O7389">
        <v>251201</v>
      </c>
      <c r="P7389">
        <v>4.6500000000000004</v>
      </c>
    </row>
    <row r="7390" spans="1:16" x14ac:dyDescent="0.25">
      <c r="A7390" t="s">
        <v>3296</v>
      </c>
      <c r="B7390" t="s">
        <v>2931</v>
      </c>
      <c r="C7390">
        <v>15961</v>
      </c>
      <c r="D7390" t="str">
        <f t="shared" si="146"/>
        <v xml:space="preserve">2561083805  </v>
      </c>
      <c r="E7390" t="s">
        <v>277</v>
      </c>
      <c r="F7390" t="s">
        <v>279</v>
      </c>
      <c r="G7390">
        <v>45.85</v>
      </c>
      <c r="H7390">
        <v>251124</v>
      </c>
      <c r="I7390">
        <v>4520</v>
      </c>
      <c r="J7390" t="s">
        <v>280</v>
      </c>
      <c r="K7390">
        <v>5169.09</v>
      </c>
      <c r="L7390">
        <v>5.63</v>
      </c>
      <c r="M7390">
        <v>14422</v>
      </c>
      <c r="N7390" t="s">
        <v>73</v>
      </c>
      <c r="O7390">
        <v>251201</v>
      </c>
      <c r="P7390">
        <v>40.22</v>
      </c>
    </row>
    <row r="7391" spans="1:16" x14ac:dyDescent="0.25">
      <c r="A7391" t="s">
        <v>3296</v>
      </c>
      <c r="B7391" t="s">
        <v>2931</v>
      </c>
      <c r="C7391">
        <v>15961</v>
      </c>
      <c r="D7391" t="str">
        <f t="shared" si="146"/>
        <v xml:space="preserve">2561083805  </v>
      </c>
      <c r="E7391" t="s">
        <v>277</v>
      </c>
      <c r="F7391" t="s">
        <v>279</v>
      </c>
      <c r="G7391">
        <v>23.35</v>
      </c>
      <c r="H7391">
        <v>251124</v>
      </c>
      <c r="I7391">
        <v>4520</v>
      </c>
      <c r="J7391" t="s">
        <v>280</v>
      </c>
      <c r="K7391">
        <v>5169.09</v>
      </c>
      <c r="L7391">
        <v>4.74</v>
      </c>
      <c r="M7391">
        <v>14431</v>
      </c>
      <c r="N7391" t="s">
        <v>74</v>
      </c>
      <c r="O7391">
        <v>251201</v>
      </c>
      <c r="P7391">
        <v>18.61</v>
      </c>
    </row>
    <row r="7392" spans="1:16" x14ac:dyDescent="0.25">
      <c r="A7392" t="s">
        <v>3296</v>
      </c>
      <c r="B7392" t="s">
        <v>2931</v>
      </c>
      <c r="C7392">
        <v>15961</v>
      </c>
      <c r="D7392" t="str">
        <f t="shared" si="146"/>
        <v xml:space="preserve">2561083805  </v>
      </c>
      <c r="E7392" t="s">
        <v>277</v>
      </c>
      <c r="F7392" t="s">
        <v>279</v>
      </c>
      <c r="G7392">
        <v>183.42</v>
      </c>
      <c r="H7392">
        <v>251124</v>
      </c>
      <c r="I7392">
        <v>4520</v>
      </c>
      <c r="J7392" t="s">
        <v>280</v>
      </c>
      <c r="K7392">
        <v>5169.09</v>
      </c>
      <c r="L7392">
        <v>22.53</v>
      </c>
      <c r="M7392">
        <v>14431</v>
      </c>
      <c r="N7392" t="s">
        <v>74</v>
      </c>
      <c r="O7392">
        <v>251201</v>
      </c>
      <c r="P7392">
        <v>160.88999999999999</v>
      </c>
    </row>
    <row r="7393" spans="1:16" x14ac:dyDescent="0.25">
      <c r="A7393" t="s">
        <v>3296</v>
      </c>
      <c r="B7393" t="s">
        <v>2931</v>
      </c>
      <c r="C7393">
        <v>15961</v>
      </c>
      <c r="D7393" t="str">
        <f t="shared" si="146"/>
        <v xml:space="preserve">2561083805  </v>
      </c>
      <c r="E7393" t="s">
        <v>277</v>
      </c>
      <c r="F7393" t="s">
        <v>279</v>
      </c>
      <c r="G7393">
        <v>99.22</v>
      </c>
      <c r="H7393">
        <v>251124</v>
      </c>
      <c r="I7393">
        <v>4520</v>
      </c>
      <c r="J7393" t="s">
        <v>280</v>
      </c>
      <c r="K7393">
        <v>5169.09</v>
      </c>
      <c r="L7393">
        <v>20.16</v>
      </c>
      <c r="M7393">
        <v>14432</v>
      </c>
      <c r="N7393" t="s">
        <v>75</v>
      </c>
      <c r="O7393">
        <v>251201</v>
      </c>
      <c r="P7393">
        <v>79.06</v>
      </c>
    </row>
    <row r="7394" spans="1:16" x14ac:dyDescent="0.25">
      <c r="A7394" t="s">
        <v>3296</v>
      </c>
      <c r="B7394" t="s">
        <v>2931</v>
      </c>
      <c r="C7394">
        <v>15961</v>
      </c>
      <c r="D7394" t="str">
        <f t="shared" si="146"/>
        <v xml:space="preserve">2561083805  </v>
      </c>
      <c r="E7394" t="s">
        <v>277</v>
      </c>
      <c r="F7394" t="s">
        <v>279</v>
      </c>
      <c r="G7394">
        <v>779.53</v>
      </c>
      <c r="H7394">
        <v>251124</v>
      </c>
      <c r="I7394">
        <v>4520</v>
      </c>
      <c r="J7394" t="s">
        <v>280</v>
      </c>
      <c r="K7394">
        <v>5169.09</v>
      </c>
      <c r="L7394">
        <v>95.73</v>
      </c>
      <c r="M7394">
        <v>14432</v>
      </c>
      <c r="N7394" t="s">
        <v>75</v>
      </c>
      <c r="O7394">
        <v>251201</v>
      </c>
      <c r="P7394">
        <v>683.8</v>
      </c>
    </row>
    <row r="7395" spans="1:16" x14ac:dyDescent="0.25">
      <c r="A7395" t="s">
        <v>3296</v>
      </c>
      <c r="B7395" t="s">
        <v>2931</v>
      </c>
      <c r="C7395">
        <v>15961</v>
      </c>
      <c r="D7395" t="str">
        <f t="shared" si="146"/>
        <v xml:space="preserve">2561083805  </v>
      </c>
      <c r="E7395" t="s">
        <v>277</v>
      </c>
      <c r="F7395" t="s">
        <v>279</v>
      </c>
      <c r="G7395">
        <v>5.82</v>
      </c>
      <c r="H7395">
        <v>251124</v>
      </c>
      <c r="I7395">
        <v>4520</v>
      </c>
      <c r="J7395" t="s">
        <v>280</v>
      </c>
      <c r="K7395">
        <v>5169.09</v>
      </c>
      <c r="L7395">
        <v>1.18</v>
      </c>
      <c r="M7395">
        <v>14640</v>
      </c>
      <c r="N7395" t="s">
        <v>78</v>
      </c>
      <c r="O7395">
        <v>251201</v>
      </c>
      <c r="P7395">
        <v>4.6399999999999997</v>
      </c>
    </row>
    <row r="7396" spans="1:16" x14ac:dyDescent="0.25">
      <c r="A7396" t="s">
        <v>3296</v>
      </c>
      <c r="B7396" t="s">
        <v>2931</v>
      </c>
      <c r="C7396">
        <v>15961</v>
      </c>
      <c r="D7396" t="str">
        <f t="shared" si="146"/>
        <v xml:space="preserve">2561083805  </v>
      </c>
      <c r="E7396" t="s">
        <v>277</v>
      </c>
      <c r="F7396" t="s">
        <v>279</v>
      </c>
      <c r="G7396">
        <v>45.85</v>
      </c>
      <c r="H7396">
        <v>251124</v>
      </c>
      <c r="I7396">
        <v>4520</v>
      </c>
      <c r="J7396" t="s">
        <v>280</v>
      </c>
      <c r="K7396">
        <v>5169.09</v>
      </c>
      <c r="L7396">
        <v>5.63</v>
      </c>
      <c r="M7396">
        <v>14640</v>
      </c>
      <c r="N7396" t="s">
        <v>78</v>
      </c>
      <c r="O7396">
        <v>251201</v>
      </c>
      <c r="P7396">
        <v>40.22</v>
      </c>
    </row>
    <row r="7397" spans="1:16" x14ac:dyDescent="0.25">
      <c r="A7397" t="s">
        <v>3296</v>
      </c>
      <c r="B7397" t="s">
        <v>2931</v>
      </c>
      <c r="C7397">
        <v>15961</v>
      </c>
      <c r="D7397" t="str">
        <f t="shared" si="146"/>
        <v xml:space="preserve">2561083805  </v>
      </c>
      <c r="E7397" t="s">
        <v>277</v>
      </c>
      <c r="F7397" t="s">
        <v>279</v>
      </c>
      <c r="G7397">
        <v>23.35</v>
      </c>
      <c r="H7397">
        <v>251124</v>
      </c>
      <c r="I7397">
        <v>4520</v>
      </c>
      <c r="J7397" t="s">
        <v>280</v>
      </c>
      <c r="K7397">
        <v>5169.09</v>
      </c>
      <c r="L7397">
        <v>4.74</v>
      </c>
      <c r="M7397">
        <v>14642</v>
      </c>
      <c r="N7397" t="s">
        <v>283</v>
      </c>
      <c r="O7397">
        <v>251201</v>
      </c>
      <c r="P7397">
        <v>18.61</v>
      </c>
    </row>
    <row r="7398" spans="1:16" x14ac:dyDescent="0.25">
      <c r="A7398" t="s">
        <v>3296</v>
      </c>
      <c r="B7398" t="s">
        <v>2931</v>
      </c>
      <c r="C7398">
        <v>15961</v>
      </c>
      <c r="D7398" t="str">
        <f t="shared" si="146"/>
        <v xml:space="preserve">2561083805  </v>
      </c>
      <c r="E7398" t="s">
        <v>277</v>
      </c>
      <c r="F7398" t="s">
        <v>279</v>
      </c>
      <c r="G7398">
        <v>183.42</v>
      </c>
      <c r="H7398">
        <v>251124</v>
      </c>
      <c r="I7398">
        <v>4520</v>
      </c>
      <c r="J7398" t="s">
        <v>280</v>
      </c>
      <c r="K7398">
        <v>5169.09</v>
      </c>
      <c r="L7398">
        <v>22.53</v>
      </c>
      <c r="M7398">
        <v>14642</v>
      </c>
      <c r="N7398" t="s">
        <v>283</v>
      </c>
      <c r="O7398">
        <v>251201</v>
      </c>
      <c r="P7398">
        <v>160.88999999999999</v>
      </c>
    </row>
    <row r="7399" spans="1:16" x14ac:dyDescent="0.25">
      <c r="A7399" t="s">
        <v>3296</v>
      </c>
      <c r="B7399" t="s">
        <v>2931</v>
      </c>
      <c r="C7399">
        <v>15961</v>
      </c>
      <c r="D7399" t="str">
        <f t="shared" si="146"/>
        <v xml:space="preserve">2561083805  </v>
      </c>
      <c r="E7399" t="s">
        <v>277</v>
      </c>
      <c r="F7399" t="s">
        <v>279</v>
      </c>
      <c r="G7399">
        <v>426.05</v>
      </c>
      <c r="H7399">
        <v>251124</v>
      </c>
      <c r="I7399">
        <v>4520</v>
      </c>
      <c r="J7399" t="s">
        <v>280</v>
      </c>
      <c r="K7399">
        <v>5169.09</v>
      </c>
      <c r="L7399">
        <v>86.57</v>
      </c>
      <c r="M7399">
        <v>14912</v>
      </c>
      <c r="N7399" t="s">
        <v>80</v>
      </c>
      <c r="O7399">
        <v>251201</v>
      </c>
      <c r="P7399">
        <v>339.48</v>
      </c>
    </row>
    <row r="7400" spans="1:16" x14ac:dyDescent="0.25">
      <c r="A7400" t="s">
        <v>3296</v>
      </c>
      <c r="B7400" t="s">
        <v>2931</v>
      </c>
      <c r="C7400">
        <v>15961</v>
      </c>
      <c r="D7400" t="str">
        <f t="shared" si="146"/>
        <v xml:space="preserve">2561083805  </v>
      </c>
      <c r="E7400" t="s">
        <v>277</v>
      </c>
      <c r="F7400" t="s">
        <v>279</v>
      </c>
      <c r="G7400">
        <v>3347.39</v>
      </c>
      <c r="H7400">
        <v>251124</v>
      </c>
      <c r="I7400">
        <v>4520</v>
      </c>
      <c r="J7400" t="s">
        <v>280</v>
      </c>
      <c r="K7400">
        <v>5169.09</v>
      </c>
      <c r="L7400">
        <v>411.08</v>
      </c>
      <c r="M7400">
        <v>14912</v>
      </c>
      <c r="N7400" t="s">
        <v>80</v>
      </c>
      <c r="O7400">
        <v>251201</v>
      </c>
      <c r="P7400">
        <v>2936.31</v>
      </c>
    </row>
    <row r="7401" spans="1:16" x14ac:dyDescent="0.25">
      <c r="A7401" t="s">
        <v>3296</v>
      </c>
      <c r="B7401" t="s">
        <v>2931</v>
      </c>
      <c r="C7401">
        <v>16011</v>
      </c>
      <c r="D7401" t="str">
        <f>"2561099002  "</f>
        <v xml:space="preserve">2561099002  </v>
      </c>
      <c r="E7401" t="s">
        <v>277</v>
      </c>
      <c r="F7401" t="s">
        <v>279</v>
      </c>
      <c r="G7401">
        <v>61.2</v>
      </c>
      <c r="H7401">
        <v>251130</v>
      </c>
      <c r="I7401">
        <v>4520</v>
      </c>
      <c r="J7401" t="s">
        <v>280</v>
      </c>
      <c r="K7401">
        <v>3195.33</v>
      </c>
      <c r="L7401">
        <v>7.52</v>
      </c>
      <c r="M7401">
        <v>66722</v>
      </c>
      <c r="N7401" t="s">
        <v>118</v>
      </c>
      <c r="O7401">
        <v>251201</v>
      </c>
      <c r="P7401">
        <v>53.68</v>
      </c>
    </row>
    <row r="7402" spans="1:16" x14ac:dyDescent="0.25">
      <c r="A7402" t="s">
        <v>3296</v>
      </c>
      <c r="B7402" t="s">
        <v>2931</v>
      </c>
      <c r="C7402">
        <v>16011</v>
      </c>
      <c r="D7402" t="str">
        <f>"2561099002  "</f>
        <v xml:space="preserve">2561099002  </v>
      </c>
      <c r="E7402" t="s">
        <v>277</v>
      </c>
      <c r="F7402" t="s">
        <v>279</v>
      </c>
      <c r="G7402">
        <v>2622.87</v>
      </c>
      <c r="H7402">
        <v>251130</v>
      </c>
      <c r="I7402">
        <v>4520</v>
      </c>
      <c r="J7402" t="s">
        <v>280</v>
      </c>
      <c r="K7402">
        <v>3195.33</v>
      </c>
      <c r="L7402">
        <v>322.11</v>
      </c>
      <c r="M7402">
        <v>69113</v>
      </c>
      <c r="N7402" t="s">
        <v>122</v>
      </c>
      <c r="O7402">
        <v>251201</v>
      </c>
      <c r="P7402">
        <v>2300.7600000000002</v>
      </c>
    </row>
    <row r="7403" spans="1:16" x14ac:dyDescent="0.25">
      <c r="A7403" t="s">
        <v>3296</v>
      </c>
      <c r="B7403" t="s">
        <v>2931</v>
      </c>
      <c r="C7403">
        <v>16011</v>
      </c>
      <c r="D7403" t="str">
        <f>"2561099002  "</f>
        <v xml:space="preserve">2561099002  </v>
      </c>
      <c r="E7403" t="s">
        <v>277</v>
      </c>
      <c r="F7403" t="s">
        <v>279</v>
      </c>
      <c r="G7403">
        <v>308.57</v>
      </c>
      <c r="H7403">
        <v>251130</v>
      </c>
      <c r="I7403">
        <v>4520</v>
      </c>
      <c r="J7403" t="s">
        <v>280</v>
      </c>
      <c r="K7403">
        <v>3195.33</v>
      </c>
      <c r="L7403">
        <v>37.89</v>
      </c>
      <c r="M7403">
        <v>69802</v>
      </c>
      <c r="N7403" t="s">
        <v>375</v>
      </c>
      <c r="O7403">
        <v>251201</v>
      </c>
      <c r="P7403">
        <v>270.68</v>
      </c>
    </row>
    <row r="7404" spans="1:16" x14ac:dyDescent="0.25">
      <c r="A7404" t="s">
        <v>3296</v>
      </c>
      <c r="B7404" t="s">
        <v>2931</v>
      </c>
      <c r="C7404">
        <v>16011</v>
      </c>
      <c r="D7404" t="str">
        <f>"2561099002  "</f>
        <v xml:space="preserve">2561099002  </v>
      </c>
      <c r="E7404" t="s">
        <v>277</v>
      </c>
      <c r="F7404" t="s">
        <v>279</v>
      </c>
      <c r="G7404">
        <v>154.29</v>
      </c>
      <c r="H7404">
        <v>251130</v>
      </c>
      <c r="I7404">
        <v>4520</v>
      </c>
      <c r="J7404" t="s">
        <v>280</v>
      </c>
      <c r="K7404">
        <v>3195.33</v>
      </c>
      <c r="L7404">
        <v>18.95</v>
      </c>
      <c r="M7404">
        <v>69804</v>
      </c>
      <c r="N7404" t="s">
        <v>376</v>
      </c>
      <c r="O7404">
        <v>251201</v>
      </c>
      <c r="P7404">
        <v>135.34</v>
      </c>
    </row>
    <row r="7405" spans="1:16" x14ac:dyDescent="0.25">
      <c r="A7405" t="s">
        <v>3296</v>
      </c>
      <c r="B7405" t="s">
        <v>2931</v>
      </c>
      <c r="C7405">
        <v>16014</v>
      </c>
      <c r="D7405" t="str">
        <f>"2561083802  "</f>
        <v xml:space="preserve">2561083802  </v>
      </c>
      <c r="E7405" t="s">
        <v>277</v>
      </c>
      <c r="F7405" t="s">
        <v>279</v>
      </c>
      <c r="G7405">
        <v>703.43</v>
      </c>
      <c r="H7405">
        <v>251124</v>
      </c>
      <c r="I7405">
        <v>4520</v>
      </c>
      <c r="J7405" t="s">
        <v>280</v>
      </c>
      <c r="K7405">
        <v>844.92</v>
      </c>
      <c r="L7405">
        <v>86.39</v>
      </c>
      <c r="M7405">
        <v>17915</v>
      </c>
      <c r="N7405" t="s">
        <v>305</v>
      </c>
      <c r="O7405">
        <v>251202</v>
      </c>
      <c r="P7405">
        <v>617.04</v>
      </c>
    </row>
    <row r="7406" spans="1:16" x14ac:dyDescent="0.25">
      <c r="A7406" t="s">
        <v>3296</v>
      </c>
      <c r="B7406" t="s">
        <v>2931</v>
      </c>
      <c r="C7406">
        <v>16014</v>
      </c>
      <c r="D7406" t="str">
        <f>"2561083802  "</f>
        <v xml:space="preserve">2561083802  </v>
      </c>
      <c r="E7406" t="s">
        <v>277</v>
      </c>
      <c r="F7406" t="s">
        <v>279</v>
      </c>
      <c r="G7406">
        <v>84.49</v>
      </c>
      <c r="H7406">
        <v>251124</v>
      </c>
      <c r="I7406">
        <v>4520</v>
      </c>
      <c r="J7406" t="s">
        <v>280</v>
      </c>
      <c r="K7406">
        <v>844.92</v>
      </c>
      <c r="L7406">
        <v>10.38</v>
      </c>
      <c r="M7406">
        <v>17982</v>
      </c>
      <c r="N7406" t="s">
        <v>281</v>
      </c>
      <c r="O7406">
        <v>251202</v>
      </c>
      <c r="P7406">
        <v>74.11</v>
      </c>
    </row>
    <row r="7407" spans="1:16" x14ac:dyDescent="0.25">
      <c r="A7407" t="s">
        <v>3296</v>
      </c>
      <c r="B7407" t="s">
        <v>2931</v>
      </c>
      <c r="C7407">
        <v>16014</v>
      </c>
      <c r="D7407" t="str">
        <f>"2561083802  "</f>
        <v xml:space="preserve">2561083802  </v>
      </c>
      <c r="E7407" t="s">
        <v>277</v>
      </c>
      <c r="F7407" t="s">
        <v>279</v>
      </c>
      <c r="G7407">
        <v>57</v>
      </c>
      <c r="H7407">
        <v>251124</v>
      </c>
      <c r="I7407">
        <v>4520</v>
      </c>
      <c r="J7407" t="s">
        <v>280</v>
      </c>
      <c r="K7407">
        <v>844.92</v>
      </c>
      <c r="L7407">
        <v>7</v>
      </c>
      <c r="M7407">
        <v>17984</v>
      </c>
      <c r="N7407" t="s">
        <v>655</v>
      </c>
      <c r="O7407">
        <v>251202</v>
      </c>
      <c r="P7407">
        <v>50</v>
      </c>
    </row>
    <row r="7408" spans="1:16" x14ac:dyDescent="0.25">
      <c r="A7408" t="s">
        <v>3296</v>
      </c>
      <c r="B7408" t="s">
        <v>2931</v>
      </c>
      <c r="C7408">
        <v>16030</v>
      </c>
      <c r="D7408" t="str">
        <f>"2561099001  "</f>
        <v xml:space="preserve">2561099001  </v>
      </c>
      <c r="E7408" t="s">
        <v>277</v>
      </c>
      <c r="F7408" t="s">
        <v>279</v>
      </c>
      <c r="G7408">
        <v>1962.53</v>
      </c>
      <c r="H7408">
        <v>251130</v>
      </c>
      <c r="I7408">
        <v>4520</v>
      </c>
      <c r="J7408" t="s">
        <v>280</v>
      </c>
      <c r="K7408">
        <v>2334.0100000000002</v>
      </c>
      <c r="L7408">
        <v>241.01</v>
      </c>
      <c r="M7408">
        <v>59113</v>
      </c>
      <c r="N7408" t="s">
        <v>61</v>
      </c>
      <c r="O7408">
        <v>251202</v>
      </c>
      <c r="P7408">
        <v>1721.52</v>
      </c>
    </row>
    <row r="7409" spans="1:16" x14ac:dyDescent="0.25">
      <c r="A7409" t="s">
        <v>3296</v>
      </c>
      <c r="B7409" t="s">
        <v>2931</v>
      </c>
      <c r="C7409">
        <v>16030</v>
      </c>
      <c r="D7409" t="str">
        <f>"2561099001  "</f>
        <v xml:space="preserve">2561099001  </v>
      </c>
      <c r="E7409" t="s">
        <v>277</v>
      </c>
      <c r="F7409" t="s">
        <v>279</v>
      </c>
      <c r="G7409">
        <v>346.33</v>
      </c>
      <c r="H7409">
        <v>251130</v>
      </c>
      <c r="I7409">
        <v>4520</v>
      </c>
      <c r="J7409" t="s">
        <v>280</v>
      </c>
      <c r="K7409">
        <v>2334.0100000000002</v>
      </c>
      <c r="L7409">
        <v>42.53</v>
      </c>
      <c r="M7409">
        <v>59803</v>
      </c>
      <c r="N7409" t="s">
        <v>282</v>
      </c>
      <c r="O7409">
        <v>251202</v>
      </c>
      <c r="P7409">
        <v>303.8</v>
      </c>
    </row>
    <row r="7410" spans="1:16" x14ac:dyDescent="0.25">
      <c r="A7410" t="s">
        <v>3296</v>
      </c>
      <c r="B7410" t="s">
        <v>2931</v>
      </c>
      <c r="C7410">
        <v>16031</v>
      </c>
      <c r="D7410" t="str">
        <f>"2561098999  "</f>
        <v xml:space="preserve">2561098999  </v>
      </c>
      <c r="E7410" t="s">
        <v>277</v>
      </c>
      <c r="F7410" t="s">
        <v>279</v>
      </c>
      <c r="G7410">
        <v>324.61</v>
      </c>
      <c r="H7410">
        <v>251130</v>
      </c>
      <c r="I7410">
        <v>4520</v>
      </c>
      <c r="J7410" t="s">
        <v>280</v>
      </c>
      <c r="K7410">
        <v>470.91</v>
      </c>
      <c r="L7410">
        <v>39.86</v>
      </c>
      <c r="M7410">
        <v>59114</v>
      </c>
      <c r="N7410" t="s">
        <v>299</v>
      </c>
      <c r="O7410">
        <v>251202</v>
      </c>
      <c r="P7410">
        <v>284.75</v>
      </c>
    </row>
    <row r="7411" spans="1:16" x14ac:dyDescent="0.25">
      <c r="A7411" t="s">
        <v>3296</v>
      </c>
      <c r="B7411" t="s">
        <v>2931</v>
      </c>
      <c r="C7411">
        <v>16031</v>
      </c>
      <c r="D7411" t="str">
        <f>"2561098999  "</f>
        <v xml:space="preserve">2561098999  </v>
      </c>
      <c r="E7411" t="s">
        <v>277</v>
      </c>
      <c r="F7411" t="s">
        <v>279</v>
      </c>
      <c r="G7411">
        <v>140</v>
      </c>
      <c r="H7411">
        <v>251130</v>
      </c>
      <c r="I7411">
        <v>4520</v>
      </c>
      <c r="J7411" t="s">
        <v>280</v>
      </c>
      <c r="K7411">
        <v>470.91</v>
      </c>
      <c r="L7411">
        <v>17.190000000000001</v>
      </c>
      <c r="M7411">
        <v>59810</v>
      </c>
      <c r="N7411" t="s">
        <v>1349</v>
      </c>
      <c r="O7411">
        <v>251202</v>
      </c>
      <c r="P7411">
        <v>122.81</v>
      </c>
    </row>
    <row r="7412" spans="1:16" x14ac:dyDescent="0.25">
      <c r="A7412" t="s">
        <v>3296</v>
      </c>
      <c r="B7412" t="s">
        <v>2931</v>
      </c>
      <c r="C7412">
        <v>16043</v>
      </c>
      <c r="D7412" t="str">
        <f t="shared" ref="D7412:D7417" si="147">"2561083804  "</f>
        <v xml:space="preserve">2561083804  </v>
      </c>
      <c r="E7412" t="s">
        <v>277</v>
      </c>
      <c r="F7412" t="s">
        <v>279</v>
      </c>
      <c r="G7412">
        <v>64</v>
      </c>
      <c r="H7412">
        <v>251124</v>
      </c>
      <c r="I7412">
        <v>4520</v>
      </c>
      <c r="J7412" t="s">
        <v>280</v>
      </c>
      <c r="K7412">
        <v>1315.9</v>
      </c>
      <c r="L7412">
        <v>7.86</v>
      </c>
      <c r="M7412">
        <v>16431</v>
      </c>
      <c r="N7412" t="s">
        <v>17</v>
      </c>
      <c r="O7412">
        <v>251202</v>
      </c>
      <c r="P7412">
        <v>56.14</v>
      </c>
    </row>
    <row r="7413" spans="1:16" x14ac:dyDescent="0.25">
      <c r="A7413" t="s">
        <v>3296</v>
      </c>
      <c r="B7413" t="s">
        <v>2931</v>
      </c>
      <c r="C7413">
        <v>16043</v>
      </c>
      <c r="D7413" t="str">
        <f t="shared" si="147"/>
        <v xml:space="preserve">2561083804  </v>
      </c>
      <c r="E7413" t="s">
        <v>277</v>
      </c>
      <c r="F7413" t="s">
        <v>279</v>
      </c>
      <c r="G7413">
        <v>125</v>
      </c>
      <c r="H7413">
        <v>251124</v>
      </c>
      <c r="I7413">
        <v>4520</v>
      </c>
      <c r="J7413" t="s">
        <v>280</v>
      </c>
      <c r="K7413">
        <v>1315.9</v>
      </c>
      <c r="L7413">
        <v>15.35</v>
      </c>
      <c r="M7413">
        <v>16441</v>
      </c>
      <c r="N7413" t="s">
        <v>1674</v>
      </c>
      <c r="O7413">
        <v>251202</v>
      </c>
      <c r="P7413">
        <v>109.65</v>
      </c>
    </row>
    <row r="7414" spans="1:16" x14ac:dyDescent="0.25">
      <c r="A7414" t="s">
        <v>3296</v>
      </c>
      <c r="B7414" t="s">
        <v>2931</v>
      </c>
      <c r="C7414">
        <v>16043</v>
      </c>
      <c r="D7414" t="str">
        <f t="shared" si="147"/>
        <v xml:space="preserve">2561083804  </v>
      </c>
      <c r="E7414" t="s">
        <v>277</v>
      </c>
      <c r="F7414" t="s">
        <v>279</v>
      </c>
      <c r="G7414">
        <v>-25.15</v>
      </c>
      <c r="H7414">
        <v>251124</v>
      </c>
      <c r="I7414">
        <v>4520</v>
      </c>
      <c r="J7414" t="s">
        <v>280</v>
      </c>
      <c r="K7414">
        <v>1315.9</v>
      </c>
      <c r="L7414">
        <v>-5.1100000000000003</v>
      </c>
      <c r="M7414">
        <v>17913</v>
      </c>
      <c r="N7414" t="s">
        <v>26</v>
      </c>
      <c r="O7414">
        <v>251202</v>
      </c>
      <c r="P7414">
        <v>-20.04</v>
      </c>
    </row>
    <row r="7415" spans="1:16" x14ac:dyDescent="0.25">
      <c r="A7415" t="s">
        <v>3296</v>
      </c>
      <c r="B7415" t="s">
        <v>2931</v>
      </c>
      <c r="C7415">
        <v>16043</v>
      </c>
      <c r="D7415" t="str">
        <f t="shared" si="147"/>
        <v xml:space="preserve">2561083804  </v>
      </c>
      <c r="E7415" t="s">
        <v>277</v>
      </c>
      <c r="F7415" t="s">
        <v>279</v>
      </c>
      <c r="G7415">
        <v>937.95</v>
      </c>
      <c r="H7415">
        <v>251124</v>
      </c>
      <c r="I7415">
        <v>4520</v>
      </c>
      <c r="J7415" t="s">
        <v>280</v>
      </c>
      <c r="K7415">
        <v>1315.9</v>
      </c>
      <c r="L7415">
        <v>115.19</v>
      </c>
      <c r="M7415">
        <v>17913</v>
      </c>
      <c r="N7415" t="s">
        <v>26</v>
      </c>
      <c r="O7415">
        <v>251202</v>
      </c>
      <c r="P7415">
        <v>822.76</v>
      </c>
    </row>
    <row r="7416" spans="1:16" x14ac:dyDescent="0.25">
      <c r="A7416" t="s">
        <v>3296</v>
      </c>
      <c r="B7416" t="s">
        <v>2931</v>
      </c>
      <c r="C7416">
        <v>16043</v>
      </c>
      <c r="D7416" t="str">
        <f t="shared" si="147"/>
        <v xml:space="preserve">2561083804  </v>
      </c>
      <c r="E7416" t="s">
        <v>277</v>
      </c>
      <c r="F7416" t="s">
        <v>279</v>
      </c>
      <c r="G7416">
        <v>134.1</v>
      </c>
      <c r="H7416">
        <v>251124</v>
      </c>
      <c r="I7416">
        <v>4520</v>
      </c>
      <c r="J7416" t="s">
        <v>280</v>
      </c>
      <c r="K7416">
        <v>1315.9</v>
      </c>
      <c r="L7416">
        <v>16.47</v>
      </c>
      <c r="M7416">
        <v>17982</v>
      </c>
      <c r="N7416" t="s">
        <v>281</v>
      </c>
      <c r="O7416">
        <v>251202</v>
      </c>
      <c r="P7416">
        <v>117.63</v>
      </c>
    </row>
    <row r="7417" spans="1:16" x14ac:dyDescent="0.25">
      <c r="A7417" t="s">
        <v>3296</v>
      </c>
      <c r="B7417" t="s">
        <v>2931</v>
      </c>
      <c r="C7417">
        <v>16043</v>
      </c>
      <c r="D7417" t="str">
        <f t="shared" si="147"/>
        <v xml:space="preserve">2561083804  </v>
      </c>
      <c r="E7417" t="s">
        <v>277</v>
      </c>
      <c r="F7417" t="s">
        <v>279</v>
      </c>
      <c r="G7417">
        <v>80</v>
      </c>
      <c r="H7417">
        <v>251124</v>
      </c>
      <c r="I7417">
        <v>4520</v>
      </c>
      <c r="J7417" t="s">
        <v>280</v>
      </c>
      <c r="K7417">
        <v>1315.9</v>
      </c>
      <c r="L7417">
        <v>9.82</v>
      </c>
      <c r="M7417">
        <v>17984</v>
      </c>
      <c r="N7417" t="s">
        <v>655</v>
      </c>
      <c r="O7417">
        <v>251202</v>
      </c>
      <c r="P7417">
        <v>70.180000000000007</v>
      </c>
    </row>
    <row r="7418" spans="1:16" x14ac:dyDescent="0.25">
      <c r="A7418" t="s">
        <v>3296</v>
      </c>
      <c r="B7418" t="s">
        <v>2931</v>
      </c>
      <c r="C7418">
        <v>16052</v>
      </c>
      <c r="D7418" t="str">
        <f>"2561083801  "</f>
        <v xml:space="preserve">2561083801  </v>
      </c>
      <c r="E7418" t="s">
        <v>277</v>
      </c>
      <c r="F7418" t="s">
        <v>279</v>
      </c>
      <c r="G7418">
        <v>1880.22</v>
      </c>
      <c r="H7418">
        <v>251124</v>
      </c>
      <c r="I7418">
        <v>4520</v>
      </c>
      <c r="J7418" t="s">
        <v>280</v>
      </c>
      <c r="K7418">
        <v>1999.29</v>
      </c>
      <c r="L7418">
        <v>230.9</v>
      </c>
      <c r="M7418">
        <v>49112</v>
      </c>
      <c r="N7418" t="s">
        <v>109</v>
      </c>
      <c r="O7418">
        <v>251203</v>
      </c>
      <c r="P7418">
        <v>1649.32</v>
      </c>
    </row>
    <row r="7419" spans="1:16" x14ac:dyDescent="0.25">
      <c r="A7419" t="s">
        <v>3296</v>
      </c>
      <c r="B7419" t="s">
        <v>2931</v>
      </c>
      <c r="C7419">
        <v>16076</v>
      </c>
      <c r="D7419" t="str">
        <f>"2561130847  "</f>
        <v xml:space="preserve">2561130847  </v>
      </c>
      <c r="E7419" t="s">
        <v>277</v>
      </c>
      <c r="F7419" t="s">
        <v>279</v>
      </c>
      <c r="G7419">
        <v>29.21</v>
      </c>
      <c r="H7419">
        <v>251130</v>
      </c>
      <c r="I7419">
        <v>4520</v>
      </c>
      <c r="J7419" t="s">
        <v>280</v>
      </c>
      <c r="K7419">
        <v>29.21</v>
      </c>
      <c r="L7419">
        <v>3.59</v>
      </c>
      <c r="M7419">
        <v>59114</v>
      </c>
      <c r="N7419" t="s">
        <v>299</v>
      </c>
      <c r="O7419">
        <v>251203</v>
      </c>
      <c r="P7419">
        <v>25.62</v>
      </c>
    </row>
    <row r="7420" spans="1:16" x14ac:dyDescent="0.25">
      <c r="A7420" t="s">
        <v>3296</v>
      </c>
      <c r="B7420" t="s">
        <v>2931</v>
      </c>
      <c r="C7420">
        <v>16077</v>
      </c>
      <c r="D7420" t="str">
        <f>"2561099003  "</f>
        <v xml:space="preserve">2561099003  </v>
      </c>
      <c r="E7420" t="s">
        <v>277</v>
      </c>
      <c r="F7420" t="s">
        <v>279</v>
      </c>
      <c r="G7420">
        <v>1280.9000000000001</v>
      </c>
      <c r="H7420">
        <v>251130</v>
      </c>
      <c r="I7420">
        <v>4520</v>
      </c>
      <c r="J7420" t="s">
        <v>280</v>
      </c>
      <c r="K7420">
        <v>1424.11</v>
      </c>
      <c r="L7420">
        <v>157.30000000000001</v>
      </c>
      <c r="M7420">
        <v>49112</v>
      </c>
      <c r="N7420" t="s">
        <v>109</v>
      </c>
      <c r="O7420">
        <v>251203</v>
      </c>
      <c r="P7420">
        <v>1123.5999999999999</v>
      </c>
    </row>
    <row r="7421" spans="1:16" x14ac:dyDescent="0.25">
      <c r="A7421" t="s">
        <v>3296</v>
      </c>
      <c r="B7421" t="s">
        <v>2931</v>
      </c>
      <c r="C7421">
        <v>16078</v>
      </c>
      <c r="D7421" t="str">
        <f>"2561099008  "</f>
        <v xml:space="preserve">2561099008  </v>
      </c>
      <c r="E7421" t="s">
        <v>277</v>
      </c>
      <c r="F7421" t="s">
        <v>279</v>
      </c>
      <c r="G7421">
        <v>881.57</v>
      </c>
      <c r="H7421">
        <v>251130</v>
      </c>
      <c r="I7421">
        <v>4520</v>
      </c>
      <c r="J7421" t="s">
        <v>280</v>
      </c>
      <c r="K7421">
        <v>1047.0899999999999</v>
      </c>
      <c r="L7421">
        <v>108.26</v>
      </c>
      <c r="M7421">
        <v>69112</v>
      </c>
      <c r="N7421" t="s">
        <v>227</v>
      </c>
      <c r="O7421">
        <v>251203</v>
      </c>
      <c r="P7421">
        <v>773.31</v>
      </c>
    </row>
    <row r="7422" spans="1:16" x14ac:dyDescent="0.25">
      <c r="A7422" t="s">
        <v>3296</v>
      </c>
      <c r="B7422" t="s">
        <v>2931</v>
      </c>
      <c r="C7422">
        <v>16078</v>
      </c>
      <c r="D7422" t="str">
        <f>"2561099008  "</f>
        <v xml:space="preserve">2561099008  </v>
      </c>
      <c r="E7422" t="s">
        <v>277</v>
      </c>
      <c r="F7422" t="s">
        <v>279</v>
      </c>
      <c r="G7422">
        <v>48.98</v>
      </c>
      <c r="H7422">
        <v>251130</v>
      </c>
      <c r="I7422">
        <v>4520</v>
      </c>
      <c r="J7422" t="s">
        <v>280</v>
      </c>
      <c r="K7422">
        <v>1047.0899999999999</v>
      </c>
      <c r="L7422">
        <v>6.02</v>
      </c>
      <c r="M7422">
        <v>69810</v>
      </c>
      <c r="N7422" t="s">
        <v>229</v>
      </c>
      <c r="O7422">
        <v>251203</v>
      </c>
      <c r="P7422">
        <v>42.96</v>
      </c>
    </row>
    <row r="7423" spans="1:16" x14ac:dyDescent="0.25">
      <c r="A7423" t="s">
        <v>3296</v>
      </c>
      <c r="B7423" t="s">
        <v>2931</v>
      </c>
      <c r="C7423">
        <v>16078</v>
      </c>
      <c r="D7423" t="str">
        <f>"2561099008  "</f>
        <v xml:space="preserve">2561099008  </v>
      </c>
      <c r="E7423" t="s">
        <v>277</v>
      </c>
      <c r="F7423" t="s">
        <v>279</v>
      </c>
      <c r="G7423">
        <v>48.97</v>
      </c>
      <c r="H7423">
        <v>251130</v>
      </c>
      <c r="I7423">
        <v>4520</v>
      </c>
      <c r="J7423" t="s">
        <v>280</v>
      </c>
      <c r="K7423">
        <v>1047.0899999999999</v>
      </c>
      <c r="L7423">
        <v>6.01</v>
      </c>
      <c r="M7423">
        <v>69811</v>
      </c>
      <c r="N7423" t="s">
        <v>230</v>
      </c>
      <c r="O7423">
        <v>251203</v>
      </c>
      <c r="P7423">
        <v>42.96</v>
      </c>
    </row>
    <row r="7424" spans="1:16" x14ac:dyDescent="0.25">
      <c r="A7424" t="s">
        <v>3296</v>
      </c>
      <c r="B7424" t="s">
        <v>2931</v>
      </c>
      <c r="C7424">
        <v>16079</v>
      </c>
      <c r="D7424" t="str">
        <f>"2561130849  "</f>
        <v xml:space="preserve">2561130849  </v>
      </c>
      <c r="E7424" t="s">
        <v>277</v>
      </c>
      <c r="F7424" t="s">
        <v>279</v>
      </c>
      <c r="G7424">
        <v>18.47</v>
      </c>
      <c r="H7424">
        <v>251130</v>
      </c>
      <c r="I7424">
        <v>4520</v>
      </c>
      <c r="J7424" t="s">
        <v>280</v>
      </c>
      <c r="K7424">
        <v>18.47</v>
      </c>
      <c r="L7424">
        <v>2.27</v>
      </c>
      <c r="M7424">
        <v>59113</v>
      </c>
      <c r="N7424" t="s">
        <v>61</v>
      </c>
      <c r="O7424">
        <v>251203</v>
      </c>
      <c r="P7424">
        <v>16.2</v>
      </c>
    </row>
    <row r="7425" spans="1:16" x14ac:dyDescent="0.25">
      <c r="A7425" t="s">
        <v>3296</v>
      </c>
      <c r="B7425" t="s">
        <v>2931</v>
      </c>
      <c r="C7425">
        <v>16082</v>
      </c>
      <c r="D7425" t="str">
        <f>"2561130850  "</f>
        <v xml:space="preserve">2561130850  </v>
      </c>
      <c r="E7425" t="s">
        <v>277</v>
      </c>
      <c r="F7425" t="s">
        <v>279</v>
      </c>
      <c r="G7425">
        <v>847.82</v>
      </c>
      <c r="H7425">
        <v>251130</v>
      </c>
      <c r="I7425">
        <v>4520</v>
      </c>
      <c r="J7425" t="s">
        <v>280</v>
      </c>
      <c r="K7425">
        <v>847.82</v>
      </c>
      <c r="L7425">
        <v>104.12</v>
      </c>
      <c r="M7425">
        <v>49112</v>
      </c>
      <c r="N7425" t="s">
        <v>109</v>
      </c>
      <c r="O7425">
        <v>251203</v>
      </c>
      <c r="P7425">
        <v>743.7</v>
      </c>
    </row>
    <row r="7426" spans="1:16" x14ac:dyDescent="0.25">
      <c r="A7426" t="s">
        <v>3296</v>
      </c>
      <c r="B7426" t="s">
        <v>2931</v>
      </c>
      <c r="C7426">
        <v>16085</v>
      </c>
      <c r="D7426" t="str">
        <f>"2561099005  "</f>
        <v xml:space="preserve">2561099005  </v>
      </c>
      <c r="E7426" t="s">
        <v>277</v>
      </c>
      <c r="F7426" t="s">
        <v>279</v>
      </c>
      <c r="G7426">
        <v>480</v>
      </c>
      <c r="H7426">
        <v>251130</v>
      </c>
      <c r="I7426">
        <v>4520</v>
      </c>
      <c r="J7426" t="s">
        <v>280</v>
      </c>
      <c r="K7426">
        <v>2140.11</v>
      </c>
      <c r="L7426">
        <v>58.95</v>
      </c>
      <c r="M7426">
        <v>16441</v>
      </c>
      <c r="N7426" t="s">
        <v>1674</v>
      </c>
      <c r="O7426">
        <v>251203</v>
      </c>
      <c r="P7426">
        <v>421.05</v>
      </c>
    </row>
    <row r="7427" spans="1:16" x14ac:dyDescent="0.25">
      <c r="A7427" t="s">
        <v>3296</v>
      </c>
      <c r="B7427" t="s">
        <v>2931</v>
      </c>
      <c r="C7427">
        <v>16085</v>
      </c>
      <c r="D7427" t="str">
        <f>"2561099005  "</f>
        <v xml:space="preserve">2561099005  </v>
      </c>
      <c r="E7427" t="s">
        <v>277</v>
      </c>
      <c r="F7427" t="s">
        <v>279</v>
      </c>
      <c r="G7427">
        <v>112</v>
      </c>
      <c r="H7427">
        <v>251130</v>
      </c>
      <c r="I7427">
        <v>4520</v>
      </c>
      <c r="J7427" t="s">
        <v>280</v>
      </c>
      <c r="K7427">
        <v>2140.11</v>
      </c>
      <c r="L7427">
        <v>13.75</v>
      </c>
      <c r="M7427">
        <v>16442</v>
      </c>
      <c r="N7427" t="s">
        <v>304</v>
      </c>
      <c r="O7427">
        <v>251203</v>
      </c>
      <c r="P7427">
        <v>98.25</v>
      </c>
    </row>
    <row r="7428" spans="1:16" x14ac:dyDescent="0.25">
      <c r="A7428" t="s">
        <v>3296</v>
      </c>
      <c r="B7428" t="s">
        <v>2931</v>
      </c>
      <c r="C7428">
        <v>16085</v>
      </c>
      <c r="D7428" t="str">
        <f>"2561099005  "</f>
        <v xml:space="preserve">2561099005  </v>
      </c>
      <c r="E7428" t="s">
        <v>277</v>
      </c>
      <c r="F7428" t="s">
        <v>279</v>
      </c>
      <c r="G7428">
        <v>12.58</v>
      </c>
      <c r="H7428">
        <v>251130</v>
      </c>
      <c r="I7428">
        <v>4520</v>
      </c>
      <c r="J7428" t="s">
        <v>280</v>
      </c>
      <c r="K7428">
        <v>2140.11</v>
      </c>
      <c r="L7428">
        <v>2.56</v>
      </c>
      <c r="M7428">
        <v>17913</v>
      </c>
      <c r="N7428" t="s">
        <v>26</v>
      </c>
      <c r="O7428">
        <v>251203</v>
      </c>
      <c r="P7428">
        <v>10.02</v>
      </c>
    </row>
    <row r="7429" spans="1:16" x14ac:dyDescent="0.25">
      <c r="A7429" t="s">
        <v>3296</v>
      </c>
      <c r="B7429" t="s">
        <v>2931</v>
      </c>
      <c r="C7429">
        <v>16085</v>
      </c>
      <c r="D7429" t="str">
        <f>"2561099005  "</f>
        <v xml:space="preserve">2561099005  </v>
      </c>
      <c r="E7429" t="s">
        <v>277</v>
      </c>
      <c r="F7429" t="s">
        <v>279</v>
      </c>
      <c r="G7429">
        <v>1321.53</v>
      </c>
      <c r="H7429">
        <v>251130</v>
      </c>
      <c r="I7429">
        <v>4520</v>
      </c>
      <c r="J7429" t="s">
        <v>280</v>
      </c>
      <c r="K7429">
        <v>2140.11</v>
      </c>
      <c r="L7429">
        <v>162.29</v>
      </c>
      <c r="M7429">
        <v>17913</v>
      </c>
      <c r="N7429" t="s">
        <v>26</v>
      </c>
      <c r="O7429">
        <v>251203</v>
      </c>
      <c r="P7429">
        <v>1159.24</v>
      </c>
    </row>
    <row r="7430" spans="1:16" x14ac:dyDescent="0.25">
      <c r="A7430" t="s">
        <v>3296</v>
      </c>
      <c r="B7430" t="s">
        <v>2931</v>
      </c>
      <c r="C7430">
        <v>16085</v>
      </c>
      <c r="D7430" t="str">
        <f>"2561099005  "</f>
        <v xml:space="preserve">2561099005  </v>
      </c>
      <c r="E7430" t="s">
        <v>277</v>
      </c>
      <c r="F7430" t="s">
        <v>279</v>
      </c>
      <c r="G7430">
        <v>214</v>
      </c>
      <c r="H7430">
        <v>251130</v>
      </c>
      <c r="I7430">
        <v>4520</v>
      </c>
      <c r="J7430" t="s">
        <v>280</v>
      </c>
      <c r="K7430">
        <v>2140.11</v>
      </c>
      <c r="L7430">
        <v>26.28</v>
      </c>
      <c r="M7430">
        <v>17982</v>
      </c>
      <c r="N7430" t="s">
        <v>281</v>
      </c>
      <c r="O7430">
        <v>251203</v>
      </c>
      <c r="P7430">
        <v>187.72</v>
      </c>
    </row>
    <row r="7431" spans="1:16" x14ac:dyDescent="0.25">
      <c r="A7431" t="s">
        <v>3296</v>
      </c>
      <c r="B7431" t="s">
        <v>2931</v>
      </c>
      <c r="C7431">
        <v>16088</v>
      </c>
      <c r="D7431" t="str">
        <f>"2561130851  "</f>
        <v xml:space="preserve">2561130851  </v>
      </c>
      <c r="E7431" t="s">
        <v>277</v>
      </c>
      <c r="F7431" t="s">
        <v>279</v>
      </c>
      <c r="G7431">
        <v>75.19</v>
      </c>
      <c r="H7431">
        <v>251130</v>
      </c>
      <c r="I7431">
        <v>4520</v>
      </c>
      <c r="J7431" t="s">
        <v>280</v>
      </c>
      <c r="K7431">
        <v>509.08</v>
      </c>
      <c r="L7431">
        <v>15.28</v>
      </c>
      <c r="M7431">
        <v>17915</v>
      </c>
      <c r="N7431" t="s">
        <v>305</v>
      </c>
      <c r="O7431">
        <v>251203</v>
      </c>
      <c r="P7431">
        <v>59.91</v>
      </c>
    </row>
    <row r="7432" spans="1:16" x14ac:dyDescent="0.25">
      <c r="A7432" t="s">
        <v>3296</v>
      </c>
      <c r="B7432" t="s">
        <v>2931</v>
      </c>
      <c r="C7432">
        <v>16088</v>
      </c>
      <c r="D7432" t="str">
        <f>"2561130851  "</f>
        <v xml:space="preserve">2561130851  </v>
      </c>
      <c r="E7432" t="s">
        <v>277</v>
      </c>
      <c r="F7432" t="s">
        <v>279</v>
      </c>
      <c r="G7432">
        <v>390.49</v>
      </c>
      <c r="H7432">
        <v>251130</v>
      </c>
      <c r="I7432">
        <v>4520</v>
      </c>
      <c r="J7432" t="s">
        <v>280</v>
      </c>
      <c r="K7432">
        <v>509.08</v>
      </c>
      <c r="L7432">
        <v>47.95</v>
      </c>
      <c r="M7432">
        <v>17915</v>
      </c>
      <c r="N7432" t="s">
        <v>305</v>
      </c>
      <c r="O7432">
        <v>251203</v>
      </c>
      <c r="P7432">
        <v>342.54</v>
      </c>
    </row>
    <row r="7433" spans="1:16" x14ac:dyDescent="0.25">
      <c r="A7433" t="s">
        <v>3296</v>
      </c>
      <c r="B7433" t="s">
        <v>2931</v>
      </c>
      <c r="C7433">
        <v>16088</v>
      </c>
      <c r="D7433" t="str">
        <f>"2561130851  "</f>
        <v xml:space="preserve">2561130851  </v>
      </c>
      <c r="E7433" t="s">
        <v>277</v>
      </c>
      <c r="F7433" t="s">
        <v>279</v>
      </c>
      <c r="G7433">
        <v>43.4</v>
      </c>
      <c r="H7433">
        <v>251130</v>
      </c>
      <c r="I7433">
        <v>4520</v>
      </c>
      <c r="J7433" t="s">
        <v>280</v>
      </c>
      <c r="K7433">
        <v>509.08</v>
      </c>
      <c r="L7433">
        <v>5.33</v>
      </c>
      <c r="M7433">
        <v>17982</v>
      </c>
      <c r="N7433" t="s">
        <v>281</v>
      </c>
      <c r="O7433">
        <v>251203</v>
      </c>
      <c r="P7433">
        <v>38.07</v>
      </c>
    </row>
    <row r="7434" spans="1:16" x14ac:dyDescent="0.25">
      <c r="A7434" t="s">
        <v>3296</v>
      </c>
      <c r="B7434" t="s">
        <v>2931</v>
      </c>
      <c r="C7434">
        <v>16089</v>
      </c>
      <c r="D7434" t="str">
        <f>"2561130853  "</f>
        <v xml:space="preserve">2561130853  </v>
      </c>
      <c r="E7434" t="s">
        <v>277</v>
      </c>
      <c r="F7434" t="s">
        <v>279</v>
      </c>
      <c r="G7434">
        <v>144.69999999999999</v>
      </c>
      <c r="H7434">
        <v>251130</v>
      </c>
      <c r="I7434">
        <v>4520</v>
      </c>
      <c r="J7434" t="s">
        <v>280</v>
      </c>
      <c r="K7434">
        <v>1470.2</v>
      </c>
      <c r="L7434">
        <v>17.77</v>
      </c>
      <c r="M7434">
        <v>16441</v>
      </c>
      <c r="N7434" t="s">
        <v>1674</v>
      </c>
      <c r="O7434">
        <v>251203</v>
      </c>
      <c r="P7434">
        <v>126.93</v>
      </c>
    </row>
    <row r="7435" spans="1:16" x14ac:dyDescent="0.25">
      <c r="A7435" t="s">
        <v>3296</v>
      </c>
      <c r="B7435" t="s">
        <v>2931</v>
      </c>
      <c r="C7435">
        <v>16089</v>
      </c>
      <c r="D7435" t="str">
        <f>"2561130853  "</f>
        <v xml:space="preserve">2561130853  </v>
      </c>
      <c r="E7435" t="s">
        <v>277</v>
      </c>
      <c r="F7435" t="s">
        <v>279</v>
      </c>
      <c r="G7435">
        <v>187.1</v>
      </c>
      <c r="H7435">
        <v>251130</v>
      </c>
      <c r="I7435">
        <v>4520</v>
      </c>
      <c r="J7435" t="s">
        <v>280</v>
      </c>
      <c r="K7435">
        <v>1470.2</v>
      </c>
      <c r="L7435">
        <v>22.98</v>
      </c>
      <c r="M7435">
        <v>16442</v>
      </c>
      <c r="N7435" t="s">
        <v>304</v>
      </c>
      <c r="O7435">
        <v>251203</v>
      </c>
      <c r="P7435">
        <v>164.12</v>
      </c>
    </row>
    <row r="7436" spans="1:16" x14ac:dyDescent="0.25">
      <c r="A7436" t="s">
        <v>3296</v>
      </c>
      <c r="B7436" t="s">
        <v>2931</v>
      </c>
      <c r="C7436">
        <v>16089</v>
      </c>
      <c r="D7436" t="str">
        <f>"2561130853  "</f>
        <v xml:space="preserve">2561130853  </v>
      </c>
      <c r="E7436" t="s">
        <v>277</v>
      </c>
      <c r="F7436" t="s">
        <v>279</v>
      </c>
      <c r="G7436">
        <v>991.4</v>
      </c>
      <c r="H7436">
        <v>251130</v>
      </c>
      <c r="I7436">
        <v>4520</v>
      </c>
      <c r="J7436" t="s">
        <v>280</v>
      </c>
      <c r="K7436">
        <v>1470.2</v>
      </c>
      <c r="L7436">
        <v>121.75</v>
      </c>
      <c r="M7436">
        <v>17913</v>
      </c>
      <c r="N7436" t="s">
        <v>26</v>
      </c>
      <c r="O7436">
        <v>251203</v>
      </c>
      <c r="P7436">
        <v>869.65</v>
      </c>
    </row>
    <row r="7437" spans="1:16" x14ac:dyDescent="0.25">
      <c r="A7437" t="s">
        <v>3296</v>
      </c>
      <c r="B7437" t="s">
        <v>2931</v>
      </c>
      <c r="C7437">
        <v>16089</v>
      </c>
      <c r="D7437" t="str">
        <f>"2561130853  "</f>
        <v xml:space="preserve">2561130853  </v>
      </c>
      <c r="E7437" t="s">
        <v>277</v>
      </c>
      <c r="F7437" t="s">
        <v>279</v>
      </c>
      <c r="G7437">
        <v>147</v>
      </c>
      <c r="H7437">
        <v>251130</v>
      </c>
      <c r="I7437">
        <v>4520</v>
      </c>
      <c r="J7437" t="s">
        <v>280</v>
      </c>
      <c r="K7437">
        <v>1470.2</v>
      </c>
      <c r="L7437">
        <v>18.05</v>
      </c>
      <c r="M7437">
        <v>17982</v>
      </c>
      <c r="N7437" t="s">
        <v>281</v>
      </c>
      <c r="O7437">
        <v>251203</v>
      </c>
      <c r="P7437">
        <v>128.94999999999999</v>
      </c>
    </row>
    <row r="7438" spans="1:16" x14ac:dyDescent="0.25">
      <c r="A7438" t="s">
        <v>3296</v>
      </c>
      <c r="B7438" t="s">
        <v>2931</v>
      </c>
      <c r="C7438">
        <v>16090</v>
      </c>
      <c r="D7438" t="str">
        <f>"2561130856  "</f>
        <v xml:space="preserve">2561130856  </v>
      </c>
      <c r="E7438" t="s">
        <v>277</v>
      </c>
      <c r="F7438" t="s">
        <v>279</v>
      </c>
      <c r="G7438">
        <v>17.87</v>
      </c>
      <c r="H7438">
        <v>251130</v>
      </c>
      <c r="I7438">
        <v>4520</v>
      </c>
      <c r="J7438" t="s">
        <v>280</v>
      </c>
      <c r="K7438">
        <v>19.86</v>
      </c>
      <c r="L7438">
        <v>2.19</v>
      </c>
      <c r="M7438">
        <v>69112</v>
      </c>
      <c r="N7438" t="s">
        <v>227</v>
      </c>
      <c r="O7438">
        <v>251203</v>
      </c>
      <c r="P7438">
        <v>15.68</v>
      </c>
    </row>
    <row r="7439" spans="1:16" x14ac:dyDescent="0.25">
      <c r="A7439" t="s">
        <v>3296</v>
      </c>
      <c r="B7439" t="s">
        <v>2931</v>
      </c>
      <c r="C7439">
        <v>16090</v>
      </c>
      <c r="D7439" t="str">
        <f>"2561130856  "</f>
        <v xml:space="preserve">2561130856  </v>
      </c>
      <c r="E7439" t="s">
        <v>277</v>
      </c>
      <c r="F7439" t="s">
        <v>279</v>
      </c>
      <c r="G7439">
        <v>1</v>
      </c>
      <c r="H7439">
        <v>251130</v>
      </c>
      <c r="I7439">
        <v>4520</v>
      </c>
      <c r="J7439" t="s">
        <v>280</v>
      </c>
      <c r="K7439">
        <v>19.86</v>
      </c>
      <c r="L7439">
        <v>0.12</v>
      </c>
      <c r="M7439">
        <v>69810</v>
      </c>
      <c r="N7439" t="s">
        <v>229</v>
      </c>
      <c r="O7439">
        <v>251203</v>
      </c>
      <c r="P7439">
        <v>0.88</v>
      </c>
    </row>
    <row r="7440" spans="1:16" x14ac:dyDescent="0.25">
      <c r="A7440" t="s">
        <v>3296</v>
      </c>
      <c r="B7440" t="s">
        <v>2931</v>
      </c>
      <c r="C7440">
        <v>16090</v>
      </c>
      <c r="D7440" t="str">
        <f>"2561130856  "</f>
        <v xml:space="preserve">2561130856  </v>
      </c>
      <c r="E7440" t="s">
        <v>277</v>
      </c>
      <c r="F7440" t="s">
        <v>279</v>
      </c>
      <c r="G7440">
        <v>0.99</v>
      </c>
      <c r="H7440">
        <v>251130</v>
      </c>
      <c r="I7440">
        <v>4520</v>
      </c>
      <c r="J7440" t="s">
        <v>280</v>
      </c>
      <c r="K7440">
        <v>19.86</v>
      </c>
      <c r="L7440">
        <v>0.12</v>
      </c>
      <c r="M7440">
        <v>69811</v>
      </c>
      <c r="N7440" t="s">
        <v>230</v>
      </c>
      <c r="O7440">
        <v>251203</v>
      </c>
      <c r="P7440">
        <v>0.87</v>
      </c>
    </row>
    <row r="7441" spans="1:16" x14ac:dyDescent="0.25">
      <c r="A7441" t="s">
        <v>3296</v>
      </c>
      <c r="B7441" t="s">
        <v>2931</v>
      </c>
      <c r="C7441">
        <v>16253</v>
      </c>
      <c r="D7441" t="str">
        <f>"2561083803  "</f>
        <v xml:space="preserve">2561083803  </v>
      </c>
      <c r="E7441" t="s">
        <v>277</v>
      </c>
      <c r="F7441" t="s">
        <v>279</v>
      </c>
      <c r="G7441">
        <v>1096.19</v>
      </c>
      <c r="H7441">
        <v>251124</v>
      </c>
      <c r="I7441">
        <v>4520</v>
      </c>
      <c r="J7441" t="s">
        <v>280</v>
      </c>
      <c r="K7441">
        <v>1131.76</v>
      </c>
      <c r="L7441">
        <v>134.62</v>
      </c>
      <c r="M7441">
        <v>44251</v>
      </c>
      <c r="N7441" t="s">
        <v>215</v>
      </c>
      <c r="O7441">
        <v>251205</v>
      </c>
      <c r="P7441">
        <v>961.57</v>
      </c>
    </row>
    <row r="7442" spans="1:16" x14ac:dyDescent="0.25">
      <c r="A7442" t="s">
        <v>3296</v>
      </c>
      <c r="B7442" t="s">
        <v>2931</v>
      </c>
      <c r="C7442">
        <v>16264</v>
      </c>
      <c r="D7442" t="str">
        <f>"2561130855  "</f>
        <v xml:space="preserve">2561130855  </v>
      </c>
      <c r="E7442" t="s">
        <v>277</v>
      </c>
      <c r="F7442" t="s">
        <v>279</v>
      </c>
      <c r="G7442">
        <v>421.63</v>
      </c>
      <c r="H7442">
        <v>251130</v>
      </c>
      <c r="I7442">
        <v>4520</v>
      </c>
      <c r="J7442" t="s">
        <v>280</v>
      </c>
      <c r="K7442">
        <v>492.47</v>
      </c>
      <c r="L7442">
        <v>51.78</v>
      </c>
      <c r="M7442">
        <v>44253</v>
      </c>
      <c r="N7442" t="s">
        <v>403</v>
      </c>
      <c r="O7442">
        <v>251205</v>
      </c>
      <c r="P7442">
        <v>369.85</v>
      </c>
    </row>
    <row r="7443" spans="1:16" x14ac:dyDescent="0.25">
      <c r="A7443" t="s">
        <v>3296</v>
      </c>
      <c r="B7443" t="s">
        <v>2931</v>
      </c>
      <c r="C7443">
        <v>16267</v>
      </c>
      <c r="D7443" t="str">
        <f>"2561130852  "</f>
        <v xml:space="preserve">2561130852  </v>
      </c>
      <c r="E7443" t="s">
        <v>277</v>
      </c>
      <c r="F7443" t="s">
        <v>279</v>
      </c>
      <c r="G7443">
        <v>17.100000000000001</v>
      </c>
      <c r="H7443">
        <v>251130</v>
      </c>
      <c r="I7443">
        <v>4520</v>
      </c>
      <c r="J7443" t="s">
        <v>280</v>
      </c>
      <c r="K7443">
        <v>17.100000000000001</v>
      </c>
      <c r="L7443">
        <v>2.1</v>
      </c>
      <c r="M7443">
        <v>44252</v>
      </c>
      <c r="N7443" t="s">
        <v>217</v>
      </c>
      <c r="O7443">
        <v>251205</v>
      </c>
      <c r="P7443">
        <v>15</v>
      </c>
    </row>
    <row r="7444" spans="1:16" x14ac:dyDescent="0.25">
      <c r="A7444" t="s">
        <v>3296</v>
      </c>
      <c r="B7444" t="s">
        <v>2931</v>
      </c>
      <c r="C7444">
        <v>16269</v>
      </c>
      <c r="D7444" t="str">
        <f>"2561099007  "</f>
        <v xml:space="preserve">2561099007  </v>
      </c>
      <c r="E7444" t="s">
        <v>277</v>
      </c>
      <c r="F7444" t="s">
        <v>279</v>
      </c>
      <c r="G7444">
        <v>-0.91</v>
      </c>
      <c r="H7444">
        <v>251130</v>
      </c>
      <c r="I7444">
        <v>4520</v>
      </c>
      <c r="J7444" t="s">
        <v>280</v>
      </c>
      <c r="K7444">
        <v>-0.91</v>
      </c>
      <c r="L7444">
        <v>-0.11</v>
      </c>
      <c r="M7444">
        <v>44253</v>
      </c>
      <c r="N7444" t="s">
        <v>403</v>
      </c>
      <c r="O7444">
        <v>251205</v>
      </c>
      <c r="P7444">
        <v>-0.8</v>
      </c>
    </row>
    <row r="7445" spans="1:16" x14ac:dyDescent="0.25">
      <c r="A7445" t="s">
        <v>3296</v>
      </c>
      <c r="B7445" t="s">
        <v>2931</v>
      </c>
      <c r="C7445">
        <v>16272</v>
      </c>
      <c r="D7445" t="str">
        <f>"2561099004  "</f>
        <v xml:space="preserve">2561099004  </v>
      </c>
      <c r="E7445" t="s">
        <v>277</v>
      </c>
      <c r="F7445" t="s">
        <v>279</v>
      </c>
      <c r="G7445">
        <v>290.48</v>
      </c>
      <c r="H7445">
        <v>251130</v>
      </c>
      <c r="I7445">
        <v>4520</v>
      </c>
      <c r="J7445" t="s">
        <v>280</v>
      </c>
      <c r="K7445">
        <v>1315.7</v>
      </c>
      <c r="L7445">
        <v>35.67</v>
      </c>
      <c r="M7445">
        <v>44251</v>
      </c>
      <c r="N7445" t="s">
        <v>215</v>
      </c>
      <c r="O7445">
        <v>251205</v>
      </c>
      <c r="P7445">
        <v>254.81</v>
      </c>
    </row>
    <row r="7446" spans="1:16" x14ac:dyDescent="0.25">
      <c r="A7446" t="s">
        <v>3296</v>
      </c>
      <c r="B7446" t="s">
        <v>2931</v>
      </c>
      <c r="C7446">
        <v>16272</v>
      </c>
      <c r="D7446" t="str">
        <f>"2561099004  "</f>
        <v xml:space="preserve">2561099004  </v>
      </c>
      <c r="E7446" t="s">
        <v>277</v>
      </c>
      <c r="F7446" t="s">
        <v>279</v>
      </c>
      <c r="G7446">
        <v>477.01</v>
      </c>
      <c r="H7446">
        <v>251130</v>
      </c>
      <c r="I7446">
        <v>4520</v>
      </c>
      <c r="J7446" t="s">
        <v>280</v>
      </c>
      <c r="K7446">
        <v>1315.7</v>
      </c>
      <c r="L7446">
        <v>58.58</v>
      </c>
      <c r="M7446">
        <v>44252</v>
      </c>
      <c r="N7446" t="s">
        <v>217</v>
      </c>
      <c r="O7446">
        <v>251205</v>
      </c>
      <c r="P7446">
        <v>418.43</v>
      </c>
    </row>
    <row r="7447" spans="1:16" x14ac:dyDescent="0.25">
      <c r="A7447" t="s">
        <v>3296</v>
      </c>
      <c r="B7447" t="s">
        <v>2931</v>
      </c>
      <c r="C7447">
        <v>16465</v>
      </c>
      <c r="D7447" t="str">
        <f>"2561083806  "</f>
        <v xml:space="preserve">2561083806  </v>
      </c>
      <c r="E7447" t="s">
        <v>277</v>
      </c>
      <c r="F7447" t="s">
        <v>279</v>
      </c>
      <c r="G7447">
        <v>390.27</v>
      </c>
      <c r="H7447">
        <v>251124</v>
      </c>
      <c r="I7447">
        <v>4520</v>
      </c>
      <c r="J7447" t="s">
        <v>280</v>
      </c>
      <c r="K7447">
        <v>537.71</v>
      </c>
      <c r="L7447">
        <v>47.93</v>
      </c>
      <c r="M7447">
        <v>44253</v>
      </c>
      <c r="N7447" t="s">
        <v>403</v>
      </c>
      <c r="O7447">
        <v>251209</v>
      </c>
      <c r="P7447">
        <v>342.34</v>
      </c>
    </row>
    <row r="7448" spans="1:16" x14ac:dyDescent="0.25">
      <c r="A7448" t="s">
        <v>3296</v>
      </c>
      <c r="B7448" t="s">
        <v>2931</v>
      </c>
      <c r="C7448">
        <v>16677</v>
      </c>
      <c r="D7448" t="str">
        <f>"2561146448  "</f>
        <v xml:space="preserve">2561146448  </v>
      </c>
      <c r="E7448" t="s">
        <v>277</v>
      </c>
      <c r="F7448" t="s">
        <v>279</v>
      </c>
      <c r="G7448">
        <v>2329.4699999999998</v>
      </c>
      <c r="H7448">
        <v>251208</v>
      </c>
      <c r="I7448">
        <v>4520</v>
      </c>
      <c r="J7448" t="s">
        <v>280</v>
      </c>
      <c r="K7448">
        <v>2833.55</v>
      </c>
      <c r="L7448">
        <v>286.08</v>
      </c>
      <c r="M7448">
        <v>59113</v>
      </c>
      <c r="N7448" t="s">
        <v>61</v>
      </c>
      <c r="O7448">
        <v>251211</v>
      </c>
      <c r="P7448">
        <v>2043.39</v>
      </c>
    </row>
    <row r="7449" spans="1:16" x14ac:dyDescent="0.25">
      <c r="A7449" t="s">
        <v>3296</v>
      </c>
      <c r="B7449" t="s">
        <v>2931</v>
      </c>
      <c r="C7449">
        <v>16677</v>
      </c>
      <c r="D7449" t="str">
        <f>"2561146448  "</f>
        <v xml:space="preserve">2561146448  </v>
      </c>
      <c r="E7449" t="s">
        <v>277</v>
      </c>
      <c r="F7449" t="s">
        <v>279</v>
      </c>
      <c r="G7449">
        <v>411.08</v>
      </c>
      <c r="H7449">
        <v>251208</v>
      </c>
      <c r="I7449">
        <v>4520</v>
      </c>
      <c r="J7449" t="s">
        <v>280</v>
      </c>
      <c r="K7449">
        <v>2833.55</v>
      </c>
      <c r="L7449">
        <v>50.48</v>
      </c>
      <c r="M7449">
        <v>59803</v>
      </c>
      <c r="N7449" t="s">
        <v>282</v>
      </c>
      <c r="O7449">
        <v>251211</v>
      </c>
      <c r="P7449">
        <v>360.6</v>
      </c>
    </row>
    <row r="7450" spans="1:16" x14ac:dyDescent="0.25">
      <c r="A7450" t="s">
        <v>3296</v>
      </c>
      <c r="B7450" t="s">
        <v>2931</v>
      </c>
      <c r="C7450">
        <v>16683</v>
      </c>
      <c r="D7450" t="str">
        <f>"2561146451  "</f>
        <v xml:space="preserve">2561146451  </v>
      </c>
      <c r="E7450" t="s">
        <v>277</v>
      </c>
      <c r="F7450" t="s">
        <v>279</v>
      </c>
      <c r="G7450">
        <v>-12.58</v>
      </c>
      <c r="H7450">
        <v>251208</v>
      </c>
      <c r="I7450">
        <v>4520</v>
      </c>
      <c r="J7450" t="s">
        <v>280</v>
      </c>
      <c r="K7450">
        <v>1113.3</v>
      </c>
      <c r="L7450">
        <v>-2.56</v>
      </c>
      <c r="M7450">
        <v>17915</v>
      </c>
      <c r="N7450" t="s">
        <v>305</v>
      </c>
      <c r="O7450">
        <v>251211</v>
      </c>
      <c r="P7450">
        <v>-10.02</v>
      </c>
    </row>
    <row r="7451" spans="1:16" x14ac:dyDescent="0.25">
      <c r="A7451" t="s">
        <v>3296</v>
      </c>
      <c r="B7451" t="s">
        <v>2931</v>
      </c>
      <c r="C7451">
        <v>16683</v>
      </c>
      <c r="D7451" t="str">
        <f>"2561146451  "</f>
        <v xml:space="preserve">2561146451  </v>
      </c>
      <c r="E7451" t="s">
        <v>277</v>
      </c>
      <c r="F7451" t="s">
        <v>279</v>
      </c>
      <c r="G7451">
        <v>1013.28</v>
      </c>
      <c r="H7451">
        <v>251208</v>
      </c>
      <c r="I7451">
        <v>4520</v>
      </c>
      <c r="J7451" t="s">
        <v>280</v>
      </c>
      <c r="K7451">
        <v>1113.3</v>
      </c>
      <c r="L7451">
        <v>124.44</v>
      </c>
      <c r="M7451">
        <v>17915</v>
      </c>
      <c r="N7451" t="s">
        <v>305</v>
      </c>
      <c r="O7451">
        <v>251211</v>
      </c>
      <c r="P7451">
        <v>888.84</v>
      </c>
    </row>
    <row r="7452" spans="1:16" x14ac:dyDescent="0.25">
      <c r="A7452" t="s">
        <v>3296</v>
      </c>
      <c r="B7452" t="s">
        <v>2931</v>
      </c>
      <c r="C7452">
        <v>16683</v>
      </c>
      <c r="D7452" t="str">
        <f>"2561146451  "</f>
        <v xml:space="preserve">2561146451  </v>
      </c>
      <c r="E7452" t="s">
        <v>277</v>
      </c>
      <c r="F7452" t="s">
        <v>279</v>
      </c>
      <c r="G7452">
        <v>112.6</v>
      </c>
      <c r="H7452">
        <v>251208</v>
      </c>
      <c r="I7452">
        <v>4520</v>
      </c>
      <c r="J7452" t="s">
        <v>280</v>
      </c>
      <c r="K7452">
        <v>1113.3</v>
      </c>
      <c r="L7452">
        <v>13.83</v>
      </c>
      <c r="M7452">
        <v>17982</v>
      </c>
      <c r="N7452" t="s">
        <v>281</v>
      </c>
      <c r="O7452">
        <v>251211</v>
      </c>
      <c r="P7452">
        <v>98.77</v>
      </c>
    </row>
    <row r="7453" spans="1:16" x14ac:dyDescent="0.25">
      <c r="A7453" t="s">
        <v>3296</v>
      </c>
      <c r="B7453" t="s">
        <v>2931</v>
      </c>
      <c r="C7453">
        <v>16686</v>
      </c>
      <c r="D7453" t="str">
        <f>"2561146446  "</f>
        <v xml:space="preserve">2561146446  </v>
      </c>
      <c r="E7453" t="s">
        <v>277</v>
      </c>
      <c r="F7453" t="s">
        <v>279</v>
      </c>
      <c r="G7453">
        <v>924.87</v>
      </c>
      <c r="H7453">
        <v>251208</v>
      </c>
      <c r="I7453">
        <v>4520</v>
      </c>
      <c r="J7453" t="s">
        <v>280</v>
      </c>
      <c r="K7453">
        <v>1045.02</v>
      </c>
      <c r="L7453">
        <v>113.58</v>
      </c>
      <c r="M7453">
        <v>59114</v>
      </c>
      <c r="N7453" t="s">
        <v>299</v>
      </c>
      <c r="O7453">
        <v>251211</v>
      </c>
      <c r="P7453">
        <v>811.29</v>
      </c>
    </row>
    <row r="7454" spans="1:16" x14ac:dyDescent="0.25">
      <c r="A7454" t="s">
        <v>3296</v>
      </c>
      <c r="B7454" t="s">
        <v>2931</v>
      </c>
      <c r="C7454">
        <v>16686</v>
      </c>
      <c r="D7454" t="str">
        <f>"2561146446  "</f>
        <v xml:space="preserve">2561146446  </v>
      </c>
      <c r="E7454" t="s">
        <v>277</v>
      </c>
      <c r="F7454" t="s">
        <v>279</v>
      </c>
      <c r="G7454">
        <v>102.76</v>
      </c>
      <c r="H7454">
        <v>251208</v>
      </c>
      <c r="I7454">
        <v>4520</v>
      </c>
      <c r="J7454" t="s">
        <v>280</v>
      </c>
      <c r="K7454">
        <v>1045.02</v>
      </c>
      <c r="L7454">
        <v>12.62</v>
      </c>
      <c r="M7454">
        <v>59808</v>
      </c>
      <c r="N7454" t="s">
        <v>699</v>
      </c>
      <c r="O7454">
        <v>251211</v>
      </c>
      <c r="P7454">
        <v>90.14</v>
      </c>
    </row>
    <row r="7455" spans="1:16" x14ac:dyDescent="0.25">
      <c r="A7455" t="s">
        <v>3296</v>
      </c>
      <c r="B7455" t="s">
        <v>2931</v>
      </c>
      <c r="C7455">
        <v>16689</v>
      </c>
      <c r="D7455" t="str">
        <f>"2561146455  "</f>
        <v xml:space="preserve">2561146455  </v>
      </c>
      <c r="E7455" t="s">
        <v>277</v>
      </c>
      <c r="F7455" t="s">
        <v>279</v>
      </c>
      <c r="G7455">
        <v>496.86</v>
      </c>
      <c r="H7455">
        <v>251208</v>
      </c>
      <c r="I7455">
        <v>4520</v>
      </c>
      <c r="J7455" t="s">
        <v>280</v>
      </c>
      <c r="K7455">
        <v>441.61</v>
      </c>
      <c r="L7455">
        <v>61.02</v>
      </c>
      <c r="M7455">
        <v>44253</v>
      </c>
      <c r="N7455" t="s">
        <v>403</v>
      </c>
      <c r="O7455">
        <v>251211</v>
      </c>
      <c r="P7455">
        <v>435.84</v>
      </c>
    </row>
    <row r="7456" spans="1:16" x14ac:dyDescent="0.25">
      <c r="A7456" t="s">
        <v>3296</v>
      </c>
      <c r="B7456" t="s">
        <v>2931</v>
      </c>
      <c r="C7456">
        <v>16702</v>
      </c>
      <c r="D7456" t="str">
        <f>"2561146449  "</f>
        <v xml:space="preserve">2561146449  </v>
      </c>
      <c r="E7456" t="s">
        <v>277</v>
      </c>
      <c r="F7456" t="s">
        <v>279</v>
      </c>
      <c r="G7456">
        <v>3062.33</v>
      </c>
      <c r="H7456">
        <v>251208</v>
      </c>
      <c r="I7456">
        <v>4520</v>
      </c>
      <c r="J7456" t="s">
        <v>280</v>
      </c>
      <c r="K7456">
        <v>3615.31</v>
      </c>
      <c r="L7456">
        <v>376.08</v>
      </c>
      <c r="M7456">
        <v>69113</v>
      </c>
      <c r="N7456" t="s">
        <v>122</v>
      </c>
      <c r="O7456">
        <v>251211</v>
      </c>
      <c r="P7456">
        <v>2686.25</v>
      </c>
    </row>
    <row r="7457" spans="1:16" x14ac:dyDescent="0.25">
      <c r="A7457" t="s">
        <v>3296</v>
      </c>
      <c r="B7457" t="s">
        <v>2931</v>
      </c>
      <c r="C7457">
        <v>16702</v>
      </c>
      <c r="D7457" t="str">
        <f>"2561146449  "</f>
        <v xml:space="preserve">2561146449  </v>
      </c>
      <c r="E7457" t="s">
        <v>277</v>
      </c>
      <c r="F7457" t="s">
        <v>279</v>
      </c>
      <c r="G7457">
        <v>360.27</v>
      </c>
      <c r="H7457">
        <v>251208</v>
      </c>
      <c r="I7457">
        <v>4520</v>
      </c>
      <c r="J7457" t="s">
        <v>280</v>
      </c>
      <c r="K7457">
        <v>3615.31</v>
      </c>
      <c r="L7457">
        <v>44.24</v>
      </c>
      <c r="M7457">
        <v>69802</v>
      </c>
      <c r="N7457" t="s">
        <v>375</v>
      </c>
      <c r="O7457">
        <v>251211</v>
      </c>
      <c r="P7457">
        <v>316.02999999999997</v>
      </c>
    </row>
    <row r="7458" spans="1:16" x14ac:dyDescent="0.25">
      <c r="A7458" t="s">
        <v>3296</v>
      </c>
      <c r="B7458" t="s">
        <v>2931</v>
      </c>
      <c r="C7458">
        <v>16702</v>
      </c>
      <c r="D7458" t="str">
        <f>"2561146449  "</f>
        <v xml:space="preserve">2561146449  </v>
      </c>
      <c r="E7458" t="s">
        <v>277</v>
      </c>
      <c r="F7458" t="s">
        <v>279</v>
      </c>
      <c r="G7458">
        <v>180.14</v>
      </c>
      <c r="H7458">
        <v>251208</v>
      </c>
      <c r="I7458">
        <v>4520</v>
      </c>
      <c r="J7458" t="s">
        <v>280</v>
      </c>
      <c r="K7458">
        <v>3615.31</v>
      </c>
      <c r="L7458">
        <v>22.12</v>
      </c>
      <c r="M7458">
        <v>69804</v>
      </c>
      <c r="N7458" t="s">
        <v>376</v>
      </c>
      <c r="O7458">
        <v>251211</v>
      </c>
      <c r="P7458">
        <v>158.02000000000001</v>
      </c>
    </row>
    <row r="7459" spans="1:16" x14ac:dyDescent="0.25">
      <c r="A7459" t="s">
        <v>3296</v>
      </c>
      <c r="B7459" t="s">
        <v>2931</v>
      </c>
      <c r="C7459">
        <v>16833</v>
      </c>
      <c r="D7459" t="str">
        <f>"2561146452  "</f>
        <v xml:space="preserve">2561146452  </v>
      </c>
      <c r="E7459" t="s">
        <v>277</v>
      </c>
      <c r="F7459" t="s">
        <v>279</v>
      </c>
      <c r="G7459">
        <v>401.37</v>
      </c>
      <c r="H7459">
        <v>251208</v>
      </c>
      <c r="I7459">
        <v>4520</v>
      </c>
      <c r="J7459" t="s">
        <v>280</v>
      </c>
      <c r="K7459">
        <v>404.97</v>
      </c>
      <c r="L7459">
        <v>49.29</v>
      </c>
      <c r="M7459">
        <v>44251</v>
      </c>
      <c r="N7459" t="s">
        <v>215</v>
      </c>
      <c r="O7459">
        <v>251212</v>
      </c>
      <c r="P7459">
        <v>352.08</v>
      </c>
    </row>
    <row r="7460" spans="1:16" x14ac:dyDescent="0.25">
      <c r="A7460" t="s">
        <v>3296</v>
      </c>
      <c r="B7460" t="s">
        <v>2931</v>
      </c>
      <c r="C7460">
        <v>16872</v>
      </c>
      <c r="D7460" t="str">
        <f>"2561146456  "</f>
        <v xml:space="preserve">2561146456  </v>
      </c>
      <c r="E7460" t="s">
        <v>277</v>
      </c>
      <c r="F7460" t="s">
        <v>279</v>
      </c>
      <c r="G7460">
        <v>1419.84</v>
      </c>
      <c r="H7460">
        <v>251208</v>
      </c>
      <c r="I7460">
        <v>4520</v>
      </c>
      <c r="J7460" t="s">
        <v>280</v>
      </c>
      <c r="K7460">
        <v>1671.95</v>
      </c>
      <c r="L7460">
        <v>174.37</v>
      </c>
      <c r="M7460">
        <v>69112</v>
      </c>
      <c r="N7460" t="s">
        <v>227</v>
      </c>
      <c r="O7460">
        <v>251215</v>
      </c>
      <c r="P7460">
        <v>1245.47</v>
      </c>
    </row>
    <row r="7461" spans="1:16" x14ac:dyDescent="0.25">
      <c r="A7461" t="s">
        <v>3296</v>
      </c>
      <c r="B7461" t="s">
        <v>2931</v>
      </c>
      <c r="C7461">
        <v>16872</v>
      </c>
      <c r="D7461" t="str">
        <f>"2561146456  "</f>
        <v xml:space="preserve">2561146456  </v>
      </c>
      <c r="E7461" t="s">
        <v>277</v>
      </c>
      <c r="F7461" t="s">
        <v>279</v>
      </c>
      <c r="G7461">
        <v>78.88</v>
      </c>
      <c r="H7461">
        <v>251208</v>
      </c>
      <c r="I7461">
        <v>4520</v>
      </c>
      <c r="J7461" t="s">
        <v>280</v>
      </c>
      <c r="K7461">
        <v>1671.95</v>
      </c>
      <c r="L7461">
        <v>9.69</v>
      </c>
      <c r="M7461">
        <v>69810</v>
      </c>
      <c r="N7461" t="s">
        <v>229</v>
      </c>
      <c r="O7461">
        <v>251215</v>
      </c>
      <c r="P7461">
        <v>69.19</v>
      </c>
    </row>
    <row r="7462" spans="1:16" x14ac:dyDescent="0.25">
      <c r="A7462" t="s">
        <v>3296</v>
      </c>
      <c r="B7462" t="s">
        <v>2931</v>
      </c>
      <c r="C7462">
        <v>16872</v>
      </c>
      <c r="D7462" t="str">
        <f>"2561146456  "</f>
        <v xml:space="preserve">2561146456  </v>
      </c>
      <c r="E7462" t="s">
        <v>277</v>
      </c>
      <c r="F7462" t="s">
        <v>279</v>
      </c>
      <c r="G7462">
        <v>78.88</v>
      </c>
      <c r="H7462">
        <v>251208</v>
      </c>
      <c r="I7462">
        <v>4520</v>
      </c>
      <c r="J7462" t="s">
        <v>280</v>
      </c>
      <c r="K7462">
        <v>1671.95</v>
      </c>
      <c r="L7462">
        <v>9.69</v>
      </c>
      <c r="M7462">
        <v>69811</v>
      </c>
      <c r="N7462" t="s">
        <v>230</v>
      </c>
      <c r="O7462">
        <v>251215</v>
      </c>
      <c r="P7462">
        <v>69.19</v>
      </c>
    </row>
    <row r="7463" spans="1:16" x14ac:dyDescent="0.25">
      <c r="A7463" t="s">
        <v>3296</v>
      </c>
      <c r="B7463" t="s">
        <v>2931</v>
      </c>
      <c r="C7463">
        <v>16875</v>
      </c>
      <c r="D7463" t="str">
        <f t="shared" ref="D7463:D7475" si="148">"2561099006  "</f>
        <v xml:space="preserve">2561099006  </v>
      </c>
      <c r="E7463" t="s">
        <v>277</v>
      </c>
      <c r="F7463" t="s">
        <v>279</v>
      </c>
      <c r="G7463">
        <v>9.01</v>
      </c>
      <c r="H7463">
        <v>251130</v>
      </c>
      <c r="I7463">
        <v>4520</v>
      </c>
      <c r="J7463" t="s">
        <v>280</v>
      </c>
      <c r="K7463">
        <v>5485.17</v>
      </c>
      <c r="L7463">
        <v>1.83</v>
      </c>
      <c r="M7463">
        <v>14422</v>
      </c>
      <c r="N7463" t="s">
        <v>73</v>
      </c>
      <c r="O7463">
        <v>251215</v>
      </c>
      <c r="P7463">
        <v>7.18</v>
      </c>
    </row>
    <row r="7464" spans="1:16" x14ac:dyDescent="0.25">
      <c r="A7464" t="s">
        <v>3296</v>
      </c>
      <c r="B7464" t="s">
        <v>2931</v>
      </c>
      <c r="C7464">
        <v>16875</v>
      </c>
      <c r="D7464" t="str">
        <f t="shared" si="148"/>
        <v xml:space="preserve">2561099006  </v>
      </c>
      <c r="E7464" t="s">
        <v>277</v>
      </c>
      <c r="F7464" t="s">
        <v>279</v>
      </c>
      <c r="G7464">
        <v>42.7</v>
      </c>
      <c r="H7464">
        <v>251130</v>
      </c>
      <c r="I7464">
        <v>4520</v>
      </c>
      <c r="J7464" t="s">
        <v>280</v>
      </c>
      <c r="K7464">
        <v>5485.17</v>
      </c>
      <c r="L7464">
        <v>5.24</v>
      </c>
      <c r="M7464">
        <v>14422</v>
      </c>
      <c r="N7464" t="s">
        <v>73</v>
      </c>
      <c r="O7464">
        <v>251215</v>
      </c>
      <c r="P7464">
        <v>37.46</v>
      </c>
    </row>
    <row r="7465" spans="1:16" x14ac:dyDescent="0.25">
      <c r="A7465" t="s">
        <v>3296</v>
      </c>
      <c r="B7465" t="s">
        <v>2931</v>
      </c>
      <c r="C7465">
        <v>16875</v>
      </c>
      <c r="D7465" t="str">
        <f t="shared" si="148"/>
        <v xml:space="preserve">2561099006  </v>
      </c>
      <c r="E7465" t="s">
        <v>277</v>
      </c>
      <c r="F7465" t="s">
        <v>279</v>
      </c>
      <c r="G7465">
        <v>36.049999999999997</v>
      </c>
      <c r="H7465">
        <v>251130</v>
      </c>
      <c r="I7465">
        <v>4520</v>
      </c>
      <c r="J7465" t="s">
        <v>280</v>
      </c>
      <c r="K7465">
        <v>5485.17</v>
      </c>
      <c r="L7465">
        <v>7.32</v>
      </c>
      <c r="M7465">
        <v>14431</v>
      </c>
      <c r="N7465" t="s">
        <v>74</v>
      </c>
      <c r="O7465">
        <v>251215</v>
      </c>
      <c r="P7465">
        <v>28.73</v>
      </c>
    </row>
    <row r="7466" spans="1:16" x14ac:dyDescent="0.25">
      <c r="A7466" t="s">
        <v>3296</v>
      </c>
      <c r="B7466" t="s">
        <v>2931</v>
      </c>
      <c r="C7466">
        <v>16875</v>
      </c>
      <c r="D7466" t="str">
        <f t="shared" si="148"/>
        <v xml:space="preserve">2561099006  </v>
      </c>
      <c r="E7466" t="s">
        <v>277</v>
      </c>
      <c r="F7466" t="s">
        <v>279</v>
      </c>
      <c r="G7466">
        <v>170.78</v>
      </c>
      <c r="H7466">
        <v>251130</v>
      </c>
      <c r="I7466">
        <v>4520</v>
      </c>
      <c r="J7466" t="s">
        <v>280</v>
      </c>
      <c r="K7466">
        <v>5485.17</v>
      </c>
      <c r="L7466">
        <v>20.97</v>
      </c>
      <c r="M7466">
        <v>14431</v>
      </c>
      <c r="N7466" t="s">
        <v>74</v>
      </c>
      <c r="O7466">
        <v>251215</v>
      </c>
      <c r="P7466">
        <v>149.81</v>
      </c>
    </row>
    <row r="7467" spans="1:16" x14ac:dyDescent="0.25">
      <c r="A7467" t="s">
        <v>3296</v>
      </c>
      <c r="B7467" t="s">
        <v>2931</v>
      </c>
      <c r="C7467">
        <v>16875</v>
      </c>
      <c r="D7467" t="str">
        <f t="shared" si="148"/>
        <v xml:space="preserve">2561099006  </v>
      </c>
      <c r="E7467" t="s">
        <v>277</v>
      </c>
      <c r="F7467" t="s">
        <v>279</v>
      </c>
      <c r="G7467">
        <v>153.21</v>
      </c>
      <c r="H7467">
        <v>251130</v>
      </c>
      <c r="I7467">
        <v>4520</v>
      </c>
      <c r="J7467" t="s">
        <v>280</v>
      </c>
      <c r="K7467">
        <v>5485.17</v>
      </c>
      <c r="L7467">
        <v>31.13</v>
      </c>
      <c r="M7467">
        <v>14432</v>
      </c>
      <c r="N7467" t="s">
        <v>75</v>
      </c>
      <c r="O7467">
        <v>251215</v>
      </c>
      <c r="P7467">
        <v>122.08</v>
      </c>
    </row>
    <row r="7468" spans="1:16" x14ac:dyDescent="0.25">
      <c r="A7468" t="s">
        <v>3296</v>
      </c>
      <c r="B7468" t="s">
        <v>2931</v>
      </c>
      <c r="C7468">
        <v>16875</v>
      </c>
      <c r="D7468" t="str">
        <f t="shared" si="148"/>
        <v xml:space="preserve">2561099006  </v>
      </c>
      <c r="E7468" t="s">
        <v>277</v>
      </c>
      <c r="F7468" t="s">
        <v>279</v>
      </c>
      <c r="G7468">
        <v>725.84</v>
      </c>
      <c r="H7468">
        <v>251130</v>
      </c>
      <c r="I7468">
        <v>4520</v>
      </c>
      <c r="J7468" t="s">
        <v>280</v>
      </c>
      <c r="K7468">
        <v>5485.17</v>
      </c>
      <c r="L7468">
        <v>89.14</v>
      </c>
      <c r="M7468">
        <v>14432</v>
      </c>
      <c r="N7468" t="s">
        <v>75</v>
      </c>
      <c r="O7468">
        <v>251215</v>
      </c>
      <c r="P7468">
        <v>636.70000000000005</v>
      </c>
    </row>
    <row r="7469" spans="1:16" x14ac:dyDescent="0.25">
      <c r="A7469" t="s">
        <v>3296</v>
      </c>
      <c r="B7469" t="s">
        <v>2931</v>
      </c>
      <c r="C7469">
        <v>16875</v>
      </c>
      <c r="D7469" t="str">
        <f t="shared" si="148"/>
        <v xml:space="preserve">2561099006  </v>
      </c>
      <c r="E7469" t="s">
        <v>277</v>
      </c>
      <c r="F7469" t="s">
        <v>279</v>
      </c>
      <c r="G7469">
        <v>9.01</v>
      </c>
      <c r="H7469">
        <v>251130</v>
      </c>
      <c r="I7469">
        <v>4520</v>
      </c>
      <c r="J7469" t="s">
        <v>280</v>
      </c>
      <c r="K7469">
        <v>5485.17</v>
      </c>
      <c r="L7469">
        <v>1.83</v>
      </c>
      <c r="M7469">
        <v>14640</v>
      </c>
      <c r="N7469" t="s">
        <v>78</v>
      </c>
      <c r="O7469">
        <v>251215</v>
      </c>
      <c r="P7469">
        <v>7.18</v>
      </c>
    </row>
    <row r="7470" spans="1:16" x14ac:dyDescent="0.25">
      <c r="A7470" t="s">
        <v>3296</v>
      </c>
      <c r="B7470" t="s">
        <v>2931</v>
      </c>
      <c r="C7470">
        <v>16875</v>
      </c>
      <c r="D7470" t="str">
        <f t="shared" si="148"/>
        <v xml:space="preserve">2561099006  </v>
      </c>
      <c r="E7470" t="s">
        <v>277</v>
      </c>
      <c r="F7470" t="s">
        <v>279</v>
      </c>
      <c r="G7470">
        <v>42.7</v>
      </c>
      <c r="H7470">
        <v>251130</v>
      </c>
      <c r="I7470">
        <v>4520</v>
      </c>
      <c r="J7470" t="s">
        <v>280</v>
      </c>
      <c r="K7470">
        <v>5485.17</v>
      </c>
      <c r="L7470">
        <v>5.24</v>
      </c>
      <c r="M7470">
        <v>14640</v>
      </c>
      <c r="N7470" t="s">
        <v>78</v>
      </c>
      <c r="O7470">
        <v>251215</v>
      </c>
      <c r="P7470">
        <v>37.46</v>
      </c>
    </row>
    <row r="7471" spans="1:16" x14ac:dyDescent="0.25">
      <c r="A7471" t="s">
        <v>3296</v>
      </c>
      <c r="B7471" t="s">
        <v>2931</v>
      </c>
      <c r="C7471">
        <v>16875</v>
      </c>
      <c r="D7471" t="str">
        <f t="shared" si="148"/>
        <v xml:space="preserve">2561099006  </v>
      </c>
      <c r="E7471" t="s">
        <v>277</v>
      </c>
      <c r="F7471" t="s">
        <v>279</v>
      </c>
      <c r="G7471">
        <v>36.049999999999997</v>
      </c>
      <c r="H7471">
        <v>251130</v>
      </c>
      <c r="I7471">
        <v>4520</v>
      </c>
      <c r="J7471" t="s">
        <v>280</v>
      </c>
      <c r="K7471">
        <v>5485.17</v>
      </c>
      <c r="L7471">
        <v>7.32</v>
      </c>
      <c r="M7471">
        <v>14642</v>
      </c>
      <c r="N7471" t="s">
        <v>283</v>
      </c>
      <c r="O7471">
        <v>251215</v>
      </c>
      <c r="P7471">
        <v>28.73</v>
      </c>
    </row>
    <row r="7472" spans="1:16" x14ac:dyDescent="0.25">
      <c r="A7472" t="s">
        <v>3296</v>
      </c>
      <c r="B7472" t="s">
        <v>2931</v>
      </c>
      <c r="C7472">
        <v>16875</v>
      </c>
      <c r="D7472" t="str">
        <f t="shared" si="148"/>
        <v xml:space="preserve">2561099006  </v>
      </c>
      <c r="E7472" t="s">
        <v>277</v>
      </c>
      <c r="F7472" t="s">
        <v>279</v>
      </c>
      <c r="G7472">
        <v>170.78</v>
      </c>
      <c r="H7472">
        <v>251130</v>
      </c>
      <c r="I7472">
        <v>4520</v>
      </c>
      <c r="J7472" t="s">
        <v>280</v>
      </c>
      <c r="K7472">
        <v>5485.17</v>
      </c>
      <c r="L7472">
        <v>20.97</v>
      </c>
      <c r="M7472">
        <v>14642</v>
      </c>
      <c r="N7472" t="s">
        <v>283</v>
      </c>
      <c r="O7472">
        <v>251215</v>
      </c>
      <c r="P7472">
        <v>149.81</v>
      </c>
    </row>
    <row r="7473" spans="1:16" x14ac:dyDescent="0.25">
      <c r="A7473" t="s">
        <v>3296</v>
      </c>
      <c r="B7473" t="s">
        <v>2931</v>
      </c>
      <c r="C7473">
        <v>16875</v>
      </c>
      <c r="D7473" t="str">
        <f t="shared" si="148"/>
        <v xml:space="preserve">2561099006  </v>
      </c>
      <c r="E7473" t="s">
        <v>277</v>
      </c>
      <c r="F7473" t="s">
        <v>279</v>
      </c>
      <c r="G7473">
        <v>657.91</v>
      </c>
      <c r="H7473">
        <v>251130</v>
      </c>
      <c r="I7473">
        <v>4520</v>
      </c>
      <c r="J7473" t="s">
        <v>280</v>
      </c>
      <c r="K7473">
        <v>5485.17</v>
      </c>
      <c r="L7473">
        <v>133.68</v>
      </c>
      <c r="M7473">
        <v>14912</v>
      </c>
      <c r="N7473" t="s">
        <v>80</v>
      </c>
      <c r="O7473">
        <v>251215</v>
      </c>
      <c r="P7473">
        <v>524.23</v>
      </c>
    </row>
    <row r="7474" spans="1:16" x14ac:dyDescent="0.25">
      <c r="A7474" t="s">
        <v>3296</v>
      </c>
      <c r="B7474" t="s">
        <v>2931</v>
      </c>
      <c r="C7474">
        <v>16875</v>
      </c>
      <c r="D7474" t="str">
        <f t="shared" si="148"/>
        <v xml:space="preserve">2561099006  </v>
      </c>
      <c r="E7474" t="s">
        <v>277</v>
      </c>
      <c r="F7474" t="s">
        <v>279</v>
      </c>
      <c r="G7474">
        <v>3116.82</v>
      </c>
      <c r="H7474">
        <v>251130</v>
      </c>
      <c r="I7474">
        <v>4520</v>
      </c>
      <c r="J7474" t="s">
        <v>280</v>
      </c>
      <c r="K7474">
        <v>5485.17</v>
      </c>
      <c r="L7474">
        <v>382.77</v>
      </c>
      <c r="M7474">
        <v>14912</v>
      </c>
      <c r="N7474" t="s">
        <v>80</v>
      </c>
      <c r="O7474">
        <v>251215</v>
      </c>
      <c r="P7474">
        <v>2734.05</v>
      </c>
    </row>
    <row r="7475" spans="1:16" x14ac:dyDescent="0.25">
      <c r="A7475" t="s">
        <v>3296</v>
      </c>
      <c r="B7475" t="s">
        <v>2931</v>
      </c>
      <c r="C7475">
        <v>16875</v>
      </c>
      <c r="D7475" t="str">
        <f t="shared" si="148"/>
        <v xml:space="preserve">2561099006  </v>
      </c>
      <c r="E7475" t="s">
        <v>277</v>
      </c>
      <c r="F7475" t="s">
        <v>279</v>
      </c>
      <c r="G7475">
        <v>314.31</v>
      </c>
      <c r="H7475">
        <v>251130</v>
      </c>
      <c r="I7475">
        <v>4520</v>
      </c>
      <c r="J7475" t="s">
        <v>280</v>
      </c>
      <c r="K7475">
        <v>5485.17</v>
      </c>
      <c r="L7475">
        <v>38.6</v>
      </c>
      <c r="M7475">
        <v>14990</v>
      </c>
      <c r="N7475" t="s">
        <v>85</v>
      </c>
      <c r="O7475">
        <v>251215</v>
      </c>
      <c r="P7475">
        <v>275.70999999999998</v>
      </c>
    </row>
    <row r="7476" spans="1:16" x14ac:dyDescent="0.25">
      <c r="A7476" t="s">
        <v>3296</v>
      </c>
      <c r="B7476" t="s">
        <v>2931</v>
      </c>
      <c r="C7476">
        <v>16878</v>
      </c>
      <c r="D7476" t="str">
        <f>"2561130854  "</f>
        <v xml:space="preserve">2561130854  </v>
      </c>
      <c r="E7476" t="s">
        <v>277</v>
      </c>
      <c r="F7476" t="s">
        <v>279</v>
      </c>
      <c r="G7476">
        <v>34.659999999999997</v>
      </c>
      <c r="H7476">
        <v>251130</v>
      </c>
      <c r="I7476">
        <v>4520</v>
      </c>
      <c r="J7476" t="s">
        <v>280</v>
      </c>
      <c r="K7476">
        <v>34.659999999999997</v>
      </c>
      <c r="L7476">
        <v>4.26</v>
      </c>
      <c r="M7476">
        <v>14432</v>
      </c>
      <c r="N7476" t="s">
        <v>75</v>
      </c>
      <c r="O7476">
        <v>251215</v>
      </c>
      <c r="P7476">
        <v>30.4</v>
      </c>
    </row>
    <row r="7477" spans="1:16" x14ac:dyDescent="0.25">
      <c r="A7477" t="s">
        <v>3296</v>
      </c>
      <c r="B7477" t="s">
        <v>2931</v>
      </c>
      <c r="C7477">
        <v>16897</v>
      </c>
      <c r="D7477" t="str">
        <f>"2561099000  "</f>
        <v xml:space="preserve">2561099000  </v>
      </c>
      <c r="E7477" t="s">
        <v>277</v>
      </c>
      <c r="F7477" t="s">
        <v>279</v>
      </c>
      <c r="G7477">
        <v>433.39</v>
      </c>
      <c r="H7477">
        <v>251130</v>
      </c>
      <c r="I7477">
        <v>4520</v>
      </c>
      <c r="J7477" t="s">
        <v>280</v>
      </c>
      <c r="K7477">
        <v>2256.5700000000002</v>
      </c>
      <c r="L7477">
        <v>53.22</v>
      </c>
      <c r="M7477">
        <v>54422</v>
      </c>
      <c r="N7477" t="s">
        <v>49</v>
      </c>
      <c r="O7477">
        <v>251215</v>
      </c>
      <c r="P7477">
        <v>380.17</v>
      </c>
    </row>
    <row r="7478" spans="1:16" x14ac:dyDescent="0.25">
      <c r="A7478" t="s">
        <v>3296</v>
      </c>
      <c r="B7478" t="s">
        <v>2931</v>
      </c>
      <c r="C7478">
        <v>16897</v>
      </c>
      <c r="D7478" t="str">
        <f>"2561099000  "</f>
        <v xml:space="preserve">2561099000  </v>
      </c>
      <c r="E7478" t="s">
        <v>277</v>
      </c>
      <c r="F7478" t="s">
        <v>279</v>
      </c>
      <c r="G7478">
        <v>1545.71</v>
      </c>
      <c r="H7478">
        <v>251130</v>
      </c>
      <c r="I7478">
        <v>4520</v>
      </c>
      <c r="J7478" t="s">
        <v>280</v>
      </c>
      <c r="K7478">
        <v>2256.5700000000002</v>
      </c>
      <c r="L7478">
        <v>189.82</v>
      </c>
      <c r="M7478">
        <v>54451</v>
      </c>
      <c r="N7478" t="s">
        <v>218</v>
      </c>
      <c r="O7478">
        <v>251215</v>
      </c>
      <c r="P7478">
        <v>1355.89</v>
      </c>
    </row>
    <row r="7479" spans="1:16" x14ac:dyDescent="0.25">
      <c r="A7479" t="s">
        <v>3296</v>
      </c>
      <c r="B7479" t="s">
        <v>2931</v>
      </c>
      <c r="C7479">
        <v>16898</v>
      </c>
      <c r="D7479" t="str">
        <f>"2561130848  "</f>
        <v xml:space="preserve">2561130848  </v>
      </c>
      <c r="E7479" t="s">
        <v>277</v>
      </c>
      <c r="F7479" t="s">
        <v>279</v>
      </c>
      <c r="G7479">
        <v>18.03</v>
      </c>
      <c r="H7479">
        <v>251130</v>
      </c>
      <c r="I7479">
        <v>4520</v>
      </c>
      <c r="J7479" t="s">
        <v>280</v>
      </c>
      <c r="K7479">
        <v>18.03</v>
      </c>
      <c r="L7479">
        <v>2.21</v>
      </c>
      <c r="M7479">
        <v>54451</v>
      </c>
      <c r="N7479" t="s">
        <v>218</v>
      </c>
      <c r="O7479">
        <v>251215</v>
      </c>
      <c r="P7479">
        <v>15.82</v>
      </c>
    </row>
    <row r="7480" spans="1:16" x14ac:dyDescent="0.25">
      <c r="A7480" t="s">
        <v>3296</v>
      </c>
      <c r="B7480" t="s">
        <v>2931</v>
      </c>
      <c r="C7480">
        <v>16946</v>
      </c>
      <c r="D7480" t="str">
        <f>"2561146453  "</f>
        <v xml:space="preserve">2561146453  </v>
      </c>
      <c r="E7480" t="s">
        <v>277</v>
      </c>
      <c r="F7480" t="s">
        <v>279</v>
      </c>
      <c r="G7480">
        <v>29.49</v>
      </c>
      <c r="H7480">
        <v>251208</v>
      </c>
      <c r="I7480">
        <v>4520</v>
      </c>
      <c r="J7480" t="s">
        <v>280</v>
      </c>
      <c r="K7480">
        <v>4142.17</v>
      </c>
      <c r="L7480">
        <v>5.99</v>
      </c>
      <c r="M7480">
        <v>17913</v>
      </c>
      <c r="N7480" t="s">
        <v>26</v>
      </c>
      <c r="O7480">
        <v>251216</v>
      </c>
      <c r="P7480">
        <v>23.5</v>
      </c>
    </row>
    <row r="7481" spans="1:16" x14ac:dyDescent="0.25">
      <c r="A7481" t="s">
        <v>3296</v>
      </c>
      <c r="B7481" t="s">
        <v>2931</v>
      </c>
      <c r="C7481">
        <v>16946</v>
      </c>
      <c r="D7481" t="str">
        <f>"2561146453  "</f>
        <v xml:space="preserve">2561146453  </v>
      </c>
      <c r="E7481" t="s">
        <v>277</v>
      </c>
      <c r="F7481" t="s">
        <v>279</v>
      </c>
      <c r="G7481">
        <v>3451.38</v>
      </c>
      <c r="H7481">
        <v>251208</v>
      </c>
      <c r="I7481">
        <v>4520</v>
      </c>
      <c r="J7481" t="s">
        <v>280</v>
      </c>
      <c r="K7481">
        <v>4142.17</v>
      </c>
      <c r="L7481">
        <v>423.85</v>
      </c>
      <c r="M7481">
        <v>17913</v>
      </c>
      <c r="N7481" t="s">
        <v>26</v>
      </c>
      <c r="O7481">
        <v>251216</v>
      </c>
      <c r="P7481">
        <v>3027.53</v>
      </c>
    </row>
    <row r="7482" spans="1:16" x14ac:dyDescent="0.25">
      <c r="A7482" t="s">
        <v>3296</v>
      </c>
      <c r="B7482" t="s">
        <v>2931</v>
      </c>
      <c r="C7482">
        <v>16946</v>
      </c>
      <c r="D7482" t="str">
        <f>"2561146453  "</f>
        <v xml:space="preserve">2561146453  </v>
      </c>
      <c r="E7482" t="s">
        <v>277</v>
      </c>
      <c r="F7482" t="s">
        <v>279</v>
      </c>
      <c r="G7482">
        <v>411.3</v>
      </c>
      <c r="H7482">
        <v>251208</v>
      </c>
      <c r="I7482">
        <v>4520</v>
      </c>
      <c r="J7482" t="s">
        <v>280</v>
      </c>
      <c r="K7482">
        <v>4142.17</v>
      </c>
      <c r="L7482">
        <v>50.51</v>
      </c>
      <c r="M7482">
        <v>17982</v>
      </c>
      <c r="N7482" t="s">
        <v>281</v>
      </c>
      <c r="O7482">
        <v>251216</v>
      </c>
      <c r="P7482">
        <v>360.79</v>
      </c>
    </row>
    <row r="7483" spans="1:16" x14ac:dyDescent="0.25">
      <c r="A7483" t="s">
        <v>3296</v>
      </c>
      <c r="B7483" t="s">
        <v>2931</v>
      </c>
      <c r="C7483">
        <v>16946</v>
      </c>
      <c r="D7483" t="str">
        <f>"2561146453  "</f>
        <v xml:space="preserve">2561146453  </v>
      </c>
      <c r="E7483" t="s">
        <v>277</v>
      </c>
      <c r="F7483" t="s">
        <v>279</v>
      </c>
      <c r="G7483">
        <v>250</v>
      </c>
      <c r="H7483">
        <v>251208</v>
      </c>
      <c r="I7483">
        <v>4520</v>
      </c>
      <c r="J7483" t="s">
        <v>280</v>
      </c>
      <c r="K7483">
        <v>4142.17</v>
      </c>
      <c r="L7483">
        <v>30.7</v>
      </c>
      <c r="M7483">
        <v>17984</v>
      </c>
      <c r="N7483" t="s">
        <v>655</v>
      </c>
      <c r="O7483">
        <v>251216</v>
      </c>
      <c r="P7483">
        <v>219.3</v>
      </c>
    </row>
    <row r="7484" spans="1:16" x14ac:dyDescent="0.25">
      <c r="A7484" t="s">
        <v>3296</v>
      </c>
      <c r="B7484" t="s">
        <v>2931</v>
      </c>
      <c r="C7484">
        <v>16950</v>
      </c>
      <c r="D7484" t="str">
        <f>"2561146450  "</f>
        <v xml:space="preserve">2561146450  </v>
      </c>
      <c r="E7484" t="s">
        <v>277</v>
      </c>
      <c r="F7484" t="s">
        <v>279</v>
      </c>
      <c r="G7484">
        <v>4703.3599999999997</v>
      </c>
      <c r="H7484">
        <v>251208</v>
      </c>
      <c r="I7484">
        <v>4520</v>
      </c>
      <c r="J7484" t="s">
        <v>280</v>
      </c>
      <c r="K7484">
        <v>4609.0600000000004</v>
      </c>
      <c r="L7484">
        <v>577.61</v>
      </c>
      <c r="M7484">
        <v>49112</v>
      </c>
      <c r="N7484" t="s">
        <v>109</v>
      </c>
      <c r="O7484">
        <v>251216</v>
      </c>
      <c r="P7484">
        <v>4125.75</v>
      </c>
    </row>
    <row r="7485" spans="1:16" x14ac:dyDescent="0.25">
      <c r="A7485" t="s">
        <v>3296</v>
      </c>
      <c r="B7485" t="s">
        <v>2931</v>
      </c>
      <c r="C7485">
        <v>16958</v>
      </c>
      <c r="D7485" t="str">
        <f>"2561146447  "</f>
        <v xml:space="preserve">2561146447  </v>
      </c>
      <c r="E7485" t="s">
        <v>277</v>
      </c>
      <c r="F7485" t="s">
        <v>279</v>
      </c>
      <c r="G7485">
        <v>1072</v>
      </c>
      <c r="H7485">
        <v>251208</v>
      </c>
      <c r="I7485">
        <v>4520</v>
      </c>
      <c r="J7485" t="s">
        <v>280</v>
      </c>
      <c r="K7485">
        <v>3026.94</v>
      </c>
      <c r="L7485">
        <v>131.65</v>
      </c>
      <c r="M7485">
        <v>54422</v>
      </c>
      <c r="N7485" t="s">
        <v>49</v>
      </c>
      <c r="O7485">
        <v>251216</v>
      </c>
      <c r="P7485">
        <v>940.35</v>
      </c>
    </row>
    <row r="7486" spans="1:16" x14ac:dyDescent="0.25">
      <c r="A7486" t="s">
        <v>3296</v>
      </c>
      <c r="B7486" t="s">
        <v>2931</v>
      </c>
      <c r="C7486">
        <v>16958</v>
      </c>
      <c r="D7486" t="str">
        <f>"2561146447  "</f>
        <v xml:space="preserve">2561146447  </v>
      </c>
      <c r="E7486" t="s">
        <v>277</v>
      </c>
      <c r="F7486" t="s">
        <v>279</v>
      </c>
      <c r="G7486">
        <v>1597.87</v>
      </c>
      <c r="H7486">
        <v>251208</v>
      </c>
      <c r="I7486">
        <v>4520</v>
      </c>
      <c r="J7486" t="s">
        <v>280</v>
      </c>
      <c r="K7486">
        <v>3026.94</v>
      </c>
      <c r="L7486">
        <v>196.23</v>
      </c>
      <c r="M7486">
        <v>54451</v>
      </c>
      <c r="N7486" t="s">
        <v>218</v>
      </c>
      <c r="O7486">
        <v>251216</v>
      </c>
      <c r="P7486">
        <v>1401.64</v>
      </c>
    </row>
    <row r="7487" spans="1:16" x14ac:dyDescent="0.25">
      <c r="A7487" t="s">
        <v>3296</v>
      </c>
      <c r="B7487" t="s">
        <v>2931</v>
      </c>
      <c r="C7487">
        <v>17028</v>
      </c>
      <c r="D7487" t="str">
        <f>"2561162976  "</f>
        <v xml:space="preserve">2561162976  </v>
      </c>
      <c r="E7487" t="s">
        <v>277</v>
      </c>
      <c r="F7487" t="s">
        <v>279</v>
      </c>
      <c r="G7487">
        <v>2217.88</v>
      </c>
      <c r="H7487">
        <v>251215</v>
      </c>
      <c r="I7487">
        <v>4520</v>
      </c>
      <c r="J7487" t="s">
        <v>280</v>
      </c>
      <c r="K7487">
        <v>2863.88</v>
      </c>
      <c r="L7487">
        <v>272.37</v>
      </c>
      <c r="M7487">
        <v>69113</v>
      </c>
      <c r="N7487" t="s">
        <v>122</v>
      </c>
      <c r="O7487">
        <v>251216</v>
      </c>
      <c r="P7487">
        <v>1945.51</v>
      </c>
    </row>
    <row r="7488" spans="1:16" x14ac:dyDescent="0.25">
      <c r="A7488" t="s">
        <v>3296</v>
      </c>
      <c r="B7488" t="s">
        <v>2931</v>
      </c>
      <c r="C7488">
        <v>17028</v>
      </c>
      <c r="D7488" t="str">
        <f>"2561162976  "</f>
        <v xml:space="preserve">2561162976  </v>
      </c>
      <c r="E7488" t="s">
        <v>277</v>
      </c>
      <c r="F7488" t="s">
        <v>279</v>
      </c>
      <c r="G7488">
        <v>260.93</v>
      </c>
      <c r="H7488">
        <v>251215</v>
      </c>
      <c r="I7488">
        <v>4520</v>
      </c>
      <c r="J7488" t="s">
        <v>280</v>
      </c>
      <c r="K7488">
        <v>2863.88</v>
      </c>
      <c r="L7488">
        <v>32.04</v>
      </c>
      <c r="M7488">
        <v>69802</v>
      </c>
      <c r="N7488" t="s">
        <v>375</v>
      </c>
      <c r="O7488">
        <v>251216</v>
      </c>
      <c r="P7488">
        <v>228.89</v>
      </c>
    </row>
    <row r="7489" spans="1:16" x14ac:dyDescent="0.25">
      <c r="A7489" t="s">
        <v>3296</v>
      </c>
      <c r="B7489" t="s">
        <v>2931</v>
      </c>
      <c r="C7489">
        <v>17028</v>
      </c>
      <c r="D7489" t="str">
        <f>"2561162976  "</f>
        <v xml:space="preserve">2561162976  </v>
      </c>
      <c r="E7489" t="s">
        <v>277</v>
      </c>
      <c r="F7489" t="s">
        <v>279</v>
      </c>
      <c r="G7489">
        <v>130.46</v>
      </c>
      <c r="H7489">
        <v>251215</v>
      </c>
      <c r="I7489">
        <v>4520</v>
      </c>
      <c r="J7489" t="s">
        <v>280</v>
      </c>
      <c r="K7489">
        <v>2863.88</v>
      </c>
      <c r="L7489">
        <v>16.02</v>
      </c>
      <c r="M7489">
        <v>69804</v>
      </c>
      <c r="N7489" t="s">
        <v>376</v>
      </c>
      <c r="O7489">
        <v>251216</v>
      </c>
      <c r="P7489">
        <v>114.44</v>
      </c>
    </row>
    <row r="7490" spans="1:16" x14ac:dyDescent="0.25">
      <c r="A7490" t="s">
        <v>3296</v>
      </c>
      <c r="B7490" t="s">
        <v>2931</v>
      </c>
      <c r="C7490">
        <v>17044</v>
      </c>
      <c r="D7490" t="str">
        <f>"2561162974  "</f>
        <v xml:space="preserve">2561162974  </v>
      </c>
      <c r="E7490" t="s">
        <v>277</v>
      </c>
      <c r="F7490" t="s">
        <v>279</v>
      </c>
      <c r="G7490">
        <v>891</v>
      </c>
      <c r="H7490">
        <v>251215</v>
      </c>
      <c r="I7490">
        <v>4520</v>
      </c>
      <c r="J7490" t="s">
        <v>280</v>
      </c>
      <c r="K7490">
        <v>2552.2399999999998</v>
      </c>
      <c r="L7490">
        <v>109.42</v>
      </c>
      <c r="M7490">
        <v>54422</v>
      </c>
      <c r="N7490" t="s">
        <v>49</v>
      </c>
      <c r="O7490">
        <v>251216</v>
      </c>
      <c r="P7490">
        <v>781.58</v>
      </c>
    </row>
    <row r="7491" spans="1:16" x14ac:dyDescent="0.25">
      <c r="A7491" t="s">
        <v>3296</v>
      </c>
      <c r="B7491" t="s">
        <v>2931</v>
      </c>
      <c r="C7491">
        <v>17044</v>
      </c>
      <c r="D7491" t="str">
        <f>"2561162974  "</f>
        <v xml:space="preserve">2561162974  </v>
      </c>
      <c r="E7491" t="s">
        <v>277</v>
      </c>
      <c r="F7491" t="s">
        <v>279</v>
      </c>
      <c r="G7491">
        <v>1270.75</v>
      </c>
      <c r="H7491">
        <v>251215</v>
      </c>
      <c r="I7491">
        <v>4520</v>
      </c>
      <c r="J7491" t="s">
        <v>280</v>
      </c>
      <c r="K7491">
        <v>2552.2399999999998</v>
      </c>
      <c r="L7491">
        <v>156.06</v>
      </c>
      <c r="M7491">
        <v>54451</v>
      </c>
      <c r="N7491" t="s">
        <v>218</v>
      </c>
      <c r="O7491">
        <v>251216</v>
      </c>
      <c r="P7491">
        <v>1114.69</v>
      </c>
    </row>
    <row r="7492" spans="1:16" x14ac:dyDescent="0.25">
      <c r="A7492" t="s">
        <v>3296</v>
      </c>
      <c r="B7492" t="s">
        <v>2931</v>
      </c>
      <c r="C7492">
        <v>17088</v>
      </c>
      <c r="D7492" t="str">
        <f>"2561162973  "</f>
        <v xml:space="preserve">2561162973  </v>
      </c>
      <c r="E7492" t="s">
        <v>277</v>
      </c>
      <c r="F7492" t="s">
        <v>279</v>
      </c>
      <c r="G7492">
        <v>175.65</v>
      </c>
      <c r="H7492">
        <v>251215</v>
      </c>
      <c r="I7492">
        <v>4520</v>
      </c>
      <c r="J7492" t="s">
        <v>280</v>
      </c>
      <c r="K7492">
        <v>293.7</v>
      </c>
      <c r="L7492">
        <v>21.57</v>
      </c>
      <c r="M7492">
        <v>59114</v>
      </c>
      <c r="N7492" t="s">
        <v>299</v>
      </c>
      <c r="O7492">
        <v>251217</v>
      </c>
      <c r="P7492">
        <v>154.08000000000001</v>
      </c>
    </row>
    <row r="7493" spans="1:16" x14ac:dyDescent="0.25">
      <c r="A7493" t="s">
        <v>3296</v>
      </c>
      <c r="B7493" t="s">
        <v>2931</v>
      </c>
      <c r="C7493">
        <v>17088</v>
      </c>
      <c r="D7493" t="str">
        <f>"2561162973  "</f>
        <v xml:space="preserve">2561162973  </v>
      </c>
      <c r="E7493" t="s">
        <v>277</v>
      </c>
      <c r="F7493" t="s">
        <v>279</v>
      </c>
      <c r="G7493">
        <v>30.63</v>
      </c>
      <c r="H7493">
        <v>251215</v>
      </c>
      <c r="I7493">
        <v>4520</v>
      </c>
      <c r="J7493" t="s">
        <v>280</v>
      </c>
      <c r="K7493">
        <v>293.7</v>
      </c>
      <c r="L7493">
        <v>3.76</v>
      </c>
      <c r="M7493">
        <v>59808</v>
      </c>
      <c r="N7493" t="s">
        <v>699</v>
      </c>
      <c r="O7493">
        <v>251217</v>
      </c>
      <c r="P7493">
        <v>26.87</v>
      </c>
    </row>
    <row r="7494" spans="1:16" x14ac:dyDescent="0.25">
      <c r="A7494" t="s">
        <v>3296</v>
      </c>
      <c r="B7494" t="s">
        <v>2931</v>
      </c>
      <c r="C7494">
        <v>17088</v>
      </c>
      <c r="D7494" t="str">
        <f>"2561162973  "</f>
        <v xml:space="preserve">2561162973  </v>
      </c>
      <c r="E7494" t="s">
        <v>277</v>
      </c>
      <c r="F7494" t="s">
        <v>279</v>
      </c>
      <c r="G7494">
        <v>100</v>
      </c>
      <c r="H7494">
        <v>251215</v>
      </c>
      <c r="I7494">
        <v>4520</v>
      </c>
      <c r="J7494" t="s">
        <v>280</v>
      </c>
      <c r="K7494">
        <v>293.7</v>
      </c>
      <c r="L7494">
        <v>12.28</v>
      </c>
      <c r="M7494">
        <v>59810</v>
      </c>
      <c r="N7494" t="s">
        <v>1349</v>
      </c>
      <c r="O7494">
        <v>251217</v>
      </c>
      <c r="P7494">
        <v>87.72</v>
      </c>
    </row>
    <row r="7495" spans="1:16" x14ac:dyDescent="0.25">
      <c r="A7495" t="s">
        <v>3296</v>
      </c>
      <c r="B7495" t="s">
        <v>2931</v>
      </c>
      <c r="C7495">
        <v>17091</v>
      </c>
      <c r="D7495" t="str">
        <f>"2561162975  "</f>
        <v xml:space="preserve">2561162975  </v>
      </c>
      <c r="E7495" t="s">
        <v>277</v>
      </c>
      <c r="F7495" t="s">
        <v>279</v>
      </c>
      <c r="G7495">
        <v>2940.51</v>
      </c>
      <c r="H7495">
        <v>251215</v>
      </c>
      <c r="I7495">
        <v>4520</v>
      </c>
      <c r="J7495" t="s">
        <v>280</v>
      </c>
      <c r="K7495">
        <v>3563.27</v>
      </c>
      <c r="L7495">
        <v>361.12</v>
      </c>
      <c r="M7495">
        <v>59113</v>
      </c>
      <c r="N7495" t="s">
        <v>61</v>
      </c>
      <c r="O7495">
        <v>251217</v>
      </c>
      <c r="P7495">
        <v>2579.39</v>
      </c>
    </row>
    <row r="7496" spans="1:16" x14ac:dyDescent="0.25">
      <c r="A7496" t="s">
        <v>3296</v>
      </c>
      <c r="B7496" t="s">
        <v>2931</v>
      </c>
      <c r="C7496">
        <v>17091</v>
      </c>
      <c r="D7496" t="str">
        <f>"2561162975  "</f>
        <v xml:space="preserve">2561162975  </v>
      </c>
      <c r="E7496" t="s">
        <v>277</v>
      </c>
      <c r="F7496" t="s">
        <v>279</v>
      </c>
      <c r="G7496">
        <v>540.15</v>
      </c>
      <c r="H7496">
        <v>251215</v>
      </c>
      <c r="I7496">
        <v>4520</v>
      </c>
      <c r="J7496" t="s">
        <v>280</v>
      </c>
      <c r="K7496">
        <v>3563.27</v>
      </c>
      <c r="L7496">
        <v>66.33</v>
      </c>
      <c r="M7496">
        <v>59803</v>
      </c>
      <c r="N7496" t="s">
        <v>282</v>
      </c>
      <c r="O7496">
        <v>251217</v>
      </c>
      <c r="P7496">
        <v>473.82</v>
      </c>
    </row>
    <row r="7497" spans="1:16" x14ac:dyDescent="0.25">
      <c r="A7497" t="s">
        <v>3296</v>
      </c>
      <c r="B7497" t="s">
        <v>2931</v>
      </c>
      <c r="C7497">
        <v>17189</v>
      </c>
      <c r="D7497" t="str">
        <f>"2561162983  "</f>
        <v xml:space="preserve">2561162983  </v>
      </c>
      <c r="E7497" t="s">
        <v>277</v>
      </c>
      <c r="F7497" t="s">
        <v>279</v>
      </c>
      <c r="G7497">
        <v>1200.6600000000001</v>
      </c>
      <c r="H7497">
        <v>251215</v>
      </c>
      <c r="I7497">
        <v>4520</v>
      </c>
      <c r="J7497" t="s">
        <v>280</v>
      </c>
      <c r="K7497">
        <v>1352.96</v>
      </c>
      <c r="L7497">
        <v>147.44999999999999</v>
      </c>
      <c r="M7497">
        <v>69112</v>
      </c>
      <c r="N7497" t="s">
        <v>227</v>
      </c>
      <c r="O7497">
        <v>251218</v>
      </c>
      <c r="P7497">
        <v>1053.21</v>
      </c>
    </row>
    <row r="7498" spans="1:16" x14ac:dyDescent="0.25">
      <c r="A7498" t="s">
        <v>3296</v>
      </c>
      <c r="B7498" t="s">
        <v>2931</v>
      </c>
      <c r="C7498">
        <v>17189</v>
      </c>
      <c r="D7498" t="str">
        <f>"2561162983  "</f>
        <v xml:space="preserve">2561162983  </v>
      </c>
      <c r="E7498" t="s">
        <v>277</v>
      </c>
      <c r="F7498" t="s">
        <v>279</v>
      </c>
      <c r="G7498">
        <v>66.709999999999994</v>
      </c>
      <c r="H7498">
        <v>251215</v>
      </c>
      <c r="I7498">
        <v>4520</v>
      </c>
      <c r="J7498" t="s">
        <v>280</v>
      </c>
      <c r="K7498">
        <v>1352.96</v>
      </c>
      <c r="L7498">
        <v>8.19</v>
      </c>
      <c r="M7498">
        <v>69810</v>
      </c>
      <c r="N7498" t="s">
        <v>229</v>
      </c>
      <c r="O7498">
        <v>251218</v>
      </c>
      <c r="P7498">
        <v>58.52</v>
      </c>
    </row>
    <row r="7499" spans="1:16" x14ac:dyDescent="0.25">
      <c r="A7499" t="s">
        <v>3296</v>
      </c>
      <c r="B7499" t="s">
        <v>2931</v>
      </c>
      <c r="C7499">
        <v>17189</v>
      </c>
      <c r="D7499" t="str">
        <f>"2561162983  "</f>
        <v xml:space="preserve">2561162983  </v>
      </c>
      <c r="E7499" t="s">
        <v>277</v>
      </c>
      <c r="F7499" t="s">
        <v>279</v>
      </c>
      <c r="G7499">
        <v>66.7</v>
      </c>
      <c r="H7499">
        <v>251215</v>
      </c>
      <c r="I7499">
        <v>4520</v>
      </c>
      <c r="J7499" t="s">
        <v>280</v>
      </c>
      <c r="K7499">
        <v>1352.96</v>
      </c>
      <c r="L7499">
        <v>8.19</v>
      </c>
      <c r="M7499">
        <v>69811</v>
      </c>
      <c r="N7499" t="s">
        <v>230</v>
      </c>
      <c r="O7499">
        <v>251218</v>
      </c>
      <c r="P7499">
        <v>58.51</v>
      </c>
    </row>
    <row r="7500" spans="1:16" x14ac:dyDescent="0.25">
      <c r="A7500" t="s">
        <v>3296</v>
      </c>
      <c r="B7500" t="s">
        <v>2931</v>
      </c>
      <c r="C7500">
        <v>17190</v>
      </c>
      <c r="D7500" t="str">
        <f>"2561162979  "</f>
        <v xml:space="preserve">2561162979  </v>
      </c>
      <c r="E7500" t="s">
        <v>277</v>
      </c>
      <c r="F7500" t="s">
        <v>279</v>
      </c>
      <c r="G7500">
        <v>1134.69</v>
      </c>
      <c r="H7500">
        <v>251215</v>
      </c>
      <c r="I7500">
        <v>4520</v>
      </c>
      <c r="J7500" t="s">
        <v>280</v>
      </c>
      <c r="K7500">
        <v>1147.27</v>
      </c>
      <c r="L7500">
        <v>139.35</v>
      </c>
      <c r="M7500">
        <v>44251</v>
      </c>
      <c r="N7500" t="s">
        <v>215</v>
      </c>
      <c r="O7500">
        <v>251218</v>
      </c>
      <c r="P7500">
        <v>995.34</v>
      </c>
    </row>
    <row r="7501" spans="1:16" x14ac:dyDescent="0.25">
      <c r="A7501" t="s">
        <v>3296</v>
      </c>
      <c r="B7501" t="s">
        <v>2931</v>
      </c>
      <c r="C7501">
        <v>17205</v>
      </c>
      <c r="D7501" t="str">
        <f>"2561162980  "</f>
        <v xml:space="preserve">2561162980  </v>
      </c>
      <c r="E7501" t="s">
        <v>277</v>
      </c>
      <c r="F7501" t="s">
        <v>279</v>
      </c>
      <c r="G7501">
        <v>-12.58</v>
      </c>
      <c r="H7501">
        <v>251215</v>
      </c>
      <c r="I7501">
        <v>4520</v>
      </c>
      <c r="J7501" t="s">
        <v>280</v>
      </c>
      <c r="K7501">
        <v>2595.81</v>
      </c>
      <c r="L7501">
        <v>-2.56</v>
      </c>
      <c r="M7501">
        <v>17913</v>
      </c>
      <c r="N7501" t="s">
        <v>26</v>
      </c>
      <c r="O7501">
        <v>251218</v>
      </c>
      <c r="P7501">
        <v>-10.02</v>
      </c>
    </row>
    <row r="7502" spans="1:16" x14ac:dyDescent="0.25">
      <c r="A7502" t="s">
        <v>3296</v>
      </c>
      <c r="B7502" t="s">
        <v>2931</v>
      </c>
      <c r="C7502">
        <v>17205</v>
      </c>
      <c r="D7502" t="str">
        <f>"2561162980  "</f>
        <v xml:space="preserve">2561162980  </v>
      </c>
      <c r="E7502" t="s">
        <v>277</v>
      </c>
      <c r="F7502" t="s">
        <v>279</v>
      </c>
      <c r="G7502">
        <v>1997.59</v>
      </c>
      <c r="H7502">
        <v>251215</v>
      </c>
      <c r="I7502">
        <v>4520</v>
      </c>
      <c r="J7502" t="s">
        <v>280</v>
      </c>
      <c r="K7502">
        <v>2595.81</v>
      </c>
      <c r="L7502">
        <v>245.32</v>
      </c>
      <c r="M7502">
        <v>17913</v>
      </c>
      <c r="N7502" t="s">
        <v>26</v>
      </c>
      <c r="O7502">
        <v>251218</v>
      </c>
      <c r="P7502">
        <v>1752.27</v>
      </c>
    </row>
    <row r="7503" spans="1:16" x14ac:dyDescent="0.25">
      <c r="A7503" t="s">
        <v>3296</v>
      </c>
      <c r="B7503" t="s">
        <v>2931</v>
      </c>
      <c r="C7503">
        <v>17205</v>
      </c>
      <c r="D7503" t="str">
        <f>"2561162980  "</f>
        <v xml:space="preserve">2561162980  </v>
      </c>
      <c r="E7503" t="s">
        <v>277</v>
      </c>
      <c r="F7503" t="s">
        <v>279</v>
      </c>
      <c r="G7503">
        <v>260.8</v>
      </c>
      <c r="H7503">
        <v>251215</v>
      </c>
      <c r="I7503">
        <v>4520</v>
      </c>
      <c r="J7503" t="s">
        <v>280</v>
      </c>
      <c r="K7503">
        <v>2595.81</v>
      </c>
      <c r="L7503">
        <v>32.03</v>
      </c>
      <c r="M7503">
        <v>17982</v>
      </c>
      <c r="N7503" t="s">
        <v>281</v>
      </c>
      <c r="O7503">
        <v>251218</v>
      </c>
      <c r="P7503">
        <v>228.77</v>
      </c>
    </row>
    <row r="7504" spans="1:16" x14ac:dyDescent="0.25">
      <c r="A7504" t="s">
        <v>3296</v>
      </c>
      <c r="B7504" t="s">
        <v>2931</v>
      </c>
      <c r="C7504">
        <v>17205</v>
      </c>
      <c r="D7504" t="str">
        <f>"2561162980  "</f>
        <v xml:space="preserve">2561162980  </v>
      </c>
      <c r="E7504" t="s">
        <v>277</v>
      </c>
      <c r="F7504" t="s">
        <v>279</v>
      </c>
      <c r="G7504">
        <v>350</v>
      </c>
      <c r="H7504">
        <v>251215</v>
      </c>
      <c r="I7504">
        <v>4520</v>
      </c>
      <c r="J7504" t="s">
        <v>280</v>
      </c>
      <c r="K7504">
        <v>2595.81</v>
      </c>
      <c r="L7504">
        <v>42.98</v>
      </c>
      <c r="M7504">
        <v>17984</v>
      </c>
      <c r="N7504" t="s">
        <v>655</v>
      </c>
      <c r="O7504">
        <v>251218</v>
      </c>
      <c r="P7504">
        <v>307.02</v>
      </c>
    </row>
    <row r="7505" spans="1:16" x14ac:dyDescent="0.25">
      <c r="A7505" t="s">
        <v>3296</v>
      </c>
      <c r="B7505" t="s">
        <v>2931</v>
      </c>
      <c r="C7505">
        <v>17220</v>
      </c>
      <c r="D7505" t="str">
        <f>"2561162977  "</f>
        <v xml:space="preserve">2561162977  </v>
      </c>
      <c r="E7505" t="s">
        <v>277</v>
      </c>
      <c r="F7505" t="s">
        <v>279</v>
      </c>
      <c r="G7505">
        <v>1486.53</v>
      </c>
      <c r="H7505">
        <v>251215</v>
      </c>
      <c r="I7505">
        <v>4520</v>
      </c>
      <c r="J7505" t="s">
        <v>280</v>
      </c>
      <c r="K7505">
        <v>1486.53</v>
      </c>
      <c r="L7505">
        <v>182.56</v>
      </c>
      <c r="M7505">
        <v>49112</v>
      </c>
      <c r="N7505" t="s">
        <v>109</v>
      </c>
      <c r="O7505">
        <v>251218</v>
      </c>
      <c r="P7505">
        <v>1303.97</v>
      </c>
    </row>
    <row r="7506" spans="1:16" x14ac:dyDescent="0.25">
      <c r="A7506" t="s">
        <v>3296</v>
      </c>
      <c r="B7506" t="s">
        <v>2931</v>
      </c>
      <c r="C7506">
        <v>17323</v>
      </c>
      <c r="D7506" t="str">
        <f>"2561162978  "</f>
        <v xml:space="preserve">2561162978  </v>
      </c>
      <c r="E7506" t="s">
        <v>277</v>
      </c>
      <c r="F7506" t="s">
        <v>279</v>
      </c>
      <c r="G7506">
        <v>10.07</v>
      </c>
      <c r="H7506">
        <v>251215</v>
      </c>
      <c r="I7506">
        <v>4520</v>
      </c>
      <c r="J7506" t="s">
        <v>280</v>
      </c>
      <c r="K7506">
        <v>841.77</v>
      </c>
      <c r="L7506">
        <v>2.0499999999999998</v>
      </c>
      <c r="M7506">
        <v>17915</v>
      </c>
      <c r="N7506" t="s">
        <v>305</v>
      </c>
      <c r="O7506">
        <v>251219</v>
      </c>
      <c r="P7506">
        <v>8.02</v>
      </c>
    </row>
    <row r="7507" spans="1:16" x14ac:dyDescent="0.25">
      <c r="A7507" t="s">
        <v>3296</v>
      </c>
      <c r="B7507" t="s">
        <v>2931</v>
      </c>
      <c r="C7507">
        <v>17323</v>
      </c>
      <c r="D7507" t="str">
        <f>"2561162978  "</f>
        <v xml:space="preserve">2561162978  </v>
      </c>
      <c r="E7507" t="s">
        <v>277</v>
      </c>
      <c r="F7507" t="s">
        <v>279</v>
      </c>
      <c r="G7507">
        <v>448.53</v>
      </c>
      <c r="H7507">
        <v>251215</v>
      </c>
      <c r="I7507">
        <v>4520</v>
      </c>
      <c r="J7507" t="s">
        <v>280</v>
      </c>
      <c r="K7507">
        <v>841.77</v>
      </c>
      <c r="L7507">
        <v>55.08</v>
      </c>
      <c r="M7507">
        <v>17915</v>
      </c>
      <c r="N7507" t="s">
        <v>305</v>
      </c>
      <c r="O7507">
        <v>251219</v>
      </c>
      <c r="P7507">
        <v>393.45</v>
      </c>
    </row>
    <row r="7508" spans="1:16" x14ac:dyDescent="0.25">
      <c r="A7508" t="s">
        <v>3296</v>
      </c>
      <c r="B7508" t="s">
        <v>2931</v>
      </c>
      <c r="C7508">
        <v>17323</v>
      </c>
      <c r="D7508" t="str">
        <f>"2561162978  "</f>
        <v xml:space="preserve">2561162978  </v>
      </c>
      <c r="E7508" t="s">
        <v>277</v>
      </c>
      <c r="F7508" t="s">
        <v>279</v>
      </c>
      <c r="G7508">
        <v>83.17</v>
      </c>
      <c r="H7508">
        <v>251215</v>
      </c>
      <c r="I7508">
        <v>4520</v>
      </c>
      <c r="J7508" t="s">
        <v>280</v>
      </c>
      <c r="K7508">
        <v>841.77</v>
      </c>
      <c r="L7508">
        <v>10.210000000000001</v>
      </c>
      <c r="M7508">
        <v>17982</v>
      </c>
      <c r="N7508" t="s">
        <v>281</v>
      </c>
      <c r="O7508">
        <v>251219</v>
      </c>
      <c r="P7508">
        <v>72.959999999999994</v>
      </c>
    </row>
    <row r="7509" spans="1:16" x14ac:dyDescent="0.25">
      <c r="A7509" t="s">
        <v>3296</v>
      </c>
      <c r="B7509" t="s">
        <v>2931</v>
      </c>
      <c r="C7509">
        <v>17323</v>
      </c>
      <c r="D7509" t="str">
        <f>"2561162978  "</f>
        <v xml:space="preserve">2561162978  </v>
      </c>
      <c r="E7509" t="s">
        <v>277</v>
      </c>
      <c r="F7509" t="s">
        <v>279</v>
      </c>
      <c r="G7509">
        <v>300</v>
      </c>
      <c r="H7509">
        <v>251215</v>
      </c>
      <c r="I7509">
        <v>4520</v>
      </c>
      <c r="J7509" t="s">
        <v>280</v>
      </c>
      <c r="K7509">
        <v>841.77</v>
      </c>
      <c r="L7509">
        <v>36.840000000000003</v>
      </c>
      <c r="M7509">
        <v>17984</v>
      </c>
      <c r="N7509" t="s">
        <v>655</v>
      </c>
      <c r="O7509">
        <v>251219</v>
      </c>
      <c r="P7509">
        <v>263.16000000000003</v>
      </c>
    </row>
    <row r="7510" spans="1:16" x14ac:dyDescent="0.25">
      <c r="A7510" t="s">
        <v>3296</v>
      </c>
      <c r="B7510" t="s">
        <v>2931</v>
      </c>
      <c r="C7510">
        <v>17336</v>
      </c>
      <c r="D7510" t="str">
        <f t="shared" ref="D7510:D7523" si="149">"2561146454  "</f>
        <v xml:space="preserve">2561146454  </v>
      </c>
      <c r="E7510" t="s">
        <v>277</v>
      </c>
      <c r="F7510" t="s">
        <v>279</v>
      </c>
      <c r="G7510">
        <v>5.95</v>
      </c>
      <c r="H7510">
        <v>251208</v>
      </c>
      <c r="I7510">
        <v>4520</v>
      </c>
      <c r="J7510" t="s">
        <v>280</v>
      </c>
      <c r="K7510">
        <v>7873.6</v>
      </c>
      <c r="L7510">
        <v>1.21</v>
      </c>
      <c r="M7510">
        <v>14422</v>
      </c>
      <c r="N7510" t="s">
        <v>73</v>
      </c>
      <c r="O7510">
        <v>251219</v>
      </c>
      <c r="P7510">
        <v>4.74</v>
      </c>
    </row>
    <row r="7511" spans="1:16" x14ac:dyDescent="0.25">
      <c r="A7511" t="s">
        <v>3296</v>
      </c>
      <c r="B7511" t="s">
        <v>2931</v>
      </c>
      <c r="C7511">
        <v>17336</v>
      </c>
      <c r="D7511" t="str">
        <f t="shared" si="149"/>
        <v xml:space="preserve">2561146454  </v>
      </c>
      <c r="E7511" t="s">
        <v>277</v>
      </c>
      <c r="F7511" t="s">
        <v>279</v>
      </c>
      <c r="G7511">
        <v>70.22</v>
      </c>
      <c r="H7511">
        <v>251208</v>
      </c>
      <c r="I7511">
        <v>4520</v>
      </c>
      <c r="J7511" t="s">
        <v>280</v>
      </c>
      <c r="K7511">
        <v>7873.6</v>
      </c>
      <c r="L7511">
        <v>8.6199999999999992</v>
      </c>
      <c r="M7511">
        <v>14422</v>
      </c>
      <c r="N7511" t="s">
        <v>73</v>
      </c>
      <c r="O7511">
        <v>251219</v>
      </c>
      <c r="P7511">
        <v>61.6</v>
      </c>
    </row>
    <row r="7512" spans="1:16" x14ac:dyDescent="0.25">
      <c r="A7512" t="s">
        <v>3296</v>
      </c>
      <c r="B7512" t="s">
        <v>2931</v>
      </c>
      <c r="C7512">
        <v>17336</v>
      </c>
      <c r="D7512" t="str">
        <f t="shared" si="149"/>
        <v xml:space="preserve">2561146454  </v>
      </c>
      <c r="E7512" t="s">
        <v>277</v>
      </c>
      <c r="F7512" t="s">
        <v>279</v>
      </c>
      <c r="G7512">
        <v>23.78</v>
      </c>
      <c r="H7512">
        <v>251208</v>
      </c>
      <c r="I7512">
        <v>4520</v>
      </c>
      <c r="J7512" t="s">
        <v>280</v>
      </c>
      <c r="K7512">
        <v>7873.6</v>
      </c>
      <c r="L7512">
        <v>4.83</v>
      </c>
      <c r="M7512">
        <v>14431</v>
      </c>
      <c r="N7512" t="s">
        <v>74</v>
      </c>
      <c r="O7512">
        <v>251219</v>
      </c>
      <c r="P7512">
        <v>18.95</v>
      </c>
    </row>
    <row r="7513" spans="1:16" x14ac:dyDescent="0.25">
      <c r="A7513" t="s">
        <v>3296</v>
      </c>
      <c r="B7513" t="s">
        <v>2931</v>
      </c>
      <c r="C7513">
        <v>17336</v>
      </c>
      <c r="D7513" t="str">
        <f t="shared" si="149"/>
        <v xml:space="preserve">2561146454  </v>
      </c>
      <c r="E7513" t="s">
        <v>277</v>
      </c>
      <c r="F7513" t="s">
        <v>279</v>
      </c>
      <c r="G7513">
        <v>280.86</v>
      </c>
      <c r="H7513">
        <v>251208</v>
      </c>
      <c r="I7513">
        <v>4520</v>
      </c>
      <c r="J7513" t="s">
        <v>280</v>
      </c>
      <c r="K7513">
        <v>7873.6</v>
      </c>
      <c r="L7513">
        <v>34.49</v>
      </c>
      <c r="M7513">
        <v>14431</v>
      </c>
      <c r="N7513" t="s">
        <v>74</v>
      </c>
      <c r="O7513">
        <v>251219</v>
      </c>
      <c r="P7513">
        <v>246.37</v>
      </c>
    </row>
    <row r="7514" spans="1:16" x14ac:dyDescent="0.25">
      <c r="A7514" t="s">
        <v>3296</v>
      </c>
      <c r="B7514" t="s">
        <v>2931</v>
      </c>
      <c r="C7514">
        <v>17336</v>
      </c>
      <c r="D7514" t="str">
        <f t="shared" si="149"/>
        <v xml:space="preserve">2561146454  </v>
      </c>
      <c r="E7514" t="s">
        <v>277</v>
      </c>
      <c r="F7514" t="s">
        <v>279</v>
      </c>
      <c r="G7514">
        <v>101.07</v>
      </c>
      <c r="H7514">
        <v>251208</v>
      </c>
      <c r="I7514">
        <v>4520</v>
      </c>
      <c r="J7514" t="s">
        <v>280</v>
      </c>
      <c r="K7514">
        <v>7873.6</v>
      </c>
      <c r="L7514">
        <v>20.54</v>
      </c>
      <c r="M7514">
        <v>14432</v>
      </c>
      <c r="N7514" t="s">
        <v>75</v>
      </c>
      <c r="O7514">
        <v>251219</v>
      </c>
      <c r="P7514">
        <v>80.53</v>
      </c>
    </row>
    <row r="7515" spans="1:16" x14ac:dyDescent="0.25">
      <c r="A7515" t="s">
        <v>3296</v>
      </c>
      <c r="B7515" t="s">
        <v>2931</v>
      </c>
      <c r="C7515">
        <v>17336</v>
      </c>
      <c r="D7515" t="str">
        <f t="shared" si="149"/>
        <v xml:space="preserve">2561146454  </v>
      </c>
      <c r="E7515" t="s">
        <v>277</v>
      </c>
      <c r="F7515" t="s">
        <v>279</v>
      </c>
      <c r="G7515">
        <v>1193.67</v>
      </c>
      <c r="H7515">
        <v>251208</v>
      </c>
      <c r="I7515">
        <v>4520</v>
      </c>
      <c r="J7515" t="s">
        <v>280</v>
      </c>
      <c r="K7515">
        <v>7873.6</v>
      </c>
      <c r="L7515">
        <v>146.59</v>
      </c>
      <c r="M7515">
        <v>14432</v>
      </c>
      <c r="N7515" t="s">
        <v>75</v>
      </c>
      <c r="O7515">
        <v>251219</v>
      </c>
      <c r="P7515">
        <v>1047.08</v>
      </c>
    </row>
    <row r="7516" spans="1:16" x14ac:dyDescent="0.25">
      <c r="A7516" t="s">
        <v>3296</v>
      </c>
      <c r="B7516" t="s">
        <v>2931</v>
      </c>
      <c r="C7516">
        <v>17336</v>
      </c>
      <c r="D7516" t="str">
        <f t="shared" si="149"/>
        <v xml:space="preserve">2561146454  </v>
      </c>
      <c r="E7516" t="s">
        <v>277</v>
      </c>
      <c r="F7516" t="s">
        <v>279</v>
      </c>
      <c r="G7516">
        <v>5.93</v>
      </c>
      <c r="H7516">
        <v>251208</v>
      </c>
      <c r="I7516">
        <v>4520</v>
      </c>
      <c r="J7516" t="s">
        <v>280</v>
      </c>
      <c r="K7516">
        <v>7873.6</v>
      </c>
      <c r="L7516">
        <v>1.2</v>
      </c>
      <c r="M7516">
        <v>14640</v>
      </c>
      <c r="N7516" t="s">
        <v>78</v>
      </c>
      <c r="O7516">
        <v>251219</v>
      </c>
      <c r="P7516">
        <v>4.7300000000000004</v>
      </c>
    </row>
    <row r="7517" spans="1:16" x14ac:dyDescent="0.25">
      <c r="A7517" t="s">
        <v>3296</v>
      </c>
      <c r="B7517" t="s">
        <v>2931</v>
      </c>
      <c r="C7517">
        <v>17336</v>
      </c>
      <c r="D7517" t="str">
        <f t="shared" si="149"/>
        <v xml:space="preserve">2561146454  </v>
      </c>
      <c r="E7517" t="s">
        <v>277</v>
      </c>
      <c r="F7517" t="s">
        <v>279</v>
      </c>
      <c r="G7517">
        <v>70.22</v>
      </c>
      <c r="H7517">
        <v>251208</v>
      </c>
      <c r="I7517">
        <v>4520</v>
      </c>
      <c r="J7517" t="s">
        <v>280</v>
      </c>
      <c r="K7517">
        <v>7873.6</v>
      </c>
      <c r="L7517">
        <v>8.6199999999999992</v>
      </c>
      <c r="M7517">
        <v>14640</v>
      </c>
      <c r="N7517" t="s">
        <v>78</v>
      </c>
      <c r="O7517">
        <v>251219</v>
      </c>
      <c r="P7517">
        <v>61.6</v>
      </c>
    </row>
    <row r="7518" spans="1:16" x14ac:dyDescent="0.25">
      <c r="A7518" t="s">
        <v>3296</v>
      </c>
      <c r="B7518" t="s">
        <v>2931</v>
      </c>
      <c r="C7518">
        <v>17336</v>
      </c>
      <c r="D7518" t="str">
        <f t="shared" si="149"/>
        <v xml:space="preserve">2561146454  </v>
      </c>
      <c r="E7518" t="s">
        <v>277</v>
      </c>
      <c r="F7518" t="s">
        <v>279</v>
      </c>
      <c r="G7518">
        <v>23.78</v>
      </c>
      <c r="H7518">
        <v>251208</v>
      </c>
      <c r="I7518">
        <v>4520</v>
      </c>
      <c r="J7518" t="s">
        <v>280</v>
      </c>
      <c r="K7518">
        <v>7873.6</v>
      </c>
      <c r="L7518">
        <v>4.83</v>
      </c>
      <c r="M7518">
        <v>14642</v>
      </c>
      <c r="N7518" t="s">
        <v>283</v>
      </c>
      <c r="O7518">
        <v>251219</v>
      </c>
      <c r="P7518">
        <v>18.95</v>
      </c>
    </row>
    <row r="7519" spans="1:16" x14ac:dyDescent="0.25">
      <c r="A7519" t="s">
        <v>3296</v>
      </c>
      <c r="B7519" t="s">
        <v>2931</v>
      </c>
      <c r="C7519">
        <v>17336</v>
      </c>
      <c r="D7519" t="str">
        <f t="shared" si="149"/>
        <v xml:space="preserve">2561146454  </v>
      </c>
      <c r="E7519" t="s">
        <v>277</v>
      </c>
      <c r="F7519" t="s">
        <v>279</v>
      </c>
      <c r="G7519">
        <v>280.86</v>
      </c>
      <c r="H7519">
        <v>251208</v>
      </c>
      <c r="I7519">
        <v>4520</v>
      </c>
      <c r="J7519" t="s">
        <v>280</v>
      </c>
      <c r="K7519">
        <v>7873.6</v>
      </c>
      <c r="L7519">
        <v>34.49</v>
      </c>
      <c r="M7519">
        <v>14642</v>
      </c>
      <c r="N7519" t="s">
        <v>283</v>
      </c>
      <c r="O7519">
        <v>251219</v>
      </c>
      <c r="P7519">
        <v>246.37</v>
      </c>
    </row>
    <row r="7520" spans="1:16" x14ac:dyDescent="0.25">
      <c r="A7520" t="s">
        <v>3296</v>
      </c>
      <c r="B7520" t="s">
        <v>2931</v>
      </c>
      <c r="C7520">
        <v>17336</v>
      </c>
      <c r="D7520" t="str">
        <f t="shared" si="149"/>
        <v xml:space="preserve">2561146454  </v>
      </c>
      <c r="E7520" t="s">
        <v>277</v>
      </c>
      <c r="F7520" t="s">
        <v>279</v>
      </c>
      <c r="G7520">
        <v>433.99</v>
      </c>
      <c r="H7520">
        <v>251208</v>
      </c>
      <c r="I7520">
        <v>4520</v>
      </c>
      <c r="J7520" t="s">
        <v>280</v>
      </c>
      <c r="K7520">
        <v>7873.6</v>
      </c>
      <c r="L7520">
        <v>88.18</v>
      </c>
      <c r="M7520">
        <v>14912</v>
      </c>
      <c r="N7520" t="s">
        <v>80</v>
      </c>
      <c r="O7520">
        <v>251219</v>
      </c>
      <c r="P7520">
        <v>345.81</v>
      </c>
    </row>
    <row r="7521" spans="1:16" x14ac:dyDescent="0.25">
      <c r="A7521" t="s">
        <v>3296</v>
      </c>
      <c r="B7521" t="s">
        <v>2931</v>
      </c>
      <c r="C7521">
        <v>17336</v>
      </c>
      <c r="D7521" t="str">
        <f t="shared" si="149"/>
        <v xml:space="preserve">2561146454  </v>
      </c>
      <c r="E7521" t="s">
        <v>277</v>
      </c>
      <c r="F7521" t="s">
        <v>279</v>
      </c>
      <c r="G7521">
        <v>5125.75</v>
      </c>
      <c r="H7521">
        <v>251208</v>
      </c>
      <c r="I7521">
        <v>4520</v>
      </c>
      <c r="J7521" t="s">
        <v>280</v>
      </c>
      <c r="K7521">
        <v>7873.6</v>
      </c>
      <c r="L7521">
        <v>629.48</v>
      </c>
      <c r="M7521">
        <v>14912</v>
      </c>
      <c r="N7521" t="s">
        <v>80</v>
      </c>
      <c r="O7521">
        <v>251219</v>
      </c>
      <c r="P7521">
        <v>4496.2700000000004</v>
      </c>
    </row>
    <row r="7522" spans="1:16" x14ac:dyDescent="0.25">
      <c r="A7522" t="s">
        <v>3296</v>
      </c>
      <c r="B7522" t="s">
        <v>2931</v>
      </c>
      <c r="C7522">
        <v>17336</v>
      </c>
      <c r="D7522" t="str">
        <f t="shared" si="149"/>
        <v xml:space="preserve">2561146454  </v>
      </c>
      <c r="E7522" t="s">
        <v>277</v>
      </c>
      <c r="F7522" t="s">
        <v>279</v>
      </c>
      <c r="G7522">
        <v>33.35</v>
      </c>
      <c r="H7522">
        <v>251208</v>
      </c>
      <c r="I7522">
        <v>4520</v>
      </c>
      <c r="J7522" t="s">
        <v>280</v>
      </c>
      <c r="K7522">
        <v>7873.6</v>
      </c>
      <c r="L7522">
        <v>6.78</v>
      </c>
      <c r="M7522">
        <v>14990</v>
      </c>
      <c r="N7522" t="s">
        <v>85</v>
      </c>
      <c r="O7522">
        <v>251219</v>
      </c>
      <c r="P7522">
        <v>26.57</v>
      </c>
    </row>
    <row r="7523" spans="1:16" x14ac:dyDescent="0.25">
      <c r="A7523" t="s">
        <v>3296</v>
      </c>
      <c r="B7523" t="s">
        <v>2931</v>
      </c>
      <c r="C7523">
        <v>17336</v>
      </c>
      <c r="D7523" t="str">
        <f t="shared" si="149"/>
        <v xml:space="preserve">2561146454  </v>
      </c>
      <c r="E7523" t="s">
        <v>277</v>
      </c>
      <c r="F7523" t="s">
        <v>279</v>
      </c>
      <c r="G7523">
        <v>224.17</v>
      </c>
      <c r="H7523">
        <v>251208</v>
      </c>
      <c r="I7523">
        <v>4520</v>
      </c>
      <c r="J7523" t="s">
        <v>280</v>
      </c>
      <c r="K7523">
        <v>7873.6</v>
      </c>
      <c r="L7523">
        <v>27.53</v>
      </c>
      <c r="M7523">
        <v>14990</v>
      </c>
      <c r="N7523" t="s">
        <v>85</v>
      </c>
      <c r="O7523">
        <v>251219</v>
      </c>
      <c r="P7523">
        <v>196.64</v>
      </c>
    </row>
    <row r="7524" spans="1:16" x14ac:dyDescent="0.25">
      <c r="A7524" t="s">
        <v>3296</v>
      </c>
      <c r="B7524" t="s">
        <v>2931</v>
      </c>
      <c r="C7524">
        <v>17354</v>
      </c>
      <c r="D7524" t="str">
        <f>"2561162982  "</f>
        <v xml:space="preserve">2561162982  </v>
      </c>
      <c r="E7524" t="s">
        <v>277</v>
      </c>
      <c r="F7524" t="s">
        <v>279</v>
      </c>
      <c r="G7524">
        <v>154.96</v>
      </c>
      <c r="H7524">
        <v>251215</v>
      </c>
      <c r="I7524">
        <v>4520</v>
      </c>
      <c r="J7524" t="s">
        <v>280</v>
      </c>
      <c r="K7524">
        <v>158.56</v>
      </c>
      <c r="L7524">
        <v>19.03</v>
      </c>
      <c r="M7524">
        <v>44253</v>
      </c>
      <c r="N7524" t="s">
        <v>403</v>
      </c>
      <c r="O7524">
        <v>251219</v>
      </c>
      <c r="P7524">
        <v>135.93</v>
      </c>
    </row>
    <row r="7525" spans="1:16" x14ac:dyDescent="0.25">
      <c r="A7525" t="s">
        <v>3296</v>
      </c>
      <c r="B7525" t="s">
        <v>2931</v>
      </c>
      <c r="C7525">
        <v>17419</v>
      </c>
      <c r="D7525" t="str">
        <f>"2561162981  "</f>
        <v xml:space="preserve">2561162981  </v>
      </c>
      <c r="E7525" t="s">
        <v>277</v>
      </c>
      <c r="F7525" t="s">
        <v>279</v>
      </c>
      <c r="G7525">
        <v>380.82</v>
      </c>
      <c r="H7525">
        <v>251215</v>
      </c>
      <c r="I7525">
        <v>4520</v>
      </c>
      <c r="J7525" t="s">
        <v>280</v>
      </c>
      <c r="K7525">
        <v>6414.06</v>
      </c>
      <c r="L7525">
        <v>77.38</v>
      </c>
      <c r="M7525">
        <v>14983</v>
      </c>
      <c r="N7525" t="s">
        <v>2756</v>
      </c>
      <c r="O7525">
        <v>251219</v>
      </c>
      <c r="P7525">
        <v>303.44</v>
      </c>
    </row>
    <row r="7526" spans="1:16" x14ac:dyDescent="0.25">
      <c r="A7526" t="s">
        <v>3296</v>
      </c>
      <c r="B7526" t="s">
        <v>2931</v>
      </c>
      <c r="C7526">
        <v>17419</v>
      </c>
      <c r="D7526" t="str">
        <f>"2561162981  "</f>
        <v xml:space="preserve">2561162981  </v>
      </c>
      <c r="E7526" t="s">
        <v>277</v>
      </c>
      <c r="F7526" t="s">
        <v>279</v>
      </c>
      <c r="G7526">
        <v>6033.24</v>
      </c>
      <c r="H7526">
        <v>251215</v>
      </c>
      <c r="I7526">
        <v>4520</v>
      </c>
      <c r="J7526" t="s">
        <v>280</v>
      </c>
      <c r="K7526">
        <v>6414.06</v>
      </c>
      <c r="L7526">
        <v>740.92</v>
      </c>
      <c r="M7526">
        <v>14983</v>
      </c>
      <c r="N7526" t="s">
        <v>2756</v>
      </c>
      <c r="O7526">
        <v>251219</v>
      </c>
      <c r="P7526">
        <v>5292.32</v>
      </c>
    </row>
    <row r="7527" spans="1:16" x14ac:dyDescent="0.25">
      <c r="A7527" t="s">
        <v>3296</v>
      </c>
      <c r="B7527" t="s">
        <v>2931</v>
      </c>
      <c r="C7527">
        <v>17738</v>
      </c>
      <c r="D7527" t="str">
        <f>"2561182814  "</f>
        <v xml:space="preserve">2561182814  </v>
      </c>
      <c r="E7527" t="s">
        <v>277</v>
      </c>
      <c r="F7527" t="s">
        <v>279</v>
      </c>
      <c r="G7527">
        <v>484.46</v>
      </c>
      <c r="H7527">
        <v>251222</v>
      </c>
      <c r="I7527">
        <v>4520</v>
      </c>
      <c r="J7527" t="s">
        <v>280</v>
      </c>
      <c r="K7527">
        <v>984.46</v>
      </c>
      <c r="L7527">
        <v>59.5</v>
      </c>
      <c r="M7527">
        <v>14983</v>
      </c>
      <c r="N7527" t="s">
        <v>2756</v>
      </c>
      <c r="O7527">
        <v>251230</v>
      </c>
      <c r="P7527">
        <v>424.96</v>
      </c>
    </row>
    <row r="7528" spans="1:16" x14ac:dyDescent="0.25">
      <c r="A7528" t="s">
        <v>3296</v>
      </c>
      <c r="B7528" t="s">
        <v>2931</v>
      </c>
      <c r="C7528">
        <v>17738</v>
      </c>
      <c r="D7528" t="str">
        <f>"2561182814  "</f>
        <v xml:space="preserve">2561182814  </v>
      </c>
      <c r="E7528" t="s">
        <v>277</v>
      </c>
      <c r="F7528" t="s">
        <v>279</v>
      </c>
      <c r="G7528">
        <v>500</v>
      </c>
      <c r="H7528">
        <v>251222</v>
      </c>
      <c r="I7528">
        <v>4520</v>
      </c>
      <c r="J7528" t="s">
        <v>280</v>
      </c>
      <c r="K7528">
        <v>984.46</v>
      </c>
      <c r="L7528">
        <v>61.4</v>
      </c>
      <c r="M7528">
        <v>14987</v>
      </c>
      <c r="N7528" t="s">
        <v>2773</v>
      </c>
      <c r="O7528">
        <v>251230</v>
      </c>
      <c r="P7528">
        <v>438.6</v>
      </c>
    </row>
    <row r="7529" spans="1:16" x14ac:dyDescent="0.25">
      <c r="A7529" t="s">
        <v>3296</v>
      </c>
      <c r="B7529" t="s">
        <v>2931</v>
      </c>
      <c r="C7529">
        <v>17915</v>
      </c>
      <c r="D7529" t="str">
        <f>"2561182810  "</f>
        <v xml:space="preserve">2561182810  </v>
      </c>
      <c r="E7529" t="s">
        <v>277</v>
      </c>
      <c r="F7529" t="s">
        <v>279</v>
      </c>
      <c r="G7529">
        <v>1151.82</v>
      </c>
      <c r="H7529">
        <v>251222</v>
      </c>
      <c r="I7529">
        <v>4520</v>
      </c>
      <c r="J7529" t="s">
        <v>280</v>
      </c>
      <c r="K7529">
        <v>1378.81</v>
      </c>
      <c r="L7529">
        <v>141.44999999999999</v>
      </c>
      <c r="M7529">
        <v>69113</v>
      </c>
      <c r="N7529" t="s">
        <v>122</v>
      </c>
      <c r="O7529">
        <v>260107</v>
      </c>
      <c r="P7529">
        <v>1010.37</v>
      </c>
    </row>
    <row r="7530" spans="1:16" x14ac:dyDescent="0.25">
      <c r="A7530" t="s">
        <v>3296</v>
      </c>
      <c r="B7530" t="s">
        <v>2931</v>
      </c>
      <c r="C7530">
        <v>17915</v>
      </c>
      <c r="D7530" t="str">
        <f>"2561182810  "</f>
        <v xml:space="preserve">2561182810  </v>
      </c>
      <c r="E7530" t="s">
        <v>277</v>
      </c>
      <c r="F7530" t="s">
        <v>279</v>
      </c>
      <c r="G7530">
        <v>135.51</v>
      </c>
      <c r="H7530">
        <v>251222</v>
      </c>
      <c r="I7530">
        <v>4520</v>
      </c>
      <c r="J7530" t="s">
        <v>280</v>
      </c>
      <c r="K7530">
        <v>1378.81</v>
      </c>
      <c r="L7530">
        <v>16.64</v>
      </c>
      <c r="M7530">
        <v>69802</v>
      </c>
      <c r="N7530" t="s">
        <v>375</v>
      </c>
      <c r="O7530">
        <v>260107</v>
      </c>
      <c r="P7530">
        <v>118.87</v>
      </c>
    </row>
    <row r="7531" spans="1:16" x14ac:dyDescent="0.25">
      <c r="A7531" t="s">
        <v>3296</v>
      </c>
      <c r="B7531" t="s">
        <v>2931</v>
      </c>
      <c r="C7531">
        <v>17915</v>
      </c>
      <c r="D7531" t="str">
        <f>"2561182810  "</f>
        <v xml:space="preserve">2561182810  </v>
      </c>
      <c r="E7531" t="s">
        <v>277</v>
      </c>
      <c r="F7531" t="s">
        <v>279</v>
      </c>
      <c r="G7531">
        <v>67.75</v>
      </c>
      <c r="H7531">
        <v>251222</v>
      </c>
      <c r="I7531">
        <v>4520</v>
      </c>
      <c r="J7531" t="s">
        <v>280</v>
      </c>
      <c r="K7531">
        <v>1378.81</v>
      </c>
      <c r="L7531">
        <v>8.32</v>
      </c>
      <c r="M7531">
        <v>69804</v>
      </c>
      <c r="N7531" t="s">
        <v>376</v>
      </c>
      <c r="O7531">
        <v>260107</v>
      </c>
      <c r="P7531">
        <v>59.43</v>
      </c>
    </row>
    <row r="7532" spans="1:16" x14ac:dyDescent="0.25">
      <c r="A7532" t="s">
        <v>3296</v>
      </c>
      <c r="B7532" t="s">
        <v>2931</v>
      </c>
      <c r="C7532">
        <v>17919</v>
      </c>
      <c r="D7532" t="str">
        <f>"2561182808  "</f>
        <v xml:space="preserve">2561182808  </v>
      </c>
      <c r="E7532" t="s">
        <v>277</v>
      </c>
      <c r="F7532" t="s">
        <v>279</v>
      </c>
      <c r="G7532">
        <v>298.61</v>
      </c>
      <c r="H7532">
        <v>251222</v>
      </c>
      <c r="I7532">
        <v>4520</v>
      </c>
      <c r="J7532" t="s">
        <v>280</v>
      </c>
      <c r="K7532">
        <v>298.61</v>
      </c>
      <c r="L7532">
        <v>36.67</v>
      </c>
      <c r="M7532">
        <v>54451</v>
      </c>
      <c r="N7532" t="s">
        <v>218</v>
      </c>
      <c r="O7532">
        <v>260107</v>
      </c>
      <c r="P7532">
        <v>261.94</v>
      </c>
    </row>
    <row r="7533" spans="1:16" x14ac:dyDescent="0.25">
      <c r="A7533" t="s">
        <v>3296</v>
      </c>
      <c r="B7533" t="s">
        <v>2931</v>
      </c>
      <c r="C7533">
        <v>17921</v>
      </c>
      <c r="D7533" t="str">
        <f>"2561182811  "</f>
        <v xml:space="preserve">2561182811  </v>
      </c>
      <c r="E7533" t="s">
        <v>277</v>
      </c>
      <c r="F7533" t="s">
        <v>279</v>
      </c>
      <c r="G7533">
        <v>1143.29</v>
      </c>
      <c r="H7533">
        <v>251222</v>
      </c>
      <c r="I7533">
        <v>4520</v>
      </c>
      <c r="J7533" t="s">
        <v>280</v>
      </c>
      <c r="K7533">
        <v>1143.29</v>
      </c>
      <c r="L7533">
        <v>140.4</v>
      </c>
      <c r="M7533">
        <v>49112</v>
      </c>
      <c r="N7533" t="s">
        <v>109</v>
      </c>
      <c r="O7533">
        <v>260107</v>
      </c>
      <c r="P7533">
        <v>1002.89</v>
      </c>
    </row>
    <row r="7534" spans="1:16" x14ac:dyDescent="0.25">
      <c r="A7534" t="s">
        <v>3296</v>
      </c>
      <c r="B7534" t="s">
        <v>2931</v>
      </c>
      <c r="C7534">
        <v>17938</v>
      </c>
      <c r="D7534" t="str">
        <f>"2561182813  "</f>
        <v xml:space="preserve">2561182813  </v>
      </c>
      <c r="E7534" t="s">
        <v>277</v>
      </c>
      <c r="F7534" t="s">
        <v>279</v>
      </c>
      <c r="G7534">
        <v>16.05</v>
      </c>
      <c r="H7534">
        <v>251222</v>
      </c>
      <c r="I7534">
        <v>4520</v>
      </c>
      <c r="J7534" t="s">
        <v>280</v>
      </c>
      <c r="K7534">
        <v>16.05</v>
      </c>
      <c r="L7534">
        <v>1.97</v>
      </c>
      <c r="M7534">
        <v>17913</v>
      </c>
      <c r="N7534" t="s">
        <v>26</v>
      </c>
      <c r="O7534">
        <v>260107</v>
      </c>
      <c r="P7534">
        <v>14.08</v>
      </c>
    </row>
    <row r="7535" spans="1:16" x14ac:dyDescent="0.25">
      <c r="A7535" t="s">
        <v>3296</v>
      </c>
      <c r="B7535" t="s">
        <v>2931</v>
      </c>
      <c r="C7535">
        <v>17953</v>
      </c>
      <c r="D7535" t="str">
        <f>"2561182809  "</f>
        <v xml:space="preserve">2561182809  </v>
      </c>
      <c r="E7535" t="s">
        <v>277</v>
      </c>
      <c r="F7535" t="s">
        <v>279</v>
      </c>
      <c r="G7535">
        <v>397.16</v>
      </c>
      <c r="H7535">
        <v>251222</v>
      </c>
      <c r="I7535">
        <v>4520</v>
      </c>
      <c r="J7535" t="s">
        <v>280</v>
      </c>
      <c r="K7535">
        <v>467.25</v>
      </c>
      <c r="L7535">
        <v>48.77</v>
      </c>
      <c r="M7535">
        <v>59113</v>
      </c>
      <c r="N7535" t="s">
        <v>61</v>
      </c>
      <c r="O7535">
        <v>260107</v>
      </c>
      <c r="P7535">
        <v>348.39</v>
      </c>
    </row>
    <row r="7536" spans="1:16" x14ac:dyDescent="0.25">
      <c r="A7536" t="s">
        <v>3296</v>
      </c>
      <c r="B7536" t="s">
        <v>2931</v>
      </c>
      <c r="C7536">
        <v>17953</v>
      </c>
      <c r="D7536" t="str">
        <f>"2561182809  "</f>
        <v xml:space="preserve">2561182809  </v>
      </c>
      <c r="E7536" t="s">
        <v>277</v>
      </c>
      <c r="F7536" t="s">
        <v>279</v>
      </c>
      <c r="G7536">
        <v>70.09</v>
      </c>
      <c r="H7536">
        <v>251222</v>
      </c>
      <c r="I7536">
        <v>4520</v>
      </c>
      <c r="J7536" t="s">
        <v>280</v>
      </c>
      <c r="K7536">
        <v>467.25</v>
      </c>
      <c r="L7536">
        <v>8.61</v>
      </c>
      <c r="M7536">
        <v>59803</v>
      </c>
      <c r="N7536" t="s">
        <v>282</v>
      </c>
      <c r="O7536">
        <v>260107</v>
      </c>
      <c r="P7536">
        <v>61.48</v>
      </c>
    </row>
    <row r="7537" spans="1:16" x14ac:dyDescent="0.25">
      <c r="A7537" t="s">
        <v>3296</v>
      </c>
      <c r="B7537" t="s">
        <v>2931</v>
      </c>
      <c r="C7537">
        <v>17962</v>
      </c>
      <c r="D7537" t="str">
        <f>"2561190275  "</f>
        <v xml:space="preserve">2561190275  </v>
      </c>
      <c r="E7537" t="s">
        <v>277</v>
      </c>
      <c r="F7537" t="s">
        <v>279</v>
      </c>
      <c r="G7537">
        <v>61.78</v>
      </c>
      <c r="H7537">
        <v>251229</v>
      </c>
      <c r="I7537">
        <v>4520</v>
      </c>
      <c r="J7537" t="s">
        <v>280</v>
      </c>
      <c r="K7537">
        <v>61.78</v>
      </c>
      <c r="L7537">
        <v>7.59</v>
      </c>
      <c r="M7537">
        <v>14432</v>
      </c>
      <c r="N7537" t="s">
        <v>75</v>
      </c>
      <c r="O7537">
        <v>260107</v>
      </c>
      <c r="P7537">
        <v>54.19</v>
      </c>
    </row>
    <row r="7538" spans="1:16" x14ac:dyDescent="0.25">
      <c r="A7538" t="s">
        <v>3296</v>
      </c>
      <c r="B7538" t="s">
        <v>2931</v>
      </c>
      <c r="C7538">
        <v>18006</v>
      </c>
      <c r="D7538" t="str">
        <f>"2561182815  "</f>
        <v xml:space="preserve">2561182815  </v>
      </c>
      <c r="E7538" t="s">
        <v>277</v>
      </c>
      <c r="F7538" t="s">
        <v>279</v>
      </c>
      <c r="G7538">
        <v>18.3</v>
      </c>
      <c r="H7538">
        <v>251222</v>
      </c>
      <c r="I7538">
        <v>4520</v>
      </c>
      <c r="J7538" t="s">
        <v>280</v>
      </c>
      <c r="K7538">
        <v>18.3</v>
      </c>
      <c r="L7538">
        <v>2.25</v>
      </c>
      <c r="M7538">
        <v>44253</v>
      </c>
      <c r="N7538" t="s">
        <v>403</v>
      </c>
      <c r="O7538">
        <v>260108</v>
      </c>
      <c r="P7538">
        <v>16.05</v>
      </c>
    </row>
    <row r="7539" spans="1:16" x14ac:dyDescent="0.25">
      <c r="A7539" t="s">
        <v>3296</v>
      </c>
      <c r="B7539" t="s">
        <v>2931</v>
      </c>
      <c r="C7539">
        <v>18007</v>
      </c>
      <c r="D7539" t="str">
        <f>"2561182812  "</f>
        <v xml:space="preserve">2561182812  </v>
      </c>
      <c r="E7539" t="s">
        <v>277</v>
      </c>
      <c r="F7539" t="s">
        <v>279</v>
      </c>
      <c r="G7539">
        <v>407.4</v>
      </c>
      <c r="H7539">
        <v>251222</v>
      </c>
      <c r="I7539">
        <v>4520</v>
      </c>
      <c r="J7539" t="s">
        <v>280</v>
      </c>
      <c r="K7539">
        <v>507.24</v>
      </c>
      <c r="L7539">
        <v>50.03</v>
      </c>
      <c r="M7539">
        <v>44251</v>
      </c>
      <c r="N7539" t="s">
        <v>215</v>
      </c>
      <c r="O7539">
        <v>260108</v>
      </c>
      <c r="P7539">
        <v>357.37</v>
      </c>
    </row>
    <row r="7540" spans="1:16" x14ac:dyDescent="0.25">
      <c r="A7540" t="s">
        <v>3296</v>
      </c>
      <c r="B7540" t="s">
        <v>2931</v>
      </c>
      <c r="C7540">
        <v>18051</v>
      </c>
      <c r="D7540" t="str">
        <f>"2561224502  "</f>
        <v xml:space="preserve">2561224502  </v>
      </c>
      <c r="E7540" t="s">
        <v>277</v>
      </c>
      <c r="F7540" t="s">
        <v>279</v>
      </c>
      <c r="G7540">
        <v>766.36</v>
      </c>
      <c r="H7540">
        <v>251231</v>
      </c>
      <c r="I7540">
        <v>4520</v>
      </c>
      <c r="J7540" t="s">
        <v>280</v>
      </c>
      <c r="K7540">
        <v>732.65</v>
      </c>
      <c r="L7540">
        <v>94.11</v>
      </c>
      <c r="M7540">
        <v>69112</v>
      </c>
      <c r="N7540" t="s">
        <v>227</v>
      </c>
      <c r="O7540">
        <v>260108</v>
      </c>
      <c r="P7540">
        <v>672.25</v>
      </c>
    </row>
    <row r="7541" spans="1:16" x14ac:dyDescent="0.25">
      <c r="A7541" t="s">
        <v>3296</v>
      </c>
      <c r="B7541" t="s">
        <v>2931</v>
      </c>
      <c r="C7541">
        <v>18051</v>
      </c>
      <c r="D7541" t="str">
        <f>"2561224502  "</f>
        <v xml:space="preserve">2561224502  </v>
      </c>
      <c r="E7541" t="s">
        <v>277</v>
      </c>
      <c r="F7541" t="s">
        <v>279</v>
      </c>
      <c r="G7541">
        <v>42.58</v>
      </c>
      <c r="H7541">
        <v>251231</v>
      </c>
      <c r="I7541">
        <v>4520</v>
      </c>
      <c r="J7541" t="s">
        <v>280</v>
      </c>
      <c r="K7541">
        <v>732.65</v>
      </c>
      <c r="L7541">
        <v>5.23</v>
      </c>
      <c r="M7541">
        <v>69810</v>
      </c>
      <c r="N7541" t="s">
        <v>229</v>
      </c>
      <c r="O7541">
        <v>260108</v>
      </c>
      <c r="P7541">
        <v>37.35</v>
      </c>
    </row>
    <row r="7542" spans="1:16" x14ac:dyDescent="0.25">
      <c r="A7542" t="s">
        <v>3296</v>
      </c>
      <c r="B7542" t="s">
        <v>2931</v>
      </c>
      <c r="C7542">
        <v>18051</v>
      </c>
      <c r="D7542" t="str">
        <f>"2561224502  "</f>
        <v xml:space="preserve">2561224502  </v>
      </c>
      <c r="E7542" t="s">
        <v>277</v>
      </c>
      <c r="F7542" t="s">
        <v>279</v>
      </c>
      <c r="G7542">
        <v>42.57</v>
      </c>
      <c r="H7542">
        <v>251231</v>
      </c>
      <c r="I7542">
        <v>4520</v>
      </c>
      <c r="J7542" t="s">
        <v>280</v>
      </c>
      <c r="K7542">
        <v>732.65</v>
      </c>
      <c r="L7542">
        <v>5.23</v>
      </c>
      <c r="M7542">
        <v>69811</v>
      </c>
      <c r="N7542" t="s">
        <v>230</v>
      </c>
      <c r="O7542">
        <v>260108</v>
      </c>
      <c r="P7542">
        <v>37.340000000000003</v>
      </c>
    </row>
    <row r="7543" spans="1:16" x14ac:dyDescent="0.25">
      <c r="A7543" t="s">
        <v>3296</v>
      </c>
      <c r="B7543" t="s">
        <v>2931</v>
      </c>
      <c r="C7543">
        <v>592</v>
      </c>
      <c r="D7543" t="str">
        <f>"2560046524  "</f>
        <v xml:space="preserve">2560046524  </v>
      </c>
      <c r="E7543" t="s">
        <v>277</v>
      </c>
      <c r="F7543" t="s">
        <v>279</v>
      </c>
      <c r="G7543">
        <v>34.07</v>
      </c>
      <c r="H7543">
        <v>250120</v>
      </c>
      <c r="I7543">
        <v>4550</v>
      </c>
      <c r="J7543" t="s">
        <v>226</v>
      </c>
      <c r="K7543">
        <v>926.27</v>
      </c>
      <c r="L7543">
        <v>6.92</v>
      </c>
      <c r="M7543">
        <v>59114</v>
      </c>
      <c r="N7543" t="s">
        <v>299</v>
      </c>
      <c r="O7543">
        <v>250124</v>
      </c>
      <c r="P7543">
        <v>27.15</v>
      </c>
    </row>
    <row r="7544" spans="1:16" x14ac:dyDescent="0.25">
      <c r="A7544" t="s">
        <v>3296</v>
      </c>
      <c r="B7544" t="s">
        <v>2931</v>
      </c>
      <c r="C7544">
        <v>4073</v>
      </c>
      <c r="D7544" t="str">
        <f>"2560258239  "</f>
        <v xml:space="preserve">2560258239  </v>
      </c>
      <c r="E7544" t="s">
        <v>277</v>
      </c>
      <c r="F7544" t="s">
        <v>279</v>
      </c>
      <c r="G7544">
        <v>48.13</v>
      </c>
      <c r="H7544">
        <v>250324</v>
      </c>
      <c r="I7544">
        <v>4550</v>
      </c>
      <c r="J7544" t="s">
        <v>226</v>
      </c>
      <c r="K7544">
        <v>661.04</v>
      </c>
      <c r="L7544">
        <v>9.7799999999999994</v>
      </c>
      <c r="M7544">
        <v>59114</v>
      </c>
      <c r="N7544" t="s">
        <v>299</v>
      </c>
      <c r="O7544">
        <v>250407</v>
      </c>
      <c r="P7544">
        <v>38.35</v>
      </c>
    </row>
    <row r="7545" spans="1:16" x14ac:dyDescent="0.25">
      <c r="A7545" t="s">
        <v>3296</v>
      </c>
      <c r="B7545" t="s">
        <v>2931</v>
      </c>
      <c r="C7545">
        <v>4432</v>
      </c>
      <c r="D7545" t="str">
        <f>"2560275104  "</f>
        <v xml:space="preserve">2560275104  </v>
      </c>
      <c r="E7545" t="s">
        <v>277</v>
      </c>
      <c r="F7545" t="s">
        <v>279</v>
      </c>
      <c r="G7545">
        <v>40.909999999999997</v>
      </c>
      <c r="H7545">
        <v>250331</v>
      </c>
      <c r="I7545">
        <v>4550</v>
      </c>
      <c r="J7545" t="s">
        <v>226</v>
      </c>
      <c r="K7545">
        <v>256.08999999999997</v>
      </c>
      <c r="L7545">
        <v>8.31</v>
      </c>
      <c r="M7545">
        <v>13940</v>
      </c>
      <c r="N7545" t="s">
        <v>14</v>
      </c>
      <c r="O7545">
        <v>250411</v>
      </c>
      <c r="P7545">
        <v>32.6</v>
      </c>
    </row>
    <row r="7546" spans="1:16" x14ac:dyDescent="0.25">
      <c r="A7546" t="s">
        <v>3296</v>
      </c>
      <c r="B7546" t="s">
        <v>2931</v>
      </c>
      <c r="C7546">
        <v>5917</v>
      </c>
      <c r="D7546" t="str">
        <f>"2560371622  "</f>
        <v xml:space="preserve">2560371622  </v>
      </c>
      <c r="E7546" t="s">
        <v>277</v>
      </c>
      <c r="F7546" t="s">
        <v>279</v>
      </c>
      <c r="G7546">
        <v>73.239999999999995</v>
      </c>
      <c r="H7546">
        <v>250428</v>
      </c>
      <c r="I7546">
        <v>4550</v>
      </c>
      <c r="J7546" t="s">
        <v>226</v>
      </c>
      <c r="K7546">
        <v>1852.73</v>
      </c>
      <c r="L7546">
        <v>14.88</v>
      </c>
      <c r="M7546">
        <v>17131</v>
      </c>
      <c r="N7546" t="s">
        <v>154</v>
      </c>
      <c r="O7546">
        <v>250507</v>
      </c>
      <c r="P7546">
        <v>58.36</v>
      </c>
    </row>
    <row r="7547" spans="1:16" x14ac:dyDescent="0.25">
      <c r="A7547" t="s">
        <v>3296</v>
      </c>
      <c r="B7547" t="s">
        <v>2931</v>
      </c>
      <c r="C7547">
        <v>6413</v>
      </c>
      <c r="D7547" t="str">
        <f>"2560417540  "</f>
        <v xml:space="preserve">2560417540  </v>
      </c>
      <c r="E7547" t="s">
        <v>277</v>
      </c>
      <c r="F7547" t="s">
        <v>279</v>
      </c>
      <c r="G7547">
        <v>51.48</v>
      </c>
      <c r="H7547">
        <v>250501</v>
      </c>
      <c r="I7547">
        <v>4550</v>
      </c>
      <c r="J7547" t="s">
        <v>226</v>
      </c>
      <c r="K7547">
        <v>1737.39</v>
      </c>
      <c r="L7547">
        <v>10.46</v>
      </c>
      <c r="M7547">
        <v>17913</v>
      </c>
      <c r="N7547" t="s">
        <v>26</v>
      </c>
      <c r="O7547">
        <v>250513</v>
      </c>
      <c r="P7547">
        <v>41.02</v>
      </c>
    </row>
    <row r="7548" spans="1:16" x14ac:dyDescent="0.25">
      <c r="A7548" t="s">
        <v>3296</v>
      </c>
      <c r="B7548" t="s">
        <v>2931</v>
      </c>
      <c r="C7548">
        <v>10435</v>
      </c>
      <c r="D7548" t="str">
        <f>"2560733810  "</f>
        <v xml:space="preserve">2560733810  </v>
      </c>
      <c r="E7548" t="s">
        <v>277</v>
      </c>
      <c r="F7548" t="s">
        <v>279</v>
      </c>
      <c r="G7548">
        <v>135.93</v>
      </c>
      <c r="H7548">
        <v>250811</v>
      </c>
      <c r="I7548">
        <v>4550</v>
      </c>
      <c r="J7548" t="s">
        <v>226</v>
      </c>
      <c r="K7548">
        <v>3311.21</v>
      </c>
      <c r="L7548">
        <v>27.62</v>
      </c>
      <c r="M7548">
        <v>59113</v>
      </c>
      <c r="N7548" t="s">
        <v>61</v>
      </c>
      <c r="O7548">
        <v>250819</v>
      </c>
      <c r="P7548">
        <v>108.31</v>
      </c>
    </row>
    <row r="7549" spans="1:16" x14ac:dyDescent="0.25">
      <c r="A7549" t="s">
        <v>3296</v>
      </c>
      <c r="B7549" t="s">
        <v>2931</v>
      </c>
      <c r="C7549">
        <v>12452</v>
      </c>
      <c r="D7549" t="str">
        <f>"2560849589  "</f>
        <v xml:space="preserve">2560849589  </v>
      </c>
      <c r="E7549" t="s">
        <v>277</v>
      </c>
      <c r="F7549" t="s">
        <v>279</v>
      </c>
      <c r="G7549">
        <v>64.37</v>
      </c>
      <c r="H7549">
        <v>250915</v>
      </c>
      <c r="I7549">
        <v>4550</v>
      </c>
      <c r="J7549" t="s">
        <v>226</v>
      </c>
      <c r="K7549">
        <v>2738.7</v>
      </c>
      <c r="L7549">
        <v>13.08</v>
      </c>
      <c r="M7549">
        <v>17913</v>
      </c>
      <c r="N7549" t="s">
        <v>26</v>
      </c>
      <c r="O7549">
        <v>250922</v>
      </c>
      <c r="P7549">
        <v>51.29</v>
      </c>
    </row>
    <row r="7550" spans="1:16" x14ac:dyDescent="0.25">
      <c r="A7550" t="s">
        <v>3296</v>
      </c>
      <c r="B7550" t="s">
        <v>2931</v>
      </c>
      <c r="C7550">
        <v>15058</v>
      </c>
      <c r="D7550" t="str">
        <f>"2561028209  "</f>
        <v xml:space="preserve">2561028209  </v>
      </c>
      <c r="E7550" t="s">
        <v>277</v>
      </c>
      <c r="F7550" t="s">
        <v>279</v>
      </c>
      <c r="G7550">
        <v>229.09</v>
      </c>
      <c r="H7550">
        <v>251031</v>
      </c>
      <c r="I7550">
        <v>4550</v>
      </c>
      <c r="J7550" t="s">
        <v>226</v>
      </c>
      <c r="K7550">
        <v>2798.51</v>
      </c>
      <c r="L7550">
        <v>46.55</v>
      </c>
      <c r="M7550">
        <v>66722</v>
      </c>
      <c r="N7550" t="s">
        <v>118</v>
      </c>
      <c r="O7550">
        <v>251111</v>
      </c>
      <c r="P7550">
        <v>182.54</v>
      </c>
    </row>
    <row r="7551" spans="1:16" x14ac:dyDescent="0.25">
      <c r="A7551" t="s">
        <v>3296</v>
      </c>
      <c r="B7551" t="s">
        <v>2931</v>
      </c>
      <c r="C7551">
        <v>15654</v>
      </c>
      <c r="D7551" t="str">
        <f>"2561066854  "</f>
        <v xml:space="preserve">2561066854  </v>
      </c>
      <c r="E7551" t="s">
        <v>277</v>
      </c>
      <c r="F7551" t="s">
        <v>279</v>
      </c>
      <c r="G7551">
        <v>6.31</v>
      </c>
      <c r="H7551">
        <v>251117</v>
      </c>
      <c r="I7551">
        <v>4550</v>
      </c>
      <c r="J7551" t="s">
        <v>226</v>
      </c>
      <c r="K7551">
        <v>852.76</v>
      </c>
      <c r="L7551">
        <v>1.28</v>
      </c>
      <c r="M7551">
        <v>59114</v>
      </c>
      <c r="N7551" t="s">
        <v>299</v>
      </c>
      <c r="O7551">
        <v>251124</v>
      </c>
      <c r="P7551">
        <v>5.03</v>
      </c>
    </row>
    <row r="7552" spans="1:16" x14ac:dyDescent="0.25">
      <c r="A7552" t="s">
        <v>3296</v>
      </c>
      <c r="B7552" t="s">
        <v>2931</v>
      </c>
      <c r="C7552">
        <v>16686</v>
      </c>
      <c r="D7552" t="str">
        <f>"2561146446  "</f>
        <v xml:space="preserve">2561146446  </v>
      </c>
      <c r="E7552" t="s">
        <v>277</v>
      </c>
      <c r="F7552" t="s">
        <v>279</v>
      </c>
      <c r="G7552">
        <v>17.39</v>
      </c>
      <c r="H7552">
        <v>251208</v>
      </c>
      <c r="I7552">
        <v>4550</v>
      </c>
      <c r="J7552" t="s">
        <v>226</v>
      </c>
      <c r="K7552">
        <v>1045.02</v>
      </c>
      <c r="L7552">
        <v>3.53</v>
      </c>
      <c r="M7552">
        <v>59114</v>
      </c>
      <c r="N7552" t="s">
        <v>299</v>
      </c>
      <c r="O7552">
        <v>251211</v>
      </c>
      <c r="P7552">
        <v>13.86</v>
      </c>
    </row>
    <row r="7553" spans="1:16" x14ac:dyDescent="0.25">
      <c r="A7553" t="s">
        <v>3296</v>
      </c>
      <c r="B7553" t="s">
        <v>2931</v>
      </c>
      <c r="C7553">
        <v>3490</v>
      </c>
      <c r="D7553" t="str">
        <f>"2560222170  "</f>
        <v xml:space="preserve">2560222170  </v>
      </c>
      <c r="E7553" t="s">
        <v>277</v>
      </c>
      <c r="F7553" t="s">
        <v>279</v>
      </c>
      <c r="G7553">
        <v>11.83</v>
      </c>
      <c r="H7553">
        <v>250310</v>
      </c>
      <c r="I7553">
        <v>4580</v>
      </c>
      <c r="J7553" t="s">
        <v>126</v>
      </c>
      <c r="K7553">
        <v>792.21</v>
      </c>
      <c r="L7553">
        <v>2.4</v>
      </c>
      <c r="M7553">
        <v>59114</v>
      </c>
      <c r="N7553" t="s">
        <v>299</v>
      </c>
      <c r="O7553">
        <v>250324</v>
      </c>
      <c r="P7553">
        <v>9.43</v>
      </c>
    </row>
    <row r="7554" spans="1:16" x14ac:dyDescent="0.25">
      <c r="A7554" t="s">
        <v>3296</v>
      </c>
      <c r="B7554" t="s">
        <v>2931</v>
      </c>
      <c r="C7554">
        <v>10428</v>
      </c>
      <c r="D7554" t="str">
        <f>"2560733814  "</f>
        <v xml:space="preserve">2560733814  </v>
      </c>
      <c r="E7554" t="s">
        <v>277</v>
      </c>
      <c r="F7554" t="s">
        <v>279</v>
      </c>
      <c r="G7554">
        <v>358.75</v>
      </c>
      <c r="H7554">
        <v>250811</v>
      </c>
      <c r="I7554">
        <v>4580</v>
      </c>
      <c r="J7554" t="s">
        <v>126</v>
      </c>
      <c r="K7554">
        <v>2881.72</v>
      </c>
      <c r="L7554">
        <v>72.89</v>
      </c>
      <c r="M7554">
        <v>17913</v>
      </c>
      <c r="N7554" t="s">
        <v>26</v>
      </c>
      <c r="O7554">
        <v>250819</v>
      </c>
      <c r="P7554">
        <v>285.86</v>
      </c>
    </row>
    <row r="7555" spans="1:16" x14ac:dyDescent="0.25">
      <c r="A7555" t="s">
        <v>3296</v>
      </c>
      <c r="B7555" t="s">
        <v>2931</v>
      </c>
      <c r="C7555">
        <v>10630</v>
      </c>
      <c r="D7555" t="str">
        <f>"2560754425  "</f>
        <v xml:space="preserve">2560754425  </v>
      </c>
      <c r="E7555" t="s">
        <v>277</v>
      </c>
      <c r="F7555" t="s">
        <v>279</v>
      </c>
      <c r="G7555">
        <v>12.1</v>
      </c>
      <c r="H7555">
        <v>250818</v>
      </c>
      <c r="I7555">
        <v>4580</v>
      </c>
      <c r="J7555" t="s">
        <v>126</v>
      </c>
      <c r="K7555">
        <v>935.63</v>
      </c>
      <c r="L7555">
        <v>2.46</v>
      </c>
      <c r="M7555">
        <v>59114</v>
      </c>
      <c r="N7555" t="s">
        <v>299</v>
      </c>
      <c r="O7555">
        <v>250821</v>
      </c>
      <c r="P7555">
        <v>9.64</v>
      </c>
    </row>
    <row r="7556" spans="1:16" x14ac:dyDescent="0.25">
      <c r="A7556" t="s">
        <v>3296</v>
      </c>
      <c r="B7556" t="s">
        <v>2931</v>
      </c>
      <c r="C7556">
        <v>10631</v>
      </c>
      <c r="D7556" t="str">
        <f>"2560754427  "</f>
        <v xml:space="preserve">2560754427  </v>
      </c>
      <c r="E7556" t="s">
        <v>277</v>
      </c>
      <c r="F7556" t="s">
        <v>279</v>
      </c>
      <c r="G7556">
        <v>1367.95</v>
      </c>
      <c r="H7556">
        <v>250818</v>
      </c>
      <c r="I7556">
        <v>4580</v>
      </c>
      <c r="J7556" t="s">
        <v>126</v>
      </c>
      <c r="K7556">
        <v>4022.47</v>
      </c>
      <c r="L7556">
        <v>277.95</v>
      </c>
      <c r="M7556">
        <v>59113</v>
      </c>
      <c r="N7556" t="s">
        <v>61</v>
      </c>
      <c r="O7556">
        <v>250821</v>
      </c>
      <c r="P7556">
        <v>1090</v>
      </c>
    </row>
    <row r="7557" spans="1:16" x14ac:dyDescent="0.25">
      <c r="A7557" t="s">
        <v>3296</v>
      </c>
      <c r="B7557" t="s">
        <v>2931</v>
      </c>
      <c r="C7557">
        <v>163</v>
      </c>
      <c r="D7557" t="str">
        <f>"2560007521  "</f>
        <v xml:space="preserve">2560007521  </v>
      </c>
      <c r="E7557" t="s">
        <v>277</v>
      </c>
      <c r="F7557" t="s">
        <v>279</v>
      </c>
      <c r="G7557">
        <v>-12.55</v>
      </c>
      <c r="H7557">
        <v>250106</v>
      </c>
      <c r="I7557">
        <v>4600</v>
      </c>
      <c r="J7557" t="s">
        <v>278</v>
      </c>
      <c r="K7557">
        <v>-12.55</v>
      </c>
      <c r="L7557">
        <v>-2.5499999999999998</v>
      </c>
      <c r="M7557">
        <v>69113</v>
      </c>
      <c r="N7557" t="s">
        <v>122</v>
      </c>
      <c r="O7557">
        <v>250114</v>
      </c>
      <c r="P7557">
        <v>-10</v>
      </c>
    </row>
    <row r="7558" spans="1:16" x14ac:dyDescent="0.25">
      <c r="A7558" t="s">
        <v>3296</v>
      </c>
      <c r="B7558" t="s">
        <v>2931</v>
      </c>
      <c r="C7558">
        <v>165</v>
      </c>
      <c r="D7558" t="str">
        <f>"2560007520  "</f>
        <v xml:space="preserve">2560007520  </v>
      </c>
      <c r="E7558" t="s">
        <v>277</v>
      </c>
      <c r="F7558" t="s">
        <v>279</v>
      </c>
      <c r="G7558">
        <v>67.56</v>
      </c>
      <c r="H7558">
        <v>250106</v>
      </c>
      <c r="I7558">
        <v>4600</v>
      </c>
      <c r="J7558" t="s">
        <v>278</v>
      </c>
      <c r="K7558">
        <v>1723.22</v>
      </c>
      <c r="L7558">
        <v>13.73</v>
      </c>
      <c r="M7558">
        <v>59113</v>
      </c>
      <c r="N7558" t="s">
        <v>61</v>
      </c>
      <c r="O7558">
        <v>250114</v>
      </c>
      <c r="P7558">
        <v>53.83</v>
      </c>
    </row>
    <row r="7559" spans="1:16" x14ac:dyDescent="0.25">
      <c r="A7559" t="s">
        <v>3296</v>
      </c>
      <c r="B7559" t="s">
        <v>2931</v>
      </c>
      <c r="C7559">
        <v>166</v>
      </c>
      <c r="D7559" t="str">
        <f>"2560007524  "</f>
        <v xml:space="preserve">2560007524  </v>
      </c>
      <c r="E7559" t="s">
        <v>277</v>
      </c>
      <c r="F7559" t="s">
        <v>279</v>
      </c>
      <c r="G7559">
        <v>105.53</v>
      </c>
      <c r="H7559">
        <v>250106</v>
      </c>
      <c r="I7559">
        <v>4600</v>
      </c>
      <c r="J7559" t="s">
        <v>278</v>
      </c>
      <c r="K7559">
        <v>554.76</v>
      </c>
      <c r="L7559">
        <v>21.44</v>
      </c>
      <c r="M7559">
        <v>69112</v>
      </c>
      <c r="N7559" t="s">
        <v>227</v>
      </c>
      <c r="O7559">
        <v>250114</v>
      </c>
      <c r="P7559">
        <v>84.09</v>
      </c>
    </row>
    <row r="7560" spans="1:16" x14ac:dyDescent="0.25">
      <c r="A7560" t="s">
        <v>3296</v>
      </c>
      <c r="B7560" t="s">
        <v>2931</v>
      </c>
      <c r="C7560">
        <v>166</v>
      </c>
      <c r="D7560" t="str">
        <f>"2560007524  "</f>
        <v xml:space="preserve">2560007524  </v>
      </c>
      <c r="E7560" t="s">
        <v>277</v>
      </c>
      <c r="F7560" t="s">
        <v>279</v>
      </c>
      <c r="G7560">
        <v>5.86</v>
      </c>
      <c r="H7560">
        <v>250106</v>
      </c>
      <c r="I7560">
        <v>4600</v>
      </c>
      <c r="J7560" t="s">
        <v>278</v>
      </c>
      <c r="K7560">
        <v>554.76</v>
      </c>
      <c r="L7560">
        <v>1.19</v>
      </c>
      <c r="M7560">
        <v>69810</v>
      </c>
      <c r="N7560" t="s">
        <v>229</v>
      </c>
      <c r="O7560">
        <v>250114</v>
      </c>
      <c r="P7560">
        <v>4.67</v>
      </c>
    </row>
    <row r="7561" spans="1:16" x14ac:dyDescent="0.25">
      <c r="A7561" t="s">
        <v>3296</v>
      </c>
      <c r="B7561" t="s">
        <v>2931</v>
      </c>
      <c r="C7561">
        <v>166</v>
      </c>
      <c r="D7561" t="str">
        <f>"2560007524  "</f>
        <v xml:space="preserve">2560007524  </v>
      </c>
      <c r="E7561" t="s">
        <v>277</v>
      </c>
      <c r="F7561" t="s">
        <v>279</v>
      </c>
      <c r="G7561">
        <v>5.86</v>
      </c>
      <c r="H7561">
        <v>250106</v>
      </c>
      <c r="I7561">
        <v>4600</v>
      </c>
      <c r="J7561" t="s">
        <v>278</v>
      </c>
      <c r="K7561">
        <v>554.76</v>
      </c>
      <c r="L7561">
        <v>1.19</v>
      </c>
      <c r="M7561">
        <v>69811</v>
      </c>
      <c r="N7561" t="s">
        <v>230</v>
      </c>
      <c r="O7561">
        <v>250114</v>
      </c>
      <c r="P7561">
        <v>4.67</v>
      </c>
    </row>
    <row r="7562" spans="1:16" x14ac:dyDescent="0.25">
      <c r="A7562" t="s">
        <v>3296</v>
      </c>
      <c r="B7562" t="s">
        <v>2931</v>
      </c>
      <c r="C7562">
        <v>182</v>
      </c>
      <c r="D7562" t="str">
        <f>"2560023656  "</f>
        <v xml:space="preserve">2560023656  </v>
      </c>
      <c r="E7562" t="s">
        <v>277</v>
      </c>
      <c r="F7562" t="s">
        <v>279</v>
      </c>
      <c r="G7562">
        <v>162.71</v>
      </c>
      <c r="H7562">
        <v>250113</v>
      </c>
      <c r="I7562">
        <v>4600</v>
      </c>
      <c r="J7562" t="s">
        <v>278</v>
      </c>
      <c r="K7562">
        <v>3109.99</v>
      </c>
      <c r="L7562">
        <v>33.06</v>
      </c>
      <c r="M7562">
        <v>54451</v>
      </c>
      <c r="N7562" t="s">
        <v>218</v>
      </c>
      <c r="O7562">
        <v>250115</v>
      </c>
      <c r="P7562">
        <v>129.65</v>
      </c>
    </row>
    <row r="7563" spans="1:16" x14ac:dyDescent="0.25">
      <c r="A7563" t="s">
        <v>3296</v>
      </c>
      <c r="B7563" t="s">
        <v>2931</v>
      </c>
      <c r="C7563">
        <v>184</v>
      </c>
      <c r="D7563" t="str">
        <f>"2560023665  "</f>
        <v xml:space="preserve">2560023665  </v>
      </c>
      <c r="E7563" t="s">
        <v>277</v>
      </c>
      <c r="F7563" t="s">
        <v>279</v>
      </c>
      <c r="G7563">
        <v>11.3</v>
      </c>
      <c r="H7563">
        <v>250113</v>
      </c>
      <c r="I7563">
        <v>4600</v>
      </c>
      <c r="J7563" t="s">
        <v>278</v>
      </c>
      <c r="K7563">
        <v>889.56</v>
      </c>
      <c r="L7563">
        <v>2.2999999999999998</v>
      </c>
      <c r="M7563">
        <v>69112</v>
      </c>
      <c r="N7563" t="s">
        <v>227</v>
      </c>
      <c r="O7563">
        <v>250115</v>
      </c>
      <c r="P7563">
        <v>9</v>
      </c>
    </row>
    <row r="7564" spans="1:16" x14ac:dyDescent="0.25">
      <c r="A7564" t="s">
        <v>3296</v>
      </c>
      <c r="B7564" t="s">
        <v>2931</v>
      </c>
      <c r="C7564">
        <v>184</v>
      </c>
      <c r="D7564" t="str">
        <f>"2560023665  "</f>
        <v xml:space="preserve">2560023665  </v>
      </c>
      <c r="E7564" t="s">
        <v>277</v>
      </c>
      <c r="F7564" t="s">
        <v>279</v>
      </c>
      <c r="G7564">
        <v>0.63</v>
      </c>
      <c r="H7564">
        <v>250113</v>
      </c>
      <c r="I7564">
        <v>4600</v>
      </c>
      <c r="J7564" t="s">
        <v>278</v>
      </c>
      <c r="K7564">
        <v>889.56</v>
      </c>
      <c r="L7564">
        <v>0.13</v>
      </c>
      <c r="M7564">
        <v>69810</v>
      </c>
      <c r="N7564" t="s">
        <v>229</v>
      </c>
      <c r="O7564">
        <v>250115</v>
      </c>
      <c r="P7564">
        <v>0.5</v>
      </c>
    </row>
    <row r="7565" spans="1:16" x14ac:dyDescent="0.25">
      <c r="A7565" t="s">
        <v>3296</v>
      </c>
      <c r="B7565" t="s">
        <v>2931</v>
      </c>
      <c r="C7565">
        <v>184</v>
      </c>
      <c r="D7565" t="str">
        <f>"2560023665  "</f>
        <v xml:space="preserve">2560023665  </v>
      </c>
      <c r="E7565" t="s">
        <v>277</v>
      </c>
      <c r="F7565" t="s">
        <v>279</v>
      </c>
      <c r="G7565">
        <v>0.62</v>
      </c>
      <c r="H7565">
        <v>250113</v>
      </c>
      <c r="I7565">
        <v>4600</v>
      </c>
      <c r="J7565" t="s">
        <v>278</v>
      </c>
      <c r="K7565">
        <v>889.56</v>
      </c>
      <c r="L7565">
        <v>0.13</v>
      </c>
      <c r="M7565">
        <v>69811</v>
      </c>
      <c r="N7565" t="s">
        <v>230</v>
      </c>
      <c r="O7565">
        <v>250115</v>
      </c>
      <c r="P7565">
        <v>0.49</v>
      </c>
    </row>
    <row r="7566" spans="1:16" x14ac:dyDescent="0.25">
      <c r="A7566" t="s">
        <v>3296</v>
      </c>
      <c r="B7566" t="s">
        <v>2931</v>
      </c>
      <c r="C7566">
        <v>261</v>
      </c>
      <c r="D7566" t="str">
        <f>"2560023661  "</f>
        <v xml:space="preserve">2560023661  </v>
      </c>
      <c r="E7566" t="s">
        <v>277</v>
      </c>
      <c r="F7566" t="s">
        <v>279</v>
      </c>
      <c r="G7566">
        <v>26.47</v>
      </c>
      <c r="H7566">
        <v>250113</v>
      </c>
      <c r="I7566">
        <v>4600</v>
      </c>
      <c r="J7566" t="s">
        <v>278</v>
      </c>
      <c r="K7566">
        <v>787.76</v>
      </c>
      <c r="L7566">
        <v>5.38</v>
      </c>
      <c r="M7566">
        <v>44251</v>
      </c>
      <c r="N7566" t="s">
        <v>215</v>
      </c>
      <c r="O7566">
        <v>250120</v>
      </c>
      <c r="P7566">
        <v>21.09</v>
      </c>
    </row>
    <row r="7567" spans="1:16" x14ac:dyDescent="0.25">
      <c r="A7567" t="s">
        <v>3296</v>
      </c>
      <c r="B7567" t="s">
        <v>2931</v>
      </c>
      <c r="C7567">
        <v>261</v>
      </c>
      <c r="D7567" t="str">
        <f>"2560023661  "</f>
        <v xml:space="preserve">2560023661  </v>
      </c>
      <c r="E7567" t="s">
        <v>277</v>
      </c>
      <c r="F7567" t="s">
        <v>279</v>
      </c>
      <c r="G7567">
        <v>34.159999999999997</v>
      </c>
      <c r="H7567">
        <v>250113</v>
      </c>
      <c r="I7567">
        <v>4600</v>
      </c>
      <c r="J7567" t="s">
        <v>278</v>
      </c>
      <c r="K7567">
        <v>787.76</v>
      </c>
      <c r="L7567">
        <v>6.94</v>
      </c>
      <c r="M7567">
        <v>44252</v>
      </c>
      <c r="N7567" t="s">
        <v>217</v>
      </c>
      <c r="O7567">
        <v>250120</v>
      </c>
      <c r="P7567">
        <v>27.22</v>
      </c>
    </row>
    <row r="7568" spans="1:16" x14ac:dyDescent="0.25">
      <c r="A7568" t="s">
        <v>3296</v>
      </c>
      <c r="B7568" t="s">
        <v>2931</v>
      </c>
      <c r="C7568">
        <v>262</v>
      </c>
      <c r="D7568" t="str">
        <f>"2560023655  "</f>
        <v xml:space="preserve">2560023655  </v>
      </c>
      <c r="E7568" t="s">
        <v>277</v>
      </c>
      <c r="F7568" t="s">
        <v>279</v>
      </c>
      <c r="G7568">
        <v>11.16</v>
      </c>
      <c r="H7568">
        <v>250113</v>
      </c>
      <c r="I7568">
        <v>4600</v>
      </c>
      <c r="J7568" t="s">
        <v>278</v>
      </c>
      <c r="K7568">
        <v>2153.2600000000002</v>
      </c>
      <c r="L7568">
        <v>2.27</v>
      </c>
      <c r="M7568">
        <v>59114</v>
      </c>
      <c r="N7568" t="s">
        <v>299</v>
      </c>
      <c r="O7568">
        <v>250120</v>
      </c>
      <c r="P7568">
        <v>8.89</v>
      </c>
    </row>
    <row r="7569" spans="1:16" x14ac:dyDescent="0.25">
      <c r="A7569" t="s">
        <v>3296</v>
      </c>
      <c r="B7569" t="s">
        <v>2931</v>
      </c>
      <c r="C7569">
        <v>265</v>
      </c>
      <c r="D7569" t="str">
        <f>"2560023659  "</f>
        <v xml:space="preserve">2560023659  </v>
      </c>
      <c r="E7569" t="s">
        <v>277</v>
      </c>
      <c r="F7569" t="s">
        <v>279</v>
      </c>
      <c r="G7569">
        <v>215.51</v>
      </c>
      <c r="H7569">
        <v>250113</v>
      </c>
      <c r="I7569">
        <v>4600</v>
      </c>
      <c r="J7569" t="s">
        <v>278</v>
      </c>
      <c r="K7569">
        <v>3585.69</v>
      </c>
      <c r="L7569">
        <v>43.79</v>
      </c>
      <c r="M7569">
        <v>49112</v>
      </c>
      <c r="N7569" t="s">
        <v>109</v>
      </c>
      <c r="O7569">
        <v>250120</v>
      </c>
      <c r="P7569">
        <v>171.72</v>
      </c>
    </row>
    <row r="7570" spans="1:16" x14ac:dyDescent="0.25">
      <c r="A7570" t="s">
        <v>3296</v>
      </c>
      <c r="B7570" t="s">
        <v>2931</v>
      </c>
      <c r="C7570">
        <v>271</v>
      </c>
      <c r="D7570" t="str">
        <f>"2560023658  "</f>
        <v xml:space="preserve">2560023658  </v>
      </c>
      <c r="E7570" t="s">
        <v>277</v>
      </c>
      <c r="F7570" t="s">
        <v>279</v>
      </c>
      <c r="G7570">
        <v>292.3</v>
      </c>
      <c r="H7570">
        <v>250113</v>
      </c>
      <c r="I7570">
        <v>4600</v>
      </c>
      <c r="J7570" t="s">
        <v>278</v>
      </c>
      <c r="K7570">
        <v>2191.2399999999998</v>
      </c>
      <c r="L7570">
        <v>59.39</v>
      </c>
      <c r="M7570">
        <v>69113</v>
      </c>
      <c r="N7570" t="s">
        <v>122</v>
      </c>
      <c r="O7570">
        <v>250120</v>
      </c>
      <c r="P7570">
        <v>232.91</v>
      </c>
    </row>
    <row r="7571" spans="1:16" x14ac:dyDescent="0.25">
      <c r="A7571" t="s">
        <v>3296</v>
      </c>
      <c r="B7571" t="s">
        <v>2931</v>
      </c>
      <c r="C7571">
        <v>271</v>
      </c>
      <c r="D7571" t="str">
        <f>"2560023658  "</f>
        <v xml:space="preserve">2560023658  </v>
      </c>
      <c r="E7571" t="s">
        <v>277</v>
      </c>
      <c r="F7571" t="s">
        <v>279</v>
      </c>
      <c r="G7571">
        <v>32.479999999999997</v>
      </c>
      <c r="H7571">
        <v>250113</v>
      </c>
      <c r="I7571">
        <v>4600</v>
      </c>
      <c r="J7571" t="s">
        <v>278</v>
      </c>
      <c r="K7571">
        <v>2191.2399999999998</v>
      </c>
      <c r="L7571">
        <v>6.6</v>
      </c>
      <c r="M7571">
        <v>69802</v>
      </c>
      <c r="N7571" t="s">
        <v>375</v>
      </c>
      <c r="O7571">
        <v>250120</v>
      </c>
      <c r="P7571">
        <v>25.88</v>
      </c>
    </row>
    <row r="7572" spans="1:16" x14ac:dyDescent="0.25">
      <c r="A7572" t="s">
        <v>3296</v>
      </c>
      <c r="B7572" t="s">
        <v>2931</v>
      </c>
      <c r="C7572">
        <v>304</v>
      </c>
      <c r="D7572" t="str">
        <f>"2560023664  "</f>
        <v xml:space="preserve">2560023664  </v>
      </c>
      <c r="E7572" t="s">
        <v>277</v>
      </c>
      <c r="F7572" t="s">
        <v>279</v>
      </c>
      <c r="G7572">
        <v>226.4</v>
      </c>
      <c r="H7572">
        <v>250113</v>
      </c>
      <c r="I7572">
        <v>4600</v>
      </c>
      <c r="J7572" t="s">
        <v>278</v>
      </c>
      <c r="K7572">
        <v>1006.39</v>
      </c>
      <c r="L7572">
        <v>46</v>
      </c>
      <c r="M7572">
        <v>44253</v>
      </c>
      <c r="N7572" t="s">
        <v>403</v>
      </c>
      <c r="O7572">
        <v>250121</v>
      </c>
      <c r="P7572">
        <v>180.4</v>
      </c>
    </row>
    <row r="7573" spans="1:16" x14ac:dyDescent="0.25">
      <c r="A7573" t="s">
        <v>3296</v>
      </c>
      <c r="B7573" t="s">
        <v>2931</v>
      </c>
      <c r="C7573">
        <v>397</v>
      </c>
      <c r="D7573" t="str">
        <f>"2560046535  "</f>
        <v xml:space="preserve">2560046535  </v>
      </c>
      <c r="E7573" t="s">
        <v>277</v>
      </c>
      <c r="F7573" t="s">
        <v>279</v>
      </c>
      <c r="G7573">
        <v>4.45</v>
      </c>
      <c r="H7573">
        <v>250120</v>
      </c>
      <c r="I7573">
        <v>4600</v>
      </c>
      <c r="J7573" t="s">
        <v>278</v>
      </c>
      <c r="K7573">
        <v>182.68</v>
      </c>
      <c r="L7573">
        <v>0.9</v>
      </c>
      <c r="M7573">
        <v>13901</v>
      </c>
      <c r="N7573" t="s">
        <v>116</v>
      </c>
      <c r="O7573">
        <v>250122</v>
      </c>
      <c r="P7573">
        <v>3.55</v>
      </c>
    </row>
    <row r="7574" spans="1:16" x14ac:dyDescent="0.25">
      <c r="A7574" t="s">
        <v>3296</v>
      </c>
      <c r="B7574" t="s">
        <v>2931</v>
      </c>
      <c r="C7574">
        <v>397</v>
      </c>
      <c r="D7574" t="str">
        <f>"2560046535  "</f>
        <v xml:space="preserve">2560046535  </v>
      </c>
      <c r="E7574" t="s">
        <v>277</v>
      </c>
      <c r="F7574" t="s">
        <v>279</v>
      </c>
      <c r="G7574">
        <v>4.45</v>
      </c>
      <c r="H7574">
        <v>250120</v>
      </c>
      <c r="I7574">
        <v>4600</v>
      </c>
      <c r="J7574" t="s">
        <v>278</v>
      </c>
      <c r="K7574">
        <v>182.68</v>
      </c>
      <c r="L7574">
        <v>0.9</v>
      </c>
      <c r="M7574">
        <v>13901</v>
      </c>
      <c r="N7574" t="s">
        <v>116</v>
      </c>
      <c r="O7574">
        <v>250122</v>
      </c>
      <c r="P7574">
        <v>3.55</v>
      </c>
    </row>
    <row r="7575" spans="1:16" x14ac:dyDescent="0.25">
      <c r="A7575" t="s">
        <v>3296</v>
      </c>
      <c r="B7575" t="s">
        <v>2931</v>
      </c>
      <c r="C7575">
        <v>397</v>
      </c>
      <c r="D7575" t="str">
        <f>"2560046535  "</f>
        <v xml:space="preserve">2560046535  </v>
      </c>
      <c r="E7575" t="s">
        <v>277</v>
      </c>
      <c r="F7575" t="s">
        <v>279</v>
      </c>
      <c r="G7575">
        <v>8.9</v>
      </c>
      <c r="H7575">
        <v>250120</v>
      </c>
      <c r="I7575">
        <v>4600</v>
      </c>
      <c r="J7575" t="s">
        <v>278</v>
      </c>
      <c r="K7575">
        <v>182.68</v>
      </c>
      <c r="L7575">
        <v>1.81</v>
      </c>
      <c r="M7575">
        <v>16951</v>
      </c>
      <c r="N7575" t="s">
        <v>488</v>
      </c>
      <c r="O7575">
        <v>250122</v>
      </c>
      <c r="P7575">
        <v>7.09</v>
      </c>
    </row>
    <row r="7576" spans="1:16" x14ac:dyDescent="0.25">
      <c r="A7576" t="s">
        <v>3296</v>
      </c>
      <c r="B7576" t="s">
        <v>2931</v>
      </c>
      <c r="C7576">
        <v>401</v>
      </c>
      <c r="D7576" t="str">
        <f>"2560046525  "</f>
        <v xml:space="preserve">2560046525  </v>
      </c>
      <c r="E7576" t="s">
        <v>277</v>
      </c>
      <c r="F7576" t="s">
        <v>279</v>
      </c>
      <c r="G7576">
        <v>77.959999999999994</v>
      </c>
      <c r="H7576">
        <v>250120</v>
      </c>
      <c r="I7576">
        <v>4600</v>
      </c>
      <c r="J7576" t="s">
        <v>278</v>
      </c>
      <c r="K7576">
        <v>2493.77</v>
      </c>
      <c r="L7576">
        <v>15.84</v>
      </c>
      <c r="M7576">
        <v>54451</v>
      </c>
      <c r="N7576" t="s">
        <v>218</v>
      </c>
      <c r="O7576">
        <v>250122</v>
      </c>
      <c r="P7576">
        <v>62.12</v>
      </c>
    </row>
    <row r="7577" spans="1:16" x14ac:dyDescent="0.25">
      <c r="A7577" t="s">
        <v>3296</v>
      </c>
      <c r="B7577" t="s">
        <v>2931</v>
      </c>
      <c r="C7577">
        <v>513</v>
      </c>
      <c r="D7577" t="str">
        <f>"2560046528  "</f>
        <v xml:space="preserve">2560046528  </v>
      </c>
      <c r="E7577" t="s">
        <v>277</v>
      </c>
      <c r="F7577" t="s">
        <v>279</v>
      </c>
      <c r="G7577">
        <v>14.6</v>
      </c>
      <c r="H7577">
        <v>250120</v>
      </c>
      <c r="I7577">
        <v>4600</v>
      </c>
      <c r="J7577" t="s">
        <v>278</v>
      </c>
      <c r="K7577">
        <v>2616.71</v>
      </c>
      <c r="L7577">
        <v>2.97</v>
      </c>
      <c r="M7577">
        <v>49112</v>
      </c>
      <c r="N7577" t="s">
        <v>109</v>
      </c>
      <c r="O7577">
        <v>250123</v>
      </c>
      <c r="P7577">
        <v>11.63</v>
      </c>
    </row>
    <row r="7578" spans="1:16" x14ac:dyDescent="0.25">
      <c r="A7578" t="s">
        <v>3296</v>
      </c>
      <c r="B7578" t="s">
        <v>2931</v>
      </c>
      <c r="C7578">
        <v>593</v>
      </c>
      <c r="D7578" t="str">
        <f>"2560046526  "</f>
        <v xml:space="preserve">2560046526  </v>
      </c>
      <c r="E7578" t="s">
        <v>277</v>
      </c>
      <c r="F7578" t="s">
        <v>279</v>
      </c>
      <c r="G7578">
        <v>134.25</v>
      </c>
      <c r="H7578">
        <v>250120</v>
      </c>
      <c r="I7578">
        <v>4600</v>
      </c>
      <c r="J7578" t="s">
        <v>278</v>
      </c>
      <c r="K7578">
        <v>3176</v>
      </c>
      <c r="L7578">
        <v>27.28</v>
      </c>
      <c r="M7578">
        <v>59113</v>
      </c>
      <c r="N7578" t="s">
        <v>61</v>
      </c>
      <c r="O7578">
        <v>250124</v>
      </c>
      <c r="P7578">
        <v>106.97</v>
      </c>
    </row>
    <row r="7579" spans="1:16" x14ac:dyDescent="0.25">
      <c r="A7579" t="s">
        <v>3296</v>
      </c>
      <c r="B7579" t="s">
        <v>2931</v>
      </c>
      <c r="C7579">
        <v>659</v>
      </c>
      <c r="D7579" t="str">
        <f>"2560046534  "</f>
        <v xml:space="preserve">2560046534  </v>
      </c>
      <c r="E7579" t="s">
        <v>277</v>
      </c>
      <c r="F7579" t="s">
        <v>279</v>
      </c>
      <c r="G7579">
        <v>22.59</v>
      </c>
      <c r="H7579">
        <v>250120</v>
      </c>
      <c r="I7579">
        <v>4600</v>
      </c>
      <c r="J7579" t="s">
        <v>278</v>
      </c>
      <c r="K7579">
        <v>1556.77</v>
      </c>
      <c r="L7579">
        <v>4.59</v>
      </c>
      <c r="M7579">
        <v>69112</v>
      </c>
      <c r="N7579" t="s">
        <v>227</v>
      </c>
      <c r="O7579">
        <v>250127</v>
      </c>
      <c r="P7579">
        <v>18</v>
      </c>
    </row>
    <row r="7580" spans="1:16" x14ac:dyDescent="0.25">
      <c r="A7580" t="s">
        <v>3296</v>
      </c>
      <c r="B7580" t="s">
        <v>2931</v>
      </c>
      <c r="C7580">
        <v>659</v>
      </c>
      <c r="D7580" t="str">
        <f>"2560046534  "</f>
        <v xml:space="preserve">2560046534  </v>
      </c>
      <c r="E7580" t="s">
        <v>277</v>
      </c>
      <c r="F7580" t="s">
        <v>279</v>
      </c>
      <c r="G7580">
        <v>1.25</v>
      </c>
      <c r="H7580">
        <v>250120</v>
      </c>
      <c r="I7580">
        <v>4600</v>
      </c>
      <c r="J7580" t="s">
        <v>278</v>
      </c>
      <c r="K7580">
        <v>1556.77</v>
      </c>
      <c r="L7580">
        <v>0.25</v>
      </c>
      <c r="M7580">
        <v>69810</v>
      </c>
      <c r="N7580" t="s">
        <v>229</v>
      </c>
      <c r="O7580">
        <v>250127</v>
      </c>
      <c r="P7580">
        <v>1</v>
      </c>
    </row>
    <row r="7581" spans="1:16" x14ac:dyDescent="0.25">
      <c r="A7581" t="s">
        <v>3296</v>
      </c>
      <c r="B7581" t="s">
        <v>2931</v>
      </c>
      <c r="C7581">
        <v>659</v>
      </c>
      <c r="D7581" t="str">
        <f>"2560046534  "</f>
        <v xml:space="preserve">2560046534  </v>
      </c>
      <c r="E7581" t="s">
        <v>277</v>
      </c>
      <c r="F7581" t="s">
        <v>279</v>
      </c>
      <c r="G7581">
        <v>1.26</v>
      </c>
      <c r="H7581">
        <v>250120</v>
      </c>
      <c r="I7581">
        <v>4600</v>
      </c>
      <c r="J7581" t="s">
        <v>278</v>
      </c>
      <c r="K7581">
        <v>1556.77</v>
      </c>
      <c r="L7581">
        <v>0.26</v>
      </c>
      <c r="M7581">
        <v>69811</v>
      </c>
      <c r="N7581" t="s">
        <v>230</v>
      </c>
      <c r="O7581">
        <v>250127</v>
      </c>
      <c r="P7581">
        <v>1</v>
      </c>
    </row>
    <row r="7582" spans="1:16" x14ac:dyDescent="0.25">
      <c r="A7582" t="s">
        <v>3296</v>
      </c>
      <c r="B7582" t="s">
        <v>2931</v>
      </c>
      <c r="C7582">
        <v>735</v>
      </c>
      <c r="D7582" t="str">
        <f>"2560065450  "</f>
        <v xml:space="preserve">2560065450  </v>
      </c>
      <c r="E7582" t="s">
        <v>277</v>
      </c>
      <c r="F7582" t="s">
        <v>279</v>
      </c>
      <c r="G7582">
        <v>57.93</v>
      </c>
      <c r="H7582">
        <v>250127</v>
      </c>
      <c r="I7582">
        <v>4600</v>
      </c>
      <c r="J7582" t="s">
        <v>278</v>
      </c>
      <c r="K7582">
        <v>843.03</v>
      </c>
      <c r="L7582">
        <v>11.77</v>
      </c>
      <c r="M7582">
        <v>59114</v>
      </c>
      <c r="N7582" t="s">
        <v>299</v>
      </c>
      <c r="O7582">
        <v>250128</v>
      </c>
      <c r="P7582">
        <v>46.16</v>
      </c>
    </row>
    <row r="7583" spans="1:16" x14ac:dyDescent="0.25">
      <c r="A7583" t="s">
        <v>3296</v>
      </c>
      <c r="B7583" t="s">
        <v>2931</v>
      </c>
      <c r="C7583">
        <v>737</v>
      </c>
      <c r="D7583" t="str">
        <f>"2560065451  "</f>
        <v xml:space="preserve">2560065451  </v>
      </c>
      <c r="E7583" t="s">
        <v>277</v>
      </c>
      <c r="F7583" t="s">
        <v>279</v>
      </c>
      <c r="G7583">
        <v>499.3</v>
      </c>
      <c r="H7583">
        <v>250127</v>
      </c>
      <c r="I7583">
        <v>4600</v>
      </c>
      <c r="J7583" t="s">
        <v>278</v>
      </c>
      <c r="K7583">
        <v>2415.15</v>
      </c>
      <c r="L7583">
        <v>101.45</v>
      </c>
      <c r="M7583">
        <v>54451</v>
      </c>
      <c r="N7583" t="s">
        <v>218</v>
      </c>
      <c r="O7583">
        <v>250128</v>
      </c>
      <c r="P7583">
        <v>397.85</v>
      </c>
    </row>
    <row r="7584" spans="1:16" x14ac:dyDescent="0.25">
      <c r="A7584" t="s">
        <v>3296</v>
      </c>
      <c r="B7584" t="s">
        <v>2931</v>
      </c>
      <c r="C7584">
        <v>740</v>
      </c>
      <c r="D7584" t="str">
        <f>"2560065452  "</f>
        <v xml:space="preserve">2560065452  </v>
      </c>
      <c r="E7584" t="s">
        <v>277</v>
      </c>
      <c r="F7584" t="s">
        <v>279</v>
      </c>
      <c r="G7584">
        <v>122.32</v>
      </c>
      <c r="H7584">
        <v>250127</v>
      </c>
      <c r="I7584">
        <v>4600</v>
      </c>
      <c r="J7584" t="s">
        <v>278</v>
      </c>
      <c r="K7584">
        <v>2018.68</v>
      </c>
      <c r="L7584">
        <v>24.85</v>
      </c>
      <c r="M7584">
        <v>59113</v>
      </c>
      <c r="N7584" t="s">
        <v>61</v>
      </c>
      <c r="O7584">
        <v>250128</v>
      </c>
      <c r="P7584">
        <v>97.47</v>
      </c>
    </row>
    <row r="7585" spans="1:16" x14ac:dyDescent="0.25">
      <c r="A7585" t="s">
        <v>3296</v>
      </c>
      <c r="B7585" t="s">
        <v>2931</v>
      </c>
      <c r="C7585">
        <v>764</v>
      </c>
      <c r="D7585" t="str">
        <f>"2560046530  "</f>
        <v xml:space="preserve">2560046530  </v>
      </c>
      <c r="E7585" t="s">
        <v>277</v>
      </c>
      <c r="F7585" t="s">
        <v>279</v>
      </c>
      <c r="G7585">
        <v>28.7</v>
      </c>
      <c r="H7585">
        <v>250120</v>
      </c>
      <c r="I7585">
        <v>4600</v>
      </c>
      <c r="J7585" t="s">
        <v>278</v>
      </c>
      <c r="K7585">
        <v>1091.2</v>
      </c>
      <c r="L7585">
        <v>5.83</v>
      </c>
      <c r="M7585">
        <v>44222</v>
      </c>
      <c r="N7585" t="s">
        <v>96</v>
      </c>
      <c r="O7585">
        <v>250129</v>
      </c>
      <c r="P7585">
        <v>22.87</v>
      </c>
    </row>
    <row r="7586" spans="1:16" x14ac:dyDescent="0.25">
      <c r="A7586" t="s">
        <v>3296</v>
      </c>
      <c r="B7586" t="s">
        <v>2931</v>
      </c>
      <c r="C7586">
        <v>826</v>
      </c>
      <c r="D7586" t="str">
        <f>"2560065453  "</f>
        <v xml:space="preserve">2560065453  </v>
      </c>
      <c r="E7586" t="s">
        <v>277</v>
      </c>
      <c r="F7586" t="s">
        <v>279</v>
      </c>
      <c r="G7586">
        <v>179.53</v>
      </c>
      <c r="H7586">
        <v>250127</v>
      </c>
      <c r="I7586">
        <v>4600</v>
      </c>
      <c r="J7586" t="s">
        <v>278</v>
      </c>
      <c r="K7586">
        <v>1935.73</v>
      </c>
      <c r="L7586">
        <v>36.479999999999997</v>
      </c>
      <c r="M7586">
        <v>69113</v>
      </c>
      <c r="N7586" t="s">
        <v>122</v>
      </c>
      <c r="O7586">
        <v>250129</v>
      </c>
      <c r="P7586">
        <v>143.05000000000001</v>
      </c>
    </row>
    <row r="7587" spans="1:16" x14ac:dyDescent="0.25">
      <c r="A7587" t="s">
        <v>3296</v>
      </c>
      <c r="B7587" t="s">
        <v>2931</v>
      </c>
      <c r="C7587">
        <v>826</v>
      </c>
      <c r="D7587" t="str">
        <f>"2560065453  "</f>
        <v xml:space="preserve">2560065453  </v>
      </c>
      <c r="E7587" t="s">
        <v>277</v>
      </c>
      <c r="F7587" t="s">
        <v>279</v>
      </c>
      <c r="G7587">
        <v>19.95</v>
      </c>
      <c r="H7587">
        <v>250127</v>
      </c>
      <c r="I7587">
        <v>4600</v>
      </c>
      <c r="J7587" t="s">
        <v>278</v>
      </c>
      <c r="K7587">
        <v>1935.73</v>
      </c>
      <c r="L7587">
        <v>4.05</v>
      </c>
      <c r="M7587">
        <v>69802</v>
      </c>
      <c r="N7587" t="s">
        <v>375</v>
      </c>
      <c r="O7587">
        <v>250129</v>
      </c>
      <c r="P7587">
        <v>15.9</v>
      </c>
    </row>
    <row r="7588" spans="1:16" x14ac:dyDescent="0.25">
      <c r="A7588" t="s">
        <v>3296</v>
      </c>
      <c r="B7588" t="s">
        <v>2931</v>
      </c>
      <c r="C7588">
        <v>827</v>
      </c>
      <c r="D7588" t="str">
        <f>"2560065460  "</f>
        <v xml:space="preserve">2560065460  </v>
      </c>
      <c r="E7588" t="s">
        <v>277</v>
      </c>
      <c r="F7588" t="s">
        <v>279</v>
      </c>
      <c r="G7588">
        <v>39.380000000000003</v>
      </c>
      <c r="H7588">
        <v>250127</v>
      </c>
      <c r="I7588">
        <v>4600</v>
      </c>
      <c r="J7588" t="s">
        <v>278</v>
      </c>
      <c r="K7588">
        <v>1354.94</v>
      </c>
      <c r="L7588">
        <v>8</v>
      </c>
      <c r="M7588">
        <v>69112</v>
      </c>
      <c r="N7588" t="s">
        <v>227</v>
      </c>
      <c r="O7588">
        <v>250129</v>
      </c>
      <c r="P7588">
        <v>31.38</v>
      </c>
    </row>
    <row r="7589" spans="1:16" x14ac:dyDescent="0.25">
      <c r="A7589" t="s">
        <v>3296</v>
      </c>
      <c r="B7589" t="s">
        <v>2931</v>
      </c>
      <c r="C7589">
        <v>827</v>
      </c>
      <c r="D7589" t="str">
        <f>"2560065460  "</f>
        <v xml:space="preserve">2560065460  </v>
      </c>
      <c r="E7589" t="s">
        <v>277</v>
      </c>
      <c r="F7589" t="s">
        <v>279</v>
      </c>
      <c r="G7589">
        <v>2.19</v>
      </c>
      <c r="H7589">
        <v>250127</v>
      </c>
      <c r="I7589">
        <v>4600</v>
      </c>
      <c r="J7589" t="s">
        <v>278</v>
      </c>
      <c r="K7589">
        <v>1354.94</v>
      </c>
      <c r="L7589">
        <v>0.44</v>
      </c>
      <c r="M7589">
        <v>69810</v>
      </c>
      <c r="N7589" t="s">
        <v>229</v>
      </c>
      <c r="O7589">
        <v>250129</v>
      </c>
      <c r="P7589">
        <v>1.75</v>
      </c>
    </row>
    <row r="7590" spans="1:16" x14ac:dyDescent="0.25">
      <c r="A7590" t="s">
        <v>3296</v>
      </c>
      <c r="B7590" t="s">
        <v>2931</v>
      </c>
      <c r="C7590">
        <v>827</v>
      </c>
      <c r="D7590" t="str">
        <f>"2560065460  "</f>
        <v xml:space="preserve">2560065460  </v>
      </c>
      <c r="E7590" t="s">
        <v>277</v>
      </c>
      <c r="F7590" t="s">
        <v>279</v>
      </c>
      <c r="G7590">
        <v>2.19</v>
      </c>
      <c r="H7590">
        <v>250127</v>
      </c>
      <c r="I7590">
        <v>4600</v>
      </c>
      <c r="J7590" t="s">
        <v>278</v>
      </c>
      <c r="K7590">
        <v>1354.94</v>
      </c>
      <c r="L7590">
        <v>0.44</v>
      </c>
      <c r="M7590">
        <v>69811</v>
      </c>
      <c r="N7590" t="s">
        <v>230</v>
      </c>
      <c r="O7590">
        <v>250129</v>
      </c>
      <c r="P7590">
        <v>1.75</v>
      </c>
    </row>
    <row r="7591" spans="1:16" x14ac:dyDescent="0.25">
      <c r="A7591" t="s">
        <v>3296</v>
      </c>
      <c r="B7591" t="s">
        <v>2931</v>
      </c>
      <c r="C7591">
        <v>1095</v>
      </c>
      <c r="D7591" t="str">
        <f>"2560078927  "</f>
        <v xml:space="preserve">2560078927  </v>
      </c>
      <c r="E7591" t="s">
        <v>277</v>
      </c>
      <c r="F7591" t="s">
        <v>279</v>
      </c>
      <c r="G7591">
        <v>75.56</v>
      </c>
      <c r="H7591">
        <v>250131</v>
      </c>
      <c r="I7591">
        <v>4600</v>
      </c>
      <c r="J7591" t="s">
        <v>278</v>
      </c>
      <c r="K7591">
        <v>2055.37</v>
      </c>
      <c r="L7591">
        <v>15.35</v>
      </c>
      <c r="M7591">
        <v>59113</v>
      </c>
      <c r="N7591" t="s">
        <v>61</v>
      </c>
      <c r="O7591">
        <v>250204</v>
      </c>
      <c r="P7591">
        <v>60.21</v>
      </c>
    </row>
    <row r="7592" spans="1:16" x14ac:dyDescent="0.25">
      <c r="A7592" t="s">
        <v>3296</v>
      </c>
      <c r="B7592" t="s">
        <v>2931</v>
      </c>
      <c r="C7592">
        <v>1099</v>
      </c>
      <c r="D7592" t="str">
        <f>"2560078925  "</f>
        <v xml:space="preserve">2560078925  </v>
      </c>
      <c r="E7592" t="s">
        <v>277</v>
      </c>
      <c r="F7592" t="s">
        <v>279</v>
      </c>
      <c r="G7592">
        <v>50.28</v>
      </c>
      <c r="H7592">
        <v>250131</v>
      </c>
      <c r="I7592">
        <v>4600</v>
      </c>
      <c r="J7592" t="s">
        <v>278</v>
      </c>
      <c r="K7592">
        <v>1102.44</v>
      </c>
      <c r="L7592">
        <v>10.220000000000001</v>
      </c>
      <c r="M7592">
        <v>59114</v>
      </c>
      <c r="N7592" t="s">
        <v>299</v>
      </c>
      <c r="O7592">
        <v>250204</v>
      </c>
      <c r="P7592">
        <v>40.06</v>
      </c>
    </row>
    <row r="7593" spans="1:16" x14ac:dyDescent="0.25">
      <c r="A7593" t="s">
        <v>3296</v>
      </c>
      <c r="B7593" t="s">
        <v>2931</v>
      </c>
      <c r="C7593">
        <v>1107</v>
      </c>
      <c r="D7593" t="str">
        <f>"2560112588  "</f>
        <v xml:space="preserve">2560112588  </v>
      </c>
      <c r="E7593" t="s">
        <v>277</v>
      </c>
      <c r="F7593" t="s">
        <v>279</v>
      </c>
      <c r="G7593">
        <v>-12.55</v>
      </c>
      <c r="H7593">
        <v>250203</v>
      </c>
      <c r="I7593">
        <v>4600</v>
      </c>
      <c r="J7593" t="s">
        <v>278</v>
      </c>
      <c r="K7593">
        <v>-12.55</v>
      </c>
      <c r="L7593">
        <v>-2.5499999999999998</v>
      </c>
      <c r="M7593">
        <v>59114</v>
      </c>
      <c r="N7593" t="s">
        <v>299</v>
      </c>
      <c r="O7593">
        <v>250204</v>
      </c>
      <c r="P7593">
        <v>-10</v>
      </c>
    </row>
    <row r="7594" spans="1:16" x14ac:dyDescent="0.25">
      <c r="A7594" t="s">
        <v>3296</v>
      </c>
      <c r="B7594" t="s">
        <v>2931</v>
      </c>
      <c r="C7594">
        <v>1185</v>
      </c>
      <c r="D7594" t="str">
        <f>"2560078935  "</f>
        <v xml:space="preserve">2560078935  </v>
      </c>
      <c r="E7594" t="s">
        <v>277</v>
      </c>
      <c r="F7594" t="s">
        <v>279</v>
      </c>
      <c r="G7594">
        <v>87.73</v>
      </c>
      <c r="H7594">
        <v>250131</v>
      </c>
      <c r="I7594">
        <v>4600</v>
      </c>
      <c r="J7594" t="s">
        <v>278</v>
      </c>
      <c r="K7594">
        <v>1352.53</v>
      </c>
      <c r="L7594">
        <v>17.829999999999998</v>
      </c>
      <c r="M7594">
        <v>69112</v>
      </c>
      <c r="N7594" t="s">
        <v>227</v>
      </c>
      <c r="O7594">
        <v>250205</v>
      </c>
      <c r="P7594">
        <v>69.900000000000006</v>
      </c>
    </row>
    <row r="7595" spans="1:16" x14ac:dyDescent="0.25">
      <c r="A7595" t="s">
        <v>3296</v>
      </c>
      <c r="B7595" t="s">
        <v>2931</v>
      </c>
      <c r="C7595">
        <v>1185</v>
      </c>
      <c r="D7595" t="str">
        <f>"2560078935  "</f>
        <v xml:space="preserve">2560078935  </v>
      </c>
      <c r="E7595" t="s">
        <v>277</v>
      </c>
      <c r="F7595" t="s">
        <v>279</v>
      </c>
      <c r="G7595">
        <v>4.88</v>
      </c>
      <c r="H7595">
        <v>250131</v>
      </c>
      <c r="I7595">
        <v>4600</v>
      </c>
      <c r="J7595" t="s">
        <v>278</v>
      </c>
      <c r="K7595">
        <v>1352.53</v>
      </c>
      <c r="L7595">
        <v>0.99</v>
      </c>
      <c r="M7595">
        <v>69810</v>
      </c>
      <c r="N7595" t="s">
        <v>229</v>
      </c>
      <c r="O7595">
        <v>250205</v>
      </c>
      <c r="P7595">
        <v>3.89</v>
      </c>
    </row>
    <row r="7596" spans="1:16" x14ac:dyDescent="0.25">
      <c r="A7596" t="s">
        <v>3296</v>
      </c>
      <c r="B7596" t="s">
        <v>2931</v>
      </c>
      <c r="C7596">
        <v>1185</v>
      </c>
      <c r="D7596" t="str">
        <f>"2560078935  "</f>
        <v xml:space="preserve">2560078935  </v>
      </c>
      <c r="E7596" t="s">
        <v>277</v>
      </c>
      <c r="F7596" t="s">
        <v>279</v>
      </c>
      <c r="G7596">
        <v>4.87</v>
      </c>
      <c r="H7596">
        <v>250131</v>
      </c>
      <c r="I7596">
        <v>4600</v>
      </c>
      <c r="J7596" t="s">
        <v>278</v>
      </c>
      <c r="K7596">
        <v>1352.53</v>
      </c>
      <c r="L7596">
        <v>0.99</v>
      </c>
      <c r="M7596">
        <v>69811</v>
      </c>
      <c r="N7596" t="s">
        <v>230</v>
      </c>
      <c r="O7596">
        <v>250205</v>
      </c>
      <c r="P7596">
        <v>3.88</v>
      </c>
    </row>
    <row r="7597" spans="1:16" x14ac:dyDescent="0.25">
      <c r="A7597" t="s">
        <v>3296</v>
      </c>
      <c r="B7597" t="s">
        <v>2931</v>
      </c>
      <c r="C7597">
        <v>1206</v>
      </c>
      <c r="D7597" t="str">
        <f>"2560078926  "</f>
        <v xml:space="preserve">2560078926  </v>
      </c>
      <c r="E7597" t="s">
        <v>277</v>
      </c>
      <c r="F7597" t="s">
        <v>279</v>
      </c>
      <c r="G7597">
        <v>428.58</v>
      </c>
      <c r="H7597">
        <v>250131</v>
      </c>
      <c r="I7597">
        <v>4600</v>
      </c>
      <c r="J7597" t="s">
        <v>278</v>
      </c>
      <c r="K7597">
        <v>3918.04</v>
      </c>
      <c r="L7597">
        <v>87.08</v>
      </c>
      <c r="M7597">
        <v>54451</v>
      </c>
      <c r="N7597" t="s">
        <v>218</v>
      </c>
      <c r="O7597">
        <v>250205</v>
      </c>
      <c r="P7597">
        <v>341.5</v>
      </c>
    </row>
    <row r="7598" spans="1:16" x14ac:dyDescent="0.25">
      <c r="A7598" t="s">
        <v>3296</v>
      </c>
      <c r="B7598" t="s">
        <v>2931</v>
      </c>
      <c r="C7598">
        <v>1208</v>
      </c>
      <c r="D7598" t="str">
        <f>"2560078928  "</f>
        <v xml:space="preserve">2560078928  </v>
      </c>
      <c r="E7598" t="s">
        <v>277</v>
      </c>
      <c r="F7598" t="s">
        <v>279</v>
      </c>
      <c r="G7598">
        <v>105.23</v>
      </c>
      <c r="H7598">
        <v>250131</v>
      </c>
      <c r="I7598">
        <v>4600</v>
      </c>
      <c r="J7598" t="s">
        <v>278</v>
      </c>
      <c r="K7598">
        <v>1870.54</v>
      </c>
      <c r="L7598">
        <v>21.38</v>
      </c>
      <c r="M7598">
        <v>69113</v>
      </c>
      <c r="N7598" t="s">
        <v>122</v>
      </c>
      <c r="O7598">
        <v>250205</v>
      </c>
      <c r="P7598">
        <v>83.85</v>
      </c>
    </row>
    <row r="7599" spans="1:16" x14ac:dyDescent="0.25">
      <c r="A7599" t="s">
        <v>3296</v>
      </c>
      <c r="B7599" t="s">
        <v>2931</v>
      </c>
      <c r="C7599">
        <v>1208</v>
      </c>
      <c r="D7599" t="str">
        <f>"2560078928  "</f>
        <v xml:space="preserve">2560078928  </v>
      </c>
      <c r="E7599" t="s">
        <v>277</v>
      </c>
      <c r="F7599" t="s">
        <v>279</v>
      </c>
      <c r="G7599">
        <v>11.69</v>
      </c>
      <c r="H7599">
        <v>250131</v>
      </c>
      <c r="I7599">
        <v>4600</v>
      </c>
      <c r="J7599" t="s">
        <v>278</v>
      </c>
      <c r="K7599">
        <v>1870.54</v>
      </c>
      <c r="L7599">
        <v>2.38</v>
      </c>
      <c r="M7599">
        <v>69802</v>
      </c>
      <c r="N7599" t="s">
        <v>375</v>
      </c>
      <c r="O7599">
        <v>250205</v>
      </c>
      <c r="P7599">
        <v>9.31</v>
      </c>
    </row>
    <row r="7600" spans="1:16" x14ac:dyDescent="0.25">
      <c r="A7600" t="s">
        <v>3296</v>
      </c>
      <c r="B7600" t="s">
        <v>2931</v>
      </c>
      <c r="C7600">
        <v>1312</v>
      </c>
      <c r="D7600" t="str">
        <f>"2560065456  "</f>
        <v xml:space="preserve">2560065456  </v>
      </c>
      <c r="E7600" t="s">
        <v>277</v>
      </c>
      <c r="F7600" t="s">
        <v>279</v>
      </c>
      <c r="G7600">
        <v>23.26</v>
      </c>
      <c r="H7600">
        <v>250127</v>
      </c>
      <c r="I7600">
        <v>4600</v>
      </c>
      <c r="J7600" t="s">
        <v>278</v>
      </c>
      <c r="K7600">
        <v>1424.57</v>
      </c>
      <c r="L7600">
        <v>4.7300000000000004</v>
      </c>
      <c r="M7600">
        <v>44251</v>
      </c>
      <c r="N7600" t="s">
        <v>215</v>
      </c>
      <c r="O7600">
        <v>250207</v>
      </c>
      <c r="P7600">
        <v>18.53</v>
      </c>
    </row>
    <row r="7601" spans="1:16" x14ac:dyDescent="0.25">
      <c r="A7601" t="s">
        <v>3296</v>
      </c>
      <c r="B7601" t="s">
        <v>2931</v>
      </c>
      <c r="C7601">
        <v>1312</v>
      </c>
      <c r="D7601" t="str">
        <f>"2560065456  "</f>
        <v xml:space="preserve">2560065456  </v>
      </c>
      <c r="E7601" t="s">
        <v>277</v>
      </c>
      <c r="F7601" t="s">
        <v>279</v>
      </c>
      <c r="G7601">
        <v>46.1</v>
      </c>
      <c r="H7601">
        <v>250127</v>
      </c>
      <c r="I7601">
        <v>4600</v>
      </c>
      <c r="J7601" t="s">
        <v>278</v>
      </c>
      <c r="K7601">
        <v>1424.57</v>
      </c>
      <c r="L7601">
        <v>9.3699999999999992</v>
      </c>
      <c r="M7601">
        <v>44252</v>
      </c>
      <c r="N7601" t="s">
        <v>217</v>
      </c>
      <c r="O7601">
        <v>250207</v>
      </c>
      <c r="P7601">
        <v>36.729999999999997</v>
      </c>
    </row>
    <row r="7602" spans="1:16" x14ac:dyDescent="0.25">
      <c r="A7602" t="s">
        <v>3296</v>
      </c>
      <c r="B7602" t="s">
        <v>2931</v>
      </c>
      <c r="C7602">
        <v>1412</v>
      </c>
      <c r="D7602" t="str">
        <f>"2560065454  "</f>
        <v xml:space="preserve">2560065454  </v>
      </c>
      <c r="E7602" t="s">
        <v>277</v>
      </c>
      <c r="F7602" t="s">
        <v>279</v>
      </c>
      <c r="G7602">
        <v>69.44</v>
      </c>
      <c r="H7602">
        <v>250127</v>
      </c>
      <c r="I7602">
        <v>4600</v>
      </c>
      <c r="J7602" t="s">
        <v>278</v>
      </c>
      <c r="K7602">
        <v>2460.5</v>
      </c>
      <c r="L7602">
        <v>14.11</v>
      </c>
      <c r="M7602">
        <v>49112</v>
      </c>
      <c r="N7602" t="s">
        <v>109</v>
      </c>
      <c r="O7602">
        <v>250210</v>
      </c>
      <c r="P7602">
        <v>55.33</v>
      </c>
    </row>
    <row r="7603" spans="1:16" x14ac:dyDescent="0.25">
      <c r="A7603" t="s">
        <v>3296</v>
      </c>
      <c r="B7603" t="s">
        <v>2931</v>
      </c>
      <c r="C7603">
        <v>1421</v>
      </c>
      <c r="D7603" t="str">
        <f>"2560078929  "</f>
        <v xml:space="preserve">2560078929  </v>
      </c>
      <c r="E7603" t="s">
        <v>277</v>
      </c>
      <c r="F7603" t="s">
        <v>279</v>
      </c>
      <c r="G7603">
        <v>25.1</v>
      </c>
      <c r="H7603">
        <v>250131</v>
      </c>
      <c r="I7603">
        <v>4600</v>
      </c>
      <c r="J7603" t="s">
        <v>278</v>
      </c>
      <c r="K7603">
        <v>2305.66</v>
      </c>
      <c r="L7603">
        <v>5.0999999999999996</v>
      </c>
      <c r="M7603">
        <v>49112</v>
      </c>
      <c r="N7603" t="s">
        <v>109</v>
      </c>
      <c r="O7603">
        <v>250210</v>
      </c>
      <c r="P7603">
        <v>20</v>
      </c>
    </row>
    <row r="7604" spans="1:16" x14ac:dyDescent="0.25">
      <c r="A7604" t="s">
        <v>3296</v>
      </c>
      <c r="B7604" t="s">
        <v>2931</v>
      </c>
      <c r="C7604">
        <v>1583</v>
      </c>
      <c r="D7604" t="str">
        <f>"2560128306  "</f>
        <v xml:space="preserve">2560128306  </v>
      </c>
      <c r="E7604" t="s">
        <v>277</v>
      </c>
      <c r="F7604" t="s">
        <v>279</v>
      </c>
      <c r="G7604">
        <v>283</v>
      </c>
      <c r="H7604">
        <v>250210</v>
      </c>
      <c r="I7604">
        <v>4600</v>
      </c>
      <c r="J7604" t="s">
        <v>278</v>
      </c>
      <c r="K7604">
        <v>2082.6</v>
      </c>
      <c r="L7604">
        <v>57.5</v>
      </c>
      <c r="M7604">
        <v>59113</v>
      </c>
      <c r="N7604" t="s">
        <v>61</v>
      </c>
      <c r="O7604">
        <v>250211</v>
      </c>
      <c r="P7604">
        <v>225.5</v>
      </c>
    </row>
    <row r="7605" spans="1:16" x14ac:dyDescent="0.25">
      <c r="A7605" t="s">
        <v>3296</v>
      </c>
      <c r="B7605" t="s">
        <v>2931</v>
      </c>
      <c r="C7605">
        <v>1585</v>
      </c>
      <c r="D7605" t="str">
        <f>"2560128304  "</f>
        <v xml:space="preserve">2560128304  </v>
      </c>
      <c r="E7605" t="s">
        <v>277</v>
      </c>
      <c r="F7605" t="s">
        <v>279</v>
      </c>
      <c r="G7605">
        <v>-14.02</v>
      </c>
      <c r="H7605">
        <v>250210</v>
      </c>
      <c r="I7605">
        <v>4600</v>
      </c>
      <c r="J7605" t="s">
        <v>278</v>
      </c>
      <c r="K7605">
        <v>876.4</v>
      </c>
      <c r="L7605">
        <v>-2.85</v>
      </c>
      <c r="M7605">
        <v>59114</v>
      </c>
      <c r="N7605" t="s">
        <v>299</v>
      </c>
      <c r="O7605">
        <v>250211</v>
      </c>
      <c r="P7605">
        <v>-11.17</v>
      </c>
    </row>
    <row r="7606" spans="1:16" x14ac:dyDescent="0.25">
      <c r="A7606" t="s">
        <v>3296</v>
      </c>
      <c r="B7606" t="s">
        <v>2931</v>
      </c>
      <c r="C7606">
        <v>1645</v>
      </c>
      <c r="D7606" t="str">
        <f>"2560128307  "</f>
        <v xml:space="preserve">2560128307  </v>
      </c>
      <c r="E7606" t="s">
        <v>277</v>
      </c>
      <c r="F7606" t="s">
        <v>279</v>
      </c>
      <c r="G7606">
        <v>12.55</v>
      </c>
      <c r="H7606">
        <v>250210</v>
      </c>
      <c r="I7606">
        <v>4600</v>
      </c>
      <c r="J7606" t="s">
        <v>278</v>
      </c>
      <c r="K7606">
        <v>2300.2800000000002</v>
      </c>
      <c r="L7606">
        <v>2.5499999999999998</v>
      </c>
      <c r="M7606">
        <v>69113</v>
      </c>
      <c r="N7606" t="s">
        <v>122</v>
      </c>
      <c r="O7606">
        <v>250212</v>
      </c>
      <c r="P7606">
        <v>10</v>
      </c>
    </row>
    <row r="7607" spans="1:16" x14ac:dyDescent="0.25">
      <c r="A7607" t="s">
        <v>3296</v>
      </c>
      <c r="B7607" t="s">
        <v>2931</v>
      </c>
      <c r="C7607">
        <v>1647</v>
      </c>
      <c r="D7607" t="str">
        <f>"2560128314  "</f>
        <v xml:space="preserve">2560128314  </v>
      </c>
      <c r="E7607" t="s">
        <v>277</v>
      </c>
      <c r="F7607" t="s">
        <v>279</v>
      </c>
      <c r="G7607">
        <v>60.08</v>
      </c>
      <c r="H7607">
        <v>250210</v>
      </c>
      <c r="I7607">
        <v>4600</v>
      </c>
      <c r="J7607" t="s">
        <v>278</v>
      </c>
      <c r="K7607">
        <v>1199.73</v>
      </c>
      <c r="L7607">
        <v>12.21</v>
      </c>
      <c r="M7607">
        <v>69112</v>
      </c>
      <c r="N7607" t="s">
        <v>227</v>
      </c>
      <c r="O7607">
        <v>250212</v>
      </c>
      <c r="P7607">
        <v>47.87</v>
      </c>
    </row>
    <row r="7608" spans="1:16" x14ac:dyDescent="0.25">
      <c r="A7608" t="s">
        <v>3296</v>
      </c>
      <c r="B7608" t="s">
        <v>2931</v>
      </c>
      <c r="C7608">
        <v>1647</v>
      </c>
      <c r="D7608" t="str">
        <f>"2560128314  "</f>
        <v xml:space="preserve">2560128314  </v>
      </c>
      <c r="E7608" t="s">
        <v>277</v>
      </c>
      <c r="F7608" t="s">
        <v>279</v>
      </c>
      <c r="G7608">
        <v>3.34</v>
      </c>
      <c r="H7608">
        <v>250210</v>
      </c>
      <c r="I7608">
        <v>4600</v>
      </c>
      <c r="J7608" t="s">
        <v>278</v>
      </c>
      <c r="K7608">
        <v>1199.73</v>
      </c>
      <c r="L7608">
        <v>0.68</v>
      </c>
      <c r="M7608">
        <v>69810</v>
      </c>
      <c r="N7608" t="s">
        <v>229</v>
      </c>
      <c r="O7608">
        <v>250212</v>
      </c>
      <c r="P7608">
        <v>2.66</v>
      </c>
    </row>
    <row r="7609" spans="1:16" x14ac:dyDescent="0.25">
      <c r="A7609" t="s">
        <v>3296</v>
      </c>
      <c r="B7609" t="s">
        <v>2931</v>
      </c>
      <c r="C7609">
        <v>1647</v>
      </c>
      <c r="D7609" t="str">
        <f>"2560128314  "</f>
        <v xml:space="preserve">2560128314  </v>
      </c>
      <c r="E7609" t="s">
        <v>277</v>
      </c>
      <c r="F7609" t="s">
        <v>279</v>
      </c>
      <c r="G7609">
        <v>3.33</v>
      </c>
      <c r="H7609">
        <v>250210</v>
      </c>
      <c r="I7609">
        <v>4600</v>
      </c>
      <c r="J7609" t="s">
        <v>278</v>
      </c>
      <c r="K7609">
        <v>1199.73</v>
      </c>
      <c r="L7609">
        <v>0.68</v>
      </c>
      <c r="M7609">
        <v>69811</v>
      </c>
      <c r="N7609" t="s">
        <v>230</v>
      </c>
      <c r="O7609">
        <v>250212</v>
      </c>
      <c r="P7609">
        <v>2.65</v>
      </c>
    </row>
    <row r="7610" spans="1:16" x14ac:dyDescent="0.25">
      <c r="A7610" t="s">
        <v>3296</v>
      </c>
      <c r="B7610" t="s">
        <v>2931</v>
      </c>
      <c r="C7610">
        <v>1700</v>
      </c>
      <c r="D7610" t="str">
        <f>"2560112596  "</f>
        <v xml:space="preserve">2560112596  </v>
      </c>
      <c r="E7610" t="s">
        <v>277</v>
      </c>
      <c r="F7610" t="s">
        <v>279</v>
      </c>
      <c r="G7610">
        <v>30.65</v>
      </c>
      <c r="H7610">
        <v>250201</v>
      </c>
      <c r="I7610">
        <v>4600</v>
      </c>
      <c r="J7610" t="s">
        <v>278</v>
      </c>
      <c r="K7610">
        <v>646.03</v>
      </c>
      <c r="L7610">
        <v>6.23</v>
      </c>
      <c r="M7610">
        <v>44253</v>
      </c>
      <c r="N7610" t="s">
        <v>403</v>
      </c>
      <c r="O7610">
        <v>250212</v>
      </c>
      <c r="P7610">
        <v>24.42</v>
      </c>
    </row>
    <row r="7611" spans="1:16" x14ac:dyDescent="0.25">
      <c r="A7611" t="s">
        <v>3296</v>
      </c>
      <c r="B7611" t="s">
        <v>2931</v>
      </c>
      <c r="C7611">
        <v>1701</v>
      </c>
      <c r="D7611" t="str">
        <f>"2560065459  "</f>
        <v xml:space="preserve">2560065459  </v>
      </c>
      <c r="E7611" t="s">
        <v>277</v>
      </c>
      <c r="F7611" t="s">
        <v>279</v>
      </c>
      <c r="G7611">
        <v>6</v>
      </c>
      <c r="H7611">
        <v>250127</v>
      </c>
      <c r="I7611">
        <v>4600</v>
      </c>
      <c r="J7611" t="s">
        <v>278</v>
      </c>
      <c r="K7611">
        <v>498.4</v>
      </c>
      <c r="L7611">
        <v>1.22</v>
      </c>
      <c r="M7611">
        <v>44253</v>
      </c>
      <c r="N7611" t="s">
        <v>403</v>
      </c>
      <c r="O7611">
        <v>250212</v>
      </c>
      <c r="P7611">
        <v>4.78</v>
      </c>
    </row>
    <row r="7612" spans="1:16" x14ac:dyDescent="0.25">
      <c r="A7612" t="s">
        <v>3296</v>
      </c>
      <c r="B7612" t="s">
        <v>2931</v>
      </c>
      <c r="C7612">
        <v>1751</v>
      </c>
      <c r="D7612" t="str">
        <f>"2560128305  "</f>
        <v xml:space="preserve">2560128305  </v>
      </c>
      <c r="E7612" t="s">
        <v>277</v>
      </c>
      <c r="F7612" t="s">
        <v>279</v>
      </c>
      <c r="G7612">
        <v>55.01</v>
      </c>
      <c r="H7612">
        <v>250210</v>
      </c>
      <c r="I7612">
        <v>4600</v>
      </c>
      <c r="J7612" t="s">
        <v>278</v>
      </c>
      <c r="K7612">
        <v>2635.4</v>
      </c>
      <c r="L7612">
        <v>11.18</v>
      </c>
      <c r="M7612">
        <v>54451</v>
      </c>
      <c r="N7612" t="s">
        <v>218</v>
      </c>
      <c r="O7612">
        <v>250213</v>
      </c>
      <c r="P7612">
        <v>43.83</v>
      </c>
    </row>
    <row r="7613" spans="1:16" x14ac:dyDescent="0.25">
      <c r="A7613" t="s">
        <v>3296</v>
      </c>
      <c r="B7613" t="s">
        <v>2931</v>
      </c>
      <c r="C7613">
        <v>1963</v>
      </c>
      <c r="D7613" t="str">
        <f>"2560078931  "</f>
        <v xml:space="preserve">2560078931  </v>
      </c>
      <c r="E7613" t="s">
        <v>277</v>
      </c>
      <c r="F7613" t="s">
        <v>279</v>
      </c>
      <c r="G7613">
        <v>101.45</v>
      </c>
      <c r="H7613">
        <v>250131</v>
      </c>
      <c r="I7613">
        <v>4600</v>
      </c>
      <c r="J7613" t="s">
        <v>278</v>
      </c>
      <c r="K7613">
        <v>1475.42</v>
      </c>
      <c r="L7613">
        <v>20.61</v>
      </c>
      <c r="M7613">
        <v>44222</v>
      </c>
      <c r="N7613" t="s">
        <v>96</v>
      </c>
      <c r="O7613">
        <v>250218</v>
      </c>
      <c r="P7613">
        <v>80.84</v>
      </c>
    </row>
    <row r="7614" spans="1:16" x14ac:dyDescent="0.25">
      <c r="A7614" t="s">
        <v>3296</v>
      </c>
      <c r="B7614" t="s">
        <v>2931</v>
      </c>
      <c r="C7614">
        <v>1963</v>
      </c>
      <c r="D7614" t="str">
        <f>"2560078931  "</f>
        <v xml:space="preserve">2560078931  </v>
      </c>
      <c r="E7614" t="s">
        <v>277</v>
      </c>
      <c r="F7614" t="s">
        <v>279</v>
      </c>
      <c r="G7614">
        <v>148.72</v>
      </c>
      <c r="H7614">
        <v>250131</v>
      </c>
      <c r="I7614">
        <v>4600</v>
      </c>
      <c r="J7614" t="s">
        <v>278</v>
      </c>
      <c r="K7614">
        <v>1475.42</v>
      </c>
      <c r="L7614">
        <v>30.22</v>
      </c>
      <c r="M7614">
        <v>44251</v>
      </c>
      <c r="N7614" t="s">
        <v>215</v>
      </c>
      <c r="O7614">
        <v>250218</v>
      </c>
      <c r="P7614">
        <v>118.5</v>
      </c>
    </row>
    <row r="7615" spans="1:16" x14ac:dyDescent="0.25">
      <c r="A7615" t="s">
        <v>3296</v>
      </c>
      <c r="B7615" t="s">
        <v>2931</v>
      </c>
      <c r="C7615">
        <v>2016</v>
      </c>
      <c r="D7615" t="str">
        <f>"2560128310  "</f>
        <v xml:space="preserve">2560128310  </v>
      </c>
      <c r="E7615" t="s">
        <v>277</v>
      </c>
      <c r="F7615" t="s">
        <v>279</v>
      </c>
      <c r="G7615">
        <v>18.190000000000001</v>
      </c>
      <c r="H7615">
        <v>250210</v>
      </c>
      <c r="I7615">
        <v>4600</v>
      </c>
      <c r="J7615" t="s">
        <v>278</v>
      </c>
      <c r="K7615">
        <v>1385.07</v>
      </c>
      <c r="L7615">
        <v>3.7</v>
      </c>
      <c r="M7615">
        <v>44251</v>
      </c>
      <c r="N7615" t="s">
        <v>215</v>
      </c>
      <c r="O7615">
        <v>250219</v>
      </c>
      <c r="P7615">
        <v>14.49</v>
      </c>
    </row>
    <row r="7616" spans="1:16" x14ac:dyDescent="0.25">
      <c r="A7616" t="s">
        <v>3296</v>
      </c>
      <c r="B7616" t="s">
        <v>2931</v>
      </c>
      <c r="C7616">
        <v>2016</v>
      </c>
      <c r="D7616" t="str">
        <f>"2560128310  "</f>
        <v xml:space="preserve">2560128310  </v>
      </c>
      <c r="E7616" t="s">
        <v>277</v>
      </c>
      <c r="F7616" t="s">
        <v>279</v>
      </c>
      <c r="G7616">
        <v>27.14</v>
      </c>
      <c r="H7616">
        <v>250210</v>
      </c>
      <c r="I7616">
        <v>4600</v>
      </c>
      <c r="J7616" t="s">
        <v>278</v>
      </c>
      <c r="K7616">
        <v>1385.07</v>
      </c>
      <c r="L7616">
        <v>5.51</v>
      </c>
      <c r="M7616">
        <v>44252</v>
      </c>
      <c r="N7616" t="s">
        <v>217</v>
      </c>
      <c r="O7616">
        <v>250219</v>
      </c>
      <c r="P7616">
        <v>21.63</v>
      </c>
    </row>
    <row r="7617" spans="1:16" x14ac:dyDescent="0.25">
      <c r="A7617" t="s">
        <v>3296</v>
      </c>
      <c r="B7617" t="s">
        <v>2931</v>
      </c>
      <c r="C7617">
        <v>2203</v>
      </c>
      <c r="D7617" t="str">
        <f>"2560146974  "</f>
        <v xml:space="preserve">2560146974  </v>
      </c>
      <c r="E7617" t="s">
        <v>277</v>
      </c>
      <c r="F7617" t="s">
        <v>279</v>
      </c>
      <c r="G7617">
        <v>73.95</v>
      </c>
      <c r="H7617">
        <v>250217</v>
      </c>
      <c r="I7617">
        <v>4600</v>
      </c>
      <c r="J7617" t="s">
        <v>278</v>
      </c>
      <c r="K7617">
        <v>1716.7</v>
      </c>
      <c r="L7617">
        <v>15.03</v>
      </c>
      <c r="M7617">
        <v>44251</v>
      </c>
      <c r="N7617" t="s">
        <v>215</v>
      </c>
      <c r="O7617">
        <v>250221</v>
      </c>
      <c r="P7617">
        <v>58.92</v>
      </c>
    </row>
    <row r="7618" spans="1:16" x14ac:dyDescent="0.25">
      <c r="A7618" t="s">
        <v>3296</v>
      </c>
      <c r="B7618" t="s">
        <v>2931</v>
      </c>
      <c r="C7618">
        <v>2203</v>
      </c>
      <c r="D7618" t="str">
        <f>"2560146974  "</f>
        <v xml:space="preserve">2560146974  </v>
      </c>
      <c r="E7618" t="s">
        <v>277</v>
      </c>
      <c r="F7618" t="s">
        <v>279</v>
      </c>
      <c r="G7618">
        <v>16.8</v>
      </c>
      <c r="H7618">
        <v>250217</v>
      </c>
      <c r="I7618">
        <v>4600</v>
      </c>
      <c r="J7618" t="s">
        <v>278</v>
      </c>
      <c r="K7618">
        <v>1716.7</v>
      </c>
      <c r="L7618">
        <v>3.41</v>
      </c>
      <c r="M7618">
        <v>44252</v>
      </c>
      <c r="N7618" t="s">
        <v>217</v>
      </c>
      <c r="O7618">
        <v>250221</v>
      </c>
      <c r="P7618">
        <v>13.39</v>
      </c>
    </row>
    <row r="7619" spans="1:16" x14ac:dyDescent="0.25">
      <c r="A7619" t="s">
        <v>3296</v>
      </c>
      <c r="B7619" t="s">
        <v>2931</v>
      </c>
      <c r="C7619">
        <v>2212</v>
      </c>
      <c r="D7619" t="str">
        <f>"2560146969  "</f>
        <v xml:space="preserve">2560146969  </v>
      </c>
      <c r="E7619" t="s">
        <v>277</v>
      </c>
      <c r="F7619" t="s">
        <v>279</v>
      </c>
      <c r="G7619">
        <v>-50.2</v>
      </c>
      <c r="H7619">
        <v>250217</v>
      </c>
      <c r="I7619">
        <v>4600</v>
      </c>
      <c r="J7619" t="s">
        <v>278</v>
      </c>
      <c r="K7619">
        <v>1660.17</v>
      </c>
      <c r="L7619">
        <v>-10.199999999999999</v>
      </c>
      <c r="M7619">
        <v>54451</v>
      </c>
      <c r="N7619" t="s">
        <v>218</v>
      </c>
      <c r="O7619">
        <v>250221</v>
      </c>
      <c r="P7619">
        <v>-40</v>
      </c>
    </row>
    <row r="7620" spans="1:16" x14ac:dyDescent="0.25">
      <c r="A7620" t="s">
        <v>3296</v>
      </c>
      <c r="B7620" t="s">
        <v>2931</v>
      </c>
      <c r="C7620">
        <v>2216</v>
      </c>
      <c r="D7620" t="str">
        <f>"2560146977  "</f>
        <v xml:space="preserve">2560146977  </v>
      </c>
      <c r="E7620" t="s">
        <v>277</v>
      </c>
      <c r="F7620" t="s">
        <v>279</v>
      </c>
      <c r="G7620">
        <v>108.38</v>
      </c>
      <c r="H7620">
        <v>250217</v>
      </c>
      <c r="I7620">
        <v>4600</v>
      </c>
      <c r="J7620" t="s">
        <v>278</v>
      </c>
      <c r="K7620">
        <v>292.76</v>
      </c>
      <c r="L7620">
        <v>22.02</v>
      </c>
      <c r="M7620">
        <v>44253</v>
      </c>
      <c r="N7620" t="s">
        <v>403</v>
      </c>
      <c r="O7620">
        <v>250221</v>
      </c>
      <c r="P7620">
        <v>86.36</v>
      </c>
    </row>
    <row r="7621" spans="1:16" x14ac:dyDescent="0.25">
      <c r="A7621" t="s">
        <v>3296</v>
      </c>
      <c r="B7621" t="s">
        <v>2931</v>
      </c>
      <c r="C7621">
        <v>2230</v>
      </c>
      <c r="D7621" t="str">
        <f>"2560146968  "</f>
        <v xml:space="preserve">2560146968  </v>
      </c>
      <c r="E7621" t="s">
        <v>277</v>
      </c>
      <c r="F7621" t="s">
        <v>279</v>
      </c>
      <c r="G7621">
        <v>-12.55</v>
      </c>
      <c r="H7621">
        <v>250217</v>
      </c>
      <c r="I7621">
        <v>4600</v>
      </c>
      <c r="J7621" t="s">
        <v>278</v>
      </c>
      <c r="K7621">
        <v>432.54</v>
      </c>
      <c r="L7621">
        <v>-2.5499999999999998</v>
      </c>
      <c r="M7621">
        <v>59114</v>
      </c>
      <c r="N7621" t="s">
        <v>299</v>
      </c>
      <c r="O7621">
        <v>250221</v>
      </c>
      <c r="P7621">
        <v>-10</v>
      </c>
    </row>
    <row r="7622" spans="1:16" x14ac:dyDescent="0.25">
      <c r="A7622" t="s">
        <v>3296</v>
      </c>
      <c r="B7622" t="s">
        <v>2931</v>
      </c>
      <c r="C7622">
        <v>2231</v>
      </c>
      <c r="D7622" t="str">
        <f>"2560146970  "</f>
        <v xml:space="preserve">2560146970  </v>
      </c>
      <c r="E7622" t="s">
        <v>277</v>
      </c>
      <c r="F7622" t="s">
        <v>279</v>
      </c>
      <c r="G7622">
        <v>-25.1</v>
      </c>
      <c r="H7622">
        <v>250217</v>
      </c>
      <c r="I7622">
        <v>4600</v>
      </c>
      <c r="J7622" t="s">
        <v>278</v>
      </c>
      <c r="K7622">
        <v>2290.06</v>
      </c>
      <c r="L7622">
        <v>-5.0999999999999996</v>
      </c>
      <c r="M7622">
        <v>59113</v>
      </c>
      <c r="N7622" t="s">
        <v>61</v>
      </c>
      <c r="O7622">
        <v>250221</v>
      </c>
      <c r="P7622">
        <v>-20</v>
      </c>
    </row>
    <row r="7623" spans="1:16" x14ac:dyDescent="0.25">
      <c r="A7623" t="s">
        <v>3296</v>
      </c>
      <c r="B7623" t="s">
        <v>2931</v>
      </c>
      <c r="C7623">
        <v>2295</v>
      </c>
      <c r="D7623" t="str">
        <f>"2560146978  "</f>
        <v xml:space="preserve">2560146978  </v>
      </c>
      <c r="E7623" t="s">
        <v>277</v>
      </c>
      <c r="F7623" t="s">
        <v>279</v>
      </c>
      <c r="G7623">
        <v>-104.42</v>
      </c>
      <c r="H7623">
        <v>250217</v>
      </c>
      <c r="I7623">
        <v>4600</v>
      </c>
      <c r="J7623" t="s">
        <v>278</v>
      </c>
      <c r="K7623">
        <v>1840.18</v>
      </c>
      <c r="L7623">
        <v>-21.22</v>
      </c>
      <c r="M7623">
        <v>69112</v>
      </c>
      <c r="N7623" t="s">
        <v>227</v>
      </c>
      <c r="O7623">
        <v>250224</v>
      </c>
      <c r="P7623">
        <v>-83.2</v>
      </c>
    </row>
    <row r="7624" spans="1:16" x14ac:dyDescent="0.25">
      <c r="A7624" t="s">
        <v>3296</v>
      </c>
      <c r="B7624" t="s">
        <v>2931</v>
      </c>
      <c r="C7624">
        <v>2295</v>
      </c>
      <c r="D7624" t="str">
        <f>"2560146978  "</f>
        <v xml:space="preserve">2560146978  </v>
      </c>
      <c r="E7624" t="s">
        <v>277</v>
      </c>
      <c r="F7624" t="s">
        <v>279</v>
      </c>
      <c r="G7624">
        <v>-5.8</v>
      </c>
      <c r="H7624">
        <v>250217</v>
      </c>
      <c r="I7624">
        <v>4600</v>
      </c>
      <c r="J7624" t="s">
        <v>278</v>
      </c>
      <c r="K7624">
        <v>1840.18</v>
      </c>
      <c r="L7624">
        <v>-1.18</v>
      </c>
      <c r="M7624">
        <v>69810</v>
      </c>
      <c r="N7624" t="s">
        <v>229</v>
      </c>
      <c r="O7624">
        <v>250224</v>
      </c>
      <c r="P7624">
        <v>-4.62</v>
      </c>
    </row>
    <row r="7625" spans="1:16" x14ac:dyDescent="0.25">
      <c r="A7625" t="s">
        <v>3296</v>
      </c>
      <c r="B7625" t="s">
        <v>2931</v>
      </c>
      <c r="C7625">
        <v>2295</v>
      </c>
      <c r="D7625" t="str">
        <f>"2560146978  "</f>
        <v xml:space="preserve">2560146978  </v>
      </c>
      <c r="E7625" t="s">
        <v>277</v>
      </c>
      <c r="F7625" t="s">
        <v>279</v>
      </c>
      <c r="G7625">
        <v>-5.8</v>
      </c>
      <c r="H7625">
        <v>250217</v>
      </c>
      <c r="I7625">
        <v>4600</v>
      </c>
      <c r="J7625" t="s">
        <v>278</v>
      </c>
      <c r="K7625">
        <v>1840.18</v>
      </c>
      <c r="L7625">
        <v>-1.18</v>
      </c>
      <c r="M7625">
        <v>69811</v>
      </c>
      <c r="N7625" t="s">
        <v>230</v>
      </c>
      <c r="O7625">
        <v>250224</v>
      </c>
      <c r="P7625">
        <v>-4.62</v>
      </c>
    </row>
    <row r="7626" spans="1:16" x14ac:dyDescent="0.25">
      <c r="A7626" t="s">
        <v>3296</v>
      </c>
      <c r="B7626" t="s">
        <v>2931</v>
      </c>
      <c r="C7626">
        <v>2364</v>
      </c>
      <c r="D7626" t="str">
        <f>"2560146971  "</f>
        <v xml:space="preserve">2560146971  </v>
      </c>
      <c r="E7626" t="s">
        <v>277</v>
      </c>
      <c r="F7626" t="s">
        <v>279</v>
      </c>
      <c r="G7626">
        <v>26.45</v>
      </c>
      <c r="H7626">
        <v>250217</v>
      </c>
      <c r="I7626">
        <v>4600</v>
      </c>
      <c r="J7626" t="s">
        <v>278</v>
      </c>
      <c r="K7626">
        <v>1836.86</v>
      </c>
      <c r="L7626">
        <v>5.37</v>
      </c>
      <c r="M7626">
        <v>69113</v>
      </c>
      <c r="N7626" t="s">
        <v>122</v>
      </c>
      <c r="O7626">
        <v>250224</v>
      </c>
      <c r="P7626">
        <v>21.08</v>
      </c>
    </row>
    <row r="7627" spans="1:16" x14ac:dyDescent="0.25">
      <c r="A7627" t="s">
        <v>3296</v>
      </c>
      <c r="B7627" t="s">
        <v>2931</v>
      </c>
      <c r="C7627">
        <v>2364</v>
      </c>
      <c r="D7627" t="str">
        <f>"2560146971  "</f>
        <v xml:space="preserve">2560146971  </v>
      </c>
      <c r="E7627" t="s">
        <v>277</v>
      </c>
      <c r="F7627" t="s">
        <v>279</v>
      </c>
      <c r="G7627">
        <v>2.94</v>
      </c>
      <c r="H7627">
        <v>250217</v>
      </c>
      <c r="I7627">
        <v>4600</v>
      </c>
      <c r="J7627" t="s">
        <v>278</v>
      </c>
      <c r="K7627">
        <v>1836.86</v>
      </c>
      <c r="L7627">
        <v>0.6</v>
      </c>
      <c r="M7627">
        <v>69802</v>
      </c>
      <c r="N7627" t="s">
        <v>375</v>
      </c>
      <c r="O7627">
        <v>250224</v>
      </c>
      <c r="P7627">
        <v>2.34</v>
      </c>
    </row>
    <row r="7628" spans="1:16" x14ac:dyDescent="0.25">
      <c r="A7628" t="s">
        <v>3296</v>
      </c>
      <c r="B7628" t="s">
        <v>2931</v>
      </c>
      <c r="C7628">
        <v>2370</v>
      </c>
      <c r="D7628" t="str">
        <f>"2560128308  "</f>
        <v xml:space="preserve">2560128308  </v>
      </c>
      <c r="E7628" t="s">
        <v>277</v>
      </c>
      <c r="F7628" t="s">
        <v>279</v>
      </c>
      <c r="G7628">
        <v>286.64999999999998</v>
      </c>
      <c r="H7628">
        <v>250210</v>
      </c>
      <c r="I7628">
        <v>4600</v>
      </c>
      <c r="J7628" t="s">
        <v>278</v>
      </c>
      <c r="K7628">
        <v>3059.75</v>
      </c>
      <c r="L7628">
        <v>58.24</v>
      </c>
      <c r="M7628">
        <v>49112</v>
      </c>
      <c r="N7628" t="s">
        <v>109</v>
      </c>
      <c r="O7628">
        <v>250225</v>
      </c>
      <c r="P7628">
        <v>228.41</v>
      </c>
    </row>
    <row r="7629" spans="1:16" x14ac:dyDescent="0.25">
      <c r="A7629" t="s">
        <v>3296</v>
      </c>
      <c r="B7629" t="s">
        <v>2931</v>
      </c>
      <c r="C7629">
        <v>2379</v>
      </c>
      <c r="D7629" t="str">
        <f>"2560146972  "</f>
        <v xml:space="preserve">2560146972  </v>
      </c>
      <c r="E7629" t="s">
        <v>277</v>
      </c>
      <c r="F7629" t="s">
        <v>279</v>
      </c>
      <c r="G7629">
        <v>13.15</v>
      </c>
      <c r="H7629">
        <v>250217</v>
      </c>
      <c r="I7629">
        <v>4600</v>
      </c>
      <c r="J7629" t="s">
        <v>278</v>
      </c>
      <c r="K7629">
        <v>2621.16</v>
      </c>
      <c r="L7629">
        <v>2.67</v>
      </c>
      <c r="M7629">
        <v>49112</v>
      </c>
      <c r="N7629" t="s">
        <v>109</v>
      </c>
      <c r="O7629">
        <v>250225</v>
      </c>
      <c r="P7629">
        <v>10.48</v>
      </c>
    </row>
    <row r="7630" spans="1:16" x14ac:dyDescent="0.25">
      <c r="A7630" t="s">
        <v>3296</v>
      </c>
      <c r="B7630" t="s">
        <v>2931</v>
      </c>
      <c r="C7630">
        <v>2445</v>
      </c>
      <c r="D7630" t="str">
        <f>"2560128313  "</f>
        <v xml:space="preserve">2560128313  </v>
      </c>
      <c r="E7630" t="s">
        <v>277</v>
      </c>
      <c r="F7630" t="s">
        <v>279</v>
      </c>
      <c r="G7630">
        <v>-8.9499999999999993</v>
      </c>
      <c r="H7630">
        <v>250210</v>
      </c>
      <c r="I7630">
        <v>4600</v>
      </c>
      <c r="J7630" t="s">
        <v>278</v>
      </c>
      <c r="K7630">
        <v>363.92</v>
      </c>
      <c r="L7630">
        <v>-1.82</v>
      </c>
      <c r="M7630">
        <v>44253</v>
      </c>
      <c r="N7630" t="s">
        <v>403</v>
      </c>
      <c r="O7630">
        <v>250227</v>
      </c>
      <c r="P7630">
        <v>-7.13</v>
      </c>
    </row>
    <row r="7631" spans="1:16" x14ac:dyDescent="0.25">
      <c r="A7631" t="s">
        <v>3296</v>
      </c>
      <c r="B7631" t="s">
        <v>2931</v>
      </c>
      <c r="C7631">
        <v>2748</v>
      </c>
      <c r="D7631" t="str">
        <f>"2560171900  "</f>
        <v xml:space="preserve">2560171900  </v>
      </c>
      <c r="E7631" t="s">
        <v>277</v>
      </c>
      <c r="F7631" t="s">
        <v>279</v>
      </c>
      <c r="G7631">
        <v>36.19</v>
      </c>
      <c r="H7631">
        <v>250228</v>
      </c>
      <c r="I7631">
        <v>4600</v>
      </c>
      <c r="J7631" t="s">
        <v>278</v>
      </c>
      <c r="K7631">
        <v>984.42</v>
      </c>
      <c r="L7631">
        <v>7.35</v>
      </c>
      <c r="M7631">
        <v>69112</v>
      </c>
      <c r="N7631" t="s">
        <v>227</v>
      </c>
      <c r="O7631">
        <v>250311</v>
      </c>
      <c r="P7631">
        <v>28.84</v>
      </c>
    </row>
    <row r="7632" spans="1:16" x14ac:dyDescent="0.25">
      <c r="A7632" t="s">
        <v>3296</v>
      </c>
      <c r="B7632" t="s">
        <v>2931</v>
      </c>
      <c r="C7632">
        <v>2748</v>
      </c>
      <c r="D7632" t="str">
        <f>"2560171900  "</f>
        <v xml:space="preserve">2560171900  </v>
      </c>
      <c r="E7632" t="s">
        <v>277</v>
      </c>
      <c r="F7632" t="s">
        <v>279</v>
      </c>
      <c r="G7632">
        <v>2.0099999999999998</v>
      </c>
      <c r="H7632">
        <v>250228</v>
      </c>
      <c r="I7632">
        <v>4600</v>
      </c>
      <c r="J7632" t="s">
        <v>278</v>
      </c>
      <c r="K7632">
        <v>984.42</v>
      </c>
      <c r="L7632">
        <v>0.41</v>
      </c>
      <c r="M7632">
        <v>69810</v>
      </c>
      <c r="N7632" t="s">
        <v>229</v>
      </c>
      <c r="O7632">
        <v>250311</v>
      </c>
      <c r="P7632">
        <v>1.6</v>
      </c>
    </row>
    <row r="7633" spans="1:16" x14ac:dyDescent="0.25">
      <c r="A7633" t="s">
        <v>3296</v>
      </c>
      <c r="B7633" t="s">
        <v>2931</v>
      </c>
      <c r="C7633">
        <v>2748</v>
      </c>
      <c r="D7633" t="str">
        <f>"2560171900  "</f>
        <v xml:space="preserve">2560171900  </v>
      </c>
      <c r="E7633" t="s">
        <v>277</v>
      </c>
      <c r="F7633" t="s">
        <v>279</v>
      </c>
      <c r="G7633">
        <v>2.0099999999999998</v>
      </c>
      <c r="H7633">
        <v>250228</v>
      </c>
      <c r="I7633">
        <v>4600</v>
      </c>
      <c r="J7633" t="s">
        <v>278</v>
      </c>
      <c r="K7633">
        <v>984.42</v>
      </c>
      <c r="L7633">
        <v>0.41</v>
      </c>
      <c r="M7633">
        <v>69811</v>
      </c>
      <c r="N7633" t="s">
        <v>230</v>
      </c>
      <c r="O7633">
        <v>250311</v>
      </c>
      <c r="P7633">
        <v>1.6</v>
      </c>
    </row>
    <row r="7634" spans="1:16" x14ac:dyDescent="0.25">
      <c r="A7634" t="s">
        <v>3296</v>
      </c>
      <c r="B7634" t="s">
        <v>2931</v>
      </c>
      <c r="C7634">
        <v>2764</v>
      </c>
      <c r="D7634" t="str">
        <f>"2560171893  "</f>
        <v xml:space="preserve">2560171893  </v>
      </c>
      <c r="E7634" t="s">
        <v>277</v>
      </c>
      <c r="F7634" t="s">
        <v>279</v>
      </c>
      <c r="G7634">
        <v>66.36</v>
      </c>
      <c r="H7634">
        <v>250228</v>
      </c>
      <c r="I7634">
        <v>4600</v>
      </c>
      <c r="J7634" t="s">
        <v>278</v>
      </c>
      <c r="K7634">
        <v>1516.79</v>
      </c>
      <c r="L7634">
        <v>13.48</v>
      </c>
      <c r="M7634">
        <v>59114</v>
      </c>
      <c r="N7634" t="s">
        <v>299</v>
      </c>
      <c r="O7634">
        <v>250311</v>
      </c>
      <c r="P7634">
        <v>52.88</v>
      </c>
    </row>
    <row r="7635" spans="1:16" x14ac:dyDescent="0.25">
      <c r="A7635" t="s">
        <v>3296</v>
      </c>
      <c r="B7635" t="s">
        <v>2931</v>
      </c>
      <c r="C7635">
        <v>2768</v>
      </c>
      <c r="D7635" t="str">
        <f>"2560171897  "</f>
        <v xml:space="preserve">2560171897  </v>
      </c>
      <c r="E7635" t="s">
        <v>277</v>
      </c>
      <c r="F7635" t="s">
        <v>279</v>
      </c>
      <c r="G7635">
        <v>12.55</v>
      </c>
      <c r="H7635">
        <v>250228</v>
      </c>
      <c r="I7635">
        <v>4600</v>
      </c>
      <c r="J7635" t="s">
        <v>278</v>
      </c>
      <c r="K7635">
        <v>1471.35</v>
      </c>
      <c r="L7635">
        <v>2.5499999999999998</v>
      </c>
      <c r="M7635">
        <v>49112</v>
      </c>
      <c r="N7635" t="s">
        <v>109</v>
      </c>
      <c r="O7635">
        <v>250311</v>
      </c>
      <c r="P7635">
        <v>10</v>
      </c>
    </row>
    <row r="7636" spans="1:16" x14ac:dyDescent="0.25">
      <c r="A7636" t="s">
        <v>3296</v>
      </c>
      <c r="B7636" t="s">
        <v>2931</v>
      </c>
      <c r="C7636">
        <v>2794</v>
      </c>
      <c r="D7636" t="str">
        <f>"2560171898  "</f>
        <v xml:space="preserve">2560171898  </v>
      </c>
      <c r="E7636" t="s">
        <v>277</v>
      </c>
      <c r="F7636" t="s">
        <v>279</v>
      </c>
      <c r="G7636">
        <v>1.79</v>
      </c>
      <c r="H7636">
        <v>250228</v>
      </c>
      <c r="I7636">
        <v>4600</v>
      </c>
      <c r="J7636" t="s">
        <v>278</v>
      </c>
      <c r="K7636">
        <v>282.27999999999997</v>
      </c>
      <c r="L7636">
        <v>0.36</v>
      </c>
      <c r="M7636">
        <v>44252</v>
      </c>
      <c r="N7636" t="s">
        <v>217</v>
      </c>
      <c r="O7636">
        <v>250312</v>
      </c>
      <c r="P7636">
        <v>1.43</v>
      </c>
    </row>
    <row r="7637" spans="1:16" x14ac:dyDescent="0.25">
      <c r="A7637" t="s">
        <v>3296</v>
      </c>
      <c r="B7637" t="s">
        <v>2931</v>
      </c>
      <c r="C7637">
        <v>2812</v>
      </c>
      <c r="D7637" t="str">
        <f>"2560171896  "</f>
        <v xml:space="preserve">2560171896  </v>
      </c>
      <c r="E7637" t="s">
        <v>277</v>
      </c>
      <c r="F7637" t="s">
        <v>279</v>
      </c>
      <c r="G7637">
        <v>121.85</v>
      </c>
      <c r="H7637">
        <v>250228</v>
      </c>
      <c r="I7637">
        <v>4600</v>
      </c>
      <c r="J7637" t="s">
        <v>278</v>
      </c>
      <c r="K7637">
        <v>3031.01</v>
      </c>
      <c r="L7637">
        <v>24.76</v>
      </c>
      <c r="M7637">
        <v>69113</v>
      </c>
      <c r="N7637" t="s">
        <v>122</v>
      </c>
      <c r="O7637">
        <v>250312</v>
      </c>
      <c r="P7637">
        <v>97.09</v>
      </c>
    </row>
    <row r="7638" spans="1:16" x14ac:dyDescent="0.25">
      <c r="A7638" t="s">
        <v>3296</v>
      </c>
      <c r="B7638" t="s">
        <v>2931</v>
      </c>
      <c r="C7638">
        <v>2812</v>
      </c>
      <c r="D7638" t="str">
        <f>"2560171896  "</f>
        <v xml:space="preserve">2560171896  </v>
      </c>
      <c r="E7638" t="s">
        <v>277</v>
      </c>
      <c r="F7638" t="s">
        <v>279</v>
      </c>
      <c r="G7638">
        <v>13.54</v>
      </c>
      <c r="H7638">
        <v>250228</v>
      </c>
      <c r="I7638">
        <v>4600</v>
      </c>
      <c r="J7638" t="s">
        <v>278</v>
      </c>
      <c r="K7638">
        <v>3031.01</v>
      </c>
      <c r="L7638">
        <v>2.75</v>
      </c>
      <c r="M7638">
        <v>69802</v>
      </c>
      <c r="N7638" t="s">
        <v>375</v>
      </c>
      <c r="O7638">
        <v>250312</v>
      </c>
      <c r="P7638">
        <v>10.79</v>
      </c>
    </row>
    <row r="7639" spans="1:16" x14ac:dyDescent="0.25">
      <c r="A7639" t="s">
        <v>3296</v>
      </c>
      <c r="B7639" t="s">
        <v>2931</v>
      </c>
      <c r="C7639">
        <v>2813</v>
      </c>
      <c r="D7639" t="str">
        <f>"2560171895  "</f>
        <v xml:space="preserve">2560171895  </v>
      </c>
      <c r="E7639" t="s">
        <v>277</v>
      </c>
      <c r="F7639" t="s">
        <v>279</v>
      </c>
      <c r="G7639">
        <v>87.25</v>
      </c>
      <c r="H7639">
        <v>250228</v>
      </c>
      <c r="I7639">
        <v>4600</v>
      </c>
      <c r="J7639" t="s">
        <v>278</v>
      </c>
      <c r="K7639">
        <v>1574.32</v>
      </c>
      <c r="L7639">
        <v>17.73</v>
      </c>
      <c r="M7639">
        <v>59113</v>
      </c>
      <c r="N7639" t="s">
        <v>61</v>
      </c>
      <c r="O7639">
        <v>250312</v>
      </c>
      <c r="P7639">
        <v>69.52</v>
      </c>
    </row>
    <row r="7640" spans="1:16" x14ac:dyDescent="0.25">
      <c r="A7640" t="s">
        <v>3296</v>
      </c>
      <c r="B7640" t="s">
        <v>2931</v>
      </c>
      <c r="C7640">
        <v>3468</v>
      </c>
      <c r="D7640" t="str">
        <f>"2560222174  "</f>
        <v xml:space="preserve">2560222174  </v>
      </c>
      <c r="E7640" t="s">
        <v>277</v>
      </c>
      <c r="F7640" t="s">
        <v>279</v>
      </c>
      <c r="G7640">
        <v>12.55</v>
      </c>
      <c r="H7640">
        <v>250310</v>
      </c>
      <c r="I7640">
        <v>4600</v>
      </c>
      <c r="J7640" t="s">
        <v>278</v>
      </c>
      <c r="K7640">
        <v>2000.42</v>
      </c>
      <c r="L7640">
        <v>2.5499999999999998</v>
      </c>
      <c r="M7640">
        <v>49112</v>
      </c>
      <c r="N7640" t="s">
        <v>109</v>
      </c>
      <c r="O7640">
        <v>250324</v>
      </c>
      <c r="P7640">
        <v>10</v>
      </c>
    </row>
    <row r="7641" spans="1:16" x14ac:dyDescent="0.25">
      <c r="A7641" t="s">
        <v>3296</v>
      </c>
      <c r="B7641" t="s">
        <v>2931</v>
      </c>
      <c r="C7641">
        <v>3469</v>
      </c>
      <c r="D7641" t="str">
        <f>"2560222171  "</f>
        <v xml:space="preserve">2560222171  </v>
      </c>
      <c r="E7641" t="s">
        <v>277</v>
      </c>
      <c r="F7641" t="s">
        <v>279</v>
      </c>
      <c r="G7641">
        <v>803.71</v>
      </c>
      <c r="H7641">
        <v>250310</v>
      </c>
      <c r="I7641">
        <v>4600</v>
      </c>
      <c r="J7641" t="s">
        <v>278</v>
      </c>
      <c r="K7641">
        <v>4253.07</v>
      </c>
      <c r="L7641">
        <v>163.30000000000001</v>
      </c>
      <c r="M7641">
        <v>54451</v>
      </c>
      <c r="N7641" t="s">
        <v>218</v>
      </c>
      <c r="O7641">
        <v>250324</v>
      </c>
      <c r="P7641">
        <v>640.41</v>
      </c>
    </row>
    <row r="7642" spans="1:16" x14ac:dyDescent="0.25">
      <c r="A7642" t="s">
        <v>3296</v>
      </c>
      <c r="B7642" t="s">
        <v>2931</v>
      </c>
      <c r="C7642">
        <v>3471</v>
      </c>
      <c r="D7642" t="str">
        <f>"2560222176  "</f>
        <v xml:space="preserve">2560222176  </v>
      </c>
      <c r="E7642" t="s">
        <v>277</v>
      </c>
      <c r="F7642" t="s">
        <v>279</v>
      </c>
      <c r="G7642">
        <v>7.2</v>
      </c>
      <c r="H7642">
        <v>250310</v>
      </c>
      <c r="I7642">
        <v>4600</v>
      </c>
      <c r="J7642" t="s">
        <v>278</v>
      </c>
      <c r="K7642">
        <v>689.79</v>
      </c>
      <c r="L7642">
        <v>1.46</v>
      </c>
      <c r="M7642">
        <v>44252</v>
      </c>
      <c r="N7642" t="s">
        <v>217</v>
      </c>
      <c r="O7642">
        <v>250324</v>
      </c>
      <c r="P7642">
        <v>5.74</v>
      </c>
    </row>
    <row r="7643" spans="1:16" x14ac:dyDescent="0.25">
      <c r="A7643" t="s">
        <v>3296</v>
      </c>
      <c r="B7643" t="s">
        <v>2931</v>
      </c>
      <c r="C7643">
        <v>3479</v>
      </c>
      <c r="D7643" t="str">
        <f>"2560222179  "</f>
        <v xml:space="preserve">2560222179  </v>
      </c>
      <c r="E7643" t="s">
        <v>277</v>
      </c>
      <c r="F7643" t="s">
        <v>279</v>
      </c>
      <c r="G7643">
        <v>24.62</v>
      </c>
      <c r="H7643">
        <v>250310</v>
      </c>
      <c r="I7643">
        <v>4600</v>
      </c>
      <c r="J7643" t="s">
        <v>278</v>
      </c>
      <c r="K7643">
        <v>781.77</v>
      </c>
      <c r="L7643">
        <v>5</v>
      </c>
      <c r="M7643">
        <v>44253</v>
      </c>
      <c r="N7643" t="s">
        <v>403</v>
      </c>
      <c r="O7643">
        <v>250324</v>
      </c>
      <c r="P7643">
        <v>19.62</v>
      </c>
    </row>
    <row r="7644" spans="1:16" x14ac:dyDescent="0.25">
      <c r="A7644" t="s">
        <v>3296</v>
      </c>
      <c r="B7644" t="s">
        <v>2931</v>
      </c>
      <c r="C7644">
        <v>3483</v>
      </c>
      <c r="D7644" t="str">
        <f>"2560222180  "</f>
        <v xml:space="preserve">2560222180  </v>
      </c>
      <c r="E7644" t="s">
        <v>277</v>
      </c>
      <c r="F7644" t="s">
        <v>279</v>
      </c>
      <c r="G7644">
        <v>20.51</v>
      </c>
      <c r="H7644">
        <v>250310</v>
      </c>
      <c r="I7644">
        <v>4600</v>
      </c>
      <c r="J7644" t="s">
        <v>278</v>
      </c>
      <c r="K7644">
        <v>1329.16</v>
      </c>
      <c r="L7644">
        <v>4.17</v>
      </c>
      <c r="M7644">
        <v>69112</v>
      </c>
      <c r="N7644" t="s">
        <v>227</v>
      </c>
      <c r="O7644">
        <v>250324</v>
      </c>
      <c r="P7644">
        <v>16.34</v>
      </c>
    </row>
    <row r="7645" spans="1:16" x14ac:dyDescent="0.25">
      <c r="A7645" t="s">
        <v>3296</v>
      </c>
      <c r="B7645" t="s">
        <v>2931</v>
      </c>
      <c r="C7645">
        <v>3483</v>
      </c>
      <c r="D7645" t="str">
        <f>"2560222180  "</f>
        <v xml:space="preserve">2560222180  </v>
      </c>
      <c r="E7645" t="s">
        <v>277</v>
      </c>
      <c r="F7645" t="s">
        <v>279</v>
      </c>
      <c r="G7645">
        <v>1.1399999999999999</v>
      </c>
      <c r="H7645">
        <v>250310</v>
      </c>
      <c r="I7645">
        <v>4600</v>
      </c>
      <c r="J7645" t="s">
        <v>278</v>
      </c>
      <c r="K7645">
        <v>1329.16</v>
      </c>
      <c r="L7645">
        <v>0.23</v>
      </c>
      <c r="M7645">
        <v>69810</v>
      </c>
      <c r="N7645" t="s">
        <v>229</v>
      </c>
      <c r="O7645">
        <v>250324</v>
      </c>
      <c r="P7645">
        <v>0.91</v>
      </c>
    </row>
    <row r="7646" spans="1:16" x14ac:dyDescent="0.25">
      <c r="A7646" t="s">
        <v>3296</v>
      </c>
      <c r="B7646" t="s">
        <v>2931</v>
      </c>
      <c r="C7646">
        <v>3483</v>
      </c>
      <c r="D7646" t="str">
        <f>"2560222180  "</f>
        <v xml:space="preserve">2560222180  </v>
      </c>
      <c r="E7646" t="s">
        <v>277</v>
      </c>
      <c r="F7646" t="s">
        <v>279</v>
      </c>
      <c r="G7646">
        <v>1.1399999999999999</v>
      </c>
      <c r="H7646">
        <v>250310</v>
      </c>
      <c r="I7646">
        <v>4600</v>
      </c>
      <c r="J7646" t="s">
        <v>278</v>
      </c>
      <c r="K7646">
        <v>1329.16</v>
      </c>
      <c r="L7646">
        <v>0.23</v>
      </c>
      <c r="M7646">
        <v>69811</v>
      </c>
      <c r="N7646" t="s">
        <v>230</v>
      </c>
      <c r="O7646">
        <v>250324</v>
      </c>
      <c r="P7646">
        <v>0.91</v>
      </c>
    </row>
    <row r="7647" spans="1:16" x14ac:dyDescent="0.25">
      <c r="A7647" t="s">
        <v>3296</v>
      </c>
      <c r="B7647" t="s">
        <v>2931</v>
      </c>
      <c r="C7647">
        <v>3490</v>
      </c>
      <c r="D7647" t="str">
        <f>"2560222170  "</f>
        <v xml:space="preserve">2560222170  </v>
      </c>
      <c r="E7647" t="s">
        <v>277</v>
      </c>
      <c r="F7647" t="s">
        <v>279</v>
      </c>
      <c r="G7647">
        <v>43.43</v>
      </c>
      <c r="H7647">
        <v>250310</v>
      </c>
      <c r="I7647">
        <v>4600</v>
      </c>
      <c r="J7647" t="s">
        <v>278</v>
      </c>
      <c r="K7647">
        <v>792.21</v>
      </c>
      <c r="L7647">
        <v>8.82</v>
      </c>
      <c r="M7647">
        <v>59114</v>
      </c>
      <c r="N7647" t="s">
        <v>299</v>
      </c>
      <c r="O7647">
        <v>250324</v>
      </c>
      <c r="P7647">
        <v>34.61</v>
      </c>
    </row>
    <row r="7648" spans="1:16" x14ac:dyDescent="0.25">
      <c r="A7648" t="s">
        <v>3296</v>
      </c>
      <c r="B7648" t="s">
        <v>2931</v>
      </c>
      <c r="C7648">
        <v>3500</v>
      </c>
      <c r="D7648" t="str">
        <f>"2560222172  "</f>
        <v xml:space="preserve">2560222172  </v>
      </c>
      <c r="E7648" t="s">
        <v>277</v>
      </c>
      <c r="F7648" t="s">
        <v>279</v>
      </c>
      <c r="G7648">
        <v>206.1</v>
      </c>
      <c r="H7648">
        <v>250310</v>
      </c>
      <c r="I7648">
        <v>4600</v>
      </c>
      <c r="J7648" t="s">
        <v>278</v>
      </c>
      <c r="K7648">
        <v>1866.27</v>
      </c>
      <c r="L7648">
        <v>41.88</v>
      </c>
      <c r="M7648">
        <v>59113</v>
      </c>
      <c r="N7648" t="s">
        <v>61</v>
      </c>
      <c r="O7648">
        <v>250324</v>
      </c>
      <c r="P7648">
        <v>164.22</v>
      </c>
    </row>
    <row r="7649" spans="1:16" x14ac:dyDescent="0.25">
      <c r="A7649" t="s">
        <v>3296</v>
      </c>
      <c r="B7649" t="s">
        <v>2931</v>
      </c>
      <c r="C7649">
        <v>3647</v>
      </c>
      <c r="D7649" t="str">
        <f>"2560242086  "</f>
        <v xml:space="preserve">2560242086  </v>
      </c>
      <c r="E7649" t="s">
        <v>277</v>
      </c>
      <c r="F7649" t="s">
        <v>279</v>
      </c>
      <c r="G7649">
        <v>71.86</v>
      </c>
      <c r="H7649">
        <v>250317</v>
      </c>
      <c r="I7649">
        <v>4600</v>
      </c>
      <c r="J7649" t="s">
        <v>278</v>
      </c>
      <c r="K7649">
        <v>1359.02</v>
      </c>
      <c r="L7649">
        <v>14.6</v>
      </c>
      <c r="M7649">
        <v>44251</v>
      </c>
      <c r="N7649" t="s">
        <v>215</v>
      </c>
      <c r="O7649">
        <v>250327</v>
      </c>
      <c r="P7649">
        <v>57.26</v>
      </c>
    </row>
    <row r="7650" spans="1:16" x14ac:dyDescent="0.25">
      <c r="A7650" t="s">
        <v>3296</v>
      </c>
      <c r="B7650" t="s">
        <v>2931</v>
      </c>
      <c r="C7650">
        <v>3649</v>
      </c>
      <c r="D7650" t="str">
        <f>"2560242084  "</f>
        <v xml:space="preserve">2560242084  </v>
      </c>
      <c r="E7650" t="s">
        <v>277</v>
      </c>
      <c r="F7650" t="s">
        <v>279</v>
      </c>
      <c r="G7650">
        <v>-87.61</v>
      </c>
      <c r="H7650">
        <v>250317</v>
      </c>
      <c r="I7650">
        <v>4600</v>
      </c>
      <c r="J7650" t="s">
        <v>278</v>
      </c>
      <c r="K7650">
        <v>1833.42</v>
      </c>
      <c r="L7650">
        <v>-17.8</v>
      </c>
      <c r="M7650">
        <v>49112</v>
      </c>
      <c r="N7650" t="s">
        <v>109</v>
      </c>
      <c r="O7650">
        <v>250327</v>
      </c>
      <c r="P7650">
        <v>-69.81</v>
      </c>
    </row>
    <row r="7651" spans="1:16" x14ac:dyDescent="0.25">
      <c r="A7651" t="s">
        <v>3296</v>
      </c>
      <c r="B7651" t="s">
        <v>2931</v>
      </c>
      <c r="C7651">
        <v>3655</v>
      </c>
      <c r="D7651" t="str">
        <f>"2560242082  "</f>
        <v xml:space="preserve">2560242082  </v>
      </c>
      <c r="E7651" t="s">
        <v>277</v>
      </c>
      <c r="F7651" t="s">
        <v>279</v>
      </c>
      <c r="G7651">
        <v>-25.1</v>
      </c>
      <c r="H7651">
        <v>250317</v>
      </c>
      <c r="I7651">
        <v>4600</v>
      </c>
      <c r="J7651" t="s">
        <v>278</v>
      </c>
      <c r="K7651">
        <v>1883.26</v>
      </c>
      <c r="L7651">
        <v>-5.0999999999999996</v>
      </c>
      <c r="M7651">
        <v>59113</v>
      </c>
      <c r="N7651" t="s">
        <v>61</v>
      </c>
      <c r="O7651">
        <v>250327</v>
      </c>
      <c r="P7651">
        <v>-20</v>
      </c>
    </row>
    <row r="7652" spans="1:16" x14ac:dyDescent="0.25">
      <c r="A7652" t="s">
        <v>3296</v>
      </c>
      <c r="B7652" t="s">
        <v>2931</v>
      </c>
      <c r="C7652">
        <v>3664</v>
      </c>
      <c r="D7652" t="str">
        <f>"2560242083  "</f>
        <v xml:space="preserve">2560242083  </v>
      </c>
      <c r="E7652" t="s">
        <v>277</v>
      </c>
      <c r="F7652" t="s">
        <v>279</v>
      </c>
      <c r="G7652">
        <v>86.29</v>
      </c>
      <c r="H7652">
        <v>250317</v>
      </c>
      <c r="I7652">
        <v>4600</v>
      </c>
      <c r="J7652" t="s">
        <v>278</v>
      </c>
      <c r="K7652">
        <v>1693.42</v>
      </c>
      <c r="L7652">
        <v>17.53</v>
      </c>
      <c r="M7652">
        <v>69113</v>
      </c>
      <c r="N7652" t="s">
        <v>122</v>
      </c>
      <c r="O7652">
        <v>250328</v>
      </c>
      <c r="P7652">
        <v>68.760000000000005</v>
      </c>
    </row>
    <row r="7653" spans="1:16" x14ac:dyDescent="0.25">
      <c r="A7653" t="s">
        <v>3296</v>
      </c>
      <c r="B7653" t="s">
        <v>2931</v>
      </c>
      <c r="C7653">
        <v>3664</v>
      </c>
      <c r="D7653" t="str">
        <f>"2560242083  "</f>
        <v xml:space="preserve">2560242083  </v>
      </c>
      <c r="E7653" t="s">
        <v>277</v>
      </c>
      <c r="F7653" t="s">
        <v>279</v>
      </c>
      <c r="G7653">
        <v>9.59</v>
      </c>
      <c r="H7653">
        <v>250317</v>
      </c>
      <c r="I7653">
        <v>4600</v>
      </c>
      <c r="J7653" t="s">
        <v>278</v>
      </c>
      <c r="K7653">
        <v>1693.42</v>
      </c>
      <c r="L7653">
        <v>1.95</v>
      </c>
      <c r="M7653">
        <v>69802</v>
      </c>
      <c r="N7653" t="s">
        <v>375</v>
      </c>
      <c r="O7653">
        <v>250328</v>
      </c>
      <c r="P7653">
        <v>7.64</v>
      </c>
    </row>
    <row r="7654" spans="1:16" x14ac:dyDescent="0.25">
      <c r="A7654" t="s">
        <v>3296</v>
      </c>
      <c r="B7654" t="s">
        <v>2931</v>
      </c>
      <c r="C7654">
        <v>3698</v>
      </c>
      <c r="D7654" t="str">
        <f>"2560242090  "</f>
        <v xml:space="preserve">2560242090  </v>
      </c>
      <c r="E7654" t="s">
        <v>277</v>
      </c>
      <c r="F7654" t="s">
        <v>279</v>
      </c>
      <c r="G7654">
        <v>36.19</v>
      </c>
      <c r="H7654">
        <v>250317</v>
      </c>
      <c r="I7654">
        <v>4600</v>
      </c>
      <c r="J7654" t="s">
        <v>278</v>
      </c>
      <c r="K7654">
        <v>815.32</v>
      </c>
      <c r="L7654">
        <v>7.35</v>
      </c>
      <c r="M7654">
        <v>69112</v>
      </c>
      <c r="N7654" t="s">
        <v>227</v>
      </c>
      <c r="O7654">
        <v>250328</v>
      </c>
      <c r="P7654">
        <v>28.84</v>
      </c>
    </row>
    <row r="7655" spans="1:16" x14ac:dyDescent="0.25">
      <c r="A7655" t="s">
        <v>3296</v>
      </c>
      <c r="B7655" t="s">
        <v>2931</v>
      </c>
      <c r="C7655">
        <v>3698</v>
      </c>
      <c r="D7655" t="str">
        <f>"2560242090  "</f>
        <v xml:space="preserve">2560242090  </v>
      </c>
      <c r="E7655" t="s">
        <v>277</v>
      </c>
      <c r="F7655" t="s">
        <v>279</v>
      </c>
      <c r="G7655">
        <v>2.0099999999999998</v>
      </c>
      <c r="H7655">
        <v>250317</v>
      </c>
      <c r="I7655">
        <v>4600</v>
      </c>
      <c r="J7655" t="s">
        <v>278</v>
      </c>
      <c r="K7655">
        <v>815.32</v>
      </c>
      <c r="L7655">
        <v>0.41</v>
      </c>
      <c r="M7655">
        <v>69810</v>
      </c>
      <c r="N7655" t="s">
        <v>229</v>
      </c>
      <c r="O7655">
        <v>250328</v>
      </c>
      <c r="P7655">
        <v>1.6</v>
      </c>
    </row>
    <row r="7656" spans="1:16" x14ac:dyDescent="0.25">
      <c r="A7656" t="s">
        <v>3296</v>
      </c>
      <c r="B7656" t="s">
        <v>2931</v>
      </c>
      <c r="C7656">
        <v>3698</v>
      </c>
      <c r="D7656" t="str">
        <f>"2560242090  "</f>
        <v xml:space="preserve">2560242090  </v>
      </c>
      <c r="E7656" t="s">
        <v>277</v>
      </c>
      <c r="F7656" t="s">
        <v>279</v>
      </c>
      <c r="G7656">
        <v>2.0099999999999998</v>
      </c>
      <c r="H7656">
        <v>250317</v>
      </c>
      <c r="I7656">
        <v>4600</v>
      </c>
      <c r="J7656" t="s">
        <v>278</v>
      </c>
      <c r="K7656">
        <v>815.32</v>
      </c>
      <c r="L7656">
        <v>0.41</v>
      </c>
      <c r="M7656">
        <v>69811</v>
      </c>
      <c r="N7656" t="s">
        <v>230</v>
      </c>
      <c r="O7656">
        <v>250328</v>
      </c>
      <c r="P7656">
        <v>1.6</v>
      </c>
    </row>
    <row r="7657" spans="1:16" x14ac:dyDescent="0.25">
      <c r="A7657" t="s">
        <v>3296</v>
      </c>
      <c r="B7657" t="s">
        <v>2931</v>
      </c>
      <c r="C7657">
        <v>3711</v>
      </c>
      <c r="D7657" t="str">
        <f>"2560242081  "</f>
        <v xml:space="preserve">2560242081  </v>
      </c>
      <c r="E7657" t="s">
        <v>277</v>
      </c>
      <c r="F7657" t="s">
        <v>279</v>
      </c>
      <c r="G7657">
        <v>14.95</v>
      </c>
      <c r="H7657">
        <v>250317</v>
      </c>
      <c r="I7657">
        <v>4600</v>
      </c>
      <c r="J7657" t="s">
        <v>278</v>
      </c>
      <c r="K7657">
        <v>1947.63</v>
      </c>
      <c r="L7657">
        <v>3.04</v>
      </c>
      <c r="M7657">
        <v>54451</v>
      </c>
      <c r="N7657" t="s">
        <v>218</v>
      </c>
      <c r="O7657">
        <v>250328</v>
      </c>
      <c r="P7657">
        <v>11.91</v>
      </c>
    </row>
    <row r="7658" spans="1:16" x14ac:dyDescent="0.25">
      <c r="A7658" t="s">
        <v>3296</v>
      </c>
      <c r="B7658" t="s">
        <v>2931</v>
      </c>
      <c r="C7658">
        <v>4053</v>
      </c>
      <c r="D7658" t="str">
        <f>"2560258242  "</f>
        <v xml:space="preserve">2560258242  </v>
      </c>
      <c r="E7658" t="s">
        <v>277</v>
      </c>
      <c r="F7658" t="s">
        <v>279</v>
      </c>
      <c r="G7658">
        <v>12.55</v>
      </c>
      <c r="H7658">
        <v>250324</v>
      </c>
      <c r="I7658">
        <v>4600</v>
      </c>
      <c r="J7658" t="s">
        <v>278</v>
      </c>
      <c r="K7658">
        <v>2172.96</v>
      </c>
      <c r="L7658">
        <v>2.5499999999999998</v>
      </c>
      <c r="M7658">
        <v>69113</v>
      </c>
      <c r="N7658" t="s">
        <v>122</v>
      </c>
      <c r="O7658">
        <v>250407</v>
      </c>
      <c r="P7658">
        <v>10</v>
      </c>
    </row>
    <row r="7659" spans="1:16" x14ac:dyDescent="0.25">
      <c r="A7659" t="s">
        <v>3296</v>
      </c>
      <c r="B7659" t="s">
        <v>2931</v>
      </c>
      <c r="C7659">
        <v>4060</v>
      </c>
      <c r="D7659" t="str">
        <f>"2560258241  "</f>
        <v xml:space="preserve">2560258241  </v>
      </c>
      <c r="E7659" t="s">
        <v>277</v>
      </c>
      <c r="F7659" t="s">
        <v>279</v>
      </c>
      <c r="G7659">
        <v>25.1</v>
      </c>
      <c r="H7659">
        <v>250324</v>
      </c>
      <c r="I7659">
        <v>4600</v>
      </c>
      <c r="J7659" t="s">
        <v>278</v>
      </c>
      <c r="K7659">
        <v>2393.5</v>
      </c>
      <c r="L7659">
        <v>5.0999999999999996</v>
      </c>
      <c r="M7659">
        <v>59113</v>
      </c>
      <c r="N7659" t="s">
        <v>61</v>
      </c>
      <c r="O7659">
        <v>250407</v>
      </c>
      <c r="P7659">
        <v>20</v>
      </c>
    </row>
    <row r="7660" spans="1:16" x14ac:dyDescent="0.25">
      <c r="A7660" t="s">
        <v>3296</v>
      </c>
      <c r="B7660" t="s">
        <v>2931</v>
      </c>
      <c r="C7660">
        <v>4066</v>
      </c>
      <c r="D7660" t="str">
        <f>"2560258240  "</f>
        <v xml:space="preserve">2560258240  </v>
      </c>
      <c r="E7660" t="s">
        <v>277</v>
      </c>
      <c r="F7660" t="s">
        <v>279</v>
      </c>
      <c r="G7660">
        <v>-39.36</v>
      </c>
      <c r="H7660">
        <v>250324</v>
      </c>
      <c r="I7660">
        <v>4600</v>
      </c>
      <c r="J7660" t="s">
        <v>278</v>
      </c>
      <c r="K7660">
        <v>2929.73</v>
      </c>
      <c r="L7660">
        <v>-8</v>
      </c>
      <c r="M7660">
        <v>54451</v>
      </c>
      <c r="N7660" t="s">
        <v>218</v>
      </c>
      <c r="O7660">
        <v>250407</v>
      </c>
      <c r="P7660">
        <v>-31.36</v>
      </c>
    </row>
    <row r="7661" spans="1:16" x14ac:dyDescent="0.25">
      <c r="A7661" t="s">
        <v>3296</v>
      </c>
      <c r="B7661" t="s">
        <v>2931</v>
      </c>
      <c r="C7661">
        <v>4077</v>
      </c>
      <c r="D7661" t="str">
        <f>"2560258248  "</f>
        <v xml:space="preserve">2560258248  </v>
      </c>
      <c r="E7661" t="s">
        <v>277</v>
      </c>
      <c r="F7661" t="s">
        <v>279</v>
      </c>
      <c r="G7661">
        <v>114.71</v>
      </c>
      <c r="H7661">
        <v>250324</v>
      </c>
      <c r="I7661">
        <v>4600</v>
      </c>
      <c r="J7661" t="s">
        <v>278</v>
      </c>
      <c r="K7661">
        <v>1363.12</v>
      </c>
      <c r="L7661">
        <v>23.31</v>
      </c>
      <c r="M7661">
        <v>69112</v>
      </c>
      <c r="N7661" t="s">
        <v>227</v>
      </c>
      <c r="O7661">
        <v>250407</v>
      </c>
      <c r="P7661">
        <v>91.4</v>
      </c>
    </row>
    <row r="7662" spans="1:16" x14ac:dyDescent="0.25">
      <c r="A7662" t="s">
        <v>3296</v>
      </c>
      <c r="B7662" t="s">
        <v>2931</v>
      </c>
      <c r="C7662">
        <v>4077</v>
      </c>
      <c r="D7662" t="str">
        <f>"2560258248  "</f>
        <v xml:space="preserve">2560258248  </v>
      </c>
      <c r="E7662" t="s">
        <v>277</v>
      </c>
      <c r="F7662" t="s">
        <v>279</v>
      </c>
      <c r="G7662">
        <v>6.38</v>
      </c>
      <c r="H7662">
        <v>250324</v>
      </c>
      <c r="I7662">
        <v>4600</v>
      </c>
      <c r="J7662" t="s">
        <v>278</v>
      </c>
      <c r="K7662">
        <v>1363.12</v>
      </c>
      <c r="L7662">
        <v>1.3</v>
      </c>
      <c r="M7662">
        <v>69810</v>
      </c>
      <c r="N7662" t="s">
        <v>229</v>
      </c>
      <c r="O7662">
        <v>250407</v>
      </c>
      <c r="P7662">
        <v>5.08</v>
      </c>
    </row>
    <row r="7663" spans="1:16" x14ac:dyDescent="0.25">
      <c r="A7663" t="s">
        <v>3296</v>
      </c>
      <c r="B7663" t="s">
        <v>2931</v>
      </c>
      <c r="C7663">
        <v>4077</v>
      </c>
      <c r="D7663" t="str">
        <f>"2560258248  "</f>
        <v xml:space="preserve">2560258248  </v>
      </c>
      <c r="E7663" t="s">
        <v>277</v>
      </c>
      <c r="F7663" t="s">
        <v>279</v>
      </c>
      <c r="G7663">
        <v>6.37</v>
      </c>
      <c r="H7663">
        <v>250324</v>
      </c>
      <c r="I7663">
        <v>4600</v>
      </c>
      <c r="J7663" t="s">
        <v>278</v>
      </c>
      <c r="K7663">
        <v>1363.12</v>
      </c>
      <c r="L7663">
        <v>1.29</v>
      </c>
      <c r="M7663">
        <v>69811</v>
      </c>
      <c r="N7663" t="s">
        <v>230</v>
      </c>
      <c r="O7663">
        <v>250407</v>
      </c>
      <c r="P7663">
        <v>5.08</v>
      </c>
    </row>
    <row r="7664" spans="1:16" x14ac:dyDescent="0.25">
      <c r="A7664" t="s">
        <v>3296</v>
      </c>
      <c r="B7664" t="s">
        <v>2931</v>
      </c>
      <c r="C7664">
        <v>4087</v>
      </c>
      <c r="D7664" t="str">
        <f>"2560258243  "</f>
        <v xml:space="preserve">2560258243  </v>
      </c>
      <c r="E7664" t="s">
        <v>277</v>
      </c>
      <c r="F7664" t="s">
        <v>279</v>
      </c>
      <c r="G7664">
        <v>243.48</v>
      </c>
      <c r="H7664">
        <v>250324</v>
      </c>
      <c r="I7664">
        <v>4600</v>
      </c>
      <c r="J7664" t="s">
        <v>278</v>
      </c>
      <c r="K7664">
        <v>2160.5300000000002</v>
      </c>
      <c r="L7664">
        <v>49.47</v>
      </c>
      <c r="M7664">
        <v>49112</v>
      </c>
      <c r="N7664" t="s">
        <v>109</v>
      </c>
      <c r="O7664">
        <v>250407</v>
      </c>
      <c r="P7664">
        <v>194.01</v>
      </c>
    </row>
    <row r="7665" spans="1:16" x14ac:dyDescent="0.25">
      <c r="A7665" t="s">
        <v>3296</v>
      </c>
      <c r="B7665" t="s">
        <v>2931</v>
      </c>
      <c r="C7665">
        <v>4197</v>
      </c>
      <c r="D7665" t="str">
        <f>"2560258247  "</f>
        <v xml:space="preserve">2560258247  </v>
      </c>
      <c r="E7665" t="s">
        <v>277</v>
      </c>
      <c r="F7665" t="s">
        <v>279</v>
      </c>
      <c r="G7665">
        <v>-12.55</v>
      </c>
      <c r="H7665">
        <v>250324</v>
      </c>
      <c r="I7665">
        <v>4600</v>
      </c>
      <c r="J7665" t="s">
        <v>278</v>
      </c>
      <c r="K7665">
        <v>276.35000000000002</v>
      </c>
      <c r="L7665">
        <v>-2.5499999999999998</v>
      </c>
      <c r="M7665">
        <v>44253</v>
      </c>
      <c r="N7665" t="s">
        <v>403</v>
      </c>
      <c r="O7665">
        <v>250409</v>
      </c>
      <c r="P7665">
        <v>-10</v>
      </c>
    </row>
    <row r="7666" spans="1:16" x14ac:dyDescent="0.25">
      <c r="A7666" t="s">
        <v>3296</v>
      </c>
      <c r="B7666" t="s">
        <v>2931</v>
      </c>
      <c r="C7666">
        <v>4351</v>
      </c>
      <c r="D7666" t="str">
        <f>"2560275098  "</f>
        <v xml:space="preserve">2560275098  </v>
      </c>
      <c r="E7666" t="s">
        <v>277</v>
      </c>
      <c r="F7666" t="s">
        <v>279</v>
      </c>
      <c r="G7666">
        <v>255.8</v>
      </c>
      <c r="H7666">
        <v>250331</v>
      </c>
      <c r="I7666">
        <v>4600</v>
      </c>
      <c r="J7666" t="s">
        <v>278</v>
      </c>
      <c r="K7666">
        <v>1718.46</v>
      </c>
      <c r="L7666">
        <v>51.98</v>
      </c>
      <c r="M7666">
        <v>49112</v>
      </c>
      <c r="N7666" t="s">
        <v>109</v>
      </c>
      <c r="O7666">
        <v>250411</v>
      </c>
      <c r="P7666">
        <v>203.82</v>
      </c>
    </row>
    <row r="7667" spans="1:16" x14ac:dyDescent="0.25">
      <c r="A7667" t="s">
        <v>3296</v>
      </c>
      <c r="B7667" t="s">
        <v>2931</v>
      </c>
      <c r="C7667">
        <v>4355</v>
      </c>
      <c r="D7667" t="str">
        <f>"2560275097  "</f>
        <v xml:space="preserve">2560275097  </v>
      </c>
      <c r="E7667" t="s">
        <v>277</v>
      </c>
      <c r="F7667" t="s">
        <v>279</v>
      </c>
      <c r="G7667">
        <v>151.38</v>
      </c>
      <c r="H7667">
        <v>250331</v>
      </c>
      <c r="I7667">
        <v>4600</v>
      </c>
      <c r="J7667" t="s">
        <v>278</v>
      </c>
      <c r="K7667">
        <v>2213.1799999999998</v>
      </c>
      <c r="L7667">
        <v>30.76</v>
      </c>
      <c r="M7667">
        <v>69113</v>
      </c>
      <c r="N7667" t="s">
        <v>122</v>
      </c>
      <c r="O7667">
        <v>250411</v>
      </c>
      <c r="P7667">
        <v>120.62</v>
      </c>
    </row>
    <row r="7668" spans="1:16" x14ac:dyDescent="0.25">
      <c r="A7668" t="s">
        <v>3296</v>
      </c>
      <c r="B7668" t="s">
        <v>2931</v>
      </c>
      <c r="C7668">
        <v>4355</v>
      </c>
      <c r="D7668" t="str">
        <f>"2560275097  "</f>
        <v xml:space="preserve">2560275097  </v>
      </c>
      <c r="E7668" t="s">
        <v>277</v>
      </c>
      <c r="F7668" t="s">
        <v>279</v>
      </c>
      <c r="G7668">
        <v>16.82</v>
      </c>
      <c r="H7668">
        <v>250331</v>
      </c>
      <c r="I7668">
        <v>4600</v>
      </c>
      <c r="J7668" t="s">
        <v>278</v>
      </c>
      <c r="K7668">
        <v>2213.1799999999998</v>
      </c>
      <c r="L7668">
        <v>3.42</v>
      </c>
      <c r="M7668">
        <v>69802</v>
      </c>
      <c r="N7668" t="s">
        <v>375</v>
      </c>
      <c r="O7668">
        <v>250411</v>
      </c>
      <c r="P7668">
        <v>13.4</v>
      </c>
    </row>
    <row r="7669" spans="1:16" x14ac:dyDescent="0.25">
      <c r="A7669" t="s">
        <v>3296</v>
      </c>
      <c r="B7669" t="s">
        <v>2931</v>
      </c>
      <c r="C7669">
        <v>4404</v>
      </c>
      <c r="D7669" t="str">
        <f>"2560275095  "</f>
        <v xml:space="preserve">2560275095  </v>
      </c>
      <c r="E7669" t="s">
        <v>277</v>
      </c>
      <c r="F7669" t="s">
        <v>279</v>
      </c>
      <c r="G7669">
        <v>65.319999999999993</v>
      </c>
      <c r="H7669">
        <v>250331</v>
      </c>
      <c r="I7669">
        <v>4600</v>
      </c>
      <c r="J7669" t="s">
        <v>278</v>
      </c>
      <c r="K7669">
        <v>2119.19</v>
      </c>
      <c r="L7669">
        <v>13.27</v>
      </c>
      <c r="M7669">
        <v>54451</v>
      </c>
      <c r="N7669" t="s">
        <v>218</v>
      </c>
      <c r="O7669">
        <v>250411</v>
      </c>
      <c r="P7669">
        <v>52.05</v>
      </c>
    </row>
    <row r="7670" spans="1:16" x14ac:dyDescent="0.25">
      <c r="A7670" t="s">
        <v>3296</v>
      </c>
      <c r="B7670" t="s">
        <v>2931</v>
      </c>
      <c r="C7670">
        <v>4420</v>
      </c>
      <c r="D7670" t="str">
        <f>"2560275096  "</f>
        <v xml:space="preserve">2560275096  </v>
      </c>
      <c r="E7670" t="s">
        <v>277</v>
      </c>
      <c r="F7670" t="s">
        <v>279</v>
      </c>
      <c r="G7670">
        <v>27.2</v>
      </c>
      <c r="H7670">
        <v>250331</v>
      </c>
      <c r="I7670">
        <v>4600</v>
      </c>
      <c r="J7670" t="s">
        <v>278</v>
      </c>
      <c r="K7670">
        <v>1939.43</v>
      </c>
      <c r="L7670">
        <v>5.53</v>
      </c>
      <c r="M7670">
        <v>59113</v>
      </c>
      <c r="N7670" t="s">
        <v>61</v>
      </c>
      <c r="O7670">
        <v>250411</v>
      </c>
      <c r="P7670">
        <v>21.67</v>
      </c>
    </row>
    <row r="7671" spans="1:16" x14ac:dyDescent="0.25">
      <c r="A7671" t="s">
        <v>3296</v>
      </c>
      <c r="B7671" t="s">
        <v>2931</v>
      </c>
      <c r="C7671">
        <v>4467</v>
      </c>
      <c r="D7671" t="str">
        <f>"2560275094  "</f>
        <v xml:space="preserve">2560275094  </v>
      </c>
      <c r="E7671" t="s">
        <v>277</v>
      </c>
      <c r="F7671" t="s">
        <v>279</v>
      </c>
      <c r="G7671">
        <v>-12.55</v>
      </c>
      <c r="H7671">
        <v>250331</v>
      </c>
      <c r="I7671">
        <v>4600</v>
      </c>
      <c r="J7671" t="s">
        <v>278</v>
      </c>
      <c r="K7671">
        <v>976.18</v>
      </c>
      <c r="L7671">
        <v>-2.5499999999999998</v>
      </c>
      <c r="M7671">
        <v>59114</v>
      </c>
      <c r="N7671" t="s">
        <v>299</v>
      </c>
      <c r="O7671">
        <v>250411</v>
      </c>
      <c r="P7671">
        <v>-10</v>
      </c>
    </row>
    <row r="7672" spans="1:16" x14ac:dyDescent="0.25">
      <c r="A7672" t="s">
        <v>3296</v>
      </c>
      <c r="B7672" t="s">
        <v>2931</v>
      </c>
      <c r="C7672">
        <v>4475</v>
      </c>
      <c r="D7672" t="str">
        <f>"2560275103  "</f>
        <v xml:space="preserve">2560275103  </v>
      </c>
      <c r="E7672" t="s">
        <v>277</v>
      </c>
      <c r="F7672" t="s">
        <v>279</v>
      </c>
      <c r="G7672">
        <v>79.37</v>
      </c>
      <c r="H7672">
        <v>250331</v>
      </c>
      <c r="I7672">
        <v>4600</v>
      </c>
      <c r="J7672" t="s">
        <v>278</v>
      </c>
      <c r="K7672">
        <v>2975.13</v>
      </c>
      <c r="L7672">
        <v>16.13</v>
      </c>
      <c r="M7672">
        <v>69112</v>
      </c>
      <c r="N7672" t="s">
        <v>227</v>
      </c>
      <c r="O7672">
        <v>250411</v>
      </c>
      <c r="P7672">
        <v>63.24</v>
      </c>
    </row>
    <row r="7673" spans="1:16" x14ac:dyDescent="0.25">
      <c r="A7673" t="s">
        <v>3296</v>
      </c>
      <c r="B7673" t="s">
        <v>2931</v>
      </c>
      <c r="C7673">
        <v>4475</v>
      </c>
      <c r="D7673" t="str">
        <f>"2560275103  "</f>
        <v xml:space="preserve">2560275103  </v>
      </c>
      <c r="E7673" t="s">
        <v>277</v>
      </c>
      <c r="F7673" t="s">
        <v>279</v>
      </c>
      <c r="G7673">
        <v>4.41</v>
      </c>
      <c r="H7673">
        <v>250331</v>
      </c>
      <c r="I7673">
        <v>4600</v>
      </c>
      <c r="J7673" t="s">
        <v>278</v>
      </c>
      <c r="K7673">
        <v>2975.13</v>
      </c>
      <c r="L7673">
        <v>0.9</v>
      </c>
      <c r="M7673">
        <v>69810</v>
      </c>
      <c r="N7673" t="s">
        <v>229</v>
      </c>
      <c r="O7673">
        <v>250411</v>
      </c>
      <c r="P7673">
        <v>3.51</v>
      </c>
    </row>
    <row r="7674" spans="1:16" x14ac:dyDescent="0.25">
      <c r="A7674" t="s">
        <v>3296</v>
      </c>
      <c r="B7674" t="s">
        <v>2931</v>
      </c>
      <c r="C7674">
        <v>4475</v>
      </c>
      <c r="D7674" t="str">
        <f>"2560275103  "</f>
        <v xml:space="preserve">2560275103  </v>
      </c>
      <c r="E7674" t="s">
        <v>277</v>
      </c>
      <c r="F7674" t="s">
        <v>279</v>
      </c>
      <c r="G7674">
        <v>4.41</v>
      </c>
      <c r="H7674">
        <v>250331</v>
      </c>
      <c r="I7674">
        <v>4600</v>
      </c>
      <c r="J7674" t="s">
        <v>278</v>
      </c>
      <c r="K7674">
        <v>2975.13</v>
      </c>
      <c r="L7674">
        <v>0.9</v>
      </c>
      <c r="M7674">
        <v>69811</v>
      </c>
      <c r="N7674" t="s">
        <v>230</v>
      </c>
      <c r="O7674">
        <v>250411</v>
      </c>
      <c r="P7674">
        <v>3.51</v>
      </c>
    </row>
    <row r="7675" spans="1:16" x14ac:dyDescent="0.25">
      <c r="A7675" t="s">
        <v>3296</v>
      </c>
      <c r="B7675" t="s">
        <v>2931</v>
      </c>
      <c r="C7675">
        <v>4851</v>
      </c>
      <c r="D7675" t="str">
        <f>"2560320680  "</f>
        <v xml:space="preserve">2560320680  </v>
      </c>
      <c r="E7675" t="s">
        <v>277</v>
      </c>
      <c r="F7675" t="s">
        <v>279</v>
      </c>
      <c r="G7675">
        <v>-12.55</v>
      </c>
      <c r="H7675">
        <v>250407</v>
      </c>
      <c r="I7675">
        <v>4600</v>
      </c>
      <c r="J7675" t="s">
        <v>278</v>
      </c>
      <c r="K7675">
        <v>-12.55</v>
      </c>
      <c r="L7675">
        <v>-2.5499999999999998</v>
      </c>
      <c r="M7675">
        <v>44253</v>
      </c>
      <c r="N7675" t="s">
        <v>403</v>
      </c>
      <c r="O7675">
        <v>250415</v>
      </c>
      <c r="P7675">
        <v>-10</v>
      </c>
    </row>
    <row r="7676" spans="1:16" x14ac:dyDescent="0.25">
      <c r="A7676" t="s">
        <v>3296</v>
      </c>
      <c r="B7676" t="s">
        <v>2931</v>
      </c>
      <c r="C7676">
        <v>4873</v>
      </c>
      <c r="D7676" t="str">
        <f>"2560320681  "</f>
        <v xml:space="preserve">2560320681  </v>
      </c>
      <c r="E7676" t="s">
        <v>277</v>
      </c>
      <c r="F7676" t="s">
        <v>279</v>
      </c>
      <c r="G7676">
        <v>115.39</v>
      </c>
      <c r="H7676">
        <v>250407</v>
      </c>
      <c r="I7676">
        <v>4600</v>
      </c>
      <c r="J7676" t="s">
        <v>278</v>
      </c>
      <c r="K7676">
        <v>1014.65</v>
      </c>
      <c r="L7676">
        <v>23.45</v>
      </c>
      <c r="M7676">
        <v>69112</v>
      </c>
      <c r="N7676" t="s">
        <v>227</v>
      </c>
      <c r="O7676">
        <v>250416</v>
      </c>
      <c r="P7676">
        <v>91.94</v>
      </c>
    </row>
    <row r="7677" spans="1:16" x14ac:dyDescent="0.25">
      <c r="A7677" t="s">
        <v>3296</v>
      </c>
      <c r="B7677" t="s">
        <v>2931</v>
      </c>
      <c r="C7677">
        <v>4873</v>
      </c>
      <c r="D7677" t="str">
        <f>"2560320681  "</f>
        <v xml:space="preserve">2560320681  </v>
      </c>
      <c r="E7677" t="s">
        <v>277</v>
      </c>
      <c r="F7677" t="s">
        <v>279</v>
      </c>
      <c r="G7677">
        <v>6.41</v>
      </c>
      <c r="H7677">
        <v>250407</v>
      </c>
      <c r="I7677">
        <v>4600</v>
      </c>
      <c r="J7677" t="s">
        <v>278</v>
      </c>
      <c r="K7677">
        <v>1014.65</v>
      </c>
      <c r="L7677">
        <v>1.3</v>
      </c>
      <c r="M7677">
        <v>69810</v>
      </c>
      <c r="N7677" t="s">
        <v>229</v>
      </c>
      <c r="O7677">
        <v>250416</v>
      </c>
      <c r="P7677">
        <v>5.1100000000000003</v>
      </c>
    </row>
    <row r="7678" spans="1:16" x14ac:dyDescent="0.25">
      <c r="A7678" t="s">
        <v>3296</v>
      </c>
      <c r="B7678" t="s">
        <v>2931</v>
      </c>
      <c r="C7678">
        <v>4873</v>
      </c>
      <c r="D7678" t="str">
        <f>"2560320681  "</f>
        <v xml:space="preserve">2560320681  </v>
      </c>
      <c r="E7678" t="s">
        <v>277</v>
      </c>
      <c r="F7678" t="s">
        <v>279</v>
      </c>
      <c r="G7678">
        <v>6.41</v>
      </c>
      <c r="H7678">
        <v>250407</v>
      </c>
      <c r="I7678">
        <v>4600</v>
      </c>
      <c r="J7678" t="s">
        <v>278</v>
      </c>
      <c r="K7678">
        <v>1014.65</v>
      </c>
      <c r="L7678">
        <v>1.3</v>
      </c>
      <c r="M7678">
        <v>69811</v>
      </c>
      <c r="N7678" t="s">
        <v>230</v>
      </c>
      <c r="O7678">
        <v>250416</v>
      </c>
      <c r="P7678">
        <v>5.1100000000000003</v>
      </c>
    </row>
    <row r="7679" spans="1:16" x14ac:dyDescent="0.25">
      <c r="A7679" t="s">
        <v>3296</v>
      </c>
      <c r="B7679" t="s">
        <v>2931</v>
      </c>
      <c r="C7679">
        <v>4883</v>
      </c>
      <c r="D7679" t="str">
        <f>"2560320675  "</f>
        <v xml:space="preserve">2560320675  </v>
      </c>
      <c r="E7679" t="s">
        <v>277</v>
      </c>
      <c r="F7679" t="s">
        <v>279</v>
      </c>
      <c r="G7679">
        <v>138.59</v>
      </c>
      <c r="H7679">
        <v>250407</v>
      </c>
      <c r="I7679">
        <v>4600</v>
      </c>
      <c r="J7679" t="s">
        <v>278</v>
      </c>
      <c r="K7679">
        <v>2180.96</v>
      </c>
      <c r="L7679">
        <v>28.16</v>
      </c>
      <c r="M7679">
        <v>69113</v>
      </c>
      <c r="N7679" t="s">
        <v>122</v>
      </c>
      <c r="O7679">
        <v>250416</v>
      </c>
      <c r="P7679">
        <v>110.43</v>
      </c>
    </row>
    <row r="7680" spans="1:16" x14ac:dyDescent="0.25">
      <c r="A7680" t="s">
        <v>3296</v>
      </c>
      <c r="B7680" t="s">
        <v>2931</v>
      </c>
      <c r="C7680">
        <v>4883</v>
      </c>
      <c r="D7680" t="str">
        <f>"2560320675  "</f>
        <v xml:space="preserve">2560320675  </v>
      </c>
      <c r="E7680" t="s">
        <v>277</v>
      </c>
      <c r="F7680" t="s">
        <v>279</v>
      </c>
      <c r="G7680">
        <v>15.4</v>
      </c>
      <c r="H7680">
        <v>250407</v>
      </c>
      <c r="I7680">
        <v>4600</v>
      </c>
      <c r="J7680" t="s">
        <v>278</v>
      </c>
      <c r="K7680">
        <v>2180.96</v>
      </c>
      <c r="L7680">
        <v>3.13</v>
      </c>
      <c r="M7680">
        <v>69802</v>
      </c>
      <c r="N7680" t="s">
        <v>375</v>
      </c>
      <c r="O7680">
        <v>250416</v>
      </c>
      <c r="P7680">
        <v>12.27</v>
      </c>
    </row>
    <row r="7681" spans="1:16" x14ac:dyDescent="0.25">
      <c r="A7681" t="s">
        <v>3296</v>
      </c>
      <c r="B7681" t="s">
        <v>2931</v>
      </c>
      <c r="C7681">
        <v>4922</v>
      </c>
      <c r="D7681" t="str">
        <f>"2560320673  "</f>
        <v xml:space="preserve">2560320673  </v>
      </c>
      <c r="E7681" t="s">
        <v>277</v>
      </c>
      <c r="F7681" t="s">
        <v>279</v>
      </c>
      <c r="G7681">
        <v>182.54</v>
      </c>
      <c r="H7681">
        <v>250407</v>
      </c>
      <c r="I7681">
        <v>4600</v>
      </c>
      <c r="J7681" t="s">
        <v>278</v>
      </c>
      <c r="K7681">
        <v>1597.4</v>
      </c>
      <c r="L7681">
        <v>37.090000000000003</v>
      </c>
      <c r="M7681">
        <v>54422</v>
      </c>
      <c r="N7681" t="s">
        <v>49</v>
      </c>
      <c r="O7681">
        <v>250416</v>
      </c>
      <c r="P7681">
        <v>145.44999999999999</v>
      </c>
    </row>
    <row r="7682" spans="1:16" x14ac:dyDescent="0.25">
      <c r="A7682" t="s">
        <v>3296</v>
      </c>
      <c r="B7682" t="s">
        <v>2931</v>
      </c>
      <c r="C7682">
        <v>4957</v>
      </c>
      <c r="D7682" t="str">
        <f>"2560320672  "</f>
        <v xml:space="preserve">2560320672  </v>
      </c>
      <c r="E7682" t="s">
        <v>277</v>
      </c>
      <c r="F7682" t="s">
        <v>279</v>
      </c>
      <c r="G7682">
        <v>35.18</v>
      </c>
      <c r="H7682">
        <v>250407</v>
      </c>
      <c r="I7682">
        <v>4600</v>
      </c>
      <c r="J7682" t="s">
        <v>278</v>
      </c>
      <c r="K7682">
        <v>793.06</v>
      </c>
      <c r="L7682">
        <v>7.15</v>
      </c>
      <c r="M7682">
        <v>59114</v>
      </c>
      <c r="N7682" t="s">
        <v>299</v>
      </c>
      <c r="O7682">
        <v>250416</v>
      </c>
      <c r="P7682">
        <v>28.03</v>
      </c>
    </row>
    <row r="7683" spans="1:16" x14ac:dyDescent="0.25">
      <c r="A7683" t="s">
        <v>3296</v>
      </c>
      <c r="B7683" t="s">
        <v>2931</v>
      </c>
      <c r="C7683">
        <v>5346</v>
      </c>
      <c r="D7683" t="str">
        <f>"2560338345  "</f>
        <v xml:space="preserve">2560338345  </v>
      </c>
      <c r="E7683" t="s">
        <v>277</v>
      </c>
      <c r="F7683" t="s">
        <v>279</v>
      </c>
      <c r="G7683">
        <v>90.05</v>
      </c>
      <c r="H7683">
        <v>250414</v>
      </c>
      <c r="I7683">
        <v>4600</v>
      </c>
      <c r="J7683" t="s">
        <v>278</v>
      </c>
      <c r="K7683">
        <v>827.73</v>
      </c>
      <c r="L7683">
        <v>18.3</v>
      </c>
      <c r="M7683">
        <v>59114</v>
      </c>
      <c r="N7683" t="s">
        <v>299</v>
      </c>
      <c r="O7683">
        <v>250423</v>
      </c>
      <c r="P7683">
        <v>71.75</v>
      </c>
    </row>
    <row r="7684" spans="1:16" x14ac:dyDescent="0.25">
      <c r="A7684" t="s">
        <v>3296</v>
      </c>
      <c r="B7684" t="s">
        <v>2931</v>
      </c>
      <c r="C7684">
        <v>5351</v>
      </c>
      <c r="D7684" t="str">
        <f>"2560338354  "</f>
        <v xml:space="preserve">2560338354  </v>
      </c>
      <c r="E7684" t="s">
        <v>277</v>
      </c>
      <c r="F7684" t="s">
        <v>279</v>
      </c>
      <c r="G7684">
        <v>178.99</v>
      </c>
      <c r="H7684">
        <v>250414</v>
      </c>
      <c r="I7684">
        <v>4600</v>
      </c>
      <c r="J7684" t="s">
        <v>278</v>
      </c>
      <c r="K7684">
        <v>1474.36</v>
      </c>
      <c r="L7684">
        <v>36.369999999999997</v>
      </c>
      <c r="M7684">
        <v>69112</v>
      </c>
      <c r="N7684" t="s">
        <v>227</v>
      </c>
      <c r="O7684">
        <v>250423</v>
      </c>
      <c r="P7684">
        <v>142.62</v>
      </c>
    </row>
    <row r="7685" spans="1:16" x14ac:dyDescent="0.25">
      <c r="A7685" t="s">
        <v>3296</v>
      </c>
      <c r="B7685" t="s">
        <v>2931</v>
      </c>
      <c r="C7685">
        <v>5351</v>
      </c>
      <c r="D7685" t="str">
        <f>"2560338354  "</f>
        <v xml:space="preserve">2560338354  </v>
      </c>
      <c r="E7685" t="s">
        <v>277</v>
      </c>
      <c r="F7685" t="s">
        <v>279</v>
      </c>
      <c r="G7685">
        <v>9.9499999999999993</v>
      </c>
      <c r="H7685">
        <v>250414</v>
      </c>
      <c r="I7685">
        <v>4600</v>
      </c>
      <c r="J7685" t="s">
        <v>278</v>
      </c>
      <c r="K7685">
        <v>1474.36</v>
      </c>
      <c r="L7685">
        <v>2.02</v>
      </c>
      <c r="M7685">
        <v>69810</v>
      </c>
      <c r="N7685" t="s">
        <v>229</v>
      </c>
      <c r="O7685">
        <v>250423</v>
      </c>
      <c r="P7685">
        <v>7.93</v>
      </c>
    </row>
    <row r="7686" spans="1:16" x14ac:dyDescent="0.25">
      <c r="A7686" t="s">
        <v>3296</v>
      </c>
      <c r="B7686" t="s">
        <v>2931</v>
      </c>
      <c r="C7686">
        <v>5351</v>
      </c>
      <c r="D7686" t="str">
        <f>"2560338354  "</f>
        <v xml:space="preserve">2560338354  </v>
      </c>
      <c r="E7686" t="s">
        <v>277</v>
      </c>
      <c r="F7686" t="s">
        <v>279</v>
      </c>
      <c r="G7686">
        <v>9.94</v>
      </c>
      <c r="H7686">
        <v>250414</v>
      </c>
      <c r="I7686">
        <v>4600</v>
      </c>
      <c r="J7686" t="s">
        <v>278</v>
      </c>
      <c r="K7686">
        <v>1474.36</v>
      </c>
      <c r="L7686">
        <v>2.02</v>
      </c>
      <c r="M7686">
        <v>69811</v>
      </c>
      <c r="N7686" t="s">
        <v>230</v>
      </c>
      <c r="O7686">
        <v>250423</v>
      </c>
      <c r="P7686">
        <v>7.92</v>
      </c>
    </row>
    <row r="7687" spans="1:16" x14ac:dyDescent="0.25">
      <c r="A7687" t="s">
        <v>3296</v>
      </c>
      <c r="B7687" t="s">
        <v>2931</v>
      </c>
      <c r="C7687">
        <v>5369</v>
      </c>
      <c r="D7687" t="str">
        <f>"2560338353  "</f>
        <v xml:space="preserve">2560338353  </v>
      </c>
      <c r="E7687" t="s">
        <v>277</v>
      </c>
      <c r="F7687" t="s">
        <v>279</v>
      </c>
      <c r="G7687">
        <v>3.6</v>
      </c>
      <c r="H7687">
        <v>250414</v>
      </c>
      <c r="I7687">
        <v>4600</v>
      </c>
      <c r="J7687" t="s">
        <v>278</v>
      </c>
      <c r="K7687">
        <v>180.37</v>
      </c>
      <c r="L7687">
        <v>0.73</v>
      </c>
      <c r="M7687">
        <v>44253</v>
      </c>
      <c r="N7687" t="s">
        <v>403</v>
      </c>
      <c r="O7687">
        <v>250424</v>
      </c>
      <c r="P7687">
        <v>2.87</v>
      </c>
    </row>
    <row r="7688" spans="1:16" x14ac:dyDescent="0.25">
      <c r="A7688" t="s">
        <v>3296</v>
      </c>
      <c r="B7688" t="s">
        <v>2931</v>
      </c>
      <c r="C7688">
        <v>5378</v>
      </c>
      <c r="D7688" t="str">
        <f>"2560338346  "</f>
        <v xml:space="preserve">2560338346  </v>
      </c>
      <c r="E7688" t="s">
        <v>277</v>
      </c>
      <c r="F7688" t="s">
        <v>279</v>
      </c>
      <c r="G7688">
        <v>471.43</v>
      </c>
      <c r="H7688">
        <v>250414</v>
      </c>
      <c r="I7688">
        <v>4600</v>
      </c>
      <c r="J7688" t="s">
        <v>278</v>
      </c>
      <c r="K7688">
        <v>3220.51</v>
      </c>
      <c r="L7688">
        <v>95.79</v>
      </c>
      <c r="M7688">
        <v>54451</v>
      </c>
      <c r="N7688" t="s">
        <v>218</v>
      </c>
      <c r="O7688">
        <v>250424</v>
      </c>
      <c r="P7688">
        <v>375.64</v>
      </c>
    </row>
    <row r="7689" spans="1:16" x14ac:dyDescent="0.25">
      <c r="A7689" t="s">
        <v>3296</v>
      </c>
      <c r="B7689" t="s">
        <v>2931</v>
      </c>
      <c r="C7689">
        <v>5379</v>
      </c>
      <c r="D7689" t="str">
        <f>"2560338348  "</f>
        <v xml:space="preserve">2560338348  </v>
      </c>
      <c r="E7689" t="s">
        <v>277</v>
      </c>
      <c r="F7689" t="s">
        <v>279</v>
      </c>
      <c r="G7689">
        <v>163.98</v>
      </c>
      <c r="H7689">
        <v>250414</v>
      </c>
      <c r="I7689">
        <v>4600</v>
      </c>
      <c r="J7689" t="s">
        <v>278</v>
      </c>
      <c r="K7689">
        <v>2047.6</v>
      </c>
      <c r="L7689">
        <v>33.32</v>
      </c>
      <c r="M7689">
        <v>69113</v>
      </c>
      <c r="N7689" t="s">
        <v>122</v>
      </c>
      <c r="O7689">
        <v>250424</v>
      </c>
      <c r="P7689">
        <v>130.66</v>
      </c>
    </row>
    <row r="7690" spans="1:16" x14ac:dyDescent="0.25">
      <c r="A7690" t="s">
        <v>3296</v>
      </c>
      <c r="B7690" t="s">
        <v>2931</v>
      </c>
      <c r="C7690">
        <v>5379</v>
      </c>
      <c r="D7690" t="str">
        <f>"2560338348  "</f>
        <v xml:space="preserve">2560338348  </v>
      </c>
      <c r="E7690" t="s">
        <v>277</v>
      </c>
      <c r="F7690" t="s">
        <v>279</v>
      </c>
      <c r="G7690">
        <v>18.22</v>
      </c>
      <c r="H7690">
        <v>250414</v>
      </c>
      <c r="I7690">
        <v>4600</v>
      </c>
      <c r="J7690" t="s">
        <v>278</v>
      </c>
      <c r="K7690">
        <v>2047.6</v>
      </c>
      <c r="L7690">
        <v>3.7</v>
      </c>
      <c r="M7690">
        <v>69802</v>
      </c>
      <c r="N7690" t="s">
        <v>375</v>
      </c>
      <c r="O7690">
        <v>250424</v>
      </c>
      <c r="P7690">
        <v>14.52</v>
      </c>
    </row>
    <row r="7691" spans="1:16" x14ac:dyDescent="0.25">
      <c r="A7691" t="s">
        <v>3296</v>
      </c>
      <c r="B7691" t="s">
        <v>2931</v>
      </c>
      <c r="C7691">
        <v>5381</v>
      </c>
      <c r="D7691" t="str">
        <f>"2560338347  "</f>
        <v xml:space="preserve">2560338347  </v>
      </c>
      <c r="E7691" t="s">
        <v>277</v>
      </c>
      <c r="F7691" t="s">
        <v>279</v>
      </c>
      <c r="G7691">
        <v>12.55</v>
      </c>
      <c r="H7691">
        <v>250414</v>
      </c>
      <c r="I7691">
        <v>4600</v>
      </c>
      <c r="J7691" t="s">
        <v>278</v>
      </c>
      <c r="K7691">
        <v>1175.33</v>
      </c>
      <c r="L7691">
        <v>2.5499999999999998</v>
      </c>
      <c r="M7691">
        <v>59113</v>
      </c>
      <c r="N7691" t="s">
        <v>61</v>
      </c>
      <c r="O7691">
        <v>250424</v>
      </c>
      <c r="P7691">
        <v>10</v>
      </c>
    </row>
    <row r="7692" spans="1:16" x14ac:dyDescent="0.25">
      <c r="A7692" t="s">
        <v>3296</v>
      </c>
      <c r="B7692" t="s">
        <v>2931</v>
      </c>
      <c r="C7692">
        <v>5568</v>
      </c>
      <c r="D7692" t="str">
        <f>"2560354730  "</f>
        <v xml:space="preserve">2560354730  </v>
      </c>
      <c r="E7692" t="s">
        <v>277</v>
      </c>
      <c r="F7692" t="s">
        <v>279</v>
      </c>
      <c r="G7692">
        <v>29.69</v>
      </c>
      <c r="H7692">
        <v>250421</v>
      </c>
      <c r="I7692">
        <v>4600</v>
      </c>
      <c r="J7692" t="s">
        <v>278</v>
      </c>
      <c r="K7692">
        <v>884.57</v>
      </c>
      <c r="L7692">
        <v>6.03</v>
      </c>
      <c r="M7692">
        <v>69113</v>
      </c>
      <c r="N7692" t="s">
        <v>122</v>
      </c>
      <c r="O7692">
        <v>250425</v>
      </c>
      <c r="P7692">
        <v>23.66</v>
      </c>
    </row>
    <row r="7693" spans="1:16" x14ac:dyDescent="0.25">
      <c r="A7693" t="s">
        <v>3296</v>
      </c>
      <c r="B7693" t="s">
        <v>2931</v>
      </c>
      <c r="C7693">
        <v>5568</v>
      </c>
      <c r="D7693" t="str">
        <f>"2560354730  "</f>
        <v xml:space="preserve">2560354730  </v>
      </c>
      <c r="E7693" t="s">
        <v>277</v>
      </c>
      <c r="F7693" t="s">
        <v>279</v>
      </c>
      <c r="G7693">
        <v>3.3</v>
      </c>
      <c r="H7693">
        <v>250421</v>
      </c>
      <c r="I7693">
        <v>4600</v>
      </c>
      <c r="J7693" t="s">
        <v>278</v>
      </c>
      <c r="K7693">
        <v>884.57</v>
      </c>
      <c r="L7693">
        <v>0.67</v>
      </c>
      <c r="M7693">
        <v>69802</v>
      </c>
      <c r="N7693" t="s">
        <v>375</v>
      </c>
      <c r="O7693">
        <v>250425</v>
      </c>
      <c r="P7693">
        <v>2.63</v>
      </c>
    </row>
    <row r="7694" spans="1:16" x14ac:dyDescent="0.25">
      <c r="A7694" t="s">
        <v>3296</v>
      </c>
      <c r="B7694" t="s">
        <v>2931</v>
      </c>
      <c r="C7694">
        <v>5571</v>
      </c>
      <c r="D7694" t="str">
        <f>"2560354729  "</f>
        <v xml:space="preserve">2560354729  </v>
      </c>
      <c r="E7694" t="s">
        <v>277</v>
      </c>
      <c r="F7694" t="s">
        <v>279</v>
      </c>
      <c r="G7694">
        <v>12.55</v>
      </c>
      <c r="H7694">
        <v>250421</v>
      </c>
      <c r="I7694">
        <v>4600</v>
      </c>
      <c r="J7694" t="s">
        <v>278</v>
      </c>
      <c r="K7694">
        <v>274.89999999999998</v>
      </c>
      <c r="L7694">
        <v>2.5499999999999998</v>
      </c>
      <c r="M7694">
        <v>59113</v>
      </c>
      <c r="N7694" t="s">
        <v>61</v>
      </c>
      <c r="O7694">
        <v>250425</v>
      </c>
      <c r="P7694">
        <v>10</v>
      </c>
    </row>
    <row r="7695" spans="1:16" x14ac:dyDescent="0.25">
      <c r="A7695" t="s">
        <v>3296</v>
      </c>
      <c r="B7695" t="s">
        <v>2931</v>
      </c>
      <c r="C7695">
        <v>5615</v>
      </c>
      <c r="D7695" t="str">
        <f>"2560354734  "</f>
        <v xml:space="preserve">2560354734  </v>
      </c>
      <c r="E7695" t="s">
        <v>277</v>
      </c>
      <c r="F7695" t="s">
        <v>279</v>
      </c>
      <c r="G7695">
        <v>31.5</v>
      </c>
      <c r="H7695">
        <v>250421</v>
      </c>
      <c r="I7695">
        <v>4600</v>
      </c>
      <c r="J7695" t="s">
        <v>278</v>
      </c>
      <c r="K7695">
        <v>300.08999999999997</v>
      </c>
      <c r="L7695">
        <v>6.4</v>
      </c>
      <c r="M7695">
        <v>68601</v>
      </c>
      <c r="N7695" t="s">
        <v>1031</v>
      </c>
      <c r="O7695">
        <v>250425</v>
      </c>
      <c r="P7695">
        <v>25.1</v>
      </c>
    </row>
    <row r="7696" spans="1:16" x14ac:dyDescent="0.25">
      <c r="A7696" t="s">
        <v>3296</v>
      </c>
      <c r="B7696" t="s">
        <v>2931</v>
      </c>
      <c r="C7696">
        <v>5627</v>
      </c>
      <c r="D7696" t="str">
        <f>"2560320676  "</f>
        <v xml:space="preserve">2560320676  </v>
      </c>
      <c r="E7696" t="s">
        <v>277</v>
      </c>
      <c r="F7696" t="s">
        <v>279</v>
      </c>
      <c r="G7696">
        <v>29.74</v>
      </c>
      <c r="H7696">
        <v>250407</v>
      </c>
      <c r="I7696">
        <v>4600</v>
      </c>
      <c r="J7696" t="s">
        <v>278</v>
      </c>
      <c r="K7696">
        <v>1286.76</v>
      </c>
      <c r="L7696">
        <v>6.04</v>
      </c>
      <c r="M7696">
        <v>49112</v>
      </c>
      <c r="N7696" t="s">
        <v>109</v>
      </c>
      <c r="O7696">
        <v>250428</v>
      </c>
      <c r="P7696">
        <v>23.7</v>
      </c>
    </row>
    <row r="7697" spans="1:16" x14ac:dyDescent="0.25">
      <c r="A7697" t="s">
        <v>3296</v>
      </c>
      <c r="B7697" t="s">
        <v>2931</v>
      </c>
      <c r="C7697">
        <v>5628</v>
      </c>
      <c r="D7697" t="str">
        <f>"2560338349  "</f>
        <v xml:space="preserve">2560338349  </v>
      </c>
      <c r="E7697" t="s">
        <v>277</v>
      </c>
      <c r="F7697" t="s">
        <v>279</v>
      </c>
      <c r="G7697">
        <v>608.03</v>
      </c>
      <c r="H7697">
        <v>250414</v>
      </c>
      <c r="I7697">
        <v>4600</v>
      </c>
      <c r="J7697" t="s">
        <v>278</v>
      </c>
      <c r="K7697">
        <v>2880.08</v>
      </c>
      <c r="L7697">
        <v>123.54</v>
      </c>
      <c r="M7697">
        <v>49112</v>
      </c>
      <c r="N7697" t="s">
        <v>109</v>
      </c>
      <c r="O7697">
        <v>250428</v>
      </c>
      <c r="P7697">
        <v>484.49</v>
      </c>
    </row>
    <row r="7698" spans="1:16" x14ac:dyDescent="0.25">
      <c r="A7698" t="s">
        <v>3296</v>
      </c>
      <c r="B7698" t="s">
        <v>2931</v>
      </c>
      <c r="C7698">
        <v>5822</v>
      </c>
      <c r="D7698" t="str">
        <f>"2560371617  "</f>
        <v xml:space="preserve">2560371617  </v>
      </c>
      <c r="E7698" t="s">
        <v>277</v>
      </c>
      <c r="F7698" t="s">
        <v>279</v>
      </c>
      <c r="G7698">
        <v>82.11</v>
      </c>
      <c r="H7698">
        <v>250428</v>
      </c>
      <c r="I7698">
        <v>4600</v>
      </c>
      <c r="J7698" t="s">
        <v>278</v>
      </c>
      <c r="K7698">
        <v>767.9</v>
      </c>
      <c r="L7698">
        <v>16.68</v>
      </c>
      <c r="M7698">
        <v>59114</v>
      </c>
      <c r="N7698" t="s">
        <v>299</v>
      </c>
      <c r="O7698">
        <v>250505</v>
      </c>
      <c r="P7698">
        <v>65.430000000000007</v>
      </c>
    </row>
    <row r="7699" spans="1:16" x14ac:dyDescent="0.25">
      <c r="A7699" t="s">
        <v>3296</v>
      </c>
      <c r="B7699" t="s">
        <v>2931</v>
      </c>
      <c r="C7699">
        <v>5823</v>
      </c>
      <c r="D7699" t="str">
        <f>"2560371619  "</f>
        <v xml:space="preserve">2560371619  </v>
      </c>
      <c r="E7699" t="s">
        <v>277</v>
      </c>
      <c r="F7699" t="s">
        <v>279</v>
      </c>
      <c r="G7699">
        <v>-37.65</v>
      </c>
      <c r="H7699">
        <v>250428</v>
      </c>
      <c r="I7699">
        <v>4600</v>
      </c>
      <c r="J7699" t="s">
        <v>278</v>
      </c>
      <c r="K7699">
        <v>1831.34</v>
      </c>
      <c r="L7699">
        <v>-7.65</v>
      </c>
      <c r="M7699">
        <v>59113</v>
      </c>
      <c r="N7699" t="s">
        <v>61</v>
      </c>
      <c r="O7699">
        <v>250505</v>
      </c>
      <c r="P7699">
        <v>-30</v>
      </c>
    </row>
    <row r="7700" spans="1:16" x14ac:dyDescent="0.25">
      <c r="A7700" t="s">
        <v>3296</v>
      </c>
      <c r="B7700" t="s">
        <v>2931</v>
      </c>
      <c r="C7700">
        <v>5856</v>
      </c>
      <c r="D7700" t="str">
        <f>"2560378644  "</f>
        <v xml:space="preserve">2560378644  </v>
      </c>
      <c r="E7700" t="s">
        <v>277</v>
      </c>
      <c r="F7700" t="s">
        <v>279</v>
      </c>
      <c r="G7700">
        <v>11.29</v>
      </c>
      <c r="H7700">
        <v>250430</v>
      </c>
      <c r="I7700">
        <v>4600</v>
      </c>
      <c r="J7700" t="s">
        <v>278</v>
      </c>
      <c r="K7700">
        <v>789.33</v>
      </c>
      <c r="L7700">
        <v>2.29</v>
      </c>
      <c r="M7700">
        <v>69112</v>
      </c>
      <c r="N7700" t="s">
        <v>227</v>
      </c>
      <c r="O7700">
        <v>250505</v>
      </c>
      <c r="P7700">
        <v>9</v>
      </c>
    </row>
    <row r="7701" spans="1:16" x14ac:dyDescent="0.25">
      <c r="A7701" t="s">
        <v>3296</v>
      </c>
      <c r="B7701" t="s">
        <v>2931</v>
      </c>
      <c r="C7701">
        <v>5856</v>
      </c>
      <c r="D7701" t="str">
        <f>"2560378644  "</f>
        <v xml:space="preserve">2560378644  </v>
      </c>
      <c r="E7701" t="s">
        <v>277</v>
      </c>
      <c r="F7701" t="s">
        <v>279</v>
      </c>
      <c r="G7701">
        <v>0.63</v>
      </c>
      <c r="H7701">
        <v>250430</v>
      </c>
      <c r="I7701">
        <v>4600</v>
      </c>
      <c r="J7701" t="s">
        <v>278</v>
      </c>
      <c r="K7701">
        <v>789.33</v>
      </c>
      <c r="L7701">
        <v>0.13</v>
      </c>
      <c r="M7701">
        <v>69810</v>
      </c>
      <c r="N7701" t="s">
        <v>229</v>
      </c>
      <c r="O7701">
        <v>250505</v>
      </c>
      <c r="P7701">
        <v>0.5</v>
      </c>
    </row>
    <row r="7702" spans="1:16" x14ac:dyDescent="0.25">
      <c r="A7702" t="s">
        <v>3296</v>
      </c>
      <c r="B7702" t="s">
        <v>2931</v>
      </c>
      <c r="C7702">
        <v>5856</v>
      </c>
      <c r="D7702" t="str">
        <f>"2560378644  "</f>
        <v xml:space="preserve">2560378644  </v>
      </c>
      <c r="E7702" t="s">
        <v>277</v>
      </c>
      <c r="F7702" t="s">
        <v>279</v>
      </c>
      <c r="G7702">
        <v>0.63</v>
      </c>
      <c r="H7702">
        <v>250430</v>
      </c>
      <c r="I7702">
        <v>4600</v>
      </c>
      <c r="J7702" t="s">
        <v>278</v>
      </c>
      <c r="K7702">
        <v>789.33</v>
      </c>
      <c r="L7702">
        <v>0.13</v>
      </c>
      <c r="M7702">
        <v>69811</v>
      </c>
      <c r="N7702" t="s">
        <v>230</v>
      </c>
      <c r="O7702">
        <v>250505</v>
      </c>
      <c r="P7702">
        <v>0.5</v>
      </c>
    </row>
    <row r="7703" spans="1:16" x14ac:dyDescent="0.25">
      <c r="A7703" t="s">
        <v>3296</v>
      </c>
      <c r="B7703" t="s">
        <v>2931</v>
      </c>
      <c r="C7703">
        <v>5865</v>
      </c>
      <c r="D7703" t="str">
        <f>"2560354731  "</f>
        <v xml:space="preserve">2560354731  </v>
      </c>
      <c r="E7703" t="s">
        <v>277</v>
      </c>
      <c r="F7703" t="s">
        <v>279</v>
      </c>
      <c r="G7703">
        <v>12.55</v>
      </c>
      <c r="H7703">
        <v>250421</v>
      </c>
      <c r="I7703">
        <v>4600</v>
      </c>
      <c r="J7703" t="s">
        <v>278</v>
      </c>
      <c r="K7703">
        <v>673.57</v>
      </c>
      <c r="L7703">
        <v>2.5499999999999998</v>
      </c>
      <c r="M7703">
        <v>49112</v>
      </c>
      <c r="N7703" t="s">
        <v>109</v>
      </c>
      <c r="O7703">
        <v>250506</v>
      </c>
      <c r="P7703">
        <v>10</v>
      </c>
    </row>
    <row r="7704" spans="1:16" x14ac:dyDescent="0.25">
      <c r="A7704" t="s">
        <v>3296</v>
      </c>
      <c r="B7704" t="s">
        <v>2931</v>
      </c>
      <c r="C7704">
        <v>5900</v>
      </c>
      <c r="D7704" t="str">
        <f>"2560371625  "</f>
        <v xml:space="preserve">2560371625  </v>
      </c>
      <c r="E7704" t="s">
        <v>277</v>
      </c>
      <c r="F7704" t="s">
        <v>279</v>
      </c>
      <c r="G7704">
        <v>155.22999999999999</v>
      </c>
      <c r="H7704">
        <v>250428</v>
      </c>
      <c r="I7704">
        <v>4600</v>
      </c>
      <c r="J7704" t="s">
        <v>278</v>
      </c>
      <c r="K7704">
        <v>496.41</v>
      </c>
      <c r="L7704">
        <v>31.54</v>
      </c>
      <c r="M7704">
        <v>44253</v>
      </c>
      <c r="N7704" t="s">
        <v>403</v>
      </c>
      <c r="O7704">
        <v>250507</v>
      </c>
      <c r="P7704">
        <v>123.69</v>
      </c>
    </row>
    <row r="7705" spans="1:16" x14ac:dyDescent="0.25">
      <c r="A7705" t="s">
        <v>3296</v>
      </c>
      <c r="B7705" t="s">
        <v>2931</v>
      </c>
      <c r="C7705">
        <v>5902</v>
      </c>
      <c r="D7705" t="str">
        <f>"2560371618  "</f>
        <v xml:space="preserve">2560371618  </v>
      </c>
      <c r="E7705" t="s">
        <v>277</v>
      </c>
      <c r="F7705" t="s">
        <v>279</v>
      </c>
      <c r="G7705">
        <v>31.4</v>
      </c>
      <c r="H7705">
        <v>250428</v>
      </c>
      <c r="I7705">
        <v>4600</v>
      </c>
      <c r="J7705" t="s">
        <v>278</v>
      </c>
      <c r="K7705">
        <v>2203.2199999999998</v>
      </c>
      <c r="L7705">
        <v>6.38</v>
      </c>
      <c r="M7705">
        <v>54451</v>
      </c>
      <c r="N7705" t="s">
        <v>218</v>
      </c>
      <c r="O7705">
        <v>250507</v>
      </c>
      <c r="P7705">
        <v>25.02</v>
      </c>
    </row>
    <row r="7706" spans="1:16" x14ac:dyDescent="0.25">
      <c r="A7706" t="s">
        <v>3296</v>
      </c>
      <c r="B7706" t="s">
        <v>2931</v>
      </c>
      <c r="C7706">
        <v>5903</v>
      </c>
      <c r="D7706" t="str">
        <f>"2560371621  "</f>
        <v xml:space="preserve">2560371621  </v>
      </c>
      <c r="E7706" t="s">
        <v>277</v>
      </c>
      <c r="F7706" t="s">
        <v>279</v>
      </c>
      <c r="G7706">
        <v>77.45</v>
      </c>
      <c r="H7706">
        <v>250428</v>
      </c>
      <c r="I7706">
        <v>4600</v>
      </c>
      <c r="J7706" t="s">
        <v>278</v>
      </c>
      <c r="K7706">
        <v>2486.21</v>
      </c>
      <c r="L7706">
        <v>15.74</v>
      </c>
      <c r="M7706">
        <v>49112</v>
      </c>
      <c r="N7706" t="s">
        <v>109</v>
      </c>
      <c r="O7706">
        <v>250507</v>
      </c>
      <c r="P7706">
        <v>61.71</v>
      </c>
    </row>
    <row r="7707" spans="1:16" x14ac:dyDescent="0.25">
      <c r="A7707" t="s">
        <v>3296</v>
      </c>
      <c r="B7707" t="s">
        <v>2931</v>
      </c>
      <c r="C7707">
        <v>5918</v>
      </c>
      <c r="D7707" t="str">
        <f>"2560371620  "</f>
        <v xml:space="preserve">2560371620  </v>
      </c>
      <c r="E7707" t="s">
        <v>277</v>
      </c>
      <c r="F7707" t="s">
        <v>279</v>
      </c>
      <c r="G7707">
        <v>77.47</v>
      </c>
      <c r="H7707">
        <v>250428</v>
      </c>
      <c r="I7707">
        <v>4600</v>
      </c>
      <c r="J7707" t="s">
        <v>278</v>
      </c>
      <c r="K7707">
        <v>1932.08</v>
      </c>
      <c r="L7707">
        <v>15.74</v>
      </c>
      <c r="M7707">
        <v>69113</v>
      </c>
      <c r="N7707" t="s">
        <v>122</v>
      </c>
      <c r="O7707">
        <v>250507</v>
      </c>
      <c r="P7707">
        <v>61.73</v>
      </c>
    </row>
    <row r="7708" spans="1:16" x14ac:dyDescent="0.25">
      <c r="A7708" t="s">
        <v>3296</v>
      </c>
      <c r="B7708" t="s">
        <v>2931</v>
      </c>
      <c r="C7708">
        <v>5918</v>
      </c>
      <c r="D7708" t="str">
        <f>"2560371620  "</f>
        <v xml:space="preserve">2560371620  </v>
      </c>
      <c r="E7708" t="s">
        <v>277</v>
      </c>
      <c r="F7708" t="s">
        <v>279</v>
      </c>
      <c r="G7708">
        <v>8.61</v>
      </c>
      <c r="H7708">
        <v>250428</v>
      </c>
      <c r="I7708">
        <v>4600</v>
      </c>
      <c r="J7708" t="s">
        <v>278</v>
      </c>
      <c r="K7708">
        <v>1932.08</v>
      </c>
      <c r="L7708">
        <v>1.75</v>
      </c>
      <c r="M7708">
        <v>69802</v>
      </c>
      <c r="N7708" t="s">
        <v>375</v>
      </c>
      <c r="O7708">
        <v>250507</v>
      </c>
      <c r="P7708">
        <v>6.86</v>
      </c>
    </row>
    <row r="7709" spans="1:16" x14ac:dyDescent="0.25">
      <c r="A7709" t="s">
        <v>3296</v>
      </c>
      <c r="B7709" t="s">
        <v>2931</v>
      </c>
      <c r="C7709">
        <v>5948</v>
      </c>
      <c r="D7709" t="str">
        <f>"2560378639  "</f>
        <v xml:space="preserve">2560378639  </v>
      </c>
      <c r="E7709" t="s">
        <v>277</v>
      </c>
      <c r="F7709" t="s">
        <v>279</v>
      </c>
      <c r="G7709">
        <v>73.63</v>
      </c>
      <c r="H7709">
        <v>250430</v>
      </c>
      <c r="I7709">
        <v>4600</v>
      </c>
      <c r="J7709" t="s">
        <v>278</v>
      </c>
      <c r="K7709">
        <v>663.88</v>
      </c>
      <c r="L7709">
        <v>14.96</v>
      </c>
      <c r="M7709">
        <v>69113</v>
      </c>
      <c r="N7709" t="s">
        <v>122</v>
      </c>
      <c r="O7709">
        <v>250507</v>
      </c>
      <c r="P7709">
        <v>58.67</v>
      </c>
    </row>
    <row r="7710" spans="1:16" x14ac:dyDescent="0.25">
      <c r="A7710" t="s">
        <v>3296</v>
      </c>
      <c r="B7710" t="s">
        <v>2931</v>
      </c>
      <c r="C7710">
        <v>5948</v>
      </c>
      <c r="D7710" t="str">
        <f>"2560378639  "</f>
        <v xml:space="preserve">2560378639  </v>
      </c>
      <c r="E7710" t="s">
        <v>277</v>
      </c>
      <c r="F7710" t="s">
        <v>279</v>
      </c>
      <c r="G7710">
        <v>8.18</v>
      </c>
      <c r="H7710">
        <v>250430</v>
      </c>
      <c r="I7710">
        <v>4600</v>
      </c>
      <c r="J7710" t="s">
        <v>278</v>
      </c>
      <c r="K7710">
        <v>663.88</v>
      </c>
      <c r="L7710">
        <v>1.66</v>
      </c>
      <c r="M7710">
        <v>69802</v>
      </c>
      <c r="N7710" t="s">
        <v>375</v>
      </c>
      <c r="O7710">
        <v>250507</v>
      </c>
      <c r="P7710">
        <v>6.52</v>
      </c>
    </row>
    <row r="7711" spans="1:16" x14ac:dyDescent="0.25">
      <c r="A7711" t="s">
        <v>3296</v>
      </c>
      <c r="B7711" t="s">
        <v>2931</v>
      </c>
      <c r="C7711">
        <v>5959</v>
      </c>
      <c r="D7711" t="str">
        <f>"2560378640  "</f>
        <v xml:space="preserve">2560378640  </v>
      </c>
      <c r="E7711" t="s">
        <v>277</v>
      </c>
      <c r="F7711" t="s">
        <v>279</v>
      </c>
      <c r="G7711">
        <v>12.55</v>
      </c>
      <c r="H7711">
        <v>250430</v>
      </c>
      <c r="I7711">
        <v>4600</v>
      </c>
      <c r="J7711" t="s">
        <v>278</v>
      </c>
      <c r="K7711">
        <v>857.9</v>
      </c>
      <c r="L7711">
        <v>2.5499999999999998</v>
      </c>
      <c r="M7711">
        <v>49112</v>
      </c>
      <c r="N7711" t="s">
        <v>109</v>
      </c>
      <c r="O7711">
        <v>250507</v>
      </c>
      <c r="P7711">
        <v>10</v>
      </c>
    </row>
    <row r="7712" spans="1:16" x14ac:dyDescent="0.25">
      <c r="A7712" t="s">
        <v>3296</v>
      </c>
      <c r="B7712" t="s">
        <v>2931</v>
      </c>
      <c r="C7712">
        <v>5961</v>
      </c>
      <c r="D7712" t="str">
        <f>"2560378637  "</f>
        <v xml:space="preserve">2560378637  </v>
      </c>
      <c r="E7712" t="s">
        <v>277</v>
      </c>
      <c r="F7712" t="s">
        <v>279</v>
      </c>
      <c r="G7712">
        <v>-24.31</v>
      </c>
      <c r="H7712">
        <v>250430</v>
      </c>
      <c r="I7712">
        <v>4600</v>
      </c>
      <c r="J7712" t="s">
        <v>278</v>
      </c>
      <c r="K7712">
        <v>1140.1300000000001</v>
      </c>
      <c r="L7712">
        <v>-4.9400000000000004</v>
      </c>
      <c r="M7712">
        <v>54451</v>
      </c>
      <c r="N7712" t="s">
        <v>218</v>
      </c>
      <c r="O7712">
        <v>250507</v>
      </c>
      <c r="P7712">
        <v>-19.37</v>
      </c>
    </row>
    <row r="7713" spans="1:16" x14ac:dyDescent="0.25">
      <c r="A7713" t="s">
        <v>3296</v>
      </c>
      <c r="B7713" t="s">
        <v>2931</v>
      </c>
      <c r="C7713">
        <v>6161</v>
      </c>
      <c r="D7713" t="str">
        <f>"2560417537  "</f>
        <v xml:space="preserve">2560417537  </v>
      </c>
      <c r="E7713" t="s">
        <v>277</v>
      </c>
      <c r="F7713" t="s">
        <v>279</v>
      </c>
      <c r="G7713">
        <v>12.55</v>
      </c>
      <c r="H7713">
        <v>250501</v>
      </c>
      <c r="I7713">
        <v>4600</v>
      </c>
      <c r="J7713" t="s">
        <v>278</v>
      </c>
      <c r="K7713">
        <v>345.24</v>
      </c>
      <c r="L7713">
        <v>2.5499999999999998</v>
      </c>
      <c r="M7713">
        <v>59114</v>
      </c>
      <c r="N7713" t="s">
        <v>299</v>
      </c>
      <c r="O7713">
        <v>250509</v>
      </c>
      <c r="P7713">
        <v>10</v>
      </c>
    </row>
    <row r="7714" spans="1:16" x14ac:dyDescent="0.25">
      <c r="A7714" t="s">
        <v>3296</v>
      </c>
      <c r="B7714" t="s">
        <v>2931</v>
      </c>
      <c r="C7714">
        <v>6184</v>
      </c>
      <c r="D7714" t="str">
        <f>"2560417542  "</f>
        <v xml:space="preserve">2560417542  </v>
      </c>
      <c r="E7714" t="s">
        <v>277</v>
      </c>
      <c r="F7714" t="s">
        <v>279</v>
      </c>
      <c r="G7714">
        <v>52.26</v>
      </c>
      <c r="H7714">
        <v>250501</v>
      </c>
      <c r="I7714">
        <v>4600</v>
      </c>
      <c r="J7714" t="s">
        <v>278</v>
      </c>
      <c r="K7714">
        <v>470.09</v>
      </c>
      <c r="L7714">
        <v>10.62</v>
      </c>
      <c r="M7714">
        <v>44253</v>
      </c>
      <c r="N7714" t="s">
        <v>403</v>
      </c>
      <c r="O7714">
        <v>250509</v>
      </c>
      <c r="P7714">
        <v>41.64</v>
      </c>
    </row>
    <row r="7715" spans="1:16" x14ac:dyDescent="0.25">
      <c r="A7715" t="s">
        <v>3296</v>
      </c>
      <c r="B7715" t="s">
        <v>2931</v>
      </c>
      <c r="C7715">
        <v>6258</v>
      </c>
      <c r="D7715" t="str">
        <f>"2560417538  "</f>
        <v xml:space="preserve">2560417538  </v>
      </c>
      <c r="E7715" t="s">
        <v>277</v>
      </c>
      <c r="F7715" t="s">
        <v>279</v>
      </c>
      <c r="G7715">
        <v>12.55</v>
      </c>
      <c r="H7715">
        <v>250501</v>
      </c>
      <c r="I7715">
        <v>4600</v>
      </c>
      <c r="J7715" t="s">
        <v>278</v>
      </c>
      <c r="K7715">
        <v>1658.13</v>
      </c>
      <c r="L7715">
        <v>2.5499999999999998</v>
      </c>
      <c r="M7715">
        <v>59113</v>
      </c>
      <c r="N7715" t="s">
        <v>61</v>
      </c>
      <c r="O7715">
        <v>250512</v>
      </c>
      <c r="P7715">
        <v>10</v>
      </c>
    </row>
    <row r="7716" spans="1:16" x14ac:dyDescent="0.25">
      <c r="A7716" t="s">
        <v>3296</v>
      </c>
      <c r="B7716" t="s">
        <v>2931</v>
      </c>
      <c r="C7716">
        <v>6772</v>
      </c>
      <c r="D7716" t="str">
        <f>"2560433641  "</f>
        <v xml:space="preserve">2560433641  </v>
      </c>
      <c r="E7716" t="s">
        <v>277</v>
      </c>
      <c r="F7716" t="s">
        <v>279</v>
      </c>
      <c r="G7716">
        <v>16.420000000000002</v>
      </c>
      <c r="H7716">
        <v>250512</v>
      </c>
      <c r="I7716">
        <v>4600</v>
      </c>
      <c r="J7716" t="s">
        <v>278</v>
      </c>
      <c r="K7716">
        <v>453.55</v>
      </c>
      <c r="L7716">
        <v>3.34</v>
      </c>
      <c r="M7716">
        <v>44253</v>
      </c>
      <c r="N7716" t="s">
        <v>403</v>
      </c>
      <c r="O7716">
        <v>250516</v>
      </c>
      <c r="P7716">
        <v>13.08</v>
      </c>
    </row>
    <row r="7717" spans="1:16" x14ac:dyDescent="0.25">
      <c r="A7717" t="s">
        <v>3296</v>
      </c>
      <c r="B7717" t="s">
        <v>2931</v>
      </c>
      <c r="C7717">
        <v>6773</v>
      </c>
      <c r="D7717" t="str">
        <f>"2560433635  "</f>
        <v xml:space="preserve">2560433635  </v>
      </c>
      <c r="E7717" t="s">
        <v>277</v>
      </c>
      <c r="F7717" t="s">
        <v>279</v>
      </c>
      <c r="G7717">
        <v>91.13</v>
      </c>
      <c r="H7717">
        <v>250512</v>
      </c>
      <c r="I7717">
        <v>4600</v>
      </c>
      <c r="J7717" t="s">
        <v>278</v>
      </c>
      <c r="K7717">
        <v>2485.92</v>
      </c>
      <c r="L7717">
        <v>18.52</v>
      </c>
      <c r="M7717">
        <v>59113</v>
      </c>
      <c r="N7717" t="s">
        <v>61</v>
      </c>
      <c r="O7717">
        <v>250516</v>
      </c>
      <c r="P7717">
        <v>72.61</v>
      </c>
    </row>
    <row r="7718" spans="1:16" x14ac:dyDescent="0.25">
      <c r="A7718" t="s">
        <v>3296</v>
      </c>
      <c r="B7718" t="s">
        <v>2931</v>
      </c>
      <c r="C7718">
        <v>6784</v>
      </c>
      <c r="D7718" t="str">
        <f>"2560433636  "</f>
        <v xml:space="preserve">2560433636  </v>
      </c>
      <c r="E7718" t="s">
        <v>277</v>
      </c>
      <c r="F7718" t="s">
        <v>279</v>
      </c>
      <c r="G7718">
        <v>15.03</v>
      </c>
      <c r="H7718">
        <v>250512</v>
      </c>
      <c r="I7718">
        <v>4600</v>
      </c>
      <c r="J7718" t="s">
        <v>278</v>
      </c>
      <c r="K7718">
        <v>1193.53</v>
      </c>
      <c r="L7718">
        <v>3.05</v>
      </c>
      <c r="M7718">
        <v>69113</v>
      </c>
      <c r="N7718" t="s">
        <v>122</v>
      </c>
      <c r="O7718">
        <v>250516</v>
      </c>
      <c r="P7718">
        <v>11.98</v>
      </c>
    </row>
    <row r="7719" spans="1:16" x14ac:dyDescent="0.25">
      <c r="A7719" t="s">
        <v>3296</v>
      </c>
      <c r="B7719" t="s">
        <v>2931</v>
      </c>
      <c r="C7719">
        <v>6784</v>
      </c>
      <c r="D7719" t="str">
        <f>"2560433636  "</f>
        <v xml:space="preserve">2560433636  </v>
      </c>
      <c r="E7719" t="s">
        <v>277</v>
      </c>
      <c r="F7719" t="s">
        <v>279</v>
      </c>
      <c r="G7719">
        <v>1.67</v>
      </c>
      <c r="H7719">
        <v>250512</v>
      </c>
      <c r="I7719">
        <v>4600</v>
      </c>
      <c r="J7719" t="s">
        <v>278</v>
      </c>
      <c r="K7719">
        <v>1193.53</v>
      </c>
      <c r="L7719">
        <v>0.34</v>
      </c>
      <c r="M7719">
        <v>69802</v>
      </c>
      <c r="N7719" t="s">
        <v>375</v>
      </c>
      <c r="O7719">
        <v>250516</v>
      </c>
      <c r="P7719">
        <v>1.33</v>
      </c>
    </row>
    <row r="7720" spans="1:16" x14ac:dyDescent="0.25">
      <c r="A7720" t="s">
        <v>3296</v>
      </c>
      <c r="B7720" t="s">
        <v>2931</v>
      </c>
      <c r="C7720">
        <v>6789</v>
      </c>
      <c r="D7720" t="str">
        <f>"2560433634  "</f>
        <v xml:space="preserve">2560433634  </v>
      </c>
      <c r="E7720" t="s">
        <v>277</v>
      </c>
      <c r="F7720" t="s">
        <v>279</v>
      </c>
      <c r="G7720">
        <v>206.31</v>
      </c>
      <c r="H7720">
        <v>250512</v>
      </c>
      <c r="I7720">
        <v>4600</v>
      </c>
      <c r="J7720" t="s">
        <v>278</v>
      </c>
      <c r="K7720">
        <v>2107.86</v>
      </c>
      <c r="L7720">
        <v>41.92</v>
      </c>
      <c r="M7720">
        <v>54451</v>
      </c>
      <c r="N7720" t="s">
        <v>218</v>
      </c>
      <c r="O7720">
        <v>250516</v>
      </c>
      <c r="P7720">
        <v>164.39</v>
      </c>
    </row>
    <row r="7721" spans="1:16" x14ac:dyDescent="0.25">
      <c r="A7721" t="s">
        <v>3296</v>
      </c>
      <c r="B7721" t="s">
        <v>2931</v>
      </c>
      <c r="C7721">
        <v>6790</v>
      </c>
      <c r="D7721" t="str">
        <f>"2560433633  "</f>
        <v xml:space="preserve">2560433633  </v>
      </c>
      <c r="E7721" t="s">
        <v>277</v>
      </c>
      <c r="F7721" t="s">
        <v>279</v>
      </c>
      <c r="G7721">
        <v>43.42</v>
      </c>
      <c r="H7721">
        <v>250512</v>
      </c>
      <c r="I7721">
        <v>4600</v>
      </c>
      <c r="J7721" t="s">
        <v>278</v>
      </c>
      <c r="K7721">
        <v>562.12</v>
      </c>
      <c r="L7721">
        <v>8.82</v>
      </c>
      <c r="M7721">
        <v>59114</v>
      </c>
      <c r="N7721" t="s">
        <v>299</v>
      </c>
      <c r="O7721">
        <v>250516</v>
      </c>
      <c r="P7721">
        <v>34.6</v>
      </c>
    </row>
    <row r="7722" spans="1:16" x14ac:dyDescent="0.25">
      <c r="A7722" t="s">
        <v>3296</v>
      </c>
      <c r="B7722" t="s">
        <v>2931</v>
      </c>
      <c r="C7722">
        <v>6794</v>
      </c>
      <c r="D7722" t="str">
        <f>"2560433637  "</f>
        <v xml:space="preserve">2560433637  </v>
      </c>
      <c r="E7722" t="s">
        <v>277</v>
      </c>
      <c r="F7722" t="s">
        <v>279</v>
      </c>
      <c r="G7722">
        <v>214.89</v>
      </c>
      <c r="H7722">
        <v>250512</v>
      </c>
      <c r="I7722">
        <v>4600</v>
      </c>
      <c r="J7722" t="s">
        <v>278</v>
      </c>
      <c r="K7722">
        <v>1807.09</v>
      </c>
      <c r="L7722">
        <v>43.66</v>
      </c>
      <c r="M7722">
        <v>49112</v>
      </c>
      <c r="N7722" t="s">
        <v>109</v>
      </c>
      <c r="O7722">
        <v>250516</v>
      </c>
      <c r="P7722">
        <v>171.23</v>
      </c>
    </row>
    <row r="7723" spans="1:16" x14ac:dyDescent="0.25">
      <c r="A7723" t="s">
        <v>3296</v>
      </c>
      <c r="B7723" t="s">
        <v>2931</v>
      </c>
      <c r="C7723">
        <v>7009</v>
      </c>
      <c r="D7723" t="str">
        <f>"2560452790  "</f>
        <v xml:space="preserve">2560452790  </v>
      </c>
      <c r="E7723" t="s">
        <v>277</v>
      </c>
      <c r="F7723" t="s">
        <v>279</v>
      </c>
      <c r="G7723">
        <v>39.61</v>
      </c>
      <c r="H7723">
        <v>250519</v>
      </c>
      <c r="I7723">
        <v>4600</v>
      </c>
      <c r="J7723" t="s">
        <v>278</v>
      </c>
      <c r="K7723">
        <v>727.52</v>
      </c>
      <c r="L7723">
        <v>8.0500000000000007</v>
      </c>
      <c r="M7723">
        <v>59114</v>
      </c>
      <c r="N7723" t="s">
        <v>299</v>
      </c>
      <c r="O7723">
        <v>250521</v>
      </c>
      <c r="P7723">
        <v>31.56</v>
      </c>
    </row>
    <row r="7724" spans="1:16" x14ac:dyDescent="0.25">
      <c r="A7724" t="s">
        <v>3296</v>
      </c>
      <c r="B7724" t="s">
        <v>2931</v>
      </c>
      <c r="C7724">
        <v>7013</v>
      </c>
      <c r="D7724" t="str">
        <f>"2560452799  "</f>
        <v xml:space="preserve">2560452799  </v>
      </c>
      <c r="E7724" t="s">
        <v>277</v>
      </c>
      <c r="F7724" t="s">
        <v>279</v>
      </c>
      <c r="G7724">
        <v>30.16</v>
      </c>
      <c r="H7724">
        <v>250519</v>
      </c>
      <c r="I7724">
        <v>4600</v>
      </c>
      <c r="J7724" t="s">
        <v>278</v>
      </c>
      <c r="K7724">
        <v>414.68</v>
      </c>
      <c r="L7724">
        <v>6.13</v>
      </c>
      <c r="M7724">
        <v>69112</v>
      </c>
      <c r="N7724" t="s">
        <v>227</v>
      </c>
      <c r="O7724">
        <v>250521</v>
      </c>
      <c r="P7724">
        <v>24.03</v>
      </c>
    </row>
    <row r="7725" spans="1:16" x14ac:dyDescent="0.25">
      <c r="A7725" t="s">
        <v>3296</v>
      </c>
      <c r="B7725" t="s">
        <v>2931</v>
      </c>
      <c r="C7725">
        <v>7013</v>
      </c>
      <c r="D7725" t="str">
        <f>"2560452799  "</f>
        <v xml:space="preserve">2560452799  </v>
      </c>
      <c r="E7725" t="s">
        <v>277</v>
      </c>
      <c r="F7725" t="s">
        <v>279</v>
      </c>
      <c r="G7725">
        <v>1.68</v>
      </c>
      <c r="H7725">
        <v>250519</v>
      </c>
      <c r="I7725">
        <v>4600</v>
      </c>
      <c r="J7725" t="s">
        <v>278</v>
      </c>
      <c r="K7725">
        <v>414.68</v>
      </c>
      <c r="L7725">
        <v>0.34</v>
      </c>
      <c r="M7725">
        <v>69810</v>
      </c>
      <c r="N7725" t="s">
        <v>229</v>
      </c>
      <c r="O7725">
        <v>250521</v>
      </c>
      <c r="P7725">
        <v>1.34</v>
      </c>
    </row>
    <row r="7726" spans="1:16" x14ac:dyDescent="0.25">
      <c r="A7726" t="s">
        <v>3296</v>
      </c>
      <c r="B7726" t="s">
        <v>2931</v>
      </c>
      <c r="C7726">
        <v>7013</v>
      </c>
      <c r="D7726" t="str">
        <f>"2560452799  "</f>
        <v xml:space="preserve">2560452799  </v>
      </c>
      <c r="E7726" t="s">
        <v>277</v>
      </c>
      <c r="F7726" t="s">
        <v>279</v>
      </c>
      <c r="G7726">
        <v>1.67</v>
      </c>
      <c r="H7726">
        <v>250519</v>
      </c>
      <c r="I7726">
        <v>4600</v>
      </c>
      <c r="J7726" t="s">
        <v>278</v>
      </c>
      <c r="K7726">
        <v>414.68</v>
      </c>
      <c r="L7726">
        <v>0.34</v>
      </c>
      <c r="M7726">
        <v>69811</v>
      </c>
      <c r="N7726" t="s">
        <v>230</v>
      </c>
      <c r="O7726">
        <v>250521</v>
      </c>
      <c r="P7726">
        <v>1.33</v>
      </c>
    </row>
    <row r="7727" spans="1:16" x14ac:dyDescent="0.25">
      <c r="A7727" t="s">
        <v>3296</v>
      </c>
      <c r="B7727" t="s">
        <v>2931</v>
      </c>
      <c r="C7727">
        <v>7014</v>
      </c>
      <c r="D7727" t="str">
        <f>"2560452792  "</f>
        <v xml:space="preserve">2560452792  </v>
      </c>
      <c r="E7727" t="s">
        <v>277</v>
      </c>
      <c r="F7727" t="s">
        <v>279</v>
      </c>
      <c r="G7727">
        <v>-37.659999999999997</v>
      </c>
      <c r="H7727">
        <v>250519</v>
      </c>
      <c r="I7727">
        <v>4600</v>
      </c>
      <c r="J7727" t="s">
        <v>278</v>
      </c>
      <c r="K7727">
        <v>1834.81</v>
      </c>
      <c r="L7727">
        <v>-7.65</v>
      </c>
      <c r="M7727">
        <v>59113</v>
      </c>
      <c r="N7727" t="s">
        <v>61</v>
      </c>
      <c r="O7727">
        <v>250521</v>
      </c>
      <c r="P7727">
        <v>-30.01</v>
      </c>
    </row>
    <row r="7728" spans="1:16" x14ac:dyDescent="0.25">
      <c r="A7728" t="s">
        <v>3296</v>
      </c>
      <c r="B7728" t="s">
        <v>2931</v>
      </c>
      <c r="C7728">
        <v>7015</v>
      </c>
      <c r="D7728" t="str">
        <f>"2560452793  "</f>
        <v xml:space="preserve">2560452793  </v>
      </c>
      <c r="E7728" t="s">
        <v>277</v>
      </c>
      <c r="F7728" t="s">
        <v>279</v>
      </c>
      <c r="G7728">
        <v>41.21</v>
      </c>
      <c r="H7728">
        <v>250519</v>
      </c>
      <c r="I7728">
        <v>4600</v>
      </c>
      <c r="J7728" t="s">
        <v>278</v>
      </c>
      <c r="K7728">
        <v>2164.31</v>
      </c>
      <c r="L7728">
        <v>8.3699999999999992</v>
      </c>
      <c r="M7728">
        <v>69113</v>
      </c>
      <c r="N7728" t="s">
        <v>122</v>
      </c>
      <c r="O7728">
        <v>250521</v>
      </c>
      <c r="P7728">
        <v>32.840000000000003</v>
      </c>
    </row>
    <row r="7729" spans="1:16" x14ac:dyDescent="0.25">
      <c r="A7729" t="s">
        <v>3296</v>
      </c>
      <c r="B7729" t="s">
        <v>2931</v>
      </c>
      <c r="C7729">
        <v>7015</v>
      </c>
      <c r="D7729" t="str">
        <f>"2560452793  "</f>
        <v xml:space="preserve">2560452793  </v>
      </c>
      <c r="E7729" t="s">
        <v>277</v>
      </c>
      <c r="F7729" t="s">
        <v>279</v>
      </c>
      <c r="G7729">
        <v>4.58</v>
      </c>
      <c r="H7729">
        <v>250519</v>
      </c>
      <c r="I7729">
        <v>4600</v>
      </c>
      <c r="J7729" t="s">
        <v>278</v>
      </c>
      <c r="K7729">
        <v>2164.31</v>
      </c>
      <c r="L7729">
        <v>0.93</v>
      </c>
      <c r="M7729">
        <v>69802</v>
      </c>
      <c r="N7729" t="s">
        <v>375</v>
      </c>
      <c r="O7729">
        <v>250521</v>
      </c>
      <c r="P7729">
        <v>3.65</v>
      </c>
    </row>
    <row r="7730" spans="1:16" x14ac:dyDescent="0.25">
      <c r="A7730" t="s">
        <v>3296</v>
      </c>
      <c r="B7730" t="s">
        <v>2931</v>
      </c>
      <c r="C7730">
        <v>7259</v>
      </c>
      <c r="D7730" t="str">
        <f>"2560452798  "</f>
        <v xml:space="preserve">2560452798  </v>
      </c>
      <c r="E7730" t="s">
        <v>277</v>
      </c>
      <c r="F7730" t="s">
        <v>279</v>
      </c>
      <c r="G7730">
        <v>-12.55</v>
      </c>
      <c r="H7730">
        <v>250519</v>
      </c>
      <c r="I7730">
        <v>4600</v>
      </c>
      <c r="J7730" t="s">
        <v>278</v>
      </c>
      <c r="K7730">
        <v>132.26</v>
      </c>
      <c r="L7730">
        <v>-2.5499999999999998</v>
      </c>
      <c r="M7730">
        <v>44253</v>
      </c>
      <c r="N7730" t="s">
        <v>403</v>
      </c>
      <c r="O7730">
        <v>250528</v>
      </c>
      <c r="P7730">
        <v>-10</v>
      </c>
    </row>
    <row r="7731" spans="1:16" x14ac:dyDescent="0.25">
      <c r="A7731" t="s">
        <v>3296</v>
      </c>
      <c r="B7731" t="s">
        <v>2931</v>
      </c>
      <c r="C7731">
        <v>7274</v>
      </c>
      <c r="D7731" t="str">
        <f>"2560452791  "</f>
        <v xml:space="preserve">2560452791  </v>
      </c>
      <c r="E7731" t="s">
        <v>277</v>
      </c>
      <c r="F7731" t="s">
        <v>279</v>
      </c>
      <c r="G7731">
        <v>-44</v>
      </c>
      <c r="H7731">
        <v>250519</v>
      </c>
      <c r="I7731">
        <v>4600</v>
      </c>
      <c r="J7731" t="s">
        <v>278</v>
      </c>
      <c r="K7731">
        <v>1388.24</v>
      </c>
      <c r="L7731">
        <v>-8.94</v>
      </c>
      <c r="M7731">
        <v>54451</v>
      </c>
      <c r="N7731" t="s">
        <v>218</v>
      </c>
      <c r="O7731">
        <v>250602</v>
      </c>
      <c r="P7731">
        <v>-35.06</v>
      </c>
    </row>
    <row r="7732" spans="1:16" x14ac:dyDescent="0.25">
      <c r="A7732" t="s">
        <v>3296</v>
      </c>
      <c r="B7732" t="s">
        <v>2931</v>
      </c>
      <c r="C7732">
        <v>7283</v>
      </c>
      <c r="D7732" t="str">
        <f>"2560452794  "</f>
        <v xml:space="preserve">2560452794  </v>
      </c>
      <c r="E7732" t="s">
        <v>277</v>
      </c>
      <c r="F7732" t="s">
        <v>279</v>
      </c>
      <c r="G7732">
        <v>25.7</v>
      </c>
      <c r="H7732">
        <v>250519</v>
      </c>
      <c r="I7732">
        <v>4600</v>
      </c>
      <c r="J7732" t="s">
        <v>278</v>
      </c>
      <c r="K7732">
        <v>1286.22</v>
      </c>
      <c r="L7732">
        <v>5.22</v>
      </c>
      <c r="M7732">
        <v>49112</v>
      </c>
      <c r="N7732" t="s">
        <v>109</v>
      </c>
      <c r="O7732">
        <v>250602</v>
      </c>
      <c r="P7732">
        <v>20.48</v>
      </c>
    </row>
    <row r="7733" spans="1:16" x14ac:dyDescent="0.25">
      <c r="A7733" t="s">
        <v>3296</v>
      </c>
      <c r="B7733" t="s">
        <v>2931</v>
      </c>
      <c r="C7733">
        <v>7511</v>
      </c>
      <c r="D7733" t="str">
        <f>"2560471257  "</f>
        <v xml:space="preserve">2560471257  </v>
      </c>
      <c r="E7733" t="s">
        <v>277</v>
      </c>
      <c r="F7733" t="s">
        <v>279</v>
      </c>
      <c r="G7733">
        <v>141.04</v>
      </c>
      <c r="H7733">
        <v>250526</v>
      </c>
      <c r="I7733">
        <v>4600</v>
      </c>
      <c r="J7733" t="s">
        <v>278</v>
      </c>
      <c r="K7733">
        <v>804.53</v>
      </c>
      <c r="L7733">
        <v>28.66</v>
      </c>
      <c r="M7733">
        <v>69112</v>
      </c>
      <c r="N7733" t="s">
        <v>227</v>
      </c>
      <c r="O7733">
        <v>250604</v>
      </c>
      <c r="P7733">
        <v>112.38</v>
      </c>
    </row>
    <row r="7734" spans="1:16" x14ac:dyDescent="0.25">
      <c r="A7734" t="s">
        <v>3296</v>
      </c>
      <c r="B7734" t="s">
        <v>2931</v>
      </c>
      <c r="C7734">
        <v>7511</v>
      </c>
      <c r="D7734" t="str">
        <f>"2560471257  "</f>
        <v xml:space="preserve">2560471257  </v>
      </c>
      <c r="E7734" t="s">
        <v>277</v>
      </c>
      <c r="F7734" t="s">
        <v>279</v>
      </c>
      <c r="G7734">
        <v>7.84</v>
      </c>
      <c r="H7734">
        <v>250526</v>
      </c>
      <c r="I7734">
        <v>4600</v>
      </c>
      <c r="J7734" t="s">
        <v>278</v>
      </c>
      <c r="K7734">
        <v>804.53</v>
      </c>
      <c r="L7734">
        <v>1.59</v>
      </c>
      <c r="M7734">
        <v>69810</v>
      </c>
      <c r="N7734" t="s">
        <v>229</v>
      </c>
      <c r="O7734">
        <v>250604</v>
      </c>
      <c r="P7734">
        <v>6.25</v>
      </c>
    </row>
    <row r="7735" spans="1:16" x14ac:dyDescent="0.25">
      <c r="A7735" t="s">
        <v>3296</v>
      </c>
      <c r="B7735" t="s">
        <v>2931</v>
      </c>
      <c r="C7735">
        <v>7511</v>
      </c>
      <c r="D7735" t="str">
        <f>"2560471257  "</f>
        <v xml:space="preserve">2560471257  </v>
      </c>
      <c r="E7735" t="s">
        <v>277</v>
      </c>
      <c r="F7735" t="s">
        <v>279</v>
      </c>
      <c r="G7735">
        <v>7.83</v>
      </c>
      <c r="H7735">
        <v>250526</v>
      </c>
      <c r="I7735">
        <v>4600</v>
      </c>
      <c r="J7735" t="s">
        <v>278</v>
      </c>
      <c r="K7735">
        <v>804.53</v>
      </c>
      <c r="L7735">
        <v>1.59</v>
      </c>
      <c r="M7735">
        <v>69811</v>
      </c>
      <c r="N7735" t="s">
        <v>230</v>
      </c>
      <c r="O7735">
        <v>250604</v>
      </c>
      <c r="P7735">
        <v>6.24</v>
      </c>
    </row>
    <row r="7736" spans="1:16" x14ac:dyDescent="0.25">
      <c r="A7736" t="s">
        <v>3296</v>
      </c>
      <c r="B7736" t="s">
        <v>2931</v>
      </c>
      <c r="C7736">
        <v>7514</v>
      </c>
      <c r="D7736" t="str">
        <f>"2560471252  "</f>
        <v xml:space="preserve">2560471252  </v>
      </c>
      <c r="E7736" t="s">
        <v>277</v>
      </c>
      <c r="F7736" t="s">
        <v>279</v>
      </c>
      <c r="G7736">
        <v>-125.53</v>
      </c>
      <c r="H7736">
        <v>250526</v>
      </c>
      <c r="I7736">
        <v>4600</v>
      </c>
      <c r="J7736" t="s">
        <v>278</v>
      </c>
      <c r="K7736">
        <v>1234.5</v>
      </c>
      <c r="L7736">
        <v>-25.51</v>
      </c>
      <c r="M7736">
        <v>49112</v>
      </c>
      <c r="N7736" t="s">
        <v>109</v>
      </c>
      <c r="O7736">
        <v>250604</v>
      </c>
      <c r="P7736">
        <v>-100.02</v>
      </c>
    </row>
    <row r="7737" spans="1:16" x14ac:dyDescent="0.25">
      <c r="A7737" t="s">
        <v>3296</v>
      </c>
      <c r="B7737" t="s">
        <v>2931</v>
      </c>
      <c r="C7737">
        <v>7530</v>
      </c>
      <c r="D7737" t="str">
        <f>"2560471250  "</f>
        <v xml:space="preserve">2560471250  </v>
      </c>
      <c r="E7737" t="s">
        <v>277</v>
      </c>
      <c r="F7737" t="s">
        <v>279</v>
      </c>
      <c r="G7737">
        <v>-6.3</v>
      </c>
      <c r="H7737">
        <v>250526</v>
      </c>
      <c r="I7737">
        <v>4600</v>
      </c>
      <c r="J7737" t="s">
        <v>278</v>
      </c>
      <c r="K7737">
        <v>277.64</v>
      </c>
      <c r="L7737">
        <v>-1.28</v>
      </c>
      <c r="M7737">
        <v>59113</v>
      </c>
      <c r="N7737" t="s">
        <v>61</v>
      </c>
      <c r="O7737">
        <v>250604</v>
      </c>
      <c r="P7737">
        <v>-5.0199999999999996</v>
      </c>
    </row>
    <row r="7738" spans="1:16" x14ac:dyDescent="0.25">
      <c r="A7738" t="s">
        <v>3296</v>
      </c>
      <c r="B7738" t="s">
        <v>2931</v>
      </c>
      <c r="C7738">
        <v>7538</v>
      </c>
      <c r="D7738" t="str">
        <f>"2560471251  "</f>
        <v xml:space="preserve">2560471251  </v>
      </c>
      <c r="E7738" t="s">
        <v>277</v>
      </c>
      <c r="F7738" t="s">
        <v>279</v>
      </c>
      <c r="G7738">
        <v>58.41</v>
      </c>
      <c r="H7738">
        <v>250526</v>
      </c>
      <c r="I7738">
        <v>4600</v>
      </c>
      <c r="J7738" t="s">
        <v>278</v>
      </c>
      <c r="K7738">
        <v>876.12</v>
      </c>
      <c r="L7738">
        <v>11.87</v>
      </c>
      <c r="M7738">
        <v>69113</v>
      </c>
      <c r="N7738" t="s">
        <v>122</v>
      </c>
      <c r="O7738">
        <v>250604</v>
      </c>
      <c r="P7738">
        <v>46.54</v>
      </c>
    </row>
    <row r="7739" spans="1:16" x14ac:dyDescent="0.25">
      <c r="A7739" t="s">
        <v>3296</v>
      </c>
      <c r="B7739" t="s">
        <v>2931</v>
      </c>
      <c r="C7739">
        <v>7538</v>
      </c>
      <c r="D7739" t="str">
        <f>"2560471251  "</f>
        <v xml:space="preserve">2560471251  </v>
      </c>
      <c r="E7739" t="s">
        <v>277</v>
      </c>
      <c r="F7739" t="s">
        <v>279</v>
      </c>
      <c r="G7739">
        <v>6.49</v>
      </c>
      <c r="H7739">
        <v>250526</v>
      </c>
      <c r="I7739">
        <v>4600</v>
      </c>
      <c r="J7739" t="s">
        <v>278</v>
      </c>
      <c r="K7739">
        <v>876.12</v>
      </c>
      <c r="L7739">
        <v>1.32</v>
      </c>
      <c r="M7739">
        <v>69802</v>
      </c>
      <c r="N7739" t="s">
        <v>375</v>
      </c>
      <c r="O7739">
        <v>250604</v>
      </c>
      <c r="P7739">
        <v>5.17</v>
      </c>
    </row>
    <row r="7740" spans="1:16" x14ac:dyDescent="0.25">
      <c r="A7740" t="s">
        <v>3296</v>
      </c>
      <c r="B7740" t="s">
        <v>2931</v>
      </c>
      <c r="C7740">
        <v>7546</v>
      </c>
      <c r="D7740" t="str">
        <f>"2560471248  "</f>
        <v xml:space="preserve">2560471248  </v>
      </c>
      <c r="E7740" t="s">
        <v>277</v>
      </c>
      <c r="F7740" t="s">
        <v>279</v>
      </c>
      <c r="G7740">
        <v>12.55</v>
      </c>
      <c r="H7740">
        <v>250526</v>
      </c>
      <c r="I7740">
        <v>4600</v>
      </c>
      <c r="J7740" t="s">
        <v>278</v>
      </c>
      <c r="K7740">
        <v>36.06</v>
      </c>
      <c r="L7740">
        <v>2.5499999999999998</v>
      </c>
      <c r="M7740">
        <v>59114</v>
      </c>
      <c r="N7740" t="s">
        <v>299</v>
      </c>
      <c r="O7740">
        <v>250604</v>
      </c>
      <c r="P7740">
        <v>10</v>
      </c>
    </row>
    <row r="7741" spans="1:16" x14ac:dyDescent="0.25">
      <c r="A7741" t="s">
        <v>3296</v>
      </c>
      <c r="B7741" t="s">
        <v>2931</v>
      </c>
      <c r="C7741">
        <v>8072</v>
      </c>
      <c r="D7741" t="str">
        <f>"2560518307  "</f>
        <v xml:space="preserve">2560518307  </v>
      </c>
      <c r="E7741" t="s">
        <v>277</v>
      </c>
      <c r="F7741" t="s">
        <v>279</v>
      </c>
      <c r="G7741">
        <v>30.5</v>
      </c>
      <c r="H7741">
        <v>250602</v>
      </c>
      <c r="I7741">
        <v>4600</v>
      </c>
      <c r="J7741" t="s">
        <v>278</v>
      </c>
      <c r="K7741">
        <v>103.33</v>
      </c>
      <c r="L7741">
        <v>6.2</v>
      </c>
      <c r="M7741">
        <v>59114</v>
      </c>
      <c r="N7741" t="s">
        <v>299</v>
      </c>
      <c r="O7741">
        <v>250611</v>
      </c>
      <c r="P7741">
        <v>24.3</v>
      </c>
    </row>
    <row r="7742" spans="1:16" x14ac:dyDescent="0.25">
      <c r="A7742" t="s">
        <v>3296</v>
      </c>
      <c r="B7742" t="s">
        <v>2931</v>
      </c>
      <c r="C7742">
        <v>8105</v>
      </c>
      <c r="D7742" t="str">
        <f>"2560485522  "</f>
        <v xml:space="preserve">2560485522  </v>
      </c>
      <c r="E7742" t="s">
        <v>277</v>
      </c>
      <c r="F7742" t="s">
        <v>279</v>
      </c>
      <c r="G7742">
        <v>86.06</v>
      </c>
      <c r="H7742">
        <v>250531</v>
      </c>
      <c r="I7742">
        <v>4600</v>
      </c>
      <c r="J7742" t="s">
        <v>278</v>
      </c>
      <c r="K7742">
        <v>931.74</v>
      </c>
      <c r="L7742">
        <v>17.489999999999998</v>
      </c>
      <c r="M7742">
        <v>69113</v>
      </c>
      <c r="N7742" t="s">
        <v>122</v>
      </c>
      <c r="O7742">
        <v>250611</v>
      </c>
      <c r="P7742">
        <v>68.569999999999993</v>
      </c>
    </row>
    <row r="7743" spans="1:16" x14ac:dyDescent="0.25">
      <c r="A7743" t="s">
        <v>3296</v>
      </c>
      <c r="B7743" t="s">
        <v>2931</v>
      </c>
      <c r="C7743">
        <v>8105</v>
      </c>
      <c r="D7743" t="str">
        <f>"2560485522  "</f>
        <v xml:space="preserve">2560485522  </v>
      </c>
      <c r="E7743" t="s">
        <v>277</v>
      </c>
      <c r="F7743" t="s">
        <v>279</v>
      </c>
      <c r="G7743">
        <v>9.56</v>
      </c>
      <c r="H7743">
        <v>250531</v>
      </c>
      <c r="I7743">
        <v>4600</v>
      </c>
      <c r="J7743" t="s">
        <v>278</v>
      </c>
      <c r="K7743">
        <v>931.74</v>
      </c>
      <c r="L7743">
        <v>1.94</v>
      </c>
      <c r="M7743">
        <v>69802</v>
      </c>
      <c r="N7743" t="s">
        <v>375</v>
      </c>
      <c r="O7743">
        <v>250611</v>
      </c>
      <c r="P7743">
        <v>7.62</v>
      </c>
    </row>
    <row r="7744" spans="1:16" x14ac:dyDescent="0.25">
      <c r="A7744" t="s">
        <v>3296</v>
      </c>
      <c r="B7744" t="s">
        <v>2931</v>
      </c>
      <c r="C7744">
        <v>8174</v>
      </c>
      <c r="D7744" t="str">
        <f>"2560485521  "</f>
        <v xml:space="preserve">2560485521  </v>
      </c>
      <c r="E7744" t="s">
        <v>277</v>
      </c>
      <c r="F7744" t="s">
        <v>279</v>
      </c>
      <c r="G7744">
        <v>207.89</v>
      </c>
      <c r="H7744">
        <v>250531</v>
      </c>
      <c r="I7744">
        <v>4600</v>
      </c>
      <c r="J7744" t="s">
        <v>278</v>
      </c>
      <c r="K7744">
        <v>1152.3900000000001</v>
      </c>
      <c r="L7744">
        <v>42.24</v>
      </c>
      <c r="M7744">
        <v>54451</v>
      </c>
      <c r="N7744" t="s">
        <v>218</v>
      </c>
      <c r="O7744">
        <v>250611</v>
      </c>
      <c r="P7744">
        <v>165.65</v>
      </c>
    </row>
    <row r="7745" spans="1:16" x14ac:dyDescent="0.25">
      <c r="A7745" t="s">
        <v>3296</v>
      </c>
      <c r="B7745" t="s">
        <v>2931</v>
      </c>
      <c r="C7745">
        <v>8177</v>
      </c>
      <c r="D7745" t="str">
        <f>"2560485520  "</f>
        <v xml:space="preserve">2560485520  </v>
      </c>
      <c r="E7745" t="s">
        <v>277</v>
      </c>
      <c r="F7745" t="s">
        <v>279</v>
      </c>
      <c r="G7745">
        <v>-37.659999999999997</v>
      </c>
      <c r="H7745">
        <v>250531</v>
      </c>
      <c r="I7745">
        <v>4600</v>
      </c>
      <c r="J7745" t="s">
        <v>278</v>
      </c>
      <c r="K7745">
        <v>-37.659999999999997</v>
      </c>
      <c r="L7745">
        <v>-7.65</v>
      </c>
      <c r="M7745">
        <v>59114</v>
      </c>
      <c r="N7745" t="s">
        <v>299</v>
      </c>
      <c r="O7745">
        <v>250611</v>
      </c>
      <c r="P7745">
        <v>-30.01</v>
      </c>
    </row>
    <row r="7746" spans="1:16" x14ac:dyDescent="0.25">
      <c r="A7746" t="s">
        <v>3296</v>
      </c>
      <c r="B7746" t="s">
        <v>2931</v>
      </c>
      <c r="C7746">
        <v>8773</v>
      </c>
      <c r="D7746" t="str">
        <f>"2560534662  "</f>
        <v xml:space="preserve">2560534662  </v>
      </c>
      <c r="E7746" t="s">
        <v>277</v>
      </c>
      <c r="F7746" t="s">
        <v>279</v>
      </c>
      <c r="G7746">
        <v>-12.55</v>
      </c>
      <c r="H7746">
        <v>250609</v>
      </c>
      <c r="I7746">
        <v>4600</v>
      </c>
      <c r="J7746" t="s">
        <v>278</v>
      </c>
      <c r="K7746">
        <v>1066.17</v>
      </c>
      <c r="L7746">
        <v>-2.5499999999999998</v>
      </c>
      <c r="M7746">
        <v>69113</v>
      </c>
      <c r="N7746" t="s">
        <v>122</v>
      </c>
      <c r="O7746">
        <v>250618</v>
      </c>
      <c r="P7746">
        <v>-10</v>
      </c>
    </row>
    <row r="7747" spans="1:16" x14ac:dyDescent="0.25">
      <c r="A7747" t="s">
        <v>3296</v>
      </c>
      <c r="B7747" t="s">
        <v>2931</v>
      </c>
      <c r="C7747">
        <v>8774</v>
      </c>
      <c r="D7747" t="str">
        <f>"2560534661  "</f>
        <v xml:space="preserve">2560534661  </v>
      </c>
      <c r="E7747" t="s">
        <v>277</v>
      </c>
      <c r="F7747" t="s">
        <v>279</v>
      </c>
      <c r="G7747">
        <v>25.15</v>
      </c>
      <c r="H7747">
        <v>250609</v>
      </c>
      <c r="I7747">
        <v>4600</v>
      </c>
      <c r="J7747" t="s">
        <v>278</v>
      </c>
      <c r="K7747">
        <v>1348.76</v>
      </c>
      <c r="L7747">
        <v>5.1100000000000003</v>
      </c>
      <c r="M7747">
        <v>54451</v>
      </c>
      <c r="N7747" t="s">
        <v>218</v>
      </c>
      <c r="O7747">
        <v>250618</v>
      </c>
      <c r="P7747">
        <v>20.04</v>
      </c>
    </row>
    <row r="7748" spans="1:16" x14ac:dyDescent="0.25">
      <c r="A7748" t="s">
        <v>3296</v>
      </c>
      <c r="B7748" t="s">
        <v>2931</v>
      </c>
      <c r="C7748">
        <v>8843</v>
      </c>
      <c r="D7748" t="str">
        <f>"2560553007  "</f>
        <v xml:space="preserve">2560553007  </v>
      </c>
      <c r="E7748" t="s">
        <v>277</v>
      </c>
      <c r="F7748" t="s">
        <v>279</v>
      </c>
      <c r="G7748">
        <v>141.83000000000001</v>
      </c>
      <c r="H7748">
        <v>250616</v>
      </c>
      <c r="I7748">
        <v>4600</v>
      </c>
      <c r="J7748" t="s">
        <v>278</v>
      </c>
      <c r="K7748">
        <v>974.96</v>
      </c>
      <c r="L7748">
        <v>28.82</v>
      </c>
      <c r="M7748">
        <v>69113</v>
      </c>
      <c r="N7748" t="s">
        <v>122</v>
      </c>
      <c r="O7748">
        <v>250618</v>
      </c>
      <c r="P7748">
        <v>113.01</v>
      </c>
    </row>
    <row r="7749" spans="1:16" x14ac:dyDescent="0.25">
      <c r="A7749" t="s">
        <v>3296</v>
      </c>
      <c r="B7749" t="s">
        <v>2931</v>
      </c>
      <c r="C7749">
        <v>8843</v>
      </c>
      <c r="D7749" t="str">
        <f>"2560553007  "</f>
        <v xml:space="preserve">2560553007  </v>
      </c>
      <c r="E7749" t="s">
        <v>277</v>
      </c>
      <c r="F7749" t="s">
        <v>279</v>
      </c>
      <c r="G7749">
        <v>15.76</v>
      </c>
      <c r="H7749">
        <v>250616</v>
      </c>
      <c r="I7749">
        <v>4600</v>
      </c>
      <c r="J7749" t="s">
        <v>278</v>
      </c>
      <c r="K7749">
        <v>974.96</v>
      </c>
      <c r="L7749">
        <v>3.2</v>
      </c>
      <c r="M7749">
        <v>69802</v>
      </c>
      <c r="N7749" t="s">
        <v>375</v>
      </c>
      <c r="O7749">
        <v>250618</v>
      </c>
      <c r="P7749">
        <v>12.56</v>
      </c>
    </row>
    <row r="7750" spans="1:16" x14ac:dyDescent="0.25">
      <c r="A7750" t="s">
        <v>3296</v>
      </c>
      <c r="B7750" t="s">
        <v>2931</v>
      </c>
      <c r="C7750">
        <v>9089</v>
      </c>
      <c r="D7750" t="str">
        <f>"2560553006  "</f>
        <v xml:space="preserve">2560553006  </v>
      </c>
      <c r="E7750" t="s">
        <v>277</v>
      </c>
      <c r="F7750" t="s">
        <v>279</v>
      </c>
      <c r="G7750">
        <v>-37.659999999999997</v>
      </c>
      <c r="H7750">
        <v>250616</v>
      </c>
      <c r="I7750">
        <v>4600</v>
      </c>
      <c r="J7750" t="s">
        <v>278</v>
      </c>
      <c r="K7750">
        <v>1228.3</v>
      </c>
      <c r="L7750">
        <v>-7.65</v>
      </c>
      <c r="M7750">
        <v>54451</v>
      </c>
      <c r="N7750" t="s">
        <v>218</v>
      </c>
      <c r="O7750">
        <v>250626</v>
      </c>
      <c r="P7750">
        <v>-30.01</v>
      </c>
    </row>
    <row r="7751" spans="1:16" x14ac:dyDescent="0.25">
      <c r="A7751" t="s">
        <v>3296</v>
      </c>
      <c r="B7751" t="s">
        <v>2931</v>
      </c>
      <c r="C7751">
        <v>9182</v>
      </c>
      <c r="D7751" t="str">
        <f>"2560567823  "</f>
        <v xml:space="preserve">2560567823  </v>
      </c>
      <c r="E7751" t="s">
        <v>277</v>
      </c>
      <c r="F7751" t="s">
        <v>279</v>
      </c>
      <c r="G7751">
        <v>118.21</v>
      </c>
      <c r="H7751">
        <v>250623</v>
      </c>
      <c r="I7751">
        <v>4600</v>
      </c>
      <c r="J7751" t="s">
        <v>278</v>
      </c>
      <c r="K7751">
        <v>1164.23</v>
      </c>
      <c r="L7751">
        <v>24.02</v>
      </c>
      <c r="M7751">
        <v>69113</v>
      </c>
      <c r="N7751" t="s">
        <v>122</v>
      </c>
      <c r="O7751">
        <v>250627</v>
      </c>
      <c r="P7751">
        <v>94.19</v>
      </c>
    </row>
    <row r="7752" spans="1:16" x14ac:dyDescent="0.25">
      <c r="A7752" t="s">
        <v>3296</v>
      </c>
      <c r="B7752" t="s">
        <v>2931</v>
      </c>
      <c r="C7752">
        <v>9182</v>
      </c>
      <c r="D7752" t="str">
        <f>"2560567823  "</f>
        <v xml:space="preserve">2560567823  </v>
      </c>
      <c r="E7752" t="s">
        <v>277</v>
      </c>
      <c r="F7752" t="s">
        <v>279</v>
      </c>
      <c r="G7752">
        <v>13.13</v>
      </c>
      <c r="H7752">
        <v>250623</v>
      </c>
      <c r="I7752">
        <v>4600</v>
      </c>
      <c r="J7752" t="s">
        <v>278</v>
      </c>
      <c r="K7752">
        <v>1164.23</v>
      </c>
      <c r="L7752">
        <v>2.67</v>
      </c>
      <c r="M7752">
        <v>69802</v>
      </c>
      <c r="N7752" t="s">
        <v>375</v>
      </c>
      <c r="O7752">
        <v>250627</v>
      </c>
      <c r="P7752">
        <v>10.46</v>
      </c>
    </row>
    <row r="7753" spans="1:16" x14ac:dyDescent="0.25">
      <c r="A7753" t="s">
        <v>3296</v>
      </c>
      <c r="B7753" t="s">
        <v>2931</v>
      </c>
      <c r="C7753">
        <v>9253</v>
      </c>
      <c r="D7753" t="str">
        <f>"2560567822  "</f>
        <v xml:space="preserve">2560567822  </v>
      </c>
      <c r="E7753" t="s">
        <v>277</v>
      </c>
      <c r="F7753" t="s">
        <v>279</v>
      </c>
      <c r="G7753">
        <v>-18.89</v>
      </c>
      <c r="H7753">
        <v>250623</v>
      </c>
      <c r="I7753">
        <v>4600</v>
      </c>
      <c r="J7753" t="s">
        <v>278</v>
      </c>
      <c r="K7753">
        <v>-18.89</v>
      </c>
      <c r="L7753">
        <v>-3.84</v>
      </c>
      <c r="M7753">
        <v>54451</v>
      </c>
      <c r="N7753" t="s">
        <v>218</v>
      </c>
      <c r="O7753">
        <v>250701</v>
      </c>
      <c r="P7753">
        <v>-15.05</v>
      </c>
    </row>
    <row r="7754" spans="1:16" x14ac:dyDescent="0.25">
      <c r="A7754" t="s">
        <v>3296</v>
      </c>
      <c r="B7754" t="s">
        <v>2931</v>
      </c>
      <c r="C7754">
        <v>9927</v>
      </c>
      <c r="D7754" t="str">
        <f>"2560674512  "</f>
        <v xml:space="preserve">2560674512  </v>
      </c>
      <c r="E7754" t="s">
        <v>277</v>
      </c>
      <c r="F7754" t="s">
        <v>279</v>
      </c>
      <c r="G7754">
        <v>85.9</v>
      </c>
      <c r="H7754">
        <v>250728</v>
      </c>
      <c r="I7754">
        <v>4600</v>
      </c>
      <c r="J7754" t="s">
        <v>278</v>
      </c>
      <c r="K7754">
        <v>2458.2600000000002</v>
      </c>
      <c r="L7754">
        <v>17.45</v>
      </c>
      <c r="M7754">
        <v>59810</v>
      </c>
      <c r="N7754" t="s">
        <v>1349</v>
      </c>
      <c r="O7754">
        <v>250805</v>
      </c>
      <c r="P7754">
        <v>68.45</v>
      </c>
    </row>
    <row r="7755" spans="1:16" x14ac:dyDescent="0.25">
      <c r="A7755" t="s">
        <v>3296</v>
      </c>
      <c r="B7755" t="s">
        <v>2931</v>
      </c>
      <c r="C7755">
        <v>9930</v>
      </c>
      <c r="D7755" t="str">
        <f>"2560682991  "</f>
        <v xml:space="preserve">2560682991  </v>
      </c>
      <c r="E7755" t="s">
        <v>277</v>
      </c>
      <c r="F7755" t="s">
        <v>279</v>
      </c>
      <c r="G7755">
        <v>12.55</v>
      </c>
      <c r="H7755">
        <v>250731</v>
      </c>
      <c r="I7755">
        <v>4600</v>
      </c>
      <c r="J7755" t="s">
        <v>278</v>
      </c>
      <c r="K7755">
        <v>2913.91</v>
      </c>
      <c r="L7755">
        <v>2.5499999999999998</v>
      </c>
      <c r="M7755">
        <v>59113</v>
      </c>
      <c r="N7755" t="s">
        <v>61</v>
      </c>
      <c r="O7755">
        <v>250805</v>
      </c>
      <c r="P7755">
        <v>10</v>
      </c>
    </row>
    <row r="7756" spans="1:16" x14ac:dyDescent="0.25">
      <c r="A7756" t="s">
        <v>3296</v>
      </c>
      <c r="B7756" t="s">
        <v>2931</v>
      </c>
      <c r="C7756">
        <v>9932</v>
      </c>
      <c r="D7756" t="str">
        <f>"2560682990  "</f>
        <v xml:space="preserve">2560682990  </v>
      </c>
      <c r="E7756" t="s">
        <v>277</v>
      </c>
      <c r="F7756" t="s">
        <v>279</v>
      </c>
      <c r="G7756">
        <v>25.18</v>
      </c>
      <c r="H7756">
        <v>250731</v>
      </c>
      <c r="I7756">
        <v>4600</v>
      </c>
      <c r="J7756" t="s">
        <v>278</v>
      </c>
      <c r="K7756">
        <v>353.88</v>
      </c>
      <c r="L7756">
        <v>5.12</v>
      </c>
      <c r="M7756">
        <v>59810</v>
      </c>
      <c r="N7756" t="s">
        <v>1349</v>
      </c>
      <c r="O7756">
        <v>250805</v>
      </c>
      <c r="P7756">
        <v>20.059999999999999</v>
      </c>
    </row>
    <row r="7757" spans="1:16" x14ac:dyDescent="0.25">
      <c r="A7757" t="s">
        <v>3296</v>
      </c>
      <c r="B7757" t="s">
        <v>2931</v>
      </c>
      <c r="C7757">
        <v>10111</v>
      </c>
      <c r="D7757" t="str">
        <f>"2560717450  "</f>
        <v xml:space="preserve">2560717450  </v>
      </c>
      <c r="E7757" t="s">
        <v>277</v>
      </c>
      <c r="F7757" t="s">
        <v>279</v>
      </c>
      <c r="G7757">
        <v>12.55</v>
      </c>
      <c r="H7757">
        <v>250804</v>
      </c>
      <c r="I7757">
        <v>4600</v>
      </c>
      <c r="J7757" t="s">
        <v>278</v>
      </c>
      <c r="K7757">
        <v>2075.83</v>
      </c>
      <c r="L7757">
        <v>2.5499999999999998</v>
      </c>
      <c r="M7757">
        <v>49112</v>
      </c>
      <c r="N7757" t="s">
        <v>109</v>
      </c>
      <c r="O7757">
        <v>250811</v>
      </c>
      <c r="P7757">
        <v>10</v>
      </c>
    </row>
    <row r="7758" spans="1:16" x14ac:dyDescent="0.25">
      <c r="A7758" t="s">
        <v>3296</v>
      </c>
      <c r="B7758" t="s">
        <v>2931</v>
      </c>
      <c r="C7758">
        <v>10130</v>
      </c>
      <c r="D7758" t="str">
        <f>"2560682993  "</f>
        <v xml:space="preserve">2560682993  </v>
      </c>
      <c r="E7758" t="s">
        <v>277</v>
      </c>
      <c r="F7758" t="s">
        <v>279</v>
      </c>
      <c r="G7758">
        <v>30.38</v>
      </c>
      <c r="H7758">
        <v>250731</v>
      </c>
      <c r="I7758">
        <v>4600</v>
      </c>
      <c r="J7758" t="s">
        <v>278</v>
      </c>
      <c r="K7758">
        <v>752.68</v>
      </c>
      <c r="L7758">
        <v>6.17</v>
      </c>
      <c r="M7758">
        <v>69112</v>
      </c>
      <c r="N7758" t="s">
        <v>227</v>
      </c>
      <c r="O7758">
        <v>250812</v>
      </c>
      <c r="P7758">
        <v>24.21</v>
      </c>
    </row>
    <row r="7759" spans="1:16" x14ac:dyDescent="0.25">
      <c r="A7759" t="s">
        <v>3296</v>
      </c>
      <c r="B7759" t="s">
        <v>2931</v>
      </c>
      <c r="C7759">
        <v>10130</v>
      </c>
      <c r="D7759" t="str">
        <f>"2560682993  "</f>
        <v xml:space="preserve">2560682993  </v>
      </c>
      <c r="E7759" t="s">
        <v>277</v>
      </c>
      <c r="F7759" t="s">
        <v>279</v>
      </c>
      <c r="G7759">
        <v>1.69</v>
      </c>
      <c r="H7759">
        <v>250731</v>
      </c>
      <c r="I7759">
        <v>4600</v>
      </c>
      <c r="J7759" t="s">
        <v>278</v>
      </c>
      <c r="K7759">
        <v>752.68</v>
      </c>
      <c r="L7759">
        <v>0.34</v>
      </c>
      <c r="M7759">
        <v>69810</v>
      </c>
      <c r="N7759" t="s">
        <v>229</v>
      </c>
      <c r="O7759">
        <v>250812</v>
      </c>
      <c r="P7759">
        <v>1.35</v>
      </c>
    </row>
    <row r="7760" spans="1:16" x14ac:dyDescent="0.25">
      <c r="A7760" t="s">
        <v>3296</v>
      </c>
      <c r="B7760" t="s">
        <v>2931</v>
      </c>
      <c r="C7760">
        <v>10130</v>
      </c>
      <c r="D7760" t="str">
        <f>"2560682993  "</f>
        <v xml:space="preserve">2560682993  </v>
      </c>
      <c r="E7760" t="s">
        <v>277</v>
      </c>
      <c r="F7760" t="s">
        <v>279</v>
      </c>
      <c r="G7760">
        <v>1.69</v>
      </c>
      <c r="H7760">
        <v>250731</v>
      </c>
      <c r="I7760">
        <v>4600</v>
      </c>
      <c r="J7760" t="s">
        <v>278</v>
      </c>
      <c r="K7760">
        <v>752.68</v>
      </c>
      <c r="L7760">
        <v>0.34</v>
      </c>
      <c r="M7760">
        <v>69811</v>
      </c>
      <c r="N7760" t="s">
        <v>230</v>
      </c>
      <c r="O7760">
        <v>250812</v>
      </c>
      <c r="P7760">
        <v>1.35</v>
      </c>
    </row>
    <row r="7761" spans="1:16" x14ac:dyDescent="0.25">
      <c r="A7761" t="s">
        <v>3296</v>
      </c>
      <c r="B7761" t="s">
        <v>2931</v>
      </c>
      <c r="C7761">
        <v>10286</v>
      </c>
      <c r="D7761" t="str">
        <f>"2560733811  "</f>
        <v xml:space="preserve">2560733811  </v>
      </c>
      <c r="E7761" t="s">
        <v>277</v>
      </c>
      <c r="F7761" t="s">
        <v>279</v>
      </c>
      <c r="G7761">
        <v>83.09</v>
      </c>
      <c r="H7761">
        <v>250811</v>
      </c>
      <c r="I7761">
        <v>4600</v>
      </c>
      <c r="J7761" t="s">
        <v>278</v>
      </c>
      <c r="K7761">
        <v>1872.82</v>
      </c>
      <c r="L7761">
        <v>16.88</v>
      </c>
      <c r="M7761">
        <v>69113</v>
      </c>
      <c r="N7761" t="s">
        <v>122</v>
      </c>
      <c r="O7761">
        <v>250813</v>
      </c>
      <c r="P7761">
        <v>66.209999999999994</v>
      </c>
    </row>
    <row r="7762" spans="1:16" x14ac:dyDescent="0.25">
      <c r="A7762" t="s">
        <v>3296</v>
      </c>
      <c r="B7762" t="s">
        <v>2931</v>
      </c>
      <c r="C7762">
        <v>10286</v>
      </c>
      <c r="D7762" t="str">
        <f>"2560733811  "</f>
        <v xml:space="preserve">2560733811  </v>
      </c>
      <c r="E7762" t="s">
        <v>277</v>
      </c>
      <c r="F7762" t="s">
        <v>279</v>
      </c>
      <c r="G7762">
        <v>9.24</v>
      </c>
      <c r="H7762">
        <v>250811</v>
      </c>
      <c r="I7762">
        <v>4600</v>
      </c>
      <c r="J7762" t="s">
        <v>278</v>
      </c>
      <c r="K7762">
        <v>1872.82</v>
      </c>
      <c r="L7762">
        <v>1.88</v>
      </c>
      <c r="M7762">
        <v>69802</v>
      </c>
      <c r="N7762" t="s">
        <v>375</v>
      </c>
      <c r="O7762">
        <v>250813</v>
      </c>
      <c r="P7762">
        <v>7.36</v>
      </c>
    </row>
    <row r="7763" spans="1:16" x14ac:dyDescent="0.25">
      <c r="A7763" t="s">
        <v>3296</v>
      </c>
      <c r="B7763" t="s">
        <v>2931</v>
      </c>
      <c r="C7763">
        <v>10323</v>
      </c>
      <c r="D7763" t="str">
        <f>"2560733808  "</f>
        <v xml:space="preserve">2560733808  </v>
      </c>
      <c r="E7763" t="s">
        <v>277</v>
      </c>
      <c r="F7763" t="s">
        <v>279</v>
      </c>
      <c r="G7763">
        <v>75.790000000000006</v>
      </c>
      <c r="H7763">
        <v>250811</v>
      </c>
      <c r="I7763">
        <v>4600</v>
      </c>
      <c r="J7763" t="s">
        <v>278</v>
      </c>
      <c r="K7763">
        <v>1372.85</v>
      </c>
      <c r="L7763">
        <v>15.4</v>
      </c>
      <c r="M7763">
        <v>59114</v>
      </c>
      <c r="N7763" t="s">
        <v>299</v>
      </c>
      <c r="O7763">
        <v>250814</v>
      </c>
      <c r="P7763">
        <v>60.39</v>
      </c>
    </row>
    <row r="7764" spans="1:16" x14ac:dyDescent="0.25">
      <c r="A7764" t="s">
        <v>3296</v>
      </c>
      <c r="B7764" t="s">
        <v>2931</v>
      </c>
      <c r="C7764">
        <v>10435</v>
      </c>
      <c r="D7764" t="str">
        <f>"2560733810  "</f>
        <v xml:space="preserve">2560733810  </v>
      </c>
      <c r="E7764" t="s">
        <v>277</v>
      </c>
      <c r="F7764" t="s">
        <v>279</v>
      </c>
      <c r="G7764">
        <v>347.03</v>
      </c>
      <c r="H7764">
        <v>250811</v>
      </c>
      <c r="I7764">
        <v>4600</v>
      </c>
      <c r="J7764" t="s">
        <v>278</v>
      </c>
      <c r="K7764">
        <v>3311.21</v>
      </c>
      <c r="L7764">
        <v>70.510000000000005</v>
      </c>
      <c r="M7764">
        <v>59113</v>
      </c>
      <c r="N7764" t="s">
        <v>61</v>
      </c>
      <c r="O7764">
        <v>250819</v>
      </c>
      <c r="P7764">
        <v>276.52</v>
      </c>
    </row>
    <row r="7765" spans="1:16" x14ac:dyDescent="0.25">
      <c r="A7765" t="s">
        <v>3296</v>
      </c>
      <c r="B7765" t="s">
        <v>2931</v>
      </c>
      <c r="C7765">
        <v>10440</v>
      </c>
      <c r="D7765" t="str">
        <f>"2560733809  "</f>
        <v xml:space="preserve">2560733809  </v>
      </c>
      <c r="E7765" t="s">
        <v>277</v>
      </c>
      <c r="F7765" t="s">
        <v>279</v>
      </c>
      <c r="G7765">
        <v>367.88</v>
      </c>
      <c r="H7765">
        <v>250811</v>
      </c>
      <c r="I7765">
        <v>4600</v>
      </c>
      <c r="J7765" t="s">
        <v>278</v>
      </c>
      <c r="K7765">
        <v>3398.41</v>
      </c>
      <c r="L7765">
        <v>74.75</v>
      </c>
      <c r="M7765">
        <v>54451</v>
      </c>
      <c r="N7765" t="s">
        <v>218</v>
      </c>
      <c r="O7765">
        <v>250819</v>
      </c>
      <c r="P7765">
        <v>293.13</v>
      </c>
    </row>
    <row r="7766" spans="1:16" x14ac:dyDescent="0.25">
      <c r="A7766" t="s">
        <v>3296</v>
      </c>
      <c r="B7766" t="s">
        <v>2931</v>
      </c>
      <c r="C7766">
        <v>10545</v>
      </c>
      <c r="D7766" t="str">
        <f>"2560733816  "</f>
        <v xml:space="preserve">2560733816  </v>
      </c>
      <c r="E7766" t="s">
        <v>277</v>
      </c>
      <c r="F7766" t="s">
        <v>279</v>
      </c>
      <c r="G7766">
        <v>25.75</v>
      </c>
      <c r="H7766">
        <v>250811</v>
      </c>
      <c r="I7766">
        <v>4600</v>
      </c>
      <c r="J7766" t="s">
        <v>278</v>
      </c>
      <c r="K7766">
        <v>669.37</v>
      </c>
      <c r="L7766">
        <v>5.23</v>
      </c>
      <c r="M7766">
        <v>44253</v>
      </c>
      <c r="N7766" t="s">
        <v>403</v>
      </c>
      <c r="O7766">
        <v>250820</v>
      </c>
      <c r="P7766">
        <v>20.52</v>
      </c>
    </row>
    <row r="7767" spans="1:16" x14ac:dyDescent="0.25">
      <c r="A7767" t="s">
        <v>3296</v>
      </c>
      <c r="B7767" t="s">
        <v>2931</v>
      </c>
      <c r="C7767">
        <v>10545</v>
      </c>
      <c r="D7767" t="str">
        <f>"2560733816  "</f>
        <v xml:space="preserve">2560733816  </v>
      </c>
      <c r="E7767" t="s">
        <v>277</v>
      </c>
      <c r="F7767" t="s">
        <v>279</v>
      </c>
      <c r="G7767">
        <v>78.260000000000005</v>
      </c>
      <c r="H7767">
        <v>250811</v>
      </c>
      <c r="I7767">
        <v>4600</v>
      </c>
      <c r="J7767" t="s">
        <v>278</v>
      </c>
      <c r="K7767">
        <v>669.37</v>
      </c>
      <c r="L7767">
        <v>15.9</v>
      </c>
      <c r="M7767">
        <v>44253</v>
      </c>
      <c r="N7767" t="s">
        <v>403</v>
      </c>
      <c r="O7767">
        <v>250820</v>
      </c>
      <c r="P7767">
        <v>62.36</v>
      </c>
    </row>
    <row r="7768" spans="1:16" x14ac:dyDescent="0.25">
      <c r="A7768" t="s">
        <v>3296</v>
      </c>
      <c r="B7768" t="s">
        <v>2931</v>
      </c>
      <c r="C7768">
        <v>10552</v>
      </c>
      <c r="D7768" t="str">
        <f>"2560754434  "</f>
        <v xml:space="preserve">2560754434  </v>
      </c>
      <c r="E7768" t="s">
        <v>277</v>
      </c>
      <c r="F7768" t="s">
        <v>279</v>
      </c>
      <c r="G7768">
        <v>15.6</v>
      </c>
      <c r="H7768">
        <v>250818</v>
      </c>
      <c r="I7768">
        <v>4600</v>
      </c>
      <c r="J7768" t="s">
        <v>278</v>
      </c>
      <c r="K7768">
        <v>1035.58</v>
      </c>
      <c r="L7768">
        <v>3.17</v>
      </c>
      <c r="M7768">
        <v>44253</v>
      </c>
      <c r="N7768" t="s">
        <v>403</v>
      </c>
      <c r="O7768">
        <v>250820</v>
      </c>
      <c r="P7768">
        <v>12.43</v>
      </c>
    </row>
    <row r="7769" spans="1:16" x14ac:dyDescent="0.25">
      <c r="A7769" t="s">
        <v>3296</v>
      </c>
      <c r="B7769" t="s">
        <v>2931</v>
      </c>
      <c r="C7769">
        <v>10567</v>
      </c>
      <c r="D7769" t="str">
        <f>"2560754428  "</f>
        <v xml:space="preserve">2560754428  </v>
      </c>
      <c r="E7769" t="s">
        <v>277</v>
      </c>
      <c r="F7769" t="s">
        <v>279</v>
      </c>
      <c r="G7769">
        <v>-10.220000000000001</v>
      </c>
      <c r="H7769">
        <v>250818</v>
      </c>
      <c r="I7769">
        <v>4600</v>
      </c>
      <c r="J7769" t="s">
        <v>278</v>
      </c>
      <c r="K7769">
        <v>2317.67</v>
      </c>
      <c r="L7769">
        <v>-2.08</v>
      </c>
      <c r="M7769">
        <v>69113</v>
      </c>
      <c r="N7769" t="s">
        <v>122</v>
      </c>
      <c r="O7769">
        <v>250820</v>
      </c>
      <c r="P7769">
        <v>-8.14</v>
      </c>
    </row>
    <row r="7770" spans="1:16" x14ac:dyDescent="0.25">
      <c r="A7770" t="s">
        <v>3296</v>
      </c>
      <c r="B7770" t="s">
        <v>2931</v>
      </c>
      <c r="C7770">
        <v>10567</v>
      </c>
      <c r="D7770" t="str">
        <f>"2560754428  "</f>
        <v xml:space="preserve">2560754428  </v>
      </c>
      <c r="E7770" t="s">
        <v>277</v>
      </c>
      <c r="F7770" t="s">
        <v>279</v>
      </c>
      <c r="G7770">
        <v>-1.1299999999999999</v>
      </c>
      <c r="H7770">
        <v>250818</v>
      </c>
      <c r="I7770">
        <v>4600</v>
      </c>
      <c r="J7770" t="s">
        <v>278</v>
      </c>
      <c r="K7770">
        <v>2317.67</v>
      </c>
      <c r="L7770">
        <v>-0.23</v>
      </c>
      <c r="M7770">
        <v>69802</v>
      </c>
      <c r="N7770" t="s">
        <v>375</v>
      </c>
      <c r="O7770">
        <v>250820</v>
      </c>
      <c r="P7770">
        <v>-0.9</v>
      </c>
    </row>
    <row r="7771" spans="1:16" x14ac:dyDescent="0.25">
      <c r="A7771" t="s">
        <v>3296</v>
      </c>
      <c r="B7771" t="s">
        <v>2931</v>
      </c>
      <c r="C7771">
        <v>10630</v>
      </c>
      <c r="D7771" t="str">
        <f>"2560754425  "</f>
        <v xml:space="preserve">2560754425  </v>
      </c>
      <c r="E7771" t="s">
        <v>277</v>
      </c>
      <c r="F7771" t="s">
        <v>279</v>
      </c>
      <c r="G7771">
        <v>12.55</v>
      </c>
      <c r="H7771">
        <v>250818</v>
      </c>
      <c r="I7771">
        <v>4600</v>
      </c>
      <c r="J7771" t="s">
        <v>278</v>
      </c>
      <c r="K7771">
        <v>935.63</v>
      </c>
      <c r="L7771">
        <v>2.5499999999999998</v>
      </c>
      <c r="M7771">
        <v>59114</v>
      </c>
      <c r="N7771" t="s">
        <v>299</v>
      </c>
      <c r="O7771">
        <v>250821</v>
      </c>
      <c r="P7771">
        <v>10</v>
      </c>
    </row>
    <row r="7772" spans="1:16" x14ac:dyDescent="0.25">
      <c r="A7772" t="s">
        <v>3296</v>
      </c>
      <c r="B7772" t="s">
        <v>2931</v>
      </c>
      <c r="C7772">
        <v>10813</v>
      </c>
      <c r="D7772" t="str">
        <f>"2560754426  "</f>
        <v xml:space="preserve">2560754426  </v>
      </c>
      <c r="E7772" t="s">
        <v>277</v>
      </c>
      <c r="F7772" t="s">
        <v>279</v>
      </c>
      <c r="G7772">
        <v>64.02</v>
      </c>
      <c r="H7772">
        <v>250818</v>
      </c>
      <c r="I7772">
        <v>4600</v>
      </c>
      <c r="J7772" t="s">
        <v>278</v>
      </c>
      <c r="K7772">
        <v>3092.77</v>
      </c>
      <c r="L7772">
        <v>13.01</v>
      </c>
      <c r="M7772">
        <v>54451</v>
      </c>
      <c r="N7772" t="s">
        <v>218</v>
      </c>
      <c r="O7772">
        <v>250825</v>
      </c>
      <c r="P7772">
        <v>51.01</v>
      </c>
    </row>
    <row r="7773" spans="1:16" x14ac:dyDescent="0.25">
      <c r="A7773" t="s">
        <v>3296</v>
      </c>
      <c r="B7773" t="s">
        <v>2931</v>
      </c>
      <c r="C7773">
        <v>10868</v>
      </c>
      <c r="D7773" t="str">
        <f>"2560733812  "</f>
        <v xml:space="preserve">2560733812  </v>
      </c>
      <c r="E7773" t="s">
        <v>277</v>
      </c>
      <c r="F7773" t="s">
        <v>279</v>
      </c>
      <c r="G7773">
        <v>506.22</v>
      </c>
      <c r="H7773">
        <v>250811</v>
      </c>
      <c r="I7773">
        <v>4600</v>
      </c>
      <c r="J7773" t="s">
        <v>278</v>
      </c>
      <c r="K7773">
        <v>2955.87</v>
      </c>
      <c r="L7773">
        <v>102.86</v>
      </c>
      <c r="M7773">
        <v>49112</v>
      </c>
      <c r="N7773" t="s">
        <v>109</v>
      </c>
      <c r="O7773">
        <v>250825</v>
      </c>
      <c r="P7773">
        <v>403.36</v>
      </c>
    </row>
    <row r="7774" spans="1:16" x14ac:dyDescent="0.25">
      <c r="A7774" t="s">
        <v>3296</v>
      </c>
      <c r="B7774" t="s">
        <v>2931</v>
      </c>
      <c r="C7774">
        <v>10872</v>
      </c>
      <c r="D7774" t="str">
        <f>"2560754429  "</f>
        <v xml:space="preserve">2560754429  </v>
      </c>
      <c r="E7774" t="s">
        <v>277</v>
      </c>
      <c r="F7774" t="s">
        <v>279</v>
      </c>
      <c r="G7774">
        <v>12.55</v>
      </c>
      <c r="H7774">
        <v>250818</v>
      </c>
      <c r="I7774">
        <v>4600</v>
      </c>
      <c r="J7774" t="s">
        <v>278</v>
      </c>
      <c r="K7774">
        <v>2033.66</v>
      </c>
      <c r="L7774">
        <v>2.5499999999999998</v>
      </c>
      <c r="M7774">
        <v>49112</v>
      </c>
      <c r="N7774" t="s">
        <v>109</v>
      </c>
      <c r="O7774">
        <v>250826</v>
      </c>
      <c r="P7774">
        <v>10</v>
      </c>
    </row>
    <row r="7775" spans="1:16" x14ac:dyDescent="0.25">
      <c r="A7775" t="s">
        <v>3296</v>
      </c>
      <c r="B7775" t="s">
        <v>2931</v>
      </c>
      <c r="C7775">
        <v>10929</v>
      </c>
      <c r="D7775" t="str">
        <f>"2560733817  "</f>
        <v xml:space="preserve">2560733817  </v>
      </c>
      <c r="E7775" t="s">
        <v>277</v>
      </c>
      <c r="F7775" t="s">
        <v>279</v>
      </c>
      <c r="G7775">
        <v>124.51</v>
      </c>
      <c r="H7775">
        <v>250811</v>
      </c>
      <c r="I7775">
        <v>4600</v>
      </c>
      <c r="J7775" t="s">
        <v>278</v>
      </c>
      <c r="K7775">
        <v>1144.2</v>
      </c>
      <c r="L7775">
        <v>25.3</v>
      </c>
      <c r="M7775">
        <v>69112</v>
      </c>
      <c r="N7775" t="s">
        <v>227</v>
      </c>
      <c r="O7775">
        <v>250827</v>
      </c>
      <c r="P7775">
        <v>99.21</v>
      </c>
    </row>
    <row r="7776" spans="1:16" x14ac:dyDescent="0.25">
      <c r="A7776" t="s">
        <v>3296</v>
      </c>
      <c r="B7776" t="s">
        <v>2931</v>
      </c>
      <c r="C7776">
        <v>10929</v>
      </c>
      <c r="D7776" t="str">
        <f>"2560733817  "</f>
        <v xml:space="preserve">2560733817  </v>
      </c>
      <c r="E7776" t="s">
        <v>277</v>
      </c>
      <c r="F7776" t="s">
        <v>279</v>
      </c>
      <c r="G7776">
        <v>6.92</v>
      </c>
      <c r="H7776">
        <v>250811</v>
      </c>
      <c r="I7776">
        <v>4600</v>
      </c>
      <c r="J7776" t="s">
        <v>278</v>
      </c>
      <c r="K7776">
        <v>1144.2</v>
      </c>
      <c r="L7776">
        <v>1.41</v>
      </c>
      <c r="M7776">
        <v>69810</v>
      </c>
      <c r="N7776" t="s">
        <v>229</v>
      </c>
      <c r="O7776">
        <v>250827</v>
      </c>
      <c r="P7776">
        <v>5.51</v>
      </c>
    </row>
    <row r="7777" spans="1:16" x14ac:dyDescent="0.25">
      <c r="A7777" t="s">
        <v>3296</v>
      </c>
      <c r="B7777" t="s">
        <v>2931</v>
      </c>
      <c r="C7777">
        <v>10929</v>
      </c>
      <c r="D7777" t="str">
        <f>"2560733817  "</f>
        <v xml:space="preserve">2560733817  </v>
      </c>
      <c r="E7777" t="s">
        <v>277</v>
      </c>
      <c r="F7777" t="s">
        <v>279</v>
      </c>
      <c r="G7777">
        <v>6.92</v>
      </c>
      <c r="H7777">
        <v>250811</v>
      </c>
      <c r="I7777">
        <v>4600</v>
      </c>
      <c r="J7777" t="s">
        <v>278</v>
      </c>
      <c r="K7777">
        <v>1144.2</v>
      </c>
      <c r="L7777">
        <v>1.41</v>
      </c>
      <c r="M7777">
        <v>69811</v>
      </c>
      <c r="N7777" t="s">
        <v>230</v>
      </c>
      <c r="O7777">
        <v>250827</v>
      </c>
      <c r="P7777">
        <v>5.51</v>
      </c>
    </row>
    <row r="7778" spans="1:16" x14ac:dyDescent="0.25">
      <c r="A7778" t="s">
        <v>3296</v>
      </c>
      <c r="B7778" t="s">
        <v>2931</v>
      </c>
      <c r="C7778">
        <v>10932</v>
      </c>
      <c r="D7778" t="str">
        <f>"2560754435  "</f>
        <v xml:space="preserve">2560754435  </v>
      </c>
      <c r="E7778" t="s">
        <v>277</v>
      </c>
      <c r="F7778" t="s">
        <v>279</v>
      </c>
      <c r="G7778">
        <v>58.48</v>
      </c>
      <c r="H7778">
        <v>250818</v>
      </c>
      <c r="I7778">
        <v>4600</v>
      </c>
      <c r="J7778" t="s">
        <v>278</v>
      </c>
      <c r="K7778">
        <v>1422.6</v>
      </c>
      <c r="L7778">
        <v>11.88</v>
      </c>
      <c r="M7778">
        <v>69112</v>
      </c>
      <c r="N7778" t="s">
        <v>227</v>
      </c>
      <c r="O7778">
        <v>250827</v>
      </c>
      <c r="P7778">
        <v>46.6</v>
      </c>
    </row>
    <row r="7779" spans="1:16" x14ac:dyDescent="0.25">
      <c r="A7779" t="s">
        <v>3296</v>
      </c>
      <c r="B7779" t="s">
        <v>2931</v>
      </c>
      <c r="C7779">
        <v>10932</v>
      </c>
      <c r="D7779" t="str">
        <f>"2560754435  "</f>
        <v xml:space="preserve">2560754435  </v>
      </c>
      <c r="E7779" t="s">
        <v>277</v>
      </c>
      <c r="F7779" t="s">
        <v>279</v>
      </c>
      <c r="G7779">
        <v>3.25</v>
      </c>
      <c r="H7779">
        <v>250818</v>
      </c>
      <c r="I7779">
        <v>4600</v>
      </c>
      <c r="J7779" t="s">
        <v>278</v>
      </c>
      <c r="K7779">
        <v>1422.6</v>
      </c>
      <c r="L7779">
        <v>0.66</v>
      </c>
      <c r="M7779">
        <v>69810</v>
      </c>
      <c r="N7779" t="s">
        <v>229</v>
      </c>
      <c r="O7779">
        <v>250827</v>
      </c>
      <c r="P7779">
        <v>2.59</v>
      </c>
    </row>
    <row r="7780" spans="1:16" x14ac:dyDescent="0.25">
      <c r="A7780" t="s">
        <v>3296</v>
      </c>
      <c r="B7780" t="s">
        <v>2931</v>
      </c>
      <c r="C7780">
        <v>10932</v>
      </c>
      <c r="D7780" t="str">
        <f>"2560754435  "</f>
        <v xml:space="preserve">2560754435  </v>
      </c>
      <c r="E7780" t="s">
        <v>277</v>
      </c>
      <c r="F7780" t="s">
        <v>279</v>
      </c>
      <c r="G7780">
        <v>3.25</v>
      </c>
      <c r="H7780">
        <v>250818</v>
      </c>
      <c r="I7780">
        <v>4600</v>
      </c>
      <c r="J7780" t="s">
        <v>278</v>
      </c>
      <c r="K7780">
        <v>1422.6</v>
      </c>
      <c r="L7780">
        <v>0.66</v>
      </c>
      <c r="M7780">
        <v>69811</v>
      </c>
      <c r="N7780" t="s">
        <v>230</v>
      </c>
      <c r="O7780">
        <v>250827</v>
      </c>
      <c r="P7780">
        <v>2.59</v>
      </c>
    </row>
    <row r="7781" spans="1:16" x14ac:dyDescent="0.25">
      <c r="A7781" t="s">
        <v>3296</v>
      </c>
      <c r="B7781" t="s">
        <v>2931</v>
      </c>
      <c r="C7781">
        <v>10939</v>
      </c>
      <c r="D7781" t="str">
        <f>"2560770566  "</f>
        <v xml:space="preserve">2560770566  </v>
      </c>
      <c r="E7781" t="s">
        <v>277</v>
      </c>
      <c r="F7781" t="s">
        <v>279</v>
      </c>
      <c r="G7781">
        <v>32.39</v>
      </c>
      <c r="H7781">
        <v>250825</v>
      </c>
      <c r="I7781">
        <v>4600</v>
      </c>
      <c r="J7781" t="s">
        <v>278</v>
      </c>
      <c r="K7781">
        <v>1006.69</v>
      </c>
      <c r="L7781">
        <v>6.58</v>
      </c>
      <c r="M7781">
        <v>69112</v>
      </c>
      <c r="N7781" t="s">
        <v>227</v>
      </c>
      <c r="O7781">
        <v>250827</v>
      </c>
      <c r="P7781">
        <v>25.81</v>
      </c>
    </row>
    <row r="7782" spans="1:16" x14ac:dyDescent="0.25">
      <c r="A7782" t="s">
        <v>3296</v>
      </c>
      <c r="B7782" t="s">
        <v>2931</v>
      </c>
      <c r="C7782">
        <v>10939</v>
      </c>
      <c r="D7782" t="str">
        <f>"2560770566  "</f>
        <v xml:space="preserve">2560770566  </v>
      </c>
      <c r="E7782" t="s">
        <v>277</v>
      </c>
      <c r="F7782" t="s">
        <v>279</v>
      </c>
      <c r="G7782">
        <v>1.8</v>
      </c>
      <c r="H7782">
        <v>250825</v>
      </c>
      <c r="I7782">
        <v>4600</v>
      </c>
      <c r="J7782" t="s">
        <v>278</v>
      </c>
      <c r="K7782">
        <v>1006.69</v>
      </c>
      <c r="L7782">
        <v>0.37</v>
      </c>
      <c r="M7782">
        <v>69810</v>
      </c>
      <c r="N7782" t="s">
        <v>229</v>
      </c>
      <c r="O7782">
        <v>250827</v>
      </c>
      <c r="P7782">
        <v>1.43</v>
      </c>
    </row>
    <row r="7783" spans="1:16" x14ac:dyDescent="0.25">
      <c r="A7783" t="s">
        <v>3296</v>
      </c>
      <c r="B7783" t="s">
        <v>2931</v>
      </c>
      <c r="C7783">
        <v>10939</v>
      </c>
      <c r="D7783" t="str">
        <f>"2560770566  "</f>
        <v xml:space="preserve">2560770566  </v>
      </c>
      <c r="E7783" t="s">
        <v>277</v>
      </c>
      <c r="F7783" t="s">
        <v>279</v>
      </c>
      <c r="G7783">
        <v>1.8</v>
      </c>
      <c r="H7783">
        <v>250825</v>
      </c>
      <c r="I7783">
        <v>4600</v>
      </c>
      <c r="J7783" t="s">
        <v>278</v>
      </c>
      <c r="K7783">
        <v>1006.69</v>
      </c>
      <c r="L7783">
        <v>0.37</v>
      </c>
      <c r="M7783">
        <v>69811</v>
      </c>
      <c r="N7783" t="s">
        <v>230</v>
      </c>
      <c r="O7783">
        <v>250827</v>
      </c>
      <c r="P7783">
        <v>1.43</v>
      </c>
    </row>
    <row r="7784" spans="1:16" x14ac:dyDescent="0.25">
      <c r="A7784" t="s">
        <v>3296</v>
      </c>
      <c r="B7784" t="s">
        <v>2931</v>
      </c>
      <c r="C7784">
        <v>10968</v>
      </c>
      <c r="D7784" t="str">
        <f>"2560754431  "</f>
        <v xml:space="preserve">2560754431  </v>
      </c>
      <c r="E7784" t="s">
        <v>277</v>
      </c>
      <c r="F7784" t="s">
        <v>279</v>
      </c>
      <c r="G7784">
        <v>612.63</v>
      </c>
      <c r="H7784">
        <v>250818</v>
      </c>
      <c r="I7784">
        <v>4600</v>
      </c>
      <c r="J7784" t="s">
        <v>278</v>
      </c>
      <c r="K7784">
        <v>2323.2800000000002</v>
      </c>
      <c r="L7784">
        <v>124.48</v>
      </c>
      <c r="M7784">
        <v>44251</v>
      </c>
      <c r="N7784" t="s">
        <v>215</v>
      </c>
      <c r="O7784">
        <v>250828</v>
      </c>
      <c r="P7784">
        <v>488.15</v>
      </c>
    </row>
    <row r="7785" spans="1:16" x14ac:dyDescent="0.25">
      <c r="A7785" t="s">
        <v>3296</v>
      </c>
      <c r="B7785" t="s">
        <v>2931</v>
      </c>
      <c r="C7785">
        <v>10968</v>
      </c>
      <c r="D7785" t="str">
        <f>"2560754431  "</f>
        <v xml:space="preserve">2560754431  </v>
      </c>
      <c r="E7785" t="s">
        <v>277</v>
      </c>
      <c r="F7785" t="s">
        <v>279</v>
      </c>
      <c r="G7785">
        <v>307.95</v>
      </c>
      <c r="H7785">
        <v>250818</v>
      </c>
      <c r="I7785">
        <v>4600</v>
      </c>
      <c r="J7785" t="s">
        <v>278</v>
      </c>
      <c r="K7785">
        <v>2323.2800000000002</v>
      </c>
      <c r="L7785">
        <v>62.57</v>
      </c>
      <c r="M7785">
        <v>44252</v>
      </c>
      <c r="N7785" t="s">
        <v>217</v>
      </c>
      <c r="O7785">
        <v>250828</v>
      </c>
      <c r="P7785">
        <v>245.38</v>
      </c>
    </row>
    <row r="7786" spans="1:16" x14ac:dyDescent="0.25">
      <c r="A7786" t="s">
        <v>3296</v>
      </c>
      <c r="B7786" t="s">
        <v>2931</v>
      </c>
      <c r="C7786">
        <v>10979</v>
      </c>
      <c r="D7786" t="str">
        <f>"2560770565  "</f>
        <v xml:space="preserve">2560770565  </v>
      </c>
      <c r="E7786" t="s">
        <v>277</v>
      </c>
      <c r="F7786" t="s">
        <v>279</v>
      </c>
      <c r="G7786">
        <v>6.64</v>
      </c>
      <c r="H7786">
        <v>250825</v>
      </c>
      <c r="I7786">
        <v>4600</v>
      </c>
      <c r="J7786" t="s">
        <v>278</v>
      </c>
      <c r="K7786">
        <v>555.49</v>
      </c>
      <c r="L7786">
        <v>1.35</v>
      </c>
      <c r="M7786">
        <v>44222</v>
      </c>
      <c r="N7786" t="s">
        <v>96</v>
      </c>
      <c r="O7786">
        <v>250828</v>
      </c>
      <c r="P7786">
        <v>5.29</v>
      </c>
    </row>
    <row r="7787" spans="1:16" x14ac:dyDescent="0.25">
      <c r="A7787" t="s">
        <v>3296</v>
      </c>
      <c r="B7787" t="s">
        <v>2931</v>
      </c>
      <c r="C7787">
        <v>10980</v>
      </c>
      <c r="D7787" t="str">
        <f>"2560770556  "</f>
        <v xml:space="preserve">2560770556  </v>
      </c>
      <c r="E7787" t="s">
        <v>277</v>
      </c>
      <c r="F7787" t="s">
        <v>279</v>
      </c>
      <c r="G7787">
        <v>-12.55</v>
      </c>
      <c r="H7787">
        <v>250825</v>
      </c>
      <c r="I7787">
        <v>4600</v>
      </c>
      <c r="J7787" t="s">
        <v>278</v>
      </c>
      <c r="K7787">
        <v>553.28</v>
      </c>
      <c r="L7787">
        <v>-2.5499999999999998</v>
      </c>
      <c r="M7787">
        <v>59114</v>
      </c>
      <c r="N7787" t="s">
        <v>299</v>
      </c>
      <c r="O7787">
        <v>250828</v>
      </c>
      <c r="P7787">
        <v>-10</v>
      </c>
    </row>
    <row r="7788" spans="1:16" x14ac:dyDescent="0.25">
      <c r="A7788" t="s">
        <v>3296</v>
      </c>
      <c r="B7788" t="s">
        <v>2931</v>
      </c>
      <c r="C7788">
        <v>10981</v>
      </c>
      <c r="D7788" t="str">
        <f>"2560770560  "</f>
        <v xml:space="preserve">2560770560  </v>
      </c>
      <c r="E7788" t="s">
        <v>277</v>
      </c>
      <c r="F7788" t="s">
        <v>279</v>
      </c>
      <c r="G7788">
        <v>62.54</v>
      </c>
      <c r="H7788">
        <v>250825</v>
      </c>
      <c r="I7788">
        <v>4600</v>
      </c>
      <c r="J7788" t="s">
        <v>278</v>
      </c>
      <c r="K7788">
        <v>2449.77</v>
      </c>
      <c r="L7788">
        <v>12.71</v>
      </c>
      <c r="M7788">
        <v>49112</v>
      </c>
      <c r="N7788" t="s">
        <v>109</v>
      </c>
      <c r="O7788">
        <v>250828</v>
      </c>
      <c r="P7788">
        <v>49.83</v>
      </c>
    </row>
    <row r="7789" spans="1:16" x14ac:dyDescent="0.25">
      <c r="A7789" t="s">
        <v>3296</v>
      </c>
      <c r="B7789" t="s">
        <v>2931</v>
      </c>
      <c r="C7789">
        <v>10982</v>
      </c>
      <c r="D7789" t="str">
        <f>"2560770558  "</f>
        <v xml:space="preserve">2560770558  </v>
      </c>
      <c r="E7789" t="s">
        <v>277</v>
      </c>
      <c r="F7789" t="s">
        <v>279</v>
      </c>
      <c r="G7789">
        <v>-25.1</v>
      </c>
      <c r="H7789">
        <v>250825</v>
      </c>
      <c r="I7789">
        <v>4600</v>
      </c>
      <c r="J7789" t="s">
        <v>278</v>
      </c>
      <c r="K7789">
        <v>2450.4499999999998</v>
      </c>
      <c r="L7789">
        <v>-5.0999999999999996</v>
      </c>
      <c r="M7789">
        <v>59113</v>
      </c>
      <c r="N7789" t="s">
        <v>61</v>
      </c>
      <c r="O7789">
        <v>250828</v>
      </c>
      <c r="P7789">
        <v>-20</v>
      </c>
    </row>
    <row r="7790" spans="1:16" x14ac:dyDescent="0.25">
      <c r="A7790" t="s">
        <v>3296</v>
      </c>
      <c r="B7790" t="s">
        <v>2931</v>
      </c>
      <c r="C7790">
        <v>10984</v>
      </c>
      <c r="D7790" t="str">
        <f>"2560770562  "</f>
        <v xml:space="preserve">2560770562  </v>
      </c>
      <c r="E7790" t="s">
        <v>277</v>
      </c>
      <c r="F7790" t="s">
        <v>279</v>
      </c>
      <c r="G7790">
        <v>127.11</v>
      </c>
      <c r="H7790">
        <v>250825</v>
      </c>
      <c r="I7790">
        <v>4600</v>
      </c>
      <c r="J7790" t="s">
        <v>278</v>
      </c>
      <c r="K7790">
        <v>450.74</v>
      </c>
      <c r="L7790">
        <v>25.83</v>
      </c>
      <c r="M7790">
        <v>44252</v>
      </c>
      <c r="N7790" t="s">
        <v>217</v>
      </c>
      <c r="O7790">
        <v>250828</v>
      </c>
      <c r="P7790">
        <v>101.28</v>
      </c>
    </row>
    <row r="7791" spans="1:16" x14ac:dyDescent="0.25">
      <c r="A7791" t="s">
        <v>3296</v>
      </c>
      <c r="B7791" t="s">
        <v>2931</v>
      </c>
      <c r="C7791">
        <v>11148</v>
      </c>
      <c r="D7791" t="str">
        <f>"2560770557  "</f>
        <v xml:space="preserve">2560770557  </v>
      </c>
      <c r="E7791" t="s">
        <v>277</v>
      </c>
      <c r="F7791" t="s">
        <v>279</v>
      </c>
      <c r="G7791">
        <v>234.15</v>
      </c>
      <c r="H7791">
        <v>250825</v>
      </c>
      <c r="I7791">
        <v>4600</v>
      </c>
      <c r="J7791" t="s">
        <v>278</v>
      </c>
      <c r="K7791">
        <v>2244.85</v>
      </c>
      <c r="L7791">
        <v>47.58</v>
      </c>
      <c r="M7791">
        <v>54451</v>
      </c>
      <c r="N7791" t="s">
        <v>218</v>
      </c>
      <c r="O7791">
        <v>250901</v>
      </c>
      <c r="P7791">
        <v>186.57</v>
      </c>
    </row>
    <row r="7792" spans="1:16" x14ac:dyDescent="0.25">
      <c r="A7792" t="s">
        <v>3296</v>
      </c>
      <c r="B7792" t="s">
        <v>2931</v>
      </c>
      <c r="C7792">
        <v>11177</v>
      </c>
      <c r="D7792" t="str">
        <f>"2560786485  "</f>
        <v xml:space="preserve">2560786485  </v>
      </c>
      <c r="E7792" t="s">
        <v>277</v>
      </c>
      <c r="F7792" t="s">
        <v>279</v>
      </c>
      <c r="G7792">
        <v>210.56</v>
      </c>
      <c r="H7792">
        <v>250831</v>
      </c>
      <c r="I7792">
        <v>4600</v>
      </c>
      <c r="J7792" t="s">
        <v>278</v>
      </c>
      <c r="K7792">
        <v>2733.02</v>
      </c>
      <c r="L7792">
        <v>42.78</v>
      </c>
      <c r="M7792">
        <v>54451</v>
      </c>
      <c r="N7792" t="s">
        <v>218</v>
      </c>
      <c r="O7792">
        <v>250901</v>
      </c>
      <c r="P7792">
        <v>167.78</v>
      </c>
    </row>
    <row r="7793" spans="1:16" x14ac:dyDescent="0.25">
      <c r="A7793" t="s">
        <v>3296</v>
      </c>
      <c r="B7793" t="s">
        <v>2931</v>
      </c>
      <c r="C7793">
        <v>11327</v>
      </c>
      <c r="D7793" t="str">
        <f>"2560786484  "</f>
        <v xml:space="preserve">2560786484  </v>
      </c>
      <c r="E7793" t="s">
        <v>277</v>
      </c>
      <c r="F7793" t="s">
        <v>279</v>
      </c>
      <c r="G7793">
        <v>12.55</v>
      </c>
      <c r="H7793">
        <v>250831</v>
      </c>
      <c r="I7793">
        <v>4600</v>
      </c>
      <c r="J7793" t="s">
        <v>278</v>
      </c>
      <c r="K7793">
        <v>656.32</v>
      </c>
      <c r="L7793">
        <v>2.5499999999999998</v>
      </c>
      <c r="M7793">
        <v>59114</v>
      </c>
      <c r="N7793" t="s">
        <v>299</v>
      </c>
      <c r="O7793">
        <v>250903</v>
      </c>
      <c r="P7793">
        <v>10</v>
      </c>
    </row>
    <row r="7794" spans="1:16" x14ac:dyDescent="0.25">
      <c r="A7794" t="s">
        <v>3296</v>
      </c>
      <c r="B7794" t="s">
        <v>2931</v>
      </c>
      <c r="C7794">
        <v>11329</v>
      </c>
      <c r="D7794" t="str">
        <f>"2560817437  "</f>
        <v xml:space="preserve">2560817437  </v>
      </c>
      <c r="E7794" t="s">
        <v>277</v>
      </c>
      <c r="F7794" t="s">
        <v>279</v>
      </c>
      <c r="G7794">
        <v>-25.1</v>
      </c>
      <c r="H7794">
        <v>250901</v>
      </c>
      <c r="I7794">
        <v>4600</v>
      </c>
      <c r="J7794" t="s">
        <v>278</v>
      </c>
      <c r="K7794">
        <v>-25.1</v>
      </c>
      <c r="L7794">
        <v>-5.0999999999999996</v>
      </c>
      <c r="M7794">
        <v>59114</v>
      </c>
      <c r="N7794" t="s">
        <v>299</v>
      </c>
      <c r="O7794">
        <v>250903</v>
      </c>
      <c r="P7794">
        <v>-20</v>
      </c>
    </row>
    <row r="7795" spans="1:16" x14ac:dyDescent="0.25">
      <c r="A7795" t="s">
        <v>3296</v>
      </c>
      <c r="B7795" t="s">
        <v>2931</v>
      </c>
      <c r="C7795">
        <v>11330</v>
      </c>
      <c r="D7795" t="str">
        <f>"2560786486  "</f>
        <v xml:space="preserve">2560786486  </v>
      </c>
      <c r="E7795" t="s">
        <v>277</v>
      </c>
      <c r="F7795" t="s">
        <v>279</v>
      </c>
      <c r="G7795">
        <v>31.4</v>
      </c>
      <c r="H7795">
        <v>250831</v>
      </c>
      <c r="I7795">
        <v>4600</v>
      </c>
      <c r="J7795" t="s">
        <v>278</v>
      </c>
      <c r="K7795">
        <v>1944.39</v>
      </c>
      <c r="L7795">
        <v>6.38</v>
      </c>
      <c r="M7795">
        <v>59113</v>
      </c>
      <c r="N7795" t="s">
        <v>61</v>
      </c>
      <c r="O7795">
        <v>250903</v>
      </c>
      <c r="P7795">
        <v>25.02</v>
      </c>
    </row>
    <row r="7796" spans="1:16" x14ac:dyDescent="0.25">
      <c r="A7796" t="s">
        <v>3296</v>
      </c>
      <c r="B7796" t="s">
        <v>2931</v>
      </c>
      <c r="C7796">
        <v>11335</v>
      </c>
      <c r="D7796" t="str">
        <f>"2560786493  "</f>
        <v xml:space="preserve">2560786493  </v>
      </c>
      <c r="E7796" t="s">
        <v>277</v>
      </c>
      <c r="F7796" t="s">
        <v>279</v>
      </c>
      <c r="G7796">
        <v>271.79000000000002</v>
      </c>
      <c r="H7796">
        <v>250831</v>
      </c>
      <c r="I7796">
        <v>4600</v>
      </c>
      <c r="J7796" t="s">
        <v>278</v>
      </c>
      <c r="K7796">
        <v>1725.66</v>
      </c>
      <c r="L7796">
        <v>55.22</v>
      </c>
      <c r="M7796">
        <v>69112</v>
      </c>
      <c r="N7796" t="s">
        <v>227</v>
      </c>
      <c r="O7796">
        <v>250903</v>
      </c>
      <c r="P7796">
        <v>216.57</v>
      </c>
    </row>
    <row r="7797" spans="1:16" x14ac:dyDescent="0.25">
      <c r="A7797" t="s">
        <v>3296</v>
      </c>
      <c r="B7797" t="s">
        <v>2931</v>
      </c>
      <c r="C7797">
        <v>11335</v>
      </c>
      <c r="D7797" t="str">
        <f>"2560786493  "</f>
        <v xml:space="preserve">2560786493  </v>
      </c>
      <c r="E7797" t="s">
        <v>277</v>
      </c>
      <c r="F7797" t="s">
        <v>279</v>
      </c>
      <c r="G7797">
        <v>15.1</v>
      </c>
      <c r="H7797">
        <v>250831</v>
      </c>
      <c r="I7797">
        <v>4600</v>
      </c>
      <c r="J7797" t="s">
        <v>278</v>
      </c>
      <c r="K7797">
        <v>1725.66</v>
      </c>
      <c r="L7797">
        <v>3.07</v>
      </c>
      <c r="M7797">
        <v>69810</v>
      </c>
      <c r="N7797" t="s">
        <v>229</v>
      </c>
      <c r="O7797">
        <v>250903</v>
      </c>
      <c r="P7797">
        <v>12.03</v>
      </c>
    </row>
    <row r="7798" spans="1:16" x14ac:dyDescent="0.25">
      <c r="A7798" t="s">
        <v>3296</v>
      </c>
      <c r="B7798" t="s">
        <v>2931</v>
      </c>
      <c r="C7798">
        <v>11335</v>
      </c>
      <c r="D7798" t="str">
        <f>"2560786493  "</f>
        <v xml:space="preserve">2560786493  </v>
      </c>
      <c r="E7798" t="s">
        <v>277</v>
      </c>
      <c r="F7798" t="s">
        <v>279</v>
      </c>
      <c r="G7798">
        <v>15.1</v>
      </c>
      <c r="H7798">
        <v>250831</v>
      </c>
      <c r="I7798">
        <v>4600</v>
      </c>
      <c r="J7798" t="s">
        <v>278</v>
      </c>
      <c r="K7798">
        <v>1725.66</v>
      </c>
      <c r="L7798">
        <v>3.07</v>
      </c>
      <c r="M7798">
        <v>69811</v>
      </c>
      <c r="N7798" t="s">
        <v>230</v>
      </c>
      <c r="O7798">
        <v>250903</v>
      </c>
      <c r="P7798">
        <v>12.03</v>
      </c>
    </row>
    <row r="7799" spans="1:16" x14ac:dyDescent="0.25">
      <c r="A7799" t="s">
        <v>3296</v>
      </c>
      <c r="B7799" t="s">
        <v>2931</v>
      </c>
      <c r="C7799">
        <v>11436</v>
      </c>
      <c r="D7799" t="str">
        <f>"2560817444  "</f>
        <v xml:space="preserve">2560817444  </v>
      </c>
      <c r="E7799" t="s">
        <v>277</v>
      </c>
      <c r="F7799" t="s">
        <v>279</v>
      </c>
      <c r="G7799">
        <v>130.61000000000001</v>
      </c>
      <c r="H7799">
        <v>250901</v>
      </c>
      <c r="I7799">
        <v>4600</v>
      </c>
      <c r="J7799" t="s">
        <v>278</v>
      </c>
      <c r="K7799">
        <v>502.72</v>
      </c>
      <c r="L7799">
        <v>26.54</v>
      </c>
      <c r="M7799">
        <v>44222</v>
      </c>
      <c r="N7799" t="s">
        <v>96</v>
      </c>
      <c r="O7799">
        <v>250905</v>
      </c>
      <c r="P7799">
        <v>104.07</v>
      </c>
    </row>
    <row r="7800" spans="1:16" x14ac:dyDescent="0.25">
      <c r="A7800" t="s">
        <v>3296</v>
      </c>
      <c r="B7800" t="s">
        <v>2931</v>
      </c>
      <c r="C7800">
        <v>11439</v>
      </c>
      <c r="D7800" t="str">
        <f>"2560786488  "</f>
        <v xml:space="preserve">2560786488  </v>
      </c>
      <c r="E7800" t="s">
        <v>277</v>
      </c>
      <c r="F7800" t="s">
        <v>279</v>
      </c>
      <c r="G7800">
        <v>31.4</v>
      </c>
      <c r="H7800">
        <v>250831</v>
      </c>
      <c r="I7800">
        <v>4600</v>
      </c>
      <c r="J7800" t="s">
        <v>278</v>
      </c>
      <c r="K7800">
        <v>2527.91</v>
      </c>
      <c r="L7800">
        <v>6.38</v>
      </c>
      <c r="M7800">
        <v>49112</v>
      </c>
      <c r="N7800" t="s">
        <v>109</v>
      </c>
      <c r="O7800">
        <v>250905</v>
      </c>
      <c r="P7800">
        <v>25.02</v>
      </c>
    </row>
    <row r="7801" spans="1:16" x14ac:dyDescent="0.25">
      <c r="A7801" t="s">
        <v>3296</v>
      </c>
      <c r="B7801" t="s">
        <v>2931</v>
      </c>
      <c r="C7801">
        <v>11577</v>
      </c>
      <c r="D7801" t="str">
        <f>"2560817439  "</f>
        <v xml:space="preserve">2560817439  </v>
      </c>
      <c r="E7801" t="s">
        <v>277</v>
      </c>
      <c r="F7801" t="s">
        <v>279</v>
      </c>
      <c r="G7801">
        <v>-12.55</v>
      </c>
      <c r="H7801">
        <v>250901</v>
      </c>
      <c r="I7801">
        <v>4600</v>
      </c>
      <c r="J7801" t="s">
        <v>278</v>
      </c>
      <c r="K7801">
        <v>-12.55</v>
      </c>
      <c r="L7801">
        <v>-2.5499999999999998</v>
      </c>
      <c r="M7801">
        <v>69113</v>
      </c>
      <c r="N7801" t="s">
        <v>122</v>
      </c>
      <c r="O7801">
        <v>250909</v>
      </c>
      <c r="P7801">
        <v>-10</v>
      </c>
    </row>
    <row r="7802" spans="1:16" x14ac:dyDescent="0.25">
      <c r="A7802" t="s">
        <v>3296</v>
      </c>
      <c r="B7802" t="s">
        <v>2931</v>
      </c>
      <c r="C7802">
        <v>11579</v>
      </c>
      <c r="D7802" t="str">
        <f>"2560786487  "</f>
        <v xml:space="preserve">2560786487  </v>
      </c>
      <c r="E7802" t="s">
        <v>277</v>
      </c>
      <c r="F7802" t="s">
        <v>279</v>
      </c>
      <c r="G7802">
        <v>89.43</v>
      </c>
      <c r="H7802">
        <v>250831</v>
      </c>
      <c r="I7802">
        <v>4600</v>
      </c>
      <c r="J7802" t="s">
        <v>278</v>
      </c>
      <c r="K7802">
        <v>1549.6</v>
      </c>
      <c r="L7802">
        <v>18.170000000000002</v>
      </c>
      <c r="M7802">
        <v>69113</v>
      </c>
      <c r="N7802" t="s">
        <v>122</v>
      </c>
      <c r="O7802">
        <v>250909</v>
      </c>
      <c r="P7802">
        <v>71.260000000000005</v>
      </c>
    </row>
    <row r="7803" spans="1:16" x14ac:dyDescent="0.25">
      <c r="A7803" t="s">
        <v>3296</v>
      </c>
      <c r="B7803" t="s">
        <v>2931</v>
      </c>
      <c r="C7803">
        <v>11579</v>
      </c>
      <c r="D7803" t="str">
        <f>"2560786487  "</f>
        <v xml:space="preserve">2560786487  </v>
      </c>
      <c r="E7803" t="s">
        <v>277</v>
      </c>
      <c r="F7803" t="s">
        <v>279</v>
      </c>
      <c r="G7803">
        <v>9.94</v>
      </c>
      <c r="H7803">
        <v>250831</v>
      </c>
      <c r="I7803">
        <v>4600</v>
      </c>
      <c r="J7803" t="s">
        <v>278</v>
      </c>
      <c r="K7803">
        <v>1549.6</v>
      </c>
      <c r="L7803">
        <v>2.02</v>
      </c>
      <c r="M7803">
        <v>69802</v>
      </c>
      <c r="N7803" t="s">
        <v>375</v>
      </c>
      <c r="O7803">
        <v>250909</v>
      </c>
      <c r="P7803">
        <v>7.92</v>
      </c>
    </row>
    <row r="7804" spans="1:16" x14ac:dyDescent="0.25">
      <c r="A7804" t="s">
        <v>3296</v>
      </c>
      <c r="B7804" t="s">
        <v>2931</v>
      </c>
      <c r="C7804">
        <v>11670</v>
      </c>
      <c r="D7804" t="str">
        <f>"2560833414  "</f>
        <v xml:space="preserve">2560833414  </v>
      </c>
      <c r="E7804" t="s">
        <v>277</v>
      </c>
      <c r="F7804" t="s">
        <v>279</v>
      </c>
      <c r="G7804">
        <v>89.73</v>
      </c>
      <c r="H7804">
        <v>250908</v>
      </c>
      <c r="I7804">
        <v>4600</v>
      </c>
      <c r="J7804" t="s">
        <v>278</v>
      </c>
      <c r="K7804">
        <v>1274.18</v>
      </c>
      <c r="L7804">
        <v>18.23</v>
      </c>
      <c r="M7804">
        <v>69112</v>
      </c>
      <c r="N7804" t="s">
        <v>227</v>
      </c>
      <c r="O7804">
        <v>250909</v>
      </c>
      <c r="P7804">
        <v>71.5</v>
      </c>
    </row>
    <row r="7805" spans="1:16" x14ac:dyDescent="0.25">
      <c r="A7805" t="s">
        <v>3296</v>
      </c>
      <c r="B7805" t="s">
        <v>2931</v>
      </c>
      <c r="C7805">
        <v>11670</v>
      </c>
      <c r="D7805" t="str">
        <f>"2560833414  "</f>
        <v xml:space="preserve">2560833414  </v>
      </c>
      <c r="E7805" t="s">
        <v>277</v>
      </c>
      <c r="F7805" t="s">
        <v>279</v>
      </c>
      <c r="G7805">
        <v>4.99</v>
      </c>
      <c r="H7805">
        <v>250908</v>
      </c>
      <c r="I7805">
        <v>4600</v>
      </c>
      <c r="J7805" t="s">
        <v>278</v>
      </c>
      <c r="K7805">
        <v>1274.18</v>
      </c>
      <c r="L7805">
        <v>1.01</v>
      </c>
      <c r="M7805">
        <v>69810</v>
      </c>
      <c r="N7805" t="s">
        <v>229</v>
      </c>
      <c r="O7805">
        <v>250909</v>
      </c>
      <c r="P7805">
        <v>3.98</v>
      </c>
    </row>
    <row r="7806" spans="1:16" x14ac:dyDescent="0.25">
      <c r="A7806" t="s">
        <v>3296</v>
      </c>
      <c r="B7806" t="s">
        <v>2931</v>
      </c>
      <c r="C7806">
        <v>11670</v>
      </c>
      <c r="D7806" t="str">
        <f>"2560833414  "</f>
        <v xml:space="preserve">2560833414  </v>
      </c>
      <c r="E7806" t="s">
        <v>277</v>
      </c>
      <c r="F7806" t="s">
        <v>279</v>
      </c>
      <c r="G7806">
        <v>4.9800000000000004</v>
      </c>
      <c r="H7806">
        <v>250908</v>
      </c>
      <c r="I7806">
        <v>4600</v>
      </c>
      <c r="J7806" t="s">
        <v>278</v>
      </c>
      <c r="K7806">
        <v>1274.18</v>
      </c>
      <c r="L7806">
        <v>1.01</v>
      </c>
      <c r="M7806">
        <v>69811</v>
      </c>
      <c r="N7806" t="s">
        <v>230</v>
      </c>
      <c r="O7806">
        <v>250909</v>
      </c>
      <c r="P7806">
        <v>3.97</v>
      </c>
    </row>
    <row r="7807" spans="1:16" x14ac:dyDescent="0.25">
      <c r="A7807" t="s">
        <v>3296</v>
      </c>
      <c r="B7807" t="s">
        <v>2931</v>
      </c>
      <c r="C7807">
        <v>11793</v>
      </c>
      <c r="D7807" t="str">
        <f>"2560833404  "</f>
        <v xml:space="preserve">2560833404  </v>
      </c>
      <c r="E7807" t="s">
        <v>277</v>
      </c>
      <c r="F7807" t="s">
        <v>279</v>
      </c>
      <c r="G7807">
        <v>6.31</v>
      </c>
      <c r="H7807">
        <v>250908</v>
      </c>
      <c r="I7807">
        <v>4600</v>
      </c>
      <c r="J7807" t="s">
        <v>278</v>
      </c>
      <c r="K7807">
        <v>696.67</v>
      </c>
      <c r="L7807">
        <v>1.28</v>
      </c>
      <c r="M7807">
        <v>59114</v>
      </c>
      <c r="N7807" t="s">
        <v>299</v>
      </c>
      <c r="O7807">
        <v>250910</v>
      </c>
      <c r="P7807">
        <v>5.03</v>
      </c>
    </row>
    <row r="7808" spans="1:16" x14ac:dyDescent="0.25">
      <c r="A7808" t="s">
        <v>3296</v>
      </c>
      <c r="B7808" t="s">
        <v>2931</v>
      </c>
      <c r="C7808">
        <v>11793</v>
      </c>
      <c r="D7808" t="str">
        <f>"2560833404  "</f>
        <v xml:space="preserve">2560833404  </v>
      </c>
      <c r="E7808" t="s">
        <v>277</v>
      </c>
      <c r="F7808" t="s">
        <v>279</v>
      </c>
      <c r="G7808">
        <v>-12.55</v>
      </c>
      <c r="H7808">
        <v>250908</v>
      </c>
      <c r="I7808">
        <v>4600</v>
      </c>
      <c r="J7808" t="s">
        <v>278</v>
      </c>
      <c r="K7808">
        <v>696.67</v>
      </c>
      <c r="L7808">
        <v>-2.5499999999999998</v>
      </c>
      <c r="M7808">
        <v>59114</v>
      </c>
      <c r="N7808" t="s">
        <v>299</v>
      </c>
      <c r="O7808">
        <v>250910</v>
      </c>
      <c r="P7808">
        <v>-10</v>
      </c>
    </row>
    <row r="7809" spans="1:16" x14ac:dyDescent="0.25">
      <c r="A7809" t="s">
        <v>3296</v>
      </c>
      <c r="B7809" t="s">
        <v>2931</v>
      </c>
      <c r="C7809">
        <v>11852</v>
      </c>
      <c r="D7809" t="str">
        <f>"2560833406  "</f>
        <v xml:space="preserve">2560833406  </v>
      </c>
      <c r="E7809" t="s">
        <v>277</v>
      </c>
      <c r="F7809" t="s">
        <v>279</v>
      </c>
      <c r="G7809">
        <v>-12.55</v>
      </c>
      <c r="H7809">
        <v>250908</v>
      </c>
      <c r="I7809">
        <v>4600</v>
      </c>
      <c r="J7809" t="s">
        <v>278</v>
      </c>
      <c r="K7809">
        <v>2551.85</v>
      </c>
      <c r="L7809">
        <v>-2.5499999999999998</v>
      </c>
      <c r="M7809">
        <v>59113</v>
      </c>
      <c r="N7809" t="s">
        <v>61</v>
      </c>
      <c r="O7809">
        <v>250911</v>
      </c>
      <c r="P7809">
        <v>-10</v>
      </c>
    </row>
    <row r="7810" spans="1:16" x14ac:dyDescent="0.25">
      <c r="A7810" t="s">
        <v>3296</v>
      </c>
      <c r="B7810" t="s">
        <v>2931</v>
      </c>
      <c r="C7810">
        <v>11853</v>
      </c>
      <c r="D7810" t="str">
        <f>"2560833405  "</f>
        <v xml:space="preserve">2560833405  </v>
      </c>
      <c r="E7810" t="s">
        <v>277</v>
      </c>
      <c r="F7810" t="s">
        <v>279</v>
      </c>
      <c r="G7810">
        <v>-18.8</v>
      </c>
      <c r="H7810">
        <v>250908</v>
      </c>
      <c r="I7810">
        <v>4600</v>
      </c>
      <c r="J7810" t="s">
        <v>278</v>
      </c>
      <c r="K7810">
        <v>1763.2</v>
      </c>
      <c r="L7810">
        <v>-3.82</v>
      </c>
      <c r="M7810">
        <v>54451</v>
      </c>
      <c r="N7810" t="s">
        <v>218</v>
      </c>
      <c r="O7810">
        <v>250911</v>
      </c>
      <c r="P7810">
        <v>-14.98</v>
      </c>
    </row>
    <row r="7811" spans="1:16" x14ac:dyDescent="0.25">
      <c r="A7811" t="s">
        <v>3296</v>
      </c>
      <c r="B7811" t="s">
        <v>2931</v>
      </c>
      <c r="C7811">
        <v>12063</v>
      </c>
      <c r="D7811" t="str">
        <f>"2560833408  "</f>
        <v xml:space="preserve">2560833408  </v>
      </c>
      <c r="E7811" t="s">
        <v>277</v>
      </c>
      <c r="F7811" t="s">
        <v>279</v>
      </c>
      <c r="G7811">
        <v>160.35</v>
      </c>
      <c r="H7811">
        <v>250908</v>
      </c>
      <c r="I7811">
        <v>4600</v>
      </c>
      <c r="J7811" t="s">
        <v>278</v>
      </c>
      <c r="K7811">
        <v>2487.33</v>
      </c>
      <c r="L7811">
        <v>32.58</v>
      </c>
      <c r="M7811">
        <v>49112</v>
      </c>
      <c r="N7811" t="s">
        <v>109</v>
      </c>
      <c r="O7811">
        <v>250916</v>
      </c>
      <c r="P7811">
        <v>127.77</v>
      </c>
    </row>
    <row r="7812" spans="1:16" x14ac:dyDescent="0.25">
      <c r="A7812" t="s">
        <v>3296</v>
      </c>
      <c r="B7812" t="s">
        <v>2931</v>
      </c>
      <c r="C7812">
        <v>12069</v>
      </c>
      <c r="D7812" t="str">
        <f>"2560833410  "</f>
        <v xml:space="preserve">2560833410  </v>
      </c>
      <c r="E7812" t="s">
        <v>277</v>
      </c>
      <c r="F7812" t="s">
        <v>279</v>
      </c>
      <c r="G7812">
        <v>156.21</v>
      </c>
      <c r="H7812">
        <v>250908</v>
      </c>
      <c r="I7812">
        <v>4600</v>
      </c>
      <c r="J7812" t="s">
        <v>278</v>
      </c>
      <c r="K7812">
        <v>781.57</v>
      </c>
      <c r="L7812">
        <v>31.74</v>
      </c>
      <c r="M7812">
        <v>44222</v>
      </c>
      <c r="N7812" t="s">
        <v>96</v>
      </c>
      <c r="O7812">
        <v>250916</v>
      </c>
      <c r="P7812">
        <v>124.47</v>
      </c>
    </row>
    <row r="7813" spans="1:16" x14ac:dyDescent="0.25">
      <c r="A7813" t="s">
        <v>3296</v>
      </c>
      <c r="B7813" t="s">
        <v>2931</v>
      </c>
      <c r="C7813">
        <v>12069</v>
      </c>
      <c r="D7813" t="str">
        <f>"2560833410  "</f>
        <v xml:space="preserve">2560833410  </v>
      </c>
      <c r="E7813" t="s">
        <v>277</v>
      </c>
      <c r="F7813" t="s">
        <v>279</v>
      </c>
      <c r="G7813">
        <v>13.2</v>
      </c>
      <c r="H7813">
        <v>250908</v>
      </c>
      <c r="I7813">
        <v>4600</v>
      </c>
      <c r="J7813" t="s">
        <v>278</v>
      </c>
      <c r="K7813">
        <v>781.57</v>
      </c>
      <c r="L7813">
        <v>2.68</v>
      </c>
      <c r="M7813">
        <v>44252</v>
      </c>
      <c r="N7813" t="s">
        <v>217</v>
      </c>
      <c r="O7813">
        <v>250916</v>
      </c>
      <c r="P7813">
        <v>10.52</v>
      </c>
    </row>
    <row r="7814" spans="1:16" x14ac:dyDescent="0.25">
      <c r="A7814" t="s">
        <v>3296</v>
      </c>
      <c r="B7814" t="s">
        <v>2931</v>
      </c>
      <c r="C7814">
        <v>12071</v>
      </c>
      <c r="D7814" t="str">
        <f>"2560833413  "</f>
        <v xml:space="preserve">2560833413  </v>
      </c>
      <c r="E7814" t="s">
        <v>277</v>
      </c>
      <c r="F7814" t="s">
        <v>279</v>
      </c>
      <c r="G7814">
        <v>26.94</v>
      </c>
      <c r="H7814">
        <v>250908</v>
      </c>
      <c r="I7814">
        <v>4600</v>
      </c>
      <c r="J7814" t="s">
        <v>278</v>
      </c>
      <c r="K7814">
        <v>464.51</v>
      </c>
      <c r="L7814">
        <v>5.47</v>
      </c>
      <c r="M7814">
        <v>44253</v>
      </c>
      <c r="N7814" t="s">
        <v>403</v>
      </c>
      <c r="O7814">
        <v>250916</v>
      </c>
      <c r="P7814">
        <v>21.47</v>
      </c>
    </row>
    <row r="7815" spans="1:16" x14ac:dyDescent="0.25">
      <c r="A7815" t="s">
        <v>3296</v>
      </c>
      <c r="B7815" t="s">
        <v>2931</v>
      </c>
      <c r="C7815">
        <v>12137</v>
      </c>
      <c r="D7815" t="str">
        <f>"2560849592  "</f>
        <v xml:space="preserve">2560849592  </v>
      </c>
      <c r="E7815" t="s">
        <v>277</v>
      </c>
      <c r="F7815" t="s">
        <v>279</v>
      </c>
      <c r="G7815">
        <v>37.75</v>
      </c>
      <c r="H7815">
        <v>250915</v>
      </c>
      <c r="I7815">
        <v>4600</v>
      </c>
      <c r="J7815" t="s">
        <v>278</v>
      </c>
      <c r="K7815">
        <v>1467.65</v>
      </c>
      <c r="L7815">
        <v>7.67</v>
      </c>
      <c r="M7815">
        <v>69112</v>
      </c>
      <c r="N7815" t="s">
        <v>227</v>
      </c>
      <c r="O7815">
        <v>250916</v>
      </c>
      <c r="P7815">
        <v>30.08</v>
      </c>
    </row>
    <row r="7816" spans="1:16" x14ac:dyDescent="0.25">
      <c r="A7816" t="s">
        <v>3296</v>
      </c>
      <c r="B7816" t="s">
        <v>2931</v>
      </c>
      <c r="C7816">
        <v>12137</v>
      </c>
      <c r="D7816" t="str">
        <f>"2560849592  "</f>
        <v xml:space="preserve">2560849592  </v>
      </c>
      <c r="E7816" t="s">
        <v>277</v>
      </c>
      <c r="F7816" t="s">
        <v>279</v>
      </c>
      <c r="G7816">
        <v>2.1</v>
      </c>
      <c r="H7816">
        <v>250915</v>
      </c>
      <c r="I7816">
        <v>4600</v>
      </c>
      <c r="J7816" t="s">
        <v>278</v>
      </c>
      <c r="K7816">
        <v>1467.65</v>
      </c>
      <c r="L7816">
        <v>0.43</v>
      </c>
      <c r="M7816">
        <v>69810</v>
      </c>
      <c r="N7816" t="s">
        <v>229</v>
      </c>
      <c r="O7816">
        <v>250916</v>
      </c>
      <c r="P7816">
        <v>1.67</v>
      </c>
    </row>
    <row r="7817" spans="1:16" x14ac:dyDescent="0.25">
      <c r="A7817" t="s">
        <v>3296</v>
      </c>
      <c r="B7817" t="s">
        <v>2931</v>
      </c>
      <c r="C7817">
        <v>12137</v>
      </c>
      <c r="D7817" t="str">
        <f>"2560849592  "</f>
        <v xml:space="preserve">2560849592  </v>
      </c>
      <c r="E7817" t="s">
        <v>277</v>
      </c>
      <c r="F7817" t="s">
        <v>279</v>
      </c>
      <c r="G7817">
        <v>2.09</v>
      </c>
      <c r="H7817">
        <v>250915</v>
      </c>
      <c r="I7817">
        <v>4600</v>
      </c>
      <c r="J7817" t="s">
        <v>278</v>
      </c>
      <c r="K7817">
        <v>1467.65</v>
      </c>
      <c r="L7817">
        <v>0.42</v>
      </c>
      <c r="M7817">
        <v>69811</v>
      </c>
      <c r="N7817" t="s">
        <v>230</v>
      </c>
      <c r="O7817">
        <v>250916</v>
      </c>
      <c r="P7817">
        <v>1.67</v>
      </c>
    </row>
    <row r="7818" spans="1:16" x14ac:dyDescent="0.25">
      <c r="A7818" t="s">
        <v>3296</v>
      </c>
      <c r="B7818" t="s">
        <v>2931</v>
      </c>
      <c r="C7818">
        <v>12186</v>
      </c>
      <c r="D7818" t="str">
        <f>"2560849582  "</f>
        <v xml:space="preserve">2560849582  </v>
      </c>
      <c r="E7818" t="s">
        <v>277</v>
      </c>
      <c r="F7818" t="s">
        <v>279</v>
      </c>
      <c r="G7818">
        <v>45.62</v>
      </c>
      <c r="H7818">
        <v>250915</v>
      </c>
      <c r="I7818">
        <v>4600</v>
      </c>
      <c r="J7818" t="s">
        <v>278</v>
      </c>
      <c r="K7818">
        <v>865.77</v>
      </c>
      <c r="L7818">
        <v>9.27</v>
      </c>
      <c r="M7818">
        <v>59114</v>
      </c>
      <c r="N7818" t="s">
        <v>299</v>
      </c>
      <c r="O7818">
        <v>250917</v>
      </c>
      <c r="P7818">
        <v>36.35</v>
      </c>
    </row>
    <row r="7819" spans="1:16" x14ac:dyDescent="0.25">
      <c r="A7819" t="s">
        <v>3296</v>
      </c>
      <c r="B7819" t="s">
        <v>2931</v>
      </c>
      <c r="C7819">
        <v>12189</v>
      </c>
      <c r="D7819" t="str">
        <f>"2560849584  "</f>
        <v xml:space="preserve">2560849584  </v>
      </c>
      <c r="E7819" t="s">
        <v>277</v>
      </c>
      <c r="F7819" t="s">
        <v>279</v>
      </c>
      <c r="G7819">
        <v>105.98</v>
      </c>
      <c r="H7819">
        <v>250915</v>
      </c>
      <c r="I7819">
        <v>4600</v>
      </c>
      <c r="J7819" t="s">
        <v>278</v>
      </c>
      <c r="K7819">
        <v>2415.62</v>
      </c>
      <c r="L7819">
        <v>21.53</v>
      </c>
      <c r="M7819">
        <v>59113</v>
      </c>
      <c r="N7819" t="s">
        <v>61</v>
      </c>
      <c r="O7819">
        <v>250917</v>
      </c>
      <c r="P7819">
        <v>84.45</v>
      </c>
    </row>
    <row r="7820" spans="1:16" x14ac:dyDescent="0.25">
      <c r="A7820" t="s">
        <v>3296</v>
      </c>
      <c r="B7820" t="s">
        <v>2931</v>
      </c>
      <c r="C7820">
        <v>12447</v>
      </c>
      <c r="D7820" t="str">
        <f>"2560849583  "</f>
        <v xml:space="preserve">2560849583  </v>
      </c>
      <c r="E7820" t="s">
        <v>277</v>
      </c>
      <c r="F7820" t="s">
        <v>279</v>
      </c>
      <c r="G7820">
        <v>72.38</v>
      </c>
      <c r="H7820">
        <v>250915</v>
      </c>
      <c r="I7820">
        <v>4600</v>
      </c>
      <c r="J7820" t="s">
        <v>278</v>
      </c>
      <c r="K7820">
        <v>1715.67</v>
      </c>
      <c r="L7820">
        <v>14.71</v>
      </c>
      <c r="M7820">
        <v>54451</v>
      </c>
      <c r="N7820" t="s">
        <v>218</v>
      </c>
      <c r="O7820">
        <v>250922</v>
      </c>
      <c r="P7820">
        <v>57.67</v>
      </c>
    </row>
    <row r="7821" spans="1:16" x14ac:dyDescent="0.25">
      <c r="A7821" t="s">
        <v>3296</v>
      </c>
      <c r="B7821" t="s">
        <v>2931</v>
      </c>
      <c r="C7821">
        <v>12454</v>
      </c>
      <c r="D7821" t="str">
        <f>"2560833407  "</f>
        <v xml:space="preserve">2560833407  </v>
      </c>
      <c r="E7821" t="s">
        <v>277</v>
      </c>
      <c r="F7821" t="s">
        <v>279</v>
      </c>
      <c r="G7821">
        <v>241.68</v>
      </c>
      <c r="H7821">
        <v>250908</v>
      </c>
      <c r="I7821">
        <v>4600</v>
      </c>
      <c r="J7821" t="s">
        <v>278</v>
      </c>
      <c r="K7821">
        <v>1900.37</v>
      </c>
      <c r="L7821">
        <v>49.11</v>
      </c>
      <c r="M7821">
        <v>69113</v>
      </c>
      <c r="N7821" t="s">
        <v>122</v>
      </c>
      <c r="O7821">
        <v>250923</v>
      </c>
      <c r="P7821">
        <v>192.57</v>
      </c>
    </row>
    <row r="7822" spans="1:16" x14ac:dyDescent="0.25">
      <c r="A7822" t="s">
        <v>3296</v>
      </c>
      <c r="B7822" t="s">
        <v>2931</v>
      </c>
      <c r="C7822">
        <v>12454</v>
      </c>
      <c r="D7822" t="str">
        <f>"2560833407  "</f>
        <v xml:space="preserve">2560833407  </v>
      </c>
      <c r="E7822" t="s">
        <v>277</v>
      </c>
      <c r="F7822" t="s">
        <v>279</v>
      </c>
      <c r="G7822">
        <v>26.86</v>
      </c>
      <c r="H7822">
        <v>250908</v>
      </c>
      <c r="I7822">
        <v>4600</v>
      </c>
      <c r="J7822" t="s">
        <v>278</v>
      </c>
      <c r="K7822">
        <v>1900.37</v>
      </c>
      <c r="L7822">
        <v>5.46</v>
      </c>
      <c r="M7822">
        <v>69802</v>
      </c>
      <c r="N7822" t="s">
        <v>375</v>
      </c>
      <c r="O7822">
        <v>250923</v>
      </c>
      <c r="P7822">
        <v>21.4</v>
      </c>
    </row>
    <row r="7823" spans="1:16" x14ac:dyDescent="0.25">
      <c r="A7823" t="s">
        <v>3296</v>
      </c>
      <c r="B7823" t="s">
        <v>2931</v>
      </c>
      <c r="C7823">
        <v>12513</v>
      </c>
      <c r="D7823" t="str">
        <f>"2560849588  "</f>
        <v xml:space="preserve">2560849588  </v>
      </c>
      <c r="E7823" t="s">
        <v>277</v>
      </c>
      <c r="F7823" t="s">
        <v>279</v>
      </c>
      <c r="G7823">
        <v>19.2</v>
      </c>
      <c r="H7823">
        <v>250915</v>
      </c>
      <c r="I7823">
        <v>4600</v>
      </c>
      <c r="J7823" t="s">
        <v>278</v>
      </c>
      <c r="K7823">
        <v>832.94</v>
      </c>
      <c r="L7823">
        <v>3.9</v>
      </c>
      <c r="M7823">
        <v>44222</v>
      </c>
      <c r="N7823" t="s">
        <v>96</v>
      </c>
      <c r="O7823">
        <v>250925</v>
      </c>
      <c r="P7823">
        <v>15.3</v>
      </c>
    </row>
    <row r="7824" spans="1:16" x14ac:dyDescent="0.25">
      <c r="A7824" t="s">
        <v>3296</v>
      </c>
      <c r="B7824" t="s">
        <v>2931</v>
      </c>
      <c r="C7824">
        <v>12518</v>
      </c>
      <c r="D7824" t="str">
        <f>"2560849591  "</f>
        <v xml:space="preserve">2560849591  </v>
      </c>
      <c r="E7824" t="s">
        <v>277</v>
      </c>
      <c r="F7824" t="s">
        <v>279</v>
      </c>
      <c r="G7824">
        <v>12.02</v>
      </c>
      <c r="H7824">
        <v>250915</v>
      </c>
      <c r="I7824">
        <v>4600</v>
      </c>
      <c r="J7824" t="s">
        <v>278</v>
      </c>
      <c r="K7824">
        <v>612.53</v>
      </c>
      <c r="L7824">
        <v>2.44</v>
      </c>
      <c r="M7824">
        <v>44253</v>
      </c>
      <c r="N7824" t="s">
        <v>403</v>
      </c>
      <c r="O7824">
        <v>250925</v>
      </c>
      <c r="P7824">
        <v>9.58</v>
      </c>
    </row>
    <row r="7825" spans="1:16" x14ac:dyDescent="0.25">
      <c r="A7825" t="s">
        <v>3296</v>
      </c>
      <c r="B7825" t="s">
        <v>2931</v>
      </c>
      <c r="C7825">
        <v>12524</v>
      </c>
      <c r="D7825" t="str">
        <f>"2560849586  "</f>
        <v xml:space="preserve">2560849586  </v>
      </c>
      <c r="E7825" t="s">
        <v>277</v>
      </c>
      <c r="F7825" t="s">
        <v>279</v>
      </c>
      <c r="G7825">
        <v>37.78</v>
      </c>
      <c r="H7825">
        <v>250915</v>
      </c>
      <c r="I7825">
        <v>4600</v>
      </c>
      <c r="J7825" t="s">
        <v>278</v>
      </c>
      <c r="K7825">
        <v>2823.57</v>
      </c>
      <c r="L7825">
        <v>7.68</v>
      </c>
      <c r="M7825">
        <v>49112</v>
      </c>
      <c r="N7825" t="s">
        <v>109</v>
      </c>
      <c r="O7825">
        <v>250926</v>
      </c>
      <c r="P7825">
        <v>30.1</v>
      </c>
    </row>
    <row r="7826" spans="1:16" x14ac:dyDescent="0.25">
      <c r="A7826" t="s">
        <v>3296</v>
      </c>
      <c r="B7826" t="s">
        <v>2931</v>
      </c>
      <c r="C7826">
        <v>12616</v>
      </c>
      <c r="D7826" t="str">
        <f>"2560849585  "</f>
        <v xml:space="preserve">2560849585  </v>
      </c>
      <c r="E7826" t="s">
        <v>277</v>
      </c>
      <c r="F7826" t="s">
        <v>279</v>
      </c>
      <c r="G7826">
        <v>48.69</v>
      </c>
      <c r="H7826">
        <v>250915</v>
      </c>
      <c r="I7826">
        <v>4600</v>
      </c>
      <c r="J7826" t="s">
        <v>278</v>
      </c>
      <c r="K7826">
        <v>2499.4299999999998</v>
      </c>
      <c r="L7826">
        <v>9.89</v>
      </c>
      <c r="M7826">
        <v>69113</v>
      </c>
      <c r="N7826" t="s">
        <v>122</v>
      </c>
      <c r="O7826">
        <v>250929</v>
      </c>
      <c r="P7826">
        <v>38.799999999999997</v>
      </c>
    </row>
    <row r="7827" spans="1:16" x14ac:dyDescent="0.25">
      <c r="A7827" t="s">
        <v>3296</v>
      </c>
      <c r="B7827" t="s">
        <v>2931</v>
      </c>
      <c r="C7827">
        <v>12616</v>
      </c>
      <c r="D7827" t="str">
        <f>"2560849585  "</f>
        <v xml:space="preserve">2560849585  </v>
      </c>
      <c r="E7827" t="s">
        <v>277</v>
      </c>
      <c r="F7827" t="s">
        <v>279</v>
      </c>
      <c r="G7827">
        <v>5.42</v>
      </c>
      <c r="H7827">
        <v>250915</v>
      </c>
      <c r="I7827">
        <v>4600</v>
      </c>
      <c r="J7827" t="s">
        <v>278</v>
      </c>
      <c r="K7827">
        <v>2499.4299999999998</v>
      </c>
      <c r="L7827">
        <v>1.1000000000000001</v>
      </c>
      <c r="M7827">
        <v>69802</v>
      </c>
      <c r="N7827" t="s">
        <v>375</v>
      </c>
      <c r="O7827">
        <v>250929</v>
      </c>
      <c r="P7827">
        <v>4.32</v>
      </c>
    </row>
    <row r="7828" spans="1:16" x14ac:dyDescent="0.25">
      <c r="A7828" t="s">
        <v>3296</v>
      </c>
      <c r="B7828" t="s">
        <v>2931</v>
      </c>
      <c r="C7828">
        <v>12647</v>
      </c>
      <c r="D7828" t="str">
        <f>"2560870192  "</f>
        <v xml:space="preserve">2560870192  </v>
      </c>
      <c r="E7828" t="s">
        <v>277</v>
      </c>
      <c r="F7828" t="s">
        <v>279</v>
      </c>
      <c r="G7828">
        <v>29.97</v>
      </c>
      <c r="H7828">
        <v>250922</v>
      </c>
      <c r="I7828">
        <v>4600</v>
      </c>
      <c r="J7828" t="s">
        <v>278</v>
      </c>
      <c r="K7828">
        <v>1253.69</v>
      </c>
      <c r="L7828">
        <v>6.09</v>
      </c>
      <c r="M7828">
        <v>59114</v>
      </c>
      <c r="N7828" t="s">
        <v>299</v>
      </c>
      <c r="O7828">
        <v>250929</v>
      </c>
      <c r="P7828">
        <v>23.88</v>
      </c>
    </row>
    <row r="7829" spans="1:16" x14ac:dyDescent="0.25">
      <c r="A7829" t="s">
        <v>3296</v>
      </c>
      <c r="B7829" t="s">
        <v>2931</v>
      </c>
      <c r="C7829">
        <v>12651</v>
      </c>
      <c r="D7829" t="str">
        <f>"2560870198  "</f>
        <v xml:space="preserve">2560870198  </v>
      </c>
      <c r="E7829" t="s">
        <v>277</v>
      </c>
      <c r="F7829" t="s">
        <v>279</v>
      </c>
      <c r="G7829">
        <v>28.19</v>
      </c>
      <c r="H7829">
        <v>250922</v>
      </c>
      <c r="I7829">
        <v>4600</v>
      </c>
      <c r="J7829" t="s">
        <v>278</v>
      </c>
      <c r="K7829">
        <v>1453.35</v>
      </c>
      <c r="L7829">
        <v>5.73</v>
      </c>
      <c r="M7829">
        <v>44222</v>
      </c>
      <c r="N7829" t="s">
        <v>96</v>
      </c>
      <c r="O7829">
        <v>250929</v>
      </c>
      <c r="P7829">
        <v>22.46</v>
      </c>
    </row>
    <row r="7830" spans="1:16" x14ac:dyDescent="0.25">
      <c r="A7830" t="s">
        <v>3296</v>
      </c>
      <c r="B7830" t="s">
        <v>2931</v>
      </c>
      <c r="C7830">
        <v>12651</v>
      </c>
      <c r="D7830" t="str">
        <f>"2560870198  "</f>
        <v xml:space="preserve">2560870198  </v>
      </c>
      <c r="E7830" t="s">
        <v>277</v>
      </c>
      <c r="F7830" t="s">
        <v>279</v>
      </c>
      <c r="G7830">
        <v>52.9</v>
      </c>
      <c r="H7830">
        <v>250922</v>
      </c>
      <c r="I7830">
        <v>4600</v>
      </c>
      <c r="J7830" t="s">
        <v>278</v>
      </c>
      <c r="K7830">
        <v>1453.35</v>
      </c>
      <c r="L7830">
        <v>10.75</v>
      </c>
      <c r="M7830">
        <v>44251</v>
      </c>
      <c r="N7830" t="s">
        <v>215</v>
      </c>
      <c r="O7830">
        <v>250929</v>
      </c>
      <c r="P7830">
        <v>42.15</v>
      </c>
    </row>
    <row r="7831" spans="1:16" x14ac:dyDescent="0.25">
      <c r="A7831" t="s">
        <v>3296</v>
      </c>
      <c r="B7831" t="s">
        <v>2931</v>
      </c>
      <c r="C7831">
        <v>12652</v>
      </c>
      <c r="D7831" t="str">
        <f>"2560870202  "</f>
        <v xml:space="preserve">2560870202  </v>
      </c>
      <c r="E7831" t="s">
        <v>277</v>
      </c>
      <c r="F7831" t="s">
        <v>279</v>
      </c>
      <c r="G7831">
        <v>182.85</v>
      </c>
      <c r="H7831">
        <v>250922</v>
      </c>
      <c r="I7831">
        <v>4600</v>
      </c>
      <c r="J7831" t="s">
        <v>278</v>
      </c>
      <c r="K7831">
        <v>2050.9899999999998</v>
      </c>
      <c r="L7831">
        <v>37.15</v>
      </c>
      <c r="M7831">
        <v>69112</v>
      </c>
      <c r="N7831" t="s">
        <v>227</v>
      </c>
      <c r="O7831">
        <v>250929</v>
      </c>
      <c r="P7831">
        <v>145.69999999999999</v>
      </c>
    </row>
    <row r="7832" spans="1:16" x14ac:dyDescent="0.25">
      <c r="A7832" t="s">
        <v>3296</v>
      </c>
      <c r="B7832" t="s">
        <v>2931</v>
      </c>
      <c r="C7832">
        <v>12652</v>
      </c>
      <c r="D7832" t="str">
        <f>"2560870202  "</f>
        <v xml:space="preserve">2560870202  </v>
      </c>
      <c r="E7832" t="s">
        <v>277</v>
      </c>
      <c r="F7832" t="s">
        <v>279</v>
      </c>
      <c r="G7832">
        <v>10.16</v>
      </c>
      <c r="H7832">
        <v>250922</v>
      </c>
      <c r="I7832">
        <v>4600</v>
      </c>
      <c r="J7832" t="s">
        <v>278</v>
      </c>
      <c r="K7832">
        <v>2050.9899999999998</v>
      </c>
      <c r="L7832">
        <v>2.06</v>
      </c>
      <c r="M7832">
        <v>69810</v>
      </c>
      <c r="N7832" t="s">
        <v>229</v>
      </c>
      <c r="O7832">
        <v>250929</v>
      </c>
      <c r="P7832">
        <v>8.1</v>
      </c>
    </row>
    <row r="7833" spans="1:16" x14ac:dyDescent="0.25">
      <c r="A7833" t="s">
        <v>3296</v>
      </c>
      <c r="B7833" t="s">
        <v>2931</v>
      </c>
      <c r="C7833">
        <v>12652</v>
      </c>
      <c r="D7833" t="str">
        <f>"2560870202  "</f>
        <v xml:space="preserve">2560870202  </v>
      </c>
      <c r="E7833" t="s">
        <v>277</v>
      </c>
      <c r="F7833" t="s">
        <v>279</v>
      </c>
      <c r="G7833">
        <v>10.16</v>
      </c>
      <c r="H7833">
        <v>250922</v>
      </c>
      <c r="I7833">
        <v>4600</v>
      </c>
      <c r="J7833" t="s">
        <v>278</v>
      </c>
      <c r="K7833">
        <v>2050.9899999999998</v>
      </c>
      <c r="L7833">
        <v>2.06</v>
      </c>
      <c r="M7833">
        <v>69811</v>
      </c>
      <c r="N7833" t="s">
        <v>230</v>
      </c>
      <c r="O7833">
        <v>250929</v>
      </c>
      <c r="P7833">
        <v>8.1</v>
      </c>
    </row>
    <row r="7834" spans="1:16" x14ac:dyDescent="0.25">
      <c r="A7834" t="s">
        <v>3296</v>
      </c>
      <c r="B7834" t="s">
        <v>2931</v>
      </c>
      <c r="C7834">
        <v>12655</v>
      </c>
      <c r="D7834" t="str">
        <f>"2560870194  "</f>
        <v xml:space="preserve">2560870194  </v>
      </c>
      <c r="E7834" t="s">
        <v>277</v>
      </c>
      <c r="F7834" t="s">
        <v>279</v>
      </c>
      <c r="G7834">
        <v>-6.28</v>
      </c>
      <c r="H7834">
        <v>250922</v>
      </c>
      <c r="I7834">
        <v>4600</v>
      </c>
      <c r="J7834" t="s">
        <v>278</v>
      </c>
      <c r="K7834">
        <v>4396.01</v>
      </c>
      <c r="L7834">
        <v>-1.28</v>
      </c>
      <c r="M7834">
        <v>59113</v>
      </c>
      <c r="N7834" t="s">
        <v>61</v>
      </c>
      <c r="O7834">
        <v>250929</v>
      </c>
      <c r="P7834">
        <v>-5</v>
      </c>
    </row>
    <row r="7835" spans="1:16" x14ac:dyDescent="0.25">
      <c r="A7835" t="s">
        <v>3296</v>
      </c>
      <c r="B7835" t="s">
        <v>2931</v>
      </c>
      <c r="C7835">
        <v>12655</v>
      </c>
      <c r="D7835" t="str">
        <f>"2560870194  "</f>
        <v xml:space="preserve">2560870194  </v>
      </c>
      <c r="E7835" t="s">
        <v>277</v>
      </c>
      <c r="F7835" t="s">
        <v>279</v>
      </c>
      <c r="G7835">
        <v>138.86000000000001</v>
      </c>
      <c r="H7835">
        <v>250922</v>
      </c>
      <c r="I7835">
        <v>4600</v>
      </c>
      <c r="J7835" t="s">
        <v>278</v>
      </c>
      <c r="K7835">
        <v>4396.01</v>
      </c>
      <c r="L7835">
        <v>28.21</v>
      </c>
      <c r="M7835">
        <v>59113</v>
      </c>
      <c r="N7835" t="s">
        <v>61</v>
      </c>
      <c r="O7835">
        <v>250929</v>
      </c>
      <c r="P7835">
        <v>110.65</v>
      </c>
    </row>
    <row r="7836" spans="1:16" x14ac:dyDescent="0.25">
      <c r="A7836" t="s">
        <v>3296</v>
      </c>
      <c r="B7836" t="s">
        <v>2931</v>
      </c>
      <c r="C7836">
        <v>12658</v>
      </c>
      <c r="D7836" t="str">
        <f>"2560870195  "</f>
        <v xml:space="preserve">2560870195  </v>
      </c>
      <c r="E7836" t="s">
        <v>277</v>
      </c>
      <c r="F7836" t="s">
        <v>279</v>
      </c>
      <c r="G7836">
        <v>60.25</v>
      </c>
      <c r="H7836">
        <v>250922</v>
      </c>
      <c r="I7836">
        <v>4600</v>
      </c>
      <c r="J7836" t="s">
        <v>278</v>
      </c>
      <c r="K7836">
        <v>3037.06</v>
      </c>
      <c r="L7836">
        <v>12.24</v>
      </c>
      <c r="M7836">
        <v>69113</v>
      </c>
      <c r="N7836" t="s">
        <v>122</v>
      </c>
      <c r="O7836">
        <v>250929</v>
      </c>
      <c r="P7836">
        <v>48.01</v>
      </c>
    </row>
    <row r="7837" spans="1:16" x14ac:dyDescent="0.25">
      <c r="A7837" t="s">
        <v>3296</v>
      </c>
      <c r="B7837" t="s">
        <v>2931</v>
      </c>
      <c r="C7837">
        <v>12658</v>
      </c>
      <c r="D7837" t="str">
        <f>"2560870195  "</f>
        <v xml:space="preserve">2560870195  </v>
      </c>
      <c r="E7837" t="s">
        <v>277</v>
      </c>
      <c r="F7837" t="s">
        <v>279</v>
      </c>
      <c r="G7837">
        <v>6.7</v>
      </c>
      <c r="H7837">
        <v>250922</v>
      </c>
      <c r="I7837">
        <v>4600</v>
      </c>
      <c r="J7837" t="s">
        <v>278</v>
      </c>
      <c r="K7837">
        <v>3037.06</v>
      </c>
      <c r="L7837">
        <v>1.36</v>
      </c>
      <c r="M7837">
        <v>69802</v>
      </c>
      <c r="N7837" t="s">
        <v>375</v>
      </c>
      <c r="O7837">
        <v>250929</v>
      </c>
      <c r="P7837">
        <v>5.34</v>
      </c>
    </row>
    <row r="7838" spans="1:16" x14ac:dyDescent="0.25">
      <c r="A7838" t="s">
        <v>3296</v>
      </c>
      <c r="B7838" t="s">
        <v>2931</v>
      </c>
      <c r="C7838">
        <v>12696</v>
      </c>
      <c r="D7838" t="str">
        <f>"2560870193  "</f>
        <v xml:space="preserve">2560870193  </v>
      </c>
      <c r="E7838" t="s">
        <v>277</v>
      </c>
      <c r="F7838" t="s">
        <v>279</v>
      </c>
      <c r="G7838">
        <v>1094.5999999999999</v>
      </c>
      <c r="H7838">
        <v>250922</v>
      </c>
      <c r="I7838">
        <v>4600</v>
      </c>
      <c r="J7838" t="s">
        <v>278</v>
      </c>
      <c r="K7838">
        <v>4267.7</v>
      </c>
      <c r="L7838">
        <v>222.41</v>
      </c>
      <c r="M7838">
        <v>54451</v>
      </c>
      <c r="N7838" t="s">
        <v>218</v>
      </c>
      <c r="O7838">
        <v>250929</v>
      </c>
      <c r="P7838">
        <v>872.19</v>
      </c>
    </row>
    <row r="7839" spans="1:16" x14ac:dyDescent="0.25">
      <c r="A7839" t="s">
        <v>3296</v>
      </c>
      <c r="B7839" t="s">
        <v>2931</v>
      </c>
      <c r="C7839">
        <v>12721</v>
      </c>
      <c r="D7839" t="str">
        <f>"2560870201  "</f>
        <v xml:space="preserve">2560870201  </v>
      </c>
      <c r="E7839" t="s">
        <v>277</v>
      </c>
      <c r="F7839" t="s">
        <v>279</v>
      </c>
      <c r="G7839">
        <v>16.18</v>
      </c>
      <c r="H7839">
        <v>250922</v>
      </c>
      <c r="I7839">
        <v>4600</v>
      </c>
      <c r="J7839" t="s">
        <v>278</v>
      </c>
      <c r="K7839">
        <v>540.84</v>
      </c>
      <c r="L7839">
        <v>3.29</v>
      </c>
      <c r="M7839">
        <v>44253</v>
      </c>
      <c r="N7839" t="s">
        <v>403</v>
      </c>
      <c r="O7839">
        <v>250929</v>
      </c>
      <c r="P7839">
        <v>12.89</v>
      </c>
    </row>
    <row r="7840" spans="1:16" x14ac:dyDescent="0.25">
      <c r="A7840" t="s">
        <v>3296</v>
      </c>
      <c r="B7840" t="s">
        <v>2931</v>
      </c>
      <c r="C7840">
        <v>12732</v>
      </c>
      <c r="D7840" t="str">
        <f>"2560870196  "</f>
        <v xml:space="preserve">2560870196  </v>
      </c>
      <c r="E7840" t="s">
        <v>277</v>
      </c>
      <c r="F7840" t="s">
        <v>279</v>
      </c>
      <c r="G7840">
        <v>69.290000000000006</v>
      </c>
      <c r="H7840">
        <v>250922</v>
      </c>
      <c r="I7840">
        <v>4600</v>
      </c>
      <c r="J7840" t="s">
        <v>278</v>
      </c>
      <c r="K7840">
        <v>2689.5</v>
      </c>
      <c r="L7840">
        <v>14.08</v>
      </c>
      <c r="M7840">
        <v>49112</v>
      </c>
      <c r="N7840" t="s">
        <v>109</v>
      </c>
      <c r="O7840">
        <v>250929</v>
      </c>
      <c r="P7840">
        <v>55.21</v>
      </c>
    </row>
    <row r="7841" spans="1:16" x14ac:dyDescent="0.25">
      <c r="A7841" t="s">
        <v>3296</v>
      </c>
      <c r="B7841" t="s">
        <v>2931</v>
      </c>
      <c r="C7841">
        <v>12904</v>
      </c>
      <c r="D7841" t="str">
        <f>"2560886364  "</f>
        <v xml:space="preserve">2560886364  </v>
      </c>
      <c r="E7841" t="s">
        <v>277</v>
      </c>
      <c r="F7841" t="s">
        <v>279</v>
      </c>
      <c r="G7841">
        <v>-25.1</v>
      </c>
      <c r="H7841">
        <v>250929</v>
      </c>
      <c r="I7841">
        <v>4600</v>
      </c>
      <c r="J7841" t="s">
        <v>278</v>
      </c>
      <c r="K7841">
        <v>1020.52</v>
      </c>
      <c r="L7841">
        <v>-5.0999999999999996</v>
      </c>
      <c r="M7841">
        <v>59114</v>
      </c>
      <c r="N7841" t="s">
        <v>299</v>
      </c>
      <c r="O7841">
        <v>251001</v>
      </c>
      <c r="P7841">
        <v>-20</v>
      </c>
    </row>
    <row r="7842" spans="1:16" x14ac:dyDescent="0.25">
      <c r="A7842" t="s">
        <v>3296</v>
      </c>
      <c r="B7842" t="s">
        <v>2931</v>
      </c>
      <c r="C7842">
        <v>12905</v>
      </c>
      <c r="D7842" t="str">
        <f>"2560886366  "</f>
        <v xml:space="preserve">2560886366  </v>
      </c>
      <c r="E7842" t="s">
        <v>277</v>
      </c>
      <c r="F7842" t="s">
        <v>279</v>
      </c>
      <c r="G7842">
        <v>152.66999999999999</v>
      </c>
      <c r="H7842">
        <v>250929</v>
      </c>
      <c r="I7842">
        <v>4600</v>
      </c>
      <c r="J7842" t="s">
        <v>278</v>
      </c>
      <c r="K7842">
        <v>2859.91</v>
      </c>
      <c r="L7842">
        <v>31.02</v>
      </c>
      <c r="M7842">
        <v>59113</v>
      </c>
      <c r="N7842" t="s">
        <v>61</v>
      </c>
      <c r="O7842">
        <v>251001</v>
      </c>
      <c r="P7842">
        <v>121.65</v>
      </c>
    </row>
    <row r="7843" spans="1:16" x14ac:dyDescent="0.25">
      <c r="A7843" t="s">
        <v>3296</v>
      </c>
      <c r="B7843" t="s">
        <v>2931</v>
      </c>
      <c r="C7843">
        <v>12953</v>
      </c>
      <c r="D7843" t="str">
        <f>"2560886375  "</f>
        <v xml:space="preserve">2560886375  </v>
      </c>
      <c r="E7843" t="s">
        <v>277</v>
      </c>
      <c r="F7843" t="s">
        <v>279</v>
      </c>
      <c r="G7843">
        <v>31.93</v>
      </c>
      <c r="H7843">
        <v>250929</v>
      </c>
      <c r="I7843">
        <v>4600</v>
      </c>
      <c r="J7843" t="s">
        <v>278</v>
      </c>
      <c r="K7843">
        <v>339.19</v>
      </c>
      <c r="L7843">
        <v>6.49</v>
      </c>
      <c r="M7843">
        <v>69112</v>
      </c>
      <c r="N7843" t="s">
        <v>227</v>
      </c>
      <c r="O7843">
        <v>251002</v>
      </c>
      <c r="P7843">
        <v>25.44</v>
      </c>
    </row>
    <row r="7844" spans="1:16" x14ac:dyDescent="0.25">
      <c r="A7844" t="s">
        <v>3296</v>
      </c>
      <c r="B7844" t="s">
        <v>2931</v>
      </c>
      <c r="C7844">
        <v>12953</v>
      </c>
      <c r="D7844" t="str">
        <f>"2560886375  "</f>
        <v xml:space="preserve">2560886375  </v>
      </c>
      <c r="E7844" t="s">
        <v>277</v>
      </c>
      <c r="F7844" t="s">
        <v>279</v>
      </c>
      <c r="G7844">
        <v>1.78</v>
      </c>
      <c r="H7844">
        <v>250929</v>
      </c>
      <c r="I7844">
        <v>4600</v>
      </c>
      <c r="J7844" t="s">
        <v>278</v>
      </c>
      <c r="K7844">
        <v>339.19</v>
      </c>
      <c r="L7844">
        <v>0.36</v>
      </c>
      <c r="M7844">
        <v>69810</v>
      </c>
      <c r="N7844" t="s">
        <v>229</v>
      </c>
      <c r="O7844">
        <v>251002</v>
      </c>
      <c r="P7844">
        <v>1.42</v>
      </c>
    </row>
    <row r="7845" spans="1:16" x14ac:dyDescent="0.25">
      <c r="A7845" t="s">
        <v>3296</v>
      </c>
      <c r="B7845" t="s">
        <v>2931</v>
      </c>
      <c r="C7845">
        <v>12953</v>
      </c>
      <c r="D7845" t="str">
        <f>"2560886375  "</f>
        <v xml:space="preserve">2560886375  </v>
      </c>
      <c r="E7845" t="s">
        <v>277</v>
      </c>
      <c r="F7845" t="s">
        <v>279</v>
      </c>
      <c r="G7845">
        <v>1.77</v>
      </c>
      <c r="H7845">
        <v>250929</v>
      </c>
      <c r="I7845">
        <v>4600</v>
      </c>
      <c r="J7845" t="s">
        <v>278</v>
      </c>
      <c r="K7845">
        <v>339.19</v>
      </c>
      <c r="L7845">
        <v>0.36</v>
      </c>
      <c r="M7845">
        <v>69811</v>
      </c>
      <c r="N7845" t="s">
        <v>230</v>
      </c>
      <c r="O7845">
        <v>251002</v>
      </c>
      <c r="P7845">
        <v>1.41</v>
      </c>
    </row>
    <row r="7846" spans="1:16" x14ac:dyDescent="0.25">
      <c r="A7846" t="s">
        <v>3296</v>
      </c>
      <c r="B7846" t="s">
        <v>2931</v>
      </c>
      <c r="C7846">
        <v>12994</v>
      </c>
      <c r="D7846" t="str">
        <f>"2560886365  "</f>
        <v xml:space="preserve">2560886365  </v>
      </c>
      <c r="E7846" t="s">
        <v>277</v>
      </c>
      <c r="F7846" t="s">
        <v>279</v>
      </c>
      <c r="G7846">
        <v>666.38</v>
      </c>
      <c r="H7846">
        <v>250929</v>
      </c>
      <c r="I7846">
        <v>4600</v>
      </c>
      <c r="J7846" t="s">
        <v>278</v>
      </c>
      <c r="K7846">
        <v>2215.1999999999998</v>
      </c>
      <c r="L7846">
        <v>135.4</v>
      </c>
      <c r="M7846">
        <v>54451</v>
      </c>
      <c r="N7846" t="s">
        <v>218</v>
      </c>
      <c r="O7846">
        <v>251003</v>
      </c>
      <c r="P7846">
        <v>530.98</v>
      </c>
    </row>
    <row r="7847" spans="1:16" x14ac:dyDescent="0.25">
      <c r="A7847" t="s">
        <v>3296</v>
      </c>
      <c r="B7847" t="s">
        <v>2931</v>
      </c>
      <c r="C7847">
        <v>12998</v>
      </c>
      <c r="D7847" t="str">
        <f>"2560925604  "</f>
        <v xml:space="preserve">2560925604  </v>
      </c>
      <c r="E7847" t="s">
        <v>277</v>
      </c>
      <c r="F7847" t="s">
        <v>279</v>
      </c>
      <c r="G7847">
        <v>-182.36</v>
      </c>
      <c r="H7847">
        <v>250930</v>
      </c>
      <c r="I7847">
        <v>4600</v>
      </c>
      <c r="J7847" t="s">
        <v>278</v>
      </c>
      <c r="K7847">
        <v>1697.99</v>
      </c>
      <c r="L7847">
        <v>-37.049999999999997</v>
      </c>
      <c r="M7847">
        <v>54451</v>
      </c>
      <c r="N7847" t="s">
        <v>218</v>
      </c>
      <c r="O7847">
        <v>251003</v>
      </c>
      <c r="P7847">
        <v>-145.31</v>
      </c>
    </row>
    <row r="7848" spans="1:16" x14ac:dyDescent="0.25">
      <c r="A7848" t="s">
        <v>3296</v>
      </c>
      <c r="B7848" t="s">
        <v>2931</v>
      </c>
      <c r="C7848">
        <v>13056</v>
      </c>
      <c r="D7848" t="str">
        <f>"2560925605  "</f>
        <v xml:space="preserve">2560925605  </v>
      </c>
      <c r="E7848" t="s">
        <v>277</v>
      </c>
      <c r="F7848" t="s">
        <v>279</v>
      </c>
      <c r="G7848">
        <v>18.899999999999999</v>
      </c>
      <c r="H7848">
        <v>250930</v>
      </c>
      <c r="I7848">
        <v>4600</v>
      </c>
      <c r="J7848" t="s">
        <v>278</v>
      </c>
      <c r="K7848">
        <v>1776.43</v>
      </c>
      <c r="L7848">
        <v>3.84</v>
      </c>
      <c r="M7848">
        <v>59113</v>
      </c>
      <c r="N7848" t="s">
        <v>61</v>
      </c>
      <c r="O7848">
        <v>251003</v>
      </c>
      <c r="P7848">
        <v>15.06</v>
      </c>
    </row>
    <row r="7849" spans="1:16" x14ac:dyDescent="0.25">
      <c r="A7849" t="s">
        <v>3296</v>
      </c>
      <c r="B7849" t="s">
        <v>2931</v>
      </c>
      <c r="C7849">
        <v>13125</v>
      </c>
      <c r="D7849" t="str">
        <f>"2560925613  "</f>
        <v xml:space="preserve">2560925613  </v>
      </c>
      <c r="E7849" t="s">
        <v>277</v>
      </c>
      <c r="F7849" t="s">
        <v>279</v>
      </c>
      <c r="G7849">
        <v>36.22</v>
      </c>
      <c r="H7849">
        <v>250930</v>
      </c>
      <c r="I7849">
        <v>4600</v>
      </c>
      <c r="J7849" t="s">
        <v>278</v>
      </c>
      <c r="K7849">
        <v>1086.4000000000001</v>
      </c>
      <c r="L7849">
        <v>7.36</v>
      </c>
      <c r="M7849">
        <v>69112</v>
      </c>
      <c r="N7849" t="s">
        <v>227</v>
      </c>
      <c r="O7849">
        <v>251006</v>
      </c>
      <c r="P7849">
        <v>28.86</v>
      </c>
    </row>
    <row r="7850" spans="1:16" x14ac:dyDescent="0.25">
      <c r="A7850" t="s">
        <v>3296</v>
      </c>
      <c r="B7850" t="s">
        <v>2931</v>
      </c>
      <c r="C7850">
        <v>13125</v>
      </c>
      <c r="D7850" t="str">
        <f>"2560925613  "</f>
        <v xml:space="preserve">2560925613  </v>
      </c>
      <c r="E7850" t="s">
        <v>277</v>
      </c>
      <c r="F7850" t="s">
        <v>279</v>
      </c>
      <c r="G7850">
        <v>2.0099999999999998</v>
      </c>
      <c r="H7850">
        <v>250930</v>
      </c>
      <c r="I7850">
        <v>4600</v>
      </c>
      <c r="J7850" t="s">
        <v>278</v>
      </c>
      <c r="K7850">
        <v>1086.4000000000001</v>
      </c>
      <c r="L7850">
        <v>0.41</v>
      </c>
      <c r="M7850">
        <v>69810</v>
      </c>
      <c r="N7850" t="s">
        <v>229</v>
      </c>
      <c r="O7850">
        <v>251006</v>
      </c>
      <c r="P7850">
        <v>1.6</v>
      </c>
    </row>
    <row r="7851" spans="1:16" x14ac:dyDescent="0.25">
      <c r="A7851" t="s">
        <v>3296</v>
      </c>
      <c r="B7851" t="s">
        <v>2931</v>
      </c>
      <c r="C7851">
        <v>13125</v>
      </c>
      <c r="D7851" t="str">
        <f>"2560925613  "</f>
        <v xml:space="preserve">2560925613  </v>
      </c>
      <c r="E7851" t="s">
        <v>277</v>
      </c>
      <c r="F7851" t="s">
        <v>279</v>
      </c>
      <c r="G7851">
        <v>2.0099999999999998</v>
      </c>
      <c r="H7851">
        <v>250930</v>
      </c>
      <c r="I7851">
        <v>4600</v>
      </c>
      <c r="J7851" t="s">
        <v>278</v>
      </c>
      <c r="K7851">
        <v>1086.4000000000001</v>
      </c>
      <c r="L7851">
        <v>0.41</v>
      </c>
      <c r="M7851">
        <v>69811</v>
      </c>
      <c r="N7851" t="s">
        <v>230</v>
      </c>
      <c r="O7851">
        <v>251006</v>
      </c>
      <c r="P7851">
        <v>1.6</v>
      </c>
    </row>
    <row r="7852" spans="1:16" x14ac:dyDescent="0.25">
      <c r="A7852" t="s">
        <v>3296</v>
      </c>
      <c r="B7852" t="s">
        <v>2931</v>
      </c>
      <c r="C7852">
        <v>13350</v>
      </c>
      <c r="D7852" t="str">
        <f>"2560886368  "</f>
        <v xml:space="preserve">2560886368  </v>
      </c>
      <c r="E7852" t="s">
        <v>277</v>
      </c>
      <c r="F7852" t="s">
        <v>279</v>
      </c>
      <c r="G7852">
        <v>166.21</v>
      </c>
      <c r="H7852">
        <v>250929</v>
      </c>
      <c r="I7852">
        <v>4600</v>
      </c>
      <c r="J7852" t="s">
        <v>278</v>
      </c>
      <c r="K7852">
        <v>2404.15</v>
      </c>
      <c r="L7852">
        <v>33.770000000000003</v>
      </c>
      <c r="M7852">
        <v>49112</v>
      </c>
      <c r="N7852" t="s">
        <v>109</v>
      </c>
      <c r="O7852">
        <v>251008</v>
      </c>
      <c r="P7852">
        <v>132.44</v>
      </c>
    </row>
    <row r="7853" spans="1:16" x14ac:dyDescent="0.25">
      <c r="A7853" t="s">
        <v>3296</v>
      </c>
      <c r="B7853" t="s">
        <v>2931</v>
      </c>
      <c r="C7853">
        <v>13351</v>
      </c>
      <c r="D7853" t="str">
        <f>"2560925607  "</f>
        <v xml:space="preserve">2560925607  </v>
      </c>
      <c r="E7853" t="s">
        <v>277</v>
      </c>
      <c r="F7853" t="s">
        <v>279</v>
      </c>
      <c r="G7853">
        <v>12.58</v>
      </c>
      <c r="H7853">
        <v>250930</v>
      </c>
      <c r="I7853">
        <v>4600</v>
      </c>
      <c r="J7853" t="s">
        <v>278</v>
      </c>
      <c r="K7853">
        <v>904.6</v>
      </c>
      <c r="L7853">
        <v>2.56</v>
      </c>
      <c r="M7853">
        <v>49112</v>
      </c>
      <c r="N7853" t="s">
        <v>109</v>
      </c>
      <c r="O7853">
        <v>251008</v>
      </c>
      <c r="P7853">
        <v>10.02</v>
      </c>
    </row>
    <row r="7854" spans="1:16" x14ac:dyDescent="0.25">
      <c r="A7854" t="s">
        <v>3296</v>
      </c>
      <c r="B7854" t="s">
        <v>2931</v>
      </c>
      <c r="C7854">
        <v>13363</v>
      </c>
      <c r="D7854" t="str">
        <f>"2560937102  "</f>
        <v xml:space="preserve">2560937102  </v>
      </c>
      <c r="E7854" t="s">
        <v>277</v>
      </c>
      <c r="F7854" t="s">
        <v>279</v>
      </c>
      <c r="G7854">
        <v>202.09</v>
      </c>
      <c r="H7854">
        <v>251006</v>
      </c>
      <c r="I7854">
        <v>4600</v>
      </c>
      <c r="J7854" t="s">
        <v>278</v>
      </c>
      <c r="K7854">
        <v>1130.79</v>
      </c>
      <c r="L7854">
        <v>41.06</v>
      </c>
      <c r="M7854">
        <v>49112</v>
      </c>
      <c r="N7854" t="s">
        <v>109</v>
      </c>
      <c r="O7854">
        <v>251008</v>
      </c>
      <c r="P7854">
        <v>161.03</v>
      </c>
    </row>
    <row r="7855" spans="1:16" x14ac:dyDescent="0.25">
      <c r="A7855" t="s">
        <v>3296</v>
      </c>
      <c r="B7855" t="s">
        <v>2931</v>
      </c>
      <c r="C7855">
        <v>13410</v>
      </c>
      <c r="D7855" t="str">
        <f>"2560886371  "</f>
        <v xml:space="preserve">2560886371  </v>
      </c>
      <c r="E7855" t="s">
        <v>277</v>
      </c>
      <c r="F7855" t="s">
        <v>279</v>
      </c>
      <c r="G7855">
        <v>4.2</v>
      </c>
      <c r="H7855">
        <v>250929</v>
      </c>
      <c r="I7855">
        <v>4600</v>
      </c>
      <c r="J7855" t="s">
        <v>278</v>
      </c>
      <c r="K7855">
        <v>759.17</v>
      </c>
      <c r="L7855">
        <v>0.85</v>
      </c>
      <c r="M7855">
        <v>44222</v>
      </c>
      <c r="N7855" t="s">
        <v>96</v>
      </c>
      <c r="O7855">
        <v>251009</v>
      </c>
      <c r="P7855">
        <v>3.35</v>
      </c>
    </row>
    <row r="7856" spans="1:16" x14ac:dyDescent="0.25">
      <c r="A7856" t="s">
        <v>3296</v>
      </c>
      <c r="B7856" t="s">
        <v>2931</v>
      </c>
      <c r="C7856">
        <v>13411</v>
      </c>
      <c r="D7856" t="str">
        <f>"2560886370  "</f>
        <v xml:space="preserve">2560886370  </v>
      </c>
      <c r="E7856" t="s">
        <v>277</v>
      </c>
      <c r="F7856" t="s">
        <v>279</v>
      </c>
      <c r="G7856">
        <v>367.29</v>
      </c>
      <c r="H7856">
        <v>250929</v>
      </c>
      <c r="I7856">
        <v>4600</v>
      </c>
      <c r="J7856" t="s">
        <v>278</v>
      </c>
      <c r="K7856">
        <v>563.69000000000005</v>
      </c>
      <c r="L7856">
        <v>74.63</v>
      </c>
      <c r="M7856">
        <v>44251</v>
      </c>
      <c r="N7856" t="s">
        <v>215</v>
      </c>
      <c r="O7856">
        <v>251009</v>
      </c>
      <c r="P7856">
        <v>292.66000000000003</v>
      </c>
    </row>
    <row r="7857" spans="1:16" x14ac:dyDescent="0.25">
      <c r="A7857" t="s">
        <v>3296</v>
      </c>
      <c r="B7857" t="s">
        <v>2931</v>
      </c>
      <c r="C7857">
        <v>13412</v>
      </c>
      <c r="D7857" t="str">
        <f>"2560886367  "</f>
        <v xml:space="preserve">2560886367  </v>
      </c>
      <c r="E7857" t="s">
        <v>277</v>
      </c>
      <c r="F7857" t="s">
        <v>279</v>
      </c>
      <c r="G7857">
        <v>-12.55</v>
      </c>
      <c r="H7857">
        <v>250929</v>
      </c>
      <c r="I7857">
        <v>4600</v>
      </c>
      <c r="J7857" t="s">
        <v>278</v>
      </c>
      <c r="K7857">
        <v>1264.3699999999999</v>
      </c>
      <c r="L7857">
        <v>-2.5499999999999998</v>
      </c>
      <c r="M7857">
        <v>69113</v>
      </c>
      <c r="N7857" t="s">
        <v>122</v>
      </c>
      <c r="O7857">
        <v>251009</v>
      </c>
      <c r="P7857">
        <v>-10</v>
      </c>
    </row>
    <row r="7858" spans="1:16" x14ac:dyDescent="0.25">
      <c r="A7858" t="s">
        <v>3296</v>
      </c>
      <c r="B7858" t="s">
        <v>2931</v>
      </c>
      <c r="C7858">
        <v>13413</v>
      </c>
      <c r="D7858" t="str">
        <f>"2560886374  "</f>
        <v xml:space="preserve">2560886374  </v>
      </c>
      <c r="E7858" t="s">
        <v>277</v>
      </c>
      <c r="F7858" t="s">
        <v>279</v>
      </c>
      <c r="G7858">
        <v>3.63</v>
      </c>
      <c r="H7858">
        <v>250929</v>
      </c>
      <c r="I7858">
        <v>4600</v>
      </c>
      <c r="J7858" t="s">
        <v>278</v>
      </c>
      <c r="K7858">
        <v>736.39</v>
      </c>
      <c r="L7858">
        <v>0.74</v>
      </c>
      <c r="M7858">
        <v>44253</v>
      </c>
      <c r="N7858" t="s">
        <v>403</v>
      </c>
      <c r="O7858">
        <v>251009</v>
      </c>
      <c r="P7858">
        <v>2.89</v>
      </c>
    </row>
    <row r="7859" spans="1:16" x14ac:dyDescent="0.25">
      <c r="A7859" t="s">
        <v>3296</v>
      </c>
      <c r="B7859" t="s">
        <v>2931</v>
      </c>
      <c r="C7859">
        <v>13414</v>
      </c>
      <c r="D7859" t="str">
        <f>"2560925606  "</f>
        <v xml:space="preserve">2560925606  </v>
      </c>
      <c r="E7859" t="s">
        <v>277</v>
      </c>
      <c r="F7859" t="s">
        <v>279</v>
      </c>
      <c r="G7859">
        <v>8.2899999999999991</v>
      </c>
      <c r="H7859">
        <v>250930</v>
      </c>
      <c r="I7859">
        <v>4600</v>
      </c>
      <c r="J7859" t="s">
        <v>278</v>
      </c>
      <c r="K7859">
        <v>1133.1099999999999</v>
      </c>
      <c r="L7859">
        <v>1.68</v>
      </c>
      <c r="M7859">
        <v>69113</v>
      </c>
      <c r="N7859" t="s">
        <v>122</v>
      </c>
      <c r="O7859">
        <v>251009</v>
      </c>
      <c r="P7859">
        <v>6.61</v>
      </c>
    </row>
    <row r="7860" spans="1:16" x14ac:dyDescent="0.25">
      <c r="A7860" t="s">
        <v>3296</v>
      </c>
      <c r="B7860" t="s">
        <v>2931</v>
      </c>
      <c r="C7860">
        <v>13414</v>
      </c>
      <c r="D7860" t="str">
        <f>"2560925606  "</f>
        <v xml:space="preserve">2560925606  </v>
      </c>
      <c r="E7860" t="s">
        <v>277</v>
      </c>
      <c r="F7860" t="s">
        <v>279</v>
      </c>
      <c r="G7860">
        <v>0.91</v>
      </c>
      <c r="H7860">
        <v>250930</v>
      </c>
      <c r="I7860">
        <v>4600</v>
      </c>
      <c r="J7860" t="s">
        <v>278</v>
      </c>
      <c r="K7860">
        <v>1133.1099999999999</v>
      </c>
      <c r="L7860">
        <v>0.18</v>
      </c>
      <c r="M7860">
        <v>69802</v>
      </c>
      <c r="N7860" t="s">
        <v>375</v>
      </c>
      <c r="O7860">
        <v>251009</v>
      </c>
      <c r="P7860">
        <v>0.73</v>
      </c>
    </row>
    <row r="7861" spans="1:16" x14ac:dyDescent="0.25">
      <c r="A7861" t="s">
        <v>3296</v>
      </c>
      <c r="B7861" t="s">
        <v>2931</v>
      </c>
      <c r="C7861">
        <v>13416</v>
      </c>
      <c r="D7861" t="str">
        <f>"2560925609  "</f>
        <v xml:space="preserve">2560925609  </v>
      </c>
      <c r="E7861" t="s">
        <v>277</v>
      </c>
      <c r="F7861" t="s">
        <v>279</v>
      </c>
      <c r="G7861">
        <v>64.010000000000005</v>
      </c>
      <c r="H7861">
        <v>250930</v>
      </c>
      <c r="I7861">
        <v>4600</v>
      </c>
      <c r="J7861" t="s">
        <v>278</v>
      </c>
      <c r="K7861">
        <v>2605.04</v>
      </c>
      <c r="L7861">
        <v>13.01</v>
      </c>
      <c r="M7861">
        <v>44251</v>
      </c>
      <c r="N7861" t="s">
        <v>215</v>
      </c>
      <c r="O7861">
        <v>251009</v>
      </c>
      <c r="P7861">
        <v>51</v>
      </c>
    </row>
    <row r="7862" spans="1:16" x14ac:dyDescent="0.25">
      <c r="A7862" t="s">
        <v>3296</v>
      </c>
      <c r="B7862" t="s">
        <v>2931</v>
      </c>
      <c r="C7862">
        <v>13494</v>
      </c>
      <c r="D7862" t="str">
        <f>"2560937100  "</f>
        <v xml:space="preserve">2560937100  </v>
      </c>
      <c r="E7862" t="s">
        <v>277</v>
      </c>
      <c r="F7862" t="s">
        <v>279</v>
      </c>
      <c r="G7862">
        <v>35.04</v>
      </c>
      <c r="H7862">
        <v>251006</v>
      </c>
      <c r="I7862">
        <v>4600</v>
      </c>
      <c r="J7862" t="s">
        <v>278</v>
      </c>
      <c r="K7862">
        <v>874.2</v>
      </c>
      <c r="L7862">
        <v>7.12</v>
      </c>
      <c r="M7862">
        <v>59113</v>
      </c>
      <c r="N7862" t="s">
        <v>61</v>
      </c>
      <c r="O7862">
        <v>251010</v>
      </c>
      <c r="P7862">
        <v>27.92</v>
      </c>
    </row>
    <row r="7863" spans="1:16" x14ac:dyDescent="0.25">
      <c r="A7863" t="s">
        <v>3296</v>
      </c>
      <c r="B7863" t="s">
        <v>2931</v>
      </c>
      <c r="C7863">
        <v>13510</v>
      </c>
      <c r="D7863" t="str">
        <f>"2560937099  "</f>
        <v xml:space="preserve">2560937099  </v>
      </c>
      <c r="E7863" t="s">
        <v>277</v>
      </c>
      <c r="F7863" t="s">
        <v>279</v>
      </c>
      <c r="G7863">
        <v>177.12</v>
      </c>
      <c r="H7863">
        <v>251006</v>
      </c>
      <c r="I7863">
        <v>4600</v>
      </c>
      <c r="J7863" t="s">
        <v>278</v>
      </c>
      <c r="K7863">
        <v>2633.62</v>
      </c>
      <c r="L7863">
        <v>35.99</v>
      </c>
      <c r="M7863">
        <v>54451</v>
      </c>
      <c r="N7863" t="s">
        <v>218</v>
      </c>
      <c r="O7863">
        <v>251010</v>
      </c>
      <c r="P7863">
        <v>141.13</v>
      </c>
    </row>
    <row r="7864" spans="1:16" x14ac:dyDescent="0.25">
      <c r="A7864" t="s">
        <v>3296</v>
      </c>
      <c r="B7864" t="s">
        <v>2931</v>
      </c>
      <c r="C7864">
        <v>13700</v>
      </c>
      <c r="D7864" t="str">
        <f>"2560937107  "</f>
        <v xml:space="preserve">2560937107  </v>
      </c>
      <c r="E7864" t="s">
        <v>277</v>
      </c>
      <c r="F7864" t="s">
        <v>279</v>
      </c>
      <c r="G7864">
        <v>16.18</v>
      </c>
      <c r="H7864">
        <v>251006</v>
      </c>
      <c r="I7864">
        <v>4600</v>
      </c>
      <c r="J7864" t="s">
        <v>278</v>
      </c>
      <c r="K7864">
        <v>348.3</v>
      </c>
      <c r="L7864">
        <v>3.29</v>
      </c>
      <c r="M7864">
        <v>44253</v>
      </c>
      <c r="N7864" t="s">
        <v>403</v>
      </c>
      <c r="O7864">
        <v>251016</v>
      </c>
      <c r="P7864">
        <v>12.89</v>
      </c>
    </row>
    <row r="7865" spans="1:16" x14ac:dyDescent="0.25">
      <c r="A7865" t="s">
        <v>3296</v>
      </c>
      <c r="B7865" t="s">
        <v>2931</v>
      </c>
      <c r="C7865">
        <v>13702</v>
      </c>
      <c r="D7865" t="str">
        <f>"2560937104  "</f>
        <v xml:space="preserve">2560937104  </v>
      </c>
      <c r="E7865" t="s">
        <v>277</v>
      </c>
      <c r="F7865" t="s">
        <v>279</v>
      </c>
      <c r="G7865">
        <v>75.78</v>
      </c>
      <c r="H7865">
        <v>251006</v>
      </c>
      <c r="I7865">
        <v>4600</v>
      </c>
      <c r="J7865" t="s">
        <v>278</v>
      </c>
      <c r="K7865">
        <v>215.73</v>
      </c>
      <c r="L7865">
        <v>15.4</v>
      </c>
      <c r="M7865">
        <v>44222</v>
      </c>
      <c r="N7865" t="s">
        <v>96</v>
      </c>
      <c r="O7865">
        <v>251016</v>
      </c>
      <c r="P7865">
        <v>60.38</v>
      </c>
    </row>
    <row r="7866" spans="1:16" x14ac:dyDescent="0.25">
      <c r="A7866" t="s">
        <v>3296</v>
      </c>
      <c r="B7866" t="s">
        <v>2931</v>
      </c>
      <c r="C7866">
        <v>13797</v>
      </c>
      <c r="D7866" t="str">
        <f>"2560952094  "</f>
        <v xml:space="preserve">2560952094  </v>
      </c>
      <c r="E7866" t="s">
        <v>277</v>
      </c>
      <c r="F7866" t="s">
        <v>279</v>
      </c>
      <c r="G7866">
        <v>12.58</v>
      </c>
      <c r="H7866">
        <v>251013</v>
      </c>
      <c r="I7866">
        <v>4600</v>
      </c>
      <c r="J7866" t="s">
        <v>278</v>
      </c>
      <c r="K7866">
        <v>685.07</v>
      </c>
      <c r="L7866">
        <v>2.56</v>
      </c>
      <c r="M7866">
        <v>49112</v>
      </c>
      <c r="N7866" t="s">
        <v>109</v>
      </c>
      <c r="O7866">
        <v>251020</v>
      </c>
      <c r="P7866">
        <v>10.02</v>
      </c>
    </row>
    <row r="7867" spans="1:16" x14ac:dyDescent="0.25">
      <c r="A7867" t="s">
        <v>3296</v>
      </c>
      <c r="B7867" t="s">
        <v>2931</v>
      </c>
      <c r="C7867">
        <v>13801</v>
      </c>
      <c r="D7867" t="str">
        <f>"2560952092  "</f>
        <v xml:space="preserve">2560952092  </v>
      </c>
      <c r="E7867" t="s">
        <v>277</v>
      </c>
      <c r="F7867" t="s">
        <v>279</v>
      </c>
      <c r="G7867">
        <v>-37.619999999999997</v>
      </c>
      <c r="H7867">
        <v>251013</v>
      </c>
      <c r="I7867">
        <v>4600</v>
      </c>
      <c r="J7867" t="s">
        <v>278</v>
      </c>
      <c r="K7867">
        <v>1334.86</v>
      </c>
      <c r="L7867">
        <v>-7.64</v>
      </c>
      <c r="M7867">
        <v>59113</v>
      </c>
      <c r="N7867" t="s">
        <v>61</v>
      </c>
      <c r="O7867">
        <v>251020</v>
      </c>
      <c r="P7867">
        <v>-29.98</v>
      </c>
    </row>
    <row r="7868" spans="1:16" x14ac:dyDescent="0.25">
      <c r="A7868" t="s">
        <v>3296</v>
      </c>
      <c r="B7868" t="s">
        <v>2931</v>
      </c>
      <c r="C7868">
        <v>13831</v>
      </c>
      <c r="D7868" t="str">
        <f>"2560952091  "</f>
        <v xml:space="preserve">2560952091  </v>
      </c>
      <c r="E7868" t="s">
        <v>277</v>
      </c>
      <c r="F7868" t="s">
        <v>279</v>
      </c>
      <c r="G7868">
        <v>12.58</v>
      </c>
      <c r="H7868">
        <v>251013</v>
      </c>
      <c r="I7868">
        <v>4600</v>
      </c>
      <c r="J7868" t="s">
        <v>278</v>
      </c>
      <c r="K7868">
        <v>528.77</v>
      </c>
      <c r="L7868">
        <v>2.56</v>
      </c>
      <c r="M7868">
        <v>54451</v>
      </c>
      <c r="N7868" t="s">
        <v>218</v>
      </c>
      <c r="O7868">
        <v>251020</v>
      </c>
      <c r="P7868">
        <v>10.02</v>
      </c>
    </row>
    <row r="7869" spans="1:16" x14ac:dyDescent="0.25">
      <c r="A7869" t="s">
        <v>3296</v>
      </c>
      <c r="B7869" t="s">
        <v>2931</v>
      </c>
      <c r="C7869">
        <v>13834</v>
      </c>
      <c r="D7869" t="str">
        <f>"2560952098  "</f>
        <v xml:space="preserve">2560952098  </v>
      </c>
      <c r="E7869" t="s">
        <v>277</v>
      </c>
      <c r="F7869" t="s">
        <v>279</v>
      </c>
      <c r="G7869">
        <v>24.59</v>
      </c>
      <c r="H7869">
        <v>251013</v>
      </c>
      <c r="I7869">
        <v>4600</v>
      </c>
      <c r="J7869" t="s">
        <v>278</v>
      </c>
      <c r="K7869">
        <v>1293.53</v>
      </c>
      <c r="L7869">
        <v>5</v>
      </c>
      <c r="M7869">
        <v>69112</v>
      </c>
      <c r="N7869" t="s">
        <v>227</v>
      </c>
      <c r="O7869">
        <v>251020</v>
      </c>
      <c r="P7869">
        <v>19.59</v>
      </c>
    </row>
    <row r="7870" spans="1:16" x14ac:dyDescent="0.25">
      <c r="A7870" t="s">
        <v>3296</v>
      </c>
      <c r="B7870" t="s">
        <v>2931</v>
      </c>
      <c r="C7870">
        <v>13834</v>
      </c>
      <c r="D7870" t="str">
        <f>"2560952098  "</f>
        <v xml:space="preserve">2560952098  </v>
      </c>
      <c r="E7870" t="s">
        <v>277</v>
      </c>
      <c r="F7870" t="s">
        <v>279</v>
      </c>
      <c r="G7870">
        <v>1.37</v>
      </c>
      <c r="H7870">
        <v>251013</v>
      </c>
      <c r="I7870">
        <v>4600</v>
      </c>
      <c r="J7870" t="s">
        <v>278</v>
      </c>
      <c r="K7870">
        <v>1293.53</v>
      </c>
      <c r="L7870">
        <v>0.28000000000000003</v>
      </c>
      <c r="M7870">
        <v>69810</v>
      </c>
      <c r="N7870" t="s">
        <v>229</v>
      </c>
      <c r="O7870">
        <v>251020</v>
      </c>
      <c r="P7870">
        <v>1.0900000000000001</v>
      </c>
    </row>
    <row r="7871" spans="1:16" x14ac:dyDescent="0.25">
      <c r="A7871" t="s">
        <v>3296</v>
      </c>
      <c r="B7871" t="s">
        <v>2931</v>
      </c>
      <c r="C7871">
        <v>13834</v>
      </c>
      <c r="D7871" t="str">
        <f>"2560952098  "</f>
        <v xml:space="preserve">2560952098  </v>
      </c>
      <c r="E7871" t="s">
        <v>277</v>
      </c>
      <c r="F7871" t="s">
        <v>279</v>
      </c>
      <c r="G7871">
        <v>1.36</v>
      </c>
      <c r="H7871">
        <v>251013</v>
      </c>
      <c r="I7871">
        <v>4600</v>
      </c>
      <c r="J7871" t="s">
        <v>278</v>
      </c>
      <c r="K7871">
        <v>1293.53</v>
      </c>
      <c r="L7871">
        <v>0.28000000000000003</v>
      </c>
      <c r="M7871">
        <v>69811</v>
      </c>
      <c r="N7871" t="s">
        <v>230</v>
      </c>
      <c r="O7871">
        <v>251020</v>
      </c>
      <c r="P7871">
        <v>1.08</v>
      </c>
    </row>
    <row r="7872" spans="1:16" x14ac:dyDescent="0.25">
      <c r="A7872" t="s">
        <v>3296</v>
      </c>
      <c r="B7872" t="s">
        <v>2931</v>
      </c>
      <c r="C7872">
        <v>13951</v>
      </c>
      <c r="D7872" t="str">
        <f>"2560952093  "</f>
        <v xml:space="preserve">2560952093  </v>
      </c>
      <c r="E7872" t="s">
        <v>277</v>
      </c>
      <c r="F7872" t="s">
        <v>279</v>
      </c>
      <c r="G7872">
        <v>12.6</v>
      </c>
      <c r="H7872">
        <v>251013</v>
      </c>
      <c r="I7872">
        <v>4600</v>
      </c>
      <c r="J7872" t="s">
        <v>278</v>
      </c>
      <c r="K7872">
        <v>2383.66</v>
      </c>
      <c r="L7872">
        <v>2.56</v>
      </c>
      <c r="M7872">
        <v>69113</v>
      </c>
      <c r="N7872" t="s">
        <v>122</v>
      </c>
      <c r="O7872">
        <v>251021</v>
      </c>
      <c r="P7872">
        <v>10.039999999999999</v>
      </c>
    </row>
    <row r="7873" spans="1:16" x14ac:dyDescent="0.25">
      <c r="A7873" t="s">
        <v>3296</v>
      </c>
      <c r="B7873" t="s">
        <v>2931</v>
      </c>
      <c r="C7873">
        <v>14035</v>
      </c>
      <c r="D7873" t="str">
        <f>"2560970346  "</f>
        <v xml:space="preserve">2560970346  </v>
      </c>
      <c r="E7873" t="s">
        <v>277</v>
      </c>
      <c r="F7873" t="s">
        <v>279</v>
      </c>
      <c r="G7873">
        <v>125.24</v>
      </c>
      <c r="H7873">
        <v>251020</v>
      </c>
      <c r="I7873">
        <v>4600</v>
      </c>
      <c r="J7873" t="s">
        <v>278</v>
      </c>
      <c r="K7873">
        <v>1330.06</v>
      </c>
      <c r="L7873">
        <v>25.45</v>
      </c>
      <c r="M7873">
        <v>54451</v>
      </c>
      <c r="N7873" t="s">
        <v>218</v>
      </c>
      <c r="O7873">
        <v>251022</v>
      </c>
      <c r="P7873">
        <v>99.79</v>
      </c>
    </row>
    <row r="7874" spans="1:16" x14ac:dyDescent="0.25">
      <c r="A7874" t="s">
        <v>3296</v>
      </c>
      <c r="B7874" t="s">
        <v>2931</v>
      </c>
      <c r="C7874">
        <v>14040</v>
      </c>
      <c r="D7874" t="str">
        <f>"2560970355  "</f>
        <v xml:space="preserve">2560970355  </v>
      </c>
      <c r="E7874" t="s">
        <v>277</v>
      </c>
      <c r="F7874" t="s">
        <v>279</v>
      </c>
      <c r="G7874">
        <v>-56.81</v>
      </c>
      <c r="H7874">
        <v>251020</v>
      </c>
      <c r="I7874">
        <v>4600</v>
      </c>
      <c r="J7874" t="s">
        <v>278</v>
      </c>
      <c r="K7874">
        <v>1699.23</v>
      </c>
      <c r="L7874">
        <v>-11.54</v>
      </c>
      <c r="M7874">
        <v>69112</v>
      </c>
      <c r="N7874" t="s">
        <v>227</v>
      </c>
      <c r="O7874">
        <v>251022</v>
      </c>
      <c r="P7874">
        <v>-45.27</v>
      </c>
    </row>
    <row r="7875" spans="1:16" x14ac:dyDescent="0.25">
      <c r="A7875" t="s">
        <v>3296</v>
      </c>
      <c r="B7875" t="s">
        <v>2931</v>
      </c>
      <c r="C7875">
        <v>14040</v>
      </c>
      <c r="D7875" t="str">
        <f>"2560970355  "</f>
        <v xml:space="preserve">2560970355  </v>
      </c>
      <c r="E7875" t="s">
        <v>277</v>
      </c>
      <c r="F7875" t="s">
        <v>279</v>
      </c>
      <c r="G7875">
        <v>-3.15</v>
      </c>
      <c r="H7875">
        <v>251020</v>
      </c>
      <c r="I7875">
        <v>4600</v>
      </c>
      <c r="J7875" t="s">
        <v>278</v>
      </c>
      <c r="K7875">
        <v>1699.23</v>
      </c>
      <c r="L7875">
        <v>-0.64</v>
      </c>
      <c r="M7875">
        <v>69810</v>
      </c>
      <c r="N7875" t="s">
        <v>229</v>
      </c>
      <c r="O7875">
        <v>251022</v>
      </c>
      <c r="P7875">
        <v>-2.5099999999999998</v>
      </c>
    </row>
    <row r="7876" spans="1:16" x14ac:dyDescent="0.25">
      <c r="A7876" t="s">
        <v>3296</v>
      </c>
      <c r="B7876" t="s">
        <v>2931</v>
      </c>
      <c r="C7876">
        <v>14040</v>
      </c>
      <c r="D7876" t="str">
        <f>"2560970355  "</f>
        <v xml:space="preserve">2560970355  </v>
      </c>
      <c r="E7876" t="s">
        <v>277</v>
      </c>
      <c r="F7876" t="s">
        <v>279</v>
      </c>
      <c r="G7876">
        <v>-3.15</v>
      </c>
      <c r="H7876">
        <v>251020</v>
      </c>
      <c r="I7876">
        <v>4600</v>
      </c>
      <c r="J7876" t="s">
        <v>278</v>
      </c>
      <c r="K7876">
        <v>1699.23</v>
      </c>
      <c r="L7876">
        <v>-0.64</v>
      </c>
      <c r="M7876">
        <v>69811</v>
      </c>
      <c r="N7876" t="s">
        <v>230</v>
      </c>
      <c r="O7876">
        <v>251022</v>
      </c>
      <c r="P7876">
        <v>-2.5099999999999998</v>
      </c>
    </row>
    <row r="7877" spans="1:16" x14ac:dyDescent="0.25">
      <c r="A7877" t="s">
        <v>3296</v>
      </c>
      <c r="B7877" t="s">
        <v>2931</v>
      </c>
      <c r="C7877">
        <v>14100</v>
      </c>
      <c r="D7877" t="str">
        <f>"2560970347  "</f>
        <v xml:space="preserve">2560970347  </v>
      </c>
      <c r="E7877" t="s">
        <v>277</v>
      </c>
      <c r="F7877" t="s">
        <v>279</v>
      </c>
      <c r="G7877">
        <v>90.17</v>
      </c>
      <c r="H7877">
        <v>251020</v>
      </c>
      <c r="I7877">
        <v>4600</v>
      </c>
      <c r="J7877" t="s">
        <v>278</v>
      </c>
      <c r="K7877">
        <v>2368.86</v>
      </c>
      <c r="L7877">
        <v>18.32</v>
      </c>
      <c r="M7877">
        <v>59113</v>
      </c>
      <c r="N7877" t="s">
        <v>61</v>
      </c>
      <c r="O7877">
        <v>251024</v>
      </c>
      <c r="P7877">
        <v>71.849999999999994</v>
      </c>
    </row>
    <row r="7878" spans="1:16" x14ac:dyDescent="0.25">
      <c r="A7878" t="s">
        <v>3296</v>
      </c>
      <c r="B7878" t="s">
        <v>2931</v>
      </c>
      <c r="C7878">
        <v>14102</v>
      </c>
      <c r="D7878" t="str">
        <f>"2560970345  "</f>
        <v xml:space="preserve">2560970345  </v>
      </c>
      <c r="E7878" t="s">
        <v>277</v>
      </c>
      <c r="F7878" t="s">
        <v>279</v>
      </c>
      <c r="G7878">
        <v>18.89</v>
      </c>
      <c r="H7878">
        <v>251020</v>
      </c>
      <c r="I7878">
        <v>4600</v>
      </c>
      <c r="J7878" t="s">
        <v>278</v>
      </c>
      <c r="K7878">
        <v>666.79</v>
      </c>
      <c r="L7878">
        <v>3.84</v>
      </c>
      <c r="M7878">
        <v>59114</v>
      </c>
      <c r="N7878" t="s">
        <v>299</v>
      </c>
      <c r="O7878">
        <v>251024</v>
      </c>
      <c r="P7878">
        <v>15.05</v>
      </c>
    </row>
    <row r="7879" spans="1:16" x14ac:dyDescent="0.25">
      <c r="A7879" t="s">
        <v>3296</v>
      </c>
      <c r="B7879" t="s">
        <v>2931</v>
      </c>
      <c r="C7879">
        <v>14135</v>
      </c>
      <c r="D7879" t="str">
        <f>"2560952095  "</f>
        <v xml:space="preserve">2560952095  </v>
      </c>
      <c r="E7879" t="s">
        <v>277</v>
      </c>
      <c r="F7879" t="s">
        <v>279</v>
      </c>
      <c r="G7879">
        <v>26.08</v>
      </c>
      <c r="H7879">
        <v>251013</v>
      </c>
      <c r="I7879">
        <v>4600</v>
      </c>
      <c r="J7879" t="s">
        <v>278</v>
      </c>
      <c r="K7879">
        <v>1254.53</v>
      </c>
      <c r="L7879">
        <v>5.3</v>
      </c>
      <c r="M7879">
        <v>44222</v>
      </c>
      <c r="N7879" t="s">
        <v>96</v>
      </c>
      <c r="O7879">
        <v>251024</v>
      </c>
      <c r="P7879">
        <v>20.78</v>
      </c>
    </row>
    <row r="7880" spans="1:16" x14ac:dyDescent="0.25">
      <c r="A7880" t="s">
        <v>3296</v>
      </c>
      <c r="B7880" t="s">
        <v>2931</v>
      </c>
      <c r="C7880">
        <v>14136</v>
      </c>
      <c r="D7880" t="str">
        <f>"2560970351  "</f>
        <v xml:space="preserve">2560970351  </v>
      </c>
      <c r="E7880" t="s">
        <v>277</v>
      </c>
      <c r="F7880" t="s">
        <v>279</v>
      </c>
      <c r="G7880">
        <v>6</v>
      </c>
      <c r="H7880">
        <v>251020</v>
      </c>
      <c r="I7880">
        <v>4600</v>
      </c>
      <c r="J7880" t="s">
        <v>278</v>
      </c>
      <c r="K7880">
        <v>316.44</v>
      </c>
      <c r="L7880">
        <v>1.22</v>
      </c>
      <c r="M7880">
        <v>44252</v>
      </c>
      <c r="N7880" t="s">
        <v>217</v>
      </c>
      <c r="O7880">
        <v>251024</v>
      </c>
      <c r="P7880">
        <v>4.78</v>
      </c>
    </row>
    <row r="7881" spans="1:16" x14ac:dyDescent="0.25">
      <c r="A7881" t="s">
        <v>3296</v>
      </c>
      <c r="B7881" t="s">
        <v>2931</v>
      </c>
      <c r="C7881">
        <v>14137</v>
      </c>
      <c r="D7881" t="str">
        <f>"2560970354  "</f>
        <v xml:space="preserve">2560970354  </v>
      </c>
      <c r="E7881" t="s">
        <v>277</v>
      </c>
      <c r="F7881" t="s">
        <v>279</v>
      </c>
      <c r="G7881">
        <v>15.9</v>
      </c>
      <c r="H7881">
        <v>251020</v>
      </c>
      <c r="I7881">
        <v>4600</v>
      </c>
      <c r="J7881" t="s">
        <v>278</v>
      </c>
      <c r="K7881">
        <v>413.63</v>
      </c>
      <c r="L7881">
        <v>3.23</v>
      </c>
      <c r="M7881">
        <v>44253</v>
      </c>
      <c r="N7881" t="s">
        <v>403</v>
      </c>
      <c r="O7881">
        <v>251024</v>
      </c>
      <c r="P7881">
        <v>12.67</v>
      </c>
    </row>
    <row r="7882" spans="1:16" x14ac:dyDescent="0.25">
      <c r="A7882" t="s">
        <v>3296</v>
      </c>
      <c r="B7882" t="s">
        <v>2931</v>
      </c>
      <c r="C7882">
        <v>14204</v>
      </c>
      <c r="D7882" t="str">
        <f>"2560970349  "</f>
        <v xml:space="preserve">2560970349  </v>
      </c>
      <c r="E7882" t="s">
        <v>277</v>
      </c>
      <c r="F7882" t="s">
        <v>279</v>
      </c>
      <c r="G7882">
        <v>12.58</v>
      </c>
      <c r="H7882">
        <v>251020</v>
      </c>
      <c r="I7882">
        <v>4600</v>
      </c>
      <c r="J7882" t="s">
        <v>278</v>
      </c>
      <c r="K7882">
        <v>1435.59</v>
      </c>
      <c r="L7882">
        <v>2.56</v>
      </c>
      <c r="M7882">
        <v>49112</v>
      </c>
      <c r="N7882" t="s">
        <v>109</v>
      </c>
      <c r="O7882">
        <v>251027</v>
      </c>
      <c r="P7882">
        <v>10.02</v>
      </c>
    </row>
    <row r="7883" spans="1:16" x14ac:dyDescent="0.25">
      <c r="A7883" t="s">
        <v>3296</v>
      </c>
      <c r="B7883" t="s">
        <v>2931</v>
      </c>
      <c r="C7883">
        <v>14310</v>
      </c>
      <c r="D7883" t="str">
        <f>"2560985133  "</f>
        <v xml:space="preserve">2560985133  </v>
      </c>
      <c r="E7883" t="s">
        <v>277</v>
      </c>
      <c r="F7883" t="s">
        <v>279</v>
      </c>
      <c r="G7883">
        <v>3.6</v>
      </c>
      <c r="H7883">
        <v>251027</v>
      </c>
      <c r="I7883">
        <v>4600</v>
      </c>
      <c r="J7883" t="s">
        <v>278</v>
      </c>
      <c r="K7883">
        <v>397.41</v>
      </c>
      <c r="L7883">
        <v>0.73</v>
      </c>
      <c r="M7883">
        <v>44253</v>
      </c>
      <c r="N7883" t="s">
        <v>403</v>
      </c>
      <c r="O7883">
        <v>251029</v>
      </c>
      <c r="P7883">
        <v>2.87</v>
      </c>
    </row>
    <row r="7884" spans="1:16" x14ac:dyDescent="0.25">
      <c r="A7884" t="s">
        <v>3296</v>
      </c>
      <c r="B7884" t="s">
        <v>2931</v>
      </c>
      <c r="C7884">
        <v>14311</v>
      </c>
      <c r="D7884" t="str">
        <f>"2560985130  "</f>
        <v xml:space="preserve">2560985130  </v>
      </c>
      <c r="E7884" t="s">
        <v>277</v>
      </c>
      <c r="F7884" t="s">
        <v>279</v>
      </c>
      <c r="G7884">
        <v>20.97</v>
      </c>
      <c r="H7884">
        <v>251027</v>
      </c>
      <c r="I7884">
        <v>4600</v>
      </c>
      <c r="J7884" t="s">
        <v>278</v>
      </c>
      <c r="K7884">
        <v>924.95</v>
      </c>
      <c r="L7884">
        <v>4.26</v>
      </c>
      <c r="M7884">
        <v>44222</v>
      </c>
      <c r="N7884" t="s">
        <v>96</v>
      </c>
      <c r="O7884">
        <v>251029</v>
      </c>
      <c r="P7884">
        <v>16.71</v>
      </c>
    </row>
    <row r="7885" spans="1:16" x14ac:dyDescent="0.25">
      <c r="A7885" t="s">
        <v>3296</v>
      </c>
      <c r="B7885" t="s">
        <v>2931</v>
      </c>
      <c r="C7885">
        <v>14312</v>
      </c>
      <c r="D7885" t="str">
        <f>"2560985127  "</f>
        <v xml:space="preserve">2560985127  </v>
      </c>
      <c r="E7885" t="s">
        <v>277</v>
      </c>
      <c r="F7885" t="s">
        <v>279</v>
      </c>
      <c r="G7885">
        <v>12.58</v>
      </c>
      <c r="H7885">
        <v>251027</v>
      </c>
      <c r="I7885">
        <v>4600</v>
      </c>
      <c r="J7885" t="s">
        <v>278</v>
      </c>
      <c r="K7885">
        <v>1227.06</v>
      </c>
      <c r="L7885">
        <v>2.56</v>
      </c>
      <c r="M7885">
        <v>59113</v>
      </c>
      <c r="N7885" t="s">
        <v>61</v>
      </c>
      <c r="O7885">
        <v>251029</v>
      </c>
      <c r="P7885">
        <v>10.02</v>
      </c>
    </row>
    <row r="7886" spans="1:16" x14ac:dyDescent="0.25">
      <c r="A7886" t="s">
        <v>3296</v>
      </c>
      <c r="B7886" t="s">
        <v>2931</v>
      </c>
      <c r="C7886">
        <v>14313</v>
      </c>
      <c r="D7886" t="str">
        <f>"2560985125  "</f>
        <v xml:space="preserve">2560985125  </v>
      </c>
      <c r="E7886" t="s">
        <v>277</v>
      </c>
      <c r="F7886" t="s">
        <v>279</v>
      </c>
      <c r="G7886">
        <v>-10.18</v>
      </c>
      <c r="H7886">
        <v>251027</v>
      </c>
      <c r="I7886">
        <v>4600</v>
      </c>
      <c r="J7886" t="s">
        <v>278</v>
      </c>
      <c r="K7886">
        <v>632.23</v>
      </c>
      <c r="L7886">
        <v>-2.0699999999999998</v>
      </c>
      <c r="M7886">
        <v>59114</v>
      </c>
      <c r="N7886" t="s">
        <v>299</v>
      </c>
      <c r="O7886">
        <v>251029</v>
      </c>
      <c r="P7886">
        <v>-8.11</v>
      </c>
    </row>
    <row r="7887" spans="1:16" x14ac:dyDescent="0.25">
      <c r="A7887" t="s">
        <v>3296</v>
      </c>
      <c r="B7887" t="s">
        <v>2931</v>
      </c>
      <c r="C7887">
        <v>14313</v>
      </c>
      <c r="D7887" t="str">
        <f>"2560985125  "</f>
        <v xml:space="preserve">2560985125  </v>
      </c>
      <c r="E7887" t="s">
        <v>277</v>
      </c>
      <c r="F7887" t="s">
        <v>279</v>
      </c>
      <c r="G7887">
        <v>102.24</v>
      </c>
      <c r="H7887">
        <v>251027</v>
      </c>
      <c r="I7887">
        <v>4600</v>
      </c>
      <c r="J7887" t="s">
        <v>278</v>
      </c>
      <c r="K7887">
        <v>632.23</v>
      </c>
      <c r="L7887">
        <v>20.77</v>
      </c>
      <c r="M7887">
        <v>59114</v>
      </c>
      <c r="N7887" t="s">
        <v>299</v>
      </c>
      <c r="O7887">
        <v>251029</v>
      </c>
      <c r="P7887">
        <v>81.47</v>
      </c>
    </row>
    <row r="7888" spans="1:16" x14ac:dyDescent="0.25">
      <c r="A7888" t="s">
        <v>3296</v>
      </c>
      <c r="B7888" t="s">
        <v>2931</v>
      </c>
      <c r="C7888">
        <v>14347</v>
      </c>
      <c r="D7888" t="str">
        <f>"2560970348  "</f>
        <v xml:space="preserve">2560970348  </v>
      </c>
      <c r="E7888" t="s">
        <v>277</v>
      </c>
      <c r="F7888" t="s">
        <v>279</v>
      </c>
      <c r="G7888">
        <v>-23.9</v>
      </c>
      <c r="H7888">
        <v>251020</v>
      </c>
      <c r="I7888">
        <v>4600</v>
      </c>
      <c r="J7888" t="s">
        <v>278</v>
      </c>
      <c r="K7888">
        <v>1480.73</v>
      </c>
      <c r="L7888">
        <v>-4.8600000000000003</v>
      </c>
      <c r="M7888">
        <v>69113</v>
      </c>
      <c r="N7888" t="s">
        <v>122</v>
      </c>
      <c r="O7888">
        <v>251030</v>
      </c>
      <c r="P7888">
        <v>-19.04</v>
      </c>
    </row>
    <row r="7889" spans="1:16" x14ac:dyDescent="0.25">
      <c r="A7889" t="s">
        <v>3296</v>
      </c>
      <c r="B7889" t="s">
        <v>2931</v>
      </c>
      <c r="C7889">
        <v>14480</v>
      </c>
      <c r="D7889" t="str">
        <f>"2561028206  "</f>
        <v xml:space="preserve">2561028206  </v>
      </c>
      <c r="E7889" t="s">
        <v>277</v>
      </c>
      <c r="F7889" t="s">
        <v>279</v>
      </c>
      <c r="G7889">
        <v>18.89</v>
      </c>
      <c r="H7889">
        <v>251031</v>
      </c>
      <c r="I7889">
        <v>4600</v>
      </c>
      <c r="J7889" t="s">
        <v>278</v>
      </c>
      <c r="K7889">
        <v>505.48</v>
      </c>
      <c r="L7889">
        <v>3.84</v>
      </c>
      <c r="M7889">
        <v>59114</v>
      </c>
      <c r="N7889" t="s">
        <v>299</v>
      </c>
      <c r="O7889">
        <v>251103</v>
      </c>
      <c r="P7889">
        <v>15.05</v>
      </c>
    </row>
    <row r="7890" spans="1:16" x14ac:dyDescent="0.25">
      <c r="A7890" t="s">
        <v>3296</v>
      </c>
      <c r="B7890" t="s">
        <v>2931</v>
      </c>
      <c r="C7890">
        <v>14481</v>
      </c>
      <c r="D7890" t="str">
        <f>"2561028216  "</f>
        <v xml:space="preserve">2561028216  </v>
      </c>
      <c r="E7890" t="s">
        <v>277</v>
      </c>
      <c r="F7890" t="s">
        <v>279</v>
      </c>
      <c r="G7890">
        <v>16.989999999999998</v>
      </c>
      <c r="H7890">
        <v>251031</v>
      </c>
      <c r="I7890">
        <v>4600</v>
      </c>
      <c r="J7890" t="s">
        <v>278</v>
      </c>
      <c r="K7890">
        <v>1158.0999999999999</v>
      </c>
      <c r="L7890">
        <v>3.45</v>
      </c>
      <c r="M7890">
        <v>69112</v>
      </c>
      <c r="N7890" t="s">
        <v>227</v>
      </c>
      <c r="O7890">
        <v>251103</v>
      </c>
      <c r="P7890">
        <v>13.54</v>
      </c>
    </row>
    <row r="7891" spans="1:16" x14ac:dyDescent="0.25">
      <c r="A7891" t="s">
        <v>3296</v>
      </c>
      <c r="B7891" t="s">
        <v>2931</v>
      </c>
      <c r="C7891">
        <v>14481</v>
      </c>
      <c r="D7891" t="str">
        <f>"2561028216  "</f>
        <v xml:space="preserve">2561028216  </v>
      </c>
      <c r="E7891" t="s">
        <v>277</v>
      </c>
      <c r="F7891" t="s">
        <v>279</v>
      </c>
      <c r="G7891">
        <v>0.95</v>
      </c>
      <c r="H7891">
        <v>251031</v>
      </c>
      <c r="I7891">
        <v>4600</v>
      </c>
      <c r="J7891" t="s">
        <v>278</v>
      </c>
      <c r="K7891">
        <v>1158.0999999999999</v>
      </c>
      <c r="L7891">
        <v>0.19</v>
      </c>
      <c r="M7891">
        <v>69810</v>
      </c>
      <c r="N7891" t="s">
        <v>229</v>
      </c>
      <c r="O7891">
        <v>251103</v>
      </c>
      <c r="P7891">
        <v>0.76</v>
      </c>
    </row>
    <row r="7892" spans="1:16" x14ac:dyDescent="0.25">
      <c r="A7892" t="s">
        <v>3296</v>
      </c>
      <c r="B7892" t="s">
        <v>2931</v>
      </c>
      <c r="C7892">
        <v>14481</v>
      </c>
      <c r="D7892" t="str">
        <f>"2561028216  "</f>
        <v xml:space="preserve">2561028216  </v>
      </c>
      <c r="E7892" t="s">
        <v>277</v>
      </c>
      <c r="F7892" t="s">
        <v>279</v>
      </c>
      <c r="G7892">
        <v>0.94</v>
      </c>
      <c r="H7892">
        <v>251031</v>
      </c>
      <c r="I7892">
        <v>4600</v>
      </c>
      <c r="J7892" t="s">
        <v>278</v>
      </c>
      <c r="K7892">
        <v>1158.0999999999999</v>
      </c>
      <c r="L7892">
        <v>0.19</v>
      </c>
      <c r="M7892">
        <v>69811</v>
      </c>
      <c r="N7892" t="s">
        <v>230</v>
      </c>
      <c r="O7892">
        <v>251103</v>
      </c>
      <c r="P7892">
        <v>0.75</v>
      </c>
    </row>
    <row r="7893" spans="1:16" x14ac:dyDescent="0.25">
      <c r="A7893" t="s">
        <v>3296</v>
      </c>
      <c r="B7893" t="s">
        <v>2931</v>
      </c>
      <c r="C7893">
        <v>14489</v>
      </c>
      <c r="D7893" t="str">
        <f>"2561028208  "</f>
        <v xml:space="preserve">2561028208  </v>
      </c>
      <c r="E7893" t="s">
        <v>277</v>
      </c>
      <c r="F7893" t="s">
        <v>279</v>
      </c>
      <c r="G7893">
        <v>-12.6</v>
      </c>
      <c r="H7893">
        <v>251031</v>
      </c>
      <c r="I7893">
        <v>4600</v>
      </c>
      <c r="J7893" t="s">
        <v>278</v>
      </c>
      <c r="K7893">
        <v>2135.1799999999998</v>
      </c>
      <c r="L7893">
        <v>-2.56</v>
      </c>
      <c r="M7893">
        <v>59113</v>
      </c>
      <c r="N7893" t="s">
        <v>61</v>
      </c>
      <c r="O7893">
        <v>251103</v>
      </c>
      <c r="P7893">
        <v>-10.039999999999999</v>
      </c>
    </row>
    <row r="7894" spans="1:16" x14ac:dyDescent="0.25">
      <c r="A7894" t="s">
        <v>3296</v>
      </c>
      <c r="B7894" t="s">
        <v>2931</v>
      </c>
      <c r="C7894">
        <v>14489</v>
      </c>
      <c r="D7894" t="str">
        <f>"2561028208  "</f>
        <v xml:space="preserve">2561028208  </v>
      </c>
      <c r="E7894" t="s">
        <v>277</v>
      </c>
      <c r="F7894" t="s">
        <v>279</v>
      </c>
      <c r="G7894">
        <v>-25.13</v>
      </c>
      <c r="H7894">
        <v>251031</v>
      </c>
      <c r="I7894">
        <v>4600</v>
      </c>
      <c r="J7894" t="s">
        <v>278</v>
      </c>
      <c r="K7894">
        <v>2135.1799999999998</v>
      </c>
      <c r="L7894">
        <v>-5.1100000000000003</v>
      </c>
      <c r="M7894">
        <v>59113</v>
      </c>
      <c r="N7894" t="s">
        <v>61</v>
      </c>
      <c r="O7894">
        <v>251103</v>
      </c>
      <c r="P7894">
        <v>-20.02</v>
      </c>
    </row>
    <row r="7895" spans="1:16" x14ac:dyDescent="0.25">
      <c r="A7895" t="s">
        <v>3296</v>
      </c>
      <c r="B7895" t="s">
        <v>2931</v>
      </c>
      <c r="C7895">
        <v>14489</v>
      </c>
      <c r="D7895" t="str">
        <f>"2561028208  "</f>
        <v xml:space="preserve">2561028208  </v>
      </c>
      <c r="E7895" t="s">
        <v>277</v>
      </c>
      <c r="F7895" t="s">
        <v>279</v>
      </c>
      <c r="G7895">
        <v>135.41999999999999</v>
      </c>
      <c r="H7895">
        <v>251031</v>
      </c>
      <c r="I7895">
        <v>4600</v>
      </c>
      <c r="J7895" t="s">
        <v>278</v>
      </c>
      <c r="K7895">
        <v>2135.1799999999998</v>
      </c>
      <c r="L7895">
        <v>27.52</v>
      </c>
      <c r="M7895">
        <v>59113</v>
      </c>
      <c r="N7895" t="s">
        <v>61</v>
      </c>
      <c r="O7895">
        <v>251103</v>
      </c>
      <c r="P7895">
        <v>107.9</v>
      </c>
    </row>
    <row r="7896" spans="1:16" x14ac:dyDescent="0.25">
      <c r="A7896" t="s">
        <v>3296</v>
      </c>
      <c r="B7896" t="s">
        <v>2931</v>
      </c>
      <c r="C7896">
        <v>14548</v>
      </c>
      <c r="D7896" t="str">
        <f>"2560985126  "</f>
        <v xml:space="preserve">2560985126  </v>
      </c>
      <c r="E7896" t="s">
        <v>277</v>
      </c>
      <c r="F7896" t="s">
        <v>279</v>
      </c>
      <c r="G7896">
        <v>147.15</v>
      </c>
      <c r="H7896">
        <v>251027</v>
      </c>
      <c r="I7896">
        <v>4600</v>
      </c>
      <c r="J7896" t="s">
        <v>278</v>
      </c>
      <c r="K7896">
        <v>2943</v>
      </c>
      <c r="L7896">
        <v>29.9</v>
      </c>
      <c r="M7896">
        <v>54451</v>
      </c>
      <c r="N7896" t="s">
        <v>218</v>
      </c>
      <c r="O7896">
        <v>251104</v>
      </c>
      <c r="P7896">
        <v>117.25</v>
      </c>
    </row>
    <row r="7897" spans="1:16" x14ac:dyDescent="0.25">
      <c r="A7897" t="s">
        <v>3296</v>
      </c>
      <c r="B7897" t="s">
        <v>2931</v>
      </c>
      <c r="C7897">
        <v>14559</v>
      </c>
      <c r="D7897" t="str">
        <f>"2561028207  "</f>
        <v xml:space="preserve">2561028207  </v>
      </c>
      <c r="E7897" t="s">
        <v>277</v>
      </c>
      <c r="F7897" t="s">
        <v>279</v>
      </c>
      <c r="G7897">
        <v>-60.56</v>
      </c>
      <c r="H7897">
        <v>251031</v>
      </c>
      <c r="I7897">
        <v>4600</v>
      </c>
      <c r="J7897" t="s">
        <v>278</v>
      </c>
      <c r="K7897">
        <v>2258.34</v>
      </c>
      <c r="L7897">
        <v>-12.31</v>
      </c>
      <c r="M7897">
        <v>54451</v>
      </c>
      <c r="N7897" t="s">
        <v>218</v>
      </c>
      <c r="O7897">
        <v>251104</v>
      </c>
      <c r="P7897">
        <v>-48.25</v>
      </c>
    </row>
    <row r="7898" spans="1:16" x14ac:dyDescent="0.25">
      <c r="A7898" t="s">
        <v>3296</v>
      </c>
      <c r="B7898" t="s">
        <v>2931</v>
      </c>
      <c r="C7898">
        <v>14585</v>
      </c>
      <c r="D7898" t="str">
        <f>"2561028212  "</f>
        <v xml:space="preserve">2561028212  </v>
      </c>
      <c r="E7898" t="s">
        <v>277</v>
      </c>
      <c r="F7898" t="s">
        <v>279</v>
      </c>
      <c r="G7898">
        <v>102.46</v>
      </c>
      <c r="H7898">
        <v>251031</v>
      </c>
      <c r="I7898">
        <v>4600</v>
      </c>
      <c r="J7898" t="s">
        <v>278</v>
      </c>
      <c r="K7898">
        <v>1683.73</v>
      </c>
      <c r="L7898">
        <v>20.82</v>
      </c>
      <c r="M7898">
        <v>44222</v>
      </c>
      <c r="N7898" t="s">
        <v>96</v>
      </c>
      <c r="O7898">
        <v>251105</v>
      </c>
      <c r="P7898">
        <v>81.64</v>
      </c>
    </row>
    <row r="7899" spans="1:16" x14ac:dyDescent="0.25">
      <c r="A7899" t="s">
        <v>3296</v>
      </c>
      <c r="B7899" t="s">
        <v>2931</v>
      </c>
      <c r="C7899">
        <v>14679</v>
      </c>
      <c r="D7899" t="str">
        <f>"2560985128  "</f>
        <v xml:space="preserve">2560985128  </v>
      </c>
      <c r="E7899" t="s">
        <v>277</v>
      </c>
      <c r="F7899" t="s">
        <v>279</v>
      </c>
      <c r="G7899">
        <v>179.69</v>
      </c>
      <c r="H7899">
        <v>251027</v>
      </c>
      <c r="I7899">
        <v>4600</v>
      </c>
      <c r="J7899" t="s">
        <v>278</v>
      </c>
      <c r="K7899">
        <v>2476.27</v>
      </c>
      <c r="L7899">
        <v>36.51</v>
      </c>
      <c r="M7899">
        <v>49112</v>
      </c>
      <c r="N7899" t="s">
        <v>109</v>
      </c>
      <c r="O7899">
        <v>251106</v>
      </c>
      <c r="P7899">
        <v>143.18</v>
      </c>
    </row>
    <row r="7900" spans="1:16" x14ac:dyDescent="0.25">
      <c r="A7900" t="s">
        <v>3296</v>
      </c>
      <c r="B7900" t="s">
        <v>2931</v>
      </c>
      <c r="C7900">
        <v>14709</v>
      </c>
      <c r="D7900" t="str">
        <f>"2561028210  "</f>
        <v xml:space="preserve">2561028210  </v>
      </c>
      <c r="E7900" t="s">
        <v>277</v>
      </c>
      <c r="F7900" t="s">
        <v>279</v>
      </c>
      <c r="G7900">
        <v>-144.47999999999999</v>
      </c>
      <c r="H7900">
        <v>251031</v>
      </c>
      <c r="I7900">
        <v>4600</v>
      </c>
      <c r="J7900" t="s">
        <v>278</v>
      </c>
      <c r="K7900">
        <v>3640.06</v>
      </c>
      <c r="L7900">
        <v>-29.36</v>
      </c>
      <c r="M7900">
        <v>49112</v>
      </c>
      <c r="N7900" t="s">
        <v>109</v>
      </c>
      <c r="O7900">
        <v>251106</v>
      </c>
      <c r="P7900">
        <v>-115.12</v>
      </c>
    </row>
    <row r="7901" spans="1:16" x14ac:dyDescent="0.25">
      <c r="A7901" t="s">
        <v>3296</v>
      </c>
      <c r="B7901" t="s">
        <v>2931</v>
      </c>
      <c r="C7901">
        <v>15058</v>
      </c>
      <c r="D7901" t="str">
        <f>"2561028209  "</f>
        <v xml:space="preserve">2561028209  </v>
      </c>
      <c r="E7901" t="s">
        <v>277</v>
      </c>
      <c r="F7901" t="s">
        <v>279</v>
      </c>
      <c r="G7901">
        <v>149.72</v>
      </c>
      <c r="H7901">
        <v>251031</v>
      </c>
      <c r="I7901">
        <v>4600</v>
      </c>
      <c r="J7901" t="s">
        <v>278</v>
      </c>
      <c r="K7901">
        <v>2798.51</v>
      </c>
      <c r="L7901">
        <v>30.42</v>
      </c>
      <c r="M7901">
        <v>69113</v>
      </c>
      <c r="N7901" t="s">
        <v>122</v>
      </c>
      <c r="O7901">
        <v>251111</v>
      </c>
      <c r="P7901">
        <v>119.3</v>
      </c>
    </row>
    <row r="7902" spans="1:16" x14ac:dyDescent="0.25">
      <c r="A7902" t="s">
        <v>3296</v>
      </c>
      <c r="B7902" t="s">
        <v>2931</v>
      </c>
      <c r="C7902">
        <v>15058</v>
      </c>
      <c r="D7902" t="str">
        <f>"2561028209  "</f>
        <v xml:space="preserve">2561028209  </v>
      </c>
      <c r="E7902" t="s">
        <v>277</v>
      </c>
      <c r="F7902" t="s">
        <v>279</v>
      </c>
      <c r="G7902">
        <v>16.63</v>
      </c>
      <c r="H7902">
        <v>251031</v>
      </c>
      <c r="I7902">
        <v>4600</v>
      </c>
      <c r="J7902" t="s">
        <v>278</v>
      </c>
      <c r="K7902">
        <v>2798.51</v>
      </c>
      <c r="L7902">
        <v>3.38</v>
      </c>
      <c r="M7902">
        <v>69802</v>
      </c>
      <c r="N7902" t="s">
        <v>375</v>
      </c>
      <c r="O7902">
        <v>251111</v>
      </c>
      <c r="P7902">
        <v>13.25</v>
      </c>
    </row>
    <row r="7903" spans="1:16" x14ac:dyDescent="0.25">
      <c r="A7903" t="s">
        <v>3296</v>
      </c>
      <c r="B7903" t="s">
        <v>2931</v>
      </c>
      <c r="C7903">
        <v>15102</v>
      </c>
      <c r="D7903" t="str">
        <f>"2561048969  "</f>
        <v xml:space="preserve">2561048969  </v>
      </c>
      <c r="E7903" t="s">
        <v>277</v>
      </c>
      <c r="F7903" t="s">
        <v>279</v>
      </c>
      <c r="G7903">
        <v>11.32</v>
      </c>
      <c r="H7903">
        <v>251110</v>
      </c>
      <c r="I7903">
        <v>4600</v>
      </c>
      <c r="J7903" t="s">
        <v>278</v>
      </c>
      <c r="K7903">
        <v>673.63</v>
      </c>
      <c r="L7903">
        <v>2.2999999999999998</v>
      </c>
      <c r="M7903">
        <v>69112</v>
      </c>
      <c r="N7903" t="s">
        <v>227</v>
      </c>
      <c r="O7903">
        <v>251111</v>
      </c>
      <c r="P7903">
        <v>9.02</v>
      </c>
    </row>
    <row r="7904" spans="1:16" x14ac:dyDescent="0.25">
      <c r="A7904" t="s">
        <v>3296</v>
      </c>
      <c r="B7904" t="s">
        <v>2931</v>
      </c>
      <c r="C7904">
        <v>15102</v>
      </c>
      <c r="D7904" t="str">
        <f>"2561048969  "</f>
        <v xml:space="preserve">2561048969  </v>
      </c>
      <c r="E7904" t="s">
        <v>277</v>
      </c>
      <c r="F7904" t="s">
        <v>279</v>
      </c>
      <c r="G7904">
        <v>0.63</v>
      </c>
      <c r="H7904">
        <v>251110</v>
      </c>
      <c r="I7904">
        <v>4600</v>
      </c>
      <c r="J7904" t="s">
        <v>278</v>
      </c>
      <c r="K7904">
        <v>673.63</v>
      </c>
      <c r="L7904">
        <v>0.13</v>
      </c>
      <c r="M7904">
        <v>69810</v>
      </c>
      <c r="N7904" t="s">
        <v>229</v>
      </c>
      <c r="O7904">
        <v>251111</v>
      </c>
      <c r="P7904">
        <v>0.5</v>
      </c>
    </row>
    <row r="7905" spans="1:16" x14ac:dyDescent="0.25">
      <c r="A7905" t="s">
        <v>3296</v>
      </c>
      <c r="B7905" t="s">
        <v>2931</v>
      </c>
      <c r="C7905">
        <v>15102</v>
      </c>
      <c r="D7905" t="str">
        <f>"2561048969  "</f>
        <v xml:space="preserve">2561048969  </v>
      </c>
      <c r="E7905" t="s">
        <v>277</v>
      </c>
      <c r="F7905" t="s">
        <v>279</v>
      </c>
      <c r="G7905">
        <v>0.63</v>
      </c>
      <c r="H7905">
        <v>251110</v>
      </c>
      <c r="I7905">
        <v>4600</v>
      </c>
      <c r="J7905" t="s">
        <v>278</v>
      </c>
      <c r="K7905">
        <v>673.63</v>
      </c>
      <c r="L7905">
        <v>0.13</v>
      </c>
      <c r="M7905">
        <v>69811</v>
      </c>
      <c r="N7905" t="s">
        <v>230</v>
      </c>
      <c r="O7905">
        <v>251111</v>
      </c>
      <c r="P7905">
        <v>0.5</v>
      </c>
    </row>
    <row r="7906" spans="1:16" x14ac:dyDescent="0.25">
      <c r="A7906" t="s">
        <v>3296</v>
      </c>
      <c r="B7906" t="s">
        <v>2931</v>
      </c>
      <c r="C7906">
        <v>15119</v>
      </c>
      <c r="D7906" t="str">
        <f>"2561048960  "</f>
        <v xml:space="preserve">2561048960  </v>
      </c>
      <c r="E7906" t="s">
        <v>277</v>
      </c>
      <c r="F7906" t="s">
        <v>279</v>
      </c>
      <c r="G7906">
        <v>12.58</v>
      </c>
      <c r="H7906">
        <v>251110</v>
      </c>
      <c r="I7906">
        <v>4600</v>
      </c>
      <c r="J7906" t="s">
        <v>278</v>
      </c>
      <c r="K7906">
        <v>656.32</v>
      </c>
      <c r="L7906">
        <v>2.56</v>
      </c>
      <c r="M7906">
        <v>59114</v>
      </c>
      <c r="N7906" t="s">
        <v>299</v>
      </c>
      <c r="O7906">
        <v>251111</v>
      </c>
      <c r="P7906">
        <v>10.02</v>
      </c>
    </row>
    <row r="7907" spans="1:16" x14ac:dyDescent="0.25">
      <c r="A7907" t="s">
        <v>3296</v>
      </c>
      <c r="B7907" t="s">
        <v>2931</v>
      </c>
      <c r="C7907">
        <v>15120</v>
      </c>
      <c r="D7907" t="str">
        <f>"2561048962  "</f>
        <v xml:space="preserve">2561048962  </v>
      </c>
      <c r="E7907" t="s">
        <v>277</v>
      </c>
      <c r="F7907" t="s">
        <v>279</v>
      </c>
      <c r="G7907">
        <v>75.67</v>
      </c>
      <c r="H7907">
        <v>251110</v>
      </c>
      <c r="I7907">
        <v>4600</v>
      </c>
      <c r="J7907" t="s">
        <v>278</v>
      </c>
      <c r="K7907">
        <v>2921.53</v>
      </c>
      <c r="L7907">
        <v>15.38</v>
      </c>
      <c r="M7907">
        <v>59113</v>
      </c>
      <c r="N7907" t="s">
        <v>61</v>
      </c>
      <c r="O7907">
        <v>251111</v>
      </c>
      <c r="P7907">
        <v>60.29</v>
      </c>
    </row>
    <row r="7908" spans="1:16" x14ac:dyDescent="0.25">
      <c r="A7908" t="s">
        <v>3296</v>
      </c>
      <c r="B7908" t="s">
        <v>2931</v>
      </c>
      <c r="C7908">
        <v>15182</v>
      </c>
      <c r="D7908" t="str">
        <f>"2561048964  "</f>
        <v xml:space="preserve">2561048964  </v>
      </c>
      <c r="E7908" t="s">
        <v>277</v>
      </c>
      <c r="F7908" t="s">
        <v>279</v>
      </c>
      <c r="G7908">
        <v>220.75</v>
      </c>
      <c r="H7908">
        <v>251110</v>
      </c>
      <c r="I7908">
        <v>4600</v>
      </c>
      <c r="J7908" t="s">
        <v>278</v>
      </c>
      <c r="K7908">
        <v>2054.9499999999998</v>
      </c>
      <c r="L7908">
        <v>44.85</v>
      </c>
      <c r="M7908">
        <v>49112</v>
      </c>
      <c r="N7908" t="s">
        <v>109</v>
      </c>
      <c r="O7908">
        <v>251113</v>
      </c>
      <c r="P7908">
        <v>175.9</v>
      </c>
    </row>
    <row r="7909" spans="1:16" x14ac:dyDescent="0.25">
      <c r="A7909" t="s">
        <v>3296</v>
      </c>
      <c r="B7909" t="s">
        <v>2931</v>
      </c>
      <c r="C7909">
        <v>15185</v>
      </c>
      <c r="D7909" t="str">
        <f>"2561048961  "</f>
        <v xml:space="preserve">2561048961  </v>
      </c>
      <c r="E7909" t="s">
        <v>277</v>
      </c>
      <c r="F7909" t="s">
        <v>279</v>
      </c>
      <c r="G7909">
        <v>232.23</v>
      </c>
      <c r="H7909">
        <v>251110</v>
      </c>
      <c r="I7909">
        <v>4600</v>
      </c>
      <c r="J7909" t="s">
        <v>278</v>
      </c>
      <c r="K7909">
        <v>2874.65</v>
      </c>
      <c r="L7909">
        <v>47.19</v>
      </c>
      <c r="M7909">
        <v>54451</v>
      </c>
      <c r="N7909" t="s">
        <v>218</v>
      </c>
      <c r="O7909">
        <v>251113</v>
      </c>
      <c r="P7909">
        <v>185.04</v>
      </c>
    </row>
    <row r="7910" spans="1:16" x14ac:dyDescent="0.25">
      <c r="A7910" t="s">
        <v>3296</v>
      </c>
      <c r="B7910" t="s">
        <v>2931</v>
      </c>
      <c r="C7910">
        <v>15217</v>
      </c>
      <c r="D7910" t="str">
        <f>"2561048963  "</f>
        <v xml:space="preserve">2561048963  </v>
      </c>
      <c r="E7910" t="s">
        <v>277</v>
      </c>
      <c r="F7910" t="s">
        <v>279</v>
      </c>
      <c r="G7910">
        <v>136.44999999999999</v>
      </c>
      <c r="H7910">
        <v>251110</v>
      </c>
      <c r="I7910">
        <v>4600</v>
      </c>
      <c r="J7910" t="s">
        <v>278</v>
      </c>
      <c r="K7910">
        <v>3661.21</v>
      </c>
      <c r="L7910">
        <v>27.72</v>
      </c>
      <c r="M7910">
        <v>66722</v>
      </c>
      <c r="N7910" t="s">
        <v>118</v>
      </c>
      <c r="O7910">
        <v>251114</v>
      </c>
      <c r="P7910">
        <v>108.73</v>
      </c>
    </row>
    <row r="7911" spans="1:16" x14ac:dyDescent="0.25">
      <c r="A7911" t="s">
        <v>3296</v>
      </c>
      <c r="B7911" t="s">
        <v>2931</v>
      </c>
      <c r="C7911">
        <v>15217</v>
      </c>
      <c r="D7911" t="str">
        <f>"2561048963  "</f>
        <v xml:space="preserve">2561048963  </v>
      </c>
      <c r="E7911" t="s">
        <v>277</v>
      </c>
      <c r="F7911" t="s">
        <v>279</v>
      </c>
      <c r="G7911">
        <v>139.5</v>
      </c>
      <c r="H7911">
        <v>251110</v>
      </c>
      <c r="I7911">
        <v>4600</v>
      </c>
      <c r="J7911" t="s">
        <v>278</v>
      </c>
      <c r="K7911">
        <v>3661.21</v>
      </c>
      <c r="L7911">
        <v>28.34</v>
      </c>
      <c r="M7911">
        <v>69113</v>
      </c>
      <c r="N7911" t="s">
        <v>122</v>
      </c>
      <c r="O7911">
        <v>251114</v>
      </c>
      <c r="P7911">
        <v>111.16</v>
      </c>
    </row>
    <row r="7912" spans="1:16" x14ac:dyDescent="0.25">
      <c r="A7912" t="s">
        <v>3296</v>
      </c>
      <c r="B7912" t="s">
        <v>2931</v>
      </c>
      <c r="C7912">
        <v>15217</v>
      </c>
      <c r="D7912" t="str">
        <f>"2561048963  "</f>
        <v xml:space="preserve">2561048963  </v>
      </c>
      <c r="E7912" t="s">
        <v>277</v>
      </c>
      <c r="F7912" t="s">
        <v>279</v>
      </c>
      <c r="G7912">
        <v>15.5</v>
      </c>
      <c r="H7912">
        <v>251110</v>
      </c>
      <c r="I7912">
        <v>4600</v>
      </c>
      <c r="J7912" t="s">
        <v>278</v>
      </c>
      <c r="K7912">
        <v>3661.21</v>
      </c>
      <c r="L7912">
        <v>3.15</v>
      </c>
      <c r="M7912">
        <v>69802</v>
      </c>
      <c r="N7912" t="s">
        <v>375</v>
      </c>
      <c r="O7912">
        <v>251114</v>
      </c>
      <c r="P7912">
        <v>12.35</v>
      </c>
    </row>
    <row r="7913" spans="1:16" x14ac:dyDescent="0.25">
      <c r="A7913" t="s">
        <v>3296</v>
      </c>
      <c r="B7913" t="s">
        <v>2931</v>
      </c>
      <c r="C7913">
        <v>15235</v>
      </c>
      <c r="D7913" t="str">
        <f>"2561033886  "</f>
        <v xml:space="preserve">2561033886  </v>
      </c>
      <c r="E7913" t="s">
        <v>277</v>
      </c>
      <c r="F7913" t="s">
        <v>279</v>
      </c>
      <c r="G7913">
        <v>9.6</v>
      </c>
      <c r="H7913">
        <v>251103</v>
      </c>
      <c r="I7913">
        <v>4600</v>
      </c>
      <c r="J7913" t="s">
        <v>278</v>
      </c>
      <c r="K7913">
        <v>509.63</v>
      </c>
      <c r="L7913">
        <v>1.95</v>
      </c>
      <c r="M7913">
        <v>44253</v>
      </c>
      <c r="N7913" t="s">
        <v>403</v>
      </c>
      <c r="O7913">
        <v>251117</v>
      </c>
      <c r="P7913">
        <v>7.65</v>
      </c>
    </row>
    <row r="7914" spans="1:16" x14ac:dyDescent="0.25">
      <c r="A7914" t="s">
        <v>3296</v>
      </c>
      <c r="B7914" t="s">
        <v>2931</v>
      </c>
      <c r="C7914">
        <v>15251</v>
      </c>
      <c r="D7914" t="str">
        <f>"2561048966  "</f>
        <v xml:space="preserve">2561048966  </v>
      </c>
      <c r="E7914" t="s">
        <v>277</v>
      </c>
      <c r="F7914" t="s">
        <v>279</v>
      </c>
      <c r="G7914">
        <v>203.82</v>
      </c>
      <c r="H7914">
        <v>251110</v>
      </c>
      <c r="I7914">
        <v>4600</v>
      </c>
      <c r="J7914" t="s">
        <v>278</v>
      </c>
      <c r="K7914">
        <v>2278.23</v>
      </c>
      <c r="L7914">
        <v>41.41</v>
      </c>
      <c r="M7914">
        <v>44222</v>
      </c>
      <c r="N7914" t="s">
        <v>96</v>
      </c>
      <c r="O7914">
        <v>251117</v>
      </c>
      <c r="P7914">
        <v>162.41</v>
      </c>
    </row>
    <row r="7915" spans="1:16" x14ac:dyDescent="0.25">
      <c r="A7915" t="s">
        <v>3296</v>
      </c>
      <c r="B7915" t="s">
        <v>2931</v>
      </c>
      <c r="C7915">
        <v>15481</v>
      </c>
      <c r="D7915" t="str">
        <f>"2561066865  "</f>
        <v xml:space="preserve">2561066865  </v>
      </c>
      <c r="E7915" t="s">
        <v>277</v>
      </c>
      <c r="F7915" t="s">
        <v>279</v>
      </c>
      <c r="G7915">
        <v>210.75</v>
      </c>
      <c r="H7915">
        <v>251117</v>
      </c>
      <c r="I7915">
        <v>4600</v>
      </c>
      <c r="J7915" t="s">
        <v>278</v>
      </c>
      <c r="K7915">
        <v>1436.79</v>
      </c>
      <c r="L7915">
        <v>42.82</v>
      </c>
      <c r="M7915">
        <v>69112</v>
      </c>
      <c r="N7915" t="s">
        <v>227</v>
      </c>
      <c r="O7915">
        <v>251121</v>
      </c>
      <c r="P7915">
        <v>167.93</v>
      </c>
    </row>
    <row r="7916" spans="1:16" x14ac:dyDescent="0.25">
      <c r="A7916" t="s">
        <v>3296</v>
      </c>
      <c r="B7916" t="s">
        <v>2931</v>
      </c>
      <c r="C7916">
        <v>15481</v>
      </c>
      <c r="D7916" t="str">
        <f>"2561066865  "</f>
        <v xml:space="preserve">2561066865  </v>
      </c>
      <c r="E7916" t="s">
        <v>277</v>
      </c>
      <c r="F7916" t="s">
        <v>279</v>
      </c>
      <c r="G7916">
        <v>11.71</v>
      </c>
      <c r="H7916">
        <v>251117</v>
      </c>
      <c r="I7916">
        <v>4600</v>
      </c>
      <c r="J7916" t="s">
        <v>278</v>
      </c>
      <c r="K7916">
        <v>1436.79</v>
      </c>
      <c r="L7916">
        <v>2.38</v>
      </c>
      <c r="M7916">
        <v>69810</v>
      </c>
      <c r="N7916" t="s">
        <v>229</v>
      </c>
      <c r="O7916">
        <v>251121</v>
      </c>
      <c r="P7916">
        <v>9.33</v>
      </c>
    </row>
    <row r="7917" spans="1:16" x14ac:dyDescent="0.25">
      <c r="A7917" t="s">
        <v>3296</v>
      </c>
      <c r="B7917" t="s">
        <v>2931</v>
      </c>
      <c r="C7917">
        <v>15481</v>
      </c>
      <c r="D7917" t="str">
        <f>"2561066865  "</f>
        <v xml:space="preserve">2561066865  </v>
      </c>
      <c r="E7917" t="s">
        <v>277</v>
      </c>
      <c r="F7917" t="s">
        <v>279</v>
      </c>
      <c r="G7917">
        <v>11.71</v>
      </c>
      <c r="H7917">
        <v>251117</v>
      </c>
      <c r="I7917">
        <v>4600</v>
      </c>
      <c r="J7917" t="s">
        <v>278</v>
      </c>
      <c r="K7917">
        <v>1436.79</v>
      </c>
      <c r="L7917">
        <v>2.38</v>
      </c>
      <c r="M7917">
        <v>69811</v>
      </c>
      <c r="N7917" t="s">
        <v>230</v>
      </c>
      <c r="O7917">
        <v>251121</v>
      </c>
      <c r="P7917">
        <v>9.33</v>
      </c>
    </row>
    <row r="7918" spans="1:16" x14ac:dyDescent="0.25">
      <c r="A7918" t="s">
        <v>3296</v>
      </c>
      <c r="B7918" t="s">
        <v>2931</v>
      </c>
      <c r="C7918">
        <v>15486</v>
      </c>
      <c r="D7918" t="str">
        <f>"2561066864  "</f>
        <v xml:space="preserve">2561066864  </v>
      </c>
      <c r="E7918" t="s">
        <v>277</v>
      </c>
      <c r="F7918" t="s">
        <v>279</v>
      </c>
      <c r="G7918">
        <v>177.78</v>
      </c>
      <c r="H7918">
        <v>251117</v>
      </c>
      <c r="I7918">
        <v>4600</v>
      </c>
      <c r="J7918" t="s">
        <v>278</v>
      </c>
      <c r="K7918">
        <v>1077.7</v>
      </c>
      <c r="L7918">
        <v>36.119999999999997</v>
      </c>
      <c r="M7918">
        <v>44253</v>
      </c>
      <c r="N7918" t="s">
        <v>403</v>
      </c>
      <c r="O7918">
        <v>251121</v>
      </c>
      <c r="P7918">
        <v>141.66</v>
      </c>
    </row>
    <row r="7919" spans="1:16" x14ac:dyDescent="0.25">
      <c r="A7919" t="s">
        <v>3296</v>
      </c>
      <c r="B7919" t="s">
        <v>2931</v>
      </c>
      <c r="C7919">
        <v>15560</v>
      </c>
      <c r="D7919" t="str">
        <f>"2561066857  "</f>
        <v xml:space="preserve">2561066857  </v>
      </c>
      <c r="E7919" t="s">
        <v>277</v>
      </c>
      <c r="F7919" t="s">
        <v>279</v>
      </c>
      <c r="G7919">
        <v>-11.38</v>
      </c>
      <c r="H7919">
        <v>251117</v>
      </c>
      <c r="I7919">
        <v>4600</v>
      </c>
      <c r="J7919" t="s">
        <v>278</v>
      </c>
      <c r="K7919">
        <v>1864.48</v>
      </c>
      <c r="L7919">
        <v>-2.31</v>
      </c>
      <c r="M7919">
        <v>69113</v>
      </c>
      <c r="N7919" t="s">
        <v>122</v>
      </c>
      <c r="O7919">
        <v>251121</v>
      </c>
      <c r="P7919">
        <v>-9.07</v>
      </c>
    </row>
    <row r="7920" spans="1:16" x14ac:dyDescent="0.25">
      <c r="A7920" t="s">
        <v>3296</v>
      </c>
      <c r="B7920" t="s">
        <v>2931</v>
      </c>
      <c r="C7920">
        <v>15620</v>
      </c>
      <c r="D7920" t="str">
        <f>"2561066858  "</f>
        <v xml:space="preserve">2561066858  </v>
      </c>
      <c r="E7920" t="s">
        <v>277</v>
      </c>
      <c r="F7920" t="s">
        <v>279</v>
      </c>
      <c r="G7920">
        <v>202.64</v>
      </c>
      <c r="H7920">
        <v>251117</v>
      </c>
      <c r="I7920">
        <v>4600</v>
      </c>
      <c r="J7920" t="s">
        <v>278</v>
      </c>
      <c r="K7920">
        <v>2700.56</v>
      </c>
      <c r="L7920">
        <v>41.17</v>
      </c>
      <c r="M7920">
        <v>49112</v>
      </c>
      <c r="N7920" t="s">
        <v>109</v>
      </c>
      <c r="O7920">
        <v>251124</v>
      </c>
      <c r="P7920">
        <v>161.47</v>
      </c>
    </row>
    <row r="7921" spans="1:16" x14ac:dyDescent="0.25">
      <c r="A7921" t="s">
        <v>3296</v>
      </c>
      <c r="B7921" t="s">
        <v>2931</v>
      </c>
      <c r="C7921">
        <v>15649</v>
      </c>
      <c r="D7921" t="str">
        <f>"2561066855  "</f>
        <v xml:space="preserve">2561066855  </v>
      </c>
      <c r="E7921" t="s">
        <v>277</v>
      </c>
      <c r="F7921" t="s">
        <v>279</v>
      </c>
      <c r="G7921">
        <v>177.47</v>
      </c>
      <c r="H7921">
        <v>251117</v>
      </c>
      <c r="I7921">
        <v>4600</v>
      </c>
      <c r="J7921" t="s">
        <v>278</v>
      </c>
      <c r="K7921">
        <v>2781.77</v>
      </c>
      <c r="L7921">
        <v>36.06</v>
      </c>
      <c r="M7921">
        <v>54451</v>
      </c>
      <c r="N7921" t="s">
        <v>218</v>
      </c>
      <c r="O7921">
        <v>251124</v>
      </c>
      <c r="P7921">
        <v>141.41</v>
      </c>
    </row>
    <row r="7922" spans="1:16" x14ac:dyDescent="0.25">
      <c r="A7922" t="s">
        <v>3296</v>
      </c>
      <c r="B7922" t="s">
        <v>2931</v>
      </c>
      <c r="C7922">
        <v>15653</v>
      </c>
      <c r="D7922" t="str">
        <f>"2561066856  "</f>
        <v xml:space="preserve">2561066856  </v>
      </c>
      <c r="E7922" t="s">
        <v>277</v>
      </c>
      <c r="F7922" t="s">
        <v>279</v>
      </c>
      <c r="G7922">
        <v>25.15</v>
      </c>
      <c r="H7922">
        <v>251117</v>
      </c>
      <c r="I7922">
        <v>4600</v>
      </c>
      <c r="J7922" t="s">
        <v>278</v>
      </c>
      <c r="K7922">
        <v>3400.14</v>
      </c>
      <c r="L7922">
        <v>5.1100000000000003</v>
      </c>
      <c r="M7922">
        <v>59113</v>
      </c>
      <c r="N7922" t="s">
        <v>61</v>
      </c>
      <c r="O7922">
        <v>251124</v>
      </c>
      <c r="P7922">
        <v>20.04</v>
      </c>
    </row>
    <row r="7923" spans="1:16" x14ac:dyDescent="0.25">
      <c r="A7923" t="s">
        <v>3296</v>
      </c>
      <c r="B7923" t="s">
        <v>2931</v>
      </c>
      <c r="C7923">
        <v>15654</v>
      </c>
      <c r="D7923" t="str">
        <f>"2561066854  "</f>
        <v xml:space="preserve">2561066854  </v>
      </c>
      <c r="E7923" t="s">
        <v>277</v>
      </c>
      <c r="F7923" t="s">
        <v>279</v>
      </c>
      <c r="G7923">
        <v>-12.57</v>
      </c>
      <c r="H7923">
        <v>251117</v>
      </c>
      <c r="I7923">
        <v>4600</v>
      </c>
      <c r="J7923" t="s">
        <v>278</v>
      </c>
      <c r="K7923">
        <v>852.76</v>
      </c>
      <c r="L7923">
        <v>-2.5499999999999998</v>
      </c>
      <c r="M7923">
        <v>59114</v>
      </c>
      <c r="N7923" t="s">
        <v>299</v>
      </c>
      <c r="O7923">
        <v>251124</v>
      </c>
      <c r="P7923">
        <v>-10.02</v>
      </c>
    </row>
    <row r="7924" spans="1:16" x14ac:dyDescent="0.25">
      <c r="A7924" t="s">
        <v>3296</v>
      </c>
      <c r="B7924" t="s">
        <v>2931</v>
      </c>
      <c r="C7924">
        <v>15720</v>
      </c>
      <c r="D7924" t="str">
        <f>"2561083807  "</f>
        <v xml:space="preserve">2561083807  </v>
      </c>
      <c r="E7924" t="s">
        <v>277</v>
      </c>
      <c r="F7924" t="s">
        <v>279</v>
      </c>
      <c r="G7924">
        <v>68.27</v>
      </c>
      <c r="H7924">
        <v>251124</v>
      </c>
      <c r="I7924">
        <v>4600</v>
      </c>
      <c r="J7924" t="s">
        <v>278</v>
      </c>
      <c r="K7924">
        <v>1299.97</v>
      </c>
      <c r="L7924">
        <v>13.87</v>
      </c>
      <c r="M7924">
        <v>69112</v>
      </c>
      <c r="N7924" t="s">
        <v>227</v>
      </c>
      <c r="O7924">
        <v>251125</v>
      </c>
      <c r="P7924">
        <v>54.4</v>
      </c>
    </row>
    <row r="7925" spans="1:16" x14ac:dyDescent="0.25">
      <c r="A7925" t="s">
        <v>3296</v>
      </c>
      <c r="B7925" t="s">
        <v>2931</v>
      </c>
      <c r="C7925">
        <v>15720</v>
      </c>
      <c r="D7925" t="str">
        <f>"2561083807  "</f>
        <v xml:space="preserve">2561083807  </v>
      </c>
      <c r="E7925" t="s">
        <v>277</v>
      </c>
      <c r="F7925" t="s">
        <v>279</v>
      </c>
      <c r="G7925">
        <v>3.8</v>
      </c>
      <c r="H7925">
        <v>251124</v>
      </c>
      <c r="I7925">
        <v>4600</v>
      </c>
      <c r="J7925" t="s">
        <v>278</v>
      </c>
      <c r="K7925">
        <v>1299.97</v>
      </c>
      <c r="L7925">
        <v>0.77</v>
      </c>
      <c r="M7925">
        <v>69810</v>
      </c>
      <c r="N7925" t="s">
        <v>229</v>
      </c>
      <c r="O7925">
        <v>251125</v>
      </c>
      <c r="P7925">
        <v>3.03</v>
      </c>
    </row>
    <row r="7926" spans="1:16" x14ac:dyDescent="0.25">
      <c r="A7926" t="s">
        <v>3296</v>
      </c>
      <c r="B7926" t="s">
        <v>2931</v>
      </c>
      <c r="C7926">
        <v>15720</v>
      </c>
      <c r="D7926" t="str">
        <f>"2561083807  "</f>
        <v xml:space="preserve">2561083807  </v>
      </c>
      <c r="E7926" t="s">
        <v>277</v>
      </c>
      <c r="F7926" t="s">
        <v>279</v>
      </c>
      <c r="G7926">
        <v>3.79</v>
      </c>
      <c r="H7926">
        <v>251124</v>
      </c>
      <c r="I7926">
        <v>4600</v>
      </c>
      <c r="J7926" t="s">
        <v>278</v>
      </c>
      <c r="K7926">
        <v>1299.97</v>
      </c>
      <c r="L7926">
        <v>0.77</v>
      </c>
      <c r="M7926">
        <v>69811</v>
      </c>
      <c r="N7926" t="s">
        <v>230</v>
      </c>
      <c r="O7926">
        <v>251125</v>
      </c>
      <c r="P7926">
        <v>3.02</v>
      </c>
    </row>
    <row r="7927" spans="1:16" x14ac:dyDescent="0.25">
      <c r="A7927" t="s">
        <v>3296</v>
      </c>
      <c r="B7927" t="s">
        <v>2931</v>
      </c>
      <c r="C7927">
        <v>15729</v>
      </c>
      <c r="D7927" t="str">
        <f>"2561083799  "</f>
        <v xml:space="preserve">2561083799  </v>
      </c>
      <c r="E7927" t="s">
        <v>277</v>
      </c>
      <c r="F7927" t="s">
        <v>279</v>
      </c>
      <c r="G7927">
        <v>-37.71</v>
      </c>
      <c r="H7927">
        <v>251124</v>
      </c>
      <c r="I7927">
        <v>4600</v>
      </c>
      <c r="J7927" t="s">
        <v>278</v>
      </c>
      <c r="K7927">
        <v>2511.96</v>
      </c>
      <c r="L7927">
        <v>-7.66</v>
      </c>
      <c r="M7927">
        <v>59113</v>
      </c>
      <c r="N7927" t="s">
        <v>61</v>
      </c>
      <c r="O7927">
        <v>251125</v>
      </c>
      <c r="P7927">
        <v>-30.05</v>
      </c>
    </row>
    <row r="7928" spans="1:16" x14ac:dyDescent="0.25">
      <c r="A7928" t="s">
        <v>3296</v>
      </c>
      <c r="B7928" t="s">
        <v>2931</v>
      </c>
      <c r="C7928">
        <v>15769</v>
      </c>
      <c r="D7928" t="str">
        <f>"2561083800  "</f>
        <v xml:space="preserve">2561083800  </v>
      </c>
      <c r="E7928" t="s">
        <v>277</v>
      </c>
      <c r="F7928" t="s">
        <v>279</v>
      </c>
      <c r="G7928">
        <v>11.31</v>
      </c>
      <c r="H7928">
        <v>251124</v>
      </c>
      <c r="I7928">
        <v>4600</v>
      </c>
      <c r="J7928" t="s">
        <v>278</v>
      </c>
      <c r="K7928">
        <v>2795.49</v>
      </c>
      <c r="L7928">
        <v>2.2999999999999998</v>
      </c>
      <c r="M7928">
        <v>69113</v>
      </c>
      <c r="N7928" t="s">
        <v>122</v>
      </c>
      <c r="O7928">
        <v>251126</v>
      </c>
      <c r="P7928">
        <v>9.01</v>
      </c>
    </row>
    <row r="7929" spans="1:16" x14ac:dyDescent="0.25">
      <c r="A7929" t="s">
        <v>3296</v>
      </c>
      <c r="B7929" t="s">
        <v>2931</v>
      </c>
      <c r="C7929">
        <v>15769</v>
      </c>
      <c r="D7929" t="str">
        <f>"2561083800  "</f>
        <v xml:space="preserve">2561083800  </v>
      </c>
      <c r="E7929" t="s">
        <v>277</v>
      </c>
      <c r="F7929" t="s">
        <v>279</v>
      </c>
      <c r="G7929">
        <v>1.26</v>
      </c>
      <c r="H7929">
        <v>251124</v>
      </c>
      <c r="I7929">
        <v>4600</v>
      </c>
      <c r="J7929" t="s">
        <v>278</v>
      </c>
      <c r="K7929">
        <v>2795.49</v>
      </c>
      <c r="L7929">
        <v>0.26</v>
      </c>
      <c r="M7929">
        <v>69802</v>
      </c>
      <c r="N7929" t="s">
        <v>375</v>
      </c>
      <c r="O7929">
        <v>251126</v>
      </c>
      <c r="P7929">
        <v>1</v>
      </c>
    </row>
    <row r="7930" spans="1:16" x14ac:dyDescent="0.25">
      <c r="A7930" t="s">
        <v>3296</v>
      </c>
      <c r="B7930" t="s">
        <v>2931</v>
      </c>
      <c r="C7930">
        <v>15791</v>
      </c>
      <c r="D7930" t="str">
        <f>"2561066860  "</f>
        <v xml:space="preserve">2561066860  </v>
      </c>
      <c r="E7930" t="s">
        <v>277</v>
      </c>
      <c r="F7930" t="s">
        <v>279</v>
      </c>
      <c r="G7930">
        <v>64.11</v>
      </c>
      <c r="H7930">
        <v>251117</v>
      </c>
      <c r="I7930">
        <v>4600</v>
      </c>
      <c r="J7930" t="s">
        <v>278</v>
      </c>
      <c r="K7930">
        <v>90.95</v>
      </c>
      <c r="L7930">
        <v>13.03</v>
      </c>
      <c r="M7930">
        <v>44251</v>
      </c>
      <c r="N7930" t="s">
        <v>215</v>
      </c>
      <c r="O7930">
        <v>251127</v>
      </c>
      <c r="P7930">
        <v>51.08</v>
      </c>
    </row>
    <row r="7931" spans="1:16" x14ac:dyDescent="0.25">
      <c r="A7931" t="s">
        <v>3296</v>
      </c>
      <c r="B7931" t="s">
        <v>2931</v>
      </c>
      <c r="C7931">
        <v>15793</v>
      </c>
      <c r="D7931" t="str">
        <f>"2561066861  "</f>
        <v xml:space="preserve">2561066861  </v>
      </c>
      <c r="E7931" t="s">
        <v>277</v>
      </c>
      <c r="F7931" t="s">
        <v>279</v>
      </c>
      <c r="G7931">
        <v>29.34</v>
      </c>
      <c r="H7931">
        <v>251117</v>
      </c>
      <c r="I7931">
        <v>4600</v>
      </c>
      <c r="J7931" t="s">
        <v>278</v>
      </c>
      <c r="K7931">
        <v>1706.82</v>
      </c>
      <c r="L7931">
        <v>5.96</v>
      </c>
      <c r="M7931">
        <v>44251</v>
      </c>
      <c r="N7931" t="s">
        <v>215</v>
      </c>
      <c r="O7931">
        <v>251127</v>
      </c>
      <c r="P7931">
        <v>23.38</v>
      </c>
    </row>
    <row r="7932" spans="1:16" x14ac:dyDescent="0.25">
      <c r="A7932" t="s">
        <v>3296</v>
      </c>
      <c r="B7932" t="s">
        <v>2931</v>
      </c>
      <c r="C7932">
        <v>15825</v>
      </c>
      <c r="D7932" t="str">
        <f>"2561083798  "</f>
        <v xml:space="preserve">2561083798  </v>
      </c>
      <c r="E7932" t="s">
        <v>277</v>
      </c>
      <c r="F7932" t="s">
        <v>279</v>
      </c>
      <c r="G7932">
        <v>231.51</v>
      </c>
      <c r="H7932">
        <v>251124</v>
      </c>
      <c r="I7932">
        <v>4600</v>
      </c>
      <c r="J7932" t="s">
        <v>278</v>
      </c>
      <c r="K7932">
        <v>3285.87</v>
      </c>
      <c r="L7932">
        <v>47.04</v>
      </c>
      <c r="M7932">
        <v>54451</v>
      </c>
      <c r="N7932" t="s">
        <v>218</v>
      </c>
      <c r="O7932">
        <v>251127</v>
      </c>
      <c r="P7932">
        <v>184.47</v>
      </c>
    </row>
    <row r="7933" spans="1:16" x14ac:dyDescent="0.25">
      <c r="A7933" t="s">
        <v>3296</v>
      </c>
      <c r="B7933" t="s">
        <v>2931</v>
      </c>
      <c r="C7933">
        <v>16011</v>
      </c>
      <c r="D7933" t="str">
        <f>"2561099002  "</f>
        <v xml:space="preserve">2561099002  </v>
      </c>
      <c r="E7933" t="s">
        <v>277</v>
      </c>
      <c r="F7933" t="s">
        <v>279</v>
      </c>
      <c r="G7933">
        <v>43.56</v>
      </c>
      <c r="H7933">
        <v>251130</v>
      </c>
      <c r="I7933">
        <v>4600</v>
      </c>
      <c r="J7933" t="s">
        <v>278</v>
      </c>
      <c r="K7933">
        <v>3195.33</v>
      </c>
      <c r="L7933">
        <v>8.85</v>
      </c>
      <c r="M7933">
        <v>69113</v>
      </c>
      <c r="N7933" t="s">
        <v>122</v>
      </c>
      <c r="O7933">
        <v>251201</v>
      </c>
      <c r="P7933">
        <v>34.71</v>
      </c>
    </row>
    <row r="7934" spans="1:16" x14ac:dyDescent="0.25">
      <c r="A7934" t="s">
        <v>3296</v>
      </c>
      <c r="B7934" t="s">
        <v>2931</v>
      </c>
      <c r="C7934">
        <v>16011</v>
      </c>
      <c r="D7934" t="str">
        <f>"2561099002  "</f>
        <v xml:space="preserve">2561099002  </v>
      </c>
      <c r="E7934" t="s">
        <v>277</v>
      </c>
      <c r="F7934" t="s">
        <v>279</v>
      </c>
      <c r="G7934">
        <v>4.84</v>
      </c>
      <c r="H7934">
        <v>251130</v>
      </c>
      <c r="I7934">
        <v>4600</v>
      </c>
      <c r="J7934" t="s">
        <v>278</v>
      </c>
      <c r="K7934">
        <v>3195.33</v>
      </c>
      <c r="L7934">
        <v>0.98</v>
      </c>
      <c r="M7934">
        <v>69802</v>
      </c>
      <c r="N7934" t="s">
        <v>375</v>
      </c>
      <c r="O7934">
        <v>251201</v>
      </c>
      <c r="P7934">
        <v>3.86</v>
      </c>
    </row>
    <row r="7935" spans="1:16" x14ac:dyDescent="0.25">
      <c r="A7935" t="s">
        <v>3296</v>
      </c>
      <c r="B7935" t="s">
        <v>2931</v>
      </c>
      <c r="C7935">
        <v>16030</v>
      </c>
      <c r="D7935" t="str">
        <f>"2561099001  "</f>
        <v xml:space="preserve">2561099001  </v>
      </c>
      <c r="E7935" t="s">
        <v>277</v>
      </c>
      <c r="F7935" t="s">
        <v>279</v>
      </c>
      <c r="G7935">
        <v>25.15</v>
      </c>
      <c r="H7935">
        <v>251130</v>
      </c>
      <c r="I7935">
        <v>4600</v>
      </c>
      <c r="J7935" t="s">
        <v>278</v>
      </c>
      <c r="K7935">
        <v>2334.0100000000002</v>
      </c>
      <c r="L7935">
        <v>5.1100000000000003</v>
      </c>
      <c r="M7935">
        <v>59113</v>
      </c>
      <c r="N7935" t="s">
        <v>61</v>
      </c>
      <c r="O7935">
        <v>251202</v>
      </c>
      <c r="P7935">
        <v>20.04</v>
      </c>
    </row>
    <row r="7936" spans="1:16" x14ac:dyDescent="0.25">
      <c r="A7936" t="s">
        <v>3296</v>
      </c>
      <c r="B7936" t="s">
        <v>2931</v>
      </c>
      <c r="C7936">
        <v>16031</v>
      </c>
      <c r="D7936" t="str">
        <f>"2561098999  "</f>
        <v xml:space="preserve">2561098999  </v>
      </c>
      <c r="E7936" t="s">
        <v>277</v>
      </c>
      <c r="F7936" t="s">
        <v>279</v>
      </c>
      <c r="G7936">
        <v>6.3</v>
      </c>
      <c r="H7936">
        <v>251130</v>
      </c>
      <c r="I7936">
        <v>4600</v>
      </c>
      <c r="J7936" t="s">
        <v>278</v>
      </c>
      <c r="K7936">
        <v>470.91</v>
      </c>
      <c r="L7936">
        <v>1.28</v>
      </c>
      <c r="M7936">
        <v>59114</v>
      </c>
      <c r="N7936" t="s">
        <v>299</v>
      </c>
      <c r="O7936">
        <v>251202</v>
      </c>
      <c r="P7936">
        <v>5.0199999999999996</v>
      </c>
    </row>
    <row r="7937" spans="1:16" x14ac:dyDescent="0.25">
      <c r="A7937" t="s">
        <v>3296</v>
      </c>
      <c r="B7937" t="s">
        <v>2931</v>
      </c>
      <c r="C7937">
        <v>16052</v>
      </c>
      <c r="D7937" t="str">
        <f>"2561083801  "</f>
        <v xml:space="preserve">2561083801  </v>
      </c>
      <c r="E7937" t="s">
        <v>277</v>
      </c>
      <c r="F7937" t="s">
        <v>279</v>
      </c>
      <c r="G7937">
        <v>119.07</v>
      </c>
      <c r="H7937">
        <v>251124</v>
      </c>
      <c r="I7937">
        <v>4600</v>
      </c>
      <c r="J7937" t="s">
        <v>278</v>
      </c>
      <c r="K7937">
        <v>1999.29</v>
      </c>
      <c r="L7937">
        <v>24.19</v>
      </c>
      <c r="M7937">
        <v>49112</v>
      </c>
      <c r="N7937" t="s">
        <v>109</v>
      </c>
      <c r="O7937">
        <v>251203</v>
      </c>
      <c r="P7937">
        <v>94.88</v>
      </c>
    </row>
    <row r="7938" spans="1:16" x14ac:dyDescent="0.25">
      <c r="A7938" t="s">
        <v>3296</v>
      </c>
      <c r="B7938" t="s">
        <v>2931</v>
      </c>
      <c r="C7938">
        <v>16077</v>
      </c>
      <c r="D7938" t="str">
        <f>"2561099003  "</f>
        <v xml:space="preserve">2561099003  </v>
      </c>
      <c r="E7938" t="s">
        <v>277</v>
      </c>
      <c r="F7938" t="s">
        <v>279</v>
      </c>
      <c r="G7938">
        <v>143.21</v>
      </c>
      <c r="H7938">
        <v>251130</v>
      </c>
      <c r="I7938">
        <v>4600</v>
      </c>
      <c r="J7938" t="s">
        <v>278</v>
      </c>
      <c r="K7938">
        <v>1424.11</v>
      </c>
      <c r="L7938">
        <v>29.1</v>
      </c>
      <c r="M7938">
        <v>49112</v>
      </c>
      <c r="N7938" t="s">
        <v>109</v>
      </c>
      <c r="O7938">
        <v>251203</v>
      </c>
      <c r="P7938">
        <v>114.11</v>
      </c>
    </row>
    <row r="7939" spans="1:16" x14ac:dyDescent="0.25">
      <c r="A7939" t="s">
        <v>3296</v>
      </c>
      <c r="B7939" t="s">
        <v>2931</v>
      </c>
      <c r="C7939">
        <v>16078</v>
      </c>
      <c r="D7939" t="str">
        <f>"2561099008  "</f>
        <v xml:space="preserve">2561099008  </v>
      </c>
      <c r="E7939" t="s">
        <v>277</v>
      </c>
      <c r="F7939" t="s">
        <v>279</v>
      </c>
      <c r="G7939">
        <v>60.81</v>
      </c>
      <c r="H7939">
        <v>251130</v>
      </c>
      <c r="I7939">
        <v>4600</v>
      </c>
      <c r="J7939" t="s">
        <v>278</v>
      </c>
      <c r="K7939">
        <v>1047.0899999999999</v>
      </c>
      <c r="L7939">
        <v>12.36</v>
      </c>
      <c r="M7939">
        <v>69112</v>
      </c>
      <c r="N7939" t="s">
        <v>227</v>
      </c>
      <c r="O7939">
        <v>251203</v>
      </c>
      <c r="P7939">
        <v>48.45</v>
      </c>
    </row>
    <row r="7940" spans="1:16" x14ac:dyDescent="0.25">
      <c r="A7940" t="s">
        <v>3296</v>
      </c>
      <c r="B7940" t="s">
        <v>2931</v>
      </c>
      <c r="C7940">
        <v>16078</v>
      </c>
      <c r="D7940" t="str">
        <f>"2561099008  "</f>
        <v xml:space="preserve">2561099008  </v>
      </c>
      <c r="E7940" t="s">
        <v>277</v>
      </c>
      <c r="F7940" t="s">
        <v>279</v>
      </c>
      <c r="G7940">
        <v>3.38</v>
      </c>
      <c r="H7940">
        <v>251130</v>
      </c>
      <c r="I7940">
        <v>4600</v>
      </c>
      <c r="J7940" t="s">
        <v>278</v>
      </c>
      <c r="K7940">
        <v>1047.0899999999999</v>
      </c>
      <c r="L7940">
        <v>0.69</v>
      </c>
      <c r="M7940">
        <v>69810</v>
      </c>
      <c r="N7940" t="s">
        <v>229</v>
      </c>
      <c r="O7940">
        <v>251203</v>
      </c>
      <c r="P7940">
        <v>2.69</v>
      </c>
    </row>
    <row r="7941" spans="1:16" x14ac:dyDescent="0.25">
      <c r="A7941" t="s">
        <v>3296</v>
      </c>
      <c r="B7941" t="s">
        <v>2931</v>
      </c>
      <c r="C7941">
        <v>16078</v>
      </c>
      <c r="D7941" t="str">
        <f>"2561099008  "</f>
        <v xml:space="preserve">2561099008  </v>
      </c>
      <c r="E7941" t="s">
        <v>277</v>
      </c>
      <c r="F7941" t="s">
        <v>279</v>
      </c>
      <c r="G7941">
        <v>3.38</v>
      </c>
      <c r="H7941">
        <v>251130</v>
      </c>
      <c r="I7941">
        <v>4600</v>
      </c>
      <c r="J7941" t="s">
        <v>278</v>
      </c>
      <c r="K7941">
        <v>1047.0899999999999</v>
      </c>
      <c r="L7941">
        <v>0.69</v>
      </c>
      <c r="M7941">
        <v>69811</v>
      </c>
      <c r="N7941" t="s">
        <v>230</v>
      </c>
      <c r="O7941">
        <v>251203</v>
      </c>
      <c r="P7941">
        <v>2.69</v>
      </c>
    </row>
    <row r="7942" spans="1:16" x14ac:dyDescent="0.25">
      <c r="A7942" t="s">
        <v>3296</v>
      </c>
      <c r="B7942" t="s">
        <v>2931</v>
      </c>
      <c r="C7942">
        <v>16253</v>
      </c>
      <c r="D7942" t="str">
        <f>"2561083803  "</f>
        <v xml:space="preserve">2561083803  </v>
      </c>
      <c r="E7942" t="s">
        <v>277</v>
      </c>
      <c r="F7942" t="s">
        <v>279</v>
      </c>
      <c r="G7942">
        <v>35.57</v>
      </c>
      <c r="H7942">
        <v>251124</v>
      </c>
      <c r="I7942">
        <v>4600</v>
      </c>
      <c r="J7942" t="s">
        <v>278</v>
      </c>
      <c r="K7942">
        <v>1131.76</v>
      </c>
      <c r="L7942">
        <v>7.23</v>
      </c>
      <c r="M7942">
        <v>44251</v>
      </c>
      <c r="N7942" t="s">
        <v>215</v>
      </c>
      <c r="O7942">
        <v>251205</v>
      </c>
      <c r="P7942">
        <v>28.34</v>
      </c>
    </row>
    <row r="7943" spans="1:16" x14ac:dyDescent="0.25">
      <c r="A7943" t="s">
        <v>3296</v>
      </c>
      <c r="B7943" t="s">
        <v>2931</v>
      </c>
      <c r="C7943">
        <v>16264</v>
      </c>
      <c r="D7943" t="str">
        <f>"2561130855  "</f>
        <v xml:space="preserve">2561130855  </v>
      </c>
      <c r="E7943" t="s">
        <v>277</v>
      </c>
      <c r="F7943" t="s">
        <v>279</v>
      </c>
      <c r="G7943">
        <v>70.84</v>
      </c>
      <c r="H7943">
        <v>251130</v>
      </c>
      <c r="I7943">
        <v>4600</v>
      </c>
      <c r="J7943" t="s">
        <v>278</v>
      </c>
      <c r="K7943">
        <v>492.47</v>
      </c>
      <c r="L7943">
        <v>14.39</v>
      </c>
      <c r="M7943">
        <v>44253</v>
      </c>
      <c r="N7943" t="s">
        <v>403</v>
      </c>
      <c r="O7943">
        <v>251205</v>
      </c>
      <c r="P7943">
        <v>56.45</v>
      </c>
    </row>
    <row r="7944" spans="1:16" x14ac:dyDescent="0.25">
      <c r="A7944" t="s">
        <v>3296</v>
      </c>
      <c r="B7944" t="s">
        <v>2931</v>
      </c>
      <c r="C7944">
        <v>16272</v>
      </c>
      <c r="D7944" t="str">
        <f>"2561099004  "</f>
        <v xml:space="preserve">2561099004  </v>
      </c>
      <c r="E7944" t="s">
        <v>277</v>
      </c>
      <c r="F7944" t="s">
        <v>279</v>
      </c>
      <c r="G7944">
        <v>24</v>
      </c>
      <c r="H7944">
        <v>251130</v>
      </c>
      <c r="I7944">
        <v>4600</v>
      </c>
      <c r="J7944" t="s">
        <v>278</v>
      </c>
      <c r="K7944">
        <v>1315.7</v>
      </c>
      <c r="L7944">
        <v>4.88</v>
      </c>
      <c r="M7944">
        <v>44251</v>
      </c>
      <c r="N7944" t="s">
        <v>215</v>
      </c>
      <c r="O7944">
        <v>251205</v>
      </c>
      <c r="P7944">
        <v>19.12</v>
      </c>
    </row>
    <row r="7945" spans="1:16" x14ac:dyDescent="0.25">
      <c r="A7945" t="s">
        <v>3296</v>
      </c>
      <c r="B7945" t="s">
        <v>2931</v>
      </c>
      <c r="C7945">
        <v>16272</v>
      </c>
      <c r="D7945" t="str">
        <f>"2561099004  "</f>
        <v xml:space="preserve">2561099004  </v>
      </c>
      <c r="E7945" t="s">
        <v>277</v>
      </c>
      <c r="F7945" t="s">
        <v>279</v>
      </c>
      <c r="G7945">
        <v>512.21</v>
      </c>
      <c r="H7945">
        <v>251130</v>
      </c>
      <c r="I7945">
        <v>4600</v>
      </c>
      <c r="J7945" t="s">
        <v>278</v>
      </c>
      <c r="K7945">
        <v>1315.7</v>
      </c>
      <c r="L7945">
        <v>104.07</v>
      </c>
      <c r="M7945">
        <v>44251</v>
      </c>
      <c r="N7945" t="s">
        <v>215</v>
      </c>
      <c r="O7945">
        <v>251205</v>
      </c>
      <c r="P7945">
        <v>408.14</v>
      </c>
    </row>
    <row r="7946" spans="1:16" x14ac:dyDescent="0.25">
      <c r="A7946" t="s">
        <v>3296</v>
      </c>
      <c r="B7946" t="s">
        <v>2931</v>
      </c>
      <c r="C7946">
        <v>16272</v>
      </c>
      <c r="D7946" t="str">
        <f>"2561099004  "</f>
        <v xml:space="preserve">2561099004  </v>
      </c>
      <c r="E7946" t="s">
        <v>277</v>
      </c>
      <c r="F7946" t="s">
        <v>279</v>
      </c>
      <c r="G7946">
        <v>12</v>
      </c>
      <c r="H7946">
        <v>251130</v>
      </c>
      <c r="I7946">
        <v>4600</v>
      </c>
      <c r="J7946" t="s">
        <v>278</v>
      </c>
      <c r="K7946">
        <v>1315.7</v>
      </c>
      <c r="L7946">
        <v>2.44</v>
      </c>
      <c r="M7946">
        <v>44252</v>
      </c>
      <c r="N7946" t="s">
        <v>217</v>
      </c>
      <c r="O7946">
        <v>251205</v>
      </c>
      <c r="P7946">
        <v>9.56</v>
      </c>
    </row>
    <row r="7947" spans="1:16" x14ac:dyDescent="0.25">
      <c r="A7947" t="s">
        <v>3296</v>
      </c>
      <c r="B7947" t="s">
        <v>2931</v>
      </c>
      <c r="C7947">
        <v>16465</v>
      </c>
      <c r="D7947" t="str">
        <f>"2561083806  "</f>
        <v xml:space="preserve">2561083806  </v>
      </c>
      <c r="E7947" t="s">
        <v>277</v>
      </c>
      <c r="F7947" t="s">
        <v>279</v>
      </c>
      <c r="G7947">
        <v>147.44</v>
      </c>
      <c r="H7947">
        <v>251124</v>
      </c>
      <c r="I7947">
        <v>4600</v>
      </c>
      <c r="J7947" t="s">
        <v>278</v>
      </c>
      <c r="K7947">
        <v>537.71</v>
      </c>
      <c r="L7947">
        <v>29.96</v>
      </c>
      <c r="M7947">
        <v>44253</v>
      </c>
      <c r="N7947" t="s">
        <v>403</v>
      </c>
      <c r="O7947">
        <v>251209</v>
      </c>
      <c r="P7947">
        <v>117.48</v>
      </c>
    </row>
    <row r="7948" spans="1:16" x14ac:dyDescent="0.25">
      <c r="A7948" t="s">
        <v>3296</v>
      </c>
      <c r="B7948" t="s">
        <v>2931</v>
      </c>
      <c r="C7948">
        <v>16677</v>
      </c>
      <c r="D7948" t="str">
        <f>"2561146448  "</f>
        <v xml:space="preserve">2561146448  </v>
      </c>
      <c r="E7948" t="s">
        <v>277</v>
      </c>
      <c r="F7948" t="s">
        <v>279</v>
      </c>
      <c r="G7948">
        <v>93</v>
      </c>
      <c r="H7948">
        <v>251208</v>
      </c>
      <c r="I7948">
        <v>4600</v>
      </c>
      <c r="J7948" t="s">
        <v>278</v>
      </c>
      <c r="K7948">
        <v>2833.55</v>
      </c>
      <c r="L7948">
        <v>18.899999999999999</v>
      </c>
      <c r="M7948">
        <v>59113</v>
      </c>
      <c r="N7948" t="s">
        <v>61</v>
      </c>
      <c r="O7948">
        <v>251211</v>
      </c>
      <c r="P7948">
        <v>74.099999999999994</v>
      </c>
    </row>
    <row r="7949" spans="1:16" x14ac:dyDescent="0.25">
      <c r="A7949" t="s">
        <v>3296</v>
      </c>
      <c r="B7949" t="s">
        <v>2931</v>
      </c>
      <c r="C7949">
        <v>16689</v>
      </c>
      <c r="D7949" t="str">
        <f>"2561146455  "</f>
        <v xml:space="preserve">2561146455  </v>
      </c>
      <c r="E7949" t="s">
        <v>277</v>
      </c>
      <c r="F7949" t="s">
        <v>279</v>
      </c>
      <c r="G7949">
        <v>-55.25</v>
      </c>
      <c r="H7949">
        <v>251208</v>
      </c>
      <c r="I7949">
        <v>4600</v>
      </c>
      <c r="J7949" t="s">
        <v>278</v>
      </c>
      <c r="K7949">
        <v>441.61</v>
      </c>
      <c r="L7949">
        <v>-11.23</v>
      </c>
      <c r="M7949">
        <v>44253</v>
      </c>
      <c r="N7949" t="s">
        <v>403</v>
      </c>
      <c r="O7949">
        <v>251211</v>
      </c>
      <c r="P7949">
        <v>-44.02</v>
      </c>
    </row>
    <row r="7950" spans="1:16" x14ac:dyDescent="0.25">
      <c r="A7950" t="s">
        <v>3296</v>
      </c>
      <c r="B7950" t="s">
        <v>2931</v>
      </c>
      <c r="C7950">
        <v>16702</v>
      </c>
      <c r="D7950" t="str">
        <f>"2561146449  "</f>
        <v xml:space="preserve">2561146449  </v>
      </c>
      <c r="E7950" t="s">
        <v>277</v>
      </c>
      <c r="F7950" t="s">
        <v>279</v>
      </c>
      <c r="G7950">
        <v>11.31</v>
      </c>
      <c r="H7950">
        <v>251208</v>
      </c>
      <c r="I7950">
        <v>4600</v>
      </c>
      <c r="J7950" t="s">
        <v>278</v>
      </c>
      <c r="K7950">
        <v>3615.31</v>
      </c>
      <c r="L7950">
        <v>2.2999999999999998</v>
      </c>
      <c r="M7950">
        <v>69113</v>
      </c>
      <c r="N7950" t="s">
        <v>122</v>
      </c>
      <c r="O7950">
        <v>251211</v>
      </c>
      <c r="P7950">
        <v>9.01</v>
      </c>
    </row>
    <row r="7951" spans="1:16" x14ac:dyDescent="0.25">
      <c r="A7951" t="s">
        <v>3296</v>
      </c>
      <c r="B7951" t="s">
        <v>2931</v>
      </c>
      <c r="C7951">
        <v>16702</v>
      </c>
      <c r="D7951" t="str">
        <f>"2561146449  "</f>
        <v xml:space="preserve">2561146449  </v>
      </c>
      <c r="E7951" t="s">
        <v>277</v>
      </c>
      <c r="F7951" t="s">
        <v>279</v>
      </c>
      <c r="G7951">
        <v>1.26</v>
      </c>
      <c r="H7951">
        <v>251208</v>
      </c>
      <c r="I7951">
        <v>4600</v>
      </c>
      <c r="J7951" t="s">
        <v>278</v>
      </c>
      <c r="K7951">
        <v>3615.31</v>
      </c>
      <c r="L7951">
        <v>0.26</v>
      </c>
      <c r="M7951">
        <v>69802</v>
      </c>
      <c r="N7951" t="s">
        <v>375</v>
      </c>
      <c r="O7951">
        <v>251211</v>
      </c>
      <c r="P7951">
        <v>1</v>
      </c>
    </row>
    <row r="7952" spans="1:16" x14ac:dyDescent="0.25">
      <c r="A7952" t="s">
        <v>3296</v>
      </c>
      <c r="B7952" t="s">
        <v>2931</v>
      </c>
      <c r="C7952">
        <v>16833</v>
      </c>
      <c r="D7952" t="str">
        <f>"2561146452  "</f>
        <v xml:space="preserve">2561146452  </v>
      </c>
      <c r="E7952" t="s">
        <v>277</v>
      </c>
      <c r="F7952" t="s">
        <v>279</v>
      </c>
      <c r="G7952">
        <v>3.6</v>
      </c>
      <c r="H7952">
        <v>251208</v>
      </c>
      <c r="I7952">
        <v>4600</v>
      </c>
      <c r="J7952" t="s">
        <v>278</v>
      </c>
      <c r="K7952">
        <v>404.97</v>
      </c>
      <c r="L7952">
        <v>0.73</v>
      </c>
      <c r="M7952">
        <v>44251</v>
      </c>
      <c r="N7952" t="s">
        <v>215</v>
      </c>
      <c r="O7952">
        <v>251212</v>
      </c>
      <c r="P7952">
        <v>2.87</v>
      </c>
    </row>
    <row r="7953" spans="1:16" x14ac:dyDescent="0.25">
      <c r="A7953" t="s">
        <v>3296</v>
      </c>
      <c r="B7953" t="s">
        <v>2931</v>
      </c>
      <c r="C7953">
        <v>16872</v>
      </c>
      <c r="D7953" t="str">
        <f>"2561146456  "</f>
        <v xml:space="preserve">2561146456  </v>
      </c>
      <c r="E7953" t="s">
        <v>277</v>
      </c>
      <c r="F7953" t="s">
        <v>279</v>
      </c>
      <c r="G7953">
        <v>84.91</v>
      </c>
      <c r="H7953">
        <v>251208</v>
      </c>
      <c r="I7953">
        <v>4600</v>
      </c>
      <c r="J7953" t="s">
        <v>278</v>
      </c>
      <c r="K7953">
        <v>1671.95</v>
      </c>
      <c r="L7953">
        <v>17.25</v>
      </c>
      <c r="M7953">
        <v>69112</v>
      </c>
      <c r="N7953" t="s">
        <v>227</v>
      </c>
      <c r="O7953">
        <v>251215</v>
      </c>
      <c r="P7953">
        <v>67.66</v>
      </c>
    </row>
    <row r="7954" spans="1:16" x14ac:dyDescent="0.25">
      <c r="A7954" t="s">
        <v>3296</v>
      </c>
      <c r="B7954" t="s">
        <v>2931</v>
      </c>
      <c r="C7954">
        <v>16872</v>
      </c>
      <c r="D7954" t="str">
        <f>"2561146456  "</f>
        <v xml:space="preserve">2561146456  </v>
      </c>
      <c r="E7954" t="s">
        <v>277</v>
      </c>
      <c r="F7954" t="s">
        <v>279</v>
      </c>
      <c r="G7954">
        <v>4.72</v>
      </c>
      <c r="H7954">
        <v>251208</v>
      </c>
      <c r="I7954">
        <v>4600</v>
      </c>
      <c r="J7954" t="s">
        <v>278</v>
      </c>
      <c r="K7954">
        <v>1671.95</v>
      </c>
      <c r="L7954">
        <v>0.96</v>
      </c>
      <c r="M7954">
        <v>69810</v>
      </c>
      <c r="N7954" t="s">
        <v>229</v>
      </c>
      <c r="O7954">
        <v>251215</v>
      </c>
      <c r="P7954">
        <v>3.76</v>
      </c>
    </row>
    <row r="7955" spans="1:16" x14ac:dyDescent="0.25">
      <c r="A7955" t="s">
        <v>3296</v>
      </c>
      <c r="B7955" t="s">
        <v>2931</v>
      </c>
      <c r="C7955">
        <v>16872</v>
      </c>
      <c r="D7955" t="str">
        <f>"2561146456  "</f>
        <v xml:space="preserve">2561146456  </v>
      </c>
      <c r="E7955" t="s">
        <v>277</v>
      </c>
      <c r="F7955" t="s">
        <v>279</v>
      </c>
      <c r="G7955">
        <v>4.72</v>
      </c>
      <c r="H7955">
        <v>251208</v>
      </c>
      <c r="I7955">
        <v>4600</v>
      </c>
      <c r="J7955" t="s">
        <v>278</v>
      </c>
      <c r="K7955">
        <v>1671.95</v>
      </c>
      <c r="L7955">
        <v>0.96</v>
      </c>
      <c r="M7955">
        <v>69811</v>
      </c>
      <c r="N7955" t="s">
        <v>230</v>
      </c>
      <c r="O7955">
        <v>251215</v>
      </c>
      <c r="P7955">
        <v>3.76</v>
      </c>
    </row>
    <row r="7956" spans="1:16" x14ac:dyDescent="0.25">
      <c r="A7956" t="s">
        <v>3296</v>
      </c>
      <c r="B7956" t="s">
        <v>2931</v>
      </c>
      <c r="C7956">
        <v>16897</v>
      </c>
      <c r="D7956" t="str">
        <f>"2561099000  "</f>
        <v xml:space="preserve">2561099000  </v>
      </c>
      <c r="E7956" t="s">
        <v>277</v>
      </c>
      <c r="F7956" t="s">
        <v>279</v>
      </c>
      <c r="G7956">
        <v>277.47000000000003</v>
      </c>
      <c r="H7956">
        <v>251130</v>
      </c>
      <c r="I7956">
        <v>4600</v>
      </c>
      <c r="J7956" t="s">
        <v>278</v>
      </c>
      <c r="K7956">
        <v>2256.5700000000002</v>
      </c>
      <c r="L7956">
        <v>56.38</v>
      </c>
      <c r="M7956">
        <v>54451</v>
      </c>
      <c r="N7956" t="s">
        <v>218</v>
      </c>
      <c r="O7956">
        <v>251215</v>
      </c>
      <c r="P7956">
        <v>221.09</v>
      </c>
    </row>
    <row r="7957" spans="1:16" x14ac:dyDescent="0.25">
      <c r="A7957" t="s">
        <v>3296</v>
      </c>
      <c r="B7957" t="s">
        <v>2931</v>
      </c>
      <c r="C7957">
        <v>16950</v>
      </c>
      <c r="D7957" t="str">
        <f>"2561146450  "</f>
        <v xml:space="preserve">2561146450  </v>
      </c>
      <c r="E7957" t="s">
        <v>277</v>
      </c>
      <c r="F7957" t="s">
        <v>279</v>
      </c>
      <c r="G7957">
        <v>-94.3</v>
      </c>
      <c r="H7957">
        <v>251208</v>
      </c>
      <c r="I7957">
        <v>4600</v>
      </c>
      <c r="J7957" t="s">
        <v>278</v>
      </c>
      <c r="K7957">
        <v>4609.0600000000004</v>
      </c>
      <c r="L7957">
        <v>-19.16</v>
      </c>
      <c r="M7957">
        <v>49112</v>
      </c>
      <c r="N7957" t="s">
        <v>109</v>
      </c>
      <c r="O7957">
        <v>251216</v>
      </c>
      <c r="P7957">
        <v>-75.14</v>
      </c>
    </row>
    <row r="7958" spans="1:16" x14ac:dyDescent="0.25">
      <c r="A7958" t="s">
        <v>3296</v>
      </c>
      <c r="B7958" t="s">
        <v>2931</v>
      </c>
      <c r="C7958">
        <v>16958</v>
      </c>
      <c r="D7958" t="str">
        <f>"2561146447  "</f>
        <v xml:space="preserve">2561146447  </v>
      </c>
      <c r="E7958" t="s">
        <v>277</v>
      </c>
      <c r="F7958" t="s">
        <v>279</v>
      </c>
      <c r="G7958">
        <v>357.07</v>
      </c>
      <c r="H7958">
        <v>251208</v>
      </c>
      <c r="I7958">
        <v>4600</v>
      </c>
      <c r="J7958" t="s">
        <v>278</v>
      </c>
      <c r="K7958">
        <v>3026.94</v>
      </c>
      <c r="L7958">
        <v>72.55</v>
      </c>
      <c r="M7958">
        <v>54451</v>
      </c>
      <c r="N7958" t="s">
        <v>218</v>
      </c>
      <c r="O7958">
        <v>251216</v>
      </c>
      <c r="P7958">
        <v>284.52</v>
      </c>
    </row>
    <row r="7959" spans="1:16" x14ac:dyDescent="0.25">
      <c r="A7959" t="s">
        <v>3296</v>
      </c>
      <c r="B7959" t="s">
        <v>2931</v>
      </c>
      <c r="C7959">
        <v>17028</v>
      </c>
      <c r="D7959" t="str">
        <f>"2561162976  "</f>
        <v xml:space="preserve">2561162976  </v>
      </c>
      <c r="E7959" t="s">
        <v>277</v>
      </c>
      <c r="F7959" t="s">
        <v>279</v>
      </c>
      <c r="G7959">
        <v>229.15</v>
      </c>
      <c r="H7959">
        <v>251215</v>
      </c>
      <c r="I7959">
        <v>4600</v>
      </c>
      <c r="J7959" t="s">
        <v>278</v>
      </c>
      <c r="K7959">
        <v>2863.88</v>
      </c>
      <c r="L7959">
        <v>46.56</v>
      </c>
      <c r="M7959">
        <v>69113</v>
      </c>
      <c r="N7959" t="s">
        <v>122</v>
      </c>
      <c r="O7959">
        <v>251216</v>
      </c>
      <c r="P7959">
        <v>182.59</v>
      </c>
    </row>
    <row r="7960" spans="1:16" x14ac:dyDescent="0.25">
      <c r="A7960" t="s">
        <v>3296</v>
      </c>
      <c r="B7960" t="s">
        <v>2931</v>
      </c>
      <c r="C7960">
        <v>17028</v>
      </c>
      <c r="D7960" t="str">
        <f>"2561162976  "</f>
        <v xml:space="preserve">2561162976  </v>
      </c>
      <c r="E7960" t="s">
        <v>277</v>
      </c>
      <c r="F7960" t="s">
        <v>279</v>
      </c>
      <c r="G7960">
        <v>25.46</v>
      </c>
      <c r="H7960">
        <v>251215</v>
      </c>
      <c r="I7960">
        <v>4600</v>
      </c>
      <c r="J7960" t="s">
        <v>278</v>
      </c>
      <c r="K7960">
        <v>2863.88</v>
      </c>
      <c r="L7960">
        <v>5.17</v>
      </c>
      <c r="M7960">
        <v>69802</v>
      </c>
      <c r="N7960" t="s">
        <v>375</v>
      </c>
      <c r="O7960">
        <v>251216</v>
      </c>
      <c r="P7960">
        <v>20.29</v>
      </c>
    </row>
    <row r="7961" spans="1:16" x14ac:dyDescent="0.25">
      <c r="A7961" t="s">
        <v>3296</v>
      </c>
      <c r="B7961" t="s">
        <v>2931</v>
      </c>
      <c r="C7961">
        <v>17044</v>
      </c>
      <c r="D7961" t="str">
        <f>"2561162974  "</f>
        <v xml:space="preserve">2561162974  </v>
      </c>
      <c r="E7961" t="s">
        <v>277</v>
      </c>
      <c r="F7961" t="s">
        <v>279</v>
      </c>
      <c r="G7961">
        <v>390.49</v>
      </c>
      <c r="H7961">
        <v>251215</v>
      </c>
      <c r="I7961">
        <v>4600</v>
      </c>
      <c r="J7961" t="s">
        <v>278</v>
      </c>
      <c r="K7961">
        <v>2552.2399999999998</v>
      </c>
      <c r="L7961">
        <v>79.34</v>
      </c>
      <c r="M7961">
        <v>54451</v>
      </c>
      <c r="N7961" t="s">
        <v>218</v>
      </c>
      <c r="O7961">
        <v>251216</v>
      </c>
      <c r="P7961">
        <v>311.14999999999998</v>
      </c>
    </row>
    <row r="7962" spans="1:16" x14ac:dyDescent="0.25">
      <c r="A7962" t="s">
        <v>3296</v>
      </c>
      <c r="B7962" t="s">
        <v>2931</v>
      </c>
      <c r="C7962">
        <v>17088</v>
      </c>
      <c r="D7962" t="str">
        <f>"2561162973  "</f>
        <v xml:space="preserve">2561162973  </v>
      </c>
      <c r="E7962" t="s">
        <v>277</v>
      </c>
      <c r="F7962" t="s">
        <v>279</v>
      </c>
      <c r="G7962">
        <v>-12.58</v>
      </c>
      <c r="H7962">
        <v>251215</v>
      </c>
      <c r="I7962">
        <v>4600</v>
      </c>
      <c r="J7962" t="s">
        <v>278</v>
      </c>
      <c r="K7962">
        <v>293.7</v>
      </c>
      <c r="L7962">
        <v>-2.56</v>
      </c>
      <c r="M7962">
        <v>59114</v>
      </c>
      <c r="N7962" t="s">
        <v>299</v>
      </c>
      <c r="O7962">
        <v>251217</v>
      </c>
      <c r="P7962">
        <v>-10.02</v>
      </c>
    </row>
    <row r="7963" spans="1:16" x14ac:dyDescent="0.25">
      <c r="A7963" t="s">
        <v>3296</v>
      </c>
      <c r="B7963" t="s">
        <v>2931</v>
      </c>
      <c r="C7963">
        <v>17091</v>
      </c>
      <c r="D7963" t="str">
        <f>"2561162975  "</f>
        <v xml:space="preserve">2561162975  </v>
      </c>
      <c r="E7963" t="s">
        <v>277</v>
      </c>
      <c r="F7963" t="s">
        <v>279</v>
      </c>
      <c r="G7963">
        <v>-37.71</v>
      </c>
      <c r="H7963">
        <v>251215</v>
      </c>
      <c r="I7963">
        <v>4600</v>
      </c>
      <c r="J7963" t="s">
        <v>278</v>
      </c>
      <c r="K7963">
        <v>3563.27</v>
      </c>
      <c r="L7963">
        <v>-7.66</v>
      </c>
      <c r="M7963">
        <v>59113</v>
      </c>
      <c r="N7963" t="s">
        <v>61</v>
      </c>
      <c r="O7963">
        <v>251217</v>
      </c>
      <c r="P7963">
        <v>-30.05</v>
      </c>
    </row>
    <row r="7964" spans="1:16" x14ac:dyDescent="0.25">
      <c r="A7964" t="s">
        <v>3296</v>
      </c>
      <c r="B7964" t="s">
        <v>2931</v>
      </c>
      <c r="C7964">
        <v>17091</v>
      </c>
      <c r="D7964" t="str">
        <f>"2561162975  "</f>
        <v xml:space="preserve">2561162975  </v>
      </c>
      <c r="E7964" t="s">
        <v>277</v>
      </c>
      <c r="F7964" t="s">
        <v>279</v>
      </c>
      <c r="G7964">
        <v>120.32</v>
      </c>
      <c r="H7964">
        <v>251215</v>
      </c>
      <c r="I7964">
        <v>4600</v>
      </c>
      <c r="J7964" t="s">
        <v>278</v>
      </c>
      <c r="K7964">
        <v>3563.27</v>
      </c>
      <c r="L7964">
        <v>24.45</v>
      </c>
      <c r="M7964">
        <v>59113</v>
      </c>
      <c r="N7964" t="s">
        <v>61</v>
      </c>
      <c r="O7964">
        <v>251217</v>
      </c>
      <c r="P7964">
        <v>95.87</v>
      </c>
    </row>
    <row r="7965" spans="1:16" x14ac:dyDescent="0.25">
      <c r="A7965" t="s">
        <v>3296</v>
      </c>
      <c r="B7965" t="s">
        <v>2931</v>
      </c>
      <c r="C7965">
        <v>17189</v>
      </c>
      <c r="D7965" t="str">
        <f>"2561162983  "</f>
        <v xml:space="preserve">2561162983  </v>
      </c>
      <c r="E7965" t="s">
        <v>277</v>
      </c>
      <c r="F7965" t="s">
        <v>279</v>
      </c>
      <c r="G7965">
        <v>17</v>
      </c>
      <c r="H7965">
        <v>251215</v>
      </c>
      <c r="I7965">
        <v>4600</v>
      </c>
      <c r="J7965" t="s">
        <v>278</v>
      </c>
      <c r="K7965">
        <v>1352.96</v>
      </c>
      <c r="L7965">
        <v>3.45</v>
      </c>
      <c r="M7965">
        <v>69112</v>
      </c>
      <c r="N7965" t="s">
        <v>227</v>
      </c>
      <c r="O7965">
        <v>251218</v>
      </c>
      <c r="P7965">
        <v>13.55</v>
      </c>
    </row>
    <row r="7966" spans="1:16" x14ac:dyDescent="0.25">
      <c r="A7966" t="s">
        <v>3296</v>
      </c>
      <c r="B7966" t="s">
        <v>2931</v>
      </c>
      <c r="C7966">
        <v>17189</v>
      </c>
      <c r="D7966" t="str">
        <f>"2561162983  "</f>
        <v xml:space="preserve">2561162983  </v>
      </c>
      <c r="E7966" t="s">
        <v>277</v>
      </c>
      <c r="F7966" t="s">
        <v>279</v>
      </c>
      <c r="G7966">
        <v>0.95</v>
      </c>
      <c r="H7966">
        <v>251215</v>
      </c>
      <c r="I7966">
        <v>4600</v>
      </c>
      <c r="J7966" t="s">
        <v>278</v>
      </c>
      <c r="K7966">
        <v>1352.96</v>
      </c>
      <c r="L7966">
        <v>0.19</v>
      </c>
      <c r="M7966">
        <v>69810</v>
      </c>
      <c r="N7966" t="s">
        <v>229</v>
      </c>
      <c r="O7966">
        <v>251218</v>
      </c>
      <c r="P7966">
        <v>0.76</v>
      </c>
    </row>
    <row r="7967" spans="1:16" x14ac:dyDescent="0.25">
      <c r="A7967" t="s">
        <v>3296</v>
      </c>
      <c r="B7967" t="s">
        <v>2931</v>
      </c>
      <c r="C7967">
        <v>17189</v>
      </c>
      <c r="D7967" t="str">
        <f>"2561162983  "</f>
        <v xml:space="preserve">2561162983  </v>
      </c>
      <c r="E7967" t="s">
        <v>277</v>
      </c>
      <c r="F7967" t="s">
        <v>279</v>
      </c>
      <c r="G7967">
        <v>0.94</v>
      </c>
      <c r="H7967">
        <v>251215</v>
      </c>
      <c r="I7967">
        <v>4600</v>
      </c>
      <c r="J7967" t="s">
        <v>278</v>
      </c>
      <c r="K7967">
        <v>1352.96</v>
      </c>
      <c r="L7967">
        <v>0.19</v>
      </c>
      <c r="M7967">
        <v>69811</v>
      </c>
      <c r="N7967" t="s">
        <v>230</v>
      </c>
      <c r="O7967">
        <v>251218</v>
      </c>
      <c r="P7967">
        <v>0.75</v>
      </c>
    </row>
    <row r="7968" spans="1:16" x14ac:dyDescent="0.25">
      <c r="A7968" t="s">
        <v>3296</v>
      </c>
      <c r="B7968" t="s">
        <v>2931</v>
      </c>
      <c r="C7968">
        <v>17190</v>
      </c>
      <c r="D7968" t="str">
        <f>"2561162979  "</f>
        <v xml:space="preserve">2561162979  </v>
      </c>
      <c r="E7968" t="s">
        <v>277</v>
      </c>
      <c r="F7968" t="s">
        <v>279</v>
      </c>
      <c r="G7968">
        <v>12.58</v>
      </c>
      <c r="H7968">
        <v>251215</v>
      </c>
      <c r="I7968">
        <v>4600</v>
      </c>
      <c r="J7968" t="s">
        <v>278</v>
      </c>
      <c r="K7968">
        <v>1147.27</v>
      </c>
      <c r="L7968">
        <v>2.56</v>
      </c>
      <c r="M7968">
        <v>44251</v>
      </c>
      <c r="N7968" t="s">
        <v>215</v>
      </c>
      <c r="O7968">
        <v>251218</v>
      </c>
      <c r="P7968">
        <v>10.02</v>
      </c>
    </row>
    <row r="7969" spans="1:16" x14ac:dyDescent="0.25">
      <c r="A7969" t="s">
        <v>3296</v>
      </c>
      <c r="B7969" t="s">
        <v>2931</v>
      </c>
      <c r="C7969">
        <v>17354</v>
      </c>
      <c r="D7969" t="str">
        <f>"2561162982  "</f>
        <v xml:space="preserve">2561162982  </v>
      </c>
      <c r="E7969" t="s">
        <v>277</v>
      </c>
      <c r="F7969" t="s">
        <v>279</v>
      </c>
      <c r="G7969">
        <v>3.6</v>
      </c>
      <c r="H7969">
        <v>251215</v>
      </c>
      <c r="I7969">
        <v>4600</v>
      </c>
      <c r="J7969" t="s">
        <v>278</v>
      </c>
      <c r="K7969">
        <v>158.56</v>
      </c>
      <c r="L7969">
        <v>0.73</v>
      </c>
      <c r="M7969">
        <v>44253</v>
      </c>
      <c r="N7969" t="s">
        <v>403</v>
      </c>
      <c r="O7969">
        <v>251219</v>
      </c>
      <c r="P7969">
        <v>2.87</v>
      </c>
    </row>
    <row r="7970" spans="1:16" x14ac:dyDescent="0.25">
      <c r="A7970" t="s">
        <v>3296</v>
      </c>
      <c r="B7970" t="s">
        <v>2931</v>
      </c>
      <c r="C7970">
        <v>17915</v>
      </c>
      <c r="D7970" t="str">
        <f>"2561182810  "</f>
        <v xml:space="preserve">2561182810  </v>
      </c>
      <c r="E7970" t="s">
        <v>277</v>
      </c>
      <c r="F7970" t="s">
        <v>279</v>
      </c>
      <c r="G7970">
        <v>21.36</v>
      </c>
      <c r="H7970">
        <v>251222</v>
      </c>
      <c r="I7970">
        <v>4600</v>
      </c>
      <c r="J7970" t="s">
        <v>278</v>
      </c>
      <c r="K7970">
        <v>1378.81</v>
      </c>
      <c r="L7970">
        <v>4.34</v>
      </c>
      <c r="M7970">
        <v>69113</v>
      </c>
      <c r="N7970" t="s">
        <v>122</v>
      </c>
      <c r="O7970">
        <v>260107</v>
      </c>
      <c r="P7970">
        <v>17.02</v>
      </c>
    </row>
    <row r="7971" spans="1:16" x14ac:dyDescent="0.25">
      <c r="A7971" t="s">
        <v>3296</v>
      </c>
      <c r="B7971" t="s">
        <v>2931</v>
      </c>
      <c r="C7971">
        <v>17915</v>
      </c>
      <c r="D7971" t="str">
        <f>"2561182810  "</f>
        <v xml:space="preserve">2561182810  </v>
      </c>
      <c r="E7971" t="s">
        <v>277</v>
      </c>
      <c r="F7971" t="s">
        <v>279</v>
      </c>
      <c r="G7971">
        <v>2.37</v>
      </c>
      <c r="H7971">
        <v>251222</v>
      </c>
      <c r="I7971">
        <v>4600</v>
      </c>
      <c r="J7971" t="s">
        <v>278</v>
      </c>
      <c r="K7971">
        <v>1378.81</v>
      </c>
      <c r="L7971">
        <v>0.48</v>
      </c>
      <c r="M7971">
        <v>69802</v>
      </c>
      <c r="N7971" t="s">
        <v>375</v>
      </c>
      <c r="O7971">
        <v>260107</v>
      </c>
      <c r="P7971">
        <v>1.89</v>
      </c>
    </row>
    <row r="7972" spans="1:16" x14ac:dyDescent="0.25">
      <c r="A7972" t="s">
        <v>3296</v>
      </c>
      <c r="B7972" t="s">
        <v>2931</v>
      </c>
      <c r="C7972">
        <v>18007</v>
      </c>
      <c r="D7972" t="str">
        <f>"2561182812  "</f>
        <v xml:space="preserve">2561182812  </v>
      </c>
      <c r="E7972" t="s">
        <v>277</v>
      </c>
      <c r="F7972" t="s">
        <v>279</v>
      </c>
      <c r="G7972">
        <v>99.84</v>
      </c>
      <c r="H7972">
        <v>251222</v>
      </c>
      <c r="I7972">
        <v>4600</v>
      </c>
      <c r="J7972" t="s">
        <v>278</v>
      </c>
      <c r="K7972">
        <v>507.24</v>
      </c>
      <c r="L7972">
        <v>20.29</v>
      </c>
      <c r="M7972">
        <v>44251</v>
      </c>
      <c r="N7972" t="s">
        <v>215</v>
      </c>
      <c r="O7972">
        <v>260108</v>
      </c>
      <c r="P7972">
        <v>79.55</v>
      </c>
    </row>
    <row r="7973" spans="1:16" x14ac:dyDescent="0.25">
      <c r="A7973" t="s">
        <v>3296</v>
      </c>
      <c r="B7973" t="s">
        <v>2931</v>
      </c>
      <c r="C7973">
        <v>18051</v>
      </c>
      <c r="D7973" t="str">
        <f>"2561224502  "</f>
        <v xml:space="preserve">2561224502  </v>
      </c>
      <c r="E7973" t="s">
        <v>277</v>
      </c>
      <c r="F7973" t="s">
        <v>279</v>
      </c>
      <c r="G7973">
        <v>-106.97</v>
      </c>
      <c r="H7973">
        <v>251231</v>
      </c>
      <c r="I7973">
        <v>4600</v>
      </c>
      <c r="J7973" t="s">
        <v>278</v>
      </c>
      <c r="K7973">
        <v>732.65</v>
      </c>
      <c r="L7973">
        <v>-21.73</v>
      </c>
      <c r="M7973">
        <v>69112</v>
      </c>
      <c r="N7973" t="s">
        <v>227</v>
      </c>
      <c r="O7973">
        <v>260108</v>
      </c>
      <c r="P7973">
        <v>-85.24</v>
      </c>
    </row>
    <row r="7974" spans="1:16" x14ac:dyDescent="0.25">
      <c r="A7974" t="s">
        <v>3296</v>
      </c>
      <c r="B7974" t="s">
        <v>2931</v>
      </c>
      <c r="C7974">
        <v>18051</v>
      </c>
      <c r="D7974" t="str">
        <f>"2561224502  "</f>
        <v xml:space="preserve">2561224502  </v>
      </c>
      <c r="E7974" t="s">
        <v>277</v>
      </c>
      <c r="F7974" t="s">
        <v>279</v>
      </c>
      <c r="G7974">
        <v>-5.94</v>
      </c>
      <c r="H7974">
        <v>251231</v>
      </c>
      <c r="I7974">
        <v>4600</v>
      </c>
      <c r="J7974" t="s">
        <v>278</v>
      </c>
      <c r="K7974">
        <v>732.65</v>
      </c>
      <c r="L7974">
        <v>-1.21</v>
      </c>
      <c r="M7974">
        <v>69810</v>
      </c>
      <c r="N7974" t="s">
        <v>229</v>
      </c>
      <c r="O7974">
        <v>260108</v>
      </c>
      <c r="P7974">
        <v>-4.7300000000000004</v>
      </c>
    </row>
    <row r="7975" spans="1:16" x14ac:dyDescent="0.25">
      <c r="A7975" t="s">
        <v>3296</v>
      </c>
      <c r="B7975" t="s">
        <v>2931</v>
      </c>
      <c r="C7975">
        <v>18051</v>
      </c>
      <c r="D7975" t="str">
        <f>"2561224502  "</f>
        <v xml:space="preserve">2561224502  </v>
      </c>
      <c r="E7975" t="s">
        <v>277</v>
      </c>
      <c r="F7975" t="s">
        <v>279</v>
      </c>
      <c r="G7975">
        <v>-5.95</v>
      </c>
      <c r="H7975">
        <v>251231</v>
      </c>
      <c r="I7975">
        <v>4600</v>
      </c>
      <c r="J7975" t="s">
        <v>278</v>
      </c>
      <c r="K7975">
        <v>732.65</v>
      </c>
      <c r="L7975">
        <v>-1.21</v>
      </c>
      <c r="M7975">
        <v>69811</v>
      </c>
      <c r="N7975" t="s">
        <v>230</v>
      </c>
      <c r="O7975">
        <v>260108</v>
      </c>
      <c r="P7975">
        <v>-4.74</v>
      </c>
    </row>
    <row r="7976" spans="1:16" x14ac:dyDescent="0.25">
      <c r="A7976" t="s">
        <v>3296</v>
      </c>
      <c r="B7976" t="s">
        <v>2931</v>
      </c>
      <c r="C7976">
        <v>14423</v>
      </c>
      <c r="D7976" t="str">
        <f>"25070       "</f>
        <v xml:space="preserve">25070       </v>
      </c>
      <c r="E7976" t="s">
        <v>2506</v>
      </c>
      <c r="F7976" t="s">
        <v>2507</v>
      </c>
      <c r="G7976">
        <v>87.85</v>
      </c>
      <c r="H7976">
        <v>251024</v>
      </c>
      <c r="I7976">
        <v>4600</v>
      </c>
      <c r="J7976" t="s">
        <v>278</v>
      </c>
      <c r="K7976">
        <v>87.85</v>
      </c>
      <c r="L7976">
        <v>17.850000000000001</v>
      </c>
      <c r="M7976">
        <v>11903</v>
      </c>
      <c r="N7976" t="s">
        <v>32</v>
      </c>
      <c r="O7976">
        <v>251031</v>
      </c>
      <c r="P7976">
        <v>70</v>
      </c>
    </row>
    <row r="7977" spans="1:16" x14ac:dyDescent="0.25">
      <c r="A7977" t="s">
        <v>3296</v>
      </c>
      <c r="B7977" t="s">
        <v>2931</v>
      </c>
      <c r="C7977">
        <v>1646</v>
      </c>
      <c r="D7977" t="str">
        <f>"12816       "</f>
        <v xml:space="preserve">12816       </v>
      </c>
      <c r="E7977" t="s">
        <v>1070</v>
      </c>
      <c r="F7977" t="s">
        <v>1071</v>
      </c>
      <c r="G7977">
        <v>464.58</v>
      </c>
      <c r="H7977">
        <v>250210</v>
      </c>
      <c r="I7977">
        <v>4580</v>
      </c>
      <c r="J7977" t="s">
        <v>126</v>
      </c>
      <c r="K7977">
        <v>464.58</v>
      </c>
      <c r="L7977">
        <v>94.4</v>
      </c>
      <c r="M7977">
        <v>17522</v>
      </c>
      <c r="N7977" t="s">
        <v>137</v>
      </c>
      <c r="O7977">
        <v>250212</v>
      </c>
      <c r="P7977">
        <v>370.18</v>
      </c>
    </row>
    <row r="7978" spans="1:16" x14ac:dyDescent="0.25">
      <c r="A7978" t="s">
        <v>3296</v>
      </c>
      <c r="B7978" t="s">
        <v>2931</v>
      </c>
      <c r="C7978">
        <v>2056</v>
      </c>
      <c r="D7978" t="str">
        <f>"12777       "</f>
        <v xml:space="preserve">12777       </v>
      </c>
      <c r="E7978" t="s">
        <v>1070</v>
      </c>
      <c r="F7978" t="s">
        <v>1071</v>
      </c>
      <c r="G7978">
        <v>224.04</v>
      </c>
      <c r="H7978">
        <v>250210</v>
      </c>
      <c r="I7978">
        <v>4580</v>
      </c>
      <c r="J7978" t="s">
        <v>126</v>
      </c>
      <c r="K7978">
        <v>224.04</v>
      </c>
      <c r="L7978">
        <v>45.52</v>
      </c>
      <c r="M7978">
        <v>56558</v>
      </c>
      <c r="N7978" t="s">
        <v>50</v>
      </c>
      <c r="O7978">
        <v>250220</v>
      </c>
      <c r="P7978">
        <v>178.52</v>
      </c>
    </row>
    <row r="7979" spans="1:16" x14ac:dyDescent="0.25">
      <c r="A7979" t="s">
        <v>3296</v>
      </c>
      <c r="B7979" t="s">
        <v>2931</v>
      </c>
      <c r="C7979">
        <v>4223</v>
      </c>
      <c r="D7979" t="str">
        <f>"13571       "</f>
        <v xml:space="preserve">13571       </v>
      </c>
      <c r="E7979" t="s">
        <v>1070</v>
      </c>
      <c r="F7979" t="s">
        <v>1071</v>
      </c>
      <c r="G7979">
        <v>88.1</v>
      </c>
      <c r="H7979">
        <v>250327</v>
      </c>
      <c r="I7979">
        <v>4580</v>
      </c>
      <c r="J7979" t="s">
        <v>126</v>
      </c>
      <c r="K7979">
        <v>88.1</v>
      </c>
      <c r="L7979">
        <v>17.899999999999999</v>
      </c>
      <c r="M7979">
        <v>17803</v>
      </c>
      <c r="N7979" t="s">
        <v>19</v>
      </c>
      <c r="O7979">
        <v>250409</v>
      </c>
      <c r="P7979">
        <v>70.2</v>
      </c>
    </row>
    <row r="7980" spans="1:16" x14ac:dyDescent="0.25">
      <c r="A7980" t="s">
        <v>3296</v>
      </c>
      <c r="B7980" t="s">
        <v>2931</v>
      </c>
      <c r="C7980">
        <v>4249</v>
      </c>
      <c r="D7980" t="str">
        <f>"13570       "</f>
        <v xml:space="preserve">13570       </v>
      </c>
      <c r="E7980" t="s">
        <v>1070</v>
      </c>
      <c r="F7980" t="s">
        <v>1071</v>
      </c>
      <c r="G7980">
        <v>306.91000000000003</v>
      </c>
      <c r="H7980">
        <v>250327</v>
      </c>
      <c r="I7980">
        <v>4580</v>
      </c>
      <c r="J7980" t="s">
        <v>126</v>
      </c>
      <c r="K7980">
        <v>306.91000000000003</v>
      </c>
      <c r="L7980">
        <v>62.36</v>
      </c>
      <c r="M7980">
        <v>17804</v>
      </c>
      <c r="N7980" t="s">
        <v>20</v>
      </c>
      <c r="O7980">
        <v>250409</v>
      </c>
      <c r="P7980">
        <v>244.55</v>
      </c>
    </row>
    <row r="7981" spans="1:16" x14ac:dyDescent="0.25">
      <c r="A7981" t="s">
        <v>3296</v>
      </c>
      <c r="B7981" t="s">
        <v>2931</v>
      </c>
      <c r="C7981">
        <v>11218</v>
      </c>
      <c r="D7981" t="str">
        <f>"15671       "</f>
        <v xml:space="preserve">15671       </v>
      </c>
      <c r="E7981" t="s">
        <v>1070</v>
      </c>
      <c r="F7981" t="s">
        <v>1071</v>
      </c>
      <c r="G7981">
        <v>300.42</v>
      </c>
      <c r="H7981">
        <v>250825</v>
      </c>
      <c r="I7981">
        <v>4580</v>
      </c>
      <c r="J7981" t="s">
        <v>126</v>
      </c>
      <c r="K7981">
        <v>300.42</v>
      </c>
      <c r="L7981">
        <v>61.04</v>
      </c>
      <c r="M7981">
        <v>17521</v>
      </c>
      <c r="N7981" t="s">
        <v>136</v>
      </c>
      <c r="O7981">
        <v>250902</v>
      </c>
      <c r="P7981">
        <v>239.38</v>
      </c>
    </row>
    <row r="7982" spans="1:16" x14ac:dyDescent="0.25">
      <c r="A7982" t="s">
        <v>3296</v>
      </c>
      <c r="B7982" t="s">
        <v>2931</v>
      </c>
      <c r="C7982">
        <v>12118</v>
      </c>
      <c r="D7982" t="str">
        <f>"15870       "</f>
        <v xml:space="preserve">15870       </v>
      </c>
      <c r="E7982" t="s">
        <v>1070</v>
      </c>
      <c r="F7982" t="s">
        <v>1071</v>
      </c>
      <c r="G7982">
        <v>714.23</v>
      </c>
      <c r="H7982">
        <v>250911</v>
      </c>
      <c r="I7982">
        <v>4580</v>
      </c>
      <c r="J7982" t="s">
        <v>126</v>
      </c>
      <c r="K7982">
        <v>714.23</v>
      </c>
      <c r="L7982">
        <v>145.12</v>
      </c>
      <c r="M7982">
        <v>17521</v>
      </c>
      <c r="N7982" t="s">
        <v>136</v>
      </c>
      <c r="O7982">
        <v>250916</v>
      </c>
      <c r="P7982">
        <v>569.11</v>
      </c>
    </row>
    <row r="7983" spans="1:16" x14ac:dyDescent="0.25">
      <c r="A7983" t="s">
        <v>3296</v>
      </c>
      <c r="B7983" t="s">
        <v>2931</v>
      </c>
      <c r="C7983">
        <v>12119</v>
      </c>
      <c r="D7983" t="str">
        <f>"15882       "</f>
        <v xml:space="preserve">15882       </v>
      </c>
      <c r="E7983" t="s">
        <v>1070</v>
      </c>
      <c r="F7983" t="s">
        <v>1071</v>
      </c>
      <c r="G7983">
        <v>484.64</v>
      </c>
      <c r="H7983">
        <v>250911</v>
      </c>
      <c r="I7983">
        <v>4580</v>
      </c>
      <c r="J7983" t="s">
        <v>126</v>
      </c>
      <c r="K7983">
        <v>484.64</v>
      </c>
      <c r="L7983">
        <v>98.47</v>
      </c>
      <c r="M7983">
        <v>17521</v>
      </c>
      <c r="N7983" t="s">
        <v>136</v>
      </c>
      <c r="O7983">
        <v>250916</v>
      </c>
      <c r="P7983">
        <v>386.17</v>
      </c>
    </row>
    <row r="7984" spans="1:16" x14ac:dyDescent="0.25">
      <c r="A7984" t="s">
        <v>3296</v>
      </c>
      <c r="B7984" t="s">
        <v>2931</v>
      </c>
      <c r="C7984">
        <v>12258</v>
      </c>
      <c r="D7984" t="str">
        <f>"16024       "</f>
        <v xml:space="preserve">16024       </v>
      </c>
      <c r="E7984" t="s">
        <v>1070</v>
      </c>
      <c r="F7984" t="s">
        <v>1071</v>
      </c>
      <c r="G7984">
        <v>87.41</v>
      </c>
      <c r="H7984">
        <v>250915</v>
      </c>
      <c r="I7984">
        <v>4580</v>
      </c>
      <c r="J7984" t="s">
        <v>126</v>
      </c>
      <c r="K7984">
        <v>87.41</v>
      </c>
      <c r="L7984">
        <v>17.760000000000002</v>
      </c>
      <c r="M7984">
        <v>17521</v>
      </c>
      <c r="N7984" t="s">
        <v>136</v>
      </c>
      <c r="O7984">
        <v>250918</v>
      </c>
      <c r="P7984">
        <v>69.650000000000006</v>
      </c>
    </row>
    <row r="7985" spans="1:16" x14ac:dyDescent="0.25">
      <c r="A7985" t="s">
        <v>3296</v>
      </c>
      <c r="B7985" t="s">
        <v>2931</v>
      </c>
      <c r="C7985">
        <v>13169</v>
      </c>
      <c r="D7985" t="str">
        <f>"16115       "</f>
        <v xml:space="preserve">16115       </v>
      </c>
      <c r="E7985" t="s">
        <v>1070</v>
      </c>
      <c r="F7985" t="s">
        <v>1071</v>
      </c>
      <c r="G7985">
        <v>341.8</v>
      </c>
      <c r="H7985">
        <v>250930</v>
      </c>
      <c r="I7985">
        <v>4580</v>
      </c>
      <c r="J7985" t="s">
        <v>126</v>
      </c>
      <c r="K7985">
        <v>341.8</v>
      </c>
      <c r="L7985">
        <v>69.45</v>
      </c>
      <c r="M7985">
        <v>17521</v>
      </c>
      <c r="N7985" t="s">
        <v>136</v>
      </c>
      <c r="O7985">
        <v>251006</v>
      </c>
      <c r="P7985">
        <v>272.35000000000002</v>
      </c>
    </row>
    <row r="7986" spans="1:16" x14ac:dyDescent="0.25">
      <c r="A7986" t="s">
        <v>3296</v>
      </c>
      <c r="B7986" t="s">
        <v>2931</v>
      </c>
      <c r="C7986">
        <v>17949</v>
      </c>
      <c r="D7986" t="str">
        <f>"17702       "</f>
        <v xml:space="preserve">17702       </v>
      </c>
      <c r="E7986" t="s">
        <v>1070</v>
      </c>
      <c r="F7986" t="s">
        <v>1071</v>
      </c>
      <c r="G7986">
        <v>1670.89</v>
      </c>
      <c r="H7986">
        <v>251229</v>
      </c>
      <c r="I7986">
        <v>4580</v>
      </c>
      <c r="J7986" t="s">
        <v>126</v>
      </c>
      <c r="K7986">
        <v>1670.89</v>
      </c>
      <c r="L7986">
        <v>339.5</v>
      </c>
      <c r="M7986">
        <v>56558</v>
      </c>
      <c r="N7986" t="s">
        <v>50</v>
      </c>
      <c r="O7986">
        <v>260107</v>
      </c>
      <c r="P7986">
        <v>1331.39</v>
      </c>
    </row>
    <row r="7987" spans="1:16" x14ac:dyDescent="0.25">
      <c r="A7987" t="s">
        <v>3296</v>
      </c>
      <c r="B7987" t="s">
        <v>2931</v>
      </c>
      <c r="C7987">
        <v>3298</v>
      </c>
      <c r="D7987" t="str">
        <f>"13270       "</f>
        <v xml:space="preserve">13270       </v>
      </c>
      <c r="E7987" t="s">
        <v>1070</v>
      </c>
      <c r="F7987" t="s">
        <v>1071</v>
      </c>
      <c r="G7987">
        <v>97.61</v>
      </c>
      <c r="H7987">
        <v>250306</v>
      </c>
      <c r="I7987">
        <v>4600</v>
      </c>
      <c r="J7987" t="s">
        <v>278</v>
      </c>
      <c r="K7987">
        <v>97.61</v>
      </c>
      <c r="L7987">
        <v>19.829999999999998</v>
      </c>
      <c r="M7987">
        <v>56565</v>
      </c>
      <c r="N7987" t="s">
        <v>57</v>
      </c>
      <c r="O7987">
        <v>250318</v>
      </c>
      <c r="P7987">
        <v>77.78</v>
      </c>
    </row>
    <row r="7988" spans="1:16" x14ac:dyDescent="0.25">
      <c r="A7988" t="s">
        <v>3296</v>
      </c>
      <c r="B7988" t="s">
        <v>2931</v>
      </c>
      <c r="C7988">
        <v>1843</v>
      </c>
      <c r="D7988" t="str">
        <f>"9272        "</f>
        <v xml:space="preserve">9272        </v>
      </c>
      <c r="E7988" t="s">
        <v>1141</v>
      </c>
      <c r="F7988" t="s">
        <v>1142</v>
      </c>
      <c r="G7988">
        <v>251</v>
      </c>
      <c r="H7988">
        <v>250214</v>
      </c>
      <c r="I7988">
        <v>4350</v>
      </c>
      <c r="J7988" t="s">
        <v>290</v>
      </c>
      <c r="K7988">
        <v>251</v>
      </c>
      <c r="L7988">
        <v>51</v>
      </c>
      <c r="M7988">
        <v>49702</v>
      </c>
      <c r="N7988" t="s">
        <v>112</v>
      </c>
      <c r="O7988">
        <v>250214</v>
      </c>
      <c r="P7988">
        <v>200</v>
      </c>
    </row>
    <row r="7989" spans="1:16" x14ac:dyDescent="0.25">
      <c r="A7989" t="s">
        <v>3296</v>
      </c>
      <c r="B7989" t="s">
        <v>2931</v>
      </c>
      <c r="C7989">
        <v>14069</v>
      </c>
      <c r="D7989" t="str">
        <f>"9513        "</f>
        <v xml:space="preserve">9513        </v>
      </c>
      <c r="E7989" t="s">
        <v>1141</v>
      </c>
      <c r="F7989" t="s">
        <v>1142</v>
      </c>
      <c r="G7989">
        <v>251</v>
      </c>
      <c r="H7989">
        <v>251020</v>
      </c>
      <c r="I7989">
        <v>4350</v>
      </c>
      <c r="J7989" t="s">
        <v>290</v>
      </c>
      <c r="K7989">
        <v>251</v>
      </c>
      <c r="L7989">
        <v>51</v>
      </c>
      <c r="M7989">
        <v>49702</v>
      </c>
      <c r="N7989" t="s">
        <v>112</v>
      </c>
      <c r="O7989">
        <v>251022</v>
      </c>
      <c r="P7989">
        <v>200</v>
      </c>
    </row>
    <row r="7990" spans="1:16" x14ac:dyDescent="0.25">
      <c r="A7990" t="s">
        <v>3296</v>
      </c>
      <c r="B7990" t="s">
        <v>2931</v>
      </c>
      <c r="C7990">
        <v>14107</v>
      </c>
      <c r="D7990" t="str">
        <f>"9532        "</f>
        <v xml:space="preserve">9532        </v>
      </c>
      <c r="E7990" t="s">
        <v>1141</v>
      </c>
      <c r="F7990" t="s">
        <v>1142</v>
      </c>
      <c r="G7990">
        <v>1506</v>
      </c>
      <c r="H7990">
        <v>251020</v>
      </c>
      <c r="I7990">
        <v>4350</v>
      </c>
      <c r="J7990" t="s">
        <v>290</v>
      </c>
      <c r="K7990">
        <v>1506</v>
      </c>
      <c r="L7990">
        <v>306</v>
      </c>
      <c r="M7990">
        <v>49702</v>
      </c>
      <c r="N7990" t="s">
        <v>112</v>
      </c>
      <c r="O7990">
        <v>251024</v>
      </c>
      <c r="P7990">
        <v>1200</v>
      </c>
    </row>
    <row r="7991" spans="1:16" x14ac:dyDescent="0.25">
      <c r="A7991" t="s">
        <v>3296</v>
      </c>
      <c r="B7991" t="s">
        <v>2931</v>
      </c>
      <c r="C7991">
        <v>2928</v>
      </c>
      <c r="D7991" t="str">
        <f>"#23-2025    "</f>
        <v xml:space="preserve">#23-2025    </v>
      </c>
      <c r="E7991" t="s">
        <v>3023</v>
      </c>
      <c r="F7991" t="s">
        <v>3024</v>
      </c>
      <c r="G7991">
        <v>102.95</v>
      </c>
      <c r="H7991">
        <v>250226</v>
      </c>
      <c r="I7991">
        <v>4440</v>
      </c>
      <c r="J7991" t="s">
        <v>346</v>
      </c>
      <c r="K7991">
        <v>102.95</v>
      </c>
      <c r="L7991">
        <v>0</v>
      </c>
      <c r="M7991">
        <v>41126</v>
      </c>
      <c r="N7991" t="s">
        <v>94</v>
      </c>
      <c r="O7991">
        <v>250313</v>
      </c>
      <c r="P7991">
        <v>102.95</v>
      </c>
    </row>
    <row r="7992" spans="1:16" x14ac:dyDescent="0.25">
      <c r="A7992" t="s">
        <v>3296</v>
      </c>
      <c r="B7992" t="s">
        <v>2931</v>
      </c>
      <c r="C7992">
        <v>1210</v>
      </c>
      <c r="D7992" t="str">
        <f>"800 902478  "</f>
        <v xml:space="preserve">800 902478  </v>
      </c>
      <c r="E7992" t="s">
        <v>894</v>
      </c>
      <c r="F7992" t="s">
        <v>895</v>
      </c>
      <c r="G7992">
        <v>74.099999999999994</v>
      </c>
      <c r="H7992">
        <v>250131</v>
      </c>
      <c r="I7992">
        <v>4410</v>
      </c>
      <c r="J7992" t="s">
        <v>165</v>
      </c>
      <c r="K7992">
        <v>74.099999999999994</v>
      </c>
      <c r="L7992">
        <v>9.1</v>
      </c>
      <c r="M7992">
        <v>49112</v>
      </c>
      <c r="N7992" t="s">
        <v>109</v>
      </c>
      <c r="O7992">
        <v>250205</v>
      </c>
      <c r="P7992">
        <v>65</v>
      </c>
    </row>
    <row r="7993" spans="1:16" x14ac:dyDescent="0.25">
      <c r="A7993" t="s">
        <v>3296</v>
      </c>
      <c r="B7993" t="s">
        <v>2931</v>
      </c>
      <c r="C7993">
        <v>3084</v>
      </c>
      <c r="D7993" t="str">
        <f>"800 902596  "</f>
        <v xml:space="preserve">800 902596  </v>
      </c>
      <c r="E7993" t="s">
        <v>894</v>
      </c>
      <c r="F7993" t="s">
        <v>895</v>
      </c>
      <c r="G7993">
        <v>68.400000000000006</v>
      </c>
      <c r="H7993">
        <v>250228</v>
      </c>
      <c r="I7993">
        <v>4410</v>
      </c>
      <c r="J7993" t="s">
        <v>165</v>
      </c>
      <c r="K7993">
        <v>68.400000000000006</v>
      </c>
      <c r="L7993">
        <v>8.4</v>
      </c>
      <c r="M7993">
        <v>49112</v>
      </c>
      <c r="N7993" t="s">
        <v>109</v>
      </c>
      <c r="O7993">
        <v>250314</v>
      </c>
      <c r="P7993">
        <v>60</v>
      </c>
    </row>
    <row r="7994" spans="1:16" x14ac:dyDescent="0.25">
      <c r="A7994" t="s">
        <v>3296</v>
      </c>
      <c r="B7994" t="s">
        <v>2931</v>
      </c>
      <c r="C7994">
        <v>4920</v>
      </c>
      <c r="D7994" t="str">
        <f>"800 902698  "</f>
        <v xml:space="preserve">800 902698  </v>
      </c>
      <c r="E7994" t="s">
        <v>894</v>
      </c>
      <c r="F7994" t="s">
        <v>895</v>
      </c>
      <c r="G7994">
        <v>108.3</v>
      </c>
      <c r="H7994">
        <v>250331</v>
      </c>
      <c r="I7994">
        <v>4410</v>
      </c>
      <c r="J7994" t="s">
        <v>165</v>
      </c>
      <c r="K7994">
        <v>108.3</v>
      </c>
      <c r="L7994">
        <v>13.3</v>
      </c>
      <c r="M7994">
        <v>49112</v>
      </c>
      <c r="N7994" t="s">
        <v>109</v>
      </c>
      <c r="O7994">
        <v>250416</v>
      </c>
      <c r="P7994">
        <v>95</v>
      </c>
    </row>
    <row r="7995" spans="1:16" x14ac:dyDescent="0.25">
      <c r="A7995" t="s">
        <v>3296</v>
      </c>
      <c r="B7995" t="s">
        <v>2931</v>
      </c>
      <c r="C7995">
        <v>6448</v>
      </c>
      <c r="D7995" t="str">
        <f>"800 902779  "</f>
        <v xml:space="preserve">800 902779  </v>
      </c>
      <c r="E7995" t="s">
        <v>894</v>
      </c>
      <c r="F7995" t="s">
        <v>895</v>
      </c>
      <c r="G7995">
        <v>148.19999999999999</v>
      </c>
      <c r="H7995">
        <v>250430</v>
      </c>
      <c r="I7995">
        <v>4410</v>
      </c>
      <c r="J7995" t="s">
        <v>165</v>
      </c>
      <c r="K7995">
        <v>148.19999999999999</v>
      </c>
      <c r="L7995">
        <v>18.2</v>
      </c>
      <c r="M7995">
        <v>49112</v>
      </c>
      <c r="N7995" t="s">
        <v>109</v>
      </c>
      <c r="O7995">
        <v>250513</v>
      </c>
      <c r="P7995">
        <v>130</v>
      </c>
    </row>
    <row r="7996" spans="1:16" x14ac:dyDescent="0.25">
      <c r="A7996" t="s">
        <v>3296</v>
      </c>
      <c r="B7996" t="s">
        <v>2931</v>
      </c>
      <c r="C7996">
        <v>8537</v>
      </c>
      <c r="D7996" t="str">
        <f>"800 902926  "</f>
        <v xml:space="preserve">800 902926  </v>
      </c>
      <c r="E7996" t="s">
        <v>894</v>
      </c>
      <c r="F7996" t="s">
        <v>895</v>
      </c>
      <c r="G7996">
        <v>136.80000000000001</v>
      </c>
      <c r="H7996">
        <v>250531</v>
      </c>
      <c r="I7996">
        <v>4410</v>
      </c>
      <c r="J7996" t="s">
        <v>165</v>
      </c>
      <c r="K7996">
        <v>136.80000000000001</v>
      </c>
      <c r="L7996">
        <v>16.8</v>
      </c>
      <c r="M7996">
        <v>49112</v>
      </c>
      <c r="N7996" t="s">
        <v>109</v>
      </c>
      <c r="O7996">
        <v>250617</v>
      </c>
      <c r="P7996">
        <v>120</v>
      </c>
    </row>
    <row r="7997" spans="1:16" x14ac:dyDescent="0.25">
      <c r="A7997" t="s">
        <v>3296</v>
      </c>
      <c r="B7997" t="s">
        <v>2931</v>
      </c>
      <c r="C7997">
        <v>4896</v>
      </c>
      <c r="D7997" t="str">
        <f>"52449       "</f>
        <v xml:space="preserve">52449       </v>
      </c>
      <c r="E7997" t="s">
        <v>841</v>
      </c>
      <c r="F7997" t="s">
        <v>842</v>
      </c>
      <c r="G7997">
        <v>345</v>
      </c>
      <c r="H7997">
        <v>250331</v>
      </c>
      <c r="I7997">
        <v>4550</v>
      </c>
      <c r="J7997" t="s">
        <v>226</v>
      </c>
      <c r="K7997">
        <v>1053.75</v>
      </c>
      <c r="L7997">
        <v>70.099999999999994</v>
      </c>
      <c r="M7997">
        <v>46557</v>
      </c>
      <c r="N7997" t="s">
        <v>104</v>
      </c>
      <c r="O7997">
        <v>250416</v>
      </c>
      <c r="P7997">
        <v>274.89999999999998</v>
      </c>
    </row>
    <row r="7998" spans="1:16" x14ac:dyDescent="0.25">
      <c r="A7998" t="s">
        <v>3296</v>
      </c>
      <c r="B7998" t="s">
        <v>2931</v>
      </c>
      <c r="C7998">
        <v>13614</v>
      </c>
      <c r="D7998" t="str">
        <f>"54038       "</f>
        <v xml:space="preserve">54038       </v>
      </c>
      <c r="E7998" t="s">
        <v>841</v>
      </c>
      <c r="F7998" t="s">
        <v>842</v>
      </c>
      <c r="G7998">
        <v>366.89</v>
      </c>
      <c r="H7998">
        <v>250930</v>
      </c>
      <c r="I7998">
        <v>4550</v>
      </c>
      <c r="J7998" t="s">
        <v>226</v>
      </c>
      <c r="K7998">
        <v>373.19</v>
      </c>
      <c r="L7998">
        <v>74.55</v>
      </c>
      <c r="M7998">
        <v>46557</v>
      </c>
      <c r="N7998" t="s">
        <v>104</v>
      </c>
      <c r="O7998">
        <v>251013</v>
      </c>
      <c r="P7998">
        <v>292.33999999999997</v>
      </c>
    </row>
    <row r="7999" spans="1:16" x14ac:dyDescent="0.25">
      <c r="A7999" t="s">
        <v>3296</v>
      </c>
      <c r="B7999" t="s">
        <v>2931</v>
      </c>
      <c r="C7999">
        <v>1087</v>
      </c>
      <c r="D7999" t="str">
        <f>"51830       "</f>
        <v xml:space="preserve">51830       </v>
      </c>
      <c r="E7999" t="s">
        <v>841</v>
      </c>
      <c r="F7999" t="s">
        <v>842</v>
      </c>
      <c r="G7999">
        <v>205.38</v>
      </c>
      <c r="H7999">
        <v>250131</v>
      </c>
      <c r="I7999">
        <v>4580</v>
      </c>
      <c r="J7999" t="s">
        <v>126</v>
      </c>
      <c r="K7999">
        <v>205.38</v>
      </c>
      <c r="L7999">
        <v>41.73</v>
      </c>
      <c r="M7999">
        <v>46557</v>
      </c>
      <c r="N7999" t="s">
        <v>104</v>
      </c>
      <c r="O7999">
        <v>250204</v>
      </c>
      <c r="P7999">
        <v>163.65</v>
      </c>
    </row>
    <row r="8000" spans="1:16" x14ac:dyDescent="0.25">
      <c r="A8000" t="s">
        <v>3296</v>
      </c>
      <c r="B8000" t="s">
        <v>2931</v>
      </c>
      <c r="C8000">
        <v>11258</v>
      </c>
      <c r="D8000" t="str">
        <f>"53702       "</f>
        <v xml:space="preserve">53702       </v>
      </c>
      <c r="E8000" t="s">
        <v>841</v>
      </c>
      <c r="F8000" t="s">
        <v>842</v>
      </c>
      <c r="G8000">
        <v>1100</v>
      </c>
      <c r="H8000">
        <v>250828</v>
      </c>
      <c r="I8000">
        <v>4580</v>
      </c>
      <c r="J8000" t="s">
        <v>126</v>
      </c>
      <c r="K8000">
        <v>1100</v>
      </c>
      <c r="L8000">
        <v>223.51</v>
      </c>
      <c r="M8000">
        <v>46557</v>
      </c>
      <c r="N8000" t="s">
        <v>104</v>
      </c>
      <c r="O8000">
        <v>250902</v>
      </c>
      <c r="P8000">
        <v>876.49</v>
      </c>
    </row>
    <row r="8001" spans="1:16" x14ac:dyDescent="0.25">
      <c r="A8001" t="s">
        <v>3296</v>
      </c>
      <c r="B8001" t="s">
        <v>2931</v>
      </c>
      <c r="C8001">
        <v>13614</v>
      </c>
      <c r="D8001" t="str">
        <f>"54038       "</f>
        <v xml:space="preserve">54038       </v>
      </c>
      <c r="E8001" t="s">
        <v>841</v>
      </c>
      <c r="F8001" t="s">
        <v>842</v>
      </c>
      <c r="G8001">
        <v>6.3</v>
      </c>
      <c r="H8001">
        <v>250930</v>
      </c>
      <c r="I8001">
        <v>4580</v>
      </c>
      <c r="J8001" t="s">
        <v>126</v>
      </c>
      <c r="K8001">
        <v>373.19</v>
      </c>
      <c r="L8001">
        <v>1.28</v>
      </c>
      <c r="M8001">
        <v>46557</v>
      </c>
      <c r="N8001" t="s">
        <v>104</v>
      </c>
      <c r="O8001">
        <v>251013</v>
      </c>
      <c r="P8001">
        <v>5.0199999999999996</v>
      </c>
    </row>
    <row r="8002" spans="1:16" x14ac:dyDescent="0.25">
      <c r="A8002" t="s">
        <v>3296</v>
      </c>
      <c r="B8002" t="s">
        <v>2931</v>
      </c>
      <c r="C8002">
        <v>17010</v>
      </c>
      <c r="D8002" t="str">
        <f>"54691       "</f>
        <v xml:space="preserve">54691       </v>
      </c>
      <c r="E8002" t="s">
        <v>841</v>
      </c>
      <c r="F8002" t="s">
        <v>842</v>
      </c>
      <c r="G8002">
        <v>510.68</v>
      </c>
      <c r="H8002">
        <v>251211</v>
      </c>
      <c r="I8002">
        <v>4580</v>
      </c>
      <c r="J8002" t="s">
        <v>126</v>
      </c>
      <c r="K8002">
        <v>536.83000000000004</v>
      </c>
      <c r="L8002">
        <v>103.76</v>
      </c>
      <c r="M8002">
        <v>46557</v>
      </c>
      <c r="N8002" t="s">
        <v>104</v>
      </c>
      <c r="O8002">
        <v>251216</v>
      </c>
      <c r="P8002">
        <v>406.92</v>
      </c>
    </row>
    <row r="8003" spans="1:16" x14ac:dyDescent="0.25">
      <c r="A8003" t="s">
        <v>3296</v>
      </c>
      <c r="B8003" t="s">
        <v>2931</v>
      </c>
      <c r="C8003">
        <v>4070</v>
      </c>
      <c r="D8003" t="str">
        <f>"52282       "</f>
        <v xml:space="preserve">52282       </v>
      </c>
      <c r="E8003" t="s">
        <v>841</v>
      </c>
      <c r="F8003" t="s">
        <v>842</v>
      </c>
      <c r="G8003">
        <v>521.41</v>
      </c>
      <c r="H8003">
        <v>250326</v>
      </c>
      <c r="I8003">
        <v>4600</v>
      </c>
      <c r="J8003" t="s">
        <v>278</v>
      </c>
      <c r="K8003">
        <v>521.41</v>
      </c>
      <c r="L8003">
        <v>105.94</v>
      </c>
      <c r="M8003">
        <v>46557</v>
      </c>
      <c r="N8003" t="s">
        <v>104</v>
      </c>
      <c r="O8003">
        <v>250407</v>
      </c>
      <c r="P8003">
        <v>415.47</v>
      </c>
    </row>
    <row r="8004" spans="1:16" x14ac:dyDescent="0.25">
      <c r="A8004" t="s">
        <v>3296</v>
      </c>
      <c r="B8004" t="s">
        <v>2931</v>
      </c>
      <c r="C8004">
        <v>4896</v>
      </c>
      <c r="D8004" t="str">
        <f>"52449       "</f>
        <v xml:space="preserve">52449       </v>
      </c>
      <c r="E8004" t="s">
        <v>841</v>
      </c>
      <c r="F8004" t="s">
        <v>842</v>
      </c>
      <c r="G8004">
        <v>708.75</v>
      </c>
      <c r="H8004">
        <v>250331</v>
      </c>
      <c r="I8004">
        <v>4600</v>
      </c>
      <c r="J8004" t="s">
        <v>278</v>
      </c>
      <c r="K8004">
        <v>1053.75</v>
      </c>
      <c r="L8004">
        <v>144.01</v>
      </c>
      <c r="M8004">
        <v>46557</v>
      </c>
      <c r="N8004" t="s">
        <v>104</v>
      </c>
      <c r="O8004">
        <v>250416</v>
      </c>
      <c r="P8004">
        <v>564.74</v>
      </c>
    </row>
    <row r="8005" spans="1:16" x14ac:dyDescent="0.25">
      <c r="A8005" t="s">
        <v>3296</v>
      </c>
      <c r="B8005" t="s">
        <v>2931</v>
      </c>
      <c r="C8005">
        <v>15224</v>
      </c>
      <c r="D8005" t="str">
        <f>"54377       "</f>
        <v xml:space="preserve">54377       </v>
      </c>
      <c r="E8005" t="s">
        <v>841</v>
      </c>
      <c r="F8005" t="s">
        <v>842</v>
      </c>
      <c r="G8005">
        <v>162.5</v>
      </c>
      <c r="H8005">
        <v>251106</v>
      </c>
      <c r="I8005">
        <v>4600</v>
      </c>
      <c r="J8005" t="s">
        <v>278</v>
      </c>
      <c r="K8005">
        <v>362.5</v>
      </c>
      <c r="L8005">
        <v>33.020000000000003</v>
      </c>
      <c r="M8005">
        <v>46564</v>
      </c>
      <c r="N8005" t="s">
        <v>678</v>
      </c>
      <c r="O8005">
        <v>251114</v>
      </c>
      <c r="P8005">
        <v>129.47999999999999</v>
      </c>
    </row>
    <row r="8006" spans="1:16" x14ac:dyDescent="0.25">
      <c r="A8006" t="s">
        <v>3296</v>
      </c>
      <c r="B8006" t="s">
        <v>2931</v>
      </c>
      <c r="C8006">
        <v>15224</v>
      </c>
      <c r="D8006" t="str">
        <f>"54377       "</f>
        <v xml:space="preserve">54377       </v>
      </c>
      <c r="E8006" t="s">
        <v>841</v>
      </c>
      <c r="F8006" t="s">
        <v>842</v>
      </c>
      <c r="G8006">
        <v>200</v>
      </c>
      <c r="H8006">
        <v>251106</v>
      </c>
      <c r="I8006">
        <v>4600</v>
      </c>
      <c r="J8006" t="s">
        <v>278</v>
      </c>
      <c r="K8006">
        <v>362.5</v>
      </c>
      <c r="L8006">
        <v>40.64</v>
      </c>
      <c r="M8006">
        <v>49701</v>
      </c>
      <c r="N8006" t="s">
        <v>111</v>
      </c>
      <c r="O8006">
        <v>251114</v>
      </c>
      <c r="P8006">
        <v>159.36000000000001</v>
      </c>
    </row>
    <row r="8007" spans="1:16" x14ac:dyDescent="0.25">
      <c r="A8007" t="s">
        <v>3296</v>
      </c>
      <c r="B8007" t="s">
        <v>2931</v>
      </c>
      <c r="C8007">
        <v>17010</v>
      </c>
      <c r="D8007" t="str">
        <f>"54691       "</f>
        <v xml:space="preserve">54691       </v>
      </c>
      <c r="E8007" t="s">
        <v>841</v>
      </c>
      <c r="F8007" t="s">
        <v>842</v>
      </c>
      <c r="G8007">
        <v>26.15</v>
      </c>
      <c r="H8007">
        <v>251211</v>
      </c>
      <c r="I8007">
        <v>4600</v>
      </c>
      <c r="J8007" t="s">
        <v>278</v>
      </c>
      <c r="K8007">
        <v>536.83000000000004</v>
      </c>
      <c r="L8007">
        <v>5.31</v>
      </c>
      <c r="M8007">
        <v>46557</v>
      </c>
      <c r="N8007" t="s">
        <v>104</v>
      </c>
      <c r="O8007">
        <v>251216</v>
      </c>
      <c r="P8007">
        <v>20.84</v>
      </c>
    </row>
    <row r="8008" spans="1:16" x14ac:dyDescent="0.25">
      <c r="A8008" t="s">
        <v>3296</v>
      </c>
      <c r="B8008" t="s">
        <v>2931</v>
      </c>
      <c r="C8008">
        <v>1527</v>
      </c>
      <c r="D8008" t="str">
        <f>"161 250083  "</f>
        <v xml:space="preserve">161 250083  </v>
      </c>
      <c r="E8008" t="s">
        <v>2904</v>
      </c>
      <c r="F8008" t="s">
        <v>2905</v>
      </c>
      <c r="G8008">
        <v>150</v>
      </c>
      <c r="H8008">
        <v>250122</v>
      </c>
      <c r="I8008">
        <v>4346</v>
      </c>
      <c r="J8008" t="s">
        <v>334</v>
      </c>
      <c r="K8008">
        <v>150</v>
      </c>
      <c r="L8008">
        <v>0</v>
      </c>
      <c r="M8008">
        <v>49112</v>
      </c>
      <c r="N8008" t="s">
        <v>109</v>
      </c>
      <c r="O8008">
        <v>250211</v>
      </c>
      <c r="P8008">
        <v>150</v>
      </c>
    </row>
    <row r="8009" spans="1:16" x14ac:dyDescent="0.25">
      <c r="A8009" t="s">
        <v>3296</v>
      </c>
      <c r="B8009" t="s">
        <v>2931</v>
      </c>
      <c r="C8009">
        <v>2477</v>
      </c>
      <c r="D8009" t="str">
        <f>"161 250546  "</f>
        <v xml:space="preserve">161 250546  </v>
      </c>
      <c r="E8009" t="s">
        <v>2904</v>
      </c>
      <c r="F8009" t="s">
        <v>2905</v>
      </c>
      <c r="G8009">
        <v>150</v>
      </c>
      <c r="H8009">
        <v>250224</v>
      </c>
      <c r="I8009">
        <v>4346</v>
      </c>
      <c r="J8009" t="s">
        <v>334</v>
      </c>
      <c r="K8009">
        <v>150</v>
      </c>
      <c r="L8009">
        <v>0</v>
      </c>
      <c r="M8009">
        <v>49503</v>
      </c>
      <c r="N8009" t="s">
        <v>267</v>
      </c>
      <c r="O8009">
        <v>250228</v>
      </c>
      <c r="P8009">
        <v>150</v>
      </c>
    </row>
    <row r="8010" spans="1:16" x14ac:dyDescent="0.25">
      <c r="A8010" t="s">
        <v>3296</v>
      </c>
      <c r="B8010" t="s">
        <v>2931</v>
      </c>
      <c r="C8010">
        <v>2478</v>
      </c>
      <c r="D8010" t="str">
        <f>"161 250549  "</f>
        <v xml:space="preserve">161 250549  </v>
      </c>
      <c r="E8010" t="s">
        <v>2904</v>
      </c>
      <c r="F8010" t="s">
        <v>2905</v>
      </c>
      <c r="G8010">
        <v>150</v>
      </c>
      <c r="H8010">
        <v>250224</v>
      </c>
      <c r="I8010">
        <v>4346</v>
      </c>
      <c r="J8010" t="s">
        <v>334</v>
      </c>
      <c r="K8010">
        <v>150</v>
      </c>
      <c r="L8010">
        <v>0</v>
      </c>
      <c r="M8010">
        <v>49501</v>
      </c>
      <c r="N8010" t="s">
        <v>110</v>
      </c>
      <c r="O8010">
        <v>250228</v>
      </c>
      <c r="P8010">
        <v>150</v>
      </c>
    </row>
    <row r="8011" spans="1:16" x14ac:dyDescent="0.25">
      <c r="A8011" t="s">
        <v>3296</v>
      </c>
      <c r="B8011" t="s">
        <v>2931</v>
      </c>
      <c r="C8011">
        <v>4393</v>
      </c>
      <c r="D8011" t="str">
        <f>"161 250686  "</f>
        <v xml:space="preserve">161 250686  </v>
      </c>
      <c r="E8011" t="s">
        <v>2904</v>
      </c>
      <c r="F8011" t="s">
        <v>2905</v>
      </c>
      <c r="G8011">
        <v>245</v>
      </c>
      <c r="H8011">
        <v>250324</v>
      </c>
      <c r="I8011">
        <v>4346</v>
      </c>
      <c r="J8011" t="s">
        <v>334</v>
      </c>
      <c r="K8011">
        <v>245</v>
      </c>
      <c r="L8011">
        <v>0</v>
      </c>
      <c r="M8011">
        <v>49112</v>
      </c>
      <c r="N8011" t="s">
        <v>109</v>
      </c>
      <c r="O8011">
        <v>250411</v>
      </c>
      <c r="P8011">
        <v>245</v>
      </c>
    </row>
    <row r="8012" spans="1:16" x14ac:dyDescent="0.25">
      <c r="A8012" t="s">
        <v>3296</v>
      </c>
      <c r="B8012" t="s">
        <v>2931</v>
      </c>
      <c r="C8012">
        <v>2407</v>
      </c>
      <c r="D8012" t="str">
        <f>"161 250528  "</f>
        <v xml:space="preserve">161 250528  </v>
      </c>
      <c r="E8012" t="s">
        <v>2904</v>
      </c>
      <c r="F8012" t="s">
        <v>2905</v>
      </c>
      <c r="G8012">
        <v>150</v>
      </c>
      <c r="H8012">
        <v>250220</v>
      </c>
      <c r="I8012">
        <v>4470</v>
      </c>
      <c r="J8012" t="s">
        <v>203</v>
      </c>
      <c r="K8012">
        <v>150</v>
      </c>
      <c r="L8012">
        <v>0</v>
      </c>
      <c r="M8012">
        <v>13401</v>
      </c>
      <c r="N8012" t="s">
        <v>10</v>
      </c>
      <c r="O8012">
        <v>250225</v>
      </c>
      <c r="P8012">
        <v>150</v>
      </c>
    </row>
    <row r="8013" spans="1:16" x14ac:dyDescent="0.25">
      <c r="A8013" t="s">
        <v>3296</v>
      </c>
      <c r="B8013" t="s">
        <v>2931</v>
      </c>
      <c r="C8013">
        <v>10392</v>
      </c>
      <c r="D8013" t="str">
        <f>"131 250023  "</f>
        <v xml:space="preserve">131 250023  </v>
      </c>
      <c r="E8013" t="s">
        <v>2904</v>
      </c>
      <c r="F8013" t="s">
        <v>2905</v>
      </c>
      <c r="G8013">
        <v>3939.7</v>
      </c>
      <c r="H8013">
        <v>250731</v>
      </c>
      <c r="I8013">
        <v>4820</v>
      </c>
      <c r="J8013" t="s">
        <v>169</v>
      </c>
      <c r="K8013">
        <v>3939.7</v>
      </c>
      <c r="L8013">
        <v>800.5</v>
      </c>
      <c r="M8013">
        <v>49502</v>
      </c>
      <c r="N8013" t="s">
        <v>2889</v>
      </c>
      <c r="O8013">
        <v>250818</v>
      </c>
      <c r="P8013">
        <v>3139.2</v>
      </c>
    </row>
    <row r="8014" spans="1:16" x14ac:dyDescent="0.25">
      <c r="A8014" t="s">
        <v>3296</v>
      </c>
      <c r="B8014" t="s">
        <v>2931</v>
      </c>
      <c r="C8014">
        <v>6541</v>
      </c>
      <c r="D8014" t="str">
        <f>"19127       "</f>
        <v xml:space="preserve">19127       </v>
      </c>
      <c r="E8014" t="s">
        <v>1865</v>
      </c>
      <c r="F8014" t="s">
        <v>1866</v>
      </c>
      <c r="G8014">
        <v>68</v>
      </c>
      <c r="H8014">
        <v>250422</v>
      </c>
      <c r="I8014">
        <v>4550</v>
      </c>
      <c r="J8014" t="s">
        <v>226</v>
      </c>
      <c r="K8014">
        <v>434.1</v>
      </c>
      <c r="L8014">
        <v>13.82</v>
      </c>
      <c r="M8014">
        <v>46554</v>
      </c>
      <c r="N8014" t="s">
        <v>102</v>
      </c>
      <c r="O8014">
        <v>250514</v>
      </c>
      <c r="P8014">
        <v>54.18</v>
      </c>
    </row>
    <row r="8015" spans="1:16" x14ac:dyDescent="0.25">
      <c r="A8015" t="s">
        <v>3296</v>
      </c>
      <c r="B8015" t="s">
        <v>2931</v>
      </c>
      <c r="C8015">
        <v>6541</v>
      </c>
      <c r="D8015" t="str">
        <f>"19127       "</f>
        <v xml:space="preserve">19127       </v>
      </c>
      <c r="E8015" t="s">
        <v>1865</v>
      </c>
      <c r="F8015" t="s">
        <v>1866</v>
      </c>
      <c r="G8015">
        <v>239</v>
      </c>
      <c r="H8015">
        <v>250422</v>
      </c>
      <c r="I8015">
        <v>4580</v>
      </c>
      <c r="J8015" t="s">
        <v>126</v>
      </c>
      <c r="K8015">
        <v>434.1</v>
      </c>
      <c r="L8015">
        <v>48.56</v>
      </c>
      <c r="M8015">
        <v>46554</v>
      </c>
      <c r="N8015" t="s">
        <v>102</v>
      </c>
      <c r="O8015">
        <v>250514</v>
      </c>
      <c r="P8015">
        <v>190.44</v>
      </c>
    </row>
    <row r="8016" spans="1:16" x14ac:dyDescent="0.25">
      <c r="A8016" t="s">
        <v>3296</v>
      </c>
      <c r="B8016" t="s">
        <v>2931</v>
      </c>
      <c r="C8016">
        <v>6541</v>
      </c>
      <c r="D8016" t="str">
        <f>"19127       "</f>
        <v xml:space="preserve">19127       </v>
      </c>
      <c r="E8016" t="s">
        <v>1865</v>
      </c>
      <c r="F8016" t="s">
        <v>1866</v>
      </c>
      <c r="G8016">
        <v>127.1</v>
      </c>
      <c r="H8016">
        <v>250422</v>
      </c>
      <c r="I8016">
        <v>4600</v>
      </c>
      <c r="J8016" t="s">
        <v>278</v>
      </c>
      <c r="K8016">
        <v>434.1</v>
      </c>
      <c r="L8016">
        <v>25.83</v>
      </c>
      <c r="M8016">
        <v>46554</v>
      </c>
      <c r="N8016" t="s">
        <v>102</v>
      </c>
      <c r="O8016">
        <v>250514</v>
      </c>
      <c r="P8016">
        <v>101.27</v>
      </c>
    </row>
    <row r="8017" spans="1:16" x14ac:dyDescent="0.25">
      <c r="A8017" t="s">
        <v>3296</v>
      </c>
      <c r="B8017" t="s">
        <v>2931</v>
      </c>
      <c r="C8017">
        <v>15315</v>
      </c>
      <c r="D8017" t="str">
        <f>"19666       "</f>
        <v xml:space="preserve">19666       </v>
      </c>
      <c r="E8017" t="s">
        <v>1865</v>
      </c>
      <c r="F8017" t="s">
        <v>1866</v>
      </c>
      <c r="G8017">
        <v>43</v>
      </c>
      <c r="H8017">
        <v>251110</v>
      </c>
      <c r="I8017">
        <v>4600</v>
      </c>
      <c r="J8017" t="s">
        <v>278</v>
      </c>
      <c r="K8017">
        <v>43</v>
      </c>
      <c r="L8017">
        <v>8.74</v>
      </c>
      <c r="M8017">
        <v>46561</v>
      </c>
      <c r="N8017" t="s">
        <v>1535</v>
      </c>
      <c r="O8017">
        <v>251118</v>
      </c>
      <c r="P8017">
        <v>34.26</v>
      </c>
    </row>
    <row r="8018" spans="1:16" x14ac:dyDescent="0.25">
      <c r="A8018" t="s">
        <v>3296</v>
      </c>
      <c r="B8018" t="s">
        <v>2931</v>
      </c>
      <c r="C8018">
        <v>10878</v>
      </c>
      <c r="D8018" t="str">
        <f>"S/2025/00389"</f>
        <v>S/2025/00389</v>
      </c>
      <c r="E8018" t="s">
        <v>2227</v>
      </c>
      <c r="F8018" t="s">
        <v>2228</v>
      </c>
      <c r="G8018">
        <v>207.26</v>
      </c>
      <c r="H8018">
        <v>250819</v>
      </c>
      <c r="I8018">
        <v>4600</v>
      </c>
      <c r="J8018" t="s">
        <v>278</v>
      </c>
      <c r="K8018">
        <v>207.26</v>
      </c>
      <c r="L8018">
        <v>42.11</v>
      </c>
      <c r="M8018">
        <v>17529</v>
      </c>
      <c r="N8018" t="s">
        <v>143</v>
      </c>
      <c r="O8018">
        <v>250826</v>
      </c>
      <c r="P8018">
        <v>165.15</v>
      </c>
    </row>
    <row r="8019" spans="1:16" x14ac:dyDescent="0.25">
      <c r="A8019" t="s">
        <v>3296</v>
      </c>
      <c r="B8019" t="s">
        <v>2931</v>
      </c>
      <c r="C8019">
        <v>174</v>
      </c>
      <c r="D8019" t="str">
        <f>"9081        "</f>
        <v xml:space="preserve">9081        </v>
      </c>
      <c r="E8019" t="s">
        <v>289</v>
      </c>
      <c r="F8019" t="s">
        <v>291</v>
      </c>
      <c r="G8019">
        <v>10843.2</v>
      </c>
      <c r="H8019">
        <v>250102</v>
      </c>
      <c r="I8019">
        <v>4350</v>
      </c>
      <c r="J8019" t="s">
        <v>290</v>
      </c>
      <c r="K8019">
        <v>10843.2</v>
      </c>
      <c r="L8019">
        <v>2203.1999999999998</v>
      </c>
      <c r="M8019">
        <v>11301</v>
      </c>
      <c r="N8019" t="s">
        <v>92</v>
      </c>
      <c r="O8019">
        <v>250115</v>
      </c>
      <c r="P8019">
        <v>8640</v>
      </c>
    </row>
    <row r="8020" spans="1:16" x14ac:dyDescent="0.25">
      <c r="A8020" t="s">
        <v>3296</v>
      </c>
      <c r="B8020" t="s">
        <v>2931</v>
      </c>
      <c r="C8020">
        <v>150</v>
      </c>
      <c r="D8020" t="str">
        <f>"3645        "</f>
        <v xml:space="preserve">3645        </v>
      </c>
      <c r="E8020" t="s">
        <v>273</v>
      </c>
      <c r="F8020" t="s">
        <v>274</v>
      </c>
      <c r="G8020">
        <v>685.27</v>
      </c>
      <c r="H8020">
        <v>250103</v>
      </c>
      <c r="I8020">
        <v>4510</v>
      </c>
      <c r="J8020" t="s">
        <v>240</v>
      </c>
      <c r="K8020">
        <v>1370.55</v>
      </c>
      <c r="L8020">
        <v>139.24</v>
      </c>
      <c r="M8020">
        <v>13401</v>
      </c>
      <c r="N8020" t="s">
        <v>10</v>
      </c>
      <c r="O8020">
        <v>250114</v>
      </c>
      <c r="P8020">
        <v>546.03</v>
      </c>
    </row>
    <row r="8021" spans="1:16" x14ac:dyDescent="0.25">
      <c r="A8021" t="s">
        <v>3296</v>
      </c>
      <c r="B8021" t="s">
        <v>2931</v>
      </c>
      <c r="C8021">
        <v>150</v>
      </c>
      <c r="D8021" t="str">
        <f>"3645        "</f>
        <v xml:space="preserve">3645        </v>
      </c>
      <c r="E8021" t="s">
        <v>273</v>
      </c>
      <c r="F8021" t="s">
        <v>274</v>
      </c>
      <c r="G8021">
        <v>685.28</v>
      </c>
      <c r="H8021">
        <v>250103</v>
      </c>
      <c r="I8021">
        <v>4510</v>
      </c>
      <c r="J8021" t="s">
        <v>240</v>
      </c>
      <c r="K8021">
        <v>1370.55</v>
      </c>
      <c r="L8021">
        <v>139.24</v>
      </c>
      <c r="M8021">
        <v>13501</v>
      </c>
      <c r="N8021" t="s">
        <v>66</v>
      </c>
      <c r="O8021">
        <v>250114</v>
      </c>
      <c r="P8021">
        <v>546.04</v>
      </c>
    </row>
    <row r="8022" spans="1:16" x14ac:dyDescent="0.25">
      <c r="A8022" t="s">
        <v>3296</v>
      </c>
      <c r="B8022" t="s">
        <v>2931</v>
      </c>
      <c r="C8022">
        <v>17978</v>
      </c>
      <c r="D8022" t="str">
        <f>"357173      "</f>
        <v xml:space="preserve">357173      </v>
      </c>
      <c r="E8022" t="s">
        <v>1207</v>
      </c>
      <c r="F8022" t="s">
        <v>1208</v>
      </c>
      <c r="G8022">
        <v>38.909999999999997</v>
      </c>
      <c r="H8022">
        <v>251230</v>
      </c>
      <c r="I8022">
        <v>4346</v>
      </c>
      <c r="J8022" t="s">
        <v>334</v>
      </c>
      <c r="K8022">
        <v>38.909999999999997</v>
      </c>
      <c r="L8022">
        <v>7.91</v>
      </c>
      <c r="M8022">
        <v>13940</v>
      </c>
      <c r="N8022" t="s">
        <v>14</v>
      </c>
      <c r="O8022">
        <v>260107</v>
      </c>
      <c r="P8022">
        <v>31</v>
      </c>
    </row>
    <row r="8023" spans="1:16" x14ac:dyDescent="0.25">
      <c r="A8023" t="s">
        <v>3296</v>
      </c>
      <c r="B8023" t="s">
        <v>2931</v>
      </c>
      <c r="C8023">
        <v>2150</v>
      </c>
      <c r="D8023" t="str">
        <f>"243634      "</f>
        <v xml:space="preserve">243634      </v>
      </c>
      <c r="E8023" t="s">
        <v>1207</v>
      </c>
      <c r="F8023" t="s">
        <v>1208</v>
      </c>
      <c r="G8023">
        <v>75.3</v>
      </c>
      <c r="H8023">
        <v>250215</v>
      </c>
      <c r="I8023">
        <v>4470</v>
      </c>
      <c r="J8023" t="s">
        <v>203</v>
      </c>
      <c r="K8023">
        <v>75.3</v>
      </c>
      <c r="L8023">
        <v>15.3</v>
      </c>
      <c r="M8023">
        <v>17711</v>
      </c>
      <c r="N8023" t="s">
        <v>155</v>
      </c>
      <c r="O8023">
        <v>250220</v>
      </c>
      <c r="P8023">
        <v>60</v>
      </c>
    </row>
    <row r="8024" spans="1:16" x14ac:dyDescent="0.25">
      <c r="A8024" t="s">
        <v>3296</v>
      </c>
      <c r="B8024" t="s">
        <v>2931</v>
      </c>
      <c r="C8024">
        <v>4035</v>
      </c>
      <c r="D8024" t="str">
        <f>"245230      "</f>
        <v xml:space="preserve">245230      </v>
      </c>
      <c r="E8024" t="s">
        <v>1207</v>
      </c>
      <c r="F8024" t="s">
        <v>1208</v>
      </c>
      <c r="G8024">
        <v>18.829999999999998</v>
      </c>
      <c r="H8024">
        <v>250318</v>
      </c>
      <c r="I8024">
        <v>4470</v>
      </c>
      <c r="J8024" t="s">
        <v>203</v>
      </c>
      <c r="K8024">
        <v>18.829999999999998</v>
      </c>
      <c r="L8024">
        <v>3.83</v>
      </c>
      <c r="M8024">
        <v>46570</v>
      </c>
      <c r="N8024" t="s">
        <v>1548</v>
      </c>
      <c r="O8024">
        <v>250407</v>
      </c>
      <c r="P8024">
        <v>15</v>
      </c>
    </row>
    <row r="8025" spans="1:16" x14ac:dyDescent="0.25">
      <c r="A8025" t="s">
        <v>3296</v>
      </c>
      <c r="B8025" t="s">
        <v>2931</v>
      </c>
      <c r="C8025">
        <v>4037</v>
      </c>
      <c r="D8025" t="str">
        <f>"245231      "</f>
        <v xml:space="preserve">245231      </v>
      </c>
      <c r="E8025" t="s">
        <v>1207</v>
      </c>
      <c r="F8025" t="s">
        <v>1208</v>
      </c>
      <c r="G8025">
        <v>18.829999999999998</v>
      </c>
      <c r="H8025">
        <v>250319</v>
      </c>
      <c r="I8025">
        <v>4470</v>
      </c>
      <c r="J8025" t="s">
        <v>203</v>
      </c>
      <c r="K8025">
        <v>18.829999999999998</v>
      </c>
      <c r="L8025">
        <v>3.83</v>
      </c>
      <c r="M8025">
        <v>46570</v>
      </c>
      <c r="N8025" t="s">
        <v>1548</v>
      </c>
      <c r="O8025">
        <v>250407</v>
      </c>
      <c r="P8025">
        <v>15</v>
      </c>
    </row>
    <row r="8026" spans="1:16" x14ac:dyDescent="0.25">
      <c r="A8026" t="s">
        <v>3296</v>
      </c>
      <c r="B8026" t="s">
        <v>2931</v>
      </c>
      <c r="C8026">
        <v>4593</v>
      </c>
      <c r="D8026" t="str">
        <f>"246359      "</f>
        <v xml:space="preserve">246359      </v>
      </c>
      <c r="E8026" t="s">
        <v>1207</v>
      </c>
      <c r="F8026" t="s">
        <v>1208</v>
      </c>
      <c r="G8026">
        <v>47.69</v>
      </c>
      <c r="H8026">
        <v>250401</v>
      </c>
      <c r="I8026">
        <v>4470</v>
      </c>
      <c r="J8026" t="s">
        <v>203</v>
      </c>
      <c r="K8026">
        <v>47.69</v>
      </c>
      <c r="L8026">
        <v>9.69</v>
      </c>
      <c r="M8026">
        <v>54653</v>
      </c>
      <c r="N8026" t="s">
        <v>1636</v>
      </c>
      <c r="O8026">
        <v>250414</v>
      </c>
      <c r="P8026">
        <v>38</v>
      </c>
    </row>
    <row r="8027" spans="1:16" x14ac:dyDescent="0.25">
      <c r="A8027" t="s">
        <v>3296</v>
      </c>
      <c r="B8027" t="s">
        <v>2931</v>
      </c>
      <c r="C8027">
        <v>5214</v>
      </c>
      <c r="D8027" t="str">
        <f>"246361      "</f>
        <v xml:space="preserve">246361      </v>
      </c>
      <c r="E8027" t="s">
        <v>1207</v>
      </c>
      <c r="F8027" t="s">
        <v>1208</v>
      </c>
      <c r="G8027">
        <v>5.0199999999999996</v>
      </c>
      <c r="H8027">
        <v>250404</v>
      </c>
      <c r="I8027">
        <v>4470</v>
      </c>
      <c r="J8027" t="s">
        <v>203</v>
      </c>
      <c r="K8027">
        <v>5.0199999999999996</v>
      </c>
      <c r="L8027">
        <v>1.02</v>
      </c>
      <c r="M8027">
        <v>54653</v>
      </c>
      <c r="N8027" t="s">
        <v>1636</v>
      </c>
      <c r="O8027">
        <v>250422</v>
      </c>
      <c r="P8027">
        <v>4</v>
      </c>
    </row>
    <row r="8028" spans="1:16" x14ac:dyDescent="0.25">
      <c r="A8028" t="s">
        <v>3296</v>
      </c>
      <c r="B8028" t="s">
        <v>2931</v>
      </c>
      <c r="C8028">
        <v>5989</v>
      </c>
      <c r="D8028" t="str">
        <f>"247967      "</f>
        <v xml:space="preserve">247967      </v>
      </c>
      <c r="E8028" t="s">
        <v>1207</v>
      </c>
      <c r="F8028" t="s">
        <v>1208</v>
      </c>
      <c r="G8028">
        <v>75.3</v>
      </c>
      <c r="H8028">
        <v>250427</v>
      </c>
      <c r="I8028">
        <v>4470</v>
      </c>
      <c r="J8028" t="s">
        <v>203</v>
      </c>
      <c r="K8028">
        <v>75.3</v>
      </c>
      <c r="L8028">
        <v>15.3</v>
      </c>
      <c r="M8028">
        <v>56559</v>
      </c>
      <c r="N8028" t="s">
        <v>51</v>
      </c>
      <c r="O8028">
        <v>250508</v>
      </c>
      <c r="P8028">
        <v>60</v>
      </c>
    </row>
    <row r="8029" spans="1:16" x14ac:dyDescent="0.25">
      <c r="A8029" t="s">
        <v>3296</v>
      </c>
      <c r="B8029" t="s">
        <v>2931</v>
      </c>
      <c r="C8029">
        <v>7004</v>
      </c>
      <c r="D8029" t="str">
        <f>"249791      "</f>
        <v xml:space="preserve">249791      </v>
      </c>
      <c r="E8029" t="s">
        <v>1207</v>
      </c>
      <c r="F8029" t="s">
        <v>1208</v>
      </c>
      <c r="G8029">
        <v>459.33</v>
      </c>
      <c r="H8029">
        <v>250516</v>
      </c>
      <c r="I8029">
        <v>4470</v>
      </c>
      <c r="J8029" t="s">
        <v>203</v>
      </c>
      <c r="K8029">
        <v>459.33</v>
      </c>
      <c r="L8029">
        <v>93.33</v>
      </c>
      <c r="M8029">
        <v>17802</v>
      </c>
      <c r="N8029" t="s">
        <v>18</v>
      </c>
      <c r="O8029">
        <v>250521</v>
      </c>
      <c r="P8029">
        <v>366</v>
      </c>
    </row>
    <row r="8030" spans="1:16" x14ac:dyDescent="0.25">
      <c r="A8030" t="s">
        <v>3296</v>
      </c>
      <c r="B8030" t="s">
        <v>2931</v>
      </c>
      <c r="C8030">
        <v>7321</v>
      </c>
      <c r="D8030" t="str">
        <f>"250208      "</f>
        <v xml:space="preserve">250208      </v>
      </c>
      <c r="E8030" t="s">
        <v>1207</v>
      </c>
      <c r="F8030" t="s">
        <v>1208</v>
      </c>
      <c r="G8030">
        <v>79.069999999999993</v>
      </c>
      <c r="H8030">
        <v>250521</v>
      </c>
      <c r="I8030">
        <v>4470</v>
      </c>
      <c r="J8030" t="s">
        <v>203</v>
      </c>
      <c r="K8030">
        <v>79.069999999999993</v>
      </c>
      <c r="L8030">
        <v>16.07</v>
      </c>
      <c r="M8030">
        <v>56575</v>
      </c>
      <c r="N8030" t="s">
        <v>245</v>
      </c>
      <c r="O8030">
        <v>250603</v>
      </c>
      <c r="P8030">
        <v>63</v>
      </c>
    </row>
    <row r="8031" spans="1:16" x14ac:dyDescent="0.25">
      <c r="A8031" t="s">
        <v>3296</v>
      </c>
      <c r="B8031" t="s">
        <v>2931</v>
      </c>
      <c r="C8031">
        <v>7520</v>
      </c>
      <c r="D8031" t="str">
        <f>"250447      "</f>
        <v xml:space="preserve">250447      </v>
      </c>
      <c r="E8031" t="s">
        <v>1207</v>
      </c>
      <c r="F8031" t="s">
        <v>1208</v>
      </c>
      <c r="G8031">
        <v>79.069999999999993</v>
      </c>
      <c r="H8031">
        <v>250526</v>
      </c>
      <c r="I8031">
        <v>4470</v>
      </c>
      <c r="J8031" t="s">
        <v>203</v>
      </c>
      <c r="K8031">
        <v>79.069999999999993</v>
      </c>
      <c r="L8031">
        <v>16.07</v>
      </c>
      <c r="M8031">
        <v>56575</v>
      </c>
      <c r="N8031" t="s">
        <v>245</v>
      </c>
      <c r="O8031">
        <v>250604</v>
      </c>
      <c r="P8031">
        <v>63</v>
      </c>
    </row>
    <row r="8032" spans="1:16" x14ac:dyDescent="0.25">
      <c r="A8032" t="s">
        <v>3296</v>
      </c>
      <c r="B8032" t="s">
        <v>2931</v>
      </c>
      <c r="C8032">
        <v>7766</v>
      </c>
      <c r="D8032" t="str">
        <f>"250601      "</f>
        <v xml:space="preserve">250601      </v>
      </c>
      <c r="E8032" t="s">
        <v>1207</v>
      </c>
      <c r="F8032" t="s">
        <v>1208</v>
      </c>
      <c r="G8032">
        <v>223.4</v>
      </c>
      <c r="H8032">
        <v>250528</v>
      </c>
      <c r="I8032">
        <v>4470</v>
      </c>
      <c r="J8032" t="s">
        <v>203</v>
      </c>
      <c r="K8032">
        <v>223.4</v>
      </c>
      <c r="L8032">
        <v>45.39</v>
      </c>
      <c r="M8032">
        <v>56575</v>
      </c>
      <c r="N8032" t="s">
        <v>245</v>
      </c>
      <c r="O8032">
        <v>250609</v>
      </c>
      <c r="P8032">
        <v>178.01</v>
      </c>
    </row>
    <row r="8033" spans="1:16" x14ac:dyDescent="0.25">
      <c r="A8033" t="s">
        <v>3296</v>
      </c>
      <c r="B8033" t="s">
        <v>2931</v>
      </c>
      <c r="C8033">
        <v>7813</v>
      </c>
      <c r="D8033" t="str">
        <f>"250435      "</f>
        <v xml:space="preserve">250435      </v>
      </c>
      <c r="E8033" t="s">
        <v>1207</v>
      </c>
      <c r="F8033" t="s">
        <v>1208</v>
      </c>
      <c r="G8033">
        <v>20.079999999999998</v>
      </c>
      <c r="H8033">
        <v>250529</v>
      </c>
      <c r="I8033">
        <v>4470</v>
      </c>
      <c r="J8033" t="s">
        <v>203</v>
      </c>
      <c r="K8033">
        <v>20.079999999999998</v>
      </c>
      <c r="L8033">
        <v>4.08</v>
      </c>
      <c r="M8033">
        <v>56575</v>
      </c>
      <c r="N8033" t="s">
        <v>245</v>
      </c>
      <c r="O8033">
        <v>250609</v>
      </c>
      <c r="P8033">
        <v>16</v>
      </c>
    </row>
    <row r="8034" spans="1:16" x14ac:dyDescent="0.25">
      <c r="A8034" t="s">
        <v>3296</v>
      </c>
      <c r="B8034" t="s">
        <v>2931</v>
      </c>
      <c r="C8034">
        <v>8821</v>
      </c>
      <c r="D8034" t="str">
        <f>"251849      "</f>
        <v xml:space="preserve">251849      </v>
      </c>
      <c r="E8034" t="s">
        <v>1207</v>
      </c>
      <c r="F8034" t="s">
        <v>1208</v>
      </c>
      <c r="G8034">
        <v>77.819999999999993</v>
      </c>
      <c r="H8034">
        <v>250612</v>
      </c>
      <c r="I8034">
        <v>4470</v>
      </c>
      <c r="J8034" t="s">
        <v>203</v>
      </c>
      <c r="K8034">
        <v>77.819999999999993</v>
      </c>
      <c r="L8034">
        <v>15.81</v>
      </c>
      <c r="M8034">
        <v>56575</v>
      </c>
      <c r="N8034" t="s">
        <v>245</v>
      </c>
      <c r="O8034">
        <v>250618</v>
      </c>
      <c r="P8034">
        <v>62.01</v>
      </c>
    </row>
    <row r="8035" spans="1:16" x14ac:dyDescent="0.25">
      <c r="A8035" t="s">
        <v>3296</v>
      </c>
      <c r="B8035" t="s">
        <v>2931</v>
      </c>
      <c r="C8035">
        <v>9166</v>
      </c>
      <c r="D8035" t="str">
        <f>"252671      "</f>
        <v xml:space="preserve">252671      </v>
      </c>
      <c r="E8035" t="s">
        <v>1207</v>
      </c>
      <c r="F8035" t="s">
        <v>1208</v>
      </c>
      <c r="G8035">
        <v>38.909999999999997</v>
      </c>
      <c r="H8035">
        <v>250620</v>
      </c>
      <c r="I8035">
        <v>4470</v>
      </c>
      <c r="J8035" t="s">
        <v>203</v>
      </c>
      <c r="K8035">
        <v>43.3</v>
      </c>
      <c r="L8035">
        <v>7.91</v>
      </c>
      <c r="M8035">
        <v>56575</v>
      </c>
      <c r="N8035" t="s">
        <v>245</v>
      </c>
      <c r="O8035">
        <v>250627</v>
      </c>
      <c r="P8035">
        <v>31</v>
      </c>
    </row>
    <row r="8036" spans="1:16" x14ac:dyDescent="0.25">
      <c r="A8036" t="s">
        <v>3296</v>
      </c>
      <c r="B8036" t="s">
        <v>2931</v>
      </c>
      <c r="C8036">
        <v>9166</v>
      </c>
      <c r="D8036" t="str">
        <f>"252671      "</f>
        <v xml:space="preserve">252671      </v>
      </c>
      <c r="E8036" t="s">
        <v>1207</v>
      </c>
      <c r="F8036" t="s">
        <v>1208</v>
      </c>
      <c r="G8036">
        <v>4.3899999999999997</v>
      </c>
      <c r="H8036">
        <v>250620</v>
      </c>
      <c r="I8036">
        <v>4470</v>
      </c>
      <c r="J8036" t="s">
        <v>203</v>
      </c>
      <c r="K8036">
        <v>43.3</v>
      </c>
      <c r="L8036">
        <v>0.89</v>
      </c>
      <c r="M8036">
        <v>59805</v>
      </c>
      <c r="N8036" t="s">
        <v>1404</v>
      </c>
      <c r="O8036">
        <v>250627</v>
      </c>
      <c r="P8036">
        <v>3.5</v>
      </c>
    </row>
    <row r="8037" spans="1:16" x14ac:dyDescent="0.25">
      <c r="A8037" t="s">
        <v>3296</v>
      </c>
      <c r="B8037" t="s">
        <v>2931</v>
      </c>
      <c r="C8037">
        <v>9205</v>
      </c>
      <c r="D8037" t="str">
        <f>"253043      "</f>
        <v xml:space="preserve">253043      </v>
      </c>
      <c r="E8037" t="s">
        <v>1207</v>
      </c>
      <c r="F8037" t="s">
        <v>1208</v>
      </c>
      <c r="G8037">
        <v>38.909999999999997</v>
      </c>
      <c r="H8037">
        <v>250625</v>
      </c>
      <c r="I8037">
        <v>4470</v>
      </c>
      <c r="J8037" t="s">
        <v>203</v>
      </c>
      <c r="K8037">
        <v>38.909999999999997</v>
      </c>
      <c r="L8037">
        <v>7.91</v>
      </c>
      <c r="M8037">
        <v>56575</v>
      </c>
      <c r="N8037" t="s">
        <v>245</v>
      </c>
      <c r="O8037">
        <v>250627</v>
      </c>
      <c r="P8037">
        <v>31</v>
      </c>
    </row>
    <row r="8038" spans="1:16" x14ac:dyDescent="0.25">
      <c r="A8038" t="s">
        <v>3296</v>
      </c>
      <c r="B8038" t="s">
        <v>2931</v>
      </c>
      <c r="C8038">
        <v>11093</v>
      </c>
      <c r="D8038" t="str">
        <f>"255289      "</f>
        <v xml:space="preserve">255289      </v>
      </c>
      <c r="E8038" t="s">
        <v>1207</v>
      </c>
      <c r="F8038" t="s">
        <v>1208</v>
      </c>
      <c r="G8038">
        <v>38.909999999999997</v>
      </c>
      <c r="H8038">
        <v>250826</v>
      </c>
      <c r="I8038">
        <v>4470</v>
      </c>
      <c r="J8038" t="s">
        <v>203</v>
      </c>
      <c r="K8038">
        <v>38.909999999999997</v>
      </c>
      <c r="L8038">
        <v>7.91</v>
      </c>
      <c r="M8038">
        <v>17972</v>
      </c>
      <c r="N8038" t="s">
        <v>28</v>
      </c>
      <c r="O8038">
        <v>250829</v>
      </c>
      <c r="P8038">
        <v>31</v>
      </c>
    </row>
    <row r="8039" spans="1:16" x14ac:dyDescent="0.25">
      <c r="A8039" t="s">
        <v>3296</v>
      </c>
      <c r="B8039" t="s">
        <v>2931</v>
      </c>
      <c r="C8039">
        <v>11133</v>
      </c>
      <c r="D8039" t="str">
        <f>"255174      "</f>
        <v xml:space="preserve">255174      </v>
      </c>
      <c r="E8039" t="s">
        <v>1207</v>
      </c>
      <c r="F8039" t="s">
        <v>1208</v>
      </c>
      <c r="G8039">
        <v>288.64999999999998</v>
      </c>
      <c r="H8039">
        <v>250824</v>
      </c>
      <c r="I8039">
        <v>4470</v>
      </c>
      <c r="J8039" t="s">
        <v>203</v>
      </c>
      <c r="K8039">
        <v>288.64999999999998</v>
      </c>
      <c r="L8039">
        <v>58.65</v>
      </c>
      <c r="M8039">
        <v>46556</v>
      </c>
      <c r="N8039" t="s">
        <v>458</v>
      </c>
      <c r="O8039">
        <v>250901</v>
      </c>
      <c r="P8039">
        <v>230</v>
      </c>
    </row>
    <row r="8040" spans="1:16" x14ac:dyDescent="0.25">
      <c r="A8040" t="s">
        <v>3296</v>
      </c>
      <c r="B8040" t="s">
        <v>2931</v>
      </c>
      <c r="C8040">
        <v>12006</v>
      </c>
      <c r="D8040" t="str">
        <f>"256527      "</f>
        <v xml:space="preserve">256527      </v>
      </c>
      <c r="E8040" t="s">
        <v>1207</v>
      </c>
      <c r="F8040" t="s">
        <v>1208</v>
      </c>
      <c r="G8040">
        <v>20.079999999999998</v>
      </c>
      <c r="H8040">
        <v>250909</v>
      </c>
      <c r="I8040">
        <v>4470</v>
      </c>
      <c r="J8040" t="s">
        <v>203</v>
      </c>
      <c r="K8040">
        <v>20.079999999999998</v>
      </c>
      <c r="L8040">
        <v>4.08</v>
      </c>
      <c r="M8040">
        <v>46556</v>
      </c>
      <c r="N8040" t="s">
        <v>458</v>
      </c>
      <c r="O8040">
        <v>250915</v>
      </c>
      <c r="P8040">
        <v>16</v>
      </c>
    </row>
    <row r="8041" spans="1:16" x14ac:dyDescent="0.25">
      <c r="A8041" t="s">
        <v>3296</v>
      </c>
      <c r="B8041" t="s">
        <v>2931</v>
      </c>
      <c r="C8041">
        <v>12445</v>
      </c>
      <c r="D8041" t="str">
        <f>"256526      "</f>
        <v xml:space="preserve">256526      </v>
      </c>
      <c r="E8041" t="s">
        <v>1207</v>
      </c>
      <c r="F8041" t="s">
        <v>1208</v>
      </c>
      <c r="G8041">
        <v>79.069999999999993</v>
      </c>
      <c r="H8041">
        <v>250912</v>
      </c>
      <c r="I8041">
        <v>4470</v>
      </c>
      <c r="J8041" t="s">
        <v>203</v>
      </c>
      <c r="K8041">
        <v>79.069999999999993</v>
      </c>
      <c r="L8041">
        <v>16.07</v>
      </c>
      <c r="M8041">
        <v>46556</v>
      </c>
      <c r="N8041" t="s">
        <v>458</v>
      </c>
      <c r="O8041">
        <v>250922</v>
      </c>
      <c r="P8041">
        <v>63</v>
      </c>
    </row>
    <row r="8042" spans="1:16" x14ac:dyDescent="0.25">
      <c r="A8042" t="s">
        <v>3296</v>
      </c>
      <c r="B8042" t="s">
        <v>2931</v>
      </c>
      <c r="C8042">
        <v>13030</v>
      </c>
      <c r="D8042" t="str">
        <f>"258293      "</f>
        <v xml:space="preserve">258293      </v>
      </c>
      <c r="E8042" t="s">
        <v>1207</v>
      </c>
      <c r="F8042" t="s">
        <v>1208</v>
      </c>
      <c r="G8042">
        <v>1218.6400000000001</v>
      </c>
      <c r="H8042">
        <v>251001</v>
      </c>
      <c r="I8042">
        <v>4470</v>
      </c>
      <c r="J8042" t="s">
        <v>203</v>
      </c>
      <c r="K8042">
        <v>1218.6400000000001</v>
      </c>
      <c r="L8042">
        <v>247.61</v>
      </c>
      <c r="M8042">
        <v>17737</v>
      </c>
      <c r="N8042" t="s">
        <v>156</v>
      </c>
      <c r="O8042">
        <v>251003</v>
      </c>
      <c r="P8042">
        <v>971.03</v>
      </c>
    </row>
    <row r="8043" spans="1:16" x14ac:dyDescent="0.25">
      <c r="A8043" t="s">
        <v>3296</v>
      </c>
      <c r="B8043" t="s">
        <v>2931</v>
      </c>
      <c r="C8043">
        <v>13033</v>
      </c>
      <c r="D8043" t="str">
        <f>"258300      "</f>
        <v xml:space="preserve">258300      </v>
      </c>
      <c r="E8043" t="s">
        <v>1207</v>
      </c>
      <c r="F8043" t="s">
        <v>1208</v>
      </c>
      <c r="G8043">
        <v>589.27</v>
      </c>
      <c r="H8043">
        <v>251002</v>
      </c>
      <c r="I8043">
        <v>4470</v>
      </c>
      <c r="J8043" t="s">
        <v>203</v>
      </c>
      <c r="K8043">
        <v>589.27</v>
      </c>
      <c r="L8043">
        <v>119.73</v>
      </c>
      <c r="M8043">
        <v>17737</v>
      </c>
      <c r="N8043" t="s">
        <v>156</v>
      </c>
      <c r="O8043">
        <v>251003</v>
      </c>
      <c r="P8043">
        <v>469.54</v>
      </c>
    </row>
    <row r="8044" spans="1:16" x14ac:dyDescent="0.25">
      <c r="A8044" t="s">
        <v>3296</v>
      </c>
      <c r="B8044" t="s">
        <v>2931</v>
      </c>
      <c r="C8044">
        <v>13263</v>
      </c>
      <c r="D8044" t="str">
        <f>"258305      "</f>
        <v xml:space="preserve">258305      </v>
      </c>
      <c r="E8044" t="s">
        <v>1207</v>
      </c>
      <c r="F8044" t="s">
        <v>1208</v>
      </c>
      <c r="G8044">
        <v>512.07000000000005</v>
      </c>
      <c r="H8044">
        <v>251003</v>
      </c>
      <c r="I8044">
        <v>4470</v>
      </c>
      <c r="J8044" t="s">
        <v>203</v>
      </c>
      <c r="K8044">
        <v>512.07000000000005</v>
      </c>
      <c r="L8044">
        <v>104.05</v>
      </c>
      <c r="M8044">
        <v>17737</v>
      </c>
      <c r="N8044" t="s">
        <v>156</v>
      </c>
      <c r="O8044">
        <v>251007</v>
      </c>
      <c r="P8044">
        <v>408.02</v>
      </c>
    </row>
    <row r="8045" spans="1:16" x14ac:dyDescent="0.25">
      <c r="A8045" t="s">
        <v>3296</v>
      </c>
      <c r="B8045" t="s">
        <v>2931</v>
      </c>
      <c r="C8045">
        <v>13894</v>
      </c>
      <c r="D8045" t="str">
        <f>"259293      "</f>
        <v xml:space="preserve">259293      </v>
      </c>
      <c r="E8045" t="s">
        <v>1207</v>
      </c>
      <c r="F8045" t="s">
        <v>1208</v>
      </c>
      <c r="G8045">
        <v>158.13999999999999</v>
      </c>
      <c r="H8045">
        <v>251015</v>
      </c>
      <c r="I8045">
        <v>4470</v>
      </c>
      <c r="J8045" t="s">
        <v>203</v>
      </c>
      <c r="K8045">
        <v>158.13999999999999</v>
      </c>
      <c r="L8045">
        <v>32.130000000000003</v>
      </c>
      <c r="M8045">
        <v>17737</v>
      </c>
      <c r="N8045" t="s">
        <v>156</v>
      </c>
      <c r="O8045">
        <v>251020</v>
      </c>
      <c r="P8045">
        <v>126.01</v>
      </c>
    </row>
    <row r="8046" spans="1:16" x14ac:dyDescent="0.25">
      <c r="A8046" t="s">
        <v>3296</v>
      </c>
      <c r="B8046" t="s">
        <v>2931</v>
      </c>
      <c r="C8046">
        <v>14114</v>
      </c>
      <c r="D8046" t="str">
        <f>"259276      "</f>
        <v xml:space="preserve">259276      </v>
      </c>
      <c r="E8046" t="s">
        <v>1207</v>
      </c>
      <c r="F8046" t="s">
        <v>1208</v>
      </c>
      <c r="G8046">
        <v>8.7899999999999991</v>
      </c>
      <c r="H8046">
        <v>251021</v>
      </c>
      <c r="I8046">
        <v>4470</v>
      </c>
      <c r="J8046" t="s">
        <v>203</v>
      </c>
      <c r="K8046">
        <v>8.7899999999999991</v>
      </c>
      <c r="L8046">
        <v>1.79</v>
      </c>
      <c r="M8046">
        <v>17737</v>
      </c>
      <c r="N8046" t="s">
        <v>156</v>
      </c>
      <c r="O8046">
        <v>251024</v>
      </c>
      <c r="P8046">
        <v>7</v>
      </c>
    </row>
    <row r="8047" spans="1:16" x14ac:dyDescent="0.25">
      <c r="A8047" t="s">
        <v>3296</v>
      </c>
      <c r="B8047" t="s">
        <v>2931</v>
      </c>
      <c r="C8047">
        <v>14687</v>
      </c>
      <c r="D8047" t="str">
        <f>"355999      "</f>
        <v xml:space="preserve">355999      </v>
      </c>
      <c r="E8047" t="s">
        <v>1207</v>
      </c>
      <c r="F8047" t="s">
        <v>1208</v>
      </c>
      <c r="G8047">
        <v>8.7899999999999991</v>
      </c>
      <c r="H8047">
        <v>251030</v>
      </c>
      <c r="I8047">
        <v>4470</v>
      </c>
      <c r="J8047" t="s">
        <v>203</v>
      </c>
      <c r="K8047">
        <v>47.7</v>
      </c>
      <c r="L8047">
        <v>1.79</v>
      </c>
      <c r="M8047">
        <v>46554</v>
      </c>
      <c r="N8047" t="s">
        <v>102</v>
      </c>
      <c r="O8047">
        <v>251106</v>
      </c>
      <c r="P8047">
        <v>7</v>
      </c>
    </row>
    <row r="8048" spans="1:16" x14ac:dyDescent="0.25">
      <c r="A8048" t="s">
        <v>3296</v>
      </c>
      <c r="B8048" t="s">
        <v>2931</v>
      </c>
      <c r="C8048">
        <v>14687</v>
      </c>
      <c r="D8048" t="str">
        <f>"355999      "</f>
        <v xml:space="preserve">355999      </v>
      </c>
      <c r="E8048" t="s">
        <v>1207</v>
      </c>
      <c r="F8048" t="s">
        <v>1208</v>
      </c>
      <c r="G8048">
        <v>38.909999999999997</v>
      </c>
      <c r="H8048">
        <v>251030</v>
      </c>
      <c r="I8048">
        <v>4470</v>
      </c>
      <c r="J8048" t="s">
        <v>203</v>
      </c>
      <c r="K8048">
        <v>47.7</v>
      </c>
      <c r="L8048">
        <v>7.91</v>
      </c>
      <c r="M8048">
        <v>49112</v>
      </c>
      <c r="N8048" t="s">
        <v>109</v>
      </c>
      <c r="O8048">
        <v>251106</v>
      </c>
      <c r="P8048">
        <v>31</v>
      </c>
    </row>
    <row r="8049" spans="1:16" x14ac:dyDescent="0.25">
      <c r="A8049" t="s">
        <v>3296</v>
      </c>
      <c r="B8049" t="s">
        <v>2931</v>
      </c>
      <c r="C8049">
        <v>14764</v>
      </c>
      <c r="D8049" t="str">
        <f>"356055      "</f>
        <v xml:space="preserve">356055      </v>
      </c>
      <c r="E8049" t="s">
        <v>1207</v>
      </c>
      <c r="F8049" t="s">
        <v>1208</v>
      </c>
      <c r="G8049">
        <v>38.909999999999997</v>
      </c>
      <c r="H8049">
        <v>251101</v>
      </c>
      <c r="I8049">
        <v>4470</v>
      </c>
      <c r="J8049" t="s">
        <v>203</v>
      </c>
      <c r="K8049">
        <v>38.909999999999997</v>
      </c>
      <c r="L8049">
        <v>7.91</v>
      </c>
      <c r="M8049">
        <v>46554</v>
      </c>
      <c r="N8049" t="s">
        <v>102</v>
      </c>
      <c r="O8049">
        <v>251106</v>
      </c>
      <c r="P8049">
        <v>31</v>
      </c>
    </row>
    <row r="8050" spans="1:16" x14ac:dyDescent="0.25">
      <c r="A8050" t="s">
        <v>3296</v>
      </c>
      <c r="B8050" t="s">
        <v>2931</v>
      </c>
      <c r="C8050">
        <v>15468</v>
      </c>
      <c r="D8050" t="str">
        <f>"356386      "</f>
        <v xml:space="preserve">356386      </v>
      </c>
      <c r="E8050" t="s">
        <v>1207</v>
      </c>
      <c r="F8050" t="s">
        <v>1208</v>
      </c>
      <c r="G8050">
        <v>747.98</v>
      </c>
      <c r="H8050">
        <v>251117</v>
      </c>
      <c r="I8050">
        <v>4470</v>
      </c>
      <c r="J8050" t="s">
        <v>203</v>
      </c>
      <c r="K8050">
        <v>747.98</v>
      </c>
      <c r="L8050">
        <v>151.97999999999999</v>
      </c>
      <c r="M8050">
        <v>17711</v>
      </c>
      <c r="N8050" t="s">
        <v>155</v>
      </c>
      <c r="O8050">
        <v>251121</v>
      </c>
      <c r="P8050">
        <v>596</v>
      </c>
    </row>
    <row r="8051" spans="1:16" x14ac:dyDescent="0.25">
      <c r="A8051" t="s">
        <v>3296</v>
      </c>
      <c r="B8051" t="s">
        <v>2931</v>
      </c>
      <c r="C8051">
        <v>15507</v>
      </c>
      <c r="D8051" t="str">
        <f>"356406      "</f>
        <v xml:space="preserve">356406      </v>
      </c>
      <c r="E8051" t="s">
        <v>1207</v>
      </c>
      <c r="F8051" t="s">
        <v>1208</v>
      </c>
      <c r="G8051">
        <v>58.99</v>
      </c>
      <c r="H8051">
        <v>251118</v>
      </c>
      <c r="I8051">
        <v>4470</v>
      </c>
      <c r="J8051" t="s">
        <v>203</v>
      </c>
      <c r="K8051">
        <v>58.99</v>
      </c>
      <c r="L8051">
        <v>11.99</v>
      </c>
      <c r="M8051">
        <v>17711</v>
      </c>
      <c r="N8051" t="s">
        <v>155</v>
      </c>
      <c r="O8051">
        <v>251121</v>
      </c>
      <c r="P8051">
        <v>47</v>
      </c>
    </row>
    <row r="8052" spans="1:16" x14ac:dyDescent="0.25">
      <c r="A8052" t="s">
        <v>3296</v>
      </c>
      <c r="B8052" t="s">
        <v>2931</v>
      </c>
      <c r="C8052">
        <v>15622</v>
      </c>
      <c r="D8052" t="str">
        <f>"356441      "</f>
        <v xml:space="preserve">356441      </v>
      </c>
      <c r="E8052" t="s">
        <v>1207</v>
      </c>
      <c r="F8052" t="s">
        <v>1208</v>
      </c>
      <c r="G8052">
        <v>38.909999999999997</v>
      </c>
      <c r="H8052">
        <v>251119</v>
      </c>
      <c r="I8052">
        <v>4470</v>
      </c>
      <c r="J8052" t="s">
        <v>203</v>
      </c>
      <c r="K8052">
        <v>38.909999999999997</v>
      </c>
      <c r="L8052">
        <v>7.91</v>
      </c>
      <c r="M8052">
        <v>17711</v>
      </c>
      <c r="N8052" t="s">
        <v>155</v>
      </c>
      <c r="O8052">
        <v>251124</v>
      </c>
      <c r="P8052">
        <v>31</v>
      </c>
    </row>
    <row r="8053" spans="1:16" x14ac:dyDescent="0.25">
      <c r="A8053" t="s">
        <v>3296</v>
      </c>
      <c r="B8053" t="s">
        <v>2931</v>
      </c>
      <c r="C8053">
        <v>15846</v>
      </c>
      <c r="D8053" t="str">
        <f>"356570      "</f>
        <v xml:space="preserve">356570      </v>
      </c>
      <c r="E8053" t="s">
        <v>1207</v>
      </c>
      <c r="F8053" t="s">
        <v>1208</v>
      </c>
      <c r="G8053">
        <v>144.33000000000001</v>
      </c>
      <c r="H8053">
        <v>251126</v>
      </c>
      <c r="I8053">
        <v>4470</v>
      </c>
      <c r="J8053" t="s">
        <v>203</v>
      </c>
      <c r="K8053">
        <v>144.33000000000001</v>
      </c>
      <c r="L8053">
        <v>29.33</v>
      </c>
      <c r="M8053">
        <v>17711</v>
      </c>
      <c r="N8053" t="s">
        <v>155</v>
      </c>
      <c r="O8053">
        <v>251127</v>
      </c>
      <c r="P8053">
        <v>115</v>
      </c>
    </row>
    <row r="8054" spans="1:16" x14ac:dyDescent="0.25">
      <c r="A8054" t="s">
        <v>3296</v>
      </c>
      <c r="B8054" t="s">
        <v>2931</v>
      </c>
      <c r="C8054">
        <v>17083</v>
      </c>
      <c r="D8054" t="str">
        <f>"357003      "</f>
        <v xml:space="preserve">357003      </v>
      </c>
      <c r="E8054" t="s">
        <v>1207</v>
      </c>
      <c r="F8054" t="s">
        <v>1208</v>
      </c>
      <c r="G8054">
        <v>20.079999999999998</v>
      </c>
      <c r="H8054">
        <v>251214</v>
      </c>
      <c r="I8054">
        <v>4470</v>
      </c>
      <c r="J8054" t="s">
        <v>203</v>
      </c>
      <c r="K8054">
        <v>20.079999999999998</v>
      </c>
      <c r="L8054">
        <v>4.08</v>
      </c>
      <c r="M8054">
        <v>17711</v>
      </c>
      <c r="N8054" t="s">
        <v>155</v>
      </c>
      <c r="O8054">
        <v>251217</v>
      </c>
      <c r="P8054">
        <v>16</v>
      </c>
    </row>
    <row r="8055" spans="1:16" x14ac:dyDescent="0.25">
      <c r="A8055" t="s">
        <v>3296</v>
      </c>
      <c r="B8055" t="s">
        <v>2931</v>
      </c>
      <c r="C8055">
        <v>17658</v>
      </c>
      <c r="D8055" t="str">
        <f>"357100      "</f>
        <v xml:space="preserve">357100      </v>
      </c>
      <c r="E8055" t="s">
        <v>1207</v>
      </c>
      <c r="F8055" t="s">
        <v>1208</v>
      </c>
      <c r="G8055">
        <v>117.97</v>
      </c>
      <c r="H8055">
        <v>251219</v>
      </c>
      <c r="I8055">
        <v>4470</v>
      </c>
      <c r="J8055" t="s">
        <v>203</v>
      </c>
      <c r="K8055">
        <v>117.97</v>
      </c>
      <c r="L8055">
        <v>23.97</v>
      </c>
      <c r="M8055">
        <v>17952</v>
      </c>
      <c r="N8055" t="s">
        <v>157</v>
      </c>
      <c r="O8055">
        <v>251229</v>
      </c>
      <c r="P8055">
        <v>94</v>
      </c>
    </row>
    <row r="8056" spans="1:16" x14ac:dyDescent="0.25">
      <c r="A8056" t="s">
        <v>3296</v>
      </c>
      <c r="B8056" t="s">
        <v>2931</v>
      </c>
      <c r="C8056">
        <v>4296</v>
      </c>
      <c r="D8056" t="str">
        <f>"245882      "</f>
        <v xml:space="preserve">245882      </v>
      </c>
      <c r="E8056" t="s">
        <v>1207</v>
      </c>
      <c r="F8056" t="s">
        <v>1208</v>
      </c>
      <c r="G8056">
        <v>5.0199999999999996</v>
      </c>
      <c r="H8056">
        <v>250328</v>
      </c>
      <c r="I8056">
        <v>4600</v>
      </c>
      <c r="J8056" t="s">
        <v>278</v>
      </c>
      <c r="K8056">
        <v>5.0199999999999996</v>
      </c>
      <c r="L8056">
        <v>1.02</v>
      </c>
      <c r="M8056">
        <v>54222</v>
      </c>
      <c r="N8056" t="s">
        <v>48</v>
      </c>
      <c r="O8056">
        <v>250410</v>
      </c>
      <c r="P8056">
        <v>4</v>
      </c>
    </row>
    <row r="8057" spans="1:16" x14ac:dyDescent="0.25">
      <c r="A8057" t="s">
        <v>3296</v>
      </c>
      <c r="B8057" t="s">
        <v>2931</v>
      </c>
      <c r="C8057">
        <v>9418</v>
      </c>
      <c r="D8057" t="str">
        <f>"253084      "</f>
        <v xml:space="preserve">253084      </v>
      </c>
      <c r="E8057" t="s">
        <v>1207</v>
      </c>
      <c r="F8057" t="s">
        <v>1208</v>
      </c>
      <c r="G8057">
        <v>79.069999999999993</v>
      </c>
      <c r="H8057">
        <v>250701</v>
      </c>
      <c r="I8057">
        <v>4600</v>
      </c>
      <c r="J8057" t="s">
        <v>278</v>
      </c>
      <c r="K8057">
        <v>79.069999999999993</v>
      </c>
      <c r="L8057">
        <v>16.07</v>
      </c>
      <c r="M8057">
        <v>13801</v>
      </c>
      <c r="N8057" t="s">
        <v>33</v>
      </c>
      <c r="O8057">
        <v>250707</v>
      </c>
      <c r="P8057">
        <v>63</v>
      </c>
    </row>
    <row r="8058" spans="1:16" x14ac:dyDescent="0.25">
      <c r="A8058" t="s">
        <v>3296</v>
      </c>
      <c r="B8058" t="s">
        <v>2931</v>
      </c>
      <c r="C8058">
        <v>79</v>
      </c>
      <c r="D8058" t="str">
        <f>"103/250012  "</f>
        <v xml:space="preserve">103/250012  </v>
      </c>
      <c r="E8058" t="s">
        <v>2882</v>
      </c>
      <c r="F8058" t="s">
        <v>2883</v>
      </c>
      <c r="G8058">
        <v>673.06</v>
      </c>
      <c r="H8058">
        <v>250101</v>
      </c>
      <c r="I8058">
        <v>4820</v>
      </c>
      <c r="J8058" t="s">
        <v>169</v>
      </c>
      <c r="K8058">
        <v>673.06</v>
      </c>
      <c r="L8058">
        <v>136.76</v>
      </c>
      <c r="M8058">
        <v>13841</v>
      </c>
      <c r="N8058" t="s">
        <v>178</v>
      </c>
      <c r="O8058">
        <v>250107</v>
      </c>
      <c r="P8058">
        <v>536.29999999999995</v>
      </c>
    </row>
    <row r="8059" spans="1:16" x14ac:dyDescent="0.25">
      <c r="A8059" t="s">
        <v>3296</v>
      </c>
      <c r="B8059" t="s">
        <v>2931</v>
      </c>
      <c r="C8059">
        <v>474</v>
      </c>
      <c r="D8059" t="str">
        <f>"103/250026  "</f>
        <v xml:space="preserve">103/250026  </v>
      </c>
      <c r="E8059" t="s">
        <v>2882</v>
      </c>
      <c r="F8059" t="s">
        <v>2883</v>
      </c>
      <c r="G8059">
        <v>673.06</v>
      </c>
      <c r="H8059">
        <v>250201</v>
      </c>
      <c r="I8059">
        <v>4820</v>
      </c>
      <c r="J8059" t="s">
        <v>169</v>
      </c>
      <c r="K8059">
        <v>673.06</v>
      </c>
      <c r="L8059">
        <v>136.76</v>
      </c>
      <c r="M8059">
        <v>13841</v>
      </c>
      <c r="N8059" t="s">
        <v>178</v>
      </c>
      <c r="O8059">
        <v>250123</v>
      </c>
      <c r="P8059">
        <v>536.29999999999995</v>
      </c>
    </row>
    <row r="8060" spans="1:16" x14ac:dyDescent="0.25">
      <c r="A8060" t="s">
        <v>3296</v>
      </c>
      <c r="B8060" t="s">
        <v>2931</v>
      </c>
      <c r="C8060">
        <v>1887</v>
      </c>
      <c r="D8060" t="str">
        <f>"103/250040  "</f>
        <v xml:space="preserve">103/250040  </v>
      </c>
      <c r="E8060" t="s">
        <v>2882</v>
      </c>
      <c r="F8060" t="s">
        <v>2883</v>
      </c>
      <c r="G8060">
        <v>673.06</v>
      </c>
      <c r="H8060">
        <v>250301</v>
      </c>
      <c r="I8060">
        <v>4820</v>
      </c>
      <c r="J8060" t="s">
        <v>169</v>
      </c>
      <c r="K8060">
        <v>673.06</v>
      </c>
      <c r="L8060">
        <v>136.76</v>
      </c>
      <c r="M8060">
        <v>13841</v>
      </c>
      <c r="N8060" t="s">
        <v>178</v>
      </c>
      <c r="O8060">
        <v>250214</v>
      </c>
      <c r="P8060">
        <v>536.29999999999995</v>
      </c>
    </row>
    <row r="8061" spans="1:16" x14ac:dyDescent="0.25">
      <c r="A8061" t="s">
        <v>3296</v>
      </c>
      <c r="B8061" t="s">
        <v>2931</v>
      </c>
      <c r="C8061">
        <v>4093</v>
      </c>
      <c r="D8061" t="str">
        <f>"103/250054  "</f>
        <v xml:space="preserve">103/250054  </v>
      </c>
      <c r="E8061" t="s">
        <v>2882</v>
      </c>
      <c r="F8061" t="s">
        <v>2883</v>
      </c>
      <c r="G8061">
        <v>673.06</v>
      </c>
      <c r="H8061">
        <v>250401</v>
      </c>
      <c r="I8061">
        <v>4820</v>
      </c>
      <c r="J8061" t="s">
        <v>169</v>
      </c>
      <c r="K8061">
        <v>673.06</v>
      </c>
      <c r="L8061">
        <v>136.76</v>
      </c>
      <c r="M8061">
        <v>13841</v>
      </c>
      <c r="N8061" t="s">
        <v>178</v>
      </c>
      <c r="O8061">
        <v>250407</v>
      </c>
      <c r="P8061">
        <v>536.29999999999995</v>
      </c>
    </row>
    <row r="8062" spans="1:16" x14ac:dyDescent="0.25">
      <c r="A8062" t="s">
        <v>3296</v>
      </c>
      <c r="B8062" t="s">
        <v>2931</v>
      </c>
      <c r="C8062">
        <v>5566</v>
      </c>
      <c r="D8062" t="str">
        <f>"103/250068  "</f>
        <v xml:space="preserve">103/250068  </v>
      </c>
      <c r="E8062" t="s">
        <v>2882</v>
      </c>
      <c r="F8062" t="s">
        <v>2883</v>
      </c>
      <c r="G8062">
        <v>673.06</v>
      </c>
      <c r="H8062">
        <v>250501</v>
      </c>
      <c r="I8062">
        <v>4820</v>
      </c>
      <c r="J8062" t="s">
        <v>169</v>
      </c>
      <c r="K8062">
        <v>673.06</v>
      </c>
      <c r="L8062">
        <v>136.76</v>
      </c>
      <c r="M8062">
        <v>13841</v>
      </c>
      <c r="N8062" t="s">
        <v>178</v>
      </c>
      <c r="O8062">
        <v>250425</v>
      </c>
      <c r="P8062">
        <v>536.29999999999995</v>
      </c>
    </row>
    <row r="8063" spans="1:16" x14ac:dyDescent="0.25">
      <c r="A8063" t="s">
        <v>3296</v>
      </c>
      <c r="B8063" t="s">
        <v>2931</v>
      </c>
      <c r="C8063">
        <v>7074</v>
      </c>
      <c r="D8063" t="str">
        <f>"102/250019  "</f>
        <v xml:space="preserve">102/250019  </v>
      </c>
      <c r="E8063" t="s">
        <v>2882</v>
      </c>
      <c r="F8063" t="s">
        <v>2883</v>
      </c>
      <c r="G8063">
        <v>471.53</v>
      </c>
      <c r="H8063">
        <v>250519</v>
      </c>
      <c r="I8063">
        <v>4820</v>
      </c>
      <c r="J8063" t="s">
        <v>169</v>
      </c>
      <c r="K8063">
        <v>1175.1400000000001</v>
      </c>
      <c r="L8063">
        <v>95.81</v>
      </c>
      <c r="M8063">
        <v>13841</v>
      </c>
      <c r="N8063" t="s">
        <v>178</v>
      </c>
      <c r="O8063">
        <v>250522</v>
      </c>
      <c r="P8063">
        <v>375.72</v>
      </c>
    </row>
    <row r="8064" spans="1:16" x14ac:dyDescent="0.25">
      <c r="A8064" t="s">
        <v>3296</v>
      </c>
      <c r="B8064" t="s">
        <v>2931</v>
      </c>
      <c r="C8064">
        <v>7074</v>
      </c>
      <c r="D8064" t="str">
        <f>"102/250019  "</f>
        <v xml:space="preserve">102/250019  </v>
      </c>
      <c r="E8064" t="s">
        <v>2882</v>
      </c>
      <c r="F8064" t="s">
        <v>2883</v>
      </c>
      <c r="G8064">
        <v>703.61</v>
      </c>
      <c r="H8064">
        <v>250519</v>
      </c>
      <c r="I8064">
        <v>4820</v>
      </c>
      <c r="J8064" t="s">
        <v>169</v>
      </c>
      <c r="K8064">
        <v>1175.1400000000001</v>
      </c>
      <c r="L8064">
        <v>86.41</v>
      </c>
      <c r="M8064">
        <v>13841</v>
      </c>
      <c r="N8064" t="s">
        <v>178</v>
      </c>
      <c r="O8064">
        <v>250522</v>
      </c>
      <c r="P8064">
        <v>617.20000000000005</v>
      </c>
    </row>
    <row r="8065" spans="1:16" x14ac:dyDescent="0.25">
      <c r="A8065" t="s">
        <v>3296</v>
      </c>
      <c r="B8065" t="s">
        <v>2931</v>
      </c>
      <c r="C8065">
        <v>7367</v>
      </c>
      <c r="D8065" t="str">
        <f>"103/250083  "</f>
        <v xml:space="preserve">103/250083  </v>
      </c>
      <c r="E8065" t="s">
        <v>2882</v>
      </c>
      <c r="F8065" t="s">
        <v>2883</v>
      </c>
      <c r="G8065">
        <v>673.06</v>
      </c>
      <c r="H8065">
        <v>250601</v>
      </c>
      <c r="I8065">
        <v>4820</v>
      </c>
      <c r="J8065" t="s">
        <v>169</v>
      </c>
      <c r="K8065">
        <v>673.06</v>
      </c>
      <c r="L8065">
        <v>136.76</v>
      </c>
      <c r="M8065">
        <v>13841</v>
      </c>
      <c r="N8065" t="s">
        <v>178</v>
      </c>
      <c r="O8065">
        <v>250603</v>
      </c>
      <c r="P8065">
        <v>536.29999999999995</v>
      </c>
    </row>
    <row r="8066" spans="1:16" x14ac:dyDescent="0.25">
      <c r="A8066" t="s">
        <v>3296</v>
      </c>
      <c r="B8066" t="s">
        <v>2931</v>
      </c>
      <c r="C8066">
        <v>8806</v>
      </c>
      <c r="D8066" t="str">
        <f>"300/250047  "</f>
        <v xml:space="preserve">300/250047  </v>
      </c>
      <c r="E8066" t="s">
        <v>2882</v>
      </c>
      <c r="F8066" t="s">
        <v>2883</v>
      </c>
      <c r="G8066">
        <v>1317</v>
      </c>
      <c r="H8066">
        <v>250611</v>
      </c>
      <c r="I8066">
        <v>4820</v>
      </c>
      <c r="J8066" t="s">
        <v>169</v>
      </c>
      <c r="K8066">
        <v>1317</v>
      </c>
      <c r="L8066">
        <v>267.60000000000002</v>
      </c>
      <c r="M8066">
        <v>13841</v>
      </c>
      <c r="N8066" t="s">
        <v>178</v>
      </c>
      <c r="O8066">
        <v>250618</v>
      </c>
      <c r="P8066">
        <v>1049.4000000000001</v>
      </c>
    </row>
    <row r="8067" spans="1:16" x14ac:dyDescent="0.25">
      <c r="A8067" t="s">
        <v>3296</v>
      </c>
      <c r="B8067" t="s">
        <v>2931</v>
      </c>
      <c r="C8067">
        <v>8951</v>
      </c>
      <c r="D8067" t="str">
        <f>"103/250097  "</f>
        <v xml:space="preserve">103/250097  </v>
      </c>
      <c r="E8067" t="s">
        <v>2882</v>
      </c>
      <c r="F8067" t="s">
        <v>2883</v>
      </c>
      <c r="G8067">
        <v>673.06</v>
      </c>
      <c r="H8067">
        <v>250701</v>
      </c>
      <c r="I8067">
        <v>4820</v>
      </c>
      <c r="J8067" t="s">
        <v>169</v>
      </c>
      <c r="K8067">
        <v>673.06</v>
      </c>
      <c r="L8067">
        <v>136.76</v>
      </c>
      <c r="M8067">
        <v>13841</v>
      </c>
      <c r="N8067" t="s">
        <v>178</v>
      </c>
      <c r="O8067">
        <v>250619</v>
      </c>
      <c r="P8067">
        <v>536.29999999999995</v>
      </c>
    </row>
    <row r="8068" spans="1:16" x14ac:dyDescent="0.25">
      <c r="A8068" t="s">
        <v>3296</v>
      </c>
      <c r="B8068" t="s">
        <v>2931</v>
      </c>
      <c r="C8068">
        <v>9860</v>
      </c>
      <c r="D8068" t="str">
        <f>"103/250111  "</f>
        <v xml:space="preserve">103/250111  </v>
      </c>
      <c r="E8068" t="s">
        <v>2882</v>
      </c>
      <c r="F8068" t="s">
        <v>2883</v>
      </c>
      <c r="G8068">
        <v>673.06</v>
      </c>
      <c r="H8068">
        <v>250801</v>
      </c>
      <c r="I8068">
        <v>4820</v>
      </c>
      <c r="J8068" t="s">
        <v>169</v>
      </c>
      <c r="K8068">
        <v>673.06</v>
      </c>
      <c r="L8068">
        <v>136.76</v>
      </c>
      <c r="M8068">
        <v>13841</v>
      </c>
      <c r="N8068" t="s">
        <v>178</v>
      </c>
      <c r="O8068">
        <v>250730</v>
      </c>
      <c r="P8068">
        <v>536.29999999999995</v>
      </c>
    </row>
    <row r="8069" spans="1:16" x14ac:dyDescent="0.25">
      <c r="A8069" t="s">
        <v>3296</v>
      </c>
      <c r="B8069" t="s">
        <v>2931</v>
      </c>
      <c r="C8069">
        <v>10625</v>
      </c>
      <c r="D8069" t="str">
        <f>"103/250125  "</f>
        <v xml:space="preserve">103/250125  </v>
      </c>
      <c r="E8069" t="s">
        <v>2882</v>
      </c>
      <c r="F8069" t="s">
        <v>2883</v>
      </c>
      <c r="G8069">
        <v>673.06</v>
      </c>
      <c r="H8069">
        <v>250901</v>
      </c>
      <c r="I8069">
        <v>4820</v>
      </c>
      <c r="J8069" t="s">
        <v>169</v>
      </c>
      <c r="K8069">
        <v>673.06</v>
      </c>
      <c r="L8069">
        <v>136.76</v>
      </c>
      <c r="M8069">
        <v>13841</v>
      </c>
      <c r="N8069" t="s">
        <v>178</v>
      </c>
      <c r="O8069">
        <v>250820</v>
      </c>
      <c r="P8069">
        <v>536.29999999999995</v>
      </c>
    </row>
    <row r="8070" spans="1:16" x14ac:dyDescent="0.25">
      <c r="A8070" t="s">
        <v>3296</v>
      </c>
      <c r="B8070" t="s">
        <v>2931</v>
      </c>
      <c r="C8070">
        <v>12352</v>
      </c>
      <c r="D8070" t="str">
        <f>"103/250139  "</f>
        <v xml:space="preserve">103/250139  </v>
      </c>
      <c r="E8070" t="s">
        <v>2882</v>
      </c>
      <c r="F8070" t="s">
        <v>2883</v>
      </c>
      <c r="G8070">
        <v>673.06</v>
      </c>
      <c r="H8070">
        <v>251001</v>
      </c>
      <c r="I8070">
        <v>4820</v>
      </c>
      <c r="J8070" t="s">
        <v>169</v>
      </c>
      <c r="K8070">
        <v>673.06</v>
      </c>
      <c r="L8070">
        <v>136.76</v>
      </c>
      <c r="M8070">
        <v>13841</v>
      </c>
      <c r="N8070" t="s">
        <v>178</v>
      </c>
      <c r="O8070">
        <v>250919</v>
      </c>
      <c r="P8070">
        <v>536.29999999999995</v>
      </c>
    </row>
    <row r="8071" spans="1:16" x14ac:dyDescent="0.25">
      <c r="A8071" t="s">
        <v>3296</v>
      </c>
      <c r="B8071" t="s">
        <v>2931</v>
      </c>
      <c r="C8071">
        <v>13897</v>
      </c>
      <c r="D8071" t="str">
        <f>"103/250153  "</f>
        <v xml:space="preserve">103/250153  </v>
      </c>
      <c r="E8071" t="s">
        <v>2882</v>
      </c>
      <c r="F8071" t="s">
        <v>2883</v>
      </c>
      <c r="G8071">
        <v>673.06</v>
      </c>
      <c r="H8071">
        <v>251101</v>
      </c>
      <c r="I8071">
        <v>4820</v>
      </c>
      <c r="J8071" t="s">
        <v>169</v>
      </c>
      <c r="K8071">
        <v>673.06</v>
      </c>
      <c r="L8071">
        <v>136.76</v>
      </c>
      <c r="M8071">
        <v>13841</v>
      </c>
      <c r="N8071" t="s">
        <v>178</v>
      </c>
      <c r="O8071">
        <v>251020</v>
      </c>
      <c r="P8071">
        <v>536.29999999999995</v>
      </c>
    </row>
    <row r="8072" spans="1:16" x14ac:dyDescent="0.25">
      <c r="A8072" t="s">
        <v>3296</v>
      </c>
      <c r="B8072" t="s">
        <v>2931</v>
      </c>
      <c r="C8072">
        <v>15642</v>
      </c>
      <c r="D8072" t="str">
        <f>"103/250167  "</f>
        <v xml:space="preserve">103/250167  </v>
      </c>
      <c r="E8072" t="s">
        <v>2882</v>
      </c>
      <c r="F8072" t="s">
        <v>2883</v>
      </c>
      <c r="G8072">
        <v>673.06</v>
      </c>
      <c r="H8072">
        <v>251201</v>
      </c>
      <c r="I8072">
        <v>4820</v>
      </c>
      <c r="J8072" t="s">
        <v>169</v>
      </c>
      <c r="K8072">
        <v>673.06</v>
      </c>
      <c r="L8072">
        <v>136.76</v>
      </c>
      <c r="M8072">
        <v>13841</v>
      </c>
      <c r="N8072" t="s">
        <v>178</v>
      </c>
      <c r="O8072">
        <v>251124</v>
      </c>
      <c r="P8072">
        <v>536.29999999999995</v>
      </c>
    </row>
    <row r="8073" spans="1:16" x14ac:dyDescent="0.25">
      <c r="A8073" t="s">
        <v>3296</v>
      </c>
      <c r="B8073" t="s">
        <v>2931</v>
      </c>
      <c r="C8073">
        <v>17181</v>
      </c>
      <c r="D8073" t="str">
        <f>"102/250100  "</f>
        <v xml:space="preserve">102/250100  </v>
      </c>
      <c r="E8073" t="s">
        <v>2882</v>
      </c>
      <c r="F8073" t="s">
        <v>2883</v>
      </c>
      <c r="G8073">
        <v>441.18</v>
      </c>
      <c r="H8073">
        <v>251215</v>
      </c>
      <c r="I8073">
        <v>4820</v>
      </c>
      <c r="J8073" t="s">
        <v>169</v>
      </c>
      <c r="K8073">
        <v>1044.83</v>
      </c>
      <c r="L8073">
        <v>89.64</v>
      </c>
      <c r="M8073">
        <v>13841</v>
      </c>
      <c r="N8073" t="s">
        <v>178</v>
      </c>
      <c r="O8073">
        <v>251218</v>
      </c>
      <c r="P8073">
        <v>351.54</v>
      </c>
    </row>
    <row r="8074" spans="1:16" x14ac:dyDescent="0.25">
      <c r="A8074" t="s">
        <v>3296</v>
      </c>
      <c r="B8074" t="s">
        <v>2931</v>
      </c>
      <c r="C8074">
        <v>17181</v>
      </c>
      <c r="D8074" t="str">
        <f>"102/250100  "</f>
        <v xml:space="preserve">102/250100  </v>
      </c>
      <c r="E8074" t="s">
        <v>2882</v>
      </c>
      <c r="F8074" t="s">
        <v>2883</v>
      </c>
      <c r="G8074">
        <v>603.65</v>
      </c>
      <c r="H8074">
        <v>251215</v>
      </c>
      <c r="I8074">
        <v>4820</v>
      </c>
      <c r="J8074" t="s">
        <v>169</v>
      </c>
      <c r="K8074">
        <v>1044.83</v>
      </c>
      <c r="L8074">
        <v>74.13</v>
      </c>
      <c r="M8074">
        <v>13841</v>
      </c>
      <c r="N8074" t="s">
        <v>178</v>
      </c>
      <c r="O8074">
        <v>251218</v>
      </c>
      <c r="P8074">
        <v>529.52</v>
      </c>
    </row>
    <row r="8075" spans="1:16" x14ac:dyDescent="0.25">
      <c r="A8075" t="s">
        <v>3296</v>
      </c>
      <c r="B8075" t="s">
        <v>2931</v>
      </c>
      <c r="C8075">
        <v>17626</v>
      </c>
      <c r="D8075" t="str">
        <f>"300/250126  "</f>
        <v xml:space="preserve">300/250126  </v>
      </c>
      <c r="E8075" t="s">
        <v>2882</v>
      </c>
      <c r="F8075" t="s">
        <v>2883</v>
      </c>
      <c r="G8075">
        <v>1157.3599999999999</v>
      </c>
      <c r="H8075">
        <v>251217</v>
      </c>
      <c r="I8075">
        <v>4820</v>
      </c>
      <c r="J8075" t="s">
        <v>169</v>
      </c>
      <c r="K8075">
        <v>1157.3599999999999</v>
      </c>
      <c r="L8075">
        <v>235.16</v>
      </c>
      <c r="M8075">
        <v>13841</v>
      </c>
      <c r="N8075" t="s">
        <v>178</v>
      </c>
      <c r="O8075">
        <v>251223</v>
      </c>
      <c r="P8075">
        <v>922.2</v>
      </c>
    </row>
    <row r="8076" spans="1:16" x14ac:dyDescent="0.25">
      <c r="A8076" t="s">
        <v>3296</v>
      </c>
      <c r="B8076" t="s">
        <v>2931</v>
      </c>
      <c r="C8076">
        <v>5676</v>
      </c>
      <c r="D8076" t="str">
        <f>"488497      "</f>
        <v xml:space="preserve">488497      </v>
      </c>
      <c r="E8076" t="s">
        <v>1779</v>
      </c>
      <c r="F8076" t="s">
        <v>1780</v>
      </c>
      <c r="G8076">
        <v>438.95</v>
      </c>
      <c r="H8076">
        <v>250424</v>
      </c>
      <c r="I8076">
        <v>4600</v>
      </c>
      <c r="J8076" t="s">
        <v>278</v>
      </c>
      <c r="K8076">
        <v>438.95</v>
      </c>
      <c r="L8076">
        <v>89.19</v>
      </c>
      <c r="M8076">
        <v>17634</v>
      </c>
      <c r="N8076" t="s">
        <v>634</v>
      </c>
      <c r="O8076">
        <v>250428</v>
      </c>
      <c r="P8076">
        <v>349.76</v>
      </c>
    </row>
    <row r="8077" spans="1:16" x14ac:dyDescent="0.25">
      <c r="A8077" t="s">
        <v>3296</v>
      </c>
      <c r="B8077" t="s">
        <v>2931</v>
      </c>
      <c r="C8077">
        <v>5684</v>
      </c>
      <c r="D8077" t="str">
        <f>"487513      "</f>
        <v xml:space="preserve">487513      </v>
      </c>
      <c r="E8077" t="s">
        <v>1779</v>
      </c>
      <c r="F8077" t="s">
        <v>1780</v>
      </c>
      <c r="G8077">
        <v>223.39</v>
      </c>
      <c r="H8077">
        <v>250411</v>
      </c>
      <c r="I8077">
        <v>4600</v>
      </c>
      <c r="J8077" t="s">
        <v>278</v>
      </c>
      <c r="K8077">
        <v>223.39</v>
      </c>
      <c r="L8077">
        <v>45.39</v>
      </c>
      <c r="M8077">
        <v>17634</v>
      </c>
      <c r="N8077" t="s">
        <v>634</v>
      </c>
      <c r="O8077">
        <v>250429</v>
      </c>
      <c r="P8077">
        <v>178</v>
      </c>
    </row>
    <row r="8078" spans="1:16" x14ac:dyDescent="0.25">
      <c r="A8078" t="s">
        <v>3296</v>
      </c>
      <c r="B8078" t="s">
        <v>2931</v>
      </c>
      <c r="C8078">
        <v>78</v>
      </c>
      <c r="D8078" t="str">
        <f>"80/06012025 "</f>
        <v xml:space="preserve">80/06012025 </v>
      </c>
      <c r="E8078" t="s">
        <v>168</v>
      </c>
      <c r="F8078" t="s">
        <v>171</v>
      </c>
      <c r="G8078">
        <v>7525.33</v>
      </c>
      <c r="H8078">
        <v>250101</v>
      </c>
      <c r="I8078">
        <v>4820</v>
      </c>
      <c r="J8078" t="s">
        <v>169</v>
      </c>
      <c r="K8078">
        <v>7525.33</v>
      </c>
      <c r="L8078">
        <v>0</v>
      </c>
      <c r="M8078">
        <v>17956</v>
      </c>
      <c r="N8078" t="s">
        <v>170</v>
      </c>
      <c r="O8078">
        <v>250107</v>
      </c>
      <c r="P8078">
        <v>7525.33</v>
      </c>
    </row>
    <row r="8079" spans="1:16" x14ac:dyDescent="0.25">
      <c r="A8079" t="s">
        <v>3296</v>
      </c>
      <c r="B8079" t="s">
        <v>2931</v>
      </c>
      <c r="C8079">
        <v>516</v>
      </c>
      <c r="D8079" t="str">
        <f>"82/050225   "</f>
        <v xml:space="preserve">82/050225   </v>
      </c>
      <c r="E8079" t="s">
        <v>168</v>
      </c>
      <c r="F8079" t="s">
        <v>171</v>
      </c>
      <c r="G8079">
        <v>7525.33</v>
      </c>
      <c r="H8079">
        <v>250122</v>
      </c>
      <c r="I8079">
        <v>4820</v>
      </c>
      <c r="J8079" t="s">
        <v>169</v>
      </c>
      <c r="K8079">
        <v>7525.33</v>
      </c>
      <c r="L8079">
        <v>0</v>
      </c>
      <c r="M8079">
        <v>17956</v>
      </c>
      <c r="N8079" t="s">
        <v>170</v>
      </c>
      <c r="O8079">
        <v>250123</v>
      </c>
      <c r="P8079">
        <v>7525.33</v>
      </c>
    </row>
    <row r="8080" spans="1:16" x14ac:dyDescent="0.25">
      <c r="A8080" t="s">
        <v>3296</v>
      </c>
      <c r="B8080" t="s">
        <v>2931</v>
      </c>
      <c r="C8080">
        <v>2329</v>
      </c>
      <c r="D8080" t="str">
        <f>"84          "</f>
        <v xml:space="preserve">84          </v>
      </c>
      <c r="E8080" t="s">
        <v>168</v>
      </c>
      <c r="F8080" t="s">
        <v>171</v>
      </c>
      <c r="G8080">
        <v>7525.33</v>
      </c>
      <c r="H8080">
        <v>250301</v>
      </c>
      <c r="I8080">
        <v>4820</v>
      </c>
      <c r="J8080" t="s">
        <v>169</v>
      </c>
      <c r="K8080">
        <v>7525.33</v>
      </c>
      <c r="L8080">
        <v>0</v>
      </c>
      <c r="M8080">
        <v>17956</v>
      </c>
      <c r="N8080" t="s">
        <v>170</v>
      </c>
      <c r="O8080">
        <v>250224</v>
      </c>
      <c r="P8080">
        <v>7525.33</v>
      </c>
    </row>
    <row r="8081" spans="1:16" x14ac:dyDescent="0.25">
      <c r="A8081" t="s">
        <v>3296</v>
      </c>
      <c r="B8081" t="s">
        <v>2931</v>
      </c>
      <c r="C8081">
        <v>4065</v>
      </c>
      <c r="D8081" t="str">
        <f>"86          "</f>
        <v xml:space="preserve">86          </v>
      </c>
      <c r="E8081" t="s">
        <v>168</v>
      </c>
      <c r="F8081" t="s">
        <v>171</v>
      </c>
      <c r="G8081">
        <v>7525.33</v>
      </c>
      <c r="H8081">
        <v>250324</v>
      </c>
      <c r="I8081">
        <v>4820</v>
      </c>
      <c r="J8081" t="s">
        <v>169</v>
      </c>
      <c r="K8081">
        <v>7525.33</v>
      </c>
      <c r="L8081">
        <v>0</v>
      </c>
      <c r="M8081">
        <v>17956</v>
      </c>
      <c r="N8081" t="s">
        <v>170</v>
      </c>
      <c r="O8081">
        <v>250407</v>
      </c>
      <c r="P8081">
        <v>7525.33</v>
      </c>
    </row>
    <row r="8082" spans="1:16" x14ac:dyDescent="0.25">
      <c r="A8082" t="s">
        <v>3296</v>
      </c>
      <c r="B8082" t="s">
        <v>2931</v>
      </c>
      <c r="C8082">
        <v>5588</v>
      </c>
      <c r="D8082" t="str">
        <f>"88          "</f>
        <v xml:space="preserve">88          </v>
      </c>
      <c r="E8082" t="s">
        <v>168</v>
      </c>
      <c r="F8082" t="s">
        <v>171</v>
      </c>
      <c r="G8082">
        <v>7525.33</v>
      </c>
      <c r="H8082">
        <v>250501</v>
      </c>
      <c r="I8082">
        <v>4820</v>
      </c>
      <c r="J8082" t="s">
        <v>169</v>
      </c>
      <c r="K8082">
        <v>7525.33</v>
      </c>
      <c r="L8082">
        <v>0</v>
      </c>
      <c r="M8082">
        <v>17956</v>
      </c>
      <c r="N8082" t="s">
        <v>170</v>
      </c>
      <c r="O8082">
        <v>250425</v>
      </c>
      <c r="P8082">
        <v>7525.33</v>
      </c>
    </row>
    <row r="8083" spans="1:16" x14ac:dyDescent="0.25">
      <c r="A8083" t="s">
        <v>3296</v>
      </c>
      <c r="B8083" t="s">
        <v>2931</v>
      </c>
      <c r="C8083">
        <v>7390</v>
      </c>
      <c r="D8083" t="str">
        <f>"90          "</f>
        <v xml:space="preserve">90          </v>
      </c>
      <c r="E8083" t="s">
        <v>168</v>
      </c>
      <c r="F8083" t="s">
        <v>171</v>
      </c>
      <c r="G8083">
        <v>7525.33</v>
      </c>
      <c r="H8083">
        <v>250601</v>
      </c>
      <c r="I8083">
        <v>4820</v>
      </c>
      <c r="J8083" t="s">
        <v>169</v>
      </c>
      <c r="K8083">
        <v>7525.33</v>
      </c>
      <c r="L8083">
        <v>0</v>
      </c>
      <c r="M8083">
        <v>17956</v>
      </c>
      <c r="N8083" t="s">
        <v>170</v>
      </c>
      <c r="O8083">
        <v>250603</v>
      </c>
      <c r="P8083">
        <v>7525.33</v>
      </c>
    </row>
    <row r="8084" spans="1:16" x14ac:dyDescent="0.25">
      <c r="A8084" t="s">
        <v>3296</v>
      </c>
      <c r="B8084" t="s">
        <v>2931</v>
      </c>
      <c r="C8084">
        <v>9186</v>
      </c>
      <c r="D8084" t="str">
        <f>"92          "</f>
        <v xml:space="preserve">92          </v>
      </c>
      <c r="E8084" t="s">
        <v>168</v>
      </c>
      <c r="F8084" t="s">
        <v>171</v>
      </c>
      <c r="G8084">
        <v>7525.33</v>
      </c>
      <c r="H8084">
        <v>250701</v>
      </c>
      <c r="I8084">
        <v>4820</v>
      </c>
      <c r="J8084" t="s">
        <v>169</v>
      </c>
      <c r="K8084">
        <v>7525.33</v>
      </c>
      <c r="L8084">
        <v>0</v>
      </c>
      <c r="M8084">
        <v>17956</v>
      </c>
      <c r="N8084" t="s">
        <v>170</v>
      </c>
      <c r="O8084">
        <v>250627</v>
      </c>
      <c r="P8084">
        <v>7525.33</v>
      </c>
    </row>
    <row r="8085" spans="1:16" x14ac:dyDescent="0.25">
      <c r="A8085" t="s">
        <v>3296</v>
      </c>
      <c r="B8085" t="s">
        <v>2931</v>
      </c>
      <c r="C8085">
        <v>9857</v>
      </c>
      <c r="D8085" t="str">
        <f>"94          "</f>
        <v xml:space="preserve">94          </v>
      </c>
      <c r="E8085" t="s">
        <v>168</v>
      </c>
      <c r="F8085" t="s">
        <v>171</v>
      </c>
      <c r="G8085">
        <v>7525.33</v>
      </c>
      <c r="H8085">
        <v>250801</v>
      </c>
      <c r="I8085">
        <v>4820</v>
      </c>
      <c r="J8085" t="s">
        <v>169</v>
      </c>
      <c r="K8085">
        <v>7525.33</v>
      </c>
      <c r="L8085">
        <v>0</v>
      </c>
      <c r="M8085">
        <v>17956</v>
      </c>
      <c r="N8085" t="s">
        <v>170</v>
      </c>
      <c r="O8085">
        <v>250730</v>
      </c>
      <c r="P8085">
        <v>7525.33</v>
      </c>
    </row>
    <row r="8086" spans="1:16" x14ac:dyDescent="0.25">
      <c r="A8086" t="s">
        <v>3296</v>
      </c>
      <c r="B8086" t="s">
        <v>2931</v>
      </c>
      <c r="C8086">
        <v>10881</v>
      </c>
      <c r="D8086" t="str">
        <f>"96          "</f>
        <v xml:space="preserve">96          </v>
      </c>
      <c r="E8086" t="s">
        <v>168</v>
      </c>
      <c r="F8086" t="s">
        <v>171</v>
      </c>
      <c r="G8086">
        <v>7525.33</v>
      </c>
      <c r="H8086">
        <v>250901</v>
      </c>
      <c r="I8086">
        <v>4820</v>
      </c>
      <c r="J8086" t="s">
        <v>169</v>
      </c>
      <c r="K8086">
        <v>7525.33</v>
      </c>
      <c r="L8086">
        <v>0</v>
      </c>
      <c r="M8086">
        <v>17956</v>
      </c>
      <c r="N8086" t="s">
        <v>170</v>
      </c>
      <c r="O8086">
        <v>250826</v>
      </c>
      <c r="P8086">
        <v>7525.33</v>
      </c>
    </row>
    <row r="8087" spans="1:16" x14ac:dyDescent="0.25">
      <c r="A8087" t="s">
        <v>3296</v>
      </c>
      <c r="B8087" t="s">
        <v>2931</v>
      </c>
      <c r="C8087">
        <v>12725</v>
      </c>
      <c r="D8087" t="str">
        <f>"98          "</f>
        <v xml:space="preserve">98          </v>
      </c>
      <c r="E8087" t="s">
        <v>168</v>
      </c>
      <c r="F8087" t="s">
        <v>171</v>
      </c>
      <c r="G8087">
        <v>7525.33</v>
      </c>
      <c r="H8087">
        <v>251001</v>
      </c>
      <c r="I8087">
        <v>4820</v>
      </c>
      <c r="J8087" t="s">
        <v>169</v>
      </c>
      <c r="K8087">
        <v>7525.33</v>
      </c>
      <c r="L8087">
        <v>0</v>
      </c>
      <c r="M8087">
        <v>17956</v>
      </c>
      <c r="N8087" t="s">
        <v>170</v>
      </c>
      <c r="O8087">
        <v>250929</v>
      </c>
      <c r="P8087">
        <v>7525.33</v>
      </c>
    </row>
    <row r="8088" spans="1:16" x14ac:dyDescent="0.25">
      <c r="A8088" t="s">
        <v>3296</v>
      </c>
      <c r="B8088" t="s">
        <v>2931</v>
      </c>
      <c r="C8088">
        <v>14214</v>
      </c>
      <c r="D8088" t="str">
        <f>"100         "</f>
        <v xml:space="preserve">100         </v>
      </c>
      <c r="E8088" t="s">
        <v>168</v>
      </c>
      <c r="F8088" t="s">
        <v>171</v>
      </c>
      <c r="G8088">
        <v>7525.33</v>
      </c>
      <c r="H8088">
        <v>251101</v>
      </c>
      <c r="I8088">
        <v>4820</v>
      </c>
      <c r="J8088" t="s">
        <v>169</v>
      </c>
      <c r="K8088">
        <v>7525.33</v>
      </c>
      <c r="L8088">
        <v>0</v>
      </c>
      <c r="M8088">
        <v>17956</v>
      </c>
      <c r="N8088" t="s">
        <v>170</v>
      </c>
      <c r="O8088">
        <v>251027</v>
      </c>
      <c r="P8088">
        <v>7525.33</v>
      </c>
    </row>
    <row r="8089" spans="1:16" x14ac:dyDescent="0.25">
      <c r="A8089" t="s">
        <v>3296</v>
      </c>
      <c r="B8089" t="s">
        <v>2931</v>
      </c>
      <c r="C8089">
        <v>15657</v>
      </c>
      <c r="D8089" t="str">
        <f>"102         "</f>
        <v xml:space="preserve">102         </v>
      </c>
      <c r="E8089" t="s">
        <v>168</v>
      </c>
      <c r="F8089" t="s">
        <v>171</v>
      </c>
      <c r="G8089">
        <v>7525.33</v>
      </c>
      <c r="H8089">
        <v>251201</v>
      </c>
      <c r="I8089">
        <v>4820</v>
      </c>
      <c r="J8089" t="s">
        <v>169</v>
      </c>
      <c r="K8089">
        <v>7525.33</v>
      </c>
      <c r="L8089">
        <v>0</v>
      </c>
      <c r="M8089">
        <v>17956</v>
      </c>
      <c r="N8089" t="s">
        <v>170</v>
      </c>
      <c r="O8089">
        <v>251124</v>
      </c>
      <c r="P8089">
        <v>7525.33</v>
      </c>
    </row>
    <row r="8090" spans="1:16" x14ac:dyDescent="0.25">
      <c r="A8090" t="s">
        <v>3296</v>
      </c>
      <c r="B8090" t="s">
        <v>2931</v>
      </c>
      <c r="C8090">
        <v>8403</v>
      </c>
      <c r="D8090" t="str">
        <f>"38827       "</f>
        <v xml:space="preserve">38827       </v>
      </c>
      <c r="E8090" t="s">
        <v>2032</v>
      </c>
      <c r="F8090" t="s">
        <v>2033</v>
      </c>
      <c r="G8090">
        <v>616.20000000000005</v>
      </c>
      <c r="H8090">
        <v>250531</v>
      </c>
      <c r="I8090">
        <v>4390</v>
      </c>
      <c r="J8090" t="s">
        <v>232</v>
      </c>
      <c r="K8090">
        <v>616.20000000000005</v>
      </c>
      <c r="L8090">
        <v>125.2</v>
      </c>
      <c r="M8090">
        <v>17951</v>
      </c>
      <c r="N8090" t="s">
        <v>207</v>
      </c>
      <c r="O8090">
        <v>250613</v>
      </c>
      <c r="P8090">
        <v>491</v>
      </c>
    </row>
    <row r="8091" spans="1:16" x14ac:dyDescent="0.25">
      <c r="A8091" t="s">
        <v>3296</v>
      </c>
      <c r="B8091" t="s">
        <v>2931</v>
      </c>
      <c r="C8091">
        <v>9355</v>
      </c>
      <c r="D8091" t="str">
        <f>"38884       "</f>
        <v xml:space="preserve">38884       </v>
      </c>
      <c r="E8091" t="s">
        <v>2032</v>
      </c>
      <c r="F8091" t="s">
        <v>2033</v>
      </c>
      <c r="G8091">
        <v>395.59</v>
      </c>
      <c r="H8091">
        <v>250627</v>
      </c>
      <c r="I8091">
        <v>4390</v>
      </c>
      <c r="J8091" t="s">
        <v>232</v>
      </c>
      <c r="K8091">
        <v>395.59</v>
      </c>
      <c r="L8091">
        <v>80.38</v>
      </c>
      <c r="M8091">
        <v>17951</v>
      </c>
      <c r="N8091" t="s">
        <v>207</v>
      </c>
      <c r="O8091">
        <v>250704</v>
      </c>
      <c r="P8091">
        <v>315.20999999999998</v>
      </c>
    </row>
    <row r="8092" spans="1:16" x14ac:dyDescent="0.25">
      <c r="A8092" t="s">
        <v>3296</v>
      </c>
      <c r="B8092" t="s">
        <v>2931</v>
      </c>
      <c r="C8092">
        <v>12745</v>
      </c>
      <c r="D8092" t="str">
        <f>"39516       "</f>
        <v xml:space="preserve">39516       </v>
      </c>
      <c r="E8092" t="s">
        <v>2032</v>
      </c>
      <c r="F8092" t="s">
        <v>2033</v>
      </c>
      <c r="G8092">
        <v>351.39</v>
      </c>
      <c r="H8092">
        <v>250923</v>
      </c>
      <c r="I8092">
        <v>4390</v>
      </c>
      <c r="J8092" t="s">
        <v>232</v>
      </c>
      <c r="K8092">
        <v>351.39</v>
      </c>
      <c r="L8092">
        <v>71.400000000000006</v>
      </c>
      <c r="M8092">
        <v>17952</v>
      </c>
      <c r="N8092" t="s">
        <v>157</v>
      </c>
      <c r="O8092">
        <v>250930</v>
      </c>
      <c r="P8092">
        <v>279.99</v>
      </c>
    </row>
    <row r="8093" spans="1:16" x14ac:dyDescent="0.25">
      <c r="A8093" t="s">
        <v>3296</v>
      </c>
      <c r="B8093" t="s">
        <v>2931</v>
      </c>
      <c r="C8093">
        <v>16716</v>
      </c>
      <c r="D8093" t="str">
        <f>"40161       "</f>
        <v xml:space="preserve">40161       </v>
      </c>
      <c r="E8093" t="s">
        <v>2032</v>
      </c>
      <c r="F8093" t="s">
        <v>2033</v>
      </c>
      <c r="G8093">
        <v>284</v>
      </c>
      <c r="H8093">
        <v>251209</v>
      </c>
      <c r="I8093">
        <v>4470</v>
      </c>
      <c r="J8093" t="s">
        <v>203</v>
      </c>
      <c r="K8093">
        <v>284</v>
      </c>
      <c r="L8093">
        <v>57.71</v>
      </c>
      <c r="M8093">
        <v>17951</v>
      </c>
      <c r="N8093" t="s">
        <v>207</v>
      </c>
      <c r="O8093">
        <v>251211</v>
      </c>
      <c r="P8093">
        <v>226.29</v>
      </c>
    </row>
    <row r="8094" spans="1:16" x14ac:dyDescent="0.25">
      <c r="A8094" t="s">
        <v>3296</v>
      </c>
      <c r="B8094" t="s">
        <v>2931</v>
      </c>
      <c r="C8094">
        <v>13110</v>
      </c>
      <c r="D8094" t="str">
        <f>"39538       "</f>
        <v xml:space="preserve">39538       </v>
      </c>
      <c r="E8094" t="s">
        <v>2032</v>
      </c>
      <c r="F8094" t="s">
        <v>2033</v>
      </c>
      <c r="G8094">
        <v>409.12</v>
      </c>
      <c r="H8094">
        <v>250925</v>
      </c>
      <c r="I8094">
        <v>4590</v>
      </c>
      <c r="J8094" t="s">
        <v>388</v>
      </c>
      <c r="K8094">
        <v>409.12</v>
      </c>
      <c r="L8094">
        <v>83.13</v>
      </c>
      <c r="M8094">
        <v>17806</v>
      </c>
      <c r="N8094" t="s">
        <v>22</v>
      </c>
      <c r="O8094">
        <v>251006</v>
      </c>
      <c r="P8094">
        <v>325.99</v>
      </c>
    </row>
    <row r="8095" spans="1:16" x14ac:dyDescent="0.25">
      <c r="A8095" t="s">
        <v>3296</v>
      </c>
      <c r="B8095" t="s">
        <v>2931</v>
      </c>
      <c r="C8095">
        <v>17487</v>
      </c>
      <c r="D8095" t="str">
        <f>"1880        "</f>
        <v xml:space="preserve">1880        </v>
      </c>
      <c r="E8095" t="s">
        <v>231</v>
      </c>
      <c r="F8095" t="s">
        <v>233</v>
      </c>
      <c r="G8095">
        <v>259.16000000000003</v>
      </c>
      <c r="H8095">
        <v>251219</v>
      </c>
      <c r="I8095">
        <v>1196</v>
      </c>
      <c r="J8095" t="s">
        <v>340</v>
      </c>
      <c r="K8095">
        <v>578.55999999999995</v>
      </c>
      <c r="L8095">
        <v>52.66</v>
      </c>
      <c r="M8095">
        <v>97604</v>
      </c>
      <c r="N8095" t="s">
        <v>341</v>
      </c>
      <c r="O8095">
        <v>251222</v>
      </c>
      <c r="P8095">
        <v>206.5</v>
      </c>
    </row>
    <row r="8096" spans="1:16" x14ac:dyDescent="0.25">
      <c r="A8096" t="s">
        <v>3296</v>
      </c>
      <c r="B8096" t="s">
        <v>2931</v>
      </c>
      <c r="C8096">
        <v>10422</v>
      </c>
      <c r="D8096" t="str">
        <f>"1625        "</f>
        <v xml:space="preserve">1625        </v>
      </c>
      <c r="E8096" t="s">
        <v>231</v>
      </c>
      <c r="F8096" t="s">
        <v>233</v>
      </c>
      <c r="G8096">
        <v>109.44</v>
      </c>
      <c r="H8096">
        <v>250814</v>
      </c>
      <c r="I8096">
        <v>1198</v>
      </c>
      <c r="J8096" t="s">
        <v>610</v>
      </c>
      <c r="K8096">
        <v>1417.91</v>
      </c>
      <c r="L8096">
        <v>22.24</v>
      </c>
      <c r="M8096">
        <v>97629</v>
      </c>
      <c r="N8096" t="s">
        <v>1110</v>
      </c>
      <c r="O8096">
        <v>250819</v>
      </c>
      <c r="P8096">
        <v>87.2</v>
      </c>
    </row>
    <row r="8097" spans="1:16" x14ac:dyDescent="0.25">
      <c r="A8097" t="s">
        <v>3296</v>
      </c>
      <c r="B8097" t="s">
        <v>2931</v>
      </c>
      <c r="C8097">
        <v>10422</v>
      </c>
      <c r="D8097" t="str">
        <f>"1625        "</f>
        <v xml:space="preserve">1625        </v>
      </c>
      <c r="E8097" t="s">
        <v>231</v>
      </c>
      <c r="F8097" t="s">
        <v>233</v>
      </c>
      <c r="G8097">
        <v>175.7</v>
      </c>
      <c r="H8097">
        <v>250814</v>
      </c>
      <c r="I8097">
        <v>1198</v>
      </c>
      <c r="J8097" t="s">
        <v>610</v>
      </c>
      <c r="K8097">
        <v>1417.91</v>
      </c>
      <c r="L8097">
        <v>35.700000000000003</v>
      </c>
      <c r="M8097">
        <v>97629</v>
      </c>
      <c r="N8097" t="s">
        <v>1110</v>
      </c>
      <c r="O8097">
        <v>250819</v>
      </c>
      <c r="P8097">
        <v>140</v>
      </c>
    </row>
    <row r="8098" spans="1:16" x14ac:dyDescent="0.25">
      <c r="A8098" t="s">
        <v>3296</v>
      </c>
      <c r="B8098" t="s">
        <v>2931</v>
      </c>
      <c r="C8098">
        <v>126</v>
      </c>
      <c r="D8098" t="str">
        <f>"1092        "</f>
        <v xml:space="preserve">1092        </v>
      </c>
      <c r="E8098" t="s">
        <v>231</v>
      </c>
      <c r="F8098" t="s">
        <v>233</v>
      </c>
      <c r="G8098">
        <v>65.260000000000005</v>
      </c>
      <c r="H8098">
        <v>250101</v>
      </c>
      <c r="I8098">
        <v>4380</v>
      </c>
      <c r="J8098" t="s">
        <v>211</v>
      </c>
      <c r="K8098">
        <v>7063.15</v>
      </c>
      <c r="L8098">
        <v>13.26</v>
      </c>
      <c r="M8098">
        <v>17534</v>
      </c>
      <c r="N8098" t="s">
        <v>148</v>
      </c>
      <c r="O8098">
        <v>250113</v>
      </c>
      <c r="P8098">
        <v>52</v>
      </c>
    </row>
    <row r="8099" spans="1:16" x14ac:dyDescent="0.25">
      <c r="A8099" t="s">
        <v>3296</v>
      </c>
      <c r="B8099" t="s">
        <v>2931</v>
      </c>
      <c r="C8099">
        <v>1330</v>
      </c>
      <c r="D8099" t="str">
        <f>"1175        "</f>
        <v xml:space="preserve">1175        </v>
      </c>
      <c r="E8099" t="s">
        <v>231</v>
      </c>
      <c r="F8099" t="s">
        <v>233</v>
      </c>
      <c r="G8099">
        <v>65.260000000000005</v>
      </c>
      <c r="H8099">
        <v>250201</v>
      </c>
      <c r="I8099">
        <v>4380</v>
      </c>
      <c r="J8099" t="s">
        <v>211</v>
      </c>
      <c r="K8099">
        <v>7063.15</v>
      </c>
      <c r="L8099">
        <v>13.26</v>
      </c>
      <c r="M8099">
        <v>17956</v>
      </c>
      <c r="N8099" t="s">
        <v>170</v>
      </c>
      <c r="O8099">
        <v>250207</v>
      </c>
      <c r="P8099">
        <v>52</v>
      </c>
    </row>
    <row r="8100" spans="1:16" x14ac:dyDescent="0.25">
      <c r="A8100" t="s">
        <v>3296</v>
      </c>
      <c r="B8100" t="s">
        <v>2931</v>
      </c>
      <c r="C8100">
        <v>2901</v>
      </c>
      <c r="D8100" t="str">
        <f>"1218        "</f>
        <v xml:space="preserve">1218        </v>
      </c>
      <c r="E8100" t="s">
        <v>231</v>
      </c>
      <c r="F8100" t="s">
        <v>233</v>
      </c>
      <c r="G8100">
        <v>21.75</v>
      </c>
      <c r="H8100">
        <v>250301</v>
      </c>
      <c r="I8100">
        <v>4380</v>
      </c>
      <c r="J8100" t="s">
        <v>211</v>
      </c>
      <c r="K8100">
        <v>7063.15</v>
      </c>
      <c r="L8100">
        <v>4.42</v>
      </c>
      <c r="M8100">
        <v>17534</v>
      </c>
      <c r="N8100" t="s">
        <v>148</v>
      </c>
      <c r="O8100">
        <v>250313</v>
      </c>
      <c r="P8100">
        <v>17.329999999999998</v>
      </c>
    </row>
    <row r="8101" spans="1:16" x14ac:dyDescent="0.25">
      <c r="A8101" t="s">
        <v>3296</v>
      </c>
      <c r="B8101" t="s">
        <v>2931</v>
      </c>
      <c r="C8101">
        <v>2901</v>
      </c>
      <c r="D8101" t="str">
        <f>"1218        "</f>
        <v xml:space="preserve">1218        </v>
      </c>
      <c r="E8101" t="s">
        <v>231</v>
      </c>
      <c r="F8101" t="s">
        <v>233</v>
      </c>
      <c r="G8101">
        <v>21.76</v>
      </c>
      <c r="H8101">
        <v>250301</v>
      </c>
      <c r="I8101">
        <v>4380</v>
      </c>
      <c r="J8101" t="s">
        <v>211</v>
      </c>
      <c r="K8101">
        <v>7063.15</v>
      </c>
      <c r="L8101">
        <v>4.42</v>
      </c>
      <c r="M8101">
        <v>17535</v>
      </c>
      <c r="N8101" t="s">
        <v>149</v>
      </c>
      <c r="O8101">
        <v>250313</v>
      </c>
      <c r="P8101">
        <v>17.34</v>
      </c>
    </row>
    <row r="8102" spans="1:16" x14ac:dyDescent="0.25">
      <c r="A8102" t="s">
        <v>3296</v>
      </c>
      <c r="B8102" t="s">
        <v>2931</v>
      </c>
      <c r="C8102">
        <v>2901</v>
      </c>
      <c r="D8102" t="str">
        <f>"1218        "</f>
        <v xml:space="preserve">1218        </v>
      </c>
      <c r="E8102" t="s">
        <v>231</v>
      </c>
      <c r="F8102" t="s">
        <v>233</v>
      </c>
      <c r="G8102">
        <v>21.75</v>
      </c>
      <c r="H8102">
        <v>250301</v>
      </c>
      <c r="I8102">
        <v>4380</v>
      </c>
      <c r="J8102" t="s">
        <v>211</v>
      </c>
      <c r="K8102">
        <v>7063.15</v>
      </c>
      <c r="L8102">
        <v>4.42</v>
      </c>
      <c r="M8102">
        <v>17536</v>
      </c>
      <c r="N8102" t="s">
        <v>150</v>
      </c>
      <c r="O8102">
        <v>250313</v>
      </c>
      <c r="P8102">
        <v>17.329999999999998</v>
      </c>
    </row>
    <row r="8103" spans="1:16" x14ac:dyDescent="0.25">
      <c r="A8103" t="s">
        <v>3296</v>
      </c>
      <c r="B8103" t="s">
        <v>2931</v>
      </c>
      <c r="C8103">
        <v>4610</v>
      </c>
      <c r="D8103" t="str">
        <f>"1286        "</f>
        <v xml:space="preserve">1286        </v>
      </c>
      <c r="E8103" t="s">
        <v>231</v>
      </c>
      <c r="F8103" t="s">
        <v>233</v>
      </c>
      <c r="G8103">
        <v>65.260000000000005</v>
      </c>
      <c r="H8103">
        <v>250401</v>
      </c>
      <c r="I8103">
        <v>4380</v>
      </c>
      <c r="J8103" t="s">
        <v>211</v>
      </c>
      <c r="K8103">
        <v>7063.15</v>
      </c>
      <c r="L8103">
        <v>13.26</v>
      </c>
      <c r="M8103">
        <v>17534</v>
      </c>
      <c r="N8103" t="s">
        <v>148</v>
      </c>
      <c r="O8103">
        <v>250414</v>
      </c>
      <c r="P8103">
        <v>52</v>
      </c>
    </row>
    <row r="8104" spans="1:16" x14ac:dyDescent="0.25">
      <c r="A8104" t="s">
        <v>3296</v>
      </c>
      <c r="B8104" t="s">
        <v>2931</v>
      </c>
      <c r="C8104">
        <v>6087</v>
      </c>
      <c r="D8104" t="str">
        <f>"1329        "</f>
        <v xml:space="preserve">1329        </v>
      </c>
      <c r="E8104" t="s">
        <v>231</v>
      </c>
      <c r="F8104" t="s">
        <v>233</v>
      </c>
      <c r="G8104">
        <v>65.260000000000005</v>
      </c>
      <c r="H8104">
        <v>250501</v>
      </c>
      <c r="I8104">
        <v>4380</v>
      </c>
      <c r="J8104" t="s">
        <v>211</v>
      </c>
      <c r="K8104">
        <v>3284.34</v>
      </c>
      <c r="L8104">
        <v>13.26</v>
      </c>
      <c r="M8104">
        <v>17534</v>
      </c>
      <c r="N8104" t="s">
        <v>148</v>
      </c>
      <c r="O8104">
        <v>250508</v>
      </c>
      <c r="P8104">
        <v>52</v>
      </c>
    </row>
    <row r="8105" spans="1:16" x14ac:dyDescent="0.25">
      <c r="A8105" t="s">
        <v>3296</v>
      </c>
      <c r="B8105" t="s">
        <v>2931</v>
      </c>
      <c r="C8105">
        <v>8056</v>
      </c>
      <c r="D8105" t="str">
        <f>"1392        "</f>
        <v xml:space="preserve">1392        </v>
      </c>
      <c r="E8105" t="s">
        <v>231</v>
      </c>
      <c r="F8105" t="s">
        <v>233</v>
      </c>
      <c r="G8105">
        <v>65.260000000000005</v>
      </c>
      <c r="H8105">
        <v>250601</v>
      </c>
      <c r="I8105">
        <v>4380</v>
      </c>
      <c r="J8105" t="s">
        <v>211</v>
      </c>
      <c r="K8105">
        <v>3284.34</v>
      </c>
      <c r="L8105">
        <v>13.26</v>
      </c>
      <c r="M8105">
        <v>17534</v>
      </c>
      <c r="N8105" t="s">
        <v>148</v>
      </c>
      <c r="O8105">
        <v>250611</v>
      </c>
      <c r="P8105">
        <v>52</v>
      </c>
    </row>
    <row r="8106" spans="1:16" x14ac:dyDescent="0.25">
      <c r="A8106" t="s">
        <v>3296</v>
      </c>
      <c r="B8106" t="s">
        <v>2931</v>
      </c>
      <c r="C8106">
        <v>9288</v>
      </c>
      <c r="D8106" t="str">
        <f>"1508        "</f>
        <v xml:space="preserve">1508        </v>
      </c>
      <c r="E8106" t="s">
        <v>231</v>
      </c>
      <c r="F8106" t="s">
        <v>233</v>
      </c>
      <c r="G8106">
        <v>4.1399999999999997</v>
      </c>
      <c r="H8106">
        <v>250626</v>
      </c>
      <c r="I8106">
        <v>4380</v>
      </c>
      <c r="J8106" t="s">
        <v>211</v>
      </c>
      <c r="K8106">
        <v>3814.78</v>
      </c>
      <c r="L8106">
        <v>0.84</v>
      </c>
      <c r="M8106">
        <v>13540</v>
      </c>
      <c r="N8106" t="s">
        <v>131</v>
      </c>
      <c r="O8106">
        <v>250702</v>
      </c>
      <c r="P8106">
        <v>3.3</v>
      </c>
    </row>
    <row r="8107" spans="1:16" x14ac:dyDescent="0.25">
      <c r="A8107" t="s">
        <v>3296</v>
      </c>
      <c r="B8107" t="s">
        <v>2931</v>
      </c>
      <c r="C8107">
        <v>9288</v>
      </c>
      <c r="D8107" t="str">
        <f>"1508        "</f>
        <v xml:space="preserve">1508        </v>
      </c>
      <c r="E8107" t="s">
        <v>231</v>
      </c>
      <c r="F8107" t="s">
        <v>233</v>
      </c>
      <c r="G8107">
        <v>33.51</v>
      </c>
      <c r="H8107">
        <v>250626</v>
      </c>
      <c r="I8107">
        <v>4380</v>
      </c>
      <c r="J8107" t="s">
        <v>211</v>
      </c>
      <c r="K8107">
        <v>3814.78</v>
      </c>
      <c r="L8107">
        <v>6.81</v>
      </c>
      <c r="M8107">
        <v>17951</v>
      </c>
      <c r="N8107" t="s">
        <v>207</v>
      </c>
      <c r="O8107">
        <v>250702</v>
      </c>
      <c r="P8107">
        <v>26.7</v>
      </c>
    </row>
    <row r="8108" spans="1:16" x14ac:dyDescent="0.25">
      <c r="A8108" t="s">
        <v>3296</v>
      </c>
      <c r="B8108" t="s">
        <v>2931</v>
      </c>
      <c r="C8108">
        <v>10000</v>
      </c>
      <c r="D8108" t="str">
        <f>"1523        "</f>
        <v xml:space="preserve">1523        </v>
      </c>
      <c r="E8108" t="s">
        <v>231</v>
      </c>
      <c r="F8108" t="s">
        <v>233</v>
      </c>
      <c r="G8108">
        <v>65.260000000000005</v>
      </c>
      <c r="H8108">
        <v>250801</v>
      </c>
      <c r="I8108">
        <v>4380</v>
      </c>
      <c r="J8108" t="s">
        <v>211</v>
      </c>
      <c r="K8108">
        <v>3284.34</v>
      </c>
      <c r="L8108">
        <v>13.26</v>
      </c>
      <c r="M8108">
        <v>17535</v>
      </c>
      <c r="N8108" t="s">
        <v>149</v>
      </c>
      <c r="O8108">
        <v>250806</v>
      </c>
      <c r="P8108">
        <v>52</v>
      </c>
    </row>
    <row r="8109" spans="1:16" x14ac:dyDescent="0.25">
      <c r="A8109" t="s">
        <v>3296</v>
      </c>
      <c r="B8109" t="s">
        <v>2931</v>
      </c>
      <c r="C8109">
        <v>11451</v>
      </c>
      <c r="D8109" t="str">
        <f>"1615        "</f>
        <v xml:space="preserve">1615        </v>
      </c>
      <c r="E8109" t="s">
        <v>231</v>
      </c>
      <c r="F8109" t="s">
        <v>233</v>
      </c>
      <c r="G8109">
        <v>65.260000000000005</v>
      </c>
      <c r="H8109">
        <v>250901</v>
      </c>
      <c r="I8109">
        <v>4380</v>
      </c>
      <c r="J8109" t="s">
        <v>211</v>
      </c>
      <c r="K8109">
        <v>3284.34</v>
      </c>
      <c r="L8109">
        <v>13.26</v>
      </c>
      <c r="M8109">
        <v>17535</v>
      </c>
      <c r="N8109" t="s">
        <v>149</v>
      </c>
      <c r="O8109">
        <v>250905</v>
      </c>
      <c r="P8109">
        <v>52</v>
      </c>
    </row>
    <row r="8110" spans="1:16" x14ac:dyDescent="0.25">
      <c r="A8110" t="s">
        <v>3296</v>
      </c>
      <c r="B8110" t="s">
        <v>2931</v>
      </c>
      <c r="C8110">
        <v>13227</v>
      </c>
      <c r="D8110" t="str">
        <f>"1648        "</f>
        <v xml:space="preserve">1648        </v>
      </c>
      <c r="E8110" t="s">
        <v>231</v>
      </c>
      <c r="F8110" t="s">
        <v>233</v>
      </c>
      <c r="G8110">
        <v>65.260000000000005</v>
      </c>
      <c r="H8110">
        <v>251001</v>
      </c>
      <c r="I8110">
        <v>4380</v>
      </c>
      <c r="J8110" t="s">
        <v>211</v>
      </c>
      <c r="K8110">
        <v>7063.15</v>
      </c>
      <c r="L8110">
        <v>13.26</v>
      </c>
      <c r="M8110">
        <v>17534</v>
      </c>
      <c r="N8110" t="s">
        <v>148</v>
      </c>
      <c r="O8110">
        <v>251006</v>
      </c>
      <c r="P8110">
        <v>52</v>
      </c>
    </row>
    <row r="8111" spans="1:16" x14ac:dyDescent="0.25">
      <c r="A8111" t="s">
        <v>3296</v>
      </c>
      <c r="B8111" t="s">
        <v>2931</v>
      </c>
      <c r="C8111">
        <v>14565</v>
      </c>
      <c r="D8111" t="str">
        <f>"1714        "</f>
        <v xml:space="preserve">1714        </v>
      </c>
      <c r="E8111" t="s">
        <v>231</v>
      </c>
      <c r="F8111" t="s">
        <v>233</v>
      </c>
      <c r="G8111">
        <v>21.76</v>
      </c>
      <c r="H8111">
        <v>251101</v>
      </c>
      <c r="I8111">
        <v>4380</v>
      </c>
      <c r="J8111" t="s">
        <v>211</v>
      </c>
      <c r="K8111">
        <v>7063.15</v>
      </c>
      <c r="L8111">
        <v>4.42</v>
      </c>
      <c r="M8111">
        <v>17534</v>
      </c>
      <c r="N8111" t="s">
        <v>148</v>
      </c>
      <c r="O8111">
        <v>251104</v>
      </c>
      <c r="P8111">
        <v>17.34</v>
      </c>
    </row>
    <row r="8112" spans="1:16" x14ac:dyDescent="0.25">
      <c r="A8112" t="s">
        <v>3296</v>
      </c>
      <c r="B8112" t="s">
        <v>2931</v>
      </c>
      <c r="C8112">
        <v>14565</v>
      </c>
      <c r="D8112" t="str">
        <f>"1714        "</f>
        <v xml:space="preserve">1714        </v>
      </c>
      <c r="E8112" t="s">
        <v>231</v>
      </c>
      <c r="F8112" t="s">
        <v>233</v>
      </c>
      <c r="G8112">
        <v>21.75</v>
      </c>
      <c r="H8112">
        <v>251101</v>
      </c>
      <c r="I8112">
        <v>4380</v>
      </c>
      <c r="J8112" t="s">
        <v>211</v>
      </c>
      <c r="K8112">
        <v>7063.15</v>
      </c>
      <c r="L8112">
        <v>4.42</v>
      </c>
      <c r="M8112">
        <v>17535</v>
      </c>
      <c r="N8112" t="s">
        <v>149</v>
      </c>
      <c r="O8112">
        <v>251104</v>
      </c>
      <c r="P8112">
        <v>17.329999999999998</v>
      </c>
    </row>
    <row r="8113" spans="1:16" x14ac:dyDescent="0.25">
      <c r="A8113" t="s">
        <v>3296</v>
      </c>
      <c r="B8113" t="s">
        <v>2931</v>
      </c>
      <c r="C8113">
        <v>14565</v>
      </c>
      <c r="D8113" t="str">
        <f>"1714        "</f>
        <v xml:space="preserve">1714        </v>
      </c>
      <c r="E8113" t="s">
        <v>231</v>
      </c>
      <c r="F8113" t="s">
        <v>233</v>
      </c>
      <c r="G8113">
        <v>21.75</v>
      </c>
      <c r="H8113">
        <v>251101</v>
      </c>
      <c r="I8113">
        <v>4380</v>
      </c>
      <c r="J8113" t="s">
        <v>211</v>
      </c>
      <c r="K8113">
        <v>7063.15</v>
      </c>
      <c r="L8113">
        <v>4.42</v>
      </c>
      <c r="M8113">
        <v>17536</v>
      </c>
      <c r="N8113" t="s">
        <v>150</v>
      </c>
      <c r="O8113">
        <v>251104</v>
      </c>
      <c r="P8113">
        <v>17.329999999999998</v>
      </c>
    </row>
    <row r="8114" spans="1:16" x14ac:dyDescent="0.25">
      <c r="A8114" t="s">
        <v>3296</v>
      </c>
      <c r="B8114" t="s">
        <v>2931</v>
      </c>
      <c r="C8114">
        <v>16195</v>
      </c>
      <c r="D8114" t="str">
        <f>"1794        "</f>
        <v xml:space="preserve">1794        </v>
      </c>
      <c r="E8114" t="s">
        <v>231</v>
      </c>
      <c r="F8114" t="s">
        <v>233</v>
      </c>
      <c r="G8114">
        <v>65.260000000000005</v>
      </c>
      <c r="H8114">
        <v>251201</v>
      </c>
      <c r="I8114">
        <v>4380</v>
      </c>
      <c r="J8114" t="s">
        <v>211</v>
      </c>
      <c r="K8114">
        <v>7063.15</v>
      </c>
      <c r="L8114">
        <v>13.26</v>
      </c>
      <c r="M8114">
        <v>17534</v>
      </c>
      <c r="N8114" t="s">
        <v>148</v>
      </c>
      <c r="O8114">
        <v>251204</v>
      </c>
      <c r="P8114">
        <v>52</v>
      </c>
    </row>
    <row r="8115" spans="1:16" x14ac:dyDescent="0.25">
      <c r="A8115" t="s">
        <v>3296</v>
      </c>
      <c r="B8115" t="s">
        <v>2931</v>
      </c>
      <c r="C8115">
        <v>126</v>
      </c>
      <c r="D8115" t="str">
        <f>"1092        "</f>
        <v xml:space="preserve">1092        </v>
      </c>
      <c r="E8115" t="s">
        <v>231</v>
      </c>
      <c r="F8115" t="s">
        <v>233</v>
      </c>
      <c r="G8115">
        <v>769.77</v>
      </c>
      <c r="H8115">
        <v>250101</v>
      </c>
      <c r="I8115">
        <v>4390</v>
      </c>
      <c r="J8115" t="s">
        <v>232</v>
      </c>
      <c r="K8115">
        <v>7063.15</v>
      </c>
      <c r="L8115">
        <v>156.41</v>
      </c>
      <c r="M8115">
        <v>13540</v>
      </c>
      <c r="N8115" t="s">
        <v>131</v>
      </c>
      <c r="O8115">
        <v>250113</v>
      </c>
      <c r="P8115">
        <v>613.36</v>
      </c>
    </row>
    <row r="8116" spans="1:16" x14ac:dyDescent="0.25">
      <c r="A8116" t="s">
        <v>3296</v>
      </c>
      <c r="B8116" t="s">
        <v>2931</v>
      </c>
      <c r="C8116">
        <v>126</v>
      </c>
      <c r="D8116" t="str">
        <f>"1092        "</f>
        <v xml:space="preserve">1092        </v>
      </c>
      <c r="E8116" t="s">
        <v>231</v>
      </c>
      <c r="F8116" t="s">
        <v>233</v>
      </c>
      <c r="G8116">
        <v>5248.37</v>
      </c>
      <c r="H8116">
        <v>250101</v>
      </c>
      <c r="I8116">
        <v>4390</v>
      </c>
      <c r="J8116" t="s">
        <v>232</v>
      </c>
      <c r="K8116">
        <v>7063.15</v>
      </c>
      <c r="L8116">
        <v>1066.4000000000001</v>
      </c>
      <c r="M8116">
        <v>17950</v>
      </c>
      <c r="N8116" t="s">
        <v>132</v>
      </c>
      <c r="O8116">
        <v>250113</v>
      </c>
      <c r="P8116">
        <v>4181.97</v>
      </c>
    </row>
    <row r="8117" spans="1:16" x14ac:dyDescent="0.25">
      <c r="A8117" t="s">
        <v>3296</v>
      </c>
      <c r="B8117" t="s">
        <v>2931</v>
      </c>
      <c r="C8117">
        <v>126</v>
      </c>
      <c r="D8117" t="str">
        <f>"1092        "</f>
        <v xml:space="preserve">1092        </v>
      </c>
      <c r="E8117" t="s">
        <v>231</v>
      </c>
      <c r="F8117" t="s">
        <v>233</v>
      </c>
      <c r="G8117">
        <v>979.75</v>
      </c>
      <c r="H8117">
        <v>250101</v>
      </c>
      <c r="I8117">
        <v>4390</v>
      </c>
      <c r="J8117" t="s">
        <v>232</v>
      </c>
      <c r="K8117">
        <v>7063.15</v>
      </c>
      <c r="L8117">
        <v>199.07</v>
      </c>
      <c r="M8117">
        <v>17956</v>
      </c>
      <c r="N8117" t="s">
        <v>170</v>
      </c>
      <c r="O8117">
        <v>250113</v>
      </c>
      <c r="P8117">
        <v>780.68</v>
      </c>
    </row>
    <row r="8118" spans="1:16" x14ac:dyDescent="0.25">
      <c r="A8118" t="s">
        <v>3296</v>
      </c>
      <c r="B8118" t="s">
        <v>2931</v>
      </c>
      <c r="C8118">
        <v>1330</v>
      </c>
      <c r="D8118" t="str">
        <f>"1175        "</f>
        <v xml:space="preserve">1175        </v>
      </c>
      <c r="E8118" t="s">
        <v>231</v>
      </c>
      <c r="F8118" t="s">
        <v>233</v>
      </c>
      <c r="G8118">
        <v>769.77</v>
      </c>
      <c r="H8118">
        <v>250201</v>
      </c>
      <c r="I8118">
        <v>4390</v>
      </c>
      <c r="J8118" t="s">
        <v>232</v>
      </c>
      <c r="K8118">
        <v>7063.15</v>
      </c>
      <c r="L8118">
        <v>156.41</v>
      </c>
      <c r="M8118">
        <v>13540</v>
      </c>
      <c r="N8118" t="s">
        <v>131</v>
      </c>
      <c r="O8118">
        <v>250207</v>
      </c>
      <c r="P8118">
        <v>613.36</v>
      </c>
    </row>
    <row r="8119" spans="1:16" x14ac:dyDescent="0.25">
      <c r="A8119" t="s">
        <v>3296</v>
      </c>
      <c r="B8119" t="s">
        <v>2931</v>
      </c>
      <c r="C8119">
        <v>1330</v>
      </c>
      <c r="D8119" t="str">
        <f>"1175        "</f>
        <v xml:space="preserve">1175        </v>
      </c>
      <c r="E8119" t="s">
        <v>231</v>
      </c>
      <c r="F8119" t="s">
        <v>233</v>
      </c>
      <c r="G8119">
        <v>6228.12</v>
      </c>
      <c r="H8119">
        <v>250201</v>
      </c>
      <c r="I8119">
        <v>4390</v>
      </c>
      <c r="J8119" t="s">
        <v>232</v>
      </c>
      <c r="K8119">
        <v>7063.15</v>
      </c>
      <c r="L8119">
        <v>1265.47</v>
      </c>
      <c r="M8119">
        <v>17950</v>
      </c>
      <c r="N8119" t="s">
        <v>132</v>
      </c>
      <c r="O8119">
        <v>250207</v>
      </c>
      <c r="P8119">
        <v>4962.6499999999996</v>
      </c>
    </row>
    <row r="8120" spans="1:16" x14ac:dyDescent="0.25">
      <c r="A8120" t="s">
        <v>3296</v>
      </c>
      <c r="B8120" t="s">
        <v>2931</v>
      </c>
      <c r="C8120">
        <v>2901</v>
      </c>
      <c r="D8120" t="str">
        <f>"1218        "</f>
        <v xml:space="preserve">1218        </v>
      </c>
      <c r="E8120" t="s">
        <v>231</v>
      </c>
      <c r="F8120" t="s">
        <v>233</v>
      </c>
      <c r="G8120">
        <v>769.77</v>
      </c>
      <c r="H8120">
        <v>250301</v>
      </c>
      <c r="I8120">
        <v>4390</v>
      </c>
      <c r="J8120" t="s">
        <v>232</v>
      </c>
      <c r="K8120">
        <v>7063.15</v>
      </c>
      <c r="L8120">
        <v>156.41</v>
      </c>
      <c r="M8120">
        <v>13540</v>
      </c>
      <c r="N8120" t="s">
        <v>131</v>
      </c>
      <c r="O8120">
        <v>250313</v>
      </c>
      <c r="P8120">
        <v>613.36</v>
      </c>
    </row>
    <row r="8121" spans="1:16" x14ac:dyDescent="0.25">
      <c r="A8121" t="s">
        <v>3296</v>
      </c>
      <c r="B8121" t="s">
        <v>2931</v>
      </c>
      <c r="C8121">
        <v>2901</v>
      </c>
      <c r="D8121" t="str">
        <f>"1218        "</f>
        <v xml:space="preserve">1218        </v>
      </c>
      <c r="E8121" t="s">
        <v>231</v>
      </c>
      <c r="F8121" t="s">
        <v>233</v>
      </c>
      <c r="G8121">
        <v>6228.12</v>
      </c>
      <c r="H8121">
        <v>250301</v>
      </c>
      <c r="I8121">
        <v>4390</v>
      </c>
      <c r="J8121" t="s">
        <v>232</v>
      </c>
      <c r="K8121">
        <v>7063.15</v>
      </c>
      <c r="L8121">
        <v>1265.47</v>
      </c>
      <c r="M8121">
        <v>17950</v>
      </c>
      <c r="N8121" t="s">
        <v>132</v>
      </c>
      <c r="O8121">
        <v>250313</v>
      </c>
      <c r="P8121">
        <v>4962.6499999999996</v>
      </c>
    </row>
    <row r="8122" spans="1:16" x14ac:dyDescent="0.25">
      <c r="A8122" t="s">
        <v>3296</v>
      </c>
      <c r="B8122" t="s">
        <v>2931</v>
      </c>
      <c r="C8122">
        <v>3892</v>
      </c>
      <c r="D8122" t="str">
        <f>"1310        "</f>
        <v xml:space="preserve">1310        </v>
      </c>
      <c r="E8122" t="s">
        <v>231</v>
      </c>
      <c r="F8122" t="s">
        <v>233</v>
      </c>
      <c r="G8122">
        <v>131.41999999999999</v>
      </c>
      <c r="H8122">
        <v>250327</v>
      </c>
      <c r="I8122">
        <v>4390</v>
      </c>
      <c r="J8122" t="s">
        <v>232</v>
      </c>
      <c r="K8122">
        <v>1194.76</v>
      </c>
      <c r="L8122">
        <v>26.7</v>
      </c>
      <c r="M8122">
        <v>13540</v>
      </c>
      <c r="N8122" t="s">
        <v>131</v>
      </c>
      <c r="O8122">
        <v>250403</v>
      </c>
      <c r="P8122">
        <v>104.72</v>
      </c>
    </row>
    <row r="8123" spans="1:16" x14ac:dyDescent="0.25">
      <c r="A8123" t="s">
        <v>3296</v>
      </c>
      <c r="B8123" t="s">
        <v>2931</v>
      </c>
      <c r="C8123">
        <v>3892</v>
      </c>
      <c r="D8123" t="str">
        <f>"1310        "</f>
        <v xml:space="preserve">1310        </v>
      </c>
      <c r="E8123" t="s">
        <v>231</v>
      </c>
      <c r="F8123" t="s">
        <v>233</v>
      </c>
      <c r="G8123">
        <v>1063.3399999999999</v>
      </c>
      <c r="H8123">
        <v>250327</v>
      </c>
      <c r="I8123">
        <v>4390</v>
      </c>
      <c r="J8123" t="s">
        <v>232</v>
      </c>
      <c r="K8123">
        <v>1194.76</v>
      </c>
      <c r="L8123">
        <v>216.06</v>
      </c>
      <c r="M8123">
        <v>17950</v>
      </c>
      <c r="N8123" t="s">
        <v>132</v>
      </c>
      <c r="O8123">
        <v>250403</v>
      </c>
      <c r="P8123">
        <v>847.28</v>
      </c>
    </row>
    <row r="8124" spans="1:16" x14ac:dyDescent="0.25">
      <c r="A8124" t="s">
        <v>3296</v>
      </c>
      <c r="B8124" t="s">
        <v>2931</v>
      </c>
      <c r="C8124">
        <v>4610</v>
      </c>
      <c r="D8124" t="str">
        <f>"1286        "</f>
        <v xml:space="preserve">1286        </v>
      </c>
      <c r="E8124" t="s">
        <v>231</v>
      </c>
      <c r="F8124" t="s">
        <v>233</v>
      </c>
      <c r="G8124">
        <v>769.77</v>
      </c>
      <c r="H8124">
        <v>250401</v>
      </c>
      <c r="I8124">
        <v>4390</v>
      </c>
      <c r="J8124" t="s">
        <v>232</v>
      </c>
      <c r="K8124">
        <v>7063.15</v>
      </c>
      <c r="L8124">
        <v>156.41</v>
      </c>
      <c r="M8124">
        <v>13540</v>
      </c>
      <c r="N8124" t="s">
        <v>131</v>
      </c>
      <c r="O8124">
        <v>250414</v>
      </c>
      <c r="P8124">
        <v>613.36</v>
      </c>
    </row>
    <row r="8125" spans="1:16" x14ac:dyDescent="0.25">
      <c r="A8125" t="s">
        <v>3296</v>
      </c>
      <c r="B8125" t="s">
        <v>2931</v>
      </c>
      <c r="C8125">
        <v>4610</v>
      </c>
      <c r="D8125" t="str">
        <f>"1286        "</f>
        <v xml:space="preserve">1286        </v>
      </c>
      <c r="E8125" t="s">
        <v>231</v>
      </c>
      <c r="F8125" t="s">
        <v>233</v>
      </c>
      <c r="G8125">
        <v>6228.12</v>
      </c>
      <c r="H8125">
        <v>250401</v>
      </c>
      <c r="I8125">
        <v>4390</v>
      </c>
      <c r="J8125" t="s">
        <v>232</v>
      </c>
      <c r="K8125">
        <v>7063.15</v>
      </c>
      <c r="L8125">
        <v>1265.47</v>
      </c>
      <c r="M8125">
        <v>17950</v>
      </c>
      <c r="N8125" t="s">
        <v>132</v>
      </c>
      <c r="O8125">
        <v>250414</v>
      </c>
      <c r="P8125">
        <v>4962.6499999999996</v>
      </c>
    </row>
    <row r="8126" spans="1:16" x14ac:dyDescent="0.25">
      <c r="A8126" t="s">
        <v>3296</v>
      </c>
      <c r="B8126" t="s">
        <v>2931</v>
      </c>
      <c r="C8126">
        <v>5510</v>
      </c>
      <c r="D8126" t="str">
        <f>"1263        "</f>
        <v xml:space="preserve">1263        </v>
      </c>
      <c r="E8126" t="s">
        <v>231</v>
      </c>
      <c r="F8126" t="s">
        <v>233</v>
      </c>
      <c r="G8126">
        <v>29.68</v>
      </c>
      <c r="H8126">
        <v>250421</v>
      </c>
      <c r="I8126">
        <v>4390</v>
      </c>
      <c r="J8126" t="s">
        <v>232</v>
      </c>
      <c r="K8126">
        <v>403.37</v>
      </c>
      <c r="L8126">
        <v>6.03</v>
      </c>
      <c r="M8126">
        <v>13540</v>
      </c>
      <c r="N8126" t="s">
        <v>131</v>
      </c>
      <c r="O8126">
        <v>250425</v>
      </c>
      <c r="P8126">
        <v>23.65</v>
      </c>
    </row>
    <row r="8127" spans="1:16" x14ac:dyDescent="0.25">
      <c r="A8127" t="s">
        <v>3296</v>
      </c>
      <c r="B8127" t="s">
        <v>2931</v>
      </c>
      <c r="C8127">
        <v>5510</v>
      </c>
      <c r="D8127" t="str">
        <f>"1263        "</f>
        <v xml:space="preserve">1263        </v>
      </c>
      <c r="E8127" t="s">
        <v>231</v>
      </c>
      <c r="F8127" t="s">
        <v>233</v>
      </c>
      <c r="G8127">
        <v>133.54</v>
      </c>
      <c r="H8127">
        <v>250421</v>
      </c>
      <c r="I8127">
        <v>4390</v>
      </c>
      <c r="J8127" t="s">
        <v>232</v>
      </c>
      <c r="K8127">
        <v>403.37</v>
      </c>
      <c r="L8127">
        <v>27.13</v>
      </c>
      <c r="M8127">
        <v>17950</v>
      </c>
      <c r="N8127" t="s">
        <v>132</v>
      </c>
      <c r="O8127">
        <v>250425</v>
      </c>
      <c r="P8127">
        <v>106.41</v>
      </c>
    </row>
    <row r="8128" spans="1:16" x14ac:dyDescent="0.25">
      <c r="A8128" t="s">
        <v>3296</v>
      </c>
      <c r="B8128" t="s">
        <v>2931</v>
      </c>
      <c r="C8128">
        <v>5510</v>
      </c>
      <c r="D8128" t="str">
        <f>"1263        "</f>
        <v xml:space="preserve">1263        </v>
      </c>
      <c r="E8128" t="s">
        <v>231</v>
      </c>
      <c r="F8128" t="s">
        <v>233</v>
      </c>
      <c r="G8128">
        <v>240.15</v>
      </c>
      <c r="H8128">
        <v>250421</v>
      </c>
      <c r="I8128">
        <v>4390</v>
      </c>
      <c r="J8128" t="s">
        <v>232</v>
      </c>
      <c r="K8128">
        <v>403.37</v>
      </c>
      <c r="L8128">
        <v>48.8</v>
      </c>
      <c r="M8128">
        <v>17950</v>
      </c>
      <c r="N8128" t="s">
        <v>132</v>
      </c>
      <c r="O8128">
        <v>250425</v>
      </c>
      <c r="P8128">
        <v>191.35</v>
      </c>
    </row>
    <row r="8129" spans="1:16" x14ac:dyDescent="0.25">
      <c r="A8129" t="s">
        <v>3296</v>
      </c>
      <c r="B8129" t="s">
        <v>2931</v>
      </c>
      <c r="C8129">
        <v>6087</v>
      </c>
      <c r="D8129" t="str">
        <f>"1329        "</f>
        <v xml:space="preserve">1329        </v>
      </c>
      <c r="E8129" t="s">
        <v>231</v>
      </c>
      <c r="F8129" t="s">
        <v>233</v>
      </c>
      <c r="G8129">
        <v>354.1</v>
      </c>
      <c r="H8129">
        <v>250501</v>
      </c>
      <c r="I8129">
        <v>4390</v>
      </c>
      <c r="J8129" t="s">
        <v>232</v>
      </c>
      <c r="K8129">
        <v>3284.34</v>
      </c>
      <c r="L8129">
        <v>71.95</v>
      </c>
      <c r="M8129">
        <v>13540</v>
      </c>
      <c r="N8129" t="s">
        <v>131</v>
      </c>
      <c r="O8129">
        <v>250508</v>
      </c>
      <c r="P8129">
        <v>282.14999999999998</v>
      </c>
    </row>
    <row r="8130" spans="1:16" x14ac:dyDescent="0.25">
      <c r="A8130" t="s">
        <v>3296</v>
      </c>
      <c r="B8130" t="s">
        <v>2931</v>
      </c>
      <c r="C8130">
        <v>6087</v>
      </c>
      <c r="D8130" t="str">
        <f>"1329        "</f>
        <v xml:space="preserve">1329        </v>
      </c>
      <c r="E8130" t="s">
        <v>231</v>
      </c>
      <c r="F8130" t="s">
        <v>233</v>
      </c>
      <c r="G8130">
        <v>2864.98</v>
      </c>
      <c r="H8130">
        <v>250501</v>
      </c>
      <c r="I8130">
        <v>4390</v>
      </c>
      <c r="J8130" t="s">
        <v>232</v>
      </c>
      <c r="K8130">
        <v>3284.34</v>
      </c>
      <c r="L8130">
        <v>582.13</v>
      </c>
      <c r="M8130">
        <v>17950</v>
      </c>
      <c r="N8130" t="s">
        <v>132</v>
      </c>
      <c r="O8130">
        <v>250508</v>
      </c>
      <c r="P8130">
        <v>2282.85</v>
      </c>
    </row>
    <row r="8131" spans="1:16" x14ac:dyDescent="0.25">
      <c r="A8131" t="s">
        <v>3296</v>
      </c>
      <c r="B8131" t="s">
        <v>2931</v>
      </c>
      <c r="C8131">
        <v>6249</v>
      </c>
      <c r="D8131" t="str">
        <f>"1272        "</f>
        <v xml:space="preserve">1272        </v>
      </c>
      <c r="E8131" t="s">
        <v>231</v>
      </c>
      <c r="F8131" t="s">
        <v>233</v>
      </c>
      <c r="G8131">
        <v>201.3</v>
      </c>
      <c r="H8131">
        <v>250509</v>
      </c>
      <c r="I8131">
        <v>4390</v>
      </c>
      <c r="J8131" t="s">
        <v>232</v>
      </c>
      <c r="K8131">
        <v>201.3</v>
      </c>
      <c r="L8131">
        <v>40.9</v>
      </c>
      <c r="M8131">
        <v>17950</v>
      </c>
      <c r="N8131" t="s">
        <v>132</v>
      </c>
      <c r="O8131">
        <v>250512</v>
      </c>
      <c r="P8131">
        <v>160.4</v>
      </c>
    </row>
    <row r="8132" spans="1:16" x14ac:dyDescent="0.25">
      <c r="A8132" t="s">
        <v>3296</v>
      </c>
      <c r="B8132" t="s">
        <v>2931</v>
      </c>
      <c r="C8132">
        <v>8056</v>
      </c>
      <c r="D8132" t="str">
        <f>"1392        "</f>
        <v xml:space="preserve">1392        </v>
      </c>
      <c r="E8132" t="s">
        <v>231</v>
      </c>
      <c r="F8132" t="s">
        <v>233</v>
      </c>
      <c r="G8132">
        <v>354.1</v>
      </c>
      <c r="H8132">
        <v>250601</v>
      </c>
      <c r="I8132">
        <v>4390</v>
      </c>
      <c r="J8132" t="s">
        <v>232</v>
      </c>
      <c r="K8132">
        <v>3284.34</v>
      </c>
      <c r="L8132">
        <v>71.95</v>
      </c>
      <c r="M8132">
        <v>13540</v>
      </c>
      <c r="N8132" t="s">
        <v>131</v>
      </c>
      <c r="O8132">
        <v>250611</v>
      </c>
      <c r="P8132">
        <v>282.14999999999998</v>
      </c>
    </row>
    <row r="8133" spans="1:16" x14ac:dyDescent="0.25">
      <c r="A8133" t="s">
        <v>3296</v>
      </c>
      <c r="B8133" t="s">
        <v>2931</v>
      </c>
      <c r="C8133">
        <v>8056</v>
      </c>
      <c r="D8133" t="str">
        <f>"1392        "</f>
        <v xml:space="preserve">1392        </v>
      </c>
      <c r="E8133" t="s">
        <v>231</v>
      </c>
      <c r="F8133" t="s">
        <v>233</v>
      </c>
      <c r="G8133">
        <v>2864.98</v>
      </c>
      <c r="H8133">
        <v>250601</v>
      </c>
      <c r="I8133">
        <v>4390</v>
      </c>
      <c r="J8133" t="s">
        <v>232</v>
      </c>
      <c r="K8133">
        <v>3284.34</v>
      </c>
      <c r="L8133">
        <v>582.13</v>
      </c>
      <c r="M8133">
        <v>17950</v>
      </c>
      <c r="N8133" t="s">
        <v>132</v>
      </c>
      <c r="O8133">
        <v>250611</v>
      </c>
      <c r="P8133">
        <v>2282.85</v>
      </c>
    </row>
    <row r="8134" spans="1:16" x14ac:dyDescent="0.25">
      <c r="A8134" t="s">
        <v>3296</v>
      </c>
      <c r="B8134" t="s">
        <v>2931</v>
      </c>
      <c r="C8134">
        <v>9543</v>
      </c>
      <c r="D8134" t="str">
        <f>"1470        "</f>
        <v xml:space="preserve">1470        </v>
      </c>
      <c r="E8134" t="s">
        <v>231</v>
      </c>
      <c r="F8134" t="s">
        <v>233</v>
      </c>
      <c r="G8134">
        <v>354.1</v>
      </c>
      <c r="H8134">
        <v>250701</v>
      </c>
      <c r="I8134">
        <v>4390</v>
      </c>
      <c r="J8134" t="s">
        <v>232</v>
      </c>
      <c r="K8134">
        <v>3293.55</v>
      </c>
      <c r="L8134">
        <v>71.95</v>
      </c>
      <c r="M8134">
        <v>13540</v>
      </c>
      <c r="N8134" t="s">
        <v>131</v>
      </c>
      <c r="O8134">
        <v>250711</v>
      </c>
      <c r="P8134">
        <v>282.14999999999998</v>
      </c>
    </row>
    <row r="8135" spans="1:16" x14ac:dyDescent="0.25">
      <c r="A8135" t="s">
        <v>3296</v>
      </c>
      <c r="B8135" t="s">
        <v>2931</v>
      </c>
      <c r="C8135">
        <v>9543</v>
      </c>
      <c r="D8135" t="str">
        <f>"1470        "</f>
        <v xml:space="preserve">1470        </v>
      </c>
      <c r="E8135" t="s">
        <v>231</v>
      </c>
      <c r="F8135" t="s">
        <v>233</v>
      </c>
      <c r="G8135">
        <v>2864.98</v>
      </c>
      <c r="H8135">
        <v>250701</v>
      </c>
      <c r="I8135">
        <v>4390</v>
      </c>
      <c r="J8135" t="s">
        <v>232</v>
      </c>
      <c r="K8135">
        <v>3293.55</v>
      </c>
      <c r="L8135">
        <v>582.13</v>
      </c>
      <c r="M8135">
        <v>17950</v>
      </c>
      <c r="N8135" t="s">
        <v>132</v>
      </c>
      <c r="O8135">
        <v>250711</v>
      </c>
      <c r="P8135">
        <v>2282.85</v>
      </c>
    </row>
    <row r="8136" spans="1:16" x14ac:dyDescent="0.25">
      <c r="A8136" t="s">
        <v>3296</v>
      </c>
      <c r="B8136" t="s">
        <v>2931</v>
      </c>
      <c r="C8136">
        <v>10000</v>
      </c>
      <c r="D8136" t="str">
        <f>"1523        "</f>
        <v xml:space="preserve">1523        </v>
      </c>
      <c r="E8136" t="s">
        <v>231</v>
      </c>
      <c r="F8136" t="s">
        <v>233</v>
      </c>
      <c r="G8136">
        <v>354.1</v>
      </c>
      <c r="H8136">
        <v>250801</v>
      </c>
      <c r="I8136">
        <v>4390</v>
      </c>
      <c r="J8136" t="s">
        <v>232</v>
      </c>
      <c r="K8136">
        <v>3284.34</v>
      </c>
      <c r="L8136">
        <v>71.95</v>
      </c>
      <c r="M8136">
        <v>13540</v>
      </c>
      <c r="N8136" t="s">
        <v>131</v>
      </c>
      <c r="O8136">
        <v>250806</v>
      </c>
      <c r="P8136">
        <v>282.14999999999998</v>
      </c>
    </row>
    <row r="8137" spans="1:16" x14ac:dyDescent="0.25">
      <c r="A8137" t="s">
        <v>3296</v>
      </c>
      <c r="B8137" t="s">
        <v>2931</v>
      </c>
      <c r="C8137">
        <v>10000</v>
      </c>
      <c r="D8137" t="str">
        <f>"1523        "</f>
        <v xml:space="preserve">1523        </v>
      </c>
      <c r="E8137" t="s">
        <v>231</v>
      </c>
      <c r="F8137" t="s">
        <v>233</v>
      </c>
      <c r="G8137">
        <v>2864.98</v>
      </c>
      <c r="H8137">
        <v>250801</v>
      </c>
      <c r="I8137">
        <v>4390</v>
      </c>
      <c r="J8137" t="s">
        <v>232</v>
      </c>
      <c r="K8137">
        <v>3284.34</v>
      </c>
      <c r="L8137">
        <v>582.13</v>
      </c>
      <c r="M8137">
        <v>17950</v>
      </c>
      <c r="N8137" t="s">
        <v>132</v>
      </c>
      <c r="O8137">
        <v>250806</v>
      </c>
      <c r="P8137">
        <v>2282.85</v>
      </c>
    </row>
    <row r="8138" spans="1:16" x14ac:dyDescent="0.25">
      <c r="A8138" t="s">
        <v>3296</v>
      </c>
      <c r="B8138" t="s">
        <v>2931</v>
      </c>
      <c r="C8138">
        <v>10422</v>
      </c>
      <c r="D8138" t="str">
        <f>"1625        "</f>
        <v xml:space="preserve">1625        </v>
      </c>
      <c r="E8138" t="s">
        <v>231</v>
      </c>
      <c r="F8138" t="s">
        <v>233</v>
      </c>
      <c r="G8138">
        <v>190.09</v>
      </c>
      <c r="H8138">
        <v>250814</v>
      </c>
      <c r="I8138">
        <v>4390</v>
      </c>
      <c r="J8138" t="s">
        <v>232</v>
      </c>
      <c r="K8138">
        <v>1417.91</v>
      </c>
      <c r="L8138">
        <v>38.619999999999997</v>
      </c>
      <c r="M8138">
        <v>13540</v>
      </c>
      <c r="N8138" t="s">
        <v>131</v>
      </c>
      <c r="O8138">
        <v>250819</v>
      </c>
      <c r="P8138">
        <v>151.47</v>
      </c>
    </row>
    <row r="8139" spans="1:16" x14ac:dyDescent="0.25">
      <c r="A8139" t="s">
        <v>3296</v>
      </c>
      <c r="B8139" t="s">
        <v>2931</v>
      </c>
      <c r="C8139">
        <v>10422</v>
      </c>
      <c r="D8139" t="str">
        <f>"1625        "</f>
        <v xml:space="preserve">1625        </v>
      </c>
      <c r="E8139" t="s">
        <v>231</v>
      </c>
      <c r="F8139" t="s">
        <v>233</v>
      </c>
      <c r="G8139">
        <v>942.68</v>
      </c>
      <c r="H8139">
        <v>250814</v>
      </c>
      <c r="I8139">
        <v>4390</v>
      </c>
      <c r="J8139" t="s">
        <v>232</v>
      </c>
      <c r="K8139">
        <v>1417.91</v>
      </c>
      <c r="L8139">
        <v>191.54</v>
      </c>
      <c r="M8139">
        <v>17950</v>
      </c>
      <c r="N8139" t="s">
        <v>132</v>
      </c>
      <c r="O8139">
        <v>250819</v>
      </c>
      <c r="P8139">
        <v>751.14</v>
      </c>
    </row>
    <row r="8140" spans="1:16" x14ac:dyDescent="0.25">
      <c r="A8140" t="s">
        <v>3296</v>
      </c>
      <c r="B8140" t="s">
        <v>2931</v>
      </c>
      <c r="C8140">
        <v>11346</v>
      </c>
      <c r="D8140" t="str">
        <f>"1601        "</f>
        <v xml:space="preserve">1601        </v>
      </c>
      <c r="E8140" t="s">
        <v>231</v>
      </c>
      <c r="F8140" t="s">
        <v>233</v>
      </c>
      <c r="G8140">
        <v>93.75</v>
      </c>
      <c r="H8140">
        <v>250831</v>
      </c>
      <c r="I8140">
        <v>4390</v>
      </c>
      <c r="J8140" t="s">
        <v>232</v>
      </c>
      <c r="K8140">
        <v>771.04</v>
      </c>
      <c r="L8140">
        <v>19.05</v>
      </c>
      <c r="M8140">
        <v>17950</v>
      </c>
      <c r="N8140" t="s">
        <v>132</v>
      </c>
      <c r="O8140">
        <v>250904</v>
      </c>
      <c r="P8140">
        <v>74.7</v>
      </c>
    </row>
    <row r="8141" spans="1:16" x14ac:dyDescent="0.25">
      <c r="A8141" t="s">
        <v>3296</v>
      </c>
      <c r="B8141" t="s">
        <v>2931</v>
      </c>
      <c r="C8141">
        <v>11346</v>
      </c>
      <c r="D8141" t="str">
        <f>"1601        "</f>
        <v xml:space="preserve">1601        </v>
      </c>
      <c r="E8141" t="s">
        <v>231</v>
      </c>
      <c r="F8141" t="s">
        <v>233</v>
      </c>
      <c r="G8141">
        <v>589.44000000000005</v>
      </c>
      <c r="H8141">
        <v>250831</v>
      </c>
      <c r="I8141">
        <v>4390</v>
      </c>
      <c r="J8141" t="s">
        <v>232</v>
      </c>
      <c r="K8141">
        <v>771.04</v>
      </c>
      <c r="L8141">
        <v>119.77</v>
      </c>
      <c r="M8141">
        <v>17950</v>
      </c>
      <c r="N8141" t="s">
        <v>132</v>
      </c>
      <c r="O8141">
        <v>250904</v>
      </c>
      <c r="P8141">
        <v>469.67</v>
      </c>
    </row>
    <row r="8142" spans="1:16" x14ac:dyDescent="0.25">
      <c r="A8142" t="s">
        <v>3296</v>
      </c>
      <c r="B8142" t="s">
        <v>2931</v>
      </c>
      <c r="C8142">
        <v>11451</v>
      </c>
      <c r="D8142" t="str">
        <f>"1615        "</f>
        <v xml:space="preserve">1615        </v>
      </c>
      <c r="E8142" t="s">
        <v>231</v>
      </c>
      <c r="F8142" t="s">
        <v>233</v>
      </c>
      <c r="G8142">
        <v>354.1</v>
      </c>
      <c r="H8142">
        <v>250901</v>
      </c>
      <c r="I8142">
        <v>4390</v>
      </c>
      <c r="J8142" t="s">
        <v>232</v>
      </c>
      <c r="K8142">
        <v>3284.34</v>
      </c>
      <c r="L8142">
        <v>71.95</v>
      </c>
      <c r="M8142">
        <v>13540</v>
      </c>
      <c r="N8142" t="s">
        <v>131</v>
      </c>
      <c r="O8142">
        <v>250905</v>
      </c>
      <c r="P8142">
        <v>282.14999999999998</v>
      </c>
    </row>
    <row r="8143" spans="1:16" x14ac:dyDescent="0.25">
      <c r="A8143" t="s">
        <v>3296</v>
      </c>
      <c r="B8143" t="s">
        <v>2931</v>
      </c>
      <c r="C8143">
        <v>11451</v>
      </c>
      <c r="D8143" t="str">
        <f>"1615        "</f>
        <v xml:space="preserve">1615        </v>
      </c>
      <c r="E8143" t="s">
        <v>231</v>
      </c>
      <c r="F8143" t="s">
        <v>233</v>
      </c>
      <c r="G8143">
        <v>2864.98</v>
      </c>
      <c r="H8143">
        <v>250901</v>
      </c>
      <c r="I8143">
        <v>4390</v>
      </c>
      <c r="J8143" t="s">
        <v>232</v>
      </c>
      <c r="K8143">
        <v>3284.34</v>
      </c>
      <c r="L8143">
        <v>582.13</v>
      </c>
      <c r="M8143">
        <v>17950</v>
      </c>
      <c r="N8143" t="s">
        <v>132</v>
      </c>
      <c r="O8143">
        <v>250905</v>
      </c>
      <c r="P8143">
        <v>2282.85</v>
      </c>
    </row>
    <row r="8144" spans="1:16" x14ac:dyDescent="0.25">
      <c r="A8144" t="s">
        <v>3296</v>
      </c>
      <c r="B8144" t="s">
        <v>2931</v>
      </c>
      <c r="C8144">
        <v>12737</v>
      </c>
      <c r="D8144" t="str">
        <f>"1698        "</f>
        <v xml:space="preserve">1698        </v>
      </c>
      <c r="E8144" t="s">
        <v>231</v>
      </c>
      <c r="F8144" t="s">
        <v>233</v>
      </c>
      <c r="G8144">
        <v>652.6</v>
      </c>
      <c r="H8144">
        <v>250923</v>
      </c>
      <c r="I8144">
        <v>4390</v>
      </c>
      <c r="J8144" t="s">
        <v>232</v>
      </c>
      <c r="K8144">
        <v>652.6</v>
      </c>
      <c r="L8144">
        <v>132.6</v>
      </c>
      <c r="M8144">
        <v>17950</v>
      </c>
      <c r="N8144" t="s">
        <v>132</v>
      </c>
      <c r="O8144">
        <v>250929</v>
      </c>
      <c r="P8144">
        <v>520</v>
      </c>
    </row>
    <row r="8145" spans="1:16" x14ac:dyDescent="0.25">
      <c r="A8145" t="s">
        <v>3296</v>
      </c>
      <c r="B8145" t="s">
        <v>2931</v>
      </c>
      <c r="C8145">
        <v>12738</v>
      </c>
      <c r="D8145" t="str">
        <f>"1697        "</f>
        <v xml:space="preserve">1697        </v>
      </c>
      <c r="E8145" t="s">
        <v>231</v>
      </c>
      <c r="F8145" t="s">
        <v>233</v>
      </c>
      <c r="G8145">
        <v>16.57</v>
      </c>
      <c r="H8145">
        <v>250923</v>
      </c>
      <c r="I8145">
        <v>4390</v>
      </c>
      <c r="J8145" t="s">
        <v>232</v>
      </c>
      <c r="K8145">
        <v>413.78</v>
      </c>
      <c r="L8145">
        <v>3.37</v>
      </c>
      <c r="M8145">
        <v>13540</v>
      </c>
      <c r="N8145" t="s">
        <v>131</v>
      </c>
      <c r="O8145">
        <v>250929</v>
      </c>
      <c r="P8145">
        <v>13.2</v>
      </c>
    </row>
    <row r="8146" spans="1:16" x14ac:dyDescent="0.25">
      <c r="A8146" t="s">
        <v>3296</v>
      </c>
      <c r="B8146" t="s">
        <v>2931</v>
      </c>
      <c r="C8146">
        <v>12738</v>
      </c>
      <c r="D8146" t="str">
        <f>"1697        "</f>
        <v xml:space="preserve">1697        </v>
      </c>
      <c r="E8146" t="s">
        <v>231</v>
      </c>
      <c r="F8146" t="s">
        <v>233</v>
      </c>
      <c r="G8146">
        <v>141</v>
      </c>
      <c r="H8146">
        <v>250923</v>
      </c>
      <c r="I8146">
        <v>4390</v>
      </c>
      <c r="J8146" t="s">
        <v>232</v>
      </c>
      <c r="K8146">
        <v>413.78</v>
      </c>
      <c r="L8146">
        <v>28.65</v>
      </c>
      <c r="M8146">
        <v>17950</v>
      </c>
      <c r="N8146" t="s">
        <v>132</v>
      </c>
      <c r="O8146">
        <v>250929</v>
      </c>
      <c r="P8146">
        <v>112.35</v>
      </c>
    </row>
    <row r="8147" spans="1:16" x14ac:dyDescent="0.25">
      <c r="A8147" t="s">
        <v>3296</v>
      </c>
      <c r="B8147" t="s">
        <v>2931</v>
      </c>
      <c r="C8147">
        <v>12738</v>
      </c>
      <c r="D8147" t="str">
        <f>"1697        "</f>
        <v xml:space="preserve">1697        </v>
      </c>
      <c r="E8147" t="s">
        <v>231</v>
      </c>
      <c r="F8147" t="s">
        <v>233</v>
      </c>
      <c r="G8147">
        <v>150.6</v>
      </c>
      <c r="H8147">
        <v>250923</v>
      </c>
      <c r="I8147">
        <v>4390</v>
      </c>
      <c r="J8147" t="s">
        <v>232</v>
      </c>
      <c r="K8147">
        <v>413.78</v>
      </c>
      <c r="L8147">
        <v>30.6</v>
      </c>
      <c r="M8147">
        <v>17950</v>
      </c>
      <c r="N8147" t="s">
        <v>132</v>
      </c>
      <c r="O8147">
        <v>250929</v>
      </c>
      <c r="P8147">
        <v>120</v>
      </c>
    </row>
    <row r="8148" spans="1:16" x14ac:dyDescent="0.25">
      <c r="A8148" t="s">
        <v>3296</v>
      </c>
      <c r="B8148" t="s">
        <v>2931</v>
      </c>
      <c r="C8148">
        <v>13227</v>
      </c>
      <c r="D8148" t="str">
        <f>"1648        "</f>
        <v xml:space="preserve">1648        </v>
      </c>
      <c r="E8148" t="s">
        <v>231</v>
      </c>
      <c r="F8148" t="s">
        <v>233</v>
      </c>
      <c r="G8148">
        <v>769.77</v>
      </c>
      <c r="H8148">
        <v>251001</v>
      </c>
      <c r="I8148">
        <v>4390</v>
      </c>
      <c r="J8148" t="s">
        <v>232</v>
      </c>
      <c r="K8148">
        <v>7063.15</v>
      </c>
      <c r="L8148">
        <v>156.41</v>
      </c>
      <c r="M8148">
        <v>13540</v>
      </c>
      <c r="N8148" t="s">
        <v>131</v>
      </c>
      <c r="O8148">
        <v>251006</v>
      </c>
      <c r="P8148">
        <v>613.36</v>
      </c>
    </row>
    <row r="8149" spans="1:16" x14ac:dyDescent="0.25">
      <c r="A8149" t="s">
        <v>3296</v>
      </c>
      <c r="B8149" t="s">
        <v>2931</v>
      </c>
      <c r="C8149">
        <v>13227</v>
      </c>
      <c r="D8149" t="str">
        <f>"1648        "</f>
        <v xml:space="preserve">1648        </v>
      </c>
      <c r="E8149" t="s">
        <v>231</v>
      </c>
      <c r="F8149" t="s">
        <v>233</v>
      </c>
      <c r="G8149">
        <v>6228.12</v>
      </c>
      <c r="H8149">
        <v>251001</v>
      </c>
      <c r="I8149">
        <v>4390</v>
      </c>
      <c r="J8149" t="s">
        <v>232</v>
      </c>
      <c r="K8149">
        <v>7063.15</v>
      </c>
      <c r="L8149">
        <v>1265.47</v>
      </c>
      <c r="M8149">
        <v>17950</v>
      </c>
      <c r="N8149" t="s">
        <v>132</v>
      </c>
      <c r="O8149">
        <v>251006</v>
      </c>
      <c r="P8149">
        <v>4962.6499999999996</v>
      </c>
    </row>
    <row r="8150" spans="1:16" x14ac:dyDescent="0.25">
      <c r="A8150" t="s">
        <v>3296</v>
      </c>
      <c r="B8150" t="s">
        <v>2931</v>
      </c>
      <c r="C8150">
        <v>14091</v>
      </c>
      <c r="D8150" t="str">
        <f>"1726        "</f>
        <v xml:space="preserve">1726        </v>
      </c>
      <c r="E8150" t="s">
        <v>231</v>
      </c>
      <c r="F8150" t="s">
        <v>233</v>
      </c>
      <c r="G8150">
        <v>101.88</v>
      </c>
      <c r="H8150">
        <v>251019</v>
      </c>
      <c r="I8150">
        <v>4390</v>
      </c>
      <c r="J8150" t="s">
        <v>232</v>
      </c>
      <c r="K8150">
        <v>654.11</v>
      </c>
      <c r="L8150">
        <v>20.7</v>
      </c>
      <c r="M8150">
        <v>13540</v>
      </c>
      <c r="N8150" t="s">
        <v>131</v>
      </c>
      <c r="O8150">
        <v>251023</v>
      </c>
      <c r="P8150">
        <v>81.180000000000007</v>
      </c>
    </row>
    <row r="8151" spans="1:16" x14ac:dyDescent="0.25">
      <c r="A8151" t="s">
        <v>3296</v>
      </c>
      <c r="B8151" t="s">
        <v>2931</v>
      </c>
      <c r="C8151">
        <v>14091</v>
      </c>
      <c r="D8151" t="str">
        <f>"1726        "</f>
        <v xml:space="preserve">1726        </v>
      </c>
      <c r="E8151" t="s">
        <v>231</v>
      </c>
      <c r="F8151" t="s">
        <v>233</v>
      </c>
      <c r="G8151">
        <v>552.23</v>
      </c>
      <c r="H8151">
        <v>251019</v>
      </c>
      <c r="I8151">
        <v>4390</v>
      </c>
      <c r="J8151" t="s">
        <v>232</v>
      </c>
      <c r="K8151">
        <v>654.11</v>
      </c>
      <c r="L8151">
        <v>112.21</v>
      </c>
      <c r="M8151">
        <v>17950</v>
      </c>
      <c r="N8151" t="s">
        <v>132</v>
      </c>
      <c r="O8151">
        <v>251023</v>
      </c>
      <c r="P8151">
        <v>440.02</v>
      </c>
    </row>
    <row r="8152" spans="1:16" x14ac:dyDescent="0.25">
      <c r="A8152" t="s">
        <v>3296</v>
      </c>
      <c r="B8152" t="s">
        <v>2931</v>
      </c>
      <c r="C8152">
        <v>14565</v>
      </c>
      <c r="D8152" t="str">
        <f>"1714        "</f>
        <v xml:space="preserve">1714        </v>
      </c>
      <c r="E8152" t="s">
        <v>231</v>
      </c>
      <c r="F8152" t="s">
        <v>233</v>
      </c>
      <c r="G8152">
        <v>769.77</v>
      </c>
      <c r="H8152">
        <v>251101</v>
      </c>
      <c r="I8152">
        <v>4390</v>
      </c>
      <c r="J8152" t="s">
        <v>232</v>
      </c>
      <c r="K8152">
        <v>7063.15</v>
      </c>
      <c r="L8152">
        <v>156.41</v>
      </c>
      <c r="M8152">
        <v>13540</v>
      </c>
      <c r="N8152" t="s">
        <v>131</v>
      </c>
      <c r="O8152">
        <v>251104</v>
      </c>
      <c r="P8152">
        <v>613.36</v>
      </c>
    </row>
    <row r="8153" spans="1:16" x14ac:dyDescent="0.25">
      <c r="A8153" t="s">
        <v>3296</v>
      </c>
      <c r="B8153" t="s">
        <v>2931</v>
      </c>
      <c r="C8153">
        <v>14565</v>
      </c>
      <c r="D8153" t="str">
        <f>"1714        "</f>
        <v xml:space="preserve">1714        </v>
      </c>
      <c r="E8153" t="s">
        <v>231</v>
      </c>
      <c r="F8153" t="s">
        <v>233</v>
      </c>
      <c r="G8153">
        <v>6228.12</v>
      </c>
      <c r="H8153">
        <v>251101</v>
      </c>
      <c r="I8153">
        <v>4390</v>
      </c>
      <c r="J8153" t="s">
        <v>232</v>
      </c>
      <c r="K8153">
        <v>7063.15</v>
      </c>
      <c r="L8153">
        <v>1265.47</v>
      </c>
      <c r="M8153">
        <v>17950</v>
      </c>
      <c r="N8153" t="s">
        <v>132</v>
      </c>
      <c r="O8153">
        <v>251104</v>
      </c>
      <c r="P8153">
        <v>4962.6499999999996</v>
      </c>
    </row>
    <row r="8154" spans="1:16" x14ac:dyDescent="0.25">
      <c r="A8154" t="s">
        <v>3296</v>
      </c>
      <c r="B8154" t="s">
        <v>2931</v>
      </c>
      <c r="C8154">
        <v>16195</v>
      </c>
      <c r="D8154" t="str">
        <f>"1794        "</f>
        <v xml:space="preserve">1794        </v>
      </c>
      <c r="E8154" t="s">
        <v>231</v>
      </c>
      <c r="F8154" t="s">
        <v>233</v>
      </c>
      <c r="G8154">
        <v>769.77</v>
      </c>
      <c r="H8154">
        <v>251201</v>
      </c>
      <c r="I8154">
        <v>4390</v>
      </c>
      <c r="J8154" t="s">
        <v>232</v>
      </c>
      <c r="K8154">
        <v>7063.15</v>
      </c>
      <c r="L8154">
        <v>156.41</v>
      </c>
      <c r="M8154">
        <v>13540</v>
      </c>
      <c r="N8154" t="s">
        <v>131</v>
      </c>
      <c r="O8154">
        <v>251204</v>
      </c>
      <c r="P8154">
        <v>613.36</v>
      </c>
    </row>
    <row r="8155" spans="1:16" x14ac:dyDescent="0.25">
      <c r="A8155" t="s">
        <v>3296</v>
      </c>
      <c r="B8155" t="s">
        <v>2931</v>
      </c>
      <c r="C8155">
        <v>16195</v>
      </c>
      <c r="D8155" t="str">
        <f>"1794        "</f>
        <v xml:space="preserve">1794        </v>
      </c>
      <c r="E8155" t="s">
        <v>231</v>
      </c>
      <c r="F8155" t="s">
        <v>233</v>
      </c>
      <c r="G8155">
        <v>6228.12</v>
      </c>
      <c r="H8155">
        <v>251201</v>
      </c>
      <c r="I8155">
        <v>4390</v>
      </c>
      <c r="J8155" t="s">
        <v>232</v>
      </c>
      <c r="K8155">
        <v>7063.15</v>
      </c>
      <c r="L8155">
        <v>1265.47</v>
      </c>
      <c r="M8155">
        <v>17950</v>
      </c>
      <c r="N8155" t="s">
        <v>132</v>
      </c>
      <c r="O8155">
        <v>251204</v>
      </c>
      <c r="P8155">
        <v>4962.6499999999996</v>
      </c>
    </row>
    <row r="8156" spans="1:16" x14ac:dyDescent="0.25">
      <c r="A8156" t="s">
        <v>3296</v>
      </c>
      <c r="B8156" t="s">
        <v>2931</v>
      </c>
      <c r="C8156">
        <v>17008</v>
      </c>
      <c r="D8156" t="str">
        <f>"1677        "</f>
        <v xml:space="preserve">1677        </v>
      </c>
      <c r="E8156" t="s">
        <v>231</v>
      </c>
      <c r="F8156" t="s">
        <v>233</v>
      </c>
      <c r="G8156">
        <v>296.57</v>
      </c>
      <c r="H8156">
        <v>251215</v>
      </c>
      <c r="I8156">
        <v>4390</v>
      </c>
      <c r="J8156" t="s">
        <v>232</v>
      </c>
      <c r="K8156">
        <v>1351.57</v>
      </c>
      <c r="L8156">
        <v>60.26</v>
      </c>
      <c r="M8156">
        <v>13540</v>
      </c>
      <c r="N8156" t="s">
        <v>131</v>
      </c>
      <c r="O8156">
        <v>251216</v>
      </c>
      <c r="P8156">
        <v>236.31</v>
      </c>
    </row>
    <row r="8157" spans="1:16" x14ac:dyDescent="0.25">
      <c r="A8157" t="s">
        <v>3296</v>
      </c>
      <c r="B8157" t="s">
        <v>2931</v>
      </c>
      <c r="C8157">
        <v>17008</v>
      </c>
      <c r="D8157" t="str">
        <f>"1677        "</f>
        <v xml:space="preserve">1677        </v>
      </c>
      <c r="E8157" t="s">
        <v>231</v>
      </c>
      <c r="F8157" t="s">
        <v>233</v>
      </c>
      <c r="G8157">
        <v>593.14</v>
      </c>
      <c r="H8157">
        <v>251215</v>
      </c>
      <c r="I8157">
        <v>4390</v>
      </c>
      <c r="J8157" t="s">
        <v>232</v>
      </c>
      <c r="K8157">
        <v>1351.57</v>
      </c>
      <c r="L8157">
        <v>120.52</v>
      </c>
      <c r="M8157">
        <v>17950</v>
      </c>
      <c r="N8157" t="s">
        <v>132</v>
      </c>
      <c r="O8157">
        <v>251216</v>
      </c>
      <c r="P8157">
        <v>472.62</v>
      </c>
    </row>
    <row r="8158" spans="1:16" x14ac:dyDescent="0.25">
      <c r="A8158" t="s">
        <v>3296</v>
      </c>
      <c r="B8158" t="s">
        <v>2931</v>
      </c>
      <c r="C8158">
        <v>17014</v>
      </c>
      <c r="D8158" t="str">
        <f>"1865        "</f>
        <v xml:space="preserve">1865        </v>
      </c>
      <c r="E8158" t="s">
        <v>231</v>
      </c>
      <c r="F8158" t="s">
        <v>233</v>
      </c>
      <c r="G8158">
        <v>480.57</v>
      </c>
      <c r="H8158">
        <v>251210</v>
      </c>
      <c r="I8158">
        <v>4390</v>
      </c>
      <c r="J8158" t="s">
        <v>232</v>
      </c>
      <c r="K8158">
        <v>4368.8100000000004</v>
      </c>
      <c r="L8158">
        <v>97.65</v>
      </c>
      <c r="M8158">
        <v>13540</v>
      </c>
      <c r="N8158" t="s">
        <v>131</v>
      </c>
      <c r="O8158">
        <v>251216</v>
      </c>
      <c r="P8158">
        <v>382.92</v>
      </c>
    </row>
    <row r="8159" spans="1:16" x14ac:dyDescent="0.25">
      <c r="A8159" t="s">
        <v>3296</v>
      </c>
      <c r="B8159" t="s">
        <v>2931</v>
      </c>
      <c r="C8159">
        <v>17014</v>
      </c>
      <c r="D8159" t="str">
        <f>"1865        "</f>
        <v xml:space="preserve">1865        </v>
      </c>
      <c r="E8159" t="s">
        <v>231</v>
      </c>
      <c r="F8159" t="s">
        <v>233</v>
      </c>
      <c r="G8159">
        <v>3888.24</v>
      </c>
      <c r="H8159">
        <v>251210</v>
      </c>
      <c r="I8159">
        <v>4390</v>
      </c>
      <c r="J8159" t="s">
        <v>232</v>
      </c>
      <c r="K8159">
        <v>4368.8100000000004</v>
      </c>
      <c r="L8159">
        <v>790.04</v>
      </c>
      <c r="M8159">
        <v>17950</v>
      </c>
      <c r="N8159" t="s">
        <v>132</v>
      </c>
      <c r="O8159">
        <v>251216</v>
      </c>
      <c r="P8159">
        <v>3098.2</v>
      </c>
    </row>
    <row r="8160" spans="1:16" x14ac:dyDescent="0.25">
      <c r="A8160" t="s">
        <v>3296</v>
      </c>
      <c r="B8160" t="s">
        <v>2931</v>
      </c>
      <c r="C8160">
        <v>17487</v>
      </c>
      <c r="D8160" t="str">
        <f>"1880        "</f>
        <v xml:space="preserve">1880        </v>
      </c>
      <c r="E8160" t="s">
        <v>231</v>
      </c>
      <c r="F8160" t="s">
        <v>233</v>
      </c>
      <c r="G8160">
        <v>319.39999999999998</v>
      </c>
      <c r="H8160">
        <v>251219</v>
      </c>
      <c r="I8160">
        <v>4390</v>
      </c>
      <c r="J8160" t="s">
        <v>232</v>
      </c>
      <c r="K8160">
        <v>578.55999999999995</v>
      </c>
      <c r="L8160">
        <v>64.900000000000006</v>
      </c>
      <c r="M8160">
        <v>17950</v>
      </c>
      <c r="N8160" t="s">
        <v>132</v>
      </c>
      <c r="O8160">
        <v>251222</v>
      </c>
      <c r="P8160">
        <v>254.5</v>
      </c>
    </row>
    <row r="8161" spans="1:16" x14ac:dyDescent="0.25">
      <c r="A8161" t="s">
        <v>3296</v>
      </c>
      <c r="B8161" t="s">
        <v>2931</v>
      </c>
      <c r="C8161">
        <v>17917</v>
      </c>
      <c r="D8161" t="str">
        <f>"1893        "</f>
        <v xml:space="preserve">1893        </v>
      </c>
      <c r="E8161" t="s">
        <v>231</v>
      </c>
      <c r="F8161" t="s">
        <v>233</v>
      </c>
      <c r="G8161">
        <v>78.69</v>
      </c>
      <c r="H8161">
        <v>251222</v>
      </c>
      <c r="I8161">
        <v>4390</v>
      </c>
      <c r="J8161" t="s">
        <v>232</v>
      </c>
      <c r="K8161">
        <v>715.35</v>
      </c>
      <c r="L8161">
        <v>15.99</v>
      </c>
      <c r="M8161">
        <v>13540</v>
      </c>
      <c r="N8161" t="s">
        <v>131</v>
      </c>
      <c r="O8161">
        <v>260107</v>
      </c>
      <c r="P8161">
        <v>62.7</v>
      </c>
    </row>
    <row r="8162" spans="1:16" x14ac:dyDescent="0.25">
      <c r="A8162" t="s">
        <v>3296</v>
      </c>
      <c r="B8162" t="s">
        <v>2931</v>
      </c>
      <c r="C8162">
        <v>17917</v>
      </c>
      <c r="D8162" t="str">
        <f>"1893        "</f>
        <v xml:space="preserve">1893        </v>
      </c>
      <c r="E8162" t="s">
        <v>231</v>
      </c>
      <c r="F8162" t="s">
        <v>233</v>
      </c>
      <c r="G8162">
        <v>636.66</v>
      </c>
      <c r="H8162">
        <v>251222</v>
      </c>
      <c r="I8162">
        <v>4390</v>
      </c>
      <c r="J8162" t="s">
        <v>232</v>
      </c>
      <c r="K8162">
        <v>715.35</v>
      </c>
      <c r="L8162">
        <v>129.36000000000001</v>
      </c>
      <c r="M8162">
        <v>17950</v>
      </c>
      <c r="N8162" t="s">
        <v>132</v>
      </c>
      <c r="O8162">
        <v>260107</v>
      </c>
      <c r="P8162">
        <v>507.3</v>
      </c>
    </row>
    <row r="8163" spans="1:16" x14ac:dyDescent="0.25">
      <c r="A8163" t="s">
        <v>3296</v>
      </c>
      <c r="B8163" t="s">
        <v>2931</v>
      </c>
      <c r="C8163">
        <v>17931</v>
      </c>
      <c r="D8163" t="str">
        <f>"1888        "</f>
        <v xml:space="preserve">1888        </v>
      </c>
      <c r="E8163" t="s">
        <v>231</v>
      </c>
      <c r="F8163" t="s">
        <v>233</v>
      </c>
      <c r="G8163">
        <v>13.8</v>
      </c>
      <c r="H8163">
        <v>251229</v>
      </c>
      <c r="I8163">
        <v>4390</v>
      </c>
      <c r="J8163" t="s">
        <v>232</v>
      </c>
      <c r="K8163">
        <v>786.72</v>
      </c>
      <c r="L8163">
        <v>2.8</v>
      </c>
      <c r="M8163">
        <v>13540</v>
      </c>
      <c r="N8163" t="s">
        <v>131</v>
      </c>
      <c r="O8163">
        <v>260107</v>
      </c>
      <c r="P8163">
        <v>11</v>
      </c>
    </row>
    <row r="8164" spans="1:16" x14ac:dyDescent="0.25">
      <c r="A8164" t="s">
        <v>3296</v>
      </c>
      <c r="B8164" t="s">
        <v>2931</v>
      </c>
      <c r="C8164">
        <v>17931</v>
      </c>
      <c r="D8164" t="str">
        <f>"1888        "</f>
        <v xml:space="preserve">1888        </v>
      </c>
      <c r="E8164" t="s">
        <v>231</v>
      </c>
      <c r="F8164" t="s">
        <v>233</v>
      </c>
      <c r="G8164">
        <v>33.130000000000003</v>
      </c>
      <c r="H8164">
        <v>251229</v>
      </c>
      <c r="I8164">
        <v>4390</v>
      </c>
      <c r="J8164" t="s">
        <v>232</v>
      </c>
      <c r="K8164">
        <v>786.72</v>
      </c>
      <c r="L8164">
        <v>6.73</v>
      </c>
      <c r="M8164">
        <v>13540</v>
      </c>
      <c r="N8164" t="s">
        <v>131</v>
      </c>
      <c r="O8164">
        <v>260107</v>
      </c>
      <c r="P8164">
        <v>26.4</v>
      </c>
    </row>
    <row r="8165" spans="1:16" x14ac:dyDescent="0.25">
      <c r="A8165" t="s">
        <v>3296</v>
      </c>
      <c r="B8165" t="s">
        <v>2931</v>
      </c>
      <c r="C8165">
        <v>17931</v>
      </c>
      <c r="D8165" t="str">
        <f>"1888        "</f>
        <v xml:space="preserve">1888        </v>
      </c>
      <c r="E8165" t="s">
        <v>231</v>
      </c>
      <c r="F8165" t="s">
        <v>233</v>
      </c>
      <c r="G8165">
        <v>67.27</v>
      </c>
      <c r="H8165">
        <v>251229</v>
      </c>
      <c r="I8165">
        <v>4390</v>
      </c>
      <c r="J8165" t="s">
        <v>232</v>
      </c>
      <c r="K8165">
        <v>786.72</v>
      </c>
      <c r="L8165">
        <v>13.67</v>
      </c>
      <c r="M8165">
        <v>17950</v>
      </c>
      <c r="N8165" t="s">
        <v>132</v>
      </c>
      <c r="O8165">
        <v>260107</v>
      </c>
      <c r="P8165">
        <v>53.6</v>
      </c>
    </row>
    <row r="8166" spans="1:16" x14ac:dyDescent="0.25">
      <c r="A8166" t="s">
        <v>3296</v>
      </c>
      <c r="B8166" t="s">
        <v>2931</v>
      </c>
      <c r="C8166">
        <v>17931</v>
      </c>
      <c r="D8166" t="str">
        <f>"1888        "</f>
        <v xml:space="preserve">1888        </v>
      </c>
      <c r="E8166" t="s">
        <v>231</v>
      </c>
      <c r="F8166" t="s">
        <v>233</v>
      </c>
      <c r="G8166">
        <v>111.7</v>
      </c>
      <c r="H8166">
        <v>251229</v>
      </c>
      <c r="I8166">
        <v>4390</v>
      </c>
      <c r="J8166" t="s">
        <v>232</v>
      </c>
      <c r="K8166">
        <v>786.72</v>
      </c>
      <c r="L8166">
        <v>22.7</v>
      </c>
      <c r="M8166">
        <v>17950</v>
      </c>
      <c r="N8166" t="s">
        <v>132</v>
      </c>
      <c r="O8166">
        <v>260107</v>
      </c>
      <c r="P8166">
        <v>89</v>
      </c>
    </row>
    <row r="8167" spans="1:16" x14ac:dyDescent="0.25">
      <c r="A8167" t="s">
        <v>3296</v>
      </c>
      <c r="B8167" t="s">
        <v>2931</v>
      </c>
      <c r="C8167">
        <v>1290</v>
      </c>
      <c r="D8167" t="str">
        <f>"1191        "</f>
        <v xml:space="preserve">1191        </v>
      </c>
      <c r="E8167" t="s">
        <v>231</v>
      </c>
      <c r="F8167" t="s">
        <v>233</v>
      </c>
      <c r="G8167">
        <v>27.34</v>
      </c>
      <c r="H8167">
        <v>250131</v>
      </c>
      <c r="I8167">
        <v>4400</v>
      </c>
      <c r="J8167" t="s">
        <v>162</v>
      </c>
      <c r="K8167">
        <v>603.91999999999996</v>
      </c>
      <c r="L8167">
        <v>5.56</v>
      </c>
      <c r="M8167">
        <v>13540</v>
      </c>
      <c r="N8167" t="s">
        <v>131</v>
      </c>
      <c r="O8167">
        <v>250206</v>
      </c>
      <c r="P8167">
        <v>21.78</v>
      </c>
    </row>
    <row r="8168" spans="1:16" x14ac:dyDescent="0.25">
      <c r="A8168" t="s">
        <v>3296</v>
      </c>
      <c r="B8168" t="s">
        <v>2931</v>
      </c>
      <c r="C8168">
        <v>14531</v>
      </c>
      <c r="D8168" t="str">
        <f>"1787        "</f>
        <v xml:space="preserve">1787        </v>
      </c>
      <c r="E8168" t="s">
        <v>231</v>
      </c>
      <c r="F8168" t="s">
        <v>233</v>
      </c>
      <c r="G8168">
        <v>494.97</v>
      </c>
      <c r="H8168">
        <v>251031</v>
      </c>
      <c r="I8168">
        <v>4400</v>
      </c>
      <c r="J8168" t="s">
        <v>162</v>
      </c>
      <c r="K8168">
        <v>506.83</v>
      </c>
      <c r="L8168">
        <v>100.57</v>
      </c>
      <c r="M8168">
        <v>17529</v>
      </c>
      <c r="N8168" t="s">
        <v>143</v>
      </c>
      <c r="O8168">
        <v>251104</v>
      </c>
      <c r="P8168">
        <v>394.4</v>
      </c>
    </row>
    <row r="8169" spans="1:16" x14ac:dyDescent="0.25">
      <c r="A8169" t="s">
        <v>3296</v>
      </c>
      <c r="B8169" t="s">
        <v>2931</v>
      </c>
      <c r="C8169">
        <v>17931</v>
      </c>
      <c r="D8169" t="str">
        <f>"1888        "</f>
        <v xml:space="preserve">1888        </v>
      </c>
      <c r="E8169" t="s">
        <v>231</v>
      </c>
      <c r="F8169" t="s">
        <v>233</v>
      </c>
      <c r="G8169">
        <v>560.82000000000005</v>
      </c>
      <c r="H8169">
        <v>251229</v>
      </c>
      <c r="I8169">
        <v>4400</v>
      </c>
      <c r="J8169" t="s">
        <v>162</v>
      </c>
      <c r="K8169">
        <v>786.72</v>
      </c>
      <c r="L8169">
        <v>113.95</v>
      </c>
      <c r="M8169">
        <v>17534</v>
      </c>
      <c r="N8169" t="s">
        <v>148</v>
      </c>
      <c r="O8169">
        <v>260107</v>
      </c>
      <c r="P8169">
        <v>446.87</v>
      </c>
    </row>
    <row r="8170" spans="1:16" x14ac:dyDescent="0.25">
      <c r="A8170" t="s">
        <v>3296</v>
      </c>
      <c r="B8170" t="s">
        <v>2931</v>
      </c>
      <c r="C8170">
        <v>9788</v>
      </c>
      <c r="D8170" t="str">
        <f>"1538        "</f>
        <v xml:space="preserve">1538        </v>
      </c>
      <c r="E8170" t="s">
        <v>231</v>
      </c>
      <c r="F8170" t="s">
        <v>233</v>
      </c>
      <c r="G8170">
        <v>43.93</v>
      </c>
      <c r="H8170">
        <v>250722</v>
      </c>
      <c r="I8170">
        <v>4420</v>
      </c>
      <c r="J8170" t="s">
        <v>330</v>
      </c>
      <c r="K8170">
        <v>43.93</v>
      </c>
      <c r="L8170">
        <v>8.93</v>
      </c>
      <c r="M8170">
        <v>17521</v>
      </c>
      <c r="N8170" t="s">
        <v>136</v>
      </c>
      <c r="O8170">
        <v>250728</v>
      </c>
      <c r="P8170">
        <v>35</v>
      </c>
    </row>
    <row r="8171" spans="1:16" x14ac:dyDescent="0.25">
      <c r="A8171" t="s">
        <v>3296</v>
      </c>
      <c r="B8171" t="s">
        <v>2931</v>
      </c>
      <c r="C8171">
        <v>11346</v>
      </c>
      <c r="D8171" t="str">
        <f>"1601        "</f>
        <v xml:space="preserve">1601        </v>
      </c>
      <c r="E8171" t="s">
        <v>231</v>
      </c>
      <c r="F8171" t="s">
        <v>233</v>
      </c>
      <c r="G8171">
        <v>87.85</v>
      </c>
      <c r="H8171">
        <v>250831</v>
      </c>
      <c r="I8171">
        <v>4420</v>
      </c>
      <c r="J8171" t="s">
        <v>330</v>
      </c>
      <c r="K8171">
        <v>771.04</v>
      </c>
      <c r="L8171">
        <v>17.850000000000001</v>
      </c>
      <c r="M8171">
        <v>17950</v>
      </c>
      <c r="N8171" t="s">
        <v>132</v>
      </c>
      <c r="O8171">
        <v>250904</v>
      </c>
      <c r="P8171">
        <v>70</v>
      </c>
    </row>
    <row r="8172" spans="1:16" x14ac:dyDescent="0.25">
      <c r="A8172" t="s">
        <v>3296</v>
      </c>
      <c r="B8172" t="s">
        <v>2931</v>
      </c>
      <c r="C8172">
        <v>11875</v>
      </c>
      <c r="D8172" t="str">
        <f>"1679        "</f>
        <v xml:space="preserve">1679        </v>
      </c>
      <c r="E8172" t="s">
        <v>231</v>
      </c>
      <c r="F8172" t="s">
        <v>233</v>
      </c>
      <c r="G8172">
        <v>753</v>
      </c>
      <c r="H8172">
        <v>250908</v>
      </c>
      <c r="I8172">
        <v>4420</v>
      </c>
      <c r="J8172" t="s">
        <v>330</v>
      </c>
      <c r="K8172">
        <v>753</v>
      </c>
      <c r="L8172">
        <v>153</v>
      </c>
      <c r="M8172">
        <v>17534</v>
      </c>
      <c r="N8172" t="s">
        <v>148</v>
      </c>
      <c r="O8172">
        <v>250911</v>
      </c>
      <c r="P8172">
        <v>600</v>
      </c>
    </row>
    <row r="8173" spans="1:16" x14ac:dyDescent="0.25">
      <c r="A8173" t="s">
        <v>3296</v>
      </c>
      <c r="B8173" t="s">
        <v>2931</v>
      </c>
      <c r="C8173">
        <v>9288</v>
      </c>
      <c r="D8173" t="str">
        <f>"1508        "</f>
        <v xml:space="preserve">1508        </v>
      </c>
      <c r="E8173" t="s">
        <v>231</v>
      </c>
      <c r="F8173" t="s">
        <v>233</v>
      </c>
      <c r="G8173">
        <v>5.57</v>
      </c>
      <c r="H8173">
        <v>250626</v>
      </c>
      <c r="I8173">
        <v>4470</v>
      </c>
      <c r="J8173" t="s">
        <v>203</v>
      </c>
      <c r="K8173">
        <v>3814.78</v>
      </c>
      <c r="L8173">
        <v>1.1299999999999999</v>
      </c>
      <c r="M8173">
        <v>13540</v>
      </c>
      <c r="N8173" t="s">
        <v>131</v>
      </c>
      <c r="O8173">
        <v>250702</v>
      </c>
      <c r="P8173">
        <v>4.4400000000000004</v>
      </c>
    </row>
    <row r="8174" spans="1:16" x14ac:dyDescent="0.25">
      <c r="A8174" t="s">
        <v>3296</v>
      </c>
      <c r="B8174" t="s">
        <v>2931</v>
      </c>
      <c r="C8174">
        <v>9288</v>
      </c>
      <c r="D8174" t="str">
        <f>"1508        "</f>
        <v xml:space="preserve">1508        </v>
      </c>
      <c r="E8174" t="s">
        <v>231</v>
      </c>
      <c r="F8174" t="s">
        <v>233</v>
      </c>
      <c r="G8174">
        <v>45.03</v>
      </c>
      <c r="H8174">
        <v>250626</v>
      </c>
      <c r="I8174">
        <v>4470</v>
      </c>
      <c r="J8174" t="s">
        <v>203</v>
      </c>
      <c r="K8174">
        <v>3814.78</v>
      </c>
      <c r="L8174">
        <v>9.15</v>
      </c>
      <c r="M8174">
        <v>17951</v>
      </c>
      <c r="N8174" t="s">
        <v>207</v>
      </c>
      <c r="O8174">
        <v>250702</v>
      </c>
      <c r="P8174">
        <v>35.880000000000003</v>
      </c>
    </row>
    <row r="8175" spans="1:16" x14ac:dyDescent="0.25">
      <c r="A8175" t="s">
        <v>3296</v>
      </c>
      <c r="B8175" t="s">
        <v>2931</v>
      </c>
      <c r="C8175">
        <v>5763</v>
      </c>
      <c r="D8175" t="str">
        <f>"1384        "</f>
        <v xml:space="preserve">1384        </v>
      </c>
      <c r="E8175" t="s">
        <v>231</v>
      </c>
      <c r="F8175" t="s">
        <v>233</v>
      </c>
      <c r="G8175">
        <v>13.44</v>
      </c>
      <c r="H8175">
        <v>250428</v>
      </c>
      <c r="I8175">
        <v>4572</v>
      </c>
      <c r="J8175" t="s">
        <v>173</v>
      </c>
      <c r="K8175">
        <v>460.56</v>
      </c>
      <c r="L8175">
        <v>2.73</v>
      </c>
      <c r="M8175">
        <v>13540</v>
      </c>
      <c r="N8175" t="s">
        <v>131</v>
      </c>
      <c r="O8175">
        <v>250430</v>
      </c>
      <c r="P8175">
        <v>10.71</v>
      </c>
    </row>
    <row r="8176" spans="1:16" x14ac:dyDescent="0.25">
      <c r="A8176" t="s">
        <v>3296</v>
      </c>
      <c r="B8176" t="s">
        <v>2931</v>
      </c>
      <c r="C8176">
        <v>5763</v>
      </c>
      <c r="D8176" t="str">
        <f>"1384        "</f>
        <v xml:space="preserve">1384        </v>
      </c>
      <c r="E8176" t="s">
        <v>231</v>
      </c>
      <c r="F8176" t="s">
        <v>233</v>
      </c>
      <c r="G8176">
        <v>447.12</v>
      </c>
      <c r="H8176">
        <v>250428</v>
      </c>
      <c r="I8176">
        <v>4572</v>
      </c>
      <c r="J8176" t="s">
        <v>173</v>
      </c>
      <c r="K8176">
        <v>460.56</v>
      </c>
      <c r="L8176">
        <v>90.85</v>
      </c>
      <c r="M8176">
        <v>17950</v>
      </c>
      <c r="N8176" t="s">
        <v>132</v>
      </c>
      <c r="O8176">
        <v>250430</v>
      </c>
      <c r="P8176">
        <v>356.27</v>
      </c>
    </row>
    <row r="8177" spans="1:16" x14ac:dyDescent="0.25">
      <c r="A8177" t="s">
        <v>3296</v>
      </c>
      <c r="B8177" t="s">
        <v>2931</v>
      </c>
      <c r="C8177">
        <v>7240</v>
      </c>
      <c r="D8177" t="str">
        <f>"1433        "</f>
        <v xml:space="preserve">1433        </v>
      </c>
      <c r="E8177" t="s">
        <v>231</v>
      </c>
      <c r="F8177" t="s">
        <v>233</v>
      </c>
      <c r="G8177">
        <v>34.93</v>
      </c>
      <c r="H8177">
        <v>250525</v>
      </c>
      <c r="I8177">
        <v>4572</v>
      </c>
      <c r="J8177" t="s">
        <v>173</v>
      </c>
      <c r="K8177">
        <v>317.52</v>
      </c>
      <c r="L8177">
        <v>7.1</v>
      </c>
      <c r="M8177">
        <v>13540</v>
      </c>
      <c r="N8177" t="s">
        <v>131</v>
      </c>
      <c r="O8177">
        <v>250527</v>
      </c>
      <c r="P8177">
        <v>27.83</v>
      </c>
    </row>
    <row r="8178" spans="1:16" x14ac:dyDescent="0.25">
      <c r="A8178" t="s">
        <v>3296</v>
      </c>
      <c r="B8178" t="s">
        <v>2931</v>
      </c>
      <c r="C8178">
        <v>7240</v>
      </c>
      <c r="D8178" t="str">
        <f>"1433        "</f>
        <v xml:space="preserve">1433        </v>
      </c>
      <c r="E8178" t="s">
        <v>231</v>
      </c>
      <c r="F8178" t="s">
        <v>233</v>
      </c>
      <c r="G8178">
        <v>282.58999999999997</v>
      </c>
      <c r="H8178">
        <v>250525</v>
      </c>
      <c r="I8178">
        <v>4572</v>
      </c>
      <c r="J8178" t="s">
        <v>173</v>
      </c>
      <c r="K8178">
        <v>317.52</v>
      </c>
      <c r="L8178">
        <v>57.42</v>
      </c>
      <c r="M8178">
        <v>17950</v>
      </c>
      <c r="N8178" t="s">
        <v>132</v>
      </c>
      <c r="O8178">
        <v>250527</v>
      </c>
      <c r="P8178">
        <v>225.17</v>
      </c>
    </row>
    <row r="8179" spans="1:16" x14ac:dyDescent="0.25">
      <c r="A8179" t="s">
        <v>3296</v>
      </c>
      <c r="B8179" t="s">
        <v>2931</v>
      </c>
      <c r="C8179">
        <v>9543</v>
      </c>
      <c r="D8179" t="str">
        <f>"1470        "</f>
        <v xml:space="preserve">1470        </v>
      </c>
      <c r="E8179" t="s">
        <v>231</v>
      </c>
      <c r="F8179" t="s">
        <v>233</v>
      </c>
      <c r="G8179">
        <v>9.2100000000000009</v>
      </c>
      <c r="H8179">
        <v>250701</v>
      </c>
      <c r="I8179">
        <v>4572</v>
      </c>
      <c r="J8179" t="s">
        <v>173</v>
      </c>
      <c r="K8179">
        <v>3293.55</v>
      </c>
      <c r="L8179">
        <v>1.87</v>
      </c>
      <c r="M8179">
        <v>17950</v>
      </c>
      <c r="N8179" t="s">
        <v>132</v>
      </c>
      <c r="O8179">
        <v>250711</v>
      </c>
      <c r="P8179">
        <v>7.34</v>
      </c>
    </row>
    <row r="8180" spans="1:16" x14ac:dyDescent="0.25">
      <c r="A8180" t="s">
        <v>3296</v>
      </c>
      <c r="B8180" t="s">
        <v>2931</v>
      </c>
      <c r="C8180">
        <v>14531</v>
      </c>
      <c r="D8180" t="str">
        <f>"1787        "</f>
        <v xml:space="preserve">1787        </v>
      </c>
      <c r="E8180" t="s">
        <v>231</v>
      </c>
      <c r="F8180" t="s">
        <v>233</v>
      </c>
      <c r="G8180">
        <v>11.86</v>
      </c>
      <c r="H8180">
        <v>251031</v>
      </c>
      <c r="I8180">
        <v>4572</v>
      </c>
      <c r="J8180" t="s">
        <v>173</v>
      </c>
      <c r="K8180">
        <v>506.83</v>
      </c>
      <c r="L8180">
        <v>2.41</v>
      </c>
      <c r="M8180">
        <v>17950</v>
      </c>
      <c r="N8180" t="s">
        <v>132</v>
      </c>
      <c r="O8180">
        <v>251104</v>
      </c>
      <c r="P8180">
        <v>9.4499999999999993</v>
      </c>
    </row>
    <row r="8181" spans="1:16" x14ac:dyDescent="0.25">
      <c r="A8181" t="s">
        <v>3296</v>
      </c>
      <c r="B8181" t="s">
        <v>2931</v>
      </c>
      <c r="C8181">
        <v>17008</v>
      </c>
      <c r="D8181" t="str">
        <f>"1677        "</f>
        <v xml:space="preserve">1677        </v>
      </c>
      <c r="E8181" t="s">
        <v>231</v>
      </c>
      <c r="F8181" t="s">
        <v>233</v>
      </c>
      <c r="G8181">
        <v>1.3</v>
      </c>
      <c r="H8181">
        <v>251215</v>
      </c>
      <c r="I8181">
        <v>4572</v>
      </c>
      <c r="J8181" t="s">
        <v>173</v>
      </c>
      <c r="K8181">
        <v>1351.57</v>
      </c>
      <c r="L8181">
        <v>0.26</v>
      </c>
      <c r="M8181">
        <v>13540</v>
      </c>
      <c r="N8181" t="s">
        <v>131</v>
      </c>
      <c r="O8181">
        <v>251216</v>
      </c>
      <c r="P8181">
        <v>1.04</v>
      </c>
    </row>
    <row r="8182" spans="1:16" x14ac:dyDescent="0.25">
      <c r="A8182" t="s">
        <v>3296</v>
      </c>
      <c r="B8182" t="s">
        <v>2931</v>
      </c>
      <c r="C8182">
        <v>17008</v>
      </c>
      <c r="D8182" t="str">
        <f>"1677        "</f>
        <v xml:space="preserve">1677        </v>
      </c>
      <c r="E8182" t="s">
        <v>231</v>
      </c>
      <c r="F8182" t="s">
        <v>233</v>
      </c>
      <c r="G8182">
        <v>10.56</v>
      </c>
      <c r="H8182">
        <v>251215</v>
      </c>
      <c r="I8182">
        <v>4572</v>
      </c>
      <c r="J8182" t="s">
        <v>173</v>
      </c>
      <c r="K8182">
        <v>1351.57</v>
      </c>
      <c r="L8182">
        <v>2.15</v>
      </c>
      <c r="M8182">
        <v>17950</v>
      </c>
      <c r="N8182" t="s">
        <v>132</v>
      </c>
      <c r="O8182">
        <v>251216</v>
      </c>
      <c r="P8182">
        <v>8.41</v>
      </c>
    </row>
    <row r="8183" spans="1:16" x14ac:dyDescent="0.25">
      <c r="A8183" t="s">
        <v>3296</v>
      </c>
      <c r="B8183" t="s">
        <v>2931</v>
      </c>
      <c r="C8183">
        <v>17008</v>
      </c>
      <c r="D8183" t="str">
        <f>"1677        "</f>
        <v xml:space="preserve">1677        </v>
      </c>
      <c r="E8183" t="s">
        <v>231</v>
      </c>
      <c r="F8183" t="s">
        <v>233</v>
      </c>
      <c r="G8183">
        <v>450</v>
      </c>
      <c r="H8183">
        <v>251215</v>
      </c>
      <c r="I8183">
        <v>4580</v>
      </c>
      <c r="J8183" t="s">
        <v>126</v>
      </c>
      <c r="K8183">
        <v>1351.57</v>
      </c>
      <c r="L8183">
        <v>91.43</v>
      </c>
      <c r="M8183">
        <v>17950</v>
      </c>
      <c r="N8183" t="s">
        <v>132</v>
      </c>
      <c r="O8183">
        <v>251216</v>
      </c>
      <c r="P8183">
        <v>358.57</v>
      </c>
    </row>
    <row r="8184" spans="1:16" x14ac:dyDescent="0.25">
      <c r="A8184" t="s">
        <v>3296</v>
      </c>
      <c r="B8184" t="s">
        <v>2931</v>
      </c>
      <c r="C8184">
        <v>12738</v>
      </c>
      <c r="D8184" t="str">
        <f>"1697        "</f>
        <v xml:space="preserve">1697        </v>
      </c>
      <c r="E8184" t="s">
        <v>231</v>
      </c>
      <c r="F8184" t="s">
        <v>233</v>
      </c>
      <c r="G8184">
        <v>97.89</v>
      </c>
      <c r="H8184">
        <v>250923</v>
      </c>
      <c r="I8184">
        <v>4590</v>
      </c>
      <c r="J8184" t="s">
        <v>388</v>
      </c>
      <c r="K8184">
        <v>413.78</v>
      </c>
      <c r="L8184">
        <v>19.89</v>
      </c>
      <c r="M8184">
        <v>17950</v>
      </c>
      <c r="N8184" t="s">
        <v>132</v>
      </c>
      <c r="O8184">
        <v>250929</v>
      </c>
      <c r="P8184">
        <v>78</v>
      </c>
    </row>
    <row r="8185" spans="1:16" x14ac:dyDescent="0.25">
      <c r="A8185" t="s">
        <v>3296</v>
      </c>
      <c r="B8185" t="s">
        <v>2931</v>
      </c>
      <c r="C8185">
        <v>1290</v>
      </c>
      <c r="D8185" t="str">
        <f>"1191        "</f>
        <v xml:space="preserve">1191        </v>
      </c>
      <c r="E8185" t="s">
        <v>231</v>
      </c>
      <c r="F8185" t="s">
        <v>233</v>
      </c>
      <c r="G8185">
        <v>11.57</v>
      </c>
      <c r="H8185">
        <v>250131</v>
      </c>
      <c r="I8185">
        <v>4600</v>
      </c>
      <c r="J8185" t="s">
        <v>278</v>
      </c>
      <c r="K8185">
        <v>603.91999999999996</v>
      </c>
      <c r="L8185">
        <v>2.35</v>
      </c>
      <c r="M8185">
        <v>13540</v>
      </c>
      <c r="N8185" t="s">
        <v>131</v>
      </c>
      <c r="O8185">
        <v>250206</v>
      </c>
      <c r="P8185">
        <v>9.2200000000000006</v>
      </c>
    </row>
    <row r="8186" spans="1:16" x14ac:dyDescent="0.25">
      <c r="A8186" t="s">
        <v>3296</v>
      </c>
      <c r="B8186" t="s">
        <v>2931</v>
      </c>
      <c r="C8186">
        <v>1290</v>
      </c>
      <c r="D8186" t="str">
        <f>"1191        "</f>
        <v xml:space="preserve">1191        </v>
      </c>
      <c r="E8186" t="s">
        <v>231</v>
      </c>
      <c r="F8186" t="s">
        <v>233</v>
      </c>
      <c r="G8186">
        <v>565.01</v>
      </c>
      <c r="H8186">
        <v>250131</v>
      </c>
      <c r="I8186">
        <v>4600</v>
      </c>
      <c r="J8186" t="s">
        <v>278</v>
      </c>
      <c r="K8186">
        <v>603.91999999999996</v>
      </c>
      <c r="L8186">
        <v>114.8</v>
      </c>
      <c r="M8186">
        <v>17950</v>
      </c>
      <c r="N8186" t="s">
        <v>132</v>
      </c>
      <c r="O8186">
        <v>250206</v>
      </c>
      <c r="P8186">
        <v>450.21</v>
      </c>
    </row>
    <row r="8187" spans="1:16" x14ac:dyDescent="0.25">
      <c r="A8187" t="s">
        <v>3296</v>
      </c>
      <c r="B8187" t="s">
        <v>2931</v>
      </c>
      <c r="C8187">
        <v>9288</v>
      </c>
      <c r="D8187" t="str">
        <f>"1508        "</f>
        <v xml:space="preserve">1508        </v>
      </c>
      <c r="E8187" t="s">
        <v>231</v>
      </c>
      <c r="F8187" t="s">
        <v>233</v>
      </c>
      <c r="G8187">
        <v>409.92</v>
      </c>
      <c r="H8187">
        <v>250626</v>
      </c>
      <c r="I8187">
        <v>4600</v>
      </c>
      <c r="J8187" t="s">
        <v>278</v>
      </c>
      <c r="K8187">
        <v>3814.78</v>
      </c>
      <c r="L8187">
        <v>83.29</v>
      </c>
      <c r="M8187">
        <v>13540</v>
      </c>
      <c r="N8187" t="s">
        <v>131</v>
      </c>
      <c r="O8187">
        <v>250702</v>
      </c>
      <c r="P8187">
        <v>326.63</v>
      </c>
    </row>
    <row r="8188" spans="1:16" x14ac:dyDescent="0.25">
      <c r="A8188" t="s">
        <v>3296</v>
      </c>
      <c r="B8188" t="s">
        <v>2931</v>
      </c>
      <c r="C8188">
        <v>9288</v>
      </c>
      <c r="D8188" t="str">
        <f>"1508        "</f>
        <v xml:space="preserve">1508        </v>
      </c>
      <c r="E8188" t="s">
        <v>231</v>
      </c>
      <c r="F8188" t="s">
        <v>233</v>
      </c>
      <c r="G8188">
        <v>3316.61</v>
      </c>
      <c r="H8188">
        <v>250626</v>
      </c>
      <c r="I8188">
        <v>4600</v>
      </c>
      <c r="J8188" t="s">
        <v>278</v>
      </c>
      <c r="K8188">
        <v>3814.78</v>
      </c>
      <c r="L8188">
        <v>673.89</v>
      </c>
      <c r="M8188">
        <v>17951</v>
      </c>
      <c r="N8188" t="s">
        <v>207</v>
      </c>
      <c r="O8188">
        <v>250702</v>
      </c>
      <c r="P8188">
        <v>2642.72</v>
      </c>
    </row>
    <row r="8189" spans="1:16" x14ac:dyDescent="0.25">
      <c r="A8189" t="s">
        <v>3296</v>
      </c>
      <c r="B8189" t="s">
        <v>2931</v>
      </c>
      <c r="C8189">
        <v>12738</v>
      </c>
      <c r="D8189" t="str">
        <f>"1697        "</f>
        <v xml:space="preserve">1697        </v>
      </c>
      <c r="E8189" t="s">
        <v>231</v>
      </c>
      <c r="F8189" t="s">
        <v>233</v>
      </c>
      <c r="G8189">
        <v>7.72</v>
      </c>
      <c r="H8189">
        <v>250923</v>
      </c>
      <c r="I8189">
        <v>4600</v>
      </c>
      <c r="J8189" t="s">
        <v>278</v>
      </c>
      <c r="K8189">
        <v>413.78</v>
      </c>
      <c r="L8189">
        <v>1.57</v>
      </c>
      <c r="M8189">
        <v>13540</v>
      </c>
      <c r="N8189" t="s">
        <v>131</v>
      </c>
      <c r="O8189">
        <v>250929</v>
      </c>
      <c r="P8189">
        <v>6.15</v>
      </c>
    </row>
    <row r="8190" spans="1:16" x14ac:dyDescent="0.25">
      <c r="A8190" t="s">
        <v>3296</v>
      </c>
      <c r="B8190" t="s">
        <v>2931</v>
      </c>
      <c r="C8190">
        <v>9543</v>
      </c>
      <c r="D8190" t="str">
        <f>"1470        "</f>
        <v xml:space="preserve">1470        </v>
      </c>
      <c r="E8190" t="s">
        <v>231</v>
      </c>
      <c r="F8190" t="s">
        <v>233</v>
      </c>
      <c r="G8190">
        <v>65.260000000000005</v>
      </c>
      <c r="H8190">
        <v>250701</v>
      </c>
      <c r="I8190">
        <v>4860</v>
      </c>
      <c r="J8190" t="s">
        <v>286</v>
      </c>
      <c r="K8190">
        <v>3293.55</v>
      </c>
      <c r="L8190">
        <v>13.26</v>
      </c>
      <c r="M8190">
        <v>17956</v>
      </c>
      <c r="N8190" t="s">
        <v>170</v>
      </c>
      <c r="O8190">
        <v>250711</v>
      </c>
      <c r="P8190">
        <v>52</v>
      </c>
    </row>
    <row r="8191" spans="1:16" x14ac:dyDescent="0.25">
      <c r="A8191" t="s">
        <v>3296</v>
      </c>
      <c r="B8191" t="s">
        <v>2931</v>
      </c>
      <c r="C8191">
        <v>3617</v>
      </c>
      <c r="D8191" t="str">
        <f>"8525        "</f>
        <v xml:space="preserve">8525        </v>
      </c>
      <c r="E8191" t="s">
        <v>1481</v>
      </c>
      <c r="F8191" t="s">
        <v>1482</v>
      </c>
      <c r="G8191">
        <v>4787.83</v>
      </c>
      <c r="H8191">
        <v>250316</v>
      </c>
      <c r="I8191">
        <v>4390</v>
      </c>
      <c r="J8191" t="s">
        <v>232</v>
      </c>
      <c r="K8191">
        <v>4787.83</v>
      </c>
      <c r="L8191">
        <v>972.83</v>
      </c>
      <c r="M8191">
        <v>17951</v>
      </c>
      <c r="N8191" t="s">
        <v>207</v>
      </c>
      <c r="O8191">
        <v>250326</v>
      </c>
      <c r="P8191">
        <v>3815</v>
      </c>
    </row>
    <row r="8192" spans="1:16" x14ac:dyDescent="0.25">
      <c r="A8192" t="s">
        <v>3296</v>
      </c>
      <c r="B8192" t="s">
        <v>2931</v>
      </c>
      <c r="C8192">
        <v>5116</v>
      </c>
      <c r="D8192" t="str">
        <f>"8590        "</f>
        <v xml:space="preserve">8590        </v>
      </c>
      <c r="E8192" t="s">
        <v>1481</v>
      </c>
      <c r="F8192" t="s">
        <v>1482</v>
      </c>
      <c r="G8192">
        <v>884.78</v>
      </c>
      <c r="H8192">
        <v>250331</v>
      </c>
      <c r="I8192">
        <v>4390</v>
      </c>
      <c r="J8192" t="s">
        <v>232</v>
      </c>
      <c r="K8192">
        <v>884.78</v>
      </c>
      <c r="L8192">
        <v>179.78</v>
      </c>
      <c r="M8192">
        <v>17951</v>
      </c>
      <c r="N8192" t="s">
        <v>207</v>
      </c>
      <c r="O8192">
        <v>250416</v>
      </c>
      <c r="P8192">
        <v>705</v>
      </c>
    </row>
    <row r="8193" spans="1:16" x14ac:dyDescent="0.25">
      <c r="A8193" t="s">
        <v>3296</v>
      </c>
      <c r="B8193" t="s">
        <v>2931</v>
      </c>
      <c r="C8193">
        <v>9140</v>
      </c>
      <c r="D8193" t="str">
        <f>"8749        "</f>
        <v xml:space="preserve">8749        </v>
      </c>
      <c r="E8193" t="s">
        <v>1481</v>
      </c>
      <c r="F8193" t="s">
        <v>1482</v>
      </c>
      <c r="G8193">
        <v>407.88</v>
      </c>
      <c r="H8193">
        <v>250617</v>
      </c>
      <c r="I8193">
        <v>4390</v>
      </c>
      <c r="J8193" t="s">
        <v>232</v>
      </c>
      <c r="K8193">
        <v>407.88</v>
      </c>
      <c r="L8193">
        <v>82.88</v>
      </c>
      <c r="M8193">
        <v>17951</v>
      </c>
      <c r="N8193" t="s">
        <v>207</v>
      </c>
      <c r="O8193">
        <v>250627</v>
      </c>
      <c r="P8193">
        <v>325</v>
      </c>
    </row>
    <row r="8194" spans="1:16" x14ac:dyDescent="0.25">
      <c r="A8194" t="s">
        <v>3296</v>
      </c>
      <c r="B8194" t="s">
        <v>2931</v>
      </c>
      <c r="C8194">
        <v>18016</v>
      </c>
      <c r="D8194" t="str">
        <f>"9174        "</f>
        <v xml:space="preserve">9174        </v>
      </c>
      <c r="E8194" t="s">
        <v>1481</v>
      </c>
      <c r="F8194" t="s">
        <v>1482</v>
      </c>
      <c r="G8194">
        <v>2083.3000000000002</v>
      </c>
      <c r="H8194">
        <v>251231</v>
      </c>
      <c r="I8194">
        <v>4390</v>
      </c>
      <c r="J8194" t="s">
        <v>232</v>
      </c>
      <c r="K8194">
        <v>2083.3000000000002</v>
      </c>
      <c r="L8194">
        <v>423.3</v>
      </c>
      <c r="M8194">
        <v>17951</v>
      </c>
      <c r="N8194" t="s">
        <v>207</v>
      </c>
      <c r="O8194">
        <v>260108</v>
      </c>
      <c r="P8194">
        <v>1660</v>
      </c>
    </row>
    <row r="8195" spans="1:16" x14ac:dyDescent="0.25">
      <c r="A8195" t="s">
        <v>3296</v>
      </c>
      <c r="B8195" t="s">
        <v>2931</v>
      </c>
      <c r="C8195">
        <v>7723</v>
      </c>
      <c r="D8195" t="str">
        <f>"508         "</f>
        <v xml:space="preserve">508         </v>
      </c>
      <c r="E8195" t="s">
        <v>780</v>
      </c>
      <c r="F8195" t="s">
        <v>781</v>
      </c>
      <c r="G8195">
        <v>688.07</v>
      </c>
      <c r="H8195">
        <v>250528</v>
      </c>
      <c r="I8195">
        <v>4380</v>
      </c>
      <c r="J8195" t="s">
        <v>211</v>
      </c>
      <c r="K8195">
        <v>11905.29</v>
      </c>
      <c r="L8195">
        <v>139.81</v>
      </c>
      <c r="M8195">
        <v>59503</v>
      </c>
      <c r="N8195" t="s">
        <v>766</v>
      </c>
      <c r="O8195">
        <v>250609</v>
      </c>
      <c r="P8195">
        <v>548.26</v>
      </c>
    </row>
    <row r="8196" spans="1:16" x14ac:dyDescent="0.25">
      <c r="A8196" t="s">
        <v>3296</v>
      </c>
      <c r="B8196" t="s">
        <v>2931</v>
      </c>
      <c r="C8196">
        <v>916</v>
      </c>
      <c r="D8196" t="str">
        <f>"483         "</f>
        <v xml:space="preserve">483         </v>
      </c>
      <c r="E8196" t="s">
        <v>780</v>
      </c>
      <c r="F8196" t="s">
        <v>781</v>
      </c>
      <c r="G8196">
        <v>11217.22</v>
      </c>
      <c r="H8196">
        <v>250130</v>
      </c>
      <c r="I8196">
        <v>4820</v>
      </c>
      <c r="J8196" t="s">
        <v>169</v>
      </c>
      <c r="K8196">
        <v>11217.22</v>
      </c>
      <c r="L8196">
        <v>2279.1999999999998</v>
      </c>
      <c r="M8196">
        <v>59503</v>
      </c>
      <c r="N8196" t="s">
        <v>766</v>
      </c>
      <c r="O8196">
        <v>250131</v>
      </c>
      <c r="P8196">
        <v>8938.02</v>
      </c>
    </row>
    <row r="8197" spans="1:16" x14ac:dyDescent="0.25">
      <c r="A8197" t="s">
        <v>3296</v>
      </c>
      <c r="B8197" t="s">
        <v>2931</v>
      </c>
      <c r="C8197">
        <v>917</v>
      </c>
      <c r="D8197" t="str">
        <f>"482         "</f>
        <v xml:space="preserve">482         </v>
      </c>
      <c r="E8197" t="s">
        <v>780</v>
      </c>
      <c r="F8197" t="s">
        <v>781</v>
      </c>
      <c r="G8197">
        <v>8589.9</v>
      </c>
      <c r="H8197">
        <v>250130</v>
      </c>
      <c r="I8197">
        <v>4820</v>
      </c>
      <c r="J8197" t="s">
        <v>169</v>
      </c>
      <c r="K8197">
        <v>8589.9</v>
      </c>
      <c r="L8197">
        <v>1745.36</v>
      </c>
      <c r="M8197">
        <v>18951</v>
      </c>
      <c r="N8197" t="s">
        <v>782</v>
      </c>
      <c r="O8197">
        <v>250131</v>
      </c>
      <c r="P8197">
        <v>6844.54</v>
      </c>
    </row>
    <row r="8198" spans="1:16" x14ac:dyDescent="0.25">
      <c r="A8198" t="s">
        <v>3296</v>
      </c>
      <c r="B8198" t="s">
        <v>2931</v>
      </c>
      <c r="C8198">
        <v>2782</v>
      </c>
      <c r="D8198" t="str">
        <f>"488         "</f>
        <v xml:space="preserve">488         </v>
      </c>
      <c r="E8198" t="s">
        <v>780</v>
      </c>
      <c r="F8198" t="s">
        <v>781</v>
      </c>
      <c r="G8198">
        <v>11217.22</v>
      </c>
      <c r="H8198">
        <v>250228</v>
      </c>
      <c r="I8198">
        <v>4820</v>
      </c>
      <c r="J8198" t="s">
        <v>169</v>
      </c>
      <c r="K8198">
        <v>11217.22</v>
      </c>
      <c r="L8198">
        <v>2279.1999999999998</v>
      </c>
      <c r="M8198">
        <v>59503</v>
      </c>
      <c r="N8198" t="s">
        <v>766</v>
      </c>
      <c r="O8198">
        <v>250312</v>
      </c>
      <c r="P8198">
        <v>8938.02</v>
      </c>
    </row>
    <row r="8199" spans="1:16" x14ac:dyDescent="0.25">
      <c r="A8199" t="s">
        <v>3296</v>
      </c>
      <c r="B8199" t="s">
        <v>2931</v>
      </c>
      <c r="C8199">
        <v>2789</v>
      </c>
      <c r="D8199" t="str">
        <f>"487         "</f>
        <v xml:space="preserve">487         </v>
      </c>
      <c r="E8199" t="s">
        <v>780</v>
      </c>
      <c r="F8199" t="s">
        <v>781</v>
      </c>
      <c r="G8199">
        <v>8589.9</v>
      </c>
      <c r="H8199">
        <v>250228</v>
      </c>
      <c r="I8199">
        <v>4820</v>
      </c>
      <c r="J8199" t="s">
        <v>169</v>
      </c>
      <c r="K8199">
        <v>8589.9</v>
      </c>
      <c r="L8199">
        <v>1745.36</v>
      </c>
      <c r="M8199">
        <v>18951</v>
      </c>
      <c r="N8199" t="s">
        <v>782</v>
      </c>
      <c r="O8199">
        <v>250312</v>
      </c>
      <c r="P8199">
        <v>6844.54</v>
      </c>
    </row>
    <row r="8200" spans="1:16" x14ac:dyDescent="0.25">
      <c r="A8200" t="s">
        <v>3296</v>
      </c>
      <c r="B8200" t="s">
        <v>2931</v>
      </c>
      <c r="C8200">
        <v>4213</v>
      </c>
      <c r="D8200" t="str">
        <f>"496         "</f>
        <v xml:space="preserve">496         </v>
      </c>
      <c r="E8200" t="s">
        <v>780</v>
      </c>
      <c r="F8200" t="s">
        <v>781</v>
      </c>
      <c r="G8200">
        <v>8589.9</v>
      </c>
      <c r="H8200">
        <v>250327</v>
      </c>
      <c r="I8200">
        <v>4820</v>
      </c>
      <c r="J8200" t="s">
        <v>169</v>
      </c>
      <c r="K8200">
        <v>8589.9</v>
      </c>
      <c r="L8200">
        <v>1745.36</v>
      </c>
      <c r="M8200">
        <v>18951</v>
      </c>
      <c r="N8200" t="s">
        <v>782</v>
      </c>
      <c r="O8200">
        <v>250409</v>
      </c>
      <c r="P8200">
        <v>6844.54</v>
      </c>
    </row>
    <row r="8201" spans="1:16" x14ac:dyDescent="0.25">
      <c r="A8201" t="s">
        <v>3296</v>
      </c>
      <c r="B8201" t="s">
        <v>2931</v>
      </c>
      <c r="C8201">
        <v>4251</v>
      </c>
      <c r="D8201" t="str">
        <f>"495         "</f>
        <v xml:space="preserve">495         </v>
      </c>
      <c r="E8201" t="s">
        <v>780</v>
      </c>
      <c r="F8201" t="s">
        <v>781</v>
      </c>
      <c r="G8201">
        <v>11217.22</v>
      </c>
      <c r="H8201">
        <v>250327</v>
      </c>
      <c r="I8201">
        <v>4820</v>
      </c>
      <c r="J8201" t="s">
        <v>169</v>
      </c>
      <c r="K8201">
        <v>11217.22</v>
      </c>
      <c r="L8201">
        <v>2279.1999999999998</v>
      </c>
      <c r="M8201">
        <v>59503</v>
      </c>
      <c r="N8201" t="s">
        <v>766</v>
      </c>
      <c r="O8201">
        <v>250409</v>
      </c>
      <c r="P8201">
        <v>8938.02</v>
      </c>
    </row>
    <row r="8202" spans="1:16" x14ac:dyDescent="0.25">
      <c r="A8202" t="s">
        <v>3296</v>
      </c>
      <c r="B8202" t="s">
        <v>2931</v>
      </c>
      <c r="C8202">
        <v>5832</v>
      </c>
      <c r="D8202" t="str">
        <f>"504         "</f>
        <v xml:space="preserve">504         </v>
      </c>
      <c r="E8202" t="s">
        <v>780</v>
      </c>
      <c r="F8202" t="s">
        <v>781</v>
      </c>
      <c r="G8202">
        <v>11217.22</v>
      </c>
      <c r="H8202">
        <v>250429</v>
      </c>
      <c r="I8202">
        <v>4820</v>
      </c>
      <c r="J8202" t="s">
        <v>169</v>
      </c>
      <c r="K8202">
        <v>11217.22</v>
      </c>
      <c r="L8202">
        <v>2279.1999999999998</v>
      </c>
      <c r="M8202">
        <v>59503</v>
      </c>
      <c r="N8202" t="s">
        <v>766</v>
      </c>
      <c r="O8202">
        <v>250505</v>
      </c>
      <c r="P8202">
        <v>8938.02</v>
      </c>
    </row>
    <row r="8203" spans="1:16" x14ac:dyDescent="0.25">
      <c r="A8203" t="s">
        <v>3296</v>
      </c>
      <c r="B8203" t="s">
        <v>2931</v>
      </c>
      <c r="C8203">
        <v>6101</v>
      </c>
      <c r="D8203" t="str">
        <f>"503         "</f>
        <v xml:space="preserve">503         </v>
      </c>
      <c r="E8203" t="s">
        <v>780</v>
      </c>
      <c r="F8203" t="s">
        <v>781</v>
      </c>
      <c r="G8203">
        <v>8589.9</v>
      </c>
      <c r="H8203">
        <v>250429</v>
      </c>
      <c r="I8203">
        <v>4820</v>
      </c>
      <c r="J8203" t="s">
        <v>169</v>
      </c>
      <c r="K8203">
        <v>8589.9</v>
      </c>
      <c r="L8203">
        <v>1745.36</v>
      </c>
      <c r="M8203">
        <v>18951</v>
      </c>
      <c r="N8203" t="s">
        <v>782</v>
      </c>
      <c r="O8203">
        <v>250509</v>
      </c>
      <c r="P8203">
        <v>6844.54</v>
      </c>
    </row>
    <row r="8204" spans="1:16" x14ac:dyDescent="0.25">
      <c r="A8204" t="s">
        <v>3296</v>
      </c>
      <c r="B8204" t="s">
        <v>2931</v>
      </c>
      <c r="C8204">
        <v>7723</v>
      </c>
      <c r="D8204" t="str">
        <f>"508         "</f>
        <v xml:space="preserve">508         </v>
      </c>
      <c r="E8204" t="s">
        <v>780</v>
      </c>
      <c r="F8204" t="s">
        <v>781</v>
      </c>
      <c r="G8204">
        <v>11217.22</v>
      </c>
      <c r="H8204">
        <v>250528</v>
      </c>
      <c r="I8204">
        <v>4820</v>
      </c>
      <c r="J8204" t="s">
        <v>169</v>
      </c>
      <c r="K8204">
        <v>11905.29</v>
      </c>
      <c r="L8204">
        <v>2279.1999999999998</v>
      </c>
      <c r="M8204">
        <v>59503</v>
      </c>
      <c r="N8204" t="s">
        <v>766</v>
      </c>
      <c r="O8204">
        <v>250609</v>
      </c>
      <c r="P8204">
        <v>8938.02</v>
      </c>
    </row>
    <row r="8205" spans="1:16" x14ac:dyDescent="0.25">
      <c r="A8205" t="s">
        <v>3296</v>
      </c>
      <c r="B8205" t="s">
        <v>2931</v>
      </c>
      <c r="C8205">
        <v>7724</v>
      </c>
      <c r="D8205" t="str">
        <f>"509         "</f>
        <v xml:space="preserve">509         </v>
      </c>
      <c r="E8205" t="s">
        <v>780</v>
      </c>
      <c r="F8205" t="s">
        <v>781</v>
      </c>
      <c r="G8205">
        <v>8589.9</v>
      </c>
      <c r="H8205">
        <v>250528</v>
      </c>
      <c r="I8205">
        <v>4820</v>
      </c>
      <c r="J8205" t="s">
        <v>169</v>
      </c>
      <c r="K8205">
        <v>8589.9</v>
      </c>
      <c r="L8205">
        <v>1745.36</v>
      </c>
      <c r="M8205">
        <v>18951</v>
      </c>
      <c r="N8205" t="s">
        <v>782</v>
      </c>
      <c r="O8205">
        <v>250609</v>
      </c>
      <c r="P8205">
        <v>6844.54</v>
      </c>
    </row>
    <row r="8206" spans="1:16" x14ac:dyDescent="0.25">
      <c r="A8206" t="s">
        <v>3296</v>
      </c>
      <c r="B8206" t="s">
        <v>2931</v>
      </c>
      <c r="C8206">
        <v>9273</v>
      </c>
      <c r="D8206" t="str">
        <f>"517         "</f>
        <v xml:space="preserve">517         </v>
      </c>
      <c r="E8206" t="s">
        <v>780</v>
      </c>
      <c r="F8206" t="s">
        <v>781</v>
      </c>
      <c r="G8206">
        <v>8589.9</v>
      </c>
      <c r="H8206">
        <v>250630</v>
      </c>
      <c r="I8206">
        <v>4820</v>
      </c>
      <c r="J8206" t="s">
        <v>169</v>
      </c>
      <c r="K8206">
        <v>8589.9</v>
      </c>
      <c r="L8206">
        <v>1745.36</v>
      </c>
      <c r="M8206">
        <v>18951</v>
      </c>
      <c r="N8206" t="s">
        <v>782</v>
      </c>
      <c r="O8206">
        <v>250701</v>
      </c>
      <c r="P8206">
        <v>6844.54</v>
      </c>
    </row>
    <row r="8207" spans="1:16" x14ac:dyDescent="0.25">
      <c r="A8207" t="s">
        <v>3296</v>
      </c>
      <c r="B8207" t="s">
        <v>2931</v>
      </c>
      <c r="C8207">
        <v>9494</v>
      </c>
      <c r="D8207" t="str">
        <f>"518         "</f>
        <v xml:space="preserve">518         </v>
      </c>
      <c r="E8207" t="s">
        <v>780</v>
      </c>
      <c r="F8207" t="s">
        <v>781</v>
      </c>
      <c r="G8207">
        <v>5067.54</v>
      </c>
      <c r="H8207">
        <v>250630</v>
      </c>
      <c r="I8207">
        <v>4820</v>
      </c>
      <c r="J8207" t="s">
        <v>169</v>
      </c>
      <c r="K8207">
        <v>5067.54</v>
      </c>
      <c r="L8207">
        <v>1029.6600000000001</v>
      </c>
      <c r="M8207">
        <v>59503</v>
      </c>
      <c r="N8207" t="s">
        <v>766</v>
      </c>
      <c r="O8207">
        <v>250709</v>
      </c>
      <c r="P8207">
        <v>4037.88</v>
      </c>
    </row>
    <row r="8208" spans="1:16" x14ac:dyDescent="0.25">
      <c r="A8208" t="s">
        <v>3296</v>
      </c>
      <c r="B8208" t="s">
        <v>2931</v>
      </c>
      <c r="C8208">
        <v>9994</v>
      </c>
      <c r="D8208" t="str">
        <f>"521         "</f>
        <v xml:space="preserve">521         </v>
      </c>
      <c r="E8208" t="s">
        <v>780</v>
      </c>
      <c r="F8208" t="s">
        <v>781</v>
      </c>
      <c r="G8208">
        <v>5067.54</v>
      </c>
      <c r="H8208">
        <v>250731</v>
      </c>
      <c r="I8208">
        <v>4820</v>
      </c>
      <c r="J8208" t="s">
        <v>169</v>
      </c>
      <c r="K8208">
        <v>5067.54</v>
      </c>
      <c r="L8208">
        <v>1029.6600000000001</v>
      </c>
      <c r="M8208">
        <v>59503</v>
      </c>
      <c r="N8208" t="s">
        <v>766</v>
      </c>
      <c r="O8208">
        <v>250806</v>
      </c>
      <c r="P8208">
        <v>4037.88</v>
      </c>
    </row>
    <row r="8209" spans="1:16" x14ac:dyDescent="0.25">
      <c r="A8209" t="s">
        <v>3296</v>
      </c>
      <c r="B8209" t="s">
        <v>2931</v>
      </c>
      <c r="C8209">
        <v>11171</v>
      </c>
      <c r="D8209" t="str">
        <f>"543         "</f>
        <v xml:space="preserve">543         </v>
      </c>
      <c r="E8209" t="s">
        <v>780</v>
      </c>
      <c r="F8209" t="s">
        <v>781</v>
      </c>
      <c r="G8209">
        <v>5067.54</v>
      </c>
      <c r="H8209">
        <v>250829</v>
      </c>
      <c r="I8209">
        <v>4820</v>
      </c>
      <c r="J8209" t="s">
        <v>169</v>
      </c>
      <c r="K8209">
        <v>5067.54</v>
      </c>
      <c r="L8209">
        <v>1029.6600000000001</v>
      </c>
      <c r="M8209">
        <v>59503</v>
      </c>
      <c r="N8209" t="s">
        <v>766</v>
      </c>
      <c r="O8209">
        <v>250901</v>
      </c>
      <c r="P8209">
        <v>4037.88</v>
      </c>
    </row>
    <row r="8210" spans="1:16" x14ac:dyDescent="0.25">
      <c r="A8210" t="s">
        <v>3296</v>
      </c>
      <c r="B8210" t="s">
        <v>2931</v>
      </c>
      <c r="C8210">
        <v>11365</v>
      </c>
      <c r="D8210" t="str">
        <f>"548         "</f>
        <v xml:space="preserve">548         </v>
      </c>
      <c r="E8210" t="s">
        <v>780</v>
      </c>
      <c r="F8210" t="s">
        <v>781</v>
      </c>
      <c r="G8210">
        <v>350</v>
      </c>
      <c r="H8210">
        <v>250901</v>
      </c>
      <c r="I8210">
        <v>4820</v>
      </c>
      <c r="J8210" t="s">
        <v>169</v>
      </c>
      <c r="K8210">
        <v>350</v>
      </c>
      <c r="L8210">
        <v>71.12</v>
      </c>
      <c r="M8210">
        <v>11605</v>
      </c>
      <c r="N8210" t="s">
        <v>1066</v>
      </c>
      <c r="O8210">
        <v>250904</v>
      </c>
      <c r="P8210">
        <v>278.88</v>
      </c>
    </row>
    <row r="8211" spans="1:16" x14ac:dyDescent="0.25">
      <c r="A8211" t="s">
        <v>3296</v>
      </c>
      <c r="B8211" t="s">
        <v>2931</v>
      </c>
      <c r="C8211">
        <v>12910</v>
      </c>
      <c r="D8211" t="str">
        <f>"556         "</f>
        <v xml:space="preserve">556         </v>
      </c>
      <c r="E8211" t="s">
        <v>780</v>
      </c>
      <c r="F8211" t="s">
        <v>781</v>
      </c>
      <c r="G8211">
        <v>5067.54</v>
      </c>
      <c r="H8211">
        <v>250930</v>
      </c>
      <c r="I8211">
        <v>4820</v>
      </c>
      <c r="J8211" t="s">
        <v>169</v>
      </c>
      <c r="K8211">
        <v>5067.54</v>
      </c>
      <c r="L8211">
        <v>1029.6600000000001</v>
      </c>
      <c r="M8211">
        <v>59503</v>
      </c>
      <c r="N8211" t="s">
        <v>766</v>
      </c>
      <c r="O8211">
        <v>251001</v>
      </c>
      <c r="P8211">
        <v>4037.88</v>
      </c>
    </row>
    <row r="8212" spans="1:16" x14ac:dyDescent="0.25">
      <c r="A8212" t="s">
        <v>3296</v>
      </c>
      <c r="B8212" t="s">
        <v>2931</v>
      </c>
      <c r="C8212">
        <v>14668</v>
      </c>
      <c r="D8212" t="str">
        <f>"563         "</f>
        <v xml:space="preserve">563         </v>
      </c>
      <c r="E8212" t="s">
        <v>780</v>
      </c>
      <c r="F8212" t="s">
        <v>781</v>
      </c>
      <c r="G8212">
        <v>5067.54</v>
      </c>
      <c r="H8212">
        <v>251031</v>
      </c>
      <c r="I8212">
        <v>4820</v>
      </c>
      <c r="J8212" t="s">
        <v>169</v>
      </c>
      <c r="K8212">
        <v>5067.54</v>
      </c>
      <c r="L8212">
        <v>1029.6600000000001</v>
      </c>
      <c r="M8212">
        <v>59503</v>
      </c>
      <c r="N8212" t="s">
        <v>766</v>
      </c>
      <c r="O8212">
        <v>251105</v>
      </c>
      <c r="P8212">
        <v>4037.88</v>
      </c>
    </row>
    <row r="8213" spans="1:16" x14ac:dyDescent="0.25">
      <c r="A8213" t="s">
        <v>3296</v>
      </c>
      <c r="B8213" t="s">
        <v>2931</v>
      </c>
      <c r="C8213">
        <v>16196</v>
      </c>
      <c r="D8213" t="str">
        <f>"568         "</f>
        <v xml:space="preserve">568         </v>
      </c>
      <c r="E8213" t="s">
        <v>780</v>
      </c>
      <c r="F8213" t="s">
        <v>781</v>
      </c>
      <c r="G8213">
        <v>5067.54</v>
      </c>
      <c r="H8213">
        <v>251130</v>
      </c>
      <c r="I8213">
        <v>4820</v>
      </c>
      <c r="J8213" t="s">
        <v>169</v>
      </c>
      <c r="K8213">
        <v>5067.54</v>
      </c>
      <c r="L8213">
        <v>1029.6600000000001</v>
      </c>
      <c r="M8213">
        <v>59503</v>
      </c>
      <c r="N8213" t="s">
        <v>766</v>
      </c>
      <c r="O8213">
        <v>251204</v>
      </c>
      <c r="P8213">
        <v>4037.88</v>
      </c>
    </row>
    <row r="8214" spans="1:16" x14ac:dyDescent="0.25">
      <c r="A8214" t="s">
        <v>3296</v>
      </c>
      <c r="B8214" t="s">
        <v>2931</v>
      </c>
      <c r="C8214">
        <v>17650</v>
      </c>
      <c r="D8214" t="str">
        <f>"571         "</f>
        <v xml:space="preserve">571         </v>
      </c>
      <c r="E8214" t="s">
        <v>780</v>
      </c>
      <c r="F8214" t="s">
        <v>781</v>
      </c>
      <c r="G8214">
        <v>5576.17</v>
      </c>
      <c r="H8214">
        <v>251218</v>
      </c>
      <c r="I8214">
        <v>4820</v>
      </c>
      <c r="J8214" t="s">
        <v>169</v>
      </c>
      <c r="K8214">
        <v>5576.17</v>
      </c>
      <c r="L8214">
        <v>1133.01</v>
      </c>
      <c r="M8214">
        <v>59503</v>
      </c>
      <c r="N8214" t="s">
        <v>766</v>
      </c>
      <c r="O8214">
        <v>251229</v>
      </c>
      <c r="P8214">
        <v>4443.16</v>
      </c>
    </row>
    <row r="8215" spans="1:16" x14ac:dyDescent="0.25">
      <c r="A8215" t="s">
        <v>3296</v>
      </c>
      <c r="B8215" t="s">
        <v>2931</v>
      </c>
      <c r="C8215">
        <v>2541</v>
      </c>
      <c r="D8215" t="str">
        <f>"1126209     "</f>
        <v xml:space="preserve">1126209     </v>
      </c>
      <c r="E8215" t="s">
        <v>1306</v>
      </c>
      <c r="F8215" t="s">
        <v>1307</v>
      </c>
      <c r="G8215">
        <v>116.46</v>
      </c>
      <c r="H8215">
        <v>250215</v>
      </c>
      <c r="I8215">
        <v>4390</v>
      </c>
      <c r="J8215" t="s">
        <v>232</v>
      </c>
      <c r="K8215">
        <v>116.46</v>
      </c>
      <c r="L8215">
        <v>23.66</v>
      </c>
      <c r="M8215">
        <v>14951</v>
      </c>
      <c r="N8215" t="s">
        <v>186</v>
      </c>
      <c r="O8215">
        <v>250304</v>
      </c>
      <c r="P8215">
        <v>92.8</v>
      </c>
    </row>
    <row r="8216" spans="1:16" x14ac:dyDescent="0.25">
      <c r="A8216" t="s">
        <v>3296</v>
      </c>
      <c r="B8216" t="s">
        <v>2931</v>
      </c>
      <c r="C8216">
        <v>10768</v>
      </c>
      <c r="D8216" t="str">
        <f>"210825      "</f>
        <v xml:space="preserve">210825      </v>
      </c>
      <c r="E8216" t="s">
        <v>3128</v>
      </c>
      <c r="F8216" t="s">
        <v>3129</v>
      </c>
      <c r="G8216">
        <v>150</v>
      </c>
      <c r="H8216">
        <v>250821</v>
      </c>
      <c r="I8216">
        <v>4940</v>
      </c>
      <c r="J8216" t="s">
        <v>250</v>
      </c>
      <c r="K8216">
        <v>150</v>
      </c>
      <c r="L8216">
        <v>0</v>
      </c>
      <c r="M8216">
        <v>11001</v>
      </c>
      <c r="N8216" t="s">
        <v>93</v>
      </c>
      <c r="O8216">
        <v>250822</v>
      </c>
      <c r="P8216">
        <v>150</v>
      </c>
    </row>
    <row r="8217" spans="1:16" x14ac:dyDescent="0.25">
      <c r="A8217" t="s">
        <v>3296</v>
      </c>
      <c r="B8217" t="s">
        <v>2931</v>
      </c>
      <c r="C8217">
        <v>17068</v>
      </c>
      <c r="D8217" t="str">
        <f>"1223839     "</f>
        <v xml:space="preserve">1223839     </v>
      </c>
      <c r="E8217" t="s">
        <v>2720</v>
      </c>
      <c r="F8217" t="s">
        <v>2721</v>
      </c>
      <c r="G8217">
        <v>1042.53</v>
      </c>
      <c r="H8217">
        <v>251211</v>
      </c>
      <c r="I8217">
        <v>4600</v>
      </c>
      <c r="J8217" t="s">
        <v>278</v>
      </c>
      <c r="K8217">
        <v>1042.53</v>
      </c>
      <c r="L8217">
        <v>211.83</v>
      </c>
      <c r="M8217">
        <v>18972</v>
      </c>
      <c r="N8217" t="s">
        <v>39</v>
      </c>
      <c r="O8217">
        <v>251216</v>
      </c>
      <c r="P8217">
        <v>830.7</v>
      </c>
    </row>
    <row r="8218" spans="1:16" x14ac:dyDescent="0.25">
      <c r="A8218" t="s">
        <v>3296</v>
      </c>
      <c r="B8218" t="s">
        <v>2931</v>
      </c>
      <c r="C8218">
        <v>13750</v>
      </c>
      <c r="D8218" t="str">
        <f>"1003541     "</f>
        <v xml:space="preserve">1003541     </v>
      </c>
      <c r="E8218" t="s">
        <v>2443</v>
      </c>
      <c r="F8218" t="s">
        <v>2444</v>
      </c>
      <c r="G8218">
        <v>161.83000000000001</v>
      </c>
      <c r="H8218">
        <v>251009</v>
      </c>
      <c r="I8218">
        <v>4600</v>
      </c>
      <c r="J8218" t="s">
        <v>278</v>
      </c>
      <c r="K8218">
        <v>161.83000000000001</v>
      </c>
      <c r="L8218">
        <v>32.880000000000003</v>
      </c>
      <c r="M8218">
        <v>18972</v>
      </c>
      <c r="N8218" t="s">
        <v>39</v>
      </c>
      <c r="O8218">
        <v>251017</v>
      </c>
      <c r="P8218">
        <v>128.94999999999999</v>
      </c>
    </row>
    <row r="8219" spans="1:16" x14ac:dyDescent="0.25">
      <c r="A8219" t="s">
        <v>3296</v>
      </c>
      <c r="B8219" t="s">
        <v>2931</v>
      </c>
      <c r="C8219">
        <v>11919</v>
      </c>
      <c r="D8219" t="str">
        <f>"12679       "</f>
        <v xml:space="preserve">12679       </v>
      </c>
      <c r="E8219" t="s">
        <v>2298</v>
      </c>
      <c r="F8219" t="s">
        <v>2299</v>
      </c>
      <c r="G8219">
        <v>715.35</v>
      </c>
      <c r="H8219">
        <v>250831</v>
      </c>
      <c r="I8219">
        <v>4380</v>
      </c>
      <c r="J8219" t="s">
        <v>211</v>
      </c>
      <c r="K8219">
        <v>715.35</v>
      </c>
      <c r="L8219">
        <v>145.35</v>
      </c>
      <c r="M8219">
        <v>13841</v>
      </c>
      <c r="N8219" t="s">
        <v>178</v>
      </c>
      <c r="O8219">
        <v>250912</v>
      </c>
      <c r="P8219">
        <v>570</v>
      </c>
    </row>
    <row r="8220" spans="1:16" x14ac:dyDescent="0.25">
      <c r="A8220" t="s">
        <v>3296</v>
      </c>
      <c r="B8220" t="s">
        <v>2931</v>
      </c>
      <c r="C8220">
        <v>13360</v>
      </c>
      <c r="D8220" t="str">
        <f>"12719       "</f>
        <v xml:space="preserve">12719       </v>
      </c>
      <c r="E8220" t="s">
        <v>2298</v>
      </c>
      <c r="F8220" t="s">
        <v>2299</v>
      </c>
      <c r="G8220">
        <v>715.35</v>
      </c>
      <c r="H8220">
        <v>250930</v>
      </c>
      <c r="I8220">
        <v>4380</v>
      </c>
      <c r="J8220" t="s">
        <v>211</v>
      </c>
      <c r="K8220">
        <v>715.35</v>
      </c>
      <c r="L8220">
        <v>145.35</v>
      </c>
      <c r="M8220">
        <v>13841</v>
      </c>
      <c r="N8220" t="s">
        <v>178</v>
      </c>
      <c r="O8220">
        <v>251008</v>
      </c>
      <c r="P8220">
        <v>570</v>
      </c>
    </row>
    <row r="8221" spans="1:16" x14ac:dyDescent="0.25">
      <c r="A8221" t="s">
        <v>3296</v>
      </c>
      <c r="B8221" t="s">
        <v>2931</v>
      </c>
      <c r="C8221">
        <v>14948</v>
      </c>
      <c r="D8221" t="str">
        <f>"12777       "</f>
        <v xml:space="preserve">12777       </v>
      </c>
      <c r="E8221" t="s">
        <v>2298</v>
      </c>
      <c r="F8221" t="s">
        <v>2299</v>
      </c>
      <c r="G8221">
        <v>715.35</v>
      </c>
      <c r="H8221">
        <v>251031</v>
      </c>
      <c r="I8221">
        <v>4380</v>
      </c>
      <c r="J8221" t="s">
        <v>211</v>
      </c>
      <c r="K8221">
        <v>715.35</v>
      </c>
      <c r="L8221">
        <v>145.35</v>
      </c>
      <c r="M8221">
        <v>13841</v>
      </c>
      <c r="N8221" t="s">
        <v>178</v>
      </c>
      <c r="O8221">
        <v>251110</v>
      </c>
      <c r="P8221">
        <v>570</v>
      </c>
    </row>
    <row r="8222" spans="1:16" x14ac:dyDescent="0.25">
      <c r="A8222" t="s">
        <v>3296</v>
      </c>
      <c r="B8222" t="s">
        <v>2931</v>
      </c>
      <c r="C8222">
        <v>16246</v>
      </c>
      <c r="D8222" t="str">
        <f>"12834       "</f>
        <v xml:space="preserve">12834       </v>
      </c>
      <c r="E8222" t="s">
        <v>2298</v>
      </c>
      <c r="F8222" t="s">
        <v>2299</v>
      </c>
      <c r="G8222">
        <v>715.35</v>
      </c>
      <c r="H8222">
        <v>251130</v>
      </c>
      <c r="I8222">
        <v>4380</v>
      </c>
      <c r="J8222" t="s">
        <v>211</v>
      </c>
      <c r="K8222">
        <v>715.35</v>
      </c>
      <c r="L8222">
        <v>145.35</v>
      </c>
      <c r="M8222">
        <v>13841</v>
      </c>
      <c r="N8222" t="s">
        <v>178</v>
      </c>
      <c r="O8222">
        <v>251205</v>
      </c>
      <c r="P8222">
        <v>570</v>
      </c>
    </row>
    <row r="8223" spans="1:16" x14ac:dyDescent="0.25">
      <c r="A8223" t="s">
        <v>3296</v>
      </c>
      <c r="B8223" t="s">
        <v>2931</v>
      </c>
      <c r="C8223">
        <v>18127</v>
      </c>
      <c r="D8223" t="str">
        <f>"12892       "</f>
        <v xml:space="preserve">12892       </v>
      </c>
      <c r="E8223" t="s">
        <v>2298</v>
      </c>
      <c r="F8223" t="s">
        <v>2299</v>
      </c>
      <c r="G8223">
        <v>715.35</v>
      </c>
      <c r="H8223">
        <v>251231</v>
      </c>
      <c r="I8223">
        <v>4380</v>
      </c>
      <c r="J8223" t="s">
        <v>211</v>
      </c>
      <c r="K8223">
        <v>715.35</v>
      </c>
      <c r="L8223">
        <v>145.35</v>
      </c>
      <c r="M8223">
        <v>13841</v>
      </c>
      <c r="N8223" t="s">
        <v>178</v>
      </c>
      <c r="O8223">
        <v>260109</v>
      </c>
      <c r="P8223">
        <v>570</v>
      </c>
    </row>
    <row r="8224" spans="1:16" x14ac:dyDescent="0.25">
      <c r="A8224" t="s">
        <v>3296</v>
      </c>
      <c r="B8224" t="s">
        <v>2931</v>
      </c>
      <c r="C8224">
        <v>3280</v>
      </c>
      <c r="D8224" t="str">
        <f>"1629        "</f>
        <v xml:space="preserve">1629        </v>
      </c>
      <c r="E8224" t="s">
        <v>1405</v>
      </c>
      <c r="F8224" t="s">
        <v>1406</v>
      </c>
      <c r="G8224">
        <v>1034</v>
      </c>
      <c r="H8224">
        <v>250306</v>
      </c>
      <c r="I8224">
        <v>4420</v>
      </c>
      <c r="J8224" t="s">
        <v>330</v>
      </c>
      <c r="K8224">
        <v>1034</v>
      </c>
      <c r="L8224">
        <v>0</v>
      </c>
      <c r="M8224">
        <v>13501</v>
      </c>
      <c r="N8224" t="s">
        <v>66</v>
      </c>
      <c r="O8224">
        <v>250318</v>
      </c>
      <c r="P8224">
        <v>1034</v>
      </c>
    </row>
    <row r="8225" spans="1:16" x14ac:dyDescent="0.25">
      <c r="A8225" t="s">
        <v>3296</v>
      </c>
      <c r="B8225" t="s">
        <v>2931</v>
      </c>
      <c r="C8225">
        <v>11065</v>
      </c>
      <c r="D8225" t="str">
        <f>"1796        "</f>
        <v xml:space="preserve">1796        </v>
      </c>
      <c r="E8225" t="s">
        <v>1405</v>
      </c>
      <c r="F8225" t="s">
        <v>1406</v>
      </c>
      <c r="G8225">
        <v>340</v>
      </c>
      <c r="H8225">
        <v>250826</v>
      </c>
      <c r="I8225">
        <v>4420</v>
      </c>
      <c r="J8225" t="s">
        <v>330</v>
      </c>
      <c r="K8225">
        <v>340</v>
      </c>
      <c r="L8225">
        <v>0</v>
      </c>
      <c r="M8225">
        <v>13501</v>
      </c>
      <c r="N8225" t="s">
        <v>66</v>
      </c>
      <c r="O8225">
        <v>250829</v>
      </c>
      <c r="P8225">
        <v>340</v>
      </c>
    </row>
    <row r="8226" spans="1:16" x14ac:dyDescent="0.25">
      <c r="A8226" t="s">
        <v>3296</v>
      </c>
      <c r="B8226" t="s">
        <v>2931</v>
      </c>
      <c r="C8226">
        <v>17973</v>
      </c>
      <c r="D8226" t="str">
        <f>"3938        "</f>
        <v xml:space="preserve">3938        </v>
      </c>
      <c r="E8226" t="s">
        <v>2791</v>
      </c>
      <c r="F8226" t="s">
        <v>2792</v>
      </c>
      <c r="G8226">
        <v>97.27</v>
      </c>
      <c r="H8226">
        <v>251230</v>
      </c>
      <c r="I8226">
        <v>4600</v>
      </c>
      <c r="J8226" t="s">
        <v>278</v>
      </c>
      <c r="K8226">
        <v>194.53</v>
      </c>
      <c r="L8226">
        <v>19.760000000000002</v>
      </c>
      <c r="M8226">
        <v>17525</v>
      </c>
      <c r="N8226" t="s">
        <v>140</v>
      </c>
      <c r="O8226">
        <v>260107</v>
      </c>
      <c r="P8226">
        <v>77.510000000000005</v>
      </c>
    </row>
    <row r="8227" spans="1:16" x14ac:dyDescent="0.25">
      <c r="A8227" t="s">
        <v>3296</v>
      </c>
      <c r="B8227" t="s">
        <v>2931</v>
      </c>
      <c r="C8227">
        <v>17973</v>
      </c>
      <c r="D8227" t="str">
        <f>"3938        "</f>
        <v xml:space="preserve">3938        </v>
      </c>
      <c r="E8227" t="s">
        <v>2791</v>
      </c>
      <c r="F8227" t="s">
        <v>2792</v>
      </c>
      <c r="G8227">
        <v>97.26</v>
      </c>
      <c r="H8227">
        <v>251230</v>
      </c>
      <c r="I8227">
        <v>4600</v>
      </c>
      <c r="J8227" t="s">
        <v>278</v>
      </c>
      <c r="K8227">
        <v>194.53</v>
      </c>
      <c r="L8227">
        <v>19.760000000000002</v>
      </c>
      <c r="M8227">
        <v>17529</v>
      </c>
      <c r="N8227" t="s">
        <v>143</v>
      </c>
      <c r="O8227">
        <v>260107</v>
      </c>
      <c r="P8227">
        <v>77.5</v>
      </c>
    </row>
    <row r="8228" spans="1:16" x14ac:dyDescent="0.25">
      <c r="A8228" t="s">
        <v>3296</v>
      </c>
      <c r="B8228" t="s">
        <v>2931</v>
      </c>
      <c r="C8228">
        <v>4218</v>
      </c>
      <c r="D8228" t="str">
        <f>"257823      "</f>
        <v xml:space="preserve">257823      </v>
      </c>
      <c r="E8228" t="s">
        <v>1596</v>
      </c>
      <c r="F8228" t="s">
        <v>1597</v>
      </c>
      <c r="G8228">
        <v>8482.9500000000007</v>
      </c>
      <c r="H8228">
        <v>250311</v>
      </c>
      <c r="I8228">
        <v>4554</v>
      </c>
      <c r="J8228" t="s">
        <v>351</v>
      </c>
      <c r="K8228">
        <v>8482.9500000000007</v>
      </c>
      <c r="L8228">
        <v>1041.77</v>
      </c>
      <c r="M8228">
        <v>17737</v>
      </c>
      <c r="N8228" t="s">
        <v>156</v>
      </c>
      <c r="O8228">
        <v>250409</v>
      </c>
      <c r="P8228">
        <v>7441.18</v>
      </c>
    </row>
    <row r="8229" spans="1:16" x14ac:dyDescent="0.25">
      <c r="A8229" t="s">
        <v>3296</v>
      </c>
      <c r="B8229" t="s">
        <v>2931</v>
      </c>
      <c r="C8229">
        <v>13873</v>
      </c>
      <c r="D8229" t="str">
        <f>"29841       "</f>
        <v xml:space="preserve">29841       </v>
      </c>
      <c r="E8229" t="s">
        <v>2456</v>
      </c>
      <c r="F8229" t="s">
        <v>2457</v>
      </c>
      <c r="G8229">
        <v>1204.8</v>
      </c>
      <c r="H8229">
        <v>251014</v>
      </c>
      <c r="I8229">
        <v>4350</v>
      </c>
      <c r="J8229" t="s">
        <v>290</v>
      </c>
      <c r="K8229">
        <v>1204.8</v>
      </c>
      <c r="L8229">
        <v>244.8</v>
      </c>
      <c r="M8229">
        <v>17538</v>
      </c>
      <c r="N8229" t="s">
        <v>129</v>
      </c>
      <c r="O8229">
        <v>251020</v>
      </c>
      <c r="P8229">
        <v>960</v>
      </c>
    </row>
    <row r="8230" spans="1:16" x14ac:dyDescent="0.25">
      <c r="A8230" t="s">
        <v>3296</v>
      </c>
      <c r="B8230" t="s">
        <v>2931</v>
      </c>
      <c r="C8230">
        <v>8757</v>
      </c>
      <c r="D8230" t="str">
        <f>"31504       "</f>
        <v xml:space="preserve">31504       </v>
      </c>
      <c r="E8230" t="s">
        <v>2050</v>
      </c>
      <c r="F8230" t="s">
        <v>2051</v>
      </c>
      <c r="G8230">
        <v>213.35</v>
      </c>
      <c r="H8230">
        <v>250609</v>
      </c>
      <c r="I8230">
        <v>4600</v>
      </c>
      <c r="J8230" t="s">
        <v>278</v>
      </c>
      <c r="K8230">
        <v>213.35</v>
      </c>
      <c r="L8230">
        <v>43.35</v>
      </c>
      <c r="M8230">
        <v>13901</v>
      </c>
      <c r="N8230" t="s">
        <v>116</v>
      </c>
      <c r="O8230">
        <v>250618</v>
      </c>
      <c r="P8230">
        <v>170</v>
      </c>
    </row>
    <row r="8231" spans="1:16" x14ac:dyDescent="0.25">
      <c r="A8231" t="s">
        <v>3296</v>
      </c>
      <c r="B8231" t="s">
        <v>2931</v>
      </c>
      <c r="C8231">
        <v>4810</v>
      </c>
      <c r="D8231" t="str">
        <f>"43683       "</f>
        <v xml:space="preserve">43683       </v>
      </c>
      <c r="E8231" t="s">
        <v>1661</v>
      </c>
      <c r="F8231" t="s">
        <v>1662</v>
      </c>
      <c r="G8231">
        <v>269.39</v>
      </c>
      <c r="H8231">
        <v>250404</v>
      </c>
      <c r="I8231">
        <v>4600</v>
      </c>
      <c r="J8231" t="s">
        <v>278</v>
      </c>
      <c r="K8231">
        <v>269.39</v>
      </c>
      <c r="L8231">
        <v>54.74</v>
      </c>
      <c r="M8231">
        <v>17526</v>
      </c>
      <c r="N8231" t="s">
        <v>141</v>
      </c>
      <c r="O8231">
        <v>250415</v>
      </c>
      <c r="P8231">
        <v>214.65</v>
      </c>
    </row>
    <row r="8232" spans="1:16" x14ac:dyDescent="0.25">
      <c r="A8232" t="s">
        <v>3296</v>
      </c>
      <c r="B8232" t="s">
        <v>2931</v>
      </c>
      <c r="C8232">
        <v>13785</v>
      </c>
      <c r="D8232" t="str">
        <f t="shared" ref="D8232:D8237" si="150">"8360969     "</f>
        <v xml:space="preserve">8360969     </v>
      </c>
      <c r="E8232" t="s">
        <v>2255</v>
      </c>
      <c r="F8232" t="s">
        <v>2256</v>
      </c>
      <c r="G8232">
        <v>5.09</v>
      </c>
      <c r="H8232">
        <v>251008</v>
      </c>
      <c r="I8232">
        <v>4520</v>
      </c>
      <c r="J8232" t="s">
        <v>280</v>
      </c>
      <c r="K8232">
        <v>509.34</v>
      </c>
      <c r="L8232">
        <v>1.03</v>
      </c>
      <c r="M8232">
        <v>14422</v>
      </c>
      <c r="N8232" t="s">
        <v>73</v>
      </c>
      <c r="O8232">
        <v>251020</v>
      </c>
      <c r="P8232">
        <v>4.0599999999999996</v>
      </c>
    </row>
    <row r="8233" spans="1:16" x14ac:dyDescent="0.25">
      <c r="A8233" t="s">
        <v>3296</v>
      </c>
      <c r="B8233" t="s">
        <v>2931</v>
      </c>
      <c r="C8233">
        <v>13785</v>
      </c>
      <c r="D8233" t="str">
        <f t="shared" si="150"/>
        <v xml:space="preserve">8360969     </v>
      </c>
      <c r="E8233" t="s">
        <v>2255</v>
      </c>
      <c r="F8233" t="s">
        <v>2256</v>
      </c>
      <c r="G8233">
        <v>20.37</v>
      </c>
      <c r="H8233">
        <v>251008</v>
      </c>
      <c r="I8233">
        <v>4520</v>
      </c>
      <c r="J8233" t="s">
        <v>280</v>
      </c>
      <c r="K8233">
        <v>509.34</v>
      </c>
      <c r="L8233">
        <v>4.1399999999999997</v>
      </c>
      <c r="M8233">
        <v>14431</v>
      </c>
      <c r="N8233" t="s">
        <v>74</v>
      </c>
      <c r="O8233">
        <v>251020</v>
      </c>
      <c r="P8233">
        <v>16.23</v>
      </c>
    </row>
    <row r="8234" spans="1:16" x14ac:dyDescent="0.25">
      <c r="A8234" t="s">
        <v>3296</v>
      </c>
      <c r="B8234" t="s">
        <v>2931</v>
      </c>
      <c r="C8234">
        <v>13785</v>
      </c>
      <c r="D8234" t="str">
        <f t="shared" si="150"/>
        <v xml:space="preserve">8360969     </v>
      </c>
      <c r="E8234" t="s">
        <v>2255</v>
      </c>
      <c r="F8234" t="s">
        <v>2256</v>
      </c>
      <c r="G8234">
        <v>86.59</v>
      </c>
      <c r="H8234">
        <v>251008</v>
      </c>
      <c r="I8234">
        <v>4520</v>
      </c>
      <c r="J8234" t="s">
        <v>280</v>
      </c>
      <c r="K8234">
        <v>509.34</v>
      </c>
      <c r="L8234">
        <v>17.59</v>
      </c>
      <c r="M8234">
        <v>14432</v>
      </c>
      <c r="N8234" t="s">
        <v>75</v>
      </c>
      <c r="O8234">
        <v>251020</v>
      </c>
      <c r="P8234">
        <v>69</v>
      </c>
    </row>
    <row r="8235" spans="1:16" x14ac:dyDescent="0.25">
      <c r="A8235" t="s">
        <v>3296</v>
      </c>
      <c r="B8235" t="s">
        <v>2931</v>
      </c>
      <c r="C8235">
        <v>13785</v>
      </c>
      <c r="D8235" t="str">
        <f t="shared" si="150"/>
        <v xml:space="preserve">8360969     </v>
      </c>
      <c r="E8235" t="s">
        <v>2255</v>
      </c>
      <c r="F8235" t="s">
        <v>2256</v>
      </c>
      <c r="G8235">
        <v>5.0999999999999996</v>
      </c>
      <c r="H8235">
        <v>251008</v>
      </c>
      <c r="I8235">
        <v>4520</v>
      </c>
      <c r="J8235" t="s">
        <v>280</v>
      </c>
      <c r="K8235">
        <v>509.34</v>
      </c>
      <c r="L8235">
        <v>1.04</v>
      </c>
      <c r="M8235">
        <v>14640</v>
      </c>
      <c r="N8235" t="s">
        <v>78</v>
      </c>
      <c r="O8235">
        <v>251020</v>
      </c>
      <c r="P8235">
        <v>4.0599999999999996</v>
      </c>
    </row>
    <row r="8236" spans="1:16" x14ac:dyDescent="0.25">
      <c r="A8236" t="s">
        <v>3296</v>
      </c>
      <c r="B8236" t="s">
        <v>2931</v>
      </c>
      <c r="C8236">
        <v>13785</v>
      </c>
      <c r="D8236" t="str">
        <f t="shared" si="150"/>
        <v xml:space="preserve">8360969     </v>
      </c>
      <c r="E8236" t="s">
        <v>2255</v>
      </c>
      <c r="F8236" t="s">
        <v>2256</v>
      </c>
      <c r="G8236">
        <v>20.37</v>
      </c>
      <c r="H8236">
        <v>251008</v>
      </c>
      <c r="I8236">
        <v>4520</v>
      </c>
      <c r="J8236" t="s">
        <v>280</v>
      </c>
      <c r="K8236">
        <v>509.34</v>
      </c>
      <c r="L8236">
        <v>4.1399999999999997</v>
      </c>
      <c r="M8236">
        <v>14642</v>
      </c>
      <c r="N8236" t="s">
        <v>283</v>
      </c>
      <c r="O8236">
        <v>251020</v>
      </c>
      <c r="P8236">
        <v>16.23</v>
      </c>
    </row>
    <row r="8237" spans="1:16" x14ac:dyDescent="0.25">
      <c r="A8237" t="s">
        <v>3296</v>
      </c>
      <c r="B8237" t="s">
        <v>2931</v>
      </c>
      <c r="C8237">
        <v>13785</v>
      </c>
      <c r="D8237" t="str">
        <f t="shared" si="150"/>
        <v xml:space="preserve">8360969     </v>
      </c>
      <c r="E8237" t="s">
        <v>2255</v>
      </c>
      <c r="F8237" t="s">
        <v>2256</v>
      </c>
      <c r="G8237">
        <v>371.82</v>
      </c>
      <c r="H8237">
        <v>251008</v>
      </c>
      <c r="I8237">
        <v>4520</v>
      </c>
      <c r="J8237" t="s">
        <v>280</v>
      </c>
      <c r="K8237">
        <v>509.34</v>
      </c>
      <c r="L8237">
        <v>75.55</v>
      </c>
      <c r="M8237">
        <v>14912</v>
      </c>
      <c r="N8237" t="s">
        <v>80</v>
      </c>
      <c r="O8237">
        <v>251020</v>
      </c>
      <c r="P8237">
        <v>296.27</v>
      </c>
    </row>
    <row r="8238" spans="1:16" x14ac:dyDescent="0.25">
      <c r="A8238" t="s">
        <v>3296</v>
      </c>
      <c r="B8238" t="s">
        <v>2931</v>
      </c>
      <c r="C8238">
        <v>11156</v>
      </c>
      <c r="D8238" t="str">
        <f>"8359037     "</f>
        <v xml:space="preserve">8359037     </v>
      </c>
      <c r="E8238" t="s">
        <v>2255</v>
      </c>
      <c r="F8238" t="s">
        <v>2256</v>
      </c>
      <c r="G8238">
        <v>227.76</v>
      </c>
      <c r="H8238">
        <v>250827</v>
      </c>
      <c r="I8238">
        <v>4600</v>
      </c>
      <c r="J8238" t="s">
        <v>278</v>
      </c>
      <c r="K8238">
        <v>227.76</v>
      </c>
      <c r="L8238">
        <v>46.28</v>
      </c>
      <c r="M8238">
        <v>56563</v>
      </c>
      <c r="N8238" t="s">
        <v>55</v>
      </c>
      <c r="O8238">
        <v>250901</v>
      </c>
      <c r="P8238">
        <v>181.48</v>
      </c>
    </row>
    <row r="8239" spans="1:16" x14ac:dyDescent="0.25">
      <c r="A8239" t="s">
        <v>3296</v>
      </c>
      <c r="B8239" t="s">
        <v>2931</v>
      </c>
      <c r="C8239">
        <v>6453</v>
      </c>
      <c r="D8239" t="str">
        <f>"0029750     "</f>
        <v xml:space="preserve">0029750     </v>
      </c>
      <c r="E8239" t="s">
        <v>3245</v>
      </c>
      <c r="F8239" t="s">
        <v>3246</v>
      </c>
      <c r="G8239">
        <v>1794</v>
      </c>
      <c r="H8239">
        <v>250422</v>
      </c>
      <c r="I8239">
        <v>1198</v>
      </c>
      <c r="J8239" t="s">
        <v>610</v>
      </c>
      <c r="K8239">
        <v>1794</v>
      </c>
      <c r="L8239">
        <v>0</v>
      </c>
      <c r="M8239">
        <v>97629</v>
      </c>
      <c r="N8239" t="s">
        <v>1110</v>
      </c>
      <c r="O8239">
        <v>250513</v>
      </c>
      <c r="P8239">
        <v>1794</v>
      </c>
    </row>
    <row r="8240" spans="1:16" x14ac:dyDescent="0.25">
      <c r="A8240" t="s">
        <v>3296</v>
      </c>
      <c r="B8240" t="s">
        <v>2931</v>
      </c>
      <c r="C8240">
        <v>6734</v>
      </c>
      <c r="D8240" t="str">
        <f>"0029804     "</f>
        <v xml:space="preserve">0029804     </v>
      </c>
      <c r="E8240" t="s">
        <v>3245</v>
      </c>
      <c r="F8240" t="s">
        <v>3246</v>
      </c>
      <c r="G8240">
        <v>64584</v>
      </c>
      <c r="H8240">
        <v>250430</v>
      </c>
      <c r="I8240">
        <v>1198</v>
      </c>
      <c r="J8240" t="s">
        <v>610</v>
      </c>
      <c r="K8240">
        <v>64584</v>
      </c>
      <c r="L8240">
        <v>0</v>
      </c>
      <c r="M8240">
        <v>97629</v>
      </c>
      <c r="N8240" t="s">
        <v>1110</v>
      </c>
      <c r="O8240">
        <v>250516</v>
      </c>
      <c r="P8240">
        <v>64584</v>
      </c>
    </row>
    <row r="8241" spans="1:16" x14ac:dyDescent="0.25">
      <c r="A8241" t="s">
        <v>3296</v>
      </c>
      <c r="B8241" t="s">
        <v>2931</v>
      </c>
      <c r="C8241">
        <v>12022</v>
      </c>
      <c r="D8241" t="str">
        <f>"0030537     "</f>
        <v xml:space="preserve">0030537     </v>
      </c>
      <c r="E8241" t="s">
        <v>3245</v>
      </c>
      <c r="F8241" t="s">
        <v>3246</v>
      </c>
      <c r="G8241">
        <v>74</v>
      </c>
      <c r="H8241">
        <v>250827</v>
      </c>
      <c r="I8241">
        <v>1198</v>
      </c>
      <c r="J8241" t="s">
        <v>610</v>
      </c>
      <c r="K8241">
        <v>74</v>
      </c>
      <c r="L8241">
        <v>0</v>
      </c>
      <c r="M8241">
        <v>97629</v>
      </c>
      <c r="N8241" t="s">
        <v>1110</v>
      </c>
      <c r="O8241">
        <v>250915</v>
      </c>
      <c r="P8241">
        <v>74</v>
      </c>
    </row>
    <row r="8242" spans="1:16" x14ac:dyDescent="0.25">
      <c r="A8242" t="s">
        <v>3296</v>
      </c>
      <c r="B8242" t="s">
        <v>2931</v>
      </c>
      <c r="C8242">
        <v>2345</v>
      </c>
      <c r="D8242" t="str">
        <f>"433719      "</f>
        <v xml:space="preserve">433719      </v>
      </c>
      <c r="E8242" t="s">
        <v>1247</v>
      </c>
      <c r="F8242" t="s">
        <v>1248</v>
      </c>
      <c r="G8242">
        <v>356.87</v>
      </c>
      <c r="H8242">
        <v>250220</v>
      </c>
      <c r="I8242">
        <v>4520</v>
      </c>
      <c r="J8242" t="s">
        <v>280</v>
      </c>
      <c r="K8242">
        <v>356.87</v>
      </c>
      <c r="L8242">
        <v>43.83</v>
      </c>
      <c r="M8242">
        <v>54422</v>
      </c>
      <c r="N8242" t="s">
        <v>49</v>
      </c>
      <c r="O8242">
        <v>250224</v>
      </c>
      <c r="P8242">
        <v>313.04000000000002</v>
      </c>
    </row>
    <row r="8243" spans="1:16" x14ac:dyDescent="0.25">
      <c r="A8243" t="s">
        <v>3296</v>
      </c>
      <c r="B8243" t="s">
        <v>2931</v>
      </c>
      <c r="C8243">
        <v>7311</v>
      </c>
      <c r="D8243" t="str">
        <f>"439093      "</f>
        <v xml:space="preserve">439093      </v>
      </c>
      <c r="E8243" t="s">
        <v>1247</v>
      </c>
      <c r="F8243" t="s">
        <v>1248</v>
      </c>
      <c r="G8243">
        <v>246.5</v>
      </c>
      <c r="H8243">
        <v>250520</v>
      </c>
      <c r="I8243">
        <v>4520</v>
      </c>
      <c r="J8243" t="s">
        <v>280</v>
      </c>
      <c r="K8243">
        <v>246.5</v>
      </c>
      <c r="L8243">
        <v>30.27</v>
      </c>
      <c r="M8243">
        <v>54451</v>
      </c>
      <c r="N8243" t="s">
        <v>218</v>
      </c>
      <c r="O8243">
        <v>250603</v>
      </c>
      <c r="P8243">
        <v>216.23</v>
      </c>
    </row>
    <row r="8244" spans="1:16" x14ac:dyDescent="0.25">
      <c r="A8244" t="s">
        <v>3296</v>
      </c>
      <c r="B8244" t="s">
        <v>2931</v>
      </c>
      <c r="C8244">
        <v>12013</v>
      </c>
      <c r="D8244" t="str">
        <f>"447145      "</f>
        <v xml:space="preserve">447145      </v>
      </c>
      <c r="E8244" t="s">
        <v>1247</v>
      </c>
      <c r="F8244" t="s">
        <v>1248</v>
      </c>
      <c r="G8244">
        <v>75</v>
      </c>
      <c r="H8244">
        <v>250910</v>
      </c>
      <c r="I8244">
        <v>4520</v>
      </c>
      <c r="J8244" t="s">
        <v>280</v>
      </c>
      <c r="K8244">
        <v>75</v>
      </c>
      <c r="L8244">
        <v>9.2100000000000009</v>
      </c>
      <c r="M8244">
        <v>59113</v>
      </c>
      <c r="N8244" t="s">
        <v>61</v>
      </c>
      <c r="O8244">
        <v>250915</v>
      </c>
      <c r="P8244">
        <v>65.790000000000006</v>
      </c>
    </row>
    <row r="8245" spans="1:16" x14ac:dyDescent="0.25">
      <c r="A8245" t="s">
        <v>3296</v>
      </c>
      <c r="B8245" t="s">
        <v>2931</v>
      </c>
      <c r="C8245">
        <v>16625</v>
      </c>
      <c r="D8245" t="str">
        <f>"452698      "</f>
        <v xml:space="preserve">452698      </v>
      </c>
      <c r="E8245" t="s">
        <v>1247</v>
      </c>
      <c r="F8245" t="s">
        <v>1248</v>
      </c>
      <c r="G8245">
        <v>100</v>
      </c>
      <c r="H8245">
        <v>251130</v>
      </c>
      <c r="I8245">
        <v>4520</v>
      </c>
      <c r="J8245" t="s">
        <v>280</v>
      </c>
      <c r="K8245">
        <v>100</v>
      </c>
      <c r="L8245">
        <v>12.28</v>
      </c>
      <c r="M8245">
        <v>65222</v>
      </c>
      <c r="N8245" t="s">
        <v>87</v>
      </c>
      <c r="O8245">
        <v>251211</v>
      </c>
      <c r="P8245">
        <v>87.72</v>
      </c>
    </row>
    <row r="8246" spans="1:16" x14ac:dyDescent="0.25">
      <c r="A8246" t="s">
        <v>3296</v>
      </c>
      <c r="B8246" t="s">
        <v>2931</v>
      </c>
      <c r="C8246">
        <v>17661</v>
      </c>
      <c r="D8246" t="str">
        <f>"454759      "</f>
        <v xml:space="preserve">454759      </v>
      </c>
      <c r="E8246" t="s">
        <v>1247</v>
      </c>
      <c r="F8246" t="s">
        <v>1248</v>
      </c>
      <c r="G8246">
        <v>127.37</v>
      </c>
      <c r="H8246">
        <v>251220</v>
      </c>
      <c r="I8246">
        <v>4520</v>
      </c>
      <c r="J8246" t="s">
        <v>280</v>
      </c>
      <c r="K8246">
        <v>127.37</v>
      </c>
      <c r="L8246">
        <v>15.64</v>
      </c>
      <c r="M8246">
        <v>59113</v>
      </c>
      <c r="N8246" t="s">
        <v>61</v>
      </c>
      <c r="O8246">
        <v>251229</v>
      </c>
      <c r="P8246">
        <v>111.73</v>
      </c>
    </row>
    <row r="8247" spans="1:16" x14ac:dyDescent="0.25">
      <c r="A8247" t="s">
        <v>3296</v>
      </c>
      <c r="B8247" t="s">
        <v>2931</v>
      </c>
      <c r="C8247">
        <v>16361</v>
      </c>
      <c r="D8247" t="str">
        <f>"1377937     "</f>
        <v xml:space="preserve">1377937     </v>
      </c>
      <c r="E8247" t="s">
        <v>353</v>
      </c>
      <c r="F8247" t="s">
        <v>355</v>
      </c>
      <c r="G8247">
        <v>21.75</v>
      </c>
      <c r="H8247">
        <v>251130</v>
      </c>
      <c r="I8247">
        <v>4400</v>
      </c>
      <c r="J8247" t="s">
        <v>162</v>
      </c>
      <c r="K8247">
        <v>21.75</v>
      </c>
      <c r="L8247">
        <v>4.42</v>
      </c>
      <c r="M8247">
        <v>59501</v>
      </c>
      <c r="N8247" t="s">
        <v>62</v>
      </c>
      <c r="O8247">
        <v>251208</v>
      </c>
      <c r="P8247">
        <v>17.329999999999998</v>
      </c>
    </row>
    <row r="8248" spans="1:16" x14ac:dyDescent="0.25">
      <c r="A8248" t="s">
        <v>3296</v>
      </c>
      <c r="B8248" t="s">
        <v>2931</v>
      </c>
      <c r="C8248">
        <v>16363</v>
      </c>
      <c r="D8248" t="str">
        <f>"1377944     "</f>
        <v xml:space="preserve">1377944     </v>
      </c>
      <c r="E8248" t="s">
        <v>353</v>
      </c>
      <c r="F8248" t="s">
        <v>355</v>
      </c>
      <c r="G8248">
        <v>38</v>
      </c>
      <c r="H8248">
        <v>251130</v>
      </c>
      <c r="I8248">
        <v>4400</v>
      </c>
      <c r="J8248" t="s">
        <v>162</v>
      </c>
      <c r="K8248">
        <v>38</v>
      </c>
      <c r="L8248">
        <v>7.72</v>
      </c>
      <c r="M8248">
        <v>59501</v>
      </c>
      <c r="N8248" t="s">
        <v>62</v>
      </c>
      <c r="O8248">
        <v>251208</v>
      </c>
      <c r="P8248">
        <v>30.28</v>
      </c>
    </row>
    <row r="8249" spans="1:16" x14ac:dyDescent="0.25">
      <c r="A8249" t="s">
        <v>3296</v>
      </c>
      <c r="B8249" t="s">
        <v>2931</v>
      </c>
      <c r="C8249">
        <v>9581</v>
      </c>
      <c r="D8249" t="str">
        <f>"1364957     "</f>
        <v xml:space="preserve">1364957     </v>
      </c>
      <c r="E8249" t="s">
        <v>353</v>
      </c>
      <c r="F8249" t="s">
        <v>355</v>
      </c>
      <c r="G8249">
        <v>25.2</v>
      </c>
      <c r="H8249">
        <v>250630</v>
      </c>
      <c r="I8249">
        <v>4470</v>
      </c>
      <c r="J8249" t="s">
        <v>203</v>
      </c>
      <c r="K8249">
        <v>25.2</v>
      </c>
      <c r="L8249">
        <v>5.12</v>
      </c>
      <c r="M8249">
        <v>56559</v>
      </c>
      <c r="N8249" t="s">
        <v>51</v>
      </c>
      <c r="O8249">
        <v>250721</v>
      </c>
      <c r="P8249">
        <v>20.079999999999998</v>
      </c>
    </row>
    <row r="8250" spans="1:16" x14ac:dyDescent="0.25">
      <c r="A8250" t="s">
        <v>3296</v>
      </c>
      <c r="B8250" t="s">
        <v>2931</v>
      </c>
      <c r="C8250">
        <v>18037</v>
      </c>
      <c r="D8250" t="str">
        <f>"1379910     "</f>
        <v xml:space="preserve">1379910     </v>
      </c>
      <c r="E8250" t="s">
        <v>353</v>
      </c>
      <c r="F8250" t="s">
        <v>355</v>
      </c>
      <c r="G8250">
        <v>161.87</v>
      </c>
      <c r="H8250">
        <v>251231</v>
      </c>
      <c r="I8250">
        <v>4470</v>
      </c>
      <c r="J8250" t="s">
        <v>203</v>
      </c>
      <c r="K8250">
        <v>161.87</v>
      </c>
      <c r="L8250">
        <v>32.89</v>
      </c>
      <c r="M8250">
        <v>56559</v>
      </c>
      <c r="N8250" t="s">
        <v>51</v>
      </c>
      <c r="O8250">
        <v>260108</v>
      </c>
      <c r="P8250">
        <v>128.97999999999999</v>
      </c>
    </row>
    <row r="8251" spans="1:16" x14ac:dyDescent="0.25">
      <c r="A8251" t="s">
        <v>3296</v>
      </c>
      <c r="B8251" t="s">
        <v>2931</v>
      </c>
      <c r="C8251">
        <v>830</v>
      </c>
      <c r="D8251" t="str">
        <f>"1351535     "</f>
        <v xml:space="preserve">1351535     </v>
      </c>
      <c r="E8251" t="s">
        <v>353</v>
      </c>
      <c r="F8251" t="s">
        <v>355</v>
      </c>
      <c r="G8251">
        <v>179</v>
      </c>
      <c r="H8251">
        <v>250128</v>
      </c>
      <c r="I8251">
        <v>4530</v>
      </c>
      <c r="J8251" t="s">
        <v>293</v>
      </c>
      <c r="K8251">
        <v>179</v>
      </c>
      <c r="L8251">
        <v>36.369999999999997</v>
      </c>
      <c r="M8251">
        <v>69501</v>
      </c>
      <c r="N8251" t="s">
        <v>123</v>
      </c>
      <c r="O8251">
        <v>250129</v>
      </c>
      <c r="P8251">
        <v>142.63</v>
      </c>
    </row>
    <row r="8252" spans="1:16" x14ac:dyDescent="0.25">
      <c r="A8252" t="s">
        <v>3296</v>
      </c>
      <c r="B8252" t="s">
        <v>2931</v>
      </c>
      <c r="C8252">
        <v>945</v>
      </c>
      <c r="D8252" t="str">
        <f>"1351514     "</f>
        <v xml:space="preserve">1351514     </v>
      </c>
      <c r="E8252" t="s">
        <v>353</v>
      </c>
      <c r="F8252" t="s">
        <v>355</v>
      </c>
      <c r="G8252">
        <v>39.1</v>
      </c>
      <c r="H8252">
        <v>250128</v>
      </c>
      <c r="I8252">
        <v>4530</v>
      </c>
      <c r="J8252" t="s">
        <v>293</v>
      </c>
      <c r="K8252">
        <v>141.32</v>
      </c>
      <c r="L8252">
        <v>7.94</v>
      </c>
      <c r="M8252">
        <v>56522</v>
      </c>
      <c r="N8252" t="s">
        <v>68</v>
      </c>
      <c r="O8252">
        <v>250131</v>
      </c>
      <c r="P8252">
        <v>31.16</v>
      </c>
    </row>
    <row r="8253" spans="1:16" x14ac:dyDescent="0.25">
      <c r="A8253" t="s">
        <v>3296</v>
      </c>
      <c r="B8253" t="s">
        <v>2931</v>
      </c>
      <c r="C8253">
        <v>964</v>
      </c>
      <c r="D8253" t="str">
        <f>"1351530     "</f>
        <v xml:space="preserve">1351530     </v>
      </c>
      <c r="E8253" t="s">
        <v>353</v>
      </c>
      <c r="F8253" t="s">
        <v>355</v>
      </c>
      <c r="G8253">
        <v>49</v>
      </c>
      <c r="H8253">
        <v>250128</v>
      </c>
      <c r="I8253">
        <v>4530</v>
      </c>
      <c r="J8253" t="s">
        <v>293</v>
      </c>
      <c r="K8253">
        <v>64.14</v>
      </c>
      <c r="L8253">
        <v>9.9600000000000009</v>
      </c>
      <c r="M8253">
        <v>56522</v>
      </c>
      <c r="N8253" t="s">
        <v>68</v>
      </c>
      <c r="O8253">
        <v>250131</v>
      </c>
      <c r="P8253">
        <v>39.04</v>
      </c>
    </row>
    <row r="8254" spans="1:16" x14ac:dyDescent="0.25">
      <c r="A8254" t="s">
        <v>3296</v>
      </c>
      <c r="B8254" t="s">
        <v>2931</v>
      </c>
      <c r="C8254">
        <v>7945</v>
      </c>
      <c r="D8254" t="str">
        <f>"1362763     "</f>
        <v xml:space="preserve">1362763     </v>
      </c>
      <c r="E8254" t="s">
        <v>353</v>
      </c>
      <c r="F8254" t="s">
        <v>355</v>
      </c>
      <c r="G8254">
        <v>49.8</v>
      </c>
      <c r="H8254">
        <v>250531</v>
      </c>
      <c r="I8254">
        <v>4530</v>
      </c>
      <c r="J8254" t="s">
        <v>293</v>
      </c>
      <c r="K8254">
        <v>100.2</v>
      </c>
      <c r="L8254">
        <v>10.119999999999999</v>
      </c>
      <c r="M8254">
        <v>69501</v>
      </c>
      <c r="N8254" t="s">
        <v>123</v>
      </c>
      <c r="O8254">
        <v>250610</v>
      </c>
      <c r="P8254">
        <v>39.68</v>
      </c>
    </row>
    <row r="8255" spans="1:16" x14ac:dyDescent="0.25">
      <c r="A8255" t="s">
        <v>3296</v>
      </c>
      <c r="B8255" t="s">
        <v>2931</v>
      </c>
      <c r="C8255">
        <v>10466</v>
      </c>
      <c r="D8255" t="str">
        <f>"1368562     "</f>
        <v xml:space="preserve">1368562     </v>
      </c>
      <c r="E8255" t="s">
        <v>353</v>
      </c>
      <c r="F8255" t="s">
        <v>355</v>
      </c>
      <c r="G8255">
        <v>139.9</v>
      </c>
      <c r="H8255">
        <v>250813</v>
      </c>
      <c r="I8255">
        <v>4530</v>
      </c>
      <c r="J8255" t="s">
        <v>293</v>
      </c>
      <c r="K8255">
        <v>225.1</v>
      </c>
      <c r="L8255">
        <v>28.43</v>
      </c>
      <c r="M8255">
        <v>67554</v>
      </c>
      <c r="N8255" t="s">
        <v>317</v>
      </c>
      <c r="O8255">
        <v>250820</v>
      </c>
      <c r="P8255">
        <v>111.47</v>
      </c>
    </row>
    <row r="8256" spans="1:16" x14ac:dyDescent="0.25">
      <c r="A8256" t="s">
        <v>3296</v>
      </c>
      <c r="B8256" t="s">
        <v>2931</v>
      </c>
      <c r="C8256">
        <v>10476</v>
      </c>
      <c r="D8256" t="str">
        <f>"1368552     "</f>
        <v xml:space="preserve">1368552     </v>
      </c>
      <c r="E8256" t="s">
        <v>353</v>
      </c>
      <c r="F8256" t="s">
        <v>355</v>
      </c>
      <c r="G8256">
        <v>209</v>
      </c>
      <c r="H8256">
        <v>250813</v>
      </c>
      <c r="I8256">
        <v>4530</v>
      </c>
      <c r="J8256" t="s">
        <v>293</v>
      </c>
      <c r="K8256">
        <v>209</v>
      </c>
      <c r="L8256">
        <v>42.47</v>
      </c>
      <c r="M8256">
        <v>51151</v>
      </c>
      <c r="N8256" t="s">
        <v>221</v>
      </c>
      <c r="O8256">
        <v>250820</v>
      </c>
      <c r="P8256">
        <v>166.53</v>
      </c>
    </row>
    <row r="8257" spans="1:16" x14ac:dyDescent="0.25">
      <c r="A8257" t="s">
        <v>3296</v>
      </c>
      <c r="B8257" t="s">
        <v>2931</v>
      </c>
      <c r="C8257">
        <v>4571</v>
      </c>
      <c r="D8257" t="str">
        <f>"1357007     "</f>
        <v xml:space="preserve">1357007     </v>
      </c>
      <c r="E8257" t="s">
        <v>353</v>
      </c>
      <c r="F8257" t="s">
        <v>355</v>
      </c>
      <c r="G8257">
        <v>24.9</v>
      </c>
      <c r="H8257">
        <v>250331</v>
      </c>
      <c r="I8257">
        <v>4532</v>
      </c>
      <c r="J8257" t="s">
        <v>296</v>
      </c>
      <c r="K8257">
        <v>24.9</v>
      </c>
      <c r="L8257">
        <v>5.0599999999999996</v>
      </c>
      <c r="M8257">
        <v>59504</v>
      </c>
      <c r="N8257" t="s">
        <v>193</v>
      </c>
      <c r="O8257">
        <v>250414</v>
      </c>
      <c r="P8257">
        <v>19.84</v>
      </c>
    </row>
    <row r="8258" spans="1:16" x14ac:dyDescent="0.25">
      <c r="A8258" t="s">
        <v>3296</v>
      </c>
      <c r="B8258" t="s">
        <v>2931</v>
      </c>
      <c r="C8258">
        <v>11153</v>
      </c>
      <c r="D8258" t="str">
        <f>"1369275     "</f>
        <v xml:space="preserve">1369275     </v>
      </c>
      <c r="E8258" t="s">
        <v>353</v>
      </c>
      <c r="F8258" t="s">
        <v>355</v>
      </c>
      <c r="G8258">
        <v>24.9</v>
      </c>
      <c r="H8258">
        <v>250827</v>
      </c>
      <c r="I8258">
        <v>4532</v>
      </c>
      <c r="J8258" t="s">
        <v>296</v>
      </c>
      <c r="K8258">
        <v>24.9</v>
      </c>
      <c r="L8258">
        <v>5.0599999999999996</v>
      </c>
      <c r="M8258">
        <v>59504</v>
      </c>
      <c r="N8258" t="s">
        <v>193</v>
      </c>
      <c r="O8258">
        <v>250901</v>
      </c>
      <c r="P8258">
        <v>19.84</v>
      </c>
    </row>
    <row r="8259" spans="1:16" x14ac:dyDescent="0.25">
      <c r="A8259" t="s">
        <v>3296</v>
      </c>
      <c r="B8259" t="s">
        <v>2931</v>
      </c>
      <c r="C8259">
        <v>14123</v>
      </c>
      <c r="D8259" t="str">
        <f>"1374245     "</f>
        <v xml:space="preserve">1374245     </v>
      </c>
      <c r="E8259" t="s">
        <v>353</v>
      </c>
      <c r="F8259" t="s">
        <v>355</v>
      </c>
      <c r="G8259">
        <v>3.31</v>
      </c>
      <c r="H8259">
        <v>251021</v>
      </c>
      <c r="I8259">
        <v>4532</v>
      </c>
      <c r="J8259" t="s">
        <v>296</v>
      </c>
      <c r="K8259">
        <v>13.41</v>
      </c>
      <c r="L8259">
        <v>0.67</v>
      </c>
      <c r="M8259">
        <v>59504</v>
      </c>
      <c r="N8259" t="s">
        <v>193</v>
      </c>
      <c r="O8259">
        <v>251024</v>
      </c>
      <c r="P8259">
        <v>2.64</v>
      </c>
    </row>
    <row r="8260" spans="1:16" x14ac:dyDescent="0.25">
      <c r="A8260" t="s">
        <v>3296</v>
      </c>
      <c r="B8260" t="s">
        <v>2931</v>
      </c>
      <c r="C8260">
        <v>15800</v>
      </c>
      <c r="D8260" t="str">
        <f>"1376781     "</f>
        <v xml:space="preserve">1376781     </v>
      </c>
      <c r="E8260" t="s">
        <v>353</v>
      </c>
      <c r="F8260" t="s">
        <v>355</v>
      </c>
      <c r="G8260">
        <v>27.2</v>
      </c>
      <c r="H8260">
        <v>251119</v>
      </c>
      <c r="I8260">
        <v>4532</v>
      </c>
      <c r="J8260" t="s">
        <v>296</v>
      </c>
      <c r="K8260">
        <v>27.2</v>
      </c>
      <c r="L8260">
        <v>5.53</v>
      </c>
      <c r="M8260">
        <v>59504</v>
      </c>
      <c r="N8260" t="s">
        <v>193</v>
      </c>
      <c r="O8260">
        <v>251127</v>
      </c>
      <c r="P8260">
        <v>21.67</v>
      </c>
    </row>
    <row r="8261" spans="1:16" x14ac:dyDescent="0.25">
      <c r="A8261" t="s">
        <v>3296</v>
      </c>
      <c r="B8261" t="s">
        <v>2931</v>
      </c>
      <c r="C8261">
        <v>1819</v>
      </c>
      <c r="D8261" t="str">
        <f>"1352811     "</f>
        <v xml:space="preserve">1352811     </v>
      </c>
      <c r="E8261" t="s">
        <v>353</v>
      </c>
      <c r="F8261" t="s">
        <v>355</v>
      </c>
      <c r="G8261">
        <v>6.17</v>
      </c>
      <c r="H8261">
        <v>250131</v>
      </c>
      <c r="I8261">
        <v>4550</v>
      </c>
      <c r="J8261" t="s">
        <v>226</v>
      </c>
      <c r="K8261">
        <v>6.17</v>
      </c>
      <c r="L8261">
        <v>1.25</v>
      </c>
      <c r="M8261">
        <v>54222</v>
      </c>
      <c r="N8261" t="s">
        <v>48</v>
      </c>
      <c r="O8261">
        <v>250214</v>
      </c>
      <c r="P8261">
        <v>4.92</v>
      </c>
    </row>
    <row r="8262" spans="1:16" x14ac:dyDescent="0.25">
      <c r="A8262" t="s">
        <v>3296</v>
      </c>
      <c r="B8262" t="s">
        <v>2931</v>
      </c>
      <c r="C8262">
        <v>2986</v>
      </c>
      <c r="D8262" t="str">
        <f>"1355106     "</f>
        <v xml:space="preserve">1355106     </v>
      </c>
      <c r="E8262" t="s">
        <v>353</v>
      </c>
      <c r="F8262" t="s">
        <v>355</v>
      </c>
      <c r="G8262">
        <v>35</v>
      </c>
      <c r="H8262">
        <v>250301</v>
      </c>
      <c r="I8262">
        <v>4550</v>
      </c>
      <c r="J8262" t="s">
        <v>226</v>
      </c>
      <c r="K8262">
        <v>39.799999999999997</v>
      </c>
      <c r="L8262">
        <v>7.11</v>
      </c>
      <c r="M8262">
        <v>69501</v>
      </c>
      <c r="N8262" t="s">
        <v>123</v>
      </c>
      <c r="O8262">
        <v>250313</v>
      </c>
      <c r="P8262">
        <v>27.89</v>
      </c>
    </row>
    <row r="8263" spans="1:16" x14ac:dyDescent="0.25">
      <c r="A8263" t="s">
        <v>3296</v>
      </c>
      <c r="B8263" t="s">
        <v>2931</v>
      </c>
      <c r="C8263">
        <v>3872</v>
      </c>
      <c r="D8263" t="str">
        <f>"1356238     "</f>
        <v xml:space="preserve">1356238     </v>
      </c>
      <c r="E8263" t="s">
        <v>353</v>
      </c>
      <c r="F8263" t="s">
        <v>355</v>
      </c>
      <c r="G8263">
        <v>25.93</v>
      </c>
      <c r="H8263">
        <v>250319</v>
      </c>
      <c r="I8263">
        <v>4550</v>
      </c>
      <c r="J8263" t="s">
        <v>226</v>
      </c>
      <c r="K8263">
        <v>25.93</v>
      </c>
      <c r="L8263">
        <v>5.27</v>
      </c>
      <c r="M8263">
        <v>69501</v>
      </c>
      <c r="N8263" t="s">
        <v>123</v>
      </c>
      <c r="O8263">
        <v>250402</v>
      </c>
      <c r="P8263">
        <v>20.66</v>
      </c>
    </row>
    <row r="8264" spans="1:16" x14ac:dyDescent="0.25">
      <c r="A8264" t="s">
        <v>3296</v>
      </c>
      <c r="B8264" t="s">
        <v>2931</v>
      </c>
      <c r="C8264">
        <v>7945</v>
      </c>
      <c r="D8264" t="str">
        <f>"1362763     "</f>
        <v xml:space="preserve">1362763     </v>
      </c>
      <c r="E8264" t="s">
        <v>353</v>
      </c>
      <c r="F8264" t="s">
        <v>355</v>
      </c>
      <c r="G8264">
        <v>50.4</v>
      </c>
      <c r="H8264">
        <v>250531</v>
      </c>
      <c r="I8264">
        <v>4550</v>
      </c>
      <c r="J8264" t="s">
        <v>226</v>
      </c>
      <c r="K8264">
        <v>100.2</v>
      </c>
      <c r="L8264">
        <v>10.24</v>
      </c>
      <c r="M8264">
        <v>69501</v>
      </c>
      <c r="N8264" t="s">
        <v>123</v>
      </c>
      <c r="O8264">
        <v>250610</v>
      </c>
      <c r="P8264">
        <v>40.159999999999997</v>
      </c>
    </row>
    <row r="8265" spans="1:16" x14ac:dyDescent="0.25">
      <c r="A8265" t="s">
        <v>3296</v>
      </c>
      <c r="B8265" t="s">
        <v>2931</v>
      </c>
      <c r="C8265">
        <v>14973</v>
      </c>
      <c r="D8265" t="str">
        <f>"1375533     "</f>
        <v xml:space="preserve">1375533     </v>
      </c>
      <c r="E8265" t="s">
        <v>353</v>
      </c>
      <c r="F8265" t="s">
        <v>355</v>
      </c>
      <c r="G8265">
        <v>35</v>
      </c>
      <c r="H8265">
        <v>251031</v>
      </c>
      <c r="I8265">
        <v>4550</v>
      </c>
      <c r="J8265" t="s">
        <v>226</v>
      </c>
      <c r="K8265">
        <v>35</v>
      </c>
      <c r="L8265">
        <v>7.11</v>
      </c>
      <c r="M8265">
        <v>69501</v>
      </c>
      <c r="N8265" t="s">
        <v>123</v>
      </c>
      <c r="O8265">
        <v>251110</v>
      </c>
      <c r="P8265">
        <v>27.89</v>
      </c>
    </row>
    <row r="8266" spans="1:16" x14ac:dyDescent="0.25">
      <c r="A8266" t="s">
        <v>3296</v>
      </c>
      <c r="B8266" t="s">
        <v>2931</v>
      </c>
      <c r="C8266">
        <v>16580</v>
      </c>
      <c r="D8266" t="str">
        <f>"1377988     "</f>
        <v xml:space="preserve">1377988     </v>
      </c>
      <c r="E8266" t="s">
        <v>353</v>
      </c>
      <c r="F8266" t="s">
        <v>355</v>
      </c>
      <c r="G8266">
        <v>39.799999999999997</v>
      </c>
      <c r="H8266">
        <v>251130</v>
      </c>
      <c r="I8266">
        <v>4550</v>
      </c>
      <c r="J8266" t="s">
        <v>226</v>
      </c>
      <c r="K8266">
        <v>138.80000000000001</v>
      </c>
      <c r="L8266">
        <v>8.09</v>
      </c>
      <c r="M8266">
        <v>69501</v>
      </c>
      <c r="N8266" t="s">
        <v>123</v>
      </c>
      <c r="O8266">
        <v>251210</v>
      </c>
      <c r="P8266">
        <v>31.71</v>
      </c>
    </row>
    <row r="8267" spans="1:16" x14ac:dyDescent="0.25">
      <c r="A8267" t="s">
        <v>3296</v>
      </c>
      <c r="B8267" t="s">
        <v>2931</v>
      </c>
      <c r="C8267">
        <v>18146</v>
      </c>
      <c r="D8267" t="str">
        <f>"1379911     "</f>
        <v xml:space="preserve">1379911     </v>
      </c>
      <c r="E8267" t="s">
        <v>353</v>
      </c>
      <c r="F8267" t="s">
        <v>355</v>
      </c>
      <c r="G8267">
        <v>54.9</v>
      </c>
      <c r="H8267">
        <v>251231</v>
      </c>
      <c r="I8267">
        <v>4550</v>
      </c>
      <c r="J8267" t="s">
        <v>226</v>
      </c>
      <c r="K8267">
        <v>331.12</v>
      </c>
      <c r="L8267">
        <v>11.15</v>
      </c>
      <c r="M8267">
        <v>69501</v>
      </c>
      <c r="N8267" t="s">
        <v>123</v>
      </c>
      <c r="O8267">
        <v>260109</v>
      </c>
      <c r="P8267">
        <v>43.75</v>
      </c>
    </row>
    <row r="8268" spans="1:16" x14ac:dyDescent="0.25">
      <c r="A8268" t="s">
        <v>3296</v>
      </c>
      <c r="B8268" t="s">
        <v>2931</v>
      </c>
      <c r="C8268">
        <v>2523</v>
      </c>
      <c r="D8268" t="str">
        <f>"1354303     "</f>
        <v xml:space="preserve">1354303     </v>
      </c>
      <c r="E8268" t="s">
        <v>353</v>
      </c>
      <c r="F8268" t="s">
        <v>355</v>
      </c>
      <c r="G8268">
        <v>24.85</v>
      </c>
      <c r="H8268">
        <v>250226</v>
      </c>
      <c r="I8268">
        <v>4555</v>
      </c>
      <c r="J8268" t="s">
        <v>352</v>
      </c>
      <c r="K8268">
        <v>24.85</v>
      </c>
      <c r="L8268">
        <v>5.05</v>
      </c>
      <c r="M8268">
        <v>59504</v>
      </c>
      <c r="N8268" t="s">
        <v>193</v>
      </c>
      <c r="O8268">
        <v>250303</v>
      </c>
      <c r="P8268">
        <v>19.8</v>
      </c>
    </row>
    <row r="8269" spans="1:16" x14ac:dyDescent="0.25">
      <c r="A8269" t="s">
        <v>3296</v>
      </c>
      <c r="B8269" t="s">
        <v>2931</v>
      </c>
      <c r="C8269">
        <v>5484</v>
      </c>
      <c r="D8269" t="str">
        <f>"1358589     "</f>
        <v xml:space="preserve">1358589     </v>
      </c>
      <c r="E8269" t="s">
        <v>353</v>
      </c>
      <c r="F8269" t="s">
        <v>355</v>
      </c>
      <c r="G8269">
        <v>5.94</v>
      </c>
      <c r="H8269">
        <v>250416</v>
      </c>
      <c r="I8269">
        <v>4555</v>
      </c>
      <c r="J8269" t="s">
        <v>352</v>
      </c>
      <c r="K8269">
        <v>38.869999999999997</v>
      </c>
      <c r="L8269">
        <v>1.21</v>
      </c>
      <c r="M8269">
        <v>67522</v>
      </c>
      <c r="N8269" t="s">
        <v>121</v>
      </c>
      <c r="O8269">
        <v>250424</v>
      </c>
      <c r="P8269">
        <v>4.7300000000000004</v>
      </c>
    </row>
    <row r="8270" spans="1:16" x14ac:dyDescent="0.25">
      <c r="A8270" t="s">
        <v>3296</v>
      </c>
      <c r="B8270" t="s">
        <v>2931</v>
      </c>
      <c r="C8270">
        <v>6063</v>
      </c>
      <c r="D8270" t="str">
        <f>"1359907     "</f>
        <v xml:space="preserve">1359907     </v>
      </c>
      <c r="E8270" t="s">
        <v>353</v>
      </c>
      <c r="F8270" t="s">
        <v>355</v>
      </c>
      <c r="G8270">
        <v>61.75</v>
      </c>
      <c r="H8270">
        <v>250430</v>
      </c>
      <c r="I8270">
        <v>4555</v>
      </c>
      <c r="J8270" t="s">
        <v>352</v>
      </c>
      <c r="K8270">
        <v>661.75</v>
      </c>
      <c r="L8270">
        <v>12.55</v>
      </c>
      <c r="M8270">
        <v>67522</v>
      </c>
      <c r="N8270" t="s">
        <v>121</v>
      </c>
      <c r="O8270">
        <v>250508</v>
      </c>
      <c r="P8270">
        <v>49.2</v>
      </c>
    </row>
    <row r="8271" spans="1:16" x14ac:dyDescent="0.25">
      <c r="A8271" t="s">
        <v>3296</v>
      </c>
      <c r="B8271" t="s">
        <v>2931</v>
      </c>
      <c r="C8271">
        <v>6799</v>
      </c>
      <c r="D8271" t="str">
        <f>"1360568     "</f>
        <v xml:space="preserve">1360568     </v>
      </c>
      <c r="E8271" t="s">
        <v>353</v>
      </c>
      <c r="F8271" t="s">
        <v>355</v>
      </c>
      <c r="G8271">
        <v>24.6</v>
      </c>
      <c r="H8271">
        <v>250513</v>
      </c>
      <c r="I8271">
        <v>4555</v>
      </c>
      <c r="J8271" t="s">
        <v>352</v>
      </c>
      <c r="K8271">
        <v>24.6</v>
      </c>
      <c r="L8271">
        <v>5</v>
      </c>
      <c r="M8271">
        <v>59504</v>
      </c>
      <c r="N8271" t="s">
        <v>193</v>
      </c>
      <c r="O8271">
        <v>250516</v>
      </c>
      <c r="P8271">
        <v>19.600000000000001</v>
      </c>
    </row>
    <row r="8272" spans="1:16" x14ac:dyDescent="0.25">
      <c r="A8272" t="s">
        <v>3296</v>
      </c>
      <c r="B8272" t="s">
        <v>2931</v>
      </c>
      <c r="C8272">
        <v>8014</v>
      </c>
      <c r="D8272" t="str">
        <f>"1362764     "</f>
        <v xml:space="preserve">1362764     </v>
      </c>
      <c r="E8272" t="s">
        <v>353</v>
      </c>
      <c r="F8272" t="s">
        <v>355</v>
      </c>
      <c r="G8272">
        <v>20.2</v>
      </c>
      <c r="H8272">
        <v>250531</v>
      </c>
      <c r="I8272">
        <v>4555</v>
      </c>
      <c r="J8272" t="s">
        <v>352</v>
      </c>
      <c r="K8272">
        <v>93.92</v>
      </c>
      <c r="L8272">
        <v>4.0999999999999996</v>
      </c>
      <c r="M8272">
        <v>67554</v>
      </c>
      <c r="N8272" t="s">
        <v>317</v>
      </c>
      <c r="O8272">
        <v>250611</v>
      </c>
      <c r="P8272">
        <v>16.100000000000001</v>
      </c>
    </row>
    <row r="8273" spans="1:16" x14ac:dyDescent="0.25">
      <c r="A8273" t="s">
        <v>3296</v>
      </c>
      <c r="B8273" t="s">
        <v>2931</v>
      </c>
      <c r="C8273">
        <v>10466</v>
      </c>
      <c r="D8273" t="str">
        <f>"1368562     "</f>
        <v xml:space="preserve">1368562     </v>
      </c>
      <c r="E8273" t="s">
        <v>353</v>
      </c>
      <c r="F8273" t="s">
        <v>355</v>
      </c>
      <c r="G8273">
        <v>85.2</v>
      </c>
      <c r="H8273">
        <v>250813</v>
      </c>
      <c r="I8273">
        <v>4555</v>
      </c>
      <c r="J8273" t="s">
        <v>352</v>
      </c>
      <c r="K8273">
        <v>225.1</v>
      </c>
      <c r="L8273">
        <v>17.309999999999999</v>
      </c>
      <c r="M8273">
        <v>67554</v>
      </c>
      <c r="N8273" t="s">
        <v>317</v>
      </c>
      <c r="O8273">
        <v>250820</v>
      </c>
      <c r="P8273">
        <v>67.89</v>
      </c>
    </row>
    <row r="8274" spans="1:16" x14ac:dyDescent="0.25">
      <c r="A8274" t="s">
        <v>3296</v>
      </c>
      <c r="B8274" t="s">
        <v>2931</v>
      </c>
      <c r="C8274">
        <v>15674</v>
      </c>
      <c r="D8274" t="str">
        <f>"1376780     "</f>
        <v xml:space="preserve">1376780     </v>
      </c>
      <c r="E8274" t="s">
        <v>353</v>
      </c>
      <c r="F8274" t="s">
        <v>355</v>
      </c>
      <c r="G8274">
        <v>5.72</v>
      </c>
      <c r="H8274">
        <v>251119</v>
      </c>
      <c r="I8274">
        <v>4555</v>
      </c>
      <c r="J8274" t="s">
        <v>352</v>
      </c>
      <c r="K8274">
        <v>5.72</v>
      </c>
      <c r="L8274">
        <v>1.1599999999999999</v>
      </c>
      <c r="M8274">
        <v>59504</v>
      </c>
      <c r="N8274" t="s">
        <v>193</v>
      </c>
      <c r="O8274">
        <v>251124</v>
      </c>
      <c r="P8274">
        <v>4.5599999999999996</v>
      </c>
    </row>
    <row r="8275" spans="1:16" x14ac:dyDescent="0.25">
      <c r="A8275" t="s">
        <v>3296</v>
      </c>
      <c r="B8275" t="s">
        <v>2931</v>
      </c>
      <c r="C8275">
        <v>264</v>
      </c>
      <c r="D8275" t="str">
        <f>"1350468     "</f>
        <v xml:space="preserve">1350468     </v>
      </c>
      <c r="E8275" t="s">
        <v>353</v>
      </c>
      <c r="F8275" t="s">
        <v>355</v>
      </c>
      <c r="G8275">
        <v>26.73</v>
      </c>
      <c r="H8275">
        <v>250114</v>
      </c>
      <c r="I8275">
        <v>4560</v>
      </c>
      <c r="J8275" t="s">
        <v>390</v>
      </c>
      <c r="K8275">
        <v>174.24</v>
      </c>
      <c r="L8275">
        <v>5.43</v>
      </c>
      <c r="M8275">
        <v>67522</v>
      </c>
      <c r="N8275" t="s">
        <v>121</v>
      </c>
      <c r="O8275">
        <v>250120</v>
      </c>
      <c r="P8275">
        <v>21.3</v>
      </c>
    </row>
    <row r="8276" spans="1:16" x14ac:dyDescent="0.25">
      <c r="A8276" t="s">
        <v>3296</v>
      </c>
      <c r="B8276" t="s">
        <v>2931</v>
      </c>
      <c r="C8276">
        <v>1882</v>
      </c>
      <c r="D8276" t="str">
        <f>"1352861     "</f>
        <v xml:space="preserve">1352861     </v>
      </c>
      <c r="E8276" t="s">
        <v>353</v>
      </c>
      <c r="F8276" t="s">
        <v>355</v>
      </c>
      <c r="G8276">
        <v>27.29</v>
      </c>
      <c r="H8276">
        <v>250211</v>
      </c>
      <c r="I8276">
        <v>4560</v>
      </c>
      <c r="J8276" t="s">
        <v>390</v>
      </c>
      <c r="K8276">
        <v>170.77</v>
      </c>
      <c r="L8276">
        <v>5.54</v>
      </c>
      <c r="M8276">
        <v>67522</v>
      </c>
      <c r="N8276" t="s">
        <v>121</v>
      </c>
      <c r="O8276">
        <v>250214</v>
      </c>
      <c r="P8276">
        <v>21.75</v>
      </c>
    </row>
    <row r="8277" spans="1:16" x14ac:dyDescent="0.25">
      <c r="A8277" t="s">
        <v>3296</v>
      </c>
      <c r="B8277" t="s">
        <v>2931</v>
      </c>
      <c r="C8277">
        <v>3829</v>
      </c>
      <c r="D8277" t="str">
        <f>"1356227     "</f>
        <v xml:space="preserve">1356227     </v>
      </c>
      <c r="E8277" t="s">
        <v>353</v>
      </c>
      <c r="F8277" t="s">
        <v>355</v>
      </c>
      <c r="G8277">
        <v>32.24</v>
      </c>
      <c r="H8277">
        <v>250319</v>
      </c>
      <c r="I8277">
        <v>4560</v>
      </c>
      <c r="J8277" t="s">
        <v>390</v>
      </c>
      <c r="K8277">
        <v>32.24</v>
      </c>
      <c r="L8277">
        <v>6.55</v>
      </c>
      <c r="M8277">
        <v>59504</v>
      </c>
      <c r="N8277" t="s">
        <v>193</v>
      </c>
      <c r="O8277">
        <v>250402</v>
      </c>
      <c r="P8277">
        <v>25.69</v>
      </c>
    </row>
    <row r="8278" spans="1:16" x14ac:dyDescent="0.25">
      <c r="A8278" t="s">
        <v>3296</v>
      </c>
      <c r="B8278" t="s">
        <v>2931</v>
      </c>
      <c r="C8278">
        <v>3835</v>
      </c>
      <c r="D8278" t="str">
        <f>"1356241     "</f>
        <v xml:space="preserve">1356241     </v>
      </c>
      <c r="E8278" t="s">
        <v>353</v>
      </c>
      <c r="F8278" t="s">
        <v>355</v>
      </c>
      <c r="G8278">
        <v>32.39</v>
      </c>
      <c r="H8278">
        <v>250319</v>
      </c>
      <c r="I8278">
        <v>4560</v>
      </c>
      <c r="J8278" t="s">
        <v>390</v>
      </c>
      <c r="K8278">
        <v>90.59</v>
      </c>
      <c r="L8278">
        <v>6.58</v>
      </c>
      <c r="M8278">
        <v>67522</v>
      </c>
      <c r="N8278" t="s">
        <v>121</v>
      </c>
      <c r="O8278">
        <v>250402</v>
      </c>
      <c r="P8278">
        <v>25.81</v>
      </c>
    </row>
    <row r="8279" spans="1:16" x14ac:dyDescent="0.25">
      <c r="A8279" t="s">
        <v>3296</v>
      </c>
      <c r="B8279" t="s">
        <v>2931</v>
      </c>
      <c r="C8279">
        <v>3837</v>
      </c>
      <c r="D8279" t="str">
        <f>"1356240     "</f>
        <v xml:space="preserve">1356240     </v>
      </c>
      <c r="E8279" t="s">
        <v>353</v>
      </c>
      <c r="F8279" t="s">
        <v>355</v>
      </c>
      <c r="G8279">
        <v>499</v>
      </c>
      <c r="H8279">
        <v>250319</v>
      </c>
      <c r="I8279">
        <v>4560</v>
      </c>
      <c r="J8279" t="s">
        <v>390</v>
      </c>
      <c r="K8279">
        <v>499</v>
      </c>
      <c r="L8279">
        <v>101.39</v>
      </c>
      <c r="M8279">
        <v>67554</v>
      </c>
      <c r="N8279" t="s">
        <v>317</v>
      </c>
      <c r="O8279">
        <v>250402</v>
      </c>
      <c r="P8279">
        <v>397.61</v>
      </c>
    </row>
    <row r="8280" spans="1:16" x14ac:dyDescent="0.25">
      <c r="A8280" t="s">
        <v>3296</v>
      </c>
      <c r="B8280" t="s">
        <v>2931</v>
      </c>
      <c r="C8280">
        <v>6801</v>
      </c>
      <c r="D8280" t="str">
        <f>"1360573     "</f>
        <v xml:space="preserve">1360573     </v>
      </c>
      <c r="E8280" t="s">
        <v>353</v>
      </c>
      <c r="F8280" t="s">
        <v>355</v>
      </c>
      <c r="G8280">
        <v>137.58000000000001</v>
      </c>
      <c r="H8280">
        <v>250513</v>
      </c>
      <c r="I8280">
        <v>4560</v>
      </c>
      <c r="J8280" t="s">
        <v>390</v>
      </c>
      <c r="K8280">
        <v>156.38</v>
      </c>
      <c r="L8280">
        <v>27.95</v>
      </c>
      <c r="M8280">
        <v>67554</v>
      </c>
      <c r="N8280" t="s">
        <v>317</v>
      </c>
      <c r="O8280">
        <v>250516</v>
      </c>
      <c r="P8280">
        <v>109.63</v>
      </c>
    </row>
    <row r="8281" spans="1:16" x14ac:dyDescent="0.25">
      <c r="A8281" t="s">
        <v>3296</v>
      </c>
      <c r="B8281" t="s">
        <v>2931</v>
      </c>
      <c r="C8281">
        <v>7936</v>
      </c>
      <c r="D8281" t="str">
        <f>"1362761     "</f>
        <v xml:space="preserve">1362761     </v>
      </c>
      <c r="E8281" t="s">
        <v>353</v>
      </c>
      <c r="F8281" t="s">
        <v>355</v>
      </c>
      <c r="G8281">
        <v>16</v>
      </c>
      <c r="H8281">
        <v>250531</v>
      </c>
      <c r="I8281">
        <v>4560</v>
      </c>
      <c r="J8281" t="s">
        <v>390</v>
      </c>
      <c r="K8281">
        <v>22.17</v>
      </c>
      <c r="L8281">
        <v>3.25</v>
      </c>
      <c r="M8281">
        <v>59504</v>
      </c>
      <c r="N8281" t="s">
        <v>193</v>
      </c>
      <c r="O8281">
        <v>250610</v>
      </c>
      <c r="P8281">
        <v>12.75</v>
      </c>
    </row>
    <row r="8282" spans="1:16" x14ac:dyDescent="0.25">
      <c r="A8282" t="s">
        <v>3296</v>
      </c>
      <c r="B8282" t="s">
        <v>2931</v>
      </c>
      <c r="C8282">
        <v>12283</v>
      </c>
      <c r="D8282" t="str">
        <f>"1371318     "</f>
        <v xml:space="preserve">1371318     </v>
      </c>
      <c r="E8282" t="s">
        <v>353</v>
      </c>
      <c r="F8282" t="s">
        <v>355</v>
      </c>
      <c r="G8282">
        <v>48</v>
      </c>
      <c r="H8282">
        <v>250917</v>
      </c>
      <c r="I8282">
        <v>4560</v>
      </c>
      <c r="J8282" t="s">
        <v>390</v>
      </c>
      <c r="K8282">
        <v>48</v>
      </c>
      <c r="L8282">
        <v>9.75</v>
      </c>
      <c r="M8282">
        <v>59504</v>
      </c>
      <c r="N8282" t="s">
        <v>193</v>
      </c>
      <c r="O8282">
        <v>250918</v>
      </c>
      <c r="P8282">
        <v>38.25</v>
      </c>
    </row>
    <row r="8283" spans="1:16" x14ac:dyDescent="0.25">
      <c r="A8283" t="s">
        <v>3296</v>
      </c>
      <c r="B8283" t="s">
        <v>2931</v>
      </c>
      <c r="C8283">
        <v>12285</v>
      </c>
      <c r="D8283" t="str">
        <f>"1371353     "</f>
        <v xml:space="preserve">1371353     </v>
      </c>
      <c r="E8283" t="s">
        <v>353</v>
      </c>
      <c r="F8283" t="s">
        <v>355</v>
      </c>
      <c r="G8283">
        <v>48.36</v>
      </c>
      <c r="H8283">
        <v>250917</v>
      </c>
      <c r="I8283">
        <v>4560</v>
      </c>
      <c r="J8283" t="s">
        <v>390</v>
      </c>
      <c r="K8283">
        <v>48.36</v>
      </c>
      <c r="L8283">
        <v>9.83</v>
      </c>
      <c r="M8283">
        <v>59504</v>
      </c>
      <c r="N8283" t="s">
        <v>193</v>
      </c>
      <c r="O8283">
        <v>250918</v>
      </c>
      <c r="P8283">
        <v>38.53</v>
      </c>
    </row>
    <row r="8284" spans="1:16" x14ac:dyDescent="0.25">
      <c r="A8284" t="s">
        <v>3296</v>
      </c>
      <c r="B8284" t="s">
        <v>2931</v>
      </c>
      <c r="C8284">
        <v>14112</v>
      </c>
      <c r="D8284" t="str">
        <f>"1374255     "</f>
        <v xml:space="preserve">1374255     </v>
      </c>
      <c r="E8284" t="s">
        <v>353</v>
      </c>
      <c r="F8284" t="s">
        <v>355</v>
      </c>
      <c r="G8284">
        <v>32.24</v>
      </c>
      <c r="H8284">
        <v>251021</v>
      </c>
      <c r="I8284">
        <v>4560</v>
      </c>
      <c r="J8284" t="s">
        <v>390</v>
      </c>
      <c r="K8284">
        <v>32.24</v>
      </c>
      <c r="L8284">
        <v>6.55</v>
      </c>
      <c r="M8284">
        <v>59504</v>
      </c>
      <c r="N8284" t="s">
        <v>193</v>
      </c>
      <c r="O8284">
        <v>251024</v>
      </c>
      <c r="P8284">
        <v>25.69</v>
      </c>
    </row>
    <row r="8285" spans="1:16" x14ac:dyDescent="0.25">
      <c r="A8285" t="s">
        <v>3296</v>
      </c>
      <c r="B8285" t="s">
        <v>2931</v>
      </c>
      <c r="C8285">
        <v>14123</v>
      </c>
      <c r="D8285" t="str">
        <f>"1374245     "</f>
        <v xml:space="preserve">1374245     </v>
      </c>
      <c r="E8285" t="s">
        <v>353</v>
      </c>
      <c r="F8285" t="s">
        <v>355</v>
      </c>
      <c r="G8285">
        <v>10.1</v>
      </c>
      <c r="H8285">
        <v>251021</v>
      </c>
      <c r="I8285">
        <v>4560</v>
      </c>
      <c r="J8285" t="s">
        <v>390</v>
      </c>
      <c r="K8285">
        <v>13.41</v>
      </c>
      <c r="L8285">
        <v>2.0499999999999998</v>
      </c>
      <c r="M8285">
        <v>59504</v>
      </c>
      <c r="N8285" t="s">
        <v>193</v>
      </c>
      <c r="O8285">
        <v>251024</v>
      </c>
      <c r="P8285">
        <v>8.0500000000000007</v>
      </c>
    </row>
    <row r="8286" spans="1:16" x14ac:dyDescent="0.25">
      <c r="A8286" t="s">
        <v>3296</v>
      </c>
      <c r="B8286" t="s">
        <v>2931</v>
      </c>
      <c r="C8286">
        <v>264</v>
      </c>
      <c r="D8286" t="str">
        <f>"1350468     "</f>
        <v xml:space="preserve">1350468     </v>
      </c>
      <c r="E8286" t="s">
        <v>353</v>
      </c>
      <c r="F8286" t="s">
        <v>355</v>
      </c>
      <c r="G8286">
        <v>87.99</v>
      </c>
      <c r="H8286">
        <v>250114</v>
      </c>
      <c r="I8286">
        <v>4580</v>
      </c>
      <c r="J8286" t="s">
        <v>126</v>
      </c>
      <c r="K8286">
        <v>174.24</v>
      </c>
      <c r="L8286">
        <v>17.88</v>
      </c>
      <c r="M8286">
        <v>66754</v>
      </c>
      <c r="N8286" t="s">
        <v>119</v>
      </c>
      <c r="O8286">
        <v>250120</v>
      </c>
      <c r="P8286">
        <v>70.11</v>
      </c>
    </row>
    <row r="8287" spans="1:16" x14ac:dyDescent="0.25">
      <c r="A8287" t="s">
        <v>3296</v>
      </c>
      <c r="B8287" t="s">
        <v>2931</v>
      </c>
      <c r="C8287">
        <v>264</v>
      </c>
      <c r="D8287" t="str">
        <f>"1350468     "</f>
        <v xml:space="preserve">1350468     </v>
      </c>
      <c r="E8287" t="s">
        <v>353</v>
      </c>
      <c r="F8287" t="s">
        <v>355</v>
      </c>
      <c r="G8287">
        <v>59.52</v>
      </c>
      <c r="H8287">
        <v>250114</v>
      </c>
      <c r="I8287">
        <v>4580</v>
      </c>
      <c r="J8287" t="s">
        <v>126</v>
      </c>
      <c r="K8287">
        <v>174.24</v>
      </c>
      <c r="L8287">
        <v>0</v>
      </c>
      <c r="M8287">
        <v>69803</v>
      </c>
      <c r="N8287" t="s">
        <v>391</v>
      </c>
      <c r="O8287">
        <v>250120</v>
      </c>
      <c r="P8287">
        <v>59.52</v>
      </c>
    </row>
    <row r="8288" spans="1:16" x14ac:dyDescent="0.25">
      <c r="A8288" t="s">
        <v>3296</v>
      </c>
      <c r="B8288" t="s">
        <v>2931</v>
      </c>
      <c r="C8288">
        <v>922</v>
      </c>
      <c r="D8288" t="str">
        <f>"1351521     "</f>
        <v xml:space="preserve">1351521     </v>
      </c>
      <c r="E8288" t="s">
        <v>353</v>
      </c>
      <c r="F8288" t="s">
        <v>355</v>
      </c>
      <c r="G8288">
        <v>146.80000000000001</v>
      </c>
      <c r="H8288">
        <v>250128</v>
      </c>
      <c r="I8288">
        <v>4580</v>
      </c>
      <c r="J8288" t="s">
        <v>126</v>
      </c>
      <c r="K8288">
        <v>146.80000000000001</v>
      </c>
      <c r="L8288">
        <v>29.83</v>
      </c>
      <c r="M8288">
        <v>56559</v>
      </c>
      <c r="N8288" t="s">
        <v>51</v>
      </c>
      <c r="O8288">
        <v>250131</v>
      </c>
      <c r="P8288">
        <v>116.97</v>
      </c>
    </row>
    <row r="8289" spans="1:16" x14ac:dyDescent="0.25">
      <c r="A8289" t="s">
        <v>3296</v>
      </c>
      <c r="B8289" t="s">
        <v>2931</v>
      </c>
      <c r="C8289">
        <v>945</v>
      </c>
      <c r="D8289" t="str">
        <f>"1351514     "</f>
        <v xml:space="preserve">1351514     </v>
      </c>
      <c r="E8289" t="s">
        <v>353</v>
      </c>
      <c r="F8289" t="s">
        <v>355</v>
      </c>
      <c r="G8289">
        <v>102.22</v>
      </c>
      <c r="H8289">
        <v>250128</v>
      </c>
      <c r="I8289">
        <v>4580</v>
      </c>
      <c r="J8289" t="s">
        <v>126</v>
      </c>
      <c r="K8289">
        <v>141.32</v>
      </c>
      <c r="L8289">
        <v>20.77</v>
      </c>
      <c r="M8289">
        <v>56522</v>
      </c>
      <c r="N8289" t="s">
        <v>68</v>
      </c>
      <c r="O8289">
        <v>250131</v>
      </c>
      <c r="P8289">
        <v>81.45</v>
      </c>
    </row>
    <row r="8290" spans="1:16" x14ac:dyDescent="0.25">
      <c r="A8290" t="s">
        <v>3296</v>
      </c>
      <c r="B8290" t="s">
        <v>2931</v>
      </c>
      <c r="C8290">
        <v>956</v>
      </c>
      <c r="D8290" t="str">
        <f>"1351529     "</f>
        <v xml:space="preserve">1351529     </v>
      </c>
      <c r="E8290" t="s">
        <v>353</v>
      </c>
      <c r="F8290" t="s">
        <v>355</v>
      </c>
      <c r="G8290">
        <v>9.76</v>
      </c>
      <c r="H8290">
        <v>250128</v>
      </c>
      <c r="I8290">
        <v>4580</v>
      </c>
      <c r="J8290" t="s">
        <v>126</v>
      </c>
      <c r="K8290">
        <v>9.76</v>
      </c>
      <c r="L8290">
        <v>1.98</v>
      </c>
      <c r="M8290">
        <v>56559</v>
      </c>
      <c r="N8290" t="s">
        <v>51</v>
      </c>
      <c r="O8290">
        <v>250131</v>
      </c>
      <c r="P8290">
        <v>7.78</v>
      </c>
    </row>
    <row r="8291" spans="1:16" x14ac:dyDescent="0.25">
      <c r="A8291" t="s">
        <v>3296</v>
      </c>
      <c r="B8291" t="s">
        <v>2931</v>
      </c>
      <c r="C8291">
        <v>985</v>
      </c>
      <c r="D8291" t="str">
        <f>"1351536     "</f>
        <v xml:space="preserve">1351536     </v>
      </c>
      <c r="E8291" t="s">
        <v>353</v>
      </c>
      <c r="F8291" t="s">
        <v>355</v>
      </c>
      <c r="G8291">
        <v>62.32</v>
      </c>
      <c r="H8291">
        <v>250128</v>
      </c>
      <c r="I8291">
        <v>4580</v>
      </c>
      <c r="J8291" t="s">
        <v>126</v>
      </c>
      <c r="K8291">
        <v>73.099999999999994</v>
      </c>
      <c r="L8291">
        <v>12.66</v>
      </c>
      <c r="M8291">
        <v>67522</v>
      </c>
      <c r="N8291" t="s">
        <v>121</v>
      </c>
      <c r="O8291">
        <v>250131</v>
      </c>
      <c r="P8291">
        <v>49.66</v>
      </c>
    </row>
    <row r="8292" spans="1:16" x14ac:dyDescent="0.25">
      <c r="A8292" t="s">
        <v>3296</v>
      </c>
      <c r="B8292" t="s">
        <v>2931</v>
      </c>
      <c r="C8292">
        <v>1081</v>
      </c>
      <c r="D8292" t="str">
        <f>"1351508     "</f>
        <v xml:space="preserve">1351508     </v>
      </c>
      <c r="E8292" t="s">
        <v>353</v>
      </c>
      <c r="F8292" t="s">
        <v>355</v>
      </c>
      <c r="G8292">
        <v>495.39</v>
      </c>
      <c r="H8292">
        <v>250128</v>
      </c>
      <c r="I8292">
        <v>4580</v>
      </c>
      <c r="J8292" t="s">
        <v>126</v>
      </c>
      <c r="K8292">
        <v>495.39</v>
      </c>
      <c r="L8292">
        <v>100.66</v>
      </c>
      <c r="M8292">
        <v>56562</v>
      </c>
      <c r="N8292" t="s">
        <v>54</v>
      </c>
      <c r="O8292">
        <v>250204</v>
      </c>
      <c r="P8292">
        <v>394.73</v>
      </c>
    </row>
    <row r="8293" spans="1:16" x14ac:dyDescent="0.25">
      <c r="A8293" t="s">
        <v>3296</v>
      </c>
      <c r="B8293" t="s">
        <v>2931</v>
      </c>
      <c r="C8293">
        <v>1882</v>
      </c>
      <c r="D8293" t="str">
        <f>"1352861     "</f>
        <v xml:space="preserve">1352861     </v>
      </c>
      <c r="E8293" t="s">
        <v>353</v>
      </c>
      <c r="F8293" t="s">
        <v>355</v>
      </c>
      <c r="G8293">
        <v>70.47</v>
      </c>
      <c r="H8293">
        <v>250211</v>
      </c>
      <c r="I8293">
        <v>4580</v>
      </c>
      <c r="J8293" t="s">
        <v>126</v>
      </c>
      <c r="K8293">
        <v>170.77</v>
      </c>
      <c r="L8293">
        <v>14.32</v>
      </c>
      <c r="M8293">
        <v>67522</v>
      </c>
      <c r="N8293" t="s">
        <v>121</v>
      </c>
      <c r="O8293">
        <v>250214</v>
      </c>
      <c r="P8293">
        <v>56.15</v>
      </c>
    </row>
    <row r="8294" spans="1:16" x14ac:dyDescent="0.25">
      <c r="A8294" t="s">
        <v>3296</v>
      </c>
      <c r="B8294" t="s">
        <v>2931</v>
      </c>
      <c r="C8294">
        <v>1910</v>
      </c>
      <c r="D8294" t="str">
        <f>"1352807     "</f>
        <v xml:space="preserve">1352807     </v>
      </c>
      <c r="E8294" t="s">
        <v>353</v>
      </c>
      <c r="F8294" t="s">
        <v>355</v>
      </c>
      <c r="G8294">
        <v>-3.68</v>
      </c>
      <c r="H8294">
        <v>250211</v>
      </c>
      <c r="I8294">
        <v>4580</v>
      </c>
      <c r="J8294" t="s">
        <v>126</v>
      </c>
      <c r="K8294">
        <v>-3.68</v>
      </c>
      <c r="L8294">
        <v>-0.75</v>
      </c>
      <c r="M8294">
        <v>56559</v>
      </c>
      <c r="N8294" t="s">
        <v>51</v>
      </c>
      <c r="O8294">
        <v>250217</v>
      </c>
      <c r="P8294">
        <v>-2.93</v>
      </c>
    </row>
    <row r="8295" spans="1:16" x14ac:dyDescent="0.25">
      <c r="A8295" t="s">
        <v>3296</v>
      </c>
      <c r="B8295" t="s">
        <v>2931</v>
      </c>
      <c r="C8295">
        <v>2065</v>
      </c>
      <c r="D8295" t="str">
        <f>"1352857     "</f>
        <v xml:space="preserve">1352857     </v>
      </c>
      <c r="E8295" t="s">
        <v>353</v>
      </c>
      <c r="F8295" t="s">
        <v>355</v>
      </c>
      <c r="G8295">
        <v>44.82</v>
      </c>
      <c r="H8295">
        <v>250211</v>
      </c>
      <c r="I8295">
        <v>4580</v>
      </c>
      <c r="J8295" t="s">
        <v>126</v>
      </c>
      <c r="K8295">
        <v>44.82</v>
      </c>
      <c r="L8295">
        <v>9.11</v>
      </c>
      <c r="M8295">
        <v>56559</v>
      </c>
      <c r="N8295" t="s">
        <v>51</v>
      </c>
      <c r="O8295">
        <v>250220</v>
      </c>
      <c r="P8295">
        <v>35.71</v>
      </c>
    </row>
    <row r="8296" spans="1:16" x14ac:dyDescent="0.25">
      <c r="A8296" t="s">
        <v>3296</v>
      </c>
      <c r="B8296" t="s">
        <v>2931</v>
      </c>
      <c r="C8296">
        <v>2067</v>
      </c>
      <c r="D8296" t="str">
        <f>"1352818     "</f>
        <v xml:space="preserve">1352818     </v>
      </c>
      <c r="E8296" t="s">
        <v>353</v>
      </c>
      <c r="F8296" t="s">
        <v>355</v>
      </c>
      <c r="G8296">
        <v>2.35</v>
      </c>
      <c r="H8296">
        <v>250211</v>
      </c>
      <c r="I8296">
        <v>4580</v>
      </c>
      <c r="J8296" t="s">
        <v>126</v>
      </c>
      <c r="K8296">
        <v>2.35</v>
      </c>
      <c r="L8296">
        <v>0.48</v>
      </c>
      <c r="M8296">
        <v>56559</v>
      </c>
      <c r="N8296" t="s">
        <v>51</v>
      </c>
      <c r="O8296">
        <v>250220</v>
      </c>
      <c r="P8296">
        <v>1.87</v>
      </c>
    </row>
    <row r="8297" spans="1:16" x14ac:dyDescent="0.25">
      <c r="A8297" t="s">
        <v>3296</v>
      </c>
      <c r="B8297" t="s">
        <v>2931</v>
      </c>
      <c r="C8297">
        <v>2091</v>
      </c>
      <c r="D8297" t="str">
        <f>"1352801     "</f>
        <v xml:space="preserve">1352801     </v>
      </c>
      <c r="E8297" t="s">
        <v>353</v>
      </c>
      <c r="F8297" t="s">
        <v>355</v>
      </c>
      <c r="G8297">
        <v>39.799999999999997</v>
      </c>
      <c r="H8297">
        <v>250211</v>
      </c>
      <c r="I8297">
        <v>4580</v>
      </c>
      <c r="J8297" t="s">
        <v>126</v>
      </c>
      <c r="K8297">
        <v>39.799999999999997</v>
      </c>
      <c r="L8297">
        <v>8.09</v>
      </c>
      <c r="M8297">
        <v>56559</v>
      </c>
      <c r="N8297" t="s">
        <v>51</v>
      </c>
      <c r="O8297">
        <v>250220</v>
      </c>
      <c r="P8297">
        <v>31.71</v>
      </c>
    </row>
    <row r="8298" spans="1:16" x14ac:dyDescent="0.25">
      <c r="A8298" t="s">
        <v>3296</v>
      </c>
      <c r="B8298" t="s">
        <v>2931</v>
      </c>
      <c r="C8298">
        <v>2092</v>
      </c>
      <c r="D8298" t="str">
        <f>"1352847     "</f>
        <v xml:space="preserve">1352847     </v>
      </c>
      <c r="E8298" t="s">
        <v>353</v>
      </c>
      <c r="F8298" t="s">
        <v>355</v>
      </c>
      <c r="G8298">
        <v>15.8</v>
      </c>
      <c r="H8298">
        <v>250211</v>
      </c>
      <c r="I8298">
        <v>4580</v>
      </c>
      <c r="J8298" t="s">
        <v>126</v>
      </c>
      <c r="K8298">
        <v>15.8</v>
      </c>
      <c r="L8298">
        <v>3.21</v>
      </c>
      <c r="M8298">
        <v>56559</v>
      </c>
      <c r="N8298" t="s">
        <v>51</v>
      </c>
      <c r="O8298">
        <v>250220</v>
      </c>
      <c r="P8298">
        <v>12.59</v>
      </c>
    </row>
    <row r="8299" spans="1:16" x14ac:dyDescent="0.25">
      <c r="A8299" t="s">
        <v>3296</v>
      </c>
      <c r="B8299" t="s">
        <v>2931</v>
      </c>
      <c r="C8299">
        <v>2101</v>
      </c>
      <c r="D8299" t="str">
        <f>"1352823     "</f>
        <v xml:space="preserve">1352823     </v>
      </c>
      <c r="E8299" t="s">
        <v>353</v>
      </c>
      <c r="F8299" t="s">
        <v>355</v>
      </c>
      <c r="G8299">
        <v>20.88</v>
      </c>
      <c r="H8299">
        <v>250211</v>
      </c>
      <c r="I8299">
        <v>4580</v>
      </c>
      <c r="J8299" t="s">
        <v>126</v>
      </c>
      <c r="K8299">
        <v>20.88</v>
      </c>
      <c r="L8299">
        <v>4.24</v>
      </c>
      <c r="M8299">
        <v>56559</v>
      </c>
      <c r="N8299" t="s">
        <v>51</v>
      </c>
      <c r="O8299">
        <v>250220</v>
      </c>
      <c r="P8299">
        <v>16.64</v>
      </c>
    </row>
    <row r="8300" spans="1:16" x14ac:dyDescent="0.25">
      <c r="A8300" t="s">
        <v>3296</v>
      </c>
      <c r="B8300" t="s">
        <v>2931</v>
      </c>
      <c r="C8300">
        <v>2104</v>
      </c>
      <c r="D8300" t="str">
        <f>"1352844     "</f>
        <v xml:space="preserve">1352844     </v>
      </c>
      <c r="E8300" t="s">
        <v>353</v>
      </c>
      <c r="F8300" t="s">
        <v>355</v>
      </c>
      <c r="G8300">
        <v>48.18</v>
      </c>
      <c r="H8300">
        <v>250211</v>
      </c>
      <c r="I8300">
        <v>4580</v>
      </c>
      <c r="J8300" t="s">
        <v>126</v>
      </c>
      <c r="K8300">
        <v>48.18</v>
      </c>
      <c r="L8300">
        <v>9.7899999999999991</v>
      </c>
      <c r="M8300">
        <v>56559</v>
      </c>
      <c r="N8300" t="s">
        <v>51</v>
      </c>
      <c r="O8300">
        <v>250220</v>
      </c>
      <c r="P8300">
        <v>38.39</v>
      </c>
    </row>
    <row r="8301" spans="1:16" x14ac:dyDescent="0.25">
      <c r="A8301" t="s">
        <v>3296</v>
      </c>
      <c r="B8301" t="s">
        <v>2931</v>
      </c>
      <c r="C8301">
        <v>2525</v>
      </c>
      <c r="D8301" t="str">
        <f>"1354318     "</f>
        <v xml:space="preserve">1354318     </v>
      </c>
      <c r="E8301" t="s">
        <v>353</v>
      </c>
      <c r="F8301" t="s">
        <v>355</v>
      </c>
      <c r="G8301">
        <v>55.81</v>
      </c>
      <c r="H8301">
        <v>250226</v>
      </c>
      <c r="I8301">
        <v>4580</v>
      </c>
      <c r="J8301" t="s">
        <v>126</v>
      </c>
      <c r="K8301">
        <v>55.81</v>
      </c>
      <c r="L8301">
        <v>11.34</v>
      </c>
      <c r="M8301">
        <v>56559</v>
      </c>
      <c r="N8301" t="s">
        <v>51</v>
      </c>
      <c r="O8301">
        <v>250303</v>
      </c>
      <c r="P8301">
        <v>44.47</v>
      </c>
    </row>
    <row r="8302" spans="1:16" x14ac:dyDescent="0.25">
      <c r="A8302" t="s">
        <v>3296</v>
      </c>
      <c r="B8302" t="s">
        <v>2931</v>
      </c>
      <c r="C8302">
        <v>2526</v>
      </c>
      <c r="D8302" t="str">
        <f>"1354329     "</f>
        <v xml:space="preserve">1354329     </v>
      </c>
      <c r="E8302" t="s">
        <v>353</v>
      </c>
      <c r="F8302" t="s">
        <v>355</v>
      </c>
      <c r="G8302">
        <v>10</v>
      </c>
      <c r="H8302">
        <v>250226</v>
      </c>
      <c r="I8302">
        <v>4580</v>
      </c>
      <c r="J8302" t="s">
        <v>126</v>
      </c>
      <c r="K8302">
        <v>10</v>
      </c>
      <c r="L8302">
        <v>2.0299999999999998</v>
      </c>
      <c r="M8302">
        <v>59504</v>
      </c>
      <c r="N8302" t="s">
        <v>193</v>
      </c>
      <c r="O8302">
        <v>250303</v>
      </c>
      <c r="P8302">
        <v>7.97</v>
      </c>
    </row>
    <row r="8303" spans="1:16" x14ac:dyDescent="0.25">
      <c r="A8303" t="s">
        <v>3296</v>
      </c>
      <c r="B8303" t="s">
        <v>2931</v>
      </c>
      <c r="C8303">
        <v>2699</v>
      </c>
      <c r="D8303" t="str">
        <f>"1354337     "</f>
        <v xml:space="preserve">1354337     </v>
      </c>
      <c r="E8303" t="s">
        <v>353</v>
      </c>
      <c r="F8303" t="s">
        <v>355</v>
      </c>
      <c r="G8303">
        <v>47.5</v>
      </c>
      <c r="H8303">
        <v>250226</v>
      </c>
      <c r="I8303">
        <v>4580</v>
      </c>
      <c r="J8303" t="s">
        <v>126</v>
      </c>
      <c r="K8303">
        <v>47.5</v>
      </c>
      <c r="L8303">
        <v>9.65</v>
      </c>
      <c r="M8303">
        <v>69501</v>
      </c>
      <c r="N8303" t="s">
        <v>123</v>
      </c>
      <c r="O8303">
        <v>250311</v>
      </c>
      <c r="P8303">
        <v>37.85</v>
      </c>
    </row>
    <row r="8304" spans="1:16" x14ac:dyDescent="0.25">
      <c r="A8304" t="s">
        <v>3296</v>
      </c>
      <c r="B8304" t="s">
        <v>2931</v>
      </c>
      <c r="C8304">
        <v>2700</v>
      </c>
      <c r="D8304" t="str">
        <f>"1354302     "</f>
        <v xml:space="preserve">1354302     </v>
      </c>
      <c r="E8304" t="s">
        <v>353</v>
      </c>
      <c r="F8304" t="s">
        <v>355</v>
      </c>
      <c r="G8304">
        <v>5.15</v>
      </c>
      <c r="H8304">
        <v>250226</v>
      </c>
      <c r="I8304">
        <v>4580</v>
      </c>
      <c r="J8304" t="s">
        <v>126</v>
      </c>
      <c r="K8304">
        <v>5.15</v>
      </c>
      <c r="L8304">
        <v>1.05</v>
      </c>
      <c r="M8304">
        <v>56559</v>
      </c>
      <c r="N8304" t="s">
        <v>51</v>
      </c>
      <c r="O8304">
        <v>250311</v>
      </c>
      <c r="P8304">
        <v>4.0999999999999996</v>
      </c>
    </row>
    <row r="8305" spans="1:16" x14ac:dyDescent="0.25">
      <c r="A8305" t="s">
        <v>3296</v>
      </c>
      <c r="B8305" t="s">
        <v>2931</v>
      </c>
      <c r="C8305">
        <v>2706</v>
      </c>
      <c r="D8305" t="str">
        <f>"1354336     "</f>
        <v xml:space="preserve">1354336     </v>
      </c>
      <c r="E8305" t="s">
        <v>353</v>
      </c>
      <c r="F8305" t="s">
        <v>355</v>
      </c>
      <c r="G8305">
        <v>306.17</v>
      </c>
      <c r="H8305">
        <v>250226</v>
      </c>
      <c r="I8305">
        <v>4580</v>
      </c>
      <c r="J8305" t="s">
        <v>126</v>
      </c>
      <c r="K8305">
        <v>701.97</v>
      </c>
      <c r="L8305">
        <v>62.21</v>
      </c>
      <c r="M8305">
        <v>67522</v>
      </c>
      <c r="N8305" t="s">
        <v>121</v>
      </c>
      <c r="O8305">
        <v>250311</v>
      </c>
      <c r="P8305">
        <v>243.96</v>
      </c>
    </row>
    <row r="8306" spans="1:16" x14ac:dyDescent="0.25">
      <c r="A8306" t="s">
        <v>3296</v>
      </c>
      <c r="B8306" t="s">
        <v>2931</v>
      </c>
      <c r="C8306">
        <v>2706</v>
      </c>
      <c r="D8306" t="str">
        <f>"1354336     "</f>
        <v xml:space="preserve">1354336     </v>
      </c>
      <c r="E8306" t="s">
        <v>353</v>
      </c>
      <c r="F8306" t="s">
        <v>355</v>
      </c>
      <c r="G8306">
        <v>395.8</v>
      </c>
      <c r="H8306">
        <v>250226</v>
      </c>
      <c r="I8306">
        <v>4580</v>
      </c>
      <c r="J8306" t="s">
        <v>126</v>
      </c>
      <c r="K8306">
        <v>701.97</v>
      </c>
      <c r="L8306">
        <v>80.42</v>
      </c>
      <c r="M8306">
        <v>67554</v>
      </c>
      <c r="N8306" t="s">
        <v>317</v>
      </c>
      <c r="O8306">
        <v>250311</v>
      </c>
      <c r="P8306">
        <v>315.38</v>
      </c>
    </row>
    <row r="8307" spans="1:16" x14ac:dyDescent="0.25">
      <c r="A8307" t="s">
        <v>3296</v>
      </c>
      <c r="B8307" t="s">
        <v>2931</v>
      </c>
      <c r="C8307">
        <v>2773</v>
      </c>
      <c r="D8307" t="str">
        <f>"1354334     "</f>
        <v xml:space="preserve">1354334     </v>
      </c>
      <c r="E8307" t="s">
        <v>353</v>
      </c>
      <c r="F8307" t="s">
        <v>355</v>
      </c>
      <c r="G8307">
        <v>149</v>
      </c>
      <c r="H8307">
        <v>250226</v>
      </c>
      <c r="I8307">
        <v>4580</v>
      </c>
      <c r="J8307" t="s">
        <v>126</v>
      </c>
      <c r="K8307">
        <v>149</v>
      </c>
      <c r="L8307">
        <v>30.27</v>
      </c>
      <c r="M8307">
        <v>66756</v>
      </c>
      <c r="N8307" t="s">
        <v>120</v>
      </c>
      <c r="O8307">
        <v>250312</v>
      </c>
      <c r="P8307">
        <v>118.73</v>
      </c>
    </row>
    <row r="8308" spans="1:16" x14ac:dyDescent="0.25">
      <c r="A8308" t="s">
        <v>3296</v>
      </c>
      <c r="B8308" t="s">
        <v>2931</v>
      </c>
      <c r="C8308">
        <v>3115</v>
      </c>
      <c r="D8308" t="str">
        <f>"1355092     "</f>
        <v xml:space="preserve">1355092     </v>
      </c>
      <c r="E8308" t="s">
        <v>353</v>
      </c>
      <c r="F8308" t="s">
        <v>355</v>
      </c>
      <c r="G8308">
        <v>200.45</v>
      </c>
      <c r="H8308">
        <v>250228</v>
      </c>
      <c r="I8308">
        <v>4580</v>
      </c>
      <c r="J8308" t="s">
        <v>126</v>
      </c>
      <c r="K8308">
        <v>200.45</v>
      </c>
      <c r="L8308">
        <v>40.729999999999997</v>
      </c>
      <c r="M8308">
        <v>56559</v>
      </c>
      <c r="N8308" t="s">
        <v>51</v>
      </c>
      <c r="O8308">
        <v>250314</v>
      </c>
      <c r="P8308">
        <v>159.72</v>
      </c>
    </row>
    <row r="8309" spans="1:16" x14ac:dyDescent="0.25">
      <c r="A8309" t="s">
        <v>3296</v>
      </c>
      <c r="B8309" t="s">
        <v>2931</v>
      </c>
      <c r="C8309">
        <v>3835</v>
      </c>
      <c r="D8309" t="str">
        <f>"1356241     "</f>
        <v xml:space="preserve">1356241     </v>
      </c>
      <c r="E8309" t="s">
        <v>353</v>
      </c>
      <c r="F8309" t="s">
        <v>355</v>
      </c>
      <c r="G8309">
        <v>58.2</v>
      </c>
      <c r="H8309">
        <v>250319</v>
      </c>
      <c r="I8309">
        <v>4580</v>
      </c>
      <c r="J8309" t="s">
        <v>126</v>
      </c>
      <c r="K8309">
        <v>90.59</v>
      </c>
      <c r="L8309">
        <v>11.83</v>
      </c>
      <c r="M8309">
        <v>67522</v>
      </c>
      <c r="N8309" t="s">
        <v>121</v>
      </c>
      <c r="O8309">
        <v>250402</v>
      </c>
      <c r="P8309">
        <v>46.37</v>
      </c>
    </row>
    <row r="8310" spans="1:16" x14ac:dyDescent="0.25">
      <c r="A8310" t="s">
        <v>3296</v>
      </c>
      <c r="B8310" t="s">
        <v>2931</v>
      </c>
      <c r="C8310">
        <v>3927</v>
      </c>
      <c r="D8310" t="str">
        <f>"1356224     "</f>
        <v xml:space="preserve">1356224     </v>
      </c>
      <c r="E8310" t="s">
        <v>353</v>
      </c>
      <c r="F8310" t="s">
        <v>355</v>
      </c>
      <c r="G8310">
        <v>7.59</v>
      </c>
      <c r="H8310">
        <v>250319</v>
      </c>
      <c r="I8310">
        <v>4580</v>
      </c>
      <c r="J8310" t="s">
        <v>126</v>
      </c>
      <c r="K8310">
        <v>7.59</v>
      </c>
      <c r="L8310">
        <v>1.54</v>
      </c>
      <c r="M8310">
        <v>56559</v>
      </c>
      <c r="N8310" t="s">
        <v>51</v>
      </c>
      <c r="O8310">
        <v>250404</v>
      </c>
      <c r="P8310">
        <v>6.05</v>
      </c>
    </row>
    <row r="8311" spans="1:16" x14ac:dyDescent="0.25">
      <c r="A8311" t="s">
        <v>3296</v>
      </c>
      <c r="B8311" t="s">
        <v>2931</v>
      </c>
      <c r="C8311">
        <v>3937</v>
      </c>
      <c r="D8311" t="str">
        <f>"1356230     "</f>
        <v xml:space="preserve">1356230     </v>
      </c>
      <c r="E8311" t="s">
        <v>353</v>
      </c>
      <c r="F8311" t="s">
        <v>355</v>
      </c>
      <c r="G8311">
        <v>25</v>
      </c>
      <c r="H8311">
        <v>250319</v>
      </c>
      <c r="I8311">
        <v>4580</v>
      </c>
      <c r="J8311" t="s">
        <v>126</v>
      </c>
      <c r="K8311">
        <v>25</v>
      </c>
      <c r="L8311">
        <v>5.08</v>
      </c>
      <c r="M8311">
        <v>56522</v>
      </c>
      <c r="N8311" t="s">
        <v>68</v>
      </c>
      <c r="O8311">
        <v>250404</v>
      </c>
      <c r="P8311">
        <v>19.920000000000002</v>
      </c>
    </row>
    <row r="8312" spans="1:16" x14ac:dyDescent="0.25">
      <c r="A8312" t="s">
        <v>3296</v>
      </c>
      <c r="B8312" t="s">
        <v>2931</v>
      </c>
      <c r="C8312">
        <v>3994</v>
      </c>
      <c r="D8312" t="str">
        <f>"1356213     "</f>
        <v xml:space="preserve">1356213     </v>
      </c>
      <c r="E8312" t="s">
        <v>353</v>
      </c>
      <c r="F8312" t="s">
        <v>355</v>
      </c>
      <c r="G8312">
        <v>16.149999999999999</v>
      </c>
      <c r="H8312">
        <v>250319</v>
      </c>
      <c r="I8312">
        <v>4580</v>
      </c>
      <c r="J8312" t="s">
        <v>126</v>
      </c>
      <c r="K8312">
        <v>16.149999999999999</v>
      </c>
      <c r="L8312">
        <v>3.28</v>
      </c>
      <c r="M8312">
        <v>56559</v>
      </c>
      <c r="N8312" t="s">
        <v>51</v>
      </c>
      <c r="O8312">
        <v>250404</v>
      </c>
      <c r="P8312">
        <v>12.87</v>
      </c>
    </row>
    <row r="8313" spans="1:16" x14ac:dyDescent="0.25">
      <c r="A8313" t="s">
        <v>3296</v>
      </c>
      <c r="B8313" t="s">
        <v>2931</v>
      </c>
      <c r="C8313">
        <v>4591</v>
      </c>
      <c r="D8313" t="str">
        <f>"1357018     "</f>
        <v xml:space="preserve">1357018     </v>
      </c>
      <c r="E8313" t="s">
        <v>353</v>
      </c>
      <c r="F8313" t="s">
        <v>355</v>
      </c>
      <c r="G8313">
        <v>250</v>
      </c>
      <c r="H8313">
        <v>250331</v>
      </c>
      <c r="I8313">
        <v>4580</v>
      </c>
      <c r="J8313" t="s">
        <v>126</v>
      </c>
      <c r="K8313">
        <v>250</v>
      </c>
      <c r="L8313">
        <v>50.8</v>
      </c>
      <c r="M8313">
        <v>56559</v>
      </c>
      <c r="N8313" t="s">
        <v>51</v>
      </c>
      <c r="O8313">
        <v>250414</v>
      </c>
      <c r="P8313">
        <v>199.2</v>
      </c>
    </row>
    <row r="8314" spans="1:16" x14ac:dyDescent="0.25">
      <c r="A8314" t="s">
        <v>3296</v>
      </c>
      <c r="B8314" t="s">
        <v>2931</v>
      </c>
      <c r="C8314">
        <v>4597</v>
      </c>
      <c r="D8314" t="str">
        <f>"1356996     "</f>
        <v xml:space="preserve">1356996     </v>
      </c>
      <c r="E8314" t="s">
        <v>353</v>
      </c>
      <c r="F8314" t="s">
        <v>355</v>
      </c>
      <c r="G8314">
        <v>124</v>
      </c>
      <c r="H8314">
        <v>250331</v>
      </c>
      <c r="I8314">
        <v>4580</v>
      </c>
      <c r="J8314" t="s">
        <v>126</v>
      </c>
      <c r="K8314">
        <v>124</v>
      </c>
      <c r="L8314">
        <v>25.2</v>
      </c>
      <c r="M8314">
        <v>56559</v>
      </c>
      <c r="N8314" t="s">
        <v>51</v>
      </c>
      <c r="O8314">
        <v>250414</v>
      </c>
      <c r="P8314">
        <v>98.8</v>
      </c>
    </row>
    <row r="8315" spans="1:16" x14ac:dyDescent="0.25">
      <c r="A8315" t="s">
        <v>3296</v>
      </c>
      <c r="B8315" t="s">
        <v>2931</v>
      </c>
      <c r="C8315">
        <v>5445</v>
      </c>
      <c r="D8315" t="str">
        <f>"1358584     "</f>
        <v xml:space="preserve">1358584     </v>
      </c>
      <c r="E8315" t="s">
        <v>353</v>
      </c>
      <c r="F8315" t="s">
        <v>355</v>
      </c>
      <c r="G8315">
        <v>26.54</v>
      </c>
      <c r="H8315">
        <v>250416</v>
      </c>
      <c r="I8315">
        <v>4580</v>
      </c>
      <c r="J8315" t="s">
        <v>126</v>
      </c>
      <c r="K8315">
        <v>26.54</v>
      </c>
      <c r="L8315">
        <v>5.39</v>
      </c>
      <c r="M8315">
        <v>67522</v>
      </c>
      <c r="N8315" t="s">
        <v>121</v>
      </c>
      <c r="O8315">
        <v>250424</v>
      </c>
      <c r="P8315">
        <v>21.15</v>
      </c>
    </row>
    <row r="8316" spans="1:16" x14ac:dyDescent="0.25">
      <c r="A8316" t="s">
        <v>3296</v>
      </c>
      <c r="B8316" t="s">
        <v>2931</v>
      </c>
      <c r="C8316">
        <v>5451</v>
      </c>
      <c r="D8316" t="str">
        <f>"1358582     "</f>
        <v xml:space="preserve">1358582     </v>
      </c>
      <c r="E8316" t="s">
        <v>353</v>
      </c>
      <c r="F8316" t="s">
        <v>355</v>
      </c>
      <c r="G8316">
        <v>21.75</v>
      </c>
      <c r="H8316">
        <v>250416</v>
      </c>
      <c r="I8316">
        <v>4580</v>
      </c>
      <c r="J8316" t="s">
        <v>126</v>
      </c>
      <c r="K8316">
        <v>37.299999999999997</v>
      </c>
      <c r="L8316">
        <v>4.42</v>
      </c>
      <c r="M8316">
        <v>67522</v>
      </c>
      <c r="N8316" t="s">
        <v>121</v>
      </c>
      <c r="O8316">
        <v>250424</v>
      </c>
      <c r="P8316">
        <v>17.329999999999998</v>
      </c>
    </row>
    <row r="8317" spans="1:16" x14ac:dyDescent="0.25">
      <c r="A8317" t="s">
        <v>3296</v>
      </c>
      <c r="B8317" t="s">
        <v>2931</v>
      </c>
      <c r="C8317">
        <v>6035</v>
      </c>
      <c r="D8317" t="str">
        <f>"1359890     "</f>
        <v xml:space="preserve">1359890     </v>
      </c>
      <c r="E8317" t="s">
        <v>353</v>
      </c>
      <c r="F8317" t="s">
        <v>355</v>
      </c>
      <c r="G8317">
        <v>79</v>
      </c>
      <c r="H8317">
        <v>250430</v>
      </c>
      <c r="I8317">
        <v>4580</v>
      </c>
      <c r="J8317" t="s">
        <v>126</v>
      </c>
      <c r="K8317">
        <v>79</v>
      </c>
      <c r="L8317">
        <v>16.05</v>
      </c>
      <c r="M8317">
        <v>56565</v>
      </c>
      <c r="N8317" t="s">
        <v>57</v>
      </c>
      <c r="O8317">
        <v>250508</v>
      </c>
      <c r="P8317">
        <v>62.95</v>
      </c>
    </row>
    <row r="8318" spans="1:16" x14ac:dyDescent="0.25">
      <c r="A8318" t="s">
        <v>3296</v>
      </c>
      <c r="B8318" t="s">
        <v>2931</v>
      </c>
      <c r="C8318">
        <v>6060</v>
      </c>
      <c r="D8318" t="str">
        <f>"1359908     "</f>
        <v xml:space="preserve">1359908     </v>
      </c>
      <c r="E8318" t="s">
        <v>353</v>
      </c>
      <c r="F8318" t="s">
        <v>355</v>
      </c>
      <c r="G8318">
        <v>128.80000000000001</v>
      </c>
      <c r="H8318">
        <v>250430</v>
      </c>
      <c r="I8318">
        <v>4580</v>
      </c>
      <c r="J8318" t="s">
        <v>126</v>
      </c>
      <c r="K8318">
        <v>128.80000000000001</v>
      </c>
      <c r="L8318">
        <v>26.17</v>
      </c>
      <c r="M8318">
        <v>67554</v>
      </c>
      <c r="N8318" t="s">
        <v>317</v>
      </c>
      <c r="O8318">
        <v>250508</v>
      </c>
      <c r="P8318">
        <v>102.63</v>
      </c>
    </row>
    <row r="8319" spans="1:16" x14ac:dyDescent="0.25">
      <c r="A8319" t="s">
        <v>3296</v>
      </c>
      <c r="B8319" t="s">
        <v>2931</v>
      </c>
      <c r="C8319">
        <v>6954</v>
      </c>
      <c r="D8319" t="str">
        <f>"1360565     "</f>
        <v xml:space="preserve">1360565     </v>
      </c>
      <c r="E8319" t="s">
        <v>353</v>
      </c>
      <c r="F8319" t="s">
        <v>355</v>
      </c>
      <c r="G8319">
        <v>-12.51</v>
      </c>
      <c r="H8319">
        <v>250513</v>
      </c>
      <c r="I8319">
        <v>4580</v>
      </c>
      <c r="J8319" t="s">
        <v>126</v>
      </c>
      <c r="K8319">
        <v>-12.51</v>
      </c>
      <c r="L8319">
        <v>-2.54</v>
      </c>
      <c r="M8319">
        <v>56559</v>
      </c>
      <c r="N8319" t="s">
        <v>51</v>
      </c>
      <c r="O8319">
        <v>250521</v>
      </c>
      <c r="P8319">
        <v>-9.9700000000000006</v>
      </c>
    </row>
    <row r="8320" spans="1:16" x14ac:dyDescent="0.25">
      <c r="A8320" t="s">
        <v>3296</v>
      </c>
      <c r="B8320" t="s">
        <v>2931</v>
      </c>
      <c r="C8320">
        <v>7936</v>
      </c>
      <c r="D8320" t="str">
        <f>"1362761     "</f>
        <v xml:space="preserve">1362761     </v>
      </c>
      <c r="E8320" t="s">
        <v>353</v>
      </c>
      <c r="F8320" t="s">
        <v>355</v>
      </c>
      <c r="G8320">
        <v>6.17</v>
      </c>
      <c r="H8320">
        <v>250531</v>
      </c>
      <c r="I8320">
        <v>4580</v>
      </c>
      <c r="J8320" t="s">
        <v>126</v>
      </c>
      <c r="K8320">
        <v>22.17</v>
      </c>
      <c r="L8320">
        <v>1.25</v>
      </c>
      <c r="M8320">
        <v>59504</v>
      </c>
      <c r="N8320" t="s">
        <v>193</v>
      </c>
      <c r="O8320">
        <v>250610</v>
      </c>
      <c r="P8320">
        <v>4.92</v>
      </c>
    </row>
    <row r="8321" spans="1:16" x14ac:dyDescent="0.25">
      <c r="A8321" t="s">
        <v>3296</v>
      </c>
      <c r="B8321" t="s">
        <v>2931</v>
      </c>
      <c r="C8321">
        <v>7948</v>
      </c>
      <c r="D8321" t="str">
        <f>"1362732     "</f>
        <v xml:space="preserve">1362732     </v>
      </c>
      <c r="E8321" t="s">
        <v>353</v>
      </c>
      <c r="F8321" t="s">
        <v>355</v>
      </c>
      <c r="G8321">
        <v>12.12</v>
      </c>
      <c r="H8321">
        <v>250531</v>
      </c>
      <c r="I8321">
        <v>4580</v>
      </c>
      <c r="J8321" t="s">
        <v>126</v>
      </c>
      <c r="K8321">
        <v>12.12</v>
      </c>
      <c r="L8321">
        <v>2.46</v>
      </c>
      <c r="M8321">
        <v>56559</v>
      </c>
      <c r="N8321" t="s">
        <v>51</v>
      </c>
      <c r="O8321">
        <v>250610</v>
      </c>
      <c r="P8321">
        <v>9.66</v>
      </c>
    </row>
    <row r="8322" spans="1:16" x14ac:dyDescent="0.25">
      <c r="A8322" t="s">
        <v>3296</v>
      </c>
      <c r="B8322" t="s">
        <v>2931</v>
      </c>
      <c r="C8322">
        <v>7953</v>
      </c>
      <c r="D8322" t="str">
        <f>"1362756     "</f>
        <v xml:space="preserve">1362756     </v>
      </c>
      <c r="E8322" t="s">
        <v>353</v>
      </c>
      <c r="F8322" t="s">
        <v>355</v>
      </c>
      <c r="G8322">
        <v>52.2</v>
      </c>
      <c r="H8322">
        <v>250531</v>
      </c>
      <c r="I8322">
        <v>4580</v>
      </c>
      <c r="J8322" t="s">
        <v>126</v>
      </c>
      <c r="K8322">
        <v>52.2</v>
      </c>
      <c r="L8322">
        <v>10.61</v>
      </c>
      <c r="M8322">
        <v>56522</v>
      </c>
      <c r="N8322" t="s">
        <v>68</v>
      </c>
      <c r="O8322">
        <v>250610</v>
      </c>
      <c r="P8322">
        <v>41.59</v>
      </c>
    </row>
    <row r="8323" spans="1:16" x14ac:dyDescent="0.25">
      <c r="A8323" t="s">
        <v>3296</v>
      </c>
      <c r="B8323" t="s">
        <v>2931</v>
      </c>
      <c r="C8323">
        <v>7996</v>
      </c>
      <c r="D8323" t="str">
        <f>"1362760     "</f>
        <v xml:space="preserve">1362760     </v>
      </c>
      <c r="E8323" t="s">
        <v>353</v>
      </c>
      <c r="F8323" t="s">
        <v>355</v>
      </c>
      <c r="G8323">
        <v>3.6</v>
      </c>
      <c r="H8323">
        <v>250531</v>
      </c>
      <c r="I8323">
        <v>4580</v>
      </c>
      <c r="J8323" t="s">
        <v>126</v>
      </c>
      <c r="K8323">
        <v>3.6</v>
      </c>
      <c r="L8323">
        <v>0.73</v>
      </c>
      <c r="M8323">
        <v>56559</v>
      </c>
      <c r="N8323" t="s">
        <v>51</v>
      </c>
      <c r="O8323">
        <v>250610</v>
      </c>
      <c r="P8323">
        <v>2.87</v>
      </c>
    </row>
    <row r="8324" spans="1:16" x14ac:dyDescent="0.25">
      <c r="A8324" t="s">
        <v>3296</v>
      </c>
      <c r="B8324" t="s">
        <v>2931</v>
      </c>
      <c r="C8324">
        <v>8023</v>
      </c>
      <c r="D8324" t="str">
        <f>"1362759     "</f>
        <v xml:space="preserve">1362759     </v>
      </c>
      <c r="E8324" t="s">
        <v>353</v>
      </c>
      <c r="F8324" t="s">
        <v>355</v>
      </c>
      <c r="G8324">
        <v>41.13</v>
      </c>
      <c r="H8324">
        <v>250531</v>
      </c>
      <c r="I8324">
        <v>4580</v>
      </c>
      <c r="J8324" t="s">
        <v>126</v>
      </c>
      <c r="K8324">
        <v>41.13</v>
      </c>
      <c r="L8324">
        <v>8.36</v>
      </c>
      <c r="M8324">
        <v>56559</v>
      </c>
      <c r="N8324" t="s">
        <v>51</v>
      </c>
      <c r="O8324">
        <v>250611</v>
      </c>
      <c r="P8324">
        <v>32.770000000000003</v>
      </c>
    </row>
    <row r="8325" spans="1:16" x14ac:dyDescent="0.25">
      <c r="A8325" t="s">
        <v>3296</v>
      </c>
      <c r="B8325" t="s">
        <v>2931</v>
      </c>
      <c r="C8325">
        <v>10479</v>
      </c>
      <c r="D8325" t="str">
        <f>"1368554     "</f>
        <v xml:space="preserve">1368554     </v>
      </c>
      <c r="E8325" t="s">
        <v>353</v>
      </c>
      <c r="F8325" t="s">
        <v>355</v>
      </c>
      <c r="G8325">
        <v>5.22</v>
      </c>
      <c r="H8325">
        <v>250813</v>
      </c>
      <c r="I8325">
        <v>4580</v>
      </c>
      <c r="J8325" t="s">
        <v>126</v>
      </c>
      <c r="K8325">
        <v>5.22</v>
      </c>
      <c r="L8325">
        <v>1.06</v>
      </c>
      <c r="M8325">
        <v>56559</v>
      </c>
      <c r="N8325" t="s">
        <v>51</v>
      </c>
      <c r="O8325">
        <v>250820</v>
      </c>
      <c r="P8325">
        <v>4.16</v>
      </c>
    </row>
    <row r="8326" spans="1:16" x14ac:dyDescent="0.25">
      <c r="A8326" t="s">
        <v>3296</v>
      </c>
      <c r="B8326" t="s">
        <v>2931</v>
      </c>
      <c r="C8326">
        <v>11032</v>
      </c>
      <c r="D8326" t="str">
        <f>"1369244     "</f>
        <v xml:space="preserve">1369244     </v>
      </c>
      <c r="E8326" t="s">
        <v>353</v>
      </c>
      <c r="F8326" t="s">
        <v>355</v>
      </c>
      <c r="G8326">
        <v>199.14</v>
      </c>
      <c r="H8326">
        <v>250827</v>
      </c>
      <c r="I8326">
        <v>4580</v>
      </c>
      <c r="J8326" t="s">
        <v>126</v>
      </c>
      <c r="K8326">
        <v>199.14</v>
      </c>
      <c r="L8326">
        <v>40.46</v>
      </c>
      <c r="M8326">
        <v>56559</v>
      </c>
      <c r="N8326" t="s">
        <v>51</v>
      </c>
      <c r="O8326">
        <v>250829</v>
      </c>
      <c r="P8326">
        <v>158.68</v>
      </c>
    </row>
    <row r="8327" spans="1:16" x14ac:dyDescent="0.25">
      <c r="A8327" t="s">
        <v>3296</v>
      </c>
      <c r="B8327" t="s">
        <v>2931</v>
      </c>
      <c r="C8327">
        <v>11033</v>
      </c>
      <c r="D8327" t="str">
        <f>"1369246     "</f>
        <v xml:space="preserve">1369246     </v>
      </c>
      <c r="E8327" t="s">
        <v>353</v>
      </c>
      <c r="F8327" t="s">
        <v>355</v>
      </c>
      <c r="G8327">
        <v>20</v>
      </c>
      <c r="H8327">
        <v>250827</v>
      </c>
      <c r="I8327">
        <v>4580</v>
      </c>
      <c r="J8327" t="s">
        <v>126</v>
      </c>
      <c r="K8327">
        <v>20</v>
      </c>
      <c r="L8327">
        <v>4.0599999999999996</v>
      </c>
      <c r="M8327">
        <v>56559</v>
      </c>
      <c r="N8327" t="s">
        <v>51</v>
      </c>
      <c r="O8327">
        <v>250829</v>
      </c>
      <c r="P8327">
        <v>15.94</v>
      </c>
    </row>
    <row r="8328" spans="1:16" x14ac:dyDescent="0.25">
      <c r="A8328" t="s">
        <v>3296</v>
      </c>
      <c r="B8328" t="s">
        <v>2931</v>
      </c>
      <c r="C8328">
        <v>11039</v>
      </c>
      <c r="D8328" t="str">
        <f>"1369247     "</f>
        <v xml:space="preserve">1369247     </v>
      </c>
      <c r="E8328" t="s">
        <v>353</v>
      </c>
      <c r="F8328" t="s">
        <v>355</v>
      </c>
      <c r="G8328">
        <v>40</v>
      </c>
      <c r="H8328">
        <v>250827</v>
      </c>
      <c r="I8328">
        <v>4580</v>
      </c>
      <c r="J8328" t="s">
        <v>126</v>
      </c>
      <c r="K8328">
        <v>40</v>
      </c>
      <c r="L8328">
        <v>8.1300000000000008</v>
      </c>
      <c r="M8328">
        <v>56559</v>
      </c>
      <c r="N8328" t="s">
        <v>51</v>
      </c>
      <c r="O8328">
        <v>250829</v>
      </c>
      <c r="P8328">
        <v>31.87</v>
      </c>
    </row>
    <row r="8329" spans="1:16" x14ac:dyDescent="0.25">
      <c r="A8329" t="s">
        <v>3296</v>
      </c>
      <c r="B8329" t="s">
        <v>2931</v>
      </c>
      <c r="C8329">
        <v>11047</v>
      </c>
      <c r="D8329" t="str">
        <f>"1369254     "</f>
        <v xml:space="preserve">1369254     </v>
      </c>
      <c r="E8329" t="s">
        <v>353</v>
      </c>
      <c r="F8329" t="s">
        <v>355</v>
      </c>
      <c r="G8329">
        <v>42.3</v>
      </c>
      <c r="H8329">
        <v>250827</v>
      </c>
      <c r="I8329">
        <v>4580</v>
      </c>
      <c r="J8329" t="s">
        <v>126</v>
      </c>
      <c r="K8329">
        <v>42.3</v>
      </c>
      <c r="L8329">
        <v>8.59</v>
      </c>
      <c r="M8329">
        <v>56559</v>
      </c>
      <c r="N8329" t="s">
        <v>51</v>
      </c>
      <c r="O8329">
        <v>250829</v>
      </c>
      <c r="P8329">
        <v>33.71</v>
      </c>
    </row>
    <row r="8330" spans="1:16" x14ac:dyDescent="0.25">
      <c r="A8330" t="s">
        <v>3296</v>
      </c>
      <c r="B8330" t="s">
        <v>2931</v>
      </c>
      <c r="C8330">
        <v>11053</v>
      </c>
      <c r="D8330" t="str">
        <f>"1369273     "</f>
        <v xml:space="preserve">1369273     </v>
      </c>
      <c r="E8330" t="s">
        <v>353</v>
      </c>
      <c r="F8330" t="s">
        <v>355</v>
      </c>
      <c r="G8330">
        <v>735.2</v>
      </c>
      <c r="H8330">
        <v>250827</v>
      </c>
      <c r="I8330">
        <v>4580</v>
      </c>
      <c r="J8330" t="s">
        <v>126</v>
      </c>
      <c r="K8330">
        <v>735.2</v>
      </c>
      <c r="L8330">
        <v>149.38</v>
      </c>
      <c r="M8330">
        <v>56559</v>
      </c>
      <c r="N8330" t="s">
        <v>51</v>
      </c>
      <c r="O8330">
        <v>250829</v>
      </c>
      <c r="P8330">
        <v>585.82000000000005</v>
      </c>
    </row>
    <row r="8331" spans="1:16" x14ac:dyDescent="0.25">
      <c r="A8331" t="s">
        <v>3296</v>
      </c>
      <c r="B8331" t="s">
        <v>2931</v>
      </c>
      <c r="C8331">
        <v>11056</v>
      </c>
      <c r="D8331" t="str">
        <f>"1369248     "</f>
        <v xml:space="preserve">1369248     </v>
      </c>
      <c r="E8331" t="s">
        <v>353</v>
      </c>
      <c r="F8331" t="s">
        <v>355</v>
      </c>
      <c r="G8331">
        <v>120.08</v>
      </c>
      <c r="H8331">
        <v>250827</v>
      </c>
      <c r="I8331">
        <v>4580</v>
      </c>
      <c r="J8331" t="s">
        <v>126</v>
      </c>
      <c r="K8331">
        <v>120.08</v>
      </c>
      <c r="L8331">
        <v>24.4</v>
      </c>
      <c r="M8331">
        <v>56522</v>
      </c>
      <c r="N8331" t="s">
        <v>68</v>
      </c>
      <c r="O8331">
        <v>250829</v>
      </c>
      <c r="P8331">
        <v>95.68</v>
      </c>
    </row>
    <row r="8332" spans="1:16" x14ac:dyDescent="0.25">
      <c r="A8332" t="s">
        <v>3296</v>
      </c>
      <c r="B8332" t="s">
        <v>2931</v>
      </c>
      <c r="C8332">
        <v>11061</v>
      </c>
      <c r="D8332" t="str">
        <f>"1369264     "</f>
        <v xml:space="preserve">1369264     </v>
      </c>
      <c r="E8332" t="s">
        <v>353</v>
      </c>
      <c r="F8332" t="s">
        <v>355</v>
      </c>
      <c r="G8332">
        <v>32.24</v>
      </c>
      <c r="H8332">
        <v>250827</v>
      </c>
      <c r="I8332">
        <v>4580</v>
      </c>
      <c r="J8332" t="s">
        <v>126</v>
      </c>
      <c r="K8332">
        <v>32.24</v>
      </c>
      <c r="L8332">
        <v>6.55</v>
      </c>
      <c r="M8332">
        <v>56559</v>
      </c>
      <c r="N8332" t="s">
        <v>51</v>
      </c>
      <c r="O8332">
        <v>250829</v>
      </c>
      <c r="P8332">
        <v>25.69</v>
      </c>
    </row>
    <row r="8333" spans="1:16" x14ac:dyDescent="0.25">
      <c r="A8333" t="s">
        <v>3296</v>
      </c>
      <c r="B8333" t="s">
        <v>2931</v>
      </c>
      <c r="C8333">
        <v>11063</v>
      </c>
      <c r="D8333" t="str">
        <f>"1369249     "</f>
        <v xml:space="preserve">1369249     </v>
      </c>
      <c r="E8333" t="s">
        <v>353</v>
      </c>
      <c r="F8333" t="s">
        <v>355</v>
      </c>
      <c r="G8333">
        <v>7.47</v>
      </c>
      <c r="H8333">
        <v>250827</v>
      </c>
      <c r="I8333">
        <v>4580</v>
      </c>
      <c r="J8333" t="s">
        <v>126</v>
      </c>
      <c r="K8333">
        <v>7.47</v>
      </c>
      <c r="L8333">
        <v>1.52</v>
      </c>
      <c r="M8333">
        <v>56559</v>
      </c>
      <c r="N8333" t="s">
        <v>51</v>
      </c>
      <c r="O8333">
        <v>250829</v>
      </c>
      <c r="P8333">
        <v>5.95</v>
      </c>
    </row>
    <row r="8334" spans="1:16" x14ac:dyDescent="0.25">
      <c r="A8334" t="s">
        <v>3296</v>
      </c>
      <c r="B8334" t="s">
        <v>2931</v>
      </c>
      <c r="C8334">
        <v>11291</v>
      </c>
      <c r="D8334" t="str">
        <f>"1369285     "</f>
        <v xml:space="preserve">1369285     </v>
      </c>
      <c r="E8334" t="s">
        <v>353</v>
      </c>
      <c r="F8334" t="s">
        <v>355</v>
      </c>
      <c r="G8334">
        <v>430</v>
      </c>
      <c r="H8334">
        <v>250827</v>
      </c>
      <c r="I8334">
        <v>4580</v>
      </c>
      <c r="J8334" t="s">
        <v>126</v>
      </c>
      <c r="K8334">
        <v>430</v>
      </c>
      <c r="L8334">
        <v>87.37</v>
      </c>
      <c r="M8334">
        <v>67554</v>
      </c>
      <c r="N8334" t="s">
        <v>317</v>
      </c>
      <c r="O8334">
        <v>250903</v>
      </c>
      <c r="P8334">
        <v>342.63</v>
      </c>
    </row>
    <row r="8335" spans="1:16" x14ac:dyDescent="0.25">
      <c r="A8335" t="s">
        <v>3296</v>
      </c>
      <c r="B8335" t="s">
        <v>2931</v>
      </c>
      <c r="C8335">
        <v>12288</v>
      </c>
      <c r="D8335" t="str">
        <f>"1371325     "</f>
        <v xml:space="preserve">1371325     </v>
      </c>
      <c r="E8335" t="s">
        <v>353</v>
      </c>
      <c r="F8335" t="s">
        <v>355</v>
      </c>
      <c r="G8335">
        <v>15.1</v>
      </c>
      <c r="H8335">
        <v>250917</v>
      </c>
      <c r="I8335">
        <v>4580</v>
      </c>
      <c r="J8335" t="s">
        <v>126</v>
      </c>
      <c r="K8335">
        <v>15.1</v>
      </c>
      <c r="L8335">
        <v>3.07</v>
      </c>
      <c r="M8335">
        <v>59504</v>
      </c>
      <c r="N8335" t="s">
        <v>193</v>
      </c>
      <c r="O8335">
        <v>250918</v>
      </c>
      <c r="P8335">
        <v>12.03</v>
      </c>
    </row>
    <row r="8336" spans="1:16" x14ac:dyDescent="0.25">
      <c r="A8336" t="s">
        <v>3296</v>
      </c>
      <c r="B8336" t="s">
        <v>2931</v>
      </c>
      <c r="C8336">
        <v>12553</v>
      </c>
      <c r="D8336" t="str">
        <f>"1371344     "</f>
        <v xml:space="preserve">1371344     </v>
      </c>
      <c r="E8336" t="s">
        <v>353</v>
      </c>
      <c r="F8336" t="s">
        <v>355</v>
      </c>
      <c r="G8336">
        <v>269</v>
      </c>
      <c r="H8336">
        <v>250917</v>
      </c>
      <c r="I8336">
        <v>4580</v>
      </c>
      <c r="J8336" t="s">
        <v>126</v>
      </c>
      <c r="K8336">
        <v>269</v>
      </c>
      <c r="L8336">
        <v>54.66</v>
      </c>
      <c r="M8336">
        <v>56565</v>
      </c>
      <c r="N8336" t="s">
        <v>57</v>
      </c>
      <c r="O8336">
        <v>250926</v>
      </c>
      <c r="P8336">
        <v>214.34</v>
      </c>
    </row>
    <row r="8337" spans="1:16" x14ac:dyDescent="0.25">
      <c r="A8337" t="s">
        <v>3296</v>
      </c>
      <c r="B8337" t="s">
        <v>2931</v>
      </c>
      <c r="C8337">
        <v>12975</v>
      </c>
      <c r="D8337" t="str">
        <f>"1372023     "</f>
        <v xml:space="preserve">1372023     </v>
      </c>
      <c r="E8337" t="s">
        <v>353</v>
      </c>
      <c r="F8337" t="s">
        <v>355</v>
      </c>
      <c r="G8337">
        <v>74.900000000000006</v>
      </c>
      <c r="H8337">
        <v>250930</v>
      </c>
      <c r="I8337">
        <v>4580</v>
      </c>
      <c r="J8337" t="s">
        <v>126</v>
      </c>
      <c r="K8337">
        <v>74.900000000000006</v>
      </c>
      <c r="L8337">
        <v>15.22</v>
      </c>
      <c r="M8337">
        <v>56559</v>
      </c>
      <c r="N8337" t="s">
        <v>51</v>
      </c>
      <c r="O8337">
        <v>251003</v>
      </c>
      <c r="P8337">
        <v>59.68</v>
      </c>
    </row>
    <row r="8338" spans="1:16" x14ac:dyDescent="0.25">
      <c r="A8338" t="s">
        <v>3296</v>
      </c>
      <c r="B8338" t="s">
        <v>2931</v>
      </c>
      <c r="C8338">
        <v>13006</v>
      </c>
      <c r="D8338" t="str">
        <f>"1372032     "</f>
        <v xml:space="preserve">1372032     </v>
      </c>
      <c r="E8338" t="s">
        <v>353</v>
      </c>
      <c r="F8338" t="s">
        <v>355</v>
      </c>
      <c r="G8338">
        <v>6117.56</v>
      </c>
      <c r="H8338">
        <v>250930</v>
      </c>
      <c r="I8338">
        <v>4580</v>
      </c>
      <c r="J8338" t="s">
        <v>126</v>
      </c>
      <c r="K8338">
        <v>6117.56</v>
      </c>
      <c r="L8338">
        <v>1243.01</v>
      </c>
      <c r="M8338">
        <v>56559</v>
      </c>
      <c r="N8338" t="s">
        <v>51</v>
      </c>
      <c r="O8338">
        <v>251003</v>
      </c>
      <c r="P8338">
        <v>4874.55</v>
      </c>
    </row>
    <row r="8339" spans="1:16" x14ac:dyDescent="0.25">
      <c r="A8339" t="s">
        <v>3296</v>
      </c>
      <c r="B8339" t="s">
        <v>2931</v>
      </c>
      <c r="C8339">
        <v>13015</v>
      </c>
      <c r="D8339" t="str">
        <f>"1372026     "</f>
        <v xml:space="preserve">1372026     </v>
      </c>
      <c r="E8339" t="s">
        <v>353</v>
      </c>
      <c r="F8339" t="s">
        <v>355</v>
      </c>
      <c r="G8339">
        <v>40.35</v>
      </c>
      <c r="H8339">
        <v>250930</v>
      </c>
      <c r="I8339">
        <v>4580</v>
      </c>
      <c r="J8339" t="s">
        <v>126</v>
      </c>
      <c r="K8339">
        <v>40.35</v>
      </c>
      <c r="L8339">
        <v>8.1999999999999993</v>
      </c>
      <c r="M8339">
        <v>56559</v>
      </c>
      <c r="N8339" t="s">
        <v>51</v>
      </c>
      <c r="O8339">
        <v>251003</v>
      </c>
      <c r="P8339">
        <v>32.15</v>
      </c>
    </row>
    <row r="8340" spans="1:16" x14ac:dyDescent="0.25">
      <c r="A8340" t="s">
        <v>3296</v>
      </c>
      <c r="B8340" t="s">
        <v>2931</v>
      </c>
      <c r="C8340">
        <v>13102</v>
      </c>
      <c r="D8340" t="str">
        <f>"1371346     "</f>
        <v xml:space="preserve">1371346     </v>
      </c>
      <c r="E8340" t="s">
        <v>353</v>
      </c>
      <c r="F8340" t="s">
        <v>355</v>
      </c>
      <c r="G8340">
        <v>225.76</v>
      </c>
      <c r="H8340">
        <v>250917</v>
      </c>
      <c r="I8340">
        <v>4580</v>
      </c>
      <c r="J8340" t="s">
        <v>126</v>
      </c>
      <c r="K8340">
        <v>225.76</v>
      </c>
      <c r="L8340">
        <v>45.87</v>
      </c>
      <c r="M8340">
        <v>56558</v>
      </c>
      <c r="N8340" t="s">
        <v>50</v>
      </c>
      <c r="O8340">
        <v>251006</v>
      </c>
      <c r="P8340">
        <v>179.89</v>
      </c>
    </row>
    <row r="8341" spans="1:16" x14ac:dyDescent="0.25">
      <c r="A8341" t="s">
        <v>3296</v>
      </c>
      <c r="B8341" t="s">
        <v>2931</v>
      </c>
      <c r="C8341">
        <v>13190</v>
      </c>
      <c r="D8341" t="str">
        <f>"1372033     "</f>
        <v xml:space="preserve">1372033     </v>
      </c>
      <c r="E8341" t="s">
        <v>353</v>
      </c>
      <c r="F8341" t="s">
        <v>355</v>
      </c>
      <c r="G8341">
        <v>107.64</v>
      </c>
      <c r="H8341">
        <v>250930</v>
      </c>
      <c r="I8341">
        <v>4580</v>
      </c>
      <c r="J8341" t="s">
        <v>126</v>
      </c>
      <c r="K8341">
        <v>159.9</v>
      </c>
      <c r="L8341">
        <v>21.87</v>
      </c>
      <c r="M8341">
        <v>67554</v>
      </c>
      <c r="N8341" t="s">
        <v>317</v>
      </c>
      <c r="O8341">
        <v>251006</v>
      </c>
      <c r="P8341">
        <v>85.77</v>
      </c>
    </row>
    <row r="8342" spans="1:16" x14ac:dyDescent="0.25">
      <c r="A8342" t="s">
        <v>3296</v>
      </c>
      <c r="B8342" t="s">
        <v>2931</v>
      </c>
      <c r="C8342">
        <v>14109</v>
      </c>
      <c r="D8342" t="str">
        <f>"1374259     "</f>
        <v xml:space="preserve">1374259     </v>
      </c>
      <c r="E8342" t="s">
        <v>353</v>
      </c>
      <c r="F8342" t="s">
        <v>355</v>
      </c>
      <c r="G8342">
        <v>98</v>
      </c>
      <c r="H8342">
        <v>251021</v>
      </c>
      <c r="I8342">
        <v>4580</v>
      </c>
      <c r="J8342" t="s">
        <v>126</v>
      </c>
      <c r="K8342">
        <v>98</v>
      </c>
      <c r="L8342">
        <v>19.91</v>
      </c>
      <c r="M8342">
        <v>59504</v>
      </c>
      <c r="N8342" t="s">
        <v>193</v>
      </c>
      <c r="O8342">
        <v>251024</v>
      </c>
      <c r="P8342">
        <v>78.09</v>
      </c>
    </row>
    <row r="8343" spans="1:16" x14ac:dyDescent="0.25">
      <c r="A8343" t="s">
        <v>3296</v>
      </c>
      <c r="B8343" t="s">
        <v>2931</v>
      </c>
      <c r="C8343">
        <v>15074</v>
      </c>
      <c r="D8343" t="str">
        <f>"1375499     "</f>
        <v xml:space="preserve">1375499     </v>
      </c>
      <c r="E8343" t="s">
        <v>353</v>
      </c>
      <c r="F8343" t="s">
        <v>355</v>
      </c>
      <c r="G8343">
        <v>25.04</v>
      </c>
      <c r="H8343">
        <v>251031</v>
      </c>
      <c r="I8343">
        <v>4580</v>
      </c>
      <c r="J8343" t="s">
        <v>126</v>
      </c>
      <c r="K8343">
        <v>25.04</v>
      </c>
      <c r="L8343">
        <v>5.09</v>
      </c>
      <c r="M8343">
        <v>56559</v>
      </c>
      <c r="N8343" t="s">
        <v>51</v>
      </c>
      <c r="O8343">
        <v>251111</v>
      </c>
      <c r="P8343">
        <v>19.95</v>
      </c>
    </row>
    <row r="8344" spans="1:16" x14ac:dyDescent="0.25">
      <c r="A8344" t="s">
        <v>3296</v>
      </c>
      <c r="B8344" t="s">
        <v>2931</v>
      </c>
      <c r="C8344">
        <v>15077</v>
      </c>
      <c r="D8344" t="str">
        <f>"1375516     "</f>
        <v xml:space="preserve">1375516     </v>
      </c>
      <c r="E8344" t="s">
        <v>353</v>
      </c>
      <c r="F8344" t="s">
        <v>355</v>
      </c>
      <c r="G8344">
        <v>40.409999999999997</v>
      </c>
      <c r="H8344">
        <v>251031</v>
      </c>
      <c r="I8344">
        <v>4580</v>
      </c>
      <c r="J8344" t="s">
        <v>126</v>
      </c>
      <c r="K8344">
        <v>40.409999999999997</v>
      </c>
      <c r="L8344">
        <v>8.2100000000000009</v>
      </c>
      <c r="M8344">
        <v>56565</v>
      </c>
      <c r="N8344" t="s">
        <v>57</v>
      </c>
      <c r="O8344">
        <v>251111</v>
      </c>
      <c r="P8344">
        <v>32.200000000000003</v>
      </c>
    </row>
    <row r="8345" spans="1:16" x14ac:dyDescent="0.25">
      <c r="A8345" t="s">
        <v>3296</v>
      </c>
      <c r="B8345" t="s">
        <v>2931</v>
      </c>
      <c r="C8345">
        <v>15567</v>
      </c>
      <c r="D8345" t="str">
        <f>"1376776     "</f>
        <v xml:space="preserve">1376776     </v>
      </c>
      <c r="E8345" t="s">
        <v>353</v>
      </c>
      <c r="F8345" t="s">
        <v>355</v>
      </c>
      <c r="G8345">
        <v>57.6</v>
      </c>
      <c r="H8345">
        <v>251119</v>
      </c>
      <c r="I8345">
        <v>4580</v>
      </c>
      <c r="J8345" t="s">
        <v>126</v>
      </c>
      <c r="K8345">
        <v>57.6</v>
      </c>
      <c r="L8345">
        <v>11.7</v>
      </c>
      <c r="M8345">
        <v>56559</v>
      </c>
      <c r="N8345" t="s">
        <v>51</v>
      </c>
      <c r="O8345">
        <v>251121</v>
      </c>
      <c r="P8345">
        <v>45.9</v>
      </c>
    </row>
    <row r="8346" spans="1:16" x14ac:dyDescent="0.25">
      <c r="A8346" t="s">
        <v>3296</v>
      </c>
      <c r="B8346" t="s">
        <v>2931</v>
      </c>
      <c r="C8346">
        <v>15798</v>
      </c>
      <c r="D8346" t="str">
        <f>"1376793     "</f>
        <v xml:space="preserve">1376793     </v>
      </c>
      <c r="E8346" t="s">
        <v>353</v>
      </c>
      <c r="F8346" t="s">
        <v>355</v>
      </c>
      <c r="G8346">
        <v>96.95</v>
      </c>
      <c r="H8346">
        <v>251119</v>
      </c>
      <c r="I8346">
        <v>4580</v>
      </c>
      <c r="J8346" t="s">
        <v>126</v>
      </c>
      <c r="K8346">
        <v>113.67</v>
      </c>
      <c r="L8346">
        <v>19.7</v>
      </c>
      <c r="M8346">
        <v>67522</v>
      </c>
      <c r="N8346" t="s">
        <v>121</v>
      </c>
      <c r="O8346">
        <v>251127</v>
      </c>
      <c r="P8346">
        <v>77.25</v>
      </c>
    </row>
    <row r="8347" spans="1:16" x14ac:dyDescent="0.25">
      <c r="A8347" t="s">
        <v>3296</v>
      </c>
      <c r="B8347" t="s">
        <v>2931</v>
      </c>
      <c r="C8347">
        <v>15799</v>
      </c>
      <c r="D8347" t="str">
        <f>"1376791     "</f>
        <v xml:space="preserve">1376791     </v>
      </c>
      <c r="E8347" t="s">
        <v>353</v>
      </c>
      <c r="F8347" t="s">
        <v>355</v>
      </c>
      <c r="G8347">
        <v>275.07</v>
      </c>
      <c r="H8347">
        <v>251119</v>
      </c>
      <c r="I8347">
        <v>4580</v>
      </c>
      <c r="J8347" t="s">
        <v>126</v>
      </c>
      <c r="K8347">
        <v>356</v>
      </c>
      <c r="L8347">
        <v>55.89</v>
      </c>
      <c r="M8347">
        <v>67522</v>
      </c>
      <c r="N8347" t="s">
        <v>121</v>
      </c>
      <c r="O8347">
        <v>251127</v>
      </c>
      <c r="P8347">
        <v>219.18</v>
      </c>
    </row>
    <row r="8348" spans="1:16" x14ac:dyDescent="0.25">
      <c r="A8348" t="s">
        <v>3296</v>
      </c>
      <c r="B8348" t="s">
        <v>2931</v>
      </c>
      <c r="C8348">
        <v>15810</v>
      </c>
      <c r="D8348" t="str">
        <f>"1376792     "</f>
        <v xml:space="preserve">1376792     </v>
      </c>
      <c r="E8348" t="s">
        <v>353</v>
      </c>
      <c r="F8348" t="s">
        <v>355</v>
      </c>
      <c r="G8348">
        <v>80</v>
      </c>
      <c r="H8348">
        <v>251119</v>
      </c>
      <c r="I8348">
        <v>4580</v>
      </c>
      <c r="J8348" t="s">
        <v>126</v>
      </c>
      <c r="K8348">
        <v>80</v>
      </c>
      <c r="L8348">
        <v>16.25</v>
      </c>
      <c r="M8348">
        <v>69501</v>
      </c>
      <c r="N8348" t="s">
        <v>123</v>
      </c>
      <c r="O8348">
        <v>251127</v>
      </c>
      <c r="P8348">
        <v>63.75</v>
      </c>
    </row>
    <row r="8349" spans="1:16" x14ac:dyDescent="0.25">
      <c r="A8349" t="s">
        <v>3296</v>
      </c>
      <c r="B8349" t="s">
        <v>2931</v>
      </c>
      <c r="C8349">
        <v>16240</v>
      </c>
      <c r="D8349" t="str">
        <f>"1377950     "</f>
        <v xml:space="preserve">1377950     </v>
      </c>
      <c r="E8349" t="s">
        <v>353</v>
      </c>
      <c r="F8349" t="s">
        <v>355</v>
      </c>
      <c r="G8349">
        <v>10</v>
      </c>
      <c r="H8349">
        <v>251130</v>
      </c>
      <c r="I8349">
        <v>4580</v>
      </c>
      <c r="J8349" t="s">
        <v>126</v>
      </c>
      <c r="K8349">
        <v>10</v>
      </c>
      <c r="L8349">
        <v>2.0299999999999998</v>
      </c>
      <c r="M8349">
        <v>56559</v>
      </c>
      <c r="N8349" t="s">
        <v>51</v>
      </c>
      <c r="O8349">
        <v>251205</v>
      </c>
      <c r="P8349">
        <v>7.97</v>
      </c>
    </row>
    <row r="8350" spans="1:16" x14ac:dyDescent="0.25">
      <c r="A8350" t="s">
        <v>3296</v>
      </c>
      <c r="B8350" t="s">
        <v>2931</v>
      </c>
      <c r="C8350">
        <v>16580</v>
      </c>
      <c r="D8350" t="str">
        <f>"1377988     "</f>
        <v xml:space="preserve">1377988     </v>
      </c>
      <c r="E8350" t="s">
        <v>353</v>
      </c>
      <c r="F8350" t="s">
        <v>355</v>
      </c>
      <c r="G8350">
        <v>99</v>
      </c>
      <c r="H8350">
        <v>251130</v>
      </c>
      <c r="I8350">
        <v>4580</v>
      </c>
      <c r="J8350" t="s">
        <v>126</v>
      </c>
      <c r="K8350">
        <v>138.80000000000001</v>
      </c>
      <c r="L8350">
        <v>20.12</v>
      </c>
      <c r="M8350">
        <v>69501</v>
      </c>
      <c r="N8350" t="s">
        <v>123</v>
      </c>
      <c r="O8350">
        <v>251210</v>
      </c>
      <c r="P8350">
        <v>78.88</v>
      </c>
    </row>
    <row r="8351" spans="1:16" x14ac:dyDescent="0.25">
      <c r="A8351" t="s">
        <v>3296</v>
      </c>
      <c r="B8351" t="s">
        <v>2931</v>
      </c>
      <c r="C8351">
        <v>16586</v>
      </c>
      <c r="D8351" t="str">
        <f>"1377989     "</f>
        <v xml:space="preserve">1377989     </v>
      </c>
      <c r="E8351" t="s">
        <v>353</v>
      </c>
      <c r="F8351" t="s">
        <v>355</v>
      </c>
      <c r="G8351">
        <v>234.6</v>
      </c>
      <c r="H8351">
        <v>251130</v>
      </c>
      <c r="I8351">
        <v>4580</v>
      </c>
      <c r="J8351" t="s">
        <v>126</v>
      </c>
      <c r="K8351">
        <v>265.72000000000003</v>
      </c>
      <c r="L8351">
        <v>47.67</v>
      </c>
      <c r="M8351">
        <v>67522</v>
      </c>
      <c r="N8351" t="s">
        <v>121</v>
      </c>
      <c r="O8351">
        <v>251210</v>
      </c>
      <c r="P8351">
        <v>186.93</v>
      </c>
    </row>
    <row r="8352" spans="1:16" x14ac:dyDescent="0.25">
      <c r="A8352" t="s">
        <v>3296</v>
      </c>
      <c r="B8352" t="s">
        <v>2931</v>
      </c>
      <c r="C8352">
        <v>17437</v>
      </c>
      <c r="D8352" t="str">
        <f>"1379555     "</f>
        <v xml:space="preserve">1379555     </v>
      </c>
      <c r="E8352" t="s">
        <v>353</v>
      </c>
      <c r="F8352" t="s">
        <v>355</v>
      </c>
      <c r="G8352">
        <v>34</v>
      </c>
      <c r="H8352">
        <v>251217</v>
      </c>
      <c r="I8352">
        <v>4580</v>
      </c>
      <c r="J8352" t="s">
        <v>126</v>
      </c>
      <c r="K8352">
        <v>34</v>
      </c>
      <c r="L8352">
        <v>6.91</v>
      </c>
      <c r="M8352">
        <v>56559</v>
      </c>
      <c r="N8352" t="s">
        <v>51</v>
      </c>
      <c r="O8352">
        <v>251219</v>
      </c>
      <c r="P8352">
        <v>27.09</v>
      </c>
    </row>
    <row r="8353" spans="1:16" x14ac:dyDescent="0.25">
      <c r="A8353" t="s">
        <v>3296</v>
      </c>
      <c r="B8353" t="s">
        <v>2931</v>
      </c>
      <c r="C8353">
        <v>17466</v>
      </c>
      <c r="D8353" t="str">
        <f>"1377966     "</f>
        <v xml:space="preserve">1377966     </v>
      </c>
      <c r="E8353" t="s">
        <v>353</v>
      </c>
      <c r="F8353" t="s">
        <v>355</v>
      </c>
      <c r="G8353">
        <v>321.56</v>
      </c>
      <c r="H8353">
        <v>251203</v>
      </c>
      <c r="I8353">
        <v>4580</v>
      </c>
      <c r="J8353" t="s">
        <v>126</v>
      </c>
      <c r="K8353">
        <v>321.56</v>
      </c>
      <c r="L8353">
        <v>65.34</v>
      </c>
      <c r="M8353">
        <v>56522</v>
      </c>
      <c r="N8353" t="s">
        <v>68</v>
      </c>
      <c r="O8353">
        <v>251222</v>
      </c>
      <c r="P8353">
        <v>256.22000000000003</v>
      </c>
    </row>
    <row r="8354" spans="1:16" x14ac:dyDescent="0.25">
      <c r="A8354" t="s">
        <v>3296</v>
      </c>
      <c r="B8354" t="s">
        <v>2931</v>
      </c>
      <c r="C8354">
        <v>17468</v>
      </c>
      <c r="D8354" t="str">
        <f>"1377938     "</f>
        <v xml:space="preserve">1377938     </v>
      </c>
      <c r="E8354" t="s">
        <v>353</v>
      </c>
      <c r="F8354" t="s">
        <v>355</v>
      </c>
      <c r="G8354">
        <v>99.25</v>
      </c>
      <c r="H8354">
        <v>251203</v>
      </c>
      <c r="I8354">
        <v>4580</v>
      </c>
      <c r="J8354" t="s">
        <v>126</v>
      </c>
      <c r="K8354">
        <v>99.25</v>
      </c>
      <c r="L8354">
        <v>20.170000000000002</v>
      </c>
      <c r="M8354">
        <v>56522</v>
      </c>
      <c r="N8354" t="s">
        <v>68</v>
      </c>
      <c r="O8354">
        <v>251222</v>
      </c>
      <c r="P8354">
        <v>79.08</v>
      </c>
    </row>
    <row r="8355" spans="1:16" x14ac:dyDescent="0.25">
      <c r="A8355" t="s">
        <v>3296</v>
      </c>
      <c r="B8355" t="s">
        <v>2931</v>
      </c>
      <c r="C8355">
        <v>17567</v>
      </c>
      <c r="D8355" t="str">
        <f>"1379556     "</f>
        <v xml:space="preserve">1379556     </v>
      </c>
      <c r="E8355" t="s">
        <v>353</v>
      </c>
      <c r="F8355" t="s">
        <v>355</v>
      </c>
      <c r="G8355">
        <v>47.05</v>
      </c>
      <c r="H8355">
        <v>251217</v>
      </c>
      <c r="I8355">
        <v>4580</v>
      </c>
      <c r="J8355" t="s">
        <v>126</v>
      </c>
      <c r="K8355">
        <v>47.05</v>
      </c>
      <c r="L8355">
        <v>9.56</v>
      </c>
      <c r="M8355">
        <v>56559</v>
      </c>
      <c r="N8355" t="s">
        <v>51</v>
      </c>
      <c r="O8355">
        <v>251222</v>
      </c>
      <c r="P8355">
        <v>37.49</v>
      </c>
    </row>
    <row r="8356" spans="1:16" x14ac:dyDescent="0.25">
      <c r="A8356" t="s">
        <v>3296</v>
      </c>
      <c r="B8356" t="s">
        <v>2931</v>
      </c>
      <c r="C8356">
        <v>17603</v>
      </c>
      <c r="D8356" t="str">
        <f>"1379558     "</f>
        <v xml:space="preserve">1379558     </v>
      </c>
      <c r="E8356" t="s">
        <v>353</v>
      </c>
      <c r="F8356" t="s">
        <v>355</v>
      </c>
      <c r="G8356">
        <v>149</v>
      </c>
      <c r="H8356">
        <v>251217</v>
      </c>
      <c r="I8356">
        <v>4580</v>
      </c>
      <c r="J8356" t="s">
        <v>126</v>
      </c>
      <c r="K8356">
        <v>346.19</v>
      </c>
      <c r="L8356">
        <v>30.27</v>
      </c>
      <c r="M8356">
        <v>67522</v>
      </c>
      <c r="N8356" t="s">
        <v>121</v>
      </c>
      <c r="O8356">
        <v>251223</v>
      </c>
      <c r="P8356">
        <v>118.73</v>
      </c>
    </row>
    <row r="8357" spans="1:16" x14ac:dyDescent="0.25">
      <c r="A8357" t="s">
        <v>3296</v>
      </c>
      <c r="B8357" t="s">
        <v>2931</v>
      </c>
      <c r="C8357">
        <v>17635</v>
      </c>
      <c r="D8357" t="str">
        <f>"1379557     "</f>
        <v xml:space="preserve">1379557     </v>
      </c>
      <c r="E8357" t="s">
        <v>353</v>
      </c>
      <c r="F8357" t="s">
        <v>355</v>
      </c>
      <c r="G8357">
        <v>85.5</v>
      </c>
      <c r="H8357">
        <v>251217</v>
      </c>
      <c r="I8357">
        <v>4580</v>
      </c>
      <c r="J8357" t="s">
        <v>126</v>
      </c>
      <c r="K8357">
        <v>85.5</v>
      </c>
      <c r="L8357">
        <v>17.37</v>
      </c>
      <c r="M8357">
        <v>66756</v>
      </c>
      <c r="N8357" t="s">
        <v>120</v>
      </c>
      <c r="O8357">
        <v>251223</v>
      </c>
      <c r="P8357">
        <v>68.13</v>
      </c>
    </row>
    <row r="8358" spans="1:16" x14ac:dyDescent="0.25">
      <c r="A8358" t="s">
        <v>3296</v>
      </c>
      <c r="B8358" t="s">
        <v>2931</v>
      </c>
      <c r="C8358">
        <v>18011</v>
      </c>
      <c r="D8358" t="str">
        <f>"1379906     "</f>
        <v xml:space="preserve">1379906     </v>
      </c>
      <c r="E8358" t="s">
        <v>353</v>
      </c>
      <c r="F8358" t="s">
        <v>355</v>
      </c>
      <c r="G8358">
        <v>141.27000000000001</v>
      </c>
      <c r="H8358">
        <v>251231</v>
      </c>
      <c r="I8358">
        <v>4580</v>
      </c>
      <c r="J8358" t="s">
        <v>126</v>
      </c>
      <c r="K8358">
        <v>141.27000000000001</v>
      </c>
      <c r="L8358">
        <v>28.7</v>
      </c>
      <c r="M8358">
        <v>56565</v>
      </c>
      <c r="N8358" t="s">
        <v>57</v>
      </c>
      <c r="O8358">
        <v>260108</v>
      </c>
      <c r="P8358">
        <v>112.57</v>
      </c>
    </row>
    <row r="8359" spans="1:16" x14ac:dyDescent="0.25">
      <c r="A8359" t="s">
        <v>3296</v>
      </c>
      <c r="B8359" t="s">
        <v>2931</v>
      </c>
      <c r="C8359">
        <v>18012</v>
      </c>
      <c r="D8359" t="str">
        <f>"1379900     "</f>
        <v xml:space="preserve">1379900     </v>
      </c>
      <c r="E8359" t="s">
        <v>353</v>
      </c>
      <c r="F8359" t="s">
        <v>355</v>
      </c>
      <c r="G8359">
        <v>596.66999999999996</v>
      </c>
      <c r="H8359">
        <v>251231</v>
      </c>
      <c r="I8359">
        <v>4580</v>
      </c>
      <c r="J8359" t="s">
        <v>126</v>
      </c>
      <c r="K8359">
        <v>596.66999999999996</v>
      </c>
      <c r="L8359">
        <v>121.24</v>
      </c>
      <c r="M8359">
        <v>56565</v>
      </c>
      <c r="N8359" t="s">
        <v>57</v>
      </c>
      <c r="O8359">
        <v>260108</v>
      </c>
      <c r="P8359">
        <v>475.43</v>
      </c>
    </row>
    <row r="8360" spans="1:16" x14ac:dyDescent="0.25">
      <c r="A8360" t="s">
        <v>3296</v>
      </c>
      <c r="B8360" t="s">
        <v>2931</v>
      </c>
      <c r="C8360">
        <v>18045</v>
      </c>
      <c r="D8360" t="str">
        <f>"1379908     "</f>
        <v xml:space="preserve">1379908     </v>
      </c>
      <c r="E8360" t="s">
        <v>353</v>
      </c>
      <c r="F8360" t="s">
        <v>355</v>
      </c>
      <c r="G8360">
        <v>676.49</v>
      </c>
      <c r="H8360">
        <v>251231</v>
      </c>
      <c r="I8360">
        <v>4580</v>
      </c>
      <c r="J8360" t="s">
        <v>126</v>
      </c>
      <c r="K8360">
        <v>676.49</v>
      </c>
      <c r="L8360">
        <v>137.44999999999999</v>
      </c>
      <c r="M8360">
        <v>56565</v>
      </c>
      <c r="N8360" t="s">
        <v>57</v>
      </c>
      <c r="O8360">
        <v>260108</v>
      </c>
      <c r="P8360">
        <v>539.04</v>
      </c>
    </row>
    <row r="8361" spans="1:16" x14ac:dyDescent="0.25">
      <c r="A8361" t="s">
        <v>3296</v>
      </c>
      <c r="B8361" t="s">
        <v>2931</v>
      </c>
      <c r="C8361">
        <v>18142</v>
      </c>
      <c r="D8361" t="str">
        <f>"1379912     "</f>
        <v xml:space="preserve">1379912     </v>
      </c>
      <c r="E8361" t="s">
        <v>353</v>
      </c>
      <c r="F8361" t="s">
        <v>355</v>
      </c>
      <c r="G8361">
        <v>320</v>
      </c>
      <c r="H8361">
        <v>251231</v>
      </c>
      <c r="I8361">
        <v>4580</v>
      </c>
      <c r="J8361" t="s">
        <v>126</v>
      </c>
      <c r="K8361">
        <v>320</v>
      </c>
      <c r="L8361">
        <v>65.02</v>
      </c>
      <c r="M8361">
        <v>69501</v>
      </c>
      <c r="N8361" t="s">
        <v>123</v>
      </c>
      <c r="O8361">
        <v>260109</v>
      </c>
      <c r="P8361">
        <v>254.98</v>
      </c>
    </row>
    <row r="8362" spans="1:16" x14ac:dyDescent="0.25">
      <c r="A8362" t="s">
        <v>3296</v>
      </c>
      <c r="B8362" t="s">
        <v>2931</v>
      </c>
      <c r="C8362">
        <v>18146</v>
      </c>
      <c r="D8362" t="str">
        <f>"1379911     "</f>
        <v xml:space="preserve">1379911     </v>
      </c>
      <c r="E8362" t="s">
        <v>353</v>
      </c>
      <c r="F8362" t="s">
        <v>355</v>
      </c>
      <c r="G8362">
        <v>276.22000000000003</v>
      </c>
      <c r="H8362">
        <v>251231</v>
      </c>
      <c r="I8362">
        <v>4580</v>
      </c>
      <c r="J8362" t="s">
        <v>126</v>
      </c>
      <c r="K8362">
        <v>331.12</v>
      </c>
      <c r="L8362">
        <v>56.12</v>
      </c>
      <c r="M8362">
        <v>69501</v>
      </c>
      <c r="N8362" t="s">
        <v>123</v>
      </c>
      <c r="O8362">
        <v>260109</v>
      </c>
      <c r="P8362">
        <v>220.1</v>
      </c>
    </row>
    <row r="8363" spans="1:16" x14ac:dyDescent="0.25">
      <c r="A8363" t="s">
        <v>3296</v>
      </c>
      <c r="B8363" t="s">
        <v>2931</v>
      </c>
      <c r="C8363">
        <v>936</v>
      </c>
      <c r="D8363" t="str">
        <f>"1351485     "</f>
        <v xml:space="preserve">1351485     </v>
      </c>
      <c r="E8363" t="s">
        <v>353</v>
      </c>
      <c r="F8363" t="s">
        <v>355</v>
      </c>
      <c r="G8363">
        <v>30.72</v>
      </c>
      <c r="H8363">
        <v>250128</v>
      </c>
      <c r="I8363">
        <v>4590</v>
      </c>
      <c r="J8363" t="s">
        <v>388</v>
      </c>
      <c r="K8363">
        <v>30.72</v>
      </c>
      <c r="L8363">
        <v>6.24</v>
      </c>
      <c r="M8363">
        <v>56522</v>
      </c>
      <c r="N8363" t="s">
        <v>68</v>
      </c>
      <c r="O8363">
        <v>250131</v>
      </c>
      <c r="P8363">
        <v>24.48</v>
      </c>
    </row>
    <row r="8364" spans="1:16" x14ac:dyDescent="0.25">
      <c r="A8364" t="s">
        <v>3296</v>
      </c>
      <c r="B8364" t="s">
        <v>2931</v>
      </c>
      <c r="C8364">
        <v>964</v>
      </c>
      <c r="D8364" t="str">
        <f>"1351530     "</f>
        <v xml:space="preserve">1351530     </v>
      </c>
      <c r="E8364" t="s">
        <v>353</v>
      </c>
      <c r="F8364" t="s">
        <v>355</v>
      </c>
      <c r="G8364">
        <v>15.14</v>
      </c>
      <c r="H8364">
        <v>250128</v>
      </c>
      <c r="I8364">
        <v>4590</v>
      </c>
      <c r="J8364" t="s">
        <v>388</v>
      </c>
      <c r="K8364">
        <v>64.14</v>
      </c>
      <c r="L8364">
        <v>3.08</v>
      </c>
      <c r="M8364">
        <v>56522</v>
      </c>
      <c r="N8364" t="s">
        <v>68</v>
      </c>
      <c r="O8364">
        <v>250131</v>
      </c>
      <c r="P8364">
        <v>12.06</v>
      </c>
    </row>
    <row r="8365" spans="1:16" x14ac:dyDescent="0.25">
      <c r="A8365" t="s">
        <v>3296</v>
      </c>
      <c r="B8365" t="s">
        <v>2931</v>
      </c>
      <c r="C8365">
        <v>1882</v>
      </c>
      <c r="D8365" t="str">
        <f>"1352861     "</f>
        <v xml:space="preserve">1352861     </v>
      </c>
      <c r="E8365" t="s">
        <v>353</v>
      </c>
      <c r="F8365" t="s">
        <v>355</v>
      </c>
      <c r="G8365">
        <v>19.809999999999999</v>
      </c>
      <c r="H8365">
        <v>250211</v>
      </c>
      <c r="I8365">
        <v>4590</v>
      </c>
      <c r="J8365" t="s">
        <v>388</v>
      </c>
      <c r="K8365">
        <v>170.77</v>
      </c>
      <c r="L8365">
        <v>4.03</v>
      </c>
      <c r="M8365">
        <v>67522</v>
      </c>
      <c r="N8365" t="s">
        <v>121</v>
      </c>
      <c r="O8365">
        <v>250214</v>
      </c>
      <c r="P8365">
        <v>15.78</v>
      </c>
    </row>
    <row r="8366" spans="1:16" x14ac:dyDescent="0.25">
      <c r="A8366" t="s">
        <v>3296</v>
      </c>
      <c r="B8366" t="s">
        <v>2931</v>
      </c>
      <c r="C8366">
        <v>2081</v>
      </c>
      <c r="D8366" t="str">
        <f>"1352828     "</f>
        <v xml:space="preserve">1352828     </v>
      </c>
      <c r="E8366" t="s">
        <v>353</v>
      </c>
      <c r="F8366" t="s">
        <v>355</v>
      </c>
      <c r="G8366">
        <v>46.8</v>
      </c>
      <c r="H8366">
        <v>250211</v>
      </c>
      <c r="I8366">
        <v>4590</v>
      </c>
      <c r="J8366" t="s">
        <v>388</v>
      </c>
      <c r="K8366">
        <v>46.8</v>
      </c>
      <c r="L8366">
        <v>9.51</v>
      </c>
      <c r="M8366">
        <v>56522</v>
      </c>
      <c r="N8366" t="s">
        <v>68</v>
      </c>
      <c r="O8366">
        <v>250220</v>
      </c>
      <c r="P8366">
        <v>37.29</v>
      </c>
    </row>
    <row r="8367" spans="1:16" x14ac:dyDescent="0.25">
      <c r="A8367" t="s">
        <v>3296</v>
      </c>
      <c r="B8367" t="s">
        <v>2931</v>
      </c>
      <c r="C8367">
        <v>2673</v>
      </c>
      <c r="D8367" t="str">
        <f>"1354333     "</f>
        <v xml:space="preserve">1354333     </v>
      </c>
      <c r="E8367" t="s">
        <v>353</v>
      </c>
      <c r="F8367" t="s">
        <v>355</v>
      </c>
      <c r="G8367">
        <v>9.3000000000000007</v>
      </c>
      <c r="H8367">
        <v>250226</v>
      </c>
      <c r="I8367">
        <v>4590</v>
      </c>
      <c r="J8367" t="s">
        <v>388</v>
      </c>
      <c r="K8367">
        <v>9.3000000000000007</v>
      </c>
      <c r="L8367">
        <v>1.89</v>
      </c>
      <c r="M8367">
        <v>69501</v>
      </c>
      <c r="N8367" t="s">
        <v>123</v>
      </c>
      <c r="O8367">
        <v>250310</v>
      </c>
      <c r="P8367">
        <v>7.41</v>
      </c>
    </row>
    <row r="8368" spans="1:16" x14ac:dyDescent="0.25">
      <c r="A8368" t="s">
        <v>3296</v>
      </c>
      <c r="B8368" t="s">
        <v>2931</v>
      </c>
      <c r="C8368">
        <v>2697</v>
      </c>
      <c r="D8368" t="str">
        <f>"1354307     "</f>
        <v xml:space="preserve">1354307     </v>
      </c>
      <c r="E8368" t="s">
        <v>353</v>
      </c>
      <c r="F8368" t="s">
        <v>355</v>
      </c>
      <c r="G8368">
        <v>33.76</v>
      </c>
      <c r="H8368">
        <v>250226</v>
      </c>
      <c r="I8368">
        <v>4590</v>
      </c>
      <c r="J8368" t="s">
        <v>388</v>
      </c>
      <c r="K8368">
        <v>33.76</v>
      </c>
      <c r="L8368">
        <v>6.86</v>
      </c>
      <c r="M8368">
        <v>56551</v>
      </c>
      <c r="N8368" t="s">
        <v>551</v>
      </c>
      <c r="O8368">
        <v>250311</v>
      </c>
      <c r="P8368">
        <v>26.9</v>
      </c>
    </row>
    <row r="8369" spans="1:16" x14ac:dyDescent="0.25">
      <c r="A8369" t="s">
        <v>3296</v>
      </c>
      <c r="B8369" t="s">
        <v>2931</v>
      </c>
      <c r="C8369">
        <v>4557</v>
      </c>
      <c r="D8369" t="str">
        <f>"1357012     "</f>
        <v xml:space="preserve">1357012     </v>
      </c>
      <c r="E8369" t="s">
        <v>353</v>
      </c>
      <c r="F8369" t="s">
        <v>355</v>
      </c>
      <c r="G8369">
        <v>72.41</v>
      </c>
      <c r="H8369">
        <v>250331</v>
      </c>
      <c r="I8369">
        <v>4590</v>
      </c>
      <c r="J8369" t="s">
        <v>388</v>
      </c>
      <c r="K8369">
        <v>72.41</v>
      </c>
      <c r="L8369">
        <v>14.71</v>
      </c>
      <c r="M8369">
        <v>56551</v>
      </c>
      <c r="N8369" t="s">
        <v>551</v>
      </c>
      <c r="O8369">
        <v>250414</v>
      </c>
      <c r="P8369">
        <v>57.7</v>
      </c>
    </row>
    <row r="8370" spans="1:16" x14ac:dyDescent="0.25">
      <c r="A8370" t="s">
        <v>3296</v>
      </c>
      <c r="B8370" t="s">
        <v>2931</v>
      </c>
      <c r="C8370">
        <v>4558</v>
      </c>
      <c r="D8370" t="str">
        <f>"1357031     "</f>
        <v xml:space="preserve">1357031     </v>
      </c>
      <c r="E8370" t="s">
        <v>353</v>
      </c>
      <c r="F8370" t="s">
        <v>355</v>
      </c>
      <c r="G8370">
        <v>14</v>
      </c>
      <c r="H8370">
        <v>250331</v>
      </c>
      <c r="I8370">
        <v>4590</v>
      </c>
      <c r="J8370" t="s">
        <v>388</v>
      </c>
      <c r="K8370">
        <v>14</v>
      </c>
      <c r="L8370">
        <v>2.84</v>
      </c>
      <c r="M8370">
        <v>69501</v>
      </c>
      <c r="N8370" t="s">
        <v>123</v>
      </c>
      <c r="O8370">
        <v>250414</v>
      </c>
      <c r="P8370">
        <v>11.16</v>
      </c>
    </row>
    <row r="8371" spans="1:16" x14ac:dyDescent="0.25">
      <c r="A8371" t="s">
        <v>3296</v>
      </c>
      <c r="B8371" t="s">
        <v>2931</v>
      </c>
      <c r="C8371">
        <v>4569</v>
      </c>
      <c r="D8371" t="str">
        <f>"1357028     "</f>
        <v xml:space="preserve">1357028     </v>
      </c>
      <c r="E8371" t="s">
        <v>353</v>
      </c>
      <c r="F8371" t="s">
        <v>355</v>
      </c>
      <c r="G8371">
        <v>7.44</v>
      </c>
      <c r="H8371">
        <v>250331</v>
      </c>
      <c r="I8371">
        <v>4590</v>
      </c>
      <c r="J8371" t="s">
        <v>388</v>
      </c>
      <c r="K8371">
        <v>7.44</v>
      </c>
      <c r="L8371">
        <v>1.51</v>
      </c>
      <c r="M8371">
        <v>69501</v>
      </c>
      <c r="N8371" t="s">
        <v>123</v>
      </c>
      <c r="O8371">
        <v>250414</v>
      </c>
      <c r="P8371">
        <v>5.93</v>
      </c>
    </row>
    <row r="8372" spans="1:16" x14ac:dyDescent="0.25">
      <c r="A8372" t="s">
        <v>3296</v>
      </c>
      <c r="B8372" t="s">
        <v>2931</v>
      </c>
      <c r="C8372">
        <v>4570</v>
      </c>
      <c r="D8372" t="str">
        <f>"1357013     "</f>
        <v xml:space="preserve">1357013     </v>
      </c>
      <c r="E8372" t="s">
        <v>353</v>
      </c>
      <c r="F8372" t="s">
        <v>355</v>
      </c>
      <c r="G8372">
        <v>91.2</v>
      </c>
      <c r="H8372">
        <v>250331</v>
      </c>
      <c r="I8372">
        <v>4590</v>
      </c>
      <c r="J8372" t="s">
        <v>388</v>
      </c>
      <c r="K8372">
        <v>91.2</v>
      </c>
      <c r="L8372">
        <v>18.53</v>
      </c>
      <c r="M8372">
        <v>56551</v>
      </c>
      <c r="N8372" t="s">
        <v>551</v>
      </c>
      <c r="O8372">
        <v>250414</v>
      </c>
      <c r="P8372">
        <v>72.67</v>
      </c>
    </row>
    <row r="8373" spans="1:16" x14ac:dyDescent="0.25">
      <c r="A8373" t="s">
        <v>3296</v>
      </c>
      <c r="B8373" t="s">
        <v>2931</v>
      </c>
      <c r="C8373">
        <v>4579</v>
      </c>
      <c r="D8373" t="str">
        <f>"1356998     "</f>
        <v xml:space="preserve">1356998     </v>
      </c>
      <c r="E8373" t="s">
        <v>353</v>
      </c>
      <c r="F8373" t="s">
        <v>355</v>
      </c>
      <c r="G8373">
        <v>24.81</v>
      </c>
      <c r="H8373">
        <v>250331</v>
      </c>
      <c r="I8373">
        <v>4590</v>
      </c>
      <c r="J8373" t="s">
        <v>388</v>
      </c>
      <c r="K8373">
        <v>24.81</v>
      </c>
      <c r="L8373">
        <v>5.04</v>
      </c>
      <c r="M8373">
        <v>56551</v>
      </c>
      <c r="N8373" t="s">
        <v>551</v>
      </c>
      <c r="O8373">
        <v>250414</v>
      </c>
      <c r="P8373">
        <v>19.77</v>
      </c>
    </row>
    <row r="8374" spans="1:16" x14ac:dyDescent="0.25">
      <c r="A8374" t="s">
        <v>3296</v>
      </c>
      <c r="B8374" t="s">
        <v>2931</v>
      </c>
      <c r="C8374">
        <v>4600</v>
      </c>
      <c r="D8374" t="str">
        <f>"1357027     "</f>
        <v xml:space="preserve">1357027     </v>
      </c>
      <c r="E8374" t="s">
        <v>353</v>
      </c>
      <c r="F8374" t="s">
        <v>355</v>
      </c>
      <c r="G8374">
        <v>631.08000000000004</v>
      </c>
      <c r="H8374">
        <v>250331</v>
      </c>
      <c r="I8374">
        <v>4590</v>
      </c>
      <c r="J8374" t="s">
        <v>388</v>
      </c>
      <c r="K8374">
        <v>631.08000000000004</v>
      </c>
      <c r="L8374">
        <v>128.22999999999999</v>
      </c>
      <c r="M8374">
        <v>69501</v>
      </c>
      <c r="N8374" t="s">
        <v>123</v>
      </c>
      <c r="O8374">
        <v>250414</v>
      </c>
      <c r="P8374">
        <v>502.85</v>
      </c>
    </row>
    <row r="8375" spans="1:16" x14ac:dyDescent="0.25">
      <c r="A8375" t="s">
        <v>3296</v>
      </c>
      <c r="B8375" t="s">
        <v>2931</v>
      </c>
      <c r="C8375">
        <v>5426</v>
      </c>
      <c r="D8375" t="str">
        <f>"1358583     "</f>
        <v xml:space="preserve">1358583     </v>
      </c>
      <c r="E8375" t="s">
        <v>353</v>
      </c>
      <c r="F8375" t="s">
        <v>355</v>
      </c>
      <c r="G8375">
        <v>47.61</v>
      </c>
      <c r="H8375">
        <v>250416</v>
      </c>
      <c r="I8375">
        <v>4590</v>
      </c>
      <c r="J8375" t="s">
        <v>388</v>
      </c>
      <c r="K8375">
        <v>47.61</v>
      </c>
      <c r="L8375">
        <v>9.67</v>
      </c>
      <c r="M8375">
        <v>69501</v>
      </c>
      <c r="N8375" t="s">
        <v>123</v>
      </c>
      <c r="O8375">
        <v>250424</v>
      </c>
      <c r="P8375">
        <v>37.94</v>
      </c>
    </row>
    <row r="8376" spans="1:16" x14ac:dyDescent="0.25">
      <c r="A8376" t="s">
        <v>3296</v>
      </c>
      <c r="B8376" t="s">
        <v>2931</v>
      </c>
      <c r="C8376">
        <v>5475</v>
      </c>
      <c r="D8376" t="str">
        <f>"1358579     "</f>
        <v xml:space="preserve">1358579     </v>
      </c>
      <c r="E8376" t="s">
        <v>353</v>
      </c>
      <c r="F8376" t="s">
        <v>355</v>
      </c>
      <c r="G8376">
        <v>21.44</v>
      </c>
      <c r="H8376">
        <v>250416</v>
      </c>
      <c r="I8376">
        <v>4590</v>
      </c>
      <c r="J8376" t="s">
        <v>388</v>
      </c>
      <c r="K8376">
        <v>21.44</v>
      </c>
      <c r="L8376">
        <v>4.3600000000000003</v>
      </c>
      <c r="M8376">
        <v>56551</v>
      </c>
      <c r="N8376" t="s">
        <v>551</v>
      </c>
      <c r="O8376">
        <v>250424</v>
      </c>
      <c r="P8376">
        <v>17.079999999999998</v>
      </c>
    </row>
    <row r="8377" spans="1:16" x14ac:dyDescent="0.25">
      <c r="A8377" t="s">
        <v>3296</v>
      </c>
      <c r="B8377" t="s">
        <v>2931</v>
      </c>
      <c r="C8377">
        <v>6946</v>
      </c>
      <c r="D8377" t="str">
        <f>"1360559     "</f>
        <v xml:space="preserve">1360559     </v>
      </c>
      <c r="E8377" t="s">
        <v>353</v>
      </c>
      <c r="F8377" t="s">
        <v>355</v>
      </c>
      <c r="G8377">
        <v>29.36</v>
      </c>
      <c r="H8377">
        <v>250513</v>
      </c>
      <c r="I8377">
        <v>4590</v>
      </c>
      <c r="J8377" t="s">
        <v>388</v>
      </c>
      <c r="K8377">
        <v>29.36</v>
      </c>
      <c r="L8377">
        <v>5.97</v>
      </c>
      <c r="M8377">
        <v>56522</v>
      </c>
      <c r="N8377" t="s">
        <v>68</v>
      </c>
      <c r="O8377">
        <v>250521</v>
      </c>
      <c r="P8377">
        <v>23.39</v>
      </c>
    </row>
    <row r="8378" spans="1:16" x14ac:dyDescent="0.25">
      <c r="A8378" t="s">
        <v>3296</v>
      </c>
      <c r="B8378" t="s">
        <v>2931</v>
      </c>
      <c r="C8378">
        <v>6962</v>
      </c>
      <c r="D8378" t="str">
        <f>"1360570     "</f>
        <v xml:space="preserve">1360570     </v>
      </c>
      <c r="E8378" t="s">
        <v>353</v>
      </c>
      <c r="F8378" t="s">
        <v>355</v>
      </c>
      <c r="G8378">
        <v>45.2</v>
      </c>
      <c r="H8378">
        <v>250513</v>
      </c>
      <c r="I8378">
        <v>4590</v>
      </c>
      <c r="J8378" t="s">
        <v>388</v>
      </c>
      <c r="K8378">
        <v>45.2</v>
      </c>
      <c r="L8378">
        <v>9.18</v>
      </c>
      <c r="M8378">
        <v>56522</v>
      </c>
      <c r="N8378" t="s">
        <v>68</v>
      </c>
      <c r="O8378">
        <v>250521</v>
      </c>
      <c r="P8378">
        <v>36.020000000000003</v>
      </c>
    </row>
    <row r="8379" spans="1:16" x14ac:dyDescent="0.25">
      <c r="A8379" t="s">
        <v>3296</v>
      </c>
      <c r="B8379" t="s">
        <v>2931</v>
      </c>
      <c r="C8379">
        <v>8029</v>
      </c>
      <c r="D8379" t="str">
        <f>"1362722     "</f>
        <v xml:space="preserve">1362722     </v>
      </c>
      <c r="E8379" t="s">
        <v>353</v>
      </c>
      <c r="F8379" t="s">
        <v>355</v>
      </c>
      <c r="G8379">
        <v>6.64</v>
      </c>
      <c r="H8379">
        <v>250531</v>
      </c>
      <c r="I8379">
        <v>4590</v>
      </c>
      <c r="J8379" t="s">
        <v>388</v>
      </c>
      <c r="K8379">
        <v>6.64</v>
      </c>
      <c r="L8379">
        <v>1.35</v>
      </c>
      <c r="M8379">
        <v>56522</v>
      </c>
      <c r="N8379" t="s">
        <v>68</v>
      </c>
      <c r="O8379">
        <v>250611</v>
      </c>
      <c r="P8379">
        <v>5.29</v>
      </c>
    </row>
    <row r="8380" spans="1:16" x14ac:dyDescent="0.25">
      <c r="A8380" t="s">
        <v>3296</v>
      </c>
      <c r="B8380" t="s">
        <v>2931</v>
      </c>
      <c r="C8380">
        <v>10484</v>
      </c>
      <c r="D8380" t="str">
        <f>"1368561     "</f>
        <v xml:space="preserve">1368561     </v>
      </c>
      <c r="E8380" t="s">
        <v>353</v>
      </c>
      <c r="F8380" t="s">
        <v>355</v>
      </c>
      <c r="G8380">
        <v>141.55000000000001</v>
      </c>
      <c r="H8380">
        <v>250813</v>
      </c>
      <c r="I8380">
        <v>4590</v>
      </c>
      <c r="J8380" t="s">
        <v>388</v>
      </c>
      <c r="K8380">
        <v>141.55000000000001</v>
      </c>
      <c r="L8380">
        <v>28.76</v>
      </c>
      <c r="M8380">
        <v>69501</v>
      </c>
      <c r="N8380" t="s">
        <v>123</v>
      </c>
      <c r="O8380">
        <v>250820</v>
      </c>
      <c r="P8380">
        <v>112.79</v>
      </c>
    </row>
    <row r="8381" spans="1:16" x14ac:dyDescent="0.25">
      <c r="A8381" t="s">
        <v>3296</v>
      </c>
      <c r="B8381" t="s">
        <v>2931</v>
      </c>
      <c r="C8381">
        <v>11042</v>
      </c>
      <c r="D8381" t="str">
        <f>"1369256     "</f>
        <v xml:space="preserve">1369256     </v>
      </c>
      <c r="E8381" t="s">
        <v>353</v>
      </c>
      <c r="F8381" t="s">
        <v>355</v>
      </c>
      <c r="G8381">
        <v>57.2</v>
      </c>
      <c r="H8381">
        <v>250827</v>
      </c>
      <c r="I8381">
        <v>4590</v>
      </c>
      <c r="J8381" t="s">
        <v>388</v>
      </c>
      <c r="K8381">
        <v>57.2</v>
      </c>
      <c r="L8381">
        <v>11.62</v>
      </c>
      <c r="M8381">
        <v>56522</v>
      </c>
      <c r="N8381" t="s">
        <v>68</v>
      </c>
      <c r="O8381">
        <v>250829</v>
      </c>
      <c r="P8381">
        <v>45.58</v>
      </c>
    </row>
    <row r="8382" spans="1:16" x14ac:dyDescent="0.25">
      <c r="A8382" t="s">
        <v>3296</v>
      </c>
      <c r="B8382" t="s">
        <v>2931</v>
      </c>
      <c r="C8382">
        <v>12562</v>
      </c>
      <c r="D8382" t="str">
        <f>"1371320     "</f>
        <v xml:space="preserve">1371320     </v>
      </c>
      <c r="E8382" t="s">
        <v>353</v>
      </c>
      <c r="F8382" t="s">
        <v>355</v>
      </c>
      <c r="G8382">
        <v>106.4</v>
      </c>
      <c r="H8382">
        <v>250917</v>
      </c>
      <c r="I8382">
        <v>4590</v>
      </c>
      <c r="J8382" t="s">
        <v>388</v>
      </c>
      <c r="K8382">
        <v>106.4</v>
      </c>
      <c r="L8382">
        <v>21.62</v>
      </c>
      <c r="M8382">
        <v>56522</v>
      </c>
      <c r="N8382" t="s">
        <v>68</v>
      </c>
      <c r="O8382">
        <v>250926</v>
      </c>
      <c r="P8382">
        <v>84.78</v>
      </c>
    </row>
    <row r="8383" spans="1:16" x14ac:dyDescent="0.25">
      <c r="A8383" t="s">
        <v>3296</v>
      </c>
      <c r="B8383" t="s">
        <v>2931</v>
      </c>
      <c r="C8383">
        <v>12590</v>
      </c>
      <c r="D8383" t="str">
        <f>"1371340     "</f>
        <v xml:space="preserve">1371340     </v>
      </c>
      <c r="E8383" t="s">
        <v>353</v>
      </c>
      <c r="F8383" t="s">
        <v>355</v>
      </c>
      <c r="G8383">
        <v>20.48</v>
      </c>
      <c r="H8383">
        <v>250917</v>
      </c>
      <c r="I8383">
        <v>4590</v>
      </c>
      <c r="J8383" t="s">
        <v>388</v>
      </c>
      <c r="K8383">
        <v>20.48</v>
      </c>
      <c r="L8383">
        <v>4.16</v>
      </c>
      <c r="M8383">
        <v>56522</v>
      </c>
      <c r="N8383" t="s">
        <v>68</v>
      </c>
      <c r="O8383">
        <v>250926</v>
      </c>
      <c r="P8383">
        <v>16.32</v>
      </c>
    </row>
    <row r="8384" spans="1:16" x14ac:dyDescent="0.25">
      <c r="A8384" t="s">
        <v>3296</v>
      </c>
      <c r="B8384" t="s">
        <v>2931</v>
      </c>
      <c r="C8384">
        <v>13205</v>
      </c>
      <c r="D8384" t="str">
        <f>"1372031     "</f>
        <v xml:space="preserve">1372031     </v>
      </c>
      <c r="E8384" t="s">
        <v>353</v>
      </c>
      <c r="F8384" t="s">
        <v>355</v>
      </c>
      <c r="G8384">
        <v>48.63</v>
      </c>
      <c r="H8384">
        <v>250930</v>
      </c>
      <c r="I8384">
        <v>4590</v>
      </c>
      <c r="J8384" t="s">
        <v>388</v>
      </c>
      <c r="K8384">
        <v>48.63</v>
      </c>
      <c r="L8384">
        <v>9.8800000000000008</v>
      </c>
      <c r="M8384">
        <v>56551</v>
      </c>
      <c r="N8384" t="s">
        <v>551</v>
      </c>
      <c r="O8384">
        <v>251006</v>
      </c>
      <c r="P8384">
        <v>38.75</v>
      </c>
    </row>
    <row r="8385" spans="1:16" x14ac:dyDescent="0.25">
      <c r="A8385" t="s">
        <v>3296</v>
      </c>
      <c r="B8385" t="s">
        <v>2931</v>
      </c>
      <c r="C8385">
        <v>13779</v>
      </c>
      <c r="D8385" t="str">
        <f>"1373035     "</f>
        <v xml:space="preserve">1373035     </v>
      </c>
      <c r="E8385" t="s">
        <v>353</v>
      </c>
      <c r="F8385" t="s">
        <v>355</v>
      </c>
      <c r="G8385">
        <v>18.72</v>
      </c>
      <c r="H8385">
        <v>251001</v>
      </c>
      <c r="I8385">
        <v>4590</v>
      </c>
      <c r="J8385" t="s">
        <v>388</v>
      </c>
      <c r="K8385">
        <v>18.72</v>
      </c>
      <c r="L8385">
        <v>3.8</v>
      </c>
      <c r="M8385">
        <v>56564</v>
      </c>
      <c r="N8385" t="s">
        <v>56</v>
      </c>
      <c r="O8385">
        <v>251020</v>
      </c>
      <c r="P8385">
        <v>14.92</v>
      </c>
    </row>
    <row r="8386" spans="1:16" x14ac:dyDescent="0.25">
      <c r="A8386" t="s">
        <v>3296</v>
      </c>
      <c r="B8386" t="s">
        <v>2931</v>
      </c>
      <c r="C8386">
        <v>13818</v>
      </c>
      <c r="D8386" t="str">
        <f>"1373054     "</f>
        <v xml:space="preserve">1373054     </v>
      </c>
      <c r="E8386" t="s">
        <v>353</v>
      </c>
      <c r="F8386" t="s">
        <v>355</v>
      </c>
      <c r="G8386">
        <v>72.16</v>
      </c>
      <c r="H8386">
        <v>251001</v>
      </c>
      <c r="I8386">
        <v>4590</v>
      </c>
      <c r="J8386" t="s">
        <v>388</v>
      </c>
      <c r="K8386">
        <v>72.16</v>
      </c>
      <c r="L8386">
        <v>14.66</v>
      </c>
      <c r="M8386">
        <v>56551</v>
      </c>
      <c r="N8386" t="s">
        <v>551</v>
      </c>
      <c r="O8386">
        <v>251020</v>
      </c>
      <c r="P8386">
        <v>57.5</v>
      </c>
    </row>
    <row r="8387" spans="1:16" x14ac:dyDescent="0.25">
      <c r="A8387" t="s">
        <v>3296</v>
      </c>
      <c r="B8387" t="s">
        <v>2931</v>
      </c>
      <c r="C8387">
        <v>14962</v>
      </c>
      <c r="D8387" t="str">
        <f>"1375530     "</f>
        <v xml:space="preserve">1375530     </v>
      </c>
      <c r="E8387" t="s">
        <v>353</v>
      </c>
      <c r="F8387" t="s">
        <v>355</v>
      </c>
      <c r="G8387">
        <v>12.87</v>
      </c>
      <c r="H8387">
        <v>251031</v>
      </c>
      <c r="I8387">
        <v>4590</v>
      </c>
      <c r="J8387" t="s">
        <v>388</v>
      </c>
      <c r="K8387">
        <v>12.87</v>
      </c>
      <c r="L8387">
        <v>2.62</v>
      </c>
      <c r="M8387">
        <v>56564</v>
      </c>
      <c r="N8387" t="s">
        <v>56</v>
      </c>
      <c r="O8387">
        <v>251110</v>
      </c>
      <c r="P8387">
        <v>10.25</v>
      </c>
    </row>
    <row r="8388" spans="1:16" x14ac:dyDescent="0.25">
      <c r="A8388" t="s">
        <v>3296</v>
      </c>
      <c r="B8388" t="s">
        <v>2931</v>
      </c>
      <c r="C8388">
        <v>15091</v>
      </c>
      <c r="D8388" t="str">
        <f>"1375502     "</f>
        <v xml:space="preserve">1375502     </v>
      </c>
      <c r="E8388" t="s">
        <v>353</v>
      </c>
      <c r="F8388" t="s">
        <v>355</v>
      </c>
      <c r="G8388">
        <v>225</v>
      </c>
      <c r="H8388">
        <v>251031</v>
      </c>
      <c r="I8388">
        <v>4590</v>
      </c>
      <c r="J8388" t="s">
        <v>388</v>
      </c>
      <c r="K8388">
        <v>225</v>
      </c>
      <c r="L8388">
        <v>45.72</v>
      </c>
      <c r="M8388">
        <v>56522</v>
      </c>
      <c r="N8388" t="s">
        <v>68</v>
      </c>
      <c r="O8388">
        <v>251111</v>
      </c>
      <c r="P8388">
        <v>179.28</v>
      </c>
    </row>
    <row r="8389" spans="1:16" x14ac:dyDescent="0.25">
      <c r="A8389" t="s">
        <v>3296</v>
      </c>
      <c r="B8389" t="s">
        <v>2931</v>
      </c>
      <c r="C8389">
        <v>17467</v>
      </c>
      <c r="D8389" t="str">
        <f>"1377985     "</f>
        <v xml:space="preserve">1377985     </v>
      </c>
      <c r="E8389" t="s">
        <v>353</v>
      </c>
      <c r="F8389" t="s">
        <v>355</v>
      </c>
      <c r="G8389">
        <v>11.6</v>
      </c>
      <c r="H8389">
        <v>251203</v>
      </c>
      <c r="I8389">
        <v>4590</v>
      </c>
      <c r="J8389" t="s">
        <v>388</v>
      </c>
      <c r="K8389">
        <v>11.6</v>
      </c>
      <c r="L8389">
        <v>2.36</v>
      </c>
      <c r="M8389">
        <v>56551</v>
      </c>
      <c r="N8389" t="s">
        <v>551</v>
      </c>
      <c r="O8389">
        <v>251222</v>
      </c>
      <c r="P8389">
        <v>9.24</v>
      </c>
    </row>
    <row r="8390" spans="1:16" x14ac:dyDescent="0.25">
      <c r="A8390" t="s">
        <v>3296</v>
      </c>
      <c r="B8390" t="s">
        <v>2931</v>
      </c>
      <c r="C8390">
        <v>17538</v>
      </c>
      <c r="D8390" t="str">
        <f>"1379534     "</f>
        <v xml:space="preserve">1379534     </v>
      </c>
      <c r="E8390" t="s">
        <v>353</v>
      </c>
      <c r="F8390" t="s">
        <v>355</v>
      </c>
      <c r="G8390">
        <v>5.28</v>
      </c>
      <c r="H8390">
        <v>251217</v>
      </c>
      <c r="I8390">
        <v>4590</v>
      </c>
      <c r="J8390" t="s">
        <v>388</v>
      </c>
      <c r="K8390">
        <v>5.28</v>
      </c>
      <c r="L8390">
        <v>1.07</v>
      </c>
      <c r="M8390">
        <v>56551</v>
      </c>
      <c r="N8390" t="s">
        <v>551</v>
      </c>
      <c r="O8390">
        <v>251222</v>
      </c>
      <c r="P8390">
        <v>4.21</v>
      </c>
    </row>
    <row r="8391" spans="1:16" x14ac:dyDescent="0.25">
      <c r="A8391" t="s">
        <v>3296</v>
      </c>
      <c r="B8391" t="s">
        <v>2931</v>
      </c>
      <c r="C8391">
        <v>17606</v>
      </c>
      <c r="D8391" t="str">
        <f>"1379535     "</f>
        <v xml:space="preserve">1379535     </v>
      </c>
      <c r="E8391" t="s">
        <v>353</v>
      </c>
      <c r="F8391" t="s">
        <v>355</v>
      </c>
      <c r="G8391">
        <v>216.07</v>
      </c>
      <c r="H8391">
        <v>251217</v>
      </c>
      <c r="I8391">
        <v>4590</v>
      </c>
      <c r="J8391" t="s">
        <v>388</v>
      </c>
      <c r="K8391">
        <v>216.07</v>
      </c>
      <c r="L8391">
        <v>43.9</v>
      </c>
      <c r="M8391">
        <v>56522</v>
      </c>
      <c r="N8391" t="s">
        <v>68</v>
      </c>
      <c r="O8391">
        <v>251223</v>
      </c>
      <c r="P8391">
        <v>172.17</v>
      </c>
    </row>
    <row r="8392" spans="1:16" x14ac:dyDescent="0.25">
      <c r="A8392" t="s">
        <v>3296</v>
      </c>
      <c r="B8392" t="s">
        <v>2931</v>
      </c>
      <c r="C8392">
        <v>223</v>
      </c>
      <c r="D8392" t="str">
        <f>"1350456     "</f>
        <v xml:space="preserve">1350456     </v>
      </c>
      <c r="E8392" t="s">
        <v>353</v>
      </c>
      <c r="F8392" t="s">
        <v>355</v>
      </c>
      <c r="G8392">
        <v>-41</v>
      </c>
      <c r="H8392">
        <v>250114</v>
      </c>
      <c r="I8392">
        <v>4600</v>
      </c>
      <c r="J8392" t="s">
        <v>278</v>
      </c>
      <c r="K8392">
        <v>-41</v>
      </c>
      <c r="L8392">
        <v>-8.33</v>
      </c>
      <c r="M8392">
        <v>56568</v>
      </c>
      <c r="N8392" t="s">
        <v>354</v>
      </c>
      <c r="O8392">
        <v>250120</v>
      </c>
      <c r="P8392">
        <v>-32.67</v>
      </c>
    </row>
    <row r="8393" spans="1:16" x14ac:dyDescent="0.25">
      <c r="A8393" t="s">
        <v>3296</v>
      </c>
      <c r="B8393" t="s">
        <v>2931</v>
      </c>
      <c r="C8393">
        <v>224</v>
      </c>
      <c r="D8393" t="str">
        <f>"1350455     "</f>
        <v xml:space="preserve">1350455     </v>
      </c>
      <c r="E8393" t="s">
        <v>353</v>
      </c>
      <c r="F8393" t="s">
        <v>355</v>
      </c>
      <c r="G8393">
        <v>-16.02</v>
      </c>
      <c r="H8393">
        <v>250114</v>
      </c>
      <c r="I8393">
        <v>4600</v>
      </c>
      <c r="J8393" t="s">
        <v>278</v>
      </c>
      <c r="K8393">
        <v>-16.02</v>
      </c>
      <c r="L8393">
        <v>-3.26</v>
      </c>
      <c r="M8393">
        <v>56568</v>
      </c>
      <c r="N8393" t="s">
        <v>354</v>
      </c>
      <c r="O8393">
        <v>250120</v>
      </c>
      <c r="P8393">
        <v>-12.76</v>
      </c>
    </row>
    <row r="8394" spans="1:16" x14ac:dyDescent="0.25">
      <c r="A8394" t="s">
        <v>3296</v>
      </c>
      <c r="B8394" t="s">
        <v>2931</v>
      </c>
      <c r="C8394">
        <v>263</v>
      </c>
      <c r="D8394" t="str">
        <f>"1350465     "</f>
        <v xml:space="preserve">1350465     </v>
      </c>
      <c r="E8394" t="s">
        <v>353</v>
      </c>
      <c r="F8394" t="s">
        <v>355</v>
      </c>
      <c r="G8394">
        <v>14.26</v>
      </c>
      <c r="H8394">
        <v>250114</v>
      </c>
      <c r="I8394">
        <v>4600</v>
      </c>
      <c r="J8394" t="s">
        <v>278</v>
      </c>
      <c r="K8394">
        <v>14.26</v>
      </c>
      <c r="L8394">
        <v>2.9</v>
      </c>
      <c r="M8394">
        <v>56568</v>
      </c>
      <c r="N8394" t="s">
        <v>354</v>
      </c>
      <c r="O8394">
        <v>250120</v>
      </c>
      <c r="P8394">
        <v>11.36</v>
      </c>
    </row>
    <row r="8395" spans="1:16" x14ac:dyDescent="0.25">
      <c r="A8395" t="s">
        <v>3296</v>
      </c>
      <c r="B8395" t="s">
        <v>2931</v>
      </c>
      <c r="C8395">
        <v>266</v>
      </c>
      <c r="D8395" t="str">
        <f>"1350449     "</f>
        <v xml:space="preserve">1350449     </v>
      </c>
      <c r="E8395" t="s">
        <v>353</v>
      </c>
      <c r="F8395" t="s">
        <v>355</v>
      </c>
      <c r="G8395">
        <v>50.37</v>
      </c>
      <c r="H8395">
        <v>250114</v>
      </c>
      <c r="I8395">
        <v>4600</v>
      </c>
      <c r="J8395" t="s">
        <v>278</v>
      </c>
      <c r="K8395">
        <v>50.37</v>
      </c>
      <c r="L8395">
        <v>10.23</v>
      </c>
      <c r="M8395">
        <v>56568</v>
      </c>
      <c r="N8395" t="s">
        <v>354</v>
      </c>
      <c r="O8395">
        <v>250120</v>
      </c>
      <c r="P8395">
        <v>40.14</v>
      </c>
    </row>
    <row r="8396" spans="1:16" x14ac:dyDescent="0.25">
      <c r="A8396" t="s">
        <v>3296</v>
      </c>
      <c r="B8396" t="s">
        <v>2931</v>
      </c>
      <c r="C8396">
        <v>270</v>
      </c>
      <c r="D8396" t="str">
        <f>"1350452     "</f>
        <v xml:space="preserve">1350452     </v>
      </c>
      <c r="E8396" t="s">
        <v>353</v>
      </c>
      <c r="F8396" t="s">
        <v>355</v>
      </c>
      <c r="G8396">
        <v>207.01</v>
      </c>
      <c r="H8396">
        <v>250114</v>
      </c>
      <c r="I8396">
        <v>4600</v>
      </c>
      <c r="J8396" t="s">
        <v>278</v>
      </c>
      <c r="K8396">
        <v>207.01</v>
      </c>
      <c r="L8396">
        <v>42.06</v>
      </c>
      <c r="M8396">
        <v>56568</v>
      </c>
      <c r="N8396" t="s">
        <v>354</v>
      </c>
      <c r="O8396">
        <v>250120</v>
      </c>
      <c r="P8396">
        <v>164.95</v>
      </c>
    </row>
    <row r="8397" spans="1:16" x14ac:dyDescent="0.25">
      <c r="A8397" t="s">
        <v>3296</v>
      </c>
      <c r="B8397" t="s">
        <v>2931</v>
      </c>
      <c r="C8397">
        <v>272</v>
      </c>
      <c r="D8397" t="str">
        <f>"1350454     "</f>
        <v xml:space="preserve">1350454     </v>
      </c>
      <c r="E8397" t="s">
        <v>353</v>
      </c>
      <c r="F8397" t="s">
        <v>355</v>
      </c>
      <c r="G8397">
        <v>64.5</v>
      </c>
      <c r="H8397">
        <v>250114</v>
      </c>
      <c r="I8397">
        <v>4600</v>
      </c>
      <c r="J8397" t="s">
        <v>278</v>
      </c>
      <c r="K8397">
        <v>64.5</v>
      </c>
      <c r="L8397">
        <v>13.11</v>
      </c>
      <c r="M8397">
        <v>56568</v>
      </c>
      <c r="N8397" t="s">
        <v>354</v>
      </c>
      <c r="O8397">
        <v>250120</v>
      </c>
      <c r="P8397">
        <v>51.39</v>
      </c>
    </row>
    <row r="8398" spans="1:16" x14ac:dyDescent="0.25">
      <c r="A8398" t="s">
        <v>3296</v>
      </c>
      <c r="B8398" t="s">
        <v>2931</v>
      </c>
      <c r="C8398">
        <v>273</v>
      </c>
      <c r="D8398" t="str">
        <f>"1350463     "</f>
        <v xml:space="preserve">1350463     </v>
      </c>
      <c r="E8398" t="s">
        <v>353</v>
      </c>
      <c r="F8398" t="s">
        <v>355</v>
      </c>
      <c r="G8398">
        <v>94.91</v>
      </c>
      <c r="H8398">
        <v>250114</v>
      </c>
      <c r="I8398">
        <v>4600</v>
      </c>
      <c r="J8398" t="s">
        <v>278</v>
      </c>
      <c r="K8398">
        <v>94.91</v>
      </c>
      <c r="L8398">
        <v>19.28</v>
      </c>
      <c r="M8398">
        <v>56568</v>
      </c>
      <c r="N8398" t="s">
        <v>354</v>
      </c>
      <c r="O8398">
        <v>250120</v>
      </c>
      <c r="P8398">
        <v>75.63</v>
      </c>
    </row>
    <row r="8399" spans="1:16" x14ac:dyDescent="0.25">
      <c r="A8399" t="s">
        <v>3296</v>
      </c>
      <c r="B8399" t="s">
        <v>2931</v>
      </c>
      <c r="C8399">
        <v>274</v>
      </c>
      <c r="D8399" t="str">
        <f>"1350458     "</f>
        <v xml:space="preserve">1350458     </v>
      </c>
      <c r="E8399" t="s">
        <v>353</v>
      </c>
      <c r="F8399" t="s">
        <v>355</v>
      </c>
      <c r="G8399">
        <v>77.69</v>
      </c>
      <c r="H8399">
        <v>250114</v>
      </c>
      <c r="I8399">
        <v>4600</v>
      </c>
      <c r="J8399" t="s">
        <v>278</v>
      </c>
      <c r="K8399">
        <v>77.69</v>
      </c>
      <c r="L8399">
        <v>15.79</v>
      </c>
      <c r="M8399">
        <v>56568</v>
      </c>
      <c r="N8399" t="s">
        <v>354</v>
      </c>
      <c r="O8399">
        <v>250120</v>
      </c>
      <c r="P8399">
        <v>61.9</v>
      </c>
    </row>
    <row r="8400" spans="1:16" x14ac:dyDescent="0.25">
      <c r="A8400" t="s">
        <v>3296</v>
      </c>
      <c r="B8400" t="s">
        <v>2931</v>
      </c>
      <c r="C8400">
        <v>277</v>
      </c>
      <c r="D8400" t="str">
        <f>"1350447     "</f>
        <v xml:space="preserve">1350447     </v>
      </c>
      <c r="E8400" t="s">
        <v>353</v>
      </c>
      <c r="F8400" t="s">
        <v>355</v>
      </c>
      <c r="G8400">
        <v>69</v>
      </c>
      <c r="H8400">
        <v>250114</v>
      </c>
      <c r="I8400">
        <v>4600</v>
      </c>
      <c r="J8400" t="s">
        <v>278</v>
      </c>
      <c r="K8400">
        <v>69</v>
      </c>
      <c r="L8400">
        <v>14.02</v>
      </c>
      <c r="M8400">
        <v>59501</v>
      </c>
      <c r="N8400" t="s">
        <v>62</v>
      </c>
      <c r="O8400">
        <v>250120</v>
      </c>
      <c r="P8400">
        <v>54.98</v>
      </c>
    </row>
    <row r="8401" spans="1:16" x14ac:dyDescent="0.25">
      <c r="A8401" t="s">
        <v>3296</v>
      </c>
      <c r="B8401" t="s">
        <v>2931</v>
      </c>
      <c r="C8401">
        <v>278</v>
      </c>
      <c r="D8401" t="str">
        <f>"1350446     "</f>
        <v xml:space="preserve">1350446     </v>
      </c>
      <c r="E8401" t="s">
        <v>353</v>
      </c>
      <c r="F8401" t="s">
        <v>355</v>
      </c>
      <c r="G8401">
        <v>102.8</v>
      </c>
      <c r="H8401">
        <v>250114</v>
      </c>
      <c r="I8401">
        <v>4600</v>
      </c>
      <c r="J8401" t="s">
        <v>278</v>
      </c>
      <c r="K8401">
        <v>102.8</v>
      </c>
      <c r="L8401">
        <v>20.89</v>
      </c>
      <c r="M8401">
        <v>56568</v>
      </c>
      <c r="N8401" t="s">
        <v>354</v>
      </c>
      <c r="O8401">
        <v>250120</v>
      </c>
      <c r="P8401">
        <v>81.91</v>
      </c>
    </row>
    <row r="8402" spans="1:16" x14ac:dyDescent="0.25">
      <c r="A8402" t="s">
        <v>3296</v>
      </c>
      <c r="B8402" t="s">
        <v>2931</v>
      </c>
      <c r="C8402">
        <v>279</v>
      </c>
      <c r="D8402" t="str">
        <f>"1350460     "</f>
        <v xml:space="preserve">1350460     </v>
      </c>
      <c r="E8402" t="s">
        <v>353</v>
      </c>
      <c r="F8402" t="s">
        <v>355</v>
      </c>
      <c r="G8402">
        <v>130.1</v>
      </c>
      <c r="H8402">
        <v>250114</v>
      </c>
      <c r="I8402">
        <v>4600</v>
      </c>
      <c r="J8402" t="s">
        <v>278</v>
      </c>
      <c r="K8402">
        <v>130.1</v>
      </c>
      <c r="L8402">
        <v>26.43</v>
      </c>
      <c r="M8402">
        <v>56568</v>
      </c>
      <c r="N8402" t="s">
        <v>354</v>
      </c>
      <c r="O8402">
        <v>250120</v>
      </c>
      <c r="P8402">
        <v>103.67</v>
      </c>
    </row>
    <row r="8403" spans="1:16" x14ac:dyDescent="0.25">
      <c r="A8403" t="s">
        <v>3296</v>
      </c>
      <c r="B8403" t="s">
        <v>2931</v>
      </c>
      <c r="C8403">
        <v>280</v>
      </c>
      <c r="D8403" t="str">
        <f>"1350453     "</f>
        <v xml:space="preserve">1350453     </v>
      </c>
      <c r="E8403" t="s">
        <v>353</v>
      </c>
      <c r="F8403" t="s">
        <v>355</v>
      </c>
      <c r="G8403">
        <v>97.65</v>
      </c>
      <c r="H8403">
        <v>250114</v>
      </c>
      <c r="I8403">
        <v>4600</v>
      </c>
      <c r="J8403" t="s">
        <v>278</v>
      </c>
      <c r="K8403">
        <v>97.65</v>
      </c>
      <c r="L8403">
        <v>19.84</v>
      </c>
      <c r="M8403">
        <v>56568</v>
      </c>
      <c r="N8403" t="s">
        <v>354</v>
      </c>
      <c r="O8403">
        <v>250120</v>
      </c>
      <c r="P8403">
        <v>77.81</v>
      </c>
    </row>
    <row r="8404" spans="1:16" x14ac:dyDescent="0.25">
      <c r="A8404" t="s">
        <v>3296</v>
      </c>
      <c r="B8404" t="s">
        <v>2931</v>
      </c>
      <c r="C8404">
        <v>281</v>
      </c>
      <c r="D8404" t="str">
        <f>"1350451     "</f>
        <v xml:space="preserve">1350451     </v>
      </c>
      <c r="E8404" t="s">
        <v>353</v>
      </c>
      <c r="F8404" t="s">
        <v>355</v>
      </c>
      <c r="G8404">
        <v>24.7</v>
      </c>
      <c r="H8404">
        <v>250114</v>
      </c>
      <c r="I8404">
        <v>4600</v>
      </c>
      <c r="J8404" t="s">
        <v>278</v>
      </c>
      <c r="K8404">
        <v>24.7</v>
      </c>
      <c r="L8404">
        <v>5.0199999999999996</v>
      </c>
      <c r="M8404">
        <v>56568</v>
      </c>
      <c r="N8404" t="s">
        <v>354</v>
      </c>
      <c r="O8404">
        <v>250120</v>
      </c>
      <c r="P8404">
        <v>19.68</v>
      </c>
    </row>
    <row r="8405" spans="1:16" x14ac:dyDescent="0.25">
      <c r="A8405" t="s">
        <v>3296</v>
      </c>
      <c r="B8405" t="s">
        <v>2931</v>
      </c>
      <c r="C8405">
        <v>282</v>
      </c>
      <c r="D8405" t="str">
        <f>"1350462     "</f>
        <v xml:space="preserve">1350462     </v>
      </c>
      <c r="E8405" t="s">
        <v>353</v>
      </c>
      <c r="F8405" t="s">
        <v>355</v>
      </c>
      <c r="G8405">
        <v>138.13999999999999</v>
      </c>
      <c r="H8405">
        <v>250114</v>
      </c>
      <c r="I8405">
        <v>4600</v>
      </c>
      <c r="J8405" t="s">
        <v>278</v>
      </c>
      <c r="K8405">
        <v>138.13999999999999</v>
      </c>
      <c r="L8405">
        <v>28.07</v>
      </c>
      <c r="M8405">
        <v>56568</v>
      </c>
      <c r="N8405" t="s">
        <v>354</v>
      </c>
      <c r="O8405">
        <v>250120</v>
      </c>
      <c r="P8405">
        <v>110.07</v>
      </c>
    </row>
    <row r="8406" spans="1:16" x14ac:dyDescent="0.25">
      <c r="A8406" t="s">
        <v>3296</v>
      </c>
      <c r="B8406" t="s">
        <v>2931</v>
      </c>
      <c r="C8406">
        <v>283</v>
      </c>
      <c r="D8406" t="str">
        <f>"1350450     "</f>
        <v xml:space="preserve">1350450     </v>
      </c>
      <c r="E8406" t="s">
        <v>353</v>
      </c>
      <c r="F8406" t="s">
        <v>355</v>
      </c>
      <c r="G8406">
        <v>7.75</v>
      </c>
      <c r="H8406">
        <v>250114</v>
      </c>
      <c r="I8406">
        <v>4600</v>
      </c>
      <c r="J8406" t="s">
        <v>278</v>
      </c>
      <c r="K8406">
        <v>7.75</v>
      </c>
      <c r="L8406">
        <v>1.57</v>
      </c>
      <c r="M8406">
        <v>56568</v>
      </c>
      <c r="N8406" t="s">
        <v>354</v>
      </c>
      <c r="O8406">
        <v>250120</v>
      </c>
      <c r="P8406">
        <v>6.18</v>
      </c>
    </row>
    <row r="8407" spans="1:16" x14ac:dyDescent="0.25">
      <c r="A8407" t="s">
        <v>3296</v>
      </c>
      <c r="B8407" t="s">
        <v>2931</v>
      </c>
      <c r="C8407">
        <v>284</v>
      </c>
      <c r="D8407" t="str">
        <f>"1350448     "</f>
        <v xml:space="preserve">1350448     </v>
      </c>
      <c r="E8407" t="s">
        <v>353</v>
      </c>
      <c r="F8407" t="s">
        <v>355</v>
      </c>
      <c r="G8407">
        <v>271.36</v>
      </c>
      <c r="H8407">
        <v>250114</v>
      </c>
      <c r="I8407">
        <v>4600</v>
      </c>
      <c r="J8407" t="s">
        <v>278</v>
      </c>
      <c r="K8407">
        <v>271.36</v>
      </c>
      <c r="L8407">
        <v>55.14</v>
      </c>
      <c r="M8407">
        <v>56568</v>
      </c>
      <c r="N8407" t="s">
        <v>354</v>
      </c>
      <c r="O8407">
        <v>250120</v>
      </c>
      <c r="P8407">
        <v>216.22</v>
      </c>
    </row>
    <row r="8408" spans="1:16" x14ac:dyDescent="0.25">
      <c r="A8408" t="s">
        <v>3296</v>
      </c>
      <c r="B8408" t="s">
        <v>2931</v>
      </c>
      <c r="C8408">
        <v>285</v>
      </c>
      <c r="D8408" t="str">
        <f>"1350467     "</f>
        <v xml:space="preserve">1350467     </v>
      </c>
      <c r="E8408" t="s">
        <v>353</v>
      </c>
      <c r="F8408" t="s">
        <v>355</v>
      </c>
      <c r="G8408">
        <v>76.489999999999995</v>
      </c>
      <c r="H8408">
        <v>250114</v>
      </c>
      <c r="I8408">
        <v>4600</v>
      </c>
      <c r="J8408" t="s">
        <v>278</v>
      </c>
      <c r="K8408">
        <v>76.489999999999995</v>
      </c>
      <c r="L8408">
        <v>15.54</v>
      </c>
      <c r="M8408">
        <v>56568</v>
      </c>
      <c r="N8408" t="s">
        <v>354</v>
      </c>
      <c r="O8408">
        <v>250120</v>
      </c>
      <c r="P8408">
        <v>60.95</v>
      </c>
    </row>
    <row r="8409" spans="1:16" x14ac:dyDescent="0.25">
      <c r="A8409" t="s">
        <v>3296</v>
      </c>
      <c r="B8409" t="s">
        <v>2931</v>
      </c>
      <c r="C8409">
        <v>315</v>
      </c>
      <c r="D8409" t="str">
        <f>"1350464     "</f>
        <v xml:space="preserve">1350464     </v>
      </c>
      <c r="E8409" t="s">
        <v>353</v>
      </c>
      <c r="F8409" t="s">
        <v>355</v>
      </c>
      <c r="G8409">
        <v>27.28</v>
      </c>
      <c r="H8409">
        <v>250114</v>
      </c>
      <c r="I8409">
        <v>4600</v>
      </c>
      <c r="J8409" t="s">
        <v>278</v>
      </c>
      <c r="K8409">
        <v>27.28</v>
      </c>
      <c r="L8409">
        <v>5.54</v>
      </c>
      <c r="M8409">
        <v>56568</v>
      </c>
      <c r="N8409" t="s">
        <v>354</v>
      </c>
      <c r="O8409">
        <v>250121</v>
      </c>
      <c r="P8409">
        <v>21.74</v>
      </c>
    </row>
    <row r="8410" spans="1:16" x14ac:dyDescent="0.25">
      <c r="A8410" t="s">
        <v>3296</v>
      </c>
      <c r="B8410" t="s">
        <v>2931</v>
      </c>
      <c r="C8410">
        <v>317</v>
      </c>
      <c r="D8410" t="str">
        <f>"1350457     "</f>
        <v xml:space="preserve">1350457     </v>
      </c>
      <c r="E8410" t="s">
        <v>353</v>
      </c>
      <c r="F8410" t="s">
        <v>355</v>
      </c>
      <c r="G8410">
        <v>12.4</v>
      </c>
      <c r="H8410">
        <v>250114</v>
      </c>
      <c r="I8410">
        <v>4600</v>
      </c>
      <c r="J8410" t="s">
        <v>278</v>
      </c>
      <c r="K8410">
        <v>12.4</v>
      </c>
      <c r="L8410">
        <v>2.52</v>
      </c>
      <c r="M8410">
        <v>56568</v>
      </c>
      <c r="N8410" t="s">
        <v>354</v>
      </c>
      <c r="O8410">
        <v>250121</v>
      </c>
      <c r="P8410">
        <v>9.8800000000000008</v>
      </c>
    </row>
    <row r="8411" spans="1:16" x14ac:dyDescent="0.25">
      <c r="A8411" t="s">
        <v>3296</v>
      </c>
      <c r="B8411" t="s">
        <v>2931</v>
      </c>
      <c r="C8411">
        <v>318</v>
      </c>
      <c r="D8411" t="str">
        <f>"1350466     "</f>
        <v xml:space="preserve">1350466     </v>
      </c>
      <c r="E8411" t="s">
        <v>353</v>
      </c>
      <c r="F8411" t="s">
        <v>355</v>
      </c>
      <c r="G8411">
        <v>10.23</v>
      </c>
      <c r="H8411">
        <v>250114</v>
      </c>
      <c r="I8411">
        <v>4600</v>
      </c>
      <c r="J8411" t="s">
        <v>278</v>
      </c>
      <c r="K8411">
        <v>10.23</v>
      </c>
      <c r="L8411">
        <v>2.08</v>
      </c>
      <c r="M8411">
        <v>56568</v>
      </c>
      <c r="N8411" t="s">
        <v>354</v>
      </c>
      <c r="O8411">
        <v>250121</v>
      </c>
      <c r="P8411">
        <v>8.15</v>
      </c>
    </row>
    <row r="8412" spans="1:16" x14ac:dyDescent="0.25">
      <c r="A8412" t="s">
        <v>3296</v>
      </c>
      <c r="B8412" t="s">
        <v>2931</v>
      </c>
      <c r="C8412">
        <v>320</v>
      </c>
      <c r="D8412" t="str">
        <f>"1350459     "</f>
        <v xml:space="preserve">1350459     </v>
      </c>
      <c r="E8412" t="s">
        <v>353</v>
      </c>
      <c r="F8412" t="s">
        <v>355</v>
      </c>
      <c r="G8412">
        <v>67.28</v>
      </c>
      <c r="H8412">
        <v>250114</v>
      </c>
      <c r="I8412">
        <v>4600</v>
      </c>
      <c r="J8412" t="s">
        <v>278</v>
      </c>
      <c r="K8412">
        <v>67.28</v>
      </c>
      <c r="L8412">
        <v>13.67</v>
      </c>
      <c r="M8412">
        <v>56568</v>
      </c>
      <c r="N8412" t="s">
        <v>354</v>
      </c>
      <c r="O8412">
        <v>250121</v>
      </c>
      <c r="P8412">
        <v>53.61</v>
      </c>
    </row>
    <row r="8413" spans="1:16" x14ac:dyDescent="0.25">
      <c r="A8413" t="s">
        <v>3296</v>
      </c>
      <c r="B8413" t="s">
        <v>2931</v>
      </c>
      <c r="C8413">
        <v>321</v>
      </c>
      <c r="D8413" t="str">
        <f>"1350461     "</f>
        <v xml:space="preserve">1350461     </v>
      </c>
      <c r="E8413" t="s">
        <v>353</v>
      </c>
      <c r="F8413" t="s">
        <v>355</v>
      </c>
      <c r="G8413">
        <v>118.45</v>
      </c>
      <c r="H8413">
        <v>250114</v>
      </c>
      <c r="I8413">
        <v>4600</v>
      </c>
      <c r="J8413" t="s">
        <v>278</v>
      </c>
      <c r="K8413">
        <v>118.45</v>
      </c>
      <c r="L8413">
        <v>24.07</v>
      </c>
      <c r="M8413">
        <v>56568</v>
      </c>
      <c r="N8413" t="s">
        <v>354</v>
      </c>
      <c r="O8413">
        <v>250121</v>
      </c>
      <c r="P8413">
        <v>94.38</v>
      </c>
    </row>
    <row r="8414" spans="1:16" x14ac:dyDescent="0.25">
      <c r="A8414" t="s">
        <v>3296</v>
      </c>
      <c r="B8414" t="s">
        <v>2931</v>
      </c>
      <c r="C8414">
        <v>322</v>
      </c>
      <c r="D8414" t="str">
        <f>"1350445     "</f>
        <v xml:space="preserve">1350445     </v>
      </c>
      <c r="E8414" t="s">
        <v>353</v>
      </c>
      <c r="F8414" t="s">
        <v>355</v>
      </c>
      <c r="G8414">
        <v>69.13</v>
      </c>
      <c r="H8414">
        <v>250114</v>
      </c>
      <c r="I8414">
        <v>4600</v>
      </c>
      <c r="J8414" t="s">
        <v>278</v>
      </c>
      <c r="K8414">
        <v>69.13</v>
      </c>
      <c r="L8414">
        <v>14.05</v>
      </c>
      <c r="M8414">
        <v>56568</v>
      </c>
      <c r="N8414" t="s">
        <v>354</v>
      </c>
      <c r="O8414">
        <v>250121</v>
      </c>
      <c r="P8414">
        <v>55.08</v>
      </c>
    </row>
    <row r="8415" spans="1:16" x14ac:dyDescent="0.25">
      <c r="A8415" t="s">
        <v>3296</v>
      </c>
      <c r="B8415" t="s">
        <v>2931</v>
      </c>
      <c r="C8415">
        <v>924</v>
      </c>
      <c r="D8415" t="str">
        <f>"1351500     "</f>
        <v xml:space="preserve">1351500     </v>
      </c>
      <c r="E8415" t="s">
        <v>353</v>
      </c>
      <c r="F8415" t="s">
        <v>355</v>
      </c>
      <c r="G8415">
        <v>-41</v>
      </c>
      <c r="H8415">
        <v>250128</v>
      </c>
      <c r="I8415">
        <v>4600</v>
      </c>
      <c r="J8415" t="s">
        <v>278</v>
      </c>
      <c r="K8415">
        <v>-41</v>
      </c>
      <c r="L8415">
        <v>-8.33</v>
      </c>
      <c r="M8415">
        <v>56568</v>
      </c>
      <c r="N8415" t="s">
        <v>354</v>
      </c>
      <c r="O8415">
        <v>250131</v>
      </c>
      <c r="P8415">
        <v>-32.67</v>
      </c>
    </row>
    <row r="8416" spans="1:16" x14ac:dyDescent="0.25">
      <c r="A8416" t="s">
        <v>3296</v>
      </c>
      <c r="B8416" t="s">
        <v>2931</v>
      </c>
      <c r="C8416">
        <v>925</v>
      </c>
      <c r="D8416" t="str">
        <f>"1351498     "</f>
        <v xml:space="preserve">1351498     </v>
      </c>
      <c r="E8416" t="s">
        <v>353</v>
      </c>
      <c r="F8416" t="s">
        <v>355</v>
      </c>
      <c r="G8416">
        <v>-8.92</v>
      </c>
      <c r="H8416">
        <v>250128</v>
      </c>
      <c r="I8416">
        <v>4600</v>
      </c>
      <c r="J8416" t="s">
        <v>278</v>
      </c>
      <c r="K8416">
        <v>-8.92</v>
      </c>
      <c r="L8416">
        <v>-1.81</v>
      </c>
      <c r="M8416">
        <v>56568</v>
      </c>
      <c r="N8416" t="s">
        <v>354</v>
      </c>
      <c r="O8416">
        <v>250131</v>
      </c>
      <c r="P8416">
        <v>-7.11</v>
      </c>
    </row>
    <row r="8417" spans="1:16" x14ac:dyDescent="0.25">
      <c r="A8417" t="s">
        <v>3296</v>
      </c>
      <c r="B8417" t="s">
        <v>2931</v>
      </c>
      <c r="C8417">
        <v>926</v>
      </c>
      <c r="D8417" t="str">
        <f>"1351523     "</f>
        <v xml:space="preserve">1351523     </v>
      </c>
      <c r="E8417" t="s">
        <v>353</v>
      </c>
      <c r="F8417" t="s">
        <v>355</v>
      </c>
      <c r="G8417">
        <v>-25.13</v>
      </c>
      <c r="H8417">
        <v>250128</v>
      </c>
      <c r="I8417">
        <v>4600</v>
      </c>
      <c r="J8417" t="s">
        <v>278</v>
      </c>
      <c r="K8417">
        <v>-25.13</v>
      </c>
      <c r="L8417">
        <v>-5.1100000000000003</v>
      </c>
      <c r="M8417">
        <v>56568</v>
      </c>
      <c r="N8417" t="s">
        <v>354</v>
      </c>
      <c r="O8417">
        <v>250131</v>
      </c>
      <c r="P8417">
        <v>-20.02</v>
      </c>
    </row>
    <row r="8418" spans="1:16" x14ac:dyDescent="0.25">
      <c r="A8418" t="s">
        <v>3296</v>
      </c>
      <c r="B8418" t="s">
        <v>2931</v>
      </c>
      <c r="C8418">
        <v>927</v>
      </c>
      <c r="D8418" t="str">
        <f>"1351499     "</f>
        <v xml:space="preserve">1351499     </v>
      </c>
      <c r="E8418" t="s">
        <v>353</v>
      </c>
      <c r="F8418" t="s">
        <v>355</v>
      </c>
      <c r="G8418">
        <v>-32.58</v>
      </c>
      <c r="H8418">
        <v>250128</v>
      </c>
      <c r="I8418">
        <v>4600</v>
      </c>
      <c r="J8418" t="s">
        <v>278</v>
      </c>
      <c r="K8418">
        <v>-32.58</v>
      </c>
      <c r="L8418">
        <v>-6.62</v>
      </c>
      <c r="M8418">
        <v>56568</v>
      </c>
      <c r="N8418" t="s">
        <v>354</v>
      </c>
      <c r="O8418">
        <v>250131</v>
      </c>
      <c r="P8418">
        <v>-25.96</v>
      </c>
    </row>
    <row r="8419" spans="1:16" x14ac:dyDescent="0.25">
      <c r="A8419" t="s">
        <v>3296</v>
      </c>
      <c r="B8419" t="s">
        <v>2931</v>
      </c>
      <c r="C8419">
        <v>929</v>
      </c>
      <c r="D8419" t="str">
        <f>"1351510     "</f>
        <v xml:space="preserve">1351510     </v>
      </c>
      <c r="E8419" t="s">
        <v>353</v>
      </c>
      <c r="F8419" t="s">
        <v>355</v>
      </c>
      <c r="G8419">
        <v>-25.61</v>
      </c>
      <c r="H8419">
        <v>250128</v>
      </c>
      <c r="I8419">
        <v>4600</v>
      </c>
      <c r="J8419" t="s">
        <v>278</v>
      </c>
      <c r="K8419">
        <v>-25.61</v>
      </c>
      <c r="L8419">
        <v>-5.2</v>
      </c>
      <c r="M8419">
        <v>56568</v>
      </c>
      <c r="N8419" t="s">
        <v>354</v>
      </c>
      <c r="O8419">
        <v>250131</v>
      </c>
      <c r="P8419">
        <v>-20.41</v>
      </c>
    </row>
    <row r="8420" spans="1:16" x14ac:dyDescent="0.25">
      <c r="A8420" t="s">
        <v>3296</v>
      </c>
      <c r="B8420" t="s">
        <v>2931</v>
      </c>
      <c r="C8420">
        <v>934</v>
      </c>
      <c r="D8420" t="str">
        <f>"1351490     "</f>
        <v xml:space="preserve">1351490     </v>
      </c>
      <c r="E8420" t="s">
        <v>353</v>
      </c>
      <c r="F8420" t="s">
        <v>355</v>
      </c>
      <c r="G8420">
        <v>30.1</v>
      </c>
      <c r="H8420">
        <v>250128</v>
      </c>
      <c r="I8420">
        <v>4600</v>
      </c>
      <c r="J8420" t="s">
        <v>278</v>
      </c>
      <c r="K8420">
        <v>30.1</v>
      </c>
      <c r="L8420">
        <v>6.12</v>
      </c>
      <c r="M8420">
        <v>56568</v>
      </c>
      <c r="N8420" t="s">
        <v>354</v>
      </c>
      <c r="O8420">
        <v>250131</v>
      </c>
      <c r="P8420">
        <v>23.98</v>
      </c>
    </row>
    <row r="8421" spans="1:16" x14ac:dyDescent="0.25">
      <c r="A8421" t="s">
        <v>3296</v>
      </c>
      <c r="B8421" t="s">
        <v>2931</v>
      </c>
      <c r="C8421">
        <v>935</v>
      </c>
      <c r="D8421" t="str">
        <f>"1351484     "</f>
        <v xml:space="preserve">1351484     </v>
      </c>
      <c r="E8421" t="s">
        <v>353</v>
      </c>
      <c r="F8421" t="s">
        <v>355</v>
      </c>
      <c r="G8421">
        <v>46.54</v>
      </c>
      <c r="H8421">
        <v>250128</v>
      </c>
      <c r="I8421">
        <v>4600</v>
      </c>
      <c r="J8421" t="s">
        <v>278</v>
      </c>
      <c r="K8421">
        <v>46.54</v>
      </c>
      <c r="L8421">
        <v>9.4600000000000009</v>
      </c>
      <c r="M8421">
        <v>56568</v>
      </c>
      <c r="N8421" t="s">
        <v>354</v>
      </c>
      <c r="O8421">
        <v>250131</v>
      </c>
      <c r="P8421">
        <v>37.08</v>
      </c>
    </row>
    <row r="8422" spans="1:16" x14ac:dyDescent="0.25">
      <c r="A8422" t="s">
        <v>3296</v>
      </c>
      <c r="B8422" t="s">
        <v>2931</v>
      </c>
      <c r="C8422">
        <v>937</v>
      </c>
      <c r="D8422" t="str">
        <f>"1351492     "</f>
        <v xml:space="preserve">1351492     </v>
      </c>
      <c r="E8422" t="s">
        <v>353</v>
      </c>
      <c r="F8422" t="s">
        <v>355</v>
      </c>
      <c r="G8422">
        <v>68.88</v>
      </c>
      <c r="H8422">
        <v>250128</v>
      </c>
      <c r="I8422">
        <v>4600</v>
      </c>
      <c r="J8422" t="s">
        <v>278</v>
      </c>
      <c r="K8422">
        <v>68.88</v>
      </c>
      <c r="L8422">
        <v>14</v>
      </c>
      <c r="M8422">
        <v>56568</v>
      </c>
      <c r="N8422" t="s">
        <v>354</v>
      </c>
      <c r="O8422">
        <v>250131</v>
      </c>
      <c r="P8422">
        <v>54.88</v>
      </c>
    </row>
    <row r="8423" spans="1:16" x14ac:dyDescent="0.25">
      <c r="A8423" t="s">
        <v>3296</v>
      </c>
      <c r="B8423" t="s">
        <v>2931</v>
      </c>
      <c r="C8423">
        <v>938</v>
      </c>
      <c r="D8423" t="str">
        <f>"1351504     "</f>
        <v xml:space="preserve">1351504     </v>
      </c>
      <c r="E8423" t="s">
        <v>353</v>
      </c>
      <c r="F8423" t="s">
        <v>355</v>
      </c>
      <c r="G8423">
        <v>126.51</v>
      </c>
      <c r="H8423">
        <v>250128</v>
      </c>
      <c r="I8423">
        <v>4600</v>
      </c>
      <c r="J8423" t="s">
        <v>278</v>
      </c>
      <c r="K8423">
        <v>126.51</v>
      </c>
      <c r="L8423">
        <v>25.71</v>
      </c>
      <c r="M8423">
        <v>56568</v>
      </c>
      <c r="N8423" t="s">
        <v>354</v>
      </c>
      <c r="O8423">
        <v>250131</v>
      </c>
      <c r="P8423">
        <v>100.8</v>
      </c>
    </row>
    <row r="8424" spans="1:16" x14ac:dyDescent="0.25">
      <c r="A8424" t="s">
        <v>3296</v>
      </c>
      <c r="B8424" t="s">
        <v>2931</v>
      </c>
      <c r="C8424">
        <v>939</v>
      </c>
      <c r="D8424" t="str">
        <f>"1351494     "</f>
        <v xml:space="preserve">1351494     </v>
      </c>
      <c r="E8424" t="s">
        <v>353</v>
      </c>
      <c r="F8424" t="s">
        <v>355</v>
      </c>
      <c r="G8424">
        <v>95.04</v>
      </c>
      <c r="H8424">
        <v>250128</v>
      </c>
      <c r="I8424">
        <v>4600</v>
      </c>
      <c r="J8424" t="s">
        <v>278</v>
      </c>
      <c r="K8424">
        <v>95.04</v>
      </c>
      <c r="L8424">
        <v>19.309999999999999</v>
      </c>
      <c r="M8424">
        <v>56568</v>
      </c>
      <c r="N8424" t="s">
        <v>354</v>
      </c>
      <c r="O8424">
        <v>250131</v>
      </c>
      <c r="P8424">
        <v>75.73</v>
      </c>
    </row>
    <row r="8425" spans="1:16" x14ac:dyDescent="0.25">
      <c r="A8425" t="s">
        <v>3296</v>
      </c>
      <c r="B8425" t="s">
        <v>2931</v>
      </c>
      <c r="C8425">
        <v>940</v>
      </c>
      <c r="D8425" t="str">
        <f>"1351487     "</f>
        <v xml:space="preserve">1351487     </v>
      </c>
      <c r="E8425" t="s">
        <v>353</v>
      </c>
      <c r="F8425" t="s">
        <v>355</v>
      </c>
      <c r="G8425">
        <v>269.57</v>
      </c>
      <c r="H8425">
        <v>250128</v>
      </c>
      <c r="I8425">
        <v>4600</v>
      </c>
      <c r="J8425" t="s">
        <v>278</v>
      </c>
      <c r="K8425">
        <v>269.57</v>
      </c>
      <c r="L8425">
        <v>54.77</v>
      </c>
      <c r="M8425">
        <v>56568</v>
      </c>
      <c r="N8425" t="s">
        <v>354</v>
      </c>
      <c r="O8425">
        <v>250131</v>
      </c>
      <c r="P8425">
        <v>214.8</v>
      </c>
    </row>
    <row r="8426" spans="1:16" x14ac:dyDescent="0.25">
      <c r="A8426" t="s">
        <v>3296</v>
      </c>
      <c r="B8426" t="s">
        <v>2931</v>
      </c>
      <c r="C8426">
        <v>941</v>
      </c>
      <c r="D8426" t="str">
        <f>"1351511     "</f>
        <v xml:space="preserve">1351511     </v>
      </c>
      <c r="E8426" t="s">
        <v>353</v>
      </c>
      <c r="F8426" t="s">
        <v>355</v>
      </c>
      <c r="G8426">
        <v>21.08</v>
      </c>
      <c r="H8426">
        <v>250128</v>
      </c>
      <c r="I8426">
        <v>4600</v>
      </c>
      <c r="J8426" t="s">
        <v>278</v>
      </c>
      <c r="K8426">
        <v>21.08</v>
      </c>
      <c r="L8426">
        <v>4.28</v>
      </c>
      <c r="M8426">
        <v>56568</v>
      </c>
      <c r="N8426" t="s">
        <v>354</v>
      </c>
      <c r="O8426">
        <v>250131</v>
      </c>
      <c r="P8426">
        <v>16.8</v>
      </c>
    </row>
    <row r="8427" spans="1:16" x14ac:dyDescent="0.25">
      <c r="A8427" t="s">
        <v>3296</v>
      </c>
      <c r="B8427" t="s">
        <v>2931</v>
      </c>
      <c r="C8427">
        <v>943</v>
      </c>
      <c r="D8427" t="str">
        <f>"1351495     "</f>
        <v xml:space="preserve">1351495     </v>
      </c>
      <c r="E8427" t="s">
        <v>353</v>
      </c>
      <c r="F8427" t="s">
        <v>355</v>
      </c>
      <c r="G8427">
        <v>57.75</v>
      </c>
      <c r="H8427">
        <v>250128</v>
      </c>
      <c r="I8427">
        <v>4600</v>
      </c>
      <c r="J8427" t="s">
        <v>278</v>
      </c>
      <c r="K8427">
        <v>57.75</v>
      </c>
      <c r="L8427">
        <v>11.73</v>
      </c>
      <c r="M8427">
        <v>56568</v>
      </c>
      <c r="N8427" t="s">
        <v>354</v>
      </c>
      <c r="O8427">
        <v>250131</v>
      </c>
      <c r="P8427">
        <v>46.02</v>
      </c>
    </row>
    <row r="8428" spans="1:16" x14ac:dyDescent="0.25">
      <c r="A8428" t="s">
        <v>3296</v>
      </c>
      <c r="B8428" t="s">
        <v>2931</v>
      </c>
      <c r="C8428">
        <v>944</v>
      </c>
      <c r="D8428" t="str">
        <f>"1351515     "</f>
        <v xml:space="preserve">1351515     </v>
      </c>
      <c r="E8428" t="s">
        <v>353</v>
      </c>
      <c r="F8428" t="s">
        <v>355</v>
      </c>
      <c r="G8428">
        <v>67</v>
      </c>
      <c r="H8428">
        <v>250128</v>
      </c>
      <c r="I8428">
        <v>4600</v>
      </c>
      <c r="J8428" t="s">
        <v>278</v>
      </c>
      <c r="K8428">
        <v>67</v>
      </c>
      <c r="L8428">
        <v>13.61</v>
      </c>
      <c r="M8428">
        <v>56568</v>
      </c>
      <c r="N8428" t="s">
        <v>354</v>
      </c>
      <c r="O8428">
        <v>250131</v>
      </c>
      <c r="P8428">
        <v>53.39</v>
      </c>
    </row>
    <row r="8429" spans="1:16" x14ac:dyDescent="0.25">
      <c r="A8429" t="s">
        <v>3296</v>
      </c>
      <c r="B8429" t="s">
        <v>2931</v>
      </c>
      <c r="C8429">
        <v>946</v>
      </c>
      <c r="D8429" t="str">
        <f>"1351509     "</f>
        <v xml:space="preserve">1351509     </v>
      </c>
      <c r="E8429" t="s">
        <v>353</v>
      </c>
      <c r="F8429" t="s">
        <v>355</v>
      </c>
      <c r="G8429">
        <v>16.739999999999998</v>
      </c>
      <c r="H8429">
        <v>250128</v>
      </c>
      <c r="I8429">
        <v>4600</v>
      </c>
      <c r="J8429" t="s">
        <v>278</v>
      </c>
      <c r="K8429">
        <v>16.739999999999998</v>
      </c>
      <c r="L8429">
        <v>3.4</v>
      </c>
      <c r="M8429">
        <v>56568</v>
      </c>
      <c r="N8429" t="s">
        <v>354</v>
      </c>
      <c r="O8429">
        <v>250131</v>
      </c>
      <c r="P8429">
        <v>13.34</v>
      </c>
    </row>
    <row r="8430" spans="1:16" x14ac:dyDescent="0.25">
      <c r="A8430" t="s">
        <v>3296</v>
      </c>
      <c r="B8430" t="s">
        <v>2931</v>
      </c>
      <c r="C8430">
        <v>947</v>
      </c>
      <c r="D8430" t="str">
        <f>"1351505     "</f>
        <v xml:space="preserve">1351505     </v>
      </c>
      <c r="E8430" t="s">
        <v>353</v>
      </c>
      <c r="F8430" t="s">
        <v>355</v>
      </c>
      <c r="G8430">
        <v>90</v>
      </c>
      <c r="H8430">
        <v>250128</v>
      </c>
      <c r="I8430">
        <v>4600</v>
      </c>
      <c r="J8430" t="s">
        <v>278</v>
      </c>
      <c r="K8430">
        <v>90</v>
      </c>
      <c r="L8430">
        <v>18.29</v>
      </c>
      <c r="M8430">
        <v>56568</v>
      </c>
      <c r="N8430" t="s">
        <v>354</v>
      </c>
      <c r="O8430">
        <v>250131</v>
      </c>
      <c r="P8430">
        <v>71.709999999999994</v>
      </c>
    </row>
    <row r="8431" spans="1:16" x14ac:dyDescent="0.25">
      <c r="A8431" t="s">
        <v>3296</v>
      </c>
      <c r="B8431" t="s">
        <v>2931</v>
      </c>
      <c r="C8431">
        <v>948</v>
      </c>
      <c r="D8431" t="str">
        <f>"1351522     "</f>
        <v xml:space="preserve">1351522     </v>
      </c>
      <c r="E8431" t="s">
        <v>353</v>
      </c>
      <c r="F8431" t="s">
        <v>355</v>
      </c>
      <c r="G8431">
        <v>159.31</v>
      </c>
      <c r="H8431">
        <v>250128</v>
      </c>
      <c r="I8431">
        <v>4600</v>
      </c>
      <c r="J8431" t="s">
        <v>278</v>
      </c>
      <c r="K8431">
        <v>159.31</v>
      </c>
      <c r="L8431">
        <v>32.369999999999997</v>
      </c>
      <c r="M8431">
        <v>56568</v>
      </c>
      <c r="N8431" t="s">
        <v>354</v>
      </c>
      <c r="O8431">
        <v>250131</v>
      </c>
      <c r="P8431">
        <v>126.94</v>
      </c>
    </row>
    <row r="8432" spans="1:16" x14ac:dyDescent="0.25">
      <c r="A8432" t="s">
        <v>3296</v>
      </c>
      <c r="B8432" t="s">
        <v>2931</v>
      </c>
      <c r="C8432">
        <v>949</v>
      </c>
      <c r="D8432" t="str">
        <f>"1351488     "</f>
        <v xml:space="preserve">1351488     </v>
      </c>
      <c r="E8432" t="s">
        <v>353</v>
      </c>
      <c r="F8432" t="s">
        <v>355</v>
      </c>
      <c r="G8432">
        <v>9.8000000000000007</v>
      </c>
      <c r="H8432">
        <v>250128</v>
      </c>
      <c r="I8432">
        <v>4600</v>
      </c>
      <c r="J8432" t="s">
        <v>278</v>
      </c>
      <c r="K8432">
        <v>9.8000000000000007</v>
      </c>
      <c r="L8432">
        <v>1.99</v>
      </c>
      <c r="M8432">
        <v>56568</v>
      </c>
      <c r="N8432" t="s">
        <v>354</v>
      </c>
      <c r="O8432">
        <v>250131</v>
      </c>
      <c r="P8432">
        <v>7.81</v>
      </c>
    </row>
    <row r="8433" spans="1:16" x14ac:dyDescent="0.25">
      <c r="A8433" t="s">
        <v>3296</v>
      </c>
      <c r="B8433" t="s">
        <v>2931</v>
      </c>
      <c r="C8433">
        <v>950</v>
      </c>
      <c r="D8433" t="str">
        <f>"1351516     "</f>
        <v xml:space="preserve">1351516     </v>
      </c>
      <c r="E8433" t="s">
        <v>353</v>
      </c>
      <c r="F8433" t="s">
        <v>355</v>
      </c>
      <c r="G8433">
        <v>21.82</v>
      </c>
      <c r="H8433">
        <v>250128</v>
      </c>
      <c r="I8433">
        <v>4600</v>
      </c>
      <c r="J8433" t="s">
        <v>278</v>
      </c>
      <c r="K8433">
        <v>21.82</v>
      </c>
      <c r="L8433">
        <v>4.43</v>
      </c>
      <c r="M8433">
        <v>56568</v>
      </c>
      <c r="N8433" t="s">
        <v>354</v>
      </c>
      <c r="O8433">
        <v>250131</v>
      </c>
      <c r="P8433">
        <v>17.39</v>
      </c>
    </row>
    <row r="8434" spans="1:16" x14ac:dyDescent="0.25">
      <c r="A8434" t="s">
        <v>3296</v>
      </c>
      <c r="B8434" t="s">
        <v>2931</v>
      </c>
      <c r="C8434">
        <v>951</v>
      </c>
      <c r="D8434" t="str">
        <f>"1351525     "</f>
        <v xml:space="preserve">1351525     </v>
      </c>
      <c r="E8434" t="s">
        <v>353</v>
      </c>
      <c r="F8434" t="s">
        <v>355</v>
      </c>
      <c r="G8434">
        <v>16.809999999999999</v>
      </c>
      <c r="H8434">
        <v>250128</v>
      </c>
      <c r="I8434">
        <v>4600</v>
      </c>
      <c r="J8434" t="s">
        <v>278</v>
      </c>
      <c r="K8434">
        <v>16.809999999999999</v>
      </c>
      <c r="L8434">
        <v>3.42</v>
      </c>
      <c r="M8434">
        <v>56568</v>
      </c>
      <c r="N8434" t="s">
        <v>354</v>
      </c>
      <c r="O8434">
        <v>250131</v>
      </c>
      <c r="P8434">
        <v>13.39</v>
      </c>
    </row>
    <row r="8435" spans="1:16" x14ac:dyDescent="0.25">
      <c r="A8435" t="s">
        <v>3296</v>
      </c>
      <c r="B8435" t="s">
        <v>2931</v>
      </c>
      <c r="C8435">
        <v>952</v>
      </c>
      <c r="D8435" t="str">
        <f>"1351528     "</f>
        <v xml:space="preserve">1351528     </v>
      </c>
      <c r="E8435" t="s">
        <v>353</v>
      </c>
      <c r="F8435" t="s">
        <v>355</v>
      </c>
      <c r="G8435">
        <v>44.1</v>
      </c>
      <c r="H8435">
        <v>250128</v>
      </c>
      <c r="I8435">
        <v>4600</v>
      </c>
      <c r="J8435" t="s">
        <v>278</v>
      </c>
      <c r="K8435">
        <v>44.1</v>
      </c>
      <c r="L8435">
        <v>8.9600000000000009</v>
      </c>
      <c r="M8435">
        <v>56568</v>
      </c>
      <c r="N8435" t="s">
        <v>354</v>
      </c>
      <c r="O8435">
        <v>250131</v>
      </c>
      <c r="P8435">
        <v>35.14</v>
      </c>
    </row>
    <row r="8436" spans="1:16" x14ac:dyDescent="0.25">
      <c r="A8436" t="s">
        <v>3296</v>
      </c>
      <c r="B8436" t="s">
        <v>2931</v>
      </c>
      <c r="C8436">
        <v>953</v>
      </c>
      <c r="D8436" t="str">
        <f>"1351491     "</f>
        <v xml:space="preserve">1351491     </v>
      </c>
      <c r="E8436" t="s">
        <v>353</v>
      </c>
      <c r="F8436" t="s">
        <v>355</v>
      </c>
      <c r="G8436">
        <v>54.28</v>
      </c>
      <c r="H8436">
        <v>250128</v>
      </c>
      <c r="I8436">
        <v>4600</v>
      </c>
      <c r="J8436" t="s">
        <v>278</v>
      </c>
      <c r="K8436">
        <v>54.28</v>
      </c>
      <c r="L8436">
        <v>11.03</v>
      </c>
      <c r="M8436">
        <v>56568</v>
      </c>
      <c r="N8436" t="s">
        <v>354</v>
      </c>
      <c r="O8436">
        <v>250131</v>
      </c>
      <c r="P8436">
        <v>43.25</v>
      </c>
    </row>
    <row r="8437" spans="1:16" x14ac:dyDescent="0.25">
      <c r="A8437" t="s">
        <v>3296</v>
      </c>
      <c r="B8437" t="s">
        <v>2931</v>
      </c>
      <c r="C8437">
        <v>954</v>
      </c>
      <c r="D8437" t="str">
        <f>"1351501     "</f>
        <v xml:space="preserve">1351501     </v>
      </c>
      <c r="E8437" t="s">
        <v>353</v>
      </c>
      <c r="F8437" t="s">
        <v>355</v>
      </c>
      <c r="G8437">
        <v>78.31</v>
      </c>
      <c r="H8437">
        <v>250128</v>
      </c>
      <c r="I8437">
        <v>4600</v>
      </c>
      <c r="J8437" t="s">
        <v>278</v>
      </c>
      <c r="K8437">
        <v>78.31</v>
      </c>
      <c r="L8437">
        <v>15.91</v>
      </c>
      <c r="M8437">
        <v>56565</v>
      </c>
      <c r="N8437" t="s">
        <v>57</v>
      </c>
      <c r="O8437">
        <v>250131</v>
      </c>
      <c r="P8437">
        <v>62.4</v>
      </c>
    </row>
    <row r="8438" spans="1:16" x14ac:dyDescent="0.25">
      <c r="A8438" t="s">
        <v>3296</v>
      </c>
      <c r="B8438" t="s">
        <v>2931</v>
      </c>
      <c r="C8438">
        <v>955</v>
      </c>
      <c r="D8438" t="str">
        <f>"1351533     "</f>
        <v xml:space="preserve">1351533     </v>
      </c>
      <c r="E8438" t="s">
        <v>353</v>
      </c>
      <c r="F8438" t="s">
        <v>355</v>
      </c>
      <c r="G8438">
        <v>172</v>
      </c>
      <c r="H8438">
        <v>250128</v>
      </c>
      <c r="I8438">
        <v>4600</v>
      </c>
      <c r="J8438" t="s">
        <v>278</v>
      </c>
      <c r="K8438">
        <v>172</v>
      </c>
      <c r="L8438">
        <v>34.950000000000003</v>
      </c>
      <c r="M8438">
        <v>56568</v>
      </c>
      <c r="N8438" t="s">
        <v>354</v>
      </c>
      <c r="O8438">
        <v>250131</v>
      </c>
      <c r="P8438">
        <v>137.05000000000001</v>
      </c>
    </row>
    <row r="8439" spans="1:16" x14ac:dyDescent="0.25">
      <c r="A8439" t="s">
        <v>3296</v>
      </c>
      <c r="B8439" t="s">
        <v>2931</v>
      </c>
      <c r="C8439">
        <v>957</v>
      </c>
      <c r="D8439" t="str">
        <f>"1351531     "</f>
        <v xml:space="preserve">1351531     </v>
      </c>
      <c r="E8439" t="s">
        <v>353</v>
      </c>
      <c r="F8439" t="s">
        <v>355</v>
      </c>
      <c r="G8439">
        <v>49.09</v>
      </c>
      <c r="H8439">
        <v>250128</v>
      </c>
      <c r="I8439">
        <v>4600</v>
      </c>
      <c r="J8439" t="s">
        <v>278</v>
      </c>
      <c r="K8439">
        <v>49.09</v>
      </c>
      <c r="L8439">
        <v>9.9700000000000006</v>
      </c>
      <c r="M8439">
        <v>56568</v>
      </c>
      <c r="N8439" t="s">
        <v>354</v>
      </c>
      <c r="O8439">
        <v>250131</v>
      </c>
      <c r="P8439">
        <v>39.119999999999997</v>
      </c>
    </row>
    <row r="8440" spans="1:16" x14ac:dyDescent="0.25">
      <c r="A8440" t="s">
        <v>3296</v>
      </c>
      <c r="B8440" t="s">
        <v>2931</v>
      </c>
      <c r="C8440">
        <v>958</v>
      </c>
      <c r="D8440" t="str">
        <f>"1351506     "</f>
        <v xml:space="preserve">1351506     </v>
      </c>
      <c r="E8440" t="s">
        <v>353</v>
      </c>
      <c r="F8440" t="s">
        <v>355</v>
      </c>
      <c r="G8440">
        <v>40.36</v>
      </c>
      <c r="H8440">
        <v>250128</v>
      </c>
      <c r="I8440">
        <v>4600</v>
      </c>
      <c r="J8440" t="s">
        <v>278</v>
      </c>
      <c r="K8440">
        <v>40.36</v>
      </c>
      <c r="L8440">
        <v>8.1999999999999993</v>
      </c>
      <c r="M8440">
        <v>56568</v>
      </c>
      <c r="N8440" t="s">
        <v>354</v>
      </c>
      <c r="O8440">
        <v>250131</v>
      </c>
      <c r="P8440">
        <v>32.159999999999997</v>
      </c>
    </row>
    <row r="8441" spans="1:16" x14ac:dyDescent="0.25">
      <c r="A8441" t="s">
        <v>3296</v>
      </c>
      <c r="B8441" t="s">
        <v>2931</v>
      </c>
      <c r="C8441">
        <v>959</v>
      </c>
      <c r="D8441" t="str">
        <f>"1351518     "</f>
        <v xml:space="preserve">1351518     </v>
      </c>
      <c r="E8441" t="s">
        <v>353</v>
      </c>
      <c r="F8441" t="s">
        <v>355</v>
      </c>
      <c r="G8441">
        <v>104.96</v>
      </c>
      <c r="H8441">
        <v>250128</v>
      </c>
      <c r="I8441">
        <v>4600</v>
      </c>
      <c r="J8441" t="s">
        <v>278</v>
      </c>
      <c r="K8441">
        <v>104.96</v>
      </c>
      <c r="L8441">
        <v>21.33</v>
      </c>
      <c r="M8441">
        <v>56568</v>
      </c>
      <c r="N8441" t="s">
        <v>354</v>
      </c>
      <c r="O8441">
        <v>250131</v>
      </c>
      <c r="P8441">
        <v>83.63</v>
      </c>
    </row>
    <row r="8442" spans="1:16" x14ac:dyDescent="0.25">
      <c r="A8442" t="s">
        <v>3296</v>
      </c>
      <c r="B8442" t="s">
        <v>2931</v>
      </c>
      <c r="C8442">
        <v>961</v>
      </c>
      <c r="D8442" t="str">
        <f>"1351493     "</f>
        <v xml:space="preserve">1351493     </v>
      </c>
      <c r="E8442" t="s">
        <v>353</v>
      </c>
      <c r="F8442" t="s">
        <v>355</v>
      </c>
      <c r="G8442">
        <v>12.73</v>
      </c>
      <c r="H8442">
        <v>250128</v>
      </c>
      <c r="I8442">
        <v>4600</v>
      </c>
      <c r="J8442" t="s">
        <v>278</v>
      </c>
      <c r="K8442">
        <v>12.73</v>
      </c>
      <c r="L8442">
        <v>2.59</v>
      </c>
      <c r="M8442">
        <v>56568</v>
      </c>
      <c r="N8442" t="s">
        <v>354</v>
      </c>
      <c r="O8442">
        <v>250131</v>
      </c>
      <c r="P8442">
        <v>10.14</v>
      </c>
    </row>
    <row r="8443" spans="1:16" x14ac:dyDescent="0.25">
      <c r="A8443" t="s">
        <v>3296</v>
      </c>
      <c r="B8443" t="s">
        <v>2931</v>
      </c>
      <c r="C8443">
        <v>962</v>
      </c>
      <c r="D8443" t="str">
        <f>"1351482     "</f>
        <v xml:space="preserve">1351482     </v>
      </c>
      <c r="E8443" t="s">
        <v>353</v>
      </c>
      <c r="F8443" t="s">
        <v>355</v>
      </c>
      <c r="G8443">
        <v>10.4</v>
      </c>
      <c r="H8443">
        <v>250128</v>
      </c>
      <c r="I8443">
        <v>4600</v>
      </c>
      <c r="J8443" t="s">
        <v>278</v>
      </c>
      <c r="K8443">
        <v>10.4</v>
      </c>
      <c r="L8443">
        <v>2.11</v>
      </c>
      <c r="M8443">
        <v>56568</v>
      </c>
      <c r="N8443" t="s">
        <v>354</v>
      </c>
      <c r="O8443">
        <v>250131</v>
      </c>
      <c r="P8443">
        <v>8.2899999999999991</v>
      </c>
    </row>
    <row r="8444" spans="1:16" x14ac:dyDescent="0.25">
      <c r="A8444" t="s">
        <v>3296</v>
      </c>
      <c r="B8444" t="s">
        <v>2931</v>
      </c>
      <c r="C8444">
        <v>963</v>
      </c>
      <c r="D8444" t="str">
        <f>"1351517     "</f>
        <v xml:space="preserve">1351517     </v>
      </c>
      <c r="E8444" t="s">
        <v>353</v>
      </c>
      <c r="F8444" t="s">
        <v>355</v>
      </c>
      <c r="G8444">
        <v>91.99</v>
      </c>
      <c r="H8444">
        <v>250128</v>
      </c>
      <c r="I8444">
        <v>4600</v>
      </c>
      <c r="J8444" t="s">
        <v>278</v>
      </c>
      <c r="K8444">
        <v>91.99</v>
      </c>
      <c r="L8444">
        <v>18.690000000000001</v>
      </c>
      <c r="M8444">
        <v>56568</v>
      </c>
      <c r="N8444" t="s">
        <v>354</v>
      </c>
      <c r="O8444">
        <v>250131</v>
      </c>
      <c r="P8444">
        <v>73.3</v>
      </c>
    </row>
    <row r="8445" spans="1:16" x14ac:dyDescent="0.25">
      <c r="A8445" t="s">
        <v>3296</v>
      </c>
      <c r="B8445" t="s">
        <v>2931</v>
      </c>
      <c r="C8445">
        <v>965</v>
      </c>
      <c r="D8445" t="str">
        <f>"1351497     "</f>
        <v xml:space="preserve">1351497     </v>
      </c>
      <c r="E8445" t="s">
        <v>353</v>
      </c>
      <c r="F8445" t="s">
        <v>355</v>
      </c>
      <c r="G8445">
        <v>12.9</v>
      </c>
      <c r="H8445">
        <v>250128</v>
      </c>
      <c r="I8445">
        <v>4600</v>
      </c>
      <c r="J8445" t="s">
        <v>278</v>
      </c>
      <c r="K8445">
        <v>12.9</v>
      </c>
      <c r="L8445">
        <v>2.62</v>
      </c>
      <c r="M8445">
        <v>56568</v>
      </c>
      <c r="N8445" t="s">
        <v>354</v>
      </c>
      <c r="O8445">
        <v>250131</v>
      </c>
      <c r="P8445">
        <v>10.28</v>
      </c>
    </row>
    <row r="8446" spans="1:16" x14ac:dyDescent="0.25">
      <c r="A8446" t="s">
        <v>3296</v>
      </c>
      <c r="B8446" t="s">
        <v>2931</v>
      </c>
      <c r="C8446">
        <v>966</v>
      </c>
      <c r="D8446" t="str">
        <f>"1351496     "</f>
        <v xml:space="preserve">1351496     </v>
      </c>
      <c r="E8446" t="s">
        <v>353</v>
      </c>
      <c r="F8446" t="s">
        <v>355</v>
      </c>
      <c r="G8446">
        <v>19.350000000000001</v>
      </c>
      <c r="H8446">
        <v>250128</v>
      </c>
      <c r="I8446">
        <v>4600</v>
      </c>
      <c r="J8446" t="s">
        <v>278</v>
      </c>
      <c r="K8446">
        <v>19.350000000000001</v>
      </c>
      <c r="L8446">
        <v>3.93</v>
      </c>
      <c r="M8446">
        <v>56568</v>
      </c>
      <c r="N8446" t="s">
        <v>354</v>
      </c>
      <c r="O8446">
        <v>250131</v>
      </c>
      <c r="P8446">
        <v>15.42</v>
      </c>
    </row>
    <row r="8447" spans="1:16" x14ac:dyDescent="0.25">
      <c r="A8447" t="s">
        <v>3296</v>
      </c>
      <c r="B8447" t="s">
        <v>2931</v>
      </c>
      <c r="C8447">
        <v>967</v>
      </c>
      <c r="D8447" t="str">
        <f>"1351512     "</f>
        <v xml:space="preserve">1351512     </v>
      </c>
      <c r="E8447" t="s">
        <v>353</v>
      </c>
      <c r="F8447" t="s">
        <v>355</v>
      </c>
      <c r="G8447">
        <v>74.959999999999994</v>
      </c>
      <c r="H8447">
        <v>250128</v>
      </c>
      <c r="I8447">
        <v>4600</v>
      </c>
      <c r="J8447" t="s">
        <v>278</v>
      </c>
      <c r="K8447">
        <v>74.959999999999994</v>
      </c>
      <c r="L8447">
        <v>15.23</v>
      </c>
      <c r="M8447">
        <v>56568</v>
      </c>
      <c r="N8447" t="s">
        <v>354</v>
      </c>
      <c r="O8447">
        <v>250131</v>
      </c>
      <c r="P8447">
        <v>59.73</v>
      </c>
    </row>
    <row r="8448" spans="1:16" x14ac:dyDescent="0.25">
      <c r="A8448" t="s">
        <v>3296</v>
      </c>
      <c r="B8448" t="s">
        <v>2931</v>
      </c>
      <c r="C8448">
        <v>968</v>
      </c>
      <c r="D8448" t="str">
        <f>"1351520     "</f>
        <v xml:space="preserve">1351520     </v>
      </c>
      <c r="E8448" t="s">
        <v>353</v>
      </c>
      <c r="F8448" t="s">
        <v>355</v>
      </c>
      <c r="G8448">
        <v>29.85</v>
      </c>
      <c r="H8448">
        <v>250128</v>
      </c>
      <c r="I8448">
        <v>4600</v>
      </c>
      <c r="J8448" t="s">
        <v>278</v>
      </c>
      <c r="K8448">
        <v>29.85</v>
      </c>
      <c r="L8448">
        <v>6.07</v>
      </c>
      <c r="M8448">
        <v>56568</v>
      </c>
      <c r="N8448" t="s">
        <v>354</v>
      </c>
      <c r="O8448">
        <v>250131</v>
      </c>
      <c r="P8448">
        <v>23.78</v>
      </c>
    </row>
    <row r="8449" spans="1:16" x14ac:dyDescent="0.25">
      <c r="A8449" t="s">
        <v>3296</v>
      </c>
      <c r="B8449" t="s">
        <v>2931</v>
      </c>
      <c r="C8449">
        <v>969</v>
      </c>
      <c r="D8449" t="str">
        <f>"1351483     "</f>
        <v xml:space="preserve">1351483     </v>
      </c>
      <c r="E8449" t="s">
        <v>353</v>
      </c>
      <c r="F8449" t="s">
        <v>355</v>
      </c>
      <c r="G8449">
        <v>118.25</v>
      </c>
      <c r="H8449">
        <v>250128</v>
      </c>
      <c r="I8449">
        <v>4600</v>
      </c>
      <c r="J8449" t="s">
        <v>278</v>
      </c>
      <c r="K8449">
        <v>118.25</v>
      </c>
      <c r="L8449">
        <v>24.03</v>
      </c>
      <c r="M8449">
        <v>56568</v>
      </c>
      <c r="N8449" t="s">
        <v>354</v>
      </c>
      <c r="O8449">
        <v>250131</v>
      </c>
      <c r="P8449">
        <v>94.22</v>
      </c>
    </row>
    <row r="8450" spans="1:16" x14ac:dyDescent="0.25">
      <c r="A8450" t="s">
        <v>3296</v>
      </c>
      <c r="B8450" t="s">
        <v>2931</v>
      </c>
      <c r="C8450">
        <v>970</v>
      </c>
      <c r="D8450" t="str">
        <f>"1351532     "</f>
        <v xml:space="preserve">1351532     </v>
      </c>
      <c r="E8450" t="s">
        <v>353</v>
      </c>
      <c r="F8450" t="s">
        <v>355</v>
      </c>
      <c r="G8450">
        <v>74.36</v>
      </c>
      <c r="H8450">
        <v>250128</v>
      </c>
      <c r="I8450">
        <v>4600</v>
      </c>
      <c r="J8450" t="s">
        <v>278</v>
      </c>
      <c r="K8450">
        <v>74.36</v>
      </c>
      <c r="L8450">
        <v>15.11</v>
      </c>
      <c r="M8450">
        <v>56568</v>
      </c>
      <c r="N8450" t="s">
        <v>354</v>
      </c>
      <c r="O8450">
        <v>250131</v>
      </c>
      <c r="P8450">
        <v>59.25</v>
      </c>
    </row>
    <row r="8451" spans="1:16" x14ac:dyDescent="0.25">
      <c r="A8451" t="s">
        <v>3296</v>
      </c>
      <c r="B8451" t="s">
        <v>2931</v>
      </c>
      <c r="C8451">
        <v>972</v>
      </c>
      <c r="D8451" t="str">
        <f>"1351486     "</f>
        <v xml:space="preserve">1351486     </v>
      </c>
      <c r="E8451" t="s">
        <v>353</v>
      </c>
      <c r="F8451" t="s">
        <v>355</v>
      </c>
      <c r="G8451">
        <v>17.86</v>
      </c>
      <c r="H8451">
        <v>250128</v>
      </c>
      <c r="I8451">
        <v>4600</v>
      </c>
      <c r="J8451" t="s">
        <v>278</v>
      </c>
      <c r="K8451">
        <v>17.86</v>
      </c>
      <c r="L8451">
        <v>3.63</v>
      </c>
      <c r="M8451">
        <v>56568</v>
      </c>
      <c r="N8451" t="s">
        <v>354</v>
      </c>
      <c r="O8451">
        <v>250131</v>
      </c>
      <c r="P8451">
        <v>14.23</v>
      </c>
    </row>
    <row r="8452" spans="1:16" x14ac:dyDescent="0.25">
      <c r="A8452" t="s">
        <v>3296</v>
      </c>
      <c r="B8452" t="s">
        <v>2931</v>
      </c>
      <c r="C8452">
        <v>973</v>
      </c>
      <c r="D8452" t="str">
        <f>"1351481     "</f>
        <v xml:space="preserve">1351481     </v>
      </c>
      <c r="E8452" t="s">
        <v>353</v>
      </c>
      <c r="F8452" t="s">
        <v>355</v>
      </c>
      <c r="G8452">
        <v>220.49</v>
      </c>
      <c r="H8452">
        <v>250128</v>
      </c>
      <c r="I8452">
        <v>4600</v>
      </c>
      <c r="J8452" t="s">
        <v>278</v>
      </c>
      <c r="K8452">
        <v>220.49</v>
      </c>
      <c r="L8452">
        <v>44.8</v>
      </c>
      <c r="M8452">
        <v>56568</v>
      </c>
      <c r="N8452" t="s">
        <v>354</v>
      </c>
      <c r="O8452">
        <v>250131</v>
      </c>
      <c r="P8452">
        <v>175.69</v>
      </c>
    </row>
    <row r="8453" spans="1:16" x14ac:dyDescent="0.25">
      <c r="A8453" t="s">
        <v>3296</v>
      </c>
      <c r="B8453" t="s">
        <v>2931</v>
      </c>
      <c r="C8453">
        <v>974</v>
      </c>
      <c r="D8453" t="str">
        <f>"1351524     "</f>
        <v xml:space="preserve">1351524     </v>
      </c>
      <c r="E8453" t="s">
        <v>353</v>
      </c>
      <c r="F8453" t="s">
        <v>355</v>
      </c>
      <c r="G8453">
        <v>572.6</v>
      </c>
      <c r="H8453">
        <v>250128</v>
      </c>
      <c r="I8453">
        <v>4600</v>
      </c>
      <c r="J8453" t="s">
        <v>278</v>
      </c>
      <c r="K8453">
        <v>572.6</v>
      </c>
      <c r="L8453">
        <v>116.35</v>
      </c>
      <c r="M8453">
        <v>56568</v>
      </c>
      <c r="N8453" t="s">
        <v>354</v>
      </c>
      <c r="O8453">
        <v>250131</v>
      </c>
      <c r="P8453">
        <v>456.25</v>
      </c>
    </row>
    <row r="8454" spans="1:16" x14ac:dyDescent="0.25">
      <c r="A8454" t="s">
        <v>3296</v>
      </c>
      <c r="B8454" t="s">
        <v>2931</v>
      </c>
      <c r="C8454">
        <v>975</v>
      </c>
      <c r="D8454" t="str">
        <f>"1351502     "</f>
        <v xml:space="preserve">1351502     </v>
      </c>
      <c r="E8454" t="s">
        <v>353</v>
      </c>
      <c r="F8454" t="s">
        <v>355</v>
      </c>
      <c r="G8454">
        <v>21.67</v>
      </c>
      <c r="H8454">
        <v>250128</v>
      </c>
      <c r="I8454">
        <v>4600</v>
      </c>
      <c r="J8454" t="s">
        <v>278</v>
      </c>
      <c r="K8454">
        <v>21.67</v>
      </c>
      <c r="L8454">
        <v>4.4000000000000004</v>
      </c>
      <c r="M8454">
        <v>56568</v>
      </c>
      <c r="N8454" t="s">
        <v>354</v>
      </c>
      <c r="O8454">
        <v>250131</v>
      </c>
      <c r="P8454">
        <v>17.27</v>
      </c>
    </row>
    <row r="8455" spans="1:16" x14ac:dyDescent="0.25">
      <c r="A8455" t="s">
        <v>3296</v>
      </c>
      <c r="B8455" t="s">
        <v>2931</v>
      </c>
      <c r="C8455">
        <v>976</v>
      </c>
      <c r="D8455" t="str">
        <f>"1351527     "</f>
        <v xml:space="preserve">1351527     </v>
      </c>
      <c r="E8455" t="s">
        <v>353</v>
      </c>
      <c r="F8455" t="s">
        <v>355</v>
      </c>
      <c r="G8455">
        <v>53.59</v>
      </c>
      <c r="H8455">
        <v>250128</v>
      </c>
      <c r="I8455">
        <v>4600</v>
      </c>
      <c r="J8455" t="s">
        <v>278</v>
      </c>
      <c r="K8455">
        <v>53.59</v>
      </c>
      <c r="L8455">
        <v>10.89</v>
      </c>
      <c r="M8455">
        <v>56568</v>
      </c>
      <c r="N8455" t="s">
        <v>354</v>
      </c>
      <c r="O8455">
        <v>250131</v>
      </c>
      <c r="P8455">
        <v>42.7</v>
      </c>
    </row>
    <row r="8456" spans="1:16" x14ac:dyDescent="0.25">
      <c r="A8456" t="s">
        <v>3296</v>
      </c>
      <c r="B8456" t="s">
        <v>2931</v>
      </c>
      <c r="C8456">
        <v>977</v>
      </c>
      <c r="D8456" t="str">
        <f>"1351519     "</f>
        <v xml:space="preserve">1351519     </v>
      </c>
      <c r="E8456" t="s">
        <v>353</v>
      </c>
      <c r="F8456" t="s">
        <v>355</v>
      </c>
      <c r="G8456">
        <v>19.72</v>
      </c>
      <c r="H8456">
        <v>250128</v>
      </c>
      <c r="I8456">
        <v>4600</v>
      </c>
      <c r="J8456" t="s">
        <v>278</v>
      </c>
      <c r="K8456">
        <v>19.72</v>
      </c>
      <c r="L8456">
        <v>4.01</v>
      </c>
      <c r="M8456">
        <v>56568</v>
      </c>
      <c r="N8456" t="s">
        <v>354</v>
      </c>
      <c r="O8456">
        <v>250131</v>
      </c>
      <c r="P8456">
        <v>15.71</v>
      </c>
    </row>
    <row r="8457" spans="1:16" x14ac:dyDescent="0.25">
      <c r="A8457" t="s">
        <v>3296</v>
      </c>
      <c r="B8457" t="s">
        <v>2931</v>
      </c>
      <c r="C8457">
        <v>978</v>
      </c>
      <c r="D8457" t="str">
        <f>"1351507     "</f>
        <v xml:space="preserve">1351507     </v>
      </c>
      <c r="E8457" t="s">
        <v>353</v>
      </c>
      <c r="F8457" t="s">
        <v>355</v>
      </c>
      <c r="G8457">
        <v>89.4</v>
      </c>
      <c r="H8457">
        <v>250128</v>
      </c>
      <c r="I8457">
        <v>4600</v>
      </c>
      <c r="J8457" t="s">
        <v>278</v>
      </c>
      <c r="K8457">
        <v>89.4</v>
      </c>
      <c r="L8457">
        <v>18.16</v>
      </c>
      <c r="M8457">
        <v>56568</v>
      </c>
      <c r="N8457" t="s">
        <v>354</v>
      </c>
      <c r="O8457">
        <v>250131</v>
      </c>
      <c r="P8457">
        <v>71.239999999999995</v>
      </c>
    </row>
    <row r="8458" spans="1:16" x14ac:dyDescent="0.25">
      <c r="A8458" t="s">
        <v>3296</v>
      </c>
      <c r="B8458" t="s">
        <v>2931</v>
      </c>
      <c r="C8458">
        <v>979</v>
      </c>
      <c r="D8458" t="str">
        <f>"1351489     "</f>
        <v xml:space="preserve">1351489     </v>
      </c>
      <c r="E8458" t="s">
        <v>353</v>
      </c>
      <c r="F8458" t="s">
        <v>355</v>
      </c>
      <c r="G8458">
        <v>125.71</v>
      </c>
      <c r="H8458">
        <v>250128</v>
      </c>
      <c r="I8458">
        <v>4600</v>
      </c>
      <c r="J8458" t="s">
        <v>278</v>
      </c>
      <c r="K8458">
        <v>125.71</v>
      </c>
      <c r="L8458">
        <v>25.54</v>
      </c>
      <c r="M8458">
        <v>56568</v>
      </c>
      <c r="N8458" t="s">
        <v>354</v>
      </c>
      <c r="O8458">
        <v>250131</v>
      </c>
      <c r="P8458">
        <v>100.17</v>
      </c>
    </row>
    <row r="8459" spans="1:16" x14ac:dyDescent="0.25">
      <c r="A8459" t="s">
        <v>3296</v>
      </c>
      <c r="B8459" t="s">
        <v>2931</v>
      </c>
      <c r="C8459">
        <v>980</v>
      </c>
      <c r="D8459" t="str">
        <f>"1351526     "</f>
        <v xml:space="preserve">1351526     </v>
      </c>
      <c r="E8459" t="s">
        <v>353</v>
      </c>
      <c r="F8459" t="s">
        <v>355</v>
      </c>
      <c r="G8459">
        <v>27.28</v>
      </c>
      <c r="H8459">
        <v>250128</v>
      </c>
      <c r="I8459">
        <v>4600</v>
      </c>
      <c r="J8459" t="s">
        <v>278</v>
      </c>
      <c r="K8459">
        <v>27.28</v>
      </c>
      <c r="L8459">
        <v>5.54</v>
      </c>
      <c r="M8459">
        <v>56568</v>
      </c>
      <c r="N8459" t="s">
        <v>354</v>
      </c>
      <c r="O8459">
        <v>250131</v>
      </c>
      <c r="P8459">
        <v>21.74</v>
      </c>
    </row>
    <row r="8460" spans="1:16" x14ac:dyDescent="0.25">
      <c r="A8460" t="s">
        <v>3296</v>
      </c>
      <c r="B8460" t="s">
        <v>2931</v>
      </c>
      <c r="C8460">
        <v>981</v>
      </c>
      <c r="D8460" t="str">
        <f>"1351503     "</f>
        <v xml:space="preserve">1351503     </v>
      </c>
      <c r="E8460" t="s">
        <v>353</v>
      </c>
      <c r="F8460" t="s">
        <v>355</v>
      </c>
      <c r="G8460">
        <v>19.72</v>
      </c>
      <c r="H8460">
        <v>250128</v>
      </c>
      <c r="I8460">
        <v>4600</v>
      </c>
      <c r="J8460" t="s">
        <v>278</v>
      </c>
      <c r="K8460">
        <v>19.72</v>
      </c>
      <c r="L8460">
        <v>4.01</v>
      </c>
      <c r="M8460">
        <v>56568</v>
      </c>
      <c r="N8460" t="s">
        <v>354</v>
      </c>
      <c r="O8460">
        <v>250131</v>
      </c>
      <c r="P8460">
        <v>15.71</v>
      </c>
    </row>
    <row r="8461" spans="1:16" x14ac:dyDescent="0.25">
      <c r="A8461" t="s">
        <v>3296</v>
      </c>
      <c r="B8461" t="s">
        <v>2931</v>
      </c>
      <c r="C8461">
        <v>985</v>
      </c>
      <c r="D8461" t="str">
        <f>"1351536     "</f>
        <v xml:space="preserve">1351536     </v>
      </c>
      <c r="E8461" t="s">
        <v>353</v>
      </c>
      <c r="F8461" t="s">
        <v>355</v>
      </c>
      <c r="G8461">
        <v>10.78</v>
      </c>
      <c r="H8461">
        <v>250128</v>
      </c>
      <c r="I8461">
        <v>4600</v>
      </c>
      <c r="J8461" t="s">
        <v>278</v>
      </c>
      <c r="K8461">
        <v>73.099999999999994</v>
      </c>
      <c r="L8461">
        <v>2.19</v>
      </c>
      <c r="M8461">
        <v>67554</v>
      </c>
      <c r="N8461" t="s">
        <v>317</v>
      </c>
      <c r="O8461">
        <v>250131</v>
      </c>
      <c r="P8461">
        <v>8.59</v>
      </c>
    </row>
    <row r="8462" spans="1:16" x14ac:dyDescent="0.25">
      <c r="A8462" t="s">
        <v>3296</v>
      </c>
      <c r="B8462" t="s">
        <v>2931</v>
      </c>
      <c r="C8462">
        <v>986</v>
      </c>
      <c r="D8462" t="str">
        <f>"1351534     "</f>
        <v xml:space="preserve">1351534     </v>
      </c>
      <c r="E8462" t="s">
        <v>353</v>
      </c>
      <c r="F8462" t="s">
        <v>355</v>
      </c>
      <c r="G8462">
        <v>17.239999999999998</v>
      </c>
      <c r="H8462">
        <v>250128</v>
      </c>
      <c r="I8462">
        <v>4600</v>
      </c>
      <c r="J8462" t="s">
        <v>278</v>
      </c>
      <c r="K8462">
        <v>17.239999999999998</v>
      </c>
      <c r="L8462">
        <v>3.5</v>
      </c>
      <c r="M8462">
        <v>67522</v>
      </c>
      <c r="N8462" t="s">
        <v>121</v>
      </c>
      <c r="O8462">
        <v>250131</v>
      </c>
      <c r="P8462">
        <v>13.74</v>
      </c>
    </row>
    <row r="8463" spans="1:16" x14ac:dyDescent="0.25">
      <c r="A8463" t="s">
        <v>3296</v>
      </c>
      <c r="B8463" t="s">
        <v>2931</v>
      </c>
      <c r="C8463">
        <v>1082</v>
      </c>
      <c r="D8463" t="str">
        <f>"1351513     "</f>
        <v xml:space="preserve">1351513     </v>
      </c>
      <c r="E8463" t="s">
        <v>353</v>
      </c>
      <c r="F8463" t="s">
        <v>355</v>
      </c>
      <c r="G8463">
        <v>28.8</v>
      </c>
      <c r="H8463">
        <v>250128</v>
      </c>
      <c r="I8463">
        <v>4600</v>
      </c>
      <c r="J8463" t="s">
        <v>278</v>
      </c>
      <c r="K8463">
        <v>28.8</v>
      </c>
      <c r="L8463">
        <v>5.85</v>
      </c>
      <c r="M8463">
        <v>56564</v>
      </c>
      <c r="N8463" t="s">
        <v>56</v>
      </c>
      <c r="O8463">
        <v>250204</v>
      </c>
      <c r="P8463">
        <v>22.95</v>
      </c>
    </row>
    <row r="8464" spans="1:16" x14ac:dyDescent="0.25">
      <c r="A8464" t="s">
        <v>3296</v>
      </c>
      <c r="B8464" t="s">
        <v>2931</v>
      </c>
      <c r="C8464">
        <v>1753</v>
      </c>
      <c r="D8464" t="str">
        <f>"1352858     "</f>
        <v xml:space="preserve">1352858     </v>
      </c>
      <c r="E8464" t="s">
        <v>353</v>
      </c>
      <c r="F8464" t="s">
        <v>355</v>
      </c>
      <c r="G8464">
        <v>13.9</v>
      </c>
      <c r="H8464">
        <v>250131</v>
      </c>
      <c r="I8464">
        <v>4600</v>
      </c>
      <c r="J8464" t="s">
        <v>278</v>
      </c>
      <c r="K8464">
        <v>13.9</v>
      </c>
      <c r="L8464">
        <v>2.82</v>
      </c>
      <c r="M8464">
        <v>66754</v>
      </c>
      <c r="N8464" t="s">
        <v>119</v>
      </c>
      <c r="O8464">
        <v>250213</v>
      </c>
      <c r="P8464">
        <v>11.08</v>
      </c>
    </row>
    <row r="8465" spans="1:16" x14ac:dyDescent="0.25">
      <c r="A8465" t="s">
        <v>3296</v>
      </c>
      <c r="B8465" t="s">
        <v>2931</v>
      </c>
      <c r="C8465">
        <v>1754</v>
      </c>
      <c r="D8465" t="str">
        <f>"1352859     "</f>
        <v xml:space="preserve">1352859     </v>
      </c>
      <c r="E8465" t="s">
        <v>353</v>
      </c>
      <c r="F8465" t="s">
        <v>355</v>
      </c>
      <c r="G8465">
        <v>383.92</v>
      </c>
      <c r="H8465">
        <v>250131</v>
      </c>
      <c r="I8465">
        <v>4600</v>
      </c>
      <c r="J8465" t="s">
        <v>278</v>
      </c>
      <c r="K8465">
        <v>383.92</v>
      </c>
      <c r="L8465">
        <v>78.010000000000005</v>
      </c>
      <c r="M8465">
        <v>66756</v>
      </c>
      <c r="N8465" t="s">
        <v>120</v>
      </c>
      <c r="O8465">
        <v>250213</v>
      </c>
      <c r="P8465">
        <v>305.91000000000003</v>
      </c>
    </row>
    <row r="8466" spans="1:16" x14ac:dyDescent="0.25">
      <c r="A8466" t="s">
        <v>3296</v>
      </c>
      <c r="B8466" t="s">
        <v>2931</v>
      </c>
      <c r="C8466">
        <v>1755</v>
      </c>
      <c r="D8466" t="str">
        <f>"1352863     "</f>
        <v xml:space="preserve">1352863     </v>
      </c>
      <c r="E8466" t="s">
        <v>353</v>
      </c>
      <c r="F8466" t="s">
        <v>355</v>
      </c>
      <c r="G8466">
        <v>36</v>
      </c>
      <c r="H8466">
        <v>250211</v>
      </c>
      <c r="I8466">
        <v>4600</v>
      </c>
      <c r="J8466" t="s">
        <v>278</v>
      </c>
      <c r="K8466">
        <v>36</v>
      </c>
      <c r="L8466">
        <v>7.31</v>
      </c>
      <c r="M8466">
        <v>67522</v>
      </c>
      <c r="N8466" t="s">
        <v>121</v>
      </c>
      <c r="O8466">
        <v>250213</v>
      </c>
      <c r="P8466">
        <v>28.69</v>
      </c>
    </row>
    <row r="8467" spans="1:16" x14ac:dyDescent="0.25">
      <c r="A8467" t="s">
        <v>3296</v>
      </c>
      <c r="B8467" t="s">
        <v>2931</v>
      </c>
      <c r="C8467">
        <v>1756</v>
      </c>
      <c r="D8467" t="str">
        <f>"1352864     "</f>
        <v xml:space="preserve">1352864     </v>
      </c>
      <c r="E8467" t="s">
        <v>353</v>
      </c>
      <c r="F8467" t="s">
        <v>355</v>
      </c>
      <c r="G8467">
        <v>36</v>
      </c>
      <c r="H8467">
        <v>250211</v>
      </c>
      <c r="I8467">
        <v>4600</v>
      </c>
      <c r="J8467" t="s">
        <v>278</v>
      </c>
      <c r="K8467">
        <v>36</v>
      </c>
      <c r="L8467">
        <v>7.31</v>
      </c>
      <c r="M8467">
        <v>67522</v>
      </c>
      <c r="N8467" t="s">
        <v>121</v>
      </c>
      <c r="O8467">
        <v>250213</v>
      </c>
      <c r="P8467">
        <v>28.69</v>
      </c>
    </row>
    <row r="8468" spans="1:16" x14ac:dyDescent="0.25">
      <c r="A8468" t="s">
        <v>3296</v>
      </c>
      <c r="B8468" t="s">
        <v>2931</v>
      </c>
      <c r="C8468">
        <v>1757</v>
      </c>
      <c r="D8468" t="str">
        <f>"1352860     "</f>
        <v xml:space="preserve">1352860     </v>
      </c>
      <c r="E8468" t="s">
        <v>353</v>
      </c>
      <c r="F8468" t="s">
        <v>355</v>
      </c>
      <c r="G8468">
        <v>18</v>
      </c>
      <c r="H8468">
        <v>250211</v>
      </c>
      <c r="I8468">
        <v>4600</v>
      </c>
      <c r="J8468" t="s">
        <v>278</v>
      </c>
      <c r="K8468">
        <v>18</v>
      </c>
      <c r="L8468">
        <v>3.66</v>
      </c>
      <c r="M8468">
        <v>67522</v>
      </c>
      <c r="N8468" t="s">
        <v>121</v>
      </c>
      <c r="O8468">
        <v>250213</v>
      </c>
      <c r="P8468">
        <v>14.34</v>
      </c>
    </row>
    <row r="8469" spans="1:16" x14ac:dyDescent="0.25">
      <c r="A8469" t="s">
        <v>3296</v>
      </c>
      <c r="B8469" t="s">
        <v>2931</v>
      </c>
      <c r="C8469">
        <v>1809</v>
      </c>
      <c r="D8469" t="str">
        <f>"1352865     "</f>
        <v xml:space="preserve">1352865     </v>
      </c>
      <c r="E8469" t="s">
        <v>353</v>
      </c>
      <c r="F8469" t="s">
        <v>355</v>
      </c>
      <c r="G8469">
        <v>96.2</v>
      </c>
      <c r="H8469">
        <v>250211</v>
      </c>
      <c r="I8469">
        <v>4600</v>
      </c>
      <c r="J8469" t="s">
        <v>278</v>
      </c>
      <c r="K8469">
        <v>96.2</v>
      </c>
      <c r="L8469">
        <v>19.55</v>
      </c>
      <c r="M8469">
        <v>66756</v>
      </c>
      <c r="N8469" t="s">
        <v>120</v>
      </c>
      <c r="O8469">
        <v>250214</v>
      </c>
      <c r="P8469">
        <v>76.650000000000006</v>
      </c>
    </row>
    <row r="8470" spans="1:16" x14ac:dyDescent="0.25">
      <c r="A8470" t="s">
        <v>3296</v>
      </c>
      <c r="B8470" t="s">
        <v>2931</v>
      </c>
      <c r="C8470">
        <v>1810</v>
      </c>
      <c r="D8470" t="str">
        <f>"1352862     "</f>
        <v xml:space="preserve">1352862     </v>
      </c>
      <c r="E8470" t="s">
        <v>353</v>
      </c>
      <c r="F8470" t="s">
        <v>355</v>
      </c>
      <c r="G8470">
        <v>4.8</v>
      </c>
      <c r="H8470">
        <v>250211</v>
      </c>
      <c r="I8470">
        <v>4600</v>
      </c>
      <c r="J8470" t="s">
        <v>278</v>
      </c>
      <c r="K8470">
        <v>4.8</v>
      </c>
      <c r="L8470">
        <v>0.98</v>
      </c>
      <c r="M8470">
        <v>67522</v>
      </c>
      <c r="N8470" t="s">
        <v>121</v>
      </c>
      <c r="O8470">
        <v>250214</v>
      </c>
      <c r="P8470">
        <v>3.82</v>
      </c>
    </row>
    <row r="8471" spans="1:16" x14ac:dyDescent="0.25">
      <c r="A8471" t="s">
        <v>3296</v>
      </c>
      <c r="B8471" t="s">
        <v>2931</v>
      </c>
      <c r="C8471">
        <v>1882</v>
      </c>
      <c r="D8471" t="str">
        <f>"1352861     "</f>
        <v xml:space="preserve">1352861     </v>
      </c>
      <c r="E8471" t="s">
        <v>353</v>
      </c>
      <c r="F8471" t="s">
        <v>355</v>
      </c>
      <c r="G8471">
        <v>53.2</v>
      </c>
      <c r="H8471">
        <v>250211</v>
      </c>
      <c r="I8471">
        <v>4600</v>
      </c>
      <c r="J8471" t="s">
        <v>278</v>
      </c>
      <c r="K8471">
        <v>170.77</v>
      </c>
      <c r="L8471">
        <v>10.81</v>
      </c>
      <c r="M8471">
        <v>67554</v>
      </c>
      <c r="N8471" t="s">
        <v>317</v>
      </c>
      <c r="O8471">
        <v>250214</v>
      </c>
      <c r="P8471">
        <v>42.39</v>
      </c>
    </row>
    <row r="8472" spans="1:16" x14ac:dyDescent="0.25">
      <c r="A8472" t="s">
        <v>3296</v>
      </c>
      <c r="B8472" t="s">
        <v>2931</v>
      </c>
      <c r="C8472">
        <v>1911</v>
      </c>
      <c r="D8472" t="str">
        <f>"1352806     "</f>
        <v xml:space="preserve">1352806     </v>
      </c>
      <c r="E8472" t="s">
        <v>353</v>
      </c>
      <c r="F8472" t="s">
        <v>355</v>
      </c>
      <c r="G8472">
        <v>-29.85</v>
      </c>
      <c r="H8472">
        <v>250211</v>
      </c>
      <c r="I8472">
        <v>4600</v>
      </c>
      <c r="J8472" t="s">
        <v>278</v>
      </c>
      <c r="K8472">
        <v>-29.85</v>
      </c>
      <c r="L8472">
        <v>-6.07</v>
      </c>
      <c r="M8472">
        <v>56568</v>
      </c>
      <c r="N8472" t="s">
        <v>354</v>
      </c>
      <c r="O8472">
        <v>250217</v>
      </c>
      <c r="P8472">
        <v>-23.78</v>
      </c>
    </row>
    <row r="8473" spans="1:16" x14ac:dyDescent="0.25">
      <c r="A8473" t="s">
        <v>3296</v>
      </c>
      <c r="B8473" t="s">
        <v>2931</v>
      </c>
      <c r="C8473">
        <v>1912</v>
      </c>
      <c r="D8473" t="str">
        <f>"1352820     "</f>
        <v xml:space="preserve">1352820     </v>
      </c>
      <c r="E8473" t="s">
        <v>353</v>
      </c>
      <c r="F8473" t="s">
        <v>355</v>
      </c>
      <c r="G8473">
        <v>-530.42999999999995</v>
      </c>
      <c r="H8473">
        <v>250131</v>
      </c>
      <c r="I8473">
        <v>4600</v>
      </c>
      <c r="J8473" t="s">
        <v>278</v>
      </c>
      <c r="K8473">
        <v>-530.42999999999995</v>
      </c>
      <c r="L8473">
        <v>-107.78</v>
      </c>
      <c r="M8473">
        <v>56568</v>
      </c>
      <c r="N8473" t="s">
        <v>354</v>
      </c>
      <c r="O8473">
        <v>250217</v>
      </c>
      <c r="P8473">
        <v>-422.65</v>
      </c>
    </row>
    <row r="8474" spans="1:16" x14ac:dyDescent="0.25">
      <c r="A8474" t="s">
        <v>3296</v>
      </c>
      <c r="B8474" t="s">
        <v>2931</v>
      </c>
      <c r="C8474">
        <v>1913</v>
      </c>
      <c r="D8474" t="str">
        <f>"1352805     "</f>
        <v xml:space="preserve">1352805     </v>
      </c>
      <c r="E8474" t="s">
        <v>353</v>
      </c>
      <c r="F8474" t="s">
        <v>355</v>
      </c>
      <c r="G8474">
        <v>-82</v>
      </c>
      <c r="H8474">
        <v>250131</v>
      </c>
      <c r="I8474">
        <v>4600</v>
      </c>
      <c r="J8474" t="s">
        <v>278</v>
      </c>
      <c r="K8474">
        <v>-82</v>
      </c>
      <c r="L8474">
        <v>-16.66</v>
      </c>
      <c r="M8474">
        <v>56568</v>
      </c>
      <c r="N8474" t="s">
        <v>354</v>
      </c>
      <c r="O8474">
        <v>250217</v>
      </c>
      <c r="P8474">
        <v>-65.34</v>
      </c>
    </row>
    <row r="8475" spans="1:16" x14ac:dyDescent="0.25">
      <c r="A8475" t="s">
        <v>3296</v>
      </c>
      <c r="B8475" t="s">
        <v>2931</v>
      </c>
      <c r="C8475">
        <v>2020</v>
      </c>
      <c r="D8475" t="str">
        <f>"1352816     "</f>
        <v xml:space="preserve">1352816     </v>
      </c>
      <c r="E8475" t="s">
        <v>353</v>
      </c>
      <c r="F8475" t="s">
        <v>355</v>
      </c>
      <c r="G8475">
        <v>42.18</v>
      </c>
      <c r="H8475">
        <v>250131</v>
      </c>
      <c r="I8475">
        <v>4600</v>
      </c>
      <c r="J8475" t="s">
        <v>278</v>
      </c>
      <c r="K8475">
        <v>42.18</v>
      </c>
      <c r="L8475">
        <v>8.57</v>
      </c>
      <c r="M8475">
        <v>56565</v>
      </c>
      <c r="N8475" t="s">
        <v>57</v>
      </c>
      <c r="O8475">
        <v>250219</v>
      </c>
      <c r="P8475">
        <v>33.61</v>
      </c>
    </row>
    <row r="8476" spans="1:16" x14ac:dyDescent="0.25">
      <c r="A8476" t="s">
        <v>3296</v>
      </c>
      <c r="B8476" t="s">
        <v>2931</v>
      </c>
      <c r="C8476">
        <v>2021</v>
      </c>
      <c r="D8476" t="str">
        <f>"1352831     "</f>
        <v xml:space="preserve">1352831     </v>
      </c>
      <c r="E8476" t="s">
        <v>353</v>
      </c>
      <c r="F8476" t="s">
        <v>355</v>
      </c>
      <c r="G8476">
        <v>19.59</v>
      </c>
      <c r="H8476">
        <v>250211</v>
      </c>
      <c r="I8476">
        <v>4600</v>
      </c>
      <c r="J8476" t="s">
        <v>278</v>
      </c>
      <c r="K8476">
        <v>19.59</v>
      </c>
      <c r="L8476">
        <v>3.98</v>
      </c>
      <c r="M8476">
        <v>56568</v>
      </c>
      <c r="N8476" t="s">
        <v>354</v>
      </c>
      <c r="O8476">
        <v>250219</v>
      </c>
      <c r="P8476">
        <v>15.61</v>
      </c>
    </row>
    <row r="8477" spans="1:16" x14ac:dyDescent="0.25">
      <c r="A8477" t="s">
        <v>3296</v>
      </c>
      <c r="B8477" t="s">
        <v>2931</v>
      </c>
      <c r="C8477">
        <v>2022</v>
      </c>
      <c r="D8477" t="str">
        <f>"1352827     "</f>
        <v xml:space="preserve">1352827     </v>
      </c>
      <c r="E8477" t="s">
        <v>353</v>
      </c>
      <c r="F8477" t="s">
        <v>355</v>
      </c>
      <c r="G8477">
        <v>6.08</v>
      </c>
      <c r="H8477">
        <v>250211</v>
      </c>
      <c r="I8477">
        <v>4600</v>
      </c>
      <c r="J8477" t="s">
        <v>278</v>
      </c>
      <c r="K8477">
        <v>6.08</v>
      </c>
      <c r="L8477">
        <v>1.24</v>
      </c>
      <c r="M8477">
        <v>56568</v>
      </c>
      <c r="N8477" t="s">
        <v>354</v>
      </c>
      <c r="O8477">
        <v>250219</v>
      </c>
      <c r="P8477">
        <v>4.84</v>
      </c>
    </row>
    <row r="8478" spans="1:16" x14ac:dyDescent="0.25">
      <c r="A8478" t="s">
        <v>3296</v>
      </c>
      <c r="B8478" t="s">
        <v>2931</v>
      </c>
      <c r="C8478">
        <v>2058</v>
      </c>
      <c r="D8478" t="str">
        <f>"1352803     "</f>
        <v xml:space="preserve">1352803     </v>
      </c>
      <c r="E8478" t="s">
        <v>353</v>
      </c>
      <c r="F8478" t="s">
        <v>355</v>
      </c>
      <c r="G8478">
        <v>542.53</v>
      </c>
      <c r="H8478">
        <v>250211</v>
      </c>
      <c r="I8478">
        <v>4600</v>
      </c>
      <c r="J8478" t="s">
        <v>278</v>
      </c>
      <c r="K8478">
        <v>542.53</v>
      </c>
      <c r="L8478">
        <v>110.24</v>
      </c>
      <c r="M8478">
        <v>56568</v>
      </c>
      <c r="N8478" t="s">
        <v>354</v>
      </c>
      <c r="O8478">
        <v>250220</v>
      </c>
      <c r="P8478">
        <v>432.29</v>
      </c>
    </row>
    <row r="8479" spans="1:16" x14ac:dyDescent="0.25">
      <c r="A8479" t="s">
        <v>3296</v>
      </c>
      <c r="B8479" t="s">
        <v>2931</v>
      </c>
      <c r="C8479">
        <v>2059</v>
      </c>
      <c r="D8479" t="str">
        <f>"1352838     "</f>
        <v xml:space="preserve">1352838     </v>
      </c>
      <c r="E8479" t="s">
        <v>353</v>
      </c>
      <c r="F8479" t="s">
        <v>355</v>
      </c>
      <c r="G8479">
        <v>70.62</v>
      </c>
      <c r="H8479">
        <v>250211</v>
      </c>
      <c r="I8479">
        <v>4600</v>
      </c>
      <c r="J8479" t="s">
        <v>278</v>
      </c>
      <c r="K8479">
        <v>70.62</v>
      </c>
      <c r="L8479">
        <v>14.35</v>
      </c>
      <c r="M8479">
        <v>56568</v>
      </c>
      <c r="N8479" t="s">
        <v>354</v>
      </c>
      <c r="O8479">
        <v>250220</v>
      </c>
      <c r="P8479">
        <v>56.27</v>
      </c>
    </row>
    <row r="8480" spans="1:16" x14ac:dyDescent="0.25">
      <c r="A8480" t="s">
        <v>3296</v>
      </c>
      <c r="B8480" t="s">
        <v>2931</v>
      </c>
      <c r="C8480">
        <v>2060</v>
      </c>
      <c r="D8480" t="str">
        <f>"1352855     "</f>
        <v xml:space="preserve">1352855     </v>
      </c>
      <c r="E8480" t="s">
        <v>353</v>
      </c>
      <c r="F8480" t="s">
        <v>355</v>
      </c>
      <c r="G8480">
        <v>330.41</v>
      </c>
      <c r="H8480">
        <v>250211</v>
      </c>
      <c r="I8480">
        <v>4600</v>
      </c>
      <c r="J8480" t="s">
        <v>278</v>
      </c>
      <c r="K8480">
        <v>330.41</v>
      </c>
      <c r="L8480">
        <v>67.14</v>
      </c>
      <c r="M8480">
        <v>56568</v>
      </c>
      <c r="N8480" t="s">
        <v>354</v>
      </c>
      <c r="O8480">
        <v>250220</v>
      </c>
      <c r="P8480">
        <v>263.27</v>
      </c>
    </row>
    <row r="8481" spans="1:16" x14ac:dyDescent="0.25">
      <c r="A8481" t="s">
        <v>3296</v>
      </c>
      <c r="B8481" t="s">
        <v>2931</v>
      </c>
      <c r="C8481">
        <v>2061</v>
      </c>
      <c r="D8481" t="str">
        <f>"1352845     "</f>
        <v xml:space="preserve">1352845     </v>
      </c>
      <c r="E8481" t="s">
        <v>353</v>
      </c>
      <c r="F8481" t="s">
        <v>355</v>
      </c>
      <c r="G8481">
        <v>66.03</v>
      </c>
      <c r="H8481">
        <v>250211</v>
      </c>
      <c r="I8481">
        <v>4600</v>
      </c>
      <c r="J8481" t="s">
        <v>278</v>
      </c>
      <c r="K8481">
        <v>66.03</v>
      </c>
      <c r="L8481">
        <v>13.42</v>
      </c>
      <c r="M8481">
        <v>56568</v>
      </c>
      <c r="N8481" t="s">
        <v>354</v>
      </c>
      <c r="O8481">
        <v>250220</v>
      </c>
      <c r="P8481">
        <v>52.61</v>
      </c>
    </row>
    <row r="8482" spans="1:16" x14ac:dyDescent="0.25">
      <c r="A8482" t="s">
        <v>3296</v>
      </c>
      <c r="B8482" t="s">
        <v>2931</v>
      </c>
      <c r="C8482">
        <v>2062</v>
      </c>
      <c r="D8482" t="str">
        <f>"1352810     "</f>
        <v xml:space="preserve">1352810     </v>
      </c>
      <c r="E8482" t="s">
        <v>353</v>
      </c>
      <c r="F8482" t="s">
        <v>355</v>
      </c>
      <c r="G8482">
        <v>100</v>
      </c>
      <c r="H8482">
        <v>250211</v>
      </c>
      <c r="I8482">
        <v>4600</v>
      </c>
      <c r="J8482" t="s">
        <v>278</v>
      </c>
      <c r="K8482">
        <v>100</v>
      </c>
      <c r="L8482">
        <v>20.32</v>
      </c>
      <c r="M8482">
        <v>56568</v>
      </c>
      <c r="N8482" t="s">
        <v>354</v>
      </c>
      <c r="O8482">
        <v>250220</v>
      </c>
      <c r="P8482">
        <v>79.680000000000007</v>
      </c>
    </row>
    <row r="8483" spans="1:16" x14ac:dyDescent="0.25">
      <c r="A8483" t="s">
        <v>3296</v>
      </c>
      <c r="B8483" t="s">
        <v>2931</v>
      </c>
      <c r="C8483">
        <v>2063</v>
      </c>
      <c r="D8483" t="str">
        <f>"1352830     "</f>
        <v xml:space="preserve">1352830     </v>
      </c>
      <c r="E8483" t="s">
        <v>353</v>
      </c>
      <c r="F8483" t="s">
        <v>355</v>
      </c>
      <c r="G8483">
        <v>18.22</v>
      </c>
      <c r="H8483">
        <v>250211</v>
      </c>
      <c r="I8483">
        <v>4600</v>
      </c>
      <c r="J8483" t="s">
        <v>278</v>
      </c>
      <c r="K8483">
        <v>18.22</v>
      </c>
      <c r="L8483">
        <v>3.7</v>
      </c>
      <c r="M8483">
        <v>56568</v>
      </c>
      <c r="N8483" t="s">
        <v>354</v>
      </c>
      <c r="O8483">
        <v>250220</v>
      </c>
      <c r="P8483">
        <v>14.52</v>
      </c>
    </row>
    <row r="8484" spans="1:16" x14ac:dyDescent="0.25">
      <c r="A8484" t="s">
        <v>3296</v>
      </c>
      <c r="B8484" t="s">
        <v>2931</v>
      </c>
      <c r="C8484">
        <v>2066</v>
      </c>
      <c r="D8484" t="str">
        <f>"1352809     "</f>
        <v xml:space="preserve">1352809     </v>
      </c>
      <c r="E8484" t="s">
        <v>353</v>
      </c>
      <c r="F8484" t="s">
        <v>355</v>
      </c>
      <c r="G8484">
        <v>48.53</v>
      </c>
      <c r="H8484">
        <v>250211</v>
      </c>
      <c r="I8484">
        <v>4600</v>
      </c>
      <c r="J8484" t="s">
        <v>278</v>
      </c>
      <c r="K8484">
        <v>48.53</v>
      </c>
      <c r="L8484">
        <v>9.86</v>
      </c>
      <c r="M8484">
        <v>56568</v>
      </c>
      <c r="N8484" t="s">
        <v>354</v>
      </c>
      <c r="O8484">
        <v>250220</v>
      </c>
      <c r="P8484">
        <v>38.67</v>
      </c>
    </row>
    <row r="8485" spans="1:16" x14ac:dyDescent="0.25">
      <c r="A8485" t="s">
        <v>3296</v>
      </c>
      <c r="B8485" t="s">
        <v>2931</v>
      </c>
      <c r="C8485">
        <v>2068</v>
      </c>
      <c r="D8485" t="str">
        <f>"1352808     "</f>
        <v xml:space="preserve">1352808     </v>
      </c>
      <c r="E8485" t="s">
        <v>353</v>
      </c>
      <c r="F8485" t="s">
        <v>355</v>
      </c>
      <c r="G8485">
        <v>24.99</v>
      </c>
      <c r="H8485">
        <v>250211</v>
      </c>
      <c r="I8485">
        <v>4600</v>
      </c>
      <c r="J8485" t="s">
        <v>278</v>
      </c>
      <c r="K8485">
        <v>24.99</v>
      </c>
      <c r="L8485">
        <v>5.08</v>
      </c>
      <c r="M8485">
        <v>51151</v>
      </c>
      <c r="N8485" t="s">
        <v>221</v>
      </c>
      <c r="O8485">
        <v>250220</v>
      </c>
      <c r="P8485">
        <v>19.91</v>
      </c>
    </row>
    <row r="8486" spans="1:16" x14ac:dyDescent="0.25">
      <c r="A8486" t="s">
        <v>3296</v>
      </c>
      <c r="B8486" t="s">
        <v>2931</v>
      </c>
      <c r="C8486">
        <v>2069</v>
      </c>
      <c r="D8486" t="str">
        <f>"1352849     "</f>
        <v xml:space="preserve">1352849     </v>
      </c>
      <c r="E8486" t="s">
        <v>353</v>
      </c>
      <c r="F8486" t="s">
        <v>355</v>
      </c>
      <c r="G8486">
        <v>5.7</v>
      </c>
      <c r="H8486">
        <v>250211</v>
      </c>
      <c r="I8486">
        <v>4600</v>
      </c>
      <c r="J8486" t="s">
        <v>278</v>
      </c>
      <c r="K8486">
        <v>5.7</v>
      </c>
      <c r="L8486">
        <v>1.1599999999999999</v>
      </c>
      <c r="M8486">
        <v>56568</v>
      </c>
      <c r="N8486" t="s">
        <v>354</v>
      </c>
      <c r="O8486">
        <v>250220</v>
      </c>
      <c r="P8486">
        <v>4.54</v>
      </c>
    </row>
    <row r="8487" spans="1:16" x14ac:dyDescent="0.25">
      <c r="A8487" t="s">
        <v>3296</v>
      </c>
      <c r="B8487" t="s">
        <v>2931</v>
      </c>
      <c r="C8487">
        <v>2070</v>
      </c>
      <c r="D8487" t="str">
        <f>"1352853     "</f>
        <v xml:space="preserve">1352853     </v>
      </c>
      <c r="E8487" t="s">
        <v>353</v>
      </c>
      <c r="F8487" t="s">
        <v>355</v>
      </c>
      <c r="G8487">
        <v>62.32</v>
      </c>
      <c r="H8487">
        <v>250211</v>
      </c>
      <c r="I8487">
        <v>4600</v>
      </c>
      <c r="J8487" t="s">
        <v>278</v>
      </c>
      <c r="K8487">
        <v>62.32</v>
      </c>
      <c r="L8487">
        <v>12.66</v>
      </c>
      <c r="M8487">
        <v>56568</v>
      </c>
      <c r="N8487" t="s">
        <v>354</v>
      </c>
      <c r="O8487">
        <v>250220</v>
      </c>
      <c r="P8487">
        <v>49.66</v>
      </c>
    </row>
    <row r="8488" spans="1:16" x14ac:dyDescent="0.25">
      <c r="A8488" t="s">
        <v>3296</v>
      </c>
      <c r="B8488" t="s">
        <v>2931</v>
      </c>
      <c r="C8488">
        <v>2071</v>
      </c>
      <c r="D8488" t="str">
        <f>"1352815     "</f>
        <v xml:space="preserve">1352815     </v>
      </c>
      <c r="E8488" t="s">
        <v>353</v>
      </c>
      <c r="F8488" t="s">
        <v>355</v>
      </c>
      <c r="G8488">
        <v>4.28</v>
      </c>
      <c r="H8488">
        <v>250211</v>
      </c>
      <c r="I8488">
        <v>4600</v>
      </c>
      <c r="J8488" t="s">
        <v>278</v>
      </c>
      <c r="K8488">
        <v>4.28</v>
      </c>
      <c r="L8488">
        <v>0.87</v>
      </c>
      <c r="M8488">
        <v>56568</v>
      </c>
      <c r="N8488" t="s">
        <v>354</v>
      </c>
      <c r="O8488">
        <v>250220</v>
      </c>
      <c r="P8488">
        <v>3.41</v>
      </c>
    </row>
    <row r="8489" spans="1:16" x14ac:dyDescent="0.25">
      <c r="A8489" t="s">
        <v>3296</v>
      </c>
      <c r="B8489" t="s">
        <v>2931</v>
      </c>
      <c r="C8489">
        <v>2072</v>
      </c>
      <c r="D8489" t="str">
        <f>"1352841     "</f>
        <v xml:space="preserve">1352841     </v>
      </c>
      <c r="E8489" t="s">
        <v>353</v>
      </c>
      <c r="F8489" t="s">
        <v>355</v>
      </c>
      <c r="G8489">
        <v>20.65</v>
      </c>
      <c r="H8489">
        <v>250211</v>
      </c>
      <c r="I8489">
        <v>4600</v>
      </c>
      <c r="J8489" t="s">
        <v>278</v>
      </c>
      <c r="K8489">
        <v>20.65</v>
      </c>
      <c r="L8489">
        <v>4.2</v>
      </c>
      <c r="M8489">
        <v>56568</v>
      </c>
      <c r="N8489" t="s">
        <v>354</v>
      </c>
      <c r="O8489">
        <v>250220</v>
      </c>
      <c r="P8489">
        <v>16.45</v>
      </c>
    </row>
    <row r="8490" spans="1:16" x14ac:dyDescent="0.25">
      <c r="A8490" t="s">
        <v>3296</v>
      </c>
      <c r="B8490" t="s">
        <v>2931</v>
      </c>
      <c r="C8490">
        <v>2073</v>
      </c>
      <c r="D8490" t="str">
        <f>"1352836     "</f>
        <v xml:space="preserve">1352836     </v>
      </c>
      <c r="E8490" t="s">
        <v>353</v>
      </c>
      <c r="F8490" t="s">
        <v>355</v>
      </c>
      <c r="G8490">
        <v>44.11</v>
      </c>
      <c r="H8490">
        <v>250211</v>
      </c>
      <c r="I8490">
        <v>4600</v>
      </c>
      <c r="J8490" t="s">
        <v>278</v>
      </c>
      <c r="K8490">
        <v>44.11</v>
      </c>
      <c r="L8490">
        <v>8.9600000000000009</v>
      </c>
      <c r="M8490">
        <v>56568</v>
      </c>
      <c r="N8490" t="s">
        <v>354</v>
      </c>
      <c r="O8490">
        <v>250220</v>
      </c>
      <c r="P8490">
        <v>35.15</v>
      </c>
    </row>
    <row r="8491" spans="1:16" x14ac:dyDescent="0.25">
      <c r="A8491" t="s">
        <v>3296</v>
      </c>
      <c r="B8491" t="s">
        <v>2931</v>
      </c>
      <c r="C8491">
        <v>2074</v>
      </c>
      <c r="D8491" t="str">
        <f>"1352814     "</f>
        <v xml:space="preserve">1352814     </v>
      </c>
      <c r="E8491" t="s">
        <v>353</v>
      </c>
      <c r="F8491" t="s">
        <v>355</v>
      </c>
      <c r="G8491">
        <v>12.76</v>
      </c>
      <c r="H8491">
        <v>250211</v>
      </c>
      <c r="I8491">
        <v>4600</v>
      </c>
      <c r="J8491" t="s">
        <v>278</v>
      </c>
      <c r="K8491">
        <v>12.76</v>
      </c>
      <c r="L8491">
        <v>2.59</v>
      </c>
      <c r="M8491">
        <v>56568</v>
      </c>
      <c r="N8491" t="s">
        <v>354</v>
      </c>
      <c r="O8491">
        <v>250220</v>
      </c>
      <c r="P8491">
        <v>10.17</v>
      </c>
    </row>
    <row r="8492" spans="1:16" x14ac:dyDescent="0.25">
      <c r="A8492" t="s">
        <v>3296</v>
      </c>
      <c r="B8492" t="s">
        <v>2931</v>
      </c>
      <c r="C8492">
        <v>2075</v>
      </c>
      <c r="D8492" t="str">
        <f>"1352800     "</f>
        <v xml:space="preserve">1352800     </v>
      </c>
      <c r="E8492" t="s">
        <v>353</v>
      </c>
      <c r="F8492" t="s">
        <v>355</v>
      </c>
      <c r="G8492">
        <v>17.64</v>
      </c>
      <c r="H8492">
        <v>250211</v>
      </c>
      <c r="I8492">
        <v>4600</v>
      </c>
      <c r="J8492" t="s">
        <v>278</v>
      </c>
      <c r="K8492">
        <v>17.64</v>
      </c>
      <c r="L8492">
        <v>3.58</v>
      </c>
      <c r="M8492">
        <v>56568</v>
      </c>
      <c r="N8492" t="s">
        <v>354</v>
      </c>
      <c r="O8492">
        <v>250220</v>
      </c>
      <c r="P8492">
        <v>14.06</v>
      </c>
    </row>
    <row r="8493" spans="1:16" x14ac:dyDescent="0.25">
      <c r="A8493" t="s">
        <v>3296</v>
      </c>
      <c r="B8493" t="s">
        <v>2931</v>
      </c>
      <c r="C8493">
        <v>2076</v>
      </c>
      <c r="D8493" t="str">
        <f>"1352804     "</f>
        <v xml:space="preserve">1352804     </v>
      </c>
      <c r="E8493" t="s">
        <v>353</v>
      </c>
      <c r="F8493" t="s">
        <v>355</v>
      </c>
      <c r="G8493">
        <v>5.7</v>
      </c>
      <c r="H8493">
        <v>250211</v>
      </c>
      <c r="I8493">
        <v>4600</v>
      </c>
      <c r="J8493" t="s">
        <v>278</v>
      </c>
      <c r="K8493">
        <v>5.7</v>
      </c>
      <c r="L8493">
        <v>1.1599999999999999</v>
      </c>
      <c r="M8493">
        <v>56568</v>
      </c>
      <c r="N8493" t="s">
        <v>354</v>
      </c>
      <c r="O8493">
        <v>250220</v>
      </c>
      <c r="P8493">
        <v>4.54</v>
      </c>
    </row>
    <row r="8494" spans="1:16" x14ac:dyDescent="0.25">
      <c r="A8494" t="s">
        <v>3296</v>
      </c>
      <c r="B8494" t="s">
        <v>2931</v>
      </c>
      <c r="C8494">
        <v>2077</v>
      </c>
      <c r="D8494" t="str">
        <f>"1352856     "</f>
        <v xml:space="preserve">1352856     </v>
      </c>
      <c r="E8494" t="s">
        <v>353</v>
      </c>
      <c r="F8494" t="s">
        <v>355</v>
      </c>
      <c r="G8494">
        <v>44.64</v>
      </c>
      <c r="H8494">
        <v>250211</v>
      </c>
      <c r="I8494">
        <v>4600</v>
      </c>
      <c r="J8494" t="s">
        <v>278</v>
      </c>
      <c r="K8494">
        <v>44.64</v>
      </c>
      <c r="L8494">
        <v>9.07</v>
      </c>
      <c r="M8494">
        <v>56568</v>
      </c>
      <c r="N8494" t="s">
        <v>354</v>
      </c>
      <c r="O8494">
        <v>250220</v>
      </c>
      <c r="P8494">
        <v>35.57</v>
      </c>
    </row>
    <row r="8495" spans="1:16" x14ac:dyDescent="0.25">
      <c r="A8495" t="s">
        <v>3296</v>
      </c>
      <c r="B8495" t="s">
        <v>2931</v>
      </c>
      <c r="C8495">
        <v>2078</v>
      </c>
      <c r="D8495" t="str">
        <f>"1352824     "</f>
        <v xml:space="preserve">1352824     </v>
      </c>
      <c r="E8495" t="s">
        <v>353</v>
      </c>
      <c r="F8495" t="s">
        <v>355</v>
      </c>
      <c r="G8495">
        <v>34.9</v>
      </c>
      <c r="H8495">
        <v>250211</v>
      </c>
      <c r="I8495">
        <v>4600</v>
      </c>
      <c r="J8495" t="s">
        <v>278</v>
      </c>
      <c r="K8495">
        <v>34.9</v>
      </c>
      <c r="L8495">
        <v>7.09</v>
      </c>
      <c r="M8495">
        <v>56568</v>
      </c>
      <c r="N8495" t="s">
        <v>354</v>
      </c>
      <c r="O8495">
        <v>250220</v>
      </c>
      <c r="P8495">
        <v>27.81</v>
      </c>
    </row>
    <row r="8496" spans="1:16" x14ac:dyDescent="0.25">
      <c r="A8496" t="s">
        <v>3296</v>
      </c>
      <c r="B8496" t="s">
        <v>2931</v>
      </c>
      <c r="C8496">
        <v>2079</v>
      </c>
      <c r="D8496" t="str">
        <f>"1352852     "</f>
        <v xml:space="preserve">1352852     </v>
      </c>
      <c r="E8496" t="s">
        <v>353</v>
      </c>
      <c r="F8496" t="s">
        <v>355</v>
      </c>
      <c r="G8496">
        <v>99.3</v>
      </c>
      <c r="H8496">
        <v>250211</v>
      </c>
      <c r="I8496">
        <v>4600</v>
      </c>
      <c r="J8496" t="s">
        <v>278</v>
      </c>
      <c r="K8496">
        <v>99.3</v>
      </c>
      <c r="L8496">
        <v>20.18</v>
      </c>
      <c r="M8496">
        <v>56568</v>
      </c>
      <c r="N8496" t="s">
        <v>354</v>
      </c>
      <c r="O8496">
        <v>250220</v>
      </c>
      <c r="P8496">
        <v>79.12</v>
      </c>
    </row>
    <row r="8497" spans="1:16" x14ac:dyDescent="0.25">
      <c r="A8497" t="s">
        <v>3296</v>
      </c>
      <c r="B8497" t="s">
        <v>2931</v>
      </c>
      <c r="C8497">
        <v>2080</v>
      </c>
      <c r="D8497" t="str">
        <f>"1352826     "</f>
        <v xml:space="preserve">1352826     </v>
      </c>
      <c r="E8497" t="s">
        <v>353</v>
      </c>
      <c r="F8497" t="s">
        <v>355</v>
      </c>
      <c r="G8497">
        <v>7.02</v>
      </c>
      <c r="H8497">
        <v>250211</v>
      </c>
      <c r="I8497">
        <v>4600</v>
      </c>
      <c r="J8497" t="s">
        <v>278</v>
      </c>
      <c r="K8497">
        <v>7.02</v>
      </c>
      <c r="L8497">
        <v>1.43</v>
      </c>
      <c r="M8497">
        <v>56568</v>
      </c>
      <c r="N8497" t="s">
        <v>354</v>
      </c>
      <c r="O8497">
        <v>250220</v>
      </c>
      <c r="P8497">
        <v>5.59</v>
      </c>
    </row>
    <row r="8498" spans="1:16" x14ac:dyDescent="0.25">
      <c r="A8498" t="s">
        <v>3296</v>
      </c>
      <c r="B8498" t="s">
        <v>2931</v>
      </c>
      <c r="C8498">
        <v>2082</v>
      </c>
      <c r="D8498" t="str">
        <f>"1352812     "</f>
        <v xml:space="preserve">1352812     </v>
      </c>
      <c r="E8498" t="s">
        <v>353</v>
      </c>
      <c r="F8498" t="s">
        <v>355</v>
      </c>
      <c r="G8498">
        <v>85.34</v>
      </c>
      <c r="H8498">
        <v>250211</v>
      </c>
      <c r="I8498">
        <v>4600</v>
      </c>
      <c r="J8498" t="s">
        <v>278</v>
      </c>
      <c r="K8498">
        <v>85.34</v>
      </c>
      <c r="L8498">
        <v>17.34</v>
      </c>
      <c r="M8498">
        <v>56568</v>
      </c>
      <c r="N8498" t="s">
        <v>354</v>
      </c>
      <c r="O8498">
        <v>250220</v>
      </c>
      <c r="P8498">
        <v>68</v>
      </c>
    </row>
    <row r="8499" spans="1:16" x14ac:dyDescent="0.25">
      <c r="A8499" t="s">
        <v>3296</v>
      </c>
      <c r="B8499" t="s">
        <v>2931</v>
      </c>
      <c r="C8499">
        <v>2083</v>
      </c>
      <c r="D8499" t="str">
        <f>"1352843     "</f>
        <v xml:space="preserve">1352843     </v>
      </c>
      <c r="E8499" t="s">
        <v>353</v>
      </c>
      <c r="F8499" t="s">
        <v>355</v>
      </c>
      <c r="G8499">
        <v>4.7699999999999996</v>
      </c>
      <c r="H8499">
        <v>250211</v>
      </c>
      <c r="I8499">
        <v>4600</v>
      </c>
      <c r="J8499" t="s">
        <v>278</v>
      </c>
      <c r="K8499">
        <v>4.7699999999999996</v>
      </c>
      <c r="L8499">
        <v>0.97</v>
      </c>
      <c r="M8499">
        <v>56568</v>
      </c>
      <c r="N8499" t="s">
        <v>354</v>
      </c>
      <c r="O8499">
        <v>250220</v>
      </c>
      <c r="P8499">
        <v>3.8</v>
      </c>
    </row>
    <row r="8500" spans="1:16" x14ac:dyDescent="0.25">
      <c r="A8500" t="s">
        <v>3296</v>
      </c>
      <c r="B8500" t="s">
        <v>2931</v>
      </c>
      <c r="C8500">
        <v>2084</v>
      </c>
      <c r="D8500" t="str">
        <f>"1352832     "</f>
        <v xml:space="preserve">1352832     </v>
      </c>
      <c r="E8500" t="s">
        <v>353</v>
      </c>
      <c r="F8500" t="s">
        <v>355</v>
      </c>
      <c r="G8500">
        <v>55.05</v>
      </c>
      <c r="H8500">
        <v>250211</v>
      </c>
      <c r="I8500">
        <v>4600</v>
      </c>
      <c r="J8500" t="s">
        <v>278</v>
      </c>
      <c r="K8500">
        <v>55.05</v>
      </c>
      <c r="L8500">
        <v>11.19</v>
      </c>
      <c r="M8500">
        <v>56568</v>
      </c>
      <c r="N8500" t="s">
        <v>354</v>
      </c>
      <c r="O8500">
        <v>250220</v>
      </c>
      <c r="P8500">
        <v>43.86</v>
      </c>
    </row>
    <row r="8501" spans="1:16" x14ac:dyDescent="0.25">
      <c r="A8501" t="s">
        <v>3296</v>
      </c>
      <c r="B8501" t="s">
        <v>2931</v>
      </c>
      <c r="C8501">
        <v>2085</v>
      </c>
      <c r="D8501" t="str">
        <f>"1352819     "</f>
        <v xml:space="preserve">1352819     </v>
      </c>
      <c r="E8501" t="s">
        <v>353</v>
      </c>
      <c r="F8501" t="s">
        <v>355</v>
      </c>
      <c r="G8501">
        <v>10.220000000000001</v>
      </c>
      <c r="H8501">
        <v>250211</v>
      </c>
      <c r="I8501">
        <v>4600</v>
      </c>
      <c r="J8501" t="s">
        <v>278</v>
      </c>
      <c r="K8501">
        <v>10.220000000000001</v>
      </c>
      <c r="L8501">
        <v>2.08</v>
      </c>
      <c r="M8501">
        <v>56568</v>
      </c>
      <c r="N8501" t="s">
        <v>354</v>
      </c>
      <c r="O8501">
        <v>250220</v>
      </c>
      <c r="P8501">
        <v>8.14</v>
      </c>
    </row>
    <row r="8502" spans="1:16" x14ac:dyDescent="0.25">
      <c r="A8502" t="s">
        <v>3296</v>
      </c>
      <c r="B8502" t="s">
        <v>2931</v>
      </c>
      <c r="C8502">
        <v>2087</v>
      </c>
      <c r="D8502" t="str">
        <f>"1352840     "</f>
        <v xml:space="preserve">1352840     </v>
      </c>
      <c r="E8502" t="s">
        <v>353</v>
      </c>
      <c r="F8502" t="s">
        <v>355</v>
      </c>
      <c r="G8502">
        <v>24.49</v>
      </c>
      <c r="H8502">
        <v>250211</v>
      </c>
      <c r="I8502">
        <v>4600</v>
      </c>
      <c r="J8502" t="s">
        <v>278</v>
      </c>
      <c r="K8502">
        <v>24.49</v>
      </c>
      <c r="L8502">
        <v>4.9800000000000004</v>
      </c>
      <c r="M8502">
        <v>56568</v>
      </c>
      <c r="N8502" t="s">
        <v>354</v>
      </c>
      <c r="O8502">
        <v>250220</v>
      </c>
      <c r="P8502">
        <v>19.510000000000002</v>
      </c>
    </row>
    <row r="8503" spans="1:16" x14ac:dyDescent="0.25">
      <c r="A8503" t="s">
        <v>3296</v>
      </c>
      <c r="B8503" t="s">
        <v>2931</v>
      </c>
      <c r="C8503">
        <v>2088</v>
      </c>
      <c r="D8503" t="str">
        <f>"1352822     "</f>
        <v xml:space="preserve">1352822     </v>
      </c>
      <c r="E8503" t="s">
        <v>353</v>
      </c>
      <c r="F8503" t="s">
        <v>355</v>
      </c>
      <c r="G8503">
        <v>12.76</v>
      </c>
      <c r="H8503">
        <v>250211</v>
      </c>
      <c r="I8503">
        <v>4600</v>
      </c>
      <c r="J8503" t="s">
        <v>278</v>
      </c>
      <c r="K8503">
        <v>12.76</v>
      </c>
      <c r="L8503">
        <v>2.59</v>
      </c>
      <c r="M8503">
        <v>56568</v>
      </c>
      <c r="N8503" t="s">
        <v>354</v>
      </c>
      <c r="O8503">
        <v>250220</v>
      </c>
      <c r="P8503">
        <v>10.17</v>
      </c>
    </row>
    <row r="8504" spans="1:16" x14ac:dyDescent="0.25">
      <c r="A8504" t="s">
        <v>3296</v>
      </c>
      <c r="B8504" t="s">
        <v>2931</v>
      </c>
      <c r="C8504">
        <v>2090</v>
      </c>
      <c r="D8504" t="str">
        <f>"1352837     "</f>
        <v xml:space="preserve">1352837     </v>
      </c>
      <c r="E8504" t="s">
        <v>353</v>
      </c>
      <c r="F8504" t="s">
        <v>355</v>
      </c>
      <c r="G8504">
        <v>549</v>
      </c>
      <c r="H8504">
        <v>250211</v>
      </c>
      <c r="I8504">
        <v>4600</v>
      </c>
      <c r="J8504" t="s">
        <v>278</v>
      </c>
      <c r="K8504">
        <v>549</v>
      </c>
      <c r="L8504">
        <v>111.55</v>
      </c>
      <c r="M8504">
        <v>56568</v>
      </c>
      <c r="N8504" t="s">
        <v>354</v>
      </c>
      <c r="O8504">
        <v>250220</v>
      </c>
      <c r="P8504">
        <v>437.45</v>
      </c>
    </row>
    <row r="8505" spans="1:16" x14ac:dyDescent="0.25">
      <c r="A8505" t="s">
        <v>3296</v>
      </c>
      <c r="B8505" t="s">
        <v>2931</v>
      </c>
      <c r="C8505">
        <v>2093</v>
      </c>
      <c r="D8505" t="str">
        <f>"1352850     "</f>
        <v xml:space="preserve">1352850     </v>
      </c>
      <c r="E8505" t="s">
        <v>353</v>
      </c>
      <c r="F8505" t="s">
        <v>355</v>
      </c>
      <c r="G8505">
        <v>30.88</v>
      </c>
      <c r="H8505">
        <v>250211</v>
      </c>
      <c r="I8505">
        <v>4600</v>
      </c>
      <c r="J8505" t="s">
        <v>278</v>
      </c>
      <c r="K8505">
        <v>30.88</v>
      </c>
      <c r="L8505">
        <v>6.27</v>
      </c>
      <c r="M8505">
        <v>56568</v>
      </c>
      <c r="N8505" t="s">
        <v>354</v>
      </c>
      <c r="O8505">
        <v>250220</v>
      </c>
      <c r="P8505">
        <v>24.61</v>
      </c>
    </row>
    <row r="8506" spans="1:16" x14ac:dyDescent="0.25">
      <c r="A8506" t="s">
        <v>3296</v>
      </c>
      <c r="B8506" t="s">
        <v>2931</v>
      </c>
      <c r="C8506">
        <v>2094</v>
      </c>
      <c r="D8506" t="str">
        <f>"1352833     "</f>
        <v xml:space="preserve">1352833     </v>
      </c>
      <c r="E8506" t="s">
        <v>353</v>
      </c>
      <c r="F8506" t="s">
        <v>355</v>
      </c>
      <c r="G8506">
        <v>6.7</v>
      </c>
      <c r="H8506">
        <v>250211</v>
      </c>
      <c r="I8506">
        <v>4600</v>
      </c>
      <c r="J8506" t="s">
        <v>278</v>
      </c>
      <c r="K8506">
        <v>6.7</v>
      </c>
      <c r="L8506">
        <v>1.36</v>
      </c>
      <c r="M8506">
        <v>56568</v>
      </c>
      <c r="N8506" t="s">
        <v>354</v>
      </c>
      <c r="O8506">
        <v>250220</v>
      </c>
      <c r="P8506">
        <v>5.34</v>
      </c>
    </row>
    <row r="8507" spans="1:16" x14ac:dyDescent="0.25">
      <c r="A8507" t="s">
        <v>3296</v>
      </c>
      <c r="B8507" t="s">
        <v>2931</v>
      </c>
      <c r="C8507">
        <v>2095</v>
      </c>
      <c r="D8507" t="str">
        <f>"1352839     "</f>
        <v xml:space="preserve">1352839     </v>
      </c>
      <c r="E8507" t="s">
        <v>353</v>
      </c>
      <c r="F8507" t="s">
        <v>355</v>
      </c>
      <c r="G8507">
        <v>8.52</v>
      </c>
      <c r="H8507">
        <v>250211</v>
      </c>
      <c r="I8507">
        <v>4600</v>
      </c>
      <c r="J8507" t="s">
        <v>278</v>
      </c>
      <c r="K8507">
        <v>8.52</v>
      </c>
      <c r="L8507">
        <v>1.73</v>
      </c>
      <c r="M8507">
        <v>56568</v>
      </c>
      <c r="N8507" t="s">
        <v>354</v>
      </c>
      <c r="O8507">
        <v>250220</v>
      </c>
      <c r="P8507">
        <v>6.79</v>
      </c>
    </row>
    <row r="8508" spans="1:16" x14ac:dyDescent="0.25">
      <c r="A8508" t="s">
        <v>3296</v>
      </c>
      <c r="B8508" t="s">
        <v>2931</v>
      </c>
      <c r="C8508">
        <v>2096</v>
      </c>
      <c r="D8508" t="str">
        <f>"1352834     "</f>
        <v xml:space="preserve">1352834     </v>
      </c>
      <c r="E8508" t="s">
        <v>353</v>
      </c>
      <c r="F8508" t="s">
        <v>355</v>
      </c>
      <c r="G8508">
        <v>13.21</v>
      </c>
      <c r="H8508">
        <v>250211</v>
      </c>
      <c r="I8508">
        <v>4600</v>
      </c>
      <c r="J8508" t="s">
        <v>278</v>
      </c>
      <c r="K8508">
        <v>13.21</v>
      </c>
      <c r="L8508">
        <v>2.68</v>
      </c>
      <c r="M8508">
        <v>56568</v>
      </c>
      <c r="N8508" t="s">
        <v>354</v>
      </c>
      <c r="O8508">
        <v>250220</v>
      </c>
      <c r="P8508">
        <v>10.53</v>
      </c>
    </row>
    <row r="8509" spans="1:16" x14ac:dyDescent="0.25">
      <c r="A8509" t="s">
        <v>3296</v>
      </c>
      <c r="B8509" t="s">
        <v>2931</v>
      </c>
      <c r="C8509">
        <v>2097</v>
      </c>
      <c r="D8509" t="str">
        <f>"1352848     "</f>
        <v xml:space="preserve">1352848     </v>
      </c>
      <c r="E8509" t="s">
        <v>353</v>
      </c>
      <c r="F8509" t="s">
        <v>355</v>
      </c>
      <c r="G8509">
        <v>146.32</v>
      </c>
      <c r="H8509">
        <v>250211</v>
      </c>
      <c r="I8509">
        <v>4600</v>
      </c>
      <c r="J8509" t="s">
        <v>278</v>
      </c>
      <c r="K8509">
        <v>146.32</v>
      </c>
      <c r="L8509">
        <v>29.73</v>
      </c>
      <c r="M8509">
        <v>56568</v>
      </c>
      <c r="N8509" t="s">
        <v>354</v>
      </c>
      <c r="O8509">
        <v>250220</v>
      </c>
      <c r="P8509">
        <v>116.59</v>
      </c>
    </row>
    <row r="8510" spans="1:16" x14ac:dyDescent="0.25">
      <c r="A8510" t="s">
        <v>3296</v>
      </c>
      <c r="B8510" t="s">
        <v>2931</v>
      </c>
      <c r="C8510">
        <v>2099</v>
      </c>
      <c r="D8510" t="str">
        <f>"1352846     "</f>
        <v xml:space="preserve">1352846     </v>
      </c>
      <c r="E8510" t="s">
        <v>353</v>
      </c>
      <c r="F8510" t="s">
        <v>355</v>
      </c>
      <c r="G8510">
        <v>56.61</v>
      </c>
      <c r="H8510">
        <v>250211</v>
      </c>
      <c r="I8510">
        <v>4600</v>
      </c>
      <c r="J8510" t="s">
        <v>278</v>
      </c>
      <c r="K8510">
        <v>56.61</v>
      </c>
      <c r="L8510">
        <v>11.5</v>
      </c>
      <c r="M8510">
        <v>56568</v>
      </c>
      <c r="N8510" t="s">
        <v>354</v>
      </c>
      <c r="O8510">
        <v>250220</v>
      </c>
      <c r="P8510">
        <v>45.11</v>
      </c>
    </row>
    <row r="8511" spans="1:16" x14ac:dyDescent="0.25">
      <c r="A8511" t="s">
        <v>3296</v>
      </c>
      <c r="B8511" t="s">
        <v>2931</v>
      </c>
      <c r="C8511">
        <v>2102</v>
      </c>
      <c r="D8511" t="str">
        <f>"1352829     "</f>
        <v xml:space="preserve">1352829     </v>
      </c>
      <c r="E8511" t="s">
        <v>353</v>
      </c>
      <c r="F8511" t="s">
        <v>355</v>
      </c>
      <c r="G8511">
        <v>98</v>
      </c>
      <c r="H8511">
        <v>250211</v>
      </c>
      <c r="I8511">
        <v>4600</v>
      </c>
      <c r="J8511" t="s">
        <v>278</v>
      </c>
      <c r="K8511">
        <v>98</v>
      </c>
      <c r="L8511">
        <v>19.91</v>
      </c>
      <c r="M8511">
        <v>56568</v>
      </c>
      <c r="N8511" t="s">
        <v>354</v>
      </c>
      <c r="O8511">
        <v>250220</v>
      </c>
      <c r="P8511">
        <v>78.09</v>
      </c>
    </row>
    <row r="8512" spans="1:16" x14ac:dyDescent="0.25">
      <c r="A8512" t="s">
        <v>3296</v>
      </c>
      <c r="B8512" t="s">
        <v>2931</v>
      </c>
      <c r="C8512">
        <v>2103</v>
      </c>
      <c r="D8512" t="str">
        <f>"1352821     "</f>
        <v xml:space="preserve">1352821     </v>
      </c>
      <c r="E8512" t="s">
        <v>353</v>
      </c>
      <c r="F8512" t="s">
        <v>355</v>
      </c>
      <c r="G8512">
        <v>32.46</v>
      </c>
      <c r="H8512">
        <v>250211</v>
      </c>
      <c r="I8512">
        <v>4600</v>
      </c>
      <c r="J8512" t="s">
        <v>278</v>
      </c>
      <c r="K8512">
        <v>32.46</v>
      </c>
      <c r="L8512">
        <v>6.6</v>
      </c>
      <c r="M8512">
        <v>56568</v>
      </c>
      <c r="N8512" t="s">
        <v>354</v>
      </c>
      <c r="O8512">
        <v>250220</v>
      </c>
      <c r="P8512">
        <v>25.86</v>
      </c>
    </row>
    <row r="8513" spans="1:16" x14ac:dyDescent="0.25">
      <c r="A8513" t="s">
        <v>3296</v>
      </c>
      <c r="B8513" t="s">
        <v>2931</v>
      </c>
      <c r="C8513">
        <v>2105</v>
      </c>
      <c r="D8513" t="str">
        <f>"1352817     "</f>
        <v xml:space="preserve">1352817     </v>
      </c>
      <c r="E8513" t="s">
        <v>353</v>
      </c>
      <c r="F8513" t="s">
        <v>355</v>
      </c>
      <c r="G8513">
        <v>13.23</v>
      </c>
      <c r="H8513">
        <v>250211</v>
      </c>
      <c r="I8513">
        <v>4600</v>
      </c>
      <c r="J8513" t="s">
        <v>278</v>
      </c>
      <c r="K8513">
        <v>13.23</v>
      </c>
      <c r="L8513">
        <v>2.69</v>
      </c>
      <c r="M8513">
        <v>56565</v>
      </c>
      <c r="N8513" t="s">
        <v>57</v>
      </c>
      <c r="O8513">
        <v>250220</v>
      </c>
      <c r="P8513">
        <v>10.54</v>
      </c>
    </row>
    <row r="8514" spans="1:16" x14ac:dyDescent="0.25">
      <c r="A8514" t="s">
        <v>3296</v>
      </c>
      <c r="B8514" t="s">
        <v>2931</v>
      </c>
      <c r="C8514">
        <v>2106</v>
      </c>
      <c r="D8514" t="str">
        <f>"1352842     "</f>
        <v xml:space="preserve">1352842     </v>
      </c>
      <c r="E8514" t="s">
        <v>353</v>
      </c>
      <c r="F8514" t="s">
        <v>355</v>
      </c>
      <c r="G8514">
        <v>119.59</v>
      </c>
      <c r="H8514">
        <v>250211</v>
      </c>
      <c r="I8514">
        <v>4600</v>
      </c>
      <c r="J8514" t="s">
        <v>278</v>
      </c>
      <c r="K8514">
        <v>119.59</v>
      </c>
      <c r="L8514">
        <v>24.3</v>
      </c>
      <c r="M8514">
        <v>56568</v>
      </c>
      <c r="N8514" t="s">
        <v>354</v>
      </c>
      <c r="O8514">
        <v>250220</v>
      </c>
      <c r="P8514">
        <v>95.29</v>
      </c>
    </row>
    <row r="8515" spans="1:16" x14ac:dyDescent="0.25">
      <c r="A8515" t="s">
        <v>3296</v>
      </c>
      <c r="B8515" t="s">
        <v>2931</v>
      </c>
      <c r="C8515">
        <v>2107</v>
      </c>
      <c r="D8515" t="str">
        <f>"1352813     "</f>
        <v xml:space="preserve">1352813     </v>
      </c>
      <c r="E8515" t="s">
        <v>353</v>
      </c>
      <c r="F8515" t="s">
        <v>355</v>
      </c>
      <c r="G8515">
        <v>37.200000000000003</v>
      </c>
      <c r="H8515">
        <v>250211</v>
      </c>
      <c r="I8515">
        <v>4600</v>
      </c>
      <c r="J8515" t="s">
        <v>278</v>
      </c>
      <c r="K8515">
        <v>37.200000000000003</v>
      </c>
      <c r="L8515">
        <v>7.56</v>
      </c>
      <c r="M8515">
        <v>56568</v>
      </c>
      <c r="N8515" t="s">
        <v>354</v>
      </c>
      <c r="O8515">
        <v>250220</v>
      </c>
      <c r="P8515">
        <v>29.64</v>
      </c>
    </row>
    <row r="8516" spans="1:16" x14ac:dyDescent="0.25">
      <c r="A8516" t="s">
        <v>3296</v>
      </c>
      <c r="B8516" t="s">
        <v>2931</v>
      </c>
      <c r="C8516">
        <v>2108</v>
      </c>
      <c r="D8516" t="str">
        <f>"1352802     "</f>
        <v xml:space="preserve">1352802     </v>
      </c>
      <c r="E8516" t="s">
        <v>353</v>
      </c>
      <c r="F8516" t="s">
        <v>355</v>
      </c>
      <c r="G8516">
        <v>89.82</v>
      </c>
      <c r="H8516">
        <v>250211</v>
      </c>
      <c r="I8516">
        <v>4600</v>
      </c>
      <c r="J8516" t="s">
        <v>278</v>
      </c>
      <c r="K8516">
        <v>89.82</v>
      </c>
      <c r="L8516">
        <v>18.25</v>
      </c>
      <c r="M8516">
        <v>56568</v>
      </c>
      <c r="N8516" t="s">
        <v>354</v>
      </c>
      <c r="O8516">
        <v>250220</v>
      </c>
      <c r="P8516">
        <v>71.569999999999993</v>
      </c>
    </row>
    <row r="8517" spans="1:16" x14ac:dyDescent="0.25">
      <c r="A8517" t="s">
        <v>3296</v>
      </c>
      <c r="B8517" t="s">
        <v>2931</v>
      </c>
      <c r="C8517">
        <v>2109</v>
      </c>
      <c r="D8517" t="str">
        <f>"1352854     "</f>
        <v xml:space="preserve">1352854     </v>
      </c>
      <c r="E8517" t="s">
        <v>353</v>
      </c>
      <c r="F8517" t="s">
        <v>355</v>
      </c>
      <c r="G8517">
        <v>97.03</v>
      </c>
      <c r="H8517">
        <v>250211</v>
      </c>
      <c r="I8517">
        <v>4600</v>
      </c>
      <c r="J8517" t="s">
        <v>278</v>
      </c>
      <c r="K8517">
        <v>97.03</v>
      </c>
      <c r="L8517">
        <v>19.72</v>
      </c>
      <c r="M8517">
        <v>56568</v>
      </c>
      <c r="N8517" t="s">
        <v>354</v>
      </c>
      <c r="O8517">
        <v>250220</v>
      </c>
      <c r="P8517">
        <v>77.31</v>
      </c>
    </row>
    <row r="8518" spans="1:16" x14ac:dyDescent="0.25">
      <c r="A8518" t="s">
        <v>3296</v>
      </c>
      <c r="B8518" t="s">
        <v>2931</v>
      </c>
      <c r="C8518">
        <v>2110</v>
      </c>
      <c r="D8518" t="str">
        <f>"1352851     "</f>
        <v xml:space="preserve">1352851     </v>
      </c>
      <c r="E8518" t="s">
        <v>353</v>
      </c>
      <c r="F8518" t="s">
        <v>355</v>
      </c>
      <c r="G8518">
        <v>16.43</v>
      </c>
      <c r="H8518">
        <v>250211</v>
      </c>
      <c r="I8518">
        <v>4600</v>
      </c>
      <c r="J8518" t="s">
        <v>278</v>
      </c>
      <c r="K8518">
        <v>16.43</v>
      </c>
      <c r="L8518">
        <v>3.34</v>
      </c>
      <c r="M8518">
        <v>56568</v>
      </c>
      <c r="N8518" t="s">
        <v>354</v>
      </c>
      <c r="O8518">
        <v>250220</v>
      </c>
      <c r="P8518">
        <v>13.09</v>
      </c>
    </row>
    <row r="8519" spans="1:16" x14ac:dyDescent="0.25">
      <c r="A8519" t="s">
        <v>3296</v>
      </c>
      <c r="B8519" t="s">
        <v>2931</v>
      </c>
      <c r="C8519">
        <v>2111</v>
      </c>
      <c r="D8519" t="str">
        <f>"1352835     "</f>
        <v xml:space="preserve">1352835     </v>
      </c>
      <c r="E8519" t="s">
        <v>353</v>
      </c>
      <c r="F8519" t="s">
        <v>355</v>
      </c>
      <c r="G8519">
        <v>57</v>
      </c>
      <c r="H8519">
        <v>250211</v>
      </c>
      <c r="I8519">
        <v>4600</v>
      </c>
      <c r="J8519" t="s">
        <v>278</v>
      </c>
      <c r="K8519">
        <v>57</v>
      </c>
      <c r="L8519">
        <v>11.58</v>
      </c>
      <c r="M8519">
        <v>56568</v>
      </c>
      <c r="N8519" t="s">
        <v>354</v>
      </c>
      <c r="O8519">
        <v>250220</v>
      </c>
      <c r="P8519">
        <v>45.42</v>
      </c>
    </row>
    <row r="8520" spans="1:16" x14ac:dyDescent="0.25">
      <c r="A8520" t="s">
        <v>3296</v>
      </c>
      <c r="B8520" t="s">
        <v>2931</v>
      </c>
      <c r="C8520">
        <v>2512</v>
      </c>
      <c r="D8520" t="str">
        <f>"1354295     "</f>
        <v xml:space="preserve">1354295     </v>
      </c>
      <c r="E8520" t="s">
        <v>353</v>
      </c>
      <c r="F8520" t="s">
        <v>355</v>
      </c>
      <c r="G8520">
        <v>30.45</v>
      </c>
      <c r="H8520">
        <v>250226</v>
      </c>
      <c r="I8520">
        <v>4600</v>
      </c>
      <c r="J8520" t="s">
        <v>278</v>
      </c>
      <c r="K8520">
        <v>30.45</v>
      </c>
      <c r="L8520">
        <v>6.19</v>
      </c>
      <c r="M8520">
        <v>56568</v>
      </c>
      <c r="N8520" t="s">
        <v>354</v>
      </c>
      <c r="O8520">
        <v>250303</v>
      </c>
      <c r="P8520">
        <v>24.26</v>
      </c>
    </row>
    <row r="8521" spans="1:16" x14ac:dyDescent="0.25">
      <c r="A8521" t="s">
        <v>3296</v>
      </c>
      <c r="B8521" t="s">
        <v>2931</v>
      </c>
      <c r="C8521">
        <v>2513</v>
      </c>
      <c r="D8521" t="str">
        <f>"1354308     "</f>
        <v xml:space="preserve">1354308     </v>
      </c>
      <c r="E8521" t="s">
        <v>353</v>
      </c>
      <c r="F8521" t="s">
        <v>355</v>
      </c>
      <c r="G8521">
        <v>34.71</v>
      </c>
      <c r="H8521">
        <v>250226</v>
      </c>
      <c r="I8521">
        <v>4600</v>
      </c>
      <c r="J8521" t="s">
        <v>278</v>
      </c>
      <c r="K8521">
        <v>34.71</v>
      </c>
      <c r="L8521">
        <v>7.05</v>
      </c>
      <c r="M8521">
        <v>56568</v>
      </c>
      <c r="N8521" t="s">
        <v>354</v>
      </c>
      <c r="O8521">
        <v>250303</v>
      </c>
      <c r="P8521">
        <v>27.66</v>
      </c>
    </row>
    <row r="8522" spans="1:16" x14ac:dyDescent="0.25">
      <c r="A8522" t="s">
        <v>3296</v>
      </c>
      <c r="B8522" t="s">
        <v>2931</v>
      </c>
      <c r="C8522">
        <v>2514</v>
      </c>
      <c r="D8522" t="str">
        <f>"1354314     "</f>
        <v xml:space="preserve">1354314     </v>
      </c>
      <c r="E8522" t="s">
        <v>353</v>
      </c>
      <c r="F8522" t="s">
        <v>355</v>
      </c>
      <c r="G8522">
        <v>26.64</v>
      </c>
      <c r="H8522">
        <v>250226</v>
      </c>
      <c r="I8522">
        <v>4600</v>
      </c>
      <c r="J8522" t="s">
        <v>278</v>
      </c>
      <c r="K8522">
        <v>26.64</v>
      </c>
      <c r="L8522">
        <v>5.41</v>
      </c>
      <c r="M8522">
        <v>56568</v>
      </c>
      <c r="N8522" t="s">
        <v>354</v>
      </c>
      <c r="O8522">
        <v>250303</v>
      </c>
      <c r="P8522">
        <v>21.23</v>
      </c>
    </row>
    <row r="8523" spans="1:16" x14ac:dyDescent="0.25">
      <c r="A8523" t="s">
        <v>3296</v>
      </c>
      <c r="B8523" t="s">
        <v>2931</v>
      </c>
      <c r="C8523">
        <v>2515</v>
      </c>
      <c r="D8523" t="str">
        <f>"1354294     "</f>
        <v xml:space="preserve">1354294     </v>
      </c>
      <c r="E8523" t="s">
        <v>353</v>
      </c>
      <c r="F8523" t="s">
        <v>355</v>
      </c>
      <c r="G8523">
        <v>153.72999999999999</v>
      </c>
      <c r="H8523">
        <v>250226</v>
      </c>
      <c r="I8523">
        <v>4600</v>
      </c>
      <c r="J8523" t="s">
        <v>278</v>
      </c>
      <c r="K8523">
        <v>153.72999999999999</v>
      </c>
      <c r="L8523">
        <v>31.24</v>
      </c>
      <c r="M8523">
        <v>56568</v>
      </c>
      <c r="N8523" t="s">
        <v>354</v>
      </c>
      <c r="O8523">
        <v>250303</v>
      </c>
      <c r="P8523">
        <v>122.49</v>
      </c>
    </row>
    <row r="8524" spans="1:16" x14ac:dyDescent="0.25">
      <c r="A8524" t="s">
        <v>3296</v>
      </c>
      <c r="B8524" t="s">
        <v>2931</v>
      </c>
      <c r="C8524">
        <v>2516</v>
      </c>
      <c r="D8524" t="str">
        <f>"1354325     "</f>
        <v xml:space="preserve">1354325     </v>
      </c>
      <c r="E8524" t="s">
        <v>353</v>
      </c>
      <c r="F8524" t="s">
        <v>355</v>
      </c>
      <c r="G8524">
        <v>74.39</v>
      </c>
      <c r="H8524">
        <v>250226</v>
      </c>
      <c r="I8524">
        <v>4600</v>
      </c>
      <c r="J8524" t="s">
        <v>278</v>
      </c>
      <c r="K8524">
        <v>74.39</v>
      </c>
      <c r="L8524">
        <v>15.12</v>
      </c>
      <c r="M8524">
        <v>56568</v>
      </c>
      <c r="N8524" t="s">
        <v>354</v>
      </c>
      <c r="O8524">
        <v>250303</v>
      </c>
      <c r="P8524">
        <v>59.27</v>
      </c>
    </row>
    <row r="8525" spans="1:16" x14ac:dyDescent="0.25">
      <c r="A8525" t="s">
        <v>3296</v>
      </c>
      <c r="B8525" t="s">
        <v>2931</v>
      </c>
      <c r="C8525">
        <v>2517</v>
      </c>
      <c r="D8525" t="str">
        <f>"1354328     "</f>
        <v xml:space="preserve">1354328     </v>
      </c>
      <c r="E8525" t="s">
        <v>353</v>
      </c>
      <c r="F8525" t="s">
        <v>355</v>
      </c>
      <c r="G8525">
        <v>-4.34</v>
      </c>
      <c r="H8525">
        <v>250226</v>
      </c>
      <c r="I8525">
        <v>4600</v>
      </c>
      <c r="J8525" t="s">
        <v>278</v>
      </c>
      <c r="K8525">
        <v>-4.34</v>
      </c>
      <c r="L8525">
        <v>-0.88</v>
      </c>
      <c r="M8525">
        <v>56568</v>
      </c>
      <c r="N8525" t="s">
        <v>354</v>
      </c>
      <c r="O8525">
        <v>250303</v>
      </c>
      <c r="P8525">
        <v>-3.46</v>
      </c>
    </row>
    <row r="8526" spans="1:16" x14ac:dyDescent="0.25">
      <c r="A8526" t="s">
        <v>3296</v>
      </c>
      <c r="B8526" t="s">
        <v>2931</v>
      </c>
      <c r="C8526">
        <v>2518</v>
      </c>
      <c r="D8526" t="str">
        <f>"1354317     "</f>
        <v xml:space="preserve">1354317     </v>
      </c>
      <c r="E8526" t="s">
        <v>353</v>
      </c>
      <c r="F8526" t="s">
        <v>355</v>
      </c>
      <c r="G8526">
        <v>75.3</v>
      </c>
      <c r="H8526">
        <v>250226</v>
      </c>
      <c r="I8526">
        <v>4600</v>
      </c>
      <c r="J8526" t="s">
        <v>278</v>
      </c>
      <c r="K8526">
        <v>75.3</v>
      </c>
      <c r="L8526">
        <v>15.3</v>
      </c>
      <c r="M8526">
        <v>56568</v>
      </c>
      <c r="N8526" t="s">
        <v>354</v>
      </c>
      <c r="O8526">
        <v>250303</v>
      </c>
      <c r="P8526">
        <v>60</v>
      </c>
    </row>
    <row r="8527" spans="1:16" x14ac:dyDescent="0.25">
      <c r="A8527" t="s">
        <v>3296</v>
      </c>
      <c r="B8527" t="s">
        <v>2931</v>
      </c>
      <c r="C8527">
        <v>2519</v>
      </c>
      <c r="D8527" t="str">
        <f>"1354299     "</f>
        <v xml:space="preserve">1354299     </v>
      </c>
      <c r="E8527" t="s">
        <v>353</v>
      </c>
      <c r="F8527" t="s">
        <v>355</v>
      </c>
      <c r="G8527">
        <v>-30.45</v>
      </c>
      <c r="H8527">
        <v>250226</v>
      </c>
      <c r="I8527">
        <v>4600</v>
      </c>
      <c r="J8527" t="s">
        <v>278</v>
      </c>
      <c r="K8527">
        <v>-30.45</v>
      </c>
      <c r="L8527">
        <v>-6.19</v>
      </c>
      <c r="M8527">
        <v>56568</v>
      </c>
      <c r="N8527" t="s">
        <v>354</v>
      </c>
      <c r="O8527">
        <v>250303</v>
      </c>
      <c r="P8527">
        <v>-24.26</v>
      </c>
    </row>
    <row r="8528" spans="1:16" x14ac:dyDescent="0.25">
      <c r="A8528" t="s">
        <v>3296</v>
      </c>
      <c r="B8528" t="s">
        <v>2931</v>
      </c>
      <c r="C8528">
        <v>2520</v>
      </c>
      <c r="D8528" t="str">
        <f>"1354322     "</f>
        <v xml:space="preserve">1354322     </v>
      </c>
      <c r="E8528" t="s">
        <v>353</v>
      </c>
      <c r="F8528" t="s">
        <v>355</v>
      </c>
      <c r="G8528">
        <v>-28.52</v>
      </c>
      <c r="H8528">
        <v>250226</v>
      </c>
      <c r="I8528">
        <v>4600</v>
      </c>
      <c r="J8528" t="s">
        <v>278</v>
      </c>
      <c r="K8528">
        <v>-28.52</v>
      </c>
      <c r="L8528">
        <v>-5.79</v>
      </c>
      <c r="M8528">
        <v>56568</v>
      </c>
      <c r="N8528" t="s">
        <v>354</v>
      </c>
      <c r="O8528">
        <v>250303</v>
      </c>
      <c r="P8528">
        <v>-22.73</v>
      </c>
    </row>
    <row r="8529" spans="1:16" x14ac:dyDescent="0.25">
      <c r="A8529" t="s">
        <v>3296</v>
      </c>
      <c r="B8529" t="s">
        <v>2931</v>
      </c>
      <c r="C8529">
        <v>2521</v>
      </c>
      <c r="D8529" t="str">
        <f>"1354297     "</f>
        <v xml:space="preserve">1354297     </v>
      </c>
      <c r="E8529" t="s">
        <v>353</v>
      </c>
      <c r="F8529" t="s">
        <v>355</v>
      </c>
      <c r="G8529">
        <v>11.39</v>
      </c>
      <c r="H8529">
        <v>250226</v>
      </c>
      <c r="I8529">
        <v>4600</v>
      </c>
      <c r="J8529" t="s">
        <v>278</v>
      </c>
      <c r="K8529">
        <v>11.39</v>
      </c>
      <c r="L8529">
        <v>2.31</v>
      </c>
      <c r="M8529">
        <v>56568</v>
      </c>
      <c r="N8529" t="s">
        <v>354</v>
      </c>
      <c r="O8529">
        <v>250303</v>
      </c>
      <c r="P8529">
        <v>9.08</v>
      </c>
    </row>
    <row r="8530" spans="1:16" x14ac:dyDescent="0.25">
      <c r="A8530" t="s">
        <v>3296</v>
      </c>
      <c r="B8530" t="s">
        <v>2931</v>
      </c>
      <c r="C8530">
        <v>2522</v>
      </c>
      <c r="D8530" t="str">
        <f>"1354321     "</f>
        <v xml:space="preserve">1354321     </v>
      </c>
      <c r="E8530" t="s">
        <v>353</v>
      </c>
      <c r="F8530" t="s">
        <v>355</v>
      </c>
      <c r="G8530">
        <v>38.44</v>
      </c>
      <c r="H8530">
        <v>250226</v>
      </c>
      <c r="I8530">
        <v>4600</v>
      </c>
      <c r="J8530" t="s">
        <v>278</v>
      </c>
      <c r="K8530">
        <v>38.44</v>
      </c>
      <c r="L8530">
        <v>7.81</v>
      </c>
      <c r="M8530">
        <v>56568</v>
      </c>
      <c r="N8530" t="s">
        <v>354</v>
      </c>
      <c r="O8530">
        <v>250303</v>
      </c>
      <c r="P8530">
        <v>30.63</v>
      </c>
    </row>
    <row r="8531" spans="1:16" x14ac:dyDescent="0.25">
      <c r="A8531" t="s">
        <v>3296</v>
      </c>
      <c r="B8531" t="s">
        <v>2931</v>
      </c>
      <c r="C8531">
        <v>2524</v>
      </c>
      <c r="D8531" t="str">
        <f>"1354319     "</f>
        <v xml:space="preserve">1354319     </v>
      </c>
      <c r="E8531" t="s">
        <v>353</v>
      </c>
      <c r="F8531" t="s">
        <v>355</v>
      </c>
      <c r="G8531">
        <v>37.270000000000003</v>
      </c>
      <c r="H8531">
        <v>250226</v>
      </c>
      <c r="I8531">
        <v>4600</v>
      </c>
      <c r="J8531" t="s">
        <v>278</v>
      </c>
      <c r="K8531">
        <v>37.270000000000003</v>
      </c>
      <c r="L8531">
        <v>7.57</v>
      </c>
      <c r="M8531">
        <v>56568</v>
      </c>
      <c r="N8531" t="s">
        <v>354</v>
      </c>
      <c r="O8531">
        <v>250303</v>
      </c>
      <c r="P8531">
        <v>29.7</v>
      </c>
    </row>
    <row r="8532" spans="1:16" x14ac:dyDescent="0.25">
      <c r="A8532" t="s">
        <v>3296</v>
      </c>
      <c r="B8532" t="s">
        <v>2931</v>
      </c>
      <c r="C8532">
        <v>2558</v>
      </c>
      <c r="D8532" t="str">
        <f>"1354323     "</f>
        <v xml:space="preserve">1354323     </v>
      </c>
      <c r="E8532" t="s">
        <v>353</v>
      </c>
      <c r="F8532" t="s">
        <v>355</v>
      </c>
      <c r="G8532">
        <v>-12.5</v>
      </c>
      <c r="H8532">
        <v>250226</v>
      </c>
      <c r="I8532">
        <v>4600</v>
      </c>
      <c r="J8532" t="s">
        <v>278</v>
      </c>
      <c r="K8532">
        <v>-12.5</v>
      </c>
      <c r="L8532">
        <v>-2.54</v>
      </c>
      <c r="M8532">
        <v>56568</v>
      </c>
      <c r="N8532" t="s">
        <v>354</v>
      </c>
      <c r="O8532">
        <v>250305</v>
      </c>
      <c r="P8532">
        <v>-9.9600000000000009</v>
      </c>
    </row>
    <row r="8533" spans="1:16" x14ac:dyDescent="0.25">
      <c r="A8533" t="s">
        <v>3296</v>
      </c>
      <c r="B8533" t="s">
        <v>2931</v>
      </c>
      <c r="C8533">
        <v>2560</v>
      </c>
      <c r="D8533" t="str">
        <f>"1354326     "</f>
        <v xml:space="preserve">1354326     </v>
      </c>
      <c r="E8533" t="s">
        <v>353</v>
      </c>
      <c r="F8533" t="s">
        <v>355</v>
      </c>
      <c r="G8533">
        <v>-14.26</v>
      </c>
      <c r="H8533">
        <v>250226</v>
      </c>
      <c r="I8533">
        <v>4600</v>
      </c>
      <c r="J8533" t="s">
        <v>278</v>
      </c>
      <c r="K8533">
        <v>-14.26</v>
      </c>
      <c r="L8533">
        <v>-2.9</v>
      </c>
      <c r="M8533">
        <v>56568</v>
      </c>
      <c r="N8533" t="s">
        <v>354</v>
      </c>
      <c r="O8533">
        <v>250305</v>
      </c>
      <c r="P8533">
        <v>-11.36</v>
      </c>
    </row>
    <row r="8534" spans="1:16" x14ac:dyDescent="0.25">
      <c r="A8534" t="s">
        <v>3296</v>
      </c>
      <c r="B8534" t="s">
        <v>2931</v>
      </c>
      <c r="C8534">
        <v>2564</v>
      </c>
      <c r="D8534" t="str">
        <f>"1354300     "</f>
        <v xml:space="preserve">1354300     </v>
      </c>
      <c r="E8534" t="s">
        <v>353</v>
      </c>
      <c r="F8534" t="s">
        <v>355</v>
      </c>
      <c r="G8534">
        <v>-82</v>
      </c>
      <c r="H8534">
        <v>250226</v>
      </c>
      <c r="I8534">
        <v>4600</v>
      </c>
      <c r="J8534" t="s">
        <v>278</v>
      </c>
      <c r="K8534">
        <v>-82</v>
      </c>
      <c r="L8534">
        <v>-16.66</v>
      </c>
      <c r="M8534">
        <v>56568</v>
      </c>
      <c r="N8534" t="s">
        <v>354</v>
      </c>
      <c r="O8534">
        <v>250305</v>
      </c>
      <c r="P8534">
        <v>-65.34</v>
      </c>
    </row>
    <row r="8535" spans="1:16" x14ac:dyDescent="0.25">
      <c r="A8535" t="s">
        <v>3296</v>
      </c>
      <c r="B8535" t="s">
        <v>2931</v>
      </c>
      <c r="C8535">
        <v>2565</v>
      </c>
      <c r="D8535" t="str">
        <f>"1354327     "</f>
        <v xml:space="preserve">1354327     </v>
      </c>
      <c r="E8535" t="s">
        <v>353</v>
      </c>
      <c r="F8535" t="s">
        <v>355</v>
      </c>
      <c r="G8535">
        <v>-85.34</v>
      </c>
      <c r="H8535">
        <v>250226</v>
      </c>
      <c r="I8535">
        <v>4600</v>
      </c>
      <c r="J8535" t="s">
        <v>278</v>
      </c>
      <c r="K8535">
        <v>-85.34</v>
      </c>
      <c r="L8535">
        <v>-17.34</v>
      </c>
      <c r="M8535">
        <v>56568</v>
      </c>
      <c r="N8535" t="s">
        <v>354</v>
      </c>
      <c r="O8535">
        <v>250305</v>
      </c>
      <c r="P8535">
        <v>-68</v>
      </c>
    </row>
    <row r="8536" spans="1:16" x14ac:dyDescent="0.25">
      <c r="A8536" t="s">
        <v>3296</v>
      </c>
      <c r="B8536" t="s">
        <v>2931</v>
      </c>
      <c r="C8536">
        <v>2575</v>
      </c>
      <c r="D8536" t="str">
        <f>"1354332     "</f>
        <v xml:space="preserve">1354332     </v>
      </c>
      <c r="E8536" t="s">
        <v>353</v>
      </c>
      <c r="F8536" t="s">
        <v>355</v>
      </c>
      <c r="G8536">
        <v>-43.5</v>
      </c>
      <c r="H8536">
        <v>250226</v>
      </c>
      <c r="I8536">
        <v>4600</v>
      </c>
      <c r="J8536" t="s">
        <v>278</v>
      </c>
      <c r="K8536">
        <v>-43.5</v>
      </c>
      <c r="L8536">
        <v>-8.84</v>
      </c>
      <c r="M8536">
        <v>56568</v>
      </c>
      <c r="N8536" t="s">
        <v>354</v>
      </c>
      <c r="O8536">
        <v>250306</v>
      </c>
      <c r="P8536">
        <v>-34.659999999999997</v>
      </c>
    </row>
    <row r="8537" spans="1:16" x14ac:dyDescent="0.25">
      <c r="A8537" t="s">
        <v>3296</v>
      </c>
      <c r="B8537" t="s">
        <v>2931</v>
      </c>
      <c r="C8537">
        <v>2666</v>
      </c>
      <c r="D8537" t="str">
        <f>"1354331     "</f>
        <v xml:space="preserve">1354331     </v>
      </c>
      <c r="E8537" t="s">
        <v>353</v>
      </c>
      <c r="F8537" t="s">
        <v>355</v>
      </c>
      <c r="G8537">
        <v>66.23</v>
      </c>
      <c r="H8537">
        <v>250226</v>
      </c>
      <c r="I8537">
        <v>4600</v>
      </c>
      <c r="J8537" t="s">
        <v>278</v>
      </c>
      <c r="K8537">
        <v>66.23</v>
      </c>
      <c r="L8537">
        <v>13.46</v>
      </c>
      <c r="M8537">
        <v>56568</v>
      </c>
      <c r="N8537" t="s">
        <v>354</v>
      </c>
      <c r="O8537">
        <v>250310</v>
      </c>
      <c r="P8537">
        <v>52.77</v>
      </c>
    </row>
    <row r="8538" spans="1:16" x14ac:dyDescent="0.25">
      <c r="A8538" t="s">
        <v>3296</v>
      </c>
      <c r="B8538" t="s">
        <v>2931</v>
      </c>
      <c r="C8538">
        <v>2668</v>
      </c>
      <c r="D8538" t="str">
        <f>"1354306     "</f>
        <v xml:space="preserve">1354306     </v>
      </c>
      <c r="E8538" t="s">
        <v>353</v>
      </c>
      <c r="F8538" t="s">
        <v>355</v>
      </c>
      <c r="G8538">
        <v>31.56</v>
      </c>
      <c r="H8538">
        <v>250226</v>
      </c>
      <c r="I8538">
        <v>4600</v>
      </c>
      <c r="J8538" t="s">
        <v>278</v>
      </c>
      <c r="K8538">
        <v>31.56</v>
      </c>
      <c r="L8538">
        <v>6.41</v>
      </c>
      <c r="M8538">
        <v>56568</v>
      </c>
      <c r="N8538" t="s">
        <v>354</v>
      </c>
      <c r="O8538">
        <v>250310</v>
      </c>
      <c r="P8538">
        <v>25.15</v>
      </c>
    </row>
    <row r="8539" spans="1:16" x14ac:dyDescent="0.25">
      <c r="A8539" t="s">
        <v>3296</v>
      </c>
      <c r="B8539" t="s">
        <v>2931</v>
      </c>
      <c r="C8539">
        <v>2669</v>
      </c>
      <c r="D8539" t="str">
        <f>"1354335     "</f>
        <v xml:space="preserve">1354335     </v>
      </c>
      <c r="E8539" t="s">
        <v>353</v>
      </c>
      <c r="F8539" t="s">
        <v>355</v>
      </c>
      <c r="G8539">
        <v>30.38</v>
      </c>
      <c r="H8539">
        <v>250226</v>
      </c>
      <c r="I8539">
        <v>4600</v>
      </c>
      <c r="J8539" t="s">
        <v>278</v>
      </c>
      <c r="K8539">
        <v>30.38</v>
      </c>
      <c r="L8539">
        <v>6.17</v>
      </c>
      <c r="M8539">
        <v>67522</v>
      </c>
      <c r="N8539" t="s">
        <v>121</v>
      </c>
      <c r="O8539">
        <v>250310</v>
      </c>
      <c r="P8539">
        <v>24.21</v>
      </c>
    </row>
    <row r="8540" spans="1:16" x14ac:dyDescent="0.25">
      <c r="A8540" t="s">
        <v>3296</v>
      </c>
      <c r="B8540" t="s">
        <v>2931</v>
      </c>
      <c r="C8540">
        <v>2671</v>
      </c>
      <c r="D8540" t="str">
        <f>"1354330     "</f>
        <v xml:space="preserve">1354330     </v>
      </c>
      <c r="E8540" t="s">
        <v>353</v>
      </c>
      <c r="F8540" t="s">
        <v>355</v>
      </c>
      <c r="G8540">
        <v>72.040000000000006</v>
      </c>
      <c r="H8540">
        <v>250226</v>
      </c>
      <c r="I8540">
        <v>4600</v>
      </c>
      <c r="J8540" t="s">
        <v>278</v>
      </c>
      <c r="K8540">
        <v>72.040000000000006</v>
      </c>
      <c r="L8540">
        <v>14.64</v>
      </c>
      <c r="M8540">
        <v>56565</v>
      </c>
      <c r="N8540" t="s">
        <v>57</v>
      </c>
      <c r="O8540">
        <v>250310</v>
      </c>
      <c r="P8540">
        <v>57.4</v>
      </c>
    </row>
    <row r="8541" spans="1:16" x14ac:dyDescent="0.25">
      <c r="A8541" t="s">
        <v>3296</v>
      </c>
      <c r="B8541" t="s">
        <v>2931</v>
      </c>
      <c r="C8541">
        <v>2672</v>
      </c>
      <c r="D8541" t="str">
        <f>"1354309     "</f>
        <v xml:space="preserve">1354309     </v>
      </c>
      <c r="E8541" t="s">
        <v>353</v>
      </c>
      <c r="F8541" t="s">
        <v>355</v>
      </c>
      <c r="G8541">
        <v>25.92</v>
      </c>
      <c r="H8541">
        <v>250226</v>
      </c>
      <c r="I8541">
        <v>4600</v>
      </c>
      <c r="J8541" t="s">
        <v>278</v>
      </c>
      <c r="K8541">
        <v>25.92</v>
      </c>
      <c r="L8541">
        <v>5.27</v>
      </c>
      <c r="M8541">
        <v>56568</v>
      </c>
      <c r="N8541" t="s">
        <v>354</v>
      </c>
      <c r="O8541">
        <v>250310</v>
      </c>
      <c r="P8541">
        <v>20.65</v>
      </c>
    </row>
    <row r="8542" spans="1:16" x14ac:dyDescent="0.25">
      <c r="A8542" t="s">
        <v>3296</v>
      </c>
      <c r="B8542" t="s">
        <v>2931</v>
      </c>
      <c r="C8542">
        <v>2674</v>
      </c>
      <c r="D8542" t="str">
        <f>"1354315     "</f>
        <v xml:space="preserve">1354315     </v>
      </c>
      <c r="E8542" t="s">
        <v>353</v>
      </c>
      <c r="F8542" t="s">
        <v>355</v>
      </c>
      <c r="G8542">
        <v>18.739999999999998</v>
      </c>
      <c r="H8542">
        <v>250226</v>
      </c>
      <c r="I8542">
        <v>4600</v>
      </c>
      <c r="J8542" t="s">
        <v>278</v>
      </c>
      <c r="K8542">
        <v>18.739999999999998</v>
      </c>
      <c r="L8542">
        <v>3.81</v>
      </c>
      <c r="M8542">
        <v>56568</v>
      </c>
      <c r="N8542" t="s">
        <v>354</v>
      </c>
      <c r="O8542">
        <v>250310</v>
      </c>
      <c r="P8542">
        <v>14.93</v>
      </c>
    </row>
    <row r="8543" spans="1:16" x14ac:dyDescent="0.25">
      <c r="A8543" t="s">
        <v>3296</v>
      </c>
      <c r="B8543" t="s">
        <v>2931</v>
      </c>
      <c r="C8543">
        <v>2680</v>
      </c>
      <c r="D8543" t="str">
        <f>"1354301     "</f>
        <v xml:space="preserve">1354301     </v>
      </c>
      <c r="E8543" t="s">
        <v>353</v>
      </c>
      <c r="F8543" t="s">
        <v>355</v>
      </c>
      <c r="G8543">
        <v>165.6</v>
      </c>
      <c r="H8543">
        <v>250226</v>
      </c>
      <c r="I8543">
        <v>4600</v>
      </c>
      <c r="J8543" t="s">
        <v>278</v>
      </c>
      <c r="K8543">
        <v>165.6</v>
      </c>
      <c r="L8543">
        <v>33.65</v>
      </c>
      <c r="M8543">
        <v>56568</v>
      </c>
      <c r="N8543" t="s">
        <v>354</v>
      </c>
      <c r="O8543">
        <v>250311</v>
      </c>
      <c r="P8543">
        <v>131.94999999999999</v>
      </c>
    </row>
    <row r="8544" spans="1:16" x14ac:dyDescent="0.25">
      <c r="A8544" t="s">
        <v>3296</v>
      </c>
      <c r="B8544" t="s">
        <v>2931</v>
      </c>
      <c r="C8544">
        <v>2682</v>
      </c>
      <c r="D8544" t="str">
        <f>"1354312     "</f>
        <v xml:space="preserve">1354312     </v>
      </c>
      <c r="E8544" t="s">
        <v>353</v>
      </c>
      <c r="F8544" t="s">
        <v>355</v>
      </c>
      <c r="G8544">
        <v>13.16</v>
      </c>
      <c r="H8544">
        <v>250226</v>
      </c>
      <c r="I8544">
        <v>4600</v>
      </c>
      <c r="J8544" t="s">
        <v>278</v>
      </c>
      <c r="K8544">
        <v>13.16</v>
      </c>
      <c r="L8544">
        <v>2.67</v>
      </c>
      <c r="M8544">
        <v>56568</v>
      </c>
      <c r="N8544" t="s">
        <v>354</v>
      </c>
      <c r="O8544">
        <v>250311</v>
      </c>
      <c r="P8544">
        <v>10.49</v>
      </c>
    </row>
    <row r="8545" spans="1:16" x14ac:dyDescent="0.25">
      <c r="A8545" t="s">
        <v>3296</v>
      </c>
      <c r="B8545" t="s">
        <v>2931</v>
      </c>
      <c r="C8545">
        <v>2684</v>
      </c>
      <c r="D8545" t="str">
        <f>"1354310     "</f>
        <v xml:space="preserve">1354310     </v>
      </c>
      <c r="E8545" t="s">
        <v>353</v>
      </c>
      <c r="F8545" t="s">
        <v>355</v>
      </c>
      <c r="G8545">
        <v>68.84</v>
      </c>
      <c r="H8545">
        <v>250226</v>
      </c>
      <c r="I8545">
        <v>4600</v>
      </c>
      <c r="J8545" t="s">
        <v>278</v>
      </c>
      <c r="K8545">
        <v>68.84</v>
      </c>
      <c r="L8545">
        <v>13.99</v>
      </c>
      <c r="M8545">
        <v>56568</v>
      </c>
      <c r="N8545" t="s">
        <v>354</v>
      </c>
      <c r="O8545">
        <v>250311</v>
      </c>
      <c r="P8545">
        <v>54.85</v>
      </c>
    </row>
    <row r="8546" spans="1:16" x14ac:dyDescent="0.25">
      <c r="A8546" t="s">
        <v>3296</v>
      </c>
      <c r="B8546" t="s">
        <v>2931</v>
      </c>
      <c r="C8546">
        <v>2687</v>
      </c>
      <c r="D8546" t="str">
        <f>"1354305     "</f>
        <v xml:space="preserve">1354305     </v>
      </c>
      <c r="E8546" t="s">
        <v>353</v>
      </c>
      <c r="F8546" t="s">
        <v>355</v>
      </c>
      <c r="G8546">
        <v>135.32</v>
      </c>
      <c r="H8546">
        <v>250226</v>
      </c>
      <c r="I8546">
        <v>4600</v>
      </c>
      <c r="J8546" t="s">
        <v>278</v>
      </c>
      <c r="K8546">
        <v>135.32</v>
      </c>
      <c r="L8546">
        <v>27.5</v>
      </c>
      <c r="M8546">
        <v>56568</v>
      </c>
      <c r="N8546" t="s">
        <v>354</v>
      </c>
      <c r="O8546">
        <v>250311</v>
      </c>
      <c r="P8546">
        <v>107.82</v>
      </c>
    </row>
    <row r="8547" spans="1:16" x14ac:dyDescent="0.25">
      <c r="A8547" t="s">
        <v>3296</v>
      </c>
      <c r="B8547" t="s">
        <v>2931</v>
      </c>
      <c r="C8547">
        <v>2688</v>
      </c>
      <c r="D8547" t="str">
        <f>"1354298     "</f>
        <v xml:space="preserve">1354298     </v>
      </c>
      <c r="E8547" t="s">
        <v>353</v>
      </c>
      <c r="F8547" t="s">
        <v>355</v>
      </c>
      <c r="G8547">
        <v>24.17</v>
      </c>
      <c r="H8547">
        <v>250226</v>
      </c>
      <c r="I8547">
        <v>4600</v>
      </c>
      <c r="J8547" t="s">
        <v>278</v>
      </c>
      <c r="K8547">
        <v>24.17</v>
      </c>
      <c r="L8547">
        <v>4.91</v>
      </c>
      <c r="M8547">
        <v>56568</v>
      </c>
      <c r="N8547" t="s">
        <v>354</v>
      </c>
      <c r="O8547">
        <v>250311</v>
      </c>
      <c r="P8547">
        <v>19.260000000000002</v>
      </c>
    </row>
    <row r="8548" spans="1:16" x14ac:dyDescent="0.25">
      <c r="A8548" t="s">
        <v>3296</v>
      </c>
      <c r="B8548" t="s">
        <v>2931</v>
      </c>
      <c r="C8548">
        <v>2689</v>
      </c>
      <c r="D8548" t="str">
        <f>"1354324     "</f>
        <v xml:space="preserve">1354324     </v>
      </c>
      <c r="E8548" t="s">
        <v>353</v>
      </c>
      <c r="F8548" t="s">
        <v>355</v>
      </c>
      <c r="G8548">
        <v>17.47</v>
      </c>
      <c r="H8548">
        <v>250226</v>
      </c>
      <c r="I8548">
        <v>4600</v>
      </c>
      <c r="J8548" t="s">
        <v>278</v>
      </c>
      <c r="K8548">
        <v>17.47</v>
      </c>
      <c r="L8548">
        <v>3.55</v>
      </c>
      <c r="M8548">
        <v>56568</v>
      </c>
      <c r="N8548" t="s">
        <v>354</v>
      </c>
      <c r="O8548">
        <v>250311</v>
      </c>
      <c r="P8548">
        <v>13.92</v>
      </c>
    </row>
    <row r="8549" spans="1:16" x14ac:dyDescent="0.25">
      <c r="A8549" t="s">
        <v>3296</v>
      </c>
      <c r="B8549" t="s">
        <v>2931</v>
      </c>
      <c r="C8549">
        <v>2690</v>
      </c>
      <c r="D8549" t="str">
        <f>"1354311     "</f>
        <v xml:space="preserve">1354311     </v>
      </c>
      <c r="E8549" t="s">
        <v>353</v>
      </c>
      <c r="F8549" t="s">
        <v>355</v>
      </c>
      <c r="G8549">
        <v>18.53</v>
      </c>
      <c r="H8549">
        <v>250226</v>
      </c>
      <c r="I8549">
        <v>4600</v>
      </c>
      <c r="J8549" t="s">
        <v>278</v>
      </c>
      <c r="K8549">
        <v>18.53</v>
      </c>
      <c r="L8549">
        <v>3.77</v>
      </c>
      <c r="M8549">
        <v>56568</v>
      </c>
      <c r="N8549" t="s">
        <v>354</v>
      </c>
      <c r="O8549">
        <v>250311</v>
      </c>
      <c r="P8549">
        <v>14.76</v>
      </c>
    </row>
    <row r="8550" spans="1:16" x14ac:dyDescent="0.25">
      <c r="A8550" t="s">
        <v>3296</v>
      </c>
      <c r="B8550" t="s">
        <v>2931</v>
      </c>
      <c r="C8550">
        <v>2694</v>
      </c>
      <c r="D8550" t="str">
        <f>"1354316     "</f>
        <v xml:space="preserve">1354316     </v>
      </c>
      <c r="E8550" t="s">
        <v>353</v>
      </c>
      <c r="F8550" t="s">
        <v>355</v>
      </c>
      <c r="G8550">
        <v>61.95</v>
      </c>
      <c r="H8550">
        <v>250226</v>
      </c>
      <c r="I8550">
        <v>4600</v>
      </c>
      <c r="J8550" t="s">
        <v>278</v>
      </c>
      <c r="K8550">
        <v>61.95</v>
      </c>
      <c r="L8550">
        <v>12.59</v>
      </c>
      <c r="M8550">
        <v>56568</v>
      </c>
      <c r="N8550" t="s">
        <v>354</v>
      </c>
      <c r="O8550">
        <v>250311</v>
      </c>
      <c r="P8550">
        <v>49.36</v>
      </c>
    </row>
    <row r="8551" spans="1:16" x14ac:dyDescent="0.25">
      <c r="A8551" t="s">
        <v>3296</v>
      </c>
      <c r="B8551" t="s">
        <v>2931</v>
      </c>
      <c r="C8551">
        <v>2698</v>
      </c>
      <c r="D8551" t="str">
        <f>"1354304     "</f>
        <v xml:space="preserve">1354304     </v>
      </c>
      <c r="E8551" t="s">
        <v>353</v>
      </c>
      <c r="F8551" t="s">
        <v>355</v>
      </c>
      <c r="G8551">
        <v>19.93</v>
      </c>
      <c r="H8551">
        <v>250226</v>
      </c>
      <c r="I8551">
        <v>4600</v>
      </c>
      <c r="J8551" t="s">
        <v>278</v>
      </c>
      <c r="K8551">
        <v>19.93</v>
      </c>
      <c r="L8551">
        <v>4.05</v>
      </c>
      <c r="M8551">
        <v>56568</v>
      </c>
      <c r="N8551" t="s">
        <v>354</v>
      </c>
      <c r="O8551">
        <v>250311</v>
      </c>
      <c r="P8551">
        <v>15.88</v>
      </c>
    </row>
    <row r="8552" spans="1:16" x14ac:dyDescent="0.25">
      <c r="A8552" t="s">
        <v>3296</v>
      </c>
      <c r="B8552" t="s">
        <v>2931</v>
      </c>
      <c r="C8552">
        <v>2703</v>
      </c>
      <c r="D8552" t="str">
        <f>"1354320     "</f>
        <v xml:space="preserve">1354320     </v>
      </c>
      <c r="E8552" t="s">
        <v>353</v>
      </c>
      <c r="F8552" t="s">
        <v>355</v>
      </c>
      <c r="G8552">
        <v>43.5</v>
      </c>
      <c r="H8552">
        <v>250226</v>
      </c>
      <c r="I8552">
        <v>4600</v>
      </c>
      <c r="J8552" t="s">
        <v>278</v>
      </c>
      <c r="K8552">
        <v>43.5</v>
      </c>
      <c r="L8552">
        <v>8.84</v>
      </c>
      <c r="M8552">
        <v>56568</v>
      </c>
      <c r="N8552" t="s">
        <v>354</v>
      </c>
      <c r="O8552">
        <v>250311</v>
      </c>
      <c r="P8552">
        <v>34.659999999999997</v>
      </c>
    </row>
    <row r="8553" spans="1:16" x14ac:dyDescent="0.25">
      <c r="A8553" t="s">
        <v>3296</v>
      </c>
      <c r="B8553" t="s">
        <v>2931</v>
      </c>
      <c r="C8553">
        <v>2704</v>
      </c>
      <c r="D8553" t="str">
        <f>"1354313     "</f>
        <v xml:space="preserve">1354313     </v>
      </c>
      <c r="E8553" t="s">
        <v>353</v>
      </c>
      <c r="F8553" t="s">
        <v>355</v>
      </c>
      <c r="G8553">
        <v>32.47</v>
      </c>
      <c r="H8553">
        <v>250226</v>
      </c>
      <c r="I8553">
        <v>4600</v>
      </c>
      <c r="J8553" t="s">
        <v>278</v>
      </c>
      <c r="K8553">
        <v>32.47</v>
      </c>
      <c r="L8553">
        <v>6.6</v>
      </c>
      <c r="M8553">
        <v>56568</v>
      </c>
      <c r="N8553" t="s">
        <v>354</v>
      </c>
      <c r="O8553">
        <v>250311</v>
      </c>
      <c r="P8553">
        <v>25.87</v>
      </c>
    </row>
    <row r="8554" spans="1:16" x14ac:dyDescent="0.25">
      <c r="A8554" t="s">
        <v>3296</v>
      </c>
      <c r="B8554" t="s">
        <v>2931</v>
      </c>
      <c r="C8554">
        <v>2705</v>
      </c>
      <c r="D8554" t="str">
        <f>"1354296     "</f>
        <v xml:space="preserve">1354296     </v>
      </c>
      <c r="E8554" t="s">
        <v>353</v>
      </c>
      <c r="F8554" t="s">
        <v>355</v>
      </c>
      <c r="G8554">
        <v>24.19</v>
      </c>
      <c r="H8554">
        <v>250226</v>
      </c>
      <c r="I8554">
        <v>4600</v>
      </c>
      <c r="J8554" t="s">
        <v>278</v>
      </c>
      <c r="K8554">
        <v>24.19</v>
      </c>
      <c r="L8554">
        <v>4.92</v>
      </c>
      <c r="M8554">
        <v>56568</v>
      </c>
      <c r="N8554" t="s">
        <v>354</v>
      </c>
      <c r="O8554">
        <v>250311</v>
      </c>
      <c r="P8554">
        <v>19.27</v>
      </c>
    </row>
    <row r="8555" spans="1:16" x14ac:dyDescent="0.25">
      <c r="A8555" t="s">
        <v>3296</v>
      </c>
      <c r="B8555" t="s">
        <v>2931</v>
      </c>
      <c r="C8555">
        <v>2728</v>
      </c>
      <c r="D8555" t="str">
        <f>"1355091     "</f>
        <v xml:space="preserve">1355091     </v>
      </c>
      <c r="E8555" t="s">
        <v>353</v>
      </c>
      <c r="F8555" t="s">
        <v>355</v>
      </c>
      <c r="G8555">
        <v>-90.52</v>
      </c>
      <c r="H8555">
        <v>250303</v>
      </c>
      <c r="I8555">
        <v>4600</v>
      </c>
      <c r="J8555" t="s">
        <v>278</v>
      </c>
      <c r="K8555">
        <v>-90.52</v>
      </c>
      <c r="L8555">
        <v>-18.39</v>
      </c>
      <c r="M8555">
        <v>56568</v>
      </c>
      <c r="N8555" t="s">
        <v>354</v>
      </c>
      <c r="O8555">
        <v>250311</v>
      </c>
      <c r="P8555">
        <v>-72.13</v>
      </c>
    </row>
    <row r="8556" spans="1:16" x14ac:dyDescent="0.25">
      <c r="A8556" t="s">
        <v>3296</v>
      </c>
      <c r="B8556" t="s">
        <v>2931</v>
      </c>
      <c r="C8556">
        <v>2973</v>
      </c>
      <c r="D8556" t="str">
        <f>"1355105     "</f>
        <v xml:space="preserve">1355105     </v>
      </c>
      <c r="E8556" t="s">
        <v>353</v>
      </c>
      <c r="F8556" t="s">
        <v>355</v>
      </c>
      <c r="G8556">
        <v>17.809999999999999</v>
      </c>
      <c r="H8556">
        <v>250228</v>
      </c>
      <c r="I8556">
        <v>4600</v>
      </c>
      <c r="J8556" t="s">
        <v>278</v>
      </c>
      <c r="K8556">
        <v>17.809999999999999</v>
      </c>
      <c r="L8556">
        <v>3.62</v>
      </c>
      <c r="M8556">
        <v>56568</v>
      </c>
      <c r="N8556" t="s">
        <v>354</v>
      </c>
      <c r="O8556">
        <v>250313</v>
      </c>
      <c r="P8556">
        <v>14.19</v>
      </c>
    </row>
    <row r="8557" spans="1:16" x14ac:dyDescent="0.25">
      <c r="A8557" t="s">
        <v>3296</v>
      </c>
      <c r="B8557" t="s">
        <v>2931</v>
      </c>
      <c r="C8557">
        <v>2975</v>
      </c>
      <c r="D8557" t="str">
        <f>"1355101     "</f>
        <v xml:space="preserve">1355101     </v>
      </c>
      <c r="E8557" t="s">
        <v>353</v>
      </c>
      <c r="F8557" t="s">
        <v>355</v>
      </c>
      <c r="G8557">
        <v>8.1</v>
      </c>
      <c r="H8557">
        <v>250228</v>
      </c>
      <c r="I8557">
        <v>4600</v>
      </c>
      <c r="J8557" t="s">
        <v>278</v>
      </c>
      <c r="K8557">
        <v>8.1</v>
      </c>
      <c r="L8557">
        <v>1.65</v>
      </c>
      <c r="M8557">
        <v>56568</v>
      </c>
      <c r="N8557" t="s">
        <v>354</v>
      </c>
      <c r="O8557">
        <v>250313</v>
      </c>
      <c r="P8557">
        <v>6.45</v>
      </c>
    </row>
    <row r="8558" spans="1:16" x14ac:dyDescent="0.25">
      <c r="A8558" t="s">
        <v>3296</v>
      </c>
      <c r="B8558" t="s">
        <v>2931</v>
      </c>
      <c r="C8558">
        <v>2985</v>
      </c>
      <c r="D8558" t="str">
        <f>"1355099     "</f>
        <v xml:space="preserve">1355099     </v>
      </c>
      <c r="E8558" t="s">
        <v>353</v>
      </c>
      <c r="F8558" t="s">
        <v>355</v>
      </c>
      <c r="G8558">
        <v>37.200000000000003</v>
      </c>
      <c r="H8558">
        <v>250301</v>
      </c>
      <c r="I8558">
        <v>4600</v>
      </c>
      <c r="J8558" t="s">
        <v>278</v>
      </c>
      <c r="K8558">
        <v>37.200000000000003</v>
      </c>
      <c r="L8558">
        <v>7.56</v>
      </c>
      <c r="M8558">
        <v>56568</v>
      </c>
      <c r="N8558" t="s">
        <v>354</v>
      </c>
      <c r="O8558">
        <v>250313</v>
      </c>
      <c r="P8558">
        <v>29.64</v>
      </c>
    </row>
    <row r="8559" spans="1:16" x14ac:dyDescent="0.25">
      <c r="A8559" t="s">
        <v>3296</v>
      </c>
      <c r="B8559" t="s">
        <v>2931</v>
      </c>
      <c r="C8559">
        <v>2986</v>
      </c>
      <c r="D8559" t="str">
        <f>"1355106     "</f>
        <v xml:space="preserve">1355106     </v>
      </c>
      <c r="E8559" t="s">
        <v>353</v>
      </c>
      <c r="F8559" t="s">
        <v>355</v>
      </c>
      <c r="G8559">
        <v>4.8</v>
      </c>
      <c r="H8559">
        <v>250301</v>
      </c>
      <c r="I8559">
        <v>4600</v>
      </c>
      <c r="J8559" t="s">
        <v>278</v>
      </c>
      <c r="K8559">
        <v>39.799999999999997</v>
      </c>
      <c r="L8559">
        <v>0.98</v>
      </c>
      <c r="M8559">
        <v>69501</v>
      </c>
      <c r="N8559" t="s">
        <v>123</v>
      </c>
      <c r="O8559">
        <v>250313</v>
      </c>
      <c r="P8559">
        <v>3.82</v>
      </c>
    </row>
    <row r="8560" spans="1:16" x14ac:dyDescent="0.25">
      <c r="A8560" t="s">
        <v>3296</v>
      </c>
      <c r="B8560" t="s">
        <v>2931</v>
      </c>
      <c r="C8560">
        <v>2987</v>
      </c>
      <c r="D8560" t="str">
        <f>"1355100     "</f>
        <v xml:space="preserve">1355100     </v>
      </c>
      <c r="E8560" t="s">
        <v>353</v>
      </c>
      <c r="F8560" t="s">
        <v>355</v>
      </c>
      <c r="G8560">
        <v>227.44</v>
      </c>
      <c r="H8560">
        <v>250301</v>
      </c>
      <c r="I8560">
        <v>4600</v>
      </c>
      <c r="J8560" t="s">
        <v>278</v>
      </c>
      <c r="K8560">
        <v>227.44</v>
      </c>
      <c r="L8560">
        <v>46.21</v>
      </c>
      <c r="M8560">
        <v>56568</v>
      </c>
      <c r="N8560" t="s">
        <v>354</v>
      </c>
      <c r="O8560">
        <v>250313</v>
      </c>
      <c r="P8560">
        <v>181.23</v>
      </c>
    </row>
    <row r="8561" spans="1:16" x14ac:dyDescent="0.25">
      <c r="A8561" t="s">
        <v>3296</v>
      </c>
      <c r="B8561" t="s">
        <v>2931</v>
      </c>
      <c r="C8561">
        <v>2988</v>
      </c>
      <c r="D8561" t="str">
        <f>"1355088     "</f>
        <v xml:space="preserve">1355088     </v>
      </c>
      <c r="E8561" t="s">
        <v>353</v>
      </c>
      <c r="F8561" t="s">
        <v>355</v>
      </c>
      <c r="G8561">
        <v>34.42</v>
      </c>
      <c r="H8561">
        <v>250301</v>
      </c>
      <c r="I8561">
        <v>4600</v>
      </c>
      <c r="J8561" t="s">
        <v>278</v>
      </c>
      <c r="K8561">
        <v>34.42</v>
      </c>
      <c r="L8561">
        <v>6.99</v>
      </c>
      <c r="M8561">
        <v>56558</v>
      </c>
      <c r="N8561" t="s">
        <v>50</v>
      </c>
      <c r="O8561">
        <v>250313</v>
      </c>
      <c r="P8561">
        <v>27.43</v>
      </c>
    </row>
    <row r="8562" spans="1:16" x14ac:dyDescent="0.25">
      <c r="A8562" t="s">
        <v>3296</v>
      </c>
      <c r="B8562" t="s">
        <v>2931</v>
      </c>
      <c r="C8562">
        <v>2989</v>
      </c>
      <c r="D8562" t="str">
        <f>"1355098     "</f>
        <v xml:space="preserve">1355098     </v>
      </c>
      <c r="E8562" t="s">
        <v>353</v>
      </c>
      <c r="F8562" t="s">
        <v>355</v>
      </c>
      <c r="G8562">
        <v>38.46</v>
      </c>
      <c r="H8562">
        <v>250301</v>
      </c>
      <c r="I8562">
        <v>4600</v>
      </c>
      <c r="J8562" t="s">
        <v>278</v>
      </c>
      <c r="K8562">
        <v>38.46</v>
      </c>
      <c r="L8562">
        <v>7.81</v>
      </c>
      <c r="M8562">
        <v>56568</v>
      </c>
      <c r="N8562" t="s">
        <v>354</v>
      </c>
      <c r="O8562">
        <v>250313</v>
      </c>
      <c r="P8562">
        <v>30.65</v>
      </c>
    </row>
    <row r="8563" spans="1:16" x14ac:dyDescent="0.25">
      <c r="A8563" t="s">
        <v>3296</v>
      </c>
      <c r="B8563" t="s">
        <v>2931</v>
      </c>
      <c r="C8563">
        <v>2990</v>
      </c>
      <c r="D8563" t="str">
        <f>"1355093     "</f>
        <v xml:space="preserve">1355093     </v>
      </c>
      <c r="E8563" t="s">
        <v>353</v>
      </c>
      <c r="F8563" t="s">
        <v>355</v>
      </c>
      <c r="G8563">
        <v>51.36</v>
      </c>
      <c r="H8563">
        <v>250301</v>
      </c>
      <c r="I8563">
        <v>4600</v>
      </c>
      <c r="J8563" t="s">
        <v>278</v>
      </c>
      <c r="K8563">
        <v>51.36</v>
      </c>
      <c r="L8563">
        <v>10.44</v>
      </c>
      <c r="M8563">
        <v>56568</v>
      </c>
      <c r="N8563" t="s">
        <v>354</v>
      </c>
      <c r="O8563">
        <v>250313</v>
      </c>
      <c r="P8563">
        <v>40.92</v>
      </c>
    </row>
    <row r="8564" spans="1:16" x14ac:dyDescent="0.25">
      <c r="A8564" t="s">
        <v>3296</v>
      </c>
      <c r="B8564" t="s">
        <v>2931</v>
      </c>
      <c r="C8564">
        <v>2991</v>
      </c>
      <c r="D8564" t="str">
        <f>"1355086     "</f>
        <v xml:space="preserve">1355086     </v>
      </c>
      <c r="E8564" t="s">
        <v>353</v>
      </c>
      <c r="F8564" t="s">
        <v>355</v>
      </c>
      <c r="G8564">
        <v>20.399999999999999</v>
      </c>
      <c r="H8564">
        <v>250228</v>
      </c>
      <c r="I8564">
        <v>4600</v>
      </c>
      <c r="J8564" t="s">
        <v>278</v>
      </c>
      <c r="K8564">
        <v>20.399999999999999</v>
      </c>
      <c r="L8564">
        <v>4.1500000000000004</v>
      </c>
      <c r="M8564">
        <v>56568</v>
      </c>
      <c r="N8564" t="s">
        <v>354</v>
      </c>
      <c r="O8564">
        <v>250313</v>
      </c>
      <c r="P8564">
        <v>16.25</v>
      </c>
    </row>
    <row r="8565" spans="1:16" x14ac:dyDescent="0.25">
      <c r="A8565" t="s">
        <v>3296</v>
      </c>
      <c r="B8565" t="s">
        <v>2931</v>
      </c>
      <c r="C8565">
        <v>2992</v>
      </c>
      <c r="D8565" t="str">
        <f>"1355094     "</f>
        <v xml:space="preserve">1355094     </v>
      </c>
      <c r="E8565" t="s">
        <v>353</v>
      </c>
      <c r="F8565" t="s">
        <v>355</v>
      </c>
      <c r="G8565">
        <v>7.53</v>
      </c>
      <c r="H8565">
        <v>250301</v>
      </c>
      <c r="I8565">
        <v>4600</v>
      </c>
      <c r="J8565" t="s">
        <v>278</v>
      </c>
      <c r="K8565">
        <v>7.53</v>
      </c>
      <c r="L8565">
        <v>1.53</v>
      </c>
      <c r="M8565">
        <v>56568</v>
      </c>
      <c r="N8565" t="s">
        <v>354</v>
      </c>
      <c r="O8565">
        <v>250313</v>
      </c>
      <c r="P8565">
        <v>6</v>
      </c>
    </row>
    <row r="8566" spans="1:16" x14ac:dyDescent="0.25">
      <c r="A8566" t="s">
        <v>3296</v>
      </c>
      <c r="B8566" t="s">
        <v>2931</v>
      </c>
      <c r="C8566">
        <v>3151</v>
      </c>
      <c r="D8566" t="str">
        <f>"1355085     "</f>
        <v xml:space="preserve">1355085     </v>
      </c>
      <c r="E8566" t="s">
        <v>353</v>
      </c>
      <c r="F8566" t="s">
        <v>355</v>
      </c>
      <c r="G8566">
        <v>179.2</v>
      </c>
      <c r="H8566">
        <v>250228</v>
      </c>
      <c r="I8566">
        <v>4600</v>
      </c>
      <c r="J8566" t="s">
        <v>278</v>
      </c>
      <c r="K8566">
        <v>179.2</v>
      </c>
      <c r="L8566">
        <v>36.409999999999997</v>
      </c>
      <c r="M8566">
        <v>56568</v>
      </c>
      <c r="N8566" t="s">
        <v>354</v>
      </c>
      <c r="O8566">
        <v>250314</v>
      </c>
      <c r="P8566">
        <v>142.79</v>
      </c>
    </row>
    <row r="8567" spans="1:16" x14ac:dyDescent="0.25">
      <c r="A8567" t="s">
        <v>3296</v>
      </c>
      <c r="B8567" t="s">
        <v>2931</v>
      </c>
      <c r="C8567">
        <v>3168</v>
      </c>
      <c r="D8567" t="str">
        <f>"1355102     "</f>
        <v xml:space="preserve">1355102     </v>
      </c>
      <c r="E8567" t="s">
        <v>353</v>
      </c>
      <c r="F8567" t="s">
        <v>355</v>
      </c>
      <c r="G8567">
        <v>249.54</v>
      </c>
      <c r="H8567">
        <v>250228</v>
      </c>
      <c r="I8567">
        <v>4600</v>
      </c>
      <c r="J8567" t="s">
        <v>278</v>
      </c>
      <c r="K8567">
        <v>249.54</v>
      </c>
      <c r="L8567">
        <v>50.7</v>
      </c>
      <c r="M8567">
        <v>56568</v>
      </c>
      <c r="N8567" t="s">
        <v>354</v>
      </c>
      <c r="O8567">
        <v>250314</v>
      </c>
      <c r="P8567">
        <v>198.84</v>
      </c>
    </row>
    <row r="8568" spans="1:16" x14ac:dyDescent="0.25">
      <c r="A8568" t="s">
        <v>3296</v>
      </c>
      <c r="B8568" t="s">
        <v>2931</v>
      </c>
      <c r="C8568">
        <v>3173</v>
      </c>
      <c r="D8568" t="str">
        <f>"1355087     "</f>
        <v xml:space="preserve">1355087     </v>
      </c>
      <c r="E8568" t="s">
        <v>353</v>
      </c>
      <c r="F8568" t="s">
        <v>355</v>
      </c>
      <c r="G8568">
        <v>9.1199999999999992</v>
      </c>
      <c r="H8568">
        <v>250228</v>
      </c>
      <c r="I8568">
        <v>4600</v>
      </c>
      <c r="J8568" t="s">
        <v>278</v>
      </c>
      <c r="K8568">
        <v>9.1199999999999992</v>
      </c>
      <c r="L8568">
        <v>1.85</v>
      </c>
      <c r="M8568">
        <v>56568</v>
      </c>
      <c r="N8568" t="s">
        <v>354</v>
      </c>
      <c r="O8568">
        <v>250314</v>
      </c>
      <c r="P8568">
        <v>7.27</v>
      </c>
    </row>
    <row r="8569" spans="1:16" x14ac:dyDescent="0.25">
      <c r="A8569" t="s">
        <v>3296</v>
      </c>
      <c r="B8569" t="s">
        <v>2931</v>
      </c>
      <c r="C8569">
        <v>3185</v>
      </c>
      <c r="D8569" t="str">
        <f>"1355095     "</f>
        <v xml:space="preserve">1355095     </v>
      </c>
      <c r="E8569" t="s">
        <v>353</v>
      </c>
      <c r="F8569" t="s">
        <v>355</v>
      </c>
      <c r="G8569">
        <v>1.57</v>
      </c>
      <c r="H8569">
        <v>250228</v>
      </c>
      <c r="I8569">
        <v>4600</v>
      </c>
      <c r="J8569" t="s">
        <v>278</v>
      </c>
      <c r="K8569">
        <v>1.57</v>
      </c>
      <c r="L8569">
        <v>0.32</v>
      </c>
      <c r="M8569">
        <v>56568</v>
      </c>
      <c r="N8569" t="s">
        <v>354</v>
      </c>
      <c r="O8569">
        <v>250314</v>
      </c>
      <c r="P8569">
        <v>1.25</v>
      </c>
    </row>
    <row r="8570" spans="1:16" x14ac:dyDescent="0.25">
      <c r="A8570" t="s">
        <v>3296</v>
      </c>
      <c r="B8570" t="s">
        <v>2931</v>
      </c>
      <c r="C8570">
        <v>3240</v>
      </c>
      <c r="D8570" t="str">
        <f>"1355089     "</f>
        <v xml:space="preserve">1355089     </v>
      </c>
      <c r="E8570" t="s">
        <v>353</v>
      </c>
      <c r="F8570" t="s">
        <v>355</v>
      </c>
      <c r="G8570">
        <v>11.84</v>
      </c>
      <c r="H8570">
        <v>250228</v>
      </c>
      <c r="I8570">
        <v>4600</v>
      </c>
      <c r="J8570" t="s">
        <v>278</v>
      </c>
      <c r="K8570">
        <v>11.84</v>
      </c>
      <c r="L8570">
        <v>2.41</v>
      </c>
      <c r="M8570">
        <v>56568</v>
      </c>
      <c r="N8570" t="s">
        <v>354</v>
      </c>
      <c r="O8570">
        <v>250317</v>
      </c>
      <c r="P8570">
        <v>9.43</v>
      </c>
    </row>
    <row r="8571" spans="1:16" x14ac:dyDescent="0.25">
      <c r="A8571" t="s">
        <v>3296</v>
      </c>
      <c r="B8571" t="s">
        <v>2931</v>
      </c>
      <c r="C8571">
        <v>3243</v>
      </c>
      <c r="D8571" t="str">
        <f>"1355103     "</f>
        <v xml:space="preserve">1355103     </v>
      </c>
      <c r="E8571" t="s">
        <v>353</v>
      </c>
      <c r="F8571" t="s">
        <v>355</v>
      </c>
      <c r="G8571">
        <v>66.209999999999994</v>
      </c>
      <c r="H8571">
        <v>250228</v>
      </c>
      <c r="I8571">
        <v>4600</v>
      </c>
      <c r="J8571" t="s">
        <v>278</v>
      </c>
      <c r="K8571">
        <v>66.209999999999994</v>
      </c>
      <c r="L8571">
        <v>13.45</v>
      </c>
      <c r="M8571">
        <v>56568</v>
      </c>
      <c r="N8571" t="s">
        <v>354</v>
      </c>
      <c r="O8571">
        <v>250317</v>
      </c>
      <c r="P8571">
        <v>52.76</v>
      </c>
    </row>
    <row r="8572" spans="1:16" x14ac:dyDescent="0.25">
      <c r="A8572" t="s">
        <v>3296</v>
      </c>
      <c r="B8572" t="s">
        <v>2931</v>
      </c>
      <c r="C8572">
        <v>3245</v>
      </c>
      <c r="D8572" t="str">
        <f>"1355096     "</f>
        <v xml:space="preserve">1355096     </v>
      </c>
      <c r="E8572" t="s">
        <v>353</v>
      </c>
      <c r="F8572" t="s">
        <v>355</v>
      </c>
      <c r="G8572">
        <v>79.77</v>
      </c>
      <c r="H8572">
        <v>250228</v>
      </c>
      <c r="I8572">
        <v>4600</v>
      </c>
      <c r="J8572" t="s">
        <v>278</v>
      </c>
      <c r="K8572">
        <v>79.77</v>
      </c>
      <c r="L8572">
        <v>16.21</v>
      </c>
      <c r="M8572">
        <v>56568</v>
      </c>
      <c r="N8572" t="s">
        <v>354</v>
      </c>
      <c r="O8572">
        <v>250317</v>
      </c>
      <c r="P8572">
        <v>63.56</v>
      </c>
    </row>
    <row r="8573" spans="1:16" x14ac:dyDescent="0.25">
      <c r="A8573" t="s">
        <v>3296</v>
      </c>
      <c r="B8573" t="s">
        <v>2931</v>
      </c>
      <c r="C8573">
        <v>3259</v>
      </c>
      <c r="D8573" t="str">
        <f>"1355090     "</f>
        <v xml:space="preserve">1355090     </v>
      </c>
      <c r="E8573" t="s">
        <v>353</v>
      </c>
      <c r="F8573" t="s">
        <v>355</v>
      </c>
      <c r="G8573">
        <v>9.86</v>
      </c>
      <c r="H8573">
        <v>250301</v>
      </c>
      <c r="I8573">
        <v>4600</v>
      </c>
      <c r="J8573" t="s">
        <v>278</v>
      </c>
      <c r="K8573">
        <v>9.86</v>
      </c>
      <c r="L8573">
        <v>2</v>
      </c>
      <c r="M8573">
        <v>56565</v>
      </c>
      <c r="N8573" t="s">
        <v>57</v>
      </c>
      <c r="O8573">
        <v>250317</v>
      </c>
      <c r="P8573">
        <v>7.86</v>
      </c>
    </row>
    <row r="8574" spans="1:16" x14ac:dyDescent="0.25">
      <c r="A8574" t="s">
        <v>3296</v>
      </c>
      <c r="B8574" t="s">
        <v>2931</v>
      </c>
      <c r="C8574">
        <v>3338</v>
      </c>
      <c r="D8574" t="str">
        <f>"1355097     "</f>
        <v xml:space="preserve">1355097     </v>
      </c>
      <c r="E8574" t="s">
        <v>353</v>
      </c>
      <c r="F8574" t="s">
        <v>355</v>
      </c>
      <c r="G8574">
        <v>54</v>
      </c>
      <c r="H8574">
        <v>250228</v>
      </c>
      <c r="I8574">
        <v>4600</v>
      </c>
      <c r="J8574" t="s">
        <v>278</v>
      </c>
      <c r="K8574">
        <v>54</v>
      </c>
      <c r="L8574">
        <v>10.97</v>
      </c>
      <c r="M8574">
        <v>56568</v>
      </c>
      <c r="N8574" t="s">
        <v>354</v>
      </c>
      <c r="O8574">
        <v>250318</v>
      </c>
      <c r="P8574">
        <v>43.03</v>
      </c>
    </row>
    <row r="8575" spans="1:16" x14ac:dyDescent="0.25">
      <c r="A8575" t="s">
        <v>3296</v>
      </c>
      <c r="B8575" t="s">
        <v>2931</v>
      </c>
      <c r="C8575">
        <v>3347</v>
      </c>
      <c r="D8575" t="str">
        <f>"1355084     "</f>
        <v xml:space="preserve">1355084     </v>
      </c>
      <c r="E8575" t="s">
        <v>353</v>
      </c>
      <c r="F8575" t="s">
        <v>355</v>
      </c>
      <c r="G8575">
        <v>127.1</v>
      </c>
      <c r="H8575">
        <v>250228</v>
      </c>
      <c r="I8575">
        <v>4600</v>
      </c>
      <c r="J8575" t="s">
        <v>278</v>
      </c>
      <c r="K8575">
        <v>127.1</v>
      </c>
      <c r="L8575">
        <v>25.83</v>
      </c>
      <c r="M8575">
        <v>56568</v>
      </c>
      <c r="N8575" t="s">
        <v>354</v>
      </c>
      <c r="O8575">
        <v>250318</v>
      </c>
      <c r="P8575">
        <v>101.27</v>
      </c>
    </row>
    <row r="8576" spans="1:16" x14ac:dyDescent="0.25">
      <c r="A8576" t="s">
        <v>3296</v>
      </c>
      <c r="B8576" t="s">
        <v>2931</v>
      </c>
      <c r="C8576">
        <v>3349</v>
      </c>
      <c r="D8576" t="str">
        <f>"1355104     "</f>
        <v xml:space="preserve">1355104     </v>
      </c>
      <c r="E8576" t="s">
        <v>353</v>
      </c>
      <c r="F8576" t="s">
        <v>355</v>
      </c>
      <c r="G8576">
        <v>149.47</v>
      </c>
      <c r="H8576">
        <v>250306</v>
      </c>
      <c r="I8576">
        <v>4600</v>
      </c>
      <c r="J8576" t="s">
        <v>278</v>
      </c>
      <c r="K8576">
        <v>149.47</v>
      </c>
      <c r="L8576">
        <v>30.37</v>
      </c>
      <c r="M8576">
        <v>56568</v>
      </c>
      <c r="N8576" t="s">
        <v>354</v>
      </c>
      <c r="O8576">
        <v>250318</v>
      </c>
      <c r="P8576">
        <v>119.1</v>
      </c>
    </row>
    <row r="8577" spans="1:16" x14ac:dyDescent="0.25">
      <c r="A8577" t="s">
        <v>3296</v>
      </c>
      <c r="B8577" t="s">
        <v>2931</v>
      </c>
      <c r="C8577">
        <v>3832</v>
      </c>
      <c r="D8577" t="str">
        <f>"1356239     "</f>
        <v xml:space="preserve">1356239     </v>
      </c>
      <c r="E8577" t="s">
        <v>353</v>
      </c>
      <c r="F8577" t="s">
        <v>355</v>
      </c>
      <c r="G8577">
        <v>36</v>
      </c>
      <c r="H8577">
        <v>250319</v>
      </c>
      <c r="I8577">
        <v>4600</v>
      </c>
      <c r="J8577" t="s">
        <v>278</v>
      </c>
      <c r="K8577">
        <v>36</v>
      </c>
      <c r="L8577">
        <v>7.31</v>
      </c>
      <c r="M8577">
        <v>67554</v>
      </c>
      <c r="N8577" t="s">
        <v>317</v>
      </c>
      <c r="O8577">
        <v>250402</v>
      </c>
      <c r="P8577">
        <v>28.69</v>
      </c>
    </row>
    <row r="8578" spans="1:16" x14ac:dyDescent="0.25">
      <c r="A8578" t="s">
        <v>3296</v>
      </c>
      <c r="B8578" t="s">
        <v>2931</v>
      </c>
      <c r="C8578">
        <v>3841</v>
      </c>
      <c r="D8578" t="str">
        <f>"1356237     "</f>
        <v xml:space="preserve">1356237     </v>
      </c>
      <c r="E8578" t="s">
        <v>353</v>
      </c>
      <c r="F8578" t="s">
        <v>355</v>
      </c>
      <c r="G8578">
        <v>172.28</v>
      </c>
      <c r="H8578">
        <v>250319</v>
      </c>
      <c r="I8578">
        <v>4600</v>
      </c>
      <c r="J8578" t="s">
        <v>278</v>
      </c>
      <c r="K8578">
        <v>172.28</v>
      </c>
      <c r="L8578">
        <v>35.01</v>
      </c>
      <c r="M8578">
        <v>66756</v>
      </c>
      <c r="N8578" t="s">
        <v>120</v>
      </c>
      <c r="O8578">
        <v>250402</v>
      </c>
      <c r="P8578">
        <v>137.27000000000001</v>
      </c>
    </row>
    <row r="8579" spans="1:16" x14ac:dyDescent="0.25">
      <c r="A8579" t="s">
        <v>3296</v>
      </c>
      <c r="B8579" t="s">
        <v>2931</v>
      </c>
      <c r="C8579">
        <v>3844</v>
      </c>
      <c r="D8579" t="str">
        <f>"1356207     "</f>
        <v xml:space="preserve">1356207     </v>
      </c>
      <c r="E8579" t="s">
        <v>353</v>
      </c>
      <c r="F8579" t="s">
        <v>355</v>
      </c>
      <c r="G8579">
        <v>16.399999999999999</v>
      </c>
      <c r="H8579">
        <v>250319</v>
      </c>
      <c r="I8579">
        <v>4600</v>
      </c>
      <c r="J8579" t="s">
        <v>278</v>
      </c>
      <c r="K8579">
        <v>16.399999999999999</v>
      </c>
      <c r="L8579">
        <v>3.33</v>
      </c>
      <c r="M8579">
        <v>59501</v>
      </c>
      <c r="N8579" t="s">
        <v>62</v>
      </c>
      <c r="O8579">
        <v>250402</v>
      </c>
      <c r="P8579">
        <v>13.07</v>
      </c>
    </row>
    <row r="8580" spans="1:16" x14ac:dyDescent="0.25">
      <c r="A8580" t="s">
        <v>3296</v>
      </c>
      <c r="B8580" t="s">
        <v>2931</v>
      </c>
      <c r="C8580">
        <v>3845</v>
      </c>
      <c r="D8580" t="str">
        <f>"1356205     "</f>
        <v xml:space="preserve">1356205     </v>
      </c>
      <c r="E8580" t="s">
        <v>353</v>
      </c>
      <c r="F8580" t="s">
        <v>355</v>
      </c>
      <c r="G8580">
        <v>37.200000000000003</v>
      </c>
      <c r="H8580">
        <v>250319</v>
      </c>
      <c r="I8580">
        <v>4600</v>
      </c>
      <c r="J8580" t="s">
        <v>278</v>
      </c>
      <c r="K8580">
        <v>37.200000000000003</v>
      </c>
      <c r="L8580">
        <v>7.56</v>
      </c>
      <c r="M8580">
        <v>56568</v>
      </c>
      <c r="N8580" t="s">
        <v>354</v>
      </c>
      <c r="O8580">
        <v>250402</v>
      </c>
      <c r="P8580">
        <v>29.64</v>
      </c>
    </row>
    <row r="8581" spans="1:16" x14ac:dyDescent="0.25">
      <c r="A8581" t="s">
        <v>3296</v>
      </c>
      <c r="B8581" t="s">
        <v>2931</v>
      </c>
      <c r="C8581">
        <v>3853</v>
      </c>
      <c r="D8581" t="str">
        <f>"1356214     "</f>
        <v xml:space="preserve">1356214     </v>
      </c>
      <c r="E8581" t="s">
        <v>353</v>
      </c>
      <c r="F8581" t="s">
        <v>355</v>
      </c>
      <c r="G8581">
        <v>24.32</v>
      </c>
      <c r="H8581">
        <v>250319</v>
      </c>
      <c r="I8581">
        <v>4600</v>
      </c>
      <c r="J8581" t="s">
        <v>278</v>
      </c>
      <c r="K8581">
        <v>24.32</v>
      </c>
      <c r="L8581">
        <v>4.9400000000000004</v>
      </c>
      <c r="M8581">
        <v>56568</v>
      </c>
      <c r="N8581" t="s">
        <v>354</v>
      </c>
      <c r="O8581">
        <v>250402</v>
      </c>
      <c r="P8581">
        <v>19.38</v>
      </c>
    </row>
    <row r="8582" spans="1:16" x14ac:dyDescent="0.25">
      <c r="A8582" t="s">
        <v>3296</v>
      </c>
      <c r="B8582" t="s">
        <v>2931</v>
      </c>
      <c r="C8582">
        <v>3857</v>
      </c>
      <c r="D8582" t="str">
        <f>"1356229     "</f>
        <v xml:space="preserve">1356229     </v>
      </c>
      <c r="E8582" t="s">
        <v>353</v>
      </c>
      <c r="F8582" t="s">
        <v>355</v>
      </c>
      <c r="G8582">
        <v>39.799999999999997</v>
      </c>
      <c r="H8582">
        <v>250319</v>
      </c>
      <c r="I8582">
        <v>4600</v>
      </c>
      <c r="J8582" t="s">
        <v>278</v>
      </c>
      <c r="K8582">
        <v>39.799999999999997</v>
      </c>
      <c r="L8582">
        <v>8.09</v>
      </c>
      <c r="M8582">
        <v>59505</v>
      </c>
      <c r="N8582" t="s">
        <v>194</v>
      </c>
      <c r="O8582">
        <v>250402</v>
      </c>
      <c r="P8582">
        <v>31.71</v>
      </c>
    </row>
    <row r="8583" spans="1:16" x14ac:dyDescent="0.25">
      <c r="A8583" t="s">
        <v>3296</v>
      </c>
      <c r="B8583" t="s">
        <v>2931</v>
      </c>
      <c r="C8583">
        <v>3867</v>
      </c>
      <c r="D8583" t="str">
        <f>"1356211     "</f>
        <v xml:space="preserve">1356211     </v>
      </c>
      <c r="E8583" t="s">
        <v>353</v>
      </c>
      <c r="F8583" t="s">
        <v>355</v>
      </c>
      <c r="G8583">
        <v>15.81</v>
      </c>
      <c r="H8583">
        <v>250319</v>
      </c>
      <c r="I8583">
        <v>4600</v>
      </c>
      <c r="J8583" t="s">
        <v>278</v>
      </c>
      <c r="K8583">
        <v>15.81</v>
      </c>
      <c r="L8583">
        <v>3.21</v>
      </c>
      <c r="M8583">
        <v>56568</v>
      </c>
      <c r="N8583" t="s">
        <v>354</v>
      </c>
      <c r="O8583">
        <v>250402</v>
      </c>
      <c r="P8583">
        <v>12.6</v>
      </c>
    </row>
    <row r="8584" spans="1:16" x14ac:dyDescent="0.25">
      <c r="A8584" t="s">
        <v>3296</v>
      </c>
      <c r="B8584" t="s">
        <v>2931</v>
      </c>
      <c r="C8584">
        <v>3871</v>
      </c>
      <c r="D8584" t="str">
        <f>"1356217     "</f>
        <v xml:space="preserve">1356217     </v>
      </c>
      <c r="E8584" t="s">
        <v>353</v>
      </c>
      <c r="F8584" t="s">
        <v>355</v>
      </c>
      <c r="G8584">
        <v>15</v>
      </c>
      <c r="H8584">
        <v>250319</v>
      </c>
      <c r="I8584">
        <v>4600</v>
      </c>
      <c r="J8584" t="s">
        <v>278</v>
      </c>
      <c r="K8584">
        <v>15</v>
      </c>
      <c r="L8584">
        <v>3.05</v>
      </c>
      <c r="M8584">
        <v>56568</v>
      </c>
      <c r="N8584" t="s">
        <v>354</v>
      </c>
      <c r="O8584">
        <v>250402</v>
      </c>
      <c r="P8584">
        <v>11.95</v>
      </c>
    </row>
    <row r="8585" spans="1:16" x14ac:dyDescent="0.25">
      <c r="A8585" t="s">
        <v>3296</v>
      </c>
      <c r="B8585" t="s">
        <v>2931</v>
      </c>
      <c r="C8585">
        <v>3920</v>
      </c>
      <c r="D8585" t="str">
        <f>"1356236     "</f>
        <v xml:space="preserve">1356236     </v>
      </c>
      <c r="E8585" t="s">
        <v>353</v>
      </c>
      <c r="F8585" t="s">
        <v>355</v>
      </c>
      <c r="G8585">
        <v>-68.62</v>
      </c>
      <c r="H8585">
        <v>250319</v>
      </c>
      <c r="I8585">
        <v>4600</v>
      </c>
      <c r="J8585" t="s">
        <v>278</v>
      </c>
      <c r="K8585">
        <v>-68.62</v>
      </c>
      <c r="L8585">
        <v>-13.94</v>
      </c>
      <c r="M8585">
        <v>56568</v>
      </c>
      <c r="N8585" t="s">
        <v>354</v>
      </c>
      <c r="O8585">
        <v>250404</v>
      </c>
      <c r="P8585">
        <v>-54.68</v>
      </c>
    </row>
    <row r="8586" spans="1:16" x14ac:dyDescent="0.25">
      <c r="A8586" t="s">
        <v>3296</v>
      </c>
      <c r="B8586" t="s">
        <v>2931</v>
      </c>
      <c r="C8586">
        <v>3921</v>
      </c>
      <c r="D8586" t="str">
        <f>"1356215     "</f>
        <v xml:space="preserve">1356215     </v>
      </c>
      <c r="E8586" t="s">
        <v>353</v>
      </c>
      <c r="F8586" t="s">
        <v>355</v>
      </c>
      <c r="G8586">
        <v>32.92</v>
      </c>
      <c r="H8586">
        <v>250319</v>
      </c>
      <c r="I8586">
        <v>4600</v>
      </c>
      <c r="J8586" t="s">
        <v>278</v>
      </c>
      <c r="K8586">
        <v>32.92</v>
      </c>
      <c r="L8586">
        <v>6.69</v>
      </c>
      <c r="M8586">
        <v>56568</v>
      </c>
      <c r="N8586" t="s">
        <v>354</v>
      </c>
      <c r="O8586">
        <v>250404</v>
      </c>
      <c r="P8586">
        <v>26.23</v>
      </c>
    </row>
    <row r="8587" spans="1:16" x14ac:dyDescent="0.25">
      <c r="A8587" t="s">
        <v>3296</v>
      </c>
      <c r="B8587" t="s">
        <v>2931</v>
      </c>
      <c r="C8587">
        <v>3922</v>
      </c>
      <c r="D8587" t="str">
        <f>"1356226     "</f>
        <v xml:space="preserve">1356226     </v>
      </c>
      <c r="E8587" t="s">
        <v>353</v>
      </c>
      <c r="F8587" t="s">
        <v>355</v>
      </c>
      <c r="G8587">
        <v>37.5</v>
      </c>
      <c r="H8587">
        <v>250319</v>
      </c>
      <c r="I8587">
        <v>4600</v>
      </c>
      <c r="J8587" t="s">
        <v>278</v>
      </c>
      <c r="K8587">
        <v>37.5</v>
      </c>
      <c r="L8587">
        <v>7.62</v>
      </c>
      <c r="M8587">
        <v>56568</v>
      </c>
      <c r="N8587" t="s">
        <v>354</v>
      </c>
      <c r="O8587">
        <v>250404</v>
      </c>
      <c r="P8587">
        <v>29.88</v>
      </c>
    </row>
    <row r="8588" spans="1:16" x14ac:dyDescent="0.25">
      <c r="A8588" t="s">
        <v>3296</v>
      </c>
      <c r="B8588" t="s">
        <v>2931</v>
      </c>
      <c r="C8588">
        <v>3923</v>
      </c>
      <c r="D8588" t="str">
        <f>"1356220     "</f>
        <v xml:space="preserve">1356220     </v>
      </c>
      <c r="E8588" t="s">
        <v>353</v>
      </c>
      <c r="F8588" t="s">
        <v>355</v>
      </c>
      <c r="G8588">
        <v>51.6</v>
      </c>
      <c r="H8588">
        <v>250319</v>
      </c>
      <c r="I8588">
        <v>4600</v>
      </c>
      <c r="J8588" t="s">
        <v>278</v>
      </c>
      <c r="K8588">
        <v>51.6</v>
      </c>
      <c r="L8588">
        <v>10.48</v>
      </c>
      <c r="M8588">
        <v>56568</v>
      </c>
      <c r="N8588" t="s">
        <v>354</v>
      </c>
      <c r="O8588">
        <v>250404</v>
      </c>
      <c r="P8588">
        <v>41.12</v>
      </c>
    </row>
    <row r="8589" spans="1:16" x14ac:dyDescent="0.25">
      <c r="A8589" t="s">
        <v>3296</v>
      </c>
      <c r="B8589" t="s">
        <v>2931</v>
      </c>
      <c r="C8589">
        <v>3925</v>
      </c>
      <c r="D8589" t="str">
        <f>"1356218     "</f>
        <v xml:space="preserve">1356218     </v>
      </c>
      <c r="E8589" t="s">
        <v>353</v>
      </c>
      <c r="F8589" t="s">
        <v>355</v>
      </c>
      <c r="G8589">
        <v>10.220000000000001</v>
      </c>
      <c r="H8589">
        <v>250319</v>
      </c>
      <c r="I8589">
        <v>4600</v>
      </c>
      <c r="J8589" t="s">
        <v>278</v>
      </c>
      <c r="K8589">
        <v>10.220000000000001</v>
      </c>
      <c r="L8589">
        <v>2.08</v>
      </c>
      <c r="M8589">
        <v>56568</v>
      </c>
      <c r="N8589" t="s">
        <v>354</v>
      </c>
      <c r="O8589">
        <v>250404</v>
      </c>
      <c r="P8589">
        <v>8.14</v>
      </c>
    </row>
    <row r="8590" spans="1:16" x14ac:dyDescent="0.25">
      <c r="A8590" t="s">
        <v>3296</v>
      </c>
      <c r="B8590" t="s">
        <v>2931</v>
      </c>
      <c r="C8590">
        <v>3926</v>
      </c>
      <c r="D8590" t="str">
        <f>"1356206     "</f>
        <v xml:space="preserve">1356206     </v>
      </c>
      <c r="E8590" t="s">
        <v>353</v>
      </c>
      <c r="F8590" t="s">
        <v>355</v>
      </c>
      <c r="G8590">
        <v>140.91999999999999</v>
      </c>
      <c r="H8590">
        <v>250319</v>
      </c>
      <c r="I8590">
        <v>4600</v>
      </c>
      <c r="J8590" t="s">
        <v>278</v>
      </c>
      <c r="K8590">
        <v>140.91999999999999</v>
      </c>
      <c r="L8590">
        <v>28.63</v>
      </c>
      <c r="M8590">
        <v>56568</v>
      </c>
      <c r="N8590" t="s">
        <v>354</v>
      </c>
      <c r="O8590">
        <v>250404</v>
      </c>
      <c r="P8590">
        <v>112.29</v>
      </c>
    </row>
    <row r="8591" spans="1:16" x14ac:dyDescent="0.25">
      <c r="A8591" t="s">
        <v>3296</v>
      </c>
      <c r="B8591" t="s">
        <v>2931</v>
      </c>
      <c r="C8591">
        <v>3928</v>
      </c>
      <c r="D8591" t="str">
        <f>"1356234     "</f>
        <v xml:space="preserve">1356234     </v>
      </c>
      <c r="E8591" t="s">
        <v>353</v>
      </c>
      <c r="F8591" t="s">
        <v>355</v>
      </c>
      <c r="G8591">
        <v>39.82</v>
      </c>
      <c r="H8591">
        <v>250319</v>
      </c>
      <c r="I8591">
        <v>4600</v>
      </c>
      <c r="J8591" t="s">
        <v>278</v>
      </c>
      <c r="K8591">
        <v>39.82</v>
      </c>
      <c r="L8591">
        <v>8.09</v>
      </c>
      <c r="M8591">
        <v>56568</v>
      </c>
      <c r="N8591" t="s">
        <v>354</v>
      </c>
      <c r="O8591">
        <v>250404</v>
      </c>
      <c r="P8591">
        <v>31.73</v>
      </c>
    </row>
    <row r="8592" spans="1:16" x14ac:dyDescent="0.25">
      <c r="A8592" t="s">
        <v>3296</v>
      </c>
      <c r="B8592" t="s">
        <v>2931</v>
      </c>
      <c r="C8592">
        <v>3929</v>
      </c>
      <c r="D8592" t="str">
        <f>"1356203     "</f>
        <v xml:space="preserve">1356203     </v>
      </c>
      <c r="E8592" t="s">
        <v>353</v>
      </c>
      <c r="F8592" t="s">
        <v>355</v>
      </c>
      <c r="G8592">
        <v>61.84</v>
      </c>
      <c r="H8592">
        <v>250319</v>
      </c>
      <c r="I8592">
        <v>4600</v>
      </c>
      <c r="J8592" t="s">
        <v>278</v>
      </c>
      <c r="K8592">
        <v>61.84</v>
      </c>
      <c r="L8592">
        <v>12.57</v>
      </c>
      <c r="M8592">
        <v>56568</v>
      </c>
      <c r="N8592" t="s">
        <v>354</v>
      </c>
      <c r="O8592">
        <v>250404</v>
      </c>
      <c r="P8592">
        <v>49.27</v>
      </c>
    </row>
    <row r="8593" spans="1:16" x14ac:dyDescent="0.25">
      <c r="A8593" t="s">
        <v>3296</v>
      </c>
      <c r="B8593" t="s">
        <v>2931</v>
      </c>
      <c r="C8593">
        <v>3930</v>
      </c>
      <c r="D8593" t="str">
        <f>"1356225     "</f>
        <v xml:space="preserve">1356225     </v>
      </c>
      <c r="E8593" t="s">
        <v>353</v>
      </c>
      <c r="F8593" t="s">
        <v>355</v>
      </c>
      <c r="G8593">
        <v>68.62</v>
      </c>
      <c r="H8593">
        <v>250319</v>
      </c>
      <c r="I8593">
        <v>4600</v>
      </c>
      <c r="J8593" t="s">
        <v>278</v>
      </c>
      <c r="K8593">
        <v>68.62</v>
      </c>
      <c r="L8593">
        <v>13.94</v>
      </c>
      <c r="M8593">
        <v>56568</v>
      </c>
      <c r="N8593" t="s">
        <v>354</v>
      </c>
      <c r="O8593">
        <v>250404</v>
      </c>
      <c r="P8593">
        <v>54.68</v>
      </c>
    </row>
    <row r="8594" spans="1:16" x14ac:dyDescent="0.25">
      <c r="A8594" t="s">
        <v>3296</v>
      </c>
      <c r="B8594" t="s">
        <v>2931</v>
      </c>
      <c r="C8594">
        <v>3931</v>
      </c>
      <c r="D8594" t="str">
        <f>"1356222     "</f>
        <v xml:space="preserve">1356222     </v>
      </c>
      <c r="E8594" t="s">
        <v>353</v>
      </c>
      <c r="F8594" t="s">
        <v>355</v>
      </c>
      <c r="G8594">
        <v>33.79</v>
      </c>
      <c r="H8594">
        <v>250319</v>
      </c>
      <c r="I8594">
        <v>4600</v>
      </c>
      <c r="J8594" t="s">
        <v>278</v>
      </c>
      <c r="K8594">
        <v>33.79</v>
      </c>
      <c r="L8594">
        <v>6.87</v>
      </c>
      <c r="M8594">
        <v>56568</v>
      </c>
      <c r="N8594" t="s">
        <v>354</v>
      </c>
      <c r="O8594">
        <v>250404</v>
      </c>
      <c r="P8594">
        <v>26.92</v>
      </c>
    </row>
    <row r="8595" spans="1:16" x14ac:dyDescent="0.25">
      <c r="A8595" t="s">
        <v>3296</v>
      </c>
      <c r="B8595" t="s">
        <v>2931</v>
      </c>
      <c r="C8595">
        <v>3932</v>
      </c>
      <c r="D8595" t="str">
        <f>"1356223     "</f>
        <v xml:space="preserve">1356223     </v>
      </c>
      <c r="E8595" t="s">
        <v>353</v>
      </c>
      <c r="F8595" t="s">
        <v>355</v>
      </c>
      <c r="G8595">
        <v>22.35</v>
      </c>
      <c r="H8595">
        <v>250319</v>
      </c>
      <c r="I8595">
        <v>4600</v>
      </c>
      <c r="J8595" t="s">
        <v>278</v>
      </c>
      <c r="K8595">
        <v>22.35</v>
      </c>
      <c r="L8595">
        <v>4.54</v>
      </c>
      <c r="M8595">
        <v>56568</v>
      </c>
      <c r="N8595" t="s">
        <v>354</v>
      </c>
      <c r="O8595">
        <v>250404</v>
      </c>
      <c r="P8595">
        <v>17.809999999999999</v>
      </c>
    </row>
    <row r="8596" spans="1:16" x14ac:dyDescent="0.25">
      <c r="A8596" t="s">
        <v>3296</v>
      </c>
      <c r="B8596" t="s">
        <v>2931</v>
      </c>
      <c r="C8596">
        <v>3933</v>
      </c>
      <c r="D8596" t="str">
        <f>"1356210     "</f>
        <v xml:space="preserve">1356210     </v>
      </c>
      <c r="E8596" t="s">
        <v>353</v>
      </c>
      <c r="F8596" t="s">
        <v>355</v>
      </c>
      <c r="G8596">
        <v>201.55</v>
      </c>
      <c r="H8596">
        <v>250319</v>
      </c>
      <c r="I8596">
        <v>4600</v>
      </c>
      <c r="J8596" t="s">
        <v>278</v>
      </c>
      <c r="K8596">
        <v>201.55</v>
      </c>
      <c r="L8596">
        <v>40.950000000000003</v>
      </c>
      <c r="M8596">
        <v>56568</v>
      </c>
      <c r="N8596" t="s">
        <v>354</v>
      </c>
      <c r="O8596">
        <v>250404</v>
      </c>
      <c r="P8596">
        <v>160.6</v>
      </c>
    </row>
    <row r="8597" spans="1:16" x14ac:dyDescent="0.25">
      <c r="A8597" t="s">
        <v>3296</v>
      </c>
      <c r="B8597" t="s">
        <v>2931</v>
      </c>
      <c r="C8597">
        <v>3934</v>
      </c>
      <c r="D8597" t="str">
        <f>"1356231     "</f>
        <v xml:space="preserve">1356231     </v>
      </c>
      <c r="E8597" t="s">
        <v>353</v>
      </c>
      <c r="F8597" t="s">
        <v>355</v>
      </c>
      <c r="G8597">
        <v>23.66</v>
      </c>
      <c r="H8597">
        <v>250319</v>
      </c>
      <c r="I8597">
        <v>4600</v>
      </c>
      <c r="J8597" t="s">
        <v>278</v>
      </c>
      <c r="K8597">
        <v>23.66</v>
      </c>
      <c r="L8597">
        <v>4.8099999999999996</v>
      </c>
      <c r="M8597">
        <v>56568</v>
      </c>
      <c r="N8597" t="s">
        <v>354</v>
      </c>
      <c r="O8597">
        <v>250404</v>
      </c>
      <c r="P8597">
        <v>18.850000000000001</v>
      </c>
    </row>
    <row r="8598" spans="1:16" x14ac:dyDescent="0.25">
      <c r="A8598" t="s">
        <v>3296</v>
      </c>
      <c r="B8598" t="s">
        <v>2931</v>
      </c>
      <c r="C8598">
        <v>3935</v>
      </c>
      <c r="D8598" t="str">
        <f>"1356208     "</f>
        <v xml:space="preserve">1356208     </v>
      </c>
      <c r="E8598" t="s">
        <v>353</v>
      </c>
      <c r="F8598" t="s">
        <v>355</v>
      </c>
      <c r="G8598">
        <v>25.07</v>
      </c>
      <c r="H8598">
        <v>250319</v>
      </c>
      <c r="I8598">
        <v>4600</v>
      </c>
      <c r="J8598" t="s">
        <v>278</v>
      </c>
      <c r="K8598">
        <v>25.07</v>
      </c>
      <c r="L8598">
        <v>5.09</v>
      </c>
      <c r="M8598">
        <v>56568</v>
      </c>
      <c r="N8598" t="s">
        <v>354</v>
      </c>
      <c r="O8598">
        <v>250404</v>
      </c>
      <c r="P8598">
        <v>19.98</v>
      </c>
    </row>
    <row r="8599" spans="1:16" x14ac:dyDescent="0.25">
      <c r="A8599" t="s">
        <v>3296</v>
      </c>
      <c r="B8599" t="s">
        <v>2931</v>
      </c>
      <c r="C8599">
        <v>3936</v>
      </c>
      <c r="D8599" t="str">
        <f>"1356209     "</f>
        <v xml:space="preserve">1356209     </v>
      </c>
      <c r="E8599" t="s">
        <v>353</v>
      </c>
      <c r="F8599" t="s">
        <v>355</v>
      </c>
      <c r="G8599">
        <v>57.88</v>
      </c>
      <c r="H8599">
        <v>250319</v>
      </c>
      <c r="I8599">
        <v>4600</v>
      </c>
      <c r="J8599" t="s">
        <v>278</v>
      </c>
      <c r="K8599">
        <v>57.88</v>
      </c>
      <c r="L8599">
        <v>11.76</v>
      </c>
      <c r="M8599">
        <v>56568</v>
      </c>
      <c r="N8599" t="s">
        <v>354</v>
      </c>
      <c r="O8599">
        <v>250404</v>
      </c>
      <c r="P8599">
        <v>46.12</v>
      </c>
    </row>
    <row r="8600" spans="1:16" x14ac:dyDescent="0.25">
      <c r="A8600" t="s">
        <v>3296</v>
      </c>
      <c r="B8600" t="s">
        <v>2931</v>
      </c>
      <c r="C8600">
        <v>3938</v>
      </c>
      <c r="D8600" t="str">
        <f>"1356228     "</f>
        <v xml:space="preserve">1356228     </v>
      </c>
      <c r="E8600" t="s">
        <v>353</v>
      </c>
      <c r="F8600" t="s">
        <v>355</v>
      </c>
      <c r="G8600">
        <v>76.73</v>
      </c>
      <c r="H8600">
        <v>250319</v>
      </c>
      <c r="I8600">
        <v>4600</v>
      </c>
      <c r="J8600" t="s">
        <v>278</v>
      </c>
      <c r="K8600">
        <v>76.73</v>
      </c>
      <c r="L8600">
        <v>15.59</v>
      </c>
      <c r="M8600">
        <v>56565</v>
      </c>
      <c r="N8600" t="s">
        <v>57</v>
      </c>
      <c r="O8600">
        <v>250404</v>
      </c>
      <c r="P8600">
        <v>61.14</v>
      </c>
    </row>
    <row r="8601" spans="1:16" x14ac:dyDescent="0.25">
      <c r="A8601" t="s">
        <v>3296</v>
      </c>
      <c r="B8601" t="s">
        <v>2931</v>
      </c>
      <c r="C8601">
        <v>3939</v>
      </c>
      <c r="D8601" t="str">
        <f>"1356212     "</f>
        <v xml:space="preserve">1356212     </v>
      </c>
      <c r="E8601" t="s">
        <v>353</v>
      </c>
      <c r="F8601" t="s">
        <v>355</v>
      </c>
      <c r="G8601">
        <v>13.09</v>
      </c>
      <c r="H8601">
        <v>250319</v>
      </c>
      <c r="I8601">
        <v>4600</v>
      </c>
      <c r="J8601" t="s">
        <v>278</v>
      </c>
      <c r="K8601">
        <v>13.09</v>
      </c>
      <c r="L8601">
        <v>2.66</v>
      </c>
      <c r="M8601">
        <v>56568</v>
      </c>
      <c r="N8601" t="s">
        <v>354</v>
      </c>
      <c r="O8601">
        <v>250404</v>
      </c>
      <c r="P8601">
        <v>10.43</v>
      </c>
    </row>
    <row r="8602" spans="1:16" x14ac:dyDescent="0.25">
      <c r="A8602" t="s">
        <v>3296</v>
      </c>
      <c r="B8602" t="s">
        <v>2931</v>
      </c>
      <c r="C8602">
        <v>3940</v>
      </c>
      <c r="D8602" t="str">
        <f>"1356204     "</f>
        <v xml:space="preserve">1356204     </v>
      </c>
      <c r="E8602" t="s">
        <v>353</v>
      </c>
      <c r="F8602" t="s">
        <v>355</v>
      </c>
      <c r="G8602">
        <v>55.25</v>
      </c>
      <c r="H8602">
        <v>250319</v>
      </c>
      <c r="I8602">
        <v>4600</v>
      </c>
      <c r="J8602" t="s">
        <v>278</v>
      </c>
      <c r="K8602">
        <v>55.25</v>
      </c>
      <c r="L8602">
        <v>11.23</v>
      </c>
      <c r="M8602">
        <v>56568</v>
      </c>
      <c r="N8602" t="s">
        <v>354</v>
      </c>
      <c r="O8602">
        <v>250404</v>
      </c>
      <c r="P8602">
        <v>44.02</v>
      </c>
    </row>
    <row r="8603" spans="1:16" x14ac:dyDescent="0.25">
      <c r="A8603" t="s">
        <v>3296</v>
      </c>
      <c r="B8603" t="s">
        <v>2931</v>
      </c>
      <c r="C8603">
        <v>3941</v>
      </c>
      <c r="D8603" t="str">
        <f>"1356221     "</f>
        <v xml:space="preserve">1356221     </v>
      </c>
      <c r="E8603" t="s">
        <v>353</v>
      </c>
      <c r="F8603" t="s">
        <v>355</v>
      </c>
      <c r="G8603">
        <v>39.799999999999997</v>
      </c>
      <c r="H8603">
        <v>250319</v>
      </c>
      <c r="I8603">
        <v>4600</v>
      </c>
      <c r="J8603" t="s">
        <v>278</v>
      </c>
      <c r="K8603">
        <v>39.799999999999997</v>
      </c>
      <c r="L8603">
        <v>8.09</v>
      </c>
      <c r="M8603">
        <v>56568</v>
      </c>
      <c r="N8603" t="s">
        <v>354</v>
      </c>
      <c r="O8603">
        <v>250404</v>
      </c>
      <c r="P8603">
        <v>31.71</v>
      </c>
    </row>
    <row r="8604" spans="1:16" x14ac:dyDescent="0.25">
      <c r="A8604" t="s">
        <v>3296</v>
      </c>
      <c r="B8604" t="s">
        <v>2931</v>
      </c>
      <c r="C8604">
        <v>3942</v>
      </c>
      <c r="D8604" t="str">
        <f>"1356202     "</f>
        <v xml:space="preserve">1356202     </v>
      </c>
      <c r="E8604" t="s">
        <v>353</v>
      </c>
      <c r="F8604" t="s">
        <v>355</v>
      </c>
      <c r="G8604">
        <v>70.3</v>
      </c>
      <c r="H8604">
        <v>250319</v>
      </c>
      <c r="I8604">
        <v>4600</v>
      </c>
      <c r="J8604" t="s">
        <v>278</v>
      </c>
      <c r="K8604">
        <v>70.3</v>
      </c>
      <c r="L8604">
        <v>14.28</v>
      </c>
      <c r="M8604">
        <v>56568</v>
      </c>
      <c r="N8604" t="s">
        <v>354</v>
      </c>
      <c r="O8604">
        <v>250404</v>
      </c>
      <c r="P8604">
        <v>56.02</v>
      </c>
    </row>
    <row r="8605" spans="1:16" x14ac:dyDescent="0.25">
      <c r="A8605" t="s">
        <v>3296</v>
      </c>
      <c r="B8605" t="s">
        <v>2931</v>
      </c>
      <c r="C8605">
        <v>3943</v>
      </c>
      <c r="D8605" t="str">
        <f>"1356233     "</f>
        <v xml:space="preserve">1356233     </v>
      </c>
      <c r="E8605" t="s">
        <v>353</v>
      </c>
      <c r="F8605" t="s">
        <v>355</v>
      </c>
      <c r="G8605">
        <v>6.57</v>
      </c>
      <c r="H8605">
        <v>250319</v>
      </c>
      <c r="I8605">
        <v>4600</v>
      </c>
      <c r="J8605" t="s">
        <v>278</v>
      </c>
      <c r="K8605">
        <v>6.57</v>
      </c>
      <c r="L8605">
        <v>1.33</v>
      </c>
      <c r="M8605">
        <v>56568</v>
      </c>
      <c r="N8605" t="s">
        <v>354</v>
      </c>
      <c r="O8605">
        <v>250404</v>
      </c>
      <c r="P8605">
        <v>5.24</v>
      </c>
    </row>
    <row r="8606" spans="1:16" x14ac:dyDescent="0.25">
      <c r="A8606" t="s">
        <v>3296</v>
      </c>
      <c r="B8606" t="s">
        <v>2931</v>
      </c>
      <c r="C8606">
        <v>3944</v>
      </c>
      <c r="D8606" t="str">
        <f>"1356232     "</f>
        <v xml:space="preserve">1356232     </v>
      </c>
      <c r="E8606" t="s">
        <v>353</v>
      </c>
      <c r="F8606" t="s">
        <v>355</v>
      </c>
      <c r="G8606">
        <v>30.3</v>
      </c>
      <c r="H8606">
        <v>250319</v>
      </c>
      <c r="I8606">
        <v>4600</v>
      </c>
      <c r="J8606" t="s">
        <v>278</v>
      </c>
      <c r="K8606">
        <v>30.3</v>
      </c>
      <c r="L8606">
        <v>6.16</v>
      </c>
      <c r="M8606">
        <v>56568</v>
      </c>
      <c r="N8606" t="s">
        <v>354</v>
      </c>
      <c r="O8606">
        <v>250404</v>
      </c>
      <c r="P8606">
        <v>24.14</v>
      </c>
    </row>
    <row r="8607" spans="1:16" x14ac:dyDescent="0.25">
      <c r="A8607" t="s">
        <v>3296</v>
      </c>
      <c r="B8607" t="s">
        <v>2931</v>
      </c>
      <c r="C8607">
        <v>3991</v>
      </c>
      <c r="D8607" t="str">
        <f>"1356235     "</f>
        <v xml:space="preserve">1356235     </v>
      </c>
      <c r="E8607" t="s">
        <v>353</v>
      </c>
      <c r="F8607" t="s">
        <v>355</v>
      </c>
      <c r="G8607">
        <v>107.88</v>
      </c>
      <c r="H8607">
        <v>250319</v>
      </c>
      <c r="I8607">
        <v>4600</v>
      </c>
      <c r="J8607" t="s">
        <v>278</v>
      </c>
      <c r="K8607">
        <v>107.88</v>
      </c>
      <c r="L8607">
        <v>21.92</v>
      </c>
      <c r="M8607">
        <v>56568</v>
      </c>
      <c r="N8607" t="s">
        <v>354</v>
      </c>
      <c r="O8607">
        <v>250404</v>
      </c>
      <c r="P8607">
        <v>85.96</v>
      </c>
    </row>
    <row r="8608" spans="1:16" x14ac:dyDescent="0.25">
      <c r="A8608" t="s">
        <v>3296</v>
      </c>
      <c r="B8608" t="s">
        <v>2931</v>
      </c>
      <c r="C8608">
        <v>3992</v>
      </c>
      <c r="D8608" t="str">
        <f>"1356219     "</f>
        <v xml:space="preserve">1356219     </v>
      </c>
      <c r="E8608" t="s">
        <v>353</v>
      </c>
      <c r="F8608" t="s">
        <v>355</v>
      </c>
      <c r="G8608">
        <v>22.82</v>
      </c>
      <c r="H8608">
        <v>250319</v>
      </c>
      <c r="I8608">
        <v>4600</v>
      </c>
      <c r="J8608" t="s">
        <v>278</v>
      </c>
      <c r="K8608">
        <v>22.82</v>
      </c>
      <c r="L8608">
        <v>4.6399999999999997</v>
      </c>
      <c r="M8608">
        <v>56568</v>
      </c>
      <c r="N8608" t="s">
        <v>354</v>
      </c>
      <c r="O8608">
        <v>250404</v>
      </c>
      <c r="P8608">
        <v>18.18</v>
      </c>
    </row>
    <row r="8609" spans="1:16" x14ac:dyDescent="0.25">
      <c r="A8609" t="s">
        <v>3296</v>
      </c>
      <c r="B8609" t="s">
        <v>2931</v>
      </c>
      <c r="C8609">
        <v>3993</v>
      </c>
      <c r="D8609" t="str">
        <f>"1356216     "</f>
        <v xml:space="preserve">1356216     </v>
      </c>
      <c r="E8609" t="s">
        <v>353</v>
      </c>
      <c r="F8609" t="s">
        <v>355</v>
      </c>
      <c r="G8609">
        <v>130.21</v>
      </c>
      <c r="H8609">
        <v>250319</v>
      </c>
      <c r="I8609">
        <v>4600</v>
      </c>
      <c r="J8609" t="s">
        <v>278</v>
      </c>
      <c r="K8609">
        <v>130.21</v>
      </c>
      <c r="L8609">
        <v>26.46</v>
      </c>
      <c r="M8609">
        <v>56568</v>
      </c>
      <c r="N8609" t="s">
        <v>354</v>
      </c>
      <c r="O8609">
        <v>250404</v>
      </c>
      <c r="P8609">
        <v>103.75</v>
      </c>
    </row>
    <row r="8610" spans="1:16" x14ac:dyDescent="0.25">
      <c r="A8610" t="s">
        <v>3296</v>
      </c>
      <c r="B8610" t="s">
        <v>2931</v>
      </c>
      <c r="C8610">
        <v>4288</v>
      </c>
      <c r="D8610" t="str">
        <f>"1357003     "</f>
        <v xml:space="preserve">1357003     </v>
      </c>
      <c r="E8610" t="s">
        <v>353</v>
      </c>
      <c r="F8610" t="s">
        <v>355</v>
      </c>
      <c r="G8610">
        <v>-6.57</v>
      </c>
      <c r="H8610">
        <v>250331</v>
      </c>
      <c r="I8610">
        <v>4600</v>
      </c>
      <c r="J8610" t="s">
        <v>278</v>
      </c>
      <c r="K8610">
        <v>-6.57</v>
      </c>
      <c r="L8610">
        <v>-1.33</v>
      </c>
      <c r="M8610">
        <v>56568</v>
      </c>
      <c r="N8610" t="s">
        <v>354</v>
      </c>
      <c r="O8610">
        <v>250410</v>
      </c>
      <c r="P8610">
        <v>-5.24</v>
      </c>
    </row>
    <row r="8611" spans="1:16" x14ac:dyDescent="0.25">
      <c r="A8611" t="s">
        <v>3296</v>
      </c>
      <c r="B8611" t="s">
        <v>2931</v>
      </c>
      <c r="C8611">
        <v>4495</v>
      </c>
      <c r="D8611" t="str">
        <f>"1357025     "</f>
        <v xml:space="preserve">1357025     </v>
      </c>
      <c r="E8611" t="s">
        <v>353</v>
      </c>
      <c r="F8611" t="s">
        <v>355</v>
      </c>
      <c r="G8611">
        <v>275</v>
      </c>
      <c r="H8611">
        <v>250331</v>
      </c>
      <c r="I8611">
        <v>4600</v>
      </c>
      <c r="J8611" t="s">
        <v>278</v>
      </c>
      <c r="K8611">
        <v>275</v>
      </c>
      <c r="L8611">
        <v>55.88</v>
      </c>
      <c r="M8611">
        <v>67554</v>
      </c>
      <c r="N8611" t="s">
        <v>317</v>
      </c>
      <c r="O8611">
        <v>250411</v>
      </c>
      <c r="P8611">
        <v>219.12</v>
      </c>
    </row>
    <row r="8612" spans="1:16" x14ac:dyDescent="0.25">
      <c r="A8612" t="s">
        <v>3296</v>
      </c>
      <c r="B8612" t="s">
        <v>2931</v>
      </c>
      <c r="C8612">
        <v>4505</v>
      </c>
      <c r="D8612" t="str">
        <f>"1356994     "</f>
        <v xml:space="preserve">1356994     </v>
      </c>
      <c r="E8612" t="s">
        <v>353</v>
      </c>
      <c r="F8612" t="s">
        <v>355</v>
      </c>
      <c r="G8612">
        <v>32.51</v>
      </c>
      <c r="H8612">
        <v>250331</v>
      </c>
      <c r="I8612">
        <v>4600</v>
      </c>
      <c r="J8612" t="s">
        <v>278</v>
      </c>
      <c r="K8612">
        <v>32.51</v>
      </c>
      <c r="L8612">
        <v>6.61</v>
      </c>
      <c r="M8612">
        <v>56568</v>
      </c>
      <c r="N8612" t="s">
        <v>354</v>
      </c>
      <c r="O8612">
        <v>250414</v>
      </c>
      <c r="P8612">
        <v>25.9</v>
      </c>
    </row>
    <row r="8613" spans="1:16" x14ac:dyDescent="0.25">
      <c r="A8613" t="s">
        <v>3296</v>
      </c>
      <c r="B8613" t="s">
        <v>2931</v>
      </c>
      <c r="C8613">
        <v>4507</v>
      </c>
      <c r="D8613" t="str">
        <f>"1357001     "</f>
        <v xml:space="preserve">1357001     </v>
      </c>
      <c r="E8613" t="s">
        <v>353</v>
      </c>
      <c r="F8613" t="s">
        <v>355</v>
      </c>
      <c r="G8613">
        <v>65.959999999999994</v>
      </c>
      <c r="H8613">
        <v>250331</v>
      </c>
      <c r="I8613">
        <v>4600</v>
      </c>
      <c r="J8613" t="s">
        <v>278</v>
      </c>
      <c r="K8613">
        <v>65.959999999999994</v>
      </c>
      <c r="L8613">
        <v>13.4</v>
      </c>
      <c r="M8613">
        <v>56568</v>
      </c>
      <c r="N8613" t="s">
        <v>354</v>
      </c>
      <c r="O8613">
        <v>250414</v>
      </c>
      <c r="P8613">
        <v>52.56</v>
      </c>
    </row>
    <row r="8614" spans="1:16" x14ac:dyDescent="0.25">
      <c r="A8614" t="s">
        <v>3296</v>
      </c>
      <c r="B8614" t="s">
        <v>2931</v>
      </c>
      <c r="C8614">
        <v>4510</v>
      </c>
      <c r="D8614" t="str">
        <f>"1357021     "</f>
        <v xml:space="preserve">1357021     </v>
      </c>
      <c r="E8614" t="s">
        <v>353</v>
      </c>
      <c r="F8614" t="s">
        <v>355</v>
      </c>
      <c r="G8614">
        <v>29.84</v>
      </c>
      <c r="H8614">
        <v>250331</v>
      </c>
      <c r="I8614">
        <v>4600</v>
      </c>
      <c r="J8614" t="s">
        <v>278</v>
      </c>
      <c r="K8614">
        <v>29.84</v>
      </c>
      <c r="L8614">
        <v>6.06</v>
      </c>
      <c r="M8614">
        <v>56568</v>
      </c>
      <c r="N8614" t="s">
        <v>354</v>
      </c>
      <c r="O8614">
        <v>250414</v>
      </c>
      <c r="P8614">
        <v>23.78</v>
      </c>
    </row>
    <row r="8615" spans="1:16" x14ac:dyDescent="0.25">
      <c r="A8615" t="s">
        <v>3296</v>
      </c>
      <c r="B8615" t="s">
        <v>2931</v>
      </c>
      <c r="C8615">
        <v>4511</v>
      </c>
      <c r="D8615" t="str">
        <f>"1357011     "</f>
        <v xml:space="preserve">1357011     </v>
      </c>
      <c r="E8615" t="s">
        <v>353</v>
      </c>
      <c r="F8615" t="s">
        <v>355</v>
      </c>
      <c r="G8615">
        <v>77.37</v>
      </c>
      <c r="H8615">
        <v>250331</v>
      </c>
      <c r="I8615">
        <v>4600</v>
      </c>
      <c r="J8615" t="s">
        <v>278</v>
      </c>
      <c r="K8615">
        <v>77.37</v>
      </c>
      <c r="L8615">
        <v>15.72</v>
      </c>
      <c r="M8615">
        <v>56568</v>
      </c>
      <c r="N8615" t="s">
        <v>354</v>
      </c>
      <c r="O8615">
        <v>250414</v>
      </c>
      <c r="P8615">
        <v>61.65</v>
      </c>
    </row>
    <row r="8616" spans="1:16" x14ac:dyDescent="0.25">
      <c r="A8616" t="s">
        <v>3296</v>
      </c>
      <c r="B8616" t="s">
        <v>2931</v>
      </c>
      <c r="C8616">
        <v>4515</v>
      </c>
      <c r="D8616" t="str">
        <f>"1357004     "</f>
        <v xml:space="preserve">1357004     </v>
      </c>
      <c r="E8616" t="s">
        <v>353</v>
      </c>
      <c r="F8616" t="s">
        <v>355</v>
      </c>
      <c r="G8616">
        <v>49.19</v>
      </c>
      <c r="H8616">
        <v>250331</v>
      </c>
      <c r="I8616">
        <v>4600</v>
      </c>
      <c r="J8616" t="s">
        <v>278</v>
      </c>
      <c r="K8616">
        <v>49.19</v>
      </c>
      <c r="L8616">
        <v>9.99</v>
      </c>
      <c r="M8616">
        <v>56568</v>
      </c>
      <c r="N8616" t="s">
        <v>354</v>
      </c>
      <c r="O8616">
        <v>250414</v>
      </c>
      <c r="P8616">
        <v>39.200000000000003</v>
      </c>
    </row>
    <row r="8617" spans="1:16" x14ac:dyDescent="0.25">
      <c r="A8617" t="s">
        <v>3296</v>
      </c>
      <c r="B8617" t="s">
        <v>2931</v>
      </c>
      <c r="C8617">
        <v>4518</v>
      </c>
      <c r="D8617" t="str">
        <f>"1357002     "</f>
        <v xml:space="preserve">1357002     </v>
      </c>
      <c r="E8617" t="s">
        <v>353</v>
      </c>
      <c r="F8617" t="s">
        <v>355</v>
      </c>
      <c r="G8617">
        <v>12.95</v>
      </c>
      <c r="H8617">
        <v>250331</v>
      </c>
      <c r="I8617">
        <v>4600</v>
      </c>
      <c r="J8617" t="s">
        <v>278</v>
      </c>
      <c r="K8617">
        <v>12.95</v>
      </c>
      <c r="L8617">
        <v>2.63</v>
      </c>
      <c r="M8617">
        <v>56568</v>
      </c>
      <c r="N8617" t="s">
        <v>354</v>
      </c>
      <c r="O8617">
        <v>250414</v>
      </c>
      <c r="P8617">
        <v>10.32</v>
      </c>
    </row>
    <row r="8618" spans="1:16" x14ac:dyDescent="0.25">
      <c r="A8618" t="s">
        <v>3296</v>
      </c>
      <c r="B8618" t="s">
        <v>2931</v>
      </c>
      <c r="C8618">
        <v>4531</v>
      </c>
      <c r="D8618" t="str">
        <f>"1357010     "</f>
        <v xml:space="preserve">1357010     </v>
      </c>
      <c r="E8618" t="s">
        <v>353</v>
      </c>
      <c r="F8618" t="s">
        <v>355</v>
      </c>
      <c r="G8618">
        <v>8.3000000000000007</v>
      </c>
      <c r="H8618">
        <v>250331</v>
      </c>
      <c r="I8618">
        <v>4600</v>
      </c>
      <c r="J8618" t="s">
        <v>278</v>
      </c>
      <c r="K8618">
        <v>8.3000000000000007</v>
      </c>
      <c r="L8618">
        <v>1.69</v>
      </c>
      <c r="M8618">
        <v>56568</v>
      </c>
      <c r="N8618" t="s">
        <v>354</v>
      </c>
      <c r="O8618">
        <v>250414</v>
      </c>
      <c r="P8618">
        <v>6.61</v>
      </c>
    </row>
    <row r="8619" spans="1:16" x14ac:dyDescent="0.25">
      <c r="A8619" t="s">
        <v>3296</v>
      </c>
      <c r="B8619" t="s">
        <v>2931</v>
      </c>
      <c r="C8619">
        <v>4532</v>
      </c>
      <c r="D8619" t="str">
        <f>"1357017     "</f>
        <v xml:space="preserve">1357017     </v>
      </c>
      <c r="E8619" t="s">
        <v>353</v>
      </c>
      <c r="F8619" t="s">
        <v>355</v>
      </c>
      <c r="G8619">
        <v>29.48</v>
      </c>
      <c r="H8619">
        <v>250331</v>
      </c>
      <c r="I8619">
        <v>4600</v>
      </c>
      <c r="J8619" t="s">
        <v>278</v>
      </c>
      <c r="K8619">
        <v>29.48</v>
      </c>
      <c r="L8619">
        <v>5.99</v>
      </c>
      <c r="M8619">
        <v>56568</v>
      </c>
      <c r="N8619" t="s">
        <v>354</v>
      </c>
      <c r="O8619">
        <v>250414</v>
      </c>
      <c r="P8619">
        <v>23.49</v>
      </c>
    </row>
    <row r="8620" spans="1:16" x14ac:dyDescent="0.25">
      <c r="A8620" t="s">
        <v>3296</v>
      </c>
      <c r="B8620" t="s">
        <v>2931</v>
      </c>
      <c r="C8620">
        <v>4536</v>
      </c>
      <c r="D8620" t="str">
        <f>"1357026     "</f>
        <v xml:space="preserve">1357026     </v>
      </c>
      <c r="E8620" t="s">
        <v>353</v>
      </c>
      <c r="F8620" t="s">
        <v>355</v>
      </c>
      <c r="G8620">
        <v>34.75</v>
      </c>
      <c r="H8620">
        <v>250331</v>
      </c>
      <c r="I8620">
        <v>4600</v>
      </c>
      <c r="J8620" t="s">
        <v>278</v>
      </c>
      <c r="K8620">
        <v>34.75</v>
      </c>
      <c r="L8620">
        <v>7.06</v>
      </c>
      <c r="M8620">
        <v>67554</v>
      </c>
      <c r="N8620" t="s">
        <v>317</v>
      </c>
      <c r="O8620">
        <v>250414</v>
      </c>
      <c r="P8620">
        <v>27.69</v>
      </c>
    </row>
    <row r="8621" spans="1:16" x14ac:dyDescent="0.25">
      <c r="A8621" t="s">
        <v>3296</v>
      </c>
      <c r="B8621" t="s">
        <v>2931</v>
      </c>
      <c r="C8621">
        <v>4539</v>
      </c>
      <c r="D8621" t="str">
        <f>"1357000     "</f>
        <v xml:space="preserve">1357000     </v>
      </c>
      <c r="E8621" t="s">
        <v>353</v>
      </c>
      <c r="F8621" t="s">
        <v>355</v>
      </c>
      <c r="G8621">
        <v>32.4</v>
      </c>
      <c r="H8621">
        <v>250331</v>
      </c>
      <c r="I8621">
        <v>4600</v>
      </c>
      <c r="J8621" t="s">
        <v>278</v>
      </c>
      <c r="K8621">
        <v>32.4</v>
      </c>
      <c r="L8621">
        <v>6.58</v>
      </c>
      <c r="M8621">
        <v>56568</v>
      </c>
      <c r="N8621" t="s">
        <v>354</v>
      </c>
      <c r="O8621">
        <v>250414</v>
      </c>
      <c r="P8621">
        <v>25.82</v>
      </c>
    </row>
    <row r="8622" spans="1:16" x14ac:dyDescent="0.25">
      <c r="A8622" t="s">
        <v>3296</v>
      </c>
      <c r="B8622" t="s">
        <v>2931</v>
      </c>
      <c r="C8622">
        <v>4540</v>
      </c>
      <c r="D8622" t="str">
        <f>"1357022     "</f>
        <v xml:space="preserve">1357022     </v>
      </c>
      <c r="E8622" t="s">
        <v>353</v>
      </c>
      <c r="F8622" t="s">
        <v>355</v>
      </c>
      <c r="G8622">
        <v>12.47</v>
      </c>
      <c r="H8622">
        <v>250401</v>
      </c>
      <c r="I8622">
        <v>4600</v>
      </c>
      <c r="J8622" t="s">
        <v>278</v>
      </c>
      <c r="K8622">
        <v>12.47</v>
      </c>
      <c r="L8622">
        <v>2.5299999999999998</v>
      </c>
      <c r="M8622">
        <v>56558</v>
      </c>
      <c r="N8622" t="s">
        <v>50</v>
      </c>
      <c r="O8622">
        <v>250414</v>
      </c>
      <c r="P8622">
        <v>9.94</v>
      </c>
    </row>
    <row r="8623" spans="1:16" x14ac:dyDescent="0.25">
      <c r="A8623" t="s">
        <v>3296</v>
      </c>
      <c r="B8623" t="s">
        <v>2931</v>
      </c>
      <c r="C8623">
        <v>4543</v>
      </c>
      <c r="D8623" t="str">
        <f>"1357029     "</f>
        <v xml:space="preserve">1357029     </v>
      </c>
      <c r="E8623" t="s">
        <v>353</v>
      </c>
      <c r="F8623" t="s">
        <v>355</v>
      </c>
      <c r="G8623">
        <v>2.08</v>
      </c>
      <c r="H8623">
        <v>250331</v>
      </c>
      <c r="I8623">
        <v>4600</v>
      </c>
      <c r="J8623" t="s">
        <v>278</v>
      </c>
      <c r="K8623">
        <v>2.08</v>
      </c>
      <c r="L8623">
        <v>0.42</v>
      </c>
      <c r="M8623">
        <v>67554</v>
      </c>
      <c r="N8623" t="s">
        <v>317</v>
      </c>
      <c r="O8623">
        <v>250414</v>
      </c>
      <c r="P8623">
        <v>1.66</v>
      </c>
    </row>
    <row r="8624" spans="1:16" x14ac:dyDescent="0.25">
      <c r="A8624" t="s">
        <v>3296</v>
      </c>
      <c r="B8624" t="s">
        <v>2931</v>
      </c>
      <c r="C8624">
        <v>4546</v>
      </c>
      <c r="D8624" t="str">
        <f>"1357023     "</f>
        <v xml:space="preserve">1357023     </v>
      </c>
      <c r="E8624" t="s">
        <v>353</v>
      </c>
      <c r="F8624" t="s">
        <v>355</v>
      </c>
      <c r="G8624">
        <v>21.71</v>
      </c>
      <c r="H8624">
        <v>250331</v>
      </c>
      <c r="I8624">
        <v>4600</v>
      </c>
      <c r="J8624" t="s">
        <v>278</v>
      </c>
      <c r="K8624">
        <v>21.71</v>
      </c>
      <c r="L8624">
        <v>4.41</v>
      </c>
      <c r="M8624">
        <v>67554</v>
      </c>
      <c r="N8624" t="s">
        <v>317</v>
      </c>
      <c r="O8624">
        <v>250414</v>
      </c>
      <c r="P8624">
        <v>17.3</v>
      </c>
    </row>
    <row r="8625" spans="1:16" x14ac:dyDescent="0.25">
      <c r="A8625" t="s">
        <v>3296</v>
      </c>
      <c r="B8625" t="s">
        <v>2931</v>
      </c>
      <c r="C8625">
        <v>4549</v>
      </c>
      <c r="D8625" t="str">
        <f>"1357019     "</f>
        <v xml:space="preserve">1357019     </v>
      </c>
      <c r="E8625" t="s">
        <v>353</v>
      </c>
      <c r="F8625" t="s">
        <v>355</v>
      </c>
      <c r="G8625">
        <v>17.559999999999999</v>
      </c>
      <c r="H8625">
        <v>250401</v>
      </c>
      <c r="I8625">
        <v>4600</v>
      </c>
      <c r="J8625" t="s">
        <v>278</v>
      </c>
      <c r="K8625">
        <v>17.559999999999999</v>
      </c>
      <c r="L8625">
        <v>3.57</v>
      </c>
      <c r="M8625">
        <v>56568</v>
      </c>
      <c r="N8625" t="s">
        <v>354</v>
      </c>
      <c r="O8625">
        <v>250414</v>
      </c>
      <c r="P8625">
        <v>13.99</v>
      </c>
    </row>
    <row r="8626" spans="1:16" x14ac:dyDescent="0.25">
      <c r="A8626" t="s">
        <v>3296</v>
      </c>
      <c r="B8626" t="s">
        <v>2931</v>
      </c>
      <c r="C8626">
        <v>4566</v>
      </c>
      <c r="D8626" t="str">
        <f>"1357024     "</f>
        <v xml:space="preserve">1357024     </v>
      </c>
      <c r="E8626" t="s">
        <v>353</v>
      </c>
      <c r="F8626" t="s">
        <v>355</v>
      </c>
      <c r="G8626">
        <v>4.8600000000000003</v>
      </c>
      <c r="H8626">
        <v>250331</v>
      </c>
      <c r="I8626">
        <v>4600</v>
      </c>
      <c r="J8626" t="s">
        <v>278</v>
      </c>
      <c r="K8626">
        <v>4.8600000000000003</v>
      </c>
      <c r="L8626">
        <v>0.99</v>
      </c>
      <c r="M8626">
        <v>67554</v>
      </c>
      <c r="N8626" t="s">
        <v>317</v>
      </c>
      <c r="O8626">
        <v>250414</v>
      </c>
      <c r="P8626">
        <v>3.87</v>
      </c>
    </row>
    <row r="8627" spans="1:16" x14ac:dyDescent="0.25">
      <c r="A8627" t="s">
        <v>3296</v>
      </c>
      <c r="B8627" t="s">
        <v>2931</v>
      </c>
      <c r="C8627">
        <v>4568</v>
      </c>
      <c r="D8627" t="str">
        <f>"1357014     "</f>
        <v xml:space="preserve">1357014     </v>
      </c>
      <c r="E8627" t="s">
        <v>353</v>
      </c>
      <c r="F8627" t="s">
        <v>355</v>
      </c>
      <c r="G8627">
        <v>13.09</v>
      </c>
      <c r="H8627">
        <v>250331</v>
      </c>
      <c r="I8627">
        <v>4600</v>
      </c>
      <c r="J8627" t="s">
        <v>278</v>
      </c>
      <c r="K8627">
        <v>13.09</v>
      </c>
      <c r="L8627">
        <v>2.66</v>
      </c>
      <c r="M8627">
        <v>56568</v>
      </c>
      <c r="N8627" t="s">
        <v>354</v>
      </c>
      <c r="O8627">
        <v>250414</v>
      </c>
      <c r="P8627">
        <v>10.43</v>
      </c>
    </row>
    <row r="8628" spans="1:16" x14ac:dyDescent="0.25">
      <c r="A8628" t="s">
        <v>3296</v>
      </c>
      <c r="B8628" t="s">
        <v>2931</v>
      </c>
      <c r="C8628">
        <v>4576</v>
      </c>
      <c r="D8628" t="str">
        <f>"1357009     "</f>
        <v xml:space="preserve">1357009     </v>
      </c>
      <c r="E8628" t="s">
        <v>353</v>
      </c>
      <c r="F8628" t="s">
        <v>355</v>
      </c>
      <c r="G8628">
        <v>97.69</v>
      </c>
      <c r="H8628">
        <v>250331</v>
      </c>
      <c r="I8628">
        <v>4600</v>
      </c>
      <c r="J8628" t="s">
        <v>278</v>
      </c>
      <c r="K8628">
        <v>97.69</v>
      </c>
      <c r="L8628">
        <v>19.850000000000001</v>
      </c>
      <c r="M8628">
        <v>56568</v>
      </c>
      <c r="N8628" t="s">
        <v>354</v>
      </c>
      <c r="O8628">
        <v>250414</v>
      </c>
      <c r="P8628">
        <v>77.84</v>
      </c>
    </row>
    <row r="8629" spans="1:16" x14ac:dyDescent="0.25">
      <c r="A8629" t="s">
        <v>3296</v>
      </c>
      <c r="B8629" t="s">
        <v>2931</v>
      </c>
      <c r="C8629">
        <v>4581</v>
      </c>
      <c r="D8629" t="str">
        <f>"1356997     "</f>
        <v xml:space="preserve">1356997     </v>
      </c>
      <c r="E8629" t="s">
        <v>353</v>
      </c>
      <c r="F8629" t="s">
        <v>355</v>
      </c>
      <c r="G8629">
        <v>301.60000000000002</v>
      </c>
      <c r="H8629">
        <v>250331</v>
      </c>
      <c r="I8629">
        <v>4600</v>
      </c>
      <c r="J8629" t="s">
        <v>278</v>
      </c>
      <c r="K8629">
        <v>301.60000000000002</v>
      </c>
      <c r="L8629">
        <v>61.28</v>
      </c>
      <c r="M8629">
        <v>56568</v>
      </c>
      <c r="N8629" t="s">
        <v>354</v>
      </c>
      <c r="O8629">
        <v>250414</v>
      </c>
      <c r="P8629">
        <v>240.32</v>
      </c>
    </row>
    <row r="8630" spans="1:16" x14ac:dyDescent="0.25">
      <c r="A8630" t="s">
        <v>3296</v>
      </c>
      <c r="B8630" t="s">
        <v>2931</v>
      </c>
      <c r="C8630">
        <v>4583</v>
      </c>
      <c r="D8630" t="str">
        <f>"1357008     "</f>
        <v xml:space="preserve">1357008     </v>
      </c>
      <c r="E8630" t="s">
        <v>353</v>
      </c>
      <c r="F8630" t="s">
        <v>355</v>
      </c>
      <c r="G8630">
        <v>15.53</v>
      </c>
      <c r="H8630">
        <v>250331</v>
      </c>
      <c r="I8630">
        <v>4600</v>
      </c>
      <c r="J8630" t="s">
        <v>278</v>
      </c>
      <c r="K8630">
        <v>15.53</v>
      </c>
      <c r="L8630">
        <v>3.16</v>
      </c>
      <c r="M8630">
        <v>51151</v>
      </c>
      <c r="N8630" t="s">
        <v>221</v>
      </c>
      <c r="O8630">
        <v>250414</v>
      </c>
      <c r="P8630">
        <v>12.37</v>
      </c>
    </row>
    <row r="8631" spans="1:16" x14ac:dyDescent="0.25">
      <c r="A8631" t="s">
        <v>3296</v>
      </c>
      <c r="B8631" t="s">
        <v>2931</v>
      </c>
      <c r="C8631">
        <v>4584</v>
      </c>
      <c r="D8631" t="str">
        <f>"1356995     "</f>
        <v xml:space="preserve">1356995     </v>
      </c>
      <c r="E8631" t="s">
        <v>353</v>
      </c>
      <c r="F8631" t="s">
        <v>355</v>
      </c>
      <c r="G8631">
        <v>42.88</v>
      </c>
      <c r="H8631">
        <v>250331</v>
      </c>
      <c r="I8631">
        <v>4600</v>
      </c>
      <c r="J8631" t="s">
        <v>278</v>
      </c>
      <c r="K8631">
        <v>42.88</v>
      </c>
      <c r="L8631">
        <v>8.7100000000000009</v>
      </c>
      <c r="M8631">
        <v>56558</v>
      </c>
      <c r="N8631" t="s">
        <v>50</v>
      </c>
      <c r="O8631">
        <v>250414</v>
      </c>
      <c r="P8631">
        <v>34.17</v>
      </c>
    </row>
    <row r="8632" spans="1:16" x14ac:dyDescent="0.25">
      <c r="A8632" t="s">
        <v>3296</v>
      </c>
      <c r="B8632" t="s">
        <v>2931</v>
      </c>
      <c r="C8632">
        <v>4588</v>
      </c>
      <c r="D8632" t="str">
        <f>"1357005     "</f>
        <v xml:space="preserve">1357005     </v>
      </c>
      <c r="E8632" t="s">
        <v>353</v>
      </c>
      <c r="F8632" t="s">
        <v>355</v>
      </c>
      <c r="G8632">
        <v>120.49</v>
      </c>
      <c r="H8632">
        <v>250331</v>
      </c>
      <c r="I8632">
        <v>4600</v>
      </c>
      <c r="J8632" t="s">
        <v>278</v>
      </c>
      <c r="K8632">
        <v>120.49</v>
      </c>
      <c r="L8632">
        <v>24.48</v>
      </c>
      <c r="M8632">
        <v>56568</v>
      </c>
      <c r="N8632" t="s">
        <v>354</v>
      </c>
      <c r="O8632">
        <v>250414</v>
      </c>
      <c r="P8632">
        <v>96.01</v>
      </c>
    </row>
    <row r="8633" spans="1:16" x14ac:dyDescent="0.25">
      <c r="A8633" t="s">
        <v>3296</v>
      </c>
      <c r="B8633" t="s">
        <v>2931</v>
      </c>
      <c r="C8633">
        <v>4592</v>
      </c>
      <c r="D8633" t="str">
        <f>"1357020     "</f>
        <v xml:space="preserve">1357020     </v>
      </c>
      <c r="E8633" t="s">
        <v>353</v>
      </c>
      <c r="F8633" t="s">
        <v>355</v>
      </c>
      <c r="G8633">
        <v>175.2</v>
      </c>
      <c r="H8633">
        <v>250401</v>
      </c>
      <c r="I8633">
        <v>4600</v>
      </c>
      <c r="J8633" t="s">
        <v>278</v>
      </c>
      <c r="K8633">
        <v>175.2</v>
      </c>
      <c r="L8633">
        <v>35.6</v>
      </c>
      <c r="M8633">
        <v>56568</v>
      </c>
      <c r="N8633" t="s">
        <v>354</v>
      </c>
      <c r="O8633">
        <v>250414</v>
      </c>
      <c r="P8633">
        <v>139.6</v>
      </c>
    </row>
    <row r="8634" spans="1:16" x14ac:dyDescent="0.25">
      <c r="A8634" t="s">
        <v>3296</v>
      </c>
      <c r="B8634" t="s">
        <v>2931</v>
      </c>
      <c r="C8634">
        <v>4595</v>
      </c>
      <c r="D8634" t="str">
        <f>"1357016     "</f>
        <v xml:space="preserve">1357016     </v>
      </c>
      <c r="E8634" t="s">
        <v>353</v>
      </c>
      <c r="F8634" t="s">
        <v>355</v>
      </c>
      <c r="G8634">
        <v>16.43</v>
      </c>
      <c r="H8634">
        <v>250331</v>
      </c>
      <c r="I8634">
        <v>4600</v>
      </c>
      <c r="J8634" t="s">
        <v>278</v>
      </c>
      <c r="K8634">
        <v>16.43</v>
      </c>
      <c r="L8634">
        <v>3.34</v>
      </c>
      <c r="M8634">
        <v>56568</v>
      </c>
      <c r="N8634" t="s">
        <v>354</v>
      </c>
      <c r="O8634">
        <v>250414</v>
      </c>
      <c r="P8634">
        <v>13.09</v>
      </c>
    </row>
    <row r="8635" spans="1:16" x14ac:dyDescent="0.25">
      <c r="A8635" t="s">
        <v>3296</v>
      </c>
      <c r="B8635" t="s">
        <v>2931</v>
      </c>
      <c r="C8635">
        <v>4598</v>
      </c>
      <c r="D8635" t="str">
        <f>"1356999     "</f>
        <v xml:space="preserve">1356999     </v>
      </c>
      <c r="E8635" t="s">
        <v>353</v>
      </c>
      <c r="F8635" t="s">
        <v>355</v>
      </c>
      <c r="G8635">
        <v>9.14</v>
      </c>
      <c r="H8635">
        <v>250331</v>
      </c>
      <c r="I8635">
        <v>4600</v>
      </c>
      <c r="J8635" t="s">
        <v>278</v>
      </c>
      <c r="K8635">
        <v>9.14</v>
      </c>
      <c r="L8635">
        <v>1.86</v>
      </c>
      <c r="M8635">
        <v>56568</v>
      </c>
      <c r="N8635" t="s">
        <v>354</v>
      </c>
      <c r="O8635">
        <v>250414</v>
      </c>
      <c r="P8635">
        <v>7.28</v>
      </c>
    </row>
    <row r="8636" spans="1:16" x14ac:dyDescent="0.25">
      <c r="A8636" t="s">
        <v>3296</v>
      </c>
      <c r="B8636" t="s">
        <v>2931</v>
      </c>
      <c r="C8636">
        <v>4603</v>
      </c>
      <c r="D8636" t="str">
        <f>"1357006     "</f>
        <v xml:space="preserve">1357006     </v>
      </c>
      <c r="E8636" t="s">
        <v>353</v>
      </c>
      <c r="F8636" t="s">
        <v>355</v>
      </c>
      <c r="G8636">
        <v>19.68</v>
      </c>
      <c r="H8636">
        <v>250331</v>
      </c>
      <c r="I8636">
        <v>4600</v>
      </c>
      <c r="J8636" t="s">
        <v>278</v>
      </c>
      <c r="K8636">
        <v>19.68</v>
      </c>
      <c r="L8636">
        <v>4</v>
      </c>
      <c r="M8636">
        <v>56568</v>
      </c>
      <c r="N8636" t="s">
        <v>354</v>
      </c>
      <c r="O8636">
        <v>250414</v>
      </c>
      <c r="P8636">
        <v>15.68</v>
      </c>
    </row>
    <row r="8637" spans="1:16" x14ac:dyDescent="0.25">
      <c r="A8637" t="s">
        <v>3296</v>
      </c>
      <c r="B8637" t="s">
        <v>2931</v>
      </c>
      <c r="C8637">
        <v>4608</v>
      </c>
      <c r="D8637" t="str">
        <f>"1357030     "</f>
        <v xml:space="preserve">1357030     </v>
      </c>
      <c r="E8637" t="s">
        <v>353</v>
      </c>
      <c r="F8637" t="s">
        <v>355</v>
      </c>
      <c r="G8637">
        <v>80.27</v>
      </c>
      <c r="H8637">
        <v>250331</v>
      </c>
      <c r="I8637">
        <v>4600</v>
      </c>
      <c r="J8637" t="s">
        <v>278</v>
      </c>
      <c r="K8637">
        <v>80.27</v>
      </c>
      <c r="L8637">
        <v>16.309999999999999</v>
      </c>
      <c r="M8637">
        <v>67522</v>
      </c>
      <c r="N8637" t="s">
        <v>121</v>
      </c>
      <c r="O8637">
        <v>250414</v>
      </c>
      <c r="P8637">
        <v>63.96</v>
      </c>
    </row>
    <row r="8638" spans="1:16" x14ac:dyDescent="0.25">
      <c r="A8638" t="s">
        <v>3296</v>
      </c>
      <c r="B8638" t="s">
        <v>2931</v>
      </c>
      <c r="C8638">
        <v>4612</v>
      </c>
      <c r="D8638" t="str">
        <f>"1357015     "</f>
        <v xml:space="preserve">1357015     </v>
      </c>
      <c r="E8638" t="s">
        <v>353</v>
      </c>
      <c r="F8638" t="s">
        <v>355</v>
      </c>
      <c r="G8638">
        <v>153.86000000000001</v>
      </c>
      <c r="H8638">
        <v>250331</v>
      </c>
      <c r="I8638">
        <v>4600</v>
      </c>
      <c r="J8638" t="s">
        <v>278</v>
      </c>
      <c r="K8638">
        <v>153.86000000000001</v>
      </c>
      <c r="L8638">
        <v>31.26</v>
      </c>
      <c r="M8638">
        <v>56568</v>
      </c>
      <c r="N8638" t="s">
        <v>354</v>
      </c>
      <c r="O8638">
        <v>250414</v>
      </c>
      <c r="P8638">
        <v>122.6</v>
      </c>
    </row>
    <row r="8639" spans="1:16" x14ac:dyDescent="0.25">
      <c r="A8639" t="s">
        <v>3296</v>
      </c>
      <c r="B8639" t="s">
        <v>2931</v>
      </c>
      <c r="C8639">
        <v>5416</v>
      </c>
      <c r="D8639" t="str">
        <f>"1358567     "</f>
        <v xml:space="preserve">1358567     </v>
      </c>
      <c r="E8639" t="s">
        <v>353</v>
      </c>
      <c r="F8639" t="s">
        <v>355</v>
      </c>
      <c r="G8639">
        <v>45.13</v>
      </c>
      <c r="H8639">
        <v>250416</v>
      </c>
      <c r="I8639">
        <v>4600</v>
      </c>
      <c r="J8639" t="s">
        <v>278</v>
      </c>
      <c r="K8639">
        <v>45.13</v>
      </c>
      <c r="L8639">
        <v>9.17</v>
      </c>
      <c r="M8639">
        <v>56568</v>
      </c>
      <c r="N8639" t="s">
        <v>354</v>
      </c>
      <c r="O8639">
        <v>250424</v>
      </c>
      <c r="P8639">
        <v>35.96</v>
      </c>
    </row>
    <row r="8640" spans="1:16" x14ac:dyDescent="0.25">
      <c r="A8640" t="s">
        <v>3296</v>
      </c>
      <c r="B8640" t="s">
        <v>2931</v>
      </c>
      <c r="C8640">
        <v>5417</v>
      </c>
      <c r="D8640" t="str">
        <f>"1358546     "</f>
        <v xml:space="preserve">1358546     </v>
      </c>
      <c r="E8640" t="s">
        <v>353</v>
      </c>
      <c r="F8640" t="s">
        <v>355</v>
      </c>
      <c r="G8640">
        <v>83.7</v>
      </c>
      <c r="H8640">
        <v>250416</v>
      </c>
      <c r="I8640">
        <v>4600</v>
      </c>
      <c r="J8640" t="s">
        <v>278</v>
      </c>
      <c r="K8640">
        <v>83.7</v>
      </c>
      <c r="L8640">
        <v>17.010000000000002</v>
      </c>
      <c r="M8640">
        <v>56568</v>
      </c>
      <c r="N8640" t="s">
        <v>354</v>
      </c>
      <c r="O8640">
        <v>250424</v>
      </c>
      <c r="P8640">
        <v>66.69</v>
      </c>
    </row>
    <row r="8641" spans="1:16" x14ac:dyDescent="0.25">
      <c r="A8641" t="s">
        <v>3296</v>
      </c>
      <c r="B8641" t="s">
        <v>2931</v>
      </c>
      <c r="C8641">
        <v>5418</v>
      </c>
      <c r="D8641" t="str">
        <f>"1358544     "</f>
        <v xml:space="preserve">1358544     </v>
      </c>
      <c r="E8641" t="s">
        <v>353</v>
      </c>
      <c r="F8641" t="s">
        <v>355</v>
      </c>
      <c r="G8641">
        <v>75.150000000000006</v>
      </c>
      <c r="H8641">
        <v>250416</v>
      </c>
      <c r="I8641">
        <v>4600</v>
      </c>
      <c r="J8641" t="s">
        <v>278</v>
      </c>
      <c r="K8641">
        <v>75.150000000000006</v>
      </c>
      <c r="L8641">
        <v>15.27</v>
      </c>
      <c r="M8641">
        <v>56568</v>
      </c>
      <c r="N8641" t="s">
        <v>354</v>
      </c>
      <c r="O8641">
        <v>250424</v>
      </c>
      <c r="P8641">
        <v>59.88</v>
      </c>
    </row>
    <row r="8642" spans="1:16" x14ac:dyDescent="0.25">
      <c r="A8642" t="s">
        <v>3296</v>
      </c>
      <c r="B8642" t="s">
        <v>2931</v>
      </c>
      <c r="C8642">
        <v>5419</v>
      </c>
      <c r="D8642" t="str">
        <f>"1358575     "</f>
        <v xml:space="preserve">1358575     </v>
      </c>
      <c r="E8642" t="s">
        <v>353</v>
      </c>
      <c r="F8642" t="s">
        <v>355</v>
      </c>
      <c r="G8642">
        <v>18.53</v>
      </c>
      <c r="H8642">
        <v>250416</v>
      </c>
      <c r="I8642">
        <v>4600</v>
      </c>
      <c r="J8642" t="s">
        <v>278</v>
      </c>
      <c r="K8642">
        <v>18.53</v>
      </c>
      <c r="L8642">
        <v>3.77</v>
      </c>
      <c r="M8642">
        <v>56568</v>
      </c>
      <c r="N8642" t="s">
        <v>354</v>
      </c>
      <c r="O8642">
        <v>250424</v>
      </c>
      <c r="P8642">
        <v>14.76</v>
      </c>
    </row>
    <row r="8643" spans="1:16" x14ac:dyDescent="0.25">
      <c r="A8643" t="s">
        <v>3296</v>
      </c>
      <c r="B8643" t="s">
        <v>2931</v>
      </c>
      <c r="C8643">
        <v>5420</v>
      </c>
      <c r="D8643" t="str">
        <f>"1358585     "</f>
        <v xml:space="preserve">1358585     </v>
      </c>
      <c r="E8643" t="s">
        <v>353</v>
      </c>
      <c r="F8643" t="s">
        <v>355</v>
      </c>
      <c r="G8643">
        <v>23.9</v>
      </c>
      <c r="H8643">
        <v>250416</v>
      </c>
      <c r="I8643">
        <v>4600</v>
      </c>
      <c r="J8643" t="s">
        <v>278</v>
      </c>
      <c r="K8643">
        <v>23.9</v>
      </c>
      <c r="L8643">
        <v>4.8600000000000003</v>
      </c>
      <c r="M8643">
        <v>67522</v>
      </c>
      <c r="N8643" t="s">
        <v>121</v>
      </c>
      <c r="O8643">
        <v>250424</v>
      </c>
      <c r="P8643">
        <v>19.04</v>
      </c>
    </row>
    <row r="8644" spans="1:16" x14ac:dyDescent="0.25">
      <c r="A8644" t="s">
        <v>3296</v>
      </c>
      <c r="B8644" t="s">
        <v>2931</v>
      </c>
      <c r="C8644">
        <v>5422</v>
      </c>
      <c r="D8644" t="str">
        <f>"1358545     "</f>
        <v xml:space="preserve">1358545     </v>
      </c>
      <c r="E8644" t="s">
        <v>353</v>
      </c>
      <c r="F8644" t="s">
        <v>355</v>
      </c>
      <c r="G8644">
        <v>30.6</v>
      </c>
      <c r="H8644">
        <v>250416</v>
      </c>
      <c r="I8644">
        <v>4600</v>
      </c>
      <c r="J8644" t="s">
        <v>278</v>
      </c>
      <c r="K8644">
        <v>30.6</v>
      </c>
      <c r="L8644">
        <v>6.22</v>
      </c>
      <c r="M8644">
        <v>56568</v>
      </c>
      <c r="N8644" t="s">
        <v>354</v>
      </c>
      <c r="O8644">
        <v>250424</v>
      </c>
      <c r="P8644">
        <v>24.38</v>
      </c>
    </row>
    <row r="8645" spans="1:16" x14ac:dyDescent="0.25">
      <c r="A8645" t="s">
        <v>3296</v>
      </c>
      <c r="B8645" t="s">
        <v>2931</v>
      </c>
      <c r="C8645">
        <v>5423</v>
      </c>
      <c r="D8645" t="str">
        <f>"1358577     "</f>
        <v xml:space="preserve">1358577     </v>
      </c>
      <c r="E8645" t="s">
        <v>353</v>
      </c>
      <c r="F8645" t="s">
        <v>355</v>
      </c>
      <c r="G8645">
        <v>29.95</v>
      </c>
      <c r="H8645">
        <v>250416</v>
      </c>
      <c r="I8645">
        <v>4600</v>
      </c>
      <c r="J8645" t="s">
        <v>278</v>
      </c>
      <c r="K8645">
        <v>29.95</v>
      </c>
      <c r="L8645">
        <v>6.09</v>
      </c>
      <c r="M8645">
        <v>56568</v>
      </c>
      <c r="N8645" t="s">
        <v>354</v>
      </c>
      <c r="O8645">
        <v>250424</v>
      </c>
      <c r="P8645">
        <v>23.86</v>
      </c>
    </row>
    <row r="8646" spans="1:16" x14ac:dyDescent="0.25">
      <c r="A8646" t="s">
        <v>3296</v>
      </c>
      <c r="B8646" t="s">
        <v>2931</v>
      </c>
      <c r="C8646">
        <v>5425</v>
      </c>
      <c r="D8646" t="str">
        <f>"1358569     "</f>
        <v xml:space="preserve">1358569     </v>
      </c>
      <c r="E8646" t="s">
        <v>353</v>
      </c>
      <c r="F8646" t="s">
        <v>355</v>
      </c>
      <c r="G8646">
        <v>111.36</v>
      </c>
      <c r="H8646">
        <v>250416</v>
      </c>
      <c r="I8646">
        <v>4600</v>
      </c>
      <c r="J8646" t="s">
        <v>278</v>
      </c>
      <c r="K8646">
        <v>111.36</v>
      </c>
      <c r="L8646">
        <v>22.63</v>
      </c>
      <c r="M8646">
        <v>56568</v>
      </c>
      <c r="N8646" t="s">
        <v>354</v>
      </c>
      <c r="O8646">
        <v>250424</v>
      </c>
      <c r="P8646">
        <v>88.73</v>
      </c>
    </row>
    <row r="8647" spans="1:16" x14ac:dyDescent="0.25">
      <c r="A8647" t="s">
        <v>3296</v>
      </c>
      <c r="B8647" t="s">
        <v>2931</v>
      </c>
      <c r="C8647">
        <v>5427</v>
      </c>
      <c r="D8647" t="str">
        <f>"1358553     "</f>
        <v xml:space="preserve">1358553     </v>
      </c>
      <c r="E8647" t="s">
        <v>353</v>
      </c>
      <c r="F8647" t="s">
        <v>355</v>
      </c>
      <c r="G8647">
        <v>24.29</v>
      </c>
      <c r="H8647">
        <v>250416</v>
      </c>
      <c r="I8647">
        <v>4600</v>
      </c>
      <c r="J8647" t="s">
        <v>278</v>
      </c>
      <c r="K8647">
        <v>24.29</v>
      </c>
      <c r="L8647">
        <v>4.9400000000000004</v>
      </c>
      <c r="M8647">
        <v>56568</v>
      </c>
      <c r="N8647" t="s">
        <v>354</v>
      </c>
      <c r="O8647">
        <v>250424</v>
      </c>
      <c r="P8647">
        <v>19.350000000000001</v>
      </c>
    </row>
    <row r="8648" spans="1:16" x14ac:dyDescent="0.25">
      <c r="A8648" t="s">
        <v>3296</v>
      </c>
      <c r="B8648" t="s">
        <v>2931</v>
      </c>
      <c r="C8648">
        <v>5429</v>
      </c>
      <c r="D8648" t="str">
        <f>"1358556     "</f>
        <v xml:space="preserve">1358556     </v>
      </c>
      <c r="E8648" t="s">
        <v>353</v>
      </c>
      <c r="F8648" t="s">
        <v>355</v>
      </c>
      <c r="G8648">
        <v>16</v>
      </c>
      <c r="H8648">
        <v>250416</v>
      </c>
      <c r="I8648">
        <v>4600</v>
      </c>
      <c r="J8648" t="s">
        <v>278</v>
      </c>
      <c r="K8648">
        <v>16</v>
      </c>
      <c r="L8648">
        <v>3.25</v>
      </c>
      <c r="M8648">
        <v>56568</v>
      </c>
      <c r="N8648" t="s">
        <v>354</v>
      </c>
      <c r="O8648">
        <v>250424</v>
      </c>
      <c r="P8648">
        <v>12.75</v>
      </c>
    </row>
    <row r="8649" spans="1:16" x14ac:dyDescent="0.25">
      <c r="A8649" t="s">
        <v>3296</v>
      </c>
      <c r="B8649" t="s">
        <v>2931</v>
      </c>
      <c r="C8649">
        <v>5430</v>
      </c>
      <c r="D8649" t="str">
        <f>"1358548     "</f>
        <v xml:space="preserve">1358548     </v>
      </c>
      <c r="E8649" t="s">
        <v>353</v>
      </c>
      <c r="F8649" t="s">
        <v>355</v>
      </c>
      <c r="G8649">
        <v>32.74</v>
      </c>
      <c r="H8649">
        <v>250416</v>
      </c>
      <c r="I8649">
        <v>4600</v>
      </c>
      <c r="J8649" t="s">
        <v>278</v>
      </c>
      <c r="K8649">
        <v>32.74</v>
      </c>
      <c r="L8649">
        <v>6.65</v>
      </c>
      <c r="M8649">
        <v>56568</v>
      </c>
      <c r="N8649" t="s">
        <v>354</v>
      </c>
      <c r="O8649">
        <v>250424</v>
      </c>
      <c r="P8649">
        <v>26.09</v>
      </c>
    </row>
    <row r="8650" spans="1:16" x14ac:dyDescent="0.25">
      <c r="A8650" t="s">
        <v>3296</v>
      </c>
      <c r="B8650" t="s">
        <v>2931</v>
      </c>
      <c r="C8650">
        <v>5431</v>
      </c>
      <c r="D8650" t="str">
        <f>"1358587     "</f>
        <v xml:space="preserve">1358587     </v>
      </c>
      <c r="E8650" t="s">
        <v>353</v>
      </c>
      <c r="F8650" t="s">
        <v>355</v>
      </c>
      <c r="G8650">
        <v>14.18</v>
      </c>
      <c r="H8650">
        <v>250416</v>
      </c>
      <c r="I8650">
        <v>4600</v>
      </c>
      <c r="J8650" t="s">
        <v>278</v>
      </c>
      <c r="K8650">
        <v>14.18</v>
      </c>
      <c r="L8650">
        <v>2.88</v>
      </c>
      <c r="M8650">
        <v>67522</v>
      </c>
      <c r="N8650" t="s">
        <v>121</v>
      </c>
      <c r="O8650">
        <v>250424</v>
      </c>
      <c r="P8650">
        <v>11.3</v>
      </c>
    </row>
    <row r="8651" spans="1:16" x14ac:dyDescent="0.25">
      <c r="A8651" t="s">
        <v>3296</v>
      </c>
      <c r="B8651" t="s">
        <v>2931</v>
      </c>
      <c r="C8651">
        <v>5432</v>
      </c>
      <c r="D8651" t="str">
        <f>"1358562     "</f>
        <v xml:space="preserve">1358562     </v>
      </c>
      <c r="E8651" t="s">
        <v>353</v>
      </c>
      <c r="F8651" t="s">
        <v>355</v>
      </c>
      <c r="G8651">
        <v>35.75</v>
      </c>
      <c r="H8651">
        <v>250416</v>
      </c>
      <c r="I8651">
        <v>4600</v>
      </c>
      <c r="J8651" t="s">
        <v>278</v>
      </c>
      <c r="K8651">
        <v>35.75</v>
      </c>
      <c r="L8651">
        <v>7.26</v>
      </c>
      <c r="M8651">
        <v>56568</v>
      </c>
      <c r="N8651" t="s">
        <v>354</v>
      </c>
      <c r="O8651">
        <v>250424</v>
      </c>
      <c r="P8651">
        <v>28.49</v>
      </c>
    </row>
    <row r="8652" spans="1:16" x14ac:dyDescent="0.25">
      <c r="A8652" t="s">
        <v>3296</v>
      </c>
      <c r="B8652" t="s">
        <v>2931</v>
      </c>
      <c r="C8652">
        <v>5434</v>
      </c>
      <c r="D8652" t="str">
        <f>"1358559     "</f>
        <v xml:space="preserve">1358559     </v>
      </c>
      <c r="E8652" t="s">
        <v>353</v>
      </c>
      <c r="F8652" t="s">
        <v>355</v>
      </c>
      <c r="G8652">
        <v>42.6</v>
      </c>
      <c r="H8652">
        <v>250416</v>
      </c>
      <c r="I8652">
        <v>4600</v>
      </c>
      <c r="J8652" t="s">
        <v>278</v>
      </c>
      <c r="K8652">
        <v>42.6</v>
      </c>
      <c r="L8652">
        <v>8.66</v>
      </c>
      <c r="M8652">
        <v>56568</v>
      </c>
      <c r="N8652" t="s">
        <v>354</v>
      </c>
      <c r="O8652">
        <v>250424</v>
      </c>
      <c r="P8652">
        <v>33.94</v>
      </c>
    </row>
    <row r="8653" spans="1:16" x14ac:dyDescent="0.25">
      <c r="A8653" t="s">
        <v>3296</v>
      </c>
      <c r="B8653" t="s">
        <v>2931</v>
      </c>
      <c r="C8653">
        <v>5435</v>
      </c>
      <c r="D8653" t="str">
        <f>"1358566     "</f>
        <v xml:space="preserve">1358566     </v>
      </c>
      <c r="E8653" t="s">
        <v>353</v>
      </c>
      <c r="F8653" t="s">
        <v>355</v>
      </c>
      <c r="G8653">
        <v>193</v>
      </c>
      <c r="H8653">
        <v>250416</v>
      </c>
      <c r="I8653">
        <v>4600</v>
      </c>
      <c r="J8653" t="s">
        <v>278</v>
      </c>
      <c r="K8653">
        <v>193</v>
      </c>
      <c r="L8653">
        <v>39.22</v>
      </c>
      <c r="M8653">
        <v>56568</v>
      </c>
      <c r="N8653" t="s">
        <v>354</v>
      </c>
      <c r="O8653">
        <v>250424</v>
      </c>
      <c r="P8653">
        <v>153.78</v>
      </c>
    </row>
    <row r="8654" spans="1:16" x14ac:dyDescent="0.25">
      <c r="A8654" t="s">
        <v>3296</v>
      </c>
      <c r="B8654" t="s">
        <v>2931</v>
      </c>
      <c r="C8654">
        <v>5436</v>
      </c>
      <c r="D8654" t="str">
        <f>"1358549     "</f>
        <v xml:space="preserve">1358549     </v>
      </c>
      <c r="E8654" t="s">
        <v>353</v>
      </c>
      <c r="F8654" t="s">
        <v>355</v>
      </c>
      <c r="G8654">
        <v>13.29</v>
      </c>
      <c r="H8654">
        <v>250416</v>
      </c>
      <c r="I8654">
        <v>4600</v>
      </c>
      <c r="J8654" t="s">
        <v>278</v>
      </c>
      <c r="K8654">
        <v>13.29</v>
      </c>
      <c r="L8654">
        <v>2.7</v>
      </c>
      <c r="M8654">
        <v>56568</v>
      </c>
      <c r="N8654" t="s">
        <v>354</v>
      </c>
      <c r="O8654">
        <v>250424</v>
      </c>
      <c r="P8654">
        <v>10.59</v>
      </c>
    </row>
    <row r="8655" spans="1:16" x14ac:dyDescent="0.25">
      <c r="A8655" t="s">
        <v>3296</v>
      </c>
      <c r="B8655" t="s">
        <v>2931</v>
      </c>
      <c r="C8655">
        <v>5439</v>
      </c>
      <c r="D8655" t="str">
        <f>"1358588     "</f>
        <v xml:space="preserve">1358588     </v>
      </c>
      <c r="E8655" t="s">
        <v>353</v>
      </c>
      <c r="F8655" t="s">
        <v>355</v>
      </c>
      <c r="G8655">
        <v>77.3</v>
      </c>
      <c r="H8655">
        <v>250416</v>
      </c>
      <c r="I8655">
        <v>4600</v>
      </c>
      <c r="J8655" t="s">
        <v>278</v>
      </c>
      <c r="K8655">
        <v>77.3</v>
      </c>
      <c r="L8655">
        <v>15.71</v>
      </c>
      <c r="M8655">
        <v>67522</v>
      </c>
      <c r="N8655" t="s">
        <v>121</v>
      </c>
      <c r="O8655">
        <v>250424</v>
      </c>
      <c r="P8655">
        <v>61.59</v>
      </c>
    </row>
    <row r="8656" spans="1:16" x14ac:dyDescent="0.25">
      <c r="A8656" t="s">
        <v>3296</v>
      </c>
      <c r="B8656" t="s">
        <v>2931</v>
      </c>
      <c r="C8656">
        <v>5442</v>
      </c>
      <c r="D8656" t="str">
        <f>"1358578     "</f>
        <v xml:space="preserve">1358578     </v>
      </c>
      <c r="E8656" t="s">
        <v>353</v>
      </c>
      <c r="F8656" t="s">
        <v>355</v>
      </c>
      <c r="G8656">
        <v>101.49</v>
      </c>
      <c r="H8656">
        <v>250416</v>
      </c>
      <c r="I8656">
        <v>4600</v>
      </c>
      <c r="J8656" t="s">
        <v>278</v>
      </c>
      <c r="K8656">
        <v>101.49</v>
      </c>
      <c r="L8656">
        <v>20.62</v>
      </c>
      <c r="M8656">
        <v>59505</v>
      </c>
      <c r="N8656" t="s">
        <v>194</v>
      </c>
      <c r="O8656">
        <v>250424</v>
      </c>
      <c r="P8656">
        <v>80.87</v>
      </c>
    </row>
    <row r="8657" spans="1:16" x14ac:dyDescent="0.25">
      <c r="A8657" t="s">
        <v>3296</v>
      </c>
      <c r="B8657" t="s">
        <v>2931</v>
      </c>
      <c r="C8657">
        <v>5443</v>
      </c>
      <c r="D8657" t="str">
        <f>"1358558     "</f>
        <v xml:space="preserve">1358558     </v>
      </c>
      <c r="E8657" t="s">
        <v>353</v>
      </c>
      <c r="F8657" t="s">
        <v>355</v>
      </c>
      <c r="G8657">
        <v>19.41</v>
      </c>
      <c r="H8657">
        <v>250416</v>
      </c>
      <c r="I8657">
        <v>4600</v>
      </c>
      <c r="J8657" t="s">
        <v>278</v>
      </c>
      <c r="K8657">
        <v>19.41</v>
      </c>
      <c r="L8657">
        <v>3.94</v>
      </c>
      <c r="M8657">
        <v>56568</v>
      </c>
      <c r="N8657" t="s">
        <v>354</v>
      </c>
      <c r="O8657">
        <v>250424</v>
      </c>
      <c r="P8657">
        <v>15.47</v>
      </c>
    </row>
    <row r="8658" spans="1:16" x14ac:dyDescent="0.25">
      <c r="A8658" t="s">
        <v>3296</v>
      </c>
      <c r="B8658" t="s">
        <v>2931</v>
      </c>
      <c r="C8658">
        <v>5444</v>
      </c>
      <c r="D8658" t="str">
        <f>"1358561     "</f>
        <v xml:space="preserve">1358561     </v>
      </c>
      <c r="E8658" t="s">
        <v>353</v>
      </c>
      <c r="F8658" t="s">
        <v>355</v>
      </c>
      <c r="G8658">
        <v>42.5</v>
      </c>
      <c r="H8658">
        <v>250416</v>
      </c>
      <c r="I8658">
        <v>4600</v>
      </c>
      <c r="J8658" t="s">
        <v>278</v>
      </c>
      <c r="K8658">
        <v>42.5</v>
      </c>
      <c r="L8658">
        <v>8.64</v>
      </c>
      <c r="M8658">
        <v>56568</v>
      </c>
      <c r="N8658" t="s">
        <v>354</v>
      </c>
      <c r="O8658">
        <v>250424</v>
      </c>
      <c r="P8658">
        <v>33.86</v>
      </c>
    </row>
    <row r="8659" spans="1:16" x14ac:dyDescent="0.25">
      <c r="A8659" t="s">
        <v>3296</v>
      </c>
      <c r="B8659" t="s">
        <v>2931</v>
      </c>
      <c r="C8659">
        <v>5446</v>
      </c>
      <c r="D8659" t="str">
        <f>"1358580     "</f>
        <v xml:space="preserve">1358580     </v>
      </c>
      <c r="E8659" t="s">
        <v>353</v>
      </c>
      <c r="F8659" t="s">
        <v>355</v>
      </c>
      <c r="G8659">
        <v>5.89</v>
      </c>
      <c r="H8659">
        <v>250416</v>
      </c>
      <c r="I8659">
        <v>4600</v>
      </c>
      <c r="J8659" t="s">
        <v>278</v>
      </c>
      <c r="K8659">
        <v>5.89</v>
      </c>
      <c r="L8659">
        <v>1.2</v>
      </c>
      <c r="M8659">
        <v>56568</v>
      </c>
      <c r="N8659" t="s">
        <v>354</v>
      </c>
      <c r="O8659">
        <v>250424</v>
      </c>
      <c r="P8659">
        <v>4.6900000000000004</v>
      </c>
    </row>
    <row r="8660" spans="1:16" x14ac:dyDescent="0.25">
      <c r="A8660" t="s">
        <v>3296</v>
      </c>
      <c r="B8660" t="s">
        <v>2931</v>
      </c>
      <c r="C8660">
        <v>5447</v>
      </c>
      <c r="D8660" t="str">
        <f>"1358586     "</f>
        <v xml:space="preserve">1358586     </v>
      </c>
      <c r="E8660" t="s">
        <v>353</v>
      </c>
      <c r="F8660" t="s">
        <v>355</v>
      </c>
      <c r="G8660">
        <v>158.36000000000001</v>
      </c>
      <c r="H8660">
        <v>250416</v>
      </c>
      <c r="I8660">
        <v>4600</v>
      </c>
      <c r="J8660" t="s">
        <v>278</v>
      </c>
      <c r="K8660">
        <v>158.36000000000001</v>
      </c>
      <c r="L8660">
        <v>32.18</v>
      </c>
      <c r="M8660">
        <v>67554</v>
      </c>
      <c r="N8660" t="s">
        <v>317</v>
      </c>
      <c r="O8660">
        <v>250424</v>
      </c>
      <c r="P8660">
        <v>126.18</v>
      </c>
    </row>
    <row r="8661" spans="1:16" x14ac:dyDescent="0.25">
      <c r="A8661" t="s">
        <v>3296</v>
      </c>
      <c r="B8661" t="s">
        <v>2931</v>
      </c>
      <c r="C8661">
        <v>5448</v>
      </c>
      <c r="D8661" t="str">
        <f>"1358550     "</f>
        <v xml:space="preserve">1358550     </v>
      </c>
      <c r="E8661" t="s">
        <v>353</v>
      </c>
      <c r="F8661" t="s">
        <v>355</v>
      </c>
      <c r="G8661">
        <v>10.220000000000001</v>
      </c>
      <c r="H8661">
        <v>250416</v>
      </c>
      <c r="I8661">
        <v>4600</v>
      </c>
      <c r="J8661" t="s">
        <v>278</v>
      </c>
      <c r="K8661">
        <v>10.220000000000001</v>
      </c>
      <c r="L8661">
        <v>2.08</v>
      </c>
      <c r="M8661">
        <v>56568</v>
      </c>
      <c r="N8661" t="s">
        <v>354</v>
      </c>
      <c r="O8661">
        <v>250424</v>
      </c>
      <c r="P8661">
        <v>8.14</v>
      </c>
    </row>
    <row r="8662" spans="1:16" x14ac:dyDescent="0.25">
      <c r="A8662" t="s">
        <v>3296</v>
      </c>
      <c r="B8662" t="s">
        <v>2931</v>
      </c>
      <c r="C8662">
        <v>5449</v>
      </c>
      <c r="D8662" t="str">
        <f>"1358581     "</f>
        <v xml:space="preserve">1358581     </v>
      </c>
      <c r="E8662" t="s">
        <v>353</v>
      </c>
      <c r="F8662" t="s">
        <v>355</v>
      </c>
      <c r="G8662">
        <v>4.4000000000000004</v>
      </c>
      <c r="H8662">
        <v>250416</v>
      </c>
      <c r="I8662">
        <v>4600</v>
      </c>
      <c r="J8662" t="s">
        <v>278</v>
      </c>
      <c r="K8662">
        <v>4.4000000000000004</v>
      </c>
      <c r="L8662">
        <v>0.89</v>
      </c>
      <c r="M8662">
        <v>56568</v>
      </c>
      <c r="N8662" t="s">
        <v>354</v>
      </c>
      <c r="O8662">
        <v>250424</v>
      </c>
      <c r="P8662">
        <v>3.51</v>
      </c>
    </row>
    <row r="8663" spans="1:16" x14ac:dyDescent="0.25">
      <c r="A8663" t="s">
        <v>3296</v>
      </c>
      <c r="B8663" t="s">
        <v>2931</v>
      </c>
      <c r="C8663">
        <v>5450</v>
      </c>
      <c r="D8663" t="str">
        <f>"1358573     "</f>
        <v xml:space="preserve">1358573     </v>
      </c>
      <c r="E8663" t="s">
        <v>353</v>
      </c>
      <c r="F8663" t="s">
        <v>355</v>
      </c>
      <c r="G8663">
        <v>225.76</v>
      </c>
      <c r="H8663">
        <v>250416</v>
      </c>
      <c r="I8663">
        <v>4600</v>
      </c>
      <c r="J8663" t="s">
        <v>278</v>
      </c>
      <c r="K8663">
        <v>225.76</v>
      </c>
      <c r="L8663">
        <v>45.87</v>
      </c>
      <c r="M8663">
        <v>56568</v>
      </c>
      <c r="N8663" t="s">
        <v>354</v>
      </c>
      <c r="O8663">
        <v>250424</v>
      </c>
      <c r="P8663">
        <v>179.89</v>
      </c>
    </row>
    <row r="8664" spans="1:16" x14ac:dyDescent="0.25">
      <c r="A8664" t="s">
        <v>3296</v>
      </c>
      <c r="B8664" t="s">
        <v>2931</v>
      </c>
      <c r="C8664">
        <v>5451</v>
      </c>
      <c r="D8664" t="str">
        <f>"1358582     "</f>
        <v xml:space="preserve">1358582     </v>
      </c>
      <c r="E8664" t="s">
        <v>353</v>
      </c>
      <c r="F8664" t="s">
        <v>355</v>
      </c>
      <c r="G8664">
        <v>15.55</v>
      </c>
      <c r="H8664">
        <v>250416</v>
      </c>
      <c r="I8664">
        <v>4600</v>
      </c>
      <c r="J8664" t="s">
        <v>278</v>
      </c>
      <c r="K8664">
        <v>37.299999999999997</v>
      </c>
      <c r="L8664">
        <v>3.16</v>
      </c>
      <c r="M8664">
        <v>67522</v>
      </c>
      <c r="N8664" t="s">
        <v>121</v>
      </c>
      <c r="O8664">
        <v>250424</v>
      </c>
      <c r="P8664">
        <v>12.39</v>
      </c>
    </row>
    <row r="8665" spans="1:16" x14ac:dyDescent="0.25">
      <c r="A8665" t="s">
        <v>3296</v>
      </c>
      <c r="B8665" t="s">
        <v>2931</v>
      </c>
      <c r="C8665">
        <v>5454</v>
      </c>
      <c r="D8665" t="str">
        <f>"1358555     "</f>
        <v xml:space="preserve">1358555     </v>
      </c>
      <c r="E8665" t="s">
        <v>353</v>
      </c>
      <c r="F8665" t="s">
        <v>355</v>
      </c>
      <c r="G8665">
        <v>427.99</v>
      </c>
      <c r="H8665">
        <v>250416</v>
      </c>
      <c r="I8665">
        <v>4600</v>
      </c>
      <c r="J8665" t="s">
        <v>278</v>
      </c>
      <c r="K8665">
        <v>427.99</v>
      </c>
      <c r="L8665">
        <v>86.96</v>
      </c>
      <c r="M8665">
        <v>56568</v>
      </c>
      <c r="N8665" t="s">
        <v>354</v>
      </c>
      <c r="O8665">
        <v>250424</v>
      </c>
      <c r="P8665">
        <v>341.03</v>
      </c>
    </row>
    <row r="8666" spans="1:16" x14ac:dyDescent="0.25">
      <c r="A8666" t="s">
        <v>3296</v>
      </c>
      <c r="B8666" t="s">
        <v>2931</v>
      </c>
      <c r="C8666">
        <v>5455</v>
      </c>
      <c r="D8666" t="str">
        <f>"1358557     "</f>
        <v xml:space="preserve">1358557     </v>
      </c>
      <c r="E8666" t="s">
        <v>353</v>
      </c>
      <c r="F8666" t="s">
        <v>355</v>
      </c>
      <c r="G8666">
        <v>499</v>
      </c>
      <c r="H8666">
        <v>250416</v>
      </c>
      <c r="I8666">
        <v>4600</v>
      </c>
      <c r="J8666" t="s">
        <v>278</v>
      </c>
      <c r="K8666">
        <v>499</v>
      </c>
      <c r="L8666">
        <v>101.39</v>
      </c>
      <c r="M8666">
        <v>56568</v>
      </c>
      <c r="N8666" t="s">
        <v>354</v>
      </c>
      <c r="O8666">
        <v>250424</v>
      </c>
      <c r="P8666">
        <v>397.61</v>
      </c>
    </row>
    <row r="8667" spans="1:16" x14ac:dyDescent="0.25">
      <c r="A8667" t="s">
        <v>3296</v>
      </c>
      <c r="B8667" t="s">
        <v>2931</v>
      </c>
      <c r="C8667">
        <v>5457</v>
      </c>
      <c r="D8667" t="str">
        <f>"1358570     "</f>
        <v xml:space="preserve">1358570     </v>
      </c>
      <c r="E8667" t="s">
        <v>353</v>
      </c>
      <c r="F8667" t="s">
        <v>355</v>
      </c>
      <c r="G8667">
        <v>16.72</v>
      </c>
      <c r="H8667">
        <v>250416</v>
      </c>
      <c r="I8667">
        <v>4600</v>
      </c>
      <c r="J8667" t="s">
        <v>278</v>
      </c>
      <c r="K8667">
        <v>16.72</v>
      </c>
      <c r="L8667">
        <v>3.4</v>
      </c>
      <c r="M8667">
        <v>56568</v>
      </c>
      <c r="N8667" t="s">
        <v>354</v>
      </c>
      <c r="O8667">
        <v>250424</v>
      </c>
      <c r="P8667">
        <v>13.32</v>
      </c>
    </row>
    <row r="8668" spans="1:16" x14ac:dyDescent="0.25">
      <c r="A8668" t="s">
        <v>3296</v>
      </c>
      <c r="B8668" t="s">
        <v>2931</v>
      </c>
      <c r="C8668">
        <v>5458</v>
      </c>
      <c r="D8668" t="str">
        <f>"1358576     "</f>
        <v xml:space="preserve">1358576     </v>
      </c>
      <c r="E8668" t="s">
        <v>353</v>
      </c>
      <c r="F8668" t="s">
        <v>355</v>
      </c>
      <c r="G8668">
        <v>4.46</v>
      </c>
      <c r="H8668">
        <v>250416</v>
      </c>
      <c r="I8668">
        <v>4600</v>
      </c>
      <c r="J8668" t="s">
        <v>278</v>
      </c>
      <c r="K8668">
        <v>4.46</v>
      </c>
      <c r="L8668">
        <v>0.91</v>
      </c>
      <c r="M8668">
        <v>56568</v>
      </c>
      <c r="N8668" t="s">
        <v>354</v>
      </c>
      <c r="O8668">
        <v>250424</v>
      </c>
      <c r="P8668">
        <v>3.55</v>
      </c>
    </row>
    <row r="8669" spans="1:16" x14ac:dyDescent="0.25">
      <c r="A8669" t="s">
        <v>3296</v>
      </c>
      <c r="B8669" t="s">
        <v>2931</v>
      </c>
      <c r="C8669">
        <v>5459</v>
      </c>
      <c r="D8669" t="str">
        <f>"1358547     "</f>
        <v xml:space="preserve">1358547     </v>
      </c>
      <c r="E8669" t="s">
        <v>353</v>
      </c>
      <c r="F8669" t="s">
        <v>355</v>
      </c>
      <c r="G8669">
        <v>121.46</v>
      </c>
      <c r="H8669">
        <v>250416</v>
      </c>
      <c r="I8669">
        <v>4600</v>
      </c>
      <c r="J8669" t="s">
        <v>278</v>
      </c>
      <c r="K8669">
        <v>121.46</v>
      </c>
      <c r="L8669">
        <v>24.68</v>
      </c>
      <c r="M8669">
        <v>56568</v>
      </c>
      <c r="N8669" t="s">
        <v>354</v>
      </c>
      <c r="O8669">
        <v>250424</v>
      </c>
      <c r="P8669">
        <v>96.78</v>
      </c>
    </row>
    <row r="8670" spans="1:16" x14ac:dyDescent="0.25">
      <c r="A8670" t="s">
        <v>3296</v>
      </c>
      <c r="B8670" t="s">
        <v>2931</v>
      </c>
      <c r="C8670">
        <v>5460</v>
      </c>
      <c r="D8670" t="str">
        <f>"1358571     "</f>
        <v xml:space="preserve">1358571     </v>
      </c>
      <c r="E8670" t="s">
        <v>353</v>
      </c>
      <c r="F8670" t="s">
        <v>355</v>
      </c>
      <c r="G8670">
        <v>82.4</v>
      </c>
      <c r="H8670">
        <v>250416</v>
      </c>
      <c r="I8670">
        <v>4600</v>
      </c>
      <c r="J8670" t="s">
        <v>278</v>
      </c>
      <c r="K8670">
        <v>82.4</v>
      </c>
      <c r="L8670">
        <v>16.739999999999998</v>
      </c>
      <c r="M8670">
        <v>56568</v>
      </c>
      <c r="N8670" t="s">
        <v>354</v>
      </c>
      <c r="O8670">
        <v>250424</v>
      </c>
      <c r="P8670">
        <v>65.66</v>
      </c>
    </row>
    <row r="8671" spans="1:16" x14ac:dyDescent="0.25">
      <c r="A8671" t="s">
        <v>3296</v>
      </c>
      <c r="B8671" t="s">
        <v>2931</v>
      </c>
      <c r="C8671">
        <v>5461</v>
      </c>
      <c r="D8671" t="str">
        <f>"1358552     "</f>
        <v xml:space="preserve">1358552     </v>
      </c>
      <c r="E8671" t="s">
        <v>353</v>
      </c>
      <c r="F8671" t="s">
        <v>355</v>
      </c>
      <c r="G8671">
        <v>79.7</v>
      </c>
      <c r="H8671">
        <v>250416</v>
      </c>
      <c r="I8671">
        <v>4600</v>
      </c>
      <c r="J8671" t="s">
        <v>278</v>
      </c>
      <c r="K8671">
        <v>79.7</v>
      </c>
      <c r="L8671">
        <v>16.190000000000001</v>
      </c>
      <c r="M8671">
        <v>56568</v>
      </c>
      <c r="N8671" t="s">
        <v>354</v>
      </c>
      <c r="O8671">
        <v>250424</v>
      </c>
      <c r="P8671">
        <v>63.51</v>
      </c>
    </row>
    <row r="8672" spans="1:16" x14ac:dyDescent="0.25">
      <c r="A8672" t="s">
        <v>3296</v>
      </c>
      <c r="B8672" t="s">
        <v>2931</v>
      </c>
      <c r="C8672">
        <v>5462</v>
      </c>
      <c r="D8672" t="str">
        <f>"1358563     "</f>
        <v xml:space="preserve">1358563     </v>
      </c>
      <c r="E8672" t="s">
        <v>353</v>
      </c>
      <c r="F8672" t="s">
        <v>355</v>
      </c>
      <c r="G8672">
        <v>62.86</v>
      </c>
      <c r="H8672">
        <v>250416</v>
      </c>
      <c r="I8672">
        <v>4600</v>
      </c>
      <c r="J8672" t="s">
        <v>278</v>
      </c>
      <c r="K8672">
        <v>62.86</v>
      </c>
      <c r="L8672">
        <v>12.77</v>
      </c>
      <c r="M8672">
        <v>56568</v>
      </c>
      <c r="N8672" t="s">
        <v>354</v>
      </c>
      <c r="O8672">
        <v>250424</v>
      </c>
      <c r="P8672">
        <v>50.09</v>
      </c>
    </row>
    <row r="8673" spans="1:16" x14ac:dyDescent="0.25">
      <c r="A8673" t="s">
        <v>3296</v>
      </c>
      <c r="B8673" t="s">
        <v>2931</v>
      </c>
      <c r="C8673">
        <v>5466</v>
      </c>
      <c r="D8673" t="str">
        <f>"1358572     "</f>
        <v xml:space="preserve">1358572     </v>
      </c>
      <c r="E8673" t="s">
        <v>353</v>
      </c>
      <c r="F8673" t="s">
        <v>355</v>
      </c>
      <c r="G8673">
        <v>22.18</v>
      </c>
      <c r="H8673">
        <v>250416</v>
      </c>
      <c r="I8673">
        <v>4600</v>
      </c>
      <c r="J8673" t="s">
        <v>278</v>
      </c>
      <c r="K8673">
        <v>22.18</v>
      </c>
      <c r="L8673">
        <v>4.51</v>
      </c>
      <c r="M8673">
        <v>56568</v>
      </c>
      <c r="N8673" t="s">
        <v>354</v>
      </c>
      <c r="O8673">
        <v>250424</v>
      </c>
      <c r="P8673">
        <v>17.670000000000002</v>
      </c>
    </row>
    <row r="8674" spans="1:16" x14ac:dyDescent="0.25">
      <c r="A8674" t="s">
        <v>3296</v>
      </c>
      <c r="B8674" t="s">
        <v>2931</v>
      </c>
      <c r="C8674">
        <v>5467</v>
      </c>
      <c r="D8674" t="str">
        <f>"1358560     "</f>
        <v xml:space="preserve">1358560     </v>
      </c>
      <c r="E8674" t="s">
        <v>353</v>
      </c>
      <c r="F8674" t="s">
        <v>355</v>
      </c>
      <c r="G8674">
        <v>5.4</v>
      </c>
      <c r="H8674">
        <v>250416</v>
      </c>
      <c r="I8674">
        <v>4600</v>
      </c>
      <c r="J8674" t="s">
        <v>278</v>
      </c>
      <c r="K8674">
        <v>5.4</v>
      </c>
      <c r="L8674">
        <v>1.1000000000000001</v>
      </c>
      <c r="M8674">
        <v>56568</v>
      </c>
      <c r="N8674" t="s">
        <v>354</v>
      </c>
      <c r="O8674">
        <v>250424</v>
      </c>
      <c r="P8674">
        <v>4.3</v>
      </c>
    </row>
    <row r="8675" spans="1:16" x14ac:dyDescent="0.25">
      <c r="A8675" t="s">
        <v>3296</v>
      </c>
      <c r="B8675" t="s">
        <v>2931</v>
      </c>
      <c r="C8675">
        <v>5468</v>
      </c>
      <c r="D8675" t="str">
        <f>"1358568     "</f>
        <v xml:space="preserve">1358568     </v>
      </c>
      <c r="E8675" t="s">
        <v>353</v>
      </c>
      <c r="F8675" t="s">
        <v>355</v>
      </c>
      <c r="G8675">
        <v>40.69</v>
      </c>
      <c r="H8675">
        <v>250416</v>
      </c>
      <c r="I8675">
        <v>4600</v>
      </c>
      <c r="J8675" t="s">
        <v>278</v>
      </c>
      <c r="K8675">
        <v>40.69</v>
      </c>
      <c r="L8675">
        <v>8.27</v>
      </c>
      <c r="M8675">
        <v>56568</v>
      </c>
      <c r="N8675" t="s">
        <v>354</v>
      </c>
      <c r="O8675">
        <v>250424</v>
      </c>
      <c r="P8675">
        <v>32.42</v>
      </c>
    </row>
    <row r="8676" spans="1:16" x14ac:dyDescent="0.25">
      <c r="A8676" t="s">
        <v>3296</v>
      </c>
      <c r="B8676" t="s">
        <v>2931</v>
      </c>
      <c r="C8676">
        <v>5470</v>
      </c>
      <c r="D8676" t="str">
        <f>"1358554     "</f>
        <v xml:space="preserve">1358554     </v>
      </c>
      <c r="E8676" t="s">
        <v>353</v>
      </c>
      <c r="F8676" t="s">
        <v>355</v>
      </c>
      <c r="G8676">
        <v>-32.74</v>
      </c>
      <c r="H8676">
        <v>250416</v>
      </c>
      <c r="I8676">
        <v>4600</v>
      </c>
      <c r="J8676" t="s">
        <v>278</v>
      </c>
      <c r="K8676">
        <v>-32.74</v>
      </c>
      <c r="L8676">
        <v>-6.65</v>
      </c>
      <c r="M8676">
        <v>56568</v>
      </c>
      <c r="N8676" t="s">
        <v>354</v>
      </c>
      <c r="O8676">
        <v>250424</v>
      </c>
      <c r="P8676">
        <v>-26.09</v>
      </c>
    </row>
    <row r="8677" spans="1:16" x14ac:dyDescent="0.25">
      <c r="A8677" t="s">
        <v>3296</v>
      </c>
      <c r="B8677" t="s">
        <v>2931</v>
      </c>
      <c r="C8677">
        <v>5471</v>
      </c>
      <c r="D8677" t="str">
        <f>"1358551     "</f>
        <v xml:space="preserve">1358551     </v>
      </c>
      <c r="E8677" t="s">
        <v>353</v>
      </c>
      <c r="F8677" t="s">
        <v>355</v>
      </c>
      <c r="G8677">
        <v>-9.18</v>
      </c>
      <c r="H8677">
        <v>250416</v>
      </c>
      <c r="I8677">
        <v>4600</v>
      </c>
      <c r="J8677" t="s">
        <v>278</v>
      </c>
      <c r="K8677">
        <v>-9.18</v>
      </c>
      <c r="L8677">
        <v>-1.87</v>
      </c>
      <c r="M8677">
        <v>56568</v>
      </c>
      <c r="N8677" t="s">
        <v>354</v>
      </c>
      <c r="O8677">
        <v>250424</v>
      </c>
      <c r="P8677">
        <v>-7.31</v>
      </c>
    </row>
    <row r="8678" spans="1:16" x14ac:dyDescent="0.25">
      <c r="A8678" t="s">
        <v>3296</v>
      </c>
      <c r="B8678" t="s">
        <v>2931</v>
      </c>
      <c r="C8678">
        <v>5472</v>
      </c>
      <c r="D8678" t="str">
        <f>"1358565     "</f>
        <v xml:space="preserve">1358565     </v>
      </c>
      <c r="E8678" t="s">
        <v>353</v>
      </c>
      <c r="F8678" t="s">
        <v>355</v>
      </c>
      <c r="G8678">
        <v>-82</v>
      </c>
      <c r="H8678">
        <v>250416</v>
      </c>
      <c r="I8678">
        <v>4600</v>
      </c>
      <c r="J8678" t="s">
        <v>278</v>
      </c>
      <c r="K8678">
        <v>-82</v>
      </c>
      <c r="L8678">
        <v>-16.66</v>
      </c>
      <c r="M8678">
        <v>56568</v>
      </c>
      <c r="N8678" t="s">
        <v>354</v>
      </c>
      <c r="O8678">
        <v>250424</v>
      </c>
      <c r="P8678">
        <v>-65.34</v>
      </c>
    </row>
    <row r="8679" spans="1:16" x14ac:dyDescent="0.25">
      <c r="A8679" t="s">
        <v>3296</v>
      </c>
      <c r="B8679" t="s">
        <v>2931</v>
      </c>
      <c r="C8679">
        <v>5474</v>
      </c>
      <c r="D8679" t="str">
        <f>"1358564     "</f>
        <v xml:space="preserve">1358564     </v>
      </c>
      <c r="E8679" t="s">
        <v>353</v>
      </c>
      <c r="F8679" t="s">
        <v>355</v>
      </c>
      <c r="G8679">
        <v>16.57</v>
      </c>
      <c r="H8679">
        <v>250416</v>
      </c>
      <c r="I8679">
        <v>4600</v>
      </c>
      <c r="J8679" t="s">
        <v>278</v>
      </c>
      <c r="K8679">
        <v>16.57</v>
      </c>
      <c r="L8679">
        <v>3.37</v>
      </c>
      <c r="M8679">
        <v>56568</v>
      </c>
      <c r="N8679" t="s">
        <v>354</v>
      </c>
      <c r="O8679">
        <v>250424</v>
      </c>
      <c r="P8679">
        <v>13.2</v>
      </c>
    </row>
    <row r="8680" spans="1:16" x14ac:dyDescent="0.25">
      <c r="A8680" t="s">
        <v>3296</v>
      </c>
      <c r="B8680" t="s">
        <v>2931</v>
      </c>
      <c r="C8680">
        <v>5476</v>
      </c>
      <c r="D8680" t="str">
        <f>"1358574     "</f>
        <v xml:space="preserve">1358574     </v>
      </c>
      <c r="E8680" t="s">
        <v>353</v>
      </c>
      <c r="F8680" t="s">
        <v>355</v>
      </c>
      <c r="G8680">
        <v>1.66</v>
      </c>
      <c r="H8680">
        <v>250416</v>
      </c>
      <c r="I8680">
        <v>4600</v>
      </c>
      <c r="J8680" t="s">
        <v>278</v>
      </c>
      <c r="K8680">
        <v>1.66</v>
      </c>
      <c r="L8680">
        <v>0.34</v>
      </c>
      <c r="M8680">
        <v>56568</v>
      </c>
      <c r="N8680" t="s">
        <v>354</v>
      </c>
      <c r="O8680">
        <v>250424</v>
      </c>
      <c r="P8680">
        <v>1.32</v>
      </c>
    </row>
    <row r="8681" spans="1:16" x14ac:dyDescent="0.25">
      <c r="A8681" t="s">
        <v>3296</v>
      </c>
      <c r="B8681" t="s">
        <v>2931</v>
      </c>
      <c r="C8681">
        <v>5484</v>
      </c>
      <c r="D8681" t="str">
        <f>"1358589     "</f>
        <v xml:space="preserve">1358589     </v>
      </c>
      <c r="E8681" t="s">
        <v>353</v>
      </c>
      <c r="F8681" t="s">
        <v>355</v>
      </c>
      <c r="G8681">
        <v>32.93</v>
      </c>
      <c r="H8681">
        <v>250416</v>
      </c>
      <c r="I8681">
        <v>4600</v>
      </c>
      <c r="J8681" t="s">
        <v>278</v>
      </c>
      <c r="K8681">
        <v>38.869999999999997</v>
      </c>
      <c r="L8681">
        <v>6.69</v>
      </c>
      <c r="M8681">
        <v>66722</v>
      </c>
      <c r="N8681" t="s">
        <v>118</v>
      </c>
      <c r="O8681">
        <v>250424</v>
      </c>
      <c r="P8681">
        <v>26.24</v>
      </c>
    </row>
    <row r="8682" spans="1:16" x14ac:dyDescent="0.25">
      <c r="A8682" t="s">
        <v>3296</v>
      </c>
      <c r="B8682" t="s">
        <v>2931</v>
      </c>
      <c r="C8682">
        <v>5973</v>
      </c>
      <c r="D8682" t="str">
        <f>"1359886     "</f>
        <v xml:space="preserve">1359886     </v>
      </c>
      <c r="E8682" t="s">
        <v>353</v>
      </c>
      <c r="F8682" t="s">
        <v>355</v>
      </c>
      <c r="G8682">
        <v>17.399999999999999</v>
      </c>
      <c r="H8682">
        <v>250430</v>
      </c>
      <c r="I8682">
        <v>4600</v>
      </c>
      <c r="J8682" t="s">
        <v>278</v>
      </c>
      <c r="K8682">
        <v>17.399999999999999</v>
      </c>
      <c r="L8682">
        <v>3.54</v>
      </c>
      <c r="M8682">
        <v>56568</v>
      </c>
      <c r="N8682" t="s">
        <v>354</v>
      </c>
      <c r="O8682">
        <v>250507</v>
      </c>
      <c r="P8682">
        <v>13.86</v>
      </c>
    </row>
    <row r="8683" spans="1:16" x14ac:dyDescent="0.25">
      <c r="A8683" t="s">
        <v>3296</v>
      </c>
      <c r="B8683" t="s">
        <v>2931</v>
      </c>
      <c r="C8683">
        <v>5974</v>
      </c>
      <c r="D8683" t="str">
        <f>"1359898     "</f>
        <v xml:space="preserve">1359898     </v>
      </c>
      <c r="E8683" t="s">
        <v>353</v>
      </c>
      <c r="F8683" t="s">
        <v>355</v>
      </c>
      <c r="G8683">
        <v>115.73</v>
      </c>
      <c r="H8683">
        <v>250430</v>
      </c>
      <c r="I8683">
        <v>4600</v>
      </c>
      <c r="J8683" t="s">
        <v>278</v>
      </c>
      <c r="K8683">
        <v>115.73</v>
      </c>
      <c r="L8683">
        <v>23.51</v>
      </c>
      <c r="M8683">
        <v>56568</v>
      </c>
      <c r="N8683" t="s">
        <v>354</v>
      </c>
      <c r="O8683">
        <v>250507</v>
      </c>
      <c r="P8683">
        <v>92.22</v>
      </c>
    </row>
    <row r="8684" spans="1:16" x14ac:dyDescent="0.25">
      <c r="A8684" t="s">
        <v>3296</v>
      </c>
      <c r="B8684" t="s">
        <v>2931</v>
      </c>
      <c r="C8684">
        <v>5975</v>
      </c>
      <c r="D8684" t="str">
        <f>"1359900     "</f>
        <v xml:space="preserve">1359900     </v>
      </c>
      <c r="E8684" t="s">
        <v>353</v>
      </c>
      <c r="F8684" t="s">
        <v>355</v>
      </c>
      <c r="G8684">
        <v>39.39</v>
      </c>
      <c r="H8684">
        <v>250430</v>
      </c>
      <c r="I8684">
        <v>4600</v>
      </c>
      <c r="J8684" t="s">
        <v>278</v>
      </c>
      <c r="K8684">
        <v>39.39</v>
      </c>
      <c r="L8684">
        <v>8</v>
      </c>
      <c r="M8684">
        <v>56568</v>
      </c>
      <c r="N8684" t="s">
        <v>354</v>
      </c>
      <c r="O8684">
        <v>250507</v>
      </c>
      <c r="P8684">
        <v>31.39</v>
      </c>
    </row>
    <row r="8685" spans="1:16" x14ac:dyDescent="0.25">
      <c r="A8685" t="s">
        <v>3296</v>
      </c>
      <c r="B8685" t="s">
        <v>2931</v>
      </c>
      <c r="C8685">
        <v>5976</v>
      </c>
      <c r="D8685" t="str">
        <f>"1359904     "</f>
        <v xml:space="preserve">1359904     </v>
      </c>
      <c r="E8685" t="s">
        <v>353</v>
      </c>
      <c r="F8685" t="s">
        <v>355</v>
      </c>
      <c r="G8685">
        <v>16</v>
      </c>
      <c r="H8685">
        <v>250430</v>
      </c>
      <c r="I8685">
        <v>4600</v>
      </c>
      <c r="J8685" t="s">
        <v>278</v>
      </c>
      <c r="K8685">
        <v>16</v>
      </c>
      <c r="L8685">
        <v>3.25</v>
      </c>
      <c r="M8685">
        <v>56568</v>
      </c>
      <c r="N8685" t="s">
        <v>354</v>
      </c>
      <c r="O8685">
        <v>250507</v>
      </c>
      <c r="P8685">
        <v>12.75</v>
      </c>
    </row>
    <row r="8686" spans="1:16" x14ac:dyDescent="0.25">
      <c r="A8686" t="s">
        <v>3296</v>
      </c>
      <c r="B8686" t="s">
        <v>2931</v>
      </c>
      <c r="C8686">
        <v>6013</v>
      </c>
      <c r="D8686" t="str">
        <f>"1359882     "</f>
        <v xml:space="preserve">1359882     </v>
      </c>
      <c r="E8686" t="s">
        <v>353</v>
      </c>
      <c r="F8686" t="s">
        <v>355</v>
      </c>
      <c r="G8686">
        <v>6.28</v>
      </c>
      <c r="H8686">
        <v>250430</v>
      </c>
      <c r="I8686">
        <v>4600</v>
      </c>
      <c r="J8686" t="s">
        <v>278</v>
      </c>
      <c r="K8686">
        <v>6.28</v>
      </c>
      <c r="L8686">
        <v>1.28</v>
      </c>
      <c r="M8686">
        <v>56560</v>
      </c>
      <c r="N8686" t="s">
        <v>52</v>
      </c>
      <c r="O8686">
        <v>250508</v>
      </c>
      <c r="P8686">
        <v>5</v>
      </c>
    </row>
    <row r="8687" spans="1:16" x14ac:dyDescent="0.25">
      <c r="A8687" t="s">
        <v>3296</v>
      </c>
      <c r="B8687" t="s">
        <v>2931</v>
      </c>
      <c r="C8687">
        <v>6014</v>
      </c>
      <c r="D8687" t="str">
        <f>"1359899     "</f>
        <v xml:space="preserve">1359899     </v>
      </c>
      <c r="E8687" t="s">
        <v>353</v>
      </c>
      <c r="F8687" t="s">
        <v>355</v>
      </c>
      <c r="G8687">
        <v>132.85</v>
      </c>
      <c r="H8687">
        <v>250430</v>
      </c>
      <c r="I8687">
        <v>4600</v>
      </c>
      <c r="J8687" t="s">
        <v>278</v>
      </c>
      <c r="K8687">
        <v>132.85</v>
      </c>
      <c r="L8687">
        <v>26.99</v>
      </c>
      <c r="M8687">
        <v>56568</v>
      </c>
      <c r="N8687" t="s">
        <v>354</v>
      </c>
      <c r="O8687">
        <v>250508</v>
      </c>
      <c r="P8687">
        <v>105.86</v>
      </c>
    </row>
    <row r="8688" spans="1:16" x14ac:dyDescent="0.25">
      <c r="A8688" t="s">
        <v>3296</v>
      </c>
      <c r="B8688" t="s">
        <v>2931</v>
      </c>
      <c r="C8688">
        <v>6016</v>
      </c>
      <c r="D8688" t="str">
        <f>"1359897     "</f>
        <v xml:space="preserve">1359897     </v>
      </c>
      <c r="E8688" t="s">
        <v>353</v>
      </c>
      <c r="F8688" t="s">
        <v>355</v>
      </c>
      <c r="G8688">
        <v>81.45</v>
      </c>
      <c r="H8688">
        <v>250430</v>
      </c>
      <c r="I8688">
        <v>4600</v>
      </c>
      <c r="J8688" t="s">
        <v>278</v>
      </c>
      <c r="K8688">
        <v>81.45</v>
      </c>
      <c r="L8688">
        <v>16.55</v>
      </c>
      <c r="M8688">
        <v>56568</v>
      </c>
      <c r="N8688" t="s">
        <v>354</v>
      </c>
      <c r="O8688">
        <v>250508</v>
      </c>
      <c r="P8688">
        <v>64.900000000000006</v>
      </c>
    </row>
    <row r="8689" spans="1:16" x14ac:dyDescent="0.25">
      <c r="A8689" t="s">
        <v>3296</v>
      </c>
      <c r="B8689" t="s">
        <v>2931</v>
      </c>
      <c r="C8689">
        <v>6017</v>
      </c>
      <c r="D8689" t="str">
        <f>"1359891     "</f>
        <v xml:space="preserve">1359891     </v>
      </c>
      <c r="E8689" t="s">
        <v>353</v>
      </c>
      <c r="F8689" t="s">
        <v>355</v>
      </c>
      <c r="G8689">
        <v>71.58</v>
      </c>
      <c r="H8689">
        <v>250430</v>
      </c>
      <c r="I8689">
        <v>4600</v>
      </c>
      <c r="J8689" t="s">
        <v>278</v>
      </c>
      <c r="K8689">
        <v>71.58</v>
      </c>
      <c r="L8689">
        <v>14.54</v>
      </c>
      <c r="M8689">
        <v>56568</v>
      </c>
      <c r="N8689" t="s">
        <v>354</v>
      </c>
      <c r="O8689">
        <v>250508</v>
      </c>
      <c r="P8689">
        <v>57.04</v>
      </c>
    </row>
    <row r="8690" spans="1:16" x14ac:dyDescent="0.25">
      <c r="A8690" t="s">
        <v>3296</v>
      </c>
      <c r="B8690" t="s">
        <v>2931</v>
      </c>
      <c r="C8690">
        <v>6018</v>
      </c>
      <c r="D8690" t="str">
        <f>"1359909     "</f>
        <v xml:space="preserve">1359909     </v>
      </c>
      <c r="E8690" t="s">
        <v>353</v>
      </c>
      <c r="F8690" t="s">
        <v>355</v>
      </c>
      <c r="G8690">
        <v>26.01</v>
      </c>
      <c r="H8690">
        <v>250430</v>
      </c>
      <c r="I8690">
        <v>4600</v>
      </c>
      <c r="J8690" t="s">
        <v>278</v>
      </c>
      <c r="K8690">
        <v>26.01</v>
      </c>
      <c r="L8690">
        <v>5.28</v>
      </c>
      <c r="M8690">
        <v>67554</v>
      </c>
      <c r="N8690" t="s">
        <v>317</v>
      </c>
      <c r="O8690">
        <v>250508</v>
      </c>
      <c r="P8690">
        <v>20.73</v>
      </c>
    </row>
    <row r="8691" spans="1:16" x14ac:dyDescent="0.25">
      <c r="A8691" t="s">
        <v>3296</v>
      </c>
      <c r="B8691" t="s">
        <v>2931</v>
      </c>
      <c r="C8691">
        <v>6019</v>
      </c>
      <c r="D8691" t="str">
        <f>"1359892     "</f>
        <v xml:space="preserve">1359892     </v>
      </c>
      <c r="E8691" t="s">
        <v>353</v>
      </c>
      <c r="F8691" t="s">
        <v>355</v>
      </c>
      <c r="G8691">
        <v>95.25</v>
      </c>
      <c r="H8691">
        <v>250430</v>
      </c>
      <c r="I8691">
        <v>4600</v>
      </c>
      <c r="J8691" t="s">
        <v>278</v>
      </c>
      <c r="K8691">
        <v>95.25</v>
      </c>
      <c r="L8691">
        <v>19.350000000000001</v>
      </c>
      <c r="M8691">
        <v>56568</v>
      </c>
      <c r="N8691" t="s">
        <v>354</v>
      </c>
      <c r="O8691">
        <v>250508</v>
      </c>
      <c r="P8691">
        <v>75.900000000000006</v>
      </c>
    </row>
    <row r="8692" spans="1:16" x14ac:dyDescent="0.25">
      <c r="A8692" t="s">
        <v>3296</v>
      </c>
      <c r="B8692" t="s">
        <v>2931</v>
      </c>
      <c r="C8692">
        <v>6020</v>
      </c>
      <c r="D8692" t="str">
        <f>"1359888     "</f>
        <v xml:space="preserve">1359888     </v>
      </c>
      <c r="E8692" t="s">
        <v>353</v>
      </c>
      <c r="F8692" t="s">
        <v>355</v>
      </c>
      <c r="G8692">
        <v>64.17</v>
      </c>
      <c r="H8692">
        <v>250430</v>
      </c>
      <c r="I8692">
        <v>4600</v>
      </c>
      <c r="J8692" t="s">
        <v>278</v>
      </c>
      <c r="K8692">
        <v>64.17</v>
      </c>
      <c r="L8692">
        <v>13.04</v>
      </c>
      <c r="M8692">
        <v>56568</v>
      </c>
      <c r="N8692" t="s">
        <v>354</v>
      </c>
      <c r="O8692">
        <v>250508</v>
      </c>
      <c r="P8692">
        <v>51.13</v>
      </c>
    </row>
    <row r="8693" spans="1:16" x14ac:dyDescent="0.25">
      <c r="A8693" t="s">
        <v>3296</v>
      </c>
      <c r="B8693" t="s">
        <v>2931</v>
      </c>
      <c r="C8693">
        <v>6021</v>
      </c>
      <c r="D8693" t="str">
        <f>"1359885     "</f>
        <v xml:space="preserve">1359885     </v>
      </c>
      <c r="E8693" t="s">
        <v>353</v>
      </c>
      <c r="F8693" t="s">
        <v>355</v>
      </c>
      <c r="G8693">
        <v>198.09</v>
      </c>
      <c r="H8693">
        <v>250430</v>
      </c>
      <c r="I8693">
        <v>4600</v>
      </c>
      <c r="J8693" t="s">
        <v>278</v>
      </c>
      <c r="K8693">
        <v>198.09</v>
      </c>
      <c r="L8693">
        <v>40.25</v>
      </c>
      <c r="M8693">
        <v>56568</v>
      </c>
      <c r="N8693" t="s">
        <v>354</v>
      </c>
      <c r="O8693">
        <v>250508</v>
      </c>
      <c r="P8693">
        <v>157.84</v>
      </c>
    </row>
    <row r="8694" spans="1:16" x14ac:dyDescent="0.25">
      <c r="A8694" t="s">
        <v>3296</v>
      </c>
      <c r="B8694" t="s">
        <v>2931</v>
      </c>
      <c r="C8694">
        <v>6022</v>
      </c>
      <c r="D8694" t="str">
        <f>"1359884     "</f>
        <v xml:space="preserve">1359884     </v>
      </c>
      <c r="E8694" t="s">
        <v>353</v>
      </c>
      <c r="F8694" t="s">
        <v>355</v>
      </c>
      <c r="G8694">
        <v>196.13</v>
      </c>
      <c r="H8694">
        <v>250430</v>
      </c>
      <c r="I8694">
        <v>4600</v>
      </c>
      <c r="J8694" t="s">
        <v>278</v>
      </c>
      <c r="K8694">
        <v>196.13</v>
      </c>
      <c r="L8694">
        <v>39.85</v>
      </c>
      <c r="M8694">
        <v>56568</v>
      </c>
      <c r="N8694" t="s">
        <v>354</v>
      </c>
      <c r="O8694">
        <v>250508</v>
      </c>
      <c r="P8694">
        <v>156.28</v>
      </c>
    </row>
    <row r="8695" spans="1:16" x14ac:dyDescent="0.25">
      <c r="A8695" t="s">
        <v>3296</v>
      </c>
      <c r="B8695" t="s">
        <v>2931</v>
      </c>
      <c r="C8695">
        <v>6024</v>
      </c>
      <c r="D8695" t="str">
        <f>"1359887     "</f>
        <v xml:space="preserve">1359887     </v>
      </c>
      <c r="E8695" t="s">
        <v>353</v>
      </c>
      <c r="F8695" t="s">
        <v>355</v>
      </c>
      <c r="G8695">
        <v>148.06</v>
      </c>
      <c r="H8695">
        <v>250430</v>
      </c>
      <c r="I8695">
        <v>4600</v>
      </c>
      <c r="J8695" t="s">
        <v>278</v>
      </c>
      <c r="K8695">
        <v>148.06</v>
      </c>
      <c r="L8695">
        <v>30.08</v>
      </c>
      <c r="M8695">
        <v>56568</v>
      </c>
      <c r="N8695" t="s">
        <v>354</v>
      </c>
      <c r="O8695">
        <v>250508</v>
      </c>
      <c r="P8695">
        <v>117.98</v>
      </c>
    </row>
    <row r="8696" spans="1:16" x14ac:dyDescent="0.25">
      <c r="A8696" t="s">
        <v>3296</v>
      </c>
      <c r="B8696" t="s">
        <v>2931</v>
      </c>
      <c r="C8696">
        <v>6025</v>
      </c>
      <c r="D8696" t="str">
        <f>"1359902     "</f>
        <v xml:space="preserve">1359902     </v>
      </c>
      <c r="E8696" t="s">
        <v>353</v>
      </c>
      <c r="F8696" t="s">
        <v>355</v>
      </c>
      <c r="G8696">
        <v>101.5</v>
      </c>
      <c r="H8696">
        <v>250430</v>
      </c>
      <c r="I8696">
        <v>4600</v>
      </c>
      <c r="J8696" t="s">
        <v>278</v>
      </c>
      <c r="K8696">
        <v>101.5</v>
      </c>
      <c r="L8696">
        <v>20.62</v>
      </c>
      <c r="M8696">
        <v>56568</v>
      </c>
      <c r="N8696" t="s">
        <v>354</v>
      </c>
      <c r="O8696">
        <v>250508</v>
      </c>
      <c r="P8696">
        <v>80.88</v>
      </c>
    </row>
    <row r="8697" spans="1:16" x14ac:dyDescent="0.25">
      <c r="A8697" t="s">
        <v>3296</v>
      </c>
      <c r="B8697" t="s">
        <v>2931</v>
      </c>
      <c r="C8697">
        <v>6026</v>
      </c>
      <c r="D8697" t="str">
        <f>"1359901     "</f>
        <v xml:space="preserve">1359901     </v>
      </c>
      <c r="E8697" t="s">
        <v>353</v>
      </c>
      <c r="F8697" t="s">
        <v>355</v>
      </c>
      <c r="G8697">
        <v>5.6</v>
      </c>
      <c r="H8697">
        <v>250430</v>
      </c>
      <c r="I8697">
        <v>4600</v>
      </c>
      <c r="J8697" t="s">
        <v>278</v>
      </c>
      <c r="K8697">
        <v>5.6</v>
      </c>
      <c r="L8697">
        <v>1.1399999999999999</v>
      </c>
      <c r="M8697">
        <v>56568</v>
      </c>
      <c r="N8697" t="s">
        <v>354</v>
      </c>
      <c r="O8697">
        <v>250508</v>
      </c>
      <c r="P8697">
        <v>4.46</v>
      </c>
    </row>
    <row r="8698" spans="1:16" x14ac:dyDescent="0.25">
      <c r="A8698" t="s">
        <v>3296</v>
      </c>
      <c r="B8698" t="s">
        <v>2931</v>
      </c>
      <c r="C8698">
        <v>6027</v>
      </c>
      <c r="D8698" t="str">
        <f>"1359910     "</f>
        <v xml:space="preserve">1359910     </v>
      </c>
      <c r="E8698" t="s">
        <v>353</v>
      </c>
      <c r="F8698" t="s">
        <v>355</v>
      </c>
      <c r="G8698">
        <v>57.5</v>
      </c>
      <c r="H8698">
        <v>250430</v>
      </c>
      <c r="I8698">
        <v>4600</v>
      </c>
      <c r="J8698" t="s">
        <v>278</v>
      </c>
      <c r="K8698">
        <v>57.5</v>
      </c>
      <c r="L8698">
        <v>11.68</v>
      </c>
      <c r="M8698">
        <v>69501</v>
      </c>
      <c r="N8698" t="s">
        <v>123</v>
      </c>
      <c r="O8698">
        <v>250508</v>
      </c>
      <c r="P8698">
        <v>45.82</v>
      </c>
    </row>
    <row r="8699" spans="1:16" x14ac:dyDescent="0.25">
      <c r="A8699" t="s">
        <v>3296</v>
      </c>
      <c r="B8699" t="s">
        <v>2931</v>
      </c>
      <c r="C8699">
        <v>6028</v>
      </c>
      <c r="D8699" t="str">
        <f>"1359893     "</f>
        <v xml:space="preserve">1359893     </v>
      </c>
      <c r="E8699" t="s">
        <v>353</v>
      </c>
      <c r="F8699" t="s">
        <v>355</v>
      </c>
      <c r="G8699">
        <v>20.2</v>
      </c>
      <c r="H8699">
        <v>250430</v>
      </c>
      <c r="I8699">
        <v>4600</v>
      </c>
      <c r="J8699" t="s">
        <v>278</v>
      </c>
      <c r="K8699">
        <v>20.2</v>
      </c>
      <c r="L8699">
        <v>4.0999999999999996</v>
      </c>
      <c r="M8699">
        <v>56568</v>
      </c>
      <c r="N8699" t="s">
        <v>354</v>
      </c>
      <c r="O8699">
        <v>250508</v>
      </c>
      <c r="P8699">
        <v>16.100000000000001</v>
      </c>
    </row>
    <row r="8700" spans="1:16" x14ac:dyDescent="0.25">
      <c r="A8700" t="s">
        <v>3296</v>
      </c>
      <c r="B8700" t="s">
        <v>2931</v>
      </c>
      <c r="C8700">
        <v>6032</v>
      </c>
      <c r="D8700" t="str">
        <f>"1359895     "</f>
        <v xml:space="preserve">1359895     </v>
      </c>
      <c r="E8700" t="s">
        <v>353</v>
      </c>
      <c r="F8700" t="s">
        <v>355</v>
      </c>
      <c r="G8700">
        <v>41.5</v>
      </c>
      <c r="H8700">
        <v>250430</v>
      </c>
      <c r="I8700">
        <v>4600</v>
      </c>
      <c r="J8700" t="s">
        <v>278</v>
      </c>
      <c r="K8700">
        <v>41.5</v>
      </c>
      <c r="L8700">
        <v>8.43</v>
      </c>
      <c r="M8700">
        <v>56568</v>
      </c>
      <c r="N8700" t="s">
        <v>354</v>
      </c>
      <c r="O8700">
        <v>250508</v>
      </c>
      <c r="P8700">
        <v>33.07</v>
      </c>
    </row>
    <row r="8701" spans="1:16" x14ac:dyDescent="0.25">
      <c r="A8701" t="s">
        <v>3296</v>
      </c>
      <c r="B8701" t="s">
        <v>2931</v>
      </c>
      <c r="C8701">
        <v>6034</v>
      </c>
      <c r="D8701" t="str">
        <f>"1359896     "</f>
        <v xml:space="preserve">1359896     </v>
      </c>
      <c r="E8701" t="s">
        <v>353</v>
      </c>
      <c r="F8701" t="s">
        <v>355</v>
      </c>
      <c r="G8701">
        <v>41.82</v>
      </c>
      <c r="H8701">
        <v>250430</v>
      </c>
      <c r="I8701">
        <v>4600</v>
      </c>
      <c r="J8701" t="s">
        <v>278</v>
      </c>
      <c r="K8701">
        <v>41.82</v>
      </c>
      <c r="L8701">
        <v>8.5</v>
      </c>
      <c r="M8701">
        <v>56568</v>
      </c>
      <c r="N8701" t="s">
        <v>354</v>
      </c>
      <c r="O8701">
        <v>250508</v>
      </c>
      <c r="P8701">
        <v>33.32</v>
      </c>
    </row>
    <row r="8702" spans="1:16" x14ac:dyDescent="0.25">
      <c r="A8702" t="s">
        <v>3296</v>
      </c>
      <c r="B8702" t="s">
        <v>2931</v>
      </c>
      <c r="C8702">
        <v>6041</v>
      </c>
      <c r="D8702" t="str">
        <f>"1359883     "</f>
        <v xml:space="preserve">1359883     </v>
      </c>
      <c r="E8702" t="s">
        <v>353</v>
      </c>
      <c r="F8702" t="s">
        <v>355</v>
      </c>
      <c r="G8702">
        <v>160.66</v>
      </c>
      <c r="H8702">
        <v>250430</v>
      </c>
      <c r="I8702">
        <v>4600</v>
      </c>
      <c r="J8702" t="s">
        <v>278</v>
      </c>
      <c r="K8702">
        <v>160.66</v>
      </c>
      <c r="L8702">
        <v>32.64</v>
      </c>
      <c r="M8702">
        <v>56568</v>
      </c>
      <c r="N8702" t="s">
        <v>354</v>
      </c>
      <c r="O8702">
        <v>250508</v>
      </c>
      <c r="P8702">
        <v>128.02000000000001</v>
      </c>
    </row>
    <row r="8703" spans="1:16" x14ac:dyDescent="0.25">
      <c r="A8703" t="s">
        <v>3296</v>
      </c>
      <c r="B8703" t="s">
        <v>2931</v>
      </c>
      <c r="C8703">
        <v>6043</v>
      </c>
      <c r="D8703" t="str">
        <f>"1359903     "</f>
        <v xml:space="preserve">1359903     </v>
      </c>
      <c r="E8703" t="s">
        <v>353</v>
      </c>
      <c r="F8703" t="s">
        <v>355</v>
      </c>
      <c r="G8703">
        <v>32</v>
      </c>
      <c r="H8703">
        <v>250430</v>
      </c>
      <c r="I8703">
        <v>4600</v>
      </c>
      <c r="J8703" t="s">
        <v>278</v>
      </c>
      <c r="K8703">
        <v>32</v>
      </c>
      <c r="L8703">
        <v>6.5</v>
      </c>
      <c r="M8703">
        <v>56568</v>
      </c>
      <c r="N8703" t="s">
        <v>354</v>
      </c>
      <c r="O8703">
        <v>250508</v>
      </c>
      <c r="P8703">
        <v>25.5</v>
      </c>
    </row>
    <row r="8704" spans="1:16" x14ac:dyDescent="0.25">
      <c r="A8704" t="s">
        <v>3296</v>
      </c>
      <c r="B8704" t="s">
        <v>2931</v>
      </c>
      <c r="C8704">
        <v>6063</v>
      </c>
      <c r="D8704" t="str">
        <f>"1359907     "</f>
        <v xml:space="preserve">1359907     </v>
      </c>
      <c r="E8704" t="s">
        <v>353</v>
      </c>
      <c r="F8704" t="s">
        <v>355</v>
      </c>
      <c r="G8704">
        <v>600</v>
      </c>
      <c r="H8704">
        <v>250430</v>
      </c>
      <c r="I8704">
        <v>4600</v>
      </c>
      <c r="J8704" t="s">
        <v>278</v>
      </c>
      <c r="K8704">
        <v>661.75</v>
      </c>
      <c r="L8704">
        <v>121.91</v>
      </c>
      <c r="M8704">
        <v>67554</v>
      </c>
      <c r="N8704" t="s">
        <v>317</v>
      </c>
      <c r="O8704">
        <v>250508</v>
      </c>
      <c r="P8704">
        <v>478.09</v>
      </c>
    </row>
    <row r="8705" spans="1:16" x14ac:dyDescent="0.25">
      <c r="A8705" t="s">
        <v>3296</v>
      </c>
      <c r="B8705" t="s">
        <v>2931</v>
      </c>
      <c r="C8705">
        <v>6070</v>
      </c>
      <c r="D8705" t="str">
        <f>"1359905     "</f>
        <v xml:space="preserve">1359905     </v>
      </c>
      <c r="E8705" t="s">
        <v>353</v>
      </c>
      <c r="F8705" t="s">
        <v>355</v>
      </c>
      <c r="G8705">
        <v>34</v>
      </c>
      <c r="H8705">
        <v>250430</v>
      </c>
      <c r="I8705">
        <v>4600</v>
      </c>
      <c r="J8705" t="s">
        <v>278</v>
      </c>
      <c r="K8705">
        <v>34</v>
      </c>
      <c r="L8705">
        <v>6.91</v>
      </c>
      <c r="M8705">
        <v>56568</v>
      </c>
      <c r="N8705" t="s">
        <v>354</v>
      </c>
      <c r="O8705">
        <v>250508</v>
      </c>
      <c r="P8705">
        <v>27.09</v>
      </c>
    </row>
    <row r="8706" spans="1:16" x14ac:dyDescent="0.25">
      <c r="A8706" t="s">
        <v>3296</v>
      </c>
      <c r="B8706" t="s">
        <v>2931</v>
      </c>
      <c r="C8706">
        <v>6072</v>
      </c>
      <c r="D8706" t="str">
        <f>"1359906     "</f>
        <v xml:space="preserve">1359906     </v>
      </c>
      <c r="E8706" t="s">
        <v>353</v>
      </c>
      <c r="F8706" t="s">
        <v>355</v>
      </c>
      <c r="G8706">
        <v>59.25</v>
      </c>
      <c r="H8706">
        <v>250430</v>
      </c>
      <c r="I8706">
        <v>4600</v>
      </c>
      <c r="J8706" t="s">
        <v>278</v>
      </c>
      <c r="K8706">
        <v>59.25</v>
      </c>
      <c r="L8706">
        <v>12.04</v>
      </c>
      <c r="M8706">
        <v>56568</v>
      </c>
      <c r="N8706" t="s">
        <v>354</v>
      </c>
      <c r="O8706">
        <v>250508</v>
      </c>
      <c r="P8706">
        <v>47.21</v>
      </c>
    </row>
    <row r="8707" spans="1:16" x14ac:dyDescent="0.25">
      <c r="A8707" t="s">
        <v>3296</v>
      </c>
      <c r="B8707" t="s">
        <v>2931</v>
      </c>
      <c r="C8707">
        <v>6076</v>
      </c>
      <c r="D8707" t="str">
        <f>"1359889     "</f>
        <v xml:space="preserve">1359889     </v>
      </c>
      <c r="E8707" t="s">
        <v>353</v>
      </c>
      <c r="F8707" t="s">
        <v>355</v>
      </c>
      <c r="G8707">
        <v>25.58</v>
      </c>
      <c r="H8707">
        <v>250430</v>
      </c>
      <c r="I8707">
        <v>4600</v>
      </c>
      <c r="J8707" t="s">
        <v>278</v>
      </c>
      <c r="K8707">
        <v>25.58</v>
      </c>
      <c r="L8707">
        <v>5.2</v>
      </c>
      <c r="M8707">
        <v>56568</v>
      </c>
      <c r="N8707" t="s">
        <v>354</v>
      </c>
      <c r="O8707">
        <v>250508</v>
      </c>
      <c r="P8707">
        <v>20.38</v>
      </c>
    </row>
    <row r="8708" spans="1:16" x14ac:dyDescent="0.25">
      <c r="A8708" t="s">
        <v>3296</v>
      </c>
      <c r="B8708" t="s">
        <v>2931</v>
      </c>
      <c r="C8708">
        <v>6079</v>
      </c>
      <c r="D8708" t="str">
        <f>"1359894     "</f>
        <v xml:space="preserve">1359894     </v>
      </c>
      <c r="E8708" t="s">
        <v>353</v>
      </c>
      <c r="F8708" t="s">
        <v>355</v>
      </c>
      <c r="G8708">
        <v>42.78</v>
      </c>
      <c r="H8708">
        <v>250430</v>
      </c>
      <c r="I8708">
        <v>4600</v>
      </c>
      <c r="J8708" t="s">
        <v>278</v>
      </c>
      <c r="K8708">
        <v>42.78</v>
      </c>
      <c r="L8708">
        <v>8.69</v>
      </c>
      <c r="M8708">
        <v>56568</v>
      </c>
      <c r="N8708" t="s">
        <v>354</v>
      </c>
      <c r="O8708">
        <v>250508</v>
      </c>
      <c r="P8708">
        <v>34.090000000000003</v>
      </c>
    </row>
    <row r="8709" spans="1:16" x14ac:dyDescent="0.25">
      <c r="A8709" t="s">
        <v>3296</v>
      </c>
      <c r="B8709" t="s">
        <v>2931</v>
      </c>
      <c r="C8709">
        <v>6801</v>
      </c>
      <c r="D8709" t="str">
        <f>"1360573     "</f>
        <v xml:space="preserve">1360573     </v>
      </c>
      <c r="E8709" t="s">
        <v>353</v>
      </c>
      <c r="F8709" t="s">
        <v>355</v>
      </c>
      <c r="G8709">
        <v>18.8</v>
      </c>
      <c r="H8709">
        <v>250513</v>
      </c>
      <c r="I8709">
        <v>4600</v>
      </c>
      <c r="J8709" t="s">
        <v>278</v>
      </c>
      <c r="K8709">
        <v>156.38</v>
      </c>
      <c r="L8709">
        <v>3.82</v>
      </c>
      <c r="M8709">
        <v>67554</v>
      </c>
      <c r="N8709" t="s">
        <v>317</v>
      </c>
      <c r="O8709">
        <v>250516</v>
      </c>
      <c r="P8709">
        <v>14.98</v>
      </c>
    </row>
    <row r="8710" spans="1:16" x14ac:dyDescent="0.25">
      <c r="A8710" t="s">
        <v>3296</v>
      </c>
      <c r="B8710" t="s">
        <v>2931</v>
      </c>
      <c r="C8710">
        <v>6804</v>
      </c>
      <c r="D8710" t="str">
        <f>"1360572     "</f>
        <v xml:space="preserve">1360572     </v>
      </c>
      <c r="E8710" t="s">
        <v>353</v>
      </c>
      <c r="F8710" t="s">
        <v>355</v>
      </c>
      <c r="G8710">
        <v>712.84</v>
      </c>
      <c r="H8710">
        <v>250513</v>
      </c>
      <c r="I8710">
        <v>4600</v>
      </c>
      <c r="J8710" t="s">
        <v>278</v>
      </c>
      <c r="K8710">
        <v>712.84</v>
      </c>
      <c r="L8710">
        <v>144.84</v>
      </c>
      <c r="M8710">
        <v>66756</v>
      </c>
      <c r="N8710" t="s">
        <v>120</v>
      </c>
      <c r="O8710">
        <v>250516</v>
      </c>
      <c r="P8710">
        <v>568</v>
      </c>
    </row>
    <row r="8711" spans="1:16" x14ac:dyDescent="0.25">
      <c r="A8711" t="s">
        <v>3296</v>
      </c>
      <c r="B8711" t="s">
        <v>2931</v>
      </c>
      <c r="C8711">
        <v>6944</v>
      </c>
      <c r="D8711" t="str">
        <f>"1360560     "</f>
        <v xml:space="preserve">1360560     </v>
      </c>
      <c r="E8711" t="s">
        <v>353</v>
      </c>
      <c r="F8711" t="s">
        <v>355</v>
      </c>
      <c r="G8711">
        <v>226.1</v>
      </c>
      <c r="H8711">
        <v>250513</v>
      </c>
      <c r="I8711">
        <v>4600</v>
      </c>
      <c r="J8711" t="s">
        <v>278</v>
      </c>
      <c r="K8711">
        <v>226.1</v>
      </c>
      <c r="L8711">
        <v>45.94</v>
      </c>
      <c r="M8711">
        <v>56568</v>
      </c>
      <c r="N8711" t="s">
        <v>354</v>
      </c>
      <c r="O8711">
        <v>250521</v>
      </c>
      <c r="P8711">
        <v>180.16</v>
      </c>
    </row>
    <row r="8712" spans="1:16" x14ac:dyDescent="0.25">
      <c r="A8712" t="s">
        <v>3296</v>
      </c>
      <c r="B8712" t="s">
        <v>2931</v>
      </c>
      <c r="C8712">
        <v>6945</v>
      </c>
      <c r="D8712" t="str">
        <f>"1360545     "</f>
        <v xml:space="preserve">1360545     </v>
      </c>
      <c r="E8712" t="s">
        <v>353</v>
      </c>
      <c r="F8712" t="s">
        <v>355</v>
      </c>
      <c r="G8712">
        <v>55.29</v>
      </c>
      <c r="H8712">
        <v>250513</v>
      </c>
      <c r="I8712">
        <v>4600</v>
      </c>
      <c r="J8712" t="s">
        <v>278</v>
      </c>
      <c r="K8712">
        <v>55.29</v>
      </c>
      <c r="L8712">
        <v>11.23</v>
      </c>
      <c r="M8712">
        <v>56568</v>
      </c>
      <c r="N8712" t="s">
        <v>354</v>
      </c>
      <c r="O8712">
        <v>250521</v>
      </c>
      <c r="P8712">
        <v>44.06</v>
      </c>
    </row>
    <row r="8713" spans="1:16" x14ac:dyDescent="0.25">
      <c r="A8713" t="s">
        <v>3296</v>
      </c>
      <c r="B8713" t="s">
        <v>2931</v>
      </c>
      <c r="C8713">
        <v>6947</v>
      </c>
      <c r="D8713" t="str">
        <f>"1360550     "</f>
        <v xml:space="preserve">1360550     </v>
      </c>
      <c r="E8713" t="s">
        <v>353</v>
      </c>
      <c r="F8713" t="s">
        <v>355</v>
      </c>
      <c r="G8713">
        <v>13.76</v>
      </c>
      <c r="H8713">
        <v>250513</v>
      </c>
      <c r="I8713">
        <v>4600</v>
      </c>
      <c r="J8713" t="s">
        <v>278</v>
      </c>
      <c r="K8713">
        <v>13.76</v>
      </c>
      <c r="L8713">
        <v>2.8</v>
      </c>
      <c r="M8713">
        <v>51151</v>
      </c>
      <c r="N8713" t="s">
        <v>221</v>
      </c>
      <c r="O8713">
        <v>250521</v>
      </c>
      <c r="P8713">
        <v>10.96</v>
      </c>
    </row>
    <row r="8714" spans="1:16" x14ac:dyDescent="0.25">
      <c r="A8714" t="s">
        <v>3296</v>
      </c>
      <c r="B8714" t="s">
        <v>2931</v>
      </c>
      <c r="C8714">
        <v>6948</v>
      </c>
      <c r="D8714" t="str">
        <f>"1360556     "</f>
        <v xml:space="preserve">1360556     </v>
      </c>
      <c r="E8714" t="s">
        <v>353</v>
      </c>
      <c r="F8714" t="s">
        <v>355</v>
      </c>
      <c r="G8714">
        <v>130.80000000000001</v>
      </c>
      <c r="H8714">
        <v>250513</v>
      </c>
      <c r="I8714">
        <v>4600</v>
      </c>
      <c r="J8714" t="s">
        <v>278</v>
      </c>
      <c r="K8714">
        <v>130.80000000000001</v>
      </c>
      <c r="L8714">
        <v>26.58</v>
      </c>
      <c r="M8714">
        <v>56568</v>
      </c>
      <c r="N8714" t="s">
        <v>354</v>
      </c>
      <c r="O8714">
        <v>250521</v>
      </c>
      <c r="P8714">
        <v>104.22</v>
      </c>
    </row>
    <row r="8715" spans="1:16" x14ac:dyDescent="0.25">
      <c r="A8715" t="s">
        <v>3296</v>
      </c>
      <c r="B8715" t="s">
        <v>2931</v>
      </c>
      <c r="C8715">
        <v>6949</v>
      </c>
      <c r="D8715" t="str">
        <f>"1360562     "</f>
        <v xml:space="preserve">1360562     </v>
      </c>
      <c r="E8715" t="s">
        <v>353</v>
      </c>
      <c r="F8715" t="s">
        <v>355</v>
      </c>
      <c r="G8715">
        <v>54.3</v>
      </c>
      <c r="H8715">
        <v>250513</v>
      </c>
      <c r="I8715">
        <v>4600</v>
      </c>
      <c r="J8715" t="s">
        <v>278</v>
      </c>
      <c r="K8715">
        <v>54.3</v>
      </c>
      <c r="L8715">
        <v>11.03</v>
      </c>
      <c r="M8715">
        <v>56568</v>
      </c>
      <c r="N8715" t="s">
        <v>354</v>
      </c>
      <c r="O8715">
        <v>250521</v>
      </c>
      <c r="P8715">
        <v>43.27</v>
      </c>
    </row>
    <row r="8716" spans="1:16" x14ac:dyDescent="0.25">
      <c r="A8716" t="s">
        <v>3296</v>
      </c>
      <c r="B8716" t="s">
        <v>2931</v>
      </c>
      <c r="C8716">
        <v>6950</v>
      </c>
      <c r="D8716" t="str">
        <f>"1360557     "</f>
        <v xml:space="preserve">1360557     </v>
      </c>
      <c r="E8716" t="s">
        <v>353</v>
      </c>
      <c r="F8716" t="s">
        <v>355</v>
      </c>
      <c r="G8716">
        <v>111.75</v>
      </c>
      <c r="H8716">
        <v>250513</v>
      </c>
      <c r="I8716">
        <v>4600</v>
      </c>
      <c r="J8716" t="s">
        <v>278</v>
      </c>
      <c r="K8716">
        <v>111.75</v>
      </c>
      <c r="L8716">
        <v>22.71</v>
      </c>
      <c r="M8716">
        <v>56568</v>
      </c>
      <c r="N8716" t="s">
        <v>354</v>
      </c>
      <c r="O8716">
        <v>250521</v>
      </c>
      <c r="P8716">
        <v>89.04</v>
      </c>
    </row>
    <row r="8717" spans="1:16" x14ac:dyDescent="0.25">
      <c r="A8717" t="s">
        <v>3296</v>
      </c>
      <c r="B8717" t="s">
        <v>2931</v>
      </c>
      <c r="C8717">
        <v>6951</v>
      </c>
      <c r="D8717" t="str">
        <f>"1360546     "</f>
        <v xml:space="preserve">1360546     </v>
      </c>
      <c r="E8717" t="s">
        <v>353</v>
      </c>
      <c r="F8717" t="s">
        <v>355</v>
      </c>
      <c r="G8717">
        <v>19.86</v>
      </c>
      <c r="H8717">
        <v>250513</v>
      </c>
      <c r="I8717">
        <v>4600</v>
      </c>
      <c r="J8717" t="s">
        <v>278</v>
      </c>
      <c r="K8717">
        <v>19.86</v>
      </c>
      <c r="L8717">
        <v>4.04</v>
      </c>
      <c r="M8717">
        <v>56565</v>
      </c>
      <c r="N8717" t="s">
        <v>57</v>
      </c>
      <c r="O8717">
        <v>250521</v>
      </c>
      <c r="P8717">
        <v>15.82</v>
      </c>
    </row>
    <row r="8718" spans="1:16" x14ac:dyDescent="0.25">
      <c r="A8718" t="s">
        <v>3296</v>
      </c>
      <c r="B8718" t="s">
        <v>2931</v>
      </c>
      <c r="C8718">
        <v>6952</v>
      </c>
      <c r="D8718" t="str">
        <f>"1360555     "</f>
        <v xml:space="preserve">1360555     </v>
      </c>
      <c r="E8718" t="s">
        <v>353</v>
      </c>
      <c r="F8718" t="s">
        <v>355</v>
      </c>
      <c r="G8718">
        <v>47.16</v>
      </c>
      <c r="H8718">
        <v>250513</v>
      </c>
      <c r="I8718">
        <v>4600</v>
      </c>
      <c r="J8718" t="s">
        <v>278</v>
      </c>
      <c r="K8718">
        <v>47.16</v>
      </c>
      <c r="L8718">
        <v>9.58</v>
      </c>
      <c r="M8718">
        <v>56573</v>
      </c>
      <c r="N8718" t="s">
        <v>843</v>
      </c>
      <c r="O8718">
        <v>250521</v>
      </c>
      <c r="P8718">
        <v>37.58</v>
      </c>
    </row>
    <row r="8719" spans="1:16" x14ac:dyDescent="0.25">
      <c r="A8719" t="s">
        <v>3296</v>
      </c>
      <c r="B8719" t="s">
        <v>2931</v>
      </c>
      <c r="C8719">
        <v>6955</v>
      </c>
      <c r="D8719" t="str">
        <f>"1360542     "</f>
        <v xml:space="preserve">1360542     </v>
      </c>
      <c r="E8719" t="s">
        <v>353</v>
      </c>
      <c r="F8719" t="s">
        <v>355</v>
      </c>
      <c r="G8719">
        <v>12.42</v>
      </c>
      <c r="H8719">
        <v>250513</v>
      </c>
      <c r="I8719">
        <v>4600</v>
      </c>
      <c r="J8719" t="s">
        <v>278</v>
      </c>
      <c r="K8719">
        <v>12.42</v>
      </c>
      <c r="L8719">
        <v>2.52</v>
      </c>
      <c r="M8719">
        <v>56568</v>
      </c>
      <c r="N8719" t="s">
        <v>354</v>
      </c>
      <c r="O8719">
        <v>250521</v>
      </c>
      <c r="P8719">
        <v>9.9</v>
      </c>
    </row>
    <row r="8720" spans="1:16" x14ac:dyDescent="0.25">
      <c r="A8720" t="s">
        <v>3296</v>
      </c>
      <c r="B8720" t="s">
        <v>2931</v>
      </c>
      <c r="C8720">
        <v>6956</v>
      </c>
      <c r="D8720" t="str">
        <f>"1360547     "</f>
        <v xml:space="preserve">1360547     </v>
      </c>
      <c r="E8720" t="s">
        <v>353</v>
      </c>
      <c r="F8720" t="s">
        <v>355</v>
      </c>
      <c r="G8720">
        <v>39.56</v>
      </c>
      <c r="H8720">
        <v>250513</v>
      </c>
      <c r="I8720">
        <v>4600</v>
      </c>
      <c r="J8720" t="s">
        <v>278</v>
      </c>
      <c r="K8720">
        <v>39.56</v>
      </c>
      <c r="L8720">
        <v>8.0399999999999991</v>
      </c>
      <c r="M8720">
        <v>56568</v>
      </c>
      <c r="N8720" t="s">
        <v>354</v>
      </c>
      <c r="O8720">
        <v>250521</v>
      </c>
      <c r="P8720">
        <v>31.52</v>
      </c>
    </row>
    <row r="8721" spans="1:16" x14ac:dyDescent="0.25">
      <c r="A8721" t="s">
        <v>3296</v>
      </c>
      <c r="B8721" t="s">
        <v>2931</v>
      </c>
      <c r="C8721">
        <v>6958</v>
      </c>
      <c r="D8721" t="str">
        <f>"1360567     "</f>
        <v xml:space="preserve">1360567     </v>
      </c>
      <c r="E8721" t="s">
        <v>353</v>
      </c>
      <c r="F8721" t="s">
        <v>355</v>
      </c>
      <c r="G8721">
        <v>39.200000000000003</v>
      </c>
      <c r="H8721">
        <v>250513</v>
      </c>
      <c r="I8721">
        <v>4600</v>
      </c>
      <c r="J8721" t="s">
        <v>278</v>
      </c>
      <c r="K8721">
        <v>39.200000000000003</v>
      </c>
      <c r="L8721">
        <v>7.96</v>
      </c>
      <c r="M8721">
        <v>56568</v>
      </c>
      <c r="N8721" t="s">
        <v>354</v>
      </c>
      <c r="O8721">
        <v>250521</v>
      </c>
      <c r="P8721">
        <v>31.24</v>
      </c>
    </row>
    <row r="8722" spans="1:16" x14ac:dyDescent="0.25">
      <c r="A8722" t="s">
        <v>3296</v>
      </c>
      <c r="B8722" t="s">
        <v>2931</v>
      </c>
      <c r="C8722">
        <v>6959</v>
      </c>
      <c r="D8722" t="str">
        <f>"1360551     "</f>
        <v xml:space="preserve">1360551     </v>
      </c>
      <c r="E8722" t="s">
        <v>353</v>
      </c>
      <c r="F8722" t="s">
        <v>355</v>
      </c>
      <c r="G8722">
        <v>125.25</v>
      </c>
      <c r="H8722">
        <v>250513</v>
      </c>
      <c r="I8722">
        <v>4600</v>
      </c>
      <c r="J8722" t="s">
        <v>278</v>
      </c>
      <c r="K8722">
        <v>125.25</v>
      </c>
      <c r="L8722">
        <v>25.45</v>
      </c>
      <c r="M8722">
        <v>56568</v>
      </c>
      <c r="N8722" t="s">
        <v>354</v>
      </c>
      <c r="O8722">
        <v>250521</v>
      </c>
      <c r="P8722">
        <v>99.8</v>
      </c>
    </row>
    <row r="8723" spans="1:16" x14ac:dyDescent="0.25">
      <c r="A8723" t="s">
        <v>3296</v>
      </c>
      <c r="B8723" t="s">
        <v>2931</v>
      </c>
      <c r="C8723">
        <v>6960</v>
      </c>
      <c r="D8723" t="str">
        <f>"1360544     "</f>
        <v xml:space="preserve">1360544     </v>
      </c>
      <c r="E8723" t="s">
        <v>353</v>
      </c>
      <c r="F8723" t="s">
        <v>355</v>
      </c>
      <c r="G8723">
        <v>56.3</v>
      </c>
      <c r="H8723">
        <v>250513</v>
      </c>
      <c r="I8723">
        <v>4600</v>
      </c>
      <c r="J8723" t="s">
        <v>278</v>
      </c>
      <c r="K8723">
        <v>56.3</v>
      </c>
      <c r="L8723">
        <v>11.44</v>
      </c>
      <c r="M8723">
        <v>56568</v>
      </c>
      <c r="N8723" t="s">
        <v>354</v>
      </c>
      <c r="O8723">
        <v>250521</v>
      </c>
      <c r="P8723">
        <v>44.86</v>
      </c>
    </row>
    <row r="8724" spans="1:16" x14ac:dyDescent="0.25">
      <c r="A8724" t="s">
        <v>3296</v>
      </c>
      <c r="B8724" t="s">
        <v>2931</v>
      </c>
      <c r="C8724">
        <v>6961</v>
      </c>
      <c r="D8724" t="str">
        <f>"1360563     "</f>
        <v xml:space="preserve">1360563     </v>
      </c>
      <c r="E8724" t="s">
        <v>353</v>
      </c>
      <c r="F8724" t="s">
        <v>355</v>
      </c>
      <c r="G8724">
        <v>9.36</v>
      </c>
      <c r="H8724">
        <v>250513</v>
      </c>
      <c r="I8724">
        <v>4600</v>
      </c>
      <c r="J8724" t="s">
        <v>278</v>
      </c>
      <c r="K8724">
        <v>9.36</v>
      </c>
      <c r="L8724">
        <v>1.9</v>
      </c>
      <c r="M8724">
        <v>56568</v>
      </c>
      <c r="N8724" t="s">
        <v>354</v>
      </c>
      <c r="O8724">
        <v>250521</v>
      </c>
      <c r="P8724">
        <v>7.46</v>
      </c>
    </row>
    <row r="8725" spans="1:16" x14ac:dyDescent="0.25">
      <c r="A8725" t="s">
        <v>3296</v>
      </c>
      <c r="B8725" t="s">
        <v>2931</v>
      </c>
      <c r="C8725">
        <v>6964</v>
      </c>
      <c r="D8725" t="str">
        <f>"1360554     "</f>
        <v xml:space="preserve">1360554     </v>
      </c>
      <c r="E8725" t="s">
        <v>353</v>
      </c>
      <c r="F8725" t="s">
        <v>355</v>
      </c>
      <c r="G8725">
        <v>44.72</v>
      </c>
      <c r="H8725">
        <v>250513</v>
      </c>
      <c r="I8725">
        <v>4600</v>
      </c>
      <c r="J8725" t="s">
        <v>278</v>
      </c>
      <c r="K8725">
        <v>44.72</v>
      </c>
      <c r="L8725">
        <v>9.09</v>
      </c>
      <c r="M8725">
        <v>56565</v>
      </c>
      <c r="N8725" t="s">
        <v>57</v>
      </c>
      <c r="O8725">
        <v>250521</v>
      </c>
      <c r="P8725">
        <v>35.630000000000003</v>
      </c>
    </row>
    <row r="8726" spans="1:16" x14ac:dyDescent="0.25">
      <c r="A8726" t="s">
        <v>3296</v>
      </c>
      <c r="B8726" t="s">
        <v>2931</v>
      </c>
      <c r="C8726">
        <v>6965</v>
      </c>
      <c r="D8726" t="str">
        <f>"1360564     "</f>
        <v xml:space="preserve">1360564     </v>
      </c>
      <c r="E8726" t="s">
        <v>353</v>
      </c>
      <c r="F8726" t="s">
        <v>355</v>
      </c>
      <c r="G8726">
        <v>-85.15</v>
      </c>
      <c r="H8726">
        <v>250513</v>
      </c>
      <c r="I8726">
        <v>4600</v>
      </c>
      <c r="J8726" t="s">
        <v>278</v>
      </c>
      <c r="K8726">
        <v>-85.15</v>
      </c>
      <c r="L8726">
        <v>-17.3</v>
      </c>
      <c r="M8726">
        <v>56568</v>
      </c>
      <c r="N8726" t="s">
        <v>354</v>
      </c>
      <c r="O8726">
        <v>250521</v>
      </c>
      <c r="P8726">
        <v>-67.849999999999994</v>
      </c>
    </row>
    <row r="8727" spans="1:16" x14ac:dyDescent="0.25">
      <c r="A8727" t="s">
        <v>3296</v>
      </c>
      <c r="B8727" t="s">
        <v>2931</v>
      </c>
      <c r="C8727">
        <v>6969</v>
      </c>
      <c r="D8727" t="str">
        <f>"1360558     "</f>
        <v xml:space="preserve">1360558     </v>
      </c>
      <c r="E8727" t="s">
        <v>353</v>
      </c>
      <c r="F8727" t="s">
        <v>355</v>
      </c>
      <c r="G8727">
        <v>29.76</v>
      </c>
      <c r="H8727">
        <v>250513</v>
      </c>
      <c r="I8727">
        <v>4600</v>
      </c>
      <c r="J8727" t="s">
        <v>278</v>
      </c>
      <c r="K8727">
        <v>29.76</v>
      </c>
      <c r="L8727">
        <v>6.05</v>
      </c>
      <c r="M8727">
        <v>56568</v>
      </c>
      <c r="N8727" t="s">
        <v>354</v>
      </c>
      <c r="O8727">
        <v>250521</v>
      </c>
      <c r="P8727">
        <v>23.71</v>
      </c>
    </row>
    <row r="8728" spans="1:16" x14ac:dyDescent="0.25">
      <c r="A8728" t="s">
        <v>3296</v>
      </c>
      <c r="B8728" t="s">
        <v>2931</v>
      </c>
      <c r="C8728">
        <v>6971</v>
      </c>
      <c r="D8728" t="str">
        <f>"1360548     "</f>
        <v xml:space="preserve">1360548     </v>
      </c>
      <c r="E8728" t="s">
        <v>353</v>
      </c>
      <c r="F8728" t="s">
        <v>355</v>
      </c>
      <c r="G8728">
        <v>89.64</v>
      </c>
      <c r="H8728">
        <v>250513</v>
      </c>
      <c r="I8728">
        <v>4600</v>
      </c>
      <c r="J8728" t="s">
        <v>278</v>
      </c>
      <c r="K8728">
        <v>89.64</v>
      </c>
      <c r="L8728">
        <v>18.21</v>
      </c>
      <c r="M8728">
        <v>56568</v>
      </c>
      <c r="N8728" t="s">
        <v>354</v>
      </c>
      <c r="O8728">
        <v>250521</v>
      </c>
      <c r="P8728">
        <v>71.430000000000007</v>
      </c>
    </row>
    <row r="8729" spans="1:16" x14ac:dyDescent="0.25">
      <c r="A8729" t="s">
        <v>3296</v>
      </c>
      <c r="B8729" t="s">
        <v>2931</v>
      </c>
      <c r="C8729">
        <v>6972</v>
      </c>
      <c r="D8729" t="str">
        <f>"1360569     "</f>
        <v xml:space="preserve">1360569     </v>
      </c>
      <c r="E8729" t="s">
        <v>353</v>
      </c>
      <c r="F8729" t="s">
        <v>355</v>
      </c>
      <c r="G8729">
        <v>20.91</v>
      </c>
      <c r="H8729">
        <v>250513</v>
      </c>
      <c r="I8729">
        <v>4600</v>
      </c>
      <c r="J8729" t="s">
        <v>278</v>
      </c>
      <c r="K8729">
        <v>20.91</v>
      </c>
      <c r="L8729">
        <v>4.25</v>
      </c>
      <c r="M8729">
        <v>56568</v>
      </c>
      <c r="N8729" t="s">
        <v>354</v>
      </c>
      <c r="O8729">
        <v>250521</v>
      </c>
      <c r="P8729">
        <v>16.66</v>
      </c>
    </row>
    <row r="8730" spans="1:16" x14ac:dyDescent="0.25">
      <c r="A8730" t="s">
        <v>3296</v>
      </c>
      <c r="B8730" t="s">
        <v>2931</v>
      </c>
      <c r="C8730">
        <v>6979</v>
      </c>
      <c r="D8730" t="str">
        <f>"1360571     "</f>
        <v xml:space="preserve">1360571     </v>
      </c>
      <c r="E8730" t="s">
        <v>353</v>
      </c>
      <c r="F8730" t="s">
        <v>355</v>
      </c>
      <c r="G8730">
        <v>167.87</v>
      </c>
      <c r="H8730">
        <v>250513</v>
      </c>
      <c r="I8730">
        <v>4600</v>
      </c>
      <c r="J8730" t="s">
        <v>278</v>
      </c>
      <c r="K8730">
        <v>167.87</v>
      </c>
      <c r="L8730">
        <v>34.11</v>
      </c>
      <c r="M8730">
        <v>56568</v>
      </c>
      <c r="N8730" t="s">
        <v>354</v>
      </c>
      <c r="O8730">
        <v>250521</v>
      </c>
      <c r="P8730">
        <v>133.76</v>
      </c>
    </row>
    <row r="8731" spans="1:16" x14ac:dyDescent="0.25">
      <c r="A8731" t="s">
        <v>3296</v>
      </c>
      <c r="B8731" t="s">
        <v>2931</v>
      </c>
      <c r="C8731">
        <v>6980</v>
      </c>
      <c r="D8731" t="str">
        <f>"1360561     "</f>
        <v xml:space="preserve">1360561     </v>
      </c>
      <c r="E8731" t="s">
        <v>353</v>
      </c>
      <c r="F8731" t="s">
        <v>355</v>
      </c>
      <c r="G8731">
        <v>8.3699999999999992</v>
      </c>
      <c r="H8731">
        <v>250513</v>
      </c>
      <c r="I8731">
        <v>4600</v>
      </c>
      <c r="J8731" t="s">
        <v>278</v>
      </c>
      <c r="K8731">
        <v>8.3699999999999992</v>
      </c>
      <c r="L8731">
        <v>1.7</v>
      </c>
      <c r="M8731">
        <v>56568</v>
      </c>
      <c r="N8731" t="s">
        <v>354</v>
      </c>
      <c r="O8731">
        <v>250521</v>
      </c>
      <c r="P8731">
        <v>6.67</v>
      </c>
    </row>
    <row r="8732" spans="1:16" x14ac:dyDescent="0.25">
      <c r="A8732" t="s">
        <v>3296</v>
      </c>
      <c r="B8732" t="s">
        <v>2931</v>
      </c>
      <c r="C8732">
        <v>6983</v>
      </c>
      <c r="D8732" t="str">
        <f>"1360552     "</f>
        <v xml:space="preserve">1360552     </v>
      </c>
      <c r="E8732" t="s">
        <v>353</v>
      </c>
      <c r="F8732" t="s">
        <v>355</v>
      </c>
      <c r="G8732">
        <v>158.88</v>
      </c>
      <c r="H8732">
        <v>250513</v>
      </c>
      <c r="I8732">
        <v>4600</v>
      </c>
      <c r="J8732" t="s">
        <v>278</v>
      </c>
      <c r="K8732">
        <v>158.88</v>
      </c>
      <c r="L8732">
        <v>32.28</v>
      </c>
      <c r="M8732">
        <v>56568</v>
      </c>
      <c r="N8732" t="s">
        <v>354</v>
      </c>
      <c r="O8732">
        <v>250521</v>
      </c>
      <c r="P8732">
        <v>126.6</v>
      </c>
    </row>
    <row r="8733" spans="1:16" x14ac:dyDescent="0.25">
      <c r="A8733" t="s">
        <v>3296</v>
      </c>
      <c r="B8733" t="s">
        <v>2931</v>
      </c>
      <c r="C8733">
        <v>6985</v>
      </c>
      <c r="D8733" t="str">
        <f>"1360549     "</f>
        <v xml:space="preserve">1360549     </v>
      </c>
      <c r="E8733" t="s">
        <v>353</v>
      </c>
      <c r="F8733" t="s">
        <v>355</v>
      </c>
      <c r="G8733">
        <v>36.049999999999997</v>
      </c>
      <c r="H8733">
        <v>250513</v>
      </c>
      <c r="I8733">
        <v>4600</v>
      </c>
      <c r="J8733" t="s">
        <v>278</v>
      </c>
      <c r="K8733">
        <v>36.049999999999997</v>
      </c>
      <c r="L8733">
        <v>7.32</v>
      </c>
      <c r="M8733">
        <v>56568</v>
      </c>
      <c r="N8733" t="s">
        <v>354</v>
      </c>
      <c r="O8733">
        <v>250521</v>
      </c>
      <c r="P8733">
        <v>28.73</v>
      </c>
    </row>
    <row r="8734" spans="1:16" x14ac:dyDescent="0.25">
      <c r="A8734" t="s">
        <v>3296</v>
      </c>
      <c r="B8734" t="s">
        <v>2931</v>
      </c>
      <c r="C8734">
        <v>6987</v>
      </c>
      <c r="D8734" t="str">
        <f>"1360553     "</f>
        <v xml:space="preserve">1360553     </v>
      </c>
      <c r="E8734" t="s">
        <v>353</v>
      </c>
      <c r="F8734" t="s">
        <v>355</v>
      </c>
      <c r="G8734">
        <v>19.440000000000001</v>
      </c>
      <c r="H8734">
        <v>250513</v>
      </c>
      <c r="I8734">
        <v>4600</v>
      </c>
      <c r="J8734" t="s">
        <v>278</v>
      </c>
      <c r="K8734">
        <v>19.440000000000001</v>
      </c>
      <c r="L8734">
        <v>3.95</v>
      </c>
      <c r="M8734">
        <v>56568</v>
      </c>
      <c r="N8734" t="s">
        <v>354</v>
      </c>
      <c r="O8734">
        <v>250521</v>
      </c>
      <c r="P8734">
        <v>15.49</v>
      </c>
    </row>
    <row r="8735" spans="1:16" x14ac:dyDescent="0.25">
      <c r="A8735" t="s">
        <v>3296</v>
      </c>
      <c r="B8735" t="s">
        <v>2931</v>
      </c>
      <c r="C8735">
        <v>6988</v>
      </c>
      <c r="D8735" t="str">
        <f>"1360543     "</f>
        <v xml:space="preserve">1360543     </v>
      </c>
      <c r="E8735" t="s">
        <v>353</v>
      </c>
      <c r="F8735" t="s">
        <v>355</v>
      </c>
      <c r="G8735">
        <v>108.88</v>
      </c>
      <c r="H8735">
        <v>250513</v>
      </c>
      <c r="I8735">
        <v>4600</v>
      </c>
      <c r="J8735" t="s">
        <v>278</v>
      </c>
      <c r="K8735">
        <v>108.88</v>
      </c>
      <c r="L8735">
        <v>22.12</v>
      </c>
      <c r="M8735">
        <v>56568</v>
      </c>
      <c r="N8735" t="s">
        <v>354</v>
      </c>
      <c r="O8735">
        <v>250521</v>
      </c>
      <c r="P8735">
        <v>86.76</v>
      </c>
    </row>
    <row r="8736" spans="1:16" x14ac:dyDescent="0.25">
      <c r="A8736" t="s">
        <v>3296</v>
      </c>
      <c r="B8736" t="s">
        <v>2931</v>
      </c>
      <c r="C8736">
        <v>6989</v>
      </c>
      <c r="D8736" t="str">
        <f>"1360566     "</f>
        <v xml:space="preserve">1360566     </v>
      </c>
      <c r="E8736" t="s">
        <v>353</v>
      </c>
      <c r="F8736" t="s">
        <v>355</v>
      </c>
      <c r="G8736">
        <v>20.440000000000001</v>
      </c>
      <c r="H8736">
        <v>250513</v>
      </c>
      <c r="I8736">
        <v>4600</v>
      </c>
      <c r="J8736" t="s">
        <v>278</v>
      </c>
      <c r="K8736">
        <v>20.440000000000001</v>
      </c>
      <c r="L8736">
        <v>4.1500000000000004</v>
      </c>
      <c r="M8736">
        <v>56568</v>
      </c>
      <c r="N8736" t="s">
        <v>354</v>
      </c>
      <c r="O8736">
        <v>250521</v>
      </c>
      <c r="P8736">
        <v>16.29</v>
      </c>
    </row>
    <row r="8737" spans="1:16" x14ac:dyDescent="0.25">
      <c r="A8737" t="s">
        <v>3296</v>
      </c>
      <c r="B8737" t="s">
        <v>2931</v>
      </c>
      <c r="C8737">
        <v>7559</v>
      </c>
      <c r="D8737" t="str">
        <f>"1362726     "</f>
        <v xml:space="preserve">1362726     </v>
      </c>
      <c r="E8737" t="s">
        <v>353</v>
      </c>
      <c r="F8737" t="s">
        <v>355</v>
      </c>
      <c r="G8737">
        <v>-9.36</v>
      </c>
      <c r="H8737">
        <v>250531</v>
      </c>
      <c r="I8737">
        <v>4600</v>
      </c>
      <c r="J8737" t="s">
        <v>278</v>
      </c>
      <c r="K8737">
        <v>-9.36</v>
      </c>
      <c r="L8737">
        <v>-1.9</v>
      </c>
      <c r="M8737">
        <v>56568</v>
      </c>
      <c r="N8737" t="s">
        <v>354</v>
      </c>
      <c r="O8737">
        <v>250604</v>
      </c>
      <c r="P8737">
        <v>-7.46</v>
      </c>
    </row>
    <row r="8738" spans="1:16" x14ac:dyDescent="0.25">
      <c r="A8738" t="s">
        <v>3296</v>
      </c>
      <c r="B8738" t="s">
        <v>2931</v>
      </c>
      <c r="C8738">
        <v>7930</v>
      </c>
      <c r="D8738" t="str">
        <f>"1362749     "</f>
        <v xml:space="preserve">1362749     </v>
      </c>
      <c r="E8738" t="s">
        <v>353</v>
      </c>
      <c r="F8738" t="s">
        <v>355</v>
      </c>
      <c r="G8738">
        <v>87.7</v>
      </c>
      <c r="H8738">
        <v>250531</v>
      </c>
      <c r="I8738">
        <v>4600</v>
      </c>
      <c r="J8738" t="s">
        <v>278</v>
      </c>
      <c r="K8738">
        <v>87.7</v>
      </c>
      <c r="L8738">
        <v>17.82</v>
      </c>
      <c r="M8738">
        <v>56568</v>
      </c>
      <c r="N8738" t="s">
        <v>354</v>
      </c>
      <c r="O8738">
        <v>250610</v>
      </c>
      <c r="P8738">
        <v>69.88</v>
      </c>
    </row>
    <row r="8739" spans="1:16" x14ac:dyDescent="0.25">
      <c r="A8739" t="s">
        <v>3296</v>
      </c>
      <c r="B8739" t="s">
        <v>2931</v>
      </c>
      <c r="C8739">
        <v>7931</v>
      </c>
      <c r="D8739" t="str">
        <f>"1362733     "</f>
        <v xml:space="preserve">1362733     </v>
      </c>
      <c r="E8739" t="s">
        <v>353</v>
      </c>
      <c r="F8739" t="s">
        <v>355</v>
      </c>
      <c r="G8739">
        <v>56.57</v>
      </c>
      <c r="H8739">
        <v>250531</v>
      </c>
      <c r="I8739">
        <v>4600</v>
      </c>
      <c r="J8739" t="s">
        <v>278</v>
      </c>
      <c r="K8739">
        <v>56.57</v>
      </c>
      <c r="L8739">
        <v>11.49</v>
      </c>
      <c r="M8739">
        <v>56568</v>
      </c>
      <c r="N8739" t="s">
        <v>354</v>
      </c>
      <c r="O8739">
        <v>250610</v>
      </c>
      <c r="P8739">
        <v>45.08</v>
      </c>
    </row>
    <row r="8740" spans="1:16" x14ac:dyDescent="0.25">
      <c r="A8740" t="s">
        <v>3296</v>
      </c>
      <c r="B8740" t="s">
        <v>2931</v>
      </c>
      <c r="C8740">
        <v>7932</v>
      </c>
      <c r="D8740" t="str">
        <f>"1362754     "</f>
        <v xml:space="preserve">1362754     </v>
      </c>
      <c r="E8740" t="s">
        <v>353</v>
      </c>
      <c r="F8740" t="s">
        <v>355</v>
      </c>
      <c r="G8740">
        <v>21.57</v>
      </c>
      <c r="H8740">
        <v>250531</v>
      </c>
      <c r="I8740">
        <v>4600</v>
      </c>
      <c r="J8740" t="s">
        <v>278</v>
      </c>
      <c r="K8740">
        <v>21.57</v>
      </c>
      <c r="L8740">
        <v>4.38</v>
      </c>
      <c r="M8740">
        <v>56568</v>
      </c>
      <c r="N8740" t="s">
        <v>354</v>
      </c>
      <c r="O8740">
        <v>250610</v>
      </c>
      <c r="P8740">
        <v>17.190000000000001</v>
      </c>
    </row>
    <row r="8741" spans="1:16" x14ac:dyDescent="0.25">
      <c r="A8741" t="s">
        <v>3296</v>
      </c>
      <c r="B8741" t="s">
        <v>2931</v>
      </c>
      <c r="C8741">
        <v>7935</v>
      </c>
      <c r="D8741" t="str">
        <f>"1362750     "</f>
        <v xml:space="preserve">1362750     </v>
      </c>
      <c r="E8741" t="s">
        <v>353</v>
      </c>
      <c r="F8741" t="s">
        <v>355</v>
      </c>
      <c r="G8741">
        <v>11.4</v>
      </c>
      <c r="H8741">
        <v>250531</v>
      </c>
      <c r="I8741">
        <v>4600</v>
      </c>
      <c r="J8741" t="s">
        <v>278</v>
      </c>
      <c r="K8741">
        <v>11.4</v>
      </c>
      <c r="L8741">
        <v>2.3199999999999998</v>
      </c>
      <c r="M8741">
        <v>56568</v>
      </c>
      <c r="N8741" t="s">
        <v>354</v>
      </c>
      <c r="O8741">
        <v>250610</v>
      </c>
      <c r="P8741">
        <v>9.08</v>
      </c>
    </row>
    <row r="8742" spans="1:16" x14ac:dyDescent="0.25">
      <c r="A8742" t="s">
        <v>3296</v>
      </c>
      <c r="B8742" t="s">
        <v>2931</v>
      </c>
      <c r="C8742">
        <v>7937</v>
      </c>
      <c r="D8742" t="str">
        <f>"1362728     "</f>
        <v xml:space="preserve">1362728     </v>
      </c>
      <c r="E8742" t="s">
        <v>353</v>
      </c>
      <c r="F8742" t="s">
        <v>355</v>
      </c>
      <c r="G8742">
        <v>4.04</v>
      </c>
      <c r="H8742">
        <v>250531</v>
      </c>
      <c r="I8742">
        <v>4600</v>
      </c>
      <c r="J8742" t="s">
        <v>278</v>
      </c>
      <c r="K8742">
        <v>4.04</v>
      </c>
      <c r="L8742">
        <v>0.82</v>
      </c>
      <c r="M8742">
        <v>56568</v>
      </c>
      <c r="N8742" t="s">
        <v>354</v>
      </c>
      <c r="O8742">
        <v>250610</v>
      </c>
      <c r="P8742">
        <v>3.22</v>
      </c>
    </row>
    <row r="8743" spans="1:16" x14ac:dyDescent="0.25">
      <c r="A8743" t="s">
        <v>3296</v>
      </c>
      <c r="B8743" t="s">
        <v>2931</v>
      </c>
      <c r="C8743">
        <v>7938</v>
      </c>
      <c r="D8743" t="str">
        <f>"1362735     "</f>
        <v xml:space="preserve">1362735     </v>
      </c>
      <c r="E8743" t="s">
        <v>353</v>
      </c>
      <c r="F8743" t="s">
        <v>355</v>
      </c>
      <c r="G8743">
        <v>32.21</v>
      </c>
      <c r="H8743">
        <v>250531</v>
      </c>
      <c r="I8743">
        <v>4600</v>
      </c>
      <c r="J8743" t="s">
        <v>278</v>
      </c>
      <c r="K8743">
        <v>32.21</v>
      </c>
      <c r="L8743">
        <v>6.54</v>
      </c>
      <c r="M8743">
        <v>56568</v>
      </c>
      <c r="N8743" t="s">
        <v>354</v>
      </c>
      <c r="O8743">
        <v>250610</v>
      </c>
      <c r="P8743">
        <v>25.67</v>
      </c>
    </row>
    <row r="8744" spans="1:16" x14ac:dyDescent="0.25">
      <c r="A8744" t="s">
        <v>3296</v>
      </c>
      <c r="B8744" t="s">
        <v>2931</v>
      </c>
      <c r="C8744">
        <v>7940</v>
      </c>
      <c r="D8744" t="str">
        <f>"1362729     "</f>
        <v xml:space="preserve">1362729     </v>
      </c>
      <c r="E8744" t="s">
        <v>353</v>
      </c>
      <c r="F8744" t="s">
        <v>355</v>
      </c>
      <c r="G8744">
        <v>84.14</v>
      </c>
      <c r="H8744">
        <v>250531</v>
      </c>
      <c r="I8744">
        <v>4600</v>
      </c>
      <c r="J8744" t="s">
        <v>278</v>
      </c>
      <c r="K8744">
        <v>84.14</v>
      </c>
      <c r="L8744">
        <v>17.100000000000001</v>
      </c>
      <c r="M8744">
        <v>56568</v>
      </c>
      <c r="N8744" t="s">
        <v>354</v>
      </c>
      <c r="O8744">
        <v>250610</v>
      </c>
      <c r="P8744">
        <v>67.040000000000006</v>
      </c>
    </row>
    <row r="8745" spans="1:16" x14ac:dyDescent="0.25">
      <c r="A8745" t="s">
        <v>3296</v>
      </c>
      <c r="B8745" t="s">
        <v>2931</v>
      </c>
      <c r="C8745">
        <v>7942</v>
      </c>
      <c r="D8745" t="str">
        <f>"1362738     "</f>
        <v xml:space="preserve">1362738     </v>
      </c>
      <c r="E8745" t="s">
        <v>353</v>
      </c>
      <c r="F8745" t="s">
        <v>355</v>
      </c>
      <c r="G8745">
        <v>48.36</v>
      </c>
      <c r="H8745">
        <v>250531</v>
      </c>
      <c r="I8745">
        <v>4600</v>
      </c>
      <c r="J8745" t="s">
        <v>278</v>
      </c>
      <c r="K8745">
        <v>48.36</v>
      </c>
      <c r="L8745">
        <v>9.83</v>
      </c>
      <c r="M8745">
        <v>56568</v>
      </c>
      <c r="N8745" t="s">
        <v>354</v>
      </c>
      <c r="O8745">
        <v>250610</v>
      </c>
      <c r="P8745">
        <v>38.53</v>
      </c>
    </row>
    <row r="8746" spans="1:16" x14ac:dyDescent="0.25">
      <c r="A8746" t="s">
        <v>3296</v>
      </c>
      <c r="B8746" t="s">
        <v>2931</v>
      </c>
      <c r="C8746">
        <v>7943</v>
      </c>
      <c r="D8746" t="str">
        <f>"1362737     "</f>
        <v xml:space="preserve">1362737     </v>
      </c>
      <c r="E8746" t="s">
        <v>353</v>
      </c>
      <c r="F8746" t="s">
        <v>355</v>
      </c>
      <c r="G8746">
        <v>14.37</v>
      </c>
      <c r="H8746">
        <v>250531</v>
      </c>
      <c r="I8746">
        <v>4600</v>
      </c>
      <c r="J8746" t="s">
        <v>278</v>
      </c>
      <c r="K8746">
        <v>14.37</v>
      </c>
      <c r="L8746">
        <v>2.92</v>
      </c>
      <c r="M8746">
        <v>56568</v>
      </c>
      <c r="N8746" t="s">
        <v>354</v>
      </c>
      <c r="O8746">
        <v>250610</v>
      </c>
      <c r="P8746">
        <v>11.45</v>
      </c>
    </row>
    <row r="8747" spans="1:16" x14ac:dyDescent="0.25">
      <c r="A8747" t="s">
        <v>3296</v>
      </c>
      <c r="B8747" t="s">
        <v>2931</v>
      </c>
      <c r="C8747">
        <v>7947</v>
      </c>
      <c r="D8747" t="str">
        <f>"1362755     "</f>
        <v xml:space="preserve">1362755     </v>
      </c>
      <c r="E8747" t="s">
        <v>353</v>
      </c>
      <c r="F8747" t="s">
        <v>355</v>
      </c>
      <c r="G8747">
        <v>69.7</v>
      </c>
      <c r="H8747">
        <v>250531</v>
      </c>
      <c r="I8747">
        <v>4600</v>
      </c>
      <c r="J8747" t="s">
        <v>278</v>
      </c>
      <c r="K8747">
        <v>69.7</v>
      </c>
      <c r="L8747">
        <v>14.16</v>
      </c>
      <c r="M8747">
        <v>56568</v>
      </c>
      <c r="N8747" t="s">
        <v>354</v>
      </c>
      <c r="O8747">
        <v>250610</v>
      </c>
      <c r="P8747">
        <v>55.54</v>
      </c>
    </row>
    <row r="8748" spans="1:16" x14ac:dyDescent="0.25">
      <c r="A8748" t="s">
        <v>3296</v>
      </c>
      <c r="B8748" t="s">
        <v>2931</v>
      </c>
      <c r="C8748">
        <v>7952</v>
      </c>
      <c r="D8748" t="str">
        <f>"1362723     "</f>
        <v xml:space="preserve">1362723     </v>
      </c>
      <c r="E8748" t="s">
        <v>353</v>
      </c>
      <c r="F8748" t="s">
        <v>355</v>
      </c>
      <c r="G8748">
        <v>5.48</v>
      </c>
      <c r="H8748">
        <v>250531</v>
      </c>
      <c r="I8748">
        <v>4600</v>
      </c>
      <c r="J8748" t="s">
        <v>278</v>
      </c>
      <c r="K8748">
        <v>5.48</v>
      </c>
      <c r="L8748">
        <v>1.1100000000000001</v>
      </c>
      <c r="M8748">
        <v>56568</v>
      </c>
      <c r="N8748" t="s">
        <v>354</v>
      </c>
      <c r="O8748">
        <v>250610</v>
      </c>
      <c r="P8748">
        <v>4.37</v>
      </c>
    </row>
    <row r="8749" spans="1:16" x14ac:dyDescent="0.25">
      <c r="A8749" t="s">
        <v>3296</v>
      </c>
      <c r="B8749" t="s">
        <v>2931</v>
      </c>
      <c r="C8749">
        <v>7955</v>
      </c>
      <c r="D8749" t="str">
        <f>"1362730     "</f>
        <v xml:space="preserve">1362730     </v>
      </c>
      <c r="E8749" t="s">
        <v>353</v>
      </c>
      <c r="F8749" t="s">
        <v>355</v>
      </c>
      <c r="G8749">
        <v>29.76</v>
      </c>
      <c r="H8749">
        <v>250531</v>
      </c>
      <c r="I8749">
        <v>4600</v>
      </c>
      <c r="J8749" t="s">
        <v>278</v>
      </c>
      <c r="K8749">
        <v>29.76</v>
      </c>
      <c r="L8749">
        <v>6.05</v>
      </c>
      <c r="M8749">
        <v>56568</v>
      </c>
      <c r="N8749" t="s">
        <v>354</v>
      </c>
      <c r="O8749">
        <v>250610</v>
      </c>
      <c r="P8749">
        <v>23.71</v>
      </c>
    </row>
    <row r="8750" spans="1:16" x14ac:dyDescent="0.25">
      <c r="A8750" t="s">
        <v>3296</v>
      </c>
      <c r="B8750" t="s">
        <v>2931</v>
      </c>
      <c r="C8750">
        <v>7960</v>
      </c>
      <c r="D8750" t="str">
        <f>"1362757     "</f>
        <v xml:space="preserve">1362757     </v>
      </c>
      <c r="E8750" t="s">
        <v>353</v>
      </c>
      <c r="F8750" t="s">
        <v>355</v>
      </c>
      <c r="G8750">
        <v>9.44</v>
      </c>
      <c r="H8750">
        <v>250531</v>
      </c>
      <c r="I8750">
        <v>4600</v>
      </c>
      <c r="J8750" t="s">
        <v>278</v>
      </c>
      <c r="K8750">
        <v>9.44</v>
      </c>
      <c r="L8750">
        <v>1.92</v>
      </c>
      <c r="M8750">
        <v>56558</v>
      </c>
      <c r="N8750" t="s">
        <v>50</v>
      </c>
      <c r="O8750">
        <v>250610</v>
      </c>
      <c r="P8750">
        <v>7.52</v>
      </c>
    </row>
    <row r="8751" spans="1:16" x14ac:dyDescent="0.25">
      <c r="A8751" t="s">
        <v>3296</v>
      </c>
      <c r="B8751" t="s">
        <v>2931</v>
      </c>
      <c r="C8751">
        <v>7961</v>
      </c>
      <c r="D8751" t="str">
        <f>"1362752     "</f>
        <v xml:space="preserve">1362752     </v>
      </c>
      <c r="E8751" t="s">
        <v>353</v>
      </c>
      <c r="F8751" t="s">
        <v>355</v>
      </c>
      <c r="G8751">
        <v>377.4</v>
      </c>
      <c r="H8751">
        <v>250531</v>
      </c>
      <c r="I8751">
        <v>4600</v>
      </c>
      <c r="J8751" t="s">
        <v>278</v>
      </c>
      <c r="K8751">
        <v>377.4</v>
      </c>
      <c r="L8751">
        <v>76.680000000000007</v>
      </c>
      <c r="M8751">
        <v>56568</v>
      </c>
      <c r="N8751" t="s">
        <v>354</v>
      </c>
      <c r="O8751">
        <v>250610</v>
      </c>
      <c r="P8751">
        <v>300.72000000000003</v>
      </c>
    </row>
    <row r="8752" spans="1:16" x14ac:dyDescent="0.25">
      <c r="A8752" t="s">
        <v>3296</v>
      </c>
      <c r="B8752" t="s">
        <v>2931</v>
      </c>
      <c r="C8752">
        <v>7962</v>
      </c>
      <c r="D8752" t="str">
        <f>"1362739     "</f>
        <v xml:space="preserve">1362739     </v>
      </c>
      <c r="E8752" t="s">
        <v>353</v>
      </c>
      <c r="F8752" t="s">
        <v>355</v>
      </c>
      <c r="G8752">
        <v>5.33</v>
      </c>
      <c r="H8752">
        <v>250531</v>
      </c>
      <c r="I8752">
        <v>4600</v>
      </c>
      <c r="J8752" t="s">
        <v>278</v>
      </c>
      <c r="K8752">
        <v>5.33</v>
      </c>
      <c r="L8752">
        <v>1.08</v>
      </c>
      <c r="M8752">
        <v>56568</v>
      </c>
      <c r="N8752" t="s">
        <v>354</v>
      </c>
      <c r="O8752">
        <v>250610</v>
      </c>
      <c r="P8752">
        <v>4.25</v>
      </c>
    </row>
    <row r="8753" spans="1:16" x14ac:dyDescent="0.25">
      <c r="A8753" t="s">
        <v>3296</v>
      </c>
      <c r="B8753" t="s">
        <v>2931</v>
      </c>
      <c r="C8753">
        <v>7963</v>
      </c>
      <c r="D8753" t="str">
        <f>"1362740     "</f>
        <v xml:space="preserve">1362740     </v>
      </c>
      <c r="E8753" t="s">
        <v>353</v>
      </c>
      <c r="F8753" t="s">
        <v>355</v>
      </c>
      <c r="G8753">
        <v>26.16</v>
      </c>
      <c r="H8753">
        <v>250531</v>
      </c>
      <c r="I8753">
        <v>4600</v>
      </c>
      <c r="J8753" t="s">
        <v>278</v>
      </c>
      <c r="K8753">
        <v>26.16</v>
      </c>
      <c r="L8753">
        <v>5.32</v>
      </c>
      <c r="M8753">
        <v>56568</v>
      </c>
      <c r="N8753" t="s">
        <v>354</v>
      </c>
      <c r="O8753">
        <v>250610</v>
      </c>
      <c r="P8753">
        <v>20.84</v>
      </c>
    </row>
    <row r="8754" spans="1:16" x14ac:dyDescent="0.25">
      <c r="A8754" t="s">
        <v>3296</v>
      </c>
      <c r="B8754" t="s">
        <v>2931</v>
      </c>
      <c r="C8754">
        <v>7965</v>
      </c>
      <c r="D8754" t="str">
        <f>"1362753     "</f>
        <v xml:space="preserve">1362753     </v>
      </c>
      <c r="E8754" t="s">
        <v>353</v>
      </c>
      <c r="F8754" t="s">
        <v>355</v>
      </c>
      <c r="G8754">
        <v>52.24</v>
      </c>
      <c r="H8754">
        <v>250531</v>
      </c>
      <c r="I8754">
        <v>4600</v>
      </c>
      <c r="J8754" t="s">
        <v>278</v>
      </c>
      <c r="K8754">
        <v>52.24</v>
      </c>
      <c r="L8754">
        <v>10.61</v>
      </c>
      <c r="M8754">
        <v>56568</v>
      </c>
      <c r="N8754" t="s">
        <v>354</v>
      </c>
      <c r="O8754">
        <v>250610</v>
      </c>
      <c r="P8754">
        <v>41.63</v>
      </c>
    </row>
    <row r="8755" spans="1:16" x14ac:dyDescent="0.25">
      <c r="A8755" t="s">
        <v>3296</v>
      </c>
      <c r="B8755" t="s">
        <v>2931</v>
      </c>
      <c r="C8755">
        <v>7970</v>
      </c>
      <c r="D8755" t="str">
        <f>"1362758     "</f>
        <v xml:space="preserve">1362758     </v>
      </c>
      <c r="E8755" t="s">
        <v>353</v>
      </c>
      <c r="F8755" t="s">
        <v>355</v>
      </c>
      <c r="G8755">
        <v>19.059999999999999</v>
      </c>
      <c r="H8755">
        <v>250531</v>
      </c>
      <c r="I8755">
        <v>4600</v>
      </c>
      <c r="J8755" t="s">
        <v>278</v>
      </c>
      <c r="K8755">
        <v>19.059999999999999</v>
      </c>
      <c r="L8755">
        <v>3.87</v>
      </c>
      <c r="M8755">
        <v>56568</v>
      </c>
      <c r="N8755" t="s">
        <v>354</v>
      </c>
      <c r="O8755">
        <v>250610</v>
      </c>
      <c r="P8755">
        <v>15.19</v>
      </c>
    </row>
    <row r="8756" spans="1:16" x14ac:dyDescent="0.25">
      <c r="A8756" t="s">
        <v>3296</v>
      </c>
      <c r="B8756" t="s">
        <v>2931</v>
      </c>
      <c r="C8756">
        <v>7975</v>
      </c>
      <c r="D8756" t="str">
        <f>"1362743     "</f>
        <v xml:space="preserve">1362743     </v>
      </c>
      <c r="E8756" t="s">
        <v>353</v>
      </c>
      <c r="F8756" t="s">
        <v>355</v>
      </c>
      <c r="G8756">
        <v>33.5</v>
      </c>
      <c r="H8756">
        <v>250531</v>
      </c>
      <c r="I8756">
        <v>4600</v>
      </c>
      <c r="J8756" t="s">
        <v>278</v>
      </c>
      <c r="K8756">
        <v>33.5</v>
      </c>
      <c r="L8756">
        <v>6.81</v>
      </c>
      <c r="M8756">
        <v>56568</v>
      </c>
      <c r="N8756" t="s">
        <v>354</v>
      </c>
      <c r="O8756">
        <v>250610</v>
      </c>
      <c r="P8756">
        <v>26.69</v>
      </c>
    </row>
    <row r="8757" spans="1:16" x14ac:dyDescent="0.25">
      <c r="A8757" t="s">
        <v>3296</v>
      </c>
      <c r="B8757" t="s">
        <v>2931</v>
      </c>
      <c r="C8757">
        <v>7976</v>
      </c>
      <c r="D8757" t="str">
        <f>"1362742     "</f>
        <v xml:space="preserve">1362742     </v>
      </c>
      <c r="E8757" t="s">
        <v>353</v>
      </c>
      <c r="F8757" t="s">
        <v>355</v>
      </c>
      <c r="G8757">
        <v>5.76</v>
      </c>
      <c r="H8757">
        <v>250531</v>
      </c>
      <c r="I8757">
        <v>4600</v>
      </c>
      <c r="J8757" t="s">
        <v>278</v>
      </c>
      <c r="K8757">
        <v>5.76</v>
      </c>
      <c r="L8757">
        <v>1.17</v>
      </c>
      <c r="M8757">
        <v>56568</v>
      </c>
      <c r="N8757" t="s">
        <v>354</v>
      </c>
      <c r="O8757">
        <v>250610</v>
      </c>
      <c r="P8757">
        <v>4.59</v>
      </c>
    </row>
    <row r="8758" spans="1:16" x14ac:dyDescent="0.25">
      <c r="A8758" t="s">
        <v>3296</v>
      </c>
      <c r="B8758" t="s">
        <v>2931</v>
      </c>
      <c r="C8758">
        <v>7982</v>
      </c>
      <c r="D8758" t="str">
        <f>"1362741     "</f>
        <v xml:space="preserve">1362741     </v>
      </c>
      <c r="E8758" t="s">
        <v>353</v>
      </c>
      <c r="F8758" t="s">
        <v>355</v>
      </c>
      <c r="G8758">
        <v>34.44</v>
      </c>
      <c r="H8758">
        <v>250531</v>
      </c>
      <c r="I8758">
        <v>4600</v>
      </c>
      <c r="J8758" t="s">
        <v>278</v>
      </c>
      <c r="K8758">
        <v>34.44</v>
      </c>
      <c r="L8758">
        <v>7</v>
      </c>
      <c r="M8758">
        <v>56568</v>
      </c>
      <c r="N8758" t="s">
        <v>354</v>
      </c>
      <c r="O8758">
        <v>250610</v>
      </c>
      <c r="P8758">
        <v>27.44</v>
      </c>
    </row>
    <row r="8759" spans="1:16" x14ac:dyDescent="0.25">
      <c r="A8759" t="s">
        <v>3296</v>
      </c>
      <c r="B8759" t="s">
        <v>2931</v>
      </c>
      <c r="C8759">
        <v>7985</v>
      </c>
      <c r="D8759" t="str">
        <f>"1362747     "</f>
        <v xml:space="preserve">1362747     </v>
      </c>
      <c r="E8759" t="s">
        <v>353</v>
      </c>
      <c r="F8759" t="s">
        <v>355</v>
      </c>
      <c r="G8759">
        <v>45.88</v>
      </c>
      <c r="H8759">
        <v>250531</v>
      </c>
      <c r="I8759">
        <v>4600</v>
      </c>
      <c r="J8759" t="s">
        <v>278</v>
      </c>
      <c r="K8759">
        <v>45.88</v>
      </c>
      <c r="L8759">
        <v>9.32</v>
      </c>
      <c r="M8759">
        <v>56568</v>
      </c>
      <c r="N8759" t="s">
        <v>354</v>
      </c>
      <c r="O8759">
        <v>250610</v>
      </c>
      <c r="P8759">
        <v>36.56</v>
      </c>
    </row>
    <row r="8760" spans="1:16" x14ac:dyDescent="0.25">
      <c r="A8760" t="s">
        <v>3296</v>
      </c>
      <c r="B8760" t="s">
        <v>2931</v>
      </c>
      <c r="C8760">
        <v>7988</v>
      </c>
      <c r="D8760" t="str">
        <f>"1362745     "</f>
        <v xml:space="preserve">1362745     </v>
      </c>
      <c r="E8760" t="s">
        <v>353</v>
      </c>
      <c r="F8760" t="s">
        <v>355</v>
      </c>
      <c r="G8760">
        <v>20.02</v>
      </c>
      <c r="H8760">
        <v>250531</v>
      </c>
      <c r="I8760">
        <v>4600</v>
      </c>
      <c r="J8760" t="s">
        <v>278</v>
      </c>
      <c r="K8760">
        <v>20.02</v>
      </c>
      <c r="L8760">
        <v>4.07</v>
      </c>
      <c r="M8760">
        <v>56568</v>
      </c>
      <c r="N8760" t="s">
        <v>354</v>
      </c>
      <c r="O8760">
        <v>250610</v>
      </c>
      <c r="P8760">
        <v>15.95</v>
      </c>
    </row>
    <row r="8761" spans="1:16" x14ac:dyDescent="0.25">
      <c r="A8761" t="s">
        <v>3296</v>
      </c>
      <c r="B8761" t="s">
        <v>2931</v>
      </c>
      <c r="C8761">
        <v>7989</v>
      </c>
      <c r="D8761" t="str">
        <f>"1362727     "</f>
        <v xml:space="preserve">1362727     </v>
      </c>
      <c r="E8761" t="s">
        <v>353</v>
      </c>
      <c r="F8761" t="s">
        <v>355</v>
      </c>
      <c r="G8761">
        <v>15.6</v>
      </c>
      <c r="H8761">
        <v>250531</v>
      </c>
      <c r="I8761">
        <v>4600</v>
      </c>
      <c r="J8761" t="s">
        <v>278</v>
      </c>
      <c r="K8761">
        <v>15.6</v>
      </c>
      <c r="L8761">
        <v>3.17</v>
      </c>
      <c r="M8761">
        <v>56565</v>
      </c>
      <c r="N8761" t="s">
        <v>57</v>
      </c>
      <c r="O8761">
        <v>250610</v>
      </c>
      <c r="P8761">
        <v>12.43</v>
      </c>
    </row>
    <row r="8762" spans="1:16" x14ac:dyDescent="0.25">
      <c r="A8762" t="s">
        <v>3296</v>
      </c>
      <c r="B8762" t="s">
        <v>2931</v>
      </c>
      <c r="C8762">
        <v>7992</v>
      </c>
      <c r="D8762" t="str">
        <f>"1362751     "</f>
        <v xml:space="preserve">1362751     </v>
      </c>
      <c r="E8762" t="s">
        <v>353</v>
      </c>
      <c r="F8762" t="s">
        <v>355</v>
      </c>
      <c r="G8762">
        <v>13.22</v>
      </c>
      <c r="H8762">
        <v>250531</v>
      </c>
      <c r="I8762">
        <v>4600</v>
      </c>
      <c r="J8762" t="s">
        <v>278</v>
      </c>
      <c r="K8762">
        <v>13.22</v>
      </c>
      <c r="L8762">
        <v>2.69</v>
      </c>
      <c r="M8762">
        <v>56568</v>
      </c>
      <c r="N8762" t="s">
        <v>354</v>
      </c>
      <c r="O8762">
        <v>250610</v>
      </c>
      <c r="P8762">
        <v>10.53</v>
      </c>
    </row>
    <row r="8763" spans="1:16" x14ac:dyDescent="0.25">
      <c r="A8763" t="s">
        <v>3296</v>
      </c>
      <c r="B8763" t="s">
        <v>2931</v>
      </c>
      <c r="C8763">
        <v>7995</v>
      </c>
      <c r="D8763" t="str">
        <f>"1362724     "</f>
        <v xml:space="preserve">1362724     </v>
      </c>
      <c r="E8763" t="s">
        <v>353</v>
      </c>
      <c r="F8763" t="s">
        <v>355</v>
      </c>
      <c r="G8763">
        <v>211.76</v>
      </c>
      <c r="H8763">
        <v>250531</v>
      </c>
      <c r="I8763">
        <v>4600</v>
      </c>
      <c r="J8763" t="s">
        <v>278</v>
      </c>
      <c r="K8763">
        <v>211.76</v>
      </c>
      <c r="L8763">
        <v>43.03</v>
      </c>
      <c r="M8763">
        <v>56568</v>
      </c>
      <c r="N8763" t="s">
        <v>354</v>
      </c>
      <c r="O8763">
        <v>250610</v>
      </c>
      <c r="P8763">
        <v>168.73</v>
      </c>
    </row>
    <row r="8764" spans="1:16" x14ac:dyDescent="0.25">
      <c r="A8764" t="s">
        <v>3296</v>
      </c>
      <c r="B8764" t="s">
        <v>2931</v>
      </c>
      <c r="C8764">
        <v>8000</v>
      </c>
      <c r="D8764" t="str">
        <f>"1362734     "</f>
        <v xml:space="preserve">1362734     </v>
      </c>
      <c r="E8764" t="s">
        <v>353</v>
      </c>
      <c r="F8764" t="s">
        <v>355</v>
      </c>
      <c r="G8764">
        <v>17.149999999999999</v>
      </c>
      <c r="H8764">
        <v>250531</v>
      </c>
      <c r="I8764">
        <v>4600</v>
      </c>
      <c r="J8764" t="s">
        <v>278</v>
      </c>
      <c r="K8764">
        <v>17.149999999999999</v>
      </c>
      <c r="L8764">
        <v>3.48</v>
      </c>
      <c r="M8764">
        <v>56568</v>
      </c>
      <c r="N8764" t="s">
        <v>354</v>
      </c>
      <c r="O8764">
        <v>250610</v>
      </c>
      <c r="P8764">
        <v>13.67</v>
      </c>
    </row>
    <row r="8765" spans="1:16" x14ac:dyDescent="0.25">
      <c r="A8765" t="s">
        <v>3296</v>
      </c>
      <c r="B8765" t="s">
        <v>2931</v>
      </c>
      <c r="C8765">
        <v>8014</v>
      </c>
      <c r="D8765" t="str">
        <f>"1362764     "</f>
        <v xml:space="preserve">1362764     </v>
      </c>
      <c r="E8765" t="s">
        <v>353</v>
      </c>
      <c r="F8765" t="s">
        <v>355</v>
      </c>
      <c r="G8765">
        <v>73.72</v>
      </c>
      <c r="H8765">
        <v>250531</v>
      </c>
      <c r="I8765">
        <v>4600</v>
      </c>
      <c r="J8765" t="s">
        <v>278</v>
      </c>
      <c r="K8765">
        <v>93.92</v>
      </c>
      <c r="L8765">
        <v>14.98</v>
      </c>
      <c r="M8765">
        <v>67554</v>
      </c>
      <c r="N8765" t="s">
        <v>317</v>
      </c>
      <c r="O8765">
        <v>250611</v>
      </c>
      <c r="P8765">
        <v>58.74</v>
      </c>
    </row>
    <row r="8766" spans="1:16" x14ac:dyDescent="0.25">
      <c r="A8766" t="s">
        <v>3296</v>
      </c>
      <c r="B8766" t="s">
        <v>2931</v>
      </c>
      <c r="C8766">
        <v>8015</v>
      </c>
      <c r="D8766" t="str">
        <f>"1362725     "</f>
        <v xml:space="preserve">1362725     </v>
      </c>
      <c r="E8766" t="s">
        <v>353</v>
      </c>
      <c r="F8766" t="s">
        <v>355</v>
      </c>
      <c r="G8766">
        <v>14.06</v>
      </c>
      <c r="H8766">
        <v>250531</v>
      </c>
      <c r="I8766">
        <v>4600</v>
      </c>
      <c r="J8766" t="s">
        <v>278</v>
      </c>
      <c r="K8766">
        <v>14.06</v>
      </c>
      <c r="L8766">
        <v>2.86</v>
      </c>
      <c r="M8766">
        <v>56568</v>
      </c>
      <c r="N8766" t="s">
        <v>354</v>
      </c>
      <c r="O8766">
        <v>250611</v>
      </c>
      <c r="P8766">
        <v>11.2</v>
      </c>
    </row>
    <row r="8767" spans="1:16" x14ac:dyDescent="0.25">
      <c r="A8767" t="s">
        <v>3296</v>
      </c>
      <c r="B8767" t="s">
        <v>2931</v>
      </c>
      <c r="C8767">
        <v>8022</v>
      </c>
      <c r="D8767" t="str">
        <f>"1362746     "</f>
        <v xml:space="preserve">1362746     </v>
      </c>
      <c r="E8767" t="s">
        <v>353</v>
      </c>
      <c r="F8767" t="s">
        <v>355</v>
      </c>
      <c r="G8767">
        <v>20.65</v>
      </c>
      <c r="H8767">
        <v>250531</v>
      </c>
      <c r="I8767">
        <v>4600</v>
      </c>
      <c r="J8767" t="s">
        <v>278</v>
      </c>
      <c r="K8767">
        <v>20.65</v>
      </c>
      <c r="L8767">
        <v>4.2</v>
      </c>
      <c r="M8767">
        <v>56568</v>
      </c>
      <c r="N8767" t="s">
        <v>354</v>
      </c>
      <c r="O8767">
        <v>250611</v>
      </c>
      <c r="P8767">
        <v>16.45</v>
      </c>
    </row>
    <row r="8768" spans="1:16" x14ac:dyDescent="0.25">
      <c r="A8768" t="s">
        <v>3296</v>
      </c>
      <c r="B8768" t="s">
        <v>2931</v>
      </c>
      <c r="C8768">
        <v>8024</v>
      </c>
      <c r="D8768" t="str">
        <f>"1362736     "</f>
        <v xml:space="preserve">1362736     </v>
      </c>
      <c r="E8768" t="s">
        <v>353</v>
      </c>
      <c r="F8768" t="s">
        <v>355</v>
      </c>
      <c r="G8768">
        <v>38.380000000000003</v>
      </c>
      <c r="H8768">
        <v>250531</v>
      </c>
      <c r="I8768">
        <v>4600</v>
      </c>
      <c r="J8768" t="s">
        <v>278</v>
      </c>
      <c r="K8768">
        <v>38.380000000000003</v>
      </c>
      <c r="L8768">
        <v>7.8</v>
      </c>
      <c r="M8768">
        <v>56568</v>
      </c>
      <c r="N8768" t="s">
        <v>354</v>
      </c>
      <c r="O8768">
        <v>250611</v>
      </c>
      <c r="P8768">
        <v>30.58</v>
      </c>
    </row>
    <row r="8769" spans="1:16" x14ac:dyDescent="0.25">
      <c r="A8769" t="s">
        <v>3296</v>
      </c>
      <c r="B8769" t="s">
        <v>2931</v>
      </c>
      <c r="C8769">
        <v>8026</v>
      </c>
      <c r="D8769" t="str">
        <f>"1362748     "</f>
        <v xml:space="preserve">1362748     </v>
      </c>
      <c r="E8769" t="s">
        <v>353</v>
      </c>
      <c r="F8769" t="s">
        <v>355</v>
      </c>
      <c r="G8769">
        <v>31.11</v>
      </c>
      <c r="H8769">
        <v>250531</v>
      </c>
      <c r="I8769">
        <v>4600</v>
      </c>
      <c r="J8769" t="s">
        <v>278</v>
      </c>
      <c r="K8769">
        <v>31.11</v>
      </c>
      <c r="L8769">
        <v>6.32</v>
      </c>
      <c r="M8769">
        <v>56568</v>
      </c>
      <c r="N8769" t="s">
        <v>354</v>
      </c>
      <c r="O8769">
        <v>250611</v>
      </c>
      <c r="P8769">
        <v>24.79</v>
      </c>
    </row>
    <row r="8770" spans="1:16" x14ac:dyDescent="0.25">
      <c r="A8770" t="s">
        <v>3296</v>
      </c>
      <c r="B8770" t="s">
        <v>2931</v>
      </c>
      <c r="C8770">
        <v>8028</v>
      </c>
      <c r="D8770" t="str">
        <f>"1362744     "</f>
        <v xml:space="preserve">1362744     </v>
      </c>
      <c r="E8770" t="s">
        <v>353</v>
      </c>
      <c r="F8770" t="s">
        <v>355</v>
      </c>
      <c r="G8770">
        <v>23.84</v>
      </c>
      <c r="H8770">
        <v>250531</v>
      </c>
      <c r="I8770">
        <v>4600</v>
      </c>
      <c r="J8770" t="s">
        <v>278</v>
      </c>
      <c r="K8770">
        <v>23.84</v>
      </c>
      <c r="L8770">
        <v>4.84</v>
      </c>
      <c r="M8770">
        <v>56568</v>
      </c>
      <c r="N8770" t="s">
        <v>354</v>
      </c>
      <c r="O8770">
        <v>250611</v>
      </c>
      <c r="P8770">
        <v>19</v>
      </c>
    </row>
    <row r="8771" spans="1:16" x14ac:dyDescent="0.25">
      <c r="A8771" t="s">
        <v>3296</v>
      </c>
      <c r="B8771" t="s">
        <v>2931</v>
      </c>
      <c r="C8771">
        <v>8030</v>
      </c>
      <c r="D8771" t="str">
        <f>"1362762     "</f>
        <v xml:space="preserve">1362762     </v>
      </c>
      <c r="E8771" t="s">
        <v>353</v>
      </c>
      <c r="F8771" t="s">
        <v>355</v>
      </c>
      <c r="G8771">
        <v>2.38</v>
      </c>
      <c r="H8771">
        <v>250531</v>
      </c>
      <c r="I8771">
        <v>4600</v>
      </c>
      <c r="J8771" t="s">
        <v>278</v>
      </c>
      <c r="K8771">
        <v>2.38</v>
      </c>
      <c r="L8771">
        <v>0.48</v>
      </c>
      <c r="M8771">
        <v>56558</v>
      </c>
      <c r="N8771" t="s">
        <v>50</v>
      </c>
      <c r="O8771">
        <v>250611</v>
      </c>
      <c r="P8771">
        <v>1.9</v>
      </c>
    </row>
    <row r="8772" spans="1:16" x14ac:dyDescent="0.25">
      <c r="A8772" t="s">
        <v>3296</v>
      </c>
      <c r="B8772" t="s">
        <v>2931</v>
      </c>
      <c r="C8772">
        <v>8031</v>
      </c>
      <c r="D8772" t="str">
        <f>"1362731     "</f>
        <v xml:space="preserve">1362731     </v>
      </c>
      <c r="E8772" t="s">
        <v>353</v>
      </c>
      <c r="F8772" t="s">
        <v>355</v>
      </c>
      <c r="G8772">
        <v>36.479999999999997</v>
      </c>
      <c r="H8772">
        <v>250531</v>
      </c>
      <c r="I8772">
        <v>4600</v>
      </c>
      <c r="J8772" t="s">
        <v>278</v>
      </c>
      <c r="K8772">
        <v>36.479999999999997</v>
      </c>
      <c r="L8772">
        <v>7.41</v>
      </c>
      <c r="M8772">
        <v>56568</v>
      </c>
      <c r="N8772" t="s">
        <v>354</v>
      </c>
      <c r="O8772">
        <v>250611</v>
      </c>
      <c r="P8772">
        <v>29.07</v>
      </c>
    </row>
    <row r="8773" spans="1:16" x14ac:dyDescent="0.25">
      <c r="A8773" t="s">
        <v>3296</v>
      </c>
      <c r="B8773" t="s">
        <v>2931</v>
      </c>
      <c r="C8773">
        <v>9496</v>
      </c>
      <c r="D8773" t="str">
        <f>"1364960     "</f>
        <v xml:space="preserve">1364960     </v>
      </c>
      <c r="E8773" t="s">
        <v>353</v>
      </c>
      <c r="F8773" t="s">
        <v>355</v>
      </c>
      <c r="G8773">
        <v>32.299999999999997</v>
      </c>
      <c r="H8773">
        <v>250630</v>
      </c>
      <c r="I8773">
        <v>4600</v>
      </c>
      <c r="J8773" t="s">
        <v>278</v>
      </c>
      <c r="K8773">
        <v>32.299999999999997</v>
      </c>
      <c r="L8773">
        <v>6.56</v>
      </c>
      <c r="M8773">
        <v>59504</v>
      </c>
      <c r="N8773" t="s">
        <v>193</v>
      </c>
      <c r="O8773">
        <v>250709</v>
      </c>
      <c r="P8773">
        <v>25.74</v>
      </c>
    </row>
    <row r="8774" spans="1:16" x14ac:dyDescent="0.25">
      <c r="A8774" t="s">
        <v>3296</v>
      </c>
      <c r="B8774" t="s">
        <v>2931</v>
      </c>
      <c r="C8774">
        <v>9497</v>
      </c>
      <c r="D8774" t="str">
        <f>"1364959     "</f>
        <v xml:space="preserve">1364959     </v>
      </c>
      <c r="E8774" t="s">
        <v>353</v>
      </c>
      <c r="F8774" t="s">
        <v>355</v>
      </c>
      <c r="G8774">
        <v>168.4</v>
      </c>
      <c r="H8774">
        <v>250630</v>
      </c>
      <c r="I8774">
        <v>4600</v>
      </c>
      <c r="J8774" t="s">
        <v>278</v>
      </c>
      <c r="K8774">
        <v>168.4</v>
      </c>
      <c r="L8774">
        <v>34.22</v>
      </c>
      <c r="M8774">
        <v>59504</v>
      </c>
      <c r="N8774" t="s">
        <v>193</v>
      </c>
      <c r="O8774">
        <v>250709</v>
      </c>
      <c r="P8774">
        <v>134.18</v>
      </c>
    </row>
    <row r="8775" spans="1:16" x14ac:dyDescent="0.25">
      <c r="A8775" t="s">
        <v>3296</v>
      </c>
      <c r="B8775" t="s">
        <v>2931</v>
      </c>
      <c r="C8775">
        <v>9571</v>
      </c>
      <c r="D8775" t="str">
        <f>"1364956     "</f>
        <v xml:space="preserve">1364956     </v>
      </c>
      <c r="E8775" t="s">
        <v>353</v>
      </c>
      <c r="F8775" t="s">
        <v>355</v>
      </c>
      <c r="G8775">
        <v>-62.85</v>
      </c>
      <c r="H8775">
        <v>250630</v>
      </c>
      <c r="I8775">
        <v>4600</v>
      </c>
      <c r="J8775" t="s">
        <v>278</v>
      </c>
      <c r="K8775">
        <v>-62.85</v>
      </c>
      <c r="L8775">
        <v>-12.77</v>
      </c>
      <c r="M8775">
        <v>56568</v>
      </c>
      <c r="N8775" t="s">
        <v>354</v>
      </c>
      <c r="O8775">
        <v>250721</v>
      </c>
      <c r="P8775">
        <v>-50.08</v>
      </c>
    </row>
    <row r="8776" spans="1:16" x14ac:dyDescent="0.25">
      <c r="A8776" t="s">
        <v>3296</v>
      </c>
      <c r="B8776" t="s">
        <v>2931</v>
      </c>
      <c r="C8776">
        <v>9576</v>
      </c>
      <c r="D8776" t="str">
        <f>"1364955     "</f>
        <v xml:space="preserve">1364955     </v>
      </c>
      <c r="E8776" t="s">
        <v>353</v>
      </c>
      <c r="F8776" t="s">
        <v>355</v>
      </c>
      <c r="G8776">
        <v>15</v>
      </c>
      <c r="H8776">
        <v>250630</v>
      </c>
      <c r="I8776">
        <v>4600</v>
      </c>
      <c r="J8776" t="s">
        <v>278</v>
      </c>
      <c r="K8776">
        <v>15</v>
      </c>
      <c r="L8776">
        <v>3.05</v>
      </c>
      <c r="M8776">
        <v>56568</v>
      </c>
      <c r="N8776" t="s">
        <v>354</v>
      </c>
      <c r="O8776">
        <v>250721</v>
      </c>
      <c r="P8776">
        <v>11.95</v>
      </c>
    </row>
    <row r="8777" spans="1:16" x14ac:dyDescent="0.25">
      <c r="A8777" t="s">
        <v>3296</v>
      </c>
      <c r="B8777" t="s">
        <v>2931</v>
      </c>
      <c r="C8777">
        <v>9577</v>
      </c>
      <c r="D8777" t="str">
        <f>"1364954     "</f>
        <v xml:space="preserve">1364954     </v>
      </c>
      <c r="E8777" t="s">
        <v>353</v>
      </c>
      <c r="F8777" t="s">
        <v>355</v>
      </c>
      <c r="G8777">
        <v>6.93</v>
      </c>
      <c r="H8777">
        <v>250630</v>
      </c>
      <c r="I8777">
        <v>4600</v>
      </c>
      <c r="J8777" t="s">
        <v>278</v>
      </c>
      <c r="K8777">
        <v>6.93</v>
      </c>
      <c r="L8777">
        <v>1.41</v>
      </c>
      <c r="M8777">
        <v>56568</v>
      </c>
      <c r="N8777" t="s">
        <v>354</v>
      </c>
      <c r="O8777">
        <v>250721</v>
      </c>
      <c r="P8777">
        <v>5.52</v>
      </c>
    </row>
    <row r="8778" spans="1:16" x14ac:dyDescent="0.25">
      <c r="A8778" t="s">
        <v>3296</v>
      </c>
      <c r="B8778" t="s">
        <v>2931</v>
      </c>
      <c r="C8778">
        <v>9586</v>
      </c>
      <c r="D8778" t="str">
        <f>"1364958     "</f>
        <v xml:space="preserve">1364958     </v>
      </c>
      <c r="E8778" t="s">
        <v>353</v>
      </c>
      <c r="F8778" t="s">
        <v>355</v>
      </c>
      <c r="G8778">
        <v>2.25</v>
      </c>
      <c r="H8778">
        <v>250630</v>
      </c>
      <c r="I8778">
        <v>4600</v>
      </c>
      <c r="J8778" t="s">
        <v>278</v>
      </c>
      <c r="K8778">
        <v>2.25</v>
      </c>
      <c r="L8778">
        <v>0.46</v>
      </c>
      <c r="M8778">
        <v>56568</v>
      </c>
      <c r="N8778" t="s">
        <v>354</v>
      </c>
      <c r="O8778">
        <v>250721</v>
      </c>
      <c r="P8778">
        <v>1.79</v>
      </c>
    </row>
    <row r="8779" spans="1:16" x14ac:dyDescent="0.25">
      <c r="A8779" t="s">
        <v>3296</v>
      </c>
      <c r="B8779" t="s">
        <v>2931</v>
      </c>
      <c r="C8779">
        <v>10464</v>
      </c>
      <c r="D8779" t="str">
        <f>"1368557     "</f>
        <v xml:space="preserve">1368557     </v>
      </c>
      <c r="E8779" t="s">
        <v>353</v>
      </c>
      <c r="F8779" t="s">
        <v>355</v>
      </c>
      <c r="G8779">
        <v>605.17999999999995</v>
      </c>
      <c r="H8779">
        <v>250813</v>
      </c>
      <c r="I8779">
        <v>4600</v>
      </c>
      <c r="J8779" t="s">
        <v>278</v>
      </c>
      <c r="K8779">
        <v>605.17999999999995</v>
      </c>
      <c r="L8779">
        <v>122.96</v>
      </c>
      <c r="M8779">
        <v>56568</v>
      </c>
      <c r="N8779" t="s">
        <v>354</v>
      </c>
      <c r="O8779">
        <v>250820</v>
      </c>
      <c r="P8779">
        <v>482.22</v>
      </c>
    </row>
    <row r="8780" spans="1:16" x14ac:dyDescent="0.25">
      <c r="A8780" t="s">
        <v>3296</v>
      </c>
      <c r="B8780" t="s">
        <v>2931</v>
      </c>
      <c r="C8780">
        <v>10470</v>
      </c>
      <c r="D8780" t="str">
        <f>"1368558     "</f>
        <v xml:space="preserve">1368558     </v>
      </c>
      <c r="E8780" t="s">
        <v>353</v>
      </c>
      <c r="F8780" t="s">
        <v>355</v>
      </c>
      <c r="G8780">
        <v>55.8</v>
      </c>
      <c r="H8780">
        <v>250813</v>
      </c>
      <c r="I8780">
        <v>4600</v>
      </c>
      <c r="J8780" t="s">
        <v>278</v>
      </c>
      <c r="K8780">
        <v>55.8</v>
      </c>
      <c r="L8780">
        <v>11.34</v>
      </c>
      <c r="M8780">
        <v>56568</v>
      </c>
      <c r="N8780" t="s">
        <v>354</v>
      </c>
      <c r="O8780">
        <v>250820</v>
      </c>
      <c r="P8780">
        <v>44.46</v>
      </c>
    </row>
    <row r="8781" spans="1:16" x14ac:dyDescent="0.25">
      <c r="A8781" t="s">
        <v>3296</v>
      </c>
      <c r="B8781" t="s">
        <v>2931</v>
      </c>
      <c r="C8781">
        <v>10471</v>
      </c>
      <c r="D8781" t="str">
        <f>"1368551     "</f>
        <v xml:space="preserve">1368551     </v>
      </c>
      <c r="E8781" t="s">
        <v>353</v>
      </c>
      <c r="F8781" t="s">
        <v>355</v>
      </c>
      <c r="G8781">
        <v>6.3</v>
      </c>
      <c r="H8781">
        <v>250813</v>
      </c>
      <c r="I8781">
        <v>4600</v>
      </c>
      <c r="J8781" t="s">
        <v>278</v>
      </c>
      <c r="K8781">
        <v>6.3</v>
      </c>
      <c r="L8781">
        <v>1.28</v>
      </c>
      <c r="M8781">
        <v>59501</v>
      </c>
      <c r="N8781" t="s">
        <v>62</v>
      </c>
      <c r="O8781">
        <v>250820</v>
      </c>
      <c r="P8781">
        <v>5.0199999999999996</v>
      </c>
    </row>
    <row r="8782" spans="1:16" x14ac:dyDescent="0.25">
      <c r="A8782" t="s">
        <v>3296</v>
      </c>
      <c r="B8782" t="s">
        <v>2931</v>
      </c>
      <c r="C8782">
        <v>10475</v>
      </c>
      <c r="D8782" t="str">
        <f>"1368555     "</f>
        <v xml:space="preserve">1368555     </v>
      </c>
      <c r="E8782" t="s">
        <v>353</v>
      </c>
      <c r="F8782" t="s">
        <v>355</v>
      </c>
      <c r="G8782">
        <v>176.12</v>
      </c>
      <c r="H8782">
        <v>250813</v>
      </c>
      <c r="I8782">
        <v>4600</v>
      </c>
      <c r="J8782" t="s">
        <v>278</v>
      </c>
      <c r="K8782">
        <v>176.12</v>
      </c>
      <c r="L8782">
        <v>35.79</v>
      </c>
      <c r="M8782">
        <v>56568</v>
      </c>
      <c r="N8782" t="s">
        <v>354</v>
      </c>
      <c r="O8782">
        <v>250820</v>
      </c>
      <c r="P8782">
        <v>140.33000000000001</v>
      </c>
    </row>
    <row r="8783" spans="1:16" x14ac:dyDescent="0.25">
      <c r="A8783" t="s">
        <v>3296</v>
      </c>
      <c r="B8783" t="s">
        <v>2931</v>
      </c>
      <c r="C8783">
        <v>10480</v>
      </c>
      <c r="D8783" t="str">
        <f>"1368553     "</f>
        <v xml:space="preserve">1368553     </v>
      </c>
      <c r="E8783" t="s">
        <v>353</v>
      </c>
      <c r="F8783" t="s">
        <v>355</v>
      </c>
      <c r="G8783">
        <v>105.3</v>
      </c>
      <c r="H8783">
        <v>250813</v>
      </c>
      <c r="I8783">
        <v>4600</v>
      </c>
      <c r="J8783" t="s">
        <v>278</v>
      </c>
      <c r="K8783">
        <v>105.3</v>
      </c>
      <c r="L8783">
        <v>21.4</v>
      </c>
      <c r="M8783">
        <v>56568</v>
      </c>
      <c r="N8783" t="s">
        <v>354</v>
      </c>
      <c r="O8783">
        <v>250820</v>
      </c>
      <c r="P8783">
        <v>83.9</v>
      </c>
    </row>
    <row r="8784" spans="1:16" x14ac:dyDescent="0.25">
      <c r="A8784" t="s">
        <v>3296</v>
      </c>
      <c r="B8784" t="s">
        <v>2931</v>
      </c>
      <c r="C8784">
        <v>10481</v>
      </c>
      <c r="D8784" t="str">
        <f>"1368560     "</f>
        <v xml:space="preserve">1368560     </v>
      </c>
      <c r="E8784" t="s">
        <v>353</v>
      </c>
      <c r="F8784" t="s">
        <v>355</v>
      </c>
      <c r="G8784">
        <v>38.93</v>
      </c>
      <c r="H8784">
        <v>250813</v>
      </c>
      <c r="I8784">
        <v>4600</v>
      </c>
      <c r="J8784" t="s">
        <v>278</v>
      </c>
      <c r="K8784">
        <v>38.93</v>
      </c>
      <c r="L8784">
        <v>7.91</v>
      </c>
      <c r="M8784">
        <v>56568</v>
      </c>
      <c r="N8784" t="s">
        <v>354</v>
      </c>
      <c r="O8784">
        <v>250820</v>
      </c>
      <c r="P8784">
        <v>31.02</v>
      </c>
    </row>
    <row r="8785" spans="1:16" x14ac:dyDescent="0.25">
      <c r="A8785" t="s">
        <v>3296</v>
      </c>
      <c r="B8785" t="s">
        <v>2931</v>
      </c>
      <c r="C8785">
        <v>10482</v>
      </c>
      <c r="D8785" t="str">
        <f>"1368559     "</f>
        <v xml:space="preserve">1368559     </v>
      </c>
      <c r="E8785" t="s">
        <v>353</v>
      </c>
      <c r="F8785" t="s">
        <v>355</v>
      </c>
      <c r="G8785">
        <v>58.95</v>
      </c>
      <c r="H8785">
        <v>250813</v>
      </c>
      <c r="I8785">
        <v>4600</v>
      </c>
      <c r="J8785" t="s">
        <v>278</v>
      </c>
      <c r="K8785">
        <v>58.95</v>
      </c>
      <c r="L8785">
        <v>11.98</v>
      </c>
      <c r="M8785">
        <v>56568</v>
      </c>
      <c r="N8785" t="s">
        <v>354</v>
      </c>
      <c r="O8785">
        <v>250820</v>
      </c>
      <c r="P8785">
        <v>46.97</v>
      </c>
    </row>
    <row r="8786" spans="1:16" x14ac:dyDescent="0.25">
      <c r="A8786" t="s">
        <v>3296</v>
      </c>
      <c r="B8786" t="s">
        <v>2931</v>
      </c>
      <c r="C8786">
        <v>10489</v>
      </c>
      <c r="D8786" t="str">
        <f>"1368556     "</f>
        <v xml:space="preserve">1368556     </v>
      </c>
      <c r="E8786" t="s">
        <v>353</v>
      </c>
      <c r="F8786" t="s">
        <v>355</v>
      </c>
      <c r="G8786">
        <v>92.3</v>
      </c>
      <c r="H8786">
        <v>250813</v>
      </c>
      <c r="I8786">
        <v>4600</v>
      </c>
      <c r="J8786" t="s">
        <v>278</v>
      </c>
      <c r="K8786">
        <v>92.3</v>
      </c>
      <c r="L8786">
        <v>18.75</v>
      </c>
      <c r="M8786">
        <v>56568</v>
      </c>
      <c r="N8786" t="s">
        <v>354</v>
      </c>
      <c r="O8786">
        <v>250820</v>
      </c>
      <c r="P8786">
        <v>73.55</v>
      </c>
    </row>
    <row r="8787" spans="1:16" x14ac:dyDescent="0.25">
      <c r="A8787" t="s">
        <v>3296</v>
      </c>
      <c r="B8787" t="s">
        <v>2931</v>
      </c>
      <c r="C8787">
        <v>11024</v>
      </c>
      <c r="D8787" t="str">
        <f>"1369281     "</f>
        <v xml:space="preserve">1369281     </v>
      </c>
      <c r="E8787" t="s">
        <v>353</v>
      </c>
      <c r="F8787" t="s">
        <v>355</v>
      </c>
      <c r="G8787">
        <v>-41</v>
      </c>
      <c r="H8787">
        <v>250827</v>
      </c>
      <c r="I8787">
        <v>4600</v>
      </c>
      <c r="J8787" t="s">
        <v>278</v>
      </c>
      <c r="K8787">
        <v>-41</v>
      </c>
      <c r="L8787">
        <v>-8.33</v>
      </c>
      <c r="M8787">
        <v>56568</v>
      </c>
      <c r="N8787" t="s">
        <v>354</v>
      </c>
      <c r="O8787">
        <v>250829</v>
      </c>
      <c r="P8787">
        <v>-32.67</v>
      </c>
    </row>
    <row r="8788" spans="1:16" x14ac:dyDescent="0.25">
      <c r="A8788" t="s">
        <v>3296</v>
      </c>
      <c r="B8788" t="s">
        <v>2931</v>
      </c>
      <c r="C8788">
        <v>11025</v>
      </c>
      <c r="D8788" t="str">
        <f>"1369284     "</f>
        <v xml:space="preserve">1369284     </v>
      </c>
      <c r="E8788" t="s">
        <v>353</v>
      </c>
      <c r="F8788" t="s">
        <v>355</v>
      </c>
      <c r="G8788">
        <v>-7.44</v>
      </c>
      <c r="H8788">
        <v>250827</v>
      </c>
      <c r="I8788">
        <v>4600</v>
      </c>
      <c r="J8788" t="s">
        <v>278</v>
      </c>
      <c r="K8788">
        <v>-7.44</v>
      </c>
      <c r="L8788">
        <v>-1.51</v>
      </c>
      <c r="M8788">
        <v>56568</v>
      </c>
      <c r="N8788" t="s">
        <v>354</v>
      </c>
      <c r="O8788">
        <v>250829</v>
      </c>
      <c r="P8788">
        <v>-5.93</v>
      </c>
    </row>
    <row r="8789" spans="1:16" x14ac:dyDescent="0.25">
      <c r="A8789" t="s">
        <v>3296</v>
      </c>
      <c r="B8789" t="s">
        <v>2931</v>
      </c>
      <c r="C8789">
        <v>11026</v>
      </c>
      <c r="D8789" t="str">
        <f>"1369259     "</f>
        <v xml:space="preserve">1369259     </v>
      </c>
      <c r="E8789" t="s">
        <v>353</v>
      </c>
      <c r="F8789" t="s">
        <v>355</v>
      </c>
      <c r="G8789">
        <v>29.53</v>
      </c>
      <c r="H8789">
        <v>250827</v>
      </c>
      <c r="I8789">
        <v>4600</v>
      </c>
      <c r="J8789" t="s">
        <v>278</v>
      </c>
      <c r="K8789">
        <v>29.53</v>
      </c>
      <c r="L8789">
        <v>6</v>
      </c>
      <c r="M8789">
        <v>56568</v>
      </c>
      <c r="N8789" t="s">
        <v>354</v>
      </c>
      <c r="O8789">
        <v>250829</v>
      </c>
      <c r="P8789">
        <v>23.53</v>
      </c>
    </row>
    <row r="8790" spans="1:16" x14ac:dyDescent="0.25">
      <c r="A8790" t="s">
        <v>3296</v>
      </c>
      <c r="B8790" t="s">
        <v>2931</v>
      </c>
      <c r="C8790">
        <v>11027</v>
      </c>
      <c r="D8790" t="str">
        <f>"1369260     "</f>
        <v xml:space="preserve">1369260     </v>
      </c>
      <c r="E8790" t="s">
        <v>353</v>
      </c>
      <c r="F8790" t="s">
        <v>355</v>
      </c>
      <c r="G8790">
        <v>8.68</v>
      </c>
      <c r="H8790">
        <v>250827</v>
      </c>
      <c r="I8790">
        <v>4600</v>
      </c>
      <c r="J8790" t="s">
        <v>278</v>
      </c>
      <c r="K8790">
        <v>8.68</v>
      </c>
      <c r="L8790">
        <v>1.76</v>
      </c>
      <c r="M8790">
        <v>56568</v>
      </c>
      <c r="N8790" t="s">
        <v>354</v>
      </c>
      <c r="O8790">
        <v>250829</v>
      </c>
      <c r="P8790">
        <v>6.92</v>
      </c>
    </row>
    <row r="8791" spans="1:16" x14ac:dyDescent="0.25">
      <c r="A8791" t="s">
        <v>3296</v>
      </c>
      <c r="B8791" t="s">
        <v>2931</v>
      </c>
      <c r="C8791">
        <v>11028</v>
      </c>
      <c r="D8791" t="str">
        <f>"1369276     "</f>
        <v xml:space="preserve">1369276     </v>
      </c>
      <c r="E8791" t="s">
        <v>353</v>
      </c>
      <c r="F8791" t="s">
        <v>355</v>
      </c>
      <c r="G8791">
        <v>92.1</v>
      </c>
      <c r="H8791">
        <v>250827</v>
      </c>
      <c r="I8791">
        <v>4600</v>
      </c>
      <c r="J8791" t="s">
        <v>278</v>
      </c>
      <c r="K8791">
        <v>92.1</v>
      </c>
      <c r="L8791">
        <v>18.71</v>
      </c>
      <c r="M8791">
        <v>56565</v>
      </c>
      <c r="N8791" t="s">
        <v>57</v>
      </c>
      <c r="O8791">
        <v>250829</v>
      </c>
      <c r="P8791">
        <v>73.39</v>
      </c>
    </row>
    <row r="8792" spans="1:16" x14ac:dyDescent="0.25">
      <c r="A8792" t="s">
        <v>3296</v>
      </c>
      <c r="B8792" t="s">
        <v>2931</v>
      </c>
      <c r="C8792">
        <v>11029</v>
      </c>
      <c r="D8792" t="str">
        <f>"1369272     "</f>
        <v xml:space="preserve">1369272     </v>
      </c>
      <c r="E8792" t="s">
        <v>353</v>
      </c>
      <c r="F8792" t="s">
        <v>355</v>
      </c>
      <c r="G8792">
        <v>69.06</v>
      </c>
      <c r="H8792">
        <v>250827</v>
      </c>
      <c r="I8792">
        <v>4600</v>
      </c>
      <c r="J8792" t="s">
        <v>278</v>
      </c>
      <c r="K8792">
        <v>90.64</v>
      </c>
      <c r="L8792">
        <v>14.03</v>
      </c>
      <c r="M8792">
        <v>56565</v>
      </c>
      <c r="N8792" t="s">
        <v>57</v>
      </c>
      <c r="O8792">
        <v>250829</v>
      </c>
      <c r="P8792">
        <v>55.03</v>
      </c>
    </row>
    <row r="8793" spans="1:16" x14ac:dyDescent="0.25">
      <c r="A8793" t="s">
        <v>3296</v>
      </c>
      <c r="B8793" t="s">
        <v>2931</v>
      </c>
      <c r="C8793">
        <v>11029</v>
      </c>
      <c r="D8793" t="str">
        <f>"1369272     "</f>
        <v xml:space="preserve">1369272     </v>
      </c>
      <c r="E8793" t="s">
        <v>353</v>
      </c>
      <c r="F8793" t="s">
        <v>355</v>
      </c>
      <c r="G8793">
        <v>21.58</v>
      </c>
      <c r="H8793">
        <v>250827</v>
      </c>
      <c r="I8793">
        <v>4600</v>
      </c>
      <c r="J8793" t="s">
        <v>278</v>
      </c>
      <c r="K8793">
        <v>90.64</v>
      </c>
      <c r="L8793">
        <v>4.38</v>
      </c>
      <c r="M8793">
        <v>56573</v>
      </c>
      <c r="N8793" t="s">
        <v>843</v>
      </c>
      <c r="O8793">
        <v>250829</v>
      </c>
      <c r="P8793">
        <v>17.2</v>
      </c>
    </row>
    <row r="8794" spans="1:16" x14ac:dyDescent="0.25">
      <c r="A8794" t="s">
        <v>3296</v>
      </c>
      <c r="B8794" t="s">
        <v>2931</v>
      </c>
      <c r="C8794">
        <v>11030</v>
      </c>
      <c r="D8794" t="str">
        <f>"1369269     "</f>
        <v xml:space="preserve">1369269     </v>
      </c>
      <c r="E8794" t="s">
        <v>353</v>
      </c>
      <c r="F8794" t="s">
        <v>355</v>
      </c>
      <c r="G8794">
        <v>183.01</v>
      </c>
      <c r="H8794">
        <v>250827</v>
      </c>
      <c r="I8794">
        <v>4600</v>
      </c>
      <c r="J8794" t="s">
        <v>278</v>
      </c>
      <c r="K8794">
        <v>183.01</v>
      </c>
      <c r="L8794">
        <v>37.19</v>
      </c>
      <c r="M8794">
        <v>56568</v>
      </c>
      <c r="N8794" t="s">
        <v>354</v>
      </c>
      <c r="O8794">
        <v>250829</v>
      </c>
      <c r="P8794">
        <v>145.82</v>
      </c>
    </row>
    <row r="8795" spans="1:16" x14ac:dyDescent="0.25">
      <c r="A8795" t="s">
        <v>3296</v>
      </c>
      <c r="B8795" t="s">
        <v>2931</v>
      </c>
      <c r="C8795">
        <v>11031</v>
      </c>
      <c r="D8795" t="str">
        <f>"1369265     "</f>
        <v xml:space="preserve">1369265     </v>
      </c>
      <c r="E8795" t="s">
        <v>353</v>
      </c>
      <c r="F8795" t="s">
        <v>355</v>
      </c>
      <c r="G8795">
        <v>283.33999999999997</v>
      </c>
      <c r="H8795">
        <v>250827</v>
      </c>
      <c r="I8795">
        <v>4600</v>
      </c>
      <c r="J8795" t="s">
        <v>278</v>
      </c>
      <c r="K8795">
        <v>283.33999999999997</v>
      </c>
      <c r="L8795">
        <v>57.57</v>
      </c>
      <c r="M8795">
        <v>56568</v>
      </c>
      <c r="N8795" t="s">
        <v>354</v>
      </c>
      <c r="O8795">
        <v>250829</v>
      </c>
      <c r="P8795">
        <v>225.77</v>
      </c>
    </row>
    <row r="8796" spans="1:16" x14ac:dyDescent="0.25">
      <c r="A8796" t="s">
        <v>3296</v>
      </c>
      <c r="B8796" t="s">
        <v>2931</v>
      </c>
      <c r="C8796">
        <v>11034</v>
      </c>
      <c r="D8796" t="str">
        <f>"1369245     "</f>
        <v xml:space="preserve">1369245     </v>
      </c>
      <c r="E8796" t="s">
        <v>353</v>
      </c>
      <c r="F8796" t="s">
        <v>355</v>
      </c>
      <c r="G8796">
        <v>258.64999999999998</v>
      </c>
      <c r="H8796">
        <v>250827</v>
      </c>
      <c r="I8796">
        <v>4600</v>
      </c>
      <c r="J8796" t="s">
        <v>278</v>
      </c>
      <c r="K8796">
        <v>258.64999999999998</v>
      </c>
      <c r="L8796">
        <v>52.55</v>
      </c>
      <c r="M8796">
        <v>56568</v>
      </c>
      <c r="N8796" t="s">
        <v>354</v>
      </c>
      <c r="O8796">
        <v>250829</v>
      </c>
      <c r="P8796">
        <v>206.1</v>
      </c>
    </row>
    <row r="8797" spans="1:16" x14ac:dyDescent="0.25">
      <c r="A8797" t="s">
        <v>3296</v>
      </c>
      <c r="B8797" t="s">
        <v>2931</v>
      </c>
      <c r="C8797">
        <v>11035</v>
      </c>
      <c r="D8797" t="str">
        <f>"1369251     "</f>
        <v xml:space="preserve">1369251     </v>
      </c>
      <c r="E8797" t="s">
        <v>353</v>
      </c>
      <c r="F8797" t="s">
        <v>355</v>
      </c>
      <c r="G8797">
        <v>18.91</v>
      </c>
      <c r="H8797">
        <v>250827</v>
      </c>
      <c r="I8797">
        <v>4600</v>
      </c>
      <c r="J8797" t="s">
        <v>278</v>
      </c>
      <c r="K8797">
        <v>18.91</v>
      </c>
      <c r="L8797">
        <v>3.84</v>
      </c>
      <c r="M8797">
        <v>56568</v>
      </c>
      <c r="N8797" t="s">
        <v>354</v>
      </c>
      <c r="O8797">
        <v>250829</v>
      </c>
      <c r="P8797">
        <v>15.07</v>
      </c>
    </row>
    <row r="8798" spans="1:16" x14ac:dyDescent="0.25">
      <c r="A8798" t="s">
        <v>3296</v>
      </c>
      <c r="B8798" t="s">
        <v>2931</v>
      </c>
      <c r="C8798">
        <v>11036</v>
      </c>
      <c r="D8798" t="str">
        <f>"1369258     "</f>
        <v xml:space="preserve">1369258     </v>
      </c>
      <c r="E8798" t="s">
        <v>353</v>
      </c>
      <c r="F8798" t="s">
        <v>355</v>
      </c>
      <c r="G8798">
        <v>120.35</v>
      </c>
      <c r="H8798">
        <v>250827</v>
      </c>
      <c r="I8798">
        <v>4600</v>
      </c>
      <c r="J8798" t="s">
        <v>278</v>
      </c>
      <c r="K8798">
        <v>120.35</v>
      </c>
      <c r="L8798">
        <v>24.45</v>
      </c>
      <c r="M8798">
        <v>56568</v>
      </c>
      <c r="N8798" t="s">
        <v>354</v>
      </c>
      <c r="O8798">
        <v>250829</v>
      </c>
      <c r="P8798">
        <v>95.9</v>
      </c>
    </row>
    <row r="8799" spans="1:16" x14ac:dyDescent="0.25">
      <c r="A8799" t="s">
        <v>3296</v>
      </c>
      <c r="B8799" t="s">
        <v>2931</v>
      </c>
      <c r="C8799">
        <v>11037</v>
      </c>
      <c r="D8799" t="str">
        <f>"1369280     "</f>
        <v xml:space="preserve">1369280     </v>
      </c>
      <c r="E8799" t="s">
        <v>353</v>
      </c>
      <c r="F8799" t="s">
        <v>355</v>
      </c>
      <c r="G8799">
        <v>59.25</v>
      </c>
      <c r="H8799">
        <v>250827</v>
      </c>
      <c r="I8799">
        <v>4600</v>
      </c>
      <c r="J8799" t="s">
        <v>278</v>
      </c>
      <c r="K8799">
        <v>59.25</v>
      </c>
      <c r="L8799">
        <v>12.04</v>
      </c>
      <c r="M8799">
        <v>56568</v>
      </c>
      <c r="N8799" t="s">
        <v>354</v>
      </c>
      <c r="O8799">
        <v>250829</v>
      </c>
      <c r="P8799">
        <v>47.21</v>
      </c>
    </row>
    <row r="8800" spans="1:16" x14ac:dyDescent="0.25">
      <c r="A8800" t="s">
        <v>3296</v>
      </c>
      <c r="B8800" t="s">
        <v>2931</v>
      </c>
      <c r="C8800">
        <v>11038</v>
      </c>
      <c r="D8800" t="str">
        <f>"1369277     "</f>
        <v xml:space="preserve">1369277     </v>
      </c>
      <c r="E8800" t="s">
        <v>353</v>
      </c>
      <c r="F8800" t="s">
        <v>355</v>
      </c>
      <c r="G8800">
        <v>9.61</v>
      </c>
      <c r="H8800">
        <v>250827</v>
      </c>
      <c r="I8800">
        <v>4600</v>
      </c>
      <c r="J8800" t="s">
        <v>278</v>
      </c>
      <c r="K8800">
        <v>9.61</v>
      </c>
      <c r="L8800">
        <v>1.95</v>
      </c>
      <c r="M8800">
        <v>56568</v>
      </c>
      <c r="N8800" t="s">
        <v>354</v>
      </c>
      <c r="O8800">
        <v>250829</v>
      </c>
      <c r="P8800">
        <v>7.66</v>
      </c>
    </row>
    <row r="8801" spans="1:16" x14ac:dyDescent="0.25">
      <c r="A8801" t="s">
        <v>3296</v>
      </c>
      <c r="B8801" t="s">
        <v>2931</v>
      </c>
      <c r="C8801">
        <v>11040</v>
      </c>
      <c r="D8801" t="str">
        <f>"1369282     "</f>
        <v xml:space="preserve">1369282     </v>
      </c>
      <c r="E8801" t="s">
        <v>353</v>
      </c>
      <c r="F8801" t="s">
        <v>355</v>
      </c>
      <c r="G8801">
        <v>31.97</v>
      </c>
      <c r="H8801">
        <v>250827</v>
      </c>
      <c r="I8801">
        <v>4600</v>
      </c>
      <c r="J8801" t="s">
        <v>278</v>
      </c>
      <c r="K8801">
        <v>31.97</v>
      </c>
      <c r="L8801">
        <v>6.5</v>
      </c>
      <c r="M8801">
        <v>56568</v>
      </c>
      <c r="N8801" t="s">
        <v>354</v>
      </c>
      <c r="O8801">
        <v>250829</v>
      </c>
      <c r="P8801">
        <v>25.47</v>
      </c>
    </row>
    <row r="8802" spans="1:16" x14ac:dyDescent="0.25">
      <c r="A8802" t="s">
        <v>3296</v>
      </c>
      <c r="B8802" t="s">
        <v>2931</v>
      </c>
      <c r="C8802">
        <v>11041</v>
      </c>
      <c r="D8802" t="str">
        <f>"1369263     "</f>
        <v xml:space="preserve">1369263     </v>
      </c>
      <c r="E8802" t="s">
        <v>353</v>
      </c>
      <c r="F8802" t="s">
        <v>355</v>
      </c>
      <c r="G8802">
        <v>33.909999999999997</v>
      </c>
      <c r="H8802">
        <v>250827</v>
      </c>
      <c r="I8802">
        <v>4600</v>
      </c>
      <c r="J8802" t="s">
        <v>278</v>
      </c>
      <c r="K8802">
        <v>33.909999999999997</v>
      </c>
      <c r="L8802">
        <v>6.89</v>
      </c>
      <c r="M8802">
        <v>56568</v>
      </c>
      <c r="N8802" t="s">
        <v>354</v>
      </c>
      <c r="O8802">
        <v>250829</v>
      </c>
      <c r="P8802">
        <v>27.02</v>
      </c>
    </row>
    <row r="8803" spans="1:16" x14ac:dyDescent="0.25">
      <c r="A8803" t="s">
        <v>3296</v>
      </c>
      <c r="B8803" t="s">
        <v>2931</v>
      </c>
      <c r="C8803">
        <v>11043</v>
      </c>
      <c r="D8803" t="str">
        <f>"1369262     "</f>
        <v xml:space="preserve">1369262     </v>
      </c>
      <c r="E8803" t="s">
        <v>353</v>
      </c>
      <c r="F8803" t="s">
        <v>355</v>
      </c>
      <c r="G8803">
        <v>66</v>
      </c>
      <c r="H8803">
        <v>250827</v>
      </c>
      <c r="I8803">
        <v>4600</v>
      </c>
      <c r="J8803" t="s">
        <v>278</v>
      </c>
      <c r="K8803">
        <v>66</v>
      </c>
      <c r="L8803">
        <v>13.41</v>
      </c>
      <c r="M8803">
        <v>56568</v>
      </c>
      <c r="N8803" t="s">
        <v>354</v>
      </c>
      <c r="O8803">
        <v>250829</v>
      </c>
      <c r="P8803">
        <v>52.59</v>
      </c>
    </row>
    <row r="8804" spans="1:16" x14ac:dyDescent="0.25">
      <c r="A8804" t="s">
        <v>3296</v>
      </c>
      <c r="B8804" t="s">
        <v>2931</v>
      </c>
      <c r="C8804">
        <v>11044</v>
      </c>
      <c r="D8804" t="str">
        <f>"1369267     "</f>
        <v xml:space="preserve">1369267     </v>
      </c>
      <c r="E8804" t="s">
        <v>353</v>
      </c>
      <c r="F8804" t="s">
        <v>355</v>
      </c>
      <c r="G8804">
        <v>184.24</v>
      </c>
      <c r="H8804">
        <v>250827</v>
      </c>
      <c r="I8804">
        <v>4600</v>
      </c>
      <c r="J8804" t="s">
        <v>278</v>
      </c>
      <c r="K8804">
        <v>184.24</v>
      </c>
      <c r="L8804">
        <v>37.44</v>
      </c>
      <c r="M8804">
        <v>56568</v>
      </c>
      <c r="N8804" t="s">
        <v>354</v>
      </c>
      <c r="O8804">
        <v>250829</v>
      </c>
      <c r="P8804">
        <v>146.80000000000001</v>
      </c>
    </row>
    <row r="8805" spans="1:16" x14ac:dyDescent="0.25">
      <c r="A8805" t="s">
        <v>3296</v>
      </c>
      <c r="B8805" t="s">
        <v>2931</v>
      </c>
      <c r="C8805">
        <v>11045</v>
      </c>
      <c r="D8805" t="str">
        <f>"1369278     "</f>
        <v xml:space="preserve">1369278     </v>
      </c>
      <c r="E8805" t="s">
        <v>353</v>
      </c>
      <c r="F8805" t="s">
        <v>355</v>
      </c>
      <c r="G8805">
        <v>18</v>
      </c>
      <c r="H8805">
        <v>250827</v>
      </c>
      <c r="I8805">
        <v>4600</v>
      </c>
      <c r="J8805" t="s">
        <v>278</v>
      </c>
      <c r="K8805">
        <v>18</v>
      </c>
      <c r="L8805">
        <v>3.66</v>
      </c>
      <c r="M8805">
        <v>56568</v>
      </c>
      <c r="N8805" t="s">
        <v>354</v>
      </c>
      <c r="O8805">
        <v>250829</v>
      </c>
      <c r="P8805">
        <v>14.34</v>
      </c>
    </row>
    <row r="8806" spans="1:16" x14ac:dyDescent="0.25">
      <c r="A8806" t="s">
        <v>3296</v>
      </c>
      <c r="B8806" t="s">
        <v>2931</v>
      </c>
      <c r="C8806">
        <v>11046</v>
      </c>
      <c r="D8806" t="str">
        <f>"1369261     "</f>
        <v xml:space="preserve">1369261     </v>
      </c>
      <c r="E8806" t="s">
        <v>353</v>
      </c>
      <c r="F8806" t="s">
        <v>355</v>
      </c>
      <c r="G8806">
        <v>2.2799999999999998</v>
      </c>
      <c r="H8806">
        <v>250827</v>
      </c>
      <c r="I8806">
        <v>4600</v>
      </c>
      <c r="J8806" t="s">
        <v>278</v>
      </c>
      <c r="K8806">
        <v>2.2799999999999998</v>
      </c>
      <c r="L8806">
        <v>0.46</v>
      </c>
      <c r="M8806">
        <v>56568</v>
      </c>
      <c r="N8806" t="s">
        <v>354</v>
      </c>
      <c r="O8806">
        <v>250829</v>
      </c>
      <c r="P8806">
        <v>1.82</v>
      </c>
    </row>
    <row r="8807" spans="1:16" x14ac:dyDescent="0.25">
      <c r="A8807" t="s">
        <v>3296</v>
      </c>
      <c r="B8807" t="s">
        <v>2931</v>
      </c>
      <c r="C8807">
        <v>11048</v>
      </c>
      <c r="D8807" t="str">
        <f>"1369252     "</f>
        <v xml:space="preserve">1369252     </v>
      </c>
      <c r="E8807" t="s">
        <v>353</v>
      </c>
      <c r="F8807" t="s">
        <v>355</v>
      </c>
      <c r="G8807">
        <v>116.72</v>
      </c>
      <c r="H8807">
        <v>250827</v>
      </c>
      <c r="I8807">
        <v>4600</v>
      </c>
      <c r="J8807" t="s">
        <v>278</v>
      </c>
      <c r="K8807">
        <v>116.72</v>
      </c>
      <c r="L8807">
        <v>23.72</v>
      </c>
      <c r="M8807">
        <v>56568</v>
      </c>
      <c r="N8807" t="s">
        <v>354</v>
      </c>
      <c r="O8807">
        <v>250829</v>
      </c>
      <c r="P8807">
        <v>93</v>
      </c>
    </row>
    <row r="8808" spans="1:16" x14ac:dyDescent="0.25">
      <c r="A8808" t="s">
        <v>3296</v>
      </c>
      <c r="B8808" t="s">
        <v>2931</v>
      </c>
      <c r="C8808">
        <v>11049</v>
      </c>
      <c r="D8808" t="str">
        <f>"1369253     "</f>
        <v xml:space="preserve">1369253     </v>
      </c>
      <c r="E8808" t="s">
        <v>353</v>
      </c>
      <c r="F8808" t="s">
        <v>355</v>
      </c>
      <c r="G8808">
        <v>7.38</v>
      </c>
      <c r="H8808">
        <v>250827</v>
      </c>
      <c r="I8808">
        <v>4600</v>
      </c>
      <c r="J8808" t="s">
        <v>278</v>
      </c>
      <c r="K8808">
        <v>7.38</v>
      </c>
      <c r="L8808">
        <v>1.5</v>
      </c>
      <c r="M8808">
        <v>56568</v>
      </c>
      <c r="N8808" t="s">
        <v>354</v>
      </c>
      <c r="O8808">
        <v>250829</v>
      </c>
      <c r="P8808">
        <v>5.88</v>
      </c>
    </row>
    <row r="8809" spans="1:16" x14ac:dyDescent="0.25">
      <c r="A8809" t="s">
        <v>3296</v>
      </c>
      <c r="B8809" t="s">
        <v>2931</v>
      </c>
      <c r="C8809">
        <v>11050</v>
      </c>
      <c r="D8809" t="str">
        <f>"1369250     "</f>
        <v xml:space="preserve">1369250     </v>
      </c>
      <c r="E8809" t="s">
        <v>353</v>
      </c>
      <c r="F8809" t="s">
        <v>355</v>
      </c>
      <c r="G8809">
        <v>34.78</v>
      </c>
      <c r="H8809">
        <v>250827</v>
      </c>
      <c r="I8809">
        <v>4600</v>
      </c>
      <c r="J8809" t="s">
        <v>278</v>
      </c>
      <c r="K8809">
        <v>34.78</v>
      </c>
      <c r="L8809">
        <v>7.07</v>
      </c>
      <c r="M8809">
        <v>56568</v>
      </c>
      <c r="N8809" t="s">
        <v>354</v>
      </c>
      <c r="O8809">
        <v>250829</v>
      </c>
      <c r="P8809">
        <v>27.71</v>
      </c>
    </row>
    <row r="8810" spans="1:16" x14ac:dyDescent="0.25">
      <c r="A8810" t="s">
        <v>3296</v>
      </c>
      <c r="B8810" t="s">
        <v>2931</v>
      </c>
      <c r="C8810">
        <v>11051</v>
      </c>
      <c r="D8810" t="str">
        <f>"1369274     "</f>
        <v xml:space="preserve">1369274     </v>
      </c>
      <c r="E8810" t="s">
        <v>353</v>
      </c>
      <c r="F8810" t="s">
        <v>355</v>
      </c>
      <c r="G8810">
        <v>7.37</v>
      </c>
      <c r="H8810">
        <v>250827</v>
      </c>
      <c r="I8810">
        <v>4600</v>
      </c>
      <c r="J8810" t="s">
        <v>278</v>
      </c>
      <c r="K8810">
        <v>7.37</v>
      </c>
      <c r="L8810">
        <v>1.5</v>
      </c>
      <c r="M8810">
        <v>56568</v>
      </c>
      <c r="N8810" t="s">
        <v>354</v>
      </c>
      <c r="O8810">
        <v>250829</v>
      </c>
      <c r="P8810">
        <v>5.87</v>
      </c>
    </row>
    <row r="8811" spans="1:16" x14ac:dyDescent="0.25">
      <c r="A8811" t="s">
        <v>3296</v>
      </c>
      <c r="B8811" t="s">
        <v>2931</v>
      </c>
      <c r="C8811">
        <v>11052</v>
      </c>
      <c r="D8811" t="str">
        <f>"1369257     "</f>
        <v xml:space="preserve">1369257     </v>
      </c>
      <c r="E8811" t="s">
        <v>353</v>
      </c>
      <c r="F8811" t="s">
        <v>355</v>
      </c>
      <c r="G8811">
        <v>22.94</v>
      </c>
      <c r="H8811">
        <v>250827</v>
      </c>
      <c r="I8811">
        <v>4600</v>
      </c>
      <c r="J8811" t="s">
        <v>278</v>
      </c>
      <c r="K8811">
        <v>22.94</v>
      </c>
      <c r="L8811">
        <v>4.66</v>
      </c>
      <c r="M8811">
        <v>56565</v>
      </c>
      <c r="N8811" t="s">
        <v>57</v>
      </c>
      <c r="O8811">
        <v>250829</v>
      </c>
      <c r="P8811">
        <v>18.28</v>
      </c>
    </row>
    <row r="8812" spans="1:16" x14ac:dyDescent="0.25">
      <c r="A8812" t="s">
        <v>3296</v>
      </c>
      <c r="B8812" t="s">
        <v>2931</v>
      </c>
      <c r="C8812">
        <v>11054</v>
      </c>
      <c r="D8812" t="str">
        <f>"1369270     "</f>
        <v xml:space="preserve">1369270     </v>
      </c>
      <c r="E8812" t="s">
        <v>353</v>
      </c>
      <c r="F8812" t="s">
        <v>355</v>
      </c>
      <c r="G8812">
        <v>108.7</v>
      </c>
      <c r="H8812">
        <v>250827</v>
      </c>
      <c r="I8812">
        <v>4600</v>
      </c>
      <c r="J8812" t="s">
        <v>278</v>
      </c>
      <c r="K8812">
        <v>108.7</v>
      </c>
      <c r="L8812">
        <v>22.09</v>
      </c>
      <c r="M8812">
        <v>56568</v>
      </c>
      <c r="N8812" t="s">
        <v>354</v>
      </c>
      <c r="O8812">
        <v>250829</v>
      </c>
      <c r="P8812">
        <v>86.61</v>
      </c>
    </row>
    <row r="8813" spans="1:16" x14ac:dyDescent="0.25">
      <c r="A8813" t="s">
        <v>3296</v>
      </c>
      <c r="B8813" t="s">
        <v>2931</v>
      </c>
      <c r="C8813">
        <v>11055</v>
      </c>
      <c r="D8813" t="str">
        <f>"1369279     "</f>
        <v xml:space="preserve">1369279     </v>
      </c>
      <c r="E8813" t="s">
        <v>353</v>
      </c>
      <c r="F8813" t="s">
        <v>355</v>
      </c>
      <c r="G8813">
        <v>16.87</v>
      </c>
      <c r="H8813">
        <v>250827</v>
      </c>
      <c r="I8813">
        <v>4600</v>
      </c>
      <c r="J8813" t="s">
        <v>278</v>
      </c>
      <c r="K8813">
        <v>16.87</v>
      </c>
      <c r="L8813">
        <v>3.43</v>
      </c>
      <c r="M8813">
        <v>56568</v>
      </c>
      <c r="N8813" t="s">
        <v>354</v>
      </c>
      <c r="O8813">
        <v>250829</v>
      </c>
      <c r="P8813">
        <v>13.44</v>
      </c>
    </row>
    <row r="8814" spans="1:16" x14ac:dyDescent="0.25">
      <c r="A8814" t="s">
        <v>3296</v>
      </c>
      <c r="B8814" t="s">
        <v>2931</v>
      </c>
      <c r="C8814">
        <v>11057</v>
      </c>
      <c r="D8814" t="str">
        <f>"1369271     "</f>
        <v xml:space="preserve">1369271     </v>
      </c>
      <c r="E8814" t="s">
        <v>353</v>
      </c>
      <c r="F8814" t="s">
        <v>355</v>
      </c>
      <c r="G8814">
        <v>13.95</v>
      </c>
      <c r="H8814">
        <v>250827</v>
      </c>
      <c r="I8814">
        <v>4600</v>
      </c>
      <c r="J8814" t="s">
        <v>278</v>
      </c>
      <c r="K8814">
        <v>13.95</v>
      </c>
      <c r="L8814">
        <v>2.83</v>
      </c>
      <c r="M8814">
        <v>56568</v>
      </c>
      <c r="N8814" t="s">
        <v>354</v>
      </c>
      <c r="O8814">
        <v>250829</v>
      </c>
      <c r="P8814">
        <v>11.12</v>
      </c>
    </row>
    <row r="8815" spans="1:16" x14ac:dyDescent="0.25">
      <c r="A8815" t="s">
        <v>3296</v>
      </c>
      <c r="B8815" t="s">
        <v>2931</v>
      </c>
      <c r="C8815">
        <v>11058</v>
      </c>
      <c r="D8815" t="str">
        <f>"1369283     "</f>
        <v xml:space="preserve">1369283     </v>
      </c>
      <c r="E8815" t="s">
        <v>353</v>
      </c>
      <c r="F8815" t="s">
        <v>355</v>
      </c>
      <c r="G8815">
        <v>19.77</v>
      </c>
      <c r="H8815">
        <v>250827</v>
      </c>
      <c r="I8815">
        <v>4600</v>
      </c>
      <c r="J8815" t="s">
        <v>278</v>
      </c>
      <c r="K8815">
        <v>19.77</v>
      </c>
      <c r="L8815">
        <v>4.0199999999999996</v>
      </c>
      <c r="M8815">
        <v>56568</v>
      </c>
      <c r="N8815" t="s">
        <v>354</v>
      </c>
      <c r="O8815">
        <v>250829</v>
      </c>
      <c r="P8815">
        <v>15.75</v>
      </c>
    </row>
    <row r="8816" spans="1:16" x14ac:dyDescent="0.25">
      <c r="A8816" t="s">
        <v>3296</v>
      </c>
      <c r="B8816" t="s">
        <v>2931</v>
      </c>
      <c r="C8816">
        <v>11059</v>
      </c>
      <c r="D8816" t="str">
        <f>"1369255     "</f>
        <v xml:space="preserve">1369255     </v>
      </c>
      <c r="E8816" t="s">
        <v>353</v>
      </c>
      <c r="F8816" t="s">
        <v>355</v>
      </c>
      <c r="G8816">
        <v>105.2</v>
      </c>
      <c r="H8816">
        <v>250827</v>
      </c>
      <c r="I8816">
        <v>4600</v>
      </c>
      <c r="J8816" t="s">
        <v>278</v>
      </c>
      <c r="K8816">
        <v>105.2</v>
      </c>
      <c r="L8816">
        <v>21.38</v>
      </c>
      <c r="M8816">
        <v>56565</v>
      </c>
      <c r="N8816" t="s">
        <v>57</v>
      </c>
      <c r="O8816">
        <v>250829</v>
      </c>
      <c r="P8816">
        <v>83.82</v>
      </c>
    </row>
    <row r="8817" spans="1:16" x14ac:dyDescent="0.25">
      <c r="A8817" t="s">
        <v>3296</v>
      </c>
      <c r="B8817" t="s">
        <v>2931</v>
      </c>
      <c r="C8817">
        <v>11060</v>
      </c>
      <c r="D8817" t="str">
        <f>"1369268     "</f>
        <v xml:space="preserve">1369268     </v>
      </c>
      <c r="E8817" t="s">
        <v>353</v>
      </c>
      <c r="F8817" t="s">
        <v>355</v>
      </c>
      <c r="G8817">
        <v>7.28</v>
      </c>
      <c r="H8817">
        <v>250827</v>
      </c>
      <c r="I8817">
        <v>4600</v>
      </c>
      <c r="J8817" t="s">
        <v>278</v>
      </c>
      <c r="K8817">
        <v>7.28</v>
      </c>
      <c r="L8817">
        <v>1.48</v>
      </c>
      <c r="M8817">
        <v>56568</v>
      </c>
      <c r="N8817" t="s">
        <v>354</v>
      </c>
      <c r="O8817">
        <v>250829</v>
      </c>
      <c r="P8817">
        <v>5.8</v>
      </c>
    </row>
    <row r="8818" spans="1:16" x14ac:dyDescent="0.25">
      <c r="A8818" t="s">
        <v>3296</v>
      </c>
      <c r="B8818" t="s">
        <v>2931</v>
      </c>
      <c r="C8818">
        <v>11062</v>
      </c>
      <c r="D8818" t="str">
        <f>"1369266     "</f>
        <v xml:space="preserve">1369266     </v>
      </c>
      <c r="E8818" t="s">
        <v>353</v>
      </c>
      <c r="F8818" t="s">
        <v>355</v>
      </c>
      <c r="G8818">
        <v>77.94</v>
      </c>
      <c r="H8818">
        <v>250827</v>
      </c>
      <c r="I8818">
        <v>4600</v>
      </c>
      <c r="J8818" t="s">
        <v>278</v>
      </c>
      <c r="K8818">
        <v>77.94</v>
      </c>
      <c r="L8818">
        <v>15.84</v>
      </c>
      <c r="M8818">
        <v>56568</v>
      </c>
      <c r="N8818" t="s">
        <v>354</v>
      </c>
      <c r="O8818">
        <v>250829</v>
      </c>
      <c r="P8818">
        <v>62.1</v>
      </c>
    </row>
    <row r="8819" spans="1:16" x14ac:dyDescent="0.25">
      <c r="A8819" t="s">
        <v>3296</v>
      </c>
      <c r="B8819" t="s">
        <v>2931</v>
      </c>
      <c r="C8819">
        <v>11259</v>
      </c>
      <c r="D8819" t="str">
        <f>"1369286     "</f>
        <v xml:space="preserve">1369286     </v>
      </c>
      <c r="E8819" t="s">
        <v>353</v>
      </c>
      <c r="F8819" t="s">
        <v>355</v>
      </c>
      <c r="G8819">
        <v>9.52</v>
      </c>
      <c r="H8819">
        <v>250827</v>
      </c>
      <c r="I8819">
        <v>4600</v>
      </c>
      <c r="J8819" t="s">
        <v>278</v>
      </c>
      <c r="K8819">
        <v>9.52</v>
      </c>
      <c r="L8819">
        <v>1.93</v>
      </c>
      <c r="M8819">
        <v>69501</v>
      </c>
      <c r="N8819" t="s">
        <v>123</v>
      </c>
      <c r="O8819">
        <v>250902</v>
      </c>
      <c r="P8819">
        <v>7.59</v>
      </c>
    </row>
    <row r="8820" spans="1:16" x14ac:dyDescent="0.25">
      <c r="A8820" t="s">
        <v>3296</v>
      </c>
      <c r="B8820" t="s">
        <v>2931</v>
      </c>
      <c r="C8820">
        <v>12324</v>
      </c>
      <c r="D8820" t="str">
        <f>"1371326     "</f>
        <v xml:space="preserve">1371326     </v>
      </c>
      <c r="E8820" t="s">
        <v>353</v>
      </c>
      <c r="F8820" t="s">
        <v>355</v>
      </c>
      <c r="G8820">
        <v>2.17</v>
      </c>
      <c r="H8820">
        <v>250917</v>
      </c>
      <c r="I8820">
        <v>4600</v>
      </c>
      <c r="J8820" t="s">
        <v>278</v>
      </c>
      <c r="K8820">
        <v>2.17</v>
      </c>
      <c r="L8820">
        <v>0.44</v>
      </c>
      <c r="M8820">
        <v>59501</v>
      </c>
      <c r="N8820" t="s">
        <v>62</v>
      </c>
      <c r="O8820">
        <v>250919</v>
      </c>
      <c r="P8820">
        <v>1.73</v>
      </c>
    </row>
    <row r="8821" spans="1:16" x14ac:dyDescent="0.25">
      <c r="A8821" t="s">
        <v>3296</v>
      </c>
      <c r="B8821" t="s">
        <v>2931</v>
      </c>
      <c r="C8821">
        <v>12434</v>
      </c>
      <c r="D8821" t="str">
        <f>"1371350     "</f>
        <v xml:space="preserve">1371350     </v>
      </c>
      <c r="E8821" t="s">
        <v>353</v>
      </c>
      <c r="F8821" t="s">
        <v>355</v>
      </c>
      <c r="G8821">
        <v>-68.03</v>
      </c>
      <c r="H8821">
        <v>250917</v>
      </c>
      <c r="I8821">
        <v>4600</v>
      </c>
      <c r="J8821" t="s">
        <v>278</v>
      </c>
      <c r="K8821">
        <v>-68.03</v>
      </c>
      <c r="L8821">
        <v>-13.82</v>
      </c>
      <c r="M8821">
        <v>56568</v>
      </c>
      <c r="N8821" t="s">
        <v>354</v>
      </c>
      <c r="O8821">
        <v>250922</v>
      </c>
      <c r="P8821">
        <v>-54.21</v>
      </c>
    </row>
    <row r="8822" spans="1:16" x14ac:dyDescent="0.25">
      <c r="A8822" t="s">
        <v>3296</v>
      </c>
      <c r="B8822" t="s">
        <v>2931</v>
      </c>
      <c r="C8822">
        <v>12435</v>
      </c>
      <c r="D8822" t="str">
        <f>"1371317     "</f>
        <v xml:space="preserve">1371317     </v>
      </c>
      <c r="E8822" t="s">
        <v>353</v>
      </c>
      <c r="F8822" t="s">
        <v>355</v>
      </c>
      <c r="G8822">
        <v>-35.96</v>
      </c>
      <c r="H8822">
        <v>250917</v>
      </c>
      <c r="I8822">
        <v>4600</v>
      </c>
      <c r="J8822" t="s">
        <v>278</v>
      </c>
      <c r="K8822">
        <v>-35.96</v>
      </c>
      <c r="L8822">
        <v>-7.31</v>
      </c>
      <c r="M8822">
        <v>56568</v>
      </c>
      <c r="N8822" t="s">
        <v>354</v>
      </c>
      <c r="O8822">
        <v>250922</v>
      </c>
      <c r="P8822">
        <v>-28.65</v>
      </c>
    </row>
    <row r="8823" spans="1:16" x14ac:dyDescent="0.25">
      <c r="A8823" t="s">
        <v>3296</v>
      </c>
      <c r="B8823" t="s">
        <v>2931</v>
      </c>
      <c r="C8823">
        <v>12533</v>
      </c>
      <c r="D8823" t="str">
        <f>"1371332     "</f>
        <v xml:space="preserve">1371332     </v>
      </c>
      <c r="E8823" t="s">
        <v>353</v>
      </c>
      <c r="F8823" t="s">
        <v>355</v>
      </c>
      <c r="G8823">
        <v>306.74</v>
      </c>
      <c r="H8823">
        <v>250917</v>
      </c>
      <c r="I8823">
        <v>4600</v>
      </c>
      <c r="J8823" t="s">
        <v>278</v>
      </c>
      <c r="K8823">
        <v>306.74</v>
      </c>
      <c r="L8823">
        <v>62.33</v>
      </c>
      <c r="M8823">
        <v>56568</v>
      </c>
      <c r="N8823" t="s">
        <v>354</v>
      </c>
      <c r="O8823">
        <v>250926</v>
      </c>
      <c r="P8823">
        <v>244.41</v>
      </c>
    </row>
    <row r="8824" spans="1:16" x14ac:dyDescent="0.25">
      <c r="A8824" t="s">
        <v>3296</v>
      </c>
      <c r="B8824" t="s">
        <v>2931</v>
      </c>
      <c r="C8824">
        <v>12535</v>
      </c>
      <c r="D8824" t="str">
        <f>"1371335     "</f>
        <v xml:space="preserve">1371335     </v>
      </c>
      <c r="E8824" t="s">
        <v>353</v>
      </c>
      <c r="F8824" t="s">
        <v>355</v>
      </c>
      <c r="G8824">
        <v>102.89</v>
      </c>
      <c r="H8824">
        <v>250917</v>
      </c>
      <c r="I8824">
        <v>4600</v>
      </c>
      <c r="J8824" t="s">
        <v>278</v>
      </c>
      <c r="K8824">
        <v>102.89</v>
      </c>
      <c r="L8824">
        <v>20.91</v>
      </c>
      <c r="M8824">
        <v>56568</v>
      </c>
      <c r="N8824" t="s">
        <v>354</v>
      </c>
      <c r="O8824">
        <v>250926</v>
      </c>
      <c r="P8824">
        <v>81.98</v>
      </c>
    </row>
    <row r="8825" spans="1:16" x14ac:dyDescent="0.25">
      <c r="A8825" t="s">
        <v>3296</v>
      </c>
      <c r="B8825" t="s">
        <v>2931</v>
      </c>
      <c r="C8825">
        <v>12536</v>
      </c>
      <c r="D8825" t="str">
        <f>"1371339     "</f>
        <v xml:space="preserve">1371339     </v>
      </c>
      <c r="E8825" t="s">
        <v>353</v>
      </c>
      <c r="F8825" t="s">
        <v>355</v>
      </c>
      <c r="G8825">
        <v>20.059999999999999</v>
      </c>
      <c r="H8825">
        <v>250917</v>
      </c>
      <c r="I8825">
        <v>4600</v>
      </c>
      <c r="J8825" t="s">
        <v>278</v>
      </c>
      <c r="K8825">
        <v>20.059999999999999</v>
      </c>
      <c r="L8825">
        <v>4.08</v>
      </c>
      <c r="M8825">
        <v>56568</v>
      </c>
      <c r="N8825" t="s">
        <v>354</v>
      </c>
      <c r="O8825">
        <v>250926</v>
      </c>
      <c r="P8825">
        <v>15.98</v>
      </c>
    </row>
    <row r="8826" spans="1:16" x14ac:dyDescent="0.25">
      <c r="A8826" t="s">
        <v>3296</v>
      </c>
      <c r="B8826" t="s">
        <v>2931</v>
      </c>
      <c r="C8826">
        <v>12537</v>
      </c>
      <c r="D8826" t="str">
        <f>"1371311     "</f>
        <v xml:space="preserve">1371311     </v>
      </c>
      <c r="E8826" t="s">
        <v>353</v>
      </c>
      <c r="F8826" t="s">
        <v>355</v>
      </c>
      <c r="G8826">
        <v>97.08</v>
      </c>
      <c r="H8826">
        <v>250917</v>
      </c>
      <c r="I8826">
        <v>4600</v>
      </c>
      <c r="J8826" t="s">
        <v>278</v>
      </c>
      <c r="K8826">
        <v>97.08</v>
      </c>
      <c r="L8826">
        <v>19.73</v>
      </c>
      <c r="M8826">
        <v>56568</v>
      </c>
      <c r="N8826" t="s">
        <v>354</v>
      </c>
      <c r="O8826">
        <v>250926</v>
      </c>
      <c r="P8826">
        <v>77.349999999999994</v>
      </c>
    </row>
    <row r="8827" spans="1:16" x14ac:dyDescent="0.25">
      <c r="A8827" t="s">
        <v>3296</v>
      </c>
      <c r="B8827" t="s">
        <v>2931</v>
      </c>
      <c r="C8827">
        <v>12547</v>
      </c>
      <c r="D8827" t="str">
        <f>"1371331     "</f>
        <v xml:space="preserve">1371331     </v>
      </c>
      <c r="E8827" t="s">
        <v>353</v>
      </c>
      <c r="F8827" t="s">
        <v>355</v>
      </c>
      <c r="G8827">
        <v>29.85</v>
      </c>
      <c r="H8827">
        <v>250917</v>
      </c>
      <c r="I8827">
        <v>4600</v>
      </c>
      <c r="J8827" t="s">
        <v>278</v>
      </c>
      <c r="K8827">
        <v>29.85</v>
      </c>
      <c r="L8827">
        <v>6.07</v>
      </c>
      <c r="M8827">
        <v>56568</v>
      </c>
      <c r="N8827" t="s">
        <v>354</v>
      </c>
      <c r="O8827">
        <v>250926</v>
      </c>
      <c r="P8827">
        <v>23.78</v>
      </c>
    </row>
    <row r="8828" spans="1:16" x14ac:dyDescent="0.25">
      <c r="A8828" t="s">
        <v>3296</v>
      </c>
      <c r="B8828" t="s">
        <v>2931</v>
      </c>
      <c r="C8828">
        <v>12548</v>
      </c>
      <c r="D8828" t="str">
        <f>"1371322     "</f>
        <v xml:space="preserve">1371322     </v>
      </c>
      <c r="E8828" t="s">
        <v>353</v>
      </c>
      <c r="F8828" t="s">
        <v>355</v>
      </c>
      <c r="G8828">
        <v>6.12</v>
      </c>
      <c r="H8828">
        <v>250917</v>
      </c>
      <c r="I8828">
        <v>4600</v>
      </c>
      <c r="J8828" t="s">
        <v>278</v>
      </c>
      <c r="K8828">
        <v>6.12</v>
      </c>
      <c r="L8828">
        <v>1.24</v>
      </c>
      <c r="M8828">
        <v>56568</v>
      </c>
      <c r="N8828" t="s">
        <v>354</v>
      </c>
      <c r="O8828">
        <v>250926</v>
      </c>
      <c r="P8828">
        <v>4.88</v>
      </c>
    </row>
    <row r="8829" spans="1:16" x14ac:dyDescent="0.25">
      <c r="A8829" t="s">
        <v>3296</v>
      </c>
      <c r="B8829" t="s">
        <v>2931</v>
      </c>
      <c r="C8829">
        <v>12549</v>
      </c>
      <c r="D8829" t="str">
        <f>"1371312     "</f>
        <v xml:space="preserve">1371312     </v>
      </c>
      <c r="E8829" t="s">
        <v>353</v>
      </c>
      <c r="F8829" t="s">
        <v>355</v>
      </c>
      <c r="G8829">
        <v>76.75</v>
      </c>
      <c r="H8829">
        <v>250917</v>
      </c>
      <c r="I8829">
        <v>4600</v>
      </c>
      <c r="J8829" t="s">
        <v>278</v>
      </c>
      <c r="K8829">
        <v>76.75</v>
      </c>
      <c r="L8829">
        <v>15.59</v>
      </c>
      <c r="M8829">
        <v>56568</v>
      </c>
      <c r="N8829" t="s">
        <v>354</v>
      </c>
      <c r="O8829">
        <v>250926</v>
      </c>
      <c r="P8829">
        <v>61.16</v>
      </c>
    </row>
    <row r="8830" spans="1:16" x14ac:dyDescent="0.25">
      <c r="A8830" t="s">
        <v>3296</v>
      </c>
      <c r="B8830" t="s">
        <v>2931</v>
      </c>
      <c r="C8830">
        <v>12550</v>
      </c>
      <c r="D8830" t="str">
        <f>"1371319     "</f>
        <v xml:space="preserve">1371319     </v>
      </c>
      <c r="E8830" t="s">
        <v>353</v>
      </c>
      <c r="F8830" t="s">
        <v>355</v>
      </c>
      <c r="G8830">
        <v>40.54</v>
      </c>
      <c r="H8830">
        <v>250917</v>
      </c>
      <c r="I8830">
        <v>4600</v>
      </c>
      <c r="J8830" t="s">
        <v>278</v>
      </c>
      <c r="K8830">
        <v>40.54</v>
      </c>
      <c r="L8830">
        <v>8.24</v>
      </c>
      <c r="M8830">
        <v>56568</v>
      </c>
      <c r="N8830" t="s">
        <v>354</v>
      </c>
      <c r="O8830">
        <v>250926</v>
      </c>
      <c r="P8830">
        <v>32.299999999999997</v>
      </c>
    </row>
    <row r="8831" spans="1:16" x14ac:dyDescent="0.25">
      <c r="A8831" t="s">
        <v>3296</v>
      </c>
      <c r="B8831" t="s">
        <v>2931</v>
      </c>
      <c r="C8831">
        <v>12551</v>
      </c>
      <c r="D8831" t="str">
        <f>"1371338     "</f>
        <v xml:space="preserve">1371338     </v>
      </c>
      <c r="E8831" t="s">
        <v>353</v>
      </c>
      <c r="F8831" t="s">
        <v>355</v>
      </c>
      <c r="G8831">
        <v>2.67</v>
      </c>
      <c r="H8831">
        <v>250917</v>
      </c>
      <c r="I8831">
        <v>4600</v>
      </c>
      <c r="J8831" t="s">
        <v>278</v>
      </c>
      <c r="K8831">
        <v>2.67</v>
      </c>
      <c r="L8831">
        <v>0.54</v>
      </c>
      <c r="M8831">
        <v>56568</v>
      </c>
      <c r="N8831" t="s">
        <v>354</v>
      </c>
      <c r="O8831">
        <v>250926</v>
      </c>
      <c r="P8831">
        <v>2.13</v>
      </c>
    </row>
    <row r="8832" spans="1:16" x14ac:dyDescent="0.25">
      <c r="A8832" t="s">
        <v>3296</v>
      </c>
      <c r="B8832" t="s">
        <v>2931</v>
      </c>
      <c r="C8832">
        <v>12552</v>
      </c>
      <c r="D8832" t="str">
        <f>"1371323     "</f>
        <v xml:space="preserve">1371323     </v>
      </c>
      <c r="E8832" t="s">
        <v>353</v>
      </c>
      <c r="F8832" t="s">
        <v>355</v>
      </c>
      <c r="G8832">
        <v>100.25</v>
      </c>
      <c r="H8832">
        <v>250917</v>
      </c>
      <c r="I8832">
        <v>4600</v>
      </c>
      <c r="J8832" t="s">
        <v>278</v>
      </c>
      <c r="K8832">
        <v>100.25</v>
      </c>
      <c r="L8832">
        <v>20.37</v>
      </c>
      <c r="M8832">
        <v>56568</v>
      </c>
      <c r="N8832" t="s">
        <v>354</v>
      </c>
      <c r="O8832">
        <v>250926</v>
      </c>
      <c r="P8832">
        <v>79.88</v>
      </c>
    </row>
    <row r="8833" spans="1:16" x14ac:dyDescent="0.25">
      <c r="A8833" t="s">
        <v>3296</v>
      </c>
      <c r="B8833" t="s">
        <v>2931</v>
      </c>
      <c r="C8833">
        <v>12554</v>
      </c>
      <c r="D8833" t="str">
        <f>"1371315     "</f>
        <v xml:space="preserve">1371315     </v>
      </c>
      <c r="E8833" t="s">
        <v>353</v>
      </c>
      <c r="F8833" t="s">
        <v>355</v>
      </c>
      <c r="G8833">
        <v>87.78</v>
      </c>
      <c r="H8833">
        <v>250917</v>
      </c>
      <c r="I8833">
        <v>4600</v>
      </c>
      <c r="J8833" t="s">
        <v>278</v>
      </c>
      <c r="K8833">
        <v>87.78</v>
      </c>
      <c r="L8833">
        <v>17.84</v>
      </c>
      <c r="M8833">
        <v>56568</v>
      </c>
      <c r="N8833" t="s">
        <v>354</v>
      </c>
      <c r="O8833">
        <v>250926</v>
      </c>
      <c r="P8833">
        <v>69.94</v>
      </c>
    </row>
    <row r="8834" spans="1:16" x14ac:dyDescent="0.25">
      <c r="A8834" t="s">
        <v>3296</v>
      </c>
      <c r="B8834" t="s">
        <v>2931</v>
      </c>
      <c r="C8834">
        <v>12555</v>
      </c>
      <c r="D8834" t="str">
        <f>"1371352     "</f>
        <v xml:space="preserve">1371352     </v>
      </c>
      <c r="E8834" t="s">
        <v>353</v>
      </c>
      <c r="F8834" t="s">
        <v>355</v>
      </c>
      <c r="G8834">
        <v>27.03</v>
      </c>
      <c r="H8834">
        <v>250917</v>
      </c>
      <c r="I8834">
        <v>4600</v>
      </c>
      <c r="J8834" t="s">
        <v>278</v>
      </c>
      <c r="K8834">
        <v>27.03</v>
      </c>
      <c r="L8834">
        <v>5.49</v>
      </c>
      <c r="M8834">
        <v>56568</v>
      </c>
      <c r="N8834" t="s">
        <v>354</v>
      </c>
      <c r="O8834">
        <v>250926</v>
      </c>
      <c r="P8834">
        <v>21.54</v>
      </c>
    </row>
    <row r="8835" spans="1:16" x14ac:dyDescent="0.25">
      <c r="A8835" t="s">
        <v>3296</v>
      </c>
      <c r="B8835" t="s">
        <v>2931</v>
      </c>
      <c r="C8835">
        <v>12556</v>
      </c>
      <c r="D8835" t="str">
        <f>"1371321     "</f>
        <v xml:space="preserve">1371321     </v>
      </c>
      <c r="E8835" t="s">
        <v>353</v>
      </c>
      <c r="F8835" t="s">
        <v>355</v>
      </c>
      <c r="G8835">
        <v>13.61</v>
      </c>
      <c r="H8835">
        <v>250917</v>
      </c>
      <c r="I8835">
        <v>4600</v>
      </c>
      <c r="J8835" t="s">
        <v>278</v>
      </c>
      <c r="K8835">
        <v>13.61</v>
      </c>
      <c r="L8835">
        <v>2.77</v>
      </c>
      <c r="M8835">
        <v>56568</v>
      </c>
      <c r="N8835" t="s">
        <v>354</v>
      </c>
      <c r="O8835">
        <v>250926</v>
      </c>
      <c r="P8835">
        <v>10.84</v>
      </c>
    </row>
    <row r="8836" spans="1:16" x14ac:dyDescent="0.25">
      <c r="A8836" t="s">
        <v>3296</v>
      </c>
      <c r="B8836" t="s">
        <v>2931</v>
      </c>
      <c r="C8836">
        <v>12557</v>
      </c>
      <c r="D8836" t="str">
        <f>"1371345     "</f>
        <v xml:space="preserve">1371345     </v>
      </c>
      <c r="E8836" t="s">
        <v>353</v>
      </c>
      <c r="F8836" t="s">
        <v>355</v>
      </c>
      <c r="G8836">
        <v>18.97</v>
      </c>
      <c r="H8836">
        <v>250917</v>
      </c>
      <c r="I8836">
        <v>4600</v>
      </c>
      <c r="J8836" t="s">
        <v>278</v>
      </c>
      <c r="K8836">
        <v>18.97</v>
      </c>
      <c r="L8836">
        <v>3.85</v>
      </c>
      <c r="M8836">
        <v>56568</v>
      </c>
      <c r="N8836" t="s">
        <v>354</v>
      </c>
      <c r="O8836">
        <v>250926</v>
      </c>
      <c r="P8836">
        <v>15.12</v>
      </c>
    </row>
    <row r="8837" spans="1:16" x14ac:dyDescent="0.25">
      <c r="A8837" t="s">
        <v>3296</v>
      </c>
      <c r="B8837" t="s">
        <v>2931</v>
      </c>
      <c r="C8837">
        <v>12558</v>
      </c>
      <c r="D8837" t="str">
        <f>"1371337     "</f>
        <v xml:space="preserve">1371337     </v>
      </c>
      <c r="E8837" t="s">
        <v>353</v>
      </c>
      <c r="F8837" t="s">
        <v>355</v>
      </c>
      <c r="G8837">
        <v>67.489999999999995</v>
      </c>
      <c r="H8837">
        <v>250917</v>
      </c>
      <c r="I8837">
        <v>4600</v>
      </c>
      <c r="J8837" t="s">
        <v>278</v>
      </c>
      <c r="K8837">
        <v>67.489999999999995</v>
      </c>
      <c r="L8837">
        <v>13.71</v>
      </c>
      <c r="M8837">
        <v>56568</v>
      </c>
      <c r="N8837" t="s">
        <v>354</v>
      </c>
      <c r="O8837">
        <v>250926</v>
      </c>
      <c r="P8837">
        <v>53.78</v>
      </c>
    </row>
    <row r="8838" spans="1:16" x14ac:dyDescent="0.25">
      <c r="A8838" t="s">
        <v>3296</v>
      </c>
      <c r="B8838" t="s">
        <v>2931</v>
      </c>
      <c r="C8838">
        <v>12559</v>
      </c>
      <c r="D8838" t="str">
        <f>"1371349     "</f>
        <v xml:space="preserve">1371349     </v>
      </c>
      <c r="E8838" t="s">
        <v>353</v>
      </c>
      <c r="F8838" t="s">
        <v>355</v>
      </c>
      <c r="G8838">
        <v>37</v>
      </c>
      <c r="H8838">
        <v>250917</v>
      </c>
      <c r="I8838">
        <v>4600</v>
      </c>
      <c r="J8838" t="s">
        <v>278</v>
      </c>
      <c r="K8838">
        <v>37</v>
      </c>
      <c r="L8838">
        <v>7.52</v>
      </c>
      <c r="M8838">
        <v>56568</v>
      </c>
      <c r="N8838" t="s">
        <v>354</v>
      </c>
      <c r="O8838">
        <v>250926</v>
      </c>
      <c r="P8838">
        <v>29.48</v>
      </c>
    </row>
    <row r="8839" spans="1:16" x14ac:dyDescent="0.25">
      <c r="A8839" t="s">
        <v>3296</v>
      </c>
      <c r="B8839" t="s">
        <v>2931</v>
      </c>
      <c r="C8839">
        <v>12560</v>
      </c>
      <c r="D8839" t="str">
        <f>"1371351     "</f>
        <v xml:space="preserve">1371351     </v>
      </c>
      <c r="E8839" t="s">
        <v>353</v>
      </c>
      <c r="F8839" t="s">
        <v>355</v>
      </c>
      <c r="G8839">
        <v>84.36</v>
      </c>
      <c r="H8839">
        <v>250917</v>
      </c>
      <c r="I8839">
        <v>4600</v>
      </c>
      <c r="J8839" t="s">
        <v>278</v>
      </c>
      <c r="K8839">
        <v>84.36</v>
      </c>
      <c r="L8839">
        <v>17.14</v>
      </c>
      <c r="M8839">
        <v>56568</v>
      </c>
      <c r="N8839" t="s">
        <v>354</v>
      </c>
      <c r="O8839">
        <v>250926</v>
      </c>
      <c r="P8839">
        <v>67.22</v>
      </c>
    </row>
    <row r="8840" spans="1:16" x14ac:dyDescent="0.25">
      <c r="A8840" t="s">
        <v>3296</v>
      </c>
      <c r="B8840" t="s">
        <v>2931</v>
      </c>
      <c r="C8840">
        <v>12561</v>
      </c>
      <c r="D8840" t="str">
        <f>"1371330     "</f>
        <v xml:space="preserve">1371330     </v>
      </c>
      <c r="E8840" t="s">
        <v>353</v>
      </c>
      <c r="F8840" t="s">
        <v>355</v>
      </c>
      <c r="G8840">
        <v>114.43</v>
      </c>
      <c r="H8840">
        <v>250917</v>
      </c>
      <c r="I8840">
        <v>4600</v>
      </c>
      <c r="J8840" t="s">
        <v>278</v>
      </c>
      <c r="K8840">
        <v>114.43</v>
      </c>
      <c r="L8840">
        <v>23.25</v>
      </c>
      <c r="M8840">
        <v>56568</v>
      </c>
      <c r="N8840" t="s">
        <v>354</v>
      </c>
      <c r="O8840">
        <v>250926</v>
      </c>
      <c r="P8840">
        <v>91.18</v>
      </c>
    </row>
    <row r="8841" spans="1:16" x14ac:dyDescent="0.25">
      <c r="A8841" t="s">
        <v>3296</v>
      </c>
      <c r="B8841" t="s">
        <v>2931</v>
      </c>
      <c r="C8841">
        <v>12580</v>
      </c>
      <c r="D8841" t="str">
        <f>"1371347     "</f>
        <v xml:space="preserve">1371347     </v>
      </c>
      <c r="E8841" t="s">
        <v>353</v>
      </c>
      <c r="F8841" t="s">
        <v>355</v>
      </c>
      <c r="G8841">
        <v>64.91</v>
      </c>
      <c r="H8841">
        <v>250917</v>
      </c>
      <c r="I8841">
        <v>4600</v>
      </c>
      <c r="J8841" t="s">
        <v>278</v>
      </c>
      <c r="K8841">
        <v>64.91</v>
      </c>
      <c r="L8841">
        <v>13.19</v>
      </c>
      <c r="M8841">
        <v>56568</v>
      </c>
      <c r="N8841" t="s">
        <v>354</v>
      </c>
      <c r="O8841">
        <v>250926</v>
      </c>
      <c r="P8841">
        <v>51.72</v>
      </c>
    </row>
    <row r="8842" spans="1:16" x14ac:dyDescent="0.25">
      <c r="A8842" t="s">
        <v>3296</v>
      </c>
      <c r="B8842" t="s">
        <v>2931</v>
      </c>
      <c r="C8842">
        <v>12581</v>
      </c>
      <c r="D8842" t="str">
        <f>"1371316     "</f>
        <v xml:space="preserve">1371316     </v>
      </c>
      <c r="E8842" t="s">
        <v>353</v>
      </c>
      <c r="F8842" t="s">
        <v>355</v>
      </c>
      <c r="G8842">
        <v>67.16</v>
      </c>
      <c r="H8842">
        <v>250917</v>
      </c>
      <c r="I8842">
        <v>4600</v>
      </c>
      <c r="J8842" t="s">
        <v>278</v>
      </c>
      <c r="K8842">
        <v>67.16</v>
      </c>
      <c r="L8842">
        <v>13.65</v>
      </c>
      <c r="M8842">
        <v>56568</v>
      </c>
      <c r="N8842" t="s">
        <v>354</v>
      </c>
      <c r="O8842">
        <v>250926</v>
      </c>
      <c r="P8842">
        <v>53.51</v>
      </c>
    </row>
    <row r="8843" spans="1:16" x14ac:dyDescent="0.25">
      <c r="A8843" t="s">
        <v>3296</v>
      </c>
      <c r="B8843" t="s">
        <v>2931</v>
      </c>
      <c r="C8843">
        <v>12583</v>
      </c>
      <c r="D8843" t="str">
        <f>"1371343     "</f>
        <v xml:space="preserve">1371343     </v>
      </c>
      <c r="E8843" t="s">
        <v>353</v>
      </c>
      <c r="F8843" t="s">
        <v>355</v>
      </c>
      <c r="G8843">
        <v>181.24</v>
      </c>
      <c r="H8843">
        <v>250917</v>
      </c>
      <c r="I8843">
        <v>4600</v>
      </c>
      <c r="J8843" t="s">
        <v>278</v>
      </c>
      <c r="K8843">
        <v>181.24</v>
      </c>
      <c r="L8843">
        <v>36.83</v>
      </c>
      <c r="M8843">
        <v>56568</v>
      </c>
      <c r="N8843" t="s">
        <v>354</v>
      </c>
      <c r="O8843">
        <v>250926</v>
      </c>
      <c r="P8843">
        <v>144.41</v>
      </c>
    </row>
    <row r="8844" spans="1:16" x14ac:dyDescent="0.25">
      <c r="A8844" t="s">
        <v>3296</v>
      </c>
      <c r="B8844" t="s">
        <v>2931</v>
      </c>
      <c r="C8844">
        <v>12584</v>
      </c>
      <c r="D8844" t="str">
        <f>"1371327     "</f>
        <v xml:space="preserve">1371327     </v>
      </c>
      <c r="E8844" t="s">
        <v>353</v>
      </c>
      <c r="F8844" t="s">
        <v>355</v>
      </c>
      <c r="G8844">
        <v>40.61</v>
      </c>
      <c r="H8844">
        <v>250917</v>
      </c>
      <c r="I8844">
        <v>4600</v>
      </c>
      <c r="J8844" t="s">
        <v>278</v>
      </c>
      <c r="K8844">
        <v>40.61</v>
      </c>
      <c r="L8844">
        <v>8.25</v>
      </c>
      <c r="M8844">
        <v>56568</v>
      </c>
      <c r="N8844" t="s">
        <v>354</v>
      </c>
      <c r="O8844">
        <v>250926</v>
      </c>
      <c r="P8844">
        <v>32.36</v>
      </c>
    </row>
    <row r="8845" spans="1:16" x14ac:dyDescent="0.25">
      <c r="A8845" t="s">
        <v>3296</v>
      </c>
      <c r="B8845" t="s">
        <v>2931</v>
      </c>
      <c r="C8845">
        <v>12586</v>
      </c>
      <c r="D8845" t="str">
        <f>"1371348     "</f>
        <v xml:space="preserve">1371348     </v>
      </c>
      <c r="E8845" t="s">
        <v>353</v>
      </c>
      <c r="F8845" t="s">
        <v>355</v>
      </c>
      <c r="G8845">
        <v>88</v>
      </c>
      <c r="H8845">
        <v>250917</v>
      </c>
      <c r="I8845">
        <v>4600</v>
      </c>
      <c r="J8845" t="s">
        <v>278</v>
      </c>
      <c r="K8845">
        <v>88</v>
      </c>
      <c r="L8845">
        <v>17.88</v>
      </c>
      <c r="M8845">
        <v>56568</v>
      </c>
      <c r="N8845" t="s">
        <v>354</v>
      </c>
      <c r="O8845">
        <v>250926</v>
      </c>
      <c r="P8845">
        <v>70.12</v>
      </c>
    </row>
    <row r="8846" spans="1:16" x14ac:dyDescent="0.25">
      <c r="A8846" t="s">
        <v>3296</v>
      </c>
      <c r="B8846" t="s">
        <v>2931</v>
      </c>
      <c r="C8846">
        <v>12587</v>
      </c>
      <c r="D8846" t="str">
        <f>"1371336     "</f>
        <v xml:space="preserve">1371336     </v>
      </c>
      <c r="E8846" t="s">
        <v>353</v>
      </c>
      <c r="F8846" t="s">
        <v>355</v>
      </c>
      <c r="G8846">
        <v>34.299999999999997</v>
      </c>
      <c r="H8846">
        <v>250917</v>
      </c>
      <c r="I8846">
        <v>4600</v>
      </c>
      <c r="J8846" t="s">
        <v>278</v>
      </c>
      <c r="K8846">
        <v>34.299999999999997</v>
      </c>
      <c r="L8846">
        <v>6.97</v>
      </c>
      <c r="M8846">
        <v>56568</v>
      </c>
      <c r="N8846" t="s">
        <v>354</v>
      </c>
      <c r="O8846">
        <v>250926</v>
      </c>
      <c r="P8846">
        <v>27.33</v>
      </c>
    </row>
    <row r="8847" spans="1:16" x14ac:dyDescent="0.25">
      <c r="A8847" t="s">
        <v>3296</v>
      </c>
      <c r="B8847" t="s">
        <v>2931</v>
      </c>
      <c r="C8847">
        <v>12591</v>
      </c>
      <c r="D8847" t="str">
        <f>"1371342     "</f>
        <v xml:space="preserve">1371342     </v>
      </c>
      <c r="E8847" t="s">
        <v>353</v>
      </c>
      <c r="F8847" t="s">
        <v>355</v>
      </c>
      <c r="G8847">
        <v>142.72</v>
      </c>
      <c r="H8847">
        <v>250917</v>
      </c>
      <c r="I8847">
        <v>4600</v>
      </c>
      <c r="J8847" t="s">
        <v>278</v>
      </c>
      <c r="K8847">
        <v>142.72</v>
      </c>
      <c r="L8847">
        <v>29</v>
      </c>
      <c r="M8847">
        <v>56568</v>
      </c>
      <c r="N8847" t="s">
        <v>354</v>
      </c>
      <c r="O8847">
        <v>250926</v>
      </c>
      <c r="P8847">
        <v>113.72</v>
      </c>
    </row>
    <row r="8848" spans="1:16" x14ac:dyDescent="0.25">
      <c r="A8848" t="s">
        <v>3296</v>
      </c>
      <c r="B8848" t="s">
        <v>2931</v>
      </c>
      <c r="C8848">
        <v>12592</v>
      </c>
      <c r="D8848" t="str">
        <f>"1371324     "</f>
        <v xml:space="preserve">1371324     </v>
      </c>
      <c r="E8848" t="s">
        <v>353</v>
      </c>
      <c r="F8848" t="s">
        <v>355</v>
      </c>
      <c r="G8848">
        <v>8.68</v>
      </c>
      <c r="H8848">
        <v>250917</v>
      </c>
      <c r="I8848">
        <v>4600</v>
      </c>
      <c r="J8848" t="s">
        <v>278</v>
      </c>
      <c r="K8848">
        <v>8.68</v>
      </c>
      <c r="L8848">
        <v>1.76</v>
      </c>
      <c r="M8848">
        <v>56568</v>
      </c>
      <c r="N8848" t="s">
        <v>354</v>
      </c>
      <c r="O8848">
        <v>250926</v>
      </c>
      <c r="P8848">
        <v>6.92</v>
      </c>
    </row>
    <row r="8849" spans="1:16" x14ac:dyDescent="0.25">
      <c r="A8849" t="s">
        <v>3296</v>
      </c>
      <c r="B8849" t="s">
        <v>2931</v>
      </c>
      <c r="C8849">
        <v>12593</v>
      </c>
      <c r="D8849" t="str">
        <f>"1371334     "</f>
        <v xml:space="preserve">1371334     </v>
      </c>
      <c r="E8849" t="s">
        <v>353</v>
      </c>
      <c r="F8849" t="s">
        <v>355</v>
      </c>
      <c r="G8849">
        <v>113.98</v>
      </c>
      <c r="H8849">
        <v>250917</v>
      </c>
      <c r="I8849">
        <v>4600</v>
      </c>
      <c r="J8849" t="s">
        <v>278</v>
      </c>
      <c r="K8849">
        <v>113.98</v>
      </c>
      <c r="L8849">
        <v>23.16</v>
      </c>
      <c r="M8849">
        <v>56568</v>
      </c>
      <c r="N8849" t="s">
        <v>354</v>
      </c>
      <c r="O8849">
        <v>250926</v>
      </c>
      <c r="P8849">
        <v>90.82</v>
      </c>
    </row>
    <row r="8850" spans="1:16" x14ac:dyDescent="0.25">
      <c r="A8850" t="s">
        <v>3296</v>
      </c>
      <c r="B8850" t="s">
        <v>2931</v>
      </c>
      <c r="C8850">
        <v>12594</v>
      </c>
      <c r="D8850" t="str">
        <f>"1371328     "</f>
        <v xml:space="preserve">1371328     </v>
      </c>
      <c r="E8850" t="s">
        <v>353</v>
      </c>
      <c r="F8850" t="s">
        <v>355</v>
      </c>
      <c r="G8850">
        <v>18.2</v>
      </c>
      <c r="H8850">
        <v>250917</v>
      </c>
      <c r="I8850">
        <v>4600</v>
      </c>
      <c r="J8850" t="s">
        <v>278</v>
      </c>
      <c r="K8850">
        <v>18.2</v>
      </c>
      <c r="L8850">
        <v>3.7</v>
      </c>
      <c r="M8850">
        <v>56568</v>
      </c>
      <c r="N8850" t="s">
        <v>354</v>
      </c>
      <c r="O8850">
        <v>250926</v>
      </c>
      <c r="P8850">
        <v>14.5</v>
      </c>
    </row>
    <row r="8851" spans="1:16" x14ac:dyDescent="0.25">
      <c r="A8851" t="s">
        <v>3296</v>
      </c>
      <c r="B8851" t="s">
        <v>2931</v>
      </c>
      <c r="C8851">
        <v>12598</v>
      </c>
      <c r="D8851" t="str">
        <f>"1371341     "</f>
        <v xml:space="preserve">1371341     </v>
      </c>
      <c r="E8851" t="s">
        <v>353</v>
      </c>
      <c r="F8851" t="s">
        <v>355</v>
      </c>
      <c r="G8851">
        <v>7.44</v>
      </c>
      <c r="H8851">
        <v>250917</v>
      </c>
      <c r="I8851">
        <v>4600</v>
      </c>
      <c r="J8851" t="s">
        <v>278</v>
      </c>
      <c r="K8851">
        <v>7.44</v>
      </c>
      <c r="L8851">
        <v>1.51</v>
      </c>
      <c r="M8851">
        <v>56568</v>
      </c>
      <c r="N8851" t="s">
        <v>354</v>
      </c>
      <c r="O8851">
        <v>250926</v>
      </c>
      <c r="P8851">
        <v>5.93</v>
      </c>
    </row>
    <row r="8852" spans="1:16" x14ac:dyDescent="0.25">
      <c r="A8852" t="s">
        <v>3296</v>
      </c>
      <c r="B8852" t="s">
        <v>2931</v>
      </c>
      <c r="C8852">
        <v>12599</v>
      </c>
      <c r="D8852" t="str">
        <f>"1371314     "</f>
        <v xml:space="preserve">1371314     </v>
      </c>
      <c r="E8852" t="s">
        <v>353</v>
      </c>
      <c r="F8852" t="s">
        <v>355</v>
      </c>
      <c r="G8852">
        <v>89.9</v>
      </c>
      <c r="H8852">
        <v>250917</v>
      </c>
      <c r="I8852">
        <v>4600</v>
      </c>
      <c r="J8852" t="s">
        <v>278</v>
      </c>
      <c r="K8852">
        <v>89.9</v>
      </c>
      <c r="L8852">
        <v>18.27</v>
      </c>
      <c r="M8852">
        <v>56568</v>
      </c>
      <c r="N8852" t="s">
        <v>354</v>
      </c>
      <c r="O8852">
        <v>250926</v>
      </c>
      <c r="P8852">
        <v>71.63</v>
      </c>
    </row>
    <row r="8853" spans="1:16" x14ac:dyDescent="0.25">
      <c r="A8853" t="s">
        <v>3296</v>
      </c>
      <c r="B8853" t="s">
        <v>2931</v>
      </c>
      <c r="C8853">
        <v>12603</v>
      </c>
      <c r="D8853" t="str">
        <f>"1371313     "</f>
        <v xml:space="preserve">1371313     </v>
      </c>
      <c r="E8853" t="s">
        <v>353</v>
      </c>
      <c r="F8853" t="s">
        <v>355</v>
      </c>
      <c r="G8853">
        <v>9.61</v>
      </c>
      <c r="H8853">
        <v>250917</v>
      </c>
      <c r="I8853">
        <v>4600</v>
      </c>
      <c r="J8853" t="s">
        <v>278</v>
      </c>
      <c r="K8853">
        <v>9.61</v>
      </c>
      <c r="L8853">
        <v>1.95</v>
      </c>
      <c r="M8853">
        <v>56568</v>
      </c>
      <c r="N8853" t="s">
        <v>354</v>
      </c>
      <c r="O8853">
        <v>250926</v>
      </c>
      <c r="P8853">
        <v>7.66</v>
      </c>
    </row>
    <row r="8854" spans="1:16" x14ac:dyDescent="0.25">
      <c r="A8854" t="s">
        <v>3296</v>
      </c>
      <c r="B8854" t="s">
        <v>2931</v>
      </c>
      <c r="C8854">
        <v>12604</v>
      </c>
      <c r="D8854" t="str">
        <f>"1371329     "</f>
        <v xml:space="preserve">1371329     </v>
      </c>
      <c r="E8854" t="s">
        <v>353</v>
      </c>
      <c r="F8854" t="s">
        <v>355</v>
      </c>
      <c r="G8854">
        <v>29.41</v>
      </c>
      <c r="H8854">
        <v>250917</v>
      </c>
      <c r="I8854">
        <v>4600</v>
      </c>
      <c r="J8854" t="s">
        <v>278</v>
      </c>
      <c r="K8854">
        <v>29.41</v>
      </c>
      <c r="L8854">
        <v>5.98</v>
      </c>
      <c r="M8854">
        <v>56568</v>
      </c>
      <c r="N8854" t="s">
        <v>354</v>
      </c>
      <c r="O8854">
        <v>250926</v>
      </c>
      <c r="P8854">
        <v>23.43</v>
      </c>
    </row>
    <row r="8855" spans="1:16" x14ac:dyDescent="0.25">
      <c r="A8855" t="s">
        <v>3296</v>
      </c>
      <c r="B8855" t="s">
        <v>2931</v>
      </c>
      <c r="C8855">
        <v>12605</v>
      </c>
      <c r="D8855" t="str">
        <f>"1371333     "</f>
        <v xml:space="preserve">1371333     </v>
      </c>
      <c r="E8855" t="s">
        <v>353</v>
      </c>
      <c r="F8855" t="s">
        <v>355</v>
      </c>
      <c r="G8855">
        <v>40.47</v>
      </c>
      <c r="H8855">
        <v>250917</v>
      </c>
      <c r="I8855">
        <v>4600</v>
      </c>
      <c r="J8855" t="s">
        <v>278</v>
      </c>
      <c r="K8855">
        <v>40.47</v>
      </c>
      <c r="L8855">
        <v>8.2200000000000006</v>
      </c>
      <c r="M8855">
        <v>56568</v>
      </c>
      <c r="N8855" t="s">
        <v>354</v>
      </c>
      <c r="O8855">
        <v>250926</v>
      </c>
      <c r="P8855">
        <v>32.25</v>
      </c>
    </row>
    <row r="8856" spans="1:16" x14ac:dyDescent="0.25">
      <c r="A8856" t="s">
        <v>3296</v>
      </c>
      <c r="B8856" t="s">
        <v>2931</v>
      </c>
      <c r="C8856">
        <v>12974</v>
      </c>
      <c r="D8856" t="str">
        <f>"1372030     "</f>
        <v xml:space="preserve">1372030     </v>
      </c>
      <c r="E8856" t="s">
        <v>353</v>
      </c>
      <c r="F8856" t="s">
        <v>355</v>
      </c>
      <c r="G8856">
        <v>8.1199999999999992</v>
      </c>
      <c r="H8856">
        <v>250930</v>
      </c>
      <c r="I8856">
        <v>4600</v>
      </c>
      <c r="J8856" t="s">
        <v>278</v>
      </c>
      <c r="K8856">
        <v>8.1199999999999992</v>
      </c>
      <c r="L8856">
        <v>1.65</v>
      </c>
      <c r="M8856">
        <v>56568</v>
      </c>
      <c r="N8856" t="s">
        <v>354</v>
      </c>
      <c r="O8856">
        <v>251003</v>
      </c>
      <c r="P8856">
        <v>6.47</v>
      </c>
    </row>
    <row r="8857" spans="1:16" x14ac:dyDescent="0.25">
      <c r="A8857" t="s">
        <v>3296</v>
      </c>
      <c r="B8857" t="s">
        <v>2931</v>
      </c>
      <c r="C8857">
        <v>12976</v>
      </c>
      <c r="D8857" t="str">
        <f>"1372020     "</f>
        <v xml:space="preserve">1372020     </v>
      </c>
      <c r="E8857" t="s">
        <v>353</v>
      </c>
      <c r="F8857" t="s">
        <v>355</v>
      </c>
      <c r="G8857">
        <v>29.71</v>
      </c>
      <c r="H8857">
        <v>250930</v>
      </c>
      <c r="I8857">
        <v>4600</v>
      </c>
      <c r="J8857" t="s">
        <v>278</v>
      </c>
      <c r="K8857">
        <v>29.71</v>
      </c>
      <c r="L8857">
        <v>6.04</v>
      </c>
      <c r="M8857">
        <v>56568</v>
      </c>
      <c r="N8857" t="s">
        <v>354</v>
      </c>
      <c r="O8857">
        <v>251003</v>
      </c>
      <c r="P8857">
        <v>23.67</v>
      </c>
    </row>
    <row r="8858" spans="1:16" x14ac:dyDescent="0.25">
      <c r="A8858" t="s">
        <v>3296</v>
      </c>
      <c r="B8858" t="s">
        <v>2931</v>
      </c>
      <c r="C8858">
        <v>12979</v>
      </c>
      <c r="D8858" t="str">
        <f>"1372018     "</f>
        <v xml:space="preserve">1372018     </v>
      </c>
      <c r="E8858" t="s">
        <v>353</v>
      </c>
      <c r="F8858" t="s">
        <v>355</v>
      </c>
      <c r="G8858">
        <v>30.6</v>
      </c>
      <c r="H8858">
        <v>250930</v>
      </c>
      <c r="I8858">
        <v>4600</v>
      </c>
      <c r="J8858" t="s">
        <v>278</v>
      </c>
      <c r="K8858">
        <v>30.6</v>
      </c>
      <c r="L8858">
        <v>6.22</v>
      </c>
      <c r="M8858">
        <v>56568</v>
      </c>
      <c r="N8858" t="s">
        <v>354</v>
      </c>
      <c r="O8858">
        <v>251003</v>
      </c>
      <c r="P8858">
        <v>24.38</v>
      </c>
    </row>
    <row r="8859" spans="1:16" x14ac:dyDescent="0.25">
      <c r="A8859" t="s">
        <v>3296</v>
      </c>
      <c r="B8859" t="s">
        <v>2931</v>
      </c>
      <c r="C8859">
        <v>12981</v>
      </c>
      <c r="D8859" t="str">
        <f>"1372016     "</f>
        <v xml:space="preserve">1372016     </v>
      </c>
      <c r="E8859" t="s">
        <v>353</v>
      </c>
      <c r="F8859" t="s">
        <v>355</v>
      </c>
      <c r="G8859">
        <v>14</v>
      </c>
      <c r="H8859">
        <v>250930</v>
      </c>
      <c r="I8859">
        <v>4600</v>
      </c>
      <c r="J8859" t="s">
        <v>278</v>
      </c>
      <c r="K8859">
        <v>14</v>
      </c>
      <c r="L8859">
        <v>2.84</v>
      </c>
      <c r="M8859">
        <v>56568</v>
      </c>
      <c r="N8859" t="s">
        <v>354</v>
      </c>
      <c r="O8859">
        <v>251003</v>
      </c>
      <c r="P8859">
        <v>11.16</v>
      </c>
    </row>
    <row r="8860" spans="1:16" x14ac:dyDescent="0.25">
      <c r="A8860" t="s">
        <v>3296</v>
      </c>
      <c r="B8860" t="s">
        <v>2931</v>
      </c>
      <c r="C8860">
        <v>12982</v>
      </c>
      <c r="D8860" t="str">
        <f>"1372015     "</f>
        <v xml:space="preserve">1372015     </v>
      </c>
      <c r="E8860" t="s">
        <v>353</v>
      </c>
      <c r="F8860" t="s">
        <v>355</v>
      </c>
      <c r="G8860">
        <v>0.56999999999999995</v>
      </c>
      <c r="H8860">
        <v>250930</v>
      </c>
      <c r="I8860">
        <v>4600</v>
      </c>
      <c r="J8860" t="s">
        <v>278</v>
      </c>
      <c r="K8860">
        <v>0.56999999999999995</v>
      </c>
      <c r="L8860">
        <v>0.12</v>
      </c>
      <c r="M8860">
        <v>56568</v>
      </c>
      <c r="N8860" t="s">
        <v>354</v>
      </c>
      <c r="O8860">
        <v>251003</v>
      </c>
      <c r="P8860">
        <v>0.45</v>
      </c>
    </row>
    <row r="8861" spans="1:16" x14ac:dyDescent="0.25">
      <c r="A8861" t="s">
        <v>3296</v>
      </c>
      <c r="B8861" t="s">
        <v>2931</v>
      </c>
      <c r="C8861">
        <v>12983</v>
      </c>
      <c r="D8861" t="str">
        <f>"1372024     "</f>
        <v xml:space="preserve">1372024     </v>
      </c>
      <c r="E8861" t="s">
        <v>353</v>
      </c>
      <c r="F8861" t="s">
        <v>355</v>
      </c>
      <c r="G8861">
        <v>17.059999999999999</v>
      </c>
      <c r="H8861">
        <v>250930</v>
      </c>
      <c r="I8861">
        <v>4600</v>
      </c>
      <c r="J8861" t="s">
        <v>278</v>
      </c>
      <c r="K8861">
        <v>17.059999999999999</v>
      </c>
      <c r="L8861">
        <v>3.47</v>
      </c>
      <c r="M8861">
        <v>56568</v>
      </c>
      <c r="N8861" t="s">
        <v>354</v>
      </c>
      <c r="O8861">
        <v>251003</v>
      </c>
      <c r="P8861">
        <v>13.59</v>
      </c>
    </row>
    <row r="8862" spans="1:16" x14ac:dyDescent="0.25">
      <c r="A8862" t="s">
        <v>3296</v>
      </c>
      <c r="B8862" t="s">
        <v>2931</v>
      </c>
      <c r="C8862">
        <v>12984</v>
      </c>
      <c r="D8862" t="str">
        <f>"1372019     "</f>
        <v xml:space="preserve">1372019     </v>
      </c>
      <c r="E8862" t="s">
        <v>353</v>
      </c>
      <c r="F8862" t="s">
        <v>355</v>
      </c>
      <c r="G8862">
        <v>89.89</v>
      </c>
      <c r="H8862">
        <v>250930</v>
      </c>
      <c r="I8862">
        <v>4600</v>
      </c>
      <c r="J8862" t="s">
        <v>278</v>
      </c>
      <c r="K8862">
        <v>89.89</v>
      </c>
      <c r="L8862">
        <v>18.260000000000002</v>
      </c>
      <c r="M8862">
        <v>56568</v>
      </c>
      <c r="N8862" t="s">
        <v>354</v>
      </c>
      <c r="O8862">
        <v>251003</v>
      </c>
      <c r="P8862">
        <v>71.63</v>
      </c>
    </row>
    <row r="8863" spans="1:16" x14ac:dyDescent="0.25">
      <c r="A8863" t="s">
        <v>3296</v>
      </c>
      <c r="B8863" t="s">
        <v>2931</v>
      </c>
      <c r="C8863">
        <v>12985</v>
      </c>
      <c r="D8863" t="str">
        <f>"1372028     "</f>
        <v xml:space="preserve">1372028     </v>
      </c>
      <c r="E8863" t="s">
        <v>353</v>
      </c>
      <c r="F8863" t="s">
        <v>355</v>
      </c>
      <c r="G8863">
        <v>154.5</v>
      </c>
      <c r="H8863">
        <v>250930</v>
      </c>
      <c r="I8863">
        <v>4600</v>
      </c>
      <c r="J8863" t="s">
        <v>278</v>
      </c>
      <c r="K8863">
        <v>154.5</v>
      </c>
      <c r="L8863">
        <v>31.39</v>
      </c>
      <c r="M8863">
        <v>56568</v>
      </c>
      <c r="N8863" t="s">
        <v>354</v>
      </c>
      <c r="O8863">
        <v>251003</v>
      </c>
      <c r="P8863">
        <v>123.11</v>
      </c>
    </row>
    <row r="8864" spans="1:16" x14ac:dyDescent="0.25">
      <c r="A8864" t="s">
        <v>3296</v>
      </c>
      <c r="B8864" t="s">
        <v>2931</v>
      </c>
      <c r="C8864">
        <v>13003</v>
      </c>
      <c r="D8864" t="str">
        <f>"1372025     "</f>
        <v xml:space="preserve">1372025     </v>
      </c>
      <c r="E8864" t="s">
        <v>353</v>
      </c>
      <c r="F8864" t="s">
        <v>355</v>
      </c>
      <c r="G8864">
        <v>140</v>
      </c>
      <c r="H8864">
        <v>250930</v>
      </c>
      <c r="I8864">
        <v>4600</v>
      </c>
      <c r="J8864" t="s">
        <v>278</v>
      </c>
      <c r="K8864">
        <v>140</v>
      </c>
      <c r="L8864">
        <v>28.45</v>
      </c>
      <c r="M8864">
        <v>56568</v>
      </c>
      <c r="N8864" t="s">
        <v>354</v>
      </c>
      <c r="O8864">
        <v>251003</v>
      </c>
      <c r="P8864">
        <v>111.55</v>
      </c>
    </row>
    <row r="8865" spans="1:16" x14ac:dyDescent="0.25">
      <c r="A8865" t="s">
        <v>3296</v>
      </c>
      <c r="B8865" t="s">
        <v>2931</v>
      </c>
      <c r="C8865">
        <v>13007</v>
      </c>
      <c r="D8865" t="str">
        <f>"1372021     "</f>
        <v xml:space="preserve">1372021     </v>
      </c>
      <c r="E8865" t="s">
        <v>353</v>
      </c>
      <c r="F8865" t="s">
        <v>355</v>
      </c>
      <c r="G8865">
        <v>48.61</v>
      </c>
      <c r="H8865">
        <v>250930</v>
      </c>
      <c r="I8865">
        <v>4600</v>
      </c>
      <c r="J8865" t="s">
        <v>278</v>
      </c>
      <c r="K8865">
        <v>48.61</v>
      </c>
      <c r="L8865">
        <v>9.8800000000000008</v>
      </c>
      <c r="M8865">
        <v>56568</v>
      </c>
      <c r="N8865" t="s">
        <v>354</v>
      </c>
      <c r="O8865">
        <v>251003</v>
      </c>
      <c r="P8865">
        <v>38.729999999999997</v>
      </c>
    </row>
    <row r="8866" spans="1:16" x14ac:dyDescent="0.25">
      <c r="A8866" t="s">
        <v>3296</v>
      </c>
      <c r="B8866" t="s">
        <v>2931</v>
      </c>
      <c r="C8866">
        <v>13009</v>
      </c>
      <c r="D8866" t="str">
        <f>"1372017     "</f>
        <v xml:space="preserve">1372017     </v>
      </c>
      <c r="E8866" t="s">
        <v>353</v>
      </c>
      <c r="F8866" t="s">
        <v>355</v>
      </c>
      <c r="G8866">
        <v>23.25</v>
      </c>
      <c r="H8866">
        <v>250930</v>
      </c>
      <c r="I8866">
        <v>4600</v>
      </c>
      <c r="J8866" t="s">
        <v>278</v>
      </c>
      <c r="K8866">
        <v>23.25</v>
      </c>
      <c r="L8866">
        <v>4.72</v>
      </c>
      <c r="M8866">
        <v>56568</v>
      </c>
      <c r="N8866" t="s">
        <v>354</v>
      </c>
      <c r="O8866">
        <v>251003</v>
      </c>
      <c r="P8866">
        <v>18.53</v>
      </c>
    </row>
    <row r="8867" spans="1:16" x14ac:dyDescent="0.25">
      <c r="A8867" t="s">
        <v>3296</v>
      </c>
      <c r="B8867" t="s">
        <v>2931</v>
      </c>
      <c r="C8867">
        <v>13010</v>
      </c>
      <c r="D8867" t="str">
        <f>"1372022     "</f>
        <v xml:space="preserve">1372022     </v>
      </c>
      <c r="E8867" t="s">
        <v>353</v>
      </c>
      <c r="F8867" t="s">
        <v>355</v>
      </c>
      <c r="G8867">
        <v>28.52</v>
      </c>
      <c r="H8867">
        <v>250930</v>
      </c>
      <c r="I8867">
        <v>4600</v>
      </c>
      <c r="J8867" t="s">
        <v>278</v>
      </c>
      <c r="K8867">
        <v>28.52</v>
      </c>
      <c r="L8867">
        <v>5.79</v>
      </c>
      <c r="M8867">
        <v>56568</v>
      </c>
      <c r="N8867" t="s">
        <v>354</v>
      </c>
      <c r="O8867">
        <v>251003</v>
      </c>
      <c r="P8867">
        <v>22.73</v>
      </c>
    </row>
    <row r="8868" spans="1:16" x14ac:dyDescent="0.25">
      <c r="A8868" t="s">
        <v>3296</v>
      </c>
      <c r="B8868" t="s">
        <v>2931</v>
      </c>
      <c r="C8868">
        <v>13011</v>
      </c>
      <c r="D8868" t="str">
        <f>"1372029     "</f>
        <v xml:space="preserve">1372029     </v>
      </c>
      <c r="E8868" t="s">
        <v>353</v>
      </c>
      <c r="F8868" t="s">
        <v>355</v>
      </c>
      <c r="G8868">
        <v>97.75</v>
      </c>
      <c r="H8868">
        <v>250930</v>
      </c>
      <c r="I8868">
        <v>4600</v>
      </c>
      <c r="J8868" t="s">
        <v>278</v>
      </c>
      <c r="K8868">
        <v>97.75</v>
      </c>
      <c r="L8868">
        <v>19.86</v>
      </c>
      <c r="M8868">
        <v>56568</v>
      </c>
      <c r="N8868" t="s">
        <v>354</v>
      </c>
      <c r="O8868">
        <v>251003</v>
      </c>
      <c r="P8868">
        <v>77.89</v>
      </c>
    </row>
    <row r="8869" spans="1:16" x14ac:dyDescent="0.25">
      <c r="A8869" t="s">
        <v>3296</v>
      </c>
      <c r="B8869" t="s">
        <v>2931</v>
      </c>
      <c r="C8869">
        <v>13014</v>
      </c>
      <c r="D8869" t="str">
        <f>"1372027     "</f>
        <v xml:space="preserve">1372027     </v>
      </c>
      <c r="E8869" t="s">
        <v>353</v>
      </c>
      <c r="F8869" t="s">
        <v>355</v>
      </c>
      <c r="G8869">
        <v>22.15</v>
      </c>
      <c r="H8869">
        <v>250930</v>
      </c>
      <c r="I8869">
        <v>4600</v>
      </c>
      <c r="J8869" t="s">
        <v>278</v>
      </c>
      <c r="K8869">
        <v>22.15</v>
      </c>
      <c r="L8869">
        <v>4.5</v>
      </c>
      <c r="M8869">
        <v>56568</v>
      </c>
      <c r="N8869" t="s">
        <v>354</v>
      </c>
      <c r="O8869">
        <v>251003</v>
      </c>
      <c r="P8869">
        <v>17.649999999999999</v>
      </c>
    </row>
    <row r="8870" spans="1:16" x14ac:dyDescent="0.25">
      <c r="A8870" t="s">
        <v>3296</v>
      </c>
      <c r="B8870" t="s">
        <v>2931</v>
      </c>
      <c r="C8870">
        <v>13190</v>
      </c>
      <c r="D8870" t="str">
        <f>"1372033     "</f>
        <v xml:space="preserve">1372033     </v>
      </c>
      <c r="E8870" t="s">
        <v>353</v>
      </c>
      <c r="F8870" t="s">
        <v>355</v>
      </c>
      <c r="G8870">
        <v>52.26</v>
      </c>
      <c r="H8870">
        <v>250930</v>
      </c>
      <c r="I8870">
        <v>4600</v>
      </c>
      <c r="J8870" t="s">
        <v>278</v>
      </c>
      <c r="K8870">
        <v>159.9</v>
      </c>
      <c r="L8870">
        <v>10.62</v>
      </c>
      <c r="M8870">
        <v>67554</v>
      </c>
      <c r="N8870" t="s">
        <v>317</v>
      </c>
      <c r="O8870">
        <v>251006</v>
      </c>
      <c r="P8870">
        <v>41.64</v>
      </c>
    </row>
    <row r="8871" spans="1:16" x14ac:dyDescent="0.25">
      <c r="A8871" t="s">
        <v>3296</v>
      </c>
      <c r="B8871" t="s">
        <v>2931</v>
      </c>
      <c r="C8871">
        <v>13561</v>
      </c>
      <c r="D8871" t="str">
        <f>"1373059     "</f>
        <v xml:space="preserve">1373059     </v>
      </c>
      <c r="E8871" t="s">
        <v>353</v>
      </c>
      <c r="F8871" t="s">
        <v>355</v>
      </c>
      <c r="G8871">
        <v>-41</v>
      </c>
      <c r="H8871">
        <v>250930</v>
      </c>
      <c r="I8871">
        <v>4600</v>
      </c>
      <c r="J8871" t="s">
        <v>278</v>
      </c>
      <c r="K8871">
        <v>-41</v>
      </c>
      <c r="L8871">
        <v>-8.33</v>
      </c>
      <c r="M8871">
        <v>56568</v>
      </c>
      <c r="N8871" t="s">
        <v>354</v>
      </c>
      <c r="O8871">
        <v>251013</v>
      </c>
      <c r="P8871">
        <v>-32.67</v>
      </c>
    </row>
    <row r="8872" spans="1:16" x14ac:dyDescent="0.25">
      <c r="A8872" t="s">
        <v>3296</v>
      </c>
      <c r="B8872" t="s">
        <v>2931</v>
      </c>
      <c r="C8872">
        <v>13564</v>
      </c>
      <c r="D8872" t="str">
        <f>"1373043     "</f>
        <v xml:space="preserve">1373043     </v>
      </c>
      <c r="E8872" t="s">
        <v>353</v>
      </c>
      <c r="F8872" t="s">
        <v>355</v>
      </c>
      <c r="G8872">
        <v>-118.57</v>
      </c>
      <c r="H8872">
        <v>250930</v>
      </c>
      <c r="I8872">
        <v>4600</v>
      </c>
      <c r="J8872" t="s">
        <v>278</v>
      </c>
      <c r="K8872">
        <v>-118.57</v>
      </c>
      <c r="L8872">
        <v>-24.09</v>
      </c>
      <c r="M8872">
        <v>56568</v>
      </c>
      <c r="N8872" t="s">
        <v>354</v>
      </c>
      <c r="O8872">
        <v>251013</v>
      </c>
      <c r="P8872">
        <v>-94.48</v>
      </c>
    </row>
    <row r="8873" spans="1:16" x14ac:dyDescent="0.25">
      <c r="A8873" t="s">
        <v>3296</v>
      </c>
      <c r="B8873" t="s">
        <v>2931</v>
      </c>
      <c r="C8873">
        <v>13579</v>
      </c>
      <c r="D8873" t="str">
        <f>"1373056     "</f>
        <v xml:space="preserve">1373056     </v>
      </c>
      <c r="E8873" t="s">
        <v>353</v>
      </c>
      <c r="F8873" t="s">
        <v>355</v>
      </c>
      <c r="G8873">
        <v>81.2</v>
      </c>
      <c r="H8873">
        <v>250930</v>
      </c>
      <c r="I8873">
        <v>4600</v>
      </c>
      <c r="J8873" t="s">
        <v>278</v>
      </c>
      <c r="K8873">
        <v>81.2</v>
      </c>
      <c r="L8873">
        <v>16.5</v>
      </c>
      <c r="M8873">
        <v>56568</v>
      </c>
      <c r="N8873" t="s">
        <v>354</v>
      </c>
      <c r="O8873">
        <v>251013</v>
      </c>
      <c r="P8873">
        <v>64.7</v>
      </c>
    </row>
    <row r="8874" spans="1:16" x14ac:dyDescent="0.25">
      <c r="A8874" t="s">
        <v>3296</v>
      </c>
      <c r="B8874" t="s">
        <v>2931</v>
      </c>
      <c r="C8874">
        <v>13580</v>
      </c>
      <c r="D8874" t="str">
        <f>"1373057     "</f>
        <v xml:space="preserve">1373057     </v>
      </c>
      <c r="E8874" t="s">
        <v>353</v>
      </c>
      <c r="F8874" t="s">
        <v>355</v>
      </c>
      <c r="G8874">
        <v>332.4</v>
      </c>
      <c r="H8874">
        <v>250930</v>
      </c>
      <c r="I8874">
        <v>4600</v>
      </c>
      <c r="J8874" t="s">
        <v>278</v>
      </c>
      <c r="K8874">
        <v>332.4</v>
      </c>
      <c r="L8874">
        <v>67.540000000000006</v>
      </c>
      <c r="M8874">
        <v>56568</v>
      </c>
      <c r="N8874" t="s">
        <v>354</v>
      </c>
      <c r="O8874">
        <v>251013</v>
      </c>
      <c r="P8874">
        <v>264.86</v>
      </c>
    </row>
    <row r="8875" spans="1:16" x14ac:dyDescent="0.25">
      <c r="A8875" t="s">
        <v>3296</v>
      </c>
      <c r="B8875" t="s">
        <v>2931</v>
      </c>
      <c r="C8875">
        <v>13581</v>
      </c>
      <c r="D8875" t="str">
        <f>"1373036     "</f>
        <v xml:space="preserve">1373036     </v>
      </c>
      <c r="E8875" t="s">
        <v>353</v>
      </c>
      <c r="F8875" t="s">
        <v>355</v>
      </c>
      <c r="G8875">
        <v>101.8</v>
      </c>
      <c r="H8875">
        <v>250930</v>
      </c>
      <c r="I8875">
        <v>4600</v>
      </c>
      <c r="J8875" t="s">
        <v>278</v>
      </c>
      <c r="K8875">
        <v>101.8</v>
      </c>
      <c r="L8875">
        <v>20.68</v>
      </c>
      <c r="M8875">
        <v>56568</v>
      </c>
      <c r="N8875" t="s">
        <v>354</v>
      </c>
      <c r="O8875">
        <v>251013</v>
      </c>
      <c r="P8875">
        <v>81.12</v>
      </c>
    </row>
    <row r="8876" spans="1:16" x14ac:dyDescent="0.25">
      <c r="A8876" t="s">
        <v>3296</v>
      </c>
      <c r="B8876" t="s">
        <v>2931</v>
      </c>
      <c r="C8876">
        <v>13582</v>
      </c>
      <c r="D8876" t="str">
        <f>"1373039     "</f>
        <v xml:space="preserve">1373039     </v>
      </c>
      <c r="E8876" t="s">
        <v>353</v>
      </c>
      <c r="F8876" t="s">
        <v>355</v>
      </c>
      <c r="G8876">
        <v>3.6</v>
      </c>
      <c r="H8876">
        <v>250930</v>
      </c>
      <c r="I8876">
        <v>4600</v>
      </c>
      <c r="J8876" t="s">
        <v>278</v>
      </c>
      <c r="K8876">
        <v>3.6</v>
      </c>
      <c r="L8876">
        <v>0.73</v>
      </c>
      <c r="M8876">
        <v>56568</v>
      </c>
      <c r="N8876" t="s">
        <v>354</v>
      </c>
      <c r="O8876">
        <v>251013</v>
      </c>
      <c r="P8876">
        <v>2.87</v>
      </c>
    </row>
    <row r="8877" spans="1:16" x14ac:dyDescent="0.25">
      <c r="A8877" t="s">
        <v>3296</v>
      </c>
      <c r="B8877" t="s">
        <v>2931</v>
      </c>
      <c r="C8877">
        <v>13583</v>
      </c>
      <c r="D8877" t="str">
        <f>"1373049     "</f>
        <v xml:space="preserve">1373049     </v>
      </c>
      <c r="E8877" t="s">
        <v>353</v>
      </c>
      <c r="F8877" t="s">
        <v>355</v>
      </c>
      <c r="G8877">
        <v>851.31</v>
      </c>
      <c r="H8877">
        <v>250930</v>
      </c>
      <c r="I8877">
        <v>4600</v>
      </c>
      <c r="J8877" t="s">
        <v>278</v>
      </c>
      <c r="K8877">
        <v>851.31</v>
      </c>
      <c r="L8877">
        <v>172.98</v>
      </c>
      <c r="M8877">
        <v>56568</v>
      </c>
      <c r="N8877" t="s">
        <v>354</v>
      </c>
      <c r="O8877">
        <v>251013</v>
      </c>
      <c r="P8877">
        <v>678.33</v>
      </c>
    </row>
    <row r="8878" spans="1:16" x14ac:dyDescent="0.25">
      <c r="A8878" t="s">
        <v>3296</v>
      </c>
      <c r="B8878" t="s">
        <v>2931</v>
      </c>
      <c r="C8878">
        <v>13584</v>
      </c>
      <c r="D8878" t="str">
        <f>"1373058     "</f>
        <v xml:space="preserve">1373058     </v>
      </c>
      <c r="E8878" t="s">
        <v>353</v>
      </c>
      <c r="F8878" t="s">
        <v>355</v>
      </c>
      <c r="G8878">
        <v>42.9</v>
      </c>
      <c r="H8878">
        <v>250930</v>
      </c>
      <c r="I8878">
        <v>4600</v>
      </c>
      <c r="J8878" t="s">
        <v>278</v>
      </c>
      <c r="K8878">
        <v>42.9</v>
      </c>
      <c r="L8878">
        <v>8.7200000000000006</v>
      </c>
      <c r="M8878">
        <v>56568</v>
      </c>
      <c r="N8878" t="s">
        <v>354</v>
      </c>
      <c r="O8878">
        <v>251013</v>
      </c>
      <c r="P8878">
        <v>34.18</v>
      </c>
    </row>
    <row r="8879" spans="1:16" x14ac:dyDescent="0.25">
      <c r="A8879" t="s">
        <v>3296</v>
      </c>
      <c r="B8879" t="s">
        <v>2931</v>
      </c>
      <c r="C8879">
        <v>13586</v>
      </c>
      <c r="D8879" t="str">
        <f>"1373052     "</f>
        <v xml:space="preserve">1373052     </v>
      </c>
      <c r="E8879" t="s">
        <v>353</v>
      </c>
      <c r="F8879" t="s">
        <v>355</v>
      </c>
      <c r="G8879">
        <v>29.36</v>
      </c>
      <c r="H8879">
        <v>250930</v>
      </c>
      <c r="I8879">
        <v>4600</v>
      </c>
      <c r="J8879" t="s">
        <v>278</v>
      </c>
      <c r="K8879">
        <v>29.36</v>
      </c>
      <c r="L8879">
        <v>5.97</v>
      </c>
      <c r="M8879">
        <v>56568</v>
      </c>
      <c r="N8879" t="s">
        <v>354</v>
      </c>
      <c r="O8879">
        <v>251013</v>
      </c>
      <c r="P8879">
        <v>23.39</v>
      </c>
    </row>
    <row r="8880" spans="1:16" x14ac:dyDescent="0.25">
      <c r="A8880" t="s">
        <v>3296</v>
      </c>
      <c r="B8880" t="s">
        <v>2931</v>
      </c>
      <c r="C8880">
        <v>13587</v>
      </c>
      <c r="D8880" t="str">
        <f>"1373040     "</f>
        <v xml:space="preserve">1373040     </v>
      </c>
      <c r="E8880" t="s">
        <v>353</v>
      </c>
      <c r="F8880" t="s">
        <v>355</v>
      </c>
      <c r="G8880">
        <v>169.45</v>
      </c>
      <c r="H8880">
        <v>250930</v>
      </c>
      <c r="I8880">
        <v>4600</v>
      </c>
      <c r="J8880" t="s">
        <v>278</v>
      </c>
      <c r="K8880">
        <v>169.45</v>
      </c>
      <c r="L8880">
        <v>34.43</v>
      </c>
      <c r="M8880">
        <v>56568</v>
      </c>
      <c r="N8880" t="s">
        <v>354</v>
      </c>
      <c r="O8880">
        <v>251013</v>
      </c>
      <c r="P8880">
        <v>135.02000000000001</v>
      </c>
    </row>
    <row r="8881" spans="1:16" x14ac:dyDescent="0.25">
      <c r="A8881" t="s">
        <v>3296</v>
      </c>
      <c r="B8881" t="s">
        <v>2931</v>
      </c>
      <c r="C8881">
        <v>13590</v>
      </c>
      <c r="D8881" t="str">
        <f>"1373053     "</f>
        <v xml:space="preserve">1373053     </v>
      </c>
      <c r="E8881" t="s">
        <v>353</v>
      </c>
      <c r="F8881" t="s">
        <v>355</v>
      </c>
      <c r="G8881">
        <v>8.1199999999999992</v>
      </c>
      <c r="H8881">
        <v>250930</v>
      </c>
      <c r="I8881">
        <v>4600</v>
      </c>
      <c r="J8881" t="s">
        <v>278</v>
      </c>
      <c r="K8881">
        <v>8.1199999999999992</v>
      </c>
      <c r="L8881">
        <v>1.65</v>
      </c>
      <c r="M8881">
        <v>56568</v>
      </c>
      <c r="N8881" t="s">
        <v>354</v>
      </c>
      <c r="O8881">
        <v>251013</v>
      </c>
      <c r="P8881">
        <v>6.47</v>
      </c>
    </row>
    <row r="8882" spans="1:16" x14ac:dyDescent="0.25">
      <c r="A8882" t="s">
        <v>3296</v>
      </c>
      <c r="B8882" t="s">
        <v>2931</v>
      </c>
      <c r="C8882">
        <v>13591</v>
      </c>
      <c r="D8882" t="str">
        <f>"1373047     "</f>
        <v xml:space="preserve">1373047     </v>
      </c>
      <c r="E8882" t="s">
        <v>353</v>
      </c>
      <c r="F8882" t="s">
        <v>355</v>
      </c>
      <c r="G8882">
        <v>11.16</v>
      </c>
      <c r="H8882">
        <v>250930</v>
      </c>
      <c r="I8882">
        <v>4600</v>
      </c>
      <c r="J8882" t="s">
        <v>278</v>
      </c>
      <c r="K8882">
        <v>11.16</v>
      </c>
      <c r="L8882">
        <v>2.27</v>
      </c>
      <c r="M8882">
        <v>56568</v>
      </c>
      <c r="N8882" t="s">
        <v>354</v>
      </c>
      <c r="O8882">
        <v>251013</v>
      </c>
      <c r="P8882">
        <v>8.89</v>
      </c>
    </row>
    <row r="8883" spans="1:16" x14ac:dyDescent="0.25">
      <c r="A8883" t="s">
        <v>3296</v>
      </c>
      <c r="B8883" t="s">
        <v>2931</v>
      </c>
      <c r="C8883">
        <v>13604</v>
      </c>
      <c r="D8883" t="str">
        <f>"1373038     "</f>
        <v xml:space="preserve">1373038     </v>
      </c>
      <c r="E8883" t="s">
        <v>353</v>
      </c>
      <c r="F8883" t="s">
        <v>355</v>
      </c>
      <c r="G8883">
        <v>257.42</v>
      </c>
      <c r="H8883">
        <v>250930</v>
      </c>
      <c r="I8883">
        <v>4600</v>
      </c>
      <c r="J8883" t="s">
        <v>278</v>
      </c>
      <c r="K8883">
        <v>257.42</v>
      </c>
      <c r="L8883">
        <v>52.3</v>
      </c>
      <c r="M8883">
        <v>56568</v>
      </c>
      <c r="N8883" t="s">
        <v>354</v>
      </c>
      <c r="O8883">
        <v>251013</v>
      </c>
      <c r="P8883">
        <v>205.12</v>
      </c>
    </row>
    <row r="8884" spans="1:16" x14ac:dyDescent="0.25">
      <c r="A8884" t="s">
        <v>3296</v>
      </c>
      <c r="B8884" t="s">
        <v>2931</v>
      </c>
      <c r="C8884">
        <v>13633</v>
      </c>
      <c r="D8884" t="str">
        <f>"1373044     "</f>
        <v xml:space="preserve">1373044     </v>
      </c>
      <c r="E8884" t="s">
        <v>353</v>
      </c>
      <c r="F8884" t="s">
        <v>355</v>
      </c>
      <c r="G8884">
        <v>28.89</v>
      </c>
      <c r="H8884">
        <v>250930</v>
      </c>
      <c r="I8884">
        <v>4600</v>
      </c>
      <c r="J8884" t="s">
        <v>278</v>
      </c>
      <c r="K8884">
        <v>28.89</v>
      </c>
      <c r="L8884">
        <v>5.87</v>
      </c>
      <c r="M8884">
        <v>56568</v>
      </c>
      <c r="N8884" t="s">
        <v>354</v>
      </c>
      <c r="O8884">
        <v>251013</v>
      </c>
      <c r="P8884">
        <v>23.02</v>
      </c>
    </row>
    <row r="8885" spans="1:16" x14ac:dyDescent="0.25">
      <c r="A8885" t="s">
        <v>3296</v>
      </c>
      <c r="B8885" t="s">
        <v>2931</v>
      </c>
      <c r="C8885">
        <v>13645</v>
      </c>
      <c r="D8885" t="str">
        <f>"1373051     "</f>
        <v xml:space="preserve">1373051     </v>
      </c>
      <c r="E8885" t="s">
        <v>353</v>
      </c>
      <c r="F8885" t="s">
        <v>355</v>
      </c>
      <c r="G8885">
        <v>179.69</v>
      </c>
      <c r="H8885">
        <v>250930</v>
      </c>
      <c r="I8885">
        <v>4600</v>
      </c>
      <c r="J8885" t="s">
        <v>278</v>
      </c>
      <c r="K8885">
        <v>179.69</v>
      </c>
      <c r="L8885">
        <v>36.51</v>
      </c>
      <c r="M8885">
        <v>56568</v>
      </c>
      <c r="N8885" t="s">
        <v>354</v>
      </c>
      <c r="O8885">
        <v>251013</v>
      </c>
      <c r="P8885">
        <v>143.18</v>
      </c>
    </row>
    <row r="8886" spans="1:16" x14ac:dyDescent="0.25">
      <c r="A8886" t="s">
        <v>3296</v>
      </c>
      <c r="B8886" t="s">
        <v>2931</v>
      </c>
      <c r="C8886">
        <v>13646</v>
      </c>
      <c r="D8886" t="str">
        <f>"1373042     "</f>
        <v xml:space="preserve">1373042     </v>
      </c>
      <c r="E8886" t="s">
        <v>353</v>
      </c>
      <c r="F8886" t="s">
        <v>355</v>
      </c>
      <c r="G8886">
        <v>130.25</v>
      </c>
      <c r="H8886">
        <v>250930</v>
      </c>
      <c r="I8886">
        <v>4600</v>
      </c>
      <c r="J8886" t="s">
        <v>278</v>
      </c>
      <c r="K8886">
        <v>130.25</v>
      </c>
      <c r="L8886">
        <v>26.47</v>
      </c>
      <c r="M8886">
        <v>56568</v>
      </c>
      <c r="N8886" t="s">
        <v>354</v>
      </c>
      <c r="O8886">
        <v>251013</v>
      </c>
      <c r="P8886">
        <v>103.78</v>
      </c>
    </row>
    <row r="8887" spans="1:16" x14ac:dyDescent="0.25">
      <c r="A8887" t="s">
        <v>3296</v>
      </c>
      <c r="B8887" t="s">
        <v>2931</v>
      </c>
      <c r="C8887">
        <v>13647</v>
      </c>
      <c r="D8887" t="str">
        <f>"1373048     "</f>
        <v xml:space="preserve">1373048     </v>
      </c>
      <c r="E8887" t="s">
        <v>353</v>
      </c>
      <c r="F8887" t="s">
        <v>355</v>
      </c>
      <c r="G8887">
        <v>261.89999999999998</v>
      </c>
      <c r="H8887">
        <v>250930</v>
      </c>
      <c r="I8887">
        <v>4600</v>
      </c>
      <c r="J8887" t="s">
        <v>278</v>
      </c>
      <c r="K8887">
        <v>261.89999999999998</v>
      </c>
      <c r="L8887">
        <v>53.21</v>
      </c>
      <c r="M8887">
        <v>56568</v>
      </c>
      <c r="N8887" t="s">
        <v>354</v>
      </c>
      <c r="O8887">
        <v>251013</v>
      </c>
      <c r="P8887">
        <v>208.69</v>
      </c>
    </row>
    <row r="8888" spans="1:16" x14ac:dyDescent="0.25">
      <c r="A8888" t="s">
        <v>3296</v>
      </c>
      <c r="B8888" t="s">
        <v>2931</v>
      </c>
      <c r="C8888">
        <v>13652</v>
      </c>
      <c r="D8888" t="str">
        <f>"1373037     "</f>
        <v xml:space="preserve">1373037     </v>
      </c>
      <c r="E8888" t="s">
        <v>353</v>
      </c>
      <c r="F8888" t="s">
        <v>355</v>
      </c>
      <c r="G8888">
        <v>38.44</v>
      </c>
      <c r="H8888">
        <v>250930</v>
      </c>
      <c r="I8888">
        <v>4600</v>
      </c>
      <c r="J8888" t="s">
        <v>278</v>
      </c>
      <c r="K8888">
        <v>38.44</v>
      </c>
      <c r="L8888">
        <v>7.81</v>
      </c>
      <c r="M8888">
        <v>56568</v>
      </c>
      <c r="N8888" t="s">
        <v>354</v>
      </c>
      <c r="O8888">
        <v>251013</v>
      </c>
      <c r="P8888">
        <v>30.63</v>
      </c>
    </row>
    <row r="8889" spans="1:16" x14ac:dyDescent="0.25">
      <c r="A8889" t="s">
        <v>3296</v>
      </c>
      <c r="B8889" t="s">
        <v>2931</v>
      </c>
      <c r="C8889">
        <v>13657</v>
      </c>
      <c r="D8889" t="str">
        <f>"1373055     "</f>
        <v xml:space="preserve">1373055     </v>
      </c>
      <c r="E8889" t="s">
        <v>353</v>
      </c>
      <c r="F8889" t="s">
        <v>355</v>
      </c>
      <c r="G8889">
        <v>337.24</v>
      </c>
      <c r="H8889">
        <v>250930</v>
      </c>
      <c r="I8889">
        <v>4600</v>
      </c>
      <c r="J8889" t="s">
        <v>278</v>
      </c>
      <c r="K8889">
        <v>337.24</v>
      </c>
      <c r="L8889">
        <v>68.52</v>
      </c>
      <c r="M8889">
        <v>56568</v>
      </c>
      <c r="N8889" t="s">
        <v>354</v>
      </c>
      <c r="O8889">
        <v>251013</v>
      </c>
      <c r="P8889">
        <v>268.72000000000003</v>
      </c>
    </row>
    <row r="8890" spans="1:16" x14ac:dyDescent="0.25">
      <c r="A8890" t="s">
        <v>3296</v>
      </c>
      <c r="B8890" t="s">
        <v>2931</v>
      </c>
      <c r="C8890">
        <v>13665</v>
      </c>
      <c r="D8890" t="str">
        <f>"1373045     "</f>
        <v xml:space="preserve">1373045     </v>
      </c>
      <c r="E8890" t="s">
        <v>353</v>
      </c>
      <c r="F8890" t="s">
        <v>355</v>
      </c>
      <c r="G8890">
        <v>152.4</v>
      </c>
      <c r="H8890">
        <v>251001</v>
      </c>
      <c r="I8890">
        <v>4600</v>
      </c>
      <c r="J8890" t="s">
        <v>278</v>
      </c>
      <c r="K8890">
        <v>152.4</v>
      </c>
      <c r="L8890">
        <v>30.97</v>
      </c>
      <c r="M8890">
        <v>56568</v>
      </c>
      <c r="N8890" t="s">
        <v>354</v>
      </c>
      <c r="O8890">
        <v>251013</v>
      </c>
      <c r="P8890">
        <v>121.43</v>
      </c>
    </row>
    <row r="8891" spans="1:16" x14ac:dyDescent="0.25">
      <c r="A8891" t="s">
        <v>3296</v>
      </c>
      <c r="B8891" t="s">
        <v>2931</v>
      </c>
      <c r="C8891">
        <v>13676</v>
      </c>
      <c r="D8891" t="str">
        <f>"1373050     "</f>
        <v xml:space="preserve">1373050     </v>
      </c>
      <c r="E8891" t="s">
        <v>353</v>
      </c>
      <c r="F8891" t="s">
        <v>355</v>
      </c>
      <c r="G8891">
        <v>22.01</v>
      </c>
      <c r="H8891">
        <v>250930</v>
      </c>
      <c r="I8891">
        <v>4600</v>
      </c>
      <c r="J8891" t="s">
        <v>278</v>
      </c>
      <c r="K8891">
        <v>22.01</v>
      </c>
      <c r="L8891">
        <v>4.47</v>
      </c>
      <c r="M8891">
        <v>56568</v>
      </c>
      <c r="N8891" t="s">
        <v>354</v>
      </c>
      <c r="O8891">
        <v>251013</v>
      </c>
      <c r="P8891">
        <v>17.54</v>
      </c>
    </row>
    <row r="8892" spans="1:16" x14ac:dyDescent="0.25">
      <c r="A8892" t="s">
        <v>3296</v>
      </c>
      <c r="B8892" t="s">
        <v>2931</v>
      </c>
      <c r="C8892">
        <v>13774</v>
      </c>
      <c r="D8892" t="str">
        <f>"1373046     "</f>
        <v xml:space="preserve">1373046     </v>
      </c>
      <c r="E8892" t="s">
        <v>353</v>
      </c>
      <c r="F8892" t="s">
        <v>355</v>
      </c>
      <c r="G8892">
        <v>18.3</v>
      </c>
      <c r="H8892">
        <v>251001</v>
      </c>
      <c r="I8892">
        <v>4600</v>
      </c>
      <c r="J8892" t="s">
        <v>278</v>
      </c>
      <c r="K8892">
        <v>73.36</v>
      </c>
      <c r="L8892">
        <v>3.72</v>
      </c>
      <c r="M8892">
        <v>56565</v>
      </c>
      <c r="N8892" t="s">
        <v>57</v>
      </c>
      <c r="O8892">
        <v>251020</v>
      </c>
      <c r="P8892">
        <v>14.58</v>
      </c>
    </row>
    <row r="8893" spans="1:16" x14ac:dyDescent="0.25">
      <c r="A8893" t="s">
        <v>3296</v>
      </c>
      <c r="B8893" t="s">
        <v>2931</v>
      </c>
      <c r="C8893">
        <v>13774</v>
      </c>
      <c r="D8893" t="str">
        <f>"1373046     "</f>
        <v xml:space="preserve">1373046     </v>
      </c>
      <c r="E8893" t="s">
        <v>353</v>
      </c>
      <c r="F8893" t="s">
        <v>355</v>
      </c>
      <c r="G8893">
        <v>55.06</v>
      </c>
      <c r="H8893">
        <v>251001</v>
      </c>
      <c r="I8893">
        <v>4600</v>
      </c>
      <c r="J8893" t="s">
        <v>278</v>
      </c>
      <c r="K8893">
        <v>73.36</v>
      </c>
      <c r="L8893">
        <v>11.19</v>
      </c>
      <c r="M8893">
        <v>56573</v>
      </c>
      <c r="N8893" t="s">
        <v>843</v>
      </c>
      <c r="O8893">
        <v>251020</v>
      </c>
      <c r="P8893">
        <v>43.87</v>
      </c>
    </row>
    <row r="8894" spans="1:16" x14ac:dyDescent="0.25">
      <c r="A8894" t="s">
        <v>3296</v>
      </c>
      <c r="B8894" t="s">
        <v>2931</v>
      </c>
      <c r="C8894">
        <v>13775</v>
      </c>
      <c r="D8894" t="str">
        <f>"1373041     "</f>
        <v xml:space="preserve">1373041     </v>
      </c>
      <c r="E8894" t="s">
        <v>353</v>
      </c>
      <c r="F8894" t="s">
        <v>355</v>
      </c>
      <c r="G8894">
        <v>119</v>
      </c>
      <c r="H8894">
        <v>251001</v>
      </c>
      <c r="I8894">
        <v>4600</v>
      </c>
      <c r="J8894" t="s">
        <v>278</v>
      </c>
      <c r="K8894">
        <v>119</v>
      </c>
      <c r="L8894">
        <v>24.18</v>
      </c>
      <c r="M8894">
        <v>56565</v>
      </c>
      <c r="N8894" t="s">
        <v>57</v>
      </c>
      <c r="O8894">
        <v>251020</v>
      </c>
      <c r="P8894">
        <v>94.82</v>
      </c>
    </row>
    <row r="8895" spans="1:16" x14ac:dyDescent="0.25">
      <c r="A8895" t="s">
        <v>3296</v>
      </c>
      <c r="B8895" t="s">
        <v>2931</v>
      </c>
      <c r="C8895">
        <v>14024</v>
      </c>
      <c r="D8895" t="str">
        <f>"1374257     "</f>
        <v xml:space="preserve">1374257     </v>
      </c>
      <c r="E8895" t="s">
        <v>353</v>
      </c>
      <c r="F8895" t="s">
        <v>355</v>
      </c>
      <c r="G8895">
        <v>-204.37</v>
      </c>
      <c r="H8895">
        <v>251021</v>
      </c>
      <c r="I8895">
        <v>4600</v>
      </c>
      <c r="J8895" t="s">
        <v>278</v>
      </c>
      <c r="K8895">
        <v>-204.37</v>
      </c>
      <c r="L8895">
        <v>-41.53</v>
      </c>
      <c r="M8895">
        <v>56568</v>
      </c>
      <c r="N8895" t="s">
        <v>354</v>
      </c>
      <c r="O8895">
        <v>251022</v>
      </c>
      <c r="P8895">
        <v>-162.84</v>
      </c>
    </row>
    <row r="8896" spans="1:16" x14ac:dyDescent="0.25">
      <c r="A8896" t="s">
        <v>3296</v>
      </c>
      <c r="B8896" t="s">
        <v>2931</v>
      </c>
      <c r="C8896">
        <v>14025</v>
      </c>
      <c r="D8896" t="str">
        <f>"1374258     "</f>
        <v xml:space="preserve">1374258     </v>
      </c>
      <c r="E8896" t="s">
        <v>353</v>
      </c>
      <c r="F8896" t="s">
        <v>355</v>
      </c>
      <c r="G8896">
        <v>-14.17</v>
      </c>
      <c r="H8896">
        <v>251021</v>
      </c>
      <c r="I8896">
        <v>4600</v>
      </c>
      <c r="J8896" t="s">
        <v>278</v>
      </c>
      <c r="K8896">
        <v>-14.17</v>
      </c>
      <c r="L8896">
        <v>-2.88</v>
      </c>
      <c r="M8896">
        <v>56568</v>
      </c>
      <c r="N8896" t="s">
        <v>354</v>
      </c>
      <c r="O8896">
        <v>251022</v>
      </c>
      <c r="P8896">
        <v>-11.29</v>
      </c>
    </row>
    <row r="8897" spans="1:16" x14ac:dyDescent="0.25">
      <c r="A8897" t="s">
        <v>3296</v>
      </c>
      <c r="B8897" t="s">
        <v>2931</v>
      </c>
      <c r="C8897">
        <v>14042</v>
      </c>
      <c r="D8897" t="str">
        <f>"1374249     "</f>
        <v xml:space="preserve">1374249     </v>
      </c>
      <c r="E8897" t="s">
        <v>353</v>
      </c>
      <c r="F8897" t="s">
        <v>355</v>
      </c>
      <c r="G8897">
        <v>19.8</v>
      </c>
      <c r="H8897">
        <v>251021</v>
      </c>
      <c r="I8897">
        <v>4600</v>
      </c>
      <c r="J8897" t="s">
        <v>278</v>
      </c>
      <c r="K8897">
        <v>19.8</v>
      </c>
      <c r="L8897">
        <v>4.0199999999999996</v>
      </c>
      <c r="M8897">
        <v>56568</v>
      </c>
      <c r="N8897" t="s">
        <v>354</v>
      </c>
      <c r="O8897">
        <v>251022</v>
      </c>
      <c r="P8897">
        <v>15.78</v>
      </c>
    </row>
    <row r="8898" spans="1:16" x14ac:dyDescent="0.25">
      <c r="A8898" t="s">
        <v>3296</v>
      </c>
      <c r="B8898" t="s">
        <v>2931</v>
      </c>
      <c r="C8898">
        <v>14043</v>
      </c>
      <c r="D8898" t="str">
        <f>"1374252     "</f>
        <v xml:space="preserve">1374252     </v>
      </c>
      <c r="E8898" t="s">
        <v>353</v>
      </c>
      <c r="F8898" t="s">
        <v>355</v>
      </c>
      <c r="G8898">
        <v>16</v>
      </c>
      <c r="H8898">
        <v>251021</v>
      </c>
      <c r="I8898">
        <v>4600</v>
      </c>
      <c r="J8898" t="s">
        <v>278</v>
      </c>
      <c r="K8898">
        <v>16</v>
      </c>
      <c r="L8898">
        <v>3.25</v>
      </c>
      <c r="M8898">
        <v>56568</v>
      </c>
      <c r="N8898" t="s">
        <v>354</v>
      </c>
      <c r="O8898">
        <v>251022</v>
      </c>
      <c r="P8898">
        <v>12.75</v>
      </c>
    </row>
    <row r="8899" spans="1:16" x14ac:dyDescent="0.25">
      <c r="A8899" t="s">
        <v>3296</v>
      </c>
      <c r="B8899" t="s">
        <v>2931</v>
      </c>
      <c r="C8899">
        <v>14044</v>
      </c>
      <c r="D8899" t="str">
        <f>"1374242     "</f>
        <v xml:space="preserve">1374242     </v>
      </c>
      <c r="E8899" t="s">
        <v>353</v>
      </c>
      <c r="F8899" t="s">
        <v>355</v>
      </c>
      <c r="G8899">
        <v>42.9</v>
      </c>
      <c r="H8899">
        <v>251021</v>
      </c>
      <c r="I8899">
        <v>4600</v>
      </c>
      <c r="J8899" t="s">
        <v>278</v>
      </c>
      <c r="K8899">
        <v>42.9</v>
      </c>
      <c r="L8899">
        <v>8.7200000000000006</v>
      </c>
      <c r="M8899">
        <v>56568</v>
      </c>
      <c r="N8899" t="s">
        <v>354</v>
      </c>
      <c r="O8899">
        <v>251022</v>
      </c>
      <c r="P8899">
        <v>34.18</v>
      </c>
    </row>
    <row r="8900" spans="1:16" x14ac:dyDescent="0.25">
      <c r="A8900" t="s">
        <v>3296</v>
      </c>
      <c r="B8900" t="s">
        <v>2931</v>
      </c>
      <c r="C8900">
        <v>14057</v>
      </c>
      <c r="D8900" t="str">
        <f>"1374247     "</f>
        <v xml:space="preserve">1374247     </v>
      </c>
      <c r="E8900" t="s">
        <v>353</v>
      </c>
      <c r="F8900" t="s">
        <v>355</v>
      </c>
      <c r="G8900">
        <v>19.690000000000001</v>
      </c>
      <c r="H8900">
        <v>251021</v>
      </c>
      <c r="I8900">
        <v>4600</v>
      </c>
      <c r="J8900" t="s">
        <v>278</v>
      </c>
      <c r="K8900">
        <v>19.690000000000001</v>
      </c>
      <c r="L8900">
        <v>4</v>
      </c>
      <c r="M8900">
        <v>56568</v>
      </c>
      <c r="N8900" t="s">
        <v>354</v>
      </c>
      <c r="O8900">
        <v>251022</v>
      </c>
      <c r="P8900">
        <v>15.69</v>
      </c>
    </row>
    <row r="8901" spans="1:16" x14ac:dyDescent="0.25">
      <c r="A8901" t="s">
        <v>3296</v>
      </c>
      <c r="B8901" t="s">
        <v>2931</v>
      </c>
      <c r="C8901">
        <v>14059</v>
      </c>
      <c r="D8901" t="str">
        <f>"1374253     "</f>
        <v xml:space="preserve">1374253     </v>
      </c>
      <c r="E8901" t="s">
        <v>353</v>
      </c>
      <c r="F8901" t="s">
        <v>355</v>
      </c>
      <c r="G8901">
        <v>17.559999999999999</v>
      </c>
      <c r="H8901">
        <v>251021</v>
      </c>
      <c r="I8901">
        <v>4600</v>
      </c>
      <c r="J8901" t="s">
        <v>278</v>
      </c>
      <c r="K8901">
        <v>17.559999999999999</v>
      </c>
      <c r="L8901">
        <v>3.57</v>
      </c>
      <c r="M8901">
        <v>56568</v>
      </c>
      <c r="N8901" t="s">
        <v>354</v>
      </c>
      <c r="O8901">
        <v>251022</v>
      </c>
      <c r="P8901">
        <v>13.99</v>
      </c>
    </row>
    <row r="8902" spans="1:16" x14ac:dyDescent="0.25">
      <c r="A8902" t="s">
        <v>3296</v>
      </c>
      <c r="B8902" t="s">
        <v>2931</v>
      </c>
      <c r="C8902">
        <v>14060</v>
      </c>
      <c r="D8902" t="str">
        <f>"1374261     "</f>
        <v xml:space="preserve">1374261     </v>
      </c>
      <c r="E8902" t="s">
        <v>353</v>
      </c>
      <c r="F8902" t="s">
        <v>355</v>
      </c>
      <c r="G8902">
        <v>35</v>
      </c>
      <c r="H8902">
        <v>251021</v>
      </c>
      <c r="I8902">
        <v>4600</v>
      </c>
      <c r="J8902" t="s">
        <v>278</v>
      </c>
      <c r="K8902">
        <v>35</v>
      </c>
      <c r="L8902">
        <v>7.11</v>
      </c>
      <c r="M8902">
        <v>56568</v>
      </c>
      <c r="N8902" t="s">
        <v>354</v>
      </c>
      <c r="O8902">
        <v>251022</v>
      </c>
      <c r="P8902">
        <v>27.89</v>
      </c>
    </row>
    <row r="8903" spans="1:16" x14ac:dyDescent="0.25">
      <c r="A8903" t="s">
        <v>3296</v>
      </c>
      <c r="B8903" t="s">
        <v>2931</v>
      </c>
      <c r="C8903">
        <v>14061</v>
      </c>
      <c r="D8903" t="str">
        <f>"1374256     "</f>
        <v xml:space="preserve">1374256     </v>
      </c>
      <c r="E8903" t="s">
        <v>353</v>
      </c>
      <c r="F8903" t="s">
        <v>355</v>
      </c>
      <c r="G8903">
        <v>104.92</v>
      </c>
      <c r="H8903">
        <v>251021</v>
      </c>
      <c r="I8903">
        <v>4600</v>
      </c>
      <c r="J8903" t="s">
        <v>278</v>
      </c>
      <c r="K8903">
        <v>104.92</v>
      </c>
      <c r="L8903">
        <v>21.32</v>
      </c>
      <c r="M8903">
        <v>56568</v>
      </c>
      <c r="N8903" t="s">
        <v>354</v>
      </c>
      <c r="O8903">
        <v>251022</v>
      </c>
      <c r="P8903">
        <v>83.6</v>
      </c>
    </row>
    <row r="8904" spans="1:16" x14ac:dyDescent="0.25">
      <c r="A8904" t="s">
        <v>3296</v>
      </c>
      <c r="B8904" t="s">
        <v>2931</v>
      </c>
      <c r="C8904">
        <v>14062</v>
      </c>
      <c r="D8904" t="str">
        <f>"1374248     "</f>
        <v xml:space="preserve">1374248     </v>
      </c>
      <c r="E8904" t="s">
        <v>353</v>
      </c>
      <c r="F8904" t="s">
        <v>355</v>
      </c>
      <c r="G8904">
        <v>153.33000000000001</v>
      </c>
      <c r="H8904">
        <v>251021</v>
      </c>
      <c r="I8904">
        <v>4600</v>
      </c>
      <c r="J8904" t="s">
        <v>278</v>
      </c>
      <c r="K8904">
        <v>153.33000000000001</v>
      </c>
      <c r="L8904">
        <v>31.15</v>
      </c>
      <c r="M8904">
        <v>56568</v>
      </c>
      <c r="N8904" t="s">
        <v>354</v>
      </c>
      <c r="O8904">
        <v>251022</v>
      </c>
      <c r="P8904">
        <v>122.18</v>
      </c>
    </row>
    <row r="8905" spans="1:16" x14ac:dyDescent="0.25">
      <c r="A8905" t="s">
        <v>3296</v>
      </c>
      <c r="B8905" t="s">
        <v>2931</v>
      </c>
      <c r="C8905">
        <v>14063</v>
      </c>
      <c r="D8905" t="str">
        <f>"1374260     "</f>
        <v xml:space="preserve">1374260     </v>
      </c>
      <c r="E8905" t="s">
        <v>353</v>
      </c>
      <c r="F8905" t="s">
        <v>355</v>
      </c>
      <c r="G8905">
        <v>51.15</v>
      </c>
      <c r="H8905">
        <v>251021</v>
      </c>
      <c r="I8905">
        <v>4600</v>
      </c>
      <c r="J8905" t="s">
        <v>278</v>
      </c>
      <c r="K8905">
        <v>51.15</v>
      </c>
      <c r="L8905">
        <v>10.39</v>
      </c>
      <c r="M8905">
        <v>56568</v>
      </c>
      <c r="N8905" t="s">
        <v>354</v>
      </c>
      <c r="O8905">
        <v>251022</v>
      </c>
      <c r="P8905">
        <v>40.76</v>
      </c>
    </row>
    <row r="8906" spans="1:16" x14ac:dyDescent="0.25">
      <c r="A8906" t="s">
        <v>3296</v>
      </c>
      <c r="B8906" t="s">
        <v>2931</v>
      </c>
      <c r="C8906">
        <v>14064</v>
      </c>
      <c r="D8906" t="str">
        <f>"1374244     "</f>
        <v xml:space="preserve">1374244     </v>
      </c>
      <c r="E8906" t="s">
        <v>353</v>
      </c>
      <c r="F8906" t="s">
        <v>355</v>
      </c>
      <c r="G8906">
        <v>2.8</v>
      </c>
      <c r="H8906">
        <v>251021</v>
      </c>
      <c r="I8906">
        <v>4600</v>
      </c>
      <c r="J8906" t="s">
        <v>278</v>
      </c>
      <c r="K8906">
        <v>2.8</v>
      </c>
      <c r="L8906">
        <v>0.56999999999999995</v>
      </c>
      <c r="M8906">
        <v>56568</v>
      </c>
      <c r="N8906" t="s">
        <v>354</v>
      </c>
      <c r="O8906">
        <v>251022</v>
      </c>
      <c r="P8906">
        <v>2.23</v>
      </c>
    </row>
    <row r="8907" spans="1:16" x14ac:dyDescent="0.25">
      <c r="A8907" t="s">
        <v>3296</v>
      </c>
      <c r="B8907" t="s">
        <v>2931</v>
      </c>
      <c r="C8907">
        <v>14065</v>
      </c>
      <c r="D8907" t="str">
        <f>"1374243     "</f>
        <v xml:space="preserve">1374243     </v>
      </c>
      <c r="E8907" t="s">
        <v>353</v>
      </c>
      <c r="F8907" t="s">
        <v>355</v>
      </c>
      <c r="G8907">
        <v>24.75</v>
      </c>
      <c r="H8907">
        <v>251021</v>
      </c>
      <c r="I8907">
        <v>4600</v>
      </c>
      <c r="J8907" t="s">
        <v>278</v>
      </c>
      <c r="K8907">
        <v>24.75</v>
      </c>
      <c r="L8907">
        <v>5.03</v>
      </c>
      <c r="M8907">
        <v>56568</v>
      </c>
      <c r="N8907" t="s">
        <v>354</v>
      </c>
      <c r="O8907">
        <v>251022</v>
      </c>
      <c r="P8907">
        <v>19.72</v>
      </c>
    </row>
    <row r="8908" spans="1:16" x14ac:dyDescent="0.25">
      <c r="A8908" t="s">
        <v>3296</v>
      </c>
      <c r="B8908" t="s">
        <v>2931</v>
      </c>
      <c r="C8908">
        <v>14066</v>
      </c>
      <c r="D8908" t="str">
        <f>"1374246     "</f>
        <v xml:space="preserve">1374246     </v>
      </c>
      <c r="E8908" t="s">
        <v>353</v>
      </c>
      <c r="F8908" t="s">
        <v>355</v>
      </c>
      <c r="G8908">
        <v>43.24</v>
      </c>
      <c r="H8908">
        <v>251021</v>
      </c>
      <c r="I8908">
        <v>4600</v>
      </c>
      <c r="J8908" t="s">
        <v>278</v>
      </c>
      <c r="K8908">
        <v>43.24</v>
      </c>
      <c r="L8908">
        <v>8.7899999999999991</v>
      </c>
      <c r="M8908">
        <v>56568</v>
      </c>
      <c r="N8908" t="s">
        <v>354</v>
      </c>
      <c r="O8908">
        <v>251022</v>
      </c>
      <c r="P8908">
        <v>34.450000000000003</v>
      </c>
    </row>
    <row r="8909" spans="1:16" x14ac:dyDescent="0.25">
      <c r="A8909" t="s">
        <v>3296</v>
      </c>
      <c r="B8909" t="s">
        <v>2931</v>
      </c>
      <c r="C8909">
        <v>14067</v>
      </c>
      <c r="D8909" t="str">
        <f>"1374254     "</f>
        <v xml:space="preserve">1374254     </v>
      </c>
      <c r="E8909" t="s">
        <v>353</v>
      </c>
      <c r="F8909" t="s">
        <v>355</v>
      </c>
      <c r="G8909">
        <v>64.48</v>
      </c>
      <c r="H8909">
        <v>251021</v>
      </c>
      <c r="I8909">
        <v>4600</v>
      </c>
      <c r="J8909" t="s">
        <v>278</v>
      </c>
      <c r="K8909">
        <v>64.48</v>
      </c>
      <c r="L8909">
        <v>13.1</v>
      </c>
      <c r="M8909">
        <v>56568</v>
      </c>
      <c r="N8909" t="s">
        <v>354</v>
      </c>
      <c r="O8909">
        <v>251022</v>
      </c>
      <c r="P8909">
        <v>51.38</v>
      </c>
    </row>
    <row r="8910" spans="1:16" x14ac:dyDescent="0.25">
      <c r="A8910" t="s">
        <v>3296</v>
      </c>
      <c r="B8910" t="s">
        <v>2931</v>
      </c>
      <c r="C8910">
        <v>14121</v>
      </c>
      <c r="D8910" t="str">
        <f>"1374250     "</f>
        <v xml:space="preserve">1374250     </v>
      </c>
      <c r="E8910" t="s">
        <v>353</v>
      </c>
      <c r="F8910" t="s">
        <v>355</v>
      </c>
      <c r="G8910">
        <v>109.31</v>
      </c>
      <c r="H8910">
        <v>251021</v>
      </c>
      <c r="I8910">
        <v>4600</v>
      </c>
      <c r="J8910" t="s">
        <v>278</v>
      </c>
      <c r="K8910">
        <v>109.31</v>
      </c>
      <c r="L8910">
        <v>22.21</v>
      </c>
      <c r="M8910">
        <v>56565</v>
      </c>
      <c r="N8910" t="s">
        <v>57</v>
      </c>
      <c r="O8910">
        <v>251024</v>
      </c>
      <c r="P8910">
        <v>87.1</v>
      </c>
    </row>
    <row r="8911" spans="1:16" x14ac:dyDescent="0.25">
      <c r="A8911" t="s">
        <v>3296</v>
      </c>
      <c r="B8911" t="s">
        <v>2931</v>
      </c>
      <c r="C8911">
        <v>14124</v>
      </c>
      <c r="D8911" t="str">
        <f>"1374251     "</f>
        <v xml:space="preserve">1374251     </v>
      </c>
      <c r="E8911" t="s">
        <v>353</v>
      </c>
      <c r="F8911" t="s">
        <v>355</v>
      </c>
      <c r="G8911">
        <v>249.32</v>
      </c>
      <c r="H8911">
        <v>251021</v>
      </c>
      <c r="I8911">
        <v>4600</v>
      </c>
      <c r="J8911" t="s">
        <v>278</v>
      </c>
      <c r="K8911">
        <v>249.32</v>
      </c>
      <c r="L8911">
        <v>50.66</v>
      </c>
      <c r="M8911">
        <v>56568</v>
      </c>
      <c r="N8911" t="s">
        <v>354</v>
      </c>
      <c r="O8911">
        <v>251024</v>
      </c>
      <c r="P8911">
        <v>198.66</v>
      </c>
    </row>
    <row r="8912" spans="1:16" x14ac:dyDescent="0.25">
      <c r="A8912" t="s">
        <v>3296</v>
      </c>
      <c r="B8912" t="s">
        <v>2931</v>
      </c>
      <c r="C8912">
        <v>14892</v>
      </c>
      <c r="D8912" t="str">
        <f>"1375507     "</f>
        <v xml:space="preserve">1375507     </v>
      </c>
      <c r="E8912" t="s">
        <v>353</v>
      </c>
      <c r="F8912" t="s">
        <v>355</v>
      </c>
      <c r="G8912">
        <v>-52.7</v>
      </c>
      <c r="H8912">
        <v>251031</v>
      </c>
      <c r="I8912">
        <v>4600</v>
      </c>
      <c r="J8912" t="s">
        <v>278</v>
      </c>
      <c r="K8912">
        <v>-52.7</v>
      </c>
      <c r="L8912">
        <v>-10.71</v>
      </c>
      <c r="M8912">
        <v>56568</v>
      </c>
      <c r="N8912" t="s">
        <v>354</v>
      </c>
      <c r="O8912">
        <v>251107</v>
      </c>
      <c r="P8912">
        <v>-41.99</v>
      </c>
    </row>
    <row r="8913" spans="1:16" x14ac:dyDescent="0.25">
      <c r="A8913" t="s">
        <v>3296</v>
      </c>
      <c r="B8913" t="s">
        <v>2931</v>
      </c>
      <c r="C8913">
        <v>14893</v>
      </c>
      <c r="D8913" t="str">
        <f>"1375528     "</f>
        <v xml:space="preserve">1375528     </v>
      </c>
      <c r="E8913" t="s">
        <v>353</v>
      </c>
      <c r="F8913" t="s">
        <v>355</v>
      </c>
      <c r="G8913">
        <v>-42.11</v>
      </c>
      <c r="H8913">
        <v>251031</v>
      </c>
      <c r="I8913">
        <v>4600</v>
      </c>
      <c r="J8913" t="s">
        <v>278</v>
      </c>
      <c r="K8913">
        <v>-42.11</v>
      </c>
      <c r="L8913">
        <v>-8.56</v>
      </c>
      <c r="M8913">
        <v>56568</v>
      </c>
      <c r="N8913" t="s">
        <v>354</v>
      </c>
      <c r="O8913">
        <v>251107</v>
      </c>
      <c r="P8913">
        <v>-33.549999999999997</v>
      </c>
    </row>
    <row r="8914" spans="1:16" x14ac:dyDescent="0.25">
      <c r="A8914" t="s">
        <v>3296</v>
      </c>
      <c r="B8914" t="s">
        <v>2931</v>
      </c>
      <c r="C8914">
        <v>14894</v>
      </c>
      <c r="D8914" t="str">
        <f>"1375508     "</f>
        <v xml:space="preserve">1375508     </v>
      </c>
      <c r="E8914" t="s">
        <v>353</v>
      </c>
      <c r="F8914" t="s">
        <v>355</v>
      </c>
      <c r="G8914">
        <v>-45.2</v>
      </c>
      <c r="H8914">
        <v>251031</v>
      </c>
      <c r="I8914">
        <v>4600</v>
      </c>
      <c r="J8914" t="s">
        <v>278</v>
      </c>
      <c r="K8914">
        <v>-45.2</v>
      </c>
      <c r="L8914">
        <v>-9.18</v>
      </c>
      <c r="M8914">
        <v>56568</v>
      </c>
      <c r="N8914" t="s">
        <v>354</v>
      </c>
      <c r="O8914">
        <v>251107</v>
      </c>
      <c r="P8914">
        <v>-36.020000000000003</v>
      </c>
    </row>
    <row r="8915" spans="1:16" x14ac:dyDescent="0.25">
      <c r="A8915" t="s">
        <v>3296</v>
      </c>
      <c r="B8915" t="s">
        <v>2931</v>
      </c>
      <c r="C8915">
        <v>14895</v>
      </c>
      <c r="D8915" t="str">
        <f>"1375485     "</f>
        <v xml:space="preserve">1375485     </v>
      </c>
      <c r="E8915" t="s">
        <v>353</v>
      </c>
      <c r="F8915" t="s">
        <v>355</v>
      </c>
      <c r="G8915">
        <v>-17.5</v>
      </c>
      <c r="H8915">
        <v>251031</v>
      </c>
      <c r="I8915">
        <v>4600</v>
      </c>
      <c r="J8915" t="s">
        <v>278</v>
      </c>
      <c r="K8915">
        <v>-17.5</v>
      </c>
      <c r="L8915">
        <v>-3.56</v>
      </c>
      <c r="M8915">
        <v>56568</v>
      </c>
      <c r="N8915" t="s">
        <v>354</v>
      </c>
      <c r="O8915">
        <v>251107</v>
      </c>
      <c r="P8915">
        <v>-13.94</v>
      </c>
    </row>
    <row r="8916" spans="1:16" x14ac:dyDescent="0.25">
      <c r="A8916" t="s">
        <v>3296</v>
      </c>
      <c r="B8916" t="s">
        <v>2931</v>
      </c>
      <c r="C8916">
        <v>14913</v>
      </c>
      <c r="D8916" t="str">
        <f>"1375523     "</f>
        <v xml:space="preserve">1375523     </v>
      </c>
      <c r="E8916" t="s">
        <v>353</v>
      </c>
      <c r="F8916" t="s">
        <v>355</v>
      </c>
      <c r="G8916">
        <v>14.41</v>
      </c>
      <c r="H8916">
        <v>251031</v>
      </c>
      <c r="I8916">
        <v>4600</v>
      </c>
      <c r="J8916" t="s">
        <v>278</v>
      </c>
      <c r="K8916">
        <v>14.41</v>
      </c>
      <c r="L8916">
        <v>2.93</v>
      </c>
      <c r="M8916">
        <v>56568</v>
      </c>
      <c r="N8916" t="s">
        <v>354</v>
      </c>
      <c r="O8916">
        <v>251107</v>
      </c>
      <c r="P8916">
        <v>11.48</v>
      </c>
    </row>
    <row r="8917" spans="1:16" x14ac:dyDescent="0.25">
      <c r="A8917" t="s">
        <v>3296</v>
      </c>
      <c r="B8917" t="s">
        <v>2931</v>
      </c>
      <c r="C8917">
        <v>14914</v>
      </c>
      <c r="D8917" t="str">
        <f>"1375488     "</f>
        <v xml:space="preserve">1375488     </v>
      </c>
      <c r="E8917" t="s">
        <v>353</v>
      </c>
      <c r="F8917" t="s">
        <v>355</v>
      </c>
      <c r="G8917">
        <v>31</v>
      </c>
      <c r="H8917">
        <v>251031</v>
      </c>
      <c r="I8917">
        <v>4600</v>
      </c>
      <c r="J8917" t="s">
        <v>278</v>
      </c>
      <c r="K8917">
        <v>31</v>
      </c>
      <c r="L8917">
        <v>6.3</v>
      </c>
      <c r="M8917">
        <v>56568</v>
      </c>
      <c r="N8917" t="s">
        <v>354</v>
      </c>
      <c r="O8917">
        <v>251107</v>
      </c>
      <c r="P8917">
        <v>24.7</v>
      </c>
    </row>
    <row r="8918" spans="1:16" x14ac:dyDescent="0.25">
      <c r="A8918" t="s">
        <v>3296</v>
      </c>
      <c r="B8918" t="s">
        <v>2931</v>
      </c>
      <c r="C8918">
        <v>14947</v>
      </c>
      <c r="D8918" t="str">
        <f>"1375492     "</f>
        <v xml:space="preserve">1375492     </v>
      </c>
      <c r="E8918" t="s">
        <v>353</v>
      </c>
      <c r="F8918" t="s">
        <v>355</v>
      </c>
      <c r="G8918">
        <v>8.68</v>
      </c>
      <c r="H8918">
        <v>251031</v>
      </c>
      <c r="I8918">
        <v>4600</v>
      </c>
      <c r="J8918" t="s">
        <v>278</v>
      </c>
      <c r="K8918">
        <v>8.68</v>
      </c>
      <c r="L8918">
        <v>1.76</v>
      </c>
      <c r="M8918">
        <v>56568</v>
      </c>
      <c r="N8918" t="s">
        <v>354</v>
      </c>
      <c r="O8918">
        <v>251110</v>
      </c>
      <c r="P8918">
        <v>6.92</v>
      </c>
    </row>
    <row r="8919" spans="1:16" x14ac:dyDescent="0.25">
      <c r="A8919" t="s">
        <v>3296</v>
      </c>
      <c r="B8919" t="s">
        <v>2931</v>
      </c>
      <c r="C8919">
        <v>14955</v>
      </c>
      <c r="D8919" t="str">
        <f>"1375493     "</f>
        <v xml:space="preserve">1375493     </v>
      </c>
      <c r="E8919" t="s">
        <v>353</v>
      </c>
      <c r="F8919" t="s">
        <v>355</v>
      </c>
      <c r="G8919">
        <v>29.64</v>
      </c>
      <c r="H8919">
        <v>251031</v>
      </c>
      <c r="I8919">
        <v>4600</v>
      </c>
      <c r="J8919" t="s">
        <v>278</v>
      </c>
      <c r="K8919">
        <v>29.64</v>
      </c>
      <c r="L8919">
        <v>6.02</v>
      </c>
      <c r="M8919">
        <v>56568</v>
      </c>
      <c r="N8919" t="s">
        <v>354</v>
      </c>
      <c r="O8919">
        <v>251110</v>
      </c>
      <c r="P8919">
        <v>23.62</v>
      </c>
    </row>
    <row r="8920" spans="1:16" x14ac:dyDescent="0.25">
      <c r="A8920" t="s">
        <v>3296</v>
      </c>
      <c r="B8920" t="s">
        <v>2931</v>
      </c>
      <c r="C8920">
        <v>14956</v>
      </c>
      <c r="D8920" t="str">
        <f>"1375484     "</f>
        <v xml:space="preserve">1375484     </v>
      </c>
      <c r="E8920" t="s">
        <v>353</v>
      </c>
      <c r="F8920" t="s">
        <v>355</v>
      </c>
      <c r="G8920">
        <v>12.21</v>
      </c>
      <c r="H8920">
        <v>251031</v>
      </c>
      <c r="I8920">
        <v>4600</v>
      </c>
      <c r="J8920" t="s">
        <v>278</v>
      </c>
      <c r="K8920">
        <v>12.21</v>
      </c>
      <c r="L8920">
        <v>2.48</v>
      </c>
      <c r="M8920">
        <v>56568</v>
      </c>
      <c r="N8920" t="s">
        <v>354</v>
      </c>
      <c r="O8920">
        <v>251110</v>
      </c>
      <c r="P8920">
        <v>9.73</v>
      </c>
    </row>
    <row r="8921" spans="1:16" x14ac:dyDescent="0.25">
      <c r="A8921" t="s">
        <v>3296</v>
      </c>
      <c r="B8921" t="s">
        <v>2931</v>
      </c>
      <c r="C8921">
        <v>14958</v>
      </c>
      <c r="D8921" t="str">
        <f>"1375519     "</f>
        <v xml:space="preserve">1375519     </v>
      </c>
      <c r="E8921" t="s">
        <v>353</v>
      </c>
      <c r="F8921" t="s">
        <v>355</v>
      </c>
      <c r="G8921">
        <v>125.5</v>
      </c>
      <c r="H8921">
        <v>251031</v>
      </c>
      <c r="I8921">
        <v>4600</v>
      </c>
      <c r="J8921" t="s">
        <v>278</v>
      </c>
      <c r="K8921">
        <v>125.5</v>
      </c>
      <c r="L8921">
        <v>25.5</v>
      </c>
      <c r="M8921">
        <v>56568</v>
      </c>
      <c r="N8921" t="s">
        <v>354</v>
      </c>
      <c r="O8921">
        <v>251110</v>
      </c>
      <c r="P8921">
        <v>100</v>
      </c>
    </row>
    <row r="8922" spans="1:16" x14ac:dyDescent="0.25">
      <c r="A8922" t="s">
        <v>3296</v>
      </c>
      <c r="B8922" t="s">
        <v>2931</v>
      </c>
      <c r="C8922">
        <v>14960</v>
      </c>
      <c r="D8922" t="str">
        <f>"1375529     "</f>
        <v xml:space="preserve">1375529     </v>
      </c>
      <c r="E8922" t="s">
        <v>353</v>
      </c>
      <c r="F8922" t="s">
        <v>355</v>
      </c>
      <c r="G8922">
        <v>34.17</v>
      </c>
      <c r="H8922">
        <v>251031</v>
      </c>
      <c r="I8922">
        <v>4600</v>
      </c>
      <c r="J8922" t="s">
        <v>278</v>
      </c>
      <c r="K8922">
        <v>34.17</v>
      </c>
      <c r="L8922">
        <v>6.94</v>
      </c>
      <c r="M8922">
        <v>56568</v>
      </c>
      <c r="N8922" t="s">
        <v>354</v>
      </c>
      <c r="O8922">
        <v>251110</v>
      </c>
      <c r="P8922">
        <v>27.23</v>
      </c>
    </row>
    <row r="8923" spans="1:16" x14ac:dyDescent="0.25">
      <c r="A8923" t="s">
        <v>3296</v>
      </c>
      <c r="B8923" t="s">
        <v>2931</v>
      </c>
      <c r="C8923">
        <v>14961</v>
      </c>
      <c r="D8923" t="str">
        <f>"1375524     "</f>
        <v xml:space="preserve">1375524     </v>
      </c>
      <c r="E8923" t="s">
        <v>353</v>
      </c>
      <c r="F8923" t="s">
        <v>355</v>
      </c>
      <c r="G8923">
        <v>24.26</v>
      </c>
      <c r="H8923">
        <v>251031</v>
      </c>
      <c r="I8923">
        <v>4600</v>
      </c>
      <c r="J8923" t="s">
        <v>278</v>
      </c>
      <c r="K8923">
        <v>24.26</v>
      </c>
      <c r="L8923">
        <v>4.93</v>
      </c>
      <c r="M8923">
        <v>56568</v>
      </c>
      <c r="N8923" t="s">
        <v>354</v>
      </c>
      <c r="O8923">
        <v>251110</v>
      </c>
      <c r="P8923">
        <v>19.329999999999998</v>
      </c>
    </row>
    <row r="8924" spans="1:16" x14ac:dyDescent="0.25">
      <c r="A8924" t="s">
        <v>3296</v>
      </c>
      <c r="B8924" t="s">
        <v>2931</v>
      </c>
      <c r="C8924">
        <v>14963</v>
      </c>
      <c r="D8924" t="str">
        <f>"1375534     "</f>
        <v xml:space="preserve">1375534     </v>
      </c>
      <c r="E8924" t="s">
        <v>353</v>
      </c>
      <c r="F8924" t="s">
        <v>355</v>
      </c>
      <c r="G8924">
        <v>59.54</v>
      </c>
      <c r="H8924">
        <v>251031</v>
      </c>
      <c r="I8924">
        <v>4600</v>
      </c>
      <c r="J8924" t="s">
        <v>278</v>
      </c>
      <c r="K8924">
        <v>59.54</v>
      </c>
      <c r="L8924">
        <v>12.1</v>
      </c>
      <c r="M8924">
        <v>67522</v>
      </c>
      <c r="N8924" t="s">
        <v>121</v>
      </c>
      <c r="O8924">
        <v>251110</v>
      </c>
      <c r="P8924">
        <v>47.44</v>
      </c>
    </row>
    <row r="8925" spans="1:16" x14ac:dyDescent="0.25">
      <c r="A8925" t="s">
        <v>3296</v>
      </c>
      <c r="B8925" t="s">
        <v>2931</v>
      </c>
      <c r="C8925">
        <v>14964</v>
      </c>
      <c r="D8925" t="str">
        <f>"1375504     "</f>
        <v xml:space="preserve">1375504     </v>
      </c>
      <c r="E8925" t="s">
        <v>353</v>
      </c>
      <c r="F8925" t="s">
        <v>355</v>
      </c>
      <c r="G8925">
        <v>87.3</v>
      </c>
      <c r="H8925">
        <v>251031</v>
      </c>
      <c r="I8925">
        <v>4600</v>
      </c>
      <c r="J8925" t="s">
        <v>278</v>
      </c>
      <c r="K8925">
        <v>87.3</v>
      </c>
      <c r="L8925">
        <v>17.739999999999998</v>
      </c>
      <c r="M8925">
        <v>56568</v>
      </c>
      <c r="N8925" t="s">
        <v>354</v>
      </c>
      <c r="O8925">
        <v>251110</v>
      </c>
      <c r="P8925">
        <v>69.56</v>
      </c>
    </row>
    <row r="8926" spans="1:16" x14ac:dyDescent="0.25">
      <c r="A8926" t="s">
        <v>3296</v>
      </c>
      <c r="B8926" t="s">
        <v>2931</v>
      </c>
      <c r="C8926">
        <v>14965</v>
      </c>
      <c r="D8926" t="str">
        <f>"1375486     "</f>
        <v xml:space="preserve">1375486     </v>
      </c>
      <c r="E8926" t="s">
        <v>353</v>
      </c>
      <c r="F8926" t="s">
        <v>355</v>
      </c>
      <c r="G8926">
        <v>51.35</v>
      </c>
      <c r="H8926">
        <v>251031</v>
      </c>
      <c r="I8926">
        <v>4600</v>
      </c>
      <c r="J8926" t="s">
        <v>278</v>
      </c>
      <c r="K8926">
        <v>51.35</v>
      </c>
      <c r="L8926">
        <v>10.43</v>
      </c>
      <c r="M8926">
        <v>56568</v>
      </c>
      <c r="N8926" t="s">
        <v>354</v>
      </c>
      <c r="O8926">
        <v>251110</v>
      </c>
      <c r="P8926">
        <v>40.92</v>
      </c>
    </row>
    <row r="8927" spans="1:16" x14ac:dyDescent="0.25">
      <c r="A8927" t="s">
        <v>3296</v>
      </c>
      <c r="B8927" t="s">
        <v>2931</v>
      </c>
      <c r="C8927">
        <v>14966</v>
      </c>
      <c r="D8927" t="str">
        <f>"1375525     "</f>
        <v xml:space="preserve">1375525     </v>
      </c>
      <c r="E8927" t="s">
        <v>353</v>
      </c>
      <c r="F8927" t="s">
        <v>355</v>
      </c>
      <c r="G8927">
        <v>204.48</v>
      </c>
      <c r="H8927">
        <v>251031</v>
      </c>
      <c r="I8927">
        <v>4600</v>
      </c>
      <c r="J8927" t="s">
        <v>278</v>
      </c>
      <c r="K8927">
        <v>204.48</v>
      </c>
      <c r="L8927">
        <v>41.55</v>
      </c>
      <c r="M8927">
        <v>56568</v>
      </c>
      <c r="N8927" t="s">
        <v>354</v>
      </c>
      <c r="O8927">
        <v>251110</v>
      </c>
      <c r="P8927">
        <v>162.93</v>
      </c>
    </row>
    <row r="8928" spans="1:16" x14ac:dyDescent="0.25">
      <c r="A8928" t="s">
        <v>3296</v>
      </c>
      <c r="B8928" t="s">
        <v>2931</v>
      </c>
      <c r="C8928">
        <v>14967</v>
      </c>
      <c r="D8928" t="str">
        <f>"1375489     "</f>
        <v xml:space="preserve">1375489     </v>
      </c>
      <c r="E8928" t="s">
        <v>353</v>
      </c>
      <c r="F8928" t="s">
        <v>355</v>
      </c>
      <c r="G8928">
        <v>250.1</v>
      </c>
      <c r="H8928">
        <v>251031</v>
      </c>
      <c r="I8928">
        <v>4600</v>
      </c>
      <c r="J8928" t="s">
        <v>278</v>
      </c>
      <c r="K8928">
        <v>250.1</v>
      </c>
      <c r="L8928">
        <v>50.82</v>
      </c>
      <c r="M8928">
        <v>56568</v>
      </c>
      <c r="N8928" t="s">
        <v>354</v>
      </c>
      <c r="O8928">
        <v>251110</v>
      </c>
      <c r="P8928">
        <v>199.28</v>
      </c>
    </row>
    <row r="8929" spans="1:16" x14ac:dyDescent="0.25">
      <c r="A8929" t="s">
        <v>3296</v>
      </c>
      <c r="B8929" t="s">
        <v>2931</v>
      </c>
      <c r="C8929">
        <v>14971</v>
      </c>
      <c r="D8929" t="str">
        <f>"1375487     "</f>
        <v xml:space="preserve">1375487     </v>
      </c>
      <c r="E8929" t="s">
        <v>353</v>
      </c>
      <c r="F8929" t="s">
        <v>355</v>
      </c>
      <c r="G8929">
        <v>14.35</v>
      </c>
      <c r="H8929">
        <v>251031</v>
      </c>
      <c r="I8929">
        <v>4600</v>
      </c>
      <c r="J8929" t="s">
        <v>278</v>
      </c>
      <c r="K8929">
        <v>14.35</v>
      </c>
      <c r="L8929">
        <v>2.92</v>
      </c>
      <c r="M8929">
        <v>56568</v>
      </c>
      <c r="N8929" t="s">
        <v>354</v>
      </c>
      <c r="O8929">
        <v>251110</v>
      </c>
      <c r="P8929">
        <v>11.43</v>
      </c>
    </row>
    <row r="8930" spans="1:16" x14ac:dyDescent="0.25">
      <c r="A8930" t="s">
        <v>3296</v>
      </c>
      <c r="B8930" t="s">
        <v>2931</v>
      </c>
      <c r="C8930">
        <v>14974</v>
      </c>
      <c r="D8930" t="str">
        <f>"1375511     "</f>
        <v xml:space="preserve">1375511     </v>
      </c>
      <c r="E8930" t="s">
        <v>353</v>
      </c>
      <c r="F8930" t="s">
        <v>355</v>
      </c>
      <c r="G8930">
        <v>105.84</v>
      </c>
      <c r="H8930">
        <v>251031</v>
      </c>
      <c r="I8930">
        <v>4600</v>
      </c>
      <c r="J8930" t="s">
        <v>278</v>
      </c>
      <c r="K8930">
        <v>105.84</v>
      </c>
      <c r="L8930">
        <v>21.51</v>
      </c>
      <c r="M8930">
        <v>56568</v>
      </c>
      <c r="N8930" t="s">
        <v>354</v>
      </c>
      <c r="O8930">
        <v>251110</v>
      </c>
      <c r="P8930">
        <v>84.33</v>
      </c>
    </row>
    <row r="8931" spans="1:16" x14ac:dyDescent="0.25">
      <c r="A8931" t="s">
        <v>3296</v>
      </c>
      <c r="B8931" t="s">
        <v>2931</v>
      </c>
      <c r="C8931">
        <v>14975</v>
      </c>
      <c r="D8931" t="str">
        <f>"1375513     "</f>
        <v xml:space="preserve">1375513     </v>
      </c>
      <c r="E8931" t="s">
        <v>353</v>
      </c>
      <c r="F8931" t="s">
        <v>355</v>
      </c>
      <c r="G8931">
        <v>25.9</v>
      </c>
      <c r="H8931">
        <v>251031</v>
      </c>
      <c r="I8931">
        <v>4600</v>
      </c>
      <c r="J8931" t="s">
        <v>278</v>
      </c>
      <c r="K8931">
        <v>25.9</v>
      </c>
      <c r="L8931">
        <v>5.26</v>
      </c>
      <c r="M8931">
        <v>56568</v>
      </c>
      <c r="N8931" t="s">
        <v>354</v>
      </c>
      <c r="O8931">
        <v>251110</v>
      </c>
      <c r="P8931">
        <v>20.64</v>
      </c>
    </row>
    <row r="8932" spans="1:16" x14ac:dyDescent="0.25">
      <c r="A8932" t="s">
        <v>3296</v>
      </c>
      <c r="B8932" t="s">
        <v>2931</v>
      </c>
      <c r="C8932">
        <v>14978</v>
      </c>
      <c r="D8932" t="str">
        <f>"1375506     "</f>
        <v xml:space="preserve">1375506     </v>
      </c>
      <c r="E8932" t="s">
        <v>353</v>
      </c>
      <c r="F8932" t="s">
        <v>355</v>
      </c>
      <c r="G8932">
        <v>7.64</v>
      </c>
      <c r="H8932">
        <v>251031</v>
      </c>
      <c r="I8932">
        <v>4600</v>
      </c>
      <c r="J8932" t="s">
        <v>278</v>
      </c>
      <c r="K8932">
        <v>7.64</v>
      </c>
      <c r="L8932">
        <v>1.55</v>
      </c>
      <c r="M8932">
        <v>56568</v>
      </c>
      <c r="N8932" t="s">
        <v>354</v>
      </c>
      <c r="O8932">
        <v>251110</v>
      </c>
      <c r="P8932">
        <v>6.09</v>
      </c>
    </row>
    <row r="8933" spans="1:16" x14ac:dyDescent="0.25">
      <c r="A8933" t="s">
        <v>3296</v>
      </c>
      <c r="B8933" t="s">
        <v>2931</v>
      </c>
      <c r="C8933">
        <v>14988</v>
      </c>
      <c r="D8933" t="str">
        <f>"1375509     "</f>
        <v xml:space="preserve">1375509     </v>
      </c>
      <c r="E8933" t="s">
        <v>353</v>
      </c>
      <c r="F8933" t="s">
        <v>355</v>
      </c>
      <c r="G8933">
        <v>12.56</v>
      </c>
      <c r="H8933">
        <v>251031</v>
      </c>
      <c r="I8933">
        <v>4600</v>
      </c>
      <c r="J8933" t="s">
        <v>278</v>
      </c>
      <c r="K8933">
        <v>12.56</v>
      </c>
      <c r="L8933">
        <v>2.5499999999999998</v>
      </c>
      <c r="M8933">
        <v>56568</v>
      </c>
      <c r="N8933" t="s">
        <v>354</v>
      </c>
      <c r="O8933">
        <v>251110</v>
      </c>
      <c r="P8933">
        <v>10.01</v>
      </c>
    </row>
    <row r="8934" spans="1:16" x14ac:dyDescent="0.25">
      <c r="A8934" t="s">
        <v>3296</v>
      </c>
      <c r="B8934" t="s">
        <v>2931</v>
      </c>
      <c r="C8934">
        <v>14991</v>
      </c>
      <c r="D8934" t="str">
        <f>"1375500     "</f>
        <v xml:space="preserve">1375500     </v>
      </c>
      <c r="E8934" t="s">
        <v>353</v>
      </c>
      <c r="F8934" t="s">
        <v>355</v>
      </c>
      <c r="G8934">
        <v>42.79</v>
      </c>
      <c r="H8934">
        <v>251031</v>
      </c>
      <c r="I8934">
        <v>4600</v>
      </c>
      <c r="J8934" t="s">
        <v>278</v>
      </c>
      <c r="K8934">
        <v>42.79</v>
      </c>
      <c r="L8934">
        <v>8.69</v>
      </c>
      <c r="M8934">
        <v>56568</v>
      </c>
      <c r="N8934" t="s">
        <v>354</v>
      </c>
      <c r="O8934">
        <v>251110</v>
      </c>
      <c r="P8934">
        <v>34.1</v>
      </c>
    </row>
    <row r="8935" spans="1:16" x14ac:dyDescent="0.25">
      <c r="A8935" t="s">
        <v>3296</v>
      </c>
      <c r="B8935" t="s">
        <v>2931</v>
      </c>
      <c r="C8935">
        <v>14992</v>
      </c>
      <c r="D8935" t="str">
        <f>"1375496     "</f>
        <v xml:space="preserve">1375496     </v>
      </c>
      <c r="E8935" t="s">
        <v>353</v>
      </c>
      <c r="F8935" t="s">
        <v>355</v>
      </c>
      <c r="G8935">
        <v>220.87</v>
      </c>
      <c r="H8935">
        <v>251031</v>
      </c>
      <c r="I8935">
        <v>4600</v>
      </c>
      <c r="J8935" t="s">
        <v>278</v>
      </c>
      <c r="K8935">
        <v>220.87</v>
      </c>
      <c r="L8935">
        <v>44.88</v>
      </c>
      <c r="M8935">
        <v>56568</v>
      </c>
      <c r="N8935" t="s">
        <v>354</v>
      </c>
      <c r="O8935">
        <v>251110</v>
      </c>
      <c r="P8935">
        <v>175.99</v>
      </c>
    </row>
    <row r="8936" spans="1:16" x14ac:dyDescent="0.25">
      <c r="A8936" t="s">
        <v>3296</v>
      </c>
      <c r="B8936" t="s">
        <v>2931</v>
      </c>
      <c r="C8936">
        <v>14993</v>
      </c>
      <c r="D8936" t="str">
        <f>"1375515     "</f>
        <v xml:space="preserve">1375515     </v>
      </c>
      <c r="E8936" t="s">
        <v>353</v>
      </c>
      <c r="F8936" t="s">
        <v>355</v>
      </c>
      <c r="G8936">
        <v>82.41</v>
      </c>
      <c r="H8936">
        <v>251031</v>
      </c>
      <c r="I8936">
        <v>4600</v>
      </c>
      <c r="J8936" t="s">
        <v>278</v>
      </c>
      <c r="K8936">
        <v>82.41</v>
      </c>
      <c r="L8936">
        <v>16.739999999999998</v>
      </c>
      <c r="M8936">
        <v>56568</v>
      </c>
      <c r="N8936" t="s">
        <v>354</v>
      </c>
      <c r="O8936">
        <v>251110</v>
      </c>
      <c r="P8936">
        <v>65.67</v>
      </c>
    </row>
    <row r="8937" spans="1:16" x14ac:dyDescent="0.25">
      <c r="A8937" t="s">
        <v>3296</v>
      </c>
      <c r="B8937" t="s">
        <v>2931</v>
      </c>
      <c r="C8937">
        <v>14994</v>
      </c>
      <c r="D8937" t="str">
        <f>"1375517     "</f>
        <v xml:space="preserve">1375517     </v>
      </c>
      <c r="E8937" t="s">
        <v>353</v>
      </c>
      <c r="F8937" t="s">
        <v>355</v>
      </c>
      <c r="G8937">
        <v>99.76</v>
      </c>
      <c r="H8937">
        <v>251031</v>
      </c>
      <c r="I8937">
        <v>4600</v>
      </c>
      <c r="J8937" t="s">
        <v>278</v>
      </c>
      <c r="K8937">
        <v>99.76</v>
      </c>
      <c r="L8937">
        <v>20.27</v>
      </c>
      <c r="M8937">
        <v>56568</v>
      </c>
      <c r="N8937" t="s">
        <v>354</v>
      </c>
      <c r="O8937">
        <v>251110</v>
      </c>
      <c r="P8937">
        <v>79.489999999999995</v>
      </c>
    </row>
    <row r="8938" spans="1:16" x14ac:dyDescent="0.25">
      <c r="A8938" t="s">
        <v>3296</v>
      </c>
      <c r="B8938" t="s">
        <v>2931</v>
      </c>
      <c r="C8938">
        <v>14996</v>
      </c>
      <c r="D8938" t="str">
        <f>"1375521     "</f>
        <v xml:space="preserve">1375521     </v>
      </c>
      <c r="E8938" t="s">
        <v>353</v>
      </c>
      <c r="F8938" t="s">
        <v>355</v>
      </c>
      <c r="G8938">
        <v>21.54</v>
      </c>
      <c r="H8938">
        <v>251031</v>
      </c>
      <c r="I8938">
        <v>4600</v>
      </c>
      <c r="J8938" t="s">
        <v>278</v>
      </c>
      <c r="K8938">
        <v>21.54</v>
      </c>
      <c r="L8938">
        <v>4.38</v>
      </c>
      <c r="M8938">
        <v>56568</v>
      </c>
      <c r="N8938" t="s">
        <v>354</v>
      </c>
      <c r="O8938">
        <v>251110</v>
      </c>
      <c r="P8938">
        <v>17.16</v>
      </c>
    </row>
    <row r="8939" spans="1:16" x14ac:dyDescent="0.25">
      <c r="A8939" t="s">
        <v>3296</v>
      </c>
      <c r="B8939" t="s">
        <v>2931</v>
      </c>
      <c r="C8939">
        <v>15003</v>
      </c>
      <c r="D8939" t="str">
        <f>"1375495     "</f>
        <v xml:space="preserve">1375495     </v>
      </c>
      <c r="E8939" t="s">
        <v>353</v>
      </c>
      <c r="F8939" t="s">
        <v>355</v>
      </c>
      <c r="G8939">
        <v>120.75</v>
      </c>
      <c r="H8939">
        <v>251031</v>
      </c>
      <c r="I8939">
        <v>4600</v>
      </c>
      <c r="J8939" t="s">
        <v>278</v>
      </c>
      <c r="K8939">
        <v>120.75</v>
      </c>
      <c r="L8939">
        <v>24.53</v>
      </c>
      <c r="M8939">
        <v>56568</v>
      </c>
      <c r="N8939" t="s">
        <v>354</v>
      </c>
      <c r="O8939">
        <v>251110</v>
      </c>
      <c r="P8939">
        <v>96.22</v>
      </c>
    </row>
    <row r="8940" spans="1:16" x14ac:dyDescent="0.25">
      <c r="A8940" t="s">
        <v>3296</v>
      </c>
      <c r="B8940" t="s">
        <v>2931</v>
      </c>
      <c r="C8940">
        <v>15004</v>
      </c>
      <c r="D8940" t="str">
        <f>"1375505     "</f>
        <v xml:space="preserve">1375505     </v>
      </c>
      <c r="E8940" t="s">
        <v>353</v>
      </c>
      <c r="F8940" t="s">
        <v>355</v>
      </c>
      <c r="G8940">
        <v>85.99</v>
      </c>
      <c r="H8940">
        <v>251031</v>
      </c>
      <c r="I8940">
        <v>4600</v>
      </c>
      <c r="J8940" t="s">
        <v>278</v>
      </c>
      <c r="K8940">
        <v>85.99</v>
      </c>
      <c r="L8940">
        <v>17.47</v>
      </c>
      <c r="M8940">
        <v>56568</v>
      </c>
      <c r="N8940" t="s">
        <v>354</v>
      </c>
      <c r="O8940">
        <v>251110</v>
      </c>
      <c r="P8940">
        <v>68.52</v>
      </c>
    </row>
    <row r="8941" spans="1:16" x14ac:dyDescent="0.25">
      <c r="A8941" t="s">
        <v>3296</v>
      </c>
      <c r="B8941" t="s">
        <v>2931</v>
      </c>
      <c r="C8941">
        <v>15075</v>
      </c>
      <c r="D8941" t="str">
        <f>"1375498     "</f>
        <v xml:space="preserve">1375498     </v>
      </c>
      <c r="E8941" t="s">
        <v>353</v>
      </c>
      <c r="F8941" t="s">
        <v>355</v>
      </c>
      <c r="G8941">
        <v>18.600000000000001</v>
      </c>
      <c r="H8941">
        <v>251031</v>
      </c>
      <c r="I8941">
        <v>4600</v>
      </c>
      <c r="J8941" t="s">
        <v>278</v>
      </c>
      <c r="K8941">
        <v>18.600000000000001</v>
      </c>
      <c r="L8941">
        <v>3.78</v>
      </c>
      <c r="M8941">
        <v>56568</v>
      </c>
      <c r="N8941" t="s">
        <v>354</v>
      </c>
      <c r="O8941">
        <v>251111</v>
      </c>
      <c r="P8941">
        <v>14.82</v>
      </c>
    </row>
    <row r="8942" spans="1:16" x14ac:dyDescent="0.25">
      <c r="A8942" t="s">
        <v>3296</v>
      </c>
      <c r="B8942" t="s">
        <v>2931</v>
      </c>
      <c r="C8942">
        <v>15076</v>
      </c>
      <c r="D8942" t="str">
        <f>"1375526     "</f>
        <v xml:space="preserve">1375526     </v>
      </c>
      <c r="E8942" t="s">
        <v>353</v>
      </c>
      <c r="F8942" t="s">
        <v>355</v>
      </c>
      <c r="G8942">
        <v>103.16</v>
      </c>
      <c r="H8942">
        <v>251101</v>
      </c>
      <c r="I8942">
        <v>4600</v>
      </c>
      <c r="J8942" t="s">
        <v>278</v>
      </c>
      <c r="K8942">
        <v>103.16</v>
      </c>
      <c r="L8942">
        <v>20.96</v>
      </c>
      <c r="M8942">
        <v>56565</v>
      </c>
      <c r="N8942" t="s">
        <v>57</v>
      </c>
      <c r="O8942">
        <v>251111</v>
      </c>
      <c r="P8942">
        <v>82.2</v>
      </c>
    </row>
    <row r="8943" spans="1:16" x14ac:dyDescent="0.25">
      <c r="A8943" t="s">
        <v>3296</v>
      </c>
      <c r="B8943" t="s">
        <v>2931</v>
      </c>
      <c r="C8943">
        <v>15078</v>
      </c>
      <c r="D8943" t="str">
        <f>"1375501     "</f>
        <v xml:space="preserve">1375501     </v>
      </c>
      <c r="E8943" t="s">
        <v>353</v>
      </c>
      <c r="F8943" t="s">
        <v>355</v>
      </c>
      <c r="G8943">
        <v>34.72</v>
      </c>
      <c r="H8943">
        <v>251031</v>
      </c>
      <c r="I8943">
        <v>4600</v>
      </c>
      <c r="J8943" t="s">
        <v>278</v>
      </c>
      <c r="K8943">
        <v>34.72</v>
      </c>
      <c r="L8943">
        <v>7.05</v>
      </c>
      <c r="M8943">
        <v>56568</v>
      </c>
      <c r="N8943" t="s">
        <v>354</v>
      </c>
      <c r="O8943">
        <v>251111</v>
      </c>
      <c r="P8943">
        <v>27.67</v>
      </c>
    </row>
    <row r="8944" spans="1:16" x14ac:dyDescent="0.25">
      <c r="A8944" t="s">
        <v>3296</v>
      </c>
      <c r="B8944" t="s">
        <v>2931</v>
      </c>
      <c r="C8944">
        <v>15079</v>
      </c>
      <c r="D8944" t="str">
        <f>"1375520     "</f>
        <v xml:space="preserve">1375520     </v>
      </c>
      <c r="E8944" t="s">
        <v>353</v>
      </c>
      <c r="F8944" t="s">
        <v>355</v>
      </c>
      <c r="G8944">
        <v>25.9</v>
      </c>
      <c r="H8944">
        <v>251031</v>
      </c>
      <c r="I8944">
        <v>4600</v>
      </c>
      <c r="J8944" t="s">
        <v>278</v>
      </c>
      <c r="K8944">
        <v>25.9</v>
      </c>
      <c r="L8944">
        <v>5.26</v>
      </c>
      <c r="M8944">
        <v>56568</v>
      </c>
      <c r="N8944" t="s">
        <v>354</v>
      </c>
      <c r="O8944">
        <v>251111</v>
      </c>
      <c r="P8944">
        <v>20.64</v>
      </c>
    </row>
    <row r="8945" spans="1:16" x14ac:dyDescent="0.25">
      <c r="A8945" t="s">
        <v>3296</v>
      </c>
      <c r="B8945" t="s">
        <v>2931</v>
      </c>
      <c r="C8945">
        <v>15080</v>
      </c>
      <c r="D8945" t="str">
        <f>"1375532     "</f>
        <v xml:space="preserve">1375532     </v>
      </c>
      <c r="E8945" t="s">
        <v>353</v>
      </c>
      <c r="F8945" t="s">
        <v>355</v>
      </c>
      <c r="G8945">
        <v>31</v>
      </c>
      <c r="H8945">
        <v>251031</v>
      </c>
      <c r="I8945">
        <v>4600</v>
      </c>
      <c r="J8945" t="s">
        <v>278</v>
      </c>
      <c r="K8945">
        <v>31</v>
      </c>
      <c r="L8945">
        <v>6.3</v>
      </c>
      <c r="M8945">
        <v>56568</v>
      </c>
      <c r="N8945" t="s">
        <v>354</v>
      </c>
      <c r="O8945">
        <v>251111</v>
      </c>
      <c r="P8945">
        <v>24.7</v>
      </c>
    </row>
    <row r="8946" spans="1:16" x14ac:dyDescent="0.25">
      <c r="A8946" t="s">
        <v>3296</v>
      </c>
      <c r="B8946" t="s">
        <v>2931</v>
      </c>
      <c r="C8946">
        <v>15081</v>
      </c>
      <c r="D8946" t="str">
        <f>"1375503     "</f>
        <v xml:space="preserve">1375503     </v>
      </c>
      <c r="E8946" t="s">
        <v>353</v>
      </c>
      <c r="F8946" t="s">
        <v>355</v>
      </c>
      <c r="G8946">
        <v>28.95</v>
      </c>
      <c r="H8946">
        <v>251031</v>
      </c>
      <c r="I8946">
        <v>4600</v>
      </c>
      <c r="J8946" t="s">
        <v>278</v>
      </c>
      <c r="K8946">
        <v>28.95</v>
      </c>
      <c r="L8946">
        <v>5.88</v>
      </c>
      <c r="M8946">
        <v>56568</v>
      </c>
      <c r="N8946" t="s">
        <v>354</v>
      </c>
      <c r="O8946">
        <v>251111</v>
      </c>
      <c r="P8946">
        <v>23.07</v>
      </c>
    </row>
    <row r="8947" spans="1:16" x14ac:dyDescent="0.25">
      <c r="A8947" t="s">
        <v>3296</v>
      </c>
      <c r="B8947" t="s">
        <v>2931</v>
      </c>
      <c r="C8947">
        <v>15082</v>
      </c>
      <c r="D8947" t="str">
        <f>"1375490     "</f>
        <v xml:space="preserve">1375490     </v>
      </c>
      <c r="E8947" t="s">
        <v>353</v>
      </c>
      <c r="F8947" t="s">
        <v>355</v>
      </c>
      <c r="G8947">
        <v>47.3</v>
      </c>
      <c r="H8947">
        <v>251031</v>
      </c>
      <c r="I8947">
        <v>4600</v>
      </c>
      <c r="J8947" t="s">
        <v>278</v>
      </c>
      <c r="K8947">
        <v>47.3</v>
      </c>
      <c r="L8947">
        <v>9.61</v>
      </c>
      <c r="M8947">
        <v>56568</v>
      </c>
      <c r="N8947" t="s">
        <v>354</v>
      </c>
      <c r="O8947">
        <v>251111</v>
      </c>
      <c r="P8947">
        <v>37.69</v>
      </c>
    </row>
    <row r="8948" spans="1:16" x14ac:dyDescent="0.25">
      <c r="A8948" t="s">
        <v>3296</v>
      </c>
      <c r="B8948" t="s">
        <v>2931</v>
      </c>
      <c r="C8948">
        <v>15083</v>
      </c>
      <c r="D8948" t="str">
        <f>"1375518     "</f>
        <v xml:space="preserve">1375518     </v>
      </c>
      <c r="E8948" t="s">
        <v>353</v>
      </c>
      <c r="F8948" t="s">
        <v>355</v>
      </c>
      <c r="G8948">
        <v>102.84</v>
      </c>
      <c r="H8948">
        <v>251101</v>
      </c>
      <c r="I8948">
        <v>4600</v>
      </c>
      <c r="J8948" t="s">
        <v>278</v>
      </c>
      <c r="K8948">
        <v>102.84</v>
      </c>
      <c r="L8948">
        <v>20.9</v>
      </c>
      <c r="M8948">
        <v>56568</v>
      </c>
      <c r="N8948" t="s">
        <v>354</v>
      </c>
      <c r="O8948">
        <v>251111</v>
      </c>
      <c r="P8948">
        <v>81.94</v>
      </c>
    </row>
    <row r="8949" spans="1:16" x14ac:dyDescent="0.25">
      <c r="A8949" t="s">
        <v>3296</v>
      </c>
      <c r="B8949" t="s">
        <v>2931</v>
      </c>
      <c r="C8949">
        <v>15085</v>
      </c>
      <c r="D8949" t="str">
        <f>"1375491     "</f>
        <v xml:space="preserve">1375491     </v>
      </c>
      <c r="E8949" t="s">
        <v>353</v>
      </c>
      <c r="F8949" t="s">
        <v>355</v>
      </c>
      <c r="G8949">
        <v>40</v>
      </c>
      <c r="H8949">
        <v>251031</v>
      </c>
      <c r="I8949">
        <v>4600</v>
      </c>
      <c r="J8949" t="s">
        <v>278</v>
      </c>
      <c r="K8949">
        <v>40</v>
      </c>
      <c r="L8949">
        <v>8.1300000000000008</v>
      </c>
      <c r="M8949">
        <v>56568</v>
      </c>
      <c r="N8949" t="s">
        <v>354</v>
      </c>
      <c r="O8949">
        <v>251111</v>
      </c>
      <c r="P8949">
        <v>31.87</v>
      </c>
    </row>
    <row r="8950" spans="1:16" x14ac:dyDescent="0.25">
      <c r="A8950" t="s">
        <v>3296</v>
      </c>
      <c r="B8950" t="s">
        <v>2931</v>
      </c>
      <c r="C8950">
        <v>15086</v>
      </c>
      <c r="D8950" t="str">
        <f>"1375494     "</f>
        <v xml:space="preserve">1375494     </v>
      </c>
      <c r="E8950" t="s">
        <v>353</v>
      </c>
      <c r="F8950" t="s">
        <v>355</v>
      </c>
      <c r="G8950">
        <v>192.2</v>
      </c>
      <c r="H8950">
        <v>251031</v>
      </c>
      <c r="I8950">
        <v>4600</v>
      </c>
      <c r="J8950" t="s">
        <v>278</v>
      </c>
      <c r="K8950">
        <v>192.2</v>
      </c>
      <c r="L8950">
        <v>39.049999999999997</v>
      </c>
      <c r="M8950">
        <v>56568</v>
      </c>
      <c r="N8950" t="s">
        <v>354</v>
      </c>
      <c r="O8950">
        <v>251111</v>
      </c>
      <c r="P8950">
        <v>153.15</v>
      </c>
    </row>
    <row r="8951" spans="1:16" x14ac:dyDescent="0.25">
      <c r="A8951" t="s">
        <v>3296</v>
      </c>
      <c r="B8951" t="s">
        <v>2931</v>
      </c>
      <c r="C8951">
        <v>15088</v>
      </c>
      <c r="D8951" t="str">
        <f>"1375510     "</f>
        <v xml:space="preserve">1375510     </v>
      </c>
      <c r="E8951" t="s">
        <v>353</v>
      </c>
      <c r="F8951" t="s">
        <v>355</v>
      </c>
      <c r="G8951">
        <v>9.23</v>
      </c>
      <c r="H8951">
        <v>251031</v>
      </c>
      <c r="I8951">
        <v>4600</v>
      </c>
      <c r="J8951" t="s">
        <v>278</v>
      </c>
      <c r="K8951">
        <v>9.23</v>
      </c>
      <c r="L8951">
        <v>1.88</v>
      </c>
      <c r="M8951">
        <v>56568</v>
      </c>
      <c r="N8951" t="s">
        <v>354</v>
      </c>
      <c r="O8951">
        <v>251111</v>
      </c>
      <c r="P8951">
        <v>7.35</v>
      </c>
    </row>
    <row r="8952" spans="1:16" x14ac:dyDescent="0.25">
      <c r="A8952" t="s">
        <v>3296</v>
      </c>
      <c r="B8952" t="s">
        <v>2931</v>
      </c>
      <c r="C8952">
        <v>15089</v>
      </c>
      <c r="D8952" t="str">
        <f>"1375527     "</f>
        <v xml:space="preserve">1375527     </v>
      </c>
      <c r="E8952" t="s">
        <v>353</v>
      </c>
      <c r="F8952" t="s">
        <v>355</v>
      </c>
      <c r="G8952">
        <v>146.82</v>
      </c>
      <c r="H8952">
        <v>251101</v>
      </c>
      <c r="I8952">
        <v>4600</v>
      </c>
      <c r="J8952" t="s">
        <v>278</v>
      </c>
      <c r="K8952">
        <v>146.82</v>
      </c>
      <c r="L8952">
        <v>29.83</v>
      </c>
      <c r="M8952">
        <v>56568</v>
      </c>
      <c r="N8952" t="s">
        <v>354</v>
      </c>
      <c r="O8952">
        <v>251111</v>
      </c>
      <c r="P8952">
        <v>116.99</v>
      </c>
    </row>
    <row r="8953" spans="1:16" x14ac:dyDescent="0.25">
      <c r="A8953" t="s">
        <v>3296</v>
      </c>
      <c r="B8953" t="s">
        <v>2931</v>
      </c>
      <c r="C8953">
        <v>15090</v>
      </c>
      <c r="D8953" t="str">
        <f>"1375512     "</f>
        <v xml:space="preserve">1375512     </v>
      </c>
      <c r="E8953" t="s">
        <v>353</v>
      </c>
      <c r="F8953" t="s">
        <v>355</v>
      </c>
      <c r="G8953">
        <v>64.95</v>
      </c>
      <c r="H8953">
        <v>251031</v>
      </c>
      <c r="I8953">
        <v>4600</v>
      </c>
      <c r="J8953" t="s">
        <v>278</v>
      </c>
      <c r="K8953">
        <v>64.95</v>
      </c>
      <c r="L8953">
        <v>13.2</v>
      </c>
      <c r="M8953">
        <v>56568</v>
      </c>
      <c r="N8953" t="s">
        <v>354</v>
      </c>
      <c r="O8953">
        <v>251111</v>
      </c>
      <c r="P8953">
        <v>51.75</v>
      </c>
    </row>
    <row r="8954" spans="1:16" x14ac:dyDescent="0.25">
      <c r="A8954" t="s">
        <v>3296</v>
      </c>
      <c r="B8954" t="s">
        <v>2931</v>
      </c>
      <c r="C8954">
        <v>15092</v>
      </c>
      <c r="D8954" t="str">
        <f>"1375531     "</f>
        <v xml:space="preserve">1375531     </v>
      </c>
      <c r="E8954" t="s">
        <v>353</v>
      </c>
      <c r="F8954" t="s">
        <v>355</v>
      </c>
      <c r="G8954">
        <v>150.94999999999999</v>
      </c>
      <c r="H8954">
        <v>251031</v>
      </c>
      <c r="I8954">
        <v>4600</v>
      </c>
      <c r="J8954" t="s">
        <v>278</v>
      </c>
      <c r="K8954">
        <v>150.94999999999999</v>
      </c>
      <c r="L8954">
        <v>30.67</v>
      </c>
      <c r="M8954">
        <v>56565</v>
      </c>
      <c r="N8954" t="s">
        <v>57</v>
      </c>
      <c r="O8954">
        <v>251111</v>
      </c>
      <c r="P8954">
        <v>120.28</v>
      </c>
    </row>
    <row r="8955" spans="1:16" x14ac:dyDescent="0.25">
      <c r="A8955" t="s">
        <v>3296</v>
      </c>
      <c r="B8955" t="s">
        <v>2931</v>
      </c>
      <c r="C8955">
        <v>15093</v>
      </c>
      <c r="D8955" t="str">
        <f>"1375522     "</f>
        <v xml:space="preserve">1375522     </v>
      </c>
      <c r="E8955" t="s">
        <v>353</v>
      </c>
      <c r="F8955" t="s">
        <v>355</v>
      </c>
      <c r="G8955">
        <v>224.66</v>
      </c>
      <c r="H8955">
        <v>251101</v>
      </c>
      <c r="I8955">
        <v>4600</v>
      </c>
      <c r="J8955" t="s">
        <v>278</v>
      </c>
      <c r="K8955">
        <v>224.66</v>
      </c>
      <c r="L8955">
        <v>45.65</v>
      </c>
      <c r="M8955">
        <v>56568</v>
      </c>
      <c r="N8955" t="s">
        <v>354</v>
      </c>
      <c r="O8955">
        <v>251111</v>
      </c>
      <c r="P8955">
        <v>179.01</v>
      </c>
    </row>
    <row r="8956" spans="1:16" x14ac:dyDescent="0.25">
      <c r="A8956" t="s">
        <v>3296</v>
      </c>
      <c r="B8956" t="s">
        <v>2931</v>
      </c>
      <c r="C8956">
        <v>15094</v>
      </c>
      <c r="D8956" t="str">
        <f>"1375514     "</f>
        <v xml:space="preserve">1375514     </v>
      </c>
      <c r="E8956" t="s">
        <v>353</v>
      </c>
      <c r="F8956" t="s">
        <v>355</v>
      </c>
      <c r="G8956">
        <v>726.23</v>
      </c>
      <c r="H8956">
        <v>251031</v>
      </c>
      <c r="I8956">
        <v>4600</v>
      </c>
      <c r="J8956" t="s">
        <v>278</v>
      </c>
      <c r="K8956">
        <v>726.23</v>
      </c>
      <c r="L8956">
        <v>147.56</v>
      </c>
      <c r="M8956">
        <v>56568</v>
      </c>
      <c r="N8956" t="s">
        <v>354</v>
      </c>
      <c r="O8956">
        <v>251111</v>
      </c>
      <c r="P8956">
        <v>578.66999999999996</v>
      </c>
    </row>
    <row r="8957" spans="1:16" x14ac:dyDescent="0.25">
      <c r="A8957" t="s">
        <v>3296</v>
      </c>
      <c r="B8957" t="s">
        <v>2931</v>
      </c>
      <c r="C8957">
        <v>15562</v>
      </c>
      <c r="D8957" t="str">
        <f>"1376761     "</f>
        <v xml:space="preserve">1376761     </v>
      </c>
      <c r="E8957" t="s">
        <v>353</v>
      </c>
      <c r="F8957" t="s">
        <v>355</v>
      </c>
      <c r="G8957">
        <v>26.66</v>
      </c>
      <c r="H8957">
        <v>251119</v>
      </c>
      <c r="I8957">
        <v>4600</v>
      </c>
      <c r="J8957" t="s">
        <v>278</v>
      </c>
      <c r="K8957">
        <v>26.66</v>
      </c>
      <c r="L8957">
        <v>5.42</v>
      </c>
      <c r="M8957">
        <v>56568</v>
      </c>
      <c r="N8957" t="s">
        <v>354</v>
      </c>
      <c r="O8957">
        <v>251121</v>
      </c>
      <c r="P8957">
        <v>21.24</v>
      </c>
    </row>
    <row r="8958" spans="1:16" x14ac:dyDescent="0.25">
      <c r="A8958" t="s">
        <v>3296</v>
      </c>
      <c r="B8958" t="s">
        <v>2931</v>
      </c>
      <c r="C8958">
        <v>15563</v>
      </c>
      <c r="D8958" t="str">
        <f>"1376762     "</f>
        <v xml:space="preserve">1376762     </v>
      </c>
      <c r="E8958" t="s">
        <v>353</v>
      </c>
      <c r="F8958" t="s">
        <v>355</v>
      </c>
      <c r="G8958">
        <v>32.5</v>
      </c>
      <c r="H8958">
        <v>251119</v>
      </c>
      <c r="I8958">
        <v>4600</v>
      </c>
      <c r="J8958" t="s">
        <v>278</v>
      </c>
      <c r="K8958">
        <v>32.5</v>
      </c>
      <c r="L8958">
        <v>6.6</v>
      </c>
      <c r="M8958">
        <v>56568</v>
      </c>
      <c r="N8958" t="s">
        <v>354</v>
      </c>
      <c r="O8958">
        <v>251121</v>
      </c>
      <c r="P8958">
        <v>25.9</v>
      </c>
    </row>
    <row r="8959" spans="1:16" x14ac:dyDescent="0.25">
      <c r="A8959" t="s">
        <v>3296</v>
      </c>
      <c r="B8959" t="s">
        <v>2931</v>
      </c>
      <c r="C8959">
        <v>15564</v>
      </c>
      <c r="D8959" t="str">
        <f>"1376760     "</f>
        <v xml:space="preserve">1376760     </v>
      </c>
      <c r="E8959" t="s">
        <v>353</v>
      </c>
      <c r="F8959" t="s">
        <v>355</v>
      </c>
      <c r="G8959">
        <v>71.69</v>
      </c>
      <c r="H8959">
        <v>251119</v>
      </c>
      <c r="I8959">
        <v>4600</v>
      </c>
      <c r="J8959" t="s">
        <v>278</v>
      </c>
      <c r="K8959">
        <v>71.69</v>
      </c>
      <c r="L8959">
        <v>14.57</v>
      </c>
      <c r="M8959">
        <v>56568</v>
      </c>
      <c r="N8959" t="s">
        <v>354</v>
      </c>
      <c r="O8959">
        <v>251121</v>
      </c>
      <c r="P8959">
        <v>57.12</v>
      </c>
    </row>
    <row r="8960" spans="1:16" x14ac:dyDescent="0.25">
      <c r="A8960" t="s">
        <v>3296</v>
      </c>
      <c r="B8960" t="s">
        <v>2931</v>
      </c>
      <c r="C8960">
        <v>15565</v>
      </c>
      <c r="D8960" t="str">
        <f>"1376783     "</f>
        <v xml:space="preserve">1376783     </v>
      </c>
      <c r="E8960" t="s">
        <v>353</v>
      </c>
      <c r="F8960" t="s">
        <v>355</v>
      </c>
      <c r="G8960">
        <v>151.72999999999999</v>
      </c>
      <c r="H8960">
        <v>251119</v>
      </c>
      <c r="I8960">
        <v>4600</v>
      </c>
      <c r="J8960" t="s">
        <v>278</v>
      </c>
      <c r="K8960">
        <v>151.72999999999999</v>
      </c>
      <c r="L8960">
        <v>30.83</v>
      </c>
      <c r="M8960">
        <v>56558</v>
      </c>
      <c r="N8960" t="s">
        <v>50</v>
      </c>
      <c r="O8960">
        <v>251121</v>
      </c>
      <c r="P8960">
        <v>120.9</v>
      </c>
    </row>
    <row r="8961" spans="1:16" x14ac:dyDescent="0.25">
      <c r="A8961" t="s">
        <v>3296</v>
      </c>
      <c r="B8961" t="s">
        <v>2931</v>
      </c>
      <c r="C8961">
        <v>15566</v>
      </c>
      <c r="D8961" t="str">
        <f>"1376768     "</f>
        <v xml:space="preserve">1376768     </v>
      </c>
      <c r="E8961" t="s">
        <v>353</v>
      </c>
      <c r="F8961" t="s">
        <v>355</v>
      </c>
      <c r="G8961">
        <v>5.26</v>
      </c>
      <c r="H8961">
        <v>251119</v>
      </c>
      <c r="I8961">
        <v>4600</v>
      </c>
      <c r="J8961" t="s">
        <v>278</v>
      </c>
      <c r="K8961">
        <v>5.26</v>
      </c>
      <c r="L8961">
        <v>1.07</v>
      </c>
      <c r="M8961">
        <v>56568</v>
      </c>
      <c r="N8961" t="s">
        <v>354</v>
      </c>
      <c r="O8961">
        <v>251121</v>
      </c>
      <c r="P8961">
        <v>4.1900000000000004</v>
      </c>
    </row>
    <row r="8962" spans="1:16" x14ac:dyDescent="0.25">
      <c r="A8962" t="s">
        <v>3296</v>
      </c>
      <c r="B8962" t="s">
        <v>2931</v>
      </c>
      <c r="C8962">
        <v>15570</v>
      </c>
      <c r="D8962" t="str">
        <f>"1376784     "</f>
        <v xml:space="preserve">1376784     </v>
      </c>
      <c r="E8962" t="s">
        <v>353</v>
      </c>
      <c r="F8962" t="s">
        <v>355</v>
      </c>
      <c r="G8962">
        <v>9.74</v>
      </c>
      <c r="H8962">
        <v>251119</v>
      </c>
      <c r="I8962">
        <v>4600</v>
      </c>
      <c r="J8962" t="s">
        <v>278</v>
      </c>
      <c r="K8962">
        <v>9.74</v>
      </c>
      <c r="L8962">
        <v>1.98</v>
      </c>
      <c r="M8962">
        <v>56568</v>
      </c>
      <c r="N8962" t="s">
        <v>354</v>
      </c>
      <c r="O8962">
        <v>251121</v>
      </c>
      <c r="P8962">
        <v>7.76</v>
      </c>
    </row>
    <row r="8963" spans="1:16" x14ac:dyDescent="0.25">
      <c r="A8963" t="s">
        <v>3296</v>
      </c>
      <c r="B8963" t="s">
        <v>2931</v>
      </c>
      <c r="C8963">
        <v>15572</v>
      </c>
      <c r="D8963" t="str">
        <f>"1376774     "</f>
        <v xml:space="preserve">1376774     </v>
      </c>
      <c r="E8963" t="s">
        <v>353</v>
      </c>
      <c r="F8963" t="s">
        <v>355</v>
      </c>
      <c r="G8963">
        <v>417.38</v>
      </c>
      <c r="H8963">
        <v>251119</v>
      </c>
      <c r="I8963">
        <v>4600</v>
      </c>
      <c r="J8963" t="s">
        <v>278</v>
      </c>
      <c r="K8963">
        <v>417.38</v>
      </c>
      <c r="L8963">
        <v>84.81</v>
      </c>
      <c r="M8963">
        <v>56558</v>
      </c>
      <c r="N8963" t="s">
        <v>50</v>
      </c>
      <c r="O8963">
        <v>251121</v>
      </c>
      <c r="P8963">
        <v>332.57</v>
      </c>
    </row>
    <row r="8964" spans="1:16" x14ac:dyDescent="0.25">
      <c r="A8964" t="s">
        <v>3296</v>
      </c>
      <c r="B8964" t="s">
        <v>2931</v>
      </c>
      <c r="C8964">
        <v>15573</v>
      </c>
      <c r="D8964" t="str">
        <f>"1376785     "</f>
        <v xml:space="preserve">1376785     </v>
      </c>
      <c r="E8964" t="s">
        <v>353</v>
      </c>
      <c r="F8964" t="s">
        <v>355</v>
      </c>
      <c r="G8964">
        <v>2.92</v>
      </c>
      <c r="H8964">
        <v>251119</v>
      </c>
      <c r="I8964">
        <v>4600</v>
      </c>
      <c r="J8964" t="s">
        <v>278</v>
      </c>
      <c r="K8964">
        <v>2.92</v>
      </c>
      <c r="L8964">
        <v>0.59</v>
      </c>
      <c r="M8964">
        <v>56568</v>
      </c>
      <c r="N8964" t="s">
        <v>354</v>
      </c>
      <c r="O8964">
        <v>251121</v>
      </c>
      <c r="P8964">
        <v>2.33</v>
      </c>
    </row>
    <row r="8965" spans="1:16" x14ac:dyDescent="0.25">
      <c r="A8965" t="s">
        <v>3296</v>
      </c>
      <c r="B8965" t="s">
        <v>2931</v>
      </c>
      <c r="C8965">
        <v>15577</v>
      </c>
      <c r="D8965" t="str">
        <f>"1376758     "</f>
        <v xml:space="preserve">1376758     </v>
      </c>
      <c r="E8965" t="s">
        <v>353</v>
      </c>
      <c r="F8965" t="s">
        <v>355</v>
      </c>
      <c r="G8965">
        <v>55.07</v>
      </c>
      <c r="H8965">
        <v>251119</v>
      </c>
      <c r="I8965">
        <v>4600</v>
      </c>
      <c r="J8965" t="s">
        <v>278</v>
      </c>
      <c r="K8965">
        <v>55.07</v>
      </c>
      <c r="L8965">
        <v>11.19</v>
      </c>
      <c r="M8965">
        <v>56568</v>
      </c>
      <c r="N8965" t="s">
        <v>354</v>
      </c>
      <c r="O8965">
        <v>251121</v>
      </c>
      <c r="P8965">
        <v>43.88</v>
      </c>
    </row>
    <row r="8966" spans="1:16" x14ac:dyDescent="0.25">
      <c r="A8966" t="s">
        <v>3296</v>
      </c>
      <c r="B8966" t="s">
        <v>2931</v>
      </c>
      <c r="C8966">
        <v>15589</v>
      </c>
      <c r="D8966" t="str">
        <f>"1376759     "</f>
        <v xml:space="preserve">1376759     </v>
      </c>
      <c r="E8966" t="s">
        <v>353</v>
      </c>
      <c r="F8966" t="s">
        <v>355</v>
      </c>
      <c r="G8966">
        <v>218.98</v>
      </c>
      <c r="H8966">
        <v>251119</v>
      </c>
      <c r="I8966">
        <v>4600</v>
      </c>
      <c r="J8966" t="s">
        <v>278</v>
      </c>
      <c r="K8966">
        <v>218.98</v>
      </c>
      <c r="L8966">
        <v>44.49</v>
      </c>
      <c r="M8966">
        <v>56568</v>
      </c>
      <c r="N8966" t="s">
        <v>354</v>
      </c>
      <c r="O8966">
        <v>251121</v>
      </c>
      <c r="P8966">
        <v>174.49</v>
      </c>
    </row>
    <row r="8967" spans="1:16" x14ac:dyDescent="0.25">
      <c r="A8967" t="s">
        <v>3296</v>
      </c>
      <c r="B8967" t="s">
        <v>2931</v>
      </c>
      <c r="C8967">
        <v>15590</v>
      </c>
      <c r="D8967" t="str">
        <f>"1376766     "</f>
        <v xml:space="preserve">1376766     </v>
      </c>
      <c r="E8967" t="s">
        <v>353</v>
      </c>
      <c r="F8967" t="s">
        <v>355</v>
      </c>
      <c r="G8967">
        <v>32.380000000000003</v>
      </c>
      <c r="H8967">
        <v>251119</v>
      </c>
      <c r="I8967">
        <v>4600</v>
      </c>
      <c r="J8967" t="s">
        <v>278</v>
      </c>
      <c r="K8967">
        <v>32.380000000000003</v>
      </c>
      <c r="L8967">
        <v>6.58</v>
      </c>
      <c r="M8967">
        <v>56568</v>
      </c>
      <c r="N8967" t="s">
        <v>354</v>
      </c>
      <c r="O8967">
        <v>251121</v>
      </c>
      <c r="P8967">
        <v>25.8</v>
      </c>
    </row>
    <row r="8968" spans="1:16" x14ac:dyDescent="0.25">
      <c r="A8968" t="s">
        <v>3296</v>
      </c>
      <c r="B8968" t="s">
        <v>2931</v>
      </c>
      <c r="C8968">
        <v>15591</v>
      </c>
      <c r="D8968" t="str">
        <f>"1376788     "</f>
        <v xml:space="preserve">1376788     </v>
      </c>
      <c r="E8968" t="s">
        <v>353</v>
      </c>
      <c r="F8968" t="s">
        <v>355</v>
      </c>
      <c r="G8968">
        <v>32.4</v>
      </c>
      <c r="H8968">
        <v>251119</v>
      </c>
      <c r="I8968">
        <v>4600</v>
      </c>
      <c r="J8968" t="s">
        <v>278</v>
      </c>
      <c r="K8968">
        <v>32.4</v>
      </c>
      <c r="L8968">
        <v>6.58</v>
      </c>
      <c r="M8968">
        <v>56568</v>
      </c>
      <c r="N8968" t="s">
        <v>354</v>
      </c>
      <c r="O8968">
        <v>251121</v>
      </c>
      <c r="P8968">
        <v>25.82</v>
      </c>
    </row>
    <row r="8969" spans="1:16" x14ac:dyDescent="0.25">
      <c r="A8969" t="s">
        <v>3296</v>
      </c>
      <c r="B8969" t="s">
        <v>2931</v>
      </c>
      <c r="C8969">
        <v>15593</v>
      </c>
      <c r="D8969" t="str">
        <f>"1376767     "</f>
        <v xml:space="preserve">1376767     </v>
      </c>
      <c r="E8969" t="s">
        <v>353</v>
      </c>
      <c r="F8969" t="s">
        <v>355</v>
      </c>
      <c r="G8969">
        <v>10.07</v>
      </c>
      <c r="H8969">
        <v>251119</v>
      </c>
      <c r="I8969">
        <v>4600</v>
      </c>
      <c r="J8969" t="s">
        <v>278</v>
      </c>
      <c r="K8969">
        <v>10.07</v>
      </c>
      <c r="L8969">
        <v>2.0499999999999998</v>
      </c>
      <c r="M8969">
        <v>56568</v>
      </c>
      <c r="N8969" t="s">
        <v>354</v>
      </c>
      <c r="O8969">
        <v>251121</v>
      </c>
      <c r="P8969">
        <v>8.02</v>
      </c>
    </row>
    <row r="8970" spans="1:16" x14ac:dyDescent="0.25">
      <c r="A8970" t="s">
        <v>3296</v>
      </c>
      <c r="B8970" t="s">
        <v>2931</v>
      </c>
      <c r="C8970">
        <v>15594</v>
      </c>
      <c r="D8970" t="str">
        <f>"1376778     "</f>
        <v xml:space="preserve">1376778     </v>
      </c>
      <c r="E8970" t="s">
        <v>353</v>
      </c>
      <c r="F8970" t="s">
        <v>355</v>
      </c>
      <c r="G8970">
        <v>36.58</v>
      </c>
      <c r="H8970">
        <v>251119</v>
      </c>
      <c r="I8970">
        <v>4600</v>
      </c>
      <c r="J8970" t="s">
        <v>278</v>
      </c>
      <c r="K8970">
        <v>36.58</v>
      </c>
      <c r="L8970">
        <v>7.43</v>
      </c>
      <c r="M8970">
        <v>56568</v>
      </c>
      <c r="N8970" t="s">
        <v>354</v>
      </c>
      <c r="O8970">
        <v>251121</v>
      </c>
      <c r="P8970">
        <v>29.15</v>
      </c>
    </row>
    <row r="8971" spans="1:16" x14ac:dyDescent="0.25">
      <c r="A8971" t="s">
        <v>3296</v>
      </c>
      <c r="B8971" t="s">
        <v>2931</v>
      </c>
      <c r="C8971">
        <v>15595</v>
      </c>
      <c r="D8971" t="str">
        <f>"1376770     "</f>
        <v xml:space="preserve">1376770     </v>
      </c>
      <c r="E8971" t="s">
        <v>353</v>
      </c>
      <c r="F8971" t="s">
        <v>355</v>
      </c>
      <c r="G8971">
        <v>75.81</v>
      </c>
      <c r="H8971">
        <v>251119</v>
      </c>
      <c r="I8971">
        <v>4600</v>
      </c>
      <c r="J8971" t="s">
        <v>278</v>
      </c>
      <c r="K8971">
        <v>75.81</v>
      </c>
      <c r="L8971">
        <v>15.4</v>
      </c>
      <c r="M8971">
        <v>56568</v>
      </c>
      <c r="N8971" t="s">
        <v>354</v>
      </c>
      <c r="O8971">
        <v>251121</v>
      </c>
      <c r="P8971">
        <v>60.41</v>
      </c>
    </row>
    <row r="8972" spans="1:16" x14ac:dyDescent="0.25">
      <c r="A8972" t="s">
        <v>3296</v>
      </c>
      <c r="B8972" t="s">
        <v>2931</v>
      </c>
      <c r="C8972">
        <v>15596</v>
      </c>
      <c r="D8972" t="str">
        <f>"1376772     "</f>
        <v xml:space="preserve">1376772     </v>
      </c>
      <c r="E8972" t="s">
        <v>353</v>
      </c>
      <c r="F8972" t="s">
        <v>355</v>
      </c>
      <c r="G8972">
        <v>36.75</v>
      </c>
      <c r="H8972">
        <v>251119</v>
      </c>
      <c r="I8972">
        <v>4600</v>
      </c>
      <c r="J8972" t="s">
        <v>278</v>
      </c>
      <c r="K8972">
        <v>36.75</v>
      </c>
      <c r="L8972">
        <v>7.47</v>
      </c>
      <c r="M8972">
        <v>56568</v>
      </c>
      <c r="N8972" t="s">
        <v>354</v>
      </c>
      <c r="O8972">
        <v>251121</v>
      </c>
      <c r="P8972">
        <v>29.28</v>
      </c>
    </row>
    <row r="8973" spans="1:16" x14ac:dyDescent="0.25">
      <c r="A8973" t="s">
        <v>3296</v>
      </c>
      <c r="B8973" t="s">
        <v>2931</v>
      </c>
      <c r="C8973">
        <v>15597</v>
      </c>
      <c r="D8973" t="str">
        <f>"1376773     "</f>
        <v xml:space="preserve">1376773     </v>
      </c>
      <c r="E8973" t="s">
        <v>353</v>
      </c>
      <c r="F8973" t="s">
        <v>355</v>
      </c>
      <c r="G8973">
        <v>56.22</v>
      </c>
      <c r="H8973">
        <v>251119</v>
      </c>
      <c r="I8973">
        <v>4600</v>
      </c>
      <c r="J8973" t="s">
        <v>278</v>
      </c>
      <c r="K8973">
        <v>56.22</v>
      </c>
      <c r="L8973">
        <v>11.42</v>
      </c>
      <c r="M8973">
        <v>56568</v>
      </c>
      <c r="N8973" t="s">
        <v>354</v>
      </c>
      <c r="O8973">
        <v>251121</v>
      </c>
      <c r="P8973">
        <v>44.8</v>
      </c>
    </row>
    <row r="8974" spans="1:16" x14ac:dyDescent="0.25">
      <c r="A8974" t="s">
        <v>3296</v>
      </c>
      <c r="B8974" t="s">
        <v>2931</v>
      </c>
      <c r="C8974">
        <v>15598</v>
      </c>
      <c r="D8974" t="str">
        <f>"1376782     "</f>
        <v xml:space="preserve">1376782     </v>
      </c>
      <c r="E8974" t="s">
        <v>353</v>
      </c>
      <c r="F8974" t="s">
        <v>355</v>
      </c>
      <c r="G8974">
        <v>219.73</v>
      </c>
      <c r="H8974">
        <v>251119</v>
      </c>
      <c r="I8974">
        <v>4600</v>
      </c>
      <c r="J8974" t="s">
        <v>278</v>
      </c>
      <c r="K8974">
        <v>219.73</v>
      </c>
      <c r="L8974">
        <v>44.65</v>
      </c>
      <c r="M8974">
        <v>56558</v>
      </c>
      <c r="N8974" t="s">
        <v>50</v>
      </c>
      <c r="O8974">
        <v>251121</v>
      </c>
      <c r="P8974">
        <v>175.08</v>
      </c>
    </row>
    <row r="8975" spans="1:16" x14ac:dyDescent="0.25">
      <c r="A8975" t="s">
        <v>3296</v>
      </c>
      <c r="B8975" t="s">
        <v>2931</v>
      </c>
      <c r="C8975">
        <v>15599</v>
      </c>
      <c r="D8975" t="str">
        <f>"1376777     "</f>
        <v xml:space="preserve">1376777     </v>
      </c>
      <c r="E8975" t="s">
        <v>353</v>
      </c>
      <c r="F8975" t="s">
        <v>355</v>
      </c>
      <c r="G8975">
        <v>25.02</v>
      </c>
      <c r="H8975">
        <v>251119</v>
      </c>
      <c r="I8975">
        <v>4600</v>
      </c>
      <c r="J8975" t="s">
        <v>278</v>
      </c>
      <c r="K8975">
        <v>25.02</v>
      </c>
      <c r="L8975">
        <v>5.08</v>
      </c>
      <c r="M8975">
        <v>56558</v>
      </c>
      <c r="N8975" t="s">
        <v>50</v>
      </c>
      <c r="O8975">
        <v>251121</v>
      </c>
      <c r="P8975">
        <v>19.940000000000001</v>
      </c>
    </row>
    <row r="8976" spans="1:16" x14ac:dyDescent="0.25">
      <c r="A8976" t="s">
        <v>3296</v>
      </c>
      <c r="B8976" t="s">
        <v>2931</v>
      </c>
      <c r="C8976">
        <v>15600</v>
      </c>
      <c r="D8976" t="str">
        <f>"1376757     "</f>
        <v xml:space="preserve">1376757     </v>
      </c>
      <c r="E8976" t="s">
        <v>353</v>
      </c>
      <c r="F8976" t="s">
        <v>355</v>
      </c>
      <c r="G8976">
        <v>54.87</v>
      </c>
      <c r="H8976">
        <v>251119</v>
      </c>
      <c r="I8976">
        <v>4600</v>
      </c>
      <c r="J8976" t="s">
        <v>278</v>
      </c>
      <c r="K8976">
        <v>54.87</v>
      </c>
      <c r="L8976">
        <v>11.15</v>
      </c>
      <c r="M8976">
        <v>56568</v>
      </c>
      <c r="N8976" t="s">
        <v>354</v>
      </c>
      <c r="O8976">
        <v>251121</v>
      </c>
      <c r="P8976">
        <v>43.72</v>
      </c>
    </row>
    <row r="8977" spans="1:16" x14ac:dyDescent="0.25">
      <c r="A8977" t="s">
        <v>3296</v>
      </c>
      <c r="B8977" t="s">
        <v>2931</v>
      </c>
      <c r="C8977">
        <v>15601</v>
      </c>
      <c r="D8977" t="str">
        <f>"1376787     "</f>
        <v xml:space="preserve">1376787     </v>
      </c>
      <c r="E8977" t="s">
        <v>353</v>
      </c>
      <c r="F8977" t="s">
        <v>355</v>
      </c>
      <c r="G8977">
        <v>36.22</v>
      </c>
      <c r="H8977">
        <v>251119</v>
      </c>
      <c r="I8977">
        <v>4600</v>
      </c>
      <c r="J8977" t="s">
        <v>278</v>
      </c>
      <c r="K8977">
        <v>36.22</v>
      </c>
      <c r="L8977">
        <v>7.36</v>
      </c>
      <c r="M8977">
        <v>56568</v>
      </c>
      <c r="N8977" t="s">
        <v>354</v>
      </c>
      <c r="O8977">
        <v>251121</v>
      </c>
      <c r="P8977">
        <v>28.86</v>
      </c>
    </row>
    <row r="8978" spans="1:16" x14ac:dyDescent="0.25">
      <c r="A8978" t="s">
        <v>3296</v>
      </c>
      <c r="B8978" t="s">
        <v>2931</v>
      </c>
      <c r="C8978">
        <v>15602</v>
      </c>
      <c r="D8978" t="str">
        <f>"1376775     "</f>
        <v xml:space="preserve">1376775     </v>
      </c>
      <c r="E8978" t="s">
        <v>353</v>
      </c>
      <c r="F8978" t="s">
        <v>355</v>
      </c>
      <c r="G8978">
        <v>22.78</v>
      </c>
      <c r="H8978">
        <v>251119</v>
      </c>
      <c r="I8978">
        <v>4600</v>
      </c>
      <c r="J8978" t="s">
        <v>278</v>
      </c>
      <c r="K8978">
        <v>22.78</v>
      </c>
      <c r="L8978">
        <v>4.63</v>
      </c>
      <c r="M8978">
        <v>56568</v>
      </c>
      <c r="N8978" t="s">
        <v>354</v>
      </c>
      <c r="O8978">
        <v>251121</v>
      </c>
      <c r="P8978">
        <v>18.149999999999999</v>
      </c>
    </row>
    <row r="8979" spans="1:16" x14ac:dyDescent="0.25">
      <c r="A8979" t="s">
        <v>3296</v>
      </c>
      <c r="B8979" t="s">
        <v>2931</v>
      </c>
      <c r="C8979">
        <v>15603</v>
      </c>
      <c r="D8979" t="str">
        <f>"1376756     "</f>
        <v xml:space="preserve">1376756     </v>
      </c>
      <c r="E8979" t="s">
        <v>353</v>
      </c>
      <c r="F8979" t="s">
        <v>355</v>
      </c>
      <c r="G8979">
        <v>15.5</v>
      </c>
      <c r="H8979">
        <v>251119</v>
      </c>
      <c r="I8979">
        <v>4600</v>
      </c>
      <c r="J8979" t="s">
        <v>278</v>
      </c>
      <c r="K8979">
        <v>15.5</v>
      </c>
      <c r="L8979">
        <v>3.15</v>
      </c>
      <c r="M8979">
        <v>56568</v>
      </c>
      <c r="N8979" t="s">
        <v>354</v>
      </c>
      <c r="O8979">
        <v>251121</v>
      </c>
      <c r="P8979">
        <v>12.35</v>
      </c>
    </row>
    <row r="8980" spans="1:16" x14ac:dyDescent="0.25">
      <c r="A8980" t="s">
        <v>3296</v>
      </c>
      <c r="B8980" t="s">
        <v>2931</v>
      </c>
      <c r="C8980">
        <v>15604</v>
      </c>
      <c r="D8980" t="str">
        <f>"1376763     "</f>
        <v xml:space="preserve">1376763     </v>
      </c>
      <c r="E8980" t="s">
        <v>353</v>
      </c>
      <c r="F8980" t="s">
        <v>355</v>
      </c>
      <c r="G8980">
        <v>13.4</v>
      </c>
      <c r="H8980">
        <v>251119</v>
      </c>
      <c r="I8980">
        <v>4600</v>
      </c>
      <c r="J8980" t="s">
        <v>278</v>
      </c>
      <c r="K8980">
        <v>13.4</v>
      </c>
      <c r="L8980">
        <v>2.72</v>
      </c>
      <c r="M8980">
        <v>56568</v>
      </c>
      <c r="N8980" t="s">
        <v>354</v>
      </c>
      <c r="O8980">
        <v>251121</v>
      </c>
      <c r="P8980">
        <v>10.68</v>
      </c>
    </row>
    <row r="8981" spans="1:16" x14ac:dyDescent="0.25">
      <c r="A8981" t="s">
        <v>3296</v>
      </c>
      <c r="B8981" t="s">
        <v>2931</v>
      </c>
      <c r="C8981">
        <v>15605</v>
      </c>
      <c r="D8981" t="str">
        <f>"1376769     "</f>
        <v xml:space="preserve">1376769     </v>
      </c>
      <c r="E8981" t="s">
        <v>353</v>
      </c>
      <c r="F8981" t="s">
        <v>355</v>
      </c>
      <c r="G8981">
        <v>119.25</v>
      </c>
      <c r="H8981">
        <v>251119</v>
      </c>
      <c r="I8981">
        <v>4600</v>
      </c>
      <c r="J8981" t="s">
        <v>278</v>
      </c>
      <c r="K8981">
        <v>119.25</v>
      </c>
      <c r="L8981">
        <v>24.23</v>
      </c>
      <c r="M8981">
        <v>56568</v>
      </c>
      <c r="N8981" t="s">
        <v>354</v>
      </c>
      <c r="O8981">
        <v>251121</v>
      </c>
      <c r="P8981">
        <v>95.02</v>
      </c>
    </row>
    <row r="8982" spans="1:16" x14ac:dyDescent="0.25">
      <c r="A8982" t="s">
        <v>3296</v>
      </c>
      <c r="B8982" t="s">
        <v>2931</v>
      </c>
      <c r="C8982">
        <v>15623</v>
      </c>
      <c r="D8982" t="str">
        <f>"1376779     "</f>
        <v xml:space="preserve">1376779     </v>
      </c>
      <c r="E8982" t="s">
        <v>353</v>
      </c>
      <c r="F8982" t="s">
        <v>355</v>
      </c>
      <c r="G8982">
        <v>74.319999999999993</v>
      </c>
      <c r="H8982">
        <v>251119</v>
      </c>
      <c r="I8982">
        <v>4600</v>
      </c>
      <c r="J8982" t="s">
        <v>278</v>
      </c>
      <c r="K8982">
        <v>74.319999999999993</v>
      </c>
      <c r="L8982">
        <v>15.1</v>
      </c>
      <c r="M8982">
        <v>17711</v>
      </c>
      <c r="N8982" t="s">
        <v>155</v>
      </c>
      <c r="O8982">
        <v>251124</v>
      </c>
      <c r="P8982">
        <v>59.22</v>
      </c>
    </row>
    <row r="8983" spans="1:16" x14ac:dyDescent="0.25">
      <c r="A8983" t="s">
        <v>3296</v>
      </c>
      <c r="B8983" t="s">
        <v>2931</v>
      </c>
      <c r="C8983">
        <v>15693</v>
      </c>
      <c r="D8983" t="str">
        <f>"1376764     "</f>
        <v xml:space="preserve">1376764     </v>
      </c>
      <c r="E8983" t="s">
        <v>353</v>
      </c>
      <c r="F8983" t="s">
        <v>355</v>
      </c>
      <c r="G8983">
        <v>33.35</v>
      </c>
      <c r="H8983">
        <v>251119</v>
      </c>
      <c r="I8983">
        <v>4600</v>
      </c>
      <c r="J8983" t="s">
        <v>278</v>
      </c>
      <c r="K8983">
        <v>33.35</v>
      </c>
      <c r="L8983">
        <v>6.78</v>
      </c>
      <c r="M8983">
        <v>56565</v>
      </c>
      <c r="N8983" t="s">
        <v>57</v>
      </c>
      <c r="O8983">
        <v>251125</v>
      </c>
      <c r="P8983">
        <v>26.57</v>
      </c>
    </row>
    <row r="8984" spans="1:16" x14ac:dyDescent="0.25">
      <c r="A8984" t="s">
        <v>3296</v>
      </c>
      <c r="B8984" t="s">
        <v>2931</v>
      </c>
      <c r="C8984">
        <v>15706</v>
      </c>
      <c r="D8984" t="str">
        <f>"1376765     "</f>
        <v xml:space="preserve">1376765     </v>
      </c>
      <c r="E8984" t="s">
        <v>353</v>
      </c>
      <c r="F8984" t="s">
        <v>355</v>
      </c>
      <c r="G8984">
        <v>59.95</v>
      </c>
      <c r="H8984">
        <v>251119</v>
      </c>
      <c r="I8984">
        <v>4600</v>
      </c>
      <c r="J8984" t="s">
        <v>278</v>
      </c>
      <c r="K8984">
        <v>59.95</v>
      </c>
      <c r="L8984">
        <v>12.18</v>
      </c>
      <c r="M8984">
        <v>56565</v>
      </c>
      <c r="N8984" t="s">
        <v>57</v>
      </c>
      <c r="O8984">
        <v>251125</v>
      </c>
      <c r="P8984">
        <v>47.77</v>
      </c>
    </row>
    <row r="8985" spans="1:16" x14ac:dyDescent="0.25">
      <c r="A8985" t="s">
        <v>3296</v>
      </c>
      <c r="B8985" t="s">
        <v>2931</v>
      </c>
      <c r="C8985">
        <v>15708</v>
      </c>
      <c r="D8985" t="str">
        <f>"1376771     "</f>
        <v xml:space="preserve">1376771     </v>
      </c>
      <c r="E8985" t="s">
        <v>353</v>
      </c>
      <c r="F8985" t="s">
        <v>355</v>
      </c>
      <c r="G8985">
        <v>4.24</v>
      </c>
      <c r="H8985">
        <v>251119</v>
      </c>
      <c r="I8985">
        <v>4600</v>
      </c>
      <c r="J8985" t="s">
        <v>278</v>
      </c>
      <c r="K8985">
        <v>4.24</v>
      </c>
      <c r="L8985">
        <v>0.86</v>
      </c>
      <c r="M8985">
        <v>56565</v>
      </c>
      <c r="N8985" t="s">
        <v>57</v>
      </c>
      <c r="O8985">
        <v>251125</v>
      </c>
      <c r="P8985">
        <v>3.38</v>
      </c>
    </row>
    <row r="8986" spans="1:16" x14ac:dyDescent="0.25">
      <c r="A8986" t="s">
        <v>3296</v>
      </c>
      <c r="B8986" t="s">
        <v>2931</v>
      </c>
      <c r="C8986">
        <v>15709</v>
      </c>
      <c r="D8986" t="str">
        <f>"1376786     "</f>
        <v xml:space="preserve">1376786     </v>
      </c>
      <c r="E8986" t="s">
        <v>353</v>
      </c>
      <c r="F8986" t="s">
        <v>355</v>
      </c>
      <c r="G8986">
        <v>107.01</v>
      </c>
      <c r="H8986">
        <v>251119</v>
      </c>
      <c r="I8986">
        <v>4600</v>
      </c>
      <c r="J8986" t="s">
        <v>278</v>
      </c>
      <c r="K8986">
        <v>107.01</v>
      </c>
      <c r="L8986">
        <v>21.74</v>
      </c>
      <c r="M8986">
        <v>56565</v>
      </c>
      <c r="N8986" t="s">
        <v>57</v>
      </c>
      <c r="O8986">
        <v>251125</v>
      </c>
      <c r="P8986">
        <v>85.27</v>
      </c>
    </row>
    <row r="8987" spans="1:16" x14ac:dyDescent="0.25">
      <c r="A8987" t="s">
        <v>3296</v>
      </c>
      <c r="B8987" t="s">
        <v>2931</v>
      </c>
      <c r="C8987">
        <v>15742</v>
      </c>
      <c r="D8987" t="str">
        <f>"1376789     "</f>
        <v xml:space="preserve">1376789     </v>
      </c>
      <c r="E8987" t="s">
        <v>353</v>
      </c>
      <c r="F8987" t="s">
        <v>355</v>
      </c>
      <c r="G8987">
        <v>359.06</v>
      </c>
      <c r="H8987">
        <v>251119</v>
      </c>
      <c r="I8987">
        <v>4600</v>
      </c>
      <c r="J8987" t="s">
        <v>278</v>
      </c>
      <c r="K8987">
        <v>359.06</v>
      </c>
      <c r="L8987">
        <v>72.959999999999994</v>
      </c>
      <c r="M8987">
        <v>66756</v>
      </c>
      <c r="N8987" t="s">
        <v>120</v>
      </c>
      <c r="O8987">
        <v>251126</v>
      </c>
      <c r="P8987">
        <v>286.10000000000002</v>
      </c>
    </row>
    <row r="8988" spans="1:16" x14ac:dyDescent="0.25">
      <c r="A8988" t="s">
        <v>3296</v>
      </c>
      <c r="B8988" t="s">
        <v>2931</v>
      </c>
      <c r="C8988">
        <v>15796</v>
      </c>
      <c r="D8988" t="str">
        <f>"1376790     "</f>
        <v xml:space="preserve">1376790     </v>
      </c>
      <c r="E8988" t="s">
        <v>353</v>
      </c>
      <c r="F8988" t="s">
        <v>355</v>
      </c>
      <c r="G8988">
        <v>34.17</v>
      </c>
      <c r="H8988">
        <v>251119</v>
      </c>
      <c r="I8988">
        <v>4600</v>
      </c>
      <c r="J8988" t="s">
        <v>278</v>
      </c>
      <c r="K8988">
        <v>34.17</v>
      </c>
      <c r="L8988">
        <v>6.94</v>
      </c>
      <c r="M8988">
        <v>67554</v>
      </c>
      <c r="N8988" t="s">
        <v>317</v>
      </c>
      <c r="O8988">
        <v>251127</v>
      </c>
      <c r="P8988">
        <v>27.23</v>
      </c>
    </row>
    <row r="8989" spans="1:16" x14ac:dyDescent="0.25">
      <c r="A8989" t="s">
        <v>3296</v>
      </c>
      <c r="B8989" t="s">
        <v>2931</v>
      </c>
      <c r="C8989">
        <v>15798</v>
      </c>
      <c r="D8989" t="str">
        <f>"1376793     "</f>
        <v xml:space="preserve">1376793     </v>
      </c>
      <c r="E8989" t="s">
        <v>353</v>
      </c>
      <c r="F8989" t="s">
        <v>355</v>
      </c>
      <c r="G8989">
        <v>16.72</v>
      </c>
      <c r="H8989">
        <v>251119</v>
      </c>
      <c r="I8989">
        <v>4600</v>
      </c>
      <c r="J8989" t="s">
        <v>278</v>
      </c>
      <c r="K8989">
        <v>113.67</v>
      </c>
      <c r="L8989">
        <v>3.4</v>
      </c>
      <c r="M8989">
        <v>67522</v>
      </c>
      <c r="N8989" t="s">
        <v>121</v>
      </c>
      <c r="O8989">
        <v>251127</v>
      </c>
      <c r="P8989">
        <v>13.32</v>
      </c>
    </row>
    <row r="8990" spans="1:16" x14ac:dyDescent="0.25">
      <c r="A8990" t="s">
        <v>3296</v>
      </c>
      <c r="B8990" t="s">
        <v>2931</v>
      </c>
      <c r="C8990">
        <v>15799</v>
      </c>
      <c r="D8990" t="str">
        <f>"1376791     "</f>
        <v xml:space="preserve">1376791     </v>
      </c>
      <c r="E8990" t="s">
        <v>353</v>
      </c>
      <c r="F8990" t="s">
        <v>355</v>
      </c>
      <c r="G8990">
        <v>80.930000000000007</v>
      </c>
      <c r="H8990">
        <v>251119</v>
      </c>
      <c r="I8990">
        <v>4600</v>
      </c>
      <c r="J8990" t="s">
        <v>278</v>
      </c>
      <c r="K8990">
        <v>356</v>
      </c>
      <c r="L8990">
        <v>16.440000000000001</v>
      </c>
      <c r="M8990">
        <v>67522</v>
      </c>
      <c r="N8990" t="s">
        <v>121</v>
      </c>
      <c r="O8990">
        <v>251127</v>
      </c>
      <c r="P8990">
        <v>64.489999999999995</v>
      </c>
    </row>
    <row r="8991" spans="1:16" x14ac:dyDescent="0.25">
      <c r="A8991" t="s">
        <v>3296</v>
      </c>
      <c r="B8991" t="s">
        <v>2931</v>
      </c>
      <c r="C8991">
        <v>16217</v>
      </c>
      <c r="D8991" t="str">
        <f>"1377979     "</f>
        <v xml:space="preserve">1377979     </v>
      </c>
      <c r="E8991" t="s">
        <v>353</v>
      </c>
      <c r="F8991" t="s">
        <v>355</v>
      </c>
      <c r="G8991">
        <v>6.57</v>
      </c>
      <c r="H8991">
        <v>251203</v>
      </c>
      <c r="I8991">
        <v>4600</v>
      </c>
      <c r="J8991" t="s">
        <v>278</v>
      </c>
      <c r="K8991">
        <v>6.57</v>
      </c>
      <c r="L8991">
        <v>1.33</v>
      </c>
      <c r="M8991">
        <v>56568</v>
      </c>
      <c r="N8991" t="s">
        <v>354</v>
      </c>
      <c r="O8991">
        <v>251204</v>
      </c>
      <c r="P8991">
        <v>5.24</v>
      </c>
    </row>
    <row r="8992" spans="1:16" x14ac:dyDescent="0.25">
      <c r="A8992" t="s">
        <v>3296</v>
      </c>
      <c r="B8992" t="s">
        <v>2931</v>
      </c>
      <c r="C8992">
        <v>16218</v>
      </c>
      <c r="D8992" t="str">
        <f>"1377954     "</f>
        <v xml:space="preserve">1377954     </v>
      </c>
      <c r="E8992" t="s">
        <v>353</v>
      </c>
      <c r="F8992" t="s">
        <v>355</v>
      </c>
      <c r="G8992">
        <v>27.03</v>
      </c>
      <c r="H8992">
        <v>251130</v>
      </c>
      <c r="I8992">
        <v>4600</v>
      </c>
      <c r="J8992" t="s">
        <v>278</v>
      </c>
      <c r="K8992">
        <v>27.03</v>
      </c>
      <c r="L8992">
        <v>5.49</v>
      </c>
      <c r="M8992">
        <v>56568</v>
      </c>
      <c r="N8992" t="s">
        <v>354</v>
      </c>
      <c r="O8992">
        <v>251204</v>
      </c>
      <c r="P8992">
        <v>21.54</v>
      </c>
    </row>
    <row r="8993" spans="1:16" x14ac:dyDescent="0.25">
      <c r="A8993" t="s">
        <v>3296</v>
      </c>
      <c r="B8993" t="s">
        <v>2931</v>
      </c>
      <c r="C8993">
        <v>16219</v>
      </c>
      <c r="D8993" t="str">
        <f>"1377977     "</f>
        <v xml:space="preserve">1377977     </v>
      </c>
      <c r="E8993" t="s">
        <v>353</v>
      </c>
      <c r="F8993" t="s">
        <v>355</v>
      </c>
      <c r="G8993">
        <v>7.56</v>
      </c>
      <c r="H8993">
        <v>251203</v>
      </c>
      <c r="I8993">
        <v>4600</v>
      </c>
      <c r="J8993" t="s">
        <v>278</v>
      </c>
      <c r="K8993">
        <v>7.56</v>
      </c>
      <c r="L8993">
        <v>1.54</v>
      </c>
      <c r="M8993">
        <v>56568</v>
      </c>
      <c r="N8993" t="s">
        <v>354</v>
      </c>
      <c r="O8993">
        <v>251204</v>
      </c>
      <c r="P8993">
        <v>6.02</v>
      </c>
    </row>
    <row r="8994" spans="1:16" x14ac:dyDescent="0.25">
      <c r="A8994" t="s">
        <v>3296</v>
      </c>
      <c r="B8994" t="s">
        <v>2931</v>
      </c>
      <c r="C8994">
        <v>16226</v>
      </c>
      <c r="D8994" t="str">
        <f>"1377947     "</f>
        <v xml:space="preserve">1377947     </v>
      </c>
      <c r="E8994" t="s">
        <v>353</v>
      </c>
      <c r="F8994" t="s">
        <v>355</v>
      </c>
      <c r="G8994">
        <v>-17.36</v>
      </c>
      <c r="H8994">
        <v>251130</v>
      </c>
      <c r="I8994">
        <v>4600</v>
      </c>
      <c r="J8994" t="s">
        <v>278</v>
      </c>
      <c r="K8994">
        <v>-17.36</v>
      </c>
      <c r="L8994">
        <v>-3.53</v>
      </c>
      <c r="M8994">
        <v>56568</v>
      </c>
      <c r="N8994" t="s">
        <v>354</v>
      </c>
      <c r="O8994">
        <v>251204</v>
      </c>
      <c r="P8994">
        <v>-13.83</v>
      </c>
    </row>
    <row r="8995" spans="1:16" x14ac:dyDescent="0.25">
      <c r="A8995" t="s">
        <v>3296</v>
      </c>
      <c r="B8995" t="s">
        <v>2931</v>
      </c>
      <c r="C8995">
        <v>16229</v>
      </c>
      <c r="D8995" t="str">
        <f>"1377970     "</f>
        <v xml:space="preserve">1377970     </v>
      </c>
      <c r="E8995" t="s">
        <v>353</v>
      </c>
      <c r="F8995" t="s">
        <v>355</v>
      </c>
      <c r="G8995">
        <v>412.04</v>
      </c>
      <c r="H8995">
        <v>251130</v>
      </c>
      <c r="I8995">
        <v>4600</v>
      </c>
      <c r="J8995" t="s">
        <v>278</v>
      </c>
      <c r="K8995">
        <v>412.04</v>
      </c>
      <c r="L8995">
        <v>83.72</v>
      </c>
      <c r="M8995">
        <v>56568</v>
      </c>
      <c r="N8995" t="s">
        <v>354</v>
      </c>
      <c r="O8995">
        <v>251204</v>
      </c>
      <c r="P8995">
        <v>328.32</v>
      </c>
    </row>
    <row r="8996" spans="1:16" x14ac:dyDescent="0.25">
      <c r="A8996" t="s">
        <v>3296</v>
      </c>
      <c r="B8996" t="s">
        <v>2931</v>
      </c>
      <c r="C8996">
        <v>16230</v>
      </c>
      <c r="D8996" t="str">
        <f>"1377967     "</f>
        <v xml:space="preserve">1377967     </v>
      </c>
      <c r="E8996" t="s">
        <v>353</v>
      </c>
      <c r="F8996" t="s">
        <v>355</v>
      </c>
      <c r="G8996">
        <v>236.6</v>
      </c>
      <c r="H8996">
        <v>251130</v>
      </c>
      <c r="I8996">
        <v>4600</v>
      </c>
      <c r="J8996" t="s">
        <v>278</v>
      </c>
      <c r="K8996">
        <v>236.6</v>
      </c>
      <c r="L8996">
        <v>48.07</v>
      </c>
      <c r="M8996">
        <v>56568</v>
      </c>
      <c r="N8996" t="s">
        <v>354</v>
      </c>
      <c r="O8996">
        <v>251204</v>
      </c>
      <c r="P8996">
        <v>188.53</v>
      </c>
    </row>
    <row r="8997" spans="1:16" x14ac:dyDescent="0.25">
      <c r="A8997" t="s">
        <v>3296</v>
      </c>
      <c r="B8997" t="s">
        <v>2931</v>
      </c>
      <c r="C8997">
        <v>16232</v>
      </c>
      <c r="D8997" t="str">
        <f>"1377956     "</f>
        <v xml:space="preserve">1377956     </v>
      </c>
      <c r="E8997" t="s">
        <v>353</v>
      </c>
      <c r="F8997" t="s">
        <v>355</v>
      </c>
      <c r="G8997">
        <v>13.51</v>
      </c>
      <c r="H8997">
        <v>251130</v>
      </c>
      <c r="I8997">
        <v>4600</v>
      </c>
      <c r="J8997" t="s">
        <v>278</v>
      </c>
      <c r="K8997">
        <v>13.51</v>
      </c>
      <c r="L8997">
        <v>2.75</v>
      </c>
      <c r="M8997">
        <v>56568</v>
      </c>
      <c r="N8997" t="s">
        <v>354</v>
      </c>
      <c r="O8997">
        <v>251204</v>
      </c>
      <c r="P8997">
        <v>10.76</v>
      </c>
    </row>
    <row r="8998" spans="1:16" x14ac:dyDescent="0.25">
      <c r="A8998" t="s">
        <v>3296</v>
      </c>
      <c r="B8998" t="s">
        <v>2931</v>
      </c>
      <c r="C8998">
        <v>16234</v>
      </c>
      <c r="D8998" t="str">
        <f>"1377935     "</f>
        <v xml:space="preserve">1377935     </v>
      </c>
      <c r="E8998" t="s">
        <v>353</v>
      </c>
      <c r="F8998" t="s">
        <v>355</v>
      </c>
      <c r="G8998">
        <v>77.16</v>
      </c>
      <c r="H8998">
        <v>251130</v>
      </c>
      <c r="I8998">
        <v>4600</v>
      </c>
      <c r="J8998" t="s">
        <v>278</v>
      </c>
      <c r="K8998">
        <v>77.16</v>
      </c>
      <c r="L8998">
        <v>15.68</v>
      </c>
      <c r="M8998">
        <v>56568</v>
      </c>
      <c r="N8998" t="s">
        <v>354</v>
      </c>
      <c r="O8998">
        <v>251204</v>
      </c>
      <c r="P8998">
        <v>61.48</v>
      </c>
    </row>
    <row r="8999" spans="1:16" x14ac:dyDescent="0.25">
      <c r="A8999" t="s">
        <v>3296</v>
      </c>
      <c r="B8999" t="s">
        <v>2931</v>
      </c>
      <c r="C8999">
        <v>16235</v>
      </c>
      <c r="D8999" t="str">
        <f>"1377959     "</f>
        <v xml:space="preserve">1377959     </v>
      </c>
      <c r="E8999" t="s">
        <v>353</v>
      </c>
      <c r="F8999" t="s">
        <v>355</v>
      </c>
      <c r="G8999">
        <v>169.06</v>
      </c>
      <c r="H8999">
        <v>251130</v>
      </c>
      <c r="I8999">
        <v>4600</v>
      </c>
      <c r="J8999" t="s">
        <v>278</v>
      </c>
      <c r="K8999">
        <v>169.06</v>
      </c>
      <c r="L8999">
        <v>34.35</v>
      </c>
      <c r="M8999">
        <v>56568</v>
      </c>
      <c r="N8999" t="s">
        <v>354</v>
      </c>
      <c r="O8999">
        <v>251205</v>
      </c>
      <c r="P8999">
        <v>134.71</v>
      </c>
    </row>
    <row r="9000" spans="1:16" x14ac:dyDescent="0.25">
      <c r="A9000" t="s">
        <v>3296</v>
      </c>
      <c r="B9000" t="s">
        <v>2931</v>
      </c>
      <c r="C9000">
        <v>16236</v>
      </c>
      <c r="D9000" t="str">
        <f>"1377975     "</f>
        <v xml:space="preserve">1377975     </v>
      </c>
      <c r="E9000" t="s">
        <v>353</v>
      </c>
      <c r="F9000" t="s">
        <v>355</v>
      </c>
      <c r="G9000">
        <v>38.25</v>
      </c>
      <c r="H9000">
        <v>251203</v>
      </c>
      <c r="I9000">
        <v>4600</v>
      </c>
      <c r="J9000" t="s">
        <v>278</v>
      </c>
      <c r="K9000">
        <v>38.25</v>
      </c>
      <c r="L9000">
        <v>7.77</v>
      </c>
      <c r="M9000">
        <v>56568</v>
      </c>
      <c r="N9000" t="s">
        <v>354</v>
      </c>
      <c r="O9000">
        <v>251205</v>
      </c>
      <c r="P9000">
        <v>30.48</v>
      </c>
    </row>
    <row r="9001" spans="1:16" x14ac:dyDescent="0.25">
      <c r="A9001" t="s">
        <v>3296</v>
      </c>
      <c r="B9001" t="s">
        <v>2931</v>
      </c>
      <c r="C9001">
        <v>16237</v>
      </c>
      <c r="D9001" t="str">
        <f>"1377941     "</f>
        <v xml:space="preserve">1377941     </v>
      </c>
      <c r="E9001" t="s">
        <v>353</v>
      </c>
      <c r="F9001" t="s">
        <v>355</v>
      </c>
      <c r="G9001">
        <v>17.36</v>
      </c>
      <c r="H9001">
        <v>251130</v>
      </c>
      <c r="I9001">
        <v>4600</v>
      </c>
      <c r="J9001" t="s">
        <v>278</v>
      </c>
      <c r="K9001">
        <v>17.36</v>
      </c>
      <c r="L9001">
        <v>3.53</v>
      </c>
      <c r="M9001">
        <v>56568</v>
      </c>
      <c r="N9001" t="s">
        <v>354</v>
      </c>
      <c r="O9001">
        <v>251205</v>
      </c>
      <c r="P9001">
        <v>13.83</v>
      </c>
    </row>
    <row r="9002" spans="1:16" x14ac:dyDescent="0.25">
      <c r="A9002" t="s">
        <v>3296</v>
      </c>
      <c r="B9002" t="s">
        <v>2931</v>
      </c>
      <c r="C9002">
        <v>16238</v>
      </c>
      <c r="D9002" t="str">
        <f>"1377986     "</f>
        <v xml:space="preserve">1377986     </v>
      </c>
      <c r="E9002" t="s">
        <v>353</v>
      </c>
      <c r="F9002" t="s">
        <v>355</v>
      </c>
      <c r="G9002">
        <v>11.24</v>
      </c>
      <c r="H9002">
        <v>251203</v>
      </c>
      <c r="I9002">
        <v>4600</v>
      </c>
      <c r="J9002" t="s">
        <v>278</v>
      </c>
      <c r="K9002">
        <v>11.24</v>
      </c>
      <c r="L9002">
        <v>2.2799999999999998</v>
      </c>
      <c r="M9002">
        <v>59504</v>
      </c>
      <c r="N9002" t="s">
        <v>193</v>
      </c>
      <c r="O9002">
        <v>251205</v>
      </c>
      <c r="P9002">
        <v>8.9600000000000009</v>
      </c>
    </row>
    <row r="9003" spans="1:16" x14ac:dyDescent="0.25">
      <c r="A9003" t="s">
        <v>3296</v>
      </c>
      <c r="B9003" t="s">
        <v>2931</v>
      </c>
      <c r="C9003">
        <v>16239</v>
      </c>
      <c r="D9003" t="str">
        <f>"1377991     "</f>
        <v xml:space="preserve">1377991     </v>
      </c>
      <c r="E9003" t="s">
        <v>353</v>
      </c>
      <c r="F9003" t="s">
        <v>355</v>
      </c>
      <c r="G9003">
        <v>15.15</v>
      </c>
      <c r="H9003">
        <v>251130</v>
      </c>
      <c r="I9003">
        <v>4600</v>
      </c>
      <c r="J9003" t="s">
        <v>278</v>
      </c>
      <c r="K9003">
        <v>15.15</v>
      </c>
      <c r="L9003">
        <v>3.08</v>
      </c>
      <c r="M9003">
        <v>56568</v>
      </c>
      <c r="N9003" t="s">
        <v>354</v>
      </c>
      <c r="O9003">
        <v>251205</v>
      </c>
      <c r="P9003">
        <v>12.07</v>
      </c>
    </row>
    <row r="9004" spans="1:16" x14ac:dyDescent="0.25">
      <c r="A9004" t="s">
        <v>3296</v>
      </c>
      <c r="B9004" t="s">
        <v>2931</v>
      </c>
      <c r="C9004">
        <v>16458</v>
      </c>
      <c r="D9004" t="str">
        <f>"1377943     "</f>
        <v xml:space="preserve">1377943     </v>
      </c>
      <c r="E9004" t="s">
        <v>353</v>
      </c>
      <c r="F9004" t="s">
        <v>355</v>
      </c>
      <c r="G9004">
        <v>-97.82</v>
      </c>
      <c r="H9004">
        <v>251130</v>
      </c>
      <c r="I9004">
        <v>4600</v>
      </c>
      <c r="J9004" t="s">
        <v>278</v>
      </c>
      <c r="K9004">
        <v>-97.82</v>
      </c>
      <c r="L9004">
        <v>-19.88</v>
      </c>
      <c r="M9004">
        <v>56568</v>
      </c>
      <c r="N9004" t="s">
        <v>354</v>
      </c>
      <c r="O9004">
        <v>251209</v>
      </c>
      <c r="P9004">
        <v>-77.94</v>
      </c>
    </row>
    <row r="9005" spans="1:16" x14ac:dyDescent="0.25">
      <c r="A9005" t="s">
        <v>3296</v>
      </c>
      <c r="B9005" t="s">
        <v>2931</v>
      </c>
      <c r="C9005">
        <v>16459</v>
      </c>
      <c r="D9005" t="str">
        <f>"1377973     "</f>
        <v xml:space="preserve">1377973     </v>
      </c>
      <c r="E9005" t="s">
        <v>353</v>
      </c>
      <c r="F9005" t="s">
        <v>355</v>
      </c>
      <c r="G9005">
        <v>-1.95</v>
      </c>
      <c r="H9005">
        <v>251203</v>
      </c>
      <c r="I9005">
        <v>4600</v>
      </c>
      <c r="J9005" t="s">
        <v>278</v>
      </c>
      <c r="K9005">
        <v>-1.95</v>
      </c>
      <c r="L9005">
        <v>-0.4</v>
      </c>
      <c r="M9005">
        <v>56568</v>
      </c>
      <c r="N9005" t="s">
        <v>354</v>
      </c>
      <c r="O9005">
        <v>251209</v>
      </c>
      <c r="P9005">
        <v>-1.55</v>
      </c>
    </row>
    <row r="9006" spans="1:16" x14ac:dyDescent="0.25">
      <c r="A9006" t="s">
        <v>3296</v>
      </c>
      <c r="B9006" t="s">
        <v>2931</v>
      </c>
      <c r="C9006">
        <v>16461</v>
      </c>
      <c r="D9006" t="str">
        <f>"1377942     "</f>
        <v xml:space="preserve">1377942     </v>
      </c>
      <c r="E9006" t="s">
        <v>353</v>
      </c>
      <c r="F9006" t="s">
        <v>355</v>
      </c>
      <c r="G9006">
        <v>-148.88</v>
      </c>
      <c r="H9006">
        <v>251130</v>
      </c>
      <c r="I9006">
        <v>4600</v>
      </c>
      <c r="J9006" t="s">
        <v>278</v>
      </c>
      <c r="K9006">
        <v>-148.88</v>
      </c>
      <c r="L9006">
        <v>-30.25</v>
      </c>
      <c r="M9006">
        <v>56568</v>
      </c>
      <c r="N9006" t="s">
        <v>354</v>
      </c>
      <c r="O9006">
        <v>251209</v>
      </c>
      <c r="P9006">
        <v>-118.63</v>
      </c>
    </row>
    <row r="9007" spans="1:16" x14ac:dyDescent="0.25">
      <c r="A9007" t="s">
        <v>3296</v>
      </c>
      <c r="B9007" t="s">
        <v>2931</v>
      </c>
      <c r="C9007">
        <v>16463</v>
      </c>
      <c r="D9007" t="str">
        <f>"1377965     "</f>
        <v xml:space="preserve">1377965     </v>
      </c>
      <c r="E9007" t="s">
        <v>353</v>
      </c>
      <c r="F9007" t="s">
        <v>355</v>
      </c>
      <c r="G9007">
        <v>-69.540000000000006</v>
      </c>
      <c r="H9007">
        <v>251130</v>
      </c>
      <c r="I9007">
        <v>4600</v>
      </c>
      <c r="J9007" t="s">
        <v>278</v>
      </c>
      <c r="K9007">
        <v>-69.540000000000006</v>
      </c>
      <c r="L9007">
        <v>-14.13</v>
      </c>
      <c r="M9007">
        <v>56568</v>
      </c>
      <c r="N9007" t="s">
        <v>354</v>
      </c>
      <c r="O9007">
        <v>251209</v>
      </c>
      <c r="P9007">
        <v>-55.41</v>
      </c>
    </row>
    <row r="9008" spans="1:16" x14ac:dyDescent="0.25">
      <c r="A9008" t="s">
        <v>3296</v>
      </c>
      <c r="B9008" t="s">
        <v>2931</v>
      </c>
      <c r="C9008">
        <v>16522</v>
      </c>
      <c r="D9008" t="str">
        <f>"1377952     "</f>
        <v xml:space="preserve">1377952     </v>
      </c>
      <c r="E9008" t="s">
        <v>353</v>
      </c>
      <c r="F9008" t="s">
        <v>355</v>
      </c>
      <c r="G9008">
        <v>31.42</v>
      </c>
      <c r="H9008">
        <v>251130</v>
      </c>
      <c r="I9008">
        <v>4600</v>
      </c>
      <c r="J9008" t="s">
        <v>278</v>
      </c>
      <c r="K9008">
        <v>31.42</v>
      </c>
      <c r="L9008">
        <v>6.38</v>
      </c>
      <c r="M9008">
        <v>56568</v>
      </c>
      <c r="N9008" t="s">
        <v>354</v>
      </c>
      <c r="O9008">
        <v>251209</v>
      </c>
      <c r="P9008">
        <v>25.04</v>
      </c>
    </row>
    <row r="9009" spans="1:16" x14ac:dyDescent="0.25">
      <c r="A9009" t="s">
        <v>3296</v>
      </c>
      <c r="B9009" t="s">
        <v>2931</v>
      </c>
      <c r="C9009">
        <v>16523</v>
      </c>
      <c r="D9009" t="str">
        <f>"1377940     "</f>
        <v xml:space="preserve">1377940     </v>
      </c>
      <c r="E9009" t="s">
        <v>353</v>
      </c>
      <c r="F9009" t="s">
        <v>355</v>
      </c>
      <c r="G9009">
        <v>80.87</v>
      </c>
      <c r="H9009">
        <v>251130</v>
      </c>
      <c r="I9009">
        <v>4600</v>
      </c>
      <c r="J9009" t="s">
        <v>278</v>
      </c>
      <c r="K9009">
        <v>80.87</v>
      </c>
      <c r="L9009">
        <v>16.43</v>
      </c>
      <c r="M9009">
        <v>56568</v>
      </c>
      <c r="N9009" t="s">
        <v>354</v>
      </c>
      <c r="O9009">
        <v>251209</v>
      </c>
      <c r="P9009">
        <v>64.44</v>
      </c>
    </row>
    <row r="9010" spans="1:16" x14ac:dyDescent="0.25">
      <c r="A9010" t="s">
        <v>3296</v>
      </c>
      <c r="B9010" t="s">
        <v>2931</v>
      </c>
      <c r="C9010">
        <v>16524</v>
      </c>
      <c r="D9010" t="str">
        <f>"1377948     "</f>
        <v xml:space="preserve">1377948     </v>
      </c>
      <c r="E9010" t="s">
        <v>353</v>
      </c>
      <c r="F9010" t="s">
        <v>355</v>
      </c>
      <c r="G9010">
        <v>58.51</v>
      </c>
      <c r="H9010">
        <v>251130</v>
      </c>
      <c r="I9010">
        <v>4600</v>
      </c>
      <c r="J9010" t="s">
        <v>278</v>
      </c>
      <c r="K9010">
        <v>58.51</v>
      </c>
      <c r="L9010">
        <v>11.89</v>
      </c>
      <c r="M9010">
        <v>56558</v>
      </c>
      <c r="N9010" t="s">
        <v>50</v>
      </c>
      <c r="O9010">
        <v>251209</v>
      </c>
      <c r="P9010">
        <v>46.62</v>
      </c>
    </row>
    <row r="9011" spans="1:16" x14ac:dyDescent="0.25">
      <c r="A9011" t="s">
        <v>3296</v>
      </c>
      <c r="B9011" t="s">
        <v>2931</v>
      </c>
      <c r="C9011">
        <v>16525</v>
      </c>
      <c r="D9011" t="str">
        <f>"1377953     "</f>
        <v xml:space="preserve">1377953     </v>
      </c>
      <c r="E9011" t="s">
        <v>353</v>
      </c>
      <c r="F9011" t="s">
        <v>355</v>
      </c>
      <c r="G9011">
        <v>47.3</v>
      </c>
      <c r="H9011">
        <v>251130</v>
      </c>
      <c r="I9011">
        <v>4600</v>
      </c>
      <c r="J9011" t="s">
        <v>278</v>
      </c>
      <c r="K9011">
        <v>47.3</v>
      </c>
      <c r="L9011">
        <v>9.61</v>
      </c>
      <c r="M9011">
        <v>56568</v>
      </c>
      <c r="N9011" t="s">
        <v>354</v>
      </c>
      <c r="O9011">
        <v>251209</v>
      </c>
      <c r="P9011">
        <v>37.69</v>
      </c>
    </row>
    <row r="9012" spans="1:16" x14ac:dyDescent="0.25">
      <c r="A9012" t="s">
        <v>3296</v>
      </c>
      <c r="B9012" t="s">
        <v>2931</v>
      </c>
      <c r="C9012">
        <v>16526</v>
      </c>
      <c r="D9012" t="str">
        <f>"1377963     "</f>
        <v xml:space="preserve">1377963     </v>
      </c>
      <c r="E9012" t="s">
        <v>353</v>
      </c>
      <c r="F9012" t="s">
        <v>355</v>
      </c>
      <c r="G9012">
        <v>54.75</v>
      </c>
      <c r="H9012">
        <v>251130</v>
      </c>
      <c r="I9012">
        <v>4600</v>
      </c>
      <c r="J9012" t="s">
        <v>278</v>
      </c>
      <c r="K9012">
        <v>54.75</v>
      </c>
      <c r="L9012">
        <v>11.12</v>
      </c>
      <c r="M9012">
        <v>56568</v>
      </c>
      <c r="N9012" t="s">
        <v>354</v>
      </c>
      <c r="O9012">
        <v>251209</v>
      </c>
      <c r="P9012">
        <v>43.63</v>
      </c>
    </row>
    <row r="9013" spans="1:16" x14ac:dyDescent="0.25">
      <c r="A9013" t="s">
        <v>3296</v>
      </c>
      <c r="B9013" t="s">
        <v>2931</v>
      </c>
      <c r="C9013">
        <v>16527</v>
      </c>
      <c r="D9013" t="str">
        <f>"1377981     "</f>
        <v xml:space="preserve">1377981     </v>
      </c>
      <c r="E9013" t="s">
        <v>353</v>
      </c>
      <c r="F9013" t="s">
        <v>355</v>
      </c>
      <c r="G9013">
        <v>7.12</v>
      </c>
      <c r="H9013">
        <v>251203</v>
      </c>
      <c r="I9013">
        <v>4600</v>
      </c>
      <c r="J9013" t="s">
        <v>278</v>
      </c>
      <c r="K9013">
        <v>7.12</v>
      </c>
      <c r="L9013">
        <v>1.45</v>
      </c>
      <c r="M9013">
        <v>56565</v>
      </c>
      <c r="N9013" t="s">
        <v>57</v>
      </c>
      <c r="O9013">
        <v>251209</v>
      </c>
      <c r="P9013">
        <v>5.67</v>
      </c>
    </row>
    <row r="9014" spans="1:16" x14ac:dyDescent="0.25">
      <c r="A9014" t="s">
        <v>3296</v>
      </c>
      <c r="B9014" t="s">
        <v>2931</v>
      </c>
      <c r="C9014">
        <v>16528</v>
      </c>
      <c r="D9014" t="str">
        <f>"1377949     "</f>
        <v xml:space="preserve">1377949     </v>
      </c>
      <c r="E9014" t="s">
        <v>353</v>
      </c>
      <c r="F9014" t="s">
        <v>355</v>
      </c>
      <c r="G9014">
        <v>20.7</v>
      </c>
      <c r="H9014">
        <v>251130</v>
      </c>
      <c r="I9014">
        <v>4600</v>
      </c>
      <c r="J9014" t="s">
        <v>278</v>
      </c>
      <c r="K9014">
        <v>20.7</v>
      </c>
      <c r="L9014">
        <v>4.21</v>
      </c>
      <c r="M9014">
        <v>56568</v>
      </c>
      <c r="N9014" t="s">
        <v>354</v>
      </c>
      <c r="O9014">
        <v>251209</v>
      </c>
      <c r="P9014">
        <v>16.489999999999998</v>
      </c>
    </row>
    <row r="9015" spans="1:16" x14ac:dyDescent="0.25">
      <c r="A9015" t="s">
        <v>3296</v>
      </c>
      <c r="B9015" t="s">
        <v>2931</v>
      </c>
      <c r="C9015">
        <v>16529</v>
      </c>
      <c r="D9015" t="str">
        <f>"1377955     "</f>
        <v xml:space="preserve">1377955     </v>
      </c>
      <c r="E9015" t="s">
        <v>353</v>
      </c>
      <c r="F9015" t="s">
        <v>355</v>
      </c>
      <c r="G9015">
        <v>20.74</v>
      </c>
      <c r="H9015">
        <v>251130</v>
      </c>
      <c r="I9015">
        <v>4600</v>
      </c>
      <c r="J9015" t="s">
        <v>278</v>
      </c>
      <c r="K9015">
        <v>20.74</v>
      </c>
      <c r="L9015">
        <v>4.21</v>
      </c>
      <c r="M9015">
        <v>56568</v>
      </c>
      <c r="N9015" t="s">
        <v>354</v>
      </c>
      <c r="O9015">
        <v>251209</v>
      </c>
      <c r="P9015">
        <v>16.53</v>
      </c>
    </row>
    <row r="9016" spans="1:16" x14ac:dyDescent="0.25">
      <c r="A9016" t="s">
        <v>3296</v>
      </c>
      <c r="B9016" t="s">
        <v>2931</v>
      </c>
      <c r="C9016">
        <v>16531</v>
      </c>
      <c r="D9016" t="str">
        <f>"1377983     "</f>
        <v xml:space="preserve">1377983     </v>
      </c>
      <c r="E9016" t="s">
        <v>353</v>
      </c>
      <c r="F9016" t="s">
        <v>355</v>
      </c>
      <c r="G9016">
        <v>28.89</v>
      </c>
      <c r="H9016">
        <v>251203</v>
      </c>
      <c r="I9016">
        <v>4600</v>
      </c>
      <c r="J9016" t="s">
        <v>278</v>
      </c>
      <c r="K9016">
        <v>28.89</v>
      </c>
      <c r="L9016">
        <v>5.87</v>
      </c>
      <c r="M9016">
        <v>56568</v>
      </c>
      <c r="N9016" t="s">
        <v>354</v>
      </c>
      <c r="O9016">
        <v>251209</v>
      </c>
      <c r="P9016">
        <v>23.02</v>
      </c>
    </row>
    <row r="9017" spans="1:16" x14ac:dyDescent="0.25">
      <c r="A9017" t="s">
        <v>3296</v>
      </c>
      <c r="B9017" t="s">
        <v>2931</v>
      </c>
      <c r="C9017">
        <v>16532</v>
      </c>
      <c r="D9017" t="str">
        <f>"1377936     "</f>
        <v xml:space="preserve">1377936     </v>
      </c>
      <c r="E9017" t="s">
        <v>353</v>
      </c>
      <c r="F9017" t="s">
        <v>355</v>
      </c>
      <c r="G9017">
        <v>53.28</v>
      </c>
      <c r="H9017">
        <v>251130</v>
      </c>
      <c r="I9017">
        <v>4600</v>
      </c>
      <c r="J9017" t="s">
        <v>278</v>
      </c>
      <c r="K9017">
        <v>53.28</v>
      </c>
      <c r="L9017">
        <v>10.83</v>
      </c>
      <c r="M9017">
        <v>56568</v>
      </c>
      <c r="N9017" t="s">
        <v>354</v>
      </c>
      <c r="O9017">
        <v>251209</v>
      </c>
      <c r="P9017">
        <v>42.45</v>
      </c>
    </row>
    <row r="9018" spans="1:16" x14ac:dyDescent="0.25">
      <c r="A9018" t="s">
        <v>3296</v>
      </c>
      <c r="B9018" t="s">
        <v>2931</v>
      </c>
      <c r="C9018">
        <v>16534</v>
      </c>
      <c r="D9018" t="str">
        <f>"1377961     "</f>
        <v xml:space="preserve">1377961     </v>
      </c>
      <c r="E9018" t="s">
        <v>353</v>
      </c>
      <c r="F9018" t="s">
        <v>355</v>
      </c>
      <c r="G9018">
        <v>320.33999999999997</v>
      </c>
      <c r="H9018">
        <v>251130</v>
      </c>
      <c r="I9018">
        <v>4600</v>
      </c>
      <c r="J9018" t="s">
        <v>278</v>
      </c>
      <c r="K9018">
        <v>320.33999999999997</v>
      </c>
      <c r="L9018">
        <v>65.09</v>
      </c>
      <c r="M9018">
        <v>56568</v>
      </c>
      <c r="N9018" t="s">
        <v>354</v>
      </c>
      <c r="O9018">
        <v>251209</v>
      </c>
      <c r="P9018">
        <v>255.25</v>
      </c>
    </row>
    <row r="9019" spans="1:16" x14ac:dyDescent="0.25">
      <c r="A9019" t="s">
        <v>3296</v>
      </c>
      <c r="B9019" t="s">
        <v>2931</v>
      </c>
      <c r="C9019">
        <v>16535</v>
      </c>
      <c r="D9019" t="str">
        <f>"1377946     "</f>
        <v xml:space="preserve">1377946     </v>
      </c>
      <c r="E9019" t="s">
        <v>353</v>
      </c>
      <c r="F9019" t="s">
        <v>355</v>
      </c>
      <c r="G9019">
        <v>31.85</v>
      </c>
      <c r="H9019">
        <v>251130</v>
      </c>
      <c r="I9019">
        <v>4600</v>
      </c>
      <c r="J9019" t="s">
        <v>278</v>
      </c>
      <c r="K9019">
        <v>31.85</v>
      </c>
      <c r="L9019">
        <v>6.47</v>
      </c>
      <c r="M9019">
        <v>56568</v>
      </c>
      <c r="N9019" t="s">
        <v>354</v>
      </c>
      <c r="O9019">
        <v>251209</v>
      </c>
      <c r="P9019">
        <v>25.38</v>
      </c>
    </row>
    <row r="9020" spans="1:16" x14ac:dyDescent="0.25">
      <c r="A9020" t="s">
        <v>3296</v>
      </c>
      <c r="B9020" t="s">
        <v>2931</v>
      </c>
      <c r="C9020">
        <v>16566</v>
      </c>
      <c r="D9020" t="str">
        <f>"1377957     "</f>
        <v xml:space="preserve">1377957     </v>
      </c>
      <c r="E9020" t="s">
        <v>353</v>
      </c>
      <c r="F9020" t="s">
        <v>355</v>
      </c>
      <c r="G9020">
        <v>7.44</v>
      </c>
      <c r="H9020">
        <v>251130</v>
      </c>
      <c r="I9020">
        <v>4600</v>
      </c>
      <c r="J9020" t="s">
        <v>278</v>
      </c>
      <c r="K9020">
        <v>7.44</v>
      </c>
      <c r="L9020">
        <v>1.51</v>
      </c>
      <c r="M9020">
        <v>56568</v>
      </c>
      <c r="N9020" t="s">
        <v>354</v>
      </c>
      <c r="O9020">
        <v>251210</v>
      </c>
      <c r="P9020">
        <v>5.93</v>
      </c>
    </row>
    <row r="9021" spans="1:16" x14ac:dyDescent="0.25">
      <c r="A9021" t="s">
        <v>3296</v>
      </c>
      <c r="B9021" t="s">
        <v>2931</v>
      </c>
      <c r="C9021">
        <v>16567</v>
      </c>
      <c r="D9021" t="str">
        <f>"1377960     "</f>
        <v xml:space="preserve">1377960     </v>
      </c>
      <c r="E9021" t="s">
        <v>353</v>
      </c>
      <c r="F9021" t="s">
        <v>355</v>
      </c>
      <c r="G9021">
        <v>176</v>
      </c>
      <c r="H9021">
        <v>251130</v>
      </c>
      <c r="I9021">
        <v>4600</v>
      </c>
      <c r="J9021" t="s">
        <v>278</v>
      </c>
      <c r="K9021">
        <v>176</v>
      </c>
      <c r="L9021">
        <v>35.76</v>
      </c>
      <c r="M9021">
        <v>56568</v>
      </c>
      <c r="N9021" t="s">
        <v>354</v>
      </c>
      <c r="O9021">
        <v>251210</v>
      </c>
      <c r="P9021">
        <v>140.24</v>
      </c>
    </row>
    <row r="9022" spans="1:16" x14ac:dyDescent="0.25">
      <c r="A9022" t="s">
        <v>3296</v>
      </c>
      <c r="B9022" t="s">
        <v>2931</v>
      </c>
      <c r="C9022">
        <v>16568</v>
      </c>
      <c r="D9022" t="str">
        <f>"1377980     "</f>
        <v xml:space="preserve">1377980     </v>
      </c>
      <c r="E9022" t="s">
        <v>353</v>
      </c>
      <c r="F9022" t="s">
        <v>355</v>
      </c>
      <c r="G9022">
        <v>91.65</v>
      </c>
      <c r="H9022">
        <v>251203</v>
      </c>
      <c r="I9022">
        <v>4600</v>
      </c>
      <c r="J9022" t="s">
        <v>278</v>
      </c>
      <c r="K9022">
        <v>91.65</v>
      </c>
      <c r="L9022">
        <v>18.62</v>
      </c>
      <c r="M9022">
        <v>56568</v>
      </c>
      <c r="N9022" t="s">
        <v>354</v>
      </c>
      <c r="O9022">
        <v>251210</v>
      </c>
      <c r="P9022">
        <v>73.03</v>
      </c>
    </row>
    <row r="9023" spans="1:16" x14ac:dyDescent="0.25">
      <c r="A9023" t="s">
        <v>3296</v>
      </c>
      <c r="B9023" t="s">
        <v>2931</v>
      </c>
      <c r="C9023">
        <v>16569</v>
      </c>
      <c r="D9023" t="str">
        <f>"1377951     "</f>
        <v xml:space="preserve">1377951     </v>
      </c>
      <c r="E9023" t="s">
        <v>353</v>
      </c>
      <c r="F9023" t="s">
        <v>355</v>
      </c>
      <c r="G9023">
        <v>3.99</v>
      </c>
      <c r="H9023">
        <v>251130</v>
      </c>
      <c r="I9023">
        <v>4600</v>
      </c>
      <c r="J9023" t="s">
        <v>278</v>
      </c>
      <c r="K9023">
        <v>3.99</v>
      </c>
      <c r="L9023">
        <v>0.81</v>
      </c>
      <c r="M9023">
        <v>56568</v>
      </c>
      <c r="N9023" t="s">
        <v>354</v>
      </c>
      <c r="O9023">
        <v>251210</v>
      </c>
      <c r="P9023">
        <v>3.18</v>
      </c>
    </row>
    <row r="9024" spans="1:16" x14ac:dyDescent="0.25">
      <c r="A9024" t="s">
        <v>3296</v>
      </c>
      <c r="B9024" t="s">
        <v>2931</v>
      </c>
      <c r="C9024">
        <v>16570</v>
      </c>
      <c r="D9024" t="str">
        <f>"1377974     "</f>
        <v xml:space="preserve">1377974     </v>
      </c>
      <c r="E9024" t="s">
        <v>353</v>
      </c>
      <c r="F9024" t="s">
        <v>355</v>
      </c>
      <c r="G9024">
        <v>52</v>
      </c>
      <c r="H9024">
        <v>251203</v>
      </c>
      <c r="I9024">
        <v>4600</v>
      </c>
      <c r="J9024" t="s">
        <v>278</v>
      </c>
      <c r="K9024">
        <v>52</v>
      </c>
      <c r="L9024">
        <v>10.57</v>
      </c>
      <c r="M9024">
        <v>56568</v>
      </c>
      <c r="N9024" t="s">
        <v>354</v>
      </c>
      <c r="O9024">
        <v>251210</v>
      </c>
      <c r="P9024">
        <v>41.43</v>
      </c>
    </row>
    <row r="9025" spans="1:16" x14ac:dyDescent="0.25">
      <c r="A9025" t="s">
        <v>3296</v>
      </c>
      <c r="B9025" t="s">
        <v>2931</v>
      </c>
      <c r="C9025">
        <v>16571</v>
      </c>
      <c r="D9025" t="str">
        <f>"1377964     "</f>
        <v xml:space="preserve">1377964     </v>
      </c>
      <c r="E9025" t="s">
        <v>353</v>
      </c>
      <c r="F9025" t="s">
        <v>355</v>
      </c>
      <c r="G9025">
        <v>9.2799999999999994</v>
      </c>
      <c r="H9025">
        <v>251130</v>
      </c>
      <c r="I9025">
        <v>4600</v>
      </c>
      <c r="J9025" t="s">
        <v>278</v>
      </c>
      <c r="K9025">
        <v>9.2799999999999994</v>
      </c>
      <c r="L9025">
        <v>1.89</v>
      </c>
      <c r="M9025">
        <v>56568</v>
      </c>
      <c r="N9025" t="s">
        <v>354</v>
      </c>
      <c r="O9025">
        <v>251210</v>
      </c>
      <c r="P9025">
        <v>7.39</v>
      </c>
    </row>
    <row r="9026" spans="1:16" x14ac:dyDescent="0.25">
      <c r="A9026" t="s">
        <v>3296</v>
      </c>
      <c r="B9026" t="s">
        <v>2931</v>
      </c>
      <c r="C9026">
        <v>16572</v>
      </c>
      <c r="D9026" t="str">
        <f>"1377945     "</f>
        <v xml:space="preserve">1377945     </v>
      </c>
      <c r="E9026" t="s">
        <v>353</v>
      </c>
      <c r="F9026" t="s">
        <v>355</v>
      </c>
      <c r="G9026">
        <v>68.23</v>
      </c>
      <c r="H9026">
        <v>251130</v>
      </c>
      <c r="I9026">
        <v>4600</v>
      </c>
      <c r="J9026" t="s">
        <v>278</v>
      </c>
      <c r="K9026">
        <v>68.23</v>
      </c>
      <c r="L9026">
        <v>13.86</v>
      </c>
      <c r="M9026">
        <v>56568</v>
      </c>
      <c r="N9026" t="s">
        <v>354</v>
      </c>
      <c r="O9026">
        <v>251210</v>
      </c>
      <c r="P9026">
        <v>54.37</v>
      </c>
    </row>
    <row r="9027" spans="1:16" x14ac:dyDescent="0.25">
      <c r="A9027" t="s">
        <v>3296</v>
      </c>
      <c r="B9027" t="s">
        <v>2931</v>
      </c>
      <c r="C9027">
        <v>16574</v>
      </c>
      <c r="D9027" t="str">
        <f>"1377939     "</f>
        <v xml:space="preserve">1377939     </v>
      </c>
      <c r="E9027" t="s">
        <v>353</v>
      </c>
      <c r="F9027" t="s">
        <v>355</v>
      </c>
      <c r="G9027">
        <v>60.44</v>
      </c>
      <c r="H9027">
        <v>251130</v>
      </c>
      <c r="I9027">
        <v>4600</v>
      </c>
      <c r="J9027" t="s">
        <v>278</v>
      </c>
      <c r="K9027">
        <v>60.44</v>
      </c>
      <c r="L9027">
        <v>12.28</v>
      </c>
      <c r="M9027">
        <v>56568</v>
      </c>
      <c r="N9027" t="s">
        <v>354</v>
      </c>
      <c r="O9027">
        <v>251210</v>
      </c>
      <c r="P9027">
        <v>48.16</v>
      </c>
    </row>
    <row r="9028" spans="1:16" x14ac:dyDescent="0.25">
      <c r="A9028" t="s">
        <v>3296</v>
      </c>
      <c r="B9028" t="s">
        <v>2931</v>
      </c>
      <c r="C9028">
        <v>16576</v>
      </c>
      <c r="D9028" t="str">
        <f>"1377971     "</f>
        <v xml:space="preserve">1377971     </v>
      </c>
      <c r="E9028" t="s">
        <v>353</v>
      </c>
      <c r="F9028" t="s">
        <v>355</v>
      </c>
      <c r="G9028">
        <v>204.58</v>
      </c>
      <c r="H9028">
        <v>251203</v>
      </c>
      <c r="I9028">
        <v>4600</v>
      </c>
      <c r="J9028" t="s">
        <v>278</v>
      </c>
      <c r="K9028">
        <v>204.58</v>
      </c>
      <c r="L9028">
        <v>41.57</v>
      </c>
      <c r="M9028">
        <v>56568</v>
      </c>
      <c r="N9028" t="s">
        <v>354</v>
      </c>
      <c r="O9028">
        <v>251210</v>
      </c>
      <c r="P9028">
        <v>163.01</v>
      </c>
    </row>
    <row r="9029" spans="1:16" x14ac:dyDescent="0.25">
      <c r="A9029" t="s">
        <v>3296</v>
      </c>
      <c r="B9029" t="s">
        <v>2931</v>
      </c>
      <c r="C9029">
        <v>16577</v>
      </c>
      <c r="D9029" t="str">
        <f>"1377968     "</f>
        <v xml:space="preserve">1377968     </v>
      </c>
      <c r="E9029" t="s">
        <v>353</v>
      </c>
      <c r="F9029" t="s">
        <v>355</v>
      </c>
      <c r="G9029">
        <v>12.21</v>
      </c>
      <c r="H9029">
        <v>251130</v>
      </c>
      <c r="I9029">
        <v>4600</v>
      </c>
      <c r="J9029" t="s">
        <v>278</v>
      </c>
      <c r="K9029">
        <v>12.21</v>
      </c>
      <c r="L9029">
        <v>2.48</v>
      </c>
      <c r="M9029">
        <v>56568</v>
      </c>
      <c r="N9029" t="s">
        <v>354</v>
      </c>
      <c r="O9029">
        <v>251210</v>
      </c>
      <c r="P9029">
        <v>9.73</v>
      </c>
    </row>
    <row r="9030" spans="1:16" x14ac:dyDescent="0.25">
      <c r="A9030" t="s">
        <v>3296</v>
      </c>
      <c r="B9030" t="s">
        <v>2931</v>
      </c>
      <c r="C9030">
        <v>16582</v>
      </c>
      <c r="D9030" t="str">
        <f>"1377958     "</f>
        <v xml:space="preserve">1377958     </v>
      </c>
      <c r="E9030" t="s">
        <v>353</v>
      </c>
      <c r="F9030" t="s">
        <v>355</v>
      </c>
      <c r="G9030">
        <v>101.25</v>
      </c>
      <c r="H9030">
        <v>251130</v>
      </c>
      <c r="I9030">
        <v>4600</v>
      </c>
      <c r="J9030" t="s">
        <v>278</v>
      </c>
      <c r="K9030">
        <v>101.25</v>
      </c>
      <c r="L9030">
        <v>20.57</v>
      </c>
      <c r="M9030">
        <v>56568</v>
      </c>
      <c r="N9030" t="s">
        <v>354</v>
      </c>
      <c r="O9030">
        <v>251210</v>
      </c>
      <c r="P9030">
        <v>80.680000000000007</v>
      </c>
    </row>
    <row r="9031" spans="1:16" x14ac:dyDescent="0.25">
      <c r="A9031" t="s">
        <v>3296</v>
      </c>
      <c r="B9031" t="s">
        <v>2931</v>
      </c>
      <c r="C9031">
        <v>16583</v>
      </c>
      <c r="D9031" t="str">
        <f>"1377962     "</f>
        <v xml:space="preserve">1377962     </v>
      </c>
      <c r="E9031" t="s">
        <v>353</v>
      </c>
      <c r="F9031" t="s">
        <v>355</v>
      </c>
      <c r="G9031">
        <v>16.57</v>
      </c>
      <c r="H9031">
        <v>251130</v>
      </c>
      <c r="I9031">
        <v>4600</v>
      </c>
      <c r="J9031" t="s">
        <v>278</v>
      </c>
      <c r="K9031">
        <v>16.57</v>
      </c>
      <c r="L9031">
        <v>3.37</v>
      </c>
      <c r="M9031">
        <v>56568</v>
      </c>
      <c r="N9031" t="s">
        <v>354</v>
      </c>
      <c r="O9031">
        <v>251210</v>
      </c>
      <c r="P9031">
        <v>13.2</v>
      </c>
    </row>
    <row r="9032" spans="1:16" x14ac:dyDescent="0.25">
      <c r="A9032" t="s">
        <v>3296</v>
      </c>
      <c r="B9032" t="s">
        <v>2931</v>
      </c>
      <c r="C9032">
        <v>16584</v>
      </c>
      <c r="D9032" t="str">
        <f>"1377992     "</f>
        <v xml:space="preserve">1377992     </v>
      </c>
      <c r="E9032" t="s">
        <v>353</v>
      </c>
      <c r="F9032" t="s">
        <v>355</v>
      </c>
      <c r="G9032">
        <v>378.48</v>
      </c>
      <c r="H9032">
        <v>251203</v>
      </c>
      <c r="I9032">
        <v>4600</v>
      </c>
      <c r="J9032" t="s">
        <v>278</v>
      </c>
      <c r="K9032">
        <v>378.48</v>
      </c>
      <c r="L9032">
        <v>76.900000000000006</v>
      </c>
      <c r="M9032">
        <v>67522</v>
      </c>
      <c r="N9032" t="s">
        <v>121</v>
      </c>
      <c r="O9032">
        <v>251210</v>
      </c>
      <c r="P9032">
        <v>301.58</v>
      </c>
    </row>
    <row r="9033" spans="1:16" x14ac:dyDescent="0.25">
      <c r="A9033" t="s">
        <v>3296</v>
      </c>
      <c r="B9033" t="s">
        <v>2931</v>
      </c>
      <c r="C9033">
        <v>16585</v>
      </c>
      <c r="D9033" t="str">
        <f>"1377987     "</f>
        <v xml:space="preserve">1377987     </v>
      </c>
      <c r="E9033" t="s">
        <v>353</v>
      </c>
      <c r="F9033" t="s">
        <v>355</v>
      </c>
      <c r="G9033">
        <v>8.68</v>
      </c>
      <c r="H9033">
        <v>251130</v>
      </c>
      <c r="I9033">
        <v>4600</v>
      </c>
      <c r="J9033" t="s">
        <v>278</v>
      </c>
      <c r="K9033">
        <v>8.68</v>
      </c>
      <c r="L9033">
        <v>1.76</v>
      </c>
      <c r="M9033">
        <v>67522</v>
      </c>
      <c r="N9033" t="s">
        <v>121</v>
      </c>
      <c r="O9033">
        <v>251210</v>
      </c>
      <c r="P9033">
        <v>6.92</v>
      </c>
    </row>
    <row r="9034" spans="1:16" x14ac:dyDescent="0.25">
      <c r="A9034" t="s">
        <v>3296</v>
      </c>
      <c r="B9034" t="s">
        <v>2931</v>
      </c>
      <c r="C9034">
        <v>16586</v>
      </c>
      <c r="D9034" t="str">
        <f>"1377989     "</f>
        <v xml:space="preserve">1377989     </v>
      </c>
      <c r="E9034" t="s">
        <v>353</v>
      </c>
      <c r="F9034" t="s">
        <v>355</v>
      </c>
      <c r="G9034">
        <v>31.12</v>
      </c>
      <c r="H9034">
        <v>251130</v>
      </c>
      <c r="I9034">
        <v>4600</v>
      </c>
      <c r="J9034" t="s">
        <v>278</v>
      </c>
      <c r="K9034">
        <v>265.72000000000003</v>
      </c>
      <c r="L9034">
        <v>6.32</v>
      </c>
      <c r="M9034">
        <v>67522</v>
      </c>
      <c r="N9034" t="s">
        <v>121</v>
      </c>
      <c r="O9034">
        <v>251210</v>
      </c>
      <c r="P9034">
        <v>24.8</v>
      </c>
    </row>
    <row r="9035" spans="1:16" x14ac:dyDescent="0.25">
      <c r="A9035" t="s">
        <v>3296</v>
      </c>
      <c r="B9035" t="s">
        <v>2931</v>
      </c>
      <c r="C9035">
        <v>16590</v>
      </c>
      <c r="D9035" t="str">
        <f>"1377984     "</f>
        <v xml:space="preserve">1377984     </v>
      </c>
      <c r="E9035" t="s">
        <v>353</v>
      </c>
      <c r="F9035" t="s">
        <v>355</v>
      </c>
      <c r="G9035">
        <v>32.159999999999997</v>
      </c>
      <c r="H9035">
        <v>251203</v>
      </c>
      <c r="I9035">
        <v>4600</v>
      </c>
      <c r="J9035" t="s">
        <v>278</v>
      </c>
      <c r="K9035">
        <v>32.159999999999997</v>
      </c>
      <c r="L9035">
        <v>6.53</v>
      </c>
      <c r="M9035">
        <v>56568</v>
      </c>
      <c r="N9035" t="s">
        <v>354</v>
      </c>
      <c r="O9035">
        <v>251210</v>
      </c>
      <c r="P9035">
        <v>25.63</v>
      </c>
    </row>
    <row r="9036" spans="1:16" x14ac:dyDescent="0.25">
      <c r="A9036" t="s">
        <v>3296</v>
      </c>
      <c r="B9036" t="s">
        <v>2931</v>
      </c>
      <c r="C9036">
        <v>16591</v>
      </c>
      <c r="D9036" t="str">
        <f>"1377976     "</f>
        <v xml:space="preserve">1377976     </v>
      </c>
      <c r="E9036" t="s">
        <v>353</v>
      </c>
      <c r="F9036" t="s">
        <v>355</v>
      </c>
      <c r="G9036">
        <v>15.78</v>
      </c>
      <c r="H9036">
        <v>251203</v>
      </c>
      <c r="I9036">
        <v>4600</v>
      </c>
      <c r="J9036" t="s">
        <v>278</v>
      </c>
      <c r="K9036">
        <v>15.78</v>
      </c>
      <c r="L9036">
        <v>3.21</v>
      </c>
      <c r="M9036">
        <v>56568</v>
      </c>
      <c r="N9036" t="s">
        <v>354</v>
      </c>
      <c r="O9036">
        <v>251210</v>
      </c>
      <c r="P9036">
        <v>12.57</v>
      </c>
    </row>
    <row r="9037" spans="1:16" x14ac:dyDescent="0.25">
      <c r="A9037" t="s">
        <v>3296</v>
      </c>
      <c r="B9037" t="s">
        <v>2931</v>
      </c>
      <c r="C9037">
        <v>16592</v>
      </c>
      <c r="D9037" t="str">
        <f>"1377972     "</f>
        <v xml:space="preserve">1377972     </v>
      </c>
      <c r="E9037" t="s">
        <v>353</v>
      </c>
      <c r="F9037" t="s">
        <v>355</v>
      </c>
      <c r="G9037">
        <v>21.61</v>
      </c>
      <c r="H9037">
        <v>251203</v>
      </c>
      <c r="I9037">
        <v>4600</v>
      </c>
      <c r="J9037" t="s">
        <v>278</v>
      </c>
      <c r="K9037">
        <v>21.61</v>
      </c>
      <c r="L9037">
        <v>4.3899999999999997</v>
      </c>
      <c r="M9037">
        <v>56568</v>
      </c>
      <c r="N9037" t="s">
        <v>354</v>
      </c>
      <c r="O9037">
        <v>251210</v>
      </c>
      <c r="P9037">
        <v>17.22</v>
      </c>
    </row>
    <row r="9038" spans="1:16" x14ac:dyDescent="0.25">
      <c r="A9038" t="s">
        <v>3296</v>
      </c>
      <c r="B9038" t="s">
        <v>2931</v>
      </c>
      <c r="C9038">
        <v>16594</v>
      </c>
      <c r="D9038" t="str">
        <f>"1377982     "</f>
        <v xml:space="preserve">1377982     </v>
      </c>
      <c r="E9038" t="s">
        <v>353</v>
      </c>
      <c r="F9038" t="s">
        <v>355</v>
      </c>
      <c r="G9038">
        <v>33.15</v>
      </c>
      <c r="H9038">
        <v>251203</v>
      </c>
      <c r="I9038">
        <v>4600</v>
      </c>
      <c r="J9038" t="s">
        <v>278</v>
      </c>
      <c r="K9038">
        <v>33.15</v>
      </c>
      <c r="L9038">
        <v>6.74</v>
      </c>
      <c r="M9038">
        <v>56565</v>
      </c>
      <c r="N9038" t="s">
        <v>57</v>
      </c>
      <c r="O9038">
        <v>251210</v>
      </c>
      <c r="P9038">
        <v>26.41</v>
      </c>
    </row>
    <row r="9039" spans="1:16" x14ac:dyDescent="0.25">
      <c r="A9039" t="s">
        <v>3296</v>
      </c>
      <c r="B9039" t="s">
        <v>2931</v>
      </c>
      <c r="C9039">
        <v>16595</v>
      </c>
      <c r="D9039" t="str">
        <f>"1377978     "</f>
        <v xml:space="preserve">1377978     </v>
      </c>
      <c r="E9039" t="s">
        <v>353</v>
      </c>
      <c r="F9039" t="s">
        <v>355</v>
      </c>
      <c r="G9039">
        <v>16.12</v>
      </c>
      <c r="H9039">
        <v>251203</v>
      </c>
      <c r="I9039">
        <v>4600</v>
      </c>
      <c r="J9039" t="s">
        <v>278</v>
      </c>
      <c r="K9039">
        <v>16.12</v>
      </c>
      <c r="L9039">
        <v>3.28</v>
      </c>
      <c r="M9039">
        <v>56568</v>
      </c>
      <c r="N9039" t="s">
        <v>354</v>
      </c>
      <c r="O9039">
        <v>251210</v>
      </c>
      <c r="P9039">
        <v>12.84</v>
      </c>
    </row>
    <row r="9040" spans="1:16" x14ac:dyDescent="0.25">
      <c r="A9040" t="s">
        <v>3296</v>
      </c>
      <c r="B9040" t="s">
        <v>2931</v>
      </c>
      <c r="C9040">
        <v>16596</v>
      </c>
      <c r="D9040" t="str">
        <f>"1377969     "</f>
        <v xml:space="preserve">1377969     </v>
      </c>
      <c r="E9040" t="s">
        <v>353</v>
      </c>
      <c r="F9040" t="s">
        <v>355</v>
      </c>
      <c r="G9040">
        <v>26.68</v>
      </c>
      <c r="H9040">
        <v>251130</v>
      </c>
      <c r="I9040">
        <v>4600</v>
      </c>
      <c r="J9040" t="s">
        <v>278</v>
      </c>
      <c r="K9040">
        <v>26.68</v>
      </c>
      <c r="L9040">
        <v>5.42</v>
      </c>
      <c r="M9040">
        <v>56568</v>
      </c>
      <c r="N9040" t="s">
        <v>354</v>
      </c>
      <c r="O9040">
        <v>251210</v>
      </c>
      <c r="P9040">
        <v>21.26</v>
      </c>
    </row>
    <row r="9041" spans="1:16" x14ac:dyDescent="0.25">
      <c r="A9041" t="s">
        <v>3296</v>
      </c>
      <c r="B9041" t="s">
        <v>2931</v>
      </c>
      <c r="C9041">
        <v>16644</v>
      </c>
      <c r="D9041" t="str">
        <f>"1377990     "</f>
        <v xml:space="preserve">1377990     </v>
      </c>
      <c r="E9041" t="s">
        <v>353</v>
      </c>
      <c r="F9041" t="s">
        <v>355</v>
      </c>
      <c r="G9041">
        <v>170.05</v>
      </c>
      <c r="H9041">
        <v>251130</v>
      </c>
      <c r="I9041">
        <v>4600</v>
      </c>
      <c r="J9041" t="s">
        <v>278</v>
      </c>
      <c r="K9041">
        <v>170.05</v>
      </c>
      <c r="L9041">
        <v>34.549999999999997</v>
      </c>
      <c r="M9041">
        <v>69501</v>
      </c>
      <c r="N9041" t="s">
        <v>123</v>
      </c>
      <c r="O9041">
        <v>251211</v>
      </c>
      <c r="P9041">
        <v>135.5</v>
      </c>
    </row>
    <row r="9042" spans="1:16" x14ac:dyDescent="0.25">
      <c r="A9042" t="s">
        <v>3296</v>
      </c>
      <c r="B9042" t="s">
        <v>2931</v>
      </c>
      <c r="C9042">
        <v>17281</v>
      </c>
      <c r="D9042" t="str">
        <f>"1379544     "</f>
        <v xml:space="preserve">1379544     </v>
      </c>
      <c r="E9042" t="s">
        <v>353</v>
      </c>
      <c r="F9042" t="s">
        <v>355</v>
      </c>
      <c r="G9042">
        <v>53.9</v>
      </c>
      <c r="H9042">
        <v>251217</v>
      </c>
      <c r="I9042">
        <v>4600</v>
      </c>
      <c r="J9042" t="s">
        <v>278</v>
      </c>
      <c r="K9042">
        <v>53.9</v>
      </c>
      <c r="L9042">
        <v>10.95</v>
      </c>
      <c r="M9042">
        <v>59504</v>
      </c>
      <c r="N9042" t="s">
        <v>193</v>
      </c>
      <c r="O9042">
        <v>251219</v>
      </c>
      <c r="P9042">
        <v>42.95</v>
      </c>
    </row>
    <row r="9043" spans="1:16" x14ac:dyDescent="0.25">
      <c r="A9043" t="s">
        <v>3296</v>
      </c>
      <c r="B9043" t="s">
        <v>2931</v>
      </c>
      <c r="C9043">
        <v>17422</v>
      </c>
      <c r="D9043" t="str">
        <f>"1379528     "</f>
        <v xml:space="preserve">1379528     </v>
      </c>
      <c r="E9043" t="s">
        <v>353</v>
      </c>
      <c r="F9043" t="s">
        <v>355</v>
      </c>
      <c r="G9043">
        <v>-681.93</v>
      </c>
      <c r="H9043">
        <v>251217</v>
      </c>
      <c r="I9043">
        <v>4600</v>
      </c>
      <c r="J9043" t="s">
        <v>278</v>
      </c>
      <c r="K9043">
        <v>-681.93</v>
      </c>
      <c r="L9043">
        <v>-138.56</v>
      </c>
      <c r="M9043">
        <v>56568</v>
      </c>
      <c r="N9043" t="s">
        <v>354</v>
      </c>
      <c r="O9043">
        <v>251219</v>
      </c>
      <c r="P9043">
        <v>-543.37</v>
      </c>
    </row>
    <row r="9044" spans="1:16" x14ac:dyDescent="0.25">
      <c r="A9044" t="s">
        <v>3296</v>
      </c>
      <c r="B9044" t="s">
        <v>2931</v>
      </c>
      <c r="C9044">
        <v>17424</v>
      </c>
      <c r="D9044" t="str">
        <f>"1379546     "</f>
        <v xml:space="preserve">1379546     </v>
      </c>
      <c r="E9044" t="s">
        <v>353</v>
      </c>
      <c r="F9044" t="s">
        <v>355</v>
      </c>
      <c r="G9044">
        <v>-88.9</v>
      </c>
      <c r="H9044">
        <v>251217</v>
      </c>
      <c r="I9044">
        <v>4600</v>
      </c>
      <c r="J9044" t="s">
        <v>278</v>
      </c>
      <c r="K9044">
        <v>-88.9</v>
      </c>
      <c r="L9044">
        <v>-18.059999999999999</v>
      </c>
      <c r="M9044">
        <v>56568</v>
      </c>
      <c r="N9044" t="s">
        <v>354</v>
      </c>
      <c r="O9044">
        <v>251219</v>
      </c>
      <c r="P9044">
        <v>-70.84</v>
      </c>
    </row>
    <row r="9045" spans="1:16" x14ac:dyDescent="0.25">
      <c r="A9045" t="s">
        <v>3296</v>
      </c>
      <c r="B9045" t="s">
        <v>2931</v>
      </c>
      <c r="C9045">
        <v>17433</v>
      </c>
      <c r="D9045" t="str">
        <f>"1379552     "</f>
        <v xml:space="preserve">1379552     </v>
      </c>
      <c r="E9045" t="s">
        <v>353</v>
      </c>
      <c r="F9045" t="s">
        <v>355</v>
      </c>
      <c r="G9045">
        <v>25.57</v>
      </c>
      <c r="H9045">
        <v>251217</v>
      </c>
      <c r="I9045">
        <v>4600</v>
      </c>
      <c r="J9045" t="s">
        <v>278</v>
      </c>
      <c r="K9045">
        <v>25.57</v>
      </c>
      <c r="L9045">
        <v>5.2</v>
      </c>
      <c r="M9045">
        <v>56568</v>
      </c>
      <c r="N9045" t="s">
        <v>354</v>
      </c>
      <c r="O9045">
        <v>251219</v>
      </c>
      <c r="P9045">
        <v>20.37</v>
      </c>
    </row>
    <row r="9046" spans="1:16" x14ac:dyDescent="0.25">
      <c r="A9046" t="s">
        <v>3296</v>
      </c>
      <c r="B9046" t="s">
        <v>2931</v>
      </c>
      <c r="C9046">
        <v>17438</v>
      </c>
      <c r="D9046" t="str">
        <f>"1379533     "</f>
        <v xml:space="preserve">1379533     </v>
      </c>
      <c r="E9046" t="s">
        <v>353</v>
      </c>
      <c r="F9046" t="s">
        <v>355</v>
      </c>
      <c r="G9046">
        <v>97.89</v>
      </c>
      <c r="H9046">
        <v>251217</v>
      </c>
      <c r="I9046">
        <v>4600</v>
      </c>
      <c r="J9046" t="s">
        <v>278</v>
      </c>
      <c r="K9046">
        <v>97.89</v>
      </c>
      <c r="L9046">
        <v>19.89</v>
      </c>
      <c r="M9046">
        <v>56568</v>
      </c>
      <c r="N9046" t="s">
        <v>354</v>
      </c>
      <c r="O9046">
        <v>251219</v>
      </c>
      <c r="P9046">
        <v>78</v>
      </c>
    </row>
    <row r="9047" spans="1:16" x14ac:dyDescent="0.25">
      <c r="A9047" t="s">
        <v>3296</v>
      </c>
      <c r="B9047" t="s">
        <v>2931</v>
      </c>
      <c r="C9047">
        <v>17449</v>
      </c>
      <c r="D9047" t="str">
        <f>"1379527     "</f>
        <v xml:space="preserve">1379527     </v>
      </c>
      <c r="E9047" t="s">
        <v>353</v>
      </c>
      <c r="F9047" t="s">
        <v>355</v>
      </c>
      <c r="G9047">
        <v>-7.56</v>
      </c>
      <c r="H9047">
        <v>251217</v>
      </c>
      <c r="I9047">
        <v>4600</v>
      </c>
      <c r="J9047" t="s">
        <v>278</v>
      </c>
      <c r="K9047">
        <v>-7.56</v>
      </c>
      <c r="L9047">
        <v>-1.54</v>
      </c>
      <c r="M9047">
        <v>56568</v>
      </c>
      <c r="N9047" t="s">
        <v>354</v>
      </c>
      <c r="O9047">
        <v>251219</v>
      </c>
      <c r="P9047">
        <v>-6.02</v>
      </c>
    </row>
    <row r="9048" spans="1:16" x14ac:dyDescent="0.25">
      <c r="A9048" t="s">
        <v>3296</v>
      </c>
      <c r="B9048" t="s">
        <v>2931</v>
      </c>
      <c r="C9048">
        <v>17450</v>
      </c>
      <c r="D9048" t="str">
        <f>"1379529     "</f>
        <v xml:space="preserve">1379529     </v>
      </c>
      <c r="E9048" t="s">
        <v>353</v>
      </c>
      <c r="F9048" t="s">
        <v>355</v>
      </c>
      <c r="G9048">
        <v>-164</v>
      </c>
      <c r="H9048">
        <v>251217</v>
      </c>
      <c r="I9048">
        <v>4600</v>
      </c>
      <c r="J9048" t="s">
        <v>278</v>
      </c>
      <c r="K9048">
        <v>-164</v>
      </c>
      <c r="L9048">
        <v>-33.32</v>
      </c>
      <c r="M9048">
        <v>56568</v>
      </c>
      <c r="N9048" t="s">
        <v>354</v>
      </c>
      <c r="O9048">
        <v>251219</v>
      </c>
      <c r="P9048">
        <v>-130.68</v>
      </c>
    </row>
    <row r="9049" spans="1:16" x14ac:dyDescent="0.25">
      <c r="A9049" t="s">
        <v>3296</v>
      </c>
      <c r="B9049" t="s">
        <v>2931</v>
      </c>
      <c r="C9049">
        <v>17452</v>
      </c>
      <c r="D9049" t="str">
        <f>"1379540     "</f>
        <v xml:space="preserve">1379540     </v>
      </c>
      <c r="E9049" t="s">
        <v>353</v>
      </c>
      <c r="F9049" t="s">
        <v>355</v>
      </c>
      <c r="G9049">
        <v>96.48</v>
      </c>
      <c r="H9049">
        <v>251217</v>
      </c>
      <c r="I9049">
        <v>4600</v>
      </c>
      <c r="J9049" t="s">
        <v>278</v>
      </c>
      <c r="K9049">
        <v>96.48</v>
      </c>
      <c r="L9049">
        <v>19.600000000000001</v>
      </c>
      <c r="M9049">
        <v>56568</v>
      </c>
      <c r="N9049" t="s">
        <v>354</v>
      </c>
      <c r="O9049">
        <v>251219</v>
      </c>
      <c r="P9049">
        <v>76.88</v>
      </c>
    </row>
    <row r="9050" spans="1:16" x14ac:dyDescent="0.25">
      <c r="A9050" t="s">
        <v>3296</v>
      </c>
      <c r="B9050" t="s">
        <v>2931</v>
      </c>
      <c r="C9050">
        <v>17453</v>
      </c>
      <c r="D9050" t="str">
        <f>"1379532     "</f>
        <v xml:space="preserve">1379532     </v>
      </c>
      <c r="E9050" t="s">
        <v>353</v>
      </c>
      <c r="F9050" t="s">
        <v>355</v>
      </c>
      <c r="G9050">
        <v>141.76</v>
      </c>
      <c r="H9050">
        <v>251217</v>
      </c>
      <c r="I9050">
        <v>4600</v>
      </c>
      <c r="J9050" t="s">
        <v>278</v>
      </c>
      <c r="K9050">
        <v>141.76</v>
      </c>
      <c r="L9050">
        <v>28.8</v>
      </c>
      <c r="M9050">
        <v>56568</v>
      </c>
      <c r="N9050" t="s">
        <v>354</v>
      </c>
      <c r="O9050">
        <v>251219</v>
      </c>
      <c r="P9050">
        <v>112.96</v>
      </c>
    </row>
    <row r="9051" spans="1:16" x14ac:dyDescent="0.25">
      <c r="A9051" t="s">
        <v>3296</v>
      </c>
      <c r="B9051" t="s">
        <v>2931</v>
      </c>
      <c r="C9051">
        <v>17454</v>
      </c>
      <c r="D9051" t="str">
        <f>"1379536     "</f>
        <v xml:space="preserve">1379536     </v>
      </c>
      <c r="E9051" t="s">
        <v>353</v>
      </c>
      <c r="F9051" t="s">
        <v>355</v>
      </c>
      <c r="G9051">
        <v>65.349999999999994</v>
      </c>
      <c r="H9051">
        <v>251217</v>
      </c>
      <c r="I9051">
        <v>4600</v>
      </c>
      <c r="J9051" t="s">
        <v>278</v>
      </c>
      <c r="K9051">
        <v>65.349999999999994</v>
      </c>
      <c r="L9051">
        <v>13.28</v>
      </c>
      <c r="M9051">
        <v>56568</v>
      </c>
      <c r="N9051" t="s">
        <v>354</v>
      </c>
      <c r="O9051">
        <v>251219</v>
      </c>
      <c r="P9051">
        <v>52.07</v>
      </c>
    </row>
    <row r="9052" spans="1:16" x14ac:dyDescent="0.25">
      <c r="A9052" t="s">
        <v>3296</v>
      </c>
      <c r="B9052" t="s">
        <v>2931</v>
      </c>
      <c r="C9052">
        <v>17455</v>
      </c>
      <c r="D9052" t="str">
        <f>"1379537     "</f>
        <v xml:space="preserve">1379537     </v>
      </c>
      <c r="E9052" t="s">
        <v>353</v>
      </c>
      <c r="F9052" t="s">
        <v>355</v>
      </c>
      <c r="G9052">
        <v>10</v>
      </c>
      <c r="H9052">
        <v>251217</v>
      </c>
      <c r="I9052">
        <v>4600</v>
      </c>
      <c r="J9052" t="s">
        <v>278</v>
      </c>
      <c r="K9052">
        <v>10</v>
      </c>
      <c r="L9052">
        <v>2.0299999999999998</v>
      </c>
      <c r="M9052">
        <v>56568</v>
      </c>
      <c r="N9052" t="s">
        <v>354</v>
      </c>
      <c r="O9052">
        <v>251219</v>
      </c>
      <c r="P9052">
        <v>7.97</v>
      </c>
    </row>
    <row r="9053" spans="1:16" x14ac:dyDescent="0.25">
      <c r="A9053" t="s">
        <v>3296</v>
      </c>
      <c r="B9053" t="s">
        <v>2931</v>
      </c>
      <c r="C9053">
        <v>17456</v>
      </c>
      <c r="D9053" t="str">
        <f>"1379542     "</f>
        <v xml:space="preserve">1379542     </v>
      </c>
      <c r="E9053" t="s">
        <v>353</v>
      </c>
      <c r="F9053" t="s">
        <v>355</v>
      </c>
      <c r="G9053">
        <v>223.87</v>
      </c>
      <c r="H9053">
        <v>251217</v>
      </c>
      <c r="I9053">
        <v>4600</v>
      </c>
      <c r="J9053" t="s">
        <v>278</v>
      </c>
      <c r="K9053">
        <v>223.87</v>
      </c>
      <c r="L9053">
        <v>45.49</v>
      </c>
      <c r="M9053">
        <v>56568</v>
      </c>
      <c r="N9053" t="s">
        <v>354</v>
      </c>
      <c r="O9053">
        <v>251219</v>
      </c>
      <c r="P9053">
        <v>178.38</v>
      </c>
    </row>
    <row r="9054" spans="1:16" x14ac:dyDescent="0.25">
      <c r="A9054" t="s">
        <v>3296</v>
      </c>
      <c r="B9054" t="s">
        <v>2931</v>
      </c>
      <c r="C9054">
        <v>17457</v>
      </c>
      <c r="D9054" t="str">
        <f>"1379541     "</f>
        <v xml:space="preserve">1379541     </v>
      </c>
      <c r="E9054" t="s">
        <v>353</v>
      </c>
      <c r="F9054" t="s">
        <v>355</v>
      </c>
      <c r="G9054">
        <v>7.56</v>
      </c>
      <c r="H9054">
        <v>251217</v>
      </c>
      <c r="I9054">
        <v>4600</v>
      </c>
      <c r="J9054" t="s">
        <v>278</v>
      </c>
      <c r="K9054">
        <v>7.56</v>
      </c>
      <c r="L9054">
        <v>1.54</v>
      </c>
      <c r="M9054">
        <v>56568</v>
      </c>
      <c r="N9054" t="s">
        <v>354</v>
      </c>
      <c r="O9054">
        <v>251219</v>
      </c>
      <c r="P9054">
        <v>6.02</v>
      </c>
    </row>
    <row r="9055" spans="1:16" x14ac:dyDescent="0.25">
      <c r="A9055" t="s">
        <v>3296</v>
      </c>
      <c r="B9055" t="s">
        <v>2931</v>
      </c>
      <c r="C9055">
        <v>17458</v>
      </c>
      <c r="D9055" t="str">
        <f>"1379531     "</f>
        <v xml:space="preserve">1379531     </v>
      </c>
      <c r="E9055" t="s">
        <v>353</v>
      </c>
      <c r="F9055" t="s">
        <v>355</v>
      </c>
      <c r="G9055">
        <v>128.6</v>
      </c>
      <c r="H9055">
        <v>251217</v>
      </c>
      <c r="I9055">
        <v>4600</v>
      </c>
      <c r="J9055" t="s">
        <v>278</v>
      </c>
      <c r="K9055">
        <v>128.6</v>
      </c>
      <c r="L9055">
        <v>26.13</v>
      </c>
      <c r="M9055">
        <v>56568</v>
      </c>
      <c r="N9055" t="s">
        <v>354</v>
      </c>
      <c r="O9055">
        <v>251219</v>
      </c>
      <c r="P9055">
        <v>102.47</v>
      </c>
    </row>
    <row r="9056" spans="1:16" x14ac:dyDescent="0.25">
      <c r="A9056" t="s">
        <v>3296</v>
      </c>
      <c r="B9056" t="s">
        <v>2931</v>
      </c>
      <c r="C9056">
        <v>17460</v>
      </c>
      <c r="D9056" t="str">
        <f>"1379538     "</f>
        <v xml:space="preserve">1379538     </v>
      </c>
      <c r="E9056" t="s">
        <v>353</v>
      </c>
      <c r="F9056" t="s">
        <v>355</v>
      </c>
      <c r="G9056">
        <v>30.74</v>
      </c>
      <c r="H9056">
        <v>251217</v>
      </c>
      <c r="I9056">
        <v>4600</v>
      </c>
      <c r="J9056" t="s">
        <v>278</v>
      </c>
      <c r="K9056">
        <v>30.74</v>
      </c>
      <c r="L9056">
        <v>6.25</v>
      </c>
      <c r="M9056">
        <v>56568</v>
      </c>
      <c r="N9056" t="s">
        <v>354</v>
      </c>
      <c r="O9056">
        <v>251219</v>
      </c>
      <c r="P9056">
        <v>24.49</v>
      </c>
    </row>
    <row r="9057" spans="1:16" x14ac:dyDescent="0.25">
      <c r="A9057" t="s">
        <v>3296</v>
      </c>
      <c r="B9057" t="s">
        <v>2931</v>
      </c>
      <c r="C9057">
        <v>17462</v>
      </c>
      <c r="D9057" t="str">
        <f>"1379549     "</f>
        <v xml:space="preserve">1379549     </v>
      </c>
      <c r="E9057" t="s">
        <v>353</v>
      </c>
      <c r="F9057" t="s">
        <v>355</v>
      </c>
      <c r="G9057">
        <v>22.4</v>
      </c>
      <c r="H9057">
        <v>251217</v>
      </c>
      <c r="I9057">
        <v>4600</v>
      </c>
      <c r="J9057" t="s">
        <v>278</v>
      </c>
      <c r="K9057">
        <v>22.4</v>
      </c>
      <c r="L9057">
        <v>4.55</v>
      </c>
      <c r="M9057">
        <v>56568</v>
      </c>
      <c r="N9057" t="s">
        <v>354</v>
      </c>
      <c r="O9057">
        <v>251219</v>
      </c>
      <c r="P9057">
        <v>17.850000000000001</v>
      </c>
    </row>
    <row r="9058" spans="1:16" x14ac:dyDescent="0.25">
      <c r="A9058" t="s">
        <v>3296</v>
      </c>
      <c r="B9058" t="s">
        <v>2931</v>
      </c>
      <c r="C9058">
        <v>17472</v>
      </c>
      <c r="D9058" t="str">
        <f>"1379547     "</f>
        <v xml:space="preserve">1379547     </v>
      </c>
      <c r="E9058" t="s">
        <v>353</v>
      </c>
      <c r="F9058" t="s">
        <v>355</v>
      </c>
      <c r="G9058">
        <v>-10.94</v>
      </c>
      <c r="H9058">
        <v>251217</v>
      </c>
      <c r="I9058">
        <v>4600</v>
      </c>
      <c r="J9058" t="s">
        <v>278</v>
      </c>
      <c r="K9058">
        <v>-10.94</v>
      </c>
      <c r="L9058">
        <v>-2.2200000000000002</v>
      </c>
      <c r="M9058">
        <v>56568</v>
      </c>
      <c r="N9058" t="s">
        <v>354</v>
      </c>
      <c r="O9058">
        <v>251222</v>
      </c>
      <c r="P9058">
        <v>-8.7200000000000006</v>
      </c>
    </row>
    <row r="9059" spans="1:16" x14ac:dyDescent="0.25">
      <c r="A9059" t="s">
        <v>3296</v>
      </c>
      <c r="B9059" t="s">
        <v>2931</v>
      </c>
      <c r="C9059">
        <v>17504</v>
      </c>
      <c r="D9059" t="str">
        <f>"1379553     "</f>
        <v xml:space="preserve">1379553     </v>
      </c>
      <c r="E9059" t="s">
        <v>353</v>
      </c>
      <c r="F9059" t="s">
        <v>355</v>
      </c>
      <c r="G9059">
        <v>28.76</v>
      </c>
      <c r="H9059">
        <v>251217</v>
      </c>
      <c r="I9059">
        <v>4600</v>
      </c>
      <c r="J9059" t="s">
        <v>278</v>
      </c>
      <c r="K9059">
        <v>28.76</v>
      </c>
      <c r="L9059">
        <v>5.84</v>
      </c>
      <c r="M9059">
        <v>56568</v>
      </c>
      <c r="N9059" t="s">
        <v>354</v>
      </c>
      <c r="O9059">
        <v>251222</v>
      </c>
      <c r="P9059">
        <v>22.92</v>
      </c>
    </row>
    <row r="9060" spans="1:16" x14ac:dyDescent="0.25">
      <c r="A9060" t="s">
        <v>3296</v>
      </c>
      <c r="B9060" t="s">
        <v>2931</v>
      </c>
      <c r="C9060">
        <v>17505</v>
      </c>
      <c r="D9060" t="str">
        <f>"1379554     "</f>
        <v xml:space="preserve">1379554     </v>
      </c>
      <c r="E9060" t="s">
        <v>353</v>
      </c>
      <c r="F9060" t="s">
        <v>355</v>
      </c>
      <c r="G9060">
        <v>28.99</v>
      </c>
      <c r="H9060">
        <v>251217</v>
      </c>
      <c r="I9060">
        <v>4600</v>
      </c>
      <c r="J9060" t="s">
        <v>278</v>
      </c>
      <c r="K9060">
        <v>28.99</v>
      </c>
      <c r="L9060">
        <v>5.89</v>
      </c>
      <c r="M9060">
        <v>56568</v>
      </c>
      <c r="N9060" t="s">
        <v>354</v>
      </c>
      <c r="O9060">
        <v>251222</v>
      </c>
      <c r="P9060">
        <v>23.1</v>
      </c>
    </row>
    <row r="9061" spans="1:16" x14ac:dyDescent="0.25">
      <c r="A9061" t="s">
        <v>3296</v>
      </c>
      <c r="B9061" t="s">
        <v>2931</v>
      </c>
      <c r="C9061">
        <v>17524</v>
      </c>
      <c r="D9061" t="str">
        <f>"1379543     "</f>
        <v xml:space="preserve">1379543     </v>
      </c>
      <c r="E9061" t="s">
        <v>353</v>
      </c>
      <c r="F9061" t="s">
        <v>355</v>
      </c>
      <c r="G9061">
        <v>0.93</v>
      </c>
      <c r="H9061">
        <v>251217</v>
      </c>
      <c r="I9061">
        <v>4600</v>
      </c>
      <c r="J9061" t="s">
        <v>278</v>
      </c>
      <c r="K9061">
        <v>0.93</v>
      </c>
      <c r="L9061">
        <v>0.19</v>
      </c>
      <c r="M9061">
        <v>56568</v>
      </c>
      <c r="N9061" t="s">
        <v>354</v>
      </c>
      <c r="O9061">
        <v>251222</v>
      </c>
      <c r="P9061">
        <v>0.74</v>
      </c>
    </row>
    <row r="9062" spans="1:16" x14ac:dyDescent="0.25">
      <c r="A9062" t="s">
        <v>3296</v>
      </c>
      <c r="B9062" t="s">
        <v>2931</v>
      </c>
      <c r="C9062">
        <v>17537</v>
      </c>
      <c r="D9062" t="str">
        <f>"1379526     "</f>
        <v xml:space="preserve">1379526     </v>
      </c>
      <c r="E9062" t="s">
        <v>353</v>
      </c>
      <c r="F9062" t="s">
        <v>355</v>
      </c>
      <c r="G9062">
        <v>7.7</v>
      </c>
      <c r="H9062">
        <v>251217</v>
      </c>
      <c r="I9062">
        <v>4600</v>
      </c>
      <c r="J9062" t="s">
        <v>278</v>
      </c>
      <c r="K9062">
        <v>7.7</v>
      </c>
      <c r="L9062">
        <v>1.56</v>
      </c>
      <c r="M9062">
        <v>56568</v>
      </c>
      <c r="N9062" t="s">
        <v>354</v>
      </c>
      <c r="O9062">
        <v>251222</v>
      </c>
      <c r="P9062">
        <v>6.14</v>
      </c>
    </row>
    <row r="9063" spans="1:16" x14ac:dyDescent="0.25">
      <c r="A9063" t="s">
        <v>3296</v>
      </c>
      <c r="B9063" t="s">
        <v>2931</v>
      </c>
      <c r="C9063">
        <v>17547</v>
      </c>
      <c r="D9063" t="str">
        <f>"1379530     "</f>
        <v xml:space="preserve">1379530     </v>
      </c>
      <c r="E9063" t="s">
        <v>353</v>
      </c>
      <c r="F9063" t="s">
        <v>355</v>
      </c>
      <c r="G9063">
        <v>74.099999999999994</v>
      </c>
      <c r="H9063">
        <v>251217</v>
      </c>
      <c r="I9063">
        <v>4600</v>
      </c>
      <c r="J9063" t="s">
        <v>278</v>
      </c>
      <c r="K9063">
        <v>74.099999999999994</v>
      </c>
      <c r="L9063">
        <v>15.06</v>
      </c>
      <c r="M9063">
        <v>56568</v>
      </c>
      <c r="N9063" t="s">
        <v>354</v>
      </c>
      <c r="O9063">
        <v>251222</v>
      </c>
      <c r="P9063">
        <v>59.04</v>
      </c>
    </row>
    <row r="9064" spans="1:16" x14ac:dyDescent="0.25">
      <c r="A9064" t="s">
        <v>3296</v>
      </c>
      <c r="B9064" t="s">
        <v>2931</v>
      </c>
      <c r="C9064">
        <v>17557</v>
      </c>
      <c r="D9064" t="str">
        <f>"1379539     "</f>
        <v xml:space="preserve">1379539     </v>
      </c>
      <c r="E9064" t="s">
        <v>353</v>
      </c>
      <c r="F9064" t="s">
        <v>355</v>
      </c>
      <c r="G9064">
        <v>423.82</v>
      </c>
      <c r="H9064">
        <v>251217</v>
      </c>
      <c r="I9064">
        <v>4600</v>
      </c>
      <c r="J9064" t="s">
        <v>278</v>
      </c>
      <c r="K9064">
        <v>423.82</v>
      </c>
      <c r="L9064">
        <v>86.11</v>
      </c>
      <c r="M9064">
        <v>56568</v>
      </c>
      <c r="N9064" t="s">
        <v>354</v>
      </c>
      <c r="O9064">
        <v>251222</v>
      </c>
      <c r="P9064">
        <v>337.71</v>
      </c>
    </row>
    <row r="9065" spans="1:16" x14ac:dyDescent="0.25">
      <c r="A9065" t="s">
        <v>3296</v>
      </c>
      <c r="B9065" t="s">
        <v>2931</v>
      </c>
      <c r="C9065">
        <v>17563</v>
      </c>
      <c r="D9065" t="str">
        <f>"1379548     "</f>
        <v xml:space="preserve">1379548     </v>
      </c>
      <c r="E9065" t="s">
        <v>353</v>
      </c>
      <c r="F9065" t="s">
        <v>355</v>
      </c>
      <c r="G9065">
        <v>3.15</v>
      </c>
      <c r="H9065">
        <v>251217</v>
      </c>
      <c r="I9065">
        <v>4600</v>
      </c>
      <c r="J9065" t="s">
        <v>278</v>
      </c>
      <c r="K9065">
        <v>3.15</v>
      </c>
      <c r="L9065">
        <v>0.64</v>
      </c>
      <c r="M9065">
        <v>56568</v>
      </c>
      <c r="N9065" t="s">
        <v>354</v>
      </c>
      <c r="O9065">
        <v>251222</v>
      </c>
      <c r="P9065">
        <v>2.5099999999999998</v>
      </c>
    </row>
    <row r="9066" spans="1:16" x14ac:dyDescent="0.25">
      <c r="A9066" t="s">
        <v>3296</v>
      </c>
      <c r="B9066" t="s">
        <v>2931</v>
      </c>
      <c r="C9066">
        <v>17576</v>
      </c>
      <c r="D9066" t="str">
        <f>"1379545     "</f>
        <v xml:space="preserve">1379545     </v>
      </c>
      <c r="E9066" t="s">
        <v>353</v>
      </c>
      <c r="F9066" t="s">
        <v>355</v>
      </c>
      <c r="G9066">
        <v>11.39</v>
      </c>
      <c r="H9066">
        <v>251217</v>
      </c>
      <c r="I9066">
        <v>4600</v>
      </c>
      <c r="J9066" t="s">
        <v>278</v>
      </c>
      <c r="K9066">
        <v>11.39</v>
      </c>
      <c r="L9066">
        <v>2.31</v>
      </c>
      <c r="M9066">
        <v>56568</v>
      </c>
      <c r="N9066" t="s">
        <v>354</v>
      </c>
      <c r="O9066">
        <v>251222</v>
      </c>
      <c r="P9066">
        <v>9.08</v>
      </c>
    </row>
    <row r="9067" spans="1:16" x14ac:dyDescent="0.25">
      <c r="A9067" t="s">
        <v>3296</v>
      </c>
      <c r="B9067" t="s">
        <v>2931</v>
      </c>
      <c r="C9067">
        <v>17585</v>
      </c>
      <c r="D9067" t="str">
        <f>"1379550     "</f>
        <v xml:space="preserve">1379550     </v>
      </c>
      <c r="E9067" t="s">
        <v>353</v>
      </c>
      <c r="F9067" t="s">
        <v>355</v>
      </c>
      <c r="G9067">
        <v>25.81</v>
      </c>
      <c r="H9067">
        <v>251217</v>
      </c>
      <c r="I9067">
        <v>4600</v>
      </c>
      <c r="J9067" t="s">
        <v>278</v>
      </c>
      <c r="K9067">
        <v>25.81</v>
      </c>
      <c r="L9067">
        <v>5.24</v>
      </c>
      <c r="M9067">
        <v>56558</v>
      </c>
      <c r="N9067" t="s">
        <v>50</v>
      </c>
      <c r="O9067">
        <v>251222</v>
      </c>
      <c r="P9067">
        <v>20.57</v>
      </c>
    </row>
    <row r="9068" spans="1:16" x14ac:dyDescent="0.25">
      <c r="A9068" t="s">
        <v>3296</v>
      </c>
      <c r="B9068" t="s">
        <v>2931</v>
      </c>
      <c r="C9068">
        <v>17603</v>
      </c>
      <c r="D9068" t="str">
        <f>"1379558     "</f>
        <v xml:space="preserve">1379558     </v>
      </c>
      <c r="E9068" t="s">
        <v>353</v>
      </c>
      <c r="F9068" t="s">
        <v>355</v>
      </c>
      <c r="G9068">
        <v>98.59</v>
      </c>
      <c r="H9068">
        <v>251217</v>
      </c>
      <c r="I9068">
        <v>4600</v>
      </c>
      <c r="J9068" t="s">
        <v>278</v>
      </c>
      <c r="K9068">
        <v>346.19</v>
      </c>
      <c r="L9068">
        <v>20.03</v>
      </c>
      <c r="M9068">
        <v>67522</v>
      </c>
      <c r="N9068" t="s">
        <v>121</v>
      </c>
      <c r="O9068">
        <v>251223</v>
      </c>
      <c r="P9068">
        <v>78.56</v>
      </c>
    </row>
    <row r="9069" spans="1:16" x14ac:dyDescent="0.25">
      <c r="A9069" t="s">
        <v>3296</v>
      </c>
      <c r="B9069" t="s">
        <v>2931</v>
      </c>
      <c r="C9069">
        <v>17603</v>
      </c>
      <c r="D9069" t="str">
        <f>"1379558     "</f>
        <v xml:space="preserve">1379558     </v>
      </c>
      <c r="E9069" t="s">
        <v>353</v>
      </c>
      <c r="F9069" t="s">
        <v>355</v>
      </c>
      <c r="G9069">
        <v>98.6</v>
      </c>
      <c r="H9069">
        <v>251217</v>
      </c>
      <c r="I9069">
        <v>4600</v>
      </c>
      <c r="J9069" t="s">
        <v>278</v>
      </c>
      <c r="K9069">
        <v>346.19</v>
      </c>
      <c r="L9069">
        <v>20.03</v>
      </c>
      <c r="M9069">
        <v>67554</v>
      </c>
      <c r="N9069" t="s">
        <v>317</v>
      </c>
      <c r="O9069">
        <v>251223</v>
      </c>
      <c r="P9069">
        <v>78.569999999999993</v>
      </c>
    </row>
    <row r="9070" spans="1:16" x14ac:dyDescent="0.25">
      <c r="A9070" t="s">
        <v>3296</v>
      </c>
      <c r="B9070" t="s">
        <v>2931</v>
      </c>
      <c r="C9070">
        <v>17616</v>
      </c>
      <c r="D9070" t="str">
        <f>"1379559     "</f>
        <v xml:space="preserve">1379559     </v>
      </c>
      <c r="E9070" t="s">
        <v>353</v>
      </c>
      <c r="F9070" t="s">
        <v>355</v>
      </c>
      <c r="G9070">
        <v>28.96</v>
      </c>
      <c r="H9070">
        <v>251217</v>
      </c>
      <c r="I9070">
        <v>4600</v>
      </c>
      <c r="J9070" t="s">
        <v>278</v>
      </c>
      <c r="K9070">
        <v>28.96</v>
      </c>
      <c r="L9070">
        <v>5.88</v>
      </c>
      <c r="M9070">
        <v>67522</v>
      </c>
      <c r="N9070" t="s">
        <v>121</v>
      </c>
      <c r="O9070">
        <v>251223</v>
      </c>
      <c r="P9070">
        <v>23.08</v>
      </c>
    </row>
    <row r="9071" spans="1:16" x14ac:dyDescent="0.25">
      <c r="A9071" t="s">
        <v>3296</v>
      </c>
      <c r="B9071" t="s">
        <v>2931</v>
      </c>
      <c r="C9071">
        <v>17982</v>
      </c>
      <c r="D9071" t="str">
        <f>"1379909     "</f>
        <v xml:space="preserve">1379909     </v>
      </c>
      <c r="E9071" t="s">
        <v>353</v>
      </c>
      <c r="F9071" t="s">
        <v>355</v>
      </c>
      <c r="G9071">
        <v>37.049999999999997</v>
      </c>
      <c r="H9071">
        <v>251231</v>
      </c>
      <c r="I9071">
        <v>4600</v>
      </c>
      <c r="J9071" t="s">
        <v>278</v>
      </c>
      <c r="K9071">
        <v>37.049999999999997</v>
      </c>
      <c r="L9071">
        <v>7.53</v>
      </c>
      <c r="M9071">
        <v>59501</v>
      </c>
      <c r="N9071" t="s">
        <v>62</v>
      </c>
      <c r="O9071">
        <v>260107</v>
      </c>
      <c r="P9071">
        <v>29.52</v>
      </c>
    </row>
    <row r="9072" spans="1:16" x14ac:dyDescent="0.25">
      <c r="A9072" t="s">
        <v>3296</v>
      </c>
      <c r="B9072" t="s">
        <v>2931</v>
      </c>
      <c r="C9072">
        <v>17986</v>
      </c>
      <c r="D9072" t="str">
        <f>"1379907     "</f>
        <v xml:space="preserve">1379907     </v>
      </c>
      <c r="E9072" t="s">
        <v>353</v>
      </c>
      <c r="F9072" t="s">
        <v>355</v>
      </c>
      <c r="G9072">
        <v>61.46</v>
      </c>
      <c r="H9072">
        <v>251231</v>
      </c>
      <c r="I9072">
        <v>4600</v>
      </c>
      <c r="J9072" t="s">
        <v>278</v>
      </c>
      <c r="K9072">
        <v>61.46</v>
      </c>
      <c r="L9072">
        <v>12.49</v>
      </c>
      <c r="M9072">
        <v>56568</v>
      </c>
      <c r="N9072" t="s">
        <v>354</v>
      </c>
      <c r="O9072">
        <v>260107</v>
      </c>
      <c r="P9072">
        <v>48.97</v>
      </c>
    </row>
    <row r="9073" spans="1:16" x14ac:dyDescent="0.25">
      <c r="A9073" t="s">
        <v>3296</v>
      </c>
      <c r="B9073" t="s">
        <v>2931</v>
      </c>
      <c r="C9073">
        <v>17990</v>
      </c>
      <c r="D9073" t="str">
        <f>"1379901     "</f>
        <v xml:space="preserve">1379901     </v>
      </c>
      <c r="E9073" t="s">
        <v>353</v>
      </c>
      <c r="F9073" t="s">
        <v>355</v>
      </c>
      <c r="G9073">
        <v>270.45</v>
      </c>
      <c r="H9073">
        <v>251231</v>
      </c>
      <c r="I9073">
        <v>4600</v>
      </c>
      <c r="J9073" t="s">
        <v>278</v>
      </c>
      <c r="K9073">
        <v>270.45</v>
      </c>
      <c r="L9073">
        <v>54.95</v>
      </c>
      <c r="M9073">
        <v>59501</v>
      </c>
      <c r="N9073" t="s">
        <v>62</v>
      </c>
      <c r="O9073">
        <v>260107</v>
      </c>
      <c r="P9073">
        <v>215.5</v>
      </c>
    </row>
    <row r="9074" spans="1:16" x14ac:dyDescent="0.25">
      <c r="A9074" t="s">
        <v>3296</v>
      </c>
      <c r="B9074" t="s">
        <v>2931</v>
      </c>
      <c r="C9074">
        <v>18019</v>
      </c>
      <c r="D9074" t="str">
        <f>"1379905     "</f>
        <v xml:space="preserve">1379905     </v>
      </c>
      <c r="E9074" t="s">
        <v>353</v>
      </c>
      <c r="F9074" t="s">
        <v>355</v>
      </c>
      <c r="G9074">
        <v>76.12</v>
      </c>
      <c r="H9074">
        <v>251231</v>
      </c>
      <c r="I9074">
        <v>4600</v>
      </c>
      <c r="J9074" t="s">
        <v>278</v>
      </c>
      <c r="K9074">
        <v>76.12</v>
      </c>
      <c r="L9074">
        <v>15.47</v>
      </c>
      <c r="M9074">
        <v>56568</v>
      </c>
      <c r="N9074" t="s">
        <v>354</v>
      </c>
      <c r="O9074">
        <v>260108</v>
      </c>
      <c r="P9074">
        <v>60.65</v>
      </c>
    </row>
    <row r="9075" spans="1:16" x14ac:dyDescent="0.25">
      <c r="A9075" t="s">
        <v>3296</v>
      </c>
      <c r="B9075" t="s">
        <v>2931</v>
      </c>
      <c r="C9075">
        <v>18024</v>
      </c>
      <c r="D9075" t="str">
        <f>"1379899     "</f>
        <v xml:space="preserve">1379899     </v>
      </c>
      <c r="E9075" t="s">
        <v>353</v>
      </c>
      <c r="F9075" t="s">
        <v>355</v>
      </c>
      <c r="G9075">
        <v>21.85</v>
      </c>
      <c r="H9075">
        <v>251231</v>
      </c>
      <c r="I9075">
        <v>4600</v>
      </c>
      <c r="J9075" t="s">
        <v>278</v>
      </c>
      <c r="K9075">
        <v>21.85</v>
      </c>
      <c r="L9075">
        <v>4.4400000000000004</v>
      </c>
      <c r="M9075">
        <v>56568</v>
      </c>
      <c r="N9075" t="s">
        <v>354</v>
      </c>
      <c r="O9075">
        <v>260108</v>
      </c>
      <c r="P9075">
        <v>17.41</v>
      </c>
    </row>
    <row r="9076" spans="1:16" x14ac:dyDescent="0.25">
      <c r="A9076" t="s">
        <v>3296</v>
      </c>
      <c r="B9076" t="s">
        <v>2931</v>
      </c>
      <c r="C9076">
        <v>18032</v>
      </c>
      <c r="D9076" t="str">
        <f>"1379903     "</f>
        <v xml:space="preserve">1379903     </v>
      </c>
      <c r="E9076" t="s">
        <v>353</v>
      </c>
      <c r="F9076" t="s">
        <v>355</v>
      </c>
      <c r="G9076">
        <v>129.06</v>
      </c>
      <c r="H9076">
        <v>251231</v>
      </c>
      <c r="I9076">
        <v>4600</v>
      </c>
      <c r="J9076" t="s">
        <v>278</v>
      </c>
      <c r="K9076">
        <v>129.06</v>
      </c>
      <c r="L9076">
        <v>26.22</v>
      </c>
      <c r="M9076">
        <v>56568</v>
      </c>
      <c r="N9076" t="s">
        <v>354</v>
      </c>
      <c r="O9076">
        <v>260108</v>
      </c>
      <c r="P9076">
        <v>102.84</v>
      </c>
    </row>
    <row r="9077" spans="1:16" x14ac:dyDescent="0.25">
      <c r="A9077" t="s">
        <v>3296</v>
      </c>
      <c r="B9077" t="s">
        <v>2931</v>
      </c>
      <c r="C9077">
        <v>18038</v>
      </c>
      <c r="D9077" t="str">
        <f>"1379902     "</f>
        <v xml:space="preserve">1379902     </v>
      </c>
      <c r="E9077" t="s">
        <v>353</v>
      </c>
      <c r="F9077" t="s">
        <v>355</v>
      </c>
      <c r="G9077">
        <v>16.16</v>
      </c>
      <c r="H9077">
        <v>251231</v>
      </c>
      <c r="I9077">
        <v>4600</v>
      </c>
      <c r="J9077" t="s">
        <v>278</v>
      </c>
      <c r="K9077">
        <v>16.16</v>
      </c>
      <c r="L9077">
        <v>3.28</v>
      </c>
      <c r="M9077">
        <v>56568</v>
      </c>
      <c r="N9077" t="s">
        <v>354</v>
      </c>
      <c r="O9077">
        <v>260108</v>
      </c>
      <c r="P9077">
        <v>12.88</v>
      </c>
    </row>
    <row r="9078" spans="1:16" x14ac:dyDescent="0.25">
      <c r="A9078" t="s">
        <v>3296</v>
      </c>
      <c r="B9078" t="s">
        <v>2931</v>
      </c>
      <c r="C9078">
        <v>18053</v>
      </c>
      <c r="D9078" t="str">
        <f>"1379904     "</f>
        <v xml:space="preserve">1379904     </v>
      </c>
      <c r="E9078" t="s">
        <v>353</v>
      </c>
      <c r="F9078" t="s">
        <v>355</v>
      </c>
      <c r="G9078">
        <v>3.65</v>
      </c>
      <c r="H9078">
        <v>251231</v>
      </c>
      <c r="I9078">
        <v>4600</v>
      </c>
      <c r="J9078" t="s">
        <v>278</v>
      </c>
      <c r="K9078">
        <v>3.65</v>
      </c>
      <c r="L9078">
        <v>0.74</v>
      </c>
      <c r="M9078">
        <v>56568</v>
      </c>
      <c r="N9078" t="s">
        <v>354</v>
      </c>
      <c r="O9078">
        <v>260108</v>
      </c>
      <c r="P9078">
        <v>2.91</v>
      </c>
    </row>
    <row r="9079" spans="1:16" x14ac:dyDescent="0.25">
      <c r="A9079" t="s">
        <v>3296</v>
      </c>
      <c r="B9079" t="s">
        <v>2931</v>
      </c>
      <c r="C9079">
        <v>11562</v>
      </c>
      <c r="D9079" t="str">
        <f>"05 371219   "</f>
        <v xml:space="preserve">05 371219   </v>
      </c>
      <c r="E9079" t="s">
        <v>1421</v>
      </c>
      <c r="F9079" t="s">
        <v>1422</v>
      </c>
      <c r="G9079">
        <v>754.26</v>
      </c>
      <c r="H9079">
        <v>250903</v>
      </c>
      <c r="I9079">
        <v>4346</v>
      </c>
      <c r="J9079" t="s">
        <v>334</v>
      </c>
      <c r="K9079">
        <v>754.26</v>
      </c>
      <c r="L9079">
        <v>153.26</v>
      </c>
      <c r="M9079">
        <v>49501</v>
      </c>
      <c r="N9079" t="s">
        <v>110</v>
      </c>
      <c r="O9079">
        <v>250908</v>
      </c>
      <c r="P9079">
        <v>601</v>
      </c>
    </row>
    <row r="9080" spans="1:16" x14ac:dyDescent="0.25">
      <c r="A9080" t="s">
        <v>3296</v>
      </c>
      <c r="B9080" t="s">
        <v>2931</v>
      </c>
      <c r="C9080">
        <v>3404</v>
      </c>
      <c r="D9080" t="str">
        <f>"05 352036   "</f>
        <v xml:space="preserve">05 352036   </v>
      </c>
      <c r="E9080" t="s">
        <v>1421</v>
      </c>
      <c r="F9080" t="s">
        <v>1422</v>
      </c>
      <c r="G9080">
        <v>401.6</v>
      </c>
      <c r="H9080">
        <v>250306</v>
      </c>
      <c r="I9080">
        <v>4390</v>
      </c>
      <c r="J9080" t="s">
        <v>232</v>
      </c>
      <c r="K9080">
        <v>401.6</v>
      </c>
      <c r="L9080">
        <v>81.599999999999994</v>
      </c>
      <c r="M9080">
        <v>59501</v>
      </c>
      <c r="N9080" t="s">
        <v>62</v>
      </c>
      <c r="O9080">
        <v>250320</v>
      </c>
      <c r="P9080">
        <v>320</v>
      </c>
    </row>
    <row r="9081" spans="1:16" x14ac:dyDescent="0.25">
      <c r="A9081" t="s">
        <v>3296</v>
      </c>
      <c r="B9081" t="s">
        <v>2931</v>
      </c>
      <c r="C9081">
        <v>3405</v>
      </c>
      <c r="D9081" t="str">
        <f>"05 352052   "</f>
        <v xml:space="preserve">05 352052   </v>
      </c>
      <c r="E9081" t="s">
        <v>1421</v>
      </c>
      <c r="F9081" t="s">
        <v>1422</v>
      </c>
      <c r="G9081">
        <v>401.6</v>
      </c>
      <c r="H9081">
        <v>250306</v>
      </c>
      <c r="I9081">
        <v>4390</v>
      </c>
      <c r="J9081" t="s">
        <v>232</v>
      </c>
      <c r="K9081">
        <v>401.6</v>
      </c>
      <c r="L9081">
        <v>81.599999999999994</v>
      </c>
      <c r="M9081">
        <v>59505</v>
      </c>
      <c r="N9081" t="s">
        <v>194</v>
      </c>
      <c r="O9081">
        <v>250320</v>
      </c>
      <c r="P9081">
        <v>320</v>
      </c>
    </row>
    <row r="9082" spans="1:16" x14ac:dyDescent="0.25">
      <c r="A9082" t="s">
        <v>3296</v>
      </c>
      <c r="B9082" t="s">
        <v>2931</v>
      </c>
      <c r="C9082">
        <v>13293</v>
      </c>
      <c r="D9082" t="str">
        <f>"05 374673   "</f>
        <v xml:space="preserve">05 374673   </v>
      </c>
      <c r="E9082" t="s">
        <v>1421</v>
      </c>
      <c r="F9082" t="s">
        <v>1422</v>
      </c>
      <c r="G9082">
        <v>439.75</v>
      </c>
      <c r="H9082">
        <v>251001</v>
      </c>
      <c r="I9082">
        <v>4390</v>
      </c>
      <c r="J9082" t="s">
        <v>232</v>
      </c>
      <c r="K9082">
        <v>439.75</v>
      </c>
      <c r="L9082">
        <v>89.35</v>
      </c>
      <c r="M9082">
        <v>59504</v>
      </c>
      <c r="N9082" t="s">
        <v>193</v>
      </c>
      <c r="O9082">
        <v>251007</v>
      </c>
      <c r="P9082">
        <v>350.4</v>
      </c>
    </row>
    <row r="9083" spans="1:16" x14ac:dyDescent="0.25">
      <c r="A9083" t="s">
        <v>3296</v>
      </c>
      <c r="B9083" t="s">
        <v>2931</v>
      </c>
      <c r="C9083">
        <v>13787</v>
      </c>
      <c r="D9083" t="str">
        <f>"05 375500   "</f>
        <v xml:space="preserve">05 375500   </v>
      </c>
      <c r="E9083" t="s">
        <v>1421</v>
      </c>
      <c r="F9083" t="s">
        <v>1422</v>
      </c>
      <c r="G9083">
        <v>401.6</v>
      </c>
      <c r="H9083">
        <v>251009</v>
      </c>
      <c r="I9083">
        <v>4390</v>
      </c>
      <c r="J9083" t="s">
        <v>232</v>
      </c>
      <c r="K9083">
        <v>401.6</v>
      </c>
      <c r="L9083">
        <v>81.599999999999994</v>
      </c>
      <c r="M9083">
        <v>17951</v>
      </c>
      <c r="N9083" t="s">
        <v>207</v>
      </c>
      <c r="O9083">
        <v>251020</v>
      </c>
      <c r="P9083">
        <v>320</v>
      </c>
    </row>
    <row r="9084" spans="1:16" x14ac:dyDescent="0.25">
      <c r="A9084" t="s">
        <v>3296</v>
      </c>
      <c r="B9084" t="s">
        <v>2931</v>
      </c>
      <c r="C9084">
        <v>1490</v>
      </c>
      <c r="D9084" t="str">
        <f>"2560097860  "</f>
        <v xml:space="preserve">2560097860  </v>
      </c>
      <c r="E9084" t="s">
        <v>1006</v>
      </c>
      <c r="F9084" t="s">
        <v>1007</v>
      </c>
      <c r="G9084">
        <v>11.84</v>
      </c>
      <c r="H9084">
        <v>250131</v>
      </c>
      <c r="I9084">
        <v>4410</v>
      </c>
      <c r="J9084" t="s">
        <v>165</v>
      </c>
      <c r="K9084">
        <v>55.7</v>
      </c>
      <c r="L9084">
        <v>2.41</v>
      </c>
      <c r="M9084">
        <v>17862</v>
      </c>
      <c r="N9084" t="s">
        <v>130</v>
      </c>
      <c r="O9084">
        <v>250210</v>
      </c>
      <c r="P9084">
        <v>9.43</v>
      </c>
    </row>
    <row r="9085" spans="1:16" x14ac:dyDescent="0.25">
      <c r="A9085" t="s">
        <v>3296</v>
      </c>
      <c r="B9085" t="s">
        <v>2931</v>
      </c>
      <c r="C9085">
        <v>1490</v>
      </c>
      <c r="D9085" t="str">
        <f>"2560097860  "</f>
        <v xml:space="preserve">2560097860  </v>
      </c>
      <c r="E9085" t="s">
        <v>1006</v>
      </c>
      <c r="F9085" t="s">
        <v>1007</v>
      </c>
      <c r="G9085">
        <v>43.86</v>
      </c>
      <c r="H9085">
        <v>250131</v>
      </c>
      <c r="I9085">
        <v>4410</v>
      </c>
      <c r="J9085" t="s">
        <v>165</v>
      </c>
      <c r="K9085">
        <v>55.7</v>
      </c>
      <c r="L9085">
        <v>5.39</v>
      </c>
      <c r="M9085">
        <v>17862</v>
      </c>
      <c r="N9085" t="s">
        <v>130</v>
      </c>
      <c r="O9085">
        <v>250210</v>
      </c>
      <c r="P9085">
        <v>38.47</v>
      </c>
    </row>
    <row r="9086" spans="1:16" x14ac:dyDescent="0.25">
      <c r="A9086" t="s">
        <v>3296</v>
      </c>
      <c r="B9086" t="s">
        <v>2931</v>
      </c>
      <c r="C9086">
        <v>5193</v>
      </c>
      <c r="D9086" t="str">
        <f>"2560293893  "</f>
        <v xml:space="preserve">2560293893  </v>
      </c>
      <c r="E9086" t="s">
        <v>1006</v>
      </c>
      <c r="F9086" t="s">
        <v>1007</v>
      </c>
      <c r="G9086">
        <v>5.66</v>
      </c>
      <c r="H9086">
        <v>250331</v>
      </c>
      <c r="I9086">
        <v>4410</v>
      </c>
      <c r="J9086" t="s">
        <v>165</v>
      </c>
      <c r="K9086">
        <v>50.43</v>
      </c>
      <c r="L9086">
        <v>1.1499999999999999</v>
      </c>
      <c r="M9086">
        <v>17862</v>
      </c>
      <c r="N9086" t="s">
        <v>130</v>
      </c>
      <c r="O9086">
        <v>250422</v>
      </c>
      <c r="P9086">
        <v>4.51</v>
      </c>
    </row>
    <row r="9087" spans="1:16" x14ac:dyDescent="0.25">
      <c r="A9087" t="s">
        <v>3296</v>
      </c>
      <c r="B9087" t="s">
        <v>2931</v>
      </c>
      <c r="C9087">
        <v>5193</v>
      </c>
      <c r="D9087" t="str">
        <f>"2560293893  "</f>
        <v xml:space="preserve">2560293893  </v>
      </c>
      <c r="E9087" t="s">
        <v>1006</v>
      </c>
      <c r="F9087" t="s">
        <v>1007</v>
      </c>
      <c r="G9087">
        <v>44.77</v>
      </c>
      <c r="H9087">
        <v>250331</v>
      </c>
      <c r="I9087">
        <v>4410</v>
      </c>
      <c r="J9087" t="s">
        <v>165</v>
      </c>
      <c r="K9087">
        <v>50.43</v>
      </c>
      <c r="L9087">
        <v>5.5</v>
      </c>
      <c r="M9087">
        <v>17862</v>
      </c>
      <c r="N9087" t="s">
        <v>130</v>
      </c>
      <c r="O9087">
        <v>250422</v>
      </c>
      <c r="P9087">
        <v>39.270000000000003</v>
      </c>
    </row>
    <row r="9088" spans="1:16" x14ac:dyDescent="0.25">
      <c r="A9088" t="s">
        <v>3296</v>
      </c>
      <c r="B9088" t="s">
        <v>2931</v>
      </c>
      <c r="C9088">
        <v>6823</v>
      </c>
      <c r="D9088" t="str">
        <f>"2560398334  "</f>
        <v xml:space="preserve">2560398334  </v>
      </c>
      <c r="E9088" t="s">
        <v>1006</v>
      </c>
      <c r="F9088" t="s">
        <v>1007</v>
      </c>
      <c r="G9088">
        <v>13.86</v>
      </c>
      <c r="H9088">
        <v>250430</v>
      </c>
      <c r="I9088">
        <v>4410</v>
      </c>
      <c r="J9088" t="s">
        <v>165</v>
      </c>
      <c r="K9088">
        <v>44.1</v>
      </c>
      <c r="L9088">
        <v>2.82</v>
      </c>
      <c r="M9088">
        <v>17862</v>
      </c>
      <c r="N9088" t="s">
        <v>130</v>
      </c>
      <c r="O9088">
        <v>250519</v>
      </c>
      <c r="P9088">
        <v>11.04</v>
      </c>
    </row>
    <row r="9089" spans="1:16" x14ac:dyDescent="0.25">
      <c r="A9089" t="s">
        <v>3296</v>
      </c>
      <c r="B9089" t="s">
        <v>2931</v>
      </c>
      <c r="C9089">
        <v>6823</v>
      </c>
      <c r="D9089" t="str">
        <f>"2560398334  "</f>
        <v xml:space="preserve">2560398334  </v>
      </c>
      <c r="E9089" t="s">
        <v>1006</v>
      </c>
      <c r="F9089" t="s">
        <v>1007</v>
      </c>
      <c r="G9089">
        <v>30.24</v>
      </c>
      <c r="H9089">
        <v>250430</v>
      </c>
      <c r="I9089">
        <v>4410</v>
      </c>
      <c r="J9089" t="s">
        <v>165</v>
      </c>
      <c r="K9089">
        <v>44.1</v>
      </c>
      <c r="L9089">
        <v>3.71</v>
      </c>
      <c r="M9089">
        <v>17862</v>
      </c>
      <c r="N9089" t="s">
        <v>130</v>
      </c>
      <c r="O9089">
        <v>250519</v>
      </c>
      <c r="P9089">
        <v>26.53</v>
      </c>
    </row>
    <row r="9090" spans="1:16" x14ac:dyDescent="0.25">
      <c r="A9090" t="s">
        <v>3296</v>
      </c>
      <c r="B9090" t="s">
        <v>2931</v>
      </c>
      <c r="C9090">
        <v>8160</v>
      </c>
      <c r="D9090" t="str">
        <f>"2560503185  "</f>
        <v xml:space="preserve">2560503185  </v>
      </c>
      <c r="E9090" t="s">
        <v>1006</v>
      </c>
      <c r="F9090" t="s">
        <v>1007</v>
      </c>
      <c r="G9090">
        <v>5.36</v>
      </c>
      <c r="H9090">
        <v>250531</v>
      </c>
      <c r="I9090">
        <v>4410</v>
      </c>
      <c r="J9090" t="s">
        <v>165</v>
      </c>
      <c r="K9090">
        <v>27.21</v>
      </c>
      <c r="L9090">
        <v>1.0900000000000001</v>
      </c>
      <c r="M9090">
        <v>17862</v>
      </c>
      <c r="N9090" t="s">
        <v>130</v>
      </c>
      <c r="O9090">
        <v>250611</v>
      </c>
      <c r="P9090">
        <v>4.2699999999999996</v>
      </c>
    </row>
    <row r="9091" spans="1:16" x14ac:dyDescent="0.25">
      <c r="A9091" t="s">
        <v>3296</v>
      </c>
      <c r="B9091" t="s">
        <v>2931</v>
      </c>
      <c r="C9091">
        <v>8160</v>
      </c>
      <c r="D9091" t="str">
        <f>"2560503185  "</f>
        <v xml:space="preserve">2560503185  </v>
      </c>
      <c r="E9091" t="s">
        <v>1006</v>
      </c>
      <c r="F9091" t="s">
        <v>1007</v>
      </c>
      <c r="G9091">
        <v>21.85</v>
      </c>
      <c r="H9091">
        <v>250531</v>
      </c>
      <c r="I9091">
        <v>4410</v>
      </c>
      <c r="J9091" t="s">
        <v>165</v>
      </c>
      <c r="K9091">
        <v>27.21</v>
      </c>
      <c r="L9091">
        <v>2.68</v>
      </c>
      <c r="M9091">
        <v>17862</v>
      </c>
      <c r="N9091" t="s">
        <v>130</v>
      </c>
      <c r="O9091">
        <v>250611</v>
      </c>
      <c r="P9091">
        <v>19.170000000000002</v>
      </c>
    </row>
    <row r="9092" spans="1:16" x14ac:dyDescent="0.25">
      <c r="A9092" t="s">
        <v>3296</v>
      </c>
      <c r="B9092" t="s">
        <v>2931</v>
      </c>
      <c r="C9092">
        <v>11684</v>
      </c>
      <c r="D9092" t="str">
        <f>"2560803103  "</f>
        <v xml:space="preserve">2560803103  </v>
      </c>
      <c r="E9092" t="s">
        <v>1006</v>
      </c>
      <c r="F9092" t="s">
        <v>1007</v>
      </c>
      <c r="G9092">
        <v>7.98</v>
      </c>
      <c r="H9092">
        <v>250831</v>
      </c>
      <c r="I9092">
        <v>4410</v>
      </c>
      <c r="J9092" t="s">
        <v>165</v>
      </c>
      <c r="K9092">
        <v>74.42</v>
      </c>
      <c r="L9092">
        <v>1.62</v>
      </c>
      <c r="M9092">
        <v>17862</v>
      </c>
      <c r="N9092" t="s">
        <v>130</v>
      </c>
      <c r="O9092">
        <v>250910</v>
      </c>
      <c r="P9092">
        <v>6.36</v>
      </c>
    </row>
    <row r="9093" spans="1:16" x14ac:dyDescent="0.25">
      <c r="A9093" t="s">
        <v>3296</v>
      </c>
      <c r="B9093" t="s">
        <v>2931</v>
      </c>
      <c r="C9093">
        <v>11684</v>
      </c>
      <c r="D9093" t="str">
        <f>"2560803103  "</f>
        <v xml:space="preserve">2560803103  </v>
      </c>
      <c r="E9093" t="s">
        <v>1006</v>
      </c>
      <c r="F9093" t="s">
        <v>1007</v>
      </c>
      <c r="G9093">
        <v>66.44</v>
      </c>
      <c r="H9093">
        <v>250831</v>
      </c>
      <c r="I9093">
        <v>4410</v>
      </c>
      <c r="J9093" t="s">
        <v>165</v>
      </c>
      <c r="K9093">
        <v>74.42</v>
      </c>
      <c r="L9093">
        <v>8.16</v>
      </c>
      <c r="M9093">
        <v>17862</v>
      </c>
      <c r="N9093" t="s">
        <v>130</v>
      </c>
      <c r="O9093">
        <v>250910</v>
      </c>
      <c r="P9093">
        <v>58.28</v>
      </c>
    </row>
    <row r="9094" spans="1:16" x14ac:dyDescent="0.25">
      <c r="A9094" t="s">
        <v>3296</v>
      </c>
      <c r="B9094" t="s">
        <v>2931</v>
      </c>
      <c r="C9094">
        <v>13372</v>
      </c>
      <c r="D9094" t="str">
        <f>"2560903480  "</f>
        <v xml:space="preserve">2560903480  </v>
      </c>
      <c r="E9094" t="s">
        <v>1006</v>
      </c>
      <c r="F9094" t="s">
        <v>1007</v>
      </c>
      <c r="G9094">
        <v>2.5299999999999998</v>
      </c>
      <c r="H9094">
        <v>250930</v>
      </c>
      <c r="I9094">
        <v>4410</v>
      </c>
      <c r="J9094" t="s">
        <v>165</v>
      </c>
      <c r="K9094">
        <v>39.159999999999997</v>
      </c>
      <c r="L9094">
        <v>0.51</v>
      </c>
      <c r="M9094">
        <v>17862</v>
      </c>
      <c r="N9094" t="s">
        <v>130</v>
      </c>
      <c r="O9094">
        <v>251008</v>
      </c>
      <c r="P9094">
        <v>2.02</v>
      </c>
    </row>
    <row r="9095" spans="1:16" x14ac:dyDescent="0.25">
      <c r="A9095" t="s">
        <v>3296</v>
      </c>
      <c r="B9095" t="s">
        <v>2931</v>
      </c>
      <c r="C9095">
        <v>13372</v>
      </c>
      <c r="D9095" t="str">
        <f>"2560903480  "</f>
        <v xml:space="preserve">2560903480  </v>
      </c>
      <c r="E9095" t="s">
        <v>1006</v>
      </c>
      <c r="F9095" t="s">
        <v>1007</v>
      </c>
      <c r="G9095">
        <v>12.19</v>
      </c>
      <c r="H9095">
        <v>250930</v>
      </c>
      <c r="I9095">
        <v>4410</v>
      </c>
      <c r="J9095" t="s">
        <v>165</v>
      </c>
      <c r="K9095">
        <v>39.159999999999997</v>
      </c>
      <c r="L9095">
        <v>1.5</v>
      </c>
      <c r="M9095">
        <v>17862</v>
      </c>
      <c r="N9095" t="s">
        <v>130</v>
      </c>
      <c r="O9095">
        <v>251008</v>
      </c>
      <c r="P9095">
        <v>10.69</v>
      </c>
    </row>
    <row r="9096" spans="1:16" x14ac:dyDescent="0.25">
      <c r="A9096" t="s">
        <v>3296</v>
      </c>
      <c r="B9096" t="s">
        <v>2931</v>
      </c>
      <c r="C9096">
        <v>13372</v>
      </c>
      <c r="D9096" t="str">
        <f>"2560903480  "</f>
        <v xml:space="preserve">2560903480  </v>
      </c>
      <c r="E9096" t="s">
        <v>1006</v>
      </c>
      <c r="F9096" t="s">
        <v>1007</v>
      </c>
      <c r="G9096">
        <v>3.12</v>
      </c>
      <c r="H9096">
        <v>250930</v>
      </c>
      <c r="I9096">
        <v>4410</v>
      </c>
      <c r="J9096" t="s">
        <v>165</v>
      </c>
      <c r="K9096">
        <v>39.159999999999997</v>
      </c>
      <c r="L9096">
        <v>0.63</v>
      </c>
      <c r="M9096">
        <v>17972</v>
      </c>
      <c r="N9096" t="s">
        <v>28</v>
      </c>
      <c r="O9096">
        <v>251008</v>
      </c>
      <c r="P9096">
        <v>2.4900000000000002</v>
      </c>
    </row>
    <row r="9097" spans="1:16" x14ac:dyDescent="0.25">
      <c r="A9097" t="s">
        <v>3296</v>
      </c>
      <c r="B9097" t="s">
        <v>2931</v>
      </c>
      <c r="C9097">
        <v>13372</v>
      </c>
      <c r="D9097" t="str">
        <f>"2560903480  "</f>
        <v xml:space="preserve">2560903480  </v>
      </c>
      <c r="E9097" t="s">
        <v>1006</v>
      </c>
      <c r="F9097" t="s">
        <v>1007</v>
      </c>
      <c r="G9097">
        <v>21.32</v>
      </c>
      <c r="H9097">
        <v>250930</v>
      </c>
      <c r="I9097">
        <v>4410</v>
      </c>
      <c r="J9097" t="s">
        <v>165</v>
      </c>
      <c r="K9097">
        <v>39.159999999999997</v>
      </c>
      <c r="L9097">
        <v>2.62</v>
      </c>
      <c r="M9097">
        <v>17972</v>
      </c>
      <c r="N9097" t="s">
        <v>28</v>
      </c>
      <c r="O9097">
        <v>251008</v>
      </c>
      <c r="P9097">
        <v>18.7</v>
      </c>
    </row>
    <row r="9098" spans="1:16" x14ac:dyDescent="0.25">
      <c r="A9098" t="s">
        <v>3296</v>
      </c>
      <c r="B9098" t="s">
        <v>2931</v>
      </c>
      <c r="C9098">
        <v>14935</v>
      </c>
      <c r="D9098" t="str">
        <f>"2561011630  "</f>
        <v xml:space="preserve">2561011630  </v>
      </c>
      <c r="E9098" t="s">
        <v>1006</v>
      </c>
      <c r="F9098" t="s">
        <v>1007</v>
      </c>
      <c r="G9098">
        <v>5.45</v>
      </c>
      <c r="H9098">
        <v>251031</v>
      </c>
      <c r="I9098">
        <v>4410</v>
      </c>
      <c r="J9098" t="s">
        <v>165</v>
      </c>
      <c r="K9098">
        <v>50.14</v>
      </c>
      <c r="L9098">
        <v>1.1100000000000001</v>
      </c>
      <c r="M9098">
        <v>17862</v>
      </c>
      <c r="N9098" t="s">
        <v>130</v>
      </c>
      <c r="O9098">
        <v>251110</v>
      </c>
      <c r="P9098">
        <v>4.34</v>
      </c>
    </row>
    <row r="9099" spans="1:16" x14ac:dyDescent="0.25">
      <c r="A9099" t="s">
        <v>3296</v>
      </c>
      <c r="B9099" t="s">
        <v>2931</v>
      </c>
      <c r="C9099">
        <v>14935</v>
      </c>
      <c r="D9099" t="str">
        <f>"2561011630  "</f>
        <v xml:space="preserve">2561011630  </v>
      </c>
      <c r="E9099" t="s">
        <v>1006</v>
      </c>
      <c r="F9099" t="s">
        <v>1007</v>
      </c>
      <c r="G9099">
        <v>24.94</v>
      </c>
      <c r="H9099">
        <v>251031</v>
      </c>
      <c r="I9099">
        <v>4410</v>
      </c>
      <c r="J9099" t="s">
        <v>165</v>
      </c>
      <c r="K9099">
        <v>50.14</v>
      </c>
      <c r="L9099">
        <v>3.06</v>
      </c>
      <c r="M9099">
        <v>17862</v>
      </c>
      <c r="N9099" t="s">
        <v>130</v>
      </c>
      <c r="O9099">
        <v>251110</v>
      </c>
      <c r="P9099">
        <v>21.88</v>
      </c>
    </row>
    <row r="9100" spans="1:16" x14ac:dyDescent="0.25">
      <c r="A9100" t="s">
        <v>3296</v>
      </c>
      <c r="B9100" t="s">
        <v>2931</v>
      </c>
      <c r="C9100">
        <v>14935</v>
      </c>
      <c r="D9100" t="str">
        <f>"2561011630  "</f>
        <v xml:space="preserve">2561011630  </v>
      </c>
      <c r="E9100" t="s">
        <v>1006</v>
      </c>
      <c r="F9100" t="s">
        <v>1007</v>
      </c>
      <c r="G9100">
        <v>19.75</v>
      </c>
      <c r="H9100">
        <v>251031</v>
      </c>
      <c r="I9100">
        <v>4410</v>
      </c>
      <c r="J9100" t="s">
        <v>165</v>
      </c>
      <c r="K9100">
        <v>50.14</v>
      </c>
      <c r="L9100">
        <v>2.4300000000000002</v>
      </c>
      <c r="M9100">
        <v>17972</v>
      </c>
      <c r="N9100" t="s">
        <v>28</v>
      </c>
      <c r="O9100">
        <v>251110</v>
      </c>
      <c r="P9100">
        <v>17.32</v>
      </c>
    </row>
    <row r="9101" spans="1:16" x14ac:dyDescent="0.25">
      <c r="A9101" t="s">
        <v>3296</v>
      </c>
      <c r="B9101" t="s">
        <v>2931</v>
      </c>
      <c r="C9101">
        <v>18237</v>
      </c>
      <c r="D9101" t="str">
        <f>"2561209328  "</f>
        <v xml:space="preserve">2561209328  </v>
      </c>
      <c r="E9101" t="s">
        <v>1006</v>
      </c>
      <c r="F9101" t="s">
        <v>1007</v>
      </c>
      <c r="G9101">
        <v>9.83</v>
      </c>
      <c r="H9101">
        <v>251231</v>
      </c>
      <c r="I9101">
        <v>4410</v>
      </c>
      <c r="J9101" t="s">
        <v>165</v>
      </c>
      <c r="K9101">
        <v>57.59</v>
      </c>
      <c r="L9101">
        <v>2</v>
      </c>
      <c r="M9101">
        <v>17862</v>
      </c>
      <c r="N9101" t="s">
        <v>130</v>
      </c>
      <c r="O9101">
        <v>260112</v>
      </c>
      <c r="P9101">
        <v>7.83</v>
      </c>
    </row>
    <row r="9102" spans="1:16" x14ac:dyDescent="0.25">
      <c r="A9102" t="s">
        <v>3296</v>
      </c>
      <c r="B9102" t="s">
        <v>2931</v>
      </c>
      <c r="C9102">
        <v>18237</v>
      </c>
      <c r="D9102" t="str">
        <f>"2561209328  "</f>
        <v xml:space="preserve">2561209328  </v>
      </c>
      <c r="E9102" t="s">
        <v>1006</v>
      </c>
      <c r="F9102" t="s">
        <v>1007</v>
      </c>
      <c r="G9102">
        <v>47.76</v>
      </c>
      <c r="H9102">
        <v>251231</v>
      </c>
      <c r="I9102">
        <v>4410</v>
      </c>
      <c r="J9102" t="s">
        <v>165</v>
      </c>
      <c r="K9102">
        <v>57.59</v>
      </c>
      <c r="L9102">
        <v>5.87</v>
      </c>
      <c r="M9102">
        <v>17862</v>
      </c>
      <c r="N9102" t="s">
        <v>130</v>
      </c>
      <c r="O9102">
        <v>260112</v>
      </c>
      <c r="P9102">
        <v>41.89</v>
      </c>
    </row>
    <row r="9103" spans="1:16" x14ac:dyDescent="0.25">
      <c r="A9103" t="s">
        <v>3296</v>
      </c>
      <c r="B9103" t="s">
        <v>2931</v>
      </c>
      <c r="C9103">
        <v>15942</v>
      </c>
      <c r="D9103" t="str">
        <f>"4122        "</f>
        <v xml:space="preserve">4122        </v>
      </c>
      <c r="E9103" t="s">
        <v>2640</v>
      </c>
      <c r="F9103" t="s">
        <v>2641</v>
      </c>
      <c r="G9103">
        <v>283.33</v>
      </c>
      <c r="H9103">
        <v>251126</v>
      </c>
      <c r="I9103">
        <v>4390</v>
      </c>
      <c r="J9103" t="s">
        <v>232</v>
      </c>
      <c r="K9103">
        <v>283.33</v>
      </c>
      <c r="L9103">
        <v>57.57</v>
      </c>
      <c r="M9103">
        <v>17950</v>
      </c>
      <c r="N9103" t="s">
        <v>132</v>
      </c>
      <c r="O9103">
        <v>251201</v>
      </c>
      <c r="P9103">
        <v>225.76</v>
      </c>
    </row>
    <row r="9104" spans="1:16" x14ac:dyDescent="0.25">
      <c r="A9104" t="s">
        <v>3296</v>
      </c>
      <c r="B9104" t="s">
        <v>2931</v>
      </c>
      <c r="C9104">
        <v>1367</v>
      </c>
      <c r="D9104" t="str">
        <f>"8256        "</f>
        <v xml:space="preserve">8256        </v>
      </c>
      <c r="E9104" t="s">
        <v>3307</v>
      </c>
      <c r="F9104" t="s">
        <v>3308</v>
      </c>
      <c r="G9104">
        <v>215.51</v>
      </c>
      <c r="H9104">
        <v>250131</v>
      </c>
      <c r="I9104">
        <v>4380</v>
      </c>
      <c r="J9104" t="s">
        <v>211</v>
      </c>
      <c r="K9104">
        <v>215.51</v>
      </c>
      <c r="L9104">
        <v>43.79</v>
      </c>
      <c r="M9104">
        <v>49501</v>
      </c>
      <c r="N9104" t="s">
        <v>110</v>
      </c>
      <c r="O9104">
        <v>250207</v>
      </c>
      <c r="P9104">
        <v>171.72</v>
      </c>
    </row>
    <row r="9105" spans="1:16" x14ac:dyDescent="0.25">
      <c r="A9105" t="s">
        <v>3296</v>
      </c>
      <c r="B9105" t="s">
        <v>2931</v>
      </c>
      <c r="C9105">
        <v>2821</v>
      </c>
      <c r="D9105" t="str">
        <f>"8292        "</f>
        <v xml:space="preserve">8292        </v>
      </c>
      <c r="E9105" t="s">
        <v>3307</v>
      </c>
      <c r="F9105" t="s">
        <v>3308</v>
      </c>
      <c r="G9105">
        <v>360.96</v>
      </c>
      <c r="H9105">
        <v>250228</v>
      </c>
      <c r="I9105">
        <v>4380</v>
      </c>
      <c r="J9105" t="s">
        <v>211</v>
      </c>
      <c r="K9105">
        <v>360.96</v>
      </c>
      <c r="L9105">
        <v>73.34</v>
      </c>
      <c r="M9105">
        <v>49501</v>
      </c>
      <c r="N9105" t="s">
        <v>110</v>
      </c>
      <c r="O9105">
        <v>250312</v>
      </c>
      <c r="P9105">
        <v>287.62</v>
      </c>
    </row>
    <row r="9106" spans="1:16" x14ac:dyDescent="0.25">
      <c r="A9106" t="s">
        <v>3296</v>
      </c>
      <c r="B9106" t="s">
        <v>2931</v>
      </c>
      <c r="C9106">
        <v>17531</v>
      </c>
      <c r="D9106" t="str">
        <f>"1251200028  "</f>
        <v xml:space="preserve">1251200028  </v>
      </c>
      <c r="E9106" t="s">
        <v>265</v>
      </c>
      <c r="F9106" t="s">
        <v>266</v>
      </c>
      <c r="G9106">
        <v>3229</v>
      </c>
      <c r="H9106">
        <v>251217</v>
      </c>
      <c r="I9106">
        <v>1197</v>
      </c>
      <c r="J9106" t="s">
        <v>2156</v>
      </c>
      <c r="K9106">
        <v>3229</v>
      </c>
      <c r="L9106">
        <v>0</v>
      </c>
      <c r="M9106">
        <v>96501</v>
      </c>
      <c r="N9106" t="s">
        <v>2066</v>
      </c>
      <c r="O9106">
        <v>251222</v>
      </c>
      <c r="P9106">
        <v>3229</v>
      </c>
    </row>
    <row r="9107" spans="1:16" x14ac:dyDescent="0.25">
      <c r="A9107" t="s">
        <v>3296</v>
      </c>
      <c r="B9107" t="s">
        <v>2931</v>
      </c>
      <c r="C9107">
        <v>17612</v>
      </c>
      <c r="D9107" t="str">
        <f>"1251200026  "</f>
        <v xml:space="preserve">1251200026  </v>
      </c>
      <c r="E9107" t="s">
        <v>265</v>
      </c>
      <c r="F9107" t="s">
        <v>266</v>
      </c>
      <c r="G9107">
        <v>7300</v>
      </c>
      <c r="H9107">
        <v>251217</v>
      </c>
      <c r="I9107">
        <v>1197</v>
      </c>
      <c r="J9107" t="s">
        <v>2156</v>
      </c>
      <c r="K9107">
        <v>7300</v>
      </c>
      <c r="L9107">
        <v>0</v>
      </c>
      <c r="M9107">
        <v>96501</v>
      </c>
      <c r="N9107" t="s">
        <v>2066</v>
      </c>
      <c r="O9107">
        <v>251223</v>
      </c>
      <c r="P9107">
        <v>7300</v>
      </c>
    </row>
    <row r="9108" spans="1:16" x14ac:dyDescent="0.25">
      <c r="A9108" t="s">
        <v>3296</v>
      </c>
      <c r="B9108" t="s">
        <v>2931</v>
      </c>
      <c r="C9108">
        <v>147</v>
      </c>
      <c r="D9108" t="str">
        <f>"9250100046  "</f>
        <v xml:space="preserve">9250100046  </v>
      </c>
      <c r="E9108" t="s">
        <v>265</v>
      </c>
      <c r="F9108" t="s">
        <v>266</v>
      </c>
      <c r="G9108">
        <v>1506</v>
      </c>
      <c r="H9108">
        <v>250103</v>
      </c>
      <c r="I9108">
        <v>4471</v>
      </c>
      <c r="J9108" t="s">
        <v>191</v>
      </c>
      <c r="K9108">
        <v>2259</v>
      </c>
      <c r="L9108">
        <v>306</v>
      </c>
      <c r="M9108">
        <v>49501</v>
      </c>
      <c r="N9108" t="s">
        <v>110</v>
      </c>
      <c r="O9108">
        <v>250113</v>
      </c>
      <c r="P9108">
        <v>1200</v>
      </c>
    </row>
    <row r="9109" spans="1:16" x14ac:dyDescent="0.25">
      <c r="A9109" t="s">
        <v>3296</v>
      </c>
      <c r="B9109" t="s">
        <v>2931</v>
      </c>
      <c r="C9109">
        <v>147</v>
      </c>
      <c r="D9109" t="str">
        <f>"9250100046  "</f>
        <v xml:space="preserve">9250100046  </v>
      </c>
      <c r="E9109" t="s">
        <v>265</v>
      </c>
      <c r="F9109" t="s">
        <v>266</v>
      </c>
      <c r="G9109">
        <v>753</v>
      </c>
      <c r="H9109">
        <v>250103</v>
      </c>
      <c r="I9109">
        <v>4471</v>
      </c>
      <c r="J9109" t="s">
        <v>191</v>
      </c>
      <c r="K9109">
        <v>2259</v>
      </c>
      <c r="L9109">
        <v>153</v>
      </c>
      <c r="M9109">
        <v>49503</v>
      </c>
      <c r="N9109" t="s">
        <v>267</v>
      </c>
      <c r="O9109">
        <v>250113</v>
      </c>
      <c r="P9109">
        <v>600</v>
      </c>
    </row>
    <row r="9110" spans="1:16" x14ac:dyDescent="0.25">
      <c r="A9110" t="s">
        <v>3296</v>
      </c>
      <c r="B9110" t="s">
        <v>2931</v>
      </c>
      <c r="C9110">
        <v>1180</v>
      </c>
      <c r="D9110" t="str">
        <f>"1250200002  "</f>
        <v xml:space="preserve">1250200002  </v>
      </c>
      <c r="E9110" t="s">
        <v>265</v>
      </c>
      <c r="F9110" t="s">
        <v>266</v>
      </c>
      <c r="G9110">
        <v>907.11</v>
      </c>
      <c r="H9110">
        <v>250131</v>
      </c>
      <c r="I9110">
        <v>4471</v>
      </c>
      <c r="J9110" t="s">
        <v>191</v>
      </c>
      <c r="K9110">
        <v>907.11</v>
      </c>
      <c r="L9110">
        <v>184.31</v>
      </c>
      <c r="M9110">
        <v>13451</v>
      </c>
      <c r="N9110" t="s">
        <v>876</v>
      </c>
      <c r="O9110">
        <v>250205</v>
      </c>
      <c r="P9110">
        <v>722.8</v>
      </c>
    </row>
    <row r="9111" spans="1:16" x14ac:dyDescent="0.25">
      <c r="A9111" t="s">
        <v>3296</v>
      </c>
      <c r="B9111" t="s">
        <v>2931</v>
      </c>
      <c r="C9111">
        <v>2027</v>
      </c>
      <c r="D9111" t="str">
        <f>"1250100151  "</f>
        <v xml:space="preserve">1250100151  </v>
      </c>
      <c r="E9111" t="s">
        <v>265</v>
      </c>
      <c r="F9111" t="s">
        <v>266</v>
      </c>
      <c r="G9111">
        <v>62.75</v>
      </c>
      <c r="H9111">
        <v>250131</v>
      </c>
      <c r="I9111">
        <v>4471</v>
      </c>
      <c r="J9111" t="s">
        <v>191</v>
      </c>
      <c r="K9111">
        <v>62.75</v>
      </c>
      <c r="L9111">
        <v>12.75</v>
      </c>
      <c r="M9111">
        <v>49701</v>
      </c>
      <c r="N9111" t="s">
        <v>111</v>
      </c>
      <c r="O9111">
        <v>250219</v>
      </c>
      <c r="P9111">
        <v>50</v>
      </c>
    </row>
    <row r="9112" spans="1:16" x14ac:dyDescent="0.25">
      <c r="A9112" t="s">
        <v>3296</v>
      </c>
      <c r="B9112" t="s">
        <v>2931</v>
      </c>
      <c r="C9112">
        <v>4424</v>
      </c>
      <c r="D9112" t="str">
        <f>"1250300092  "</f>
        <v xml:space="preserve">1250300092  </v>
      </c>
      <c r="E9112" t="s">
        <v>265</v>
      </c>
      <c r="F9112" t="s">
        <v>266</v>
      </c>
      <c r="G9112">
        <v>105.42</v>
      </c>
      <c r="H9112">
        <v>250331</v>
      </c>
      <c r="I9112">
        <v>4471</v>
      </c>
      <c r="J9112" t="s">
        <v>191</v>
      </c>
      <c r="K9112">
        <v>210.84</v>
      </c>
      <c r="L9112">
        <v>21.42</v>
      </c>
      <c r="M9112">
        <v>13451</v>
      </c>
      <c r="N9112" t="s">
        <v>876</v>
      </c>
      <c r="O9112">
        <v>250411</v>
      </c>
      <c r="P9112">
        <v>84</v>
      </c>
    </row>
    <row r="9113" spans="1:16" x14ac:dyDescent="0.25">
      <c r="A9113" t="s">
        <v>3296</v>
      </c>
      <c r="B9113" t="s">
        <v>2931</v>
      </c>
      <c r="C9113">
        <v>4424</v>
      </c>
      <c r="D9113" t="str">
        <f>"1250300092  "</f>
        <v xml:space="preserve">1250300092  </v>
      </c>
      <c r="E9113" t="s">
        <v>265</v>
      </c>
      <c r="F9113" t="s">
        <v>266</v>
      </c>
      <c r="G9113">
        <v>52.71</v>
      </c>
      <c r="H9113">
        <v>250331</v>
      </c>
      <c r="I9113">
        <v>4471</v>
      </c>
      <c r="J9113" t="s">
        <v>191</v>
      </c>
      <c r="K9113">
        <v>210.84</v>
      </c>
      <c r="L9113">
        <v>10.71</v>
      </c>
      <c r="M9113">
        <v>49501</v>
      </c>
      <c r="N9113" t="s">
        <v>110</v>
      </c>
      <c r="O9113">
        <v>250411</v>
      </c>
      <c r="P9113">
        <v>42</v>
      </c>
    </row>
    <row r="9114" spans="1:16" x14ac:dyDescent="0.25">
      <c r="A9114" t="s">
        <v>3296</v>
      </c>
      <c r="B9114" t="s">
        <v>2931</v>
      </c>
      <c r="C9114">
        <v>4424</v>
      </c>
      <c r="D9114" t="str">
        <f>"1250300092  "</f>
        <v xml:space="preserve">1250300092  </v>
      </c>
      <c r="E9114" t="s">
        <v>265</v>
      </c>
      <c r="F9114" t="s">
        <v>266</v>
      </c>
      <c r="G9114">
        <v>52.71</v>
      </c>
      <c r="H9114">
        <v>250331</v>
      </c>
      <c r="I9114">
        <v>4471</v>
      </c>
      <c r="J9114" t="s">
        <v>191</v>
      </c>
      <c r="K9114">
        <v>210.84</v>
      </c>
      <c r="L9114">
        <v>10.71</v>
      </c>
      <c r="M9114">
        <v>49503</v>
      </c>
      <c r="N9114" t="s">
        <v>267</v>
      </c>
      <c r="O9114">
        <v>250411</v>
      </c>
      <c r="P9114">
        <v>42</v>
      </c>
    </row>
    <row r="9115" spans="1:16" x14ac:dyDescent="0.25">
      <c r="A9115" t="s">
        <v>3296</v>
      </c>
      <c r="B9115" t="s">
        <v>2931</v>
      </c>
      <c r="C9115">
        <v>4596</v>
      </c>
      <c r="D9115" t="str">
        <f>"9250400045  "</f>
        <v xml:space="preserve">9250400045  </v>
      </c>
      <c r="E9115" t="s">
        <v>265</v>
      </c>
      <c r="F9115" t="s">
        <v>266</v>
      </c>
      <c r="G9115">
        <v>1506</v>
      </c>
      <c r="H9115">
        <v>250401</v>
      </c>
      <c r="I9115">
        <v>4471</v>
      </c>
      <c r="J9115" t="s">
        <v>191</v>
      </c>
      <c r="K9115">
        <v>2259</v>
      </c>
      <c r="L9115">
        <v>306</v>
      </c>
      <c r="M9115">
        <v>49501</v>
      </c>
      <c r="N9115" t="s">
        <v>110</v>
      </c>
      <c r="O9115">
        <v>250414</v>
      </c>
      <c r="P9115">
        <v>1200</v>
      </c>
    </row>
    <row r="9116" spans="1:16" x14ac:dyDescent="0.25">
      <c r="A9116" t="s">
        <v>3296</v>
      </c>
      <c r="B9116" t="s">
        <v>2931</v>
      </c>
      <c r="C9116">
        <v>4596</v>
      </c>
      <c r="D9116" t="str">
        <f>"9250400045  "</f>
        <v xml:space="preserve">9250400045  </v>
      </c>
      <c r="E9116" t="s">
        <v>265</v>
      </c>
      <c r="F9116" t="s">
        <v>266</v>
      </c>
      <c r="G9116">
        <v>753</v>
      </c>
      <c r="H9116">
        <v>250401</v>
      </c>
      <c r="I9116">
        <v>4471</v>
      </c>
      <c r="J9116" t="s">
        <v>191</v>
      </c>
      <c r="K9116">
        <v>2259</v>
      </c>
      <c r="L9116">
        <v>153</v>
      </c>
      <c r="M9116">
        <v>49503</v>
      </c>
      <c r="N9116" t="s">
        <v>267</v>
      </c>
      <c r="O9116">
        <v>250414</v>
      </c>
      <c r="P9116">
        <v>600</v>
      </c>
    </row>
    <row r="9117" spans="1:16" x14ac:dyDescent="0.25">
      <c r="A9117" t="s">
        <v>3296</v>
      </c>
      <c r="B9117" t="s">
        <v>2931</v>
      </c>
      <c r="C9117">
        <v>6645</v>
      </c>
      <c r="D9117" t="str">
        <f>"1250400111  "</f>
        <v xml:space="preserve">1250400111  </v>
      </c>
      <c r="E9117" t="s">
        <v>265</v>
      </c>
      <c r="F9117" t="s">
        <v>266</v>
      </c>
      <c r="G9117">
        <v>125.5</v>
      </c>
      <c r="H9117">
        <v>250430</v>
      </c>
      <c r="I9117">
        <v>4471</v>
      </c>
      <c r="J9117" t="s">
        <v>191</v>
      </c>
      <c r="K9117">
        <v>125.5</v>
      </c>
      <c r="L9117">
        <v>25.5</v>
      </c>
      <c r="M9117">
        <v>49701</v>
      </c>
      <c r="N9117" t="s">
        <v>111</v>
      </c>
      <c r="O9117">
        <v>250514</v>
      </c>
      <c r="P9117">
        <v>100</v>
      </c>
    </row>
    <row r="9118" spans="1:16" x14ac:dyDescent="0.25">
      <c r="A9118" t="s">
        <v>3296</v>
      </c>
      <c r="B9118" t="s">
        <v>2931</v>
      </c>
      <c r="C9118">
        <v>9509</v>
      </c>
      <c r="D9118" t="str">
        <f>"9250700042  "</f>
        <v xml:space="preserve">9250700042  </v>
      </c>
      <c r="E9118" t="s">
        <v>265</v>
      </c>
      <c r="F9118" t="s">
        <v>266</v>
      </c>
      <c r="G9118">
        <v>1506</v>
      </c>
      <c r="H9118">
        <v>250702</v>
      </c>
      <c r="I9118">
        <v>4471</v>
      </c>
      <c r="J9118" t="s">
        <v>191</v>
      </c>
      <c r="K9118">
        <v>2259</v>
      </c>
      <c r="L9118">
        <v>306</v>
      </c>
      <c r="M9118">
        <v>49501</v>
      </c>
      <c r="N9118" t="s">
        <v>110</v>
      </c>
      <c r="O9118">
        <v>250709</v>
      </c>
      <c r="P9118">
        <v>1200</v>
      </c>
    </row>
    <row r="9119" spans="1:16" x14ac:dyDescent="0.25">
      <c r="A9119" t="s">
        <v>3296</v>
      </c>
      <c r="B9119" t="s">
        <v>2931</v>
      </c>
      <c r="C9119">
        <v>9509</v>
      </c>
      <c r="D9119" t="str">
        <f>"9250700042  "</f>
        <v xml:space="preserve">9250700042  </v>
      </c>
      <c r="E9119" t="s">
        <v>265</v>
      </c>
      <c r="F9119" t="s">
        <v>266</v>
      </c>
      <c r="G9119">
        <v>753</v>
      </c>
      <c r="H9119">
        <v>250702</v>
      </c>
      <c r="I9119">
        <v>4471</v>
      </c>
      <c r="J9119" t="s">
        <v>191</v>
      </c>
      <c r="K9119">
        <v>2259</v>
      </c>
      <c r="L9119">
        <v>153</v>
      </c>
      <c r="M9119">
        <v>49503</v>
      </c>
      <c r="N9119" t="s">
        <v>267</v>
      </c>
      <c r="O9119">
        <v>250709</v>
      </c>
      <c r="P9119">
        <v>600</v>
      </c>
    </row>
    <row r="9120" spans="1:16" x14ac:dyDescent="0.25">
      <c r="A9120" t="s">
        <v>3296</v>
      </c>
      <c r="B9120" t="s">
        <v>2931</v>
      </c>
      <c r="C9120">
        <v>9692</v>
      </c>
      <c r="D9120" t="str">
        <f>"1250600240  "</f>
        <v xml:space="preserve">1250600240  </v>
      </c>
      <c r="E9120" t="s">
        <v>265</v>
      </c>
      <c r="F9120" t="s">
        <v>266</v>
      </c>
      <c r="G9120">
        <v>125.5</v>
      </c>
      <c r="H9120">
        <v>250630</v>
      </c>
      <c r="I9120">
        <v>4471</v>
      </c>
      <c r="J9120" t="s">
        <v>191</v>
      </c>
      <c r="K9120">
        <v>238.45</v>
      </c>
      <c r="L9120">
        <v>25.5</v>
      </c>
      <c r="M9120">
        <v>49701</v>
      </c>
      <c r="N9120" t="s">
        <v>111</v>
      </c>
      <c r="O9120">
        <v>250724</v>
      </c>
      <c r="P9120">
        <v>100</v>
      </c>
    </row>
    <row r="9121" spans="1:16" x14ac:dyDescent="0.25">
      <c r="A9121" t="s">
        <v>3296</v>
      </c>
      <c r="B9121" t="s">
        <v>2931</v>
      </c>
      <c r="C9121">
        <v>10542</v>
      </c>
      <c r="D9121" t="str">
        <f>"1250800004  "</f>
        <v xml:space="preserve">1250800004  </v>
      </c>
      <c r="E9121" t="s">
        <v>265</v>
      </c>
      <c r="F9121" t="s">
        <v>266</v>
      </c>
      <c r="G9121">
        <v>907.11</v>
      </c>
      <c r="H9121">
        <v>250806</v>
      </c>
      <c r="I9121">
        <v>4471</v>
      </c>
      <c r="J9121" t="s">
        <v>191</v>
      </c>
      <c r="K9121">
        <v>907.11</v>
      </c>
      <c r="L9121">
        <v>184.31</v>
      </c>
      <c r="M9121">
        <v>13451</v>
      </c>
      <c r="N9121" t="s">
        <v>876</v>
      </c>
      <c r="O9121">
        <v>250820</v>
      </c>
      <c r="P9121">
        <v>722.8</v>
      </c>
    </row>
    <row r="9122" spans="1:16" x14ac:dyDescent="0.25">
      <c r="A9122" t="s">
        <v>3296</v>
      </c>
      <c r="B9122" t="s">
        <v>2931</v>
      </c>
      <c r="C9122">
        <v>13423</v>
      </c>
      <c r="D9122" t="str">
        <f>"9251000040  "</f>
        <v xml:space="preserve">9251000040  </v>
      </c>
      <c r="E9122" t="s">
        <v>265</v>
      </c>
      <c r="F9122" t="s">
        <v>266</v>
      </c>
      <c r="G9122">
        <v>1506</v>
      </c>
      <c r="H9122">
        <v>251002</v>
      </c>
      <c r="I9122">
        <v>4471</v>
      </c>
      <c r="J9122" t="s">
        <v>191</v>
      </c>
      <c r="K9122">
        <v>2259</v>
      </c>
      <c r="L9122">
        <v>306</v>
      </c>
      <c r="M9122">
        <v>49501</v>
      </c>
      <c r="N9122" t="s">
        <v>110</v>
      </c>
      <c r="O9122">
        <v>251009</v>
      </c>
      <c r="P9122">
        <v>1200</v>
      </c>
    </row>
    <row r="9123" spans="1:16" x14ac:dyDescent="0.25">
      <c r="A9123" t="s">
        <v>3296</v>
      </c>
      <c r="B9123" t="s">
        <v>2931</v>
      </c>
      <c r="C9123">
        <v>13423</v>
      </c>
      <c r="D9123" t="str">
        <f>"9251000040  "</f>
        <v xml:space="preserve">9251000040  </v>
      </c>
      <c r="E9123" t="s">
        <v>265</v>
      </c>
      <c r="F9123" t="s">
        <v>266</v>
      </c>
      <c r="G9123">
        <v>753</v>
      </c>
      <c r="H9123">
        <v>251002</v>
      </c>
      <c r="I9123">
        <v>4471</v>
      </c>
      <c r="J9123" t="s">
        <v>191</v>
      </c>
      <c r="K9123">
        <v>2259</v>
      </c>
      <c r="L9123">
        <v>153</v>
      </c>
      <c r="M9123">
        <v>49503</v>
      </c>
      <c r="N9123" t="s">
        <v>267</v>
      </c>
      <c r="O9123">
        <v>251009</v>
      </c>
      <c r="P9123">
        <v>600</v>
      </c>
    </row>
    <row r="9124" spans="1:16" x14ac:dyDescent="0.25">
      <c r="A9124" t="s">
        <v>3296</v>
      </c>
      <c r="B9124" t="s">
        <v>2931</v>
      </c>
      <c r="C9124">
        <v>13594</v>
      </c>
      <c r="D9124" t="str">
        <f>"1250900259  "</f>
        <v xml:space="preserve">1250900259  </v>
      </c>
      <c r="E9124" t="s">
        <v>265</v>
      </c>
      <c r="F9124" t="s">
        <v>266</v>
      </c>
      <c r="G9124">
        <v>105.42</v>
      </c>
      <c r="H9124">
        <v>250930</v>
      </c>
      <c r="I9124">
        <v>4471</v>
      </c>
      <c r="J9124" t="s">
        <v>191</v>
      </c>
      <c r="K9124">
        <v>158.13</v>
      </c>
      <c r="L9124">
        <v>21.42</v>
      </c>
      <c r="M9124">
        <v>49501</v>
      </c>
      <c r="N9124" t="s">
        <v>110</v>
      </c>
      <c r="O9124">
        <v>251013</v>
      </c>
      <c r="P9124">
        <v>84</v>
      </c>
    </row>
    <row r="9125" spans="1:16" x14ac:dyDescent="0.25">
      <c r="A9125" t="s">
        <v>3296</v>
      </c>
      <c r="B9125" t="s">
        <v>2931</v>
      </c>
      <c r="C9125">
        <v>13594</v>
      </c>
      <c r="D9125" t="str">
        <f>"1250900259  "</f>
        <v xml:space="preserve">1250900259  </v>
      </c>
      <c r="E9125" t="s">
        <v>265</v>
      </c>
      <c r="F9125" t="s">
        <v>266</v>
      </c>
      <c r="G9125">
        <v>52.71</v>
      </c>
      <c r="H9125">
        <v>250930</v>
      </c>
      <c r="I9125">
        <v>4471</v>
      </c>
      <c r="J9125" t="s">
        <v>191</v>
      </c>
      <c r="K9125">
        <v>158.13</v>
      </c>
      <c r="L9125">
        <v>10.71</v>
      </c>
      <c r="M9125">
        <v>49503</v>
      </c>
      <c r="N9125" t="s">
        <v>267</v>
      </c>
      <c r="O9125">
        <v>251013</v>
      </c>
      <c r="P9125">
        <v>42</v>
      </c>
    </row>
    <row r="9126" spans="1:16" x14ac:dyDescent="0.25">
      <c r="A9126" t="s">
        <v>3296</v>
      </c>
      <c r="B9126" t="s">
        <v>2931</v>
      </c>
      <c r="C9126">
        <v>18519</v>
      </c>
      <c r="D9126" t="str">
        <f>"1251200171  "</f>
        <v xml:space="preserve">1251200171  </v>
      </c>
      <c r="E9126" t="s">
        <v>265</v>
      </c>
      <c r="F9126" t="s">
        <v>266</v>
      </c>
      <c r="G9126">
        <v>52.71</v>
      </c>
      <c r="H9126">
        <v>251231</v>
      </c>
      <c r="I9126">
        <v>4471</v>
      </c>
      <c r="J9126" t="s">
        <v>191</v>
      </c>
      <c r="K9126">
        <v>105.42</v>
      </c>
      <c r="L9126">
        <v>10.71</v>
      </c>
      <c r="M9126">
        <v>13451</v>
      </c>
      <c r="N9126" t="s">
        <v>876</v>
      </c>
      <c r="O9126">
        <v>260115</v>
      </c>
      <c r="P9126">
        <v>42</v>
      </c>
    </row>
    <row r="9127" spans="1:16" x14ac:dyDescent="0.25">
      <c r="A9127" t="s">
        <v>3296</v>
      </c>
      <c r="B9127" t="s">
        <v>2931</v>
      </c>
      <c r="C9127">
        <v>18519</v>
      </c>
      <c r="D9127" t="str">
        <f>"1251200171  "</f>
        <v xml:space="preserve">1251200171  </v>
      </c>
      <c r="E9127" t="s">
        <v>265</v>
      </c>
      <c r="F9127" t="s">
        <v>266</v>
      </c>
      <c r="G9127">
        <v>52.71</v>
      </c>
      <c r="H9127">
        <v>251231</v>
      </c>
      <c r="I9127">
        <v>4471</v>
      </c>
      <c r="J9127" t="s">
        <v>191</v>
      </c>
      <c r="K9127">
        <v>105.42</v>
      </c>
      <c r="L9127">
        <v>10.71</v>
      </c>
      <c r="M9127">
        <v>49503</v>
      </c>
      <c r="N9127" t="s">
        <v>267</v>
      </c>
      <c r="O9127">
        <v>260115</v>
      </c>
      <c r="P9127">
        <v>42</v>
      </c>
    </row>
    <row r="9128" spans="1:16" x14ac:dyDescent="0.25">
      <c r="A9128" t="s">
        <v>3296</v>
      </c>
      <c r="B9128" t="s">
        <v>2931</v>
      </c>
      <c r="C9128">
        <v>9692</v>
      </c>
      <c r="D9128" t="str">
        <f>"1250600240  "</f>
        <v xml:space="preserve">1250600240  </v>
      </c>
      <c r="E9128" t="s">
        <v>265</v>
      </c>
      <c r="F9128" t="s">
        <v>266</v>
      </c>
      <c r="G9128">
        <v>112.95</v>
      </c>
      <c r="H9128">
        <v>250630</v>
      </c>
      <c r="I9128">
        <v>4860</v>
      </c>
      <c r="J9128" t="s">
        <v>286</v>
      </c>
      <c r="K9128">
        <v>238.45</v>
      </c>
      <c r="L9128">
        <v>22.95</v>
      </c>
      <c r="M9128">
        <v>49701</v>
      </c>
      <c r="N9128" t="s">
        <v>111</v>
      </c>
      <c r="O9128">
        <v>250724</v>
      </c>
      <c r="P9128">
        <v>90</v>
      </c>
    </row>
    <row r="9129" spans="1:16" x14ac:dyDescent="0.25">
      <c r="A9129" t="s">
        <v>3296</v>
      </c>
      <c r="B9129" t="s">
        <v>2931</v>
      </c>
      <c r="C9129">
        <v>2577</v>
      </c>
      <c r="D9129" t="str">
        <f>"104202      "</f>
        <v xml:space="preserve">104202      </v>
      </c>
      <c r="E9129" t="s">
        <v>445</v>
      </c>
      <c r="F9129" t="s">
        <v>446</v>
      </c>
      <c r="G9129">
        <v>215.87</v>
      </c>
      <c r="H9129">
        <v>250220</v>
      </c>
      <c r="I9129">
        <v>4580</v>
      </c>
      <c r="J9129" t="s">
        <v>126</v>
      </c>
      <c r="K9129">
        <v>215.87</v>
      </c>
      <c r="L9129">
        <v>43.86</v>
      </c>
      <c r="M9129">
        <v>56558</v>
      </c>
      <c r="N9129" t="s">
        <v>50</v>
      </c>
      <c r="O9129">
        <v>250306</v>
      </c>
      <c r="P9129">
        <v>172.01</v>
      </c>
    </row>
    <row r="9130" spans="1:16" x14ac:dyDescent="0.25">
      <c r="A9130" t="s">
        <v>3296</v>
      </c>
      <c r="B9130" t="s">
        <v>2931</v>
      </c>
      <c r="C9130">
        <v>348</v>
      </c>
      <c r="D9130" t="str">
        <f>"103213      "</f>
        <v xml:space="preserve">103213      </v>
      </c>
      <c r="E9130" t="s">
        <v>445</v>
      </c>
      <c r="F9130" t="s">
        <v>446</v>
      </c>
      <c r="G9130">
        <v>645.88</v>
      </c>
      <c r="H9130">
        <v>250115</v>
      </c>
      <c r="I9130">
        <v>4600</v>
      </c>
      <c r="J9130" t="s">
        <v>278</v>
      </c>
      <c r="K9130">
        <v>645.88</v>
      </c>
      <c r="L9130">
        <v>131.22999999999999</v>
      </c>
      <c r="M9130">
        <v>46554</v>
      </c>
      <c r="N9130" t="s">
        <v>102</v>
      </c>
      <c r="O9130">
        <v>250122</v>
      </c>
      <c r="P9130">
        <v>514.65</v>
      </c>
    </row>
    <row r="9131" spans="1:16" x14ac:dyDescent="0.25">
      <c r="A9131" t="s">
        <v>3296</v>
      </c>
      <c r="B9131" t="s">
        <v>2931</v>
      </c>
      <c r="C9131">
        <v>5776</v>
      </c>
      <c r="D9131" t="str">
        <f>"96          "</f>
        <v xml:space="preserve">96          </v>
      </c>
      <c r="E9131" t="s">
        <v>1799</v>
      </c>
      <c r="F9131" t="s">
        <v>1800</v>
      </c>
      <c r="G9131">
        <v>220</v>
      </c>
      <c r="H9131">
        <v>250422</v>
      </c>
      <c r="I9131">
        <v>4580</v>
      </c>
      <c r="J9131" t="s">
        <v>126</v>
      </c>
      <c r="K9131">
        <v>220</v>
      </c>
      <c r="L9131">
        <v>44.7</v>
      </c>
      <c r="M9131">
        <v>47522</v>
      </c>
      <c r="N9131" t="s">
        <v>106</v>
      </c>
      <c r="O9131">
        <v>250505</v>
      </c>
      <c r="P9131">
        <v>175.3</v>
      </c>
    </row>
    <row r="9132" spans="1:16" x14ac:dyDescent="0.25">
      <c r="A9132" t="s">
        <v>3296</v>
      </c>
      <c r="B9132" t="s">
        <v>2931</v>
      </c>
      <c r="C9132">
        <v>6366</v>
      </c>
      <c r="D9132" t="str">
        <f>"99          "</f>
        <v xml:space="preserve">99          </v>
      </c>
      <c r="E9132" t="s">
        <v>1799</v>
      </c>
      <c r="F9132" t="s">
        <v>1800</v>
      </c>
      <c r="G9132">
        <v>59.8</v>
      </c>
      <c r="H9132">
        <v>250424</v>
      </c>
      <c r="I9132">
        <v>4580</v>
      </c>
      <c r="J9132" t="s">
        <v>126</v>
      </c>
      <c r="K9132">
        <v>59.8</v>
      </c>
      <c r="L9132">
        <v>12.15</v>
      </c>
      <c r="M9132">
        <v>49501</v>
      </c>
      <c r="N9132" t="s">
        <v>110</v>
      </c>
      <c r="O9132">
        <v>250513</v>
      </c>
      <c r="P9132">
        <v>47.65</v>
      </c>
    </row>
    <row r="9133" spans="1:16" x14ac:dyDescent="0.25">
      <c r="A9133" t="s">
        <v>3296</v>
      </c>
      <c r="B9133" t="s">
        <v>2931</v>
      </c>
      <c r="C9133">
        <v>7867</v>
      </c>
      <c r="D9133" t="str">
        <f>"150         "</f>
        <v xml:space="preserve">150         </v>
      </c>
      <c r="E9133" t="s">
        <v>1799</v>
      </c>
      <c r="F9133" t="s">
        <v>1800</v>
      </c>
      <c r="G9133">
        <v>347</v>
      </c>
      <c r="H9133">
        <v>250516</v>
      </c>
      <c r="I9133">
        <v>4580</v>
      </c>
      <c r="J9133" t="s">
        <v>126</v>
      </c>
      <c r="K9133">
        <v>347</v>
      </c>
      <c r="L9133">
        <v>70.510000000000005</v>
      </c>
      <c r="M9133">
        <v>49501</v>
      </c>
      <c r="N9133" t="s">
        <v>110</v>
      </c>
      <c r="O9133">
        <v>250610</v>
      </c>
      <c r="P9133">
        <v>276.49</v>
      </c>
    </row>
    <row r="9134" spans="1:16" x14ac:dyDescent="0.25">
      <c r="A9134" t="s">
        <v>3296</v>
      </c>
      <c r="B9134" t="s">
        <v>2931</v>
      </c>
      <c r="C9134">
        <v>11504</v>
      </c>
      <c r="D9134" t="str">
        <f>"365         "</f>
        <v xml:space="preserve">365         </v>
      </c>
      <c r="E9134" t="s">
        <v>1799</v>
      </c>
      <c r="F9134" t="s">
        <v>1800</v>
      </c>
      <c r="G9134">
        <v>449</v>
      </c>
      <c r="H9134">
        <v>250818</v>
      </c>
      <c r="I9134">
        <v>4580</v>
      </c>
      <c r="J9134" t="s">
        <v>126</v>
      </c>
      <c r="K9134">
        <v>449</v>
      </c>
      <c r="L9134">
        <v>91.23</v>
      </c>
      <c r="M9134">
        <v>49111</v>
      </c>
      <c r="N9134" t="s">
        <v>108</v>
      </c>
      <c r="O9134">
        <v>250908</v>
      </c>
      <c r="P9134">
        <v>357.77</v>
      </c>
    </row>
    <row r="9135" spans="1:16" x14ac:dyDescent="0.25">
      <c r="A9135" t="s">
        <v>3296</v>
      </c>
      <c r="B9135" t="s">
        <v>2931</v>
      </c>
      <c r="C9135">
        <v>12439</v>
      </c>
      <c r="D9135" t="str">
        <f>"422         "</f>
        <v xml:space="preserve">422         </v>
      </c>
      <c r="E9135" t="s">
        <v>1799</v>
      </c>
      <c r="F9135" t="s">
        <v>1800</v>
      </c>
      <c r="G9135">
        <v>236</v>
      </c>
      <c r="H9135">
        <v>250911</v>
      </c>
      <c r="I9135">
        <v>4580</v>
      </c>
      <c r="J9135" t="s">
        <v>126</v>
      </c>
      <c r="K9135">
        <v>236</v>
      </c>
      <c r="L9135">
        <v>47.95</v>
      </c>
      <c r="M9135">
        <v>49111</v>
      </c>
      <c r="N9135" t="s">
        <v>108</v>
      </c>
      <c r="O9135">
        <v>250922</v>
      </c>
      <c r="P9135">
        <v>188.05</v>
      </c>
    </row>
    <row r="9136" spans="1:16" x14ac:dyDescent="0.25">
      <c r="A9136" t="s">
        <v>3296</v>
      </c>
      <c r="B9136" t="s">
        <v>2931</v>
      </c>
      <c r="C9136">
        <v>17136</v>
      </c>
      <c r="D9136" t="str">
        <f>"685         "</f>
        <v xml:space="preserve">685         </v>
      </c>
      <c r="E9136" t="s">
        <v>1799</v>
      </c>
      <c r="F9136" t="s">
        <v>1800</v>
      </c>
      <c r="G9136">
        <v>254</v>
      </c>
      <c r="H9136">
        <v>251210</v>
      </c>
      <c r="I9136">
        <v>4580</v>
      </c>
      <c r="J9136" t="s">
        <v>126</v>
      </c>
      <c r="K9136">
        <v>254</v>
      </c>
      <c r="L9136">
        <v>51.61</v>
      </c>
      <c r="M9136">
        <v>49705</v>
      </c>
      <c r="N9136" t="s">
        <v>114</v>
      </c>
      <c r="O9136">
        <v>251217</v>
      </c>
      <c r="P9136">
        <v>202.39</v>
      </c>
    </row>
    <row r="9137" spans="1:16" x14ac:dyDescent="0.25">
      <c r="A9137" t="s">
        <v>3296</v>
      </c>
      <c r="B9137" t="s">
        <v>2931</v>
      </c>
      <c r="C9137">
        <v>17877</v>
      </c>
      <c r="D9137" t="str">
        <f>"696         "</f>
        <v xml:space="preserve">696         </v>
      </c>
      <c r="E9137" t="s">
        <v>1799</v>
      </c>
      <c r="F9137" t="s">
        <v>1800</v>
      </c>
      <c r="G9137">
        <v>414.4</v>
      </c>
      <c r="H9137">
        <v>251211</v>
      </c>
      <c r="I9137">
        <v>4590</v>
      </c>
      <c r="J9137" t="s">
        <v>388</v>
      </c>
      <c r="K9137">
        <v>414.4</v>
      </c>
      <c r="L9137">
        <v>84.2</v>
      </c>
      <c r="M9137">
        <v>49501</v>
      </c>
      <c r="N9137" t="s">
        <v>110</v>
      </c>
      <c r="O9137">
        <v>251231</v>
      </c>
      <c r="P9137">
        <v>330.2</v>
      </c>
    </row>
    <row r="9138" spans="1:16" x14ac:dyDescent="0.25">
      <c r="A9138" t="s">
        <v>3296</v>
      </c>
      <c r="B9138" t="s">
        <v>2931</v>
      </c>
      <c r="C9138">
        <v>7868</v>
      </c>
      <c r="D9138" t="str">
        <f>"157         "</f>
        <v xml:space="preserve">157         </v>
      </c>
      <c r="E9138" t="s">
        <v>1799</v>
      </c>
      <c r="F9138" t="s">
        <v>1800</v>
      </c>
      <c r="G9138">
        <v>22.8</v>
      </c>
      <c r="H9138">
        <v>250520</v>
      </c>
      <c r="I9138">
        <v>4600</v>
      </c>
      <c r="J9138" t="s">
        <v>278</v>
      </c>
      <c r="K9138">
        <v>22.8</v>
      </c>
      <c r="L9138">
        <v>4.63</v>
      </c>
      <c r="M9138">
        <v>49501</v>
      </c>
      <c r="N9138" t="s">
        <v>110</v>
      </c>
      <c r="O9138">
        <v>250610</v>
      </c>
      <c r="P9138">
        <v>18.170000000000002</v>
      </c>
    </row>
    <row r="9139" spans="1:16" x14ac:dyDescent="0.25">
      <c r="A9139" t="s">
        <v>3296</v>
      </c>
      <c r="B9139" t="s">
        <v>2931</v>
      </c>
      <c r="C9139">
        <v>7218</v>
      </c>
      <c r="D9139" t="str">
        <f>"25000015    "</f>
        <v xml:space="preserve">25000015    </v>
      </c>
      <c r="E9139" t="s">
        <v>3092</v>
      </c>
      <c r="F9139" t="s">
        <v>3093</v>
      </c>
      <c r="G9139">
        <v>500</v>
      </c>
      <c r="H9139">
        <v>250515</v>
      </c>
      <c r="I9139">
        <v>4820</v>
      </c>
      <c r="J9139" t="s">
        <v>169</v>
      </c>
      <c r="K9139">
        <v>500</v>
      </c>
      <c r="L9139">
        <v>0</v>
      </c>
      <c r="M9139">
        <v>13841</v>
      </c>
      <c r="N9139" t="s">
        <v>178</v>
      </c>
      <c r="O9139">
        <v>250527</v>
      </c>
      <c r="P9139">
        <v>500</v>
      </c>
    </row>
    <row r="9140" spans="1:16" x14ac:dyDescent="0.25">
      <c r="A9140" t="s">
        <v>3296</v>
      </c>
      <c r="B9140" t="s">
        <v>2931</v>
      </c>
      <c r="C9140">
        <v>7572</v>
      </c>
      <c r="D9140" t="str">
        <f>"10516       "</f>
        <v xml:space="preserve">10516       </v>
      </c>
      <c r="E9140" t="s">
        <v>1712</v>
      </c>
      <c r="F9140" t="s">
        <v>1713</v>
      </c>
      <c r="G9140">
        <v>64.5</v>
      </c>
      <c r="H9140">
        <v>250531</v>
      </c>
      <c r="I9140">
        <v>4410</v>
      </c>
      <c r="J9140" t="s">
        <v>165</v>
      </c>
      <c r="K9140">
        <v>64.5</v>
      </c>
      <c r="L9140">
        <v>0</v>
      </c>
      <c r="M9140">
        <v>17971</v>
      </c>
      <c r="N9140" t="s">
        <v>27</v>
      </c>
      <c r="O9140">
        <v>250604</v>
      </c>
      <c r="P9140">
        <v>64.5</v>
      </c>
    </row>
    <row r="9141" spans="1:16" x14ac:dyDescent="0.25">
      <c r="A9141" t="s">
        <v>3296</v>
      </c>
      <c r="B9141" t="s">
        <v>2931</v>
      </c>
      <c r="C9141">
        <v>15396</v>
      </c>
      <c r="D9141" t="str">
        <f>"10680       "</f>
        <v xml:space="preserve">10680       </v>
      </c>
      <c r="E9141" t="s">
        <v>1712</v>
      </c>
      <c r="F9141" t="s">
        <v>1713</v>
      </c>
      <c r="G9141">
        <v>65</v>
      </c>
      <c r="H9141">
        <v>251115</v>
      </c>
      <c r="I9141">
        <v>4410</v>
      </c>
      <c r="J9141" t="s">
        <v>165</v>
      </c>
      <c r="K9141">
        <v>65</v>
      </c>
      <c r="L9141">
        <v>0</v>
      </c>
      <c r="M9141">
        <v>17971</v>
      </c>
      <c r="N9141" t="s">
        <v>27</v>
      </c>
      <c r="O9141">
        <v>251120</v>
      </c>
      <c r="P9141">
        <v>65</v>
      </c>
    </row>
    <row r="9142" spans="1:16" x14ac:dyDescent="0.25">
      <c r="A9142" t="s">
        <v>3296</v>
      </c>
      <c r="B9142" t="s">
        <v>2931</v>
      </c>
      <c r="C9142">
        <v>18136</v>
      </c>
      <c r="D9142" t="str">
        <f>"10736       "</f>
        <v xml:space="preserve">10736       </v>
      </c>
      <c r="E9142" t="s">
        <v>1712</v>
      </c>
      <c r="F9142" t="s">
        <v>1713</v>
      </c>
      <c r="G9142">
        <v>35</v>
      </c>
      <c r="H9142">
        <v>251231</v>
      </c>
      <c r="I9142">
        <v>4410</v>
      </c>
      <c r="J9142" t="s">
        <v>165</v>
      </c>
      <c r="K9142">
        <v>35</v>
      </c>
      <c r="L9142">
        <v>0</v>
      </c>
      <c r="M9142">
        <v>17534</v>
      </c>
      <c r="N9142" t="s">
        <v>148</v>
      </c>
      <c r="O9142">
        <v>260109</v>
      </c>
      <c r="P9142">
        <v>35</v>
      </c>
    </row>
    <row r="9143" spans="1:16" x14ac:dyDescent="0.25">
      <c r="A9143" t="s">
        <v>3296</v>
      </c>
      <c r="B9143" t="s">
        <v>2931</v>
      </c>
      <c r="C9143">
        <v>5318</v>
      </c>
      <c r="D9143" t="str">
        <f>"10445       "</f>
        <v xml:space="preserve">10445       </v>
      </c>
      <c r="E9143" t="s">
        <v>1712</v>
      </c>
      <c r="F9143" t="s">
        <v>1713</v>
      </c>
      <c r="G9143">
        <v>66</v>
      </c>
      <c r="H9143">
        <v>250415</v>
      </c>
      <c r="I9143">
        <v>4600</v>
      </c>
      <c r="J9143" t="s">
        <v>278</v>
      </c>
      <c r="K9143">
        <v>66</v>
      </c>
      <c r="L9143">
        <v>0</v>
      </c>
      <c r="M9143">
        <v>17971</v>
      </c>
      <c r="N9143" t="s">
        <v>27</v>
      </c>
      <c r="O9143">
        <v>250423</v>
      </c>
      <c r="P9143">
        <v>66</v>
      </c>
    </row>
    <row r="9144" spans="1:16" x14ac:dyDescent="0.25">
      <c r="A9144" t="s">
        <v>3296</v>
      </c>
      <c r="B9144" t="s">
        <v>2931</v>
      </c>
      <c r="C9144">
        <v>1739</v>
      </c>
      <c r="D9144" t="str">
        <f>"499         "</f>
        <v xml:space="preserve">499         </v>
      </c>
      <c r="E9144" t="s">
        <v>1094</v>
      </c>
      <c r="F9144" t="s">
        <v>1095</v>
      </c>
      <c r="G9144">
        <v>110</v>
      </c>
      <c r="H9144">
        <v>250207</v>
      </c>
      <c r="I9144">
        <v>4820</v>
      </c>
      <c r="J9144" t="s">
        <v>169</v>
      </c>
      <c r="K9144">
        <v>110</v>
      </c>
      <c r="L9144">
        <v>22.35</v>
      </c>
      <c r="M9144">
        <v>66756</v>
      </c>
      <c r="N9144" t="s">
        <v>120</v>
      </c>
      <c r="O9144">
        <v>250213</v>
      </c>
      <c r="P9144">
        <v>87.65</v>
      </c>
    </row>
    <row r="9145" spans="1:16" x14ac:dyDescent="0.25">
      <c r="A9145" t="s">
        <v>3296</v>
      </c>
      <c r="B9145" t="s">
        <v>2931</v>
      </c>
      <c r="C9145">
        <v>8429</v>
      </c>
      <c r="D9145" t="str">
        <f>"504996      "</f>
        <v xml:space="preserve">504996      </v>
      </c>
      <c r="E9145" t="s">
        <v>2917</v>
      </c>
      <c r="F9145" t="s">
        <v>2918</v>
      </c>
      <c r="G9145">
        <v>1500</v>
      </c>
      <c r="H9145">
        <v>250605</v>
      </c>
      <c r="I9145">
        <v>1196</v>
      </c>
      <c r="J9145" t="s">
        <v>340</v>
      </c>
      <c r="K9145">
        <v>1500</v>
      </c>
      <c r="L9145">
        <v>0</v>
      </c>
      <c r="M9145">
        <v>97501</v>
      </c>
      <c r="N9145" t="s">
        <v>1354</v>
      </c>
      <c r="O9145">
        <v>250613</v>
      </c>
      <c r="P9145">
        <v>1500</v>
      </c>
    </row>
    <row r="9146" spans="1:16" x14ac:dyDescent="0.25">
      <c r="A9146" t="s">
        <v>3296</v>
      </c>
      <c r="B9146" t="s">
        <v>2931</v>
      </c>
      <c r="C9146">
        <v>1467</v>
      </c>
      <c r="D9146" t="str">
        <f>"53788       "</f>
        <v xml:space="preserve">53788       </v>
      </c>
      <c r="E9146" t="s">
        <v>999</v>
      </c>
      <c r="F9146" t="s">
        <v>1000</v>
      </c>
      <c r="G9146">
        <v>1303.02</v>
      </c>
      <c r="H9146">
        <v>250131</v>
      </c>
      <c r="I9146">
        <v>4571</v>
      </c>
      <c r="J9146" t="s">
        <v>223</v>
      </c>
      <c r="K9146">
        <v>1303.02</v>
      </c>
      <c r="L9146">
        <v>264.76</v>
      </c>
      <c r="M9146">
        <v>69501</v>
      </c>
      <c r="N9146" t="s">
        <v>123</v>
      </c>
      <c r="O9146">
        <v>250210</v>
      </c>
      <c r="P9146">
        <v>1038.26</v>
      </c>
    </row>
    <row r="9147" spans="1:16" x14ac:dyDescent="0.25">
      <c r="A9147" t="s">
        <v>3296</v>
      </c>
      <c r="B9147" t="s">
        <v>2931</v>
      </c>
      <c r="C9147">
        <v>1469</v>
      </c>
      <c r="D9147" t="str">
        <f>"53785       "</f>
        <v xml:space="preserve">53785       </v>
      </c>
      <c r="E9147" t="s">
        <v>999</v>
      </c>
      <c r="F9147" t="s">
        <v>1000</v>
      </c>
      <c r="G9147">
        <v>2460.71</v>
      </c>
      <c r="H9147">
        <v>250131</v>
      </c>
      <c r="I9147">
        <v>4571</v>
      </c>
      <c r="J9147" t="s">
        <v>223</v>
      </c>
      <c r="K9147">
        <v>2460.71</v>
      </c>
      <c r="L9147">
        <v>499.98</v>
      </c>
      <c r="M9147">
        <v>69501</v>
      </c>
      <c r="N9147" t="s">
        <v>123</v>
      </c>
      <c r="O9147">
        <v>250210</v>
      </c>
      <c r="P9147">
        <v>1960.73</v>
      </c>
    </row>
    <row r="9148" spans="1:16" x14ac:dyDescent="0.25">
      <c r="A9148" t="s">
        <v>3296</v>
      </c>
      <c r="B9148" t="s">
        <v>2931</v>
      </c>
      <c r="C9148">
        <v>1556</v>
      </c>
      <c r="D9148" t="str">
        <f>"53779       "</f>
        <v xml:space="preserve">53779       </v>
      </c>
      <c r="E9148" t="s">
        <v>999</v>
      </c>
      <c r="F9148" t="s">
        <v>1000</v>
      </c>
      <c r="G9148">
        <v>16330.59</v>
      </c>
      <c r="H9148">
        <v>250131</v>
      </c>
      <c r="I9148">
        <v>4571</v>
      </c>
      <c r="J9148" t="s">
        <v>223</v>
      </c>
      <c r="K9148">
        <v>16330.59</v>
      </c>
      <c r="L9148">
        <v>3318.17</v>
      </c>
      <c r="M9148">
        <v>69501</v>
      </c>
      <c r="N9148" t="s">
        <v>123</v>
      </c>
      <c r="O9148">
        <v>250211</v>
      </c>
      <c r="P9148">
        <v>13012.42</v>
      </c>
    </row>
    <row r="9149" spans="1:16" x14ac:dyDescent="0.25">
      <c r="A9149" t="s">
        <v>3296</v>
      </c>
      <c r="B9149" t="s">
        <v>2931</v>
      </c>
      <c r="C9149">
        <v>1558</v>
      </c>
      <c r="D9149" t="str">
        <f>"53781       "</f>
        <v xml:space="preserve">53781       </v>
      </c>
      <c r="E9149" t="s">
        <v>999</v>
      </c>
      <c r="F9149" t="s">
        <v>1000</v>
      </c>
      <c r="G9149">
        <v>3521.19</v>
      </c>
      <c r="H9149">
        <v>250131</v>
      </c>
      <c r="I9149">
        <v>4571</v>
      </c>
      <c r="J9149" t="s">
        <v>223</v>
      </c>
      <c r="K9149">
        <v>3521.19</v>
      </c>
      <c r="L9149">
        <v>715.46</v>
      </c>
      <c r="M9149">
        <v>69501</v>
      </c>
      <c r="N9149" t="s">
        <v>123</v>
      </c>
      <c r="O9149">
        <v>250211</v>
      </c>
      <c r="P9149">
        <v>2805.73</v>
      </c>
    </row>
    <row r="9150" spans="1:16" x14ac:dyDescent="0.25">
      <c r="A9150" t="s">
        <v>3296</v>
      </c>
      <c r="B9150" t="s">
        <v>2931</v>
      </c>
      <c r="C9150">
        <v>1562</v>
      </c>
      <c r="D9150" t="str">
        <f>"53782       "</f>
        <v xml:space="preserve">53782       </v>
      </c>
      <c r="E9150" t="s">
        <v>999</v>
      </c>
      <c r="F9150" t="s">
        <v>1000</v>
      </c>
      <c r="G9150">
        <v>1710.74</v>
      </c>
      <c r="H9150">
        <v>250131</v>
      </c>
      <c r="I9150">
        <v>4571</v>
      </c>
      <c r="J9150" t="s">
        <v>223</v>
      </c>
      <c r="K9150">
        <v>1710.74</v>
      </c>
      <c r="L9150">
        <v>347.6</v>
      </c>
      <c r="M9150">
        <v>69501</v>
      </c>
      <c r="N9150" t="s">
        <v>123</v>
      </c>
      <c r="O9150">
        <v>250211</v>
      </c>
      <c r="P9150">
        <v>1363.14</v>
      </c>
    </row>
    <row r="9151" spans="1:16" x14ac:dyDescent="0.25">
      <c r="A9151" t="s">
        <v>3296</v>
      </c>
      <c r="B9151" t="s">
        <v>2931</v>
      </c>
      <c r="C9151">
        <v>1660</v>
      </c>
      <c r="D9151" t="str">
        <f>"53778       "</f>
        <v xml:space="preserve">53778       </v>
      </c>
      <c r="E9151" t="s">
        <v>999</v>
      </c>
      <c r="F9151" t="s">
        <v>1000</v>
      </c>
      <c r="G9151">
        <v>11092.4</v>
      </c>
      <c r="H9151">
        <v>250131</v>
      </c>
      <c r="I9151">
        <v>4571</v>
      </c>
      <c r="J9151" t="s">
        <v>223</v>
      </c>
      <c r="K9151">
        <v>28442.05</v>
      </c>
      <c r="L9151">
        <v>2253.83</v>
      </c>
      <c r="M9151">
        <v>69111</v>
      </c>
      <c r="N9151" t="s">
        <v>657</v>
      </c>
      <c r="O9151">
        <v>250212</v>
      </c>
      <c r="P9151">
        <v>8838.57</v>
      </c>
    </row>
    <row r="9152" spans="1:16" x14ac:dyDescent="0.25">
      <c r="A9152" t="s">
        <v>3296</v>
      </c>
      <c r="B9152" t="s">
        <v>2931</v>
      </c>
      <c r="C9152">
        <v>1660</v>
      </c>
      <c r="D9152" t="str">
        <f>"53778       "</f>
        <v xml:space="preserve">53778       </v>
      </c>
      <c r="E9152" t="s">
        <v>999</v>
      </c>
      <c r="F9152" t="s">
        <v>1000</v>
      </c>
      <c r="G9152">
        <v>17065.23</v>
      </c>
      <c r="H9152">
        <v>250131</v>
      </c>
      <c r="I9152">
        <v>4571</v>
      </c>
      <c r="J9152" t="s">
        <v>223</v>
      </c>
      <c r="K9152">
        <v>28442.05</v>
      </c>
      <c r="L9152">
        <v>3467.44</v>
      </c>
      <c r="M9152">
        <v>69501</v>
      </c>
      <c r="N9152" t="s">
        <v>123</v>
      </c>
      <c r="O9152">
        <v>250212</v>
      </c>
      <c r="P9152">
        <v>13597.79</v>
      </c>
    </row>
    <row r="9153" spans="1:16" x14ac:dyDescent="0.25">
      <c r="A9153" t="s">
        <v>3296</v>
      </c>
      <c r="B9153" t="s">
        <v>2931</v>
      </c>
      <c r="C9153">
        <v>1660</v>
      </c>
      <c r="D9153" t="str">
        <f>"53778       "</f>
        <v xml:space="preserve">53778       </v>
      </c>
      <c r="E9153" t="s">
        <v>999</v>
      </c>
      <c r="F9153" t="s">
        <v>1000</v>
      </c>
      <c r="G9153">
        <v>213.32</v>
      </c>
      <c r="H9153">
        <v>250131</v>
      </c>
      <c r="I9153">
        <v>4571</v>
      </c>
      <c r="J9153" t="s">
        <v>223</v>
      </c>
      <c r="K9153">
        <v>28442.05</v>
      </c>
      <c r="L9153">
        <v>43.34</v>
      </c>
      <c r="M9153">
        <v>69801</v>
      </c>
      <c r="N9153" t="s">
        <v>1077</v>
      </c>
      <c r="O9153">
        <v>250212</v>
      </c>
      <c r="P9153">
        <v>169.98</v>
      </c>
    </row>
    <row r="9154" spans="1:16" x14ac:dyDescent="0.25">
      <c r="A9154" t="s">
        <v>3296</v>
      </c>
      <c r="B9154" t="s">
        <v>2931</v>
      </c>
      <c r="C9154">
        <v>1660</v>
      </c>
      <c r="D9154" t="str">
        <f>"53778       "</f>
        <v xml:space="preserve">53778       </v>
      </c>
      <c r="E9154" t="s">
        <v>999</v>
      </c>
      <c r="F9154" t="s">
        <v>1000</v>
      </c>
      <c r="G9154">
        <v>71.099999999999994</v>
      </c>
      <c r="H9154">
        <v>250131</v>
      </c>
      <c r="I9154">
        <v>4571</v>
      </c>
      <c r="J9154" t="s">
        <v>223</v>
      </c>
      <c r="K9154">
        <v>28442.05</v>
      </c>
      <c r="L9154">
        <v>0</v>
      </c>
      <c r="M9154">
        <v>69803</v>
      </c>
      <c r="N9154" t="s">
        <v>391</v>
      </c>
      <c r="O9154">
        <v>250212</v>
      </c>
      <c r="P9154">
        <v>71.099999999999994</v>
      </c>
    </row>
    <row r="9155" spans="1:16" x14ac:dyDescent="0.25">
      <c r="A9155" t="s">
        <v>3296</v>
      </c>
      <c r="B9155" t="s">
        <v>2931</v>
      </c>
      <c r="C9155">
        <v>2923</v>
      </c>
      <c r="D9155" t="str">
        <f>"54032       "</f>
        <v xml:space="preserve">54032       </v>
      </c>
      <c r="E9155" t="s">
        <v>999</v>
      </c>
      <c r="F9155" t="s">
        <v>1000</v>
      </c>
      <c r="G9155">
        <v>26554.14</v>
      </c>
      <c r="H9155">
        <v>250228</v>
      </c>
      <c r="I9155">
        <v>4571</v>
      </c>
      <c r="J9155" t="s">
        <v>223</v>
      </c>
      <c r="K9155">
        <v>26554.14</v>
      </c>
      <c r="L9155">
        <v>5395.46</v>
      </c>
      <c r="M9155">
        <v>69501</v>
      </c>
      <c r="N9155" t="s">
        <v>123</v>
      </c>
      <c r="O9155">
        <v>250313</v>
      </c>
      <c r="P9155">
        <v>21158.68</v>
      </c>
    </row>
    <row r="9156" spans="1:16" x14ac:dyDescent="0.25">
      <c r="A9156" t="s">
        <v>3296</v>
      </c>
      <c r="B9156" t="s">
        <v>2931</v>
      </c>
      <c r="C9156">
        <v>2924</v>
      </c>
      <c r="D9156" t="str">
        <f>"54033       "</f>
        <v xml:space="preserve">54033       </v>
      </c>
      <c r="E9156" t="s">
        <v>999</v>
      </c>
      <c r="F9156" t="s">
        <v>1000</v>
      </c>
      <c r="G9156">
        <v>18048.41</v>
      </c>
      <c r="H9156">
        <v>250228</v>
      </c>
      <c r="I9156">
        <v>4571</v>
      </c>
      <c r="J9156" t="s">
        <v>223</v>
      </c>
      <c r="K9156">
        <v>18048.41</v>
      </c>
      <c r="L9156">
        <v>3667.21</v>
      </c>
      <c r="M9156">
        <v>69501</v>
      </c>
      <c r="N9156" t="s">
        <v>123</v>
      </c>
      <c r="O9156">
        <v>250313</v>
      </c>
      <c r="P9156">
        <v>14381.2</v>
      </c>
    </row>
    <row r="9157" spans="1:16" x14ac:dyDescent="0.25">
      <c r="A9157" t="s">
        <v>3296</v>
      </c>
      <c r="B9157" t="s">
        <v>2931</v>
      </c>
      <c r="C9157">
        <v>2936</v>
      </c>
      <c r="D9157" t="str">
        <f>"54042       "</f>
        <v xml:space="preserve">54042       </v>
      </c>
      <c r="E9157" t="s">
        <v>999</v>
      </c>
      <c r="F9157" t="s">
        <v>1000</v>
      </c>
      <c r="G9157">
        <v>1085.25</v>
      </c>
      <c r="H9157">
        <v>250228</v>
      </c>
      <c r="I9157">
        <v>4571</v>
      </c>
      <c r="J9157" t="s">
        <v>223</v>
      </c>
      <c r="K9157">
        <v>1085.25</v>
      </c>
      <c r="L9157">
        <v>220.51</v>
      </c>
      <c r="M9157">
        <v>69501</v>
      </c>
      <c r="N9157" t="s">
        <v>123</v>
      </c>
      <c r="O9157">
        <v>250313</v>
      </c>
      <c r="P9157">
        <v>864.74</v>
      </c>
    </row>
    <row r="9158" spans="1:16" x14ac:dyDescent="0.25">
      <c r="A9158" t="s">
        <v>3296</v>
      </c>
      <c r="B9158" t="s">
        <v>2931</v>
      </c>
      <c r="C9158">
        <v>3009</v>
      </c>
      <c r="D9158" t="str">
        <f>"54035       "</f>
        <v xml:space="preserve">54035       </v>
      </c>
      <c r="E9158" t="s">
        <v>999</v>
      </c>
      <c r="F9158" t="s">
        <v>1000</v>
      </c>
      <c r="G9158">
        <v>3214.28</v>
      </c>
      <c r="H9158">
        <v>250228</v>
      </c>
      <c r="I9158">
        <v>4571</v>
      </c>
      <c r="J9158" t="s">
        <v>223</v>
      </c>
      <c r="K9158">
        <v>3214.28</v>
      </c>
      <c r="L9158">
        <v>653.1</v>
      </c>
      <c r="M9158">
        <v>69501</v>
      </c>
      <c r="N9158" t="s">
        <v>123</v>
      </c>
      <c r="O9158">
        <v>250314</v>
      </c>
      <c r="P9158">
        <v>2561.1799999999998</v>
      </c>
    </row>
    <row r="9159" spans="1:16" x14ac:dyDescent="0.25">
      <c r="A9159" t="s">
        <v>3296</v>
      </c>
      <c r="B9159" t="s">
        <v>2931</v>
      </c>
      <c r="C9159">
        <v>3017</v>
      </c>
      <c r="D9159" t="str">
        <f>"54039       "</f>
        <v xml:space="preserve">54039       </v>
      </c>
      <c r="E9159" t="s">
        <v>999</v>
      </c>
      <c r="F9159" t="s">
        <v>1000</v>
      </c>
      <c r="G9159">
        <v>2386.69</v>
      </c>
      <c r="H9159">
        <v>250228</v>
      </c>
      <c r="I9159">
        <v>4571</v>
      </c>
      <c r="J9159" t="s">
        <v>223</v>
      </c>
      <c r="K9159">
        <v>2386.69</v>
      </c>
      <c r="L9159">
        <v>484.94</v>
      </c>
      <c r="M9159">
        <v>69501</v>
      </c>
      <c r="N9159" t="s">
        <v>123</v>
      </c>
      <c r="O9159">
        <v>250314</v>
      </c>
      <c r="P9159">
        <v>1901.75</v>
      </c>
    </row>
    <row r="9160" spans="1:16" x14ac:dyDescent="0.25">
      <c r="A9160" t="s">
        <v>3296</v>
      </c>
      <c r="B9160" t="s">
        <v>2931</v>
      </c>
      <c r="C9160">
        <v>3032</v>
      </c>
      <c r="D9160" t="str">
        <f>"54036       "</f>
        <v xml:space="preserve">54036       </v>
      </c>
      <c r="E9160" t="s">
        <v>999</v>
      </c>
      <c r="F9160" t="s">
        <v>1000</v>
      </c>
      <c r="G9160">
        <v>1503.75</v>
      </c>
      <c r="H9160">
        <v>250228</v>
      </c>
      <c r="I9160">
        <v>4571</v>
      </c>
      <c r="J9160" t="s">
        <v>223</v>
      </c>
      <c r="K9160">
        <v>1503.75</v>
      </c>
      <c r="L9160">
        <v>305.54000000000002</v>
      </c>
      <c r="M9160">
        <v>69501</v>
      </c>
      <c r="N9160" t="s">
        <v>123</v>
      </c>
      <c r="O9160">
        <v>250314</v>
      </c>
      <c r="P9160">
        <v>1198.21</v>
      </c>
    </row>
    <row r="9161" spans="1:16" x14ac:dyDescent="0.25">
      <c r="A9161" t="s">
        <v>3296</v>
      </c>
      <c r="B9161" t="s">
        <v>2931</v>
      </c>
      <c r="C9161">
        <v>4514</v>
      </c>
      <c r="D9161" t="str">
        <f>"54287       "</f>
        <v xml:space="preserve">54287       </v>
      </c>
      <c r="E9161" t="s">
        <v>999</v>
      </c>
      <c r="F9161" t="s">
        <v>1000</v>
      </c>
      <c r="G9161">
        <v>20276.8</v>
      </c>
      <c r="H9161">
        <v>250331</v>
      </c>
      <c r="I9161">
        <v>4571</v>
      </c>
      <c r="J9161" t="s">
        <v>223</v>
      </c>
      <c r="K9161">
        <v>20276.8</v>
      </c>
      <c r="L9161">
        <v>4119.99</v>
      </c>
      <c r="M9161">
        <v>69501</v>
      </c>
      <c r="N9161" t="s">
        <v>123</v>
      </c>
      <c r="O9161">
        <v>250414</v>
      </c>
      <c r="P9161">
        <v>16156.81</v>
      </c>
    </row>
    <row r="9162" spans="1:16" x14ac:dyDescent="0.25">
      <c r="A9162" t="s">
        <v>3296</v>
      </c>
      <c r="B9162" t="s">
        <v>2931</v>
      </c>
      <c r="C9162">
        <v>4541</v>
      </c>
      <c r="D9162" t="str">
        <f>"54296       "</f>
        <v xml:space="preserve">54296       </v>
      </c>
      <c r="E9162" t="s">
        <v>999</v>
      </c>
      <c r="F9162" t="s">
        <v>1000</v>
      </c>
      <c r="G9162">
        <v>830.36</v>
      </c>
      <c r="H9162">
        <v>250331</v>
      </c>
      <c r="I9162">
        <v>4571</v>
      </c>
      <c r="J9162" t="s">
        <v>223</v>
      </c>
      <c r="K9162">
        <v>830.36</v>
      </c>
      <c r="L9162">
        <v>168.72</v>
      </c>
      <c r="M9162">
        <v>69501</v>
      </c>
      <c r="N9162" t="s">
        <v>123</v>
      </c>
      <c r="O9162">
        <v>250414</v>
      </c>
      <c r="P9162">
        <v>661.64</v>
      </c>
    </row>
    <row r="9163" spans="1:16" x14ac:dyDescent="0.25">
      <c r="A9163" t="s">
        <v>3296</v>
      </c>
      <c r="B9163" t="s">
        <v>2931</v>
      </c>
      <c r="C9163">
        <v>4564</v>
      </c>
      <c r="D9163" t="str">
        <f>"54286       "</f>
        <v xml:space="preserve">54286       </v>
      </c>
      <c r="E9163" t="s">
        <v>999</v>
      </c>
      <c r="F9163" t="s">
        <v>1000</v>
      </c>
      <c r="G9163">
        <v>9514.1</v>
      </c>
      <c r="H9163">
        <v>250331</v>
      </c>
      <c r="I9163">
        <v>4571</v>
      </c>
      <c r="J9163" t="s">
        <v>223</v>
      </c>
      <c r="K9163">
        <v>24270.68</v>
      </c>
      <c r="L9163">
        <v>1933.14</v>
      </c>
      <c r="M9163">
        <v>69111</v>
      </c>
      <c r="N9163" t="s">
        <v>657</v>
      </c>
      <c r="O9163">
        <v>250414</v>
      </c>
      <c r="P9163">
        <v>7580.96</v>
      </c>
    </row>
    <row r="9164" spans="1:16" x14ac:dyDescent="0.25">
      <c r="A9164" t="s">
        <v>3296</v>
      </c>
      <c r="B9164" t="s">
        <v>2931</v>
      </c>
      <c r="C9164">
        <v>4564</v>
      </c>
      <c r="D9164" t="str">
        <f>"54286       "</f>
        <v xml:space="preserve">54286       </v>
      </c>
      <c r="E9164" t="s">
        <v>999</v>
      </c>
      <c r="F9164" t="s">
        <v>1000</v>
      </c>
      <c r="G9164">
        <v>14562.41</v>
      </c>
      <c r="H9164">
        <v>250331</v>
      </c>
      <c r="I9164">
        <v>4571</v>
      </c>
      <c r="J9164" t="s">
        <v>223</v>
      </c>
      <c r="K9164">
        <v>24270.68</v>
      </c>
      <c r="L9164">
        <v>2958.9</v>
      </c>
      <c r="M9164">
        <v>69501</v>
      </c>
      <c r="N9164" t="s">
        <v>123</v>
      </c>
      <c r="O9164">
        <v>250414</v>
      </c>
      <c r="P9164">
        <v>11603.51</v>
      </c>
    </row>
    <row r="9165" spans="1:16" x14ac:dyDescent="0.25">
      <c r="A9165" t="s">
        <v>3296</v>
      </c>
      <c r="B9165" t="s">
        <v>2931</v>
      </c>
      <c r="C9165">
        <v>4564</v>
      </c>
      <c r="D9165" t="str">
        <f>"54286       "</f>
        <v xml:space="preserve">54286       </v>
      </c>
      <c r="E9165" t="s">
        <v>999</v>
      </c>
      <c r="F9165" t="s">
        <v>1000</v>
      </c>
      <c r="G9165">
        <v>97.09</v>
      </c>
      <c r="H9165">
        <v>250331</v>
      </c>
      <c r="I9165">
        <v>4571</v>
      </c>
      <c r="J9165" t="s">
        <v>223</v>
      </c>
      <c r="K9165">
        <v>24270.68</v>
      </c>
      <c r="L9165">
        <v>19.73</v>
      </c>
      <c r="M9165">
        <v>69801</v>
      </c>
      <c r="N9165" t="s">
        <v>1077</v>
      </c>
      <c r="O9165">
        <v>250414</v>
      </c>
      <c r="P9165">
        <v>77.36</v>
      </c>
    </row>
    <row r="9166" spans="1:16" x14ac:dyDescent="0.25">
      <c r="A9166" t="s">
        <v>3296</v>
      </c>
      <c r="B9166" t="s">
        <v>2931</v>
      </c>
      <c r="C9166">
        <v>4564</v>
      </c>
      <c r="D9166" t="str">
        <f>"54286       "</f>
        <v xml:space="preserve">54286       </v>
      </c>
      <c r="E9166" t="s">
        <v>999</v>
      </c>
      <c r="F9166" t="s">
        <v>1000</v>
      </c>
      <c r="G9166">
        <v>97.08</v>
      </c>
      <c r="H9166">
        <v>250331</v>
      </c>
      <c r="I9166">
        <v>4571</v>
      </c>
      <c r="J9166" t="s">
        <v>223</v>
      </c>
      <c r="K9166">
        <v>24270.68</v>
      </c>
      <c r="L9166">
        <v>0</v>
      </c>
      <c r="M9166">
        <v>69803</v>
      </c>
      <c r="N9166" t="s">
        <v>391</v>
      </c>
      <c r="O9166">
        <v>250414</v>
      </c>
      <c r="P9166">
        <v>97.08</v>
      </c>
    </row>
    <row r="9167" spans="1:16" x14ac:dyDescent="0.25">
      <c r="A9167" t="s">
        <v>3296</v>
      </c>
      <c r="B9167" t="s">
        <v>2931</v>
      </c>
      <c r="C9167">
        <v>4578</v>
      </c>
      <c r="D9167" t="str">
        <f>"54289       "</f>
        <v xml:space="preserve">54289       </v>
      </c>
      <c r="E9167" t="s">
        <v>999</v>
      </c>
      <c r="F9167" t="s">
        <v>1000</v>
      </c>
      <c r="G9167">
        <v>2595.59</v>
      </c>
      <c r="H9167">
        <v>250331</v>
      </c>
      <c r="I9167">
        <v>4571</v>
      </c>
      <c r="J9167" t="s">
        <v>223</v>
      </c>
      <c r="K9167">
        <v>2595.59</v>
      </c>
      <c r="L9167">
        <v>527.39</v>
      </c>
      <c r="M9167">
        <v>69501</v>
      </c>
      <c r="N9167" t="s">
        <v>123</v>
      </c>
      <c r="O9167">
        <v>250414</v>
      </c>
      <c r="P9167">
        <v>2068.1999999999998</v>
      </c>
    </row>
    <row r="9168" spans="1:16" x14ac:dyDescent="0.25">
      <c r="A9168" t="s">
        <v>3296</v>
      </c>
      <c r="B9168" t="s">
        <v>2931</v>
      </c>
      <c r="C9168">
        <v>4580</v>
      </c>
      <c r="D9168" t="str">
        <f>"54293       "</f>
        <v xml:space="preserve">54293       </v>
      </c>
      <c r="E9168" t="s">
        <v>999</v>
      </c>
      <c r="F9168" t="s">
        <v>1000</v>
      </c>
      <c r="G9168">
        <v>1914.32</v>
      </c>
      <c r="H9168">
        <v>250331</v>
      </c>
      <c r="I9168">
        <v>4571</v>
      </c>
      <c r="J9168" t="s">
        <v>223</v>
      </c>
      <c r="K9168">
        <v>1914.32</v>
      </c>
      <c r="L9168">
        <v>388.97</v>
      </c>
      <c r="M9168">
        <v>69501</v>
      </c>
      <c r="N9168" t="s">
        <v>123</v>
      </c>
      <c r="O9168">
        <v>250414</v>
      </c>
      <c r="P9168">
        <v>1525.35</v>
      </c>
    </row>
    <row r="9169" spans="1:16" x14ac:dyDescent="0.25">
      <c r="A9169" t="s">
        <v>3296</v>
      </c>
      <c r="B9169" t="s">
        <v>2931</v>
      </c>
      <c r="C9169">
        <v>4582</v>
      </c>
      <c r="D9169" t="str">
        <f>"54290       "</f>
        <v xml:space="preserve">54290       </v>
      </c>
      <c r="E9169" t="s">
        <v>999</v>
      </c>
      <c r="F9169" t="s">
        <v>1000</v>
      </c>
      <c r="G9169">
        <v>1227.94</v>
      </c>
      <c r="H9169">
        <v>250331</v>
      </c>
      <c r="I9169">
        <v>4571</v>
      </c>
      <c r="J9169" t="s">
        <v>223</v>
      </c>
      <c r="K9169">
        <v>1227.94</v>
      </c>
      <c r="L9169">
        <v>249.5</v>
      </c>
      <c r="M9169">
        <v>69501</v>
      </c>
      <c r="N9169" t="s">
        <v>123</v>
      </c>
      <c r="O9169">
        <v>250414</v>
      </c>
      <c r="P9169">
        <v>978.44</v>
      </c>
    </row>
    <row r="9170" spans="1:16" x14ac:dyDescent="0.25">
      <c r="A9170" t="s">
        <v>3296</v>
      </c>
      <c r="B9170" t="s">
        <v>2931</v>
      </c>
      <c r="C9170">
        <v>6118</v>
      </c>
      <c r="D9170" t="str">
        <f>"54542       "</f>
        <v xml:space="preserve">54542       </v>
      </c>
      <c r="E9170" t="s">
        <v>999</v>
      </c>
      <c r="F9170" t="s">
        <v>1000</v>
      </c>
      <c r="G9170">
        <v>5319.63</v>
      </c>
      <c r="H9170">
        <v>250430</v>
      </c>
      <c r="I9170">
        <v>4571</v>
      </c>
      <c r="J9170" t="s">
        <v>223</v>
      </c>
      <c r="K9170">
        <v>18093.96</v>
      </c>
      <c r="L9170">
        <v>1080.8800000000001</v>
      </c>
      <c r="M9170">
        <v>69111</v>
      </c>
      <c r="N9170" t="s">
        <v>657</v>
      </c>
      <c r="O9170">
        <v>250509</v>
      </c>
      <c r="P9170">
        <v>4238.75</v>
      </c>
    </row>
    <row r="9171" spans="1:16" x14ac:dyDescent="0.25">
      <c r="A9171" t="s">
        <v>3296</v>
      </c>
      <c r="B9171" t="s">
        <v>2931</v>
      </c>
      <c r="C9171">
        <v>6118</v>
      </c>
      <c r="D9171" t="str">
        <f>"54542       "</f>
        <v xml:space="preserve">54542       </v>
      </c>
      <c r="E9171" t="s">
        <v>999</v>
      </c>
      <c r="F9171" t="s">
        <v>1000</v>
      </c>
      <c r="G9171">
        <v>12665.77</v>
      </c>
      <c r="H9171">
        <v>250430</v>
      </c>
      <c r="I9171">
        <v>4571</v>
      </c>
      <c r="J9171" t="s">
        <v>223</v>
      </c>
      <c r="K9171">
        <v>18093.96</v>
      </c>
      <c r="L9171">
        <v>2573.52</v>
      </c>
      <c r="M9171">
        <v>69501</v>
      </c>
      <c r="N9171" t="s">
        <v>123</v>
      </c>
      <c r="O9171">
        <v>250509</v>
      </c>
      <c r="P9171">
        <v>10092.25</v>
      </c>
    </row>
    <row r="9172" spans="1:16" x14ac:dyDescent="0.25">
      <c r="A9172" t="s">
        <v>3296</v>
      </c>
      <c r="B9172" t="s">
        <v>2931</v>
      </c>
      <c r="C9172">
        <v>6118</v>
      </c>
      <c r="D9172" t="str">
        <f>"54542       "</f>
        <v xml:space="preserve">54542       </v>
      </c>
      <c r="E9172" t="s">
        <v>999</v>
      </c>
      <c r="F9172" t="s">
        <v>1000</v>
      </c>
      <c r="G9172">
        <v>54.28</v>
      </c>
      <c r="H9172">
        <v>250430</v>
      </c>
      <c r="I9172">
        <v>4571</v>
      </c>
      <c r="J9172" t="s">
        <v>223</v>
      </c>
      <c r="K9172">
        <v>18093.96</v>
      </c>
      <c r="L9172">
        <v>11.03</v>
      </c>
      <c r="M9172">
        <v>69801</v>
      </c>
      <c r="N9172" t="s">
        <v>1077</v>
      </c>
      <c r="O9172">
        <v>250509</v>
      </c>
      <c r="P9172">
        <v>43.25</v>
      </c>
    </row>
    <row r="9173" spans="1:16" x14ac:dyDescent="0.25">
      <c r="A9173" t="s">
        <v>3296</v>
      </c>
      <c r="B9173" t="s">
        <v>2931</v>
      </c>
      <c r="C9173">
        <v>6118</v>
      </c>
      <c r="D9173" t="str">
        <f>"54542       "</f>
        <v xml:space="preserve">54542       </v>
      </c>
      <c r="E9173" t="s">
        <v>999</v>
      </c>
      <c r="F9173" t="s">
        <v>1000</v>
      </c>
      <c r="G9173">
        <v>54.28</v>
      </c>
      <c r="H9173">
        <v>250430</v>
      </c>
      <c r="I9173">
        <v>4571</v>
      </c>
      <c r="J9173" t="s">
        <v>223</v>
      </c>
      <c r="K9173">
        <v>18093.96</v>
      </c>
      <c r="L9173">
        <v>0</v>
      </c>
      <c r="M9173">
        <v>69803</v>
      </c>
      <c r="N9173" t="s">
        <v>391</v>
      </c>
      <c r="O9173">
        <v>250509</v>
      </c>
      <c r="P9173">
        <v>54.28</v>
      </c>
    </row>
    <row r="9174" spans="1:16" x14ac:dyDescent="0.25">
      <c r="A9174" t="s">
        <v>3296</v>
      </c>
      <c r="B9174" t="s">
        <v>2931</v>
      </c>
      <c r="C9174">
        <v>6125</v>
      </c>
      <c r="D9174" t="str">
        <f>"54546       "</f>
        <v xml:space="preserve">54546       </v>
      </c>
      <c r="E9174" t="s">
        <v>999</v>
      </c>
      <c r="F9174" t="s">
        <v>1000</v>
      </c>
      <c r="G9174">
        <v>926.88</v>
      </c>
      <c r="H9174">
        <v>250430</v>
      </c>
      <c r="I9174">
        <v>4571</v>
      </c>
      <c r="J9174" t="s">
        <v>223</v>
      </c>
      <c r="K9174">
        <v>926.88</v>
      </c>
      <c r="L9174">
        <v>188.33</v>
      </c>
      <c r="M9174">
        <v>69501</v>
      </c>
      <c r="N9174" t="s">
        <v>123</v>
      </c>
      <c r="O9174">
        <v>250509</v>
      </c>
      <c r="P9174">
        <v>738.55</v>
      </c>
    </row>
    <row r="9175" spans="1:16" x14ac:dyDescent="0.25">
      <c r="A9175" t="s">
        <v>3296</v>
      </c>
      <c r="B9175" t="s">
        <v>2931</v>
      </c>
      <c r="C9175">
        <v>6130</v>
      </c>
      <c r="D9175" t="str">
        <f>"54543       "</f>
        <v xml:space="preserve">54543       </v>
      </c>
      <c r="E9175" t="s">
        <v>999</v>
      </c>
      <c r="F9175" t="s">
        <v>1000</v>
      </c>
      <c r="G9175">
        <v>14258.36</v>
      </c>
      <c r="H9175">
        <v>250430</v>
      </c>
      <c r="I9175">
        <v>4571</v>
      </c>
      <c r="J9175" t="s">
        <v>223</v>
      </c>
      <c r="K9175">
        <v>14258.36</v>
      </c>
      <c r="L9175">
        <v>2897.12</v>
      </c>
      <c r="M9175">
        <v>69501</v>
      </c>
      <c r="N9175" t="s">
        <v>123</v>
      </c>
      <c r="O9175">
        <v>250509</v>
      </c>
      <c r="P9175">
        <v>11361.24</v>
      </c>
    </row>
    <row r="9176" spans="1:16" x14ac:dyDescent="0.25">
      <c r="A9176" t="s">
        <v>3296</v>
      </c>
      <c r="B9176" t="s">
        <v>2931</v>
      </c>
      <c r="C9176">
        <v>6133</v>
      </c>
      <c r="D9176" t="str">
        <f>"54545       "</f>
        <v xml:space="preserve">54545       </v>
      </c>
      <c r="E9176" t="s">
        <v>999</v>
      </c>
      <c r="F9176" t="s">
        <v>1000</v>
      </c>
      <c r="G9176">
        <v>1935.96</v>
      </c>
      <c r="H9176">
        <v>250430</v>
      </c>
      <c r="I9176">
        <v>4571</v>
      </c>
      <c r="J9176" t="s">
        <v>223</v>
      </c>
      <c r="K9176">
        <v>1935.96</v>
      </c>
      <c r="L9176">
        <v>393.36</v>
      </c>
      <c r="M9176">
        <v>69501</v>
      </c>
      <c r="N9176" t="s">
        <v>123</v>
      </c>
      <c r="O9176">
        <v>250509</v>
      </c>
      <c r="P9176">
        <v>1542.6</v>
      </c>
    </row>
    <row r="9177" spans="1:16" x14ac:dyDescent="0.25">
      <c r="A9177" t="s">
        <v>3296</v>
      </c>
      <c r="B9177" t="s">
        <v>2931</v>
      </c>
      <c r="C9177">
        <v>6143</v>
      </c>
      <c r="D9177" t="str">
        <f>"54552       "</f>
        <v xml:space="preserve">54552       </v>
      </c>
      <c r="E9177" t="s">
        <v>999</v>
      </c>
      <c r="F9177" t="s">
        <v>1000</v>
      </c>
      <c r="G9177">
        <v>652.63</v>
      </c>
      <c r="H9177">
        <v>250430</v>
      </c>
      <c r="I9177">
        <v>4571</v>
      </c>
      <c r="J9177" t="s">
        <v>223</v>
      </c>
      <c r="K9177">
        <v>652.63</v>
      </c>
      <c r="L9177">
        <v>132.61000000000001</v>
      </c>
      <c r="M9177">
        <v>69501</v>
      </c>
      <c r="N9177" t="s">
        <v>123</v>
      </c>
      <c r="O9177">
        <v>250509</v>
      </c>
      <c r="P9177">
        <v>520.02</v>
      </c>
    </row>
    <row r="9178" spans="1:16" x14ac:dyDescent="0.25">
      <c r="A9178" t="s">
        <v>3296</v>
      </c>
      <c r="B9178" t="s">
        <v>2931</v>
      </c>
      <c r="C9178">
        <v>6149</v>
      </c>
      <c r="D9178" t="str">
        <f>"54549       "</f>
        <v xml:space="preserve">54549       </v>
      </c>
      <c r="E9178" t="s">
        <v>999</v>
      </c>
      <c r="F9178" t="s">
        <v>1000</v>
      </c>
      <c r="G9178">
        <v>1451.7</v>
      </c>
      <c r="H9178">
        <v>250430</v>
      </c>
      <c r="I9178">
        <v>4571</v>
      </c>
      <c r="J9178" t="s">
        <v>223</v>
      </c>
      <c r="K9178">
        <v>1451.7</v>
      </c>
      <c r="L9178">
        <v>294.97000000000003</v>
      </c>
      <c r="M9178">
        <v>69501</v>
      </c>
      <c r="N9178" t="s">
        <v>123</v>
      </c>
      <c r="O9178">
        <v>250509</v>
      </c>
      <c r="P9178">
        <v>1156.73</v>
      </c>
    </row>
    <row r="9179" spans="1:16" x14ac:dyDescent="0.25">
      <c r="A9179" t="s">
        <v>3296</v>
      </c>
      <c r="B9179" t="s">
        <v>2931</v>
      </c>
      <c r="C9179">
        <v>8097</v>
      </c>
      <c r="D9179" t="str">
        <f>"54799       "</f>
        <v xml:space="preserve">54799       </v>
      </c>
      <c r="E9179" t="s">
        <v>999</v>
      </c>
      <c r="F9179" t="s">
        <v>1000</v>
      </c>
      <c r="G9179">
        <v>1525.04</v>
      </c>
      <c r="H9179">
        <v>250531</v>
      </c>
      <c r="I9179">
        <v>4571</v>
      </c>
      <c r="J9179" t="s">
        <v>223</v>
      </c>
      <c r="K9179">
        <v>1525.04</v>
      </c>
      <c r="L9179">
        <v>309.87</v>
      </c>
      <c r="M9179">
        <v>69501</v>
      </c>
      <c r="N9179" t="s">
        <v>123</v>
      </c>
      <c r="O9179">
        <v>250611</v>
      </c>
      <c r="P9179">
        <v>1215.17</v>
      </c>
    </row>
    <row r="9180" spans="1:16" x14ac:dyDescent="0.25">
      <c r="A9180" t="s">
        <v>3296</v>
      </c>
      <c r="B9180" t="s">
        <v>2931</v>
      </c>
      <c r="C9180">
        <v>8121</v>
      </c>
      <c r="D9180" t="str">
        <f>"54800       "</f>
        <v xml:space="preserve">54800       </v>
      </c>
      <c r="E9180" t="s">
        <v>999</v>
      </c>
      <c r="F9180" t="s">
        <v>1000</v>
      </c>
      <c r="G9180">
        <v>597.78</v>
      </c>
      <c r="H9180">
        <v>250531</v>
      </c>
      <c r="I9180">
        <v>4571</v>
      </c>
      <c r="J9180" t="s">
        <v>223</v>
      </c>
      <c r="K9180">
        <v>597.78</v>
      </c>
      <c r="L9180">
        <v>121.46</v>
      </c>
      <c r="M9180">
        <v>69501</v>
      </c>
      <c r="N9180" t="s">
        <v>123</v>
      </c>
      <c r="O9180">
        <v>250611</v>
      </c>
      <c r="P9180">
        <v>476.32</v>
      </c>
    </row>
    <row r="9181" spans="1:16" x14ac:dyDescent="0.25">
      <c r="A9181" t="s">
        <v>3296</v>
      </c>
      <c r="B9181" t="s">
        <v>2931</v>
      </c>
      <c r="C9181">
        <v>8131</v>
      </c>
      <c r="D9181" t="str">
        <f>"54797       "</f>
        <v xml:space="preserve">54797       </v>
      </c>
      <c r="E9181" t="s">
        <v>999</v>
      </c>
      <c r="F9181" t="s">
        <v>1000</v>
      </c>
      <c r="G9181">
        <v>9420.6299999999992</v>
      </c>
      <c r="H9181">
        <v>250531</v>
      </c>
      <c r="I9181">
        <v>4571</v>
      </c>
      <c r="J9181" t="s">
        <v>223</v>
      </c>
      <c r="K9181">
        <v>9420.6299999999992</v>
      </c>
      <c r="L9181">
        <v>1914.15</v>
      </c>
      <c r="M9181">
        <v>69501</v>
      </c>
      <c r="N9181" t="s">
        <v>123</v>
      </c>
      <c r="O9181">
        <v>250611</v>
      </c>
      <c r="P9181">
        <v>7506.48</v>
      </c>
    </row>
    <row r="9182" spans="1:16" x14ac:dyDescent="0.25">
      <c r="A9182" t="s">
        <v>3296</v>
      </c>
      <c r="B9182" t="s">
        <v>2931</v>
      </c>
      <c r="C9182">
        <v>8136</v>
      </c>
      <c r="D9182" t="str">
        <f>"54803       "</f>
        <v xml:space="preserve">54803       </v>
      </c>
      <c r="E9182" t="s">
        <v>999</v>
      </c>
      <c r="F9182" t="s">
        <v>1000</v>
      </c>
      <c r="G9182">
        <v>1187.1600000000001</v>
      </c>
      <c r="H9182">
        <v>250531</v>
      </c>
      <c r="I9182">
        <v>4571</v>
      </c>
      <c r="J9182" t="s">
        <v>223</v>
      </c>
      <c r="K9182">
        <v>1187.1600000000001</v>
      </c>
      <c r="L9182">
        <v>241.22</v>
      </c>
      <c r="M9182">
        <v>69501</v>
      </c>
      <c r="N9182" t="s">
        <v>123</v>
      </c>
      <c r="O9182">
        <v>250611</v>
      </c>
      <c r="P9182">
        <v>945.94</v>
      </c>
    </row>
    <row r="9183" spans="1:16" x14ac:dyDescent="0.25">
      <c r="A9183" t="s">
        <v>3296</v>
      </c>
      <c r="B9183" t="s">
        <v>2931</v>
      </c>
      <c r="C9183">
        <v>8163</v>
      </c>
      <c r="D9183" t="str">
        <f>"54806       "</f>
        <v xml:space="preserve">54806       </v>
      </c>
      <c r="E9183" t="s">
        <v>999</v>
      </c>
      <c r="F9183" t="s">
        <v>1000</v>
      </c>
      <c r="G9183">
        <v>458.35</v>
      </c>
      <c r="H9183">
        <v>250531</v>
      </c>
      <c r="I9183">
        <v>4571</v>
      </c>
      <c r="J9183" t="s">
        <v>223</v>
      </c>
      <c r="K9183">
        <v>458.35</v>
      </c>
      <c r="L9183">
        <v>93.13</v>
      </c>
      <c r="M9183">
        <v>69501</v>
      </c>
      <c r="N9183" t="s">
        <v>123</v>
      </c>
      <c r="O9183">
        <v>250611</v>
      </c>
      <c r="P9183">
        <v>365.22</v>
      </c>
    </row>
    <row r="9184" spans="1:16" x14ac:dyDescent="0.25">
      <c r="A9184" t="s">
        <v>3296</v>
      </c>
      <c r="B9184" t="s">
        <v>2931</v>
      </c>
      <c r="C9184">
        <v>8181</v>
      </c>
      <c r="D9184" t="str">
        <f>"54796       "</f>
        <v xml:space="preserve">54796       </v>
      </c>
      <c r="E9184" t="s">
        <v>999</v>
      </c>
      <c r="F9184" t="s">
        <v>1000</v>
      </c>
      <c r="G9184">
        <v>13094.28</v>
      </c>
      <c r="H9184">
        <v>250531</v>
      </c>
      <c r="I9184">
        <v>4571</v>
      </c>
      <c r="J9184" t="s">
        <v>223</v>
      </c>
      <c r="K9184">
        <v>13094.28</v>
      </c>
      <c r="L9184">
        <v>2660.59</v>
      </c>
      <c r="M9184">
        <v>69501</v>
      </c>
      <c r="N9184" t="s">
        <v>123</v>
      </c>
      <c r="O9184">
        <v>250611</v>
      </c>
      <c r="P9184">
        <v>10433.69</v>
      </c>
    </row>
    <row r="9185" spans="1:16" x14ac:dyDescent="0.25">
      <c r="A9185" t="s">
        <v>3296</v>
      </c>
      <c r="B9185" t="s">
        <v>2931</v>
      </c>
      <c r="C9185">
        <v>9423</v>
      </c>
      <c r="D9185" t="str">
        <f>"55057       "</f>
        <v xml:space="preserve">55057       </v>
      </c>
      <c r="E9185" t="s">
        <v>999</v>
      </c>
      <c r="F9185" t="s">
        <v>1000</v>
      </c>
      <c r="G9185">
        <v>183.9</v>
      </c>
      <c r="H9185">
        <v>250630</v>
      </c>
      <c r="I9185">
        <v>4571</v>
      </c>
      <c r="J9185" t="s">
        <v>223</v>
      </c>
      <c r="K9185">
        <v>183.9</v>
      </c>
      <c r="L9185">
        <v>37.369999999999997</v>
      </c>
      <c r="M9185">
        <v>69501</v>
      </c>
      <c r="N9185" t="s">
        <v>123</v>
      </c>
      <c r="O9185">
        <v>250707</v>
      </c>
      <c r="P9185">
        <v>146.53</v>
      </c>
    </row>
    <row r="9186" spans="1:16" x14ac:dyDescent="0.25">
      <c r="A9186" t="s">
        <v>3296</v>
      </c>
      <c r="B9186" t="s">
        <v>2931</v>
      </c>
      <c r="C9186">
        <v>9425</v>
      </c>
      <c r="D9186" t="str">
        <f>"55060       "</f>
        <v xml:space="preserve">55060       </v>
      </c>
      <c r="E9186" t="s">
        <v>999</v>
      </c>
      <c r="F9186" t="s">
        <v>1000</v>
      </c>
      <c r="G9186">
        <v>740.47</v>
      </c>
      <c r="H9186">
        <v>250630</v>
      </c>
      <c r="I9186">
        <v>4571</v>
      </c>
      <c r="J9186" t="s">
        <v>223</v>
      </c>
      <c r="K9186">
        <v>740.47</v>
      </c>
      <c r="L9186">
        <v>150.44999999999999</v>
      </c>
      <c r="M9186">
        <v>69501</v>
      </c>
      <c r="N9186" t="s">
        <v>123</v>
      </c>
      <c r="O9186">
        <v>250707</v>
      </c>
      <c r="P9186">
        <v>590.02</v>
      </c>
    </row>
    <row r="9187" spans="1:16" x14ac:dyDescent="0.25">
      <c r="A9187" t="s">
        <v>3296</v>
      </c>
      <c r="B9187" t="s">
        <v>2931</v>
      </c>
      <c r="C9187">
        <v>9435</v>
      </c>
      <c r="D9187" t="str">
        <f>"55053       "</f>
        <v xml:space="preserve">55053       </v>
      </c>
      <c r="E9187" t="s">
        <v>999</v>
      </c>
      <c r="F9187" t="s">
        <v>1000</v>
      </c>
      <c r="G9187">
        <v>6641.12</v>
      </c>
      <c r="H9187">
        <v>250630</v>
      </c>
      <c r="I9187">
        <v>4571</v>
      </c>
      <c r="J9187" t="s">
        <v>223</v>
      </c>
      <c r="K9187">
        <v>6641.12</v>
      </c>
      <c r="L9187">
        <v>1349.39</v>
      </c>
      <c r="M9187">
        <v>69501</v>
      </c>
      <c r="N9187" t="s">
        <v>123</v>
      </c>
      <c r="O9187">
        <v>250707</v>
      </c>
      <c r="P9187">
        <v>5291.73</v>
      </c>
    </row>
    <row r="9188" spans="1:16" x14ac:dyDescent="0.25">
      <c r="A9188" t="s">
        <v>3296</v>
      </c>
      <c r="B9188" t="s">
        <v>2931</v>
      </c>
      <c r="C9188">
        <v>9436</v>
      </c>
      <c r="D9188" t="str">
        <f>"55063       "</f>
        <v xml:space="preserve">55063       </v>
      </c>
      <c r="E9188" t="s">
        <v>999</v>
      </c>
      <c r="F9188" t="s">
        <v>1000</v>
      </c>
      <c r="G9188">
        <v>301.39</v>
      </c>
      <c r="H9188">
        <v>250630</v>
      </c>
      <c r="I9188">
        <v>4571</v>
      </c>
      <c r="J9188" t="s">
        <v>223</v>
      </c>
      <c r="K9188">
        <v>301.39</v>
      </c>
      <c r="L9188">
        <v>61.24</v>
      </c>
      <c r="M9188">
        <v>69501</v>
      </c>
      <c r="N9188" t="s">
        <v>123</v>
      </c>
      <c r="O9188">
        <v>250707</v>
      </c>
      <c r="P9188">
        <v>240.15</v>
      </c>
    </row>
    <row r="9189" spans="1:16" x14ac:dyDescent="0.25">
      <c r="A9189" t="s">
        <v>3296</v>
      </c>
      <c r="B9189" t="s">
        <v>2931</v>
      </c>
      <c r="C9189">
        <v>9438</v>
      </c>
      <c r="D9189" t="str">
        <f>"55054       "</f>
        <v xml:space="preserve">55054       </v>
      </c>
      <c r="E9189" t="s">
        <v>999</v>
      </c>
      <c r="F9189" t="s">
        <v>1000</v>
      </c>
      <c r="G9189">
        <v>3671.63</v>
      </c>
      <c r="H9189">
        <v>250630</v>
      </c>
      <c r="I9189">
        <v>4571</v>
      </c>
      <c r="J9189" t="s">
        <v>223</v>
      </c>
      <c r="K9189">
        <v>3671.63</v>
      </c>
      <c r="L9189">
        <v>746.03</v>
      </c>
      <c r="M9189">
        <v>69501</v>
      </c>
      <c r="N9189" t="s">
        <v>123</v>
      </c>
      <c r="O9189">
        <v>250707</v>
      </c>
      <c r="P9189">
        <v>2925.6</v>
      </c>
    </row>
    <row r="9190" spans="1:16" x14ac:dyDescent="0.25">
      <c r="A9190" t="s">
        <v>3296</v>
      </c>
      <c r="B9190" t="s">
        <v>2931</v>
      </c>
      <c r="C9190">
        <v>9439</v>
      </c>
      <c r="D9190" t="str">
        <f>"55056       "</f>
        <v xml:space="preserve">55056       </v>
      </c>
      <c r="E9190" t="s">
        <v>999</v>
      </c>
      <c r="F9190" t="s">
        <v>1000</v>
      </c>
      <c r="G9190">
        <v>670.9</v>
      </c>
      <c r="H9190">
        <v>250630</v>
      </c>
      <c r="I9190">
        <v>4571</v>
      </c>
      <c r="J9190" t="s">
        <v>223</v>
      </c>
      <c r="K9190">
        <v>670.9</v>
      </c>
      <c r="L9190">
        <v>136.32</v>
      </c>
      <c r="M9190">
        <v>69501</v>
      </c>
      <c r="N9190" t="s">
        <v>123</v>
      </c>
      <c r="O9190">
        <v>250707</v>
      </c>
      <c r="P9190">
        <v>534.58000000000004</v>
      </c>
    </row>
    <row r="9191" spans="1:16" x14ac:dyDescent="0.25">
      <c r="A9191" t="s">
        <v>3296</v>
      </c>
      <c r="B9191" t="s">
        <v>2931</v>
      </c>
      <c r="C9191">
        <v>9996</v>
      </c>
      <c r="D9191" t="str">
        <f>"55309       "</f>
        <v xml:space="preserve">55309       </v>
      </c>
      <c r="E9191" t="s">
        <v>999</v>
      </c>
      <c r="F9191" t="s">
        <v>1000</v>
      </c>
      <c r="G9191">
        <v>1081.51</v>
      </c>
      <c r="H9191">
        <v>250731</v>
      </c>
      <c r="I9191">
        <v>4571</v>
      </c>
      <c r="J9191" t="s">
        <v>223</v>
      </c>
      <c r="K9191">
        <v>1081.51</v>
      </c>
      <c r="L9191">
        <v>219.75</v>
      </c>
      <c r="M9191">
        <v>69501</v>
      </c>
      <c r="N9191" t="s">
        <v>123</v>
      </c>
      <c r="O9191">
        <v>250806</v>
      </c>
      <c r="P9191">
        <v>861.76</v>
      </c>
    </row>
    <row r="9192" spans="1:16" x14ac:dyDescent="0.25">
      <c r="A9192" t="s">
        <v>3296</v>
      </c>
      <c r="B9192" t="s">
        <v>2931</v>
      </c>
      <c r="C9192">
        <v>9997</v>
      </c>
      <c r="D9192" t="str">
        <f>"55312       "</f>
        <v xml:space="preserve">55312       </v>
      </c>
      <c r="E9192" t="s">
        <v>999</v>
      </c>
      <c r="F9192" t="s">
        <v>1000</v>
      </c>
      <c r="G9192">
        <v>119.93</v>
      </c>
      <c r="H9192">
        <v>250731</v>
      </c>
      <c r="I9192">
        <v>4571</v>
      </c>
      <c r="J9192" t="s">
        <v>223</v>
      </c>
      <c r="K9192">
        <v>119.93</v>
      </c>
      <c r="L9192">
        <v>24.37</v>
      </c>
      <c r="M9192">
        <v>69501</v>
      </c>
      <c r="N9192" t="s">
        <v>123</v>
      </c>
      <c r="O9192">
        <v>250806</v>
      </c>
      <c r="P9192">
        <v>95.56</v>
      </c>
    </row>
    <row r="9193" spans="1:16" x14ac:dyDescent="0.25">
      <c r="A9193" t="s">
        <v>3296</v>
      </c>
      <c r="B9193" t="s">
        <v>2931</v>
      </c>
      <c r="C9193">
        <v>9999</v>
      </c>
      <c r="D9193" t="str">
        <f>"55311       "</f>
        <v xml:space="preserve">55311       </v>
      </c>
      <c r="E9193" t="s">
        <v>999</v>
      </c>
      <c r="F9193" t="s">
        <v>1000</v>
      </c>
      <c r="G9193">
        <v>371.99</v>
      </c>
      <c r="H9193">
        <v>250731</v>
      </c>
      <c r="I9193">
        <v>4571</v>
      </c>
      <c r="J9193" t="s">
        <v>223</v>
      </c>
      <c r="K9193">
        <v>371.99</v>
      </c>
      <c r="L9193">
        <v>75.58</v>
      </c>
      <c r="M9193">
        <v>69501</v>
      </c>
      <c r="N9193" t="s">
        <v>123</v>
      </c>
      <c r="O9193">
        <v>250806</v>
      </c>
      <c r="P9193">
        <v>296.41000000000003</v>
      </c>
    </row>
    <row r="9194" spans="1:16" x14ac:dyDescent="0.25">
      <c r="A9194" t="s">
        <v>3296</v>
      </c>
      <c r="B9194" t="s">
        <v>2931</v>
      </c>
      <c r="C9194">
        <v>10001</v>
      </c>
      <c r="D9194" t="str">
        <f>"55315       "</f>
        <v xml:space="preserve">55315       </v>
      </c>
      <c r="E9194" t="s">
        <v>999</v>
      </c>
      <c r="F9194" t="s">
        <v>1000</v>
      </c>
      <c r="G9194">
        <v>639.84</v>
      </c>
      <c r="H9194">
        <v>250731</v>
      </c>
      <c r="I9194">
        <v>4571</v>
      </c>
      <c r="J9194" t="s">
        <v>223</v>
      </c>
      <c r="K9194">
        <v>639.84</v>
      </c>
      <c r="L9194">
        <v>130.01</v>
      </c>
      <c r="M9194">
        <v>69501</v>
      </c>
      <c r="N9194" t="s">
        <v>123</v>
      </c>
      <c r="O9194">
        <v>250806</v>
      </c>
      <c r="P9194">
        <v>509.83</v>
      </c>
    </row>
    <row r="9195" spans="1:16" x14ac:dyDescent="0.25">
      <c r="A9195" t="s">
        <v>3296</v>
      </c>
      <c r="B9195" t="s">
        <v>2931</v>
      </c>
      <c r="C9195">
        <v>10002</v>
      </c>
      <c r="D9195" t="str">
        <f>"55318       "</f>
        <v xml:space="preserve">55318       </v>
      </c>
      <c r="E9195" t="s">
        <v>999</v>
      </c>
      <c r="F9195" t="s">
        <v>1000</v>
      </c>
      <c r="G9195">
        <v>271.73</v>
      </c>
      <c r="H9195">
        <v>250731</v>
      </c>
      <c r="I9195">
        <v>4571</v>
      </c>
      <c r="J9195" t="s">
        <v>223</v>
      </c>
      <c r="K9195">
        <v>271.73</v>
      </c>
      <c r="L9195">
        <v>55.21</v>
      </c>
      <c r="M9195">
        <v>69501</v>
      </c>
      <c r="N9195" t="s">
        <v>123</v>
      </c>
      <c r="O9195">
        <v>250806</v>
      </c>
      <c r="P9195">
        <v>216.52</v>
      </c>
    </row>
    <row r="9196" spans="1:16" x14ac:dyDescent="0.25">
      <c r="A9196" t="s">
        <v>3296</v>
      </c>
      <c r="B9196" t="s">
        <v>2931</v>
      </c>
      <c r="C9196">
        <v>10078</v>
      </c>
      <c r="D9196" t="str">
        <f>"55308       "</f>
        <v xml:space="preserve">55308       </v>
      </c>
      <c r="E9196" t="s">
        <v>999</v>
      </c>
      <c r="F9196" t="s">
        <v>1000</v>
      </c>
      <c r="G9196">
        <v>1749.56</v>
      </c>
      <c r="H9196">
        <v>250731</v>
      </c>
      <c r="I9196">
        <v>4571</v>
      </c>
      <c r="J9196" t="s">
        <v>223</v>
      </c>
      <c r="K9196">
        <v>4859.8999999999996</v>
      </c>
      <c r="L9196">
        <v>355.49</v>
      </c>
      <c r="M9196">
        <v>69111</v>
      </c>
      <c r="N9196" t="s">
        <v>657</v>
      </c>
      <c r="O9196">
        <v>250811</v>
      </c>
      <c r="P9196">
        <v>1394.07</v>
      </c>
    </row>
    <row r="9197" spans="1:16" x14ac:dyDescent="0.25">
      <c r="A9197" t="s">
        <v>3296</v>
      </c>
      <c r="B9197" t="s">
        <v>2931</v>
      </c>
      <c r="C9197">
        <v>10078</v>
      </c>
      <c r="D9197" t="str">
        <f>"55308       "</f>
        <v xml:space="preserve">55308       </v>
      </c>
      <c r="E9197" t="s">
        <v>999</v>
      </c>
      <c r="F9197" t="s">
        <v>1000</v>
      </c>
      <c r="G9197">
        <v>2915.94</v>
      </c>
      <c r="H9197">
        <v>250731</v>
      </c>
      <c r="I9197">
        <v>4571</v>
      </c>
      <c r="J9197" t="s">
        <v>223</v>
      </c>
      <c r="K9197">
        <v>4859.8999999999996</v>
      </c>
      <c r="L9197">
        <v>592.48</v>
      </c>
      <c r="M9197">
        <v>69501</v>
      </c>
      <c r="N9197" t="s">
        <v>123</v>
      </c>
      <c r="O9197">
        <v>250811</v>
      </c>
      <c r="P9197">
        <v>2323.46</v>
      </c>
    </row>
    <row r="9198" spans="1:16" x14ac:dyDescent="0.25">
      <c r="A9198" t="s">
        <v>3296</v>
      </c>
      <c r="B9198" t="s">
        <v>2931</v>
      </c>
      <c r="C9198">
        <v>10078</v>
      </c>
      <c r="D9198" t="str">
        <f>"55308       "</f>
        <v xml:space="preserve">55308       </v>
      </c>
      <c r="E9198" t="s">
        <v>999</v>
      </c>
      <c r="F9198" t="s">
        <v>1000</v>
      </c>
      <c r="G9198">
        <v>97.2</v>
      </c>
      <c r="H9198">
        <v>250731</v>
      </c>
      <c r="I9198">
        <v>4571</v>
      </c>
      <c r="J9198" t="s">
        <v>223</v>
      </c>
      <c r="K9198">
        <v>4859.8999999999996</v>
      </c>
      <c r="L9198">
        <v>19.75</v>
      </c>
      <c r="M9198">
        <v>69801</v>
      </c>
      <c r="N9198" t="s">
        <v>1077</v>
      </c>
      <c r="O9198">
        <v>250811</v>
      </c>
      <c r="P9198">
        <v>77.45</v>
      </c>
    </row>
    <row r="9199" spans="1:16" x14ac:dyDescent="0.25">
      <c r="A9199" t="s">
        <v>3296</v>
      </c>
      <c r="B9199" t="s">
        <v>2931</v>
      </c>
      <c r="C9199">
        <v>10078</v>
      </c>
      <c r="D9199" t="str">
        <f>"55308       "</f>
        <v xml:space="preserve">55308       </v>
      </c>
      <c r="E9199" t="s">
        <v>999</v>
      </c>
      <c r="F9199" t="s">
        <v>1000</v>
      </c>
      <c r="G9199">
        <v>97.2</v>
      </c>
      <c r="H9199">
        <v>250731</v>
      </c>
      <c r="I9199">
        <v>4571</v>
      </c>
      <c r="J9199" t="s">
        <v>223</v>
      </c>
      <c r="K9199">
        <v>4859.8999999999996</v>
      </c>
      <c r="L9199">
        <v>0</v>
      </c>
      <c r="M9199">
        <v>69803</v>
      </c>
      <c r="N9199" t="s">
        <v>391</v>
      </c>
      <c r="O9199">
        <v>250811</v>
      </c>
      <c r="P9199">
        <v>97.2</v>
      </c>
    </row>
    <row r="9200" spans="1:16" x14ac:dyDescent="0.25">
      <c r="A9200" t="s">
        <v>3296</v>
      </c>
      <c r="B9200" t="s">
        <v>2931</v>
      </c>
      <c r="C9200">
        <v>11533</v>
      </c>
      <c r="D9200" t="str">
        <f>"55569       "</f>
        <v xml:space="preserve">55569       </v>
      </c>
      <c r="E9200" t="s">
        <v>999</v>
      </c>
      <c r="F9200" t="s">
        <v>1000</v>
      </c>
      <c r="G9200">
        <v>779.27</v>
      </c>
      <c r="H9200">
        <v>250831</v>
      </c>
      <c r="I9200">
        <v>4571</v>
      </c>
      <c r="J9200" t="s">
        <v>223</v>
      </c>
      <c r="K9200">
        <v>779.27</v>
      </c>
      <c r="L9200">
        <v>158.34</v>
      </c>
      <c r="M9200">
        <v>69501</v>
      </c>
      <c r="N9200" t="s">
        <v>123</v>
      </c>
      <c r="O9200">
        <v>250908</v>
      </c>
      <c r="P9200">
        <v>620.92999999999995</v>
      </c>
    </row>
    <row r="9201" spans="1:16" x14ac:dyDescent="0.25">
      <c r="A9201" t="s">
        <v>3296</v>
      </c>
      <c r="B9201" t="s">
        <v>2931</v>
      </c>
      <c r="C9201">
        <v>11534</v>
      </c>
      <c r="D9201" t="str">
        <f>"55572       "</f>
        <v xml:space="preserve">55572       </v>
      </c>
      <c r="E9201" t="s">
        <v>999</v>
      </c>
      <c r="F9201" t="s">
        <v>1000</v>
      </c>
      <c r="G9201">
        <v>276.92</v>
      </c>
      <c r="H9201">
        <v>250831</v>
      </c>
      <c r="I9201">
        <v>4571</v>
      </c>
      <c r="J9201" t="s">
        <v>223</v>
      </c>
      <c r="K9201">
        <v>276.92</v>
      </c>
      <c r="L9201">
        <v>56.27</v>
      </c>
      <c r="M9201">
        <v>69501</v>
      </c>
      <c r="N9201" t="s">
        <v>123</v>
      </c>
      <c r="O9201">
        <v>250908</v>
      </c>
      <c r="P9201">
        <v>220.65</v>
      </c>
    </row>
    <row r="9202" spans="1:16" x14ac:dyDescent="0.25">
      <c r="A9202" t="s">
        <v>3296</v>
      </c>
      <c r="B9202" t="s">
        <v>2931</v>
      </c>
      <c r="C9202">
        <v>11537</v>
      </c>
      <c r="D9202" t="str">
        <f>"55562       "</f>
        <v xml:space="preserve">55562       </v>
      </c>
      <c r="E9202" t="s">
        <v>999</v>
      </c>
      <c r="F9202" t="s">
        <v>1000</v>
      </c>
      <c r="G9202">
        <v>2100.21</v>
      </c>
      <c r="H9202">
        <v>250831</v>
      </c>
      <c r="I9202">
        <v>4571</v>
      </c>
      <c r="J9202" t="s">
        <v>223</v>
      </c>
      <c r="K9202">
        <v>7369.18</v>
      </c>
      <c r="L9202">
        <v>426.74</v>
      </c>
      <c r="M9202">
        <v>69111</v>
      </c>
      <c r="N9202" t="s">
        <v>657</v>
      </c>
      <c r="O9202">
        <v>250908</v>
      </c>
      <c r="P9202">
        <v>1673.47</v>
      </c>
    </row>
    <row r="9203" spans="1:16" x14ac:dyDescent="0.25">
      <c r="A9203" t="s">
        <v>3296</v>
      </c>
      <c r="B9203" t="s">
        <v>2931</v>
      </c>
      <c r="C9203">
        <v>11537</v>
      </c>
      <c r="D9203" t="str">
        <f>"55562       "</f>
        <v xml:space="preserve">55562       </v>
      </c>
      <c r="E9203" t="s">
        <v>999</v>
      </c>
      <c r="F9203" t="s">
        <v>1000</v>
      </c>
      <c r="G9203">
        <v>5158.43</v>
      </c>
      <c r="H9203">
        <v>250831</v>
      </c>
      <c r="I9203">
        <v>4571</v>
      </c>
      <c r="J9203" t="s">
        <v>223</v>
      </c>
      <c r="K9203">
        <v>7369.18</v>
      </c>
      <c r="L9203">
        <v>1048.1300000000001</v>
      </c>
      <c r="M9203">
        <v>69501</v>
      </c>
      <c r="N9203" t="s">
        <v>123</v>
      </c>
      <c r="O9203">
        <v>250908</v>
      </c>
      <c r="P9203">
        <v>4110.3</v>
      </c>
    </row>
    <row r="9204" spans="1:16" x14ac:dyDescent="0.25">
      <c r="A9204" t="s">
        <v>3296</v>
      </c>
      <c r="B9204" t="s">
        <v>2931</v>
      </c>
      <c r="C9204">
        <v>11537</v>
      </c>
      <c r="D9204" t="str">
        <f>"55562       "</f>
        <v xml:space="preserve">55562       </v>
      </c>
      <c r="E9204" t="s">
        <v>999</v>
      </c>
      <c r="F9204" t="s">
        <v>1000</v>
      </c>
      <c r="G9204">
        <v>55.27</v>
      </c>
      <c r="H9204">
        <v>250831</v>
      </c>
      <c r="I9204">
        <v>4571</v>
      </c>
      <c r="J9204" t="s">
        <v>223</v>
      </c>
      <c r="K9204">
        <v>7369.18</v>
      </c>
      <c r="L9204">
        <v>11.23</v>
      </c>
      <c r="M9204">
        <v>69801</v>
      </c>
      <c r="N9204" t="s">
        <v>1077</v>
      </c>
      <c r="O9204">
        <v>250908</v>
      </c>
      <c r="P9204">
        <v>44.04</v>
      </c>
    </row>
    <row r="9205" spans="1:16" x14ac:dyDescent="0.25">
      <c r="A9205" t="s">
        <v>3296</v>
      </c>
      <c r="B9205" t="s">
        <v>2931</v>
      </c>
      <c r="C9205">
        <v>11537</v>
      </c>
      <c r="D9205" t="str">
        <f>"55562       "</f>
        <v xml:space="preserve">55562       </v>
      </c>
      <c r="E9205" t="s">
        <v>999</v>
      </c>
      <c r="F9205" t="s">
        <v>1000</v>
      </c>
      <c r="G9205">
        <v>55.27</v>
      </c>
      <c r="H9205">
        <v>250831</v>
      </c>
      <c r="I9205">
        <v>4571</v>
      </c>
      <c r="J9205" t="s">
        <v>223</v>
      </c>
      <c r="K9205">
        <v>7369.18</v>
      </c>
      <c r="L9205">
        <v>0</v>
      </c>
      <c r="M9205">
        <v>69803</v>
      </c>
      <c r="N9205" t="s">
        <v>391</v>
      </c>
      <c r="O9205">
        <v>250908</v>
      </c>
      <c r="P9205">
        <v>55.27</v>
      </c>
    </row>
    <row r="9206" spans="1:16" x14ac:dyDescent="0.25">
      <c r="A9206" t="s">
        <v>3296</v>
      </c>
      <c r="B9206" t="s">
        <v>2931</v>
      </c>
      <c r="C9206">
        <v>11538</v>
      </c>
      <c r="D9206" t="str">
        <f>"55565       "</f>
        <v xml:space="preserve">55565       </v>
      </c>
      <c r="E9206" t="s">
        <v>999</v>
      </c>
      <c r="F9206" t="s">
        <v>1000</v>
      </c>
      <c r="G9206">
        <v>690.35</v>
      </c>
      <c r="H9206">
        <v>250831</v>
      </c>
      <c r="I9206">
        <v>4571</v>
      </c>
      <c r="J9206" t="s">
        <v>223</v>
      </c>
      <c r="K9206">
        <v>690.35</v>
      </c>
      <c r="L9206">
        <v>140.27000000000001</v>
      </c>
      <c r="M9206">
        <v>69501</v>
      </c>
      <c r="N9206" t="s">
        <v>123</v>
      </c>
      <c r="O9206">
        <v>250908</v>
      </c>
      <c r="P9206">
        <v>550.08000000000004</v>
      </c>
    </row>
    <row r="9207" spans="1:16" x14ac:dyDescent="0.25">
      <c r="A9207" t="s">
        <v>3296</v>
      </c>
      <c r="B9207" t="s">
        <v>2931</v>
      </c>
      <c r="C9207">
        <v>11553</v>
      </c>
      <c r="D9207" t="str">
        <f>"55563       "</f>
        <v xml:space="preserve">55563       </v>
      </c>
      <c r="E9207" t="s">
        <v>999</v>
      </c>
      <c r="F9207" t="s">
        <v>1000</v>
      </c>
      <c r="G9207">
        <v>4279.37</v>
      </c>
      <c r="H9207">
        <v>250831</v>
      </c>
      <c r="I9207">
        <v>4571</v>
      </c>
      <c r="J9207" t="s">
        <v>223</v>
      </c>
      <c r="K9207">
        <v>4279.37</v>
      </c>
      <c r="L9207">
        <v>869.51</v>
      </c>
      <c r="M9207">
        <v>69501</v>
      </c>
      <c r="N9207" t="s">
        <v>123</v>
      </c>
      <c r="O9207">
        <v>250908</v>
      </c>
      <c r="P9207">
        <v>3409.86</v>
      </c>
    </row>
    <row r="9208" spans="1:16" x14ac:dyDescent="0.25">
      <c r="A9208" t="s">
        <v>3296</v>
      </c>
      <c r="B9208" t="s">
        <v>2931</v>
      </c>
      <c r="C9208">
        <v>11555</v>
      </c>
      <c r="D9208" t="str">
        <f>"55566       "</f>
        <v xml:space="preserve">55566       </v>
      </c>
      <c r="E9208" t="s">
        <v>999</v>
      </c>
      <c r="F9208" t="s">
        <v>1000</v>
      </c>
      <c r="G9208">
        <v>203.27</v>
      </c>
      <c r="H9208">
        <v>250831</v>
      </c>
      <c r="I9208">
        <v>4571</v>
      </c>
      <c r="J9208" t="s">
        <v>223</v>
      </c>
      <c r="K9208">
        <v>203.27</v>
      </c>
      <c r="L9208">
        <v>41.3</v>
      </c>
      <c r="M9208">
        <v>69501</v>
      </c>
      <c r="N9208" t="s">
        <v>123</v>
      </c>
      <c r="O9208">
        <v>250908</v>
      </c>
      <c r="P9208">
        <v>161.97</v>
      </c>
    </row>
    <row r="9209" spans="1:16" x14ac:dyDescent="0.25">
      <c r="A9209" t="s">
        <v>3296</v>
      </c>
      <c r="B9209" t="s">
        <v>2931</v>
      </c>
      <c r="C9209">
        <v>13191</v>
      </c>
      <c r="D9209" t="str">
        <f>"55822       "</f>
        <v xml:space="preserve">55822       </v>
      </c>
      <c r="E9209" t="s">
        <v>999</v>
      </c>
      <c r="F9209" t="s">
        <v>1000</v>
      </c>
      <c r="G9209">
        <v>855.56</v>
      </c>
      <c r="H9209">
        <v>250930</v>
      </c>
      <c r="I9209">
        <v>4571</v>
      </c>
      <c r="J9209" t="s">
        <v>223</v>
      </c>
      <c r="K9209">
        <v>855.56</v>
      </c>
      <c r="L9209">
        <v>173.84</v>
      </c>
      <c r="M9209">
        <v>69501</v>
      </c>
      <c r="N9209" t="s">
        <v>123</v>
      </c>
      <c r="O9209">
        <v>251006</v>
      </c>
      <c r="P9209">
        <v>681.72</v>
      </c>
    </row>
    <row r="9210" spans="1:16" x14ac:dyDescent="0.25">
      <c r="A9210" t="s">
        <v>3296</v>
      </c>
      <c r="B9210" t="s">
        <v>2931</v>
      </c>
      <c r="C9210">
        <v>13192</v>
      </c>
      <c r="D9210" t="str">
        <f>"55818       "</f>
        <v xml:space="preserve">55818       </v>
      </c>
      <c r="E9210" t="s">
        <v>999</v>
      </c>
      <c r="F9210" t="s">
        <v>1000</v>
      </c>
      <c r="G9210">
        <v>924.14</v>
      </c>
      <c r="H9210">
        <v>250930</v>
      </c>
      <c r="I9210">
        <v>4571</v>
      </c>
      <c r="J9210" t="s">
        <v>223</v>
      </c>
      <c r="K9210">
        <v>924.14</v>
      </c>
      <c r="L9210">
        <v>187.77</v>
      </c>
      <c r="M9210">
        <v>69501</v>
      </c>
      <c r="N9210" t="s">
        <v>123</v>
      </c>
      <c r="O9210">
        <v>251006</v>
      </c>
      <c r="P9210">
        <v>736.37</v>
      </c>
    </row>
    <row r="9211" spans="1:16" x14ac:dyDescent="0.25">
      <c r="A9211" t="s">
        <v>3296</v>
      </c>
      <c r="B9211" t="s">
        <v>2931</v>
      </c>
      <c r="C9211">
        <v>13197</v>
      </c>
      <c r="D9211" t="str">
        <f>"55825       "</f>
        <v xml:space="preserve">55825       </v>
      </c>
      <c r="E9211" t="s">
        <v>999</v>
      </c>
      <c r="F9211" t="s">
        <v>1000</v>
      </c>
      <c r="G9211">
        <v>283.39</v>
      </c>
      <c r="H9211">
        <v>250930</v>
      </c>
      <c r="I9211">
        <v>4571</v>
      </c>
      <c r="J9211" t="s">
        <v>223</v>
      </c>
      <c r="K9211">
        <v>283.39</v>
      </c>
      <c r="L9211">
        <v>57.58</v>
      </c>
      <c r="M9211">
        <v>69501</v>
      </c>
      <c r="N9211" t="s">
        <v>123</v>
      </c>
      <c r="O9211">
        <v>251006</v>
      </c>
      <c r="P9211">
        <v>225.81</v>
      </c>
    </row>
    <row r="9212" spans="1:16" x14ac:dyDescent="0.25">
      <c r="A9212" t="s">
        <v>3296</v>
      </c>
      <c r="B9212" t="s">
        <v>2931</v>
      </c>
      <c r="C9212">
        <v>13200</v>
      </c>
      <c r="D9212" t="str">
        <f>"55819       "</f>
        <v xml:space="preserve">55819       </v>
      </c>
      <c r="E9212" t="s">
        <v>999</v>
      </c>
      <c r="F9212" t="s">
        <v>1000</v>
      </c>
      <c r="G9212">
        <v>328.22</v>
      </c>
      <c r="H9212">
        <v>250930</v>
      </c>
      <c r="I9212">
        <v>4571</v>
      </c>
      <c r="J9212" t="s">
        <v>223</v>
      </c>
      <c r="K9212">
        <v>328.22</v>
      </c>
      <c r="L9212">
        <v>66.69</v>
      </c>
      <c r="M9212">
        <v>69501</v>
      </c>
      <c r="N9212" t="s">
        <v>123</v>
      </c>
      <c r="O9212">
        <v>251006</v>
      </c>
      <c r="P9212">
        <v>261.52999999999997</v>
      </c>
    </row>
    <row r="9213" spans="1:16" x14ac:dyDescent="0.25">
      <c r="A9213" t="s">
        <v>3296</v>
      </c>
      <c r="B9213" t="s">
        <v>2931</v>
      </c>
      <c r="C9213">
        <v>13206</v>
      </c>
      <c r="D9213" t="str">
        <f>"55816       "</f>
        <v xml:space="preserve">55816       </v>
      </c>
      <c r="E9213" t="s">
        <v>999</v>
      </c>
      <c r="F9213" t="s">
        <v>1000</v>
      </c>
      <c r="G9213">
        <v>5423.66</v>
      </c>
      <c r="H9213">
        <v>250930</v>
      </c>
      <c r="I9213">
        <v>4571</v>
      </c>
      <c r="J9213" t="s">
        <v>223</v>
      </c>
      <c r="K9213">
        <v>5423.66</v>
      </c>
      <c r="L9213">
        <v>1102.02</v>
      </c>
      <c r="M9213">
        <v>69501</v>
      </c>
      <c r="N9213" t="s">
        <v>123</v>
      </c>
      <c r="O9213">
        <v>251006</v>
      </c>
      <c r="P9213">
        <v>4321.6400000000003</v>
      </c>
    </row>
    <row r="9214" spans="1:16" x14ac:dyDescent="0.25">
      <c r="A9214" t="s">
        <v>3296</v>
      </c>
      <c r="B9214" t="s">
        <v>2931</v>
      </c>
      <c r="C9214">
        <v>13352</v>
      </c>
      <c r="D9214" t="str">
        <f>"55815       "</f>
        <v xml:space="preserve">55815       </v>
      </c>
      <c r="E9214" t="s">
        <v>999</v>
      </c>
      <c r="F9214" t="s">
        <v>1000</v>
      </c>
      <c r="G9214">
        <v>2392.2600000000002</v>
      </c>
      <c r="H9214">
        <v>250930</v>
      </c>
      <c r="I9214">
        <v>4571</v>
      </c>
      <c r="J9214" t="s">
        <v>223</v>
      </c>
      <c r="K9214">
        <v>8543.7800000000007</v>
      </c>
      <c r="L9214">
        <v>486.08</v>
      </c>
      <c r="M9214">
        <v>69111</v>
      </c>
      <c r="N9214" t="s">
        <v>657</v>
      </c>
      <c r="O9214">
        <v>251008</v>
      </c>
      <c r="P9214">
        <v>1906.18</v>
      </c>
    </row>
    <row r="9215" spans="1:16" x14ac:dyDescent="0.25">
      <c r="A9215" t="s">
        <v>3296</v>
      </c>
      <c r="B9215" t="s">
        <v>2931</v>
      </c>
      <c r="C9215">
        <v>13352</v>
      </c>
      <c r="D9215" t="str">
        <f>"55815       "</f>
        <v xml:space="preserve">55815       </v>
      </c>
      <c r="E9215" t="s">
        <v>999</v>
      </c>
      <c r="F9215" t="s">
        <v>1000</v>
      </c>
      <c r="G9215">
        <v>5980.64</v>
      </c>
      <c r="H9215">
        <v>250930</v>
      </c>
      <c r="I9215">
        <v>4571</v>
      </c>
      <c r="J9215" t="s">
        <v>223</v>
      </c>
      <c r="K9215">
        <v>8543.7800000000007</v>
      </c>
      <c r="L9215">
        <v>1215.19</v>
      </c>
      <c r="M9215">
        <v>69501</v>
      </c>
      <c r="N9215" t="s">
        <v>123</v>
      </c>
      <c r="O9215">
        <v>251008</v>
      </c>
      <c r="P9215">
        <v>4765.45</v>
      </c>
    </row>
    <row r="9216" spans="1:16" x14ac:dyDescent="0.25">
      <c r="A9216" t="s">
        <v>3296</v>
      </c>
      <c r="B9216" t="s">
        <v>2931</v>
      </c>
      <c r="C9216">
        <v>13352</v>
      </c>
      <c r="D9216" t="str">
        <f>"55815       "</f>
        <v xml:space="preserve">55815       </v>
      </c>
      <c r="E9216" t="s">
        <v>999</v>
      </c>
      <c r="F9216" t="s">
        <v>1000</v>
      </c>
      <c r="G9216">
        <v>170.88</v>
      </c>
      <c r="H9216">
        <v>250930</v>
      </c>
      <c r="I9216">
        <v>4571</v>
      </c>
      <c r="J9216" t="s">
        <v>223</v>
      </c>
      <c r="K9216">
        <v>8543.7800000000007</v>
      </c>
      <c r="L9216">
        <v>0</v>
      </c>
      <c r="M9216">
        <v>69803</v>
      </c>
      <c r="N9216" t="s">
        <v>391</v>
      </c>
      <c r="O9216">
        <v>251008</v>
      </c>
      <c r="P9216">
        <v>170.88</v>
      </c>
    </row>
    <row r="9217" spans="1:16" x14ac:dyDescent="0.25">
      <c r="A9217" t="s">
        <v>3296</v>
      </c>
      <c r="B9217" t="s">
        <v>2931</v>
      </c>
      <c r="C9217">
        <v>14724</v>
      </c>
      <c r="D9217" t="str">
        <f>"56084       "</f>
        <v xml:space="preserve">56084       </v>
      </c>
      <c r="E9217" t="s">
        <v>999</v>
      </c>
      <c r="F9217" t="s">
        <v>1000</v>
      </c>
      <c r="G9217">
        <v>546.09</v>
      </c>
      <c r="H9217">
        <v>251031</v>
      </c>
      <c r="I9217">
        <v>4571</v>
      </c>
      <c r="J9217" t="s">
        <v>223</v>
      </c>
      <c r="K9217">
        <v>546.09</v>
      </c>
      <c r="L9217">
        <v>110.96</v>
      </c>
      <c r="M9217">
        <v>69501</v>
      </c>
      <c r="N9217" t="s">
        <v>123</v>
      </c>
      <c r="O9217">
        <v>251106</v>
      </c>
      <c r="P9217">
        <v>435.13</v>
      </c>
    </row>
    <row r="9218" spans="1:16" x14ac:dyDescent="0.25">
      <c r="A9218" t="s">
        <v>3296</v>
      </c>
      <c r="B9218" t="s">
        <v>2931</v>
      </c>
      <c r="C9218">
        <v>14725</v>
      </c>
      <c r="D9218" t="str">
        <f>"56077       "</f>
        <v xml:space="preserve">56077       </v>
      </c>
      <c r="E9218" t="s">
        <v>999</v>
      </c>
      <c r="F9218" t="s">
        <v>1000</v>
      </c>
      <c r="G9218">
        <v>2105.79</v>
      </c>
      <c r="H9218">
        <v>251031</v>
      </c>
      <c r="I9218">
        <v>4571</v>
      </c>
      <c r="J9218" t="s">
        <v>223</v>
      </c>
      <c r="K9218">
        <v>2105.79</v>
      </c>
      <c r="L9218">
        <v>427.87</v>
      </c>
      <c r="M9218">
        <v>69501</v>
      </c>
      <c r="N9218" t="s">
        <v>123</v>
      </c>
      <c r="O9218">
        <v>251106</v>
      </c>
      <c r="P9218">
        <v>1677.92</v>
      </c>
    </row>
    <row r="9219" spans="1:16" x14ac:dyDescent="0.25">
      <c r="A9219" t="s">
        <v>3296</v>
      </c>
      <c r="B9219" t="s">
        <v>2931</v>
      </c>
      <c r="C9219">
        <v>14726</v>
      </c>
      <c r="D9219" t="str">
        <f>"56081       "</f>
        <v xml:space="preserve">56081       </v>
      </c>
      <c r="E9219" t="s">
        <v>999</v>
      </c>
      <c r="F9219" t="s">
        <v>1000</v>
      </c>
      <c r="G9219">
        <v>1514.02</v>
      </c>
      <c r="H9219">
        <v>251031</v>
      </c>
      <c r="I9219">
        <v>4571</v>
      </c>
      <c r="J9219" t="s">
        <v>223</v>
      </c>
      <c r="K9219">
        <v>1514.02</v>
      </c>
      <c r="L9219">
        <v>307.63</v>
      </c>
      <c r="M9219">
        <v>69501</v>
      </c>
      <c r="N9219" t="s">
        <v>123</v>
      </c>
      <c r="O9219">
        <v>251106</v>
      </c>
      <c r="P9219">
        <v>1206.3900000000001</v>
      </c>
    </row>
    <row r="9220" spans="1:16" x14ac:dyDescent="0.25">
      <c r="A9220" t="s">
        <v>3296</v>
      </c>
      <c r="B9220" t="s">
        <v>2931</v>
      </c>
      <c r="C9220">
        <v>14732</v>
      </c>
      <c r="D9220" t="str">
        <f>"56078       "</f>
        <v xml:space="preserve">56078       </v>
      </c>
      <c r="E9220" t="s">
        <v>999</v>
      </c>
      <c r="F9220" t="s">
        <v>1000</v>
      </c>
      <c r="G9220">
        <v>1054.7</v>
      </c>
      <c r="H9220">
        <v>251031</v>
      </c>
      <c r="I9220">
        <v>4571</v>
      </c>
      <c r="J9220" t="s">
        <v>223</v>
      </c>
      <c r="K9220">
        <v>1054.7</v>
      </c>
      <c r="L9220">
        <v>214.3</v>
      </c>
      <c r="M9220">
        <v>69501</v>
      </c>
      <c r="N9220" t="s">
        <v>123</v>
      </c>
      <c r="O9220">
        <v>251106</v>
      </c>
      <c r="P9220">
        <v>840.4</v>
      </c>
    </row>
    <row r="9221" spans="1:16" x14ac:dyDescent="0.25">
      <c r="A9221" t="s">
        <v>3296</v>
      </c>
      <c r="B9221" t="s">
        <v>2931</v>
      </c>
      <c r="C9221">
        <v>14735</v>
      </c>
      <c r="D9221" t="str">
        <f>"56075       "</f>
        <v xml:space="preserve">56075       </v>
      </c>
      <c r="E9221" t="s">
        <v>999</v>
      </c>
      <c r="F9221" t="s">
        <v>1000</v>
      </c>
      <c r="G9221">
        <v>9488.25</v>
      </c>
      <c r="H9221">
        <v>251031</v>
      </c>
      <c r="I9221">
        <v>4571</v>
      </c>
      <c r="J9221" t="s">
        <v>223</v>
      </c>
      <c r="K9221">
        <v>9488.25</v>
      </c>
      <c r="L9221">
        <v>1927.89</v>
      </c>
      <c r="M9221">
        <v>69501</v>
      </c>
      <c r="N9221" t="s">
        <v>123</v>
      </c>
      <c r="O9221">
        <v>251106</v>
      </c>
      <c r="P9221">
        <v>7560.36</v>
      </c>
    </row>
    <row r="9222" spans="1:16" x14ac:dyDescent="0.25">
      <c r="A9222" t="s">
        <v>3296</v>
      </c>
      <c r="B9222" t="s">
        <v>2931</v>
      </c>
      <c r="C9222">
        <v>14922</v>
      </c>
      <c r="D9222" t="str">
        <f>"56074       "</f>
        <v xml:space="preserve">56074       </v>
      </c>
      <c r="E9222" t="s">
        <v>999</v>
      </c>
      <c r="F9222" t="s">
        <v>1000</v>
      </c>
      <c r="G9222">
        <v>4635.07</v>
      </c>
      <c r="H9222">
        <v>251031</v>
      </c>
      <c r="I9222">
        <v>4571</v>
      </c>
      <c r="J9222" t="s">
        <v>223</v>
      </c>
      <c r="K9222">
        <v>15928.06</v>
      </c>
      <c r="L9222">
        <v>941.79</v>
      </c>
      <c r="M9222">
        <v>69111</v>
      </c>
      <c r="N9222" t="s">
        <v>657</v>
      </c>
      <c r="O9222">
        <v>251110</v>
      </c>
      <c r="P9222">
        <v>3693.28</v>
      </c>
    </row>
    <row r="9223" spans="1:16" x14ac:dyDescent="0.25">
      <c r="A9223" t="s">
        <v>3296</v>
      </c>
      <c r="B9223" t="s">
        <v>2931</v>
      </c>
      <c r="C9223">
        <v>14922</v>
      </c>
      <c r="D9223" t="str">
        <f>"56074       "</f>
        <v xml:space="preserve">56074       </v>
      </c>
      <c r="E9223" t="s">
        <v>999</v>
      </c>
      <c r="F9223" t="s">
        <v>1000</v>
      </c>
      <c r="G9223">
        <v>11149.64</v>
      </c>
      <c r="H9223">
        <v>251031</v>
      </c>
      <c r="I9223">
        <v>4571</v>
      </c>
      <c r="J9223" t="s">
        <v>223</v>
      </c>
      <c r="K9223">
        <v>15928.06</v>
      </c>
      <c r="L9223">
        <v>2265.46</v>
      </c>
      <c r="M9223">
        <v>69501</v>
      </c>
      <c r="N9223" t="s">
        <v>123</v>
      </c>
      <c r="O9223">
        <v>251110</v>
      </c>
      <c r="P9223">
        <v>8884.18</v>
      </c>
    </row>
    <row r="9224" spans="1:16" x14ac:dyDescent="0.25">
      <c r="A9224" t="s">
        <v>3296</v>
      </c>
      <c r="B9224" t="s">
        <v>2931</v>
      </c>
      <c r="C9224">
        <v>14922</v>
      </c>
      <c r="D9224" t="str">
        <f>"56074       "</f>
        <v xml:space="preserve">56074       </v>
      </c>
      <c r="E9224" t="s">
        <v>999</v>
      </c>
      <c r="F9224" t="s">
        <v>1000</v>
      </c>
      <c r="G9224">
        <v>143.35</v>
      </c>
      <c r="H9224">
        <v>251031</v>
      </c>
      <c r="I9224">
        <v>4571</v>
      </c>
      <c r="J9224" t="s">
        <v>223</v>
      </c>
      <c r="K9224">
        <v>15928.06</v>
      </c>
      <c r="L9224">
        <v>0</v>
      </c>
      <c r="M9224">
        <v>69803</v>
      </c>
      <c r="N9224" t="s">
        <v>391</v>
      </c>
      <c r="O9224">
        <v>251110</v>
      </c>
      <c r="P9224">
        <v>143.35</v>
      </c>
    </row>
    <row r="9225" spans="1:16" x14ac:dyDescent="0.25">
      <c r="A9225" t="s">
        <v>3296</v>
      </c>
      <c r="B9225" t="s">
        <v>2931</v>
      </c>
      <c r="C9225">
        <v>16489</v>
      </c>
      <c r="D9225" t="str">
        <f>"56343       "</f>
        <v xml:space="preserve">56343       </v>
      </c>
      <c r="E9225" t="s">
        <v>999</v>
      </c>
      <c r="F9225" t="s">
        <v>1000</v>
      </c>
      <c r="G9225">
        <v>2180.4499999999998</v>
      </c>
      <c r="H9225">
        <v>251130</v>
      </c>
      <c r="I9225">
        <v>4571</v>
      </c>
      <c r="J9225" t="s">
        <v>223</v>
      </c>
      <c r="K9225">
        <v>2180.4499999999998</v>
      </c>
      <c r="L9225">
        <v>443.04</v>
      </c>
      <c r="M9225">
        <v>69501</v>
      </c>
      <c r="N9225" t="s">
        <v>123</v>
      </c>
      <c r="O9225">
        <v>251209</v>
      </c>
      <c r="P9225">
        <v>1737.41</v>
      </c>
    </row>
    <row r="9226" spans="1:16" x14ac:dyDescent="0.25">
      <c r="A9226" t="s">
        <v>3296</v>
      </c>
      <c r="B9226" t="s">
        <v>2931</v>
      </c>
      <c r="C9226">
        <v>16492</v>
      </c>
      <c r="D9226" t="str">
        <f>"56344       "</f>
        <v xml:space="preserve">56344       </v>
      </c>
      <c r="E9226" t="s">
        <v>999</v>
      </c>
      <c r="F9226" t="s">
        <v>1000</v>
      </c>
      <c r="G9226">
        <v>1047.6400000000001</v>
      </c>
      <c r="H9226">
        <v>251130</v>
      </c>
      <c r="I9226">
        <v>4571</v>
      </c>
      <c r="J9226" t="s">
        <v>223</v>
      </c>
      <c r="K9226">
        <v>1047.6400000000001</v>
      </c>
      <c r="L9226">
        <v>212.87</v>
      </c>
      <c r="M9226">
        <v>69501</v>
      </c>
      <c r="N9226" t="s">
        <v>123</v>
      </c>
      <c r="O9226">
        <v>251209</v>
      </c>
      <c r="P9226">
        <v>834.77</v>
      </c>
    </row>
    <row r="9227" spans="1:16" x14ac:dyDescent="0.25">
      <c r="A9227" t="s">
        <v>3296</v>
      </c>
      <c r="B9227" t="s">
        <v>2931</v>
      </c>
      <c r="C9227">
        <v>16499</v>
      </c>
      <c r="D9227" t="str">
        <f>"56350       "</f>
        <v xml:space="preserve">56350       </v>
      </c>
      <c r="E9227" t="s">
        <v>999</v>
      </c>
      <c r="F9227" t="s">
        <v>1000</v>
      </c>
      <c r="G9227">
        <v>605.05999999999995</v>
      </c>
      <c r="H9227">
        <v>251130</v>
      </c>
      <c r="I9227">
        <v>4571</v>
      </c>
      <c r="J9227" t="s">
        <v>223</v>
      </c>
      <c r="K9227">
        <v>605.05999999999995</v>
      </c>
      <c r="L9227">
        <v>122.94</v>
      </c>
      <c r="M9227">
        <v>69501</v>
      </c>
      <c r="N9227" t="s">
        <v>123</v>
      </c>
      <c r="O9227">
        <v>251209</v>
      </c>
      <c r="P9227">
        <v>482.12</v>
      </c>
    </row>
    <row r="9228" spans="1:16" x14ac:dyDescent="0.25">
      <c r="A9228" t="s">
        <v>3296</v>
      </c>
      <c r="B9228" t="s">
        <v>2931</v>
      </c>
      <c r="C9228">
        <v>16502</v>
      </c>
      <c r="D9228" t="str">
        <f>"56347       "</f>
        <v xml:space="preserve">56347       </v>
      </c>
      <c r="E9228" t="s">
        <v>999</v>
      </c>
      <c r="F9228" t="s">
        <v>1000</v>
      </c>
      <c r="G9228">
        <v>1785.41</v>
      </c>
      <c r="H9228">
        <v>251130</v>
      </c>
      <c r="I9228">
        <v>4571</v>
      </c>
      <c r="J9228" t="s">
        <v>223</v>
      </c>
      <c r="K9228">
        <v>1785.41</v>
      </c>
      <c r="L9228">
        <v>362.77</v>
      </c>
      <c r="M9228">
        <v>69501</v>
      </c>
      <c r="N9228" t="s">
        <v>123</v>
      </c>
      <c r="O9228">
        <v>251209</v>
      </c>
      <c r="P9228">
        <v>1422.64</v>
      </c>
    </row>
    <row r="9229" spans="1:16" x14ac:dyDescent="0.25">
      <c r="A9229" t="s">
        <v>3296</v>
      </c>
      <c r="B9229" t="s">
        <v>2931</v>
      </c>
      <c r="C9229">
        <v>16503</v>
      </c>
      <c r="D9229" t="str">
        <f>"56340       "</f>
        <v xml:space="preserve">56340       </v>
      </c>
      <c r="E9229" t="s">
        <v>999</v>
      </c>
      <c r="F9229" t="s">
        <v>1000</v>
      </c>
      <c r="G9229">
        <v>4993.5</v>
      </c>
      <c r="H9229">
        <v>251130</v>
      </c>
      <c r="I9229">
        <v>4571</v>
      </c>
      <c r="J9229" t="s">
        <v>223</v>
      </c>
      <c r="K9229">
        <v>17338.55</v>
      </c>
      <c r="L9229">
        <v>1014.62</v>
      </c>
      <c r="M9229">
        <v>69111</v>
      </c>
      <c r="N9229" t="s">
        <v>657</v>
      </c>
      <c r="O9229">
        <v>251209</v>
      </c>
      <c r="P9229">
        <v>3978.88</v>
      </c>
    </row>
    <row r="9230" spans="1:16" x14ac:dyDescent="0.25">
      <c r="A9230" t="s">
        <v>3296</v>
      </c>
      <c r="B9230" t="s">
        <v>2931</v>
      </c>
      <c r="C9230">
        <v>16503</v>
      </c>
      <c r="D9230" t="str">
        <f>"56340       "</f>
        <v xml:space="preserve">56340       </v>
      </c>
      <c r="E9230" t="s">
        <v>999</v>
      </c>
      <c r="F9230" t="s">
        <v>1000</v>
      </c>
      <c r="G9230">
        <v>12136.99</v>
      </c>
      <c r="H9230">
        <v>251130</v>
      </c>
      <c r="I9230">
        <v>4571</v>
      </c>
      <c r="J9230" t="s">
        <v>223</v>
      </c>
      <c r="K9230">
        <v>17338.55</v>
      </c>
      <c r="L9230">
        <v>2466.08</v>
      </c>
      <c r="M9230">
        <v>69501</v>
      </c>
      <c r="N9230" t="s">
        <v>123</v>
      </c>
      <c r="O9230">
        <v>251209</v>
      </c>
      <c r="P9230">
        <v>9670.91</v>
      </c>
    </row>
    <row r="9231" spans="1:16" x14ac:dyDescent="0.25">
      <c r="A9231" t="s">
        <v>3296</v>
      </c>
      <c r="B9231" t="s">
        <v>2931</v>
      </c>
      <c r="C9231">
        <v>16503</v>
      </c>
      <c r="D9231" t="str">
        <f>"56340       "</f>
        <v xml:space="preserve">56340       </v>
      </c>
      <c r="E9231" t="s">
        <v>999</v>
      </c>
      <c r="F9231" t="s">
        <v>1000</v>
      </c>
      <c r="G9231">
        <v>104.03</v>
      </c>
      <c r="H9231">
        <v>251130</v>
      </c>
      <c r="I9231">
        <v>4571</v>
      </c>
      <c r="J9231" t="s">
        <v>223</v>
      </c>
      <c r="K9231">
        <v>17338.55</v>
      </c>
      <c r="L9231">
        <v>21.14</v>
      </c>
      <c r="M9231">
        <v>69801</v>
      </c>
      <c r="N9231" t="s">
        <v>1077</v>
      </c>
      <c r="O9231">
        <v>251209</v>
      </c>
      <c r="P9231">
        <v>82.89</v>
      </c>
    </row>
    <row r="9232" spans="1:16" x14ac:dyDescent="0.25">
      <c r="A9232" t="s">
        <v>3296</v>
      </c>
      <c r="B9232" t="s">
        <v>2931</v>
      </c>
      <c r="C9232">
        <v>16503</v>
      </c>
      <c r="D9232" t="str">
        <f>"56340       "</f>
        <v xml:space="preserve">56340       </v>
      </c>
      <c r="E9232" t="s">
        <v>999</v>
      </c>
      <c r="F9232" t="s">
        <v>1000</v>
      </c>
      <c r="G9232">
        <v>104.03</v>
      </c>
      <c r="H9232">
        <v>251130</v>
      </c>
      <c r="I9232">
        <v>4571</v>
      </c>
      <c r="J9232" t="s">
        <v>223</v>
      </c>
      <c r="K9232">
        <v>17338.55</v>
      </c>
      <c r="L9232">
        <v>0</v>
      </c>
      <c r="M9232">
        <v>69803</v>
      </c>
      <c r="N9232" t="s">
        <v>391</v>
      </c>
      <c r="O9232">
        <v>251209</v>
      </c>
      <c r="P9232">
        <v>104.03</v>
      </c>
    </row>
    <row r="9233" spans="1:16" x14ac:dyDescent="0.25">
      <c r="A9233" t="s">
        <v>3296</v>
      </c>
      <c r="B9233" t="s">
        <v>2931</v>
      </c>
      <c r="C9233">
        <v>16508</v>
      </c>
      <c r="D9233" t="str">
        <f>"56341       "</f>
        <v xml:space="preserve">56341       </v>
      </c>
      <c r="E9233" t="s">
        <v>999</v>
      </c>
      <c r="F9233" t="s">
        <v>1000</v>
      </c>
      <c r="G9233">
        <v>10404.629999999999</v>
      </c>
      <c r="H9233">
        <v>251130</v>
      </c>
      <c r="I9233">
        <v>4571</v>
      </c>
      <c r="J9233" t="s">
        <v>223</v>
      </c>
      <c r="K9233">
        <v>10404.629999999999</v>
      </c>
      <c r="L9233">
        <v>2114.09</v>
      </c>
      <c r="M9233">
        <v>69501</v>
      </c>
      <c r="N9233" t="s">
        <v>123</v>
      </c>
      <c r="O9233">
        <v>251209</v>
      </c>
      <c r="P9233">
        <v>8290.5400000000009</v>
      </c>
    </row>
    <row r="9234" spans="1:16" x14ac:dyDescent="0.25">
      <c r="A9234" t="s">
        <v>3296</v>
      </c>
      <c r="B9234" t="s">
        <v>2931</v>
      </c>
      <c r="C9234">
        <v>18069</v>
      </c>
      <c r="D9234" t="str">
        <f>"56614       "</f>
        <v xml:space="preserve">56614       </v>
      </c>
      <c r="E9234" t="s">
        <v>999</v>
      </c>
      <c r="F9234" t="s">
        <v>1000</v>
      </c>
      <c r="G9234">
        <v>770.08</v>
      </c>
      <c r="H9234">
        <v>251231</v>
      </c>
      <c r="I9234">
        <v>4571</v>
      </c>
      <c r="J9234" t="s">
        <v>223</v>
      </c>
      <c r="K9234">
        <v>770.08</v>
      </c>
      <c r="L9234">
        <v>156.47</v>
      </c>
      <c r="M9234">
        <v>69501</v>
      </c>
      <c r="N9234" t="s">
        <v>123</v>
      </c>
      <c r="O9234">
        <v>260108</v>
      </c>
      <c r="P9234">
        <v>613.61</v>
      </c>
    </row>
    <row r="9235" spans="1:16" x14ac:dyDescent="0.25">
      <c r="A9235" t="s">
        <v>3296</v>
      </c>
      <c r="B9235" t="s">
        <v>2931</v>
      </c>
      <c r="C9235">
        <v>18070</v>
      </c>
      <c r="D9235" t="str">
        <f>"56605       "</f>
        <v xml:space="preserve">56605       </v>
      </c>
      <c r="E9235" t="s">
        <v>999</v>
      </c>
      <c r="F9235" t="s">
        <v>1000</v>
      </c>
      <c r="G9235">
        <v>11837.93</v>
      </c>
      <c r="H9235">
        <v>251231</v>
      </c>
      <c r="I9235">
        <v>4571</v>
      </c>
      <c r="J9235" t="s">
        <v>223</v>
      </c>
      <c r="K9235">
        <v>11837.93</v>
      </c>
      <c r="L9235">
        <v>2405.3200000000002</v>
      </c>
      <c r="M9235">
        <v>69501</v>
      </c>
      <c r="N9235" t="s">
        <v>123</v>
      </c>
      <c r="O9235">
        <v>260108</v>
      </c>
      <c r="P9235">
        <v>9432.61</v>
      </c>
    </row>
    <row r="9236" spans="1:16" x14ac:dyDescent="0.25">
      <c r="A9236" t="s">
        <v>3296</v>
      </c>
      <c r="B9236" t="s">
        <v>2931</v>
      </c>
      <c r="C9236">
        <v>18075</v>
      </c>
      <c r="D9236" t="str">
        <f>"56608       "</f>
        <v xml:space="preserve">56608       </v>
      </c>
      <c r="E9236" t="s">
        <v>999</v>
      </c>
      <c r="F9236" t="s">
        <v>1000</v>
      </c>
      <c r="G9236">
        <v>1340.34</v>
      </c>
      <c r="H9236">
        <v>251231</v>
      </c>
      <c r="I9236">
        <v>4571</v>
      </c>
      <c r="J9236" t="s">
        <v>223</v>
      </c>
      <c r="K9236">
        <v>1340.34</v>
      </c>
      <c r="L9236">
        <v>272.33999999999997</v>
      </c>
      <c r="M9236">
        <v>69501</v>
      </c>
      <c r="N9236" t="s">
        <v>123</v>
      </c>
      <c r="O9236">
        <v>260108</v>
      </c>
      <c r="P9236">
        <v>1068</v>
      </c>
    </row>
    <row r="9237" spans="1:16" x14ac:dyDescent="0.25">
      <c r="A9237" t="s">
        <v>3296</v>
      </c>
      <c r="B9237" t="s">
        <v>2931</v>
      </c>
      <c r="C9237">
        <v>18082</v>
      </c>
      <c r="D9237" t="str">
        <f>"56604       "</f>
        <v xml:space="preserve">56604       </v>
      </c>
      <c r="E9237" t="s">
        <v>999</v>
      </c>
      <c r="F9237" t="s">
        <v>1000</v>
      </c>
      <c r="G9237">
        <v>8584.64</v>
      </c>
      <c r="H9237">
        <v>251231</v>
      </c>
      <c r="I9237">
        <v>4571</v>
      </c>
      <c r="J9237" t="s">
        <v>223</v>
      </c>
      <c r="K9237">
        <v>21899.61</v>
      </c>
      <c r="L9237">
        <v>1744.29</v>
      </c>
      <c r="M9237">
        <v>69111</v>
      </c>
      <c r="N9237" t="s">
        <v>657</v>
      </c>
      <c r="O9237">
        <v>260108</v>
      </c>
      <c r="P9237">
        <v>6840.35</v>
      </c>
    </row>
    <row r="9238" spans="1:16" x14ac:dyDescent="0.25">
      <c r="A9238" t="s">
        <v>3296</v>
      </c>
      <c r="B9238" t="s">
        <v>2931</v>
      </c>
      <c r="C9238">
        <v>18082</v>
      </c>
      <c r="D9238" t="str">
        <f>"56604       "</f>
        <v xml:space="preserve">56604       </v>
      </c>
      <c r="E9238" t="s">
        <v>999</v>
      </c>
      <c r="F9238" t="s">
        <v>1000</v>
      </c>
      <c r="G9238">
        <v>13139.77</v>
      </c>
      <c r="H9238">
        <v>251231</v>
      </c>
      <c r="I9238">
        <v>4571</v>
      </c>
      <c r="J9238" t="s">
        <v>223</v>
      </c>
      <c r="K9238">
        <v>21899.61</v>
      </c>
      <c r="L9238">
        <v>2669.83</v>
      </c>
      <c r="M9238">
        <v>69501</v>
      </c>
      <c r="N9238" t="s">
        <v>123</v>
      </c>
      <c r="O9238">
        <v>260108</v>
      </c>
      <c r="P9238">
        <v>10469.94</v>
      </c>
    </row>
    <row r="9239" spans="1:16" x14ac:dyDescent="0.25">
      <c r="A9239" t="s">
        <v>3296</v>
      </c>
      <c r="B9239" t="s">
        <v>2931</v>
      </c>
      <c r="C9239">
        <v>18082</v>
      </c>
      <c r="D9239" t="str">
        <f>"56604       "</f>
        <v xml:space="preserve">56604       </v>
      </c>
      <c r="E9239" t="s">
        <v>999</v>
      </c>
      <c r="F9239" t="s">
        <v>1000</v>
      </c>
      <c r="G9239">
        <v>87.6</v>
      </c>
      <c r="H9239">
        <v>251231</v>
      </c>
      <c r="I9239">
        <v>4571</v>
      </c>
      <c r="J9239" t="s">
        <v>223</v>
      </c>
      <c r="K9239">
        <v>21899.61</v>
      </c>
      <c r="L9239">
        <v>17.8</v>
      </c>
      <c r="M9239">
        <v>69801</v>
      </c>
      <c r="N9239" t="s">
        <v>1077</v>
      </c>
      <c r="O9239">
        <v>260108</v>
      </c>
      <c r="P9239">
        <v>69.8</v>
      </c>
    </row>
    <row r="9240" spans="1:16" x14ac:dyDescent="0.25">
      <c r="A9240" t="s">
        <v>3296</v>
      </c>
      <c r="B9240" t="s">
        <v>2931</v>
      </c>
      <c r="C9240">
        <v>18082</v>
      </c>
      <c r="D9240" t="str">
        <f>"56604       "</f>
        <v xml:space="preserve">56604       </v>
      </c>
      <c r="E9240" t="s">
        <v>999</v>
      </c>
      <c r="F9240" t="s">
        <v>1000</v>
      </c>
      <c r="G9240">
        <v>87.6</v>
      </c>
      <c r="H9240">
        <v>251231</v>
      </c>
      <c r="I9240">
        <v>4571</v>
      </c>
      <c r="J9240" t="s">
        <v>223</v>
      </c>
      <c r="K9240">
        <v>21899.61</v>
      </c>
      <c r="L9240">
        <v>0</v>
      </c>
      <c r="M9240">
        <v>69803</v>
      </c>
      <c r="N9240" t="s">
        <v>391</v>
      </c>
      <c r="O9240">
        <v>260108</v>
      </c>
      <c r="P9240">
        <v>87.6</v>
      </c>
    </row>
    <row r="9241" spans="1:16" x14ac:dyDescent="0.25">
      <c r="A9241" t="s">
        <v>3296</v>
      </c>
      <c r="B9241" t="s">
        <v>2931</v>
      </c>
      <c r="C9241">
        <v>18083</v>
      </c>
      <c r="D9241" t="str">
        <f>"56611       "</f>
        <v xml:space="preserve">56611       </v>
      </c>
      <c r="E9241" t="s">
        <v>999</v>
      </c>
      <c r="F9241" t="s">
        <v>1000</v>
      </c>
      <c r="G9241">
        <v>2390.8200000000002</v>
      </c>
      <c r="H9241">
        <v>251231</v>
      </c>
      <c r="I9241">
        <v>4571</v>
      </c>
      <c r="J9241" t="s">
        <v>223</v>
      </c>
      <c r="K9241">
        <v>2390.8200000000002</v>
      </c>
      <c r="L9241">
        <v>485.78</v>
      </c>
      <c r="M9241">
        <v>69501</v>
      </c>
      <c r="N9241" t="s">
        <v>123</v>
      </c>
      <c r="O9241">
        <v>260108</v>
      </c>
      <c r="P9241">
        <v>1905.04</v>
      </c>
    </row>
    <row r="9242" spans="1:16" x14ac:dyDescent="0.25">
      <c r="A9242" t="s">
        <v>3296</v>
      </c>
      <c r="B9242" t="s">
        <v>2931</v>
      </c>
      <c r="C9242">
        <v>18093</v>
      </c>
      <c r="D9242" t="str">
        <f>"56607       "</f>
        <v xml:space="preserve">56607       </v>
      </c>
      <c r="E9242" t="s">
        <v>999</v>
      </c>
      <c r="F9242" t="s">
        <v>1000</v>
      </c>
      <c r="G9242">
        <v>2799.44</v>
      </c>
      <c r="H9242">
        <v>251231</v>
      </c>
      <c r="I9242">
        <v>4571</v>
      </c>
      <c r="J9242" t="s">
        <v>223</v>
      </c>
      <c r="K9242">
        <v>2799.44</v>
      </c>
      <c r="L9242">
        <v>568.80999999999995</v>
      </c>
      <c r="M9242">
        <v>69501</v>
      </c>
      <c r="N9242" t="s">
        <v>123</v>
      </c>
      <c r="O9242">
        <v>260109</v>
      </c>
      <c r="P9242">
        <v>2230.63</v>
      </c>
    </row>
    <row r="9243" spans="1:16" x14ac:dyDescent="0.25">
      <c r="A9243" t="s">
        <v>3296</v>
      </c>
      <c r="B9243" t="s">
        <v>2931</v>
      </c>
      <c r="C9243">
        <v>1652</v>
      </c>
      <c r="D9243" t="str">
        <f>"51240119    "</f>
        <v xml:space="preserve">51240119    </v>
      </c>
      <c r="E9243" t="s">
        <v>1075</v>
      </c>
      <c r="F9243" t="s">
        <v>1076</v>
      </c>
      <c r="G9243">
        <v>2148.75</v>
      </c>
      <c r="H9243">
        <v>250131</v>
      </c>
      <c r="I9243">
        <v>4572</v>
      </c>
      <c r="J9243" t="s">
        <v>173</v>
      </c>
      <c r="K9243">
        <v>5807.44</v>
      </c>
      <c r="L9243">
        <v>436.6</v>
      </c>
      <c r="M9243">
        <v>69111</v>
      </c>
      <c r="N9243" t="s">
        <v>657</v>
      </c>
      <c r="O9243">
        <v>250212</v>
      </c>
      <c r="P9243">
        <v>1712.15</v>
      </c>
    </row>
    <row r="9244" spans="1:16" x14ac:dyDescent="0.25">
      <c r="A9244" t="s">
        <v>3296</v>
      </c>
      <c r="B9244" t="s">
        <v>2931</v>
      </c>
      <c r="C9244">
        <v>1652</v>
      </c>
      <c r="D9244" t="str">
        <f>"51240119    "</f>
        <v xml:space="preserve">51240119    </v>
      </c>
      <c r="E9244" t="s">
        <v>1075</v>
      </c>
      <c r="F9244" t="s">
        <v>1076</v>
      </c>
      <c r="G9244">
        <v>3484.47</v>
      </c>
      <c r="H9244">
        <v>250131</v>
      </c>
      <c r="I9244">
        <v>4572</v>
      </c>
      <c r="J9244" t="s">
        <v>173</v>
      </c>
      <c r="K9244">
        <v>5807.44</v>
      </c>
      <c r="L9244">
        <v>708</v>
      </c>
      <c r="M9244">
        <v>69501</v>
      </c>
      <c r="N9244" t="s">
        <v>123</v>
      </c>
      <c r="O9244">
        <v>250212</v>
      </c>
      <c r="P9244">
        <v>2776.47</v>
      </c>
    </row>
    <row r="9245" spans="1:16" x14ac:dyDescent="0.25">
      <c r="A9245" t="s">
        <v>3296</v>
      </c>
      <c r="B9245" t="s">
        <v>2931</v>
      </c>
      <c r="C9245">
        <v>1652</v>
      </c>
      <c r="D9245" t="str">
        <f>"51240119    "</f>
        <v xml:space="preserve">51240119    </v>
      </c>
      <c r="E9245" t="s">
        <v>1075</v>
      </c>
      <c r="F9245" t="s">
        <v>1076</v>
      </c>
      <c r="G9245">
        <v>116.15</v>
      </c>
      <c r="H9245">
        <v>250131</v>
      </c>
      <c r="I9245">
        <v>4572</v>
      </c>
      <c r="J9245" t="s">
        <v>173</v>
      </c>
      <c r="K9245">
        <v>5807.44</v>
      </c>
      <c r="L9245">
        <v>23.6</v>
      </c>
      <c r="M9245">
        <v>69801</v>
      </c>
      <c r="N9245" t="s">
        <v>1077</v>
      </c>
      <c r="O9245">
        <v>250212</v>
      </c>
      <c r="P9245">
        <v>92.55</v>
      </c>
    </row>
    <row r="9246" spans="1:16" x14ac:dyDescent="0.25">
      <c r="A9246" t="s">
        <v>3296</v>
      </c>
      <c r="B9246" t="s">
        <v>2931</v>
      </c>
      <c r="C9246">
        <v>1652</v>
      </c>
      <c r="D9246" t="str">
        <f>"51240119    "</f>
        <v xml:space="preserve">51240119    </v>
      </c>
      <c r="E9246" t="s">
        <v>1075</v>
      </c>
      <c r="F9246" t="s">
        <v>1076</v>
      </c>
      <c r="G9246">
        <v>58.07</v>
      </c>
      <c r="H9246">
        <v>250131</v>
      </c>
      <c r="I9246">
        <v>4572</v>
      </c>
      <c r="J9246" t="s">
        <v>173</v>
      </c>
      <c r="K9246">
        <v>5807.44</v>
      </c>
      <c r="L9246">
        <v>0</v>
      </c>
      <c r="M9246">
        <v>69803</v>
      </c>
      <c r="N9246" t="s">
        <v>391</v>
      </c>
      <c r="O9246">
        <v>250212</v>
      </c>
      <c r="P9246">
        <v>58.07</v>
      </c>
    </row>
    <row r="9247" spans="1:16" x14ac:dyDescent="0.25">
      <c r="A9247" t="s">
        <v>3296</v>
      </c>
      <c r="B9247" t="s">
        <v>2931</v>
      </c>
      <c r="C9247">
        <v>3036</v>
      </c>
      <c r="D9247" t="str">
        <f>"51244916    "</f>
        <v xml:space="preserve">51244916    </v>
      </c>
      <c r="E9247" t="s">
        <v>1075</v>
      </c>
      <c r="F9247" t="s">
        <v>1076</v>
      </c>
      <c r="G9247">
        <v>1332.13</v>
      </c>
      <c r="H9247">
        <v>250228</v>
      </c>
      <c r="I9247">
        <v>4572</v>
      </c>
      <c r="J9247" t="s">
        <v>173</v>
      </c>
      <c r="K9247">
        <v>5437.28</v>
      </c>
      <c r="L9247">
        <v>270.67</v>
      </c>
      <c r="M9247">
        <v>69111</v>
      </c>
      <c r="N9247" t="s">
        <v>657</v>
      </c>
      <c r="O9247">
        <v>250314</v>
      </c>
      <c r="P9247">
        <v>1061.46</v>
      </c>
    </row>
    <row r="9248" spans="1:16" x14ac:dyDescent="0.25">
      <c r="A9248" t="s">
        <v>3296</v>
      </c>
      <c r="B9248" t="s">
        <v>2931</v>
      </c>
      <c r="C9248">
        <v>3036</v>
      </c>
      <c r="D9248" t="str">
        <f>"51244916    "</f>
        <v xml:space="preserve">51244916    </v>
      </c>
      <c r="E9248" t="s">
        <v>1075</v>
      </c>
      <c r="F9248" t="s">
        <v>1076</v>
      </c>
      <c r="G9248">
        <v>4077.96</v>
      </c>
      <c r="H9248">
        <v>250228</v>
      </c>
      <c r="I9248">
        <v>4572</v>
      </c>
      <c r="J9248" t="s">
        <v>173</v>
      </c>
      <c r="K9248">
        <v>5437.28</v>
      </c>
      <c r="L9248">
        <v>828.59</v>
      </c>
      <c r="M9248">
        <v>69501</v>
      </c>
      <c r="N9248" t="s">
        <v>123</v>
      </c>
      <c r="O9248">
        <v>250314</v>
      </c>
      <c r="P9248">
        <v>3249.37</v>
      </c>
    </row>
    <row r="9249" spans="1:16" x14ac:dyDescent="0.25">
      <c r="A9249" t="s">
        <v>3296</v>
      </c>
      <c r="B9249" t="s">
        <v>2931</v>
      </c>
      <c r="C9249">
        <v>3036</v>
      </c>
      <c r="D9249" t="str">
        <f>"51244916    "</f>
        <v xml:space="preserve">51244916    </v>
      </c>
      <c r="E9249" t="s">
        <v>1075</v>
      </c>
      <c r="F9249" t="s">
        <v>1076</v>
      </c>
      <c r="G9249">
        <v>13.59</v>
      </c>
      <c r="H9249">
        <v>250228</v>
      </c>
      <c r="I9249">
        <v>4572</v>
      </c>
      <c r="J9249" t="s">
        <v>173</v>
      </c>
      <c r="K9249">
        <v>5437.28</v>
      </c>
      <c r="L9249">
        <v>2.76</v>
      </c>
      <c r="M9249">
        <v>69801</v>
      </c>
      <c r="N9249" t="s">
        <v>1077</v>
      </c>
      <c r="O9249">
        <v>250314</v>
      </c>
      <c r="P9249">
        <v>10.83</v>
      </c>
    </row>
    <row r="9250" spans="1:16" x14ac:dyDescent="0.25">
      <c r="A9250" t="s">
        <v>3296</v>
      </c>
      <c r="B9250" t="s">
        <v>2931</v>
      </c>
      <c r="C9250">
        <v>3036</v>
      </c>
      <c r="D9250" t="str">
        <f>"51244916    "</f>
        <v xml:space="preserve">51244916    </v>
      </c>
      <c r="E9250" t="s">
        <v>1075</v>
      </c>
      <c r="F9250" t="s">
        <v>1076</v>
      </c>
      <c r="G9250">
        <v>13.6</v>
      </c>
      <c r="H9250">
        <v>250228</v>
      </c>
      <c r="I9250">
        <v>4572</v>
      </c>
      <c r="J9250" t="s">
        <v>173</v>
      </c>
      <c r="K9250">
        <v>5437.28</v>
      </c>
      <c r="L9250">
        <v>0</v>
      </c>
      <c r="M9250">
        <v>69803</v>
      </c>
      <c r="N9250" t="s">
        <v>391</v>
      </c>
      <c r="O9250">
        <v>250314</v>
      </c>
      <c r="P9250">
        <v>13.6</v>
      </c>
    </row>
    <row r="9251" spans="1:16" x14ac:dyDescent="0.25">
      <c r="A9251" t="s">
        <v>3296</v>
      </c>
      <c r="B9251" t="s">
        <v>2931</v>
      </c>
      <c r="C9251">
        <v>4228</v>
      </c>
      <c r="D9251" t="str">
        <f>"51250736    "</f>
        <v xml:space="preserve">51250736    </v>
      </c>
      <c r="E9251" t="s">
        <v>1075</v>
      </c>
      <c r="F9251" t="s">
        <v>1076</v>
      </c>
      <c r="G9251">
        <v>2470.46</v>
      </c>
      <c r="H9251">
        <v>250331</v>
      </c>
      <c r="I9251">
        <v>4572</v>
      </c>
      <c r="J9251" t="s">
        <v>173</v>
      </c>
      <c r="K9251">
        <v>6433.49</v>
      </c>
      <c r="L9251">
        <v>501.97</v>
      </c>
      <c r="M9251">
        <v>69111</v>
      </c>
      <c r="N9251" t="s">
        <v>657</v>
      </c>
      <c r="O9251">
        <v>250409</v>
      </c>
      <c r="P9251">
        <v>1968.49</v>
      </c>
    </row>
    <row r="9252" spans="1:16" x14ac:dyDescent="0.25">
      <c r="A9252" t="s">
        <v>3296</v>
      </c>
      <c r="B9252" t="s">
        <v>2931</v>
      </c>
      <c r="C9252">
        <v>4228</v>
      </c>
      <c r="D9252" t="str">
        <f>"51250736    "</f>
        <v xml:space="preserve">51250736    </v>
      </c>
      <c r="E9252" t="s">
        <v>1075</v>
      </c>
      <c r="F9252" t="s">
        <v>1076</v>
      </c>
      <c r="G9252">
        <v>3860.09</v>
      </c>
      <c r="H9252">
        <v>250331</v>
      </c>
      <c r="I9252">
        <v>4572</v>
      </c>
      <c r="J9252" t="s">
        <v>173</v>
      </c>
      <c r="K9252">
        <v>6433.49</v>
      </c>
      <c r="L9252">
        <v>784.32</v>
      </c>
      <c r="M9252">
        <v>69501</v>
      </c>
      <c r="N9252" t="s">
        <v>123</v>
      </c>
      <c r="O9252">
        <v>250409</v>
      </c>
      <c r="P9252">
        <v>3075.77</v>
      </c>
    </row>
    <row r="9253" spans="1:16" x14ac:dyDescent="0.25">
      <c r="A9253" t="s">
        <v>3296</v>
      </c>
      <c r="B9253" t="s">
        <v>2931</v>
      </c>
      <c r="C9253">
        <v>4228</v>
      </c>
      <c r="D9253" t="str">
        <f>"51250736    "</f>
        <v xml:space="preserve">51250736    </v>
      </c>
      <c r="E9253" t="s">
        <v>1075</v>
      </c>
      <c r="F9253" t="s">
        <v>1076</v>
      </c>
      <c r="G9253">
        <v>51.47</v>
      </c>
      <c r="H9253">
        <v>250331</v>
      </c>
      <c r="I9253">
        <v>4572</v>
      </c>
      <c r="J9253" t="s">
        <v>173</v>
      </c>
      <c r="K9253">
        <v>6433.49</v>
      </c>
      <c r="L9253">
        <v>10.46</v>
      </c>
      <c r="M9253">
        <v>69801</v>
      </c>
      <c r="N9253" t="s">
        <v>1077</v>
      </c>
      <c r="O9253">
        <v>250409</v>
      </c>
      <c r="P9253">
        <v>41.01</v>
      </c>
    </row>
    <row r="9254" spans="1:16" x14ac:dyDescent="0.25">
      <c r="A9254" t="s">
        <v>3296</v>
      </c>
      <c r="B9254" t="s">
        <v>2931</v>
      </c>
      <c r="C9254">
        <v>4228</v>
      </c>
      <c r="D9254" t="str">
        <f>"51250736    "</f>
        <v xml:space="preserve">51250736    </v>
      </c>
      <c r="E9254" t="s">
        <v>1075</v>
      </c>
      <c r="F9254" t="s">
        <v>1076</v>
      </c>
      <c r="G9254">
        <v>51.47</v>
      </c>
      <c r="H9254">
        <v>250331</v>
      </c>
      <c r="I9254">
        <v>4572</v>
      </c>
      <c r="J9254" t="s">
        <v>173</v>
      </c>
      <c r="K9254">
        <v>6433.49</v>
      </c>
      <c r="L9254">
        <v>0</v>
      </c>
      <c r="M9254">
        <v>69803</v>
      </c>
      <c r="N9254" t="s">
        <v>391</v>
      </c>
      <c r="O9254">
        <v>250409</v>
      </c>
      <c r="P9254">
        <v>51.47</v>
      </c>
    </row>
    <row r="9255" spans="1:16" x14ac:dyDescent="0.25">
      <c r="A9255" t="s">
        <v>3296</v>
      </c>
      <c r="B9255" t="s">
        <v>2931</v>
      </c>
      <c r="C9255">
        <v>6299</v>
      </c>
      <c r="D9255" t="str">
        <f>"51255703    "</f>
        <v xml:space="preserve">51255703    </v>
      </c>
      <c r="E9255" t="s">
        <v>1075</v>
      </c>
      <c r="F9255" t="s">
        <v>1076</v>
      </c>
      <c r="G9255">
        <v>1317.36</v>
      </c>
      <c r="H9255">
        <v>250430</v>
      </c>
      <c r="I9255">
        <v>4572</v>
      </c>
      <c r="J9255" t="s">
        <v>173</v>
      </c>
      <c r="K9255">
        <v>4800.8900000000003</v>
      </c>
      <c r="L9255">
        <v>267.67</v>
      </c>
      <c r="M9255">
        <v>69111</v>
      </c>
      <c r="N9255" t="s">
        <v>657</v>
      </c>
      <c r="O9255">
        <v>250512</v>
      </c>
      <c r="P9255">
        <v>1049.69</v>
      </c>
    </row>
    <row r="9256" spans="1:16" x14ac:dyDescent="0.25">
      <c r="A9256" t="s">
        <v>3296</v>
      </c>
      <c r="B9256" t="s">
        <v>2931</v>
      </c>
      <c r="C9256">
        <v>6299</v>
      </c>
      <c r="D9256" t="str">
        <f>"51255703    "</f>
        <v xml:space="preserve">51255703    </v>
      </c>
      <c r="E9256" t="s">
        <v>1075</v>
      </c>
      <c r="F9256" t="s">
        <v>1076</v>
      </c>
      <c r="G9256">
        <v>3387.51</v>
      </c>
      <c r="H9256">
        <v>250430</v>
      </c>
      <c r="I9256">
        <v>4572</v>
      </c>
      <c r="J9256" t="s">
        <v>173</v>
      </c>
      <c r="K9256">
        <v>4800.8900000000003</v>
      </c>
      <c r="L9256">
        <v>688.3</v>
      </c>
      <c r="M9256">
        <v>69501</v>
      </c>
      <c r="N9256" t="s">
        <v>123</v>
      </c>
      <c r="O9256">
        <v>250512</v>
      </c>
      <c r="P9256">
        <v>2699.21</v>
      </c>
    </row>
    <row r="9257" spans="1:16" x14ac:dyDescent="0.25">
      <c r="A9257" t="s">
        <v>3296</v>
      </c>
      <c r="B9257" t="s">
        <v>2931</v>
      </c>
      <c r="C9257">
        <v>6299</v>
      </c>
      <c r="D9257" t="str">
        <f>"51255703    "</f>
        <v xml:space="preserve">51255703    </v>
      </c>
      <c r="E9257" t="s">
        <v>1075</v>
      </c>
      <c r="F9257" t="s">
        <v>1076</v>
      </c>
      <c r="G9257">
        <v>48.01</v>
      </c>
      <c r="H9257">
        <v>250430</v>
      </c>
      <c r="I9257">
        <v>4572</v>
      </c>
      <c r="J9257" t="s">
        <v>173</v>
      </c>
      <c r="K9257">
        <v>4800.8900000000003</v>
      </c>
      <c r="L9257">
        <v>9.76</v>
      </c>
      <c r="M9257">
        <v>69801</v>
      </c>
      <c r="N9257" t="s">
        <v>1077</v>
      </c>
      <c r="O9257">
        <v>250512</v>
      </c>
      <c r="P9257">
        <v>38.25</v>
      </c>
    </row>
    <row r="9258" spans="1:16" x14ac:dyDescent="0.25">
      <c r="A9258" t="s">
        <v>3296</v>
      </c>
      <c r="B9258" t="s">
        <v>2931</v>
      </c>
      <c r="C9258">
        <v>6299</v>
      </c>
      <c r="D9258" t="str">
        <f>"51255703    "</f>
        <v xml:space="preserve">51255703    </v>
      </c>
      <c r="E9258" t="s">
        <v>1075</v>
      </c>
      <c r="F9258" t="s">
        <v>1076</v>
      </c>
      <c r="G9258">
        <v>48.01</v>
      </c>
      <c r="H9258">
        <v>250430</v>
      </c>
      <c r="I9258">
        <v>4572</v>
      </c>
      <c r="J9258" t="s">
        <v>173</v>
      </c>
      <c r="K9258">
        <v>4800.8900000000003</v>
      </c>
      <c r="L9258">
        <v>0</v>
      </c>
      <c r="M9258">
        <v>69803</v>
      </c>
      <c r="N9258" t="s">
        <v>391</v>
      </c>
      <c r="O9258">
        <v>250512</v>
      </c>
      <c r="P9258">
        <v>48.01</v>
      </c>
    </row>
    <row r="9259" spans="1:16" x14ac:dyDescent="0.25">
      <c r="A9259" t="s">
        <v>3296</v>
      </c>
      <c r="B9259" t="s">
        <v>2931</v>
      </c>
      <c r="C9259">
        <v>8113</v>
      </c>
      <c r="D9259" t="str">
        <f>"51261403    "</f>
        <v xml:space="preserve">51261403    </v>
      </c>
      <c r="E9259" t="s">
        <v>1075</v>
      </c>
      <c r="F9259" t="s">
        <v>1076</v>
      </c>
      <c r="G9259">
        <v>1585.46</v>
      </c>
      <c r="H9259">
        <v>250530</v>
      </c>
      <c r="I9259">
        <v>4572</v>
      </c>
      <c r="J9259" t="s">
        <v>173</v>
      </c>
      <c r="K9259">
        <v>4128.8100000000004</v>
      </c>
      <c r="L9259">
        <v>322.14999999999998</v>
      </c>
      <c r="M9259">
        <v>69111</v>
      </c>
      <c r="N9259" t="s">
        <v>657</v>
      </c>
      <c r="O9259">
        <v>250611</v>
      </c>
      <c r="P9259">
        <v>1263.31</v>
      </c>
    </row>
    <row r="9260" spans="1:16" x14ac:dyDescent="0.25">
      <c r="A9260" t="s">
        <v>3296</v>
      </c>
      <c r="B9260" t="s">
        <v>2931</v>
      </c>
      <c r="C9260">
        <v>8113</v>
      </c>
      <c r="D9260" t="str">
        <f>"51261403    "</f>
        <v xml:space="preserve">51261403    </v>
      </c>
      <c r="E9260" t="s">
        <v>1075</v>
      </c>
      <c r="F9260" t="s">
        <v>1076</v>
      </c>
      <c r="G9260">
        <v>2477.29</v>
      </c>
      <c r="H9260">
        <v>250530</v>
      </c>
      <c r="I9260">
        <v>4572</v>
      </c>
      <c r="J9260" t="s">
        <v>173</v>
      </c>
      <c r="K9260">
        <v>4128.8100000000004</v>
      </c>
      <c r="L9260">
        <v>503.35</v>
      </c>
      <c r="M9260">
        <v>69501</v>
      </c>
      <c r="N9260" t="s">
        <v>123</v>
      </c>
      <c r="O9260">
        <v>250611</v>
      </c>
      <c r="P9260">
        <v>1973.94</v>
      </c>
    </row>
    <row r="9261" spans="1:16" x14ac:dyDescent="0.25">
      <c r="A9261" t="s">
        <v>3296</v>
      </c>
      <c r="B9261" t="s">
        <v>2931</v>
      </c>
      <c r="C9261">
        <v>8113</v>
      </c>
      <c r="D9261" t="str">
        <f>"51261403    "</f>
        <v xml:space="preserve">51261403    </v>
      </c>
      <c r="E9261" t="s">
        <v>1075</v>
      </c>
      <c r="F9261" t="s">
        <v>1076</v>
      </c>
      <c r="G9261">
        <v>33.03</v>
      </c>
      <c r="H9261">
        <v>250530</v>
      </c>
      <c r="I9261">
        <v>4572</v>
      </c>
      <c r="J9261" t="s">
        <v>173</v>
      </c>
      <c r="K9261">
        <v>4128.8100000000004</v>
      </c>
      <c r="L9261">
        <v>6.71</v>
      </c>
      <c r="M9261">
        <v>69801</v>
      </c>
      <c r="N9261" t="s">
        <v>1077</v>
      </c>
      <c r="O9261">
        <v>250611</v>
      </c>
      <c r="P9261">
        <v>26.32</v>
      </c>
    </row>
    <row r="9262" spans="1:16" x14ac:dyDescent="0.25">
      <c r="A9262" t="s">
        <v>3296</v>
      </c>
      <c r="B9262" t="s">
        <v>2931</v>
      </c>
      <c r="C9262">
        <v>8113</v>
      </c>
      <c r="D9262" t="str">
        <f>"51261403    "</f>
        <v xml:space="preserve">51261403    </v>
      </c>
      <c r="E9262" t="s">
        <v>1075</v>
      </c>
      <c r="F9262" t="s">
        <v>1076</v>
      </c>
      <c r="G9262">
        <v>33.03</v>
      </c>
      <c r="H9262">
        <v>250530</v>
      </c>
      <c r="I9262">
        <v>4572</v>
      </c>
      <c r="J9262" t="s">
        <v>173</v>
      </c>
      <c r="K9262">
        <v>4128.8100000000004</v>
      </c>
      <c r="L9262">
        <v>0</v>
      </c>
      <c r="M9262">
        <v>69803</v>
      </c>
      <c r="N9262" t="s">
        <v>391</v>
      </c>
      <c r="O9262">
        <v>250611</v>
      </c>
      <c r="P9262">
        <v>33.03</v>
      </c>
    </row>
    <row r="9263" spans="1:16" x14ac:dyDescent="0.25">
      <c r="A9263" t="s">
        <v>3296</v>
      </c>
      <c r="B9263" t="s">
        <v>2931</v>
      </c>
      <c r="C9263">
        <v>9317</v>
      </c>
      <c r="D9263" t="str">
        <f>"51266213    "</f>
        <v xml:space="preserve">51266213    </v>
      </c>
      <c r="E9263" t="s">
        <v>1075</v>
      </c>
      <c r="F9263" t="s">
        <v>1076</v>
      </c>
      <c r="G9263">
        <v>1406.64</v>
      </c>
      <c r="H9263">
        <v>250630</v>
      </c>
      <c r="I9263">
        <v>4572</v>
      </c>
      <c r="J9263" t="s">
        <v>173</v>
      </c>
      <c r="K9263">
        <v>3777.24</v>
      </c>
      <c r="L9263">
        <v>285.81</v>
      </c>
      <c r="M9263">
        <v>69111</v>
      </c>
      <c r="N9263" t="s">
        <v>657</v>
      </c>
      <c r="O9263">
        <v>250703</v>
      </c>
      <c r="P9263">
        <v>1120.83</v>
      </c>
    </row>
    <row r="9264" spans="1:16" x14ac:dyDescent="0.25">
      <c r="A9264" t="s">
        <v>3296</v>
      </c>
      <c r="B9264" t="s">
        <v>2931</v>
      </c>
      <c r="C9264">
        <v>9317</v>
      </c>
      <c r="D9264" t="str">
        <f>"51266213    "</f>
        <v xml:space="preserve">51266213    </v>
      </c>
      <c r="E9264" t="s">
        <v>1075</v>
      </c>
      <c r="F9264" t="s">
        <v>1076</v>
      </c>
      <c r="G9264">
        <v>2341.89</v>
      </c>
      <c r="H9264">
        <v>250630</v>
      </c>
      <c r="I9264">
        <v>4572</v>
      </c>
      <c r="J9264" t="s">
        <v>173</v>
      </c>
      <c r="K9264">
        <v>3777.24</v>
      </c>
      <c r="L9264">
        <v>475.84</v>
      </c>
      <c r="M9264">
        <v>69501</v>
      </c>
      <c r="N9264" t="s">
        <v>123</v>
      </c>
      <c r="O9264">
        <v>250703</v>
      </c>
      <c r="P9264">
        <v>1866.05</v>
      </c>
    </row>
    <row r="9265" spans="1:16" x14ac:dyDescent="0.25">
      <c r="A9265" t="s">
        <v>3296</v>
      </c>
      <c r="B9265" t="s">
        <v>2931</v>
      </c>
      <c r="C9265">
        <v>9317</v>
      </c>
      <c r="D9265" t="str">
        <f>"51266213    "</f>
        <v xml:space="preserve">51266213    </v>
      </c>
      <c r="E9265" t="s">
        <v>1075</v>
      </c>
      <c r="F9265" t="s">
        <v>1076</v>
      </c>
      <c r="G9265">
        <v>14.35</v>
      </c>
      <c r="H9265">
        <v>250630</v>
      </c>
      <c r="I9265">
        <v>4572</v>
      </c>
      <c r="J9265" t="s">
        <v>173</v>
      </c>
      <c r="K9265">
        <v>3777.24</v>
      </c>
      <c r="L9265">
        <v>2.92</v>
      </c>
      <c r="M9265">
        <v>69801</v>
      </c>
      <c r="N9265" t="s">
        <v>1077</v>
      </c>
      <c r="O9265">
        <v>250703</v>
      </c>
      <c r="P9265">
        <v>11.43</v>
      </c>
    </row>
    <row r="9266" spans="1:16" x14ac:dyDescent="0.25">
      <c r="A9266" t="s">
        <v>3296</v>
      </c>
      <c r="B9266" t="s">
        <v>2931</v>
      </c>
      <c r="C9266">
        <v>9317</v>
      </c>
      <c r="D9266" t="str">
        <f>"51266213    "</f>
        <v xml:space="preserve">51266213    </v>
      </c>
      <c r="E9266" t="s">
        <v>1075</v>
      </c>
      <c r="F9266" t="s">
        <v>1076</v>
      </c>
      <c r="G9266">
        <v>14.36</v>
      </c>
      <c r="H9266">
        <v>250630</v>
      </c>
      <c r="I9266">
        <v>4572</v>
      </c>
      <c r="J9266" t="s">
        <v>173</v>
      </c>
      <c r="K9266">
        <v>3777.24</v>
      </c>
      <c r="L9266">
        <v>0</v>
      </c>
      <c r="M9266">
        <v>69803</v>
      </c>
      <c r="N9266" t="s">
        <v>391</v>
      </c>
      <c r="O9266">
        <v>250703</v>
      </c>
      <c r="P9266">
        <v>14.36</v>
      </c>
    </row>
    <row r="9267" spans="1:16" x14ac:dyDescent="0.25">
      <c r="A9267" t="s">
        <v>3296</v>
      </c>
      <c r="B9267" t="s">
        <v>2931</v>
      </c>
      <c r="C9267">
        <v>10067</v>
      </c>
      <c r="D9267" t="str">
        <f>"51272093    "</f>
        <v xml:space="preserve">51272093    </v>
      </c>
      <c r="E9267" t="s">
        <v>1075</v>
      </c>
      <c r="F9267" t="s">
        <v>1076</v>
      </c>
      <c r="G9267">
        <v>1399.4</v>
      </c>
      <c r="H9267">
        <v>250731</v>
      </c>
      <c r="I9267">
        <v>4572</v>
      </c>
      <c r="J9267" t="s">
        <v>173</v>
      </c>
      <c r="K9267">
        <v>3887.22</v>
      </c>
      <c r="L9267">
        <v>284.33999999999997</v>
      </c>
      <c r="M9267">
        <v>69111</v>
      </c>
      <c r="N9267" t="s">
        <v>657</v>
      </c>
      <c r="O9267">
        <v>250811</v>
      </c>
      <c r="P9267">
        <v>1115.06</v>
      </c>
    </row>
    <row r="9268" spans="1:16" x14ac:dyDescent="0.25">
      <c r="A9268" t="s">
        <v>3296</v>
      </c>
      <c r="B9268" t="s">
        <v>2931</v>
      </c>
      <c r="C9268">
        <v>10067</v>
      </c>
      <c r="D9268" t="str">
        <f>"51272093    "</f>
        <v xml:space="preserve">51272093    </v>
      </c>
      <c r="E9268" t="s">
        <v>1075</v>
      </c>
      <c r="F9268" t="s">
        <v>1076</v>
      </c>
      <c r="G9268">
        <v>2332.33</v>
      </c>
      <c r="H9268">
        <v>250731</v>
      </c>
      <c r="I9268">
        <v>4572</v>
      </c>
      <c r="J9268" t="s">
        <v>173</v>
      </c>
      <c r="K9268">
        <v>3887.22</v>
      </c>
      <c r="L9268">
        <v>473.9</v>
      </c>
      <c r="M9268">
        <v>69501</v>
      </c>
      <c r="N9268" t="s">
        <v>123</v>
      </c>
      <c r="O9268">
        <v>250811</v>
      </c>
      <c r="P9268">
        <v>1858.43</v>
      </c>
    </row>
    <row r="9269" spans="1:16" x14ac:dyDescent="0.25">
      <c r="A9269" t="s">
        <v>3296</v>
      </c>
      <c r="B9269" t="s">
        <v>2931</v>
      </c>
      <c r="C9269">
        <v>10067</v>
      </c>
      <c r="D9269" t="str">
        <f>"51272093    "</f>
        <v xml:space="preserve">51272093    </v>
      </c>
      <c r="E9269" t="s">
        <v>1075</v>
      </c>
      <c r="F9269" t="s">
        <v>1076</v>
      </c>
      <c r="G9269">
        <v>77.739999999999995</v>
      </c>
      <c r="H9269">
        <v>250731</v>
      </c>
      <c r="I9269">
        <v>4572</v>
      </c>
      <c r="J9269" t="s">
        <v>173</v>
      </c>
      <c r="K9269">
        <v>3887.22</v>
      </c>
      <c r="L9269">
        <v>15.8</v>
      </c>
      <c r="M9269">
        <v>69801</v>
      </c>
      <c r="N9269" t="s">
        <v>1077</v>
      </c>
      <c r="O9269">
        <v>250811</v>
      </c>
      <c r="P9269">
        <v>61.94</v>
      </c>
    </row>
    <row r="9270" spans="1:16" x14ac:dyDescent="0.25">
      <c r="A9270" t="s">
        <v>3296</v>
      </c>
      <c r="B9270" t="s">
        <v>2931</v>
      </c>
      <c r="C9270">
        <v>10067</v>
      </c>
      <c r="D9270" t="str">
        <f>"51272093    "</f>
        <v xml:space="preserve">51272093    </v>
      </c>
      <c r="E9270" t="s">
        <v>1075</v>
      </c>
      <c r="F9270" t="s">
        <v>1076</v>
      </c>
      <c r="G9270">
        <v>77.75</v>
      </c>
      <c r="H9270">
        <v>250731</v>
      </c>
      <c r="I9270">
        <v>4572</v>
      </c>
      <c r="J9270" t="s">
        <v>173</v>
      </c>
      <c r="K9270">
        <v>3887.22</v>
      </c>
      <c r="L9270">
        <v>0</v>
      </c>
      <c r="M9270">
        <v>69803</v>
      </c>
      <c r="N9270" t="s">
        <v>391</v>
      </c>
      <c r="O9270">
        <v>250811</v>
      </c>
      <c r="P9270">
        <v>77.75</v>
      </c>
    </row>
    <row r="9271" spans="1:16" x14ac:dyDescent="0.25">
      <c r="A9271" t="s">
        <v>3296</v>
      </c>
      <c r="B9271" t="s">
        <v>2931</v>
      </c>
      <c r="C9271">
        <v>11525</v>
      </c>
      <c r="D9271" t="str">
        <f>"51276884    "</f>
        <v xml:space="preserve">51276884    </v>
      </c>
      <c r="E9271" t="s">
        <v>1075</v>
      </c>
      <c r="F9271" t="s">
        <v>1076</v>
      </c>
      <c r="G9271">
        <v>1270.1500000000001</v>
      </c>
      <c r="H9271">
        <v>250831</v>
      </c>
      <c r="I9271">
        <v>4572</v>
      </c>
      <c r="J9271" t="s">
        <v>173</v>
      </c>
      <c r="K9271">
        <v>4456.66</v>
      </c>
      <c r="L9271">
        <v>258.08</v>
      </c>
      <c r="M9271">
        <v>69111</v>
      </c>
      <c r="N9271" t="s">
        <v>657</v>
      </c>
      <c r="O9271">
        <v>250908</v>
      </c>
      <c r="P9271">
        <v>1012.07</v>
      </c>
    </row>
    <row r="9272" spans="1:16" x14ac:dyDescent="0.25">
      <c r="A9272" t="s">
        <v>3296</v>
      </c>
      <c r="B9272" t="s">
        <v>2931</v>
      </c>
      <c r="C9272">
        <v>11525</v>
      </c>
      <c r="D9272" t="str">
        <f>"51276884    "</f>
        <v xml:space="preserve">51276884    </v>
      </c>
      <c r="E9272" t="s">
        <v>1075</v>
      </c>
      <c r="F9272" t="s">
        <v>1076</v>
      </c>
      <c r="G9272">
        <v>3119.66</v>
      </c>
      <c r="H9272">
        <v>250831</v>
      </c>
      <c r="I9272">
        <v>4572</v>
      </c>
      <c r="J9272" t="s">
        <v>173</v>
      </c>
      <c r="K9272">
        <v>4456.66</v>
      </c>
      <c r="L9272">
        <v>633.88</v>
      </c>
      <c r="M9272">
        <v>69501</v>
      </c>
      <c r="N9272" t="s">
        <v>123</v>
      </c>
      <c r="O9272">
        <v>250908</v>
      </c>
      <c r="P9272">
        <v>2485.7800000000002</v>
      </c>
    </row>
    <row r="9273" spans="1:16" x14ac:dyDescent="0.25">
      <c r="A9273" t="s">
        <v>3296</v>
      </c>
      <c r="B9273" t="s">
        <v>2931</v>
      </c>
      <c r="C9273">
        <v>11525</v>
      </c>
      <c r="D9273" t="str">
        <f>"51276884    "</f>
        <v xml:space="preserve">51276884    </v>
      </c>
      <c r="E9273" t="s">
        <v>1075</v>
      </c>
      <c r="F9273" t="s">
        <v>1076</v>
      </c>
      <c r="G9273">
        <v>33.42</v>
      </c>
      <c r="H9273">
        <v>250831</v>
      </c>
      <c r="I9273">
        <v>4572</v>
      </c>
      <c r="J9273" t="s">
        <v>173</v>
      </c>
      <c r="K9273">
        <v>4456.66</v>
      </c>
      <c r="L9273">
        <v>6.79</v>
      </c>
      <c r="M9273">
        <v>69801</v>
      </c>
      <c r="N9273" t="s">
        <v>1077</v>
      </c>
      <c r="O9273">
        <v>250908</v>
      </c>
      <c r="P9273">
        <v>26.63</v>
      </c>
    </row>
    <row r="9274" spans="1:16" x14ac:dyDescent="0.25">
      <c r="A9274" t="s">
        <v>3296</v>
      </c>
      <c r="B9274" t="s">
        <v>2931</v>
      </c>
      <c r="C9274">
        <v>11525</v>
      </c>
      <c r="D9274" t="str">
        <f>"51276884    "</f>
        <v xml:space="preserve">51276884    </v>
      </c>
      <c r="E9274" t="s">
        <v>1075</v>
      </c>
      <c r="F9274" t="s">
        <v>1076</v>
      </c>
      <c r="G9274">
        <v>33.43</v>
      </c>
      <c r="H9274">
        <v>250831</v>
      </c>
      <c r="I9274">
        <v>4572</v>
      </c>
      <c r="J9274" t="s">
        <v>173</v>
      </c>
      <c r="K9274">
        <v>4456.66</v>
      </c>
      <c r="L9274">
        <v>0</v>
      </c>
      <c r="M9274">
        <v>69803</v>
      </c>
      <c r="N9274" t="s">
        <v>391</v>
      </c>
      <c r="O9274">
        <v>250908</v>
      </c>
      <c r="P9274">
        <v>33.43</v>
      </c>
    </row>
    <row r="9275" spans="1:16" x14ac:dyDescent="0.25">
      <c r="A9275" t="s">
        <v>3296</v>
      </c>
      <c r="B9275" t="s">
        <v>2931</v>
      </c>
      <c r="C9275">
        <v>13452</v>
      </c>
      <c r="D9275" t="str">
        <f>"51282679    "</f>
        <v xml:space="preserve">51282679    </v>
      </c>
      <c r="E9275" t="s">
        <v>1075</v>
      </c>
      <c r="F9275" t="s">
        <v>1076</v>
      </c>
      <c r="G9275">
        <v>1441.41</v>
      </c>
      <c r="H9275">
        <v>250930</v>
      </c>
      <c r="I9275">
        <v>4572</v>
      </c>
      <c r="J9275" t="s">
        <v>173</v>
      </c>
      <c r="K9275">
        <v>5252.95</v>
      </c>
      <c r="L9275">
        <v>292.88</v>
      </c>
      <c r="M9275">
        <v>69111</v>
      </c>
      <c r="N9275" t="s">
        <v>657</v>
      </c>
      <c r="O9275">
        <v>251010</v>
      </c>
      <c r="P9275">
        <v>1148.53</v>
      </c>
    </row>
    <row r="9276" spans="1:16" x14ac:dyDescent="0.25">
      <c r="A9276" t="s">
        <v>3296</v>
      </c>
      <c r="B9276" t="s">
        <v>2931</v>
      </c>
      <c r="C9276">
        <v>13452</v>
      </c>
      <c r="D9276" t="str">
        <f>"51282679    "</f>
        <v xml:space="preserve">51282679    </v>
      </c>
      <c r="E9276" t="s">
        <v>1075</v>
      </c>
      <c r="F9276" t="s">
        <v>1076</v>
      </c>
      <c r="G9276">
        <v>3782.12</v>
      </c>
      <c r="H9276">
        <v>250930</v>
      </c>
      <c r="I9276">
        <v>4572</v>
      </c>
      <c r="J9276" t="s">
        <v>173</v>
      </c>
      <c r="K9276">
        <v>5252.95</v>
      </c>
      <c r="L9276">
        <v>768.48</v>
      </c>
      <c r="M9276">
        <v>69501</v>
      </c>
      <c r="N9276" t="s">
        <v>123</v>
      </c>
      <c r="O9276">
        <v>251010</v>
      </c>
      <c r="P9276">
        <v>3013.64</v>
      </c>
    </row>
    <row r="9277" spans="1:16" x14ac:dyDescent="0.25">
      <c r="A9277" t="s">
        <v>3296</v>
      </c>
      <c r="B9277" t="s">
        <v>2931</v>
      </c>
      <c r="C9277">
        <v>13452</v>
      </c>
      <c r="D9277" t="str">
        <f>"51282679    "</f>
        <v xml:space="preserve">51282679    </v>
      </c>
      <c r="E9277" t="s">
        <v>1075</v>
      </c>
      <c r="F9277" t="s">
        <v>1076</v>
      </c>
      <c r="G9277">
        <v>29.42</v>
      </c>
      <c r="H9277">
        <v>250930</v>
      </c>
      <c r="I9277">
        <v>4572</v>
      </c>
      <c r="J9277" t="s">
        <v>173</v>
      </c>
      <c r="K9277">
        <v>5252.95</v>
      </c>
      <c r="L9277">
        <v>0</v>
      </c>
      <c r="M9277">
        <v>69803</v>
      </c>
      <c r="N9277" t="s">
        <v>391</v>
      </c>
      <c r="O9277">
        <v>251010</v>
      </c>
      <c r="P9277">
        <v>29.42</v>
      </c>
    </row>
    <row r="9278" spans="1:16" x14ac:dyDescent="0.25">
      <c r="A9278" t="s">
        <v>3296</v>
      </c>
      <c r="B9278" t="s">
        <v>2931</v>
      </c>
      <c r="C9278">
        <v>14941</v>
      </c>
      <c r="D9278" t="str">
        <f>"51288538    "</f>
        <v xml:space="preserve">51288538    </v>
      </c>
      <c r="E9278" t="s">
        <v>1075</v>
      </c>
      <c r="F9278" t="s">
        <v>1076</v>
      </c>
      <c r="G9278">
        <v>1171.6600000000001</v>
      </c>
      <c r="H9278">
        <v>251031</v>
      </c>
      <c r="I9278">
        <v>4572</v>
      </c>
      <c r="J9278" t="s">
        <v>173</v>
      </c>
      <c r="K9278">
        <v>6102.41</v>
      </c>
      <c r="L9278">
        <v>238.07</v>
      </c>
      <c r="M9278">
        <v>69111</v>
      </c>
      <c r="N9278" t="s">
        <v>657</v>
      </c>
      <c r="O9278">
        <v>251110</v>
      </c>
      <c r="P9278">
        <v>933.59</v>
      </c>
    </row>
    <row r="9279" spans="1:16" x14ac:dyDescent="0.25">
      <c r="A9279" t="s">
        <v>3296</v>
      </c>
      <c r="B9279" t="s">
        <v>2931</v>
      </c>
      <c r="C9279">
        <v>14941</v>
      </c>
      <c r="D9279" t="str">
        <f>"51288538    "</f>
        <v xml:space="preserve">51288538    </v>
      </c>
      <c r="E9279" t="s">
        <v>1075</v>
      </c>
      <c r="F9279" t="s">
        <v>1076</v>
      </c>
      <c r="G9279">
        <v>4881.93</v>
      </c>
      <c r="H9279">
        <v>251031</v>
      </c>
      <c r="I9279">
        <v>4572</v>
      </c>
      <c r="J9279" t="s">
        <v>173</v>
      </c>
      <c r="K9279">
        <v>6102.41</v>
      </c>
      <c r="L9279">
        <v>991.95</v>
      </c>
      <c r="M9279">
        <v>69501</v>
      </c>
      <c r="N9279" t="s">
        <v>123</v>
      </c>
      <c r="O9279">
        <v>251110</v>
      </c>
      <c r="P9279">
        <v>3889.98</v>
      </c>
    </row>
    <row r="9280" spans="1:16" x14ac:dyDescent="0.25">
      <c r="A9280" t="s">
        <v>3296</v>
      </c>
      <c r="B9280" t="s">
        <v>2931</v>
      </c>
      <c r="C9280">
        <v>14941</v>
      </c>
      <c r="D9280" t="str">
        <f>"51288538    "</f>
        <v xml:space="preserve">51288538    </v>
      </c>
      <c r="E9280" t="s">
        <v>1075</v>
      </c>
      <c r="F9280" t="s">
        <v>1076</v>
      </c>
      <c r="G9280">
        <v>48.82</v>
      </c>
      <c r="H9280">
        <v>251031</v>
      </c>
      <c r="I9280">
        <v>4572</v>
      </c>
      <c r="J9280" t="s">
        <v>173</v>
      </c>
      <c r="K9280">
        <v>6102.41</v>
      </c>
      <c r="L9280">
        <v>0</v>
      </c>
      <c r="M9280">
        <v>69803</v>
      </c>
      <c r="N9280" t="s">
        <v>391</v>
      </c>
      <c r="O9280">
        <v>251110</v>
      </c>
      <c r="P9280">
        <v>48.82</v>
      </c>
    </row>
    <row r="9281" spans="1:16" x14ac:dyDescent="0.25">
      <c r="A9281" t="s">
        <v>3296</v>
      </c>
      <c r="B9281" t="s">
        <v>2931</v>
      </c>
      <c r="C9281">
        <v>16494</v>
      </c>
      <c r="D9281" t="str">
        <f>"51294191    "</f>
        <v xml:space="preserve">51294191    </v>
      </c>
      <c r="E9281" t="s">
        <v>1075</v>
      </c>
      <c r="F9281" t="s">
        <v>1076</v>
      </c>
      <c r="G9281">
        <v>5137.9399999999996</v>
      </c>
      <c r="H9281">
        <v>251201</v>
      </c>
      <c r="I9281">
        <v>4572</v>
      </c>
      <c r="J9281" t="s">
        <v>173</v>
      </c>
      <c r="K9281">
        <v>5242.8</v>
      </c>
      <c r="L9281">
        <v>1043.96</v>
      </c>
      <c r="M9281">
        <v>69501</v>
      </c>
      <c r="N9281" t="s">
        <v>123</v>
      </c>
      <c r="O9281">
        <v>251209</v>
      </c>
      <c r="P9281">
        <v>4093.98</v>
      </c>
    </row>
    <row r="9282" spans="1:16" x14ac:dyDescent="0.25">
      <c r="A9282" t="s">
        <v>3296</v>
      </c>
      <c r="B9282" t="s">
        <v>2931</v>
      </c>
      <c r="C9282">
        <v>16494</v>
      </c>
      <c r="D9282" t="str">
        <f>"51294191    "</f>
        <v xml:space="preserve">51294191    </v>
      </c>
      <c r="E9282" t="s">
        <v>1075</v>
      </c>
      <c r="F9282" t="s">
        <v>1076</v>
      </c>
      <c r="G9282">
        <v>104.86</v>
      </c>
      <c r="H9282">
        <v>251201</v>
      </c>
      <c r="I9282">
        <v>4572</v>
      </c>
      <c r="J9282" t="s">
        <v>173</v>
      </c>
      <c r="K9282">
        <v>5242.8</v>
      </c>
      <c r="L9282">
        <v>21.31</v>
      </c>
      <c r="M9282">
        <v>69801</v>
      </c>
      <c r="N9282" t="s">
        <v>1077</v>
      </c>
      <c r="O9282">
        <v>251209</v>
      </c>
      <c r="P9282">
        <v>83.55</v>
      </c>
    </row>
    <row r="9283" spans="1:16" x14ac:dyDescent="0.25">
      <c r="A9283" t="s">
        <v>3296</v>
      </c>
      <c r="B9283" t="s">
        <v>2931</v>
      </c>
      <c r="C9283">
        <v>18169</v>
      </c>
      <c r="D9283" t="str">
        <f>"51299740    "</f>
        <v xml:space="preserve">51299740    </v>
      </c>
      <c r="E9283" t="s">
        <v>1075</v>
      </c>
      <c r="F9283" t="s">
        <v>1076</v>
      </c>
      <c r="G9283">
        <v>1476.49</v>
      </c>
      <c r="H9283">
        <v>251231</v>
      </c>
      <c r="I9283">
        <v>4572</v>
      </c>
      <c r="J9283" t="s">
        <v>173</v>
      </c>
      <c r="K9283">
        <v>5022.08</v>
      </c>
      <c r="L9283">
        <v>300</v>
      </c>
      <c r="M9283">
        <v>69111</v>
      </c>
      <c r="N9283" t="s">
        <v>657</v>
      </c>
      <c r="O9283">
        <v>260109</v>
      </c>
      <c r="P9283">
        <v>1176.49</v>
      </c>
    </row>
    <row r="9284" spans="1:16" x14ac:dyDescent="0.25">
      <c r="A9284" t="s">
        <v>3296</v>
      </c>
      <c r="B9284" t="s">
        <v>2931</v>
      </c>
      <c r="C9284">
        <v>18169</v>
      </c>
      <c r="D9284" t="str">
        <f>"51299740    "</f>
        <v xml:space="preserve">51299740    </v>
      </c>
      <c r="E9284" t="s">
        <v>1075</v>
      </c>
      <c r="F9284" t="s">
        <v>1076</v>
      </c>
      <c r="G9284">
        <v>3515.46</v>
      </c>
      <c r="H9284">
        <v>251231</v>
      </c>
      <c r="I9284">
        <v>4572</v>
      </c>
      <c r="J9284" t="s">
        <v>173</v>
      </c>
      <c r="K9284">
        <v>5022.08</v>
      </c>
      <c r="L9284">
        <v>714.3</v>
      </c>
      <c r="M9284">
        <v>69501</v>
      </c>
      <c r="N9284" t="s">
        <v>123</v>
      </c>
      <c r="O9284">
        <v>260109</v>
      </c>
      <c r="P9284">
        <v>2801.16</v>
      </c>
    </row>
    <row r="9285" spans="1:16" x14ac:dyDescent="0.25">
      <c r="A9285" t="s">
        <v>3296</v>
      </c>
      <c r="B9285" t="s">
        <v>2931</v>
      </c>
      <c r="C9285">
        <v>18169</v>
      </c>
      <c r="D9285" t="str">
        <f>"51299740    "</f>
        <v xml:space="preserve">51299740    </v>
      </c>
      <c r="E9285" t="s">
        <v>1075</v>
      </c>
      <c r="F9285" t="s">
        <v>1076</v>
      </c>
      <c r="G9285">
        <v>15.06</v>
      </c>
      <c r="H9285">
        <v>251231</v>
      </c>
      <c r="I9285">
        <v>4572</v>
      </c>
      <c r="J9285" t="s">
        <v>173</v>
      </c>
      <c r="K9285">
        <v>5022.08</v>
      </c>
      <c r="L9285">
        <v>3.06</v>
      </c>
      <c r="M9285">
        <v>69801</v>
      </c>
      <c r="N9285" t="s">
        <v>1077</v>
      </c>
      <c r="O9285">
        <v>260109</v>
      </c>
      <c r="P9285">
        <v>12</v>
      </c>
    </row>
    <row r="9286" spans="1:16" x14ac:dyDescent="0.25">
      <c r="A9286" t="s">
        <v>3296</v>
      </c>
      <c r="B9286" t="s">
        <v>2931</v>
      </c>
      <c r="C9286">
        <v>18169</v>
      </c>
      <c r="D9286" t="str">
        <f>"51299740    "</f>
        <v xml:space="preserve">51299740    </v>
      </c>
      <c r="E9286" t="s">
        <v>1075</v>
      </c>
      <c r="F9286" t="s">
        <v>1076</v>
      </c>
      <c r="G9286">
        <v>15.07</v>
      </c>
      <c r="H9286">
        <v>251231</v>
      </c>
      <c r="I9286">
        <v>4572</v>
      </c>
      <c r="J9286" t="s">
        <v>173</v>
      </c>
      <c r="K9286">
        <v>5022.08</v>
      </c>
      <c r="L9286">
        <v>0</v>
      </c>
      <c r="M9286">
        <v>69803</v>
      </c>
      <c r="N9286" t="s">
        <v>391</v>
      </c>
      <c r="O9286">
        <v>260109</v>
      </c>
      <c r="P9286">
        <v>15.07</v>
      </c>
    </row>
    <row r="9287" spans="1:16" x14ac:dyDescent="0.25">
      <c r="A9287" t="s">
        <v>3296</v>
      </c>
      <c r="B9287" t="s">
        <v>2931</v>
      </c>
      <c r="C9287">
        <v>825</v>
      </c>
      <c r="D9287" t="str">
        <f>"12502757    "</f>
        <v xml:space="preserve">12502757    </v>
      </c>
      <c r="E9287" t="s">
        <v>743</v>
      </c>
      <c r="F9287" t="s">
        <v>744</v>
      </c>
      <c r="G9287">
        <v>233.06</v>
      </c>
      <c r="H9287">
        <v>250127</v>
      </c>
      <c r="I9287">
        <v>4380</v>
      </c>
      <c r="J9287" t="s">
        <v>211</v>
      </c>
      <c r="K9287">
        <v>10667.71</v>
      </c>
      <c r="L9287">
        <v>47.35</v>
      </c>
      <c r="M9287">
        <v>69111</v>
      </c>
      <c r="N9287" t="s">
        <v>657</v>
      </c>
      <c r="O9287">
        <v>250129</v>
      </c>
      <c r="P9287">
        <v>185.71</v>
      </c>
    </row>
    <row r="9288" spans="1:16" x14ac:dyDescent="0.25">
      <c r="A9288" t="s">
        <v>3296</v>
      </c>
      <c r="B9288" t="s">
        <v>2931</v>
      </c>
      <c r="C9288">
        <v>825</v>
      </c>
      <c r="D9288" t="str">
        <f>"12502757    "</f>
        <v xml:space="preserve">12502757    </v>
      </c>
      <c r="E9288" t="s">
        <v>743</v>
      </c>
      <c r="F9288" t="s">
        <v>744</v>
      </c>
      <c r="G9288">
        <v>349.59</v>
      </c>
      <c r="H9288">
        <v>250127</v>
      </c>
      <c r="I9288">
        <v>4380</v>
      </c>
      <c r="J9288" t="s">
        <v>211</v>
      </c>
      <c r="K9288">
        <v>10667.71</v>
      </c>
      <c r="L9288">
        <v>71.03</v>
      </c>
      <c r="M9288">
        <v>69501</v>
      </c>
      <c r="N9288" t="s">
        <v>123</v>
      </c>
      <c r="O9288">
        <v>250129</v>
      </c>
      <c r="P9288">
        <v>278.56</v>
      </c>
    </row>
    <row r="9289" spans="1:16" x14ac:dyDescent="0.25">
      <c r="A9289" t="s">
        <v>3296</v>
      </c>
      <c r="B9289" t="s">
        <v>2931</v>
      </c>
      <c r="C9289">
        <v>5645</v>
      </c>
      <c r="D9289" t="str">
        <f>"12505652    "</f>
        <v xml:space="preserve">12505652    </v>
      </c>
      <c r="E9289" t="s">
        <v>743</v>
      </c>
      <c r="F9289" t="s">
        <v>744</v>
      </c>
      <c r="G9289">
        <v>1220.3900000000001</v>
      </c>
      <c r="H9289">
        <v>250424</v>
      </c>
      <c r="I9289">
        <v>4380</v>
      </c>
      <c r="J9289" t="s">
        <v>211</v>
      </c>
      <c r="K9289">
        <v>5319.56</v>
      </c>
      <c r="L9289">
        <v>247.97</v>
      </c>
      <c r="M9289">
        <v>69111</v>
      </c>
      <c r="N9289" t="s">
        <v>657</v>
      </c>
      <c r="O9289">
        <v>250428</v>
      </c>
      <c r="P9289">
        <v>972.42</v>
      </c>
    </row>
    <row r="9290" spans="1:16" x14ac:dyDescent="0.25">
      <c r="A9290" t="s">
        <v>3296</v>
      </c>
      <c r="B9290" t="s">
        <v>2931</v>
      </c>
      <c r="C9290">
        <v>5645</v>
      </c>
      <c r="D9290" t="str">
        <f>"12505652    "</f>
        <v xml:space="preserve">12505652    </v>
      </c>
      <c r="E9290" t="s">
        <v>743</v>
      </c>
      <c r="F9290" t="s">
        <v>744</v>
      </c>
      <c r="G9290">
        <v>2033.98</v>
      </c>
      <c r="H9290">
        <v>250424</v>
      </c>
      <c r="I9290">
        <v>4380</v>
      </c>
      <c r="J9290" t="s">
        <v>211</v>
      </c>
      <c r="K9290">
        <v>5319.56</v>
      </c>
      <c r="L9290">
        <v>413.28</v>
      </c>
      <c r="M9290">
        <v>69501</v>
      </c>
      <c r="N9290" t="s">
        <v>123</v>
      </c>
      <c r="O9290">
        <v>250428</v>
      </c>
      <c r="P9290">
        <v>1620.7</v>
      </c>
    </row>
    <row r="9291" spans="1:16" x14ac:dyDescent="0.25">
      <c r="A9291" t="s">
        <v>3296</v>
      </c>
      <c r="B9291" t="s">
        <v>2931</v>
      </c>
      <c r="C9291">
        <v>5645</v>
      </c>
      <c r="D9291" t="str">
        <f>"12505652    "</f>
        <v xml:space="preserve">12505652    </v>
      </c>
      <c r="E9291" t="s">
        <v>743</v>
      </c>
      <c r="F9291" t="s">
        <v>744</v>
      </c>
      <c r="G9291">
        <v>67.8</v>
      </c>
      <c r="H9291">
        <v>250424</v>
      </c>
      <c r="I9291">
        <v>4380</v>
      </c>
      <c r="J9291" t="s">
        <v>211</v>
      </c>
      <c r="K9291">
        <v>5319.56</v>
      </c>
      <c r="L9291">
        <v>13.78</v>
      </c>
      <c r="M9291">
        <v>69801</v>
      </c>
      <c r="N9291" t="s">
        <v>1077</v>
      </c>
      <c r="O9291">
        <v>250428</v>
      </c>
      <c r="P9291">
        <v>54.02</v>
      </c>
    </row>
    <row r="9292" spans="1:16" x14ac:dyDescent="0.25">
      <c r="A9292" t="s">
        <v>3296</v>
      </c>
      <c r="B9292" t="s">
        <v>2931</v>
      </c>
      <c r="C9292">
        <v>5645</v>
      </c>
      <c r="D9292" t="str">
        <f>"12505652    "</f>
        <v xml:space="preserve">12505652    </v>
      </c>
      <c r="E9292" t="s">
        <v>743</v>
      </c>
      <c r="F9292" t="s">
        <v>744</v>
      </c>
      <c r="G9292">
        <v>67.8</v>
      </c>
      <c r="H9292">
        <v>250424</v>
      </c>
      <c r="I9292">
        <v>4380</v>
      </c>
      <c r="J9292" t="s">
        <v>211</v>
      </c>
      <c r="K9292">
        <v>5319.56</v>
      </c>
      <c r="L9292">
        <v>0</v>
      </c>
      <c r="M9292">
        <v>69803</v>
      </c>
      <c r="N9292" t="s">
        <v>391</v>
      </c>
      <c r="O9292">
        <v>250428</v>
      </c>
      <c r="P9292">
        <v>67.8</v>
      </c>
    </row>
    <row r="9293" spans="1:16" x14ac:dyDescent="0.25">
      <c r="A9293" t="s">
        <v>3296</v>
      </c>
      <c r="B9293" t="s">
        <v>2931</v>
      </c>
      <c r="C9293">
        <v>9959</v>
      </c>
      <c r="D9293" t="str">
        <f>"12508525    "</f>
        <v xml:space="preserve">12508525    </v>
      </c>
      <c r="E9293" t="s">
        <v>743</v>
      </c>
      <c r="F9293" t="s">
        <v>744</v>
      </c>
      <c r="G9293">
        <v>1927.77</v>
      </c>
      <c r="H9293">
        <v>250728</v>
      </c>
      <c r="I9293">
        <v>4380</v>
      </c>
      <c r="J9293" t="s">
        <v>211</v>
      </c>
      <c r="K9293">
        <v>9017.16</v>
      </c>
      <c r="L9293">
        <v>391.7</v>
      </c>
      <c r="M9293">
        <v>69111</v>
      </c>
      <c r="N9293" t="s">
        <v>657</v>
      </c>
      <c r="O9293">
        <v>250805</v>
      </c>
      <c r="P9293">
        <v>1536.07</v>
      </c>
    </row>
    <row r="9294" spans="1:16" x14ac:dyDescent="0.25">
      <c r="A9294" t="s">
        <v>3296</v>
      </c>
      <c r="B9294" t="s">
        <v>2931</v>
      </c>
      <c r="C9294">
        <v>9959</v>
      </c>
      <c r="D9294" t="str">
        <f>"12508525    "</f>
        <v xml:space="preserve">12508525    </v>
      </c>
      <c r="E9294" t="s">
        <v>743</v>
      </c>
      <c r="F9294" t="s">
        <v>744</v>
      </c>
      <c r="G9294">
        <v>3212.95</v>
      </c>
      <c r="H9294">
        <v>250728</v>
      </c>
      <c r="I9294">
        <v>4380</v>
      </c>
      <c r="J9294" t="s">
        <v>211</v>
      </c>
      <c r="K9294">
        <v>9017.16</v>
      </c>
      <c r="L9294">
        <v>652.83000000000004</v>
      </c>
      <c r="M9294">
        <v>69501</v>
      </c>
      <c r="N9294" t="s">
        <v>123</v>
      </c>
      <c r="O9294">
        <v>250805</v>
      </c>
      <c r="P9294">
        <v>2560.12</v>
      </c>
    </row>
    <row r="9295" spans="1:16" x14ac:dyDescent="0.25">
      <c r="A9295" t="s">
        <v>3296</v>
      </c>
      <c r="B9295" t="s">
        <v>2931</v>
      </c>
      <c r="C9295">
        <v>9959</v>
      </c>
      <c r="D9295" t="str">
        <f>"12508525    "</f>
        <v xml:space="preserve">12508525    </v>
      </c>
      <c r="E9295" t="s">
        <v>743</v>
      </c>
      <c r="F9295" t="s">
        <v>744</v>
      </c>
      <c r="G9295">
        <v>107.1</v>
      </c>
      <c r="H9295">
        <v>250728</v>
      </c>
      <c r="I9295">
        <v>4380</v>
      </c>
      <c r="J9295" t="s">
        <v>211</v>
      </c>
      <c r="K9295">
        <v>9017.16</v>
      </c>
      <c r="L9295">
        <v>21.76</v>
      </c>
      <c r="M9295">
        <v>69801</v>
      </c>
      <c r="N9295" t="s">
        <v>1077</v>
      </c>
      <c r="O9295">
        <v>250805</v>
      </c>
      <c r="P9295">
        <v>85.34</v>
      </c>
    </row>
    <row r="9296" spans="1:16" x14ac:dyDescent="0.25">
      <c r="A9296" t="s">
        <v>3296</v>
      </c>
      <c r="B9296" t="s">
        <v>2931</v>
      </c>
      <c r="C9296">
        <v>9959</v>
      </c>
      <c r="D9296" t="str">
        <f>"12508525    "</f>
        <v xml:space="preserve">12508525    </v>
      </c>
      <c r="E9296" t="s">
        <v>743</v>
      </c>
      <c r="F9296" t="s">
        <v>744</v>
      </c>
      <c r="G9296">
        <v>107.1</v>
      </c>
      <c r="H9296">
        <v>250728</v>
      </c>
      <c r="I9296">
        <v>4380</v>
      </c>
      <c r="J9296" t="s">
        <v>211</v>
      </c>
      <c r="K9296">
        <v>9017.16</v>
      </c>
      <c r="L9296">
        <v>0</v>
      </c>
      <c r="M9296">
        <v>69803</v>
      </c>
      <c r="N9296" t="s">
        <v>391</v>
      </c>
      <c r="O9296">
        <v>250805</v>
      </c>
      <c r="P9296">
        <v>107.1</v>
      </c>
    </row>
    <row r="9297" spans="1:16" x14ac:dyDescent="0.25">
      <c r="A9297" t="s">
        <v>3296</v>
      </c>
      <c r="B9297" t="s">
        <v>2931</v>
      </c>
      <c r="C9297">
        <v>14690</v>
      </c>
      <c r="D9297" t="str">
        <f>"12512259    "</f>
        <v xml:space="preserve">12512259    </v>
      </c>
      <c r="E9297" t="s">
        <v>743</v>
      </c>
      <c r="F9297" t="s">
        <v>744</v>
      </c>
      <c r="G9297">
        <v>1554.51</v>
      </c>
      <c r="H9297">
        <v>251027</v>
      </c>
      <c r="I9297">
        <v>4380</v>
      </c>
      <c r="J9297" t="s">
        <v>211</v>
      </c>
      <c r="K9297">
        <v>6555.54</v>
      </c>
      <c r="L9297">
        <v>315.86</v>
      </c>
      <c r="M9297">
        <v>69111</v>
      </c>
      <c r="N9297" t="s">
        <v>657</v>
      </c>
      <c r="O9297">
        <v>251106</v>
      </c>
      <c r="P9297">
        <v>1238.6500000000001</v>
      </c>
    </row>
    <row r="9298" spans="1:16" x14ac:dyDescent="0.25">
      <c r="A9298" t="s">
        <v>3296</v>
      </c>
      <c r="B9298" t="s">
        <v>2931</v>
      </c>
      <c r="C9298">
        <v>14690</v>
      </c>
      <c r="D9298" t="str">
        <f>"12512259    "</f>
        <v xml:space="preserve">12512259    </v>
      </c>
      <c r="E9298" t="s">
        <v>743</v>
      </c>
      <c r="F9298" t="s">
        <v>744</v>
      </c>
      <c r="G9298">
        <v>2454.4899999999998</v>
      </c>
      <c r="H9298">
        <v>251027</v>
      </c>
      <c r="I9298">
        <v>4380</v>
      </c>
      <c r="J9298" t="s">
        <v>211</v>
      </c>
      <c r="K9298">
        <v>6555.54</v>
      </c>
      <c r="L9298">
        <v>498.72</v>
      </c>
      <c r="M9298">
        <v>69501</v>
      </c>
      <c r="N9298" t="s">
        <v>123</v>
      </c>
      <c r="O9298">
        <v>251106</v>
      </c>
      <c r="P9298">
        <v>1955.77</v>
      </c>
    </row>
    <row r="9299" spans="1:16" x14ac:dyDescent="0.25">
      <c r="A9299" t="s">
        <v>3296</v>
      </c>
      <c r="B9299" t="s">
        <v>2931</v>
      </c>
      <c r="C9299">
        <v>14690</v>
      </c>
      <c r="D9299" t="str">
        <f>"12512259    "</f>
        <v xml:space="preserve">12512259    </v>
      </c>
      <c r="E9299" t="s">
        <v>743</v>
      </c>
      <c r="F9299" t="s">
        <v>744</v>
      </c>
      <c r="G9299">
        <v>81.819999999999993</v>
      </c>
      <c r="H9299">
        <v>251027</v>
      </c>
      <c r="I9299">
        <v>4380</v>
      </c>
      <c r="J9299" t="s">
        <v>211</v>
      </c>
      <c r="K9299">
        <v>6555.54</v>
      </c>
      <c r="L9299">
        <v>0</v>
      </c>
      <c r="M9299">
        <v>69803</v>
      </c>
      <c r="N9299" t="s">
        <v>391</v>
      </c>
      <c r="O9299">
        <v>251106</v>
      </c>
      <c r="P9299">
        <v>81.819999999999993</v>
      </c>
    </row>
    <row r="9300" spans="1:16" x14ac:dyDescent="0.25">
      <c r="A9300" t="s">
        <v>3296</v>
      </c>
      <c r="B9300" t="s">
        <v>2931</v>
      </c>
      <c r="C9300">
        <v>825</v>
      </c>
      <c r="D9300" t="str">
        <f>"12502757    "</f>
        <v xml:space="preserve">12502757    </v>
      </c>
      <c r="E9300" t="s">
        <v>743</v>
      </c>
      <c r="F9300" t="s">
        <v>744</v>
      </c>
      <c r="G9300">
        <v>247.8</v>
      </c>
      <c r="H9300">
        <v>250127</v>
      </c>
      <c r="I9300">
        <v>4573</v>
      </c>
      <c r="J9300" t="s">
        <v>646</v>
      </c>
      <c r="K9300">
        <v>10667.71</v>
      </c>
      <c r="L9300">
        <v>50.35</v>
      </c>
      <c r="M9300">
        <v>69111</v>
      </c>
      <c r="N9300" t="s">
        <v>657</v>
      </c>
      <c r="O9300">
        <v>250129</v>
      </c>
      <c r="P9300">
        <v>197.45</v>
      </c>
    </row>
    <row r="9301" spans="1:16" x14ac:dyDescent="0.25">
      <c r="A9301" t="s">
        <v>3296</v>
      </c>
      <c r="B9301" t="s">
        <v>2931</v>
      </c>
      <c r="C9301">
        <v>825</v>
      </c>
      <c r="D9301" t="str">
        <f>"12502757    "</f>
        <v xml:space="preserve">12502757    </v>
      </c>
      <c r="E9301" t="s">
        <v>743</v>
      </c>
      <c r="F9301" t="s">
        <v>744</v>
      </c>
      <c r="G9301">
        <v>371.71</v>
      </c>
      <c r="H9301">
        <v>250127</v>
      </c>
      <c r="I9301">
        <v>4573</v>
      </c>
      <c r="J9301" t="s">
        <v>646</v>
      </c>
      <c r="K9301">
        <v>10667.71</v>
      </c>
      <c r="L9301">
        <v>75.53</v>
      </c>
      <c r="M9301">
        <v>69501</v>
      </c>
      <c r="N9301" t="s">
        <v>123</v>
      </c>
      <c r="O9301">
        <v>250129</v>
      </c>
      <c r="P9301">
        <v>296.18</v>
      </c>
    </row>
    <row r="9302" spans="1:16" x14ac:dyDescent="0.25">
      <c r="A9302" t="s">
        <v>3296</v>
      </c>
      <c r="B9302" t="s">
        <v>2931</v>
      </c>
      <c r="C9302">
        <v>5645</v>
      </c>
      <c r="D9302" t="str">
        <f>"12505652    "</f>
        <v xml:space="preserve">12505652    </v>
      </c>
      <c r="E9302" t="s">
        <v>743</v>
      </c>
      <c r="F9302" t="s">
        <v>744</v>
      </c>
      <c r="G9302">
        <v>694.65</v>
      </c>
      <c r="H9302">
        <v>250424</v>
      </c>
      <c r="I9302">
        <v>4573</v>
      </c>
      <c r="J9302" t="s">
        <v>646</v>
      </c>
      <c r="K9302">
        <v>5319.56</v>
      </c>
      <c r="L9302">
        <v>141.13999999999999</v>
      </c>
      <c r="M9302">
        <v>69111</v>
      </c>
      <c r="N9302" t="s">
        <v>657</v>
      </c>
      <c r="O9302">
        <v>250428</v>
      </c>
      <c r="P9302">
        <v>553.51</v>
      </c>
    </row>
    <row r="9303" spans="1:16" x14ac:dyDescent="0.25">
      <c r="A9303" t="s">
        <v>3296</v>
      </c>
      <c r="B9303" t="s">
        <v>2931</v>
      </c>
      <c r="C9303">
        <v>5645</v>
      </c>
      <c r="D9303" t="str">
        <f>"12505652    "</f>
        <v xml:space="preserve">12505652    </v>
      </c>
      <c r="E9303" t="s">
        <v>743</v>
      </c>
      <c r="F9303" t="s">
        <v>744</v>
      </c>
      <c r="G9303">
        <v>1157.76</v>
      </c>
      <c r="H9303">
        <v>250424</v>
      </c>
      <c r="I9303">
        <v>4573</v>
      </c>
      <c r="J9303" t="s">
        <v>646</v>
      </c>
      <c r="K9303">
        <v>5319.56</v>
      </c>
      <c r="L9303">
        <v>235.24</v>
      </c>
      <c r="M9303">
        <v>69501</v>
      </c>
      <c r="N9303" t="s">
        <v>123</v>
      </c>
      <c r="O9303">
        <v>250428</v>
      </c>
      <c r="P9303">
        <v>922.52</v>
      </c>
    </row>
    <row r="9304" spans="1:16" x14ac:dyDescent="0.25">
      <c r="A9304" t="s">
        <v>3296</v>
      </c>
      <c r="B9304" t="s">
        <v>2931</v>
      </c>
      <c r="C9304">
        <v>5645</v>
      </c>
      <c r="D9304" t="str">
        <f>"12505652    "</f>
        <v xml:space="preserve">12505652    </v>
      </c>
      <c r="E9304" t="s">
        <v>743</v>
      </c>
      <c r="F9304" t="s">
        <v>744</v>
      </c>
      <c r="G9304">
        <v>38.590000000000003</v>
      </c>
      <c r="H9304">
        <v>250424</v>
      </c>
      <c r="I9304">
        <v>4573</v>
      </c>
      <c r="J9304" t="s">
        <v>646</v>
      </c>
      <c r="K9304">
        <v>5319.56</v>
      </c>
      <c r="L9304">
        <v>7.84</v>
      </c>
      <c r="M9304">
        <v>69801</v>
      </c>
      <c r="N9304" t="s">
        <v>1077</v>
      </c>
      <c r="O9304">
        <v>250428</v>
      </c>
      <c r="P9304">
        <v>30.75</v>
      </c>
    </row>
    <row r="9305" spans="1:16" x14ac:dyDescent="0.25">
      <c r="A9305" t="s">
        <v>3296</v>
      </c>
      <c r="B9305" t="s">
        <v>2931</v>
      </c>
      <c r="C9305">
        <v>5645</v>
      </c>
      <c r="D9305" t="str">
        <f>"12505652    "</f>
        <v xml:space="preserve">12505652    </v>
      </c>
      <c r="E9305" t="s">
        <v>743</v>
      </c>
      <c r="F9305" t="s">
        <v>744</v>
      </c>
      <c r="G9305">
        <v>38.590000000000003</v>
      </c>
      <c r="H9305">
        <v>250424</v>
      </c>
      <c r="I9305">
        <v>4573</v>
      </c>
      <c r="J9305" t="s">
        <v>646</v>
      </c>
      <c r="K9305">
        <v>5319.56</v>
      </c>
      <c r="L9305">
        <v>0</v>
      </c>
      <c r="M9305">
        <v>69803</v>
      </c>
      <c r="N9305" t="s">
        <v>391</v>
      </c>
      <c r="O9305">
        <v>250428</v>
      </c>
      <c r="P9305">
        <v>38.590000000000003</v>
      </c>
    </row>
    <row r="9306" spans="1:16" x14ac:dyDescent="0.25">
      <c r="A9306" t="s">
        <v>3296</v>
      </c>
      <c r="B9306" t="s">
        <v>2931</v>
      </c>
      <c r="C9306">
        <v>9959</v>
      </c>
      <c r="D9306" t="str">
        <f>"12508525    "</f>
        <v xml:space="preserve">12508525    </v>
      </c>
      <c r="E9306" t="s">
        <v>743</v>
      </c>
      <c r="F9306" t="s">
        <v>744</v>
      </c>
      <c r="G9306">
        <v>1318.41</v>
      </c>
      <c r="H9306">
        <v>250728</v>
      </c>
      <c r="I9306">
        <v>4573</v>
      </c>
      <c r="J9306" t="s">
        <v>646</v>
      </c>
      <c r="K9306">
        <v>9017.16</v>
      </c>
      <c r="L9306">
        <v>267.88</v>
      </c>
      <c r="M9306">
        <v>69111</v>
      </c>
      <c r="N9306" t="s">
        <v>657</v>
      </c>
      <c r="O9306">
        <v>250805</v>
      </c>
      <c r="P9306">
        <v>1050.53</v>
      </c>
    </row>
    <row r="9307" spans="1:16" x14ac:dyDescent="0.25">
      <c r="A9307" t="s">
        <v>3296</v>
      </c>
      <c r="B9307" t="s">
        <v>2931</v>
      </c>
      <c r="C9307">
        <v>9959</v>
      </c>
      <c r="D9307" t="str">
        <f>"12508525    "</f>
        <v xml:space="preserve">12508525    </v>
      </c>
      <c r="E9307" t="s">
        <v>743</v>
      </c>
      <c r="F9307" t="s">
        <v>744</v>
      </c>
      <c r="G9307">
        <v>2197.33</v>
      </c>
      <c r="H9307">
        <v>250728</v>
      </c>
      <c r="I9307">
        <v>4573</v>
      </c>
      <c r="J9307" t="s">
        <v>646</v>
      </c>
      <c r="K9307">
        <v>9017.16</v>
      </c>
      <c r="L9307">
        <v>446.47</v>
      </c>
      <c r="M9307">
        <v>69501</v>
      </c>
      <c r="N9307" t="s">
        <v>123</v>
      </c>
      <c r="O9307">
        <v>250805</v>
      </c>
      <c r="P9307">
        <v>1750.86</v>
      </c>
    </row>
    <row r="9308" spans="1:16" x14ac:dyDescent="0.25">
      <c r="A9308" t="s">
        <v>3296</v>
      </c>
      <c r="B9308" t="s">
        <v>2931</v>
      </c>
      <c r="C9308">
        <v>9959</v>
      </c>
      <c r="D9308" t="str">
        <f>"12508525    "</f>
        <v xml:space="preserve">12508525    </v>
      </c>
      <c r="E9308" t="s">
        <v>743</v>
      </c>
      <c r="F9308" t="s">
        <v>744</v>
      </c>
      <c r="G9308">
        <v>73.25</v>
      </c>
      <c r="H9308">
        <v>250728</v>
      </c>
      <c r="I9308">
        <v>4573</v>
      </c>
      <c r="J9308" t="s">
        <v>646</v>
      </c>
      <c r="K9308">
        <v>9017.16</v>
      </c>
      <c r="L9308">
        <v>14.88</v>
      </c>
      <c r="M9308">
        <v>69801</v>
      </c>
      <c r="N9308" t="s">
        <v>1077</v>
      </c>
      <c r="O9308">
        <v>250805</v>
      </c>
      <c r="P9308">
        <v>58.37</v>
      </c>
    </row>
    <row r="9309" spans="1:16" x14ac:dyDescent="0.25">
      <c r="A9309" t="s">
        <v>3296</v>
      </c>
      <c r="B9309" t="s">
        <v>2931</v>
      </c>
      <c r="C9309">
        <v>9959</v>
      </c>
      <c r="D9309" t="str">
        <f>"12508525    "</f>
        <v xml:space="preserve">12508525    </v>
      </c>
      <c r="E9309" t="s">
        <v>743</v>
      </c>
      <c r="F9309" t="s">
        <v>744</v>
      </c>
      <c r="G9309">
        <v>73.25</v>
      </c>
      <c r="H9309">
        <v>250728</v>
      </c>
      <c r="I9309">
        <v>4573</v>
      </c>
      <c r="J9309" t="s">
        <v>646</v>
      </c>
      <c r="K9309">
        <v>9017.16</v>
      </c>
      <c r="L9309">
        <v>0</v>
      </c>
      <c r="M9309">
        <v>69803</v>
      </c>
      <c r="N9309" t="s">
        <v>391</v>
      </c>
      <c r="O9309">
        <v>250805</v>
      </c>
      <c r="P9309">
        <v>73.25</v>
      </c>
    </row>
    <row r="9310" spans="1:16" x14ac:dyDescent="0.25">
      <c r="A9310" t="s">
        <v>3296</v>
      </c>
      <c r="B9310" t="s">
        <v>2931</v>
      </c>
      <c r="C9310">
        <v>14690</v>
      </c>
      <c r="D9310" t="str">
        <f>"12512259    "</f>
        <v xml:space="preserve">12512259    </v>
      </c>
      <c r="E9310" t="s">
        <v>743</v>
      </c>
      <c r="F9310" t="s">
        <v>744</v>
      </c>
      <c r="G9310">
        <v>936.6</v>
      </c>
      <c r="H9310">
        <v>251027</v>
      </c>
      <c r="I9310">
        <v>4573</v>
      </c>
      <c r="J9310" t="s">
        <v>646</v>
      </c>
      <c r="K9310">
        <v>6555.54</v>
      </c>
      <c r="L9310">
        <v>190.31</v>
      </c>
      <c r="M9310">
        <v>69111</v>
      </c>
      <c r="N9310" t="s">
        <v>657</v>
      </c>
      <c r="O9310">
        <v>251106</v>
      </c>
      <c r="P9310">
        <v>746.29</v>
      </c>
    </row>
    <row r="9311" spans="1:16" x14ac:dyDescent="0.25">
      <c r="A9311" t="s">
        <v>3296</v>
      </c>
      <c r="B9311" t="s">
        <v>2931</v>
      </c>
      <c r="C9311">
        <v>14690</v>
      </c>
      <c r="D9311" t="str">
        <f>"12512259    "</f>
        <v xml:space="preserve">12512259    </v>
      </c>
      <c r="E9311" t="s">
        <v>743</v>
      </c>
      <c r="F9311" t="s">
        <v>744</v>
      </c>
      <c r="G9311">
        <v>1478.83</v>
      </c>
      <c r="H9311">
        <v>251027</v>
      </c>
      <c r="I9311">
        <v>4573</v>
      </c>
      <c r="J9311" t="s">
        <v>646</v>
      </c>
      <c r="K9311">
        <v>6555.54</v>
      </c>
      <c r="L9311">
        <v>300.48</v>
      </c>
      <c r="M9311">
        <v>69501</v>
      </c>
      <c r="N9311" t="s">
        <v>123</v>
      </c>
      <c r="O9311">
        <v>251106</v>
      </c>
      <c r="P9311">
        <v>1178.3499999999999</v>
      </c>
    </row>
    <row r="9312" spans="1:16" x14ac:dyDescent="0.25">
      <c r="A9312" t="s">
        <v>3296</v>
      </c>
      <c r="B9312" t="s">
        <v>2931</v>
      </c>
      <c r="C9312">
        <v>14690</v>
      </c>
      <c r="D9312" t="str">
        <f>"12512259    "</f>
        <v xml:space="preserve">12512259    </v>
      </c>
      <c r="E9312" t="s">
        <v>743</v>
      </c>
      <c r="F9312" t="s">
        <v>744</v>
      </c>
      <c r="G9312">
        <v>49.29</v>
      </c>
      <c r="H9312">
        <v>251027</v>
      </c>
      <c r="I9312">
        <v>4573</v>
      </c>
      <c r="J9312" t="s">
        <v>646</v>
      </c>
      <c r="K9312">
        <v>6555.54</v>
      </c>
      <c r="L9312">
        <v>0</v>
      </c>
      <c r="M9312">
        <v>69803</v>
      </c>
      <c r="N9312" t="s">
        <v>391</v>
      </c>
      <c r="O9312">
        <v>251106</v>
      </c>
      <c r="P9312">
        <v>49.29</v>
      </c>
    </row>
    <row r="9313" spans="1:16" x14ac:dyDescent="0.25">
      <c r="A9313" t="s">
        <v>3296</v>
      </c>
      <c r="B9313" t="s">
        <v>2931</v>
      </c>
      <c r="C9313">
        <v>11494</v>
      </c>
      <c r="D9313" t="str">
        <f>"28523030    "</f>
        <v xml:space="preserve">28523030    </v>
      </c>
      <c r="E9313" t="s">
        <v>764</v>
      </c>
      <c r="F9313" t="s">
        <v>765</v>
      </c>
      <c r="G9313">
        <v>4.17</v>
      </c>
      <c r="H9313">
        <v>250815</v>
      </c>
      <c r="I9313">
        <v>4410</v>
      </c>
      <c r="J9313" t="s">
        <v>165</v>
      </c>
      <c r="K9313">
        <v>53</v>
      </c>
      <c r="L9313">
        <v>0.85</v>
      </c>
      <c r="M9313">
        <v>17914</v>
      </c>
      <c r="N9313" t="s">
        <v>1541</v>
      </c>
      <c r="O9313">
        <v>250905</v>
      </c>
      <c r="P9313">
        <v>3.32</v>
      </c>
    </row>
    <row r="9314" spans="1:16" x14ac:dyDescent="0.25">
      <c r="A9314" t="s">
        <v>3296</v>
      </c>
      <c r="B9314" t="s">
        <v>2931</v>
      </c>
      <c r="C9314">
        <v>11494</v>
      </c>
      <c r="D9314" t="str">
        <f>"28523030    "</f>
        <v xml:space="preserve">28523030    </v>
      </c>
      <c r="E9314" t="s">
        <v>764</v>
      </c>
      <c r="F9314" t="s">
        <v>765</v>
      </c>
      <c r="G9314">
        <v>48.83</v>
      </c>
      <c r="H9314">
        <v>250815</v>
      </c>
      <c r="I9314">
        <v>4410</v>
      </c>
      <c r="J9314" t="s">
        <v>165</v>
      </c>
      <c r="K9314">
        <v>53</v>
      </c>
      <c r="L9314">
        <v>6</v>
      </c>
      <c r="M9314">
        <v>17914</v>
      </c>
      <c r="N9314" t="s">
        <v>1541</v>
      </c>
      <c r="O9314">
        <v>250905</v>
      </c>
      <c r="P9314">
        <v>42.83</v>
      </c>
    </row>
    <row r="9315" spans="1:16" x14ac:dyDescent="0.25">
      <c r="A9315" t="s">
        <v>3296</v>
      </c>
      <c r="B9315" t="s">
        <v>2931</v>
      </c>
      <c r="C9315">
        <v>1161</v>
      </c>
      <c r="D9315" t="str">
        <f>"28522280    "</f>
        <v xml:space="preserve">28522280    </v>
      </c>
      <c r="E9315" t="s">
        <v>764</v>
      </c>
      <c r="F9315" t="s">
        <v>765</v>
      </c>
      <c r="G9315">
        <v>11.99</v>
      </c>
      <c r="H9315">
        <v>250131</v>
      </c>
      <c r="I9315">
        <v>4500</v>
      </c>
      <c r="J9315" t="s">
        <v>312</v>
      </c>
      <c r="K9315">
        <v>11.99</v>
      </c>
      <c r="L9315">
        <v>2.44</v>
      </c>
      <c r="M9315">
        <v>13821</v>
      </c>
      <c r="N9315" t="s">
        <v>867</v>
      </c>
      <c r="O9315">
        <v>250205</v>
      </c>
      <c r="P9315">
        <v>9.5500000000000007</v>
      </c>
    </row>
    <row r="9316" spans="1:16" x14ac:dyDescent="0.25">
      <c r="A9316" t="s">
        <v>3296</v>
      </c>
      <c r="B9316" t="s">
        <v>2931</v>
      </c>
      <c r="C9316">
        <v>2823</v>
      </c>
      <c r="D9316" t="str">
        <f>"28522393    "</f>
        <v xml:space="preserve">28522393    </v>
      </c>
      <c r="E9316" t="s">
        <v>764</v>
      </c>
      <c r="F9316" t="s">
        <v>765</v>
      </c>
      <c r="G9316">
        <v>5</v>
      </c>
      <c r="H9316">
        <v>250301</v>
      </c>
      <c r="I9316">
        <v>4500</v>
      </c>
      <c r="J9316" t="s">
        <v>312</v>
      </c>
      <c r="K9316">
        <v>5</v>
      </c>
      <c r="L9316">
        <v>1.02</v>
      </c>
      <c r="M9316">
        <v>13802</v>
      </c>
      <c r="N9316" t="s">
        <v>34</v>
      </c>
      <c r="O9316">
        <v>250312</v>
      </c>
      <c r="P9316">
        <v>3.98</v>
      </c>
    </row>
    <row r="9317" spans="1:16" x14ac:dyDescent="0.25">
      <c r="A9317" t="s">
        <v>3296</v>
      </c>
      <c r="B9317" t="s">
        <v>2931</v>
      </c>
      <c r="C9317">
        <v>5382</v>
      </c>
      <c r="D9317" t="str">
        <f>"29522044    "</f>
        <v xml:space="preserve">29522044    </v>
      </c>
      <c r="E9317" t="s">
        <v>764</v>
      </c>
      <c r="F9317" t="s">
        <v>765</v>
      </c>
      <c r="G9317">
        <v>19.38</v>
      </c>
      <c r="H9317">
        <v>250415</v>
      </c>
      <c r="I9317">
        <v>4500</v>
      </c>
      <c r="J9317" t="s">
        <v>312</v>
      </c>
      <c r="K9317">
        <v>173.42</v>
      </c>
      <c r="L9317">
        <v>3.94</v>
      </c>
      <c r="M9317">
        <v>13802</v>
      </c>
      <c r="N9317" t="s">
        <v>34</v>
      </c>
      <c r="O9317">
        <v>250424</v>
      </c>
      <c r="P9317">
        <v>15.44</v>
      </c>
    </row>
    <row r="9318" spans="1:16" x14ac:dyDescent="0.25">
      <c r="A9318" t="s">
        <v>3296</v>
      </c>
      <c r="B9318" t="s">
        <v>2931</v>
      </c>
      <c r="C9318">
        <v>11391</v>
      </c>
      <c r="D9318" t="str">
        <f>"28523076    "</f>
        <v xml:space="preserve">28523076    </v>
      </c>
      <c r="E9318" t="s">
        <v>764</v>
      </c>
      <c r="F9318" t="s">
        <v>765</v>
      </c>
      <c r="G9318">
        <v>34.270000000000003</v>
      </c>
      <c r="H9318">
        <v>250831</v>
      </c>
      <c r="I9318">
        <v>4500</v>
      </c>
      <c r="J9318" t="s">
        <v>312</v>
      </c>
      <c r="K9318">
        <v>93.25</v>
      </c>
      <c r="L9318">
        <v>6.96</v>
      </c>
      <c r="M9318">
        <v>13802</v>
      </c>
      <c r="N9318" t="s">
        <v>34</v>
      </c>
      <c r="O9318">
        <v>250904</v>
      </c>
      <c r="P9318">
        <v>27.31</v>
      </c>
    </row>
    <row r="9319" spans="1:16" x14ac:dyDescent="0.25">
      <c r="A9319" t="s">
        <v>3296</v>
      </c>
      <c r="B9319" t="s">
        <v>2931</v>
      </c>
      <c r="C9319">
        <v>11392</v>
      </c>
      <c r="D9319" t="str">
        <f>"28523059    "</f>
        <v xml:space="preserve">28523059    </v>
      </c>
      <c r="E9319" t="s">
        <v>764</v>
      </c>
      <c r="F9319" t="s">
        <v>765</v>
      </c>
      <c r="G9319">
        <v>15.46</v>
      </c>
      <c r="H9319">
        <v>250831</v>
      </c>
      <c r="I9319">
        <v>4500</v>
      </c>
      <c r="J9319" t="s">
        <v>312</v>
      </c>
      <c r="K9319">
        <v>23.24</v>
      </c>
      <c r="L9319">
        <v>3.14</v>
      </c>
      <c r="M9319">
        <v>16321</v>
      </c>
      <c r="N9319" t="s">
        <v>16</v>
      </c>
      <c r="O9319">
        <v>250904</v>
      </c>
      <c r="P9319">
        <v>12.32</v>
      </c>
    </row>
    <row r="9320" spans="1:16" x14ac:dyDescent="0.25">
      <c r="A9320" t="s">
        <v>3296</v>
      </c>
      <c r="B9320" t="s">
        <v>2931</v>
      </c>
      <c r="C9320">
        <v>3663</v>
      </c>
      <c r="D9320" t="str">
        <f>"28522461    "</f>
        <v xml:space="preserve">28522461    </v>
      </c>
      <c r="E9320" t="s">
        <v>764</v>
      </c>
      <c r="F9320" t="s">
        <v>765</v>
      </c>
      <c r="G9320">
        <v>13.22</v>
      </c>
      <c r="H9320">
        <v>250317</v>
      </c>
      <c r="I9320">
        <v>4510</v>
      </c>
      <c r="J9320" t="s">
        <v>240</v>
      </c>
      <c r="K9320">
        <v>82.97</v>
      </c>
      <c r="L9320">
        <v>2.69</v>
      </c>
      <c r="M9320">
        <v>13802</v>
      </c>
      <c r="N9320" t="s">
        <v>34</v>
      </c>
      <c r="O9320">
        <v>250328</v>
      </c>
      <c r="P9320">
        <v>10.53</v>
      </c>
    </row>
    <row r="9321" spans="1:16" x14ac:dyDescent="0.25">
      <c r="A9321" t="s">
        <v>3296</v>
      </c>
      <c r="B9321" t="s">
        <v>2931</v>
      </c>
      <c r="C9321">
        <v>870</v>
      </c>
      <c r="D9321" t="str">
        <f>"28522134    "</f>
        <v xml:space="preserve">28522134    </v>
      </c>
      <c r="E9321" t="s">
        <v>764</v>
      </c>
      <c r="F9321" t="s">
        <v>765</v>
      </c>
      <c r="G9321">
        <v>13.56</v>
      </c>
      <c r="H9321">
        <v>250101</v>
      </c>
      <c r="I9321">
        <v>4520</v>
      </c>
      <c r="J9321" t="s">
        <v>280</v>
      </c>
      <c r="K9321">
        <v>15.55</v>
      </c>
      <c r="L9321">
        <v>1.67</v>
      </c>
      <c r="M9321">
        <v>16321</v>
      </c>
      <c r="N9321" t="s">
        <v>16</v>
      </c>
      <c r="O9321">
        <v>250130</v>
      </c>
      <c r="P9321">
        <v>11.89</v>
      </c>
    </row>
    <row r="9322" spans="1:16" x14ac:dyDescent="0.25">
      <c r="A9322" t="s">
        <v>3296</v>
      </c>
      <c r="B9322" t="s">
        <v>2931</v>
      </c>
      <c r="C9322">
        <v>2563</v>
      </c>
      <c r="D9322" t="str">
        <f>"28522340    "</f>
        <v xml:space="preserve">28522340    </v>
      </c>
      <c r="E9322" t="s">
        <v>764</v>
      </c>
      <c r="F9322" t="s">
        <v>765</v>
      </c>
      <c r="G9322">
        <v>55.04</v>
      </c>
      <c r="H9322">
        <v>250215</v>
      </c>
      <c r="I9322">
        <v>4520</v>
      </c>
      <c r="J9322" t="s">
        <v>280</v>
      </c>
      <c r="K9322">
        <v>240.39</v>
      </c>
      <c r="L9322">
        <v>6.76</v>
      </c>
      <c r="M9322">
        <v>16321</v>
      </c>
      <c r="N9322" t="s">
        <v>16</v>
      </c>
      <c r="O9322">
        <v>250305</v>
      </c>
      <c r="P9322">
        <v>48.28</v>
      </c>
    </row>
    <row r="9323" spans="1:16" x14ac:dyDescent="0.25">
      <c r="A9323" t="s">
        <v>3296</v>
      </c>
      <c r="B9323" t="s">
        <v>2931</v>
      </c>
      <c r="C9323">
        <v>3663</v>
      </c>
      <c r="D9323" t="str">
        <f>"28522461    "</f>
        <v xml:space="preserve">28522461    </v>
      </c>
      <c r="E9323" t="s">
        <v>764</v>
      </c>
      <c r="F9323" t="s">
        <v>765</v>
      </c>
      <c r="G9323">
        <v>2.79</v>
      </c>
      <c r="H9323">
        <v>250317</v>
      </c>
      <c r="I9323">
        <v>4520</v>
      </c>
      <c r="J9323" t="s">
        <v>280</v>
      </c>
      <c r="K9323">
        <v>82.97</v>
      </c>
      <c r="L9323">
        <v>0.34</v>
      </c>
      <c r="M9323">
        <v>13802</v>
      </c>
      <c r="N9323" t="s">
        <v>34</v>
      </c>
      <c r="O9323">
        <v>250328</v>
      </c>
      <c r="P9323">
        <v>2.4500000000000002</v>
      </c>
    </row>
    <row r="9324" spans="1:16" x14ac:dyDescent="0.25">
      <c r="A9324" t="s">
        <v>3296</v>
      </c>
      <c r="B9324" t="s">
        <v>2931</v>
      </c>
      <c r="C9324">
        <v>4560</v>
      </c>
      <c r="D9324" t="str">
        <f>"29521949    "</f>
        <v xml:space="preserve">29521949    </v>
      </c>
      <c r="E9324" t="s">
        <v>764</v>
      </c>
      <c r="F9324" t="s">
        <v>765</v>
      </c>
      <c r="G9324">
        <v>43.73</v>
      </c>
      <c r="H9324">
        <v>250331</v>
      </c>
      <c r="I9324">
        <v>4520</v>
      </c>
      <c r="J9324" t="s">
        <v>280</v>
      </c>
      <c r="K9324">
        <v>122.06</v>
      </c>
      <c r="L9324">
        <v>5.37</v>
      </c>
      <c r="M9324">
        <v>13801</v>
      </c>
      <c r="N9324" t="s">
        <v>33</v>
      </c>
      <c r="O9324">
        <v>250414</v>
      </c>
      <c r="P9324">
        <v>38.36</v>
      </c>
    </row>
    <row r="9325" spans="1:16" x14ac:dyDescent="0.25">
      <c r="A9325" t="s">
        <v>3296</v>
      </c>
      <c r="B9325" t="s">
        <v>2931</v>
      </c>
      <c r="C9325">
        <v>4567</v>
      </c>
      <c r="D9325" t="str">
        <f>"28522508    "</f>
        <v xml:space="preserve">28522508    </v>
      </c>
      <c r="E9325" t="s">
        <v>764</v>
      </c>
      <c r="F9325" t="s">
        <v>765</v>
      </c>
      <c r="G9325">
        <v>6.72</v>
      </c>
      <c r="H9325">
        <v>250331</v>
      </c>
      <c r="I9325">
        <v>4520</v>
      </c>
      <c r="J9325" t="s">
        <v>280</v>
      </c>
      <c r="K9325">
        <v>6.72</v>
      </c>
      <c r="L9325">
        <v>1.37</v>
      </c>
      <c r="M9325">
        <v>13802</v>
      </c>
      <c r="N9325" t="s">
        <v>34</v>
      </c>
      <c r="O9325">
        <v>250414</v>
      </c>
      <c r="P9325">
        <v>5.35</v>
      </c>
    </row>
    <row r="9326" spans="1:16" x14ac:dyDescent="0.25">
      <c r="A9326" t="s">
        <v>3296</v>
      </c>
      <c r="B9326" t="s">
        <v>2931</v>
      </c>
      <c r="C9326">
        <v>4574</v>
      </c>
      <c r="D9326" t="str">
        <f>"28522490    "</f>
        <v xml:space="preserve">28522490    </v>
      </c>
      <c r="E9326" t="s">
        <v>764</v>
      </c>
      <c r="F9326" t="s">
        <v>765</v>
      </c>
      <c r="G9326">
        <v>21.32</v>
      </c>
      <c r="H9326">
        <v>250331</v>
      </c>
      <c r="I9326">
        <v>4520</v>
      </c>
      <c r="J9326" t="s">
        <v>280</v>
      </c>
      <c r="K9326">
        <v>54.14</v>
      </c>
      <c r="L9326">
        <v>2.62</v>
      </c>
      <c r="M9326">
        <v>16321</v>
      </c>
      <c r="N9326" t="s">
        <v>16</v>
      </c>
      <c r="O9326">
        <v>250414</v>
      </c>
      <c r="P9326">
        <v>18.7</v>
      </c>
    </row>
    <row r="9327" spans="1:16" x14ac:dyDescent="0.25">
      <c r="A9327" t="s">
        <v>3296</v>
      </c>
      <c r="B9327" t="s">
        <v>2931</v>
      </c>
      <c r="C9327">
        <v>5382</v>
      </c>
      <c r="D9327" t="str">
        <f>"29522044    "</f>
        <v xml:space="preserve">29522044    </v>
      </c>
      <c r="E9327" t="s">
        <v>764</v>
      </c>
      <c r="F9327" t="s">
        <v>765</v>
      </c>
      <c r="G9327">
        <v>47.2</v>
      </c>
      <c r="H9327">
        <v>250415</v>
      </c>
      <c r="I9327">
        <v>4520</v>
      </c>
      <c r="J9327" t="s">
        <v>280</v>
      </c>
      <c r="K9327">
        <v>173.42</v>
      </c>
      <c r="L9327">
        <v>5.8</v>
      </c>
      <c r="M9327">
        <v>13801</v>
      </c>
      <c r="N9327" t="s">
        <v>33</v>
      </c>
      <c r="O9327">
        <v>250424</v>
      </c>
      <c r="P9327">
        <v>41.4</v>
      </c>
    </row>
    <row r="9328" spans="1:16" x14ac:dyDescent="0.25">
      <c r="A9328" t="s">
        <v>3296</v>
      </c>
      <c r="B9328" t="s">
        <v>2931</v>
      </c>
      <c r="C9328">
        <v>5382</v>
      </c>
      <c r="D9328" t="str">
        <f>"29522044    "</f>
        <v xml:space="preserve">29522044    </v>
      </c>
      <c r="E9328" t="s">
        <v>764</v>
      </c>
      <c r="F9328" t="s">
        <v>765</v>
      </c>
      <c r="G9328">
        <v>82.94</v>
      </c>
      <c r="H9328">
        <v>250415</v>
      </c>
      <c r="I9328">
        <v>4520</v>
      </c>
      <c r="J9328" t="s">
        <v>280</v>
      </c>
      <c r="K9328">
        <v>173.42</v>
      </c>
      <c r="L9328">
        <v>10.19</v>
      </c>
      <c r="M9328">
        <v>13802</v>
      </c>
      <c r="N9328" t="s">
        <v>34</v>
      </c>
      <c r="O9328">
        <v>250424</v>
      </c>
      <c r="P9328">
        <v>72.75</v>
      </c>
    </row>
    <row r="9329" spans="1:16" x14ac:dyDescent="0.25">
      <c r="A9329" t="s">
        <v>3296</v>
      </c>
      <c r="B9329" t="s">
        <v>2931</v>
      </c>
      <c r="C9329">
        <v>6755</v>
      </c>
      <c r="D9329" t="str">
        <f>"29522082    "</f>
        <v xml:space="preserve">29522082    </v>
      </c>
      <c r="E9329" t="s">
        <v>764</v>
      </c>
      <c r="F9329" t="s">
        <v>765</v>
      </c>
      <c r="G9329">
        <v>22.13</v>
      </c>
      <c r="H9329">
        <v>250430</v>
      </c>
      <c r="I9329">
        <v>4520</v>
      </c>
      <c r="J9329" t="s">
        <v>280</v>
      </c>
      <c r="K9329">
        <v>27.31</v>
      </c>
      <c r="L9329">
        <v>2.72</v>
      </c>
      <c r="M9329">
        <v>13802</v>
      </c>
      <c r="N9329" t="s">
        <v>34</v>
      </c>
      <c r="O9329">
        <v>250516</v>
      </c>
      <c r="P9329">
        <v>19.41</v>
      </c>
    </row>
    <row r="9330" spans="1:16" x14ac:dyDescent="0.25">
      <c r="A9330" t="s">
        <v>3296</v>
      </c>
      <c r="B9330" t="s">
        <v>2931</v>
      </c>
      <c r="C9330">
        <v>8047</v>
      </c>
      <c r="D9330" t="str">
        <f>"29522216    "</f>
        <v xml:space="preserve">29522216    </v>
      </c>
      <c r="E9330" t="s">
        <v>764</v>
      </c>
      <c r="F9330" t="s">
        <v>765</v>
      </c>
      <c r="G9330">
        <v>28.23</v>
      </c>
      <c r="H9330">
        <v>250528</v>
      </c>
      <c r="I9330">
        <v>4520</v>
      </c>
      <c r="J9330" t="s">
        <v>280</v>
      </c>
      <c r="K9330">
        <v>28.23</v>
      </c>
      <c r="L9330">
        <v>3.47</v>
      </c>
      <c r="M9330">
        <v>13861</v>
      </c>
      <c r="N9330" t="s">
        <v>604</v>
      </c>
      <c r="O9330">
        <v>250611</v>
      </c>
      <c r="P9330">
        <v>24.76</v>
      </c>
    </row>
    <row r="9331" spans="1:16" x14ac:dyDescent="0.25">
      <c r="A9331" t="s">
        <v>3296</v>
      </c>
      <c r="B9331" t="s">
        <v>2931</v>
      </c>
      <c r="C9331">
        <v>8050</v>
      </c>
      <c r="D9331" t="str">
        <f>"28522731    "</f>
        <v xml:space="preserve">28522731    </v>
      </c>
      <c r="E9331" t="s">
        <v>764</v>
      </c>
      <c r="F9331" t="s">
        <v>765</v>
      </c>
      <c r="G9331">
        <v>36.49</v>
      </c>
      <c r="H9331">
        <v>250531</v>
      </c>
      <c r="I9331">
        <v>4520</v>
      </c>
      <c r="J9331" t="s">
        <v>280</v>
      </c>
      <c r="K9331">
        <v>38.68</v>
      </c>
      <c r="L9331">
        <v>4.4800000000000004</v>
      </c>
      <c r="M9331">
        <v>16321</v>
      </c>
      <c r="N9331" t="s">
        <v>16</v>
      </c>
      <c r="O9331">
        <v>250611</v>
      </c>
      <c r="P9331">
        <v>32.01</v>
      </c>
    </row>
    <row r="9332" spans="1:16" x14ac:dyDescent="0.25">
      <c r="A9332" t="s">
        <v>3296</v>
      </c>
      <c r="B9332" t="s">
        <v>2931</v>
      </c>
      <c r="C9332">
        <v>11392</v>
      </c>
      <c r="D9332" t="str">
        <f>"28523059    "</f>
        <v xml:space="preserve">28523059    </v>
      </c>
      <c r="E9332" t="s">
        <v>764</v>
      </c>
      <c r="F9332" t="s">
        <v>765</v>
      </c>
      <c r="G9332">
        <v>7.78</v>
      </c>
      <c r="H9332">
        <v>250831</v>
      </c>
      <c r="I9332">
        <v>4520</v>
      </c>
      <c r="J9332" t="s">
        <v>280</v>
      </c>
      <c r="K9332">
        <v>23.24</v>
      </c>
      <c r="L9332">
        <v>0.96</v>
      </c>
      <c r="M9332">
        <v>16321</v>
      </c>
      <c r="N9332" t="s">
        <v>16</v>
      </c>
      <c r="O9332">
        <v>250904</v>
      </c>
      <c r="P9332">
        <v>6.82</v>
      </c>
    </row>
    <row r="9333" spans="1:16" x14ac:dyDescent="0.25">
      <c r="A9333" t="s">
        <v>3296</v>
      </c>
      <c r="B9333" t="s">
        <v>2931</v>
      </c>
      <c r="C9333">
        <v>13919</v>
      </c>
      <c r="D9333" t="str">
        <f>"28523265    "</f>
        <v xml:space="preserve">28523265    </v>
      </c>
      <c r="E9333" t="s">
        <v>764</v>
      </c>
      <c r="F9333" t="s">
        <v>765</v>
      </c>
      <c r="G9333">
        <v>16</v>
      </c>
      <c r="H9333">
        <v>251015</v>
      </c>
      <c r="I9333">
        <v>4520</v>
      </c>
      <c r="J9333" t="s">
        <v>280</v>
      </c>
      <c r="K9333">
        <v>71.42</v>
      </c>
      <c r="L9333">
        <v>1.96</v>
      </c>
      <c r="M9333">
        <v>16321</v>
      </c>
      <c r="N9333" t="s">
        <v>16</v>
      </c>
      <c r="O9333">
        <v>251020</v>
      </c>
      <c r="P9333">
        <v>14.04</v>
      </c>
    </row>
    <row r="9334" spans="1:16" x14ac:dyDescent="0.25">
      <c r="A9334" t="s">
        <v>3296</v>
      </c>
      <c r="B9334" t="s">
        <v>2931</v>
      </c>
      <c r="C9334">
        <v>14567</v>
      </c>
      <c r="D9334" t="str">
        <f>"29522806    "</f>
        <v xml:space="preserve">29522806    </v>
      </c>
      <c r="E9334" t="s">
        <v>764</v>
      </c>
      <c r="F9334" t="s">
        <v>765</v>
      </c>
      <c r="G9334">
        <v>42.05</v>
      </c>
      <c r="H9334">
        <v>251031</v>
      </c>
      <c r="I9334">
        <v>4520</v>
      </c>
      <c r="J9334" t="s">
        <v>280</v>
      </c>
      <c r="K9334">
        <v>44.14</v>
      </c>
      <c r="L9334">
        <v>5.16</v>
      </c>
      <c r="M9334">
        <v>13861</v>
      </c>
      <c r="N9334" t="s">
        <v>604</v>
      </c>
      <c r="O9334">
        <v>251104</v>
      </c>
      <c r="P9334">
        <v>36.89</v>
      </c>
    </row>
    <row r="9335" spans="1:16" x14ac:dyDescent="0.25">
      <c r="A9335" t="s">
        <v>3296</v>
      </c>
      <c r="B9335" t="s">
        <v>2931</v>
      </c>
      <c r="C9335">
        <v>15441</v>
      </c>
      <c r="D9335" t="str">
        <f>"29522896    "</f>
        <v xml:space="preserve">29522896    </v>
      </c>
      <c r="E9335" t="s">
        <v>764</v>
      </c>
      <c r="F9335" t="s">
        <v>765</v>
      </c>
      <c r="G9335">
        <v>35.35</v>
      </c>
      <c r="H9335">
        <v>251115</v>
      </c>
      <c r="I9335">
        <v>4520</v>
      </c>
      <c r="J9335" t="s">
        <v>280</v>
      </c>
      <c r="K9335">
        <v>63.84</v>
      </c>
      <c r="L9335">
        <v>4.34</v>
      </c>
      <c r="M9335">
        <v>13861</v>
      </c>
      <c r="N9335" t="s">
        <v>604</v>
      </c>
      <c r="O9335">
        <v>251120</v>
      </c>
      <c r="P9335">
        <v>31.01</v>
      </c>
    </row>
    <row r="9336" spans="1:16" x14ac:dyDescent="0.25">
      <c r="A9336" t="s">
        <v>3296</v>
      </c>
      <c r="B9336" t="s">
        <v>2931</v>
      </c>
      <c r="C9336">
        <v>15695</v>
      </c>
      <c r="D9336" t="str">
        <f>"28523322    "</f>
        <v xml:space="preserve">28523322    </v>
      </c>
      <c r="E9336" t="s">
        <v>764</v>
      </c>
      <c r="F9336" t="s">
        <v>765</v>
      </c>
      <c r="G9336">
        <v>18.47</v>
      </c>
      <c r="H9336">
        <v>251101</v>
      </c>
      <c r="I9336">
        <v>4520</v>
      </c>
      <c r="J9336" t="s">
        <v>280</v>
      </c>
      <c r="K9336">
        <v>47.38</v>
      </c>
      <c r="L9336">
        <v>2.27</v>
      </c>
      <c r="M9336">
        <v>16321</v>
      </c>
      <c r="N9336" t="s">
        <v>16</v>
      </c>
      <c r="O9336">
        <v>251125</v>
      </c>
      <c r="P9336">
        <v>16.2</v>
      </c>
    </row>
    <row r="9337" spans="1:16" x14ac:dyDescent="0.25">
      <c r="A9337" t="s">
        <v>3296</v>
      </c>
      <c r="B9337" t="s">
        <v>2931</v>
      </c>
      <c r="C9337">
        <v>15695</v>
      </c>
      <c r="D9337" t="str">
        <f>"28523322    "</f>
        <v xml:space="preserve">28523322    </v>
      </c>
      <c r="E9337" t="s">
        <v>764</v>
      </c>
      <c r="F9337" t="s">
        <v>765</v>
      </c>
      <c r="G9337">
        <v>28.91</v>
      </c>
      <c r="H9337">
        <v>251101</v>
      </c>
      <c r="I9337">
        <v>4520</v>
      </c>
      <c r="J9337" t="s">
        <v>280</v>
      </c>
      <c r="K9337">
        <v>47.38</v>
      </c>
      <c r="L9337">
        <v>5.87</v>
      </c>
      <c r="M9337">
        <v>16321</v>
      </c>
      <c r="N9337" t="s">
        <v>16</v>
      </c>
      <c r="O9337">
        <v>251125</v>
      </c>
      <c r="P9337">
        <v>23.04</v>
      </c>
    </row>
    <row r="9338" spans="1:16" x14ac:dyDescent="0.25">
      <c r="A9338" t="s">
        <v>3296</v>
      </c>
      <c r="B9338" t="s">
        <v>2931</v>
      </c>
      <c r="C9338">
        <v>16336</v>
      </c>
      <c r="D9338" t="str">
        <f>"28523401    "</f>
        <v xml:space="preserve">28523401    </v>
      </c>
      <c r="E9338" t="s">
        <v>764</v>
      </c>
      <c r="F9338" t="s">
        <v>765</v>
      </c>
      <c r="G9338">
        <v>25.16</v>
      </c>
      <c r="H9338">
        <v>251115</v>
      </c>
      <c r="I9338">
        <v>4520</v>
      </c>
      <c r="J9338" t="s">
        <v>280</v>
      </c>
      <c r="K9338">
        <v>31.14</v>
      </c>
      <c r="L9338">
        <v>3.09</v>
      </c>
      <c r="M9338">
        <v>16321</v>
      </c>
      <c r="N9338" t="s">
        <v>16</v>
      </c>
      <c r="O9338">
        <v>251208</v>
      </c>
      <c r="P9338">
        <v>22.07</v>
      </c>
    </row>
    <row r="9339" spans="1:16" x14ac:dyDescent="0.25">
      <c r="A9339" t="s">
        <v>3296</v>
      </c>
      <c r="B9339" t="s">
        <v>2931</v>
      </c>
      <c r="C9339">
        <v>16634</v>
      </c>
      <c r="D9339" t="str">
        <f>"29522934    "</f>
        <v xml:space="preserve">29522934    </v>
      </c>
      <c r="E9339" t="s">
        <v>764</v>
      </c>
      <c r="F9339" t="s">
        <v>765</v>
      </c>
      <c r="G9339">
        <v>39.270000000000003</v>
      </c>
      <c r="H9339">
        <v>251130</v>
      </c>
      <c r="I9339">
        <v>4520</v>
      </c>
      <c r="J9339" t="s">
        <v>280</v>
      </c>
      <c r="K9339">
        <v>113.73</v>
      </c>
      <c r="L9339">
        <v>4.82</v>
      </c>
      <c r="M9339">
        <v>13802</v>
      </c>
      <c r="N9339" t="s">
        <v>34</v>
      </c>
      <c r="O9339">
        <v>251211</v>
      </c>
      <c r="P9339">
        <v>34.450000000000003</v>
      </c>
    </row>
    <row r="9340" spans="1:16" x14ac:dyDescent="0.25">
      <c r="A9340" t="s">
        <v>3296</v>
      </c>
      <c r="B9340" t="s">
        <v>2931</v>
      </c>
      <c r="C9340">
        <v>16836</v>
      </c>
      <c r="D9340" t="str">
        <f>"28523471    "</f>
        <v xml:space="preserve">28523471    </v>
      </c>
      <c r="E9340" t="s">
        <v>764</v>
      </c>
      <c r="F9340" t="s">
        <v>765</v>
      </c>
      <c r="G9340">
        <v>2.39</v>
      </c>
      <c r="H9340">
        <v>251130</v>
      </c>
      <c r="I9340">
        <v>4520</v>
      </c>
      <c r="J9340" t="s">
        <v>280</v>
      </c>
      <c r="K9340">
        <v>130.49</v>
      </c>
      <c r="L9340">
        <v>0.49</v>
      </c>
      <c r="M9340">
        <v>13802</v>
      </c>
      <c r="N9340" t="s">
        <v>34</v>
      </c>
      <c r="O9340">
        <v>251212</v>
      </c>
      <c r="P9340">
        <v>1.9</v>
      </c>
    </row>
    <row r="9341" spans="1:16" x14ac:dyDescent="0.25">
      <c r="A9341" t="s">
        <v>3296</v>
      </c>
      <c r="B9341" t="s">
        <v>2931</v>
      </c>
      <c r="C9341">
        <v>16836</v>
      </c>
      <c r="D9341" t="str">
        <f>"28523471    "</f>
        <v xml:space="preserve">28523471    </v>
      </c>
      <c r="E9341" t="s">
        <v>764</v>
      </c>
      <c r="F9341" t="s">
        <v>765</v>
      </c>
      <c r="G9341">
        <v>5.28</v>
      </c>
      <c r="H9341">
        <v>251130</v>
      </c>
      <c r="I9341">
        <v>4520</v>
      </c>
      <c r="J9341" t="s">
        <v>280</v>
      </c>
      <c r="K9341">
        <v>130.49</v>
      </c>
      <c r="L9341">
        <v>0.65</v>
      </c>
      <c r="M9341">
        <v>13802</v>
      </c>
      <c r="N9341" t="s">
        <v>34</v>
      </c>
      <c r="O9341">
        <v>251212</v>
      </c>
      <c r="P9341">
        <v>4.63</v>
      </c>
    </row>
    <row r="9342" spans="1:16" x14ac:dyDescent="0.25">
      <c r="A9342" t="s">
        <v>3296</v>
      </c>
      <c r="B9342" t="s">
        <v>2931</v>
      </c>
      <c r="C9342">
        <v>17031</v>
      </c>
      <c r="D9342" t="str">
        <f>"29523035    "</f>
        <v xml:space="preserve">29523035    </v>
      </c>
      <c r="E9342" t="s">
        <v>764</v>
      </c>
      <c r="F9342" t="s">
        <v>765</v>
      </c>
      <c r="G9342">
        <v>20.54</v>
      </c>
      <c r="H9342">
        <v>251215</v>
      </c>
      <c r="I9342">
        <v>4520</v>
      </c>
      <c r="J9342" t="s">
        <v>280</v>
      </c>
      <c r="K9342">
        <v>126.89</v>
      </c>
      <c r="L9342">
        <v>0</v>
      </c>
      <c r="M9342">
        <v>13801</v>
      </c>
      <c r="N9342" t="s">
        <v>33</v>
      </c>
      <c r="O9342">
        <v>251216</v>
      </c>
      <c r="P9342">
        <v>20.54</v>
      </c>
    </row>
    <row r="9343" spans="1:16" x14ac:dyDescent="0.25">
      <c r="A9343" t="s">
        <v>3296</v>
      </c>
      <c r="B9343" t="s">
        <v>2931</v>
      </c>
      <c r="C9343">
        <v>17589</v>
      </c>
      <c r="D9343" t="str">
        <f>"28523458    "</f>
        <v xml:space="preserve">28523458    </v>
      </c>
      <c r="E9343" t="s">
        <v>764</v>
      </c>
      <c r="F9343" t="s">
        <v>765</v>
      </c>
      <c r="G9343">
        <v>40.5</v>
      </c>
      <c r="H9343">
        <v>251201</v>
      </c>
      <c r="I9343">
        <v>4520</v>
      </c>
      <c r="J9343" t="s">
        <v>280</v>
      </c>
      <c r="K9343">
        <v>40.799999999999997</v>
      </c>
      <c r="L9343">
        <v>4.97</v>
      </c>
      <c r="M9343">
        <v>16321</v>
      </c>
      <c r="N9343" t="s">
        <v>16</v>
      </c>
      <c r="O9343">
        <v>251223</v>
      </c>
      <c r="P9343">
        <v>35.53</v>
      </c>
    </row>
    <row r="9344" spans="1:16" x14ac:dyDescent="0.25">
      <c r="A9344" t="s">
        <v>3296</v>
      </c>
      <c r="B9344" t="s">
        <v>2931</v>
      </c>
      <c r="C9344">
        <v>17888</v>
      </c>
      <c r="D9344" t="str">
        <f>"28523540    "</f>
        <v xml:space="preserve">28523540    </v>
      </c>
      <c r="E9344" t="s">
        <v>764</v>
      </c>
      <c r="F9344" t="s">
        <v>765</v>
      </c>
      <c r="G9344">
        <v>21.67</v>
      </c>
      <c r="H9344">
        <v>251215</v>
      </c>
      <c r="I9344">
        <v>4520</v>
      </c>
      <c r="J9344" t="s">
        <v>280</v>
      </c>
      <c r="K9344">
        <v>74.849999999999994</v>
      </c>
      <c r="L9344">
        <v>2.66</v>
      </c>
      <c r="M9344">
        <v>13802</v>
      </c>
      <c r="N9344" t="s">
        <v>34</v>
      </c>
      <c r="O9344">
        <v>260102</v>
      </c>
      <c r="P9344">
        <v>19.010000000000002</v>
      </c>
    </row>
    <row r="9345" spans="1:16" x14ac:dyDescent="0.25">
      <c r="A9345" t="s">
        <v>3296</v>
      </c>
      <c r="B9345" t="s">
        <v>2931</v>
      </c>
      <c r="C9345">
        <v>17888</v>
      </c>
      <c r="D9345" t="str">
        <f>"28523540    "</f>
        <v xml:space="preserve">28523540    </v>
      </c>
      <c r="E9345" t="s">
        <v>764</v>
      </c>
      <c r="F9345" t="s">
        <v>765</v>
      </c>
      <c r="G9345">
        <v>24.84</v>
      </c>
      <c r="H9345">
        <v>251215</v>
      </c>
      <c r="I9345">
        <v>4520</v>
      </c>
      <c r="J9345" t="s">
        <v>280</v>
      </c>
      <c r="K9345">
        <v>74.849999999999994</v>
      </c>
      <c r="L9345">
        <v>3.05</v>
      </c>
      <c r="M9345">
        <v>13802</v>
      </c>
      <c r="N9345" t="s">
        <v>34</v>
      </c>
      <c r="O9345">
        <v>260102</v>
      </c>
      <c r="P9345">
        <v>21.79</v>
      </c>
    </row>
    <row r="9346" spans="1:16" x14ac:dyDescent="0.25">
      <c r="A9346" t="s">
        <v>3296</v>
      </c>
      <c r="B9346" t="s">
        <v>2931</v>
      </c>
      <c r="C9346">
        <v>18060</v>
      </c>
      <c r="D9346" t="str">
        <f>"28523572    "</f>
        <v xml:space="preserve">28523572    </v>
      </c>
      <c r="E9346" t="s">
        <v>764</v>
      </c>
      <c r="F9346" t="s">
        <v>765</v>
      </c>
      <c r="G9346">
        <v>68.36</v>
      </c>
      <c r="H9346">
        <v>251231</v>
      </c>
      <c r="I9346">
        <v>4520</v>
      </c>
      <c r="J9346" t="s">
        <v>280</v>
      </c>
      <c r="K9346">
        <v>95.47</v>
      </c>
      <c r="L9346">
        <v>8.4</v>
      </c>
      <c r="M9346">
        <v>16321</v>
      </c>
      <c r="N9346" t="s">
        <v>16</v>
      </c>
      <c r="O9346">
        <v>260108</v>
      </c>
      <c r="P9346">
        <v>59.96</v>
      </c>
    </row>
    <row r="9347" spans="1:16" x14ac:dyDescent="0.25">
      <c r="A9347" t="s">
        <v>3296</v>
      </c>
      <c r="B9347" t="s">
        <v>2931</v>
      </c>
      <c r="C9347">
        <v>11391</v>
      </c>
      <c r="D9347" t="str">
        <f>"28523076    "</f>
        <v xml:space="preserve">28523076    </v>
      </c>
      <c r="E9347" t="s">
        <v>764</v>
      </c>
      <c r="F9347" t="s">
        <v>765</v>
      </c>
      <c r="G9347">
        <v>58.98</v>
      </c>
      <c r="H9347">
        <v>250831</v>
      </c>
      <c r="I9347">
        <v>4530</v>
      </c>
      <c r="J9347" t="s">
        <v>293</v>
      </c>
      <c r="K9347">
        <v>93.25</v>
      </c>
      <c r="L9347">
        <v>11.98</v>
      </c>
      <c r="M9347">
        <v>13601</v>
      </c>
      <c r="N9347" t="s">
        <v>115</v>
      </c>
      <c r="O9347">
        <v>250904</v>
      </c>
      <c r="P9347">
        <v>47</v>
      </c>
    </row>
    <row r="9348" spans="1:16" x14ac:dyDescent="0.25">
      <c r="A9348" t="s">
        <v>3296</v>
      </c>
      <c r="B9348" t="s">
        <v>2931</v>
      </c>
      <c r="C9348">
        <v>870</v>
      </c>
      <c r="D9348" t="str">
        <f>"28522134    "</f>
        <v xml:space="preserve">28522134    </v>
      </c>
      <c r="E9348" t="s">
        <v>764</v>
      </c>
      <c r="F9348" t="s">
        <v>765</v>
      </c>
      <c r="G9348">
        <v>1.99</v>
      </c>
      <c r="H9348">
        <v>250101</v>
      </c>
      <c r="I9348">
        <v>4600</v>
      </c>
      <c r="J9348" t="s">
        <v>278</v>
      </c>
      <c r="K9348">
        <v>15.55</v>
      </c>
      <c r="L9348">
        <v>0.4</v>
      </c>
      <c r="M9348">
        <v>16321</v>
      </c>
      <c r="N9348" t="s">
        <v>16</v>
      </c>
      <c r="O9348">
        <v>250130</v>
      </c>
      <c r="P9348">
        <v>1.59</v>
      </c>
    </row>
    <row r="9349" spans="1:16" x14ac:dyDescent="0.25">
      <c r="A9349" t="s">
        <v>3296</v>
      </c>
      <c r="B9349" t="s">
        <v>2931</v>
      </c>
      <c r="C9349">
        <v>1936</v>
      </c>
      <c r="D9349" t="str">
        <f>"28522263    "</f>
        <v xml:space="preserve">28522263    </v>
      </c>
      <c r="E9349" t="s">
        <v>764</v>
      </c>
      <c r="F9349" t="s">
        <v>765</v>
      </c>
      <c r="G9349">
        <v>0.24</v>
      </c>
      <c r="H9349">
        <v>250131</v>
      </c>
      <c r="I9349">
        <v>4600</v>
      </c>
      <c r="J9349" t="s">
        <v>278</v>
      </c>
      <c r="K9349">
        <v>54.65</v>
      </c>
      <c r="L9349">
        <v>0.05</v>
      </c>
      <c r="M9349">
        <v>16321</v>
      </c>
      <c r="N9349" t="s">
        <v>16</v>
      </c>
      <c r="O9349">
        <v>250218</v>
      </c>
      <c r="P9349">
        <v>0.19</v>
      </c>
    </row>
    <row r="9350" spans="1:16" x14ac:dyDescent="0.25">
      <c r="A9350" t="s">
        <v>3296</v>
      </c>
      <c r="B9350" t="s">
        <v>2931</v>
      </c>
      <c r="C9350">
        <v>1936</v>
      </c>
      <c r="D9350" t="str">
        <f>"28522263    "</f>
        <v xml:space="preserve">28522263    </v>
      </c>
      <c r="E9350" t="s">
        <v>764</v>
      </c>
      <c r="F9350" t="s">
        <v>765</v>
      </c>
      <c r="G9350">
        <v>54.41</v>
      </c>
      <c r="H9350">
        <v>250131</v>
      </c>
      <c r="I9350">
        <v>4600</v>
      </c>
      <c r="J9350" t="s">
        <v>278</v>
      </c>
      <c r="K9350">
        <v>54.65</v>
      </c>
      <c r="L9350">
        <v>6.68</v>
      </c>
      <c r="M9350">
        <v>16321</v>
      </c>
      <c r="N9350" t="s">
        <v>16</v>
      </c>
      <c r="O9350">
        <v>250218</v>
      </c>
      <c r="P9350">
        <v>47.73</v>
      </c>
    </row>
    <row r="9351" spans="1:16" x14ac:dyDescent="0.25">
      <c r="A9351" t="s">
        <v>3296</v>
      </c>
      <c r="B9351" t="s">
        <v>2931</v>
      </c>
      <c r="C9351">
        <v>2563</v>
      </c>
      <c r="D9351" t="str">
        <f>"28522340    "</f>
        <v xml:space="preserve">28522340    </v>
      </c>
      <c r="E9351" t="s">
        <v>764</v>
      </c>
      <c r="F9351" t="s">
        <v>765</v>
      </c>
      <c r="G9351">
        <v>185.35</v>
      </c>
      <c r="H9351">
        <v>250215</v>
      </c>
      <c r="I9351">
        <v>4600</v>
      </c>
      <c r="J9351" t="s">
        <v>278</v>
      </c>
      <c r="K9351">
        <v>240.39</v>
      </c>
      <c r="L9351">
        <v>37.659999999999997</v>
      </c>
      <c r="M9351">
        <v>16321</v>
      </c>
      <c r="N9351" t="s">
        <v>16</v>
      </c>
      <c r="O9351">
        <v>250305</v>
      </c>
      <c r="P9351">
        <v>147.69</v>
      </c>
    </row>
    <row r="9352" spans="1:16" x14ac:dyDescent="0.25">
      <c r="A9352" t="s">
        <v>3296</v>
      </c>
      <c r="B9352" t="s">
        <v>2931</v>
      </c>
      <c r="C9352">
        <v>2902</v>
      </c>
      <c r="D9352" t="str">
        <f>"28522379    "</f>
        <v xml:space="preserve">28522379    </v>
      </c>
      <c r="E9352" t="s">
        <v>764</v>
      </c>
      <c r="F9352" t="s">
        <v>765</v>
      </c>
      <c r="G9352">
        <v>117.59</v>
      </c>
      <c r="H9352">
        <v>250228</v>
      </c>
      <c r="I9352">
        <v>4600</v>
      </c>
      <c r="J9352" t="s">
        <v>278</v>
      </c>
      <c r="K9352">
        <v>117.59</v>
      </c>
      <c r="L9352">
        <v>23.89</v>
      </c>
      <c r="M9352">
        <v>16321</v>
      </c>
      <c r="N9352" t="s">
        <v>16</v>
      </c>
      <c r="O9352">
        <v>250313</v>
      </c>
      <c r="P9352">
        <v>93.7</v>
      </c>
    </row>
    <row r="9353" spans="1:16" x14ac:dyDescent="0.25">
      <c r="A9353" t="s">
        <v>3296</v>
      </c>
      <c r="B9353" t="s">
        <v>2931</v>
      </c>
      <c r="C9353">
        <v>3663</v>
      </c>
      <c r="D9353" t="str">
        <f>"28522461    "</f>
        <v xml:space="preserve">28522461    </v>
      </c>
      <c r="E9353" t="s">
        <v>764</v>
      </c>
      <c r="F9353" t="s">
        <v>765</v>
      </c>
      <c r="G9353">
        <v>25.99</v>
      </c>
      <c r="H9353">
        <v>250317</v>
      </c>
      <c r="I9353">
        <v>4600</v>
      </c>
      <c r="J9353" t="s">
        <v>278</v>
      </c>
      <c r="K9353">
        <v>82.97</v>
      </c>
      <c r="L9353">
        <v>5.28</v>
      </c>
      <c r="M9353">
        <v>13801</v>
      </c>
      <c r="N9353" t="s">
        <v>33</v>
      </c>
      <c r="O9353">
        <v>250328</v>
      </c>
      <c r="P9353">
        <v>20.71</v>
      </c>
    </row>
    <row r="9354" spans="1:16" x14ac:dyDescent="0.25">
      <c r="A9354" t="s">
        <v>3296</v>
      </c>
      <c r="B9354" t="s">
        <v>2931</v>
      </c>
      <c r="C9354">
        <v>3663</v>
      </c>
      <c r="D9354" t="str">
        <f>"28522461    "</f>
        <v xml:space="preserve">28522461    </v>
      </c>
      <c r="E9354" t="s">
        <v>764</v>
      </c>
      <c r="F9354" t="s">
        <v>765</v>
      </c>
      <c r="G9354">
        <v>40.97</v>
      </c>
      <c r="H9354">
        <v>250317</v>
      </c>
      <c r="I9354">
        <v>4600</v>
      </c>
      <c r="J9354" t="s">
        <v>278</v>
      </c>
      <c r="K9354">
        <v>82.97</v>
      </c>
      <c r="L9354">
        <v>8.32</v>
      </c>
      <c r="M9354">
        <v>13801</v>
      </c>
      <c r="N9354" t="s">
        <v>33</v>
      </c>
      <c r="O9354">
        <v>250328</v>
      </c>
      <c r="P9354">
        <v>32.65</v>
      </c>
    </row>
    <row r="9355" spans="1:16" x14ac:dyDescent="0.25">
      <c r="A9355" t="s">
        <v>3296</v>
      </c>
      <c r="B9355" t="s">
        <v>2931</v>
      </c>
      <c r="C9355">
        <v>4560</v>
      </c>
      <c r="D9355" t="str">
        <f>"29521949    "</f>
        <v xml:space="preserve">29521949    </v>
      </c>
      <c r="E9355" t="s">
        <v>764</v>
      </c>
      <c r="F9355" t="s">
        <v>765</v>
      </c>
      <c r="G9355">
        <v>78.33</v>
      </c>
      <c r="H9355">
        <v>250331</v>
      </c>
      <c r="I9355">
        <v>4600</v>
      </c>
      <c r="J9355" t="s">
        <v>278</v>
      </c>
      <c r="K9355">
        <v>122.06</v>
      </c>
      <c r="L9355">
        <v>15.92</v>
      </c>
      <c r="M9355">
        <v>13801</v>
      </c>
      <c r="N9355" t="s">
        <v>33</v>
      </c>
      <c r="O9355">
        <v>250414</v>
      </c>
      <c r="P9355">
        <v>62.41</v>
      </c>
    </row>
    <row r="9356" spans="1:16" x14ac:dyDescent="0.25">
      <c r="A9356" t="s">
        <v>3296</v>
      </c>
      <c r="B9356" t="s">
        <v>2931</v>
      </c>
      <c r="C9356">
        <v>4574</v>
      </c>
      <c r="D9356" t="str">
        <f>"28522490    "</f>
        <v xml:space="preserve">28522490    </v>
      </c>
      <c r="E9356" t="s">
        <v>764</v>
      </c>
      <c r="F9356" t="s">
        <v>765</v>
      </c>
      <c r="G9356">
        <v>32.82</v>
      </c>
      <c r="H9356">
        <v>250331</v>
      </c>
      <c r="I9356">
        <v>4600</v>
      </c>
      <c r="J9356" t="s">
        <v>278</v>
      </c>
      <c r="K9356">
        <v>54.14</v>
      </c>
      <c r="L9356">
        <v>6.67</v>
      </c>
      <c r="M9356">
        <v>16321</v>
      </c>
      <c r="N9356" t="s">
        <v>16</v>
      </c>
      <c r="O9356">
        <v>250414</v>
      </c>
      <c r="P9356">
        <v>26.15</v>
      </c>
    </row>
    <row r="9357" spans="1:16" x14ac:dyDescent="0.25">
      <c r="A9357" t="s">
        <v>3296</v>
      </c>
      <c r="B9357" t="s">
        <v>2931</v>
      </c>
      <c r="C9357">
        <v>5382</v>
      </c>
      <c r="D9357" t="str">
        <f>"29522044    "</f>
        <v xml:space="preserve">29522044    </v>
      </c>
      <c r="E9357" t="s">
        <v>764</v>
      </c>
      <c r="F9357" t="s">
        <v>765</v>
      </c>
      <c r="G9357">
        <v>23.9</v>
      </c>
      <c r="H9357">
        <v>250415</v>
      </c>
      <c r="I9357">
        <v>4600</v>
      </c>
      <c r="J9357" t="s">
        <v>278</v>
      </c>
      <c r="K9357">
        <v>173.42</v>
      </c>
      <c r="L9357">
        <v>4.8600000000000003</v>
      </c>
      <c r="M9357">
        <v>13801</v>
      </c>
      <c r="N9357" t="s">
        <v>33</v>
      </c>
      <c r="O9357">
        <v>250424</v>
      </c>
      <c r="P9357">
        <v>19.04</v>
      </c>
    </row>
    <row r="9358" spans="1:16" x14ac:dyDescent="0.25">
      <c r="A9358" t="s">
        <v>3296</v>
      </c>
      <c r="B9358" t="s">
        <v>2931</v>
      </c>
      <c r="C9358">
        <v>6755</v>
      </c>
      <c r="D9358" t="str">
        <f>"29522082    "</f>
        <v xml:space="preserve">29522082    </v>
      </c>
      <c r="E9358" t="s">
        <v>764</v>
      </c>
      <c r="F9358" t="s">
        <v>765</v>
      </c>
      <c r="G9358">
        <v>5.18</v>
      </c>
      <c r="H9358">
        <v>250430</v>
      </c>
      <c r="I9358">
        <v>4600</v>
      </c>
      <c r="J9358" t="s">
        <v>278</v>
      </c>
      <c r="K9358">
        <v>27.31</v>
      </c>
      <c r="L9358">
        <v>1.05</v>
      </c>
      <c r="M9358">
        <v>13802</v>
      </c>
      <c r="N9358" t="s">
        <v>34</v>
      </c>
      <c r="O9358">
        <v>250516</v>
      </c>
      <c r="P9358">
        <v>4.13</v>
      </c>
    </row>
    <row r="9359" spans="1:16" x14ac:dyDescent="0.25">
      <c r="A9359" t="s">
        <v>3296</v>
      </c>
      <c r="B9359" t="s">
        <v>2931</v>
      </c>
      <c r="C9359">
        <v>8050</v>
      </c>
      <c r="D9359" t="str">
        <f>"28522731    "</f>
        <v xml:space="preserve">28522731    </v>
      </c>
      <c r="E9359" t="s">
        <v>764</v>
      </c>
      <c r="F9359" t="s">
        <v>765</v>
      </c>
      <c r="G9359">
        <v>2.19</v>
      </c>
      <c r="H9359">
        <v>250531</v>
      </c>
      <c r="I9359">
        <v>4600</v>
      </c>
      <c r="J9359" t="s">
        <v>278</v>
      </c>
      <c r="K9359">
        <v>38.68</v>
      </c>
      <c r="L9359">
        <v>0.44</v>
      </c>
      <c r="M9359">
        <v>16321</v>
      </c>
      <c r="N9359" t="s">
        <v>16</v>
      </c>
      <c r="O9359">
        <v>250611</v>
      </c>
      <c r="P9359">
        <v>1.75</v>
      </c>
    </row>
    <row r="9360" spans="1:16" x14ac:dyDescent="0.25">
      <c r="A9360" t="s">
        <v>3296</v>
      </c>
      <c r="B9360" t="s">
        <v>2931</v>
      </c>
      <c r="C9360">
        <v>12139</v>
      </c>
      <c r="D9360" t="str">
        <f>"28523152    "</f>
        <v xml:space="preserve">28523152    </v>
      </c>
      <c r="E9360" t="s">
        <v>764</v>
      </c>
      <c r="F9360" t="s">
        <v>765</v>
      </c>
      <c r="G9360">
        <v>14.57</v>
      </c>
      <c r="H9360">
        <v>250915</v>
      </c>
      <c r="I9360">
        <v>4600</v>
      </c>
      <c r="J9360" t="s">
        <v>278</v>
      </c>
      <c r="K9360">
        <v>14.57</v>
      </c>
      <c r="L9360">
        <v>2.96</v>
      </c>
      <c r="M9360">
        <v>13802</v>
      </c>
      <c r="N9360" t="s">
        <v>34</v>
      </c>
      <c r="O9360">
        <v>250916</v>
      </c>
      <c r="P9360">
        <v>11.61</v>
      </c>
    </row>
    <row r="9361" spans="1:16" x14ac:dyDescent="0.25">
      <c r="A9361" t="s">
        <v>3296</v>
      </c>
      <c r="B9361" t="s">
        <v>2931</v>
      </c>
      <c r="C9361">
        <v>12257</v>
      </c>
      <c r="D9361" t="str">
        <f>"29522644    "</f>
        <v xml:space="preserve">29522644    </v>
      </c>
      <c r="E9361" t="s">
        <v>764</v>
      </c>
      <c r="F9361" t="s">
        <v>765</v>
      </c>
      <c r="G9361">
        <v>16.78</v>
      </c>
      <c r="H9361">
        <v>250915</v>
      </c>
      <c r="I9361">
        <v>4600</v>
      </c>
      <c r="J9361" t="s">
        <v>278</v>
      </c>
      <c r="K9361">
        <v>55.24</v>
      </c>
      <c r="L9361">
        <v>2.06</v>
      </c>
      <c r="M9361">
        <v>13861</v>
      </c>
      <c r="N9361" t="s">
        <v>604</v>
      </c>
      <c r="O9361">
        <v>250918</v>
      </c>
      <c r="P9361">
        <v>14.72</v>
      </c>
    </row>
    <row r="9362" spans="1:16" x14ac:dyDescent="0.25">
      <c r="A9362" t="s">
        <v>3296</v>
      </c>
      <c r="B9362" t="s">
        <v>2931</v>
      </c>
      <c r="C9362">
        <v>12257</v>
      </c>
      <c r="D9362" t="str">
        <f>"29522644    "</f>
        <v xml:space="preserve">29522644    </v>
      </c>
      <c r="E9362" t="s">
        <v>764</v>
      </c>
      <c r="F9362" t="s">
        <v>765</v>
      </c>
      <c r="G9362">
        <v>38.46</v>
      </c>
      <c r="H9362">
        <v>250915</v>
      </c>
      <c r="I9362">
        <v>4600</v>
      </c>
      <c r="J9362" t="s">
        <v>278</v>
      </c>
      <c r="K9362">
        <v>55.24</v>
      </c>
      <c r="L9362">
        <v>7.81</v>
      </c>
      <c r="M9362">
        <v>13861</v>
      </c>
      <c r="N9362" t="s">
        <v>604</v>
      </c>
      <c r="O9362">
        <v>250918</v>
      </c>
      <c r="P9362">
        <v>30.65</v>
      </c>
    </row>
    <row r="9363" spans="1:16" x14ac:dyDescent="0.25">
      <c r="A9363" t="s">
        <v>3296</v>
      </c>
      <c r="B9363" t="s">
        <v>2931</v>
      </c>
      <c r="C9363">
        <v>13919</v>
      </c>
      <c r="D9363" t="str">
        <f>"28523265    "</f>
        <v xml:space="preserve">28523265    </v>
      </c>
      <c r="E9363" t="s">
        <v>764</v>
      </c>
      <c r="F9363" t="s">
        <v>765</v>
      </c>
      <c r="G9363">
        <v>55.42</v>
      </c>
      <c r="H9363">
        <v>251015</v>
      </c>
      <c r="I9363">
        <v>4600</v>
      </c>
      <c r="J9363" t="s">
        <v>278</v>
      </c>
      <c r="K9363">
        <v>71.42</v>
      </c>
      <c r="L9363">
        <v>11.26</v>
      </c>
      <c r="M9363">
        <v>16321</v>
      </c>
      <c r="N9363" t="s">
        <v>16</v>
      </c>
      <c r="O9363">
        <v>251020</v>
      </c>
      <c r="P9363">
        <v>44.16</v>
      </c>
    </row>
    <row r="9364" spans="1:16" x14ac:dyDescent="0.25">
      <c r="A9364" t="s">
        <v>3296</v>
      </c>
      <c r="B9364" t="s">
        <v>2931</v>
      </c>
      <c r="C9364">
        <v>14567</v>
      </c>
      <c r="D9364" t="str">
        <f>"29522806    "</f>
        <v xml:space="preserve">29522806    </v>
      </c>
      <c r="E9364" t="s">
        <v>764</v>
      </c>
      <c r="F9364" t="s">
        <v>765</v>
      </c>
      <c r="G9364">
        <v>2.09</v>
      </c>
      <c r="H9364">
        <v>251031</v>
      </c>
      <c r="I9364">
        <v>4600</v>
      </c>
      <c r="J9364" t="s">
        <v>278</v>
      </c>
      <c r="K9364">
        <v>44.14</v>
      </c>
      <c r="L9364">
        <v>0.42</v>
      </c>
      <c r="M9364">
        <v>13861</v>
      </c>
      <c r="N9364" t="s">
        <v>604</v>
      </c>
      <c r="O9364">
        <v>251104</v>
      </c>
      <c r="P9364">
        <v>1.67</v>
      </c>
    </row>
    <row r="9365" spans="1:16" x14ac:dyDescent="0.25">
      <c r="A9365" t="s">
        <v>3296</v>
      </c>
      <c r="B9365" t="s">
        <v>2931</v>
      </c>
      <c r="C9365">
        <v>15441</v>
      </c>
      <c r="D9365" t="str">
        <f>"29522896    "</f>
        <v xml:space="preserve">29522896    </v>
      </c>
      <c r="E9365" t="s">
        <v>764</v>
      </c>
      <c r="F9365" t="s">
        <v>765</v>
      </c>
      <c r="G9365">
        <v>28.49</v>
      </c>
      <c r="H9365">
        <v>251115</v>
      </c>
      <c r="I9365">
        <v>4600</v>
      </c>
      <c r="J9365" t="s">
        <v>278</v>
      </c>
      <c r="K9365">
        <v>63.84</v>
      </c>
      <c r="L9365">
        <v>5.79</v>
      </c>
      <c r="M9365">
        <v>13861</v>
      </c>
      <c r="N9365" t="s">
        <v>604</v>
      </c>
      <c r="O9365">
        <v>251120</v>
      </c>
      <c r="P9365">
        <v>22.7</v>
      </c>
    </row>
    <row r="9366" spans="1:16" x14ac:dyDescent="0.25">
      <c r="A9366" t="s">
        <v>3296</v>
      </c>
      <c r="B9366" t="s">
        <v>2931</v>
      </c>
      <c r="C9366">
        <v>16336</v>
      </c>
      <c r="D9366" t="str">
        <f>"28523401    "</f>
        <v xml:space="preserve">28523401    </v>
      </c>
      <c r="E9366" t="s">
        <v>764</v>
      </c>
      <c r="F9366" t="s">
        <v>765</v>
      </c>
      <c r="G9366">
        <v>5.98</v>
      </c>
      <c r="H9366">
        <v>251115</v>
      </c>
      <c r="I9366">
        <v>4600</v>
      </c>
      <c r="J9366" t="s">
        <v>278</v>
      </c>
      <c r="K9366">
        <v>31.14</v>
      </c>
      <c r="L9366">
        <v>1.22</v>
      </c>
      <c r="M9366">
        <v>16321</v>
      </c>
      <c r="N9366" t="s">
        <v>16</v>
      </c>
      <c r="O9366">
        <v>251208</v>
      </c>
      <c r="P9366">
        <v>4.76</v>
      </c>
    </row>
    <row r="9367" spans="1:16" x14ac:dyDescent="0.25">
      <c r="A9367" t="s">
        <v>3296</v>
      </c>
      <c r="B9367" t="s">
        <v>2931</v>
      </c>
      <c r="C9367">
        <v>16634</v>
      </c>
      <c r="D9367" t="str">
        <f>"29522934    "</f>
        <v xml:space="preserve">29522934    </v>
      </c>
      <c r="E9367" t="s">
        <v>764</v>
      </c>
      <c r="F9367" t="s">
        <v>765</v>
      </c>
      <c r="G9367">
        <v>74.459999999999994</v>
      </c>
      <c r="H9367">
        <v>251130</v>
      </c>
      <c r="I9367">
        <v>4600</v>
      </c>
      <c r="J9367" t="s">
        <v>278</v>
      </c>
      <c r="K9367">
        <v>113.73</v>
      </c>
      <c r="L9367">
        <v>15.13</v>
      </c>
      <c r="M9367">
        <v>13821</v>
      </c>
      <c r="N9367" t="s">
        <v>867</v>
      </c>
      <c r="O9367">
        <v>251211</v>
      </c>
      <c r="P9367">
        <v>59.33</v>
      </c>
    </row>
    <row r="9368" spans="1:16" x14ac:dyDescent="0.25">
      <c r="A9368" t="s">
        <v>3296</v>
      </c>
      <c r="B9368" t="s">
        <v>2931</v>
      </c>
      <c r="C9368">
        <v>16836</v>
      </c>
      <c r="D9368" t="str">
        <f>"28523471    "</f>
        <v xml:space="preserve">28523471    </v>
      </c>
      <c r="E9368" t="s">
        <v>764</v>
      </c>
      <c r="F9368" t="s">
        <v>765</v>
      </c>
      <c r="G9368">
        <v>36.96</v>
      </c>
      <c r="H9368">
        <v>251130</v>
      </c>
      <c r="I9368">
        <v>4600</v>
      </c>
      <c r="J9368" t="s">
        <v>278</v>
      </c>
      <c r="K9368">
        <v>130.49</v>
      </c>
      <c r="L9368">
        <v>7.51</v>
      </c>
      <c r="M9368">
        <v>13601</v>
      </c>
      <c r="N9368" t="s">
        <v>115</v>
      </c>
      <c r="O9368">
        <v>251212</v>
      </c>
      <c r="P9368">
        <v>29.45</v>
      </c>
    </row>
    <row r="9369" spans="1:16" x14ac:dyDescent="0.25">
      <c r="A9369" t="s">
        <v>3296</v>
      </c>
      <c r="B9369" t="s">
        <v>2931</v>
      </c>
      <c r="C9369">
        <v>16836</v>
      </c>
      <c r="D9369" t="str">
        <f>"28523471    "</f>
        <v xml:space="preserve">28523471    </v>
      </c>
      <c r="E9369" t="s">
        <v>764</v>
      </c>
      <c r="F9369" t="s">
        <v>765</v>
      </c>
      <c r="G9369">
        <v>16.989999999999998</v>
      </c>
      <c r="H9369">
        <v>251130</v>
      </c>
      <c r="I9369">
        <v>4600</v>
      </c>
      <c r="J9369" t="s">
        <v>278</v>
      </c>
      <c r="K9369">
        <v>130.49</v>
      </c>
      <c r="L9369">
        <v>3.45</v>
      </c>
      <c r="M9369">
        <v>13601</v>
      </c>
      <c r="N9369" t="s">
        <v>115</v>
      </c>
      <c r="O9369">
        <v>251212</v>
      </c>
      <c r="P9369">
        <v>13.54</v>
      </c>
    </row>
    <row r="9370" spans="1:16" x14ac:dyDescent="0.25">
      <c r="A9370" t="s">
        <v>3296</v>
      </c>
      <c r="B9370" t="s">
        <v>2931</v>
      </c>
      <c r="C9370">
        <v>16836</v>
      </c>
      <c r="D9370" t="str">
        <f>"28523471    "</f>
        <v xml:space="preserve">28523471    </v>
      </c>
      <c r="E9370" t="s">
        <v>764</v>
      </c>
      <c r="F9370" t="s">
        <v>765</v>
      </c>
      <c r="G9370">
        <v>68.87</v>
      </c>
      <c r="H9370">
        <v>251130</v>
      </c>
      <c r="I9370">
        <v>4600</v>
      </c>
      <c r="J9370" t="s">
        <v>278</v>
      </c>
      <c r="K9370">
        <v>130.49</v>
      </c>
      <c r="L9370">
        <v>13.99</v>
      </c>
      <c r="M9370">
        <v>13802</v>
      </c>
      <c r="N9370" t="s">
        <v>34</v>
      </c>
      <c r="O9370">
        <v>251212</v>
      </c>
      <c r="P9370">
        <v>54.88</v>
      </c>
    </row>
    <row r="9371" spans="1:16" x14ac:dyDescent="0.25">
      <c r="A9371" t="s">
        <v>3296</v>
      </c>
      <c r="B9371" t="s">
        <v>2931</v>
      </c>
      <c r="C9371">
        <v>17031</v>
      </c>
      <c r="D9371" t="str">
        <f>"29523035    "</f>
        <v xml:space="preserve">29523035    </v>
      </c>
      <c r="E9371" t="s">
        <v>764</v>
      </c>
      <c r="F9371" t="s">
        <v>765</v>
      </c>
      <c r="G9371">
        <v>7.48</v>
      </c>
      <c r="H9371">
        <v>251215</v>
      </c>
      <c r="I9371">
        <v>4600</v>
      </c>
      <c r="J9371" t="s">
        <v>278</v>
      </c>
      <c r="K9371">
        <v>126.89</v>
      </c>
      <c r="L9371">
        <v>1.52</v>
      </c>
      <c r="M9371">
        <v>13801</v>
      </c>
      <c r="N9371" t="s">
        <v>33</v>
      </c>
      <c r="O9371">
        <v>251216</v>
      </c>
      <c r="P9371">
        <v>5.96</v>
      </c>
    </row>
    <row r="9372" spans="1:16" x14ac:dyDescent="0.25">
      <c r="A9372" t="s">
        <v>3296</v>
      </c>
      <c r="B9372" t="s">
        <v>2931</v>
      </c>
      <c r="C9372">
        <v>17031</v>
      </c>
      <c r="D9372" t="str">
        <f>"29523035    "</f>
        <v xml:space="preserve">29523035    </v>
      </c>
      <c r="E9372" t="s">
        <v>764</v>
      </c>
      <c r="F9372" t="s">
        <v>765</v>
      </c>
      <c r="G9372">
        <v>48.88</v>
      </c>
      <c r="H9372">
        <v>251215</v>
      </c>
      <c r="I9372">
        <v>4600</v>
      </c>
      <c r="J9372" t="s">
        <v>278</v>
      </c>
      <c r="K9372">
        <v>126.89</v>
      </c>
      <c r="L9372">
        <v>0</v>
      </c>
      <c r="M9372">
        <v>13801</v>
      </c>
      <c r="N9372" t="s">
        <v>33</v>
      </c>
      <c r="O9372">
        <v>251216</v>
      </c>
      <c r="P9372">
        <v>48.88</v>
      </c>
    </row>
    <row r="9373" spans="1:16" x14ac:dyDescent="0.25">
      <c r="A9373" t="s">
        <v>3296</v>
      </c>
      <c r="B9373" t="s">
        <v>2931</v>
      </c>
      <c r="C9373">
        <v>17031</v>
      </c>
      <c r="D9373" t="str">
        <f>"29523035    "</f>
        <v xml:space="preserve">29523035    </v>
      </c>
      <c r="E9373" t="s">
        <v>764</v>
      </c>
      <c r="F9373" t="s">
        <v>765</v>
      </c>
      <c r="G9373">
        <v>49.99</v>
      </c>
      <c r="H9373">
        <v>251215</v>
      </c>
      <c r="I9373">
        <v>4600</v>
      </c>
      <c r="J9373" t="s">
        <v>278</v>
      </c>
      <c r="K9373">
        <v>126.89</v>
      </c>
      <c r="L9373">
        <v>0</v>
      </c>
      <c r="M9373">
        <v>13801</v>
      </c>
      <c r="N9373" t="s">
        <v>33</v>
      </c>
      <c r="O9373">
        <v>251216</v>
      </c>
      <c r="P9373">
        <v>49.99</v>
      </c>
    </row>
    <row r="9374" spans="1:16" x14ac:dyDescent="0.25">
      <c r="A9374" t="s">
        <v>3296</v>
      </c>
      <c r="B9374" t="s">
        <v>2931</v>
      </c>
      <c r="C9374">
        <v>17589</v>
      </c>
      <c r="D9374" t="str">
        <f>"28523458    "</f>
        <v xml:space="preserve">28523458    </v>
      </c>
      <c r="E9374" t="s">
        <v>764</v>
      </c>
      <c r="F9374" t="s">
        <v>765</v>
      </c>
      <c r="G9374">
        <v>0.3</v>
      </c>
      <c r="H9374">
        <v>251201</v>
      </c>
      <c r="I9374">
        <v>4600</v>
      </c>
      <c r="J9374" t="s">
        <v>278</v>
      </c>
      <c r="K9374">
        <v>40.799999999999997</v>
      </c>
      <c r="L9374">
        <v>0.06</v>
      </c>
      <c r="M9374">
        <v>16321</v>
      </c>
      <c r="N9374" t="s">
        <v>16</v>
      </c>
      <c r="O9374">
        <v>251223</v>
      </c>
      <c r="P9374">
        <v>0.24</v>
      </c>
    </row>
    <row r="9375" spans="1:16" x14ac:dyDescent="0.25">
      <c r="A9375" t="s">
        <v>3296</v>
      </c>
      <c r="B9375" t="s">
        <v>2931</v>
      </c>
      <c r="C9375">
        <v>17888</v>
      </c>
      <c r="D9375" t="str">
        <f>"28523540    "</f>
        <v xml:space="preserve">28523540    </v>
      </c>
      <c r="E9375" t="s">
        <v>764</v>
      </c>
      <c r="F9375" t="s">
        <v>765</v>
      </c>
      <c r="G9375">
        <v>0.4</v>
      </c>
      <c r="H9375">
        <v>251215</v>
      </c>
      <c r="I9375">
        <v>4600</v>
      </c>
      <c r="J9375" t="s">
        <v>278</v>
      </c>
      <c r="K9375">
        <v>74.849999999999994</v>
      </c>
      <c r="L9375">
        <v>0.08</v>
      </c>
      <c r="M9375">
        <v>13802</v>
      </c>
      <c r="N9375" t="s">
        <v>34</v>
      </c>
      <c r="O9375">
        <v>260102</v>
      </c>
      <c r="P9375">
        <v>0.32</v>
      </c>
    </row>
    <row r="9376" spans="1:16" x14ac:dyDescent="0.25">
      <c r="A9376" t="s">
        <v>3296</v>
      </c>
      <c r="B9376" t="s">
        <v>2931</v>
      </c>
      <c r="C9376">
        <v>17888</v>
      </c>
      <c r="D9376" t="str">
        <f>"28523540    "</f>
        <v xml:space="preserve">28523540    </v>
      </c>
      <c r="E9376" t="s">
        <v>764</v>
      </c>
      <c r="F9376" t="s">
        <v>765</v>
      </c>
      <c r="G9376">
        <v>27.94</v>
      </c>
      <c r="H9376">
        <v>251215</v>
      </c>
      <c r="I9376">
        <v>4600</v>
      </c>
      <c r="J9376" t="s">
        <v>278</v>
      </c>
      <c r="K9376">
        <v>74.849999999999994</v>
      </c>
      <c r="L9376">
        <v>5.68</v>
      </c>
      <c r="M9376">
        <v>13802</v>
      </c>
      <c r="N9376" t="s">
        <v>34</v>
      </c>
      <c r="O9376">
        <v>260102</v>
      </c>
      <c r="P9376">
        <v>22.26</v>
      </c>
    </row>
    <row r="9377" spans="1:16" x14ac:dyDescent="0.25">
      <c r="A9377" t="s">
        <v>3296</v>
      </c>
      <c r="B9377" t="s">
        <v>2931</v>
      </c>
      <c r="C9377">
        <v>18060</v>
      </c>
      <c r="D9377" t="str">
        <f>"28523572    "</f>
        <v xml:space="preserve">28523572    </v>
      </c>
      <c r="E9377" t="s">
        <v>764</v>
      </c>
      <c r="F9377" t="s">
        <v>765</v>
      </c>
      <c r="G9377">
        <v>27.11</v>
      </c>
      <c r="H9377">
        <v>251231</v>
      </c>
      <c r="I9377">
        <v>4600</v>
      </c>
      <c r="J9377" t="s">
        <v>278</v>
      </c>
      <c r="K9377">
        <v>95.47</v>
      </c>
      <c r="L9377">
        <v>5.51</v>
      </c>
      <c r="M9377">
        <v>16321</v>
      </c>
      <c r="N9377" t="s">
        <v>16</v>
      </c>
      <c r="O9377">
        <v>260108</v>
      </c>
      <c r="P9377">
        <v>21.6</v>
      </c>
    </row>
    <row r="9378" spans="1:16" x14ac:dyDescent="0.25">
      <c r="A9378" t="s">
        <v>3296</v>
      </c>
      <c r="B9378" t="s">
        <v>2931</v>
      </c>
      <c r="C9378">
        <v>18062</v>
      </c>
      <c r="D9378" t="str">
        <f>"29523078    "</f>
        <v xml:space="preserve">29523078    </v>
      </c>
      <c r="E9378" t="s">
        <v>764</v>
      </c>
      <c r="F9378" t="s">
        <v>765</v>
      </c>
      <c r="G9378">
        <v>147.69999999999999</v>
      </c>
      <c r="H9378">
        <v>251231</v>
      </c>
      <c r="I9378">
        <v>4600</v>
      </c>
      <c r="J9378" t="s">
        <v>278</v>
      </c>
      <c r="K9378">
        <v>147.69999999999999</v>
      </c>
      <c r="L9378">
        <v>30.01</v>
      </c>
      <c r="M9378">
        <v>13801</v>
      </c>
      <c r="N9378" t="s">
        <v>33</v>
      </c>
      <c r="O9378">
        <v>260108</v>
      </c>
      <c r="P9378">
        <v>117.69</v>
      </c>
    </row>
    <row r="9379" spans="1:16" x14ac:dyDescent="0.25">
      <c r="A9379" t="s">
        <v>3296</v>
      </c>
      <c r="B9379" t="s">
        <v>2931</v>
      </c>
      <c r="C9379">
        <v>7508</v>
      </c>
      <c r="D9379" t="str">
        <f>"6880        "</f>
        <v xml:space="preserve">6880        </v>
      </c>
      <c r="E9379" t="s">
        <v>599</v>
      </c>
      <c r="F9379" t="s">
        <v>600</v>
      </c>
      <c r="G9379">
        <v>76</v>
      </c>
      <c r="H9379">
        <v>250509</v>
      </c>
      <c r="I9379">
        <v>4530</v>
      </c>
      <c r="J9379" t="s">
        <v>293</v>
      </c>
      <c r="K9379">
        <v>119.07</v>
      </c>
      <c r="L9379">
        <v>15.44</v>
      </c>
      <c r="M9379">
        <v>56522</v>
      </c>
      <c r="N9379" t="s">
        <v>68</v>
      </c>
      <c r="O9379">
        <v>250604</v>
      </c>
      <c r="P9379">
        <v>60.56</v>
      </c>
    </row>
    <row r="9380" spans="1:16" x14ac:dyDescent="0.25">
      <c r="A9380" t="s">
        <v>3296</v>
      </c>
      <c r="B9380" t="s">
        <v>2931</v>
      </c>
      <c r="C9380">
        <v>12331</v>
      </c>
      <c r="D9380" t="str">
        <f>"7290        "</f>
        <v xml:space="preserve">7290        </v>
      </c>
      <c r="E9380" t="s">
        <v>599</v>
      </c>
      <c r="F9380" t="s">
        <v>600</v>
      </c>
      <c r="G9380">
        <v>232.78</v>
      </c>
      <c r="H9380">
        <v>250905</v>
      </c>
      <c r="I9380">
        <v>4580</v>
      </c>
      <c r="J9380" t="s">
        <v>126</v>
      </c>
      <c r="K9380">
        <v>232.78</v>
      </c>
      <c r="L9380">
        <v>47.3</v>
      </c>
      <c r="M9380">
        <v>56522</v>
      </c>
      <c r="N9380" t="s">
        <v>68</v>
      </c>
      <c r="O9380">
        <v>250919</v>
      </c>
      <c r="P9380">
        <v>185.48</v>
      </c>
    </row>
    <row r="9381" spans="1:16" x14ac:dyDescent="0.25">
      <c r="A9381" t="s">
        <v>3296</v>
      </c>
      <c r="B9381" t="s">
        <v>2931</v>
      </c>
      <c r="C9381">
        <v>585</v>
      </c>
      <c r="D9381" t="str">
        <f>"6606        "</f>
        <v xml:space="preserve">6606        </v>
      </c>
      <c r="E9381" t="s">
        <v>599</v>
      </c>
      <c r="F9381" t="s">
        <v>600</v>
      </c>
      <c r="G9381">
        <v>94.41</v>
      </c>
      <c r="H9381">
        <v>250110</v>
      </c>
      <c r="I9381">
        <v>4590</v>
      </c>
      <c r="J9381" t="s">
        <v>388</v>
      </c>
      <c r="K9381">
        <v>94.41</v>
      </c>
      <c r="L9381">
        <v>19.18</v>
      </c>
      <c r="M9381">
        <v>56551</v>
      </c>
      <c r="N9381" t="s">
        <v>551</v>
      </c>
      <c r="O9381">
        <v>250124</v>
      </c>
      <c r="P9381">
        <v>75.23</v>
      </c>
    </row>
    <row r="9382" spans="1:16" x14ac:dyDescent="0.25">
      <c r="A9382" t="s">
        <v>3296</v>
      </c>
      <c r="B9382" t="s">
        <v>2931</v>
      </c>
      <c r="C9382">
        <v>5656</v>
      </c>
      <c r="D9382" t="str">
        <f>"6801        "</f>
        <v xml:space="preserve">6801        </v>
      </c>
      <c r="E9382" t="s">
        <v>599</v>
      </c>
      <c r="F9382" t="s">
        <v>600</v>
      </c>
      <c r="G9382">
        <v>177.3</v>
      </c>
      <c r="H9382">
        <v>250411</v>
      </c>
      <c r="I9382">
        <v>4590</v>
      </c>
      <c r="J9382" t="s">
        <v>388</v>
      </c>
      <c r="K9382">
        <v>177.3</v>
      </c>
      <c r="L9382">
        <v>36.03</v>
      </c>
      <c r="M9382">
        <v>56561</v>
      </c>
      <c r="N9382" t="s">
        <v>53</v>
      </c>
      <c r="O9382">
        <v>250428</v>
      </c>
      <c r="P9382">
        <v>141.27000000000001</v>
      </c>
    </row>
    <row r="9383" spans="1:16" x14ac:dyDescent="0.25">
      <c r="A9383" t="s">
        <v>3296</v>
      </c>
      <c r="B9383" t="s">
        <v>2931</v>
      </c>
      <c r="C9383">
        <v>6151</v>
      </c>
      <c r="D9383" t="str">
        <f>"6816        "</f>
        <v xml:space="preserve">6816        </v>
      </c>
      <c r="E9383" t="s">
        <v>599</v>
      </c>
      <c r="F9383" t="s">
        <v>600</v>
      </c>
      <c r="G9383">
        <v>234.08</v>
      </c>
      <c r="H9383">
        <v>250417</v>
      </c>
      <c r="I9383">
        <v>4590</v>
      </c>
      <c r="J9383" t="s">
        <v>388</v>
      </c>
      <c r="K9383">
        <v>234.08</v>
      </c>
      <c r="L9383">
        <v>47.56</v>
      </c>
      <c r="M9383">
        <v>56551</v>
      </c>
      <c r="N9383" t="s">
        <v>551</v>
      </c>
      <c r="O9383">
        <v>250509</v>
      </c>
      <c r="P9383">
        <v>186.52</v>
      </c>
    </row>
    <row r="9384" spans="1:16" x14ac:dyDescent="0.25">
      <c r="A9384" t="s">
        <v>3296</v>
      </c>
      <c r="B9384" t="s">
        <v>2931</v>
      </c>
      <c r="C9384">
        <v>6537</v>
      </c>
      <c r="D9384" t="str">
        <f>"6832        "</f>
        <v xml:space="preserve">6832        </v>
      </c>
      <c r="E9384" t="s">
        <v>599</v>
      </c>
      <c r="F9384" t="s">
        <v>600</v>
      </c>
      <c r="G9384">
        <v>159.97999999999999</v>
      </c>
      <c r="H9384">
        <v>250425</v>
      </c>
      <c r="I9384">
        <v>4590</v>
      </c>
      <c r="J9384" t="s">
        <v>388</v>
      </c>
      <c r="K9384">
        <v>159.97999999999999</v>
      </c>
      <c r="L9384">
        <v>32.51</v>
      </c>
      <c r="M9384">
        <v>56551</v>
      </c>
      <c r="N9384" t="s">
        <v>551</v>
      </c>
      <c r="O9384">
        <v>250513</v>
      </c>
      <c r="P9384">
        <v>127.47</v>
      </c>
    </row>
    <row r="9385" spans="1:16" x14ac:dyDescent="0.25">
      <c r="A9385" t="s">
        <v>3296</v>
      </c>
      <c r="B9385" t="s">
        <v>2931</v>
      </c>
      <c r="C9385">
        <v>10612</v>
      </c>
      <c r="D9385" t="str">
        <f>"7207        "</f>
        <v xml:space="preserve">7207        </v>
      </c>
      <c r="E9385" t="s">
        <v>599</v>
      </c>
      <c r="F9385" t="s">
        <v>600</v>
      </c>
      <c r="G9385">
        <v>190.8</v>
      </c>
      <c r="H9385">
        <v>250808</v>
      </c>
      <c r="I9385">
        <v>4590</v>
      </c>
      <c r="J9385" t="s">
        <v>388</v>
      </c>
      <c r="K9385">
        <v>190.8</v>
      </c>
      <c r="L9385">
        <v>38.770000000000003</v>
      </c>
      <c r="M9385">
        <v>56561</v>
      </c>
      <c r="N9385" t="s">
        <v>53</v>
      </c>
      <c r="O9385">
        <v>250820</v>
      </c>
      <c r="P9385">
        <v>152.03</v>
      </c>
    </row>
    <row r="9386" spans="1:16" x14ac:dyDescent="0.25">
      <c r="A9386" t="s">
        <v>3296</v>
      </c>
      <c r="B9386" t="s">
        <v>2931</v>
      </c>
      <c r="C9386">
        <v>10730</v>
      </c>
      <c r="D9386" t="str">
        <f>"7218        "</f>
        <v xml:space="preserve">7218        </v>
      </c>
      <c r="E9386" t="s">
        <v>599</v>
      </c>
      <c r="F9386" t="s">
        <v>600</v>
      </c>
      <c r="G9386">
        <v>355.86</v>
      </c>
      <c r="H9386">
        <v>250815</v>
      </c>
      <c r="I9386">
        <v>4590</v>
      </c>
      <c r="J9386" t="s">
        <v>388</v>
      </c>
      <c r="K9386">
        <v>355.86</v>
      </c>
      <c r="L9386">
        <v>72.31</v>
      </c>
      <c r="M9386">
        <v>56522</v>
      </c>
      <c r="N9386" t="s">
        <v>68</v>
      </c>
      <c r="O9386">
        <v>250821</v>
      </c>
      <c r="P9386">
        <v>283.55</v>
      </c>
    </row>
    <row r="9387" spans="1:16" x14ac:dyDescent="0.25">
      <c r="A9387" t="s">
        <v>3296</v>
      </c>
      <c r="B9387" t="s">
        <v>2931</v>
      </c>
      <c r="C9387">
        <v>12409</v>
      </c>
      <c r="D9387" t="str">
        <f>"7315        "</f>
        <v xml:space="preserve">7315        </v>
      </c>
      <c r="E9387" t="s">
        <v>599</v>
      </c>
      <c r="F9387" t="s">
        <v>600</v>
      </c>
      <c r="G9387">
        <v>171.18</v>
      </c>
      <c r="H9387">
        <v>250912</v>
      </c>
      <c r="I9387">
        <v>4590</v>
      </c>
      <c r="J9387" t="s">
        <v>388</v>
      </c>
      <c r="K9387">
        <v>171.18</v>
      </c>
      <c r="L9387">
        <v>34.78</v>
      </c>
      <c r="M9387">
        <v>56522</v>
      </c>
      <c r="N9387" t="s">
        <v>68</v>
      </c>
      <c r="O9387">
        <v>250919</v>
      </c>
      <c r="P9387">
        <v>136.4</v>
      </c>
    </row>
    <row r="9388" spans="1:16" x14ac:dyDescent="0.25">
      <c r="A9388" t="s">
        <v>3296</v>
      </c>
      <c r="B9388" t="s">
        <v>2931</v>
      </c>
      <c r="C9388">
        <v>12812</v>
      </c>
      <c r="D9388" t="str">
        <f>"7323        "</f>
        <v xml:space="preserve">7323        </v>
      </c>
      <c r="E9388" t="s">
        <v>599</v>
      </c>
      <c r="F9388" t="s">
        <v>600</v>
      </c>
      <c r="G9388">
        <v>479.34</v>
      </c>
      <c r="H9388">
        <v>250919</v>
      </c>
      <c r="I9388">
        <v>4590</v>
      </c>
      <c r="J9388" t="s">
        <v>388</v>
      </c>
      <c r="K9388">
        <v>479.34</v>
      </c>
      <c r="L9388">
        <v>97.4</v>
      </c>
      <c r="M9388">
        <v>56561</v>
      </c>
      <c r="N9388" t="s">
        <v>53</v>
      </c>
      <c r="O9388">
        <v>250930</v>
      </c>
      <c r="P9388">
        <v>381.94</v>
      </c>
    </row>
    <row r="9389" spans="1:16" x14ac:dyDescent="0.25">
      <c r="A9389" t="s">
        <v>3296</v>
      </c>
      <c r="B9389" t="s">
        <v>2931</v>
      </c>
      <c r="C9389">
        <v>13322</v>
      </c>
      <c r="D9389" t="str">
        <f>"7365        "</f>
        <v xml:space="preserve">7365        </v>
      </c>
      <c r="E9389" t="s">
        <v>599</v>
      </c>
      <c r="F9389" t="s">
        <v>600</v>
      </c>
      <c r="G9389">
        <v>127.44</v>
      </c>
      <c r="H9389">
        <v>251003</v>
      </c>
      <c r="I9389">
        <v>4590</v>
      </c>
      <c r="J9389" t="s">
        <v>388</v>
      </c>
      <c r="K9389">
        <v>127.44</v>
      </c>
      <c r="L9389">
        <v>25.89</v>
      </c>
      <c r="M9389">
        <v>56551</v>
      </c>
      <c r="N9389" t="s">
        <v>551</v>
      </c>
      <c r="O9389">
        <v>251007</v>
      </c>
      <c r="P9389">
        <v>101.55</v>
      </c>
    </row>
    <row r="9390" spans="1:16" x14ac:dyDescent="0.25">
      <c r="A9390" t="s">
        <v>3296</v>
      </c>
      <c r="B9390" t="s">
        <v>2931</v>
      </c>
      <c r="C9390">
        <v>13913</v>
      </c>
      <c r="D9390" t="str">
        <f>"7391        "</f>
        <v xml:space="preserve">7391        </v>
      </c>
      <c r="E9390" t="s">
        <v>599</v>
      </c>
      <c r="F9390" t="s">
        <v>600</v>
      </c>
      <c r="G9390">
        <v>245</v>
      </c>
      <c r="H9390">
        <v>251010</v>
      </c>
      <c r="I9390">
        <v>4590</v>
      </c>
      <c r="J9390" t="s">
        <v>388</v>
      </c>
      <c r="K9390">
        <v>245</v>
      </c>
      <c r="L9390">
        <v>49.78</v>
      </c>
      <c r="M9390">
        <v>56551</v>
      </c>
      <c r="N9390" t="s">
        <v>551</v>
      </c>
      <c r="O9390">
        <v>251020</v>
      </c>
      <c r="P9390">
        <v>195.22</v>
      </c>
    </row>
    <row r="9391" spans="1:16" x14ac:dyDescent="0.25">
      <c r="A9391" t="s">
        <v>3296</v>
      </c>
      <c r="B9391" t="s">
        <v>2931</v>
      </c>
      <c r="C9391">
        <v>14756</v>
      </c>
      <c r="D9391" t="str">
        <f>"7422        "</f>
        <v xml:space="preserve">7422        </v>
      </c>
      <c r="E9391" t="s">
        <v>599</v>
      </c>
      <c r="F9391" t="s">
        <v>600</v>
      </c>
      <c r="G9391">
        <v>557.01</v>
      </c>
      <c r="H9391">
        <v>251024</v>
      </c>
      <c r="I9391">
        <v>4590</v>
      </c>
      <c r="J9391" t="s">
        <v>388</v>
      </c>
      <c r="K9391">
        <v>557.01</v>
      </c>
      <c r="L9391">
        <v>113.18</v>
      </c>
      <c r="M9391">
        <v>56522</v>
      </c>
      <c r="N9391" t="s">
        <v>68</v>
      </c>
      <c r="O9391">
        <v>251106</v>
      </c>
      <c r="P9391">
        <v>443.83</v>
      </c>
    </row>
    <row r="9392" spans="1:16" x14ac:dyDescent="0.25">
      <c r="A9392" t="s">
        <v>3296</v>
      </c>
      <c r="B9392" t="s">
        <v>2931</v>
      </c>
      <c r="C9392">
        <v>15993</v>
      </c>
      <c r="D9392" t="str">
        <f>"7484        "</f>
        <v xml:space="preserve">7484        </v>
      </c>
      <c r="E9392" t="s">
        <v>599</v>
      </c>
      <c r="F9392" t="s">
        <v>600</v>
      </c>
      <c r="G9392">
        <v>356.04</v>
      </c>
      <c r="H9392">
        <v>251128</v>
      </c>
      <c r="I9392">
        <v>4590</v>
      </c>
      <c r="J9392" t="s">
        <v>388</v>
      </c>
      <c r="K9392">
        <v>356.04</v>
      </c>
      <c r="L9392">
        <v>72.34</v>
      </c>
      <c r="M9392">
        <v>56551</v>
      </c>
      <c r="N9392" t="s">
        <v>551</v>
      </c>
      <c r="O9392">
        <v>251201</v>
      </c>
      <c r="P9392">
        <v>283.7</v>
      </c>
    </row>
    <row r="9393" spans="1:16" x14ac:dyDescent="0.25">
      <c r="A9393" t="s">
        <v>3296</v>
      </c>
      <c r="B9393" t="s">
        <v>2931</v>
      </c>
      <c r="C9393">
        <v>16290</v>
      </c>
      <c r="D9393" t="str">
        <f>"7477        "</f>
        <v xml:space="preserve">7477        </v>
      </c>
      <c r="E9393" t="s">
        <v>599</v>
      </c>
      <c r="F9393" t="s">
        <v>600</v>
      </c>
      <c r="G9393">
        <v>359.64</v>
      </c>
      <c r="H9393">
        <v>251121</v>
      </c>
      <c r="I9393">
        <v>4590</v>
      </c>
      <c r="J9393" t="s">
        <v>388</v>
      </c>
      <c r="K9393">
        <v>359.64</v>
      </c>
      <c r="L9393">
        <v>73.069999999999993</v>
      </c>
      <c r="M9393">
        <v>56561</v>
      </c>
      <c r="N9393" t="s">
        <v>53</v>
      </c>
      <c r="O9393">
        <v>251205</v>
      </c>
      <c r="P9393">
        <v>286.57</v>
      </c>
    </row>
    <row r="9394" spans="1:16" x14ac:dyDescent="0.25">
      <c r="A9394" t="s">
        <v>3296</v>
      </c>
      <c r="B9394" t="s">
        <v>2931</v>
      </c>
      <c r="C9394">
        <v>17665</v>
      </c>
      <c r="D9394" t="str">
        <f>"7499        "</f>
        <v xml:space="preserve">7499        </v>
      </c>
      <c r="E9394" t="s">
        <v>599</v>
      </c>
      <c r="F9394" t="s">
        <v>600</v>
      </c>
      <c r="G9394">
        <v>228.33</v>
      </c>
      <c r="H9394">
        <v>251205</v>
      </c>
      <c r="I9394">
        <v>4590</v>
      </c>
      <c r="J9394" t="s">
        <v>388</v>
      </c>
      <c r="K9394">
        <v>228.33</v>
      </c>
      <c r="L9394">
        <v>46.39</v>
      </c>
      <c r="M9394">
        <v>56551</v>
      </c>
      <c r="N9394" t="s">
        <v>551</v>
      </c>
      <c r="O9394">
        <v>251229</v>
      </c>
      <c r="P9394">
        <v>181.94</v>
      </c>
    </row>
    <row r="9395" spans="1:16" x14ac:dyDescent="0.25">
      <c r="A9395" t="s">
        <v>3296</v>
      </c>
      <c r="B9395" t="s">
        <v>2931</v>
      </c>
      <c r="C9395">
        <v>18101</v>
      </c>
      <c r="D9395" t="str">
        <f>"7516        "</f>
        <v xml:space="preserve">7516        </v>
      </c>
      <c r="E9395" t="s">
        <v>599</v>
      </c>
      <c r="F9395" t="s">
        <v>600</v>
      </c>
      <c r="G9395">
        <v>275.22000000000003</v>
      </c>
      <c r="H9395">
        <v>251218</v>
      </c>
      <c r="I9395">
        <v>4590</v>
      </c>
      <c r="J9395" t="s">
        <v>388</v>
      </c>
      <c r="K9395">
        <v>275.22000000000003</v>
      </c>
      <c r="L9395">
        <v>55.92</v>
      </c>
      <c r="M9395">
        <v>56551</v>
      </c>
      <c r="N9395" t="s">
        <v>551</v>
      </c>
      <c r="O9395">
        <v>260109</v>
      </c>
      <c r="P9395">
        <v>219.3</v>
      </c>
    </row>
    <row r="9396" spans="1:16" x14ac:dyDescent="0.25">
      <c r="A9396" t="s">
        <v>3296</v>
      </c>
      <c r="B9396" t="s">
        <v>2931</v>
      </c>
      <c r="C9396">
        <v>7508</v>
      </c>
      <c r="D9396" t="str">
        <f>"6880        "</f>
        <v xml:space="preserve">6880        </v>
      </c>
      <c r="E9396" t="s">
        <v>599</v>
      </c>
      <c r="F9396" t="s">
        <v>600</v>
      </c>
      <c r="G9396">
        <v>43.07</v>
      </c>
      <c r="H9396">
        <v>250509</v>
      </c>
      <c r="I9396">
        <v>4600</v>
      </c>
      <c r="J9396" t="s">
        <v>278</v>
      </c>
      <c r="K9396">
        <v>119.07</v>
      </c>
      <c r="L9396">
        <v>8.75</v>
      </c>
      <c r="M9396">
        <v>56524</v>
      </c>
      <c r="N9396" t="s">
        <v>69</v>
      </c>
      <c r="O9396">
        <v>250604</v>
      </c>
      <c r="P9396">
        <v>34.32</v>
      </c>
    </row>
    <row r="9397" spans="1:16" x14ac:dyDescent="0.25">
      <c r="A9397" t="s">
        <v>3296</v>
      </c>
      <c r="B9397" t="s">
        <v>2931</v>
      </c>
      <c r="C9397">
        <v>8057</v>
      </c>
      <c r="D9397" t="str">
        <f>"6912        "</f>
        <v xml:space="preserve">6912        </v>
      </c>
      <c r="E9397" t="s">
        <v>599</v>
      </c>
      <c r="F9397" t="s">
        <v>600</v>
      </c>
      <c r="G9397">
        <v>5.31</v>
      </c>
      <c r="H9397">
        <v>250516</v>
      </c>
      <c r="I9397">
        <v>4600</v>
      </c>
      <c r="J9397" t="s">
        <v>278</v>
      </c>
      <c r="K9397">
        <v>115.47</v>
      </c>
      <c r="L9397">
        <v>1.08</v>
      </c>
      <c r="M9397">
        <v>56522</v>
      </c>
      <c r="N9397" t="s">
        <v>68</v>
      </c>
      <c r="O9397">
        <v>250611</v>
      </c>
      <c r="P9397">
        <v>4.2300000000000004</v>
      </c>
    </row>
    <row r="9398" spans="1:16" x14ac:dyDescent="0.25">
      <c r="A9398" t="s">
        <v>3296</v>
      </c>
      <c r="B9398" t="s">
        <v>2931</v>
      </c>
      <c r="C9398">
        <v>8057</v>
      </c>
      <c r="D9398" t="str">
        <f>"6912        "</f>
        <v xml:space="preserve">6912        </v>
      </c>
      <c r="E9398" t="s">
        <v>599</v>
      </c>
      <c r="F9398" t="s">
        <v>600</v>
      </c>
      <c r="G9398">
        <v>52.46</v>
      </c>
      <c r="H9398">
        <v>250516</v>
      </c>
      <c r="I9398">
        <v>4600</v>
      </c>
      <c r="J9398" t="s">
        <v>278</v>
      </c>
      <c r="K9398">
        <v>115.47</v>
      </c>
      <c r="L9398">
        <v>10.66</v>
      </c>
      <c r="M9398">
        <v>56558</v>
      </c>
      <c r="N9398" t="s">
        <v>50</v>
      </c>
      <c r="O9398">
        <v>250611</v>
      </c>
      <c r="P9398">
        <v>41.8</v>
      </c>
    </row>
    <row r="9399" spans="1:16" x14ac:dyDescent="0.25">
      <c r="A9399" t="s">
        <v>3296</v>
      </c>
      <c r="B9399" t="s">
        <v>2931</v>
      </c>
      <c r="C9399">
        <v>8057</v>
      </c>
      <c r="D9399" t="str">
        <f>"6912        "</f>
        <v xml:space="preserve">6912        </v>
      </c>
      <c r="E9399" t="s">
        <v>599</v>
      </c>
      <c r="F9399" t="s">
        <v>600</v>
      </c>
      <c r="G9399">
        <v>57.7</v>
      </c>
      <c r="H9399">
        <v>250516</v>
      </c>
      <c r="I9399">
        <v>4600</v>
      </c>
      <c r="J9399" t="s">
        <v>278</v>
      </c>
      <c r="K9399">
        <v>115.47</v>
      </c>
      <c r="L9399">
        <v>11.72</v>
      </c>
      <c r="M9399">
        <v>56558</v>
      </c>
      <c r="N9399" t="s">
        <v>50</v>
      </c>
      <c r="O9399">
        <v>250611</v>
      </c>
      <c r="P9399">
        <v>45.98</v>
      </c>
    </row>
    <row r="9400" spans="1:16" x14ac:dyDescent="0.25">
      <c r="A9400" t="s">
        <v>3296</v>
      </c>
      <c r="B9400" t="s">
        <v>2931</v>
      </c>
      <c r="C9400">
        <v>15581</v>
      </c>
      <c r="D9400" t="str">
        <f>"7465        "</f>
        <v xml:space="preserve">7465        </v>
      </c>
      <c r="E9400" t="s">
        <v>599</v>
      </c>
      <c r="F9400" t="s">
        <v>600</v>
      </c>
      <c r="G9400">
        <v>300</v>
      </c>
      <c r="H9400">
        <v>251114</v>
      </c>
      <c r="I9400">
        <v>4600</v>
      </c>
      <c r="J9400" t="s">
        <v>278</v>
      </c>
      <c r="K9400">
        <v>300</v>
      </c>
      <c r="L9400">
        <v>60.96</v>
      </c>
      <c r="M9400">
        <v>56558</v>
      </c>
      <c r="N9400" t="s">
        <v>50</v>
      </c>
      <c r="O9400">
        <v>251121</v>
      </c>
      <c r="P9400">
        <v>239.04</v>
      </c>
    </row>
    <row r="9401" spans="1:16" x14ac:dyDescent="0.25">
      <c r="A9401" t="s">
        <v>3296</v>
      </c>
      <c r="B9401" t="s">
        <v>2931</v>
      </c>
      <c r="C9401">
        <v>2785</v>
      </c>
      <c r="D9401" t="str">
        <f>"5381        "</f>
        <v xml:space="preserve">5381        </v>
      </c>
      <c r="E9401" t="s">
        <v>1358</v>
      </c>
      <c r="F9401" t="s">
        <v>1359</v>
      </c>
      <c r="G9401">
        <v>8500</v>
      </c>
      <c r="H9401">
        <v>250228</v>
      </c>
      <c r="I9401">
        <v>4390</v>
      </c>
      <c r="J9401" t="s">
        <v>232</v>
      </c>
      <c r="K9401">
        <v>8500</v>
      </c>
      <c r="L9401">
        <v>0</v>
      </c>
      <c r="M9401">
        <v>69501</v>
      </c>
      <c r="N9401" t="s">
        <v>123</v>
      </c>
      <c r="O9401">
        <v>250312</v>
      </c>
      <c r="P9401">
        <v>8500</v>
      </c>
    </row>
    <row r="9402" spans="1:16" x14ac:dyDescent="0.25">
      <c r="A9402" t="s">
        <v>3296</v>
      </c>
      <c r="B9402" t="s">
        <v>2931</v>
      </c>
      <c r="C9402">
        <v>3996</v>
      </c>
      <c r="D9402" t="str">
        <f>"VTL1002295  "</f>
        <v xml:space="preserve">VTL1002295  </v>
      </c>
      <c r="E9402" t="s">
        <v>1540</v>
      </c>
      <c r="F9402" t="s">
        <v>1542</v>
      </c>
      <c r="G9402">
        <v>5338.76</v>
      </c>
      <c r="H9402">
        <v>250321</v>
      </c>
      <c r="I9402">
        <v>4410</v>
      </c>
      <c r="J9402" t="s">
        <v>165</v>
      </c>
      <c r="K9402">
        <v>5338.76</v>
      </c>
      <c r="L9402">
        <v>655.64</v>
      </c>
      <c r="M9402">
        <v>17914</v>
      </c>
      <c r="N9402" t="s">
        <v>1541</v>
      </c>
      <c r="O9402">
        <v>250404</v>
      </c>
      <c r="P9402">
        <v>4683.12</v>
      </c>
    </row>
    <row r="9403" spans="1:16" x14ac:dyDescent="0.25">
      <c r="A9403" t="s">
        <v>3296</v>
      </c>
      <c r="B9403" t="s">
        <v>2931</v>
      </c>
      <c r="C9403">
        <v>8691</v>
      </c>
      <c r="D9403" t="str">
        <f>"VTL1002326  "</f>
        <v xml:space="preserve">VTL1002326  </v>
      </c>
      <c r="E9403" t="s">
        <v>1540</v>
      </c>
      <c r="F9403" t="s">
        <v>1542</v>
      </c>
      <c r="G9403">
        <v>4101.33</v>
      </c>
      <c r="H9403">
        <v>250531</v>
      </c>
      <c r="I9403">
        <v>4410</v>
      </c>
      <c r="J9403" t="s">
        <v>165</v>
      </c>
      <c r="K9403">
        <v>4101.33</v>
      </c>
      <c r="L9403">
        <v>503.67</v>
      </c>
      <c r="M9403">
        <v>17914</v>
      </c>
      <c r="N9403" t="s">
        <v>1541</v>
      </c>
      <c r="O9403">
        <v>250617</v>
      </c>
      <c r="P9403">
        <v>3597.66</v>
      </c>
    </row>
    <row r="9404" spans="1:16" x14ac:dyDescent="0.25">
      <c r="A9404" t="s">
        <v>3296</v>
      </c>
      <c r="B9404" t="s">
        <v>2931</v>
      </c>
      <c r="C9404">
        <v>18017</v>
      </c>
      <c r="D9404" t="str">
        <f>"3000013     "</f>
        <v xml:space="preserve">3000013     </v>
      </c>
      <c r="E9404" t="s">
        <v>1540</v>
      </c>
      <c r="F9404" t="s">
        <v>1542</v>
      </c>
      <c r="G9404">
        <v>3642.02</v>
      </c>
      <c r="H9404">
        <v>251231</v>
      </c>
      <c r="I9404">
        <v>4410</v>
      </c>
      <c r="J9404" t="s">
        <v>165</v>
      </c>
      <c r="K9404">
        <v>3642.02</v>
      </c>
      <c r="L9404">
        <v>447.27</v>
      </c>
      <c r="M9404">
        <v>17914</v>
      </c>
      <c r="N9404" t="s">
        <v>1541</v>
      </c>
      <c r="O9404">
        <v>260108</v>
      </c>
      <c r="P9404">
        <v>3194.75</v>
      </c>
    </row>
    <row r="9405" spans="1:16" x14ac:dyDescent="0.25">
      <c r="A9405" t="s">
        <v>3296</v>
      </c>
      <c r="B9405" t="s">
        <v>2931</v>
      </c>
      <c r="C9405">
        <v>7167</v>
      </c>
      <c r="D9405" t="str">
        <f>"106634      "</f>
        <v xml:space="preserve">106634      </v>
      </c>
      <c r="E9405" t="s">
        <v>1927</v>
      </c>
      <c r="F9405" t="s">
        <v>1928</v>
      </c>
      <c r="G9405">
        <v>923.18</v>
      </c>
      <c r="H9405">
        <v>250508</v>
      </c>
      <c r="I9405">
        <v>4390</v>
      </c>
      <c r="J9405" t="s">
        <v>232</v>
      </c>
      <c r="K9405">
        <v>923.18</v>
      </c>
      <c r="L9405">
        <v>187.58</v>
      </c>
      <c r="M9405">
        <v>59501</v>
      </c>
      <c r="N9405" t="s">
        <v>62</v>
      </c>
      <c r="O9405">
        <v>250526</v>
      </c>
      <c r="P9405">
        <v>735.6</v>
      </c>
    </row>
    <row r="9406" spans="1:16" x14ac:dyDescent="0.25">
      <c r="A9406" t="s">
        <v>3296</v>
      </c>
      <c r="B9406" t="s">
        <v>2931</v>
      </c>
      <c r="C9406">
        <v>10159</v>
      </c>
      <c r="D9406" t="str">
        <f>"107015      "</f>
        <v xml:space="preserve">107015      </v>
      </c>
      <c r="E9406" t="s">
        <v>1927</v>
      </c>
      <c r="F9406" t="s">
        <v>1928</v>
      </c>
      <c r="G9406">
        <v>1772.46</v>
      </c>
      <c r="H9406">
        <v>250804</v>
      </c>
      <c r="I9406">
        <v>4390</v>
      </c>
      <c r="J9406" t="s">
        <v>232</v>
      </c>
      <c r="K9406">
        <v>1772.46</v>
      </c>
      <c r="L9406">
        <v>360.14</v>
      </c>
      <c r="M9406">
        <v>59501</v>
      </c>
      <c r="N9406" t="s">
        <v>62</v>
      </c>
      <c r="O9406">
        <v>250812</v>
      </c>
      <c r="P9406">
        <v>1412.32</v>
      </c>
    </row>
    <row r="9407" spans="1:16" x14ac:dyDescent="0.25">
      <c r="A9407" t="s">
        <v>3296</v>
      </c>
      <c r="B9407" t="s">
        <v>2931</v>
      </c>
      <c r="C9407">
        <v>14584</v>
      </c>
      <c r="D9407" t="str">
        <f>"107513      "</f>
        <v xml:space="preserve">107513      </v>
      </c>
      <c r="E9407" t="s">
        <v>1927</v>
      </c>
      <c r="F9407" t="s">
        <v>1928</v>
      </c>
      <c r="G9407">
        <v>539.03</v>
      </c>
      <c r="H9407">
        <v>251031</v>
      </c>
      <c r="I9407">
        <v>4390</v>
      </c>
      <c r="J9407" t="s">
        <v>232</v>
      </c>
      <c r="K9407">
        <v>539.03</v>
      </c>
      <c r="L9407">
        <v>109.52</v>
      </c>
      <c r="M9407">
        <v>59501</v>
      </c>
      <c r="N9407" t="s">
        <v>62</v>
      </c>
      <c r="O9407">
        <v>251105</v>
      </c>
      <c r="P9407">
        <v>429.51</v>
      </c>
    </row>
    <row r="9408" spans="1:16" x14ac:dyDescent="0.25">
      <c r="A9408" t="s">
        <v>3296</v>
      </c>
      <c r="B9408" t="s">
        <v>2931</v>
      </c>
      <c r="C9408">
        <v>16860</v>
      </c>
      <c r="D9408" t="str">
        <f>"107696      "</f>
        <v xml:space="preserve">107696      </v>
      </c>
      <c r="E9408" t="s">
        <v>1927</v>
      </c>
      <c r="F9408" t="s">
        <v>1928</v>
      </c>
      <c r="G9408">
        <v>380.9</v>
      </c>
      <c r="H9408">
        <v>251202</v>
      </c>
      <c r="I9408">
        <v>4390</v>
      </c>
      <c r="J9408" t="s">
        <v>232</v>
      </c>
      <c r="K9408">
        <v>380.9</v>
      </c>
      <c r="L9408">
        <v>77.39</v>
      </c>
      <c r="M9408">
        <v>59501</v>
      </c>
      <c r="N9408" t="s">
        <v>62</v>
      </c>
      <c r="O9408">
        <v>251215</v>
      </c>
      <c r="P9408">
        <v>303.51</v>
      </c>
    </row>
    <row r="9409" spans="1:16" x14ac:dyDescent="0.25">
      <c r="A9409" t="s">
        <v>3296</v>
      </c>
      <c r="B9409" t="s">
        <v>2931</v>
      </c>
      <c r="C9409">
        <v>17236</v>
      </c>
      <c r="D9409" t="str">
        <f>"107768      "</f>
        <v xml:space="preserve">107768      </v>
      </c>
      <c r="E9409" t="s">
        <v>1927</v>
      </c>
      <c r="F9409" t="s">
        <v>1928</v>
      </c>
      <c r="G9409">
        <v>2860.14</v>
      </c>
      <c r="H9409">
        <v>251216</v>
      </c>
      <c r="I9409">
        <v>4390</v>
      </c>
      <c r="J9409" t="s">
        <v>232</v>
      </c>
      <c r="K9409">
        <v>2860.14</v>
      </c>
      <c r="L9409">
        <v>581.14</v>
      </c>
      <c r="M9409">
        <v>59501</v>
      </c>
      <c r="N9409" t="s">
        <v>62</v>
      </c>
      <c r="O9409">
        <v>251218</v>
      </c>
      <c r="P9409">
        <v>2279</v>
      </c>
    </row>
    <row r="9410" spans="1:16" x14ac:dyDescent="0.25">
      <c r="A9410" t="s">
        <v>3296</v>
      </c>
      <c r="B9410" t="s">
        <v>2931</v>
      </c>
      <c r="C9410">
        <v>146</v>
      </c>
      <c r="D9410" t="str">
        <f>"226107250   "</f>
        <v xml:space="preserve">226107250   </v>
      </c>
      <c r="E9410" t="s">
        <v>263</v>
      </c>
      <c r="F9410" t="s">
        <v>264</v>
      </c>
      <c r="G9410">
        <v>124.8</v>
      </c>
      <c r="H9410">
        <v>250103</v>
      </c>
      <c r="I9410">
        <v>4390</v>
      </c>
      <c r="J9410" t="s">
        <v>232</v>
      </c>
      <c r="K9410">
        <v>124.8</v>
      </c>
      <c r="L9410">
        <v>0</v>
      </c>
      <c r="M9410">
        <v>59501</v>
      </c>
      <c r="N9410" t="s">
        <v>62</v>
      </c>
      <c r="O9410">
        <v>250113</v>
      </c>
      <c r="P9410">
        <v>124.8</v>
      </c>
    </row>
    <row r="9411" spans="1:16" x14ac:dyDescent="0.25">
      <c r="A9411" t="s">
        <v>3296</v>
      </c>
      <c r="B9411" t="s">
        <v>2931</v>
      </c>
      <c r="C9411">
        <v>190</v>
      </c>
      <c r="D9411" t="str">
        <f>"115531728   "</f>
        <v xml:space="preserve">115531728   </v>
      </c>
      <c r="E9411" t="s">
        <v>263</v>
      </c>
      <c r="F9411" t="s">
        <v>264</v>
      </c>
      <c r="G9411">
        <v>138.69999999999999</v>
      </c>
      <c r="H9411">
        <v>250110</v>
      </c>
      <c r="I9411">
        <v>4390</v>
      </c>
      <c r="J9411" t="s">
        <v>232</v>
      </c>
      <c r="K9411">
        <v>416.11</v>
      </c>
      <c r="L9411">
        <v>28.18</v>
      </c>
      <c r="M9411">
        <v>13540</v>
      </c>
      <c r="N9411" t="s">
        <v>131</v>
      </c>
      <c r="O9411">
        <v>250115</v>
      </c>
      <c r="P9411">
        <v>110.52</v>
      </c>
    </row>
    <row r="9412" spans="1:16" x14ac:dyDescent="0.25">
      <c r="A9412" t="s">
        <v>3296</v>
      </c>
      <c r="B9412" t="s">
        <v>2931</v>
      </c>
      <c r="C9412">
        <v>190</v>
      </c>
      <c r="D9412" t="str">
        <f>"115531728   "</f>
        <v xml:space="preserve">115531728   </v>
      </c>
      <c r="E9412" t="s">
        <v>263</v>
      </c>
      <c r="F9412" t="s">
        <v>264</v>
      </c>
      <c r="G9412">
        <v>277.41000000000003</v>
      </c>
      <c r="H9412">
        <v>250110</v>
      </c>
      <c r="I9412">
        <v>4390</v>
      </c>
      <c r="J9412" t="s">
        <v>232</v>
      </c>
      <c r="K9412">
        <v>416.11</v>
      </c>
      <c r="L9412">
        <v>56.37</v>
      </c>
      <c r="M9412">
        <v>17950</v>
      </c>
      <c r="N9412" t="s">
        <v>132</v>
      </c>
      <c r="O9412">
        <v>250115</v>
      </c>
      <c r="P9412">
        <v>221.04</v>
      </c>
    </row>
    <row r="9413" spans="1:16" x14ac:dyDescent="0.25">
      <c r="A9413" t="s">
        <v>3296</v>
      </c>
      <c r="B9413" t="s">
        <v>2931</v>
      </c>
      <c r="C9413">
        <v>245</v>
      </c>
      <c r="D9413" t="str">
        <f>"115519830   "</f>
        <v xml:space="preserve">115519830   </v>
      </c>
      <c r="E9413" t="s">
        <v>263</v>
      </c>
      <c r="F9413" t="s">
        <v>264</v>
      </c>
      <c r="G9413">
        <v>1167.24</v>
      </c>
      <c r="H9413">
        <v>250110</v>
      </c>
      <c r="I9413">
        <v>4390</v>
      </c>
      <c r="J9413" t="s">
        <v>232</v>
      </c>
      <c r="K9413">
        <v>2995.32</v>
      </c>
      <c r="L9413">
        <v>0</v>
      </c>
      <c r="M9413">
        <v>59501</v>
      </c>
      <c r="N9413" t="s">
        <v>62</v>
      </c>
      <c r="O9413">
        <v>250120</v>
      </c>
      <c r="P9413">
        <v>1167.24</v>
      </c>
    </row>
    <row r="9414" spans="1:16" x14ac:dyDescent="0.25">
      <c r="A9414" t="s">
        <v>3296</v>
      </c>
      <c r="B9414" t="s">
        <v>2931</v>
      </c>
      <c r="C9414">
        <v>245</v>
      </c>
      <c r="D9414" t="str">
        <f>"115519830   "</f>
        <v xml:space="preserve">115519830   </v>
      </c>
      <c r="E9414" t="s">
        <v>263</v>
      </c>
      <c r="F9414" t="s">
        <v>264</v>
      </c>
      <c r="G9414">
        <v>1828.08</v>
      </c>
      <c r="H9414">
        <v>250110</v>
      </c>
      <c r="I9414">
        <v>4390</v>
      </c>
      <c r="J9414" t="s">
        <v>232</v>
      </c>
      <c r="K9414">
        <v>2995.32</v>
      </c>
      <c r="L9414">
        <v>0</v>
      </c>
      <c r="M9414">
        <v>59502</v>
      </c>
      <c r="N9414" t="s">
        <v>63</v>
      </c>
      <c r="O9414">
        <v>250120</v>
      </c>
      <c r="P9414">
        <v>1828.08</v>
      </c>
    </row>
    <row r="9415" spans="1:16" x14ac:dyDescent="0.25">
      <c r="A9415" t="s">
        <v>3296</v>
      </c>
      <c r="B9415" t="s">
        <v>2931</v>
      </c>
      <c r="C9415">
        <v>571</v>
      </c>
      <c r="D9415" t="str">
        <f>"115517836   "</f>
        <v xml:space="preserve">115517836   </v>
      </c>
      <c r="E9415" t="s">
        <v>263</v>
      </c>
      <c r="F9415" t="s">
        <v>264</v>
      </c>
      <c r="G9415">
        <v>483.09</v>
      </c>
      <c r="H9415">
        <v>250110</v>
      </c>
      <c r="I9415">
        <v>4390</v>
      </c>
      <c r="J9415" t="s">
        <v>232</v>
      </c>
      <c r="K9415">
        <v>483.09</v>
      </c>
      <c r="L9415">
        <v>0</v>
      </c>
      <c r="M9415">
        <v>59505</v>
      </c>
      <c r="N9415" t="s">
        <v>194</v>
      </c>
      <c r="O9415">
        <v>250124</v>
      </c>
      <c r="P9415">
        <v>483.09</v>
      </c>
    </row>
    <row r="9416" spans="1:16" x14ac:dyDescent="0.25">
      <c r="A9416" t="s">
        <v>3296</v>
      </c>
      <c r="B9416" t="s">
        <v>2931</v>
      </c>
      <c r="C9416">
        <v>3270</v>
      </c>
      <c r="D9416" t="str">
        <f>"226123220   "</f>
        <v xml:space="preserve">226123220   </v>
      </c>
      <c r="E9416" t="s">
        <v>263</v>
      </c>
      <c r="F9416" t="s">
        <v>264</v>
      </c>
      <c r="G9416">
        <v>180</v>
      </c>
      <c r="H9416">
        <v>250305</v>
      </c>
      <c r="I9416">
        <v>4390</v>
      </c>
      <c r="J9416" t="s">
        <v>232</v>
      </c>
      <c r="K9416">
        <v>180</v>
      </c>
      <c r="L9416">
        <v>0</v>
      </c>
      <c r="M9416">
        <v>59501</v>
      </c>
      <c r="N9416" t="s">
        <v>62</v>
      </c>
      <c r="O9416">
        <v>250318</v>
      </c>
      <c r="P9416">
        <v>180</v>
      </c>
    </row>
    <row r="9417" spans="1:16" x14ac:dyDescent="0.25">
      <c r="A9417" t="s">
        <v>3296</v>
      </c>
      <c r="B9417" t="s">
        <v>2931</v>
      </c>
      <c r="C9417">
        <v>3294</v>
      </c>
      <c r="D9417" t="str">
        <f>"226123646   "</f>
        <v xml:space="preserve">226123646   </v>
      </c>
      <c r="E9417" t="s">
        <v>263</v>
      </c>
      <c r="F9417" t="s">
        <v>264</v>
      </c>
      <c r="G9417">
        <v>180</v>
      </c>
      <c r="H9417">
        <v>250306</v>
      </c>
      <c r="I9417">
        <v>4390</v>
      </c>
      <c r="J9417" t="s">
        <v>232</v>
      </c>
      <c r="K9417">
        <v>180</v>
      </c>
      <c r="L9417">
        <v>0</v>
      </c>
      <c r="M9417">
        <v>59505</v>
      </c>
      <c r="N9417" t="s">
        <v>194</v>
      </c>
      <c r="O9417">
        <v>250318</v>
      </c>
      <c r="P9417">
        <v>180</v>
      </c>
    </row>
    <row r="9418" spans="1:16" x14ac:dyDescent="0.25">
      <c r="A9418" t="s">
        <v>3296</v>
      </c>
      <c r="B9418" t="s">
        <v>2931</v>
      </c>
      <c r="C9418">
        <v>3786</v>
      </c>
      <c r="D9418" t="str">
        <f>"226126999   "</f>
        <v xml:space="preserve">226126999   </v>
      </c>
      <c r="E9418" t="s">
        <v>263</v>
      </c>
      <c r="F9418" t="s">
        <v>264</v>
      </c>
      <c r="G9418">
        <v>189.9</v>
      </c>
      <c r="H9418">
        <v>250318</v>
      </c>
      <c r="I9418">
        <v>4390</v>
      </c>
      <c r="J9418" t="s">
        <v>232</v>
      </c>
      <c r="K9418">
        <v>189.9</v>
      </c>
      <c r="L9418">
        <v>0</v>
      </c>
      <c r="M9418">
        <v>59505</v>
      </c>
      <c r="N9418" t="s">
        <v>194</v>
      </c>
      <c r="O9418">
        <v>250401</v>
      </c>
      <c r="P9418">
        <v>189.9</v>
      </c>
    </row>
    <row r="9419" spans="1:16" x14ac:dyDescent="0.25">
      <c r="A9419" t="s">
        <v>3296</v>
      </c>
      <c r="B9419" t="s">
        <v>2931</v>
      </c>
      <c r="C9419">
        <v>4497</v>
      </c>
      <c r="D9419" t="str">
        <f>"115539136   "</f>
        <v xml:space="preserve">115539136   </v>
      </c>
      <c r="E9419" t="s">
        <v>263</v>
      </c>
      <c r="F9419" t="s">
        <v>264</v>
      </c>
      <c r="G9419">
        <v>1048.96</v>
      </c>
      <c r="H9419">
        <v>250401</v>
      </c>
      <c r="I9419">
        <v>4390</v>
      </c>
      <c r="J9419" t="s">
        <v>232</v>
      </c>
      <c r="K9419">
        <v>1392.25</v>
      </c>
      <c r="L9419">
        <v>0</v>
      </c>
      <c r="M9419">
        <v>17951</v>
      </c>
      <c r="N9419" t="s">
        <v>207</v>
      </c>
      <c r="O9419">
        <v>250411</v>
      </c>
      <c r="P9419">
        <v>1048.96</v>
      </c>
    </row>
    <row r="9420" spans="1:16" x14ac:dyDescent="0.25">
      <c r="A9420" t="s">
        <v>3296</v>
      </c>
      <c r="B9420" t="s">
        <v>2931</v>
      </c>
      <c r="C9420">
        <v>4513</v>
      </c>
      <c r="D9420" t="str">
        <f>"115539135   "</f>
        <v xml:space="preserve">115539135   </v>
      </c>
      <c r="E9420" t="s">
        <v>263</v>
      </c>
      <c r="F9420" t="s">
        <v>264</v>
      </c>
      <c r="G9420">
        <v>637.58000000000004</v>
      </c>
      <c r="H9420">
        <v>250401</v>
      </c>
      <c r="I9420">
        <v>4390</v>
      </c>
      <c r="J9420" t="s">
        <v>232</v>
      </c>
      <c r="K9420">
        <v>846.24</v>
      </c>
      <c r="L9420">
        <v>0</v>
      </c>
      <c r="M9420">
        <v>17951</v>
      </c>
      <c r="N9420" t="s">
        <v>207</v>
      </c>
      <c r="O9420">
        <v>250414</v>
      </c>
      <c r="P9420">
        <v>637.58000000000004</v>
      </c>
    </row>
    <row r="9421" spans="1:16" x14ac:dyDescent="0.25">
      <c r="A9421" t="s">
        <v>3296</v>
      </c>
      <c r="B9421" t="s">
        <v>2931</v>
      </c>
      <c r="C9421">
        <v>4606</v>
      </c>
      <c r="D9421" t="str">
        <f>"115538755   "</f>
        <v xml:space="preserve">115538755   </v>
      </c>
      <c r="E9421" t="s">
        <v>263</v>
      </c>
      <c r="F9421" t="s">
        <v>264</v>
      </c>
      <c r="G9421">
        <v>604.21</v>
      </c>
      <c r="H9421">
        <v>250401</v>
      </c>
      <c r="I9421">
        <v>4390</v>
      </c>
      <c r="J9421" t="s">
        <v>232</v>
      </c>
      <c r="K9421">
        <v>801.96</v>
      </c>
      <c r="L9421">
        <v>0</v>
      </c>
      <c r="M9421">
        <v>69501</v>
      </c>
      <c r="N9421" t="s">
        <v>123</v>
      </c>
      <c r="O9421">
        <v>250414</v>
      </c>
      <c r="P9421">
        <v>604.21</v>
      </c>
    </row>
    <row r="9422" spans="1:16" x14ac:dyDescent="0.25">
      <c r="A9422" t="s">
        <v>3296</v>
      </c>
      <c r="B9422" t="s">
        <v>2931</v>
      </c>
      <c r="C9422">
        <v>5469</v>
      </c>
      <c r="D9422" t="str">
        <f>"115538640   "</f>
        <v xml:space="preserve">115538640   </v>
      </c>
      <c r="E9422" t="s">
        <v>263</v>
      </c>
      <c r="F9422" t="s">
        <v>264</v>
      </c>
      <c r="G9422">
        <v>483.09</v>
      </c>
      <c r="H9422">
        <v>250401</v>
      </c>
      <c r="I9422">
        <v>4390</v>
      </c>
      <c r="J9422" t="s">
        <v>232</v>
      </c>
      <c r="K9422">
        <v>483.09</v>
      </c>
      <c r="L9422">
        <v>0</v>
      </c>
      <c r="M9422">
        <v>59505</v>
      </c>
      <c r="N9422" t="s">
        <v>194</v>
      </c>
      <c r="O9422">
        <v>250424</v>
      </c>
      <c r="P9422">
        <v>483.09</v>
      </c>
    </row>
    <row r="9423" spans="1:16" x14ac:dyDescent="0.25">
      <c r="A9423" t="s">
        <v>3296</v>
      </c>
      <c r="B9423" t="s">
        <v>2931</v>
      </c>
      <c r="C9423">
        <v>5950</v>
      </c>
      <c r="D9423" t="str">
        <f>"226139598   "</f>
        <v xml:space="preserve">226139598   </v>
      </c>
      <c r="E9423" t="s">
        <v>263</v>
      </c>
      <c r="F9423" t="s">
        <v>264</v>
      </c>
      <c r="G9423">
        <v>350.25</v>
      </c>
      <c r="H9423">
        <v>250430</v>
      </c>
      <c r="I9423">
        <v>4390</v>
      </c>
      <c r="J9423" t="s">
        <v>232</v>
      </c>
      <c r="K9423">
        <v>1050.76</v>
      </c>
      <c r="L9423">
        <v>71.17</v>
      </c>
      <c r="M9423">
        <v>13540</v>
      </c>
      <c r="N9423" t="s">
        <v>131</v>
      </c>
      <c r="O9423">
        <v>250507</v>
      </c>
      <c r="P9423">
        <v>279.08</v>
      </c>
    </row>
    <row r="9424" spans="1:16" x14ac:dyDescent="0.25">
      <c r="A9424" t="s">
        <v>3296</v>
      </c>
      <c r="B9424" t="s">
        <v>2931</v>
      </c>
      <c r="C9424">
        <v>5950</v>
      </c>
      <c r="D9424" t="str">
        <f>"226139598   "</f>
        <v xml:space="preserve">226139598   </v>
      </c>
      <c r="E9424" t="s">
        <v>263</v>
      </c>
      <c r="F9424" t="s">
        <v>264</v>
      </c>
      <c r="G9424">
        <v>700.51</v>
      </c>
      <c r="H9424">
        <v>250430</v>
      </c>
      <c r="I9424">
        <v>4390</v>
      </c>
      <c r="J9424" t="s">
        <v>232</v>
      </c>
      <c r="K9424">
        <v>1050.76</v>
      </c>
      <c r="L9424">
        <v>142.33000000000001</v>
      </c>
      <c r="M9424">
        <v>17950</v>
      </c>
      <c r="N9424" t="s">
        <v>132</v>
      </c>
      <c r="O9424">
        <v>250507</v>
      </c>
      <c r="P9424">
        <v>558.17999999999995</v>
      </c>
    </row>
    <row r="9425" spans="1:16" x14ac:dyDescent="0.25">
      <c r="A9425" t="s">
        <v>3296</v>
      </c>
      <c r="B9425" t="s">
        <v>2931</v>
      </c>
      <c r="C9425">
        <v>7420</v>
      </c>
      <c r="D9425" t="str">
        <f>"226144359   "</f>
        <v xml:space="preserve">226144359   </v>
      </c>
      <c r="E9425" t="s">
        <v>263</v>
      </c>
      <c r="F9425" t="s">
        <v>264</v>
      </c>
      <c r="G9425">
        <v>287.64</v>
      </c>
      <c r="H9425">
        <v>250523</v>
      </c>
      <c r="I9425">
        <v>4390</v>
      </c>
      <c r="J9425" t="s">
        <v>232</v>
      </c>
      <c r="K9425">
        <v>287.64</v>
      </c>
      <c r="L9425">
        <v>0</v>
      </c>
      <c r="M9425">
        <v>17951</v>
      </c>
      <c r="N9425" t="s">
        <v>207</v>
      </c>
      <c r="O9425">
        <v>250603</v>
      </c>
      <c r="P9425">
        <v>287.64</v>
      </c>
    </row>
    <row r="9426" spans="1:16" x14ac:dyDescent="0.25">
      <c r="A9426" t="s">
        <v>3296</v>
      </c>
      <c r="B9426" t="s">
        <v>2931</v>
      </c>
      <c r="C9426">
        <v>9390</v>
      </c>
      <c r="D9426" t="str">
        <f>"226152933   "</f>
        <v xml:space="preserve">226152933   </v>
      </c>
      <c r="E9426" t="s">
        <v>263</v>
      </c>
      <c r="F9426" t="s">
        <v>264</v>
      </c>
      <c r="G9426">
        <v>741.54</v>
      </c>
      <c r="H9426">
        <v>250630</v>
      </c>
      <c r="I9426">
        <v>4390</v>
      </c>
      <c r="J9426" t="s">
        <v>232</v>
      </c>
      <c r="K9426">
        <v>741.54</v>
      </c>
      <c r="L9426">
        <v>0</v>
      </c>
      <c r="M9426">
        <v>59501</v>
      </c>
      <c r="N9426" t="s">
        <v>62</v>
      </c>
      <c r="O9426">
        <v>250707</v>
      </c>
      <c r="P9426">
        <v>741.54</v>
      </c>
    </row>
    <row r="9427" spans="1:16" x14ac:dyDescent="0.25">
      <c r="A9427" t="s">
        <v>3296</v>
      </c>
      <c r="B9427" t="s">
        <v>2931</v>
      </c>
      <c r="C9427">
        <v>9632</v>
      </c>
      <c r="D9427" t="str">
        <f>"226154443   "</f>
        <v xml:space="preserve">226154443   </v>
      </c>
      <c r="E9427" t="s">
        <v>263</v>
      </c>
      <c r="F9427" t="s">
        <v>264</v>
      </c>
      <c r="G9427">
        <v>549.9</v>
      </c>
      <c r="H9427">
        <v>250708</v>
      </c>
      <c r="I9427">
        <v>4390</v>
      </c>
      <c r="J9427" t="s">
        <v>232</v>
      </c>
      <c r="K9427">
        <v>549.9</v>
      </c>
      <c r="L9427">
        <v>0</v>
      </c>
      <c r="M9427">
        <v>59505</v>
      </c>
      <c r="N9427" t="s">
        <v>194</v>
      </c>
      <c r="O9427">
        <v>250722</v>
      </c>
      <c r="P9427">
        <v>549.9</v>
      </c>
    </row>
    <row r="9428" spans="1:16" x14ac:dyDescent="0.25">
      <c r="A9428" t="s">
        <v>3296</v>
      </c>
      <c r="B9428" t="s">
        <v>2931</v>
      </c>
      <c r="C9428">
        <v>9686</v>
      </c>
      <c r="D9428" t="str">
        <f>"115547013   "</f>
        <v xml:space="preserve">115547013   </v>
      </c>
      <c r="E9428" t="s">
        <v>263</v>
      </c>
      <c r="F9428" t="s">
        <v>264</v>
      </c>
      <c r="G9428">
        <v>483.09</v>
      </c>
      <c r="H9428">
        <v>250701</v>
      </c>
      <c r="I9428">
        <v>4390</v>
      </c>
      <c r="J9428" t="s">
        <v>232</v>
      </c>
      <c r="K9428">
        <v>483.09</v>
      </c>
      <c r="L9428">
        <v>0</v>
      </c>
      <c r="M9428">
        <v>59505</v>
      </c>
      <c r="N9428" t="s">
        <v>194</v>
      </c>
      <c r="O9428">
        <v>250724</v>
      </c>
      <c r="P9428">
        <v>483.09</v>
      </c>
    </row>
    <row r="9429" spans="1:16" x14ac:dyDescent="0.25">
      <c r="A9429" t="s">
        <v>3296</v>
      </c>
      <c r="B9429" t="s">
        <v>2931</v>
      </c>
      <c r="C9429">
        <v>11118</v>
      </c>
      <c r="D9429" t="str">
        <f>"226162130   "</f>
        <v xml:space="preserve">226162130   </v>
      </c>
      <c r="E9429" t="s">
        <v>263</v>
      </c>
      <c r="F9429" t="s">
        <v>264</v>
      </c>
      <c r="G9429">
        <v>228.76</v>
      </c>
      <c r="H9429">
        <v>250821</v>
      </c>
      <c r="I9429">
        <v>4390</v>
      </c>
      <c r="J9429" t="s">
        <v>232</v>
      </c>
      <c r="K9429">
        <v>228.76</v>
      </c>
      <c r="L9429">
        <v>0</v>
      </c>
      <c r="M9429">
        <v>59501</v>
      </c>
      <c r="N9429" t="s">
        <v>62</v>
      </c>
      <c r="O9429">
        <v>250829</v>
      </c>
      <c r="P9429">
        <v>228.76</v>
      </c>
    </row>
    <row r="9430" spans="1:16" x14ac:dyDescent="0.25">
      <c r="A9430" t="s">
        <v>3296</v>
      </c>
      <c r="B9430" t="s">
        <v>2931</v>
      </c>
      <c r="C9430">
        <v>11119</v>
      </c>
      <c r="D9430" t="str">
        <f>"226162131   "</f>
        <v xml:space="preserve">226162131   </v>
      </c>
      <c r="E9430" t="s">
        <v>263</v>
      </c>
      <c r="F9430" t="s">
        <v>264</v>
      </c>
      <c r="G9430">
        <v>228.76</v>
      </c>
      <c r="H9430">
        <v>250821</v>
      </c>
      <c r="I9430">
        <v>4390</v>
      </c>
      <c r="J9430" t="s">
        <v>232</v>
      </c>
      <c r="K9430">
        <v>228.76</v>
      </c>
      <c r="L9430">
        <v>0</v>
      </c>
      <c r="M9430">
        <v>59502</v>
      </c>
      <c r="N9430" t="s">
        <v>63</v>
      </c>
      <c r="O9430">
        <v>250829</v>
      </c>
      <c r="P9430">
        <v>228.76</v>
      </c>
    </row>
    <row r="9431" spans="1:16" x14ac:dyDescent="0.25">
      <c r="A9431" t="s">
        <v>3296</v>
      </c>
      <c r="B9431" t="s">
        <v>2931</v>
      </c>
      <c r="C9431">
        <v>11390</v>
      </c>
      <c r="D9431" t="str">
        <f>"115555449   "</f>
        <v xml:space="preserve">115555449   </v>
      </c>
      <c r="E9431" t="s">
        <v>263</v>
      </c>
      <c r="F9431" t="s">
        <v>264</v>
      </c>
      <c r="G9431">
        <v>43.93</v>
      </c>
      <c r="H9431">
        <v>250901</v>
      </c>
      <c r="I9431">
        <v>4390</v>
      </c>
      <c r="J9431" t="s">
        <v>232</v>
      </c>
      <c r="K9431">
        <v>131.78</v>
      </c>
      <c r="L9431">
        <v>8.93</v>
      </c>
      <c r="M9431">
        <v>13540</v>
      </c>
      <c r="N9431" t="s">
        <v>131</v>
      </c>
      <c r="O9431">
        <v>250904</v>
      </c>
      <c r="P9431">
        <v>35</v>
      </c>
    </row>
    <row r="9432" spans="1:16" x14ac:dyDescent="0.25">
      <c r="A9432" t="s">
        <v>3296</v>
      </c>
      <c r="B9432" t="s">
        <v>2931</v>
      </c>
      <c r="C9432">
        <v>11390</v>
      </c>
      <c r="D9432" t="str">
        <f>"115555449   "</f>
        <v xml:space="preserve">115555449   </v>
      </c>
      <c r="E9432" t="s">
        <v>263</v>
      </c>
      <c r="F9432" t="s">
        <v>264</v>
      </c>
      <c r="G9432">
        <v>87.85</v>
      </c>
      <c r="H9432">
        <v>250901</v>
      </c>
      <c r="I9432">
        <v>4390</v>
      </c>
      <c r="J9432" t="s">
        <v>232</v>
      </c>
      <c r="K9432">
        <v>131.78</v>
      </c>
      <c r="L9432">
        <v>17.850000000000001</v>
      </c>
      <c r="M9432">
        <v>17950</v>
      </c>
      <c r="N9432" t="s">
        <v>132</v>
      </c>
      <c r="O9432">
        <v>250904</v>
      </c>
      <c r="P9432">
        <v>70</v>
      </c>
    </row>
    <row r="9433" spans="1:16" x14ac:dyDescent="0.25">
      <c r="A9433" t="s">
        <v>3296</v>
      </c>
      <c r="B9433" t="s">
        <v>2931</v>
      </c>
      <c r="C9433">
        <v>11522</v>
      </c>
      <c r="D9433" t="str">
        <f>"115553366   "</f>
        <v xml:space="preserve">115553366   </v>
      </c>
      <c r="E9433" t="s">
        <v>263</v>
      </c>
      <c r="F9433" t="s">
        <v>264</v>
      </c>
      <c r="G9433">
        <v>210</v>
      </c>
      <c r="H9433">
        <v>250901</v>
      </c>
      <c r="I9433">
        <v>4390</v>
      </c>
      <c r="J9433" t="s">
        <v>232</v>
      </c>
      <c r="K9433">
        <v>210</v>
      </c>
      <c r="L9433">
        <v>0</v>
      </c>
      <c r="M9433">
        <v>59502</v>
      </c>
      <c r="N9433" t="s">
        <v>63</v>
      </c>
      <c r="O9433">
        <v>250908</v>
      </c>
      <c r="P9433">
        <v>210</v>
      </c>
    </row>
    <row r="9434" spans="1:16" x14ac:dyDescent="0.25">
      <c r="A9434" t="s">
        <v>3296</v>
      </c>
      <c r="B9434" t="s">
        <v>2931</v>
      </c>
      <c r="C9434">
        <v>12908</v>
      </c>
      <c r="D9434" t="str">
        <f>"226171856   "</f>
        <v xml:space="preserve">226171856   </v>
      </c>
      <c r="E9434" t="s">
        <v>263</v>
      </c>
      <c r="F9434" t="s">
        <v>264</v>
      </c>
      <c r="G9434">
        <v>180</v>
      </c>
      <c r="H9434">
        <v>250930</v>
      </c>
      <c r="I9434">
        <v>4390</v>
      </c>
      <c r="J9434" t="s">
        <v>232</v>
      </c>
      <c r="K9434">
        <v>180</v>
      </c>
      <c r="L9434">
        <v>0</v>
      </c>
      <c r="M9434">
        <v>59504</v>
      </c>
      <c r="N9434" t="s">
        <v>193</v>
      </c>
      <c r="O9434">
        <v>251001</v>
      </c>
      <c r="P9434">
        <v>180</v>
      </c>
    </row>
    <row r="9435" spans="1:16" x14ac:dyDescent="0.25">
      <c r="A9435" t="s">
        <v>3296</v>
      </c>
      <c r="B9435" t="s">
        <v>2931</v>
      </c>
      <c r="C9435">
        <v>13048</v>
      </c>
      <c r="D9435" t="str">
        <f>"115555754   "</f>
        <v xml:space="preserve">115555754   </v>
      </c>
      <c r="E9435" t="s">
        <v>263</v>
      </c>
      <c r="F9435" t="s">
        <v>264</v>
      </c>
      <c r="G9435">
        <v>483.09</v>
      </c>
      <c r="H9435">
        <v>251001</v>
      </c>
      <c r="I9435">
        <v>4390</v>
      </c>
      <c r="J9435" t="s">
        <v>232</v>
      </c>
      <c r="K9435">
        <v>483.09</v>
      </c>
      <c r="L9435">
        <v>0</v>
      </c>
      <c r="M9435">
        <v>59505</v>
      </c>
      <c r="N9435" t="s">
        <v>194</v>
      </c>
      <c r="O9435">
        <v>251003</v>
      </c>
      <c r="P9435">
        <v>483.09</v>
      </c>
    </row>
    <row r="9436" spans="1:16" x14ac:dyDescent="0.25">
      <c r="A9436" t="s">
        <v>3296</v>
      </c>
      <c r="B9436" t="s">
        <v>2931</v>
      </c>
      <c r="C9436">
        <v>13088</v>
      </c>
      <c r="D9436" t="str">
        <f>"115555863   "</f>
        <v xml:space="preserve">115555863   </v>
      </c>
      <c r="E9436" t="s">
        <v>263</v>
      </c>
      <c r="F9436" t="s">
        <v>264</v>
      </c>
      <c r="G9436">
        <v>350.19</v>
      </c>
      <c r="H9436">
        <v>251001</v>
      </c>
      <c r="I9436">
        <v>4390</v>
      </c>
      <c r="J9436" t="s">
        <v>232</v>
      </c>
      <c r="K9436">
        <v>350.19</v>
      </c>
      <c r="L9436">
        <v>0</v>
      </c>
      <c r="M9436">
        <v>59504</v>
      </c>
      <c r="N9436" t="s">
        <v>193</v>
      </c>
      <c r="O9436">
        <v>251003</v>
      </c>
      <c r="P9436">
        <v>350.19</v>
      </c>
    </row>
    <row r="9437" spans="1:16" x14ac:dyDescent="0.25">
      <c r="A9437" t="s">
        <v>3296</v>
      </c>
      <c r="B9437" t="s">
        <v>2931</v>
      </c>
      <c r="C9437">
        <v>13942</v>
      </c>
      <c r="D9437" t="str">
        <f>"226174883   "</f>
        <v xml:space="preserve">226174883   </v>
      </c>
      <c r="E9437" t="s">
        <v>263</v>
      </c>
      <c r="F9437" t="s">
        <v>264</v>
      </c>
      <c r="G9437">
        <v>502.59</v>
      </c>
      <c r="H9437">
        <v>251015</v>
      </c>
      <c r="I9437">
        <v>4390</v>
      </c>
      <c r="J9437" t="s">
        <v>232</v>
      </c>
      <c r="K9437">
        <v>502.59</v>
      </c>
      <c r="L9437">
        <v>0</v>
      </c>
      <c r="M9437">
        <v>17951</v>
      </c>
      <c r="N9437" t="s">
        <v>207</v>
      </c>
      <c r="O9437">
        <v>251021</v>
      </c>
      <c r="P9437">
        <v>502.59</v>
      </c>
    </row>
    <row r="9438" spans="1:16" x14ac:dyDescent="0.25">
      <c r="A9438" t="s">
        <v>3296</v>
      </c>
      <c r="B9438" t="s">
        <v>2931</v>
      </c>
      <c r="C9438">
        <v>16275</v>
      </c>
      <c r="D9438" t="str">
        <f>"226186838   "</f>
        <v xml:space="preserve">226186838   </v>
      </c>
      <c r="E9438" t="s">
        <v>263</v>
      </c>
      <c r="F9438" t="s">
        <v>264</v>
      </c>
      <c r="G9438">
        <v>83.4</v>
      </c>
      <c r="H9438">
        <v>251202</v>
      </c>
      <c r="I9438">
        <v>4390</v>
      </c>
      <c r="J9438" t="s">
        <v>232</v>
      </c>
      <c r="K9438">
        <v>83.4</v>
      </c>
      <c r="L9438">
        <v>0</v>
      </c>
      <c r="M9438">
        <v>17951</v>
      </c>
      <c r="N9438" t="s">
        <v>207</v>
      </c>
      <c r="O9438">
        <v>251205</v>
      </c>
      <c r="P9438">
        <v>83.4</v>
      </c>
    </row>
    <row r="9439" spans="1:16" x14ac:dyDescent="0.25">
      <c r="A9439" t="s">
        <v>3296</v>
      </c>
      <c r="B9439" t="s">
        <v>2931</v>
      </c>
      <c r="C9439">
        <v>17237</v>
      </c>
      <c r="D9439" t="str">
        <f>"226190070   "</f>
        <v xml:space="preserve">226190070   </v>
      </c>
      <c r="E9439" t="s">
        <v>263</v>
      </c>
      <c r="F9439" t="s">
        <v>264</v>
      </c>
      <c r="G9439">
        <v>262.55</v>
      </c>
      <c r="H9439">
        <v>251216</v>
      </c>
      <c r="I9439">
        <v>4390</v>
      </c>
      <c r="J9439" t="s">
        <v>232</v>
      </c>
      <c r="K9439">
        <v>787.64</v>
      </c>
      <c r="L9439">
        <v>53.35</v>
      </c>
      <c r="M9439">
        <v>13540</v>
      </c>
      <c r="N9439" t="s">
        <v>131</v>
      </c>
      <c r="O9439">
        <v>251218</v>
      </c>
      <c r="P9439">
        <v>209.2</v>
      </c>
    </row>
    <row r="9440" spans="1:16" x14ac:dyDescent="0.25">
      <c r="A9440" t="s">
        <v>3296</v>
      </c>
      <c r="B9440" t="s">
        <v>2931</v>
      </c>
      <c r="C9440">
        <v>17237</v>
      </c>
      <c r="D9440" t="str">
        <f>"226190070   "</f>
        <v xml:space="preserve">226190070   </v>
      </c>
      <c r="E9440" t="s">
        <v>263</v>
      </c>
      <c r="F9440" t="s">
        <v>264</v>
      </c>
      <c r="G9440">
        <v>525.09</v>
      </c>
      <c r="H9440">
        <v>251216</v>
      </c>
      <c r="I9440">
        <v>4390</v>
      </c>
      <c r="J9440" t="s">
        <v>232</v>
      </c>
      <c r="K9440">
        <v>787.64</v>
      </c>
      <c r="L9440">
        <v>106.69</v>
      </c>
      <c r="M9440">
        <v>17950</v>
      </c>
      <c r="N9440" t="s">
        <v>132</v>
      </c>
      <c r="O9440">
        <v>251218</v>
      </c>
      <c r="P9440">
        <v>418.4</v>
      </c>
    </row>
    <row r="9441" spans="1:16" x14ac:dyDescent="0.25">
      <c r="A9441" t="s">
        <v>3296</v>
      </c>
      <c r="B9441" t="s">
        <v>2931</v>
      </c>
      <c r="C9441">
        <v>570</v>
      </c>
      <c r="D9441" t="str">
        <f>"115517933   "</f>
        <v xml:space="preserve">115517933   </v>
      </c>
      <c r="E9441" t="s">
        <v>263</v>
      </c>
      <c r="F9441" t="s">
        <v>264</v>
      </c>
      <c r="G9441">
        <v>350.19</v>
      </c>
      <c r="H9441">
        <v>250110</v>
      </c>
      <c r="I9441">
        <v>4400</v>
      </c>
      <c r="J9441" t="s">
        <v>162</v>
      </c>
      <c r="K9441">
        <v>350.19</v>
      </c>
      <c r="L9441">
        <v>0</v>
      </c>
      <c r="M9441">
        <v>59504</v>
      </c>
      <c r="N9441" t="s">
        <v>193</v>
      </c>
      <c r="O9441">
        <v>250124</v>
      </c>
      <c r="P9441">
        <v>350.19</v>
      </c>
    </row>
    <row r="9442" spans="1:16" x14ac:dyDescent="0.25">
      <c r="A9442" t="s">
        <v>3296</v>
      </c>
      <c r="B9442" t="s">
        <v>2931</v>
      </c>
      <c r="C9442">
        <v>3426</v>
      </c>
      <c r="D9442" t="str">
        <f>"226123992   "</f>
        <v xml:space="preserve">226123992   </v>
      </c>
      <c r="E9442" t="s">
        <v>263</v>
      </c>
      <c r="F9442" t="s">
        <v>264</v>
      </c>
      <c r="G9442">
        <v>86.22</v>
      </c>
      <c r="H9442">
        <v>250307</v>
      </c>
      <c r="I9442">
        <v>4400</v>
      </c>
      <c r="J9442" t="s">
        <v>162</v>
      </c>
      <c r="K9442">
        <v>258.66000000000003</v>
      </c>
      <c r="L9442">
        <v>17.52</v>
      </c>
      <c r="M9442">
        <v>13540</v>
      </c>
      <c r="N9442" t="s">
        <v>131</v>
      </c>
      <c r="O9442">
        <v>250321</v>
      </c>
      <c r="P9442">
        <v>68.7</v>
      </c>
    </row>
    <row r="9443" spans="1:16" x14ac:dyDescent="0.25">
      <c r="A9443" t="s">
        <v>3296</v>
      </c>
      <c r="B9443" t="s">
        <v>2931</v>
      </c>
      <c r="C9443">
        <v>3426</v>
      </c>
      <c r="D9443" t="str">
        <f>"226123992   "</f>
        <v xml:space="preserve">226123992   </v>
      </c>
      <c r="E9443" t="s">
        <v>263</v>
      </c>
      <c r="F9443" t="s">
        <v>264</v>
      </c>
      <c r="G9443">
        <v>172.44</v>
      </c>
      <c r="H9443">
        <v>250307</v>
      </c>
      <c r="I9443">
        <v>4400</v>
      </c>
      <c r="J9443" t="s">
        <v>162</v>
      </c>
      <c r="K9443">
        <v>258.66000000000003</v>
      </c>
      <c r="L9443">
        <v>35.04</v>
      </c>
      <c r="M9443">
        <v>17950</v>
      </c>
      <c r="N9443" t="s">
        <v>132</v>
      </c>
      <c r="O9443">
        <v>250321</v>
      </c>
      <c r="P9443">
        <v>137.4</v>
      </c>
    </row>
    <row r="9444" spans="1:16" x14ac:dyDescent="0.25">
      <c r="A9444" t="s">
        <v>3296</v>
      </c>
      <c r="B9444" t="s">
        <v>2931</v>
      </c>
      <c r="C9444">
        <v>5219</v>
      </c>
      <c r="D9444" t="str">
        <f>"115538789   "</f>
        <v xml:space="preserve">115538789   </v>
      </c>
      <c r="E9444" t="s">
        <v>263</v>
      </c>
      <c r="F9444" t="s">
        <v>264</v>
      </c>
      <c r="G9444">
        <v>350.19</v>
      </c>
      <c r="H9444">
        <v>250401</v>
      </c>
      <c r="I9444">
        <v>4400</v>
      </c>
      <c r="J9444" t="s">
        <v>162</v>
      </c>
      <c r="K9444">
        <v>350.19</v>
      </c>
      <c r="L9444">
        <v>0</v>
      </c>
      <c r="M9444">
        <v>59504</v>
      </c>
      <c r="N9444" t="s">
        <v>193</v>
      </c>
      <c r="O9444">
        <v>250422</v>
      </c>
      <c r="P9444">
        <v>350.19</v>
      </c>
    </row>
    <row r="9445" spans="1:16" x14ac:dyDescent="0.25">
      <c r="A9445" t="s">
        <v>3296</v>
      </c>
      <c r="B9445" t="s">
        <v>2931</v>
      </c>
      <c r="C9445">
        <v>9683</v>
      </c>
      <c r="D9445" t="str">
        <f>"115547191   "</f>
        <v xml:space="preserve">115547191   </v>
      </c>
      <c r="E9445" t="s">
        <v>263</v>
      </c>
      <c r="F9445" t="s">
        <v>264</v>
      </c>
      <c r="G9445">
        <v>350.19</v>
      </c>
      <c r="H9445">
        <v>250701</v>
      </c>
      <c r="I9445">
        <v>4400</v>
      </c>
      <c r="J9445" t="s">
        <v>162</v>
      </c>
      <c r="K9445">
        <v>350.19</v>
      </c>
      <c r="L9445">
        <v>0</v>
      </c>
      <c r="M9445">
        <v>59504</v>
      </c>
      <c r="N9445" t="s">
        <v>193</v>
      </c>
      <c r="O9445">
        <v>250724</v>
      </c>
      <c r="P9445">
        <v>350.19</v>
      </c>
    </row>
    <row r="9446" spans="1:16" x14ac:dyDescent="0.25">
      <c r="A9446" t="s">
        <v>3296</v>
      </c>
      <c r="B9446" t="s">
        <v>2931</v>
      </c>
      <c r="C9446">
        <v>10492</v>
      </c>
      <c r="D9446" t="str">
        <f>"226160873   "</f>
        <v xml:space="preserve">226160873   </v>
      </c>
      <c r="E9446" t="s">
        <v>263</v>
      </c>
      <c r="F9446" t="s">
        <v>264</v>
      </c>
      <c r="G9446">
        <v>262.55</v>
      </c>
      <c r="H9446">
        <v>250814</v>
      </c>
      <c r="I9446">
        <v>4400</v>
      </c>
      <c r="J9446" t="s">
        <v>162</v>
      </c>
      <c r="K9446">
        <v>787.64</v>
      </c>
      <c r="L9446">
        <v>53.35</v>
      </c>
      <c r="M9446">
        <v>13540</v>
      </c>
      <c r="N9446" t="s">
        <v>131</v>
      </c>
      <c r="O9446">
        <v>250820</v>
      </c>
      <c r="P9446">
        <v>209.2</v>
      </c>
    </row>
    <row r="9447" spans="1:16" x14ac:dyDescent="0.25">
      <c r="A9447" t="s">
        <v>3296</v>
      </c>
      <c r="B9447" t="s">
        <v>2931</v>
      </c>
      <c r="C9447">
        <v>10492</v>
      </c>
      <c r="D9447" t="str">
        <f>"226160873   "</f>
        <v xml:space="preserve">226160873   </v>
      </c>
      <c r="E9447" t="s">
        <v>263</v>
      </c>
      <c r="F9447" t="s">
        <v>264</v>
      </c>
      <c r="G9447">
        <v>525.09</v>
      </c>
      <c r="H9447">
        <v>250814</v>
      </c>
      <c r="I9447">
        <v>4400</v>
      </c>
      <c r="J9447" t="s">
        <v>162</v>
      </c>
      <c r="K9447">
        <v>787.64</v>
      </c>
      <c r="L9447">
        <v>106.69</v>
      </c>
      <c r="M9447">
        <v>17950</v>
      </c>
      <c r="N9447" t="s">
        <v>132</v>
      </c>
      <c r="O9447">
        <v>250820</v>
      </c>
      <c r="P9447">
        <v>418.4</v>
      </c>
    </row>
    <row r="9448" spans="1:16" x14ac:dyDescent="0.25">
      <c r="A9448" t="s">
        <v>3296</v>
      </c>
      <c r="B9448" t="s">
        <v>2931</v>
      </c>
      <c r="C9448">
        <v>10557</v>
      </c>
      <c r="D9448" t="str">
        <f>"226161236   "</f>
        <v xml:space="preserve">226161236   </v>
      </c>
      <c r="E9448" t="s">
        <v>263</v>
      </c>
      <c r="F9448" t="s">
        <v>264</v>
      </c>
      <c r="G9448">
        <v>278.88</v>
      </c>
      <c r="H9448">
        <v>250818</v>
      </c>
      <c r="I9448">
        <v>4400</v>
      </c>
      <c r="J9448" t="s">
        <v>162</v>
      </c>
      <c r="K9448">
        <v>278.88</v>
      </c>
      <c r="L9448">
        <v>0</v>
      </c>
      <c r="M9448">
        <v>59504</v>
      </c>
      <c r="N9448" t="s">
        <v>193</v>
      </c>
      <c r="O9448">
        <v>250820</v>
      </c>
      <c r="P9448">
        <v>278.88</v>
      </c>
    </row>
    <row r="9449" spans="1:16" x14ac:dyDescent="0.25">
      <c r="A9449" t="s">
        <v>3296</v>
      </c>
      <c r="B9449" t="s">
        <v>2931</v>
      </c>
      <c r="C9449">
        <v>13722</v>
      </c>
      <c r="D9449" t="str">
        <f>"226173301   "</f>
        <v xml:space="preserve">226173301   </v>
      </c>
      <c r="E9449" t="s">
        <v>263</v>
      </c>
      <c r="F9449" t="s">
        <v>264</v>
      </c>
      <c r="G9449">
        <v>180</v>
      </c>
      <c r="H9449">
        <v>251007</v>
      </c>
      <c r="I9449">
        <v>4470</v>
      </c>
      <c r="J9449" t="s">
        <v>203</v>
      </c>
      <c r="K9449">
        <v>180</v>
      </c>
      <c r="L9449">
        <v>0</v>
      </c>
      <c r="M9449">
        <v>17951</v>
      </c>
      <c r="N9449" t="s">
        <v>207</v>
      </c>
      <c r="O9449">
        <v>251017</v>
      </c>
      <c r="P9449">
        <v>180</v>
      </c>
    </row>
    <row r="9450" spans="1:16" x14ac:dyDescent="0.25">
      <c r="A9450" t="s">
        <v>3296</v>
      </c>
      <c r="B9450" t="s">
        <v>2931</v>
      </c>
      <c r="C9450">
        <v>6816</v>
      </c>
      <c r="D9450" t="str">
        <f>"18051       "</f>
        <v xml:space="preserve">18051       </v>
      </c>
      <c r="E9450" t="s">
        <v>1308</v>
      </c>
      <c r="F9450" t="s">
        <v>1309</v>
      </c>
      <c r="G9450">
        <v>65</v>
      </c>
      <c r="H9450">
        <v>250509</v>
      </c>
      <c r="I9450">
        <v>4470</v>
      </c>
      <c r="J9450" t="s">
        <v>203</v>
      </c>
      <c r="K9450">
        <v>100</v>
      </c>
      <c r="L9450">
        <v>13.21</v>
      </c>
      <c r="M9450">
        <v>67522</v>
      </c>
      <c r="N9450" t="s">
        <v>121</v>
      </c>
      <c r="O9450">
        <v>250519</v>
      </c>
      <c r="P9450">
        <v>51.79</v>
      </c>
    </row>
    <row r="9451" spans="1:16" x14ac:dyDescent="0.25">
      <c r="A9451" t="s">
        <v>3296</v>
      </c>
      <c r="B9451" t="s">
        <v>2931</v>
      </c>
      <c r="C9451">
        <v>2555</v>
      </c>
      <c r="D9451" t="str">
        <f>"18001       "</f>
        <v xml:space="preserve">18001       </v>
      </c>
      <c r="E9451" t="s">
        <v>1308</v>
      </c>
      <c r="F9451" t="s">
        <v>1309</v>
      </c>
      <c r="G9451">
        <v>209</v>
      </c>
      <c r="H9451">
        <v>250214</v>
      </c>
      <c r="I9451">
        <v>4600</v>
      </c>
      <c r="J9451" t="s">
        <v>278</v>
      </c>
      <c r="K9451">
        <v>209</v>
      </c>
      <c r="L9451">
        <v>42.47</v>
      </c>
      <c r="M9451">
        <v>67522</v>
      </c>
      <c r="N9451" t="s">
        <v>121</v>
      </c>
      <c r="O9451">
        <v>250304</v>
      </c>
      <c r="P9451">
        <v>166.53</v>
      </c>
    </row>
    <row r="9452" spans="1:16" x14ac:dyDescent="0.25">
      <c r="A9452" t="s">
        <v>3296</v>
      </c>
      <c r="B9452" t="s">
        <v>2931</v>
      </c>
      <c r="C9452">
        <v>6816</v>
      </c>
      <c r="D9452" t="str">
        <f>"18051       "</f>
        <v xml:space="preserve">18051       </v>
      </c>
      <c r="E9452" t="s">
        <v>1308</v>
      </c>
      <c r="F9452" t="s">
        <v>1309</v>
      </c>
      <c r="G9452">
        <v>35</v>
      </c>
      <c r="H9452">
        <v>250509</v>
      </c>
      <c r="I9452">
        <v>4600</v>
      </c>
      <c r="J9452" t="s">
        <v>278</v>
      </c>
      <c r="K9452">
        <v>100</v>
      </c>
      <c r="L9452">
        <v>7.11</v>
      </c>
      <c r="M9452">
        <v>69501</v>
      </c>
      <c r="N9452" t="s">
        <v>123</v>
      </c>
      <c r="O9452">
        <v>250519</v>
      </c>
      <c r="P9452">
        <v>27.89</v>
      </c>
    </row>
    <row r="9453" spans="1:16" x14ac:dyDescent="0.25">
      <c r="A9453" t="s">
        <v>3296</v>
      </c>
      <c r="B9453" t="s">
        <v>2931</v>
      </c>
      <c r="C9453">
        <v>10966</v>
      </c>
      <c r="D9453" t="str">
        <f>"18088       "</f>
        <v xml:space="preserve">18088       </v>
      </c>
      <c r="E9453" t="s">
        <v>1308</v>
      </c>
      <c r="F9453" t="s">
        <v>1309</v>
      </c>
      <c r="G9453">
        <v>60</v>
      </c>
      <c r="H9453">
        <v>250818</v>
      </c>
      <c r="I9453">
        <v>4600</v>
      </c>
      <c r="J9453" t="s">
        <v>278</v>
      </c>
      <c r="K9453">
        <v>60</v>
      </c>
      <c r="L9453">
        <v>12.19</v>
      </c>
      <c r="M9453">
        <v>67554</v>
      </c>
      <c r="N9453" t="s">
        <v>317</v>
      </c>
      <c r="O9453">
        <v>250828</v>
      </c>
      <c r="P9453">
        <v>47.81</v>
      </c>
    </row>
    <row r="9454" spans="1:16" x14ac:dyDescent="0.25">
      <c r="A9454" t="s">
        <v>3296</v>
      </c>
      <c r="B9454" t="s">
        <v>2931</v>
      </c>
      <c r="C9454">
        <v>16140</v>
      </c>
      <c r="D9454" t="str">
        <f>"112939      "</f>
        <v xml:space="preserve">112939      </v>
      </c>
      <c r="E9454" t="s">
        <v>2663</v>
      </c>
      <c r="F9454" t="s">
        <v>2664</v>
      </c>
      <c r="G9454">
        <v>24325.67</v>
      </c>
      <c r="H9454">
        <v>251119</v>
      </c>
      <c r="I9454">
        <v>1198</v>
      </c>
      <c r="J9454" t="s">
        <v>610</v>
      </c>
      <c r="K9454">
        <v>24325.67</v>
      </c>
      <c r="L9454">
        <v>4942.67</v>
      </c>
      <c r="M9454">
        <v>96511</v>
      </c>
      <c r="N9454" t="s">
        <v>2039</v>
      </c>
      <c r="O9454">
        <v>251204</v>
      </c>
      <c r="P9454">
        <v>19383</v>
      </c>
    </row>
    <row r="9455" spans="1:16" x14ac:dyDescent="0.25">
      <c r="A9455" t="s">
        <v>3296</v>
      </c>
      <c r="B9455" t="s">
        <v>2931</v>
      </c>
      <c r="C9455">
        <v>17465</v>
      </c>
      <c r="D9455" t="str">
        <f>"30252196    "</f>
        <v xml:space="preserve">30252196    </v>
      </c>
      <c r="E9455" t="s">
        <v>2757</v>
      </c>
      <c r="F9455" t="s">
        <v>2758</v>
      </c>
      <c r="G9455">
        <v>1212.9000000000001</v>
      </c>
      <c r="H9455">
        <v>251201</v>
      </c>
      <c r="I9455">
        <v>1198</v>
      </c>
      <c r="J9455" t="s">
        <v>610</v>
      </c>
      <c r="K9455">
        <v>1212.9000000000001</v>
      </c>
      <c r="L9455">
        <v>246.45</v>
      </c>
      <c r="M9455">
        <v>97629</v>
      </c>
      <c r="N9455" t="s">
        <v>1110</v>
      </c>
      <c r="O9455">
        <v>251222</v>
      </c>
      <c r="P9455">
        <v>966.45</v>
      </c>
    </row>
    <row r="9456" spans="1:16" x14ac:dyDescent="0.25">
      <c r="A9456" t="s">
        <v>3296</v>
      </c>
      <c r="B9456" t="s">
        <v>2931</v>
      </c>
      <c r="C9456">
        <v>7106</v>
      </c>
      <c r="D9456" t="str">
        <f>"0208093191  "</f>
        <v xml:space="preserve">0208093191  </v>
      </c>
      <c r="E9456" t="s">
        <v>1330</v>
      </c>
      <c r="F9456" t="s">
        <v>1331</v>
      </c>
      <c r="G9456">
        <v>527.1</v>
      </c>
      <c r="H9456">
        <v>250521</v>
      </c>
      <c r="I9456">
        <v>4400</v>
      </c>
      <c r="J9456" t="s">
        <v>162</v>
      </c>
      <c r="K9456">
        <v>527.1</v>
      </c>
      <c r="L9456">
        <v>107.1</v>
      </c>
      <c r="M9456">
        <v>69501</v>
      </c>
      <c r="N9456" t="s">
        <v>123</v>
      </c>
      <c r="O9456">
        <v>250522</v>
      </c>
      <c r="P9456">
        <v>420</v>
      </c>
    </row>
    <row r="9457" spans="1:16" x14ac:dyDescent="0.25">
      <c r="A9457" t="s">
        <v>3296</v>
      </c>
      <c r="B9457" t="s">
        <v>2931</v>
      </c>
      <c r="C9457">
        <v>14949</v>
      </c>
      <c r="D9457" t="str">
        <f>"0208143717  "</f>
        <v xml:space="preserve">0208143717  </v>
      </c>
      <c r="E9457" t="s">
        <v>1330</v>
      </c>
      <c r="F9457" t="s">
        <v>1331</v>
      </c>
      <c r="G9457">
        <v>604.91999999999996</v>
      </c>
      <c r="H9457">
        <v>251105</v>
      </c>
      <c r="I9457">
        <v>4400</v>
      </c>
      <c r="J9457" t="s">
        <v>162</v>
      </c>
      <c r="K9457">
        <v>604.91999999999996</v>
      </c>
      <c r="L9457">
        <v>122.91</v>
      </c>
      <c r="M9457">
        <v>69501</v>
      </c>
      <c r="N9457" t="s">
        <v>123</v>
      </c>
      <c r="O9457">
        <v>251110</v>
      </c>
      <c r="P9457">
        <v>482.01</v>
      </c>
    </row>
    <row r="9458" spans="1:16" x14ac:dyDescent="0.25">
      <c r="A9458" t="s">
        <v>3296</v>
      </c>
      <c r="B9458" t="s">
        <v>2931</v>
      </c>
      <c r="C9458">
        <v>2647</v>
      </c>
      <c r="D9458" t="str">
        <f>"208066737   "</f>
        <v xml:space="preserve">208066737   </v>
      </c>
      <c r="E9458" t="s">
        <v>1330</v>
      </c>
      <c r="F9458" t="s">
        <v>1331</v>
      </c>
      <c r="G9458">
        <v>1295.6099999999999</v>
      </c>
      <c r="H9458">
        <v>250225</v>
      </c>
      <c r="I9458">
        <v>4580</v>
      </c>
      <c r="J9458" t="s">
        <v>126</v>
      </c>
      <c r="K9458">
        <v>1295.6099999999999</v>
      </c>
      <c r="L9458">
        <v>263.25</v>
      </c>
      <c r="M9458">
        <v>56558</v>
      </c>
      <c r="N9458" t="s">
        <v>50</v>
      </c>
      <c r="O9458">
        <v>250310</v>
      </c>
      <c r="P9458">
        <v>1032.3599999999999</v>
      </c>
    </row>
    <row r="9459" spans="1:16" x14ac:dyDescent="0.25">
      <c r="A9459" t="s">
        <v>3296</v>
      </c>
      <c r="B9459" t="s">
        <v>2931</v>
      </c>
      <c r="C9459">
        <v>9970</v>
      </c>
      <c r="D9459" t="str">
        <f>"0208111688  "</f>
        <v xml:space="preserve">0208111688  </v>
      </c>
      <c r="E9459" t="s">
        <v>1330</v>
      </c>
      <c r="F9459" t="s">
        <v>1331</v>
      </c>
      <c r="G9459">
        <v>2143.8000000000002</v>
      </c>
      <c r="H9459">
        <v>250724</v>
      </c>
      <c r="I9459">
        <v>4580</v>
      </c>
      <c r="J9459" t="s">
        <v>126</v>
      </c>
      <c r="K9459">
        <v>2143.8000000000002</v>
      </c>
      <c r="L9459">
        <v>435.59</v>
      </c>
      <c r="M9459">
        <v>56558</v>
      </c>
      <c r="N9459" t="s">
        <v>50</v>
      </c>
      <c r="O9459">
        <v>250806</v>
      </c>
      <c r="P9459">
        <v>1708.21</v>
      </c>
    </row>
    <row r="9460" spans="1:16" x14ac:dyDescent="0.25">
      <c r="A9460" t="s">
        <v>3296</v>
      </c>
      <c r="B9460" t="s">
        <v>2931</v>
      </c>
      <c r="C9460">
        <v>9971</v>
      </c>
      <c r="D9460" t="str">
        <f>"0208112219  "</f>
        <v xml:space="preserve">0208112219  </v>
      </c>
      <c r="E9460" t="s">
        <v>1330</v>
      </c>
      <c r="F9460" t="s">
        <v>1331</v>
      </c>
      <c r="G9460">
        <v>92.72</v>
      </c>
      <c r="H9460">
        <v>250725</v>
      </c>
      <c r="I9460">
        <v>4580</v>
      </c>
      <c r="J9460" t="s">
        <v>126</v>
      </c>
      <c r="K9460">
        <v>92.72</v>
      </c>
      <c r="L9460">
        <v>18.84</v>
      </c>
      <c r="M9460">
        <v>56558</v>
      </c>
      <c r="N9460" t="s">
        <v>50</v>
      </c>
      <c r="O9460">
        <v>250806</v>
      </c>
      <c r="P9460">
        <v>73.88</v>
      </c>
    </row>
    <row r="9461" spans="1:16" x14ac:dyDescent="0.25">
      <c r="A9461" t="s">
        <v>3296</v>
      </c>
      <c r="B9461" t="s">
        <v>2931</v>
      </c>
      <c r="C9461">
        <v>8415</v>
      </c>
      <c r="D9461" t="str">
        <f>"5321        "</f>
        <v xml:space="preserve">5321        </v>
      </c>
      <c r="E9461" t="s">
        <v>314</v>
      </c>
      <c r="F9461" t="s">
        <v>315</v>
      </c>
      <c r="G9461">
        <v>465</v>
      </c>
      <c r="H9461">
        <v>250531</v>
      </c>
      <c r="I9461">
        <v>4400</v>
      </c>
      <c r="J9461" t="s">
        <v>162</v>
      </c>
      <c r="K9461">
        <v>465</v>
      </c>
      <c r="L9461">
        <v>94.48</v>
      </c>
      <c r="M9461">
        <v>17737</v>
      </c>
      <c r="N9461" t="s">
        <v>156</v>
      </c>
      <c r="O9461">
        <v>250613</v>
      </c>
      <c r="P9461">
        <v>370.52</v>
      </c>
    </row>
    <row r="9462" spans="1:16" x14ac:dyDescent="0.25">
      <c r="A9462" t="s">
        <v>3296</v>
      </c>
      <c r="B9462" t="s">
        <v>2931</v>
      </c>
      <c r="C9462">
        <v>15491</v>
      </c>
      <c r="D9462" t="str">
        <f>"6118        "</f>
        <v xml:space="preserve">6118        </v>
      </c>
      <c r="E9462" t="s">
        <v>314</v>
      </c>
      <c r="F9462" t="s">
        <v>315</v>
      </c>
      <c r="G9462">
        <v>260</v>
      </c>
      <c r="H9462">
        <v>251117</v>
      </c>
      <c r="I9462">
        <v>4400</v>
      </c>
      <c r="J9462" t="s">
        <v>162</v>
      </c>
      <c r="K9462">
        <v>260</v>
      </c>
      <c r="L9462">
        <v>52.83</v>
      </c>
      <c r="M9462">
        <v>17737</v>
      </c>
      <c r="N9462" t="s">
        <v>156</v>
      </c>
      <c r="O9462">
        <v>251121</v>
      </c>
      <c r="P9462">
        <v>207.17</v>
      </c>
    </row>
    <row r="9463" spans="1:16" x14ac:dyDescent="0.25">
      <c r="A9463" t="s">
        <v>3296</v>
      </c>
      <c r="B9463" t="s">
        <v>2931</v>
      </c>
      <c r="C9463">
        <v>3418</v>
      </c>
      <c r="D9463" t="str">
        <f>"4836        "</f>
        <v xml:space="preserve">4836        </v>
      </c>
      <c r="E9463" t="s">
        <v>314</v>
      </c>
      <c r="F9463" t="s">
        <v>315</v>
      </c>
      <c r="G9463">
        <v>970.5</v>
      </c>
      <c r="H9463">
        <v>250307</v>
      </c>
      <c r="I9463">
        <v>4560</v>
      </c>
      <c r="J9463" t="s">
        <v>390</v>
      </c>
      <c r="K9463">
        <v>1140.46</v>
      </c>
      <c r="L9463">
        <v>197.19</v>
      </c>
      <c r="M9463">
        <v>17711</v>
      </c>
      <c r="N9463" t="s">
        <v>155</v>
      </c>
      <c r="O9463">
        <v>250321</v>
      </c>
      <c r="P9463">
        <v>773.31</v>
      </c>
    </row>
    <row r="9464" spans="1:16" x14ac:dyDescent="0.25">
      <c r="A9464" t="s">
        <v>3296</v>
      </c>
      <c r="B9464" t="s">
        <v>2931</v>
      </c>
      <c r="C9464">
        <v>189</v>
      </c>
      <c r="D9464" t="str">
        <f>"4579        "</f>
        <v xml:space="preserve">4579        </v>
      </c>
      <c r="E9464" t="s">
        <v>314</v>
      </c>
      <c r="F9464" t="s">
        <v>315</v>
      </c>
      <c r="G9464">
        <v>47</v>
      </c>
      <c r="H9464">
        <v>250111</v>
      </c>
      <c r="I9464">
        <v>4600</v>
      </c>
      <c r="J9464" t="s">
        <v>278</v>
      </c>
      <c r="K9464">
        <v>47</v>
      </c>
      <c r="L9464">
        <v>9.5500000000000007</v>
      </c>
      <c r="M9464">
        <v>17737</v>
      </c>
      <c r="N9464" t="s">
        <v>156</v>
      </c>
      <c r="O9464">
        <v>250115</v>
      </c>
      <c r="P9464">
        <v>37.450000000000003</v>
      </c>
    </row>
    <row r="9465" spans="1:16" x14ac:dyDescent="0.25">
      <c r="A9465" t="s">
        <v>3296</v>
      </c>
      <c r="B9465" t="s">
        <v>2931</v>
      </c>
      <c r="C9465">
        <v>1822</v>
      </c>
      <c r="D9465" t="str">
        <f>"4736        "</f>
        <v xml:space="preserve">4736        </v>
      </c>
      <c r="E9465" t="s">
        <v>314</v>
      </c>
      <c r="F9465" t="s">
        <v>315</v>
      </c>
      <c r="G9465">
        <v>2754.76</v>
      </c>
      <c r="H9465">
        <v>250131</v>
      </c>
      <c r="I9465">
        <v>4600</v>
      </c>
      <c r="J9465" t="s">
        <v>278</v>
      </c>
      <c r="K9465">
        <v>2754.76</v>
      </c>
      <c r="L9465">
        <v>559.73</v>
      </c>
      <c r="M9465">
        <v>17737</v>
      </c>
      <c r="N9465" t="s">
        <v>156</v>
      </c>
      <c r="O9465">
        <v>250214</v>
      </c>
      <c r="P9465">
        <v>2195.0300000000002</v>
      </c>
    </row>
    <row r="9466" spans="1:16" x14ac:dyDescent="0.25">
      <c r="A9466" t="s">
        <v>3296</v>
      </c>
      <c r="B9466" t="s">
        <v>2931</v>
      </c>
      <c r="C9466">
        <v>3418</v>
      </c>
      <c r="D9466" t="str">
        <f>"4836        "</f>
        <v xml:space="preserve">4836        </v>
      </c>
      <c r="E9466" t="s">
        <v>314</v>
      </c>
      <c r="F9466" t="s">
        <v>315</v>
      </c>
      <c r="G9466">
        <v>169.96</v>
      </c>
      <c r="H9466">
        <v>250307</v>
      </c>
      <c r="I9466">
        <v>4600</v>
      </c>
      <c r="J9466" t="s">
        <v>278</v>
      </c>
      <c r="K9466">
        <v>1140.46</v>
      </c>
      <c r="L9466">
        <v>34.53</v>
      </c>
      <c r="M9466">
        <v>17711</v>
      </c>
      <c r="N9466" t="s">
        <v>155</v>
      </c>
      <c r="O9466">
        <v>250321</v>
      </c>
      <c r="P9466">
        <v>135.43</v>
      </c>
    </row>
    <row r="9467" spans="1:16" x14ac:dyDescent="0.25">
      <c r="A9467" t="s">
        <v>3296</v>
      </c>
      <c r="B9467" t="s">
        <v>2931</v>
      </c>
      <c r="C9467">
        <v>4180</v>
      </c>
      <c r="D9467" t="str">
        <f>"4909        "</f>
        <v xml:space="preserve">4909        </v>
      </c>
      <c r="E9467" t="s">
        <v>314</v>
      </c>
      <c r="F9467" t="s">
        <v>315</v>
      </c>
      <c r="G9467">
        <v>484.99</v>
      </c>
      <c r="H9467">
        <v>250327</v>
      </c>
      <c r="I9467">
        <v>4600</v>
      </c>
      <c r="J9467" t="s">
        <v>278</v>
      </c>
      <c r="K9467">
        <v>484.99</v>
      </c>
      <c r="L9467">
        <v>98.54</v>
      </c>
      <c r="M9467">
        <v>17711</v>
      </c>
      <c r="N9467" t="s">
        <v>155</v>
      </c>
      <c r="O9467">
        <v>250408</v>
      </c>
      <c r="P9467">
        <v>386.45</v>
      </c>
    </row>
    <row r="9468" spans="1:16" x14ac:dyDescent="0.25">
      <c r="A9468" t="s">
        <v>3296</v>
      </c>
      <c r="B9468" t="s">
        <v>2931</v>
      </c>
      <c r="C9468">
        <v>4857</v>
      </c>
      <c r="D9468" t="str">
        <f>"4931        "</f>
        <v xml:space="preserve">4931        </v>
      </c>
      <c r="E9468" t="s">
        <v>314</v>
      </c>
      <c r="F9468" t="s">
        <v>315</v>
      </c>
      <c r="G9468">
        <v>170.45</v>
      </c>
      <c r="H9468">
        <v>250331</v>
      </c>
      <c r="I9468">
        <v>4600</v>
      </c>
      <c r="J9468" t="s">
        <v>278</v>
      </c>
      <c r="K9468">
        <v>170.45</v>
      </c>
      <c r="L9468">
        <v>34.630000000000003</v>
      </c>
      <c r="M9468">
        <v>17737</v>
      </c>
      <c r="N9468" t="s">
        <v>156</v>
      </c>
      <c r="O9468">
        <v>250416</v>
      </c>
      <c r="P9468">
        <v>135.82</v>
      </c>
    </row>
    <row r="9469" spans="1:16" x14ac:dyDescent="0.25">
      <c r="A9469" t="s">
        <v>3296</v>
      </c>
      <c r="B9469" t="s">
        <v>2931</v>
      </c>
      <c r="C9469">
        <v>5132</v>
      </c>
      <c r="D9469" t="str">
        <f>"4961        "</f>
        <v xml:space="preserve">4961        </v>
      </c>
      <c r="E9469" t="s">
        <v>314</v>
      </c>
      <c r="F9469" t="s">
        <v>315</v>
      </c>
      <c r="G9469">
        <v>204.46</v>
      </c>
      <c r="H9469">
        <v>250409</v>
      </c>
      <c r="I9469">
        <v>4600</v>
      </c>
      <c r="J9469" t="s">
        <v>278</v>
      </c>
      <c r="K9469">
        <v>204.46</v>
      </c>
      <c r="L9469">
        <v>41.54</v>
      </c>
      <c r="M9469">
        <v>17711</v>
      </c>
      <c r="N9469" t="s">
        <v>155</v>
      </c>
      <c r="O9469">
        <v>250417</v>
      </c>
      <c r="P9469">
        <v>162.91999999999999</v>
      </c>
    </row>
    <row r="9470" spans="1:16" x14ac:dyDescent="0.25">
      <c r="A9470" t="s">
        <v>3296</v>
      </c>
      <c r="B9470" t="s">
        <v>2931</v>
      </c>
      <c r="C9470">
        <v>7562</v>
      </c>
      <c r="D9470" t="str">
        <f>"5255        "</f>
        <v xml:space="preserve">5255        </v>
      </c>
      <c r="E9470" t="s">
        <v>314</v>
      </c>
      <c r="F9470" t="s">
        <v>315</v>
      </c>
      <c r="G9470">
        <v>475.98</v>
      </c>
      <c r="H9470">
        <v>250526</v>
      </c>
      <c r="I9470">
        <v>4600</v>
      </c>
      <c r="J9470" t="s">
        <v>278</v>
      </c>
      <c r="K9470">
        <v>475.98</v>
      </c>
      <c r="L9470">
        <v>96.71</v>
      </c>
      <c r="M9470">
        <v>17711</v>
      </c>
      <c r="N9470" t="s">
        <v>155</v>
      </c>
      <c r="O9470">
        <v>250604</v>
      </c>
      <c r="P9470">
        <v>379.27</v>
      </c>
    </row>
    <row r="9471" spans="1:16" x14ac:dyDescent="0.25">
      <c r="A9471" t="s">
        <v>3296</v>
      </c>
      <c r="B9471" t="s">
        <v>2931</v>
      </c>
      <c r="C9471">
        <v>10836</v>
      </c>
      <c r="D9471" t="str">
        <f>"5695        "</f>
        <v xml:space="preserve">5695        </v>
      </c>
      <c r="E9471" t="s">
        <v>314</v>
      </c>
      <c r="F9471" t="s">
        <v>315</v>
      </c>
      <c r="G9471">
        <v>341.65</v>
      </c>
      <c r="H9471">
        <v>250817</v>
      </c>
      <c r="I9471">
        <v>4600</v>
      </c>
      <c r="J9471" t="s">
        <v>278</v>
      </c>
      <c r="K9471">
        <v>341.65</v>
      </c>
      <c r="L9471">
        <v>69.42</v>
      </c>
      <c r="M9471">
        <v>17711</v>
      </c>
      <c r="N9471" t="s">
        <v>155</v>
      </c>
      <c r="O9471">
        <v>250825</v>
      </c>
      <c r="P9471">
        <v>272.23</v>
      </c>
    </row>
    <row r="9472" spans="1:16" x14ac:dyDescent="0.25">
      <c r="A9472" t="s">
        <v>3296</v>
      </c>
      <c r="B9472" t="s">
        <v>2931</v>
      </c>
      <c r="C9472">
        <v>12496</v>
      </c>
      <c r="D9472" t="str">
        <f>"5843        "</f>
        <v xml:space="preserve">5843        </v>
      </c>
      <c r="E9472" t="s">
        <v>314</v>
      </c>
      <c r="F9472" t="s">
        <v>315</v>
      </c>
      <c r="G9472">
        <v>92.99</v>
      </c>
      <c r="H9472">
        <v>250915</v>
      </c>
      <c r="I9472">
        <v>4600</v>
      </c>
      <c r="J9472" t="s">
        <v>278</v>
      </c>
      <c r="K9472">
        <v>92.99</v>
      </c>
      <c r="L9472">
        <v>18.89</v>
      </c>
      <c r="M9472">
        <v>17737</v>
      </c>
      <c r="N9472" t="s">
        <v>156</v>
      </c>
      <c r="O9472">
        <v>250925</v>
      </c>
      <c r="P9472">
        <v>74.099999999999994</v>
      </c>
    </row>
    <row r="9473" spans="1:16" x14ac:dyDescent="0.25">
      <c r="A9473" t="s">
        <v>3296</v>
      </c>
      <c r="B9473" t="s">
        <v>2931</v>
      </c>
      <c r="C9473">
        <v>12726</v>
      </c>
      <c r="D9473" t="str">
        <f>"5889        "</f>
        <v xml:space="preserve">5889        </v>
      </c>
      <c r="E9473" t="s">
        <v>314</v>
      </c>
      <c r="F9473" t="s">
        <v>315</v>
      </c>
      <c r="G9473">
        <v>560</v>
      </c>
      <c r="H9473">
        <v>250923</v>
      </c>
      <c r="I9473">
        <v>4600</v>
      </c>
      <c r="J9473" t="s">
        <v>278</v>
      </c>
      <c r="K9473">
        <v>560</v>
      </c>
      <c r="L9473">
        <v>113.78</v>
      </c>
      <c r="M9473">
        <v>17737</v>
      </c>
      <c r="N9473" t="s">
        <v>156</v>
      </c>
      <c r="O9473">
        <v>250929</v>
      </c>
      <c r="P9473">
        <v>446.22</v>
      </c>
    </row>
    <row r="9474" spans="1:16" x14ac:dyDescent="0.25">
      <c r="A9474" t="s">
        <v>3296</v>
      </c>
      <c r="B9474" t="s">
        <v>2931</v>
      </c>
      <c r="C9474">
        <v>13391</v>
      </c>
      <c r="D9474" t="str">
        <f>"5948        "</f>
        <v xml:space="preserve">5948        </v>
      </c>
      <c r="E9474" t="s">
        <v>314</v>
      </c>
      <c r="F9474" t="s">
        <v>315</v>
      </c>
      <c r="G9474">
        <v>125</v>
      </c>
      <c r="H9474">
        <v>251006</v>
      </c>
      <c r="I9474">
        <v>4600</v>
      </c>
      <c r="J9474" t="s">
        <v>278</v>
      </c>
      <c r="K9474">
        <v>125</v>
      </c>
      <c r="L9474">
        <v>25.4</v>
      </c>
      <c r="M9474">
        <v>17711</v>
      </c>
      <c r="N9474" t="s">
        <v>155</v>
      </c>
      <c r="O9474">
        <v>251008</v>
      </c>
      <c r="P9474">
        <v>99.6</v>
      </c>
    </row>
    <row r="9475" spans="1:16" x14ac:dyDescent="0.25">
      <c r="A9475" t="s">
        <v>3296</v>
      </c>
      <c r="B9475" t="s">
        <v>2931</v>
      </c>
      <c r="C9475">
        <v>13752</v>
      </c>
      <c r="D9475" t="str">
        <f>"5965        "</f>
        <v xml:space="preserve">5965        </v>
      </c>
      <c r="E9475" t="s">
        <v>314</v>
      </c>
      <c r="F9475" t="s">
        <v>315</v>
      </c>
      <c r="G9475">
        <v>57.3</v>
      </c>
      <c r="H9475">
        <v>251009</v>
      </c>
      <c r="I9475">
        <v>4600</v>
      </c>
      <c r="J9475" t="s">
        <v>278</v>
      </c>
      <c r="K9475">
        <v>57.3</v>
      </c>
      <c r="L9475">
        <v>11.64</v>
      </c>
      <c r="M9475">
        <v>17737</v>
      </c>
      <c r="N9475" t="s">
        <v>156</v>
      </c>
      <c r="O9475">
        <v>251017</v>
      </c>
      <c r="P9475">
        <v>45.66</v>
      </c>
    </row>
    <row r="9476" spans="1:16" x14ac:dyDescent="0.25">
      <c r="A9476" t="s">
        <v>3296</v>
      </c>
      <c r="B9476" t="s">
        <v>2931</v>
      </c>
      <c r="C9476">
        <v>15999</v>
      </c>
      <c r="D9476" t="str">
        <f>"6192        "</f>
        <v xml:space="preserve">6192        </v>
      </c>
      <c r="E9476" t="s">
        <v>314</v>
      </c>
      <c r="F9476" t="s">
        <v>315</v>
      </c>
      <c r="G9476">
        <v>140.19999999999999</v>
      </c>
      <c r="H9476">
        <v>251128</v>
      </c>
      <c r="I9476">
        <v>4600</v>
      </c>
      <c r="J9476" t="s">
        <v>278</v>
      </c>
      <c r="K9476">
        <v>172.2</v>
      </c>
      <c r="L9476">
        <v>28.49</v>
      </c>
      <c r="M9476">
        <v>17711</v>
      </c>
      <c r="N9476" t="s">
        <v>155</v>
      </c>
      <c r="O9476">
        <v>251201</v>
      </c>
      <c r="P9476">
        <v>111.71</v>
      </c>
    </row>
    <row r="9477" spans="1:16" x14ac:dyDescent="0.25">
      <c r="A9477" t="s">
        <v>3296</v>
      </c>
      <c r="B9477" t="s">
        <v>2931</v>
      </c>
      <c r="C9477">
        <v>15999</v>
      </c>
      <c r="D9477" t="str">
        <f>"6192        "</f>
        <v xml:space="preserve">6192        </v>
      </c>
      <c r="E9477" t="s">
        <v>314</v>
      </c>
      <c r="F9477" t="s">
        <v>315</v>
      </c>
      <c r="G9477">
        <v>32</v>
      </c>
      <c r="H9477">
        <v>251128</v>
      </c>
      <c r="I9477">
        <v>4600</v>
      </c>
      <c r="J9477" t="s">
        <v>278</v>
      </c>
      <c r="K9477">
        <v>172.2</v>
      </c>
      <c r="L9477">
        <v>6.5</v>
      </c>
      <c r="M9477">
        <v>17737</v>
      </c>
      <c r="N9477" t="s">
        <v>156</v>
      </c>
      <c r="O9477">
        <v>251201</v>
      </c>
      <c r="P9477">
        <v>25.5</v>
      </c>
    </row>
    <row r="9478" spans="1:16" x14ac:dyDescent="0.25">
      <c r="A9478" t="s">
        <v>3296</v>
      </c>
      <c r="B9478" t="s">
        <v>2931</v>
      </c>
      <c r="C9478">
        <v>16418</v>
      </c>
      <c r="D9478" t="str">
        <f>"6232        "</f>
        <v xml:space="preserve">6232        </v>
      </c>
      <c r="E9478" t="s">
        <v>314</v>
      </c>
      <c r="F9478" t="s">
        <v>315</v>
      </c>
      <c r="G9478">
        <v>56.95</v>
      </c>
      <c r="H9478">
        <v>251205</v>
      </c>
      <c r="I9478">
        <v>4600</v>
      </c>
      <c r="J9478" t="s">
        <v>278</v>
      </c>
      <c r="K9478">
        <v>56.95</v>
      </c>
      <c r="L9478">
        <v>11.57</v>
      </c>
      <c r="M9478">
        <v>17711</v>
      </c>
      <c r="N9478" t="s">
        <v>155</v>
      </c>
      <c r="O9478">
        <v>251208</v>
      </c>
      <c r="P9478">
        <v>45.38</v>
      </c>
    </row>
    <row r="9479" spans="1:16" x14ac:dyDescent="0.25">
      <c r="A9479" t="s">
        <v>3296</v>
      </c>
      <c r="B9479" t="s">
        <v>2931</v>
      </c>
      <c r="C9479">
        <v>3155</v>
      </c>
      <c r="D9479" t="str">
        <f>"1001332     "</f>
        <v xml:space="preserve">1001332     </v>
      </c>
      <c r="E9479" t="s">
        <v>1392</v>
      </c>
      <c r="F9479" t="s">
        <v>1393</v>
      </c>
      <c r="G9479">
        <v>155.11000000000001</v>
      </c>
      <c r="H9479">
        <v>250228</v>
      </c>
      <c r="I9479">
        <v>4600</v>
      </c>
      <c r="J9479" t="s">
        <v>278</v>
      </c>
      <c r="K9479">
        <v>155.11000000000001</v>
      </c>
      <c r="L9479">
        <v>31.52</v>
      </c>
      <c r="M9479">
        <v>56573</v>
      </c>
      <c r="N9479" t="s">
        <v>843</v>
      </c>
      <c r="O9479">
        <v>250314</v>
      </c>
      <c r="P9479">
        <v>123.59</v>
      </c>
    </row>
    <row r="9480" spans="1:16" x14ac:dyDescent="0.25">
      <c r="A9480" t="s">
        <v>3296</v>
      </c>
      <c r="B9480" t="s">
        <v>2931</v>
      </c>
      <c r="C9480">
        <v>1236</v>
      </c>
      <c r="D9480" t="str">
        <f>"1654053     "</f>
        <v xml:space="preserve">1654053     </v>
      </c>
      <c r="E9480" t="s">
        <v>509</v>
      </c>
      <c r="F9480" t="s">
        <v>510</v>
      </c>
      <c r="G9480">
        <v>24.6</v>
      </c>
      <c r="H9480">
        <v>250130</v>
      </c>
      <c r="I9480">
        <v>4580</v>
      </c>
      <c r="J9480" t="s">
        <v>126</v>
      </c>
      <c r="K9480">
        <v>24.6</v>
      </c>
      <c r="L9480">
        <v>5</v>
      </c>
      <c r="M9480">
        <v>46554</v>
      </c>
      <c r="N9480" t="s">
        <v>102</v>
      </c>
      <c r="O9480">
        <v>250206</v>
      </c>
      <c r="P9480">
        <v>19.600000000000001</v>
      </c>
    </row>
    <row r="9481" spans="1:16" x14ac:dyDescent="0.25">
      <c r="A9481" t="s">
        <v>3296</v>
      </c>
      <c r="B9481" t="s">
        <v>2931</v>
      </c>
      <c r="C9481">
        <v>4280</v>
      </c>
      <c r="D9481" t="str">
        <f>"1656664     "</f>
        <v xml:space="preserve">1656664     </v>
      </c>
      <c r="E9481" t="s">
        <v>509</v>
      </c>
      <c r="F9481" t="s">
        <v>510</v>
      </c>
      <c r="G9481">
        <v>375.98</v>
      </c>
      <c r="H9481">
        <v>250328</v>
      </c>
      <c r="I9481">
        <v>4580</v>
      </c>
      <c r="J9481" t="s">
        <v>126</v>
      </c>
      <c r="K9481">
        <v>375.98</v>
      </c>
      <c r="L9481">
        <v>76.39</v>
      </c>
      <c r="M9481">
        <v>46557</v>
      </c>
      <c r="N9481" t="s">
        <v>104</v>
      </c>
      <c r="O9481">
        <v>250410</v>
      </c>
      <c r="P9481">
        <v>299.58999999999997</v>
      </c>
    </row>
    <row r="9482" spans="1:16" x14ac:dyDescent="0.25">
      <c r="A9482" t="s">
        <v>3296</v>
      </c>
      <c r="B9482" t="s">
        <v>2931</v>
      </c>
      <c r="C9482">
        <v>11159</v>
      </c>
      <c r="D9482" t="str">
        <f>"1662442     "</f>
        <v xml:space="preserve">1662442     </v>
      </c>
      <c r="E9482" t="s">
        <v>509</v>
      </c>
      <c r="F9482" t="s">
        <v>510</v>
      </c>
      <c r="G9482">
        <v>8.65</v>
      </c>
      <c r="H9482">
        <v>250827</v>
      </c>
      <c r="I9482">
        <v>4580</v>
      </c>
      <c r="J9482" t="s">
        <v>126</v>
      </c>
      <c r="K9482">
        <v>8.65</v>
      </c>
      <c r="L9482">
        <v>1.76</v>
      </c>
      <c r="M9482">
        <v>46557</v>
      </c>
      <c r="N9482" t="s">
        <v>104</v>
      </c>
      <c r="O9482">
        <v>250901</v>
      </c>
      <c r="P9482">
        <v>6.89</v>
      </c>
    </row>
    <row r="9483" spans="1:16" x14ac:dyDescent="0.25">
      <c r="A9483" t="s">
        <v>3296</v>
      </c>
      <c r="B9483" t="s">
        <v>2931</v>
      </c>
      <c r="C9483">
        <v>11160</v>
      </c>
      <c r="D9483" t="str">
        <f>"1662444     "</f>
        <v xml:space="preserve">1662444     </v>
      </c>
      <c r="E9483" t="s">
        <v>509</v>
      </c>
      <c r="F9483" t="s">
        <v>510</v>
      </c>
      <c r="G9483">
        <v>326.58</v>
      </c>
      <c r="H9483">
        <v>250827</v>
      </c>
      <c r="I9483">
        <v>4580</v>
      </c>
      <c r="J9483" t="s">
        <v>126</v>
      </c>
      <c r="K9483">
        <v>326.58</v>
      </c>
      <c r="L9483">
        <v>66.36</v>
      </c>
      <c r="M9483">
        <v>46557</v>
      </c>
      <c r="N9483" t="s">
        <v>104</v>
      </c>
      <c r="O9483">
        <v>250901</v>
      </c>
      <c r="P9483">
        <v>260.22000000000003</v>
      </c>
    </row>
    <row r="9484" spans="1:16" x14ac:dyDescent="0.25">
      <c r="A9484" t="s">
        <v>3296</v>
      </c>
      <c r="B9484" t="s">
        <v>2931</v>
      </c>
      <c r="C9484">
        <v>11606</v>
      </c>
      <c r="D9484" t="str">
        <f>"1663005     "</f>
        <v xml:space="preserve">1663005     </v>
      </c>
      <c r="E9484" t="s">
        <v>509</v>
      </c>
      <c r="F9484" t="s">
        <v>510</v>
      </c>
      <c r="G9484">
        <v>53.29</v>
      </c>
      <c r="H9484">
        <v>250905</v>
      </c>
      <c r="I9484">
        <v>4580</v>
      </c>
      <c r="J9484" t="s">
        <v>126</v>
      </c>
      <c r="K9484">
        <v>53.29</v>
      </c>
      <c r="L9484">
        <v>10.83</v>
      </c>
      <c r="M9484">
        <v>46557</v>
      </c>
      <c r="N9484" t="s">
        <v>104</v>
      </c>
      <c r="O9484">
        <v>250909</v>
      </c>
      <c r="P9484">
        <v>42.46</v>
      </c>
    </row>
    <row r="9485" spans="1:16" x14ac:dyDescent="0.25">
      <c r="A9485" t="s">
        <v>3296</v>
      </c>
      <c r="B9485" t="s">
        <v>2931</v>
      </c>
      <c r="C9485">
        <v>12929</v>
      </c>
      <c r="D9485" t="str">
        <f>"1663915     "</f>
        <v xml:space="preserve">1663915     </v>
      </c>
      <c r="E9485" t="s">
        <v>509</v>
      </c>
      <c r="F9485" t="s">
        <v>510</v>
      </c>
      <c r="G9485">
        <v>155.88999999999999</v>
      </c>
      <c r="H9485">
        <v>250929</v>
      </c>
      <c r="I9485">
        <v>4580</v>
      </c>
      <c r="J9485" t="s">
        <v>126</v>
      </c>
      <c r="K9485">
        <v>155.88999999999999</v>
      </c>
      <c r="L9485">
        <v>31.67</v>
      </c>
      <c r="M9485">
        <v>46557</v>
      </c>
      <c r="N9485" t="s">
        <v>104</v>
      </c>
      <c r="O9485">
        <v>251002</v>
      </c>
      <c r="P9485">
        <v>124.22</v>
      </c>
    </row>
    <row r="9486" spans="1:16" x14ac:dyDescent="0.25">
      <c r="A9486" t="s">
        <v>3296</v>
      </c>
      <c r="B9486" t="s">
        <v>2931</v>
      </c>
      <c r="C9486">
        <v>423</v>
      </c>
      <c r="D9486" t="str">
        <f>"1653219     "</f>
        <v xml:space="preserve">1653219     </v>
      </c>
      <c r="E9486" t="s">
        <v>509</v>
      </c>
      <c r="F9486" t="s">
        <v>510</v>
      </c>
      <c r="G9486">
        <v>317.06</v>
      </c>
      <c r="H9486">
        <v>250114</v>
      </c>
      <c r="I9486">
        <v>4600</v>
      </c>
      <c r="J9486" t="s">
        <v>278</v>
      </c>
      <c r="K9486">
        <v>317.06</v>
      </c>
      <c r="L9486">
        <v>64.42</v>
      </c>
      <c r="M9486">
        <v>46554</v>
      </c>
      <c r="N9486" t="s">
        <v>102</v>
      </c>
      <c r="O9486">
        <v>250122</v>
      </c>
      <c r="P9486">
        <v>252.64</v>
      </c>
    </row>
    <row r="9487" spans="1:16" x14ac:dyDescent="0.25">
      <c r="A9487" t="s">
        <v>3296</v>
      </c>
      <c r="B9487" t="s">
        <v>2931</v>
      </c>
      <c r="C9487">
        <v>4122</v>
      </c>
      <c r="D9487" t="str">
        <f>"1656467     "</f>
        <v xml:space="preserve">1656467     </v>
      </c>
      <c r="E9487" t="s">
        <v>509</v>
      </c>
      <c r="F9487" t="s">
        <v>510</v>
      </c>
      <c r="G9487">
        <v>45.94</v>
      </c>
      <c r="H9487">
        <v>250325</v>
      </c>
      <c r="I9487">
        <v>4600</v>
      </c>
      <c r="J9487" t="s">
        <v>278</v>
      </c>
      <c r="K9487">
        <v>45.94</v>
      </c>
      <c r="L9487">
        <v>9.33</v>
      </c>
      <c r="M9487">
        <v>46554</v>
      </c>
      <c r="N9487" t="s">
        <v>102</v>
      </c>
      <c r="O9487">
        <v>250407</v>
      </c>
      <c r="P9487">
        <v>36.61</v>
      </c>
    </row>
    <row r="9488" spans="1:16" x14ac:dyDescent="0.25">
      <c r="A9488" t="s">
        <v>3296</v>
      </c>
      <c r="B9488" t="s">
        <v>2931</v>
      </c>
      <c r="C9488">
        <v>4206</v>
      </c>
      <c r="D9488" t="str">
        <f>"1656557     "</f>
        <v xml:space="preserve">1656557     </v>
      </c>
      <c r="E9488" t="s">
        <v>509</v>
      </c>
      <c r="F9488" t="s">
        <v>510</v>
      </c>
      <c r="G9488">
        <v>209.13</v>
      </c>
      <c r="H9488">
        <v>250327</v>
      </c>
      <c r="I9488">
        <v>4600</v>
      </c>
      <c r="J9488" t="s">
        <v>278</v>
      </c>
      <c r="K9488">
        <v>209.13</v>
      </c>
      <c r="L9488">
        <v>42.49</v>
      </c>
      <c r="M9488">
        <v>46557</v>
      </c>
      <c r="N9488" t="s">
        <v>104</v>
      </c>
      <c r="O9488">
        <v>250409</v>
      </c>
      <c r="P9488">
        <v>166.64</v>
      </c>
    </row>
    <row r="9489" spans="1:16" x14ac:dyDescent="0.25">
      <c r="A9489" t="s">
        <v>3296</v>
      </c>
      <c r="B9489" t="s">
        <v>2931</v>
      </c>
      <c r="C9489">
        <v>5409</v>
      </c>
      <c r="D9489" t="str">
        <f>"1657396     "</f>
        <v xml:space="preserve">1657396     </v>
      </c>
      <c r="E9489" t="s">
        <v>509</v>
      </c>
      <c r="F9489" t="s">
        <v>510</v>
      </c>
      <c r="G9489">
        <v>40.26</v>
      </c>
      <c r="H9489">
        <v>250415</v>
      </c>
      <c r="I9489">
        <v>4600</v>
      </c>
      <c r="J9489" t="s">
        <v>278</v>
      </c>
      <c r="K9489">
        <v>40.26</v>
      </c>
      <c r="L9489">
        <v>8.18</v>
      </c>
      <c r="M9489">
        <v>46555</v>
      </c>
      <c r="N9489" t="s">
        <v>103</v>
      </c>
      <c r="O9489">
        <v>250424</v>
      </c>
      <c r="P9489">
        <v>32.08</v>
      </c>
    </row>
    <row r="9490" spans="1:16" x14ac:dyDescent="0.25">
      <c r="A9490" t="s">
        <v>3296</v>
      </c>
      <c r="B9490" t="s">
        <v>2931</v>
      </c>
      <c r="C9490">
        <v>5750</v>
      </c>
      <c r="D9490" t="str">
        <f>"1657658     "</f>
        <v xml:space="preserve">1657658     </v>
      </c>
      <c r="E9490" t="s">
        <v>509</v>
      </c>
      <c r="F9490" t="s">
        <v>510</v>
      </c>
      <c r="G9490">
        <v>25.1</v>
      </c>
      <c r="H9490">
        <v>250423</v>
      </c>
      <c r="I9490">
        <v>4600</v>
      </c>
      <c r="J9490" t="s">
        <v>278</v>
      </c>
      <c r="K9490">
        <v>25.1</v>
      </c>
      <c r="L9490">
        <v>5.0999999999999996</v>
      </c>
      <c r="M9490">
        <v>46555</v>
      </c>
      <c r="N9490" t="s">
        <v>103</v>
      </c>
      <c r="O9490">
        <v>250430</v>
      </c>
      <c r="P9490">
        <v>20</v>
      </c>
    </row>
    <row r="9491" spans="1:16" x14ac:dyDescent="0.25">
      <c r="A9491" t="s">
        <v>3296</v>
      </c>
      <c r="B9491" t="s">
        <v>2931</v>
      </c>
      <c r="C9491">
        <v>10176</v>
      </c>
      <c r="D9491" t="str">
        <f>"8947        "</f>
        <v xml:space="preserve">8947        </v>
      </c>
      <c r="E9491" t="s">
        <v>2171</v>
      </c>
      <c r="F9491" t="s">
        <v>2172</v>
      </c>
      <c r="G9491">
        <v>1606.4</v>
      </c>
      <c r="H9491">
        <v>250805</v>
      </c>
      <c r="I9491">
        <v>4600</v>
      </c>
      <c r="J9491" t="s">
        <v>278</v>
      </c>
      <c r="K9491">
        <v>1606.4</v>
      </c>
      <c r="L9491">
        <v>326.39999999999998</v>
      </c>
      <c r="M9491">
        <v>66756</v>
      </c>
      <c r="N9491" t="s">
        <v>120</v>
      </c>
      <c r="O9491">
        <v>250812</v>
      </c>
      <c r="P9491">
        <v>1280</v>
      </c>
    </row>
    <row r="9492" spans="1:16" x14ac:dyDescent="0.25">
      <c r="A9492" t="s">
        <v>3296</v>
      </c>
      <c r="B9492" t="s">
        <v>2931</v>
      </c>
      <c r="C9492">
        <v>15423</v>
      </c>
      <c r="D9492" t="str">
        <f>"9140        "</f>
        <v xml:space="preserve">9140        </v>
      </c>
      <c r="E9492" t="s">
        <v>2171</v>
      </c>
      <c r="F9492" t="s">
        <v>2172</v>
      </c>
      <c r="G9492">
        <v>1606.4</v>
      </c>
      <c r="H9492">
        <v>251113</v>
      </c>
      <c r="I9492">
        <v>4600</v>
      </c>
      <c r="J9492" t="s">
        <v>278</v>
      </c>
      <c r="K9492">
        <v>1606.4</v>
      </c>
      <c r="L9492">
        <v>326.39999999999998</v>
      </c>
      <c r="M9492">
        <v>67522</v>
      </c>
      <c r="N9492" t="s">
        <v>121</v>
      </c>
      <c r="O9492">
        <v>251120</v>
      </c>
      <c r="P9492">
        <v>1280</v>
      </c>
    </row>
    <row r="9493" spans="1:16" x14ac:dyDescent="0.25">
      <c r="A9493" t="s">
        <v>3296</v>
      </c>
      <c r="B9493" t="s">
        <v>2931</v>
      </c>
      <c r="C9493">
        <v>17671</v>
      </c>
      <c r="D9493" t="str">
        <f>"9215        "</f>
        <v xml:space="preserve">9215        </v>
      </c>
      <c r="E9493" t="s">
        <v>2171</v>
      </c>
      <c r="F9493" t="s">
        <v>2172</v>
      </c>
      <c r="G9493">
        <v>719.97</v>
      </c>
      <c r="H9493">
        <v>251219</v>
      </c>
      <c r="I9493">
        <v>4600</v>
      </c>
      <c r="J9493" t="s">
        <v>278</v>
      </c>
      <c r="K9493">
        <v>719.97</v>
      </c>
      <c r="L9493">
        <v>146.29</v>
      </c>
      <c r="M9493">
        <v>67554</v>
      </c>
      <c r="N9493" t="s">
        <v>317</v>
      </c>
      <c r="O9493">
        <v>251229</v>
      </c>
      <c r="P9493">
        <v>573.67999999999995</v>
      </c>
    </row>
    <row r="9494" spans="1:16" x14ac:dyDescent="0.25">
      <c r="A9494" t="s">
        <v>3296</v>
      </c>
      <c r="B9494" t="s">
        <v>2931</v>
      </c>
      <c r="C9494">
        <v>1408</v>
      </c>
      <c r="D9494" t="str">
        <f>"903         "</f>
        <v xml:space="preserve">903         </v>
      </c>
      <c r="E9494" t="s">
        <v>976</v>
      </c>
      <c r="F9494" t="s">
        <v>977</v>
      </c>
      <c r="G9494">
        <v>763.39</v>
      </c>
      <c r="H9494">
        <v>250131</v>
      </c>
      <c r="I9494">
        <v>4571</v>
      </c>
      <c r="J9494" t="s">
        <v>223</v>
      </c>
      <c r="K9494">
        <v>25446.47</v>
      </c>
      <c r="L9494">
        <v>155.11000000000001</v>
      </c>
      <c r="M9494">
        <v>17739</v>
      </c>
      <c r="N9494" t="s">
        <v>928</v>
      </c>
      <c r="O9494">
        <v>250210</v>
      </c>
      <c r="P9494">
        <v>608.28</v>
      </c>
    </row>
    <row r="9495" spans="1:16" x14ac:dyDescent="0.25">
      <c r="A9495" t="s">
        <v>3296</v>
      </c>
      <c r="B9495" t="s">
        <v>2931</v>
      </c>
      <c r="C9495">
        <v>1408</v>
      </c>
      <c r="D9495" t="str">
        <f>"903         "</f>
        <v xml:space="preserve">903         </v>
      </c>
      <c r="E9495" t="s">
        <v>976</v>
      </c>
      <c r="F9495" t="s">
        <v>977</v>
      </c>
      <c r="G9495">
        <v>8397.34</v>
      </c>
      <c r="H9495">
        <v>250131</v>
      </c>
      <c r="I9495">
        <v>4571</v>
      </c>
      <c r="J9495" t="s">
        <v>223</v>
      </c>
      <c r="K9495">
        <v>25446.47</v>
      </c>
      <c r="L9495">
        <v>1706.23</v>
      </c>
      <c r="M9495">
        <v>17912</v>
      </c>
      <c r="N9495" t="s">
        <v>505</v>
      </c>
      <c r="O9495">
        <v>250210</v>
      </c>
      <c r="P9495">
        <v>6691.11</v>
      </c>
    </row>
    <row r="9496" spans="1:16" x14ac:dyDescent="0.25">
      <c r="A9496" t="s">
        <v>3296</v>
      </c>
      <c r="B9496" t="s">
        <v>2931</v>
      </c>
      <c r="C9496">
        <v>1408</v>
      </c>
      <c r="D9496" t="str">
        <f>"903         "</f>
        <v xml:space="preserve">903         </v>
      </c>
      <c r="E9496" t="s">
        <v>976</v>
      </c>
      <c r="F9496" t="s">
        <v>977</v>
      </c>
      <c r="G9496">
        <v>16285.74</v>
      </c>
      <c r="H9496">
        <v>250131</v>
      </c>
      <c r="I9496">
        <v>4571</v>
      </c>
      <c r="J9496" t="s">
        <v>223</v>
      </c>
      <c r="K9496">
        <v>25446.47</v>
      </c>
      <c r="L9496">
        <v>3309.05</v>
      </c>
      <c r="M9496">
        <v>17952</v>
      </c>
      <c r="N9496" t="s">
        <v>157</v>
      </c>
      <c r="O9496">
        <v>250210</v>
      </c>
      <c r="P9496">
        <v>12976.69</v>
      </c>
    </row>
    <row r="9497" spans="1:16" x14ac:dyDescent="0.25">
      <c r="A9497" t="s">
        <v>3296</v>
      </c>
      <c r="B9497" t="s">
        <v>2931</v>
      </c>
      <c r="C9497">
        <v>2802</v>
      </c>
      <c r="D9497" t="str">
        <f>"909         "</f>
        <v xml:space="preserve">909         </v>
      </c>
      <c r="E9497" t="s">
        <v>976</v>
      </c>
      <c r="F9497" t="s">
        <v>977</v>
      </c>
      <c r="G9497">
        <v>678.14</v>
      </c>
      <c r="H9497">
        <v>250228</v>
      </c>
      <c r="I9497">
        <v>4571</v>
      </c>
      <c r="J9497" t="s">
        <v>223</v>
      </c>
      <c r="K9497">
        <v>22604.68</v>
      </c>
      <c r="L9497">
        <v>137.79</v>
      </c>
      <c r="M9497">
        <v>17739</v>
      </c>
      <c r="N9497" t="s">
        <v>928</v>
      </c>
      <c r="O9497">
        <v>250312</v>
      </c>
      <c r="P9497">
        <v>540.35</v>
      </c>
    </row>
    <row r="9498" spans="1:16" x14ac:dyDescent="0.25">
      <c r="A9498" t="s">
        <v>3296</v>
      </c>
      <c r="B9498" t="s">
        <v>2931</v>
      </c>
      <c r="C9498">
        <v>2802</v>
      </c>
      <c r="D9498" t="str">
        <f>"909         "</f>
        <v xml:space="preserve">909         </v>
      </c>
      <c r="E9498" t="s">
        <v>976</v>
      </c>
      <c r="F9498" t="s">
        <v>977</v>
      </c>
      <c r="G9498">
        <v>7459.54</v>
      </c>
      <c r="H9498">
        <v>250228</v>
      </c>
      <c r="I9498">
        <v>4571</v>
      </c>
      <c r="J9498" t="s">
        <v>223</v>
      </c>
      <c r="K9498">
        <v>22604.68</v>
      </c>
      <c r="L9498">
        <v>1515.68</v>
      </c>
      <c r="M9498">
        <v>17912</v>
      </c>
      <c r="N9498" t="s">
        <v>505</v>
      </c>
      <c r="O9498">
        <v>250312</v>
      </c>
      <c r="P9498">
        <v>5943.86</v>
      </c>
    </row>
    <row r="9499" spans="1:16" x14ac:dyDescent="0.25">
      <c r="A9499" t="s">
        <v>3296</v>
      </c>
      <c r="B9499" t="s">
        <v>2931</v>
      </c>
      <c r="C9499">
        <v>2802</v>
      </c>
      <c r="D9499" t="str">
        <f>"909         "</f>
        <v xml:space="preserve">909         </v>
      </c>
      <c r="E9499" t="s">
        <v>976</v>
      </c>
      <c r="F9499" t="s">
        <v>977</v>
      </c>
      <c r="G9499">
        <v>14467</v>
      </c>
      <c r="H9499">
        <v>250228</v>
      </c>
      <c r="I9499">
        <v>4571</v>
      </c>
      <c r="J9499" t="s">
        <v>223</v>
      </c>
      <c r="K9499">
        <v>22604.68</v>
      </c>
      <c r="L9499">
        <v>2939.51</v>
      </c>
      <c r="M9499">
        <v>17952</v>
      </c>
      <c r="N9499" t="s">
        <v>157</v>
      </c>
      <c r="O9499">
        <v>250312</v>
      </c>
      <c r="P9499">
        <v>11527.49</v>
      </c>
    </row>
    <row r="9500" spans="1:16" x14ac:dyDescent="0.25">
      <c r="A9500" t="s">
        <v>3296</v>
      </c>
      <c r="B9500" t="s">
        <v>2931</v>
      </c>
      <c r="C9500">
        <v>4698</v>
      </c>
      <c r="D9500" t="str">
        <f>"936         "</f>
        <v xml:space="preserve">936         </v>
      </c>
      <c r="E9500" t="s">
        <v>976</v>
      </c>
      <c r="F9500" t="s">
        <v>977</v>
      </c>
      <c r="G9500">
        <v>589.35</v>
      </c>
      <c r="H9500">
        <v>250331</v>
      </c>
      <c r="I9500">
        <v>4571</v>
      </c>
      <c r="J9500" t="s">
        <v>223</v>
      </c>
      <c r="K9500">
        <v>19645.009999999998</v>
      </c>
      <c r="L9500">
        <v>119.75</v>
      </c>
      <c r="M9500">
        <v>17739</v>
      </c>
      <c r="N9500" t="s">
        <v>928</v>
      </c>
      <c r="O9500">
        <v>250414</v>
      </c>
      <c r="P9500">
        <v>469.6</v>
      </c>
    </row>
    <row r="9501" spans="1:16" x14ac:dyDescent="0.25">
      <c r="A9501" t="s">
        <v>3296</v>
      </c>
      <c r="B9501" t="s">
        <v>2931</v>
      </c>
      <c r="C9501">
        <v>4698</v>
      </c>
      <c r="D9501" t="str">
        <f>"936         "</f>
        <v xml:space="preserve">936         </v>
      </c>
      <c r="E9501" t="s">
        <v>976</v>
      </c>
      <c r="F9501" t="s">
        <v>977</v>
      </c>
      <c r="G9501">
        <v>6482.85</v>
      </c>
      <c r="H9501">
        <v>250331</v>
      </c>
      <c r="I9501">
        <v>4571</v>
      </c>
      <c r="J9501" t="s">
        <v>223</v>
      </c>
      <c r="K9501">
        <v>19645.009999999998</v>
      </c>
      <c r="L9501">
        <v>1317.23</v>
      </c>
      <c r="M9501">
        <v>17912</v>
      </c>
      <c r="N9501" t="s">
        <v>505</v>
      </c>
      <c r="O9501">
        <v>250414</v>
      </c>
      <c r="P9501">
        <v>5165.62</v>
      </c>
    </row>
    <row r="9502" spans="1:16" x14ac:dyDescent="0.25">
      <c r="A9502" t="s">
        <v>3296</v>
      </c>
      <c r="B9502" t="s">
        <v>2931</v>
      </c>
      <c r="C9502">
        <v>4698</v>
      </c>
      <c r="D9502" t="str">
        <f>"936         "</f>
        <v xml:space="preserve">936         </v>
      </c>
      <c r="E9502" t="s">
        <v>976</v>
      </c>
      <c r="F9502" t="s">
        <v>977</v>
      </c>
      <c r="G9502">
        <v>12572.81</v>
      </c>
      <c r="H9502">
        <v>250331</v>
      </c>
      <c r="I9502">
        <v>4571</v>
      </c>
      <c r="J9502" t="s">
        <v>223</v>
      </c>
      <c r="K9502">
        <v>19645.009999999998</v>
      </c>
      <c r="L9502">
        <v>2554.63</v>
      </c>
      <c r="M9502">
        <v>17952</v>
      </c>
      <c r="N9502" t="s">
        <v>157</v>
      </c>
      <c r="O9502">
        <v>250414</v>
      </c>
      <c r="P9502">
        <v>10018.18</v>
      </c>
    </row>
    <row r="9503" spans="1:16" x14ac:dyDescent="0.25">
      <c r="A9503" t="s">
        <v>3296</v>
      </c>
      <c r="B9503" t="s">
        <v>2931</v>
      </c>
      <c r="C9503">
        <v>6082</v>
      </c>
      <c r="D9503" t="str">
        <f>"939         "</f>
        <v xml:space="preserve">939         </v>
      </c>
      <c r="E9503" t="s">
        <v>976</v>
      </c>
      <c r="F9503" t="s">
        <v>977</v>
      </c>
      <c r="G9503">
        <v>428.77</v>
      </c>
      <c r="H9503">
        <v>250430</v>
      </c>
      <c r="I9503">
        <v>4571</v>
      </c>
      <c r="J9503" t="s">
        <v>223</v>
      </c>
      <c r="K9503">
        <v>14292.36</v>
      </c>
      <c r="L9503">
        <v>87.12</v>
      </c>
      <c r="M9503">
        <v>17739</v>
      </c>
      <c r="N9503" t="s">
        <v>928</v>
      </c>
      <c r="O9503">
        <v>250508</v>
      </c>
      <c r="P9503">
        <v>341.65</v>
      </c>
    </row>
    <row r="9504" spans="1:16" x14ac:dyDescent="0.25">
      <c r="A9504" t="s">
        <v>3296</v>
      </c>
      <c r="B9504" t="s">
        <v>2931</v>
      </c>
      <c r="C9504">
        <v>6082</v>
      </c>
      <c r="D9504" t="str">
        <f>"939         "</f>
        <v xml:space="preserve">939         </v>
      </c>
      <c r="E9504" t="s">
        <v>976</v>
      </c>
      <c r="F9504" t="s">
        <v>977</v>
      </c>
      <c r="G9504">
        <v>4716.4799999999996</v>
      </c>
      <c r="H9504">
        <v>250430</v>
      </c>
      <c r="I9504">
        <v>4571</v>
      </c>
      <c r="J9504" t="s">
        <v>223</v>
      </c>
      <c r="K9504">
        <v>14292.36</v>
      </c>
      <c r="L9504">
        <v>958.33</v>
      </c>
      <c r="M9504">
        <v>17912</v>
      </c>
      <c r="N9504" t="s">
        <v>505</v>
      </c>
      <c r="O9504">
        <v>250508</v>
      </c>
      <c r="P9504">
        <v>3758.15</v>
      </c>
    </row>
    <row r="9505" spans="1:16" x14ac:dyDescent="0.25">
      <c r="A9505" t="s">
        <v>3296</v>
      </c>
      <c r="B9505" t="s">
        <v>2931</v>
      </c>
      <c r="C9505">
        <v>6082</v>
      </c>
      <c r="D9505" t="str">
        <f>"939         "</f>
        <v xml:space="preserve">939         </v>
      </c>
      <c r="E9505" t="s">
        <v>976</v>
      </c>
      <c r="F9505" t="s">
        <v>977</v>
      </c>
      <c r="G9505">
        <v>9147.11</v>
      </c>
      <c r="H9505">
        <v>250430</v>
      </c>
      <c r="I9505">
        <v>4571</v>
      </c>
      <c r="J9505" t="s">
        <v>223</v>
      </c>
      <c r="K9505">
        <v>14292.36</v>
      </c>
      <c r="L9505">
        <v>1858.58</v>
      </c>
      <c r="M9505">
        <v>17952</v>
      </c>
      <c r="N9505" t="s">
        <v>157</v>
      </c>
      <c r="O9505">
        <v>250508</v>
      </c>
      <c r="P9505">
        <v>7288.53</v>
      </c>
    </row>
    <row r="9506" spans="1:16" x14ac:dyDescent="0.25">
      <c r="A9506" t="s">
        <v>3296</v>
      </c>
      <c r="B9506" t="s">
        <v>2931</v>
      </c>
      <c r="C9506">
        <v>7944</v>
      </c>
      <c r="D9506" t="str">
        <f>"941         "</f>
        <v xml:space="preserve">941         </v>
      </c>
      <c r="E9506" t="s">
        <v>976</v>
      </c>
      <c r="F9506" t="s">
        <v>977</v>
      </c>
      <c r="G9506">
        <v>347.44</v>
      </c>
      <c r="H9506">
        <v>250531</v>
      </c>
      <c r="I9506">
        <v>4571</v>
      </c>
      <c r="J9506" t="s">
        <v>223</v>
      </c>
      <c r="K9506">
        <v>11581.43</v>
      </c>
      <c r="L9506">
        <v>70.599999999999994</v>
      </c>
      <c r="M9506">
        <v>17739</v>
      </c>
      <c r="N9506" t="s">
        <v>928</v>
      </c>
      <c r="O9506">
        <v>250610</v>
      </c>
      <c r="P9506">
        <v>276.83999999999997</v>
      </c>
    </row>
    <row r="9507" spans="1:16" x14ac:dyDescent="0.25">
      <c r="A9507" t="s">
        <v>3296</v>
      </c>
      <c r="B9507" t="s">
        <v>2931</v>
      </c>
      <c r="C9507">
        <v>7944</v>
      </c>
      <c r="D9507" t="str">
        <f>"941         "</f>
        <v xml:space="preserve">941         </v>
      </c>
      <c r="E9507" t="s">
        <v>976</v>
      </c>
      <c r="F9507" t="s">
        <v>977</v>
      </c>
      <c r="G9507">
        <v>3821.87</v>
      </c>
      <c r="H9507">
        <v>250531</v>
      </c>
      <c r="I9507">
        <v>4571</v>
      </c>
      <c r="J9507" t="s">
        <v>223</v>
      </c>
      <c r="K9507">
        <v>11581.43</v>
      </c>
      <c r="L9507">
        <v>776.56</v>
      </c>
      <c r="M9507">
        <v>17912</v>
      </c>
      <c r="N9507" t="s">
        <v>505</v>
      </c>
      <c r="O9507">
        <v>250610</v>
      </c>
      <c r="P9507">
        <v>3045.31</v>
      </c>
    </row>
    <row r="9508" spans="1:16" x14ac:dyDescent="0.25">
      <c r="A9508" t="s">
        <v>3296</v>
      </c>
      <c r="B9508" t="s">
        <v>2931</v>
      </c>
      <c r="C9508">
        <v>7944</v>
      </c>
      <c r="D9508" t="str">
        <f>"941         "</f>
        <v xml:space="preserve">941         </v>
      </c>
      <c r="E9508" t="s">
        <v>976</v>
      </c>
      <c r="F9508" t="s">
        <v>977</v>
      </c>
      <c r="G9508">
        <v>7412.12</v>
      </c>
      <c r="H9508">
        <v>250531</v>
      </c>
      <c r="I9508">
        <v>4571</v>
      </c>
      <c r="J9508" t="s">
        <v>223</v>
      </c>
      <c r="K9508">
        <v>11581.43</v>
      </c>
      <c r="L9508">
        <v>1506.05</v>
      </c>
      <c r="M9508">
        <v>17952</v>
      </c>
      <c r="N9508" t="s">
        <v>157</v>
      </c>
      <c r="O9508">
        <v>250610</v>
      </c>
      <c r="P9508">
        <v>5906.07</v>
      </c>
    </row>
    <row r="9509" spans="1:16" x14ac:dyDescent="0.25">
      <c r="A9509" t="s">
        <v>3296</v>
      </c>
      <c r="B9509" t="s">
        <v>2931</v>
      </c>
      <c r="C9509">
        <v>9393</v>
      </c>
      <c r="D9509" t="str">
        <f>"947         "</f>
        <v xml:space="preserve">947         </v>
      </c>
      <c r="E9509" t="s">
        <v>976</v>
      </c>
      <c r="F9509" t="s">
        <v>977</v>
      </c>
      <c r="G9509">
        <v>235.69</v>
      </c>
      <c r="H9509">
        <v>250630</v>
      </c>
      <c r="I9509">
        <v>4571</v>
      </c>
      <c r="J9509" t="s">
        <v>223</v>
      </c>
      <c r="K9509">
        <v>7856.4</v>
      </c>
      <c r="L9509">
        <v>47.89</v>
      </c>
      <c r="M9509">
        <v>17739</v>
      </c>
      <c r="N9509" t="s">
        <v>928</v>
      </c>
      <c r="O9509">
        <v>250707</v>
      </c>
      <c r="P9509">
        <v>187.8</v>
      </c>
    </row>
    <row r="9510" spans="1:16" x14ac:dyDescent="0.25">
      <c r="A9510" t="s">
        <v>3296</v>
      </c>
      <c r="B9510" t="s">
        <v>2931</v>
      </c>
      <c r="C9510">
        <v>9393</v>
      </c>
      <c r="D9510" t="str">
        <f>"947         "</f>
        <v xml:space="preserve">947         </v>
      </c>
      <c r="E9510" t="s">
        <v>976</v>
      </c>
      <c r="F9510" t="s">
        <v>977</v>
      </c>
      <c r="G9510">
        <v>2592.61</v>
      </c>
      <c r="H9510">
        <v>250630</v>
      </c>
      <c r="I9510">
        <v>4571</v>
      </c>
      <c r="J9510" t="s">
        <v>223</v>
      </c>
      <c r="K9510">
        <v>7856.4</v>
      </c>
      <c r="L9510">
        <v>526.79</v>
      </c>
      <c r="M9510">
        <v>17912</v>
      </c>
      <c r="N9510" t="s">
        <v>505</v>
      </c>
      <c r="O9510">
        <v>250707</v>
      </c>
      <c r="P9510">
        <v>2065.8200000000002</v>
      </c>
    </row>
    <row r="9511" spans="1:16" x14ac:dyDescent="0.25">
      <c r="A9511" t="s">
        <v>3296</v>
      </c>
      <c r="B9511" t="s">
        <v>2931</v>
      </c>
      <c r="C9511">
        <v>9393</v>
      </c>
      <c r="D9511" t="str">
        <f>"947         "</f>
        <v xml:space="preserve">947         </v>
      </c>
      <c r="E9511" t="s">
        <v>976</v>
      </c>
      <c r="F9511" t="s">
        <v>977</v>
      </c>
      <c r="G9511">
        <v>5028.1000000000004</v>
      </c>
      <c r="H9511">
        <v>250630</v>
      </c>
      <c r="I9511">
        <v>4571</v>
      </c>
      <c r="J9511" t="s">
        <v>223</v>
      </c>
      <c r="K9511">
        <v>7856.4</v>
      </c>
      <c r="L9511">
        <v>1021.65</v>
      </c>
      <c r="M9511">
        <v>17952</v>
      </c>
      <c r="N9511" t="s">
        <v>157</v>
      </c>
      <c r="O9511">
        <v>250707</v>
      </c>
      <c r="P9511">
        <v>4006.45</v>
      </c>
    </row>
    <row r="9512" spans="1:16" x14ac:dyDescent="0.25">
      <c r="A9512" t="s">
        <v>3296</v>
      </c>
      <c r="B9512" t="s">
        <v>2931</v>
      </c>
      <c r="C9512">
        <v>10079</v>
      </c>
      <c r="D9512" t="str">
        <f>"949         "</f>
        <v xml:space="preserve">949         </v>
      </c>
      <c r="E9512" t="s">
        <v>976</v>
      </c>
      <c r="F9512" t="s">
        <v>977</v>
      </c>
      <c r="G9512">
        <v>200.62</v>
      </c>
      <c r="H9512">
        <v>250731</v>
      </c>
      <c r="I9512">
        <v>4571</v>
      </c>
      <c r="J9512" t="s">
        <v>223</v>
      </c>
      <c r="K9512">
        <v>6687.22</v>
      </c>
      <c r="L9512">
        <v>40.76</v>
      </c>
      <c r="M9512">
        <v>17739</v>
      </c>
      <c r="N9512" t="s">
        <v>928</v>
      </c>
      <c r="O9512">
        <v>250811</v>
      </c>
      <c r="P9512">
        <v>159.86000000000001</v>
      </c>
    </row>
    <row r="9513" spans="1:16" x14ac:dyDescent="0.25">
      <c r="A9513" t="s">
        <v>3296</v>
      </c>
      <c r="B9513" t="s">
        <v>2931</v>
      </c>
      <c r="C9513">
        <v>10079</v>
      </c>
      <c r="D9513" t="str">
        <f>"949         "</f>
        <v xml:space="preserve">949         </v>
      </c>
      <c r="E9513" t="s">
        <v>976</v>
      </c>
      <c r="F9513" t="s">
        <v>977</v>
      </c>
      <c r="G9513">
        <v>2206.7800000000002</v>
      </c>
      <c r="H9513">
        <v>250731</v>
      </c>
      <c r="I9513">
        <v>4571</v>
      </c>
      <c r="J9513" t="s">
        <v>223</v>
      </c>
      <c r="K9513">
        <v>6687.22</v>
      </c>
      <c r="L9513">
        <v>448.39</v>
      </c>
      <c r="M9513">
        <v>17912</v>
      </c>
      <c r="N9513" t="s">
        <v>505</v>
      </c>
      <c r="O9513">
        <v>250811</v>
      </c>
      <c r="P9513">
        <v>1758.39</v>
      </c>
    </row>
    <row r="9514" spans="1:16" x14ac:dyDescent="0.25">
      <c r="A9514" t="s">
        <v>3296</v>
      </c>
      <c r="B9514" t="s">
        <v>2931</v>
      </c>
      <c r="C9514">
        <v>10079</v>
      </c>
      <c r="D9514" t="str">
        <f>"949         "</f>
        <v xml:space="preserve">949         </v>
      </c>
      <c r="E9514" t="s">
        <v>976</v>
      </c>
      <c r="F9514" t="s">
        <v>977</v>
      </c>
      <c r="G9514">
        <v>4279.82</v>
      </c>
      <c r="H9514">
        <v>250731</v>
      </c>
      <c r="I9514">
        <v>4571</v>
      </c>
      <c r="J9514" t="s">
        <v>223</v>
      </c>
      <c r="K9514">
        <v>6687.22</v>
      </c>
      <c r="L9514">
        <v>869.6</v>
      </c>
      <c r="M9514">
        <v>17952</v>
      </c>
      <c r="N9514" t="s">
        <v>157</v>
      </c>
      <c r="O9514">
        <v>250811</v>
      </c>
      <c r="P9514">
        <v>3410.22</v>
      </c>
    </row>
    <row r="9515" spans="1:16" x14ac:dyDescent="0.25">
      <c r="A9515" t="s">
        <v>3296</v>
      </c>
      <c r="B9515" t="s">
        <v>2931</v>
      </c>
      <c r="C9515">
        <v>11238</v>
      </c>
      <c r="D9515" t="str">
        <f>"950         "</f>
        <v xml:space="preserve">950         </v>
      </c>
      <c r="E9515" t="s">
        <v>976</v>
      </c>
      <c r="F9515" t="s">
        <v>977</v>
      </c>
      <c r="G9515">
        <v>229.74</v>
      </c>
      <c r="H9515">
        <v>250831</v>
      </c>
      <c r="I9515">
        <v>4571</v>
      </c>
      <c r="J9515" t="s">
        <v>223</v>
      </c>
      <c r="K9515">
        <v>7658.09</v>
      </c>
      <c r="L9515">
        <v>46.68</v>
      </c>
      <c r="M9515">
        <v>17739</v>
      </c>
      <c r="N9515" t="s">
        <v>928</v>
      </c>
      <c r="O9515">
        <v>250902</v>
      </c>
      <c r="P9515">
        <v>183.06</v>
      </c>
    </row>
    <row r="9516" spans="1:16" x14ac:dyDescent="0.25">
      <c r="A9516" t="s">
        <v>3296</v>
      </c>
      <c r="B9516" t="s">
        <v>2931</v>
      </c>
      <c r="C9516">
        <v>11238</v>
      </c>
      <c r="D9516" t="str">
        <f>"950         "</f>
        <v xml:space="preserve">950         </v>
      </c>
      <c r="E9516" t="s">
        <v>976</v>
      </c>
      <c r="F9516" t="s">
        <v>977</v>
      </c>
      <c r="G9516">
        <v>2527.17</v>
      </c>
      <c r="H9516">
        <v>250831</v>
      </c>
      <c r="I9516">
        <v>4571</v>
      </c>
      <c r="J9516" t="s">
        <v>223</v>
      </c>
      <c r="K9516">
        <v>7658.09</v>
      </c>
      <c r="L9516">
        <v>513.49</v>
      </c>
      <c r="M9516">
        <v>17912</v>
      </c>
      <c r="N9516" t="s">
        <v>505</v>
      </c>
      <c r="O9516">
        <v>250902</v>
      </c>
      <c r="P9516">
        <v>2013.68</v>
      </c>
    </row>
    <row r="9517" spans="1:16" x14ac:dyDescent="0.25">
      <c r="A9517" t="s">
        <v>3296</v>
      </c>
      <c r="B9517" t="s">
        <v>2931</v>
      </c>
      <c r="C9517">
        <v>11238</v>
      </c>
      <c r="D9517" t="str">
        <f>"950         "</f>
        <v xml:space="preserve">950         </v>
      </c>
      <c r="E9517" t="s">
        <v>976</v>
      </c>
      <c r="F9517" t="s">
        <v>977</v>
      </c>
      <c r="G9517">
        <v>4901.18</v>
      </c>
      <c r="H9517">
        <v>250831</v>
      </c>
      <c r="I9517">
        <v>4571</v>
      </c>
      <c r="J9517" t="s">
        <v>223</v>
      </c>
      <c r="K9517">
        <v>7658.09</v>
      </c>
      <c r="L9517">
        <v>995.86</v>
      </c>
      <c r="M9517">
        <v>17952</v>
      </c>
      <c r="N9517" t="s">
        <v>157</v>
      </c>
      <c r="O9517">
        <v>250902</v>
      </c>
      <c r="P9517">
        <v>3905.32</v>
      </c>
    </row>
    <row r="9518" spans="1:16" x14ac:dyDescent="0.25">
      <c r="A9518" t="s">
        <v>3296</v>
      </c>
      <c r="B9518" t="s">
        <v>2931</v>
      </c>
      <c r="C9518">
        <v>12894</v>
      </c>
      <c r="D9518" t="str">
        <f>"954         "</f>
        <v xml:space="preserve">954         </v>
      </c>
      <c r="E9518" t="s">
        <v>976</v>
      </c>
      <c r="F9518" t="s">
        <v>977</v>
      </c>
      <c r="G9518">
        <v>263.58</v>
      </c>
      <c r="H9518">
        <v>250930</v>
      </c>
      <c r="I9518">
        <v>4571</v>
      </c>
      <c r="J9518" t="s">
        <v>223</v>
      </c>
      <c r="K9518">
        <v>8786.08</v>
      </c>
      <c r="L9518">
        <v>53.56</v>
      </c>
      <c r="M9518">
        <v>17739</v>
      </c>
      <c r="N9518" t="s">
        <v>928</v>
      </c>
      <c r="O9518">
        <v>251001</v>
      </c>
      <c r="P9518">
        <v>210.02</v>
      </c>
    </row>
    <row r="9519" spans="1:16" x14ac:dyDescent="0.25">
      <c r="A9519" t="s">
        <v>3296</v>
      </c>
      <c r="B9519" t="s">
        <v>2931</v>
      </c>
      <c r="C9519">
        <v>12894</v>
      </c>
      <c r="D9519" t="str">
        <f>"954         "</f>
        <v xml:space="preserve">954         </v>
      </c>
      <c r="E9519" t="s">
        <v>976</v>
      </c>
      <c r="F9519" t="s">
        <v>977</v>
      </c>
      <c r="G9519">
        <v>2899.41</v>
      </c>
      <c r="H9519">
        <v>250930</v>
      </c>
      <c r="I9519">
        <v>4571</v>
      </c>
      <c r="J9519" t="s">
        <v>223</v>
      </c>
      <c r="K9519">
        <v>8786.08</v>
      </c>
      <c r="L9519">
        <v>589.12</v>
      </c>
      <c r="M9519">
        <v>17912</v>
      </c>
      <c r="N9519" t="s">
        <v>505</v>
      </c>
      <c r="O9519">
        <v>251001</v>
      </c>
      <c r="P9519">
        <v>2310.29</v>
      </c>
    </row>
    <row r="9520" spans="1:16" x14ac:dyDescent="0.25">
      <c r="A9520" t="s">
        <v>3296</v>
      </c>
      <c r="B9520" t="s">
        <v>2931</v>
      </c>
      <c r="C9520">
        <v>12894</v>
      </c>
      <c r="D9520" t="str">
        <f>"954         "</f>
        <v xml:space="preserve">954         </v>
      </c>
      <c r="E9520" t="s">
        <v>976</v>
      </c>
      <c r="F9520" t="s">
        <v>977</v>
      </c>
      <c r="G9520">
        <v>5623.09</v>
      </c>
      <c r="H9520">
        <v>250930</v>
      </c>
      <c r="I9520">
        <v>4571</v>
      </c>
      <c r="J9520" t="s">
        <v>223</v>
      </c>
      <c r="K9520">
        <v>8786.08</v>
      </c>
      <c r="L9520">
        <v>1142.54</v>
      </c>
      <c r="M9520">
        <v>17952</v>
      </c>
      <c r="N9520" t="s">
        <v>157</v>
      </c>
      <c r="O9520">
        <v>251001</v>
      </c>
      <c r="P9520">
        <v>4480.55</v>
      </c>
    </row>
    <row r="9521" spans="1:16" x14ac:dyDescent="0.25">
      <c r="A9521" t="s">
        <v>3296</v>
      </c>
      <c r="B9521" t="s">
        <v>2931</v>
      </c>
      <c r="C9521">
        <v>14541</v>
      </c>
      <c r="D9521" t="str">
        <f>"956         "</f>
        <v xml:space="preserve">956         </v>
      </c>
      <c r="E9521" t="s">
        <v>976</v>
      </c>
      <c r="F9521" t="s">
        <v>977</v>
      </c>
      <c r="G9521">
        <v>415.51</v>
      </c>
      <c r="H9521">
        <v>251031</v>
      </c>
      <c r="I9521">
        <v>4571</v>
      </c>
      <c r="J9521" t="s">
        <v>223</v>
      </c>
      <c r="K9521">
        <v>13850.31</v>
      </c>
      <c r="L9521">
        <v>84.43</v>
      </c>
      <c r="M9521">
        <v>17739</v>
      </c>
      <c r="N9521" t="s">
        <v>928</v>
      </c>
      <c r="O9521">
        <v>251104</v>
      </c>
      <c r="P9521">
        <v>331.08</v>
      </c>
    </row>
    <row r="9522" spans="1:16" x14ac:dyDescent="0.25">
      <c r="A9522" t="s">
        <v>3296</v>
      </c>
      <c r="B9522" t="s">
        <v>2931</v>
      </c>
      <c r="C9522">
        <v>14541</v>
      </c>
      <c r="D9522" t="str">
        <f>"956         "</f>
        <v xml:space="preserve">956         </v>
      </c>
      <c r="E9522" t="s">
        <v>976</v>
      </c>
      <c r="F9522" t="s">
        <v>977</v>
      </c>
      <c r="G9522">
        <v>4570.6000000000004</v>
      </c>
      <c r="H9522">
        <v>251031</v>
      </c>
      <c r="I9522">
        <v>4571</v>
      </c>
      <c r="J9522" t="s">
        <v>223</v>
      </c>
      <c r="K9522">
        <v>13850.31</v>
      </c>
      <c r="L9522">
        <v>928.69</v>
      </c>
      <c r="M9522">
        <v>17912</v>
      </c>
      <c r="N9522" t="s">
        <v>505</v>
      </c>
      <c r="O9522">
        <v>251104</v>
      </c>
      <c r="P9522">
        <v>3641.91</v>
      </c>
    </row>
    <row r="9523" spans="1:16" x14ac:dyDescent="0.25">
      <c r="A9523" t="s">
        <v>3296</v>
      </c>
      <c r="B9523" t="s">
        <v>2931</v>
      </c>
      <c r="C9523">
        <v>14541</v>
      </c>
      <c r="D9523" t="str">
        <f>"956         "</f>
        <v xml:space="preserve">956         </v>
      </c>
      <c r="E9523" t="s">
        <v>976</v>
      </c>
      <c r="F9523" t="s">
        <v>977</v>
      </c>
      <c r="G9523">
        <v>8864.2000000000007</v>
      </c>
      <c r="H9523">
        <v>251031</v>
      </c>
      <c r="I9523">
        <v>4571</v>
      </c>
      <c r="J9523" t="s">
        <v>223</v>
      </c>
      <c r="K9523">
        <v>13850.31</v>
      </c>
      <c r="L9523">
        <v>1801.09</v>
      </c>
      <c r="M9523">
        <v>17952</v>
      </c>
      <c r="N9523" t="s">
        <v>157</v>
      </c>
      <c r="O9523">
        <v>251104</v>
      </c>
      <c r="P9523">
        <v>7063.11</v>
      </c>
    </row>
    <row r="9524" spans="1:16" x14ac:dyDescent="0.25">
      <c r="A9524" t="s">
        <v>3296</v>
      </c>
      <c r="B9524" t="s">
        <v>2931</v>
      </c>
      <c r="C9524">
        <v>16069</v>
      </c>
      <c r="D9524" t="str">
        <f>"968         "</f>
        <v xml:space="preserve">968         </v>
      </c>
      <c r="E9524" t="s">
        <v>976</v>
      </c>
      <c r="F9524" t="s">
        <v>977</v>
      </c>
      <c r="G9524">
        <v>432.39</v>
      </c>
      <c r="H9524">
        <v>251130</v>
      </c>
      <c r="I9524">
        <v>4571</v>
      </c>
      <c r="J9524" t="s">
        <v>223</v>
      </c>
      <c r="K9524">
        <v>14413.13</v>
      </c>
      <c r="L9524">
        <v>87.86</v>
      </c>
      <c r="M9524">
        <v>17739</v>
      </c>
      <c r="N9524" t="s">
        <v>928</v>
      </c>
      <c r="O9524">
        <v>251203</v>
      </c>
      <c r="P9524">
        <v>344.53</v>
      </c>
    </row>
    <row r="9525" spans="1:16" x14ac:dyDescent="0.25">
      <c r="A9525" t="s">
        <v>3296</v>
      </c>
      <c r="B9525" t="s">
        <v>2931</v>
      </c>
      <c r="C9525">
        <v>16069</v>
      </c>
      <c r="D9525" t="str">
        <f>"968         "</f>
        <v xml:space="preserve">968         </v>
      </c>
      <c r="E9525" t="s">
        <v>976</v>
      </c>
      <c r="F9525" t="s">
        <v>977</v>
      </c>
      <c r="G9525">
        <v>4756.33</v>
      </c>
      <c r="H9525">
        <v>251130</v>
      </c>
      <c r="I9525">
        <v>4571</v>
      </c>
      <c r="J9525" t="s">
        <v>223</v>
      </c>
      <c r="K9525">
        <v>14413.13</v>
      </c>
      <c r="L9525">
        <v>966.43</v>
      </c>
      <c r="M9525">
        <v>17912</v>
      </c>
      <c r="N9525" t="s">
        <v>505</v>
      </c>
      <c r="O9525">
        <v>251203</v>
      </c>
      <c r="P9525">
        <v>3789.9</v>
      </c>
    </row>
    <row r="9526" spans="1:16" x14ac:dyDescent="0.25">
      <c r="A9526" t="s">
        <v>3296</v>
      </c>
      <c r="B9526" t="s">
        <v>2931</v>
      </c>
      <c r="C9526">
        <v>16069</v>
      </c>
      <c r="D9526" t="str">
        <f>"968         "</f>
        <v xml:space="preserve">968         </v>
      </c>
      <c r="E9526" t="s">
        <v>976</v>
      </c>
      <c r="F9526" t="s">
        <v>977</v>
      </c>
      <c r="G9526">
        <v>9224.41</v>
      </c>
      <c r="H9526">
        <v>251130</v>
      </c>
      <c r="I9526">
        <v>4571</v>
      </c>
      <c r="J9526" t="s">
        <v>223</v>
      </c>
      <c r="K9526">
        <v>14413.13</v>
      </c>
      <c r="L9526">
        <v>1874.28</v>
      </c>
      <c r="M9526">
        <v>17952</v>
      </c>
      <c r="N9526" t="s">
        <v>157</v>
      </c>
      <c r="O9526">
        <v>251203</v>
      </c>
      <c r="P9526">
        <v>7350.13</v>
      </c>
    </row>
    <row r="9527" spans="1:16" x14ac:dyDescent="0.25">
      <c r="A9527" t="s">
        <v>3296</v>
      </c>
      <c r="B9527" t="s">
        <v>2931</v>
      </c>
      <c r="C9527">
        <v>17988</v>
      </c>
      <c r="D9527" t="str">
        <f>"970         "</f>
        <v xml:space="preserve">970         </v>
      </c>
      <c r="E9527" t="s">
        <v>976</v>
      </c>
      <c r="F9527" t="s">
        <v>977</v>
      </c>
      <c r="G9527">
        <v>463.46</v>
      </c>
      <c r="H9527">
        <v>251231</v>
      </c>
      <c r="I9527">
        <v>4571</v>
      </c>
      <c r="J9527" t="s">
        <v>223</v>
      </c>
      <c r="K9527">
        <v>15448.49</v>
      </c>
      <c r="L9527">
        <v>94.17</v>
      </c>
      <c r="M9527">
        <v>17739</v>
      </c>
      <c r="N9527" t="s">
        <v>928</v>
      </c>
      <c r="O9527">
        <v>260107</v>
      </c>
      <c r="P9527">
        <v>369.29</v>
      </c>
    </row>
    <row r="9528" spans="1:16" x14ac:dyDescent="0.25">
      <c r="A9528" t="s">
        <v>3296</v>
      </c>
      <c r="B9528" t="s">
        <v>2931</v>
      </c>
      <c r="C9528">
        <v>17988</v>
      </c>
      <c r="D9528" t="str">
        <f>"970         "</f>
        <v xml:space="preserve">970         </v>
      </c>
      <c r="E9528" t="s">
        <v>976</v>
      </c>
      <c r="F9528" t="s">
        <v>977</v>
      </c>
      <c r="G9528">
        <v>5098</v>
      </c>
      <c r="H9528">
        <v>251231</v>
      </c>
      <c r="I9528">
        <v>4571</v>
      </c>
      <c r="J9528" t="s">
        <v>223</v>
      </c>
      <c r="K9528">
        <v>15448.49</v>
      </c>
      <c r="L9528">
        <v>1035.8499999999999</v>
      </c>
      <c r="M9528">
        <v>17912</v>
      </c>
      <c r="N9528" t="s">
        <v>505</v>
      </c>
      <c r="O9528">
        <v>260107</v>
      </c>
      <c r="P9528">
        <v>4062.15</v>
      </c>
    </row>
    <row r="9529" spans="1:16" x14ac:dyDescent="0.25">
      <c r="A9529" t="s">
        <v>3296</v>
      </c>
      <c r="B9529" t="s">
        <v>2931</v>
      </c>
      <c r="C9529">
        <v>17988</v>
      </c>
      <c r="D9529" t="str">
        <f>"970         "</f>
        <v xml:space="preserve">970         </v>
      </c>
      <c r="E9529" t="s">
        <v>976</v>
      </c>
      <c r="F9529" t="s">
        <v>977</v>
      </c>
      <c r="G9529">
        <v>9887.0300000000007</v>
      </c>
      <c r="H9529">
        <v>251231</v>
      </c>
      <c r="I9529">
        <v>4571</v>
      </c>
      <c r="J9529" t="s">
        <v>223</v>
      </c>
      <c r="K9529">
        <v>15448.49</v>
      </c>
      <c r="L9529">
        <v>2008.92</v>
      </c>
      <c r="M9529">
        <v>17952</v>
      </c>
      <c r="N9529" t="s">
        <v>157</v>
      </c>
      <c r="O9529">
        <v>260107</v>
      </c>
      <c r="P9529">
        <v>7878.11</v>
      </c>
    </row>
    <row r="9530" spans="1:16" x14ac:dyDescent="0.25">
      <c r="A9530" t="s">
        <v>3296</v>
      </c>
      <c r="B9530" t="s">
        <v>2931</v>
      </c>
      <c r="C9530">
        <v>3315</v>
      </c>
      <c r="D9530" t="str">
        <f>"2124028467  "</f>
        <v xml:space="preserve">2124028467  </v>
      </c>
      <c r="E9530" t="s">
        <v>337</v>
      </c>
      <c r="F9530" t="s">
        <v>338</v>
      </c>
      <c r="G9530">
        <v>87.3</v>
      </c>
      <c r="H9530">
        <v>250227</v>
      </c>
      <c r="I9530">
        <v>4346</v>
      </c>
      <c r="J9530" t="s">
        <v>334</v>
      </c>
      <c r="K9530">
        <v>87.3</v>
      </c>
      <c r="L9530">
        <v>17.739999999999998</v>
      </c>
      <c r="M9530">
        <v>69704</v>
      </c>
      <c r="N9530" t="s">
        <v>89</v>
      </c>
      <c r="O9530">
        <v>250318</v>
      </c>
      <c r="P9530">
        <v>69.56</v>
      </c>
    </row>
    <row r="9531" spans="1:16" x14ac:dyDescent="0.25">
      <c r="A9531" t="s">
        <v>3296</v>
      </c>
      <c r="B9531" t="s">
        <v>2931</v>
      </c>
      <c r="C9531">
        <v>3316</v>
      </c>
      <c r="D9531" t="str">
        <f>"2124028466  "</f>
        <v xml:space="preserve">2124028466  </v>
      </c>
      <c r="E9531" t="s">
        <v>337</v>
      </c>
      <c r="F9531" t="s">
        <v>338</v>
      </c>
      <c r="G9531">
        <v>222.36</v>
      </c>
      <c r="H9531">
        <v>250227</v>
      </c>
      <c r="I9531">
        <v>4346</v>
      </c>
      <c r="J9531" t="s">
        <v>334</v>
      </c>
      <c r="K9531">
        <v>222.36</v>
      </c>
      <c r="L9531">
        <v>45.18</v>
      </c>
      <c r="M9531">
        <v>69702</v>
      </c>
      <c r="N9531" t="s">
        <v>124</v>
      </c>
      <c r="O9531">
        <v>250318</v>
      </c>
      <c r="P9531">
        <v>177.18</v>
      </c>
    </row>
    <row r="9532" spans="1:16" x14ac:dyDescent="0.25">
      <c r="A9532" t="s">
        <v>3296</v>
      </c>
      <c r="B9532" t="s">
        <v>2931</v>
      </c>
      <c r="C9532">
        <v>3317</v>
      </c>
      <c r="D9532" t="str">
        <f>"2124028464  "</f>
        <v xml:space="preserve">2124028464  </v>
      </c>
      <c r="E9532" t="s">
        <v>337</v>
      </c>
      <c r="F9532" t="s">
        <v>338</v>
      </c>
      <c r="G9532">
        <v>66.430000000000007</v>
      </c>
      <c r="H9532">
        <v>250227</v>
      </c>
      <c r="I9532">
        <v>4346</v>
      </c>
      <c r="J9532" t="s">
        <v>334</v>
      </c>
      <c r="K9532">
        <v>66.430000000000007</v>
      </c>
      <c r="L9532">
        <v>13.5</v>
      </c>
      <c r="M9532">
        <v>69703</v>
      </c>
      <c r="N9532" t="s">
        <v>88</v>
      </c>
      <c r="O9532">
        <v>250318</v>
      </c>
      <c r="P9532">
        <v>52.93</v>
      </c>
    </row>
    <row r="9533" spans="1:16" x14ac:dyDescent="0.25">
      <c r="A9533" t="s">
        <v>3296</v>
      </c>
      <c r="B9533" t="s">
        <v>2931</v>
      </c>
      <c r="C9533">
        <v>3353</v>
      </c>
      <c r="D9533" t="str">
        <f>"2124028465  "</f>
        <v xml:space="preserve">2124028465  </v>
      </c>
      <c r="E9533" t="s">
        <v>337</v>
      </c>
      <c r="F9533" t="s">
        <v>338</v>
      </c>
      <c r="G9533">
        <v>34.47</v>
      </c>
      <c r="H9533">
        <v>250227</v>
      </c>
      <c r="I9533">
        <v>4346</v>
      </c>
      <c r="J9533" t="s">
        <v>334</v>
      </c>
      <c r="K9533">
        <v>34.47</v>
      </c>
      <c r="L9533">
        <v>7</v>
      </c>
      <c r="M9533">
        <v>66756</v>
      </c>
      <c r="N9533" t="s">
        <v>120</v>
      </c>
      <c r="O9533">
        <v>250319</v>
      </c>
      <c r="P9533">
        <v>27.47</v>
      </c>
    </row>
    <row r="9534" spans="1:16" x14ac:dyDescent="0.25">
      <c r="A9534" t="s">
        <v>3296</v>
      </c>
      <c r="B9534" t="s">
        <v>2931</v>
      </c>
      <c r="C9534">
        <v>3354</v>
      </c>
      <c r="D9534" t="str">
        <f>"2124028468  "</f>
        <v xml:space="preserve">2124028468  </v>
      </c>
      <c r="E9534" t="s">
        <v>337</v>
      </c>
      <c r="F9534" t="s">
        <v>338</v>
      </c>
      <c r="G9534">
        <v>93.1</v>
      </c>
      <c r="H9534">
        <v>250227</v>
      </c>
      <c r="I9534">
        <v>4346</v>
      </c>
      <c r="J9534" t="s">
        <v>334</v>
      </c>
      <c r="K9534">
        <v>93.1</v>
      </c>
      <c r="L9534">
        <v>18.920000000000002</v>
      </c>
      <c r="M9534">
        <v>66722</v>
      </c>
      <c r="N9534" t="s">
        <v>118</v>
      </c>
      <c r="O9534">
        <v>250319</v>
      </c>
      <c r="P9534">
        <v>74.180000000000007</v>
      </c>
    </row>
    <row r="9535" spans="1:16" x14ac:dyDescent="0.25">
      <c r="A9535" t="s">
        <v>3296</v>
      </c>
      <c r="B9535" t="s">
        <v>2931</v>
      </c>
      <c r="C9535">
        <v>847</v>
      </c>
      <c r="D9535" t="str">
        <f>"2124025599  "</f>
        <v xml:space="preserve">2124025599  </v>
      </c>
      <c r="E9535" t="s">
        <v>337</v>
      </c>
      <c r="F9535" t="s">
        <v>338</v>
      </c>
      <c r="G9535">
        <v>61.61</v>
      </c>
      <c r="H9535">
        <v>250128</v>
      </c>
      <c r="I9535">
        <v>4347</v>
      </c>
      <c r="J9535" t="s">
        <v>328</v>
      </c>
      <c r="K9535">
        <v>61.61</v>
      </c>
      <c r="L9535">
        <v>12.52</v>
      </c>
      <c r="M9535">
        <v>16431</v>
      </c>
      <c r="N9535" t="s">
        <v>17</v>
      </c>
      <c r="O9535">
        <v>250129</v>
      </c>
      <c r="P9535">
        <v>49.09</v>
      </c>
    </row>
    <row r="9536" spans="1:16" x14ac:dyDescent="0.25">
      <c r="A9536" t="s">
        <v>3296</v>
      </c>
      <c r="B9536" t="s">
        <v>2931</v>
      </c>
      <c r="C9536">
        <v>886</v>
      </c>
      <c r="D9536" t="str">
        <f>"2124025597  "</f>
        <v xml:space="preserve">2124025597  </v>
      </c>
      <c r="E9536" t="s">
        <v>337</v>
      </c>
      <c r="F9536" t="s">
        <v>338</v>
      </c>
      <c r="G9536">
        <v>48.51</v>
      </c>
      <c r="H9536">
        <v>250128</v>
      </c>
      <c r="I9536">
        <v>4347</v>
      </c>
      <c r="J9536" t="s">
        <v>328</v>
      </c>
      <c r="K9536">
        <v>48.51</v>
      </c>
      <c r="L9536">
        <v>9.86</v>
      </c>
      <c r="M9536">
        <v>17802</v>
      </c>
      <c r="N9536" t="s">
        <v>18</v>
      </c>
      <c r="O9536">
        <v>250130</v>
      </c>
      <c r="P9536">
        <v>38.65</v>
      </c>
    </row>
    <row r="9537" spans="1:16" x14ac:dyDescent="0.25">
      <c r="A9537" t="s">
        <v>3296</v>
      </c>
      <c r="B9537" t="s">
        <v>2931</v>
      </c>
      <c r="C9537">
        <v>887</v>
      </c>
      <c r="D9537" t="str">
        <f>"2124025595  "</f>
        <v xml:space="preserve">2124025595  </v>
      </c>
      <c r="E9537" t="s">
        <v>337</v>
      </c>
      <c r="F9537" t="s">
        <v>338</v>
      </c>
      <c r="G9537">
        <v>32.880000000000003</v>
      </c>
      <c r="H9537">
        <v>250128</v>
      </c>
      <c r="I9537">
        <v>4347</v>
      </c>
      <c r="J9537" t="s">
        <v>328</v>
      </c>
      <c r="K9537">
        <v>32.880000000000003</v>
      </c>
      <c r="L9537">
        <v>6.68</v>
      </c>
      <c r="M9537">
        <v>17807</v>
      </c>
      <c r="N9537" t="s">
        <v>23</v>
      </c>
      <c r="O9537">
        <v>250130</v>
      </c>
      <c r="P9537">
        <v>26.2</v>
      </c>
    </row>
    <row r="9538" spans="1:16" x14ac:dyDescent="0.25">
      <c r="A9538" t="s">
        <v>3296</v>
      </c>
      <c r="B9538" t="s">
        <v>2931</v>
      </c>
      <c r="C9538">
        <v>888</v>
      </c>
      <c r="D9538" t="str">
        <f>"2124025588  "</f>
        <v xml:space="preserve">2124025588  </v>
      </c>
      <c r="E9538" t="s">
        <v>337</v>
      </c>
      <c r="F9538" t="s">
        <v>338</v>
      </c>
      <c r="G9538">
        <v>41.53</v>
      </c>
      <c r="H9538">
        <v>250128</v>
      </c>
      <c r="I9538">
        <v>4347</v>
      </c>
      <c r="J9538" t="s">
        <v>328</v>
      </c>
      <c r="K9538">
        <v>41.53</v>
      </c>
      <c r="L9538">
        <v>8.44</v>
      </c>
      <c r="M9538">
        <v>56524</v>
      </c>
      <c r="N9538" t="s">
        <v>69</v>
      </c>
      <c r="O9538">
        <v>250130</v>
      </c>
      <c r="P9538">
        <v>33.090000000000003</v>
      </c>
    </row>
    <row r="9539" spans="1:16" x14ac:dyDescent="0.25">
      <c r="A9539" t="s">
        <v>3296</v>
      </c>
      <c r="B9539" t="s">
        <v>2931</v>
      </c>
      <c r="C9539">
        <v>889</v>
      </c>
      <c r="D9539" t="str">
        <f>"2124025598  "</f>
        <v xml:space="preserve">2124025598  </v>
      </c>
      <c r="E9539" t="s">
        <v>337</v>
      </c>
      <c r="F9539" t="s">
        <v>338</v>
      </c>
      <c r="G9539">
        <v>21.36</v>
      </c>
      <c r="H9539">
        <v>250128</v>
      </c>
      <c r="I9539">
        <v>4347</v>
      </c>
      <c r="J9539" t="s">
        <v>328</v>
      </c>
      <c r="K9539">
        <v>21.36</v>
      </c>
      <c r="L9539">
        <v>4.34</v>
      </c>
      <c r="M9539">
        <v>17803</v>
      </c>
      <c r="N9539" t="s">
        <v>19</v>
      </c>
      <c r="O9539">
        <v>250130</v>
      </c>
      <c r="P9539">
        <v>17.02</v>
      </c>
    </row>
    <row r="9540" spans="1:16" x14ac:dyDescent="0.25">
      <c r="A9540" t="s">
        <v>3296</v>
      </c>
      <c r="B9540" t="s">
        <v>2931</v>
      </c>
      <c r="C9540">
        <v>890</v>
      </c>
      <c r="D9540" t="str">
        <f>"2124024802  "</f>
        <v xml:space="preserve">2124024802  </v>
      </c>
      <c r="E9540" t="s">
        <v>337</v>
      </c>
      <c r="F9540" t="s">
        <v>338</v>
      </c>
      <c r="G9540">
        <v>22.29</v>
      </c>
      <c r="H9540">
        <v>250128</v>
      </c>
      <c r="I9540">
        <v>4347</v>
      </c>
      <c r="J9540" t="s">
        <v>328</v>
      </c>
      <c r="K9540">
        <v>22.29</v>
      </c>
      <c r="L9540">
        <v>4.53</v>
      </c>
      <c r="M9540">
        <v>17522</v>
      </c>
      <c r="N9540" t="s">
        <v>137</v>
      </c>
      <c r="O9540">
        <v>250130</v>
      </c>
      <c r="P9540">
        <v>17.760000000000002</v>
      </c>
    </row>
    <row r="9541" spans="1:16" x14ac:dyDescent="0.25">
      <c r="A9541" t="s">
        <v>3296</v>
      </c>
      <c r="B9541" t="s">
        <v>2931</v>
      </c>
      <c r="C9541">
        <v>891</v>
      </c>
      <c r="D9541" t="str">
        <f>"2124025596  "</f>
        <v xml:space="preserve">2124025596  </v>
      </c>
      <c r="E9541" t="s">
        <v>337</v>
      </c>
      <c r="F9541" t="s">
        <v>338</v>
      </c>
      <c r="G9541">
        <v>29.51</v>
      </c>
      <c r="H9541">
        <v>250128</v>
      </c>
      <c r="I9541">
        <v>4347</v>
      </c>
      <c r="J9541" t="s">
        <v>328</v>
      </c>
      <c r="K9541">
        <v>29.51</v>
      </c>
      <c r="L9541">
        <v>6</v>
      </c>
      <c r="M9541">
        <v>16431</v>
      </c>
      <c r="N9541" t="s">
        <v>17</v>
      </c>
      <c r="O9541">
        <v>250130</v>
      </c>
      <c r="P9541">
        <v>23.51</v>
      </c>
    </row>
    <row r="9542" spans="1:16" x14ac:dyDescent="0.25">
      <c r="A9542" t="s">
        <v>3296</v>
      </c>
      <c r="B9542" t="s">
        <v>2931</v>
      </c>
      <c r="C9542">
        <v>893</v>
      </c>
      <c r="D9542" t="str">
        <f>"2124025591  "</f>
        <v xml:space="preserve">2124025591  </v>
      </c>
      <c r="E9542" t="s">
        <v>337</v>
      </c>
      <c r="F9542" t="s">
        <v>338</v>
      </c>
      <c r="G9542">
        <v>181.49</v>
      </c>
      <c r="H9542">
        <v>250128</v>
      </c>
      <c r="I9542">
        <v>4347</v>
      </c>
      <c r="J9542" t="s">
        <v>328</v>
      </c>
      <c r="K9542">
        <v>181.49</v>
      </c>
      <c r="L9542">
        <v>36.880000000000003</v>
      </c>
      <c r="M9542">
        <v>13401</v>
      </c>
      <c r="N9542" t="s">
        <v>10</v>
      </c>
      <c r="O9542">
        <v>250130</v>
      </c>
      <c r="P9542">
        <v>144.61000000000001</v>
      </c>
    </row>
    <row r="9543" spans="1:16" x14ac:dyDescent="0.25">
      <c r="A9543" t="s">
        <v>3296</v>
      </c>
      <c r="B9543" t="s">
        <v>2931</v>
      </c>
      <c r="C9543">
        <v>894</v>
      </c>
      <c r="D9543" t="str">
        <f>"2124025593  "</f>
        <v xml:space="preserve">2124025593  </v>
      </c>
      <c r="E9543" t="s">
        <v>337</v>
      </c>
      <c r="F9543" t="s">
        <v>338</v>
      </c>
      <c r="G9543">
        <v>87.79</v>
      </c>
      <c r="H9543">
        <v>250128</v>
      </c>
      <c r="I9543">
        <v>4347</v>
      </c>
      <c r="J9543" t="s">
        <v>328</v>
      </c>
      <c r="K9543">
        <v>87.79</v>
      </c>
      <c r="L9543">
        <v>17.84</v>
      </c>
      <c r="M9543">
        <v>16321</v>
      </c>
      <c r="N9543" t="s">
        <v>16</v>
      </c>
      <c r="O9543">
        <v>250130</v>
      </c>
      <c r="P9543">
        <v>69.95</v>
      </c>
    </row>
    <row r="9544" spans="1:16" x14ac:dyDescent="0.25">
      <c r="A9544" t="s">
        <v>3296</v>
      </c>
      <c r="B9544" t="s">
        <v>2931</v>
      </c>
      <c r="C9544">
        <v>1043</v>
      </c>
      <c r="D9544" t="str">
        <f>"2124025616  "</f>
        <v xml:space="preserve">2124025616  </v>
      </c>
      <c r="E9544" t="s">
        <v>337</v>
      </c>
      <c r="F9544" t="s">
        <v>338</v>
      </c>
      <c r="G9544">
        <v>42.38</v>
      </c>
      <c r="H9544">
        <v>250128</v>
      </c>
      <c r="I9544">
        <v>4347</v>
      </c>
      <c r="J9544" t="s">
        <v>328</v>
      </c>
      <c r="K9544">
        <v>42.38</v>
      </c>
      <c r="L9544">
        <v>8.61</v>
      </c>
      <c r="M9544">
        <v>59503</v>
      </c>
      <c r="N9544" t="s">
        <v>766</v>
      </c>
      <c r="O9544">
        <v>250203</v>
      </c>
      <c r="P9544">
        <v>33.770000000000003</v>
      </c>
    </row>
    <row r="9545" spans="1:16" x14ac:dyDescent="0.25">
      <c r="A9545" t="s">
        <v>3296</v>
      </c>
      <c r="B9545" t="s">
        <v>2931</v>
      </c>
      <c r="C9545">
        <v>1044</v>
      </c>
      <c r="D9545" t="str">
        <f>"2124025594  "</f>
        <v xml:space="preserve">2124025594  </v>
      </c>
      <c r="E9545" t="s">
        <v>337</v>
      </c>
      <c r="F9545" t="s">
        <v>338</v>
      </c>
      <c r="G9545">
        <v>16.829999999999998</v>
      </c>
      <c r="H9545">
        <v>250128</v>
      </c>
      <c r="I9545">
        <v>4347</v>
      </c>
      <c r="J9545" t="s">
        <v>328</v>
      </c>
      <c r="K9545">
        <v>33.659999999999997</v>
      </c>
      <c r="L9545">
        <v>3.42</v>
      </c>
      <c r="M9545">
        <v>17131</v>
      </c>
      <c r="N9545" t="s">
        <v>154</v>
      </c>
      <c r="O9545">
        <v>250203</v>
      </c>
      <c r="P9545">
        <v>13.41</v>
      </c>
    </row>
    <row r="9546" spans="1:16" x14ac:dyDescent="0.25">
      <c r="A9546" t="s">
        <v>3296</v>
      </c>
      <c r="B9546" t="s">
        <v>2931</v>
      </c>
      <c r="C9546">
        <v>1044</v>
      </c>
      <c r="D9546" t="str">
        <f>"2124025594  "</f>
        <v xml:space="preserve">2124025594  </v>
      </c>
      <c r="E9546" t="s">
        <v>337</v>
      </c>
      <c r="F9546" t="s">
        <v>338</v>
      </c>
      <c r="G9546">
        <v>16.829999999999998</v>
      </c>
      <c r="H9546">
        <v>250128</v>
      </c>
      <c r="I9546">
        <v>4347</v>
      </c>
      <c r="J9546" t="s">
        <v>328</v>
      </c>
      <c r="K9546">
        <v>33.659999999999997</v>
      </c>
      <c r="L9546">
        <v>3.42</v>
      </c>
      <c r="M9546">
        <v>17711</v>
      </c>
      <c r="N9546" t="s">
        <v>155</v>
      </c>
      <c r="O9546">
        <v>250203</v>
      </c>
      <c r="P9546">
        <v>13.41</v>
      </c>
    </row>
    <row r="9547" spans="1:16" x14ac:dyDescent="0.25">
      <c r="A9547" t="s">
        <v>3296</v>
      </c>
      <c r="B9547" t="s">
        <v>2931</v>
      </c>
      <c r="C9547">
        <v>1133</v>
      </c>
      <c r="D9547" t="str">
        <f>"2124024924  "</f>
        <v xml:space="preserve">2124024924  </v>
      </c>
      <c r="E9547" t="s">
        <v>337</v>
      </c>
      <c r="F9547" t="s">
        <v>338</v>
      </c>
      <c r="G9547">
        <v>89.98</v>
      </c>
      <c r="H9547">
        <v>250128</v>
      </c>
      <c r="I9547">
        <v>4347</v>
      </c>
      <c r="J9547" t="s">
        <v>328</v>
      </c>
      <c r="K9547">
        <v>89.98</v>
      </c>
      <c r="L9547">
        <v>18.28</v>
      </c>
      <c r="M9547">
        <v>14972</v>
      </c>
      <c r="N9547" t="s">
        <v>82</v>
      </c>
      <c r="O9547">
        <v>250204</v>
      </c>
      <c r="P9547">
        <v>71.7</v>
      </c>
    </row>
    <row r="9548" spans="1:16" x14ac:dyDescent="0.25">
      <c r="A9548" t="s">
        <v>3296</v>
      </c>
      <c r="B9548" t="s">
        <v>2931</v>
      </c>
      <c r="C9548">
        <v>1134</v>
      </c>
      <c r="D9548" t="str">
        <f>"2124024923  "</f>
        <v xml:space="preserve">2124024923  </v>
      </c>
      <c r="E9548" t="s">
        <v>337</v>
      </c>
      <c r="F9548" t="s">
        <v>338</v>
      </c>
      <c r="G9548">
        <v>232.6</v>
      </c>
      <c r="H9548">
        <v>250128</v>
      </c>
      <c r="I9548">
        <v>4347</v>
      </c>
      <c r="J9548" t="s">
        <v>328</v>
      </c>
      <c r="K9548">
        <v>232.6</v>
      </c>
      <c r="L9548">
        <v>47.26</v>
      </c>
      <c r="M9548">
        <v>14972</v>
      </c>
      <c r="N9548" t="s">
        <v>82</v>
      </c>
      <c r="O9548">
        <v>250204</v>
      </c>
      <c r="P9548">
        <v>185.34</v>
      </c>
    </row>
    <row r="9549" spans="1:16" x14ac:dyDescent="0.25">
      <c r="A9549" t="s">
        <v>3296</v>
      </c>
      <c r="B9549" t="s">
        <v>2931</v>
      </c>
      <c r="C9549">
        <v>1653</v>
      </c>
      <c r="D9549" t="str">
        <f>"2124027114  "</f>
        <v xml:space="preserve">2124027114  </v>
      </c>
      <c r="E9549" t="s">
        <v>337</v>
      </c>
      <c r="F9549" t="s">
        <v>338</v>
      </c>
      <c r="G9549">
        <v>199.55</v>
      </c>
      <c r="H9549">
        <v>250131</v>
      </c>
      <c r="I9549">
        <v>4347</v>
      </c>
      <c r="J9549" t="s">
        <v>328</v>
      </c>
      <c r="K9549">
        <v>199.55</v>
      </c>
      <c r="L9549">
        <v>40.549999999999997</v>
      </c>
      <c r="M9549">
        <v>17522</v>
      </c>
      <c r="N9549" t="s">
        <v>137</v>
      </c>
      <c r="O9549">
        <v>250212</v>
      </c>
      <c r="P9549">
        <v>159</v>
      </c>
    </row>
    <row r="9550" spans="1:16" x14ac:dyDescent="0.25">
      <c r="A9550" t="s">
        <v>3296</v>
      </c>
      <c r="B9550" t="s">
        <v>2931</v>
      </c>
      <c r="C9550">
        <v>2003</v>
      </c>
      <c r="D9550" t="str">
        <f>"2124025306  "</f>
        <v xml:space="preserve">2124025306  </v>
      </c>
      <c r="E9550" t="s">
        <v>337</v>
      </c>
      <c r="F9550" t="s">
        <v>338</v>
      </c>
      <c r="G9550">
        <v>88.7</v>
      </c>
      <c r="H9550">
        <v>250128</v>
      </c>
      <c r="I9550">
        <v>4347</v>
      </c>
      <c r="J9550" t="s">
        <v>328</v>
      </c>
      <c r="K9550">
        <v>88.7</v>
      </c>
      <c r="L9550">
        <v>18.02</v>
      </c>
      <c r="M9550">
        <v>17530</v>
      </c>
      <c r="N9550" t="s">
        <v>144</v>
      </c>
      <c r="O9550">
        <v>250218</v>
      </c>
      <c r="P9550">
        <v>70.680000000000007</v>
      </c>
    </row>
    <row r="9551" spans="1:16" x14ac:dyDescent="0.25">
      <c r="A9551" t="s">
        <v>3296</v>
      </c>
      <c r="B9551" t="s">
        <v>2931</v>
      </c>
      <c r="C9551">
        <v>2004</v>
      </c>
      <c r="D9551" t="str">
        <f>"2124027144  "</f>
        <v xml:space="preserve">2124027144  </v>
      </c>
      <c r="E9551" t="s">
        <v>337</v>
      </c>
      <c r="F9551" t="s">
        <v>338</v>
      </c>
      <c r="G9551">
        <v>199.55</v>
      </c>
      <c r="H9551">
        <v>250131</v>
      </c>
      <c r="I9551">
        <v>4347</v>
      </c>
      <c r="J9551" t="s">
        <v>328</v>
      </c>
      <c r="K9551">
        <v>199.55</v>
      </c>
      <c r="L9551">
        <v>40.549999999999997</v>
      </c>
      <c r="M9551">
        <v>17974</v>
      </c>
      <c r="N9551" t="s">
        <v>153</v>
      </c>
      <c r="O9551">
        <v>250218</v>
      </c>
      <c r="P9551">
        <v>159</v>
      </c>
    </row>
    <row r="9552" spans="1:16" x14ac:dyDescent="0.25">
      <c r="A9552" t="s">
        <v>3296</v>
      </c>
      <c r="B9552" t="s">
        <v>2931</v>
      </c>
      <c r="C9552">
        <v>2479</v>
      </c>
      <c r="D9552" t="str">
        <f>"2124028660  "</f>
        <v xml:space="preserve">2124028660  </v>
      </c>
      <c r="E9552" t="s">
        <v>337</v>
      </c>
      <c r="F9552" t="s">
        <v>338</v>
      </c>
      <c r="G9552">
        <v>98.07</v>
      </c>
      <c r="H9552">
        <v>250227</v>
      </c>
      <c r="I9552">
        <v>4347</v>
      </c>
      <c r="J9552" t="s">
        <v>328</v>
      </c>
      <c r="K9552">
        <v>98.07</v>
      </c>
      <c r="L9552">
        <v>19.93</v>
      </c>
      <c r="M9552">
        <v>44222</v>
      </c>
      <c r="N9552" t="s">
        <v>96</v>
      </c>
      <c r="O9552">
        <v>250228</v>
      </c>
      <c r="P9552">
        <v>78.14</v>
      </c>
    </row>
    <row r="9553" spans="1:16" x14ac:dyDescent="0.25">
      <c r="A9553" t="s">
        <v>3296</v>
      </c>
      <c r="B9553" t="s">
        <v>2931</v>
      </c>
      <c r="C9553">
        <v>2480</v>
      </c>
      <c r="D9553" t="str">
        <f>"2124028608  "</f>
        <v xml:space="preserve">2124028608  </v>
      </c>
      <c r="E9553" t="s">
        <v>337</v>
      </c>
      <c r="F9553" t="s">
        <v>338</v>
      </c>
      <c r="G9553">
        <v>110.89</v>
      </c>
      <c r="H9553">
        <v>250227</v>
      </c>
      <c r="I9553">
        <v>4347</v>
      </c>
      <c r="J9553" t="s">
        <v>328</v>
      </c>
      <c r="K9553">
        <v>110.89</v>
      </c>
      <c r="L9553">
        <v>22.53</v>
      </c>
      <c r="M9553">
        <v>48601</v>
      </c>
      <c r="N9553" t="s">
        <v>107</v>
      </c>
      <c r="O9553">
        <v>250228</v>
      </c>
      <c r="P9553">
        <v>88.36</v>
      </c>
    </row>
    <row r="9554" spans="1:16" x14ac:dyDescent="0.25">
      <c r="A9554" t="s">
        <v>3296</v>
      </c>
      <c r="B9554" t="s">
        <v>2931</v>
      </c>
      <c r="C9554">
        <v>2481</v>
      </c>
      <c r="D9554" t="str">
        <f>"2124028576  "</f>
        <v xml:space="preserve">2124028576  </v>
      </c>
      <c r="E9554" t="s">
        <v>337</v>
      </c>
      <c r="F9554" t="s">
        <v>338</v>
      </c>
      <c r="G9554">
        <v>111.44</v>
      </c>
      <c r="H9554">
        <v>250227</v>
      </c>
      <c r="I9554">
        <v>4347</v>
      </c>
      <c r="J9554" t="s">
        <v>328</v>
      </c>
      <c r="K9554">
        <v>111.44</v>
      </c>
      <c r="L9554">
        <v>22.64</v>
      </c>
      <c r="M9554">
        <v>49701</v>
      </c>
      <c r="N9554" t="s">
        <v>111</v>
      </c>
      <c r="O9554">
        <v>250228</v>
      </c>
      <c r="P9554">
        <v>88.8</v>
      </c>
    </row>
    <row r="9555" spans="1:16" x14ac:dyDescent="0.25">
      <c r="A9555" t="s">
        <v>3296</v>
      </c>
      <c r="B9555" t="s">
        <v>2931</v>
      </c>
      <c r="C9555">
        <v>2488</v>
      </c>
      <c r="D9555" t="str">
        <f>"2124028659  "</f>
        <v xml:space="preserve">2124028659  </v>
      </c>
      <c r="E9555" t="s">
        <v>337</v>
      </c>
      <c r="F9555" t="s">
        <v>338</v>
      </c>
      <c r="G9555">
        <v>56.12</v>
      </c>
      <c r="H9555">
        <v>250227</v>
      </c>
      <c r="I9555">
        <v>4347</v>
      </c>
      <c r="J9555" t="s">
        <v>328</v>
      </c>
      <c r="K9555">
        <v>56.12</v>
      </c>
      <c r="L9555">
        <v>11.4</v>
      </c>
      <c r="M9555">
        <v>46555</v>
      </c>
      <c r="N9555" t="s">
        <v>103</v>
      </c>
      <c r="O9555">
        <v>250228</v>
      </c>
      <c r="P9555">
        <v>44.72</v>
      </c>
    </row>
    <row r="9556" spans="1:16" x14ac:dyDescent="0.25">
      <c r="A9556" t="s">
        <v>3296</v>
      </c>
      <c r="B9556" t="s">
        <v>2931</v>
      </c>
      <c r="C9556">
        <v>2489</v>
      </c>
      <c r="D9556" t="str">
        <f>"2124028658  "</f>
        <v xml:space="preserve">2124028658  </v>
      </c>
      <c r="E9556" t="s">
        <v>337</v>
      </c>
      <c r="F9556" t="s">
        <v>338</v>
      </c>
      <c r="G9556">
        <v>22.44</v>
      </c>
      <c r="H9556">
        <v>250227</v>
      </c>
      <c r="I9556">
        <v>4347</v>
      </c>
      <c r="J9556" t="s">
        <v>328</v>
      </c>
      <c r="K9556">
        <v>22.44</v>
      </c>
      <c r="L9556">
        <v>4.5599999999999996</v>
      </c>
      <c r="M9556">
        <v>44424</v>
      </c>
      <c r="N9556" t="s">
        <v>99</v>
      </c>
      <c r="O9556">
        <v>250228</v>
      </c>
      <c r="P9556">
        <v>17.88</v>
      </c>
    </row>
    <row r="9557" spans="1:16" x14ac:dyDescent="0.25">
      <c r="A9557" t="s">
        <v>3296</v>
      </c>
      <c r="B9557" t="s">
        <v>2931</v>
      </c>
      <c r="C9557">
        <v>2490</v>
      </c>
      <c r="D9557" t="str">
        <f>"2124029254  "</f>
        <v xml:space="preserve">2124029254  </v>
      </c>
      <c r="E9557" t="s">
        <v>337</v>
      </c>
      <c r="F9557" t="s">
        <v>338</v>
      </c>
      <c r="G9557">
        <v>75.11</v>
      </c>
      <c r="H9557">
        <v>250227</v>
      </c>
      <c r="I9557">
        <v>4347</v>
      </c>
      <c r="J9557" t="s">
        <v>328</v>
      </c>
      <c r="K9557">
        <v>75.11</v>
      </c>
      <c r="L9557">
        <v>15.26</v>
      </c>
      <c r="M9557">
        <v>43222</v>
      </c>
      <c r="N9557" t="s">
        <v>95</v>
      </c>
      <c r="O9557">
        <v>250228</v>
      </c>
      <c r="P9557">
        <v>59.85</v>
      </c>
    </row>
    <row r="9558" spans="1:16" x14ac:dyDescent="0.25">
      <c r="A9558" t="s">
        <v>3296</v>
      </c>
      <c r="B9558" t="s">
        <v>2931</v>
      </c>
      <c r="C9558">
        <v>2491</v>
      </c>
      <c r="D9558" t="str">
        <f>"2124028657  "</f>
        <v xml:space="preserve">2124028657  </v>
      </c>
      <c r="E9558" t="s">
        <v>337</v>
      </c>
      <c r="F9558" t="s">
        <v>338</v>
      </c>
      <c r="G9558">
        <v>65.180000000000007</v>
      </c>
      <c r="H9558">
        <v>250227</v>
      </c>
      <c r="I9558">
        <v>4347</v>
      </c>
      <c r="J9558" t="s">
        <v>328</v>
      </c>
      <c r="K9558">
        <v>65.180000000000007</v>
      </c>
      <c r="L9558">
        <v>13.24</v>
      </c>
      <c r="M9558">
        <v>46559</v>
      </c>
      <c r="N9558" t="s">
        <v>105</v>
      </c>
      <c r="O9558">
        <v>250228</v>
      </c>
      <c r="P9558">
        <v>51.94</v>
      </c>
    </row>
    <row r="9559" spans="1:16" x14ac:dyDescent="0.25">
      <c r="A9559" t="s">
        <v>3296</v>
      </c>
      <c r="B9559" t="s">
        <v>2931</v>
      </c>
      <c r="C9559">
        <v>2492</v>
      </c>
      <c r="D9559" t="str">
        <f>"2124028656  "</f>
        <v xml:space="preserve">2124028656  </v>
      </c>
      <c r="E9559" t="s">
        <v>337</v>
      </c>
      <c r="F9559" t="s">
        <v>338</v>
      </c>
      <c r="G9559">
        <v>221.93</v>
      </c>
      <c r="H9559">
        <v>250227</v>
      </c>
      <c r="I9559">
        <v>4347</v>
      </c>
      <c r="J9559" t="s">
        <v>328</v>
      </c>
      <c r="K9559">
        <v>221.93</v>
      </c>
      <c r="L9559">
        <v>45.09</v>
      </c>
      <c r="M9559">
        <v>44424</v>
      </c>
      <c r="N9559" t="s">
        <v>99</v>
      </c>
      <c r="O9559">
        <v>250228</v>
      </c>
      <c r="P9559">
        <v>176.84</v>
      </c>
    </row>
    <row r="9560" spans="1:16" x14ac:dyDescent="0.25">
      <c r="A9560" t="s">
        <v>3296</v>
      </c>
      <c r="B9560" t="s">
        <v>2931</v>
      </c>
      <c r="C9560">
        <v>2497</v>
      </c>
      <c r="D9560" t="str">
        <f>"2124028588  "</f>
        <v xml:space="preserve">2124028588  </v>
      </c>
      <c r="E9560" t="s">
        <v>337</v>
      </c>
      <c r="F9560" t="s">
        <v>338</v>
      </c>
      <c r="G9560">
        <v>92.04</v>
      </c>
      <c r="H9560">
        <v>250227</v>
      </c>
      <c r="I9560">
        <v>4347</v>
      </c>
      <c r="J9560" t="s">
        <v>328</v>
      </c>
      <c r="K9560">
        <v>92.04</v>
      </c>
      <c r="L9560">
        <v>18.7</v>
      </c>
      <c r="M9560">
        <v>11501</v>
      </c>
      <c r="N9560" t="s">
        <v>13</v>
      </c>
      <c r="O9560">
        <v>250228</v>
      </c>
      <c r="P9560">
        <v>73.34</v>
      </c>
    </row>
    <row r="9561" spans="1:16" x14ac:dyDescent="0.25">
      <c r="A9561" t="s">
        <v>3296</v>
      </c>
      <c r="B9561" t="s">
        <v>2931</v>
      </c>
      <c r="C9561">
        <v>2955</v>
      </c>
      <c r="D9561" t="str">
        <f>"2124028894  "</f>
        <v xml:space="preserve">2124028894  </v>
      </c>
      <c r="E9561" t="s">
        <v>337</v>
      </c>
      <c r="F9561" t="s">
        <v>338</v>
      </c>
      <c r="G9561">
        <v>38.26</v>
      </c>
      <c r="H9561">
        <v>250227</v>
      </c>
      <c r="I9561">
        <v>4347</v>
      </c>
      <c r="J9561" t="s">
        <v>328</v>
      </c>
      <c r="K9561">
        <v>38.26</v>
      </c>
      <c r="L9561">
        <v>7.77</v>
      </c>
      <c r="M9561">
        <v>56560</v>
      </c>
      <c r="N9561" t="s">
        <v>52</v>
      </c>
      <c r="O9561">
        <v>250313</v>
      </c>
      <c r="P9561">
        <v>30.49</v>
      </c>
    </row>
    <row r="9562" spans="1:16" x14ac:dyDescent="0.25">
      <c r="A9562" t="s">
        <v>3296</v>
      </c>
      <c r="B9562" t="s">
        <v>2931</v>
      </c>
      <c r="C9562">
        <v>2956</v>
      </c>
      <c r="D9562" t="str">
        <f>"2124028664  "</f>
        <v xml:space="preserve">2124028664  </v>
      </c>
      <c r="E9562" t="s">
        <v>337</v>
      </c>
      <c r="F9562" t="s">
        <v>338</v>
      </c>
      <c r="G9562">
        <v>45.62</v>
      </c>
      <c r="H9562">
        <v>250227</v>
      </c>
      <c r="I9562">
        <v>4347</v>
      </c>
      <c r="J9562" t="s">
        <v>328</v>
      </c>
      <c r="K9562">
        <v>45.62</v>
      </c>
      <c r="L9562">
        <v>9.27</v>
      </c>
      <c r="M9562">
        <v>56524</v>
      </c>
      <c r="N9562" t="s">
        <v>69</v>
      </c>
      <c r="O9562">
        <v>250313</v>
      </c>
      <c r="P9562">
        <v>36.35</v>
      </c>
    </row>
    <row r="9563" spans="1:16" x14ac:dyDescent="0.25">
      <c r="A9563" t="s">
        <v>3296</v>
      </c>
      <c r="B9563" t="s">
        <v>2931</v>
      </c>
      <c r="C9563">
        <v>2958</v>
      </c>
      <c r="D9563" t="str">
        <f>"2124028654  "</f>
        <v xml:space="preserve">2124028654  </v>
      </c>
      <c r="E9563" t="s">
        <v>337</v>
      </c>
      <c r="F9563" t="s">
        <v>338</v>
      </c>
      <c r="G9563">
        <v>96.06</v>
      </c>
      <c r="H9563">
        <v>250227</v>
      </c>
      <c r="I9563">
        <v>4347</v>
      </c>
      <c r="J9563" t="s">
        <v>328</v>
      </c>
      <c r="K9563">
        <v>96.06</v>
      </c>
      <c r="L9563">
        <v>19.52</v>
      </c>
      <c r="M9563">
        <v>44222</v>
      </c>
      <c r="N9563" t="s">
        <v>96</v>
      </c>
      <c r="O9563">
        <v>250313</v>
      </c>
      <c r="P9563">
        <v>76.540000000000006</v>
      </c>
    </row>
    <row r="9564" spans="1:16" x14ac:dyDescent="0.25">
      <c r="A9564" t="s">
        <v>3296</v>
      </c>
      <c r="B9564" t="s">
        <v>2931</v>
      </c>
      <c r="C9564">
        <v>2960</v>
      </c>
      <c r="D9564" t="str">
        <f>"2124028665  "</f>
        <v xml:space="preserve">2124028665  </v>
      </c>
      <c r="E9564" t="s">
        <v>337</v>
      </c>
      <c r="F9564" t="s">
        <v>338</v>
      </c>
      <c r="G9564">
        <v>23.95</v>
      </c>
      <c r="H9564">
        <v>250227</v>
      </c>
      <c r="I9564">
        <v>4347</v>
      </c>
      <c r="J9564" t="s">
        <v>328</v>
      </c>
      <c r="K9564">
        <v>23.95</v>
      </c>
      <c r="L9564">
        <v>4.87</v>
      </c>
      <c r="M9564">
        <v>56558</v>
      </c>
      <c r="N9564" t="s">
        <v>50</v>
      </c>
      <c r="O9564">
        <v>250313</v>
      </c>
      <c r="P9564">
        <v>19.079999999999998</v>
      </c>
    </row>
    <row r="9565" spans="1:16" x14ac:dyDescent="0.25">
      <c r="A9565" t="s">
        <v>3296</v>
      </c>
      <c r="B9565" t="s">
        <v>2931</v>
      </c>
      <c r="C9565">
        <v>2961</v>
      </c>
      <c r="D9565" t="str">
        <f>"2124028662  "</f>
        <v xml:space="preserve">2124028662  </v>
      </c>
      <c r="E9565" t="s">
        <v>337</v>
      </c>
      <c r="F9565" t="s">
        <v>338</v>
      </c>
      <c r="G9565">
        <v>65.099999999999994</v>
      </c>
      <c r="H9565">
        <v>250227</v>
      </c>
      <c r="I9565">
        <v>4347</v>
      </c>
      <c r="J9565" t="s">
        <v>328</v>
      </c>
      <c r="K9565">
        <v>65.099999999999994</v>
      </c>
      <c r="L9565">
        <v>13.23</v>
      </c>
      <c r="M9565">
        <v>56559</v>
      </c>
      <c r="N9565" t="s">
        <v>51</v>
      </c>
      <c r="O9565">
        <v>250313</v>
      </c>
      <c r="P9565">
        <v>51.87</v>
      </c>
    </row>
    <row r="9566" spans="1:16" x14ac:dyDescent="0.25">
      <c r="A9566" t="s">
        <v>3296</v>
      </c>
      <c r="B9566" t="s">
        <v>2931</v>
      </c>
      <c r="C9566">
        <v>2962</v>
      </c>
      <c r="D9566" t="str">
        <f>"2124029316  "</f>
        <v xml:space="preserve">2124029316  </v>
      </c>
      <c r="E9566" t="s">
        <v>337</v>
      </c>
      <c r="F9566" t="s">
        <v>338</v>
      </c>
      <c r="G9566">
        <v>6.66</v>
      </c>
      <c r="H9566">
        <v>250227</v>
      </c>
      <c r="I9566">
        <v>4347</v>
      </c>
      <c r="J9566" t="s">
        <v>328</v>
      </c>
      <c r="K9566">
        <v>6.66</v>
      </c>
      <c r="L9566">
        <v>1.35</v>
      </c>
      <c r="M9566">
        <v>46556</v>
      </c>
      <c r="N9566" t="s">
        <v>458</v>
      </c>
      <c r="O9566">
        <v>250313</v>
      </c>
      <c r="P9566">
        <v>5.31</v>
      </c>
    </row>
    <row r="9567" spans="1:16" x14ac:dyDescent="0.25">
      <c r="A9567" t="s">
        <v>3296</v>
      </c>
      <c r="B9567" t="s">
        <v>2931</v>
      </c>
      <c r="C9567">
        <v>2963</v>
      </c>
      <c r="D9567" t="str">
        <f>"2124028543  "</f>
        <v xml:space="preserve">2124028543  </v>
      </c>
      <c r="E9567" t="s">
        <v>337</v>
      </c>
      <c r="F9567" t="s">
        <v>338</v>
      </c>
      <c r="G9567">
        <v>40.619999999999997</v>
      </c>
      <c r="H9567">
        <v>250227</v>
      </c>
      <c r="I9567">
        <v>4347</v>
      </c>
      <c r="J9567" t="s">
        <v>328</v>
      </c>
      <c r="K9567">
        <v>81.239999999999995</v>
      </c>
      <c r="L9567">
        <v>8.25</v>
      </c>
      <c r="M9567">
        <v>17131</v>
      </c>
      <c r="N9567" t="s">
        <v>154</v>
      </c>
      <c r="O9567">
        <v>250313</v>
      </c>
      <c r="P9567">
        <v>32.369999999999997</v>
      </c>
    </row>
    <row r="9568" spans="1:16" x14ac:dyDescent="0.25">
      <c r="A9568" t="s">
        <v>3296</v>
      </c>
      <c r="B9568" t="s">
        <v>2931</v>
      </c>
      <c r="C9568">
        <v>2963</v>
      </c>
      <c r="D9568" t="str">
        <f>"2124028543  "</f>
        <v xml:space="preserve">2124028543  </v>
      </c>
      <c r="E9568" t="s">
        <v>337</v>
      </c>
      <c r="F9568" t="s">
        <v>338</v>
      </c>
      <c r="G9568">
        <v>40.619999999999997</v>
      </c>
      <c r="H9568">
        <v>250227</v>
      </c>
      <c r="I9568">
        <v>4347</v>
      </c>
      <c r="J9568" t="s">
        <v>328</v>
      </c>
      <c r="K9568">
        <v>81.239999999999995</v>
      </c>
      <c r="L9568">
        <v>8.25</v>
      </c>
      <c r="M9568">
        <v>17711</v>
      </c>
      <c r="N9568" t="s">
        <v>155</v>
      </c>
      <c r="O9568">
        <v>250313</v>
      </c>
      <c r="P9568">
        <v>32.369999999999997</v>
      </c>
    </row>
    <row r="9569" spans="1:16" x14ac:dyDescent="0.25">
      <c r="A9569" t="s">
        <v>3296</v>
      </c>
      <c r="B9569" t="s">
        <v>2931</v>
      </c>
      <c r="C9569">
        <v>2964</v>
      </c>
      <c r="D9569" t="str">
        <f>"2124028663  "</f>
        <v xml:space="preserve">2124028663  </v>
      </c>
      <c r="E9569" t="s">
        <v>337</v>
      </c>
      <c r="F9569" t="s">
        <v>338</v>
      </c>
      <c r="G9569">
        <v>25.41</v>
      </c>
      <c r="H9569">
        <v>250227</v>
      </c>
      <c r="I9569">
        <v>4347</v>
      </c>
      <c r="J9569" t="s">
        <v>328</v>
      </c>
      <c r="K9569">
        <v>25.41</v>
      </c>
      <c r="L9569">
        <v>5.16</v>
      </c>
      <c r="M9569">
        <v>56558</v>
      </c>
      <c r="N9569" t="s">
        <v>50</v>
      </c>
      <c r="O9569">
        <v>250313</v>
      </c>
      <c r="P9569">
        <v>20.25</v>
      </c>
    </row>
    <row r="9570" spans="1:16" x14ac:dyDescent="0.25">
      <c r="A9570" t="s">
        <v>3296</v>
      </c>
      <c r="B9570" t="s">
        <v>2931</v>
      </c>
      <c r="C9570">
        <v>2965</v>
      </c>
      <c r="D9570" t="str">
        <f>"2124028842  "</f>
        <v xml:space="preserve">2124028842  </v>
      </c>
      <c r="E9570" t="s">
        <v>337</v>
      </c>
      <c r="F9570" t="s">
        <v>338</v>
      </c>
      <c r="G9570">
        <v>42.06</v>
      </c>
      <c r="H9570">
        <v>250227</v>
      </c>
      <c r="I9570">
        <v>4347</v>
      </c>
      <c r="J9570" t="s">
        <v>328</v>
      </c>
      <c r="K9570">
        <v>42.06</v>
      </c>
      <c r="L9570">
        <v>8.5500000000000007</v>
      </c>
      <c r="M9570">
        <v>56522</v>
      </c>
      <c r="N9570" t="s">
        <v>68</v>
      </c>
      <c r="O9570">
        <v>250313</v>
      </c>
      <c r="P9570">
        <v>33.51</v>
      </c>
    </row>
    <row r="9571" spans="1:16" x14ac:dyDescent="0.25">
      <c r="A9571" t="s">
        <v>3296</v>
      </c>
      <c r="B9571" t="s">
        <v>2931</v>
      </c>
      <c r="C9571">
        <v>2966</v>
      </c>
      <c r="D9571" t="str">
        <f>"2124028893  "</f>
        <v xml:space="preserve">2124028893  </v>
      </c>
      <c r="E9571" t="s">
        <v>337</v>
      </c>
      <c r="F9571" t="s">
        <v>338</v>
      </c>
      <c r="G9571">
        <v>101.53</v>
      </c>
      <c r="H9571">
        <v>250227</v>
      </c>
      <c r="I9571">
        <v>4347</v>
      </c>
      <c r="J9571" t="s">
        <v>328</v>
      </c>
      <c r="K9571">
        <v>101.53</v>
      </c>
      <c r="L9571">
        <v>20.63</v>
      </c>
      <c r="M9571">
        <v>59504</v>
      </c>
      <c r="N9571" t="s">
        <v>193</v>
      </c>
      <c r="O9571">
        <v>250313</v>
      </c>
      <c r="P9571">
        <v>80.900000000000006</v>
      </c>
    </row>
    <row r="9572" spans="1:16" x14ac:dyDescent="0.25">
      <c r="A9572" t="s">
        <v>3296</v>
      </c>
      <c r="B9572" t="s">
        <v>2931</v>
      </c>
      <c r="C9572">
        <v>2967</v>
      </c>
      <c r="D9572" t="str">
        <f>"2124028546  "</f>
        <v xml:space="preserve">2124028546  </v>
      </c>
      <c r="E9572" t="s">
        <v>337</v>
      </c>
      <c r="F9572" t="s">
        <v>338</v>
      </c>
      <c r="G9572">
        <v>78.94</v>
      </c>
      <c r="H9572">
        <v>250227</v>
      </c>
      <c r="I9572">
        <v>4347</v>
      </c>
      <c r="J9572" t="s">
        <v>328</v>
      </c>
      <c r="K9572">
        <v>78.94</v>
      </c>
      <c r="L9572">
        <v>16.04</v>
      </c>
      <c r="M9572">
        <v>13601</v>
      </c>
      <c r="N9572" t="s">
        <v>115</v>
      </c>
      <c r="O9572">
        <v>250313</v>
      </c>
      <c r="P9572">
        <v>62.9</v>
      </c>
    </row>
    <row r="9573" spans="1:16" x14ac:dyDescent="0.25">
      <c r="A9573" t="s">
        <v>3296</v>
      </c>
      <c r="B9573" t="s">
        <v>2931</v>
      </c>
      <c r="C9573">
        <v>2968</v>
      </c>
      <c r="D9573" t="str">
        <f>"2124028891  "</f>
        <v xml:space="preserve">2124028891  </v>
      </c>
      <c r="E9573" t="s">
        <v>337</v>
      </c>
      <c r="F9573" t="s">
        <v>338</v>
      </c>
      <c r="G9573">
        <v>118.5</v>
      </c>
      <c r="H9573">
        <v>250227</v>
      </c>
      <c r="I9573">
        <v>4347</v>
      </c>
      <c r="J9573" t="s">
        <v>328</v>
      </c>
      <c r="K9573">
        <v>118.5</v>
      </c>
      <c r="L9573">
        <v>24.08</v>
      </c>
      <c r="M9573">
        <v>14321</v>
      </c>
      <c r="N9573" t="s">
        <v>72</v>
      </c>
      <c r="O9573">
        <v>250313</v>
      </c>
      <c r="P9573">
        <v>94.42</v>
      </c>
    </row>
    <row r="9574" spans="1:16" x14ac:dyDescent="0.25">
      <c r="A9574" t="s">
        <v>3296</v>
      </c>
      <c r="B9574" t="s">
        <v>2931</v>
      </c>
      <c r="C9574">
        <v>2969</v>
      </c>
      <c r="D9574" t="str">
        <f>"2124028541  "</f>
        <v xml:space="preserve">2124028541  </v>
      </c>
      <c r="E9574" t="s">
        <v>337</v>
      </c>
      <c r="F9574" t="s">
        <v>338</v>
      </c>
      <c r="G9574">
        <v>82.93</v>
      </c>
      <c r="H9574">
        <v>250227</v>
      </c>
      <c r="I9574">
        <v>4347</v>
      </c>
      <c r="J9574" t="s">
        <v>328</v>
      </c>
      <c r="K9574">
        <v>82.93</v>
      </c>
      <c r="L9574">
        <v>16.850000000000001</v>
      </c>
      <c r="M9574">
        <v>17808</v>
      </c>
      <c r="N9574" t="s">
        <v>24</v>
      </c>
      <c r="O9574">
        <v>250313</v>
      </c>
      <c r="P9574">
        <v>66.08</v>
      </c>
    </row>
    <row r="9575" spans="1:16" x14ac:dyDescent="0.25">
      <c r="A9575" t="s">
        <v>3296</v>
      </c>
      <c r="B9575" t="s">
        <v>2931</v>
      </c>
      <c r="C9575">
        <v>2970</v>
      </c>
      <c r="D9575" t="str">
        <f>"2124028540  "</f>
        <v xml:space="preserve">2124028540  </v>
      </c>
      <c r="E9575" t="s">
        <v>337</v>
      </c>
      <c r="F9575" t="s">
        <v>338</v>
      </c>
      <c r="G9575">
        <v>41.24</v>
      </c>
      <c r="H9575">
        <v>250227</v>
      </c>
      <c r="I9575">
        <v>4347</v>
      </c>
      <c r="J9575" t="s">
        <v>328</v>
      </c>
      <c r="K9575">
        <v>41.24</v>
      </c>
      <c r="L9575">
        <v>8.3800000000000008</v>
      </c>
      <c r="M9575">
        <v>17971</v>
      </c>
      <c r="N9575" t="s">
        <v>27</v>
      </c>
      <c r="O9575">
        <v>250313</v>
      </c>
      <c r="P9575">
        <v>32.86</v>
      </c>
    </row>
    <row r="9576" spans="1:16" x14ac:dyDescent="0.25">
      <c r="A9576" t="s">
        <v>3296</v>
      </c>
      <c r="B9576" t="s">
        <v>2931</v>
      </c>
      <c r="C9576">
        <v>2971</v>
      </c>
      <c r="D9576" t="str">
        <f>"2124028655  "</f>
        <v xml:space="preserve">2124028655  </v>
      </c>
      <c r="E9576" t="s">
        <v>337</v>
      </c>
      <c r="F9576" t="s">
        <v>338</v>
      </c>
      <c r="G9576">
        <v>156.44999999999999</v>
      </c>
      <c r="H9576">
        <v>250227</v>
      </c>
      <c r="I9576">
        <v>4347</v>
      </c>
      <c r="J9576" t="s">
        <v>328</v>
      </c>
      <c r="K9576">
        <v>156.44999999999999</v>
      </c>
      <c r="L9576">
        <v>31.79</v>
      </c>
      <c r="M9576">
        <v>41126</v>
      </c>
      <c r="N9576" t="s">
        <v>94</v>
      </c>
      <c r="O9576">
        <v>250313</v>
      </c>
      <c r="P9576">
        <v>124.66</v>
      </c>
    </row>
    <row r="9577" spans="1:16" x14ac:dyDescent="0.25">
      <c r="A9577" t="s">
        <v>3296</v>
      </c>
      <c r="B9577" t="s">
        <v>2931</v>
      </c>
      <c r="C9577">
        <v>2972</v>
      </c>
      <c r="D9577" t="str">
        <f>"2124028843  "</f>
        <v xml:space="preserve">2124028843  </v>
      </c>
      <c r="E9577" t="s">
        <v>337</v>
      </c>
      <c r="F9577" t="s">
        <v>338</v>
      </c>
      <c r="G9577">
        <v>62.12</v>
      </c>
      <c r="H9577">
        <v>250227</v>
      </c>
      <c r="I9577">
        <v>4347</v>
      </c>
      <c r="J9577" t="s">
        <v>328</v>
      </c>
      <c r="K9577">
        <v>62.12</v>
      </c>
      <c r="L9577">
        <v>12.62</v>
      </c>
      <c r="M9577">
        <v>54222</v>
      </c>
      <c r="N9577" t="s">
        <v>48</v>
      </c>
      <c r="O9577">
        <v>250313</v>
      </c>
      <c r="P9577">
        <v>49.5</v>
      </c>
    </row>
    <row r="9578" spans="1:16" x14ac:dyDescent="0.25">
      <c r="A9578" t="s">
        <v>3296</v>
      </c>
      <c r="B9578" t="s">
        <v>2931</v>
      </c>
      <c r="C9578">
        <v>3352</v>
      </c>
      <c r="D9578" t="str">
        <f>"2124028542  "</f>
        <v xml:space="preserve">2124028542  </v>
      </c>
      <c r="E9578" t="s">
        <v>337</v>
      </c>
      <c r="F9578" t="s">
        <v>338</v>
      </c>
      <c r="G9578">
        <v>24.11</v>
      </c>
      <c r="H9578">
        <v>250227</v>
      </c>
      <c r="I9578">
        <v>4347</v>
      </c>
      <c r="J9578" t="s">
        <v>328</v>
      </c>
      <c r="K9578">
        <v>24.11</v>
      </c>
      <c r="L9578">
        <v>4.9000000000000004</v>
      </c>
      <c r="M9578">
        <v>11101</v>
      </c>
      <c r="N9578" t="s">
        <v>67</v>
      </c>
      <c r="O9578">
        <v>250318</v>
      </c>
      <c r="P9578">
        <v>19.21</v>
      </c>
    </row>
    <row r="9579" spans="1:16" x14ac:dyDescent="0.25">
      <c r="A9579" t="s">
        <v>3296</v>
      </c>
      <c r="B9579" t="s">
        <v>2931</v>
      </c>
      <c r="C9579">
        <v>3968</v>
      </c>
      <c r="D9579" t="str">
        <f>"2124030018  "</f>
        <v xml:space="preserve">2124030018  </v>
      </c>
      <c r="E9579" t="s">
        <v>337</v>
      </c>
      <c r="F9579" t="s">
        <v>338</v>
      </c>
      <c r="G9579">
        <v>199.55</v>
      </c>
      <c r="H9579">
        <v>250305</v>
      </c>
      <c r="I9579">
        <v>4347</v>
      </c>
      <c r="J9579" t="s">
        <v>328</v>
      </c>
      <c r="K9579">
        <v>199.55</v>
      </c>
      <c r="L9579">
        <v>40.549999999999997</v>
      </c>
      <c r="M9579">
        <v>14972</v>
      </c>
      <c r="N9579" t="s">
        <v>82</v>
      </c>
      <c r="O9579">
        <v>250404</v>
      </c>
      <c r="P9579">
        <v>159</v>
      </c>
    </row>
    <row r="9580" spans="1:16" x14ac:dyDescent="0.25">
      <c r="A9580" t="s">
        <v>3296</v>
      </c>
      <c r="B9580" t="s">
        <v>2931</v>
      </c>
      <c r="C9580">
        <v>3971</v>
      </c>
      <c r="D9580" t="str">
        <f>"2124030019  "</f>
        <v xml:space="preserve">2124030019  </v>
      </c>
      <c r="E9580" t="s">
        <v>337</v>
      </c>
      <c r="F9580" t="s">
        <v>338</v>
      </c>
      <c r="G9580">
        <v>199.55</v>
      </c>
      <c r="H9580">
        <v>250305</v>
      </c>
      <c r="I9580">
        <v>4347</v>
      </c>
      <c r="J9580" t="s">
        <v>328</v>
      </c>
      <c r="K9580">
        <v>199.55</v>
      </c>
      <c r="L9580">
        <v>40.549999999999997</v>
      </c>
      <c r="M9580">
        <v>14972</v>
      </c>
      <c r="N9580" t="s">
        <v>82</v>
      </c>
      <c r="O9580">
        <v>250404</v>
      </c>
      <c r="P9580">
        <v>159</v>
      </c>
    </row>
    <row r="9581" spans="1:16" x14ac:dyDescent="0.25">
      <c r="A9581" t="s">
        <v>3296</v>
      </c>
      <c r="B9581" t="s">
        <v>2931</v>
      </c>
      <c r="C9581">
        <v>4988</v>
      </c>
      <c r="D9581" t="str">
        <f>"2124031301  "</f>
        <v xml:space="preserve">2124031301  </v>
      </c>
      <c r="E9581" t="s">
        <v>337</v>
      </c>
      <c r="F9581" t="s">
        <v>338</v>
      </c>
      <c r="G9581">
        <v>54.53</v>
      </c>
      <c r="H9581">
        <v>250328</v>
      </c>
      <c r="I9581">
        <v>4347</v>
      </c>
      <c r="J9581" t="s">
        <v>328</v>
      </c>
      <c r="K9581">
        <v>54.53</v>
      </c>
      <c r="L9581">
        <v>11.08</v>
      </c>
      <c r="M9581">
        <v>17532</v>
      </c>
      <c r="N9581" t="s">
        <v>146</v>
      </c>
      <c r="O9581">
        <v>250416</v>
      </c>
      <c r="P9581">
        <v>43.45</v>
      </c>
    </row>
    <row r="9582" spans="1:16" x14ac:dyDescent="0.25">
      <c r="A9582" t="s">
        <v>3296</v>
      </c>
      <c r="B9582" t="s">
        <v>2931</v>
      </c>
      <c r="C9582">
        <v>4991</v>
      </c>
      <c r="D9582" t="str">
        <f>"2124031446  "</f>
        <v xml:space="preserve">2124031446  </v>
      </c>
      <c r="E9582" t="s">
        <v>337</v>
      </c>
      <c r="F9582" t="s">
        <v>338</v>
      </c>
      <c r="G9582">
        <v>43.65</v>
      </c>
      <c r="H9582">
        <v>250328</v>
      </c>
      <c r="I9582">
        <v>4347</v>
      </c>
      <c r="J9582" t="s">
        <v>328</v>
      </c>
      <c r="K9582">
        <v>43.65</v>
      </c>
      <c r="L9582">
        <v>8.8699999999999992</v>
      </c>
      <c r="M9582">
        <v>56562</v>
      </c>
      <c r="N9582" t="s">
        <v>54</v>
      </c>
      <c r="O9582">
        <v>250416</v>
      </c>
      <c r="P9582">
        <v>34.78</v>
      </c>
    </row>
    <row r="9583" spans="1:16" x14ac:dyDescent="0.25">
      <c r="A9583" t="s">
        <v>3296</v>
      </c>
      <c r="B9583" t="s">
        <v>2931</v>
      </c>
      <c r="C9583">
        <v>4993</v>
      </c>
      <c r="D9583" t="str">
        <f>"2124031445  "</f>
        <v xml:space="preserve">2124031445  </v>
      </c>
      <c r="E9583" t="s">
        <v>337</v>
      </c>
      <c r="F9583" t="s">
        <v>338</v>
      </c>
      <c r="G9583">
        <v>70.25</v>
      </c>
      <c r="H9583">
        <v>250328</v>
      </c>
      <c r="I9583">
        <v>4347</v>
      </c>
      <c r="J9583" t="s">
        <v>328</v>
      </c>
      <c r="K9583">
        <v>70.25</v>
      </c>
      <c r="L9583">
        <v>14.27</v>
      </c>
      <c r="M9583">
        <v>56566</v>
      </c>
      <c r="N9583" t="s">
        <v>58</v>
      </c>
      <c r="O9583">
        <v>250416</v>
      </c>
      <c r="P9583">
        <v>55.98</v>
      </c>
    </row>
    <row r="9584" spans="1:16" x14ac:dyDescent="0.25">
      <c r="A9584" t="s">
        <v>3296</v>
      </c>
      <c r="B9584" t="s">
        <v>2931</v>
      </c>
      <c r="C9584">
        <v>4996</v>
      </c>
      <c r="D9584" t="str">
        <f>"2124032097  "</f>
        <v xml:space="preserve">2124032097  </v>
      </c>
      <c r="E9584" t="s">
        <v>337</v>
      </c>
      <c r="F9584" t="s">
        <v>338</v>
      </c>
      <c r="G9584">
        <v>25.55</v>
      </c>
      <c r="H9584">
        <v>250328</v>
      </c>
      <c r="I9584">
        <v>4347</v>
      </c>
      <c r="J9584" t="s">
        <v>328</v>
      </c>
      <c r="K9584">
        <v>25.55</v>
      </c>
      <c r="L9584">
        <v>5.19</v>
      </c>
      <c r="M9584">
        <v>14622</v>
      </c>
      <c r="N9584" t="s">
        <v>77</v>
      </c>
      <c r="O9584">
        <v>250416</v>
      </c>
      <c r="P9584">
        <v>20.36</v>
      </c>
    </row>
    <row r="9585" spans="1:16" x14ac:dyDescent="0.25">
      <c r="A9585" t="s">
        <v>3296</v>
      </c>
      <c r="B9585" t="s">
        <v>2931</v>
      </c>
      <c r="C9585">
        <v>4999</v>
      </c>
      <c r="D9585" t="str">
        <f>"2124031443  "</f>
        <v xml:space="preserve">2124031443  </v>
      </c>
      <c r="E9585" t="s">
        <v>337</v>
      </c>
      <c r="F9585" t="s">
        <v>338</v>
      </c>
      <c r="G9585">
        <v>128.19</v>
      </c>
      <c r="H9585">
        <v>250328</v>
      </c>
      <c r="I9585">
        <v>4347</v>
      </c>
      <c r="J9585" t="s">
        <v>328</v>
      </c>
      <c r="K9585">
        <v>128.19</v>
      </c>
      <c r="L9585">
        <v>26.05</v>
      </c>
      <c r="M9585">
        <v>54422</v>
      </c>
      <c r="N9585" t="s">
        <v>49</v>
      </c>
      <c r="O9585">
        <v>250416</v>
      </c>
      <c r="P9585">
        <v>102.14</v>
      </c>
    </row>
    <row r="9586" spans="1:16" x14ac:dyDescent="0.25">
      <c r="A9586" t="s">
        <v>3296</v>
      </c>
      <c r="B9586" t="s">
        <v>2931</v>
      </c>
      <c r="C9586">
        <v>5004</v>
      </c>
      <c r="D9586" t="str">
        <f>"2124031303  "</f>
        <v xml:space="preserve">2124031303  </v>
      </c>
      <c r="E9586" t="s">
        <v>337</v>
      </c>
      <c r="F9586" t="s">
        <v>338</v>
      </c>
      <c r="G9586">
        <v>46.67</v>
      </c>
      <c r="H9586">
        <v>250328</v>
      </c>
      <c r="I9586">
        <v>4347</v>
      </c>
      <c r="J9586" t="s">
        <v>328</v>
      </c>
      <c r="K9586">
        <v>46.67</v>
      </c>
      <c r="L9586">
        <v>9.48</v>
      </c>
      <c r="M9586">
        <v>13601</v>
      </c>
      <c r="N9586" t="s">
        <v>115</v>
      </c>
      <c r="O9586">
        <v>250416</v>
      </c>
      <c r="P9586">
        <v>37.19</v>
      </c>
    </row>
    <row r="9587" spans="1:16" x14ac:dyDescent="0.25">
      <c r="A9587" t="s">
        <v>3296</v>
      </c>
      <c r="B9587" t="s">
        <v>2931</v>
      </c>
      <c r="C9587">
        <v>5076</v>
      </c>
      <c r="D9587" t="str">
        <f>"2124031300  "</f>
        <v xml:space="preserve">2124031300  </v>
      </c>
      <c r="E9587" t="s">
        <v>337</v>
      </c>
      <c r="F9587" t="s">
        <v>338</v>
      </c>
      <c r="G9587">
        <v>98.54</v>
      </c>
      <c r="H9587">
        <v>250328</v>
      </c>
      <c r="I9587">
        <v>4347</v>
      </c>
      <c r="J9587" t="s">
        <v>328</v>
      </c>
      <c r="K9587">
        <v>98.54</v>
      </c>
      <c r="L9587">
        <v>20.02</v>
      </c>
      <c r="M9587">
        <v>13501</v>
      </c>
      <c r="N9587" t="s">
        <v>66</v>
      </c>
      <c r="O9587">
        <v>250416</v>
      </c>
      <c r="P9587">
        <v>78.52</v>
      </c>
    </row>
    <row r="9588" spans="1:16" x14ac:dyDescent="0.25">
      <c r="A9588" t="s">
        <v>3296</v>
      </c>
      <c r="B9588" t="s">
        <v>2931</v>
      </c>
      <c r="C9588">
        <v>5081</v>
      </c>
      <c r="D9588" t="str">
        <f>"2124031465  "</f>
        <v xml:space="preserve">2124031465  </v>
      </c>
      <c r="E9588" t="s">
        <v>337</v>
      </c>
      <c r="F9588" t="s">
        <v>338</v>
      </c>
      <c r="G9588">
        <v>98.64</v>
      </c>
      <c r="H9588">
        <v>250328</v>
      </c>
      <c r="I9588">
        <v>4347</v>
      </c>
      <c r="J9588" t="s">
        <v>328</v>
      </c>
      <c r="K9588">
        <v>98.64</v>
      </c>
      <c r="L9588">
        <v>20.04</v>
      </c>
      <c r="M9588">
        <v>47522</v>
      </c>
      <c r="N9588" t="s">
        <v>106</v>
      </c>
      <c r="O9588">
        <v>250416</v>
      </c>
      <c r="P9588">
        <v>78.599999999999994</v>
      </c>
    </row>
    <row r="9589" spans="1:16" x14ac:dyDescent="0.25">
      <c r="A9589" t="s">
        <v>3296</v>
      </c>
      <c r="B9589" t="s">
        <v>2931</v>
      </c>
      <c r="C9589">
        <v>5085</v>
      </c>
      <c r="D9589" t="str">
        <f>"2124031447  "</f>
        <v xml:space="preserve">2124031447  </v>
      </c>
      <c r="E9589" t="s">
        <v>337</v>
      </c>
      <c r="F9589" t="s">
        <v>338</v>
      </c>
      <c r="G9589">
        <v>62.07</v>
      </c>
      <c r="H9589">
        <v>250328</v>
      </c>
      <c r="I9589">
        <v>4347</v>
      </c>
      <c r="J9589" t="s">
        <v>328</v>
      </c>
      <c r="K9589">
        <v>62.07</v>
      </c>
      <c r="L9589">
        <v>12.61</v>
      </c>
      <c r="M9589">
        <v>59702</v>
      </c>
      <c r="N9589" t="s">
        <v>45</v>
      </c>
      <c r="O9589">
        <v>250416</v>
      </c>
      <c r="P9589">
        <v>49.46</v>
      </c>
    </row>
    <row r="9590" spans="1:16" x14ac:dyDescent="0.25">
      <c r="A9590" t="s">
        <v>3296</v>
      </c>
      <c r="B9590" t="s">
        <v>2931</v>
      </c>
      <c r="C9590">
        <v>5087</v>
      </c>
      <c r="D9590" t="str">
        <f>"2124031439  "</f>
        <v xml:space="preserve">2124031439  </v>
      </c>
      <c r="E9590" t="s">
        <v>337</v>
      </c>
      <c r="F9590" t="s">
        <v>338</v>
      </c>
      <c r="G9590">
        <v>29.84</v>
      </c>
      <c r="H9590">
        <v>250328</v>
      </c>
      <c r="I9590">
        <v>4347</v>
      </c>
      <c r="J9590" t="s">
        <v>328</v>
      </c>
      <c r="K9590">
        <v>29.84</v>
      </c>
      <c r="L9590">
        <v>6.06</v>
      </c>
      <c r="M9590">
        <v>56526</v>
      </c>
      <c r="N9590" t="s">
        <v>506</v>
      </c>
      <c r="O9590">
        <v>250416</v>
      </c>
      <c r="P9590">
        <v>23.78</v>
      </c>
    </row>
    <row r="9591" spans="1:16" x14ac:dyDescent="0.25">
      <c r="A9591" t="s">
        <v>3296</v>
      </c>
      <c r="B9591" t="s">
        <v>2931</v>
      </c>
      <c r="C9591">
        <v>5088</v>
      </c>
      <c r="D9591" t="str">
        <f>"2124031444  "</f>
        <v xml:space="preserve">2124031444  </v>
      </c>
      <c r="E9591" t="s">
        <v>337</v>
      </c>
      <c r="F9591" t="s">
        <v>338</v>
      </c>
      <c r="G9591">
        <v>10.58</v>
      </c>
      <c r="H9591">
        <v>250328</v>
      </c>
      <c r="I9591">
        <v>4347</v>
      </c>
      <c r="J9591" t="s">
        <v>328</v>
      </c>
      <c r="K9591">
        <v>52.9</v>
      </c>
      <c r="L9591">
        <v>2.15</v>
      </c>
      <c r="M9591">
        <v>11001</v>
      </c>
      <c r="N9591" t="s">
        <v>93</v>
      </c>
      <c r="O9591">
        <v>250416</v>
      </c>
      <c r="P9591">
        <v>8.43</v>
      </c>
    </row>
    <row r="9592" spans="1:16" x14ac:dyDescent="0.25">
      <c r="A9592" t="s">
        <v>3296</v>
      </c>
      <c r="B9592" t="s">
        <v>2931</v>
      </c>
      <c r="C9592">
        <v>5088</v>
      </c>
      <c r="D9592" t="str">
        <f>"2124031444  "</f>
        <v xml:space="preserve">2124031444  </v>
      </c>
      <c r="E9592" t="s">
        <v>337</v>
      </c>
      <c r="F9592" t="s">
        <v>338</v>
      </c>
      <c r="G9592">
        <v>21.16</v>
      </c>
      <c r="H9592">
        <v>250328</v>
      </c>
      <c r="I9592">
        <v>4347</v>
      </c>
      <c r="J9592" t="s">
        <v>328</v>
      </c>
      <c r="K9592">
        <v>52.9</v>
      </c>
      <c r="L9592">
        <v>4.3</v>
      </c>
      <c r="M9592">
        <v>11101</v>
      </c>
      <c r="N9592" t="s">
        <v>67</v>
      </c>
      <c r="O9592">
        <v>250416</v>
      </c>
      <c r="P9592">
        <v>16.86</v>
      </c>
    </row>
    <row r="9593" spans="1:16" x14ac:dyDescent="0.25">
      <c r="A9593" t="s">
        <v>3296</v>
      </c>
      <c r="B9593" t="s">
        <v>2931</v>
      </c>
      <c r="C9593">
        <v>5088</v>
      </c>
      <c r="D9593" t="str">
        <f>"2124031444  "</f>
        <v xml:space="preserve">2124031444  </v>
      </c>
      <c r="E9593" t="s">
        <v>337</v>
      </c>
      <c r="F9593" t="s">
        <v>338</v>
      </c>
      <c r="G9593">
        <v>21.16</v>
      </c>
      <c r="H9593">
        <v>250328</v>
      </c>
      <c r="I9593">
        <v>4347</v>
      </c>
      <c r="J9593" t="s">
        <v>328</v>
      </c>
      <c r="K9593">
        <v>52.9</v>
      </c>
      <c r="L9593">
        <v>4.3</v>
      </c>
      <c r="M9593">
        <v>18971</v>
      </c>
      <c r="N9593" t="s">
        <v>38</v>
      </c>
      <c r="O9593">
        <v>250416</v>
      </c>
      <c r="P9593">
        <v>16.86</v>
      </c>
    </row>
    <row r="9594" spans="1:16" x14ac:dyDescent="0.25">
      <c r="A9594" t="s">
        <v>3296</v>
      </c>
      <c r="B9594" t="s">
        <v>2931</v>
      </c>
      <c r="C9594">
        <v>5090</v>
      </c>
      <c r="D9594" t="str">
        <f>"2124031442  "</f>
        <v xml:space="preserve">2124031442  </v>
      </c>
      <c r="E9594" t="s">
        <v>337</v>
      </c>
      <c r="F9594" t="s">
        <v>338</v>
      </c>
      <c r="G9594">
        <v>72.53</v>
      </c>
      <c r="H9594">
        <v>250328</v>
      </c>
      <c r="I9594">
        <v>4347</v>
      </c>
      <c r="J9594" t="s">
        <v>328</v>
      </c>
      <c r="K9594">
        <v>72.53</v>
      </c>
      <c r="L9594">
        <v>14.74</v>
      </c>
      <c r="M9594">
        <v>59702</v>
      </c>
      <c r="N9594" t="s">
        <v>45</v>
      </c>
      <c r="O9594">
        <v>250416</v>
      </c>
      <c r="P9594">
        <v>57.79</v>
      </c>
    </row>
    <row r="9595" spans="1:16" x14ac:dyDescent="0.25">
      <c r="A9595" t="s">
        <v>3296</v>
      </c>
      <c r="B9595" t="s">
        <v>2931</v>
      </c>
      <c r="C9595">
        <v>5095</v>
      </c>
      <c r="D9595" t="str">
        <f>"2124031448  "</f>
        <v xml:space="preserve">2124031448  </v>
      </c>
      <c r="E9595" t="s">
        <v>337</v>
      </c>
      <c r="F9595" t="s">
        <v>338</v>
      </c>
      <c r="G9595">
        <v>43.7</v>
      </c>
      <c r="H9595">
        <v>250328</v>
      </c>
      <c r="I9595">
        <v>4347</v>
      </c>
      <c r="J9595" t="s">
        <v>328</v>
      </c>
      <c r="K9595">
        <v>43.7</v>
      </c>
      <c r="L9595">
        <v>8.8800000000000008</v>
      </c>
      <c r="M9595">
        <v>53222</v>
      </c>
      <c r="N9595" t="s">
        <v>41</v>
      </c>
      <c r="O9595">
        <v>250416</v>
      </c>
      <c r="P9595">
        <v>34.82</v>
      </c>
    </row>
    <row r="9596" spans="1:16" x14ac:dyDescent="0.25">
      <c r="A9596" t="s">
        <v>3296</v>
      </c>
      <c r="B9596" t="s">
        <v>2931</v>
      </c>
      <c r="C9596">
        <v>5331</v>
      </c>
      <c r="D9596" t="str">
        <f>"2124031283  "</f>
        <v xml:space="preserve">2124031283  </v>
      </c>
      <c r="E9596" t="s">
        <v>337</v>
      </c>
      <c r="F9596" t="s">
        <v>338</v>
      </c>
      <c r="G9596">
        <v>7.41</v>
      </c>
      <c r="H9596">
        <v>250401</v>
      </c>
      <c r="I9596">
        <v>4347</v>
      </c>
      <c r="J9596" t="s">
        <v>328</v>
      </c>
      <c r="K9596">
        <v>67.430000000000007</v>
      </c>
      <c r="L9596">
        <v>1.51</v>
      </c>
      <c r="M9596">
        <v>13561</v>
      </c>
      <c r="N9596" t="s">
        <v>241</v>
      </c>
      <c r="O9596">
        <v>250423</v>
      </c>
      <c r="P9596">
        <v>5.9</v>
      </c>
    </row>
    <row r="9597" spans="1:16" x14ac:dyDescent="0.25">
      <c r="A9597" t="s">
        <v>3296</v>
      </c>
      <c r="B9597" t="s">
        <v>2931</v>
      </c>
      <c r="C9597">
        <v>5331</v>
      </c>
      <c r="D9597" t="str">
        <f>"2124031283  "</f>
        <v xml:space="preserve">2124031283  </v>
      </c>
      <c r="E9597" t="s">
        <v>337</v>
      </c>
      <c r="F9597" t="s">
        <v>338</v>
      </c>
      <c r="G9597">
        <v>60.02</v>
      </c>
      <c r="H9597">
        <v>250401</v>
      </c>
      <c r="I9597">
        <v>4347</v>
      </c>
      <c r="J9597" t="s">
        <v>328</v>
      </c>
      <c r="K9597">
        <v>67.430000000000007</v>
      </c>
      <c r="L9597">
        <v>12.2</v>
      </c>
      <c r="M9597">
        <v>17971</v>
      </c>
      <c r="N9597" t="s">
        <v>27</v>
      </c>
      <c r="O9597">
        <v>250423</v>
      </c>
      <c r="P9597">
        <v>47.82</v>
      </c>
    </row>
    <row r="9598" spans="1:16" x14ac:dyDescent="0.25">
      <c r="A9598" t="s">
        <v>3296</v>
      </c>
      <c r="B9598" t="s">
        <v>2931</v>
      </c>
      <c r="C9598">
        <v>6457</v>
      </c>
      <c r="D9598" t="str">
        <f>"2125002169  "</f>
        <v xml:space="preserve">2125002169  </v>
      </c>
      <c r="E9598" t="s">
        <v>337</v>
      </c>
      <c r="F9598" t="s">
        <v>338</v>
      </c>
      <c r="G9598">
        <v>41.85</v>
      </c>
      <c r="H9598">
        <v>250429</v>
      </c>
      <c r="I9598">
        <v>4347</v>
      </c>
      <c r="J9598" t="s">
        <v>328</v>
      </c>
      <c r="K9598">
        <v>41.85</v>
      </c>
      <c r="L9598">
        <v>8.5</v>
      </c>
      <c r="M9598">
        <v>17807</v>
      </c>
      <c r="N9598" t="s">
        <v>23</v>
      </c>
      <c r="O9598">
        <v>250513</v>
      </c>
      <c r="P9598">
        <v>33.35</v>
      </c>
    </row>
    <row r="9599" spans="1:16" x14ac:dyDescent="0.25">
      <c r="A9599" t="s">
        <v>3296</v>
      </c>
      <c r="B9599" t="s">
        <v>2931</v>
      </c>
      <c r="C9599">
        <v>6459</v>
      </c>
      <c r="D9599" t="str">
        <f>"2125002174  "</f>
        <v xml:space="preserve">2125002174  </v>
      </c>
      <c r="E9599" t="s">
        <v>337</v>
      </c>
      <c r="F9599" t="s">
        <v>338</v>
      </c>
      <c r="G9599">
        <v>24.31</v>
      </c>
      <c r="H9599">
        <v>250429</v>
      </c>
      <c r="I9599">
        <v>4347</v>
      </c>
      <c r="J9599" t="s">
        <v>328</v>
      </c>
      <c r="K9599">
        <v>24.31</v>
      </c>
      <c r="L9599">
        <v>4.9400000000000004</v>
      </c>
      <c r="M9599">
        <v>17803</v>
      </c>
      <c r="N9599" t="s">
        <v>19</v>
      </c>
      <c r="O9599">
        <v>250513</v>
      </c>
      <c r="P9599">
        <v>19.37</v>
      </c>
    </row>
    <row r="9600" spans="1:16" x14ac:dyDescent="0.25">
      <c r="A9600" t="s">
        <v>3296</v>
      </c>
      <c r="B9600" t="s">
        <v>2931</v>
      </c>
      <c r="C9600">
        <v>6465</v>
      </c>
      <c r="D9600" t="str">
        <f>"2125002193  "</f>
        <v xml:space="preserve">2125002193  </v>
      </c>
      <c r="E9600" t="s">
        <v>337</v>
      </c>
      <c r="F9600" t="s">
        <v>338</v>
      </c>
      <c r="G9600">
        <v>57.37</v>
      </c>
      <c r="H9600">
        <v>250429</v>
      </c>
      <c r="I9600">
        <v>4347</v>
      </c>
      <c r="J9600" t="s">
        <v>328</v>
      </c>
      <c r="K9600">
        <v>57.37</v>
      </c>
      <c r="L9600">
        <v>11.66</v>
      </c>
      <c r="M9600">
        <v>59503</v>
      </c>
      <c r="N9600" t="s">
        <v>766</v>
      </c>
      <c r="O9600">
        <v>250513</v>
      </c>
      <c r="P9600">
        <v>45.71</v>
      </c>
    </row>
    <row r="9601" spans="1:16" x14ac:dyDescent="0.25">
      <c r="A9601" t="s">
        <v>3296</v>
      </c>
      <c r="B9601" t="s">
        <v>2931</v>
      </c>
      <c r="C9601">
        <v>6584</v>
      </c>
      <c r="D9601" t="str">
        <f>"2125001457  "</f>
        <v xml:space="preserve">2125001457  </v>
      </c>
      <c r="E9601" t="s">
        <v>337</v>
      </c>
      <c r="F9601" t="s">
        <v>338</v>
      </c>
      <c r="G9601">
        <v>28.21</v>
      </c>
      <c r="H9601">
        <v>250429</v>
      </c>
      <c r="I9601">
        <v>4347</v>
      </c>
      <c r="J9601" t="s">
        <v>328</v>
      </c>
      <c r="K9601">
        <v>28.21</v>
      </c>
      <c r="L9601">
        <v>5.73</v>
      </c>
      <c r="M9601">
        <v>17522</v>
      </c>
      <c r="N9601" t="s">
        <v>137</v>
      </c>
      <c r="O9601">
        <v>250514</v>
      </c>
      <c r="P9601">
        <v>22.48</v>
      </c>
    </row>
    <row r="9602" spans="1:16" x14ac:dyDescent="0.25">
      <c r="A9602" t="s">
        <v>3296</v>
      </c>
      <c r="B9602" t="s">
        <v>2931</v>
      </c>
      <c r="C9602">
        <v>6588</v>
      </c>
      <c r="D9602" t="str">
        <f>"2125002175  "</f>
        <v xml:space="preserve">2125002175  </v>
      </c>
      <c r="E9602" t="s">
        <v>337</v>
      </c>
      <c r="F9602" t="s">
        <v>338</v>
      </c>
      <c r="G9602">
        <v>61.36</v>
      </c>
      <c r="H9602">
        <v>250429</v>
      </c>
      <c r="I9602">
        <v>4347</v>
      </c>
      <c r="J9602" t="s">
        <v>328</v>
      </c>
      <c r="K9602">
        <v>61.36</v>
      </c>
      <c r="L9602">
        <v>12.47</v>
      </c>
      <c r="M9602">
        <v>16431</v>
      </c>
      <c r="N9602" t="s">
        <v>17</v>
      </c>
      <c r="O9602">
        <v>250514</v>
      </c>
      <c r="P9602">
        <v>48.89</v>
      </c>
    </row>
    <row r="9603" spans="1:16" x14ac:dyDescent="0.25">
      <c r="A9603" t="s">
        <v>3296</v>
      </c>
      <c r="B9603" t="s">
        <v>2931</v>
      </c>
      <c r="C9603">
        <v>6590</v>
      </c>
      <c r="D9603" t="str">
        <f>"2125002166  "</f>
        <v xml:space="preserve">2125002166  </v>
      </c>
      <c r="E9603" t="s">
        <v>337</v>
      </c>
      <c r="F9603" t="s">
        <v>338</v>
      </c>
      <c r="G9603">
        <v>259.95999999999998</v>
      </c>
      <c r="H9603">
        <v>250429</v>
      </c>
      <c r="I9603">
        <v>4347</v>
      </c>
      <c r="J9603" t="s">
        <v>328</v>
      </c>
      <c r="K9603">
        <v>259.95999999999998</v>
      </c>
      <c r="L9603">
        <v>52.82</v>
      </c>
      <c r="M9603">
        <v>13401</v>
      </c>
      <c r="N9603" t="s">
        <v>10</v>
      </c>
      <c r="O9603">
        <v>250514</v>
      </c>
      <c r="P9603">
        <v>207.14</v>
      </c>
    </row>
    <row r="9604" spans="1:16" x14ac:dyDescent="0.25">
      <c r="A9604" t="s">
        <v>3296</v>
      </c>
      <c r="B9604" t="s">
        <v>2931</v>
      </c>
      <c r="C9604">
        <v>6591</v>
      </c>
      <c r="D9604" t="str">
        <f>"2125002171  "</f>
        <v xml:space="preserve">2125002171  </v>
      </c>
      <c r="E9604" t="s">
        <v>337</v>
      </c>
      <c r="F9604" t="s">
        <v>338</v>
      </c>
      <c r="G9604">
        <v>21.49</v>
      </c>
      <c r="H9604">
        <v>250429</v>
      </c>
      <c r="I9604">
        <v>4347</v>
      </c>
      <c r="J9604" t="s">
        <v>328</v>
      </c>
      <c r="K9604">
        <v>21.49</v>
      </c>
      <c r="L9604">
        <v>4.37</v>
      </c>
      <c r="M9604">
        <v>17805</v>
      </c>
      <c r="N9604" t="s">
        <v>21</v>
      </c>
      <c r="O9604">
        <v>250514</v>
      </c>
      <c r="P9604">
        <v>17.12</v>
      </c>
    </row>
    <row r="9605" spans="1:16" x14ac:dyDescent="0.25">
      <c r="A9605" t="s">
        <v>3296</v>
      </c>
      <c r="B9605" t="s">
        <v>2931</v>
      </c>
      <c r="C9605">
        <v>6593</v>
      </c>
      <c r="D9605" t="str">
        <f>"2125002173  "</f>
        <v xml:space="preserve">2125002173  </v>
      </c>
      <c r="E9605" t="s">
        <v>337</v>
      </c>
      <c r="F9605" t="s">
        <v>338</v>
      </c>
      <c r="G9605">
        <v>31.39</v>
      </c>
      <c r="H9605">
        <v>250429</v>
      </c>
      <c r="I9605">
        <v>4347</v>
      </c>
      <c r="J9605" t="s">
        <v>328</v>
      </c>
      <c r="K9605">
        <v>31.39</v>
      </c>
      <c r="L9605">
        <v>6.38</v>
      </c>
      <c r="M9605">
        <v>17802</v>
      </c>
      <c r="N9605" t="s">
        <v>18</v>
      </c>
      <c r="O9605">
        <v>250514</v>
      </c>
      <c r="P9605">
        <v>25.01</v>
      </c>
    </row>
    <row r="9606" spans="1:16" x14ac:dyDescent="0.25">
      <c r="A9606" t="s">
        <v>3296</v>
      </c>
      <c r="B9606" t="s">
        <v>2931</v>
      </c>
      <c r="C9606">
        <v>6594</v>
      </c>
      <c r="D9606" t="str">
        <f>"2125002163  "</f>
        <v xml:space="preserve">2125002163  </v>
      </c>
      <c r="E9606" t="s">
        <v>337</v>
      </c>
      <c r="F9606" t="s">
        <v>338</v>
      </c>
      <c r="G9606">
        <v>37.49</v>
      </c>
      <c r="H9606">
        <v>250429</v>
      </c>
      <c r="I9606">
        <v>4347</v>
      </c>
      <c r="J9606" t="s">
        <v>328</v>
      </c>
      <c r="K9606">
        <v>37.49</v>
      </c>
      <c r="L9606">
        <v>7.62</v>
      </c>
      <c r="M9606">
        <v>56524</v>
      </c>
      <c r="N9606" t="s">
        <v>69</v>
      </c>
      <c r="O9606">
        <v>250514</v>
      </c>
      <c r="P9606">
        <v>29.87</v>
      </c>
    </row>
    <row r="9607" spans="1:16" x14ac:dyDescent="0.25">
      <c r="A9607" t="s">
        <v>3296</v>
      </c>
      <c r="B9607" t="s">
        <v>2931</v>
      </c>
      <c r="C9607">
        <v>6599</v>
      </c>
      <c r="D9607" t="str">
        <f>"2125002170  "</f>
        <v xml:space="preserve">2125002170  </v>
      </c>
      <c r="E9607" t="s">
        <v>337</v>
      </c>
      <c r="F9607" t="s">
        <v>338</v>
      </c>
      <c r="G9607">
        <v>24.38</v>
      </c>
      <c r="H9607">
        <v>250429</v>
      </c>
      <c r="I9607">
        <v>4347</v>
      </c>
      <c r="J9607" t="s">
        <v>328</v>
      </c>
      <c r="K9607">
        <v>24.38</v>
      </c>
      <c r="L9607">
        <v>4.95</v>
      </c>
      <c r="M9607">
        <v>17802</v>
      </c>
      <c r="N9607" t="s">
        <v>18</v>
      </c>
      <c r="O9607">
        <v>250514</v>
      </c>
      <c r="P9607">
        <v>19.43</v>
      </c>
    </row>
    <row r="9608" spans="1:16" x14ac:dyDescent="0.25">
      <c r="A9608" t="s">
        <v>3296</v>
      </c>
      <c r="B9608" t="s">
        <v>2931</v>
      </c>
      <c r="C9608">
        <v>6600</v>
      </c>
      <c r="D9608" t="str">
        <f>"2125001559  "</f>
        <v xml:space="preserve">2125001559  </v>
      </c>
      <c r="E9608" t="s">
        <v>337</v>
      </c>
      <c r="F9608" t="s">
        <v>338</v>
      </c>
      <c r="G9608">
        <v>149.68</v>
      </c>
      <c r="H9608">
        <v>250429</v>
      </c>
      <c r="I9608">
        <v>4347</v>
      </c>
      <c r="J9608" t="s">
        <v>328</v>
      </c>
      <c r="K9608">
        <v>149.68</v>
      </c>
      <c r="L9608">
        <v>30.41</v>
      </c>
      <c r="M9608">
        <v>14972</v>
      </c>
      <c r="N9608" t="s">
        <v>82</v>
      </c>
      <c r="O9608">
        <v>250514</v>
      </c>
      <c r="P9608">
        <v>119.27</v>
      </c>
    </row>
    <row r="9609" spans="1:16" x14ac:dyDescent="0.25">
      <c r="A9609" t="s">
        <v>3296</v>
      </c>
      <c r="B9609" t="s">
        <v>2931</v>
      </c>
      <c r="C9609">
        <v>6601</v>
      </c>
      <c r="D9609" t="str">
        <f>"2125002168  "</f>
        <v xml:space="preserve">2125002168  </v>
      </c>
      <c r="E9609" t="s">
        <v>337</v>
      </c>
      <c r="F9609" t="s">
        <v>338</v>
      </c>
      <c r="G9609">
        <v>111.27</v>
      </c>
      <c r="H9609">
        <v>250429</v>
      </c>
      <c r="I9609">
        <v>4347</v>
      </c>
      <c r="J9609" t="s">
        <v>328</v>
      </c>
      <c r="K9609">
        <v>111.27</v>
      </c>
      <c r="L9609">
        <v>22.61</v>
      </c>
      <c r="M9609">
        <v>16321</v>
      </c>
      <c r="N9609" t="s">
        <v>16</v>
      </c>
      <c r="O9609">
        <v>250514</v>
      </c>
      <c r="P9609">
        <v>88.66</v>
      </c>
    </row>
    <row r="9610" spans="1:16" x14ac:dyDescent="0.25">
      <c r="A9610" t="s">
        <v>3296</v>
      </c>
      <c r="B9610" t="s">
        <v>2931</v>
      </c>
      <c r="C9610">
        <v>6602</v>
      </c>
      <c r="D9610" t="str">
        <f>"2125002172  "</f>
        <v xml:space="preserve">2125002172  </v>
      </c>
      <c r="E9610" t="s">
        <v>337</v>
      </c>
      <c r="F9610" t="s">
        <v>338</v>
      </c>
      <c r="G9610">
        <v>52.27</v>
      </c>
      <c r="H9610">
        <v>250429</v>
      </c>
      <c r="I9610">
        <v>4347</v>
      </c>
      <c r="J9610" t="s">
        <v>328</v>
      </c>
      <c r="K9610">
        <v>52.27</v>
      </c>
      <c r="L9610">
        <v>10.62</v>
      </c>
      <c r="M9610">
        <v>16431</v>
      </c>
      <c r="N9610" t="s">
        <v>17</v>
      </c>
      <c r="O9610">
        <v>250514</v>
      </c>
      <c r="P9610">
        <v>41.65</v>
      </c>
    </row>
    <row r="9611" spans="1:16" x14ac:dyDescent="0.25">
      <c r="A9611" t="s">
        <v>3296</v>
      </c>
      <c r="B9611" t="s">
        <v>2931</v>
      </c>
      <c r="C9611">
        <v>6603</v>
      </c>
      <c r="D9611" t="str">
        <f>"2125001560  "</f>
        <v xml:space="preserve">2125001560  </v>
      </c>
      <c r="E9611" t="s">
        <v>337</v>
      </c>
      <c r="F9611" t="s">
        <v>338</v>
      </c>
      <c r="G9611">
        <v>68.08</v>
      </c>
      <c r="H9611">
        <v>250429</v>
      </c>
      <c r="I9611">
        <v>4347</v>
      </c>
      <c r="J9611" t="s">
        <v>328</v>
      </c>
      <c r="K9611">
        <v>68.08</v>
      </c>
      <c r="L9611">
        <v>13.83</v>
      </c>
      <c r="M9611">
        <v>14972</v>
      </c>
      <c r="N9611" t="s">
        <v>82</v>
      </c>
      <c r="O9611">
        <v>250514</v>
      </c>
      <c r="P9611">
        <v>54.25</v>
      </c>
    </row>
    <row r="9612" spans="1:16" x14ac:dyDescent="0.25">
      <c r="A9612" t="s">
        <v>3296</v>
      </c>
      <c r="B9612" t="s">
        <v>2931</v>
      </c>
      <c r="C9612">
        <v>6617</v>
      </c>
      <c r="D9612" t="str">
        <f>"2125002177  "</f>
        <v xml:space="preserve">2125002177  </v>
      </c>
      <c r="E9612" t="s">
        <v>337</v>
      </c>
      <c r="F9612" t="s">
        <v>338</v>
      </c>
      <c r="G9612">
        <v>51.79</v>
      </c>
      <c r="H9612">
        <v>250429</v>
      </c>
      <c r="I9612">
        <v>4347</v>
      </c>
      <c r="J9612" t="s">
        <v>328</v>
      </c>
      <c r="K9612">
        <v>51.79</v>
      </c>
      <c r="L9612">
        <v>10.52</v>
      </c>
      <c r="M9612">
        <v>17807</v>
      </c>
      <c r="N9612" t="s">
        <v>23</v>
      </c>
      <c r="O9612">
        <v>250514</v>
      </c>
      <c r="P9612">
        <v>41.27</v>
      </c>
    </row>
    <row r="9613" spans="1:16" x14ac:dyDescent="0.25">
      <c r="A9613" t="s">
        <v>3296</v>
      </c>
      <c r="B9613" t="s">
        <v>2931</v>
      </c>
      <c r="C9613">
        <v>8608</v>
      </c>
      <c r="D9613" t="str">
        <f>"2125004525  "</f>
        <v xml:space="preserve">2125004525  </v>
      </c>
      <c r="E9613" t="s">
        <v>337</v>
      </c>
      <c r="F9613" t="s">
        <v>338</v>
      </c>
      <c r="G9613">
        <v>83.62</v>
      </c>
      <c r="H9613">
        <v>250528</v>
      </c>
      <c r="I9613">
        <v>4347</v>
      </c>
      <c r="J9613" t="s">
        <v>328</v>
      </c>
      <c r="K9613">
        <v>83.62</v>
      </c>
      <c r="L9613">
        <v>16.989999999999998</v>
      </c>
      <c r="M9613">
        <v>48601</v>
      </c>
      <c r="N9613" t="s">
        <v>107</v>
      </c>
      <c r="O9613">
        <v>250617</v>
      </c>
      <c r="P9613">
        <v>66.63</v>
      </c>
    </row>
    <row r="9614" spans="1:16" x14ac:dyDescent="0.25">
      <c r="A9614" t="s">
        <v>3296</v>
      </c>
      <c r="B9614" t="s">
        <v>2931</v>
      </c>
      <c r="C9614">
        <v>8610</v>
      </c>
      <c r="D9614" t="str">
        <f>"2125004402  "</f>
        <v xml:space="preserve">2125004402  </v>
      </c>
      <c r="E9614" t="s">
        <v>337</v>
      </c>
      <c r="F9614" t="s">
        <v>338</v>
      </c>
      <c r="G9614">
        <v>103.44</v>
      </c>
      <c r="H9614">
        <v>250528</v>
      </c>
      <c r="I9614">
        <v>4347</v>
      </c>
      <c r="J9614" t="s">
        <v>328</v>
      </c>
      <c r="K9614">
        <v>103.44</v>
      </c>
      <c r="L9614">
        <v>21.02</v>
      </c>
      <c r="M9614">
        <v>61122</v>
      </c>
      <c r="N9614" t="s">
        <v>86</v>
      </c>
      <c r="O9614">
        <v>250617</v>
      </c>
      <c r="P9614">
        <v>82.42</v>
      </c>
    </row>
    <row r="9615" spans="1:16" x14ac:dyDescent="0.25">
      <c r="A9615" t="s">
        <v>3296</v>
      </c>
      <c r="B9615" t="s">
        <v>2931</v>
      </c>
      <c r="C9615">
        <v>8613</v>
      </c>
      <c r="D9615" t="str">
        <f>"2125004565  "</f>
        <v xml:space="preserve">2125004565  </v>
      </c>
      <c r="E9615" t="s">
        <v>337</v>
      </c>
      <c r="F9615" t="s">
        <v>338</v>
      </c>
      <c r="G9615">
        <v>60.84</v>
      </c>
      <c r="H9615">
        <v>250528</v>
      </c>
      <c r="I9615">
        <v>4347</v>
      </c>
      <c r="J9615" t="s">
        <v>328</v>
      </c>
      <c r="K9615">
        <v>60.84</v>
      </c>
      <c r="L9615">
        <v>12.36</v>
      </c>
      <c r="M9615">
        <v>44222</v>
      </c>
      <c r="N9615" t="s">
        <v>96</v>
      </c>
      <c r="O9615">
        <v>250617</v>
      </c>
      <c r="P9615">
        <v>48.48</v>
      </c>
    </row>
    <row r="9616" spans="1:16" x14ac:dyDescent="0.25">
      <c r="A9616" t="s">
        <v>3296</v>
      </c>
      <c r="B9616" t="s">
        <v>2931</v>
      </c>
      <c r="C9616">
        <v>8614</v>
      </c>
      <c r="D9616" t="str">
        <f>"2125004792  "</f>
        <v xml:space="preserve">2125004792  </v>
      </c>
      <c r="E9616" t="s">
        <v>337</v>
      </c>
      <c r="F9616" t="s">
        <v>338</v>
      </c>
      <c r="G9616">
        <v>171.12</v>
      </c>
      <c r="H9616">
        <v>250528</v>
      </c>
      <c r="I9616">
        <v>4347</v>
      </c>
      <c r="J9616" t="s">
        <v>328</v>
      </c>
      <c r="K9616">
        <v>171.12</v>
      </c>
      <c r="L9616">
        <v>34.770000000000003</v>
      </c>
      <c r="M9616">
        <v>14321</v>
      </c>
      <c r="N9616" t="s">
        <v>72</v>
      </c>
      <c r="O9616">
        <v>250617</v>
      </c>
      <c r="P9616">
        <v>136.35</v>
      </c>
    </row>
    <row r="9617" spans="1:16" x14ac:dyDescent="0.25">
      <c r="A9617" t="s">
        <v>3296</v>
      </c>
      <c r="B9617" t="s">
        <v>2931</v>
      </c>
      <c r="C9617">
        <v>8615</v>
      </c>
      <c r="D9617" t="str">
        <f>"2125004399  "</f>
        <v xml:space="preserve">2125004399  </v>
      </c>
      <c r="E9617" t="s">
        <v>337</v>
      </c>
      <c r="F9617" t="s">
        <v>338</v>
      </c>
      <c r="G9617">
        <v>68.61</v>
      </c>
      <c r="H9617">
        <v>250528</v>
      </c>
      <c r="I9617">
        <v>4347</v>
      </c>
      <c r="J9617" t="s">
        <v>328</v>
      </c>
      <c r="K9617">
        <v>68.61</v>
      </c>
      <c r="L9617">
        <v>13.94</v>
      </c>
      <c r="M9617">
        <v>69704</v>
      </c>
      <c r="N9617" t="s">
        <v>89</v>
      </c>
      <c r="O9617">
        <v>250617</v>
      </c>
      <c r="P9617">
        <v>54.67</v>
      </c>
    </row>
    <row r="9618" spans="1:16" x14ac:dyDescent="0.25">
      <c r="A9618" t="s">
        <v>3296</v>
      </c>
      <c r="B9618" t="s">
        <v>2931</v>
      </c>
      <c r="C9618">
        <v>8616</v>
      </c>
      <c r="D9618" t="str">
        <f>"2125004570  "</f>
        <v xml:space="preserve">2125004570  </v>
      </c>
      <c r="E9618" t="s">
        <v>337</v>
      </c>
      <c r="F9618" t="s">
        <v>338</v>
      </c>
      <c r="G9618">
        <v>49.97</v>
      </c>
      <c r="H9618">
        <v>250528</v>
      </c>
      <c r="I9618">
        <v>4347</v>
      </c>
      <c r="J9618" t="s">
        <v>328</v>
      </c>
      <c r="K9618">
        <v>49.97</v>
      </c>
      <c r="L9618">
        <v>10.15</v>
      </c>
      <c r="M9618">
        <v>46555</v>
      </c>
      <c r="N9618" t="s">
        <v>103</v>
      </c>
      <c r="O9618">
        <v>250617</v>
      </c>
      <c r="P9618">
        <v>39.82</v>
      </c>
    </row>
    <row r="9619" spans="1:16" x14ac:dyDescent="0.25">
      <c r="A9619" t="s">
        <v>3296</v>
      </c>
      <c r="B9619" t="s">
        <v>2931</v>
      </c>
      <c r="C9619">
        <v>8621</v>
      </c>
      <c r="D9619" t="str">
        <f>"2125004403  "</f>
        <v xml:space="preserve">2125004403  </v>
      </c>
      <c r="E9619" t="s">
        <v>337</v>
      </c>
      <c r="F9619" t="s">
        <v>338</v>
      </c>
      <c r="G9619">
        <v>167.43</v>
      </c>
      <c r="H9619">
        <v>250528</v>
      </c>
      <c r="I9619">
        <v>4347</v>
      </c>
      <c r="J9619" t="s">
        <v>328</v>
      </c>
      <c r="K9619">
        <v>167.43</v>
      </c>
      <c r="L9619">
        <v>34.020000000000003</v>
      </c>
      <c r="M9619">
        <v>66722</v>
      </c>
      <c r="N9619" t="s">
        <v>118</v>
      </c>
      <c r="O9619">
        <v>250617</v>
      </c>
      <c r="P9619">
        <v>133.41</v>
      </c>
    </row>
    <row r="9620" spans="1:16" x14ac:dyDescent="0.25">
      <c r="A9620" t="s">
        <v>3296</v>
      </c>
      <c r="B9620" t="s">
        <v>2931</v>
      </c>
      <c r="C9620">
        <v>8622</v>
      </c>
      <c r="D9620" t="str">
        <f>"2125004466  "</f>
        <v xml:space="preserve">2125004466  </v>
      </c>
      <c r="E9620" t="s">
        <v>337</v>
      </c>
      <c r="F9620" t="s">
        <v>338</v>
      </c>
      <c r="G9620">
        <v>34.33</v>
      </c>
      <c r="H9620">
        <v>250528</v>
      </c>
      <c r="I9620">
        <v>4347</v>
      </c>
      <c r="J9620" t="s">
        <v>328</v>
      </c>
      <c r="K9620">
        <v>68.66</v>
      </c>
      <c r="L9620">
        <v>6.98</v>
      </c>
      <c r="M9620">
        <v>17131</v>
      </c>
      <c r="N9620" t="s">
        <v>154</v>
      </c>
      <c r="O9620">
        <v>250617</v>
      </c>
      <c r="P9620">
        <v>27.35</v>
      </c>
    </row>
    <row r="9621" spans="1:16" x14ac:dyDescent="0.25">
      <c r="A9621" t="s">
        <v>3296</v>
      </c>
      <c r="B9621" t="s">
        <v>2931</v>
      </c>
      <c r="C9621">
        <v>8622</v>
      </c>
      <c r="D9621" t="str">
        <f>"2125004466  "</f>
        <v xml:space="preserve">2125004466  </v>
      </c>
      <c r="E9621" t="s">
        <v>337</v>
      </c>
      <c r="F9621" t="s">
        <v>338</v>
      </c>
      <c r="G9621">
        <v>34.33</v>
      </c>
      <c r="H9621">
        <v>250528</v>
      </c>
      <c r="I9621">
        <v>4347</v>
      </c>
      <c r="J9621" t="s">
        <v>328</v>
      </c>
      <c r="K9621">
        <v>68.66</v>
      </c>
      <c r="L9621">
        <v>6.98</v>
      </c>
      <c r="M9621">
        <v>17711</v>
      </c>
      <c r="N9621" t="s">
        <v>155</v>
      </c>
      <c r="O9621">
        <v>250617</v>
      </c>
      <c r="P9621">
        <v>27.35</v>
      </c>
    </row>
    <row r="9622" spans="1:16" x14ac:dyDescent="0.25">
      <c r="A9622" t="s">
        <v>3296</v>
      </c>
      <c r="B9622" t="s">
        <v>2931</v>
      </c>
      <c r="C9622">
        <v>8623</v>
      </c>
      <c r="D9622" t="str">
        <f>"2125005221  "</f>
        <v xml:space="preserve">2125005221  </v>
      </c>
      <c r="E9622" t="s">
        <v>337</v>
      </c>
      <c r="F9622" t="s">
        <v>338</v>
      </c>
      <c r="G9622">
        <v>8.36</v>
      </c>
      <c r="H9622">
        <v>250528</v>
      </c>
      <c r="I9622">
        <v>4347</v>
      </c>
      <c r="J9622" t="s">
        <v>328</v>
      </c>
      <c r="K9622">
        <v>8.36</v>
      </c>
      <c r="L9622">
        <v>1.7</v>
      </c>
      <c r="M9622">
        <v>46556</v>
      </c>
      <c r="N9622" t="s">
        <v>458</v>
      </c>
      <c r="O9622">
        <v>250617</v>
      </c>
      <c r="P9622">
        <v>6.66</v>
      </c>
    </row>
    <row r="9623" spans="1:16" x14ac:dyDescent="0.25">
      <c r="A9623" t="s">
        <v>3296</v>
      </c>
      <c r="B9623" t="s">
        <v>2931</v>
      </c>
      <c r="C9623">
        <v>8625</v>
      </c>
      <c r="D9623" t="str">
        <f>"2125004469  "</f>
        <v xml:space="preserve">2125004469  </v>
      </c>
      <c r="E9623" t="s">
        <v>337</v>
      </c>
      <c r="F9623" t="s">
        <v>338</v>
      </c>
      <c r="G9623">
        <v>90.57</v>
      </c>
      <c r="H9623">
        <v>250528</v>
      </c>
      <c r="I9623">
        <v>4347</v>
      </c>
      <c r="J9623" t="s">
        <v>328</v>
      </c>
      <c r="K9623">
        <v>90.57</v>
      </c>
      <c r="L9623">
        <v>18.399999999999999</v>
      </c>
      <c r="M9623">
        <v>13601</v>
      </c>
      <c r="N9623" t="s">
        <v>115</v>
      </c>
      <c r="O9623">
        <v>250617</v>
      </c>
      <c r="P9623">
        <v>72.17</v>
      </c>
    </row>
    <row r="9624" spans="1:16" x14ac:dyDescent="0.25">
      <c r="A9624" t="s">
        <v>3296</v>
      </c>
      <c r="B9624" t="s">
        <v>2931</v>
      </c>
      <c r="C9624">
        <v>8629</v>
      </c>
      <c r="D9624" t="str">
        <f>"2125004464  "</f>
        <v xml:space="preserve">2125004464  </v>
      </c>
      <c r="E9624" t="s">
        <v>337</v>
      </c>
      <c r="F9624" t="s">
        <v>338</v>
      </c>
      <c r="G9624">
        <v>35.86</v>
      </c>
      <c r="H9624">
        <v>250528</v>
      </c>
      <c r="I9624">
        <v>4347</v>
      </c>
      <c r="J9624" t="s">
        <v>328</v>
      </c>
      <c r="K9624">
        <v>35.86</v>
      </c>
      <c r="L9624">
        <v>7.29</v>
      </c>
      <c r="M9624">
        <v>17971</v>
      </c>
      <c r="N9624" t="s">
        <v>27</v>
      </c>
      <c r="O9624">
        <v>250617</v>
      </c>
      <c r="P9624">
        <v>28.57</v>
      </c>
    </row>
    <row r="9625" spans="1:16" x14ac:dyDescent="0.25">
      <c r="A9625" t="s">
        <v>3296</v>
      </c>
      <c r="B9625" t="s">
        <v>2931</v>
      </c>
      <c r="C9625">
        <v>8630</v>
      </c>
      <c r="D9625" t="str">
        <f>"2125004795  "</f>
        <v xml:space="preserve">2125004795  </v>
      </c>
      <c r="E9625" t="s">
        <v>337</v>
      </c>
      <c r="F9625" t="s">
        <v>338</v>
      </c>
      <c r="G9625">
        <v>53.94</v>
      </c>
      <c r="H9625">
        <v>250528</v>
      </c>
      <c r="I9625">
        <v>4347</v>
      </c>
      <c r="J9625" t="s">
        <v>328</v>
      </c>
      <c r="K9625">
        <v>53.94</v>
      </c>
      <c r="L9625">
        <v>10.96</v>
      </c>
      <c r="M9625">
        <v>56560</v>
      </c>
      <c r="N9625" t="s">
        <v>52</v>
      </c>
      <c r="O9625">
        <v>250617</v>
      </c>
      <c r="P9625">
        <v>42.98</v>
      </c>
    </row>
    <row r="9626" spans="1:16" x14ac:dyDescent="0.25">
      <c r="A9626" t="s">
        <v>3296</v>
      </c>
      <c r="B9626" t="s">
        <v>2931</v>
      </c>
      <c r="C9626">
        <v>8636</v>
      </c>
      <c r="D9626" t="str">
        <f>"2125004465  "</f>
        <v xml:space="preserve">2125004465  </v>
      </c>
      <c r="E9626" t="s">
        <v>337</v>
      </c>
      <c r="F9626" t="s">
        <v>338</v>
      </c>
      <c r="G9626">
        <v>147.88</v>
      </c>
      <c r="H9626">
        <v>250528</v>
      </c>
      <c r="I9626">
        <v>4347</v>
      </c>
      <c r="J9626" t="s">
        <v>328</v>
      </c>
      <c r="K9626">
        <v>147.88</v>
      </c>
      <c r="L9626">
        <v>30.05</v>
      </c>
      <c r="M9626">
        <v>17808</v>
      </c>
      <c r="N9626" t="s">
        <v>24</v>
      </c>
      <c r="O9626">
        <v>250617</v>
      </c>
      <c r="P9626">
        <v>117.83</v>
      </c>
    </row>
    <row r="9627" spans="1:16" x14ac:dyDescent="0.25">
      <c r="A9627" t="s">
        <v>3296</v>
      </c>
      <c r="B9627" t="s">
        <v>2931</v>
      </c>
      <c r="C9627">
        <v>8638</v>
      </c>
      <c r="D9627" t="str">
        <f>"2125004401  "</f>
        <v xml:space="preserve">2125004401  </v>
      </c>
      <c r="E9627" t="s">
        <v>337</v>
      </c>
      <c r="F9627" t="s">
        <v>338</v>
      </c>
      <c r="G9627">
        <v>243.65</v>
      </c>
      <c r="H9627">
        <v>250528</v>
      </c>
      <c r="I9627">
        <v>4347</v>
      </c>
      <c r="J9627" t="s">
        <v>328</v>
      </c>
      <c r="K9627">
        <v>243.65</v>
      </c>
      <c r="L9627">
        <v>49.51</v>
      </c>
      <c r="M9627">
        <v>69702</v>
      </c>
      <c r="N9627" t="s">
        <v>124</v>
      </c>
      <c r="O9627">
        <v>250617</v>
      </c>
      <c r="P9627">
        <v>194.14</v>
      </c>
    </row>
    <row r="9628" spans="1:16" x14ac:dyDescent="0.25">
      <c r="A9628" t="s">
        <v>3296</v>
      </c>
      <c r="B9628" t="s">
        <v>2931</v>
      </c>
      <c r="C9628">
        <v>8644</v>
      </c>
      <c r="D9628" t="str">
        <f>"2125004573  "</f>
        <v xml:space="preserve">2125004573  </v>
      </c>
      <c r="E9628" t="s">
        <v>337</v>
      </c>
      <c r="F9628" t="s">
        <v>338</v>
      </c>
      <c r="G9628">
        <v>85.06</v>
      </c>
      <c r="H9628">
        <v>250528</v>
      </c>
      <c r="I9628">
        <v>4347</v>
      </c>
      <c r="J9628" t="s">
        <v>328</v>
      </c>
      <c r="K9628">
        <v>85.06</v>
      </c>
      <c r="L9628">
        <v>17.28</v>
      </c>
      <c r="M9628">
        <v>56559</v>
      </c>
      <c r="N9628" t="s">
        <v>51</v>
      </c>
      <c r="O9628">
        <v>250617</v>
      </c>
      <c r="P9628">
        <v>67.78</v>
      </c>
    </row>
    <row r="9629" spans="1:16" x14ac:dyDescent="0.25">
      <c r="A9629" t="s">
        <v>3296</v>
      </c>
      <c r="B9629" t="s">
        <v>2931</v>
      </c>
      <c r="C9629">
        <v>8645</v>
      </c>
      <c r="D9629" t="str">
        <f>"2125004794  "</f>
        <v xml:space="preserve">2125004794  </v>
      </c>
      <c r="E9629" t="s">
        <v>337</v>
      </c>
      <c r="F9629" t="s">
        <v>338</v>
      </c>
      <c r="G9629">
        <v>89.05</v>
      </c>
      <c r="H9629">
        <v>250528</v>
      </c>
      <c r="I9629">
        <v>4347</v>
      </c>
      <c r="J9629" t="s">
        <v>328</v>
      </c>
      <c r="K9629">
        <v>89.05</v>
      </c>
      <c r="L9629">
        <v>18.09</v>
      </c>
      <c r="M9629">
        <v>59504</v>
      </c>
      <c r="N9629" t="s">
        <v>193</v>
      </c>
      <c r="O9629">
        <v>250617</v>
      </c>
      <c r="P9629">
        <v>70.959999999999994</v>
      </c>
    </row>
    <row r="9630" spans="1:16" x14ac:dyDescent="0.25">
      <c r="A9630" t="s">
        <v>3296</v>
      </c>
      <c r="B9630" t="s">
        <v>2931</v>
      </c>
      <c r="C9630">
        <v>8650</v>
      </c>
      <c r="D9630" t="str">
        <f>"2125004567  "</f>
        <v xml:space="preserve">2125004567  </v>
      </c>
      <c r="E9630" t="s">
        <v>337</v>
      </c>
      <c r="F9630" t="s">
        <v>338</v>
      </c>
      <c r="G9630">
        <v>114</v>
      </c>
      <c r="H9630">
        <v>250528</v>
      </c>
      <c r="I9630">
        <v>4347</v>
      </c>
      <c r="J9630" t="s">
        <v>328</v>
      </c>
      <c r="K9630">
        <v>114</v>
      </c>
      <c r="L9630">
        <v>23.16</v>
      </c>
      <c r="M9630">
        <v>44424</v>
      </c>
      <c r="N9630" t="s">
        <v>99</v>
      </c>
      <c r="O9630">
        <v>250617</v>
      </c>
      <c r="P9630">
        <v>90.84</v>
      </c>
    </row>
    <row r="9631" spans="1:16" x14ac:dyDescent="0.25">
      <c r="A9631" t="s">
        <v>3296</v>
      </c>
      <c r="B9631" t="s">
        <v>2931</v>
      </c>
      <c r="C9631">
        <v>8652</v>
      </c>
      <c r="D9631" t="str">
        <f>"2125004400  "</f>
        <v xml:space="preserve">2125004400  </v>
      </c>
      <c r="E9631" t="s">
        <v>337</v>
      </c>
      <c r="F9631" t="s">
        <v>338</v>
      </c>
      <c r="G9631">
        <v>73.430000000000007</v>
      </c>
      <c r="H9631">
        <v>250528</v>
      </c>
      <c r="I9631">
        <v>4347</v>
      </c>
      <c r="J9631" t="s">
        <v>328</v>
      </c>
      <c r="K9631">
        <v>73.430000000000007</v>
      </c>
      <c r="L9631">
        <v>14.92</v>
      </c>
      <c r="M9631">
        <v>66756</v>
      </c>
      <c r="N9631" t="s">
        <v>120</v>
      </c>
      <c r="O9631">
        <v>250617</v>
      </c>
      <c r="P9631">
        <v>58.51</v>
      </c>
    </row>
    <row r="9632" spans="1:16" x14ac:dyDescent="0.25">
      <c r="A9632" t="s">
        <v>3296</v>
      </c>
      <c r="B9632" t="s">
        <v>2931</v>
      </c>
      <c r="C9632">
        <v>8655</v>
      </c>
      <c r="D9632" t="str">
        <f>"2125004566  "</f>
        <v xml:space="preserve">2125004566  </v>
      </c>
      <c r="E9632" t="s">
        <v>337</v>
      </c>
      <c r="F9632" t="s">
        <v>338</v>
      </c>
      <c r="G9632">
        <v>92.44</v>
      </c>
      <c r="H9632">
        <v>250528</v>
      </c>
      <c r="I9632">
        <v>4347</v>
      </c>
      <c r="J9632" t="s">
        <v>328</v>
      </c>
      <c r="K9632">
        <v>92.44</v>
      </c>
      <c r="L9632">
        <v>18.78</v>
      </c>
      <c r="M9632">
        <v>41126</v>
      </c>
      <c r="N9632" t="s">
        <v>94</v>
      </c>
      <c r="O9632">
        <v>250617</v>
      </c>
      <c r="P9632">
        <v>73.66</v>
      </c>
    </row>
    <row r="9633" spans="1:16" x14ac:dyDescent="0.25">
      <c r="A9633" t="s">
        <v>3296</v>
      </c>
      <c r="B9633" t="s">
        <v>2931</v>
      </c>
      <c r="C9633">
        <v>8657</v>
      </c>
      <c r="D9633" t="str">
        <f>"2125004571  "</f>
        <v xml:space="preserve">2125004571  </v>
      </c>
      <c r="E9633" t="s">
        <v>337</v>
      </c>
      <c r="F9633" t="s">
        <v>338</v>
      </c>
      <c r="G9633">
        <v>120.88</v>
      </c>
      <c r="H9633">
        <v>250528</v>
      </c>
      <c r="I9633">
        <v>4347</v>
      </c>
      <c r="J9633" t="s">
        <v>328</v>
      </c>
      <c r="K9633">
        <v>120.88</v>
      </c>
      <c r="L9633">
        <v>24.56</v>
      </c>
      <c r="M9633">
        <v>44222</v>
      </c>
      <c r="N9633" t="s">
        <v>96</v>
      </c>
      <c r="O9633">
        <v>250617</v>
      </c>
      <c r="P9633">
        <v>96.32</v>
      </c>
    </row>
    <row r="9634" spans="1:16" x14ac:dyDescent="0.25">
      <c r="A9634" t="s">
        <v>3296</v>
      </c>
      <c r="B9634" t="s">
        <v>2931</v>
      </c>
      <c r="C9634">
        <v>8659</v>
      </c>
      <c r="D9634" t="str">
        <f>"2125004744  "</f>
        <v xml:space="preserve">2125004744  </v>
      </c>
      <c r="E9634" t="s">
        <v>337</v>
      </c>
      <c r="F9634" t="s">
        <v>338</v>
      </c>
      <c r="G9634">
        <v>76.069999999999993</v>
      </c>
      <c r="H9634">
        <v>250528</v>
      </c>
      <c r="I9634">
        <v>4347</v>
      </c>
      <c r="J9634" t="s">
        <v>328</v>
      </c>
      <c r="K9634">
        <v>76.069999999999993</v>
      </c>
      <c r="L9634">
        <v>15.46</v>
      </c>
      <c r="M9634">
        <v>54222</v>
      </c>
      <c r="N9634" t="s">
        <v>48</v>
      </c>
      <c r="O9634">
        <v>250617</v>
      </c>
      <c r="P9634">
        <v>60.61</v>
      </c>
    </row>
    <row r="9635" spans="1:16" x14ac:dyDescent="0.25">
      <c r="A9635" t="s">
        <v>3296</v>
      </c>
      <c r="B9635" t="s">
        <v>2931</v>
      </c>
      <c r="C9635">
        <v>8666</v>
      </c>
      <c r="D9635" t="str">
        <f>"2125004576  "</f>
        <v xml:space="preserve">2125004576  </v>
      </c>
      <c r="E9635" t="s">
        <v>337</v>
      </c>
      <c r="F9635" t="s">
        <v>338</v>
      </c>
      <c r="G9635">
        <v>24.77</v>
      </c>
      <c r="H9635">
        <v>250528</v>
      </c>
      <c r="I9635">
        <v>4347</v>
      </c>
      <c r="J9635" t="s">
        <v>328</v>
      </c>
      <c r="K9635">
        <v>24.77</v>
      </c>
      <c r="L9635">
        <v>5.03</v>
      </c>
      <c r="M9635">
        <v>56558</v>
      </c>
      <c r="N9635" t="s">
        <v>50</v>
      </c>
      <c r="O9635">
        <v>250617</v>
      </c>
      <c r="P9635">
        <v>19.739999999999998</v>
      </c>
    </row>
    <row r="9636" spans="1:16" x14ac:dyDescent="0.25">
      <c r="A9636" t="s">
        <v>3296</v>
      </c>
      <c r="B9636" t="s">
        <v>2931</v>
      </c>
      <c r="C9636">
        <v>8669</v>
      </c>
      <c r="D9636" t="str">
        <f>"2125005158  "</f>
        <v xml:space="preserve">2125005158  </v>
      </c>
      <c r="E9636" t="s">
        <v>337</v>
      </c>
      <c r="F9636" t="s">
        <v>338</v>
      </c>
      <c r="G9636">
        <v>79.87</v>
      </c>
      <c r="H9636">
        <v>250528</v>
      </c>
      <c r="I9636">
        <v>4347</v>
      </c>
      <c r="J9636" t="s">
        <v>328</v>
      </c>
      <c r="K9636">
        <v>79.87</v>
      </c>
      <c r="L9636">
        <v>16.23</v>
      </c>
      <c r="M9636">
        <v>43222</v>
      </c>
      <c r="N9636" t="s">
        <v>95</v>
      </c>
      <c r="O9636">
        <v>250617</v>
      </c>
      <c r="P9636">
        <v>63.64</v>
      </c>
    </row>
    <row r="9637" spans="1:16" x14ac:dyDescent="0.25">
      <c r="A9637" t="s">
        <v>3296</v>
      </c>
      <c r="B9637" t="s">
        <v>2931</v>
      </c>
      <c r="C9637">
        <v>8670</v>
      </c>
      <c r="D9637" t="str">
        <f>"2125004575  "</f>
        <v xml:space="preserve">2125004575  </v>
      </c>
      <c r="E9637" t="s">
        <v>337</v>
      </c>
      <c r="F9637" t="s">
        <v>338</v>
      </c>
      <c r="G9637">
        <v>27.77</v>
      </c>
      <c r="H9637">
        <v>250528</v>
      </c>
      <c r="I9637">
        <v>4347</v>
      </c>
      <c r="J9637" t="s">
        <v>328</v>
      </c>
      <c r="K9637">
        <v>27.77</v>
      </c>
      <c r="L9637">
        <v>5.64</v>
      </c>
      <c r="M9637">
        <v>56524</v>
      </c>
      <c r="N9637" t="s">
        <v>69</v>
      </c>
      <c r="O9637">
        <v>250617</v>
      </c>
      <c r="P9637">
        <v>22.13</v>
      </c>
    </row>
    <row r="9638" spans="1:16" x14ac:dyDescent="0.25">
      <c r="A9638" t="s">
        <v>3296</v>
      </c>
      <c r="B9638" t="s">
        <v>2931</v>
      </c>
      <c r="C9638">
        <v>8673</v>
      </c>
      <c r="D9638" t="str">
        <f>"2125004498  "</f>
        <v xml:space="preserve">2125004498  </v>
      </c>
      <c r="E9638" t="s">
        <v>337</v>
      </c>
      <c r="F9638" t="s">
        <v>338</v>
      </c>
      <c r="G9638">
        <v>109.05</v>
      </c>
      <c r="H9638">
        <v>250528</v>
      </c>
      <c r="I9638">
        <v>4347</v>
      </c>
      <c r="J9638" t="s">
        <v>328</v>
      </c>
      <c r="K9638">
        <v>109.05</v>
      </c>
      <c r="L9638">
        <v>22.16</v>
      </c>
      <c r="M9638">
        <v>49701</v>
      </c>
      <c r="N9638" t="s">
        <v>111</v>
      </c>
      <c r="O9638">
        <v>250617</v>
      </c>
      <c r="P9638">
        <v>86.89</v>
      </c>
    </row>
    <row r="9639" spans="1:16" x14ac:dyDescent="0.25">
      <c r="A9639" t="s">
        <v>3296</v>
      </c>
      <c r="B9639" t="s">
        <v>2931</v>
      </c>
      <c r="C9639">
        <v>8674</v>
      </c>
      <c r="D9639" t="str">
        <f>"2125004568  "</f>
        <v xml:space="preserve">2125004568  </v>
      </c>
      <c r="E9639" t="s">
        <v>337</v>
      </c>
      <c r="F9639" t="s">
        <v>338</v>
      </c>
      <c r="G9639">
        <v>100.66</v>
      </c>
      <c r="H9639">
        <v>250528</v>
      </c>
      <c r="I9639">
        <v>4347</v>
      </c>
      <c r="J9639" t="s">
        <v>328</v>
      </c>
      <c r="K9639">
        <v>100.66</v>
      </c>
      <c r="L9639">
        <v>20.45</v>
      </c>
      <c r="M9639">
        <v>46559</v>
      </c>
      <c r="N9639" t="s">
        <v>105</v>
      </c>
      <c r="O9639">
        <v>250617</v>
      </c>
      <c r="P9639">
        <v>80.209999999999994</v>
      </c>
    </row>
    <row r="9640" spans="1:16" x14ac:dyDescent="0.25">
      <c r="A9640" t="s">
        <v>3296</v>
      </c>
      <c r="B9640" t="s">
        <v>2931</v>
      </c>
      <c r="C9640">
        <v>8675</v>
      </c>
      <c r="D9640" t="str">
        <f>"2125004743  "</f>
        <v xml:space="preserve">2125004743  </v>
      </c>
      <c r="E9640" t="s">
        <v>337</v>
      </c>
      <c r="F9640" t="s">
        <v>338</v>
      </c>
      <c r="G9640">
        <v>62.34</v>
      </c>
      <c r="H9640">
        <v>250528</v>
      </c>
      <c r="I9640">
        <v>4347</v>
      </c>
      <c r="J9640" t="s">
        <v>328</v>
      </c>
      <c r="K9640">
        <v>62.34</v>
      </c>
      <c r="L9640">
        <v>12.67</v>
      </c>
      <c r="M9640">
        <v>56522</v>
      </c>
      <c r="N9640" t="s">
        <v>68</v>
      </c>
      <c r="O9640">
        <v>250617</v>
      </c>
      <c r="P9640">
        <v>49.67</v>
      </c>
    </row>
    <row r="9641" spans="1:16" x14ac:dyDescent="0.25">
      <c r="A9641" t="s">
        <v>3296</v>
      </c>
      <c r="B9641" t="s">
        <v>2931</v>
      </c>
      <c r="C9641">
        <v>8680</v>
      </c>
      <c r="D9641" t="str">
        <f>"2125004507  "</f>
        <v xml:space="preserve">2125004507  </v>
      </c>
      <c r="E9641" t="s">
        <v>337</v>
      </c>
      <c r="F9641" t="s">
        <v>338</v>
      </c>
      <c r="G9641">
        <v>124.37</v>
      </c>
      <c r="H9641">
        <v>250528</v>
      </c>
      <c r="I9641">
        <v>4347</v>
      </c>
      <c r="J9641" t="s">
        <v>328</v>
      </c>
      <c r="K9641">
        <v>124.37</v>
      </c>
      <c r="L9641">
        <v>25.27</v>
      </c>
      <c r="M9641">
        <v>11501</v>
      </c>
      <c r="N9641" t="s">
        <v>13</v>
      </c>
      <c r="O9641">
        <v>250617</v>
      </c>
      <c r="P9641">
        <v>99.1</v>
      </c>
    </row>
    <row r="9642" spans="1:16" x14ac:dyDescent="0.25">
      <c r="A9642" t="s">
        <v>3296</v>
      </c>
      <c r="B9642" t="s">
        <v>2931</v>
      </c>
      <c r="C9642">
        <v>8681</v>
      </c>
      <c r="D9642" t="str">
        <f>"2125004574  "</f>
        <v xml:space="preserve">2125004574  </v>
      </c>
      <c r="E9642" t="s">
        <v>337</v>
      </c>
      <c r="F9642" t="s">
        <v>338</v>
      </c>
      <c r="G9642">
        <v>23.14</v>
      </c>
      <c r="H9642">
        <v>250528</v>
      </c>
      <c r="I9642">
        <v>4347</v>
      </c>
      <c r="J9642" t="s">
        <v>328</v>
      </c>
      <c r="K9642">
        <v>23.14</v>
      </c>
      <c r="L9642">
        <v>4.7</v>
      </c>
      <c r="M9642">
        <v>56558</v>
      </c>
      <c r="N9642" t="s">
        <v>50</v>
      </c>
      <c r="O9642">
        <v>250617</v>
      </c>
      <c r="P9642">
        <v>18.440000000000001</v>
      </c>
    </row>
    <row r="9643" spans="1:16" x14ac:dyDescent="0.25">
      <c r="A9643" t="s">
        <v>3296</v>
      </c>
      <c r="B9643" t="s">
        <v>2931</v>
      </c>
      <c r="C9643">
        <v>8683</v>
      </c>
      <c r="D9643" t="str">
        <f>"2125004569  "</f>
        <v xml:space="preserve">2125004569  </v>
      </c>
      <c r="E9643" t="s">
        <v>337</v>
      </c>
      <c r="F9643" t="s">
        <v>338</v>
      </c>
      <c r="G9643">
        <v>27.7</v>
      </c>
      <c r="H9643">
        <v>250528</v>
      </c>
      <c r="I9643">
        <v>4347</v>
      </c>
      <c r="J9643" t="s">
        <v>328</v>
      </c>
      <c r="K9643">
        <v>27.7</v>
      </c>
      <c r="L9643">
        <v>5.63</v>
      </c>
      <c r="M9643">
        <v>44424</v>
      </c>
      <c r="N9643" t="s">
        <v>99</v>
      </c>
      <c r="O9643">
        <v>250617</v>
      </c>
      <c r="P9643">
        <v>22.07</v>
      </c>
    </row>
    <row r="9644" spans="1:16" x14ac:dyDescent="0.25">
      <c r="A9644" t="s">
        <v>3296</v>
      </c>
      <c r="B9644" t="s">
        <v>2931</v>
      </c>
      <c r="C9644">
        <v>8740</v>
      </c>
      <c r="D9644" t="str">
        <f>"2125005839  "</f>
        <v xml:space="preserve">2125005839  </v>
      </c>
      <c r="E9644" t="s">
        <v>337</v>
      </c>
      <c r="F9644" t="s">
        <v>338</v>
      </c>
      <c r="G9644">
        <v>199.55</v>
      </c>
      <c r="H9644">
        <v>250604</v>
      </c>
      <c r="I9644">
        <v>4347</v>
      </c>
      <c r="J9644" t="s">
        <v>328</v>
      </c>
      <c r="K9644">
        <v>199.55</v>
      </c>
      <c r="L9644">
        <v>40.549999999999997</v>
      </c>
      <c r="M9644">
        <v>14972</v>
      </c>
      <c r="N9644" t="s">
        <v>82</v>
      </c>
      <c r="O9644">
        <v>250617</v>
      </c>
      <c r="P9644">
        <v>159</v>
      </c>
    </row>
    <row r="9645" spans="1:16" x14ac:dyDescent="0.25">
      <c r="A9645" t="s">
        <v>3296</v>
      </c>
      <c r="B9645" t="s">
        <v>2931</v>
      </c>
      <c r="C9645">
        <v>8743</v>
      </c>
      <c r="D9645" t="str">
        <f>"2125005838  "</f>
        <v xml:space="preserve">2125005838  </v>
      </c>
      <c r="E9645" t="s">
        <v>337</v>
      </c>
      <c r="F9645" t="s">
        <v>338</v>
      </c>
      <c r="G9645">
        <v>199.55</v>
      </c>
      <c r="H9645">
        <v>250604</v>
      </c>
      <c r="I9645">
        <v>4347</v>
      </c>
      <c r="J9645" t="s">
        <v>328</v>
      </c>
      <c r="K9645">
        <v>199.55</v>
      </c>
      <c r="L9645">
        <v>40.549999999999997</v>
      </c>
      <c r="M9645">
        <v>14972</v>
      </c>
      <c r="N9645" t="s">
        <v>82</v>
      </c>
      <c r="O9645">
        <v>250617</v>
      </c>
      <c r="P9645">
        <v>159</v>
      </c>
    </row>
    <row r="9646" spans="1:16" x14ac:dyDescent="0.25">
      <c r="A9646" t="s">
        <v>3296</v>
      </c>
      <c r="B9646" t="s">
        <v>2931</v>
      </c>
      <c r="C9646">
        <v>9331</v>
      </c>
      <c r="D9646" t="str">
        <f>"2125007893  "</f>
        <v xml:space="preserve">2125007893  </v>
      </c>
      <c r="E9646" t="s">
        <v>337</v>
      </c>
      <c r="F9646" t="s">
        <v>338</v>
      </c>
      <c r="G9646">
        <v>6.65</v>
      </c>
      <c r="H9646">
        <v>250630</v>
      </c>
      <c r="I9646">
        <v>4347</v>
      </c>
      <c r="J9646" t="s">
        <v>328</v>
      </c>
      <c r="K9646">
        <v>6.65</v>
      </c>
      <c r="L9646">
        <v>1.35</v>
      </c>
      <c r="M9646">
        <v>14622</v>
      </c>
      <c r="N9646" t="s">
        <v>77</v>
      </c>
      <c r="O9646">
        <v>250703</v>
      </c>
      <c r="P9646">
        <v>5.3</v>
      </c>
    </row>
    <row r="9647" spans="1:16" x14ac:dyDescent="0.25">
      <c r="A9647" t="s">
        <v>3296</v>
      </c>
      <c r="B9647" t="s">
        <v>2931</v>
      </c>
      <c r="C9647">
        <v>9332</v>
      </c>
      <c r="D9647" t="str">
        <f>"2125007154  "</f>
        <v xml:space="preserve">2125007154  </v>
      </c>
      <c r="E9647" t="s">
        <v>337</v>
      </c>
      <c r="F9647" t="s">
        <v>338</v>
      </c>
      <c r="G9647">
        <v>7.62</v>
      </c>
      <c r="H9647">
        <v>250630</v>
      </c>
      <c r="I9647">
        <v>4347</v>
      </c>
      <c r="J9647" t="s">
        <v>328</v>
      </c>
      <c r="K9647">
        <v>38.08</v>
      </c>
      <c r="L9647">
        <v>1.55</v>
      </c>
      <c r="M9647">
        <v>11001</v>
      </c>
      <c r="N9647" t="s">
        <v>93</v>
      </c>
      <c r="O9647">
        <v>250703</v>
      </c>
      <c r="P9647">
        <v>6.07</v>
      </c>
    </row>
    <row r="9648" spans="1:16" x14ac:dyDescent="0.25">
      <c r="A9648" t="s">
        <v>3296</v>
      </c>
      <c r="B9648" t="s">
        <v>2931</v>
      </c>
      <c r="C9648">
        <v>9332</v>
      </c>
      <c r="D9648" t="str">
        <f>"2125007154  "</f>
        <v xml:space="preserve">2125007154  </v>
      </c>
      <c r="E9648" t="s">
        <v>337</v>
      </c>
      <c r="F9648" t="s">
        <v>338</v>
      </c>
      <c r="G9648">
        <v>15.23</v>
      </c>
      <c r="H9648">
        <v>250630</v>
      </c>
      <c r="I9648">
        <v>4347</v>
      </c>
      <c r="J9648" t="s">
        <v>328</v>
      </c>
      <c r="K9648">
        <v>38.08</v>
      </c>
      <c r="L9648">
        <v>3.09</v>
      </c>
      <c r="M9648">
        <v>11101</v>
      </c>
      <c r="N9648" t="s">
        <v>67</v>
      </c>
      <c r="O9648">
        <v>250703</v>
      </c>
      <c r="P9648">
        <v>12.14</v>
      </c>
    </row>
    <row r="9649" spans="1:16" x14ac:dyDescent="0.25">
      <c r="A9649" t="s">
        <v>3296</v>
      </c>
      <c r="B9649" t="s">
        <v>2931</v>
      </c>
      <c r="C9649">
        <v>9332</v>
      </c>
      <c r="D9649" t="str">
        <f>"2125007154  "</f>
        <v xml:space="preserve">2125007154  </v>
      </c>
      <c r="E9649" t="s">
        <v>337</v>
      </c>
      <c r="F9649" t="s">
        <v>338</v>
      </c>
      <c r="G9649">
        <v>15.23</v>
      </c>
      <c r="H9649">
        <v>250630</v>
      </c>
      <c r="I9649">
        <v>4347</v>
      </c>
      <c r="J9649" t="s">
        <v>328</v>
      </c>
      <c r="K9649">
        <v>38.08</v>
      </c>
      <c r="L9649">
        <v>3.09</v>
      </c>
      <c r="M9649">
        <v>18971</v>
      </c>
      <c r="N9649" t="s">
        <v>38</v>
      </c>
      <c r="O9649">
        <v>250703</v>
      </c>
      <c r="P9649">
        <v>12.14</v>
      </c>
    </row>
    <row r="9650" spans="1:16" x14ac:dyDescent="0.25">
      <c r="A9650" t="s">
        <v>3296</v>
      </c>
      <c r="B9650" t="s">
        <v>2931</v>
      </c>
      <c r="C9650">
        <v>9675</v>
      </c>
      <c r="D9650" t="str">
        <f>"2125007156  "</f>
        <v xml:space="preserve">2125007156  </v>
      </c>
      <c r="E9650" t="s">
        <v>337</v>
      </c>
      <c r="F9650" t="s">
        <v>338</v>
      </c>
      <c r="G9650">
        <v>52.43</v>
      </c>
      <c r="H9650">
        <v>250630</v>
      </c>
      <c r="I9650">
        <v>4347</v>
      </c>
      <c r="J9650" t="s">
        <v>328</v>
      </c>
      <c r="K9650">
        <v>52.43</v>
      </c>
      <c r="L9650">
        <v>10.65</v>
      </c>
      <c r="M9650">
        <v>56562</v>
      </c>
      <c r="N9650" t="s">
        <v>54</v>
      </c>
      <c r="O9650">
        <v>250724</v>
      </c>
      <c r="P9650">
        <v>41.78</v>
      </c>
    </row>
    <row r="9651" spans="1:16" x14ac:dyDescent="0.25">
      <c r="A9651" t="s">
        <v>3296</v>
      </c>
      <c r="B9651" t="s">
        <v>2931</v>
      </c>
      <c r="C9651">
        <v>9677</v>
      </c>
      <c r="D9651" t="str">
        <f>"2125007157  "</f>
        <v xml:space="preserve">2125007157  </v>
      </c>
      <c r="E9651" t="s">
        <v>337</v>
      </c>
      <c r="F9651" t="s">
        <v>338</v>
      </c>
      <c r="G9651">
        <v>68.03</v>
      </c>
      <c r="H9651">
        <v>250630</v>
      </c>
      <c r="I9651">
        <v>4347</v>
      </c>
      <c r="J9651" t="s">
        <v>328</v>
      </c>
      <c r="K9651">
        <v>68.03</v>
      </c>
      <c r="L9651">
        <v>13.82</v>
      </c>
      <c r="M9651">
        <v>59702</v>
      </c>
      <c r="N9651" t="s">
        <v>45</v>
      </c>
      <c r="O9651">
        <v>250724</v>
      </c>
      <c r="P9651">
        <v>54.21</v>
      </c>
    </row>
    <row r="9652" spans="1:16" x14ac:dyDescent="0.25">
      <c r="A9652" t="s">
        <v>3296</v>
      </c>
      <c r="B9652" t="s">
        <v>2931</v>
      </c>
      <c r="C9652">
        <v>9678</v>
      </c>
      <c r="D9652" t="str">
        <f>"2125007017  "</f>
        <v xml:space="preserve">2125007017  </v>
      </c>
      <c r="E9652" t="s">
        <v>337</v>
      </c>
      <c r="F9652" t="s">
        <v>338</v>
      </c>
      <c r="G9652">
        <v>50.56</v>
      </c>
      <c r="H9652">
        <v>250630</v>
      </c>
      <c r="I9652">
        <v>4347</v>
      </c>
      <c r="J9652" t="s">
        <v>328</v>
      </c>
      <c r="K9652">
        <v>50.56</v>
      </c>
      <c r="L9652">
        <v>10.27</v>
      </c>
      <c r="M9652">
        <v>17533</v>
      </c>
      <c r="N9652" t="s">
        <v>147</v>
      </c>
      <c r="O9652">
        <v>250724</v>
      </c>
      <c r="P9652">
        <v>40.29</v>
      </c>
    </row>
    <row r="9653" spans="1:16" x14ac:dyDescent="0.25">
      <c r="A9653" t="s">
        <v>3296</v>
      </c>
      <c r="B9653" t="s">
        <v>2931</v>
      </c>
      <c r="C9653">
        <v>9682</v>
      </c>
      <c r="D9653" t="str">
        <f>"2125007152  "</f>
        <v xml:space="preserve">2125007152  </v>
      </c>
      <c r="E9653" t="s">
        <v>337</v>
      </c>
      <c r="F9653" t="s">
        <v>338</v>
      </c>
      <c r="G9653">
        <v>95.93</v>
      </c>
      <c r="H9653">
        <v>250630</v>
      </c>
      <c r="I9653">
        <v>4347</v>
      </c>
      <c r="J9653" t="s">
        <v>328</v>
      </c>
      <c r="K9653">
        <v>95.93</v>
      </c>
      <c r="L9653">
        <v>19.489999999999998</v>
      </c>
      <c r="M9653">
        <v>59701</v>
      </c>
      <c r="N9653" t="s">
        <v>64</v>
      </c>
      <c r="O9653">
        <v>250724</v>
      </c>
      <c r="P9653">
        <v>76.44</v>
      </c>
    </row>
    <row r="9654" spans="1:16" x14ac:dyDescent="0.25">
      <c r="A9654" t="s">
        <v>3296</v>
      </c>
      <c r="B9654" t="s">
        <v>2931</v>
      </c>
      <c r="C9654">
        <v>9684</v>
      </c>
      <c r="D9654" t="str">
        <f>"2125007196  "</f>
        <v xml:space="preserve">2125007196  </v>
      </c>
      <c r="E9654" t="s">
        <v>337</v>
      </c>
      <c r="F9654" t="s">
        <v>338</v>
      </c>
      <c r="G9654">
        <v>29.24</v>
      </c>
      <c r="H9654">
        <v>250630</v>
      </c>
      <c r="I9654">
        <v>4347</v>
      </c>
      <c r="J9654" t="s">
        <v>328</v>
      </c>
      <c r="K9654">
        <v>29.24</v>
      </c>
      <c r="L9654">
        <v>5.94</v>
      </c>
      <c r="M9654">
        <v>17806</v>
      </c>
      <c r="N9654" t="s">
        <v>22</v>
      </c>
      <c r="O9654">
        <v>250724</v>
      </c>
      <c r="P9654">
        <v>23.3</v>
      </c>
    </row>
    <row r="9655" spans="1:16" x14ac:dyDescent="0.25">
      <c r="A9655" t="s">
        <v>3296</v>
      </c>
      <c r="B9655" t="s">
        <v>2931</v>
      </c>
      <c r="C9655">
        <v>9687</v>
      </c>
      <c r="D9655" t="str">
        <f>"2125007150  "</f>
        <v xml:space="preserve">2125007150  </v>
      </c>
      <c r="E9655" t="s">
        <v>337</v>
      </c>
      <c r="F9655" t="s">
        <v>338</v>
      </c>
      <c r="G9655">
        <v>45.29</v>
      </c>
      <c r="H9655">
        <v>250630</v>
      </c>
      <c r="I9655">
        <v>4347</v>
      </c>
      <c r="J9655" t="s">
        <v>328</v>
      </c>
      <c r="K9655">
        <v>45.29</v>
      </c>
      <c r="L9655">
        <v>9.1999999999999993</v>
      </c>
      <c r="M9655">
        <v>56526</v>
      </c>
      <c r="N9655" t="s">
        <v>506</v>
      </c>
      <c r="O9655">
        <v>250724</v>
      </c>
      <c r="P9655">
        <v>36.090000000000003</v>
      </c>
    </row>
    <row r="9656" spans="1:16" x14ac:dyDescent="0.25">
      <c r="A9656" t="s">
        <v>3296</v>
      </c>
      <c r="B9656" t="s">
        <v>2931</v>
      </c>
      <c r="C9656">
        <v>9688</v>
      </c>
      <c r="D9656" t="str">
        <f>"2125007155  "</f>
        <v xml:space="preserve">2125007155  </v>
      </c>
      <c r="E9656" t="s">
        <v>337</v>
      </c>
      <c r="F9656" t="s">
        <v>338</v>
      </c>
      <c r="G9656">
        <v>59.22</v>
      </c>
      <c r="H9656">
        <v>250630</v>
      </c>
      <c r="I9656">
        <v>4347</v>
      </c>
      <c r="J9656" t="s">
        <v>328</v>
      </c>
      <c r="K9656">
        <v>59.22</v>
      </c>
      <c r="L9656">
        <v>12.03</v>
      </c>
      <c r="M9656">
        <v>56566</v>
      </c>
      <c r="N9656" t="s">
        <v>58</v>
      </c>
      <c r="O9656">
        <v>250724</v>
      </c>
      <c r="P9656">
        <v>47.19</v>
      </c>
    </row>
    <row r="9657" spans="1:16" x14ac:dyDescent="0.25">
      <c r="A9657" t="s">
        <v>3296</v>
      </c>
      <c r="B9657" t="s">
        <v>2931</v>
      </c>
      <c r="C9657">
        <v>9689</v>
      </c>
      <c r="D9657" t="str">
        <f>"2125007175  "</f>
        <v xml:space="preserve">2125007175  </v>
      </c>
      <c r="E9657" t="s">
        <v>337</v>
      </c>
      <c r="F9657" t="s">
        <v>338</v>
      </c>
      <c r="G9657">
        <v>97.95</v>
      </c>
      <c r="H9657">
        <v>250630</v>
      </c>
      <c r="I9657">
        <v>4347</v>
      </c>
      <c r="J9657" t="s">
        <v>328</v>
      </c>
      <c r="K9657">
        <v>97.95</v>
      </c>
      <c r="L9657">
        <v>19.899999999999999</v>
      </c>
      <c r="M9657">
        <v>47522</v>
      </c>
      <c r="N9657" t="s">
        <v>106</v>
      </c>
      <c r="O9657">
        <v>250724</v>
      </c>
      <c r="P9657">
        <v>78.05</v>
      </c>
    </row>
    <row r="9658" spans="1:16" x14ac:dyDescent="0.25">
      <c r="A9658" t="s">
        <v>3296</v>
      </c>
      <c r="B9658" t="s">
        <v>2931</v>
      </c>
      <c r="C9658">
        <v>9693</v>
      </c>
      <c r="D9658" t="str">
        <f>"2125007153  "</f>
        <v xml:space="preserve">2125007153  </v>
      </c>
      <c r="E9658" t="s">
        <v>337</v>
      </c>
      <c r="F9658" t="s">
        <v>338</v>
      </c>
      <c r="G9658">
        <v>81.739999999999995</v>
      </c>
      <c r="H9658">
        <v>250630</v>
      </c>
      <c r="I9658">
        <v>4347</v>
      </c>
      <c r="J9658" t="s">
        <v>328</v>
      </c>
      <c r="K9658">
        <v>81.739999999999995</v>
      </c>
      <c r="L9658">
        <v>16.61</v>
      </c>
      <c r="M9658">
        <v>54422</v>
      </c>
      <c r="N9658" t="s">
        <v>49</v>
      </c>
      <c r="O9658">
        <v>250724</v>
      </c>
      <c r="P9658">
        <v>65.13</v>
      </c>
    </row>
    <row r="9659" spans="1:16" x14ac:dyDescent="0.25">
      <c r="A9659" t="s">
        <v>3296</v>
      </c>
      <c r="B9659" t="s">
        <v>2931</v>
      </c>
      <c r="C9659">
        <v>9694</v>
      </c>
      <c r="D9659" t="str">
        <f>"2125007016  "</f>
        <v xml:space="preserve">2125007016  </v>
      </c>
      <c r="E9659" t="s">
        <v>337</v>
      </c>
      <c r="F9659" t="s">
        <v>338</v>
      </c>
      <c r="G9659">
        <v>84.67</v>
      </c>
      <c r="H9659">
        <v>250630</v>
      </c>
      <c r="I9659">
        <v>4347</v>
      </c>
      <c r="J9659" t="s">
        <v>328</v>
      </c>
      <c r="K9659">
        <v>84.67</v>
      </c>
      <c r="L9659">
        <v>17.2</v>
      </c>
      <c r="M9659">
        <v>13501</v>
      </c>
      <c r="N9659" t="s">
        <v>66</v>
      </c>
      <c r="O9659">
        <v>250724</v>
      </c>
      <c r="P9659">
        <v>67.47</v>
      </c>
    </row>
    <row r="9660" spans="1:16" x14ac:dyDescent="0.25">
      <c r="A9660" t="s">
        <v>3296</v>
      </c>
      <c r="B9660" t="s">
        <v>2931</v>
      </c>
      <c r="C9660">
        <v>9696</v>
      </c>
      <c r="D9660" t="str">
        <f>"2125007158  "</f>
        <v xml:space="preserve">2125007158  </v>
      </c>
      <c r="E9660" t="s">
        <v>337</v>
      </c>
      <c r="F9660" t="s">
        <v>338</v>
      </c>
      <c r="G9660">
        <v>72.41</v>
      </c>
      <c r="H9660">
        <v>250630</v>
      </c>
      <c r="I9660">
        <v>4347</v>
      </c>
      <c r="J9660" t="s">
        <v>328</v>
      </c>
      <c r="K9660">
        <v>72.41</v>
      </c>
      <c r="L9660">
        <v>14.71</v>
      </c>
      <c r="M9660">
        <v>53222</v>
      </c>
      <c r="N9660" t="s">
        <v>41</v>
      </c>
      <c r="O9660">
        <v>250724</v>
      </c>
      <c r="P9660">
        <v>57.7</v>
      </c>
    </row>
    <row r="9661" spans="1:16" x14ac:dyDescent="0.25">
      <c r="A9661" t="s">
        <v>3296</v>
      </c>
      <c r="B9661" t="s">
        <v>2931</v>
      </c>
      <c r="C9661">
        <v>9940</v>
      </c>
      <c r="D9661" t="str">
        <f>"2125010550  "</f>
        <v xml:space="preserve">2125010550  </v>
      </c>
      <c r="E9661" t="s">
        <v>337</v>
      </c>
      <c r="F9661" t="s">
        <v>338</v>
      </c>
      <c r="G9661">
        <v>27.23</v>
      </c>
      <c r="H9661">
        <v>250729</v>
      </c>
      <c r="I9661">
        <v>4347</v>
      </c>
      <c r="J9661" t="s">
        <v>328</v>
      </c>
      <c r="K9661">
        <v>27.23</v>
      </c>
      <c r="L9661">
        <v>5.53</v>
      </c>
      <c r="M9661">
        <v>59503</v>
      </c>
      <c r="N9661" t="s">
        <v>766</v>
      </c>
      <c r="O9661">
        <v>250805</v>
      </c>
      <c r="P9661">
        <v>21.7</v>
      </c>
    </row>
    <row r="9662" spans="1:16" x14ac:dyDescent="0.25">
      <c r="A9662" t="s">
        <v>3296</v>
      </c>
      <c r="B9662" t="s">
        <v>2931</v>
      </c>
      <c r="C9662">
        <v>9942</v>
      </c>
      <c r="D9662" t="str">
        <f>"2125010523  "</f>
        <v xml:space="preserve">2125010523  </v>
      </c>
      <c r="E9662" t="s">
        <v>337</v>
      </c>
      <c r="F9662" t="s">
        <v>338</v>
      </c>
      <c r="G9662">
        <v>31.7</v>
      </c>
      <c r="H9662">
        <v>250729</v>
      </c>
      <c r="I9662">
        <v>4347</v>
      </c>
      <c r="J9662" t="s">
        <v>328</v>
      </c>
      <c r="K9662">
        <v>31.7</v>
      </c>
      <c r="L9662">
        <v>6.44</v>
      </c>
      <c r="M9662">
        <v>56524</v>
      </c>
      <c r="N9662" t="s">
        <v>69</v>
      </c>
      <c r="O9662">
        <v>250805</v>
      </c>
      <c r="P9662">
        <v>25.26</v>
      </c>
    </row>
    <row r="9663" spans="1:16" x14ac:dyDescent="0.25">
      <c r="A9663" t="s">
        <v>3296</v>
      </c>
      <c r="B9663" t="s">
        <v>2931</v>
      </c>
      <c r="C9663">
        <v>9943</v>
      </c>
      <c r="D9663" t="str">
        <f>"2125010532  "</f>
        <v xml:space="preserve">2125010532  </v>
      </c>
      <c r="E9663" t="s">
        <v>337</v>
      </c>
      <c r="F9663" t="s">
        <v>338</v>
      </c>
      <c r="G9663">
        <v>61.8</v>
      </c>
      <c r="H9663">
        <v>250729</v>
      </c>
      <c r="I9663">
        <v>4347</v>
      </c>
      <c r="J9663" t="s">
        <v>328</v>
      </c>
      <c r="K9663">
        <v>61.8</v>
      </c>
      <c r="L9663">
        <v>12.56</v>
      </c>
      <c r="M9663">
        <v>16431</v>
      </c>
      <c r="N9663" t="s">
        <v>17</v>
      </c>
      <c r="O9663">
        <v>250805</v>
      </c>
      <c r="P9663">
        <v>49.24</v>
      </c>
    </row>
    <row r="9664" spans="1:16" x14ac:dyDescent="0.25">
      <c r="A9664" t="s">
        <v>3296</v>
      </c>
      <c r="B9664" t="s">
        <v>2931</v>
      </c>
      <c r="C9664">
        <v>9944</v>
      </c>
      <c r="D9664" t="str">
        <f>"2125010528  "</f>
        <v xml:space="preserve">2125010528  </v>
      </c>
      <c r="E9664" t="s">
        <v>337</v>
      </c>
      <c r="F9664" t="s">
        <v>338</v>
      </c>
      <c r="G9664">
        <v>50.59</v>
      </c>
      <c r="H9664">
        <v>250729</v>
      </c>
      <c r="I9664">
        <v>4347</v>
      </c>
      <c r="J9664" t="s">
        <v>328</v>
      </c>
      <c r="K9664">
        <v>50.59</v>
      </c>
      <c r="L9664">
        <v>10.28</v>
      </c>
      <c r="M9664">
        <v>16321</v>
      </c>
      <c r="N9664" t="s">
        <v>16</v>
      </c>
      <c r="O9664">
        <v>250805</v>
      </c>
      <c r="P9664">
        <v>40.31</v>
      </c>
    </row>
    <row r="9665" spans="1:16" x14ac:dyDescent="0.25">
      <c r="A9665" t="s">
        <v>3296</v>
      </c>
      <c r="B9665" t="s">
        <v>2931</v>
      </c>
      <c r="C9665">
        <v>9945</v>
      </c>
      <c r="D9665" t="str">
        <f>"2125010531  "</f>
        <v xml:space="preserve">2125010531  </v>
      </c>
      <c r="E9665" t="s">
        <v>337</v>
      </c>
      <c r="F9665" t="s">
        <v>338</v>
      </c>
      <c r="G9665">
        <v>21.54</v>
      </c>
      <c r="H9665">
        <v>250729</v>
      </c>
      <c r="I9665">
        <v>4347</v>
      </c>
      <c r="J9665" t="s">
        <v>328</v>
      </c>
      <c r="K9665">
        <v>21.54</v>
      </c>
      <c r="L9665">
        <v>4.38</v>
      </c>
      <c r="M9665">
        <v>17802</v>
      </c>
      <c r="N9665" t="s">
        <v>18</v>
      </c>
      <c r="O9665">
        <v>250805</v>
      </c>
      <c r="P9665">
        <v>17.16</v>
      </c>
    </row>
    <row r="9666" spans="1:16" x14ac:dyDescent="0.25">
      <c r="A9666" t="s">
        <v>3296</v>
      </c>
      <c r="B9666" t="s">
        <v>2931</v>
      </c>
      <c r="C9666">
        <v>9946</v>
      </c>
      <c r="D9666" t="str">
        <f>"2125010530  "</f>
        <v xml:space="preserve">2125010530  </v>
      </c>
      <c r="E9666" t="s">
        <v>337</v>
      </c>
      <c r="F9666" t="s">
        <v>338</v>
      </c>
      <c r="G9666">
        <v>21.49</v>
      </c>
      <c r="H9666">
        <v>250729</v>
      </c>
      <c r="I9666">
        <v>4347</v>
      </c>
      <c r="J9666" t="s">
        <v>328</v>
      </c>
      <c r="K9666">
        <v>21.49</v>
      </c>
      <c r="L9666">
        <v>4.37</v>
      </c>
      <c r="M9666">
        <v>17807</v>
      </c>
      <c r="N9666" t="s">
        <v>23</v>
      </c>
      <c r="O9666">
        <v>250805</v>
      </c>
      <c r="P9666">
        <v>17.12</v>
      </c>
    </row>
    <row r="9667" spans="1:16" x14ac:dyDescent="0.25">
      <c r="A9667" t="s">
        <v>3296</v>
      </c>
      <c r="B9667" t="s">
        <v>2931</v>
      </c>
      <c r="C9667">
        <v>9948</v>
      </c>
      <c r="D9667" t="str">
        <f>"2125010533  "</f>
        <v xml:space="preserve">2125010533  </v>
      </c>
      <c r="E9667" t="s">
        <v>337</v>
      </c>
      <c r="F9667" t="s">
        <v>338</v>
      </c>
      <c r="G9667">
        <v>21.36</v>
      </c>
      <c r="H9667">
        <v>250729</v>
      </c>
      <c r="I9667">
        <v>4347</v>
      </c>
      <c r="J9667" t="s">
        <v>328</v>
      </c>
      <c r="K9667">
        <v>21.36</v>
      </c>
      <c r="L9667">
        <v>4.34</v>
      </c>
      <c r="M9667">
        <v>17808</v>
      </c>
      <c r="N9667" t="s">
        <v>24</v>
      </c>
      <c r="O9667">
        <v>250805</v>
      </c>
      <c r="P9667">
        <v>17.02</v>
      </c>
    </row>
    <row r="9668" spans="1:16" x14ac:dyDescent="0.25">
      <c r="A9668" t="s">
        <v>3296</v>
      </c>
      <c r="B9668" t="s">
        <v>2931</v>
      </c>
      <c r="C9668">
        <v>9949</v>
      </c>
      <c r="D9668" t="str">
        <f>"2125010529  "</f>
        <v xml:space="preserve">2125010529  </v>
      </c>
      <c r="E9668" t="s">
        <v>337</v>
      </c>
      <c r="F9668" t="s">
        <v>338</v>
      </c>
      <c r="G9668">
        <v>38.299999999999997</v>
      </c>
      <c r="H9668">
        <v>250729</v>
      </c>
      <c r="I9668">
        <v>4347</v>
      </c>
      <c r="J9668" t="s">
        <v>328</v>
      </c>
      <c r="K9668">
        <v>38.299999999999997</v>
      </c>
      <c r="L9668">
        <v>7.78</v>
      </c>
      <c r="M9668">
        <v>17711</v>
      </c>
      <c r="N9668" t="s">
        <v>155</v>
      </c>
      <c r="O9668">
        <v>250805</v>
      </c>
      <c r="P9668">
        <v>30.52</v>
      </c>
    </row>
    <row r="9669" spans="1:16" x14ac:dyDescent="0.25">
      <c r="A9669" t="s">
        <v>3296</v>
      </c>
      <c r="B9669" t="s">
        <v>2931</v>
      </c>
      <c r="C9669">
        <v>10277</v>
      </c>
      <c r="D9669" t="str">
        <f>"2125010035  "</f>
        <v xml:space="preserve">2125010035  </v>
      </c>
      <c r="E9669" t="s">
        <v>337</v>
      </c>
      <c r="F9669" t="s">
        <v>338</v>
      </c>
      <c r="G9669">
        <v>46.03</v>
      </c>
      <c r="H9669">
        <v>250729</v>
      </c>
      <c r="I9669">
        <v>4347</v>
      </c>
      <c r="J9669" t="s">
        <v>328</v>
      </c>
      <c r="K9669">
        <v>46.03</v>
      </c>
      <c r="L9669">
        <v>9.35</v>
      </c>
      <c r="M9669">
        <v>14972</v>
      </c>
      <c r="N9669" t="s">
        <v>82</v>
      </c>
      <c r="O9669">
        <v>250813</v>
      </c>
      <c r="P9669">
        <v>36.68</v>
      </c>
    </row>
    <row r="9670" spans="1:16" x14ac:dyDescent="0.25">
      <c r="A9670" t="s">
        <v>3296</v>
      </c>
      <c r="B9670" t="s">
        <v>2931</v>
      </c>
      <c r="C9670">
        <v>10279</v>
      </c>
      <c r="D9670" t="str">
        <f>"2125010034  "</f>
        <v xml:space="preserve">2125010034  </v>
      </c>
      <c r="E9670" t="s">
        <v>337</v>
      </c>
      <c r="F9670" t="s">
        <v>338</v>
      </c>
      <c r="G9670">
        <v>120.37</v>
      </c>
      <c r="H9670">
        <v>250729</v>
      </c>
      <c r="I9670">
        <v>4347</v>
      </c>
      <c r="J9670" t="s">
        <v>328</v>
      </c>
      <c r="K9670">
        <v>120.37</v>
      </c>
      <c r="L9670">
        <v>24.46</v>
      </c>
      <c r="M9670">
        <v>14972</v>
      </c>
      <c r="N9670" t="s">
        <v>82</v>
      </c>
      <c r="O9670">
        <v>250813</v>
      </c>
      <c r="P9670">
        <v>95.91</v>
      </c>
    </row>
    <row r="9671" spans="1:16" x14ac:dyDescent="0.25">
      <c r="A9671" t="s">
        <v>3296</v>
      </c>
      <c r="B9671" t="s">
        <v>2931</v>
      </c>
      <c r="C9671">
        <v>10609</v>
      </c>
      <c r="D9671" t="str">
        <f>"2125012016  "</f>
        <v xml:space="preserve">2125012016  </v>
      </c>
      <c r="E9671" t="s">
        <v>337</v>
      </c>
      <c r="F9671" t="s">
        <v>338</v>
      </c>
      <c r="G9671">
        <v>199.55</v>
      </c>
      <c r="H9671">
        <v>250805</v>
      </c>
      <c r="I9671">
        <v>4347</v>
      </c>
      <c r="J9671" t="s">
        <v>328</v>
      </c>
      <c r="K9671">
        <v>199.55</v>
      </c>
      <c r="L9671">
        <v>40.549999999999997</v>
      </c>
      <c r="M9671">
        <v>13501</v>
      </c>
      <c r="N9671" t="s">
        <v>66</v>
      </c>
      <c r="O9671">
        <v>250820</v>
      </c>
      <c r="P9671">
        <v>159</v>
      </c>
    </row>
    <row r="9672" spans="1:16" x14ac:dyDescent="0.25">
      <c r="A9672" t="s">
        <v>3296</v>
      </c>
      <c r="B9672" t="s">
        <v>2931</v>
      </c>
      <c r="C9672">
        <v>10995</v>
      </c>
      <c r="D9672" t="str">
        <f>"2125013040  "</f>
        <v xml:space="preserve">2125013040  </v>
      </c>
      <c r="E9672" t="s">
        <v>337</v>
      </c>
      <c r="F9672" t="s">
        <v>338</v>
      </c>
      <c r="G9672">
        <v>24.85</v>
      </c>
      <c r="H9672">
        <v>250827</v>
      </c>
      <c r="I9672">
        <v>4347</v>
      </c>
      <c r="J9672" t="s">
        <v>328</v>
      </c>
      <c r="K9672">
        <v>24.85</v>
      </c>
      <c r="L9672">
        <v>5.05</v>
      </c>
      <c r="M9672">
        <v>54222</v>
      </c>
      <c r="N9672" t="s">
        <v>48</v>
      </c>
      <c r="O9672">
        <v>250828</v>
      </c>
      <c r="P9672">
        <v>19.8</v>
      </c>
    </row>
    <row r="9673" spans="1:16" x14ac:dyDescent="0.25">
      <c r="A9673" t="s">
        <v>3296</v>
      </c>
      <c r="B9673" t="s">
        <v>2931</v>
      </c>
      <c r="C9673">
        <v>10996</v>
      </c>
      <c r="D9673" t="str">
        <f>"2125013086  "</f>
        <v xml:space="preserve">2125013086  </v>
      </c>
      <c r="E9673" t="s">
        <v>337</v>
      </c>
      <c r="F9673" t="s">
        <v>338</v>
      </c>
      <c r="G9673">
        <v>88.29</v>
      </c>
      <c r="H9673">
        <v>250827</v>
      </c>
      <c r="I9673">
        <v>4347</v>
      </c>
      <c r="J9673" t="s">
        <v>328</v>
      </c>
      <c r="K9673">
        <v>88.29</v>
      </c>
      <c r="L9673">
        <v>17.940000000000001</v>
      </c>
      <c r="M9673">
        <v>59504</v>
      </c>
      <c r="N9673" t="s">
        <v>193</v>
      </c>
      <c r="O9673">
        <v>250828</v>
      </c>
      <c r="P9673">
        <v>70.349999999999994</v>
      </c>
    </row>
    <row r="9674" spans="1:16" x14ac:dyDescent="0.25">
      <c r="A9674" t="s">
        <v>3296</v>
      </c>
      <c r="B9674" t="s">
        <v>2931</v>
      </c>
      <c r="C9674">
        <v>10999</v>
      </c>
      <c r="D9674" t="str">
        <f>"2125012797  "</f>
        <v xml:space="preserve">2125012797  </v>
      </c>
      <c r="E9674" t="s">
        <v>337</v>
      </c>
      <c r="F9674" t="s">
        <v>338</v>
      </c>
      <c r="G9674">
        <v>25.4</v>
      </c>
      <c r="H9674">
        <v>250827</v>
      </c>
      <c r="I9674">
        <v>4347</v>
      </c>
      <c r="J9674" t="s">
        <v>328</v>
      </c>
      <c r="K9674">
        <v>25.4</v>
      </c>
      <c r="L9674">
        <v>5.16</v>
      </c>
      <c r="M9674">
        <v>18993</v>
      </c>
      <c r="N9674" t="s">
        <v>540</v>
      </c>
      <c r="O9674">
        <v>250828</v>
      </c>
      <c r="P9674">
        <v>20.239999999999998</v>
      </c>
    </row>
    <row r="9675" spans="1:16" x14ac:dyDescent="0.25">
      <c r="A9675" t="s">
        <v>3296</v>
      </c>
      <c r="B9675" t="s">
        <v>2931</v>
      </c>
      <c r="C9675">
        <v>11000</v>
      </c>
      <c r="D9675" t="str">
        <f>"2125012896  "</f>
        <v xml:space="preserve">2125012896  </v>
      </c>
      <c r="E9675" t="s">
        <v>337</v>
      </c>
      <c r="F9675" t="s">
        <v>338</v>
      </c>
      <c r="G9675">
        <v>28.51</v>
      </c>
      <c r="H9675">
        <v>250827</v>
      </c>
      <c r="I9675">
        <v>4347</v>
      </c>
      <c r="J9675" t="s">
        <v>328</v>
      </c>
      <c r="K9675">
        <v>28.51</v>
      </c>
      <c r="L9675">
        <v>5.79</v>
      </c>
      <c r="M9675">
        <v>56524</v>
      </c>
      <c r="N9675" t="s">
        <v>69</v>
      </c>
      <c r="O9675">
        <v>250828</v>
      </c>
      <c r="P9675">
        <v>22.72</v>
      </c>
    </row>
    <row r="9676" spans="1:16" x14ac:dyDescent="0.25">
      <c r="A9676" t="s">
        <v>3296</v>
      </c>
      <c r="B9676" t="s">
        <v>2931</v>
      </c>
      <c r="C9676">
        <v>11008</v>
      </c>
      <c r="D9676" t="str">
        <f>"2125012831  "</f>
        <v xml:space="preserve">2125012831  </v>
      </c>
      <c r="E9676" t="s">
        <v>337</v>
      </c>
      <c r="F9676" t="s">
        <v>338</v>
      </c>
      <c r="G9676">
        <v>92.68</v>
      </c>
      <c r="H9676">
        <v>250827</v>
      </c>
      <c r="I9676">
        <v>4347</v>
      </c>
      <c r="J9676" t="s">
        <v>328</v>
      </c>
      <c r="K9676">
        <v>92.68</v>
      </c>
      <c r="L9676">
        <v>18.829999999999998</v>
      </c>
      <c r="M9676">
        <v>11501</v>
      </c>
      <c r="N9676" t="s">
        <v>13</v>
      </c>
      <c r="O9676">
        <v>250829</v>
      </c>
      <c r="P9676">
        <v>73.849999999999994</v>
      </c>
    </row>
    <row r="9677" spans="1:16" x14ac:dyDescent="0.25">
      <c r="A9677" t="s">
        <v>3296</v>
      </c>
      <c r="B9677" t="s">
        <v>2931</v>
      </c>
      <c r="C9677">
        <v>11104</v>
      </c>
      <c r="D9677" t="str">
        <f>"2125012895  "</f>
        <v xml:space="preserve">2125012895  </v>
      </c>
      <c r="E9677" t="s">
        <v>337</v>
      </c>
      <c r="F9677" t="s">
        <v>338</v>
      </c>
      <c r="G9677">
        <v>21.39</v>
      </c>
      <c r="H9677">
        <v>250827</v>
      </c>
      <c r="I9677">
        <v>4347</v>
      </c>
      <c r="J9677" t="s">
        <v>328</v>
      </c>
      <c r="K9677">
        <v>21.39</v>
      </c>
      <c r="L9677">
        <v>4.3499999999999996</v>
      </c>
      <c r="M9677">
        <v>56558</v>
      </c>
      <c r="N9677" t="s">
        <v>50</v>
      </c>
      <c r="O9677">
        <v>250829</v>
      </c>
      <c r="P9677">
        <v>17.04</v>
      </c>
    </row>
    <row r="9678" spans="1:16" x14ac:dyDescent="0.25">
      <c r="A9678" t="s">
        <v>3296</v>
      </c>
      <c r="B9678" t="s">
        <v>2931</v>
      </c>
      <c r="C9678">
        <v>11107</v>
      </c>
      <c r="D9678" t="str">
        <f>"2125013087  "</f>
        <v xml:space="preserve">2125013087  </v>
      </c>
      <c r="E9678" t="s">
        <v>337</v>
      </c>
      <c r="F9678" t="s">
        <v>338</v>
      </c>
      <c r="G9678">
        <v>27.84</v>
      </c>
      <c r="H9678">
        <v>250827</v>
      </c>
      <c r="I9678">
        <v>4347</v>
      </c>
      <c r="J9678" t="s">
        <v>328</v>
      </c>
      <c r="K9678">
        <v>27.84</v>
      </c>
      <c r="L9678">
        <v>5.66</v>
      </c>
      <c r="M9678">
        <v>56560</v>
      </c>
      <c r="N9678" t="s">
        <v>52</v>
      </c>
      <c r="O9678">
        <v>250829</v>
      </c>
      <c r="P9678">
        <v>22.18</v>
      </c>
    </row>
    <row r="9679" spans="1:16" x14ac:dyDescent="0.25">
      <c r="A9679" t="s">
        <v>3296</v>
      </c>
      <c r="B9679" t="s">
        <v>2931</v>
      </c>
      <c r="C9679">
        <v>11108</v>
      </c>
      <c r="D9679" t="str">
        <f>"2125012798  "</f>
        <v xml:space="preserve">2125012798  </v>
      </c>
      <c r="E9679" t="s">
        <v>337</v>
      </c>
      <c r="F9679" t="s">
        <v>338</v>
      </c>
      <c r="G9679">
        <v>53.05</v>
      </c>
      <c r="H9679">
        <v>250827</v>
      </c>
      <c r="I9679">
        <v>4347</v>
      </c>
      <c r="J9679" t="s">
        <v>328</v>
      </c>
      <c r="K9679">
        <v>53.05</v>
      </c>
      <c r="L9679">
        <v>10.78</v>
      </c>
      <c r="M9679">
        <v>17971</v>
      </c>
      <c r="N9679" t="s">
        <v>27</v>
      </c>
      <c r="O9679">
        <v>250829</v>
      </c>
      <c r="P9679">
        <v>42.27</v>
      </c>
    </row>
    <row r="9680" spans="1:16" x14ac:dyDescent="0.25">
      <c r="A9680" t="s">
        <v>3296</v>
      </c>
      <c r="B9680" t="s">
        <v>2931</v>
      </c>
      <c r="C9680">
        <v>11110</v>
      </c>
      <c r="D9680" t="str">
        <f>"2125012894  "</f>
        <v xml:space="preserve">2125012894  </v>
      </c>
      <c r="E9680" t="s">
        <v>337</v>
      </c>
      <c r="F9680" t="s">
        <v>338</v>
      </c>
      <c r="G9680">
        <v>40.39</v>
      </c>
      <c r="H9680">
        <v>250827</v>
      </c>
      <c r="I9680">
        <v>4347</v>
      </c>
      <c r="J9680" t="s">
        <v>328</v>
      </c>
      <c r="K9680">
        <v>40.39</v>
      </c>
      <c r="L9680">
        <v>8.2100000000000009</v>
      </c>
      <c r="M9680">
        <v>56559</v>
      </c>
      <c r="N9680" t="s">
        <v>51</v>
      </c>
      <c r="O9680">
        <v>250829</v>
      </c>
      <c r="P9680">
        <v>32.18</v>
      </c>
    </row>
    <row r="9681" spans="1:16" x14ac:dyDescent="0.25">
      <c r="A9681" t="s">
        <v>3296</v>
      </c>
      <c r="B9681" t="s">
        <v>2931</v>
      </c>
      <c r="C9681">
        <v>11112</v>
      </c>
      <c r="D9681" t="str">
        <f>"2125013039  "</f>
        <v xml:space="preserve">2125013039  </v>
      </c>
      <c r="E9681" t="s">
        <v>337</v>
      </c>
      <c r="F9681" t="s">
        <v>338</v>
      </c>
      <c r="G9681">
        <v>30.26</v>
      </c>
      <c r="H9681">
        <v>250827</v>
      </c>
      <c r="I9681">
        <v>4347</v>
      </c>
      <c r="J9681" t="s">
        <v>328</v>
      </c>
      <c r="K9681">
        <v>30.26</v>
      </c>
      <c r="L9681">
        <v>6.15</v>
      </c>
      <c r="M9681">
        <v>56522</v>
      </c>
      <c r="N9681" t="s">
        <v>68</v>
      </c>
      <c r="O9681">
        <v>250829</v>
      </c>
      <c r="P9681">
        <v>24.11</v>
      </c>
    </row>
    <row r="9682" spans="1:16" x14ac:dyDescent="0.25">
      <c r="A9682" t="s">
        <v>3296</v>
      </c>
      <c r="B9682" t="s">
        <v>2931</v>
      </c>
      <c r="C9682">
        <v>11115</v>
      </c>
      <c r="D9682" t="str">
        <f>"2125012795  "</f>
        <v xml:space="preserve">2125012795  </v>
      </c>
      <c r="E9682" t="s">
        <v>337</v>
      </c>
      <c r="F9682" t="s">
        <v>338</v>
      </c>
      <c r="G9682">
        <v>32.43</v>
      </c>
      <c r="H9682">
        <v>250827</v>
      </c>
      <c r="I9682">
        <v>4347</v>
      </c>
      <c r="J9682" t="s">
        <v>328</v>
      </c>
      <c r="K9682">
        <v>32.43</v>
      </c>
      <c r="L9682">
        <v>6.59</v>
      </c>
      <c r="M9682">
        <v>17971</v>
      </c>
      <c r="N9682" t="s">
        <v>27</v>
      </c>
      <c r="O9682">
        <v>250829</v>
      </c>
      <c r="P9682">
        <v>25.84</v>
      </c>
    </row>
    <row r="9683" spans="1:16" x14ac:dyDescent="0.25">
      <c r="A9683" t="s">
        <v>3296</v>
      </c>
      <c r="B9683" t="s">
        <v>2931</v>
      </c>
      <c r="C9683">
        <v>11193</v>
      </c>
      <c r="D9683" t="str">
        <f>"2125012824  "</f>
        <v xml:space="preserve">2125012824  </v>
      </c>
      <c r="E9683" t="s">
        <v>337</v>
      </c>
      <c r="F9683" t="s">
        <v>338</v>
      </c>
      <c r="G9683">
        <v>115.62</v>
      </c>
      <c r="H9683">
        <v>250827</v>
      </c>
      <c r="I9683">
        <v>4347</v>
      </c>
      <c r="J9683" t="s">
        <v>328</v>
      </c>
      <c r="K9683">
        <v>115.62</v>
      </c>
      <c r="L9683">
        <v>23.49</v>
      </c>
      <c r="M9683">
        <v>49701</v>
      </c>
      <c r="N9683" t="s">
        <v>111</v>
      </c>
      <c r="O9683">
        <v>250901</v>
      </c>
      <c r="P9683">
        <v>92.13</v>
      </c>
    </row>
    <row r="9684" spans="1:16" x14ac:dyDescent="0.25">
      <c r="A9684" t="s">
        <v>3296</v>
      </c>
      <c r="B9684" t="s">
        <v>2931</v>
      </c>
      <c r="C9684">
        <v>11194</v>
      </c>
      <c r="D9684" t="str">
        <f>"2125012891  "</f>
        <v xml:space="preserve">2125012891  </v>
      </c>
      <c r="E9684" t="s">
        <v>337</v>
      </c>
      <c r="F9684" t="s">
        <v>338</v>
      </c>
      <c r="G9684">
        <v>32.479999999999997</v>
      </c>
      <c r="H9684">
        <v>250827</v>
      </c>
      <c r="I9684">
        <v>4347</v>
      </c>
      <c r="J9684" t="s">
        <v>328</v>
      </c>
      <c r="K9684">
        <v>32.479999999999997</v>
      </c>
      <c r="L9684">
        <v>6.6</v>
      </c>
      <c r="M9684">
        <v>46555</v>
      </c>
      <c r="N9684" t="s">
        <v>103</v>
      </c>
      <c r="O9684">
        <v>250901</v>
      </c>
      <c r="P9684">
        <v>25.88</v>
      </c>
    </row>
    <row r="9685" spans="1:16" x14ac:dyDescent="0.25">
      <c r="A9685" t="s">
        <v>3296</v>
      </c>
      <c r="B9685" t="s">
        <v>2931</v>
      </c>
      <c r="C9685">
        <v>11196</v>
      </c>
      <c r="D9685" t="str">
        <f>"2125012888  "</f>
        <v xml:space="preserve">2125012888  </v>
      </c>
      <c r="E9685" t="s">
        <v>337</v>
      </c>
      <c r="F9685" t="s">
        <v>338</v>
      </c>
      <c r="G9685">
        <v>70.66</v>
      </c>
      <c r="H9685">
        <v>250827</v>
      </c>
      <c r="I9685">
        <v>4347</v>
      </c>
      <c r="J9685" t="s">
        <v>328</v>
      </c>
      <c r="K9685">
        <v>70.66</v>
      </c>
      <c r="L9685">
        <v>14.36</v>
      </c>
      <c r="M9685">
        <v>44424</v>
      </c>
      <c r="N9685" t="s">
        <v>99</v>
      </c>
      <c r="O9685">
        <v>250901</v>
      </c>
      <c r="P9685">
        <v>56.3</v>
      </c>
    </row>
    <row r="9686" spans="1:16" x14ac:dyDescent="0.25">
      <c r="A9686" t="s">
        <v>3296</v>
      </c>
      <c r="B9686" t="s">
        <v>2931</v>
      </c>
      <c r="C9686">
        <v>11197</v>
      </c>
      <c r="D9686" t="str">
        <f>"2125012796  "</f>
        <v xml:space="preserve">2125012796  </v>
      </c>
      <c r="E9686" t="s">
        <v>337</v>
      </c>
      <c r="F9686" t="s">
        <v>338</v>
      </c>
      <c r="G9686">
        <v>58.8</v>
      </c>
      <c r="H9686">
        <v>250827</v>
      </c>
      <c r="I9686">
        <v>4347</v>
      </c>
      <c r="J9686" t="s">
        <v>328</v>
      </c>
      <c r="K9686">
        <v>58.8</v>
      </c>
      <c r="L9686">
        <v>11.95</v>
      </c>
      <c r="M9686">
        <v>17808</v>
      </c>
      <c r="N9686" t="s">
        <v>24</v>
      </c>
      <c r="O9686">
        <v>250901</v>
      </c>
      <c r="P9686">
        <v>46.85</v>
      </c>
    </row>
    <row r="9687" spans="1:16" x14ac:dyDescent="0.25">
      <c r="A9687" t="s">
        <v>3296</v>
      </c>
      <c r="B9687" t="s">
        <v>2931</v>
      </c>
      <c r="C9687">
        <v>11198</v>
      </c>
      <c r="D9687" t="str">
        <f>"2125012890  "</f>
        <v xml:space="preserve">2125012890  </v>
      </c>
      <c r="E9687" t="s">
        <v>337</v>
      </c>
      <c r="F9687" t="s">
        <v>338</v>
      </c>
      <c r="G9687">
        <v>23.31</v>
      </c>
      <c r="H9687">
        <v>250827</v>
      </c>
      <c r="I9687">
        <v>4347</v>
      </c>
      <c r="J9687" t="s">
        <v>328</v>
      </c>
      <c r="K9687">
        <v>23.31</v>
      </c>
      <c r="L9687">
        <v>4.74</v>
      </c>
      <c r="M9687">
        <v>44424</v>
      </c>
      <c r="N9687" t="s">
        <v>99</v>
      </c>
      <c r="O9687">
        <v>250901</v>
      </c>
      <c r="P9687">
        <v>18.57</v>
      </c>
    </row>
    <row r="9688" spans="1:16" x14ac:dyDescent="0.25">
      <c r="A9688" t="s">
        <v>3296</v>
      </c>
      <c r="B9688" t="s">
        <v>2931</v>
      </c>
      <c r="C9688">
        <v>11199</v>
      </c>
      <c r="D9688" t="str">
        <f>"2125012889  "</f>
        <v xml:space="preserve">2125012889  </v>
      </c>
      <c r="E9688" t="s">
        <v>337</v>
      </c>
      <c r="F9688" t="s">
        <v>338</v>
      </c>
      <c r="G9688">
        <v>55.61</v>
      </c>
      <c r="H9688">
        <v>250827</v>
      </c>
      <c r="I9688">
        <v>4347</v>
      </c>
      <c r="J9688" t="s">
        <v>328</v>
      </c>
      <c r="K9688">
        <v>55.61</v>
      </c>
      <c r="L9688">
        <v>11.3</v>
      </c>
      <c r="M9688">
        <v>46559</v>
      </c>
      <c r="N9688" t="s">
        <v>105</v>
      </c>
      <c r="O9688">
        <v>250901</v>
      </c>
      <c r="P9688">
        <v>44.31</v>
      </c>
    </row>
    <row r="9689" spans="1:16" x14ac:dyDescent="0.25">
      <c r="A9689" t="s">
        <v>3296</v>
      </c>
      <c r="B9689" t="s">
        <v>2931</v>
      </c>
      <c r="C9689">
        <v>11200</v>
      </c>
      <c r="D9689" t="str">
        <f>"2125013497  "</f>
        <v xml:space="preserve">2125013497  </v>
      </c>
      <c r="E9689" t="s">
        <v>337</v>
      </c>
      <c r="F9689" t="s">
        <v>338</v>
      </c>
      <c r="G9689">
        <v>8.94</v>
      </c>
      <c r="H9689">
        <v>250827</v>
      </c>
      <c r="I9689">
        <v>4347</v>
      </c>
      <c r="J9689" t="s">
        <v>328</v>
      </c>
      <c r="K9689">
        <v>8.94</v>
      </c>
      <c r="L9689">
        <v>1.82</v>
      </c>
      <c r="M9689">
        <v>46556</v>
      </c>
      <c r="N9689" t="s">
        <v>458</v>
      </c>
      <c r="O9689">
        <v>250901</v>
      </c>
      <c r="P9689">
        <v>7.12</v>
      </c>
    </row>
    <row r="9690" spans="1:16" x14ac:dyDescent="0.25">
      <c r="A9690" t="s">
        <v>3296</v>
      </c>
      <c r="B9690" t="s">
        <v>2931</v>
      </c>
      <c r="C9690">
        <v>11203</v>
      </c>
      <c r="D9690" t="str">
        <f>"2125013438  "</f>
        <v xml:space="preserve">2125013438  </v>
      </c>
      <c r="E9690" t="s">
        <v>337</v>
      </c>
      <c r="F9690" t="s">
        <v>338</v>
      </c>
      <c r="G9690">
        <v>24.31</v>
      </c>
      <c r="H9690">
        <v>250827</v>
      </c>
      <c r="I9690">
        <v>4347</v>
      </c>
      <c r="J9690" t="s">
        <v>328</v>
      </c>
      <c r="K9690">
        <v>24.31</v>
      </c>
      <c r="L9690">
        <v>4.9400000000000004</v>
      </c>
      <c r="M9690">
        <v>43222</v>
      </c>
      <c r="N9690" t="s">
        <v>95</v>
      </c>
      <c r="O9690">
        <v>250901</v>
      </c>
      <c r="P9690">
        <v>19.37</v>
      </c>
    </row>
    <row r="9691" spans="1:16" x14ac:dyDescent="0.25">
      <c r="A9691" t="s">
        <v>3296</v>
      </c>
      <c r="B9691" t="s">
        <v>2931</v>
      </c>
      <c r="C9691">
        <v>11750</v>
      </c>
      <c r="D9691" t="str">
        <f>"2125012886  "</f>
        <v xml:space="preserve">2125012886  </v>
      </c>
      <c r="E9691" t="s">
        <v>337</v>
      </c>
      <c r="F9691" t="s">
        <v>338</v>
      </c>
      <c r="G9691">
        <v>41.28</v>
      </c>
      <c r="H9691">
        <v>250827</v>
      </c>
      <c r="I9691">
        <v>4347</v>
      </c>
      <c r="J9691" t="s">
        <v>328</v>
      </c>
      <c r="K9691">
        <v>41.28</v>
      </c>
      <c r="L9691">
        <v>8.39</v>
      </c>
      <c r="M9691">
        <v>44222</v>
      </c>
      <c r="N9691" t="s">
        <v>96</v>
      </c>
      <c r="O9691">
        <v>250910</v>
      </c>
      <c r="P9691">
        <v>32.89</v>
      </c>
    </row>
    <row r="9692" spans="1:16" x14ac:dyDescent="0.25">
      <c r="A9692" t="s">
        <v>3296</v>
      </c>
      <c r="B9692" t="s">
        <v>2931</v>
      </c>
      <c r="C9692">
        <v>11752</v>
      </c>
      <c r="D9692" t="str">
        <f>"2125012887  "</f>
        <v xml:space="preserve">2125012887  </v>
      </c>
      <c r="E9692" t="s">
        <v>337</v>
      </c>
      <c r="F9692" t="s">
        <v>338</v>
      </c>
      <c r="G9692">
        <v>41.65</v>
      </c>
      <c r="H9692">
        <v>250827</v>
      </c>
      <c r="I9692">
        <v>4347</v>
      </c>
      <c r="J9692" t="s">
        <v>328</v>
      </c>
      <c r="K9692">
        <v>41.65</v>
      </c>
      <c r="L9692">
        <v>8.4600000000000009</v>
      </c>
      <c r="M9692">
        <v>41126</v>
      </c>
      <c r="N9692" t="s">
        <v>94</v>
      </c>
      <c r="O9692">
        <v>250910</v>
      </c>
      <c r="P9692">
        <v>33.19</v>
      </c>
    </row>
    <row r="9693" spans="1:16" x14ac:dyDescent="0.25">
      <c r="A9693" t="s">
        <v>3296</v>
      </c>
      <c r="B9693" t="s">
        <v>2931</v>
      </c>
      <c r="C9693">
        <v>11755</v>
      </c>
      <c r="D9693" t="str">
        <f>"2125012747  "</f>
        <v xml:space="preserve">2125012747  </v>
      </c>
      <c r="E9693" t="s">
        <v>337</v>
      </c>
      <c r="F9693" t="s">
        <v>338</v>
      </c>
      <c r="G9693">
        <v>58.83</v>
      </c>
      <c r="H9693">
        <v>250827</v>
      </c>
      <c r="I9693">
        <v>4347</v>
      </c>
      <c r="J9693" t="s">
        <v>328</v>
      </c>
      <c r="K9693">
        <v>58.83</v>
      </c>
      <c r="L9693">
        <v>11.95</v>
      </c>
      <c r="M9693">
        <v>69704</v>
      </c>
      <c r="N9693" t="s">
        <v>89</v>
      </c>
      <c r="O9693">
        <v>250910</v>
      </c>
      <c r="P9693">
        <v>46.88</v>
      </c>
    </row>
    <row r="9694" spans="1:16" x14ac:dyDescent="0.25">
      <c r="A9694" t="s">
        <v>3296</v>
      </c>
      <c r="B9694" t="s">
        <v>2931</v>
      </c>
      <c r="C9694">
        <v>11757</v>
      </c>
      <c r="D9694" t="str">
        <f>"2125012746  "</f>
        <v xml:space="preserve">2125012746  </v>
      </c>
      <c r="E9694" t="s">
        <v>337</v>
      </c>
      <c r="F9694" t="s">
        <v>338</v>
      </c>
      <c r="G9694">
        <v>110.14</v>
      </c>
      <c r="H9694">
        <v>250827</v>
      </c>
      <c r="I9694">
        <v>4347</v>
      </c>
      <c r="J9694" t="s">
        <v>328</v>
      </c>
      <c r="K9694">
        <v>110.14</v>
      </c>
      <c r="L9694">
        <v>22.38</v>
      </c>
      <c r="M9694">
        <v>69702</v>
      </c>
      <c r="N9694" t="s">
        <v>124</v>
      </c>
      <c r="O9694">
        <v>250910</v>
      </c>
      <c r="P9694">
        <v>87.76</v>
      </c>
    </row>
    <row r="9695" spans="1:16" x14ac:dyDescent="0.25">
      <c r="A9695" t="s">
        <v>3296</v>
      </c>
      <c r="B9695" t="s">
        <v>2931</v>
      </c>
      <c r="C9695">
        <v>11758</v>
      </c>
      <c r="D9695" t="str">
        <f>"2125012745  "</f>
        <v xml:space="preserve">2125012745  </v>
      </c>
      <c r="E9695" t="s">
        <v>337</v>
      </c>
      <c r="F9695" t="s">
        <v>338</v>
      </c>
      <c r="G9695">
        <v>36.92</v>
      </c>
      <c r="H9695">
        <v>250827</v>
      </c>
      <c r="I9695">
        <v>4347</v>
      </c>
      <c r="J9695" t="s">
        <v>328</v>
      </c>
      <c r="K9695">
        <v>36.92</v>
      </c>
      <c r="L9695">
        <v>7.5</v>
      </c>
      <c r="M9695">
        <v>66756</v>
      </c>
      <c r="N9695" t="s">
        <v>120</v>
      </c>
      <c r="O9695">
        <v>250910</v>
      </c>
      <c r="P9695">
        <v>29.42</v>
      </c>
    </row>
    <row r="9696" spans="1:16" x14ac:dyDescent="0.25">
      <c r="A9696" t="s">
        <v>3296</v>
      </c>
      <c r="B9696" t="s">
        <v>2931</v>
      </c>
      <c r="C9696">
        <v>11759</v>
      </c>
      <c r="D9696" t="str">
        <f>"2125012748  "</f>
        <v xml:space="preserve">2125012748  </v>
      </c>
      <c r="E9696" t="s">
        <v>337</v>
      </c>
      <c r="F9696" t="s">
        <v>338</v>
      </c>
      <c r="G9696">
        <v>40.159999999999997</v>
      </c>
      <c r="H9696">
        <v>250827</v>
      </c>
      <c r="I9696">
        <v>4347</v>
      </c>
      <c r="J9696" t="s">
        <v>328</v>
      </c>
      <c r="K9696">
        <v>40.159999999999997</v>
      </c>
      <c r="L9696">
        <v>8.16</v>
      </c>
      <c r="M9696">
        <v>66722</v>
      </c>
      <c r="N9696" t="s">
        <v>118</v>
      </c>
      <c r="O9696">
        <v>250910</v>
      </c>
      <c r="P9696">
        <v>32</v>
      </c>
    </row>
    <row r="9697" spans="1:16" x14ac:dyDescent="0.25">
      <c r="A9697" t="s">
        <v>3296</v>
      </c>
      <c r="B9697" t="s">
        <v>2931</v>
      </c>
      <c r="C9697">
        <v>11763</v>
      </c>
      <c r="D9697" t="str">
        <f>"2125012849  "</f>
        <v xml:space="preserve">2125012849  </v>
      </c>
      <c r="E9697" t="s">
        <v>337</v>
      </c>
      <c r="F9697" t="s">
        <v>338</v>
      </c>
      <c r="G9697">
        <v>122.41</v>
      </c>
      <c r="H9697">
        <v>250827</v>
      </c>
      <c r="I9697">
        <v>4347</v>
      </c>
      <c r="J9697" t="s">
        <v>328</v>
      </c>
      <c r="K9697">
        <v>122.41</v>
      </c>
      <c r="L9697">
        <v>24.87</v>
      </c>
      <c r="M9697">
        <v>48601</v>
      </c>
      <c r="N9697" t="s">
        <v>107</v>
      </c>
      <c r="O9697">
        <v>250910</v>
      </c>
      <c r="P9697">
        <v>97.54</v>
      </c>
    </row>
    <row r="9698" spans="1:16" x14ac:dyDescent="0.25">
      <c r="A9698" t="s">
        <v>3296</v>
      </c>
      <c r="B9698" t="s">
        <v>2931</v>
      </c>
      <c r="C9698">
        <v>11766</v>
      </c>
      <c r="D9698" t="str">
        <f>"2125012744  "</f>
        <v xml:space="preserve">2125012744  </v>
      </c>
      <c r="E9698" t="s">
        <v>337</v>
      </c>
      <c r="F9698" t="s">
        <v>338</v>
      </c>
      <c r="G9698">
        <v>59.24</v>
      </c>
      <c r="H9698">
        <v>250827</v>
      </c>
      <c r="I9698">
        <v>4347</v>
      </c>
      <c r="J9698" t="s">
        <v>328</v>
      </c>
      <c r="K9698">
        <v>59.24</v>
      </c>
      <c r="L9698">
        <v>12.04</v>
      </c>
      <c r="M9698">
        <v>69704</v>
      </c>
      <c r="N9698" t="s">
        <v>89</v>
      </c>
      <c r="O9698">
        <v>250910</v>
      </c>
      <c r="P9698">
        <v>47.2</v>
      </c>
    </row>
    <row r="9699" spans="1:16" x14ac:dyDescent="0.25">
      <c r="A9699" t="s">
        <v>3296</v>
      </c>
      <c r="B9699" t="s">
        <v>2931</v>
      </c>
      <c r="C9699">
        <v>11769</v>
      </c>
      <c r="D9699" t="str">
        <f>"2125012892  "</f>
        <v xml:space="preserve">2125012892  </v>
      </c>
      <c r="E9699" t="s">
        <v>337</v>
      </c>
      <c r="F9699" t="s">
        <v>338</v>
      </c>
      <c r="G9699">
        <v>88.48</v>
      </c>
      <c r="H9699">
        <v>250827</v>
      </c>
      <c r="I9699">
        <v>4347</v>
      </c>
      <c r="J9699" t="s">
        <v>328</v>
      </c>
      <c r="K9699">
        <v>88.48</v>
      </c>
      <c r="L9699">
        <v>17.98</v>
      </c>
      <c r="M9699">
        <v>44222</v>
      </c>
      <c r="N9699" t="s">
        <v>96</v>
      </c>
      <c r="O9699">
        <v>250910</v>
      </c>
      <c r="P9699">
        <v>70.5</v>
      </c>
    </row>
    <row r="9700" spans="1:16" x14ac:dyDescent="0.25">
      <c r="A9700" t="s">
        <v>3296</v>
      </c>
      <c r="B9700" t="s">
        <v>2931</v>
      </c>
      <c r="C9700">
        <v>12264</v>
      </c>
      <c r="D9700" t="str">
        <f>"2125013084  "</f>
        <v xml:space="preserve">2125013084  </v>
      </c>
      <c r="E9700" t="s">
        <v>337</v>
      </c>
      <c r="F9700" t="s">
        <v>338</v>
      </c>
      <c r="G9700">
        <v>72.59</v>
      </c>
      <c r="H9700">
        <v>250827</v>
      </c>
      <c r="I9700">
        <v>4347</v>
      </c>
      <c r="J9700" t="s">
        <v>328</v>
      </c>
      <c r="K9700">
        <v>72.59</v>
      </c>
      <c r="L9700">
        <v>14.75</v>
      </c>
      <c r="M9700">
        <v>14321</v>
      </c>
      <c r="N9700" t="s">
        <v>72</v>
      </c>
      <c r="O9700">
        <v>250918</v>
      </c>
      <c r="P9700">
        <v>57.84</v>
      </c>
    </row>
    <row r="9701" spans="1:16" x14ac:dyDescent="0.25">
      <c r="A9701" t="s">
        <v>3296</v>
      </c>
      <c r="B9701" t="s">
        <v>2931</v>
      </c>
      <c r="C9701">
        <v>12865</v>
      </c>
      <c r="D9701" t="str">
        <f>"2125015346  "</f>
        <v xml:space="preserve">2125015346  </v>
      </c>
      <c r="E9701" t="s">
        <v>337</v>
      </c>
      <c r="F9701" t="s">
        <v>338</v>
      </c>
      <c r="G9701">
        <v>58.86</v>
      </c>
      <c r="H9701">
        <v>250927</v>
      </c>
      <c r="I9701">
        <v>4347</v>
      </c>
      <c r="J9701" t="s">
        <v>328</v>
      </c>
      <c r="K9701">
        <v>58.86</v>
      </c>
      <c r="L9701">
        <v>11.96</v>
      </c>
      <c r="M9701">
        <v>59702</v>
      </c>
      <c r="N9701" t="s">
        <v>45</v>
      </c>
      <c r="O9701">
        <v>250930</v>
      </c>
      <c r="P9701">
        <v>46.9</v>
      </c>
    </row>
    <row r="9702" spans="1:16" x14ac:dyDescent="0.25">
      <c r="A9702" t="s">
        <v>3296</v>
      </c>
      <c r="B9702" t="s">
        <v>2931</v>
      </c>
      <c r="C9702">
        <v>12866</v>
      </c>
      <c r="D9702" t="str">
        <f>"2125015352  "</f>
        <v xml:space="preserve">2125015352  </v>
      </c>
      <c r="E9702" t="s">
        <v>337</v>
      </c>
      <c r="F9702" t="s">
        <v>338</v>
      </c>
      <c r="G9702">
        <v>63.59</v>
      </c>
      <c r="H9702">
        <v>250927</v>
      </c>
      <c r="I9702">
        <v>4347</v>
      </c>
      <c r="J9702" t="s">
        <v>328</v>
      </c>
      <c r="K9702">
        <v>63.59</v>
      </c>
      <c r="L9702">
        <v>12.92</v>
      </c>
      <c r="M9702">
        <v>53222</v>
      </c>
      <c r="N9702" t="s">
        <v>41</v>
      </c>
      <c r="O9702">
        <v>250930</v>
      </c>
      <c r="P9702">
        <v>50.67</v>
      </c>
    </row>
    <row r="9703" spans="1:16" x14ac:dyDescent="0.25">
      <c r="A9703" t="s">
        <v>3296</v>
      </c>
      <c r="B9703" t="s">
        <v>2931</v>
      </c>
      <c r="C9703">
        <v>12867</v>
      </c>
      <c r="D9703" t="str">
        <f>"2125015351  "</f>
        <v xml:space="preserve">2125015351  </v>
      </c>
      <c r="E9703" t="s">
        <v>337</v>
      </c>
      <c r="F9703" t="s">
        <v>338</v>
      </c>
      <c r="G9703">
        <v>70.22</v>
      </c>
      <c r="H9703">
        <v>250927</v>
      </c>
      <c r="I9703">
        <v>4347</v>
      </c>
      <c r="J9703" t="s">
        <v>328</v>
      </c>
      <c r="K9703">
        <v>70.22</v>
      </c>
      <c r="L9703">
        <v>14.27</v>
      </c>
      <c r="M9703">
        <v>59702</v>
      </c>
      <c r="N9703" t="s">
        <v>45</v>
      </c>
      <c r="O9703">
        <v>250930</v>
      </c>
      <c r="P9703">
        <v>55.95</v>
      </c>
    </row>
    <row r="9704" spans="1:16" x14ac:dyDescent="0.25">
      <c r="A9704" t="s">
        <v>3296</v>
      </c>
      <c r="B9704" t="s">
        <v>2931</v>
      </c>
      <c r="C9704">
        <v>12868</v>
      </c>
      <c r="D9704" t="str">
        <f>"2125015350  "</f>
        <v xml:space="preserve">2125015350  </v>
      </c>
      <c r="E9704" t="s">
        <v>337</v>
      </c>
      <c r="F9704" t="s">
        <v>338</v>
      </c>
      <c r="G9704">
        <v>34.450000000000003</v>
      </c>
      <c r="H9704">
        <v>250927</v>
      </c>
      <c r="I9704">
        <v>4347</v>
      </c>
      <c r="J9704" t="s">
        <v>328</v>
      </c>
      <c r="K9704">
        <v>34.450000000000003</v>
      </c>
      <c r="L9704">
        <v>7</v>
      </c>
      <c r="M9704">
        <v>56562</v>
      </c>
      <c r="N9704" t="s">
        <v>54</v>
      </c>
      <c r="O9704">
        <v>250930</v>
      </c>
      <c r="P9704">
        <v>27.45</v>
      </c>
    </row>
    <row r="9705" spans="1:16" x14ac:dyDescent="0.25">
      <c r="A9705" t="s">
        <v>3296</v>
      </c>
      <c r="B9705" t="s">
        <v>2931</v>
      </c>
      <c r="C9705">
        <v>12871</v>
      </c>
      <c r="D9705" t="str">
        <f>"2125015347  "</f>
        <v xml:space="preserve">2125015347  </v>
      </c>
      <c r="E9705" t="s">
        <v>337</v>
      </c>
      <c r="F9705" t="s">
        <v>338</v>
      </c>
      <c r="G9705">
        <v>144.99</v>
      </c>
      <c r="H9705">
        <v>250927</v>
      </c>
      <c r="I9705">
        <v>4347</v>
      </c>
      <c r="J9705" t="s">
        <v>328</v>
      </c>
      <c r="K9705">
        <v>144.99</v>
      </c>
      <c r="L9705">
        <v>29.46</v>
      </c>
      <c r="M9705">
        <v>54422</v>
      </c>
      <c r="N9705" t="s">
        <v>49</v>
      </c>
      <c r="O9705">
        <v>250930</v>
      </c>
      <c r="P9705">
        <v>115.53</v>
      </c>
    </row>
    <row r="9706" spans="1:16" x14ac:dyDescent="0.25">
      <c r="A9706" t="s">
        <v>3296</v>
      </c>
      <c r="B9706" t="s">
        <v>2931</v>
      </c>
      <c r="C9706">
        <v>12872</v>
      </c>
      <c r="D9706" t="str">
        <f>"2125015344  "</f>
        <v xml:space="preserve">2125015344  </v>
      </c>
      <c r="E9706" t="s">
        <v>337</v>
      </c>
      <c r="F9706" t="s">
        <v>338</v>
      </c>
      <c r="G9706">
        <v>27.23</v>
      </c>
      <c r="H9706">
        <v>250927</v>
      </c>
      <c r="I9706">
        <v>4347</v>
      </c>
      <c r="J9706" t="s">
        <v>328</v>
      </c>
      <c r="K9706">
        <v>27.23</v>
      </c>
      <c r="L9706">
        <v>5.53</v>
      </c>
      <c r="M9706">
        <v>56526</v>
      </c>
      <c r="N9706" t="s">
        <v>506</v>
      </c>
      <c r="O9706">
        <v>250930</v>
      </c>
      <c r="P9706">
        <v>21.7</v>
      </c>
    </row>
    <row r="9707" spans="1:16" x14ac:dyDescent="0.25">
      <c r="A9707" t="s">
        <v>3296</v>
      </c>
      <c r="B9707" t="s">
        <v>2931</v>
      </c>
      <c r="C9707">
        <v>12873</v>
      </c>
      <c r="D9707" t="str">
        <f>"2125015349  "</f>
        <v xml:space="preserve">2125015349  </v>
      </c>
      <c r="E9707" t="s">
        <v>337</v>
      </c>
      <c r="F9707" t="s">
        <v>338</v>
      </c>
      <c r="G9707">
        <v>84.45</v>
      </c>
      <c r="H9707">
        <v>250927</v>
      </c>
      <c r="I9707">
        <v>4347</v>
      </c>
      <c r="J9707" t="s">
        <v>328</v>
      </c>
      <c r="K9707">
        <v>84.45</v>
      </c>
      <c r="L9707">
        <v>17.16</v>
      </c>
      <c r="M9707">
        <v>56566</v>
      </c>
      <c r="N9707" t="s">
        <v>58</v>
      </c>
      <c r="O9707">
        <v>250930</v>
      </c>
      <c r="P9707">
        <v>67.290000000000006</v>
      </c>
    </row>
    <row r="9708" spans="1:16" x14ac:dyDescent="0.25">
      <c r="A9708" t="s">
        <v>3296</v>
      </c>
      <c r="B9708" t="s">
        <v>2931</v>
      </c>
      <c r="C9708">
        <v>12879</v>
      </c>
      <c r="D9708" t="str">
        <f>"2125014201  "</f>
        <v xml:space="preserve">2125014201  </v>
      </c>
      <c r="E9708" t="s">
        <v>337</v>
      </c>
      <c r="F9708" t="s">
        <v>338</v>
      </c>
      <c r="G9708">
        <v>199.55</v>
      </c>
      <c r="H9708">
        <v>250904</v>
      </c>
      <c r="I9708">
        <v>4347</v>
      </c>
      <c r="J9708" t="s">
        <v>328</v>
      </c>
      <c r="K9708">
        <v>199.55</v>
      </c>
      <c r="L9708">
        <v>40.549999999999997</v>
      </c>
      <c r="M9708">
        <v>14972</v>
      </c>
      <c r="N9708" t="s">
        <v>82</v>
      </c>
      <c r="O9708">
        <v>251001</v>
      </c>
      <c r="P9708">
        <v>159</v>
      </c>
    </row>
    <row r="9709" spans="1:16" x14ac:dyDescent="0.25">
      <c r="A9709" t="s">
        <v>3296</v>
      </c>
      <c r="B9709" t="s">
        <v>2931</v>
      </c>
      <c r="C9709">
        <v>12880</v>
      </c>
      <c r="D9709" t="str">
        <f>"2125014202  "</f>
        <v xml:space="preserve">2125014202  </v>
      </c>
      <c r="E9709" t="s">
        <v>337</v>
      </c>
      <c r="F9709" t="s">
        <v>338</v>
      </c>
      <c r="G9709">
        <v>199.55</v>
      </c>
      <c r="H9709">
        <v>250904</v>
      </c>
      <c r="I9709">
        <v>4347</v>
      </c>
      <c r="J9709" t="s">
        <v>328</v>
      </c>
      <c r="K9709">
        <v>199.55</v>
      </c>
      <c r="L9709">
        <v>40.549999999999997</v>
      </c>
      <c r="M9709">
        <v>14972</v>
      </c>
      <c r="N9709" t="s">
        <v>82</v>
      </c>
      <c r="O9709">
        <v>251001</v>
      </c>
      <c r="P9709">
        <v>159</v>
      </c>
    </row>
    <row r="9710" spans="1:16" x14ac:dyDescent="0.25">
      <c r="A9710" t="s">
        <v>3296</v>
      </c>
      <c r="B9710" t="s">
        <v>2931</v>
      </c>
      <c r="C9710">
        <v>13078</v>
      </c>
      <c r="D9710" t="str">
        <f>"2125015223  "</f>
        <v xml:space="preserve">2125015223  </v>
      </c>
      <c r="E9710" t="s">
        <v>337</v>
      </c>
      <c r="F9710" t="s">
        <v>338</v>
      </c>
      <c r="G9710">
        <v>91.8</v>
      </c>
      <c r="H9710">
        <v>250927</v>
      </c>
      <c r="I9710">
        <v>4347</v>
      </c>
      <c r="J9710" t="s">
        <v>328</v>
      </c>
      <c r="K9710">
        <v>91.8</v>
      </c>
      <c r="L9710">
        <v>18.649999999999999</v>
      </c>
      <c r="M9710">
        <v>13501</v>
      </c>
      <c r="N9710" t="s">
        <v>66</v>
      </c>
      <c r="O9710">
        <v>251003</v>
      </c>
      <c r="P9710">
        <v>73.150000000000006</v>
      </c>
    </row>
    <row r="9711" spans="1:16" x14ac:dyDescent="0.25">
      <c r="A9711" t="s">
        <v>3296</v>
      </c>
      <c r="B9711" t="s">
        <v>2931</v>
      </c>
      <c r="C9711">
        <v>13154</v>
      </c>
      <c r="D9711" t="str">
        <f>"2125015369  "</f>
        <v xml:space="preserve">2125015369  </v>
      </c>
      <c r="E9711" t="s">
        <v>337</v>
      </c>
      <c r="F9711" t="s">
        <v>338</v>
      </c>
      <c r="G9711">
        <v>63.74</v>
      </c>
      <c r="H9711">
        <v>250927</v>
      </c>
      <c r="I9711">
        <v>4347</v>
      </c>
      <c r="J9711" t="s">
        <v>328</v>
      </c>
      <c r="K9711">
        <v>63.74</v>
      </c>
      <c r="L9711">
        <v>12.95</v>
      </c>
      <c r="M9711">
        <v>47522</v>
      </c>
      <c r="N9711" t="s">
        <v>106</v>
      </c>
      <c r="O9711">
        <v>251006</v>
      </c>
      <c r="P9711">
        <v>50.79</v>
      </c>
    </row>
    <row r="9712" spans="1:16" x14ac:dyDescent="0.25">
      <c r="A9712" t="s">
        <v>3296</v>
      </c>
      <c r="B9712" t="s">
        <v>2931</v>
      </c>
      <c r="C9712">
        <v>13668</v>
      </c>
      <c r="D9712" t="str">
        <f>"2125015348  "</f>
        <v xml:space="preserve">2125015348  </v>
      </c>
      <c r="E9712" t="s">
        <v>337</v>
      </c>
      <c r="F9712" t="s">
        <v>338</v>
      </c>
      <c r="G9712">
        <v>7.59</v>
      </c>
      <c r="H9712">
        <v>250927</v>
      </c>
      <c r="I9712">
        <v>4347</v>
      </c>
      <c r="J9712" t="s">
        <v>328</v>
      </c>
      <c r="K9712">
        <v>37.99</v>
      </c>
      <c r="L9712">
        <v>1.54</v>
      </c>
      <c r="M9712">
        <v>11001</v>
      </c>
      <c r="N9712" t="s">
        <v>93</v>
      </c>
      <c r="O9712">
        <v>251013</v>
      </c>
      <c r="P9712">
        <v>6.05</v>
      </c>
    </row>
    <row r="9713" spans="1:16" x14ac:dyDescent="0.25">
      <c r="A9713" t="s">
        <v>3296</v>
      </c>
      <c r="B9713" t="s">
        <v>2931</v>
      </c>
      <c r="C9713">
        <v>13668</v>
      </c>
      <c r="D9713" t="str">
        <f>"2125015348  "</f>
        <v xml:space="preserve">2125015348  </v>
      </c>
      <c r="E9713" t="s">
        <v>337</v>
      </c>
      <c r="F9713" t="s">
        <v>338</v>
      </c>
      <c r="G9713">
        <v>15.2</v>
      </c>
      <c r="H9713">
        <v>250927</v>
      </c>
      <c r="I9713">
        <v>4347</v>
      </c>
      <c r="J9713" t="s">
        <v>328</v>
      </c>
      <c r="K9713">
        <v>37.99</v>
      </c>
      <c r="L9713">
        <v>3.09</v>
      </c>
      <c r="M9713">
        <v>11101</v>
      </c>
      <c r="N9713" t="s">
        <v>67</v>
      </c>
      <c r="O9713">
        <v>251013</v>
      </c>
      <c r="P9713">
        <v>12.11</v>
      </c>
    </row>
    <row r="9714" spans="1:16" x14ac:dyDescent="0.25">
      <c r="A9714" t="s">
        <v>3296</v>
      </c>
      <c r="B9714" t="s">
        <v>2931</v>
      </c>
      <c r="C9714">
        <v>13668</v>
      </c>
      <c r="D9714" t="str">
        <f>"2125015348  "</f>
        <v xml:space="preserve">2125015348  </v>
      </c>
      <c r="E9714" t="s">
        <v>337</v>
      </c>
      <c r="F9714" t="s">
        <v>338</v>
      </c>
      <c r="G9714">
        <v>15.2</v>
      </c>
      <c r="H9714">
        <v>250927</v>
      </c>
      <c r="I9714">
        <v>4347</v>
      </c>
      <c r="J9714" t="s">
        <v>328</v>
      </c>
      <c r="K9714">
        <v>37.99</v>
      </c>
      <c r="L9714">
        <v>3.09</v>
      </c>
      <c r="M9714">
        <v>18971</v>
      </c>
      <c r="N9714" t="s">
        <v>38</v>
      </c>
      <c r="O9714">
        <v>251013</v>
      </c>
      <c r="P9714">
        <v>12.11</v>
      </c>
    </row>
    <row r="9715" spans="1:16" x14ac:dyDescent="0.25">
      <c r="A9715" t="s">
        <v>3296</v>
      </c>
      <c r="B9715" t="s">
        <v>2931</v>
      </c>
      <c r="C9715">
        <v>13710</v>
      </c>
      <c r="D9715" t="str">
        <f>"2125017474  "</f>
        <v xml:space="preserve">2125017474  </v>
      </c>
      <c r="E9715" t="s">
        <v>337</v>
      </c>
      <c r="F9715" t="s">
        <v>338</v>
      </c>
      <c r="G9715">
        <v>199.55</v>
      </c>
      <c r="H9715">
        <v>251001</v>
      </c>
      <c r="I9715">
        <v>4347</v>
      </c>
      <c r="J9715" t="s">
        <v>328</v>
      </c>
      <c r="K9715">
        <v>199.55</v>
      </c>
      <c r="L9715">
        <v>40.549999999999997</v>
      </c>
      <c r="M9715">
        <v>49701</v>
      </c>
      <c r="N9715" t="s">
        <v>111</v>
      </c>
      <c r="O9715">
        <v>251016</v>
      </c>
      <c r="P9715">
        <v>159</v>
      </c>
    </row>
    <row r="9716" spans="1:16" x14ac:dyDescent="0.25">
      <c r="A9716" t="s">
        <v>3296</v>
      </c>
      <c r="B9716" t="s">
        <v>2931</v>
      </c>
      <c r="C9716">
        <v>14418</v>
      </c>
      <c r="D9716" t="str">
        <f>"2125018524  "</f>
        <v xml:space="preserve">2125018524  </v>
      </c>
      <c r="E9716" t="s">
        <v>337</v>
      </c>
      <c r="F9716" t="s">
        <v>338</v>
      </c>
      <c r="G9716">
        <v>112.89</v>
      </c>
      <c r="H9716">
        <v>251029</v>
      </c>
      <c r="I9716">
        <v>4347</v>
      </c>
      <c r="J9716" t="s">
        <v>328</v>
      </c>
      <c r="K9716">
        <v>112.89</v>
      </c>
      <c r="L9716">
        <v>22.94</v>
      </c>
      <c r="M9716">
        <v>16321</v>
      </c>
      <c r="N9716" t="s">
        <v>16</v>
      </c>
      <c r="O9716">
        <v>251031</v>
      </c>
      <c r="P9716">
        <v>89.95</v>
      </c>
    </row>
    <row r="9717" spans="1:16" x14ac:dyDescent="0.25">
      <c r="A9717" t="s">
        <v>3296</v>
      </c>
      <c r="B9717" t="s">
        <v>2931</v>
      </c>
      <c r="C9717">
        <v>14445</v>
      </c>
      <c r="D9717" t="str">
        <f>"2125018533  "</f>
        <v xml:space="preserve">2125018533  </v>
      </c>
      <c r="E9717" t="s">
        <v>337</v>
      </c>
      <c r="F9717" t="s">
        <v>338</v>
      </c>
      <c r="G9717">
        <v>24.9</v>
      </c>
      <c r="H9717">
        <v>251029</v>
      </c>
      <c r="I9717">
        <v>4347</v>
      </c>
      <c r="J9717" t="s">
        <v>328</v>
      </c>
      <c r="K9717">
        <v>49.79</v>
      </c>
      <c r="L9717">
        <v>5.0599999999999996</v>
      </c>
      <c r="M9717">
        <v>16431</v>
      </c>
      <c r="N9717" t="s">
        <v>17</v>
      </c>
      <c r="O9717">
        <v>251031</v>
      </c>
      <c r="P9717">
        <v>19.84</v>
      </c>
    </row>
    <row r="9718" spans="1:16" x14ac:dyDescent="0.25">
      <c r="A9718" t="s">
        <v>3296</v>
      </c>
      <c r="B9718" t="s">
        <v>2931</v>
      </c>
      <c r="C9718">
        <v>14445</v>
      </c>
      <c r="D9718" t="str">
        <f>"2125018533  "</f>
        <v xml:space="preserve">2125018533  </v>
      </c>
      <c r="E9718" t="s">
        <v>337</v>
      </c>
      <c r="F9718" t="s">
        <v>338</v>
      </c>
      <c r="G9718">
        <v>24.89</v>
      </c>
      <c r="H9718">
        <v>251029</v>
      </c>
      <c r="I9718">
        <v>4347</v>
      </c>
      <c r="J9718" t="s">
        <v>328</v>
      </c>
      <c r="K9718">
        <v>49.79</v>
      </c>
      <c r="L9718">
        <v>5.0599999999999996</v>
      </c>
      <c r="M9718">
        <v>17913</v>
      </c>
      <c r="N9718" t="s">
        <v>26</v>
      </c>
      <c r="O9718">
        <v>251031</v>
      </c>
      <c r="P9718">
        <v>19.829999999999998</v>
      </c>
    </row>
    <row r="9719" spans="1:16" x14ac:dyDescent="0.25">
      <c r="A9719" t="s">
        <v>3296</v>
      </c>
      <c r="B9719" t="s">
        <v>2931</v>
      </c>
      <c r="C9719">
        <v>14446</v>
      </c>
      <c r="D9719" t="str">
        <f>"2125018536  "</f>
        <v xml:space="preserve">2125018536  </v>
      </c>
      <c r="E9719" t="s">
        <v>337</v>
      </c>
      <c r="F9719" t="s">
        <v>338</v>
      </c>
      <c r="G9719">
        <v>59</v>
      </c>
      <c r="H9719">
        <v>251029</v>
      </c>
      <c r="I9719">
        <v>4347</v>
      </c>
      <c r="J9719" t="s">
        <v>328</v>
      </c>
      <c r="K9719">
        <v>59</v>
      </c>
      <c r="L9719">
        <v>11.99</v>
      </c>
      <c r="M9719">
        <v>17807</v>
      </c>
      <c r="N9719" t="s">
        <v>23</v>
      </c>
      <c r="O9719">
        <v>251031</v>
      </c>
      <c r="P9719">
        <v>47.01</v>
      </c>
    </row>
    <row r="9720" spans="1:16" x14ac:dyDescent="0.25">
      <c r="A9720" t="s">
        <v>3296</v>
      </c>
      <c r="B9720" t="s">
        <v>2931</v>
      </c>
      <c r="C9720">
        <v>14447</v>
      </c>
      <c r="D9720" t="str">
        <f>"2125018526  "</f>
        <v xml:space="preserve">2125018526  </v>
      </c>
      <c r="E9720" t="s">
        <v>337</v>
      </c>
      <c r="F9720" t="s">
        <v>338</v>
      </c>
      <c r="G9720">
        <v>31.04</v>
      </c>
      <c r="H9720">
        <v>251029</v>
      </c>
      <c r="I9720">
        <v>4347</v>
      </c>
      <c r="J9720" t="s">
        <v>328</v>
      </c>
      <c r="K9720">
        <v>31.04</v>
      </c>
      <c r="L9720">
        <v>6.31</v>
      </c>
      <c r="M9720">
        <v>17807</v>
      </c>
      <c r="N9720" t="s">
        <v>23</v>
      </c>
      <c r="O9720">
        <v>251031</v>
      </c>
      <c r="P9720">
        <v>24.73</v>
      </c>
    </row>
    <row r="9721" spans="1:16" x14ac:dyDescent="0.25">
      <c r="A9721" t="s">
        <v>3296</v>
      </c>
      <c r="B9721" t="s">
        <v>2931</v>
      </c>
      <c r="C9721">
        <v>14448</v>
      </c>
      <c r="D9721" t="str">
        <f>"2125018531  "</f>
        <v xml:space="preserve">2125018531  </v>
      </c>
      <c r="E9721" t="s">
        <v>337</v>
      </c>
      <c r="F9721" t="s">
        <v>338</v>
      </c>
      <c r="G9721">
        <v>56.8</v>
      </c>
      <c r="H9721">
        <v>251029</v>
      </c>
      <c r="I9721">
        <v>4347</v>
      </c>
      <c r="J9721" t="s">
        <v>328</v>
      </c>
      <c r="K9721">
        <v>56.8</v>
      </c>
      <c r="L9721">
        <v>11.54</v>
      </c>
      <c r="M9721">
        <v>17802</v>
      </c>
      <c r="N9721" t="s">
        <v>18</v>
      </c>
      <c r="O9721">
        <v>251031</v>
      </c>
      <c r="P9721">
        <v>45.26</v>
      </c>
    </row>
    <row r="9722" spans="1:16" x14ac:dyDescent="0.25">
      <c r="A9722" t="s">
        <v>3296</v>
      </c>
      <c r="B9722" t="s">
        <v>2931</v>
      </c>
      <c r="C9722">
        <v>14449</v>
      </c>
      <c r="D9722" t="str">
        <f>"2125018530  "</f>
        <v xml:space="preserve">2125018530  </v>
      </c>
      <c r="E9722" t="s">
        <v>337</v>
      </c>
      <c r="F9722" t="s">
        <v>338</v>
      </c>
      <c r="G9722">
        <v>55.33</v>
      </c>
      <c r="H9722">
        <v>251029</v>
      </c>
      <c r="I9722">
        <v>4347</v>
      </c>
      <c r="J9722" t="s">
        <v>328</v>
      </c>
      <c r="K9722">
        <v>55.33</v>
      </c>
      <c r="L9722">
        <v>11.24</v>
      </c>
      <c r="M9722">
        <v>16431</v>
      </c>
      <c r="N9722" t="s">
        <v>17</v>
      </c>
      <c r="O9722">
        <v>251031</v>
      </c>
      <c r="P9722">
        <v>44.09</v>
      </c>
    </row>
    <row r="9723" spans="1:16" x14ac:dyDescent="0.25">
      <c r="A9723" t="s">
        <v>3296</v>
      </c>
      <c r="B9723" t="s">
        <v>2931</v>
      </c>
      <c r="C9723">
        <v>14450</v>
      </c>
      <c r="D9723" t="str">
        <f>"2125018532  "</f>
        <v xml:space="preserve">2125018532  </v>
      </c>
      <c r="E9723" t="s">
        <v>337</v>
      </c>
      <c r="F9723" t="s">
        <v>338</v>
      </c>
      <c r="G9723">
        <v>25.73</v>
      </c>
      <c r="H9723">
        <v>251029</v>
      </c>
      <c r="I9723">
        <v>4347</v>
      </c>
      <c r="J9723" t="s">
        <v>328</v>
      </c>
      <c r="K9723">
        <v>25.73</v>
      </c>
      <c r="L9723">
        <v>5.23</v>
      </c>
      <c r="M9723">
        <v>17803</v>
      </c>
      <c r="N9723" t="s">
        <v>19</v>
      </c>
      <c r="O9723">
        <v>251031</v>
      </c>
      <c r="P9723">
        <v>20.5</v>
      </c>
    </row>
    <row r="9724" spans="1:16" x14ac:dyDescent="0.25">
      <c r="A9724" t="s">
        <v>3296</v>
      </c>
      <c r="B9724" t="s">
        <v>2931</v>
      </c>
      <c r="C9724">
        <v>14451</v>
      </c>
      <c r="D9724" t="str">
        <f>"2125018528  "</f>
        <v xml:space="preserve">2125018528  </v>
      </c>
      <c r="E9724" t="s">
        <v>337</v>
      </c>
      <c r="F9724" t="s">
        <v>338</v>
      </c>
      <c r="G9724">
        <v>24.27</v>
      </c>
      <c r="H9724">
        <v>251029</v>
      </c>
      <c r="I9724">
        <v>4347</v>
      </c>
      <c r="J9724" t="s">
        <v>328</v>
      </c>
      <c r="K9724">
        <v>24.27</v>
      </c>
      <c r="L9724">
        <v>4.93</v>
      </c>
      <c r="M9724">
        <v>17802</v>
      </c>
      <c r="N9724" t="s">
        <v>18</v>
      </c>
      <c r="O9724">
        <v>251031</v>
      </c>
      <c r="P9724">
        <v>19.34</v>
      </c>
    </row>
    <row r="9725" spans="1:16" x14ac:dyDescent="0.25">
      <c r="A9725" t="s">
        <v>3296</v>
      </c>
      <c r="B9725" t="s">
        <v>2931</v>
      </c>
      <c r="C9725">
        <v>14452</v>
      </c>
      <c r="D9725" t="str">
        <f>"2125018031  "</f>
        <v xml:space="preserve">2125018031  </v>
      </c>
      <c r="E9725" t="s">
        <v>337</v>
      </c>
      <c r="F9725" t="s">
        <v>338</v>
      </c>
      <c r="G9725">
        <v>29.51</v>
      </c>
      <c r="H9725">
        <v>251029</v>
      </c>
      <c r="I9725">
        <v>4347</v>
      </c>
      <c r="J9725" t="s">
        <v>328</v>
      </c>
      <c r="K9725">
        <v>29.51</v>
      </c>
      <c r="L9725">
        <v>6</v>
      </c>
      <c r="M9725">
        <v>17522</v>
      </c>
      <c r="N9725" t="s">
        <v>137</v>
      </c>
      <c r="O9725">
        <v>251031</v>
      </c>
      <c r="P9725">
        <v>23.51</v>
      </c>
    </row>
    <row r="9726" spans="1:16" x14ac:dyDescent="0.25">
      <c r="A9726" t="s">
        <v>3296</v>
      </c>
      <c r="B9726" t="s">
        <v>2931</v>
      </c>
      <c r="C9726">
        <v>14453</v>
      </c>
      <c r="D9726" t="str">
        <f>"2125018519  "</f>
        <v xml:space="preserve">2125018519  </v>
      </c>
      <c r="E9726" t="s">
        <v>337</v>
      </c>
      <c r="F9726" t="s">
        <v>338</v>
      </c>
      <c r="G9726">
        <v>28.56</v>
      </c>
      <c r="H9726">
        <v>251029</v>
      </c>
      <c r="I9726">
        <v>4347</v>
      </c>
      <c r="J9726" t="s">
        <v>328</v>
      </c>
      <c r="K9726">
        <v>28.56</v>
      </c>
      <c r="L9726">
        <v>5.8</v>
      </c>
      <c r="M9726">
        <v>56524</v>
      </c>
      <c r="N9726" t="s">
        <v>69</v>
      </c>
      <c r="O9726">
        <v>251031</v>
      </c>
      <c r="P9726">
        <v>22.76</v>
      </c>
    </row>
    <row r="9727" spans="1:16" x14ac:dyDescent="0.25">
      <c r="A9727" t="s">
        <v>3296</v>
      </c>
      <c r="B9727" t="s">
        <v>2931</v>
      </c>
      <c r="C9727">
        <v>14454</v>
      </c>
      <c r="D9727" t="str">
        <f>"2125018527  "</f>
        <v xml:space="preserve">2125018527  </v>
      </c>
      <c r="E9727" t="s">
        <v>337</v>
      </c>
      <c r="F9727" t="s">
        <v>338</v>
      </c>
      <c r="G9727">
        <v>28.1</v>
      </c>
      <c r="H9727">
        <v>251029</v>
      </c>
      <c r="I9727">
        <v>4347</v>
      </c>
      <c r="J9727" t="s">
        <v>328</v>
      </c>
      <c r="K9727">
        <v>28.1</v>
      </c>
      <c r="L9727">
        <v>5.71</v>
      </c>
      <c r="M9727">
        <v>17808</v>
      </c>
      <c r="N9727" t="s">
        <v>24</v>
      </c>
      <c r="O9727">
        <v>251031</v>
      </c>
      <c r="P9727">
        <v>22.39</v>
      </c>
    </row>
    <row r="9728" spans="1:16" x14ac:dyDescent="0.25">
      <c r="A9728" t="s">
        <v>3296</v>
      </c>
      <c r="B9728" t="s">
        <v>2931</v>
      </c>
      <c r="C9728">
        <v>14455</v>
      </c>
      <c r="D9728" t="str">
        <f>"2125018552  "</f>
        <v xml:space="preserve">2125018552  </v>
      </c>
      <c r="E9728" t="s">
        <v>337</v>
      </c>
      <c r="F9728" t="s">
        <v>338</v>
      </c>
      <c r="G9728">
        <v>29.34</v>
      </c>
      <c r="H9728">
        <v>251029</v>
      </c>
      <c r="I9728">
        <v>4347</v>
      </c>
      <c r="J9728" t="s">
        <v>328</v>
      </c>
      <c r="K9728">
        <v>29.34</v>
      </c>
      <c r="L9728">
        <v>5.96</v>
      </c>
      <c r="M9728">
        <v>59503</v>
      </c>
      <c r="N9728" t="s">
        <v>766</v>
      </c>
      <c r="O9728">
        <v>251031</v>
      </c>
      <c r="P9728">
        <v>23.38</v>
      </c>
    </row>
    <row r="9729" spans="1:16" x14ac:dyDescent="0.25">
      <c r="A9729" t="s">
        <v>3296</v>
      </c>
      <c r="B9729" t="s">
        <v>2931</v>
      </c>
      <c r="C9729">
        <v>14456</v>
      </c>
      <c r="D9729" t="str">
        <f>"2125018529  "</f>
        <v xml:space="preserve">2125018529  </v>
      </c>
      <c r="E9729" t="s">
        <v>337</v>
      </c>
      <c r="F9729" t="s">
        <v>338</v>
      </c>
      <c r="G9729">
        <v>21.76</v>
      </c>
      <c r="H9729">
        <v>251029</v>
      </c>
      <c r="I9729">
        <v>4347</v>
      </c>
      <c r="J9729" t="s">
        <v>328</v>
      </c>
      <c r="K9729">
        <v>21.76</v>
      </c>
      <c r="L9729">
        <v>4.42</v>
      </c>
      <c r="M9729">
        <v>17803</v>
      </c>
      <c r="N9729" t="s">
        <v>19</v>
      </c>
      <c r="O9729">
        <v>251031</v>
      </c>
      <c r="P9729">
        <v>17.34</v>
      </c>
    </row>
    <row r="9730" spans="1:16" x14ac:dyDescent="0.25">
      <c r="A9730" t="s">
        <v>3296</v>
      </c>
      <c r="B9730" t="s">
        <v>2931</v>
      </c>
      <c r="C9730">
        <v>14457</v>
      </c>
      <c r="D9730" t="str">
        <f>"2125018525  "</f>
        <v xml:space="preserve">2125018525  </v>
      </c>
      <c r="E9730" t="s">
        <v>337</v>
      </c>
      <c r="F9730" t="s">
        <v>338</v>
      </c>
      <c r="G9730">
        <v>10.92</v>
      </c>
      <c r="H9730">
        <v>251029</v>
      </c>
      <c r="I9730">
        <v>4347</v>
      </c>
      <c r="J9730" t="s">
        <v>328</v>
      </c>
      <c r="K9730">
        <v>21.84</v>
      </c>
      <c r="L9730">
        <v>2.2200000000000002</v>
      </c>
      <c r="M9730">
        <v>17131</v>
      </c>
      <c r="N9730" t="s">
        <v>154</v>
      </c>
      <c r="O9730">
        <v>251031</v>
      </c>
      <c r="P9730">
        <v>8.6999999999999993</v>
      </c>
    </row>
    <row r="9731" spans="1:16" x14ac:dyDescent="0.25">
      <c r="A9731" t="s">
        <v>3296</v>
      </c>
      <c r="B9731" t="s">
        <v>2931</v>
      </c>
      <c r="C9731">
        <v>14457</v>
      </c>
      <c r="D9731" t="str">
        <f>"2125018525  "</f>
        <v xml:space="preserve">2125018525  </v>
      </c>
      <c r="E9731" t="s">
        <v>337</v>
      </c>
      <c r="F9731" t="s">
        <v>338</v>
      </c>
      <c r="G9731">
        <v>10.92</v>
      </c>
      <c r="H9731">
        <v>251029</v>
      </c>
      <c r="I9731">
        <v>4347</v>
      </c>
      <c r="J9731" t="s">
        <v>328</v>
      </c>
      <c r="K9731">
        <v>21.84</v>
      </c>
      <c r="L9731">
        <v>2.2200000000000002</v>
      </c>
      <c r="M9731">
        <v>17711</v>
      </c>
      <c r="N9731" t="s">
        <v>155</v>
      </c>
      <c r="O9731">
        <v>251031</v>
      </c>
      <c r="P9731">
        <v>8.6999999999999993</v>
      </c>
    </row>
    <row r="9732" spans="1:16" x14ac:dyDescent="0.25">
      <c r="A9732" t="s">
        <v>3296</v>
      </c>
      <c r="B9732" t="s">
        <v>2931</v>
      </c>
      <c r="C9732">
        <v>14461</v>
      </c>
      <c r="D9732" t="str">
        <f>"2125018087  "</f>
        <v xml:space="preserve">2125018087  </v>
      </c>
      <c r="E9732" t="s">
        <v>337</v>
      </c>
      <c r="F9732" t="s">
        <v>338</v>
      </c>
      <c r="G9732">
        <v>262.41000000000003</v>
      </c>
      <c r="H9732">
        <v>251029</v>
      </c>
      <c r="I9732">
        <v>4347</v>
      </c>
      <c r="J9732" t="s">
        <v>328</v>
      </c>
      <c r="K9732">
        <v>262.41000000000003</v>
      </c>
      <c r="L9732">
        <v>53.32</v>
      </c>
      <c r="M9732">
        <v>14972</v>
      </c>
      <c r="N9732" t="s">
        <v>82</v>
      </c>
      <c r="O9732">
        <v>251031</v>
      </c>
      <c r="P9732">
        <v>209.09</v>
      </c>
    </row>
    <row r="9733" spans="1:16" x14ac:dyDescent="0.25">
      <c r="A9733" t="s">
        <v>3296</v>
      </c>
      <c r="B9733" t="s">
        <v>2931</v>
      </c>
      <c r="C9733">
        <v>14462</v>
      </c>
      <c r="D9733" t="str">
        <f>"2125018088  "</f>
        <v xml:space="preserve">2125018088  </v>
      </c>
      <c r="E9733" t="s">
        <v>337</v>
      </c>
      <c r="F9733" t="s">
        <v>338</v>
      </c>
      <c r="G9733">
        <v>95.27</v>
      </c>
      <c r="H9733">
        <v>251029</v>
      </c>
      <c r="I9733">
        <v>4347</v>
      </c>
      <c r="J9733" t="s">
        <v>328</v>
      </c>
      <c r="K9733">
        <v>95.27</v>
      </c>
      <c r="L9733">
        <v>19.36</v>
      </c>
      <c r="M9733">
        <v>14972</v>
      </c>
      <c r="N9733" t="s">
        <v>82</v>
      </c>
      <c r="O9733">
        <v>251031</v>
      </c>
      <c r="P9733">
        <v>75.91</v>
      </c>
    </row>
    <row r="9734" spans="1:16" x14ac:dyDescent="0.25">
      <c r="A9734" t="s">
        <v>3296</v>
      </c>
      <c r="B9734" t="s">
        <v>2931</v>
      </c>
      <c r="C9734">
        <v>14802</v>
      </c>
      <c r="D9734" t="str">
        <f>"2125020036  "</f>
        <v xml:space="preserve">2125020036  </v>
      </c>
      <c r="E9734" t="s">
        <v>337</v>
      </c>
      <c r="F9734" t="s">
        <v>338</v>
      </c>
      <c r="G9734">
        <v>199.55</v>
      </c>
      <c r="H9734">
        <v>251104</v>
      </c>
      <c r="I9734">
        <v>4347</v>
      </c>
      <c r="J9734" t="s">
        <v>328</v>
      </c>
      <c r="K9734">
        <v>199.55</v>
      </c>
      <c r="L9734">
        <v>40.549999999999997</v>
      </c>
      <c r="M9734">
        <v>17532</v>
      </c>
      <c r="N9734" t="s">
        <v>146</v>
      </c>
      <c r="O9734">
        <v>251106</v>
      </c>
      <c r="P9734">
        <v>159</v>
      </c>
    </row>
    <row r="9735" spans="1:16" x14ac:dyDescent="0.25">
      <c r="A9735" t="s">
        <v>3296</v>
      </c>
      <c r="B9735" t="s">
        <v>2931</v>
      </c>
      <c r="C9735">
        <v>14852</v>
      </c>
      <c r="D9735" t="str">
        <f>"2125020035  "</f>
        <v xml:space="preserve">2125020035  </v>
      </c>
      <c r="E9735" t="s">
        <v>337</v>
      </c>
      <c r="F9735" t="s">
        <v>338</v>
      </c>
      <c r="G9735">
        <v>199.55</v>
      </c>
      <c r="H9735">
        <v>251104</v>
      </c>
      <c r="I9735">
        <v>4347</v>
      </c>
      <c r="J9735" t="s">
        <v>328</v>
      </c>
      <c r="K9735">
        <v>199.55</v>
      </c>
      <c r="L9735">
        <v>40.549999999999997</v>
      </c>
      <c r="M9735">
        <v>13501</v>
      </c>
      <c r="N9735" t="s">
        <v>66</v>
      </c>
      <c r="O9735">
        <v>251107</v>
      </c>
      <c r="P9735">
        <v>159</v>
      </c>
    </row>
    <row r="9736" spans="1:16" x14ac:dyDescent="0.25">
      <c r="A9736" t="s">
        <v>3296</v>
      </c>
      <c r="B9736" t="s">
        <v>2931</v>
      </c>
      <c r="C9736">
        <v>15873</v>
      </c>
      <c r="D9736" t="str">
        <f>"2125021014  "</f>
        <v xml:space="preserve">2125021014  </v>
      </c>
      <c r="E9736" t="s">
        <v>337</v>
      </c>
      <c r="F9736" t="s">
        <v>338</v>
      </c>
      <c r="G9736">
        <v>114.76</v>
      </c>
      <c r="H9736">
        <v>251126</v>
      </c>
      <c r="I9736">
        <v>4347</v>
      </c>
      <c r="J9736" t="s">
        <v>328</v>
      </c>
      <c r="K9736">
        <v>114.76</v>
      </c>
      <c r="L9736">
        <v>23.32</v>
      </c>
      <c r="M9736">
        <v>59504</v>
      </c>
      <c r="N9736" t="s">
        <v>193</v>
      </c>
      <c r="O9736">
        <v>251127</v>
      </c>
      <c r="P9736">
        <v>91.44</v>
      </c>
    </row>
    <row r="9737" spans="1:16" x14ac:dyDescent="0.25">
      <c r="A9737" t="s">
        <v>3296</v>
      </c>
      <c r="B9737" t="s">
        <v>2931</v>
      </c>
      <c r="C9737">
        <v>15874</v>
      </c>
      <c r="D9737" t="str">
        <f>"2125020711  "</f>
        <v xml:space="preserve">2125020711  </v>
      </c>
      <c r="E9737" t="s">
        <v>337</v>
      </c>
      <c r="F9737" t="s">
        <v>338</v>
      </c>
      <c r="G9737">
        <v>82.49</v>
      </c>
      <c r="H9737">
        <v>251126</v>
      </c>
      <c r="I9737">
        <v>4347</v>
      </c>
      <c r="J9737" t="s">
        <v>328</v>
      </c>
      <c r="K9737">
        <v>82.49</v>
      </c>
      <c r="L9737">
        <v>16.760000000000002</v>
      </c>
      <c r="M9737">
        <v>69704</v>
      </c>
      <c r="N9737" t="s">
        <v>89</v>
      </c>
      <c r="O9737">
        <v>251127</v>
      </c>
      <c r="P9737">
        <v>65.73</v>
      </c>
    </row>
    <row r="9738" spans="1:16" x14ac:dyDescent="0.25">
      <c r="A9738" t="s">
        <v>3296</v>
      </c>
      <c r="B9738" t="s">
        <v>2931</v>
      </c>
      <c r="C9738">
        <v>15875</v>
      </c>
      <c r="D9738" t="str">
        <f>"2125020758  "</f>
        <v xml:space="preserve">2125020758  </v>
      </c>
      <c r="E9738" t="s">
        <v>337</v>
      </c>
      <c r="F9738" t="s">
        <v>338</v>
      </c>
      <c r="G9738">
        <v>68.02</v>
      </c>
      <c r="H9738">
        <v>251126</v>
      </c>
      <c r="I9738">
        <v>4347</v>
      </c>
      <c r="J9738" t="s">
        <v>328</v>
      </c>
      <c r="K9738">
        <v>136.05000000000001</v>
      </c>
      <c r="L9738">
        <v>13.82</v>
      </c>
      <c r="M9738">
        <v>17131</v>
      </c>
      <c r="N9738" t="s">
        <v>154</v>
      </c>
      <c r="O9738">
        <v>251127</v>
      </c>
      <c r="P9738">
        <v>54.2</v>
      </c>
    </row>
    <row r="9739" spans="1:16" x14ac:dyDescent="0.25">
      <c r="A9739" t="s">
        <v>3296</v>
      </c>
      <c r="B9739" t="s">
        <v>2931</v>
      </c>
      <c r="C9739">
        <v>15875</v>
      </c>
      <c r="D9739" t="str">
        <f>"2125020758  "</f>
        <v xml:space="preserve">2125020758  </v>
      </c>
      <c r="E9739" t="s">
        <v>337</v>
      </c>
      <c r="F9739" t="s">
        <v>338</v>
      </c>
      <c r="G9739">
        <v>68.03</v>
      </c>
      <c r="H9739">
        <v>251126</v>
      </c>
      <c r="I9739">
        <v>4347</v>
      </c>
      <c r="J9739" t="s">
        <v>328</v>
      </c>
      <c r="K9739">
        <v>136.05000000000001</v>
      </c>
      <c r="L9739">
        <v>13.82</v>
      </c>
      <c r="M9739">
        <v>17711</v>
      </c>
      <c r="N9739" t="s">
        <v>155</v>
      </c>
      <c r="O9739">
        <v>251127</v>
      </c>
      <c r="P9739">
        <v>54.21</v>
      </c>
    </row>
    <row r="9740" spans="1:16" x14ac:dyDescent="0.25">
      <c r="A9740" t="s">
        <v>3296</v>
      </c>
      <c r="B9740" t="s">
        <v>2931</v>
      </c>
      <c r="C9740">
        <v>15876</v>
      </c>
      <c r="D9740" t="str">
        <f>"2125020806  "</f>
        <v xml:space="preserve">2125020806  </v>
      </c>
      <c r="E9740" t="s">
        <v>337</v>
      </c>
      <c r="F9740" t="s">
        <v>338</v>
      </c>
      <c r="G9740">
        <v>174.87</v>
      </c>
      <c r="H9740">
        <v>251126</v>
      </c>
      <c r="I9740">
        <v>4347</v>
      </c>
      <c r="J9740" t="s">
        <v>328</v>
      </c>
      <c r="K9740">
        <v>174.87</v>
      </c>
      <c r="L9740">
        <v>35.53</v>
      </c>
      <c r="M9740">
        <v>48601</v>
      </c>
      <c r="N9740" t="s">
        <v>107</v>
      </c>
      <c r="O9740">
        <v>251127</v>
      </c>
      <c r="P9740">
        <v>139.34</v>
      </c>
    </row>
    <row r="9741" spans="1:16" x14ac:dyDescent="0.25">
      <c r="A9741" t="s">
        <v>3296</v>
      </c>
      <c r="B9741" t="s">
        <v>2931</v>
      </c>
      <c r="C9741">
        <v>15877</v>
      </c>
      <c r="D9741" t="str">
        <f>"2125020783  "</f>
        <v xml:space="preserve">2125020783  </v>
      </c>
      <c r="E9741" t="s">
        <v>337</v>
      </c>
      <c r="F9741" t="s">
        <v>338</v>
      </c>
      <c r="G9741">
        <v>87.52</v>
      </c>
      <c r="H9741">
        <v>251126</v>
      </c>
      <c r="I9741">
        <v>4347</v>
      </c>
      <c r="J9741" t="s">
        <v>328</v>
      </c>
      <c r="K9741">
        <v>87.52</v>
      </c>
      <c r="L9741">
        <v>17.78</v>
      </c>
      <c r="M9741">
        <v>49701</v>
      </c>
      <c r="N9741" t="s">
        <v>111</v>
      </c>
      <c r="O9741">
        <v>251127</v>
      </c>
      <c r="P9741">
        <v>69.739999999999995</v>
      </c>
    </row>
    <row r="9742" spans="1:16" x14ac:dyDescent="0.25">
      <c r="A9742" t="s">
        <v>3296</v>
      </c>
      <c r="B9742" t="s">
        <v>2931</v>
      </c>
      <c r="C9742">
        <v>15878</v>
      </c>
      <c r="D9742" t="str">
        <f>"2125020843  "</f>
        <v xml:space="preserve">2125020843  </v>
      </c>
      <c r="E9742" t="s">
        <v>337</v>
      </c>
      <c r="F9742" t="s">
        <v>338</v>
      </c>
      <c r="G9742">
        <v>146.51</v>
      </c>
      <c r="H9742">
        <v>251126</v>
      </c>
      <c r="I9742">
        <v>4347</v>
      </c>
      <c r="J9742" t="s">
        <v>328</v>
      </c>
      <c r="K9742">
        <v>146.51</v>
      </c>
      <c r="L9742">
        <v>29.77</v>
      </c>
      <c r="M9742">
        <v>44222</v>
      </c>
      <c r="N9742" t="s">
        <v>96</v>
      </c>
      <c r="O9742">
        <v>251127</v>
      </c>
      <c r="P9742">
        <v>116.74</v>
      </c>
    </row>
    <row r="9743" spans="1:16" x14ac:dyDescent="0.25">
      <c r="A9743" t="s">
        <v>3296</v>
      </c>
      <c r="B9743" t="s">
        <v>2931</v>
      </c>
      <c r="C9743">
        <v>15880</v>
      </c>
      <c r="D9743" t="str">
        <f>"2125020846  "</f>
        <v xml:space="preserve">2125020846  </v>
      </c>
      <c r="E9743" t="s">
        <v>337</v>
      </c>
      <c r="F9743" t="s">
        <v>338</v>
      </c>
      <c r="G9743">
        <v>52.07</v>
      </c>
      <c r="H9743">
        <v>251126</v>
      </c>
      <c r="I9743">
        <v>4347</v>
      </c>
      <c r="J9743" t="s">
        <v>328</v>
      </c>
      <c r="K9743">
        <v>52.07</v>
      </c>
      <c r="L9743">
        <v>10.58</v>
      </c>
      <c r="M9743">
        <v>56524</v>
      </c>
      <c r="N9743" t="s">
        <v>69</v>
      </c>
      <c r="O9743">
        <v>251127</v>
      </c>
      <c r="P9743">
        <v>41.49</v>
      </c>
    </row>
    <row r="9744" spans="1:16" x14ac:dyDescent="0.25">
      <c r="A9744" t="s">
        <v>3296</v>
      </c>
      <c r="B9744" t="s">
        <v>2931</v>
      </c>
      <c r="C9744">
        <v>15884</v>
      </c>
      <c r="D9744" t="str">
        <f>"2125020712  "</f>
        <v xml:space="preserve">2125020712  </v>
      </c>
      <c r="E9744" t="s">
        <v>337</v>
      </c>
      <c r="F9744" t="s">
        <v>338</v>
      </c>
      <c r="G9744">
        <v>94.33</v>
      </c>
      <c r="H9744">
        <v>251126</v>
      </c>
      <c r="I9744">
        <v>4347</v>
      </c>
      <c r="J9744" t="s">
        <v>328</v>
      </c>
      <c r="K9744">
        <v>94.33</v>
      </c>
      <c r="L9744">
        <v>19.170000000000002</v>
      </c>
      <c r="M9744">
        <v>66722</v>
      </c>
      <c r="N9744" t="s">
        <v>118</v>
      </c>
      <c r="O9744">
        <v>251127</v>
      </c>
      <c r="P9744">
        <v>75.16</v>
      </c>
    </row>
    <row r="9745" spans="1:16" x14ac:dyDescent="0.25">
      <c r="A9745" t="s">
        <v>3296</v>
      </c>
      <c r="B9745" t="s">
        <v>2931</v>
      </c>
      <c r="C9745">
        <v>15885</v>
      </c>
      <c r="D9745" t="str">
        <f>"2125020709  "</f>
        <v xml:space="preserve">2125020709  </v>
      </c>
      <c r="E9745" t="s">
        <v>337</v>
      </c>
      <c r="F9745" t="s">
        <v>338</v>
      </c>
      <c r="G9745">
        <v>49.11</v>
      </c>
      <c r="H9745">
        <v>251126</v>
      </c>
      <c r="I9745">
        <v>4347</v>
      </c>
      <c r="J9745" t="s">
        <v>328</v>
      </c>
      <c r="K9745">
        <v>49.11</v>
      </c>
      <c r="L9745">
        <v>9.98</v>
      </c>
      <c r="M9745">
        <v>66756</v>
      </c>
      <c r="N9745" t="s">
        <v>120</v>
      </c>
      <c r="O9745">
        <v>251127</v>
      </c>
      <c r="P9745">
        <v>39.130000000000003</v>
      </c>
    </row>
    <row r="9746" spans="1:16" x14ac:dyDescent="0.25">
      <c r="A9746" t="s">
        <v>3296</v>
      </c>
      <c r="B9746" t="s">
        <v>2931</v>
      </c>
      <c r="C9746">
        <v>15906</v>
      </c>
      <c r="D9746" t="str">
        <f>"2125020847  "</f>
        <v xml:space="preserve">2125020847  </v>
      </c>
      <c r="E9746" t="s">
        <v>337</v>
      </c>
      <c r="F9746" t="s">
        <v>338</v>
      </c>
      <c r="G9746">
        <v>26.88</v>
      </c>
      <c r="H9746">
        <v>251126</v>
      </c>
      <c r="I9746">
        <v>4347</v>
      </c>
      <c r="J9746" t="s">
        <v>328</v>
      </c>
      <c r="K9746">
        <v>26.88</v>
      </c>
      <c r="L9746">
        <v>5.46</v>
      </c>
      <c r="M9746">
        <v>56558</v>
      </c>
      <c r="N9746" t="s">
        <v>50</v>
      </c>
      <c r="O9746">
        <v>251128</v>
      </c>
      <c r="P9746">
        <v>21.42</v>
      </c>
    </row>
    <row r="9747" spans="1:16" x14ac:dyDescent="0.25">
      <c r="A9747" t="s">
        <v>3296</v>
      </c>
      <c r="B9747" t="s">
        <v>2931</v>
      </c>
      <c r="C9747">
        <v>15907</v>
      </c>
      <c r="D9747" t="str">
        <f>"2125020972  "</f>
        <v xml:space="preserve">2125020972  </v>
      </c>
      <c r="E9747" t="s">
        <v>337</v>
      </c>
      <c r="F9747" t="s">
        <v>338</v>
      </c>
      <c r="G9747">
        <v>70.2</v>
      </c>
      <c r="H9747">
        <v>251126</v>
      </c>
      <c r="I9747">
        <v>4347</v>
      </c>
      <c r="J9747" t="s">
        <v>328</v>
      </c>
      <c r="K9747">
        <v>70.2</v>
      </c>
      <c r="L9747">
        <v>14.26</v>
      </c>
      <c r="M9747">
        <v>54222</v>
      </c>
      <c r="N9747" t="s">
        <v>48</v>
      </c>
      <c r="O9747">
        <v>251128</v>
      </c>
      <c r="P9747">
        <v>55.94</v>
      </c>
    </row>
    <row r="9748" spans="1:16" x14ac:dyDescent="0.25">
      <c r="A9748" t="s">
        <v>3296</v>
      </c>
      <c r="B9748" t="s">
        <v>2931</v>
      </c>
      <c r="C9748">
        <v>15908</v>
      </c>
      <c r="D9748" t="str">
        <f>"2125021015  "</f>
        <v xml:space="preserve">2125021015  </v>
      </c>
      <c r="E9748" t="s">
        <v>337</v>
      </c>
      <c r="F9748" t="s">
        <v>338</v>
      </c>
      <c r="G9748">
        <v>27.84</v>
      </c>
      <c r="H9748">
        <v>251126</v>
      </c>
      <c r="I9748">
        <v>4347</v>
      </c>
      <c r="J9748" t="s">
        <v>328</v>
      </c>
      <c r="K9748">
        <v>27.84</v>
      </c>
      <c r="L9748">
        <v>5.66</v>
      </c>
      <c r="M9748">
        <v>56560</v>
      </c>
      <c r="N9748" t="s">
        <v>52</v>
      </c>
      <c r="O9748">
        <v>251128</v>
      </c>
      <c r="P9748">
        <v>22.18</v>
      </c>
    </row>
    <row r="9749" spans="1:16" x14ac:dyDescent="0.25">
      <c r="A9749" t="s">
        <v>3296</v>
      </c>
      <c r="B9749" t="s">
        <v>2931</v>
      </c>
      <c r="C9749">
        <v>15909</v>
      </c>
      <c r="D9749" t="str">
        <f>"2125020971  "</f>
        <v xml:space="preserve">2125020971  </v>
      </c>
      <c r="E9749" t="s">
        <v>337</v>
      </c>
      <c r="F9749" t="s">
        <v>338</v>
      </c>
      <c r="G9749">
        <v>49.56</v>
      </c>
      <c r="H9749">
        <v>251126</v>
      </c>
      <c r="I9749">
        <v>4347</v>
      </c>
      <c r="J9749" t="s">
        <v>328</v>
      </c>
      <c r="K9749">
        <v>49.56</v>
      </c>
      <c r="L9749">
        <v>10.07</v>
      </c>
      <c r="M9749">
        <v>56522</v>
      </c>
      <c r="N9749" t="s">
        <v>68</v>
      </c>
      <c r="O9749">
        <v>251128</v>
      </c>
      <c r="P9749">
        <v>39.49</v>
      </c>
    </row>
    <row r="9750" spans="1:16" x14ac:dyDescent="0.25">
      <c r="A9750" t="s">
        <v>3296</v>
      </c>
      <c r="B9750" t="s">
        <v>2931</v>
      </c>
      <c r="C9750">
        <v>15910</v>
      </c>
      <c r="D9750" t="str">
        <f>"2125020844  "</f>
        <v xml:space="preserve">2125020844  </v>
      </c>
      <c r="E9750" t="s">
        <v>337</v>
      </c>
      <c r="F9750" t="s">
        <v>338</v>
      </c>
      <c r="G9750">
        <v>68.25</v>
      </c>
      <c r="H9750">
        <v>251126</v>
      </c>
      <c r="I9750">
        <v>4347</v>
      </c>
      <c r="J9750" t="s">
        <v>328</v>
      </c>
      <c r="K9750">
        <v>68.25</v>
      </c>
      <c r="L9750">
        <v>13.87</v>
      </c>
      <c r="M9750">
        <v>56559</v>
      </c>
      <c r="N9750" t="s">
        <v>51</v>
      </c>
      <c r="O9750">
        <v>251128</v>
      </c>
      <c r="P9750">
        <v>54.38</v>
      </c>
    </row>
    <row r="9751" spans="1:16" x14ac:dyDescent="0.25">
      <c r="A9751" t="s">
        <v>3296</v>
      </c>
      <c r="B9751" t="s">
        <v>2931</v>
      </c>
      <c r="C9751">
        <v>15980</v>
      </c>
      <c r="D9751" t="str">
        <f>"2125020842  "</f>
        <v xml:space="preserve">2125020842  </v>
      </c>
      <c r="E9751" t="s">
        <v>337</v>
      </c>
      <c r="F9751" t="s">
        <v>338</v>
      </c>
      <c r="G9751">
        <v>91.36</v>
      </c>
      <c r="H9751">
        <v>251126</v>
      </c>
      <c r="I9751">
        <v>4347</v>
      </c>
      <c r="J9751" t="s">
        <v>328</v>
      </c>
      <c r="K9751">
        <v>91.36</v>
      </c>
      <c r="L9751">
        <v>18.559999999999999</v>
      </c>
      <c r="M9751">
        <v>46555</v>
      </c>
      <c r="N9751" t="s">
        <v>103</v>
      </c>
      <c r="O9751">
        <v>251201</v>
      </c>
      <c r="P9751">
        <v>72.8</v>
      </c>
    </row>
    <row r="9752" spans="1:16" x14ac:dyDescent="0.25">
      <c r="A9752" t="s">
        <v>3296</v>
      </c>
      <c r="B9752" t="s">
        <v>2931</v>
      </c>
      <c r="C9752">
        <v>15981</v>
      </c>
      <c r="D9752" t="str">
        <f>"2125020757  "</f>
        <v xml:space="preserve">2125020757  </v>
      </c>
      <c r="E9752" t="s">
        <v>337</v>
      </c>
      <c r="F9752" t="s">
        <v>338</v>
      </c>
      <c r="G9752">
        <v>21.46</v>
      </c>
      <c r="H9752">
        <v>251126</v>
      </c>
      <c r="I9752">
        <v>4347</v>
      </c>
      <c r="J9752" t="s">
        <v>328</v>
      </c>
      <c r="K9752">
        <v>21.46</v>
      </c>
      <c r="L9752">
        <v>4.3600000000000003</v>
      </c>
      <c r="M9752">
        <v>11101</v>
      </c>
      <c r="N9752" t="s">
        <v>67</v>
      </c>
      <c r="O9752">
        <v>251201</v>
      </c>
      <c r="P9752">
        <v>17.100000000000001</v>
      </c>
    </row>
    <row r="9753" spans="1:16" x14ac:dyDescent="0.25">
      <c r="A9753" t="s">
        <v>3296</v>
      </c>
      <c r="B9753" t="s">
        <v>2931</v>
      </c>
      <c r="C9753">
        <v>15982</v>
      </c>
      <c r="D9753" t="str">
        <f>"2125020840  "</f>
        <v xml:space="preserve">2125020840  </v>
      </c>
      <c r="E9753" t="s">
        <v>337</v>
      </c>
      <c r="F9753" t="s">
        <v>338</v>
      </c>
      <c r="G9753">
        <v>61.52</v>
      </c>
      <c r="H9753">
        <v>251126</v>
      </c>
      <c r="I9753">
        <v>4347</v>
      </c>
      <c r="J9753" t="s">
        <v>328</v>
      </c>
      <c r="K9753">
        <v>61.52</v>
      </c>
      <c r="L9753">
        <v>12.5</v>
      </c>
      <c r="M9753">
        <v>46559</v>
      </c>
      <c r="N9753" t="s">
        <v>105</v>
      </c>
      <c r="O9753">
        <v>251201</v>
      </c>
      <c r="P9753">
        <v>49.02</v>
      </c>
    </row>
    <row r="9754" spans="1:16" x14ac:dyDescent="0.25">
      <c r="A9754" t="s">
        <v>3296</v>
      </c>
      <c r="B9754" t="s">
        <v>2931</v>
      </c>
      <c r="C9754">
        <v>15984</v>
      </c>
      <c r="D9754" t="str">
        <f>"2125020839  "</f>
        <v xml:space="preserve">2125020839  </v>
      </c>
      <c r="E9754" t="s">
        <v>337</v>
      </c>
      <c r="F9754" t="s">
        <v>338</v>
      </c>
      <c r="G9754">
        <v>263.12</v>
      </c>
      <c r="H9754">
        <v>251126</v>
      </c>
      <c r="I9754">
        <v>4347</v>
      </c>
      <c r="J9754" t="s">
        <v>328</v>
      </c>
      <c r="K9754">
        <v>263.12</v>
      </c>
      <c r="L9754">
        <v>53.46</v>
      </c>
      <c r="M9754">
        <v>44424</v>
      </c>
      <c r="N9754" t="s">
        <v>99</v>
      </c>
      <c r="O9754">
        <v>251201</v>
      </c>
      <c r="P9754">
        <v>209.66</v>
      </c>
    </row>
    <row r="9755" spans="1:16" x14ac:dyDescent="0.25">
      <c r="A9755" t="s">
        <v>3296</v>
      </c>
      <c r="B9755" t="s">
        <v>2931</v>
      </c>
      <c r="C9755">
        <v>15987</v>
      </c>
      <c r="D9755" t="str">
        <f>"2125020841  "</f>
        <v xml:space="preserve">2125020841  </v>
      </c>
      <c r="E9755" t="s">
        <v>337</v>
      </c>
      <c r="F9755" t="s">
        <v>338</v>
      </c>
      <c r="G9755">
        <v>80.33</v>
      </c>
      <c r="H9755">
        <v>251126</v>
      </c>
      <c r="I9755">
        <v>4347</v>
      </c>
      <c r="J9755" t="s">
        <v>328</v>
      </c>
      <c r="K9755">
        <v>80.33</v>
      </c>
      <c r="L9755">
        <v>16.32</v>
      </c>
      <c r="M9755">
        <v>44424</v>
      </c>
      <c r="N9755" t="s">
        <v>99</v>
      </c>
      <c r="O9755">
        <v>251201</v>
      </c>
      <c r="P9755">
        <v>64.010000000000005</v>
      </c>
    </row>
    <row r="9756" spans="1:16" x14ac:dyDescent="0.25">
      <c r="A9756" t="s">
        <v>3296</v>
      </c>
      <c r="B9756" t="s">
        <v>2931</v>
      </c>
      <c r="C9756">
        <v>15988</v>
      </c>
      <c r="D9756" t="str">
        <f>"2125020756  "</f>
        <v xml:space="preserve">2125020756  </v>
      </c>
      <c r="E9756" t="s">
        <v>337</v>
      </c>
      <c r="F9756" t="s">
        <v>338</v>
      </c>
      <c r="G9756">
        <v>129.66999999999999</v>
      </c>
      <c r="H9756">
        <v>251126</v>
      </c>
      <c r="I9756">
        <v>4347</v>
      </c>
      <c r="J9756" t="s">
        <v>328</v>
      </c>
      <c r="K9756">
        <v>129.66999999999999</v>
      </c>
      <c r="L9756">
        <v>26.35</v>
      </c>
      <c r="M9756">
        <v>17808</v>
      </c>
      <c r="N9756" t="s">
        <v>24</v>
      </c>
      <c r="O9756">
        <v>251201</v>
      </c>
      <c r="P9756">
        <v>103.32</v>
      </c>
    </row>
    <row r="9757" spans="1:16" x14ac:dyDescent="0.25">
      <c r="A9757" t="s">
        <v>3296</v>
      </c>
      <c r="B9757" t="s">
        <v>2931</v>
      </c>
      <c r="C9757">
        <v>15989</v>
      </c>
      <c r="D9757" t="str">
        <f>"2125020792  "</f>
        <v xml:space="preserve">2125020792  </v>
      </c>
      <c r="E9757" t="s">
        <v>337</v>
      </c>
      <c r="F9757" t="s">
        <v>338</v>
      </c>
      <c r="G9757">
        <v>160.43</v>
      </c>
      <c r="H9757">
        <v>251126</v>
      </c>
      <c r="I9757">
        <v>4347</v>
      </c>
      <c r="J9757" t="s">
        <v>328</v>
      </c>
      <c r="K9757">
        <v>160.43</v>
      </c>
      <c r="L9757">
        <v>32.6</v>
      </c>
      <c r="M9757">
        <v>11501</v>
      </c>
      <c r="N9757" t="s">
        <v>13</v>
      </c>
      <c r="O9757">
        <v>251201</v>
      </c>
      <c r="P9757">
        <v>127.83</v>
      </c>
    </row>
    <row r="9758" spans="1:16" x14ac:dyDescent="0.25">
      <c r="A9758" t="s">
        <v>3296</v>
      </c>
      <c r="B9758" t="s">
        <v>2931</v>
      </c>
      <c r="C9758">
        <v>15990</v>
      </c>
      <c r="D9758" t="str">
        <f>"2125020755  "</f>
        <v xml:space="preserve">2125020755  </v>
      </c>
      <c r="E9758" t="s">
        <v>337</v>
      </c>
      <c r="F9758" t="s">
        <v>338</v>
      </c>
      <c r="G9758">
        <v>43.45</v>
      </c>
      <c r="H9758">
        <v>251126</v>
      </c>
      <c r="I9758">
        <v>4347</v>
      </c>
      <c r="J9758" t="s">
        <v>328</v>
      </c>
      <c r="K9758">
        <v>43.45</v>
      </c>
      <c r="L9758">
        <v>8.83</v>
      </c>
      <c r="M9758">
        <v>17971</v>
      </c>
      <c r="N9758" t="s">
        <v>27</v>
      </c>
      <c r="O9758">
        <v>251201</v>
      </c>
      <c r="P9758">
        <v>34.619999999999997</v>
      </c>
    </row>
    <row r="9759" spans="1:16" x14ac:dyDescent="0.25">
      <c r="A9759" t="s">
        <v>3296</v>
      </c>
      <c r="B9759" t="s">
        <v>2931</v>
      </c>
      <c r="C9759">
        <v>16123</v>
      </c>
      <c r="D9759" t="str">
        <f>"2125021415  "</f>
        <v xml:space="preserve">2125021415  </v>
      </c>
      <c r="E9759" t="s">
        <v>337</v>
      </c>
      <c r="F9759" t="s">
        <v>338</v>
      </c>
      <c r="G9759">
        <v>10.39</v>
      </c>
      <c r="H9759">
        <v>251126</v>
      </c>
      <c r="I9759">
        <v>4347</v>
      </c>
      <c r="J9759" t="s">
        <v>328</v>
      </c>
      <c r="K9759">
        <v>10.39</v>
      </c>
      <c r="L9759">
        <v>2.11</v>
      </c>
      <c r="M9759">
        <v>46556</v>
      </c>
      <c r="N9759" t="s">
        <v>458</v>
      </c>
      <c r="O9759">
        <v>251203</v>
      </c>
      <c r="P9759">
        <v>8.2799999999999994</v>
      </c>
    </row>
    <row r="9760" spans="1:16" x14ac:dyDescent="0.25">
      <c r="A9760" t="s">
        <v>3296</v>
      </c>
      <c r="B9760" t="s">
        <v>2931</v>
      </c>
      <c r="C9760">
        <v>16125</v>
      </c>
      <c r="D9760" t="str">
        <f>"2125020845  "</f>
        <v xml:space="preserve">2125020845  </v>
      </c>
      <c r="E9760" t="s">
        <v>337</v>
      </c>
      <c r="F9760" t="s">
        <v>338</v>
      </c>
      <c r="G9760">
        <v>37.78</v>
      </c>
      <c r="H9760">
        <v>251126</v>
      </c>
      <c r="I9760">
        <v>4347</v>
      </c>
      <c r="J9760" t="s">
        <v>328</v>
      </c>
      <c r="K9760">
        <v>37.78</v>
      </c>
      <c r="L9760">
        <v>7.68</v>
      </c>
      <c r="M9760">
        <v>56558</v>
      </c>
      <c r="N9760" t="s">
        <v>50</v>
      </c>
      <c r="O9760">
        <v>251203</v>
      </c>
      <c r="P9760">
        <v>30.1</v>
      </c>
    </row>
    <row r="9761" spans="1:16" x14ac:dyDescent="0.25">
      <c r="A9761" t="s">
        <v>3296</v>
      </c>
      <c r="B9761" t="s">
        <v>2931</v>
      </c>
      <c r="C9761">
        <v>16294</v>
      </c>
      <c r="D9761" t="str">
        <f>"2125020838  "</f>
        <v xml:space="preserve">2125020838  </v>
      </c>
      <c r="E9761" t="s">
        <v>337</v>
      </c>
      <c r="F9761" t="s">
        <v>338</v>
      </c>
      <c r="G9761">
        <v>179.49</v>
      </c>
      <c r="H9761">
        <v>251126</v>
      </c>
      <c r="I9761">
        <v>4347</v>
      </c>
      <c r="J9761" t="s">
        <v>328</v>
      </c>
      <c r="K9761">
        <v>179.49</v>
      </c>
      <c r="L9761">
        <v>36.47</v>
      </c>
      <c r="M9761">
        <v>41126</v>
      </c>
      <c r="N9761" t="s">
        <v>94</v>
      </c>
      <c r="O9761">
        <v>251205</v>
      </c>
      <c r="P9761">
        <v>143.02000000000001</v>
      </c>
    </row>
    <row r="9762" spans="1:16" x14ac:dyDescent="0.25">
      <c r="A9762" t="s">
        <v>3296</v>
      </c>
      <c r="B9762" t="s">
        <v>2931</v>
      </c>
      <c r="C9762">
        <v>16295</v>
      </c>
      <c r="D9762" t="str">
        <f>"2125020837  "</f>
        <v xml:space="preserve">2125020837  </v>
      </c>
      <c r="E9762" t="s">
        <v>337</v>
      </c>
      <c r="F9762" t="s">
        <v>338</v>
      </c>
      <c r="G9762">
        <v>81.900000000000006</v>
      </c>
      <c r="H9762">
        <v>251126</v>
      </c>
      <c r="I9762">
        <v>4347</v>
      </c>
      <c r="J9762" t="s">
        <v>328</v>
      </c>
      <c r="K9762">
        <v>81.900000000000006</v>
      </c>
      <c r="L9762">
        <v>16.64</v>
      </c>
      <c r="M9762">
        <v>44222</v>
      </c>
      <c r="N9762" t="s">
        <v>96</v>
      </c>
      <c r="O9762">
        <v>251205</v>
      </c>
      <c r="P9762">
        <v>65.260000000000005</v>
      </c>
    </row>
    <row r="9763" spans="1:16" x14ac:dyDescent="0.25">
      <c r="A9763" t="s">
        <v>3296</v>
      </c>
      <c r="B9763" t="s">
        <v>2931</v>
      </c>
      <c r="C9763">
        <v>16297</v>
      </c>
      <c r="D9763" t="str">
        <f>"125020642   "</f>
        <v xml:space="preserve">125020642   </v>
      </c>
      <c r="E9763" t="s">
        <v>337</v>
      </c>
      <c r="F9763" t="s">
        <v>338</v>
      </c>
      <c r="G9763">
        <v>350.15</v>
      </c>
      <c r="H9763">
        <v>251127</v>
      </c>
      <c r="I9763">
        <v>4347</v>
      </c>
      <c r="J9763" t="s">
        <v>328</v>
      </c>
      <c r="K9763">
        <v>350.15</v>
      </c>
      <c r="L9763">
        <v>71.150000000000006</v>
      </c>
      <c r="M9763">
        <v>14972</v>
      </c>
      <c r="N9763" t="s">
        <v>82</v>
      </c>
      <c r="O9763">
        <v>251205</v>
      </c>
      <c r="P9763">
        <v>279</v>
      </c>
    </row>
    <row r="9764" spans="1:16" x14ac:dyDescent="0.25">
      <c r="A9764" t="s">
        <v>3296</v>
      </c>
      <c r="B9764" t="s">
        <v>2931</v>
      </c>
      <c r="C9764">
        <v>16445</v>
      </c>
      <c r="D9764" t="str">
        <f>"2125021358  "</f>
        <v xml:space="preserve">2125021358  </v>
      </c>
      <c r="E9764" t="s">
        <v>337</v>
      </c>
      <c r="F9764" t="s">
        <v>338</v>
      </c>
      <c r="G9764">
        <v>101.08</v>
      </c>
      <c r="H9764">
        <v>251126</v>
      </c>
      <c r="I9764">
        <v>4347</v>
      </c>
      <c r="J9764" t="s">
        <v>328</v>
      </c>
      <c r="K9764">
        <v>101.08</v>
      </c>
      <c r="L9764">
        <v>20.54</v>
      </c>
      <c r="M9764">
        <v>43222</v>
      </c>
      <c r="N9764" t="s">
        <v>95</v>
      </c>
      <c r="O9764">
        <v>251208</v>
      </c>
      <c r="P9764">
        <v>80.540000000000006</v>
      </c>
    </row>
    <row r="9765" spans="1:16" x14ac:dyDescent="0.25">
      <c r="A9765" t="s">
        <v>3296</v>
      </c>
      <c r="B9765" t="s">
        <v>2931</v>
      </c>
      <c r="C9765">
        <v>16446</v>
      </c>
      <c r="D9765" t="str">
        <f>"2125021012  "</f>
        <v xml:space="preserve">2125021012  </v>
      </c>
      <c r="E9765" t="s">
        <v>337</v>
      </c>
      <c r="F9765" t="s">
        <v>338</v>
      </c>
      <c r="G9765">
        <v>304.52999999999997</v>
      </c>
      <c r="H9765">
        <v>251126</v>
      </c>
      <c r="I9765">
        <v>4347</v>
      </c>
      <c r="J9765" t="s">
        <v>328</v>
      </c>
      <c r="K9765">
        <v>304.52999999999997</v>
      </c>
      <c r="L9765">
        <v>61.88</v>
      </c>
      <c r="M9765">
        <v>14321</v>
      </c>
      <c r="N9765" t="s">
        <v>72</v>
      </c>
      <c r="O9765">
        <v>251208</v>
      </c>
      <c r="P9765">
        <v>242.65</v>
      </c>
    </row>
    <row r="9766" spans="1:16" x14ac:dyDescent="0.25">
      <c r="A9766" t="s">
        <v>3296</v>
      </c>
      <c r="B9766" t="s">
        <v>2931</v>
      </c>
      <c r="C9766">
        <v>16745</v>
      </c>
      <c r="D9766" t="str">
        <f>"2125020708  "</f>
        <v xml:space="preserve">2125020708  </v>
      </c>
      <c r="E9766" t="s">
        <v>337</v>
      </c>
      <c r="F9766" t="s">
        <v>338</v>
      </c>
      <c r="G9766">
        <v>71.25</v>
      </c>
      <c r="H9766">
        <v>251126</v>
      </c>
      <c r="I9766">
        <v>4347</v>
      </c>
      <c r="J9766" t="s">
        <v>328</v>
      </c>
      <c r="K9766">
        <v>71.25</v>
      </c>
      <c r="L9766">
        <v>14.48</v>
      </c>
      <c r="M9766">
        <v>69704</v>
      </c>
      <c r="N9766" t="s">
        <v>89</v>
      </c>
      <c r="O9766">
        <v>251211</v>
      </c>
      <c r="P9766">
        <v>56.77</v>
      </c>
    </row>
    <row r="9767" spans="1:16" x14ac:dyDescent="0.25">
      <c r="A9767" t="s">
        <v>3296</v>
      </c>
      <c r="B9767" t="s">
        <v>2931</v>
      </c>
      <c r="C9767">
        <v>16748</v>
      </c>
      <c r="D9767" t="str">
        <f>"2125020710  "</f>
        <v xml:space="preserve">2125020710  </v>
      </c>
      <c r="E9767" t="s">
        <v>337</v>
      </c>
      <c r="F9767" t="s">
        <v>338</v>
      </c>
      <c r="G9767">
        <v>267.49</v>
      </c>
      <c r="H9767">
        <v>251126</v>
      </c>
      <c r="I9767">
        <v>4347</v>
      </c>
      <c r="J9767" t="s">
        <v>328</v>
      </c>
      <c r="K9767">
        <v>267.49</v>
      </c>
      <c r="L9767">
        <v>54.35</v>
      </c>
      <c r="M9767">
        <v>69702</v>
      </c>
      <c r="N9767" t="s">
        <v>124</v>
      </c>
      <c r="O9767">
        <v>251211</v>
      </c>
      <c r="P9767">
        <v>213.14</v>
      </c>
    </row>
    <row r="9768" spans="1:16" x14ac:dyDescent="0.25">
      <c r="A9768" t="s">
        <v>3296</v>
      </c>
      <c r="B9768" t="s">
        <v>2931</v>
      </c>
      <c r="C9768">
        <v>17679</v>
      </c>
      <c r="D9768" t="str">
        <f>"2125022179  "</f>
        <v xml:space="preserve">2125022179  </v>
      </c>
      <c r="E9768" t="s">
        <v>337</v>
      </c>
      <c r="F9768" t="s">
        <v>338</v>
      </c>
      <c r="G9768">
        <v>199.55</v>
      </c>
      <c r="H9768">
        <v>251205</v>
      </c>
      <c r="I9768">
        <v>4347</v>
      </c>
      <c r="J9768" t="s">
        <v>328</v>
      </c>
      <c r="K9768">
        <v>199.55</v>
      </c>
      <c r="L9768">
        <v>40.549999999999997</v>
      </c>
      <c r="M9768">
        <v>14972</v>
      </c>
      <c r="N9768" t="s">
        <v>82</v>
      </c>
      <c r="O9768">
        <v>251229</v>
      </c>
      <c r="P9768">
        <v>159</v>
      </c>
    </row>
    <row r="9769" spans="1:16" x14ac:dyDescent="0.25">
      <c r="A9769" t="s">
        <v>3296</v>
      </c>
      <c r="B9769" t="s">
        <v>2931</v>
      </c>
      <c r="C9769">
        <v>17735</v>
      </c>
      <c r="D9769" t="str">
        <f>"2125022178  "</f>
        <v xml:space="preserve">2125022178  </v>
      </c>
      <c r="E9769" t="s">
        <v>337</v>
      </c>
      <c r="F9769" t="s">
        <v>338</v>
      </c>
      <c r="G9769">
        <v>199.55</v>
      </c>
      <c r="H9769">
        <v>251205</v>
      </c>
      <c r="I9769">
        <v>4347</v>
      </c>
      <c r="J9769" t="s">
        <v>328</v>
      </c>
      <c r="K9769">
        <v>199.55</v>
      </c>
      <c r="L9769">
        <v>40.549999999999997</v>
      </c>
      <c r="M9769">
        <v>14972</v>
      </c>
      <c r="N9769" t="s">
        <v>82</v>
      </c>
      <c r="O9769">
        <v>251230</v>
      </c>
      <c r="P9769">
        <v>159</v>
      </c>
    </row>
    <row r="9770" spans="1:16" x14ac:dyDescent="0.25">
      <c r="A9770" t="s">
        <v>3296</v>
      </c>
      <c r="B9770" t="s">
        <v>2931</v>
      </c>
      <c r="C9770">
        <v>17912</v>
      </c>
      <c r="D9770" t="str">
        <f>"2125022345  "</f>
        <v xml:space="preserve">2125022345  </v>
      </c>
      <c r="E9770" t="s">
        <v>337</v>
      </c>
      <c r="F9770" t="s">
        <v>338</v>
      </c>
      <c r="G9770">
        <v>68.77</v>
      </c>
      <c r="H9770">
        <v>251205</v>
      </c>
      <c r="I9770">
        <v>4347</v>
      </c>
      <c r="J9770" t="s">
        <v>328</v>
      </c>
      <c r="K9770">
        <v>199.55</v>
      </c>
      <c r="L9770">
        <v>13.97</v>
      </c>
      <c r="M9770">
        <v>17530</v>
      </c>
      <c r="N9770" t="s">
        <v>144</v>
      </c>
      <c r="O9770">
        <v>260107</v>
      </c>
      <c r="P9770">
        <v>54.8</v>
      </c>
    </row>
    <row r="9771" spans="1:16" x14ac:dyDescent="0.25">
      <c r="A9771" t="s">
        <v>3296</v>
      </c>
      <c r="B9771" t="s">
        <v>2931</v>
      </c>
      <c r="C9771">
        <v>18004</v>
      </c>
      <c r="D9771" t="str">
        <f>"2125023869  "</f>
        <v xml:space="preserve">2125023869  </v>
      </c>
      <c r="E9771" t="s">
        <v>337</v>
      </c>
      <c r="F9771" t="s">
        <v>338</v>
      </c>
      <c r="G9771">
        <v>6.9</v>
      </c>
      <c r="H9771">
        <v>251229</v>
      </c>
      <c r="I9771">
        <v>4347</v>
      </c>
      <c r="J9771" t="s">
        <v>328</v>
      </c>
      <c r="K9771">
        <v>6.9</v>
      </c>
      <c r="L9771">
        <v>1.4</v>
      </c>
      <c r="M9771">
        <v>14622</v>
      </c>
      <c r="N9771" t="s">
        <v>77</v>
      </c>
      <c r="O9771">
        <v>260108</v>
      </c>
      <c r="P9771">
        <v>5.5</v>
      </c>
    </row>
    <row r="9772" spans="1:16" x14ac:dyDescent="0.25">
      <c r="A9772" t="s">
        <v>3296</v>
      </c>
      <c r="B9772" t="s">
        <v>2931</v>
      </c>
      <c r="C9772">
        <v>18276</v>
      </c>
      <c r="D9772" t="str">
        <f>"2125023149  "</f>
        <v xml:space="preserve">2125023149  </v>
      </c>
      <c r="E9772" t="s">
        <v>337</v>
      </c>
      <c r="F9772" t="s">
        <v>338</v>
      </c>
      <c r="G9772">
        <v>21.98</v>
      </c>
      <c r="H9772">
        <v>251229</v>
      </c>
      <c r="I9772">
        <v>4347</v>
      </c>
      <c r="J9772" t="s">
        <v>328</v>
      </c>
      <c r="K9772">
        <v>21.98</v>
      </c>
      <c r="L9772">
        <v>4.47</v>
      </c>
      <c r="M9772">
        <v>17529</v>
      </c>
      <c r="N9772" t="s">
        <v>143</v>
      </c>
      <c r="O9772">
        <v>260112</v>
      </c>
      <c r="P9772">
        <v>17.510000000000002</v>
      </c>
    </row>
    <row r="9773" spans="1:16" x14ac:dyDescent="0.25">
      <c r="A9773" t="s">
        <v>3296</v>
      </c>
      <c r="B9773" t="s">
        <v>2931</v>
      </c>
      <c r="C9773">
        <v>18279</v>
      </c>
      <c r="D9773" t="str">
        <f>"2125023270  "</f>
        <v xml:space="preserve">2125023270  </v>
      </c>
      <c r="E9773" t="s">
        <v>337</v>
      </c>
      <c r="F9773" t="s">
        <v>338</v>
      </c>
      <c r="G9773">
        <v>80.459999999999994</v>
      </c>
      <c r="H9773">
        <v>251229</v>
      </c>
      <c r="I9773">
        <v>4347</v>
      </c>
      <c r="J9773" t="s">
        <v>328</v>
      </c>
      <c r="K9773">
        <v>80.459999999999994</v>
      </c>
      <c r="L9773">
        <v>16.350000000000001</v>
      </c>
      <c r="M9773">
        <v>47522</v>
      </c>
      <c r="N9773" t="s">
        <v>106</v>
      </c>
      <c r="O9773">
        <v>260112</v>
      </c>
      <c r="P9773">
        <v>64.11</v>
      </c>
    </row>
    <row r="9774" spans="1:16" x14ac:dyDescent="0.25">
      <c r="A9774" t="s">
        <v>3296</v>
      </c>
      <c r="B9774" t="s">
        <v>2931</v>
      </c>
      <c r="C9774">
        <v>18280</v>
      </c>
      <c r="D9774" t="str">
        <f>"2125023151  "</f>
        <v xml:space="preserve">2125023151  </v>
      </c>
      <c r="E9774" t="s">
        <v>337</v>
      </c>
      <c r="F9774" t="s">
        <v>338</v>
      </c>
      <c r="G9774">
        <v>63.5</v>
      </c>
      <c r="H9774">
        <v>251229</v>
      </c>
      <c r="I9774">
        <v>4347</v>
      </c>
      <c r="J9774" t="s">
        <v>328</v>
      </c>
      <c r="K9774">
        <v>63.5</v>
      </c>
      <c r="L9774">
        <v>12.9</v>
      </c>
      <c r="M9774">
        <v>17532</v>
      </c>
      <c r="N9774" t="s">
        <v>146</v>
      </c>
      <c r="O9774">
        <v>260112</v>
      </c>
      <c r="P9774">
        <v>50.6</v>
      </c>
    </row>
    <row r="9775" spans="1:16" x14ac:dyDescent="0.25">
      <c r="A9775" t="s">
        <v>3296</v>
      </c>
      <c r="B9775" t="s">
        <v>2931</v>
      </c>
      <c r="C9775">
        <v>18282</v>
      </c>
      <c r="D9775" t="str">
        <f>"2125023253  "</f>
        <v xml:space="preserve">2125023253  </v>
      </c>
      <c r="E9775" t="s">
        <v>337</v>
      </c>
      <c r="F9775" t="s">
        <v>338</v>
      </c>
      <c r="G9775">
        <v>61.07</v>
      </c>
      <c r="H9775">
        <v>251229</v>
      </c>
      <c r="I9775">
        <v>4347</v>
      </c>
      <c r="J9775" t="s">
        <v>328</v>
      </c>
      <c r="K9775">
        <v>61.07</v>
      </c>
      <c r="L9775">
        <v>12.41</v>
      </c>
      <c r="M9775">
        <v>53222</v>
      </c>
      <c r="N9775" t="s">
        <v>41</v>
      </c>
      <c r="O9775">
        <v>260112</v>
      </c>
      <c r="P9775">
        <v>48.66</v>
      </c>
    </row>
    <row r="9776" spans="1:16" x14ac:dyDescent="0.25">
      <c r="A9776" t="s">
        <v>3296</v>
      </c>
      <c r="B9776" t="s">
        <v>2931</v>
      </c>
      <c r="C9776">
        <v>18283</v>
      </c>
      <c r="D9776" t="str">
        <f>"2125023246  "</f>
        <v xml:space="preserve">2125023246  </v>
      </c>
      <c r="E9776" t="s">
        <v>337</v>
      </c>
      <c r="F9776" t="s">
        <v>338</v>
      </c>
      <c r="G9776">
        <v>32.15</v>
      </c>
      <c r="H9776">
        <v>251229</v>
      </c>
      <c r="I9776">
        <v>4347</v>
      </c>
      <c r="J9776" t="s">
        <v>328</v>
      </c>
      <c r="K9776">
        <v>32.15</v>
      </c>
      <c r="L9776">
        <v>6.53</v>
      </c>
      <c r="M9776">
        <v>56526</v>
      </c>
      <c r="N9776" t="s">
        <v>506</v>
      </c>
      <c r="O9776">
        <v>260112</v>
      </c>
      <c r="P9776">
        <v>25.62</v>
      </c>
    </row>
    <row r="9777" spans="1:16" x14ac:dyDescent="0.25">
      <c r="A9777" t="s">
        <v>3296</v>
      </c>
      <c r="B9777" t="s">
        <v>2931</v>
      </c>
      <c r="C9777">
        <v>18284</v>
      </c>
      <c r="D9777" t="str">
        <f>"2125022967  "</f>
        <v xml:space="preserve">2125022967  </v>
      </c>
      <c r="E9777" t="s">
        <v>337</v>
      </c>
      <c r="F9777" t="s">
        <v>338</v>
      </c>
      <c r="G9777">
        <v>36.36</v>
      </c>
      <c r="H9777">
        <v>251229</v>
      </c>
      <c r="I9777">
        <v>4347</v>
      </c>
      <c r="J9777" t="s">
        <v>328</v>
      </c>
      <c r="K9777">
        <v>36.36</v>
      </c>
      <c r="L9777">
        <v>7.39</v>
      </c>
      <c r="M9777">
        <v>17974</v>
      </c>
      <c r="N9777" t="s">
        <v>153</v>
      </c>
      <c r="O9777">
        <v>260112</v>
      </c>
      <c r="P9777">
        <v>28.97</v>
      </c>
    </row>
    <row r="9778" spans="1:16" x14ac:dyDescent="0.25">
      <c r="A9778" t="s">
        <v>3296</v>
      </c>
      <c r="B9778" t="s">
        <v>2931</v>
      </c>
      <c r="C9778">
        <v>18285</v>
      </c>
      <c r="D9778" t="str">
        <f>"2125023251  "</f>
        <v xml:space="preserve">2125023251  </v>
      </c>
      <c r="E9778" t="s">
        <v>337</v>
      </c>
      <c r="F9778" t="s">
        <v>338</v>
      </c>
      <c r="G9778">
        <v>61.98</v>
      </c>
      <c r="H9778">
        <v>251229</v>
      </c>
      <c r="I9778">
        <v>4347</v>
      </c>
      <c r="J9778" t="s">
        <v>328</v>
      </c>
      <c r="K9778">
        <v>61.98</v>
      </c>
      <c r="L9778">
        <v>12.59</v>
      </c>
      <c r="M9778">
        <v>56562</v>
      </c>
      <c r="N9778" t="s">
        <v>54</v>
      </c>
      <c r="O9778">
        <v>260112</v>
      </c>
      <c r="P9778">
        <v>49.39</v>
      </c>
    </row>
    <row r="9779" spans="1:16" x14ac:dyDescent="0.25">
      <c r="A9779" t="s">
        <v>3296</v>
      </c>
      <c r="B9779" t="s">
        <v>2931</v>
      </c>
      <c r="C9779">
        <v>18286</v>
      </c>
      <c r="D9779" t="str">
        <f>"2125023286  "</f>
        <v xml:space="preserve">2125023286  </v>
      </c>
      <c r="E9779" t="s">
        <v>337</v>
      </c>
      <c r="F9779" t="s">
        <v>338</v>
      </c>
      <c r="G9779">
        <v>25.33</v>
      </c>
      <c r="H9779">
        <v>251229</v>
      </c>
      <c r="I9779">
        <v>4347</v>
      </c>
      <c r="J9779" t="s">
        <v>328</v>
      </c>
      <c r="K9779">
        <v>25.33</v>
      </c>
      <c r="L9779">
        <v>5.15</v>
      </c>
      <c r="M9779">
        <v>17806</v>
      </c>
      <c r="N9779" t="s">
        <v>22</v>
      </c>
      <c r="O9779">
        <v>260112</v>
      </c>
      <c r="P9779">
        <v>20.18</v>
      </c>
    </row>
    <row r="9780" spans="1:16" x14ac:dyDescent="0.25">
      <c r="A9780" t="s">
        <v>3296</v>
      </c>
      <c r="B9780" t="s">
        <v>2931</v>
      </c>
      <c r="C9780">
        <v>18287</v>
      </c>
      <c r="D9780" t="str">
        <f>"2125023135  "</f>
        <v xml:space="preserve">2125023135  </v>
      </c>
      <c r="E9780" t="s">
        <v>337</v>
      </c>
      <c r="F9780" t="s">
        <v>338</v>
      </c>
      <c r="G9780">
        <v>4.66</v>
      </c>
      <c r="H9780">
        <v>251229</v>
      </c>
      <c r="I9780">
        <v>4347</v>
      </c>
      <c r="J9780" t="s">
        <v>328</v>
      </c>
      <c r="K9780">
        <v>42.36</v>
      </c>
      <c r="L9780">
        <v>0.95</v>
      </c>
      <c r="M9780">
        <v>13501</v>
      </c>
      <c r="N9780" t="s">
        <v>66</v>
      </c>
      <c r="O9780">
        <v>260112</v>
      </c>
      <c r="P9780">
        <v>3.71</v>
      </c>
    </row>
    <row r="9781" spans="1:16" x14ac:dyDescent="0.25">
      <c r="A9781" t="s">
        <v>3296</v>
      </c>
      <c r="B9781" t="s">
        <v>2931</v>
      </c>
      <c r="C9781">
        <v>18287</v>
      </c>
      <c r="D9781" t="str">
        <f>"2125023135  "</f>
        <v xml:space="preserve">2125023135  </v>
      </c>
      <c r="E9781" t="s">
        <v>337</v>
      </c>
      <c r="F9781" t="s">
        <v>338</v>
      </c>
      <c r="G9781">
        <v>37.700000000000003</v>
      </c>
      <c r="H9781">
        <v>251229</v>
      </c>
      <c r="I9781">
        <v>4347</v>
      </c>
      <c r="J9781" t="s">
        <v>328</v>
      </c>
      <c r="K9781">
        <v>42.36</v>
      </c>
      <c r="L9781">
        <v>7.66</v>
      </c>
      <c r="M9781">
        <v>17538</v>
      </c>
      <c r="N9781" t="s">
        <v>129</v>
      </c>
      <c r="O9781">
        <v>260112</v>
      </c>
      <c r="P9781">
        <v>30.04</v>
      </c>
    </row>
    <row r="9782" spans="1:16" x14ac:dyDescent="0.25">
      <c r="A9782" t="s">
        <v>3296</v>
      </c>
      <c r="B9782" t="s">
        <v>2931</v>
      </c>
      <c r="C9782">
        <v>18288</v>
      </c>
      <c r="D9782" t="str">
        <f>"2125023148  "</f>
        <v xml:space="preserve">2125023148  </v>
      </c>
      <c r="E9782" t="s">
        <v>337</v>
      </c>
      <c r="F9782" t="s">
        <v>338</v>
      </c>
      <c r="G9782">
        <v>18.03</v>
      </c>
      <c r="H9782">
        <v>251229</v>
      </c>
      <c r="I9782">
        <v>4347</v>
      </c>
      <c r="J9782" t="s">
        <v>328</v>
      </c>
      <c r="K9782">
        <v>36.06</v>
      </c>
      <c r="L9782">
        <v>3.66</v>
      </c>
      <c r="M9782">
        <v>17525</v>
      </c>
      <c r="N9782" t="s">
        <v>140</v>
      </c>
      <c r="O9782">
        <v>260112</v>
      </c>
      <c r="P9782">
        <v>14.37</v>
      </c>
    </row>
    <row r="9783" spans="1:16" x14ac:dyDescent="0.25">
      <c r="A9783" t="s">
        <v>3296</v>
      </c>
      <c r="B9783" t="s">
        <v>2931</v>
      </c>
      <c r="C9783">
        <v>18288</v>
      </c>
      <c r="D9783" t="str">
        <f>"2125023148  "</f>
        <v xml:space="preserve">2125023148  </v>
      </c>
      <c r="E9783" t="s">
        <v>337</v>
      </c>
      <c r="F9783" t="s">
        <v>338</v>
      </c>
      <c r="G9783">
        <v>18.03</v>
      </c>
      <c r="H9783">
        <v>251229</v>
      </c>
      <c r="I9783">
        <v>4347</v>
      </c>
      <c r="J9783" t="s">
        <v>328</v>
      </c>
      <c r="K9783">
        <v>36.06</v>
      </c>
      <c r="L9783">
        <v>3.66</v>
      </c>
      <c r="M9783">
        <v>17529</v>
      </c>
      <c r="N9783" t="s">
        <v>143</v>
      </c>
      <c r="O9783">
        <v>260112</v>
      </c>
      <c r="P9783">
        <v>14.37</v>
      </c>
    </row>
    <row r="9784" spans="1:16" x14ac:dyDescent="0.25">
      <c r="A9784" t="s">
        <v>3296</v>
      </c>
      <c r="B9784" t="s">
        <v>2931</v>
      </c>
      <c r="C9784">
        <v>18289</v>
      </c>
      <c r="D9784" t="str">
        <f>"2125023252  "</f>
        <v xml:space="preserve">2125023252  </v>
      </c>
      <c r="E9784" t="s">
        <v>337</v>
      </c>
      <c r="F9784" t="s">
        <v>338</v>
      </c>
      <c r="G9784">
        <v>82.5</v>
      </c>
      <c r="H9784">
        <v>251229</v>
      </c>
      <c r="I9784">
        <v>4347</v>
      </c>
      <c r="J9784" t="s">
        <v>328</v>
      </c>
      <c r="K9784">
        <v>82.5</v>
      </c>
      <c r="L9784">
        <v>16.760000000000002</v>
      </c>
      <c r="M9784">
        <v>59702</v>
      </c>
      <c r="N9784" t="s">
        <v>45</v>
      </c>
      <c r="O9784">
        <v>260112</v>
      </c>
      <c r="P9784">
        <v>65.739999999999995</v>
      </c>
    </row>
    <row r="9785" spans="1:16" x14ac:dyDescent="0.25">
      <c r="A9785" t="s">
        <v>3296</v>
      </c>
      <c r="B9785" t="s">
        <v>2931</v>
      </c>
      <c r="C9785">
        <v>18290</v>
      </c>
      <c r="D9785" t="str">
        <f>"2125023152  "</f>
        <v xml:space="preserve">2125023152  </v>
      </c>
      <c r="E9785" t="s">
        <v>337</v>
      </c>
      <c r="F9785" t="s">
        <v>338</v>
      </c>
      <c r="G9785">
        <v>23.92</v>
      </c>
      <c r="H9785">
        <v>251229</v>
      </c>
      <c r="I9785">
        <v>4347</v>
      </c>
      <c r="J9785" t="s">
        <v>328</v>
      </c>
      <c r="K9785">
        <v>71.77</v>
      </c>
      <c r="L9785">
        <v>4.8600000000000003</v>
      </c>
      <c r="M9785">
        <v>17534</v>
      </c>
      <c r="N9785" t="s">
        <v>148</v>
      </c>
      <c r="O9785">
        <v>260112</v>
      </c>
      <c r="P9785">
        <v>19.059999999999999</v>
      </c>
    </row>
    <row r="9786" spans="1:16" x14ac:dyDescent="0.25">
      <c r="A9786" t="s">
        <v>3296</v>
      </c>
      <c r="B9786" t="s">
        <v>2931</v>
      </c>
      <c r="C9786">
        <v>18290</v>
      </c>
      <c r="D9786" t="str">
        <f>"2125023152  "</f>
        <v xml:space="preserve">2125023152  </v>
      </c>
      <c r="E9786" t="s">
        <v>337</v>
      </c>
      <c r="F9786" t="s">
        <v>338</v>
      </c>
      <c r="G9786">
        <v>23.92</v>
      </c>
      <c r="H9786">
        <v>251229</v>
      </c>
      <c r="I9786">
        <v>4347</v>
      </c>
      <c r="J9786" t="s">
        <v>328</v>
      </c>
      <c r="K9786">
        <v>71.77</v>
      </c>
      <c r="L9786">
        <v>4.8600000000000003</v>
      </c>
      <c r="M9786">
        <v>17535</v>
      </c>
      <c r="N9786" t="s">
        <v>149</v>
      </c>
      <c r="O9786">
        <v>260112</v>
      </c>
      <c r="P9786">
        <v>19.059999999999999</v>
      </c>
    </row>
    <row r="9787" spans="1:16" x14ac:dyDescent="0.25">
      <c r="A9787" t="s">
        <v>3296</v>
      </c>
      <c r="B9787" t="s">
        <v>2931</v>
      </c>
      <c r="C9787">
        <v>18290</v>
      </c>
      <c r="D9787" t="str">
        <f>"2125023152  "</f>
        <v xml:space="preserve">2125023152  </v>
      </c>
      <c r="E9787" t="s">
        <v>337</v>
      </c>
      <c r="F9787" t="s">
        <v>338</v>
      </c>
      <c r="G9787">
        <v>23.93</v>
      </c>
      <c r="H9787">
        <v>251229</v>
      </c>
      <c r="I9787">
        <v>4347</v>
      </c>
      <c r="J9787" t="s">
        <v>328</v>
      </c>
      <c r="K9787">
        <v>71.77</v>
      </c>
      <c r="L9787">
        <v>4.8600000000000003</v>
      </c>
      <c r="M9787">
        <v>17536</v>
      </c>
      <c r="N9787" t="s">
        <v>150</v>
      </c>
      <c r="O9787">
        <v>260112</v>
      </c>
      <c r="P9787">
        <v>19.07</v>
      </c>
    </row>
    <row r="9788" spans="1:16" x14ac:dyDescent="0.25">
      <c r="A9788" t="s">
        <v>3296</v>
      </c>
      <c r="B9788" t="s">
        <v>2931</v>
      </c>
      <c r="C9788">
        <v>18291</v>
      </c>
      <c r="D9788" t="str">
        <f>"2125023248  "</f>
        <v xml:space="preserve">2125023248  </v>
      </c>
      <c r="E9788" t="s">
        <v>337</v>
      </c>
      <c r="F9788" t="s">
        <v>338</v>
      </c>
      <c r="G9788">
        <v>188.44</v>
      </c>
      <c r="H9788">
        <v>251229</v>
      </c>
      <c r="I9788">
        <v>4347</v>
      </c>
      <c r="J9788" t="s">
        <v>328</v>
      </c>
      <c r="K9788">
        <v>188.44</v>
      </c>
      <c r="L9788">
        <v>38.29</v>
      </c>
      <c r="M9788">
        <v>54422</v>
      </c>
      <c r="N9788" t="s">
        <v>49</v>
      </c>
      <c r="O9788">
        <v>260112</v>
      </c>
      <c r="P9788">
        <v>150.15</v>
      </c>
    </row>
    <row r="9789" spans="1:16" x14ac:dyDescent="0.25">
      <c r="A9789" t="s">
        <v>3296</v>
      </c>
      <c r="B9789" t="s">
        <v>2931</v>
      </c>
      <c r="C9789">
        <v>18292</v>
      </c>
      <c r="D9789" t="str">
        <f>"2125023150  "</f>
        <v xml:space="preserve">2125023150  </v>
      </c>
      <c r="E9789" t="s">
        <v>337</v>
      </c>
      <c r="F9789" t="s">
        <v>338</v>
      </c>
      <c r="G9789">
        <v>119.99</v>
      </c>
      <c r="H9789">
        <v>251229</v>
      </c>
      <c r="I9789">
        <v>4347</v>
      </c>
      <c r="J9789" t="s">
        <v>328</v>
      </c>
      <c r="K9789">
        <v>119.99</v>
      </c>
      <c r="L9789">
        <v>24.38</v>
      </c>
      <c r="M9789">
        <v>13501</v>
      </c>
      <c r="N9789" t="s">
        <v>66</v>
      </c>
      <c r="O9789">
        <v>260112</v>
      </c>
      <c r="P9789">
        <v>95.61</v>
      </c>
    </row>
    <row r="9790" spans="1:16" x14ac:dyDescent="0.25">
      <c r="A9790" t="s">
        <v>3296</v>
      </c>
      <c r="B9790" t="s">
        <v>2931</v>
      </c>
      <c r="C9790">
        <v>18294</v>
      </c>
      <c r="D9790" t="str">
        <f>"2125023250  "</f>
        <v xml:space="preserve">2125023250  </v>
      </c>
      <c r="E9790" t="s">
        <v>337</v>
      </c>
      <c r="F9790" t="s">
        <v>338</v>
      </c>
      <c r="G9790">
        <v>84.55</v>
      </c>
      <c r="H9790">
        <v>251229</v>
      </c>
      <c r="I9790">
        <v>4347</v>
      </c>
      <c r="J9790" t="s">
        <v>328</v>
      </c>
      <c r="K9790">
        <v>84.55</v>
      </c>
      <c r="L9790">
        <v>17.18</v>
      </c>
      <c r="M9790">
        <v>56566</v>
      </c>
      <c r="N9790" t="s">
        <v>58</v>
      </c>
      <c r="O9790">
        <v>260112</v>
      </c>
      <c r="P9790">
        <v>67.37</v>
      </c>
    </row>
    <row r="9791" spans="1:16" x14ac:dyDescent="0.25">
      <c r="A9791" t="s">
        <v>3296</v>
      </c>
      <c r="B9791" t="s">
        <v>2931</v>
      </c>
      <c r="C9791">
        <v>18297</v>
      </c>
      <c r="D9791" t="str">
        <f>"2125023136  "</f>
        <v xml:space="preserve">2125023136  </v>
      </c>
      <c r="E9791" t="s">
        <v>337</v>
      </c>
      <c r="F9791" t="s">
        <v>338</v>
      </c>
      <c r="G9791">
        <v>93.8</v>
      </c>
      <c r="H9791">
        <v>251229</v>
      </c>
      <c r="I9791">
        <v>4347</v>
      </c>
      <c r="J9791" t="s">
        <v>328</v>
      </c>
      <c r="K9791">
        <v>93.8</v>
      </c>
      <c r="L9791">
        <v>19.059999999999999</v>
      </c>
      <c r="M9791">
        <v>17972</v>
      </c>
      <c r="N9791" t="s">
        <v>28</v>
      </c>
      <c r="O9791">
        <v>260113</v>
      </c>
      <c r="P9791">
        <v>74.739999999999995</v>
      </c>
    </row>
    <row r="9792" spans="1:16" x14ac:dyDescent="0.25">
      <c r="A9792" t="s">
        <v>3296</v>
      </c>
      <c r="B9792" t="s">
        <v>2931</v>
      </c>
      <c r="C9792">
        <v>18298</v>
      </c>
      <c r="D9792" t="str">
        <f>"2125023249  "</f>
        <v xml:space="preserve">2125023249  </v>
      </c>
      <c r="E9792" t="s">
        <v>337</v>
      </c>
      <c r="F9792" t="s">
        <v>338</v>
      </c>
      <c r="G9792">
        <v>7.22</v>
      </c>
      <c r="H9792">
        <v>251229</v>
      </c>
      <c r="I9792">
        <v>4347</v>
      </c>
      <c r="J9792" t="s">
        <v>328</v>
      </c>
      <c r="K9792">
        <v>36.08</v>
      </c>
      <c r="L9792">
        <v>1.47</v>
      </c>
      <c r="M9792">
        <v>11001</v>
      </c>
      <c r="N9792" t="s">
        <v>93</v>
      </c>
      <c r="O9792">
        <v>260113</v>
      </c>
      <c r="P9792">
        <v>5.75</v>
      </c>
    </row>
    <row r="9793" spans="1:16" x14ac:dyDescent="0.25">
      <c r="A9793" t="s">
        <v>3296</v>
      </c>
      <c r="B9793" t="s">
        <v>2931</v>
      </c>
      <c r="C9793">
        <v>18298</v>
      </c>
      <c r="D9793" t="str">
        <f>"2125023249  "</f>
        <v xml:space="preserve">2125023249  </v>
      </c>
      <c r="E9793" t="s">
        <v>337</v>
      </c>
      <c r="F9793" t="s">
        <v>338</v>
      </c>
      <c r="G9793">
        <v>14.43</v>
      </c>
      <c r="H9793">
        <v>251229</v>
      </c>
      <c r="I9793">
        <v>4347</v>
      </c>
      <c r="J9793" t="s">
        <v>328</v>
      </c>
      <c r="K9793">
        <v>36.08</v>
      </c>
      <c r="L9793">
        <v>2.93</v>
      </c>
      <c r="M9793">
        <v>11101</v>
      </c>
      <c r="N9793" t="s">
        <v>67</v>
      </c>
      <c r="O9793">
        <v>260113</v>
      </c>
      <c r="P9793">
        <v>11.5</v>
      </c>
    </row>
    <row r="9794" spans="1:16" x14ac:dyDescent="0.25">
      <c r="A9794" t="s">
        <v>3296</v>
      </c>
      <c r="B9794" t="s">
        <v>2931</v>
      </c>
      <c r="C9794">
        <v>18298</v>
      </c>
      <c r="D9794" t="str">
        <f>"2125023249  "</f>
        <v xml:space="preserve">2125023249  </v>
      </c>
      <c r="E9794" t="s">
        <v>337</v>
      </c>
      <c r="F9794" t="s">
        <v>338</v>
      </c>
      <c r="G9794">
        <v>14.43</v>
      </c>
      <c r="H9794">
        <v>251229</v>
      </c>
      <c r="I9794">
        <v>4347</v>
      </c>
      <c r="J9794" t="s">
        <v>328</v>
      </c>
      <c r="K9794">
        <v>36.08</v>
      </c>
      <c r="L9794">
        <v>2.93</v>
      </c>
      <c r="M9794">
        <v>18971</v>
      </c>
      <c r="N9794" t="s">
        <v>38</v>
      </c>
      <c r="O9794">
        <v>260113</v>
      </c>
      <c r="P9794">
        <v>11.5</v>
      </c>
    </row>
    <row r="9795" spans="1:16" x14ac:dyDescent="0.25">
      <c r="A9795" t="s">
        <v>3296</v>
      </c>
      <c r="B9795" t="s">
        <v>2931</v>
      </c>
      <c r="C9795">
        <v>18306</v>
      </c>
      <c r="D9795" t="str">
        <f>"2125023247  "</f>
        <v xml:space="preserve">2125023247  </v>
      </c>
      <c r="E9795" t="s">
        <v>337</v>
      </c>
      <c r="F9795" t="s">
        <v>338</v>
      </c>
      <c r="G9795">
        <v>71.819999999999993</v>
      </c>
      <c r="H9795">
        <v>251229</v>
      </c>
      <c r="I9795">
        <v>4347</v>
      </c>
      <c r="J9795" t="s">
        <v>328</v>
      </c>
      <c r="K9795">
        <v>71.819999999999993</v>
      </c>
      <c r="L9795">
        <v>14.59</v>
      </c>
      <c r="M9795">
        <v>59702</v>
      </c>
      <c r="N9795" t="s">
        <v>45</v>
      </c>
      <c r="O9795">
        <v>260113</v>
      </c>
      <c r="P9795">
        <v>57.23</v>
      </c>
    </row>
    <row r="9796" spans="1:16" x14ac:dyDescent="0.25">
      <c r="A9796" t="s">
        <v>3296</v>
      </c>
      <c r="B9796" t="s">
        <v>2931</v>
      </c>
      <c r="C9796">
        <v>209</v>
      </c>
      <c r="D9796" t="str">
        <f>"2124024123  "</f>
        <v xml:space="preserve">2124024123  </v>
      </c>
      <c r="E9796" t="s">
        <v>337</v>
      </c>
      <c r="F9796" t="s">
        <v>338</v>
      </c>
      <c r="G9796">
        <v>199.55</v>
      </c>
      <c r="H9796">
        <v>250103</v>
      </c>
      <c r="I9796">
        <v>4369</v>
      </c>
      <c r="J9796" t="s">
        <v>188</v>
      </c>
      <c r="K9796">
        <v>199.55</v>
      </c>
      <c r="L9796">
        <v>40.549999999999997</v>
      </c>
      <c r="M9796">
        <v>66722</v>
      </c>
      <c r="N9796" t="s">
        <v>118</v>
      </c>
      <c r="O9796">
        <v>250116</v>
      </c>
      <c r="P9796">
        <v>159</v>
      </c>
    </row>
    <row r="9797" spans="1:16" x14ac:dyDescent="0.25">
      <c r="A9797" t="s">
        <v>3296</v>
      </c>
      <c r="B9797" t="s">
        <v>2931</v>
      </c>
      <c r="C9797">
        <v>210</v>
      </c>
      <c r="D9797" t="str">
        <f>"2124024122  "</f>
        <v xml:space="preserve">2124024122  </v>
      </c>
      <c r="E9797" t="s">
        <v>337</v>
      </c>
      <c r="F9797" t="s">
        <v>338</v>
      </c>
      <c r="G9797">
        <v>159.63999999999999</v>
      </c>
      <c r="H9797">
        <v>250103</v>
      </c>
      <c r="I9797">
        <v>4369</v>
      </c>
      <c r="J9797" t="s">
        <v>188</v>
      </c>
      <c r="K9797">
        <v>199.55</v>
      </c>
      <c r="L9797">
        <v>32.44</v>
      </c>
      <c r="M9797">
        <v>61122</v>
      </c>
      <c r="N9797" t="s">
        <v>86</v>
      </c>
      <c r="O9797">
        <v>250116</v>
      </c>
      <c r="P9797">
        <v>127.2</v>
      </c>
    </row>
    <row r="9798" spans="1:16" x14ac:dyDescent="0.25">
      <c r="A9798" t="s">
        <v>3296</v>
      </c>
      <c r="B9798" t="s">
        <v>2931</v>
      </c>
      <c r="C9798">
        <v>210</v>
      </c>
      <c r="D9798" t="str">
        <f>"2124024122  "</f>
        <v xml:space="preserve">2124024122  </v>
      </c>
      <c r="E9798" t="s">
        <v>337</v>
      </c>
      <c r="F9798" t="s">
        <v>338</v>
      </c>
      <c r="G9798">
        <v>39.909999999999997</v>
      </c>
      <c r="H9798">
        <v>250103</v>
      </c>
      <c r="I9798">
        <v>4369</v>
      </c>
      <c r="J9798" t="s">
        <v>188</v>
      </c>
      <c r="K9798">
        <v>199.55</v>
      </c>
      <c r="L9798">
        <v>8.11</v>
      </c>
      <c r="M9798">
        <v>65222</v>
      </c>
      <c r="N9798" t="s">
        <v>87</v>
      </c>
      <c r="O9798">
        <v>250116</v>
      </c>
      <c r="P9798">
        <v>31.8</v>
      </c>
    </row>
    <row r="9799" spans="1:16" x14ac:dyDescent="0.25">
      <c r="A9799" t="s">
        <v>3296</v>
      </c>
      <c r="B9799" t="s">
        <v>2931</v>
      </c>
      <c r="C9799">
        <v>211</v>
      </c>
      <c r="D9799" t="str">
        <f>"2124024121  "</f>
        <v xml:space="preserve">2124024121  </v>
      </c>
      <c r="E9799" t="s">
        <v>337</v>
      </c>
      <c r="F9799" t="s">
        <v>338</v>
      </c>
      <c r="G9799">
        <v>199.55</v>
      </c>
      <c r="H9799">
        <v>250103</v>
      </c>
      <c r="I9799">
        <v>4369</v>
      </c>
      <c r="J9799" t="s">
        <v>188</v>
      </c>
      <c r="K9799">
        <v>199.55</v>
      </c>
      <c r="L9799">
        <v>40.549999999999997</v>
      </c>
      <c r="M9799">
        <v>69702</v>
      </c>
      <c r="N9799" t="s">
        <v>124</v>
      </c>
      <c r="O9799">
        <v>250116</v>
      </c>
      <c r="P9799">
        <v>159</v>
      </c>
    </row>
    <row r="9800" spans="1:16" x14ac:dyDescent="0.25">
      <c r="A9800" t="s">
        <v>3296</v>
      </c>
      <c r="B9800" t="s">
        <v>2931</v>
      </c>
      <c r="C9800">
        <v>212</v>
      </c>
      <c r="D9800" t="str">
        <f>"2124024120  "</f>
        <v xml:space="preserve">2124024120  </v>
      </c>
      <c r="E9800" t="s">
        <v>337</v>
      </c>
      <c r="F9800" t="s">
        <v>338</v>
      </c>
      <c r="G9800">
        <v>199.55</v>
      </c>
      <c r="H9800">
        <v>250103</v>
      </c>
      <c r="I9800">
        <v>4369</v>
      </c>
      <c r="J9800" t="s">
        <v>188</v>
      </c>
      <c r="K9800">
        <v>199.55</v>
      </c>
      <c r="L9800">
        <v>40.549999999999997</v>
      </c>
      <c r="M9800">
        <v>66756</v>
      </c>
      <c r="N9800" t="s">
        <v>120</v>
      </c>
      <c r="O9800">
        <v>250116</v>
      </c>
      <c r="P9800">
        <v>159</v>
      </c>
    </row>
    <row r="9801" spans="1:16" x14ac:dyDescent="0.25">
      <c r="A9801" t="s">
        <v>3296</v>
      </c>
      <c r="B9801" t="s">
        <v>2931</v>
      </c>
      <c r="C9801">
        <v>213</v>
      </c>
      <c r="D9801" t="str">
        <f>"2124024119  "</f>
        <v xml:space="preserve">2124024119  </v>
      </c>
      <c r="E9801" t="s">
        <v>337</v>
      </c>
      <c r="F9801" t="s">
        <v>338</v>
      </c>
      <c r="G9801">
        <v>199.55</v>
      </c>
      <c r="H9801">
        <v>250103</v>
      </c>
      <c r="I9801">
        <v>4369</v>
      </c>
      <c r="J9801" t="s">
        <v>188</v>
      </c>
      <c r="K9801">
        <v>199.55</v>
      </c>
      <c r="L9801">
        <v>40.549999999999997</v>
      </c>
      <c r="M9801">
        <v>69704</v>
      </c>
      <c r="N9801" t="s">
        <v>89</v>
      </c>
      <c r="O9801">
        <v>250116</v>
      </c>
      <c r="P9801">
        <v>159</v>
      </c>
    </row>
    <row r="9802" spans="1:16" x14ac:dyDescent="0.25">
      <c r="A9802" t="s">
        <v>3296</v>
      </c>
      <c r="B9802" t="s">
        <v>2931</v>
      </c>
      <c r="C9802">
        <v>4976</v>
      </c>
      <c r="D9802" t="str">
        <f>"2125000653  "</f>
        <v xml:space="preserve">2125000653  </v>
      </c>
      <c r="E9802" t="s">
        <v>337</v>
      </c>
      <c r="F9802" t="s">
        <v>338</v>
      </c>
      <c r="G9802">
        <v>199.55</v>
      </c>
      <c r="H9802">
        <v>250331</v>
      </c>
      <c r="I9802">
        <v>4369</v>
      </c>
      <c r="J9802" t="s">
        <v>188</v>
      </c>
      <c r="K9802">
        <v>199.55</v>
      </c>
      <c r="L9802">
        <v>40.549999999999997</v>
      </c>
      <c r="M9802">
        <v>66722</v>
      </c>
      <c r="N9802" t="s">
        <v>118</v>
      </c>
      <c r="O9802">
        <v>250416</v>
      </c>
      <c r="P9802">
        <v>159</v>
      </c>
    </row>
    <row r="9803" spans="1:16" x14ac:dyDescent="0.25">
      <c r="A9803" t="s">
        <v>3296</v>
      </c>
      <c r="B9803" t="s">
        <v>2931</v>
      </c>
      <c r="C9803">
        <v>5040</v>
      </c>
      <c r="D9803" t="str">
        <f>"2125000650  "</f>
        <v xml:space="preserve">2125000650  </v>
      </c>
      <c r="E9803" t="s">
        <v>337</v>
      </c>
      <c r="F9803" t="s">
        <v>338</v>
      </c>
      <c r="G9803">
        <v>199.55</v>
      </c>
      <c r="H9803">
        <v>250331</v>
      </c>
      <c r="I9803">
        <v>4369</v>
      </c>
      <c r="J9803" t="s">
        <v>188</v>
      </c>
      <c r="K9803">
        <v>199.55</v>
      </c>
      <c r="L9803">
        <v>40.549999999999997</v>
      </c>
      <c r="M9803">
        <v>66756</v>
      </c>
      <c r="N9803" t="s">
        <v>120</v>
      </c>
      <c r="O9803">
        <v>250416</v>
      </c>
      <c r="P9803">
        <v>159</v>
      </c>
    </row>
    <row r="9804" spans="1:16" x14ac:dyDescent="0.25">
      <c r="A9804" t="s">
        <v>3296</v>
      </c>
      <c r="B9804" t="s">
        <v>2931</v>
      </c>
      <c r="C9804">
        <v>5106</v>
      </c>
      <c r="D9804" t="str">
        <f>"2125000652  "</f>
        <v xml:space="preserve">2125000652  </v>
      </c>
      <c r="E9804" t="s">
        <v>337</v>
      </c>
      <c r="F9804" t="s">
        <v>338</v>
      </c>
      <c r="G9804">
        <v>99.78</v>
      </c>
      <c r="H9804">
        <v>250331</v>
      </c>
      <c r="I9804">
        <v>4369</v>
      </c>
      <c r="J9804" t="s">
        <v>188</v>
      </c>
      <c r="K9804">
        <v>199.55</v>
      </c>
      <c r="L9804">
        <v>20.27</v>
      </c>
      <c r="M9804">
        <v>61122</v>
      </c>
      <c r="N9804" t="s">
        <v>86</v>
      </c>
      <c r="O9804">
        <v>250416</v>
      </c>
      <c r="P9804">
        <v>79.510000000000005</v>
      </c>
    </row>
    <row r="9805" spans="1:16" x14ac:dyDescent="0.25">
      <c r="A9805" t="s">
        <v>3296</v>
      </c>
      <c r="B9805" t="s">
        <v>2931</v>
      </c>
      <c r="C9805">
        <v>5106</v>
      </c>
      <c r="D9805" t="str">
        <f>"2125000652  "</f>
        <v xml:space="preserve">2125000652  </v>
      </c>
      <c r="E9805" t="s">
        <v>337</v>
      </c>
      <c r="F9805" t="s">
        <v>338</v>
      </c>
      <c r="G9805">
        <v>99.77</v>
      </c>
      <c r="H9805">
        <v>250331</v>
      </c>
      <c r="I9805">
        <v>4369</v>
      </c>
      <c r="J9805" t="s">
        <v>188</v>
      </c>
      <c r="K9805">
        <v>199.55</v>
      </c>
      <c r="L9805">
        <v>20.27</v>
      </c>
      <c r="M9805">
        <v>65222</v>
      </c>
      <c r="N9805" t="s">
        <v>87</v>
      </c>
      <c r="O9805">
        <v>250416</v>
      </c>
      <c r="P9805">
        <v>79.5</v>
      </c>
    </row>
    <row r="9806" spans="1:16" x14ac:dyDescent="0.25">
      <c r="A9806" t="s">
        <v>3296</v>
      </c>
      <c r="B9806" t="s">
        <v>2931</v>
      </c>
      <c r="C9806">
        <v>5545</v>
      </c>
      <c r="D9806" t="str">
        <f>"2125000651  "</f>
        <v xml:space="preserve">2125000651  </v>
      </c>
      <c r="E9806" t="s">
        <v>337</v>
      </c>
      <c r="F9806" t="s">
        <v>338</v>
      </c>
      <c r="G9806">
        <v>199.55</v>
      </c>
      <c r="H9806">
        <v>250403</v>
      </c>
      <c r="I9806">
        <v>4369</v>
      </c>
      <c r="J9806" t="s">
        <v>188</v>
      </c>
      <c r="K9806">
        <v>199.55</v>
      </c>
      <c r="L9806">
        <v>40.549999999999997</v>
      </c>
      <c r="M9806">
        <v>69702</v>
      </c>
      <c r="N9806" t="s">
        <v>124</v>
      </c>
      <c r="O9806">
        <v>250425</v>
      </c>
      <c r="P9806">
        <v>159</v>
      </c>
    </row>
    <row r="9807" spans="1:16" x14ac:dyDescent="0.25">
      <c r="A9807" t="s">
        <v>3296</v>
      </c>
      <c r="B9807" t="s">
        <v>2931</v>
      </c>
      <c r="C9807">
        <v>5546</v>
      </c>
      <c r="D9807" t="str">
        <f>"2125000649  "</f>
        <v xml:space="preserve">2125000649  </v>
      </c>
      <c r="E9807" t="s">
        <v>337</v>
      </c>
      <c r="F9807" t="s">
        <v>338</v>
      </c>
      <c r="G9807">
        <v>199.55</v>
      </c>
      <c r="H9807">
        <v>250403</v>
      </c>
      <c r="I9807">
        <v>4369</v>
      </c>
      <c r="J9807" t="s">
        <v>188</v>
      </c>
      <c r="K9807">
        <v>199.55</v>
      </c>
      <c r="L9807">
        <v>40.549999999999997</v>
      </c>
      <c r="M9807">
        <v>69704</v>
      </c>
      <c r="N9807" t="s">
        <v>89</v>
      </c>
      <c r="O9807">
        <v>250425</v>
      </c>
      <c r="P9807">
        <v>159</v>
      </c>
    </row>
    <row r="9808" spans="1:16" x14ac:dyDescent="0.25">
      <c r="A9808" t="s">
        <v>3296</v>
      </c>
      <c r="B9808" t="s">
        <v>2931</v>
      </c>
      <c r="C9808">
        <v>9782</v>
      </c>
      <c r="D9808" t="str">
        <f>"2125009295  "</f>
        <v xml:space="preserve">2125009295  </v>
      </c>
      <c r="E9808" t="s">
        <v>337</v>
      </c>
      <c r="F9808" t="s">
        <v>338</v>
      </c>
      <c r="G9808">
        <v>199.55</v>
      </c>
      <c r="H9808">
        <v>250704</v>
      </c>
      <c r="I9808">
        <v>4369</v>
      </c>
      <c r="J9808" t="s">
        <v>188</v>
      </c>
      <c r="K9808">
        <v>199.55</v>
      </c>
      <c r="L9808">
        <v>40.549999999999997</v>
      </c>
      <c r="M9808">
        <v>69704</v>
      </c>
      <c r="N9808" t="s">
        <v>89</v>
      </c>
      <c r="O9808">
        <v>250728</v>
      </c>
      <c r="P9808">
        <v>159</v>
      </c>
    </row>
    <row r="9809" spans="1:16" x14ac:dyDescent="0.25">
      <c r="A9809" t="s">
        <v>3296</v>
      </c>
      <c r="B9809" t="s">
        <v>2931</v>
      </c>
      <c r="C9809">
        <v>9783</v>
      </c>
      <c r="D9809" t="str">
        <f>"2125009298  "</f>
        <v xml:space="preserve">2125009298  </v>
      </c>
      <c r="E9809" t="s">
        <v>337</v>
      </c>
      <c r="F9809" t="s">
        <v>338</v>
      </c>
      <c r="G9809">
        <v>199.55</v>
      </c>
      <c r="H9809">
        <v>250704</v>
      </c>
      <c r="I9809">
        <v>4369</v>
      </c>
      <c r="J9809" t="s">
        <v>188</v>
      </c>
      <c r="K9809">
        <v>199.55</v>
      </c>
      <c r="L9809">
        <v>40.549999999999997</v>
      </c>
      <c r="M9809">
        <v>69704</v>
      </c>
      <c r="N9809" t="s">
        <v>89</v>
      </c>
      <c r="O9809">
        <v>250728</v>
      </c>
      <c r="P9809">
        <v>159</v>
      </c>
    </row>
    <row r="9810" spans="1:16" x14ac:dyDescent="0.25">
      <c r="A9810" t="s">
        <v>3296</v>
      </c>
      <c r="B9810" t="s">
        <v>2931</v>
      </c>
      <c r="C9810">
        <v>9784</v>
      </c>
      <c r="D9810" t="str">
        <f>"2125009297  "</f>
        <v xml:space="preserve">2125009297  </v>
      </c>
      <c r="E9810" t="s">
        <v>337</v>
      </c>
      <c r="F9810" t="s">
        <v>338</v>
      </c>
      <c r="G9810">
        <v>199.55</v>
      </c>
      <c r="H9810">
        <v>250704</v>
      </c>
      <c r="I9810">
        <v>4369</v>
      </c>
      <c r="J9810" t="s">
        <v>188</v>
      </c>
      <c r="K9810">
        <v>199.55</v>
      </c>
      <c r="L9810">
        <v>40.549999999999997</v>
      </c>
      <c r="M9810">
        <v>69702</v>
      </c>
      <c r="N9810" t="s">
        <v>124</v>
      </c>
      <c r="O9810">
        <v>250728</v>
      </c>
      <c r="P9810">
        <v>159</v>
      </c>
    </row>
    <row r="9811" spans="1:16" x14ac:dyDescent="0.25">
      <c r="A9811" t="s">
        <v>3296</v>
      </c>
      <c r="B9811" t="s">
        <v>2931</v>
      </c>
      <c r="C9811">
        <v>9785</v>
      </c>
      <c r="D9811" t="str">
        <f>"2125009296  "</f>
        <v xml:space="preserve">2125009296  </v>
      </c>
      <c r="E9811" t="s">
        <v>337</v>
      </c>
      <c r="F9811" t="s">
        <v>338</v>
      </c>
      <c r="G9811">
        <v>199.55</v>
      </c>
      <c r="H9811">
        <v>250704</v>
      </c>
      <c r="I9811">
        <v>4369</v>
      </c>
      <c r="J9811" t="s">
        <v>188</v>
      </c>
      <c r="K9811">
        <v>199.55</v>
      </c>
      <c r="L9811">
        <v>40.549999999999997</v>
      </c>
      <c r="M9811">
        <v>66756</v>
      </c>
      <c r="N9811" t="s">
        <v>120</v>
      </c>
      <c r="O9811">
        <v>250728</v>
      </c>
      <c r="P9811">
        <v>159</v>
      </c>
    </row>
    <row r="9812" spans="1:16" x14ac:dyDescent="0.25">
      <c r="A9812" t="s">
        <v>3296</v>
      </c>
      <c r="B9812" t="s">
        <v>2931</v>
      </c>
      <c r="C9812">
        <v>9789</v>
      </c>
      <c r="D9812" t="str">
        <f>"2125009299  "</f>
        <v xml:space="preserve">2125009299  </v>
      </c>
      <c r="E9812" t="s">
        <v>337</v>
      </c>
      <c r="F9812" t="s">
        <v>338</v>
      </c>
      <c r="G9812">
        <v>199.55</v>
      </c>
      <c r="H9812">
        <v>250704</v>
      </c>
      <c r="I9812">
        <v>4369</v>
      </c>
      <c r="J9812" t="s">
        <v>188</v>
      </c>
      <c r="K9812">
        <v>199.55</v>
      </c>
      <c r="L9812">
        <v>40.549999999999997</v>
      </c>
      <c r="M9812">
        <v>69702</v>
      </c>
      <c r="N9812" t="s">
        <v>124</v>
      </c>
      <c r="O9812">
        <v>250728</v>
      </c>
      <c r="P9812">
        <v>159</v>
      </c>
    </row>
    <row r="9813" spans="1:16" x14ac:dyDescent="0.25">
      <c r="A9813" t="s">
        <v>3296</v>
      </c>
      <c r="B9813" t="s">
        <v>2931</v>
      </c>
      <c r="C9813">
        <v>11067</v>
      </c>
      <c r="D9813" t="str">
        <f>"2125012006  "</f>
        <v xml:space="preserve">2125012006  </v>
      </c>
      <c r="E9813" t="s">
        <v>337</v>
      </c>
      <c r="F9813" t="s">
        <v>338</v>
      </c>
      <c r="G9813">
        <v>21.95</v>
      </c>
      <c r="H9813">
        <v>250805</v>
      </c>
      <c r="I9813">
        <v>4369</v>
      </c>
      <c r="J9813" t="s">
        <v>188</v>
      </c>
      <c r="K9813">
        <v>199.55</v>
      </c>
      <c r="L9813">
        <v>4.46</v>
      </c>
      <c r="M9813">
        <v>13501</v>
      </c>
      <c r="N9813" t="s">
        <v>66</v>
      </c>
      <c r="O9813">
        <v>250829</v>
      </c>
      <c r="P9813">
        <v>17.489999999999998</v>
      </c>
    </row>
    <row r="9814" spans="1:16" x14ac:dyDescent="0.25">
      <c r="A9814" t="s">
        <v>3296</v>
      </c>
      <c r="B9814" t="s">
        <v>2931</v>
      </c>
      <c r="C9814">
        <v>11073</v>
      </c>
      <c r="D9814" t="str">
        <f>"222500562   "</f>
        <v xml:space="preserve">222500562   </v>
      </c>
      <c r="E9814" t="s">
        <v>337</v>
      </c>
      <c r="F9814" t="s">
        <v>338</v>
      </c>
      <c r="G9814">
        <v>35.17</v>
      </c>
      <c r="H9814">
        <v>250807</v>
      </c>
      <c r="I9814">
        <v>4369</v>
      </c>
      <c r="J9814" t="s">
        <v>188</v>
      </c>
      <c r="K9814">
        <v>323.79000000000002</v>
      </c>
      <c r="L9814">
        <v>7.15</v>
      </c>
      <c r="M9814">
        <v>13501</v>
      </c>
      <c r="N9814" t="s">
        <v>66</v>
      </c>
      <c r="O9814">
        <v>250829</v>
      </c>
      <c r="P9814">
        <v>28.02</v>
      </c>
    </row>
    <row r="9815" spans="1:16" x14ac:dyDescent="0.25">
      <c r="A9815" t="s">
        <v>3296</v>
      </c>
      <c r="B9815" t="s">
        <v>2931</v>
      </c>
      <c r="C9815">
        <v>11073</v>
      </c>
      <c r="D9815" t="str">
        <f>"222500562   "</f>
        <v xml:space="preserve">222500562   </v>
      </c>
      <c r="E9815" t="s">
        <v>337</v>
      </c>
      <c r="F9815" t="s">
        <v>338</v>
      </c>
      <c r="G9815">
        <v>288.62</v>
      </c>
      <c r="H9815">
        <v>250807</v>
      </c>
      <c r="I9815">
        <v>4369</v>
      </c>
      <c r="J9815" t="s">
        <v>188</v>
      </c>
      <c r="K9815">
        <v>323.79000000000002</v>
      </c>
      <c r="L9815">
        <v>58.64</v>
      </c>
      <c r="M9815">
        <v>17538</v>
      </c>
      <c r="N9815" t="s">
        <v>129</v>
      </c>
      <c r="O9815">
        <v>250829</v>
      </c>
      <c r="P9815">
        <v>229.98</v>
      </c>
    </row>
    <row r="9816" spans="1:16" x14ac:dyDescent="0.25">
      <c r="A9816" t="s">
        <v>3296</v>
      </c>
      <c r="B9816" t="s">
        <v>2931</v>
      </c>
      <c r="C9816">
        <v>12368</v>
      </c>
      <c r="D9816" t="str">
        <f>"222500689   "</f>
        <v xml:space="preserve">222500689   </v>
      </c>
      <c r="E9816" t="s">
        <v>337</v>
      </c>
      <c r="F9816" t="s">
        <v>338</v>
      </c>
      <c r="G9816">
        <v>41.42</v>
      </c>
      <c r="H9816">
        <v>250909</v>
      </c>
      <c r="I9816">
        <v>4369</v>
      </c>
      <c r="J9816" t="s">
        <v>188</v>
      </c>
      <c r="K9816">
        <v>41.42</v>
      </c>
      <c r="L9816">
        <v>8.42</v>
      </c>
      <c r="M9816">
        <v>17974</v>
      </c>
      <c r="N9816" t="s">
        <v>153</v>
      </c>
      <c r="O9816">
        <v>250919</v>
      </c>
      <c r="P9816">
        <v>33</v>
      </c>
    </row>
    <row r="9817" spans="1:16" x14ac:dyDescent="0.25">
      <c r="A9817" t="s">
        <v>3296</v>
      </c>
      <c r="B9817" t="s">
        <v>2931</v>
      </c>
      <c r="C9817">
        <v>13711</v>
      </c>
      <c r="D9817" t="str">
        <f>"2125017398  "</f>
        <v xml:space="preserve">2125017398  </v>
      </c>
      <c r="E9817" t="s">
        <v>337</v>
      </c>
      <c r="F9817" t="s">
        <v>338</v>
      </c>
      <c r="G9817">
        <v>199.55</v>
      </c>
      <c r="H9817">
        <v>251001</v>
      </c>
      <c r="I9817">
        <v>4369</v>
      </c>
      <c r="J9817" t="s">
        <v>188</v>
      </c>
      <c r="K9817">
        <v>199.55</v>
      </c>
      <c r="L9817">
        <v>40.549999999999997</v>
      </c>
      <c r="M9817">
        <v>69704</v>
      </c>
      <c r="N9817" t="s">
        <v>89</v>
      </c>
      <c r="O9817">
        <v>251016</v>
      </c>
      <c r="P9817">
        <v>159</v>
      </c>
    </row>
    <row r="9818" spans="1:16" x14ac:dyDescent="0.25">
      <c r="A9818" t="s">
        <v>3296</v>
      </c>
      <c r="B9818" t="s">
        <v>2931</v>
      </c>
      <c r="C9818">
        <v>13854</v>
      </c>
      <c r="D9818" t="str">
        <f>"2125017395  "</f>
        <v xml:space="preserve">2125017395  </v>
      </c>
      <c r="E9818" t="s">
        <v>337</v>
      </c>
      <c r="F9818" t="s">
        <v>338</v>
      </c>
      <c r="G9818">
        <v>199.55</v>
      </c>
      <c r="H9818">
        <v>251007</v>
      </c>
      <c r="I9818">
        <v>4369</v>
      </c>
      <c r="J9818" t="s">
        <v>188</v>
      </c>
      <c r="K9818">
        <v>199.55</v>
      </c>
      <c r="L9818">
        <v>40.549999999999997</v>
      </c>
      <c r="M9818">
        <v>69704</v>
      </c>
      <c r="N9818" t="s">
        <v>89</v>
      </c>
      <c r="O9818">
        <v>251020</v>
      </c>
      <c r="P9818">
        <v>159</v>
      </c>
    </row>
    <row r="9819" spans="1:16" x14ac:dyDescent="0.25">
      <c r="A9819" t="s">
        <v>3296</v>
      </c>
      <c r="B9819" t="s">
        <v>2931</v>
      </c>
      <c r="C9819">
        <v>13855</v>
      </c>
      <c r="D9819" t="str">
        <f>"2125017397  "</f>
        <v xml:space="preserve">2125017397  </v>
      </c>
      <c r="E9819" t="s">
        <v>337</v>
      </c>
      <c r="F9819" t="s">
        <v>338</v>
      </c>
      <c r="G9819">
        <v>199.55</v>
      </c>
      <c r="H9819">
        <v>251007</v>
      </c>
      <c r="I9819">
        <v>4369</v>
      </c>
      <c r="J9819" t="s">
        <v>188</v>
      </c>
      <c r="K9819">
        <v>199.55</v>
      </c>
      <c r="L9819">
        <v>40.549999999999997</v>
      </c>
      <c r="M9819">
        <v>69702</v>
      </c>
      <c r="N9819" t="s">
        <v>124</v>
      </c>
      <c r="O9819">
        <v>251020</v>
      </c>
      <c r="P9819">
        <v>159</v>
      </c>
    </row>
    <row r="9820" spans="1:16" x14ac:dyDescent="0.25">
      <c r="A9820" t="s">
        <v>3296</v>
      </c>
      <c r="B9820" t="s">
        <v>2931</v>
      </c>
      <c r="C9820">
        <v>13856</v>
      </c>
      <c r="D9820" t="str">
        <f>"2125017396  "</f>
        <v xml:space="preserve">2125017396  </v>
      </c>
      <c r="E9820" t="s">
        <v>337</v>
      </c>
      <c r="F9820" t="s">
        <v>338</v>
      </c>
      <c r="G9820">
        <v>199.55</v>
      </c>
      <c r="H9820">
        <v>251001</v>
      </c>
      <c r="I9820">
        <v>4369</v>
      </c>
      <c r="J9820" t="s">
        <v>188</v>
      </c>
      <c r="K9820">
        <v>199.55</v>
      </c>
      <c r="L9820">
        <v>40.549999999999997</v>
      </c>
      <c r="M9820">
        <v>66756</v>
      </c>
      <c r="N9820" t="s">
        <v>120</v>
      </c>
      <c r="O9820">
        <v>251020</v>
      </c>
      <c r="P9820">
        <v>159</v>
      </c>
    </row>
    <row r="9821" spans="1:16" x14ac:dyDescent="0.25">
      <c r="A9821" t="s">
        <v>3296</v>
      </c>
      <c r="B9821" t="s">
        <v>2931</v>
      </c>
      <c r="C9821">
        <v>13860</v>
      </c>
      <c r="D9821" t="str">
        <f>"2125017399  "</f>
        <v xml:space="preserve">2125017399  </v>
      </c>
      <c r="E9821" t="s">
        <v>337</v>
      </c>
      <c r="F9821" t="s">
        <v>338</v>
      </c>
      <c r="G9821">
        <v>199.55</v>
      </c>
      <c r="H9821">
        <v>251001</v>
      </c>
      <c r="I9821">
        <v>4369</v>
      </c>
      <c r="J9821" t="s">
        <v>188</v>
      </c>
      <c r="K9821">
        <v>199.55</v>
      </c>
      <c r="L9821">
        <v>40.549999999999997</v>
      </c>
      <c r="M9821">
        <v>66722</v>
      </c>
      <c r="N9821" t="s">
        <v>118</v>
      </c>
      <c r="O9821">
        <v>251020</v>
      </c>
      <c r="P9821">
        <v>159</v>
      </c>
    </row>
    <row r="9822" spans="1:16" x14ac:dyDescent="0.25">
      <c r="A9822" t="s">
        <v>3296</v>
      </c>
      <c r="B9822" t="s">
        <v>2931</v>
      </c>
      <c r="C9822">
        <v>15891</v>
      </c>
      <c r="D9822" t="str">
        <f>"2125020759  "</f>
        <v xml:space="preserve">2125020759  </v>
      </c>
      <c r="E9822" t="s">
        <v>337</v>
      </c>
      <c r="F9822" t="s">
        <v>338</v>
      </c>
      <c r="G9822">
        <v>28.76</v>
      </c>
      <c r="H9822">
        <v>251126</v>
      </c>
      <c r="I9822">
        <v>4369</v>
      </c>
      <c r="J9822" t="s">
        <v>188</v>
      </c>
      <c r="K9822">
        <v>28.76</v>
      </c>
      <c r="L9822">
        <v>5.84</v>
      </c>
      <c r="M9822">
        <v>13801</v>
      </c>
      <c r="N9822" t="s">
        <v>33</v>
      </c>
      <c r="O9822">
        <v>251128</v>
      </c>
      <c r="P9822">
        <v>22.92</v>
      </c>
    </row>
    <row r="9823" spans="1:16" x14ac:dyDescent="0.25">
      <c r="A9823" t="s">
        <v>3296</v>
      </c>
      <c r="B9823" t="s">
        <v>2931</v>
      </c>
      <c r="C9823">
        <v>13643</v>
      </c>
      <c r="D9823" t="str">
        <f>"222500807   "</f>
        <v xml:space="preserve">222500807   </v>
      </c>
      <c r="E9823" t="s">
        <v>337</v>
      </c>
      <c r="F9823" t="s">
        <v>338</v>
      </c>
      <c r="G9823">
        <v>1236.97</v>
      </c>
      <c r="H9823">
        <v>250930</v>
      </c>
      <c r="I9823">
        <v>4400</v>
      </c>
      <c r="J9823" t="s">
        <v>162</v>
      </c>
      <c r="K9823">
        <v>1236.97</v>
      </c>
      <c r="L9823">
        <v>251.34</v>
      </c>
      <c r="M9823">
        <v>17538</v>
      </c>
      <c r="N9823" t="s">
        <v>129</v>
      </c>
      <c r="O9823">
        <v>251013</v>
      </c>
      <c r="P9823">
        <v>985.63</v>
      </c>
    </row>
    <row r="9824" spans="1:16" x14ac:dyDescent="0.25">
      <c r="A9824" t="s">
        <v>3296</v>
      </c>
      <c r="B9824" t="s">
        <v>2931</v>
      </c>
      <c r="C9824">
        <v>14444</v>
      </c>
      <c r="D9824" t="str">
        <f>"2125018522  "</f>
        <v xml:space="preserve">2125018522  </v>
      </c>
      <c r="E9824" t="s">
        <v>337</v>
      </c>
      <c r="F9824" t="s">
        <v>338</v>
      </c>
      <c r="G9824">
        <v>215.99</v>
      </c>
      <c r="H9824">
        <v>251029</v>
      </c>
      <c r="I9824">
        <v>4400</v>
      </c>
      <c r="J9824" t="s">
        <v>162</v>
      </c>
      <c r="K9824">
        <v>215.99</v>
      </c>
      <c r="L9824">
        <v>43.89</v>
      </c>
      <c r="M9824">
        <v>13401</v>
      </c>
      <c r="N9824" t="s">
        <v>10</v>
      </c>
      <c r="O9824">
        <v>251031</v>
      </c>
      <c r="P9824">
        <v>172.1</v>
      </c>
    </row>
    <row r="9825" spans="1:16" x14ac:dyDescent="0.25">
      <c r="A9825" t="s">
        <v>3296</v>
      </c>
      <c r="B9825" t="s">
        <v>2931</v>
      </c>
      <c r="C9825">
        <v>3043</v>
      </c>
      <c r="D9825" t="str">
        <f>"2124028739  "</f>
        <v xml:space="preserve">2124028739  </v>
      </c>
      <c r="E9825" t="s">
        <v>337</v>
      </c>
      <c r="F9825" t="s">
        <v>338</v>
      </c>
      <c r="G9825">
        <v>29.43</v>
      </c>
      <c r="H9825">
        <v>250227</v>
      </c>
      <c r="I9825">
        <v>4470</v>
      </c>
      <c r="J9825" t="s">
        <v>203</v>
      </c>
      <c r="K9825">
        <v>29.43</v>
      </c>
      <c r="L9825">
        <v>5.98</v>
      </c>
      <c r="M9825">
        <v>17524</v>
      </c>
      <c r="N9825" t="s">
        <v>139</v>
      </c>
      <c r="O9825">
        <v>250314</v>
      </c>
      <c r="P9825">
        <v>23.45</v>
      </c>
    </row>
    <row r="9826" spans="1:16" x14ac:dyDescent="0.25">
      <c r="A9826" t="s">
        <v>3296</v>
      </c>
      <c r="B9826" t="s">
        <v>2931</v>
      </c>
      <c r="C9826">
        <v>3044</v>
      </c>
      <c r="D9826" t="str">
        <f>"2124028738  "</f>
        <v xml:space="preserve">2124028738  </v>
      </c>
      <c r="E9826" t="s">
        <v>337</v>
      </c>
      <c r="F9826" t="s">
        <v>338</v>
      </c>
      <c r="G9826">
        <v>61.02</v>
      </c>
      <c r="H9826">
        <v>250227</v>
      </c>
      <c r="I9826">
        <v>4470</v>
      </c>
      <c r="J9826" t="s">
        <v>203</v>
      </c>
      <c r="K9826">
        <v>122.04</v>
      </c>
      <c r="L9826">
        <v>12.4</v>
      </c>
      <c r="M9826">
        <v>17531</v>
      </c>
      <c r="N9826" t="s">
        <v>145</v>
      </c>
      <c r="O9826">
        <v>250314</v>
      </c>
      <c r="P9826">
        <v>48.62</v>
      </c>
    </row>
    <row r="9827" spans="1:16" x14ac:dyDescent="0.25">
      <c r="A9827" t="s">
        <v>3296</v>
      </c>
      <c r="B9827" t="s">
        <v>2931</v>
      </c>
      <c r="C9827">
        <v>3044</v>
      </c>
      <c r="D9827" t="str">
        <f>"2124028738  "</f>
        <v xml:space="preserve">2124028738  </v>
      </c>
      <c r="E9827" t="s">
        <v>337</v>
      </c>
      <c r="F9827" t="s">
        <v>338</v>
      </c>
      <c r="G9827">
        <v>61.02</v>
      </c>
      <c r="H9827">
        <v>250227</v>
      </c>
      <c r="I9827">
        <v>4470</v>
      </c>
      <c r="J9827" t="s">
        <v>203</v>
      </c>
      <c r="K9827">
        <v>122.04</v>
      </c>
      <c r="L9827">
        <v>12.4</v>
      </c>
      <c r="M9827">
        <v>17533</v>
      </c>
      <c r="N9827" t="s">
        <v>147</v>
      </c>
      <c r="O9827">
        <v>250314</v>
      </c>
      <c r="P9827">
        <v>48.62</v>
      </c>
    </row>
    <row r="9828" spans="1:16" x14ac:dyDescent="0.25">
      <c r="A9828" t="s">
        <v>3296</v>
      </c>
      <c r="B9828" t="s">
        <v>2931</v>
      </c>
      <c r="C9828">
        <v>3045</v>
      </c>
      <c r="D9828" t="str">
        <f>"2124028740  "</f>
        <v xml:space="preserve">2124028740  </v>
      </c>
      <c r="E9828" t="s">
        <v>337</v>
      </c>
      <c r="F9828" t="s">
        <v>338</v>
      </c>
      <c r="G9828">
        <v>53.49</v>
      </c>
      <c r="H9828">
        <v>250227</v>
      </c>
      <c r="I9828">
        <v>4470</v>
      </c>
      <c r="J9828" t="s">
        <v>203</v>
      </c>
      <c r="K9828">
        <v>53.49</v>
      </c>
      <c r="L9828">
        <v>10.87</v>
      </c>
      <c r="M9828">
        <v>17523</v>
      </c>
      <c r="N9828" t="s">
        <v>138</v>
      </c>
      <c r="O9828">
        <v>250314</v>
      </c>
      <c r="P9828">
        <v>42.62</v>
      </c>
    </row>
    <row r="9829" spans="1:16" x14ac:dyDescent="0.25">
      <c r="A9829" t="s">
        <v>3296</v>
      </c>
      <c r="B9829" t="s">
        <v>2931</v>
      </c>
      <c r="C9829">
        <v>3046</v>
      </c>
      <c r="D9829" t="str">
        <f>"2124028741  "</f>
        <v xml:space="preserve">2124028741  </v>
      </c>
      <c r="E9829" t="s">
        <v>337</v>
      </c>
      <c r="F9829" t="s">
        <v>338</v>
      </c>
      <c r="G9829">
        <v>34.69</v>
      </c>
      <c r="H9829">
        <v>250227</v>
      </c>
      <c r="I9829">
        <v>4470</v>
      </c>
      <c r="J9829" t="s">
        <v>203</v>
      </c>
      <c r="K9829">
        <v>134.69</v>
      </c>
      <c r="L9829">
        <v>7.05</v>
      </c>
      <c r="M9829">
        <v>17526</v>
      </c>
      <c r="N9829" t="s">
        <v>141</v>
      </c>
      <c r="O9829">
        <v>250314</v>
      </c>
      <c r="P9829">
        <v>27.64</v>
      </c>
    </row>
    <row r="9830" spans="1:16" x14ac:dyDescent="0.25">
      <c r="A9830" t="s">
        <v>3296</v>
      </c>
      <c r="B9830" t="s">
        <v>2931</v>
      </c>
      <c r="C9830">
        <v>3046</v>
      </c>
      <c r="D9830" t="str">
        <f>"2124028741  "</f>
        <v xml:space="preserve">2124028741  </v>
      </c>
      <c r="E9830" t="s">
        <v>337</v>
      </c>
      <c r="F9830" t="s">
        <v>338</v>
      </c>
      <c r="G9830">
        <v>100</v>
      </c>
      <c r="H9830">
        <v>250227</v>
      </c>
      <c r="I9830">
        <v>4470</v>
      </c>
      <c r="J9830" t="s">
        <v>203</v>
      </c>
      <c r="K9830">
        <v>134.69</v>
      </c>
      <c r="L9830">
        <v>20.32</v>
      </c>
      <c r="M9830">
        <v>17862</v>
      </c>
      <c r="N9830" t="s">
        <v>130</v>
      </c>
      <c r="O9830">
        <v>250314</v>
      </c>
      <c r="P9830">
        <v>79.680000000000007</v>
      </c>
    </row>
    <row r="9831" spans="1:16" x14ac:dyDescent="0.25">
      <c r="A9831" t="s">
        <v>3296</v>
      </c>
      <c r="B9831" t="s">
        <v>2931</v>
      </c>
      <c r="C9831">
        <v>3047</v>
      </c>
      <c r="D9831" t="str">
        <f>"2124028706  "</f>
        <v xml:space="preserve">2124028706  </v>
      </c>
      <c r="E9831" t="s">
        <v>337</v>
      </c>
      <c r="F9831" t="s">
        <v>338</v>
      </c>
      <c r="G9831">
        <v>60.88</v>
      </c>
      <c r="H9831">
        <v>250227</v>
      </c>
      <c r="I9831">
        <v>4470</v>
      </c>
      <c r="J9831" t="s">
        <v>203</v>
      </c>
      <c r="K9831">
        <v>60.88</v>
      </c>
      <c r="L9831">
        <v>12.37</v>
      </c>
      <c r="M9831">
        <v>17521</v>
      </c>
      <c r="N9831" t="s">
        <v>136</v>
      </c>
      <c r="O9831">
        <v>250314</v>
      </c>
      <c r="P9831">
        <v>48.51</v>
      </c>
    </row>
    <row r="9832" spans="1:16" x14ac:dyDescent="0.25">
      <c r="A9832" t="s">
        <v>3296</v>
      </c>
      <c r="B9832" t="s">
        <v>2931</v>
      </c>
      <c r="C9832">
        <v>3048</v>
      </c>
      <c r="D9832" t="str">
        <f>"2124028742  "</f>
        <v xml:space="preserve">2124028742  </v>
      </c>
      <c r="E9832" t="s">
        <v>337</v>
      </c>
      <c r="F9832" t="s">
        <v>338</v>
      </c>
      <c r="G9832">
        <v>51.89</v>
      </c>
      <c r="H9832">
        <v>250227</v>
      </c>
      <c r="I9832">
        <v>4470</v>
      </c>
      <c r="J9832" t="s">
        <v>203</v>
      </c>
      <c r="K9832">
        <v>51.89</v>
      </c>
      <c r="L9832">
        <v>10.54</v>
      </c>
      <c r="M9832">
        <v>17527</v>
      </c>
      <c r="N9832" t="s">
        <v>142</v>
      </c>
      <c r="O9832">
        <v>250314</v>
      </c>
      <c r="P9832">
        <v>41.35</v>
      </c>
    </row>
    <row r="9833" spans="1:16" x14ac:dyDescent="0.25">
      <c r="A9833" t="s">
        <v>3296</v>
      </c>
      <c r="B9833" t="s">
        <v>2931</v>
      </c>
      <c r="C9833">
        <v>5078</v>
      </c>
      <c r="D9833" t="str">
        <f>"2124031284  "</f>
        <v xml:space="preserve">2124031284  </v>
      </c>
      <c r="E9833" t="s">
        <v>337</v>
      </c>
      <c r="F9833" t="s">
        <v>338</v>
      </c>
      <c r="G9833">
        <v>70.61</v>
      </c>
      <c r="H9833">
        <v>250328</v>
      </c>
      <c r="I9833">
        <v>4470</v>
      </c>
      <c r="J9833" t="s">
        <v>203</v>
      </c>
      <c r="K9833">
        <v>70.61</v>
      </c>
      <c r="L9833">
        <v>14.35</v>
      </c>
      <c r="M9833">
        <v>17972</v>
      </c>
      <c r="N9833" t="s">
        <v>28</v>
      </c>
      <c r="O9833">
        <v>250416</v>
      </c>
      <c r="P9833">
        <v>56.26</v>
      </c>
    </row>
    <row r="9834" spans="1:16" x14ac:dyDescent="0.25">
      <c r="A9834" t="s">
        <v>3296</v>
      </c>
      <c r="B9834" t="s">
        <v>2931</v>
      </c>
      <c r="C9834">
        <v>5228</v>
      </c>
      <c r="D9834" t="str">
        <f>"2124031037  "</f>
        <v xml:space="preserve">2124031037  </v>
      </c>
      <c r="E9834" t="s">
        <v>337</v>
      </c>
      <c r="F9834" t="s">
        <v>338</v>
      </c>
      <c r="G9834">
        <v>38.83</v>
      </c>
      <c r="H9834">
        <v>250328</v>
      </c>
      <c r="I9834">
        <v>4470</v>
      </c>
      <c r="J9834" t="s">
        <v>203</v>
      </c>
      <c r="K9834">
        <v>38.83</v>
      </c>
      <c r="L9834">
        <v>7.89</v>
      </c>
      <c r="M9834">
        <v>17975</v>
      </c>
      <c r="N9834" t="s">
        <v>29</v>
      </c>
      <c r="O9834">
        <v>250422</v>
      </c>
      <c r="P9834">
        <v>30.94</v>
      </c>
    </row>
    <row r="9835" spans="1:16" x14ac:dyDescent="0.25">
      <c r="A9835" t="s">
        <v>3296</v>
      </c>
      <c r="B9835" t="s">
        <v>2931</v>
      </c>
      <c r="C9835">
        <v>5229</v>
      </c>
      <c r="D9835" t="str">
        <f>"2124031298  "</f>
        <v xml:space="preserve">2124031298  </v>
      </c>
      <c r="E9835" t="s">
        <v>337</v>
      </c>
      <c r="F9835" t="s">
        <v>338</v>
      </c>
      <c r="G9835">
        <v>29.45</v>
      </c>
      <c r="H9835">
        <v>250328</v>
      </c>
      <c r="I9835">
        <v>4470</v>
      </c>
      <c r="J9835" t="s">
        <v>203</v>
      </c>
      <c r="K9835">
        <v>29.45</v>
      </c>
      <c r="L9835">
        <v>5.98</v>
      </c>
      <c r="M9835">
        <v>17529</v>
      </c>
      <c r="N9835" t="s">
        <v>143</v>
      </c>
      <c r="O9835">
        <v>250422</v>
      </c>
      <c r="P9835">
        <v>23.47</v>
      </c>
    </row>
    <row r="9836" spans="1:16" x14ac:dyDescent="0.25">
      <c r="A9836" t="s">
        <v>3296</v>
      </c>
      <c r="B9836" t="s">
        <v>2931</v>
      </c>
      <c r="C9836">
        <v>5230</v>
      </c>
      <c r="D9836" t="str">
        <f>"2124031299  "</f>
        <v xml:space="preserve">2124031299  </v>
      </c>
      <c r="E9836" t="s">
        <v>337</v>
      </c>
      <c r="F9836" t="s">
        <v>338</v>
      </c>
      <c r="G9836">
        <v>25.59</v>
      </c>
      <c r="H9836">
        <v>250328</v>
      </c>
      <c r="I9836">
        <v>4470</v>
      </c>
      <c r="J9836" t="s">
        <v>203</v>
      </c>
      <c r="K9836">
        <v>25.59</v>
      </c>
      <c r="L9836">
        <v>5.2</v>
      </c>
      <c r="M9836">
        <v>17525</v>
      </c>
      <c r="N9836" t="s">
        <v>140</v>
      </c>
      <c r="O9836">
        <v>250422</v>
      </c>
      <c r="P9836">
        <v>20.39</v>
      </c>
    </row>
    <row r="9837" spans="1:16" x14ac:dyDescent="0.25">
      <c r="A9837" t="s">
        <v>3296</v>
      </c>
      <c r="B9837" t="s">
        <v>2931</v>
      </c>
      <c r="C9837">
        <v>5231</v>
      </c>
      <c r="D9837" t="str">
        <f>"2124031302  "</f>
        <v xml:space="preserve">2124031302  </v>
      </c>
      <c r="E9837" t="s">
        <v>337</v>
      </c>
      <c r="F9837" t="s">
        <v>338</v>
      </c>
      <c r="G9837">
        <v>46.44</v>
      </c>
      <c r="H9837">
        <v>250328</v>
      </c>
      <c r="I9837">
        <v>4470</v>
      </c>
      <c r="J9837" t="s">
        <v>203</v>
      </c>
      <c r="K9837">
        <v>46.44</v>
      </c>
      <c r="L9837">
        <v>9.44</v>
      </c>
      <c r="M9837">
        <v>17972</v>
      </c>
      <c r="N9837" t="s">
        <v>28</v>
      </c>
      <c r="O9837">
        <v>250422</v>
      </c>
      <c r="P9837">
        <v>37</v>
      </c>
    </row>
    <row r="9838" spans="1:16" x14ac:dyDescent="0.25">
      <c r="A9838" t="s">
        <v>3296</v>
      </c>
      <c r="B9838" t="s">
        <v>2931</v>
      </c>
      <c r="C9838">
        <v>6585</v>
      </c>
      <c r="D9838" t="str">
        <f>"2125001894  "</f>
        <v xml:space="preserve">2125001894  </v>
      </c>
      <c r="E9838" t="s">
        <v>337</v>
      </c>
      <c r="F9838" t="s">
        <v>338</v>
      </c>
      <c r="G9838">
        <v>71.959999999999994</v>
      </c>
      <c r="H9838">
        <v>250429</v>
      </c>
      <c r="I9838">
        <v>4470</v>
      </c>
      <c r="J9838" t="s">
        <v>203</v>
      </c>
      <c r="K9838">
        <v>71.959999999999994</v>
      </c>
      <c r="L9838">
        <v>14.62</v>
      </c>
      <c r="M9838">
        <v>17530</v>
      </c>
      <c r="N9838" t="s">
        <v>144</v>
      </c>
      <c r="O9838">
        <v>250514</v>
      </c>
      <c r="P9838">
        <v>57.34</v>
      </c>
    </row>
    <row r="9839" spans="1:16" x14ac:dyDescent="0.25">
      <c r="A9839" t="s">
        <v>3296</v>
      </c>
      <c r="B9839" t="s">
        <v>2931</v>
      </c>
      <c r="C9839">
        <v>8609</v>
      </c>
      <c r="D9839" t="str">
        <f>"2125004641  "</f>
        <v xml:space="preserve">2125004641  </v>
      </c>
      <c r="E9839" t="s">
        <v>337</v>
      </c>
      <c r="F9839" t="s">
        <v>338</v>
      </c>
      <c r="G9839">
        <v>54.95</v>
      </c>
      <c r="H9839">
        <v>250528</v>
      </c>
      <c r="I9839">
        <v>4470</v>
      </c>
      <c r="J9839" t="s">
        <v>203</v>
      </c>
      <c r="K9839">
        <v>109.93</v>
      </c>
      <c r="L9839">
        <v>11.17</v>
      </c>
      <c r="M9839">
        <v>17531</v>
      </c>
      <c r="N9839" t="s">
        <v>145</v>
      </c>
      <c r="O9839">
        <v>250617</v>
      </c>
      <c r="P9839">
        <v>43.78</v>
      </c>
    </row>
    <row r="9840" spans="1:16" x14ac:dyDescent="0.25">
      <c r="A9840" t="s">
        <v>3296</v>
      </c>
      <c r="B9840" t="s">
        <v>2931</v>
      </c>
      <c r="C9840">
        <v>8609</v>
      </c>
      <c r="D9840" t="str">
        <f>"2125004641  "</f>
        <v xml:space="preserve">2125004641  </v>
      </c>
      <c r="E9840" t="s">
        <v>337</v>
      </c>
      <c r="F9840" t="s">
        <v>338</v>
      </c>
      <c r="G9840">
        <v>54.98</v>
      </c>
      <c r="H9840">
        <v>250528</v>
      </c>
      <c r="I9840">
        <v>4470</v>
      </c>
      <c r="J9840" t="s">
        <v>203</v>
      </c>
      <c r="K9840">
        <v>109.93</v>
      </c>
      <c r="L9840">
        <v>11.17</v>
      </c>
      <c r="M9840">
        <v>17533</v>
      </c>
      <c r="N9840" t="s">
        <v>147</v>
      </c>
      <c r="O9840">
        <v>250617</v>
      </c>
      <c r="P9840">
        <v>43.81</v>
      </c>
    </row>
    <row r="9841" spans="1:16" x14ac:dyDescent="0.25">
      <c r="A9841" t="s">
        <v>3296</v>
      </c>
      <c r="B9841" t="s">
        <v>2931</v>
      </c>
      <c r="C9841">
        <v>8624</v>
      </c>
      <c r="D9841" t="str">
        <f>"2125004616  "</f>
        <v xml:space="preserve">2125004616  </v>
      </c>
      <c r="E9841" t="s">
        <v>337</v>
      </c>
      <c r="F9841" t="s">
        <v>338</v>
      </c>
      <c r="G9841">
        <v>52.3</v>
      </c>
      <c r="H9841">
        <v>250528</v>
      </c>
      <c r="I9841">
        <v>4470</v>
      </c>
      <c r="J9841" t="s">
        <v>203</v>
      </c>
      <c r="K9841">
        <v>52.3</v>
      </c>
      <c r="L9841">
        <v>10.63</v>
      </c>
      <c r="M9841">
        <v>17521</v>
      </c>
      <c r="N9841" t="s">
        <v>136</v>
      </c>
      <c r="O9841">
        <v>250617</v>
      </c>
      <c r="P9841">
        <v>41.67</v>
      </c>
    </row>
    <row r="9842" spans="1:16" x14ac:dyDescent="0.25">
      <c r="A9842" t="s">
        <v>3296</v>
      </c>
      <c r="B9842" t="s">
        <v>2931</v>
      </c>
      <c r="C9842">
        <v>8626</v>
      </c>
      <c r="D9842" t="str">
        <f>"2125004643  "</f>
        <v xml:space="preserve">2125004643  </v>
      </c>
      <c r="E9842" t="s">
        <v>337</v>
      </c>
      <c r="F9842" t="s">
        <v>338</v>
      </c>
      <c r="G9842">
        <v>62.31</v>
      </c>
      <c r="H9842">
        <v>250528</v>
      </c>
      <c r="I9842">
        <v>4470</v>
      </c>
      <c r="J9842" t="s">
        <v>203</v>
      </c>
      <c r="K9842">
        <v>62.31</v>
      </c>
      <c r="L9842">
        <v>12.66</v>
      </c>
      <c r="M9842">
        <v>17523</v>
      </c>
      <c r="N9842" t="s">
        <v>138</v>
      </c>
      <c r="O9842">
        <v>250617</v>
      </c>
      <c r="P9842">
        <v>49.65</v>
      </c>
    </row>
    <row r="9843" spans="1:16" x14ac:dyDescent="0.25">
      <c r="A9843" t="s">
        <v>3296</v>
      </c>
      <c r="B9843" t="s">
        <v>2931</v>
      </c>
      <c r="C9843">
        <v>8640</v>
      </c>
      <c r="D9843" t="str">
        <f>"2125004644  "</f>
        <v xml:space="preserve">2125004644  </v>
      </c>
      <c r="E9843" t="s">
        <v>337</v>
      </c>
      <c r="F9843" t="s">
        <v>338</v>
      </c>
      <c r="G9843">
        <v>144.24</v>
      </c>
      <c r="H9843">
        <v>250528</v>
      </c>
      <c r="I9843">
        <v>4470</v>
      </c>
      <c r="J9843" t="s">
        <v>203</v>
      </c>
      <c r="K9843">
        <v>144.24</v>
      </c>
      <c r="L9843">
        <v>29.31</v>
      </c>
      <c r="M9843">
        <v>17533</v>
      </c>
      <c r="N9843" t="s">
        <v>147</v>
      </c>
      <c r="O9843">
        <v>250617</v>
      </c>
      <c r="P9843">
        <v>114.93</v>
      </c>
    </row>
    <row r="9844" spans="1:16" x14ac:dyDescent="0.25">
      <c r="A9844" t="s">
        <v>3296</v>
      </c>
      <c r="B9844" t="s">
        <v>2931</v>
      </c>
      <c r="C9844">
        <v>8647</v>
      </c>
      <c r="D9844" t="str">
        <f>"2125004642  "</f>
        <v xml:space="preserve">2125004642  </v>
      </c>
      <c r="E9844" t="s">
        <v>337</v>
      </c>
      <c r="F9844" t="s">
        <v>338</v>
      </c>
      <c r="G9844">
        <v>34</v>
      </c>
      <c r="H9844">
        <v>250528</v>
      </c>
      <c r="I9844">
        <v>4470</v>
      </c>
      <c r="J9844" t="s">
        <v>203</v>
      </c>
      <c r="K9844">
        <v>34</v>
      </c>
      <c r="L9844">
        <v>6.91</v>
      </c>
      <c r="M9844">
        <v>17524</v>
      </c>
      <c r="N9844" t="s">
        <v>139</v>
      </c>
      <c r="O9844">
        <v>250617</v>
      </c>
      <c r="P9844">
        <v>27.09</v>
      </c>
    </row>
    <row r="9845" spans="1:16" x14ac:dyDescent="0.25">
      <c r="A9845" t="s">
        <v>3296</v>
      </c>
      <c r="B9845" t="s">
        <v>2931</v>
      </c>
      <c r="C9845">
        <v>8679</v>
      </c>
      <c r="D9845" t="str">
        <f>"2125004645  "</f>
        <v xml:space="preserve">2125004645  </v>
      </c>
      <c r="E9845" t="s">
        <v>337</v>
      </c>
      <c r="F9845" t="s">
        <v>338</v>
      </c>
      <c r="G9845">
        <v>41.09</v>
      </c>
      <c r="H9845">
        <v>250528</v>
      </c>
      <c r="I9845">
        <v>4470</v>
      </c>
      <c r="J9845" t="s">
        <v>203</v>
      </c>
      <c r="K9845">
        <v>41.09</v>
      </c>
      <c r="L9845">
        <v>8.35</v>
      </c>
      <c r="M9845">
        <v>17527</v>
      </c>
      <c r="N9845" t="s">
        <v>142</v>
      </c>
      <c r="O9845">
        <v>250617</v>
      </c>
      <c r="P9845">
        <v>32.74</v>
      </c>
    </row>
    <row r="9846" spans="1:16" x14ac:dyDescent="0.25">
      <c r="A9846" t="s">
        <v>3296</v>
      </c>
      <c r="B9846" t="s">
        <v>2931</v>
      </c>
      <c r="C9846">
        <v>9875</v>
      </c>
      <c r="D9846" t="str">
        <f>"2125007018  "</f>
        <v xml:space="preserve">2125007018  </v>
      </c>
      <c r="E9846" t="s">
        <v>337</v>
      </c>
      <c r="F9846" t="s">
        <v>338</v>
      </c>
      <c r="G9846">
        <v>50.74</v>
      </c>
      <c r="H9846">
        <v>250701</v>
      </c>
      <c r="I9846">
        <v>4470</v>
      </c>
      <c r="J9846" t="s">
        <v>203</v>
      </c>
      <c r="K9846">
        <v>50.74</v>
      </c>
      <c r="L9846">
        <v>10.31</v>
      </c>
      <c r="M9846">
        <v>17534</v>
      </c>
      <c r="N9846" t="s">
        <v>148</v>
      </c>
      <c r="O9846">
        <v>250801</v>
      </c>
      <c r="P9846">
        <v>40.43</v>
      </c>
    </row>
    <row r="9847" spans="1:16" x14ac:dyDescent="0.25">
      <c r="A9847" t="s">
        <v>3296</v>
      </c>
      <c r="B9847" t="s">
        <v>2931</v>
      </c>
      <c r="C9847">
        <v>9876</v>
      </c>
      <c r="D9847" t="str">
        <f>"2125006996  "</f>
        <v xml:space="preserve">2125006996  </v>
      </c>
      <c r="E9847" t="s">
        <v>337</v>
      </c>
      <c r="F9847" t="s">
        <v>338</v>
      </c>
      <c r="G9847">
        <v>40.89</v>
      </c>
      <c r="H9847">
        <v>250701</v>
      </c>
      <c r="I9847">
        <v>4470</v>
      </c>
      <c r="J9847" t="s">
        <v>203</v>
      </c>
      <c r="K9847">
        <v>40.89</v>
      </c>
      <c r="L9847">
        <v>8.31</v>
      </c>
      <c r="M9847">
        <v>17972</v>
      </c>
      <c r="N9847" t="s">
        <v>28</v>
      </c>
      <c r="O9847">
        <v>250801</v>
      </c>
      <c r="P9847">
        <v>32.58</v>
      </c>
    </row>
    <row r="9848" spans="1:16" x14ac:dyDescent="0.25">
      <c r="A9848" t="s">
        <v>3296</v>
      </c>
      <c r="B9848" t="s">
        <v>2931</v>
      </c>
      <c r="C9848">
        <v>9877</v>
      </c>
      <c r="D9848" t="str">
        <f>"2125007015  "</f>
        <v xml:space="preserve">2125007015  </v>
      </c>
      <c r="E9848" t="s">
        <v>337</v>
      </c>
      <c r="F9848" t="s">
        <v>338</v>
      </c>
      <c r="G9848">
        <v>21.51</v>
      </c>
      <c r="H9848">
        <v>250701</v>
      </c>
      <c r="I9848">
        <v>4470</v>
      </c>
      <c r="J9848" t="s">
        <v>203</v>
      </c>
      <c r="K9848">
        <v>21.51</v>
      </c>
      <c r="L9848">
        <v>4.37</v>
      </c>
      <c r="M9848">
        <v>17529</v>
      </c>
      <c r="N9848" t="s">
        <v>143</v>
      </c>
      <c r="O9848">
        <v>250801</v>
      </c>
      <c r="P9848">
        <v>17.14</v>
      </c>
    </row>
    <row r="9849" spans="1:16" x14ac:dyDescent="0.25">
      <c r="A9849" t="s">
        <v>3296</v>
      </c>
      <c r="B9849" t="s">
        <v>2931</v>
      </c>
      <c r="C9849">
        <v>9878</v>
      </c>
      <c r="D9849" t="str">
        <f>"2125006742  "</f>
        <v xml:space="preserve">2125006742  </v>
      </c>
      <c r="E9849" t="s">
        <v>337</v>
      </c>
      <c r="F9849" t="s">
        <v>338</v>
      </c>
      <c r="G9849">
        <v>31.7</v>
      </c>
      <c r="H9849">
        <v>250701</v>
      </c>
      <c r="I9849">
        <v>4470</v>
      </c>
      <c r="J9849" t="s">
        <v>203</v>
      </c>
      <c r="K9849">
        <v>31.7</v>
      </c>
      <c r="L9849">
        <v>6.44</v>
      </c>
      <c r="M9849">
        <v>17975</v>
      </c>
      <c r="N9849" t="s">
        <v>29</v>
      </c>
      <c r="O9849">
        <v>250801</v>
      </c>
      <c r="P9849">
        <v>25.26</v>
      </c>
    </row>
    <row r="9850" spans="1:16" x14ac:dyDescent="0.25">
      <c r="A9850" t="s">
        <v>3296</v>
      </c>
      <c r="B9850" t="s">
        <v>2931</v>
      </c>
      <c r="C9850">
        <v>9879</v>
      </c>
      <c r="D9850" t="str">
        <f>"2125009066  "</f>
        <v xml:space="preserve">2125009066  </v>
      </c>
      <c r="E9850" t="s">
        <v>337</v>
      </c>
      <c r="F9850" t="s">
        <v>338</v>
      </c>
      <c r="G9850">
        <v>199.55</v>
      </c>
      <c r="H9850">
        <v>250704</v>
      </c>
      <c r="I9850">
        <v>4470</v>
      </c>
      <c r="J9850" t="s">
        <v>203</v>
      </c>
      <c r="K9850">
        <v>199.55</v>
      </c>
      <c r="L9850">
        <v>40.549999999999997</v>
      </c>
      <c r="M9850">
        <v>17974</v>
      </c>
      <c r="N9850" t="s">
        <v>153</v>
      </c>
      <c r="O9850">
        <v>250801</v>
      </c>
      <c r="P9850">
        <v>159</v>
      </c>
    </row>
    <row r="9851" spans="1:16" x14ac:dyDescent="0.25">
      <c r="A9851" t="s">
        <v>3296</v>
      </c>
      <c r="B9851" t="s">
        <v>2931</v>
      </c>
      <c r="C9851">
        <v>9899</v>
      </c>
      <c r="D9851" t="str">
        <f>"2125006995  "</f>
        <v xml:space="preserve">2125006995  </v>
      </c>
      <c r="E9851" t="s">
        <v>337</v>
      </c>
      <c r="F9851" t="s">
        <v>338</v>
      </c>
      <c r="G9851">
        <v>6.87</v>
      </c>
      <c r="H9851">
        <v>250701</v>
      </c>
      <c r="I9851">
        <v>4470</v>
      </c>
      <c r="J9851" t="s">
        <v>203</v>
      </c>
      <c r="K9851">
        <v>62.46</v>
      </c>
      <c r="L9851">
        <v>1.4</v>
      </c>
      <c r="M9851">
        <v>13561</v>
      </c>
      <c r="N9851" t="s">
        <v>241</v>
      </c>
      <c r="O9851">
        <v>250804</v>
      </c>
      <c r="P9851">
        <v>5.47</v>
      </c>
    </row>
    <row r="9852" spans="1:16" x14ac:dyDescent="0.25">
      <c r="A9852" t="s">
        <v>3296</v>
      </c>
      <c r="B9852" t="s">
        <v>2931</v>
      </c>
      <c r="C9852">
        <v>9899</v>
      </c>
      <c r="D9852" t="str">
        <f>"2125006995  "</f>
        <v xml:space="preserve">2125006995  </v>
      </c>
      <c r="E9852" t="s">
        <v>337</v>
      </c>
      <c r="F9852" t="s">
        <v>338</v>
      </c>
      <c r="G9852">
        <v>55.59</v>
      </c>
      <c r="H9852">
        <v>250701</v>
      </c>
      <c r="I9852">
        <v>4470</v>
      </c>
      <c r="J9852" t="s">
        <v>203</v>
      </c>
      <c r="K9852">
        <v>62.46</v>
      </c>
      <c r="L9852">
        <v>11.3</v>
      </c>
      <c r="M9852">
        <v>17538</v>
      </c>
      <c r="N9852" t="s">
        <v>129</v>
      </c>
      <c r="O9852">
        <v>250804</v>
      </c>
      <c r="P9852">
        <v>44.29</v>
      </c>
    </row>
    <row r="9853" spans="1:16" x14ac:dyDescent="0.25">
      <c r="A9853" t="s">
        <v>3296</v>
      </c>
      <c r="B9853" t="s">
        <v>2931</v>
      </c>
      <c r="C9853">
        <v>9941</v>
      </c>
      <c r="D9853" t="str">
        <f>"2125010294  "</f>
        <v xml:space="preserve">2125010294  </v>
      </c>
      <c r="E9853" t="s">
        <v>337</v>
      </c>
      <c r="F9853" t="s">
        <v>338</v>
      </c>
      <c r="G9853">
        <v>104.08</v>
      </c>
      <c r="H9853">
        <v>250729</v>
      </c>
      <c r="I9853">
        <v>4470</v>
      </c>
      <c r="J9853" t="s">
        <v>203</v>
      </c>
      <c r="K9853">
        <v>104.08</v>
      </c>
      <c r="L9853">
        <v>21.15</v>
      </c>
      <c r="M9853">
        <v>17530</v>
      </c>
      <c r="N9853" t="s">
        <v>144</v>
      </c>
      <c r="O9853">
        <v>250805</v>
      </c>
      <c r="P9853">
        <v>82.93</v>
      </c>
    </row>
    <row r="9854" spans="1:16" x14ac:dyDescent="0.25">
      <c r="A9854" t="s">
        <v>3296</v>
      </c>
      <c r="B9854" t="s">
        <v>2931</v>
      </c>
      <c r="C9854">
        <v>11013</v>
      </c>
      <c r="D9854" t="str">
        <f>"2125012015  "</f>
        <v xml:space="preserve">2125012015  </v>
      </c>
      <c r="E9854" t="s">
        <v>337</v>
      </c>
      <c r="F9854" t="s">
        <v>338</v>
      </c>
      <c r="G9854">
        <v>99.77</v>
      </c>
      <c r="H9854">
        <v>250805</v>
      </c>
      <c r="I9854">
        <v>4470</v>
      </c>
      <c r="J9854" t="s">
        <v>203</v>
      </c>
      <c r="K9854">
        <v>199.55</v>
      </c>
      <c r="L9854">
        <v>20.27</v>
      </c>
      <c r="M9854">
        <v>17525</v>
      </c>
      <c r="N9854" t="s">
        <v>140</v>
      </c>
      <c r="O9854">
        <v>250829</v>
      </c>
      <c r="P9854">
        <v>79.5</v>
      </c>
    </row>
    <row r="9855" spans="1:16" x14ac:dyDescent="0.25">
      <c r="A9855" t="s">
        <v>3296</v>
      </c>
      <c r="B9855" t="s">
        <v>2931</v>
      </c>
      <c r="C9855">
        <v>11013</v>
      </c>
      <c r="D9855" t="str">
        <f>"2125012015  "</f>
        <v xml:space="preserve">2125012015  </v>
      </c>
      <c r="E9855" t="s">
        <v>337</v>
      </c>
      <c r="F9855" t="s">
        <v>338</v>
      </c>
      <c r="G9855">
        <v>99.78</v>
      </c>
      <c r="H9855">
        <v>250805</v>
      </c>
      <c r="I9855">
        <v>4470</v>
      </c>
      <c r="J9855" t="s">
        <v>203</v>
      </c>
      <c r="K9855">
        <v>199.55</v>
      </c>
      <c r="L9855">
        <v>20.27</v>
      </c>
      <c r="M9855">
        <v>17529</v>
      </c>
      <c r="N9855" t="s">
        <v>143</v>
      </c>
      <c r="O9855">
        <v>250829</v>
      </c>
      <c r="P9855">
        <v>79.510000000000005</v>
      </c>
    </row>
    <row r="9856" spans="1:16" x14ac:dyDescent="0.25">
      <c r="A9856" t="s">
        <v>3296</v>
      </c>
      <c r="B9856" t="s">
        <v>2931</v>
      </c>
      <c r="C9856">
        <v>11014</v>
      </c>
      <c r="D9856" t="str">
        <f>"2125012014  "</f>
        <v xml:space="preserve">2125012014  </v>
      </c>
      <c r="E9856" t="s">
        <v>337</v>
      </c>
      <c r="F9856" t="s">
        <v>338</v>
      </c>
      <c r="G9856">
        <v>99.77</v>
      </c>
      <c r="H9856">
        <v>250805</v>
      </c>
      <c r="I9856">
        <v>4470</v>
      </c>
      <c r="J9856" t="s">
        <v>203</v>
      </c>
      <c r="K9856">
        <v>199.55</v>
      </c>
      <c r="L9856">
        <v>20.27</v>
      </c>
      <c r="M9856">
        <v>17525</v>
      </c>
      <c r="N9856" t="s">
        <v>140</v>
      </c>
      <c r="O9856">
        <v>250829</v>
      </c>
      <c r="P9856">
        <v>79.5</v>
      </c>
    </row>
    <row r="9857" spans="1:16" x14ac:dyDescent="0.25">
      <c r="A9857" t="s">
        <v>3296</v>
      </c>
      <c r="B9857" t="s">
        <v>2931</v>
      </c>
      <c r="C9857">
        <v>11014</v>
      </c>
      <c r="D9857" t="str">
        <f>"2125012014  "</f>
        <v xml:space="preserve">2125012014  </v>
      </c>
      <c r="E9857" t="s">
        <v>337</v>
      </c>
      <c r="F9857" t="s">
        <v>338</v>
      </c>
      <c r="G9857">
        <v>99.78</v>
      </c>
      <c r="H9857">
        <v>250805</v>
      </c>
      <c r="I9857">
        <v>4470</v>
      </c>
      <c r="J9857" t="s">
        <v>203</v>
      </c>
      <c r="K9857">
        <v>199.55</v>
      </c>
      <c r="L9857">
        <v>20.27</v>
      </c>
      <c r="M9857">
        <v>17529</v>
      </c>
      <c r="N9857" t="s">
        <v>143</v>
      </c>
      <c r="O9857">
        <v>250829</v>
      </c>
      <c r="P9857">
        <v>79.510000000000005</v>
      </c>
    </row>
    <row r="9858" spans="1:16" x14ac:dyDescent="0.25">
      <c r="A9858" t="s">
        <v>3296</v>
      </c>
      <c r="B9858" t="s">
        <v>2931</v>
      </c>
      <c r="C9858">
        <v>11016</v>
      </c>
      <c r="D9858" t="str">
        <f>"2125012007  "</f>
        <v xml:space="preserve">2125012007  </v>
      </c>
      <c r="E9858" t="s">
        <v>337</v>
      </c>
      <c r="F9858" t="s">
        <v>338</v>
      </c>
      <c r="G9858">
        <v>199.55</v>
      </c>
      <c r="H9858">
        <v>250805</v>
      </c>
      <c r="I9858">
        <v>4470</v>
      </c>
      <c r="J9858" t="s">
        <v>203</v>
      </c>
      <c r="K9858">
        <v>199.55</v>
      </c>
      <c r="L9858">
        <v>40.549999999999997</v>
      </c>
      <c r="M9858">
        <v>17538</v>
      </c>
      <c r="N9858" t="s">
        <v>129</v>
      </c>
      <c r="O9858">
        <v>250829</v>
      </c>
      <c r="P9858">
        <v>159</v>
      </c>
    </row>
    <row r="9859" spans="1:16" x14ac:dyDescent="0.25">
      <c r="A9859" t="s">
        <v>3296</v>
      </c>
      <c r="B9859" t="s">
        <v>2931</v>
      </c>
      <c r="C9859">
        <v>11017</v>
      </c>
      <c r="D9859" t="str">
        <f>"2125012018  "</f>
        <v xml:space="preserve">2125012018  </v>
      </c>
      <c r="E9859" t="s">
        <v>337</v>
      </c>
      <c r="F9859" t="s">
        <v>338</v>
      </c>
      <c r="G9859">
        <v>66.55</v>
      </c>
      <c r="H9859">
        <v>250805</v>
      </c>
      <c r="I9859">
        <v>4470</v>
      </c>
      <c r="J9859" t="s">
        <v>203</v>
      </c>
      <c r="K9859">
        <v>199.55</v>
      </c>
      <c r="L9859">
        <v>13.52</v>
      </c>
      <c r="M9859">
        <v>17534</v>
      </c>
      <c r="N9859" t="s">
        <v>148</v>
      </c>
      <c r="O9859">
        <v>250829</v>
      </c>
      <c r="P9859">
        <v>53.03</v>
      </c>
    </row>
    <row r="9860" spans="1:16" x14ac:dyDescent="0.25">
      <c r="A9860" t="s">
        <v>3296</v>
      </c>
      <c r="B9860" t="s">
        <v>2931</v>
      </c>
      <c r="C9860">
        <v>11017</v>
      </c>
      <c r="D9860" t="str">
        <f>"2125012018  "</f>
        <v xml:space="preserve">2125012018  </v>
      </c>
      <c r="E9860" t="s">
        <v>337</v>
      </c>
      <c r="F9860" t="s">
        <v>338</v>
      </c>
      <c r="G9860">
        <v>66.5</v>
      </c>
      <c r="H9860">
        <v>250805</v>
      </c>
      <c r="I9860">
        <v>4470</v>
      </c>
      <c r="J9860" t="s">
        <v>203</v>
      </c>
      <c r="K9860">
        <v>199.55</v>
      </c>
      <c r="L9860">
        <v>13.51</v>
      </c>
      <c r="M9860">
        <v>17535</v>
      </c>
      <c r="N9860" t="s">
        <v>149</v>
      </c>
      <c r="O9860">
        <v>250829</v>
      </c>
      <c r="P9860">
        <v>52.99</v>
      </c>
    </row>
    <row r="9861" spans="1:16" x14ac:dyDescent="0.25">
      <c r="A9861" t="s">
        <v>3296</v>
      </c>
      <c r="B9861" t="s">
        <v>2931</v>
      </c>
      <c r="C9861">
        <v>11017</v>
      </c>
      <c r="D9861" t="str">
        <f>"2125012018  "</f>
        <v xml:space="preserve">2125012018  </v>
      </c>
      <c r="E9861" t="s">
        <v>337</v>
      </c>
      <c r="F9861" t="s">
        <v>338</v>
      </c>
      <c r="G9861">
        <v>66.5</v>
      </c>
      <c r="H9861">
        <v>250805</v>
      </c>
      <c r="I9861">
        <v>4470</v>
      </c>
      <c r="J9861" t="s">
        <v>203</v>
      </c>
      <c r="K9861">
        <v>199.55</v>
      </c>
      <c r="L9861">
        <v>13.51</v>
      </c>
      <c r="M9861">
        <v>17536</v>
      </c>
      <c r="N9861" t="s">
        <v>150</v>
      </c>
      <c r="O9861">
        <v>250829</v>
      </c>
      <c r="P9861">
        <v>52.99</v>
      </c>
    </row>
    <row r="9862" spans="1:16" x14ac:dyDescent="0.25">
      <c r="A9862" t="s">
        <v>3296</v>
      </c>
      <c r="B9862" t="s">
        <v>2931</v>
      </c>
      <c r="C9862">
        <v>11067</v>
      </c>
      <c r="D9862" t="str">
        <f>"2125012006  "</f>
        <v xml:space="preserve">2125012006  </v>
      </c>
      <c r="E9862" t="s">
        <v>337</v>
      </c>
      <c r="F9862" t="s">
        <v>338</v>
      </c>
      <c r="G9862">
        <v>177.6</v>
      </c>
      <c r="H9862">
        <v>250805</v>
      </c>
      <c r="I9862">
        <v>4470</v>
      </c>
      <c r="J9862" t="s">
        <v>203</v>
      </c>
      <c r="K9862">
        <v>199.55</v>
      </c>
      <c r="L9862">
        <v>36.090000000000003</v>
      </c>
      <c r="M9862">
        <v>17538</v>
      </c>
      <c r="N9862" t="s">
        <v>129</v>
      </c>
      <c r="O9862">
        <v>250829</v>
      </c>
      <c r="P9862">
        <v>141.51</v>
      </c>
    </row>
    <row r="9863" spans="1:16" x14ac:dyDescent="0.25">
      <c r="A9863" t="s">
        <v>3296</v>
      </c>
      <c r="B9863" t="s">
        <v>2931</v>
      </c>
      <c r="C9863">
        <v>11103</v>
      </c>
      <c r="D9863" t="str">
        <f>"2125012955  "</f>
        <v xml:space="preserve">2125012955  </v>
      </c>
      <c r="E9863" t="s">
        <v>337</v>
      </c>
      <c r="F9863" t="s">
        <v>338</v>
      </c>
      <c r="G9863">
        <v>60.15</v>
      </c>
      <c r="H9863">
        <v>250827</v>
      </c>
      <c r="I9863">
        <v>4470</v>
      </c>
      <c r="J9863" t="s">
        <v>203</v>
      </c>
      <c r="K9863">
        <v>60.15</v>
      </c>
      <c r="L9863">
        <v>12.22</v>
      </c>
      <c r="M9863">
        <v>17533</v>
      </c>
      <c r="N9863" t="s">
        <v>147</v>
      </c>
      <c r="O9863">
        <v>250829</v>
      </c>
      <c r="P9863">
        <v>47.93</v>
      </c>
    </row>
    <row r="9864" spans="1:16" x14ac:dyDescent="0.25">
      <c r="A9864" t="s">
        <v>3296</v>
      </c>
      <c r="B9864" t="s">
        <v>2931</v>
      </c>
      <c r="C9864">
        <v>11106</v>
      </c>
      <c r="D9864" t="str">
        <f>"2125012934  "</f>
        <v xml:space="preserve">2125012934  </v>
      </c>
      <c r="E9864" t="s">
        <v>337</v>
      </c>
      <c r="F9864" t="s">
        <v>338</v>
      </c>
      <c r="G9864">
        <v>31.9</v>
      </c>
      <c r="H9864">
        <v>250827</v>
      </c>
      <c r="I9864">
        <v>4470</v>
      </c>
      <c r="J9864" t="s">
        <v>203</v>
      </c>
      <c r="K9864">
        <v>31.9</v>
      </c>
      <c r="L9864">
        <v>6.48</v>
      </c>
      <c r="M9864">
        <v>17521</v>
      </c>
      <c r="N9864" t="s">
        <v>136</v>
      </c>
      <c r="O9864">
        <v>250829</v>
      </c>
      <c r="P9864">
        <v>25.42</v>
      </c>
    </row>
    <row r="9865" spans="1:16" x14ac:dyDescent="0.25">
      <c r="A9865" t="s">
        <v>3296</v>
      </c>
      <c r="B9865" t="s">
        <v>2931</v>
      </c>
      <c r="C9865">
        <v>11111</v>
      </c>
      <c r="D9865" t="str">
        <f>"2125012958  "</f>
        <v xml:space="preserve">2125012958  </v>
      </c>
      <c r="E9865" t="s">
        <v>337</v>
      </c>
      <c r="F9865" t="s">
        <v>338</v>
      </c>
      <c r="G9865">
        <v>84.11</v>
      </c>
      <c r="H9865">
        <v>250827</v>
      </c>
      <c r="I9865">
        <v>4470</v>
      </c>
      <c r="J9865" t="s">
        <v>203</v>
      </c>
      <c r="K9865">
        <v>84.11</v>
      </c>
      <c r="L9865">
        <v>17.09</v>
      </c>
      <c r="M9865">
        <v>17526</v>
      </c>
      <c r="N9865" t="s">
        <v>141</v>
      </c>
      <c r="O9865">
        <v>250829</v>
      </c>
      <c r="P9865">
        <v>67.02</v>
      </c>
    </row>
    <row r="9866" spans="1:16" x14ac:dyDescent="0.25">
      <c r="A9866" t="s">
        <v>3296</v>
      </c>
      <c r="B9866" t="s">
        <v>2931</v>
      </c>
      <c r="C9866">
        <v>11113</v>
      </c>
      <c r="D9866" t="str">
        <f>"2125012957  "</f>
        <v xml:space="preserve">2125012957  </v>
      </c>
      <c r="E9866" t="s">
        <v>337</v>
      </c>
      <c r="F9866" t="s">
        <v>338</v>
      </c>
      <c r="G9866">
        <v>32.049999999999997</v>
      </c>
      <c r="H9866">
        <v>250827</v>
      </c>
      <c r="I9866">
        <v>4470</v>
      </c>
      <c r="J9866" t="s">
        <v>203</v>
      </c>
      <c r="K9866">
        <v>32.049999999999997</v>
      </c>
      <c r="L9866">
        <v>6.51</v>
      </c>
      <c r="M9866">
        <v>17523</v>
      </c>
      <c r="N9866" t="s">
        <v>138</v>
      </c>
      <c r="O9866">
        <v>250829</v>
      </c>
      <c r="P9866">
        <v>25.54</v>
      </c>
    </row>
    <row r="9867" spans="1:16" x14ac:dyDescent="0.25">
      <c r="A9867" t="s">
        <v>3296</v>
      </c>
      <c r="B9867" t="s">
        <v>2931</v>
      </c>
      <c r="C9867">
        <v>11114</v>
      </c>
      <c r="D9867" t="str">
        <f>"2125012959  "</f>
        <v xml:space="preserve">2125012959  </v>
      </c>
      <c r="E9867" t="s">
        <v>337</v>
      </c>
      <c r="F9867" t="s">
        <v>338</v>
      </c>
      <c r="G9867">
        <v>24.72</v>
      </c>
      <c r="H9867">
        <v>250827</v>
      </c>
      <c r="I9867">
        <v>4470</v>
      </c>
      <c r="J9867" t="s">
        <v>203</v>
      </c>
      <c r="K9867">
        <v>24.72</v>
      </c>
      <c r="L9867">
        <v>5.0199999999999996</v>
      </c>
      <c r="M9867">
        <v>17527</v>
      </c>
      <c r="N9867" t="s">
        <v>142</v>
      </c>
      <c r="O9867">
        <v>250829</v>
      </c>
      <c r="P9867">
        <v>19.7</v>
      </c>
    </row>
    <row r="9868" spans="1:16" x14ac:dyDescent="0.25">
      <c r="A9868" t="s">
        <v>3296</v>
      </c>
      <c r="B9868" t="s">
        <v>2931</v>
      </c>
      <c r="C9868">
        <v>11116</v>
      </c>
      <c r="D9868" t="str">
        <f>"2125012956  "</f>
        <v xml:space="preserve">2125012956  </v>
      </c>
      <c r="E9868" t="s">
        <v>337</v>
      </c>
      <c r="F9868" t="s">
        <v>338</v>
      </c>
      <c r="G9868">
        <v>29.19</v>
      </c>
      <c r="H9868">
        <v>250827</v>
      </c>
      <c r="I9868">
        <v>4470</v>
      </c>
      <c r="J9868" t="s">
        <v>203</v>
      </c>
      <c r="K9868">
        <v>29.19</v>
      </c>
      <c r="L9868">
        <v>5.93</v>
      </c>
      <c r="M9868">
        <v>17524</v>
      </c>
      <c r="N9868" t="s">
        <v>139</v>
      </c>
      <c r="O9868">
        <v>250829</v>
      </c>
      <c r="P9868">
        <v>23.26</v>
      </c>
    </row>
    <row r="9869" spans="1:16" x14ac:dyDescent="0.25">
      <c r="A9869" t="s">
        <v>3296</v>
      </c>
      <c r="B9869" t="s">
        <v>2931</v>
      </c>
      <c r="C9869">
        <v>13526</v>
      </c>
      <c r="D9869" t="str">
        <f>"2125015015  "</f>
        <v xml:space="preserve">2125015015  </v>
      </c>
      <c r="E9869" t="s">
        <v>337</v>
      </c>
      <c r="F9869" t="s">
        <v>338</v>
      </c>
      <c r="G9869">
        <v>34.369999999999997</v>
      </c>
      <c r="H9869">
        <v>250927</v>
      </c>
      <c r="I9869">
        <v>4470</v>
      </c>
      <c r="J9869" t="s">
        <v>203</v>
      </c>
      <c r="K9869">
        <v>34.369999999999997</v>
      </c>
      <c r="L9869">
        <v>6.98</v>
      </c>
      <c r="M9869">
        <v>17975</v>
      </c>
      <c r="N9869" t="s">
        <v>29</v>
      </c>
      <c r="O9869">
        <v>251010</v>
      </c>
      <c r="P9869">
        <v>27.39</v>
      </c>
    </row>
    <row r="9870" spans="1:16" x14ac:dyDescent="0.25">
      <c r="A9870" t="s">
        <v>3296</v>
      </c>
      <c r="B9870" t="s">
        <v>2931</v>
      </c>
      <c r="C9870">
        <v>13527</v>
      </c>
      <c r="D9870" t="str">
        <f>"2125015225  "</f>
        <v xml:space="preserve">2125015225  </v>
      </c>
      <c r="E9870" t="s">
        <v>337</v>
      </c>
      <c r="F9870" t="s">
        <v>338</v>
      </c>
      <c r="G9870">
        <v>18.32</v>
      </c>
      <c r="H9870">
        <v>250927</v>
      </c>
      <c r="I9870">
        <v>4470</v>
      </c>
      <c r="J9870" t="s">
        <v>203</v>
      </c>
      <c r="K9870">
        <v>54.97</v>
      </c>
      <c r="L9870">
        <v>3.72</v>
      </c>
      <c r="M9870">
        <v>17533</v>
      </c>
      <c r="N9870" t="s">
        <v>147</v>
      </c>
      <c r="O9870">
        <v>251010</v>
      </c>
      <c r="P9870">
        <v>14.6</v>
      </c>
    </row>
    <row r="9871" spans="1:16" x14ac:dyDescent="0.25">
      <c r="A9871" t="s">
        <v>3296</v>
      </c>
      <c r="B9871" t="s">
        <v>2931</v>
      </c>
      <c r="C9871">
        <v>13527</v>
      </c>
      <c r="D9871" t="str">
        <f>"2125015225  "</f>
        <v xml:space="preserve">2125015225  </v>
      </c>
      <c r="E9871" t="s">
        <v>337</v>
      </c>
      <c r="F9871" t="s">
        <v>338</v>
      </c>
      <c r="G9871">
        <v>18.32</v>
      </c>
      <c r="H9871">
        <v>250927</v>
      </c>
      <c r="I9871">
        <v>4470</v>
      </c>
      <c r="J9871" t="s">
        <v>203</v>
      </c>
      <c r="K9871">
        <v>54.97</v>
      </c>
      <c r="L9871">
        <v>3.72</v>
      </c>
      <c r="M9871">
        <v>17534</v>
      </c>
      <c r="N9871" t="s">
        <v>148</v>
      </c>
      <c r="O9871">
        <v>251010</v>
      </c>
      <c r="P9871">
        <v>14.6</v>
      </c>
    </row>
    <row r="9872" spans="1:16" x14ac:dyDescent="0.25">
      <c r="A9872" t="s">
        <v>3296</v>
      </c>
      <c r="B9872" t="s">
        <v>2931</v>
      </c>
      <c r="C9872">
        <v>13527</v>
      </c>
      <c r="D9872" t="str">
        <f>"2125015225  "</f>
        <v xml:space="preserve">2125015225  </v>
      </c>
      <c r="E9872" t="s">
        <v>337</v>
      </c>
      <c r="F9872" t="s">
        <v>338</v>
      </c>
      <c r="G9872">
        <v>18.329999999999998</v>
      </c>
      <c r="H9872">
        <v>250927</v>
      </c>
      <c r="I9872">
        <v>4470</v>
      </c>
      <c r="J9872" t="s">
        <v>203</v>
      </c>
      <c r="K9872">
        <v>54.97</v>
      </c>
      <c r="L9872">
        <v>3.72</v>
      </c>
      <c r="M9872">
        <v>17535</v>
      </c>
      <c r="N9872" t="s">
        <v>149</v>
      </c>
      <c r="O9872">
        <v>251010</v>
      </c>
      <c r="P9872">
        <v>14.61</v>
      </c>
    </row>
    <row r="9873" spans="1:16" x14ac:dyDescent="0.25">
      <c r="A9873" t="s">
        <v>3296</v>
      </c>
      <c r="B9873" t="s">
        <v>2931</v>
      </c>
      <c r="C9873">
        <v>13528</v>
      </c>
      <c r="D9873" t="str">
        <f>"2125015224  "</f>
        <v xml:space="preserve">2125015224  </v>
      </c>
      <c r="E9873" t="s">
        <v>337</v>
      </c>
      <c r="F9873" t="s">
        <v>338</v>
      </c>
      <c r="G9873">
        <v>17.91</v>
      </c>
      <c r="H9873">
        <v>250927</v>
      </c>
      <c r="I9873">
        <v>4470</v>
      </c>
      <c r="J9873" t="s">
        <v>203</v>
      </c>
      <c r="K9873">
        <v>35.83</v>
      </c>
      <c r="L9873">
        <v>3.64</v>
      </c>
      <c r="M9873">
        <v>17532</v>
      </c>
      <c r="N9873" t="s">
        <v>146</v>
      </c>
      <c r="O9873">
        <v>251010</v>
      </c>
      <c r="P9873">
        <v>14.27</v>
      </c>
    </row>
    <row r="9874" spans="1:16" x14ac:dyDescent="0.25">
      <c r="A9874" t="s">
        <v>3296</v>
      </c>
      <c r="B9874" t="s">
        <v>2931</v>
      </c>
      <c r="C9874">
        <v>13528</v>
      </c>
      <c r="D9874" t="str">
        <f>"2125015224  "</f>
        <v xml:space="preserve">2125015224  </v>
      </c>
      <c r="E9874" t="s">
        <v>337</v>
      </c>
      <c r="F9874" t="s">
        <v>338</v>
      </c>
      <c r="G9874">
        <v>17.920000000000002</v>
      </c>
      <c r="H9874">
        <v>250927</v>
      </c>
      <c r="I9874">
        <v>4470</v>
      </c>
      <c r="J9874" t="s">
        <v>203</v>
      </c>
      <c r="K9874">
        <v>35.83</v>
      </c>
      <c r="L9874">
        <v>3.64</v>
      </c>
      <c r="M9874">
        <v>17537</v>
      </c>
      <c r="N9874" t="s">
        <v>151</v>
      </c>
      <c r="O9874">
        <v>251010</v>
      </c>
      <c r="P9874">
        <v>14.28</v>
      </c>
    </row>
    <row r="9875" spans="1:16" x14ac:dyDescent="0.25">
      <c r="A9875" t="s">
        <v>3296</v>
      </c>
      <c r="B9875" t="s">
        <v>2931</v>
      </c>
      <c r="C9875">
        <v>13529</v>
      </c>
      <c r="D9875" t="str">
        <f>"2125015222  "</f>
        <v xml:space="preserve">2125015222  </v>
      </c>
      <c r="E9875" t="s">
        <v>337</v>
      </c>
      <c r="F9875" t="s">
        <v>338</v>
      </c>
      <c r="G9875">
        <v>23.27</v>
      </c>
      <c r="H9875">
        <v>250927</v>
      </c>
      <c r="I9875">
        <v>4470</v>
      </c>
      <c r="J9875" t="s">
        <v>203</v>
      </c>
      <c r="K9875">
        <v>23.27</v>
      </c>
      <c r="L9875">
        <v>4.7300000000000004</v>
      </c>
      <c r="M9875">
        <v>17529</v>
      </c>
      <c r="N9875" t="s">
        <v>143</v>
      </c>
      <c r="O9875">
        <v>251010</v>
      </c>
      <c r="P9875">
        <v>18.54</v>
      </c>
    </row>
    <row r="9876" spans="1:16" x14ac:dyDescent="0.25">
      <c r="A9876" t="s">
        <v>3296</v>
      </c>
      <c r="B9876" t="s">
        <v>2931</v>
      </c>
      <c r="C9876">
        <v>13530</v>
      </c>
      <c r="D9876" t="str">
        <f>"2125015221  "</f>
        <v xml:space="preserve">2125015221  </v>
      </c>
      <c r="E9876" t="s">
        <v>337</v>
      </c>
      <c r="F9876" t="s">
        <v>338</v>
      </c>
      <c r="G9876">
        <v>15.21</v>
      </c>
      <c r="H9876">
        <v>250927</v>
      </c>
      <c r="I9876">
        <v>4470</v>
      </c>
      <c r="J9876" t="s">
        <v>203</v>
      </c>
      <c r="K9876">
        <v>30.46</v>
      </c>
      <c r="L9876">
        <v>3.09</v>
      </c>
      <c r="M9876">
        <v>17525</v>
      </c>
      <c r="N9876" t="s">
        <v>140</v>
      </c>
      <c r="O9876">
        <v>251010</v>
      </c>
      <c r="P9876">
        <v>12.12</v>
      </c>
    </row>
    <row r="9877" spans="1:16" x14ac:dyDescent="0.25">
      <c r="A9877" t="s">
        <v>3296</v>
      </c>
      <c r="B9877" t="s">
        <v>2931</v>
      </c>
      <c r="C9877">
        <v>13530</v>
      </c>
      <c r="D9877" t="str">
        <f>"2125015221  "</f>
        <v xml:space="preserve">2125015221  </v>
      </c>
      <c r="E9877" t="s">
        <v>337</v>
      </c>
      <c r="F9877" t="s">
        <v>338</v>
      </c>
      <c r="G9877">
        <v>15.25</v>
      </c>
      <c r="H9877">
        <v>250927</v>
      </c>
      <c r="I9877">
        <v>4470</v>
      </c>
      <c r="J9877" t="s">
        <v>203</v>
      </c>
      <c r="K9877">
        <v>30.46</v>
      </c>
      <c r="L9877">
        <v>3.1</v>
      </c>
      <c r="M9877">
        <v>17529</v>
      </c>
      <c r="N9877" t="s">
        <v>143</v>
      </c>
      <c r="O9877">
        <v>251010</v>
      </c>
      <c r="P9877">
        <v>12.15</v>
      </c>
    </row>
    <row r="9878" spans="1:16" x14ac:dyDescent="0.25">
      <c r="A9878" t="s">
        <v>3296</v>
      </c>
      <c r="B9878" t="s">
        <v>2931</v>
      </c>
      <c r="C9878">
        <v>13531</v>
      </c>
      <c r="D9878" t="str">
        <f>"2125015208  "</f>
        <v xml:space="preserve">2125015208  </v>
      </c>
      <c r="E9878" t="s">
        <v>337</v>
      </c>
      <c r="F9878" t="s">
        <v>338</v>
      </c>
      <c r="G9878">
        <v>118.42</v>
      </c>
      <c r="H9878">
        <v>250927</v>
      </c>
      <c r="I9878">
        <v>4470</v>
      </c>
      <c r="J9878" t="s">
        <v>203</v>
      </c>
      <c r="K9878">
        <v>118.42</v>
      </c>
      <c r="L9878">
        <v>24.06</v>
      </c>
      <c r="M9878">
        <v>17972</v>
      </c>
      <c r="N9878" t="s">
        <v>28</v>
      </c>
      <c r="O9878">
        <v>251010</v>
      </c>
      <c r="P9878">
        <v>94.36</v>
      </c>
    </row>
    <row r="9879" spans="1:16" x14ac:dyDescent="0.25">
      <c r="A9879" t="s">
        <v>3296</v>
      </c>
      <c r="B9879" t="s">
        <v>2931</v>
      </c>
      <c r="C9879">
        <v>13538</v>
      </c>
      <c r="D9879" t="str">
        <f>"2125017208  "</f>
        <v xml:space="preserve">2125017208  </v>
      </c>
      <c r="E9879" t="s">
        <v>337</v>
      </c>
      <c r="F9879" t="s">
        <v>338</v>
      </c>
      <c r="G9879">
        <v>199.55</v>
      </c>
      <c r="H9879">
        <v>250930</v>
      </c>
      <c r="I9879">
        <v>4470</v>
      </c>
      <c r="J9879" t="s">
        <v>203</v>
      </c>
      <c r="K9879">
        <v>199.55</v>
      </c>
      <c r="L9879">
        <v>40.549999999999997</v>
      </c>
      <c r="M9879">
        <v>17974</v>
      </c>
      <c r="N9879" t="s">
        <v>153</v>
      </c>
      <c r="O9879">
        <v>251010</v>
      </c>
      <c r="P9879">
        <v>159</v>
      </c>
    </row>
    <row r="9880" spans="1:16" x14ac:dyDescent="0.25">
      <c r="A9880" t="s">
        <v>3296</v>
      </c>
      <c r="B9880" t="s">
        <v>2931</v>
      </c>
      <c r="C9880">
        <v>13839</v>
      </c>
      <c r="D9880" t="str">
        <f>"2125015207  "</f>
        <v xml:space="preserve">2125015207  </v>
      </c>
      <c r="E9880" t="s">
        <v>337</v>
      </c>
      <c r="F9880" t="s">
        <v>338</v>
      </c>
      <c r="G9880">
        <v>4.66</v>
      </c>
      <c r="H9880">
        <v>251001</v>
      </c>
      <c r="I9880">
        <v>4470</v>
      </c>
      <c r="J9880" t="s">
        <v>203</v>
      </c>
      <c r="K9880">
        <v>42.32</v>
      </c>
      <c r="L9880">
        <v>0.95</v>
      </c>
      <c r="M9880">
        <v>13561</v>
      </c>
      <c r="N9880" t="s">
        <v>241</v>
      </c>
      <c r="O9880">
        <v>251020</v>
      </c>
      <c r="P9880">
        <v>3.71</v>
      </c>
    </row>
    <row r="9881" spans="1:16" x14ac:dyDescent="0.25">
      <c r="A9881" t="s">
        <v>3296</v>
      </c>
      <c r="B9881" t="s">
        <v>2931</v>
      </c>
      <c r="C9881">
        <v>13839</v>
      </c>
      <c r="D9881" t="str">
        <f>"2125015207  "</f>
        <v xml:space="preserve">2125015207  </v>
      </c>
      <c r="E9881" t="s">
        <v>337</v>
      </c>
      <c r="F9881" t="s">
        <v>338</v>
      </c>
      <c r="G9881">
        <v>37.659999999999997</v>
      </c>
      <c r="H9881">
        <v>251001</v>
      </c>
      <c r="I9881">
        <v>4470</v>
      </c>
      <c r="J9881" t="s">
        <v>203</v>
      </c>
      <c r="K9881">
        <v>42.32</v>
      </c>
      <c r="L9881">
        <v>7.65</v>
      </c>
      <c r="M9881">
        <v>17971</v>
      </c>
      <c r="N9881" t="s">
        <v>27</v>
      </c>
      <c r="O9881">
        <v>251020</v>
      </c>
      <c r="P9881">
        <v>30.01</v>
      </c>
    </row>
    <row r="9882" spans="1:16" x14ac:dyDescent="0.25">
      <c r="A9882" t="s">
        <v>3296</v>
      </c>
      <c r="B9882" t="s">
        <v>2931</v>
      </c>
      <c r="C9882">
        <v>14803</v>
      </c>
      <c r="D9882" t="str">
        <f>"2125020038  "</f>
        <v xml:space="preserve">2125020038  </v>
      </c>
      <c r="E9882" t="s">
        <v>337</v>
      </c>
      <c r="F9882" t="s">
        <v>338</v>
      </c>
      <c r="G9882">
        <v>199.55</v>
      </c>
      <c r="H9882">
        <v>251104</v>
      </c>
      <c r="I9882">
        <v>4470</v>
      </c>
      <c r="J9882" t="s">
        <v>203</v>
      </c>
      <c r="K9882">
        <v>199.55</v>
      </c>
      <c r="L9882">
        <v>40.549999999999997</v>
      </c>
      <c r="M9882">
        <v>13601</v>
      </c>
      <c r="N9882" t="s">
        <v>115</v>
      </c>
      <c r="O9882">
        <v>251106</v>
      </c>
      <c r="P9882">
        <v>159</v>
      </c>
    </row>
    <row r="9883" spans="1:16" x14ac:dyDescent="0.25">
      <c r="A9883" t="s">
        <v>3296</v>
      </c>
      <c r="B9883" t="s">
        <v>2931</v>
      </c>
      <c r="C9883">
        <v>15435</v>
      </c>
      <c r="D9883" t="str">
        <f>"2125018331  "</f>
        <v xml:space="preserve">2125018331  </v>
      </c>
      <c r="E9883" t="s">
        <v>337</v>
      </c>
      <c r="F9883" t="s">
        <v>338</v>
      </c>
      <c r="G9883">
        <v>85.13</v>
      </c>
      <c r="H9883">
        <v>251101</v>
      </c>
      <c r="I9883">
        <v>4470</v>
      </c>
      <c r="J9883" t="s">
        <v>203</v>
      </c>
      <c r="K9883">
        <v>85.13</v>
      </c>
      <c r="L9883">
        <v>17.3</v>
      </c>
      <c r="M9883">
        <v>17530</v>
      </c>
      <c r="N9883" t="s">
        <v>144</v>
      </c>
      <c r="O9883">
        <v>251120</v>
      </c>
      <c r="P9883">
        <v>67.83</v>
      </c>
    </row>
    <row r="9884" spans="1:16" x14ac:dyDescent="0.25">
      <c r="A9884" t="s">
        <v>3296</v>
      </c>
      <c r="B9884" t="s">
        <v>2931</v>
      </c>
      <c r="C9884">
        <v>15469</v>
      </c>
      <c r="D9884" t="str">
        <f>"2125020037  "</f>
        <v xml:space="preserve">2125020037  </v>
      </c>
      <c r="E9884" t="s">
        <v>337</v>
      </c>
      <c r="F9884" t="s">
        <v>338</v>
      </c>
      <c r="G9884">
        <v>199.55</v>
      </c>
      <c r="H9884">
        <v>251104</v>
      </c>
      <c r="I9884">
        <v>4470</v>
      </c>
      <c r="J9884" t="s">
        <v>203</v>
      </c>
      <c r="K9884">
        <v>199.55</v>
      </c>
      <c r="L9884">
        <v>40.549999999999997</v>
      </c>
      <c r="M9884">
        <v>17972</v>
      </c>
      <c r="N9884" t="s">
        <v>28</v>
      </c>
      <c r="O9884">
        <v>251121</v>
      </c>
      <c r="P9884">
        <v>159</v>
      </c>
    </row>
    <row r="9885" spans="1:16" x14ac:dyDescent="0.25">
      <c r="A9885" t="s">
        <v>3296</v>
      </c>
      <c r="B9885" t="s">
        <v>2931</v>
      </c>
      <c r="C9885">
        <v>15470</v>
      </c>
      <c r="D9885" t="str">
        <f>"2125020025  "</f>
        <v xml:space="preserve">2125020025  </v>
      </c>
      <c r="E9885" t="s">
        <v>337</v>
      </c>
      <c r="F9885" t="s">
        <v>338</v>
      </c>
      <c r="G9885">
        <v>21.96</v>
      </c>
      <c r="H9885">
        <v>251104</v>
      </c>
      <c r="I9885">
        <v>4470</v>
      </c>
      <c r="J9885" t="s">
        <v>203</v>
      </c>
      <c r="K9885">
        <v>199.55</v>
      </c>
      <c r="L9885">
        <v>4.46</v>
      </c>
      <c r="M9885">
        <v>13501</v>
      </c>
      <c r="N9885" t="s">
        <v>66</v>
      </c>
      <c r="O9885">
        <v>251121</v>
      </c>
      <c r="P9885">
        <v>17.5</v>
      </c>
    </row>
    <row r="9886" spans="1:16" x14ac:dyDescent="0.25">
      <c r="A9886" t="s">
        <v>3296</v>
      </c>
      <c r="B9886" t="s">
        <v>2931</v>
      </c>
      <c r="C9886">
        <v>15470</v>
      </c>
      <c r="D9886" t="str">
        <f>"2125020025  "</f>
        <v xml:space="preserve">2125020025  </v>
      </c>
      <c r="E9886" t="s">
        <v>337</v>
      </c>
      <c r="F9886" t="s">
        <v>338</v>
      </c>
      <c r="G9886">
        <v>177.59</v>
      </c>
      <c r="H9886">
        <v>251104</v>
      </c>
      <c r="I9886">
        <v>4470</v>
      </c>
      <c r="J9886" t="s">
        <v>203</v>
      </c>
      <c r="K9886">
        <v>199.55</v>
      </c>
      <c r="L9886">
        <v>36.08</v>
      </c>
      <c r="M9886">
        <v>17538</v>
      </c>
      <c r="N9886" t="s">
        <v>129</v>
      </c>
      <c r="O9886">
        <v>251121</v>
      </c>
      <c r="P9886">
        <v>141.51</v>
      </c>
    </row>
    <row r="9887" spans="1:16" x14ac:dyDescent="0.25">
      <c r="A9887" t="s">
        <v>3296</v>
      </c>
      <c r="B9887" t="s">
        <v>2931</v>
      </c>
      <c r="C9887">
        <v>15471</v>
      </c>
      <c r="D9887" t="str">
        <f>"2125020026  "</f>
        <v xml:space="preserve">2125020026  </v>
      </c>
      <c r="E9887" t="s">
        <v>337</v>
      </c>
      <c r="F9887" t="s">
        <v>338</v>
      </c>
      <c r="G9887">
        <v>199.55</v>
      </c>
      <c r="H9887">
        <v>251104</v>
      </c>
      <c r="I9887">
        <v>4470</v>
      </c>
      <c r="J9887" t="s">
        <v>203</v>
      </c>
      <c r="K9887">
        <v>199.55</v>
      </c>
      <c r="L9887">
        <v>40.549999999999997</v>
      </c>
      <c r="M9887">
        <v>17972</v>
      </c>
      <c r="N9887" t="s">
        <v>28</v>
      </c>
      <c r="O9887">
        <v>251121</v>
      </c>
      <c r="P9887">
        <v>159</v>
      </c>
    </row>
    <row r="9888" spans="1:16" x14ac:dyDescent="0.25">
      <c r="A9888" t="s">
        <v>3296</v>
      </c>
      <c r="B9888" t="s">
        <v>2931</v>
      </c>
      <c r="C9888">
        <v>15472</v>
      </c>
      <c r="D9888" t="str">
        <f>"2125020034  "</f>
        <v xml:space="preserve">2125020034  </v>
      </c>
      <c r="E9888" t="s">
        <v>337</v>
      </c>
      <c r="F9888" t="s">
        <v>338</v>
      </c>
      <c r="G9888">
        <v>99.78</v>
      </c>
      <c r="H9888">
        <v>251104</v>
      </c>
      <c r="I9888">
        <v>4470</v>
      </c>
      <c r="J9888" t="s">
        <v>203</v>
      </c>
      <c r="K9888">
        <v>199.55</v>
      </c>
      <c r="L9888">
        <v>20.27</v>
      </c>
      <c r="M9888">
        <v>17525</v>
      </c>
      <c r="N9888" t="s">
        <v>140</v>
      </c>
      <c r="O9888">
        <v>251121</v>
      </c>
      <c r="P9888">
        <v>79.510000000000005</v>
      </c>
    </row>
    <row r="9889" spans="1:16" x14ac:dyDescent="0.25">
      <c r="A9889" t="s">
        <v>3296</v>
      </c>
      <c r="B9889" t="s">
        <v>2931</v>
      </c>
      <c r="C9889">
        <v>15472</v>
      </c>
      <c r="D9889" t="str">
        <f>"2125020034  "</f>
        <v xml:space="preserve">2125020034  </v>
      </c>
      <c r="E9889" t="s">
        <v>337</v>
      </c>
      <c r="F9889" t="s">
        <v>338</v>
      </c>
      <c r="G9889">
        <v>99.77</v>
      </c>
      <c r="H9889">
        <v>251104</v>
      </c>
      <c r="I9889">
        <v>4470</v>
      </c>
      <c r="J9889" t="s">
        <v>203</v>
      </c>
      <c r="K9889">
        <v>199.55</v>
      </c>
      <c r="L9889">
        <v>20.27</v>
      </c>
      <c r="M9889">
        <v>17529</v>
      </c>
      <c r="N9889" t="s">
        <v>143</v>
      </c>
      <c r="O9889">
        <v>251121</v>
      </c>
      <c r="P9889">
        <v>79.5</v>
      </c>
    </row>
    <row r="9890" spans="1:16" x14ac:dyDescent="0.25">
      <c r="A9890" t="s">
        <v>3296</v>
      </c>
      <c r="B9890" t="s">
        <v>2931</v>
      </c>
      <c r="C9890">
        <v>15536</v>
      </c>
      <c r="D9890" t="str">
        <f>"2125020033  "</f>
        <v xml:space="preserve">2125020033  </v>
      </c>
      <c r="E9890" t="s">
        <v>337</v>
      </c>
      <c r="F9890" t="s">
        <v>338</v>
      </c>
      <c r="G9890">
        <v>99.78</v>
      </c>
      <c r="H9890">
        <v>251104</v>
      </c>
      <c r="I9890">
        <v>4470</v>
      </c>
      <c r="J9890" t="s">
        <v>203</v>
      </c>
      <c r="K9890">
        <v>199.55</v>
      </c>
      <c r="L9890">
        <v>20.27</v>
      </c>
      <c r="M9890">
        <v>17525</v>
      </c>
      <c r="N9890" t="s">
        <v>140</v>
      </c>
      <c r="O9890">
        <v>251121</v>
      </c>
      <c r="P9890">
        <v>79.510000000000005</v>
      </c>
    </row>
    <row r="9891" spans="1:16" x14ac:dyDescent="0.25">
      <c r="A9891" t="s">
        <v>3296</v>
      </c>
      <c r="B9891" t="s">
        <v>2931</v>
      </c>
      <c r="C9891">
        <v>15536</v>
      </c>
      <c r="D9891" t="str">
        <f>"2125020033  "</f>
        <v xml:space="preserve">2125020033  </v>
      </c>
      <c r="E9891" t="s">
        <v>337</v>
      </c>
      <c r="F9891" t="s">
        <v>338</v>
      </c>
      <c r="G9891">
        <v>99.77</v>
      </c>
      <c r="H9891">
        <v>251104</v>
      </c>
      <c r="I9891">
        <v>4470</v>
      </c>
      <c r="J9891" t="s">
        <v>203</v>
      </c>
      <c r="K9891">
        <v>199.55</v>
      </c>
      <c r="L9891">
        <v>20.27</v>
      </c>
      <c r="M9891">
        <v>17529</v>
      </c>
      <c r="N9891" t="s">
        <v>143</v>
      </c>
      <c r="O9891">
        <v>251121</v>
      </c>
      <c r="P9891">
        <v>79.5</v>
      </c>
    </row>
    <row r="9892" spans="1:16" x14ac:dyDescent="0.25">
      <c r="A9892" t="s">
        <v>3296</v>
      </c>
      <c r="B9892" t="s">
        <v>2931</v>
      </c>
      <c r="C9892">
        <v>15985</v>
      </c>
      <c r="D9892" t="str">
        <f>"2125020760  "</f>
        <v xml:space="preserve">2125020760  </v>
      </c>
      <c r="E9892" t="s">
        <v>337</v>
      </c>
      <c r="F9892" t="s">
        <v>338</v>
      </c>
      <c r="G9892">
        <v>118.46</v>
      </c>
      <c r="H9892">
        <v>251126</v>
      </c>
      <c r="I9892">
        <v>4470</v>
      </c>
      <c r="J9892" t="s">
        <v>203</v>
      </c>
      <c r="K9892">
        <v>118.46</v>
      </c>
      <c r="L9892">
        <v>24.07</v>
      </c>
      <c r="M9892">
        <v>13601</v>
      </c>
      <c r="N9892" t="s">
        <v>115</v>
      </c>
      <c r="O9892">
        <v>251201</v>
      </c>
      <c r="P9892">
        <v>94.39</v>
      </c>
    </row>
    <row r="9893" spans="1:16" x14ac:dyDescent="0.25">
      <c r="A9893" t="s">
        <v>3296</v>
      </c>
      <c r="B9893" t="s">
        <v>2931</v>
      </c>
      <c r="C9893">
        <v>16740</v>
      </c>
      <c r="D9893" t="str">
        <f>"2125020906  "</f>
        <v xml:space="preserve">2125020906  </v>
      </c>
      <c r="E9893" t="s">
        <v>337</v>
      </c>
      <c r="F9893" t="s">
        <v>338</v>
      </c>
      <c r="G9893">
        <v>82.47</v>
      </c>
      <c r="H9893">
        <v>251126</v>
      </c>
      <c r="I9893">
        <v>4470</v>
      </c>
      <c r="J9893" t="s">
        <v>203</v>
      </c>
      <c r="K9893">
        <v>82.47</v>
      </c>
      <c r="L9893">
        <v>16.760000000000002</v>
      </c>
      <c r="M9893">
        <v>17523</v>
      </c>
      <c r="N9893" t="s">
        <v>138</v>
      </c>
      <c r="O9893">
        <v>251211</v>
      </c>
      <c r="P9893">
        <v>65.709999999999994</v>
      </c>
    </row>
    <row r="9894" spans="1:16" x14ac:dyDescent="0.25">
      <c r="A9894" t="s">
        <v>3296</v>
      </c>
      <c r="B9894" t="s">
        <v>2931</v>
      </c>
      <c r="C9894">
        <v>16741</v>
      </c>
      <c r="D9894" t="str">
        <f>"2125020908  "</f>
        <v xml:space="preserve">2125020908  </v>
      </c>
      <c r="E9894" t="s">
        <v>337</v>
      </c>
      <c r="F9894" t="s">
        <v>338</v>
      </c>
      <c r="G9894">
        <v>46.85</v>
      </c>
      <c r="H9894">
        <v>251126</v>
      </c>
      <c r="I9894">
        <v>4470</v>
      </c>
      <c r="J9894" t="s">
        <v>203</v>
      </c>
      <c r="K9894">
        <v>46.85</v>
      </c>
      <c r="L9894">
        <v>9.52</v>
      </c>
      <c r="M9894">
        <v>17527</v>
      </c>
      <c r="N9894" t="s">
        <v>142</v>
      </c>
      <c r="O9894">
        <v>251211</v>
      </c>
      <c r="P9894">
        <v>37.33</v>
      </c>
    </row>
    <row r="9895" spans="1:16" x14ac:dyDescent="0.25">
      <c r="A9895" t="s">
        <v>3296</v>
      </c>
      <c r="B9895" t="s">
        <v>2931</v>
      </c>
      <c r="C9895">
        <v>16742</v>
      </c>
      <c r="D9895" t="str">
        <f>"2125020907  "</f>
        <v xml:space="preserve">2125020907  </v>
      </c>
      <c r="E9895" t="s">
        <v>337</v>
      </c>
      <c r="F9895" t="s">
        <v>338</v>
      </c>
      <c r="G9895">
        <v>125.65</v>
      </c>
      <c r="H9895">
        <v>251126</v>
      </c>
      <c r="I9895">
        <v>4470</v>
      </c>
      <c r="J9895" t="s">
        <v>203</v>
      </c>
      <c r="K9895">
        <v>125.65</v>
      </c>
      <c r="L9895">
        <v>25.53</v>
      </c>
      <c r="M9895">
        <v>17526</v>
      </c>
      <c r="N9895" t="s">
        <v>141</v>
      </c>
      <c r="O9895">
        <v>251211</v>
      </c>
      <c r="P9895">
        <v>100.12</v>
      </c>
    </row>
    <row r="9896" spans="1:16" x14ac:dyDescent="0.25">
      <c r="A9896" t="s">
        <v>3296</v>
      </c>
      <c r="B9896" t="s">
        <v>2931</v>
      </c>
      <c r="C9896">
        <v>16744</v>
      </c>
      <c r="D9896" t="str">
        <f>"2125020904  "</f>
        <v xml:space="preserve">2125020904  </v>
      </c>
      <c r="E9896" t="s">
        <v>337</v>
      </c>
      <c r="F9896" t="s">
        <v>338</v>
      </c>
      <c r="G9896">
        <v>131.5</v>
      </c>
      <c r="H9896">
        <v>251126</v>
      </c>
      <c r="I9896">
        <v>4470</v>
      </c>
      <c r="J9896" t="s">
        <v>203</v>
      </c>
      <c r="K9896">
        <v>131.5</v>
      </c>
      <c r="L9896">
        <v>26.72</v>
      </c>
      <c r="M9896">
        <v>17533</v>
      </c>
      <c r="N9896" t="s">
        <v>147</v>
      </c>
      <c r="O9896">
        <v>251211</v>
      </c>
      <c r="P9896">
        <v>104.78</v>
      </c>
    </row>
    <row r="9897" spans="1:16" x14ac:dyDescent="0.25">
      <c r="A9897" t="s">
        <v>3296</v>
      </c>
      <c r="B9897" t="s">
        <v>2931</v>
      </c>
      <c r="C9897">
        <v>16746</v>
      </c>
      <c r="D9897" t="str">
        <f>"2125020883  "</f>
        <v xml:space="preserve">2125020883  </v>
      </c>
      <c r="E9897" t="s">
        <v>337</v>
      </c>
      <c r="F9897" t="s">
        <v>338</v>
      </c>
      <c r="G9897">
        <v>69.5</v>
      </c>
      <c r="H9897">
        <v>251126</v>
      </c>
      <c r="I9897">
        <v>4470</v>
      </c>
      <c r="J9897" t="s">
        <v>203</v>
      </c>
      <c r="K9897">
        <v>69.5</v>
      </c>
      <c r="L9897">
        <v>14.12</v>
      </c>
      <c r="M9897">
        <v>17521</v>
      </c>
      <c r="N9897" t="s">
        <v>136</v>
      </c>
      <c r="O9897">
        <v>251211</v>
      </c>
      <c r="P9897">
        <v>55.38</v>
      </c>
    </row>
    <row r="9898" spans="1:16" x14ac:dyDescent="0.25">
      <c r="A9898" t="s">
        <v>3296</v>
      </c>
      <c r="B9898" t="s">
        <v>2931</v>
      </c>
      <c r="C9898">
        <v>16749</v>
      </c>
      <c r="D9898" t="str">
        <f>"2125020905  "</f>
        <v xml:space="preserve">2125020905  </v>
      </c>
      <c r="E9898" t="s">
        <v>337</v>
      </c>
      <c r="F9898" t="s">
        <v>338</v>
      </c>
      <c r="G9898">
        <v>28.07</v>
      </c>
      <c r="H9898">
        <v>251126</v>
      </c>
      <c r="I9898">
        <v>4470</v>
      </c>
      <c r="J9898" t="s">
        <v>203</v>
      </c>
      <c r="K9898">
        <v>28.07</v>
      </c>
      <c r="L9898">
        <v>5.7</v>
      </c>
      <c r="M9898">
        <v>17524</v>
      </c>
      <c r="N9898" t="s">
        <v>139</v>
      </c>
      <c r="O9898">
        <v>251211</v>
      </c>
      <c r="P9898">
        <v>22.37</v>
      </c>
    </row>
    <row r="9899" spans="1:16" x14ac:dyDescent="0.25">
      <c r="A9899" t="s">
        <v>3296</v>
      </c>
      <c r="B9899" t="s">
        <v>2931</v>
      </c>
      <c r="C9899">
        <v>18281</v>
      </c>
      <c r="D9899" t="str">
        <f>"2125023153  "</f>
        <v xml:space="preserve">2125023153  </v>
      </c>
      <c r="E9899" t="s">
        <v>337</v>
      </c>
      <c r="F9899" t="s">
        <v>338</v>
      </c>
      <c r="G9899">
        <v>41.78</v>
      </c>
      <c r="H9899">
        <v>251229</v>
      </c>
      <c r="I9899">
        <v>4470</v>
      </c>
      <c r="J9899" t="s">
        <v>203</v>
      </c>
      <c r="K9899">
        <v>41.78</v>
      </c>
      <c r="L9899">
        <v>8.49</v>
      </c>
      <c r="M9899">
        <v>13601</v>
      </c>
      <c r="N9899" t="s">
        <v>115</v>
      </c>
      <c r="O9899">
        <v>260112</v>
      </c>
      <c r="P9899">
        <v>33.29</v>
      </c>
    </row>
    <row r="9900" spans="1:16" x14ac:dyDescent="0.25">
      <c r="A9900" t="s">
        <v>3296</v>
      </c>
      <c r="B9900" t="s">
        <v>2931</v>
      </c>
      <c r="C9900">
        <v>5146</v>
      </c>
      <c r="D9900" t="str">
        <f>"2125000374  "</f>
        <v xml:space="preserve">2125000374  </v>
      </c>
      <c r="E9900" t="s">
        <v>337</v>
      </c>
      <c r="F9900" t="s">
        <v>338</v>
      </c>
      <c r="G9900">
        <v>199.55</v>
      </c>
      <c r="H9900">
        <v>250331</v>
      </c>
      <c r="I9900">
        <v>4500</v>
      </c>
      <c r="J9900" t="s">
        <v>312</v>
      </c>
      <c r="K9900">
        <v>199.55</v>
      </c>
      <c r="L9900">
        <v>40.549999999999997</v>
      </c>
      <c r="M9900">
        <v>11301</v>
      </c>
      <c r="N9900" t="s">
        <v>92</v>
      </c>
      <c r="O9900">
        <v>250417</v>
      </c>
      <c r="P9900">
        <v>159</v>
      </c>
    </row>
    <row r="9901" spans="1:16" x14ac:dyDescent="0.25">
      <c r="A9901" t="s">
        <v>3296</v>
      </c>
      <c r="B9901" t="s">
        <v>2931</v>
      </c>
      <c r="C9901">
        <v>10616</v>
      </c>
      <c r="D9901" t="str">
        <f>"2125012017  "</f>
        <v xml:space="preserve">2125012017  </v>
      </c>
      <c r="E9901" t="s">
        <v>337</v>
      </c>
      <c r="F9901" t="s">
        <v>338</v>
      </c>
      <c r="G9901">
        <v>199.55</v>
      </c>
      <c r="H9901">
        <v>250805</v>
      </c>
      <c r="I9901">
        <v>4580</v>
      </c>
      <c r="J9901" t="s">
        <v>126</v>
      </c>
      <c r="K9901">
        <v>199.55</v>
      </c>
      <c r="L9901">
        <v>40.549999999999997</v>
      </c>
      <c r="M9901">
        <v>17532</v>
      </c>
      <c r="N9901" t="s">
        <v>146</v>
      </c>
      <c r="O9901">
        <v>250820</v>
      </c>
      <c r="P9901">
        <v>159</v>
      </c>
    </row>
    <row r="9902" spans="1:16" x14ac:dyDescent="0.25">
      <c r="A9902" t="s">
        <v>3296</v>
      </c>
      <c r="B9902" t="s">
        <v>2931</v>
      </c>
      <c r="C9902">
        <v>13852</v>
      </c>
      <c r="D9902" t="str">
        <f>"2125017175  "</f>
        <v xml:space="preserve">2125017175  </v>
      </c>
      <c r="E9902" t="s">
        <v>337</v>
      </c>
      <c r="F9902" t="s">
        <v>338</v>
      </c>
      <c r="G9902">
        <v>199.55</v>
      </c>
      <c r="H9902">
        <v>251007</v>
      </c>
      <c r="I9902">
        <v>4580</v>
      </c>
      <c r="J9902" t="s">
        <v>126</v>
      </c>
      <c r="K9902">
        <v>199.55</v>
      </c>
      <c r="L9902">
        <v>40.549999999999997</v>
      </c>
      <c r="M9902">
        <v>17522</v>
      </c>
      <c r="N9902" t="s">
        <v>137</v>
      </c>
      <c r="O9902">
        <v>251020</v>
      </c>
      <c r="P9902">
        <v>159</v>
      </c>
    </row>
    <row r="9903" spans="1:16" x14ac:dyDescent="0.25">
      <c r="A9903" t="s">
        <v>3296</v>
      </c>
      <c r="B9903" t="s">
        <v>2931</v>
      </c>
      <c r="C9903">
        <v>2959</v>
      </c>
      <c r="D9903" t="str">
        <f>"2124028545  "</f>
        <v xml:space="preserve">2124028545  </v>
      </c>
      <c r="E9903" t="s">
        <v>337</v>
      </c>
      <c r="F9903" t="s">
        <v>338</v>
      </c>
      <c r="G9903">
        <v>32.93</v>
      </c>
      <c r="H9903">
        <v>250227</v>
      </c>
      <c r="I9903">
        <v>4841</v>
      </c>
      <c r="J9903" t="s">
        <v>9</v>
      </c>
      <c r="K9903">
        <v>32.93</v>
      </c>
      <c r="L9903">
        <v>6.69</v>
      </c>
      <c r="M9903">
        <v>13801</v>
      </c>
      <c r="N9903" t="s">
        <v>33</v>
      </c>
      <c r="O9903">
        <v>250313</v>
      </c>
      <c r="P9903">
        <v>26.24</v>
      </c>
    </row>
    <row r="9904" spans="1:16" x14ac:dyDescent="0.25">
      <c r="A9904" t="s">
        <v>3296</v>
      </c>
      <c r="B9904" t="s">
        <v>2931</v>
      </c>
      <c r="C9904">
        <v>4990</v>
      </c>
      <c r="D9904" t="str">
        <f>"2124032230  "</f>
        <v xml:space="preserve">2124032230  </v>
      </c>
      <c r="E9904" t="s">
        <v>337</v>
      </c>
      <c r="F9904" t="s">
        <v>338</v>
      </c>
      <c r="G9904">
        <v>13.91</v>
      </c>
      <c r="H9904">
        <v>250328</v>
      </c>
      <c r="I9904">
        <v>4841</v>
      </c>
      <c r="J9904" t="s">
        <v>9</v>
      </c>
      <c r="K9904">
        <v>13.91</v>
      </c>
      <c r="L9904">
        <v>2.83</v>
      </c>
      <c r="M9904">
        <v>13802</v>
      </c>
      <c r="N9904" t="s">
        <v>34</v>
      </c>
      <c r="O9904">
        <v>250416</v>
      </c>
      <c r="P9904">
        <v>11.08</v>
      </c>
    </row>
    <row r="9905" spans="1:16" x14ac:dyDescent="0.25">
      <c r="A9905" t="s">
        <v>3296</v>
      </c>
      <c r="B9905" t="s">
        <v>2931</v>
      </c>
      <c r="C9905">
        <v>4997</v>
      </c>
      <c r="D9905" t="str">
        <f>"2124031285  "</f>
        <v xml:space="preserve">2124031285  </v>
      </c>
      <c r="E9905" t="s">
        <v>337</v>
      </c>
      <c r="F9905" t="s">
        <v>338</v>
      </c>
      <c r="G9905">
        <v>15.1</v>
      </c>
      <c r="H9905">
        <v>250328</v>
      </c>
      <c r="I9905">
        <v>4841</v>
      </c>
      <c r="J9905" t="s">
        <v>9</v>
      </c>
      <c r="K9905">
        <v>46.46</v>
      </c>
      <c r="L9905">
        <v>3.07</v>
      </c>
      <c r="M9905">
        <v>16121</v>
      </c>
      <c r="N9905" t="s">
        <v>127</v>
      </c>
      <c r="O9905">
        <v>250416</v>
      </c>
      <c r="P9905">
        <v>12.03</v>
      </c>
    </row>
    <row r="9906" spans="1:16" x14ac:dyDescent="0.25">
      <c r="A9906" t="s">
        <v>3296</v>
      </c>
      <c r="B9906" t="s">
        <v>2931</v>
      </c>
      <c r="C9906">
        <v>4997</v>
      </c>
      <c r="D9906" t="str">
        <f>"2124031285  "</f>
        <v xml:space="preserve">2124031285  </v>
      </c>
      <c r="E9906" t="s">
        <v>337</v>
      </c>
      <c r="F9906" t="s">
        <v>338</v>
      </c>
      <c r="G9906">
        <v>3.48</v>
      </c>
      <c r="H9906">
        <v>250328</v>
      </c>
      <c r="I9906">
        <v>4841</v>
      </c>
      <c r="J9906" t="s">
        <v>9</v>
      </c>
      <c r="K9906">
        <v>46.46</v>
      </c>
      <c r="L9906">
        <v>0.71</v>
      </c>
      <c r="M9906">
        <v>16322</v>
      </c>
      <c r="N9906" t="s">
        <v>331</v>
      </c>
      <c r="O9906">
        <v>250416</v>
      </c>
      <c r="P9906">
        <v>2.77</v>
      </c>
    </row>
    <row r="9907" spans="1:16" x14ac:dyDescent="0.25">
      <c r="A9907" t="s">
        <v>3296</v>
      </c>
      <c r="B9907" t="s">
        <v>2931</v>
      </c>
      <c r="C9907">
        <v>4997</v>
      </c>
      <c r="D9907" t="str">
        <f>"2124031285  "</f>
        <v xml:space="preserve">2124031285  </v>
      </c>
      <c r="E9907" t="s">
        <v>337</v>
      </c>
      <c r="F9907" t="s">
        <v>338</v>
      </c>
      <c r="G9907">
        <v>4.6500000000000004</v>
      </c>
      <c r="H9907">
        <v>250328</v>
      </c>
      <c r="I9907">
        <v>4841</v>
      </c>
      <c r="J9907" t="s">
        <v>9</v>
      </c>
      <c r="K9907">
        <v>46.46</v>
      </c>
      <c r="L9907">
        <v>0.94</v>
      </c>
      <c r="M9907">
        <v>16820</v>
      </c>
      <c r="N9907" t="s">
        <v>128</v>
      </c>
      <c r="O9907">
        <v>250416</v>
      </c>
      <c r="P9907">
        <v>3.71</v>
      </c>
    </row>
    <row r="9908" spans="1:16" x14ac:dyDescent="0.25">
      <c r="A9908" t="s">
        <v>3296</v>
      </c>
      <c r="B9908" t="s">
        <v>2931</v>
      </c>
      <c r="C9908">
        <v>4997</v>
      </c>
      <c r="D9908" t="str">
        <f>"2124031285  "</f>
        <v xml:space="preserve">2124031285  </v>
      </c>
      <c r="E9908" t="s">
        <v>337</v>
      </c>
      <c r="F9908" t="s">
        <v>338</v>
      </c>
      <c r="G9908">
        <v>23.23</v>
      </c>
      <c r="H9908">
        <v>250328</v>
      </c>
      <c r="I9908">
        <v>4841</v>
      </c>
      <c r="J9908" t="s">
        <v>9</v>
      </c>
      <c r="K9908">
        <v>46.46</v>
      </c>
      <c r="L9908">
        <v>4.72</v>
      </c>
      <c r="M9908">
        <v>17530</v>
      </c>
      <c r="N9908" t="s">
        <v>144</v>
      </c>
      <c r="O9908">
        <v>250416</v>
      </c>
      <c r="P9908">
        <v>18.510000000000002</v>
      </c>
    </row>
    <row r="9909" spans="1:16" x14ac:dyDescent="0.25">
      <c r="A9909" t="s">
        <v>3296</v>
      </c>
      <c r="B9909" t="s">
        <v>2931</v>
      </c>
      <c r="C9909">
        <v>8660</v>
      </c>
      <c r="D9909" t="str">
        <f>"2125004468  "</f>
        <v xml:space="preserve">2125004468  </v>
      </c>
      <c r="E9909" t="s">
        <v>337</v>
      </c>
      <c r="F9909" t="s">
        <v>338</v>
      </c>
      <c r="G9909">
        <v>33.19</v>
      </c>
      <c r="H9909">
        <v>250528</v>
      </c>
      <c r="I9909">
        <v>4841</v>
      </c>
      <c r="J9909" t="s">
        <v>9</v>
      </c>
      <c r="K9909">
        <v>33.19</v>
      </c>
      <c r="L9909">
        <v>6.74</v>
      </c>
      <c r="M9909">
        <v>13801</v>
      </c>
      <c r="N9909" t="s">
        <v>33</v>
      </c>
      <c r="O9909">
        <v>250617</v>
      </c>
      <c r="P9909">
        <v>26.45</v>
      </c>
    </row>
    <row r="9910" spans="1:16" x14ac:dyDescent="0.25">
      <c r="A9910" t="s">
        <v>3296</v>
      </c>
      <c r="B9910" t="s">
        <v>2931</v>
      </c>
      <c r="C9910">
        <v>9695</v>
      </c>
      <c r="D9910" t="str">
        <f>"2125006997  "</f>
        <v xml:space="preserve">2125006997  </v>
      </c>
      <c r="E9910" t="s">
        <v>337</v>
      </c>
      <c r="F9910" t="s">
        <v>338</v>
      </c>
      <c r="G9910">
        <v>20.260000000000002</v>
      </c>
      <c r="H9910">
        <v>250630</v>
      </c>
      <c r="I9910">
        <v>4841</v>
      </c>
      <c r="J9910" t="s">
        <v>9</v>
      </c>
      <c r="K9910">
        <v>62.34</v>
      </c>
      <c r="L9910">
        <v>4.12</v>
      </c>
      <c r="M9910">
        <v>16121</v>
      </c>
      <c r="N9910" t="s">
        <v>127</v>
      </c>
      <c r="O9910">
        <v>250724</v>
      </c>
      <c r="P9910">
        <v>16.14</v>
      </c>
    </row>
    <row r="9911" spans="1:16" x14ac:dyDescent="0.25">
      <c r="A9911" t="s">
        <v>3296</v>
      </c>
      <c r="B9911" t="s">
        <v>2931</v>
      </c>
      <c r="C9911">
        <v>9695</v>
      </c>
      <c r="D9911" t="str">
        <f>"2125006997  "</f>
        <v xml:space="preserve">2125006997  </v>
      </c>
      <c r="E9911" t="s">
        <v>337</v>
      </c>
      <c r="F9911" t="s">
        <v>338</v>
      </c>
      <c r="G9911">
        <v>4.68</v>
      </c>
      <c r="H9911">
        <v>250630</v>
      </c>
      <c r="I9911">
        <v>4841</v>
      </c>
      <c r="J9911" t="s">
        <v>9</v>
      </c>
      <c r="K9911">
        <v>62.34</v>
      </c>
      <c r="L9911">
        <v>0.95</v>
      </c>
      <c r="M9911">
        <v>16322</v>
      </c>
      <c r="N9911" t="s">
        <v>331</v>
      </c>
      <c r="O9911">
        <v>250724</v>
      </c>
      <c r="P9911">
        <v>3.73</v>
      </c>
    </row>
    <row r="9912" spans="1:16" x14ac:dyDescent="0.25">
      <c r="A9912" t="s">
        <v>3296</v>
      </c>
      <c r="B9912" t="s">
        <v>2931</v>
      </c>
      <c r="C9912">
        <v>9695</v>
      </c>
      <c r="D9912" t="str">
        <f>"2125006997  "</f>
        <v xml:space="preserve">2125006997  </v>
      </c>
      <c r="E9912" t="s">
        <v>337</v>
      </c>
      <c r="F9912" t="s">
        <v>338</v>
      </c>
      <c r="G9912">
        <v>6.23</v>
      </c>
      <c r="H9912">
        <v>250630</v>
      </c>
      <c r="I9912">
        <v>4841</v>
      </c>
      <c r="J9912" t="s">
        <v>9</v>
      </c>
      <c r="K9912">
        <v>62.34</v>
      </c>
      <c r="L9912">
        <v>1.27</v>
      </c>
      <c r="M9912">
        <v>16820</v>
      </c>
      <c r="N9912" t="s">
        <v>128</v>
      </c>
      <c r="O9912">
        <v>250724</v>
      </c>
      <c r="P9912">
        <v>4.96</v>
      </c>
    </row>
    <row r="9913" spans="1:16" x14ac:dyDescent="0.25">
      <c r="A9913" t="s">
        <v>3296</v>
      </c>
      <c r="B9913" t="s">
        <v>2931</v>
      </c>
      <c r="C9913">
        <v>9695</v>
      </c>
      <c r="D9913" t="str">
        <f>"2125006997  "</f>
        <v xml:space="preserve">2125006997  </v>
      </c>
      <c r="E9913" t="s">
        <v>337</v>
      </c>
      <c r="F9913" t="s">
        <v>338</v>
      </c>
      <c r="G9913">
        <v>31.17</v>
      </c>
      <c r="H9913">
        <v>250630</v>
      </c>
      <c r="I9913">
        <v>4841</v>
      </c>
      <c r="J9913" t="s">
        <v>9</v>
      </c>
      <c r="K9913">
        <v>62.34</v>
      </c>
      <c r="L9913">
        <v>6.33</v>
      </c>
      <c r="M9913">
        <v>17530</v>
      </c>
      <c r="N9913" t="s">
        <v>144</v>
      </c>
      <c r="O9913">
        <v>250724</v>
      </c>
      <c r="P9913">
        <v>24.84</v>
      </c>
    </row>
    <row r="9914" spans="1:16" x14ac:dyDescent="0.25">
      <c r="A9914" t="s">
        <v>3296</v>
      </c>
      <c r="B9914" t="s">
        <v>2931</v>
      </c>
      <c r="C9914">
        <v>9966</v>
      </c>
      <c r="D9914" t="str">
        <f>"2125009027  "</f>
        <v xml:space="preserve">2125009027  </v>
      </c>
      <c r="E9914" t="s">
        <v>337</v>
      </c>
      <c r="F9914" t="s">
        <v>338</v>
      </c>
      <c r="G9914">
        <v>64.86</v>
      </c>
      <c r="H9914">
        <v>250704</v>
      </c>
      <c r="I9914">
        <v>4841</v>
      </c>
      <c r="J9914" t="s">
        <v>9</v>
      </c>
      <c r="K9914">
        <v>199.55</v>
      </c>
      <c r="L9914">
        <v>13.18</v>
      </c>
      <c r="M9914">
        <v>16121</v>
      </c>
      <c r="N9914" t="s">
        <v>127</v>
      </c>
      <c r="O9914">
        <v>250806</v>
      </c>
      <c r="P9914">
        <v>51.68</v>
      </c>
    </row>
    <row r="9915" spans="1:16" x14ac:dyDescent="0.25">
      <c r="A9915" t="s">
        <v>3296</v>
      </c>
      <c r="B9915" t="s">
        <v>2931</v>
      </c>
      <c r="C9915">
        <v>9966</v>
      </c>
      <c r="D9915" t="str">
        <f>"2125009027  "</f>
        <v xml:space="preserve">2125009027  </v>
      </c>
      <c r="E9915" t="s">
        <v>337</v>
      </c>
      <c r="F9915" t="s">
        <v>338</v>
      </c>
      <c r="G9915">
        <v>14.96</v>
      </c>
      <c r="H9915">
        <v>250704</v>
      </c>
      <c r="I9915">
        <v>4841</v>
      </c>
      <c r="J9915" t="s">
        <v>9</v>
      </c>
      <c r="K9915">
        <v>199.55</v>
      </c>
      <c r="L9915">
        <v>3.04</v>
      </c>
      <c r="M9915">
        <v>16322</v>
      </c>
      <c r="N9915" t="s">
        <v>331</v>
      </c>
      <c r="O9915">
        <v>250806</v>
      </c>
      <c r="P9915">
        <v>11.92</v>
      </c>
    </row>
    <row r="9916" spans="1:16" x14ac:dyDescent="0.25">
      <c r="A9916" t="s">
        <v>3296</v>
      </c>
      <c r="B9916" t="s">
        <v>2931</v>
      </c>
      <c r="C9916">
        <v>9966</v>
      </c>
      <c r="D9916" t="str">
        <f>"2125009027  "</f>
        <v xml:space="preserve">2125009027  </v>
      </c>
      <c r="E9916" t="s">
        <v>337</v>
      </c>
      <c r="F9916" t="s">
        <v>338</v>
      </c>
      <c r="G9916">
        <v>19.95</v>
      </c>
      <c r="H9916">
        <v>250704</v>
      </c>
      <c r="I9916">
        <v>4841</v>
      </c>
      <c r="J9916" t="s">
        <v>9</v>
      </c>
      <c r="K9916">
        <v>199.55</v>
      </c>
      <c r="L9916">
        <v>4.05</v>
      </c>
      <c r="M9916">
        <v>16820</v>
      </c>
      <c r="N9916" t="s">
        <v>128</v>
      </c>
      <c r="O9916">
        <v>250806</v>
      </c>
      <c r="P9916">
        <v>15.9</v>
      </c>
    </row>
    <row r="9917" spans="1:16" x14ac:dyDescent="0.25">
      <c r="A9917" t="s">
        <v>3296</v>
      </c>
      <c r="B9917" t="s">
        <v>2931</v>
      </c>
      <c r="C9917">
        <v>9966</v>
      </c>
      <c r="D9917" t="str">
        <f>"2125009027  "</f>
        <v xml:space="preserve">2125009027  </v>
      </c>
      <c r="E9917" t="s">
        <v>337</v>
      </c>
      <c r="F9917" t="s">
        <v>338</v>
      </c>
      <c r="G9917">
        <v>99.78</v>
      </c>
      <c r="H9917">
        <v>250704</v>
      </c>
      <c r="I9917">
        <v>4841</v>
      </c>
      <c r="J9917" t="s">
        <v>9</v>
      </c>
      <c r="K9917">
        <v>199.55</v>
      </c>
      <c r="L9917">
        <v>20.27</v>
      </c>
      <c r="M9917">
        <v>17530</v>
      </c>
      <c r="N9917" t="s">
        <v>144</v>
      </c>
      <c r="O9917">
        <v>250806</v>
      </c>
      <c r="P9917">
        <v>79.510000000000005</v>
      </c>
    </row>
    <row r="9918" spans="1:16" x14ac:dyDescent="0.25">
      <c r="A9918" t="s">
        <v>3296</v>
      </c>
      <c r="B9918" t="s">
        <v>2931</v>
      </c>
      <c r="C9918">
        <v>10611</v>
      </c>
      <c r="D9918" t="str">
        <f>"2125012008  "</f>
        <v xml:space="preserve">2125012008  </v>
      </c>
      <c r="E9918" t="s">
        <v>337</v>
      </c>
      <c r="F9918" t="s">
        <v>338</v>
      </c>
      <c r="G9918">
        <v>64.86</v>
      </c>
      <c r="H9918">
        <v>250805</v>
      </c>
      <c r="I9918">
        <v>4841</v>
      </c>
      <c r="J9918" t="s">
        <v>9</v>
      </c>
      <c r="K9918">
        <v>199.55</v>
      </c>
      <c r="L9918">
        <v>13.18</v>
      </c>
      <c r="M9918">
        <v>16121</v>
      </c>
      <c r="N9918" t="s">
        <v>127</v>
      </c>
      <c r="O9918">
        <v>250820</v>
      </c>
      <c r="P9918">
        <v>51.68</v>
      </c>
    </row>
    <row r="9919" spans="1:16" x14ac:dyDescent="0.25">
      <c r="A9919" t="s">
        <v>3296</v>
      </c>
      <c r="B9919" t="s">
        <v>2931</v>
      </c>
      <c r="C9919">
        <v>10611</v>
      </c>
      <c r="D9919" t="str">
        <f>"2125012008  "</f>
        <v xml:space="preserve">2125012008  </v>
      </c>
      <c r="E9919" t="s">
        <v>337</v>
      </c>
      <c r="F9919" t="s">
        <v>338</v>
      </c>
      <c r="G9919">
        <v>14.96</v>
      </c>
      <c r="H9919">
        <v>250805</v>
      </c>
      <c r="I9919">
        <v>4841</v>
      </c>
      <c r="J9919" t="s">
        <v>9</v>
      </c>
      <c r="K9919">
        <v>199.55</v>
      </c>
      <c r="L9919">
        <v>3.04</v>
      </c>
      <c r="M9919">
        <v>16322</v>
      </c>
      <c r="N9919" t="s">
        <v>331</v>
      </c>
      <c r="O9919">
        <v>250820</v>
      </c>
      <c r="P9919">
        <v>11.92</v>
      </c>
    </row>
    <row r="9920" spans="1:16" x14ac:dyDescent="0.25">
      <c r="A9920" t="s">
        <v>3296</v>
      </c>
      <c r="B9920" t="s">
        <v>2931</v>
      </c>
      <c r="C9920">
        <v>10611</v>
      </c>
      <c r="D9920" t="str">
        <f>"2125012008  "</f>
        <v xml:space="preserve">2125012008  </v>
      </c>
      <c r="E9920" t="s">
        <v>337</v>
      </c>
      <c r="F9920" t="s">
        <v>338</v>
      </c>
      <c r="G9920">
        <v>19.96</v>
      </c>
      <c r="H9920">
        <v>250805</v>
      </c>
      <c r="I9920">
        <v>4841</v>
      </c>
      <c r="J9920" t="s">
        <v>9</v>
      </c>
      <c r="K9920">
        <v>199.55</v>
      </c>
      <c r="L9920">
        <v>4.0599999999999996</v>
      </c>
      <c r="M9920">
        <v>16820</v>
      </c>
      <c r="N9920" t="s">
        <v>128</v>
      </c>
      <c r="O9920">
        <v>250820</v>
      </c>
      <c r="P9920">
        <v>15.9</v>
      </c>
    </row>
    <row r="9921" spans="1:16" x14ac:dyDescent="0.25">
      <c r="A9921" t="s">
        <v>3296</v>
      </c>
      <c r="B9921" t="s">
        <v>2931</v>
      </c>
      <c r="C9921">
        <v>10611</v>
      </c>
      <c r="D9921" t="str">
        <f>"2125012008  "</f>
        <v xml:space="preserve">2125012008  </v>
      </c>
      <c r="E9921" t="s">
        <v>337</v>
      </c>
      <c r="F9921" t="s">
        <v>338</v>
      </c>
      <c r="G9921">
        <v>99.77</v>
      </c>
      <c r="H9921">
        <v>250805</v>
      </c>
      <c r="I9921">
        <v>4841</v>
      </c>
      <c r="J9921" t="s">
        <v>9</v>
      </c>
      <c r="K9921">
        <v>199.55</v>
      </c>
      <c r="L9921">
        <v>20.27</v>
      </c>
      <c r="M9921">
        <v>17530</v>
      </c>
      <c r="N9921" t="s">
        <v>144</v>
      </c>
      <c r="O9921">
        <v>250820</v>
      </c>
      <c r="P9921">
        <v>79.5</v>
      </c>
    </row>
    <row r="9922" spans="1:16" x14ac:dyDescent="0.25">
      <c r="A9922" t="s">
        <v>3296</v>
      </c>
      <c r="B9922" t="s">
        <v>2931</v>
      </c>
      <c r="C9922">
        <v>10615</v>
      </c>
      <c r="D9922" t="str">
        <f>"2125012019  "</f>
        <v xml:space="preserve">2125012019  </v>
      </c>
      <c r="E9922" t="s">
        <v>337</v>
      </c>
      <c r="F9922" t="s">
        <v>338</v>
      </c>
      <c r="G9922">
        <v>199.55</v>
      </c>
      <c r="H9922">
        <v>250805</v>
      </c>
      <c r="I9922">
        <v>4841</v>
      </c>
      <c r="J9922" t="s">
        <v>9</v>
      </c>
      <c r="K9922">
        <v>199.55</v>
      </c>
      <c r="L9922">
        <v>40.549999999999997</v>
      </c>
      <c r="M9922">
        <v>13601</v>
      </c>
      <c r="N9922" t="s">
        <v>115</v>
      </c>
      <c r="O9922">
        <v>250820</v>
      </c>
      <c r="P9922">
        <v>159</v>
      </c>
    </row>
    <row r="9923" spans="1:16" x14ac:dyDescent="0.25">
      <c r="A9923" t="s">
        <v>3296</v>
      </c>
      <c r="B9923" t="s">
        <v>2931</v>
      </c>
      <c r="C9923">
        <v>11001</v>
      </c>
      <c r="D9923" t="str">
        <f>"2125012800  "</f>
        <v xml:space="preserve">2125012800  </v>
      </c>
      <c r="E9923" t="s">
        <v>337</v>
      </c>
      <c r="F9923" t="s">
        <v>338</v>
      </c>
      <c r="G9923">
        <v>41.05</v>
      </c>
      <c r="H9923">
        <v>250827</v>
      </c>
      <c r="I9923">
        <v>4841</v>
      </c>
      <c r="J9923" t="s">
        <v>9</v>
      </c>
      <c r="K9923">
        <v>41.05</v>
      </c>
      <c r="L9923">
        <v>8.34</v>
      </c>
      <c r="M9923">
        <v>13601</v>
      </c>
      <c r="N9923" t="s">
        <v>115</v>
      </c>
      <c r="O9923">
        <v>250828</v>
      </c>
      <c r="P9923">
        <v>32.71</v>
      </c>
    </row>
    <row r="9924" spans="1:16" x14ac:dyDescent="0.25">
      <c r="A9924" t="s">
        <v>3296</v>
      </c>
      <c r="B9924" t="s">
        <v>2931</v>
      </c>
      <c r="C9924">
        <v>12869</v>
      </c>
      <c r="D9924" t="str">
        <f>"2125015209  "</f>
        <v xml:space="preserve">2125015209  </v>
      </c>
      <c r="E9924" t="s">
        <v>337</v>
      </c>
      <c r="F9924" t="s">
        <v>338</v>
      </c>
      <c r="G9924">
        <v>19.79</v>
      </c>
      <c r="H9924">
        <v>250927</v>
      </c>
      <c r="I9924">
        <v>4841</v>
      </c>
      <c r="J9924" t="s">
        <v>9</v>
      </c>
      <c r="K9924">
        <v>60.91</v>
      </c>
      <c r="L9924">
        <v>4.0199999999999996</v>
      </c>
      <c r="M9924">
        <v>16121</v>
      </c>
      <c r="N9924" t="s">
        <v>127</v>
      </c>
      <c r="O9924">
        <v>250930</v>
      </c>
      <c r="P9924">
        <v>15.77</v>
      </c>
    </row>
    <row r="9925" spans="1:16" x14ac:dyDescent="0.25">
      <c r="A9925" t="s">
        <v>3296</v>
      </c>
      <c r="B9925" t="s">
        <v>2931</v>
      </c>
      <c r="C9925">
        <v>12869</v>
      </c>
      <c r="D9925" t="str">
        <f>"2125015209  "</f>
        <v xml:space="preserve">2125015209  </v>
      </c>
      <c r="E9925" t="s">
        <v>337</v>
      </c>
      <c r="F9925" t="s">
        <v>338</v>
      </c>
      <c r="G9925">
        <v>4.57</v>
      </c>
      <c r="H9925">
        <v>250927</v>
      </c>
      <c r="I9925">
        <v>4841</v>
      </c>
      <c r="J9925" t="s">
        <v>9</v>
      </c>
      <c r="K9925">
        <v>60.91</v>
      </c>
      <c r="L9925">
        <v>0.93</v>
      </c>
      <c r="M9925">
        <v>16322</v>
      </c>
      <c r="N9925" t="s">
        <v>331</v>
      </c>
      <c r="O9925">
        <v>250930</v>
      </c>
      <c r="P9925">
        <v>3.64</v>
      </c>
    </row>
    <row r="9926" spans="1:16" x14ac:dyDescent="0.25">
      <c r="A9926" t="s">
        <v>3296</v>
      </c>
      <c r="B9926" t="s">
        <v>2931</v>
      </c>
      <c r="C9926">
        <v>12869</v>
      </c>
      <c r="D9926" t="str">
        <f>"2125015209  "</f>
        <v xml:space="preserve">2125015209  </v>
      </c>
      <c r="E9926" t="s">
        <v>337</v>
      </c>
      <c r="F9926" t="s">
        <v>338</v>
      </c>
      <c r="G9926">
        <v>6.09</v>
      </c>
      <c r="H9926">
        <v>250927</v>
      </c>
      <c r="I9926">
        <v>4841</v>
      </c>
      <c r="J9926" t="s">
        <v>9</v>
      </c>
      <c r="K9926">
        <v>60.91</v>
      </c>
      <c r="L9926">
        <v>1.24</v>
      </c>
      <c r="M9926">
        <v>16820</v>
      </c>
      <c r="N9926" t="s">
        <v>128</v>
      </c>
      <c r="O9926">
        <v>250930</v>
      </c>
      <c r="P9926">
        <v>4.8499999999999996</v>
      </c>
    </row>
    <row r="9927" spans="1:16" x14ac:dyDescent="0.25">
      <c r="A9927" t="s">
        <v>3296</v>
      </c>
      <c r="B9927" t="s">
        <v>2931</v>
      </c>
      <c r="C9927">
        <v>12869</v>
      </c>
      <c r="D9927" t="str">
        <f>"2125015209  "</f>
        <v xml:space="preserve">2125015209  </v>
      </c>
      <c r="E9927" t="s">
        <v>337</v>
      </c>
      <c r="F9927" t="s">
        <v>338</v>
      </c>
      <c r="G9927">
        <v>30.46</v>
      </c>
      <c r="H9927">
        <v>250927</v>
      </c>
      <c r="I9927">
        <v>4841</v>
      </c>
      <c r="J9927" t="s">
        <v>9</v>
      </c>
      <c r="K9927">
        <v>60.91</v>
      </c>
      <c r="L9927">
        <v>6.19</v>
      </c>
      <c r="M9927">
        <v>17530</v>
      </c>
      <c r="N9927" t="s">
        <v>144</v>
      </c>
      <c r="O9927">
        <v>250930</v>
      </c>
      <c r="P9927">
        <v>24.27</v>
      </c>
    </row>
    <row r="9928" spans="1:16" x14ac:dyDescent="0.25">
      <c r="A9928" t="s">
        <v>3296</v>
      </c>
      <c r="B9928" t="s">
        <v>2931</v>
      </c>
      <c r="C9928">
        <v>15537</v>
      </c>
      <c r="D9928" t="str">
        <f>"2125020027  "</f>
        <v xml:space="preserve">2125020027  </v>
      </c>
      <c r="E9928" t="s">
        <v>337</v>
      </c>
      <c r="F9928" t="s">
        <v>338</v>
      </c>
      <c r="G9928">
        <v>43.23</v>
      </c>
      <c r="H9928">
        <v>251104</v>
      </c>
      <c r="I9928">
        <v>4841</v>
      </c>
      <c r="J9928" t="s">
        <v>9</v>
      </c>
      <c r="K9928">
        <v>199.55</v>
      </c>
      <c r="L9928">
        <v>8.7799999999999994</v>
      </c>
      <c r="M9928">
        <v>16121</v>
      </c>
      <c r="N9928" t="s">
        <v>127</v>
      </c>
      <c r="O9928">
        <v>251121</v>
      </c>
      <c r="P9928">
        <v>34.450000000000003</v>
      </c>
    </row>
    <row r="9929" spans="1:16" x14ac:dyDescent="0.25">
      <c r="A9929" t="s">
        <v>3296</v>
      </c>
      <c r="B9929" t="s">
        <v>2931</v>
      </c>
      <c r="C9929">
        <v>15537</v>
      </c>
      <c r="D9929" t="str">
        <f>"2125020027  "</f>
        <v xml:space="preserve">2125020027  </v>
      </c>
      <c r="E9929" t="s">
        <v>337</v>
      </c>
      <c r="F9929" t="s">
        <v>338</v>
      </c>
      <c r="G9929">
        <v>9.98</v>
      </c>
      <c r="H9929">
        <v>251104</v>
      </c>
      <c r="I9929">
        <v>4841</v>
      </c>
      <c r="J9929" t="s">
        <v>9</v>
      </c>
      <c r="K9929">
        <v>199.55</v>
      </c>
      <c r="L9929">
        <v>2.0299999999999998</v>
      </c>
      <c r="M9929">
        <v>16322</v>
      </c>
      <c r="N9929" t="s">
        <v>331</v>
      </c>
      <c r="O9929">
        <v>251121</v>
      </c>
      <c r="P9929">
        <v>7.95</v>
      </c>
    </row>
    <row r="9930" spans="1:16" x14ac:dyDescent="0.25">
      <c r="A9930" t="s">
        <v>3296</v>
      </c>
      <c r="B9930" t="s">
        <v>2931</v>
      </c>
      <c r="C9930">
        <v>15537</v>
      </c>
      <c r="D9930" t="str">
        <f>"2125020027  "</f>
        <v xml:space="preserve">2125020027  </v>
      </c>
      <c r="E9930" t="s">
        <v>337</v>
      </c>
      <c r="F9930" t="s">
        <v>338</v>
      </c>
      <c r="G9930">
        <v>13.3</v>
      </c>
      <c r="H9930">
        <v>251104</v>
      </c>
      <c r="I9930">
        <v>4841</v>
      </c>
      <c r="J9930" t="s">
        <v>9</v>
      </c>
      <c r="K9930">
        <v>199.55</v>
      </c>
      <c r="L9930">
        <v>2.7</v>
      </c>
      <c r="M9930">
        <v>16820</v>
      </c>
      <c r="N9930" t="s">
        <v>128</v>
      </c>
      <c r="O9930">
        <v>251121</v>
      </c>
      <c r="P9930">
        <v>10.6</v>
      </c>
    </row>
    <row r="9931" spans="1:16" x14ac:dyDescent="0.25">
      <c r="A9931" t="s">
        <v>3296</v>
      </c>
      <c r="B9931" t="s">
        <v>2931</v>
      </c>
      <c r="C9931">
        <v>15537</v>
      </c>
      <c r="D9931" t="str">
        <f>"2125020027  "</f>
        <v xml:space="preserve">2125020027  </v>
      </c>
      <c r="E9931" t="s">
        <v>337</v>
      </c>
      <c r="F9931" t="s">
        <v>338</v>
      </c>
      <c r="G9931">
        <v>66.52</v>
      </c>
      <c r="H9931">
        <v>251104</v>
      </c>
      <c r="I9931">
        <v>4841</v>
      </c>
      <c r="J9931" t="s">
        <v>9</v>
      </c>
      <c r="K9931">
        <v>199.55</v>
      </c>
      <c r="L9931">
        <v>13.52</v>
      </c>
      <c r="M9931">
        <v>17530</v>
      </c>
      <c r="N9931" t="s">
        <v>144</v>
      </c>
      <c r="O9931">
        <v>251121</v>
      </c>
      <c r="P9931">
        <v>53</v>
      </c>
    </row>
    <row r="9932" spans="1:16" x14ac:dyDescent="0.25">
      <c r="A9932" t="s">
        <v>3296</v>
      </c>
      <c r="B9932" t="s">
        <v>2931</v>
      </c>
      <c r="C9932">
        <v>18299</v>
      </c>
      <c r="D9932" t="str">
        <f>"2125023996  "</f>
        <v xml:space="preserve">2125023996  </v>
      </c>
      <c r="E9932" t="s">
        <v>337</v>
      </c>
      <c r="F9932" t="s">
        <v>338</v>
      </c>
      <c r="G9932">
        <v>31.84</v>
      </c>
      <c r="H9932">
        <v>251229</v>
      </c>
      <c r="I9932">
        <v>4841</v>
      </c>
      <c r="J9932" t="s">
        <v>9</v>
      </c>
      <c r="K9932">
        <v>31.84</v>
      </c>
      <c r="L9932">
        <v>6.47</v>
      </c>
      <c r="M9932">
        <v>13802</v>
      </c>
      <c r="N9932" t="s">
        <v>34</v>
      </c>
      <c r="O9932">
        <v>260113</v>
      </c>
      <c r="P9932">
        <v>25.37</v>
      </c>
    </row>
    <row r="9933" spans="1:16" x14ac:dyDescent="0.25">
      <c r="A9933" t="s">
        <v>3296</v>
      </c>
      <c r="B9933" t="s">
        <v>2931</v>
      </c>
      <c r="C9933">
        <v>18307</v>
      </c>
      <c r="D9933" t="str">
        <f>"2125023137  "</f>
        <v xml:space="preserve">2125023137  </v>
      </c>
      <c r="E9933" t="s">
        <v>337</v>
      </c>
      <c r="F9933" t="s">
        <v>338</v>
      </c>
      <c r="G9933">
        <v>43.09</v>
      </c>
      <c r="H9933">
        <v>251229</v>
      </c>
      <c r="I9933">
        <v>4841</v>
      </c>
      <c r="J9933" t="s">
        <v>9</v>
      </c>
      <c r="K9933">
        <v>132.59</v>
      </c>
      <c r="L9933">
        <v>8.76</v>
      </c>
      <c r="M9933">
        <v>16121</v>
      </c>
      <c r="N9933" t="s">
        <v>127</v>
      </c>
      <c r="O9933">
        <v>260113</v>
      </c>
      <c r="P9933">
        <v>34.33</v>
      </c>
    </row>
    <row r="9934" spans="1:16" x14ac:dyDescent="0.25">
      <c r="A9934" t="s">
        <v>3296</v>
      </c>
      <c r="B9934" t="s">
        <v>2931</v>
      </c>
      <c r="C9934">
        <v>18307</v>
      </c>
      <c r="D9934" t="str">
        <f>"2125023137  "</f>
        <v xml:space="preserve">2125023137  </v>
      </c>
      <c r="E9934" t="s">
        <v>337</v>
      </c>
      <c r="F9934" t="s">
        <v>338</v>
      </c>
      <c r="G9934">
        <v>9.94</v>
      </c>
      <c r="H9934">
        <v>251229</v>
      </c>
      <c r="I9934">
        <v>4841</v>
      </c>
      <c r="J9934" t="s">
        <v>9</v>
      </c>
      <c r="K9934">
        <v>132.59</v>
      </c>
      <c r="L9934">
        <v>2.02</v>
      </c>
      <c r="M9934">
        <v>16322</v>
      </c>
      <c r="N9934" t="s">
        <v>331</v>
      </c>
      <c r="O9934">
        <v>260113</v>
      </c>
      <c r="P9934">
        <v>7.92</v>
      </c>
    </row>
    <row r="9935" spans="1:16" x14ac:dyDescent="0.25">
      <c r="A9935" t="s">
        <v>3296</v>
      </c>
      <c r="B9935" t="s">
        <v>2931</v>
      </c>
      <c r="C9935">
        <v>18307</v>
      </c>
      <c r="D9935" t="str">
        <f>"2125023137  "</f>
        <v xml:space="preserve">2125023137  </v>
      </c>
      <c r="E9935" t="s">
        <v>337</v>
      </c>
      <c r="F9935" t="s">
        <v>338</v>
      </c>
      <c r="G9935">
        <v>13.26</v>
      </c>
      <c r="H9935">
        <v>251229</v>
      </c>
      <c r="I9935">
        <v>4841</v>
      </c>
      <c r="J9935" t="s">
        <v>9</v>
      </c>
      <c r="K9935">
        <v>132.59</v>
      </c>
      <c r="L9935">
        <v>2.69</v>
      </c>
      <c r="M9935">
        <v>16820</v>
      </c>
      <c r="N9935" t="s">
        <v>128</v>
      </c>
      <c r="O9935">
        <v>260113</v>
      </c>
      <c r="P9935">
        <v>10.57</v>
      </c>
    </row>
    <row r="9936" spans="1:16" x14ac:dyDescent="0.25">
      <c r="A9936" t="s">
        <v>3296</v>
      </c>
      <c r="B9936" t="s">
        <v>2931</v>
      </c>
      <c r="C9936">
        <v>18307</v>
      </c>
      <c r="D9936" t="str">
        <f>"2125023137  "</f>
        <v xml:space="preserve">2125023137  </v>
      </c>
      <c r="E9936" t="s">
        <v>337</v>
      </c>
      <c r="F9936" t="s">
        <v>338</v>
      </c>
      <c r="G9936">
        <v>66.3</v>
      </c>
      <c r="H9936">
        <v>251229</v>
      </c>
      <c r="I9936">
        <v>4841</v>
      </c>
      <c r="J9936" t="s">
        <v>9</v>
      </c>
      <c r="K9936">
        <v>132.59</v>
      </c>
      <c r="L9936">
        <v>13.47</v>
      </c>
      <c r="M9936">
        <v>17530</v>
      </c>
      <c r="N9936" t="s">
        <v>144</v>
      </c>
      <c r="O9936">
        <v>260113</v>
      </c>
      <c r="P9936">
        <v>52.83</v>
      </c>
    </row>
    <row r="9937" spans="1:16" x14ac:dyDescent="0.25">
      <c r="A9937" t="s">
        <v>3296</v>
      </c>
      <c r="B9937" t="s">
        <v>2931</v>
      </c>
      <c r="C9937">
        <v>2482</v>
      </c>
      <c r="D9937" t="str">
        <f>"2124028928  "</f>
        <v xml:space="preserve">2124028928  </v>
      </c>
      <c r="E9937" t="s">
        <v>337</v>
      </c>
      <c r="F9937" t="s">
        <v>338</v>
      </c>
      <c r="G9937">
        <v>51.63</v>
      </c>
      <c r="H9937">
        <v>250227</v>
      </c>
      <c r="I9937">
        <v>4842</v>
      </c>
      <c r="J9937" t="s">
        <v>15</v>
      </c>
      <c r="K9937">
        <v>51.63</v>
      </c>
      <c r="L9937">
        <v>10.49</v>
      </c>
      <c r="M9937">
        <v>13801</v>
      </c>
      <c r="N9937" t="s">
        <v>33</v>
      </c>
      <c r="O9937">
        <v>250228</v>
      </c>
      <c r="P9937">
        <v>41.14</v>
      </c>
    </row>
    <row r="9938" spans="1:16" x14ac:dyDescent="0.25">
      <c r="A9938" t="s">
        <v>3296</v>
      </c>
      <c r="B9938" t="s">
        <v>2931</v>
      </c>
      <c r="C9938">
        <v>4985</v>
      </c>
      <c r="D9938" t="str">
        <f>"2124033014  "</f>
        <v xml:space="preserve">2124033014  </v>
      </c>
      <c r="E9938" t="s">
        <v>337</v>
      </c>
      <c r="F9938" t="s">
        <v>338</v>
      </c>
      <c r="G9938">
        <v>23.23</v>
      </c>
      <c r="H9938">
        <v>250331</v>
      </c>
      <c r="I9938">
        <v>4842</v>
      </c>
      <c r="J9938" t="s">
        <v>15</v>
      </c>
      <c r="K9938">
        <v>23.23</v>
      </c>
      <c r="L9938">
        <v>4.72</v>
      </c>
      <c r="M9938">
        <v>13801</v>
      </c>
      <c r="N9938" t="s">
        <v>33</v>
      </c>
      <c r="O9938">
        <v>250416</v>
      </c>
      <c r="P9938">
        <v>18.510000000000002</v>
      </c>
    </row>
    <row r="9939" spans="1:16" x14ac:dyDescent="0.25">
      <c r="A9939" t="s">
        <v>3296</v>
      </c>
      <c r="B9939" t="s">
        <v>2931</v>
      </c>
      <c r="C9939">
        <v>5553</v>
      </c>
      <c r="D9939" t="str">
        <f>"2125000328  "</f>
        <v xml:space="preserve">2125000328  </v>
      </c>
      <c r="E9939" t="s">
        <v>337</v>
      </c>
      <c r="F9939" t="s">
        <v>338</v>
      </c>
      <c r="G9939">
        <v>199.55</v>
      </c>
      <c r="H9939">
        <v>250403</v>
      </c>
      <c r="I9939">
        <v>4842</v>
      </c>
      <c r="J9939" t="s">
        <v>15</v>
      </c>
      <c r="K9939">
        <v>199.55</v>
      </c>
      <c r="L9939">
        <v>40.549999999999997</v>
      </c>
      <c r="M9939">
        <v>17522</v>
      </c>
      <c r="N9939" t="s">
        <v>137</v>
      </c>
      <c r="O9939">
        <v>250425</v>
      </c>
      <c r="P9939">
        <v>159</v>
      </c>
    </row>
    <row r="9940" spans="1:16" x14ac:dyDescent="0.25">
      <c r="A9940" t="s">
        <v>3296</v>
      </c>
      <c r="B9940" t="s">
        <v>2931</v>
      </c>
      <c r="C9940">
        <v>8677</v>
      </c>
      <c r="D9940" t="str">
        <f>"2125004828  "</f>
        <v xml:space="preserve">2125004828  </v>
      </c>
      <c r="E9940" t="s">
        <v>337</v>
      </c>
      <c r="F9940" t="s">
        <v>338</v>
      </c>
      <c r="G9940">
        <v>99.81</v>
      </c>
      <c r="H9940">
        <v>250528</v>
      </c>
      <c r="I9940">
        <v>4842</v>
      </c>
      <c r="J9940" t="s">
        <v>15</v>
      </c>
      <c r="K9940">
        <v>99.81</v>
      </c>
      <c r="L9940">
        <v>20.28</v>
      </c>
      <c r="M9940">
        <v>13801</v>
      </c>
      <c r="N9940" t="s">
        <v>33</v>
      </c>
      <c r="O9940">
        <v>250617</v>
      </c>
      <c r="P9940">
        <v>79.53</v>
      </c>
    </row>
    <row r="9941" spans="1:16" x14ac:dyDescent="0.25">
      <c r="A9941" t="s">
        <v>3296</v>
      </c>
      <c r="B9941" t="s">
        <v>2931</v>
      </c>
      <c r="C9941">
        <v>9670</v>
      </c>
      <c r="D9941" t="str">
        <f>"2125008031  "</f>
        <v xml:space="preserve">2125008031  </v>
      </c>
      <c r="E9941" t="s">
        <v>337</v>
      </c>
      <c r="F9941" t="s">
        <v>338</v>
      </c>
      <c r="G9941">
        <v>13.75</v>
      </c>
      <c r="H9941">
        <v>250630</v>
      </c>
      <c r="I9941">
        <v>4842</v>
      </c>
      <c r="J9941" t="s">
        <v>15</v>
      </c>
      <c r="K9941">
        <v>13.75</v>
      </c>
      <c r="L9941">
        <v>2.79</v>
      </c>
      <c r="M9941">
        <v>13801</v>
      </c>
      <c r="N9941" t="s">
        <v>33</v>
      </c>
      <c r="O9941">
        <v>250724</v>
      </c>
      <c r="P9941">
        <v>10.96</v>
      </c>
    </row>
    <row r="9942" spans="1:16" x14ac:dyDescent="0.25">
      <c r="A9942" t="s">
        <v>3296</v>
      </c>
      <c r="B9942" t="s">
        <v>2931</v>
      </c>
      <c r="C9942">
        <v>9676</v>
      </c>
      <c r="D9942" t="str">
        <f>"2125007019  "</f>
        <v xml:space="preserve">2125007019  </v>
      </c>
      <c r="E9942" t="s">
        <v>337</v>
      </c>
      <c r="F9942" t="s">
        <v>338</v>
      </c>
      <c r="G9942">
        <v>43.11</v>
      </c>
      <c r="H9942">
        <v>250630</v>
      </c>
      <c r="I9942">
        <v>4842</v>
      </c>
      <c r="J9942" t="s">
        <v>15</v>
      </c>
      <c r="K9942">
        <v>43.11</v>
      </c>
      <c r="L9942">
        <v>8.76</v>
      </c>
      <c r="M9942">
        <v>13601</v>
      </c>
      <c r="N9942" t="s">
        <v>115</v>
      </c>
      <c r="O9942">
        <v>250724</v>
      </c>
      <c r="P9942">
        <v>34.35</v>
      </c>
    </row>
    <row r="9943" spans="1:16" x14ac:dyDescent="0.25">
      <c r="A9943" t="s">
        <v>3296</v>
      </c>
      <c r="B9943" t="s">
        <v>2931</v>
      </c>
      <c r="C9943">
        <v>9947</v>
      </c>
      <c r="D9943" t="str">
        <f>"2125010526  "</f>
        <v xml:space="preserve">2125010526  </v>
      </c>
      <c r="E9943" t="s">
        <v>337</v>
      </c>
      <c r="F9943" t="s">
        <v>338</v>
      </c>
      <c r="G9943">
        <v>91.7</v>
      </c>
      <c r="H9943">
        <v>250729</v>
      </c>
      <c r="I9943">
        <v>4842</v>
      </c>
      <c r="J9943" t="s">
        <v>15</v>
      </c>
      <c r="K9943">
        <v>91.7</v>
      </c>
      <c r="L9943">
        <v>18.63</v>
      </c>
      <c r="M9943">
        <v>13401</v>
      </c>
      <c r="N9943" t="s">
        <v>10</v>
      </c>
      <c r="O9943">
        <v>250805</v>
      </c>
      <c r="P9943">
        <v>73.069999999999993</v>
      </c>
    </row>
    <row r="9944" spans="1:16" x14ac:dyDescent="0.25">
      <c r="A9944" t="s">
        <v>3296</v>
      </c>
      <c r="B9944" t="s">
        <v>2931</v>
      </c>
      <c r="C9944">
        <v>11202</v>
      </c>
      <c r="D9944" t="str">
        <f>"2125013119  "</f>
        <v xml:space="preserve">2125013119  </v>
      </c>
      <c r="E9944" t="s">
        <v>337</v>
      </c>
      <c r="F9944" t="s">
        <v>338</v>
      </c>
      <c r="G9944">
        <v>42.86</v>
      </c>
      <c r="H9944">
        <v>250827</v>
      </c>
      <c r="I9944">
        <v>4842</v>
      </c>
      <c r="J9944" t="s">
        <v>15</v>
      </c>
      <c r="K9944">
        <v>42.86</v>
      </c>
      <c r="L9944">
        <v>8.7100000000000009</v>
      </c>
      <c r="M9944">
        <v>13801</v>
      </c>
      <c r="N9944" t="s">
        <v>33</v>
      </c>
      <c r="O9944">
        <v>250901</v>
      </c>
      <c r="P9944">
        <v>34.15</v>
      </c>
    </row>
    <row r="9945" spans="1:16" x14ac:dyDescent="0.25">
      <c r="A9945" t="s">
        <v>3296</v>
      </c>
      <c r="B9945" t="s">
        <v>2931</v>
      </c>
      <c r="C9945">
        <v>13155</v>
      </c>
      <c r="D9945" t="str">
        <f>"2125015598  "</f>
        <v xml:space="preserve">2125015598  </v>
      </c>
      <c r="E9945" t="s">
        <v>337</v>
      </c>
      <c r="F9945" t="s">
        <v>338</v>
      </c>
      <c r="G9945">
        <v>25.15</v>
      </c>
      <c r="H9945">
        <v>250927</v>
      </c>
      <c r="I9945">
        <v>4842</v>
      </c>
      <c r="J9945" t="s">
        <v>15</v>
      </c>
      <c r="K9945">
        <v>25.15</v>
      </c>
      <c r="L9945">
        <v>5.1100000000000003</v>
      </c>
      <c r="M9945">
        <v>13801</v>
      </c>
      <c r="N9945" t="s">
        <v>33</v>
      </c>
      <c r="O9945">
        <v>251006</v>
      </c>
      <c r="P9945">
        <v>20.04</v>
      </c>
    </row>
    <row r="9946" spans="1:16" x14ac:dyDescent="0.25">
      <c r="A9946" t="s">
        <v>3296</v>
      </c>
      <c r="B9946" t="s">
        <v>2931</v>
      </c>
      <c r="C9946">
        <v>15879</v>
      </c>
      <c r="D9946" t="str">
        <f>"2125021045  "</f>
        <v xml:space="preserve">2125021045  </v>
      </c>
      <c r="E9946" t="s">
        <v>337</v>
      </c>
      <c r="F9946" t="s">
        <v>338</v>
      </c>
      <c r="G9946">
        <v>201.26</v>
      </c>
      <c r="H9946">
        <v>251126</v>
      </c>
      <c r="I9946">
        <v>4842</v>
      </c>
      <c r="J9946" t="s">
        <v>15</v>
      </c>
      <c r="K9946">
        <v>201.26</v>
      </c>
      <c r="L9946">
        <v>40.89</v>
      </c>
      <c r="M9946">
        <v>13801</v>
      </c>
      <c r="N9946" t="s">
        <v>33</v>
      </c>
      <c r="O9946">
        <v>251127</v>
      </c>
      <c r="P9946">
        <v>160.37</v>
      </c>
    </row>
    <row r="9947" spans="1:16" x14ac:dyDescent="0.25">
      <c r="A9947" t="s">
        <v>3296</v>
      </c>
      <c r="B9947" t="s">
        <v>2931</v>
      </c>
      <c r="C9947">
        <v>18293</v>
      </c>
      <c r="D9947" t="str">
        <f>"2125023473  "</f>
        <v xml:space="preserve">2125023473  </v>
      </c>
      <c r="E9947" t="s">
        <v>337</v>
      </c>
      <c r="F9947" t="s">
        <v>338</v>
      </c>
      <c r="G9947">
        <v>31.29</v>
      </c>
      <c r="H9947">
        <v>251229</v>
      </c>
      <c r="I9947">
        <v>4842</v>
      </c>
      <c r="J9947" t="s">
        <v>15</v>
      </c>
      <c r="K9947">
        <v>31.29</v>
      </c>
      <c r="L9947">
        <v>6.36</v>
      </c>
      <c r="M9947">
        <v>13801</v>
      </c>
      <c r="N9947" t="s">
        <v>33</v>
      </c>
      <c r="O9947">
        <v>260112</v>
      </c>
      <c r="P9947">
        <v>24.93</v>
      </c>
    </row>
    <row r="9948" spans="1:16" x14ac:dyDescent="0.25">
      <c r="A9948" t="s">
        <v>3296</v>
      </c>
      <c r="B9948" t="s">
        <v>2931</v>
      </c>
      <c r="C9948">
        <v>138</v>
      </c>
      <c r="D9948" t="str">
        <f>"INV31004690 "</f>
        <v xml:space="preserve">INV31004690 </v>
      </c>
      <c r="E9948" t="s">
        <v>255</v>
      </c>
      <c r="F9948" t="s">
        <v>256</v>
      </c>
      <c r="G9948">
        <v>2762.26</v>
      </c>
      <c r="H9948">
        <v>250101</v>
      </c>
      <c r="I9948">
        <v>4367</v>
      </c>
      <c r="J9948" t="s">
        <v>159</v>
      </c>
      <c r="K9948">
        <v>2762.26</v>
      </c>
      <c r="L9948">
        <v>561.26</v>
      </c>
      <c r="M9948">
        <v>11301</v>
      </c>
      <c r="N9948" t="s">
        <v>92</v>
      </c>
      <c r="O9948">
        <v>250113</v>
      </c>
      <c r="P9948">
        <v>2201</v>
      </c>
    </row>
    <row r="9949" spans="1:16" x14ac:dyDescent="0.25">
      <c r="A9949" t="s">
        <v>3296</v>
      </c>
      <c r="B9949" t="s">
        <v>2931</v>
      </c>
      <c r="C9949">
        <v>4572</v>
      </c>
      <c r="D9949" t="str">
        <f>"INV31007466 "</f>
        <v xml:space="preserve">INV31007466 </v>
      </c>
      <c r="E9949" t="s">
        <v>255</v>
      </c>
      <c r="F9949" t="s">
        <v>256</v>
      </c>
      <c r="G9949">
        <v>2762.26</v>
      </c>
      <c r="H9949">
        <v>250401</v>
      </c>
      <c r="I9949">
        <v>4367</v>
      </c>
      <c r="J9949" t="s">
        <v>159</v>
      </c>
      <c r="K9949">
        <v>2762.26</v>
      </c>
      <c r="L9949">
        <v>561.26</v>
      </c>
      <c r="M9949">
        <v>11301</v>
      </c>
      <c r="N9949" t="s">
        <v>92</v>
      </c>
      <c r="O9949">
        <v>250414</v>
      </c>
      <c r="P9949">
        <v>2201</v>
      </c>
    </row>
    <row r="9950" spans="1:16" x14ac:dyDescent="0.25">
      <c r="A9950" t="s">
        <v>3296</v>
      </c>
      <c r="B9950" t="s">
        <v>2931</v>
      </c>
      <c r="C9950">
        <v>9419</v>
      </c>
      <c r="D9950" t="str">
        <f>"INV31009889 "</f>
        <v xml:space="preserve">INV31009889 </v>
      </c>
      <c r="E9950" t="s">
        <v>255</v>
      </c>
      <c r="F9950" t="s">
        <v>256</v>
      </c>
      <c r="G9950">
        <v>2762.26</v>
      </c>
      <c r="H9950">
        <v>250701</v>
      </c>
      <c r="I9950">
        <v>4367</v>
      </c>
      <c r="J9950" t="s">
        <v>159</v>
      </c>
      <c r="K9950">
        <v>2762.26</v>
      </c>
      <c r="L9950">
        <v>561.26</v>
      </c>
      <c r="M9950">
        <v>11301</v>
      </c>
      <c r="N9950" t="s">
        <v>92</v>
      </c>
      <c r="O9950">
        <v>250707</v>
      </c>
      <c r="P9950">
        <v>2201</v>
      </c>
    </row>
    <row r="9951" spans="1:16" x14ac:dyDescent="0.25">
      <c r="A9951" t="s">
        <v>3296</v>
      </c>
      <c r="B9951" t="s">
        <v>2931</v>
      </c>
      <c r="C9951">
        <v>13017</v>
      </c>
      <c r="D9951" t="str">
        <f>"INV31012333 "</f>
        <v xml:space="preserve">INV31012333 </v>
      </c>
      <c r="E9951" t="s">
        <v>255</v>
      </c>
      <c r="F9951" t="s">
        <v>256</v>
      </c>
      <c r="G9951">
        <v>2762.26</v>
      </c>
      <c r="H9951">
        <v>251001</v>
      </c>
      <c r="I9951">
        <v>4367</v>
      </c>
      <c r="J9951" t="s">
        <v>159</v>
      </c>
      <c r="K9951">
        <v>2762.26</v>
      </c>
      <c r="L9951">
        <v>561.26</v>
      </c>
      <c r="M9951">
        <v>11301</v>
      </c>
      <c r="N9951" t="s">
        <v>92</v>
      </c>
      <c r="O9951">
        <v>251003</v>
      </c>
      <c r="P9951">
        <v>2201</v>
      </c>
    </row>
    <row r="9952" spans="1:16" x14ac:dyDescent="0.25">
      <c r="A9952" t="s">
        <v>3296</v>
      </c>
      <c r="B9952" t="s">
        <v>2931</v>
      </c>
      <c r="C9952">
        <v>4135</v>
      </c>
      <c r="D9952" t="str">
        <f>"INV10020475 "</f>
        <v xml:space="preserve">INV10020475 </v>
      </c>
      <c r="E9952" t="s">
        <v>963</v>
      </c>
      <c r="F9952" t="s">
        <v>964</v>
      </c>
      <c r="G9952">
        <v>3890.31</v>
      </c>
      <c r="H9952">
        <v>250326</v>
      </c>
      <c r="I9952">
        <v>4470</v>
      </c>
      <c r="J9952" t="s">
        <v>203</v>
      </c>
      <c r="K9952">
        <v>15561.24</v>
      </c>
      <c r="L9952">
        <v>477.76</v>
      </c>
      <c r="M9952">
        <v>18972</v>
      </c>
      <c r="N9952" t="s">
        <v>39</v>
      </c>
      <c r="O9952">
        <v>250407</v>
      </c>
      <c r="P9952">
        <v>3412.55</v>
      </c>
    </row>
    <row r="9953" spans="1:16" x14ac:dyDescent="0.25">
      <c r="A9953" t="s">
        <v>3296</v>
      </c>
      <c r="B9953" t="s">
        <v>2931</v>
      </c>
      <c r="C9953">
        <v>4669</v>
      </c>
      <c r="D9953" t="str">
        <f>"INV10020693 "</f>
        <v xml:space="preserve">INV10020693 </v>
      </c>
      <c r="E9953" t="s">
        <v>963</v>
      </c>
      <c r="F9953" t="s">
        <v>964</v>
      </c>
      <c r="G9953">
        <v>4318.32</v>
      </c>
      <c r="H9953">
        <v>250402</v>
      </c>
      <c r="I9953">
        <v>4470</v>
      </c>
      <c r="J9953" t="s">
        <v>203</v>
      </c>
      <c r="K9953">
        <v>4318.32</v>
      </c>
      <c r="L9953">
        <v>530.32000000000005</v>
      </c>
      <c r="M9953">
        <v>13861</v>
      </c>
      <c r="N9953" t="s">
        <v>604</v>
      </c>
      <c r="O9953">
        <v>250414</v>
      </c>
      <c r="P9953">
        <v>3788</v>
      </c>
    </row>
    <row r="9954" spans="1:16" x14ac:dyDescent="0.25">
      <c r="A9954" t="s">
        <v>3296</v>
      </c>
      <c r="B9954" t="s">
        <v>2931</v>
      </c>
      <c r="C9954">
        <v>4946</v>
      </c>
      <c r="D9954" t="str">
        <f>"INV10020879 "</f>
        <v xml:space="preserve">INV10020879 </v>
      </c>
      <c r="E9954" t="s">
        <v>963</v>
      </c>
      <c r="F9954" t="s">
        <v>964</v>
      </c>
      <c r="G9954">
        <v>2001.45</v>
      </c>
      <c r="H9954">
        <v>250408</v>
      </c>
      <c r="I9954">
        <v>4470</v>
      </c>
      <c r="J9954" t="s">
        <v>203</v>
      </c>
      <c r="K9954">
        <v>2001.45</v>
      </c>
      <c r="L9954">
        <v>245.79</v>
      </c>
      <c r="M9954">
        <v>13901</v>
      </c>
      <c r="N9954" t="s">
        <v>116</v>
      </c>
      <c r="O9954">
        <v>250416</v>
      </c>
      <c r="P9954">
        <v>1755.66</v>
      </c>
    </row>
    <row r="9955" spans="1:16" x14ac:dyDescent="0.25">
      <c r="A9955" t="s">
        <v>3296</v>
      </c>
      <c r="B9955" t="s">
        <v>2931</v>
      </c>
      <c r="C9955">
        <v>1361</v>
      </c>
      <c r="D9955" t="str">
        <f>"INV10019588 "</f>
        <v xml:space="preserve">INV10019588 </v>
      </c>
      <c r="E9955" t="s">
        <v>963</v>
      </c>
      <c r="F9955" t="s">
        <v>964</v>
      </c>
      <c r="G9955">
        <v>1383.66</v>
      </c>
      <c r="H9955">
        <v>250205</v>
      </c>
      <c r="I9955">
        <v>4510</v>
      </c>
      <c r="J9955" t="s">
        <v>240</v>
      </c>
      <c r="K9955">
        <v>1383.66</v>
      </c>
      <c r="L9955">
        <v>169.92</v>
      </c>
      <c r="M9955">
        <v>11501</v>
      </c>
      <c r="N9955" t="s">
        <v>13</v>
      </c>
      <c r="O9955">
        <v>250207</v>
      </c>
      <c r="P9955">
        <v>1213.74</v>
      </c>
    </row>
    <row r="9956" spans="1:16" x14ac:dyDescent="0.25">
      <c r="A9956" t="s">
        <v>3296</v>
      </c>
      <c r="B9956" t="s">
        <v>2931</v>
      </c>
      <c r="C9956">
        <v>14082</v>
      </c>
      <c r="D9956" t="str">
        <f>"25014092    "</f>
        <v xml:space="preserve">25014092    </v>
      </c>
      <c r="E9956" t="s">
        <v>2473</v>
      </c>
      <c r="F9956" t="s">
        <v>2474</v>
      </c>
      <c r="G9956">
        <v>72.23</v>
      </c>
      <c r="H9956">
        <v>251014</v>
      </c>
      <c r="I9956">
        <v>4400</v>
      </c>
      <c r="J9956" t="s">
        <v>162</v>
      </c>
      <c r="K9956">
        <v>72.23</v>
      </c>
      <c r="L9956">
        <v>14.68</v>
      </c>
      <c r="M9956">
        <v>17803</v>
      </c>
      <c r="N9956" t="s">
        <v>19</v>
      </c>
      <c r="O9956">
        <v>251023</v>
      </c>
      <c r="P9956">
        <v>57.55</v>
      </c>
    </row>
    <row r="9957" spans="1:16" x14ac:dyDescent="0.25">
      <c r="A9957" t="s">
        <v>3296</v>
      </c>
      <c r="B9957" t="s">
        <v>2931</v>
      </c>
      <c r="C9957">
        <v>3958</v>
      </c>
      <c r="D9957" t="str">
        <f>"41841       "</f>
        <v xml:space="preserve">41841       </v>
      </c>
      <c r="E9957" t="s">
        <v>1532</v>
      </c>
      <c r="F9957" t="s">
        <v>1533</v>
      </c>
      <c r="G9957">
        <v>238.44</v>
      </c>
      <c r="H9957">
        <v>250321</v>
      </c>
      <c r="I9957">
        <v>4557</v>
      </c>
      <c r="J9957" t="s">
        <v>1152</v>
      </c>
      <c r="K9957">
        <v>238.44</v>
      </c>
      <c r="L9957">
        <v>48.45</v>
      </c>
      <c r="M9957">
        <v>66754</v>
      </c>
      <c r="N9957" t="s">
        <v>119</v>
      </c>
      <c r="O9957">
        <v>250404</v>
      </c>
      <c r="P9957">
        <v>189.99</v>
      </c>
    </row>
    <row r="9958" spans="1:16" x14ac:dyDescent="0.25">
      <c r="A9958" t="s">
        <v>3296</v>
      </c>
      <c r="B9958" t="s">
        <v>2931</v>
      </c>
      <c r="C9958">
        <v>4816</v>
      </c>
      <c r="D9958" t="str">
        <f>"42236       "</f>
        <v xml:space="preserve">42236       </v>
      </c>
      <c r="E9958" t="s">
        <v>1532</v>
      </c>
      <c r="F9958" t="s">
        <v>1533</v>
      </c>
      <c r="G9958">
        <v>679.54</v>
      </c>
      <c r="H9958">
        <v>250404</v>
      </c>
      <c r="I9958">
        <v>4557</v>
      </c>
      <c r="J9958" t="s">
        <v>1152</v>
      </c>
      <c r="K9958">
        <v>679.54</v>
      </c>
      <c r="L9958">
        <v>138.07</v>
      </c>
      <c r="M9958">
        <v>66754</v>
      </c>
      <c r="N9958" t="s">
        <v>119</v>
      </c>
      <c r="O9958">
        <v>250415</v>
      </c>
      <c r="P9958">
        <v>541.47</v>
      </c>
    </row>
    <row r="9959" spans="1:16" x14ac:dyDescent="0.25">
      <c r="A9959" t="s">
        <v>3296</v>
      </c>
      <c r="B9959" t="s">
        <v>2931</v>
      </c>
      <c r="C9959">
        <v>5296</v>
      </c>
      <c r="D9959" t="str">
        <f>"42449       "</f>
        <v xml:space="preserve">42449       </v>
      </c>
      <c r="E9959" t="s">
        <v>1532</v>
      </c>
      <c r="F9959" t="s">
        <v>1533</v>
      </c>
      <c r="G9959">
        <v>268.48</v>
      </c>
      <c r="H9959">
        <v>250411</v>
      </c>
      <c r="I9959">
        <v>4557</v>
      </c>
      <c r="J9959" t="s">
        <v>1152</v>
      </c>
      <c r="K9959">
        <v>268.48</v>
      </c>
      <c r="L9959">
        <v>54.55</v>
      </c>
      <c r="M9959">
        <v>66754</v>
      </c>
      <c r="N9959" t="s">
        <v>119</v>
      </c>
      <c r="O9959">
        <v>250423</v>
      </c>
      <c r="P9959">
        <v>213.93</v>
      </c>
    </row>
    <row r="9960" spans="1:16" x14ac:dyDescent="0.25">
      <c r="A9960" t="s">
        <v>3296</v>
      </c>
      <c r="B9960" t="s">
        <v>2931</v>
      </c>
      <c r="C9960">
        <v>5299</v>
      </c>
      <c r="D9960" t="str">
        <f>"42448       "</f>
        <v xml:space="preserve">42448       </v>
      </c>
      <c r="E9960" t="s">
        <v>1532</v>
      </c>
      <c r="F9960" t="s">
        <v>1533</v>
      </c>
      <c r="G9960">
        <v>67.709999999999994</v>
      </c>
      <c r="H9960">
        <v>250411</v>
      </c>
      <c r="I9960">
        <v>4557</v>
      </c>
      <c r="J9960" t="s">
        <v>1152</v>
      </c>
      <c r="K9960">
        <v>67.709999999999994</v>
      </c>
      <c r="L9960">
        <v>13.76</v>
      </c>
      <c r="M9960">
        <v>66754</v>
      </c>
      <c r="N9960" t="s">
        <v>119</v>
      </c>
      <c r="O9960">
        <v>250423</v>
      </c>
      <c r="P9960">
        <v>53.95</v>
      </c>
    </row>
    <row r="9961" spans="1:16" x14ac:dyDescent="0.25">
      <c r="A9961" t="s">
        <v>3296</v>
      </c>
      <c r="B9961" t="s">
        <v>2931</v>
      </c>
      <c r="C9961">
        <v>16282</v>
      </c>
      <c r="D9961" t="str">
        <f>"102487      "</f>
        <v xml:space="preserve">102487      </v>
      </c>
      <c r="E9961" t="s">
        <v>2670</v>
      </c>
      <c r="F9961" t="s">
        <v>2671</v>
      </c>
      <c r="G9961">
        <v>426.7</v>
      </c>
      <c r="H9961">
        <v>251203</v>
      </c>
      <c r="I9961">
        <v>4440</v>
      </c>
      <c r="J9961" t="s">
        <v>346</v>
      </c>
      <c r="K9961">
        <v>426.7</v>
      </c>
      <c r="L9961">
        <v>86.7</v>
      </c>
      <c r="M9961">
        <v>17131</v>
      </c>
      <c r="N9961" t="s">
        <v>154</v>
      </c>
      <c r="O9961">
        <v>251205</v>
      </c>
      <c r="P9961">
        <v>340</v>
      </c>
    </row>
    <row r="9962" spans="1:16" x14ac:dyDescent="0.25">
      <c r="A9962" t="s">
        <v>3296</v>
      </c>
      <c r="B9962" t="s">
        <v>2931</v>
      </c>
      <c r="C9962">
        <v>3802</v>
      </c>
      <c r="D9962" t="str">
        <f>"419         "</f>
        <v xml:space="preserve">419         </v>
      </c>
      <c r="E9962" t="s">
        <v>1505</v>
      </c>
      <c r="F9962" t="s">
        <v>1506</v>
      </c>
      <c r="G9962">
        <v>303.89999999999998</v>
      </c>
      <c r="H9962">
        <v>250314</v>
      </c>
      <c r="I9962">
        <v>4600</v>
      </c>
      <c r="J9962" t="s">
        <v>278</v>
      </c>
      <c r="K9962">
        <v>303.89999999999998</v>
      </c>
      <c r="L9962">
        <v>0</v>
      </c>
      <c r="M9962">
        <v>69704</v>
      </c>
      <c r="N9962" t="s">
        <v>89</v>
      </c>
      <c r="O9962">
        <v>250401</v>
      </c>
      <c r="P9962">
        <v>303.89999999999998</v>
      </c>
    </row>
    <row r="9963" spans="1:16" x14ac:dyDescent="0.25">
      <c r="A9963" t="s">
        <v>3296</v>
      </c>
      <c r="B9963" t="s">
        <v>2931</v>
      </c>
      <c r="C9963">
        <v>1941</v>
      </c>
      <c r="D9963" t="str">
        <f>"21628995    "</f>
        <v xml:space="preserve">21628995    </v>
      </c>
      <c r="E9963" t="s">
        <v>1163</v>
      </c>
      <c r="F9963" t="s">
        <v>1165</v>
      </c>
      <c r="G9963">
        <v>81</v>
      </c>
      <c r="H9963">
        <v>250212</v>
      </c>
      <c r="I9963">
        <v>4600</v>
      </c>
      <c r="J9963" t="s">
        <v>278</v>
      </c>
      <c r="K9963">
        <v>81</v>
      </c>
      <c r="L9963">
        <v>16.46</v>
      </c>
      <c r="M9963">
        <v>17650</v>
      </c>
      <c r="N9963" t="s">
        <v>1164</v>
      </c>
      <c r="O9963">
        <v>250218</v>
      </c>
      <c r="P9963">
        <v>64.540000000000006</v>
      </c>
    </row>
    <row r="9964" spans="1:16" x14ac:dyDescent="0.25">
      <c r="A9964" t="s">
        <v>3296</v>
      </c>
      <c r="B9964" t="s">
        <v>2931</v>
      </c>
      <c r="C9964">
        <v>15048</v>
      </c>
      <c r="D9964" t="str">
        <f>"198         "</f>
        <v xml:space="preserve">198         </v>
      </c>
      <c r="E9964" t="s">
        <v>1163</v>
      </c>
      <c r="F9964" t="s">
        <v>1165</v>
      </c>
      <c r="G9964">
        <v>414</v>
      </c>
      <c r="H9964">
        <v>251106</v>
      </c>
      <c r="I9964">
        <v>4600</v>
      </c>
      <c r="J9964" t="s">
        <v>278</v>
      </c>
      <c r="K9964">
        <v>414</v>
      </c>
      <c r="L9964">
        <v>84.12</v>
      </c>
      <c r="M9964">
        <v>17536</v>
      </c>
      <c r="N9964" t="s">
        <v>150</v>
      </c>
      <c r="O9964">
        <v>251111</v>
      </c>
      <c r="P9964">
        <v>329.88</v>
      </c>
    </row>
    <row r="9965" spans="1:16" x14ac:dyDescent="0.25">
      <c r="A9965" t="s">
        <v>3296</v>
      </c>
      <c r="B9965" t="s">
        <v>2931</v>
      </c>
      <c r="C9965">
        <v>1953</v>
      </c>
      <c r="D9965" t="str">
        <f>"743         "</f>
        <v xml:space="preserve">743         </v>
      </c>
      <c r="E9965" t="s">
        <v>1166</v>
      </c>
      <c r="F9965" t="s">
        <v>1167</v>
      </c>
      <c r="G9965">
        <v>139.68</v>
      </c>
      <c r="H9965">
        <v>250207</v>
      </c>
      <c r="I9965">
        <v>4470</v>
      </c>
      <c r="J9965" t="s">
        <v>203</v>
      </c>
      <c r="K9965">
        <v>139.68</v>
      </c>
      <c r="L9965">
        <v>28.38</v>
      </c>
      <c r="M9965">
        <v>17737</v>
      </c>
      <c r="N9965" t="s">
        <v>156</v>
      </c>
      <c r="O9965">
        <v>250218</v>
      </c>
      <c r="P9965">
        <v>111.3</v>
      </c>
    </row>
    <row r="9966" spans="1:16" x14ac:dyDescent="0.25">
      <c r="A9966" t="s">
        <v>3296</v>
      </c>
      <c r="B9966" t="s">
        <v>2931</v>
      </c>
      <c r="C9966">
        <v>13746</v>
      </c>
      <c r="D9966" t="str">
        <f>"374371      "</f>
        <v xml:space="preserve">374371      </v>
      </c>
      <c r="E9966" t="s">
        <v>2441</v>
      </c>
      <c r="F9966" t="s">
        <v>2442</v>
      </c>
      <c r="G9966">
        <v>1258.74</v>
      </c>
      <c r="H9966">
        <v>251009</v>
      </c>
      <c r="I9966">
        <v>4420</v>
      </c>
      <c r="J9966" t="s">
        <v>330</v>
      </c>
      <c r="K9966">
        <v>1258.74</v>
      </c>
      <c r="L9966">
        <v>255.76</v>
      </c>
      <c r="M9966">
        <v>67554</v>
      </c>
      <c r="N9966" t="s">
        <v>317</v>
      </c>
      <c r="O9966">
        <v>251017</v>
      </c>
      <c r="P9966">
        <v>1002.98</v>
      </c>
    </row>
    <row r="9967" spans="1:16" x14ac:dyDescent="0.25">
      <c r="A9967" t="s">
        <v>3296</v>
      </c>
      <c r="B9967" t="s">
        <v>2931</v>
      </c>
      <c r="C9967">
        <v>3503</v>
      </c>
      <c r="D9967" t="str">
        <f>"1526        "</f>
        <v xml:space="preserve">1526        </v>
      </c>
      <c r="E9967" t="s">
        <v>1443</v>
      </c>
      <c r="F9967" t="s">
        <v>1444</v>
      </c>
      <c r="G9967">
        <v>40.840000000000003</v>
      </c>
      <c r="H9967">
        <v>250303</v>
      </c>
      <c r="I9967">
        <v>4534</v>
      </c>
      <c r="J9967" t="s">
        <v>349</v>
      </c>
      <c r="K9967">
        <v>40.840000000000003</v>
      </c>
      <c r="L9967">
        <v>5.0199999999999996</v>
      </c>
      <c r="M9967">
        <v>14321</v>
      </c>
      <c r="N9967" t="s">
        <v>72</v>
      </c>
      <c r="O9967">
        <v>250324</v>
      </c>
      <c r="P9967">
        <v>35.82</v>
      </c>
    </row>
    <row r="9968" spans="1:16" x14ac:dyDescent="0.25">
      <c r="A9968" t="s">
        <v>3296</v>
      </c>
      <c r="B9968" t="s">
        <v>2931</v>
      </c>
      <c r="C9968">
        <v>16314</v>
      </c>
      <c r="D9968" t="str">
        <f>"1917        "</f>
        <v xml:space="preserve">1917        </v>
      </c>
      <c r="E9968" t="s">
        <v>1443</v>
      </c>
      <c r="F9968" t="s">
        <v>1444</v>
      </c>
      <c r="G9968">
        <v>23.27</v>
      </c>
      <c r="H9968">
        <v>251130</v>
      </c>
      <c r="I9968">
        <v>4555</v>
      </c>
      <c r="J9968" t="s">
        <v>352</v>
      </c>
      <c r="K9968">
        <v>23.27</v>
      </c>
      <c r="L9968">
        <v>2.86</v>
      </c>
      <c r="M9968">
        <v>14321</v>
      </c>
      <c r="N9968" t="s">
        <v>72</v>
      </c>
      <c r="O9968">
        <v>251205</v>
      </c>
      <c r="P9968">
        <v>20.41</v>
      </c>
    </row>
    <row r="9969" spans="1:16" x14ac:dyDescent="0.25">
      <c r="A9969" t="s">
        <v>3296</v>
      </c>
      <c r="B9969" t="s">
        <v>2931</v>
      </c>
      <c r="C9969">
        <v>14257</v>
      </c>
      <c r="D9969" t="str">
        <f>"1687        "</f>
        <v xml:space="preserve">1687        </v>
      </c>
      <c r="E9969" t="s">
        <v>3149</v>
      </c>
      <c r="F9969" t="s">
        <v>3150</v>
      </c>
      <c r="G9969">
        <v>115</v>
      </c>
      <c r="H9969">
        <v>251021</v>
      </c>
      <c r="I9969">
        <v>4940</v>
      </c>
      <c r="J9969" t="s">
        <v>250</v>
      </c>
      <c r="K9969">
        <v>115</v>
      </c>
      <c r="L9969">
        <v>0</v>
      </c>
      <c r="M9969">
        <v>66754</v>
      </c>
      <c r="N9969" t="s">
        <v>119</v>
      </c>
      <c r="O9969">
        <v>251028</v>
      </c>
      <c r="P9969">
        <v>115</v>
      </c>
    </row>
    <row r="9970" spans="1:16" x14ac:dyDescent="0.25">
      <c r="A9970" t="s">
        <v>3296</v>
      </c>
      <c r="B9970" t="s">
        <v>2931</v>
      </c>
      <c r="C9970">
        <v>627</v>
      </c>
      <c r="D9970" t="str">
        <f>"426866      "</f>
        <v xml:space="preserve">426866      </v>
      </c>
      <c r="E9970" t="s">
        <v>625</v>
      </c>
      <c r="F9970" t="s">
        <v>626</v>
      </c>
      <c r="G9970">
        <v>201.3</v>
      </c>
      <c r="H9970">
        <v>250116</v>
      </c>
      <c r="I9970">
        <v>4555</v>
      </c>
      <c r="J9970" t="s">
        <v>352</v>
      </c>
      <c r="K9970">
        <v>201.3</v>
      </c>
      <c r="L9970">
        <v>40.9</v>
      </c>
      <c r="M9970">
        <v>17521</v>
      </c>
      <c r="N9970" t="s">
        <v>136</v>
      </c>
      <c r="O9970">
        <v>250124</v>
      </c>
      <c r="P9970">
        <v>160.4</v>
      </c>
    </row>
    <row r="9971" spans="1:16" x14ac:dyDescent="0.25">
      <c r="A9971" t="s">
        <v>3296</v>
      </c>
      <c r="B9971" t="s">
        <v>2931</v>
      </c>
      <c r="C9971">
        <v>4269</v>
      </c>
      <c r="D9971" t="str">
        <f>"427900      "</f>
        <v xml:space="preserve">427900      </v>
      </c>
      <c r="E9971" t="s">
        <v>625</v>
      </c>
      <c r="F9971" t="s">
        <v>626</v>
      </c>
      <c r="G9971">
        <v>27.64</v>
      </c>
      <c r="H9971">
        <v>250328</v>
      </c>
      <c r="I9971">
        <v>4600</v>
      </c>
      <c r="J9971" t="s">
        <v>278</v>
      </c>
      <c r="K9971">
        <v>27.64</v>
      </c>
      <c r="L9971">
        <v>5.62</v>
      </c>
      <c r="M9971">
        <v>55222</v>
      </c>
      <c r="N9971" t="s">
        <v>43</v>
      </c>
      <c r="O9971">
        <v>250410</v>
      </c>
      <c r="P9971">
        <v>22.02</v>
      </c>
    </row>
    <row r="9972" spans="1:16" x14ac:dyDescent="0.25">
      <c r="A9972" t="s">
        <v>3296</v>
      </c>
      <c r="B9972" t="s">
        <v>2931</v>
      </c>
      <c r="C9972">
        <v>10195</v>
      </c>
      <c r="D9972" t="str">
        <f>"428731      "</f>
        <v xml:space="preserve">428731      </v>
      </c>
      <c r="E9972" t="s">
        <v>625</v>
      </c>
      <c r="F9972" t="s">
        <v>626</v>
      </c>
      <c r="G9972">
        <v>81.88</v>
      </c>
      <c r="H9972">
        <v>250807</v>
      </c>
      <c r="I9972">
        <v>4600</v>
      </c>
      <c r="J9972" t="s">
        <v>278</v>
      </c>
      <c r="K9972">
        <v>81.88</v>
      </c>
      <c r="L9972">
        <v>16.64</v>
      </c>
      <c r="M9972">
        <v>17536</v>
      </c>
      <c r="N9972" t="s">
        <v>150</v>
      </c>
      <c r="O9972">
        <v>250813</v>
      </c>
      <c r="P9972">
        <v>65.239999999999995</v>
      </c>
    </row>
    <row r="9973" spans="1:16" x14ac:dyDescent="0.25">
      <c r="A9973" t="s">
        <v>3296</v>
      </c>
      <c r="B9973" t="s">
        <v>2931</v>
      </c>
      <c r="C9973">
        <v>14293</v>
      </c>
      <c r="D9973" t="str">
        <f>"0340        "</f>
        <v xml:space="preserve">0340        </v>
      </c>
      <c r="E9973" t="s">
        <v>2495</v>
      </c>
      <c r="F9973" t="s">
        <v>2496</v>
      </c>
      <c r="G9973">
        <v>815.75</v>
      </c>
      <c r="H9973">
        <v>251022</v>
      </c>
      <c r="I9973">
        <v>4440</v>
      </c>
      <c r="J9973" t="s">
        <v>346</v>
      </c>
      <c r="K9973">
        <v>815.75</v>
      </c>
      <c r="L9973">
        <v>165.75</v>
      </c>
      <c r="M9973">
        <v>17802</v>
      </c>
      <c r="N9973" t="s">
        <v>18</v>
      </c>
      <c r="O9973">
        <v>251029</v>
      </c>
      <c r="P9973">
        <v>650</v>
      </c>
    </row>
    <row r="9974" spans="1:16" x14ac:dyDescent="0.25">
      <c r="A9974" t="s">
        <v>3296</v>
      </c>
      <c r="B9974" t="s">
        <v>2931</v>
      </c>
      <c r="C9974">
        <v>5775</v>
      </c>
      <c r="D9974" t="str">
        <f>"37001915    "</f>
        <v xml:space="preserve">37001915    </v>
      </c>
      <c r="E9974" t="s">
        <v>2940</v>
      </c>
      <c r="F9974" t="s">
        <v>2941</v>
      </c>
      <c r="G9974">
        <v>9</v>
      </c>
      <c r="H9974">
        <v>250414</v>
      </c>
      <c r="I9974">
        <v>4410</v>
      </c>
      <c r="J9974" t="s">
        <v>165</v>
      </c>
      <c r="K9974">
        <v>28.6</v>
      </c>
      <c r="L9974">
        <v>1.1100000000000001</v>
      </c>
      <c r="M9974">
        <v>17521</v>
      </c>
      <c r="N9974" t="s">
        <v>136</v>
      </c>
      <c r="O9974">
        <v>250505</v>
      </c>
      <c r="P9974">
        <v>7.89</v>
      </c>
    </row>
    <row r="9975" spans="1:16" x14ac:dyDescent="0.25">
      <c r="A9975" t="s">
        <v>3296</v>
      </c>
      <c r="B9975" t="s">
        <v>2931</v>
      </c>
      <c r="C9975">
        <v>5775</v>
      </c>
      <c r="D9975" t="str">
        <f>"37001915    "</f>
        <v xml:space="preserve">37001915    </v>
      </c>
      <c r="E9975" t="s">
        <v>2940</v>
      </c>
      <c r="F9975" t="s">
        <v>2941</v>
      </c>
      <c r="G9975">
        <v>19.600000000000001</v>
      </c>
      <c r="H9975">
        <v>250414</v>
      </c>
      <c r="I9975">
        <v>4410</v>
      </c>
      <c r="J9975" t="s">
        <v>165</v>
      </c>
      <c r="K9975">
        <v>28.6</v>
      </c>
      <c r="L9975">
        <v>0</v>
      </c>
      <c r="M9975">
        <v>17521</v>
      </c>
      <c r="N9975" t="s">
        <v>136</v>
      </c>
      <c r="O9975">
        <v>250505</v>
      </c>
      <c r="P9975">
        <v>19.600000000000001</v>
      </c>
    </row>
    <row r="9976" spans="1:16" x14ac:dyDescent="0.25">
      <c r="A9976" t="s">
        <v>3296</v>
      </c>
      <c r="B9976" t="s">
        <v>2931</v>
      </c>
      <c r="C9976">
        <v>11249</v>
      </c>
      <c r="D9976" t="str">
        <f>"206271      "</f>
        <v xml:space="preserve">206271      </v>
      </c>
      <c r="E9976" t="s">
        <v>2265</v>
      </c>
      <c r="F9976" t="s">
        <v>2266</v>
      </c>
      <c r="G9976">
        <v>50</v>
      </c>
      <c r="H9976">
        <v>250827</v>
      </c>
      <c r="I9976">
        <v>4347</v>
      </c>
      <c r="J9976" t="s">
        <v>328</v>
      </c>
      <c r="K9976">
        <v>585.91999999999996</v>
      </c>
      <c r="L9976">
        <v>0</v>
      </c>
      <c r="M9976">
        <v>11900</v>
      </c>
      <c r="N9976" t="s">
        <v>30</v>
      </c>
      <c r="O9976">
        <v>250902</v>
      </c>
      <c r="P9976">
        <v>50</v>
      </c>
    </row>
    <row r="9977" spans="1:16" x14ac:dyDescent="0.25">
      <c r="A9977" t="s">
        <v>3296</v>
      </c>
      <c r="B9977" t="s">
        <v>2931</v>
      </c>
      <c r="C9977">
        <v>11601</v>
      </c>
      <c r="D9977" t="str">
        <f>"206341      "</f>
        <v xml:space="preserve">206341      </v>
      </c>
      <c r="E9977" t="s">
        <v>2265</v>
      </c>
      <c r="F9977" t="s">
        <v>2266</v>
      </c>
      <c r="G9977">
        <v>40</v>
      </c>
      <c r="H9977">
        <v>250901</v>
      </c>
      <c r="I9977">
        <v>4347</v>
      </c>
      <c r="J9977" t="s">
        <v>328</v>
      </c>
      <c r="K9977">
        <v>376.6</v>
      </c>
      <c r="L9977">
        <v>0</v>
      </c>
      <c r="M9977">
        <v>11902</v>
      </c>
      <c r="N9977" t="s">
        <v>329</v>
      </c>
      <c r="O9977">
        <v>250909</v>
      </c>
      <c r="P9977">
        <v>40</v>
      </c>
    </row>
    <row r="9978" spans="1:16" x14ac:dyDescent="0.25">
      <c r="A9978" t="s">
        <v>3296</v>
      </c>
      <c r="B9978" t="s">
        <v>2931</v>
      </c>
      <c r="C9978">
        <v>12887</v>
      </c>
      <c r="D9978" t="str">
        <f>"206613      "</f>
        <v xml:space="preserve">206613      </v>
      </c>
      <c r="E9978" t="s">
        <v>2265</v>
      </c>
      <c r="F9978" t="s">
        <v>2266</v>
      </c>
      <c r="G9978">
        <v>80</v>
      </c>
      <c r="H9978">
        <v>250926</v>
      </c>
      <c r="I9978">
        <v>4347</v>
      </c>
      <c r="J9978" t="s">
        <v>328</v>
      </c>
      <c r="K9978">
        <v>683.64</v>
      </c>
      <c r="L9978">
        <v>0</v>
      </c>
      <c r="M9978">
        <v>11981</v>
      </c>
      <c r="N9978" t="s">
        <v>2404</v>
      </c>
      <c r="O9978">
        <v>251001</v>
      </c>
      <c r="P9978">
        <v>80</v>
      </c>
    </row>
    <row r="9979" spans="1:16" x14ac:dyDescent="0.25">
      <c r="A9979" t="s">
        <v>3296</v>
      </c>
      <c r="B9979" t="s">
        <v>2931</v>
      </c>
      <c r="C9979">
        <v>13393</v>
      </c>
      <c r="D9979" t="str">
        <f>"206715      "</f>
        <v xml:space="preserve">206715      </v>
      </c>
      <c r="E9979" t="s">
        <v>2265</v>
      </c>
      <c r="F9979" t="s">
        <v>2266</v>
      </c>
      <c r="G9979">
        <v>160</v>
      </c>
      <c r="H9979">
        <v>251006</v>
      </c>
      <c r="I9979">
        <v>4347</v>
      </c>
      <c r="J9979" t="s">
        <v>328</v>
      </c>
      <c r="K9979">
        <v>636.6</v>
      </c>
      <c r="L9979">
        <v>0</v>
      </c>
      <c r="M9979">
        <v>11902</v>
      </c>
      <c r="N9979" t="s">
        <v>329</v>
      </c>
      <c r="O9979">
        <v>251008</v>
      </c>
      <c r="P9979">
        <v>160</v>
      </c>
    </row>
    <row r="9980" spans="1:16" x14ac:dyDescent="0.25">
      <c r="A9980" t="s">
        <v>3296</v>
      </c>
      <c r="B9980" t="s">
        <v>2931</v>
      </c>
      <c r="C9980">
        <v>14301</v>
      </c>
      <c r="D9980" t="str">
        <f>"206872      "</f>
        <v xml:space="preserve">206872      </v>
      </c>
      <c r="E9980" t="s">
        <v>2265</v>
      </c>
      <c r="F9980" t="s">
        <v>2266</v>
      </c>
      <c r="G9980">
        <v>10</v>
      </c>
      <c r="H9980">
        <v>251023</v>
      </c>
      <c r="I9980">
        <v>4347</v>
      </c>
      <c r="J9980" t="s">
        <v>328</v>
      </c>
      <c r="K9980">
        <v>576.6</v>
      </c>
      <c r="L9980">
        <v>2.0299999999999998</v>
      </c>
      <c r="M9980">
        <v>11902</v>
      </c>
      <c r="N9980" t="s">
        <v>329</v>
      </c>
      <c r="O9980">
        <v>251029</v>
      </c>
      <c r="P9980">
        <v>7.97</v>
      </c>
    </row>
    <row r="9981" spans="1:16" x14ac:dyDescent="0.25">
      <c r="A9981" t="s">
        <v>3296</v>
      </c>
      <c r="B9981" t="s">
        <v>2931</v>
      </c>
      <c r="C9981">
        <v>14301</v>
      </c>
      <c r="D9981" t="str">
        <f>"206872      "</f>
        <v xml:space="preserve">206872      </v>
      </c>
      <c r="E9981" t="s">
        <v>2265</v>
      </c>
      <c r="F9981" t="s">
        <v>2266</v>
      </c>
      <c r="G9981">
        <v>40</v>
      </c>
      <c r="H9981">
        <v>251023</v>
      </c>
      <c r="I9981">
        <v>4347</v>
      </c>
      <c r="J9981" t="s">
        <v>328</v>
      </c>
      <c r="K9981">
        <v>576.6</v>
      </c>
      <c r="L9981">
        <v>0</v>
      </c>
      <c r="M9981">
        <v>11902</v>
      </c>
      <c r="N9981" t="s">
        <v>329</v>
      </c>
      <c r="O9981">
        <v>251029</v>
      </c>
      <c r="P9981">
        <v>40</v>
      </c>
    </row>
    <row r="9982" spans="1:16" x14ac:dyDescent="0.25">
      <c r="A9982" t="s">
        <v>3296</v>
      </c>
      <c r="B9982" t="s">
        <v>2931</v>
      </c>
      <c r="C9982">
        <v>16028</v>
      </c>
      <c r="D9982" t="str">
        <f>"207249      "</f>
        <v xml:space="preserve">207249      </v>
      </c>
      <c r="E9982" t="s">
        <v>2265</v>
      </c>
      <c r="F9982" t="s">
        <v>2266</v>
      </c>
      <c r="G9982">
        <v>240</v>
      </c>
      <c r="H9982">
        <v>251201</v>
      </c>
      <c r="I9982">
        <v>4347</v>
      </c>
      <c r="J9982" t="s">
        <v>328</v>
      </c>
      <c r="K9982">
        <v>2028</v>
      </c>
      <c r="L9982">
        <v>0</v>
      </c>
      <c r="M9982">
        <v>11902</v>
      </c>
      <c r="N9982" t="s">
        <v>329</v>
      </c>
      <c r="O9982">
        <v>251202</v>
      </c>
      <c r="P9982">
        <v>240</v>
      </c>
    </row>
    <row r="9983" spans="1:16" x14ac:dyDescent="0.25">
      <c r="A9983" t="s">
        <v>3296</v>
      </c>
      <c r="B9983" t="s">
        <v>2931</v>
      </c>
      <c r="C9983">
        <v>16607</v>
      </c>
      <c r="D9983" t="str">
        <f>"207439      "</f>
        <v xml:space="preserve">207439      </v>
      </c>
      <c r="E9983" t="s">
        <v>2265</v>
      </c>
      <c r="F9983" t="s">
        <v>2266</v>
      </c>
      <c r="G9983">
        <v>40</v>
      </c>
      <c r="H9983">
        <v>251204</v>
      </c>
      <c r="I9983">
        <v>4347</v>
      </c>
      <c r="J9983" t="s">
        <v>328</v>
      </c>
      <c r="K9983">
        <v>267.58999999999997</v>
      </c>
      <c r="L9983">
        <v>0</v>
      </c>
      <c r="M9983">
        <v>11902</v>
      </c>
      <c r="N9983" t="s">
        <v>329</v>
      </c>
      <c r="O9983">
        <v>251210</v>
      </c>
      <c r="P9983">
        <v>40</v>
      </c>
    </row>
    <row r="9984" spans="1:16" x14ac:dyDescent="0.25">
      <c r="A9984" t="s">
        <v>3296</v>
      </c>
      <c r="B9984" t="s">
        <v>2931</v>
      </c>
      <c r="C9984">
        <v>17198</v>
      </c>
      <c r="D9984" t="str">
        <f>"207462      "</f>
        <v xml:space="preserve">207462      </v>
      </c>
      <c r="E9984" t="s">
        <v>2265</v>
      </c>
      <c r="F9984" t="s">
        <v>2266</v>
      </c>
      <c r="G9984">
        <v>120</v>
      </c>
      <c r="H9984">
        <v>251210</v>
      </c>
      <c r="I9984">
        <v>4347</v>
      </c>
      <c r="J9984" t="s">
        <v>328</v>
      </c>
      <c r="K9984">
        <v>777.75</v>
      </c>
      <c r="L9984">
        <v>0</v>
      </c>
      <c r="M9984">
        <v>11905</v>
      </c>
      <c r="N9984" t="s">
        <v>643</v>
      </c>
      <c r="O9984">
        <v>251218</v>
      </c>
      <c r="P9984">
        <v>120</v>
      </c>
    </row>
    <row r="9985" spans="1:16" x14ac:dyDescent="0.25">
      <c r="A9985" t="s">
        <v>3296</v>
      </c>
      <c r="B9985" t="s">
        <v>2931</v>
      </c>
      <c r="C9985">
        <v>17204</v>
      </c>
      <c r="D9985" t="str">
        <f>"207511      "</f>
        <v xml:space="preserve">207511      </v>
      </c>
      <c r="E9985" t="s">
        <v>2265</v>
      </c>
      <c r="F9985" t="s">
        <v>2266</v>
      </c>
      <c r="G9985">
        <v>40</v>
      </c>
      <c r="H9985">
        <v>251215</v>
      </c>
      <c r="I9985">
        <v>4347</v>
      </c>
      <c r="J9985" t="s">
        <v>328</v>
      </c>
      <c r="K9985">
        <v>411.24</v>
      </c>
      <c r="L9985">
        <v>0</v>
      </c>
      <c r="M9985">
        <v>11902</v>
      </c>
      <c r="N9985" t="s">
        <v>329</v>
      </c>
      <c r="O9985">
        <v>251218</v>
      </c>
      <c r="P9985">
        <v>40</v>
      </c>
    </row>
    <row r="9986" spans="1:16" x14ac:dyDescent="0.25">
      <c r="A9986" t="s">
        <v>3296</v>
      </c>
      <c r="B9986" t="s">
        <v>2931</v>
      </c>
      <c r="C9986">
        <v>14301</v>
      </c>
      <c r="D9986" t="str">
        <f>"206872      "</f>
        <v xml:space="preserve">206872      </v>
      </c>
      <c r="E9986" t="s">
        <v>2265</v>
      </c>
      <c r="F9986" t="s">
        <v>2266</v>
      </c>
      <c r="G9986">
        <v>43</v>
      </c>
      <c r="H9986">
        <v>251023</v>
      </c>
      <c r="I9986">
        <v>4410</v>
      </c>
      <c r="J9986" t="s">
        <v>165</v>
      </c>
      <c r="K9986">
        <v>576.6</v>
      </c>
      <c r="L9986">
        <v>8.74</v>
      </c>
      <c r="M9986">
        <v>11902</v>
      </c>
      <c r="N9986" t="s">
        <v>329</v>
      </c>
      <c r="O9986">
        <v>251029</v>
      </c>
      <c r="P9986">
        <v>34.26</v>
      </c>
    </row>
    <row r="9987" spans="1:16" x14ac:dyDescent="0.25">
      <c r="A9987" t="s">
        <v>3296</v>
      </c>
      <c r="B9987" t="s">
        <v>2931</v>
      </c>
      <c r="C9987">
        <v>14301</v>
      </c>
      <c r="D9987" t="str">
        <f>"206872      "</f>
        <v xml:space="preserve">206872      </v>
      </c>
      <c r="E9987" t="s">
        <v>2265</v>
      </c>
      <c r="F9987" t="s">
        <v>2266</v>
      </c>
      <c r="G9987">
        <v>126</v>
      </c>
      <c r="H9987">
        <v>251023</v>
      </c>
      <c r="I9987">
        <v>4410</v>
      </c>
      <c r="J9987" t="s">
        <v>165</v>
      </c>
      <c r="K9987">
        <v>576.6</v>
      </c>
      <c r="L9987">
        <v>0</v>
      </c>
      <c r="M9987">
        <v>11902</v>
      </c>
      <c r="N9987" t="s">
        <v>329</v>
      </c>
      <c r="O9987">
        <v>251029</v>
      </c>
      <c r="P9987">
        <v>126</v>
      </c>
    </row>
    <row r="9988" spans="1:16" x14ac:dyDescent="0.25">
      <c r="A9988" t="s">
        <v>3296</v>
      </c>
      <c r="B9988" t="s">
        <v>2931</v>
      </c>
      <c r="C9988">
        <v>14308</v>
      </c>
      <c r="D9988" t="str">
        <f>"206896      "</f>
        <v xml:space="preserve">206896      </v>
      </c>
      <c r="E9988" t="s">
        <v>2265</v>
      </c>
      <c r="F9988" t="s">
        <v>2266</v>
      </c>
      <c r="G9988">
        <v>332.99</v>
      </c>
      <c r="H9988">
        <v>251101</v>
      </c>
      <c r="I9988">
        <v>4410</v>
      </c>
      <c r="J9988" t="s">
        <v>165</v>
      </c>
      <c r="K9988">
        <v>7161.64</v>
      </c>
      <c r="L9988">
        <v>67.66</v>
      </c>
      <c r="M9988">
        <v>11951</v>
      </c>
      <c r="N9988" t="s">
        <v>428</v>
      </c>
      <c r="O9988">
        <v>251029</v>
      </c>
      <c r="P9988">
        <v>265.33</v>
      </c>
    </row>
    <row r="9989" spans="1:16" x14ac:dyDescent="0.25">
      <c r="A9989" t="s">
        <v>3296</v>
      </c>
      <c r="B9989" t="s">
        <v>2931</v>
      </c>
      <c r="C9989">
        <v>14308</v>
      </c>
      <c r="D9989" t="str">
        <f>"206896      "</f>
        <v xml:space="preserve">206896      </v>
      </c>
      <c r="E9989" t="s">
        <v>2265</v>
      </c>
      <c r="F9989" t="s">
        <v>2266</v>
      </c>
      <c r="G9989">
        <v>1447</v>
      </c>
      <c r="H9989">
        <v>251101</v>
      </c>
      <c r="I9989">
        <v>4410</v>
      </c>
      <c r="J9989" t="s">
        <v>165</v>
      </c>
      <c r="K9989">
        <v>7161.64</v>
      </c>
      <c r="L9989">
        <v>0</v>
      </c>
      <c r="M9989">
        <v>11951</v>
      </c>
      <c r="N9989" t="s">
        <v>428</v>
      </c>
      <c r="O9989">
        <v>251029</v>
      </c>
      <c r="P9989">
        <v>1447</v>
      </c>
    </row>
    <row r="9990" spans="1:16" x14ac:dyDescent="0.25">
      <c r="A9990" t="s">
        <v>3296</v>
      </c>
      <c r="B9990" t="s">
        <v>2931</v>
      </c>
      <c r="C9990">
        <v>15819</v>
      </c>
      <c r="D9990" t="str">
        <f>"207170      "</f>
        <v xml:space="preserve">207170      </v>
      </c>
      <c r="E9990" t="s">
        <v>2265</v>
      </c>
      <c r="F9990" t="s">
        <v>2266</v>
      </c>
      <c r="G9990">
        <v>308</v>
      </c>
      <c r="H9990">
        <v>251201</v>
      </c>
      <c r="I9990">
        <v>4410</v>
      </c>
      <c r="J9990" t="s">
        <v>165</v>
      </c>
      <c r="K9990">
        <v>1608</v>
      </c>
      <c r="L9990">
        <v>62.58</v>
      </c>
      <c r="M9990">
        <v>11902</v>
      </c>
      <c r="N9990" t="s">
        <v>329</v>
      </c>
      <c r="O9990">
        <v>251127</v>
      </c>
      <c r="P9990">
        <v>245.42</v>
      </c>
    </row>
    <row r="9991" spans="1:16" x14ac:dyDescent="0.25">
      <c r="A9991" t="s">
        <v>3296</v>
      </c>
      <c r="B9991" t="s">
        <v>2931</v>
      </c>
      <c r="C9991">
        <v>15819</v>
      </c>
      <c r="D9991" t="str">
        <f>"207170      "</f>
        <v xml:space="preserve">207170      </v>
      </c>
      <c r="E9991" t="s">
        <v>2265</v>
      </c>
      <c r="F9991" t="s">
        <v>2266</v>
      </c>
      <c r="G9991">
        <v>1300</v>
      </c>
      <c r="H9991">
        <v>251201</v>
      </c>
      <c r="I9991">
        <v>4410</v>
      </c>
      <c r="J9991" t="s">
        <v>165</v>
      </c>
      <c r="K9991">
        <v>1608</v>
      </c>
      <c r="L9991">
        <v>0</v>
      </c>
      <c r="M9991">
        <v>11902</v>
      </c>
      <c r="N9991" t="s">
        <v>329</v>
      </c>
      <c r="O9991">
        <v>251127</v>
      </c>
      <c r="P9991">
        <v>1300</v>
      </c>
    </row>
    <row r="9992" spans="1:16" x14ac:dyDescent="0.25">
      <c r="A9992" t="s">
        <v>3296</v>
      </c>
      <c r="B9992" t="s">
        <v>2931</v>
      </c>
      <c r="C9992">
        <v>11249</v>
      </c>
      <c r="D9992" t="str">
        <f>"206271      "</f>
        <v xml:space="preserve">206271      </v>
      </c>
      <c r="E9992" t="s">
        <v>2265</v>
      </c>
      <c r="F9992" t="s">
        <v>2266</v>
      </c>
      <c r="G9992">
        <v>535.91999999999996</v>
      </c>
      <c r="H9992">
        <v>250827</v>
      </c>
      <c r="I9992">
        <v>4420</v>
      </c>
      <c r="J9992" t="s">
        <v>330</v>
      </c>
      <c r="K9992">
        <v>585.91999999999996</v>
      </c>
      <c r="L9992">
        <v>0</v>
      </c>
      <c r="M9992">
        <v>11900</v>
      </c>
      <c r="N9992" t="s">
        <v>30</v>
      </c>
      <c r="O9992">
        <v>250902</v>
      </c>
      <c r="P9992">
        <v>535.91999999999996</v>
      </c>
    </row>
    <row r="9993" spans="1:16" x14ac:dyDescent="0.25">
      <c r="A9993" t="s">
        <v>3296</v>
      </c>
      <c r="B9993" t="s">
        <v>2931</v>
      </c>
      <c r="C9993">
        <v>11601</v>
      </c>
      <c r="D9993" t="str">
        <f>"206341      "</f>
        <v xml:space="preserve">206341      </v>
      </c>
      <c r="E9993" t="s">
        <v>2265</v>
      </c>
      <c r="F9993" t="s">
        <v>2266</v>
      </c>
      <c r="G9993">
        <v>336.6</v>
      </c>
      <c r="H9993">
        <v>250901</v>
      </c>
      <c r="I9993">
        <v>4420</v>
      </c>
      <c r="J9993" t="s">
        <v>330</v>
      </c>
      <c r="K9993">
        <v>376.6</v>
      </c>
      <c r="L9993">
        <v>0</v>
      </c>
      <c r="M9993">
        <v>11902</v>
      </c>
      <c r="N9993" t="s">
        <v>329</v>
      </c>
      <c r="O9993">
        <v>250909</v>
      </c>
      <c r="P9993">
        <v>336.6</v>
      </c>
    </row>
    <row r="9994" spans="1:16" x14ac:dyDescent="0.25">
      <c r="A9994" t="s">
        <v>3296</v>
      </c>
      <c r="B9994" t="s">
        <v>2931</v>
      </c>
      <c r="C9994">
        <v>13393</v>
      </c>
      <c r="D9994" t="str">
        <f>"206715      "</f>
        <v xml:space="preserve">206715      </v>
      </c>
      <c r="E9994" t="s">
        <v>2265</v>
      </c>
      <c r="F9994" t="s">
        <v>2266</v>
      </c>
      <c r="G9994">
        <v>476.6</v>
      </c>
      <c r="H9994">
        <v>251006</v>
      </c>
      <c r="I9994">
        <v>4420</v>
      </c>
      <c r="J9994" t="s">
        <v>330</v>
      </c>
      <c r="K9994">
        <v>636.6</v>
      </c>
      <c r="L9994">
        <v>0</v>
      </c>
      <c r="M9994">
        <v>11902</v>
      </c>
      <c r="N9994" t="s">
        <v>329</v>
      </c>
      <c r="O9994">
        <v>251008</v>
      </c>
      <c r="P9994">
        <v>476.6</v>
      </c>
    </row>
    <row r="9995" spans="1:16" x14ac:dyDescent="0.25">
      <c r="A9995" t="s">
        <v>3296</v>
      </c>
      <c r="B9995" t="s">
        <v>2931</v>
      </c>
      <c r="C9995">
        <v>13719</v>
      </c>
      <c r="D9995" t="str">
        <f>"206728      "</f>
        <v xml:space="preserve">206728      </v>
      </c>
      <c r="E9995" t="s">
        <v>2265</v>
      </c>
      <c r="F9995" t="s">
        <v>2266</v>
      </c>
      <c r="G9995">
        <v>1429.8</v>
      </c>
      <c r="H9995">
        <v>251007</v>
      </c>
      <c r="I9995">
        <v>4420</v>
      </c>
      <c r="J9995" t="s">
        <v>330</v>
      </c>
      <c r="K9995">
        <v>1429.8</v>
      </c>
      <c r="L9995">
        <v>0</v>
      </c>
      <c r="M9995">
        <v>11902</v>
      </c>
      <c r="N9995" t="s">
        <v>329</v>
      </c>
      <c r="O9995">
        <v>251017</v>
      </c>
      <c r="P9995">
        <v>1429.8</v>
      </c>
    </row>
    <row r="9996" spans="1:16" x14ac:dyDescent="0.25">
      <c r="A9996" t="s">
        <v>3296</v>
      </c>
      <c r="B9996" t="s">
        <v>2931</v>
      </c>
      <c r="C9996">
        <v>13964</v>
      </c>
      <c r="D9996" t="str">
        <f>"206767      "</f>
        <v xml:space="preserve">206767      </v>
      </c>
      <c r="E9996" t="s">
        <v>2265</v>
      </c>
      <c r="F9996" t="s">
        <v>2266</v>
      </c>
      <c r="G9996">
        <v>248.09</v>
      </c>
      <c r="H9996">
        <v>251031</v>
      </c>
      <c r="I9996">
        <v>4420</v>
      </c>
      <c r="J9996" t="s">
        <v>330</v>
      </c>
      <c r="K9996">
        <v>248.09</v>
      </c>
      <c r="L9996">
        <v>0</v>
      </c>
      <c r="M9996">
        <v>11902</v>
      </c>
      <c r="N9996" t="s">
        <v>329</v>
      </c>
      <c r="O9996">
        <v>251021</v>
      </c>
      <c r="P9996">
        <v>248.09</v>
      </c>
    </row>
    <row r="9997" spans="1:16" x14ac:dyDescent="0.25">
      <c r="A9997" t="s">
        <v>3296</v>
      </c>
      <c r="B9997" t="s">
        <v>2931</v>
      </c>
      <c r="C9997">
        <v>14301</v>
      </c>
      <c r="D9997" t="str">
        <f>"206872      "</f>
        <v xml:space="preserve">206872      </v>
      </c>
      <c r="E9997" t="s">
        <v>2265</v>
      </c>
      <c r="F9997" t="s">
        <v>2266</v>
      </c>
      <c r="G9997">
        <v>357.6</v>
      </c>
      <c r="H9997">
        <v>251023</v>
      </c>
      <c r="I9997">
        <v>4420</v>
      </c>
      <c r="J9997" t="s">
        <v>330</v>
      </c>
      <c r="K9997">
        <v>576.6</v>
      </c>
      <c r="L9997">
        <v>0</v>
      </c>
      <c r="M9997">
        <v>11902</v>
      </c>
      <c r="N9997" t="s">
        <v>329</v>
      </c>
      <c r="O9997">
        <v>251029</v>
      </c>
      <c r="P9997">
        <v>357.6</v>
      </c>
    </row>
    <row r="9998" spans="1:16" x14ac:dyDescent="0.25">
      <c r="A9998" t="s">
        <v>3296</v>
      </c>
      <c r="B9998" t="s">
        <v>2931</v>
      </c>
      <c r="C9998">
        <v>14308</v>
      </c>
      <c r="D9998" t="str">
        <f>"206896      "</f>
        <v xml:space="preserve">206896      </v>
      </c>
      <c r="E9998" t="s">
        <v>2265</v>
      </c>
      <c r="F9998" t="s">
        <v>2266</v>
      </c>
      <c r="G9998">
        <v>5381.65</v>
      </c>
      <c r="H9998">
        <v>251101</v>
      </c>
      <c r="I9998">
        <v>4420</v>
      </c>
      <c r="J9998" t="s">
        <v>330</v>
      </c>
      <c r="K9998">
        <v>7161.64</v>
      </c>
      <c r="L9998">
        <v>0</v>
      </c>
      <c r="M9998">
        <v>11951</v>
      </c>
      <c r="N9998" t="s">
        <v>428</v>
      </c>
      <c r="O9998">
        <v>251029</v>
      </c>
      <c r="P9998">
        <v>5381.65</v>
      </c>
    </row>
    <row r="9999" spans="1:16" x14ac:dyDescent="0.25">
      <c r="A9999" t="s">
        <v>3296</v>
      </c>
      <c r="B9999" t="s">
        <v>2931</v>
      </c>
      <c r="C9999">
        <v>14512</v>
      </c>
      <c r="D9999" t="str">
        <f>"206913      "</f>
        <v xml:space="preserve">206913      </v>
      </c>
      <c r="E9999" t="s">
        <v>2265</v>
      </c>
      <c r="F9999" t="s">
        <v>2266</v>
      </c>
      <c r="G9999">
        <v>6934.86</v>
      </c>
      <c r="H9999">
        <v>251101</v>
      </c>
      <c r="I9999">
        <v>4420</v>
      </c>
      <c r="J9999" t="s">
        <v>330</v>
      </c>
      <c r="K9999">
        <v>6934.86</v>
      </c>
      <c r="L9999">
        <v>0</v>
      </c>
      <c r="M9999">
        <v>11941</v>
      </c>
      <c r="N9999" t="s">
        <v>426</v>
      </c>
      <c r="O9999">
        <v>251104</v>
      </c>
      <c r="P9999">
        <v>6934.86</v>
      </c>
    </row>
    <row r="10000" spans="1:16" x14ac:dyDescent="0.25">
      <c r="A10000" t="s">
        <v>3296</v>
      </c>
      <c r="B10000" t="s">
        <v>2931</v>
      </c>
      <c r="C10000">
        <v>1463</v>
      </c>
      <c r="D10000" t="str">
        <f>"13613       "</f>
        <v xml:space="preserve">13613       </v>
      </c>
      <c r="E10000" t="s">
        <v>994</v>
      </c>
      <c r="F10000" t="s">
        <v>995</v>
      </c>
      <c r="G10000">
        <v>549.47</v>
      </c>
      <c r="H10000">
        <v>250131</v>
      </c>
      <c r="I10000">
        <v>4471</v>
      </c>
      <c r="J10000" t="s">
        <v>191</v>
      </c>
      <c r="K10000">
        <v>1831.57</v>
      </c>
      <c r="L10000">
        <v>111.65</v>
      </c>
      <c r="M10000">
        <v>69111</v>
      </c>
      <c r="N10000" t="s">
        <v>657</v>
      </c>
      <c r="O10000">
        <v>250210</v>
      </c>
      <c r="P10000">
        <v>437.82</v>
      </c>
    </row>
    <row r="10001" spans="1:16" x14ac:dyDescent="0.25">
      <c r="A10001" t="s">
        <v>3296</v>
      </c>
      <c r="B10001" t="s">
        <v>2931</v>
      </c>
      <c r="C10001">
        <v>1463</v>
      </c>
      <c r="D10001" t="str">
        <f>"13613       "</f>
        <v xml:space="preserve">13613       </v>
      </c>
      <c r="E10001" t="s">
        <v>994</v>
      </c>
      <c r="F10001" t="s">
        <v>995</v>
      </c>
      <c r="G10001">
        <v>1282.0999999999999</v>
      </c>
      <c r="H10001">
        <v>250131</v>
      </c>
      <c r="I10001">
        <v>4471</v>
      </c>
      <c r="J10001" t="s">
        <v>191</v>
      </c>
      <c r="K10001">
        <v>1831.57</v>
      </c>
      <c r="L10001">
        <v>260.51</v>
      </c>
      <c r="M10001">
        <v>69501</v>
      </c>
      <c r="N10001" t="s">
        <v>123</v>
      </c>
      <c r="O10001">
        <v>250210</v>
      </c>
      <c r="P10001">
        <v>1021.59</v>
      </c>
    </row>
    <row r="10002" spans="1:16" x14ac:dyDescent="0.25">
      <c r="A10002" t="s">
        <v>3296</v>
      </c>
      <c r="B10002" t="s">
        <v>2931</v>
      </c>
      <c r="C10002">
        <v>1549</v>
      </c>
      <c r="D10002" t="str">
        <f>"13770       "</f>
        <v xml:space="preserve">13770       </v>
      </c>
      <c r="E10002" t="s">
        <v>994</v>
      </c>
      <c r="F10002" t="s">
        <v>995</v>
      </c>
      <c r="G10002">
        <v>85.34</v>
      </c>
      <c r="H10002">
        <v>250131</v>
      </c>
      <c r="I10002">
        <v>4471</v>
      </c>
      <c r="J10002" t="s">
        <v>191</v>
      </c>
      <c r="K10002">
        <v>85.34</v>
      </c>
      <c r="L10002">
        <v>17.34</v>
      </c>
      <c r="M10002">
        <v>69111</v>
      </c>
      <c r="N10002" t="s">
        <v>657</v>
      </c>
      <c r="O10002">
        <v>250211</v>
      </c>
      <c r="P10002">
        <v>68</v>
      </c>
    </row>
    <row r="10003" spans="1:16" x14ac:dyDescent="0.25">
      <c r="A10003" t="s">
        <v>3296</v>
      </c>
      <c r="B10003" t="s">
        <v>2931</v>
      </c>
      <c r="C10003">
        <v>2740</v>
      </c>
      <c r="D10003" t="str">
        <f>"13803       "</f>
        <v xml:space="preserve">13803       </v>
      </c>
      <c r="E10003" t="s">
        <v>994</v>
      </c>
      <c r="F10003" t="s">
        <v>995</v>
      </c>
      <c r="G10003">
        <v>549.47</v>
      </c>
      <c r="H10003">
        <v>250228</v>
      </c>
      <c r="I10003">
        <v>4471</v>
      </c>
      <c r="J10003" t="s">
        <v>191</v>
      </c>
      <c r="K10003">
        <v>1831.57</v>
      </c>
      <c r="L10003">
        <v>111.65</v>
      </c>
      <c r="M10003">
        <v>69111</v>
      </c>
      <c r="N10003" t="s">
        <v>657</v>
      </c>
      <c r="O10003">
        <v>250311</v>
      </c>
      <c r="P10003">
        <v>437.82</v>
      </c>
    </row>
    <row r="10004" spans="1:16" x14ac:dyDescent="0.25">
      <c r="A10004" t="s">
        <v>3296</v>
      </c>
      <c r="B10004" t="s">
        <v>2931</v>
      </c>
      <c r="C10004">
        <v>2740</v>
      </c>
      <c r="D10004" t="str">
        <f>"13803       "</f>
        <v xml:space="preserve">13803       </v>
      </c>
      <c r="E10004" t="s">
        <v>994</v>
      </c>
      <c r="F10004" t="s">
        <v>995</v>
      </c>
      <c r="G10004">
        <v>1282.0999999999999</v>
      </c>
      <c r="H10004">
        <v>250228</v>
      </c>
      <c r="I10004">
        <v>4471</v>
      </c>
      <c r="J10004" t="s">
        <v>191</v>
      </c>
      <c r="K10004">
        <v>1831.57</v>
      </c>
      <c r="L10004">
        <v>260.51</v>
      </c>
      <c r="M10004">
        <v>69501</v>
      </c>
      <c r="N10004" t="s">
        <v>123</v>
      </c>
      <c r="O10004">
        <v>250311</v>
      </c>
      <c r="P10004">
        <v>1021.59</v>
      </c>
    </row>
    <row r="10005" spans="1:16" x14ac:dyDescent="0.25">
      <c r="A10005" t="s">
        <v>3296</v>
      </c>
      <c r="B10005" t="s">
        <v>2931</v>
      </c>
      <c r="C10005">
        <v>3003</v>
      </c>
      <c r="D10005" t="str">
        <f>"13937       "</f>
        <v xml:space="preserve">13937       </v>
      </c>
      <c r="E10005" t="s">
        <v>994</v>
      </c>
      <c r="F10005" t="s">
        <v>995</v>
      </c>
      <c r="G10005">
        <v>85.34</v>
      </c>
      <c r="H10005">
        <v>250228</v>
      </c>
      <c r="I10005">
        <v>4471</v>
      </c>
      <c r="J10005" t="s">
        <v>191</v>
      </c>
      <c r="K10005">
        <v>85.34</v>
      </c>
      <c r="L10005">
        <v>17.34</v>
      </c>
      <c r="M10005">
        <v>69111</v>
      </c>
      <c r="N10005" t="s">
        <v>657</v>
      </c>
      <c r="O10005">
        <v>250314</v>
      </c>
      <c r="P10005">
        <v>68</v>
      </c>
    </row>
    <row r="10006" spans="1:16" x14ac:dyDescent="0.25">
      <c r="A10006" t="s">
        <v>3296</v>
      </c>
      <c r="B10006" t="s">
        <v>2931</v>
      </c>
      <c r="C10006">
        <v>4426</v>
      </c>
      <c r="D10006" t="str">
        <f>"13985       "</f>
        <v xml:space="preserve">13985       </v>
      </c>
      <c r="E10006" t="s">
        <v>994</v>
      </c>
      <c r="F10006" t="s">
        <v>995</v>
      </c>
      <c r="G10006">
        <v>549.47</v>
      </c>
      <c r="H10006">
        <v>250331</v>
      </c>
      <c r="I10006">
        <v>4471</v>
      </c>
      <c r="J10006" t="s">
        <v>191</v>
      </c>
      <c r="K10006">
        <v>1831.57</v>
      </c>
      <c r="L10006">
        <v>111.65</v>
      </c>
      <c r="M10006">
        <v>69111</v>
      </c>
      <c r="N10006" t="s">
        <v>657</v>
      </c>
      <c r="O10006">
        <v>250411</v>
      </c>
      <c r="P10006">
        <v>437.82</v>
      </c>
    </row>
    <row r="10007" spans="1:16" x14ac:dyDescent="0.25">
      <c r="A10007" t="s">
        <v>3296</v>
      </c>
      <c r="B10007" t="s">
        <v>2931</v>
      </c>
      <c r="C10007">
        <v>4426</v>
      </c>
      <c r="D10007" t="str">
        <f>"13985       "</f>
        <v xml:space="preserve">13985       </v>
      </c>
      <c r="E10007" t="s">
        <v>994</v>
      </c>
      <c r="F10007" t="s">
        <v>995</v>
      </c>
      <c r="G10007">
        <v>1282.0999999999999</v>
      </c>
      <c r="H10007">
        <v>250331</v>
      </c>
      <c r="I10007">
        <v>4471</v>
      </c>
      <c r="J10007" t="s">
        <v>191</v>
      </c>
      <c r="K10007">
        <v>1831.57</v>
      </c>
      <c r="L10007">
        <v>260.51</v>
      </c>
      <c r="M10007">
        <v>69501</v>
      </c>
      <c r="N10007" t="s">
        <v>123</v>
      </c>
      <c r="O10007">
        <v>250411</v>
      </c>
      <c r="P10007">
        <v>1021.59</v>
      </c>
    </row>
    <row r="10008" spans="1:16" x14ac:dyDescent="0.25">
      <c r="A10008" t="s">
        <v>3296</v>
      </c>
      <c r="B10008" t="s">
        <v>2931</v>
      </c>
      <c r="C10008">
        <v>4733</v>
      </c>
      <c r="D10008" t="str">
        <f>"14140       "</f>
        <v xml:space="preserve">14140       </v>
      </c>
      <c r="E10008" t="s">
        <v>994</v>
      </c>
      <c r="F10008" t="s">
        <v>995</v>
      </c>
      <c r="G10008">
        <v>170.68</v>
      </c>
      <c r="H10008">
        <v>250331</v>
      </c>
      <c r="I10008">
        <v>4471</v>
      </c>
      <c r="J10008" t="s">
        <v>191</v>
      </c>
      <c r="K10008">
        <v>256.02</v>
      </c>
      <c r="L10008">
        <v>34.68</v>
      </c>
      <c r="M10008">
        <v>69111</v>
      </c>
      <c r="N10008" t="s">
        <v>657</v>
      </c>
      <c r="O10008">
        <v>250415</v>
      </c>
      <c r="P10008">
        <v>136</v>
      </c>
    </row>
    <row r="10009" spans="1:16" x14ac:dyDescent="0.25">
      <c r="A10009" t="s">
        <v>3296</v>
      </c>
      <c r="B10009" t="s">
        <v>2931</v>
      </c>
      <c r="C10009">
        <v>4733</v>
      </c>
      <c r="D10009" t="str">
        <f>"14140       "</f>
        <v xml:space="preserve">14140       </v>
      </c>
      <c r="E10009" t="s">
        <v>994</v>
      </c>
      <c r="F10009" t="s">
        <v>995</v>
      </c>
      <c r="G10009">
        <v>85.34</v>
      </c>
      <c r="H10009">
        <v>250331</v>
      </c>
      <c r="I10009">
        <v>4471</v>
      </c>
      <c r="J10009" t="s">
        <v>191</v>
      </c>
      <c r="K10009">
        <v>256.02</v>
      </c>
      <c r="L10009">
        <v>17.34</v>
      </c>
      <c r="M10009">
        <v>69501</v>
      </c>
      <c r="N10009" t="s">
        <v>123</v>
      </c>
      <c r="O10009">
        <v>250415</v>
      </c>
      <c r="P10009">
        <v>68</v>
      </c>
    </row>
    <row r="10010" spans="1:16" x14ac:dyDescent="0.25">
      <c r="A10010" t="s">
        <v>3296</v>
      </c>
      <c r="B10010" t="s">
        <v>2931</v>
      </c>
      <c r="C10010">
        <v>6030</v>
      </c>
      <c r="D10010" t="str">
        <f>"14181       "</f>
        <v xml:space="preserve">14181       </v>
      </c>
      <c r="E10010" t="s">
        <v>994</v>
      </c>
      <c r="F10010" t="s">
        <v>995</v>
      </c>
      <c r="G10010">
        <v>732.63</v>
      </c>
      <c r="H10010">
        <v>250430</v>
      </c>
      <c r="I10010">
        <v>4471</v>
      </c>
      <c r="J10010" t="s">
        <v>191</v>
      </c>
      <c r="K10010">
        <v>1831.57</v>
      </c>
      <c r="L10010">
        <v>148.86000000000001</v>
      </c>
      <c r="M10010">
        <v>69111</v>
      </c>
      <c r="N10010" t="s">
        <v>657</v>
      </c>
      <c r="O10010">
        <v>250508</v>
      </c>
      <c r="P10010">
        <v>583.77</v>
      </c>
    </row>
    <row r="10011" spans="1:16" x14ac:dyDescent="0.25">
      <c r="A10011" t="s">
        <v>3296</v>
      </c>
      <c r="B10011" t="s">
        <v>2931</v>
      </c>
      <c r="C10011">
        <v>6030</v>
      </c>
      <c r="D10011" t="str">
        <f>"14181       "</f>
        <v xml:space="preserve">14181       </v>
      </c>
      <c r="E10011" t="s">
        <v>994</v>
      </c>
      <c r="F10011" t="s">
        <v>995</v>
      </c>
      <c r="G10011">
        <v>1098.94</v>
      </c>
      <c r="H10011">
        <v>250430</v>
      </c>
      <c r="I10011">
        <v>4471</v>
      </c>
      <c r="J10011" t="s">
        <v>191</v>
      </c>
      <c r="K10011">
        <v>1831.57</v>
      </c>
      <c r="L10011">
        <v>223.29</v>
      </c>
      <c r="M10011">
        <v>69501</v>
      </c>
      <c r="N10011" t="s">
        <v>123</v>
      </c>
      <c r="O10011">
        <v>250508</v>
      </c>
      <c r="P10011">
        <v>875.65</v>
      </c>
    </row>
    <row r="10012" spans="1:16" x14ac:dyDescent="0.25">
      <c r="A10012" t="s">
        <v>3296</v>
      </c>
      <c r="B10012" t="s">
        <v>2931</v>
      </c>
      <c r="C10012">
        <v>6430</v>
      </c>
      <c r="D10012" t="str">
        <f>"14320       "</f>
        <v xml:space="preserve">14320       </v>
      </c>
      <c r="E10012" t="s">
        <v>994</v>
      </c>
      <c r="F10012" t="s">
        <v>995</v>
      </c>
      <c r="G10012">
        <v>85.34</v>
      </c>
      <c r="H10012">
        <v>250430</v>
      </c>
      <c r="I10012">
        <v>4471</v>
      </c>
      <c r="J10012" t="s">
        <v>191</v>
      </c>
      <c r="K10012">
        <v>85.34</v>
      </c>
      <c r="L10012">
        <v>17.34</v>
      </c>
      <c r="M10012">
        <v>69111</v>
      </c>
      <c r="N10012" t="s">
        <v>657</v>
      </c>
      <c r="O10012">
        <v>250513</v>
      </c>
      <c r="P10012">
        <v>68</v>
      </c>
    </row>
    <row r="10013" spans="1:16" x14ac:dyDescent="0.25">
      <c r="A10013" t="s">
        <v>3296</v>
      </c>
      <c r="B10013" t="s">
        <v>2931</v>
      </c>
      <c r="C10013">
        <v>7984</v>
      </c>
      <c r="D10013" t="str">
        <f>"14388       "</f>
        <v xml:space="preserve">14388       </v>
      </c>
      <c r="E10013" t="s">
        <v>994</v>
      </c>
      <c r="F10013" t="s">
        <v>995</v>
      </c>
      <c r="G10013">
        <v>549.47</v>
      </c>
      <c r="H10013">
        <v>250531</v>
      </c>
      <c r="I10013">
        <v>4471</v>
      </c>
      <c r="J10013" t="s">
        <v>191</v>
      </c>
      <c r="K10013">
        <v>1831.57</v>
      </c>
      <c r="L10013">
        <v>111.65</v>
      </c>
      <c r="M10013">
        <v>69111</v>
      </c>
      <c r="N10013" t="s">
        <v>657</v>
      </c>
      <c r="O10013">
        <v>250610</v>
      </c>
      <c r="P10013">
        <v>437.82</v>
      </c>
    </row>
    <row r="10014" spans="1:16" x14ac:dyDescent="0.25">
      <c r="A10014" t="s">
        <v>3296</v>
      </c>
      <c r="B10014" t="s">
        <v>2931</v>
      </c>
      <c r="C10014">
        <v>7984</v>
      </c>
      <c r="D10014" t="str">
        <f>"14388       "</f>
        <v xml:space="preserve">14388       </v>
      </c>
      <c r="E10014" t="s">
        <v>994</v>
      </c>
      <c r="F10014" t="s">
        <v>995</v>
      </c>
      <c r="G10014">
        <v>1282.0999999999999</v>
      </c>
      <c r="H10014">
        <v>250531</v>
      </c>
      <c r="I10014">
        <v>4471</v>
      </c>
      <c r="J10014" t="s">
        <v>191</v>
      </c>
      <c r="K10014">
        <v>1831.57</v>
      </c>
      <c r="L10014">
        <v>260.51</v>
      </c>
      <c r="M10014">
        <v>69501</v>
      </c>
      <c r="N10014" t="s">
        <v>123</v>
      </c>
      <c r="O10014">
        <v>250610</v>
      </c>
      <c r="P10014">
        <v>1021.59</v>
      </c>
    </row>
    <row r="10015" spans="1:16" x14ac:dyDescent="0.25">
      <c r="A10015" t="s">
        <v>3296</v>
      </c>
      <c r="B10015" t="s">
        <v>2931</v>
      </c>
      <c r="C10015">
        <v>9463</v>
      </c>
      <c r="D10015" t="str">
        <f>"14564       "</f>
        <v xml:space="preserve">14564       </v>
      </c>
      <c r="E10015" t="s">
        <v>994</v>
      </c>
      <c r="F10015" t="s">
        <v>995</v>
      </c>
      <c r="G10015">
        <v>549.47</v>
      </c>
      <c r="H10015">
        <v>250630</v>
      </c>
      <c r="I10015">
        <v>4471</v>
      </c>
      <c r="J10015" t="s">
        <v>191</v>
      </c>
      <c r="K10015">
        <v>1831.57</v>
      </c>
      <c r="L10015">
        <v>111.65</v>
      </c>
      <c r="M10015">
        <v>69111</v>
      </c>
      <c r="N10015" t="s">
        <v>657</v>
      </c>
      <c r="O10015">
        <v>250708</v>
      </c>
      <c r="P10015">
        <v>437.82</v>
      </c>
    </row>
    <row r="10016" spans="1:16" x14ac:dyDescent="0.25">
      <c r="A10016" t="s">
        <v>3296</v>
      </c>
      <c r="B10016" t="s">
        <v>2931</v>
      </c>
      <c r="C10016">
        <v>9463</v>
      </c>
      <c r="D10016" t="str">
        <f>"14564       "</f>
        <v xml:space="preserve">14564       </v>
      </c>
      <c r="E10016" t="s">
        <v>994</v>
      </c>
      <c r="F10016" t="s">
        <v>995</v>
      </c>
      <c r="G10016">
        <v>1282.0999999999999</v>
      </c>
      <c r="H10016">
        <v>250630</v>
      </c>
      <c r="I10016">
        <v>4471</v>
      </c>
      <c r="J10016" t="s">
        <v>191</v>
      </c>
      <c r="K10016">
        <v>1831.57</v>
      </c>
      <c r="L10016">
        <v>260.51</v>
      </c>
      <c r="M10016">
        <v>69501</v>
      </c>
      <c r="N10016" t="s">
        <v>123</v>
      </c>
      <c r="O10016">
        <v>250708</v>
      </c>
      <c r="P10016">
        <v>1021.59</v>
      </c>
    </row>
    <row r="10017" spans="1:16" x14ac:dyDescent="0.25">
      <c r="A10017" t="s">
        <v>3296</v>
      </c>
      <c r="B10017" t="s">
        <v>2931</v>
      </c>
      <c r="C10017">
        <v>9981</v>
      </c>
      <c r="D10017" t="str">
        <f>"14793       "</f>
        <v xml:space="preserve">14793       </v>
      </c>
      <c r="E10017" t="s">
        <v>994</v>
      </c>
      <c r="F10017" t="s">
        <v>995</v>
      </c>
      <c r="G10017">
        <v>1831.57</v>
      </c>
      <c r="H10017">
        <v>250731</v>
      </c>
      <c r="I10017">
        <v>4471</v>
      </c>
      <c r="J10017" t="s">
        <v>191</v>
      </c>
      <c r="K10017">
        <v>1831.57</v>
      </c>
      <c r="L10017">
        <v>372.15</v>
      </c>
      <c r="M10017">
        <v>69501</v>
      </c>
      <c r="N10017" t="s">
        <v>123</v>
      </c>
      <c r="O10017">
        <v>250806</v>
      </c>
      <c r="P10017">
        <v>1459.42</v>
      </c>
    </row>
    <row r="10018" spans="1:16" x14ac:dyDescent="0.25">
      <c r="A10018" t="s">
        <v>3296</v>
      </c>
      <c r="B10018" t="s">
        <v>2931</v>
      </c>
      <c r="C10018">
        <v>11515</v>
      </c>
      <c r="D10018" t="str">
        <f>"14998       "</f>
        <v xml:space="preserve">14998       </v>
      </c>
      <c r="E10018" t="s">
        <v>994</v>
      </c>
      <c r="F10018" t="s">
        <v>995</v>
      </c>
      <c r="G10018">
        <v>549.47</v>
      </c>
      <c r="H10018">
        <v>250831</v>
      </c>
      <c r="I10018">
        <v>4471</v>
      </c>
      <c r="J10018" t="s">
        <v>191</v>
      </c>
      <c r="K10018">
        <v>1831.57</v>
      </c>
      <c r="L10018">
        <v>111.65</v>
      </c>
      <c r="M10018">
        <v>69111</v>
      </c>
      <c r="N10018" t="s">
        <v>657</v>
      </c>
      <c r="O10018">
        <v>250908</v>
      </c>
      <c r="P10018">
        <v>437.82</v>
      </c>
    </row>
    <row r="10019" spans="1:16" x14ac:dyDescent="0.25">
      <c r="A10019" t="s">
        <v>3296</v>
      </c>
      <c r="B10019" t="s">
        <v>2931</v>
      </c>
      <c r="C10019">
        <v>11515</v>
      </c>
      <c r="D10019" t="str">
        <f>"14998       "</f>
        <v xml:space="preserve">14998       </v>
      </c>
      <c r="E10019" t="s">
        <v>994</v>
      </c>
      <c r="F10019" t="s">
        <v>995</v>
      </c>
      <c r="G10019">
        <v>1282.0999999999999</v>
      </c>
      <c r="H10019">
        <v>250831</v>
      </c>
      <c r="I10019">
        <v>4471</v>
      </c>
      <c r="J10019" t="s">
        <v>191</v>
      </c>
      <c r="K10019">
        <v>1831.57</v>
      </c>
      <c r="L10019">
        <v>260.51</v>
      </c>
      <c r="M10019">
        <v>69501</v>
      </c>
      <c r="N10019" t="s">
        <v>123</v>
      </c>
      <c r="O10019">
        <v>250908</v>
      </c>
      <c r="P10019">
        <v>1021.59</v>
      </c>
    </row>
    <row r="10020" spans="1:16" x14ac:dyDescent="0.25">
      <c r="A10020" t="s">
        <v>3296</v>
      </c>
      <c r="B10020" t="s">
        <v>2931</v>
      </c>
      <c r="C10020">
        <v>11612</v>
      </c>
      <c r="D10020" t="str">
        <f>"15106       "</f>
        <v xml:space="preserve">15106       </v>
      </c>
      <c r="E10020" t="s">
        <v>994</v>
      </c>
      <c r="F10020" t="s">
        <v>995</v>
      </c>
      <c r="G10020">
        <v>130.52000000000001</v>
      </c>
      <c r="H10020">
        <v>250831</v>
      </c>
      <c r="I10020">
        <v>4471</v>
      </c>
      <c r="J10020" t="s">
        <v>191</v>
      </c>
      <c r="K10020">
        <v>130.52000000000001</v>
      </c>
      <c r="L10020">
        <v>26.52</v>
      </c>
      <c r="M10020">
        <v>69501</v>
      </c>
      <c r="N10020" t="s">
        <v>123</v>
      </c>
      <c r="O10020">
        <v>250909</v>
      </c>
      <c r="P10020">
        <v>104</v>
      </c>
    </row>
    <row r="10021" spans="1:16" x14ac:dyDescent="0.25">
      <c r="A10021" t="s">
        <v>3296</v>
      </c>
      <c r="B10021" t="s">
        <v>2931</v>
      </c>
      <c r="C10021">
        <v>13189</v>
      </c>
      <c r="D10021" t="str">
        <f>"15179       "</f>
        <v xml:space="preserve">15179       </v>
      </c>
      <c r="E10021" t="s">
        <v>994</v>
      </c>
      <c r="F10021" t="s">
        <v>995</v>
      </c>
      <c r="G10021">
        <v>366.31</v>
      </c>
      <c r="H10021">
        <v>250930</v>
      </c>
      <c r="I10021">
        <v>4471</v>
      </c>
      <c r="J10021" t="s">
        <v>191</v>
      </c>
      <c r="K10021">
        <v>1831.57</v>
      </c>
      <c r="L10021">
        <v>74.430000000000007</v>
      </c>
      <c r="M10021">
        <v>69111</v>
      </c>
      <c r="N10021" t="s">
        <v>657</v>
      </c>
      <c r="O10021">
        <v>251006</v>
      </c>
      <c r="P10021">
        <v>291.88</v>
      </c>
    </row>
    <row r="10022" spans="1:16" x14ac:dyDescent="0.25">
      <c r="A10022" t="s">
        <v>3296</v>
      </c>
      <c r="B10022" t="s">
        <v>2931</v>
      </c>
      <c r="C10022">
        <v>13189</v>
      </c>
      <c r="D10022" t="str">
        <f>"15179       "</f>
        <v xml:space="preserve">15179       </v>
      </c>
      <c r="E10022" t="s">
        <v>994</v>
      </c>
      <c r="F10022" t="s">
        <v>995</v>
      </c>
      <c r="G10022">
        <v>1465.26</v>
      </c>
      <c r="H10022">
        <v>250930</v>
      </c>
      <c r="I10022">
        <v>4471</v>
      </c>
      <c r="J10022" t="s">
        <v>191</v>
      </c>
      <c r="K10022">
        <v>1831.57</v>
      </c>
      <c r="L10022">
        <v>297.72000000000003</v>
      </c>
      <c r="M10022">
        <v>69501</v>
      </c>
      <c r="N10022" t="s">
        <v>123</v>
      </c>
      <c r="O10022">
        <v>251006</v>
      </c>
      <c r="P10022">
        <v>1167.54</v>
      </c>
    </row>
    <row r="10023" spans="1:16" x14ac:dyDescent="0.25">
      <c r="A10023" t="s">
        <v>3296</v>
      </c>
      <c r="B10023" t="s">
        <v>2931</v>
      </c>
      <c r="C10023">
        <v>13341</v>
      </c>
      <c r="D10023" t="str">
        <f>"15315       "</f>
        <v xml:space="preserve">15315       </v>
      </c>
      <c r="E10023" t="s">
        <v>994</v>
      </c>
      <c r="F10023" t="s">
        <v>995</v>
      </c>
      <c r="G10023">
        <v>85.34</v>
      </c>
      <c r="H10023">
        <v>250930</v>
      </c>
      <c r="I10023">
        <v>4471</v>
      </c>
      <c r="J10023" t="s">
        <v>191</v>
      </c>
      <c r="K10023">
        <v>85.34</v>
      </c>
      <c r="L10023">
        <v>17.34</v>
      </c>
      <c r="M10023">
        <v>69111</v>
      </c>
      <c r="N10023" t="s">
        <v>657</v>
      </c>
      <c r="O10023">
        <v>251008</v>
      </c>
      <c r="P10023">
        <v>68</v>
      </c>
    </row>
    <row r="10024" spans="1:16" x14ac:dyDescent="0.25">
      <c r="A10024" t="s">
        <v>3296</v>
      </c>
      <c r="B10024" t="s">
        <v>2931</v>
      </c>
      <c r="C10024">
        <v>13342</v>
      </c>
      <c r="D10024" t="str">
        <f>"15312       "</f>
        <v xml:space="preserve">15312       </v>
      </c>
      <c r="E10024" t="s">
        <v>994</v>
      </c>
      <c r="F10024" t="s">
        <v>995</v>
      </c>
      <c r="G10024">
        <v>346.38</v>
      </c>
      <c r="H10024">
        <v>250930</v>
      </c>
      <c r="I10024">
        <v>4471</v>
      </c>
      <c r="J10024" t="s">
        <v>191</v>
      </c>
      <c r="K10024">
        <v>346.38</v>
      </c>
      <c r="L10024">
        <v>70.38</v>
      </c>
      <c r="M10024">
        <v>69111</v>
      </c>
      <c r="N10024" t="s">
        <v>657</v>
      </c>
      <c r="O10024">
        <v>251008</v>
      </c>
      <c r="P10024">
        <v>276</v>
      </c>
    </row>
    <row r="10025" spans="1:16" x14ac:dyDescent="0.25">
      <c r="A10025" t="s">
        <v>3296</v>
      </c>
      <c r="B10025" t="s">
        <v>2931</v>
      </c>
      <c r="C10025">
        <v>14702</v>
      </c>
      <c r="D10025" t="str">
        <f>"15361       "</f>
        <v xml:space="preserve">15361       </v>
      </c>
      <c r="E10025" t="s">
        <v>994</v>
      </c>
      <c r="F10025" t="s">
        <v>995</v>
      </c>
      <c r="G10025">
        <v>549.47</v>
      </c>
      <c r="H10025">
        <v>251031</v>
      </c>
      <c r="I10025">
        <v>4471</v>
      </c>
      <c r="J10025" t="s">
        <v>191</v>
      </c>
      <c r="K10025">
        <v>1831.57</v>
      </c>
      <c r="L10025">
        <v>111.65</v>
      </c>
      <c r="M10025">
        <v>69111</v>
      </c>
      <c r="N10025" t="s">
        <v>657</v>
      </c>
      <c r="O10025">
        <v>251106</v>
      </c>
      <c r="P10025">
        <v>437.82</v>
      </c>
    </row>
    <row r="10026" spans="1:16" x14ac:dyDescent="0.25">
      <c r="A10026" t="s">
        <v>3296</v>
      </c>
      <c r="B10026" t="s">
        <v>2931</v>
      </c>
      <c r="C10026">
        <v>14702</v>
      </c>
      <c r="D10026" t="str">
        <f>"15361       "</f>
        <v xml:space="preserve">15361       </v>
      </c>
      <c r="E10026" t="s">
        <v>994</v>
      </c>
      <c r="F10026" t="s">
        <v>995</v>
      </c>
      <c r="G10026">
        <v>1282.0999999999999</v>
      </c>
      <c r="H10026">
        <v>251031</v>
      </c>
      <c r="I10026">
        <v>4471</v>
      </c>
      <c r="J10026" t="s">
        <v>191</v>
      </c>
      <c r="K10026">
        <v>1831.57</v>
      </c>
      <c r="L10026">
        <v>260.51</v>
      </c>
      <c r="M10026">
        <v>69501</v>
      </c>
      <c r="N10026" t="s">
        <v>123</v>
      </c>
      <c r="O10026">
        <v>251106</v>
      </c>
      <c r="P10026">
        <v>1021.59</v>
      </c>
    </row>
    <row r="10027" spans="1:16" x14ac:dyDescent="0.25">
      <c r="A10027" t="s">
        <v>3296</v>
      </c>
      <c r="B10027" t="s">
        <v>2931</v>
      </c>
      <c r="C10027">
        <v>15219</v>
      </c>
      <c r="D10027" t="str">
        <f>"15503       "</f>
        <v xml:space="preserve">15503       </v>
      </c>
      <c r="E10027" t="s">
        <v>994</v>
      </c>
      <c r="F10027" t="s">
        <v>995</v>
      </c>
      <c r="G10027">
        <v>256.02</v>
      </c>
      <c r="H10027">
        <v>251031</v>
      </c>
      <c r="I10027">
        <v>4471</v>
      </c>
      <c r="J10027" t="s">
        <v>191</v>
      </c>
      <c r="K10027">
        <v>256.02</v>
      </c>
      <c r="L10027">
        <v>52.02</v>
      </c>
      <c r="M10027">
        <v>69111</v>
      </c>
      <c r="N10027" t="s">
        <v>657</v>
      </c>
      <c r="O10027">
        <v>251114</v>
      </c>
      <c r="P10027">
        <v>204</v>
      </c>
    </row>
    <row r="10028" spans="1:16" x14ac:dyDescent="0.25">
      <c r="A10028" t="s">
        <v>3296</v>
      </c>
      <c r="B10028" t="s">
        <v>2931</v>
      </c>
      <c r="C10028">
        <v>16390</v>
      </c>
      <c r="D10028" t="str">
        <f>"15552       "</f>
        <v xml:space="preserve">15552       </v>
      </c>
      <c r="E10028" t="s">
        <v>994</v>
      </c>
      <c r="F10028" t="s">
        <v>995</v>
      </c>
      <c r="G10028">
        <v>366.31</v>
      </c>
      <c r="H10028">
        <v>251130</v>
      </c>
      <c r="I10028">
        <v>4471</v>
      </c>
      <c r="J10028" t="s">
        <v>191</v>
      </c>
      <c r="K10028">
        <v>1831.57</v>
      </c>
      <c r="L10028">
        <v>74.430000000000007</v>
      </c>
      <c r="M10028">
        <v>69111</v>
      </c>
      <c r="N10028" t="s">
        <v>657</v>
      </c>
      <c r="O10028">
        <v>251208</v>
      </c>
      <c r="P10028">
        <v>291.88</v>
      </c>
    </row>
    <row r="10029" spans="1:16" x14ac:dyDescent="0.25">
      <c r="A10029" t="s">
        <v>3296</v>
      </c>
      <c r="B10029" t="s">
        <v>2931</v>
      </c>
      <c r="C10029">
        <v>16390</v>
      </c>
      <c r="D10029" t="str">
        <f>"15552       "</f>
        <v xml:space="preserve">15552       </v>
      </c>
      <c r="E10029" t="s">
        <v>994</v>
      </c>
      <c r="F10029" t="s">
        <v>995</v>
      </c>
      <c r="G10029">
        <v>1465.26</v>
      </c>
      <c r="H10029">
        <v>251130</v>
      </c>
      <c r="I10029">
        <v>4471</v>
      </c>
      <c r="J10029" t="s">
        <v>191</v>
      </c>
      <c r="K10029">
        <v>1831.57</v>
      </c>
      <c r="L10029">
        <v>297.72000000000003</v>
      </c>
      <c r="M10029">
        <v>69501</v>
      </c>
      <c r="N10029" t="s">
        <v>123</v>
      </c>
      <c r="O10029">
        <v>251208</v>
      </c>
      <c r="P10029">
        <v>1167.54</v>
      </c>
    </row>
    <row r="10030" spans="1:16" x14ac:dyDescent="0.25">
      <c r="A10030" t="s">
        <v>3296</v>
      </c>
      <c r="B10030" t="s">
        <v>2931</v>
      </c>
      <c r="C10030">
        <v>16616</v>
      </c>
      <c r="D10030" t="str">
        <f>"15665       "</f>
        <v xml:space="preserve">15665       </v>
      </c>
      <c r="E10030" t="s">
        <v>994</v>
      </c>
      <c r="F10030" t="s">
        <v>995</v>
      </c>
      <c r="G10030">
        <v>512.04</v>
      </c>
      <c r="H10030">
        <v>251130</v>
      </c>
      <c r="I10030">
        <v>4471</v>
      </c>
      <c r="J10030" t="s">
        <v>191</v>
      </c>
      <c r="K10030">
        <v>512.04</v>
      </c>
      <c r="L10030">
        <v>104.04</v>
      </c>
      <c r="M10030">
        <v>69111</v>
      </c>
      <c r="N10030" t="s">
        <v>657</v>
      </c>
      <c r="O10030">
        <v>251210</v>
      </c>
      <c r="P10030">
        <v>408</v>
      </c>
    </row>
    <row r="10031" spans="1:16" x14ac:dyDescent="0.25">
      <c r="A10031" t="s">
        <v>3296</v>
      </c>
      <c r="B10031" t="s">
        <v>2931</v>
      </c>
      <c r="C10031">
        <v>18040</v>
      </c>
      <c r="D10031" t="str">
        <f>"15728       "</f>
        <v xml:space="preserve">15728       </v>
      </c>
      <c r="E10031" t="s">
        <v>994</v>
      </c>
      <c r="F10031" t="s">
        <v>995</v>
      </c>
      <c r="G10031">
        <v>1831.57</v>
      </c>
      <c r="H10031">
        <v>251231</v>
      </c>
      <c r="I10031">
        <v>4471</v>
      </c>
      <c r="J10031" t="s">
        <v>191</v>
      </c>
      <c r="K10031">
        <v>1831.57</v>
      </c>
      <c r="L10031">
        <v>372.15</v>
      </c>
      <c r="M10031">
        <v>69501</v>
      </c>
      <c r="N10031" t="s">
        <v>123</v>
      </c>
      <c r="O10031">
        <v>260108</v>
      </c>
      <c r="P10031">
        <v>1459.42</v>
      </c>
    </row>
    <row r="10032" spans="1:16" x14ac:dyDescent="0.25">
      <c r="A10032" t="s">
        <v>3296</v>
      </c>
      <c r="B10032" t="s">
        <v>2931</v>
      </c>
      <c r="C10032">
        <v>18599</v>
      </c>
      <c r="D10032" t="str">
        <f>"15930       "</f>
        <v xml:space="preserve">15930       </v>
      </c>
      <c r="E10032" t="s">
        <v>994</v>
      </c>
      <c r="F10032" t="s">
        <v>995</v>
      </c>
      <c r="G10032">
        <v>396.22</v>
      </c>
      <c r="H10032">
        <v>251231</v>
      </c>
      <c r="I10032">
        <v>4471</v>
      </c>
      <c r="J10032" t="s">
        <v>191</v>
      </c>
      <c r="K10032">
        <v>526.74</v>
      </c>
      <c r="L10032">
        <v>80.510000000000005</v>
      </c>
      <c r="M10032">
        <v>69111</v>
      </c>
      <c r="N10032" t="s">
        <v>657</v>
      </c>
      <c r="O10032">
        <v>260119</v>
      </c>
      <c r="P10032">
        <v>315.70999999999998</v>
      </c>
    </row>
    <row r="10033" spans="1:16" x14ac:dyDescent="0.25">
      <c r="A10033" t="s">
        <v>3296</v>
      </c>
      <c r="B10033" t="s">
        <v>2931</v>
      </c>
      <c r="C10033">
        <v>18599</v>
      </c>
      <c r="D10033" t="str">
        <f>"15930       "</f>
        <v xml:space="preserve">15930       </v>
      </c>
      <c r="E10033" t="s">
        <v>994</v>
      </c>
      <c r="F10033" t="s">
        <v>995</v>
      </c>
      <c r="G10033">
        <v>130.52000000000001</v>
      </c>
      <c r="H10033">
        <v>251231</v>
      </c>
      <c r="I10033">
        <v>4471</v>
      </c>
      <c r="J10033" t="s">
        <v>191</v>
      </c>
      <c r="K10033">
        <v>526.74</v>
      </c>
      <c r="L10033">
        <v>26.52</v>
      </c>
      <c r="M10033">
        <v>69501</v>
      </c>
      <c r="N10033" t="s">
        <v>123</v>
      </c>
      <c r="O10033">
        <v>260119</v>
      </c>
      <c r="P10033">
        <v>104</v>
      </c>
    </row>
    <row r="10034" spans="1:16" x14ac:dyDescent="0.25">
      <c r="A10034" t="s">
        <v>3296</v>
      </c>
      <c r="B10034" t="s">
        <v>2931</v>
      </c>
      <c r="C10034">
        <v>2660</v>
      </c>
      <c r="D10034" t="str">
        <f>"38189       "</f>
        <v xml:space="preserve">38189       </v>
      </c>
      <c r="E10034" t="s">
        <v>1131</v>
      </c>
      <c r="F10034" t="s">
        <v>1132</v>
      </c>
      <c r="G10034">
        <v>38.4</v>
      </c>
      <c r="H10034">
        <v>250225</v>
      </c>
      <c r="I10034">
        <v>4550</v>
      </c>
      <c r="J10034" t="s">
        <v>226</v>
      </c>
      <c r="K10034">
        <v>98.45</v>
      </c>
      <c r="L10034">
        <v>7.8</v>
      </c>
      <c r="M10034">
        <v>67554</v>
      </c>
      <c r="N10034" t="s">
        <v>317</v>
      </c>
      <c r="O10034">
        <v>250310</v>
      </c>
      <c r="P10034">
        <v>30.6</v>
      </c>
    </row>
    <row r="10035" spans="1:16" x14ac:dyDescent="0.25">
      <c r="A10035" t="s">
        <v>3296</v>
      </c>
      <c r="B10035" t="s">
        <v>2931</v>
      </c>
      <c r="C10035">
        <v>3213</v>
      </c>
      <c r="D10035" t="str">
        <f>"38253       "</f>
        <v xml:space="preserve">38253       </v>
      </c>
      <c r="E10035" t="s">
        <v>1131</v>
      </c>
      <c r="F10035" t="s">
        <v>1132</v>
      </c>
      <c r="G10035">
        <v>11.5</v>
      </c>
      <c r="H10035">
        <v>250304</v>
      </c>
      <c r="I10035">
        <v>4560</v>
      </c>
      <c r="J10035" t="s">
        <v>390</v>
      </c>
      <c r="K10035">
        <v>47.05</v>
      </c>
      <c r="L10035">
        <v>2.34</v>
      </c>
      <c r="M10035">
        <v>67554</v>
      </c>
      <c r="N10035" t="s">
        <v>317</v>
      </c>
      <c r="O10035">
        <v>250317</v>
      </c>
      <c r="P10035">
        <v>9.16</v>
      </c>
    </row>
    <row r="10036" spans="1:16" x14ac:dyDescent="0.25">
      <c r="A10036" t="s">
        <v>3296</v>
      </c>
      <c r="B10036" t="s">
        <v>2931</v>
      </c>
      <c r="C10036">
        <v>3578</v>
      </c>
      <c r="D10036" t="str">
        <f>"38333       "</f>
        <v xml:space="preserve">38333       </v>
      </c>
      <c r="E10036" t="s">
        <v>1131</v>
      </c>
      <c r="F10036" t="s">
        <v>1132</v>
      </c>
      <c r="G10036">
        <v>79</v>
      </c>
      <c r="H10036">
        <v>250314</v>
      </c>
      <c r="I10036">
        <v>4560</v>
      </c>
      <c r="J10036" t="s">
        <v>390</v>
      </c>
      <c r="K10036">
        <v>79</v>
      </c>
      <c r="L10036">
        <v>16.05</v>
      </c>
      <c r="M10036">
        <v>67554</v>
      </c>
      <c r="N10036" t="s">
        <v>317</v>
      </c>
      <c r="O10036">
        <v>250325</v>
      </c>
      <c r="P10036">
        <v>62.95</v>
      </c>
    </row>
    <row r="10037" spans="1:16" x14ac:dyDescent="0.25">
      <c r="A10037" t="s">
        <v>3296</v>
      </c>
      <c r="B10037" t="s">
        <v>2931</v>
      </c>
      <c r="C10037">
        <v>14951</v>
      </c>
      <c r="D10037" t="str">
        <f>"39430       "</f>
        <v xml:space="preserve">39430       </v>
      </c>
      <c r="E10037" t="s">
        <v>1131</v>
      </c>
      <c r="F10037" t="s">
        <v>1132</v>
      </c>
      <c r="G10037">
        <v>60</v>
      </c>
      <c r="H10037">
        <v>251105</v>
      </c>
      <c r="I10037">
        <v>4560</v>
      </c>
      <c r="J10037" t="s">
        <v>390</v>
      </c>
      <c r="K10037">
        <v>60</v>
      </c>
      <c r="L10037">
        <v>12.19</v>
      </c>
      <c r="M10037">
        <v>67554</v>
      </c>
      <c r="N10037" t="s">
        <v>317</v>
      </c>
      <c r="O10037">
        <v>251110</v>
      </c>
      <c r="P10037">
        <v>47.81</v>
      </c>
    </row>
    <row r="10038" spans="1:16" x14ac:dyDescent="0.25">
      <c r="A10038" t="s">
        <v>3296</v>
      </c>
      <c r="B10038" t="s">
        <v>2931</v>
      </c>
      <c r="C10038">
        <v>1812</v>
      </c>
      <c r="D10038" t="str">
        <f>"38095       "</f>
        <v xml:space="preserve">38095       </v>
      </c>
      <c r="E10038" t="s">
        <v>1131</v>
      </c>
      <c r="F10038" t="s">
        <v>1132</v>
      </c>
      <c r="G10038">
        <v>49.6</v>
      </c>
      <c r="H10038">
        <v>250211</v>
      </c>
      <c r="I10038">
        <v>4580</v>
      </c>
      <c r="J10038" t="s">
        <v>126</v>
      </c>
      <c r="K10038">
        <v>49.6</v>
      </c>
      <c r="L10038">
        <v>10.08</v>
      </c>
      <c r="M10038">
        <v>67522</v>
      </c>
      <c r="N10038" t="s">
        <v>121</v>
      </c>
      <c r="O10038">
        <v>250214</v>
      </c>
      <c r="P10038">
        <v>39.520000000000003</v>
      </c>
    </row>
    <row r="10039" spans="1:16" x14ac:dyDescent="0.25">
      <c r="A10039" t="s">
        <v>3296</v>
      </c>
      <c r="B10039" t="s">
        <v>2931</v>
      </c>
      <c r="C10039">
        <v>1818</v>
      </c>
      <c r="D10039" t="str">
        <f>"38094       "</f>
        <v xml:space="preserve">38094       </v>
      </c>
      <c r="E10039" t="s">
        <v>1131</v>
      </c>
      <c r="F10039" t="s">
        <v>1132</v>
      </c>
      <c r="G10039">
        <v>44.54</v>
      </c>
      <c r="H10039">
        <v>250211</v>
      </c>
      <c r="I10039">
        <v>4580</v>
      </c>
      <c r="J10039" t="s">
        <v>126</v>
      </c>
      <c r="K10039">
        <v>61.25</v>
      </c>
      <c r="L10039">
        <v>9.0500000000000007</v>
      </c>
      <c r="M10039">
        <v>67554</v>
      </c>
      <c r="N10039" t="s">
        <v>317</v>
      </c>
      <c r="O10039">
        <v>250214</v>
      </c>
      <c r="P10039">
        <v>35.49</v>
      </c>
    </row>
    <row r="10040" spans="1:16" x14ac:dyDescent="0.25">
      <c r="A10040" t="s">
        <v>3296</v>
      </c>
      <c r="B10040" t="s">
        <v>2931</v>
      </c>
      <c r="C10040">
        <v>3213</v>
      </c>
      <c r="D10040" t="str">
        <f>"38253       "</f>
        <v xml:space="preserve">38253       </v>
      </c>
      <c r="E10040" t="s">
        <v>1131</v>
      </c>
      <c r="F10040" t="s">
        <v>1132</v>
      </c>
      <c r="G10040">
        <v>35.549999999999997</v>
      </c>
      <c r="H10040">
        <v>250304</v>
      </c>
      <c r="I10040">
        <v>4580</v>
      </c>
      <c r="J10040" t="s">
        <v>126</v>
      </c>
      <c r="K10040">
        <v>47.05</v>
      </c>
      <c r="L10040">
        <v>7.22</v>
      </c>
      <c r="M10040">
        <v>67554</v>
      </c>
      <c r="N10040" t="s">
        <v>317</v>
      </c>
      <c r="O10040">
        <v>250317</v>
      </c>
      <c r="P10040">
        <v>28.33</v>
      </c>
    </row>
    <row r="10041" spans="1:16" x14ac:dyDescent="0.25">
      <c r="A10041" t="s">
        <v>3296</v>
      </c>
      <c r="B10041" t="s">
        <v>2931</v>
      </c>
      <c r="C10041">
        <v>10641</v>
      </c>
      <c r="D10041" t="str">
        <f>"39007       "</f>
        <v xml:space="preserve">39007       </v>
      </c>
      <c r="E10041" t="s">
        <v>1131</v>
      </c>
      <c r="F10041" t="s">
        <v>1132</v>
      </c>
      <c r="G10041">
        <v>23.2</v>
      </c>
      <c r="H10041">
        <v>250819</v>
      </c>
      <c r="I10041">
        <v>4580</v>
      </c>
      <c r="J10041" t="s">
        <v>126</v>
      </c>
      <c r="K10041">
        <v>62.8</v>
      </c>
      <c r="L10041">
        <v>4.71</v>
      </c>
      <c r="M10041">
        <v>67554</v>
      </c>
      <c r="N10041" t="s">
        <v>317</v>
      </c>
      <c r="O10041">
        <v>250821</v>
      </c>
      <c r="P10041">
        <v>18.489999999999998</v>
      </c>
    </row>
    <row r="10042" spans="1:16" x14ac:dyDescent="0.25">
      <c r="A10042" t="s">
        <v>3296</v>
      </c>
      <c r="B10042" t="s">
        <v>2931</v>
      </c>
      <c r="C10042">
        <v>1818</v>
      </c>
      <c r="D10042" t="str">
        <f>"38094       "</f>
        <v xml:space="preserve">38094       </v>
      </c>
      <c r="E10042" t="s">
        <v>1131</v>
      </c>
      <c r="F10042" t="s">
        <v>1132</v>
      </c>
      <c r="G10042">
        <v>16.71</v>
      </c>
      <c r="H10042">
        <v>250211</v>
      </c>
      <c r="I10042">
        <v>4590</v>
      </c>
      <c r="J10042" t="s">
        <v>388</v>
      </c>
      <c r="K10042">
        <v>61.25</v>
      </c>
      <c r="L10042">
        <v>3.4</v>
      </c>
      <c r="M10042">
        <v>67554</v>
      </c>
      <c r="N10042" t="s">
        <v>317</v>
      </c>
      <c r="O10042">
        <v>250214</v>
      </c>
      <c r="P10042">
        <v>13.31</v>
      </c>
    </row>
    <row r="10043" spans="1:16" x14ac:dyDescent="0.25">
      <c r="A10043" t="s">
        <v>3296</v>
      </c>
      <c r="B10043" t="s">
        <v>2931</v>
      </c>
      <c r="C10043">
        <v>10641</v>
      </c>
      <c r="D10043" t="str">
        <f>"39007       "</f>
        <v xml:space="preserve">39007       </v>
      </c>
      <c r="E10043" t="s">
        <v>1131</v>
      </c>
      <c r="F10043" t="s">
        <v>1132</v>
      </c>
      <c r="G10043">
        <v>12.85</v>
      </c>
      <c r="H10043">
        <v>250819</v>
      </c>
      <c r="I10043">
        <v>4590</v>
      </c>
      <c r="J10043" t="s">
        <v>388</v>
      </c>
      <c r="K10043">
        <v>62.8</v>
      </c>
      <c r="L10043">
        <v>2.61</v>
      </c>
      <c r="M10043">
        <v>67554</v>
      </c>
      <c r="N10043" t="s">
        <v>317</v>
      </c>
      <c r="O10043">
        <v>250821</v>
      </c>
      <c r="P10043">
        <v>10.24</v>
      </c>
    </row>
    <row r="10044" spans="1:16" x14ac:dyDescent="0.25">
      <c r="A10044" t="s">
        <v>3296</v>
      </c>
      <c r="B10044" t="s">
        <v>2931</v>
      </c>
      <c r="C10044">
        <v>12238</v>
      </c>
      <c r="D10044" t="str">
        <f>"39162       "</f>
        <v xml:space="preserve">39162       </v>
      </c>
      <c r="E10044" t="s">
        <v>1131</v>
      </c>
      <c r="F10044" t="s">
        <v>1132</v>
      </c>
      <c r="G10044">
        <v>14.6</v>
      </c>
      <c r="H10044">
        <v>250910</v>
      </c>
      <c r="I10044">
        <v>4590</v>
      </c>
      <c r="J10044" t="s">
        <v>388</v>
      </c>
      <c r="K10044">
        <v>14.6</v>
      </c>
      <c r="L10044">
        <v>2.97</v>
      </c>
      <c r="M10044">
        <v>66756</v>
      </c>
      <c r="N10044" t="s">
        <v>120</v>
      </c>
      <c r="O10044">
        <v>250918</v>
      </c>
      <c r="P10044">
        <v>11.63</v>
      </c>
    </row>
    <row r="10045" spans="1:16" x14ac:dyDescent="0.25">
      <c r="A10045" t="s">
        <v>3296</v>
      </c>
      <c r="B10045" t="s">
        <v>2931</v>
      </c>
      <c r="C10045">
        <v>14193</v>
      </c>
      <c r="D10045" t="str">
        <f>"39323       "</f>
        <v xml:space="preserve">39323       </v>
      </c>
      <c r="E10045" t="s">
        <v>1131</v>
      </c>
      <c r="F10045" t="s">
        <v>1132</v>
      </c>
      <c r="G10045">
        <v>123</v>
      </c>
      <c r="H10045">
        <v>251017</v>
      </c>
      <c r="I10045">
        <v>4590</v>
      </c>
      <c r="J10045" t="s">
        <v>388</v>
      </c>
      <c r="K10045">
        <v>123</v>
      </c>
      <c r="L10045">
        <v>24.99</v>
      </c>
      <c r="M10045">
        <v>66756</v>
      </c>
      <c r="N10045" t="s">
        <v>120</v>
      </c>
      <c r="O10045">
        <v>251027</v>
      </c>
      <c r="P10045">
        <v>98.01</v>
      </c>
    </row>
    <row r="10046" spans="1:16" x14ac:dyDescent="0.25">
      <c r="A10046" t="s">
        <v>3296</v>
      </c>
      <c r="B10046" t="s">
        <v>2931</v>
      </c>
      <c r="C10046">
        <v>15696</v>
      </c>
      <c r="D10046" t="str">
        <f>"39485       "</f>
        <v xml:space="preserve">39485       </v>
      </c>
      <c r="E10046" t="s">
        <v>1131</v>
      </c>
      <c r="F10046" t="s">
        <v>1132</v>
      </c>
      <c r="G10046">
        <v>70.5</v>
      </c>
      <c r="H10046">
        <v>251119</v>
      </c>
      <c r="I10046">
        <v>4590</v>
      </c>
      <c r="J10046" t="s">
        <v>388</v>
      </c>
      <c r="K10046">
        <v>70.5</v>
      </c>
      <c r="L10046">
        <v>14.32</v>
      </c>
      <c r="M10046">
        <v>66756</v>
      </c>
      <c r="N10046" t="s">
        <v>120</v>
      </c>
      <c r="O10046">
        <v>251125</v>
      </c>
      <c r="P10046">
        <v>56.18</v>
      </c>
    </row>
    <row r="10047" spans="1:16" x14ac:dyDescent="0.25">
      <c r="A10047" t="s">
        <v>3296</v>
      </c>
      <c r="B10047" t="s">
        <v>2931</v>
      </c>
      <c r="C10047">
        <v>2660</v>
      </c>
      <c r="D10047" t="str">
        <f>"38189       "</f>
        <v xml:space="preserve">38189       </v>
      </c>
      <c r="E10047" t="s">
        <v>1131</v>
      </c>
      <c r="F10047" t="s">
        <v>1132</v>
      </c>
      <c r="G10047">
        <v>60.05</v>
      </c>
      <c r="H10047">
        <v>250225</v>
      </c>
      <c r="I10047">
        <v>4600</v>
      </c>
      <c r="J10047" t="s">
        <v>278</v>
      </c>
      <c r="K10047">
        <v>98.45</v>
      </c>
      <c r="L10047">
        <v>12.2</v>
      </c>
      <c r="M10047">
        <v>67554</v>
      </c>
      <c r="N10047" t="s">
        <v>317</v>
      </c>
      <c r="O10047">
        <v>250310</v>
      </c>
      <c r="P10047">
        <v>47.85</v>
      </c>
    </row>
    <row r="10048" spans="1:16" x14ac:dyDescent="0.25">
      <c r="A10048" t="s">
        <v>3296</v>
      </c>
      <c r="B10048" t="s">
        <v>2931</v>
      </c>
      <c r="C10048">
        <v>2793</v>
      </c>
      <c r="D10048" t="str">
        <f>"38224       "</f>
        <v xml:space="preserve">38224       </v>
      </c>
      <c r="E10048" t="s">
        <v>1131</v>
      </c>
      <c r="F10048" t="s">
        <v>1132</v>
      </c>
      <c r="G10048">
        <v>65.849999999999994</v>
      </c>
      <c r="H10048">
        <v>250228</v>
      </c>
      <c r="I10048">
        <v>4600</v>
      </c>
      <c r="J10048" t="s">
        <v>278</v>
      </c>
      <c r="K10048">
        <v>65.849999999999994</v>
      </c>
      <c r="L10048">
        <v>13.38</v>
      </c>
      <c r="M10048">
        <v>67522</v>
      </c>
      <c r="N10048" t="s">
        <v>121</v>
      </c>
      <c r="O10048">
        <v>250312</v>
      </c>
      <c r="P10048">
        <v>52.47</v>
      </c>
    </row>
    <row r="10049" spans="1:16" x14ac:dyDescent="0.25">
      <c r="A10049" t="s">
        <v>3296</v>
      </c>
      <c r="B10049" t="s">
        <v>2931</v>
      </c>
      <c r="C10049">
        <v>3524</v>
      </c>
      <c r="D10049" t="str">
        <f>"38309       "</f>
        <v xml:space="preserve">38309       </v>
      </c>
      <c r="E10049" t="s">
        <v>1131</v>
      </c>
      <c r="F10049" t="s">
        <v>1132</v>
      </c>
      <c r="G10049">
        <v>114.05</v>
      </c>
      <c r="H10049">
        <v>250311</v>
      </c>
      <c r="I10049">
        <v>4600</v>
      </c>
      <c r="J10049" t="s">
        <v>278</v>
      </c>
      <c r="K10049">
        <v>114.05</v>
      </c>
      <c r="L10049">
        <v>23.17</v>
      </c>
      <c r="M10049">
        <v>67522</v>
      </c>
      <c r="N10049" t="s">
        <v>121</v>
      </c>
      <c r="O10049">
        <v>250325</v>
      </c>
      <c r="P10049">
        <v>90.88</v>
      </c>
    </row>
    <row r="10050" spans="1:16" x14ac:dyDescent="0.25">
      <c r="A10050" t="s">
        <v>3296</v>
      </c>
      <c r="B10050" t="s">
        <v>2931</v>
      </c>
      <c r="C10050">
        <v>9319</v>
      </c>
      <c r="D10050" t="str">
        <f>"38765       "</f>
        <v xml:space="preserve">38765       </v>
      </c>
      <c r="E10050" t="s">
        <v>1131</v>
      </c>
      <c r="F10050" t="s">
        <v>1132</v>
      </c>
      <c r="G10050">
        <v>74.400000000000006</v>
      </c>
      <c r="H10050">
        <v>250630</v>
      </c>
      <c r="I10050">
        <v>4600</v>
      </c>
      <c r="J10050" t="s">
        <v>278</v>
      </c>
      <c r="K10050">
        <v>74.400000000000006</v>
      </c>
      <c r="L10050">
        <v>15.12</v>
      </c>
      <c r="M10050">
        <v>67554</v>
      </c>
      <c r="N10050" t="s">
        <v>317</v>
      </c>
      <c r="O10050">
        <v>250703</v>
      </c>
      <c r="P10050">
        <v>59.28</v>
      </c>
    </row>
    <row r="10051" spans="1:16" x14ac:dyDescent="0.25">
      <c r="A10051" t="s">
        <v>3296</v>
      </c>
      <c r="B10051" t="s">
        <v>2931</v>
      </c>
      <c r="C10051">
        <v>10637</v>
      </c>
      <c r="D10051" t="str">
        <f>"39012       "</f>
        <v xml:space="preserve">39012       </v>
      </c>
      <c r="E10051" t="s">
        <v>1131</v>
      </c>
      <c r="F10051" t="s">
        <v>1132</v>
      </c>
      <c r="G10051">
        <v>40.5</v>
      </c>
      <c r="H10051">
        <v>250819</v>
      </c>
      <c r="I10051">
        <v>4600</v>
      </c>
      <c r="J10051" t="s">
        <v>278</v>
      </c>
      <c r="K10051">
        <v>40.5</v>
      </c>
      <c r="L10051">
        <v>8.23</v>
      </c>
      <c r="M10051">
        <v>67554</v>
      </c>
      <c r="N10051" t="s">
        <v>317</v>
      </c>
      <c r="O10051">
        <v>250821</v>
      </c>
      <c r="P10051">
        <v>32.270000000000003</v>
      </c>
    </row>
    <row r="10052" spans="1:16" x14ac:dyDescent="0.25">
      <c r="A10052" t="s">
        <v>3296</v>
      </c>
      <c r="B10052" t="s">
        <v>2931</v>
      </c>
      <c r="C10052">
        <v>10641</v>
      </c>
      <c r="D10052" t="str">
        <f>"39007       "</f>
        <v xml:space="preserve">39007       </v>
      </c>
      <c r="E10052" t="s">
        <v>1131</v>
      </c>
      <c r="F10052" t="s">
        <v>1132</v>
      </c>
      <c r="G10052">
        <v>26.75</v>
      </c>
      <c r="H10052">
        <v>250819</v>
      </c>
      <c r="I10052">
        <v>4600</v>
      </c>
      <c r="J10052" t="s">
        <v>278</v>
      </c>
      <c r="K10052">
        <v>62.8</v>
      </c>
      <c r="L10052">
        <v>5.44</v>
      </c>
      <c r="M10052">
        <v>67554</v>
      </c>
      <c r="N10052" t="s">
        <v>317</v>
      </c>
      <c r="O10052">
        <v>250821</v>
      </c>
      <c r="P10052">
        <v>21.31</v>
      </c>
    </row>
    <row r="10053" spans="1:16" x14ac:dyDescent="0.25">
      <c r="A10053" t="s">
        <v>3296</v>
      </c>
      <c r="B10053" t="s">
        <v>2931</v>
      </c>
      <c r="C10053">
        <v>10935</v>
      </c>
      <c r="D10053" t="str">
        <f>"39021       "</f>
        <v xml:space="preserve">39021       </v>
      </c>
      <c r="E10053" t="s">
        <v>1131</v>
      </c>
      <c r="F10053" t="s">
        <v>1132</v>
      </c>
      <c r="G10053">
        <v>21.95</v>
      </c>
      <c r="H10053">
        <v>250819</v>
      </c>
      <c r="I10053">
        <v>4600</v>
      </c>
      <c r="J10053" t="s">
        <v>278</v>
      </c>
      <c r="K10053">
        <v>21.95</v>
      </c>
      <c r="L10053">
        <v>4.46</v>
      </c>
      <c r="M10053">
        <v>67522</v>
      </c>
      <c r="N10053" t="s">
        <v>121</v>
      </c>
      <c r="O10053">
        <v>250827</v>
      </c>
      <c r="P10053">
        <v>17.489999999999998</v>
      </c>
    </row>
    <row r="10054" spans="1:16" x14ac:dyDescent="0.25">
      <c r="A10054" t="s">
        <v>3296</v>
      </c>
      <c r="B10054" t="s">
        <v>2931</v>
      </c>
      <c r="C10054">
        <v>12893</v>
      </c>
      <c r="D10054" t="str">
        <f>"39242       "</f>
        <v xml:space="preserve">39242       </v>
      </c>
      <c r="E10054" t="s">
        <v>1131</v>
      </c>
      <c r="F10054" t="s">
        <v>1132</v>
      </c>
      <c r="G10054">
        <v>82.75</v>
      </c>
      <c r="H10054">
        <v>250930</v>
      </c>
      <c r="I10054">
        <v>4600</v>
      </c>
      <c r="J10054" t="s">
        <v>278</v>
      </c>
      <c r="K10054">
        <v>82.75</v>
      </c>
      <c r="L10054">
        <v>16.809999999999999</v>
      </c>
      <c r="M10054">
        <v>67554</v>
      </c>
      <c r="N10054" t="s">
        <v>317</v>
      </c>
      <c r="O10054">
        <v>251001</v>
      </c>
      <c r="P10054">
        <v>65.94</v>
      </c>
    </row>
    <row r="10055" spans="1:16" x14ac:dyDescent="0.25">
      <c r="A10055" t="s">
        <v>3296</v>
      </c>
      <c r="B10055" t="s">
        <v>2931</v>
      </c>
      <c r="C10055">
        <v>14822</v>
      </c>
      <c r="D10055" t="str">
        <f>"39412       "</f>
        <v xml:space="preserve">39412       </v>
      </c>
      <c r="E10055" t="s">
        <v>1131</v>
      </c>
      <c r="F10055" t="s">
        <v>1132</v>
      </c>
      <c r="G10055">
        <v>53</v>
      </c>
      <c r="H10055">
        <v>251031</v>
      </c>
      <c r="I10055">
        <v>4600</v>
      </c>
      <c r="J10055" t="s">
        <v>278</v>
      </c>
      <c r="K10055">
        <v>53</v>
      </c>
      <c r="L10055">
        <v>10.77</v>
      </c>
      <c r="M10055">
        <v>67522</v>
      </c>
      <c r="N10055" t="s">
        <v>121</v>
      </c>
      <c r="O10055">
        <v>251107</v>
      </c>
      <c r="P10055">
        <v>42.23</v>
      </c>
    </row>
    <row r="10056" spans="1:16" x14ac:dyDescent="0.25">
      <c r="A10056" t="s">
        <v>3296</v>
      </c>
      <c r="B10056" t="s">
        <v>2931</v>
      </c>
      <c r="C10056">
        <v>8051</v>
      </c>
      <c r="D10056" t="str">
        <f>"060625      "</f>
        <v xml:space="preserve">060625      </v>
      </c>
      <c r="E10056" t="s">
        <v>3100</v>
      </c>
      <c r="F10056" t="s">
        <v>3101</v>
      </c>
      <c r="G10056">
        <v>1290</v>
      </c>
      <c r="H10056">
        <v>250531</v>
      </c>
      <c r="I10056">
        <v>4820</v>
      </c>
      <c r="J10056" t="s">
        <v>169</v>
      </c>
      <c r="K10056">
        <v>1290</v>
      </c>
      <c r="L10056">
        <v>0</v>
      </c>
      <c r="M10056">
        <v>13841</v>
      </c>
      <c r="N10056" t="s">
        <v>178</v>
      </c>
      <c r="O10056">
        <v>250611</v>
      </c>
      <c r="P10056">
        <v>1290</v>
      </c>
    </row>
    <row r="10057" spans="1:16" x14ac:dyDescent="0.25">
      <c r="A10057" t="s">
        <v>3296</v>
      </c>
      <c r="B10057" t="s">
        <v>2931</v>
      </c>
      <c r="C10057">
        <v>17096</v>
      </c>
      <c r="D10057" t="str">
        <f>"101225      "</f>
        <v xml:space="preserve">101225      </v>
      </c>
      <c r="E10057" t="s">
        <v>3100</v>
      </c>
      <c r="F10057" t="s">
        <v>3101</v>
      </c>
      <c r="G10057">
        <v>1080</v>
      </c>
      <c r="H10057">
        <v>251210</v>
      </c>
      <c r="I10057">
        <v>4820</v>
      </c>
      <c r="J10057" t="s">
        <v>169</v>
      </c>
      <c r="K10057">
        <v>1080</v>
      </c>
      <c r="L10057">
        <v>0</v>
      </c>
      <c r="M10057">
        <v>13841</v>
      </c>
      <c r="N10057" t="s">
        <v>178</v>
      </c>
      <c r="O10057">
        <v>251217</v>
      </c>
      <c r="P10057">
        <v>1080</v>
      </c>
    </row>
    <row r="10058" spans="1:16" x14ac:dyDescent="0.25">
      <c r="A10058" t="s">
        <v>3296</v>
      </c>
      <c r="B10058" t="s">
        <v>2931</v>
      </c>
      <c r="C10058">
        <v>15267</v>
      </c>
      <c r="D10058" t="str">
        <f>"13540       "</f>
        <v xml:space="preserve">13540       </v>
      </c>
      <c r="E10058" t="s">
        <v>2566</v>
      </c>
      <c r="F10058" t="s">
        <v>2567</v>
      </c>
      <c r="G10058">
        <v>1882.5</v>
      </c>
      <c r="H10058">
        <v>251031</v>
      </c>
      <c r="I10058">
        <v>4860</v>
      </c>
      <c r="J10058" t="s">
        <v>286</v>
      </c>
      <c r="K10058">
        <v>1882.5</v>
      </c>
      <c r="L10058">
        <v>382.5</v>
      </c>
      <c r="M10058">
        <v>11301</v>
      </c>
      <c r="N10058" t="s">
        <v>92</v>
      </c>
      <c r="O10058">
        <v>251117</v>
      </c>
      <c r="P10058">
        <v>1500</v>
      </c>
    </row>
    <row r="10059" spans="1:16" x14ac:dyDescent="0.25">
      <c r="A10059" t="s">
        <v>3296</v>
      </c>
      <c r="B10059" t="s">
        <v>2931</v>
      </c>
      <c r="C10059">
        <v>7344</v>
      </c>
      <c r="D10059" t="str">
        <f>"2800236231  "</f>
        <v xml:space="preserve">2800236231  </v>
      </c>
      <c r="E10059" t="s">
        <v>1953</v>
      </c>
      <c r="F10059" t="s">
        <v>1954</v>
      </c>
      <c r="G10059">
        <v>13077.1</v>
      </c>
      <c r="H10059">
        <v>250521</v>
      </c>
      <c r="I10059">
        <v>4346</v>
      </c>
      <c r="J10059" t="s">
        <v>334</v>
      </c>
      <c r="K10059">
        <v>13077.1</v>
      </c>
      <c r="L10059">
        <v>2657.1</v>
      </c>
      <c r="M10059">
        <v>10003</v>
      </c>
      <c r="N10059" t="s">
        <v>734</v>
      </c>
      <c r="O10059">
        <v>250603</v>
      </c>
      <c r="P10059">
        <v>10420</v>
      </c>
    </row>
    <row r="10060" spans="1:16" x14ac:dyDescent="0.25">
      <c r="A10060" t="s">
        <v>3296</v>
      </c>
      <c r="B10060" t="s">
        <v>2931</v>
      </c>
      <c r="C10060">
        <v>17225</v>
      </c>
      <c r="D10060" t="str">
        <f>"2800252305  "</f>
        <v xml:space="preserve">2800252305  </v>
      </c>
      <c r="E10060" t="s">
        <v>1953</v>
      </c>
      <c r="F10060" t="s">
        <v>1954</v>
      </c>
      <c r="G10060">
        <v>6952.7</v>
      </c>
      <c r="H10060">
        <v>251216</v>
      </c>
      <c r="I10060">
        <v>4346</v>
      </c>
      <c r="J10060" t="s">
        <v>334</v>
      </c>
      <c r="K10060">
        <v>6952.7</v>
      </c>
      <c r="L10060">
        <v>1412.7</v>
      </c>
      <c r="M10060">
        <v>10003</v>
      </c>
      <c r="N10060" t="s">
        <v>734</v>
      </c>
      <c r="O10060">
        <v>251218</v>
      </c>
      <c r="P10060">
        <v>5540</v>
      </c>
    </row>
    <row r="10061" spans="1:16" x14ac:dyDescent="0.25">
      <c r="A10061" t="s">
        <v>3296</v>
      </c>
      <c r="B10061" t="s">
        <v>2931</v>
      </c>
      <c r="C10061">
        <v>7354</v>
      </c>
      <c r="D10061" t="str">
        <f>"2800236230  "</f>
        <v xml:space="preserve">2800236230  </v>
      </c>
      <c r="E10061" t="s">
        <v>1953</v>
      </c>
      <c r="F10061" t="s">
        <v>1954</v>
      </c>
      <c r="G10061">
        <v>7718.25</v>
      </c>
      <c r="H10061">
        <v>250521</v>
      </c>
      <c r="I10061">
        <v>4347</v>
      </c>
      <c r="J10061" t="s">
        <v>328</v>
      </c>
      <c r="K10061">
        <v>7718.25</v>
      </c>
      <c r="L10061">
        <v>1568.25</v>
      </c>
      <c r="M10061">
        <v>10003</v>
      </c>
      <c r="N10061" t="s">
        <v>734</v>
      </c>
      <c r="O10061">
        <v>250603</v>
      </c>
      <c r="P10061">
        <v>6150</v>
      </c>
    </row>
    <row r="10062" spans="1:16" x14ac:dyDescent="0.25">
      <c r="A10062" t="s">
        <v>3296</v>
      </c>
      <c r="B10062" t="s">
        <v>2931</v>
      </c>
      <c r="C10062">
        <v>17221</v>
      </c>
      <c r="D10062" t="str">
        <f>"2800252312  "</f>
        <v xml:space="preserve">2800252312  </v>
      </c>
      <c r="E10062" t="s">
        <v>1953</v>
      </c>
      <c r="F10062" t="s">
        <v>1954</v>
      </c>
      <c r="G10062">
        <v>4894.5</v>
      </c>
      <c r="H10062">
        <v>251216</v>
      </c>
      <c r="I10062">
        <v>4347</v>
      </c>
      <c r="J10062" t="s">
        <v>328</v>
      </c>
      <c r="K10062">
        <v>4894.5</v>
      </c>
      <c r="L10062">
        <v>994.5</v>
      </c>
      <c r="M10062">
        <v>10003</v>
      </c>
      <c r="N10062" t="s">
        <v>734</v>
      </c>
      <c r="O10062">
        <v>251218</v>
      </c>
      <c r="P10062">
        <v>3900</v>
      </c>
    </row>
    <row r="10063" spans="1:16" x14ac:dyDescent="0.25">
      <c r="A10063" t="s">
        <v>3296</v>
      </c>
      <c r="B10063" t="s">
        <v>2931</v>
      </c>
      <c r="C10063">
        <v>16823</v>
      </c>
      <c r="D10063" t="str">
        <f>"2800251543  "</f>
        <v xml:space="preserve">2800251543  </v>
      </c>
      <c r="E10063" t="s">
        <v>1953</v>
      </c>
      <c r="F10063" t="s">
        <v>1954</v>
      </c>
      <c r="G10063">
        <v>3162.6</v>
      </c>
      <c r="H10063">
        <v>251130</v>
      </c>
      <c r="I10063">
        <v>4441</v>
      </c>
      <c r="J10063" t="s">
        <v>234</v>
      </c>
      <c r="K10063">
        <v>3162.6</v>
      </c>
      <c r="L10063">
        <v>642.6</v>
      </c>
      <c r="M10063">
        <v>10003</v>
      </c>
      <c r="N10063" t="s">
        <v>734</v>
      </c>
      <c r="O10063">
        <v>251212</v>
      </c>
      <c r="P10063">
        <v>2520</v>
      </c>
    </row>
    <row r="10064" spans="1:16" x14ac:dyDescent="0.25">
      <c r="A10064" t="s">
        <v>3296</v>
      </c>
      <c r="B10064" t="s">
        <v>2931</v>
      </c>
      <c r="C10064">
        <v>10877</v>
      </c>
      <c r="D10064" t="str">
        <f>"2800243712  "</f>
        <v xml:space="preserve">2800243712  </v>
      </c>
      <c r="E10064" t="s">
        <v>1953</v>
      </c>
      <c r="F10064" t="s">
        <v>1954</v>
      </c>
      <c r="G10064">
        <v>522891.66</v>
      </c>
      <c r="H10064">
        <v>250819</v>
      </c>
      <c r="I10064">
        <v>8150</v>
      </c>
      <c r="J10064" t="s">
        <v>2225</v>
      </c>
      <c r="K10064">
        <v>522891.66</v>
      </c>
      <c r="L10064">
        <v>106244.92</v>
      </c>
      <c r="M10064">
        <v>18950</v>
      </c>
      <c r="N10064" t="s">
        <v>2226</v>
      </c>
      <c r="O10064">
        <v>250826</v>
      </c>
      <c r="P10064">
        <v>416646.74</v>
      </c>
    </row>
    <row r="10065" spans="1:16" x14ac:dyDescent="0.25">
      <c r="A10065" t="s">
        <v>3296</v>
      </c>
      <c r="B10065" t="s">
        <v>2931</v>
      </c>
      <c r="C10065">
        <v>2367</v>
      </c>
      <c r="D10065" t="str">
        <f>"32048       "</f>
        <v xml:space="preserve">32048       </v>
      </c>
      <c r="E10065" t="s">
        <v>1255</v>
      </c>
      <c r="F10065" t="s">
        <v>1256</v>
      </c>
      <c r="G10065">
        <v>2133.5</v>
      </c>
      <c r="H10065">
        <v>250217</v>
      </c>
      <c r="I10065">
        <v>4400</v>
      </c>
      <c r="J10065" t="s">
        <v>162</v>
      </c>
      <c r="K10065">
        <v>2133.5</v>
      </c>
      <c r="L10065">
        <v>433.5</v>
      </c>
      <c r="M10065">
        <v>46554</v>
      </c>
      <c r="N10065" t="s">
        <v>102</v>
      </c>
      <c r="O10065">
        <v>250224</v>
      </c>
      <c r="P10065">
        <v>1700</v>
      </c>
    </row>
    <row r="10066" spans="1:16" x14ac:dyDescent="0.25">
      <c r="A10066" t="s">
        <v>3296</v>
      </c>
      <c r="B10066" t="s">
        <v>2931</v>
      </c>
      <c r="C10066">
        <v>10445</v>
      </c>
      <c r="D10066" t="str">
        <f>"528         "</f>
        <v xml:space="preserve">528         </v>
      </c>
      <c r="E10066" t="s">
        <v>2191</v>
      </c>
      <c r="F10066" t="s">
        <v>2192</v>
      </c>
      <c r="G10066">
        <v>136</v>
      </c>
      <c r="H10066">
        <v>250812</v>
      </c>
      <c r="I10066">
        <v>4347</v>
      </c>
      <c r="J10066" t="s">
        <v>328</v>
      </c>
      <c r="K10066">
        <v>136</v>
      </c>
      <c r="L10066">
        <v>27.63</v>
      </c>
      <c r="M10066">
        <v>16121</v>
      </c>
      <c r="N10066" t="s">
        <v>127</v>
      </c>
      <c r="O10066">
        <v>250819</v>
      </c>
      <c r="P10066">
        <v>108.37</v>
      </c>
    </row>
    <row r="10067" spans="1:16" x14ac:dyDescent="0.25">
      <c r="A10067" t="s">
        <v>3296</v>
      </c>
      <c r="B10067" t="s">
        <v>2931</v>
      </c>
      <c r="C10067">
        <v>7100</v>
      </c>
      <c r="D10067" t="str">
        <f>"1173        "</f>
        <v xml:space="preserve">1173        </v>
      </c>
      <c r="E10067" t="s">
        <v>1917</v>
      </c>
      <c r="F10067" t="s">
        <v>1918</v>
      </c>
      <c r="G10067">
        <v>100</v>
      </c>
      <c r="H10067">
        <v>250520</v>
      </c>
      <c r="I10067">
        <v>4600</v>
      </c>
      <c r="J10067" t="s">
        <v>278</v>
      </c>
      <c r="K10067">
        <v>130</v>
      </c>
      <c r="L10067">
        <v>0</v>
      </c>
      <c r="M10067">
        <v>13801</v>
      </c>
      <c r="N10067" t="s">
        <v>33</v>
      </c>
      <c r="O10067">
        <v>250522</v>
      </c>
      <c r="P10067">
        <v>100</v>
      </c>
    </row>
    <row r="10068" spans="1:16" x14ac:dyDescent="0.25">
      <c r="A10068" t="s">
        <v>3296</v>
      </c>
      <c r="B10068" t="s">
        <v>2931</v>
      </c>
      <c r="C10068">
        <v>7100</v>
      </c>
      <c r="D10068" t="str">
        <f>"1173        "</f>
        <v xml:space="preserve">1173        </v>
      </c>
      <c r="E10068" t="s">
        <v>1917</v>
      </c>
      <c r="F10068" t="s">
        <v>1918</v>
      </c>
      <c r="G10068">
        <v>30</v>
      </c>
      <c r="H10068">
        <v>250520</v>
      </c>
      <c r="I10068">
        <v>4600</v>
      </c>
      <c r="J10068" t="s">
        <v>278</v>
      </c>
      <c r="K10068">
        <v>130</v>
      </c>
      <c r="L10068">
        <v>0</v>
      </c>
      <c r="M10068">
        <v>13802</v>
      </c>
      <c r="N10068" t="s">
        <v>34</v>
      </c>
      <c r="O10068">
        <v>250522</v>
      </c>
      <c r="P10068">
        <v>30</v>
      </c>
    </row>
    <row r="10069" spans="1:16" x14ac:dyDescent="0.25">
      <c r="A10069" t="s">
        <v>3296</v>
      </c>
      <c r="B10069" t="s">
        <v>2931</v>
      </c>
      <c r="C10069">
        <v>15398</v>
      </c>
      <c r="D10069" t="str">
        <f>"1179        "</f>
        <v xml:space="preserve">1179        </v>
      </c>
      <c r="E10069" t="s">
        <v>1104</v>
      </c>
      <c r="F10069" t="s">
        <v>1973</v>
      </c>
      <c r="G10069">
        <v>3</v>
      </c>
      <c r="H10069">
        <v>251111</v>
      </c>
      <c r="I10069">
        <v>4347</v>
      </c>
      <c r="J10069" t="s">
        <v>328</v>
      </c>
      <c r="K10069">
        <v>53</v>
      </c>
      <c r="L10069">
        <v>0</v>
      </c>
      <c r="M10069">
        <v>17971</v>
      </c>
      <c r="N10069" t="s">
        <v>27</v>
      </c>
      <c r="O10069">
        <v>251120</v>
      </c>
      <c r="P10069">
        <v>3</v>
      </c>
    </row>
    <row r="10070" spans="1:16" x14ac:dyDescent="0.25">
      <c r="A10070" t="s">
        <v>3296</v>
      </c>
      <c r="B10070" t="s">
        <v>2931</v>
      </c>
      <c r="C10070">
        <v>18236</v>
      </c>
      <c r="D10070" t="str">
        <f>"1239        "</f>
        <v xml:space="preserve">1239        </v>
      </c>
      <c r="E10070" t="s">
        <v>1104</v>
      </c>
      <c r="F10070" t="s">
        <v>1973</v>
      </c>
      <c r="G10070">
        <v>3</v>
      </c>
      <c r="H10070">
        <v>251227</v>
      </c>
      <c r="I10070">
        <v>4347</v>
      </c>
      <c r="J10070" t="s">
        <v>328</v>
      </c>
      <c r="K10070">
        <v>819</v>
      </c>
      <c r="L10070">
        <v>0.61</v>
      </c>
      <c r="M10070">
        <v>17538</v>
      </c>
      <c r="N10070" t="s">
        <v>129</v>
      </c>
      <c r="O10070">
        <v>260112</v>
      </c>
      <c r="P10070">
        <v>2.39</v>
      </c>
    </row>
    <row r="10071" spans="1:16" x14ac:dyDescent="0.25">
      <c r="A10071" t="s">
        <v>3296</v>
      </c>
      <c r="B10071" t="s">
        <v>2931</v>
      </c>
      <c r="C10071">
        <v>18311</v>
      </c>
      <c r="D10071" t="str">
        <f>"1252        "</f>
        <v xml:space="preserve">1252        </v>
      </c>
      <c r="E10071" t="s">
        <v>1104</v>
      </c>
      <c r="F10071" t="s">
        <v>1973</v>
      </c>
      <c r="G10071">
        <v>3</v>
      </c>
      <c r="H10071">
        <v>251227</v>
      </c>
      <c r="I10071">
        <v>4347</v>
      </c>
      <c r="J10071" t="s">
        <v>328</v>
      </c>
      <c r="K10071">
        <v>49</v>
      </c>
      <c r="L10071">
        <v>0</v>
      </c>
      <c r="M10071">
        <v>17534</v>
      </c>
      <c r="N10071" t="s">
        <v>148</v>
      </c>
      <c r="O10071">
        <v>260113</v>
      </c>
      <c r="P10071">
        <v>3</v>
      </c>
    </row>
    <row r="10072" spans="1:16" x14ac:dyDescent="0.25">
      <c r="A10072" t="s">
        <v>3296</v>
      </c>
      <c r="B10072" t="s">
        <v>2931</v>
      </c>
      <c r="C10072">
        <v>13981</v>
      </c>
      <c r="D10072" t="str">
        <f>"1164        "</f>
        <v xml:space="preserve">1164        </v>
      </c>
      <c r="E10072" t="s">
        <v>1104</v>
      </c>
      <c r="F10072" t="s">
        <v>1973</v>
      </c>
      <c r="G10072">
        <v>15</v>
      </c>
      <c r="H10072">
        <v>251018</v>
      </c>
      <c r="I10072">
        <v>4364</v>
      </c>
      <c r="J10072" t="s">
        <v>470</v>
      </c>
      <c r="K10072">
        <v>58</v>
      </c>
      <c r="L10072">
        <v>3.05</v>
      </c>
      <c r="M10072">
        <v>17711</v>
      </c>
      <c r="N10072" t="s">
        <v>155</v>
      </c>
      <c r="O10072">
        <v>251021</v>
      </c>
      <c r="P10072">
        <v>11.95</v>
      </c>
    </row>
    <row r="10073" spans="1:16" x14ac:dyDescent="0.25">
      <c r="A10073" t="s">
        <v>3296</v>
      </c>
      <c r="B10073" t="s">
        <v>2931</v>
      </c>
      <c r="C10073">
        <v>8062</v>
      </c>
      <c r="D10073" t="str">
        <f>"1044        "</f>
        <v xml:space="preserve">1044        </v>
      </c>
      <c r="E10073" t="s">
        <v>1104</v>
      </c>
      <c r="F10073" t="s">
        <v>1973</v>
      </c>
      <c r="G10073">
        <v>19.8</v>
      </c>
      <c r="H10073">
        <v>250529</v>
      </c>
      <c r="I10073">
        <v>4557</v>
      </c>
      <c r="J10073" t="s">
        <v>1152</v>
      </c>
      <c r="K10073">
        <v>1860</v>
      </c>
      <c r="L10073">
        <v>4.0199999999999996</v>
      </c>
      <c r="M10073">
        <v>13501</v>
      </c>
      <c r="N10073" t="s">
        <v>66</v>
      </c>
      <c r="O10073">
        <v>250611</v>
      </c>
      <c r="P10073">
        <v>15.78</v>
      </c>
    </row>
    <row r="10074" spans="1:16" x14ac:dyDescent="0.25">
      <c r="A10074" t="s">
        <v>3296</v>
      </c>
      <c r="B10074" t="s">
        <v>2931</v>
      </c>
      <c r="C10074">
        <v>8062</v>
      </c>
      <c r="D10074" t="str">
        <f>"1044        "</f>
        <v xml:space="preserve">1044        </v>
      </c>
      <c r="E10074" t="s">
        <v>1104</v>
      </c>
      <c r="F10074" t="s">
        <v>1973</v>
      </c>
      <c r="G10074">
        <v>1120</v>
      </c>
      <c r="H10074">
        <v>250529</v>
      </c>
      <c r="I10074">
        <v>4557</v>
      </c>
      <c r="J10074" t="s">
        <v>1152</v>
      </c>
      <c r="K10074">
        <v>1860</v>
      </c>
      <c r="L10074">
        <v>227.57</v>
      </c>
      <c r="M10074">
        <v>17538</v>
      </c>
      <c r="N10074" t="s">
        <v>129</v>
      </c>
      <c r="O10074">
        <v>250611</v>
      </c>
      <c r="P10074">
        <v>892.43</v>
      </c>
    </row>
    <row r="10075" spans="1:16" x14ac:dyDescent="0.25">
      <c r="A10075" t="s">
        <v>3296</v>
      </c>
      <c r="B10075" t="s">
        <v>2931</v>
      </c>
      <c r="C10075">
        <v>8062</v>
      </c>
      <c r="D10075" t="str">
        <f>"1044        "</f>
        <v xml:space="preserve">1044        </v>
      </c>
      <c r="E10075" t="s">
        <v>1104</v>
      </c>
      <c r="F10075" t="s">
        <v>1973</v>
      </c>
      <c r="G10075">
        <v>160.19999999999999</v>
      </c>
      <c r="H10075">
        <v>250529</v>
      </c>
      <c r="I10075">
        <v>4557</v>
      </c>
      <c r="J10075" t="s">
        <v>1152</v>
      </c>
      <c r="K10075">
        <v>1860</v>
      </c>
      <c r="L10075">
        <v>32.549999999999997</v>
      </c>
      <c r="M10075">
        <v>17971</v>
      </c>
      <c r="N10075" t="s">
        <v>27</v>
      </c>
      <c r="O10075">
        <v>250611</v>
      </c>
      <c r="P10075">
        <v>127.65</v>
      </c>
    </row>
    <row r="10076" spans="1:16" x14ac:dyDescent="0.25">
      <c r="A10076" t="s">
        <v>3296</v>
      </c>
      <c r="B10076" t="s">
        <v>2931</v>
      </c>
      <c r="C10076">
        <v>8062</v>
      </c>
      <c r="D10076" t="str">
        <f>"1044        "</f>
        <v xml:space="preserve">1044        </v>
      </c>
      <c r="E10076" t="s">
        <v>1104</v>
      </c>
      <c r="F10076" t="s">
        <v>1973</v>
      </c>
      <c r="G10076">
        <v>560</v>
      </c>
      <c r="H10076">
        <v>250529</v>
      </c>
      <c r="I10076">
        <v>4557</v>
      </c>
      <c r="J10076" t="s">
        <v>1152</v>
      </c>
      <c r="K10076">
        <v>1860</v>
      </c>
      <c r="L10076">
        <v>113.78</v>
      </c>
      <c r="M10076">
        <v>17971</v>
      </c>
      <c r="N10076" t="s">
        <v>27</v>
      </c>
      <c r="O10076">
        <v>250611</v>
      </c>
      <c r="P10076">
        <v>446.22</v>
      </c>
    </row>
    <row r="10077" spans="1:16" x14ac:dyDescent="0.25">
      <c r="A10077" t="s">
        <v>3296</v>
      </c>
      <c r="B10077" t="s">
        <v>2931</v>
      </c>
      <c r="C10077">
        <v>18236</v>
      </c>
      <c r="D10077" t="str">
        <f>"1239        "</f>
        <v xml:space="preserve">1239        </v>
      </c>
      <c r="E10077" t="s">
        <v>1104</v>
      </c>
      <c r="F10077" t="s">
        <v>1973</v>
      </c>
      <c r="G10077">
        <v>160</v>
      </c>
      <c r="H10077">
        <v>251227</v>
      </c>
      <c r="I10077">
        <v>4557</v>
      </c>
      <c r="J10077" t="s">
        <v>1152</v>
      </c>
      <c r="K10077">
        <v>819</v>
      </c>
      <c r="L10077">
        <v>32.51</v>
      </c>
      <c r="M10077">
        <v>16121</v>
      </c>
      <c r="N10077" t="s">
        <v>127</v>
      </c>
      <c r="O10077">
        <v>260112</v>
      </c>
      <c r="P10077">
        <v>127.49</v>
      </c>
    </row>
    <row r="10078" spans="1:16" x14ac:dyDescent="0.25">
      <c r="A10078" t="s">
        <v>3296</v>
      </c>
      <c r="B10078" t="s">
        <v>2931</v>
      </c>
      <c r="C10078">
        <v>18236</v>
      </c>
      <c r="D10078" t="str">
        <f>"1239        "</f>
        <v xml:space="preserve">1239        </v>
      </c>
      <c r="E10078" t="s">
        <v>1104</v>
      </c>
      <c r="F10078" t="s">
        <v>1973</v>
      </c>
      <c r="G10078">
        <v>656</v>
      </c>
      <c r="H10078">
        <v>251227</v>
      </c>
      <c r="I10078">
        <v>4557</v>
      </c>
      <c r="J10078" t="s">
        <v>1152</v>
      </c>
      <c r="K10078">
        <v>819</v>
      </c>
      <c r="L10078">
        <v>133.29</v>
      </c>
      <c r="M10078">
        <v>17538</v>
      </c>
      <c r="N10078" t="s">
        <v>129</v>
      </c>
      <c r="O10078">
        <v>260112</v>
      </c>
      <c r="P10078">
        <v>522.71</v>
      </c>
    </row>
    <row r="10079" spans="1:16" x14ac:dyDescent="0.25">
      <c r="A10079" t="s">
        <v>3296</v>
      </c>
      <c r="B10079" t="s">
        <v>2931</v>
      </c>
      <c r="C10079">
        <v>18311</v>
      </c>
      <c r="D10079" t="str">
        <f>"1252        "</f>
        <v xml:space="preserve">1252        </v>
      </c>
      <c r="E10079" t="s">
        <v>1104</v>
      </c>
      <c r="F10079" t="s">
        <v>1973</v>
      </c>
      <c r="G10079">
        <v>46</v>
      </c>
      <c r="H10079">
        <v>251227</v>
      </c>
      <c r="I10079">
        <v>4557</v>
      </c>
      <c r="J10079" t="s">
        <v>1152</v>
      </c>
      <c r="K10079">
        <v>49</v>
      </c>
      <c r="L10079">
        <v>0</v>
      </c>
      <c r="M10079">
        <v>17534</v>
      </c>
      <c r="N10079" t="s">
        <v>148</v>
      </c>
      <c r="O10079">
        <v>260113</v>
      </c>
      <c r="P10079">
        <v>46</v>
      </c>
    </row>
    <row r="10080" spans="1:16" x14ac:dyDescent="0.25">
      <c r="A10080" t="s">
        <v>3296</v>
      </c>
      <c r="B10080" t="s">
        <v>2931</v>
      </c>
      <c r="C10080">
        <v>7502</v>
      </c>
      <c r="D10080" t="str">
        <f>"1028        "</f>
        <v xml:space="preserve">1028        </v>
      </c>
      <c r="E10080" t="s">
        <v>1104</v>
      </c>
      <c r="F10080" t="s">
        <v>1973</v>
      </c>
      <c r="G10080">
        <v>50</v>
      </c>
      <c r="H10080">
        <v>250524</v>
      </c>
      <c r="I10080">
        <v>4600</v>
      </c>
      <c r="J10080" t="s">
        <v>278</v>
      </c>
      <c r="K10080">
        <v>50</v>
      </c>
      <c r="L10080">
        <v>0</v>
      </c>
      <c r="M10080">
        <v>17971</v>
      </c>
      <c r="N10080" t="s">
        <v>27</v>
      </c>
      <c r="O10080">
        <v>250604</v>
      </c>
      <c r="P10080">
        <v>50</v>
      </c>
    </row>
    <row r="10081" spans="1:16" x14ac:dyDescent="0.25">
      <c r="A10081" t="s">
        <v>3296</v>
      </c>
      <c r="B10081" t="s">
        <v>2931</v>
      </c>
      <c r="C10081">
        <v>8058</v>
      </c>
      <c r="D10081" t="str">
        <f>"1048        "</f>
        <v xml:space="preserve">1048        </v>
      </c>
      <c r="E10081" t="s">
        <v>1104</v>
      </c>
      <c r="F10081" t="s">
        <v>1973</v>
      </c>
      <c r="G10081">
        <v>380</v>
      </c>
      <c r="H10081">
        <v>250531</v>
      </c>
      <c r="I10081">
        <v>4600</v>
      </c>
      <c r="J10081" t="s">
        <v>278</v>
      </c>
      <c r="K10081">
        <v>380</v>
      </c>
      <c r="L10081">
        <v>77.209999999999994</v>
      </c>
      <c r="M10081">
        <v>13501</v>
      </c>
      <c r="N10081" t="s">
        <v>66</v>
      </c>
      <c r="O10081">
        <v>250611</v>
      </c>
      <c r="P10081">
        <v>302.79000000000002</v>
      </c>
    </row>
    <row r="10082" spans="1:16" x14ac:dyDescent="0.25">
      <c r="A10082" t="s">
        <v>3296</v>
      </c>
      <c r="B10082" t="s">
        <v>2931</v>
      </c>
      <c r="C10082">
        <v>8063</v>
      </c>
      <c r="D10082" t="str">
        <f>"1041        "</f>
        <v xml:space="preserve">1041        </v>
      </c>
      <c r="E10082" t="s">
        <v>1104</v>
      </c>
      <c r="F10082" t="s">
        <v>1973</v>
      </c>
      <c r="G10082">
        <v>1770</v>
      </c>
      <c r="H10082">
        <v>250531</v>
      </c>
      <c r="I10082">
        <v>4600</v>
      </c>
      <c r="J10082" t="s">
        <v>278</v>
      </c>
      <c r="K10082">
        <v>1770</v>
      </c>
      <c r="L10082">
        <v>359.64</v>
      </c>
      <c r="M10082">
        <v>17972</v>
      </c>
      <c r="N10082" t="s">
        <v>28</v>
      </c>
      <c r="O10082">
        <v>250611</v>
      </c>
      <c r="P10082">
        <v>1410.36</v>
      </c>
    </row>
    <row r="10083" spans="1:16" x14ac:dyDescent="0.25">
      <c r="A10083" t="s">
        <v>3296</v>
      </c>
      <c r="B10083" t="s">
        <v>2931</v>
      </c>
      <c r="C10083">
        <v>9265</v>
      </c>
      <c r="D10083" t="str">
        <f>"1064        "</f>
        <v xml:space="preserve">1064        </v>
      </c>
      <c r="E10083" t="s">
        <v>1104</v>
      </c>
      <c r="F10083" t="s">
        <v>1973</v>
      </c>
      <c r="G10083">
        <v>43</v>
      </c>
      <c r="H10083">
        <v>250627</v>
      </c>
      <c r="I10083">
        <v>4600</v>
      </c>
      <c r="J10083" t="s">
        <v>278</v>
      </c>
      <c r="K10083">
        <v>43</v>
      </c>
      <c r="L10083">
        <v>0</v>
      </c>
      <c r="M10083">
        <v>13801</v>
      </c>
      <c r="N10083" t="s">
        <v>33</v>
      </c>
      <c r="O10083">
        <v>250701</v>
      </c>
      <c r="P10083">
        <v>43</v>
      </c>
    </row>
    <row r="10084" spans="1:16" x14ac:dyDescent="0.25">
      <c r="A10084" t="s">
        <v>3296</v>
      </c>
      <c r="B10084" t="s">
        <v>2931</v>
      </c>
      <c r="C10084">
        <v>10530</v>
      </c>
      <c r="D10084" t="str">
        <f>"1104        "</f>
        <v xml:space="preserve">1104        </v>
      </c>
      <c r="E10084" t="s">
        <v>1104</v>
      </c>
      <c r="F10084" t="s">
        <v>1973</v>
      </c>
      <c r="G10084">
        <v>43</v>
      </c>
      <c r="H10084">
        <v>250816</v>
      </c>
      <c r="I10084">
        <v>4600</v>
      </c>
      <c r="J10084" t="s">
        <v>278</v>
      </c>
      <c r="K10084">
        <v>43</v>
      </c>
      <c r="L10084">
        <v>0</v>
      </c>
      <c r="M10084">
        <v>17807</v>
      </c>
      <c r="N10084" t="s">
        <v>23</v>
      </c>
      <c r="O10084">
        <v>250820</v>
      </c>
      <c r="P10084">
        <v>43</v>
      </c>
    </row>
    <row r="10085" spans="1:16" x14ac:dyDescent="0.25">
      <c r="A10085" t="s">
        <v>3296</v>
      </c>
      <c r="B10085" t="s">
        <v>2931</v>
      </c>
      <c r="C10085">
        <v>10531</v>
      </c>
      <c r="D10085" t="str">
        <f>"1097        "</f>
        <v xml:space="preserve">1097        </v>
      </c>
      <c r="E10085" t="s">
        <v>1104</v>
      </c>
      <c r="F10085" t="s">
        <v>1973</v>
      </c>
      <c r="G10085">
        <v>32</v>
      </c>
      <c r="H10085">
        <v>250816</v>
      </c>
      <c r="I10085">
        <v>4600</v>
      </c>
      <c r="J10085" t="s">
        <v>278</v>
      </c>
      <c r="K10085">
        <v>32</v>
      </c>
      <c r="L10085">
        <v>0</v>
      </c>
      <c r="M10085">
        <v>17538</v>
      </c>
      <c r="N10085" t="s">
        <v>129</v>
      </c>
      <c r="O10085">
        <v>250820</v>
      </c>
      <c r="P10085">
        <v>32</v>
      </c>
    </row>
    <row r="10086" spans="1:16" x14ac:dyDescent="0.25">
      <c r="A10086" t="s">
        <v>3296</v>
      </c>
      <c r="B10086" t="s">
        <v>2931</v>
      </c>
      <c r="C10086">
        <v>10853</v>
      </c>
      <c r="D10086" t="str">
        <f>"1110        "</f>
        <v xml:space="preserve">1110        </v>
      </c>
      <c r="E10086" t="s">
        <v>1104</v>
      </c>
      <c r="F10086" t="s">
        <v>1973</v>
      </c>
      <c r="G10086">
        <v>53</v>
      </c>
      <c r="H10086">
        <v>250823</v>
      </c>
      <c r="I10086">
        <v>4600</v>
      </c>
      <c r="J10086" t="s">
        <v>278</v>
      </c>
      <c r="K10086">
        <v>53</v>
      </c>
      <c r="L10086">
        <v>0</v>
      </c>
      <c r="M10086">
        <v>17972</v>
      </c>
      <c r="N10086" t="s">
        <v>28</v>
      </c>
      <c r="O10086">
        <v>250825</v>
      </c>
      <c r="P10086">
        <v>53</v>
      </c>
    </row>
    <row r="10087" spans="1:16" x14ac:dyDescent="0.25">
      <c r="A10087" t="s">
        <v>3296</v>
      </c>
      <c r="B10087" t="s">
        <v>2931</v>
      </c>
      <c r="C10087">
        <v>12024</v>
      </c>
      <c r="D10087" t="str">
        <f>"1124        "</f>
        <v xml:space="preserve">1124        </v>
      </c>
      <c r="E10087" t="s">
        <v>1104</v>
      </c>
      <c r="F10087" t="s">
        <v>1973</v>
      </c>
      <c r="G10087">
        <v>48</v>
      </c>
      <c r="H10087">
        <v>250913</v>
      </c>
      <c r="I10087">
        <v>4600</v>
      </c>
      <c r="J10087" t="s">
        <v>278</v>
      </c>
      <c r="K10087">
        <v>48</v>
      </c>
      <c r="L10087">
        <v>9.75</v>
      </c>
      <c r="M10087">
        <v>17971</v>
      </c>
      <c r="N10087" t="s">
        <v>27</v>
      </c>
      <c r="O10087">
        <v>250915</v>
      </c>
      <c r="P10087">
        <v>38.25</v>
      </c>
    </row>
    <row r="10088" spans="1:16" x14ac:dyDescent="0.25">
      <c r="A10088" t="s">
        <v>3296</v>
      </c>
      <c r="B10088" t="s">
        <v>2931</v>
      </c>
      <c r="C10088">
        <v>13317</v>
      </c>
      <c r="D10088" t="str">
        <f>"1143        "</f>
        <v xml:space="preserve">1143        </v>
      </c>
      <c r="E10088" t="s">
        <v>1104</v>
      </c>
      <c r="F10088" t="s">
        <v>1973</v>
      </c>
      <c r="G10088">
        <v>38</v>
      </c>
      <c r="H10088">
        <v>250930</v>
      </c>
      <c r="I10088">
        <v>4600</v>
      </c>
      <c r="J10088" t="s">
        <v>278</v>
      </c>
      <c r="K10088">
        <v>38</v>
      </c>
      <c r="L10088">
        <v>0</v>
      </c>
      <c r="M10088">
        <v>17808</v>
      </c>
      <c r="N10088" t="s">
        <v>24</v>
      </c>
      <c r="O10088">
        <v>251007</v>
      </c>
      <c r="P10088">
        <v>38</v>
      </c>
    </row>
    <row r="10089" spans="1:16" x14ac:dyDescent="0.25">
      <c r="A10089" t="s">
        <v>3296</v>
      </c>
      <c r="B10089" t="s">
        <v>2931</v>
      </c>
      <c r="C10089">
        <v>13389</v>
      </c>
      <c r="D10089" t="str">
        <f>"1144        "</f>
        <v xml:space="preserve">1144        </v>
      </c>
      <c r="E10089" t="s">
        <v>1104</v>
      </c>
      <c r="F10089" t="s">
        <v>1973</v>
      </c>
      <c r="G10089">
        <v>36</v>
      </c>
      <c r="H10089">
        <v>251004</v>
      </c>
      <c r="I10089">
        <v>4600</v>
      </c>
      <c r="J10089" t="s">
        <v>278</v>
      </c>
      <c r="K10089">
        <v>108</v>
      </c>
      <c r="L10089">
        <v>0</v>
      </c>
      <c r="M10089">
        <v>17522</v>
      </c>
      <c r="N10089" t="s">
        <v>137</v>
      </c>
      <c r="O10089">
        <v>251008</v>
      </c>
      <c r="P10089">
        <v>36</v>
      </c>
    </row>
    <row r="10090" spans="1:16" x14ac:dyDescent="0.25">
      <c r="A10090" t="s">
        <v>3296</v>
      </c>
      <c r="B10090" t="s">
        <v>2931</v>
      </c>
      <c r="C10090">
        <v>13389</v>
      </c>
      <c r="D10090" t="str">
        <f>"1144        "</f>
        <v xml:space="preserve">1144        </v>
      </c>
      <c r="E10090" t="s">
        <v>1104</v>
      </c>
      <c r="F10090" t="s">
        <v>1973</v>
      </c>
      <c r="G10090">
        <v>72</v>
      </c>
      <c r="H10090">
        <v>251004</v>
      </c>
      <c r="I10090">
        <v>4600</v>
      </c>
      <c r="J10090" t="s">
        <v>278</v>
      </c>
      <c r="K10090">
        <v>108</v>
      </c>
      <c r="L10090">
        <v>0</v>
      </c>
      <c r="M10090">
        <v>17533</v>
      </c>
      <c r="N10090" t="s">
        <v>147</v>
      </c>
      <c r="O10090">
        <v>251008</v>
      </c>
      <c r="P10090">
        <v>72</v>
      </c>
    </row>
    <row r="10091" spans="1:16" x14ac:dyDescent="0.25">
      <c r="A10091" t="s">
        <v>3296</v>
      </c>
      <c r="B10091" t="s">
        <v>2931</v>
      </c>
      <c r="C10091">
        <v>13981</v>
      </c>
      <c r="D10091" t="str">
        <f>"1164        "</f>
        <v xml:space="preserve">1164        </v>
      </c>
      <c r="E10091" t="s">
        <v>1104</v>
      </c>
      <c r="F10091" t="s">
        <v>1973</v>
      </c>
      <c r="G10091">
        <v>43</v>
      </c>
      <c r="H10091">
        <v>251018</v>
      </c>
      <c r="I10091">
        <v>4600</v>
      </c>
      <c r="J10091" t="s">
        <v>278</v>
      </c>
      <c r="K10091">
        <v>58</v>
      </c>
      <c r="L10091">
        <v>8.74</v>
      </c>
      <c r="M10091">
        <v>17711</v>
      </c>
      <c r="N10091" t="s">
        <v>155</v>
      </c>
      <c r="O10091">
        <v>251021</v>
      </c>
      <c r="P10091">
        <v>34.26</v>
      </c>
    </row>
    <row r="10092" spans="1:16" x14ac:dyDescent="0.25">
      <c r="A10092" t="s">
        <v>3296</v>
      </c>
      <c r="B10092" t="s">
        <v>2931</v>
      </c>
      <c r="C10092">
        <v>14564</v>
      </c>
      <c r="D10092" t="str">
        <f>"1170        "</f>
        <v xml:space="preserve">1170        </v>
      </c>
      <c r="E10092" t="s">
        <v>1104</v>
      </c>
      <c r="F10092" t="s">
        <v>1973</v>
      </c>
      <c r="G10092">
        <v>5.28</v>
      </c>
      <c r="H10092">
        <v>251031</v>
      </c>
      <c r="I10092">
        <v>4600</v>
      </c>
      <c r="J10092" t="s">
        <v>278</v>
      </c>
      <c r="K10092">
        <v>48</v>
      </c>
      <c r="L10092">
        <v>0</v>
      </c>
      <c r="M10092">
        <v>13540</v>
      </c>
      <c r="N10092" t="s">
        <v>131</v>
      </c>
      <c r="O10092">
        <v>251104</v>
      </c>
      <c r="P10092">
        <v>5.28</v>
      </c>
    </row>
    <row r="10093" spans="1:16" x14ac:dyDescent="0.25">
      <c r="A10093" t="s">
        <v>3296</v>
      </c>
      <c r="B10093" t="s">
        <v>2931</v>
      </c>
      <c r="C10093">
        <v>14564</v>
      </c>
      <c r="D10093" t="str">
        <f>"1170        "</f>
        <v xml:space="preserve">1170        </v>
      </c>
      <c r="E10093" t="s">
        <v>1104</v>
      </c>
      <c r="F10093" t="s">
        <v>1973</v>
      </c>
      <c r="G10093">
        <v>42.72</v>
      </c>
      <c r="H10093">
        <v>251031</v>
      </c>
      <c r="I10093">
        <v>4600</v>
      </c>
      <c r="J10093" t="s">
        <v>278</v>
      </c>
      <c r="K10093">
        <v>48</v>
      </c>
      <c r="L10093">
        <v>0</v>
      </c>
      <c r="M10093">
        <v>17950</v>
      </c>
      <c r="N10093" t="s">
        <v>132</v>
      </c>
      <c r="O10093">
        <v>251104</v>
      </c>
      <c r="P10093">
        <v>42.72</v>
      </c>
    </row>
    <row r="10094" spans="1:16" x14ac:dyDescent="0.25">
      <c r="A10094" t="s">
        <v>3296</v>
      </c>
      <c r="B10094" t="s">
        <v>2931</v>
      </c>
      <c r="C10094">
        <v>15398</v>
      </c>
      <c r="D10094" t="str">
        <f>"1179        "</f>
        <v xml:space="preserve">1179        </v>
      </c>
      <c r="E10094" t="s">
        <v>1104</v>
      </c>
      <c r="F10094" t="s">
        <v>1973</v>
      </c>
      <c r="G10094">
        <v>50</v>
      </c>
      <c r="H10094">
        <v>251111</v>
      </c>
      <c r="I10094">
        <v>4600</v>
      </c>
      <c r="J10094" t="s">
        <v>278</v>
      </c>
      <c r="K10094">
        <v>53</v>
      </c>
      <c r="L10094">
        <v>0</v>
      </c>
      <c r="M10094">
        <v>17971</v>
      </c>
      <c r="N10094" t="s">
        <v>27</v>
      </c>
      <c r="O10094">
        <v>251120</v>
      </c>
      <c r="P10094">
        <v>50</v>
      </c>
    </row>
    <row r="10095" spans="1:16" x14ac:dyDescent="0.25">
      <c r="A10095" t="s">
        <v>3296</v>
      </c>
      <c r="B10095" t="s">
        <v>2931</v>
      </c>
      <c r="C10095">
        <v>17941</v>
      </c>
      <c r="D10095" t="str">
        <f>"1245        "</f>
        <v xml:space="preserve">1245        </v>
      </c>
      <c r="E10095" t="s">
        <v>1104</v>
      </c>
      <c r="F10095" t="s">
        <v>1973</v>
      </c>
      <c r="G10095">
        <v>75.75</v>
      </c>
      <c r="H10095">
        <v>251227</v>
      </c>
      <c r="I10095">
        <v>4600</v>
      </c>
      <c r="J10095" t="s">
        <v>278</v>
      </c>
      <c r="K10095">
        <v>528</v>
      </c>
      <c r="L10095">
        <v>15.39</v>
      </c>
      <c r="M10095">
        <v>17131</v>
      </c>
      <c r="N10095" t="s">
        <v>154</v>
      </c>
      <c r="O10095">
        <v>260107</v>
      </c>
      <c r="P10095">
        <v>60.36</v>
      </c>
    </row>
    <row r="10096" spans="1:16" x14ac:dyDescent="0.25">
      <c r="A10096" t="s">
        <v>3296</v>
      </c>
      <c r="B10096" t="s">
        <v>2931</v>
      </c>
      <c r="C10096">
        <v>17941</v>
      </c>
      <c r="D10096" t="str">
        <f>"1245        "</f>
        <v xml:space="preserve">1245        </v>
      </c>
      <c r="E10096" t="s">
        <v>1104</v>
      </c>
      <c r="F10096" t="s">
        <v>1973</v>
      </c>
      <c r="G10096">
        <v>75.75</v>
      </c>
      <c r="H10096">
        <v>251227</v>
      </c>
      <c r="I10096">
        <v>4600</v>
      </c>
      <c r="J10096" t="s">
        <v>278</v>
      </c>
      <c r="K10096">
        <v>528</v>
      </c>
      <c r="L10096">
        <v>15.39</v>
      </c>
      <c r="M10096">
        <v>17711</v>
      </c>
      <c r="N10096" t="s">
        <v>155</v>
      </c>
      <c r="O10096">
        <v>260107</v>
      </c>
      <c r="P10096">
        <v>60.36</v>
      </c>
    </row>
    <row r="10097" spans="1:16" x14ac:dyDescent="0.25">
      <c r="A10097" t="s">
        <v>3296</v>
      </c>
      <c r="B10097" t="s">
        <v>2931</v>
      </c>
      <c r="C10097">
        <v>17941</v>
      </c>
      <c r="D10097" t="str">
        <f>"1245        "</f>
        <v xml:space="preserve">1245        </v>
      </c>
      <c r="E10097" t="s">
        <v>1104</v>
      </c>
      <c r="F10097" t="s">
        <v>1973</v>
      </c>
      <c r="G10097">
        <v>376.5</v>
      </c>
      <c r="H10097">
        <v>251227</v>
      </c>
      <c r="I10097">
        <v>4600</v>
      </c>
      <c r="J10097" t="s">
        <v>278</v>
      </c>
      <c r="K10097">
        <v>528</v>
      </c>
      <c r="L10097">
        <v>76.5</v>
      </c>
      <c r="M10097">
        <v>17808</v>
      </c>
      <c r="N10097" t="s">
        <v>24</v>
      </c>
      <c r="O10097">
        <v>260107</v>
      </c>
      <c r="P10097">
        <v>300</v>
      </c>
    </row>
    <row r="10098" spans="1:16" x14ac:dyDescent="0.25">
      <c r="A10098" t="s">
        <v>3296</v>
      </c>
      <c r="B10098" t="s">
        <v>2931</v>
      </c>
      <c r="C10098">
        <v>1771</v>
      </c>
      <c r="D10098" t="str">
        <f>"6382        "</f>
        <v xml:space="preserve">6382        </v>
      </c>
      <c r="E10098" t="s">
        <v>1104</v>
      </c>
      <c r="F10098" t="s">
        <v>1105</v>
      </c>
      <c r="G10098">
        <v>231</v>
      </c>
      <c r="H10098">
        <v>250208</v>
      </c>
      <c r="I10098">
        <v>4600</v>
      </c>
      <c r="J10098" t="s">
        <v>278</v>
      </c>
      <c r="K10098">
        <v>231</v>
      </c>
      <c r="L10098">
        <v>46.94</v>
      </c>
      <c r="M10098">
        <v>13501</v>
      </c>
      <c r="N10098" t="s">
        <v>66</v>
      </c>
      <c r="O10098">
        <v>250213</v>
      </c>
      <c r="P10098">
        <v>184.06</v>
      </c>
    </row>
    <row r="10099" spans="1:16" x14ac:dyDescent="0.25">
      <c r="A10099" t="s">
        <v>3296</v>
      </c>
      <c r="B10099" t="s">
        <v>2931</v>
      </c>
      <c r="C10099">
        <v>2306</v>
      </c>
      <c r="D10099" t="str">
        <f>"6391        "</f>
        <v xml:space="preserve">6391        </v>
      </c>
      <c r="E10099" t="s">
        <v>1104</v>
      </c>
      <c r="F10099" t="s">
        <v>1105</v>
      </c>
      <c r="G10099">
        <v>40</v>
      </c>
      <c r="H10099">
        <v>250219</v>
      </c>
      <c r="I10099">
        <v>4600</v>
      </c>
      <c r="J10099" t="s">
        <v>278</v>
      </c>
      <c r="K10099">
        <v>40</v>
      </c>
      <c r="L10099">
        <v>0</v>
      </c>
      <c r="M10099">
        <v>17527</v>
      </c>
      <c r="N10099" t="s">
        <v>142</v>
      </c>
      <c r="O10099">
        <v>250224</v>
      </c>
      <c r="P10099">
        <v>40</v>
      </c>
    </row>
    <row r="10100" spans="1:16" x14ac:dyDescent="0.25">
      <c r="A10100" t="s">
        <v>3296</v>
      </c>
      <c r="B10100" t="s">
        <v>2931</v>
      </c>
      <c r="C10100">
        <v>2308</v>
      </c>
      <c r="D10100" t="str">
        <f>"6392        "</f>
        <v xml:space="preserve">6392        </v>
      </c>
      <c r="E10100" t="s">
        <v>1104</v>
      </c>
      <c r="F10100" t="s">
        <v>1105</v>
      </c>
      <c r="G10100">
        <v>45</v>
      </c>
      <c r="H10100">
        <v>250219</v>
      </c>
      <c r="I10100">
        <v>4600</v>
      </c>
      <c r="J10100" t="s">
        <v>278</v>
      </c>
      <c r="K10100">
        <v>45</v>
      </c>
      <c r="L10100">
        <v>0</v>
      </c>
      <c r="M10100">
        <v>17972</v>
      </c>
      <c r="N10100" t="s">
        <v>28</v>
      </c>
      <c r="O10100">
        <v>250224</v>
      </c>
      <c r="P10100">
        <v>45</v>
      </c>
    </row>
    <row r="10101" spans="1:16" x14ac:dyDescent="0.25">
      <c r="A10101" t="s">
        <v>3296</v>
      </c>
      <c r="B10101" t="s">
        <v>2931</v>
      </c>
      <c r="C10101">
        <v>3537</v>
      </c>
      <c r="D10101" t="str">
        <f>"6412        "</f>
        <v xml:space="preserve">6412        </v>
      </c>
      <c r="E10101" t="s">
        <v>1104</v>
      </c>
      <c r="F10101" t="s">
        <v>1105</v>
      </c>
      <c r="G10101">
        <v>43</v>
      </c>
      <c r="H10101">
        <v>250312</v>
      </c>
      <c r="I10101">
        <v>4600</v>
      </c>
      <c r="J10101" t="s">
        <v>278</v>
      </c>
      <c r="K10101">
        <v>43</v>
      </c>
      <c r="L10101">
        <v>0</v>
      </c>
      <c r="M10101">
        <v>16431</v>
      </c>
      <c r="N10101" t="s">
        <v>17</v>
      </c>
      <c r="O10101">
        <v>250325</v>
      </c>
      <c r="P10101">
        <v>43</v>
      </c>
    </row>
    <row r="10102" spans="1:16" x14ac:dyDescent="0.25">
      <c r="A10102" t="s">
        <v>3296</v>
      </c>
      <c r="B10102" t="s">
        <v>2931</v>
      </c>
      <c r="C10102">
        <v>4575</v>
      </c>
      <c r="D10102" t="str">
        <f>"6451        "</f>
        <v xml:space="preserve">6451        </v>
      </c>
      <c r="E10102" t="s">
        <v>1104</v>
      </c>
      <c r="F10102" t="s">
        <v>1105</v>
      </c>
      <c r="G10102">
        <v>40</v>
      </c>
      <c r="H10102">
        <v>250405</v>
      </c>
      <c r="I10102">
        <v>4600</v>
      </c>
      <c r="J10102" t="s">
        <v>278</v>
      </c>
      <c r="K10102">
        <v>40</v>
      </c>
      <c r="L10102">
        <v>8.1300000000000008</v>
      </c>
      <c r="M10102">
        <v>17971</v>
      </c>
      <c r="N10102" t="s">
        <v>27</v>
      </c>
      <c r="O10102">
        <v>250414</v>
      </c>
      <c r="P10102">
        <v>31.87</v>
      </c>
    </row>
    <row r="10103" spans="1:16" x14ac:dyDescent="0.25">
      <c r="A10103" t="s">
        <v>3296</v>
      </c>
      <c r="B10103" t="s">
        <v>2931</v>
      </c>
      <c r="C10103">
        <v>6278</v>
      </c>
      <c r="D10103" t="str">
        <f>"6487        "</f>
        <v xml:space="preserve">6487        </v>
      </c>
      <c r="E10103" t="s">
        <v>1104</v>
      </c>
      <c r="F10103" t="s">
        <v>1105</v>
      </c>
      <c r="G10103">
        <v>54</v>
      </c>
      <c r="H10103">
        <v>250430</v>
      </c>
      <c r="I10103">
        <v>4600</v>
      </c>
      <c r="J10103" t="s">
        <v>278</v>
      </c>
      <c r="K10103">
        <v>54</v>
      </c>
      <c r="L10103">
        <v>10.97</v>
      </c>
      <c r="M10103">
        <v>17971</v>
      </c>
      <c r="N10103" t="s">
        <v>27</v>
      </c>
      <c r="O10103">
        <v>250512</v>
      </c>
      <c r="P10103">
        <v>43.03</v>
      </c>
    </row>
    <row r="10104" spans="1:16" x14ac:dyDescent="0.25">
      <c r="A10104" t="s">
        <v>3296</v>
      </c>
      <c r="B10104" t="s">
        <v>2931</v>
      </c>
      <c r="C10104">
        <v>13231</v>
      </c>
      <c r="D10104" t="str">
        <f>"1884        "</f>
        <v xml:space="preserve">1884        </v>
      </c>
      <c r="E10104" t="s">
        <v>2422</v>
      </c>
      <c r="F10104" t="s">
        <v>2423</v>
      </c>
      <c r="G10104">
        <v>884.97</v>
      </c>
      <c r="H10104">
        <v>250930</v>
      </c>
      <c r="I10104">
        <v>4400</v>
      </c>
      <c r="J10104" t="s">
        <v>162</v>
      </c>
      <c r="K10104">
        <v>1135.72</v>
      </c>
      <c r="L10104">
        <v>179.81</v>
      </c>
      <c r="M10104">
        <v>17711</v>
      </c>
      <c r="N10104" t="s">
        <v>155</v>
      </c>
      <c r="O10104">
        <v>251007</v>
      </c>
      <c r="P10104">
        <v>705.16</v>
      </c>
    </row>
    <row r="10105" spans="1:16" x14ac:dyDescent="0.25">
      <c r="A10105" t="s">
        <v>3296</v>
      </c>
      <c r="B10105" t="s">
        <v>2931</v>
      </c>
      <c r="C10105">
        <v>13231</v>
      </c>
      <c r="D10105" t="str">
        <f>"1884        "</f>
        <v xml:space="preserve">1884        </v>
      </c>
      <c r="E10105" t="s">
        <v>2422</v>
      </c>
      <c r="F10105" t="s">
        <v>2423</v>
      </c>
      <c r="G10105">
        <v>250.75</v>
      </c>
      <c r="H10105">
        <v>250930</v>
      </c>
      <c r="I10105">
        <v>4470</v>
      </c>
      <c r="J10105" t="s">
        <v>203</v>
      </c>
      <c r="K10105">
        <v>1135.72</v>
      </c>
      <c r="L10105">
        <v>50.95</v>
      </c>
      <c r="M10105">
        <v>17957</v>
      </c>
      <c r="N10105" t="s">
        <v>812</v>
      </c>
      <c r="O10105">
        <v>251007</v>
      </c>
      <c r="P10105">
        <v>199.8</v>
      </c>
    </row>
    <row r="10106" spans="1:16" x14ac:dyDescent="0.25">
      <c r="A10106" t="s">
        <v>3296</v>
      </c>
      <c r="B10106" t="s">
        <v>2931</v>
      </c>
      <c r="C10106">
        <v>16045</v>
      </c>
      <c r="D10106" t="str">
        <f>"338075      "</f>
        <v xml:space="preserve">338075      </v>
      </c>
      <c r="E10106" t="s">
        <v>2652</v>
      </c>
      <c r="F10106" t="s">
        <v>2653</v>
      </c>
      <c r="G10106">
        <v>195.58</v>
      </c>
      <c r="H10106">
        <v>251126</v>
      </c>
      <c r="I10106">
        <v>4380</v>
      </c>
      <c r="J10106" t="s">
        <v>211</v>
      </c>
      <c r="K10106">
        <v>195.58</v>
      </c>
      <c r="L10106">
        <v>39.74</v>
      </c>
      <c r="M10106">
        <v>59504</v>
      </c>
      <c r="N10106" t="s">
        <v>193</v>
      </c>
      <c r="O10106">
        <v>251202</v>
      </c>
      <c r="P10106">
        <v>155.84</v>
      </c>
    </row>
    <row r="10107" spans="1:16" x14ac:dyDescent="0.25">
      <c r="A10107" t="s">
        <v>3296</v>
      </c>
      <c r="B10107" t="s">
        <v>2931</v>
      </c>
      <c r="C10107">
        <v>17971</v>
      </c>
      <c r="D10107" t="str">
        <f>"338727      "</f>
        <v xml:space="preserve">338727      </v>
      </c>
      <c r="E10107" t="s">
        <v>2652</v>
      </c>
      <c r="F10107" t="s">
        <v>2653</v>
      </c>
      <c r="G10107">
        <v>338.9</v>
      </c>
      <c r="H10107">
        <v>251230</v>
      </c>
      <c r="I10107">
        <v>4390</v>
      </c>
      <c r="J10107" t="s">
        <v>232</v>
      </c>
      <c r="K10107">
        <v>338.9</v>
      </c>
      <c r="L10107">
        <v>68.86</v>
      </c>
      <c r="M10107">
        <v>59501</v>
      </c>
      <c r="N10107" t="s">
        <v>62</v>
      </c>
      <c r="O10107">
        <v>260107</v>
      </c>
      <c r="P10107">
        <v>270.04000000000002</v>
      </c>
    </row>
    <row r="10108" spans="1:16" x14ac:dyDescent="0.25">
      <c r="A10108" t="s">
        <v>3296</v>
      </c>
      <c r="B10108" t="s">
        <v>2931</v>
      </c>
      <c r="C10108">
        <v>3099</v>
      </c>
      <c r="D10108" t="str">
        <f>"40215991    "</f>
        <v xml:space="preserve">40215991    </v>
      </c>
      <c r="E10108" t="s">
        <v>1388</v>
      </c>
      <c r="F10108" t="s">
        <v>1389</v>
      </c>
      <c r="G10108">
        <v>732.59</v>
      </c>
      <c r="H10108">
        <v>250228</v>
      </c>
      <c r="I10108">
        <v>4420</v>
      </c>
      <c r="J10108" t="s">
        <v>330</v>
      </c>
      <c r="K10108">
        <v>732.59</v>
      </c>
      <c r="L10108">
        <v>148.85</v>
      </c>
      <c r="M10108">
        <v>66754</v>
      </c>
      <c r="N10108" t="s">
        <v>119</v>
      </c>
      <c r="O10108">
        <v>250314</v>
      </c>
      <c r="P10108">
        <v>583.74</v>
      </c>
    </row>
    <row r="10109" spans="1:16" x14ac:dyDescent="0.25">
      <c r="A10109" t="s">
        <v>3296</v>
      </c>
      <c r="B10109" t="s">
        <v>2931</v>
      </c>
      <c r="C10109">
        <v>6433</v>
      </c>
      <c r="D10109" t="str">
        <f>"40219899    "</f>
        <v xml:space="preserve">40219899    </v>
      </c>
      <c r="E10109" t="s">
        <v>1388</v>
      </c>
      <c r="F10109" t="s">
        <v>1389</v>
      </c>
      <c r="G10109">
        <v>478</v>
      </c>
      <c r="H10109">
        <v>250430</v>
      </c>
      <c r="I10109">
        <v>4420</v>
      </c>
      <c r="J10109" t="s">
        <v>330</v>
      </c>
      <c r="K10109">
        <v>478</v>
      </c>
      <c r="L10109">
        <v>97.12</v>
      </c>
      <c r="M10109">
        <v>66754</v>
      </c>
      <c r="N10109" t="s">
        <v>119</v>
      </c>
      <c r="O10109">
        <v>250513</v>
      </c>
      <c r="P10109">
        <v>380.88</v>
      </c>
    </row>
    <row r="10110" spans="1:16" x14ac:dyDescent="0.25">
      <c r="A10110" t="s">
        <v>3296</v>
      </c>
      <c r="B10110" t="s">
        <v>2931</v>
      </c>
      <c r="C10110">
        <v>12938</v>
      </c>
      <c r="D10110" t="str">
        <f>"40228842    "</f>
        <v xml:space="preserve">40228842    </v>
      </c>
      <c r="E10110" t="s">
        <v>1388</v>
      </c>
      <c r="F10110" t="s">
        <v>1389</v>
      </c>
      <c r="G10110">
        <v>234.36</v>
      </c>
      <c r="H10110">
        <v>250930</v>
      </c>
      <c r="I10110">
        <v>4420</v>
      </c>
      <c r="J10110" t="s">
        <v>330</v>
      </c>
      <c r="K10110">
        <v>234.36</v>
      </c>
      <c r="L10110">
        <v>47.62</v>
      </c>
      <c r="M10110">
        <v>66754</v>
      </c>
      <c r="N10110" t="s">
        <v>119</v>
      </c>
      <c r="O10110">
        <v>251002</v>
      </c>
      <c r="P10110">
        <v>186.74</v>
      </c>
    </row>
    <row r="10111" spans="1:16" x14ac:dyDescent="0.25">
      <c r="A10111" t="s">
        <v>3296</v>
      </c>
      <c r="B10111" t="s">
        <v>2931</v>
      </c>
      <c r="C10111">
        <v>10043</v>
      </c>
      <c r="D10111" t="str">
        <f t="shared" ref="D10111:D10116" si="151">"2508        "</f>
        <v xml:space="preserve">2508        </v>
      </c>
      <c r="E10111" t="s">
        <v>695</v>
      </c>
      <c r="F10111" t="s">
        <v>696</v>
      </c>
      <c r="G10111">
        <v>22.78</v>
      </c>
      <c r="H10111">
        <v>250801</v>
      </c>
      <c r="I10111">
        <v>4380</v>
      </c>
      <c r="J10111" t="s">
        <v>211</v>
      </c>
      <c r="K10111">
        <v>1012.8</v>
      </c>
      <c r="L10111">
        <v>4.63</v>
      </c>
      <c r="M10111">
        <v>13552</v>
      </c>
      <c r="N10111" t="s">
        <v>133</v>
      </c>
      <c r="O10111">
        <v>250808</v>
      </c>
      <c r="P10111">
        <v>18.149999999999999</v>
      </c>
    </row>
    <row r="10112" spans="1:16" x14ac:dyDescent="0.25">
      <c r="A10112" t="s">
        <v>3296</v>
      </c>
      <c r="B10112" t="s">
        <v>2931</v>
      </c>
      <c r="C10112">
        <v>10043</v>
      </c>
      <c r="D10112" t="str">
        <f t="shared" si="151"/>
        <v xml:space="preserve">2508        </v>
      </c>
      <c r="E10112" t="s">
        <v>695</v>
      </c>
      <c r="F10112" t="s">
        <v>696</v>
      </c>
      <c r="G10112">
        <v>71.540000000000006</v>
      </c>
      <c r="H10112">
        <v>250801</v>
      </c>
      <c r="I10112">
        <v>4380</v>
      </c>
      <c r="J10112" t="s">
        <v>211</v>
      </c>
      <c r="K10112">
        <v>1012.8</v>
      </c>
      <c r="L10112">
        <v>14.54</v>
      </c>
      <c r="M10112">
        <v>17523</v>
      </c>
      <c r="N10112" t="s">
        <v>138</v>
      </c>
      <c r="O10112">
        <v>250808</v>
      </c>
      <c r="P10112">
        <v>57</v>
      </c>
    </row>
    <row r="10113" spans="1:16" x14ac:dyDescent="0.25">
      <c r="A10113" t="s">
        <v>3296</v>
      </c>
      <c r="B10113" t="s">
        <v>2931</v>
      </c>
      <c r="C10113">
        <v>10043</v>
      </c>
      <c r="D10113" t="str">
        <f t="shared" si="151"/>
        <v xml:space="preserve">2508        </v>
      </c>
      <c r="E10113" t="s">
        <v>695</v>
      </c>
      <c r="F10113" t="s">
        <v>696</v>
      </c>
      <c r="G10113">
        <v>125.5</v>
      </c>
      <c r="H10113">
        <v>250801</v>
      </c>
      <c r="I10113">
        <v>4380</v>
      </c>
      <c r="J10113" t="s">
        <v>211</v>
      </c>
      <c r="K10113">
        <v>1012.8</v>
      </c>
      <c r="L10113">
        <v>25.5</v>
      </c>
      <c r="M10113">
        <v>17524</v>
      </c>
      <c r="N10113" t="s">
        <v>139</v>
      </c>
      <c r="O10113">
        <v>250808</v>
      </c>
      <c r="P10113">
        <v>100</v>
      </c>
    </row>
    <row r="10114" spans="1:16" x14ac:dyDescent="0.25">
      <c r="A10114" t="s">
        <v>3296</v>
      </c>
      <c r="B10114" t="s">
        <v>2931</v>
      </c>
      <c r="C10114">
        <v>10043</v>
      </c>
      <c r="D10114" t="str">
        <f t="shared" si="151"/>
        <v xml:space="preserve">2508        </v>
      </c>
      <c r="E10114" t="s">
        <v>695</v>
      </c>
      <c r="F10114" t="s">
        <v>696</v>
      </c>
      <c r="G10114">
        <v>71.540000000000006</v>
      </c>
      <c r="H10114">
        <v>250801</v>
      </c>
      <c r="I10114">
        <v>4380</v>
      </c>
      <c r="J10114" t="s">
        <v>211</v>
      </c>
      <c r="K10114">
        <v>1012.8</v>
      </c>
      <c r="L10114">
        <v>14.54</v>
      </c>
      <c r="M10114">
        <v>17527</v>
      </c>
      <c r="N10114" t="s">
        <v>142</v>
      </c>
      <c r="O10114">
        <v>250808</v>
      </c>
      <c r="P10114">
        <v>57</v>
      </c>
    </row>
    <row r="10115" spans="1:16" x14ac:dyDescent="0.25">
      <c r="A10115" t="s">
        <v>3296</v>
      </c>
      <c r="B10115" t="s">
        <v>2931</v>
      </c>
      <c r="C10115">
        <v>10043</v>
      </c>
      <c r="D10115" t="str">
        <f t="shared" si="151"/>
        <v xml:space="preserve">2508        </v>
      </c>
      <c r="E10115" t="s">
        <v>695</v>
      </c>
      <c r="F10115" t="s">
        <v>696</v>
      </c>
      <c r="G10115">
        <v>184.3</v>
      </c>
      <c r="H10115">
        <v>250801</v>
      </c>
      <c r="I10115">
        <v>4380</v>
      </c>
      <c r="J10115" t="s">
        <v>211</v>
      </c>
      <c r="K10115">
        <v>1012.8</v>
      </c>
      <c r="L10115">
        <v>37.450000000000003</v>
      </c>
      <c r="M10115">
        <v>17918</v>
      </c>
      <c r="N10115" t="s">
        <v>152</v>
      </c>
      <c r="O10115">
        <v>250808</v>
      </c>
      <c r="P10115">
        <v>146.85</v>
      </c>
    </row>
    <row r="10116" spans="1:16" x14ac:dyDescent="0.25">
      <c r="A10116" t="s">
        <v>3296</v>
      </c>
      <c r="B10116" t="s">
        <v>2931</v>
      </c>
      <c r="C10116">
        <v>10043</v>
      </c>
      <c r="D10116" t="str">
        <f t="shared" si="151"/>
        <v xml:space="preserve">2508        </v>
      </c>
      <c r="E10116" t="s">
        <v>695</v>
      </c>
      <c r="F10116" t="s">
        <v>696</v>
      </c>
      <c r="G10116">
        <v>537.14</v>
      </c>
      <c r="H10116">
        <v>250801</v>
      </c>
      <c r="I10116">
        <v>4380</v>
      </c>
      <c r="J10116" t="s">
        <v>211</v>
      </c>
      <c r="K10116">
        <v>1012.8</v>
      </c>
      <c r="L10116">
        <v>109.14</v>
      </c>
      <c r="M10116">
        <v>17950</v>
      </c>
      <c r="N10116" t="s">
        <v>132</v>
      </c>
      <c r="O10116">
        <v>250808</v>
      </c>
      <c r="P10116">
        <v>428</v>
      </c>
    </row>
    <row r="10117" spans="1:16" x14ac:dyDescent="0.25">
      <c r="A10117" t="s">
        <v>3296</v>
      </c>
      <c r="B10117" t="s">
        <v>2931</v>
      </c>
      <c r="C10117">
        <v>18212</v>
      </c>
      <c r="D10117" t="str">
        <f>"2849        "</f>
        <v xml:space="preserve">2849        </v>
      </c>
      <c r="E10117" t="s">
        <v>695</v>
      </c>
      <c r="F10117" t="s">
        <v>696</v>
      </c>
      <c r="G10117">
        <v>57</v>
      </c>
      <c r="H10117">
        <v>251231</v>
      </c>
      <c r="I10117">
        <v>4380</v>
      </c>
      <c r="J10117" t="s">
        <v>211</v>
      </c>
      <c r="K10117">
        <v>171.94</v>
      </c>
      <c r="L10117">
        <v>11.58</v>
      </c>
      <c r="M10117">
        <v>17523</v>
      </c>
      <c r="N10117" t="s">
        <v>138</v>
      </c>
      <c r="O10117">
        <v>260112</v>
      </c>
      <c r="P10117">
        <v>45.42</v>
      </c>
    </row>
    <row r="10118" spans="1:16" x14ac:dyDescent="0.25">
      <c r="A10118" t="s">
        <v>3296</v>
      </c>
      <c r="B10118" t="s">
        <v>2931</v>
      </c>
      <c r="C10118">
        <v>18212</v>
      </c>
      <c r="D10118" t="str">
        <f>"2849        "</f>
        <v xml:space="preserve">2849        </v>
      </c>
      <c r="E10118" t="s">
        <v>695</v>
      </c>
      <c r="F10118" t="s">
        <v>696</v>
      </c>
      <c r="G10118">
        <v>114.94</v>
      </c>
      <c r="H10118">
        <v>251231</v>
      </c>
      <c r="I10118">
        <v>4380</v>
      </c>
      <c r="J10118" t="s">
        <v>211</v>
      </c>
      <c r="K10118">
        <v>171.94</v>
      </c>
      <c r="L10118">
        <v>23.35</v>
      </c>
      <c r="M10118">
        <v>17950</v>
      </c>
      <c r="N10118" t="s">
        <v>132</v>
      </c>
      <c r="O10118">
        <v>260112</v>
      </c>
      <c r="P10118">
        <v>91.59</v>
      </c>
    </row>
    <row r="10119" spans="1:16" x14ac:dyDescent="0.25">
      <c r="A10119" t="s">
        <v>3296</v>
      </c>
      <c r="B10119" t="s">
        <v>2931</v>
      </c>
      <c r="C10119">
        <v>732</v>
      </c>
      <c r="D10119" t="str">
        <f>"2267        "</f>
        <v xml:space="preserve">2267        </v>
      </c>
      <c r="E10119" t="s">
        <v>695</v>
      </c>
      <c r="F10119" t="s">
        <v>696</v>
      </c>
      <c r="G10119">
        <v>269.83</v>
      </c>
      <c r="H10119">
        <v>250125</v>
      </c>
      <c r="I10119">
        <v>4420</v>
      </c>
      <c r="J10119" t="s">
        <v>330</v>
      </c>
      <c r="K10119">
        <v>338.86</v>
      </c>
      <c r="L10119">
        <v>54.83</v>
      </c>
      <c r="M10119">
        <v>17523</v>
      </c>
      <c r="N10119" t="s">
        <v>138</v>
      </c>
      <c r="O10119">
        <v>250128</v>
      </c>
      <c r="P10119">
        <v>215</v>
      </c>
    </row>
    <row r="10120" spans="1:16" x14ac:dyDescent="0.25">
      <c r="A10120" t="s">
        <v>3296</v>
      </c>
      <c r="B10120" t="s">
        <v>2931</v>
      </c>
      <c r="C10120">
        <v>732</v>
      </c>
      <c r="D10120" t="str">
        <f>"2267        "</f>
        <v xml:space="preserve">2267        </v>
      </c>
      <c r="E10120" t="s">
        <v>695</v>
      </c>
      <c r="F10120" t="s">
        <v>696</v>
      </c>
      <c r="G10120">
        <v>69.03</v>
      </c>
      <c r="H10120">
        <v>250125</v>
      </c>
      <c r="I10120">
        <v>4420</v>
      </c>
      <c r="J10120" t="s">
        <v>330</v>
      </c>
      <c r="K10120">
        <v>338.86</v>
      </c>
      <c r="L10120">
        <v>14.03</v>
      </c>
      <c r="M10120">
        <v>17526</v>
      </c>
      <c r="N10120" t="s">
        <v>141</v>
      </c>
      <c r="O10120">
        <v>250128</v>
      </c>
      <c r="P10120">
        <v>55</v>
      </c>
    </row>
    <row r="10121" spans="1:16" x14ac:dyDescent="0.25">
      <c r="A10121" t="s">
        <v>3296</v>
      </c>
      <c r="B10121" t="s">
        <v>2931</v>
      </c>
      <c r="C10121">
        <v>8392</v>
      </c>
      <c r="D10121" t="str">
        <f>"328477      "</f>
        <v xml:space="preserve">328477      </v>
      </c>
      <c r="E10121" t="s">
        <v>2028</v>
      </c>
      <c r="F10121" t="s">
        <v>2029</v>
      </c>
      <c r="G10121">
        <v>196.17</v>
      </c>
      <c r="H10121">
        <v>250531</v>
      </c>
      <c r="I10121">
        <v>4380</v>
      </c>
      <c r="J10121" t="s">
        <v>211</v>
      </c>
      <c r="K10121">
        <v>196.17</v>
      </c>
      <c r="L10121">
        <v>39.86</v>
      </c>
      <c r="M10121">
        <v>59504</v>
      </c>
      <c r="N10121" t="s">
        <v>193</v>
      </c>
      <c r="O10121">
        <v>250613</v>
      </c>
      <c r="P10121">
        <v>156.31</v>
      </c>
    </row>
    <row r="10122" spans="1:16" x14ac:dyDescent="0.25">
      <c r="A10122" t="s">
        <v>3296</v>
      </c>
      <c r="B10122" t="s">
        <v>2931</v>
      </c>
      <c r="C10122">
        <v>8393</v>
      </c>
      <c r="D10122" t="str">
        <f>"328470      "</f>
        <v xml:space="preserve">328470      </v>
      </c>
      <c r="E10122" t="s">
        <v>2028</v>
      </c>
      <c r="F10122" t="s">
        <v>2029</v>
      </c>
      <c r="G10122">
        <v>182.33</v>
      </c>
      <c r="H10122">
        <v>250531</v>
      </c>
      <c r="I10122">
        <v>4390</v>
      </c>
      <c r="J10122" t="s">
        <v>232</v>
      </c>
      <c r="K10122">
        <v>182.33</v>
      </c>
      <c r="L10122">
        <v>37.049999999999997</v>
      </c>
      <c r="M10122">
        <v>59501</v>
      </c>
      <c r="N10122" t="s">
        <v>62</v>
      </c>
      <c r="O10122">
        <v>250613</v>
      </c>
      <c r="P10122">
        <v>145.28</v>
      </c>
    </row>
    <row r="10123" spans="1:16" x14ac:dyDescent="0.25">
      <c r="A10123" t="s">
        <v>3296</v>
      </c>
      <c r="B10123" t="s">
        <v>2931</v>
      </c>
      <c r="C10123">
        <v>17945</v>
      </c>
      <c r="D10123" t="str">
        <f>"125/7615    "</f>
        <v xml:space="preserve">125/7615    </v>
      </c>
      <c r="E10123" t="s">
        <v>2789</v>
      </c>
      <c r="F10123" t="s">
        <v>2790</v>
      </c>
      <c r="G10123">
        <v>340</v>
      </c>
      <c r="H10123">
        <v>251222</v>
      </c>
      <c r="I10123">
        <v>4600</v>
      </c>
      <c r="J10123" t="s">
        <v>278</v>
      </c>
      <c r="K10123">
        <v>340</v>
      </c>
      <c r="L10123">
        <v>0</v>
      </c>
      <c r="M10123">
        <v>59701</v>
      </c>
      <c r="N10123" t="s">
        <v>64</v>
      </c>
      <c r="O10123">
        <v>260107</v>
      </c>
      <c r="P10123">
        <v>340</v>
      </c>
    </row>
    <row r="10124" spans="1:16" x14ac:dyDescent="0.25">
      <c r="A10124" t="s">
        <v>3296</v>
      </c>
      <c r="B10124" t="s">
        <v>2931</v>
      </c>
      <c r="C10124">
        <v>17150</v>
      </c>
      <c r="D10124" t="str">
        <f>"266256      "</f>
        <v xml:space="preserve">266256      </v>
      </c>
      <c r="E10124" t="s">
        <v>3191</v>
      </c>
      <c r="F10124" t="s">
        <v>3192</v>
      </c>
      <c r="G10124">
        <v>5.33</v>
      </c>
      <c r="H10124">
        <v>251213</v>
      </c>
      <c r="I10124">
        <v>4510</v>
      </c>
      <c r="J10124" t="s">
        <v>240</v>
      </c>
      <c r="K10124">
        <v>64</v>
      </c>
      <c r="L10124">
        <v>0.48</v>
      </c>
      <c r="M10124">
        <v>41126</v>
      </c>
      <c r="N10124" t="s">
        <v>94</v>
      </c>
      <c r="O10124">
        <v>251217</v>
      </c>
      <c r="P10124">
        <v>4.8499999999999996</v>
      </c>
    </row>
    <row r="10125" spans="1:16" x14ac:dyDescent="0.25">
      <c r="A10125" t="s">
        <v>3296</v>
      </c>
      <c r="B10125" t="s">
        <v>2931</v>
      </c>
      <c r="C10125">
        <v>6782</v>
      </c>
      <c r="D10125" t="str">
        <f>"2229        "</f>
        <v xml:space="preserve">2229        </v>
      </c>
      <c r="E10125" t="s">
        <v>1890</v>
      </c>
      <c r="F10125" t="s">
        <v>1891</v>
      </c>
      <c r="G10125">
        <v>2633.4</v>
      </c>
      <c r="H10125">
        <v>250430</v>
      </c>
      <c r="I10125">
        <v>4820</v>
      </c>
      <c r="J10125" t="s">
        <v>169</v>
      </c>
      <c r="K10125">
        <v>2633.4</v>
      </c>
      <c r="L10125">
        <v>323.39999999999998</v>
      </c>
      <c r="M10125">
        <v>13841</v>
      </c>
      <c r="N10125" t="s">
        <v>178</v>
      </c>
      <c r="O10125">
        <v>250516</v>
      </c>
      <c r="P10125">
        <v>2310</v>
      </c>
    </row>
    <row r="10126" spans="1:16" x14ac:dyDescent="0.25">
      <c r="A10126" t="s">
        <v>3296</v>
      </c>
      <c r="B10126" t="s">
        <v>2931</v>
      </c>
      <c r="C10126">
        <v>16671</v>
      </c>
      <c r="D10126" t="str">
        <f>"2242        "</f>
        <v xml:space="preserve">2242        </v>
      </c>
      <c r="E10126" t="s">
        <v>1890</v>
      </c>
      <c r="F10126" t="s">
        <v>1891</v>
      </c>
      <c r="G10126">
        <v>4104</v>
      </c>
      <c r="H10126">
        <v>251206</v>
      </c>
      <c r="I10126">
        <v>4820</v>
      </c>
      <c r="J10126" t="s">
        <v>169</v>
      </c>
      <c r="K10126">
        <v>4104</v>
      </c>
      <c r="L10126">
        <v>504</v>
      </c>
      <c r="M10126">
        <v>13841</v>
      </c>
      <c r="N10126" t="s">
        <v>178</v>
      </c>
      <c r="O10126">
        <v>251211</v>
      </c>
      <c r="P10126">
        <v>3600</v>
      </c>
    </row>
    <row r="10127" spans="1:16" x14ac:dyDescent="0.25">
      <c r="A10127" t="s">
        <v>3296</v>
      </c>
      <c r="B10127" t="s">
        <v>2931</v>
      </c>
      <c r="C10127">
        <v>12585</v>
      </c>
      <c r="D10127" t="str">
        <f>"202017372   "</f>
        <v xml:space="preserve">202017372   </v>
      </c>
      <c r="E10127" t="s">
        <v>2953</v>
      </c>
      <c r="F10127" t="s">
        <v>2954</v>
      </c>
      <c r="G10127">
        <v>50</v>
      </c>
      <c r="H10127">
        <v>250901</v>
      </c>
      <c r="I10127">
        <v>4441</v>
      </c>
      <c r="J10127" t="s">
        <v>234</v>
      </c>
      <c r="K10127">
        <v>50</v>
      </c>
      <c r="L10127">
        <v>0</v>
      </c>
      <c r="M10127">
        <v>14971</v>
      </c>
      <c r="N10127" t="s">
        <v>81</v>
      </c>
      <c r="O10127">
        <v>250926</v>
      </c>
      <c r="P10127">
        <v>50</v>
      </c>
    </row>
    <row r="10128" spans="1:16" x14ac:dyDescent="0.25">
      <c r="A10128" t="s">
        <v>3296</v>
      </c>
      <c r="B10128" t="s">
        <v>2931</v>
      </c>
      <c r="C10128">
        <v>12684</v>
      </c>
      <c r="D10128" t="str">
        <f>"202017373   "</f>
        <v xml:space="preserve">202017373   </v>
      </c>
      <c r="E10128" t="s">
        <v>2953</v>
      </c>
      <c r="F10128" t="s">
        <v>2954</v>
      </c>
      <c r="G10128">
        <v>50</v>
      </c>
      <c r="H10128">
        <v>250901</v>
      </c>
      <c r="I10128">
        <v>4441</v>
      </c>
      <c r="J10128" t="s">
        <v>234</v>
      </c>
      <c r="K10128">
        <v>50</v>
      </c>
      <c r="L10128">
        <v>0</v>
      </c>
      <c r="M10128">
        <v>18971</v>
      </c>
      <c r="N10128" t="s">
        <v>38</v>
      </c>
      <c r="O10128">
        <v>250929</v>
      </c>
      <c r="P10128">
        <v>50</v>
      </c>
    </row>
    <row r="10129" spans="1:16" x14ac:dyDescent="0.25">
      <c r="A10129" t="s">
        <v>3296</v>
      </c>
      <c r="B10129" t="s">
        <v>2931</v>
      </c>
      <c r="C10129">
        <v>2268</v>
      </c>
      <c r="D10129" t="str">
        <f>"202015605   "</f>
        <v xml:space="preserve">202015605   </v>
      </c>
      <c r="E10129" t="s">
        <v>2953</v>
      </c>
      <c r="F10129" t="s">
        <v>2954</v>
      </c>
      <c r="G10129">
        <v>1920.87</v>
      </c>
      <c r="H10129">
        <v>250212</v>
      </c>
      <c r="I10129">
        <v>4460</v>
      </c>
      <c r="J10129" t="s">
        <v>2952</v>
      </c>
      <c r="K10129">
        <v>7683.46</v>
      </c>
      <c r="L10129">
        <v>0</v>
      </c>
      <c r="M10129">
        <v>11601</v>
      </c>
      <c r="N10129" t="s">
        <v>12</v>
      </c>
      <c r="O10129">
        <v>250224</v>
      </c>
      <c r="P10129">
        <v>1920.87</v>
      </c>
    </row>
    <row r="10130" spans="1:16" x14ac:dyDescent="0.25">
      <c r="A10130" t="s">
        <v>3296</v>
      </c>
      <c r="B10130" t="s">
        <v>2931</v>
      </c>
      <c r="C10130">
        <v>4247</v>
      </c>
      <c r="D10130" t="str">
        <f>"202016450   "</f>
        <v xml:space="preserve">202016450   </v>
      </c>
      <c r="E10130" t="s">
        <v>2953</v>
      </c>
      <c r="F10130" t="s">
        <v>2954</v>
      </c>
      <c r="G10130">
        <v>54</v>
      </c>
      <c r="H10130">
        <v>250327</v>
      </c>
      <c r="I10130">
        <v>4510</v>
      </c>
      <c r="J10130" t="s">
        <v>240</v>
      </c>
      <c r="K10130">
        <v>54</v>
      </c>
      <c r="L10130">
        <v>0</v>
      </c>
      <c r="M10130">
        <v>11601</v>
      </c>
      <c r="N10130" t="s">
        <v>12</v>
      </c>
      <c r="O10130">
        <v>250409</v>
      </c>
      <c r="P10130">
        <v>54</v>
      </c>
    </row>
    <row r="10131" spans="1:16" x14ac:dyDescent="0.25">
      <c r="A10131" t="s">
        <v>3296</v>
      </c>
      <c r="B10131" t="s">
        <v>2931</v>
      </c>
      <c r="C10131">
        <v>4290</v>
      </c>
      <c r="D10131" t="str">
        <f>"202016518   "</f>
        <v xml:space="preserve">202016518   </v>
      </c>
      <c r="E10131" t="s">
        <v>2953</v>
      </c>
      <c r="F10131" t="s">
        <v>2954</v>
      </c>
      <c r="G10131">
        <v>54</v>
      </c>
      <c r="H10131">
        <v>250328</v>
      </c>
      <c r="I10131">
        <v>4510</v>
      </c>
      <c r="J10131" t="s">
        <v>240</v>
      </c>
      <c r="K10131">
        <v>54</v>
      </c>
      <c r="L10131">
        <v>0</v>
      </c>
      <c r="M10131">
        <v>13601</v>
      </c>
      <c r="N10131" t="s">
        <v>115</v>
      </c>
      <c r="O10131">
        <v>250410</v>
      </c>
      <c r="P10131">
        <v>54</v>
      </c>
    </row>
    <row r="10132" spans="1:16" x14ac:dyDescent="0.25">
      <c r="A10132" t="s">
        <v>3296</v>
      </c>
      <c r="B10132" t="s">
        <v>2931</v>
      </c>
      <c r="C10132">
        <v>4875</v>
      </c>
      <c r="D10132" t="str">
        <f>"202017062   "</f>
        <v xml:space="preserve">202017062   </v>
      </c>
      <c r="E10132" t="s">
        <v>2953</v>
      </c>
      <c r="F10132" t="s">
        <v>2954</v>
      </c>
      <c r="G10132">
        <v>54</v>
      </c>
      <c r="H10132">
        <v>250408</v>
      </c>
      <c r="I10132">
        <v>4510</v>
      </c>
      <c r="J10132" t="s">
        <v>240</v>
      </c>
      <c r="K10132">
        <v>162</v>
      </c>
      <c r="L10132">
        <v>0</v>
      </c>
      <c r="M10132">
        <v>11601</v>
      </c>
      <c r="N10132" t="s">
        <v>12</v>
      </c>
      <c r="O10132">
        <v>250416</v>
      </c>
      <c r="P10132">
        <v>54</v>
      </c>
    </row>
    <row r="10133" spans="1:16" x14ac:dyDescent="0.25">
      <c r="A10133" t="s">
        <v>3296</v>
      </c>
      <c r="B10133" t="s">
        <v>2931</v>
      </c>
      <c r="C10133">
        <v>4875</v>
      </c>
      <c r="D10133" t="str">
        <f>"202017062   "</f>
        <v xml:space="preserve">202017062   </v>
      </c>
      <c r="E10133" t="s">
        <v>2953</v>
      </c>
      <c r="F10133" t="s">
        <v>2954</v>
      </c>
      <c r="G10133">
        <v>54</v>
      </c>
      <c r="H10133">
        <v>250408</v>
      </c>
      <c r="I10133">
        <v>4510</v>
      </c>
      <c r="J10133" t="s">
        <v>240</v>
      </c>
      <c r="K10133">
        <v>162</v>
      </c>
      <c r="L10133">
        <v>0</v>
      </c>
      <c r="M10133">
        <v>59702</v>
      </c>
      <c r="N10133" t="s">
        <v>45</v>
      </c>
      <c r="O10133">
        <v>250416</v>
      </c>
      <c r="P10133">
        <v>54</v>
      </c>
    </row>
    <row r="10134" spans="1:16" x14ac:dyDescent="0.25">
      <c r="A10134" t="s">
        <v>3296</v>
      </c>
      <c r="B10134" t="s">
        <v>2931</v>
      </c>
      <c r="C10134">
        <v>4875</v>
      </c>
      <c r="D10134" t="str">
        <f>"202017062   "</f>
        <v xml:space="preserve">202017062   </v>
      </c>
      <c r="E10134" t="s">
        <v>2953</v>
      </c>
      <c r="F10134" t="s">
        <v>2954</v>
      </c>
      <c r="G10134">
        <v>27</v>
      </c>
      <c r="H10134">
        <v>250408</v>
      </c>
      <c r="I10134">
        <v>4510</v>
      </c>
      <c r="J10134" t="s">
        <v>240</v>
      </c>
      <c r="K10134">
        <v>162</v>
      </c>
      <c r="L10134">
        <v>0</v>
      </c>
      <c r="M10134">
        <v>69701</v>
      </c>
      <c r="N10134" t="s">
        <v>1030</v>
      </c>
      <c r="O10134">
        <v>250416</v>
      </c>
      <c r="P10134">
        <v>27</v>
      </c>
    </row>
    <row r="10135" spans="1:16" x14ac:dyDescent="0.25">
      <c r="A10135" t="s">
        <v>3296</v>
      </c>
      <c r="B10135" t="s">
        <v>2931</v>
      </c>
      <c r="C10135">
        <v>4875</v>
      </c>
      <c r="D10135" t="str">
        <f>"202017062   "</f>
        <v xml:space="preserve">202017062   </v>
      </c>
      <c r="E10135" t="s">
        <v>2953</v>
      </c>
      <c r="F10135" t="s">
        <v>2954</v>
      </c>
      <c r="G10135">
        <v>27</v>
      </c>
      <c r="H10135">
        <v>250408</v>
      </c>
      <c r="I10135">
        <v>4510</v>
      </c>
      <c r="J10135" t="s">
        <v>240</v>
      </c>
      <c r="K10135">
        <v>162</v>
      </c>
      <c r="L10135">
        <v>0</v>
      </c>
      <c r="M10135">
        <v>69703</v>
      </c>
      <c r="N10135" t="s">
        <v>88</v>
      </c>
      <c r="O10135">
        <v>250416</v>
      </c>
      <c r="P10135">
        <v>27</v>
      </c>
    </row>
    <row r="10136" spans="1:16" x14ac:dyDescent="0.25">
      <c r="A10136" t="s">
        <v>3296</v>
      </c>
      <c r="B10136" t="s">
        <v>2931</v>
      </c>
      <c r="C10136">
        <v>9194</v>
      </c>
      <c r="D10136" t="str">
        <f>"15702352    "</f>
        <v xml:space="preserve">15702352    </v>
      </c>
      <c r="E10136" t="s">
        <v>2108</v>
      </c>
      <c r="F10136" t="s">
        <v>2109</v>
      </c>
      <c r="G10136">
        <v>50</v>
      </c>
      <c r="H10136">
        <v>250624</v>
      </c>
      <c r="I10136">
        <v>4510</v>
      </c>
      <c r="J10136" t="s">
        <v>240</v>
      </c>
      <c r="K10136">
        <v>100</v>
      </c>
      <c r="L10136">
        <v>6.14</v>
      </c>
      <c r="M10136">
        <v>11501</v>
      </c>
      <c r="N10136" t="s">
        <v>13</v>
      </c>
      <c r="O10136">
        <v>250627</v>
      </c>
      <c r="P10136">
        <v>43.86</v>
      </c>
    </row>
    <row r="10137" spans="1:16" x14ac:dyDescent="0.25">
      <c r="A10137" t="s">
        <v>3296</v>
      </c>
      <c r="B10137" t="s">
        <v>2931</v>
      </c>
      <c r="C10137">
        <v>9194</v>
      </c>
      <c r="D10137" t="str">
        <f>"15702352    "</f>
        <v xml:space="preserve">15702352    </v>
      </c>
      <c r="E10137" t="s">
        <v>2108</v>
      </c>
      <c r="F10137" t="s">
        <v>2109</v>
      </c>
      <c r="G10137">
        <v>50</v>
      </c>
      <c r="H10137">
        <v>250624</v>
      </c>
      <c r="I10137">
        <v>4510</v>
      </c>
      <c r="J10137" t="s">
        <v>240</v>
      </c>
      <c r="K10137">
        <v>100</v>
      </c>
      <c r="L10137">
        <v>6.14</v>
      </c>
      <c r="M10137">
        <v>11501</v>
      </c>
      <c r="N10137" t="s">
        <v>13</v>
      </c>
      <c r="O10137">
        <v>250627</v>
      </c>
      <c r="P10137">
        <v>43.86</v>
      </c>
    </row>
    <row r="10138" spans="1:16" x14ac:dyDescent="0.25">
      <c r="A10138" t="s">
        <v>3296</v>
      </c>
      <c r="B10138" t="s">
        <v>2931</v>
      </c>
      <c r="C10138">
        <v>1032</v>
      </c>
      <c r="D10138" t="str">
        <f>"136         "</f>
        <v xml:space="preserve">136         </v>
      </c>
      <c r="E10138" t="s">
        <v>825</v>
      </c>
      <c r="F10138" t="s">
        <v>826</v>
      </c>
      <c r="G10138">
        <v>1320</v>
      </c>
      <c r="H10138">
        <v>250130</v>
      </c>
      <c r="I10138">
        <v>4820</v>
      </c>
      <c r="J10138" t="s">
        <v>169</v>
      </c>
      <c r="K10138">
        <v>1320</v>
      </c>
      <c r="L10138">
        <v>162.11000000000001</v>
      </c>
      <c r="M10138">
        <v>13841</v>
      </c>
      <c r="N10138" t="s">
        <v>178</v>
      </c>
      <c r="O10138">
        <v>250203</v>
      </c>
      <c r="P10138">
        <v>1157.8900000000001</v>
      </c>
    </row>
    <row r="10139" spans="1:16" x14ac:dyDescent="0.25">
      <c r="A10139" t="s">
        <v>3296</v>
      </c>
      <c r="B10139" t="s">
        <v>2931</v>
      </c>
      <c r="C10139">
        <v>2347</v>
      </c>
      <c r="D10139" t="str">
        <f>"137         "</f>
        <v xml:space="preserve">137         </v>
      </c>
      <c r="E10139" t="s">
        <v>825</v>
      </c>
      <c r="F10139" t="s">
        <v>826</v>
      </c>
      <c r="G10139">
        <v>1320</v>
      </c>
      <c r="H10139">
        <v>250221</v>
      </c>
      <c r="I10139">
        <v>4820</v>
      </c>
      <c r="J10139" t="s">
        <v>169</v>
      </c>
      <c r="K10139">
        <v>1320</v>
      </c>
      <c r="L10139">
        <v>162.11000000000001</v>
      </c>
      <c r="M10139">
        <v>13841</v>
      </c>
      <c r="N10139" t="s">
        <v>178</v>
      </c>
      <c r="O10139">
        <v>250224</v>
      </c>
      <c r="P10139">
        <v>1157.8900000000001</v>
      </c>
    </row>
    <row r="10140" spans="1:16" x14ac:dyDescent="0.25">
      <c r="A10140" t="s">
        <v>3296</v>
      </c>
      <c r="B10140" t="s">
        <v>2931</v>
      </c>
      <c r="C10140">
        <v>4207</v>
      </c>
      <c r="D10140" t="str">
        <f>"138         "</f>
        <v xml:space="preserve">138         </v>
      </c>
      <c r="E10140" t="s">
        <v>825</v>
      </c>
      <c r="F10140" t="s">
        <v>826</v>
      </c>
      <c r="G10140">
        <v>1760</v>
      </c>
      <c r="H10140">
        <v>250327</v>
      </c>
      <c r="I10140">
        <v>4820</v>
      </c>
      <c r="J10140" t="s">
        <v>169</v>
      </c>
      <c r="K10140">
        <v>1760</v>
      </c>
      <c r="L10140">
        <v>216.14</v>
      </c>
      <c r="M10140">
        <v>13841</v>
      </c>
      <c r="N10140" t="s">
        <v>178</v>
      </c>
      <c r="O10140">
        <v>250409</v>
      </c>
      <c r="P10140">
        <v>1543.86</v>
      </c>
    </row>
    <row r="10141" spans="1:16" x14ac:dyDescent="0.25">
      <c r="A10141" t="s">
        <v>3296</v>
      </c>
      <c r="B10141" t="s">
        <v>2931</v>
      </c>
      <c r="C10141">
        <v>5602</v>
      </c>
      <c r="D10141" t="str">
        <f>"139         "</f>
        <v xml:space="preserve">139         </v>
      </c>
      <c r="E10141" t="s">
        <v>825</v>
      </c>
      <c r="F10141" t="s">
        <v>826</v>
      </c>
      <c r="G10141">
        <v>1760</v>
      </c>
      <c r="H10141">
        <v>250423</v>
      </c>
      <c r="I10141">
        <v>4820</v>
      </c>
      <c r="J10141" t="s">
        <v>169</v>
      </c>
      <c r="K10141">
        <v>1760</v>
      </c>
      <c r="L10141">
        <v>216.14</v>
      </c>
      <c r="M10141">
        <v>13841</v>
      </c>
      <c r="N10141" t="s">
        <v>178</v>
      </c>
      <c r="O10141">
        <v>250425</v>
      </c>
      <c r="P10141">
        <v>1543.86</v>
      </c>
    </row>
    <row r="10142" spans="1:16" x14ac:dyDescent="0.25">
      <c r="A10142" t="s">
        <v>3296</v>
      </c>
      <c r="B10142" t="s">
        <v>2931</v>
      </c>
      <c r="C10142">
        <v>13020</v>
      </c>
      <c r="D10142" t="str">
        <f>"140         "</f>
        <v xml:space="preserve">140         </v>
      </c>
      <c r="E10142" t="s">
        <v>825</v>
      </c>
      <c r="F10142" t="s">
        <v>826</v>
      </c>
      <c r="G10142">
        <v>165</v>
      </c>
      <c r="H10142">
        <v>250930</v>
      </c>
      <c r="I10142">
        <v>4820</v>
      </c>
      <c r="J10142" t="s">
        <v>169</v>
      </c>
      <c r="K10142">
        <v>165</v>
      </c>
      <c r="L10142">
        <v>20.260000000000002</v>
      </c>
      <c r="M10142">
        <v>13841</v>
      </c>
      <c r="N10142" t="s">
        <v>178</v>
      </c>
      <c r="O10142">
        <v>251003</v>
      </c>
      <c r="P10142">
        <v>144.74</v>
      </c>
    </row>
    <row r="10143" spans="1:16" x14ac:dyDescent="0.25">
      <c r="A10143" t="s">
        <v>3296</v>
      </c>
      <c r="B10143" t="s">
        <v>2931</v>
      </c>
      <c r="C10143">
        <v>14390</v>
      </c>
      <c r="D10143" t="str">
        <f>"141         "</f>
        <v xml:space="preserve">141         </v>
      </c>
      <c r="E10143" t="s">
        <v>825</v>
      </c>
      <c r="F10143" t="s">
        <v>826</v>
      </c>
      <c r="G10143">
        <v>495</v>
      </c>
      <c r="H10143">
        <v>251030</v>
      </c>
      <c r="I10143">
        <v>4820</v>
      </c>
      <c r="J10143" t="s">
        <v>169</v>
      </c>
      <c r="K10143">
        <v>495</v>
      </c>
      <c r="L10143">
        <v>60.79</v>
      </c>
      <c r="M10143">
        <v>13841</v>
      </c>
      <c r="N10143" t="s">
        <v>178</v>
      </c>
      <c r="O10143">
        <v>251031</v>
      </c>
      <c r="P10143">
        <v>434.21</v>
      </c>
    </row>
    <row r="10144" spans="1:16" x14ac:dyDescent="0.25">
      <c r="A10144" t="s">
        <v>3296</v>
      </c>
      <c r="B10144" t="s">
        <v>2931</v>
      </c>
      <c r="C10144">
        <v>16624</v>
      </c>
      <c r="D10144" t="str">
        <f>"142         "</f>
        <v xml:space="preserve">142         </v>
      </c>
      <c r="E10144" t="s">
        <v>825</v>
      </c>
      <c r="F10144" t="s">
        <v>826</v>
      </c>
      <c r="G10144">
        <v>440</v>
      </c>
      <c r="H10144">
        <v>251129</v>
      </c>
      <c r="I10144">
        <v>4820</v>
      </c>
      <c r="J10144" t="s">
        <v>169</v>
      </c>
      <c r="K10144">
        <v>440</v>
      </c>
      <c r="L10144">
        <v>54.04</v>
      </c>
      <c r="M10144">
        <v>13841</v>
      </c>
      <c r="N10144" t="s">
        <v>178</v>
      </c>
      <c r="O10144">
        <v>251211</v>
      </c>
      <c r="P10144">
        <v>385.96</v>
      </c>
    </row>
    <row r="10145" spans="1:16" x14ac:dyDescent="0.25">
      <c r="A10145" t="s">
        <v>3296</v>
      </c>
      <c r="B10145" t="s">
        <v>2931</v>
      </c>
      <c r="C10145">
        <v>17064</v>
      </c>
      <c r="D10145" t="str">
        <f>"143         "</f>
        <v xml:space="preserve">143         </v>
      </c>
      <c r="E10145" t="s">
        <v>825</v>
      </c>
      <c r="F10145" t="s">
        <v>826</v>
      </c>
      <c r="G10145">
        <v>131.19999999999999</v>
      </c>
      <c r="H10145">
        <v>251211</v>
      </c>
      <c r="I10145">
        <v>4820</v>
      </c>
      <c r="J10145" t="s">
        <v>169</v>
      </c>
      <c r="K10145">
        <v>131.19999999999999</v>
      </c>
      <c r="L10145">
        <v>16.11</v>
      </c>
      <c r="M10145">
        <v>13841</v>
      </c>
      <c r="N10145" t="s">
        <v>178</v>
      </c>
      <c r="O10145">
        <v>251216</v>
      </c>
      <c r="P10145">
        <v>115.09</v>
      </c>
    </row>
    <row r="10146" spans="1:16" x14ac:dyDescent="0.25">
      <c r="A10146" t="s">
        <v>3296</v>
      </c>
      <c r="B10146" t="s">
        <v>2931</v>
      </c>
      <c r="C10146">
        <v>12157</v>
      </c>
      <c r="D10146" t="str">
        <f>"5500996     "</f>
        <v xml:space="preserve">5500996     </v>
      </c>
      <c r="E10146" t="s">
        <v>2324</v>
      </c>
      <c r="F10146" t="s">
        <v>3291</v>
      </c>
      <c r="G10146">
        <v>408.15</v>
      </c>
      <c r="H10146">
        <v>250831</v>
      </c>
      <c r="I10146">
        <v>4600</v>
      </c>
      <c r="J10146" t="s">
        <v>278</v>
      </c>
      <c r="K10146">
        <v>408.15</v>
      </c>
      <c r="L10146">
        <v>82.93</v>
      </c>
      <c r="M10146">
        <v>67554</v>
      </c>
      <c r="N10146" t="s">
        <v>317</v>
      </c>
      <c r="O10146">
        <v>250917</v>
      </c>
      <c r="P10146">
        <v>325.22000000000003</v>
      </c>
    </row>
    <row r="10147" spans="1:16" x14ac:dyDescent="0.25">
      <c r="A10147" t="s">
        <v>3296</v>
      </c>
      <c r="B10147" t="s">
        <v>2931</v>
      </c>
      <c r="C10147">
        <v>5542</v>
      </c>
      <c r="D10147" t="str">
        <f>"103104186   "</f>
        <v xml:space="preserve">103104186   </v>
      </c>
      <c r="E10147" t="s">
        <v>1759</v>
      </c>
      <c r="F10147" t="s">
        <v>1761</v>
      </c>
      <c r="G10147">
        <v>18699.5</v>
      </c>
      <c r="H10147">
        <v>250422</v>
      </c>
      <c r="I10147">
        <v>1198</v>
      </c>
      <c r="J10147" t="s">
        <v>610</v>
      </c>
      <c r="K10147">
        <v>18699.5</v>
      </c>
      <c r="L10147">
        <v>3799.5</v>
      </c>
      <c r="M10147">
        <v>97511</v>
      </c>
      <c r="N10147" t="s">
        <v>1760</v>
      </c>
      <c r="O10147">
        <v>250425</v>
      </c>
      <c r="P10147">
        <v>14900</v>
      </c>
    </row>
    <row r="10148" spans="1:16" x14ac:dyDescent="0.25">
      <c r="A10148" t="s">
        <v>3296</v>
      </c>
      <c r="B10148" t="s">
        <v>2931</v>
      </c>
      <c r="C10148">
        <v>5786</v>
      </c>
      <c r="D10148" t="str">
        <f>"103104261   "</f>
        <v xml:space="preserve">103104261   </v>
      </c>
      <c r="E10148" t="s">
        <v>1759</v>
      </c>
      <c r="F10148" t="s">
        <v>1761</v>
      </c>
      <c r="G10148">
        <v>23468.5</v>
      </c>
      <c r="H10148">
        <v>250425</v>
      </c>
      <c r="I10148">
        <v>1198</v>
      </c>
      <c r="J10148" t="s">
        <v>610</v>
      </c>
      <c r="K10148">
        <v>23468.5</v>
      </c>
      <c r="L10148">
        <v>4768.5</v>
      </c>
      <c r="M10148">
        <v>97628</v>
      </c>
      <c r="N10148" t="s">
        <v>737</v>
      </c>
      <c r="O10148">
        <v>250505</v>
      </c>
      <c r="P10148">
        <v>18700</v>
      </c>
    </row>
    <row r="10149" spans="1:16" x14ac:dyDescent="0.25">
      <c r="A10149" t="s">
        <v>3296</v>
      </c>
      <c r="B10149" t="s">
        <v>2931</v>
      </c>
      <c r="C10149">
        <v>1370</v>
      </c>
      <c r="D10149" t="str">
        <f>"6510439     "</f>
        <v xml:space="preserve">6510439     </v>
      </c>
      <c r="E10149" t="s">
        <v>969</v>
      </c>
      <c r="F10149" t="s">
        <v>970</v>
      </c>
      <c r="G10149">
        <v>181.11</v>
      </c>
      <c r="H10149">
        <v>250131</v>
      </c>
      <c r="I10149">
        <v>4510</v>
      </c>
      <c r="J10149" t="s">
        <v>240</v>
      </c>
      <c r="K10149">
        <v>724.45</v>
      </c>
      <c r="L10149">
        <v>22.24</v>
      </c>
      <c r="M10149">
        <v>14321</v>
      </c>
      <c r="N10149" t="s">
        <v>72</v>
      </c>
      <c r="O10149">
        <v>250207</v>
      </c>
      <c r="P10149">
        <v>158.87</v>
      </c>
    </row>
    <row r="10150" spans="1:16" x14ac:dyDescent="0.25">
      <c r="A10150" t="s">
        <v>3296</v>
      </c>
      <c r="B10150" t="s">
        <v>2931</v>
      </c>
      <c r="C10150">
        <v>1370</v>
      </c>
      <c r="D10150" t="str">
        <f>"6510439     "</f>
        <v xml:space="preserve">6510439     </v>
      </c>
      <c r="E10150" t="s">
        <v>969</v>
      </c>
      <c r="F10150" t="s">
        <v>970</v>
      </c>
      <c r="G10150">
        <v>90.56</v>
      </c>
      <c r="H10150">
        <v>250131</v>
      </c>
      <c r="I10150">
        <v>4510</v>
      </c>
      <c r="J10150" t="s">
        <v>240</v>
      </c>
      <c r="K10150">
        <v>724.45</v>
      </c>
      <c r="L10150">
        <v>11.12</v>
      </c>
      <c r="M10150">
        <v>16321</v>
      </c>
      <c r="N10150" t="s">
        <v>16</v>
      </c>
      <c r="O10150">
        <v>250207</v>
      </c>
      <c r="P10150">
        <v>79.44</v>
      </c>
    </row>
    <row r="10151" spans="1:16" x14ac:dyDescent="0.25">
      <c r="A10151" t="s">
        <v>3296</v>
      </c>
      <c r="B10151" t="s">
        <v>2931</v>
      </c>
      <c r="C10151">
        <v>1370</v>
      </c>
      <c r="D10151" t="str">
        <f>"6510439     "</f>
        <v xml:space="preserve">6510439     </v>
      </c>
      <c r="E10151" t="s">
        <v>969</v>
      </c>
      <c r="F10151" t="s">
        <v>970</v>
      </c>
      <c r="G10151">
        <v>90.56</v>
      </c>
      <c r="H10151">
        <v>250131</v>
      </c>
      <c r="I10151">
        <v>4510</v>
      </c>
      <c r="J10151" t="s">
        <v>240</v>
      </c>
      <c r="K10151">
        <v>724.45</v>
      </c>
      <c r="L10151">
        <v>11.12</v>
      </c>
      <c r="M10151">
        <v>16322</v>
      </c>
      <c r="N10151" t="s">
        <v>331</v>
      </c>
      <c r="O10151">
        <v>250207</v>
      </c>
      <c r="P10151">
        <v>79.44</v>
      </c>
    </row>
    <row r="10152" spans="1:16" x14ac:dyDescent="0.25">
      <c r="A10152" t="s">
        <v>3296</v>
      </c>
      <c r="B10152" t="s">
        <v>2931</v>
      </c>
      <c r="C10152">
        <v>1370</v>
      </c>
      <c r="D10152" t="str">
        <f>"6510439     "</f>
        <v xml:space="preserve">6510439     </v>
      </c>
      <c r="E10152" t="s">
        <v>969</v>
      </c>
      <c r="F10152" t="s">
        <v>970</v>
      </c>
      <c r="G10152">
        <v>181.11</v>
      </c>
      <c r="H10152">
        <v>250131</v>
      </c>
      <c r="I10152">
        <v>4510</v>
      </c>
      <c r="J10152" t="s">
        <v>240</v>
      </c>
      <c r="K10152">
        <v>724.45</v>
      </c>
      <c r="L10152">
        <v>22.24</v>
      </c>
      <c r="M10152">
        <v>43222</v>
      </c>
      <c r="N10152" t="s">
        <v>95</v>
      </c>
      <c r="O10152">
        <v>250207</v>
      </c>
      <c r="P10152">
        <v>158.87</v>
      </c>
    </row>
    <row r="10153" spans="1:16" x14ac:dyDescent="0.25">
      <c r="A10153" t="s">
        <v>3296</v>
      </c>
      <c r="B10153" t="s">
        <v>2931</v>
      </c>
      <c r="C10153">
        <v>1370</v>
      </c>
      <c r="D10153" t="str">
        <f>"6510439     "</f>
        <v xml:space="preserve">6510439     </v>
      </c>
      <c r="E10153" t="s">
        <v>969</v>
      </c>
      <c r="F10153" t="s">
        <v>970</v>
      </c>
      <c r="G10153">
        <v>181.11</v>
      </c>
      <c r="H10153">
        <v>250131</v>
      </c>
      <c r="I10153">
        <v>4510</v>
      </c>
      <c r="J10153" t="s">
        <v>240</v>
      </c>
      <c r="K10153">
        <v>724.45</v>
      </c>
      <c r="L10153">
        <v>22.24</v>
      </c>
      <c r="M10153">
        <v>53222</v>
      </c>
      <c r="N10153" t="s">
        <v>41</v>
      </c>
      <c r="O10153">
        <v>250207</v>
      </c>
      <c r="P10153">
        <v>158.87</v>
      </c>
    </row>
    <row r="10154" spans="1:16" x14ac:dyDescent="0.25">
      <c r="A10154" t="s">
        <v>3296</v>
      </c>
      <c r="B10154" t="s">
        <v>2931</v>
      </c>
      <c r="C10154">
        <v>770</v>
      </c>
      <c r="D10154" t="str">
        <f>"80695       "</f>
        <v xml:space="preserve">80695       </v>
      </c>
      <c r="E10154" t="s">
        <v>725</v>
      </c>
      <c r="F10154" t="s">
        <v>726</v>
      </c>
      <c r="G10154">
        <v>14.59</v>
      </c>
      <c r="H10154">
        <v>250121</v>
      </c>
      <c r="I10154">
        <v>4350</v>
      </c>
      <c r="J10154" t="s">
        <v>290</v>
      </c>
      <c r="K10154">
        <v>14.59</v>
      </c>
      <c r="L10154">
        <v>2.96</v>
      </c>
      <c r="M10154">
        <v>11301</v>
      </c>
      <c r="N10154" t="s">
        <v>92</v>
      </c>
      <c r="O10154">
        <v>250129</v>
      </c>
      <c r="P10154">
        <v>11.63</v>
      </c>
    </row>
    <row r="10155" spans="1:16" x14ac:dyDescent="0.25">
      <c r="A10155" t="s">
        <v>3296</v>
      </c>
      <c r="B10155" t="s">
        <v>2931</v>
      </c>
      <c r="C10155">
        <v>1176</v>
      </c>
      <c r="D10155" t="str">
        <f>"80742       "</f>
        <v xml:space="preserve">80742       </v>
      </c>
      <c r="E10155" t="s">
        <v>725</v>
      </c>
      <c r="F10155" t="s">
        <v>726</v>
      </c>
      <c r="G10155">
        <v>31.35</v>
      </c>
      <c r="H10155">
        <v>250129</v>
      </c>
      <c r="I10155">
        <v>4350</v>
      </c>
      <c r="J10155" t="s">
        <v>290</v>
      </c>
      <c r="K10155">
        <v>69</v>
      </c>
      <c r="L10155">
        <v>6.37</v>
      </c>
      <c r="M10155">
        <v>11301</v>
      </c>
      <c r="N10155" t="s">
        <v>92</v>
      </c>
      <c r="O10155">
        <v>250205</v>
      </c>
      <c r="P10155">
        <v>24.98</v>
      </c>
    </row>
    <row r="10156" spans="1:16" x14ac:dyDescent="0.25">
      <c r="A10156" t="s">
        <v>3296</v>
      </c>
      <c r="B10156" t="s">
        <v>2931</v>
      </c>
      <c r="C10156">
        <v>1176</v>
      </c>
      <c r="D10156" t="str">
        <f>"80742       "</f>
        <v xml:space="preserve">80742       </v>
      </c>
      <c r="E10156" t="s">
        <v>725</v>
      </c>
      <c r="F10156" t="s">
        <v>726</v>
      </c>
      <c r="G10156">
        <v>37.65</v>
      </c>
      <c r="H10156">
        <v>250129</v>
      </c>
      <c r="I10156">
        <v>4350</v>
      </c>
      <c r="J10156" t="s">
        <v>290</v>
      </c>
      <c r="K10156">
        <v>69</v>
      </c>
      <c r="L10156">
        <v>7.65</v>
      </c>
      <c r="M10156">
        <v>11301</v>
      </c>
      <c r="N10156" t="s">
        <v>92</v>
      </c>
      <c r="O10156">
        <v>250205</v>
      </c>
      <c r="P10156">
        <v>30</v>
      </c>
    </row>
    <row r="10157" spans="1:16" x14ac:dyDescent="0.25">
      <c r="A10157" t="s">
        <v>3296</v>
      </c>
      <c r="B10157" t="s">
        <v>2931</v>
      </c>
      <c r="C10157">
        <v>2474</v>
      </c>
      <c r="D10157" t="str">
        <f>"81054       "</f>
        <v xml:space="preserve">81054       </v>
      </c>
      <c r="E10157" t="s">
        <v>725</v>
      </c>
      <c r="F10157" t="s">
        <v>726</v>
      </c>
      <c r="G10157">
        <v>45.91</v>
      </c>
      <c r="H10157">
        <v>250224</v>
      </c>
      <c r="I10157">
        <v>4350</v>
      </c>
      <c r="J10157" t="s">
        <v>290</v>
      </c>
      <c r="K10157">
        <v>83.56</v>
      </c>
      <c r="L10157">
        <v>9.33</v>
      </c>
      <c r="M10157">
        <v>11301</v>
      </c>
      <c r="N10157" t="s">
        <v>92</v>
      </c>
      <c r="O10157">
        <v>250228</v>
      </c>
      <c r="P10157">
        <v>36.58</v>
      </c>
    </row>
    <row r="10158" spans="1:16" x14ac:dyDescent="0.25">
      <c r="A10158" t="s">
        <v>3296</v>
      </c>
      <c r="B10158" t="s">
        <v>2931</v>
      </c>
      <c r="C10158">
        <v>2474</v>
      </c>
      <c r="D10158" t="str">
        <f>"81054       "</f>
        <v xml:space="preserve">81054       </v>
      </c>
      <c r="E10158" t="s">
        <v>725</v>
      </c>
      <c r="F10158" t="s">
        <v>726</v>
      </c>
      <c r="G10158">
        <v>37.65</v>
      </c>
      <c r="H10158">
        <v>250224</v>
      </c>
      <c r="I10158">
        <v>4350</v>
      </c>
      <c r="J10158" t="s">
        <v>290</v>
      </c>
      <c r="K10158">
        <v>83.56</v>
      </c>
      <c r="L10158">
        <v>7.65</v>
      </c>
      <c r="M10158">
        <v>49111</v>
      </c>
      <c r="N10158" t="s">
        <v>108</v>
      </c>
      <c r="O10158">
        <v>250228</v>
      </c>
      <c r="P10158">
        <v>30</v>
      </c>
    </row>
    <row r="10159" spans="1:16" x14ac:dyDescent="0.25">
      <c r="A10159" t="s">
        <v>3296</v>
      </c>
      <c r="B10159" t="s">
        <v>2931</v>
      </c>
      <c r="C10159">
        <v>3432</v>
      </c>
      <c r="D10159" t="str">
        <f t="shared" ref="D10159:D10165" si="152">"81323       "</f>
        <v xml:space="preserve">81323       </v>
      </c>
      <c r="E10159" t="s">
        <v>725</v>
      </c>
      <c r="F10159" t="s">
        <v>726</v>
      </c>
      <c r="G10159">
        <v>21.15</v>
      </c>
      <c r="H10159">
        <v>250307</v>
      </c>
      <c r="I10159">
        <v>4350</v>
      </c>
      <c r="J10159" t="s">
        <v>290</v>
      </c>
      <c r="K10159">
        <v>105.65</v>
      </c>
      <c r="L10159">
        <v>4.3</v>
      </c>
      <c r="M10159">
        <v>13901</v>
      </c>
      <c r="N10159" t="s">
        <v>116</v>
      </c>
      <c r="O10159">
        <v>250321</v>
      </c>
      <c r="P10159">
        <v>16.850000000000001</v>
      </c>
    </row>
    <row r="10160" spans="1:16" x14ac:dyDescent="0.25">
      <c r="A10160" t="s">
        <v>3296</v>
      </c>
      <c r="B10160" t="s">
        <v>2931</v>
      </c>
      <c r="C10160">
        <v>3432</v>
      </c>
      <c r="D10160" t="str">
        <f t="shared" si="152"/>
        <v xml:space="preserve">81323       </v>
      </c>
      <c r="E10160" t="s">
        <v>725</v>
      </c>
      <c r="F10160" t="s">
        <v>726</v>
      </c>
      <c r="G10160">
        <v>10.56</v>
      </c>
      <c r="H10160">
        <v>250307</v>
      </c>
      <c r="I10160">
        <v>4350</v>
      </c>
      <c r="J10160" t="s">
        <v>290</v>
      </c>
      <c r="K10160">
        <v>105.65</v>
      </c>
      <c r="L10160">
        <v>2.15</v>
      </c>
      <c r="M10160">
        <v>13901</v>
      </c>
      <c r="N10160" t="s">
        <v>116</v>
      </c>
      <c r="O10160">
        <v>250321</v>
      </c>
      <c r="P10160">
        <v>8.41</v>
      </c>
    </row>
    <row r="10161" spans="1:16" x14ac:dyDescent="0.25">
      <c r="A10161" t="s">
        <v>3296</v>
      </c>
      <c r="B10161" t="s">
        <v>2931</v>
      </c>
      <c r="C10161">
        <v>3432</v>
      </c>
      <c r="D10161" t="str">
        <f t="shared" si="152"/>
        <v xml:space="preserve">81323       </v>
      </c>
      <c r="E10161" t="s">
        <v>725</v>
      </c>
      <c r="F10161" t="s">
        <v>726</v>
      </c>
      <c r="G10161">
        <v>10.56</v>
      </c>
      <c r="H10161">
        <v>250307</v>
      </c>
      <c r="I10161">
        <v>4350</v>
      </c>
      <c r="J10161" t="s">
        <v>290</v>
      </c>
      <c r="K10161">
        <v>105.65</v>
      </c>
      <c r="L10161">
        <v>2.15</v>
      </c>
      <c r="M10161">
        <v>13901</v>
      </c>
      <c r="N10161" t="s">
        <v>116</v>
      </c>
      <c r="O10161">
        <v>250321</v>
      </c>
      <c r="P10161">
        <v>8.41</v>
      </c>
    </row>
    <row r="10162" spans="1:16" x14ac:dyDescent="0.25">
      <c r="A10162" t="s">
        <v>3296</v>
      </c>
      <c r="B10162" t="s">
        <v>2931</v>
      </c>
      <c r="C10162">
        <v>3432</v>
      </c>
      <c r="D10162" t="str">
        <f t="shared" si="152"/>
        <v xml:space="preserve">81323       </v>
      </c>
      <c r="E10162" t="s">
        <v>725</v>
      </c>
      <c r="F10162" t="s">
        <v>726</v>
      </c>
      <c r="G10162">
        <v>10.56</v>
      </c>
      <c r="H10162">
        <v>250307</v>
      </c>
      <c r="I10162">
        <v>4350</v>
      </c>
      <c r="J10162" t="s">
        <v>290</v>
      </c>
      <c r="K10162">
        <v>105.65</v>
      </c>
      <c r="L10162">
        <v>2.15</v>
      </c>
      <c r="M10162">
        <v>13901</v>
      </c>
      <c r="N10162" t="s">
        <v>116</v>
      </c>
      <c r="O10162">
        <v>250321</v>
      </c>
      <c r="P10162">
        <v>8.41</v>
      </c>
    </row>
    <row r="10163" spans="1:16" x14ac:dyDescent="0.25">
      <c r="A10163" t="s">
        <v>3296</v>
      </c>
      <c r="B10163" t="s">
        <v>2931</v>
      </c>
      <c r="C10163">
        <v>3432</v>
      </c>
      <c r="D10163" t="str">
        <f t="shared" si="152"/>
        <v xml:space="preserve">81323       </v>
      </c>
      <c r="E10163" t="s">
        <v>725</v>
      </c>
      <c r="F10163" t="s">
        <v>726</v>
      </c>
      <c r="G10163">
        <v>10.56</v>
      </c>
      <c r="H10163">
        <v>250307</v>
      </c>
      <c r="I10163">
        <v>4350</v>
      </c>
      <c r="J10163" t="s">
        <v>290</v>
      </c>
      <c r="K10163">
        <v>105.65</v>
      </c>
      <c r="L10163">
        <v>2.15</v>
      </c>
      <c r="M10163">
        <v>13901</v>
      </c>
      <c r="N10163" t="s">
        <v>116</v>
      </c>
      <c r="O10163">
        <v>250321</v>
      </c>
      <c r="P10163">
        <v>8.41</v>
      </c>
    </row>
    <row r="10164" spans="1:16" x14ac:dyDescent="0.25">
      <c r="A10164" t="s">
        <v>3296</v>
      </c>
      <c r="B10164" t="s">
        <v>2931</v>
      </c>
      <c r="C10164">
        <v>3432</v>
      </c>
      <c r="D10164" t="str">
        <f t="shared" si="152"/>
        <v xml:space="preserve">81323       </v>
      </c>
      <c r="E10164" t="s">
        <v>725</v>
      </c>
      <c r="F10164" t="s">
        <v>726</v>
      </c>
      <c r="G10164">
        <v>10.56</v>
      </c>
      <c r="H10164">
        <v>250307</v>
      </c>
      <c r="I10164">
        <v>4350</v>
      </c>
      <c r="J10164" t="s">
        <v>290</v>
      </c>
      <c r="K10164">
        <v>105.65</v>
      </c>
      <c r="L10164">
        <v>2.15</v>
      </c>
      <c r="M10164">
        <v>13901</v>
      </c>
      <c r="N10164" t="s">
        <v>116</v>
      </c>
      <c r="O10164">
        <v>250321</v>
      </c>
      <c r="P10164">
        <v>8.41</v>
      </c>
    </row>
    <row r="10165" spans="1:16" x14ac:dyDescent="0.25">
      <c r="A10165" t="s">
        <v>3296</v>
      </c>
      <c r="B10165" t="s">
        <v>2931</v>
      </c>
      <c r="C10165">
        <v>3432</v>
      </c>
      <c r="D10165" t="str">
        <f t="shared" si="152"/>
        <v xml:space="preserve">81323       </v>
      </c>
      <c r="E10165" t="s">
        <v>725</v>
      </c>
      <c r="F10165" t="s">
        <v>726</v>
      </c>
      <c r="G10165">
        <v>31.7</v>
      </c>
      <c r="H10165">
        <v>250307</v>
      </c>
      <c r="I10165">
        <v>4350</v>
      </c>
      <c r="J10165" t="s">
        <v>290</v>
      </c>
      <c r="K10165">
        <v>105.65</v>
      </c>
      <c r="L10165">
        <v>6.44</v>
      </c>
      <c r="M10165">
        <v>13940</v>
      </c>
      <c r="N10165" t="s">
        <v>14</v>
      </c>
      <c r="O10165">
        <v>250321</v>
      </c>
      <c r="P10165">
        <v>25.26</v>
      </c>
    </row>
    <row r="10166" spans="1:16" x14ac:dyDescent="0.25">
      <c r="A10166" t="s">
        <v>3296</v>
      </c>
      <c r="B10166" t="s">
        <v>2931</v>
      </c>
      <c r="C10166">
        <v>3628</v>
      </c>
      <c r="D10166" t="str">
        <f>"81387       "</f>
        <v xml:space="preserve">81387       </v>
      </c>
      <c r="E10166" t="s">
        <v>725</v>
      </c>
      <c r="F10166" t="s">
        <v>726</v>
      </c>
      <c r="G10166">
        <v>53.05</v>
      </c>
      <c r="H10166">
        <v>250314</v>
      </c>
      <c r="I10166">
        <v>4350</v>
      </c>
      <c r="J10166" t="s">
        <v>290</v>
      </c>
      <c r="K10166">
        <v>434.57</v>
      </c>
      <c r="L10166">
        <v>10.78</v>
      </c>
      <c r="M10166">
        <v>11301</v>
      </c>
      <c r="N10166" t="s">
        <v>92</v>
      </c>
      <c r="O10166">
        <v>250327</v>
      </c>
      <c r="P10166">
        <v>42.27</v>
      </c>
    </row>
    <row r="10167" spans="1:16" x14ac:dyDescent="0.25">
      <c r="A10167" t="s">
        <v>3296</v>
      </c>
      <c r="B10167" t="s">
        <v>2931</v>
      </c>
      <c r="C10167">
        <v>3628</v>
      </c>
      <c r="D10167" t="str">
        <f>"81387       "</f>
        <v xml:space="preserve">81387       </v>
      </c>
      <c r="E10167" t="s">
        <v>725</v>
      </c>
      <c r="F10167" t="s">
        <v>726</v>
      </c>
      <c r="G10167">
        <v>381.52</v>
      </c>
      <c r="H10167">
        <v>250314</v>
      </c>
      <c r="I10167">
        <v>4350</v>
      </c>
      <c r="J10167" t="s">
        <v>290</v>
      </c>
      <c r="K10167">
        <v>434.57</v>
      </c>
      <c r="L10167">
        <v>77.52</v>
      </c>
      <c r="M10167">
        <v>54451</v>
      </c>
      <c r="N10167" t="s">
        <v>218</v>
      </c>
      <c r="O10167">
        <v>250327</v>
      </c>
      <c r="P10167">
        <v>304</v>
      </c>
    </row>
    <row r="10168" spans="1:16" x14ac:dyDescent="0.25">
      <c r="A10168" t="s">
        <v>3296</v>
      </c>
      <c r="B10168" t="s">
        <v>2931</v>
      </c>
      <c r="C10168">
        <v>4267</v>
      </c>
      <c r="D10168" t="str">
        <f>"81636       "</f>
        <v xml:space="preserve">81636       </v>
      </c>
      <c r="E10168" t="s">
        <v>725</v>
      </c>
      <c r="F10168" t="s">
        <v>726</v>
      </c>
      <c r="G10168">
        <v>190.76</v>
      </c>
      <c r="H10168">
        <v>250328</v>
      </c>
      <c r="I10168">
        <v>4350</v>
      </c>
      <c r="J10168" t="s">
        <v>290</v>
      </c>
      <c r="K10168">
        <v>190.76</v>
      </c>
      <c r="L10168">
        <v>38.76</v>
      </c>
      <c r="M10168">
        <v>54451</v>
      </c>
      <c r="N10168" t="s">
        <v>218</v>
      </c>
      <c r="O10168">
        <v>250409</v>
      </c>
      <c r="P10168">
        <v>152</v>
      </c>
    </row>
    <row r="10169" spans="1:16" x14ac:dyDescent="0.25">
      <c r="A10169" t="s">
        <v>3296</v>
      </c>
      <c r="B10169" t="s">
        <v>2931</v>
      </c>
      <c r="C10169">
        <v>5305</v>
      </c>
      <c r="D10169" t="str">
        <f>"81743       "</f>
        <v xml:space="preserve">81743       </v>
      </c>
      <c r="E10169" t="s">
        <v>725</v>
      </c>
      <c r="F10169" t="s">
        <v>726</v>
      </c>
      <c r="G10169">
        <v>44.36</v>
      </c>
      <c r="H10169">
        <v>250401</v>
      </c>
      <c r="I10169">
        <v>4350</v>
      </c>
      <c r="J10169" t="s">
        <v>290</v>
      </c>
      <c r="K10169">
        <v>88.72</v>
      </c>
      <c r="L10169">
        <v>9.01</v>
      </c>
      <c r="M10169">
        <v>14972</v>
      </c>
      <c r="N10169" t="s">
        <v>82</v>
      </c>
      <c r="O10169">
        <v>250423</v>
      </c>
      <c r="P10169">
        <v>35.35</v>
      </c>
    </row>
    <row r="10170" spans="1:16" x14ac:dyDescent="0.25">
      <c r="A10170" t="s">
        <v>3296</v>
      </c>
      <c r="B10170" t="s">
        <v>2931</v>
      </c>
      <c r="C10170">
        <v>5305</v>
      </c>
      <c r="D10170" t="str">
        <f>"81743       "</f>
        <v xml:space="preserve">81743       </v>
      </c>
      <c r="E10170" t="s">
        <v>725</v>
      </c>
      <c r="F10170" t="s">
        <v>726</v>
      </c>
      <c r="G10170">
        <v>44.36</v>
      </c>
      <c r="H10170">
        <v>250401</v>
      </c>
      <c r="I10170">
        <v>4350</v>
      </c>
      <c r="J10170" t="s">
        <v>290</v>
      </c>
      <c r="K10170">
        <v>88.72</v>
      </c>
      <c r="L10170">
        <v>9.01</v>
      </c>
      <c r="M10170">
        <v>17974</v>
      </c>
      <c r="N10170" t="s">
        <v>153</v>
      </c>
      <c r="O10170">
        <v>250423</v>
      </c>
      <c r="P10170">
        <v>35.35</v>
      </c>
    </row>
    <row r="10171" spans="1:16" x14ac:dyDescent="0.25">
      <c r="A10171" t="s">
        <v>3296</v>
      </c>
      <c r="B10171" t="s">
        <v>2931</v>
      </c>
      <c r="C10171">
        <v>5958</v>
      </c>
      <c r="D10171" t="str">
        <f>"82120       "</f>
        <v xml:space="preserve">82120       </v>
      </c>
      <c r="E10171" t="s">
        <v>725</v>
      </c>
      <c r="F10171" t="s">
        <v>726</v>
      </c>
      <c r="G10171">
        <v>238.45</v>
      </c>
      <c r="H10171">
        <v>250430</v>
      </c>
      <c r="I10171">
        <v>4350</v>
      </c>
      <c r="J10171" t="s">
        <v>290</v>
      </c>
      <c r="K10171">
        <v>238.45</v>
      </c>
      <c r="L10171">
        <v>48.45</v>
      </c>
      <c r="M10171">
        <v>54451</v>
      </c>
      <c r="N10171" t="s">
        <v>218</v>
      </c>
      <c r="O10171">
        <v>250507</v>
      </c>
      <c r="P10171">
        <v>190</v>
      </c>
    </row>
    <row r="10172" spans="1:16" x14ac:dyDescent="0.25">
      <c r="A10172" t="s">
        <v>3296</v>
      </c>
      <c r="B10172" t="s">
        <v>2931</v>
      </c>
      <c r="C10172">
        <v>8326</v>
      </c>
      <c r="D10172" t="str">
        <f>"82431       "</f>
        <v xml:space="preserve">82431       </v>
      </c>
      <c r="E10172" t="s">
        <v>725</v>
      </c>
      <c r="F10172" t="s">
        <v>726</v>
      </c>
      <c r="G10172">
        <v>190.76</v>
      </c>
      <c r="H10172">
        <v>250531</v>
      </c>
      <c r="I10172">
        <v>4350</v>
      </c>
      <c r="J10172" t="s">
        <v>290</v>
      </c>
      <c r="K10172">
        <v>190.76</v>
      </c>
      <c r="L10172">
        <v>38.76</v>
      </c>
      <c r="M10172">
        <v>54451</v>
      </c>
      <c r="N10172" t="s">
        <v>218</v>
      </c>
      <c r="O10172">
        <v>250612</v>
      </c>
      <c r="P10172">
        <v>152</v>
      </c>
    </row>
    <row r="10173" spans="1:16" x14ac:dyDescent="0.25">
      <c r="A10173" t="s">
        <v>3296</v>
      </c>
      <c r="B10173" t="s">
        <v>2931</v>
      </c>
      <c r="C10173">
        <v>9243</v>
      </c>
      <c r="D10173" t="str">
        <f>"82776       "</f>
        <v xml:space="preserve">82776       </v>
      </c>
      <c r="E10173" t="s">
        <v>725</v>
      </c>
      <c r="F10173" t="s">
        <v>726</v>
      </c>
      <c r="G10173">
        <v>14.6</v>
      </c>
      <c r="H10173">
        <v>250618</v>
      </c>
      <c r="I10173">
        <v>4350</v>
      </c>
      <c r="J10173" t="s">
        <v>290</v>
      </c>
      <c r="K10173">
        <v>29.2</v>
      </c>
      <c r="L10173">
        <v>2.97</v>
      </c>
      <c r="M10173">
        <v>11900</v>
      </c>
      <c r="N10173" t="s">
        <v>30</v>
      </c>
      <c r="O10173">
        <v>250701</v>
      </c>
      <c r="P10173">
        <v>11.63</v>
      </c>
    </row>
    <row r="10174" spans="1:16" x14ac:dyDescent="0.25">
      <c r="A10174" t="s">
        <v>3296</v>
      </c>
      <c r="B10174" t="s">
        <v>2931</v>
      </c>
      <c r="C10174">
        <v>9243</v>
      </c>
      <c r="D10174" t="str">
        <f>"82776       "</f>
        <v xml:space="preserve">82776       </v>
      </c>
      <c r="E10174" t="s">
        <v>725</v>
      </c>
      <c r="F10174" t="s">
        <v>726</v>
      </c>
      <c r="G10174">
        <v>14.6</v>
      </c>
      <c r="H10174">
        <v>250618</v>
      </c>
      <c r="I10174">
        <v>4350</v>
      </c>
      <c r="J10174" t="s">
        <v>290</v>
      </c>
      <c r="K10174">
        <v>29.2</v>
      </c>
      <c r="L10174">
        <v>2.97</v>
      </c>
      <c r="M10174">
        <v>14971</v>
      </c>
      <c r="N10174" t="s">
        <v>81</v>
      </c>
      <c r="O10174">
        <v>250701</v>
      </c>
      <c r="P10174">
        <v>11.63</v>
      </c>
    </row>
    <row r="10175" spans="1:16" x14ac:dyDescent="0.25">
      <c r="A10175" t="s">
        <v>3296</v>
      </c>
      <c r="B10175" t="s">
        <v>2931</v>
      </c>
      <c r="C10175">
        <v>9484</v>
      </c>
      <c r="D10175" t="str">
        <f>"82943       "</f>
        <v xml:space="preserve">82943       </v>
      </c>
      <c r="E10175" t="s">
        <v>725</v>
      </c>
      <c r="F10175" t="s">
        <v>726</v>
      </c>
      <c r="G10175">
        <v>143.07</v>
      </c>
      <c r="H10175">
        <v>250627</v>
      </c>
      <c r="I10175">
        <v>4350</v>
      </c>
      <c r="J10175" t="s">
        <v>290</v>
      </c>
      <c r="K10175">
        <v>143.07</v>
      </c>
      <c r="L10175">
        <v>29.07</v>
      </c>
      <c r="M10175">
        <v>54451</v>
      </c>
      <c r="N10175" t="s">
        <v>218</v>
      </c>
      <c r="O10175">
        <v>250709</v>
      </c>
      <c r="P10175">
        <v>114</v>
      </c>
    </row>
    <row r="10176" spans="1:16" x14ac:dyDescent="0.25">
      <c r="A10176" t="s">
        <v>3296</v>
      </c>
      <c r="B10176" t="s">
        <v>2931</v>
      </c>
      <c r="C10176">
        <v>10958</v>
      </c>
      <c r="D10176" t="str">
        <f>"83413       "</f>
        <v xml:space="preserve">83413       </v>
      </c>
      <c r="E10176" t="s">
        <v>725</v>
      </c>
      <c r="F10176" t="s">
        <v>726</v>
      </c>
      <c r="G10176">
        <v>70.59</v>
      </c>
      <c r="H10176">
        <v>250821</v>
      </c>
      <c r="I10176">
        <v>4350</v>
      </c>
      <c r="J10176" t="s">
        <v>290</v>
      </c>
      <c r="K10176">
        <v>70.59</v>
      </c>
      <c r="L10176">
        <v>14.34</v>
      </c>
      <c r="M10176">
        <v>11301</v>
      </c>
      <c r="N10176" t="s">
        <v>92</v>
      </c>
      <c r="O10176">
        <v>250827</v>
      </c>
      <c r="P10176">
        <v>56.25</v>
      </c>
    </row>
    <row r="10177" spans="1:16" x14ac:dyDescent="0.25">
      <c r="A10177" t="s">
        <v>3296</v>
      </c>
      <c r="B10177" t="s">
        <v>2931</v>
      </c>
      <c r="C10177">
        <v>11169</v>
      </c>
      <c r="D10177" t="str">
        <f>"83566       "</f>
        <v xml:space="preserve">83566       </v>
      </c>
      <c r="E10177" t="s">
        <v>725</v>
      </c>
      <c r="F10177" t="s">
        <v>726</v>
      </c>
      <c r="G10177">
        <v>190.76</v>
      </c>
      <c r="H10177">
        <v>250829</v>
      </c>
      <c r="I10177">
        <v>4350</v>
      </c>
      <c r="J10177" t="s">
        <v>290</v>
      </c>
      <c r="K10177">
        <v>190.76</v>
      </c>
      <c r="L10177">
        <v>38.76</v>
      </c>
      <c r="M10177">
        <v>54451</v>
      </c>
      <c r="N10177" t="s">
        <v>218</v>
      </c>
      <c r="O10177">
        <v>250901</v>
      </c>
      <c r="P10177">
        <v>152</v>
      </c>
    </row>
    <row r="10178" spans="1:16" x14ac:dyDescent="0.25">
      <c r="A10178" t="s">
        <v>3296</v>
      </c>
      <c r="B10178" t="s">
        <v>2931</v>
      </c>
      <c r="C10178">
        <v>11851</v>
      </c>
      <c r="D10178" t="str">
        <f>"83654       "</f>
        <v xml:space="preserve">83654       </v>
      </c>
      <c r="E10178" t="s">
        <v>725</v>
      </c>
      <c r="F10178" t="s">
        <v>726</v>
      </c>
      <c r="G10178">
        <v>100.68</v>
      </c>
      <c r="H10178">
        <v>250905</v>
      </c>
      <c r="I10178">
        <v>4350</v>
      </c>
      <c r="J10178" t="s">
        <v>290</v>
      </c>
      <c r="K10178">
        <v>100.68</v>
      </c>
      <c r="L10178">
        <v>20.46</v>
      </c>
      <c r="M10178">
        <v>11301</v>
      </c>
      <c r="N10178" t="s">
        <v>92</v>
      </c>
      <c r="O10178">
        <v>250911</v>
      </c>
      <c r="P10178">
        <v>80.22</v>
      </c>
    </row>
    <row r="10179" spans="1:16" x14ac:dyDescent="0.25">
      <c r="A10179" t="s">
        <v>3296</v>
      </c>
      <c r="B10179" t="s">
        <v>2931</v>
      </c>
      <c r="C10179">
        <v>13556</v>
      </c>
      <c r="D10179" t="str">
        <f>"83915       "</f>
        <v xml:space="preserve">83915       </v>
      </c>
      <c r="E10179" t="s">
        <v>725</v>
      </c>
      <c r="F10179" t="s">
        <v>726</v>
      </c>
      <c r="G10179">
        <v>190.76</v>
      </c>
      <c r="H10179">
        <v>250930</v>
      </c>
      <c r="I10179">
        <v>4350</v>
      </c>
      <c r="J10179" t="s">
        <v>290</v>
      </c>
      <c r="K10179">
        <v>190.76</v>
      </c>
      <c r="L10179">
        <v>38.76</v>
      </c>
      <c r="M10179">
        <v>54451</v>
      </c>
      <c r="N10179" t="s">
        <v>218</v>
      </c>
      <c r="O10179">
        <v>251010</v>
      </c>
      <c r="P10179">
        <v>152</v>
      </c>
    </row>
    <row r="10180" spans="1:16" x14ac:dyDescent="0.25">
      <c r="A10180" t="s">
        <v>3296</v>
      </c>
      <c r="B10180" t="s">
        <v>2931</v>
      </c>
      <c r="C10180">
        <v>15167</v>
      </c>
      <c r="D10180" t="str">
        <f>"84314       "</f>
        <v xml:space="preserve">84314       </v>
      </c>
      <c r="E10180" t="s">
        <v>725</v>
      </c>
      <c r="F10180" t="s">
        <v>726</v>
      </c>
      <c r="G10180">
        <v>57.54</v>
      </c>
      <c r="H10180">
        <v>251031</v>
      </c>
      <c r="I10180">
        <v>4350</v>
      </c>
      <c r="J10180" t="s">
        <v>290</v>
      </c>
      <c r="K10180">
        <v>295.99</v>
      </c>
      <c r="L10180">
        <v>11.69</v>
      </c>
      <c r="M10180">
        <v>47522</v>
      </c>
      <c r="N10180" t="s">
        <v>106</v>
      </c>
      <c r="O10180">
        <v>251113</v>
      </c>
      <c r="P10180">
        <v>45.85</v>
      </c>
    </row>
    <row r="10181" spans="1:16" x14ac:dyDescent="0.25">
      <c r="A10181" t="s">
        <v>3296</v>
      </c>
      <c r="B10181" t="s">
        <v>2931</v>
      </c>
      <c r="C10181">
        <v>15167</v>
      </c>
      <c r="D10181" t="str">
        <f>"84314       "</f>
        <v xml:space="preserve">84314       </v>
      </c>
      <c r="E10181" t="s">
        <v>725</v>
      </c>
      <c r="F10181" t="s">
        <v>726</v>
      </c>
      <c r="G10181">
        <v>238.45</v>
      </c>
      <c r="H10181">
        <v>251031</v>
      </c>
      <c r="I10181">
        <v>4350</v>
      </c>
      <c r="J10181" t="s">
        <v>290</v>
      </c>
      <c r="K10181">
        <v>295.99</v>
      </c>
      <c r="L10181">
        <v>48.45</v>
      </c>
      <c r="M10181">
        <v>54451</v>
      </c>
      <c r="N10181" t="s">
        <v>218</v>
      </c>
      <c r="O10181">
        <v>251113</v>
      </c>
      <c r="P10181">
        <v>190</v>
      </c>
    </row>
    <row r="10182" spans="1:16" x14ac:dyDescent="0.25">
      <c r="A10182" t="s">
        <v>3296</v>
      </c>
      <c r="B10182" t="s">
        <v>2931</v>
      </c>
      <c r="C10182">
        <v>15780</v>
      </c>
      <c r="D10182" t="str">
        <f>"84403       "</f>
        <v xml:space="preserve">84403       </v>
      </c>
      <c r="E10182" t="s">
        <v>725</v>
      </c>
      <c r="F10182" t="s">
        <v>726</v>
      </c>
      <c r="G10182">
        <v>29.18</v>
      </c>
      <c r="H10182">
        <v>251114</v>
      </c>
      <c r="I10182">
        <v>4350</v>
      </c>
      <c r="J10182" t="s">
        <v>290</v>
      </c>
      <c r="K10182">
        <v>703.93</v>
      </c>
      <c r="L10182">
        <v>5.93</v>
      </c>
      <c r="M10182">
        <v>11301</v>
      </c>
      <c r="N10182" t="s">
        <v>92</v>
      </c>
      <c r="O10182">
        <v>251127</v>
      </c>
      <c r="P10182">
        <v>23.25</v>
      </c>
    </row>
    <row r="10183" spans="1:16" x14ac:dyDescent="0.25">
      <c r="A10183" t="s">
        <v>3296</v>
      </c>
      <c r="B10183" t="s">
        <v>2931</v>
      </c>
      <c r="C10183">
        <v>15780</v>
      </c>
      <c r="D10183" t="str">
        <f>"84403       "</f>
        <v xml:space="preserve">84403       </v>
      </c>
      <c r="E10183" t="s">
        <v>725</v>
      </c>
      <c r="F10183" t="s">
        <v>726</v>
      </c>
      <c r="G10183">
        <v>47.5</v>
      </c>
      <c r="H10183">
        <v>251114</v>
      </c>
      <c r="I10183">
        <v>4350</v>
      </c>
      <c r="J10183" t="s">
        <v>290</v>
      </c>
      <c r="K10183">
        <v>703.93</v>
      </c>
      <c r="L10183">
        <v>9.65</v>
      </c>
      <c r="M10183">
        <v>11903</v>
      </c>
      <c r="N10183" t="s">
        <v>32</v>
      </c>
      <c r="O10183">
        <v>251127</v>
      </c>
      <c r="P10183">
        <v>37.85</v>
      </c>
    </row>
    <row r="10184" spans="1:16" x14ac:dyDescent="0.25">
      <c r="A10184" t="s">
        <v>3296</v>
      </c>
      <c r="B10184" t="s">
        <v>2931</v>
      </c>
      <c r="C10184">
        <v>15780</v>
      </c>
      <c r="D10184" t="str">
        <f>"84403       "</f>
        <v xml:space="preserve">84403       </v>
      </c>
      <c r="E10184" t="s">
        <v>725</v>
      </c>
      <c r="F10184" t="s">
        <v>726</v>
      </c>
      <c r="G10184">
        <v>627.25</v>
      </c>
      <c r="H10184">
        <v>251114</v>
      </c>
      <c r="I10184">
        <v>4350</v>
      </c>
      <c r="J10184" t="s">
        <v>290</v>
      </c>
      <c r="K10184">
        <v>703.93</v>
      </c>
      <c r="L10184">
        <v>127.45</v>
      </c>
      <c r="M10184">
        <v>59702</v>
      </c>
      <c r="N10184" t="s">
        <v>45</v>
      </c>
      <c r="O10184">
        <v>251127</v>
      </c>
      <c r="P10184">
        <v>499.8</v>
      </c>
    </row>
    <row r="10185" spans="1:16" x14ac:dyDescent="0.25">
      <c r="A10185" t="s">
        <v>3296</v>
      </c>
      <c r="B10185" t="s">
        <v>2931</v>
      </c>
      <c r="C10185">
        <v>16901</v>
      </c>
      <c r="D10185" t="str">
        <f>"84623       "</f>
        <v xml:space="preserve">84623       </v>
      </c>
      <c r="E10185" t="s">
        <v>725</v>
      </c>
      <c r="F10185" t="s">
        <v>726</v>
      </c>
      <c r="G10185">
        <v>190.76</v>
      </c>
      <c r="H10185">
        <v>251130</v>
      </c>
      <c r="I10185">
        <v>4350</v>
      </c>
      <c r="J10185" t="s">
        <v>290</v>
      </c>
      <c r="K10185">
        <v>190.76</v>
      </c>
      <c r="L10185">
        <v>38.76</v>
      </c>
      <c r="M10185">
        <v>54451</v>
      </c>
      <c r="N10185" t="s">
        <v>218</v>
      </c>
      <c r="O10185">
        <v>251215</v>
      </c>
      <c r="P10185">
        <v>152</v>
      </c>
    </row>
    <row r="10186" spans="1:16" x14ac:dyDescent="0.25">
      <c r="A10186" t="s">
        <v>3296</v>
      </c>
      <c r="B10186" t="s">
        <v>2931</v>
      </c>
      <c r="C10186">
        <v>17913</v>
      </c>
      <c r="D10186" t="str">
        <f>"85067       "</f>
        <v xml:space="preserve">85067       </v>
      </c>
      <c r="E10186" t="s">
        <v>725</v>
      </c>
      <c r="F10186" t="s">
        <v>726</v>
      </c>
      <c r="G10186">
        <v>14.6</v>
      </c>
      <c r="H10186">
        <v>251222</v>
      </c>
      <c r="I10186">
        <v>4350</v>
      </c>
      <c r="J10186" t="s">
        <v>290</v>
      </c>
      <c r="K10186">
        <v>14.6</v>
      </c>
      <c r="L10186">
        <v>2.97</v>
      </c>
      <c r="M10186">
        <v>11301</v>
      </c>
      <c r="N10186" t="s">
        <v>92</v>
      </c>
      <c r="O10186">
        <v>260107</v>
      </c>
      <c r="P10186">
        <v>11.63</v>
      </c>
    </row>
    <row r="10187" spans="1:16" x14ac:dyDescent="0.25">
      <c r="A10187" t="s">
        <v>3296</v>
      </c>
      <c r="B10187" t="s">
        <v>2931</v>
      </c>
      <c r="C10187">
        <v>18162</v>
      </c>
      <c r="D10187" t="str">
        <f>"85156       "</f>
        <v xml:space="preserve">85156       </v>
      </c>
      <c r="E10187" t="s">
        <v>725</v>
      </c>
      <c r="F10187" t="s">
        <v>726</v>
      </c>
      <c r="G10187">
        <v>238.45</v>
      </c>
      <c r="H10187">
        <v>251231</v>
      </c>
      <c r="I10187">
        <v>4350</v>
      </c>
      <c r="J10187" t="s">
        <v>290</v>
      </c>
      <c r="K10187">
        <v>238.45</v>
      </c>
      <c r="L10187">
        <v>48.45</v>
      </c>
      <c r="M10187">
        <v>54451</v>
      </c>
      <c r="N10187" t="s">
        <v>218</v>
      </c>
      <c r="O10187">
        <v>260109</v>
      </c>
      <c r="P10187">
        <v>190</v>
      </c>
    </row>
    <row r="10188" spans="1:16" x14ac:dyDescent="0.25">
      <c r="A10188" t="s">
        <v>3296</v>
      </c>
      <c r="B10188" t="s">
        <v>2931</v>
      </c>
      <c r="C10188">
        <v>13891</v>
      </c>
      <c r="D10188" t="str">
        <f>"83995       "</f>
        <v xml:space="preserve">83995       </v>
      </c>
      <c r="E10188" t="s">
        <v>725</v>
      </c>
      <c r="F10188" t="s">
        <v>726</v>
      </c>
      <c r="G10188">
        <v>39.69</v>
      </c>
      <c r="H10188">
        <v>251006</v>
      </c>
      <c r="I10188">
        <v>4500</v>
      </c>
      <c r="J10188" t="s">
        <v>312</v>
      </c>
      <c r="K10188">
        <v>182.19</v>
      </c>
      <c r="L10188">
        <v>8.06</v>
      </c>
      <c r="M10188">
        <v>11301</v>
      </c>
      <c r="N10188" t="s">
        <v>92</v>
      </c>
      <c r="O10188">
        <v>251020</v>
      </c>
      <c r="P10188">
        <v>31.63</v>
      </c>
    </row>
    <row r="10189" spans="1:16" x14ac:dyDescent="0.25">
      <c r="A10189" t="s">
        <v>3296</v>
      </c>
      <c r="B10189" t="s">
        <v>2931</v>
      </c>
      <c r="C10189">
        <v>13891</v>
      </c>
      <c r="D10189" t="str">
        <f>"83995       "</f>
        <v xml:space="preserve">83995       </v>
      </c>
      <c r="E10189" t="s">
        <v>725</v>
      </c>
      <c r="F10189" t="s">
        <v>726</v>
      </c>
      <c r="G10189">
        <v>47.5</v>
      </c>
      <c r="H10189">
        <v>251006</v>
      </c>
      <c r="I10189">
        <v>4500</v>
      </c>
      <c r="J10189" t="s">
        <v>312</v>
      </c>
      <c r="K10189">
        <v>182.19</v>
      </c>
      <c r="L10189">
        <v>9.65</v>
      </c>
      <c r="M10189">
        <v>14972</v>
      </c>
      <c r="N10189" t="s">
        <v>82</v>
      </c>
      <c r="O10189">
        <v>251020</v>
      </c>
      <c r="P10189">
        <v>37.85</v>
      </c>
    </row>
    <row r="10190" spans="1:16" x14ac:dyDescent="0.25">
      <c r="A10190" t="s">
        <v>3296</v>
      </c>
      <c r="B10190" t="s">
        <v>2931</v>
      </c>
      <c r="C10190">
        <v>13891</v>
      </c>
      <c r="D10190" t="str">
        <f>"83995       "</f>
        <v xml:space="preserve">83995       </v>
      </c>
      <c r="E10190" t="s">
        <v>725</v>
      </c>
      <c r="F10190" t="s">
        <v>726</v>
      </c>
      <c r="G10190">
        <v>47.5</v>
      </c>
      <c r="H10190">
        <v>251006</v>
      </c>
      <c r="I10190">
        <v>4500</v>
      </c>
      <c r="J10190" t="s">
        <v>312</v>
      </c>
      <c r="K10190">
        <v>182.19</v>
      </c>
      <c r="L10190">
        <v>9.65</v>
      </c>
      <c r="M10190">
        <v>47522</v>
      </c>
      <c r="N10190" t="s">
        <v>106</v>
      </c>
      <c r="O10190">
        <v>251020</v>
      </c>
      <c r="P10190">
        <v>37.85</v>
      </c>
    </row>
    <row r="10191" spans="1:16" x14ac:dyDescent="0.25">
      <c r="A10191" t="s">
        <v>3296</v>
      </c>
      <c r="B10191" t="s">
        <v>2931</v>
      </c>
      <c r="C10191">
        <v>13891</v>
      </c>
      <c r="D10191" t="str">
        <f>"83995       "</f>
        <v xml:space="preserve">83995       </v>
      </c>
      <c r="E10191" t="s">
        <v>725</v>
      </c>
      <c r="F10191" t="s">
        <v>726</v>
      </c>
      <c r="G10191">
        <v>23.75</v>
      </c>
      <c r="H10191">
        <v>251006</v>
      </c>
      <c r="I10191">
        <v>4500</v>
      </c>
      <c r="J10191" t="s">
        <v>312</v>
      </c>
      <c r="K10191">
        <v>182.19</v>
      </c>
      <c r="L10191">
        <v>4.83</v>
      </c>
      <c r="M10191">
        <v>66754</v>
      </c>
      <c r="N10191" t="s">
        <v>119</v>
      </c>
      <c r="O10191">
        <v>251020</v>
      </c>
      <c r="P10191">
        <v>18.920000000000002</v>
      </c>
    </row>
    <row r="10192" spans="1:16" x14ac:dyDescent="0.25">
      <c r="A10192" t="s">
        <v>3296</v>
      </c>
      <c r="B10192" t="s">
        <v>2931</v>
      </c>
      <c r="C10192">
        <v>13891</v>
      </c>
      <c r="D10192" t="str">
        <f>"83995       "</f>
        <v xml:space="preserve">83995       </v>
      </c>
      <c r="E10192" t="s">
        <v>725</v>
      </c>
      <c r="F10192" t="s">
        <v>726</v>
      </c>
      <c r="G10192">
        <v>23.75</v>
      </c>
      <c r="H10192">
        <v>251006</v>
      </c>
      <c r="I10192">
        <v>4500</v>
      </c>
      <c r="J10192" t="s">
        <v>312</v>
      </c>
      <c r="K10192">
        <v>182.19</v>
      </c>
      <c r="L10192">
        <v>4.83</v>
      </c>
      <c r="M10192">
        <v>67554</v>
      </c>
      <c r="N10192" t="s">
        <v>317</v>
      </c>
      <c r="O10192">
        <v>251020</v>
      </c>
      <c r="P10192">
        <v>18.920000000000002</v>
      </c>
    </row>
    <row r="10193" spans="1:16" x14ac:dyDescent="0.25">
      <c r="A10193" t="s">
        <v>3296</v>
      </c>
      <c r="B10193" t="s">
        <v>2931</v>
      </c>
      <c r="C10193">
        <v>2893</v>
      </c>
      <c r="D10193" t="str">
        <f>"81200       "</f>
        <v xml:space="preserve">81200       </v>
      </c>
      <c r="E10193" t="s">
        <v>725</v>
      </c>
      <c r="F10193" t="s">
        <v>726</v>
      </c>
      <c r="G10193">
        <v>14.59</v>
      </c>
      <c r="H10193">
        <v>250228</v>
      </c>
      <c r="I10193">
        <v>4600</v>
      </c>
      <c r="J10193" t="s">
        <v>278</v>
      </c>
      <c r="K10193">
        <v>29.18</v>
      </c>
      <c r="L10193">
        <v>2.96</v>
      </c>
      <c r="M10193">
        <v>14990</v>
      </c>
      <c r="N10193" t="s">
        <v>85</v>
      </c>
      <c r="O10193">
        <v>250313</v>
      </c>
      <c r="P10193">
        <v>11.63</v>
      </c>
    </row>
    <row r="10194" spans="1:16" x14ac:dyDescent="0.25">
      <c r="A10194" t="s">
        <v>3296</v>
      </c>
      <c r="B10194" t="s">
        <v>2931</v>
      </c>
      <c r="C10194">
        <v>2893</v>
      </c>
      <c r="D10194" t="str">
        <f>"81200       "</f>
        <v xml:space="preserve">81200       </v>
      </c>
      <c r="E10194" t="s">
        <v>725</v>
      </c>
      <c r="F10194" t="s">
        <v>726</v>
      </c>
      <c r="G10194">
        <v>14.59</v>
      </c>
      <c r="H10194">
        <v>250228</v>
      </c>
      <c r="I10194">
        <v>4600</v>
      </c>
      <c r="J10194" t="s">
        <v>278</v>
      </c>
      <c r="K10194">
        <v>29.18</v>
      </c>
      <c r="L10194">
        <v>2.96</v>
      </c>
      <c r="M10194">
        <v>18125</v>
      </c>
      <c r="N10194" t="s">
        <v>1230</v>
      </c>
      <c r="O10194">
        <v>250313</v>
      </c>
      <c r="P10194">
        <v>11.63</v>
      </c>
    </row>
    <row r="10195" spans="1:16" x14ac:dyDescent="0.25">
      <c r="A10195" t="s">
        <v>3296</v>
      </c>
      <c r="B10195" t="s">
        <v>2931</v>
      </c>
      <c r="C10195">
        <v>12161</v>
      </c>
      <c r="D10195" t="str">
        <f>"246         "</f>
        <v xml:space="preserve">246         </v>
      </c>
      <c r="E10195" t="s">
        <v>2325</v>
      </c>
      <c r="F10195" t="s">
        <v>2326</v>
      </c>
      <c r="G10195">
        <v>99.25</v>
      </c>
      <c r="H10195">
        <v>250801</v>
      </c>
      <c r="I10195">
        <v>4510</v>
      </c>
      <c r="J10195" t="s">
        <v>240</v>
      </c>
      <c r="K10195">
        <v>99.25</v>
      </c>
      <c r="L10195">
        <v>9.02</v>
      </c>
      <c r="M10195">
        <v>16121</v>
      </c>
      <c r="N10195" t="s">
        <v>127</v>
      </c>
      <c r="O10195">
        <v>250917</v>
      </c>
      <c r="P10195">
        <v>90.23</v>
      </c>
    </row>
    <row r="10196" spans="1:16" x14ac:dyDescent="0.25">
      <c r="A10196" t="s">
        <v>3296</v>
      </c>
      <c r="B10196" t="s">
        <v>2931</v>
      </c>
      <c r="C10196">
        <v>12456</v>
      </c>
      <c r="D10196" t="str">
        <f>"220925      "</f>
        <v xml:space="preserve">220925      </v>
      </c>
      <c r="E10196" t="s">
        <v>2325</v>
      </c>
      <c r="F10196" t="s">
        <v>2326</v>
      </c>
      <c r="G10196">
        <v>10.93</v>
      </c>
      <c r="H10196">
        <v>250912</v>
      </c>
      <c r="I10196">
        <v>4510</v>
      </c>
      <c r="J10196" t="s">
        <v>240</v>
      </c>
      <c r="K10196">
        <v>10.93</v>
      </c>
      <c r="L10196">
        <v>0</v>
      </c>
      <c r="M10196">
        <v>16121</v>
      </c>
      <c r="N10196" t="s">
        <v>127</v>
      </c>
      <c r="O10196">
        <v>250923</v>
      </c>
      <c r="P10196">
        <v>10.93</v>
      </c>
    </row>
    <row r="10197" spans="1:16" x14ac:dyDescent="0.25">
      <c r="A10197" t="s">
        <v>3296</v>
      </c>
      <c r="B10197" t="s">
        <v>2931</v>
      </c>
      <c r="C10197">
        <v>15782</v>
      </c>
      <c r="D10197" t="str">
        <f>"1015        "</f>
        <v xml:space="preserve">1015        </v>
      </c>
      <c r="E10197" t="s">
        <v>2610</v>
      </c>
      <c r="F10197" t="s">
        <v>2611</v>
      </c>
      <c r="G10197">
        <v>903.73</v>
      </c>
      <c r="H10197">
        <v>251123</v>
      </c>
      <c r="I10197">
        <v>4580</v>
      </c>
      <c r="J10197" t="s">
        <v>126</v>
      </c>
      <c r="K10197">
        <v>903.73</v>
      </c>
      <c r="L10197">
        <v>183.63</v>
      </c>
      <c r="M10197">
        <v>17532</v>
      </c>
      <c r="N10197" t="s">
        <v>146</v>
      </c>
      <c r="O10197">
        <v>251127</v>
      </c>
      <c r="P10197">
        <v>720.1</v>
      </c>
    </row>
    <row r="10198" spans="1:16" x14ac:dyDescent="0.25">
      <c r="A10198" t="s">
        <v>3296</v>
      </c>
      <c r="B10198" t="s">
        <v>2931</v>
      </c>
      <c r="C10198">
        <v>1023</v>
      </c>
      <c r="D10198" t="str">
        <f>"CD22719033  "</f>
        <v xml:space="preserve">CD22719033  </v>
      </c>
      <c r="E10198" t="s">
        <v>821</v>
      </c>
      <c r="F10198" t="s">
        <v>822</v>
      </c>
      <c r="G10198">
        <v>114.21</v>
      </c>
      <c r="H10198">
        <v>250123</v>
      </c>
      <c r="I10198">
        <v>4380</v>
      </c>
      <c r="J10198" t="s">
        <v>211</v>
      </c>
      <c r="K10198">
        <v>114.21</v>
      </c>
      <c r="L10198">
        <v>23.21</v>
      </c>
      <c r="M10198">
        <v>49501</v>
      </c>
      <c r="N10198" t="s">
        <v>110</v>
      </c>
      <c r="O10198">
        <v>250203</v>
      </c>
      <c r="P10198">
        <v>91</v>
      </c>
    </row>
    <row r="10199" spans="1:16" x14ac:dyDescent="0.25">
      <c r="A10199" t="s">
        <v>3296</v>
      </c>
      <c r="B10199" t="s">
        <v>2931</v>
      </c>
      <c r="C10199">
        <v>3489</v>
      </c>
      <c r="D10199" t="str">
        <f>"CD22724836  "</f>
        <v xml:space="preserve">CD22724836  </v>
      </c>
      <c r="E10199" t="s">
        <v>821</v>
      </c>
      <c r="F10199" t="s">
        <v>822</v>
      </c>
      <c r="G10199">
        <v>114.21</v>
      </c>
      <c r="H10199">
        <v>250310</v>
      </c>
      <c r="I10199">
        <v>4380</v>
      </c>
      <c r="J10199" t="s">
        <v>211</v>
      </c>
      <c r="K10199">
        <v>114.21</v>
      </c>
      <c r="L10199">
        <v>23.21</v>
      </c>
      <c r="M10199">
        <v>49501</v>
      </c>
      <c r="N10199" t="s">
        <v>110</v>
      </c>
      <c r="O10199">
        <v>250324</v>
      </c>
      <c r="P10199">
        <v>91</v>
      </c>
    </row>
    <row r="10200" spans="1:16" x14ac:dyDescent="0.25">
      <c r="A10200" t="s">
        <v>3296</v>
      </c>
      <c r="B10200" t="s">
        <v>2931</v>
      </c>
      <c r="C10200">
        <v>9916</v>
      </c>
      <c r="D10200" t="str">
        <f>"CD22742972  "</f>
        <v xml:space="preserve">CD22742972  </v>
      </c>
      <c r="E10200" t="s">
        <v>821</v>
      </c>
      <c r="F10200" t="s">
        <v>822</v>
      </c>
      <c r="G10200">
        <v>125.51</v>
      </c>
      <c r="H10200">
        <v>250731</v>
      </c>
      <c r="I10200">
        <v>4380</v>
      </c>
      <c r="J10200" t="s">
        <v>211</v>
      </c>
      <c r="K10200">
        <v>125.51</v>
      </c>
      <c r="L10200">
        <v>25.5</v>
      </c>
      <c r="M10200">
        <v>49501</v>
      </c>
      <c r="N10200" t="s">
        <v>110</v>
      </c>
      <c r="O10200">
        <v>250804</v>
      </c>
      <c r="P10200">
        <v>100.01</v>
      </c>
    </row>
    <row r="10201" spans="1:16" x14ac:dyDescent="0.25">
      <c r="A10201" t="s">
        <v>3296</v>
      </c>
      <c r="B10201" t="s">
        <v>2931</v>
      </c>
      <c r="C10201">
        <v>11393</v>
      </c>
      <c r="D10201" t="str">
        <f>"CD22747005  "</f>
        <v xml:space="preserve">CD22747005  </v>
      </c>
      <c r="E10201" t="s">
        <v>821</v>
      </c>
      <c r="F10201" t="s">
        <v>822</v>
      </c>
      <c r="G10201">
        <v>114.21</v>
      </c>
      <c r="H10201">
        <v>250831</v>
      </c>
      <c r="I10201">
        <v>4380</v>
      </c>
      <c r="J10201" t="s">
        <v>211</v>
      </c>
      <c r="K10201">
        <v>114.21</v>
      </c>
      <c r="L10201">
        <v>23.21</v>
      </c>
      <c r="M10201">
        <v>49501</v>
      </c>
      <c r="N10201" t="s">
        <v>110</v>
      </c>
      <c r="O10201">
        <v>250904</v>
      </c>
      <c r="P10201">
        <v>91</v>
      </c>
    </row>
    <row r="10202" spans="1:16" x14ac:dyDescent="0.25">
      <c r="A10202" t="s">
        <v>3296</v>
      </c>
      <c r="B10202" t="s">
        <v>2931</v>
      </c>
      <c r="C10202">
        <v>18239</v>
      </c>
      <c r="D10202" t="str">
        <f>"8091        "</f>
        <v xml:space="preserve">8091        </v>
      </c>
      <c r="E10202" t="s">
        <v>1710</v>
      </c>
      <c r="F10202" t="s">
        <v>1711</v>
      </c>
      <c r="G10202">
        <v>136.76</v>
      </c>
      <c r="H10202">
        <v>251231</v>
      </c>
      <c r="I10202">
        <v>4346</v>
      </c>
      <c r="J10202" t="s">
        <v>334</v>
      </c>
      <c r="K10202">
        <v>136.76</v>
      </c>
      <c r="L10202">
        <v>0</v>
      </c>
      <c r="M10202">
        <v>16951</v>
      </c>
      <c r="N10202" t="s">
        <v>488</v>
      </c>
      <c r="O10202">
        <v>260112</v>
      </c>
      <c r="P10202">
        <v>136.76</v>
      </c>
    </row>
    <row r="10203" spans="1:16" x14ac:dyDescent="0.25">
      <c r="A10203" t="s">
        <v>3296</v>
      </c>
      <c r="B10203" t="s">
        <v>2931</v>
      </c>
      <c r="C10203">
        <v>5292</v>
      </c>
      <c r="D10203" t="str">
        <f>"2076        "</f>
        <v xml:space="preserve">2076        </v>
      </c>
      <c r="E10203" t="s">
        <v>1710</v>
      </c>
      <c r="F10203" t="s">
        <v>1711</v>
      </c>
      <c r="G10203">
        <v>102.57</v>
      </c>
      <c r="H10203">
        <v>250410</v>
      </c>
      <c r="I10203">
        <v>4440</v>
      </c>
      <c r="J10203" t="s">
        <v>346</v>
      </c>
      <c r="K10203">
        <v>102.57</v>
      </c>
      <c r="L10203">
        <v>20.84</v>
      </c>
      <c r="M10203">
        <v>16951</v>
      </c>
      <c r="N10203" t="s">
        <v>488</v>
      </c>
      <c r="O10203">
        <v>250423</v>
      </c>
      <c r="P10203">
        <v>81.73</v>
      </c>
    </row>
    <row r="10204" spans="1:16" x14ac:dyDescent="0.25">
      <c r="A10204" t="s">
        <v>3296</v>
      </c>
      <c r="B10204" t="s">
        <v>2931</v>
      </c>
      <c r="C10204">
        <v>6648</v>
      </c>
      <c r="D10204" t="str">
        <f>"2079        "</f>
        <v xml:space="preserve">2079        </v>
      </c>
      <c r="E10204" t="s">
        <v>1710</v>
      </c>
      <c r="F10204" t="s">
        <v>1711</v>
      </c>
      <c r="G10204">
        <v>102.57</v>
      </c>
      <c r="H10204">
        <v>250430</v>
      </c>
      <c r="I10204">
        <v>4440</v>
      </c>
      <c r="J10204" t="s">
        <v>346</v>
      </c>
      <c r="K10204">
        <v>102.57</v>
      </c>
      <c r="L10204">
        <v>20.84</v>
      </c>
      <c r="M10204">
        <v>16952</v>
      </c>
      <c r="N10204" t="s">
        <v>1348</v>
      </c>
      <c r="O10204">
        <v>250514</v>
      </c>
      <c r="P10204">
        <v>81.73</v>
      </c>
    </row>
    <row r="10205" spans="1:16" x14ac:dyDescent="0.25">
      <c r="A10205" t="s">
        <v>3296</v>
      </c>
      <c r="B10205" t="s">
        <v>2931</v>
      </c>
      <c r="C10205">
        <v>8232</v>
      </c>
      <c r="D10205" t="str">
        <f>"2080        "</f>
        <v xml:space="preserve">2080        </v>
      </c>
      <c r="E10205" t="s">
        <v>1710</v>
      </c>
      <c r="F10205" t="s">
        <v>1711</v>
      </c>
      <c r="G10205">
        <v>205.14</v>
      </c>
      <c r="H10205">
        <v>250531</v>
      </c>
      <c r="I10205">
        <v>4440</v>
      </c>
      <c r="J10205" t="s">
        <v>346</v>
      </c>
      <c r="K10205">
        <v>205.14</v>
      </c>
      <c r="L10205">
        <v>41.68</v>
      </c>
      <c r="M10205">
        <v>16951</v>
      </c>
      <c r="N10205" t="s">
        <v>488</v>
      </c>
      <c r="O10205">
        <v>250612</v>
      </c>
      <c r="P10205">
        <v>163.46</v>
      </c>
    </row>
    <row r="10206" spans="1:16" x14ac:dyDescent="0.25">
      <c r="A10206" t="s">
        <v>3296</v>
      </c>
      <c r="B10206" t="s">
        <v>2931</v>
      </c>
      <c r="C10206">
        <v>13238</v>
      </c>
      <c r="D10206" t="str">
        <f>"8088        "</f>
        <v xml:space="preserve">8088        </v>
      </c>
      <c r="E10206" t="s">
        <v>1710</v>
      </c>
      <c r="F10206" t="s">
        <v>1711</v>
      </c>
      <c r="G10206">
        <v>254.15</v>
      </c>
      <c r="H10206">
        <v>250929</v>
      </c>
      <c r="I10206">
        <v>4440</v>
      </c>
      <c r="J10206" t="s">
        <v>346</v>
      </c>
      <c r="K10206">
        <v>254.15</v>
      </c>
      <c r="L10206">
        <v>51.64</v>
      </c>
      <c r="M10206">
        <v>13901</v>
      </c>
      <c r="N10206" t="s">
        <v>116</v>
      </c>
      <c r="O10206">
        <v>251007</v>
      </c>
      <c r="P10206">
        <v>202.51</v>
      </c>
    </row>
    <row r="10207" spans="1:16" x14ac:dyDescent="0.25">
      <c r="A10207" t="s">
        <v>3296</v>
      </c>
      <c r="B10207" t="s">
        <v>2931</v>
      </c>
      <c r="C10207">
        <v>15745</v>
      </c>
      <c r="D10207" t="str">
        <f>"8089        "</f>
        <v xml:space="preserve">8089        </v>
      </c>
      <c r="E10207" t="s">
        <v>1710</v>
      </c>
      <c r="F10207" t="s">
        <v>1711</v>
      </c>
      <c r="G10207">
        <v>762.45</v>
      </c>
      <c r="H10207">
        <v>251125</v>
      </c>
      <c r="I10207">
        <v>4440</v>
      </c>
      <c r="J10207" t="s">
        <v>346</v>
      </c>
      <c r="K10207">
        <v>762.45</v>
      </c>
      <c r="L10207">
        <v>154.91999999999999</v>
      </c>
      <c r="M10207">
        <v>13901</v>
      </c>
      <c r="N10207" t="s">
        <v>116</v>
      </c>
      <c r="O10207">
        <v>251126</v>
      </c>
      <c r="P10207">
        <v>607.53</v>
      </c>
    </row>
    <row r="10208" spans="1:16" x14ac:dyDescent="0.25">
      <c r="A10208" t="s">
        <v>3296</v>
      </c>
      <c r="B10208" t="s">
        <v>2931</v>
      </c>
      <c r="C10208">
        <v>15749</v>
      </c>
      <c r="D10208" t="str">
        <f>"8090        "</f>
        <v xml:space="preserve">8090        </v>
      </c>
      <c r="E10208" t="s">
        <v>1710</v>
      </c>
      <c r="F10208" t="s">
        <v>1711</v>
      </c>
      <c r="G10208">
        <v>254.15</v>
      </c>
      <c r="H10208">
        <v>251125</v>
      </c>
      <c r="I10208">
        <v>4440</v>
      </c>
      <c r="J10208" t="s">
        <v>346</v>
      </c>
      <c r="K10208">
        <v>254.15</v>
      </c>
      <c r="L10208">
        <v>51.64</v>
      </c>
      <c r="M10208">
        <v>13901</v>
      </c>
      <c r="N10208" t="s">
        <v>116</v>
      </c>
      <c r="O10208">
        <v>251126</v>
      </c>
      <c r="P10208">
        <v>202.51</v>
      </c>
    </row>
    <row r="10209" spans="1:16" x14ac:dyDescent="0.25">
      <c r="A10209" t="s">
        <v>3296</v>
      </c>
      <c r="B10209" t="s">
        <v>2931</v>
      </c>
      <c r="C10209">
        <v>96</v>
      </c>
      <c r="D10209" t="str">
        <f>"2041        "</f>
        <v xml:space="preserve">2041        </v>
      </c>
      <c r="E10209" t="s">
        <v>2965</v>
      </c>
      <c r="F10209" t="s">
        <v>2966</v>
      </c>
      <c r="G10209">
        <v>1060</v>
      </c>
      <c r="H10209">
        <v>250101</v>
      </c>
      <c r="I10209">
        <v>4460</v>
      </c>
      <c r="J10209" t="s">
        <v>2952</v>
      </c>
      <c r="K10209">
        <v>1060</v>
      </c>
      <c r="L10209">
        <v>0</v>
      </c>
      <c r="M10209">
        <v>13802</v>
      </c>
      <c r="N10209" t="s">
        <v>34</v>
      </c>
      <c r="O10209">
        <v>250107</v>
      </c>
      <c r="P10209">
        <v>1060</v>
      </c>
    </row>
    <row r="10210" spans="1:16" x14ac:dyDescent="0.25">
      <c r="A10210" t="s">
        <v>3296</v>
      </c>
      <c r="B10210" t="s">
        <v>2931</v>
      </c>
      <c r="C10210">
        <v>18537</v>
      </c>
      <c r="D10210" t="str">
        <f>"15063       "</f>
        <v xml:space="preserve">15063       </v>
      </c>
      <c r="E10210" t="s">
        <v>2806</v>
      </c>
      <c r="F10210" t="s">
        <v>2807</v>
      </c>
      <c r="G10210">
        <v>1676.3</v>
      </c>
      <c r="H10210">
        <v>251231</v>
      </c>
      <c r="I10210">
        <v>4400</v>
      </c>
      <c r="J10210" t="s">
        <v>162</v>
      </c>
      <c r="K10210">
        <v>1676.3</v>
      </c>
      <c r="L10210">
        <v>340.6</v>
      </c>
      <c r="M10210">
        <v>54222</v>
      </c>
      <c r="N10210" t="s">
        <v>48</v>
      </c>
      <c r="O10210">
        <v>260115</v>
      </c>
      <c r="P10210">
        <v>1335.7</v>
      </c>
    </row>
    <row r="10211" spans="1:16" x14ac:dyDescent="0.25">
      <c r="A10211" t="s">
        <v>3296</v>
      </c>
      <c r="B10211" t="s">
        <v>2931</v>
      </c>
      <c r="C10211">
        <v>8346</v>
      </c>
      <c r="D10211" t="str">
        <f>"8031        "</f>
        <v xml:space="preserve">8031        </v>
      </c>
      <c r="E10211" t="s">
        <v>2026</v>
      </c>
      <c r="F10211" t="s">
        <v>2027</v>
      </c>
      <c r="G10211">
        <v>136.80000000000001</v>
      </c>
      <c r="H10211">
        <v>250519</v>
      </c>
      <c r="I10211">
        <v>4600</v>
      </c>
      <c r="J10211" t="s">
        <v>278</v>
      </c>
      <c r="K10211">
        <v>136.80000000000001</v>
      </c>
      <c r="L10211">
        <v>27.8</v>
      </c>
      <c r="M10211">
        <v>59501</v>
      </c>
      <c r="N10211" t="s">
        <v>62</v>
      </c>
      <c r="O10211">
        <v>250613</v>
      </c>
      <c r="P10211">
        <v>109</v>
      </c>
    </row>
    <row r="10212" spans="1:16" x14ac:dyDescent="0.25">
      <c r="A10212" t="s">
        <v>3296</v>
      </c>
      <c r="B10212" t="s">
        <v>2931</v>
      </c>
      <c r="C10212">
        <v>12822</v>
      </c>
      <c r="D10212" t="str">
        <f>"3005030434  "</f>
        <v xml:space="preserve">3005030434  </v>
      </c>
      <c r="E10212" t="s">
        <v>2315</v>
      </c>
      <c r="F10212" t="s">
        <v>2316</v>
      </c>
      <c r="G10212">
        <v>6</v>
      </c>
      <c r="H10212">
        <v>250925</v>
      </c>
      <c r="I10212">
        <v>4347</v>
      </c>
      <c r="J10212" t="s">
        <v>328</v>
      </c>
      <c r="K10212">
        <v>157</v>
      </c>
      <c r="L10212">
        <v>1.22</v>
      </c>
      <c r="M10212">
        <v>17131</v>
      </c>
      <c r="N10212" t="s">
        <v>154</v>
      </c>
      <c r="O10212">
        <v>250930</v>
      </c>
      <c r="P10212">
        <v>4.78</v>
      </c>
    </row>
    <row r="10213" spans="1:16" x14ac:dyDescent="0.25">
      <c r="A10213" t="s">
        <v>3296</v>
      </c>
      <c r="B10213" t="s">
        <v>2931</v>
      </c>
      <c r="C10213">
        <v>12465</v>
      </c>
      <c r="D10213" t="str">
        <f>"3005004848  "</f>
        <v xml:space="preserve">3005004848  </v>
      </c>
      <c r="E10213" t="s">
        <v>2315</v>
      </c>
      <c r="F10213" t="s">
        <v>2316</v>
      </c>
      <c r="G10213">
        <v>6.8</v>
      </c>
      <c r="H10213">
        <v>250905</v>
      </c>
      <c r="I10213">
        <v>4410</v>
      </c>
      <c r="J10213" t="s">
        <v>165</v>
      </c>
      <c r="K10213">
        <v>68.5</v>
      </c>
      <c r="L10213">
        <v>0</v>
      </c>
      <c r="M10213">
        <v>11905</v>
      </c>
      <c r="N10213" t="s">
        <v>643</v>
      </c>
      <c r="O10213">
        <v>250924</v>
      </c>
      <c r="P10213">
        <v>6.8</v>
      </c>
    </row>
    <row r="10214" spans="1:16" x14ac:dyDescent="0.25">
      <c r="A10214" t="s">
        <v>3296</v>
      </c>
      <c r="B10214" t="s">
        <v>2931</v>
      </c>
      <c r="C10214">
        <v>12465</v>
      </c>
      <c r="D10214" t="str">
        <f>"3005004848  "</f>
        <v xml:space="preserve">3005004848  </v>
      </c>
      <c r="E10214" t="s">
        <v>2315</v>
      </c>
      <c r="F10214" t="s">
        <v>2316</v>
      </c>
      <c r="G10214">
        <v>61.7</v>
      </c>
      <c r="H10214">
        <v>250905</v>
      </c>
      <c r="I10214">
        <v>4410</v>
      </c>
      <c r="J10214" t="s">
        <v>165</v>
      </c>
      <c r="K10214">
        <v>68.5</v>
      </c>
      <c r="L10214">
        <v>7.58</v>
      </c>
      <c r="M10214">
        <v>11905</v>
      </c>
      <c r="N10214" t="s">
        <v>643</v>
      </c>
      <c r="O10214">
        <v>250924</v>
      </c>
      <c r="P10214">
        <v>54.12</v>
      </c>
    </row>
    <row r="10215" spans="1:16" x14ac:dyDescent="0.25">
      <c r="A10215" t="s">
        <v>3296</v>
      </c>
      <c r="B10215" t="s">
        <v>2931</v>
      </c>
      <c r="C10215">
        <v>12822</v>
      </c>
      <c r="D10215" t="str">
        <f>"3005030434  "</f>
        <v xml:space="preserve">3005030434  </v>
      </c>
      <c r="E10215" t="s">
        <v>2315</v>
      </c>
      <c r="F10215" t="s">
        <v>2316</v>
      </c>
      <c r="G10215">
        <v>6.8</v>
      </c>
      <c r="H10215">
        <v>250925</v>
      </c>
      <c r="I10215">
        <v>4410</v>
      </c>
      <c r="J10215" t="s">
        <v>165</v>
      </c>
      <c r="K10215">
        <v>157</v>
      </c>
      <c r="L10215">
        <v>0</v>
      </c>
      <c r="M10215">
        <v>17131</v>
      </c>
      <c r="N10215" t="s">
        <v>154</v>
      </c>
      <c r="O10215">
        <v>250930</v>
      </c>
      <c r="P10215">
        <v>6.8</v>
      </c>
    </row>
    <row r="10216" spans="1:16" x14ac:dyDescent="0.25">
      <c r="A10216" t="s">
        <v>3296</v>
      </c>
      <c r="B10216" t="s">
        <v>2931</v>
      </c>
      <c r="C10216">
        <v>12822</v>
      </c>
      <c r="D10216" t="str">
        <f>"3005030434  "</f>
        <v xml:space="preserve">3005030434  </v>
      </c>
      <c r="E10216" t="s">
        <v>2315</v>
      </c>
      <c r="F10216" t="s">
        <v>2316</v>
      </c>
      <c r="G10216">
        <v>144.19999999999999</v>
      </c>
      <c r="H10216">
        <v>250925</v>
      </c>
      <c r="I10216">
        <v>4410</v>
      </c>
      <c r="J10216" t="s">
        <v>165</v>
      </c>
      <c r="K10216">
        <v>157</v>
      </c>
      <c r="L10216">
        <v>17.71</v>
      </c>
      <c r="M10216">
        <v>17131</v>
      </c>
      <c r="N10216" t="s">
        <v>154</v>
      </c>
      <c r="O10216">
        <v>250930</v>
      </c>
      <c r="P10216">
        <v>126.49</v>
      </c>
    </row>
    <row r="10217" spans="1:16" x14ac:dyDescent="0.25">
      <c r="A10217" t="s">
        <v>3296</v>
      </c>
      <c r="B10217" t="s">
        <v>2931</v>
      </c>
      <c r="C10217">
        <v>12969</v>
      </c>
      <c r="D10217" t="str">
        <f>"3005030436  "</f>
        <v xml:space="preserve">3005030436  </v>
      </c>
      <c r="E10217" t="s">
        <v>2315</v>
      </c>
      <c r="F10217" t="s">
        <v>2316</v>
      </c>
      <c r="G10217">
        <v>13.6</v>
      </c>
      <c r="H10217">
        <v>250925</v>
      </c>
      <c r="I10217">
        <v>4410</v>
      </c>
      <c r="J10217" t="s">
        <v>165</v>
      </c>
      <c r="K10217">
        <v>159.91999999999999</v>
      </c>
      <c r="L10217">
        <v>0</v>
      </c>
      <c r="M10217">
        <v>14972</v>
      </c>
      <c r="N10217" t="s">
        <v>82</v>
      </c>
      <c r="O10217">
        <v>251003</v>
      </c>
      <c r="P10217">
        <v>13.6</v>
      </c>
    </row>
    <row r="10218" spans="1:16" x14ac:dyDescent="0.25">
      <c r="A10218" t="s">
        <v>3296</v>
      </c>
      <c r="B10218" t="s">
        <v>2931</v>
      </c>
      <c r="C10218">
        <v>12969</v>
      </c>
      <c r="D10218" t="str">
        <f>"3005030436  "</f>
        <v xml:space="preserve">3005030436  </v>
      </c>
      <c r="E10218" t="s">
        <v>2315</v>
      </c>
      <c r="F10218" t="s">
        <v>2316</v>
      </c>
      <c r="G10218">
        <v>140.32</v>
      </c>
      <c r="H10218">
        <v>250925</v>
      </c>
      <c r="I10218">
        <v>4410</v>
      </c>
      <c r="J10218" t="s">
        <v>165</v>
      </c>
      <c r="K10218">
        <v>159.91999999999999</v>
      </c>
      <c r="L10218">
        <v>17.23</v>
      </c>
      <c r="M10218">
        <v>14972</v>
      </c>
      <c r="N10218" t="s">
        <v>82</v>
      </c>
      <c r="O10218">
        <v>251003</v>
      </c>
      <c r="P10218">
        <v>123.09</v>
      </c>
    </row>
    <row r="10219" spans="1:16" x14ac:dyDescent="0.25">
      <c r="A10219" t="s">
        <v>3296</v>
      </c>
      <c r="B10219" t="s">
        <v>2931</v>
      </c>
      <c r="C10219">
        <v>12062</v>
      </c>
      <c r="D10219" t="str">
        <f>"3005004846  "</f>
        <v xml:space="preserve">3005004846  </v>
      </c>
      <c r="E10219" t="s">
        <v>2315</v>
      </c>
      <c r="F10219" t="s">
        <v>2316</v>
      </c>
      <c r="G10219">
        <v>6.8</v>
      </c>
      <c r="H10219">
        <v>250905</v>
      </c>
      <c r="I10219">
        <v>4412</v>
      </c>
      <c r="J10219" t="s">
        <v>884</v>
      </c>
      <c r="K10219">
        <v>123</v>
      </c>
      <c r="L10219">
        <v>0</v>
      </c>
      <c r="M10219">
        <v>11905</v>
      </c>
      <c r="N10219" t="s">
        <v>643</v>
      </c>
      <c r="O10219">
        <v>250916</v>
      </c>
      <c r="P10219">
        <v>6.8</v>
      </c>
    </row>
    <row r="10220" spans="1:16" x14ac:dyDescent="0.25">
      <c r="A10220" t="s">
        <v>3296</v>
      </c>
      <c r="B10220" t="s">
        <v>2931</v>
      </c>
      <c r="C10220">
        <v>12062</v>
      </c>
      <c r="D10220" t="str">
        <f>"3005004846  "</f>
        <v xml:space="preserve">3005004846  </v>
      </c>
      <c r="E10220" t="s">
        <v>2315</v>
      </c>
      <c r="F10220" t="s">
        <v>2316</v>
      </c>
      <c r="G10220">
        <v>110.2</v>
      </c>
      <c r="H10220">
        <v>250905</v>
      </c>
      <c r="I10220">
        <v>4412</v>
      </c>
      <c r="J10220" t="s">
        <v>884</v>
      </c>
      <c r="K10220">
        <v>123</v>
      </c>
      <c r="L10220">
        <v>13.53</v>
      </c>
      <c r="M10220">
        <v>11905</v>
      </c>
      <c r="N10220" t="s">
        <v>643</v>
      </c>
      <c r="O10220">
        <v>250916</v>
      </c>
      <c r="P10220">
        <v>96.67</v>
      </c>
    </row>
    <row r="10221" spans="1:16" x14ac:dyDescent="0.25">
      <c r="A10221" t="s">
        <v>3296</v>
      </c>
      <c r="B10221" t="s">
        <v>2931</v>
      </c>
      <c r="C10221">
        <v>12261</v>
      </c>
      <c r="D10221" t="str">
        <f>"3005004847  "</f>
        <v xml:space="preserve">3005004847  </v>
      </c>
      <c r="E10221" t="s">
        <v>2315</v>
      </c>
      <c r="F10221" t="s">
        <v>2316</v>
      </c>
      <c r="G10221">
        <v>6.8</v>
      </c>
      <c r="H10221">
        <v>250905</v>
      </c>
      <c r="I10221">
        <v>4412</v>
      </c>
      <c r="J10221" t="s">
        <v>884</v>
      </c>
      <c r="K10221">
        <v>68.5</v>
      </c>
      <c r="L10221">
        <v>0</v>
      </c>
      <c r="M10221">
        <v>11905</v>
      </c>
      <c r="N10221" t="s">
        <v>643</v>
      </c>
      <c r="O10221">
        <v>250918</v>
      </c>
      <c r="P10221">
        <v>6.8</v>
      </c>
    </row>
    <row r="10222" spans="1:16" x14ac:dyDescent="0.25">
      <c r="A10222" t="s">
        <v>3296</v>
      </c>
      <c r="B10222" t="s">
        <v>2931</v>
      </c>
      <c r="C10222">
        <v>12261</v>
      </c>
      <c r="D10222" t="str">
        <f>"3005004847  "</f>
        <v xml:space="preserve">3005004847  </v>
      </c>
      <c r="E10222" t="s">
        <v>2315</v>
      </c>
      <c r="F10222" t="s">
        <v>2316</v>
      </c>
      <c r="G10222">
        <v>61.7</v>
      </c>
      <c r="H10222">
        <v>250905</v>
      </c>
      <c r="I10222">
        <v>4412</v>
      </c>
      <c r="J10222" t="s">
        <v>884</v>
      </c>
      <c r="K10222">
        <v>68.5</v>
      </c>
      <c r="L10222">
        <v>7.58</v>
      </c>
      <c r="M10222">
        <v>11905</v>
      </c>
      <c r="N10222" t="s">
        <v>643</v>
      </c>
      <c r="O10222">
        <v>250918</v>
      </c>
      <c r="P10222">
        <v>54.12</v>
      </c>
    </row>
    <row r="10223" spans="1:16" x14ac:dyDescent="0.25">
      <c r="A10223" t="s">
        <v>3296</v>
      </c>
      <c r="B10223" t="s">
        <v>2931</v>
      </c>
      <c r="C10223">
        <v>13409</v>
      </c>
      <c r="D10223" t="str">
        <f>"3005030435  "</f>
        <v xml:space="preserve">3005030435  </v>
      </c>
      <c r="E10223" t="s">
        <v>2315</v>
      </c>
      <c r="F10223" t="s">
        <v>2316</v>
      </c>
      <c r="G10223">
        <v>6</v>
      </c>
      <c r="H10223">
        <v>250925</v>
      </c>
      <c r="I10223">
        <v>4412</v>
      </c>
      <c r="J10223" t="s">
        <v>884</v>
      </c>
      <c r="K10223">
        <v>177</v>
      </c>
      <c r="L10223">
        <v>1.22</v>
      </c>
      <c r="M10223">
        <v>44222</v>
      </c>
      <c r="N10223" t="s">
        <v>96</v>
      </c>
      <c r="O10223">
        <v>251009</v>
      </c>
      <c r="P10223">
        <v>4.78</v>
      </c>
    </row>
    <row r="10224" spans="1:16" x14ac:dyDescent="0.25">
      <c r="A10224" t="s">
        <v>3296</v>
      </c>
      <c r="B10224" t="s">
        <v>2931</v>
      </c>
      <c r="C10224">
        <v>13409</v>
      </c>
      <c r="D10224" t="str">
        <f>"3005030435  "</f>
        <v xml:space="preserve">3005030435  </v>
      </c>
      <c r="E10224" t="s">
        <v>2315</v>
      </c>
      <c r="F10224" t="s">
        <v>2316</v>
      </c>
      <c r="G10224">
        <v>13.6</v>
      </c>
      <c r="H10224">
        <v>250925</v>
      </c>
      <c r="I10224">
        <v>4412</v>
      </c>
      <c r="J10224" t="s">
        <v>884</v>
      </c>
      <c r="K10224">
        <v>177</v>
      </c>
      <c r="L10224">
        <v>0</v>
      </c>
      <c r="M10224">
        <v>44222</v>
      </c>
      <c r="N10224" t="s">
        <v>96</v>
      </c>
      <c r="O10224">
        <v>251009</v>
      </c>
      <c r="P10224">
        <v>13.6</v>
      </c>
    </row>
    <row r="10225" spans="1:16" x14ac:dyDescent="0.25">
      <c r="A10225" t="s">
        <v>3296</v>
      </c>
      <c r="B10225" t="s">
        <v>2931</v>
      </c>
      <c r="C10225">
        <v>13409</v>
      </c>
      <c r="D10225" t="str">
        <f>"3005030435  "</f>
        <v xml:space="preserve">3005030435  </v>
      </c>
      <c r="E10225" t="s">
        <v>2315</v>
      </c>
      <c r="F10225" t="s">
        <v>2316</v>
      </c>
      <c r="G10225">
        <v>157.4</v>
      </c>
      <c r="H10225">
        <v>250925</v>
      </c>
      <c r="I10225">
        <v>4412</v>
      </c>
      <c r="J10225" t="s">
        <v>884</v>
      </c>
      <c r="K10225">
        <v>177</v>
      </c>
      <c r="L10225">
        <v>19.329999999999998</v>
      </c>
      <c r="M10225">
        <v>44222</v>
      </c>
      <c r="N10225" t="s">
        <v>96</v>
      </c>
      <c r="O10225">
        <v>251009</v>
      </c>
      <c r="P10225">
        <v>138.07</v>
      </c>
    </row>
    <row r="10226" spans="1:16" x14ac:dyDescent="0.25">
      <c r="A10226" t="s">
        <v>3296</v>
      </c>
      <c r="B10226" t="s">
        <v>2931</v>
      </c>
      <c r="C10226">
        <v>12062</v>
      </c>
      <c r="D10226" t="str">
        <f>"3005004846  "</f>
        <v xml:space="preserve">3005004846  </v>
      </c>
      <c r="E10226" t="s">
        <v>2315</v>
      </c>
      <c r="F10226" t="s">
        <v>2316</v>
      </c>
      <c r="G10226">
        <v>6</v>
      </c>
      <c r="H10226">
        <v>250905</v>
      </c>
      <c r="I10226">
        <v>4470</v>
      </c>
      <c r="J10226" t="s">
        <v>203</v>
      </c>
      <c r="K10226">
        <v>123</v>
      </c>
      <c r="L10226">
        <v>1.22</v>
      </c>
      <c r="M10226">
        <v>11905</v>
      </c>
      <c r="N10226" t="s">
        <v>643</v>
      </c>
      <c r="O10226">
        <v>250916</v>
      </c>
      <c r="P10226">
        <v>4.78</v>
      </c>
    </row>
    <row r="10227" spans="1:16" x14ac:dyDescent="0.25">
      <c r="A10227" t="s">
        <v>3296</v>
      </c>
      <c r="B10227" t="s">
        <v>2931</v>
      </c>
      <c r="C10227">
        <v>12969</v>
      </c>
      <c r="D10227" t="str">
        <f>"3005030436  "</f>
        <v xml:space="preserve">3005030436  </v>
      </c>
      <c r="E10227" t="s">
        <v>2315</v>
      </c>
      <c r="F10227" t="s">
        <v>2316</v>
      </c>
      <c r="G10227">
        <v>6</v>
      </c>
      <c r="H10227">
        <v>250925</v>
      </c>
      <c r="I10227">
        <v>4470</v>
      </c>
      <c r="J10227" t="s">
        <v>203</v>
      </c>
      <c r="K10227">
        <v>159.91999999999999</v>
      </c>
      <c r="L10227">
        <v>1.22</v>
      </c>
      <c r="M10227">
        <v>14972</v>
      </c>
      <c r="N10227" t="s">
        <v>82</v>
      </c>
      <c r="O10227">
        <v>251003</v>
      </c>
      <c r="P10227">
        <v>4.78</v>
      </c>
    </row>
    <row r="10228" spans="1:16" x14ac:dyDescent="0.25">
      <c r="A10228" t="s">
        <v>3296</v>
      </c>
      <c r="B10228" t="s">
        <v>2931</v>
      </c>
      <c r="C10228">
        <v>1718</v>
      </c>
      <c r="D10228" t="str">
        <f>"40224       "</f>
        <v xml:space="preserve">40224       </v>
      </c>
      <c r="E10228" t="s">
        <v>1088</v>
      </c>
      <c r="F10228" t="s">
        <v>1089</v>
      </c>
      <c r="G10228">
        <v>142</v>
      </c>
      <c r="H10228">
        <v>250131</v>
      </c>
      <c r="I10228">
        <v>4400</v>
      </c>
      <c r="J10228" t="s">
        <v>162</v>
      </c>
      <c r="K10228">
        <v>142</v>
      </c>
      <c r="L10228">
        <v>28.85</v>
      </c>
      <c r="M10228">
        <v>17808</v>
      </c>
      <c r="N10228" t="s">
        <v>24</v>
      </c>
      <c r="O10228">
        <v>250213</v>
      </c>
      <c r="P10228">
        <v>113.15</v>
      </c>
    </row>
    <row r="10229" spans="1:16" x14ac:dyDescent="0.25">
      <c r="A10229" t="s">
        <v>3296</v>
      </c>
      <c r="B10229" t="s">
        <v>2931</v>
      </c>
      <c r="C10229">
        <v>2825</v>
      </c>
      <c r="D10229" t="str">
        <f>"40226       "</f>
        <v xml:space="preserve">40226       </v>
      </c>
      <c r="E10229" t="s">
        <v>1088</v>
      </c>
      <c r="F10229" t="s">
        <v>1089</v>
      </c>
      <c r="G10229">
        <v>56</v>
      </c>
      <c r="H10229">
        <v>250228</v>
      </c>
      <c r="I10229">
        <v>4400</v>
      </c>
      <c r="J10229" t="s">
        <v>162</v>
      </c>
      <c r="K10229">
        <v>56</v>
      </c>
      <c r="L10229">
        <v>11.38</v>
      </c>
      <c r="M10229">
        <v>17808</v>
      </c>
      <c r="N10229" t="s">
        <v>24</v>
      </c>
      <c r="O10229">
        <v>250312</v>
      </c>
      <c r="P10229">
        <v>44.62</v>
      </c>
    </row>
    <row r="10230" spans="1:16" x14ac:dyDescent="0.25">
      <c r="A10230" t="s">
        <v>3296</v>
      </c>
      <c r="B10230" t="s">
        <v>2931</v>
      </c>
      <c r="C10230">
        <v>7924</v>
      </c>
      <c r="D10230" t="str">
        <f>"40264       "</f>
        <v xml:space="preserve">40264       </v>
      </c>
      <c r="E10230" t="s">
        <v>1088</v>
      </c>
      <c r="F10230" t="s">
        <v>1089</v>
      </c>
      <c r="G10230">
        <v>56</v>
      </c>
      <c r="H10230">
        <v>250530</v>
      </c>
      <c r="I10230">
        <v>4470</v>
      </c>
      <c r="J10230" t="s">
        <v>203</v>
      </c>
      <c r="K10230">
        <v>56</v>
      </c>
      <c r="L10230">
        <v>11.38</v>
      </c>
      <c r="M10230">
        <v>17812</v>
      </c>
      <c r="N10230" t="s">
        <v>816</v>
      </c>
      <c r="O10230">
        <v>250610</v>
      </c>
      <c r="P10230">
        <v>44.62</v>
      </c>
    </row>
    <row r="10231" spans="1:16" x14ac:dyDescent="0.25">
      <c r="A10231" t="s">
        <v>3296</v>
      </c>
      <c r="B10231" t="s">
        <v>2931</v>
      </c>
      <c r="C10231">
        <v>9385</v>
      </c>
      <c r="D10231" t="str">
        <f>"40292       "</f>
        <v xml:space="preserve">40292       </v>
      </c>
      <c r="E10231" t="s">
        <v>1088</v>
      </c>
      <c r="F10231" t="s">
        <v>1089</v>
      </c>
      <c r="G10231">
        <v>40</v>
      </c>
      <c r="H10231">
        <v>250629</v>
      </c>
      <c r="I10231">
        <v>4470</v>
      </c>
      <c r="J10231" t="s">
        <v>203</v>
      </c>
      <c r="K10231">
        <v>80</v>
      </c>
      <c r="L10231">
        <v>8.1300000000000008</v>
      </c>
      <c r="M10231">
        <v>17131</v>
      </c>
      <c r="N10231" t="s">
        <v>154</v>
      </c>
      <c r="O10231">
        <v>250707</v>
      </c>
      <c r="P10231">
        <v>31.87</v>
      </c>
    </row>
    <row r="10232" spans="1:16" x14ac:dyDescent="0.25">
      <c r="A10232" t="s">
        <v>3296</v>
      </c>
      <c r="B10232" t="s">
        <v>2931</v>
      </c>
      <c r="C10232">
        <v>9385</v>
      </c>
      <c r="D10232" t="str">
        <f>"40292       "</f>
        <v xml:space="preserve">40292       </v>
      </c>
      <c r="E10232" t="s">
        <v>1088</v>
      </c>
      <c r="F10232" t="s">
        <v>1089</v>
      </c>
      <c r="G10232">
        <v>40</v>
      </c>
      <c r="H10232">
        <v>250629</v>
      </c>
      <c r="I10232">
        <v>4470</v>
      </c>
      <c r="J10232" t="s">
        <v>203</v>
      </c>
      <c r="K10232">
        <v>80</v>
      </c>
      <c r="L10232">
        <v>8.1300000000000008</v>
      </c>
      <c r="M10232">
        <v>17711</v>
      </c>
      <c r="N10232" t="s">
        <v>155</v>
      </c>
      <c r="O10232">
        <v>250707</v>
      </c>
      <c r="P10232">
        <v>31.87</v>
      </c>
    </row>
    <row r="10233" spans="1:16" x14ac:dyDescent="0.25">
      <c r="A10233" t="s">
        <v>3296</v>
      </c>
      <c r="B10233" t="s">
        <v>2931</v>
      </c>
      <c r="C10233">
        <v>14537</v>
      </c>
      <c r="D10233" t="str">
        <f>"40358       "</f>
        <v xml:space="preserve">40358       </v>
      </c>
      <c r="E10233" t="s">
        <v>1088</v>
      </c>
      <c r="F10233" t="s">
        <v>1089</v>
      </c>
      <c r="G10233">
        <v>56</v>
      </c>
      <c r="H10233">
        <v>251031</v>
      </c>
      <c r="I10233">
        <v>4470</v>
      </c>
      <c r="J10233" t="s">
        <v>203</v>
      </c>
      <c r="K10233">
        <v>56</v>
      </c>
      <c r="L10233">
        <v>11.38</v>
      </c>
      <c r="M10233">
        <v>17711</v>
      </c>
      <c r="N10233" t="s">
        <v>155</v>
      </c>
      <c r="O10233">
        <v>251104</v>
      </c>
      <c r="P10233">
        <v>44.62</v>
      </c>
    </row>
    <row r="10234" spans="1:16" x14ac:dyDescent="0.25">
      <c r="A10234" t="s">
        <v>3296</v>
      </c>
      <c r="B10234" t="s">
        <v>2931</v>
      </c>
      <c r="C10234">
        <v>16080</v>
      </c>
      <c r="D10234" t="str">
        <f>"40373       "</f>
        <v xml:space="preserve">40373       </v>
      </c>
      <c r="E10234" t="s">
        <v>1088</v>
      </c>
      <c r="F10234" t="s">
        <v>1089</v>
      </c>
      <c r="G10234">
        <v>55</v>
      </c>
      <c r="H10234">
        <v>251130</v>
      </c>
      <c r="I10234">
        <v>4470</v>
      </c>
      <c r="J10234" t="s">
        <v>203</v>
      </c>
      <c r="K10234">
        <v>110</v>
      </c>
      <c r="L10234">
        <v>11.18</v>
      </c>
      <c r="M10234">
        <v>17131</v>
      </c>
      <c r="N10234" t="s">
        <v>154</v>
      </c>
      <c r="O10234">
        <v>251203</v>
      </c>
      <c r="P10234">
        <v>43.82</v>
      </c>
    </row>
    <row r="10235" spans="1:16" x14ac:dyDescent="0.25">
      <c r="A10235" t="s">
        <v>3296</v>
      </c>
      <c r="B10235" t="s">
        <v>2931</v>
      </c>
      <c r="C10235">
        <v>16080</v>
      </c>
      <c r="D10235" t="str">
        <f>"40373       "</f>
        <v xml:space="preserve">40373       </v>
      </c>
      <c r="E10235" t="s">
        <v>1088</v>
      </c>
      <c r="F10235" t="s">
        <v>1089</v>
      </c>
      <c r="G10235">
        <v>55</v>
      </c>
      <c r="H10235">
        <v>251130</v>
      </c>
      <c r="I10235">
        <v>4470</v>
      </c>
      <c r="J10235" t="s">
        <v>203</v>
      </c>
      <c r="K10235">
        <v>110</v>
      </c>
      <c r="L10235">
        <v>11.18</v>
      </c>
      <c r="M10235">
        <v>17711</v>
      </c>
      <c r="N10235" t="s">
        <v>155</v>
      </c>
      <c r="O10235">
        <v>251203</v>
      </c>
      <c r="P10235">
        <v>43.82</v>
      </c>
    </row>
    <row r="10236" spans="1:16" x14ac:dyDescent="0.25">
      <c r="A10236" t="s">
        <v>3296</v>
      </c>
      <c r="B10236" t="s">
        <v>2931</v>
      </c>
      <c r="C10236">
        <v>17972</v>
      </c>
      <c r="D10236" t="str">
        <f>"40380       "</f>
        <v xml:space="preserve">40380       </v>
      </c>
      <c r="E10236" t="s">
        <v>1088</v>
      </c>
      <c r="F10236" t="s">
        <v>1089</v>
      </c>
      <c r="G10236">
        <v>40</v>
      </c>
      <c r="H10236">
        <v>251231</v>
      </c>
      <c r="I10236">
        <v>4470</v>
      </c>
      <c r="J10236" t="s">
        <v>203</v>
      </c>
      <c r="K10236">
        <v>80</v>
      </c>
      <c r="L10236">
        <v>8.1300000000000008</v>
      </c>
      <c r="M10236">
        <v>17131</v>
      </c>
      <c r="N10236" t="s">
        <v>154</v>
      </c>
      <c r="O10236">
        <v>260107</v>
      </c>
      <c r="P10236">
        <v>31.87</v>
      </c>
    </row>
    <row r="10237" spans="1:16" x14ac:dyDescent="0.25">
      <c r="A10237" t="s">
        <v>3296</v>
      </c>
      <c r="B10237" t="s">
        <v>2931</v>
      </c>
      <c r="C10237">
        <v>17972</v>
      </c>
      <c r="D10237" t="str">
        <f>"40380       "</f>
        <v xml:space="preserve">40380       </v>
      </c>
      <c r="E10237" t="s">
        <v>1088</v>
      </c>
      <c r="F10237" t="s">
        <v>1089</v>
      </c>
      <c r="G10237">
        <v>40</v>
      </c>
      <c r="H10237">
        <v>251231</v>
      </c>
      <c r="I10237">
        <v>4470</v>
      </c>
      <c r="J10237" t="s">
        <v>203</v>
      </c>
      <c r="K10237">
        <v>80</v>
      </c>
      <c r="L10237">
        <v>8.1300000000000008</v>
      </c>
      <c r="M10237">
        <v>17711</v>
      </c>
      <c r="N10237" t="s">
        <v>155</v>
      </c>
      <c r="O10237">
        <v>260107</v>
      </c>
      <c r="P10237">
        <v>31.87</v>
      </c>
    </row>
    <row r="10238" spans="1:16" x14ac:dyDescent="0.25">
      <c r="A10238" t="s">
        <v>3296</v>
      </c>
      <c r="B10238" t="s">
        <v>2931</v>
      </c>
      <c r="C10238">
        <v>8828</v>
      </c>
      <c r="D10238" t="str">
        <f>"104675      "</f>
        <v xml:space="preserve">104675      </v>
      </c>
      <c r="E10238" t="s">
        <v>2061</v>
      </c>
      <c r="F10238" t="s">
        <v>2062</v>
      </c>
      <c r="G10238">
        <v>46.44</v>
      </c>
      <c r="H10238">
        <v>250613</v>
      </c>
      <c r="I10238">
        <v>4600</v>
      </c>
      <c r="J10238" t="s">
        <v>278</v>
      </c>
      <c r="K10238">
        <v>46.44</v>
      </c>
      <c r="L10238">
        <v>9.44</v>
      </c>
      <c r="M10238">
        <v>67522</v>
      </c>
      <c r="N10238" t="s">
        <v>121</v>
      </c>
      <c r="O10238">
        <v>250618</v>
      </c>
      <c r="P10238">
        <v>37</v>
      </c>
    </row>
    <row r="10239" spans="1:16" x14ac:dyDescent="0.25">
      <c r="A10239" t="s">
        <v>3296</v>
      </c>
      <c r="B10239" t="s">
        <v>2931</v>
      </c>
      <c r="C10239">
        <v>9196</v>
      </c>
      <c r="D10239" t="str">
        <f>"7893038978  "</f>
        <v xml:space="preserve">7893038978  </v>
      </c>
      <c r="E10239" t="s">
        <v>2007</v>
      </c>
      <c r="F10239" t="s">
        <v>2008</v>
      </c>
      <c r="G10239">
        <v>858.84</v>
      </c>
      <c r="H10239">
        <v>250624</v>
      </c>
      <c r="I10239">
        <v>4347</v>
      </c>
      <c r="J10239" t="s">
        <v>328</v>
      </c>
      <c r="K10239">
        <v>858.84</v>
      </c>
      <c r="L10239">
        <v>174.51</v>
      </c>
      <c r="M10239">
        <v>13940</v>
      </c>
      <c r="N10239" t="s">
        <v>14</v>
      </c>
      <c r="O10239">
        <v>250627</v>
      </c>
      <c r="P10239">
        <v>684.33</v>
      </c>
    </row>
    <row r="10240" spans="1:16" x14ac:dyDescent="0.25">
      <c r="A10240" t="s">
        <v>3296</v>
      </c>
      <c r="B10240" t="s">
        <v>2931</v>
      </c>
      <c r="C10240">
        <v>17891</v>
      </c>
      <c r="D10240" t="str">
        <f>"7893039776  "</f>
        <v xml:space="preserve">7893039776  </v>
      </c>
      <c r="E10240" t="s">
        <v>2007</v>
      </c>
      <c r="F10240" t="s">
        <v>2008</v>
      </c>
      <c r="G10240">
        <v>413.81</v>
      </c>
      <c r="H10240">
        <v>251219</v>
      </c>
      <c r="I10240">
        <v>4347</v>
      </c>
      <c r="J10240" t="s">
        <v>328</v>
      </c>
      <c r="K10240">
        <v>413.81</v>
      </c>
      <c r="L10240">
        <v>84.08</v>
      </c>
      <c r="M10240">
        <v>13940</v>
      </c>
      <c r="N10240" t="s">
        <v>14</v>
      </c>
      <c r="O10240">
        <v>260102</v>
      </c>
      <c r="P10240">
        <v>329.73</v>
      </c>
    </row>
    <row r="10241" spans="1:16" x14ac:dyDescent="0.25">
      <c r="A10241" t="s">
        <v>3296</v>
      </c>
      <c r="B10241" t="s">
        <v>2931</v>
      </c>
      <c r="C10241">
        <v>9256</v>
      </c>
      <c r="D10241" t="str">
        <f>"7893038954  "</f>
        <v xml:space="preserve">7893038954  </v>
      </c>
      <c r="E10241" t="s">
        <v>2007</v>
      </c>
      <c r="F10241" t="s">
        <v>2008</v>
      </c>
      <c r="G10241">
        <v>75.3</v>
      </c>
      <c r="H10241">
        <v>250624</v>
      </c>
      <c r="I10241">
        <v>4369</v>
      </c>
      <c r="J10241" t="s">
        <v>188</v>
      </c>
      <c r="K10241">
        <v>75.3</v>
      </c>
      <c r="L10241">
        <v>15.3</v>
      </c>
      <c r="M10241">
        <v>13940</v>
      </c>
      <c r="N10241" t="s">
        <v>14</v>
      </c>
      <c r="O10241">
        <v>250701</v>
      </c>
      <c r="P10241">
        <v>60</v>
      </c>
    </row>
    <row r="10242" spans="1:16" x14ac:dyDescent="0.25">
      <c r="A10242" t="s">
        <v>3296</v>
      </c>
      <c r="B10242" t="s">
        <v>2931</v>
      </c>
      <c r="C10242">
        <v>13432</v>
      </c>
      <c r="D10242" t="str">
        <f>"7893039366  "</f>
        <v xml:space="preserve">7893039366  </v>
      </c>
      <c r="E10242" t="s">
        <v>2007</v>
      </c>
      <c r="F10242" t="s">
        <v>2008</v>
      </c>
      <c r="G10242">
        <v>75.3</v>
      </c>
      <c r="H10242">
        <v>250922</v>
      </c>
      <c r="I10242">
        <v>4369</v>
      </c>
      <c r="J10242" t="s">
        <v>188</v>
      </c>
      <c r="K10242">
        <v>75.3</v>
      </c>
      <c r="L10242">
        <v>15.3</v>
      </c>
      <c r="M10242">
        <v>13940</v>
      </c>
      <c r="N10242" t="s">
        <v>14</v>
      </c>
      <c r="O10242">
        <v>251010</v>
      </c>
      <c r="P10242">
        <v>60</v>
      </c>
    </row>
    <row r="10243" spans="1:16" x14ac:dyDescent="0.25">
      <c r="A10243" t="s">
        <v>3296</v>
      </c>
      <c r="B10243" t="s">
        <v>2931</v>
      </c>
      <c r="C10243">
        <v>17890</v>
      </c>
      <c r="D10243" t="str">
        <f>"7893039699  "</f>
        <v xml:space="preserve">7893039699  </v>
      </c>
      <c r="E10243" t="s">
        <v>2007</v>
      </c>
      <c r="F10243" t="s">
        <v>2008</v>
      </c>
      <c r="G10243">
        <v>75.3</v>
      </c>
      <c r="H10243">
        <v>251219</v>
      </c>
      <c r="I10243">
        <v>4369</v>
      </c>
      <c r="J10243" t="s">
        <v>188</v>
      </c>
      <c r="K10243">
        <v>75.3</v>
      </c>
      <c r="L10243">
        <v>15.3</v>
      </c>
      <c r="M10243">
        <v>13940</v>
      </c>
      <c r="N10243" t="s">
        <v>14</v>
      </c>
      <c r="O10243">
        <v>260102</v>
      </c>
      <c r="P10243">
        <v>60</v>
      </c>
    </row>
    <row r="10244" spans="1:16" x14ac:dyDescent="0.25">
      <c r="A10244" t="s">
        <v>3296</v>
      </c>
      <c r="B10244" t="s">
        <v>2931</v>
      </c>
      <c r="C10244">
        <v>8010</v>
      </c>
      <c r="D10244" t="str">
        <f>"7893038890  "</f>
        <v xml:space="preserve">7893038890  </v>
      </c>
      <c r="E10244" t="s">
        <v>2007</v>
      </c>
      <c r="F10244" t="s">
        <v>2008</v>
      </c>
      <c r="G10244">
        <v>428.91</v>
      </c>
      <c r="H10244">
        <v>250531</v>
      </c>
      <c r="I10244">
        <v>4500</v>
      </c>
      <c r="J10244" t="s">
        <v>312</v>
      </c>
      <c r="K10244">
        <v>428.91</v>
      </c>
      <c r="L10244">
        <v>87.15</v>
      </c>
      <c r="M10244">
        <v>13940</v>
      </c>
      <c r="N10244" t="s">
        <v>14</v>
      </c>
      <c r="O10244">
        <v>250611</v>
      </c>
      <c r="P10244">
        <v>341.76</v>
      </c>
    </row>
    <row r="10245" spans="1:16" x14ac:dyDescent="0.25">
      <c r="A10245" t="s">
        <v>3296</v>
      </c>
      <c r="B10245" t="s">
        <v>2931</v>
      </c>
      <c r="C10245">
        <v>12692</v>
      </c>
      <c r="D10245" t="str">
        <f>"7893039413  "</f>
        <v xml:space="preserve">7893039413  </v>
      </c>
      <c r="E10245" t="s">
        <v>2007</v>
      </c>
      <c r="F10245" t="s">
        <v>2008</v>
      </c>
      <c r="G10245">
        <v>317.22000000000003</v>
      </c>
      <c r="H10245">
        <v>250922</v>
      </c>
      <c r="I10245">
        <v>4500</v>
      </c>
      <c r="J10245" t="s">
        <v>312</v>
      </c>
      <c r="K10245">
        <v>317.22000000000003</v>
      </c>
      <c r="L10245">
        <v>64.459999999999994</v>
      </c>
      <c r="M10245">
        <v>13901</v>
      </c>
      <c r="N10245" t="s">
        <v>116</v>
      </c>
      <c r="O10245">
        <v>250929</v>
      </c>
      <c r="P10245">
        <v>252.76</v>
      </c>
    </row>
    <row r="10246" spans="1:16" x14ac:dyDescent="0.25">
      <c r="A10246" t="s">
        <v>3296</v>
      </c>
      <c r="B10246" t="s">
        <v>2931</v>
      </c>
      <c r="C10246">
        <v>14464</v>
      </c>
      <c r="D10246" t="str">
        <f>"4094        "</f>
        <v xml:space="preserve">4094        </v>
      </c>
      <c r="E10246" t="s">
        <v>1943</v>
      </c>
      <c r="F10246" t="s">
        <v>1944</v>
      </c>
      <c r="G10246">
        <v>273.85000000000002</v>
      </c>
      <c r="H10246">
        <v>251024</v>
      </c>
      <c r="I10246">
        <v>4400</v>
      </c>
      <c r="J10246" t="s">
        <v>162</v>
      </c>
      <c r="K10246">
        <v>2489.54</v>
      </c>
      <c r="L10246">
        <v>55.64</v>
      </c>
      <c r="M10246">
        <v>13540</v>
      </c>
      <c r="N10246" t="s">
        <v>131</v>
      </c>
      <c r="O10246">
        <v>251103</v>
      </c>
      <c r="P10246">
        <v>218.21</v>
      </c>
    </row>
    <row r="10247" spans="1:16" x14ac:dyDescent="0.25">
      <c r="A10247" t="s">
        <v>3296</v>
      </c>
      <c r="B10247" t="s">
        <v>2931</v>
      </c>
      <c r="C10247">
        <v>14464</v>
      </c>
      <c r="D10247" t="str">
        <f>"4094        "</f>
        <v xml:space="preserve">4094        </v>
      </c>
      <c r="E10247" t="s">
        <v>1943</v>
      </c>
      <c r="F10247" t="s">
        <v>1944</v>
      </c>
      <c r="G10247">
        <v>2215.69</v>
      </c>
      <c r="H10247">
        <v>251024</v>
      </c>
      <c r="I10247">
        <v>4400</v>
      </c>
      <c r="J10247" t="s">
        <v>162</v>
      </c>
      <c r="K10247">
        <v>2489.54</v>
      </c>
      <c r="L10247">
        <v>450.2</v>
      </c>
      <c r="M10247">
        <v>17950</v>
      </c>
      <c r="N10247" t="s">
        <v>132</v>
      </c>
      <c r="O10247">
        <v>251103</v>
      </c>
      <c r="P10247">
        <v>1765.49</v>
      </c>
    </row>
    <row r="10248" spans="1:16" x14ac:dyDescent="0.25">
      <c r="A10248" t="s">
        <v>3296</v>
      </c>
      <c r="B10248" t="s">
        <v>2931</v>
      </c>
      <c r="C10248">
        <v>7304</v>
      </c>
      <c r="D10248" t="str">
        <f>"3961        "</f>
        <v xml:space="preserve">3961        </v>
      </c>
      <c r="E10248" t="s">
        <v>1943</v>
      </c>
      <c r="F10248" t="s">
        <v>1944</v>
      </c>
      <c r="G10248">
        <v>427.5</v>
      </c>
      <c r="H10248">
        <v>250519</v>
      </c>
      <c r="I10248">
        <v>4470</v>
      </c>
      <c r="J10248" t="s">
        <v>203</v>
      </c>
      <c r="K10248">
        <v>1519.57</v>
      </c>
      <c r="L10248">
        <v>86.86</v>
      </c>
      <c r="M10248">
        <v>17951</v>
      </c>
      <c r="N10248" t="s">
        <v>207</v>
      </c>
      <c r="O10248">
        <v>250603</v>
      </c>
      <c r="P10248">
        <v>340.64</v>
      </c>
    </row>
    <row r="10249" spans="1:16" x14ac:dyDescent="0.25">
      <c r="A10249" t="s">
        <v>3296</v>
      </c>
      <c r="B10249" t="s">
        <v>2931</v>
      </c>
      <c r="C10249">
        <v>16057</v>
      </c>
      <c r="D10249" t="str">
        <f>"4124        "</f>
        <v xml:space="preserve">4124        </v>
      </c>
      <c r="E10249" t="s">
        <v>1943</v>
      </c>
      <c r="F10249" t="s">
        <v>1944</v>
      </c>
      <c r="G10249">
        <v>1513.95</v>
      </c>
      <c r="H10249">
        <v>251125</v>
      </c>
      <c r="I10249">
        <v>4470</v>
      </c>
      <c r="J10249" t="s">
        <v>203</v>
      </c>
      <c r="K10249">
        <v>1991.45</v>
      </c>
      <c r="L10249">
        <v>307.62</v>
      </c>
      <c r="M10249">
        <v>17951</v>
      </c>
      <c r="N10249" t="s">
        <v>207</v>
      </c>
      <c r="O10249">
        <v>251203</v>
      </c>
      <c r="P10249">
        <v>1206.33</v>
      </c>
    </row>
    <row r="10250" spans="1:16" x14ac:dyDescent="0.25">
      <c r="A10250" t="s">
        <v>3296</v>
      </c>
      <c r="B10250" t="s">
        <v>2931</v>
      </c>
      <c r="C10250">
        <v>9644</v>
      </c>
      <c r="D10250" t="str">
        <f>"4007        "</f>
        <v xml:space="preserve">4007        </v>
      </c>
      <c r="E10250" t="s">
        <v>1943</v>
      </c>
      <c r="F10250" t="s">
        <v>1944</v>
      </c>
      <c r="G10250">
        <v>386.6</v>
      </c>
      <c r="H10250">
        <v>250710</v>
      </c>
      <c r="I10250">
        <v>4580</v>
      </c>
      <c r="J10250" t="s">
        <v>126</v>
      </c>
      <c r="K10250">
        <v>386.6</v>
      </c>
      <c r="L10250">
        <v>78.55</v>
      </c>
      <c r="M10250">
        <v>17521</v>
      </c>
      <c r="N10250" t="s">
        <v>136</v>
      </c>
      <c r="O10250">
        <v>250724</v>
      </c>
      <c r="P10250">
        <v>308.05</v>
      </c>
    </row>
    <row r="10251" spans="1:16" x14ac:dyDescent="0.25">
      <c r="A10251" t="s">
        <v>3296</v>
      </c>
      <c r="B10251" t="s">
        <v>2931</v>
      </c>
      <c r="C10251">
        <v>9645</v>
      </c>
      <c r="D10251" t="str">
        <f>"4024        "</f>
        <v xml:space="preserve">4024        </v>
      </c>
      <c r="E10251" t="s">
        <v>1943</v>
      </c>
      <c r="F10251" t="s">
        <v>1944</v>
      </c>
      <c r="G10251">
        <v>255.93</v>
      </c>
      <c r="H10251">
        <v>250710</v>
      </c>
      <c r="I10251">
        <v>4580</v>
      </c>
      <c r="J10251" t="s">
        <v>126</v>
      </c>
      <c r="K10251">
        <v>255.93</v>
      </c>
      <c r="L10251">
        <v>52</v>
      </c>
      <c r="M10251">
        <v>17527</v>
      </c>
      <c r="N10251" t="s">
        <v>142</v>
      </c>
      <c r="O10251">
        <v>250724</v>
      </c>
      <c r="P10251">
        <v>203.93</v>
      </c>
    </row>
    <row r="10252" spans="1:16" x14ac:dyDescent="0.25">
      <c r="A10252" t="s">
        <v>3296</v>
      </c>
      <c r="B10252" t="s">
        <v>2931</v>
      </c>
      <c r="C10252">
        <v>7304</v>
      </c>
      <c r="D10252" t="str">
        <f>"3961        "</f>
        <v xml:space="preserve">3961        </v>
      </c>
      <c r="E10252" t="s">
        <v>1943</v>
      </c>
      <c r="F10252" t="s">
        <v>1944</v>
      </c>
      <c r="G10252">
        <v>1092.07</v>
      </c>
      <c r="H10252">
        <v>250519</v>
      </c>
      <c r="I10252">
        <v>4600</v>
      </c>
      <c r="J10252" t="s">
        <v>278</v>
      </c>
      <c r="K10252">
        <v>1519.57</v>
      </c>
      <c r="L10252">
        <v>221.89</v>
      </c>
      <c r="M10252">
        <v>17951</v>
      </c>
      <c r="N10252" t="s">
        <v>207</v>
      </c>
      <c r="O10252">
        <v>250603</v>
      </c>
      <c r="P10252">
        <v>870.18</v>
      </c>
    </row>
    <row r="10253" spans="1:16" x14ac:dyDescent="0.25">
      <c r="A10253" t="s">
        <v>3296</v>
      </c>
      <c r="B10253" t="s">
        <v>2931</v>
      </c>
      <c r="C10253">
        <v>16057</v>
      </c>
      <c r="D10253" t="str">
        <f>"4124        "</f>
        <v xml:space="preserve">4124        </v>
      </c>
      <c r="E10253" t="s">
        <v>1943</v>
      </c>
      <c r="F10253" t="s">
        <v>1944</v>
      </c>
      <c r="G10253">
        <v>477.5</v>
      </c>
      <c r="H10253">
        <v>251125</v>
      </c>
      <c r="I10253">
        <v>4600</v>
      </c>
      <c r="J10253" t="s">
        <v>278</v>
      </c>
      <c r="K10253">
        <v>1991.45</v>
      </c>
      <c r="L10253">
        <v>97.02</v>
      </c>
      <c r="M10253">
        <v>17951</v>
      </c>
      <c r="N10253" t="s">
        <v>207</v>
      </c>
      <c r="O10253">
        <v>251203</v>
      </c>
      <c r="P10253">
        <v>380.48</v>
      </c>
    </row>
    <row r="10254" spans="1:16" x14ac:dyDescent="0.25">
      <c r="A10254" t="s">
        <v>3296</v>
      </c>
      <c r="B10254" t="s">
        <v>2931</v>
      </c>
      <c r="C10254">
        <v>10463</v>
      </c>
      <c r="D10254" t="str">
        <f>"120         "</f>
        <v xml:space="preserve">120         </v>
      </c>
      <c r="E10254" t="s">
        <v>2197</v>
      </c>
      <c r="F10254" t="s">
        <v>2198</v>
      </c>
      <c r="G10254">
        <v>136</v>
      </c>
      <c r="H10254">
        <v>250813</v>
      </c>
      <c r="I10254">
        <v>4400</v>
      </c>
      <c r="J10254" t="s">
        <v>162</v>
      </c>
      <c r="K10254">
        <v>136</v>
      </c>
      <c r="L10254">
        <v>27.63</v>
      </c>
      <c r="M10254">
        <v>17802</v>
      </c>
      <c r="N10254" t="s">
        <v>18</v>
      </c>
      <c r="O10254">
        <v>250820</v>
      </c>
      <c r="P10254">
        <v>108.37</v>
      </c>
    </row>
    <row r="10255" spans="1:16" x14ac:dyDescent="0.25">
      <c r="A10255" t="s">
        <v>3296</v>
      </c>
      <c r="B10255" t="s">
        <v>2931</v>
      </c>
      <c r="C10255">
        <v>3713</v>
      </c>
      <c r="D10255" t="str">
        <f>"60758       "</f>
        <v xml:space="preserve">60758       </v>
      </c>
      <c r="E10255" t="s">
        <v>1495</v>
      </c>
      <c r="F10255" t="s">
        <v>1496</v>
      </c>
      <c r="G10255">
        <v>105.42</v>
      </c>
      <c r="H10255">
        <v>250307</v>
      </c>
      <c r="I10255">
        <v>4573</v>
      </c>
      <c r="J10255" t="s">
        <v>646</v>
      </c>
      <c r="K10255">
        <v>3513.98</v>
      </c>
      <c r="L10255">
        <v>21.42</v>
      </c>
      <c r="M10255">
        <v>17739</v>
      </c>
      <c r="N10255" t="s">
        <v>928</v>
      </c>
      <c r="O10255">
        <v>250328</v>
      </c>
      <c r="P10255">
        <v>84</v>
      </c>
    </row>
    <row r="10256" spans="1:16" x14ac:dyDescent="0.25">
      <c r="A10256" t="s">
        <v>3296</v>
      </c>
      <c r="B10256" t="s">
        <v>2931</v>
      </c>
      <c r="C10256">
        <v>3713</v>
      </c>
      <c r="D10256" t="str">
        <f>"60758       "</f>
        <v xml:space="preserve">60758       </v>
      </c>
      <c r="E10256" t="s">
        <v>1495</v>
      </c>
      <c r="F10256" t="s">
        <v>1496</v>
      </c>
      <c r="G10256">
        <v>1159.6099999999999</v>
      </c>
      <c r="H10256">
        <v>250307</v>
      </c>
      <c r="I10256">
        <v>4573</v>
      </c>
      <c r="J10256" t="s">
        <v>646</v>
      </c>
      <c r="K10256">
        <v>3513.98</v>
      </c>
      <c r="L10256">
        <v>235.62</v>
      </c>
      <c r="M10256">
        <v>17912</v>
      </c>
      <c r="N10256" t="s">
        <v>505</v>
      </c>
      <c r="O10256">
        <v>250328</v>
      </c>
      <c r="P10256">
        <v>923.99</v>
      </c>
    </row>
    <row r="10257" spans="1:16" x14ac:dyDescent="0.25">
      <c r="A10257" t="s">
        <v>3296</v>
      </c>
      <c r="B10257" t="s">
        <v>2931</v>
      </c>
      <c r="C10257">
        <v>3713</v>
      </c>
      <c r="D10257" t="str">
        <f>"60758       "</f>
        <v xml:space="preserve">60758       </v>
      </c>
      <c r="E10257" t="s">
        <v>1495</v>
      </c>
      <c r="F10257" t="s">
        <v>1496</v>
      </c>
      <c r="G10257">
        <v>2248.9499999999998</v>
      </c>
      <c r="H10257">
        <v>250307</v>
      </c>
      <c r="I10257">
        <v>4573</v>
      </c>
      <c r="J10257" t="s">
        <v>646</v>
      </c>
      <c r="K10257">
        <v>3513.98</v>
      </c>
      <c r="L10257">
        <v>456.96</v>
      </c>
      <c r="M10257">
        <v>17952</v>
      </c>
      <c r="N10257" t="s">
        <v>157</v>
      </c>
      <c r="O10257">
        <v>250328</v>
      </c>
      <c r="P10257">
        <v>1791.99</v>
      </c>
    </row>
    <row r="10258" spans="1:16" x14ac:dyDescent="0.25">
      <c r="A10258" t="s">
        <v>3296</v>
      </c>
      <c r="B10258" t="s">
        <v>2931</v>
      </c>
      <c r="C10258">
        <v>8324</v>
      </c>
      <c r="D10258" t="str">
        <f>"61847       "</f>
        <v xml:space="preserve">61847       </v>
      </c>
      <c r="E10258" t="s">
        <v>1495</v>
      </c>
      <c r="F10258" t="s">
        <v>1496</v>
      </c>
      <c r="G10258">
        <v>3591.84</v>
      </c>
      <c r="H10258">
        <v>250604</v>
      </c>
      <c r="I10258">
        <v>4573</v>
      </c>
      <c r="J10258" t="s">
        <v>646</v>
      </c>
      <c r="K10258">
        <v>3591.84</v>
      </c>
      <c r="L10258">
        <v>729.82</v>
      </c>
      <c r="M10258">
        <v>17952</v>
      </c>
      <c r="N10258" t="s">
        <v>157</v>
      </c>
      <c r="O10258">
        <v>250612</v>
      </c>
      <c r="P10258">
        <v>2862.02</v>
      </c>
    </row>
    <row r="10259" spans="1:16" x14ac:dyDescent="0.25">
      <c r="A10259" t="s">
        <v>3296</v>
      </c>
      <c r="B10259" t="s">
        <v>2931</v>
      </c>
      <c r="C10259">
        <v>12463</v>
      </c>
      <c r="D10259" t="str">
        <f>"63055       "</f>
        <v xml:space="preserve">63055       </v>
      </c>
      <c r="E10259" t="s">
        <v>1495</v>
      </c>
      <c r="F10259" t="s">
        <v>1496</v>
      </c>
      <c r="G10259">
        <v>-156.19999999999999</v>
      </c>
      <c r="H10259">
        <v>250904</v>
      </c>
      <c r="I10259">
        <v>4573</v>
      </c>
      <c r="J10259" t="s">
        <v>646</v>
      </c>
      <c r="K10259">
        <v>-5206.5</v>
      </c>
      <c r="L10259">
        <v>-31.74</v>
      </c>
      <c r="M10259">
        <v>17739</v>
      </c>
      <c r="N10259" t="s">
        <v>928</v>
      </c>
      <c r="O10259">
        <v>250923</v>
      </c>
      <c r="P10259">
        <v>-124.46</v>
      </c>
    </row>
    <row r="10260" spans="1:16" x14ac:dyDescent="0.25">
      <c r="A10260" t="s">
        <v>3296</v>
      </c>
      <c r="B10260" t="s">
        <v>2931</v>
      </c>
      <c r="C10260">
        <v>12463</v>
      </c>
      <c r="D10260" t="str">
        <f>"63055       "</f>
        <v xml:space="preserve">63055       </v>
      </c>
      <c r="E10260" t="s">
        <v>1495</v>
      </c>
      <c r="F10260" t="s">
        <v>1496</v>
      </c>
      <c r="G10260">
        <v>-1718.15</v>
      </c>
      <c r="H10260">
        <v>250904</v>
      </c>
      <c r="I10260">
        <v>4573</v>
      </c>
      <c r="J10260" t="s">
        <v>646</v>
      </c>
      <c r="K10260">
        <v>-5206.5</v>
      </c>
      <c r="L10260">
        <v>-349.11</v>
      </c>
      <c r="M10260">
        <v>17912</v>
      </c>
      <c r="N10260" t="s">
        <v>505</v>
      </c>
      <c r="O10260">
        <v>250923</v>
      </c>
      <c r="P10260">
        <v>-1369.04</v>
      </c>
    </row>
    <row r="10261" spans="1:16" x14ac:dyDescent="0.25">
      <c r="A10261" t="s">
        <v>3296</v>
      </c>
      <c r="B10261" t="s">
        <v>2931</v>
      </c>
      <c r="C10261">
        <v>12463</v>
      </c>
      <c r="D10261" t="str">
        <f>"63055       "</f>
        <v xml:space="preserve">63055       </v>
      </c>
      <c r="E10261" t="s">
        <v>1495</v>
      </c>
      <c r="F10261" t="s">
        <v>1496</v>
      </c>
      <c r="G10261">
        <v>-3332.15</v>
      </c>
      <c r="H10261">
        <v>250904</v>
      </c>
      <c r="I10261">
        <v>4573</v>
      </c>
      <c r="J10261" t="s">
        <v>646</v>
      </c>
      <c r="K10261">
        <v>-5206.5</v>
      </c>
      <c r="L10261">
        <v>-677.05</v>
      </c>
      <c r="M10261">
        <v>17952</v>
      </c>
      <c r="N10261" t="s">
        <v>157</v>
      </c>
      <c r="O10261">
        <v>250923</v>
      </c>
      <c r="P10261">
        <v>-2655.1</v>
      </c>
    </row>
    <row r="10262" spans="1:16" x14ac:dyDescent="0.25">
      <c r="A10262" t="s">
        <v>3296</v>
      </c>
      <c r="B10262" t="s">
        <v>2931</v>
      </c>
      <c r="C10262">
        <v>16288</v>
      </c>
      <c r="D10262" t="str">
        <f>"64121       "</f>
        <v xml:space="preserve">64121       </v>
      </c>
      <c r="E10262" t="s">
        <v>1495</v>
      </c>
      <c r="F10262" t="s">
        <v>1496</v>
      </c>
      <c r="G10262">
        <v>1663.03</v>
      </c>
      <c r="H10262">
        <v>251202</v>
      </c>
      <c r="I10262">
        <v>4573</v>
      </c>
      <c r="J10262" t="s">
        <v>646</v>
      </c>
      <c r="K10262">
        <v>1663.03</v>
      </c>
      <c r="L10262">
        <v>337.91</v>
      </c>
      <c r="M10262">
        <v>17952</v>
      </c>
      <c r="N10262" t="s">
        <v>157</v>
      </c>
      <c r="O10262">
        <v>251205</v>
      </c>
      <c r="P10262">
        <v>1325.12</v>
      </c>
    </row>
    <row r="10263" spans="1:16" x14ac:dyDescent="0.25">
      <c r="A10263" t="s">
        <v>3296</v>
      </c>
      <c r="B10263" t="s">
        <v>2931</v>
      </c>
      <c r="C10263">
        <v>4962</v>
      </c>
      <c r="D10263" t="str">
        <f>"81512       "</f>
        <v xml:space="preserve">81512       </v>
      </c>
      <c r="E10263" t="s">
        <v>1185</v>
      </c>
      <c r="F10263" t="s">
        <v>1186</v>
      </c>
      <c r="G10263">
        <v>351.12</v>
      </c>
      <c r="H10263">
        <v>250408</v>
      </c>
      <c r="I10263">
        <v>4554</v>
      </c>
      <c r="J10263" t="s">
        <v>351</v>
      </c>
      <c r="K10263">
        <v>351.12</v>
      </c>
      <c r="L10263">
        <v>43.12</v>
      </c>
      <c r="M10263">
        <v>17737</v>
      </c>
      <c r="N10263" t="s">
        <v>156</v>
      </c>
      <c r="O10263">
        <v>250416</v>
      </c>
      <c r="P10263">
        <v>308</v>
      </c>
    </row>
    <row r="10264" spans="1:16" x14ac:dyDescent="0.25">
      <c r="A10264" t="s">
        <v>3296</v>
      </c>
      <c r="B10264" t="s">
        <v>2931</v>
      </c>
      <c r="C10264">
        <v>8811</v>
      </c>
      <c r="D10264" t="str">
        <f>"82436       "</f>
        <v xml:space="preserve">82436       </v>
      </c>
      <c r="E10264" t="s">
        <v>1185</v>
      </c>
      <c r="F10264" t="s">
        <v>1186</v>
      </c>
      <c r="G10264">
        <v>351.12</v>
      </c>
      <c r="H10264">
        <v>250611</v>
      </c>
      <c r="I10264">
        <v>4554</v>
      </c>
      <c r="J10264" t="s">
        <v>351</v>
      </c>
      <c r="K10264">
        <v>351.12</v>
      </c>
      <c r="L10264">
        <v>43.12</v>
      </c>
      <c r="M10264">
        <v>17737</v>
      </c>
      <c r="N10264" t="s">
        <v>156</v>
      </c>
      <c r="O10264">
        <v>250618</v>
      </c>
      <c r="P10264">
        <v>308</v>
      </c>
    </row>
    <row r="10265" spans="1:16" x14ac:dyDescent="0.25">
      <c r="A10265" t="s">
        <v>3296</v>
      </c>
      <c r="B10265" t="s">
        <v>2931</v>
      </c>
      <c r="C10265">
        <v>9121</v>
      </c>
      <c r="D10265" t="str">
        <f>"82514       "</f>
        <v xml:space="preserve">82514       </v>
      </c>
      <c r="E10265" t="s">
        <v>1185</v>
      </c>
      <c r="F10265" t="s">
        <v>1186</v>
      </c>
      <c r="G10265">
        <v>592.79999999999995</v>
      </c>
      <c r="H10265">
        <v>250617</v>
      </c>
      <c r="I10265">
        <v>4554</v>
      </c>
      <c r="J10265" t="s">
        <v>351</v>
      </c>
      <c r="K10265">
        <v>592.79999999999995</v>
      </c>
      <c r="L10265">
        <v>72.8</v>
      </c>
      <c r="M10265">
        <v>17737</v>
      </c>
      <c r="N10265" t="s">
        <v>156</v>
      </c>
      <c r="O10265">
        <v>250626</v>
      </c>
      <c r="P10265">
        <v>520</v>
      </c>
    </row>
    <row r="10266" spans="1:16" x14ac:dyDescent="0.25">
      <c r="A10266" t="s">
        <v>3296</v>
      </c>
      <c r="B10266" t="s">
        <v>2931</v>
      </c>
      <c r="C10266">
        <v>2011</v>
      </c>
      <c r="D10266" t="str">
        <f>"81030       "</f>
        <v xml:space="preserve">81030       </v>
      </c>
      <c r="E10266" t="s">
        <v>1185</v>
      </c>
      <c r="F10266" t="s">
        <v>1186</v>
      </c>
      <c r="G10266">
        <v>430.47</v>
      </c>
      <c r="H10266">
        <v>250210</v>
      </c>
      <c r="I10266">
        <v>4600</v>
      </c>
      <c r="J10266" t="s">
        <v>278</v>
      </c>
      <c r="K10266">
        <v>430.47</v>
      </c>
      <c r="L10266">
        <v>87.47</v>
      </c>
      <c r="M10266">
        <v>17737</v>
      </c>
      <c r="N10266" t="s">
        <v>156</v>
      </c>
      <c r="O10266">
        <v>250219</v>
      </c>
      <c r="P10266">
        <v>343</v>
      </c>
    </row>
    <row r="10267" spans="1:16" x14ac:dyDescent="0.25">
      <c r="A10267" t="s">
        <v>3296</v>
      </c>
      <c r="B10267" t="s">
        <v>2931</v>
      </c>
      <c r="C10267">
        <v>8534</v>
      </c>
      <c r="D10267" t="str">
        <f>"82389       "</f>
        <v xml:space="preserve">82389       </v>
      </c>
      <c r="E10267" t="s">
        <v>1185</v>
      </c>
      <c r="F10267" t="s">
        <v>1186</v>
      </c>
      <c r="G10267">
        <v>1179.7</v>
      </c>
      <c r="H10267">
        <v>250609</v>
      </c>
      <c r="I10267">
        <v>4600</v>
      </c>
      <c r="J10267" t="s">
        <v>278</v>
      </c>
      <c r="K10267">
        <v>1179.7</v>
      </c>
      <c r="L10267">
        <v>239.7</v>
      </c>
      <c r="M10267">
        <v>67554</v>
      </c>
      <c r="N10267" t="s">
        <v>317</v>
      </c>
      <c r="O10267">
        <v>250617</v>
      </c>
      <c r="P10267">
        <v>940</v>
      </c>
    </row>
    <row r="10268" spans="1:16" x14ac:dyDescent="0.25">
      <c r="A10268" t="s">
        <v>3296</v>
      </c>
      <c r="B10268" t="s">
        <v>2931</v>
      </c>
      <c r="C10268">
        <v>9183</v>
      </c>
      <c r="D10268" t="str">
        <f>"82594       "</f>
        <v xml:space="preserve">82594       </v>
      </c>
      <c r="E10268" t="s">
        <v>1185</v>
      </c>
      <c r="F10268" t="s">
        <v>1186</v>
      </c>
      <c r="G10268">
        <v>412.9</v>
      </c>
      <c r="H10268">
        <v>250623</v>
      </c>
      <c r="I10268">
        <v>4600</v>
      </c>
      <c r="J10268" t="s">
        <v>278</v>
      </c>
      <c r="K10268">
        <v>412.9</v>
      </c>
      <c r="L10268">
        <v>83.9</v>
      </c>
      <c r="M10268">
        <v>17737</v>
      </c>
      <c r="N10268" t="s">
        <v>156</v>
      </c>
      <c r="O10268">
        <v>250627</v>
      </c>
      <c r="P10268">
        <v>329</v>
      </c>
    </row>
    <row r="10269" spans="1:16" x14ac:dyDescent="0.25">
      <c r="A10269" t="s">
        <v>3296</v>
      </c>
      <c r="B10269" t="s">
        <v>2931</v>
      </c>
      <c r="C10269">
        <v>1442</v>
      </c>
      <c r="D10269" t="str">
        <f>"2903254116  "</f>
        <v xml:space="preserve">2903254116  </v>
      </c>
      <c r="E10269" t="s">
        <v>988</v>
      </c>
      <c r="F10269" t="s">
        <v>989</v>
      </c>
      <c r="G10269">
        <v>54.7</v>
      </c>
      <c r="H10269">
        <v>250206</v>
      </c>
      <c r="I10269">
        <v>4600</v>
      </c>
      <c r="J10269" t="s">
        <v>278</v>
      </c>
      <c r="K10269">
        <v>54.7</v>
      </c>
      <c r="L10269">
        <v>11.11</v>
      </c>
      <c r="M10269">
        <v>56573</v>
      </c>
      <c r="N10269" t="s">
        <v>843</v>
      </c>
      <c r="O10269">
        <v>250210</v>
      </c>
      <c r="P10269">
        <v>43.59</v>
      </c>
    </row>
    <row r="10270" spans="1:16" x14ac:dyDescent="0.25">
      <c r="A10270" t="s">
        <v>3296</v>
      </c>
      <c r="B10270" t="s">
        <v>2931</v>
      </c>
      <c r="C10270">
        <v>6443</v>
      </c>
      <c r="D10270" t="str">
        <f>"2903377422  "</f>
        <v xml:space="preserve">2903377422  </v>
      </c>
      <c r="E10270" t="s">
        <v>988</v>
      </c>
      <c r="F10270" t="s">
        <v>989</v>
      </c>
      <c r="G10270">
        <v>81.5</v>
      </c>
      <c r="H10270">
        <v>250508</v>
      </c>
      <c r="I10270">
        <v>4600</v>
      </c>
      <c r="J10270" t="s">
        <v>278</v>
      </c>
      <c r="K10270">
        <v>81.5</v>
      </c>
      <c r="L10270">
        <v>16.559999999999999</v>
      </c>
      <c r="M10270">
        <v>59702</v>
      </c>
      <c r="N10270" t="s">
        <v>45</v>
      </c>
      <c r="O10270">
        <v>250513</v>
      </c>
      <c r="P10270">
        <v>64.94</v>
      </c>
    </row>
    <row r="10271" spans="1:16" x14ac:dyDescent="0.25">
      <c r="A10271" t="s">
        <v>3296</v>
      </c>
      <c r="B10271" t="s">
        <v>2931</v>
      </c>
      <c r="C10271">
        <v>4493</v>
      </c>
      <c r="D10271" t="str">
        <f>"10196       "</f>
        <v xml:space="preserve">10196       </v>
      </c>
      <c r="E10271" t="s">
        <v>1632</v>
      </c>
      <c r="F10271" t="s">
        <v>1633</v>
      </c>
      <c r="G10271">
        <v>198.78</v>
      </c>
      <c r="H10271">
        <v>250331</v>
      </c>
      <c r="I10271">
        <v>4470</v>
      </c>
      <c r="J10271" t="s">
        <v>203</v>
      </c>
      <c r="K10271">
        <v>198.78</v>
      </c>
      <c r="L10271">
        <v>40.39</v>
      </c>
      <c r="M10271">
        <v>56568</v>
      </c>
      <c r="N10271" t="s">
        <v>354</v>
      </c>
      <c r="O10271">
        <v>250411</v>
      </c>
      <c r="P10271">
        <v>158.38999999999999</v>
      </c>
    </row>
    <row r="10272" spans="1:16" x14ac:dyDescent="0.25">
      <c r="A10272" t="s">
        <v>3296</v>
      </c>
      <c r="B10272" t="s">
        <v>2931</v>
      </c>
      <c r="C10272">
        <v>6015</v>
      </c>
      <c r="D10272" t="str">
        <f>"10226       "</f>
        <v xml:space="preserve">10226       </v>
      </c>
      <c r="E10272" t="s">
        <v>1632</v>
      </c>
      <c r="F10272" t="s">
        <v>1633</v>
      </c>
      <c r="G10272">
        <v>45</v>
      </c>
      <c r="H10272">
        <v>250430</v>
      </c>
      <c r="I10272">
        <v>4470</v>
      </c>
      <c r="J10272" t="s">
        <v>203</v>
      </c>
      <c r="K10272">
        <v>45</v>
      </c>
      <c r="L10272">
        <v>9.14</v>
      </c>
      <c r="M10272">
        <v>56568</v>
      </c>
      <c r="N10272" t="s">
        <v>354</v>
      </c>
      <c r="O10272">
        <v>250508</v>
      </c>
      <c r="P10272">
        <v>35.86</v>
      </c>
    </row>
    <row r="10273" spans="1:16" x14ac:dyDescent="0.25">
      <c r="A10273" t="s">
        <v>3296</v>
      </c>
      <c r="B10273" t="s">
        <v>2931</v>
      </c>
      <c r="C10273">
        <v>9990</v>
      </c>
      <c r="D10273" t="str">
        <f>"10295       "</f>
        <v xml:space="preserve">10295       </v>
      </c>
      <c r="E10273" t="s">
        <v>1632</v>
      </c>
      <c r="F10273" t="s">
        <v>1633</v>
      </c>
      <c r="G10273">
        <v>68.33</v>
      </c>
      <c r="H10273">
        <v>250731</v>
      </c>
      <c r="I10273">
        <v>4470</v>
      </c>
      <c r="J10273" t="s">
        <v>203</v>
      </c>
      <c r="K10273">
        <v>68.33</v>
      </c>
      <c r="L10273">
        <v>13.88</v>
      </c>
      <c r="M10273">
        <v>56568</v>
      </c>
      <c r="N10273" t="s">
        <v>354</v>
      </c>
      <c r="O10273">
        <v>250806</v>
      </c>
      <c r="P10273">
        <v>54.45</v>
      </c>
    </row>
    <row r="10274" spans="1:16" x14ac:dyDescent="0.25">
      <c r="A10274" t="s">
        <v>3296</v>
      </c>
      <c r="B10274" t="s">
        <v>2931</v>
      </c>
      <c r="C10274">
        <v>13137</v>
      </c>
      <c r="D10274" t="str">
        <f>"10345       "</f>
        <v xml:space="preserve">10345       </v>
      </c>
      <c r="E10274" t="s">
        <v>1632</v>
      </c>
      <c r="F10274" t="s">
        <v>1633</v>
      </c>
      <c r="G10274">
        <v>99</v>
      </c>
      <c r="H10274">
        <v>250930</v>
      </c>
      <c r="I10274">
        <v>4470</v>
      </c>
      <c r="J10274" t="s">
        <v>203</v>
      </c>
      <c r="K10274">
        <v>99</v>
      </c>
      <c r="L10274">
        <v>20.12</v>
      </c>
      <c r="M10274">
        <v>56568</v>
      </c>
      <c r="N10274" t="s">
        <v>354</v>
      </c>
      <c r="O10274">
        <v>251006</v>
      </c>
      <c r="P10274">
        <v>78.88</v>
      </c>
    </row>
    <row r="10275" spans="1:16" x14ac:dyDescent="0.25">
      <c r="A10275" t="s">
        <v>3296</v>
      </c>
      <c r="B10275" t="s">
        <v>2931</v>
      </c>
      <c r="C10275">
        <v>5306</v>
      </c>
      <c r="D10275" t="str">
        <f>"4424        "</f>
        <v xml:space="preserve">4424        </v>
      </c>
      <c r="E10275" t="s">
        <v>2996</v>
      </c>
      <c r="F10275" t="s">
        <v>2997</v>
      </c>
      <c r="G10275">
        <v>928.7</v>
      </c>
      <c r="H10275">
        <v>250411</v>
      </c>
      <c r="I10275">
        <v>4350</v>
      </c>
      <c r="J10275" t="s">
        <v>290</v>
      </c>
      <c r="K10275">
        <v>928.7</v>
      </c>
      <c r="L10275">
        <v>188.7</v>
      </c>
      <c r="M10275">
        <v>17538</v>
      </c>
      <c r="N10275" t="s">
        <v>129</v>
      </c>
      <c r="O10275">
        <v>250423</v>
      </c>
      <c r="P10275">
        <v>740</v>
      </c>
    </row>
    <row r="10276" spans="1:16" x14ac:dyDescent="0.25">
      <c r="A10276" t="s">
        <v>3296</v>
      </c>
      <c r="B10276" t="s">
        <v>2931</v>
      </c>
      <c r="C10276">
        <v>912</v>
      </c>
      <c r="D10276" t="str">
        <f>"142633      "</f>
        <v xml:space="preserve">142633      </v>
      </c>
      <c r="E10276" t="s">
        <v>2996</v>
      </c>
      <c r="F10276" t="s">
        <v>2997</v>
      </c>
      <c r="G10276">
        <v>36</v>
      </c>
      <c r="H10276">
        <v>250129</v>
      </c>
      <c r="I10276">
        <v>4510</v>
      </c>
      <c r="J10276" t="s">
        <v>240</v>
      </c>
      <c r="K10276">
        <v>36</v>
      </c>
      <c r="L10276">
        <v>3.27</v>
      </c>
      <c r="M10276">
        <v>13801</v>
      </c>
      <c r="N10276" t="s">
        <v>33</v>
      </c>
      <c r="O10276">
        <v>250131</v>
      </c>
      <c r="P10276">
        <v>32.729999999999997</v>
      </c>
    </row>
    <row r="10277" spans="1:16" x14ac:dyDescent="0.25">
      <c r="A10277" t="s">
        <v>3296</v>
      </c>
      <c r="B10277" t="s">
        <v>2931</v>
      </c>
      <c r="C10277">
        <v>4165</v>
      </c>
      <c r="D10277" t="str">
        <f>"144068      "</f>
        <v xml:space="preserve">144068      </v>
      </c>
      <c r="E10277" t="s">
        <v>2996</v>
      </c>
      <c r="F10277" t="s">
        <v>2997</v>
      </c>
      <c r="G10277">
        <v>36</v>
      </c>
      <c r="H10277">
        <v>250326</v>
      </c>
      <c r="I10277">
        <v>4510</v>
      </c>
      <c r="J10277" t="s">
        <v>240</v>
      </c>
      <c r="K10277">
        <v>36</v>
      </c>
      <c r="L10277">
        <v>3.27</v>
      </c>
      <c r="M10277">
        <v>13802</v>
      </c>
      <c r="N10277" t="s">
        <v>34</v>
      </c>
      <c r="O10277">
        <v>250408</v>
      </c>
      <c r="P10277">
        <v>32.729999999999997</v>
      </c>
    </row>
    <row r="10278" spans="1:16" x14ac:dyDescent="0.25">
      <c r="A10278" t="s">
        <v>3296</v>
      </c>
      <c r="B10278" t="s">
        <v>2931</v>
      </c>
      <c r="C10278">
        <v>10635</v>
      </c>
      <c r="D10278" t="str">
        <f>"145715      "</f>
        <v xml:space="preserve">145715      </v>
      </c>
      <c r="E10278" t="s">
        <v>2996</v>
      </c>
      <c r="F10278" t="s">
        <v>2997</v>
      </c>
      <c r="G10278">
        <v>36</v>
      </c>
      <c r="H10278">
        <v>250813</v>
      </c>
      <c r="I10278">
        <v>4510</v>
      </c>
      <c r="J10278" t="s">
        <v>240</v>
      </c>
      <c r="K10278">
        <v>36</v>
      </c>
      <c r="L10278">
        <v>3.27</v>
      </c>
      <c r="M10278">
        <v>13801</v>
      </c>
      <c r="N10278" t="s">
        <v>33</v>
      </c>
      <c r="O10278">
        <v>250821</v>
      </c>
      <c r="P10278">
        <v>32.729999999999997</v>
      </c>
    </row>
    <row r="10279" spans="1:16" x14ac:dyDescent="0.25">
      <c r="A10279" t="s">
        <v>3296</v>
      </c>
      <c r="B10279" t="s">
        <v>2931</v>
      </c>
      <c r="C10279">
        <v>13946</v>
      </c>
      <c r="D10279" t="str">
        <f>"146998      "</f>
        <v xml:space="preserve">146998      </v>
      </c>
      <c r="E10279" t="s">
        <v>2996</v>
      </c>
      <c r="F10279" t="s">
        <v>2997</v>
      </c>
      <c r="G10279">
        <v>36</v>
      </c>
      <c r="H10279">
        <v>251015</v>
      </c>
      <c r="I10279">
        <v>4510</v>
      </c>
      <c r="J10279" t="s">
        <v>240</v>
      </c>
      <c r="K10279">
        <v>36</v>
      </c>
      <c r="L10279">
        <v>3.27</v>
      </c>
      <c r="M10279">
        <v>13801</v>
      </c>
      <c r="N10279" t="s">
        <v>33</v>
      </c>
      <c r="O10279">
        <v>251021</v>
      </c>
      <c r="P10279">
        <v>32.729999999999997</v>
      </c>
    </row>
    <row r="10280" spans="1:16" x14ac:dyDescent="0.25">
      <c r="A10280" t="s">
        <v>3296</v>
      </c>
      <c r="B10280" t="s">
        <v>2931</v>
      </c>
      <c r="C10280">
        <v>2542</v>
      </c>
      <c r="D10280" t="str">
        <f>"1738        "</f>
        <v xml:space="preserve">1738        </v>
      </c>
      <c r="E10280" t="s">
        <v>3017</v>
      </c>
      <c r="F10280" t="s">
        <v>3018</v>
      </c>
      <c r="G10280">
        <v>86.6</v>
      </c>
      <c r="H10280">
        <v>250218</v>
      </c>
      <c r="I10280">
        <v>4600</v>
      </c>
      <c r="J10280" t="s">
        <v>278</v>
      </c>
      <c r="K10280">
        <v>86.6</v>
      </c>
      <c r="L10280">
        <v>17.600000000000001</v>
      </c>
      <c r="M10280">
        <v>13802</v>
      </c>
      <c r="N10280" t="s">
        <v>34</v>
      </c>
      <c r="O10280">
        <v>250304</v>
      </c>
      <c r="P10280">
        <v>69</v>
      </c>
    </row>
    <row r="10281" spans="1:16" x14ac:dyDescent="0.25">
      <c r="A10281" t="s">
        <v>3296</v>
      </c>
      <c r="B10281" t="s">
        <v>2931</v>
      </c>
      <c r="C10281">
        <v>12461</v>
      </c>
      <c r="D10281" t="str">
        <f>"1230319     "</f>
        <v xml:space="preserve">1230319     </v>
      </c>
      <c r="E10281" t="s">
        <v>2354</v>
      </c>
      <c r="F10281" t="s">
        <v>2355</v>
      </c>
      <c r="G10281">
        <v>502</v>
      </c>
      <c r="H10281">
        <v>250916</v>
      </c>
      <c r="I10281">
        <v>4400</v>
      </c>
      <c r="J10281" t="s">
        <v>162</v>
      </c>
      <c r="K10281">
        <v>502</v>
      </c>
      <c r="L10281">
        <v>102</v>
      </c>
      <c r="M10281">
        <v>11001</v>
      </c>
      <c r="N10281" t="s">
        <v>93</v>
      </c>
      <c r="O10281">
        <v>250923</v>
      </c>
      <c r="P10281">
        <v>400</v>
      </c>
    </row>
    <row r="10282" spans="1:16" x14ac:dyDescent="0.25">
      <c r="A10282" t="s">
        <v>3296</v>
      </c>
      <c r="B10282" t="s">
        <v>2931</v>
      </c>
      <c r="C10282">
        <v>734</v>
      </c>
      <c r="D10282" t="str">
        <f>"40770       "</f>
        <v xml:space="preserve">40770       </v>
      </c>
      <c r="E10282" t="s">
        <v>697</v>
      </c>
      <c r="F10282" t="s">
        <v>698</v>
      </c>
      <c r="G10282">
        <v>24530.5</v>
      </c>
      <c r="H10282">
        <v>250127</v>
      </c>
      <c r="I10282">
        <v>1196</v>
      </c>
      <c r="J10282" t="s">
        <v>340</v>
      </c>
      <c r="K10282">
        <v>24530.5</v>
      </c>
      <c r="L10282">
        <v>0</v>
      </c>
      <c r="M10282">
        <v>97604</v>
      </c>
      <c r="N10282" t="s">
        <v>341</v>
      </c>
      <c r="O10282">
        <v>250128</v>
      </c>
      <c r="P10282">
        <v>24530.5</v>
      </c>
    </row>
    <row r="10283" spans="1:16" x14ac:dyDescent="0.25">
      <c r="A10283" t="s">
        <v>3296</v>
      </c>
      <c r="B10283" t="s">
        <v>2931</v>
      </c>
      <c r="C10283">
        <v>910</v>
      </c>
      <c r="D10283" t="str">
        <f>"40803       "</f>
        <v xml:space="preserve">40803       </v>
      </c>
      <c r="E10283" t="s">
        <v>697</v>
      </c>
      <c r="F10283" t="s">
        <v>698</v>
      </c>
      <c r="G10283">
        <v>13820</v>
      </c>
      <c r="H10283">
        <v>250128</v>
      </c>
      <c r="I10283">
        <v>1196</v>
      </c>
      <c r="J10283" t="s">
        <v>340</v>
      </c>
      <c r="K10283">
        <v>13820</v>
      </c>
      <c r="L10283">
        <v>0</v>
      </c>
      <c r="M10283">
        <v>97604</v>
      </c>
      <c r="N10283" t="s">
        <v>341</v>
      </c>
      <c r="O10283">
        <v>250131</v>
      </c>
      <c r="P10283">
        <v>13820</v>
      </c>
    </row>
    <row r="10284" spans="1:16" x14ac:dyDescent="0.25">
      <c r="A10284" t="s">
        <v>3296</v>
      </c>
      <c r="B10284" t="s">
        <v>2931</v>
      </c>
      <c r="C10284">
        <v>3495</v>
      </c>
      <c r="D10284" t="str">
        <f>"41578       "</f>
        <v xml:space="preserve">41578       </v>
      </c>
      <c r="E10284" t="s">
        <v>697</v>
      </c>
      <c r="F10284" t="s">
        <v>698</v>
      </c>
      <c r="G10284">
        <v>19007.830000000002</v>
      </c>
      <c r="H10284">
        <v>250310</v>
      </c>
      <c r="I10284">
        <v>1196</v>
      </c>
      <c r="J10284" t="s">
        <v>340</v>
      </c>
      <c r="K10284">
        <v>19007.830000000002</v>
      </c>
      <c r="L10284">
        <v>0</v>
      </c>
      <c r="M10284">
        <v>97604</v>
      </c>
      <c r="N10284" t="s">
        <v>341</v>
      </c>
      <c r="O10284">
        <v>250324</v>
      </c>
      <c r="P10284">
        <v>19007.830000000002</v>
      </c>
    </row>
    <row r="10285" spans="1:16" x14ac:dyDescent="0.25">
      <c r="A10285" t="s">
        <v>3296</v>
      </c>
      <c r="B10285" t="s">
        <v>2931</v>
      </c>
      <c r="C10285">
        <v>5285</v>
      </c>
      <c r="D10285" t="str">
        <f>"42190       "</f>
        <v xml:space="preserve">42190       </v>
      </c>
      <c r="E10285" t="s">
        <v>697</v>
      </c>
      <c r="F10285" t="s">
        <v>698</v>
      </c>
      <c r="G10285">
        <v>162.5</v>
      </c>
      <c r="H10285">
        <v>250410</v>
      </c>
      <c r="I10285">
        <v>1196</v>
      </c>
      <c r="J10285" t="s">
        <v>340</v>
      </c>
      <c r="K10285">
        <v>162.5</v>
      </c>
      <c r="L10285">
        <v>0</v>
      </c>
      <c r="M10285">
        <v>97701</v>
      </c>
      <c r="N10285" t="s">
        <v>1017</v>
      </c>
      <c r="O10285">
        <v>250423</v>
      </c>
      <c r="P10285">
        <v>162.5</v>
      </c>
    </row>
    <row r="10286" spans="1:16" x14ac:dyDescent="0.25">
      <c r="A10286" t="s">
        <v>3296</v>
      </c>
      <c r="B10286" t="s">
        <v>2931</v>
      </c>
      <c r="C10286">
        <v>5406</v>
      </c>
      <c r="D10286" t="str">
        <f>"42262       "</f>
        <v xml:space="preserve">42262       </v>
      </c>
      <c r="E10286" t="s">
        <v>697</v>
      </c>
      <c r="F10286" t="s">
        <v>698</v>
      </c>
      <c r="G10286">
        <v>115</v>
      </c>
      <c r="H10286">
        <v>250415</v>
      </c>
      <c r="I10286">
        <v>1196</v>
      </c>
      <c r="J10286" t="s">
        <v>340</v>
      </c>
      <c r="K10286">
        <v>115</v>
      </c>
      <c r="L10286">
        <v>0</v>
      </c>
      <c r="M10286">
        <v>97701</v>
      </c>
      <c r="N10286" t="s">
        <v>1017</v>
      </c>
      <c r="O10286">
        <v>250424</v>
      </c>
      <c r="P10286">
        <v>115</v>
      </c>
    </row>
    <row r="10287" spans="1:16" x14ac:dyDescent="0.25">
      <c r="A10287" t="s">
        <v>3296</v>
      </c>
      <c r="B10287" t="s">
        <v>2931</v>
      </c>
      <c r="C10287">
        <v>7590</v>
      </c>
      <c r="D10287" t="str">
        <f>"42952       "</f>
        <v xml:space="preserve">42952       </v>
      </c>
      <c r="E10287" t="s">
        <v>697</v>
      </c>
      <c r="F10287" t="s">
        <v>698</v>
      </c>
      <c r="G10287">
        <v>6583.19</v>
      </c>
      <c r="H10287">
        <v>250527</v>
      </c>
      <c r="I10287">
        <v>1196</v>
      </c>
      <c r="J10287" t="s">
        <v>340</v>
      </c>
      <c r="K10287">
        <v>6583.19</v>
      </c>
      <c r="L10287">
        <v>0</v>
      </c>
      <c r="M10287">
        <v>97604</v>
      </c>
      <c r="N10287" t="s">
        <v>341</v>
      </c>
      <c r="O10287">
        <v>250604</v>
      </c>
      <c r="P10287">
        <v>6583.19</v>
      </c>
    </row>
    <row r="10288" spans="1:16" x14ac:dyDescent="0.25">
      <c r="A10288" t="s">
        <v>3296</v>
      </c>
      <c r="B10288" t="s">
        <v>2931</v>
      </c>
      <c r="C10288">
        <v>9700</v>
      </c>
      <c r="D10288" t="str">
        <f>"43443       "</f>
        <v xml:space="preserve">43443       </v>
      </c>
      <c r="E10288" t="s">
        <v>697</v>
      </c>
      <c r="F10288" t="s">
        <v>698</v>
      </c>
      <c r="G10288">
        <v>9471.2800000000007</v>
      </c>
      <c r="H10288">
        <v>250629</v>
      </c>
      <c r="I10288">
        <v>1196</v>
      </c>
      <c r="J10288" t="s">
        <v>340</v>
      </c>
      <c r="K10288">
        <v>9471.2800000000007</v>
      </c>
      <c r="L10288">
        <v>0</v>
      </c>
      <c r="M10288">
        <v>97604</v>
      </c>
      <c r="N10288" t="s">
        <v>341</v>
      </c>
      <c r="O10288">
        <v>250724</v>
      </c>
      <c r="P10288">
        <v>9471.2800000000007</v>
      </c>
    </row>
    <row r="10289" spans="1:16" x14ac:dyDescent="0.25">
      <c r="A10289" t="s">
        <v>3296</v>
      </c>
      <c r="B10289" t="s">
        <v>2931</v>
      </c>
      <c r="C10289">
        <v>11717</v>
      </c>
      <c r="D10289" t="str">
        <f>"44723       "</f>
        <v xml:space="preserve">44723       </v>
      </c>
      <c r="E10289" t="s">
        <v>697</v>
      </c>
      <c r="F10289" t="s">
        <v>698</v>
      </c>
      <c r="G10289">
        <v>6783.03</v>
      </c>
      <c r="H10289">
        <v>250908</v>
      </c>
      <c r="I10289">
        <v>1196</v>
      </c>
      <c r="J10289" t="s">
        <v>340</v>
      </c>
      <c r="K10289">
        <v>6783.03</v>
      </c>
      <c r="L10289">
        <v>0</v>
      </c>
      <c r="M10289">
        <v>97604</v>
      </c>
      <c r="N10289" t="s">
        <v>341</v>
      </c>
      <c r="O10289">
        <v>250910</v>
      </c>
      <c r="P10289">
        <v>6783.03</v>
      </c>
    </row>
    <row r="10290" spans="1:16" x14ac:dyDescent="0.25">
      <c r="A10290" t="s">
        <v>3296</v>
      </c>
      <c r="B10290" t="s">
        <v>2931</v>
      </c>
      <c r="C10290">
        <v>13968</v>
      </c>
      <c r="D10290" t="str">
        <f>"45335       "</f>
        <v xml:space="preserve">45335       </v>
      </c>
      <c r="E10290" t="s">
        <v>697</v>
      </c>
      <c r="F10290" t="s">
        <v>698</v>
      </c>
      <c r="G10290">
        <v>1563.85</v>
      </c>
      <c r="H10290">
        <v>251013</v>
      </c>
      <c r="I10290">
        <v>1196</v>
      </c>
      <c r="J10290" t="s">
        <v>340</v>
      </c>
      <c r="K10290">
        <v>3127.7</v>
      </c>
      <c r="L10290">
        <v>0</v>
      </c>
      <c r="M10290">
        <v>96501</v>
      </c>
      <c r="N10290" t="s">
        <v>2066</v>
      </c>
      <c r="O10290">
        <v>251021</v>
      </c>
      <c r="P10290">
        <v>1563.85</v>
      </c>
    </row>
    <row r="10291" spans="1:16" x14ac:dyDescent="0.25">
      <c r="A10291" t="s">
        <v>3296</v>
      </c>
      <c r="B10291" t="s">
        <v>2931</v>
      </c>
      <c r="C10291">
        <v>13968</v>
      </c>
      <c r="D10291" t="str">
        <f>"45335       "</f>
        <v xml:space="preserve">45335       </v>
      </c>
      <c r="E10291" t="s">
        <v>697</v>
      </c>
      <c r="F10291" t="s">
        <v>698</v>
      </c>
      <c r="G10291">
        <v>1563.85</v>
      </c>
      <c r="H10291">
        <v>251013</v>
      </c>
      <c r="I10291">
        <v>1196</v>
      </c>
      <c r="J10291" t="s">
        <v>340</v>
      </c>
      <c r="K10291">
        <v>3127.7</v>
      </c>
      <c r="L10291">
        <v>0</v>
      </c>
      <c r="M10291">
        <v>96501</v>
      </c>
      <c r="N10291" t="s">
        <v>2066</v>
      </c>
      <c r="O10291">
        <v>251021</v>
      </c>
      <c r="P10291">
        <v>1563.85</v>
      </c>
    </row>
    <row r="10292" spans="1:16" x14ac:dyDescent="0.25">
      <c r="A10292" t="s">
        <v>3296</v>
      </c>
      <c r="B10292" t="s">
        <v>2931</v>
      </c>
      <c r="C10292">
        <v>2635</v>
      </c>
      <c r="D10292" t="str">
        <f>"41335       "</f>
        <v xml:space="preserve">41335       </v>
      </c>
      <c r="E10292" t="s">
        <v>697</v>
      </c>
      <c r="F10292" t="s">
        <v>698</v>
      </c>
      <c r="G10292">
        <v>30</v>
      </c>
      <c r="H10292">
        <v>250224</v>
      </c>
      <c r="I10292">
        <v>4364</v>
      </c>
      <c r="J10292" t="s">
        <v>470</v>
      </c>
      <c r="K10292">
        <v>476.9</v>
      </c>
      <c r="L10292">
        <v>6.1</v>
      </c>
      <c r="M10292">
        <v>17952</v>
      </c>
      <c r="N10292" t="s">
        <v>157</v>
      </c>
      <c r="O10292">
        <v>250307</v>
      </c>
      <c r="P10292">
        <v>23.9</v>
      </c>
    </row>
    <row r="10293" spans="1:16" x14ac:dyDescent="0.25">
      <c r="A10293" t="s">
        <v>3296</v>
      </c>
      <c r="B10293" t="s">
        <v>2931</v>
      </c>
      <c r="C10293">
        <v>1091</v>
      </c>
      <c r="D10293" t="str">
        <f>"40829       "</f>
        <v xml:space="preserve">40829       </v>
      </c>
      <c r="E10293" t="s">
        <v>697</v>
      </c>
      <c r="F10293" t="s">
        <v>698</v>
      </c>
      <c r="G10293">
        <v>129.88</v>
      </c>
      <c r="H10293">
        <v>250130</v>
      </c>
      <c r="I10293">
        <v>4367</v>
      </c>
      <c r="J10293" t="s">
        <v>159</v>
      </c>
      <c r="K10293">
        <v>129.88</v>
      </c>
      <c r="L10293">
        <v>26.39</v>
      </c>
      <c r="M10293">
        <v>17950</v>
      </c>
      <c r="N10293" t="s">
        <v>132</v>
      </c>
      <c r="O10293">
        <v>250204</v>
      </c>
      <c r="P10293">
        <v>103.49</v>
      </c>
    </row>
    <row r="10294" spans="1:16" x14ac:dyDescent="0.25">
      <c r="A10294" t="s">
        <v>3296</v>
      </c>
      <c r="B10294" t="s">
        <v>2931</v>
      </c>
      <c r="C10294">
        <v>9225</v>
      </c>
      <c r="D10294" t="str">
        <f>"43397       "</f>
        <v xml:space="preserve">43397       </v>
      </c>
      <c r="E10294" t="s">
        <v>697</v>
      </c>
      <c r="F10294" t="s">
        <v>698</v>
      </c>
      <c r="G10294">
        <v>104</v>
      </c>
      <c r="H10294">
        <v>250626</v>
      </c>
      <c r="I10294">
        <v>4367</v>
      </c>
      <c r="J10294" t="s">
        <v>159</v>
      </c>
      <c r="K10294">
        <v>104</v>
      </c>
      <c r="L10294">
        <v>21.13</v>
      </c>
      <c r="M10294">
        <v>17952</v>
      </c>
      <c r="N10294" t="s">
        <v>157</v>
      </c>
      <c r="O10294">
        <v>250627</v>
      </c>
      <c r="P10294">
        <v>82.87</v>
      </c>
    </row>
    <row r="10295" spans="1:16" x14ac:dyDescent="0.25">
      <c r="A10295" t="s">
        <v>3296</v>
      </c>
      <c r="B10295" t="s">
        <v>2931</v>
      </c>
      <c r="C10295">
        <v>11372</v>
      </c>
      <c r="D10295" t="str">
        <f>"44584       "</f>
        <v xml:space="preserve">44584       </v>
      </c>
      <c r="E10295" t="s">
        <v>697</v>
      </c>
      <c r="F10295" t="s">
        <v>698</v>
      </c>
      <c r="G10295">
        <v>232.94</v>
      </c>
      <c r="H10295">
        <v>250829</v>
      </c>
      <c r="I10295">
        <v>4367</v>
      </c>
      <c r="J10295" t="s">
        <v>159</v>
      </c>
      <c r="K10295">
        <v>555.71</v>
      </c>
      <c r="L10295">
        <v>47.33</v>
      </c>
      <c r="M10295">
        <v>17951</v>
      </c>
      <c r="N10295" t="s">
        <v>207</v>
      </c>
      <c r="O10295">
        <v>250904</v>
      </c>
      <c r="P10295">
        <v>185.61</v>
      </c>
    </row>
    <row r="10296" spans="1:16" x14ac:dyDescent="0.25">
      <c r="A10296" t="s">
        <v>3296</v>
      </c>
      <c r="B10296" t="s">
        <v>2931</v>
      </c>
      <c r="C10296">
        <v>784</v>
      </c>
      <c r="D10296" t="str">
        <f>"40763       "</f>
        <v xml:space="preserve">40763       </v>
      </c>
      <c r="E10296" t="s">
        <v>697</v>
      </c>
      <c r="F10296" t="s">
        <v>698</v>
      </c>
      <c r="G10296">
        <v>130</v>
      </c>
      <c r="H10296">
        <v>250127</v>
      </c>
      <c r="I10296">
        <v>4390</v>
      </c>
      <c r="J10296" t="s">
        <v>232</v>
      </c>
      <c r="K10296">
        <v>130</v>
      </c>
      <c r="L10296">
        <v>0</v>
      </c>
      <c r="M10296">
        <v>17950</v>
      </c>
      <c r="N10296" t="s">
        <v>132</v>
      </c>
      <c r="O10296">
        <v>250129</v>
      </c>
      <c r="P10296">
        <v>130</v>
      </c>
    </row>
    <row r="10297" spans="1:16" x14ac:dyDescent="0.25">
      <c r="A10297" t="s">
        <v>3296</v>
      </c>
      <c r="B10297" t="s">
        <v>2931</v>
      </c>
      <c r="C10297">
        <v>828</v>
      </c>
      <c r="D10297" t="str">
        <f>"40748       "</f>
        <v xml:space="preserve">40748       </v>
      </c>
      <c r="E10297" t="s">
        <v>697</v>
      </c>
      <c r="F10297" t="s">
        <v>698</v>
      </c>
      <c r="G10297">
        <v>54.23</v>
      </c>
      <c r="H10297">
        <v>250127</v>
      </c>
      <c r="I10297">
        <v>4390</v>
      </c>
      <c r="J10297" t="s">
        <v>232</v>
      </c>
      <c r="K10297">
        <v>493</v>
      </c>
      <c r="L10297">
        <v>0</v>
      </c>
      <c r="M10297">
        <v>13540</v>
      </c>
      <c r="N10297" t="s">
        <v>131</v>
      </c>
      <c r="O10297">
        <v>250129</v>
      </c>
      <c r="P10297">
        <v>54.23</v>
      </c>
    </row>
    <row r="10298" spans="1:16" x14ac:dyDescent="0.25">
      <c r="A10298" t="s">
        <v>3296</v>
      </c>
      <c r="B10298" t="s">
        <v>2931</v>
      </c>
      <c r="C10298">
        <v>828</v>
      </c>
      <c r="D10298" t="str">
        <f>"40748       "</f>
        <v xml:space="preserve">40748       </v>
      </c>
      <c r="E10298" t="s">
        <v>697</v>
      </c>
      <c r="F10298" t="s">
        <v>698</v>
      </c>
      <c r="G10298">
        <v>438.77</v>
      </c>
      <c r="H10298">
        <v>250127</v>
      </c>
      <c r="I10298">
        <v>4390</v>
      </c>
      <c r="J10298" t="s">
        <v>232</v>
      </c>
      <c r="K10298">
        <v>493</v>
      </c>
      <c r="L10298">
        <v>0</v>
      </c>
      <c r="M10298">
        <v>17950</v>
      </c>
      <c r="N10298" t="s">
        <v>132</v>
      </c>
      <c r="O10298">
        <v>250129</v>
      </c>
      <c r="P10298">
        <v>438.77</v>
      </c>
    </row>
    <row r="10299" spans="1:16" x14ac:dyDescent="0.25">
      <c r="A10299" t="s">
        <v>3296</v>
      </c>
      <c r="B10299" t="s">
        <v>2931</v>
      </c>
      <c r="C10299">
        <v>4111</v>
      </c>
      <c r="D10299" t="str">
        <f>"41856       "</f>
        <v xml:space="preserve">41856       </v>
      </c>
      <c r="E10299" t="s">
        <v>697</v>
      </c>
      <c r="F10299" t="s">
        <v>698</v>
      </c>
      <c r="G10299">
        <v>1539.94</v>
      </c>
      <c r="H10299">
        <v>250325</v>
      </c>
      <c r="I10299">
        <v>4390</v>
      </c>
      <c r="J10299" t="s">
        <v>232</v>
      </c>
      <c r="K10299">
        <v>1539.94</v>
      </c>
      <c r="L10299">
        <v>0</v>
      </c>
      <c r="M10299">
        <v>17951</v>
      </c>
      <c r="N10299" t="s">
        <v>207</v>
      </c>
      <c r="O10299">
        <v>250407</v>
      </c>
      <c r="P10299">
        <v>1539.94</v>
      </c>
    </row>
    <row r="10300" spans="1:16" x14ac:dyDescent="0.25">
      <c r="A10300" t="s">
        <v>3296</v>
      </c>
      <c r="B10300" t="s">
        <v>2931</v>
      </c>
      <c r="C10300">
        <v>5407</v>
      </c>
      <c r="D10300" t="str">
        <f>"42263       "</f>
        <v xml:space="preserve">42263       </v>
      </c>
      <c r="E10300" t="s">
        <v>697</v>
      </c>
      <c r="F10300" t="s">
        <v>698</v>
      </c>
      <c r="G10300">
        <v>7.15</v>
      </c>
      <c r="H10300">
        <v>250415</v>
      </c>
      <c r="I10300">
        <v>4390</v>
      </c>
      <c r="J10300" t="s">
        <v>232</v>
      </c>
      <c r="K10300">
        <v>65</v>
      </c>
      <c r="L10300">
        <v>0</v>
      </c>
      <c r="M10300">
        <v>13540</v>
      </c>
      <c r="N10300" t="s">
        <v>131</v>
      </c>
      <c r="O10300">
        <v>250424</v>
      </c>
      <c r="P10300">
        <v>7.15</v>
      </c>
    </row>
    <row r="10301" spans="1:16" x14ac:dyDescent="0.25">
      <c r="A10301" t="s">
        <v>3296</v>
      </c>
      <c r="B10301" t="s">
        <v>2931</v>
      </c>
      <c r="C10301">
        <v>5407</v>
      </c>
      <c r="D10301" t="str">
        <f>"42263       "</f>
        <v xml:space="preserve">42263       </v>
      </c>
      <c r="E10301" t="s">
        <v>697</v>
      </c>
      <c r="F10301" t="s">
        <v>698</v>
      </c>
      <c r="G10301">
        <v>57.85</v>
      </c>
      <c r="H10301">
        <v>250415</v>
      </c>
      <c r="I10301">
        <v>4390</v>
      </c>
      <c r="J10301" t="s">
        <v>232</v>
      </c>
      <c r="K10301">
        <v>65</v>
      </c>
      <c r="L10301">
        <v>0</v>
      </c>
      <c r="M10301">
        <v>17950</v>
      </c>
      <c r="N10301" t="s">
        <v>132</v>
      </c>
      <c r="O10301">
        <v>250424</v>
      </c>
      <c r="P10301">
        <v>57.85</v>
      </c>
    </row>
    <row r="10302" spans="1:16" x14ac:dyDescent="0.25">
      <c r="A10302" t="s">
        <v>3296</v>
      </c>
      <c r="B10302" t="s">
        <v>2931</v>
      </c>
      <c r="C10302">
        <v>14546</v>
      </c>
      <c r="D10302" t="str">
        <f>"45513       "</f>
        <v xml:space="preserve">45513       </v>
      </c>
      <c r="E10302" t="s">
        <v>697</v>
      </c>
      <c r="F10302" t="s">
        <v>698</v>
      </c>
      <c r="G10302">
        <v>896.79</v>
      </c>
      <c r="H10302">
        <v>251021</v>
      </c>
      <c r="I10302">
        <v>4390</v>
      </c>
      <c r="J10302" t="s">
        <v>232</v>
      </c>
      <c r="K10302">
        <v>896.79</v>
      </c>
      <c r="L10302">
        <v>0</v>
      </c>
      <c r="M10302">
        <v>59502</v>
      </c>
      <c r="N10302" t="s">
        <v>63</v>
      </c>
      <c r="O10302">
        <v>251104</v>
      </c>
      <c r="P10302">
        <v>896.79</v>
      </c>
    </row>
    <row r="10303" spans="1:16" x14ac:dyDescent="0.25">
      <c r="A10303" t="s">
        <v>3296</v>
      </c>
      <c r="B10303" t="s">
        <v>2931</v>
      </c>
      <c r="C10303">
        <v>5852</v>
      </c>
      <c r="D10303" t="str">
        <f>"42227       "</f>
        <v xml:space="preserve">42227       </v>
      </c>
      <c r="E10303" t="s">
        <v>697</v>
      </c>
      <c r="F10303" t="s">
        <v>698</v>
      </c>
      <c r="G10303">
        <v>903.6</v>
      </c>
      <c r="H10303">
        <v>250501</v>
      </c>
      <c r="I10303">
        <v>4471</v>
      </c>
      <c r="J10303" t="s">
        <v>191</v>
      </c>
      <c r="K10303">
        <v>1355.4</v>
      </c>
      <c r="L10303">
        <v>183.6</v>
      </c>
      <c r="M10303">
        <v>14952</v>
      </c>
      <c r="N10303" t="s">
        <v>213</v>
      </c>
      <c r="O10303">
        <v>250505</v>
      </c>
      <c r="P10303">
        <v>720</v>
      </c>
    </row>
    <row r="10304" spans="1:16" x14ac:dyDescent="0.25">
      <c r="A10304" t="s">
        <v>3296</v>
      </c>
      <c r="B10304" t="s">
        <v>2931</v>
      </c>
      <c r="C10304">
        <v>9898</v>
      </c>
      <c r="D10304" t="str">
        <f>"43689       "</f>
        <v xml:space="preserve">43689       </v>
      </c>
      <c r="E10304" t="s">
        <v>697</v>
      </c>
      <c r="F10304" t="s">
        <v>698</v>
      </c>
      <c r="G10304">
        <v>62.75</v>
      </c>
      <c r="H10304">
        <v>250801</v>
      </c>
      <c r="I10304">
        <v>4471</v>
      </c>
      <c r="J10304" t="s">
        <v>191</v>
      </c>
      <c r="K10304">
        <v>150.6</v>
      </c>
      <c r="L10304">
        <v>12.75</v>
      </c>
      <c r="M10304">
        <v>14951</v>
      </c>
      <c r="N10304" t="s">
        <v>186</v>
      </c>
      <c r="O10304">
        <v>250804</v>
      </c>
      <c r="P10304">
        <v>50</v>
      </c>
    </row>
    <row r="10305" spans="1:16" x14ac:dyDescent="0.25">
      <c r="A10305" t="s">
        <v>3296</v>
      </c>
      <c r="B10305" t="s">
        <v>2931</v>
      </c>
      <c r="C10305">
        <v>10544</v>
      </c>
      <c r="D10305" t="str">
        <f>"43976       "</f>
        <v xml:space="preserve">43976       </v>
      </c>
      <c r="E10305" t="s">
        <v>697</v>
      </c>
      <c r="F10305" t="s">
        <v>698</v>
      </c>
      <c r="G10305">
        <v>1499.99</v>
      </c>
      <c r="H10305">
        <v>250801</v>
      </c>
      <c r="I10305">
        <v>4471</v>
      </c>
      <c r="J10305" t="s">
        <v>191</v>
      </c>
      <c r="K10305">
        <v>6280.02</v>
      </c>
      <c r="L10305">
        <v>304.77999999999997</v>
      </c>
      <c r="M10305">
        <v>59501</v>
      </c>
      <c r="N10305" t="s">
        <v>62</v>
      </c>
      <c r="O10305">
        <v>250820</v>
      </c>
      <c r="P10305">
        <v>1195.21</v>
      </c>
    </row>
    <row r="10306" spans="1:16" x14ac:dyDescent="0.25">
      <c r="A10306" t="s">
        <v>3296</v>
      </c>
      <c r="B10306" t="s">
        <v>2931</v>
      </c>
      <c r="C10306">
        <v>10544</v>
      </c>
      <c r="D10306" t="str">
        <f>"43976       "</f>
        <v xml:space="preserve">43976       </v>
      </c>
      <c r="E10306" t="s">
        <v>697</v>
      </c>
      <c r="F10306" t="s">
        <v>698</v>
      </c>
      <c r="G10306">
        <v>209.6</v>
      </c>
      <c r="H10306">
        <v>250801</v>
      </c>
      <c r="I10306">
        <v>4471</v>
      </c>
      <c r="J10306" t="s">
        <v>191</v>
      </c>
      <c r="K10306">
        <v>6280.02</v>
      </c>
      <c r="L10306">
        <v>42.59</v>
      </c>
      <c r="M10306">
        <v>59502</v>
      </c>
      <c r="N10306" t="s">
        <v>63</v>
      </c>
      <c r="O10306">
        <v>250820</v>
      </c>
      <c r="P10306">
        <v>167.01</v>
      </c>
    </row>
    <row r="10307" spans="1:16" x14ac:dyDescent="0.25">
      <c r="A10307" t="s">
        <v>3296</v>
      </c>
      <c r="B10307" t="s">
        <v>2931</v>
      </c>
      <c r="C10307">
        <v>10544</v>
      </c>
      <c r="D10307" t="str">
        <f>"43976       "</f>
        <v xml:space="preserve">43976       </v>
      </c>
      <c r="E10307" t="s">
        <v>697</v>
      </c>
      <c r="F10307" t="s">
        <v>698</v>
      </c>
      <c r="G10307">
        <v>389.3</v>
      </c>
      <c r="H10307">
        <v>250801</v>
      </c>
      <c r="I10307">
        <v>4471</v>
      </c>
      <c r="J10307" t="s">
        <v>191</v>
      </c>
      <c r="K10307">
        <v>6280.02</v>
      </c>
      <c r="L10307">
        <v>79.099999999999994</v>
      </c>
      <c r="M10307">
        <v>59802</v>
      </c>
      <c r="N10307" t="s">
        <v>195</v>
      </c>
      <c r="O10307">
        <v>250820</v>
      </c>
      <c r="P10307">
        <v>310.2</v>
      </c>
    </row>
    <row r="10308" spans="1:16" x14ac:dyDescent="0.25">
      <c r="A10308" t="s">
        <v>3296</v>
      </c>
      <c r="B10308" t="s">
        <v>2931</v>
      </c>
      <c r="C10308">
        <v>10355</v>
      </c>
      <c r="D10308" t="str">
        <f>"44029       "</f>
        <v xml:space="preserve">44029       </v>
      </c>
      <c r="E10308" t="s">
        <v>697</v>
      </c>
      <c r="F10308" t="s">
        <v>698</v>
      </c>
      <c r="G10308">
        <v>660.93</v>
      </c>
      <c r="H10308">
        <v>250805</v>
      </c>
      <c r="I10308">
        <v>4580</v>
      </c>
      <c r="J10308" t="s">
        <v>126</v>
      </c>
      <c r="K10308">
        <v>660.93</v>
      </c>
      <c r="L10308">
        <v>134.29</v>
      </c>
      <c r="M10308">
        <v>17521</v>
      </c>
      <c r="N10308" t="s">
        <v>136</v>
      </c>
      <c r="O10308">
        <v>250818</v>
      </c>
      <c r="P10308">
        <v>526.64</v>
      </c>
    </row>
    <row r="10309" spans="1:16" x14ac:dyDescent="0.25">
      <c r="A10309" t="s">
        <v>3296</v>
      </c>
      <c r="B10309" t="s">
        <v>2931</v>
      </c>
      <c r="C10309">
        <v>2635</v>
      </c>
      <c r="D10309" t="str">
        <f>"41335       "</f>
        <v xml:space="preserve">41335       </v>
      </c>
      <c r="E10309" t="s">
        <v>697</v>
      </c>
      <c r="F10309" t="s">
        <v>698</v>
      </c>
      <c r="G10309">
        <v>446.9</v>
      </c>
      <c r="H10309">
        <v>250224</v>
      </c>
      <c r="I10309">
        <v>4600</v>
      </c>
      <c r="J10309" t="s">
        <v>278</v>
      </c>
      <c r="K10309">
        <v>476.9</v>
      </c>
      <c r="L10309">
        <v>90.8</v>
      </c>
      <c r="M10309">
        <v>17952</v>
      </c>
      <c r="N10309" t="s">
        <v>157</v>
      </c>
      <c r="O10309">
        <v>250307</v>
      </c>
      <c r="P10309">
        <v>356.1</v>
      </c>
    </row>
    <row r="10310" spans="1:16" x14ac:dyDescent="0.25">
      <c r="A10310" t="s">
        <v>3296</v>
      </c>
      <c r="B10310" t="s">
        <v>2931</v>
      </c>
      <c r="C10310">
        <v>10427</v>
      </c>
      <c r="D10310" t="str">
        <f>"44122       "</f>
        <v xml:space="preserve">44122       </v>
      </c>
      <c r="E10310" t="s">
        <v>697</v>
      </c>
      <c r="F10310" t="s">
        <v>698</v>
      </c>
      <c r="G10310">
        <v>867.21</v>
      </c>
      <c r="H10310">
        <v>250811</v>
      </c>
      <c r="I10310">
        <v>4600</v>
      </c>
      <c r="J10310" t="s">
        <v>278</v>
      </c>
      <c r="K10310">
        <v>867.21</v>
      </c>
      <c r="L10310">
        <v>176.21</v>
      </c>
      <c r="M10310">
        <v>14972</v>
      </c>
      <c r="N10310" t="s">
        <v>82</v>
      </c>
      <c r="O10310">
        <v>250819</v>
      </c>
      <c r="P10310">
        <v>691</v>
      </c>
    </row>
    <row r="10311" spans="1:16" x14ac:dyDescent="0.25">
      <c r="A10311" t="s">
        <v>3296</v>
      </c>
      <c r="B10311" t="s">
        <v>2931</v>
      </c>
      <c r="C10311">
        <v>114</v>
      </c>
      <c r="D10311" t="str">
        <f>"26423432    "</f>
        <v xml:space="preserve">26423432    </v>
      </c>
      <c r="E10311" t="s">
        <v>210</v>
      </c>
      <c r="F10311" t="s">
        <v>212</v>
      </c>
      <c r="G10311">
        <v>230.4</v>
      </c>
      <c r="H10311">
        <v>250101</v>
      </c>
      <c r="I10311">
        <v>4380</v>
      </c>
      <c r="J10311" t="s">
        <v>211</v>
      </c>
      <c r="K10311">
        <v>691.2</v>
      </c>
      <c r="L10311">
        <v>46.81</v>
      </c>
      <c r="M10311">
        <v>11401</v>
      </c>
      <c r="N10311" t="s">
        <v>91</v>
      </c>
      <c r="O10311">
        <v>250110</v>
      </c>
      <c r="P10311">
        <v>183.59</v>
      </c>
    </row>
    <row r="10312" spans="1:16" x14ac:dyDescent="0.25">
      <c r="A10312" t="s">
        <v>3296</v>
      </c>
      <c r="B10312" t="s">
        <v>2931</v>
      </c>
      <c r="C10312">
        <v>114</v>
      </c>
      <c r="D10312" t="str">
        <f>"26423432    "</f>
        <v xml:space="preserve">26423432    </v>
      </c>
      <c r="E10312" t="s">
        <v>210</v>
      </c>
      <c r="F10312" t="s">
        <v>212</v>
      </c>
      <c r="G10312">
        <v>460.8</v>
      </c>
      <c r="H10312">
        <v>250101</v>
      </c>
      <c r="I10312">
        <v>4380</v>
      </c>
      <c r="J10312" t="s">
        <v>211</v>
      </c>
      <c r="K10312">
        <v>691.2</v>
      </c>
      <c r="L10312">
        <v>93.63</v>
      </c>
      <c r="M10312">
        <v>14952</v>
      </c>
      <c r="N10312" t="s">
        <v>213</v>
      </c>
      <c r="O10312">
        <v>250110</v>
      </c>
      <c r="P10312">
        <v>367.17</v>
      </c>
    </row>
    <row r="10313" spans="1:16" x14ac:dyDescent="0.25">
      <c r="A10313" t="s">
        <v>3296</v>
      </c>
      <c r="B10313" t="s">
        <v>2931</v>
      </c>
      <c r="C10313">
        <v>1329</v>
      </c>
      <c r="D10313" t="str">
        <f>"26430773    "</f>
        <v xml:space="preserve">26430773    </v>
      </c>
      <c r="E10313" t="s">
        <v>210</v>
      </c>
      <c r="F10313" t="s">
        <v>212</v>
      </c>
      <c r="G10313">
        <v>230.4</v>
      </c>
      <c r="H10313">
        <v>250201</v>
      </c>
      <c r="I10313">
        <v>4380</v>
      </c>
      <c r="J10313" t="s">
        <v>211</v>
      </c>
      <c r="K10313">
        <v>691.2</v>
      </c>
      <c r="L10313">
        <v>46.81</v>
      </c>
      <c r="M10313">
        <v>11401</v>
      </c>
      <c r="N10313" t="s">
        <v>91</v>
      </c>
      <c r="O10313">
        <v>250207</v>
      </c>
      <c r="P10313">
        <v>183.59</v>
      </c>
    </row>
    <row r="10314" spans="1:16" x14ac:dyDescent="0.25">
      <c r="A10314" t="s">
        <v>3296</v>
      </c>
      <c r="B10314" t="s">
        <v>2931</v>
      </c>
      <c r="C10314">
        <v>1329</v>
      </c>
      <c r="D10314" t="str">
        <f>"26430773    "</f>
        <v xml:space="preserve">26430773    </v>
      </c>
      <c r="E10314" t="s">
        <v>210</v>
      </c>
      <c r="F10314" t="s">
        <v>212</v>
      </c>
      <c r="G10314">
        <v>460.8</v>
      </c>
      <c r="H10314">
        <v>250201</v>
      </c>
      <c r="I10314">
        <v>4380</v>
      </c>
      <c r="J10314" t="s">
        <v>211</v>
      </c>
      <c r="K10314">
        <v>691.2</v>
      </c>
      <c r="L10314">
        <v>93.63</v>
      </c>
      <c r="M10314">
        <v>14952</v>
      </c>
      <c r="N10314" t="s">
        <v>213</v>
      </c>
      <c r="O10314">
        <v>250207</v>
      </c>
      <c r="P10314">
        <v>367.17</v>
      </c>
    </row>
    <row r="10315" spans="1:16" x14ac:dyDescent="0.25">
      <c r="A10315" t="s">
        <v>3296</v>
      </c>
      <c r="B10315" t="s">
        <v>2931</v>
      </c>
      <c r="C10315">
        <v>2907</v>
      </c>
      <c r="D10315" t="str">
        <f>"26437377    "</f>
        <v xml:space="preserve">26437377    </v>
      </c>
      <c r="E10315" t="s">
        <v>210</v>
      </c>
      <c r="F10315" t="s">
        <v>212</v>
      </c>
      <c r="G10315">
        <v>230.4</v>
      </c>
      <c r="H10315">
        <v>250301</v>
      </c>
      <c r="I10315">
        <v>4380</v>
      </c>
      <c r="J10315" t="s">
        <v>211</v>
      </c>
      <c r="K10315">
        <v>691.2</v>
      </c>
      <c r="L10315">
        <v>46.81</v>
      </c>
      <c r="M10315">
        <v>11401</v>
      </c>
      <c r="N10315" t="s">
        <v>91</v>
      </c>
      <c r="O10315">
        <v>250313</v>
      </c>
      <c r="P10315">
        <v>183.59</v>
      </c>
    </row>
    <row r="10316" spans="1:16" x14ac:dyDescent="0.25">
      <c r="A10316" t="s">
        <v>3296</v>
      </c>
      <c r="B10316" t="s">
        <v>2931</v>
      </c>
      <c r="C10316">
        <v>2907</v>
      </c>
      <c r="D10316" t="str">
        <f>"26437377    "</f>
        <v xml:space="preserve">26437377    </v>
      </c>
      <c r="E10316" t="s">
        <v>210</v>
      </c>
      <c r="F10316" t="s">
        <v>212</v>
      </c>
      <c r="G10316">
        <v>460.8</v>
      </c>
      <c r="H10316">
        <v>250301</v>
      </c>
      <c r="I10316">
        <v>4380</v>
      </c>
      <c r="J10316" t="s">
        <v>211</v>
      </c>
      <c r="K10316">
        <v>691.2</v>
      </c>
      <c r="L10316">
        <v>93.63</v>
      </c>
      <c r="M10316">
        <v>14952</v>
      </c>
      <c r="N10316" t="s">
        <v>213</v>
      </c>
      <c r="O10316">
        <v>250313</v>
      </c>
      <c r="P10316">
        <v>367.17</v>
      </c>
    </row>
    <row r="10317" spans="1:16" x14ac:dyDescent="0.25">
      <c r="A10317" t="s">
        <v>3296</v>
      </c>
      <c r="B10317" t="s">
        <v>2931</v>
      </c>
      <c r="C10317">
        <v>4590</v>
      </c>
      <c r="D10317" t="str">
        <f>"26443680    "</f>
        <v xml:space="preserve">26443680    </v>
      </c>
      <c r="E10317" t="s">
        <v>210</v>
      </c>
      <c r="F10317" t="s">
        <v>212</v>
      </c>
      <c r="G10317">
        <v>230.4</v>
      </c>
      <c r="H10317">
        <v>250401</v>
      </c>
      <c r="I10317">
        <v>4380</v>
      </c>
      <c r="J10317" t="s">
        <v>211</v>
      </c>
      <c r="K10317">
        <v>691.2</v>
      </c>
      <c r="L10317">
        <v>46.81</v>
      </c>
      <c r="M10317">
        <v>11401</v>
      </c>
      <c r="N10317" t="s">
        <v>91</v>
      </c>
      <c r="O10317">
        <v>250414</v>
      </c>
      <c r="P10317">
        <v>183.59</v>
      </c>
    </row>
    <row r="10318" spans="1:16" x14ac:dyDescent="0.25">
      <c r="A10318" t="s">
        <v>3296</v>
      </c>
      <c r="B10318" t="s">
        <v>2931</v>
      </c>
      <c r="C10318">
        <v>4590</v>
      </c>
      <c r="D10318" t="str">
        <f>"26443680    "</f>
        <v xml:space="preserve">26443680    </v>
      </c>
      <c r="E10318" t="s">
        <v>210</v>
      </c>
      <c r="F10318" t="s">
        <v>212</v>
      </c>
      <c r="G10318">
        <v>460.8</v>
      </c>
      <c r="H10318">
        <v>250401</v>
      </c>
      <c r="I10318">
        <v>4380</v>
      </c>
      <c r="J10318" t="s">
        <v>211</v>
      </c>
      <c r="K10318">
        <v>691.2</v>
      </c>
      <c r="L10318">
        <v>93.63</v>
      </c>
      <c r="M10318">
        <v>14952</v>
      </c>
      <c r="N10318" t="s">
        <v>213</v>
      </c>
      <c r="O10318">
        <v>250414</v>
      </c>
      <c r="P10318">
        <v>367.17</v>
      </c>
    </row>
    <row r="10319" spans="1:16" x14ac:dyDescent="0.25">
      <c r="A10319" t="s">
        <v>3296</v>
      </c>
      <c r="B10319" t="s">
        <v>2931</v>
      </c>
      <c r="C10319">
        <v>6390</v>
      </c>
      <c r="D10319" t="str">
        <f>"26450150    "</f>
        <v xml:space="preserve">26450150    </v>
      </c>
      <c r="E10319" t="s">
        <v>210</v>
      </c>
      <c r="F10319" t="s">
        <v>212</v>
      </c>
      <c r="G10319">
        <v>230.4</v>
      </c>
      <c r="H10319">
        <v>250501</v>
      </c>
      <c r="I10319">
        <v>4380</v>
      </c>
      <c r="J10319" t="s">
        <v>211</v>
      </c>
      <c r="K10319">
        <v>691.2</v>
      </c>
      <c r="L10319">
        <v>46.81</v>
      </c>
      <c r="M10319">
        <v>11401</v>
      </c>
      <c r="N10319" t="s">
        <v>91</v>
      </c>
      <c r="O10319">
        <v>250513</v>
      </c>
      <c r="P10319">
        <v>183.59</v>
      </c>
    </row>
    <row r="10320" spans="1:16" x14ac:dyDescent="0.25">
      <c r="A10320" t="s">
        <v>3296</v>
      </c>
      <c r="B10320" t="s">
        <v>2931</v>
      </c>
      <c r="C10320">
        <v>6390</v>
      </c>
      <c r="D10320" t="str">
        <f>"26450150    "</f>
        <v xml:space="preserve">26450150    </v>
      </c>
      <c r="E10320" t="s">
        <v>210</v>
      </c>
      <c r="F10320" t="s">
        <v>212</v>
      </c>
      <c r="G10320">
        <v>460.8</v>
      </c>
      <c r="H10320">
        <v>250501</v>
      </c>
      <c r="I10320">
        <v>4380</v>
      </c>
      <c r="J10320" t="s">
        <v>211</v>
      </c>
      <c r="K10320">
        <v>691.2</v>
      </c>
      <c r="L10320">
        <v>93.63</v>
      </c>
      <c r="M10320">
        <v>14952</v>
      </c>
      <c r="N10320" t="s">
        <v>213</v>
      </c>
      <c r="O10320">
        <v>250513</v>
      </c>
      <c r="P10320">
        <v>367.17</v>
      </c>
    </row>
    <row r="10321" spans="1:16" x14ac:dyDescent="0.25">
      <c r="A10321" t="s">
        <v>3296</v>
      </c>
      <c r="B10321" t="s">
        <v>2931</v>
      </c>
      <c r="C10321">
        <v>14095</v>
      </c>
      <c r="D10321" t="str">
        <f>"26482333    "</f>
        <v xml:space="preserve">26482333    </v>
      </c>
      <c r="E10321" t="s">
        <v>210</v>
      </c>
      <c r="F10321" t="s">
        <v>212</v>
      </c>
      <c r="G10321">
        <v>174.42</v>
      </c>
      <c r="H10321">
        <v>251016</v>
      </c>
      <c r="I10321">
        <v>4380</v>
      </c>
      <c r="J10321" t="s">
        <v>211</v>
      </c>
      <c r="K10321">
        <v>1585.63</v>
      </c>
      <c r="L10321">
        <v>35.44</v>
      </c>
      <c r="M10321">
        <v>13552</v>
      </c>
      <c r="N10321" t="s">
        <v>133</v>
      </c>
      <c r="O10321">
        <v>251024</v>
      </c>
      <c r="P10321">
        <v>138.97999999999999</v>
      </c>
    </row>
    <row r="10322" spans="1:16" x14ac:dyDescent="0.25">
      <c r="A10322" t="s">
        <v>3296</v>
      </c>
      <c r="B10322" t="s">
        <v>2931</v>
      </c>
      <c r="C10322">
        <v>14095</v>
      </c>
      <c r="D10322" t="str">
        <f>"26482333    "</f>
        <v xml:space="preserve">26482333    </v>
      </c>
      <c r="E10322" t="s">
        <v>210</v>
      </c>
      <c r="F10322" t="s">
        <v>212</v>
      </c>
      <c r="G10322">
        <v>1411.21</v>
      </c>
      <c r="H10322">
        <v>251016</v>
      </c>
      <c r="I10322">
        <v>4380</v>
      </c>
      <c r="J10322" t="s">
        <v>211</v>
      </c>
      <c r="K10322">
        <v>1585.63</v>
      </c>
      <c r="L10322">
        <v>286.74</v>
      </c>
      <c r="M10322">
        <v>17918</v>
      </c>
      <c r="N10322" t="s">
        <v>152</v>
      </c>
      <c r="O10322">
        <v>251024</v>
      </c>
      <c r="P10322">
        <v>1124.47</v>
      </c>
    </row>
    <row r="10323" spans="1:16" x14ac:dyDescent="0.25">
      <c r="A10323" t="s">
        <v>3296</v>
      </c>
      <c r="B10323" t="s">
        <v>2931</v>
      </c>
      <c r="C10323">
        <v>7228</v>
      </c>
      <c r="D10323" t="str">
        <f>"26453032    "</f>
        <v xml:space="preserve">26453032    </v>
      </c>
      <c r="E10323" t="s">
        <v>210</v>
      </c>
      <c r="F10323" t="s">
        <v>212</v>
      </c>
      <c r="G10323">
        <v>518.1</v>
      </c>
      <c r="H10323">
        <v>250516</v>
      </c>
      <c r="I10323">
        <v>4390</v>
      </c>
      <c r="J10323" t="s">
        <v>232</v>
      </c>
      <c r="K10323">
        <v>1554.3</v>
      </c>
      <c r="L10323">
        <v>105.27</v>
      </c>
      <c r="M10323">
        <v>11401</v>
      </c>
      <c r="N10323" t="s">
        <v>91</v>
      </c>
      <c r="O10323">
        <v>250527</v>
      </c>
      <c r="P10323">
        <v>412.83</v>
      </c>
    </row>
    <row r="10324" spans="1:16" x14ac:dyDescent="0.25">
      <c r="A10324" t="s">
        <v>3296</v>
      </c>
      <c r="B10324" t="s">
        <v>2931</v>
      </c>
      <c r="C10324">
        <v>7228</v>
      </c>
      <c r="D10324" t="str">
        <f>"26453032    "</f>
        <v xml:space="preserve">26453032    </v>
      </c>
      <c r="E10324" t="s">
        <v>210</v>
      </c>
      <c r="F10324" t="s">
        <v>212</v>
      </c>
      <c r="G10324">
        <v>1036.2</v>
      </c>
      <c r="H10324">
        <v>250516</v>
      </c>
      <c r="I10324">
        <v>4390</v>
      </c>
      <c r="J10324" t="s">
        <v>232</v>
      </c>
      <c r="K10324">
        <v>1554.3</v>
      </c>
      <c r="L10324">
        <v>210.54</v>
      </c>
      <c r="M10324">
        <v>14952</v>
      </c>
      <c r="N10324" t="s">
        <v>213</v>
      </c>
      <c r="O10324">
        <v>250527</v>
      </c>
      <c r="P10324">
        <v>825.66</v>
      </c>
    </row>
    <row r="10325" spans="1:16" x14ac:dyDescent="0.25">
      <c r="A10325" t="s">
        <v>3296</v>
      </c>
      <c r="B10325" t="s">
        <v>2931</v>
      </c>
      <c r="C10325">
        <v>1829</v>
      </c>
      <c r="D10325" t="str">
        <f>"26430774    "</f>
        <v xml:space="preserve">26430774    </v>
      </c>
      <c r="E10325" t="s">
        <v>210</v>
      </c>
      <c r="F10325" t="s">
        <v>212</v>
      </c>
      <c r="G10325">
        <v>26.35</v>
      </c>
      <c r="H10325">
        <v>250131</v>
      </c>
      <c r="I10325">
        <v>4600</v>
      </c>
      <c r="J10325" t="s">
        <v>278</v>
      </c>
      <c r="K10325">
        <v>79.069999999999993</v>
      </c>
      <c r="L10325">
        <v>5.35</v>
      </c>
      <c r="M10325">
        <v>11401</v>
      </c>
      <c r="N10325" t="s">
        <v>91</v>
      </c>
      <c r="O10325">
        <v>250214</v>
      </c>
      <c r="P10325">
        <v>21</v>
      </c>
    </row>
    <row r="10326" spans="1:16" x14ac:dyDescent="0.25">
      <c r="A10326" t="s">
        <v>3296</v>
      </c>
      <c r="B10326" t="s">
        <v>2931</v>
      </c>
      <c r="C10326">
        <v>1829</v>
      </c>
      <c r="D10326" t="str">
        <f>"26430774    "</f>
        <v xml:space="preserve">26430774    </v>
      </c>
      <c r="E10326" t="s">
        <v>210</v>
      </c>
      <c r="F10326" t="s">
        <v>212</v>
      </c>
      <c r="G10326">
        <v>52.72</v>
      </c>
      <c r="H10326">
        <v>250131</v>
      </c>
      <c r="I10326">
        <v>4600</v>
      </c>
      <c r="J10326" t="s">
        <v>278</v>
      </c>
      <c r="K10326">
        <v>79.069999999999993</v>
      </c>
      <c r="L10326">
        <v>10.71</v>
      </c>
      <c r="M10326">
        <v>14952</v>
      </c>
      <c r="N10326" t="s">
        <v>213</v>
      </c>
      <c r="O10326">
        <v>250214</v>
      </c>
      <c r="P10326">
        <v>42.01</v>
      </c>
    </row>
    <row r="10327" spans="1:16" x14ac:dyDescent="0.25">
      <c r="A10327" t="s">
        <v>3296</v>
      </c>
      <c r="B10327" t="s">
        <v>2931</v>
      </c>
      <c r="C10327">
        <v>4234</v>
      </c>
      <c r="D10327" t="str">
        <f>"26441302    "</f>
        <v xml:space="preserve">26441302    </v>
      </c>
      <c r="E10327" t="s">
        <v>210</v>
      </c>
      <c r="F10327" t="s">
        <v>212</v>
      </c>
      <c r="G10327">
        <v>37.65</v>
      </c>
      <c r="H10327">
        <v>250325</v>
      </c>
      <c r="I10327">
        <v>4600</v>
      </c>
      <c r="J10327" t="s">
        <v>278</v>
      </c>
      <c r="K10327">
        <v>112.95</v>
      </c>
      <c r="L10327">
        <v>7.65</v>
      </c>
      <c r="M10327">
        <v>11401</v>
      </c>
      <c r="N10327" t="s">
        <v>91</v>
      </c>
      <c r="O10327">
        <v>250409</v>
      </c>
      <c r="P10327">
        <v>30</v>
      </c>
    </row>
    <row r="10328" spans="1:16" x14ac:dyDescent="0.25">
      <c r="A10328" t="s">
        <v>3296</v>
      </c>
      <c r="B10328" t="s">
        <v>2931</v>
      </c>
      <c r="C10328">
        <v>4234</v>
      </c>
      <c r="D10328" t="str">
        <f>"26441302    "</f>
        <v xml:space="preserve">26441302    </v>
      </c>
      <c r="E10328" t="s">
        <v>210</v>
      </c>
      <c r="F10328" t="s">
        <v>212</v>
      </c>
      <c r="G10328">
        <v>75.3</v>
      </c>
      <c r="H10328">
        <v>250325</v>
      </c>
      <c r="I10328">
        <v>4600</v>
      </c>
      <c r="J10328" t="s">
        <v>278</v>
      </c>
      <c r="K10328">
        <v>112.95</v>
      </c>
      <c r="L10328">
        <v>15.3</v>
      </c>
      <c r="M10328">
        <v>14952</v>
      </c>
      <c r="N10328" t="s">
        <v>213</v>
      </c>
      <c r="O10328">
        <v>250409</v>
      </c>
      <c r="P10328">
        <v>60</v>
      </c>
    </row>
    <row r="10329" spans="1:16" x14ac:dyDescent="0.25">
      <c r="A10329" t="s">
        <v>3296</v>
      </c>
      <c r="B10329" t="s">
        <v>2931</v>
      </c>
      <c r="C10329">
        <v>159</v>
      </c>
      <c r="D10329" t="str">
        <f>"23294479    "</f>
        <v xml:space="preserve">23294479    </v>
      </c>
      <c r="E10329" t="s">
        <v>3293</v>
      </c>
      <c r="F10329" t="s">
        <v>3292</v>
      </c>
      <c r="G10329">
        <v>374</v>
      </c>
      <c r="H10329">
        <v>250101</v>
      </c>
      <c r="I10329">
        <v>4380</v>
      </c>
      <c r="J10329" t="s">
        <v>211</v>
      </c>
      <c r="K10329">
        <v>6611.67</v>
      </c>
      <c r="L10329">
        <v>75.989999999999995</v>
      </c>
      <c r="M10329">
        <v>11402</v>
      </c>
      <c r="N10329" t="s">
        <v>184</v>
      </c>
      <c r="O10329">
        <v>250114</v>
      </c>
      <c r="P10329">
        <v>298.01</v>
      </c>
    </row>
    <row r="10330" spans="1:16" x14ac:dyDescent="0.25">
      <c r="A10330" t="s">
        <v>3296</v>
      </c>
      <c r="B10330" t="s">
        <v>2931</v>
      </c>
      <c r="C10330">
        <v>159</v>
      </c>
      <c r="D10330" t="str">
        <f>"23294479    "</f>
        <v xml:space="preserve">23294479    </v>
      </c>
      <c r="E10330" t="s">
        <v>3293</v>
      </c>
      <c r="F10330" t="s">
        <v>3292</v>
      </c>
      <c r="G10330">
        <v>1006.73</v>
      </c>
      <c r="H10330">
        <v>250101</v>
      </c>
      <c r="I10330">
        <v>4380</v>
      </c>
      <c r="J10330" t="s">
        <v>211</v>
      </c>
      <c r="K10330">
        <v>6611.67</v>
      </c>
      <c r="L10330">
        <v>204.55</v>
      </c>
      <c r="M10330">
        <v>14951</v>
      </c>
      <c r="N10330" t="s">
        <v>186</v>
      </c>
      <c r="O10330">
        <v>250114</v>
      </c>
      <c r="P10330">
        <v>802.18</v>
      </c>
    </row>
    <row r="10331" spans="1:16" x14ac:dyDescent="0.25">
      <c r="A10331" t="s">
        <v>3296</v>
      </c>
      <c r="B10331" t="s">
        <v>2931</v>
      </c>
      <c r="C10331">
        <v>159</v>
      </c>
      <c r="D10331" t="str">
        <f>"23294479    "</f>
        <v xml:space="preserve">23294479    </v>
      </c>
      <c r="E10331" t="s">
        <v>3293</v>
      </c>
      <c r="F10331" t="s">
        <v>3292</v>
      </c>
      <c r="G10331">
        <v>4446.3</v>
      </c>
      <c r="H10331">
        <v>250101</v>
      </c>
      <c r="I10331">
        <v>4380</v>
      </c>
      <c r="J10331" t="s">
        <v>211</v>
      </c>
      <c r="K10331">
        <v>6611.67</v>
      </c>
      <c r="L10331">
        <v>903.43</v>
      </c>
      <c r="M10331">
        <v>14951</v>
      </c>
      <c r="N10331" t="s">
        <v>186</v>
      </c>
      <c r="O10331">
        <v>250114</v>
      </c>
      <c r="P10331">
        <v>3542.87</v>
      </c>
    </row>
    <row r="10332" spans="1:16" x14ac:dyDescent="0.25">
      <c r="A10332" t="s">
        <v>3296</v>
      </c>
      <c r="B10332" t="s">
        <v>2931</v>
      </c>
      <c r="C10332">
        <v>159</v>
      </c>
      <c r="D10332" t="str">
        <f>"23294479    "</f>
        <v xml:space="preserve">23294479    </v>
      </c>
      <c r="E10332" t="s">
        <v>3293</v>
      </c>
      <c r="F10332" t="s">
        <v>3292</v>
      </c>
      <c r="G10332">
        <v>784.64</v>
      </c>
      <c r="H10332">
        <v>250101</v>
      </c>
      <c r="I10332">
        <v>4380</v>
      </c>
      <c r="J10332" t="s">
        <v>211</v>
      </c>
      <c r="K10332">
        <v>6611.67</v>
      </c>
      <c r="L10332">
        <v>159.43</v>
      </c>
      <c r="M10332">
        <v>14990</v>
      </c>
      <c r="N10332" t="s">
        <v>85</v>
      </c>
      <c r="O10332">
        <v>250114</v>
      </c>
      <c r="P10332">
        <v>625.21</v>
      </c>
    </row>
    <row r="10333" spans="1:16" x14ac:dyDescent="0.25">
      <c r="A10333" t="s">
        <v>3296</v>
      </c>
      <c r="B10333" t="s">
        <v>2931</v>
      </c>
      <c r="C10333">
        <v>1493</v>
      </c>
      <c r="D10333" t="str">
        <f>"23299970    "</f>
        <v xml:space="preserve">23299970    </v>
      </c>
      <c r="E10333" t="s">
        <v>3293</v>
      </c>
      <c r="F10333" t="s">
        <v>3292</v>
      </c>
      <c r="G10333">
        <v>374</v>
      </c>
      <c r="H10333">
        <v>250201</v>
      </c>
      <c r="I10333">
        <v>4380</v>
      </c>
      <c r="J10333" t="s">
        <v>211</v>
      </c>
      <c r="K10333">
        <v>6611.67</v>
      </c>
      <c r="L10333">
        <v>75.989999999999995</v>
      </c>
      <c r="M10333">
        <v>11402</v>
      </c>
      <c r="N10333" t="s">
        <v>184</v>
      </c>
      <c r="O10333">
        <v>250210</v>
      </c>
      <c r="P10333">
        <v>298.01</v>
      </c>
    </row>
    <row r="10334" spans="1:16" x14ac:dyDescent="0.25">
      <c r="A10334" t="s">
        <v>3296</v>
      </c>
      <c r="B10334" t="s">
        <v>2931</v>
      </c>
      <c r="C10334">
        <v>1493</v>
      </c>
      <c r="D10334" t="str">
        <f>"23299970    "</f>
        <v xml:space="preserve">23299970    </v>
      </c>
      <c r="E10334" t="s">
        <v>3293</v>
      </c>
      <c r="F10334" t="s">
        <v>3292</v>
      </c>
      <c r="G10334">
        <v>1006.73</v>
      </c>
      <c r="H10334">
        <v>250201</v>
      </c>
      <c r="I10334">
        <v>4380</v>
      </c>
      <c r="J10334" t="s">
        <v>211</v>
      </c>
      <c r="K10334">
        <v>6611.67</v>
      </c>
      <c r="L10334">
        <v>204.55</v>
      </c>
      <c r="M10334">
        <v>14951</v>
      </c>
      <c r="N10334" t="s">
        <v>186</v>
      </c>
      <c r="O10334">
        <v>250210</v>
      </c>
      <c r="P10334">
        <v>802.18</v>
      </c>
    </row>
    <row r="10335" spans="1:16" x14ac:dyDescent="0.25">
      <c r="A10335" t="s">
        <v>3296</v>
      </c>
      <c r="B10335" t="s">
        <v>2931</v>
      </c>
      <c r="C10335">
        <v>1493</v>
      </c>
      <c r="D10335" t="str">
        <f>"23299970    "</f>
        <v xml:space="preserve">23299970    </v>
      </c>
      <c r="E10335" t="s">
        <v>3293</v>
      </c>
      <c r="F10335" t="s">
        <v>3292</v>
      </c>
      <c r="G10335">
        <v>4446.3</v>
      </c>
      <c r="H10335">
        <v>250201</v>
      </c>
      <c r="I10335">
        <v>4380</v>
      </c>
      <c r="J10335" t="s">
        <v>211</v>
      </c>
      <c r="K10335">
        <v>6611.67</v>
      </c>
      <c r="L10335">
        <v>903.43</v>
      </c>
      <c r="M10335">
        <v>14951</v>
      </c>
      <c r="N10335" t="s">
        <v>186</v>
      </c>
      <c r="O10335">
        <v>250210</v>
      </c>
      <c r="P10335">
        <v>3542.87</v>
      </c>
    </row>
    <row r="10336" spans="1:16" x14ac:dyDescent="0.25">
      <c r="A10336" t="s">
        <v>3296</v>
      </c>
      <c r="B10336" t="s">
        <v>2931</v>
      </c>
      <c r="C10336">
        <v>1493</v>
      </c>
      <c r="D10336" t="str">
        <f>"23299970    "</f>
        <v xml:space="preserve">23299970    </v>
      </c>
      <c r="E10336" t="s">
        <v>3293</v>
      </c>
      <c r="F10336" t="s">
        <v>3292</v>
      </c>
      <c r="G10336">
        <v>784.64</v>
      </c>
      <c r="H10336">
        <v>250201</v>
      </c>
      <c r="I10336">
        <v>4380</v>
      </c>
      <c r="J10336" t="s">
        <v>211</v>
      </c>
      <c r="K10336">
        <v>6611.67</v>
      </c>
      <c r="L10336">
        <v>159.43</v>
      </c>
      <c r="M10336">
        <v>14990</v>
      </c>
      <c r="N10336" t="s">
        <v>85</v>
      </c>
      <c r="O10336">
        <v>250210</v>
      </c>
      <c r="P10336">
        <v>625.21</v>
      </c>
    </row>
    <row r="10337" spans="1:16" x14ac:dyDescent="0.25">
      <c r="A10337" t="s">
        <v>3296</v>
      </c>
      <c r="B10337" t="s">
        <v>2931</v>
      </c>
      <c r="C10337">
        <v>2897</v>
      </c>
      <c r="D10337" t="str">
        <f>"23305129    "</f>
        <v xml:space="preserve">23305129    </v>
      </c>
      <c r="E10337" t="s">
        <v>3293</v>
      </c>
      <c r="F10337" t="s">
        <v>3292</v>
      </c>
      <c r="G10337">
        <v>374</v>
      </c>
      <c r="H10337">
        <v>250301</v>
      </c>
      <c r="I10337">
        <v>4380</v>
      </c>
      <c r="J10337" t="s">
        <v>211</v>
      </c>
      <c r="K10337">
        <v>6611.67</v>
      </c>
      <c r="L10337">
        <v>75.989999999999995</v>
      </c>
      <c r="M10337">
        <v>11402</v>
      </c>
      <c r="N10337" t="s">
        <v>184</v>
      </c>
      <c r="O10337">
        <v>250313</v>
      </c>
      <c r="P10337">
        <v>298.01</v>
      </c>
    </row>
    <row r="10338" spans="1:16" x14ac:dyDescent="0.25">
      <c r="A10338" t="s">
        <v>3296</v>
      </c>
      <c r="B10338" t="s">
        <v>2931</v>
      </c>
      <c r="C10338">
        <v>2897</v>
      </c>
      <c r="D10338" t="str">
        <f>"23305129    "</f>
        <v xml:space="preserve">23305129    </v>
      </c>
      <c r="E10338" t="s">
        <v>3293</v>
      </c>
      <c r="F10338" t="s">
        <v>3292</v>
      </c>
      <c r="G10338">
        <v>1006.73</v>
      </c>
      <c r="H10338">
        <v>250301</v>
      </c>
      <c r="I10338">
        <v>4380</v>
      </c>
      <c r="J10338" t="s">
        <v>211</v>
      </c>
      <c r="K10338">
        <v>6611.67</v>
      </c>
      <c r="L10338">
        <v>204.55</v>
      </c>
      <c r="M10338">
        <v>14951</v>
      </c>
      <c r="N10338" t="s">
        <v>186</v>
      </c>
      <c r="O10338">
        <v>250313</v>
      </c>
      <c r="P10338">
        <v>802.18</v>
      </c>
    </row>
    <row r="10339" spans="1:16" x14ac:dyDescent="0.25">
      <c r="A10339" t="s">
        <v>3296</v>
      </c>
      <c r="B10339" t="s">
        <v>2931</v>
      </c>
      <c r="C10339">
        <v>2897</v>
      </c>
      <c r="D10339" t="str">
        <f>"23305129    "</f>
        <v xml:space="preserve">23305129    </v>
      </c>
      <c r="E10339" t="s">
        <v>3293</v>
      </c>
      <c r="F10339" t="s">
        <v>3292</v>
      </c>
      <c r="G10339">
        <v>4446.3</v>
      </c>
      <c r="H10339">
        <v>250301</v>
      </c>
      <c r="I10339">
        <v>4380</v>
      </c>
      <c r="J10339" t="s">
        <v>211</v>
      </c>
      <c r="K10339">
        <v>6611.67</v>
      </c>
      <c r="L10339">
        <v>903.43</v>
      </c>
      <c r="M10339">
        <v>14951</v>
      </c>
      <c r="N10339" t="s">
        <v>186</v>
      </c>
      <c r="O10339">
        <v>250313</v>
      </c>
      <c r="P10339">
        <v>3542.87</v>
      </c>
    </row>
    <row r="10340" spans="1:16" x14ac:dyDescent="0.25">
      <c r="A10340" t="s">
        <v>3296</v>
      </c>
      <c r="B10340" t="s">
        <v>2931</v>
      </c>
      <c r="C10340">
        <v>2897</v>
      </c>
      <c r="D10340" t="str">
        <f>"23305129    "</f>
        <v xml:space="preserve">23305129    </v>
      </c>
      <c r="E10340" t="s">
        <v>3293</v>
      </c>
      <c r="F10340" t="s">
        <v>3292</v>
      </c>
      <c r="G10340">
        <v>784.64</v>
      </c>
      <c r="H10340">
        <v>250301</v>
      </c>
      <c r="I10340">
        <v>4380</v>
      </c>
      <c r="J10340" t="s">
        <v>211</v>
      </c>
      <c r="K10340">
        <v>6611.67</v>
      </c>
      <c r="L10340">
        <v>159.43</v>
      </c>
      <c r="M10340">
        <v>14990</v>
      </c>
      <c r="N10340" t="s">
        <v>85</v>
      </c>
      <c r="O10340">
        <v>250313</v>
      </c>
      <c r="P10340">
        <v>625.21</v>
      </c>
    </row>
    <row r="10341" spans="1:16" x14ac:dyDescent="0.25">
      <c r="A10341" t="s">
        <v>3296</v>
      </c>
      <c r="B10341" t="s">
        <v>2931</v>
      </c>
      <c r="C10341">
        <v>4605</v>
      </c>
      <c r="D10341" t="str">
        <f>"23310384    "</f>
        <v xml:space="preserve">23310384    </v>
      </c>
      <c r="E10341" t="s">
        <v>3293</v>
      </c>
      <c r="F10341" t="s">
        <v>3292</v>
      </c>
      <c r="G10341">
        <v>374</v>
      </c>
      <c r="H10341">
        <v>250401</v>
      </c>
      <c r="I10341">
        <v>4380</v>
      </c>
      <c r="J10341" t="s">
        <v>211</v>
      </c>
      <c r="K10341">
        <v>6611.67</v>
      </c>
      <c r="L10341">
        <v>75.989999999999995</v>
      </c>
      <c r="M10341">
        <v>11402</v>
      </c>
      <c r="N10341" t="s">
        <v>184</v>
      </c>
      <c r="O10341">
        <v>250414</v>
      </c>
      <c r="P10341">
        <v>298.01</v>
      </c>
    </row>
    <row r="10342" spans="1:16" x14ac:dyDescent="0.25">
      <c r="A10342" t="s">
        <v>3296</v>
      </c>
      <c r="B10342" t="s">
        <v>2931</v>
      </c>
      <c r="C10342">
        <v>4605</v>
      </c>
      <c r="D10342" t="str">
        <f>"23310384    "</f>
        <v xml:space="preserve">23310384    </v>
      </c>
      <c r="E10342" t="s">
        <v>3293</v>
      </c>
      <c r="F10342" t="s">
        <v>3292</v>
      </c>
      <c r="G10342">
        <v>1006.73</v>
      </c>
      <c r="H10342">
        <v>250401</v>
      </c>
      <c r="I10342">
        <v>4380</v>
      </c>
      <c r="J10342" t="s">
        <v>211</v>
      </c>
      <c r="K10342">
        <v>6611.67</v>
      </c>
      <c r="L10342">
        <v>204.55</v>
      </c>
      <c r="M10342">
        <v>14951</v>
      </c>
      <c r="N10342" t="s">
        <v>186</v>
      </c>
      <c r="O10342">
        <v>250414</v>
      </c>
      <c r="P10342">
        <v>802.18</v>
      </c>
    </row>
    <row r="10343" spans="1:16" x14ac:dyDescent="0.25">
      <c r="A10343" t="s">
        <v>3296</v>
      </c>
      <c r="B10343" t="s">
        <v>2931</v>
      </c>
      <c r="C10343">
        <v>4605</v>
      </c>
      <c r="D10343" t="str">
        <f>"23310384    "</f>
        <v xml:space="preserve">23310384    </v>
      </c>
      <c r="E10343" t="s">
        <v>3293</v>
      </c>
      <c r="F10343" t="s">
        <v>3292</v>
      </c>
      <c r="G10343">
        <v>4446.3</v>
      </c>
      <c r="H10343">
        <v>250401</v>
      </c>
      <c r="I10343">
        <v>4380</v>
      </c>
      <c r="J10343" t="s">
        <v>211</v>
      </c>
      <c r="K10343">
        <v>6611.67</v>
      </c>
      <c r="L10343">
        <v>903.43</v>
      </c>
      <c r="M10343">
        <v>14951</v>
      </c>
      <c r="N10343" t="s">
        <v>186</v>
      </c>
      <c r="O10343">
        <v>250414</v>
      </c>
      <c r="P10343">
        <v>3542.87</v>
      </c>
    </row>
    <row r="10344" spans="1:16" x14ac:dyDescent="0.25">
      <c r="A10344" t="s">
        <v>3296</v>
      </c>
      <c r="B10344" t="s">
        <v>2931</v>
      </c>
      <c r="C10344">
        <v>4605</v>
      </c>
      <c r="D10344" t="str">
        <f>"23310384    "</f>
        <v xml:space="preserve">23310384    </v>
      </c>
      <c r="E10344" t="s">
        <v>3293</v>
      </c>
      <c r="F10344" t="s">
        <v>3292</v>
      </c>
      <c r="G10344">
        <v>784.64</v>
      </c>
      <c r="H10344">
        <v>250401</v>
      </c>
      <c r="I10344">
        <v>4380</v>
      </c>
      <c r="J10344" t="s">
        <v>211</v>
      </c>
      <c r="K10344">
        <v>6611.67</v>
      </c>
      <c r="L10344">
        <v>159.43</v>
      </c>
      <c r="M10344">
        <v>14990</v>
      </c>
      <c r="N10344" t="s">
        <v>85</v>
      </c>
      <c r="O10344">
        <v>250414</v>
      </c>
      <c r="P10344">
        <v>625.21</v>
      </c>
    </row>
    <row r="10345" spans="1:16" x14ac:dyDescent="0.25">
      <c r="A10345" t="s">
        <v>3296</v>
      </c>
      <c r="B10345" t="s">
        <v>2931</v>
      </c>
      <c r="C10345">
        <v>6391</v>
      </c>
      <c r="D10345" t="str">
        <f>"23315731    "</f>
        <v xml:space="preserve">23315731    </v>
      </c>
      <c r="E10345" t="s">
        <v>3293</v>
      </c>
      <c r="F10345" t="s">
        <v>3292</v>
      </c>
      <c r="G10345">
        <v>372.9</v>
      </c>
      <c r="H10345">
        <v>250501</v>
      </c>
      <c r="I10345">
        <v>4380</v>
      </c>
      <c r="J10345" t="s">
        <v>211</v>
      </c>
      <c r="K10345">
        <v>6611.67</v>
      </c>
      <c r="L10345">
        <v>75.77</v>
      </c>
      <c r="M10345">
        <v>11402</v>
      </c>
      <c r="N10345" t="s">
        <v>184</v>
      </c>
      <c r="O10345">
        <v>250513</v>
      </c>
      <c r="P10345">
        <v>297.13</v>
      </c>
    </row>
    <row r="10346" spans="1:16" x14ac:dyDescent="0.25">
      <c r="A10346" t="s">
        <v>3296</v>
      </c>
      <c r="B10346" t="s">
        <v>2931</v>
      </c>
      <c r="C10346">
        <v>6391</v>
      </c>
      <c r="D10346" t="str">
        <f>"23315731    "</f>
        <v xml:space="preserve">23315731    </v>
      </c>
      <c r="E10346" t="s">
        <v>3293</v>
      </c>
      <c r="F10346" t="s">
        <v>3292</v>
      </c>
      <c r="G10346">
        <v>1006.96</v>
      </c>
      <c r="H10346">
        <v>250501</v>
      </c>
      <c r="I10346">
        <v>4380</v>
      </c>
      <c r="J10346" t="s">
        <v>211</v>
      </c>
      <c r="K10346">
        <v>6611.67</v>
      </c>
      <c r="L10346">
        <v>204.6</v>
      </c>
      <c r="M10346">
        <v>14951</v>
      </c>
      <c r="N10346" t="s">
        <v>186</v>
      </c>
      <c r="O10346">
        <v>250513</v>
      </c>
      <c r="P10346">
        <v>802.36</v>
      </c>
    </row>
    <row r="10347" spans="1:16" x14ac:dyDescent="0.25">
      <c r="A10347" t="s">
        <v>3296</v>
      </c>
      <c r="B10347" t="s">
        <v>2931</v>
      </c>
      <c r="C10347">
        <v>6391</v>
      </c>
      <c r="D10347" t="str">
        <f>"23315731    "</f>
        <v xml:space="preserve">23315731    </v>
      </c>
      <c r="E10347" t="s">
        <v>3293</v>
      </c>
      <c r="F10347" t="s">
        <v>3292</v>
      </c>
      <c r="G10347">
        <v>4447</v>
      </c>
      <c r="H10347">
        <v>250501</v>
      </c>
      <c r="I10347">
        <v>4380</v>
      </c>
      <c r="J10347" t="s">
        <v>211</v>
      </c>
      <c r="K10347">
        <v>6611.67</v>
      </c>
      <c r="L10347">
        <v>903.57</v>
      </c>
      <c r="M10347">
        <v>14951</v>
      </c>
      <c r="N10347" t="s">
        <v>186</v>
      </c>
      <c r="O10347">
        <v>250513</v>
      </c>
      <c r="P10347">
        <v>3543.43</v>
      </c>
    </row>
    <row r="10348" spans="1:16" x14ac:dyDescent="0.25">
      <c r="A10348" t="s">
        <v>3296</v>
      </c>
      <c r="B10348" t="s">
        <v>2931</v>
      </c>
      <c r="C10348">
        <v>6391</v>
      </c>
      <c r="D10348" t="str">
        <f>"23315731    "</f>
        <v xml:space="preserve">23315731    </v>
      </c>
      <c r="E10348" t="s">
        <v>3293</v>
      </c>
      <c r="F10348" t="s">
        <v>3292</v>
      </c>
      <c r="G10348">
        <v>784.81</v>
      </c>
      <c r="H10348">
        <v>250501</v>
      </c>
      <c r="I10348">
        <v>4380</v>
      </c>
      <c r="J10348" t="s">
        <v>211</v>
      </c>
      <c r="K10348">
        <v>6611.67</v>
      </c>
      <c r="L10348">
        <v>159.46</v>
      </c>
      <c r="M10348">
        <v>14990</v>
      </c>
      <c r="N10348" t="s">
        <v>85</v>
      </c>
      <c r="O10348">
        <v>250513</v>
      </c>
      <c r="P10348">
        <v>625.35</v>
      </c>
    </row>
    <row r="10349" spans="1:16" x14ac:dyDescent="0.25">
      <c r="A10349" t="s">
        <v>3296</v>
      </c>
      <c r="B10349" t="s">
        <v>2931</v>
      </c>
      <c r="C10349">
        <v>8053</v>
      </c>
      <c r="D10349" t="str">
        <f>"23320764    "</f>
        <v xml:space="preserve">23320764    </v>
      </c>
      <c r="E10349" t="s">
        <v>3293</v>
      </c>
      <c r="F10349" t="s">
        <v>3292</v>
      </c>
      <c r="G10349">
        <v>372.9</v>
      </c>
      <c r="H10349">
        <v>250601</v>
      </c>
      <c r="I10349">
        <v>4380</v>
      </c>
      <c r="J10349" t="s">
        <v>211</v>
      </c>
      <c r="K10349">
        <v>7017.61</v>
      </c>
      <c r="L10349">
        <v>75.77</v>
      </c>
      <c r="M10349">
        <v>11402</v>
      </c>
      <c r="N10349" t="s">
        <v>184</v>
      </c>
      <c r="O10349">
        <v>250611</v>
      </c>
      <c r="P10349">
        <v>297.13</v>
      </c>
    </row>
    <row r="10350" spans="1:16" x14ac:dyDescent="0.25">
      <c r="A10350" t="s">
        <v>3296</v>
      </c>
      <c r="B10350" t="s">
        <v>2931</v>
      </c>
      <c r="C10350">
        <v>8053</v>
      </c>
      <c r="D10350" t="str">
        <f>"23320764    "</f>
        <v xml:space="preserve">23320764    </v>
      </c>
      <c r="E10350" t="s">
        <v>3293</v>
      </c>
      <c r="F10350" t="s">
        <v>3292</v>
      </c>
      <c r="G10350">
        <v>1006.96</v>
      </c>
      <c r="H10350">
        <v>250601</v>
      </c>
      <c r="I10350">
        <v>4380</v>
      </c>
      <c r="J10350" t="s">
        <v>211</v>
      </c>
      <c r="K10350">
        <v>7017.61</v>
      </c>
      <c r="L10350">
        <v>204.6</v>
      </c>
      <c r="M10350">
        <v>14951</v>
      </c>
      <c r="N10350" t="s">
        <v>186</v>
      </c>
      <c r="O10350">
        <v>250611</v>
      </c>
      <c r="P10350">
        <v>802.36</v>
      </c>
    </row>
    <row r="10351" spans="1:16" x14ac:dyDescent="0.25">
      <c r="A10351" t="s">
        <v>3296</v>
      </c>
      <c r="B10351" t="s">
        <v>2931</v>
      </c>
      <c r="C10351">
        <v>8053</v>
      </c>
      <c r="D10351" t="str">
        <f>"23320764    "</f>
        <v xml:space="preserve">23320764    </v>
      </c>
      <c r="E10351" t="s">
        <v>3293</v>
      </c>
      <c r="F10351" t="s">
        <v>3292</v>
      </c>
      <c r="G10351">
        <v>4852.9399999999996</v>
      </c>
      <c r="H10351">
        <v>250601</v>
      </c>
      <c r="I10351">
        <v>4380</v>
      </c>
      <c r="J10351" t="s">
        <v>211</v>
      </c>
      <c r="K10351">
        <v>7017.61</v>
      </c>
      <c r="L10351">
        <v>986.06</v>
      </c>
      <c r="M10351">
        <v>14951</v>
      </c>
      <c r="N10351" t="s">
        <v>186</v>
      </c>
      <c r="O10351">
        <v>250611</v>
      </c>
      <c r="P10351">
        <v>3866.88</v>
      </c>
    </row>
    <row r="10352" spans="1:16" x14ac:dyDescent="0.25">
      <c r="A10352" t="s">
        <v>3296</v>
      </c>
      <c r="B10352" t="s">
        <v>2931</v>
      </c>
      <c r="C10352">
        <v>8053</v>
      </c>
      <c r="D10352" t="str">
        <f>"23320764    "</f>
        <v xml:space="preserve">23320764    </v>
      </c>
      <c r="E10352" t="s">
        <v>3293</v>
      </c>
      <c r="F10352" t="s">
        <v>3292</v>
      </c>
      <c r="G10352">
        <v>784.81</v>
      </c>
      <c r="H10352">
        <v>250601</v>
      </c>
      <c r="I10352">
        <v>4380</v>
      </c>
      <c r="J10352" t="s">
        <v>211</v>
      </c>
      <c r="K10352">
        <v>7017.61</v>
      </c>
      <c r="L10352">
        <v>159.46</v>
      </c>
      <c r="M10352">
        <v>14990</v>
      </c>
      <c r="N10352" t="s">
        <v>85</v>
      </c>
      <c r="O10352">
        <v>250611</v>
      </c>
      <c r="P10352">
        <v>625.35</v>
      </c>
    </row>
    <row r="10353" spans="1:16" x14ac:dyDescent="0.25">
      <c r="A10353" t="s">
        <v>3296</v>
      </c>
      <c r="B10353" t="s">
        <v>2931</v>
      </c>
      <c r="C10353">
        <v>11072</v>
      </c>
      <c r="D10353" t="str">
        <f>"23334966    "</f>
        <v xml:space="preserve">23334966    </v>
      </c>
      <c r="E10353" t="s">
        <v>3293</v>
      </c>
      <c r="F10353" t="s">
        <v>3292</v>
      </c>
      <c r="G10353">
        <v>5272.58</v>
      </c>
      <c r="H10353">
        <v>250827</v>
      </c>
      <c r="I10353">
        <v>4380</v>
      </c>
      <c r="J10353" t="s">
        <v>211</v>
      </c>
      <c r="K10353">
        <v>6203.03</v>
      </c>
      <c r="L10353">
        <v>1071.32</v>
      </c>
      <c r="M10353">
        <v>14951</v>
      </c>
      <c r="N10353" t="s">
        <v>186</v>
      </c>
      <c r="O10353">
        <v>250829</v>
      </c>
      <c r="P10353">
        <v>4201.26</v>
      </c>
    </row>
    <row r="10354" spans="1:16" x14ac:dyDescent="0.25">
      <c r="A10354" t="s">
        <v>3296</v>
      </c>
      <c r="B10354" t="s">
        <v>2931</v>
      </c>
      <c r="C10354">
        <v>11072</v>
      </c>
      <c r="D10354" t="str">
        <f>"23334966    "</f>
        <v xml:space="preserve">23334966    </v>
      </c>
      <c r="E10354" t="s">
        <v>3293</v>
      </c>
      <c r="F10354" t="s">
        <v>3292</v>
      </c>
      <c r="G10354">
        <v>930.45</v>
      </c>
      <c r="H10354">
        <v>250827</v>
      </c>
      <c r="I10354">
        <v>4380</v>
      </c>
      <c r="J10354" t="s">
        <v>211</v>
      </c>
      <c r="K10354">
        <v>6203.03</v>
      </c>
      <c r="L10354">
        <v>189.06</v>
      </c>
      <c r="M10354">
        <v>14990</v>
      </c>
      <c r="N10354" t="s">
        <v>85</v>
      </c>
      <c r="O10354">
        <v>250829</v>
      </c>
      <c r="P10354">
        <v>741.39</v>
      </c>
    </row>
    <row r="10355" spans="1:16" x14ac:dyDescent="0.25">
      <c r="A10355" t="s">
        <v>3296</v>
      </c>
      <c r="B10355" t="s">
        <v>2931</v>
      </c>
      <c r="C10355">
        <v>11127</v>
      </c>
      <c r="D10355" t="str">
        <f>"23326548    "</f>
        <v xml:space="preserve">23326548    </v>
      </c>
      <c r="E10355" t="s">
        <v>3293</v>
      </c>
      <c r="F10355" t="s">
        <v>3292</v>
      </c>
      <c r="G10355">
        <v>372.9</v>
      </c>
      <c r="H10355">
        <v>250801</v>
      </c>
      <c r="I10355">
        <v>4380</v>
      </c>
      <c r="J10355" t="s">
        <v>211</v>
      </c>
      <c r="K10355">
        <v>6679.32</v>
      </c>
      <c r="L10355">
        <v>75.77</v>
      </c>
      <c r="M10355">
        <v>11402</v>
      </c>
      <c r="N10355" t="s">
        <v>184</v>
      </c>
      <c r="O10355">
        <v>250901</v>
      </c>
      <c r="P10355">
        <v>297.13</v>
      </c>
    </row>
    <row r="10356" spans="1:16" x14ac:dyDescent="0.25">
      <c r="A10356" t="s">
        <v>3296</v>
      </c>
      <c r="B10356" t="s">
        <v>2931</v>
      </c>
      <c r="C10356">
        <v>11127</v>
      </c>
      <c r="D10356" t="str">
        <f>"23326548    "</f>
        <v xml:space="preserve">23326548    </v>
      </c>
      <c r="E10356" t="s">
        <v>3293</v>
      </c>
      <c r="F10356" t="s">
        <v>3292</v>
      </c>
      <c r="G10356">
        <v>914.16</v>
      </c>
      <c r="H10356">
        <v>250801</v>
      </c>
      <c r="I10356">
        <v>4380</v>
      </c>
      <c r="J10356" t="s">
        <v>211</v>
      </c>
      <c r="K10356">
        <v>6679.32</v>
      </c>
      <c r="L10356">
        <v>185.75</v>
      </c>
      <c r="M10356">
        <v>14951</v>
      </c>
      <c r="N10356" t="s">
        <v>186</v>
      </c>
      <c r="O10356">
        <v>250901</v>
      </c>
      <c r="P10356">
        <v>728.41</v>
      </c>
    </row>
    <row r="10357" spans="1:16" x14ac:dyDescent="0.25">
      <c r="A10357" t="s">
        <v>3296</v>
      </c>
      <c r="B10357" t="s">
        <v>2931</v>
      </c>
      <c r="C10357">
        <v>11127</v>
      </c>
      <c r="D10357" t="str">
        <f>"23326548    "</f>
        <v xml:space="preserve">23326548    </v>
      </c>
      <c r="E10357" t="s">
        <v>3293</v>
      </c>
      <c r="F10357" t="s">
        <v>3292</v>
      </c>
      <c r="G10357">
        <v>5230.9399999999996</v>
      </c>
      <c r="H10357">
        <v>250801</v>
      </c>
      <c r="I10357">
        <v>4380</v>
      </c>
      <c r="J10357" t="s">
        <v>211</v>
      </c>
      <c r="K10357">
        <v>6679.32</v>
      </c>
      <c r="L10357">
        <v>1062.8599999999999</v>
      </c>
      <c r="M10357">
        <v>14951</v>
      </c>
      <c r="N10357" t="s">
        <v>186</v>
      </c>
      <c r="O10357">
        <v>250901</v>
      </c>
      <c r="P10357">
        <v>4168.08</v>
      </c>
    </row>
    <row r="10358" spans="1:16" x14ac:dyDescent="0.25">
      <c r="A10358" t="s">
        <v>3296</v>
      </c>
      <c r="B10358" t="s">
        <v>2931</v>
      </c>
      <c r="C10358">
        <v>11127</v>
      </c>
      <c r="D10358" t="str">
        <f>"23326548    "</f>
        <v xml:space="preserve">23326548    </v>
      </c>
      <c r="E10358" t="s">
        <v>3293</v>
      </c>
      <c r="F10358" t="s">
        <v>3292</v>
      </c>
      <c r="G10358">
        <v>161.32</v>
      </c>
      <c r="H10358">
        <v>250801</v>
      </c>
      <c r="I10358">
        <v>4380</v>
      </c>
      <c r="J10358" t="s">
        <v>211</v>
      </c>
      <c r="K10358">
        <v>6679.32</v>
      </c>
      <c r="L10358">
        <v>32.78</v>
      </c>
      <c r="M10358">
        <v>14990</v>
      </c>
      <c r="N10358" t="s">
        <v>85</v>
      </c>
      <c r="O10358">
        <v>250901</v>
      </c>
      <c r="P10358">
        <v>128.54</v>
      </c>
    </row>
    <row r="10359" spans="1:16" x14ac:dyDescent="0.25">
      <c r="A10359" t="s">
        <v>3296</v>
      </c>
      <c r="B10359" t="s">
        <v>2931</v>
      </c>
      <c r="C10359">
        <v>11683</v>
      </c>
      <c r="D10359" t="str">
        <f>"23336630    "</f>
        <v xml:space="preserve">23336630    </v>
      </c>
      <c r="E10359" t="s">
        <v>3293</v>
      </c>
      <c r="F10359" t="s">
        <v>3292</v>
      </c>
      <c r="G10359">
        <v>972.09</v>
      </c>
      <c r="H10359">
        <v>250901</v>
      </c>
      <c r="I10359">
        <v>4380</v>
      </c>
      <c r="J10359" t="s">
        <v>211</v>
      </c>
      <c r="K10359">
        <v>6203.03</v>
      </c>
      <c r="L10359">
        <v>197.52</v>
      </c>
      <c r="M10359">
        <v>14951</v>
      </c>
      <c r="N10359" t="s">
        <v>186</v>
      </c>
      <c r="O10359">
        <v>250910</v>
      </c>
      <c r="P10359">
        <v>774.57</v>
      </c>
    </row>
    <row r="10360" spans="1:16" x14ac:dyDescent="0.25">
      <c r="A10360" t="s">
        <v>3296</v>
      </c>
      <c r="B10360" t="s">
        <v>2931</v>
      </c>
      <c r="C10360">
        <v>11683</v>
      </c>
      <c r="D10360" t="str">
        <f>"23336630    "</f>
        <v xml:space="preserve">23336630    </v>
      </c>
      <c r="E10360" t="s">
        <v>3293</v>
      </c>
      <c r="F10360" t="s">
        <v>3292</v>
      </c>
      <c r="G10360">
        <v>5230.9399999999996</v>
      </c>
      <c r="H10360">
        <v>250901</v>
      </c>
      <c r="I10360">
        <v>4380</v>
      </c>
      <c r="J10360" t="s">
        <v>211</v>
      </c>
      <c r="K10360">
        <v>6203.03</v>
      </c>
      <c r="L10360">
        <v>1062.8599999999999</v>
      </c>
      <c r="M10360">
        <v>14951</v>
      </c>
      <c r="N10360" t="s">
        <v>186</v>
      </c>
      <c r="O10360">
        <v>250910</v>
      </c>
      <c r="P10360">
        <v>4168.08</v>
      </c>
    </row>
    <row r="10361" spans="1:16" x14ac:dyDescent="0.25">
      <c r="A10361" t="s">
        <v>3296</v>
      </c>
      <c r="B10361" t="s">
        <v>2931</v>
      </c>
      <c r="C10361">
        <v>13449</v>
      </c>
      <c r="D10361" t="str">
        <f>"23342224    "</f>
        <v xml:space="preserve">23342224    </v>
      </c>
      <c r="E10361" t="s">
        <v>3293</v>
      </c>
      <c r="F10361" t="s">
        <v>3292</v>
      </c>
      <c r="G10361">
        <v>972.09</v>
      </c>
      <c r="H10361">
        <v>251001</v>
      </c>
      <c r="I10361">
        <v>4380</v>
      </c>
      <c r="J10361" t="s">
        <v>211</v>
      </c>
      <c r="K10361">
        <v>6203.03</v>
      </c>
      <c r="L10361">
        <v>197.52</v>
      </c>
      <c r="M10361">
        <v>14951</v>
      </c>
      <c r="N10361" t="s">
        <v>186</v>
      </c>
      <c r="O10361">
        <v>251010</v>
      </c>
      <c r="P10361">
        <v>774.57</v>
      </c>
    </row>
    <row r="10362" spans="1:16" x14ac:dyDescent="0.25">
      <c r="A10362" t="s">
        <v>3296</v>
      </c>
      <c r="B10362" t="s">
        <v>2931</v>
      </c>
      <c r="C10362">
        <v>13449</v>
      </c>
      <c r="D10362" t="str">
        <f>"23342224    "</f>
        <v xml:space="preserve">23342224    </v>
      </c>
      <c r="E10362" t="s">
        <v>3293</v>
      </c>
      <c r="F10362" t="s">
        <v>3292</v>
      </c>
      <c r="G10362">
        <v>5230.9399999999996</v>
      </c>
      <c r="H10362">
        <v>251001</v>
      </c>
      <c r="I10362">
        <v>4380</v>
      </c>
      <c r="J10362" t="s">
        <v>211</v>
      </c>
      <c r="K10362">
        <v>6203.03</v>
      </c>
      <c r="L10362">
        <v>1062.8599999999999</v>
      </c>
      <c r="M10362">
        <v>14951</v>
      </c>
      <c r="N10362" t="s">
        <v>186</v>
      </c>
      <c r="O10362">
        <v>251010</v>
      </c>
      <c r="P10362">
        <v>4168.08</v>
      </c>
    </row>
    <row r="10363" spans="1:16" x14ac:dyDescent="0.25">
      <c r="A10363" t="s">
        <v>3296</v>
      </c>
      <c r="B10363" t="s">
        <v>2931</v>
      </c>
      <c r="C10363">
        <v>14888</v>
      </c>
      <c r="D10363" t="str">
        <f>"23347435    "</f>
        <v xml:space="preserve">23347435    </v>
      </c>
      <c r="E10363" t="s">
        <v>3293</v>
      </c>
      <c r="F10363" t="s">
        <v>3292</v>
      </c>
      <c r="G10363">
        <v>5272.58</v>
      </c>
      <c r="H10363">
        <v>251101</v>
      </c>
      <c r="I10363">
        <v>4380</v>
      </c>
      <c r="J10363" t="s">
        <v>211</v>
      </c>
      <c r="K10363">
        <v>6203.03</v>
      </c>
      <c r="L10363">
        <v>1071.32</v>
      </c>
      <c r="M10363">
        <v>14951</v>
      </c>
      <c r="N10363" t="s">
        <v>186</v>
      </c>
      <c r="O10363">
        <v>251107</v>
      </c>
      <c r="P10363">
        <v>4201.26</v>
      </c>
    </row>
    <row r="10364" spans="1:16" x14ac:dyDescent="0.25">
      <c r="A10364" t="s">
        <v>3296</v>
      </c>
      <c r="B10364" t="s">
        <v>2931</v>
      </c>
      <c r="C10364">
        <v>14888</v>
      </c>
      <c r="D10364" t="str">
        <f>"23347435    "</f>
        <v xml:space="preserve">23347435    </v>
      </c>
      <c r="E10364" t="s">
        <v>3293</v>
      </c>
      <c r="F10364" t="s">
        <v>3292</v>
      </c>
      <c r="G10364">
        <v>930.45</v>
      </c>
      <c r="H10364">
        <v>251101</v>
      </c>
      <c r="I10364">
        <v>4380</v>
      </c>
      <c r="J10364" t="s">
        <v>211</v>
      </c>
      <c r="K10364">
        <v>6203.03</v>
      </c>
      <c r="L10364">
        <v>189.06</v>
      </c>
      <c r="M10364">
        <v>14990</v>
      </c>
      <c r="N10364" t="s">
        <v>85</v>
      </c>
      <c r="O10364">
        <v>251107</v>
      </c>
      <c r="P10364">
        <v>741.39</v>
      </c>
    </row>
    <row r="10365" spans="1:16" x14ac:dyDescent="0.25">
      <c r="A10365" t="s">
        <v>3296</v>
      </c>
      <c r="B10365" t="s">
        <v>2931</v>
      </c>
      <c r="C10365">
        <v>16840</v>
      </c>
      <c r="D10365" t="str">
        <f>"23352098    "</f>
        <v xml:space="preserve">23352098    </v>
      </c>
      <c r="E10365" t="s">
        <v>3293</v>
      </c>
      <c r="F10365" t="s">
        <v>3292</v>
      </c>
      <c r="G10365">
        <v>6203.03</v>
      </c>
      <c r="H10365">
        <v>251201</v>
      </c>
      <c r="I10365">
        <v>4380</v>
      </c>
      <c r="J10365" t="s">
        <v>211</v>
      </c>
      <c r="K10365">
        <v>6203.03</v>
      </c>
      <c r="L10365">
        <v>1260.3800000000001</v>
      </c>
      <c r="M10365">
        <v>14951</v>
      </c>
      <c r="N10365" t="s">
        <v>186</v>
      </c>
      <c r="O10365">
        <v>251212</v>
      </c>
      <c r="P10365">
        <v>4942.6499999999996</v>
      </c>
    </row>
    <row r="10366" spans="1:16" x14ac:dyDescent="0.25">
      <c r="A10366" t="s">
        <v>3296</v>
      </c>
      <c r="B10366" t="s">
        <v>2931</v>
      </c>
      <c r="C10366">
        <v>4562</v>
      </c>
      <c r="D10366" t="str">
        <f>"23310385    "</f>
        <v xml:space="preserve">23310385    </v>
      </c>
      <c r="E10366" t="s">
        <v>3293</v>
      </c>
      <c r="F10366" t="s">
        <v>3292</v>
      </c>
      <c r="G10366">
        <v>272.52999999999997</v>
      </c>
      <c r="H10366">
        <v>250331</v>
      </c>
      <c r="I10366">
        <v>4550</v>
      </c>
      <c r="J10366" t="s">
        <v>226</v>
      </c>
      <c r="K10366">
        <v>272.52999999999997</v>
      </c>
      <c r="L10366">
        <v>55.37</v>
      </c>
      <c r="M10366">
        <v>14951</v>
      </c>
      <c r="N10366" t="s">
        <v>186</v>
      </c>
      <c r="O10366">
        <v>250414</v>
      </c>
      <c r="P10366">
        <v>217.16</v>
      </c>
    </row>
    <row r="10367" spans="1:16" x14ac:dyDescent="0.25">
      <c r="A10367" t="s">
        <v>3296</v>
      </c>
      <c r="B10367" t="s">
        <v>2931</v>
      </c>
      <c r="C10367">
        <v>12627</v>
      </c>
      <c r="D10367" t="str">
        <f>"23339942    "</f>
        <v xml:space="preserve">23339942    </v>
      </c>
      <c r="E10367" t="s">
        <v>3293</v>
      </c>
      <c r="F10367" t="s">
        <v>3292</v>
      </c>
      <c r="G10367">
        <v>286.92</v>
      </c>
      <c r="H10367">
        <v>250917</v>
      </c>
      <c r="I10367">
        <v>4550</v>
      </c>
      <c r="J10367" t="s">
        <v>226</v>
      </c>
      <c r="K10367">
        <v>286.92</v>
      </c>
      <c r="L10367">
        <v>58.3</v>
      </c>
      <c r="M10367">
        <v>14951</v>
      </c>
      <c r="N10367" t="s">
        <v>186</v>
      </c>
      <c r="O10367">
        <v>250929</v>
      </c>
      <c r="P10367">
        <v>228.62</v>
      </c>
    </row>
    <row r="10368" spans="1:16" x14ac:dyDescent="0.25">
      <c r="A10368" t="s">
        <v>3296</v>
      </c>
      <c r="B10368" t="s">
        <v>2931</v>
      </c>
      <c r="C10368">
        <v>4750</v>
      </c>
      <c r="D10368" t="str">
        <f>"570398338   "</f>
        <v xml:space="preserve">570398338   </v>
      </c>
      <c r="E10368" t="s">
        <v>982</v>
      </c>
      <c r="F10368" t="s">
        <v>983</v>
      </c>
      <c r="G10368">
        <v>200.85</v>
      </c>
      <c r="H10368">
        <v>250331</v>
      </c>
      <c r="I10368">
        <v>4470</v>
      </c>
      <c r="J10368" t="s">
        <v>203</v>
      </c>
      <c r="K10368">
        <v>200.85</v>
      </c>
      <c r="L10368">
        <v>40.81</v>
      </c>
      <c r="M10368">
        <v>56559</v>
      </c>
      <c r="N10368" t="s">
        <v>51</v>
      </c>
      <c r="O10368">
        <v>250415</v>
      </c>
      <c r="P10368">
        <v>160.04</v>
      </c>
    </row>
    <row r="10369" spans="1:16" x14ac:dyDescent="0.25">
      <c r="A10369" t="s">
        <v>3296</v>
      </c>
      <c r="B10369" t="s">
        <v>2931</v>
      </c>
      <c r="C10369">
        <v>7177</v>
      </c>
      <c r="D10369" t="str">
        <f>"570403963   "</f>
        <v xml:space="preserve">570403963   </v>
      </c>
      <c r="E10369" t="s">
        <v>982</v>
      </c>
      <c r="F10369" t="s">
        <v>983</v>
      </c>
      <c r="G10369">
        <v>817.34</v>
      </c>
      <c r="H10369">
        <v>250508</v>
      </c>
      <c r="I10369">
        <v>4470</v>
      </c>
      <c r="J10369" t="s">
        <v>203</v>
      </c>
      <c r="K10369">
        <v>817.34</v>
      </c>
      <c r="L10369">
        <v>166.07</v>
      </c>
      <c r="M10369">
        <v>56559</v>
      </c>
      <c r="N10369" t="s">
        <v>51</v>
      </c>
      <c r="O10369">
        <v>250526</v>
      </c>
      <c r="P10369">
        <v>651.27</v>
      </c>
    </row>
    <row r="10370" spans="1:16" x14ac:dyDescent="0.25">
      <c r="A10370" t="s">
        <v>3296</v>
      </c>
      <c r="B10370" t="s">
        <v>2931</v>
      </c>
      <c r="C10370">
        <v>8321</v>
      </c>
      <c r="D10370" t="str">
        <f>"570406935   "</f>
        <v xml:space="preserve">570406935   </v>
      </c>
      <c r="E10370" t="s">
        <v>982</v>
      </c>
      <c r="F10370" t="s">
        <v>983</v>
      </c>
      <c r="G10370">
        <v>1115.8</v>
      </c>
      <c r="H10370">
        <v>250531</v>
      </c>
      <c r="I10370">
        <v>4470</v>
      </c>
      <c r="J10370" t="s">
        <v>203</v>
      </c>
      <c r="K10370">
        <v>1115.8</v>
      </c>
      <c r="L10370">
        <v>226.72</v>
      </c>
      <c r="M10370">
        <v>56558</v>
      </c>
      <c r="N10370" t="s">
        <v>50</v>
      </c>
      <c r="O10370">
        <v>250612</v>
      </c>
      <c r="P10370">
        <v>889.08</v>
      </c>
    </row>
    <row r="10371" spans="1:16" x14ac:dyDescent="0.25">
      <c r="A10371" t="s">
        <v>3296</v>
      </c>
      <c r="B10371" t="s">
        <v>2931</v>
      </c>
      <c r="C10371">
        <v>1435</v>
      </c>
      <c r="D10371" t="str">
        <f>"570385472   "</f>
        <v xml:space="preserve">570385472   </v>
      </c>
      <c r="E10371" t="s">
        <v>982</v>
      </c>
      <c r="F10371" t="s">
        <v>983</v>
      </c>
      <c r="G10371">
        <v>10.58</v>
      </c>
      <c r="H10371">
        <v>250131</v>
      </c>
      <c r="I10371">
        <v>4860</v>
      </c>
      <c r="J10371" t="s">
        <v>286</v>
      </c>
      <c r="K10371">
        <v>10.58</v>
      </c>
      <c r="L10371">
        <v>2.15</v>
      </c>
      <c r="M10371">
        <v>56559</v>
      </c>
      <c r="N10371" t="s">
        <v>51</v>
      </c>
      <c r="O10371">
        <v>250210</v>
      </c>
      <c r="P10371">
        <v>8.43</v>
      </c>
    </row>
    <row r="10372" spans="1:16" x14ac:dyDescent="0.25">
      <c r="A10372" t="s">
        <v>3296</v>
      </c>
      <c r="B10372" t="s">
        <v>2931</v>
      </c>
      <c r="C10372">
        <v>3278</v>
      </c>
      <c r="D10372" t="str">
        <f>"570392293   "</f>
        <v xml:space="preserve">570392293   </v>
      </c>
      <c r="E10372" t="s">
        <v>982</v>
      </c>
      <c r="F10372" t="s">
        <v>983</v>
      </c>
      <c r="G10372">
        <v>10.58</v>
      </c>
      <c r="H10372">
        <v>250228</v>
      </c>
      <c r="I10372">
        <v>4860</v>
      </c>
      <c r="J10372" t="s">
        <v>286</v>
      </c>
      <c r="K10372">
        <v>10.58</v>
      </c>
      <c r="L10372">
        <v>2.15</v>
      </c>
      <c r="M10372">
        <v>56559</v>
      </c>
      <c r="N10372" t="s">
        <v>51</v>
      </c>
      <c r="O10372">
        <v>250318</v>
      </c>
      <c r="P10372">
        <v>8.43</v>
      </c>
    </row>
    <row r="10373" spans="1:16" x14ac:dyDescent="0.25">
      <c r="A10373" t="s">
        <v>3296</v>
      </c>
      <c r="B10373" t="s">
        <v>2931</v>
      </c>
      <c r="C10373">
        <v>4193</v>
      </c>
      <c r="D10373" t="str">
        <f>"570396933   "</f>
        <v xml:space="preserve">570396933   </v>
      </c>
      <c r="E10373" t="s">
        <v>982</v>
      </c>
      <c r="F10373" t="s">
        <v>983</v>
      </c>
      <c r="G10373">
        <v>63.48</v>
      </c>
      <c r="H10373">
        <v>250317</v>
      </c>
      <c r="I10373">
        <v>4860</v>
      </c>
      <c r="J10373" t="s">
        <v>286</v>
      </c>
      <c r="K10373">
        <v>63.48</v>
      </c>
      <c r="L10373">
        <v>12.9</v>
      </c>
      <c r="M10373">
        <v>56559</v>
      </c>
      <c r="N10373" t="s">
        <v>51</v>
      </c>
      <c r="O10373">
        <v>250409</v>
      </c>
      <c r="P10373">
        <v>50.58</v>
      </c>
    </row>
    <row r="10374" spans="1:16" x14ac:dyDescent="0.25">
      <c r="A10374" t="s">
        <v>3296</v>
      </c>
      <c r="B10374" t="s">
        <v>2931</v>
      </c>
      <c r="C10374">
        <v>6273</v>
      </c>
      <c r="D10374" t="str">
        <f>"570402062   "</f>
        <v xml:space="preserve">570402062   </v>
      </c>
      <c r="E10374" t="s">
        <v>982</v>
      </c>
      <c r="F10374" t="s">
        <v>983</v>
      </c>
      <c r="G10374">
        <v>10.58</v>
      </c>
      <c r="H10374">
        <v>250430</v>
      </c>
      <c r="I10374">
        <v>4860</v>
      </c>
      <c r="J10374" t="s">
        <v>286</v>
      </c>
      <c r="K10374">
        <v>10.58</v>
      </c>
      <c r="L10374">
        <v>2.15</v>
      </c>
      <c r="M10374">
        <v>56559</v>
      </c>
      <c r="N10374" t="s">
        <v>51</v>
      </c>
      <c r="O10374">
        <v>250512</v>
      </c>
      <c r="P10374">
        <v>8.43</v>
      </c>
    </row>
    <row r="10375" spans="1:16" x14ac:dyDescent="0.25">
      <c r="A10375" t="s">
        <v>3296</v>
      </c>
      <c r="B10375" t="s">
        <v>2931</v>
      </c>
      <c r="C10375">
        <v>8243</v>
      </c>
      <c r="D10375" t="str">
        <f>"570405183   "</f>
        <v xml:space="preserve">570405183   </v>
      </c>
      <c r="E10375" t="s">
        <v>982</v>
      </c>
      <c r="F10375" t="s">
        <v>983</v>
      </c>
      <c r="G10375">
        <v>10.58</v>
      </c>
      <c r="H10375">
        <v>250531</v>
      </c>
      <c r="I10375">
        <v>4860</v>
      </c>
      <c r="J10375" t="s">
        <v>286</v>
      </c>
      <c r="K10375">
        <v>10.58</v>
      </c>
      <c r="L10375">
        <v>2.15</v>
      </c>
      <c r="M10375">
        <v>56559</v>
      </c>
      <c r="N10375" t="s">
        <v>51</v>
      </c>
      <c r="O10375">
        <v>250612</v>
      </c>
      <c r="P10375">
        <v>8.43</v>
      </c>
    </row>
    <row r="10376" spans="1:16" x14ac:dyDescent="0.25">
      <c r="A10376" t="s">
        <v>3296</v>
      </c>
      <c r="B10376" t="s">
        <v>2931</v>
      </c>
      <c r="C10376">
        <v>9365</v>
      </c>
      <c r="D10376" t="str">
        <f>"570408101   "</f>
        <v xml:space="preserve">570408101   </v>
      </c>
      <c r="E10376" t="s">
        <v>982</v>
      </c>
      <c r="F10376" t="s">
        <v>983</v>
      </c>
      <c r="G10376">
        <v>10.58</v>
      </c>
      <c r="H10376">
        <v>250630</v>
      </c>
      <c r="I10376">
        <v>4860</v>
      </c>
      <c r="J10376" t="s">
        <v>286</v>
      </c>
      <c r="K10376">
        <v>10.58</v>
      </c>
      <c r="L10376">
        <v>2.15</v>
      </c>
      <c r="M10376">
        <v>56559</v>
      </c>
      <c r="N10376" t="s">
        <v>51</v>
      </c>
      <c r="O10376">
        <v>250704</v>
      </c>
      <c r="P10376">
        <v>8.43</v>
      </c>
    </row>
    <row r="10377" spans="1:16" x14ac:dyDescent="0.25">
      <c r="A10377" t="s">
        <v>3296</v>
      </c>
      <c r="B10377" t="s">
        <v>2931</v>
      </c>
      <c r="C10377">
        <v>10353</v>
      </c>
      <c r="D10377" t="str">
        <f>"570411677   "</f>
        <v xml:space="preserve">570411677   </v>
      </c>
      <c r="E10377" t="s">
        <v>982</v>
      </c>
      <c r="F10377" t="s">
        <v>983</v>
      </c>
      <c r="G10377">
        <v>10.58</v>
      </c>
      <c r="H10377">
        <v>250731</v>
      </c>
      <c r="I10377">
        <v>4860</v>
      </c>
      <c r="J10377" t="s">
        <v>286</v>
      </c>
      <c r="K10377">
        <v>10.58</v>
      </c>
      <c r="L10377">
        <v>2.15</v>
      </c>
      <c r="M10377">
        <v>56559</v>
      </c>
      <c r="N10377" t="s">
        <v>51</v>
      </c>
      <c r="O10377">
        <v>250818</v>
      </c>
      <c r="P10377">
        <v>8.43</v>
      </c>
    </row>
    <row r="10378" spans="1:16" x14ac:dyDescent="0.25">
      <c r="A10378" t="s">
        <v>3296</v>
      </c>
      <c r="B10378" t="s">
        <v>2931</v>
      </c>
      <c r="C10378">
        <v>11844</v>
      </c>
      <c r="D10378" t="str">
        <f>"570414342   "</f>
        <v xml:space="preserve">570414342   </v>
      </c>
      <c r="E10378" t="s">
        <v>982</v>
      </c>
      <c r="F10378" t="s">
        <v>983</v>
      </c>
      <c r="G10378">
        <v>10.58</v>
      </c>
      <c r="H10378">
        <v>250831</v>
      </c>
      <c r="I10378">
        <v>4860</v>
      </c>
      <c r="J10378" t="s">
        <v>286</v>
      </c>
      <c r="K10378">
        <v>10.58</v>
      </c>
      <c r="L10378">
        <v>2.15</v>
      </c>
      <c r="M10378">
        <v>56559</v>
      </c>
      <c r="N10378" t="s">
        <v>51</v>
      </c>
      <c r="O10378">
        <v>250911</v>
      </c>
      <c r="P10378">
        <v>8.43</v>
      </c>
    </row>
    <row r="10379" spans="1:16" x14ac:dyDescent="0.25">
      <c r="A10379" t="s">
        <v>3296</v>
      </c>
      <c r="B10379" t="s">
        <v>2931</v>
      </c>
      <c r="C10379">
        <v>13569</v>
      </c>
      <c r="D10379" t="str">
        <f>"570417226   "</f>
        <v xml:space="preserve">570417226   </v>
      </c>
      <c r="E10379" t="s">
        <v>982</v>
      </c>
      <c r="F10379" t="s">
        <v>983</v>
      </c>
      <c r="G10379">
        <v>10.58</v>
      </c>
      <c r="H10379">
        <v>250930</v>
      </c>
      <c r="I10379">
        <v>4860</v>
      </c>
      <c r="J10379" t="s">
        <v>286</v>
      </c>
      <c r="K10379">
        <v>10.58</v>
      </c>
      <c r="L10379">
        <v>2.15</v>
      </c>
      <c r="M10379">
        <v>56559</v>
      </c>
      <c r="N10379" t="s">
        <v>51</v>
      </c>
      <c r="O10379">
        <v>251013</v>
      </c>
      <c r="P10379">
        <v>8.43</v>
      </c>
    </row>
    <row r="10380" spans="1:16" x14ac:dyDescent="0.25">
      <c r="A10380" t="s">
        <v>3296</v>
      </c>
      <c r="B10380" t="s">
        <v>2931</v>
      </c>
      <c r="C10380">
        <v>14745</v>
      </c>
      <c r="D10380" t="str">
        <f>"570420039   "</f>
        <v xml:space="preserve">570420039   </v>
      </c>
      <c r="E10380" t="s">
        <v>982</v>
      </c>
      <c r="F10380" t="s">
        <v>983</v>
      </c>
      <c r="G10380">
        <v>10.58</v>
      </c>
      <c r="H10380">
        <v>251031</v>
      </c>
      <c r="I10380">
        <v>4860</v>
      </c>
      <c r="J10380" t="s">
        <v>286</v>
      </c>
      <c r="K10380">
        <v>10.58</v>
      </c>
      <c r="L10380">
        <v>2.15</v>
      </c>
      <c r="M10380">
        <v>56559</v>
      </c>
      <c r="N10380" t="s">
        <v>51</v>
      </c>
      <c r="O10380">
        <v>251106</v>
      </c>
      <c r="P10380">
        <v>8.43</v>
      </c>
    </row>
    <row r="10381" spans="1:16" x14ac:dyDescent="0.25">
      <c r="A10381" t="s">
        <v>3296</v>
      </c>
      <c r="B10381" t="s">
        <v>2931</v>
      </c>
      <c r="C10381">
        <v>16593</v>
      </c>
      <c r="D10381" t="str">
        <f>"570421980   "</f>
        <v xml:space="preserve">570421980   </v>
      </c>
      <c r="E10381" t="s">
        <v>982</v>
      </c>
      <c r="F10381" t="s">
        <v>983</v>
      </c>
      <c r="G10381">
        <v>42.32</v>
      </c>
      <c r="H10381">
        <v>251130</v>
      </c>
      <c r="I10381">
        <v>4860</v>
      </c>
      <c r="J10381" t="s">
        <v>286</v>
      </c>
      <c r="K10381">
        <v>42.32</v>
      </c>
      <c r="L10381">
        <v>8.6</v>
      </c>
      <c r="M10381">
        <v>56559</v>
      </c>
      <c r="N10381" t="s">
        <v>51</v>
      </c>
      <c r="O10381">
        <v>251210</v>
      </c>
      <c r="P10381">
        <v>33.72</v>
      </c>
    </row>
    <row r="10382" spans="1:16" x14ac:dyDescent="0.25">
      <c r="A10382" t="s">
        <v>3296</v>
      </c>
      <c r="B10382" t="s">
        <v>2931</v>
      </c>
      <c r="C10382">
        <v>18116</v>
      </c>
      <c r="D10382" t="str">
        <f>"18057445    "</f>
        <v xml:space="preserve">18057445    </v>
      </c>
      <c r="E10382" t="s">
        <v>982</v>
      </c>
      <c r="F10382" t="s">
        <v>983</v>
      </c>
      <c r="G10382">
        <v>42.32</v>
      </c>
      <c r="H10382">
        <v>251231</v>
      </c>
      <c r="I10382">
        <v>4860</v>
      </c>
      <c r="J10382" t="s">
        <v>286</v>
      </c>
      <c r="K10382">
        <v>42.32</v>
      </c>
      <c r="L10382">
        <v>8.6</v>
      </c>
      <c r="M10382">
        <v>56559</v>
      </c>
      <c r="N10382" t="s">
        <v>51</v>
      </c>
      <c r="O10382">
        <v>260109</v>
      </c>
      <c r="P10382">
        <v>33.72</v>
      </c>
    </row>
    <row r="10383" spans="1:16" x14ac:dyDescent="0.25">
      <c r="A10383" t="s">
        <v>3296</v>
      </c>
      <c r="B10383" t="s">
        <v>2931</v>
      </c>
      <c r="C10383">
        <v>4621</v>
      </c>
      <c r="D10383" t="str">
        <f>"12038099    "</f>
        <v xml:space="preserve">12038099    </v>
      </c>
      <c r="E10383" t="s">
        <v>1008</v>
      </c>
      <c r="F10383" t="s">
        <v>1009</v>
      </c>
      <c r="G10383">
        <v>58.57</v>
      </c>
      <c r="H10383">
        <v>250331</v>
      </c>
      <c r="I10383">
        <v>4380</v>
      </c>
      <c r="J10383" t="s">
        <v>211</v>
      </c>
      <c r="K10383">
        <v>65.22</v>
      </c>
      <c r="L10383">
        <v>11.9</v>
      </c>
      <c r="M10383">
        <v>14951</v>
      </c>
      <c r="N10383" t="s">
        <v>186</v>
      </c>
      <c r="O10383">
        <v>250414</v>
      </c>
      <c r="P10383">
        <v>46.67</v>
      </c>
    </row>
    <row r="10384" spans="1:16" x14ac:dyDescent="0.25">
      <c r="A10384" t="s">
        <v>3296</v>
      </c>
      <c r="B10384" t="s">
        <v>2931</v>
      </c>
      <c r="C10384">
        <v>9510</v>
      </c>
      <c r="D10384" t="str">
        <f>"12185522    "</f>
        <v xml:space="preserve">12185522    </v>
      </c>
      <c r="E10384" t="s">
        <v>1008</v>
      </c>
      <c r="F10384" t="s">
        <v>1009</v>
      </c>
      <c r="G10384">
        <v>58.57</v>
      </c>
      <c r="H10384">
        <v>250630</v>
      </c>
      <c r="I10384">
        <v>4380</v>
      </c>
      <c r="J10384" t="s">
        <v>211</v>
      </c>
      <c r="K10384">
        <v>65.22</v>
      </c>
      <c r="L10384">
        <v>11.9</v>
      </c>
      <c r="M10384">
        <v>14951</v>
      </c>
      <c r="N10384" t="s">
        <v>186</v>
      </c>
      <c r="O10384">
        <v>250709</v>
      </c>
      <c r="P10384">
        <v>46.67</v>
      </c>
    </row>
    <row r="10385" spans="1:16" x14ac:dyDescent="0.25">
      <c r="A10385" t="s">
        <v>3296</v>
      </c>
      <c r="B10385" t="s">
        <v>2931</v>
      </c>
      <c r="C10385">
        <v>9513</v>
      </c>
      <c r="D10385" t="str">
        <f>"12185121    "</f>
        <v xml:space="preserve">12185121    </v>
      </c>
      <c r="E10385" t="s">
        <v>1008</v>
      </c>
      <c r="F10385" t="s">
        <v>1009</v>
      </c>
      <c r="G10385">
        <v>77.959999999999994</v>
      </c>
      <c r="H10385">
        <v>250630</v>
      </c>
      <c r="I10385">
        <v>4380</v>
      </c>
      <c r="J10385" t="s">
        <v>211</v>
      </c>
      <c r="K10385">
        <v>85.24</v>
      </c>
      <c r="L10385">
        <v>15.84</v>
      </c>
      <c r="M10385">
        <v>14951</v>
      </c>
      <c r="N10385" t="s">
        <v>186</v>
      </c>
      <c r="O10385">
        <v>250709</v>
      </c>
      <c r="P10385">
        <v>62.12</v>
      </c>
    </row>
    <row r="10386" spans="1:16" x14ac:dyDescent="0.25">
      <c r="A10386" t="s">
        <v>3296</v>
      </c>
      <c r="B10386" t="s">
        <v>2931</v>
      </c>
      <c r="C10386">
        <v>16573</v>
      </c>
      <c r="D10386" t="str">
        <f>"12466771    "</f>
        <v xml:space="preserve">12466771    </v>
      </c>
      <c r="E10386" t="s">
        <v>1008</v>
      </c>
      <c r="F10386" t="s">
        <v>1009</v>
      </c>
      <c r="G10386">
        <v>77.959999999999994</v>
      </c>
      <c r="H10386">
        <v>251130</v>
      </c>
      <c r="I10386">
        <v>4380</v>
      </c>
      <c r="J10386" t="s">
        <v>211</v>
      </c>
      <c r="K10386">
        <v>85.24</v>
      </c>
      <c r="L10386">
        <v>15.84</v>
      </c>
      <c r="M10386">
        <v>14951</v>
      </c>
      <c r="N10386" t="s">
        <v>186</v>
      </c>
      <c r="O10386">
        <v>251210</v>
      </c>
      <c r="P10386">
        <v>62.12</v>
      </c>
    </row>
    <row r="10387" spans="1:16" x14ac:dyDescent="0.25">
      <c r="A10387" t="s">
        <v>3296</v>
      </c>
      <c r="B10387" t="s">
        <v>2931</v>
      </c>
      <c r="C10387">
        <v>1499</v>
      </c>
      <c r="D10387" t="str">
        <f>"714624167   "</f>
        <v xml:space="preserve">714624167   </v>
      </c>
      <c r="E10387" t="s">
        <v>1008</v>
      </c>
      <c r="F10387" t="s">
        <v>1009</v>
      </c>
      <c r="G10387">
        <v>13.93</v>
      </c>
      <c r="H10387">
        <v>250131</v>
      </c>
      <c r="I10387">
        <v>4860</v>
      </c>
      <c r="J10387" t="s">
        <v>286</v>
      </c>
      <c r="K10387">
        <v>13.93</v>
      </c>
      <c r="L10387">
        <v>2.83</v>
      </c>
      <c r="M10387">
        <v>14951</v>
      </c>
      <c r="N10387" t="s">
        <v>186</v>
      </c>
      <c r="O10387">
        <v>250210</v>
      </c>
      <c r="P10387">
        <v>11.1</v>
      </c>
    </row>
    <row r="10388" spans="1:16" x14ac:dyDescent="0.25">
      <c r="A10388" t="s">
        <v>3296</v>
      </c>
      <c r="B10388" t="s">
        <v>2931</v>
      </c>
      <c r="C10388">
        <v>1500</v>
      </c>
      <c r="D10388" t="str">
        <f>"714624168   "</f>
        <v xml:space="preserve">714624168   </v>
      </c>
      <c r="E10388" t="s">
        <v>1008</v>
      </c>
      <c r="F10388" t="s">
        <v>1009</v>
      </c>
      <c r="G10388">
        <v>6.65</v>
      </c>
      <c r="H10388">
        <v>250131</v>
      </c>
      <c r="I10388">
        <v>4860</v>
      </c>
      <c r="J10388" t="s">
        <v>286</v>
      </c>
      <c r="K10388">
        <v>6.65</v>
      </c>
      <c r="L10388">
        <v>1.35</v>
      </c>
      <c r="M10388">
        <v>14951</v>
      </c>
      <c r="N10388" t="s">
        <v>186</v>
      </c>
      <c r="O10388">
        <v>250210</v>
      </c>
      <c r="P10388">
        <v>5.3</v>
      </c>
    </row>
    <row r="10389" spans="1:16" x14ac:dyDescent="0.25">
      <c r="A10389" t="s">
        <v>3296</v>
      </c>
      <c r="B10389" t="s">
        <v>2931</v>
      </c>
      <c r="C10389">
        <v>3090</v>
      </c>
      <c r="D10389" t="str">
        <f>"12024238    "</f>
        <v xml:space="preserve">12024238    </v>
      </c>
      <c r="E10389" t="s">
        <v>1008</v>
      </c>
      <c r="F10389" t="s">
        <v>1009</v>
      </c>
      <c r="G10389">
        <v>6.65</v>
      </c>
      <c r="H10389">
        <v>250228</v>
      </c>
      <c r="I10389">
        <v>4860</v>
      </c>
      <c r="J10389" t="s">
        <v>286</v>
      </c>
      <c r="K10389">
        <v>6.65</v>
      </c>
      <c r="L10389">
        <v>1.35</v>
      </c>
      <c r="M10389">
        <v>14951</v>
      </c>
      <c r="N10389" t="s">
        <v>186</v>
      </c>
      <c r="O10389">
        <v>250314</v>
      </c>
      <c r="P10389">
        <v>5.3</v>
      </c>
    </row>
    <row r="10390" spans="1:16" x14ac:dyDescent="0.25">
      <c r="A10390" t="s">
        <v>3296</v>
      </c>
      <c r="B10390" t="s">
        <v>2931</v>
      </c>
      <c r="C10390">
        <v>3165</v>
      </c>
      <c r="D10390" t="str">
        <f>"12025072    "</f>
        <v xml:space="preserve">12025072    </v>
      </c>
      <c r="E10390" t="s">
        <v>1008</v>
      </c>
      <c r="F10390" t="s">
        <v>1009</v>
      </c>
      <c r="G10390">
        <v>7.28</v>
      </c>
      <c r="H10390">
        <v>250228</v>
      </c>
      <c r="I10390">
        <v>4860</v>
      </c>
      <c r="J10390" t="s">
        <v>286</v>
      </c>
      <c r="K10390">
        <v>7.28</v>
      </c>
      <c r="L10390">
        <v>1.48</v>
      </c>
      <c r="M10390">
        <v>14951</v>
      </c>
      <c r="N10390" t="s">
        <v>186</v>
      </c>
      <c r="O10390">
        <v>250314</v>
      </c>
      <c r="P10390">
        <v>5.8</v>
      </c>
    </row>
    <row r="10391" spans="1:16" x14ac:dyDescent="0.25">
      <c r="A10391" t="s">
        <v>3296</v>
      </c>
      <c r="B10391" t="s">
        <v>2931</v>
      </c>
      <c r="C10391">
        <v>3277</v>
      </c>
      <c r="D10391" t="str">
        <f>"12025178    "</f>
        <v xml:space="preserve">12025178    </v>
      </c>
      <c r="E10391" t="s">
        <v>1008</v>
      </c>
      <c r="F10391" t="s">
        <v>1009</v>
      </c>
      <c r="G10391">
        <v>6.65</v>
      </c>
      <c r="H10391">
        <v>250228</v>
      </c>
      <c r="I10391">
        <v>4860</v>
      </c>
      <c r="J10391" t="s">
        <v>286</v>
      </c>
      <c r="K10391">
        <v>6.65</v>
      </c>
      <c r="L10391">
        <v>1.35</v>
      </c>
      <c r="M10391">
        <v>14951</v>
      </c>
      <c r="N10391" t="s">
        <v>186</v>
      </c>
      <c r="O10391">
        <v>250318</v>
      </c>
      <c r="P10391">
        <v>5.3</v>
      </c>
    </row>
    <row r="10392" spans="1:16" x14ac:dyDescent="0.25">
      <c r="A10392" t="s">
        <v>3296</v>
      </c>
      <c r="B10392" t="s">
        <v>2931</v>
      </c>
      <c r="C10392">
        <v>4621</v>
      </c>
      <c r="D10392" t="str">
        <f>"12038099    "</f>
        <v xml:space="preserve">12038099    </v>
      </c>
      <c r="E10392" t="s">
        <v>1008</v>
      </c>
      <c r="F10392" t="s">
        <v>1009</v>
      </c>
      <c r="G10392">
        <v>6.65</v>
      </c>
      <c r="H10392">
        <v>250331</v>
      </c>
      <c r="I10392">
        <v>4860</v>
      </c>
      <c r="J10392" t="s">
        <v>286</v>
      </c>
      <c r="K10392">
        <v>65.22</v>
      </c>
      <c r="L10392">
        <v>1.35</v>
      </c>
      <c r="M10392">
        <v>14951</v>
      </c>
      <c r="N10392" t="s">
        <v>186</v>
      </c>
      <c r="O10392">
        <v>250414</v>
      </c>
      <c r="P10392">
        <v>5.3</v>
      </c>
    </row>
    <row r="10393" spans="1:16" x14ac:dyDescent="0.25">
      <c r="A10393" t="s">
        <v>3296</v>
      </c>
      <c r="B10393" t="s">
        <v>2931</v>
      </c>
      <c r="C10393">
        <v>4654</v>
      </c>
      <c r="D10393" t="str">
        <f>"12046807    "</f>
        <v xml:space="preserve">12046807    </v>
      </c>
      <c r="E10393" t="s">
        <v>1008</v>
      </c>
      <c r="F10393" t="s">
        <v>1009</v>
      </c>
      <c r="G10393">
        <v>6.65</v>
      </c>
      <c r="H10393">
        <v>250331</v>
      </c>
      <c r="I10393">
        <v>4860</v>
      </c>
      <c r="J10393" t="s">
        <v>286</v>
      </c>
      <c r="K10393">
        <v>6.65</v>
      </c>
      <c r="L10393">
        <v>1.35</v>
      </c>
      <c r="M10393">
        <v>14951</v>
      </c>
      <c r="N10393" t="s">
        <v>186</v>
      </c>
      <c r="O10393">
        <v>250414</v>
      </c>
      <c r="P10393">
        <v>5.3</v>
      </c>
    </row>
    <row r="10394" spans="1:16" x14ac:dyDescent="0.25">
      <c r="A10394" t="s">
        <v>3296</v>
      </c>
      <c r="B10394" t="s">
        <v>2931</v>
      </c>
      <c r="C10394">
        <v>4691</v>
      </c>
      <c r="D10394" t="str">
        <f>"12047609    "</f>
        <v xml:space="preserve">12047609    </v>
      </c>
      <c r="E10394" t="s">
        <v>1008</v>
      </c>
      <c r="F10394" t="s">
        <v>1009</v>
      </c>
      <c r="G10394">
        <v>7.28</v>
      </c>
      <c r="H10394">
        <v>250331</v>
      </c>
      <c r="I10394">
        <v>4860</v>
      </c>
      <c r="J10394" t="s">
        <v>286</v>
      </c>
      <c r="K10394">
        <v>7.28</v>
      </c>
      <c r="L10394">
        <v>1.48</v>
      </c>
      <c r="M10394">
        <v>14951</v>
      </c>
      <c r="N10394" t="s">
        <v>186</v>
      </c>
      <c r="O10394">
        <v>250414</v>
      </c>
      <c r="P10394">
        <v>5.8</v>
      </c>
    </row>
    <row r="10395" spans="1:16" x14ac:dyDescent="0.25">
      <c r="A10395" t="s">
        <v>3296</v>
      </c>
      <c r="B10395" t="s">
        <v>2931</v>
      </c>
      <c r="C10395">
        <v>6423</v>
      </c>
      <c r="D10395" t="str">
        <f>"12069507    "</f>
        <v xml:space="preserve">12069507    </v>
      </c>
      <c r="E10395" t="s">
        <v>1008</v>
      </c>
      <c r="F10395" t="s">
        <v>1009</v>
      </c>
      <c r="G10395">
        <v>6.65</v>
      </c>
      <c r="H10395">
        <v>250430</v>
      </c>
      <c r="I10395">
        <v>4860</v>
      </c>
      <c r="J10395" t="s">
        <v>286</v>
      </c>
      <c r="K10395">
        <v>6.65</v>
      </c>
      <c r="L10395">
        <v>1.35</v>
      </c>
      <c r="M10395">
        <v>14951</v>
      </c>
      <c r="N10395" t="s">
        <v>186</v>
      </c>
      <c r="O10395">
        <v>250513</v>
      </c>
      <c r="P10395">
        <v>5.3</v>
      </c>
    </row>
    <row r="10396" spans="1:16" x14ac:dyDescent="0.25">
      <c r="A10396" t="s">
        <v>3296</v>
      </c>
      <c r="B10396" t="s">
        <v>2931</v>
      </c>
      <c r="C10396">
        <v>6424</v>
      </c>
      <c r="D10396" t="str">
        <f>"12070688    "</f>
        <v xml:space="preserve">12070688    </v>
      </c>
      <c r="E10396" t="s">
        <v>1008</v>
      </c>
      <c r="F10396" t="s">
        <v>1009</v>
      </c>
      <c r="G10396">
        <v>7.28</v>
      </c>
      <c r="H10396">
        <v>250430</v>
      </c>
      <c r="I10396">
        <v>4860</v>
      </c>
      <c r="J10396" t="s">
        <v>286</v>
      </c>
      <c r="K10396">
        <v>7.28</v>
      </c>
      <c r="L10396">
        <v>1.48</v>
      </c>
      <c r="M10396">
        <v>14951</v>
      </c>
      <c r="N10396" t="s">
        <v>186</v>
      </c>
      <c r="O10396">
        <v>250513</v>
      </c>
      <c r="P10396">
        <v>5.8</v>
      </c>
    </row>
    <row r="10397" spans="1:16" x14ac:dyDescent="0.25">
      <c r="A10397" t="s">
        <v>3296</v>
      </c>
      <c r="B10397" t="s">
        <v>2931</v>
      </c>
      <c r="C10397">
        <v>6427</v>
      </c>
      <c r="D10397" t="str">
        <f>"12070793    "</f>
        <v xml:space="preserve">12070793    </v>
      </c>
      <c r="E10397" t="s">
        <v>1008</v>
      </c>
      <c r="F10397" t="s">
        <v>1009</v>
      </c>
      <c r="G10397">
        <v>6.65</v>
      </c>
      <c r="H10397">
        <v>250430</v>
      </c>
      <c r="I10397">
        <v>4860</v>
      </c>
      <c r="J10397" t="s">
        <v>286</v>
      </c>
      <c r="K10397">
        <v>6.65</v>
      </c>
      <c r="L10397">
        <v>1.35</v>
      </c>
      <c r="M10397">
        <v>14951</v>
      </c>
      <c r="N10397" t="s">
        <v>186</v>
      </c>
      <c r="O10397">
        <v>250513</v>
      </c>
      <c r="P10397">
        <v>5.3</v>
      </c>
    </row>
    <row r="10398" spans="1:16" x14ac:dyDescent="0.25">
      <c r="A10398" t="s">
        <v>3296</v>
      </c>
      <c r="B10398" t="s">
        <v>2931</v>
      </c>
      <c r="C10398">
        <v>8323</v>
      </c>
      <c r="D10398" t="str">
        <f>"12109072    "</f>
        <v xml:space="preserve">12109072    </v>
      </c>
      <c r="E10398" t="s">
        <v>1008</v>
      </c>
      <c r="F10398" t="s">
        <v>1009</v>
      </c>
      <c r="G10398">
        <v>6.65</v>
      </c>
      <c r="H10398">
        <v>250531</v>
      </c>
      <c r="I10398">
        <v>4860</v>
      </c>
      <c r="J10398" t="s">
        <v>286</v>
      </c>
      <c r="K10398">
        <v>6.65</v>
      </c>
      <c r="L10398">
        <v>1.35</v>
      </c>
      <c r="M10398">
        <v>14951</v>
      </c>
      <c r="N10398" t="s">
        <v>186</v>
      </c>
      <c r="O10398">
        <v>250612</v>
      </c>
      <c r="P10398">
        <v>5.3</v>
      </c>
    </row>
    <row r="10399" spans="1:16" x14ac:dyDescent="0.25">
      <c r="A10399" t="s">
        <v>3296</v>
      </c>
      <c r="B10399" t="s">
        <v>2931</v>
      </c>
      <c r="C10399">
        <v>8327</v>
      </c>
      <c r="D10399" t="str">
        <f>"12109997    "</f>
        <v xml:space="preserve">12109997    </v>
      </c>
      <c r="E10399" t="s">
        <v>1008</v>
      </c>
      <c r="F10399" t="s">
        <v>1009</v>
      </c>
      <c r="G10399">
        <v>7.28</v>
      </c>
      <c r="H10399">
        <v>250531</v>
      </c>
      <c r="I10399">
        <v>4860</v>
      </c>
      <c r="J10399" t="s">
        <v>286</v>
      </c>
      <c r="K10399">
        <v>7.28</v>
      </c>
      <c r="L10399">
        <v>1.48</v>
      </c>
      <c r="M10399">
        <v>14951</v>
      </c>
      <c r="N10399" t="s">
        <v>186</v>
      </c>
      <c r="O10399">
        <v>250612</v>
      </c>
      <c r="P10399">
        <v>5.8</v>
      </c>
    </row>
    <row r="10400" spans="1:16" x14ac:dyDescent="0.25">
      <c r="A10400" t="s">
        <v>3296</v>
      </c>
      <c r="B10400" t="s">
        <v>2931</v>
      </c>
      <c r="C10400">
        <v>8334</v>
      </c>
      <c r="D10400" t="str">
        <f>"12109972    "</f>
        <v xml:space="preserve">12109972    </v>
      </c>
      <c r="E10400" t="s">
        <v>1008</v>
      </c>
      <c r="F10400" t="s">
        <v>1009</v>
      </c>
      <c r="G10400">
        <v>6.65</v>
      </c>
      <c r="H10400">
        <v>250531</v>
      </c>
      <c r="I10400">
        <v>4860</v>
      </c>
      <c r="J10400" t="s">
        <v>286</v>
      </c>
      <c r="K10400">
        <v>6.65</v>
      </c>
      <c r="L10400">
        <v>1.35</v>
      </c>
      <c r="M10400">
        <v>14951</v>
      </c>
      <c r="N10400" t="s">
        <v>186</v>
      </c>
      <c r="O10400">
        <v>250613</v>
      </c>
      <c r="P10400">
        <v>5.3</v>
      </c>
    </row>
    <row r="10401" spans="1:16" x14ac:dyDescent="0.25">
      <c r="A10401" t="s">
        <v>3296</v>
      </c>
      <c r="B10401" t="s">
        <v>2931</v>
      </c>
      <c r="C10401">
        <v>9510</v>
      </c>
      <c r="D10401" t="str">
        <f>"12185522    "</f>
        <v xml:space="preserve">12185522    </v>
      </c>
      <c r="E10401" t="s">
        <v>1008</v>
      </c>
      <c r="F10401" t="s">
        <v>1009</v>
      </c>
      <c r="G10401">
        <v>6.65</v>
      </c>
      <c r="H10401">
        <v>250630</v>
      </c>
      <c r="I10401">
        <v>4860</v>
      </c>
      <c r="J10401" t="s">
        <v>286</v>
      </c>
      <c r="K10401">
        <v>65.22</v>
      </c>
      <c r="L10401">
        <v>1.35</v>
      </c>
      <c r="M10401">
        <v>14951</v>
      </c>
      <c r="N10401" t="s">
        <v>186</v>
      </c>
      <c r="O10401">
        <v>250709</v>
      </c>
      <c r="P10401">
        <v>5.3</v>
      </c>
    </row>
    <row r="10402" spans="1:16" x14ac:dyDescent="0.25">
      <c r="A10402" t="s">
        <v>3296</v>
      </c>
      <c r="B10402" t="s">
        <v>2931</v>
      </c>
      <c r="C10402">
        <v>9511</v>
      </c>
      <c r="D10402" t="str">
        <f>"12195342    "</f>
        <v xml:space="preserve">12195342    </v>
      </c>
      <c r="E10402" t="s">
        <v>1008</v>
      </c>
      <c r="F10402" t="s">
        <v>1009</v>
      </c>
      <c r="G10402">
        <v>6.65</v>
      </c>
      <c r="H10402">
        <v>250630</v>
      </c>
      <c r="I10402">
        <v>4860</v>
      </c>
      <c r="J10402" t="s">
        <v>286</v>
      </c>
      <c r="K10402">
        <v>6.65</v>
      </c>
      <c r="L10402">
        <v>1.35</v>
      </c>
      <c r="M10402">
        <v>14951</v>
      </c>
      <c r="N10402" t="s">
        <v>186</v>
      </c>
      <c r="O10402">
        <v>250709</v>
      </c>
      <c r="P10402">
        <v>5.3</v>
      </c>
    </row>
    <row r="10403" spans="1:16" x14ac:dyDescent="0.25">
      <c r="A10403" t="s">
        <v>3296</v>
      </c>
      <c r="B10403" t="s">
        <v>2931</v>
      </c>
      <c r="C10403">
        <v>9513</v>
      </c>
      <c r="D10403" t="str">
        <f>"12185121    "</f>
        <v xml:space="preserve">12185121    </v>
      </c>
      <c r="E10403" t="s">
        <v>1008</v>
      </c>
      <c r="F10403" t="s">
        <v>1009</v>
      </c>
      <c r="G10403">
        <v>7.28</v>
      </c>
      <c r="H10403">
        <v>250630</v>
      </c>
      <c r="I10403">
        <v>4860</v>
      </c>
      <c r="J10403" t="s">
        <v>286</v>
      </c>
      <c r="K10403">
        <v>85.24</v>
      </c>
      <c r="L10403">
        <v>1.48</v>
      </c>
      <c r="M10403">
        <v>14951</v>
      </c>
      <c r="N10403" t="s">
        <v>186</v>
      </c>
      <c r="O10403">
        <v>250709</v>
      </c>
      <c r="P10403">
        <v>5.8</v>
      </c>
    </row>
    <row r="10404" spans="1:16" x14ac:dyDescent="0.25">
      <c r="A10404" t="s">
        <v>3296</v>
      </c>
      <c r="B10404" t="s">
        <v>2931</v>
      </c>
      <c r="C10404">
        <v>10381</v>
      </c>
      <c r="D10404" t="str">
        <f>"12237874    "</f>
        <v xml:space="preserve">12237874    </v>
      </c>
      <c r="E10404" t="s">
        <v>1008</v>
      </c>
      <c r="F10404" t="s">
        <v>1009</v>
      </c>
      <c r="G10404">
        <v>6.65</v>
      </c>
      <c r="H10404">
        <v>250731</v>
      </c>
      <c r="I10404">
        <v>4860</v>
      </c>
      <c r="J10404" t="s">
        <v>286</v>
      </c>
      <c r="K10404">
        <v>6.65</v>
      </c>
      <c r="L10404">
        <v>1.35</v>
      </c>
      <c r="M10404">
        <v>14951</v>
      </c>
      <c r="N10404" t="s">
        <v>186</v>
      </c>
      <c r="O10404">
        <v>250818</v>
      </c>
      <c r="P10404">
        <v>5.3</v>
      </c>
    </row>
    <row r="10405" spans="1:16" x14ac:dyDescent="0.25">
      <c r="A10405" t="s">
        <v>3296</v>
      </c>
      <c r="B10405" t="s">
        <v>2931</v>
      </c>
      <c r="C10405">
        <v>10383</v>
      </c>
      <c r="D10405" t="str">
        <f>"12234315    "</f>
        <v xml:space="preserve">12234315    </v>
      </c>
      <c r="E10405" t="s">
        <v>1008</v>
      </c>
      <c r="F10405" t="s">
        <v>1009</v>
      </c>
      <c r="G10405">
        <v>7.28</v>
      </c>
      <c r="H10405">
        <v>250731</v>
      </c>
      <c r="I10405">
        <v>4860</v>
      </c>
      <c r="J10405" t="s">
        <v>286</v>
      </c>
      <c r="K10405">
        <v>7.28</v>
      </c>
      <c r="L10405">
        <v>1.48</v>
      </c>
      <c r="M10405">
        <v>14951</v>
      </c>
      <c r="N10405" t="s">
        <v>186</v>
      </c>
      <c r="O10405">
        <v>250818</v>
      </c>
      <c r="P10405">
        <v>5.8</v>
      </c>
    </row>
    <row r="10406" spans="1:16" x14ac:dyDescent="0.25">
      <c r="A10406" t="s">
        <v>3296</v>
      </c>
      <c r="B10406" t="s">
        <v>2931</v>
      </c>
      <c r="C10406">
        <v>10387</v>
      </c>
      <c r="D10406" t="str">
        <f>"12234285    "</f>
        <v xml:space="preserve">12234285    </v>
      </c>
      <c r="E10406" t="s">
        <v>1008</v>
      </c>
      <c r="F10406" t="s">
        <v>1009</v>
      </c>
      <c r="G10406">
        <v>6.65</v>
      </c>
      <c r="H10406">
        <v>250731</v>
      </c>
      <c r="I10406">
        <v>4860</v>
      </c>
      <c r="J10406" t="s">
        <v>286</v>
      </c>
      <c r="K10406">
        <v>6.65</v>
      </c>
      <c r="L10406">
        <v>1.35</v>
      </c>
      <c r="M10406">
        <v>14951</v>
      </c>
      <c r="N10406" t="s">
        <v>186</v>
      </c>
      <c r="O10406">
        <v>250818</v>
      </c>
      <c r="P10406">
        <v>5.3</v>
      </c>
    </row>
    <row r="10407" spans="1:16" x14ac:dyDescent="0.25">
      <c r="A10407" t="s">
        <v>3296</v>
      </c>
      <c r="B10407" t="s">
        <v>2931</v>
      </c>
      <c r="C10407">
        <v>11847</v>
      </c>
      <c r="D10407" t="str">
        <f>"12285071    "</f>
        <v xml:space="preserve">12285071    </v>
      </c>
      <c r="E10407" t="s">
        <v>1008</v>
      </c>
      <c r="F10407" t="s">
        <v>1009</v>
      </c>
      <c r="G10407">
        <v>6.65</v>
      </c>
      <c r="H10407">
        <v>250831</v>
      </c>
      <c r="I10407">
        <v>4860</v>
      </c>
      <c r="J10407" t="s">
        <v>286</v>
      </c>
      <c r="K10407">
        <v>6.65</v>
      </c>
      <c r="L10407">
        <v>1.35</v>
      </c>
      <c r="M10407">
        <v>14951</v>
      </c>
      <c r="N10407" t="s">
        <v>186</v>
      </c>
      <c r="O10407">
        <v>250911</v>
      </c>
      <c r="P10407">
        <v>5.3</v>
      </c>
    </row>
    <row r="10408" spans="1:16" x14ac:dyDescent="0.25">
      <c r="A10408" t="s">
        <v>3296</v>
      </c>
      <c r="B10408" t="s">
        <v>2931</v>
      </c>
      <c r="C10408">
        <v>11985</v>
      </c>
      <c r="D10408" t="str">
        <f>"12281540    "</f>
        <v xml:space="preserve">12281540    </v>
      </c>
      <c r="E10408" t="s">
        <v>1008</v>
      </c>
      <c r="F10408" t="s">
        <v>1009</v>
      </c>
      <c r="G10408">
        <v>6.65</v>
      </c>
      <c r="H10408">
        <v>250831</v>
      </c>
      <c r="I10408">
        <v>4860</v>
      </c>
      <c r="J10408" t="s">
        <v>286</v>
      </c>
      <c r="K10408">
        <v>6.65</v>
      </c>
      <c r="L10408">
        <v>1.35</v>
      </c>
      <c r="M10408">
        <v>14951</v>
      </c>
      <c r="N10408" t="s">
        <v>186</v>
      </c>
      <c r="O10408">
        <v>250915</v>
      </c>
      <c r="P10408">
        <v>5.3</v>
      </c>
    </row>
    <row r="10409" spans="1:16" x14ac:dyDescent="0.25">
      <c r="A10409" t="s">
        <v>3296</v>
      </c>
      <c r="B10409" t="s">
        <v>2931</v>
      </c>
      <c r="C10409">
        <v>11986</v>
      </c>
      <c r="D10409" t="str">
        <f>"12281378    "</f>
        <v xml:space="preserve">12281378    </v>
      </c>
      <c r="E10409" t="s">
        <v>1008</v>
      </c>
      <c r="F10409" t="s">
        <v>1009</v>
      </c>
      <c r="G10409">
        <v>7.28</v>
      </c>
      <c r="H10409">
        <v>250831</v>
      </c>
      <c r="I10409">
        <v>4860</v>
      </c>
      <c r="J10409" t="s">
        <v>286</v>
      </c>
      <c r="K10409">
        <v>7.28</v>
      </c>
      <c r="L10409">
        <v>1.48</v>
      </c>
      <c r="M10409">
        <v>14951</v>
      </c>
      <c r="N10409" t="s">
        <v>186</v>
      </c>
      <c r="O10409">
        <v>250915</v>
      </c>
      <c r="P10409">
        <v>5.8</v>
      </c>
    </row>
    <row r="10410" spans="1:16" x14ac:dyDescent="0.25">
      <c r="A10410" t="s">
        <v>3296</v>
      </c>
      <c r="B10410" t="s">
        <v>2931</v>
      </c>
      <c r="C10410">
        <v>13485</v>
      </c>
      <c r="D10410" t="str">
        <f>"12321842    "</f>
        <v xml:space="preserve">12321842    </v>
      </c>
      <c r="E10410" t="s">
        <v>1008</v>
      </c>
      <c r="F10410" t="s">
        <v>1009</v>
      </c>
      <c r="G10410">
        <v>7.28</v>
      </c>
      <c r="H10410">
        <v>250930</v>
      </c>
      <c r="I10410">
        <v>4860</v>
      </c>
      <c r="J10410" t="s">
        <v>286</v>
      </c>
      <c r="K10410">
        <v>7.28</v>
      </c>
      <c r="L10410">
        <v>1.48</v>
      </c>
      <c r="M10410">
        <v>14951</v>
      </c>
      <c r="N10410" t="s">
        <v>186</v>
      </c>
      <c r="O10410">
        <v>251010</v>
      </c>
      <c r="P10410">
        <v>5.8</v>
      </c>
    </row>
    <row r="10411" spans="1:16" x14ac:dyDescent="0.25">
      <c r="A10411" t="s">
        <v>3296</v>
      </c>
      <c r="B10411" t="s">
        <v>2931</v>
      </c>
      <c r="C10411">
        <v>13486</v>
      </c>
      <c r="D10411" t="str">
        <f>"12321805    "</f>
        <v xml:space="preserve">12321805    </v>
      </c>
      <c r="E10411" t="s">
        <v>1008</v>
      </c>
      <c r="F10411" t="s">
        <v>1009</v>
      </c>
      <c r="G10411">
        <v>6.65</v>
      </c>
      <c r="H10411">
        <v>250930</v>
      </c>
      <c r="I10411">
        <v>4860</v>
      </c>
      <c r="J10411" t="s">
        <v>286</v>
      </c>
      <c r="K10411">
        <v>6.65</v>
      </c>
      <c r="L10411">
        <v>1.35</v>
      </c>
      <c r="M10411">
        <v>14951</v>
      </c>
      <c r="N10411" t="s">
        <v>186</v>
      </c>
      <c r="O10411">
        <v>251010</v>
      </c>
      <c r="P10411">
        <v>5.3</v>
      </c>
    </row>
    <row r="10412" spans="1:16" x14ac:dyDescent="0.25">
      <c r="A10412" t="s">
        <v>3296</v>
      </c>
      <c r="B10412" t="s">
        <v>2931</v>
      </c>
      <c r="C10412">
        <v>13490</v>
      </c>
      <c r="D10412" t="str">
        <f>"12327022    "</f>
        <v xml:space="preserve">12327022    </v>
      </c>
      <c r="E10412" t="s">
        <v>1008</v>
      </c>
      <c r="F10412" t="s">
        <v>1009</v>
      </c>
      <c r="G10412">
        <v>6.65</v>
      </c>
      <c r="H10412">
        <v>250930</v>
      </c>
      <c r="I10412">
        <v>4860</v>
      </c>
      <c r="J10412" t="s">
        <v>286</v>
      </c>
      <c r="K10412">
        <v>6.65</v>
      </c>
      <c r="L10412">
        <v>1.35</v>
      </c>
      <c r="M10412">
        <v>14951</v>
      </c>
      <c r="N10412" t="s">
        <v>186</v>
      </c>
      <c r="O10412">
        <v>251010</v>
      </c>
      <c r="P10412">
        <v>5.3</v>
      </c>
    </row>
    <row r="10413" spans="1:16" x14ac:dyDescent="0.25">
      <c r="A10413" t="s">
        <v>3296</v>
      </c>
      <c r="B10413" t="s">
        <v>2931</v>
      </c>
      <c r="C10413">
        <v>14959</v>
      </c>
      <c r="D10413" t="str">
        <f>"12393942    "</f>
        <v xml:space="preserve">12393942    </v>
      </c>
      <c r="E10413" t="s">
        <v>1008</v>
      </c>
      <c r="F10413" t="s">
        <v>1009</v>
      </c>
      <c r="G10413">
        <v>7.28</v>
      </c>
      <c r="H10413">
        <v>251031</v>
      </c>
      <c r="I10413">
        <v>4860</v>
      </c>
      <c r="J10413" t="s">
        <v>286</v>
      </c>
      <c r="K10413">
        <v>7.28</v>
      </c>
      <c r="L10413">
        <v>1.48</v>
      </c>
      <c r="M10413">
        <v>14951</v>
      </c>
      <c r="N10413" t="s">
        <v>186</v>
      </c>
      <c r="O10413">
        <v>251110</v>
      </c>
      <c r="P10413">
        <v>5.8</v>
      </c>
    </row>
    <row r="10414" spans="1:16" x14ac:dyDescent="0.25">
      <c r="A10414" t="s">
        <v>3296</v>
      </c>
      <c r="B10414" t="s">
        <v>2931</v>
      </c>
      <c r="C10414">
        <v>14969</v>
      </c>
      <c r="D10414" t="str">
        <f>"12391543    "</f>
        <v xml:space="preserve">12391543    </v>
      </c>
      <c r="E10414" t="s">
        <v>1008</v>
      </c>
      <c r="F10414" t="s">
        <v>1009</v>
      </c>
      <c r="G10414">
        <v>6.65</v>
      </c>
      <c r="H10414">
        <v>251031</v>
      </c>
      <c r="I10414">
        <v>4860</v>
      </c>
      <c r="J10414" t="s">
        <v>286</v>
      </c>
      <c r="K10414">
        <v>6.65</v>
      </c>
      <c r="L10414">
        <v>1.35</v>
      </c>
      <c r="M10414">
        <v>14951</v>
      </c>
      <c r="N10414" t="s">
        <v>186</v>
      </c>
      <c r="O10414">
        <v>251110</v>
      </c>
      <c r="P10414">
        <v>5.3</v>
      </c>
    </row>
    <row r="10415" spans="1:16" x14ac:dyDescent="0.25">
      <c r="A10415" t="s">
        <v>3296</v>
      </c>
      <c r="B10415" t="s">
        <v>2931</v>
      </c>
      <c r="C10415">
        <v>14976</v>
      </c>
      <c r="D10415" t="str">
        <f>"12393927    "</f>
        <v xml:space="preserve">12393927    </v>
      </c>
      <c r="E10415" t="s">
        <v>1008</v>
      </c>
      <c r="F10415" t="s">
        <v>1009</v>
      </c>
      <c r="G10415">
        <v>6.65</v>
      </c>
      <c r="H10415">
        <v>251031</v>
      </c>
      <c r="I10415">
        <v>4860</v>
      </c>
      <c r="J10415" t="s">
        <v>286</v>
      </c>
      <c r="K10415">
        <v>6.65</v>
      </c>
      <c r="L10415">
        <v>1.35</v>
      </c>
      <c r="M10415">
        <v>14951</v>
      </c>
      <c r="N10415" t="s">
        <v>186</v>
      </c>
      <c r="O10415">
        <v>251110</v>
      </c>
      <c r="P10415">
        <v>5.3</v>
      </c>
    </row>
    <row r="10416" spans="1:16" x14ac:dyDescent="0.25">
      <c r="A10416" t="s">
        <v>3296</v>
      </c>
      <c r="B10416" t="s">
        <v>2931</v>
      </c>
      <c r="C10416">
        <v>16530</v>
      </c>
      <c r="D10416" t="str">
        <f>"12467794    "</f>
        <v xml:space="preserve">12467794    </v>
      </c>
      <c r="E10416" t="s">
        <v>1008</v>
      </c>
      <c r="F10416" t="s">
        <v>1009</v>
      </c>
      <c r="G10416">
        <v>6.65</v>
      </c>
      <c r="H10416">
        <v>251130</v>
      </c>
      <c r="I10416">
        <v>4860</v>
      </c>
      <c r="J10416" t="s">
        <v>286</v>
      </c>
      <c r="K10416">
        <v>6.65</v>
      </c>
      <c r="L10416">
        <v>1.35</v>
      </c>
      <c r="M10416">
        <v>14951</v>
      </c>
      <c r="N10416" t="s">
        <v>186</v>
      </c>
      <c r="O10416">
        <v>251209</v>
      </c>
      <c r="P10416">
        <v>5.3</v>
      </c>
    </row>
    <row r="10417" spans="1:16" x14ac:dyDescent="0.25">
      <c r="A10417" t="s">
        <v>3296</v>
      </c>
      <c r="B10417" t="s">
        <v>2931</v>
      </c>
      <c r="C10417">
        <v>16533</v>
      </c>
      <c r="D10417" t="str">
        <f>"12470120    "</f>
        <v xml:space="preserve">12470120    </v>
      </c>
      <c r="E10417" t="s">
        <v>1008</v>
      </c>
      <c r="F10417" t="s">
        <v>1009</v>
      </c>
      <c r="G10417">
        <v>6.65</v>
      </c>
      <c r="H10417">
        <v>251130</v>
      </c>
      <c r="I10417">
        <v>4860</v>
      </c>
      <c r="J10417" t="s">
        <v>286</v>
      </c>
      <c r="K10417">
        <v>6.65</v>
      </c>
      <c r="L10417">
        <v>1.35</v>
      </c>
      <c r="M10417">
        <v>14951</v>
      </c>
      <c r="N10417" t="s">
        <v>186</v>
      </c>
      <c r="O10417">
        <v>251209</v>
      </c>
      <c r="P10417">
        <v>5.3</v>
      </c>
    </row>
    <row r="10418" spans="1:16" x14ac:dyDescent="0.25">
      <c r="A10418" t="s">
        <v>3296</v>
      </c>
      <c r="B10418" t="s">
        <v>2931</v>
      </c>
      <c r="C10418">
        <v>16573</v>
      </c>
      <c r="D10418" t="str">
        <f>"12466771    "</f>
        <v xml:space="preserve">12466771    </v>
      </c>
      <c r="E10418" t="s">
        <v>1008</v>
      </c>
      <c r="F10418" t="s">
        <v>1009</v>
      </c>
      <c r="G10418">
        <v>7.28</v>
      </c>
      <c r="H10418">
        <v>251130</v>
      </c>
      <c r="I10418">
        <v>4860</v>
      </c>
      <c r="J10418" t="s">
        <v>286</v>
      </c>
      <c r="K10418">
        <v>85.24</v>
      </c>
      <c r="L10418">
        <v>1.48</v>
      </c>
      <c r="M10418">
        <v>14951</v>
      </c>
      <c r="N10418" t="s">
        <v>186</v>
      </c>
      <c r="O10418">
        <v>251210</v>
      </c>
      <c r="P10418">
        <v>5.8</v>
      </c>
    </row>
    <row r="10419" spans="1:16" x14ac:dyDescent="0.25">
      <c r="A10419" t="s">
        <v>3296</v>
      </c>
      <c r="B10419" t="s">
        <v>2931</v>
      </c>
      <c r="C10419">
        <v>18551</v>
      </c>
      <c r="D10419" t="str">
        <f>"12505501    "</f>
        <v xml:space="preserve">12505501    </v>
      </c>
      <c r="E10419" t="s">
        <v>1008</v>
      </c>
      <c r="F10419" t="s">
        <v>1009</v>
      </c>
      <c r="G10419">
        <v>7.28</v>
      </c>
      <c r="H10419">
        <v>251231</v>
      </c>
      <c r="I10419">
        <v>4860</v>
      </c>
      <c r="J10419" t="s">
        <v>286</v>
      </c>
      <c r="K10419">
        <v>7.28</v>
      </c>
      <c r="L10419">
        <v>1.48</v>
      </c>
      <c r="M10419">
        <v>14951</v>
      </c>
      <c r="N10419" t="s">
        <v>186</v>
      </c>
      <c r="O10419">
        <v>260115</v>
      </c>
      <c r="P10419">
        <v>5.8</v>
      </c>
    </row>
    <row r="10420" spans="1:16" x14ac:dyDescent="0.25">
      <c r="A10420" t="s">
        <v>3296</v>
      </c>
      <c r="B10420" t="s">
        <v>2931</v>
      </c>
      <c r="C10420">
        <v>18578</v>
      </c>
      <c r="D10420" t="str">
        <f>"12505489    "</f>
        <v xml:space="preserve">12505489    </v>
      </c>
      <c r="E10420" t="s">
        <v>1008</v>
      </c>
      <c r="F10420" t="s">
        <v>1009</v>
      </c>
      <c r="G10420">
        <v>6.65</v>
      </c>
      <c r="H10420">
        <v>251231</v>
      </c>
      <c r="I10420">
        <v>4860</v>
      </c>
      <c r="J10420" t="s">
        <v>286</v>
      </c>
      <c r="K10420">
        <v>6.65</v>
      </c>
      <c r="L10420">
        <v>1.35</v>
      </c>
      <c r="M10420">
        <v>14951</v>
      </c>
      <c r="N10420" t="s">
        <v>186</v>
      </c>
      <c r="O10420">
        <v>260116</v>
      </c>
      <c r="P10420">
        <v>5.3</v>
      </c>
    </row>
    <row r="10421" spans="1:16" x14ac:dyDescent="0.25">
      <c r="A10421" t="s">
        <v>3296</v>
      </c>
      <c r="B10421" t="s">
        <v>2931</v>
      </c>
      <c r="C10421">
        <v>632</v>
      </c>
      <c r="D10421" t="str">
        <f>"2047        "</f>
        <v xml:space="preserve">2047        </v>
      </c>
      <c r="E10421" t="s">
        <v>635</v>
      </c>
      <c r="F10421" t="s">
        <v>636</v>
      </c>
      <c r="G10421">
        <v>374.39</v>
      </c>
      <c r="H10421">
        <v>250120</v>
      </c>
      <c r="I10421">
        <v>4400</v>
      </c>
      <c r="J10421" t="s">
        <v>162</v>
      </c>
      <c r="K10421">
        <v>748.79</v>
      </c>
      <c r="L10421">
        <v>0</v>
      </c>
      <c r="M10421">
        <v>17534</v>
      </c>
      <c r="N10421" t="s">
        <v>148</v>
      </c>
      <c r="O10421">
        <v>250124</v>
      </c>
      <c r="P10421">
        <v>374.39</v>
      </c>
    </row>
    <row r="10422" spans="1:16" x14ac:dyDescent="0.25">
      <c r="A10422" t="s">
        <v>3296</v>
      </c>
      <c r="B10422" t="s">
        <v>2931</v>
      </c>
      <c r="C10422">
        <v>632</v>
      </c>
      <c r="D10422" t="str">
        <f>"2047        "</f>
        <v xml:space="preserve">2047        </v>
      </c>
      <c r="E10422" t="s">
        <v>635</v>
      </c>
      <c r="F10422" t="s">
        <v>636</v>
      </c>
      <c r="G10422">
        <v>374.4</v>
      </c>
      <c r="H10422">
        <v>250120</v>
      </c>
      <c r="I10422">
        <v>4400</v>
      </c>
      <c r="J10422" t="s">
        <v>162</v>
      </c>
      <c r="K10422">
        <v>748.79</v>
      </c>
      <c r="L10422">
        <v>0</v>
      </c>
      <c r="M10422">
        <v>17536</v>
      </c>
      <c r="N10422" t="s">
        <v>150</v>
      </c>
      <c r="O10422">
        <v>250124</v>
      </c>
      <c r="P10422">
        <v>374.4</v>
      </c>
    </row>
    <row r="10423" spans="1:16" x14ac:dyDescent="0.25">
      <c r="A10423" t="s">
        <v>3296</v>
      </c>
      <c r="B10423" t="s">
        <v>2931</v>
      </c>
      <c r="C10423">
        <v>8994</v>
      </c>
      <c r="D10423" t="str">
        <f>"2153        "</f>
        <v xml:space="preserve">2153        </v>
      </c>
      <c r="E10423" t="s">
        <v>635</v>
      </c>
      <c r="F10423" t="s">
        <v>636</v>
      </c>
      <c r="G10423">
        <v>586.54999999999995</v>
      </c>
      <c r="H10423">
        <v>250612</v>
      </c>
      <c r="I10423">
        <v>4400</v>
      </c>
      <c r="J10423" t="s">
        <v>162</v>
      </c>
      <c r="K10423">
        <v>586.54999999999995</v>
      </c>
      <c r="L10423">
        <v>0</v>
      </c>
      <c r="M10423">
        <v>54451</v>
      </c>
      <c r="N10423" t="s">
        <v>218</v>
      </c>
      <c r="O10423">
        <v>250624</v>
      </c>
      <c r="P10423">
        <v>586.54999999999995</v>
      </c>
    </row>
    <row r="10424" spans="1:16" x14ac:dyDescent="0.25">
      <c r="A10424" t="s">
        <v>3296</v>
      </c>
      <c r="B10424" t="s">
        <v>2931</v>
      </c>
      <c r="C10424">
        <v>9149</v>
      </c>
      <c r="D10424" t="str">
        <f>"2155        "</f>
        <v xml:space="preserve">2155        </v>
      </c>
      <c r="E10424" t="s">
        <v>635</v>
      </c>
      <c r="F10424" t="s">
        <v>636</v>
      </c>
      <c r="G10424">
        <v>635.49</v>
      </c>
      <c r="H10424">
        <v>250618</v>
      </c>
      <c r="I10424">
        <v>4400</v>
      </c>
      <c r="J10424" t="s">
        <v>162</v>
      </c>
      <c r="K10424">
        <v>635.49</v>
      </c>
      <c r="L10424">
        <v>129.12</v>
      </c>
      <c r="M10424">
        <v>49501</v>
      </c>
      <c r="N10424" t="s">
        <v>110</v>
      </c>
      <c r="O10424">
        <v>250627</v>
      </c>
      <c r="P10424">
        <v>506.37</v>
      </c>
    </row>
    <row r="10425" spans="1:16" x14ac:dyDescent="0.25">
      <c r="A10425" t="s">
        <v>3296</v>
      </c>
      <c r="B10425" t="s">
        <v>2931</v>
      </c>
      <c r="C10425">
        <v>9260</v>
      </c>
      <c r="D10425" t="str">
        <f>"2168        "</f>
        <v xml:space="preserve">2168        </v>
      </c>
      <c r="E10425" t="s">
        <v>635</v>
      </c>
      <c r="F10425" t="s">
        <v>636</v>
      </c>
      <c r="G10425">
        <v>1425.87</v>
      </c>
      <c r="H10425">
        <v>250626</v>
      </c>
      <c r="I10425">
        <v>4600</v>
      </c>
      <c r="J10425" t="s">
        <v>278</v>
      </c>
      <c r="K10425">
        <v>1425.87</v>
      </c>
      <c r="L10425">
        <v>0</v>
      </c>
      <c r="M10425">
        <v>59505</v>
      </c>
      <c r="N10425" t="s">
        <v>194</v>
      </c>
      <c r="O10425">
        <v>250701</v>
      </c>
      <c r="P10425">
        <v>1425.87</v>
      </c>
    </row>
    <row r="10426" spans="1:16" x14ac:dyDescent="0.25">
      <c r="A10426" t="s">
        <v>3296</v>
      </c>
      <c r="B10426" t="s">
        <v>2931</v>
      </c>
      <c r="C10426">
        <v>9374</v>
      </c>
      <c r="D10426" t="str">
        <f>"10284       "</f>
        <v xml:space="preserve">10284       </v>
      </c>
      <c r="E10426" t="s">
        <v>2122</v>
      </c>
      <c r="F10426" t="s">
        <v>2123</v>
      </c>
      <c r="G10426">
        <v>142.80000000000001</v>
      </c>
      <c r="H10426">
        <v>250622</v>
      </c>
      <c r="I10426">
        <v>4600</v>
      </c>
      <c r="J10426" t="s">
        <v>278</v>
      </c>
      <c r="K10426">
        <v>142.80000000000001</v>
      </c>
      <c r="L10426">
        <v>0</v>
      </c>
      <c r="M10426">
        <v>13901</v>
      </c>
      <c r="N10426" t="s">
        <v>116</v>
      </c>
      <c r="O10426">
        <v>250707</v>
      </c>
      <c r="P10426">
        <v>142.80000000000001</v>
      </c>
    </row>
    <row r="10427" spans="1:16" x14ac:dyDescent="0.25">
      <c r="A10427" t="s">
        <v>3296</v>
      </c>
      <c r="B10427" t="s">
        <v>2931</v>
      </c>
      <c r="C10427">
        <v>12027</v>
      </c>
      <c r="D10427" t="str">
        <f>"1250900655  "</f>
        <v xml:space="preserve">1250900655  </v>
      </c>
      <c r="E10427" t="s">
        <v>2217</v>
      </c>
      <c r="F10427" t="s">
        <v>2218</v>
      </c>
      <c r="G10427">
        <v>210.84</v>
      </c>
      <c r="H10427">
        <v>250909</v>
      </c>
      <c r="I10427">
        <v>1196</v>
      </c>
      <c r="J10427" t="s">
        <v>340</v>
      </c>
      <c r="K10427">
        <v>210.84</v>
      </c>
      <c r="L10427">
        <v>42.84</v>
      </c>
      <c r="M10427">
        <v>97603</v>
      </c>
      <c r="N10427" t="s">
        <v>2289</v>
      </c>
      <c r="O10427">
        <v>250915</v>
      </c>
      <c r="P10427">
        <v>168</v>
      </c>
    </row>
    <row r="10428" spans="1:16" x14ac:dyDescent="0.25">
      <c r="A10428" t="s">
        <v>3296</v>
      </c>
      <c r="B10428" t="s">
        <v>2931</v>
      </c>
      <c r="C10428">
        <v>13947</v>
      </c>
      <c r="D10428" t="str">
        <f>"1251000742  "</f>
        <v xml:space="preserve">1251000742  </v>
      </c>
      <c r="E10428" t="s">
        <v>2217</v>
      </c>
      <c r="F10428" t="s">
        <v>2218</v>
      </c>
      <c r="G10428">
        <v>881.02</v>
      </c>
      <c r="H10428">
        <v>251009</v>
      </c>
      <c r="I10428">
        <v>1196</v>
      </c>
      <c r="J10428" t="s">
        <v>340</v>
      </c>
      <c r="K10428">
        <v>881.02</v>
      </c>
      <c r="L10428">
        <v>179.01</v>
      </c>
      <c r="M10428">
        <v>97603</v>
      </c>
      <c r="N10428" t="s">
        <v>2289</v>
      </c>
      <c r="O10428">
        <v>251021</v>
      </c>
      <c r="P10428">
        <v>702.01</v>
      </c>
    </row>
    <row r="10429" spans="1:16" x14ac:dyDescent="0.25">
      <c r="A10429" t="s">
        <v>3296</v>
      </c>
      <c r="B10429" t="s">
        <v>2931</v>
      </c>
      <c r="C10429">
        <v>13976</v>
      </c>
      <c r="D10429" t="str">
        <f>"1251000923  "</f>
        <v xml:space="preserve">1251000923  </v>
      </c>
      <c r="E10429" t="s">
        <v>2217</v>
      </c>
      <c r="F10429" t="s">
        <v>2218</v>
      </c>
      <c r="G10429">
        <v>499.5</v>
      </c>
      <c r="H10429">
        <v>251001</v>
      </c>
      <c r="I10429">
        <v>1196</v>
      </c>
      <c r="J10429" t="s">
        <v>340</v>
      </c>
      <c r="K10429">
        <v>499.5</v>
      </c>
      <c r="L10429">
        <v>101.49</v>
      </c>
      <c r="M10429">
        <v>97603</v>
      </c>
      <c r="N10429" t="s">
        <v>2289</v>
      </c>
      <c r="O10429">
        <v>251021</v>
      </c>
      <c r="P10429">
        <v>398.01</v>
      </c>
    </row>
    <row r="10430" spans="1:16" x14ac:dyDescent="0.25">
      <c r="A10430" t="s">
        <v>3296</v>
      </c>
      <c r="B10430" t="s">
        <v>2931</v>
      </c>
      <c r="C10430">
        <v>17155</v>
      </c>
      <c r="D10430" t="str">
        <f>"1251201106  "</f>
        <v xml:space="preserve">1251201106  </v>
      </c>
      <c r="E10430" t="s">
        <v>2217</v>
      </c>
      <c r="F10430" t="s">
        <v>2218</v>
      </c>
      <c r="G10430">
        <v>647.58000000000004</v>
      </c>
      <c r="H10430">
        <v>251130</v>
      </c>
      <c r="I10430">
        <v>1196</v>
      </c>
      <c r="J10430" t="s">
        <v>340</v>
      </c>
      <c r="K10430">
        <v>647.58000000000004</v>
      </c>
      <c r="L10430">
        <v>131.58000000000001</v>
      </c>
      <c r="M10430">
        <v>97603</v>
      </c>
      <c r="N10430" t="s">
        <v>2289</v>
      </c>
      <c r="O10430">
        <v>251218</v>
      </c>
      <c r="P10430">
        <v>516</v>
      </c>
    </row>
    <row r="10431" spans="1:16" x14ac:dyDescent="0.25">
      <c r="A10431" t="s">
        <v>3296</v>
      </c>
      <c r="B10431" t="s">
        <v>2931</v>
      </c>
      <c r="C10431">
        <v>18178</v>
      </c>
      <c r="D10431" t="str">
        <f>"1251202469  "</f>
        <v xml:space="preserve">1251202469  </v>
      </c>
      <c r="E10431" t="s">
        <v>2217</v>
      </c>
      <c r="F10431" t="s">
        <v>2218</v>
      </c>
      <c r="G10431">
        <v>79.069999999999993</v>
      </c>
      <c r="H10431">
        <v>251231</v>
      </c>
      <c r="I10431">
        <v>1196</v>
      </c>
      <c r="J10431" t="s">
        <v>340</v>
      </c>
      <c r="K10431">
        <v>79.069999999999993</v>
      </c>
      <c r="L10431">
        <v>16.07</v>
      </c>
      <c r="M10431">
        <v>97603</v>
      </c>
      <c r="N10431" t="s">
        <v>2289</v>
      </c>
      <c r="O10431">
        <v>260109</v>
      </c>
      <c r="P10431">
        <v>63</v>
      </c>
    </row>
    <row r="10432" spans="1:16" x14ac:dyDescent="0.25">
      <c r="A10432" t="s">
        <v>3296</v>
      </c>
      <c r="B10432" t="s">
        <v>2931</v>
      </c>
      <c r="C10432">
        <v>10797</v>
      </c>
      <c r="D10432" t="str">
        <f>"1250801343  "</f>
        <v xml:space="preserve">1250801343  </v>
      </c>
      <c r="E10432" t="s">
        <v>2217</v>
      </c>
      <c r="F10432" t="s">
        <v>2218</v>
      </c>
      <c r="G10432">
        <v>210.84</v>
      </c>
      <c r="H10432">
        <v>250819</v>
      </c>
      <c r="I10432">
        <v>4346</v>
      </c>
      <c r="J10432" t="s">
        <v>334</v>
      </c>
      <c r="K10432">
        <v>210.84</v>
      </c>
      <c r="L10432">
        <v>42.84</v>
      </c>
      <c r="M10432">
        <v>59111</v>
      </c>
      <c r="N10432" t="s">
        <v>60</v>
      </c>
      <c r="O10432">
        <v>250822</v>
      </c>
      <c r="P10432">
        <v>168</v>
      </c>
    </row>
    <row r="10433" spans="1:16" x14ac:dyDescent="0.25">
      <c r="A10433" t="s">
        <v>3296</v>
      </c>
      <c r="B10433" t="s">
        <v>2931</v>
      </c>
      <c r="C10433">
        <v>13666</v>
      </c>
      <c r="D10433" t="str">
        <f>"1250903242  "</f>
        <v xml:space="preserve">1250903242  </v>
      </c>
      <c r="E10433" t="s">
        <v>2217</v>
      </c>
      <c r="F10433" t="s">
        <v>2218</v>
      </c>
      <c r="G10433">
        <v>948.78</v>
      </c>
      <c r="H10433">
        <v>250930</v>
      </c>
      <c r="I10433">
        <v>4346</v>
      </c>
      <c r="J10433" t="s">
        <v>334</v>
      </c>
      <c r="K10433">
        <v>948.78</v>
      </c>
      <c r="L10433">
        <v>192.78</v>
      </c>
      <c r="M10433">
        <v>59505</v>
      </c>
      <c r="N10433" t="s">
        <v>194</v>
      </c>
      <c r="O10433">
        <v>251013</v>
      </c>
      <c r="P10433">
        <v>756</v>
      </c>
    </row>
    <row r="10434" spans="1:16" x14ac:dyDescent="0.25">
      <c r="A10434" t="s">
        <v>3296</v>
      </c>
      <c r="B10434" t="s">
        <v>2931</v>
      </c>
      <c r="C10434">
        <v>13451</v>
      </c>
      <c r="D10434" t="str">
        <f>"1250902481  "</f>
        <v xml:space="preserve">1250902481  </v>
      </c>
      <c r="E10434" t="s">
        <v>2217</v>
      </c>
      <c r="F10434" t="s">
        <v>2218</v>
      </c>
      <c r="G10434">
        <v>395.33</v>
      </c>
      <c r="H10434">
        <v>250925</v>
      </c>
      <c r="I10434">
        <v>4470</v>
      </c>
      <c r="J10434" t="s">
        <v>203</v>
      </c>
      <c r="K10434">
        <v>395.33</v>
      </c>
      <c r="L10434">
        <v>80.33</v>
      </c>
      <c r="M10434">
        <v>17952</v>
      </c>
      <c r="N10434" t="s">
        <v>157</v>
      </c>
      <c r="O10434">
        <v>251010</v>
      </c>
      <c r="P10434">
        <v>315</v>
      </c>
    </row>
    <row r="10435" spans="1:16" x14ac:dyDescent="0.25">
      <c r="A10435" t="s">
        <v>3296</v>
      </c>
      <c r="B10435" t="s">
        <v>2931</v>
      </c>
      <c r="C10435">
        <v>345</v>
      </c>
      <c r="D10435" t="str">
        <f>"2025/A00028 "</f>
        <v xml:space="preserve">2025/A00028 </v>
      </c>
      <c r="E10435" t="s">
        <v>441</v>
      </c>
      <c r="F10435" t="s">
        <v>442</v>
      </c>
      <c r="G10435">
        <v>507.15</v>
      </c>
      <c r="H10435">
        <v>250114</v>
      </c>
      <c r="I10435">
        <v>4534</v>
      </c>
      <c r="J10435" t="s">
        <v>349</v>
      </c>
      <c r="K10435">
        <v>507.15</v>
      </c>
      <c r="L10435">
        <v>103.05</v>
      </c>
      <c r="M10435">
        <v>43222</v>
      </c>
      <c r="N10435" t="s">
        <v>95</v>
      </c>
      <c r="O10435">
        <v>250122</v>
      </c>
      <c r="P10435">
        <v>404.1</v>
      </c>
    </row>
    <row r="10436" spans="1:16" x14ac:dyDescent="0.25">
      <c r="A10436" t="s">
        <v>3296</v>
      </c>
      <c r="B10436" t="s">
        <v>2931</v>
      </c>
      <c r="C10436">
        <v>2827</v>
      </c>
      <c r="D10436" t="str">
        <f>"140         "</f>
        <v xml:space="preserve">140         </v>
      </c>
      <c r="E10436" t="s">
        <v>1368</v>
      </c>
      <c r="F10436" t="s">
        <v>1369</v>
      </c>
      <c r="G10436">
        <v>684</v>
      </c>
      <c r="H10436">
        <v>250315</v>
      </c>
      <c r="I10436">
        <v>4420</v>
      </c>
      <c r="J10436" t="s">
        <v>330</v>
      </c>
      <c r="K10436">
        <v>684</v>
      </c>
      <c r="L10436">
        <v>84</v>
      </c>
      <c r="M10436">
        <v>47522</v>
      </c>
      <c r="N10436" t="s">
        <v>106</v>
      </c>
      <c r="O10436">
        <v>250312</v>
      </c>
      <c r="P10436">
        <v>600</v>
      </c>
    </row>
    <row r="10437" spans="1:16" x14ac:dyDescent="0.25">
      <c r="A10437" t="s">
        <v>3296</v>
      </c>
      <c r="B10437" t="s">
        <v>2931</v>
      </c>
      <c r="C10437">
        <v>14300</v>
      </c>
      <c r="D10437" t="str">
        <f>"199         "</f>
        <v xml:space="preserve">199         </v>
      </c>
      <c r="E10437" t="s">
        <v>1368</v>
      </c>
      <c r="F10437" t="s">
        <v>1369</v>
      </c>
      <c r="G10437">
        <v>400</v>
      </c>
      <c r="H10437">
        <v>251022</v>
      </c>
      <c r="I10437">
        <v>4420</v>
      </c>
      <c r="J10437" t="s">
        <v>330</v>
      </c>
      <c r="K10437">
        <v>400</v>
      </c>
      <c r="L10437">
        <v>49.12</v>
      </c>
      <c r="M10437">
        <v>44222</v>
      </c>
      <c r="N10437" t="s">
        <v>96</v>
      </c>
      <c r="O10437">
        <v>251029</v>
      </c>
      <c r="P10437">
        <v>350.88</v>
      </c>
    </row>
    <row r="10438" spans="1:16" x14ac:dyDescent="0.25">
      <c r="A10438" t="s">
        <v>3296</v>
      </c>
      <c r="B10438" t="s">
        <v>2931</v>
      </c>
      <c r="C10438">
        <v>14474</v>
      </c>
      <c r="D10438" t="str">
        <f>"196         "</f>
        <v xml:space="preserve">196         </v>
      </c>
      <c r="E10438" t="s">
        <v>1368</v>
      </c>
      <c r="F10438" t="s">
        <v>1369</v>
      </c>
      <c r="G10438">
        <v>652.08000000000004</v>
      </c>
      <c r="H10438">
        <v>251010</v>
      </c>
      <c r="I10438">
        <v>4420</v>
      </c>
      <c r="J10438" t="s">
        <v>330</v>
      </c>
      <c r="K10438">
        <v>652.08000000000004</v>
      </c>
      <c r="L10438">
        <v>80.08</v>
      </c>
      <c r="M10438">
        <v>47522</v>
      </c>
      <c r="N10438" t="s">
        <v>106</v>
      </c>
      <c r="O10438">
        <v>251103</v>
      </c>
      <c r="P10438">
        <v>572</v>
      </c>
    </row>
    <row r="10439" spans="1:16" x14ac:dyDescent="0.25">
      <c r="A10439" t="s">
        <v>3296</v>
      </c>
      <c r="B10439" t="s">
        <v>2931</v>
      </c>
      <c r="C10439">
        <v>6172</v>
      </c>
      <c r="D10439" t="str">
        <f>"3251470     "</f>
        <v xml:space="preserve">3251470     </v>
      </c>
      <c r="E10439" t="s">
        <v>1500</v>
      </c>
      <c r="F10439" t="s">
        <v>1501</v>
      </c>
      <c r="G10439">
        <v>6</v>
      </c>
      <c r="H10439">
        <v>250505</v>
      </c>
      <c r="I10439">
        <v>4470</v>
      </c>
      <c r="J10439" t="s">
        <v>203</v>
      </c>
      <c r="K10439">
        <v>6</v>
      </c>
      <c r="L10439">
        <v>0.74</v>
      </c>
      <c r="M10439">
        <v>66722</v>
      </c>
      <c r="N10439" t="s">
        <v>118</v>
      </c>
      <c r="O10439">
        <v>250509</v>
      </c>
      <c r="P10439">
        <v>5.26</v>
      </c>
    </row>
    <row r="10440" spans="1:16" x14ac:dyDescent="0.25">
      <c r="A10440" t="s">
        <v>3296</v>
      </c>
      <c r="B10440" t="s">
        <v>2931</v>
      </c>
      <c r="C10440">
        <v>13225</v>
      </c>
      <c r="D10440" t="str">
        <f>"916135      "</f>
        <v xml:space="preserve">916135      </v>
      </c>
      <c r="E10440" t="s">
        <v>1500</v>
      </c>
      <c r="F10440" t="s">
        <v>1501</v>
      </c>
      <c r="G10440">
        <v>27.25</v>
      </c>
      <c r="H10440">
        <v>251001</v>
      </c>
      <c r="I10440">
        <v>4510</v>
      </c>
      <c r="J10440" t="s">
        <v>240</v>
      </c>
      <c r="K10440">
        <v>109</v>
      </c>
      <c r="L10440">
        <v>2.48</v>
      </c>
      <c r="M10440">
        <v>13861</v>
      </c>
      <c r="N10440" t="s">
        <v>604</v>
      </c>
      <c r="O10440">
        <v>251006</v>
      </c>
      <c r="P10440">
        <v>24.77</v>
      </c>
    </row>
    <row r="10441" spans="1:16" x14ac:dyDescent="0.25">
      <c r="A10441" t="s">
        <v>3296</v>
      </c>
      <c r="B10441" t="s">
        <v>2931</v>
      </c>
      <c r="C10441">
        <v>3744</v>
      </c>
      <c r="D10441" t="str">
        <f>"3251388     "</f>
        <v xml:space="preserve">3251388     </v>
      </c>
      <c r="E10441" t="s">
        <v>1500</v>
      </c>
      <c r="F10441" t="s">
        <v>1501</v>
      </c>
      <c r="G10441">
        <v>1004</v>
      </c>
      <c r="H10441">
        <v>250401</v>
      </c>
      <c r="I10441">
        <v>4860</v>
      </c>
      <c r="J10441" t="s">
        <v>286</v>
      </c>
      <c r="K10441">
        <v>1004</v>
      </c>
      <c r="L10441">
        <v>204</v>
      </c>
      <c r="M10441">
        <v>66722</v>
      </c>
      <c r="N10441" t="s">
        <v>118</v>
      </c>
      <c r="O10441">
        <v>250401</v>
      </c>
      <c r="P10441">
        <v>800</v>
      </c>
    </row>
    <row r="10442" spans="1:16" x14ac:dyDescent="0.25">
      <c r="A10442" t="s">
        <v>3296</v>
      </c>
      <c r="B10442" t="s">
        <v>2931</v>
      </c>
      <c r="C10442">
        <v>5338</v>
      </c>
      <c r="D10442" t="str">
        <f>"156654      "</f>
        <v xml:space="preserve">156654      </v>
      </c>
      <c r="E10442" t="s">
        <v>1722</v>
      </c>
      <c r="F10442" t="s">
        <v>1723</v>
      </c>
      <c r="G10442">
        <v>233.8</v>
      </c>
      <c r="H10442">
        <v>250414</v>
      </c>
      <c r="I10442">
        <v>4600</v>
      </c>
      <c r="J10442" t="s">
        <v>278</v>
      </c>
      <c r="K10442">
        <v>233.8</v>
      </c>
      <c r="L10442">
        <v>47.51</v>
      </c>
      <c r="M10442">
        <v>67554</v>
      </c>
      <c r="N10442" t="s">
        <v>317</v>
      </c>
      <c r="O10442">
        <v>250423</v>
      </c>
      <c r="P10442">
        <v>186.29</v>
      </c>
    </row>
    <row r="10443" spans="1:16" x14ac:dyDescent="0.25">
      <c r="A10443" t="s">
        <v>3296</v>
      </c>
      <c r="B10443" t="s">
        <v>2931</v>
      </c>
      <c r="C10443">
        <v>8581</v>
      </c>
      <c r="D10443" t="str">
        <f>"10099       "</f>
        <v xml:space="preserve">10099       </v>
      </c>
      <c r="E10443" t="s">
        <v>2043</v>
      </c>
      <c r="F10443" t="s">
        <v>2044</v>
      </c>
      <c r="G10443">
        <v>4715.04</v>
      </c>
      <c r="H10443">
        <v>250531</v>
      </c>
      <c r="I10443">
        <v>1196</v>
      </c>
      <c r="J10443" t="s">
        <v>340</v>
      </c>
      <c r="K10443">
        <v>4715.04</v>
      </c>
      <c r="L10443">
        <v>958.04</v>
      </c>
      <c r="M10443">
        <v>97604</v>
      </c>
      <c r="N10443" t="s">
        <v>341</v>
      </c>
      <c r="O10443">
        <v>250617</v>
      </c>
      <c r="P10443">
        <v>3757</v>
      </c>
    </row>
    <row r="10444" spans="1:16" x14ac:dyDescent="0.25">
      <c r="A10444" t="s">
        <v>3296</v>
      </c>
      <c r="B10444" t="s">
        <v>2931</v>
      </c>
      <c r="C10444">
        <v>10034</v>
      </c>
      <c r="D10444" t="str">
        <f>"10203       "</f>
        <v xml:space="preserve">10203       </v>
      </c>
      <c r="E10444" t="s">
        <v>2043</v>
      </c>
      <c r="F10444" t="s">
        <v>2044</v>
      </c>
      <c r="G10444">
        <v>3354.75</v>
      </c>
      <c r="H10444">
        <v>250714</v>
      </c>
      <c r="I10444">
        <v>1196</v>
      </c>
      <c r="J10444" t="s">
        <v>340</v>
      </c>
      <c r="K10444">
        <v>3354.75</v>
      </c>
      <c r="L10444">
        <v>681.64</v>
      </c>
      <c r="M10444">
        <v>97604</v>
      </c>
      <c r="N10444" t="s">
        <v>341</v>
      </c>
      <c r="O10444">
        <v>250808</v>
      </c>
      <c r="P10444">
        <v>2673.11</v>
      </c>
    </row>
    <row r="10445" spans="1:16" x14ac:dyDescent="0.25">
      <c r="A10445" t="s">
        <v>3296</v>
      </c>
      <c r="B10445" t="s">
        <v>2931</v>
      </c>
      <c r="C10445">
        <v>12366</v>
      </c>
      <c r="D10445" t="str">
        <f>"10328       "</f>
        <v xml:space="preserve">10328       </v>
      </c>
      <c r="E10445" t="s">
        <v>2043</v>
      </c>
      <c r="F10445" t="s">
        <v>2044</v>
      </c>
      <c r="G10445">
        <v>3574.24</v>
      </c>
      <c r="H10445">
        <v>250908</v>
      </c>
      <c r="I10445">
        <v>4400</v>
      </c>
      <c r="J10445" t="s">
        <v>162</v>
      </c>
      <c r="K10445">
        <v>4365.7299999999996</v>
      </c>
      <c r="L10445">
        <v>726.24</v>
      </c>
      <c r="M10445">
        <v>56558</v>
      </c>
      <c r="N10445" t="s">
        <v>50</v>
      </c>
      <c r="O10445">
        <v>250919</v>
      </c>
      <c r="P10445">
        <v>2848</v>
      </c>
    </row>
    <row r="10446" spans="1:16" x14ac:dyDescent="0.25">
      <c r="A10446" t="s">
        <v>3296</v>
      </c>
      <c r="B10446" t="s">
        <v>2931</v>
      </c>
      <c r="C10446">
        <v>12366</v>
      </c>
      <c r="D10446" t="str">
        <f>"10328       "</f>
        <v xml:space="preserve">10328       </v>
      </c>
      <c r="E10446" t="s">
        <v>2043</v>
      </c>
      <c r="F10446" t="s">
        <v>2044</v>
      </c>
      <c r="G10446">
        <v>791.49</v>
      </c>
      <c r="H10446">
        <v>250908</v>
      </c>
      <c r="I10446">
        <v>4600</v>
      </c>
      <c r="J10446" t="s">
        <v>278</v>
      </c>
      <c r="K10446">
        <v>4365.7299999999996</v>
      </c>
      <c r="L10446">
        <v>160.82</v>
      </c>
      <c r="M10446">
        <v>56558</v>
      </c>
      <c r="N10446" t="s">
        <v>50</v>
      </c>
      <c r="O10446">
        <v>250919</v>
      </c>
      <c r="P10446">
        <v>630.66999999999996</v>
      </c>
    </row>
    <row r="10447" spans="1:16" x14ac:dyDescent="0.25">
      <c r="A10447" t="s">
        <v>3296</v>
      </c>
      <c r="B10447" t="s">
        <v>2931</v>
      </c>
      <c r="C10447">
        <v>2390</v>
      </c>
      <c r="D10447" t="str">
        <f>"1121        "</f>
        <v xml:space="preserve">1121        </v>
      </c>
      <c r="E10447" t="s">
        <v>1261</v>
      </c>
      <c r="F10447" t="s">
        <v>1262</v>
      </c>
      <c r="G10447">
        <v>697.28</v>
      </c>
      <c r="H10447">
        <v>250218</v>
      </c>
      <c r="I10447">
        <v>4600</v>
      </c>
      <c r="J10447" t="s">
        <v>278</v>
      </c>
      <c r="K10447">
        <v>697.28</v>
      </c>
      <c r="L10447">
        <v>141.68</v>
      </c>
      <c r="M10447">
        <v>44453</v>
      </c>
      <c r="N10447" t="s">
        <v>100</v>
      </c>
      <c r="O10447">
        <v>250225</v>
      </c>
      <c r="P10447">
        <v>555.6</v>
      </c>
    </row>
    <row r="10448" spans="1:16" x14ac:dyDescent="0.25">
      <c r="A10448" t="s">
        <v>3296</v>
      </c>
      <c r="B10448" t="s">
        <v>2931</v>
      </c>
      <c r="C10448">
        <v>5209</v>
      </c>
      <c r="D10448" t="str">
        <f>"1129        "</f>
        <v xml:space="preserve">1129        </v>
      </c>
      <c r="E10448" t="s">
        <v>1261</v>
      </c>
      <c r="F10448" t="s">
        <v>1262</v>
      </c>
      <c r="G10448">
        <v>499.1</v>
      </c>
      <c r="H10448">
        <v>250401</v>
      </c>
      <c r="I10448">
        <v>4600</v>
      </c>
      <c r="J10448" t="s">
        <v>278</v>
      </c>
      <c r="K10448">
        <v>499.1</v>
      </c>
      <c r="L10448">
        <v>101.41</v>
      </c>
      <c r="M10448">
        <v>44453</v>
      </c>
      <c r="N10448" t="s">
        <v>100</v>
      </c>
      <c r="O10448">
        <v>250422</v>
      </c>
      <c r="P10448">
        <v>397.69</v>
      </c>
    </row>
    <row r="10449" spans="1:16" x14ac:dyDescent="0.25">
      <c r="A10449" t="s">
        <v>3296</v>
      </c>
      <c r="B10449" t="s">
        <v>2931</v>
      </c>
      <c r="C10449">
        <v>5282</v>
      </c>
      <c r="D10449" t="str">
        <f>"1131        "</f>
        <v xml:space="preserve">1131        </v>
      </c>
      <c r="E10449" t="s">
        <v>1261</v>
      </c>
      <c r="F10449" t="s">
        <v>1262</v>
      </c>
      <c r="G10449">
        <v>130.05000000000001</v>
      </c>
      <c r="H10449">
        <v>250410</v>
      </c>
      <c r="I10449">
        <v>4600</v>
      </c>
      <c r="J10449" t="s">
        <v>278</v>
      </c>
      <c r="K10449">
        <v>130.05000000000001</v>
      </c>
      <c r="L10449">
        <v>26.42</v>
      </c>
      <c r="M10449">
        <v>44453</v>
      </c>
      <c r="N10449" t="s">
        <v>100</v>
      </c>
      <c r="O10449">
        <v>250423</v>
      </c>
      <c r="P10449">
        <v>103.63</v>
      </c>
    </row>
    <row r="10450" spans="1:16" x14ac:dyDescent="0.25">
      <c r="A10450" t="s">
        <v>3296</v>
      </c>
      <c r="B10450" t="s">
        <v>2931</v>
      </c>
      <c r="C10450">
        <v>3768</v>
      </c>
      <c r="D10450" t="str">
        <f>"7460        "</f>
        <v xml:space="preserve">7460        </v>
      </c>
      <c r="E10450" t="s">
        <v>1503</v>
      </c>
      <c r="F10450" t="s">
        <v>1504</v>
      </c>
      <c r="G10450">
        <v>63.01</v>
      </c>
      <c r="H10450">
        <v>250318</v>
      </c>
      <c r="I10450">
        <v>4440</v>
      </c>
      <c r="J10450" t="s">
        <v>346</v>
      </c>
      <c r="K10450">
        <v>63.01</v>
      </c>
      <c r="L10450">
        <v>7.74</v>
      </c>
      <c r="M10450">
        <v>14861</v>
      </c>
      <c r="N10450" t="s">
        <v>79</v>
      </c>
      <c r="O10450">
        <v>250401</v>
      </c>
      <c r="P10450">
        <v>55.27</v>
      </c>
    </row>
    <row r="10451" spans="1:16" x14ac:dyDescent="0.25">
      <c r="A10451" t="s">
        <v>3296</v>
      </c>
      <c r="B10451" t="s">
        <v>2931</v>
      </c>
      <c r="C10451">
        <v>3781</v>
      </c>
      <c r="D10451" t="str">
        <f>"7467        "</f>
        <v xml:space="preserve">7467        </v>
      </c>
      <c r="E10451" t="s">
        <v>1503</v>
      </c>
      <c r="F10451" t="s">
        <v>1504</v>
      </c>
      <c r="G10451">
        <v>16</v>
      </c>
      <c r="H10451">
        <v>250318</v>
      </c>
      <c r="I10451">
        <v>4440</v>
      </c>
      <c r="J10451" t="s">
        <v>346</v>
      </c>
      <c r="K10451">
        <v>32</v>
      </c>
      <c r="L10451">
        <v>1.96</v>
      </c>
      <c r="M10451">
        <v>14121</v>
      </c>
      <c r="N10451" t="s">
        <v>71</v>
      </c>
      <c r="O10451">
        <v>250401</v>
      </c>
      <c r="P10451">
        <v>14.04</v>
      </c>
    </row>
    <row r="10452" spans="1:16" x14ac:dyDescent="0.25">
      <c r="A10452" t="s">
        <v>3296</v>
      </c>
      <c r="B10452" t="s">
        <v>2931</v>
      </c>
      <c r="C10452">
        <v>3781</v>
      </c>
      <c r="D10452" t="str">
        <f>"7467        "</f>
        <v xml:space="preserve">7467        </v>
      </c>
      <c r="E10452" t="s">
        <v>1503</v>
      </c>
      <c r="F10452" t="s">
        <v>1504</v>
      </c>
      <c r="G10452">
        <v>16</v>
      </c>
      <c r="H10452">
        <v>250318</v>
      </c>
      <c r="I10452">
        <v>4440</v>
      </c>
      <c r="J10452" t="s">
        <v>346</v>
      </c>
      <c r="K10452">
        <v>32</v>
      </c>
      <c r="L10452">
        <v>1.96</v>
      </c>
      <c r="M10452">
        <v>14622</v>
      </c>
      <c r="N10452" t="s">
        <v>77</v>
      </c>
      <c r="O10452">
        <v>250401</v>
      </c>
      <c r="P10452">
        <v>14.04</v>
      </c>
    </row>
    <row r="10453" spans="1:16" x14ac:dyDescent="0.25">
      <c r="A10453" t="s">
        <v>3296</v>
      </c>
      <c r="B10453" t="s">
        <v>2931</v>
      </c>
      <c r="C10453">
        <v>12849</v>
      </c>
      <c r="D10453" t="str">
        <f>"8477        "</f>
        <v xml:space="preserve">8477        </v>
      </c>
      <c r="E10453" t="s">
        <v>1503</v>
      </c>
      <c r="F10453" t="s">
        <v>1504</v>
      </c>
      <c r="G10453">
        <v>16.010000000000002</v>
      </c>
      <c r="H10453">
        <v>250923</v>
      </c>
      <c r="I10453">
        <v>4440</v>
      </c>
      <c r="J10453" t="s">
        <v>346</v>
      </c>
      <c r="K10453">
        <v>16.010000000000002</v>
      </c>
      <c r="L10453">
        <v>1.97</v>
      </c>
      <c r="M10453">
        <v>12982</v>
      </c>
      <c r="N10453" t="s">
        <v>1384</v>
      </c>
      <c r="O10453">
        <v>250930</v>
      </c>
      <c r="P10453">
        <v>14.04</v>
      </c>
    </row>
    <row r="10454" spans="1:16" x14ac:dyDescent="0.25">
      <c r="A10454" t="s">
        <v>3296</v>
      </c>
      <c r="B10454" t="s">
        <v>2931</v>
      </c>
      <c r="C10454">
        <v>12968</v>
      </c>
      <c r="D10454" t="str">
        <f>"8476        "</f>
        <v xml:space="preserve">8476        </v>
      </c>
      <c r="E10454" t="s">
        <v>1503</v>
      </c>
      <c r="F10454" t="s">
        <v>1504</v>
      </c>
      <c r="G10454">
        <v>224</v>
      </c>
      <c r="H10454">
        <v>250923</v>
      </c>
      <c r="I10454">
        <v>4470</v>
      </c>
      <c r="J10454" t="s">
        <v>203</v>
      </c>
      <c r="K10454">
        <v>224</v>
      </c>
      <c r="L10454">
        <v>27.51</v>
      </c>
      <c r="M10454">
        <v>14986</v>
      </c>
      <c r="N10454" t="s">
        <v>2405</v>
      </c>
      <c r="O10454">
        <v>251003</v>
      </c>
      <c r="P10454">
        <v>196.49</v>
      </c>
    </row>
    <row r="10455" spans="1:16" x14ac:dyDescent="0.25">
      <c r="A10455" t="s">
        <v>3296</v>
      </c>
      <c r="B10455" t="s">
        <v>2931</v>
      </c>
      <c r="C10455">
        <v>15671</v>
      </c>
      <c r="D10455" t="str">
        <f>"8714        "</f>
        <v xml:space="preserve">8714        </v>
      </c>
      <c r="E10455" t="s">
        <v>1503</v>
      </c>
      <c r="F10455" t="s">
        <v>1504</v>
      </c>
      <c r="G10455">
        <v>30</v>
      </c>
      <c r="H10455">
        <v>251117</v>
      </c>
      <c r="I10455">
        <v>4470</v>
      </c>
      <c r="J10455" t="s">
        <v>203</v>
      </c>
      <c r="K10455">
        <v>30</v>
      </c>
      <c r="L10455">
        <v>3.68</v>
      </c>
      <c r="M10455">
        <v>14861</v>
      </c>
      <c r="N10455" t="s">
        <v>79</v>
      </c>
      <c r="O10455">
        <v>251124</v>
      </c>
      <c r="P10455">
        <v>26.32</v>
      </c>
    </row>
    <row r="10456" spans="1:16" x14ac:dyDescent="0.25">
      <c r="A10456" t="s">
        <v>3296</v>
      </c>
      <c r="B10456" t="s">
        <v>2931</v>
      </c>
      <c r="C10456">
        <v>17892</v>
      </c>
      <c r="D10456" t="str">
        <f>"65          "</f>
        <v xml:space="preserve">65          </v>
      </c>
      <c r="E10456" t="s">
        <v>1503</v>
      </c>
      <c r="F10456" t="s">
        <v>1504</v>
      </c>
      <c r="G10456">
        <v>24</v>
      </c>
      <c r="H10456">
        <v>251228</v>
      </c>
      <c r="I10456">
        <v>4470</v>
      </c>
      <c r="J10456" t="s">
        <v>203</v>
      </c>
      <c r="K10456">
        <v>24</v>
      </c>
      <c r="L10456">
        <v>2.95</v>
      </c>
      <c r="M10456">
        <v>14861</v>
      </c>
      <c r="N10456" t="s">
        <v>79</v>
      </c>
      <c r="O10456">
        <v>260102</v>
      </c>
      <c r="P10456">
        <v>21.05</v>
      </c>
    </row>
    <row r="10457" spans="1:16" x14ac:dyDescent="0.25">
      <c r="A10457" t="s">
        <v>3296</v>
      </c>
      <c r="B10457" t="s">
        <v>2931</v>
      </c>
      <c r="C10457">
        <v>778</v>
      </c>
      <c r="D10457" t="str">
        <f>"9428        "</f>
        <v xml:space="preserve">9428        </v>
      </c>
      <c r="E10457" t="s">
        <v>731</v>
      </c>
      <c r="F10457" t="s">
        <v>732</v>
      </c>
      <c r="G10457">
        <v>212.93</v>
      </c>
      <c r="H10457">
        <v>250124</v>
      </c>
      <c r="I10457">
        <v>4600</v>
      </c>
      <c r="J10457" t="s">
        <v>278</v>
      </c>
      <c r="K10457">
        <v>212.93</v>
      </c>
      <c r="L10457">
        <v>43.26</v>
      </c>
      <c r="M10457">
        <v>17532</v>
      </c>
      <c r="N10457" t="s">
        <v>146</v>
      </c>
      <c r="O10457">
        <v>250129</v>
      </c>
      <c r="P10457">
        <v>169.67</v>
      </c>
    </row>
    <row r="10458" spans="1:16" x14ac:dyDescent="0.25">
      <c r="A10458" t="s">
        <v>3296</v>
      </c>
      <c r="B10458" t="s">
        <v>2931</v>
      </c>
      <c r="C10458">
        <v>1096</v>
      </c>
      <c r="D10458" t="str">
        <f>"9656        "</f>
        <v xml:space="preserve">9656        </v>
      </c>
      <c r="E10458" t="s">
        <v>731</v>
      </c>
      <c r="F10458" t="s">
        <v>732</v>
      </c>
      <c r="G10458">
        <v>32.630000000000003</v>
      </c>
      <c r="H10458">
        <v>250131</v>
      </c>
      <c r="I10458">
        <v>4600</v>
      </c>
      <c r="J10458" t="s">
        <v>278</v>
      </c>
      <c r="K10458">
        <v>32.630000000000003</v>
      </c>
      <c r="L10458">
        <v>6.63</v>
      </c>
      <c r="M10458">
        <v>17646</v>
      </c>
      <c r="N10458" t="s">
        <v>848</v>
      </c>
      <c r="O10458">
        <v>250204</v>
      </c>
      <c r="P10458">
        <v>26</v>
      </c>
    </row>
    <row r="10459" spans="1:16" x14ac:dyDescent="0.25">
      <c r="A10459" t="s">
        <v>3296</v>
      </c>
      <c r="B10459" t="s">
        <v>2931</v>
      </c>
      <c r="C10459">
        <v>2648</v>
      </c>
      <c r="D10459" t="str">
        <f>"10297       "</f>
        <v xml:space="preserve">10297       </v>
      </c>
      <c r="E10459" t="s">
        <v>731</v>
      </c>
      <c r="F10459" t="s">
        <v>732</v>
      </c>
      <c r="G10459">
        <v>74.44</v>
      </c>
      <c r="H10459">
        <v>250225</v>
      </c>
      <c r="I10459">
        <v>4600</v>
      </c>
      <c r="J10459" t="s">
        <v>278</v>
      </c>
      <c r="K10459">
        <v>74.44</v>
      </c>
      <c r="L10459">
        <v>15.13</v>
      </c>
      <c r="M10459">
        <v>17646</v>
      </c>
      <c r="N10459" t="s">
        <v>848</v>
      </c>
      <c r="O10459">
        <v>250310</v>
      </c>
      <c r="P10459">
        <v>59.31</v>
      </c>
    </row>
    <row r="10460" spans="1:16" x14ac:dyDescent="0.25">
      <c r="A10460" t="s">
        <v>3296</v>
      </c>
      <c r="B10460" t="s">
        <v>2931</v>
      </c>
      <c r="C10460">
        <v>3670</v>
      </c>
      <c r="D10460" t="str">
        <f>"10799       "</f>
        <v xml:space="preserve">10799       </v>
      </c>
      <c r="E10460" t="s">
        <v>731</v>
      </c>
      <c r="F10460" t="s">
        <v>732</v>
      </c>
      <c r="G10460">
        <v>39.25</v>
      </c>
      <c r="H10460">
        <v>250317</v>
      </c>
      <c r="I10460">
        <v>4600</v>
      </c>
      <c r="J10460" t="s">
        <v>278</v>
      </c>
      <c r="K10460">
        <v>39.25</v>
      </c>
      <c r="L10460">
        <v>7.98</v>
      </c>
      <c r="M10460">
        <v>17532</v>
      </c>
      <c r="N10460" t="s">
        <v>146</v>
      </c>
      <c r="O10460">
        <v>250328</v>
      </c>
      <c r="P10460">
        <v>31.27</v>
      </c>
    </row>
    <row r="10461" spans="1:16" x14ac:dyDescent="0.25">
      <c r="A10461" t="s">
        <v>3296</v>
      </c>
      <c r="B10461" t="s">
        <v>2931</v>
      </c>
      <c r="C10461">
        <v>5268</v>
      </c>
      <c r="D10461" t="str">
        <f>"11439       "</f>
        <v xml:space="preserve">11439       </v>
      </c>
      <c r="E10461" t="s">
        <v>731</v>
      </c>
      <c r="F10461" t="s">
        <v>732</v>
      </c>
      <c r="G10461">
        <v>280</v>
      </c>
      <c r="H10461">
        <v>250409</v>
      </c>
      <c r="I10461">
        <v>4600</v>
      </c>
      <c r="J10461" t="s">
        <v>278</v>
      </c>
      <c r="K10461">
        <v>280</v>
      </c>
      <c r="L10461">
        <v>56.89</v>
      </c>
      <c r="M10461">
        <v>17646</v>
      </c>
      <c r="N10461" t="s">
        <v>848</v>
      </c>
      <c r="O10461">
        <v>250423</v>
      </c>
      <c r="P10461">
        <v>223.11</v>
      </c>
    </row>
    <row r="10462" spans="1:16" x14ac:dyDescent="0.25">
      <c r="A10462" t="s">
        <v>3296</v>
      </c>
      <c r="B10462" t="s">
        <v>2931</v>
      </c>
      <c r="C10462">
        <v>7313</v>
      </c>
      <c r="D10462" t="str">
        <f>"12086       "</f>
        <v xml:space="preserve">12086       </v>
      </c>
      <c r="E10462" t="s">
        <v>731</v>
      </c>
      <c r="F10462" t="s">
        <v>732</v>
      </c>
      <c r="G10462">
        <v>119.74</v>
      </c>
      <c r="H10462">
        <v>250520</v>
      </c>
      <c r="I10462">
        <v>4600</v>
      </c>
      <c r="J10462" t="s">
        <v>278</v>
      </c>
      <c r="K10462">
        <v>119.74</v>
      </c>
      <c r="L10462">
        <v>24.33</v>
      </c>
      <c r="M10462">
        <v>17531</v>
      </c>
      <c r="N10462" t="s">
        <v>145</v>
      </c>
      <c r="O10462">
        <v>250603</v>
      </c>
      <c r="P10462">
        <v>95.41</v>
      </c>
    </row>
    <row r="10463" spans="1:16" x14ac:dyDescent="0.25">
      <c r="A10463" t="s">
        <v>3296</v>
      </c>
      <c r="B10463" t="s">
        <v>2931</v>
      </c>
      <c r="C10463">
        <v>12123</v>
      </c>
      <c r="D10463" t="str">
        <f>"13885       "</f>
        <v xml:space="preserve">13885       </v>
      </c>
      <c r="E10463" t="s">
        <v>731</v>
      </c>
      <c r="F10463" t="s">
        <v>732</v>
      </c>
      <c r="G10463">
        <v>31.38</v>
      </c>
      <c r="H10463">
        <v>250912</v>
      </c>
      <c r="I10463">
        <v>4600</v>
      </c>
      <c r="J10463" t="s">
        <v>278</v>
      </c>
      <c r="K10463">
        <v>31.38</v>
      </c>
      <c r="L10463">
        <v>6.38</v>
      </c>
      <c r="M10463">
        <v>17532</v>
      </c>
      <c r="N10463" t="s">
        <v>146</v>
      </c>
      <c r="O10463">
        <v>250916</v>
      </c>
      <c r="P10463">
        <v>25</v>
      </c>
    </row>
    <row r="10464" spans="1:16" x14ac:dyDescent="0.25">
      <c r="A10464" t="s">
        <v>3296</v>
      </c>
      <c r="B10464" t="s">
        <v>2931</v>
      </c>
      <c r="C10464">
        <v>14511</v>
      </c>
      <c r="D10464" t="str">
        <f>"15015       "</f>
        <v xml:space="preserve">15015       </v>
      </c>
      <c r="E10464" t="s">
        <v>731</v>
      </c>
      <c r="F10464" t="s">
        <v>732</v>
      </c>
      <c r="G10464">
        <v>71.459999999999994</v>
      </c>
      <c r="H10464">
        <v>251028</v>
      </c>
      <c r="I10464">
        <v>4600</v>
      </c>
      <c r="J10464" t="s">
        <v>278</v>
      </c>
      <c r="K10464">
        <v>71.459999999999994</v>
      </c>
      <c r="L10464">
        <v>14.52</v>
      </c>
      <c r="M10464">
        <v>11903</v>
      </c>
      <c r="N10464" t="s">
        <v>32</v>
      </c>
      <c r="O10464">
        <v>251104</v>
      </c>
      <c r="P10464">
        <v>56.94</v>
      </c>
    </row>
    <row r="10465" spans="1:16" x14ac:dyDescent="0.25">
      <c r="A10465" t="s">
        <v>3296</v>
      </c>
      <c r="B10465" t="s">
        <v>2931</v>
      </c>
      <c r="C10465">
        <v>15005</v>
      </c>
      <c r="D10465" t="str">
        <f>"15271       "</f>
        <v xml:space="preserve">15271       </v>
      </c>
      <c r="E10465" t="s">
        <v>731</v>
      </c>
      <c r="F10465" t="s">
        <v>732</v>
      </c>
      <c r="G10465">
        <v>78.92</v>
      </c>
      <c r="H10465">
        <v>251106</v>
      </c>
      <c r="I10465">
        <v>4600</v>
      </c>
      <c r="J10465" t="s">
        <v>278</v>
      </c>
      <c r="K10465">
        <v>78.92</v>
      </c>
      <c r="L10465">
        <v>16.04</v>
      </c>
      <c r="M10465">
        <v>13802</v>
      </c>
      <c r="N10465" t="s">
        <v>34</v>
      </c>
      <c r="O10465">
        <v>251110</v>
      </c>
      <c r="P10465">
        <v>62.88</v>
      </c>
    </row>
    <row r="10466" spans="1:16" x14ac:dyDescent="0.25">
      <c r="A10466" t="s">
        <v>3296</v>
      </c>
      <c r="B10466" t="s">
        <v>2931</v>
      </c>
      <c r="C10466">
        <v>13812</v>
      </c>
      <c r="D10466" t="str">
        <f>"32 / 2940812"</f>
        <v>32 / 2940812</v>
      </c>
      <c r="E10466" t="s">
        <v>2450</v>
      </c>
      <c r="F10466" t="s">
        <v>2451</v>
      </c>
      <c r="G10466">
        <v>281</v>
      </c>
      <c r="H10466">
        <v>251006</v>
      </c>
      <c r="I10466">
        <v>4580</v>
      </c>
      <c r="J10466" t="s">
        <v>126</v>
      </c>
      <c r="K10466">
        <v>281</v>
      </c>
      <c r="L10466">
        <v>57.1</v>
      </c>
      <c r="M10466">
        <v>17521</v>
      </c>
      <c r="N10466" t="s">
        <v>136</v>
      </c>
      <c r="O10466">
        <v>251020</v>
      </c>
      <c r="P10466">
        <v>223.9</v>
      </c>
    </row>
    <row r="10467" spans="1:16" x14ac:dyDescent="0.25">
      <c r="A10467" t="s">
        <v>3296</v>
      </c>
      <c r="B10467" t="s">
        <v>2931</v>
      </c>
      <c r="C10467">
        <v>7429</v>
      </c>
      <c r="D10467" t="str">
        <f>"9817        "</f>
        <v xml:space="preserve">9817        </v>
      </c>
      <c r="E10467" t="s">
        <v>1963</v>
      </c>
      <c r="F10467" t="s">
        <v>1965</v>
      </c>
      <c r="G10467">
        <v>677.4</v>
      </c>
      <c r="H10467">
        <v>250523</v>
      </c>
      <c r="I10467">
        <v>4440</v>
      </c>
      <c r="J10467" t="s">
        <v>346</v>
      </c>
      <c r="K10467">
        <v>677.4</v>
      </c>
      <c r="L10467">
        <v>137.63999999999999</v>
      </c>
      <c r="M10467">
        <v>16918</v>
      </c>
      <c r="N10467" t="s">
        <v>1964</v>
      </c>
      <c r="O10467">
        <v>250603</v>
      </c>
      <c r="P10467">
        <v>539.76</v>
      </c>
    </row>
    <row r="10468" spans="1:16" x14ac:dyDescent="0.25">
      <c r="A10468" t="s">
        <v>3296</v>
      </c>
      <c r="B10468" t="s">
        <v>2931</v>
      </c>
      <c r="C10468">
        <v>15166</v>
      </c>
      <c r="D10468" t="str">
        <f>"61300001570 "</f>
        <v xml:space="preserve">61300001570 </v>
      </c>
      <c r="E10468" t="s">
        <v>2554</v>
      </c>
      <c r="F10468" t="s">
        <v>2555</v>
      </c>
      <c r="G10468">
        <v>42</v>
      </c>
      <c r="H10468">
        <v>251107</v>
      </c>
      <c r="I10468">
        <v>4410</v>
      </c>
      <c r="J10468" t="s">
        <v>165</v>
      </c>
      <c r="K10468">
        <v>777</v>
      </c>
      <c r="L10468">
        <v>0</v>
      </c>
      <c r="M10468">
        <v>11905</v>
      </c>
      <c r="N10468" t="s">
        <v>643</v>
      </c>
      <c r="O10468">
        <v>251113</v>
      </c>
      <c r="P10468">
        <v>42</v>
      </c>
    </row>
    <row r="10469" spans="1:16" x14ac:dyDescent="0.25">
      <c r="A10469" t="s">
        <v>3296</v>
      </c>
      <c r="B10469" t="s">
        <v>2931</v>
      </c>
      <c r="C10469">
        <v>15166</v>
      </c>
      <c r="D10469" t="str">
        <f>"61300001570 "</f>
        <v xml:space="preserve">61300001570 </v>
      </c>
      <c r="E10469" t="s">
        <v>2554</v>
      </c>
      <c r="F10469" t="s">
        <v>2555</v>
      </c>
      <c r="G10469">
        <v>735</v>
      </c>
      <c r="H10469">
        <v>251107</v>
      </c>
      <c r="I10469">
        <v>4410</v>
      </c>
      <c r="J10469" t="s">
        <v>165</v>
      </c>
      <c r="K10469">
        <v>777</v>
      </c>
      <c r="L10469">
        <v>90.26</v>
      </c>
      <c r="M10469">
        <v>11905</v>
      </c>
      <c r="N10469" t="s">
        <v>643</v>
      </c>
      <c r="O10469">
        <v>251113</v>
      </c>
      <c r="P10469">
        <v>644.74</v>
      </c>
    </row>
    <row r="10470" spans="1:16" x14ac:dyDescent="0.25">
      <c r="A10470" t="s">
        <v>3296</v>
      </c>
      <c r="B10470" t="s">
        <v>2931</v>
      </c>
      <c r="C10470">
        <v>15168</v>
      </c>
      <c r="D10470" t="str">
        <f>"61300001571 "</f>
        <v xml:space="preserve">61300001571 </v>
      </c>
      <c r="E10470" t="s">
        <v>2554</v>
      </c>
      <c r="F10470" t="s">
        <v>2555</v>
      </c>
      <c r="G10470">
        <v>42</v>
      </c>
      <c r="H10470">
        <v>251107</v>
      </c>
      <c r="I10470">
        <v>4410</v>
      </c>
      <c r="J10470" t="s">
        <v>165</v>
      </c>
      <c r="K10470">
        <v>777</v>
      </c>
      <c r="L10470">
        <v>0</v>
      </c>
      <c r="M10470">
        <v>11905</v>
      </c>
      <c r="N10470" t="s">
        <v>643</v>
      </c>
      <c r="O10470">
        <v>251113</v>
      </c>
      <c r="P10470">
        <v>42</v>
      </c>
    </row>
    <row r="10471" spans="1:16" x14ac:dyDescent="0.25">
      <c r="A10471" t="s">
        <v>3296</v>
      </c>
      <c r="B10471" t="s">
        <v>2931</v>
      </c>
      <c r="C10471">
        <v>15168</v>
      </c>
      <c r="D10471" t="str">
        <f>"61300001571 "</f>
        <v xml:space="preserve">61300001571 </v>
      </c>
      <c r="E10471" t="s">
        <v>2554</v>
      </c>
      <c r="F10471" t="s">
        <v>2555</v>
      </c>
      <c r="G10471">
        <v>735</v>
      </c>
      <c r="H10471">
        <v>251107</v>
      </c>
      <c r="I10471">
        <v>4410</v>
      </c>
      <c r="J10471" t="s">
        <v>165</v>
      </c>
      <c r="K10471">
        <v>777</v>
      </c>
      <c r="L10471">
        <v>90.26</v>
      </c>
      <c r="M10471">
        <v>11905</v>
      </c>
      <c r="N10471" t="s">
        <v>643</v>
      </c>
      <c r="O10471">
        <v>251113</v>
      </c>
      <c r="P10471">
        <v>644.74</v>
      </c>
    </row>
    <row r="10472" spans="1:16" x14ac:dyDescent="0.25">
      <c r="A10472" t="s">
        <v>3296</v>
      </c>
      <c r="B10472" t="s">
        <v>2931</v>
      </c>
      <c r="C10472">
        <v>5277</v>
      </c>
      <c r="D10472" t="str">
        <f>"76253       "</f>
        <v xml:space="preserve">76253       </v>
      </c>
      <c r="E10472" t="s">
        <v>1701</v>
      </c>
      <c r="F10472" t="s">
        <v>1702</v>
      </c>
      <c r="G10472">
        <v>33.700000000000003</v>
      </c>
      <c r="H10472">
        <v>250409</v>
      </c>
      <c r="I10472">
        <v>4600</v>
      </c>
      <c r="J10472" t="s">
        <v>278</v>
      </c>
      <c r="K10472">
        <v>33.700000000000003</v>
      </c>
      <c r="L10472">
        <v>6.85</v>
      </c>
      <c r="M10472">
        <v>17532</v>
      </c>
      <c r="N10472" t="s">
        <v>146</v>
      </c>
      <c r="O10472">
        <v>250423</v>
      </c>
      <c r="P10472">
        <v>26.85</v>
      </c>
    </row>
    <row r="10473" spans="1:16" x14ac:dyDescent="0.25">
      <c r="A10473" t="s">
        <v>3296</v>
      </c>
      <c r="B10473" t="s">
        <v>2931</v>
      </c>
      <c r="C10473">
        <v>5713</v>
      </c>
      <c r="D10473" t="str">
        <f>"20196450    "</f>
        <v xml:space="preserve">20196450    </v>
      </c>
      <c r="E10473" t="s">
        <v>1791</v>
      </c>
      <c r="F10473" t="s">
        <v>1792</v>
      </c>
      <c r="G10473">
        <v>46</v>
      </c>
      <c r="H10473">
        <v>250414</v>
      </c>
      <c r="I10473">
        <v>4440</v>
      </c>
      <c r="J10473" t="s">
        <v>346</v>
      </c>
      <c r="K10473">
        <v>92</v>
      </c>
      <c r="L10473">
        <v>5.65</v>
      </c>
      <c r="M10473">
        <v>14121</v>
      </c>
      <c r="N10473" t="s">
        <v>71</v>
      </c>
      <c r="O10473">
        <v>250429</v>
      </c>
      <c r="P10473">
        <v>40.35</v>
      </c>
    </row>
    <row r="10474" spans="1:16" x14ac:dyDescent="0.25">
      <c r="A10474" t="s">
        <v>3296</v>
      </c>
      <c r="B10474" t="s">
        <v>2931</v>
      </c>
      <c r="C10474">
        <v>5713</v>
      </c>
      <c r="D10474" t="str">
        <f>"20196450    "</f>
        <v xml:space="preserve">20196450    </v>
      </c>
      <c r="E10474" t="s">
        <v>1791</v>
      </c>
      <c r="F10474" t="s">
        <v>1792</v>
      </c>
      <c r="G10474">
        <v>46</v>
      </c>
      <c r="H10474">
        <v>250414</v>
      </c>
      <c r="I10474">
        <v>4440</v>
      </c>
      <c r="J10474" t="s">
        <v>346</v>
      </c>
      <c r="K10474">
        <v>92</v>
      </c>
      <c r="L10474">
        <v>5.65</v>
      </c>
      <c r="M10474">
        <v>14622</v>
      </c>
      <c r="N10474" t="s">
        <v>77</v>
      </c>
      <c r="O10474">
        <v>250429</v>
      </c>
      <c r="P10474">
        <v>40.35</v>
      </c>
    </row>
    <row r="10475" spans="1:16" x14ac:dyDescent="0.25">
      <c r="A10475" t="s">
        <v>3296</v>
      </c>
      <c r="B10475" t="s">
        <v>2931</v>
      </c>
      <c r="C10475">
        <v>15640</v>
      </c>
      <c r="D10475" t="str">
        <f>"20197147    "</f>
        <v xml:space="preserve">20197147    </v>
      </c>
      <c r="E10475" t="s">
        <v>1791</v>
      </c>
      <c r="F10475" t="s">
        <v>1792</v>
      </c>
      <c r="G10475">
        <v>123</v>
      </c>
      <c r="H10475">
        <v>251110</v>
      </c>
      <c r="I10475">
        <v>4440</v>
      </c>
      <c r="J10475" t="s">
        <v>346</v>
      </c>
      <c r="K10475">
        <v>123</v>
      </c>
      <c r="L10475">
        <v>15.11</v>
      </c>
      <c r="M10475">
        <v>59806</v>
      </c>
      <c r="N10475" t="s">
        <v>2599</v>
      </c>
      <c r="O10475">
        <v>251124</v>
      </c>
      <c r="P10475">
        <v>107.89</v>
      </c>
    </row>
    <row r="10476" spans="1:16" x14ac:dyDescent="0.25">
      <c r="A10476" t="s">
        <v>3296</v>
      </c>
      <c r="B10476" t="s">
        <v>2931</v>
      </c>
      <c r="C10476">
        <v>4100</v>
      </c>
      <c r="D10476" t="str">
        <f>"030425      "</f>
        <v xml:space="preserve">030425      </v>
      </c>
      <c r="E10476" t="s">
        <v>1562</v>
      </c>
      <c r="F10476" t="s">
        <v>1563</v>
      </c>
      <c r="G10476">
        <v>150</v>
      </c>
      <c r="H10476">
        <v>250403</v>
      </c>
      <c r="I10476">
        <v>4600</v>
      </c>
      <c r="J10476" t="s">
        <v>278</v>
      </c>
      <c r="K10476">
        <v>300</v>
      </c>
      <c r="L10476">
        <v>0</v>
      </c>
      <c r="M10476">
        <v>17534</v>
      </c>
      <c r="N10476" t="s">
        <v>148</v>
      </c>
      <c r="O10476">
        <v>250407</v>
      </c>
      <c r="P10476">
        <v>150</v>
      </c>
    </row>
    <row r="10477" spans="1:16" x14ac:dyDescent="0.25">
      <c r="A10477" t="s">
        <v>3296</v>
      </c>
      <c r="B10477" t="s">
        <v>2931</v>
      </c>
      <c r="C10477">
        <v>4100</v>
      </c>
      <c r="D10477" t="str">
        <f>"030425      "</f>
        <v xml:space="preserve">030425      </v>
      </c>
      <c r="E10477" t="s">
        <v>1562</v>
      </c>
      <c r="F10477" t="s">
        <v>1563</v>
      </c>
      <c r="G10477">
        <v>150</v>
      </c>
      <c r="H10477">
        <v>250403</v>
      </c>
      <c r="I10477">
        <v>4600</v>
      </c>
      <c r="J10477" t="s">
        <v>278</v>
      </c>
      <c r="K10477">
        <v>300</v>
      </c>
      <c r="L10477">
        <v>0</v>
      </c>
      <c r="M10477">
        <v>17535</v>
      </c>
      <c r="N10477" t="s">
        <v>149</v>
      </c>
      <c r="O10477">
        <v>250407</v>
      </c>
      <c r="P10477">
        <v>150</v>
      </c>
    </row>
    <row r="10478" spans="1:16" x14ac:dyDescent="0.25">
      <c r="A10478" t="s">
        <v>3296</v>
      </c>
      <c r="B10478" t="s">
        <v>2931</v>
      </c>
      <c r="C10478">
        <v>14441</v>
      </c>
      <c r="D10478" t="str">
        <f>"4613        "</f>
        <v xml:space="preserve">4613        </v>
      </c>
      <c r="E10478" t="s">
        <v>2512</v>
      </c>
      <c r="F10478" t="s">
        <v>2513</v>
      </c>
      <c r="G10478">
        <v>35.14</v>
      </c>
      <c r="H10478">
        <v>251024</v>
      </c>
      <c r="I10478">
        <v>4590</v>
      </c>
      <c r="J10478" t="s">
        <v>388</v>
      </c>
      <c r="K10478">
        <v>35.14</v>
      </c>
      <c r="L10478">
        <v>7.14</v>
      </c>
      <c r="M10478">
        <v>49501</v>
      </c>
      <c r="N10478" t="s">
        <v>110</v>
      </c>
      <c r="O10478">
        <v>251031</v>
      </c>
      <c r="P10478">
        <v>28</v>
      </c>
    </row>
    <row r="10479" spans="1:16" x14ac:dyDescent="0.25">
      <c r="A10479" t="s">
        <v>3296</v>
      </c>
      <c r="B10479" t="s">
        <v>2931</v>
      </c>
      <c r="C10479">
        <v>16149</v>
      </c>
      <c r="D10479" t="str">
        <f>"11547       "</f>
        <v xml:space="preserve">11547       </v>
      </c>
      <c r="E10479" t="s">
        <v>2665</v>
      </c>
      <c r="F10479" t="s">
        <v>2666</v>
      </c>
      <c r="G10479">
        <v>121.5</v>
      </c>
      <c r="H10479">
        <v>251130</v>
      </c>
      <c r="I10479">
        <v>4410</v>
      </c>
      <c r="J10479" t="s">
        <v>165</v>
      </c>
      <c r="K10479">
        <v>121.5</v>
      </c>
      <c r="L10479">
        <v>14.92</v>
      </c>
      <c r="M10479">
        <v>11981</v>
      </c>
      <c r="N10479" t="s">
        <v>2404</v>
      </c>
      <c r="O10479">
        <v>251204</v>
      </c>
      <c r="P10479">
        <v>106.58</v>
      </c>
    </row>
    <row r="10480" spans="1:16" x14ac:dyDescent="0.25">
      <c r="A10480" t="s">
        <v>3296</v>
      </c>
      <c r="B10480" t="s">
        <v>2931</v>
      </c>
      <c r="C10480">
        <v>12645</v>
      </c>
      <c r="D10480" t="str">
        <f>"6025090047  "</f>
        <v xml:space="preserve">6025090047  </v>
      </c>
      <c r="E10480" t="s">
        <v>2370</v>
      </c>
      <c r="F10480" t="s">
        <v>2371</v>
      </c>
      <c r="G10480">
        <v>316.74</v>
      </c>
      <c r="H10480">
        <v>250917</v>
      </c>
      <c r="I10480">
        <v>4600</v>
      </c>
      <c r="J10480" t="s">
        <v>278</v>
      </c>
      <c r="K10480">
        <v>316.74</v>
      </c>
      <c r="L10480">
        <v>64.36</v>
      </c>
      <c r="M10480">
        <v>17633</v>
      </c>
      <c r="N10480" t="s">
        <v>628</v>
      </c>
      <c r="O10480">
        <v>250929</v>
      </c>
      <c r="P10480">
        <v>252.38</v>
      </c>
    </row>
    <row r="10481" spans="1:16" x14ac:dyDescent="0.25">
      <c r="A10481" t="s">
        <v>3296</v>
      </c>
      <c r="B10481" t="s">
        <v>2931</v>
      </c>
      <c r="C10481">
        <v>7316</v>
      </c>
      <c r="D10481" t="str">
        <f>"50350       "</f>
        <v xml:space="preserve">50350       </v>
      </c>
      <c r="E10481" t="s">
        <v>1948</v>
      </c>
      <c r="F10481" t="s">
        <v>1949</v>
      </c>
      <c r="G10481">
        <v>137.52000000000001</v>
      </c>
      <c r="H10481">
        <v>250513</v>
      </c>
      <c r="I10481">
        <v>4600</v>
      </c>
      <c r="J10481" t="s">
        <v>278</v>
      </c>
      <c r="K10481">
        <v>137.52000000000001</v>
      </c>
      <c r="L10481">
        <v>27.94</v>
      </c>
      <c r="M10481">
        <v>11605</v>
      </c>
      <c r="N10481" t="s">
        <v>1066</v>
      </c>
      <c r="O10481">
        <v>250603</v>
      </c>
      <c r="P10481">
        <v>109.58</v>
      </c>
    </row>
    <row r="10482" spans="1:16" x14ac:dyDescent="0.25">
      <c r="A10482" t="s">
        <v>3296</v>
      </c>
      <c r="B10482" t="s">
        <v>2931</v>
      </c>
      <c r="C10482">
        <v>1181</v>
      </c>
      <c r="D10482" t="str">
        <f>"40616       "</f>
        <v xml:space="preserve">40616       </v>
      </c>
      <c r="E10482" t="s">
        <v>877</v>
      </c>
      <c r="F10482" t="s">
        <v>878</v>
      </c>
      <c r="G10482">
        <v>792.99</v>
      </c>
      <c r="H10482">
        <v>250203</v>
      </c>
      <c r="I10482">
        <v>4590</v>
      </c>
      <c r="J10482" t="s">
        <v>388</v>
      </c>
      <c r="K10482">
        <v>792.99</v>
      </c>
      <c r="L10482">
        <v>161.13</v>
      </c>
      <c r="M10482">
        <v>59504</v>
      </c>
      <c r="N10482" t="s">
        <v>193</v>
      </c>
      <c r="O10482">
        <v>250205</v>
      </c>
      <c r="P10482">
        <v>631.86</v>
      </c>
    </row>
    <row r="10483" spans="1:16" x14ac:dyDescent="0.25">
      <c r="A10483" t="s">
        <v>3296</v>
      </c>
      <c r="B10483" t="s">
        <v>2931</v>
      </c>
      <c r="C10483">
        <v>17138</v>
      </c>
      <c r="D10483" t="str">
        <f>"573         "</f>
        <v xml:space="preserve">573         </v>
      </c>
      <c r="E10483" t="s">
        <v>2734</v>
      </c>
      <c r="F10483" t="s">
        <v>2735</v>
      </c>
      <c r="G10483">
        <v>14</v>
      </c>
      <c r="H10483">
        <v>251211</v>
      </c>
      <c r="I10483">
        <v>4600</v>
      </c>
      <c r="J10483" t="s">
        <v>278</v>
      </c>
      <c r="K10483">
        <v>14</v>
      </c>
      <c r="L10483">
        <v>2.84</v>
      </c>
      <c r="M10483">
        <v>13802</v>
      </c>
      <c r="N10483" t="s">
        <v>34</v>
      </c>
      <c r="O10483">
        <v>251217</v>
      </c>
      <c r="P10483">
        <v>11.16</v>
      </c>
    </row>
    <row r="10484" spans="1:16" x14ac:dyDescent="0.25">
      <c r="A10484" t="s">
        <v>3296</v>
      </c>
      <c r="B10484" t="s">
        <v>2931</v>
      </c>
      <c r="C10484">
        <v>67</v>
      </c>
      <c r="D10484" t="str">
        <f>"10439       "</f>
        <v xml:space="preserve">10439       </v>
      </c>
      <c r="E10484" t="s">
        <v>158</v>
      </c>
      <c r="F10484" t="s">
        <v>160</v>
      </c>
      <c r="G10484">
        <v>18825</v>
      </c>
      <c r="H10484">
        <v>250101</v>
      </c>
      <c r="I10484">
        <v>4367</v>
      </c>
      <c r="J10484" t="s">
        <v>159</v>
      </c>
      <c r="K10484">
        <v>18825</v>
      </c>
      <c r="L10484">
        <v>3825</v>
      </c>
      <c r="M10484">
        <v>11601</v>
      </c>
      <c r="N10484" t="s">
        <v>12</v>
      </c>
      <c r="O10484">
        <v>250102</v>
      </c>
      <c r="P10484">
        <v>15000</v>
      </c>
    </row>
    <row r="10485" spans="1:16" x14ac:dyDescent="0.25">
      <c r="A10485" t="s">
        <v>3296</v>
      </c>
      <c r="B10485" t="s">
        <v>2931</v>
      </c>
      <c r="C10485">
        <v>17705</v>
      </c>
      <c r="D10485" t="str">
        <f>"128580      "</f>
        <v xml:space="preserve">128580      </v>
      </c>
      <c r="E10485" t="s">
        <v>2767</v>
      </c>
      <c r="F10485" t="s">
        <v>2768</v>
      </c>
      <c r="G10485">
        <v>62624.5</v>
      </c>
      <c r="H10485">
        <v>251219</v>
      </c>
      <c r="I10485">
        <v>1198</v>
      </c>
      <c r="J10485" t="s">
        <v>610</v>
      </c>
      <c r="K10485">
        <v>62624.5</v>
      </c>
      <c r="L10485">
        <v>12724.5</v>
      </c>
      <c r="M10485">
        <v>97627</v>
      </c>
      <c r="N10485" t="s">
        <v>1351</v>
      </c>
      <c r="O10485">
        <v>251229</v>
      </c>
      <c r="P10485">
        <v>49900</v>
      </c>
    </row>
    <row r="10486" spans="1:16" x14ac:dyDescent="0.25">
      <c r="A10486" t="s">
        <v>3296</v>
      </c>
      <c r="B10486" t="s">
        <v>2931</v>
      </c>
      <c r="C10486">
        <v>17668</v>
      </c>
      <c r="D10486" t="str">
        <f>"128579      "</f>
        <v xml:space="preserve">128579      </v>
      </c>
      <c r="E10486" t="s">
        <v>2767</v>
      </c>
      <c r="F10486" t="s">
        <v>2768</v>
      </c>
      <c r="G10486">
        <v>6777</v>
      </c>
      <c r="H10486">
        <v>251219</v>
      </c>
      <c r="I10486">
        <v>4580</v>
      </c>
      <c r="J10486" t="s">
        <v>126</v>
      </c>
      <c r="K10486">
        <v>6777</v>
      </c>
      <c r="L10486">
        <v>1377</v>
      </c>
      <c r="M10486">
        <v>17806</v>
      </c>
      <c r="N10486" t="s">
        <v>22</v>
      </c>
      <c r="O10486">
        <v>251229</v>
      </c>
      <c r="P10486">
        <v>5400</v>
      </c>
    </row>
    <row r="10487" spans="1:16" x14ac:dyDescent="0.25">
      <c r="A10487" t="s">
        <v>3296</v>
      </c>
      <c r="B10487" t="s">
        <v>2931</v>
      </c>
      <c r="C10487">
        <v>988</v>
      </c>
      <c r="D10487" t="str">
        <f>"250109      "</f>
        <v xml:space="preserve">250109      </v>
      </c>
      <c r="E10487" t="s">
        <v>799</v>
      </c>
      <c r="F10487" t="s">
        <v>800</v>
      </c>
      <c r="G10487">
        <v>138.05000000000001</v>
      </c>
      <c r="H10487">
        <v>250129</v>
      </c>
      <c r="I10487">
        <v>4400</v>
      </c>
      <c r="J10487" t="s">
        <v>162</v>
      </c>
      <c r="K10487">
        <v>138.05000000000001</v>
      </c>
      <c r="L10487">
        <v>28.05</v>
      </c>
      <c r="M10487">
        <v>69501</v>
      </c>
      <c r="N10487" t="s">
        <v>123</v>
      </c>
      <c r="O10487">
        <v>250131</v>
      </c>
      <c r="P10487">
        <v>110</v>
      </c>
    </row>
    <row r="10488" spans="1:16" x14ac:dyDescent="0.25">
      <c r="A10488" t="s">
        <v>3296</v>
      </c>
      <c r="B10488" t="s">
        <v>2931</v>
      </c>
      <c r="C10488">
        <v>6322</v>
      </c>
      <c r="D10488" t="str">
        <f>"ML2018033342"</f>
        <v>ML2018033342</v>
      </c>
      <c r="E10488" t="s">
        <v>2867</v>
      </c>
      <c r="F10488" t="s">
        <v>2868</v>
      </c>
      <c r="G10488">
        <v>133.25</v>
      </c>
      <c r="H10488">
        <v>250430</v>
      </c>
      <c r="I10488">
        <v>4410</v>
      </c>
      <c r="J10488" t="s">
        <v>165</v>
      </c>
      <c r="K10488">
        <v>133.25</v>
      </c>
      <c r="L10488">
        <v>16.36</v>
      </c>
      <c r="M10488">
        <v>13932</v>
      </c>
      <c r="N10488" t="s">
        <v>680</v>
      </c>
      <c r="O10488">
        <v>250512</v>
      </c>
      <c r="P10488">
        <v>116.89</v>
      </c>
    </row>
    <row r="10489" spans="1:16" x14ac:dyDescent="0.25">
      <c r="A10489" t="s">
        <v>3296</v>
      </c>
      <c r="B10489" t="s">
        <v>2931</v>
      </c>
      <c r="C10489">
        <v>3573</v>
      </c>
      <c r="D10489" t="str">
        <f>"15394312    "</f>
        <v xml:space="preserve">15394312    </v>
      </c>
      <c r="E10489" t="s">
        <v>1466</v>
      </c>
      <c r="F10489" t="s">
        <v>1467</v>
      </c>
      <c r="G10489">
        <v>276.52999999999997</v>
      </c>
      <c r="H10489">
        <v>250313</v>
      </c>
      <c r="I10489">
        <v>4520</v>
      </c>
      <c r="J10489" t="s">
        <v>280</v>
      </c>
      <c r="K10489">
        <v>405.85</v>
      </c>
      <c r="L10489">
        <v>33.96</v>
      </c>
      <c r="M10489">
        <v>56563</v>
      </c>
      <c r="N10489" t="s">
        <v>55</v>
      </c>
      <c r="O10489">
        <v>250325</v>
      </c>
      <c r="P10489">
        <v>242.57</v>
      </c>
    </row>
    <row r="10490" spans="1:16" x14ac:dyDescent="0.25">
      <c r="A10490" t="s">
        <v>3296</v>
      </c>
      <c r="B10490" t="s">
        <v>2931</v>
      </c>
      <c r="C10490">
        <v>11211</v>
      </c>
      <c r="D10490" t="str">
        <f>"15404591    "</f>
        <v xml:space="preserve">15404591    </v>
      </c>
      <c r="E10490" t="s">
        <v>1466</v>
      </c>
      <c r="F10490" t="s">
        <v>1467</v>
      </c>
      <c r="G10490">
        <v>318.54000000000002</v>
      </c>
      <c r="H10490">
        <v>250827</v>
      </c>
      <c r="I10490">
        <v>4520</v>
      </c>
      <c r="J10490" t="s">
        <v>280</v>
      </c>
      <c r="K10490">
        <v>318.54000000000002</v>
      </c>
      <c r="L10490">
        <v>64.72</v>
      </c>
      <c r="M10490">
        <v>14640</v>
      </c>
      <c r="N10490" t="s">
        <v>78</v>
      </c>
      <c r="O10490">
        <v>250902</v>
      </c>
      <c r="P10490">
        <v>253.82</v>
      </c>
    </row>
    <row r="10491" spans="1:16" x14ac:dyDescent="0.25">
      <c r="A10491" t="s">
        <v>3296</v>
      </c>
      <c r="B10491" t="s">
        <v>2931</v>
      </c>
      <c r="C10491">
        <v>15407</v>
      </c>
      <c r="D10491" t="str">
        <f>"15409494    "</f>
        <v xml:space="preserve">15409494    </v>
      </c>
      <c r="E10491" t="s">
        <v>1466</v>
      </c>
      <c r="F10491" t="s">
        <v>1467</v>
      </c>
      <c r="G10491">
        <v>106.76</v>
      </c>
      <c r="H10491">
        <v>251112</v>
      </c>
      <c r="I10491">
        <v>4520</v>
      </c>
      <c r="J10491" t="s">
        <v>280</v>
      </c>
      <c r="K10491">
        <v>451.28</v>
      </c>
      <c r="L10491">
        <v>13.11</v>
      </c>
      <c r="M10491">
        <v>14640</v>
      </c>
      <c r="N10491" t="s">
        <v>78</v>
      </c>
      <c r="O10491">
        <v>251120</v>
      </c>
      <c r="P10491">
        <v>93.65</v>
      </c>
    </row>
    <row r="10492" spans="1:16" x14ac:dyDescent="0.25">
      <c r="A10492" t="s">
        <v>3296</v>
      </c>
      <c r="B10492" t="s">
        <v>2931</v>
      </c>
      <c r="C10492">
        <v>15407</v>
      </c>
      <c r="D10492" t="str">
        <f>"15409494    "</f>
        <v xml:space="preserve">15409494    </v>
      </c>
      <c r="E10492" t="s">
        <v>1466</v>
      </c>
      <c r="F10492" t="s">
        <v>1467</v>
      </c>
      <c r="G10492">
        <v>344.52</v>
      </c>
      <c r="H10492">
        <v>251112</v>
      </c>
      <c r="I10492">
        <v>4520</v>
      </c>
      <c r="J10492" t="s">
        <v>280</v>
      </c>
      <c r="K10492">
        <v>451.28</v>
      </c>
      <c r="L10492">
        <v>70</v>
      </c>
      <c r="M10492">
        <v>14640</v>
      </c>
      <c r="N10492" t="s">
        <v>78</v>
      </c>
      <c r="O10492">
        <v>251120</v>
      </c>
      <c r="P10492">
        <v>274.52</v>
      </c>
    </row>
    <row r="10493" spans="1:16" x14ac:dyDescent="0.25">
      <c r="A10493" t="s">
        <v>3296</v>
      </c>
      <c r="B10493" t="s">
        <v>2931</v>
      </c>
      <c r="C10493">
        <v>3573</v>
      </c>
      <c r="D10493" t="str">
        <f>"15394312    "</f>
        <v xml:space="preserve">15394312    </v>
      </c>
      <c r="E10493" t="s">
        <v>1466</v>
      </c>
      <c r="F10493" t="s">
        <v>1467</v>
      </c>
      <c r="G10493">
        <v>129.32</v>
      </c>
      <c r="H10493">
        <v>250313</v>
      </c>
      <c r="I10493">
        <v>4600</v>
      </c>
      <c r="J10493" t="s">
        <v>278</v>
      </c>
      <c r="K10493">
        <v>405.85</v>
      </c>
      <c r="L10493">
        <v>26.28</v>
      </c>
      <c r="M10493">
        <v>56563</v>
      </c>
      <c r="N10493" t="s">
        <v>55</v>
      </c>
      <c r="O10493">
        <v>250325</v>
      </c>
      <c r="P10493">
        <v>103.04</v>
      </c>
    </row>
    <row r="10494" spans="1:16" x14ac:dyDescent="0.25">
      <c r="A10494" t="s">
        <v>3296</v>
      </c>
      <c r="B10494" t="s">
        <v>2931</v>
      </c>
      <c r="C10494">
        <v>16797</v>
      </c>
      <c r="D10494" t="str">
        <f>"1044        "</f>
        <v xml:space="preserve">1044        </v>
      </c>
      <c r="E10494" t="s">
        <v>3187</v>
      </c>
      <c r="F10494" t="s">
        <v>3188</v>
      </c>
      <c r="G10494">
        <v>16.899999999999999</v>
      </c>
      <c r="H10494">
        <v>251203</v>
      </c>
      <c r="I10494">
        <v>4510</v>
      </c>
      <c r="J10494" t="s">
        <v>240</v>
      </c>
      <c r="K10494">
        <v>16.899999999999999</v>
      </c>
      <c r="L10494">
        <v>0</v>
      </c>
      <c r="M10494">
        <v>17711</v>
      </c>
      <c r="N10494" t="s">
        <v>155</v>
      </c>
      <c r="O10494">
        <v>251212</v>
      </c>
      <c r="P10494">
        <v>16.899999999999999</v>
      </c>
    </row>
    <row r="10495" spans="1:16" x14ac:dyDescent="0.25">
      <c r="A10495" t="s">
        <v>3296</v>
      </c>
      <c r="B10495" t="s">
        <v>2931</v>
      </c>
      <c r="C10495">
        <v>188</v>
      </c>
      <c r="D10495" t="str">
        <f>"2254921     "</f>
        <v xml:space="preserve">2254921     </v>
      </c>
      <c r="E10495" t="s">
        <v>311</v>
      </c>
      <c r="F10495" t="s">
        <v>313</v>
      </c>
      <c r="G10495">
        <v>222.14</v>
      </c>
      <c r="H10495">
        <v>250112</v>
      </c>
      <c r="I10495">
        <v>4500</v>
      </c>
      <c r="J10495" t="s">
        <v>312</v>
      </c>
      <c r="K10495">
        <v>222.14</v>
      </c>
      <c r="L10495">
        <v>45.14</v>
      </c>
      <c r="M10495">
        <v>13402</v>
      </c>
      <c r="N10495" t="s">
        <v>307</v>
      </c>
      <c r="O10495">
        <v>250115</v>
      </c>
      <c r="P10495">
        <v>177</v>
      </c>
    </row>
    <row r="10496" spans="1:16" x14ac:dyDescent="0.25">
      <c r="A10496" t="s">
        <v>3296</v>
      </c>
      <c r="B10496" t="s">
        <v>2931</v>
      </c>
      <c r="C10496">
        <v>8684</v>
      </c>
      <c r="D10496" t="str">
        <f>"20012213    "</f>
        <v xml:space="preserve">20012213    </v>
      </c>
      <c r="E10496" t="s">
        <v>311</v>
      </c>
      <c r="F10496" t="s">
        <v>313</v>
      </c>
      <c r="G10496">
        <v>245.98</v>
      </c>
      <c r="H10496">
        <v>250529</v>
      </c>
      <c r="I10496">
        <v>4500</v>
      </c>
      <c r="J10496" t="s">
        <v>312</v>
      </c>
      <c r="K10496">
        <v>245.98</v>
      </c>
      <c r="L10496">
        <v>49.98</v>
      </c>
      <c r="M10496">
        <v>13402</v>
      </c>
      <c r="N10496" t="s">
        <v>307</v>
      </c>
      <c r="O10496">
        <v>250617</v>
      </c>
      <c r="P10496">
        <v>196</v>
      </c>
    </row>
    <row r="10497" spans="1:16" x14ac:dyDescent="0.25">
      <c r="A10497" t="s">
        <v>3296</v>
      </c>
      <c r="B10497" t="s">
        <v>2931</v>
      </c>
      <c r="C10497">
        <v>9939</v>
      </c>
      <c r="D10497" t="str">
        <f>"20018298    "</f>
        <v xml:space="preserve">20018298    </v>
      </c>
      <c r="E10497" t="s">
        <v>311</v>
      </c>
      <c r="F10497" t="s">
        <v>313</v>
      </c>
      <c r="G10497">
        <v>35.770000000000003</v>
      </c>
      <c r="H10497">
        <v>250728</v>
      </c>
      <c r="I10497">
        <v>4500</v>
      </c>
      <c r="J10497" t="s">
        <v>312</v>
      </c>
      <c r="K10497">
        <v>35.770000000000003</v>
      </c>
      <c r="L10497">
        <v>7.27</v>
      </c>
      <c r="M10497">
        <v>17525</v>
      </c>
      <c r="N10497" t="s">
        <v>140</v>
      </c>
      <c r="O10497">
        <v>250805</v>
      </c>
      <c r="P10497">
        <v>28.5</v>
      </c>
    </row>
    <row r="10498" spans="1:16" x14ac:dyDescent="0.25">
      <c r="A10498" t="s">
        <v>3296</v>
      </c>
      <c r="B10498" t="s">
        <v>2931</v>
      </c>
      <c r="C10498">
        <v>10652</v>
      </c>
      <c r="D10498" t="str">
        <f>"20021794    "</f>
        <v xml:space="preserve">20021794    </v>
      </c>
      <c r="E10498" t="s">
        <v>311</v>
      </c>
      <c r="F10498" t="s">
        <v>313</v>
      </c>
      <c r="G10498">
        <v>117.97</v>
      </c>
      <c r="H10498">
        <v>250810</v>
      </c>
      <c r="I10498">
        <v>4500</v>
      </c>
      <c r="J10498" t="s">
        <v>312</v>
      </c>
      <c r="K10498">
        <v>117.97</v>
      </c>
      <c r="L10498">
        <v>23.97</v>
      </c>
      <c r="M10498">
        <v>13502</v>
      </c>
      <c r="N10498" t="s">
        <v>302</v>
      </c>
      <c r="O10498">
        <v>250821</v>
      </c>
      <c r="P10498">
        <v>94</v>
      </c>
    </row>
    <row r="10499" spans="1:16" x14ac:dyDescent="0.25">
      <c r="A10499" t="s">
        <v>3296</v>
      </c>
      <c r="B10499" t="s">
        <v>2931</v>
      </c>
      <c r="C10499">
        <v>14175</v>
      </c>
      <c r="D10499" t="str">
        <f>"20032829    "</f>
        <v xml:space="preserve">20032829    </v>
      </c>
      <c r="E10499" t="s">
        <v>311</v>
      </c>
      <c r="F10499" t="s">
        <v>313</v>
      </c>
      <c r="G10499">
        <v>207.68</v>
      </c>
      <c r="H10499">
        <v>251019</v>
      </c>
      <c r="I10499">
        <v>4500</v>
      </c>
      <c r="J10499" t="s">
        <v>312</v>
      </c>
      <c r="K10499">
        <v>207.68</v>
      </c>
      <c r="L10499">
        <v>42.2</v>
      </c>
      <c r="M10499">
        <v>13202</v>
      </c>
      <c r="N10499" t="s">
        <v>601</v>
      </c>
      <c r="O10499">
        <v>251024</v>
      </c>
      <c r="P10499">
        <v>165.48</v>
      </c>
    </row>
    <row r="10500" spans="1:16" x14ac:dyDescent="0.25">
      <c r="A10500" t="s">
        <v>3296</v>
      </c>
      <c r="B10500" t="s">
        <v>2931</v>
      </c>
      <c r="C10500">
        <v>14874</v>
      </c>
      <c r="D10500" t="str">
        <f>"20034307    "</f>
        <v xml:space="preserve">20034307    </v>
      </c>
      <c r="E10500" t="s">
        <v>311</v>
      </c>
      <c r="F10500" t="s">
        <v>313</v>
      </c>
      <c r="G10500">
        <v>797.36</v>
      </c>
      <c r="H10500">
        <v>251029</v>
      </c>
      <c r="I10500">
        <v>4500</v>
      </c>
      <c r="J10500" t="s">
        <v>312</v>
      </c>
      <c r="K10500">
        <v>797.36</v>
      </c>
      <c r="L10500">
        <v>162.01</v>
      </c>
      <c r="M10500">
        <v>13202</v>
      </c>
      <c r="N10500" t="s">
        <v>601</v>
      </c>
      <c r="O10500">
        <v>251107</v>
      </c>
      <c r="P10500">
        <v>635.35</v>
      </c>
    </row>
    <row r="10501" spans="1:16" x14ac:dyDescent="0.25">
      <c r="A10501" t="s">
        <v>3296</v>
      </c>
      <c r="B10501" t="s">
        <v>2931</v>
      </c>
      <c r="C10501">
        <v>14878</v>
      </c>
      <c r="D10501" t="str">
        <f>"20034859    "</f>
        <v xml:space="preserve">20034859    </v>
      </c>
      <c r="E10501" t="s">
        <v>311</v>
      </c>
      <c r="F10501" t="s">
        <v>313</v>
      </c>
      <c r="G10501">
        <v>401.73</v>
      </c>
      <c r="H10501">
        <v>251031</v>
      </c>
      <c r="I10501">
        <v>4500</v>
      </c>
      <c r="J10501" t="s">
        <v>312</v>
      </c>
      <c r="K10501">
        <v>401.73</v>
      </c>
      <c r="L10501">
        <v>81.63</v>
      </c>
      <c r="M10501">
        <v>13202</v>
      </c>
      <c r="N10501" t="s">
        <v>601</v>
      </c>
      <c r="O10501">
        <v>251107</v>
      </c>
      <c r="P10501">
        <v>320.10000000000002</v>
      </c>
    </row>
    <row r="10502" spans="1:16" x14ac:dyDescent="0.25">
      <c r="A10502" t="s">
        <v>3296</v>
      </c>
      <c r="B10502" t="s">
        <v>2931</v>
      </c>
      <c r="C10502">
        <v>15583</v>
      </c>
      <c r="D10502" t="str">
        <f>"20036743    "</f>
        <v xml:space="preserve">20036743    </v>
      </c>
      <c r="E10502" t="s">
        <v>311</v>
      </c>
      <c r="F10502" t="s">
        <v>313</v>
      </c>
      <c r="G10502">
        <v>2252.73</v>
      </c>
      <c r="H10502">
        <v>251116</v>
      </c>
      <c r="I10502">
        <v>4500</v>
      </c>
      <c r="J10502" t="s">
        <v>312</v>
      </c>
      <c r="K10502">
        <v>2252.73</v>
      </c>
      <c r="L10502">
        <v>457.73</v>
      </c>
      <c r="M10502">
        <v>13202</v>
      </c>
      <c r="N10502" t="s">
        <v>601</v>
      </c>
      <c r="O10502">
        <v>251121</v>
      </c>
      <c r="P10502">
        <v>1795</v>
      </c>
    </row>
    <row r="10503" spans="1:16" x14ac:dyDescent="0.25">
      <c r="A10503" t="s">
        <v>3296</v>
      </c>
      <c r="B10503" t="s">
        <v>2931</v>
      </c>
      <c r="C10503">
        <v>15863</v>
      </c>
      <c r="D10503" t="str">
        <f>"20037407    "</f>
        <v xml:space="preserve">20037407    </v>
      </c>
      <c r="E10503" t="s">
        <v>311</v>
      </c>
      <c r="F10503" t="s">
        <v>313</v>
      </c>
      <c r="G10503">
        <v>1783.42</v>
      </c>
      <c r="H10503">
        <v>251122</v>
      </c>
      <c r="I10503">
        <v>4500</v>
      </c>
      <c r="J10503" t="s">
        <v>312</v>
      </c>
      <c r="K10503">
        <v>1783.42</v>
      </c>
      <c r="L10503">
        <v>362.37</v>
      </c>
      <c r="M10503">
        <v>13202</v>
      </c>
      <c r="N10503" t="s">
        <v>601</v>
      </c>
      <c r="O10503">
        <v>251127</v>
      </c>
      <c r="P10503">
        <v>1421.05</v>
      </c>
    </row>
    <row r="10504" spans="1:16" x14ac:dyDescent="0.25">
      <c r="A10504" t="s">
        <v>3296</v>
      </c>
      <c r="B10504" t="s">
        <v>2931</v>
      </c>
      <c r="C10504">
        <v>2415</v>
      </c>
      <c r="D10504" t="str">
        <f>"2259257     "</f>
        <v xml:space="preserve">2259257     </v>
      </c>
      <c r="E10504" t="s">
        <v>311</v>
      </c>
      <c r="F10504" t="s">
        <v>313</v>
      </c>
      <c r="G10504">
        <v>84.09</v>
      </c>
      <c r="H10504">
        <v>250221</v>
      </c>
      <c r="I10504">
        <v>4600</v>
      </c>
      <c r="J10504" t="s">
        <v>278</v>
      </c>
      <c r="K10504">
        <v>84.09</v>
      </c>
      <c r="L10504">
        <v>17.09</v>
      </c>
      <c r="M10504">
        <v>69702</v>
      </c>
      <c r="N10504" t="s">
        <v>124</v>
      </c>
      <c r="O10504">
        <v>250225</v>
      </c>
      <c r="P10504">
        <v>67</v>
      </c>
    </row>
    <row r="10505" spans="1:16" x14ac:dyDescent="0.25">
      <c r="A10505" t="s">
        <v>3296</v>
      </c>
      <c r="B10505" t="s">
        <v>2931</v>
      </c>
      <c r="C10505">
        <v>9210</v>
      </c>
      <c r="D10505" t="str">
        <f>"20015779    "</f>
        <v xml:space="preserve">20015779    </v>
      </c>
      <c r="E10505" t="s">
        <v>311</v>
      </c>
      <c r="F10505" t="s">
        <v>313</v>
      </c>
      <c r="G10505">
        <v>100.4</v>
      </c>
      <c r="H10505">
        <v>250615</v>
      </c>
      <c r="I10505">
        <v>4600</v>
      </c>
      <c r="J10505" t="s">
        <v>278</v>
      </c>
      <c r="K10505">
        <v>100.4</v>
      </c>
      <c r="L10505">
        <v>20.399999999999999</v>
      </c>
      <c r="M10505">
        <v>13401</v>
      </c>
      <c r="N10505" t="s">
        <v>10</v>
      </c>
      <c r="O10505">
        <v>250627</v>
      </c>
      <c r="P10505">
        <v>80</v>
      </c>
    </row>
    <row r="10506" spans="1:16" x14ac:dyDescent="0.25">
      <c r="A10506" t="s">
        <v>3296</v>
      </c>
      <c r="B10506" t="s">
        <v>2931</v>
      </c>
      <c r="C10506">
        <v>10376</v>
      </c>
      <c r="D10506" t="str">
        <f>"20019802    "</f>
        <v xml:space="preserve">20019802    </v>
      </c>
      <c r="E10506" t="s">
        <v>311</v>
      </c>
      <c r="F10506" t="s">
        <v>313</v>
      </c>
      <c r="G10506">
        <v>288.64999999999998</v>
      </c>
      <c r="H10506">
        <v>250731</v>
      </c>
      <c r="I10506">
        <v>4600</v>
      </c>
      <c r="J10506" t="s">
        <v>278</v>
      </c>
      <c r="K10506">
        <v>288.64999999999998</v>
      </c>
      <c r="L10506">
        <v>58.65</v>
      </c>
      <c r="M10506">
        <v>13401</v>
      </c>
      <c r="N10506" t="s">
        <v>10</v>
      </c>
      <c r="O10506">
        <v>250818</v>
      </c>
      <c r="P10506">
        <v>230</v>
      </c>
    </row>
    <row r="10507" spans="1:16" x14ac:dyDescent="0.25">
      <c r="A10507" t="s">
        <v>3296</v>
      </c>
      <c r="B10507" t="s">
        <v>2931</v>
      </c>
      <c r="C10507">
        <v>11620</v>
      </c>
      <c r="D10507" t="str">
        <f>"20023827    "</f>
        <v xml:space="preserve">20023827    </v>
      </c>
      <c r="E10507" t="s">
        <v>311</v>
      </c>
      <c r="F10507" t="s">
        <v>313</v>
      </c>
      <c r="G10507">
        <v>40.159999999999997</v>
      </c>
      <c r="H10507">
        <v>250822</v>
      </c>
      <c r="I10507">
        <v>4600</v>
      </c>
      <c r="J10507" t="s">
        <v>278</v>
      </c>
      <c r="K10507">
        <v>40.159999999999997</v>
      </c>
      <c r="L10507">
        <v>8.16</v>
      </c>
      <c r="M10507">
        <v>14971</v>
      </c>
      <c r="N10507" t="s">
        <v>81</v>
      </c>
      <c r="O10507">
        <v>250909</v>
      </c>
      <c r="P10507">
        <v>32</v>
      </c>
    </row>
    <row r="10508" spans="1:16" x14ac:dyDescent="0.25">
      <c r="A10508" t="s">
        <v>3296</v>
      </c>
      <c r="B10508" t="s">
        <v>2931</v>
      </c>
      <c r="C10508">
        <v>11787</v>
      </c>
      <c r="D10508" t="str">
        <f>"20025623    "</f>
        <v xml:space="preserve">20025623    </v>
      </c>
      <c r="E10508" t="s">
        <v>311</v>
      </c>
      <c r="F10508" t="s">
        <v>313</v>
      </c>
      <c r="G10508">
        <v>81.58</v>
      </c>
      <c r="H10508">
        <v>250829</v>
      </c>
      <c r="I10508">
        <v>4600</v>
      </c>
      <c r="J10508" t="s">
        <v>278</v>
      </c>
      <c r="K10508">
        <v>81.58</v>
      </c>
      <c r="L10508">
        <v>16.579999999999998</v>
      </c>
      <c r="M10508">
        <v>14971</v>
      </c>
      <c r="N10508" t="s">
        <v>81</v>
      </c>
      <c r="O10508">
        <v>250910</v>
      </c>
      <c r="P10508">
        <v>65</v>
      </c>
    </row>
    <row r="10509" spans="1:16" x14ac:dyDescent="0.25">
      <c r="A10509" t="s">
        <v>3296</v>
      </c>
      <c r="B10509" t="s">
        <v>2931</v>
      </c>
      <c r="C10509">
        <v>18165</v>
      </c>
      <c r="D10509" t="str">
        <f>"20043169    "</f>
        <v xml:space="preserve">20043169    </v>
      </c>
      <c r="E10509" t="s">
        <v>311</v>
      </c>
      <c r="F10509" t="s">
        <v>313</v>
      </c>
      <c r="G10509">
        <v>281.12</v>
      </c>
      <c r="H10509">
        <v>251220</v>
      </c>
      <c r="I10509">
        <v>4600</v>
      </c>
      <c r="J10509" t="s">
        <v>278</v>
      </c>
      <c r="K10509">
        <v>281.12</v>
      </c>
      <c r="L10509">
        <v>57.12</v>
      </c>
      <c r="M10509">
        <v>14121</v>
      </c>
      <c r="N10509" t="s">
        <v>71</v>
      </c>
      <c r="O10509">
        <v>260109</v>
      </c>
      <c r="P10509">
        <v>224</v>
      </c>
    </row>
    <row r="10510" spans="1:16" x14ac:dyDescent="0.25">
      <c r="A10510" t="s">
        <v>3296</v>
      </c>
      <c r="B10510" t="s">
        <v>2931</v>
      </c>
      <c r="C10510">
        <v>3226</v>
      </c>
      <c r="D10510" t="str">
        <f>"1632531     "</f>
        <v xml:space="preserve">1632531     </v>
      </c>
      <c r="E10510" t="s">
        <v>1402</v>
      </c>
      <c r="F10510" t="s">
        <v>1403</v>
      </c>
      <c r="G10510">
        <v>133.07</v>
      </c>
      <c r="H10510">
        <v>250201</v>
      </c>
      <c r="I10510">
        <v>4600</v>
      </c>
      <c r="J10510" t="s">
        <v>278</v>
      </c>
      <c r="K10510">
        <v>133.07</v>
      </c>
      <c r="L10510">
        <v>27.04</v>
      </c>
      <c r="M10510">
        <v>49705</v>
      </c>
      <c r="N10510" t="s">
        <v>114</v>
      </c>
      <c r="O10510">
        <v>250317</v>
      </c>
      <c r="P10510">
        <v>106.03</v>
      </c>
    </row>
    <row r="10511" spans="1:16" x14ac:dyDescent="0.25">
      <c r="A10511" t="s">
        <v>3296</v>
      </c>
      <c r="B10511" t="s">
        <v>2931</v>
      </c>
      <c r="C10511">
        <v>5261</v>
      </c>
      <c r="D10511" t="str">
        <f>"363507      "</f>
        <v xml:space="preserve">363507      </v>
      </c>
      <c r="E10511" t="s">
        <v>817</v>
      </c>
      <c r="F10511" t="s">
        <v>818</v>
      </c>
      <c r="G10511">
        <v>601.52</v>
      </c>
      <c r="H10511">
        <v>250408</v>
      </c>
      <c r="I10511">
        <v>4590</v>
      </c>
      <c r="J10511" t="s">
        <v>388</v>
      </c>
      <c r="K10511">
        <v>601.52</v>
      </c>
      <c r="L10511">
        <v>122.22</v>
      </c>
      <c r="M10511">
        <v>49501</v>
      </c>
      <c r="N10511" t="s">
        <v>110</v>
      </c>
      <c r="O10511">
        <v>250423</v>
      </c>
      <c r="P10511">
        <v>479.3</v>
      </c>
    </row>
    <row r="10512" spans="1:16" x14ac:dyDescent="0.25">
      <c r="A10512" t="s">
        <v>3296</v>
      </c>
      <c r="B10512" t="s">
        <v>2931</v>
      </c>
      <c r="C10512">
        <v>1019</v>
      </c>
      <c r="D10512" t="str">
        <f>"359305      "</f>
        <v xml:space="preserve">359305      </v>
      </c>
      <c r="E10512" t="s">
        <v>817</v>
      </c>
      <c r="F10512" t="s">
        <v>818</v>
      </c>
      <c r="G10512">
        <v>906.14</v>
      </c>
      <c r="H10512">
        <v>250120</v>
      </c>
      <c r="I10512">
        <v>4600</v>
      </c>
      <c r="J10512" t="s">
        <v>278</v>
      </c>
      <c r="K10512">
        <v>906.14</v>
      </c>
      <c r="L10512">
        <v>184.12</v>
      </c>
      <c r="M10512">
        <v>49501</v>
      </c>
      <c r="N10512" t="s">
        <v>110</v>
      </c>
      <c r="O10512">
        <v>250203</v>
      </c>
      <c r="P10512">
        <v>722.02</v>
      </c>
    </row>
    <row r="10513" spans="1:16" x14ac:dyDescent="0.25">
      <c r="A10513" t="s">
        <v>3296</v>
      </c>
      <c r="B10513" t="s">
        <v>2931</v>
      </c>
      <c r="C10513">
        <v>1575</v>
      </c>
      <c r="D10513" t="str">
        <f>"360373      "</f>
        <v xml:space="preserve">360373      </v>
      </c>
      <c r="E10513" t="s">
        <v>817</v>
      </c>
      <c r="F10513" t="s">
        <v>818</v>
      </c>
      <c r="G10513">
        <v>1043.43</v>
      </c>
      <c r="H10513">
        <v>250206</v>
      </c>
      <c r="I10513">
        <v>4600</v>
      </c>
      <c r="J10513" t="s">
        <v>278</v>
      </c>
      <c r="K10513">
        <v>1043.43</v>
      </c>
      <c r="L10513">
        <v>212.01</v>
      </c>
      <c r="M10513">
        <v>49501</v>
      </c>
      <c r="N10513" t="s">
        <v>110</v>
      </c>
      <c r="O10513">
        <v>250211</v>
      </c>
      <c r="P10513">
        <v>831.42</v>
      </c>
    </row>
    <row r="10514" spans="1:16" x14ac:dyDescent="0.25">
      <c r="A10514" t="s">
        <v>3296</v>
      </c>
      <c r="B10514" t="s">
        <v>2931</v>
      </c>
      <c r="C10514">
        <v>14072</v>
      </c>
      <c r="D10514" t="str">
        <f>"370291      "</f>
        <v xml:space="preserve">370291      </v>
      </c>
      <c r="E10514" t="s">
        <v>817</v>
      </c>
      <c r="F10514" t="s">
        <v>818</v>
      </c>
      <c r="G10514">
        <v>1571.2</v>
      </c>
      <c r="H10514">
        <v>251016</v>
      </c>
      <c r="I10514">
        <v>4600</v>
      </c>
      <c r="J10514" t="s">
        <v>278</v>
      </c>
      <c r="K10514">
        <v>1571.2</v>
      </c>
      <c r="L10514">
        <v>319.25</v>
      </c>
      <c r="M10514">
        <v>49501</v>
      </c>
      <c r="N10514" t="s">
        <v>110</v>
      </c>
      <c r="O10514">
        <v>251023</v>
      </c>
      <c r="P10514">
        <v>1251.95</v>
      </c>
    </row>
    <row r="10515" spans="1:16" x14ac:dyDescent="0.25">
      <c r="A10515" t="s">
        <v>3296</v>
      </c>
      <c r="B10515" t="s">
        <v>2931</v>
      </c>
      <c r="C10515">
        <v>14694</v>
      </c>
      <c r="D10515" t="str">
        <f>"370988      "</f>
        <v xml:space="preserve">370988      </v>
      </c>
      <c r="E10515" t="s">
        <v>817</v>
      </c>
      <c r="F10515" t="s">
        <v>818</v>
      </c>
      <c r="G10515">
        <v>383.78</v>
      </c>
      <c r="H10515">
        <v>251030</v>
      </c>
      <c r="I10515">
        <v>4600</v>
      </c>
      <c r="J10515" t="s">
        <v>278</v>
      </c>
      <c r="K10515">
        <v>383.78</v>
      </c>
      <c r="L10515">
        <v>77.98</v>
      </c>
      <c r="M10515">
        <v>49501</v>
      </c>
      <c r="N10515" t="s">
        <v>110</v>
      </c>
      <c r="O10515">
        <v>251106</v>
      </c>
      <c r="P10515">
        <v>305.8</v>
      </c>
    </row>
    <row r="10516" spans="1:16" x14ac:dyDescent="0.25">
      <c r="A10516" t="s">
        <v>3296</v>
      </c>
      <c r="B10516" t="s">
        <v>2931</v>
      </c>
      <c r="C10516">
        <v>17801</v>
      </c>
      <c r="D10516" t="str">
        <f>"373824      "</f>
        <v xml:space="preserve">373824      </v>
      </c>
      <c r="E10516" t="s">
        <v>817</v>
      </c>
      <c r="F10516" t="s">
        <v>818</v>
      </c>
      <c r="G10516">
        <v>458.81</v>
      </c>
      <c r="H10516">
        <v>251223</v>
      </c>
      <c r="I10516">
        <v>4600</v>
      </c>
      <c r="J10516" t="s">
        <v>278</v>
      </c>
      <c r="K10516">
        <v>458.81</v>
      </c>
      <c r="L10516">
        <v>93.22</v>
      </c>
      <c r="M10516">
        <v>49501</v>
      </c>
      <c r="N10516" t="s">
        <v>110</v>
      </c>
      <c r="O10516">
        <v>251230</v>
      </c>
      <c r="P10516">
        <v>365.59</v>
      </c>
    </row>
    <row r="10517" spans="1:16" x14ac:dyDescent="0.25">
      <c r="A10517" t="s">
        <v>3296</v>
      </c>
      <c r="B10517" t="s">
        <v>2931</v>
      </c>
      <c r="C10517">
        <v>1213</v>
      </c>
      <c r="D10517" t="str">
        <f t="shared" ref="D10517:D10525" si="153">"256501      "</f>
        <v xml:space="preserve">256501      </v>
      </c>
      <c r="E10517" t="s">
        <v>896</v>
      </c>
      <c r="F10517" t="s">
        <v>898</v>
      </c>
      <c r="G10517">
        <v>52.53</v>
      </c>
      <c r="H10517">
        <v>250131</v>
      </c>
      <c r="I10517">
        <v>4369</v>
      </c>
      <c r="J10517" t="s">
        <v>188</v>
      </c>
      <c r="K10517">
        <v>413.62</v>
      </c>
      <c r="L10517">
        <v>10.67</v>
      </c>
      <c r="M10517">
        <v>11603</v>
      </c>
      <c r="N10517" t="s">
        <v>897</v>
      </c>
      <c r="O10517">
        <v>250205</v>
      </c>
      <c r="P10517">
        <v>41.86</v>
      </c>
    </row>
    <row r="10518" spans="1:16" x14ac:dyDescent="0.25">
      <c r="A10518" t="s">
        <v>3296</v>
      </c>
      <c r="B10518" t="s">
        <v>2931</v>
      </c>
      <c r="C10518">
        <v>1213</v>
      </c>
      <c r="D10518" t="str">
        <f t="shared" si="153"/>
        <v xml:space="preserve">256501      </v>
      </c>
      <c r="E10518" t="s">
        <v>896</v>
      </c>
      <c r="F10518" t="s">
        <v>898</v>
      </c>
      <c r="G10518">
        <v>14.43</v>
      </c>
      <c r="H10518">
        <v>250131</v>
      </c>
      <c r="I10518">
        <v>4369</v>
      </c>
      <c r="J10518" t="s">
        <v>188</v>
      </c>
      <c r="K10518">
        <v>413.62</v>
      </c>
      <c r="L10518">
        <v>2.93</v>
      </c>
      <c r="M10518">
        <v>13540</v>
      </c>
      <c r="N10518" t="s">
        <v>131</v>
      </c>
      <c r="O10518">
        <v>250205</v>
      </c>
      <c r="P10518">
        <v>11.5</v>
      </c>
    </row>
    <row r="10519" spans="1:16" x14ac:dyDescent="0.25">
      <c r="A10519" t="s">
        <v>3296</v>
      </c>
      <c r="B10519" t="s">
        <v>2931</v>
      </c>
      <c r="C10519">
        <v>1213</v>
      </c>
      <c r="D10519" t="str">
        <f t="shared" si="153"/>
        <v xml:space="preserve">256501      </v>
      </c>
      <c r="E10519" t="s">
        <v>896</v>
      </c>
      <c r="F10519" t="s">
        <v>898</v>
      </c>
      <c r="G10519">
        <v>98.38</v>
      </c>
      <c r="H10519">
        <v>250131</v>
      </c>
      <c r="I10519">
        <v>4369</v>
      </c>
      <c r="J10519" t="s">
        <v>188</v>
      </c>
      <c r="K10519">
        <v>413.62</v>
      </c>
      <c r="L10519">
        <v>19.989999999999998</v>
      </c>
      <c r="M10519">
        <v>17950</v>
      </c>
      <c r="N10519" t="s">
        <v>132</v>
      </c>
      <c r="O10519">
        <v>250205</v>
      </c>
      <c r="P10519">
        <v>78.39</v>
      </c>
    </row>
    <row r="10520" spans="1:16" x14ac:dyDescent="0.25">
      <c r="A10520" t="s">
        <v>3296</v>
      </c>
      <c r="B10520" t="s">
        <v>2931</v>
      </c>
      <c r="C10520">
        <v>1213</v>
      </c>
      <c r="D10520" t="str">
        <f t="shared" si="153"/>
        <v xml:space="preserve">256501      </v>
      </c>
      <c r="E10520" t="s">
        <v>896</v>
      </c>
      <c r="F10520" t="s">
        <v>898</v>
      </c>
      <c r="G10520">
        <v>51.78</v>
      </c>
      <c r="H10520">
        <v>250131</v>
      </c>
      <c r="I10520">
        <v>4369</v>
      </c>
      <c r="J10520" t="s">
        <v>188</v>
      </c>
      <c r="K10520">
        <v>413.62</v>
      </c>
      <c r="L10520">
        <v>10.52</v>
      </c>
      <c r="M10520">
        <v>17951</v>
      </c>
      <c r="N10520" t="s">
        <v>207</v>
      </c>
      <c r="O10520">
        <v>250205</v>
      </c>
      <c r="P10520">
        <v>41.26</v>
      </c>
    </row>
    <row r="10521" spans="1:16" x14ac:dyDescent="0.25">
      <c r="A10521" t="s">
        <v>3296</v>
      </c>
      <c r="B10521" t="s">
        <v>2931</v>
      </c>
      <c r="C10521">
        <v>1213</v>
      </c>
      <c r="D10521" t="str">
        <f t="shared" si="153"/>
        <v xml:space="preserve">256501      </v>
      </c>
      <c r="E10521" t="s">
        <v>896</v>
      </c>
      <c r="F10521" t="s">
        <v>898</v>
      </c>
      <c r="G10521">
        <v>31.18</v>
      </c>
      <c r="H10521">
        <v>250131</v>
      </c>
      <c r="I10521">
        <v>4369</v>
      </c>
      <c r="J10521" t="s">
        <v>188</v>
      </c>
      <c r="K10521">
        <v>413.62</v>
      </c>
      <c r="L10521">
        <v>6.34</v>
      </c>
      <c r="M10521">
        <v>17955</v>
      </c>
      <c r="N10521" t="s">
        <v>899</v>
      </c>
      <c r="O10521">
        <v>250205</v>
      </c>
      <c r="P10521">
        <v>24.84</v>
      </c>
    </row>
    <row r="10522" spans="1:16" x14ac:dyDescent="0.25">
      <c r="A10522" t="s">
        <v>3296</v>
      </c>
      <c r="B10522" t="s">
        <v>2931</v>
      </c>
      <c r="C10522">
        <v>1213</v>
      </c>
      <c r="D10522" t="str">
        <f t="shared" si="153"/>
        <v xml:space="preserve">256501      </v>
      </c>
      <c r="E10522" t="s">
        <v>896</v>
      </c>
      <c r="F10522" t="s">
        <v>898</v>
      </c>
      <c r="G10522">
        <v>18.36</v>
      </c>
      <c r="H10522">
        <v>250131</v>
      </c>
      <c r="I10522">
        <v>4369</v>
      </c>
      <c r="J10522" t="s">
        <v>188</v>
      </c>
      <c r="K10522">
        <v>413.62</v>
      </c>
      <c r="L10522">
        <v>3.73</v>
      </c>
      <c r="M10522">
        <v>17956</v>
      </c>
      <c r="N10522" t="s">
        <v>170</v>
      </c>
      <c r="O10522">
        <v>250205</v>
      </c>
      <c r="P10522">
        <v>14.63</v>
      </c>
    </row>
    <row r="10523" spans="1:16" x14ac:dyDescent="0.25">
      <c r="A10523" t="s">
        <v>3296</v>
      </c>
      <c r="B10523" t="s">
        <v>2931</v>
      </c>
      <c r="C10523">
        <v>1213</v>
      </c>
      <c r="D10523" t="str">
        <f t="shared" si="153"/>
        <v xml:space="preserve">256501      </v>
      </c>
      <c r="E10523" t="s">
        <v>896</v>
      </c>
      <c r="F10523" t="s">
        <v>898</v>
      </c>
      <c r="G10523">
        <v>86.58</v>
      </c>
      <c r="H10523">
        <v>250131</v>
      </c>
      <c r="I10523">
        <v>4369</v>
      </c>
      <c r="J10523" t="s">
        <v>188</v>
      </c>
      <c r="K10523">
        <v>413.62</v>
      </c>
      <c r="L10523">
        <v>17.59</v>
      </c>
      <c r="M10523">
        <v>17956</v>
      </c>
      <c r="N10523" t="s">
        <v>170</v>
      </c>
      <c r="O10523">
        <v>250205</v>
      </c>
      <c r="P10523">
        <v>68.989999999999995</v>
      </c>
    </row>
    <row r="10524" spans="1:16" x14ac:dyDescent="0.25">
      <c r="A10524" t="s">
        <v>3296</v>
      </c>
      <c r="B10524" t="s">
        <v>2931</v>
      </c>
      <c r="C10524">
        <v>1213</v>
      </c>
      <c r="D10524" t="str">
        <f t="shared" si="153"/>
        <v xml:space="preserve">256501      </v>
      </c>
      <c r="E10524" t="s">
        <v>896</v>
      </c>
      <c r="F10524" t="s">
        <v>898</v>
      </c>
      <c r="G10524">
        <v>20</v>
      </c>
      <c r="H10524">
        <v>250131</v>
      </c>
      <c r="I10524">
        <v>4369</v>
      </c>
      <c r="J10524" t="s">
        <v>188</v>
      </c>
      <c r="K10524">
        <v>413.62</v>
      </c>
      <c r="L10524">
        <v>4.0599999999999996</v>
      </c>
      <c r="M10524">
        <v>17971</v>
      </c>
      <c r="N10524" t="s">
        <v>27</v>
      </c>
      <c r="O10524">
        <v>250205</v>
      </c>
      <c r="P10524">
        <v>15.94</v>
      </c>
    </row>
    <row r="10525" spans="1:16" x14ac:dyDescent="0.25">
      <c r="A10525" t="s">
        <v>3296</v>
      </c>
      <c r="B10525" t="s">
        <v>2931</v>
      </c>
      <c r="C10525">
        <v>1213</v>
      </c>
      <c r="D10525" t="str">
        <f t="shared" si="153"/>
        <v xml:space="preserve">256501      </v>
      </c>
      <c r="E10525" t="s">
        <v>896</v>
      </c>
      <c r="F10525" t="s">
        <v>898</v>
      </c>
      <c r="G10525">
        <v>40.380000000000003</v>
      </c>
      <c r="H10525">
        <v>250131</v>
      </c>
      <c r="I10525">
        <v>4369</v>
      </c>
      <c r="J10525" t="s">
        <v>188</v>
      </c>
      <c r="K10525">
        <v>413.62</v>
      </c>
      <c r="L10525">
        <v>8.1999999999999993</v>
      </c>
      <c r="M10525">
        <v>17972</v>
      </c>
      <c r="N10525" t="s">
        <v>28</v>
      </c>
      <c r="O10525">
        <v>250205</v>
      </c>
      <c r="P10525">
        <v>32.18</v>
      </c>
    </row>
    <row r="10526" spans="1:16" x14ac:dyDescent="0.25">
      <c r="A10526" t="s">
        <v>3296</v>
      </c>
      <c r="B10526" t="s">
        <v>2931</v>
      </c>
      <c r="C10526">
        <v>3332</v>
      </c>
      <c r="D10526" t="str">
        <f t="shared" ref="D10526:D10534" si="154">"260073      "</f>
        <v xml:space="preserve">260073      </v>
      </c>
      <c r="E10526" t="s">
        <v>896</v>
      </c>
      <c r="F10526" t="s">
        <v>898</v>
      </c>
      <c r="G10526">
        <v>52.53</v>
      </c>
      <c r="H10526">
        <v>250228</v>
      </c>
      <c r="I10526">
        <v>4369</v>
      </c>
      <c r="J10526" t="s">
        <v>188</v>
      </c>
      <c r="K10526">
        <v>412.99</v>
      </c>
      <c r="L10526">
        <v>10.67</v>
      </c>
      <c r="M10526">
        <v>11603</v>
      </c>
      <c r="N10526" t="s">
        <v>897</v>
      </c>
      <c r="O10526">
        <v>250318</v>
      </c>
      <c r="P10526">
        <v>41.86</v>
      </c>
    </row>
    <row r="10527" spans="1:16" x14ac:dyDescent="0.25">
      <c r="A10527" t="s">
        <v>3296</v>
      </c>
      <c r="B10527" t="s">
        <v>2931</v>
      </c>
      <c r="C10527">
        <v>3332</v>
      </c>
      <c r="D10527" t="str">
        <f t="shared" si="154"/>
        <v xml:space="preserve">260073      </v>
      </c>
      <c r="E10527" t="s">
        <v>896</v>
      </c>
      <c r="F10527" t="s">
        <v>898</v>
      </c>
      <c r="G10527">
        <v>14.36</v>
      </c>
      <c r="H10527">
        <v>250228</v>
      </c>
      <c r="I10527">
        <v>4369</v>
      </c>
      <c r="J10527" t="s">
        <v>188</v>
      </c>
      <c r="K10527">
        <v>412.99</v>
      </c>
      <c r="L10527">
        <v>2.92</v>
      </c>
      <c r="M10527">
        <v>13540</v>
      </c>
      <c r="N10527" t="s">
        <v>131</v>
      </c>
      <c r="O10527">
        <v>250318</v>
      </c>
      <c r="P10527">
        <v>11.44</v>
      </c>
    </row>
    <row r="10528" spans="1:16" x14ac:dyDescent="0.25">
      <c r="A10528" t="s">
        <v>3296</v>
      </c>
      <c r="B10528" t="s">
        <v>2931</v>
      </c>
      <c r="C10528">
        <v>3332</v>
      </c>
      <c r="D10528" t="str">
        <f t="shared" si="154"/>
        <v xml:space="preserve">260073      </v>
      </c>
      <c r="E10528" t="s">
        <v>896</v>
      </c>
      <c r="F10528" t="s">
        <v>898</v>
      </c>
      <c r="G10528">
        <v>97.9</v>
      </c>
      <c r="H10528">
        <v>250228</v>
      </c>
      <c r="I10528">
        <v>4369</v>
      </c>
      <c r="J10528" t="s">
        <v>188</v>
      </c>
      <c r="K10528">
        <v>412.99</v>
      </c>
      <c r="L10528">
        <v>19.89</v>
      </c>
      <c r="M10528">
        <v>17950</v>
      </c>
      <c r="N10528" t="s">
        <v>132</v>
      </c>
      <c r="O10528">
        <v>250318</v>
      </c>
      <c r="P10528">
        <v>78.010000000000005</v>
      </c>
    </row>
    <row r="10529" spans="1:16" x14ac:dyDescent="0.25">
      <c r="A10529" t="s">
        <v>3296</v>
      </c>
      <c r="B10529" t="s">
        <v>2931</v>
      </c>
      <c r="C10529">
        <v>3332</v>
      </c>
      <c r="D10529" t="str">
        <f t="shared" si="154"/>
        <v xml:space="preserve">260073      </v>
      </c>
      <c r="E10529" t="s">
        <v>896</v>
      </c>
      <c r="F10529" t="s">
        <v>898</v>
      </c>
      <c r="G10529">
        <v>51.78</v>
      </c>
      <c r="H10529">
        <v>250228</v>
      </c>
      <c r="I10529">
        <v>4369</v>
      </c>
      <c r="J10529" t="s">
        <v>188</v>
      </c>
      <c r="K10529">
        <v>412.99</v>
      </c>
      <c r="L10529">
        <v>10.52</v>
      </c>
      <c r="M10529">
        <v>17951</v>
      </c>
      <c r="N10529" t="s">
        <v>207</v>
      </c>
      <c r="O10529">
        <v>250318</v>
      </c>
      <c r="P10529">
        <v>41.26</v>
      </c>
    </row>
    <row r="10530" spans="1:16" x14ac:dyDescent="0.25">
      <c r="A10530" t="s">
        <v>3296</v>
      </c>
      <c r="B10530" t="s">
        <v>2931</v>
      </c>
      <c r="C10530">
        <v>3332</v>
      </c>
      <c r="D10530" t="str">
        <f t="shared" si="154"/>
        <v xml:space="preserve">260073      </v>
      </c>
      <c r="E10530" t="s">
        <v>896</v>
      </c>
      <c r="F10530" t="s">
        <v>898</v>
      </c>
      <c r="G10530">
        <v>31.18</v>
      </c>
      <c r="H10530">
        <v>250228</v>
      </c>
      <c r="I10530">
        <v>4369</v>
      </c>
      <c r="J10530" t="s">
        <v>188</v>
      </c>
      <c r="K10530">
        <v>412.99</v>
      </c>
      <c r="L10530">
        <v>6.34</v>
      </c>
      <c r="M10530">
        <v>17955</v>
      </c>
      <c r="N10530" t="s">
        <v>899</v>
      </c>
      <c r="O10530">
        <v>250318</v>
      </c>
      <c r="P10530">
        <v>24.84</v>
      </c>
    </row>
    <row r="10531" spans="1:16" x14ac:dyDescent="0.25">
      <c r="A10531" t="s">
        <v>3296</v>
      </c>
      <c r="B10531" t="s">
        <v>2931</v>
      </c>
      <c r="C10531">
        <v>3332</v>
      </c>
      <c r="D10531" t="str">
        <f t="shared" si="154"/>
        <v xml:space="preserve">260073      </v>
      </c>
      <c r="E10531" t="s">
        <v>896</v>
      </c>
      <c r="F10531" t="s">
        <v>898</v>
      </c>
      <c r="G10531">
        <v>18.28</v>
      </c>
      <c r="H10531">
        <v>250228</v>
      </c>
      <c r="I10531">
        <v>4369</v>
      </c>
      <c r="J10531" t="s">
        <v>188</v>
      </c>
      <c r="K10531">
        <v>412.99</v>
      </c>
      <c r="L10531">
        <v>3.71</v>
      </c>
      <c r="M10531">
        <v>17956</v>
      </c>
      <c r="N10531" t="s">
        <v>170</v>
      </c>
      <c r="O10531">
        <v>250318</v>
      </c>
      <c r="P10531">
        <v>14.57</v>
      </c>
    </row>
    <row r="10532" spans="1:16" x14ac:dyDescent="0.25">
      <c r="A10532" t="s">
        <v>3296</v>
      </c>
      <c r="B10532" t="s">
        <v>2931</v>
      </c>
      <c r="C10532">
        <v>3332</v>
      </c>
      <c r="D10532" t="str">
        <f t="shared" si="154"/>
        <v xml:space="preserve">260073      </v>
      </c>
      <c r="E10532" t="s">
        <v>896</v>
      </c>
      <c r="F10532" t="s">
        <v>898</v>
      </c>
      <c r="G10532">
        <v>86.58</v>
      </c>
      <c r="H10532">
        <v>250228</v>
      </c>
      <c r="I10532">
        <v>4369</v>
      </c>
      <c r="J10532" t="s">
        <v>188</v>
      </c>
      <c r="K10532">
        <v>412.99</v>
      </c>
      <c r="L10532">
        <v>17.59</v>
      </c>
      <c r="M10532">
        <v>17956</v>
      </c>
      <c r="N10532" t="s">
        <v>170</v>
      </c>
      <c r="O10532">
        <v>250318</v>
      </c>
      <c r="P10532">
        <v>68.989999999999995</v>
      </c>
    </row>
    <row r="10533" spans="1:16" x14ac:dyDescent="0.25">
      <c r="A10533" t="s">
        <v>3296</v>
      </c>
      <c r="B10533" t="s">
        <v>2931</v>
      </c>
      <c r="C10533">
        <v>3332</v>
      </c>
      <c r="D10533" t="str">
        <f t="shared" si="154"/>
        <v xml:space="preserve">260073      </v>
      </c>
      <c r="E10533" t="s">
        <v>896</v>
      </c>
      <c r="F10533" t="s">
        <v>898</v>
      </c>
      <c r="G10533">
        <v>20</v>
      </c>
      <c r="H10533">
        <v>250228</v>
      </c>
      <c r="I10533">
        <v>4369</v>
      </c>
      <c r="J10533" t="s">
        <v>188</v>
      </c>
      <c r="K10533">
        <v>412.99</v>
      </c>
      <c r="L10533">
        <v>4.0599999999999996</v>
      </c>
      <c r="M10533">
        <v>17971</v>
      </c>
      <c r="N10533" t="s">
        <v>27</v>
      </c>
      <c r="O10533">
        <v>250318</v>
      </c>
      <c r="P10533">
        <v>15.94</v>
      </c>
    </row>
    <row r="10534" spans="1:16" x14ac:dyDescent="0.25">
      <c r="A10534" t="s">
        <v>3296</v>
      </c>
      <c r="B10534" t="s">
        <v>2931</v>
      </c>
      <c r="C10534">
        <v>3332</v>
      </c>
      <c r="D10534" t="str">
        <f t="shared" si="154"/>
        <v xml:space="preserve">260073      </v>
      </c>
      <c r="E10534" t="s">
        <v>896</v>
      </c>
      <c r="F10534" t="s">
        <v>898</v>
      </c>
      <c r="G10534">
        <v>40.380000000000003</v>
      </c>
      <c r="H10534">
        <v>250228</v>
      </c>
      <c r="I10534">
        <v>4369</v>
      </c>
      <c r="J10534" t="s">
        <v>188</v>
      </c>
      <c r="K10534">
        <v>412.99</v>
      </c>
      <c r="L10534">
        <v>8.1999999999999993</v>
      </c>
      <c r="M10534">
        <v>17971</v>
      </c>
      <c r="N10534" t="s">
        <v>27</v>
      </c>
      <c r="O10534">
        <v>250318</v>
      </c>
      <c r="P10534">
        <v>32.18</v>
      </c>
    </row>
    <row r="10535" spans="1:16" x14ac:dyDescent="0.25">
      <c r="A10535" t="s">
        <v>3296</v>
      </c>
      <c r="B10535" t="s">
        <v>2931</v>
      </c>
      <c r="C10535">
        <v>4817</v>
      </c>
      <c r="D10535" t="str">
        <f t="shared" ref="D10535:D10543" si="155">"263782      "</f>
        <v xml:space="preserve">263782      </v>
      </c>
      <c r="E10535" t="s">
        <v>896</v>
      </c>
      <c r="F10535" t="s">
        <v>898</v>
      </c>
      <c r="G10535">
        <v>52.53</v>
      </c>
      <c r="H10535">
        <v>250331</v>
      </c>
      <c r="I10535">
        <v>4369</v>
      </c>
      <c r="J10535" t="s">
        <v>188</v>
      </c>
      <c r="K10535">
        <v>413.38</v>
      </c>
      <c r="L10535">
        <v>10.67</v>
      </c>
      <c r="M10535">
        <v>11603</v>
      </c>
      <c r="N10535" t="s">
        <v>897</v>
      </c>
      <c r="O10535">
        <v>250415</v>
      </c>
      <c r="P10535">
        <v>41.86</v>
      </c>
    </row>
    <row r="10536" spans="1:16" x14ac:dyDescent="0.25">
      <c r="A10536" t="s">
        <v>3296</v>
      </c>
      <c r="B10536" t="s">
        <v>2931</v>
      </c>
      <c r="C10536">
        <v>4817</v>
      </c>
      <c r="D10536" t="str">
        <f t="shared" si="155"/>
        <v xml:space="preserve">263782      </v>
      </c>
      <c r="E10536" t="s">
        <v>896</v>
      </c>
      <c r="F10536" t="s">
        <v>898</v>
      </c>
      <c r="G10536">
        <v>14.4</v>
      </c>
      <c r="H10536">
        <v>250331</v>
      </c>
      <c r="I10536">
        <v>4369</v>
      </c>
      <c r="J10536" t="s">
        <v>188</v>
      </c>
      <c r="K10536">
        <v>413.38</v>
      </c>
      <c r="L10536">
        <v>2.93</v>
      </c>
      <c r="M10536">
        <v>13540</v>
      </c>
      <c r="N10536" t="s">
        <v>131</v>
      </c>
      <c r="O10536">
        <v>250415</v>
      </c>
      <c r="P10536">
        <v>11.47</v>
      </c>
    </row>
    <row r="10537" spans="1:16" x14ac:dyDescent="0.25">
      <c r="A10537" t="s">
        <v>3296</v>
      </c>
      <c r="B10537" t="s">
        <v>2931</v>
      </c>
      <c r="C10537">
        <v>4817</v>
      </c>
      <c r="D10537" t="str">
        <f t="shared" si="155"/>
        <v xml:space="preserve">263782      </v>
      </c>
      <c r="E10537" t="s">
        <v>896</v>
      </c>
      <c r="F10537" t="s">
        <v>898</v>
      </c>
      <c r="G10537">
        <v>98.2</v>
      </c>
      <c r="H10537">
        <v>250331</v>
      </c>
      <c r="I10537">
        <v>4369</v>
      </c>
      <c r="J10537" t="s">
        <v>188</v>
      </c>
      <c r="K10537">
        <v>413.38</v>
      </c>
      <c r="L10537">
        <v>19.95</v>
      </c>
      <c r="M10537">
        <v>17950</v>
      </c>
      <c r="N10537" t="s">
        <v>132</v>
      </c>
      <c r="O10537">
        <v>250415</v>
      </c>
      <c r="P10537">
        <v>78.25</v>
      </c>
    </row>
    <row r="10538" spans="1:16" x14ac:dyDescent="0.25">
      <c r="A10538" t="s">
        <v>3296</v>
      </c>
      <c r="B10538" t="s">
        <v>2931</v>
      </c>
      <c r="C10538">
        <v>4817</v>
      </c>
      <c r="D10538" t="str">
        <f t="shared" si="155"/>
        <v xml:space="preserve">263782      </v>
      </c>
      <c r="E10538" t="s">
        <v>896</v>
      </c>
      <c r="F10538" t="s">
        <v>898</v>
      </c>
      <c r="G10538">
        <v>51.78</v>
      </c>
      <c r="H10538">
        <v>250331</v>
      </c>
      <c r="I10538">
        <v>4369</v>
      </c>
      <c r="J10538" t="s">
        <v>188</v>
      </c>
      <c r="K10538">
        <v>413.38</v>
      </c>
      <c r="L10538">
        <v>10.52</v>
      </c>
      <c r="M10538">
        <v>17951</v>
      </c>
      <c r="N10538" t="s">
        <v>207</v>
      </c>
      <c r="O10538">
        <v>250415</v>
      </c>
      <c r="P10538">
        <v>41.26</v>
      </c>
    </row>
    <row r="10539" spans="1:16" x14ac:dyDescent="0.25">
      <c r="A10539" t="s">
        <v>3296</v>
      </c>
      <c r="B10539" t="s">
        <v>2931</v>
      </c>
      <c r="C10539">
        <v>4817</v>
      </c>
      <c r="D10539" t="str">
        <f t="shared" si="155"/>
        <v xml:space="preserve">263782      </v>
      </c>
      <c r="E10539" t="s">
        <v>896</v>
      </c>
      <c r="F10539" t="s">
        <v>898</v>
      </c>
      <c r="G10539">
        <v>31.18</v>
      </c>
      <c r="H10539">
        <v>250331</v>
      </c>
      <c r="I10539">
        <v>4369</v>
      </c>
      <c r="J10539" t="s">
        <v>188</v>
      </c>
      <c r="K10539">
        <v>413.38</v>
      </c>
      <c r="L10539">
        <v>6.34</v>
      </c>
      <c r="M10539">
        <v>17955</v>
      </c>
      <c r="N10539" t="s">
        <v>899</v>
      </c>
      <c r="O10539">
        <v>250415</v>
      </c>
      <c r="P10539">
        <v>24.84</v>
      </c>
    </row>
    <row r="10540" spans="1:16" x14ac:dyDescent="0.25">
      <c r="A10540" t="s">
        <v>3296</v>
      </c>
      <c r="B10540" t="s">
        <v>2931</v>
      </c>
      <c r="C10540">
        <v>4817</v>
      </c>
      <c r="D10540" t="str">
        <f t="shared" si="155"/>
        <v xml:space="preserve">263782      </v>
      </c>
      <c r="E10540" t="s">
        <v>896</v>
      </c>
      <c r="F10540" t="s">
        <v>898</v>
      </c>
      <c r="G10540">
        <v>18.329999999999998</v>
      </c>
      <c r="H10540">
        <v>250331</v>
      </c>
      <c r="I10540">
        <v>4369</v>
      </c>
      <c r="J10540" t="s">
        <v>188</v>
      </c>
      <c r="K10540">
        <v>413.38</v>
      </c>
      <c r="L10540">
        <v>3.72</v>
      </c>
      <c r="M10540">
        <v>17956</v>
      </c>
      <c r="N10540" t="s">
        <v>170</v>
      </c>
      <c r="O10540">
        <v>250415</v>
      </c>
      <c r="P10540">
        <v>14.61</v>
      </c>
    </row>
    <row r="10541" spans="1:16" x14ac:dyDescent="0.25">
      <c r="A10541" t="s">
        <v>3296</v>
      </c>
      <c r="B10541" t="s">
        <v>2931</v>
      </c>
      <c r="C10541">
        <v>4817</v>
      </c>
      <c r="D10541" t="str">
        <f t="shared" si="155"/>
        <v xml:space="preserve">263782      </v>
      </c>
      <c r="E10541" t="s">
        <v>896</v>
      </c>
      <c r="F10541" t="s">
        <v>898</v>
      </c>
      <c r="G10541">
        <v>86.58</v>
      </c>
      <c r="H10541">
        <v>250331</v>
      </c>
      <c r="I10541">
        <v>4369</v>
      </c>
      <c r="J10541" t="s">
        <v>188</v>
      </c>
      <c r="K10541">
        <v>413.38</v>
      </c>
      <c r="L10541">
        <v>17.59</v>
      </c>
      <c r="M10541">
        <v>17956</v>
      </c>
      <c r="N10541" t="s">
        <v>170</v>
      </c>
      <c r="O10541">
        <v>250415</v>
      </c>
      <c r="P10541">
        <v>68.989999999999995</v>
      </c>
    </row>
    <row r="10542" spans="1:16" x14ac:dyDescent="0.25">
      <c r="A10542" t="s">
        <v>3296</v>
      </c>
      <c r="B10542" t="s">
        <v>2931</v>
      </c>
      <c r="C10542">
        <v>4817</v>
      </c>
      <c r="D10542" t="str">
        <f t="shared" si="155"/>
        <v xml:space="preserve">263782      </v>
      </c>
      <c r="E10542" t="s">
        <v>896</v>
      </c>
      <c r="F10542" t="s">
        <v>898</v>
      </c>
      <c r="G10542">
        <v>20</v>
      </c>
      <c r="H10542">
        <v>250331</v>
      </c>
      <c r="I10542">
        <v>4369</v>
      </c>
      <c r="J10542" t="s">
        <v>188</v>
      </c>
      <c r="K10542">
        <v>413.38</v>
      </c>
      <c r="L10542">
        <v>4.0599999999999996</v>
      </c>
      <c r="M10542">
        <v>17971</v>
      </c>
      <c r="N10542" t="s">
        <v>27</v>
      </c>
      <c r="O10542">
        <v>250415</v>
      </c>
      <c r="P10542">
        <v>15.94</v>
      </c>
    </row>
    <row r="10543" spans="1:16" x14ac:dyDescent="0.25">
      <c r="A10543" t="s">
        <v>3296</v>
      </c>
      <c r="B10543" t="s">
        <v>2931</v>
      </c>
      <c r="C10543">
        <v>4817</v>
      </c>
      <c r="D10543" t="str">
        <f t="shared" si="155"/>
        <v xml:space="preserve">263782      </v>
      </c>
      <c r="E10543" t="s">
        <v>896</v>
      </c>
      <c r="F10543" t="s">
        <v>898</v>
      </c>
      <c r="G10543">
        <v>40.380000000000003</v>
      </c>
      <c r="H10543">
        <v>250331</v>
      </c>
      <c r="I10543">
        <v>4369</v>
      </c>
      <c r="J10543" t="s">
        <v>188</v>
      </c>
      <c r="K10543">
        <v>413.38</v>
      </c>
      <c r="L10543">
        <v>8.1999999999999993</v>
      </c>
      <c r="M10543">
        <v>17972</v>
      </c>
      <c r="N10543" t="s">
        <v>28</v>
      </c>
      <c r="O10543">
        <v>250415</v>
      </c>
      <c r="P10543">
        <v>32.18</v>
      </c>
    </row>
    <row r="10544" spans="1:16" x14ac:dyDescent="0.25">
      <c r="A10544" t="s">
        <v>3296</v>
      </c>
      <c r="B10544" t="s">
        <v>2931</v>
      </c>
      <c r="C10544">
        <v>6292</v>
      </c>
      <c r="D10544" t="str">
        <f t="shared" ref="D10544:D10552" si="156">"267247      "</f>
        <v xml:space="preserve">267247      </v>
      </c>
      <c r="E10544" t="s">
        <v>896</v>
      </c>
      <c r="F10544" t="s">
        <v>898</v>
      </c>
      <c r="G10544">
        <v>52.53</v>
      </c>
      <c r="H10544">
        <v>250430</v>
      </c>
      <c r="I10544">
        <v>4369</v>
      </c>
      <c r="J10544" t="s">
        <v>188</v>
      </c>
      <c r="K10544">
        <v>414.73</v>
      </c>
      <c r="L10544">
        <v>10.67</v>
      </c>
      <c r="M10544">
        <v>11603</v>
      </c>
      <c r="N10544" t="s">
        <v>897</v>
      </c>
      <c r="O10544">
        <v>250512</v>
      </c>
      <c r="P10544">
        <v>41.86</v>
      </c>
    </row>
    <row r="10545" spans="1:16" x14ac:dyDescent="0.25">
      <c r="A10545" t="s">
        <v>3296</v>
      </c>
      <c r="B10545" t="s">
        <v>2931</v>
      </c>
      <c r="C10545">
        <v>6292</v>
      </c>
      <c r="D10545" t="str">
        <f t="shared" si="156"/>
        <v xml:space="preserve">267247      </v>
      </c>
      <c r="E10545" t="s">
        <v>896</v>
      </c>
      <c r="F10545" t="s">
        <v>898</v>
      </c>
      <c r="G10545">
        <v>14.55</v>
      </c>
      <c r="H10545">
        <v>250430</v>
      </c>
      <c r="I10545">
        <v>4369</v>
      </c>
      <c r="J10545" t="s">
        <v>188</v>
      </c>
      <c r="K10545">
        <v>414.73</v>
      </c>
      <c r="L10545">
        <v>2.96</v>
      </c>
      <c r="M10545">
        <v>13540</v>
      </c>
      <c r="N10545" t="s">
        <v>131</v>
      </c>
      <c r="O10545">
        <v>250512</v>
      </c>
      <c r="P10545">
        <v>11.59</v>
      </c>
    </row>
    <row r="10546" spans="1:16" x14ac:dyDescent="0.25">
      <c r="A10546" t="s">
        <v>3296</v>
      </c>
      <c r="B10546" t="s">
        <v>2931</v>
      </c>
      <c r="C10546">
        <v>6292</v>
      </c>
      <c r="D10546" t="str">
        <f t="shared" si="156"/>
        <v xml:space="preserve">267247      </v>
      </c>
      <c r="E10546" t="s">
        <v>896</v>
      </c>
      <c r="F10546" t="s">
        <v>898</v>
      </c>
      <c r="G10546">
        <v>99.21</v>
      </c>
      <c r="H10546">
        <v>250430</v>
      </c>
      <c r="I10546">
        <v>4369</v>
      </c>
      <c r="J10546" t="s">
        <v>188</v>
      </c>
      <c r="K10546">
        <v>414.73</v>
      </c>
      <c r="L10546">
        <v>20.16</v>
      </c>
      <c r="M10546">
        <v>17950</v>
      </c>
      <c r="N10546" t="s">
        <v>132</v>
      </c>
      <c r="O10546">
        <v>250512</v>
      </c>
      <c r="P10546">
        <v>79.05</v>
      </c>
    </row>
    <row r="10547" spans="1:16" x14ac:dyDescent="0.25">
      <c r="A10547" t="s">
        <v>3296</v>
      </c>
      <c r="B10547" t="s">
        <v>2931</v>
      </c>
      <c r="C10547">
        <v>6292</v>
      </c>
      <c r="D10547" t="str">
        <f t="shared" si="156"/>
        <v xml:space="preserve">267247      </v>
      </c>
      <c r="E10547" t="s">
        <v>896</v>
      </c>
      <c r="F10547" t="s">
        <v>898</v>
      </c>
      <c r="G10547">
        <v>51.78</v>
      </c>
      <c r="H10547">
        <v>250430</v>
      </c>
      <c r="I10547">
        <v>4369</v>
      </c>
      <c r="J10547" t="s">
        <v>188</v>
      </c>
      <c r="K10547">
        <v>414.73</v>
      </c>
      <c r="L10547">
        <v>10.52</v>
      </c>
      <c r="M10547">
        <v>17951</v>
      </c>
      <c r="N10547" t="s">
        <v>207</v>
      </c>
      <c r="O10547">
        <v>250512</v>
      </c>
      <c r="P10547">
        <v>41.26</v>
      </c>
    </row>
    <row r="10548" spans="1:16" x14ac:dyDescent="0.25">
      <c r="A10548" t="s">
        <v>3296</v>
      </c>
      <c r="B10548" t="s">
        <v>2931</v>
      </c>
      <c r="C10548">
        <v>6292</v>
      </c>
      <c r="D10548" t="str">
        <f t="shared" si="156"/>
        <v xml:space="preserve">267247      </v>
      </c>
      <c r="E10548" t="s">
        <v>896</v>
      </c>
      <c r="F10548" t="s">
        <v>898</v>
      </c>
      <c r="G10548">
        <v>31.18</v>
      </c>
      <c r="H10548">
        <v>250430</v>
      </c>
      <c r="I10548">
        <v>4369</v>
      </c>
      <c r="J10548" t="s">
        <v>188</v>
      </c>
      <c r="K10548">
        <v>414.73</v>
      </c>
      <c r="L10548">
        <v>6.34</v>
      </c>
      <c r="M10548">
        <v>17955</v>
      </c>
      <c r="N10548" t="s">
        <v>899</v>
      </c>
      <c r="O10548">
        <v>250512</v>
      </c>
      <c r="P10548">
        <v>24.84</v>
      </c>
    </row>
    <row r="10549" spans="1:16" x14ac:dyDescent="0.25">
      <c r="A10549" t="s">
        <v>3296</v>
      </c>
      <c r="B10549" t="s">
        <v>2931</v>
      </c>
      <c r="C10549">
        <v>6292</v>
      </c>
      <c r="D10549" t="str">
        <f t="shared" si="156"/>
        <v xml:space="preserve">267247      </v>
      </c>
      <c r="E10549" t="s">
        <v>896</v>
      </c>
      <c r="F10549" t="s">
        <v>898</v>
      </c>
      <c r="G10549">
        <v>18.52</v>
      </c>
      <c r="H10549">
        <v>250430</v>
      </c>
      <c r="I10549">
        <v>4369</v>
      </c>
      <c r="J10549" t="s">
        <v>188</v>
      </c>
      <c r="K10549">
        <v>414.73</v>
      </c>
      <c r="L10549">
        <v>3.76</v>
      </c>
      <c r="M10549">
        <v>17956</v>
      </c>
      <c r="N10549" t="s">
        <v>170</v>
      </c>
      <c r="O10549">
        <v>250512</v>
      </c>
      <c r="P10549">
        <v>14.76</v>
      </c>
    </row>
    <row r="10550" spans="1:16" x14ac:dyDescent="0.25">
      <c r="A10550" t="s">
        <v>3296</v>
      </c>
      <c r="B10550" t="s">
        <v>2931</v>
      </c>
      <c r="C10550">
        <v>6292</v>
      </c>
      <c r="D10550" t="str">
        <f t="shared" si="156"/>
        <v xml:space="preserve">267247      </v>
      </c>
      <c r="E10550" t="s">
        <v>896</v>
      </c>
      <c r="F10550" t="s">
        <v>898</v>
      </c>
      <c r="G10550">
        <v>86.58</v>
      </c>
      <c r="H10550">
        <v>250430</v>
      </c>
      <c r="I10550">
        <v>4369</v>
      </c>
      <c r="J10550" t="s">
        <v>188</v>
      </c>
      <c r="K10550">
        <v>414.73</v>
      </c>
      <c r="L10550">
        <v>17.59</v>
      </c>
      <c r="M10550">
        <v>17956</v>
      </c>
      <c r="N10550" t="s">
        <v>170</v>
      </c>
      <c r="O10550">
        <v>250512</v>
      </c>
      <c r="P10550">
        <v>68.989999999999995</v>
      </c>
    </row>
    <row r="10551" spans="1:16" x14ac:dyDescent="0.25">
      <c r="A10551" t="s">
        <v>3296</v>
      </c>
      <c r="B10551" t="s">
        <v>2931</v>
      </c>
      <c r="C10551">
        <v>6292</v>
      </c>
      <c r="D10551" t="str">
        <f t="shared" si="156"/>
        <v xml:space="preserve">267247      </v>
      </c>
      <c r="E10551" t="s">
        <v>896</v>
      </c>
      <c r="F10551" t="s">
        <v>898</v>
      </c>
      <c r="G10551">
        <v>20</v>
      </c>
      <c r="H10551">
        <v>250430</v>
      </c>
      <c r="I10551">
        <v>4369</v>
      </c>
      <c r="J10551" t="s">
        <v>188</v>
      </c>
      <c r="K10551">
        <v>414.73</v>
      </c>
      <c r="L10551">
        <v>4.0599999999999996</v>
      </c>
      <c r="M10551">
        <v>17971</v>
      </c>
      <c r="N10551" t="s">
        <v>27</v>
      </c>
      <c r="O10551">
        <v>250512</v>
      </c>
      <c r="P10551">
        <v>15.94</v>
      </c>
    </row>
    <row r="10552" spans="1:16" x14ac:dyDescent="0.25">
      <c r="A10552" t="s">
        <v>3296</v>
      </c>
      <c r="B10552" t="s">
        <v>2931</v>
      </c>
      <c r="C10552">
        <v>6292</v>
      </c>
      <c r="D10552" t="str">
        <f t="shared" si="156"/>
        <v xml:space="preserve">267247      </v>
      </c>
      <c r="E10552" t="s">
        <v>896</v>
      </c>
      <c r="F10552" t="s">
        <v>898</v>
      </c>
      <c r="G10552">
        <v>40.380000000000003</v>
      </c>
      <c r="H10552">
        <v>250430</v>
      </c>
      <c r="I10552">
        <v>4369</v>
      </c>
      <c r="J10552" t="s">
        <v>188</v>
      </c>
      <c r="K10552">
        <v>414.73</v>
      </c>
      <c r="L10552">
        <v>8.1999999999999993</v>
      </c>
      <c r="M10552">
        <v>17971</v>
      </c>
      <c r="N10552" t="s">
        <v>27</v>
      </c>
      <c r="O10552">
        <v>250512</v>
      </c>
      <c r="P10552">
        <v>32.18</v>
      </c>
    </row>
    <row r="10553" spans="1:16" x14ac:dyDescent="0.25">
      <c r="A10553" t="s">
        <v>3296</v>
      </c>
      <c r="B10553" t="s">
        <v>2931</v>
      </c>
      <c r="C10553">
        <v>8351</v>
      </c>
      <c r="D10553" t="str">
        <f t="shared" ref="D10553:D10561" si="157">"270875      "</f>
        <v xml:space="preserve">270875      </v>
      </c>
      <c r="E10553" t="s">
        <v>896</v>
      </c>
      <c r="F10553" t="s">
        <v>898</v>
      </c>
      <c r="G10553">
        <v>14.53</v>
      </c>
      <c r="H10553">
        <v>250531</v>
      </c>
      <c r="I10553">
        <v>4369</v>
      </c>
      <c r="J10553" t="s">
        <v>188</v>
      </c>
      <c r="K10553">
        <v>414.51</v>
      </c>
      <c r="L10553">
        <v>2.95</v>
      </c>
      <c r="M10553">
        <v>13540</v>
      </c>
      <c r="N10553" t="s">
        <v>131</v>
      </c>
      <c r="O10553">
        <v>250613</v>
      </c>
      <c r="P10553">
        <v>11.58</v>
      </c>
    </row>
    <row r="10554" spans="1:16" x14ac:dyDescent="0.25">
      <c r="A10554" t="s">
        <v>3296</v>
      </c>
      <c r="B10554" t="s">
        <v>2931</v>
      </c>
      <c r="C10554">
        <v>8351</v>
      </c>
      <c r="D10554" t="str">
        <f t="shared" si="157"/>
        <v xml:space="preserve">270875      </v>
      </c>
      <c r="E10554" t="s">
        <v>896</v>
      </c>
      <c r="F10554" t="s">
        <v>898</v>
      </c>
      <c r="G10554">
        <v>99.04</v>
      </c>
      <c r="H10554">
        <v>250531</v>
      </c>
      <c r="I10554">
        <v>4369</v>
      </c>
      <c r="J10554" t="s">
        <v>188</v>
      </c>
      <c r="K10554">
        <v>414.51</v>
      </c>
      <c r="L10554">
        <v>20.12</v>
      </c>
      <c r="M10554">
        <v>17950</v>
      </c>
      <c r="N10554" t="s">
        <v>132</v>
      </c>
      <c r="O10554">
        <v>250613</v>
      </c>
      <c r="P10554">
        <v>78.92</v>
      </c>
    </row>
    <row r="10555" spans="1:16" x14ac:dyDescent="0.25">
      <c r="A10555" t="s">
        <v>3296</v>
      </c>
      <c r="B10555" t="s">
        <v>2931</v>
      </c>
      <c r="C10555">
        <v>8351</v>
      </c>
      <c r="D10555" t="str">
        <f t="shared" si="157"/>
        <v xml:space="preserve">270875      </v>
      </c>
      <c r="E10555" t="s">
        <v>896</v>
      </c>
      <c r="F10555" t="s">
        <v>898</v>
      </c>
      <c r="G10555">
        <v>51.78</v>
      </c>
      <c r="H10555">
        <v>250531</v>
      </c>
      <c r="I10555">
        <v>4369</v>
      </c>
      <c r="J10555" t="s">
        <v>188</v>
      </c>
      <c r="K10555">
        <v>414.51</v>
      </c>
      <c r="L10555">
        <v>10.52</v>
      </c>
      <c r="M10555">
        <v>17951</v>
      </c>
      <c r="N10555" t="s">
        <v>207</v>
      </c>
      <c r="O10555">
        <v>250613</v>
      </c>
      <c r="P10555">
        <v>41.26</v>
      </c>
    </row>
    <row r="10556" spans="1:16" x14ac:dyDescent="0.25">
      <c r="A10556" t="s">
        <v>3296</v>
      </c>
      <c r="B10556" t="s">
        <v>2931</v>
      </c>
      <c r="C10556">
        <v>8351</v>
      </c>
      <c r="D10556" t="str">
        <f t="shared" si="157"/>
        <v xml:space="preserve">270875      </v>
      </c>
      <c r="E10556" t="s">
        <v>896</v>
      </c>
      <c r="F10556" t="s">
        <v>898</v>
      </c>
      <c r="G10556">
        <v>31.18</v>
      </c>
      <c r="H10556">
        <v>250531</v>
      </c>
      <c r="I10556">
        <v>4369</v>
      </c>
      <c r="J10556" t="s">
        <v>188</v>
      </c>
      <c r="K10556">
        <v>414.51</v>
      </c>
      <c r="L10556">
        <v>6.34</v>
      </c>
      <c r="M10556">
        <v>17955</v>
      </c>
      <c r="N10556" t="s">
        <v>899</v>
      </c>
      <c r="O10556">
        <v>250613</v>
      </c>
      <c r="P10556">
        <v>24.84</v>
      </c>
    </row>
    <row r="10557" spans="1:16" x14ac:dyDescent="0.25">
      <c r="A10557" t="s">
        <v>3296</v>
      </c>
      <c r="B10557" t="s">
        <v>2931</v>
      </c>
      <c r="C10557">
        <v>8351</v>
      </c>
      <c r="D10557" t="str">
        <f t="shared" si="157"/>
        <v xml:space="preserve">270875      </v>
      </c>
      <c r="E10557" t="s">
        <v>896</v>
      </c>
      <c r="F10557" t="s">
        <v>898</v>
      </c>
      <c r="G10557">
        <v>18.489999999999998</v>
      </c>
      <c r="H10557">
        <v>250531</v>
      </c>
      <c r="I10557">
        <v>4369</v>
      </c>
      <c r="J10557" t="s">
        <v>188</v>
      </c>
      <c r="K10557">
        <v>414.51</v>
      </c>
      <c r="L10557">
        <v>3.76</v>
      </c>
      <c r="M10557">
        <v>17956</v>
      </c>
      <c r="N10557" t="s">
        <v>170</v>
      </c>
      <c r="O10557">
        <v>250613</v>
      </c>
      <c r="P10557">
        <v>14.73</v>
      </c>
    </row>
    <row r="10558" spans="1:16" x14ac:dyDescent="0.25">
      <c r="A10558" t="s">
        <v>3296</v>
      </c>
      <c r="B10558" t="s">
        <v>2931</v>
      </c>
      <c r="C10558">
        <v>8351</v>
      </c>
      <c r="D10558" t="str">
        <f t="shared" si="157"/>
        <v xml:space="preserve">270875      </v>
      </c>
      <c r="E10558" t="s">
        <v>896</v>
      </c>
      <c r="F10558" t="s">
        <v>898</v>
      </c>
      <c r="G10558">
        <v>86.58</v>
      </c>
      <c r="H10558">
        <v>250531</v>
      </c>
      <c r="I10558">
        <v>4369</v>
      </c>
      <c r="J10558" t="s">
        <v>188</v>
      </c>
      <c r="K10558">
        <v>414.51</v>
      </c>
      <c r="L10558">
        <v>17.59</v>
      </c>
      <c r="M10558">
        <v>17956</v>
      </c>
      <c r="N10558" t="s">
        <v>170</v>
      </c>
      <c r="O10558">
        <v>250613</v>
      </c>
      <c r="P10558">
        <v>68.989999999999995</v>
      </c>
    </row>
    <row r="10559" spans="1:16" x14ac:dyDescent="0.25">
      <c r="A10559" t="s">
        <v>3296</v>
      </c>
      <c r="B10559" t="s">
        <v>2931</v>
      </c>
      <c r="C10559">
        <v>8351</v>
      </c>
      <c r="D10559" t="str">
        <f t="shared" si="157"/>
        <v xml:space="preserve">270875      </v>
      </c>
      <c r="E10559" t="s">
        <v>896</v>
      </c>
      <c r="F10559" t="s">
        <v>898</v>
      </c>
      <c r="G10559">
        <v>20</v>
      </c>
      <c r="H10559">
        <v>250531</v>
      </c>
      <c r="I10559">
        <v>4369</v>
      </c>
      <c r="J10559" t="s">
        <v>188</v>
      </c>
      <c r="K10559">
        <v>414.51</v>
      </c>
      <c r="L10559">
        <v>4.0599999999999996</v>
      </c>
      <c r="M10559">
        <v>17971</v>
      </c>
      <c r="N10559" t="s">
        <v>27</v>
      </c>
      <c r="O10559">
        <v>250613</v>
      </c>
      <c r="P10559">
        <v>15.94</v>
      </c>
    </row>
    <row r="10560" spans="1:16" x14ac:dyDescent="0.25">
      <c r="A10560" t="s">
        <v>3296</v>
      </c>
      <c r="B10560" t="s">
        <v>2931</v>
      </c>
      <c r="C10560">
        <v>8351</v>
      </c>
      <c r="D10560" t="str">
        <f t="shared" si="157"/>
        <v xml:space="preserve">270875      </v>
      </c>
      <c r="E10560" t="s">
        <v>896</v>
      </c>
      <c r="F10560" t="s">
        <v>898</v>
      </c>
      <c r="G10560">
        <v>40.380000000000003</v>
      </c>
      <c r="H10560">
        <v>250531</v>
      </c>
      <c r="I10560">
        <v>4369</v>
      </c>
      <c r="J10560" t="s">
        <v>188</v>
      </c>
      <c r="K10560">
        <v>414.51</v>
      </c>
      <c r="L10560">
        <v>8.1999999999999993</v>
      </c>
      <c r="M10560">
        <v>17971</v>
      </c>
      <c r="N10560" t="s">
        <v>27</v>
      </c>
      <c r="O10560">
        <v>250613</v>
      </c>
      <c r="P10560">
        <v>32.18</v>
      </c>
    </row>
    <row r="10561" spans="1:16" x14ac:dyDescent="0.25">
      <c r="A10561" t="s">
        <v>3296</v>
      </c>
      <c r="B10561" t="s">
        <v>2931</v>
      </c>
      <c r="C10561">
        <v>8351</v>
      </c>
      <c r="D10561" t="str">
        <f t="shared" si="157"/>
        <v xml:space="preserve">270875      </v>
      </c>
      <c r="E10561" t="s">
        <v>896</v>
      </c>
      <c r="F10561" t="s">
        <v>898</v>
      </c>
      <c r="G10561">
        <v>52.53</v>
      </c>
      <c r="H10561">
        <v>250531</v>
      </c>
      <c r="I10561">
        <v>4369</v>
      </c>
      <c r="J10561" t="s">
        <v>188</v>
      </c>
      <c r="K10561">
        <v>414.51</v>
      </c>
      <c r="L10561">
        <v>10.67</v>
      </c>
      <c r="M10561">
        <v>17971</v>
      </c>
      <c r="N10561" t="s">
        <v>27</v>
      </c>
      <c r="O10561">
        <v>250613</v>
      </c>
      <c r="P10561">
        <v>41.86</v>
      </c>
    </row>
    <row r="10562" spans="1:16" x14ac:dyDescent="0.25">
      <c r="A10562" t="s">
        <v>3296</v>
      </c>
      <c r="B10562" t="s">
        <v>2931</v>
      </c>
      <c r="C10562">
        <v>9549</v>
      </c>
      <c r="D10562" t="str">
        <f t="shared" ref="D10562:D10570" si="158">"274465      "</f>
        <v xml:space="preserve">274465      </v>
      </c>
      <c r="E10562" t="s">
        <v>896</v>
      </c>
      <c r="F10562" t="s">
        <v>898</v>
      </c>
      <c r="G10562">
        <v>14.45</v>
      </c>
      <c r="H10562">
        <v>250630</v>
      </c>
      <c r="I10562">
        <v>4369</v>
      </c>
      <c r="J10562" t="s">
        <v>188</v>
      </c>
      <c r="K10562">
        <v>410.77</v>
      </c>
      <c r="L10562">
        <v>2.94</v>
      </c>
      <c r="M10562">
        <v>13540</v>
      </c>
      <c r="N10562" t="s">
        <v>131</v>
      </c>
      <c r="O10562">
        <v>250711</v>
      </c>
      <c r="P10562">
        <v>11.51</v>
      </c>
    </row>
    <row r="10563" spans="1:16" x14ac:dyDescent="0.25">
      <c r="A10563" t="s">
        <v>3296</v>
      </c>
      <c r="B10563" t="s">
        <v>2931</v>
      </c>
      <c r="C10563">
        <v>9549</v>
      </c>
      <c r="D10563" t="str">
        <f t="shared" si="158"/>
        <v xml:space="preserve">274465      </v>
      </c>
      <c r="E10563" t="s">
        <v>896</v>
      </c>
      <c r="F10563" t="s">
        <v>898</v>
      </c>
      <c r="G10563">
        <v>98.54</v>
      </c>
      <c r="H10563">
        <v>250630</v>
      </c>
      <c r="I10563">
        <v>4369</v>
      </c>
      <c r="J10563" t="s">
        <v>188</v>
      </c>
      <c r="K10563">
        <v>410.77</v>
      </c>
      <c r="L10563">
        <v>20.02</v>
      </c>
      <c r="M10563">
        <v>17950</v>
      </c>
      <c r="N10563" t="s">
        <v>132</v>
      </c>
      <c r="O10563">
        <v>250711</v>
      </c>
      <c r="P10563">
        <v>78.52</v>
      </c>
    </row>
    <row r="10564" spans="1:16" x14ac:dyDescent="0.25">
      <c r="A10564" t="s">
        <v>3296</v>
      </c>
      <c r="B10564" t="s">
        <v>2931</v>
      </c>
      <c r="C10564">
        <v>9549</v>
      </c>
      <c r="D10564" t="str">
        <f t="shared" si="158"/>
        <v xml:space="preserve">274465      </v>
      </c>
      <c r="E10564" t="s">
        <v>896</v>
      </c>
      <c r="F10564" t="s">
        <v>898</v>
      </c>
      <c r="G10564">
        <v>51.78</v>
      </c>
      <c r="H10564">
        <v>250630</v>
      </c>
      <c r="I10564">
        <v>4369</v>
      </c>
      <c r="J10564" t="s">
        <v>188</v>
      </c>
      <c r="K10564">
        <v>410.77</v>
      </c>
      <c r="L10564">
        <v>10.52</v>
      </c>
      <c r="M10564">
        <v>17951</v>
      </c>
      <c r="N10564" t="s">
        <v>207</v>
      </c>
      <c r="O10564">
        <v>250711</v>
      </c>
      <c r="P10564">
        <v>41.26</v>
      </c>
    </row>
    <row r="10565" spans="1:16" x14ac:dyDescent="0.25">
      <c r="A10565" t="s">
        <v>3296</v>
      </c>
      <c r="B10565" t="s">
        <v>2931</v>
      </c>
      <c r="C10565">
        <v>9549</v>
      </c>
      <c r="D10565" t="str">
        <f t="shared" si="158"/>
        <v xml:space="preserve">274465      </v>
      </c>
      <c r="E10565" t="s">
        <v>896</v>
      </c>
      <c r="F10565" t="s">
        <v>898</v>
      </c>
      <c r="G10565">
        <v>31.18</v>
      </c>
      <c r="H10565">
        <v>250630</v>
      </c>
      <c r="I10565">
        <v>4369</v>
      </c>
      <c r="J10565" t="s">
        <v>188</v>
      </c>
      <c r="K10565">
        <v>410.77</v>
      </c>
      <c r="L10565">
        <v>6.34</v>
      </c>
      <c r="M10565">
        <v>17955</v>
      </c>
      <c r="N10565" t="s">
        <v>899</v>
      </c>
      <c r="O10565">
        <v>250711</v>
      </c>
      <c r="P10565">
        <v>24.84</v>
      </c>
    </row>
    <row r="10566" spans="1:16" x14ac:dyDescent="0.25">
      <c r="A10566" t="s">
        <v>3296</v>
      </c>
      <c r="B10566" t="s">
        <v>2931</v>
      </c>
      <c r="C10566">
        <v>9549</v>
      </c>
      <c r="D10566" t="str">
        <f t="shared" si="158"/>
        <v xml:space="preserve">274465      </v>
      </c>
      <c r="E10566" t="s">
        <v>896</v>
      </c>
      <c r="F10566" t="s">
        <v>898</v>
      </c>
      <c r="G10566">
        <v>18.39</v>
      </c>
      <c r="H10566">
        <v>250630</v>
      </c>
      <c r="I10566">
        <v>4369</v>
      </c>
      <c r="J10566" t="s">
        <v>188</v>
      </c>
      <c r="K10566">
        <v>410.77</v>
      </c>
      <c r="L10566">
        <v>3.74</v>
      </c>
      <c r="M10566">
        <v>17956</v>
      </c>
      <c r="N10566" t="s">
        <v>170</v>
      </c>
      <c r="O10566">
        <v>250711</v>
      </c>
      <c r="P10566">
        <v>14.65</v>
      </c>
    </row>
    <row r="10567" spans="1:16" x14ac:dyDescent="0.25">
      <c r="A10567" t="s">
        <v>3296</v>
      </c>
      <c r="B10567" t="s">
        <v>2931</v>
      </c>
      <c r="C10567">
        <v>9549</v>
      </c>
      <c r="D10567" t="str">
        <f t="shared" si="158"/>
        <v xml:space="preserve">274465      </v>
      </c>
      <c r="E10567" t="s">
        <v>896</v>
      </c>
      <c r="F10567" t="s">
        <v>898</v>
      </c>
      <c r="G10567">
        <v>86.58</v>
      </c>
      <c r="H10567">
        <v>250630</v>
      </c>
      <c r="I10567">
        <v>4369</v>
      </c>
      <c r="J10567" t="s">
        <v>188</v>
      </c>
      <c r="K10567">
        <v>410.77</v>
      </c>
      <c r="L10567">
        <v>17.59</v>
      </c>
      <c r="M10567">
        <v>17956</v>
      </c>
      <c r="N10567" t="s">
        <v>170</v>
      </c>
      <c r="O10567">
        <v>250711</v>
      </c>
      <c r="P10567">
        <v>68.989999999999995</v>
      </c>
    </row>
    <row r="10568" spans="1:16" x14ac:dyDescent="0.25">
      <c r="A10568" t="s">
        <v>3296</v>
      </c>
      <c r="B10568" t="s">
        <v>2931</v>
      </c>
      <c r="C10568">
        <v>9549</v>
      </c>
      <c r="D10568" t="str">
        <f t="shared" si="158"/>
        <v xml:space="preserve">274465      </v>
      </c>
      <c r="E10568" t="s">
        <v>896</v>
      </c>
      <c r="F10568" t="s">
        <v>898</v>
      </c>
      <c r="G10568">
        <v>20</v>
      </c>
      <c r="H10568">
        <v>250630</v>
      </c>
      <c r="I10568">
        <v>4369</v>
      </c>
      <c r="J10568" t="s">
        <v>188</v>
      </c>
      <c r="K10568">
        <v>410.77</v>
      </c>
      <c r="L10568">
        <v>4.0599999999999996</v>
      </c>
      <c r="M10568">
        <v>17971</v>
      </c>
      <c r="N10568" t="s">
        <v>27</v>
      </c>
      <c r="O10568">
        <v>250711</v>
      </c>
      <c r="P10568">
        <v>15.94</v>
      </c>
    </row>
    <row r="10569" spans="1:16" x14ac:dyDescent="0.25">
      <c r="A10569" t="s">
        <v>3296</v>
      </c>
      <c r="B10569" t="s">
        <v>2931</v>
      </c>
      <c r="C10569">
        <v>9549</v>
      </c>
      <c r="D10569" t="str">
        <f t="shared" si="158"/>
        <v xml:space="preserve">274465      </v>
      </c>
      <c r="E10569" t="s">
        <v>896</v>
      </c>
      <c r="F10569" t="s">
        <v>898</v>
      </c>
      <c r="G10569">
        <v>51</v>
      </c>
      <c r="H10569">
        <v>250630</v>
      </c>
      <c r="I10569">
        <v>4369</v>
      </c>
      <c r="J10569" t="s">
        <v>188</v>
      </c>
      <c r="K10569">
        <v>410.77</v>
      </c>
      <c r="L10569">
        <v>10.36</v>
      </c>
      <c r="M10569">
        <v>17971</v>
      </c>
      <c r="N10569" t="s">
        <v>27</v>
      </c>
      <c r="O10569">
        <v>250711</v>
      </c>
      <c r="P10569">
        <v>40.64</v>
      </c>
    </row>
    <row r="10570" spans="1:16" x14ac:dyDescent="0.25">
      <c r="A10570" t="s">
        <v>3296</v>
      </c>
      <c r="B10570" t="s">
        <v>2931</v>
      </c>
      <c r="C10570">
        <v>9549</v>
      </c>
      <c r="D10570" t="str">
        <f t="shared" si="158"/>
        <v xml:space="preserve">274465      </v>
      </c>
      <c r="E10570" t="s">
        <v>896</v>
      </c>
      <c r="F10570" t="s">
        <v>898</v>
      </c>
      <c r="G10570">
        <v>38.85</v>
      </c>
      <c r="H10570">
        <v>250630</v>
      </c>
      <c r="I10570">
        <v>4369</v>
      </c>
      <c r="J10570" t="s">
        <v>188</v>
      </c>
      <c r="K10570">
        <v>410.77</v>
      </c>
      <c r="L10570">
        <v>7.89</v>
      </c>
      <c r="M10570">
        <v>17972</v>
      </c>
      <c r="N10570" t="s">
        <v>28</v>
      </c>
      <c r="O10570">
        <v>250711</v>
      </c>
      <c r="P10570">
        <v>30.96</v>
      </c>
    </row>
    <row r="10571" spans="1:16" x14ac:dyDescent="0.25">
      <c r="A10571" t="s">
        <v>3296</v>
      </c>
      <c r="B10571" t="s">
        <v>2931</v>
      </c>
      <c r="C10571">
        <v>10193</v>
      </c>
      <c r="D10571" t="str">
        <f t="shared" ref="D10571:D10579" si="159">"278066      "</f>
        <v xml:space="preserve">278066      </v>
      </c>
      <c r="E10571" t="s">
        <v>896</v>
      </c>
      <c r="F10571" t="s">
        <v>898</v>
      </c>
      <c r="G10571">
        <v>51</v>
      </c>
      <c r="H10571">
        <v>250731</v>
      </c>
      <c r="I10571">
        <v>4369</v>
      </c>
      <c r="J10571" t="s">
        <v>188</v>
      </c>
      <c r="K10571">
        <v>411.12</v>
      </c>
      <c r="L10571">
        <v>10.36</v>
      </c>
      <c r="M10571">
        <v>11603</v>
      </c>
      <c r="N10571" t="s">
        <v>897</v>
      </c>
      <c r="O10571">
        <v>250812</v>
      </c>
      <c r="P10571">
        <v>40.64</v>
      </c>
    </row>
    <row r="10572" spans="1:16" x14ac:dyDescent="0.25">
      <c r="A10572" t="s">
        <v>3296</v>
      </c>
      <c r="B10572" t="s">
        <v>2931</v>
      </c>
      <c r="C10572">
        <v>10193</v>
      </c>
      <c r="D10572" t="str">
        <f t="shared" si="159"/>
        <v xml:space="preserve">278066      </v>
      </c>
      <c r="E10572" t="s">
        <v>896</v>
      </c>
      <c r="F10572" t="s">
        <v>898</v>
      </c>
      <c r="G10572">
        <v>14.49</v>
      </c>
      <c r="H10572">
        <v>250731</v>
      </c>
      <c r="I10572">
        <v>4369</v>
      </c>
      <c r="J10572" t="s">
        <v>188</v>
      </c>
      <c r="K10572">
        <v>411.12</v>
      </c>
      <c r="L10572">
        <v>2.94</v>
      </c>
      <c r="M10572">
        <v>13540</v>
      </c>
      <c r="N10572" t="s">
        <v>131</v>
      </c>
      <c r="O10572">
        <v>250812</v>
      </c>
      <c r="P10572">
        <v>11.55</v>
      </c>
    </row>
    <row r="10573" spans="1:16" x14ac:dyDescent="0.25">
      <c r="A10573" t="s">
        <v>3296</v>
      </c>
      <c r="B10573" t="s">
        <v>2931</v>
      </c>
      <c r="C10573">
        <v>10193</v>
      </c>
      <c r="D10573" t="str">
        <f t="shared" si="159"/>
        <v xml:space="preserve">278066      </v>
      </c>
      <c r="E10573" t="s">
        <v>896</v>
      </c>
      <c r="F10573" t="s">
        <v>898</v>
      </c>
      <c r="G10573">
        <v>98.8</v>
      </c>
      <c r="H10573">
        <v>250731</v>
      </c>
      <c r="I10573">
        <v>4369</v>
      </c>
      <c r="J10573" t="s">
        <v>188</v>
      </c>
      <c r="K10573">
        <v>411.12</v>
      </c>
      <c r="L10573">
        <v>20.07</v>
      </c>
      <c r="M10573">
        <v>17950</v>
      </c>
      <c r="N10573" t="s">
        <v>132</v>
      </c>
      <c r="O10573">
        <v>250812</v>
      </c>
      <c r="P10573">
        <v>78.73</v>
      </c>
    </row>
    <row r="10574" spans="1:16" x14ac:dyDescent="0.25">
      <c r="A10574" t="s">
        <v>3296</v>
      </c>
      <c r="B10574" t="s">
        <v>2931</v>
      </c>
      <c r="C10574">
        <v>10193</v>
      </c>
      <c r="D10574" t="str">
        <f t="shared" si="159"/>
        <v xml:space="preserve">278066      </v>
      </c>
      <c r="E10574" t="s">
        <v>896</v>
      </c>
      <c r="F10574" t="s">
        <v>898</v>
      </c>
      <c r="G10574">
        <v>51.78</v>
      </c>
      <c r="H10574">
        <v>250731</v>
      </c>
      <c r="I10574">
        <v>4369</v>
      </c>
      <c r="J10574" t="s">
        <v>188</v>
      </c>
      <c r="K10574">
        <v>411.12</v>
      </c>
      <c r="L10574">
        <v>10.52</v>
      </c>
      <c r="M10574">
        <v>17951</v>
      </c>
      <c r="N10574" t="s">
        <v>207</v>
      </c>
      <c r="O10574">
        <v>250812</v>
      </c>
      <c r="P10574">
        <v>41.26</v>
      </c>
    </row>
    <row r="10575" spans="1:16" x14ac:dyDescent="0.25">
      <c r="A10575" t="s">
        <v>3296</v>
      </c>
      <c r="B10575" t="s">
        <v>2931</v>
      </c>
      <c r="C10575">
        <v>10193</v>
      </c>
      <c r="D10575" t="str">
        <f t="shared" si="159"/>
        <v xml:space="preserve">278066      </v>
      </c>
      <c r="E10575" t="s">
        <v>896</v>
      </c>
      <c r="F10575" t="s">
        <v>898</v>
      </c>
      <c r="G10575">
        <v>31.18</v>
      </c>
      <c r="H10575">
        <v>250731</v>
      </c>
      <c r="I10575">
        <v>4369</v>
      </c>
      <c r="J10575" t="s">
        <v>188</v>
      </c>
      <c r="K10575">
        <v>411.12</v>
      </c>
      <c r="L10575">
        <v>6.34</v>
      </c>
      <c r="M10575">
        <v>17955</v>
      </c>
      <c r="N10575" t="s">
        <v>899</v>
      </c>
      <c r="O10575">
        <v>250812</v>
      </c>
      <c r="P10575">
        <v>24.84</v>
      </c>
    </row>
    <row r="10576" spans="1:16" x14ac:dyDescent="0.25">
      <c r="A10576" t="s">
        <v>3296</v>
      </c>
      <c r="B10576" t="s">
        <v>2931</v>
      </c>
      <c r="C10576">
        <v>10193</v>
      </c>
      <c r="D10576" t="str">
        <f t="shared" si="159"/>
        <v xml:space="preserve">278066      </v>
      </c>
      <c r="E10576" t="s">
        <v>896</v>
      </c>
      <c r="F10576" t="s">
        <v>898</v>
      </c>
      <c r="G10576">
        <v>18.440000000000001</v>
      </c>
      <c r="H10576">
        <v>250731</v>
      </c>
      <c r="I10576">
        <v>4369</v>
      </c>
      <c r="J10576" t="s">
        <v>188</v>
      </c>
      <c r="K10576">
        <v>411.12</v>
      </c>
      <c r="L10576">
        <v>3.75</v>
      </c>
      <c r="M10576">
        <v>17956</v>
      </c>
      <c r="N10576" t="s">
        <v>170</v>
      </c>
      <c r="O10576">
        <v>250812</v>
      </c>
      <c r="P10576">
        <v>14.69</v>
      </c>
    </row>
    <row r="10577" spans="1:16" x14ac:dyDescent="0.25">
      <c r="A10577" t="s">
        <v>3296</v>
      </c>
      <c r="B10577" t="s">
        <v>2931</v>
      </c>
      <c r="C10577">
        <v>10193</v>
      </c>
      <c r="D10577" t="str">
        <f t="shared" si="159"/>
        <v xml:space="preserve">278066      </v>
      </c>
      <c r="E10577" t="s">
        <v>896</v>
      </c>
      <c r="F10577" t="s">
        <v>898</v>
      </c>
      <c r="G10577">
        <v>86.58</v>
      </c>
      <c r="H10577">
        <v>250731</v>
      </c>
      <c r="I10577">
        <v>4369</v>
      </c>
      <c r="J10577" t="s">
        <v>188</v>
      </c>
      <c r="K10577">
        <v>411.12</v>
      </c>
      <c r="L10577">
        <v>17.59</v>
      </c>
      <c r="M10577">
        <v>17956</v>
      </c>
      <c r="N10577" t="s">
        <v>170</v>
      </c>
      <c r="O10577">
        <v>250812</v>
      </c>
      <c r="P10577">
        <v>68.989999999999995</v>
      </c>
    </row>
    <row r="10578" spans="1:16" x14ac:dyDescent="0.25">
      <c r="A10578" t="s">
        <v>3296</v>
      </c>
      <c r="B10578" t="s">
        <v>2931</v>
      </c>
      <c r="C10578">
        <v>10193</v>
      </c>
      <c r="D10578" t="str">
        <f t="shared" si="159"/>
        <v xml:space="preserve">278066      </v>
      </c>
      <c r="E10578" t="s">
        <v>896</v>
      </c>
      <c r="F10578" t="s">
        <v>898</v>
      </c>
      <c r="G10578">
        <v>20</v>
      </c>
      <c r="H10578">
        <v>250731</v>
      </c>
      <c r="I10578">
        <v>4369</v>
      </c>
      <c r="J10578" t="s">
        <v>188</v>
      </c>
      <c r="K10578">
        <v>411.12</v>
      </c>
      <c r="L10578">
        <v>4.0599999999999996</v>
      </c>
      <c r="M10578">
        <v>17971</v>
      </c>
      <c r="N10578" t="s">
        <v>27</v>
      </c>
      <c r="O10578">
        <v>250812</v>
      </c>
      <c r="P10578">
        <v>15.94</v>
      </c>
    </row>
    <row r="10579" spans="1:16" x14ac:dyDescent="0.25">
      <c r="A10579" t="s">
        <v>3296</v>
      </c>
      <c r="B10579" t="s">
        <v>2931</v>
      </c>
      <c r="C10579">
        <v>10193</v>
      </c>
      <c r="D10579" t="str">
        <f t="shared" si="159"/>
        <v xml:space="preserve">278066      </v>
      </c>
      <c r="E10579" t="s">
        <v>896</v>
      </c>
      <c r="F10579" t="s">
        <v>898</v>
      </c>
      <c r="G10579">
        <v>38.85</v>
      </c>
      <c r="H10579">
        <v>250731</v>
      </c>
      <c r="I10579">
        <v>4369</v>
      </c>
      <c r="J10579" t="s">
        <v>188</v>
      </c>
      <c r="K10579">
        <v>411.12</v>
      </c>
      <c r="L10579">
        <v>7.89</v>
      </c>
      <c r="M10579">
        <v>17971</v>
      </c>
      <c r="N10579" t="s">
        <v>27</v>
      </c>
      <c r="O10579">
        <v>250812</v>
      </c>
      <c r="P10579">
        <v>30.96</v>
      </c>
    </row>
    <row r="10580" spans="1:16" x14ac:dyDescent="0.25">
      <c r="A10580" t="s">
        <v>3296</v>
      </c>
      <c r="B10580" t="s">
        <v>2931</v>
      </c>
      <c r="C10580">
        <v>11738</v>
      </c>
      <c r="D10580" t="str">
        <f t="shared" ref="D10580:D10588" si="160">"281777      "</f>
        <v xml:space="preserve">281777      </v>
      </c>
      <c r="E10580" t="s">
        <v>896</v>
      </c>
      <c r="F10580" t="s">
        <v>898</v>
      </c>
      <c r="G10580">
        <v>51</v>
      </c>
      <c r="H10580">
        <v>250831</v>
      </c>
      <c r="I10580">
        <v>4369</v>
      </c>
      <c r="J10580" t="s">
        <v>188</v>
      </c>
      <c r="K10580">
        <v>410.21</v>
      </c>
      <c r="L10580">
        <v>10.36</v>
      </c>
      <c r="M10580">
        <v>11603</v>
      </c>
      <c r="N10580" t="s">
        <v>897</v>
      </c>
      <c r="O10580">
        <v>250910</v>
      </c>
      <c r="P10580">
        <v>40.64</v>
      </c>
    </row>
    <row r="10581" spans="1:16" x14ac:dyDescent="0.25">
      <c r="A10581" t="s">
        <v>3296</v>
      </c>
      <c r="B10581" t="s">
        <v>2931</v>
      </c>
      <c r="C10581">
        <v>11738</v>
      </c>
      <c r="D10581" t="str">
        <f t="shared" si="160"/>
        <v xml:space="preserve">281777      </v>
      </c>
      <c r="E10581" t="s">
        <v>896</v>
      </c>
      <c r="F10581" t="s">
        <v>898</v>
      </c>
      <c r="G10581">
        <v>14.39</v>
      </c>
      <c r="H10581">
        <v>250831</v>
      </c>
      <c r="I10581">
        <v>4369</v>
      </c>
      <c r="J10581" t="s">
        <v>188</v>
      </c>
      <c r="K10581">
        <v>410.21</v>
      </c>
      <c r="L10581">
        <v>2.92</v>
      </c>
      <c r="M10581">
        <v>13540</v>
      </c>
      <c r="N10581" t="s">
        <v>131</v>
      </c>
      <c r="O10581">
        <v>250910</v>
      </c>
      <c r="P10581">
        <v>11.47</v>
      </c>
    </row>
    <row r="10582" spans="1:16" x14ac:dyDescent="0.25">
      <c r="A10582" t="s">
        <v>3296</v>
      </c>
      <c r="B10582" t="s">
        <v>2931</v>
      </c>
      <c r="C10582">
        <v>11738</v>
      </c>
      <c r="D10582" t="str">
        <f t="shared" si="160"/>
        <v xml:space="preserve">281777      </v>
      </c>
      <c r="E10582" t="s">
        <v>896</v>
      </c>
      <c r="F10582" t="s">
        <v>898</v>
      </c>
      <c r="G10582">
        <v>98.12</v>
      </c>
      <c r="H10582">
        <v>250831</v>
      </c>
      <c r="I10582">
        <v>4369</v>
      </c>
      <c r="J10582" t="s">
        <v>188</v>
      </c>
      <c r="K10582">
        <v>410.21</v>
      </c>
      <c r="L10582">
        <v>19.940000000000001</v>
      </c>
      <c r="M10582">
        <v>17950</v>
      </c>
      <c r="N10582" t="s">
        <v>132</v>
      </c>
      <c r="O10582">
        <v>250910</v>
      </c>
      <c r="P10582">
        <v>78.180000000000007</v>
      </c>
    </row>
    <row r="10583" spans="1:16" x14ac:dyDescent="0.25">
      <c r="A10583" t="s">
        <v>3296</v>
      </c>
      <c r="B10583" t="s">
        <v>2931</v>
      </c>
      <c r="C10583">
        <v>11738</v>
      </c>
      <c r="D10583" t="str">
        <f t="shared" si="160"/>
        <v xml:space="preserve">281777      </v>
      </c>
      <c r="E10583" t="s">
        <v>896</v>
      </c>
      <c r="F10583" t="s">
        <v>898</v>
      </c>
      <c r="G10583">
        <v>51.78</v>
      </c>
      <c r="H10583">
        <v>250831</v>
      </c>
      <c r="I10583">
        <v>4369</v>
      </c>
      <c r="J10583" t="s">
        <v>188</v>
      </c>
      <c r="K10583">
        <v>410.21</v>
      </c>
      <c r="L10583">
        <v>10.52</v>
      </c>
      <c r="M10583">
        <v>17951</v>
      </c>
      <c r="N10583" t="s">
        <v>207</v>
      </c>
      <c r="O10583">
        <v>250910</v>
      </c>
      <c r="P10583">
        <v>41.26</v>
      </c>
    </row>
    <row r="10584" spans="1:16" x14ac:dyDescent="0.25">
      <c r="A10584" t="s">
        <v>3296</v>
      </c>
      <c r="B10584" t="s">
        <v>2931</v>
      </c>
      <c r="C10584">
        <v>11738</v>
      </c>
      <c r="D10584" t="str">
        <f t="shared" si="160"/>
        <v xml:space="preserve">281777      </v>
      </c>
      <c r="E10584" t="s">
        <v>896</v>
      </c>
      <c r="F10584" t="s">
        <v>898</v>
      </c>
      <c r="G10584">
        <v>31.18</v>
      </c>
      <c r="H10584">
        <v>250831</v>
      </c>
      <c r="I10584">
        <v>4369</v>
      </c>
      <c r="J10584" t="s">
        <v>188</v>
      </c>
      <c r="K10584">
        <v>410.21</v>
      </c>
      <c r="L10584">
        <v>6.34</v>
      </c>
      <c r="M10584">
        <v>17955</v>
      </c>
      <c r="N10584" t="s">
        <v>899</v>
      </c>
      <c r="O10584">
        <v>250910</v>
      </c>
      <c r="P10584">
        <v>24.84</v>
      </c>
    </row>
    <row r="10585" spans="1:16" x14ac:dyDescent="0.25">
      <c r="A10585" t="s">
        <v>3296</v>
      </c>
      <c r="B10585" t="s">
        <v>2931</v>
      </c>
      <c r="C10585">
        <v>11738</v>
      </c>
      <c r="D10585" t="str">
        <f t="shared" si="160"/>
        <v xml:space="preserve">281777      </v>
      </c>
      <c r="E10585" t="s">
        <v>896</v>
      </c>
      <c r="F10585" t="s">
        <v>898</v>
      </c>
      <c r="G10585">
        <v>18.309999999999999</v>
      </c>
      <c r="H10585">
        <v>250831</v>
      </c>
      <c r="I10585">
        <v>4369</v>
      </c>
      <c r="J10585" t="s">
        <v>188</v>
      </c>
      <c r="K10585">
        <v>410.21</v>
      </c>
      <c r="L10585">
        <v>3.72</v>
      </c>
      <c r="M10585">
        <v>17956</v>
      </c>
      <c r="N10585" t="s">
        <v>170</v>
      </c>
      <c r="O10585">
        <v>250910</v>
      </c>
      <c r="P10585">
        <v>14.59</v>
      </c>
    </row>
    <row r="10586" spans="1:16" x14ac:dyDescent="0.25">
      <c r="A10586" t="s">
        <v>3296</v>
      </c>
      <c r="B10586" t="s">
        <v>2931</v>
      </c>
      <c r="C10586">
        <v>11738</v>
      </c>
      <c r="D10586" t="str">
        <f t="shared" si="160"/>
        <v xml:space="preserve">281777      </v>
      </c>
      <c r="E10586" t="s">
        <v>896</v>
      </c>
      <c r="F10586" t="s">
        <v>898</v>
      </c>
      <c r="G10586">
        <v>86.58</v>
      </c>
      <c r="H10586">
        <v>250831</v>
      </c>
      <c r="I10586">
        <v>4369</v>
      </c>
      <c r="J10586" t="s">
        <v>188</v>
      </c>
      <c r="K10586">
        <v>410.21</v>
      </c>
      <c r="L10586">
        <v>17.59</v>
      </c>
      <c r="M10586">
        <v>17956</v>
      </c>
      <c r="N10586" t="s">
        <v>170</v>
      </c>
      <c r="O10586">
        <v>250910</v>
      </c>
      <c r="P10586">
        <v>68.989999999999995</v>
      </c>
    </row>
    <row r="10587" spans="1:16" x14ac:dyDescent="0.25">
      <c r="A10587" t="s">
        <v>3296</v>
      </c>
      <c r="B10587" t="s">
        <v>2931</v>
      </c>
      <c r="C10587">
        <v>11738</v>
      </c>
      <c r="D10587" t="str">
        <f t="shared" si="160"/>
        <v xml:space="preserve">281777      </v>
      </c>
      <c r="E10587" t="s">
        <v>896</v>
      </c>
      <c r="F10587" t="s">
        <v>898</v>
      </c>
      <c r="G10587">
        <v>20</v>
      </c>
      <c r="H10587">
        <v>250831</v>
      </c>
      <c r="I10587">
        <v>4369</v>
      </c>
      <c r="J10587" t="s">
        <v>188</v>
      </c>
      <c r="K10587">
        <v>410.21</v>
      </c>
      <c r="L10587">
        <v>4.0599999999999996</v>
      </c>
      <c r="M10587">
        <v>17971</v>
      </c>
      <c r="N10587" t="s">
        <v>27</v>
      </c>
      <c r="O10587">
        <v>250910</v>
      </c>
      <c r="P10587">
        <v>15.94</v>
      </c>
    </row>
    <row r="10588" spans="1:16" x14ac:dyDescent="0.25">
      <c r="A10588" t="s">
        <v>3296</v>
      </c>
      <c r="B10588" t="s">
        <v>2931</v>
      </c>
      <c r="C10588">
        <v>11738</v>
      </c>
      <c r="D10588" t="str">
        <f t="shared" si="160"/>
        <v xml:space="preserve">281777      </v>
      </c>
      <c r="E10588" t="s">
        <v>896</v>
      </c>
      <c r="F10588" t="s">
        <v>898</v>
      </c>
      <c r="G10588">
        <v>38.85</v>
      </c>
      <c r="H10588">
        <v>250831</v>
      </c>
      <c r="I10588">
        <v>4369</v>
      </c>
      <c r="J10588" t="s">
        <v>188</v>
      </c>
      <c r="K10588">
        <v>410.21</v>
      </c>
      <c r="L10588">
        <v>7.89</v>
      </c>
      <c r="M10588">
        <v>17972</v>
      </c>
      <c r="N10588" t="s">
        <v>28</v>
      </c>
      <c r="O10588">
        <v>250910</v>
      </c>
      <c r="P10588">
        <v>30.96</v>
      </c>
    </row>
    <row r="10589" spans="1:16" x14ac:dyDescent="0.25">
      <c r="A10589" t="s">
        <v>3296</v>
      </c>
      <c r="B10589" t="s">
        <v>2931</v>
      </c>
      <c r="C10589">
        <v>13516</v>
      </c>
      <c r="D10589" t="str">
        <f t="shared" ref="D10589:D10597" si="161">"285503      "</f>
        <v xml:space="preserve">285503      </v>
      </c>
      <c r="E10589" t="s">
        <v>896</v>
      </c>
      <c r="F10589" t="s">
        <v>898</v>
      </c>
      <c r="G10589">
        <v>51</v>
      </c>
      <c r="H10589">
        <v>250930</v>
      </c>
      <c r="I10589">
        <v>4369</v>
      </c>
      <c r="J10589" t="s">
        <v>188</v>
      </c>
      <c r="K10589">
        <v>411.02</v>
      </c>
      <c r="L10589">
        <v>10.36</v>
      </c>
      <c r="M10589">
        <v>11603</v>
      </c>
      <c r="N10589" t="s">
        <v>897</v>
      </c>
      <c r="O10589">
        <v>251010</v>
      </c>
      <c r="P10589">
        <v>40.64</v>
      </c>
    </row>
    <row r="10590" spans="1:16" x14ac:dyDescent="0.25">
      <c r="A10590" t="s">
        <v>3296</v>
      </c>
      <c r="B10590" t="s">
        <v>2931</v>
      </c>
      <c r="C10590">
        <v>13516</v>
      </c>
      <c r="D10590" t="str">
        <f t="shared" si="161"/>
        <v xml:space="preserve">285503      </v>
      </c>
      <c r="E10590" t="s">
        <v>896</v>
      </c>
      <c r="F10590" t="s">
        <v>898</v>
      </c>
      <c r="G10590">
        <v>14.48</v>
      </c>
      <c r="H10590">
        <v>250930</v>
      </c>
      <c r="I10590">
        <v>4369</v>
      </c>
      <c r="J10590" t="s">
        <v>188</v>
      </c>
      <c r="K10590">
        <v>411.02</v>
      </c>
      <c r="L10590">
        <v>2.94</v>
      </c>
      <c r="M10590">
        <v>13540</v>
      </c>
      <c r="N10590" t="s">
        <v>131</v>
      </c>
      <c r="O10590">
        <v>251010</v>
      </c>
      <c r="P10590">
        <v>11.54</v>
      </c>
    </row>
    <row r="10591" spans="1:16" x14ac:dyDescent="0.25">
      <c r="A10591" t="s">
        <v>3296</v>
      </c>
      <c r="B10591" t="s">
        <v>2931</v>
      </c>
      <c r="C10591">
        <v>13516</v>
      </c>
      <c r="D10591" t="str">
        <f t="shared" si="161"/>
        <v xml:space="preserve">285503      </v>
      </c>
      <c r="E10591" t="s">
        <v>896</v>
      </c>
      <c r="F10591" t="s">
        <v>898</v>
      </c>
      <c r="G10591">
        <v>98.72</v>
      </c>
      <c r="H10591">
        <v>250930</v>
      </c>
      <c r="I10591">
        <v>4369</v>
      </c>
      <c r="J10591" t="s">
        <v>188</v>
      </c>
      <c r="K10591">
        <v>411.02</v>
      </c>
      <c r="L10591">
        <v>20.059999999999999</v>
      </c>
      <c r="M10591">
        <v>17950</v>
      </c>
      <c r="N10591" t="s">
        <v>132</v>
      </c>
      <c r="O10591">
        <v>251010</v>
      </c>
      <c r="P10591">
        <v>78.66</v>
      </c>
    </row>
    <row r="10592" spans="1:16" x14ac:dyDescent="0.25">
      <c r="A10592" t="s">
        <v>3296</v>
      </c>
      <c r="B10592" t="s">
        <v>2931</v>
      </c>
      <c r="C10592">
        <v>13516</v>
      </c>
      <c r="D10592" t="str">
        <f t="shared" si="161"/>
        <v xml:space="preserve">285503      </v>
      </c>
      <c r="E10592" t="s">
        <v>896</v>
      </c>
      <c r="F10592" t="s">
        <v>898</v>
      </c>
      <c r="G10592">
        <v>51.78</v>
      </c>
      <c r="H10592">
        <v>250930</v>
      </c>
      <c r="I10592">
        <v>4369</v>
      </c>
      <c r="J10592" t="s">
        <v>188</v>
      </c>
      <c r="K10592">
        <v>411.02</v>
      </c>
      <c r="L10592">
        <v>10.52</v>
      </c>
      <c r="M10592">
        <v>17951</v>
      </c>
      <c r="N10592" t="s">
        <v>207</v>
      </c>
      <c r="O10592">
        <v>251010</v>
      </c>
      <c r="P10592">
        <v>41.26</v>
      </c>
    </row>
    <row r="10593" spans="1:16" x14ac:dyDescent="0.25">
      <c r="A10593" t="s">
        <v>3296</v>
      </c>
      <c r="B10593" t="s">
        <v>2931</v>
      </c>
      <c r="C10593">
        <v>13516</v>
      </c>
      <c r="D10593" t="str">
        <f t="shared" si="161"/>
        <v xml:space="preserve">285503      </v>
      </c>
      <c r="E10593" t="s">
        <v>896</v>
      </c>
      <c r="F10593" t="s">
        <v>898</v>
      </c>
      <c r="G10593">
        <v>31.18</v>
      </c>
      <c r="H10593">
        <v>250930</v>
      </c>
      <c r="I10593">
        <v>4369</v>
      </c>
      <c r="J10593" t="s">
        <v>188</v>
      </c>
      <c r="K10593">
        <v>411.02</v>
      </c>
      <c r="L10593">
        <v>6.34</v>
      </c>
      <c r="M10593">
        <v>17955</v>
      </c>
      <c r="N10593" t="s">
        <v>899</v>
      </c>
      <c r="O10593">
        <v>251010</v>
      </c>
      <c r="P10593">
        <v>24.84</v>
      </c>
    </row>
    <row r="10594" spans="1:16" x14ac:dyDescent="0.25">
      <c r="A10594" t="s">
        <v>3296</v>
      </c>
      <c r="B10594" t="s">
        <v>2931</v>
      </c>
      <c r="C10594">
        <v>13516</v>
      </c>
      <c r="D10594" t="str">
        <f t="shared" si="161"/>
        <v xml:space="preserve">285503      </v>
      </c>
      <c r="E10594" t="s">
        <v>896</v>
      </c>
      <c r="F10594" t="s">
        <v>898</v>
      </c>
      <c r="G10594">
        <v>18.43</v>
      </c>
      <c r="H10594">
        <v>250930</v>
      </c>
      <c r="I10594">
        <v>4369</v>
      </c>
      <c r="J10594" t="s">
        <v>188</v>
      </c>
      <c r="K10594">
        <v>411.02</v>
      </c>
      <c r="L10594">
        <v>3.74</v>
      </c>
      <c r="M10594">
        <v>17956</v>
      </c>
      <c r="N10594" t="s">
        <v>170</v>
      </c>
      <c r="O10594">
        <v>251010</v>
      </c>
      <c r="P10594">
        <v>14.69</v>
      </c>
    </row>
    <row r="10595" spans="1:16" x14ac:dyDescent="0.25">
      <c r="A10595" t="s">
        <v>3296</v>
      </c>
      <c r="B10595" t="s">
        <v>2931</v>
      </c>
      <c r="C10595">
        <v>13516</v>
      </c>
      <c r="D10595" t="str">
        <f t="shared" si="161"/>
        <v xml:space="preserve">285503      </v>
      </c>
      <c r="E10595" t="s">
        <v>896</v>
      </c>
      <c r="F10595" t="s">
        <v>898</v>
      </c>
      <c r="G10595">
        <v>86.58</v>
      </c>
      <c r="H10595">
        <v>250930</v>
      </c>
      <c r="I10595">
        <v>4369</v>
      </c>
      <c r="J10595" t="s">
        <v>188</v>
      </c>
      <c r="K10595">
        <v>411.02</v>
      </c>
      <c r="L10595">
        <v>17.59</v>
      </c>
      <c r="M10595">
        <v>17956</v>
      </c>
      <c r="N10595" t="s">
        <v>170</v>
      </c>
      <c r="O10595">
        <v>251010</v>
      </c>
      <c r="P10595">
        <v>68.989999999999995</v>
      </c>
    </row>
    <row r="10596" spans="1:16" x14ac:dyDescent="0.25">
      <c r="A10596" t="s">
        <v>3296</v>
      </c>
      <c r="B10596" t="s">
        <v>2931</v>
      </c>
      <c r="C10596">
        <v>13516</v>
      </c>
      <c r="D10596" t="str">
        <f t="shared" si="161"/>
        <v xml:space="preserve">285503      </v>
      </c>
      <c r="E10596" t="s">
        <v>896</v>
      </c>
      <c r="F10596" t="s">
        <v>898</v>
      </c>
      <c r="G10596">
        <v>20</v>
      </c>
      <c r="H10596">
        <v>250930</v>
      </c>
      <c r="I10596">
        <v>4369</v>
      </c>
      <c r="J10596" t="s">
        <v>188</v>
      </c>
      <c r="K10596">
        <v>411.02</v>
      </c>
      <c r="L10596">
        <v>4.0599999999999996</v>
      </c>
      <c r="M10596">
        <v>17971</v>
      </c>
      <c r="N10596" t="s">
        <v>27</v>
      </c>
      <c r="O10596">
        <v>251010</v>
      </c>
      <c r="P10596">
        <v>15.94</v>
      </c>
    </row>
    <row r="10597" spans="1:16" x14ac:dyDescent="0.25">
      <c r="A10597" t="s">
        <v>3296</v>
      </c>
      <c r="B10597" t="s">
        <v>2931</v>
      </c>
      <c r="C10597">
        <v>13516</v>
      </c>
      <c r="D10597" t="str">
        <f t="shared" si="161"/>
        <v xml:space="preserve">285503      </v>
      </c>
      <c r="E10597" t="s">
        <v>896</v>
      </c>
      <c r="F10597" t="s">
        <v>898</v>
      </c>
      <c r="G10597">
        <v>38.85</v>
      </c>
      <c r="H10597">
        <v>250930</v>
      </c>
      <c r="I10597">
        <v>4369</v>
      </c>
      <c r="J10597" t="s">
        <v>188</v>
      </c>
      <c r="K10597">
        <v>411.02</v>
      </c>
      <c r="L10597">
        <v>7.89</v>
      </c>
      <c r="M10597">
        <v>17972</v>
      </c>
      <c r="N10597" t="s">
        <v>28</v>
      </c>
      <c r="O10597">
        <v>251010</v>
      </c>
      <c r="P10597">
        <v>30.96</v>
      </c>
    </row>
    <row r="10598" spans="1:16" x14ac:dyDescent="0.25">
      <c r="A10598" t="s">
        <v>3296</v>
      </c>
      <c r="B10598" t="s">
        <v>2931</v>
      </c>
      <c r="C10598">
        <v>15014</v>
      </c>
      <c r="D10598" t="str">
        <f t="shared" ref="D10598:D10606" si="162">"289281      "</f>
        <v xml:space="preserve">289281      </v>
      </c>
      <c r="E10598" t="s">
        <v>896</v>
      </c>
      <c r="F10598" t="s">
        <v>898</v>
      </c>
      <c r="G10598">
        <v>51</v>
      </c>
      <c r="H10598">
        <v>251031</v>
      </c>
      <c r="I10598">
        <v>4369</v>
      </c>
      <c r="J10598" t="s">
        <v>188</v>
      </c>
      <c r="K10598">
        <v>410.5</v>
      </c>
      <c r="L10598">
        <v>10.36</v>
      </c>
      <c r="M10598">
        <v>11603</v>
      </c>
      <c r="N10598" t="s">
        <v>897</v>
      </c>
      <c r="O10598">
        <v>251110</v>
      </c>
      <c r="P10598">
        <v>40.64</v>
      </c>
    </row>
    <row r="10599" spans="1:16" x14ac:dyDescent="0.25">
      <c r="A10599" t="s">
        <v>3296</v>
      </c>
      <c r="B10599" t="s">
        <v>2931</v>
      </c>
      <c r="C10599">
        <v>15014</v>
      </c>
      <c r="D10599" t="str">
        <f t="shared" si="162"/>
        <v xml:space="preserve">289281      </v>
      </c>
      <c r="E10599" t="s">
        <v>896</v>
      </c>
      <c r="F10599" t="s">
        <v>898</v>
      </c>
      <c r="G10599">
        <v>14.42</v>
      </c>
      <c r="H10599">
        <v>251031</v>
      </c>
      <c r="I10599">
        <v>4369</v>
      </c>
      <c r="J10599" t="s">
        <v>188</v>
      </c>
      <c r="K10599">
        <v>410.5</v>
      </c>
      <c r="L10599">
        <v>2.93</v>
      </c>
      <c r="M10599">
        <v>13540</v>
      </c>
      <c r="N10599" t="s">
        <v>131</v>
      </c>
      <c r="O10599">
        <v>251110</v>
      </c>
      <c r="P10599">
        <v>11.49</v>
      </c>
    </row>
    <row r="10600" spans="1:16" x14ac:dyDescent="0.25">
      <c r="A10600" t="s">
        <v>3296</v>
      </c>
      <c r="B10600" t="s">
        <v>2931</v>
      </c>
      <c r="C10600">
        <v>15014</v>
      </c>
      <c r="D10600" t="str">
        <f t="shared" si="162"/>
        <v xml:space="preserve">289281      </v>
      </c>
      <c r="E10600" t="s">
        <v>896</v>
      </c>
      <c r="F10600" t="s">
        <v>898</v>
      </c>
      <c r="G10600">
        <v>98.33</v>
      </c>
      <c r="H10600">
        <v>251031</v>
      </c>
      <c r="I10600">
        <v>4369</v>
      </c>
      <c r="J10600" t="s">
        <v>188</v>
      </c>
      <c r="K10600">
        <v>410.5</v>
      </c>
      <c r="L10600">
        <v>19.98</v>
      </c>
      <c r="M10600">
        <v>17950</v>
      </c>
      <c r="N10600" t="s">
        <v>132</v>
      </c>
      <c r="O10600">
        <v>251110</v>
      </c>
      <c r="P10600">
        <v>78.349999999999994</v>
      </c>
    </row>
    <row r="10601" spans="1:16" x14ac:dyDescent="0.25">
      <c r="A10601" t="s">
        <v>3296</v>
      </c>
      <c r="B10601" t="s">
        <v>2931</v>
      </c>
      <c r="C10601">
        <v>15014</v>
      </c>
      <c r="D10601" t="str">
        <f t="shared" si="162"/>
        <v xml:space="preserve">289281      </v>
      </c>
      <c r="E10601" t="s">
        <v>896</v>
      </c>
      <c r="F10601" t="s">
        <v>898</v>
      </c>
      <c r="G10601">
        <v>51.78</v>
      </c>
      <c r="H10601">
        <v>251031</v>
      </c>
      <c r="I10601">
        <v>4369</v>
      </c>
      <c r="J10601" t="s">
        <v>188</v>
      </c>
      <c r="K10601">
        <v>410.5</v>
      </c>
      <c r="L10601">
        <v>10.52</v>
      </c>
      <c r="M10601">
        <v>17951</v>
      </c>
      <c r="N10601" t="s">
        <v>207</v>
      </c>
      <c r="O10601">
        <v>251110</v>
      </c>
      <c r="P10601">
        <v>41.26</v>
      </c>
    </row>
    <row r="10602" spans="1:16" x14ac:dyDescent="0.25">
      <c r="A10602" t="s">
        <v>3296</v>
      </c>
      <c r="B10602" t="s">
        <v>2931</v>
      </c>
      <c r="C10602">
        <v>15014</v>
      </c>
      <c r="D10602" t="str">
        <f t="shared" si="162"/>
        <v xml:space="preserve">289281      </v>
      </c>
      <c r="E10602" t="s">
        <v>896</v>
      </c>
      <c r="F10602" t="s">
        <v>898</v>
      </c>
      <c r="G10602">
        <v>31.18</v>
      </c>
      <c r="H10602">
        <v>251031</v>
      </c>
      <c r="I10602">
        <v>4369</v>
      </c>
      <c r="J10602" t="s">
        <v>188</v>
      </c>
      <c r="K10602">
        <v>410.5</v>
      </c>
      <c r="L10602">
        <v>6.34</v>
      </c>
      <c r="M10602">
        <v>17955</v>
      </c>
      <c r="N10602" t="s">
        <v>899</v>
      </c>
      <c r="O10602">
        <v>251110</v>
      </c>
      <c r="P10602">
        <v>24.84</v>
      </c>
    </row>
    <row r="10603" spans="1:16" x14ac:dyDescent="0.25">
      <c r="A10603" t="s">
        <v>3296</v>
      </c>
      <c r="B10603" t="s">
        <v>2931</v>
      </c>
      <c r="C10603">
        <v>15014</v>
      </c>
      <c r="D10603" t="str">
        <f t="shared" si="162"/>
        <v xml:space="preserve">289281      </v>
      </c>
      <c r="E10603" t="s">
        <v>896</v>
      </c>
      <c r="F10603" t="s">
        <v>898</v>
      </c>
      <c r="G10603">
        <v>18.36</v>
      </c>
      <c r="H10603">
        <v>251031</v>
      </c>
      <c r="I10603">
        <v>4369</v>
      </c>
      <c r="J10603" t="s">
        <v>188</v>
      </c>
      <c r="K10603">
        <v>410.5</v>
      </c>
      <c r="L10603">
        <v>3.73</v>
      </c>
      <c r="M10603">
        <v>17956</v>
      </c>
      <c r="N10603" t="s">
        <v>170</v>
      </c>
      <c r="O10603">
        <v>251110</v>
      </c>
      <c r="P10603">
        <v>14.63</v>
      </c>
    </row>
    <row r="10604" spans="1:16" x14ac:dyDescent="0.25">
      <c r="A10604" t="s">
        <v>3296</v>
      </c>
      <c r="B10604" t="s">
        <v>2931</v>
      </c>
      <c r="C10604">
        <v>15014</v>
      </c>
      <c r="D10604" t="str">
        <f t="shared" si="162"/>
        <v xml:space="preserve">289281      </v>
      </c>
      <c r="E10604" t="s">
        <v>896</v>
      </c>
      <c r="F10604" t="s">
        <v>898</v>
      </c>
      <c r="G10604">
        <v>86.58</v>
      </c>
      <c r="H10604">
        <v>251031</v>
      </c>
      <c r="I10604">
        <v>4369</v>
      </c>
      <c r="J10604" t="s">
        <v>188</v>
      </c>
      <c r="K10604">
        <v>410.5</v>
      </c>
      <c r="L10604">
        <v>17.59</v>
      </c>
      <c r="M10604">
        <v>17956</v>
      </c>
      <c r="N10604" t="s">
        <v>170</v>
      </c>
      <c r="O10604">
        <v>251110</v>
      </c>
      <c r="P10604">
        <v>68.989999999999995</v>
      </c>
    </row>
    <row r="10605" spans="1:16" x14ac:dyDescent="0.25">
      <c r="A10605" t="s">
        <v>3296</v>
      </c>
      <c r="B10605" t="s">
        <v>2931</v>
      </c>
      <c r="C10605">
        <v>15014</v>
      </c>
      <c r="D10605" t="str">
        <f t="shared" si="162"/>
        <v xml:space="preserve">289281      </v>
      </c>
      <c r="E10605" t="s">
        <v>896</v>
      </c>
      <c r="F10605" t="s">
        <v>898</v>
      </c>
      <c r="G10605">
        <v>20</v>
      </c>
      <c r="H10605">
        <v>251031</v>
      </c>
      <c r="I10605">
        <v>4369</v>
      </c>
      <c r="J10605" t="s">
        <v>188</v>
      </c>
      <c r="K10605">
        <v>410.5</v>
      </c>
      <c r="L10605">
        <v>4.0599999999999996</v>
      </c>
      <c r="M10605">
        <v>17971</v>
      </c>
      <c r="N10605" t="s">
        <v>27</v>
      </c>
      <c r="O10605">
        <v>251110</v>
      </c>
      <c r="P10605">
        <v>15.94</v>
      </c>
    </row>
    <row r="10606" spans="1:16" x14ac:dyDescent="0.25">
      <c r="A10606" t="s">
        <v>3296</v>
      </c>
      <c r="B10606" t="s">
        <v>2931</v>
      </c>
      <c r="C10606">
        <v>15014</v>
      </c>
      <c r="D10606" t="str">
        <f t="shared" si="162"/>
        <v xml:space="preserve">289281      </v>
      </c>
      <c r="E10606" t="s">
        <v>896</v>
      </c>
      <c r="F10606" t="s">
        <v>898</v>
      </c>
      <c r="G10606">
        <v>38.85</v>
      </c>
      <c r="H10606">
        <v>251031</v>
      </c>
      <c r="I10606">
        <v>4369</v>
      </c>
      <c r="J10606" t="s">
        <v>188</v>
      </c>
      <c r="K10606">
        <v>410.5</v>
      </c>
      <c r="L10606">
        <v>7.89</v>
      </c>
      <c r="M10606">
        <v>17972</v>
      </c>
      <c r="N10606" t="s">
        <v>28</v>
      </c>
      <c r="O10606">
        <v>251110</v>
      </c>
      <c r="P10606">
        <v>30.96</v>
      </c>
    </row>
    <row r="10607" spans="1:16" x14ac:dyDescent="0.25">
      <c r="A10607" t="s">
        <v>3296</v>
      </c>
      <c r="B10607" t="s">
        <v>2931</v>
      </c>
      <c r="C10607">
        <v>16289</v>
      </c>
      <c r="D10607" t="str">
        <f t="shared" ref="D10607:D10615" si="163">"293196      "</f>
        <v xml:space="preserve">293196      </v>
      </c>
      <c r="E10607" t="s">
        <v>896</v>
      </c>
      <c r="F10607" t="s">
        <v>898</v>
      </c>
      <c r="G10607">
        <v>51</v>
      </c>
      <c r="H10607">
        <v>251130</v>
      </c>
      <c r="I10607">
        <v>4369</v>
      </c>
      <c r="J10607" t="s">
        <v>188</v>
      </c>
      <c r="K10607">
        <v>411.28</v>
      </c>
      <c r="L10607">
        <v>10.36</v>
      </c>
      <c r="M10607">
        <v>11603</v>
      </c>
      <c r="N10607" t="s">
        <v>897</v>
      </c>
      <c r="O10607">
        <v>251205</v>
      </c>
      <c r="P10607">
        <v>40.64</v>
      </c>
    </row>
    <row r="10608" spans="1:16" x14ac:dyDescent="0.25">
      <c r="A10608" t="s">
        <v>3296</v>
      </c>
      <c r="B10608" t="s">
        <v>2931</v>
      </c>
      <c r="C10608">
        <v>16289</v>
      </c>
      <c r="D10608" t="str">
        <f t="shared" si="163"/>
        <v xml:space="preserve">293196      </v>
      </c>
      <c r="E10608" t="s">
        <v>896</v>
      </c>
      <c r="F10608" t="s">
        <v>898</v>
      </c>
      <c r="G10608">
        <v>14.51</v>
      </c>
      <c r="H10608">
        <v>251130</v>
      </c>
      <c r="I10608">
        <v>4369</v>
      </c>
      <c r="J10608" t="s">
        <v>188</v>
      </c>
      <c r="K10608">
        <v>411.28</v>
      </c>
      <c r="L10608">
        <v>2.95</v>
      </c>
      <c r="M10608">
        <v>13540</v>
      </c>
      <c r="N10608" t="s">
        <v>131</v>
      </c>
      <c r="O10608">
        <v>251205</v>
      </c>
      <c r="P10608">
        <v>11.56</v>
      </c>
    </row>
    <row r="10609" spans="1:16" x14ac:dyDescent="0.25">
      <c r="A10609" t="s">
        <v>3296</v>
      </c>
      <c r="B10609" t="s">
        <v>2931</v>
      </c>
      <c r="C10609">
        <v>16289</v>
      </c>
      <c r="D10609" t="str">
        <f t="shared" si="163"/>
        <v xml:space="preserve">293196      </v>
      </c>
      <c r="E10609" t="s">
        <v>896</v>
      </c>
      <c r="F10609" t="s">
        <v>898</v>
      </c>
      <c r="G10609">
        <v>98.92</v>
      </c>
      <c r="H10609">
        <v>251130</v>
      </c>
      <c r="I10609">
        <v>4369</v>
      </c>
      <c r="J10609" t="s">
        <v>188</v>
      </c>
      <c r="K10609">
        <v>411.28</v>
      </c>
      <c r="L10609">
        <v>20.100000000000001</v>
      </c>
      <c r="M10609">
        <v>17950</v>
      </c>
      <c r="N10609" t="s">
        <v>132</v>
      </c>
      <c r="O10609">
        <v>251205</v>
      </c>
      <c r="P10609">
        <v>78.819999999999993</v>
      </c>
    </row>
    <row r="10610" spans="1:16" x14ac:dyDescent="0.25">
      <c r="A10610" t="s">
        <v>3296</v>
      </c>
      <c r="B10610" t="s">
        <v>2931</v>
      </c>
      <c r="C10610">
        <v>16289</v>
      </c>
      <c r="D10610" t="str">
        <f t="shared" si="163"/>
        <v xml:space="preserve">293196      </v>
      </c>
      <c r="E10610" t="s">
        <v>896</v>
      </c>
      <c r="F10610" t="s">
        <v>898</v>
      </c>
      <c r="G10610">
        <v>51.78</v>
      </c>
      <c r="H10610">
        <v>251130</v>
      </c>
      <c r="I10610">
        <v>4369</v>
      </c>
      <c r="J10610" t="s">
        <v>188</v>
      </c>
      <c r="K10610">
        <v>411.28</v>
      </c>
      <c r="L10610">
        <v>10.52</v>
      </c>
      <c r="M10610">
        <v>17951</v>
      </c>
      <c r="N10610" t="s">
        <v>207</v>
      </c>
      <c r="O10610">
        <v>251205</v>
      </c>
      <c r="P10610">
        <v>41.26</v>
      </c>
    </row>
    <row r="10611" spans="1:16" x14ac:dyDescent="0.25">
      <c r="A10611" t="s">
        <v>3296</v>
      </c>
      <c r="B10611" t="s">
        <v>2931</v>
      </c>
      <c r="C10611">
        <v>16289</v>
      </c>
      <c r="D10611" t="str">
        <f t="shared" si="163"/>
        <v xml:space="preserve">293196      </v>
      </c>
      <c r="E10611" t="s">
        <v>896</v>
      </c>
      <c r="F10611" t="s">
        <v>898</v>
      </c>
      <c r="G10611">
        <v>31.18</v>
      </c>
      <c r="H10611">
        <v>251130</v>
      </c>
      <c r="I10611">
        <v>4369</v>
      </c>
      <c r="J10611" t="s">
        <v>188</v>
      </c>
      <c r="K10611">
        <v>411.28</v>
      </c>
      <c r="L10611">
        <v>6.34</v>
      </c>
      <c r="M10611">
        <v>17955</v>
      </c>
      <c r="N10611" t="s">
        <v>899</v>
      </c>
      <c r="O10611">
        <v>251205</v>
      </c>
      <c r="P10611">
        <v>24.84</v>
      </c>
    </row>
    <row r="10612" spans="1:16" x14ac:dyDescent="0.25">
      <c r="A10612" t="s">
        <v>3296</v>
      </c>
      <c r="B10612" t="s">
        <v>2931</v>
      </c>
      <c r="C10612">
        <v>16289</v>
      </c>
      <c r="D10612" t="str">
        <f t="shared" si="163"/>
        <v xml:space="preserve">293196      </v>
      </c>
      <c r="E10612" t="s">
        <v>896</v>
      </c>
      <c r="F10612" t="s">
        <v>898</v>
      </c>
      <c r="G10612">
        <v>18.46</v>
      </c>
      <c r="H10612">
        <v>251130</v>
      </c>
      <c r="I10612">
        <v>4369</v>
      </c>
      <c r="J10612" t="s">
        <v>188</v>
      </c>
      <c r="K10612">
        <v>411.28</v>
      </c>
      <c r="L10612">
        <v>3.75</v>
      </c>
      <c r="M10612">
        <v>17956</v>
      </c>
      <c r="N10612" t="s">
        <v>170</v>
      </c>
      <c r="O10612">
        <v>251205</v>
      </c>
      <c r="P10612">
        <v>14.71</v>
      </c>
    </row>
    <row r="10613" spans="1:16" x14ac:dyDescent="0.25">
      <c r="A10613" t="s">
        <v>3296</v>
      </c>
      <c r="B10613" t="s">
        <v>2931</v>
      </c>
      <c r="C10613">
        <v>16289</v>
      </c>
      <c r="D10613" t="str">
        <f t="shared" si="163"/>
        <v xml:space="preserve">293196      </v>
      </c>
      <c r="E10613" t="s">
        <v>896</v>
      </c>
      <c r="F10613" t="s">
        <v>898</v>
      </c>
      <c r="G10613">
        <v>86.58</v>
      </c>
      <c r="H10613">
        <v>251130</v>
      </c>
      <c r="I10613">
        <v>4369</v>
      </c>
      <c r="J10613" t="s">
        <v>188</v>
      </c>
      <c r="K10613">
        <v>411.28</v>
      </c>
      <c r="L10613">
        <v>17.59</v>
      </c>
      <c r="M10613">
        <v>17956</v>
      </c>
      <c r="N10613" t="s">
        <v>170</v>
      </c>
      <c r="O10613">
        <v>251205</v>
      </c>
      <c r="P10613">
        <v>68.989999999999995</v>
      </c>
    </row>
    <row r="10614" spans="1:16" x14ac:dyDescent="0.25">
      <c r="A10614" t="s">
        <v>3296</v>
      </c>
      <c r="B10614" t="s">
        <v>2931</v>
      </c>
      <c r="C10614">
        <v>16289</v>
      </c>
      <c r="D10614" t="str">
        <f t="shared" si="163"/>
        <v xml:space="preserve">293196      </v>
      </c>
      <c r="E10614" t="s">
        <v>896</v>
      </c>
      <c r="F10614" t="s">
        <v>898</v>
      </c>
      <c r="G10614">
        <v>20</v>
      </c>
      <c r="H10614">
        <v>251130</v>
      </c>
      <c r="I10614">
        <v>4369</v>
      </c>
      <c r="J10614" t="s">
        <v>188</v>
      </c>
      <c r="K10614">
        <v>411.28</v>
      </c>
      <c r="L10614">
        <v>4.0599999999999996</v>
      </c>
      <c r="M10614">
        <v>17971</v>
      </c>
      <c r="N10614" t="s">
        <v>27</v>
      </c>
      <c r="O10614">
        <v>251205</v>
      </c>
      <c r="P10614">
        <v>15.94</v>
      </c>
    </row>
    <row r="10615" spans="1:16" x14ac:dyDescent="0.25">
      <c r="A10615" t="s">
        <v>3296</v>
      </c>
      <c r="B10615" t="s">
        <v>2931</v>
      </c>
      <c r="C10615">
        <v>16289</v>
      </c>
      <c r="D10615" t="str">
        <f t="shared" si="163"/>
        <v xml:space="preserve">293196      </v>
      </c>
      <c r="E10615" t="s">
        <v>896</v>
      </c>
      <c r="F10615" t="s">
        <v>898</v>
      </c>
      <c r="G10615">
        <v>38.85</v>
      </c>
      <c r="H10615">
        <v>251130</v>
      </c>
      <c r="I10615">
        <v>4369</v>
      </c>
      <c r="J10615" t="s">
        <v>188</v>
      </c>
      <c r="K10615">
        <v>411.28</v>
      </c>
      <c r="L10615">
        <v>7.89</v>
      </c>
      <c r="M10615">
        <v>17972</v>
      </c>
      <c r="N10615" t="s">
        <v>28</v>
      </c>
      <c r="O10615">
        <v>251205</v>
      </c>
      <c r="P10615">
        <v>30.96</v>
      </c>
    </row>
    <row r="10616" spans="1:16" x14ac:dyDescent="0.25">
      <c r="A10616" t="s">
        <v>3296</v>
      </c>
      <c r="B10616" t="s">
        <v>2931</v>
      </c>
      <c r="C10616">
        <v>18202</v>
      </c>
      <c r="D10616" t="str">
        <f t="shared" ref="D10616:D10624" si="164">"297070      "</f>
        <v xml:space="preserve">297070      </v>
      </c>
      <c r="E10616" t="s">
        <v>896</v>
      </c>
      <c r="F10616" t="s">
        <v>898</v>
      </c>
      <c r="G10616">
        <v>51</v>
      </c>
      <c r="H10616">
        <v>251231</v>
      </c>
      <c r="I10616">
        <v>4369</v>
      </c>
      <c r="J10616" t="s">
        <v>188</v>
      </c>
      <c r="K10616">
        <v>409.56</v>
      </c>
      <c r="L10616">
        <v>10.36</v>
      </c>
      <c r="M10616">
        <v>11603</v>
      </c>
      <c r="N10616" t="s">
        <v>897</v>
      </c>
      <c r="O10616">
        <v>260109</v>
      </c>
      <c r="P10616">
        <v>40.64</v>
      </c>
    </row>
    <row r="10617" spans="1:16" x14ac:dyDescent="0.25">
      <c r="A10617" t="s">
        <v>3296</v>
      </c>
      <c r="B10617" t="s">
        <v>2931</v>
      </c>
      <c r="C10617">
        <v>18202</v>
      </c>
      <c r="D10617" t="str">
        <f t="shared" si="164"/>
        <v xml:space="preserve">297070      </v>
      </c>
      <c r="E10617" t="s">
        <v>896</v>
      </c>
      <c r="F10617" t="s">
        <v>898</v>
      </c>
      <c r="G10617">
        <v>14.32</v>
      </c>
      <c r="H10617">
        <v>251231</v>
      </c>
      <c r="I10617">
        <v>4369</v>
      </c>
      <c r="J10617" t="s">
        <v>188</v>
      </c>
      <c r="K10617">
        <v>409.56</v>
      </c>
      <c r="L10617">
        <v>2.91</v>
      </c>
      <c r="M10617">
        <v>13540</v>
      </c>
      <c r="N10617" t="s">
        <v>131</v>
      </c>
      <c r="O10617">
        <v>260109</v>
      </c>
      <c r="P10617">
        <v>11.41</v>
      </c>
    </row>
    <row r="10618" spans="1:16" x14ac:dyDescent="0.25">
      <c r="A10618" t="s">
        <v>3296</v>
      </c>
      <c r="B10618" t="s">
        <v>2931</v>
      </c>
      <c r="C10618">
        <v>18202</v>
      </c>
      <c r="D10618" t="str">
        <f t="shared" si="164"/>
        <v xml:space="preserve">297070      </v>
      </c>
      <c r="E10618" t="s">
        <v>896</v>
      </c>
      <c r="F10618" t="s">
        <v>898</v>
      </c>
      <c r="G10618">
        <v>97.63</v>
      </c>
      <c r="H10618">
        <v>251231</v>
      </c>
      <c r="I10618">
        <v>4369</v>
      </c>
      <c r="J10618" t="s">
        <v>188</v>
      </c>
      <c r="K10618">
        <v>409.56</v>
      </c>
      <c r="L10618">
        <v>19.84</v>
      </c>
      <c r="M10618">
        <v>17950</v>
      </c>
      <c r="N10618" t="s">
        <v>132</v>
      </c>
      <c r="O10618">
        <v>260109</v>
      </c>
      <c r="P10618">
        <v>77.790000000000006</v>
      </c>
    </row>
    <row r="10619" spans="1:16" x14ac:dyDescent="0.25">
      <c r="A10619" t="s">
        <v>3296</v>
      </c>
      <c r="B10619" t="s">
        <v>2931</v>
      </c>
      <c r="C10619">
        <v>18202</v>
      </c>
      <c r="D10619" t="str">
        <f t="shared" si="164"/>
        <v xml:space="preserve">297070      </v>
      </c>
      <c r="E10619" t="s">
        <v>896</v>
      </c>
      <c r="F10619" t="s">
        <v>898</v>
      </c>
      <c r="G10619">
        <v>51.78</v>
      </c>
      <c r="H10619">
        <v>251231</v>
      </c>
      <c r="I10619">
        <v>4369</v>
      </c>
      <c r="J10619" t="s">
        <v>188</v>
      </c>
      <c r="K10619">
        <v>409.56</v>
      </c>
      <c r="L10619">
        <v>10.52</v>
      </c>
      <c r="M10619">
        <v>17951</v>
      </c>
      <c r="N10619" t="s">
        <v>207</v>
      </c>
      <c r="O10619">
        <v>260109</v>
      </c>
      <c r="P10619">
        <v>41.26</v>
      </c>
    </row>
    <row r="10620" spans="1:16" x14ac:dyDescent="0.25">
      <c r="A10620" t="s">
        <v>3296</v>
      </c>
      <c r="B10620" t="s">
        <v>2931</v>
      </c>
      <c r="C10620">
        <v>18202</v>
      </c>
      <c r="D10620" t="str">
        <f t="shared" si="164"/>
        <v xml:space="preserve">297070      </v>
      </c>
      <c r="E10620" t="s">
        <v>896</v>
      </c>
      <c r="F10620" t="s">
        <v>898</v>
      </c>
      <c r="G10620">
        <v>31.18</v>
      </c>
      <c r="H10620">
        <v>251231</v>
      </c>
      <c r="I10620">
        <v>4369</v>
      </c>
      <c r="J10620" t="s">
        <v>188</v>
      </c>
      <c r="K10620">
        <v>409.56</v>
      </c>
      <c r="L10620">
        <v>6.34</v>
      </c>
      <c r="M10620">
        <v>17955</v>
      </c>
      <c r="N10620" t="s">
        <v>899</v>
      </c>
      <c r="O10620">
        <v>260109</v>
      </c>
      <c r="P10620">
        <v>24.84</v>
      </c>
    </row>
    <row r="10621" spans="1:16" x14ac:dyDescent="0.25">
      <c r="A10621" t="s">
        <v>3296</v>
      </c>
      <c r="B10621" t="s">
        <v>2931</v>
      </c>
      <c r="C10621">
        <v>18202</v>
      </c>
      <c r="D10621" t="str">
        <f t="shared" si="164"/>
        <v xml:space="preserve">297070      </v>
      </c>
      <c r="E10621" t="s">
        <v>896</v>
      </c>
      <c r="F10621" t="s">
        <v>898</v>
      </c>
      <c r="G10621">
        <v>18.22</v>
      </c>
      <c r="H10621">
        <v>251231</v>
      </c>
      <c r="I10621">
        <v>4369</v>
      </c>
      <c r="J10621" t="s">
        <v>188</v>
      </c>
      <c r="K10621">
        <v>409.56</v>
      </c>
      <c r="L10621">
        <v>3.7</v>
      </c>
      <c r="M10621">
        <v>17956</v>
      </c>
      <c r="N10621" t="s">
        <v>170</v>
      </c>
      <c r="O10621">
        <v>260109</v>
      </c>
      <c r="P10621">
        <v>14.52</v>
      </c>
    </row>
    <row r="10622" spans="1:16" x14ac:dyDescent="0.25">
      <c r="A10622" t="s">
        <v>3296</v>
      </c>
      <c r="B10622" t="s">
        <v>2931</v>
      </c>
      <c r="C10622">
        <v>18202</v>
      </c>
      <c r="D10622" t="str">
        <f t="shared" si="164"/>
        <v xml:space="preserve">297070      </v>
      </c>
      <c r="E10622" t="s">
        <v>896</v>
      </c>
      <c r="F10622" t="s">
        <v>898</v>
      </c>
      <c r="G10622">
        <v>86.58</v>
      </c>
      <c r="H10622">
        <v>251231</v>
      </c>
      <c r="I10622">
        <v>4369</v>
      </c>
      <c r="J10622" t="s">
        <v>188</v>
      </c>
      <c r="K10622">
        <v>409.56</v>
      </c>
      <c r="L10622">
        <v>17.59</v>
      </c>
      <c r="M10622">
        <v>17956</v>
      </c>
      <c r="N10622" t="s">
        <v>170</v>
      </c>
      <c r="O10622">
        <v>260109</v>
      </c>
      <c r="P10622">
        <v>68.989999999999995</v>
      </c>
    </row>
    <row r="10623" spans="1:16" x14ac:dyDescent="0.25">
      <c r="A10623" t="s">
        <v>3296</v>
      </c>
      <c r="B10623" t="s">
        <v>2931</v>
      </c>
      <c r="C10623">
        <v>18202</v>
      </c>
      <c r="D10623" t="str">
        <f t="shared" si="164"/>
        <v xml:space="preserve">297070      </v>
      </c>
      <c r="E10623" t="s">
        <v>896</v>
      </c>
      <c r="F10623" t="s">
        <v>898</v>
      </c>
      <c r="G10623">
        <v>20</v>
      </c>
      <c r="H10623">
        <v>251231</v>
      </c>
      <c r="I10623">
        <v>4369</v>
      </c>
      <c r="J10623" t="s">
        <v>188</v>
      </c>
      <c r="K10623">
        <v>409.56</v>
      </c>
      <c r="L10623">
        <v>4.0599999999999996</v>
      </c>
      <c r="M10623">
        <v>17971</v>
      </c>
      <c r="N10623" t="s">
        <v>27</v>
      </c>
      <c r="O10623">
        <v>260109</v>
      </c>
      <c r="P10623">
        <v>15.94</v>
      </c>
    </row>
    <row r="10624" spans="1:16" x14ac:dyDescent="0.25">
      <c r="A10624" t="s">
        <v>3296</v>
      </c>
      <c r="B10624" t="s">
        <v>2931</v>
      </c>
      <c r="C10624">
        <v>18202</v>
      </c>
      <c r="D10624" t="str">
        <f t="shared" si="164"/>
        <v xml:space="preserve">297070      </v>
      </c>
      <c r="E10624" t="s">
        <v>896</v>
      </c>
      <c r="F10624" t="s">
        <v>898</v>
      </c>
      <c r="G10624">
        <v>38.85</v>
      </c>
      <c r="H10624">
        <v>251231</v>
      </c>
      <c r="I10624">
        <v>4369</v>
      </c>
      <c r="J10624" t="s">
        <v>188</v>
      </c>
      <c r="K10624">
        <v>409.56</v>
      </c>
      <c r="L10624">
        <v>7.89</v>
      </c>
      <c r="M10624">
        <v>17972</v>
      </c>
      <c r="N10624" t="s">
        <v>28</v>
      </c>
      <c r="O10624">
        <v>260109</v>
      </c>
      <c r="P10624">
        <v>30.96</v>
      </c>
    </row>
    <row r="10625" spans="1:16" x14ac:dyDescent="0.25">
      <c r="A10625" t="s">
        <v>3296</v>
      </c>
      <c r="B10625" t="s">
        <v>2931</v>
      </c>
      <c r="C10625">
        <v>4523</v>
      </c>
      <c r="D10625" t="str">
        <f>"6720        "</f>
        <v xml:space="preserve">6720        </v>
      </c>
      <c r="E10625" t="s">
        <v>809</v>
      </c>
      <c r="F10625" t="s">
        <v>810</v>
      </c>
      <c r="G10625">
        <v>3.29</v>
      </c>
      <c r="H10625">
        <v>250331</v>
      </c>
      <c r="I10625">
        <v>4500</v>
      </c>
      <c r="J10625" t="s">
        <v>312</v>
      </c>
      <c r="K10625">
        <v>132.83000000000001</v>
      </c>
      <c r="L10625">
        <v>0.4</v>
      </c>
      <c r="M10625">
        <v>13801</v>
      </c>
      <c r="N10625" t="s">
        <v>33</v>
      </c>
      <c r="O10625">
        <v>250414</v>
      </c>
      <c r="P10625">
        <v>2.89</v>
      </c>
    </row>
    <row r="10626" spans="1:16" x14ac:dyDescent="0.25">
      <c r="A10626" t="s">
        <v>3296</v>
      </c>
      <c r="B10626" t="s">
        <v>2931</v>
      </c>
      <c r="C10626">
        <v>4523</v>
      </c>
      <c r="D10626" t="str">
        <f>"6720        "</f>
        <v xml:space="preserve">6720        </v>
      </c>
      <c r="E10626" t="s">
        <v>809</v>
      </c>
      <c r="F10626" t="s">
        <v>810</v>
      </c>
      <c r="G10626">
        <v>48.86</v>
      </c>
      <c r="H10626">
        <v>250331</v>
      </c>
      <c r="I10626">
        <v>4500</v>
      </c>
      <c r="J10626" t="s">
        <v>312</v>
      </c>
      <c r="K10626">
        <v>132.83000000000001</v>
      </c>
      <c r="L10626">
        <v>9.93</v>
      </c>
      <c r="M10626">
        <v>13802</v>
      </c>
      <c r="N10626" t="s">
        <v>34</v>
      </c>
      <c r="O10626">
        <v>250414</v>
      </c>
      <c r="P10626">
        <v>38.93</v>
      </c>
    </row>
    <row r="10627" spans="1:16" x14ac:dyDescent="0.25">
      <c r="A10627" t="s">
        <v>3296</v>
      </c>
      <c r="B10627" t="s">
        <v>2931</v>
      </c>
      <c r="C10627">
        <v>4203</v>
      </c>
      <c r="D10627" t="str">
        <f>"6691        "</f>
        <v xml:space="preserve">6691        </v>
      </c>
      <c r="E10627" t="s">
        <v>809</v>
      </c>
      <c r="F10627" t="s">
        <v>810</v>
      </c>
      <c r="G10627">
        <v>23</v>
      </c>
      <c r="H10627">
        <v>250403</v>
      </c>
      <c r="I10627">
        <v>4520</v>
      </c>
      <c r="J10627" t="s">
        <v>280</v>
      </c>
      <c r="K10627">
        <v>70.19</v>
      </c>
      <c r="L10627">
        <v>2.82</v>
      </c>
      <c r="M10627">
        <v>17912</v>
      </c>
      <c r="N10627" t="s">
        <v>505</v>
      </c>
      <c r="O10627">
        <v>250409</v>
      </c>
      <c r="P10627">
        <v>20.18</v>
      </c>
    </row>
    <row r="10628" spans="1:16" x14ac:dyDescent="0.25">
      <c r="A10628" t="s">
        <v>3296</v>
      </c>
      <c r="B10628" t="s">
        <v>2931</v>
      </c>
      <c r="C10628">
        <v>14580</v>
      </c>
      <c r="D10628" t="str">
        <f>"7369        "</f>
        <v xml:space="preserve">7369        </v>
      </c>
      <c r="E10628" t="s">
        <v>809</v>
      </c>
      <c r="F10628" t="s">
        <v>810</v>
      </c>
      <c r="G10628">
        <v>12.49</v>
      </c>
      <c r="H10628">
        <v>251031</v>
      </c>
      <c r="I10628">
        <v>4520</v>
      </c>
      <c r="J10628" t="s">
        <v>280</v>
      </c>
      <c r="K10628">
        <v>79.7</v>
      </c>
      <c r="L10628">
        <v>1.53</v>
      </c>
      <c r="M10628">
        <v>17912</v>
      </c>
      <c r="N10628" t="s">
        <v>505</v>
      </c>
      <c r="O10628">
        <v>251105</v>
      </c>
      <c r="P10628">
        <v>10.96</v>
      </c>
    </row>
    <row r="10629" spans="1:16" x14ac:dyDescent="0.25">
      <c r="A10629" t="s">
        <v>3296</v>
      </c>
      <c r="B10629" t="s">
        <v>2931</v>
      </c>
      <c r="C10629">
        <v>18235</v>
      </c>
      <c r="D10629" t="str">
        <f>"7757        "</f>
        <v xml:space="preserve">7757        </v>
      </c>
      <c r="E10629" t="s">
        <v>809</v>
      </c>
      <c r="F10629" t="s">
        <v>810</v>
      </c>
      <c r="G10629">
        <v>18.829999999999998</v>
      </c>
      <c r="H10629">
        <v>251231</v>
      </c>
      <c r="I10629">
        <v>4520</v>
      </c>
      <c r="J10629" t="s">
        <v>280</v>
      </c>
      <c r="K10629">
        <v>51.83</v>
      </c>
      <c r="L10629">
        <v>2.31</v>
      </c>
      <c r="M10629">
        <v>17912</v>
      </c>
      <c r="N10629" t="s">
        <v>505</v>
      </c>
      <c r="O10629">
        <v>260112</v>
      </c>
      <c r="P10629">
        <v>16.52</v>
      </c>
    </row>
    <row r="10630" spans="1:16" x14ac:dyDescent="0.25">
      <c r="A10630" t="s">
        <v>3296</v>
      </c>
      <c r="B10630" t="s">
        <v>2931</v>
      </c>
      <c r="C10630">
        <v>14651</v>
      </c>
      <c r="D10630" t="str">
        <f>"7368        "</f>
        <v xml:space="preserve">7368        </v>
      </c>
      <c r="E10630" t="s">
        <v>809</v>
      </c>
      <c r="F10630" t="s">
        <v>810</v>
      </c>
      <c r="G10630">
        <v>199</v>
      </c>
      <c r="H10630">
        <v>251031</v>
      </c>
      <c r="I10630">
        <v>4530</v>
      </c>
      <c r="J10630" t="s">
        <v>293</v>
      </c>
      <c r="K10630">
        <v>415.52</v>
      </c>
      <c r="L10630">
        <v>40.43</v>
      </c>
      <c r="M10630">
        <v>17806</v>
      </c>
      <c r="N10630" t="s">
        <v>22</v>
      </c>
      <c r="O10630">
        <v>251105</v>
      </c>
      <c r="P10630">
        <v>158.57</v>
      </c>
    </row>
    <row r="10631" spans="1:16" x14ac:dyDescent="0.25">
      <c r="A10631" t="s">
        <v>3296</v>
      </c>
      <c r="B10631" t="s">
        <v>2931</v>
      </c>
      <c r="C10631">
        <v>4759</v>
      </c>
      <c r="D10631" t="str">
        <f>"6688        "</f>
        <v xml:space="preserve">6688        </v>
      </c>
      <c r="E10631" t="s">
        <v>809</v>
      </c>
      <c r="F10631" t="s">
        <v>810</v>
      </c>
      <c r="G10631">
        <v>30.17</v>
      </c>
      <c r="H10631">
        <v>250331</v>
      </c>
      <c r="I10631">
        <v>4550</v>
      </c>
      <c r="J10631" t="s">
        <v>226</v>
      </c>
      <c r="K10631">
        <v>281.06</v>
      </c>
      <c r="L10631">
        <v>6.13</v>
      </c>
      <c r="M10631">
        <v>17951</v>
      </c>
      <c r="N10631" t="s">
        <v>207</v>
      </c>
      <c r="O10631">
        <v>250415</v>
      </c>
      <c r="P10631">
        <v>24.04</v>
      </c>
    </row>
    <row r="10632" spans="1:16" x14ac:dyDescent="0.25">
      <c r="A10632" t="s">
        <v>3296</v>
      </c>
      <c r="B10632" t="s">
        <v>2931</v>
      </c>
      <c r="C10632">
        <v>11398</v>
      </c>
      <c r="D10632" t="str">
        <f>"7144        "</f>
        <v xml:space="preserve">7144        </v>
      </c>
      <c r="E10632" t="s">
        <v>809</v>
      </c>
      <c r="F10632" t="s">
        <v>810</v>
      </c>
      <c r="G10632">
        <v>80.849999999999994</v>
      </c>
      <c r="H10632">
        <v>250831</v>
      </c>
      <c r="I10632">
        <v>4550</v>
      </c>
      <c r="J10632" t="s">
        <v>226</v>
      </c>
      <c r="K10632">
        <v>543.04</v>
      </c>
      <c r="L10632">
        <v>16.43</v>
      </c>
      <c r="M10632">
        <v>17806</v>
      </c>
      <c r="N10632" t="s">
        <v>22</v>
      </c>
      <c r="O10632">
        <v>250904</v>
      </c>
      <c r="P10632">
        <v>64.42</v>
      </c>
    </row>
    <row r="10633" spans="1:16" x14ac:dyDescent="0.25">
      <c r="A10633" t="s">
        <v>3296</v>
      </c>
      <c r="B10633" t="s">
        <v>2931</v>
      </c>
      <c r="C10633">
        <v>15784</v>
      </c>
      <c r="D10633" t="str">
        <f>"7485        "</f>
        <v xml:space="preserve">7485        </v>
      </c>
      <c r="E10633" t="s">
        <v>809</v>
      </c>
      <c r="F10633" t="s">
        <v>810</v>
      </c>
      <c r="G10633">
        <v>6.56</v>
      </c>
      <c r="H10633">
        <v>251124</v>
      </c>
      <c r="I10633">
        <v>4550</v>
      </c>
      <c r="J10633" t="s">
        <v>226</v>
      </c>
      <c r="K10633">
        <v>36.82</v>
      </c>
      <c r="L10633">
        <v>1.33</v>
      </c>
      <c r="M10633">
        <v>17912</v>
      </c>
      <c r="N10633" t="s">
        <v>505</v>
      </c>
      <c r="O10633">
        <v>251127</v>
      </c>
      <c r="P10633">
        <v>5.23</v>
      </c>
    </row>
    <row r="10634" spans="1:16" x14ac:dyDescent="0.25">
      <c r="A10634" t="s">
        <v>3296</v>
      </c>
      <c r="B10634" t="s">
        <v>2931</v>
      </c>
      <c r="C10634">
        <v>7775</v>
      </c>
      <c r="D10634" t="str">
        <f>"6916        "</f>
        <v xml:space="preserve">6916        </v>
      </c>
      <c r="E10634" t="s">
        <v>809</v>
      </c>
      <c r="F10634" t="s">
        <v>810</v>
      </c>
      <c r="G10634">
        <v>17.440000000000001</v>
      </c>
      <c r="H10634">
        <v>250531</v>
      </c>
      <c r="I10634">
        <v>4557</v>
      </c>
      <c r="J10634" t="s">
        <v>1152</v>
      </c>
      <c r="K10634">
        <v>111.54</v>
      </c>
      <c r="L10634">
        <v>3.54</v>
      </c>
      <c r="M10634">
        <v>17912</v>
      </c>
      <c r="N10634" t="s">
        <v>505</v>
      </c>
      <c r="O10634">
        <v>250609</v>
      </c>
      <c r="P10634">
        <v>13.9</v>
      </c>
    </row>
    <row r="10635" spans="1:16" x14ac:dyDescent="0.25">
      <c r="A10635" t="s">
        <v>3296</v>
      </c>
      <c r="B10635" t="s">
        <v>2931</v>
      </c>
      <c r="C10635">
        <v>11398</v>
      </c>
      <c r="D10635" t="str">
        <f>"7144        "</f>
        <v xml:space="preserve">7144        </v>
      </c>
      <c r="E10635" t="s">
        <v>809</v>
      </c>
      <c r="F10635" t="s">
        <v>810</v>
      </c>
      <c r="G10635">
        <v>17.899999999999999</v>
      </c>
      <c r="H10635">
        <v>250831</v>
      </c>
      <c r="I10635">
        <v>4560</v>
      </c>
      <c r="J10635" t="s">
        <v>390</v>
      </c>
      <c r="K10635">
        <v>543.04</v>
      </c>
      <c r="L10635">
        <v>3.64</v>
      </c>
      <c r="M10635">
        <v>17951</v>
      </c>
      <c r="N10635" t="s">
        <v>207</v>
      </c>
      <c r="O10635">
        <v>250904</v>
      </c>
      <c r="P10635">
        <v>14.26</v>
      </c>
    </row>
    <row r="10636" spans="1:16" x14ac:dyDescent="0.25">
      <c r="A10636" t="s">
        <v>3296</v>
      </c>
      <c r="B10636" t="s">
        <v>2931</v>
      </c>
      <c r="C10636">
        <v>14651</v>
      </c>
      <c r="D10636" t="str">
        <f>"7368        "</f>
        <v xml:space="preserve">7368        </v>
      </c>
      <c r="E10636" t="s">
        <v>809</v>
      </c>
      <c r="F10636" t="s">
        <v>810</v>
      </c>
      <c r="G10636">
        <v>17.899999999999999</v>
      </c>
      <c r="H10636">
        <v>251031</v>
      </c>
      <c r="I10636">
        <v>4560</v>
      </c>
      <c r="J10636" t="s">
        <v>390</v>
      </c>
      <c r="K10636">
        <v>415.52</v>
      </c>
      <c r="L10636">
        <v>3.64</v>
      </c>
      <c r="M10636">
        <v>17951</v>
      </c>
      <c r="N10636" t="s">
        <v>207</v>
      </c>
      <c r="O10636">
        <v>251105</v>
      </c>
      <c r="P10636">
        <v>14.26</v>
      </c>
    </row>
    <row r="10637" spans="1:16" x14ac:dyDescent="0.25">
      <c r="A10637" t="s">
        <v>3296</v>
      </c>
      <c r="B10637" t="s">
        <v>2931</v>
      </c>
      <c r="C10637">
        <v>11398</v>
      </c>
      <c r="D10637" t="str">
        <f>"7144        "</f>
        <v xml:space="preserve">7144        </v>
      </c>
      <c r="E10637" t="s">
        <v>809</v>
      </c>
      <c r="F10637" t="s">
        <v>810</v>
      </c>
      <c r="G10637">
        <v>7.98</v>
      </c>
      <c r="H10637">
        <v>250831</v>
      </c>
      <c r="I10637">
        <v>4572</v>
      </c>
      <c r="J10637" t="s">
        <v>173</v>
      </c>
      <c r="K10637">
        <v>543.04</v>
      </c>
      <c r="L10637">
        <v>1.62</v>
      </c>
      <c r="M10637">
        <v>17809</v>
      </c>
      <c r="N10637" t="s">
        <v>25</v>
      </c>
      <c r="O10637">
        <v>250904</v>
      </c>
      <c r="P10637">
        <v>6.36</v>
      </c>
    </row>
    <row r="10638" spans="1:16" x14ac:dyDescent="0.25">
      <c r="A10638" t="s">
        <v>3296</v>
      </c>
      <c r="B10638" t="s">
        <v>2931</v>
      </c>
      <c r="C10638">
        <v>1003</v>
      </c>
      <c r="D10638" t="str">
        <f>"6540        "</f>
        <v xml:space="preserve">6540        </v>
      </c>
      <c r="E10638" t="s">
        <v>809</v>
      </c>
      <c r="F10638" t="s">
        <v>810</v>
      </c>
      <c r="G10638">
        <v>39.950000000000003</v>
      </c>
      <c r="H10638">
        <v>250130</v>
      </c>
      <c r="I10638">
        <v>4580</v>
      </c>
      <c r="J10638" t="s">
        <v>126</v>
      </c>
      <c r="K10638">
        <v>268.74</v>
      </c>
      <c r="L10638">
        <v>8.1199999999999992</v>
      </c>
      <c r="M10638">
        <v>17737</v>
      </c>
      <c r="N10638" t="s">
        <v>156</v>
      </c>
      <c r="O10638">
        <v>250203</v>
      </c>
      <c r="P10638">
        <v>31.83</v>
      </c>
    </row>
    <row r="10639" spans="1:16" x14ac:dyDescent="0.25">
      <c r="A10639" t="s">
        <v>3296</v>
      </c>
      <c r="B10639" t="s">
        <v>2931</v>
      </c>
      <c r="C10639">
        <v>1003</v>
      </c>
      <c r="D10639" t="str">
        <f>"6540        "</f>
        <v xml:space="preserve">6540        </v>
      </c>
      <c r="E10639" t="s">
        <v>809</v>
      </c>
      <c r="F10639" t="s">
        <v>810</v>
      </c>
      <c r="G10639">
        <v>33.93</v>
      </c>
      <c r="H10639">
        <v>250130</v>
      </c>
      <c r="I10639">
        <v>4580</v>
      </c>
      <c r="J10639" t="s">
        <v>126</v>
      </c>
      <c r="K10639">
        <v>268.74</v>
      </c>
      <c r="L10639">
        <v>6.89</v>
      </c>
      <c r="M10639">
        <v>17809</v>
      </c>
      <c r="N10639" t="s">
        <v>25</v>
      </c>
      <c r="O10639">
        <v>250203</v>
      </c>
      <c r="P10639">
        <v>27.04</v>
      </c>
    </row>
    <row r="10640" spans="1:16" x14ac:dyDescent="0.25">
      <c r="A10640" t="s">
        <v>3296</v>
      </c>
      <c r="B10640" t="s">
        <v>2931</v>
      </c>
      <c r="C10640">
        <v>1003</v>
      </c>
      <c r="D10640" t="str">
        <f>"6540        "</f>
        <v xml:space="preserve">6540        </v>
      </c>
      <c r="E10640" t="s">
        <v>809</v>
      </c>
      <c r="F10640" t="s">
        <v>810</v>
      </c>
      <c r="G10640">
        <v>49.95</v>
      </c>
      <c r="H10640">
        <v>250130</v>
      </c>
      <c r="I10640">
        <v>4580</v>
      </c>
      <c r="J10640" t="s">
        <v>126</v>
      </c>
      <c r="K10640">
        <v>268.74</v>
      </c>
      <c r="L10640">
        <v>10.15</v>
      </c>
      <c r="M10640">
        <v>17951</v>
      </c>
      <c r="N10640" t="s">
        <v>207</v>
      </c>
      <c r="O10640">
        <v>250203</v>
      </c>
      <c r="P10640">
        <v>39.799999999999997</v>
      </c>
    </row>
    <row r="10641" spans="1:16" x14ac:dyDescent="0.25">
      <c r="A10641" t="s">
        <v>3296</v>
      </c>
      <c r="B10641" t="s">
        <v>2931</v>
      </c>
      <c r="C10641">
        <v>1231</v>
      </c>
      <c r="D10641" t="str">
        <f>"6572        "</f>
        <v xml:space="preserve">6572        </v>
      </c>
      <c r="E10641" t="s">
        <v>809</v>
      </c>
      <c r="F10641" t="s">
        <v>810</v>
      </c>
      <c r="G10641">
        <v>38.85</v>
      </c>
      <c r="H10641">
        <v>250130</v>
      </c>
      <c r="I10641">
        <v>4580</v>
      </c>
      <c r="J10641" t="s">
        <v>126</v>
      </c>
      <c r="K10641">
        <v>38.85</v>
      </c>
      <c r="L10641">
        <v>7.89</v>
      </c>
      <c r="M10641">
        <v>17711</v>
      </c>
      <c r="N10641" t="s">
        <v>155</v>
      </c>
      <c r="O10641">
        <v>250206</v>
      </c>
      <c r="P10641">
        <v>30.96</v>
      </c>
    </row>
    <row r="10642" spans="1:16" x14ac:dyDescent="0.25">
      <c r="A10642" t="s">
        <v>3296</v>
      </c>
      <c r="B10642" t="s">
        <v>2931</v>
      </c>
      <c r="C10642">
        <v>8204</v>
      </c>
      <c r="D10642" t="str">
        <f>"6915        "</f>
        <v xml:space="preserve">6915        </v>
      </c>
      <c r="E10642" t="s">
        <v>809</v>
      </c>
      <c r="F10642" t="s">
        <v>810</v>
      </c>
      <c r="G10642">
        <v>19.95</v>
      </c>
      <c r="H10642">
        <v>250531</v>
      </c>
      <c r="I10642">
        <v>4580</v>
      </c>
      <c r="J10642" t="s">
        <v>126</v>
      </c>
      <c r="K10642">
        <v>453.71</v>
      </c>
      <c r="L10642">
        <v>4.05</v>
      </c>
      <c r="M10642">
        <v>17809</v>
      </c>
      <c r="N10642" t="s">
        <v>25</v>
      </c>
      <c r="O10642">
        <v>250612</v>
      </c>
      <c r="P10642">
        <v>15.9</v>
      </c>
    </row>
    <row r="10643" spans="1:16" x14ac:dyDescent="0.25">
      <c r="A10643" t="s">
        <v>3296</v>
      </c>
      <c r="B10643" t="s">
        <v>2931</v>
      </c>
      <c r="C10643">
        <v>8204</v>
      </c>
      <c r="D10643" t="str">
        <f>"6915        "</f>
        <v xml:space="preserve">6915        </v>
      </c>
      <c r="E10643" t="s">
        <v>809</v>
      </c>
      <c r="F10643" t="s">
        <v>810</v>
      </c>
      <c r="G10643">
        <v>14.77</v>
      </c>
      <c r="H10643">
        <v>250531</v>
      </c>
      <c r="I10643">
        <v>4580</v>
      </c>
      <c r="J10643" t="s">
        <v>126</v>
      </c>
      <c r="K10643">
        <v>453.71</v>
      </c>
      <c r="L10643">
        <v>3</v>
      </c>
      <c r="M10643">
        <v>17951</v>
      </c>
      <c r="N10643" t="s">
        <v>207</v>
      </c>
      <c r="O10643">
        <v>250612</v>
      </c>
      <c r="P10643">
        <v>11.77</v>
      </c>
    </row>
    <row r="10644" spans="1:16" x14ac:dyDescent="0.25">
      <c r="A10644" t="s">
        <v>3296</v>
      </c>
      <c r="B10644" t="s">
        <v>2931</v>
      </c>
      <c r="C10644">
        <v>11398</v>
      </c>
      <c r="D10644" t="str">
        <f>"7144        "</f>
        <v xml:space="preserve">7144        </v>
      </c>
      <c r="E10644" t="s">
        <v>809</v>
      </c>
      <c r="F10644" t="s">
        <v>810</v>
      </c>
      <c r="G10644">
        <v>39.9</v>
      </c>
      <c r="H10644">
        <v>250831</v>
      </c>
      <c r="I10644">
        <v>4580</v>
      </c>
      <c r="J10644" t="s">
        <v>126</v>
      </c>
      <c r="K10644">
        <v>543.04</v>
      </c>
      <c r="L10644">
        <v>8.11</v>
      </c>
      <c r="M10644">
        <v>17806</v>
      </c>
      <c r="N10644" t="s">
        <v>22</v>
      </c>
      <c r="O10644">
        <v>250904</v>
      </c>
      <c r="P10644">
        <v>31.79</v>
      </c>
    </row>
    <row r="10645" spans="1:16" x14ac:dyDescent="0.25">
      <c r="A10645" t="s">
        <v>3296</v>
      </c>
      <c r="B10645" t="s">
        <v>2931</v>
      </c>
      <c r="C10645">
        <v>11398</v>
      </c>
      <c r="D10645" t="str">
        <f>"7144        "</f>
        <v xml:space="preserve">7144        </v>
      </c>
      <c r="E10645" t="s">
        <v>809</v>
      </c>
      <c r="F10645" t="s">
        <v>810</v>
      </c>
      <c r="G10645">
        <v>49.75</v>
      </c>
      <c r="H10645">
        <v>250831</v>
      </c>
      <c r="I10645">
        <v>4580</v>
      </c>
      <c r="J10645" t="s">
        <v>126</v>
      </c>
      <c r="K10645">
        <v>543.04</v>
      </c>
      <c r="L10645">
        <v>10.11</v>
      </c>
      <c r="M10645">
        <v>17807</v>
      </c>
      <c r="N10645" t="s">
        <v>23</v>
      </c>
      <c r="O10645">
        <v>250904</v>
      </c>
      <c r="P10645">
        <v>39.64</v>
      </c>
    </row>
    <row r="10646" spans="1:16" x14ac:dyDescent="0.25">
      <c r="A10646" t="s">
        <v>3296</v>
      </c>
      <c r="B10646" t="s">
        <v>2931</v>
      </c>
      <c r="C10646">
        <v>11398</v>
      </c>
      <c r="D10646" t="str">
        <f>"7144        "</f>
        <v xml:space="preserve">7144        </v>
      </c>
      <c r="E10646" t="s">
        <v>809</v>
      </c>
      <c r="F10646" t="s">
        <v>810</v>
      </c>
      <c r="G10646">
        <v>15.97</v>
      </c>
      <c r="H10646">
        <v>250831</v>
      </c>
      <c r="I10646">
        <v>4580</v>
      </c>
      <c r="J10646" t="s">
        <v>126</v>
      </c>
      <c r="K10646">
        <v>543.04</v>
      </c>
      <c r="L10646">
        <v>3.24</v>
      </c>
      <c r="M10646">
        <v>17809</v>
      </c>
      <c r="N10646" t="s">
        <v>25</v>
      </c>
      <c r="O10646">
        <v>250904</v>
      </c>
      <c r="P10646">
        <v>12.73</v>
      </c>
    </row>
    <row r="10647" spans="1:16" x14ac:dyDescent="0.25">
      <c r="A10647" t="s">
        <v>3296</v>
      </c>
      <c r="B10647" t="s">
        <v>2931</v>
      </c>
      <c r="C10647">
        <v>11398</v>
      </c>
      <c r="D10647" t="str">
        <f>"7144        "</f>
        <v xml:space="preserve">7144        </v>
      </c>
      <c r="E10647" t="s">
        <v>809</v>
      </c>
      <c r="F10647" t="s">
        <v>810</v>
      </c>
      <c r="G10647">
        <v>69.900000000000006</v>
      </c>
      <c r="H10647">
        <v>250831</v>
      </c>
      <c r="I10647">
        <v>4580</v>
      </c>
      <c r="J10647" t="s">
        <v>126</v>
      </c>
      <c r="K10647">
        <v>543.04</v>
      </c>
      <c r="L10647">
        <v>14.2</v>
      </c>
      <c r="M10647">
        <v>17809</v>
      </c>
      <c r="N10647" t="s">
        <v>25</v>
      </c>
      <c r="O10647">
        <v>250904</v>
      </c>
      <c r="P10647">
        <v>55.7</v>
      </c>
    </row>
    <row r="10648" spans="1:16" x14ac:dyDescent="0.25">
      <c r="A10648" t="s">
        <v>3296</v>
      </c>
      <c r="B10648" t="s">
        <v>2931</v>
      </c>
      <c r="C10648">
        <v>11398</v>
      </c>
      <c r="D10648" t="str">
        <f>"7144        "</f>
        <v xml:space="preserve">7144        </v>
      </c>
      <c r="E10648" t="s">
        <v>809</v>
      </c>
      <c r="F10648" t="s">
        <v>810</v>
      </c>
      <c r="G10648">
        <v>49.9</v>
      </c>
      <c r="H10648">
        <v>250831</v>
      </c>
      <c r="I10648">
        <v>4580</v>
      </c>
      <c r="J10648" t="s">
        <v>126</v>
      </c>
      <c r="K10648">
        <v>543.04</v>
      </c>
      <c r="L10648">
        <v>10.14</v>
      </c>
      <c r="M10648">
        <v>17951</v>
      </c>
      <c r="N10648" t="s">
        <v>207</v>
      </c>
      <c r="O10648">
        <v>250904</v>
      </c>
      <c r="P10648">
        <v>39.76</v>
      </c>
    </row>
    <row r="10649" spans="1:16" x14ac:dyDescent="0.25">
      <c r="A10649" t="s">
        <v>3296</v>
      </c>
      <c r="B10649" t="s">
        <v>2931</v>
      </c>
      <c r="C10649">
        <v>14651</v>
      </c>
      <c r="D10649" t="str">
        <f>"7368        "</f>
        <v xml:space="preserve">7368        </v>
      </c>
      <c r="E10649" t="s">
        <v>809</v>
      </c>
      <c r="F10649" t="s">
        <v>810</v>
      </c>
      <c r="G10649">
        <v>28.93</v>
      </c>
      <c r="H10649">
        <v>251031</v>
      </c>
      <c r="I10649">
        <v>4580</v>
      </c>
      <c r="J10649" t="s">
        <v>126</v>
      </c>
      <c r="K10649">
        <v>415.52</v>
      </c>
      <c r="L10649">
        <v>5.88</v>
      </c>
      <c r="M10649">
        <v>17809</v>
      </c>
      <c r="N10649" t="s">
        <v>25</v>
      </c>
      <c r="O10649">
        <v>251105</v>
      </c>
      <c r="P10649">
        <v>23.05</v>
      </c>
    </row>
    <row r="10650" spans="1:16" x14ac:dyDescent="0.25">
      <c r="A10650" t="s">
        <v>3296</v>
      </c>
      <c r="B10650" t="s">
        <v>2931</v>
      </c>
      <c r="C10650">
        <v>14651</v>
      </c>
      <c r="D10650" t="str">
        <f>"7368        "</f>
        <v xml:space="preserve">7368        </v>
      </c>
      <c r="E10650" t="s">
        <v>809</v>
      </c>
      <c r="F10650" t="s">
        <v>810</v>
      </c>
      <c r="G10650">
        <v>5</v>
      </c>
      <c r="H10650">
        <v>251031</v>
      </c>
      <c r="I10650">
        <v>4580</v>
      </c>
      <c r="J10650" t="s">
        <v>126</v>
      </c>
      <c r="K10650">
        <v>415.52</v>
      </c>
      <c r="L10650">
        <v>1.02</v>
      </c>
      <c r="M10650">
        <v>17913</v>
      </c>
      <c r="N10650" t="s">
        <v>26</v>
      </c>
      <c r="O10650">
        <v>251105</v>
      </c>
      <c r="P10650">
        <v>3.98</v>
      </c>
    </row>
    <row r="10651" spans="1:16" x14ac:dyDescent="0.25">
      <c r="A10651" t="s">
        <v>3296</v>
      </c>
      <c r="B10651" t="s">
        <v>2931</v>
      </c>
      <c r="C10651">
        <v>16457</v>
      </c>
      <c r="D10651" t="str">
        <f>"7484        "</f>
        <v xml:space="preserve">7484        </v>
      </c>
      <c r="E10651" t="s">
        <v>809</v>
      </c>
      <c r="F10651" t="s">
        <v>810</v>
      </c>
      <c r="G10651">
        <v>325.94</v>
      </c>
      <c r="H10651">
        <v>251124</v>
      </c>
      <c r="I10651">
        <v>4580</v>
      </c>
      <c r="J10651" t="s">
        <v>126</v>
      </c>
      <c r="K10651">
        <v>325.94</v>
      </c>
      <c r="L10651">
        <v>66.23</v>
      </c>
      <c r="M10651">
        <v>17806</v>
      </c>
      <c r="N10651" t="s">
        <v>22</v>
      </c>
      <c r="O10651">
        <v>251209</v>
      </c>
      <c r="P10651">
        <v>259.70999999999998</v>
      </c>
    </row>
    <row r="10652" spans="1:16" x14ac:dyDescent="0.25">
      <c r="A10652" t="s">
        <v>3296</v>
      </c>
      <c r="B10652" t="s">
        <v>2931</v>
      </c>
      <c r="C10652">
        <v>1003</v>
      </c>
      <c r="D10652" t="str">
        <f>"6540        "</f>
        <v xml:space="preserve">6540        </v>
      </c>
      <c r="E10652" t="s">
        <v>809</v>
      </c>
      <c r="F10652" t="s">
        <v>810</v>
      </c>
      <c r="G10652">
        <v>68.209999999999994</v>
      </c>
      <c r="H10652">
        <v>250130</v>
      </c>
      <c r="I10652">
        <v>4590</v>
      </c>
      <c r="J10652" t="s">
        <v>388</v>
      </c>
      <c r="K10652">
        <v>268.74</v>
      </c>
      <c r="L10652">
        <v>13.86</v>
      </c>
      <c r="M10652">
        <v>17737</v>
      </c>
      <c r="N10652" t="s">
        <v>156</v>
      </c>
      <c r="O10652">
        <v>250203</v>
      </c>
      <c r="P10652">
        <v>54.35</v>
      </c>
    </row>
    <row r="10653" spans="1:16" x14ac:dyDescent="0.25">
      <c r="A10653" t="s">
        <v>3296</v>
      </c>
      <c r="B10653" t="s">
        <v>2931</v>
      </c>
      <c r="C10653">
        <v>1003</v>
      </c>
      <c r="D10653" t="str">
        <f>"6540        "</f>
        <v xml:space="preserve">6540        </v>
      </c>
      <c r="E10653" t="s">
        <v>809</v>
      </c>
      <c r="F10653" t="s">
        <v>810</v>
      </c>
      <c r="G10653">
        <v>76.7</v>
      </c>
      <c r="H10653">
        <v>250130</v>
      </c>
      <c r="I10653">
        <v>4590</v>
      </c>
      <c r="J10653" t="s">
        <v>388</v>
      </c>
      <c r="K10653">
        <v>268.74</v>
      </c>
      <c r="L10653">
        <v>15.58</v>
      </c>
      <c r="M10653">
        <v>17951</v>
      </c>
      <c r="N10653" t="s">
        <v>207</v>
      </c>
      <c r="O10653">
        <v>250203</v>
      </c>
      <c r="P10653">
        <v>61.12</v>
      </c>
    </row>
    <row r="10654" spans="1:16" x14ac:dyDescent="0.25">
      <c r="A10654" t="s">
        <v>3296</v>
      </c>
      <c r="B10654" t="s">
        <v>2931</v>
      </c>
      <c r="C10654">
        <v>1010</v>
      </c>
      <c r="D10654" t="str">
        <f>"6541        "</f>
        <v xml:space="preserve">6541        </v>
      </c>
      <c r="E10654" t="s">
        <v>809</v>
      </c>
      <c r="F10654" t="s">
        <v>810</v>
      </c>
      <c r="G10654">
        <v>39.69</v>
      </c>
      <c r="H10654">
        <v>250130</v>
      </c>
      <c r="I10654">
        <v>4590</v>
      </c>
      <c r="J10654" t="s">
        <v>388</v>
      </c>
      <c r="K10654">
        <v>99.56</v>
      </c>
      <c r="L10654">
        <v>8.06</v>
      </c>
      <c r="M10654">
        <v>17952</v>
      </c>
      <c r="N10654" t="s">
        <v>157</v>
      </c>
      <c r="O10654">
        <v>250203</v>
      </c>
      <c r="P10654">
        <v>31.63</v>
      </c>
    </row>
    <row r="10655" spans="1:16" x14ac:dyDescent="0.25">
      <c r="A10655" t="s">
        <v>3296</v>
      </c>
      <c r="B10655" t="s">
        <v>2931</v>
      </c>
      <c r="C10655">
        <v>4759</v>
      </c>
      <c r="D10655" t="str">
        <f>"6688        "</f>
        <v xml:space="preserve">6688        </v>
      </c>
      <c r="E10655" t="s">
        <v>809</v>
      </c>
      <c r="F10655" t="s">
        <v>810</v>
      </c>
      <c r="G10655">
        <v>44.95</v>
      </c>
      <c r="H10655">
        <v>250331</v>
      </c>
      <c r="I10655">
        <v>4590</v>
      </c>
      <c r="J10655" t="s">
        <v>388</v>
      </c>
      <c r="K10655">
        <v>281.06</v>
      </c>
      <c r="L10655">
        <v>9.1300000000000008</v>
      </c>
      <c r="M10655">
        <v>17806</v>
      </c>
      <c r="N10655" t="s">
        <v>22</v>
      </c>
      <c r="O10655">
        <v>250415</v>
      </c>
      <c r="P10655">
        <v>35.82</v>
      </c>
    </row>
    <row r="10656" spans="1:16" x14ac:dyDescent="0.25">
      <c r="A10656" t="s">
        <v>3296</v>
      </c>
      <c r="B10656" t="s">
        <v>2931</v>
      </c>
      <c r="C10656">
        <v>4759</v>
      </c>
      <c r="D10656" t="str">
        <f>"6688        "</f>
        <v xml:space="preserve">6688        </v>
      </c>
      <c r="E10656" t="s">
        <v>809</v>
      </c>
      <c r="F10656" t="s">
        <v>810</v>
      </c>
      <c r="G10656">
        <v>6.68</v>
      </c>
      <c r="H10656">
        <v>250331</v>
      </c>
      <c r="I10656">
        <v>4590</v>
      </c>
      <c r="J10656" t="s">
        <v>388</v>
      </c>
      <c r="K10656">
        <v>281.06</v>
      </c>
      <c r="L10656">
        <v>1.36</v>
      </c>
      <c r="M10656">
        <v>17951</v>
      </c>
      <c r="N10656" t="s">
        <v>207</v>
      </c>
      <c r="O10656">
        <v>250415</v>
      </c>
      <c r="P10656">
        <v>5.32</v>
      </c>
    </row>
    <row r="10657" spans="1:16" x14ac:dyDescent="0.25">
      <c r="A10657" t="s">
        <v>3296</v>
      </c>
      <c r="B10657" t="s">
        <v>2931</v>
      </c>
      <c r="C10657">
        <v>7775</v>
      </c>
      <c r="D10657" t="str">
        <f>"6916        "</f>
        <v xml:space="preserve">6916        </v>
      </c>
      <c r="E10657" t="s">
        <v>809</v>
      </c>
      <c r="F10657" t="s">
        <v>810</v>
      </c>
      <c r="G10657">
        <v>30.37</v>
      </c>
      <c r="H10657">
        <v>250531</v>
      </c>
      <c r="I10657">
        <v>4590</v>
      </c>
      <c r="J10657" t="s">
        <v>388</v>
      </c>
      <c r="K10657">
        <v>111.54</v>
      </c>
      <c r="L10657">
        <v>6.17</v>
      </c>
      <c r="M10657">
        <v>17952</v>
      </c>
      <c r="N10657" t="s">
        <v>157</v>
      </c>
      <c r="O10657">
        <v>250609</v>
      </c>
      <c r="P10657">
        <v>24.2</v>
      </c>
    </row>
    <row r="10658" spans="1:16" x14ac:dyDescent="0.25">
      <c r="A10658" t="s">
        <v>3296</v>
      </c>
      <c r="B10658" t="s">
        <v>2931</v>
      </c>
      <c r="C10658">
        <v>8204</v>
      </c>
      <c r="D10658" t="str">
        <f>"6915        "</f>
        <v xml:space="preserve">6915        </v>
      </c>
      <c r="E10658" t="s">
        <v>809</v>
      </c>
      <c r="F10658" t="s">
        <v>810</v>
      </c>
      <c r="G10658">
        <v>17.95</v>
      </c>
      <c r="H10658">
        <v>250531</v>
      </c>
      <c r="I10658">
        <v>4590</v>
      </c>
      <c r="J10658" t="s">
        <v>388</v>
      </c>
      <c r="K10658">
        <v>453.71</v>
      </c>
      <c r="L10658">
        <v>3.65</v>
      </c>
      <c r="M10658">
        <v>17951</v>
      </c>
      <c r="N10658" t="s">
        <v>207</v>
      </c>
      <c r="O10658">
        <v>250612</v>
      </c>
      <c r="P10658">
        <v>14.3</v>
      </c>
    </row>
    <row r="10659" spans="1:16" x14ac:dyDescent="0.25">
      <c r="A10659" t="s">
        <v>3296</v>
      </c>
      <c r="B10659" t="s">
        <v>2931</v>
      </c>
      <c r="C10659">
        <v>8204</v>
      </c>
      <c r="D10659" t="str">
        <f>"6915        "</f>
        <v xml:space="preserve">6915        </v>
      </c>
      <c r="E10659" t="s">
        <v>809</v>
      </c>
      <c r="F10659" t="s">
        <v>810</v>
      </c>
      <c r="G10659">
        <v>17.95</v>
      </c>
      <c r="H10659">
        <v>250531</v>
      </c>
      <c r="I10659">
        <v>4590</v>
      </c>
      <c r="J10659" t="s">
        <v>388</v>
      </c>
      <c r="K10659">
        <v>453.71</v>
      </c>
      <c r="L10659">
        <v>3.65</v>
      </c>
      <c r="M10659">
        <v>17951</v>
      </c>
      <c r="N10659" t="s">
        <v>207</v>
      </c>
      <c r="O10659">
        <v>250612</v>
      </c>
      <c r="P10659">
        <v>14.3</v>
      </c>
    </row>
    <row r="10660" spans="1:16" x14ac:dyDescent="0.25">
      <c r="A10660" t="s">
        <v>3296</v>
      </c>
      <c r="B10660" t="s">
        <v>2931</v>
      </c>
      <c r="C10660">
        <v>8204</v>
      </c>
      <c r="D10660" t="str">
        <f>"6915        "</f>
        <v xml:space="preserve">6915        </v>
      </c>
      <c r="E10660" t="s">
        <v>809</v>
      </c>
      <c r="F10660" t="s">
        <v>810</v>
      </c>
      <c r="G10660">
        <v>219.22</v>
      </c>
      <c r="H10660">
        <v>250531</v>
      </c>
      <c r="I10660">
        <v>4590</v>
      </c>
      <c r="J10660" t="s">
        <v>388</v>
      </c>
      <c r="K10660">
        <v>453.71</v>
      </c>
      <c r="L10660">
        <v>44.54</v>
      </c>
      <c r="M10660">
        <v>17951</v>
      </c>
      <c r="N10660" t="s">
        <v>207</v>
      </c>
      <c r="O10660">
        <v>250612</v>
      </c>
      <c r="P10660">
        <v>174.68</v>
      </c>
    </row>
    <row r="10661" spans="1:16" x14ac:dyDescent="0.25">
      <c r="A10661" t="s">
        <v>3296</v>
      </c>
      <c r="B10661" t="s">
        <v>2931</v>
      </c>
      <c r="C10661">
        <v>11398</v>
      </c>
      <c r="D10661" t="str">
        <f>"7144        "</f>
        <v xml:space="preserve">7144        </v>
      </c>
      <c r="E10661" t="s">
        <v>809</v>
      </c>
      <c r="F10661" t="s">
        <v>810</v>
      </c>
      <c r="G10661">
        <v>11.97</v>
      </c>
      <c r="H10661">
        <v>250831</v>
      </c>
      <c r="I10661">
        <v>4590</v>
      </c>
      <c r="J10661" t="s">
        <v>388</v>
      </c>
      <c r="K10661">
        <v>543.04</v>
      </c>
      <c r="L10661">
        <v>2.4300000000000002</v>
      </c>
      <c r="M10661">
        <v>17806</v>
      </c>
      <c r="N10661" t="s">
        <v>22</v>
      </c>
      <c r="O10661">
        <v>250904</v>
      </c>
      <c r="P10661">
        <v>9.5399999999999991</v>
      </c>
    </row>
    <row r="10662" spans="1:16" x14ac:dyDescent="0.25">
      <c r="A10662" t="s">
        <v>3296</v>
      </c>
      <c r="B10662" t="s">
        <v>2931</v>
      </c>
      <c r="C10662">
        <v>11398</v>
      </c>
      <c r="D10662" t="str">
        <f>"7144        "</f>
        <v xml:space="preserve">7144        </v>
      </c>
      <c r="E10662" t="s">
        <v>809</v>
      </c>
      <c r="F10662" t="s">
        <v>810</v>
      </c>
      <c r="G10662">
        <v>26.2</v>
      </c>
      <c r="H10662">
        <v>250831</v>
      </c>
      <c r="I10662">
        <v>4590</v>
      </c>
      <c r="J10662" t="s">
        <v>388</v>
      </c>
      <c r="K10662">
        <v>543.04</v>
      </c>
      <c r="L10662">
        <v>5.32</v>
      </c>
      <c r="M10662">
        <v>17807</v>
      </c>
      <c r="N10662" t="s">
        <v>23</v>
      </c>
      <c r="O10662">
        <v>250904</v>
      </c>
      <c r="P10662">
        <v>20.88</v>
      </c>
    </row>
    <row r="10663" spans="1:16" x14ac:dyDescent="0.25">
      <c r="A10663" t="s">
        <v>3296</v>
      </c>
      <c r="B10663" t="s">
        <v>2931</v>
      </c>
      <c r="C10663">
        <v>11398</v>
      </c>
      <c r="D10663" t="str">
        <f>"7144        "</f>
        <v xml:space="preserve">7144        </v>
      </c>
      <c r="E10663" t="s">
        <v>809</v>
      </c>
      <c r="F10663" t="s">
        <v>810</v>
      </c>
      <c r="G10663">
        <v>14.95</v>
      </c>
      <c r="H10663">
        <v>250831</v>
      </c>
      <c r="I10663">
        <v>4590</v>
      </c>
      <c r="J10663" t="s">
        <v>388</v>
      </c>
      <c r="K10663">
        <v>543.04</v>
      </c>
      <c r="L10663">
        <v>3.04</v>
      </c>
      <c r="M10663">
        <v>17809</v>
      </c>
      <c r="N10663" t="s">
        <v>25</v>
      </c>
      <c r="O10663">
        <v>250904</v>
      </c>
      <c r="P10663">
        <v>11.91</v>
      </c>
    </row>
    <row r="10664" spans="1:16" x14ac:dyDescent="0.25">
      <c r="A10664" t="s">
        <v>3296</v>
      </c>
      <c r="B10664" t="s">
        <v>2931</v>
      </c>
      <c r="C10664">
        <v>14580</v>
      </c>
      <c r="D10664" t="str">
        <f>"7369        "</f>
        <v xml:space="preserve">7369        </v>
      </c>
      <c r="E10664" t="s">
        <v>809</v>
      </c>
      <c r="F10664" t="s">
        <v>810</v>
      </c>
      <c r="G10664">
        <v>15.8</v>
      </c>
      <c r="H10664">
        <v>251031</v>
      </c>
      <c r="I10664">
        <v>4590</v>
      </c>
      <c r="J10664" t="s">
        <v>388</v>
      </c>
      <c r="K10664">
        <v>79.7</v>
      </c>
      <c r="L10664">
        <v>3.21</v>
      </c>
      <c r="M10664">
        <v>17952</v>
      </c>
      <c r="N10664" t="s">
        <v>157</v>
      </c>
      <c r="O10664">
        <v>251105</v>
      </c>
      <c r="P10664">
        <v>12.59</v>
      </c>
    </row>
    <row r="10665" spans="1:16" x14ac:dyDescent="0.25">
      <c r="A10665" t="s">
        <v>3296</v>
      </c>
      <c r="B10665" t="s">
        <v>2931</v>
      </c>
      <c r="C10665">
        <v>18225</v>
      </c>
      <c r="D10665" t="str">
        <f>"7756        "</f>
        <v xml:space="preserve">7756        </v>
      </c>
      <c r="E10665" t="s">
        <v>809</v>
      </c>
      <c r="F10665" t="s">
        <v>810</v>
      </c>
      <c r="G10665">
        <v>15.95</v>
      </c>
      <c r="H10665">
        <v>251231</v>
      </c>
      <c r="I10665">
        <v>4590</v>
      </c>
      <c r="J10665" t="s">
        <v>388</v>
      </c>
      <c r="K10665">
        <v>55.8</v>
      </c>
      <c r="L10665">
        <v>3.24</v>
      </c>
      <c r="M10665">
        <v>17809</v>
      </c>
      <c r="N10665" t="s">
        <v>25</v>
      </c>
      <c r="O10665">
        <v>260112</v>
      </c>
      <c r="P10665">
        <v>12.71</v>
      </c>
    </row>
    <row r="10666" spans="1:16" x14ac:dyDescent="0.25">
      <c r="A10666" t="s">
        <v>3296</v>
      </c>
      <c r="B10666" t="s">
        <v>2931</v>
      </c>
      <c r="C10666">
        <v>18225</v>
      </c>
      <c r="D10666" t="str">
        <f>"7756        "</f>
        <v xml:space="preserve">7756        </v>
      </c>
      <c r="E10666" t="s">
        <v>809</v>
      </c>
      <c r="F10666" t="s">
        <v>810</v>
      </c>
      <c r="G10666">
        <v>27.87</v>
      </c>
      <c r="H10666">
        <v>251231</v>
      </c>
      <c r="I10666">
        <v>4590</v>
      </c>
      <c r="J10666" t="s">
        <v>388</v>
      </c>
      <c r="K10666">
        <v>55.8</v>
      </c>
      <c r="L10666">
        <v>5.66</v>
      </c>
      <c r="M10666">
        <v>17951</v>
      </c>
      <c r="N10666" t="s">
        <v>207</v>
      </c>
      <c r="O10666">
        <v>260112</v>
      </c>
      <c r="P10666">
        <v>22.21</v>
      </c>
    </row>
    <row r="10667" spans="1:16" x14ac:dyDescent="0.25">
      <c r="A10667" t="s">
        <v>3296</v>
      </c>
      <c r="B10667" t="s">
        <v>2931</v>
      </c>
      <c r="C10667">
        <v>1010</v>
      </c>
      <c r="D10667" t="str">
        <f>"6541        "</f>
        <v xml:space="preserve">6541        </v>
      </c>
      <c r="E10667" t="s">
        <v>809</v>
      </c>
      <c r="F10667" t="s">
        <v>810</v>
      </c>
      <c r="G10667">
        <v>59.87</v>
      </c>
      <c r="H10667">
        <v>250130</v>
      </c>
      <c r="I10667">
        <v>4600</v>
      </c>
      <c r="J10667" t="s">
        <v>278</v>
      </c>
      <c r="K10667">
        <v>99.56</v>
      </c>
      <c r="L10667">
        <v>12.16</v>
      </c>
      <c r="M10667">
        <v>17131</v>
      </c>
      <c r="N10667" t="s">
        <v>154</v>
      </c>
      <c r="O10667">
        <v>250203</v>
      </c>
      <c r="P10667">
        <v>47.71</v>
      </c>
    </row>
    <row r="10668" spans="1:16" x14ac:dyDescent="0.25">
      <c r="A10668" t="s">
        <v>3296</v>
      </c>
      <c r="B10668" t="s">
        <v>2931</v>
      </c>
      <c r="C10668">
        <v>4203</v>
      </c>
      <c r="D10668" t="str">
        <f>"6691        "</f>
        <v xml:space="preserve">6691        </v>
      </c>
      <c r="E10668" t="s">
        <v>809</v>
      </c>
      <c r="F10668" t="s">
        <v>810</v>
      </c>
      <c r="G10668">
        <v>23.93</v>
      </c>
      <c r="H10668">
        <v>250403</v>
      </c>
      <c r="I10668">
        <v>4600</v>
      </c>
      <c r="J10668" t="s">
        <v>278</v>
      </c>
      <c r="K10668">
        <v>70.19</v>
      </c>
      <c r="L10668">
        <v>4.8600000000000003</v>
      </c>
      <c r="M10668">
        <v>17131</v>
      </c>
      <c r="N10668" t="s">
        <v>154</v>
      </c>
      <c r="O10668">
        <v>250409</v>
      </c>
      <c r="P10668">
        <v>19.07</v>
      </c>
    </row>
    <row r="10669" spans="1:16" x14ac:dyDescent="0.25">
      <c r="A10669" t="s">
        <v>3296</v>
      </c>
      <c r="B10669" t="s">
        <v>2931</v>
      </c>
      <c r="C10669">
        <v>4203</v>
      </c>
      <c r="D10669" t="str">
        <f>"6691        "</f>
        <v xml:space="preserve">6691        </v>
      </c>
      <c r="E10669" t="s">
        <v>809</v>
      </c>
      <c r="F10669" t="s">
        <v>810</v>
      </c>
      <c r="G10669">
        <v>23.26</v>
      </c>
      <c r="H10669">
        <v>250403</v>
      </c>
      <c r="I10669">
        <v>4600</v>
      </c>
      <c r="J10669" t="s">
        <v>278</v>
      </c>
      <c r="K10669">
        <v>70.19</v>
      </c>
      <c r="L10669">
        <v>4.7300000000000004</v>
      </c>
      <c r="M10669">
        <v>17912</v>
      </c>
      <c r="N10669" t="s">
        <v>505</v>
      </c>
      <c r="O10669">
        <v>250409</v>
      </c>
      <c r="P10669">
        <v>18.53</v>
      </c>
    </row>
    <row r="10670" spans="1:16" x14ac:dyDescent="0.25">
      <c r="A10670" t="s">
        <v>3296</v>
      </c>
      <c r="B10670" t="s">
        <v>2931</v>
      </c>
      <c r="C10670">
        <v>4523</v>
      </c>
      <c r="D10670" t="str">
        <f>"6720        "</f>
        <v xml:space="preserve">6720        </v>
      </c>
      <c r="E10670" t="s">
        <v>809</v>
      </c>
      <c r="F10670" t="s">
        <v>810</v>
      </c>
      <c r="G10670">
        <v>20</v>
      </c>
      <c r="H10670">
        <v>250331</v>
      </c>
      <c r="I10670">
        <v>4600</v>
      </c>
      <c r="J10670" t="s">
        <v>278</v>
      </c>
      <c r="K10670">
        <v>132.83000000000001</v>
      </c>
      <c r="L10670">
        <v>4.0599999999999996</v>
      </c>
      <c r="M10670">
        <v>13802</v>
      </c>
      <c r="N10670" t="s">
        <v>34</v>
      </c>
      <c r="O10670">
        <v>250414</v>
      </c>
      <c r="P10670">
        <v>15.94</v>
      </c>
    </row>
    <row r="10671" spans="1:16" x14ac:dyDescent="0.25">
      <c r="A10671" t="s">
        <v>3296</v>
      </c>
      <c r="B10671" t="s">
        <v>2931</v>
      </c>
      <c r="C10671">
        <v>4523</v>
      </c>
      <c r="D10671" t="str">
        <f>"6720        "</f>
        <v xml:space="preserve">6720        </v>
      </c>
      <c r="E10671" t="s">
        <v>809</v>
      </c>
      <c r="F10671" t="s">
        <v>810</v>
      </c>
      <c r="G10671">
        <v>60.68</v>
      </c>
      <c r="H10671">
        <v>250331</v>
      </c>
      <c r="I10671">
        <v>4600</v>
      </c>
      <c r="J10671" t="s">
        <v>278</v>
      </c>
      <c r="K10671">
        <v>132.83000000000001</v>
      </c>
      <c r="L10671">
        <v>12.33</v>
      </c>
      <c r="M10671">
        <v>13802</v>
      </c>
      <c r="N10671" t="s">
        <v>34</v>
      </c>
      <c r="O10671">
        <v>250414</v>
      </c>
      <c r="P10671">
        <v>48.35</v>
      </c>
    </row>
    <row r="10672" spans="1:16" x14ac:dyDescent="0.25">
      <c r="A10672" t="s">
        <v>3296</v>
      </c>
      <c r="B10672" t="s">
        <v>2931</v>
      </c>
      <c r="C10672">
        <v>4759</v>
      </c>
      <c r="D10672" t="str">
        <f t="shared" ref="D10672:D10678" si="165">"6688        "</f>
        <v xml:space="preserve">6688        </v>
      </c>
      <c r="E10672" t="s">
        <v>809</v>
      </c>
      <c r="F10672" t="s">
        <v>810</v>
      </c>
      <c r="G10672">
        <v>18.940000000000001</v>
      </c>
      <c r="H10672">
        <v>250331</v>
      </c>
      <c r="I10672">
        <v>4600</v>
      </c>
      <c r="J10672" t="s">
        <v>278</v>
      </c>
      <c r="K10672">
        <v>281.06</v>
      </c>
      <c r="L10672">
        <v>3.85</v>
      </c>
      <c r="M10672">
        <v>17802</v>
      </c>
      <c r="N10672" t="s">
        <v>18</v>
      </c>
      <c r="O10672">
        <v>250415</v>
      </c>
      <c r="P10672">
        <v>15.09</v>
      </c>
    </row>
    <row r="10673" spans="1:16" x14ac:dyDescent="0.25">
      <c r="A10673" t="s">
        <v>3296</v>
      </c>
      <c r="B10673" t="s">
        <v>2931</v>
      </c>
      <c r="C10673">
        <v>4759</v>
      </c>
      <c r="D10673" t="str">
        <f t="shared" si="165"/>
        <v xml:space="preserve">6688        </v>
      </c>
      <c r="E10673" t="s">
        <v>809</v>
      </c>
      <c r="F10673" t="s">
        <v>810</v>
      </c>
      <c r="G10673">
        <v>13.45</v>
      </c>
      <c r="H10673">
        <v>250331</v>
      </c>
      <c r="I10673">
        <v>4600</v>
      </c>
      <c r="J10673" t="s">
        <v>278</v>
      </c>
      <c r="K10673">
        <v>281.06</v>
      </c>
      <c r="L10673">
        <v>2.73</v>
      </c>
      <c r="M10673">
        <v>17809</v>
      </c>
      <c r="N10673" t="s">
        <v>25</v>
      </c>
      <c r="O10673">
        <v>250415</v>
      </c>
      <c r="P10673">
        <v>10.72</v>
      </c>
    </row>
    <row r="10674" spans="1:16" x14ac:dyDescent="0.25">
      <c r="A10674" t="s">
        <v>3296</v>
      </c>
      <c r="B10674" t="s">
        <v>2931</v>
      </c>
      <c r="C10674">
        <v>4759</v>
      </c>
      <c r="D10674" t="str">
        <f t="shared" si="165"/>
        <v xml:space="preserve">6688        </v>
      </c>
      <c r="E10674" t="s">
        <v>809</v>
      </c>
      <c r="F10674" t="s">
        <v>810</v>
      </c>
      <c r="G10674">
        <v>22.97</v>
      </c>
      <c r="H10674">
        <v>250331</v>
      </c>
      <c r="I10674">
        <v>4600</v>
      </c>
      <c r="J10674" t="s">
        <v>278</v>
      </c>
      <c r="K10674">
        <v>281.06</v>
      </c>
      <c r="L10674">
        <v>4.67</v>
      </c>
      <c r="M10674">
        <v>17809</v>
      </c>
      <c r="N10674" t="s">
        <v>25</v>
      </c>
      <c r="O10674">
        <v>250415</v>
      </c>
      <c r="P10674">
        <v>18.3</v>
      </c>
    </row>
    <row r="10675" spans="1:16" x14ac:dyDescent="0.25">
      <c r="A10675" t="s">
        <v>3296</v>
      </c>
      <c r="B10675" t="s">
        <v>2931</v>
      </c>
      <c r="C10675">
        <v>4759</v>
      </c>
      <c r="D10675" t="str">
        <f t="shared" si="165"/>
        <v xml:space="preserve">6688        </v>
      </c>
      <c r="E10675" t="s">
        <v>809</v>
      </c>
      <c r="F10675" t="s">
        <v>810</v>
      </c>
      <c r="G10675">
        <v>27.82</v>
      </c>
      <c r="H10675">
        <v>250331</v>
      </c>
      <c r="I10675">
        <v>4600</v>
      </c>
      <c r="J10675" t="s">
        <v>278</v>
      </c>
      <c r="K10675">
        <v>281.06</v>
      </c>
      <c r="L10675">
        <v>5.65</v>
      </c>
      <c r="M10675">
        <v>17809</v>
      </c>
      <c r="N10675" t="s">
        <v>25</v>
      </c>
      <c r="O10675">
        <v>250415</v>
      </c>
      <c r="P10675">
        <v>22.17</v>
      </c>
    </row>
    <row r="10676" spans="1:16" x14ac:dyDescent="0.25">
      <c r="A10676" t="s">
        <v>3296</v>
      </c>
      <c r="B10676" t="s">
        <v>2931</v>
      </c>
      <c r="C10676">
        <v>4759</v>
      </c>
      <c r="D10676" t="str">
        <f t="shared" si="165"/>
        <v xml:space="preserve">6688        </v>
      </c>
      <c r="E10676" t="s">
        <v>809</v>
      </c>
      <c r="F10676" t="s">
        <v>810</v>
      </c>
      <c r="G10676">
        <v>77.8</v>
      </c>
      <c r="H10676">
        <v>250331</v>
      </c>
      <c r="I10676">
        <v>4600</v>
      </c>
      <c r="J10676" t="s">
        <v>278</v>
      </c>
      <c r="K10676">
        <v>281.06</v>
      </c>
      <c r="L10676">
        <v>15.81</v>
      </c>
      <c r="M10676">
        <v>17809</v>
      </c>
      <c r="N10676" t="s">
        <v>25</v>
      </c>
      <c r="O10676">
        <v>250415</v>
      </c>
      <c r="P10676">
        <v>61.99</v>
      </c>
    </row>
    <row r="10677" spans="1:16" x14ac:dyDescent="0.25">
      <c r="A10677" t="s">
        <v>3296</v>
      </c>
      <c r="B10677" t="s">
        <v>2931</v>
      </c>
      <c r="C10677">
        <v>4759</v>
      </c>
      <c r="D10677" t="str">
        <f t="shared" si="165"/>
        <v xml:space="preserve">6688        </v>
      </c>
      <c r="E10677" t="s">
        <v>809</v>
      </c>
      <c r="F10677" t="s">
        <v>810</v>
      </c>
      <c r="G10677">
        <v>14.38</v>
      </c>
      <c r="H10677">
        <v>250331</v>
      </c>
      <c r="I10677">
        <v>4600</v>
      </c>
      <c r="J10677" t="s">
        <v>278</v>
      </c>
      <c r="K10677">
        <v>281.06</v>
      </c>
      <c r="L10677">
        <v>2.92</v>
      </c>
      <c r="M10677">
        <v>17951</v>
      </c>
      <c r="N10677" t="s">
        <v>207</v>
      </c>
      <c r="O10677">
        <v>250415</v>
      </c>
      <c r="P10677">
        <v>11.46</v>
      </c>
    </row>
    <row r="10678" spans="1:16" x14ac:dyDescent="0.25">
      <c r="A10678" t="s">
        <v>3296</v>
      </c>
      <c r="B10678" t="s">
        <v>2931</v>
      </c>
      <c r="C10678">
        <v>4759</v>
      </c>
      <c r="D10678" t="str">
        <f t="shared" si="165"/>
        <v xml:space="preserve">6688        </v>
      </c>
      <c r="E10678" t="s">
        <v>809</v>
      </c>
      <c r="F10678" t="s">
        <v>810</v>
      </c>
      <c r="G10678">
        <v>23.9</v>
      </c>
      <c r="H10678">
        <v>250331</v>
      </c>
      <c r="I10678">
        <v>4600</v>
      </c>
      <c r="J10678" t="s">
        <v>278</v>
      </c>
      <c r="K10678">
        <v>281.06</v>
      </c>
      <c r="L10678">
        <v>4.8600000000000003</v>
      </c>
      <c r="M10678">
        <v>17951</v>
      </c>
      <c r="N10678" t="s">
        <v>207</v>
      </c>
      <c r="O10678">
        <v>250415</v>
      </c>
      <c r="P10678">
        <v>19.04</v>
      </c>
    </row>
    <row r="10679" spans="1:16" x14ac:dyDescent="0.25">
      <c r="A10679" t="s">
        <v>3296</v>
      </c>
      <c r="B10679" t="s">
        <v>2931</v>
      </c>
      <c r="C10679">
        <v>5712</v>
      </c>
      <c r="D10679" t="str">
        <f>"6729        "</f>
        <v xml:space="preserve">6729        </v>
      </c>
      <c r="E10679" t="s">
        <v>809</v>
      </c>
      <c r="F10679" t="s">
        <v>810</v>
      </c>
      <c r="G10679">
        <v>38.61</v>
      </c>
      <c r="H10679">
        <v>250403</v>
      </c>
      <c r="I10679">
        <v>4600</v>
      </c>
      <c r="J10679" t="s">
        <v>278</v>
      </c>
      <c r="K10679">
        <v>38.61</v>
      </c>
      <c r="L10679">
        <v>7.85</v>
      </c>
      <c r="M10679">
        <v>13802</v>
      </c>
      <c r="N10679" t="s">
        <v>34</v>
      </c>
      <c r="O10679">
        <v>250429</v>
      </c>
      <c r="P10679">
        <v>30.76</v>
      </c>
    </row>
    <row r="10680" spans="1:16" x14ac:dyDescent="0.25">
      <c r="A10680" t="s">
        <v>3296</v>
      </c>
      <c r="B10680" t="s">
        <v>2931</v>
      </c>
      <c r="C10680">
        <v>7775</v>
      </c>
      <c r="D10680" t="str">
        <f>"6916        "</f>
        <v xml:space="preserve">6916        </v>
      </c>
      <c r="E10680" t="s">
        <v>809</v>
      </c>
      <c r="F10680" t="s">
        <v>810</v>
      </c>
      <c r="G10680">
        <v>63.73</v>
      </c>
      <c r="H10680">
        <v>250531</v>
      </c>
      <c r="I10680">
        <v>4600</v>
      </c>
      <c r="J10680" t="s">
        <v>278</v>
      </c>
      <c r="K10680">
        <v>111.54</v>
      </c>
      <c r="L10680">
        <v>12.95</v>
      </c>
      <c r="M10680">
        <v>17912</v>
      </c>
      <c r="N10680" t="s">
        <v>505</v>
      </c>
      <c r="O10680">
        <v>250609</v>
      </c>
      <c r="P10680">
        <v>50.78</v>
      </c>
    </row>
    <row r="10681" spans="1:16" x14ac:dyDescent="0.25">
      <c r="A10681" t="s">
        <v>3296</v>
      </c>
      <c r="B10681" t="s">
        <v>2931</v>
      </c>
      <c r="C10681">
        <v>8204</v>
      </c>
      <c r="D10681" t="str">
        <f>"6915        "</f>
        <v xml:space="preserve">6915        </v>
      </c>
      <c r="E10681" t="s">
        <v>809</v>
      </c>
      <c r="F10681" t="s">
        <v>810</v>
      </c>
      <c r="G10681">
        <v>38.880000000000003</v>
      </c>
      <c r="H10681">
        <v>250531</v>
      </c>
      <c r="I10681">
        <v>4600</v>
      </c>
      <c r="J10681" t="s">
        <v>278</v>
      </c>
      <c r="K10681">
        <v>453.71</v>
      </c>
      <c r="L10681">
        <v>7.9</v>
      </c>
      <c r="M10681">
        <v>17803</v>
      </c>
      <c r="N10681" t="s">
        <v>19</v>
      </c>
      <c r="O10681">
        <v>250612</v>
      </c>
      <c r="P10681">
        <v>30.98</v>
      </c>
    </row>
    <row r="10682" spans="1:16" x14ac:dyDescent="0.25">
      <c r="A10682" t="s">
        <v>3296</v>
      </c>
      <c r="B10682" t="s">
        <v>2931</v>
      </c>
      <c r="C10682">
        <v>8204</v>
      </c>
      <c r="D10682" t="str">
        <f>"6915        "</f>
        <v xml:space="preserve">6915        </v>
      </c>
      <c r="E10682" t="s">
        <v>809</v>
      </c>
      <c r="F10682" t="s">
        <v>810</v>
      </c>
      <c r="G10682">
        <v>8.7799999999999994</v>
      </c>
      <c r="H10682">
        <v>250531</v>
      </c>
      <c r="I10682">
        <v>4600</v>
      </c>
      <c r="J10682" t="s">
        <v>278</v>
      </c>
      <c r="K10682">
        <v>453.71</v>
      </c>
      <c r="L10682">
        <v>1.78</v>
      </c>
      <c r="M10682">
        <v>17809</v>
      </c>
      <c r="N10682" t="s">
        <v>25</v>
      </c>
      <c r="O10682">
        <v>250612</v>
      </c>
      <c r="P10682">
        <v>7</v>
      </c>
    </row>
    <row r="10683" spans="1:16" x14ac:dyDescent="0.25">
      <c r="A10683" t="s">
        <v>3296</v>
      </c>
      <c r="B10683" t="s">
        <v>2931</v>
      </c>
      <c r="C10683">
        <v>8204</v>
      </c>
      <c r="D10683" t="str">
        <f>"6915        "</f>
        <v xml:space="preserve">6915        </v>
      </c>
      <c r="E10683" t="s">
        <v>809</v>
      </c>
      <c r="F10683" t="s">
        <v>810</v>
      </c>
      <c r="G10683">
        <v>25.85</v>
      </c>
      <c r="H10683">
        <v>250531</v>
      </c>
      <c r="I10683">
        <v>4600</v>
      </c>
      <c r="J10683" t="s">
        <v>278</v>
      </c>
      <c r="K10683">
        <v>453.71</v>
      </c>
      <c r="L10683">
        <v>5.25</v>
      </c>
      <c r="M10683">
        <v>17951</v>
      </c>
      <c r="N10683" t="s">
        <v>207</v>
      </c>
      <c r="O10683">
        <v>250612</v>
      </c>
      <c r="P10683">
        <v>20.6</v>
      </c>
    </row>
    <row r="10684" spans="1:16" x14ac:dyDescent="0.25">
      <c r="A10684" t="s">
        <v>3296</v>
      </c>
      <c r="B10684" t="s">
        <v>2931</v>
      </c>
      <c r="C10684">
        <v>8204</v>
      </c>
      <c r="D10684" t="str">
        <f>"6915        "</f>
        <v xml:space="preserve">6915        </v>
      </c>
      <c r="E10684" t="s">
        <v>809</v>
      </c>
      <c r="F10684" t="s">
        <v>810</v>
      </c>
      <c r="G10684">
        <v>71.900000000000006</v>
      </c>
      <c r="H10684">
        <v>250531</v>
      </c>
      <c r="I10684">
        <v>4600</v>
      </c>
      <c r="J10684" t="s">
        <v>278</v>
      </c>
      <c r="K10684">
        <v>453.71</v>
      </c>
      <c r="L10684">
        <v>14.61</v>
      </c>
      <c r="M10684">
        <v>17951</v>
      </c>
      <c r="N10684" t="s">
        <v>207</v>
      </c>
      <c r="O10684">
        <v>250612</v>
      </c>
      <c r="P10684">
        <v>57.29</v>
      </c>
    </row>
    <row r="10685" spans="1:16" x14ac:dyDescent="0.25">
      <c r="A10685" t="s">
        <v>3296</v>
      </c>
      <c r="B10685" t="s">
        <v>2931</v>
      </c>
      <c r="C10685">
        <v>8204</v>
      </c>
      <c r="D10685" t="str">
        <f>"6915        "</f>
        <v xml:space="preserve">6915        </v>
      </c>
      <c r="E10685" t="s">
        <v>809</v>
      </c>
      <c r="F10685" t="s">
        <v>810</v>
      </c>
      <c r="G10685">
        <v>18.46</v>
      </c>
      <c r="H10685">
        <v>250531</v>
      </c>
      <c r="I10685">
        <v>4600</v>
      </c>
      <c r="J10685" t="s">
        <v>278</v>
      </c>
      <c r="K10685">
        <v>453.71</v>
      </c>
      <c r="L10685">
        <v>3.75</v>
      </c>
      <c r="M10685">
        <v>17972</v>
      </c>
      <c r="N10685" t="s">
        <v>28</v>
      </c>
      <c r="O10685">
        <v>250612</v>
      </c>
      <c r="P10685">
        <v>14.71</v>
      </c>
    </row>
    <row r="10686" spans="1:16" x14ac:dyDescent="0.25">
      <c r="A10686" t="s">
        <v>3296</v>
      </c>
      <c r="B10686" t="s">
        <v>2931</v>
      </c>
      <c r="C10686">
        <v>9369</v>
      </c>
      <c r="D10686" t="str">
        <f>"6949        "</f>
        <v xml:space="preserve">6949        </v>
      </c>
      <c r="E10686" t="s">
        <v>809</v>
      </c>
      <c r="F10686" t="s">
        <v>810</v>
      </c>
      <c r="G10686">
        <v>11.98</v>
      </c>
      <c r="H10686">
        <v>250604</v>
      </c>
      <c r="I10686">
        <v>4600</v>
      </c>
      <c r="J10686" t="s">
        <v>278</v>
      </c>
      <c r="K10686">
        <v>199.91</v>
      </c>
      <c r="L10686">
        <v>2.4300000000000002</v>
      </c>
      <c r="M10686">
        <v>13801</v>
      </c>
      <c r="N10686" t="s">
        <v>33</v>
      </c>
      <c r="O10686">
        <v>250707</v>
      </c>
      <c r="P10686">
        <v>9.5500000000000007</v>
      </c>
    </row>
    <row r="10687" spans="1:16" x14ac:dyDescent="0.25">
      <c r="A10687" t="s">
        <v>3296</v>
      </c>
      <c r="B10687" t="s">
        <v>2931</v>
      </c>
      <c r="C10687">
        <v>9369</v>
      </c>
      <c r="D10687" t="str">
        <f>"6949        "</f>
        <v xml:space="preserve">6949        </v>
      </c>
      <c r="E10687" t="s">
        <v>809</v>
      </c>
      <c r="F10687" t="s">
        <v>810</v>
      </c>
      <c r="G10687">
        <v>187.93</v>
      </c>
      <c r="H10687">
        <v>250604</v>
      </c>
      <c r="I10687">
        <v>4600</v>
      </c>
      <c r="J10687" t="s">
        <v>278</v>
      </c>
      <c r="K10687">
        <v>199.91</v>
      </c>
      <c r="L10687">
        <v>38.18</v>
      </c>
      <c r="M10687">
        <v>13802</v>
      </c>
      <c r="N10687" t="s">
        <v>34</v>
      </c>
      <c r="O10687">
        <v>250707</v>
      </c>
      <c r="P10687">
        <v>149.75</v>
      </c>
    </row>
    <row r="10688" spans="1:16" x14ac:dyDescent="0.25">
      <c r="A10688" t="s">
        <v>3296</v>
      </c>
      <c r="B10688" t="s">
        <v>2931</v>
      </c>
      <c r="C10688">
        <v>11398</v>
      </c>
      <c r="D10688" t="str">
        <f t="shared" ref="D10688:D10694" si="166">"7144        "</f>
        <v xml:space="preserve">7144        </v>
      </c>
      <c r="E10688" t="s">
        <v>809</v>
      </c>
      <c r="F10688" t="s">
        <v>810</v>
      </c>
      <c r="G10688">
        <v>55.8</v>
      </c>
      <c r="H10688">
        <v>250831</v>
      </c>
      <c r="I10688">
        <v>4600</v>
      </c>
      <c r="J10688" t="s">
        <v>278</v>
      </c>
      <c r="K10688">
        <v>543.04</v>
      </c>
      <c r="L10688">
        <v>11.34</v>
      </c>
      <c r="M10688">
        <v>17803</v>
      </c>
      <c r="N10688" t="s">
        <v>19</v>
      </c>
      <c r="O10688">
        <v>250904</v>
      </c>
      <c r="P10688">
        <v>44.46</v>
      </c>
    </row>
    <row r="10689" spans="1:16" x14ac:dyDescent="0.25">
      <c r="A10689" t="s">
        <v>3296</v>
      </c>
      <c r="B10689" t="s">
        <v>2931</v>
      </c>
      <c r="C10689">
        <v>11398</v>
      </c>
      <c r="D10689" t="str">
        <f t="shared" si="166"/>
        <v xml:space="preserve">7144        </v>
      </c>
      <c r="E10689" t="s">
        <v>809</v>
      </c>
      <c r="F10689" t="s">
        <v>810</v>
      </c>
      <c r="G10689">
        <v>11.97</v>
      </c>
      <c r="H10689">
        <v>250831</v>
      </c>
      <c r="I10689">
        <v>4600</v>
      </c>
      <c r="J10689" t="s">
        <v>278</v>
      </c>
      <c r="K10689">
        <v>543.04</v>
      </c>
      <c r="L10689">
        <v>2.4300000000000002</v>
      </c>
      <c r="M10689">
        <v>17807</v>
      </c>
      <c r="N10689" t="s">
        <v>23</v>
      </c>
      <c r="O10689">
        <v>250904</v>
      </c>
      <c r="P10689">
        <v>9.5399999999999991</v>
      </c>
    </row>
    <row r="10690" spans="1:16" x14ac:dyDescent="0.25">
      <c r="A10690" t="s">
        <v>3296</v>
      </c>
      <c r="B10690" t="s">
        <v>2931</v>
      </c>
      <c r="C10690">
        <v>11398</v>
      </c>
      <c r="D10690" t="str">
        <f t="shared" si="166"/>
        <v xml:space="preserve">7144        </v>
      </c>
      <c r="E10690" t="s">
        <v>809</v>
      </c>
      <c r="F10690" t="s">
        <v>810</v>
      </c>
      <c r="G10690">
        <v>22.91</v>
      </c>
      <c r="H10690">
        <v>250831</v>
      </c>
      <c r="I10690">
        <v>4600</v>
      </c>
      <c r="J10690" t="s">
        <v>278</v>
      </c>
      <c r="K10690">
        <v>543.04</v>
      </c>
      <c r="L10690">
        <v>4.66</v>
      </c>
      <c r="M10690">
        <v>17807</v>
      </c>
      <c r="N10690" t="s">
        <v>23</v>
      </c>
      <c r="O10690">
        <v>250904</v>
      </c>
      <c r="P10690">
        <v>18.25</v>
      </c>
    </row>
    <row r="10691" spans="1:16" x14ac:dyDescent="0.25">
      <c r="A10691" t="s">
        <v>3296</v>
      </c>
      <c r="B10691" t="s">
        <v>2931</v>
      </c>
      <c r="C10691">
        <v>11398</v>
      </c>
      <c r="D10691" t="str">
        <f t="shared" si="166"/>
        <v xml:space="preserve">7144        </v>
      </c>
      <c r="E10691" t="s">
        <v>809</v>
      </c>
      <c r="F10691" t="s">
        <v>810</v>
      </c>
      <c r="G10691">
        <v>11.96</v>
      </c>
      <c r="H10691">
        <v>250831</v>
      </c>
      <c r="I10691">
        <v>4600</v>
      </c>
      <c r="J10691" t="s">
        <v>278</v>
      </c>
      <c r="K10691">
        <v>543.04</v>
      </c>
      <c r="L10691">
        <v>2.4300000000000002</v>
      </c>
      <c r="M10691">
        <v>17809</v>
      </c>
      <c r="N10691" t="s">
        <v>25</v>
      </c>
      <c r="O10691">
        <v>250904</v>
      </c>
      <c r="P10691">
        <v>9.5299999999999994</v>
      </c>
    </row>
    <row r="10692" spans="1:16" x14ac:dyDescent="0.25">
      <c r="A10692" t="s">
        <v>3296</v>
      </c>
      <c r="B10692" t="s">
        <v>2931</v>
      </c>
      <c r="C10692">
        <v>11398</v>
      </c>
      <c r="D10692" t="str">
        <f t="shared" si="166"/>
        <v xml:space="preserve">7144        </v>
      </c>
      <c r="E10692" t="s">
        <v>809</v>
      </c>
      <c r="F10692" t="s">
        <v>810</v>
      </c>
      <c r="G10692">
        <v>12.95</v>
      </c>
      <c r="H10692">
        <v>250831</v>
      </c>
      <c r="I10692">
        <v>4600</v>
      </c>
      <c r="J10692" t="s">
        <v>278</v>
      </c>
      <c r="K10692">
        <v>543.04</v>
      </c>
      <c r="L10692">
        <v>2.63</v>
      </c>
      <c r="M10692">
        <v>17809</v>
      </c>
      <c r="N10692" t="s">
        <v>25</v>
      </c>
      <c r="O10692">
        <v>250904</v>
      </c>
      <c r="P10692">
        <v>10.32</v>
      </c>
    </row>
    <row r="10693" spans="1:16" x14ac:dyDescent="0.25">
      <c r="A10693" t="s">
        <v>3296</v>
      </c>
      <c r="B10693" t="s">
        <v>2931</v>
      </c>
      <c r="C10693">
        <v>11398</v>
      </c>
      <c r="D10693" t="str">
        <f t="shared" si="166"/>
        <v xml:space="preserve">7144        </v>
      </c>
      <c r="E10693" t="s">
        <v>809</v>
      </c>
      <c r="F10693" t="s">
        <v>810</v>
      </c>
      <c r="G10693">
        <v>27.42</v>
      </c>
      <c r="H10693">
        <v>250831</v>
      </c>
      <c r="I10693">
        <v>4600</v>
      </c>
      <c r="J10693" t="s">
        <v>278</v>
      </c>
      <c r="K10693">
        <v>543.04</v>
      </c>
      <c r="L10693">
        <v>5.57</v>
      </c>
      <c r="M10693">
        <v>17809</v>
      </c>
      <c r="N10693" t="s">
        <v>25</v>
      </c>
      <c r="O10693">
        <v>250904</v>
      </c>
      <c r="P10693">
        <v>21.85</v>
      </c>
    </row>
    <row r="10694" spans="1:16" x14ac:dyDescent="0.25">
      <c r="A10694" t="s">
        <v>3296</v>
      </c>
      <c r="B10694" t="s">
        <v>2931</v>
      </c>
      <c r="C10694">
        <v>11398</v>
      </c>
      <c r="D10694" t="str">
        <f t="shared" si="166"/>
        <v xml:space="preserve">7144        </v>
      </c>
      <c r="E10694" t="s">
        <v>809</v>
      </c>
      <c r="F10694" t="s">
        <v>810</v>
      </c>
      <c r="G10694">
        <v>14.76</v>
      </c>
      <c r="H10694">
        <v>250831</v>
      </c>
      <c r="I10694">
        <v>4600</v>
      </c>
      <c r="J10694" t="s">
        <v>278</v>
      </c>
      <c r="K10694">
        <v>543.04</v>
      </c>
      <c r="L10694">
        <v>3</v>
      </c>
      <c r="M10694">
        <v>17951</v>
      </c>
      <c r="N10694" t="s">
        <v>207</v>
      </c>
      <c r="O10694">
        <v>250904</v>
      </c>
      <c r="P10694">
        <v>11.76</v>
      </c>
    </row>
    <row r="10695" spans="1:16" x14ac:dyDescent="0.25">
      <c r="A10695" t="s">
        <v>3296</v>
      </c>
      <c r="B10695" t="s">
        <v>2931</v>
      </c>
      <c r="C10695">
        <v>11505</v>
      </c>
      <c r="D10695" t="str">
        <f>"7146        "</f>
        <v xml:space="preserve">7146        </v>
      </c>
      <c r="E10695" t="s">
        <v>809</v>
      </c>
      <c r="F10695" t="s">
        <v>810</v>
      </c>
      <c r="G10695">
        <v>21.89</v>
      </c>
      <c r="H10695">
        <v>250831</v>
      </c>
      <c r="I10695">
        <v>4600</v>
      </c>
      <c r="J10695" t="s">
        <v>278</v>
      </c>
      <c r="K10695">
        <v>21.89</v>
      </c>
      <c r="L10695">
        <v>4.45</v>
      </c>
      <c r="M10695">
        <v>17711</v>
      </c>
      <c r="N10695" t="s">
        <v>155</v>
      </c>
      <c r="O10695">
        <v>250908</v>
      </c>
      <c r="P10695">
        <v>17.440000000000001</v>
      </c>
    </row>
    <row r="10696" spans="1:16" x14ac:dyDescent="0.25">
      <c r="A10696" t="s">
        <v>3296</v>
      </c>
      <c r="B10696" t="s">
        <v>2931</v>
      </c>
      <c r="C10696">
        <v>11871</v>
      </c>
      <c r="D10696" t="str">
        <f>"7183        "</f>
        <v xml:space="preserve">7183        </v>
      </c>
      <c r="E10696" t="s">
        <v>809</v>
      </c>
      <c r="F10696" t="s">
        <v>810</v>
      </c>
      <c r="G10696">
        <v>66.900000000000006</v>
      </c>
      <c r="H10696">
        <v>250829</v>
      </c>
      <c r="I10696">
        <v>4600</v>
      </c>
      <c r="J10696" t="s">
        <v>278</v>
      </c>
      <c r="K10696">
        <v>66.900000000000006</v>
      </c>
      <c r="L10696">
        <v>13.59</v>
      </c>
      <c r="M10696">
        <v>13801</v>
      </c>
      <c r="N10696" t="s">
        <v>33</v>
      </c>
      <c r="O10696">
        <v>250911</v>
      </c>
      <c r="P10696">
        <v>53.31</v>
      </c>
    </row>
    <row r="10697" spans="1:16" x14ac:dyDescent="0.25">
      <c r="A10697" t="s">
        <v>3296</v>
      </c>
      <c r="B10697" t="s">
        <v>2931</v>
      </c>
      <c r="C10697">
        <v>14580</v>
      </c>
      <c r="D10697" t="str">
        <f>"7369        "</f>
        <v xml:space="preserve">7369        </v>
      </c>
      <c r="E10697" t="s">
        <v>809</v>
      </c>
      <c r="F10697" t="s">
        <v>810</v>
      </c>
      <c r="G10697">
        <v>1.29</v>
      </c>
      <c r="H10697">
        <v>251031</v>
      </c>
      <c r="I10697">
        <v>4600</v>
      </c>
      <c r="J10697" t="s">
        <v>278</v>
      </c>
      <c r="K10697">
        <v>79.7</v>
      </c>
      <c r="L10697">
        <v>0.26</v>
      </c>
      <c r="M10697">
        <v>17912</v>
      </c>
      <c r="N10697" t="s">
        <v>505</v>
      </c>
      <c r="O10697">
        <v>251105</v>
      </c>
      <c r="P10697">
        <v>1.03</v>
      </c>
    </row>
    <row r="10698" spans="1:16" x14ac:dyDescent="0.25">
      <c r="A10698" t="s">
        <v>3296</v>
      </c>
      <c r="B10698" t="s">
        <v>2931</v>
      </c>
      <c r="C10698">
        <v>14580</v>
      </c>
      <c r="D10698" t="str">
        <f>"7369        "</f>
        <v xml:space="preserve">7369        </v>
      </c>
      <c r="E10698" t="s">
        <v>809</v>
      </c>
      <c r="F10698" t="s">
        <v>810</v>
      </c>
      <c r="G10698">
        <v>50.12</v>
      </c>
      <c r="H10698">
        <v>251031</v>
      </c>
      <c r="I10698">
        <v>4600</v>
      </c>
      <c r="J10698" t="s">
        <v>278</v>
      </c>
      <c r="K10698">
        <v>79.7</v>
      </c>
      <c r="L10698">
        <v>10.18</v>
      </c>
      <c r="M10698">
        <v>17912</v>
      </c>
      <c r="N10698" t="s">
        <v>505</v>
      </c>
      <c r="O10698">
        <v>251105</v>
      </c>
      <c r="P10698">
        <v>39.94</v>
      </c>
    </row>
    <row r="10699" spans="1:16" x14ac:dyDescent="0.25">
      <c r="A10699" t="s">
        <v>3296</v>
      </c>
      <c r="B10699" t="s">
        <v>2931</v>
      </c>
      <c r="C10699">
        <v>14651</v>
      </c>
      <c r="D10699" t="str">
        <f t="shared" ref="D10699:D10705" si="167">"7368        "</f>
        <v xml:space="preserve">7368        </v>
      </c>
      <c r="E10699" t="s">
        <v>809</v>
      </c>
      <c r="F10699" t="s">
        <v>810</v>
      </c>
      <c r="G10699">
        <v>50.22</v>
      </c>
      <c r="H10699">
        <v>251031</v>
      </c>
      <c r="I10699">
        <v>4600</v>
      </c>
      <c r="J10699" t="s">
        <v>278</v>
      </c>
      <c r="K10699">
        <v>415.52</v>
      </c>
      <c r="L10699">
        <v>10.199999999999999</v>
      </c>
      <c r="M10699">
        <v>17803</v>
      </c>
      <c r="N10699" t="s">
        <v>19</v>
      </c>
      <c r="O10699">
        <v>251105</v>
      </c>
      <c r="P10699">
        <v>40.020000000000003</v>
      </c>
    </row>
    <row r="10700" spans="1:16" x14ac:dyDescent="0.25">
      <c r="A10700" t="s">
        <v>3296</v>
      </c>
      <c r="B10700" t="s">
        <v>2931</v>
      </c>
      <c r="C10700">
        <v>14651</v>
      </c>
      <c r="D10700" t="str">
        <f t="shared" si="167"/>
        <v xml:space="preserve">7368        </v>
      </c>
      <c r="E10700" t="s">
        <v>809</v>
      </c>
      <c r="F10700" t="s">
        <v>810</v>
      </c>
      <c r="G10700">
        <v>11.78</v>
      </c>
      <c r="H10700">
        <v>251031</v>
      </c>
      <c r="I10700">
        <v>4600</v>
      </c>
      <c r="J10700" t="s">
        <v>278</v>
      </c>
      <c r="K10700">
        <v>415.52</v>
      </c>
      <c r="L10700">
        <v>2.39</v>
      </c>
      <c r="M10700">
        <v>17806</v>
      </c>
      <c r="N10700" t="s">
        <v>22</v>
      </c>
      <c r="O10700">
        <v>251105</v>
      </c>
      <c r="P10700">
        <v>9.39</v>
      </c>
    </row>
    <row r="10701" spans="1:16" x14ac:dyDescent="0.25">
      <c r="A10701" t="s">
        <v>3296</v>
      </c>
      <c r="B10701" t="s">
        <v>2931</v>
      </c>
      <c r="C10701">
        <v>14651</v>
      </c>
      <c r="D10701" t="str">
        <f t="shared" si="167"/>
        <v xml:space="preserve">7368        </v>
      </c>
      <c r="E10701" t="s">
        <v>809</v>
      </c>
      <c r="F10701" t="s">
        <v>810</v>
      </c>
      <c r="G10701">
        <v>12</v>
      </c>
      <c r="H10701">
        <v>251031</v>
      </c>
      <c r="I10701">
        <v>4600</v>
      </c>
      <c r="J10701" t="s">
        <v>278</v>
      </c>
      <c r="K10701">
        <v>415.52</v>
      </c>
      <c r="L10701">
        <v>2.44</v>
      </c>
      <c r="M10701">
        <v>17806</v>
      </c>
      <c r="N10701" t="s">
        <v>22</v>
      </c>
      <c r="O10701">
        <v>251105</v>
      </c>
      <c r="P10701">
        <v>9.56</v>
      </c>
    </row>
    <row r="10702" spans="1:16" x14ac:dyDescent="0.25">
      <c r="A10702" t="s">
        <v>3296</v>
      </c>
      <c r="B10702" t="s">
        <v>2931</v>
      </c>
      <c r="C10702">
        <v>14651</v>
      </c>
      <c r="D10702" t="str">
        <f t="shared" si="167"/>
        <v xml:space="preserve">7368        </v>
      </c>
      <c r="E10702" t="s">
        <v>809</v>
      </c>
      <c r="F10702" t="s">
        <v>810</v>
      </c>
      <c r="G10702">
        <v>13.99</v>
      </c>
      <c r="H10702">
        <v>251031</v>
      </c>
      <c r="I10702">
        <v>4600</v>
      </c>
      <c r="J10702" t="s">
        <v>278</v>
      </c>
      <c r="K10702">
        <v>415.52</v>
      </c>
      <c r="L10702">
        <v>2.84</v>
      </c>
      <c r="M10702">
        <v>17809</v>
      </c>
      <c r="N10702" t="s">
        <v>25</v>
      </c>
      <c r="O10702">
        <v>251105</v>
      </c>
      <c r="P10702">
        <v>11.15</v>
      </c>
    </row>
    <row r="10703" spans="1:16" x14ac:dyDescent="0.25">
      <c r="A10703" t="s">
        <v>3296</v>
      </c>
      <c r="B10703" t="s">
        <v>2931</v>
      </c>
      <c r="C10703">
        <v>14651</v>
      </c>
      <c r="D10703" t="str">
        <f t="shared" si="167"/>
        <v xml:space="preserve">7368        </v>
      </c>
      <c r="E10703" t="s">
        <v>809</v>
      </c>
      <c r="F10703" t="s">
        <v>810</v>
      </c>
      <c r="G10703">
        <v>16.82</v>
      </c>
      <c r="H10703">
        <v>251031</v>
      </c>
      <c r="I10703">
        <v>4600</v>
      </c>
      <c r="J10703" t="s">
        <v>278</v>
      </c>
      <c r="K10703">
        <v>415.52</v>
      </c>
      <c r="L10703">
        <v>3.42</v>
      </c>
      <c r="M10703">
        <v>17951</v>
      </c>
      <c r="N10703" t="s">
        <v>207</v>
      </c>
      <c r="O10703">
        <v>251105</v>
      </c>
      <c r="P10703">
        <v>13.4</v>
      </c>
    </row>
    <row r="10704" spans="1:16" x14ac:dyDescent="0.25">
      <c r="A10704" t="s">
        <v>3296</v>
      </c>
      <c r="B10704" t="s">
        <v>2931</v>
      </c>
      <c r="C10704">
        <v>14651</v>
      </c>
      <c r="D10704" t="str">
        <f t="shared" si="167"/>
        <v xml:space="preserve">7368        </v>
      </c>
      <c r="E10704" t="s">
        <v>809</v>
      </c>
      <c r="F10704" t="s">
        <v>810</v>
      </c>
      <c r="G10704">
        <v>29.94</v>
      </c>
      <c r="H10704">
        <v>251031</v>
      </c>
      <c r="I10704">
        <v>4600</v>
      </c>
      <c r="J10704" t="s">
        <v>278</v>
      </c>
      <c r="K10704">
        <v>415.52</v>
      </c>
      <c r="L10704">
        <v>6.08</v>
      </c>
      <c r="M10704">
        <v>17951</v>
      </c>
      <c r="N10704" t="s">
        <v>207</v>
      </c>
      <c r="O10704">
        <v>251105</v>
      </c>
      <c r="P10704">
        <v>23.86</v>
      </c>
    </row>
    <row r="10705" spans="1:16" x14ac:dyDescent="0.25">
      <c r="A10705" t="s">
        <v>3296</v>
      </c>
      <c r="B10705" t="s">
        <v>2931</v>
      </c>
      <c r="C10705">
        <v>14651</v>
      </c>
      <c r="D10705" t="str">
        <f t="shared" si="167"/>
        <v xml:space="preserve">7368        </v>
      </c>
      <c r="E10705" t="s">
        <v>809</v>
      </c>
      <c r="F10705" t="s">
        <v>810</v>
      </c>
      <c r="G10705">
        <v>29.94</v>
      </c>
      <c r="H10705">
        <v>251031</v>
      </c>
      <c r="I10705">
        <v>4600</v>
      </c>
      <c r="J10705" t="s">
        <v>278</v>
      </c>
      <c r="K10705">
        <v>415.52</v>
      </c>
      <c r="L10705">
        <v>6.08</v>
      </c>
      <c r="M10705">
        <v>17951</v>
      </c>
      <c r="N10705" t="s">
        <v>207</v>
      </c>
      <c r="O10705">
        <v>251105</v>
      </c>
      <c r="P10705">
        <v>23.86</v>
      </c>
    </row>
    <row r="10706" spans="1:16" x14ac:dyDescent="0.25">
      <c r="A10706" t="s">
        <v>3296</v>
      </c>
      <c r="B10706" t="s">
        <v>2931</v>
      </c>
      <c r="C10706">
        <v>15127</v>
      </c>
      <c r="D10706" t="str">
        <f>"7395        "</f>
        <v xml:space="preserve">7395        </v>
      </c>
      <c r="E10706" t="s">
        <v>809</v>
      </c>
      <c r="F10706" t="s">
        <v>810</v>
      </c>
      <c r="G10706">
        <v>29.92</v>
      </c>
      <c r="H10706">
        <v>251031</v>
      </c>
      <c r="I10706">
        <v>4600</v>
      </c>
      <c r="J10706" t="s">
        <v>278</v>
      </c>
      <c r="K10706">
        <v>86.88</v>
      </c>
      <c r="L10706">
        <v>6.08</v>
      </c>
      <c r="M10706">
        <v>13802</v>
      </c>
      <c r="N10706" t="s">
        <v>34</v>
      </c>
      <c r="O10706">
        <v>251112</v>
      </c>
      <c r="P10706">
        <v>23.84</v>
      </c>
    </row>
    <row r="10707" spans="1:16" x14ac:dyDescent="0.25">
      <c r="A10707" t="s">
        <v>3296</v>
      </c>
      <c r="B10707" t="s">
        <v>2931</v>
      </c>
      <c r="C10707">
        <v>15127</v>
      </c>
      <c r="D10707" t="str">
        <f>"7395        "</f>
        <v xml:space="preserve">7395        </v>
      </c>
      <c r="E10707" t="s">
        <v>809</v>
      </c>
      <c r="F10707" t="s">
        <v>810</v>
      </c>
      <c r="G10707">
        <v>56.96</v>
      </c>
      <c r="H10707">
        <v>251031</v>
      </c>
      <c r="I10707">
        <v>4600</v>
      </c>
      <c r="J10707" t="s">
        <v>278</v>
      </c>
      <c r="K10707">
        <v>86.88</v>
      </c>
      <c r="L10707">
        <v>11.57</v>
      </c>
      <c r="M10707">
        <v>13821</v>
      </c>
      <c r="N10707" t="s">
        <v>867</v>
      </c>
      <c r="O10707">
        <v>251112</v>
      </c>
      <c r="P10707">
        <v>45.39</v>
      </c>
    </row>
    <row r="10708" spans="1:16" x14ac:dyDescent="0.25">
      <c r="A10708" t="s">
        <v>3296</v>
      </c>
      <c r="B10708" t="s">
        <v>2931</v>
      </c>
      <c r="C10708">
        <v>15147</v>
      </c>
      <c r="D10708" t="str">
        <f>"7403        "</f>
        <v xml:space="preserve">7403        </v>
      </c>
      <c r="E10708" t="s">
        <v>809</v>
      </c>
      <c r="F10708" t="s">
        <v>810</v>
      </c>
      <c r="G10708">
        <v>106.02</v>
      </c>
      <c r="H10708">
        <v>251103</v>
      </c>
      <c r="I10708">
        <v>4600</v>
      </c>
      <c r="J10708" t="s">
        <v>278</v>
      </c>
      <c r="K10708">
        <v>106.02</v>
      </c>
      <c r="L10708">
        <v>21.54</v>
      </c>
      <c r="M10708">
        <v>13802</v>
      </c>
      <c r="N10708" t="s">
        <v>34</v>
      </c>
      <c r="O10708">
        <v>251113</v>
      </c>
      <c r="P10708">
        <v>84.48</v>
      </c>
    </row>
    <row r="10709" spans="1:16" x14ac:dyDescent="0.25">
      <c r="A10709" t="s">
        <v>3296</v>
      </c>
      <c r="B10709" t="s">
        <v>2931</v>
      </c>
      <c r="C10709">
        <v>15739</v>
      </c>
      <c r="D10709" t="str">
        <f>"7514        "</f>
        <v xml:space="preserve">7514        </v>
      </c>
      <c r="E10709" t="s">
        <v>809</v>
      </c>
      <c r="F10709" t="s">
        <v>810</v>
      </c>
      <c r="G10709">
        <v>12.98</v>
      </c>
      <c r="H10709">
        <v>251124</v>
      </c>
      <c r="I10709">
        <v>4600</v>
      </c>
      <c r="J10709" t="s">
        <v>278</v>
      </c>
      <c r="K10709">
        <v>12.98</v>
      </c>
      <c r="L10709">
        <v>2.64</v>
      </c>
      <c r="M10709">
        <v>17711</v>
      </c>
      <c r="N10709" t="s">
        <v>155</v>
      </c>
      <c r="O10709">
        <v>251126</v>
      </c>
      <c r="P10709">
        <v>10.34</v>
      </c>
    </row>
    <row r="10710" spans="1:16" x14ac:dyDescent="0.25">
      <c r="A10710" t="s">
        <v>3296</v>
      </c>
      <c r="B10710" t="s">
        <v>2931</v>
      </c>
      <c r="C10710">
        <v>15784</v>
      </c>
      <c r="D10710" t="str">
        <f>"7485        "</f>
        <v xml:space="preserve">7485        </v>
      </c>
      <c r="E10710" t="s">
        <v>809</v>
      </c>
      <c r="F10710" t="s">
        <v>810</v>
      </c>
      <c r="G10710">
        <v>30.26</v>
      </c>
      <c r="H10710">
        <v>251124</v>
      </c>
      <c r="I10710">
        <v>4600</v>
      </c>
      <c r="J10710" t="s">
        <v>278</v>
      </c>
      <c r="K10710">
        <v>36.82</v>
      </c>
      <c r="L10710">
        <v>6.15</v>
      </c>
      <c r="M10710">
        <v>17912</v>
      </c>
      <c r="N10710" t="s">
        <v>505</v>
      </c>
      <c r="O10710">
        <v>251127</v>
      </c>
      <c r="P10710">
        <v>24.11</v>
      </c>
    </row>
    <row r="10711" spans="1:16" x14ac:dyDescent="0.25">
      <c r="A10711" t="s">
        <v>3296</v>
      </c>
      <c r="B10711" t="s">
        <v>2931</v>
      </c>
      <c r="C10711">
        <v>16036</v>
      </c>
      <c r="D10711" t="str">
        <f>"7500        "</f>
        <v xml:space="preserve">7500        </v>
      </c>
      <c r="E10711" t="s">
        <v>809</v>
      </c>
      <c r="F10711" t="s">
        <v>810</v>
      </c>
      <c r="G10711">
        <v>22.39</v>
      </c>
      <c r="H10711">
        <v>251124</v>
      </c>
      <c r="I10711">
        <v>4600</v>
      </c>
      <c r="J10711" t="s">
        <v>278</v>
      </c>
      <c r="K10711">
        <v>22.39</v>
      </c>
      <c r="L10711">
        <v>4.55</v>
      </c>
      <c r="M10711">
        <v>13801</v>
      </c>
      <c r="N10711" t="s">
        <v>33</v>
      </c>
      <c r="O10711">
        <v>251202</v>
      </c>
      <c r="P10711">
        <v>17.84</v>
      </c>
    </row>
    <row r="10712" spans="1:16" x14ac:dyDescent="0.25">
      <c r="A10712" t="s">
        <v>3296</v>
      </c>
      <c r="B10712" t="s">
        <v>2931</v>
      </c>
      <c r="C10712">
        <v>18225</v>
      </c>
      <c r="D10712" t="str">
        <f>"7756        "</f>
        <v xml:space="preserve">7756        </v>
      </c>
      <c r="E10712" t="s">
        <v>809</v>
      </c>
      <c r="F10712" t="s">
        <v>810</v>
      </c>
      <c r="G10712">
        <v>11.98</v>
      </c>
      <c r="H10712">
        <v>251231</v>
      </c>
      <c r="I10712">
        <v>4600</v>
      </c>
      <c r="J10712" t="s">
        <v>278</v>
      </c>
      <c r="K10712">
        <v>55.8</v>
      </c>
      <c r="L10712">
        <v>2.4300000000000002</v>
      </c>
      <c r="M10712">
        <v>17951</v>
      </c>
      <c r="N10712" t="s">
        <v>207</v>
      </c>
      <c r="O10712">
        <v>260112</v>
      </c>
      <c r="P10712">
        <v>9.5500000000000007</v>
      </c>
    </row>
    <row r="10713" spans="1:16" x14ac:dyDescent="0.25">
      <c r="A10713" t="s">
        <v>3296</v>
      </c>
      <c r="B10713" t="s">
        <v>2931</v>
      </c>
      <c r="C10713">
        <v>18235</v>
      </c>
      <c r="D10713" t="str">
        <f>"7757        "</f>
        <v xml:space="preserve">7757        </v>
      </c>
      <c r="E10713" t="s">
        <v>809</v>
      </c>
      <c r="F10713" t="s">
        <v>810</v>
      </c>
      <c r="G10713">
        <v>29.01</v>
      </c>
      <c r="H10713">
        <v>251231</v>
      </c>
      <c r="I10713">
        <v>4600</v>
      </c>
      <c r="J10713" t="s">
        <v>278</v>
      </c>
      <c r="K10713">
        <v>51.83</v>
      </c>
      <c r="L10713">
        <v>5.89</v>
      </c>
      <c r="M10713">
        <v>17912</v>
      </c>
      <c r="N10713" t="s">
        <v>505</v>
      </c>
      <c r="O10713">
        <v>260112</v>
      </c>
      <c r="P10713">
        <v>23.12</v>
      </c>
    </row>
    <row r="10714" spans="1:16" x14ac:dyDescent="0.25">
      <c r="A10714" t="s">
        <v>3296</v>
      </c>
      <c r="B10714" t="s">
        <v>2931</v>
      </c>
      <c r="C10714">
        <v>18235</v>
      </c>
      <c r="D10714" t="str">
        <f>"7757        "</f>
        <v xml:space="preserve">7757        </v>
      </c>
      <c r="E10714" t="s">
        <v>809</v>
      </c>
      <c r="F10714" t="s">
        <v>810</v>
      </c>
      <c r="G10714">
        <v>3.99</v>
      </c>
      <c r="H10714">
        <v>251231</v>
      </c>
      <c r="I10714">
        <v>4600</v>
      </c>
      <c r="J10714" t="s">
        <v>278</v>
      </c>
      <c r="K10714">
        <v>51.83</v>
      </c>
      <c r="L10714">
        <v>0.81</v>
      </c>
      <c r="M10714">
        <v>17971</v>
      </c>
      <c r="N10714" t="s">
        <v>27</v>
      </c>
      <c r="O10714">
        <v>260112</v>
      </c>
      <c r="P10714">
        <v>3.18</v>
      </c>
    </row>
    <row r="10715" spans="1:16" x14ac:dyDescent="0.25">
      <c r="A10715" t="s">
        <v>3296</v>
      </c>
      <c r="B10715" t="s">
        <v>2931</v>
      </c>
      <c r="C10715">
        <v>18581</v>
      </c>
      <c r="D10715" t="str">
        <f>"7787        "</f>
        <v xml:space="preserve">7787        </v>
      </c>
      <c r="E10715" t="s">
        <v>809</v>
      </c>
      <c r="F10715" t="s">
        <v>810</v>
      </c>
      <c r="G10715">
        <v>108.79</v>
      </c>
      <c r="H10715">
        <v>251231</v>
      </c>
      <c r="I10715">
        <v>4600</v>
      </c>
      <c r="J10715" t="s">
        <v>278</v>
      </c>
      <c r="K10715">
        <v>108.79</v>
      </c>
      <c r="L10715">
        <v>22.1</v>
      </c>
      <c r="M10715">
        <v>13802</v>
      </c>
      <c r="N10715" t="s">
        <v>34</v>
      </c>
      <c r="O10715">
        <v>260116</v>
      </c>
      <c r="P10715">
        <v>86.69</v>
      </c>
    </row>
    <row r="10716" spans="1:16" x14ac:dyDescent="0.25">
      <c r="A10716" t="s">
        <v>3296</v>
      </c>
      <c r="B10716" t="s">
        <v>2931</v>
      </c>
      <c r="C10716">
        <v>3401</v>
      </c>
      <c r="D10716" t="str">
        <f>"27          "</f>
        <v xml:space="preserve">27          </v>
      </c>
      <c r="E10716" t="s">
        <v>1419</v>
      </c>
      <c r="F10716" t="s">
        <v>1420</v>
      </c>
      <c r="G10716">
        <v>4.99</v>
      </c>
      <c r="H10716">
        <v>250310</v>
      </c>
      <c r="I10716">
        <v>4410</v>
      </c>
      <c r="J10716" t="s">
        <v>165</v>
      </c>
      <c r="K10716">
        <v>305.83999999999997</v>
      </c>
      <c r="L10716">
        <v>1.01</v>
      </c>
      <c r="M10716">
        <v>16951</v>
      </c>
      <c r="N10716" t="s">
        <v>488</v>
      </c>
      <c r="O10716">
        <v>250320</v>
      </c>
      <c r="P10716">
        <v>3.98</v>
      </c>
    </row>
    <row r="10717" spans="1:16" x14ac:dyDescent="0.25">
      <c r="A10717" t="s">
        <v>3296</v>
      </c>
      <c r="B10717" t="s">
        <v>2931</v>
      </c>
      <c r="C10717">
        <v>3401</v>
      </c>
      <c r="D10717" t="str">
        <f>"27          "</f>
        <v xml:space="preserve">27          </v>
      </c>
      <c r="E10717" t="s">
        <v>1419</v>
      </c>
      <c r="F10717" t="s">
        <v>1420</v>
      </c>
      <c r="G10717">
        <v>300.85000000000002</v>
      </c>
      <c r="H10717">
        <v>250310</v>
      </c>
      <c r="I10717">
        <v>4410</v>
      </c>
      <c r="J10717" t="s">
        <v>165</v>
      </c>
      <c r="K10717">
        <v>305.83999999999997</v>
      </c>
      <c r="L10717">
        <v>36.950000000000003</v>
      </c>
      <c r="M10717">
        <v>16951</v>
      </c>
      <c r="N10717" t="s">
        <v>488</v>
      </c>
      <c r="O10717">
        <v>250320</v>
      </c>
      <c r="P10717">
        <v>263.89999999999998</v>
      </c>
    </row>
    <row r="10718" spans="1:16" x14ac:dyDescent="0.25">
      <c r="A10718" t="s">
        <v>3296</v>
      </c>
      <c r="B10718" t="s">
        <v>2931</v>
      </c>
      <c r="C10718">
        <v>1193</v>
      </c>
      <c r="D10718" t="str">
        <f>"20188083    "</f>
        <v xml:space="preserve">20188083    </v>
      </c>
      <c r="E10718" t="s">
        <v>886</v>
      </c>
      <c r="F10718" t="s">
        <v>887</v>
      </c>
      <c r="G10718">
        <v>903.34</v>
      </c>
      <c r="H10718">
        <v>250131</v>
      </c>
      <c r="I10718">
        <v>4571</v>
      </c>
      <c r="J10718" t="s">
        <v>223</v>
      </c>
      <c r="K10718">
        <v>2710.01</v>
      </c>
      <c r="L10718">
        <v>183.55</v>
      </c>
      <c r="M10718">
        <v>13540</v>
      </c>
      <c r="N10718" t="s">
        <v>131</v>
      </c>
      <c r="O10718">
        <v>250205</v>
      </c>
      <c r="P10718">
        <v>719.79</v>
      </c>
    </row>
    <row r="10719" spans="1:16" x14ac:dyDescent="0.25">
      <c r="A10719" t="s">
        <v>3296</v>
      </c>
      <c r="B10719" t="s">
        <v>2931</v>
      </c>
      <c r="C10719">
        <v>1193</v>
      </c>
      <c r="D10719" t="str">
        <f>"20188083    "</f>
        <v xml:space="preserve">20188083    </v>
      </c>
      <c r="E10719" t="s">
        <v>886</v>
      </c>
      <c r="F10719" t="s">
        <v>887</v>
      </c>
      <c r="G10719">
        <v>1806.67</v>
      </c>
      <c r="H10719">
        <v>250131</v>
      </c>
      <c r="I10719">
        <v>4571</v>
      </c>
      <c r="J10719" t="s">
        <v>223</v>
      </c>
      <c r="K10719">
        <v>2710.01</v>
      </c>
      <c r="L10719">
        <v>367.09</v>
      </c>
      <c r="M10719">
        <v>17950</v>
      </c>
      <c r="N10719" t="s">
        <v>132</v>
      </c>
      <c r="O10719">
        <v>250205</v>
      </c>
      <c r="P10719">
        <v>1439.58</v>
      </c>
    </row>
    <row r="10720" spans="1:16" x14ac:dyDescent="0.25">
      <c r="A10720" t="s">
        <v>3296</v>
      </c>
      <c r="B10720" t="s">
        <v>2931</v>
      </c>
      <c r="C10720">
        <v>1271</v>
      </c>
      <c r="D10720" t="str">
        <f>"20188036    "</f>
        <v xml:space="preserve">20188036    </v>
      </c>
      <c r="E10720" t="s">
        <v>886</v>
      </c>
      <c r="F10720" t="s">
        <v>887</v>
      </c>
      <c r="G10720">
        <v>2204.4899999999998</v>
      </c>
      <c r="H10720">
        <v>250131</v>
      </c>
      <c r="I10720">
        <v>4571</v>
      </c>
      <c r="J10720" t="s">
        <v>223</v>
      </c>
      <c r="K10720">
        <v>20040.849999999999</v>
      </c>
      <c r="L10720">
        <v>447.92</v>
      </c>
      <c r="M10720">
        <v>13540</v>
      </c>
      <c r="N10720" t="s">
        <v>131</v>
      </c>
      <c r="O10720">
        <v>250206</v>
      </c>
      <c r="P10720">
        <v>1756.57</v>
      </c>
    </row>
    <row r="10721" spans="1:16" x14ac:dyDescent="0.25">
      <c r="A10721" t="s">
        <v>3296</v>
      </c>
      <c r="B10721" t="s">
        <v>2931</v>
      </c>
      <c r="C10721">
        <v>1271</v>
      </c>
      <c r="D10721" t="str">
        <f>"20188036    "</f>
        <v xml:space="preserve">20188036    </v>
      </c>
      <c r="E10721" t="s">
        <v>886</v>
      </c>
      <c r="F10721" t="s">
        <v>887</v>
      </c>
      <c r="G10721">
        <v>17836.36</v>
      </c>
      <c r="H10721">
        <v>250131</v>
      </c>
      <c r="I10721">
        <v>4571</v>
      </c>
      <c r="J10721" t="s">
        <v>223</v>
      </c>
      <c r="K10721">
        <v>20040.849999999999</v>
      </c>
      <c r="L10721">
        <v>3624.12</v>
      </c>
      <c r="M10721">
        <v>17950</v>
      </c>
      <c r="N10721" t="s">
        <v>132</v>
      </c>
      <c r="O10721">
        <v>250206</v>
      </c>
      <c r="P10721">
        <v>14212.24</v>
      </c>
    </row>
    <row r="10722" spans="1:16" x14ac:dyDescent="0.25">
      <c r="A10722" t="s">
        <v>3296</v>
      </c>
      <c r="B10722" t="s">
        <v>2931</v>
      </c>
      <c r="C10722">
        <v>1286</v>
      </c>
      <c r="D10722" t="str">
        <f>"20188388    "</f>
        <v xml:space="preserve">20188388    </v>
      </c>
      <c r="E10722" t="s">
        <v>886</v>
      </c>
      <c r="F10722" t="s">
        <v>887</v>
      </c>
      <c r="G10722">
        <v>12520.76</v>
      </c>
      <c r="H10722">
        <v>250131</v>
      </c>
      <c r="I10722">
        <v>4571</v>
      </c>
      <c r="J10722" t="s">
        <v>223</v>
      </c>
      <c r="K10722">
        <v>12520.76</v>
      </c>
      <c r="L10722">
        <v>2544.06</v>
      </c>
      <c r="M10722">
        <v>17951</v>
      </c>
      <c r="N10722" t="s">
        <v>207</v>
      </c>
      <c r="O10722">
        <v>250206</v>
      </c>
      <c r="P10722">
        <v>9976.7000000000007</v>
      </c>
    </row>
    <row r="10723" spans="1:16" x14ac:dyDescent="0.25">
      <c r="A10723" t="s">
        <v>3296</v>
      </c>
      <c r="B10723" t="s">
        <v>2931</v>
      </c>
      <c r="C10723">
        <v>1296</v>
      </c>
      <c r="D10723" t="str">
        <f>"20188387    "</f>
        <v xml:space="preserve">20188387    </v>
      </c>
      <c r="E10723" t="s">
        <v>886</v>
      </c>
      <c r="F10723" t="s">
        <v>887</v>
      </c>
      <c r="G10723">
        <v>20397.419999999998</v>
      </c>
      <c r="H10723">
        <v>250131</v>
      </c>
      <c r="I10723">
        <v>4571</v>
      </c>
      <c r="J10723" t="s">
        <v>223</v>
      </c>
      <c r="K10723">
        <v>20397.419999999998</v>
      </c>
      <c r="L10723">
        <v>4144.5</v>
      </c>
      <c r="M10723">
        <v>17951</v>
      </c>
      <c r="N10723" t="s">
        <v>207</v>
      </c>
      <c r="O10723">
        <v>250206</v>
      </c>
      <c r="P10723">
        <v>16252.92</v>
      </c>
    </row>
    <row r="10724" spans="1:16" x14ac:dyDescent="0.25">
      <c r="A10724" t="s">
        <v>3296</v>
      </c>
      <c r="B10724" t="s">
        <v>2931</v>
      </c>
      <c r="C10724">
        <v>3050</v>
      </c>
      <c r="D10724" t="str">
        <f>"20189617    "</f>
        <v xml:space="preserve">20189617    </v>
      </c>
      <c r="E10724" t="s">
        <v>886</v>
      </c>
      <c r="F10724" t="s">
        <v>887</v>
      </c>
      <c r="G10724">
        <v>19478.59</v>
      </c>
      <c r="H10724">
        <v>250228</v>
      </c>
      <c r="I10724">
        <v>4571</v>
      </c>
      <c r="J10724" t="s">
        <v>223</v>
      </c>
      <c r="K10724">
        <v>19478.59</v>
      </c>
      <c r="L10724">
        <v>3957.8</v>
      </c>
      <c r="M10724">
        <v>17951</v>
      </c>
      <c r="N10724" t="s">
        <v>207</v>
      </c>
      <c r="O10724">
        <v>250314</v>
      </c>
      <c r="P10724">
        <v>15520.79</v>
      </c>
    </row>
    <row r="10725" spans="1:16" x14ac:dyDescent="0.25">
      <c r="A10725" t="s">
        <v>3296</v>
      </c>
      <c r="B10725" t="s">
        <v>2931</v>
      </c>
      <c r="C10725">
        <v>3051</v>
      </c>
      <c r="D10725" t="str">
        <f>"20189398    "</f>
        <v xml:space="preserve">20189398    </v>
      </c>
      <c r="E10725" t="s">
        <v>886</v>
      </c>
      <c r="F10725" t="s">
        <v>887</v>
      </c>
      <c r="G10725">
        <v>2051.9899999999998</v>
      </c>
      <c r="H10725">
        <v>250228</v>
      </c>
      <c r="I10725">
        <v>4571</v>
      </c>
      <c r="J10725" t="s">
        <v>223</v>
      </c>
      <c r="K10725">
        <v>18654.41</v>
      </c>
      <c r="L10725">
        <v>416.94</v>
      </c>
      <c r="M10725">
        <v>13540</v>
      </c>
      <c r="N10725" t="s">
        <v>131</v>
      </c>
      <c r="O10725">
        <v>250314</v>
      </c>
      <c r="P10725">
        <v>1635.05</v>
      </c>
    </row>
    <row r="10726" spans="1:16" x14ac:dyDescent="0.25">
      <c r="A10726" t="s">
        <v>3296</v>
      </c>
      <c r="B10726" t="s">
        <v>2931</v>
      </c>
      <c r="C10726">
        <v>3051</v>
      </c>
      <c r="D10726" t="str">
        <f>"20189398    "</f>
        <v xml:space="preserve">20189398    </v>
      </c>
      <c r="E10726" t="s">
        <v>886</v>
      </c>
      <c r="F10726" t="s">
        <v>887</v>
      </c>
      <c r="G10726">
        <v>16602.419999999998</v>
      </c>
      <c r="H10726">
        <v>250228</v>
      </c>
      <c r="I10726">
        <v>4571</v>
      </c>
      <c r="J10726" t="s">
        <v>223</v>
      </c>
      <c r="K10726">
        <v>18654.41</v>
      </c>
      <c r="L10726">
        <v>3373.4</v>
      </c>
      <c r="M10726">
        <v>17950</v>
      </c>
      <c r="N10726" t="s">
        <v>132</v>
      </c>
      <c r="O10726">
        <v>250314</v>
      </c>
      <c r="P10726">
        <v>13229.02</v>
      </c>
    </row>
    <row r="10727" spans="1:16" x14ac:dyDescent="0.25">
      <c r="A10727" t="s">
        <v>3296</v>
      </c>
      <c r="B10727" t="s">
        <v>2931</v>
      </c>
      <c r="C10727">
        <v>3258</v>
      </c>
      <c r="D10727" t="str">
        <f>"20189618    "</f>
        <v xml:space="preserve">20189618    </v>
      </c>
      <c r="E10727" t="s">
        <v>886</v>
      </c>
      <c r="F10727" t="s">
        <v>887</v>
      </c>
      <c r="G10727">
        <v>11129.05</v>
      </c>
      <c r="H10727">
        <v>250228</v>
      </c>
      <c r="I10727">
        <v>4571</v>
      </c>
      <c r="J10727" t="s">
        <v>223</v>
      </c>
      <c r="K10727">
        <v>11129.05</v>
      </c>
      <c r="L10727">
        <v>2261.2800000000002</v>
      </c>
      <c r="M10727">
        <v>17951</v>
      </c>
      <c r="N10727" t="s">
        <v>207</v>
      </c>
      <c r="O10727">
        <v>250317</v>
      </c>
      <c r="P10727">
        <v>8867.77</v>
      </c>
    </row>
    <row r="10728" spans="1:16" x14ac:dyDescent="0.25">
      <c r="A10728" t="s">
        <v>3296</v>
      </c>
      <c r="B10728" t="s">
        <v>2931</v>
      </c>
      <c r="C10728">
        <v>3369</v>
      </c>
      <c r="D10728" t="str">
        <f>"20189445    "</f>
        <v xml:space="preserve">20189445    </v>
      </c>
      <c r="E10728" t="s">
        <v>886</v>
      </c>
      <c r="F10728" t="s">
        <v>887</v>
      </c>
      <c r="G10728">
        <v>921.61</v>
      </c>
      <c r="H10728">
        <v>250228</v>
      </c>
      <c r="I10728">
        <v>4571</v>
      </c>
      <c r="J10728" t="s">
        <v>223</v>
      </c>
      <c r="K10728">
        <v>2764.83</v>
      </c>
      <c r="L10728">
        <v>187.26</v>
      </c>
      <c r="M10728">
        <v>13540</v>
      </c>
      <c r="N10728" t="s">
        <v>131</v>
      </c>
      <c r="O10728">
        <v>250319</v>
      </c>
      <c r="P10728">
        <v>734.35</v>
      </c>
    </row>
    <row r="10729" spans="1:16" x14ac:dyDescent="0.25">
      <c r="A10729" t="s">
        <v>3296</v>
      </c>
      <c r="B10729" t="s">
        <v>2931</v>
      </c>
      <c r="C10729">
        <v>3369</v>
      </c>
      <c r="D10729" t="str">
        <f>"20189445    "</f>
        <v xml:space="preserve">20189445    </v>
      </c>
      <c r="E10729" t="s">
        <v>886</v>
      </c>
      <c r="F10729" t="s">
        <v>887</v>
      </c>
      <c r="G10729">
        <v>1843.22</v>
      </c>
      <c r="H10729">
        <v>250228</v>
      </c>
      <c r="I10729">
        <v>4571</v>
      </c>
      <c r="J10729" t="s">
        <v>223</v>
      </c>
      <c r="K10729">
        <v>2764.83</v>
      </c>
      <c r="L10729">
        <v>374.52</v>
      </c>
      <c r="M10729">
        <v>17950</v>
      </c>
      <c r="N10729" t="s">
        <v>132</v>
      </c>
      <c r="O10729">
        <v>250319</v>
      </c>
      <c r="P10729">
        <v>1468.7</v>
      </c>
    </row>
    <row r="10730" spans="1:16" x14ac:dyDescent="0.25">
      <c r="A10730" t="s">
        <v>3296</v>
      </c>
      <c r="B10730" t="s">
        <v>2931</v>
      </c>
      <c r="C10730">
        <v>4729</v>
      </c>
      <c r="D10730" t="str">
        <f>"20191105    "</f>
        <v xml:space="preserve">20191105    </v>
      </c>
      <c r="E10730" t="s">
        <v>886</v>
      </c>
      <c r="F10730" t="s">
        <v>887</v>
      </c>
      <c r="G10730">
        <v>17240.240000000002</v>
      </c>
      <c r="H10730">
        <v>250331</v>
      </c>
      <c r="I10730">
        <v>4571</v>
      </c>
      <c r="J10730" t="s">
        <v>223</v>
      </c>
      <c r="K10730">
        <v>17240.240000000002</v>
      </c>
      <c r="L10730">
        <v>3503</v>
      </c>
      <c r="M10730">
        <v>17951</v>
      </c>
      <c r="N10730" t="s">
        <v>207</v>
      </c>
      <c r="O10730">
        <v>250415</v>
      </c>
      <c r="P10730">
        <v>13737.24</v>
      </c>
    </row>
    <row r="10731" spans="1:16" x14ac:dyDescent="0.25">
      <c r="A10731" t="s">
        <v>3296</v>
      </c>
      <c r="B10731" t="s">
        <v>2931</v>
      </c>
      <c r="C10731">
        <v>4739</v>
      </c>
      <c r="D10731" t="str">
        <f>"20190801    "</f>
        <v xml:space="preserve">20190801    </v>
      </c>
      <c r="E10731" t="s">
        <v>886</v>
      </c>
      <c r="F10731" t="s">
        <v>887</v>
      </c>
      <c r="G10731">
        <v>796.52</v>
      </c>
      <c r="H10731">
        <v>250331</v>
      </c>
      <c r="I10731">
        <v>4571</v>
      </c>
      <c r="J10731" t="s">
        <v>223</v>
      </c>
      <c r="K10731">
        <v>2389.56</v>
      </c>
      <c r="L10731">
        <v>161.84</v>
      </c>
      <c r="M10731">
        <v>13540</v>
      </c>
      <c r="N10731" t="s">
        <v>131</v>
      </c>
      <c r="O10731">
        <v>250415</v>
      </c>
      <c r="P10731">
        <v>634.67999999999995</v>
      </c>
    </row>
    <row r="10732" spans="1:16" x14ac:dyDescent="0.25">
      <c r="A10732" t="s">
        <v>3296</v>
      </c>
      <c r="B10732" t="s">
        <v>2931</v>
      </c>
      <c r="C10732">
        <v>4739</v>
      </c>
      <c r="D10732" t="str">
        <f>"20190801    "</f>
        <v xml:space="preserve">20190801    </v>
      </c>
      <c r="E10732" t="s">
        <v>886</v>
      </c>
      <c r="F10732" t="s">
        <v>887</v>
      </c>
      <c r="G10732">
        <v>1593.04</v>
      </c>
      <c r="H10732">
        <v>250331</v>
      </c>
      <c r="I10732">
        <v>4571</v>
      </c>
      <c r="J10732" t="s">
        <v>223</v>
      </c>
      <c r="K10732">
        <v>2389.56</v>
      </c>
      <c r="L10732">
        <v>323.69</v>
      </c>
      <c r="M10732">
        <v>17950</v>
      </c>
      <c r="N10732" t="s">
        <v>132</v>
      </c>
      <c r="O10732">
        <v>250415</v>
      </c>
      <c r="P10732">
        <v>1269.3499999999999</v>
      </c>
    </row>
    <row r="10733" spans="1:16" x14ac:dyDescent="0.25">
      <c r="A10733" t="s">
        <v>3296</v>
      </c>
      <c r="B10733" t="s">
        <v>2931</v>
      </c>
      <c r="C10733">
        <v>4743</v>
      </c>
      <c r="D10733" t="str">
        <f>"20190754    "</f>
        <v xml:space="preserve">20190754    </v>
      </c>
      <c r="E10733" t="s">
        <v>886</v>
      </c>
      <c r="F10733" t="s">
        <v>887</v>
      </c>
      <c r="G10733">
        <v>1691.71</v>
      </c>
      <c r="H10733">
        <v>250331</v>
      </c>
      <c r="I10733">
        <v>4571</v>
      </c>
      <c r="J10733" t="s">
        <v>223</v>
      </c>
      <c r="K10733">
        <v>15379.19</v>
      </c>
      <c r="L10733">
        <v>343.73</v>
      </c>
      <c r="M10733">
        <v>13540</v>
      </c>
      <c r="N10733" t="s">
        <v>131</v>
      </c>
      <c r="O10733">
        <v>250415</v>
      </c>
      <c r="P10733">
        <v>1347.98</v>
      </c>
    </row>
    <row r="10734" spans="1:16" x14ac:dyDescent="0.25">
      <c r="A10734" t="s">
        <v>3296</v>
      </c>
      <c r="B10734" t="s">
        <v>2931</v>
      </c>
      <c r="C10734">
        <v>4743</v>
      </c>
      <c r="D10734" t="str">
        <f>"20190754    "</f>
        <v xml:space="preserve">20190754    </v>
      </c>
      <c r="E10734" t="s">
        <v>886</v>
      </c>
      <c r="F10734" t="s">
        <v>887</v>
      </c>
      <c r="G10734">
        <v>13687.48</v>
      </c>
      <c r="H10734">
        <v>250331</v>
      </c>
      <c r="I10734">
        <v>4571</v>
      </c>
      <c r="J10734" t="s">
        <v>223</v>
      </c>
      <c r="K10734">
        <v>15379.19</v>
      </c>
      <c r="L10734">
        <v>2781.12</v>
      </c>
      <c r="M10734">
        <v>17950</v>
      </c>
      <c r="N10734" t="s">
        <v>132</v>
      </c>
      <c r="O10734">
        <v>250415</v>
      </c>
      <c r="P10734">
        <v>10906.36</v>
      </c>
    </row>
    <row r="10735" spans="1:16" x14ac:dyDescent="0.25">
      <c r="A10735" t="s">
        <v>3296</v>
      </c>
      <c r="B10735" t="s">
        <v>2931</v>
      </c>
      <c r="C10735">
        <v>4777</v>
      </c>
      <c r="D10735" t="str">
        <f>"20191106    "</f>
        <v xml:space="preserve">20191106    </v>
      </c>
      <c r="E10735" t="s">
        <v>886</v>
      </c>
      <c r="F10735" t="s">
        <v>887</v>
      </c>
      <c r="G10735">
        <v>9156.77</v>
      </c>
      <c r="H10735">
        <v>250331</v>
      </c>
      <c r="I10735">
        <v>4571</v>
      </c>
      <c r="J10735" t="s">
        <v>223</v>
      </c>
      <c r="K10735">
        <v>9156.77</v>
      </c>
      <c r="L10735">
        <v>1860.54</v>
      </c>
      <c r="M10735">
        <v>17951</v>
      </c>
      <c r="N10735" t="s">
        <v>207</v>
      </c>
      <c r="O10735">
        <v>250415</v>
      </c>
      <c r="P10735">
        <v>7296.23</v>
      </c>
    </row>
    <row r="10736" spans="1:16" x14ac:dyDescent="0.25">
      <c r="A10736" t="s">
        <v>3296</v>
      </c>
      <c r="B10736" t="s">
        <v>2931</v>
      </c>
      <c r="C10736">
        <v>6096</v>
      </c>
      <c r="D10736" t="str">
        <f>"20192350    "</f>
        <v xml:space="preserve">20192350    </v>
      </c>
      <c r="E10736" t="s">
        <v>886</v>
      </c>
      <c r="F10736" t="s">
        <v>887</v>
      </c>
      <c r="G10736">
        <v>13255.8</v>
      </c>
      <c r="H10736">
        <v>250430</v>
      </c>
      <c r="I10736">
        <v>4571</v>
      </c>
      <c r="J10736" t="s">
        <v>223</v>
      </c>
      <c r="K10736">
        <v>13255.8</v>
      </c>
      <c r="L10736">
        <v>2693.41</v>
      </c>
      <c r="M10736">
        <v>17951</v>
      </c>
      <c r="N10736" t="s">
        <v>207</v>
      </c>
      <c r="O10736">
        <v>250508</v>
      </c>
      <c r="P10736">
        <v>10562.39</v>
      </c>
    </row>
    <row r="10737" spans="1:16" x14ac:dyDescent="0.25">
      <c r="A10737" t="s">
        <v>3296</v>
      </c>
      <c r="B10737" t="s">
        <v>2931</v>
      </c>
      <c r="C10737">
        <v>6112</v>
      </c>
      <c r="D10737" t="str">
        <f>"20192134    "</f>
        <v xml:space="preserve">20192134    </v>
      </c>
      <c r="E10737" t="s">
        <v>886</v>
      </c>
      <c r="F10737" t="s">
        <v>887</v>
      </c>
      <c r="G10737">
        <v>1292.4000000000001</v>
      </c>
      <c r="H10737">
        <v>250430</v>
      </c>
      <c r="I10737">
        <v>4571</v>
      </c>
      <c r="J10737" t="s">
        <v>223</v>
      </c>
      <c r="K10737">
        <v>11749.12</v>
      </c>
      <c r="L10737">
        <v>262.60000000000002</v>
      </c>
      <c r="M10737">
        <v>13540</v>
      </c>
      <c r="N10737" t="s">
        <v>131</v>
      </c>
      <c r="O10737">
        <v>250509</v>
      </c>
      <c r="P10737">
        <v>1029.8</v>
      </c>
    </row>
    <row r="10738" spans="1:16" x14ac:dyDescent="0.25">
      <c r="A10738" t="s">
        <v>3296</v>
      </c>
      <c r="B10738" t="s">
        <v>2931</v>
      </c>
      <c r="C10738">
        <v>6112</v>
      </c>
      <c r="D10738" t="str">
        <f>"20192134    "</f>
        <v xml:space="preserve">20192134    </v>
      </c>
      <c r="E10738" t="s">
        <v>886</v>
      </c>
      <c r="F10738" t="s">
        <v>887</v>
      </c>
      <c r="G10738">
        <v>10456.719999999999</v>
      </c>
      <c r="H10738">
        <v>250430</v>
      </c>
      <c r="I10738">
        <v>4571</v>
      </c>
      <c r="J10738" t="s">
        <v>223</v>
      </c>
      <c r="K10738">
        <v>11749.12</v>
      </c>
      <c r="L10738">
        <v>2124.67</v>
      </c>
      <c r="M10738">
        <v>17950</v>
      </c>
      <c r="N10738" t="s">
        <v>132</v>
      </c>
      <c r="O10738">
        <v>250509</v>
      </c>
      <c r="P10738">
        <v>8332.0499999999993</v>
      </c>
    </row>
    <row r="10739" spans="1:16" x14ac:dyDescent="0.25">
      <c r="A10739" t="s">
        <v>3296</v>
      </c>
      <c r="B10739" t="s">
        <v>2931</v>
      </c>
      <c r="C10739">
        <v>6141</v>
      </c>
      <c r="D10739" t="str">
        <f>"20192351    "</f>
        <v xml:space="preserve">20192351    </v>
      </c>
      <c r="E10739" t="s">
        <v>886</v>
      </c>
      <c r="F10739" t="s">
        <v>887</v>
      </c>
      <c r="G10739">
        <v>6867.79</v>
      </c>
      <c r="H10739">
        <v>250430</v>
      </c>
      <c r="I10739">
        <v>4571</v>
      </c>
      <c r="J10739" t="s">
        <v>223</v>
      </c>
      <c r="K10739">
        <v>6867.79</v>
      </c>
      <c r="L10739">
        <v>1395.45</v>
      </c>
      <c r="M10739">
        <v>17951</v>
      </c>
      <c r="N10739" t="s">
        <v>207</v>
      </c>
      <c r="O10739">
        <v>250509</v>
      </c>
      <c r="P10739">
        <v>5472.34</v>
      </c>
    </row>
    <row r="10740" spans="1:16" x14ac:dyDescent="0.25">
      <c r="A10740" t="s">
        <v>3296</v>
      </c>
      <c r="B10740" t="s">
        <v>2931</v>
      </c>
      <c r="C10740">
        <v>6145</v>
      </c>
      <c r="D10740" t="str">
        <f>"20192181    "</f>
        <v xml:space="preserve">20192181    </v>
      </c>
      <c r="E10740" t="s">
        <v>886</v>
      </c>
      <c r="F10740" t="s">
        <v>887</v>
      </c>
      <c r="G10740">
        <v>599.97</v>
      </c>
      <c r="H10740">
        <v>250430</v>
      </c>
      <c r="I10740">
        <v>4571</v>
      </c>
      <c r="J10740" t="s">
        <v>223</v>
      </c>
      <c r="K10740">
        <v>1799.9</v>
      </c>
      <c r="L10740">
        <v>121.91</v>
      </c>
      <c r="M10740">
        <v>13540</v>
      </c>
      <c r="N10740" t="s">
        <v>131</v>
      </c>
      <c r="O10740">
        <v>250509</v>
      </c>
      <c r="P10740">
        <v>478.06</v>
      </c>
    </row>
    <row r="10741" spans="1:16" x14ac:dyDescent="0.25">
      <c r="A10741" t="s">
        <v>3296</v>
      </c>
      <c r="B10741" t="s">
        <v>2931</v>
      </c>
      <c r="C10741">
        <v>6145</v>
      </c>
      <c r="D10741" t="str">
        <f>"20192181    "</f>
        <v xml:space="preserve">20192181    </v>
      </c>
      <c r="E10741" t="s">
        <v>886</v>
      </c>
      <c r="F10741" t="s">
        <v>887</v>
      </c>
      <c r="G10741">
        <v>1199.93</v>
      </c>
      <c r="H10741">
        <v>250430</v>
      </c>
      <c r="I10741">
        <v>4571</v>
      </c>
      <c r="J10741" t="s">
        <v>223</v>
      </c>
      <c r="K10741">
        <v>1799.9</v>
      </c>
      <c r="L10741">
        <v>243.81</v>
      </c>
      <c r="M10741">
        <v>17950</v>
      </c>
      <c r="N10741" t="s">
        <v>132</v>
      </c>
      <c r="O10741">
        <v>250509</v>
      </c>
      <c r="P10741">
        <v>956.12</v>
      </c>
    </row>
    <row r="10742" spans="1:16" x14ac:dyDescent="0.25">
      <c r="A10742" t="s">
        <v>3296</v>
      </c>
      <c r="B10742" t="s">
        <v>2931</v>
      </c>
      <c r="C10742">
        <v>8513</v>
      </c>
      <c r="D10742" t="str">
        <f>"7250003232  "</f>
        <v xml:space="preserve">7250003232  </v>
      </c>
      <c r="E10742" t="s">
        <v>886</v>
      </c>
      <c r="F10742" t="s">
        <v>887</v>
      </c>
      <c r="G10742">
        <v>402.99</v>
      </c>
      <c r="H10742">
        <v>250531</v>
      </c>
      <c r="I10742">
        <v>4571</v>
      </c>
      <c r="J10742" t="s">
        <v>223</v>
      </c>
      <c r="K10742">
        <v>1221.17</v>
      </c>
      <c r="L10742">
        <v>81.88</v>
      </c>
      <c r="M10742">
        <v>13540</v>
      </c>
      <c r="N10742" t="s">
        <v>131</v>
      </c>
      <c r="O10742">
        <v>250617</v>
      </c>
      <c r="P10742">
        <v>321.11</v>
      </c>
    </row>
    <row r="10743" spans="1:16" x14ac:dyDescent="0.25">
      <c r="A10743" t="s">
        <v>3296</v>
      </c>
      <c r="B10743" t="s">
        <v>2931</v>
      </c>
      <c r="C10743">
        <v>8513</v>
      </c>
      <c r="D10743" t="str">
        <f>"7250003232  "</f>
        <v xml:space="preserve">7250003232  </v>
      </c>
      <c r="E10743" t="s">
        <v>886</v>
      </c>
      <c r="F10743" t="s">
        <v>887</v>
      </c>
      <c r="G10743">
        <v>818.18</v>
      </c>
      <c r="H10743">
        <v>250531</v>
      </c>
      <c r="I10743">
        <v>4571</v>
      </c>
      <c r="J10743" t="s">
        <v>223</v>
      </c>
      <c r="K10743">
        <v>1221.17</v>
      </c>
      <c r="L10743">
        <v>166.24</v>
      </c>
      <c r="M10743">
        <v>17950</v>
      </c>
      <c r="N10743" t="s">
        <v>132</v>
      </c>
      <c r="O10743">
        <v>250617</v>
      </c>
      <c r="P10743">
        <v>651.94000000000005</v>
      </c>
    </row>
    <row r="10744" spans="1:16" x14ac:dyDescent="0.25">
      <c r="A10744" t="s">
        <v>3296</v>
      </c>
      <c r="B10744" t="s">
        <v>2931</v>
      </c>
      <c r="C10744">
        <v>8519</v>
      </c>
      <c r="D10744" t="str">
        <f>"7250005641  "</f>
        <v xml:space="preserve">7250005641  </v>
      </c>
      <c r="E10744" t="s">
        <v>886</v>
      </c>
      <c r="F10744" t="s">
        <v>887</v>
      </c>
      <c r="G10744">
        <v>4851.82</v>
      </c>
      <c r="H10744">
        <v>250531</v>
      </c>
      <c r="I10744">
        <v>4571</v>
      </c>
      <c r="J10744" t="s">
        <v>223</v>
      </c>
      <c r="K10744">
        <v>4851.82</v>
      </c>
      <c r="L10744">
        <v>985.83</v>
      </c>
      <c r="M10744">
        <v>17951</v>
      </c>
      <c r="N10744" t="s">
        <v>207</v>
      </c>
      <c r="O10744">
        <v>250617</v>
      </c>
      <c r="P10744">
        <v>3865.99</v>
      </c>
    </row>
    <row r="10745" spans="1:16" x14ac:dyDescent="0.25">
      <c r="A10745" t="s">
        <v>3296</v>
      </c>
      <c r="B10745" t="s">
        <v>2931</v>
      </c>
      <c r="C10745">
        <v>8530</v>
      </c>
      <c r="D10745" t="str">
        <f>"7250005654  "</f>
        <v xml:space="preserve">7250005654  </v>
      </c>
      <c r="E10745" t="s">
        <v>886</v>
      </c>
      <c r="F10745" t="s">
        <v>887</v>
      </c>
      <c r="G10745">
        <v>9313.25</v>
      </c>
      <c r="H10745">
        <v>250531</v>
      </c>
      <c r="I10745">
        <v>4571</v>
      </c>
      <c r="J10745" t="s">
        <v>223</v>
      </c>
      <c r="K10745">
        <v>9313.25</v>
      </c>
      <c r="L10745">
        <v>1892.33</v>
      </c>
      <c r="M10745">
        <v>17951</v>
      </c>
      <c r="N10745" t="s">
        <v>207</v>
      </c>
      <c r="O10745">
        <v>250617</v>
      </c>
      <c r="P10745">
        <v>7420.92</v>
      </c>
    </row>
    <row r="10746" spans="1:16" x14ac:dyDescent="0.25">
      <c r="A10746" t="s">
        <v>3296</v>
      </c>
      <c r="B10746" t="s">
        <v>2931</v>
      </c>
      <c r="C10746">
        <v>8722</v>
      </c>
      <c r="D10746" t="str">
        <f>"7250003779  "</f>
        <v xml:space="preserve">7250003779  </v>
      </c>
      <c r="E10746" t="s">
        <v>886</v>
      </c>
      <c r="F10746" t="s">
        <v>887</v>
      </c>
      <c r="G10746">
        <v>783.1</v>
      </c>
      <c r="H10746">
        <v>250531</v>
      </c>
      <c r="I10746">
        <v>4571</v>
      </c>
      <c r="J10746" t="s">
        <v>223</v>
      </c>
      <c r="K10746">
        <v>7119.08</v>
      </c>
      <c r="L10746">
        <v>159.12</v>
      </c>
      <c r="M10746">
        <v>13540</v>
      </c>
      <c r="N10746" t="s">
        <v>131</v>
      </c>
      <c r="O10746">
        <v>250617</v>
      </c>
      <c r="P10746">
        <v>623.98</v>
      </c>
    </row>
    <row r="10747" spans="1:16" x14ac:dyDescent="0.25">
      <c r="A10747" t="s">
        <v>3296</v>
      </c>
      <c r="B10747" t="s">
        <v>2931</v>
      </c>
      <c r="C10747">
        <v>8722</v>
      </c>
      <c r="D10747" t="str">
        <f>"7250003779  "</f>
        <v xml:space="preserve">7250003779  </v>
      </c>
      <c r="E10747" t="s">
        <v>886</v>
      </c>
      <c r="F10747" t="s">
        <v>887</v>
      </c>
      <c r="G10747">
        <v>6335.98</v>
      </c>
      <c r="H10747">
        <v>250531</v>
      </c>
      <c r="I10747">
        <v>4571</v>
      </c>
      <c r="J10747" t="s">
        <v>223</v>
      </c>
      <c r="K10747">
        <v>7119.08</v>
      </c>
      <c r="L10747">
        <v>1287.3900000000001</v>
      </c>
      <c r="M10747">
        <v>17950</v>
      </c>
      <c r="N10747" t="s">
        <v>132</v>
      </c>
      <c r="O10747">
        <v>250617</v>
      </c>
      <c r="P10747">
        <v>5048.59</v>
      </c>
    </row>
    <row r="10748" spans="1:16" x14ac:dyDescent="0.25">
      <c r="A10748" t="s">
        <v>3296</v>
      </c>
      <c r="B10748" t="s">
        <v>2931</v>
      </c>
      <c r="C10748">
        <v>9444</v>
      </c>
      <c r="D10748" t="str">
        <f>"7250017862  "</f>
        <v xml:space="preserve">7250017862  </v>
      </c>
      <c r="E10748" t="s">
        <v>886</v>
      </c>
      <c r="F10748" t="s">
        <v>887</v>
      </c>
      <c r="G10748">
        <v>5614.33</v>
      </c>
      <c r="H10748">
        <v>250630</v>
      </c>
      <c r="I10748">
        <v>4571</v>
      </c>
      <c r="J10748" t="s">
        <v>223</v>
      </c>
      <c r="K10748">
        <v>5614.33</v>
      </c>
      <c r="L10748">
        <v>1140.76</v>
      </c>
      <c r="M10748">
        <v>17951</v>
      </c>
      <c r="N10748" t="s">
        <v>207</v>
      </c>
      <c r="O10748">
        <v>250707</v>
      </c>
      <c r="P10748">
        <v>4473.57</v>
      </c>
    </row>
    <row r="10749" spans="1:16" x14ac:dyDescent="0.25">
      <c r="A10749" t="s">
        <v>3296</v>
      </c>
      <c r="B10749" t="s">
        <v>2931</v>
      </c>
      <c r="C10749">
        <v>9445</v>
      </c>
      <c r="D10749" t="str">
        <f>"7250017859  "</f>
        <v xml:space="preserve">7250017859  </v>
      </c>
      <c r="E10749" t="s">
        <v>886</v>
      </c>
      <c r="F10749" t="s">
        <v>887</v>
      </c>
      <c r="G10749">
        <v>3071.47</v>
      </c>
      <c r="H10749">
        <v>250630</v>
      </c>
      <c r="I10749">
        <v>4571</v>
      </c>
      <c r="J10749" t="s">
        <v>223</v>
      </c>
      <c r="K10749">
        <v>3071.47</v>
      </c>
      <c r="L10749">
        <v>624.08000000000004</v>
      </c>
      <c r="M10749">
        <v>17951</v>
      </c>
      <c r="N10749" t="s">
        <v>207</v>
      </c>
      <c r="O10749">
        <v>250707</v>
      </c>
      <c r="P10749">
        <v>2447.39</v>
      </c>
    </row>
    <row r="10750" spans="1:16" x14ac:dyDescent="0.25">
      <c r="A10750" t="s">
        <v>3296</v>
      </c>
      <c r="B10750" t="s">
        <v>2931</v>
      </c>
      <c r="C10750">
        <v>9547</v>
      </c>
      <c r="D10750" t="str">
        <f>"7250016012  "</f>
        <v xml:space="preserve">7250016012  </v>
      </c>
      <c r="E10750" t="s">
        <v>886</v>
      </c>
      <c r="F10750" t="s">
        <v>887</v>
      </c>
      <c r="G10750">
        <v>423.16</v>
      </c>
      <c r="H10750">
        <v>250630</v>
      </c>
      <c r="I10750">
        <v>4571</v>
      </c>
      <c r="J10750" t="s">
        <v>223</v>
      </c>
      <c r="K10750">
        <v>3846.88</v>
      </c>
      <c r="L10750">
        <v>85.98</v>
      </c>
      <c r="M10750">
        <v>13540</v>
      </c>
      <c r="N10750" t="s">
        <v>131</v>
      </c>
      <c r="O10750">
        <v>250711</v>
      </c>
      <c r="P10750">
        <v>337.18</v>
      </c>
    </row>
    <row r="10751" spans="1:16" x14ac:dyDescent="0.25">
      <c r="A10751" t="s">
        <v>3296</v>
      </c>
      <c r="B10751" t="s">
        <v>2931</v>
      </c>
      <c r="C10751">
        <v>9547</v>
      </c>
      <c r="D10751" t="str">
        <f>"7250016012  "</f>
        <v xml:space="preserve">7250016012  </v>
      </c>
      <c r="E10751" t="s">
        <v>886</v>
      </c>
      <c r="F10751" t="s">
        <v>887</v>
      </c>
      <c r="G10751">
        <v>3423.72</v>
      </c>
      <c r="H10751">
        <v>250630</v>
      </c>
      <c r="I10751">
        <v>4571</v>
      </c>
      <c r="J10751" t="s">
        <v>223</v>
      </c>
      <c r="K10751">
        <v>3846.88</v>
      </c>
      <c r="L10751">
        <v>695.66</v>
      </c>
      <c r="M10751">
        <v>17950</v>
      </c>
      <c r="N10751" t="s">
        <v>132</v>
      </c>
      <c r="O10751">
        <v>250711</v>
      </c>
      <c r="P10751">
        <v>2728.06</v>
      </c>
    </row>
    <row r="10752" spans="1:16" x14ac:dyDescent="0.25">
      <c r="A10752" t="s">
        <v>3296</v>
      </c>
      <c r="B10752" t="s">
        <v>2931</v>
      </c>
      <c r="C10752">
        <v>9548</v>
      </c>
      <c r="D10752" t="str">
        <f>"7250015482  "</f>
        <v xml:space="preserve">7250015482  </v>
      </c>
      <c r="E10752" t="s">
        <v>886</v>
      </c>
      <c r="F10752" t="s">
        <v>887</v>
      </c>
      <c r="G10752">
        <v>286.77999999999997</v>
      </c>
      <c r="H10752">
        <v>250630</v>
      </c>
      <c r="I10752">
        <v>4571</v>
      </c>
      <c r="J10752" t="s">
        <v>223</v>
      </c>
      <c r="K10752">
        <v>869.02</v>
      </c>
      <c r="L10752">
        <v>58.27</v>
      </c>
      <c r="M10752">
        <v>13540</v>
      </c>
      <c r="N10752" t="s">
        <v>131</v>
      </c>
      <c r="O10752">
        <v>250711</v>
      </c>
      <c r="P10752">
        <v>228.51</v>
      </c>
    </row>
    <row r="10753" spans="1:16" x14ac:dyDescent="0.25">
      <c r="A10753" t="s">
        <v>3296</v>
      </c>
      <c r="B10753" t="s">
        <v>2931</v>
      </c>
      <c r="C10753">
        <v>9548</v>
      </c>
      <c r="D10753" t="str">
        <f>"7250015482  "</f>
        <v xml:space="preserve">7250015482  </v>
      </c>
      <c r="E10753" t="s">
        <v>886</v>
      </c>
      <c r="F10753" t="s">
        <v>887</v>
      </c>
      <c r="G10753">
        <v>582.24</v>
      </c>
      <c r="H10753">
        <v>250630</v>
      </c>
      <c r="I10753">
        <v>4571</v>
      </c>
      <c r="J10753" t="s">
        <v>223</v>
      </c>
      <c r="K10753">
        <v>869.02</v>
      </c>
      <c r="L10753">
        <v>118.3</v>
      </c>
      <c r="M10753">
        <v>17950</v>
      </c>
      <c r="N10753" t="s">
        <v>132</v>
      </c>
      <c r="O10753">
        <v>250711</v>
      </c>
      <c r="P10753">
        <v>463.94</v>
      </c>
    </row>
    <row r="10754" spans="1:16" x14ac:dyDescent="0.25">
      <c r="A10754" t="s">
        <v>3296</v>
      </c>
      <c r="B10754" t="s">
        <v>2931</v>
      </c>
      <c r="C10754">
        <v>10177</v>
      </c>
      <c r="D10754" t="str">
        <f>"7250029423  "</f>
        <v xml:space="preserve">7250029423  </v>
      </c>
      <c r="E10754" t="s">
        <v>886</v>
      </c>
      <c r="F10754" t="s">
        <v>887</v>
      </c>
      <c r="G10754">
        <v>259.20999999999998</v>
      </c>
      <c r="H10754">
        <v>250730</v>
      </c>
      <c r="I10754">
        <v>4571</v>
      </c>
      <c r="J10754" t="s">
        <v>223</v>
      </c>
      <c r="K10754">
        <v>785.48</v>
      </c>
      <c r="L10754">
        <v>52.67</v>
      </c>
      <c r="M10754">
        <v>13540</v>
      </c>
      <c r="N10754" t="s">
        <v>131</v>
      </c>
      <c r="O10754">
        <v>250812</v>
      </c>
      <c r="P10754">
        <v>206.54</v>
      </c>
    </row>
    <row r="10755" spans="1:16" x14ac:dyDescent="0.25">
      <c r="A10755" t="s">
        <v>3296</v>
      </c>
      <c r="B10755" t="s">
        <v>2931</v>
      </c>
      <c r="C10755">
        <v>10177</v>
      </c>
      <c r="D10755" t="str">
        <f>"7250029423  "</f>
        <v xml:space="preserve">7250029423  </v>
      </c>
      <c r="E10755" t="s">
        <v>886</v>
      </c>
      <c r="F10755" t="s">
        <v>887</v>
      </c>
      <c r="G10755">
        <v>526.27</v>
      </c>
      <c r="H10755">
        <v>250730</v>
      </c>
      <c r="I10755">
        <v>4571</v>
      </c>
      <c r="J10755" t="s">
        <v>223</v>
      </c>
      <c r="K10755">
        <v>785.48</v>
      </c>
      <c r="L10755">
        <v>106.93</v>
      </c>
      <c r="M10755">
        <v>17950</v>
      </c>
      <c r="N10755" t="s">
        <v>132</v>
      </c>
      <c r="O10755">
        <v>250812</v>
      </c>
      <c r="P10755">
        <v>419.34</v>
      </c>
    </row>
    <row r="10756" spans="1:16" x14ac:dyDescent="0.25">
      <c r="A10756" t="s">
        <v>3296</v>
      </c>
      <c r="B10756" t="s">
        <v>2931</v>
      </c>
      <c r="C10756">
        <v>10192</v>
      </c>
      <c r="D10756" t="str">
        <f>"7250029960  "</f>
        <v xml:space="preserve">7250029960  </v>
      </c>
      <c r="E10756" t="s">
        <v>886</v>
      </c>
      <c r="F10756" t="s">
        <v>887</v>
      </c>
      <c r="G10756">
        <v>290.08999999999997</v>
      </c>
      <c r="H10756">
        <v>250731</v>
      </c>
      <c r="I10756">
        <v>4571</v>
      </c>
      <c r="J10756" t="s">
        <v>223</v>
      </c>
      <c r="K10756">
        <v>2637.21</v>
      </c>
      <c r="L10756">
        <v>58.94</v>
      </c>
      <c r="M10756">
        <v>13540</v>
      </c>
      <c r="N10756" t="s">
        <v>131</v>
      </c>
      <c r="O10756">
        <v>250812</v>
      </c>
      <c r="P10756">
        <v>231.15</v>
      </c>
    </row>
    <row r="10757" spans="1:16" x14ac:dyDescent="0.25">
      <c r="A10757" t="s">
        <v>3296</v>
      </c>
      <c r="B10757" t="s">
        <v>2931</v>
      </c>
      <c r="C10757">
        <v>10192</v>
      </c>
      <c r="D10757" t="str">
        <f>"7250029960  "</f>
        <v xml:space="preserve">7250029960  </v>
      </c>
      <c r="E10757" t="s">
        <v>886</v>
      </c>
      <c r="F10757" t="s">
        <v>887</v>
      </c>
      <c r="G10757">
        <v>2347.12</v>
      </c>
      <c r="H10757">
        <v>250731</v>
      </c>
      <c r="I10757">
        <v>4571</v>
      </c>
      <c r="J10757" t="s">
        <v>223</v>
      </c>
      <c r="K10757">
        <v>2637.21</v>
      </c>
      <c r="L10757">
        <v>476.9</v>
      </c>
      <c r="M10757">
        <v>17950</v>
      </c>
      <c r="N10757" t="s">
        <v>132</v>
      </c>
      <c r="O10757">
        <v>250812</v>
      </c>
      <c r="P10757">
        <v>1870.22</v>
      </c>
    </row>
    <row r="10758" spans="1:16" x14ac:dyDescent="0.25">
      <c r="A10758" t="s">
        <v>3296</v>
      </c>
      <c r="B10758" t="s">
        <v>2931</v>
      </c>
      <c r="C10758">
        <v>10200</v>
      </c>
      <c r="D10758" t="str">
        <f>"7250033105  "</f>
        <v xml:space="preserve">7250033105  </v>
      </c>
      <c r="E10758" t="s">
        <v>886</v>
      </c>
      <c r="F10758" t="s">
        <v>887</v>
      </c>
      <c r="G10758">
        <v>3370.88</v>
      </c>
      <c r="H10758">
        <v>250731</v>
      </c>
      <c r="I10758">
        <v>4571</v>
      </c>
      <c r="J10758" t="s">
        <v>223</v>
      </c>
      <c r="K10758">
        <v>3370.88</v>
      </c>
      <c r="L10758">
        <v>684.92</v>
      </c>
      <c r="M10758">
        <v>17951</v>
      </c>
      <c r="N10758" t="s">
        <v>207</v>
      </c>
      <c r="O10758">
        <v>250813</v>
      </c>
      <c r="P10758">
        <v>2685.96</v>
      </c>
    </row>
    <row r="10759" spans="1:16" x14ac:dyDescent="0.25">
      <c r="A10759" t="s">
        <v>3296</v>
      </c>
      <c r="B10759" t="s">
        <v>2931</v>
      </c>
      <c r="C10759">
        <v>10214</v>
      </c>
      <c r="D10759" t="str">
        <f>"7250033095  "</f>
        <v xml:space="preserve">7250033095  </v>
      </c>
      <c r="E10759" t="s">
        <v>886</v>
      </c>
      <c r="F10759" t="s">
        <v>887</v>
      </c>
      <c r="G10759">
        <v>2264.7399999999998</v>
      </c>
      <c r="H10759">
        <v>250731</v>
      </c>
      <c r="I10759">
        <v>4571</v>
      </c>
      <c r="J10759" t="s">
        <v>223</v>
      </c>
      <c r="K10759">
        <v>2264.7399999999998</v>
      </c>
      <c r="L10759">
        <v>460.17</v>
      </c>
      <c r="M10759">
        <v>17951</v>
      </c>
      <c r="N10759" t="s">
        <v>207</v>
      </c>
      <c r="O10759">
        <v>250813</v>
      </c>
      <c r="P10759">
        <v>1804.57</v>
      </c>
    </row>
    <row r="10760" spans="1:16" x14ac:dyDescent="0.25">
      <c r="A10760" t="s">
        <v>3296</v>
      </c>
      <c r="B10760" t="s">
        <v>2931</v>
      </c>
      <c r="C10760">
        <v>11694</v>
      </c>
      <c r="D10760" t="str">
        <f>"7250043865  "</f>
        <v xml:space="preserve">7250043865  </v>
      </c>
      <c r="E10760" t="s">
        <v>886</v>
      </c>
      <c r="F10760" t="s">
        <v>887</v>
      </c>
      <c r="G10760">
        <v>2904.6</v>
      </c>
      <c r="H10760">
        <v>250831</v>
      </c>
      <c r="I10760">
        <v>4571</v>
      </c>
      <c r="J10760" t="s">
        <v>223</v>
      </c>
      <c r="K10760">
        <v>2904.6</v>
      </c>
      <c r="L10760">
        <v>590.17999999999995</v>
      </c>
      <c r="M10760">
        <v>17951</v>
      </c>
      <c r="N10760" t="s">
        <v>207</v>
      </c>
      <c r="O10760">
        <v>250910</v>
      </c>
      <c r="P10760">
        <v>2314.42</v>
      </c>
    </row>
    <row r="10761" spans="1:16" x14ac:dyDescent="0.25">
      <c r="A10761" t="s">
        <v>3296</v>
      </c>
      <c r="B10761" t="s">
        <v>2931</v>
      </c>
      <c r="C10761">
        <v>11706</v>
      </c>
      <c r="D10761" t="str">
        <f>"7250043878  "</f>
        <v xml:space="preserve">7250043878  </v>
      </c>
      <c r="E10761" t="s">
        <v>886</v>
      </c>
      <c r="F10761" t="s">
        <v>887</v>
      </c>
      <c r="G10761">
        <v>5374.39</v>
      </c>
      <c r="H10761">
        <v>250831</v>
      </c>
      <c r="I10761">
        <v>4571</v>
      </c>
      <c r="J10761" t="s">
        <v>223</v>
      </c>
      <c r="K10761">
        <v>5374.39</v>
      </c>
      <c r="L10761">
        <v>1092.01</v>
      </c>
      <c r="M10761">
        <v>17951</v>
      </c>
      <c r="N10761" t="s">
        <v>207</v>
      </c>
      <c r="O10761">
        <v>250910</v>
      </c>
      <c r="P10761">
        <v>4282.38</v>
      </c>
    </row>
    <row r="10762" spans="1:16" x14ac:dyDescent="0.25">
      <c r="A10762" t="s">
        <v>3296</v>
      </c>
      <c r="B10762" t="s">
        <v>2931</v>
      </c>
      <c r="C10762">
        <v>11709</v>
      </c>
      <c r="D10762" t="str">
        <f>"7250046820  "</f>
        <v xml:space="preserve">7250046820  </v>
      </c>
      <c r="E10762" t="s">
        <v>886</v>
      </c>
      <c r="F10762" t="s">
        <v>887</v>
      </c>
      <c r="G10762">
        <v>284.77</v>
      </c>
      <c r="H10762">
        <v>250831</v>
      </c>
      <c r="I10762">
        <v>4571</v>
      </c>
      <c r="J10762" t="s">
        <v>223</v>
      </c>
      <c r="K10762">
        <v>862.93</v>
      </c>
      <c r="L10762">
        <v>57.86</v>
      </c>
      <c r="M10762">
        <v>13540</v>
      </c>
      <c r="N10762" t="s">
        <v>131</v>
      </c>
      <c r="O10762">
        <v>250910</v>
      </c>
      <c r="P10762">
        <v>226.91</v>
      </c>
    </row>
    <row r="10763" spans="1:16" x14ac:dyDescent="0.25">
      <c r="A10763" t="s">
        <v>3296</v>
      </c>
      <c r="B10763" t="s">
        <v>2931</v>
      </c>
      <c r="C10763">
        <v>11709</v>
      </c>
      <c r="D10763" t="str">
        <f>"7250046820  "</f>
        <v xml:space="preserve">7250046820  </v>
      </c>
      <c r="E10763" t="s">
        <v>886</v>
      </c>
      <c r="F10763" t="s">
        <v>887</v>
      </c>
      <c r="G10763">
        <v>578.16</v>
      </c>
      <c r="H10763">
        <v>250831</v>
      </c>
      <c r="I10763">
        <v>4571</v>
      </c>
      <c r="J10763" t="s">
        <v>223</v>
      </c>
      <c r="K10763">
        <v>862.93</v>
      </c>
      <c r="L10763">
        <v>117.47</v>
      </c>
      <c r="M10763">
        <v>17950</v>
      </c>
      <c r="N10763" t="s">
        <v>132</v>
      </c>
      <c r="O10763">
        <v>250910</v>
      </c>
      <c r="P10763">
        <v>460.69</v>
      </c>
    </row>
    <row r="10764" spans="1:16" x14ac:dyDescent="0.25">
      <c r="A10764" t="s">
        <v>3296</v>
      </c>
      <c r="B10764" t="s">
        <v>2931</v>
      </c>
      <c r="C10764">
        <v>11710</v>
      </c>
      <c r="D10764" t="str">
        <f>"7250047366  "</f>
        <v xml:space="preserve">7250047366  </v>
      </c>
      <c r="E10764" t="s">
        <v>886</v>
      </c>
      <c r="F10764" t="s">
        <v>887</v>
      </c>
      <c r="G10764">
        <v>424.46</v>
      </c>
      <c r="H10764">
        <v>250831</v>
      </c>
      <c r="I10764">
        <v>4571</v>
      </c>
      <c r="J10764" t="s">
        <v>223</v>
      </c>
      <c r="K10764">
        <v>3858.74</v>
      </c>
      <c r="L10764">
        <v>86.24</v>
      </c>
      <c r="M10764">
        <v>13540</v>
      </c>
      <c r="N10764" t="s">
        <v>131</v>
      </c>
      <c r="O10764">
        <v>250910</v>
      </c>
      <c r="P10764">
        <v>338.22</v>
      </c>
    </row>
    <row r="10765" spans="1:16" x14ac:dyDescent="0.25">
      <c r="A10765" t="s">
        <v>3296</v>
      </c>
      <c r="B10765" t="s">
        <v>2931</v>
      </c>
      <c r="C10765">
        <v>11710</v>
      </c>
      <c r="D10765" t="str">
        <f>"7250047366  "</f>
        <v xml:space="preserve">7250047366  </v>
      </c>
      <c r="E10765" t="s">
        <v>886</v>
      </c>
      <c r="F10765" t="s">
        <v>887</v>
      </c>
      <c r="G10765">
        <v>3434.28</v>
      </c>
      <c r="H10765">
        <v>250831</v>
      </c>
      <c r="I10765">
        <v>4571</v>
      </c>
      <c r="J10765" t="s">
        <v>223</v>
      </c>
      <c r="K10765">
        <v>3858.74</v>
      </c>
      <c r="L10765">
        <v>697.8</v>
      </c>
      <c r="M10765">
        <v>17950</v>
      </c>
      <c r="N10765" t="s">
        <v>132</v>
      </c>
      <c r="O10765">
        <v>250910</v>
      </c>
      <c r="P10765">
        <v>2736.48</v>
      </c>
    </row>
    <row r="10766" spans="1:16" x14ac:dyDescent="0.25">
      <c r="A10766" t="s">
        <v>3296</v>
      </c>
      <c r="B10766" t="s">
        <v>2931</v>
      </c>
      <c r="C10766">
        <v>13258</v>
      </c>
      <c r="D10766" t="str">
        <f>"7250060479  "</f>
        <v xml:space="preserve">7250060479  </v>
      </c>
      <c r="E10766" t="s">
        <v>886</v>
      </c>
      <c r="F10766" t="s">
        <v>887</v>
      </c>
      <c r="G10766">
        <v>3787.36</v>
      </c>
      <c r="H10766">
        <v>250930</v>
      </c>
      <c r="I10766">
        <v>4571</v>
      </c>
      <c r="J10766" t="s">
        <v>223</v>
      </c>
      <c r="K10766">
        <v>3787.36</v>
      </c>
      <c r="L10766">
        <v>769.54</v>
      </c>
      <c r="M10766">
        <v>17951</v>
      </c>
      <c r="N10766" t="s">
        <v>207</v>
      </c>
      <c r="O10766">
        <v>251007</v>
      </c>
      <c r="P10766">
        <v>3017.82</v>
      </c>
    </row>
    <row r="10767" spans="1:16" x14ac:dyDescent="0.25">
      <c r="A10767" t="s">
        <v>3296</v>
      </c>
      <c r="B10767" t="s">
        <v>2931</v>
      </c>
      <c r="C10767">
        <v>13259</v>
      </c>
      <c r="D10767" t="str">
        <f>"7250060482  "</f>
        <v xml:space="preserve">7250060482  </v>
      </c>
      <c r="E10767" t="s">
        <v>886</v>
      </c>
      <c r="F10767" t="s">
        <v>887</v>
      </c>
      <c r="G10767">
        <v>6772.59</v>
      </c>
      <c r="H10767">
        <v>250930</v>
      </c>
      <c r="I10767">
        <v>4571</v>
      </c>
      <c r="J10767" t="s">
        <v>223</v>
      </c>
      <c r="K10767">
        <v>6772.59</v>
      </c>
      <c r="L10767">
        <v>1376.1</v>
      </c>
      <c r="M10767">
        <v>17951</v>
      </c>
      <c r="N10767" t="s">
        <v>207</v>
      </c>
      <c r="O10767">
        <v>251007</v>
      </c>
      <c r="P10767">
        <v>5396.49</v>
      </c>
    </row>
    <row r="10768" spans="1:16" x14ac:dyDescent="0.25">
      <c r="A10768" t="s">
        <v>3296</v>
      </c>
      <c r="B10768" t="s">
        <v>2931</v>
      </c>
      <c r="C10768">
        <v>13289</v>
      </c>
      <c r="D10768" t="str">
        <f>"7250057929  "</f>
        <v xml:space="preserve">7250057929  </v>
      </c>
      <c r="E10768" t="s">
        <v>886</v>
      </c>
      <c r="F10768" t="s">
        <v>887</v>
      </c>
      <c r="G10768">
        <v>317.01</v>
      </c>
      <c r="H10768">
        <v>250930</v>
      </c>
      <c r="I10768">
        <v>4571</v>
      </c>
      <c r="J10768" t="s">
        <v>223</v>
      </c>
      <c r="K10768">
        <v>960.64</v>
      </c>
      <c r="L10768">
        <v>64.41</v>
      </c>
      <c r="M10768">
        <v>13540</v>
      </c>
      <c r="N10768" t="s">
        <v>131</v>
      </c>
      <c r="O10768">
        <v>251007</v>
      </c>
      <c r="P10768">
        <v>252.6</v>
      </c>
    </row>
    <row r="10769" spans="1:16" x14ac:dyDescent="0.25">
      <c r="A10769" t="s">
        <v>3296</v>
      </c>
      <c r="B10769" t="s">
        <v>2931</v>
      </c>
      <c r="C10769">
        <v>13289</v>
      </c>
      <c r="D10769" t="str">
        <f>"7250057929  "</f>
        <v xml:space="preserve">7250057929  </v>
      </c>
      <c r="E10769" t="s">
        <v>886</v>
      </c>
      <c r="F10769" t="s">
        <v>887</v>
      </c>
      <c r="G10769">
        <v>643.63</v>
      </c>
      <c r="H10769">
        <v>250930</v>
      </c>
      <c r="I10769">
        <v>4571</v>
      </c>
      <c r="J10769" t="s">
        <v>223</v>
      </c>
      <c r="K10769">
        <v>960.64</v>
      </c>
      <c r="L10769">
        <v>130.78</v>
      </c>
      <c r="M10769">
        <v>17950</v>
      </c>
      <c r="N10769" t="s">
        <v>132</v>
      </c>
      <c r="O10769">
        <v>251007</v>
      </c>
      <c r="P10769">
        <v>512.85</v>
      </c>
    </row>
    <row r="10770" spans="1:16" x14ac:dyDescent="0.25">
      <c r="A10770" t="s">
        <v>3296</v>
      </c>
      <c r="B10770" t="s">
        <v>2931</v>
      </c>
      <c r="C10770">
        <v>13316</v>
      </c>
      <c r="D10770" t="str">
        <f>"7250058449  "</f>
        <v xml:space="preserve">7250058449  </v>
      </c>
      <c r="E10770" t="s">
        <v>886</v>
      </c>
      <c r="F10770" t="s">
        <v>887</v>
      </c>
      <c r="G10770">
        <v>545.86</v>
      </c>
      <c r="H10770">
        <v>250930</v>
      </c>
      <c r="I10770">
        <v>4571</v>
      </c>
      <c r="J10770" t="s">
        <v>223</v>
      </c>
      <c r="K10770">
        <v>4962.3999999999996</v>
      </c>
      <c r="L10770">
        <v>110.91</v>
      </c>
      <c r="M10770">
        <v>13540</v>
      </c>
      <c r="N10770" t="s">
        <v>131</v>
      </c>
      <c r="O10770">
        <v>251007</v>
      </c>
      <c r="P10770">
        <v>434.95</v>
      </c>
    </row>
    <row r="10771" spans="1:16" x14ac:dyDescent="0.25">
      <c r="A10771" t="s">
        <v>3296</v>
      </c>
      <c r="B10771" t="s">
        <v>2931</v>
      </c>
      <c r="C10771">
        <v>13316</v>
      </c>
      <c r="D10771" t="str">
        <f>"7250058449  "</f>
        <v xml:space="preserve">7250058449  </v>
      </c>
      <c r="E10771" t="s">
        <v>886</v>
      </c>
      <c r="F10771" t="s">
        <v>887</v>
      </c>
      <c r="G10771">
        <v>4416.54</v>
      </c>
      <c r="H10771">
        <v>250930</v>
      </c>
      <c r="I10771">
        <v>4571</v>
      </c>
      <c r="J10771" t="s">
        <v>223</v>
      </c>
      <c r="K10771">
        <v>4962.3999999999996</v>
      </c>
      <c r="L10771">
        <v>897.38</v>
      </c>
      <c r="M10771">
        <v>17950</v>
      </c>
      <c r="N10771" t="s">
        <v>132</v>
      </c>
      <c r="O10771">
        <v>251007</v>
      </c>
      <c r="P10771">
        <v>3519.16</v>
      </c>
    </row>
    <row r="10772" spans="1:16" x14ac:dyDescent="0.25">
      <c r="A10772" t="s">
        <v>3296</v>
      </c>
      <c r="B10772" t="s">
        <v>2931</v>
      </c>
      <c r="C10772">
        <v>14927</v>
      </c>
      <c r="D10772" t="str">
        <f>"7250070980  "</f>
        <v xml:space="preserve">7250070980  </v>
      </c>
      <c r="E10772" t="s">
        <v>886</v>
      </c>
      <c r="F10772" t="s">
        <v>887</v>
      </c>
      <c r="G10772">
        <v>1320.58</v>
      </c>
      <c r="H10772">
        <v>251031</v>
      </c>
      <c r="I10772">
        <v>4571</v>
      </c>
      <c r="J10772" t="s">
        <v>223</v>
      </c>
      <c r="K10772">
        <v>12005.28</v>
      </c>
      <c r="L10772">
        <v>268.33</v>
      </c>
      <c r="M10772">
        <v>13540</v>
      </c>
      <c r="N10772" t="s">
        <v>131</v>
      </c>
      <c r="O10772">
        <v>251110</v>
      </c>
      <c r="P10772">
        <v>1052.25</v>
      </c>
    </row>
    <row r="10773" spans="1:16" x14ac:dyDescent="0.25">
      <c r="A10773" t="s">
        <v>3296</v>
      </c>
      <c r="B10773" t="s">
        <v>2931</v>
      </c>
      <c r="C10773">
        <v>14927</v>
      </c>
      <c r="D10773" t="str">
        <f>"7250070980  "</f>
        <v xml:space="preserve">7250070980  </v>
      </c>
      <c r="E10773" t="s">
        <v>886</v>
      </c>
      <c r="F10773" t="s">
        <v>887</v>
      </c>
      <c r="G10773">
        <v>10684.7</v>
      </c>
      <c r="H10773">
        <v>251031</v>
      </c>
      <c r="I10773">
        <v>4571</v>
      </c>
      <c r="J10773" t="s">
        <v>223</v>
      </c>
      <c r="K10773">
        <v>12005.28</v>
      </c>
      <c r="L10773">
        <v>2170.9899999999998</v>
      </c>
      <c r="M10773">
        <v>17950</v>
      </c>
      <c r="N10773" t="s">
        <v>132</v>
      </c>
      <c r="O10773">
        <v>251110</v>
      </c>
      <c r="P10773">
        <v>8513.7099999999991</v>
      </c>
    </row>
    <row r="10774" spans="1:16" x14ac:dyDescent="0.25">
      <c r="A10774" t="s">
        <v>3296</v>
      </c>
      <c r="B10774" t="s">
        <v>2931</v>
      </c>
      <c r="C10774">
        <v>14940</v>
      </c>
      <c r="D10774" t="str">
        <f>"7250070443  "</f>
        <v xml:space="preserve">7250070443  </v>
      </c>
      <c r="E10774" t="s">
        <v>886</v>
      </c>
      <c r="F10774" t="s">
        <v>887</v>
      </c>
      <c r="G10774">
        <v>557.99</v>
      </c>
      <c r="H10774">
        <v>251031</v>
      </c>
      <c r="I10774">
        <v>4571</v>
      </c>
      <c r="J10774" t="s">
        <v>223</v>
      </c>
      <c r="K10774">
        <v>1690.87</v>
      </c>
      <c r="L10774">
        <v>113.38</v>
      </c>
      <c r="M10774">
        <v>13540</v>
      </c>
      <c r="N10774" t="s">
        <v>131</v>
      </c>
      <c r="O10774">
        <v>251110</v>
      </c>
      <c r="P10774">
        <v>444.61</v>
      </c>
    </row>
    <row r="10775" spans="1:16" x14ac:dyDescent="0.25">
      <c r="A10775" t="s">
        <v>3296</v>
      </c>
      <c r="B10775" t="s">
        <v>2931</v>
      </c>
      <c r="C10775">
        <v>14940</v>
      </c>
      <c r="D10775" t="str">
        <f>"7250070443  "</f>
        <v xml:space="preserve">7250070443  </v>
      </c>
      <c r="E10775" t="s">
        <v>886</v>
      </c>
      <c r="F10775" t="s">
        <v>887</v>
      </c>
      <c r="G10775">
        <v>1132.8800000000001</v>
      </c>
      <c r="H10775">
        <v>251031</v>
      </c>
      <c r="I10775">
        <v>4571</v>
      </c>
      <c r="J10775" t="s">
        <v>223</v>
      </c>
      <c r="K10775">
        <v>1690.87</v>
      </c>
      <c r="L10775">
        <v>230.19</v>
      </c>
      <c r="M10775">
        <v>17950</v>
      </c>
      <c r="N10775" t="s">
        <v>132</v>
      </c>
      <c r="O10775">
        <v>251110</v>
      </c>
      <c r="P10775">
        <v>902.69</v>
      </c>
    </row>
    <row r="10776" spans="1:16" x14ac:dyDescent="0.25">
      <c r="A10776" t="s">
        <v>3296</v>
      </c>
      <c r="B10776" t="s">
        <v>2931</v>
      </c>
      <c r="C10776">
        <v>14968</v>
      </c>
      <c r="D10776" t="str">
        <f>"7250074287  "</f>
        <v xml:space="preserve">7250074287  </v>
      </c>
      <c r="E10776" t="s">
        <v>886</v>
      </c>
      <c r="F10776" t="s">
        <v>887</v>
      </c>
      <c r="G10776">
        <v>13618.81</v>
      </c>
      <c r="H10776">
        <v>251031</v>
      </c>
      <c r="I10776">
        <v>4571</v>
      </c>
      <c r="J10776" t="s">
        <v>223</v>
      </c>
      <c r="K10776">
        <v>13618.81</v>
      </c>
      <c r="L10776">
        <v>2767.17</v>
      </c>
      <c r="M10776">
        <v>17951</v>
      </c>
      <c r="N10776" t="s">
        <v>207</v>
      </c>
      <c r="O10776">
        <v>251110</v>
      </c>
      <c r="P10776">
        <v>10851.64</v>
      </c>
    </row>
    <row r="10777" spans="1:16" x14ac:dyDescent="0.25">
      <c r="A10777" t="s">
        <v>3296</v>
      </c>
      <c r="B10777" t="s">
        <v>2931</v>
      </c>
      <c r="C10777">
        <v>15002</v>
      </c>
      <c r="D10777" t="str">
        <f>"7250074274  "</f>
        <v xml:space="preserve">7250074274  </v>
      </c>
      <c r="E10777" t="s">
        <v>886</v>
      </c>
      <c r="F10777" t="s">
        <v>887</v>
      </c>
      <c r="G10777">
        <v>6784.84</v>
      </c>
      <c r="H10777">
        <v>251031</v>
      </c>
      <c r="I10777">
        <v>4571</v>
      </c>
      <c r="J10777" t="s">
        <v>223</v>
      </c>
      <c r="K10777">
        <v>6784.84</v>
      </c>
      <c r="L10777">
        <v>1378.59</v>
      </c>
      <c r="M10777">
        <v>17951</v>
      </c>
      <c r="N10777" t="s">
        <v>207</v>
      </c>
      <c r="O10777">
        <v>251110</v>
      </c>
      <c r="P10777">
        <v>5406.25</v>
      </c>
    </row>
    <row r="10778" spans="1:16" x14ac:dyDescent="0.25">
      <c r="A10778" t="s">
        <v>3296</v>
      </c>
      <c r="B10778" t="s">
        <v>2931</v>
      </c>
      <c r="C10778">
        <v>16365</v>
      </c>
      <c r="D10778" t="str">
        <f>"7250386687  "</f>
        <v xml:space="preserve">7250386687  </v>
      </c>
      <c r="E10778" t="s">
        <v>886</v>
      </c>
      <c r="F10778" t="s">
        <v>887</v>
      </c>
      <c r="G10778">
        <v>8842.23</v>
      </c>
      <c r="H10778">
        <v>251130</v>
      </c>
      <c r="I10778">
        <v>4571</v>
      </c>
      <c r="J10778" t="s">
        <v>223</v>
      </c>
      <c r="K10778">
        <v>8842.23</v>
      </c>
      <c r="L10778">
        <v>1796.63</v>
      </c>
      <c r="M10778">
        <v>17951</v>
      </c>
      <c r="N10778" t="s">
        <v>207</v>
      </c>
      <c r="O10778">
        <v>251208</v>
      </c>
      <c r="P10778">
        <v>7045.6</v>
      </c>
    </row>
    <row r="10779" spans="1:16" x14ac:dyDescent="0.25">
      <c r="A10779" t="s">
        <v>3296</v>
      </c>
      <c r="B10779" t="s">
        <v>2931</v>
      </c>
      <c r="C10779">
        <v>16375</v>
      </c>
      <c r="D10779" t="str">
        <f>"7250386690  "</f>
        <v xml:space="preserve">7250386690  </v>
      </c>
      <c r="E10779" t="s">
        <v>886</v>
      </c>
      <c r="F10779" t="s">
        <v>887</v>
      </c>
      <c r="G10779">
        <v>16237.39</v>
      </c>
      <c r="H10779">
        <v>251130</v>
      </c>
      <c r="I10779">
        <v>4571</v>
      </c>
      <c r="J10779" t="s">
        <v>223</v>
      </c>
      <c r="K10779">
        <v>16237.39</v>
      </c>
      <c r="L10779">
        <v>3299.23</v>
      </c>
      <c r="M10779">
        <v>17951</v>
      </c>
      <c r="N10779" t="s">
        <v>207</v>
      </c>
      <c r="O10779">
        <v>251208</v>
      </c>
      <c r="P10779">
        <v>12938.16</v>
      </c>
    </row>
    <row r="10780" spans="1:16" x14ac:dyDescent="0.25">
      <c r="A10780" t="s">
        <v>3296</v>
      </c>
      <c r="B10780" t="s">
        <v>2931</v>
      </c>
      <c r="C10780">
        <v>16396</v>
      </c>
      <c r="D10780" t="str">
        <f>"7250384854  "</f>
        <v xml:space="preserve">7250384854  </v>
      </c>
      <c r="E10780" t="s">
        <v>886</v>
      </c>
      <c r="F10780" t="s">
        <v>887</v>
      </c>
      <c r="G10780">
        <v>1786.22</v>
      </c>
      <c r="H10780">
        <v>251130</v>
      </c>
      <c r="I10780">
        <v>4571</v>
      </c>
      <c r="J10780" t="s">
        <v>223</v>
      </c>
      <c r="K10780">
        <v>16238.36</v>
      </c>
      <c r="L10780">
        <v>362.94</v>
      </c>
      <c r="M10780">
        <v>13540</v>
      </c>
      <c r="N10780" t="s">
        <v>131</v>
      </c>
      <c r="O10780">
        <v>251208</v>
      </c>
      <c r="P10780">
        <v>1423.28</v>
      </c>
    </row>
    <row r="10781" spans="1:16" x14ac:dyDescent="0.25">
      <c r="A10781" t="s">
        <v>3296</v>
      </c>
      <c r="B10781" t="s">
        <v>2931</v>
      </c>
      <c r="C10781">
        <v>16396</v>
      </c>
      <c r="D10781" t="str">
        <f>"7250384854  "</f>
        <v xml:space="preserve">7250384854  </v>
      </c>
      <c r="E10781" t="s">
        <v>886</v>
      </c>
      <c r="F10781" t="s">
        <v>887</v>
      </c>
      <c r="G10781">
        <v>14452.14</v>
      </c>
      <c r="H10781">
        <v>251130</v>
      </c>
      <c r="I10781">
        <v>4571</v>
      </c>
      <c r="J10781" t="s">
        <v>223</v>
      </c>
      <c r="K10781">
        <v>16238.36</v>
      </c>
      <c r="L10781">
        <v>2936.49</v>
      </c>
      <c r="M10781">
        <v>17950</v>
      </c>
      <c r="N10781" t="s">
        <v>132</v>
      </c>
      <c r="O10781">
        <v>251208</v>
      </c>
      <c r="P10781">
        <v>11515.65</v>
      </c>
    </row>
    <row r="10782" spans="1:16" x14ac:dyDescent="0.25">
      <c r="A10782" t="s">
        <v>3296</v>
      </c>
      <c r="B10782" t="s">
        <v>2931</v>
      </c>
      <c r="C10782">
        <v>16411</v>
      </c>
      <c r="D10782" t="str">
        <f>"7250384317  "</f>
        <v xml:space="preserve">7250384317  </v>
      </c>
      <c r="E10782" t="s">
        <v>886</v>
      </c>
      <c r="F10782" t="s">
        <v>887</v>
      </c>
      <c r="G10782">
        <v>727.91</v>
      </c>
      <c r="H10782">
        <v>251130</v>
      </c>
      <c r="I10782">
        <v>4571</v>
      </c>
      <c r="J10782" t="s">
        <v>223</v>
      </c>
      <c r="K10782">
        <v>2205.7800000000002</v>
      </c>
      <c r="L10782">
        <v>147.9</v>
      </c>
      <c r="M10782">
        <v>13540</v>
      </c>
      <c r="N10782" t="s">
        <v>131</v>
      </c>
      <c r="O10782">
        <v>251208</v>
      </c>
      <c r="P10782">
        <v>580.01</v>
      </c>
    </row>
    <row r="10783" spans="1:16" x14ac:dyDescent="0.25">
      <c r="A10783" t="s">
        <v>3296</v>
      </c>
      <c r="B10783" t="s">
        <v>2931</v>
      </c>
      <c r="C10783">
        <v>16411</v>
      </c>
      <c r="D10783" t="str">
        <f>"7250384317  "</f>
        <v xml:space="preserve">7250384317  </v>
      </c>
      <c r="E10783" t="s">
        <v>886</v>
      </c>
      <c r="F10783" t="s">
        <v>887</v>
      </c>
      <c r="G10783">
        <v>1477.87</v>
      </c>
      <c r="H10783">
        <v>251130</v>
      </c>
      <c r="I10783">
        <v>4571</v>
      </c>
      <c r="J10783" t="s">
        <v>223</v>
      </c>
      <c r="K10783">
        <v>2205.7800000000002</v>
      </c>
      <c r="L10783">
        <v>300.27999999999997</v>
      </c>
      <c r="M10783">
        <v>17950</v>
      </c>
      <c r="N10783" t="s">
        <v>132</v>
      </c>
      <c r="O10783">
        <v>251208</v>
      </c>
      <c r="P10783">
        <v>1177.5899999999999</v>
      </c>
    </row>
    <row r="10784" spans="1:16" x14ac:dyDescent="0.25">
      <c r="A10784" t="s">
        <v>3296</v>
      </c>
      <c r="B10784" t="s">
        <v>2931</v>
      </c>
      <c r="C10784">
        <v>18118</v>
      </c>
      <c r="D10784" t="str">
        <f>"7260000908  "</f>
        <v xml:space="preserve">7260000908  </v>
      </c>
      <c r="E10784" t="s">
        <v>886</v>
      </c>
      <c r="F10784" t="s">
        <v>887</v>
      </c>
      <c r="G10784">
        <v>1950.13</v>
      </c>
      <c r="H10784">
        <v>251231</v>
      </c>
      <c r="I10784">
        <v>4571</v>
      </c>
      <c r="J10784" t="s">
        <v>223</v>
      </c>
      <c r="K10784">
        <v>17728.46</v>
      </c>
      <c r="L10784">
        <v>396.24</v>
      </c>
      <c r="M10784">
        <v>13540</v>
      </c>
      <c r="N10784" t="s">
        <v>131</v>
      </c>
      <c r="O10784">
        <v>260109</v>
      </c>
      <c r="P10784">
        <v>1553.89</v>
      </c>
    </row>
    <row r="10785" spans="1:16" x14ac:dyDescent="0.25">
      <c r="A10785" t="s">
        <v>3296</v>
      </c>
      <c r="B10785" t="s">
        <v>2931</v>
      </c>
      <c r="C10785">
        <v>18118</v>
      </c>
      <c r="D10785" t="str">
        <f>"7260000908  "</f>
        <v xml:space="preserve">7260000908  </v>
      </c>
      <c r="E10785" t="s">
        <v>886</v>
      </c>
      <c r="F10785" t="s">
        <v>887</v>
      </c>
      <c r="G10785">
        <v>15778.33</v>
      </c>
      <c r="H10785">
        <v>251231</v>
      </c>
      <c r="I10785">
        <v>4571</v>
      </c>
      <c r="J10785" t="s">
        <v>223</v>
      </c>
      <c r="K10785">
        <v>17728.46</v>
      </c>
      <c r="L10785">
        <v>3205.96</v>
      </c>
      <c r="M10785">
        <v>17950</v>
      </c>
      <c r="N10785" t="s">
        <v>132</v>
      </c>
      <c r="O10785">
        <v>260109</v>
      </c>
      <c r="P10785">
        <v>12572.37</v>
      </c>
    </row>
    <row r="10786" spans="1:16" x14ac:dyDescent="0.25">
      <c r="A10786" t="s">
        <v>3296</v>
      </c>
      <c r="B10786" t="s">
        <v>2931</v>
      </c>
      <c r="C10786">
        <v>18131</v>
      </c>
      <c r="D10786" t="str">
        <f>"7260002760  "</f>
        <v xml:space="preserve">7260002760  </v>
      </c>
      <c r="E10786" t="s">
        <v>886</v>
      </c>
      <c r="F10786" t="s">
        <v>887</v>
      </c>
      <c r="G10786">
        <v>18573.77</v>
      </c>
      <c r="H10786">
        <v>251231</v>
      </c>
      <c r="I10786">
        <v>4571</v>
      </c>
      <c r="J10786" t="s">
        <v>223</v>
      </c>
      <c r="K10786">
        <v>18573.77</v>
      </c>
      <c r="L10786">
        <v>3773.95</v>
      </c>
      <c r="M10786">
        <v>17951</v>
      </c>
      <c r="N10786" t="s">
        <v>207</v>
      </c>
      <c r="O10786">
        <v>260109</v>
      </c>
      <c r="P10786">
        <v>14799.82</v>
      </c>
    </row>
    <row r="10787" spans="1:16" x14ac:dyDescent="0.25">
      <c r="A10787" t="s">
        <v>3296</v>
      </c>
      <c r="B10787" t="s">
        <v>2931</v>
      </c>
      <c r="C10787">
        <v>18185</v>
      </c>
      <c r="D10787" t="str">
        <f>"7260000364  "</f>
        <v xml:space="preserve">7260000364  </v>
      </c>
      <c r="E10787" t="s">
        <v>886</v>
      </c>
      <c r="F10787" t="s">
        <v>887</v>
      </c>
      <c r="G10787">
        <v>808.19</v>
      </c>
      <c r="H10787">
        <v>251231</v>
      </c>
      <c r="I10787">
        <v>4571</v>
      </c>
      <c r="J10787" t="s">
        <v>223</v>
      </c>
      <c r="K10787">
        <v>2449.0700000000002</v>
      </c>
      <c r="L10787">
        <v>164.21</v>
      </c>
      <c r="M10787">
        <v>13540</v>
      </c>
      <c r="N10787" t="s">
        <v>131</v>
      </c>
      <c r="O10787">
        <v>260109</v>
      </c>
      <c r="P10787">
        <v>643.98</v>
      </c>
    </row>
    <row r="10788" spans="1:16" x14ac:dyDescent="0.25">
      <c r="A10788" t="s">
        <v>3296</v>
      </c>
      <c r="B10788" t="s">
        <v>2931</v>
      </c>
      <c r="C10788">
        <v>18185</v>
      </c>
      <c r="D10788" t="str">
        <f>"7260000364  "</f>
        <v xml:space="preserve">7260000364  </v>
      </c>
      <c r="E10788" t="s">
        <v>886</v>
      </c>
      <c r="F10788" t="s">
        <v>887</v>
      </c>
      <c r="G10788">
        <v>1640.88</v>
      </c>
      <c r="H10788">
        <v>251231</v>
      </c>
      <c r="I10788">
        <v>4571</v>
      </c>
      <c r="J10788" t="s">
        <v>223</v>
      </c>
      <c r="K10788">
        <v>2449.0700000000002</v>
      </c>
      <c r="L10788">
        <v>333.41</v>
      </c>
      <c r="M10788">
        <v>17950</v>
      </c>
      <c r="N10788" t="s">
        <v>132</v>
      </c>
      <c r="O10788">
        <v>260109</v>
      </c>
      <c r="P10788">
        <v>1307.47</v>
      </c>
    </row>
    <row r="10789" spans="1:16" x14ac:dyDescent="0.25">
      <c r="A10789" t="s">
        <v>3296</v>
      </c>
      <c r="B10789" t="s">
        <v>2931</v>
      </c>
      <c r="C10789">
        <v>18188</v>
      </c>
      <c r="D10789" t="str">
        <f>"7260002757  "</f>
        <v xml:space="preserve">7260002757  </v>
      </c>
      <c r="E10789" t="s">
        <v>886</v>
      </c>
      <c r="F10789" t="s">
        <v>887</v>
      </c>
      <c r="G10789">
        <v>9123.3700000000008</v>
      </c>
      <c r="H10789">
        <v>251231</v>
      </c>
      <c r="I10789">
        <v>4571</v>
      </c>
      <c r="J10789" t="s">
        <v>223</v>
      </c>
      <c r="K10789">
        <v>9123.3700000000008</v>
      </c>
      <c r="L10789">
        <v>1853.75</v>
      </c>
      <c r="M10789">
        <v>17951</v>
      </c>
      <c r="N10789" t="s">
        <v>207</v>
      </c>
      <c r="O10789">
        <v>260109</v>
      </c>
      <c r="P10789">
        <v>7269.62</v>
      </c>
    </row>
    <row r="10790" spans="1:16" x14ac:dyDescent="0.25">
      <c r="A10790" t="s">
        <v>3296</v>
      </c>
      <c r="B10790" t="s">
        <v>2931</v>
      </c>
      <c r="C10790">
        <v>17876</v>
      </c>
      <c r="D10790" t="str">
        <f>"100713      "</f>
        <v xml:space="preserve">100713      </v>
      </c>
      <c r="E10790" t="s">
        <v>2778</v>
      </c>
      <c r="F10790" t="s">
        <v>2779</v>
      </c>
      <c r="G10790">
        <v>205.7</v>
      </c>
      <c r="H10790">
        <v>251219</v>
      </c>
      <c r="I10790">
        <v>4572</v>
      </c>
      <c r="J10790" t="s">
        <v>173</v>
      </c>
      <c r="K10790">
        <v>1870</v>
      </c>
      <c r="L10790">
        <v>41.8</v>
      </c>
      <c r="M10790">
        <v>13540</v>
      </c>
      <c r="N10790" t="s">
        <v>131</v>
      </c>
      <c r="O10790">
        <v>251231</v>
      </c>
      <c r="P10790">
        <v>163.9</v>
      </c>
    </row>
    <row r="10791" spans="1:16" x14ac:dyDescent="0.25">
      <c r="A10791" t="s">
        <v>3296</v>
      </c>
      <c r="B10791" t="s">
        <v>2931</v>
      </c>
      <c r="C10791">
        <v>17876</v>
      </c>
      <c r="D10791" t="str">
        <f>"100713      "</f>
        <v xml:space="preserve">100713      </v>
      </c>
      <c r="E10791" t="s">
        <v>2778</v>
      </c>
      <c r="F10791" t="s">
        <v>2779</v>
      </c>
      <c r="G10791">
        <v>1664.3</v>
      </c>
      <c r="H10791">
        <v>251219</v>
      </c>
      <c r="I10791">
        <v>4572</v>
      </c>
      <c r="J10791" t="s">
        <v>173</v>
      </c>
      <c r="K10791">
        <v>1870</v>
      </c>
      <c r="L10791">
        <v>338.16</v>
      </c>
      <c r="M10791">
        <v>17950</v>
      </c>
      <c r="N10791" t="s">
        <v>132</v>
      </c>
      <c r="O10791">
        <v>251231</v>
      </c>
      <c r="P10791">
        <v>1326.14</v>
      </c>
    </row>
    <row r="10792" spans="1:16" x14ac:dyDescent="0.25">
      <c r="A10792" t="s">
        <v>3296</v>
      </c>
      <c r="B10792" t="s">
        <v>2931</v>
      </c>
      <c r="C10792">
        <v>18111</v>
      </c>
      <c r="D10792" t="str">
        <f>"7260237373  "</f>
        <v xml:space="preserve">7260237373  </v>
      </c>
      <c r="E10792" t="s">
        <v>2778</v>
      </c>
      <c r="F10792" t="s">
        <v>2779</v>
      </c>
      <c r="G10792">
        <v>43.46</v>
      </c>
      <c r="H10792">
        <v>251231</v>
      </c>
      <c r="I10792">
        <v>4572</v>
      </c>
      <c r="J10792" t="s">
        <v>173</v>
      </c>
      <c r="K10792">
        <v>43.46</v>
      </c>
      <c r="L10792">
        <v>8.83</v>
      </c>
      <c r="M10792">
        <v>17956</v>
      </c>
      <c r="N10792" t="s">
        <v>170</v>
      </c>
      <c r="O10792">
        <v>260109</v>
      </c>
      <c r="P10792">
        <v>34.630000000000003</v>
      </c>
    </row>
    <row r="10793" spans="1:16" x14ac:dyDescent="0.25">
      <c r="A10793" t="s">
        <v>3296</v>
      </c>
      <c r="B10793" t="s">
        <v>2931</v>
      </c>
      <c r="C10793">
        <v>18129</v>
      </c>
      <c r="D10793" t="str">
        <f>"7260179088  "</f>
        <v xml:space="preserve">7260179088  </v>
      </c>
      <c r="E10793" t="s">
        <v>2778</v>
      </c>
      <c r="F10793" t="s">
        <v>2779</v>
      </c>
      <c r="G10793">
        <v>39.47</v>
      </c>
      <c r="H10793">
        <v>251231</v>
      </c>
      <c r="I10793">
        <v>4572</v>
      </c>
      <c r="J10793" t="s">
        <v>173</v>
      </c>
      <c r="K10793">
        <v>39.47</v>
      </c>
      <c r="L10793">
        <v>8.02</v>
      </c>
      <c r="M10793">
        <v>17981</v>
      </c>
      <c r="N10793" t="s">
        <v>927</v>
      </c>
      <c r="O10793">
        <v>260109</v>
      </c>
      <c r="P10793">
        <v>31.45</v>
      </c>
    </row>
    <row r="10794" spans="1:16" x14ac:dyDescent="0.25">
      <c r="A10794" t="s">
        <v>3296</v>
      </c>
      <c r="B10794" t="s">
        <v>2931</v>
      </c>
      <c r="C10794">
        <v>18130</v>
      </c>
      <c r="D10794" t="str">
        <f>"7260152788  "</f>
        <v xml:space="preserve">7260152788  </v>
      </c>
      <c r="E10794" t="s">
        <v>2778</v>
      </c>
      <c r="F10794" t="s">
        <v>2779</v>
      </c>
      <c r="G10794">
        <v>231.16</v>
      </c>
      <c r="H10794">
        <v>251231</v>
      </c>
      <c r="I10794">
        <v>4572</v>
      </c>
      <c r="J10794" t="s">
        <v>173</v>
      </c>
      <c r="K10794">
        <v>231.16</v>
      </c>
      <c r="L10794">
        <v>46.97</v>
      </c>
      <c r="M10794">
        <v>17956</v>
      </c>
      <c r="N10794" t="s">
        <v>170</v>
      </c>
      <c r="O10794">
        <v>260109</v>
      </c>
      <c r="P10794">
        <v>184.19</v>
      </c>
    </row>
    <row r="10795" spans="1:16" x14ac:dyDescent="0.25">
      <c r="A10795" t="s">
        <v>3296</v>
      </c>
      <c r="B10795" t="s">
        <v>2931</v>
      </c>
      <c r="C10795">
        <v>18166</v>
      </c>
      <c r="D10795" t="str">
        <f>"7260150971  "</f>
        <v xml:space="preserve">7260150971  </v>
      </c>
      <c r="E10795" t="s">
        <v>2778</v>
      </c>
      <c r="F10795" t="s">
        <v>2779</v>
      </c>
      <c r="G10795">
        <v>436.68</v>
      </c>
      <c r="H10795">
        <v>251231</v>
      </c>
      <c r="I10795">
        <v>4572</v>
      </c>
      <c r="J10795" t="s">
        <v>173</v>
      </c>
      <c r="K10795">
        <v>436.68</v>
      </c>
      <c r="L10795">
        <v>88.73</v>
      </c>
      <c r="M10795">
        <v>17950</v>
      </c>
      <c r="N10795" t="s">
        <v>132</v>
      </c>
      <c r="O10795">
        <v>260109</v>
      </c>
      <c r="P10795">
        <v>347.95</v>
      </c>
    </row>
    <row r="10796" spans="1:16" x14ac:dyDescent="0.25">
      <c r="A10796" t="s">
        <v>3296</v>
      </c>
      <c r="B10796" t="s">
        <v>2931</v>
      </c>
      <c r="C10796">
        <v>18181</v>
      </c>
      <c r="D10796" t="str">
        <f>"7260080436  "</f>
        <v xml:space="preserve">7260080436  </v>
      </c>
      <c r="E10796" t="s">
        <v>2778</v>
      </c>
      <c r="F10796" t="s">
        <v>2779</v>
      </c>
      <c r="G10796">
        <v>2610.63</v>
      </c>
      <c r="H10796">
        <v>251231</v>
      </c>
      <c r="I10796">
        <v>4572</v>
      </c>
      <c r="J10796" t="s">
        <v>173</v>
      </c>
      <c r="K10796">
        <v>2610.63</v>
      </c>
      <c r="L10796">
        <v>530.45000000000005</v>
      </c>
      <c r="M10796">
        <v>17956</v>
      </c>
      <c r="N10796" t="s">
        <v>170</v>
      </c>
      <c r="O10796">
        <v>260109</v>
      </c>
      <c r="P10796">
        <v>2080.1799999999998</v>
      </c>
    </row>
    <row r="10797" spans="1:16" x14ac:dyDescent="0.25">
      <c r="A10797" t="s">
        <v>3296</v>
      </c>
      <c r="B10797" t="s">
        <v>2931</v>
      </c>
      <c r="C10797">
        <v>18182</v>
      </c>
      <c r="D10797" t="str">
        <f>"7260237470  "</f>
        <v xml:space="preserve">7260237470  </v>
      </c>
      <c r="E10797" t="s">
        <v>2778</v>
      </c>
      <c r="F10797" t="s">
        <v>2779</v>
      </c>
      <c r="G10797">
        <v>50.87</v>
      </c>
      <c r="H10797">
        <v>251231</v>
      </c>
      <c r="I10797">
        <v>4572</v>
      </c>
      <c r="J10797" t="s">
        <v>173</v>
      </c>
      <c r="K10797">
        <v>50.87</v>
      </c>
      <c r="L10797">
        <v>10.34</v>
      </c>
      <c r="M10797">
        <v>17956</v>
      </c>
      <c r="N10797" t="s">
        <v>170</v>
      </c>
      <c r="O10797">
        <v>260109</v>
      </c>
      <c r="P10797">
        <v>40.53</v>
      </c>
    </row>
    <row r="10798" spans="1:16" x14ac:dyDescent="0.25">
      <c r="A10798" t="s">
        <v>3296</v>
      </c>
      <c r="B10798" t="s">
        <v>2931</v>
      </c>
      <c r="C10798">
        <v>18189</v>
      </c>
      <c r="D10798" t="str">
        <f>"7260152791  "</f>
        <v xml:space="preserve">7260152791  </v>
      </c>
      <c r="E10798" t="s">
        <v>2778</v>
      </c>
      <c r="F10798" t="s">
        <v>2779</v>
      </c>
      <c r="G10798">
        <v>308.62</v>
      </c>
      <c r="H10798">
        <v>251231</v>
      </c>
      <c r="I10798">
        <v>4572</v>
      </c>
      <c r="J10798" t="s">
        <v>173</v>
      </c>
      <c r="K10798">
        <v>308.62</v>
      </c>
      <c r="L10798">
        <v>62.71</v>
      </c>
      <c r="M10798">
        <v>17956</v>
      </c>
      <c r="N10798" t="s">
        <v>170</v>
      </c>
      <c r="O10798">
        <v>260109</v>
      </c>
      <c r="P10798">
        <v>245.91</v>
      </c>
    </row>
    <row r="10799" spans="1:16" x14ac:dyDescent="0.25">
      <c r="A10799" t="s">
        <v>3296</v>
      </c>
      <c r="B10799" t="s">
        <v>2931</v>
      </c>
      <c r="C10799">
        <v>18325</v>
      </c>
      <c r="D10799" t="str">
        <f>"7260314005  "</f>
        <v xml:space="preserve">7260314005  </v>
      </c>
      <c r="E10799" t="s">
        <v>2778</v>
      </c>
      <c r="F10799" t="s">
        <v>2779</v>
      </c>
      <c r="G10799">
        <v>592.71</v>
      </c>
      <c r="H10799">
        <v>251231</v>
      </c>
      <c r="I10799">
        <v>4572</v>
      </c>
      <c r="J10799" t="s">
        <v>173</v>
      </c>
      <c r="K10799">
        <v>5388.3</v>
      </c>
      <c r="L10799">
        <v>120.43</v>
      </c>
      <c r="M10799">
        <v>13540</v>
      </c>
      <c r="N10799" t="s">
        <v>131</v>
      </c>
      <c r="O10799">
        <v>260113</v>
      </c>
      <c r="P10799">
        <v>472.28</v>
      </c>
    </row>
    <row r="10800" spans="1:16" x14ac:dyDescent="0.25">
      <c r="A10800" t="s">
        <v>3296</v>
      </c>
      <c r="B10800" t="s">
        <v>2931</v>
      </c>
      <c r="C10800">
        <v>18325</v>
      </c>
      <c r="D10800" t="str">
        <f>"7260314005  "</f>
        <v xml:space="preserve">7260314005  </v>
      </c>
      <c r="E10800" t="s">
        <v>2778</v>
      </c>
      <c r="F10800" t="s">
        <v>2779</v>
      </c>
      <c r="G10800">
        <v>4795.59</v>
      </c>
      <c r="H10800">
        <v>251231</v>
      </c>
      <c r="I10800">
        <v>4572</v>
      </c>
      <c r="J10800" t="s">
        <v>173</v>
      </c>
      <c r="K10800">
        <v>5388.3</v>
      </c>
      <c r="L10800">
        <v>974.4</v>
      </c>
      <c r="M10800">
        <v>17950</v>
      </c>
      <c r="N10800" t="s">
        <v>132</v>
      </c>
      <c r="O10800">
        <v>260113</v>
      </c>
      <c r="P10800">
        <v>3821.19</v>
      </c>
    </row>
    <row r="10801" spans="1:16" x14ac:dyDescent="0.25">
      <c r="A10801" t="s">
        <v>3296</v>
      </c>
      <c r="B10801" t="s">
        <v>2931</v>
      </c>
      <c r="C10801">
        <v>18337</v>
      </c>
      <c r="D10801" t="str">
        <f>"7260314526  "</f>
        <v xml:space="preserve">7260314526  </v>
      </c>
      <c r="E10801" t="s">
        <v>2778</v>
      </c>
      <c r="F10801" t="s">
        <v>2779</v>
      </c>
      <c r="G10801">
        <v>3724.95</v>
      </c>
      <c r="H10801">
        <v>251231</v>
      </c>
      <c r="I10801">
        <v>4572</v>
      </c>
      <c r="J10801" t="s">
        <v>173</v>
      </c>
      <c r="K10801">
        <v>3724.95</v>
      </c>
      <c r="L10801">
        <v>756.86</v>
      </c>
      <c r="M10801">
        <v>17951</v>
      </c>
      <c r="N10801" t="s">
        <v>207</v>
      </c>
      <c r="O10801">
        <v>260113</v>
      </c>
      <c r="P10801">
        <v>2968.09</v>
      </c>
    </row>
    <row r="10802" spans="1:16" x14ac:dyDescent="0.25">
      <c r="A10802" t="s">
        <v>3296</v>
      </c>
      <c r="B10802" t="s">
        <v>2931</v>
      </c>
      <c r="C10802">
        <v>18474</v>
      </c>
      <c r="D10802" t="str">
        <f>"7260051517  "</f>
        <v xml:space="preserve">7260051517  </v>
      </c>
      <c r="E10802" t="s">
        <v>2778</v>
      </c>
      <c r="F10802" t="s">
        <v>2779</v>
      </c>
      <c r="G10802">
        <v>57.32</v>
      </c>
      <c r="H10802">
        <v>251231</v>
      </c>
      <c r="I10802">
        <v>4572</v>
      </c>
      <c r="J10802" t="s">
        <v>173</v>
      </c>
      <c r="K10802">
        <v>57.32</v>
      </c>
      <c r="L10802">
        <v>0</v>
      </c>
      <c r="M10802">
        <v>11001</v>
      </c>
      <c r="N10802" t="s">
        <v>93</v>
      </c>
      <c r="O10802">
        <v>260114</v>
      </c>
      <c r="P10802">
        <v>57.32</v>
      </c>
    </row>
    <row r="10803" spans="1:16" x14ac:dyDescent="0.25">
      <c r="A10803" t="s">
        <v>3296</v>
      </c>
      <c r="B10803" t="s">
        <v>2931</v>
      </c>
      <c r="C10803">
        <v>6986</v>
      </c>
      <c r="D10803" t="str">
        <f>"671831      "</f>
        <v xml:space="preserve">671831      </v>
      </c>
      <c r="E10803" t="s">
        <v>1908</v>
      </c>
      <c r="F10803" t="s">
        <v>1909</v>
      </c>
      <c r="G10803">
        <v>1775</v>
      </c>
      <c r="H10803">
        <v>250513</v>
      </c>
      <c r="I10803">
        <v>4470</v>
      </c>
      <c r="J10803" t="s">
        <v>203</v>
      </c>
      <c r="K10803">
        <v>1775</v>
      </c>
      <c r="L10803">
        <v>360.66</v>
      </c>
      <c r="M10803">
        <v>56568</v>
      </c>
      <c r="N10803" t="s">
        <v>354</v>
      </c>
      <c r="O10803">
        <v>250521</v>
      </c>
      <c r="P10803">
        <v>1414.34</v>
      </c>
    </row>
    <row r="10804" spans="1:16" x14ac:dyDescent="0.25">
      <c r="A10804" t="s">
        <v>3296</v>
      </c>
      <c r="B10804" t="s">
        <v>2931</v>
      </c>
      <c r="C10804">
        <v>7109</v>
      </c>
      <c r="D10804" t="str">
        <f>"4433        "</f>
        <v xml:space="preserve">4433        </v>
      </c>
      <c r="E10804" t="s">
        <v>1740</v>
      </c>
      <c r="F10804" t="s">
        <v>1741</v>
      </c>
      <c r="G10804">
        <v>30</v>
      </c>
      <c r="H10804">
        <v>250501</v>
      </c>
      <c r="I10804">
        <v>4410</v>
      </c>
      <c r="J10804" t="s">
        <v>165</v>
      </c>
      <c r="K10804">
        <v>690</v>
      </c>
      <c r="L10804">
        <v>0</v>
      </c>
      <c r="M10804">
        <v>59702</v>
      </c>
      <c r="N10804" t="s">
        <v>45</v>
      </c>
      <c r="O10804">
        <v>250522</v>
      </c>
      <c r="P10804">
        <v>30</v>
      </c>
    </row>
    <row r="10805" spans="1:16" x14ac:dyDescent="0.25">
      <c r="A10805" t="s">
        <v>3296</v>
      </c>
      <c r="B10805" t="s">
        <v>2931</v>
      </c>
      <c r="C10805">
        <v>7109</v>
      </c>
      <c r="D10805" t="str">
        <f>"4433        "</f>
        <v xml:space="preserve">4433        </v>
      </c>
      <c r="E10805" t="s">
        <v>1740</v>
      </c>
      <c r="F10805" t="s">
        <v>1741</v>
      </c>
      <c r="G10805">
        <v>315</v>
      </c>
      <c r="H10805">
        <v>250501</v>
      </c>
      <c r="I10805">
        <v>4410</v>
      </c>
      <c r="J10805" t="s">
        <v>165</v>
      </c>
      <c r="K10805">
        <v>690</v>
      </c>
      <c r="L10805">
        <v>38.68</v>
      </c>
      <c r="M10805">
        <v>59702</v>
      </c>
      <c r="N10805" t="s">
        <v>45</v>
      </c>
      <c r="O10805">
        <v>250522</v>
      </c>
      <c r="P10805">
        <v>276.32</v>
      </c>
    </row>
    <row r="10806" spans="1:16" x14ac:dyDescent="0.25">
      <c r="A10806" t="s">
        <v>3296</v>
      </c>
      <c r="B10806" t="s">
        <v>2931</v>
      </c>
      <c r="C10806">
        <v>7109</v>
      </c>
      <c r="D10806" t="str">
        <f>"4433        "</f>
        <v xml:space="preserve">4433        </v>
      </c>
      <c r="E10806" t="s">
        <v>1740</v>
      </c>
      <c r="F10806" t="s">
        <v>1741</v>
      </c>
      <c r="G10806">
        <v>30</v>
      </c>
      <c r="H10806">
        <v>250501</v>
      </c>
      <c r="I10806">
        <v>4410</v>
      </c>
      <c r="J10806" t="s">
        <v>165</v>
      </c>
      <c r="K10806">
        <v>690</v>
      </c>
      <c r="L10806">
        <v>0</v>
      </c>
      <c r="M10806">
        <v>66756</v>
      </c>
      <c r="N10806" t="s">
        <v>120</v>
      </c>
      <c r="O10806">
        <v>250522</v>
      </c>
      <c r="P10806">
        <v>30</v>
      </c>
    </row>
    <row r="10807" spans="1:16" x14ac:dyDescent="0.25">
      <c r="A10807" t="s">
        <v>3296</v>
      </c>
      <c r="B10807" t="s">
        <v>2931</v>
      </c>
      <c r="C10807">
        <v>7109</v>
      </c>
      <c r="D10807" t="str">
        <f>"4433        "</f>
        <v xml:space="preserve">4433        </v>
      </c>
      <c r="E10807" t="s">
        <v>1740</v>
      </c>
      <c r="F10807" t="s">
        <v>1741</v>
      </c>
      <c r="G10807">
        <v>315</v>
      </c>
      <c r="H10807">
        <v>250501</v>
      </c>
      <c r="I10807">
        <v>4410</v>
      </c>
      <c r="J10807" t="s">
        <v>165</v>
      </c>
      <c r="K10807">
        <v>690</v>
      </c>
      <c r="L10807">
        <v>38.68</v>
      </c>
      <c r="M10807">
        <v>66756</v>
      </c>
      <c r="N10807" t="s">
        <v>120</v>
      </c>
      <c r="O10807">
        <v>250522</v>
      </c>
      <c r="P10807">
        <v>276.32</v>
      </c>
    </row>
    <row r="10808" spans="1:16" x14ac:dyDescent="0.25">
      <c r="A10808" t="s">
        <v>3296</v>
      </c>
      <c r="B10808" t="s">
        <v>2931</v>
      </c>
      <c r="C10808">
        <v>5414</v>
      </c>
      <c r="D10808" t="str">
        <f>"4398        "</f>
        <v xml:space="preserve">4398        </v>
      </c>
      <c r="E10808" t="s">
        <v>1740</v>
      </c>
      <c r="F10808" t="s">
        <v>1741</v>
      </c>
      <c r="G10808">
        <v>22.8</v>
      </c>
      <c r="H10808">
        <v>250415</v>
      </c>
      <c r="I10808">
        <v>4412</v>
      </c>
      <c r="J10808" t="s">
        <v>884</v>
      </c>
      <c r="K10808">
        <v>274</v>
      </c>
      <c r="L10808">
        <v>0</v>
      </c>
      <c r="M10808">
        <v>59702</v>
      </c>
      <c r="N10808" t="s">
        <v>45</v>
      </c>
      <c r="O10808">
        <v>250424</v>
      </c>
      <c r="P10808">
        <v>22.8</v>
      </c>
    </row>
    <row r="10809" spans="1:16" x14ac:dyDescent="0.25">
      <c r="A10809" t="s">
        <v>3296</v>
      </c>
      <c r="B10809" t="s">
        <v>2931</v>
      </c>
      <c r="C10809">
        <v>5414</v>
      </c>
      <c r="D10809" t="str">
        <f>"4398        "</f>
        <v xml:space="preserve">4398        </v>
      </c>
      <c r="E10809" t="s">
        <v>1740</v>
      </c>
      <c r="F10809" t="s">
        <v>1741</v>
      </c>
      <c r="G10809">
        <v>251.2</v>
      </c>
      <c r="H10809">
        <v>250415</v>
      </c>
      <c r="I10809">
        <v>4412</v>
      </c>
      <c r="J10809" t="s">
        <v>884</v>
      </c>
      <c r="K10809">
        <v>274</v>
      </c>
      <c r="L10809">
        <v>30.85</v>
      </c>
      <c r="M10809">
        <v>59702</v>
      </c>
      <c r="N10809" t="s">
        <v>45</v>
      </c>
      <c r="O10809">
        <v>250424</v>
      </c>
      <c r="P10809">
        <v>220.35</v>
      </c>
    </row>
    <row r="10810" spans="1:16" x14ac:dyDescent="0.25">
      <c r="A10810" t="s">
        <v>3296</v>
      </c>
      <c r="B10810" t="s">
        <v>2931</v>
      </c>
      <c r="C10810">
        <v>11187</v>
      </c>
      <c r="D10810" t="str">
        <f>"11572       "</f>
        <v xml:space="preserve">11572       </v>
      </c>
      <c r="E10810" t="s">
        <v>2259</v>
      </c>
      <c r="F10810" t="s">
        <v>2260</v>
      </c>
      <c r="G10810">
        <v>181.98</v>
      </c>
      <c r="H10810">
        <v>250825</v>
      </c>
      <c r="I10810">
        <v>4390</v>
      </c>
      <c r="J10810" t="s">
        <v>232</v>
      </c>
      <c r="K10810">
        <v>181.98</v>
      </c>
      <c r="L10810">
        <v>36.979999999999997</v>
      </c>
      <c r="M10810">
        <v>59501</v>
      </c>
      <c r="N10810" t="s">
        <v>62</v>
      </c>
      <c r="O10810">
        <v>250901</v>
      </c>
      <c r="P10810">
        <v>145</v>
      </c>
    </row>
    <row r="10811" spans="1:16" x14ac:dyDescent="0.25">
      <c r="A10811" t="s">
        <v>3296</v>
      </c>
      <c r="B10811" t="s">
        <v>2931</v>
      </c>
      <c r="C10811">
        <v>16183</v>
      </c>
      <c r="D10811" t="str">
        <f>"3086        "</f>
        <v xml:space="preserve">3086        </v>
      </c>
      <c r="E10811" t="s">
        <v>3173</v>
      </c>
      <c r="F10811" t="s">
        <v>3174</v>
      </c>
      <c r="G10811">
        <v>110</v>
      </c>
      <c r="H10811">
        <v>251130</v>
      </c>
      <c r="I10811">
        <v>4440</v>
      </c>
      <c r="J10811" t="s">
        <v>346</v>
      </c>
      <c r="K10811">
        <v>110</v>
      </c>
      <c r="L10811">
        <v>0</v>
      </c>
      <c r="M10811">
        <v>13201</v>
      </c>
      <c r="N10811" t="s">
        <v>269</v>
      </c>
      <c r="O10811">
        <v>251204</v>
      </c>
      <c r="P10811">
        <v>110</v>
      </c>
    </row>
    <row r="10812" spans="1:16" x14ac:dyDescent="0.25">
      <c r="A10812" t="s">
        <v>3296</v>
      </c>
      <c r="B10812" t="s">
        <v>2931</v>
      </c>
      <c r="C10812">
        <v>2950</v>
      </c>
      <c r="D10812" t="str">
        <f>"25521758    "</f>
        <v xml:space="preserve">25521758    </v>
      </c>
      <c r="E10812" t="s">
        <v>2845</v>
      </c>
      <c r="F10812" t="s">
        <v>2847</v>
      </c>
      <c r="G10812">
        <v>120</v>
      </c>
      <c r="H10812">
        <v>250225</v>
      </c>
      <c r="I10812">
        <v>4347</v>
      </c>
      <c r="J10812" t="s">
        <v>328</v>
      </c>
      <c r="K10812">
        <v>120</v>
      </c>
      <c r="L10812">
        <v>0</v>
      </c>
      <c r="M10812">
        <v>17802</v>
      </c>
      <c r="N10812" t="s">
        <v>18</v>
      </c>
      <c r="O10812">
        <v>250313</v>
      </c>
      <c r="P10812">
        <v>120</v>
      </c>
    </row>
    <row r="10813" spans="1:16" x14ac:dyDescent="0.25">
      <c r="A10813" t="s">
        <v>3296</v>
      </c>
      <c r="B10813" t="s">
        <v>2931</v>
      </c>
      <c r="C10813">
        <v>13767</v>
      </c>
      <c r="D10813" t="str">
        <f>"25527523    "</f>
        <v xml:space="preserve">25527523    </v>
      </c>
      <c r="E10813" t="s">
        <v>2845</v>
      </c>
      <c r="F10813" t="s">
        <v>2847</v>
      </c>
      <c r="G10813">
        <v>20</v>
      </c>
      <c r="H10813">
        <v>251003</v>
      </c>
      <c r="I10813">
        <v>4369</v>
      </c>
      <c r="J10813" t="s">
        <v>188</v>
      </c>
      <c r="K10813">
        <v>20</v>
      </c>
      <c r="L10813">
        <v>0</v>
      </c>
      <c r="M10813">
        <v>47522</v>
      </c>
      <c r="N10813" t="s">
        <v>106</v>
      </c>
      <c r="O10813">
        <v>251017</v>
      </c>
      <c r="P10813">
        <v>20</v>
      </c>
    </row>
    <row r="10814" spans="1:16" x14ac:dyDescent="0.25">
      <c r="A10814" t="s">
        <v>3296</v>
      </c>
      <c r="B10814" t="s">
        <v>2931</v>
      </c>
      <c r="C10814">
        <v>5847</v>
      </c>
      <c r="D10814" t="str">
        <f>"25221367    "</f>
        <v xml:space="preserve">25221367    </v>
      </c>
      <c r="E10814" t="s">
        <v>2845</v>
      </c>
      <c r="F10814" t="s">
        <v>2847</v>
      </c>
      <c r="G10814">
        <v>1167</v>
      </c>
      <c r="H10814">
        <v>250423</v>
      </c>
      <c r="I10814">
        <v>4440</v>
      </c>
      <c r="J10814" t="s">
        <v>346</v>
      </c>
      <c r="K10814">
        <v>3500</v>
      </c>
      <c r="L10814">
        <v>0</v>
      </c>
      <c r="M10814">
        <v>47522</v>
      </c>
      <c r="N10814" t="s">
        <v>106</v>
      </c>
      <c r="O10814">
        <v>250505</v>
      </c>
      <c r="P10814">
        <v>1167</v>
      </c>
    </row>
    <row r="10815" spans="1:16" x14ac:dyDescent="0.25">
      <c r="A10815" t="s">
        <v>3296</v>
      </c>
      <c r="B10815" t="s">
        <v>2931</v>
      </c>
      <c r="C10815">
        <v>3763</v>
      </c>
      <c r="D10815" t="str">
        <f>"25523341    "</f>
        <v xml:space="preserve">25523341    </v>
      </c>
      <c r="E10815" t="s">
        <v>2845</v>
      </c>
      <c r="F10815" t="s">
        <v>2847</v>
      </c>
      <c r="G10815">
        <v>120</v>
      </c>
      <c r="H10815">
        <v>250311</v>
      </c>
      <c r="I10815">
        <v>4470</v>
      </c>
      <c r="J10815" t="s">
        <v>203</v>
      </c>
      <c r="K10815">
        <v>120</v>
      </c>
      <c r="L10815">
        <v>0</v>
      </c>
      <c r="M10815">
        <v>46557</v>
      </c>
      <c r="N10815" t="s">
        <v>104</v>
      </c>
      <c r="O10815">
        <v>250401</v>
      </c>
      <c r="P10815">
        <v>120</v>
      </c>
    </row>
    <row r="10816" spans="1:16" x14ac:dyDescent="0.25">
      <c r="A10816" t="s">
        <v>3296</v>
      </c>
      <c r="B10816" t="s">
        <v>2931</v>
      </c>
      <c r="C10816">
        <v>5340</v>
      </c>
      <c r="D10816" t="str">
        <f>"25525239    "</f>
        <v xml:space="preserve">25525239    </v>
      </c>
      <c r="E10816" t="s">
        <v>2845</v>
      </c>
      <c r="F10816" t="s">
        <v>2847</v>
      </c>
      <c r="G10816">
        <v>120</v>
      </c>
      <c r="H10816">
        <v>250407</v>
      </c>
      <c r="I10816">
        <v>4470</v>
      </c>
      <c r="J10816" t="s">
        <v>203</v>
      </c>
      <c r="K10816">
        <v>120</v>
      </c>
      <c r="L10816">
        <v>0</v>
      </c>
      <c r="M10816">
        <v>56559</v>
      </c>
      <c r="N10816" t="s">
        <v>51</v>
      </c>
      <c r="O10816">
        <v>250423</v>
      </c>
      <c r="P10816">
        <v>120</v>
      </c>
    </row>
    <row r="10817" spans="1:16" x14ac:dyDescent="0.25">
      <c r="A10817" t="s">
        <v>3296</v>
      </c>
      <c r="B10817" t="s">
        <v>2931</v>
      </c>
      <c r="C10817">
        <v>5355</v>
      </c>
      <c r="D10817" t="str">
        <f>"25525240    "</f>
        <v xml:space="preserve">25525240    </v>
      </c>
      <c r="E10817" t="s">
        <v>2845</v>
      </c>
      <c r="F10817" t="s">
        <v>2847</v>
      </c>
      <c r="G10817">
        <v>120</v>
      </c>
      <c r="H10817">
        <v>250407</v>
      </c>
      <c r="I10817">
        <v>4470</v>
      </c>
      <c r="J10817" t="s">
        <v>203</v>
      </c>
      <c r="K10817">
        <v>120</v>
      </c>
      <c r="L10817">
        <v>0</v>
      </c>
      <c r="M10817">
        <v>56559</v>
      </c>
      <c r="N10817" t="s">
        <v>51</v>
      </c>
      <c r="O10817">
        <v>250423</v>
      </c>
      <c r="P10817">
        <v>120</v>
      </c>
    </row>
    <row r="10818" spans="1:16" x14ac:dyDescent="0.25">
      <c r="A10818" t="s">
        <v>3296</v>
      </c>
      <c r="B10818" t="s">
        <v>2931</v>
      </c>
      <c r="C10818">
        <v>16293</v>
      </c>
      <c r="D10818" t="str">
        <f>"25147383    "</f>
        <v xml:space="preserve">25147383    </v>
      </c>
      <c r="E10818" t="s">
        <v>2845</v>
      </c>
      <c r="F10818" t="s">
        <v>2847</v>
      </c>
      <c r="G10818">
        <v>24.57</v>
      </c>
      <c r="H10818">
        <v>251130</v>
      </c>
      <c r="I10818">
        <v>4470</v>
      </c>
      <c r="J10818" t="s">
        <v>203</v>
      </c>
      <c r="K10818">
        <v>230</v>
      </c>
      <c r="L10818">
        <v>0</v>
      </c>
      <c r="M10818">
        <v>56559</v>
      </c>
      <c r="N10818" t="s">
        <v>51</v>
      </c>
      <c r="O10818">
        <v>251205</v>
      </c>
      <c r="P10818">
        <v>24.57</v>
      </c>
    </row>
    <row r="10819" spans="1:16" x14ac:dyDescent="0.25">
      <c r="A10819" t="s">
        <v>3296</v>
      </c>
      <c r="B10819" t="s">
        <v>2931</v>
      </c>
      <c r="C10819">
        <v>14746</v>
      </c>
      <c r="D10819" t="str">
        <f>"4800220736  "</f>
        <v xml:space="preserve">4800220736  </v>
      </c>
      <c r="E10819" t="s">
        <v>2845</v>
      </c>
      <c r="F10819" t="s">
        <v>2847</v>
      </c>
      <c r="G10819">
        <v>18</v>
      </c>
      <c r="H10819">
        <v>251030</v>
      </c>
      <c r="I10819">
        <v>4600</v>
      </c>
      <c r="J10819" t="s">
        <v>278</v>
      </c>
      <c r="K10819">
        <v>18</v>
      </c>
      <c r="L10819">
        <v>0</v>
      </c>
      <c r="M10819">
        <v>47522</v>
      </c>
      <c r="N10819" t="s">
        <v>106</v>
      </c>
      <c r="O10819">
        <v>251106</v>
      </c>
      <c r="P10819">
        <v>18</v>
      </c>
    </row>
    <row r="10820" spans="1:16" x14ac:dyDescent="0.25">
      <c r="A10820" t="s">
        <v>3296</v>
      </c>
      <c r="B10820" t="s">
        <v>2931</v>
      </c>
      <c r="C10820">
        <v>95</v>
      </c>
      <c r="D10820" t="str">
        <f>"163070811   "</f>
        <v xml:space="preserve">163070811   </v>
      </c>
      <c r="E10820" t="s">
        <v>2845</v>
      </c>
      <c r="F10820" t="s">
        <v>2847</v>
      </c>
      <c r="G10820">
        <v>448.58</v>
      </c>
      <c r="H10820">
        <v>250101</v>
      </c>
      <c r="I10820">
        <v>4900</v>
      </c>
      <c r="J10820" t="s">
        <v>2846</v>
      </c>
      <c r="K10820">
        <v>448.58</v>
      </c>
      <c r="L10820">
        <v>0</v>
      </c>
      <c r="M10820">
        <v>59702</v>
      </c>
      <c r="N10820" t="s">
        <v>45</v>
      </c>
      <c r="O10820">
        <v>250107</v>
      </c>
      <c r="P10820">
        <v>448.58</v>
      </c>
    </row>
    <row r="10821" spans="1:16" x14ac:dyDescent="0.25">
      <c r="A10821" t="s">
        <v>3296</v>
      </c>
      <c r="B10821" t="s">
        <v>2931</v>
      </c>
      <c r="C10821">
        <v>155</v>
      </c>
      <c r="D10821" t="str">
        <f>"163362132   "</f>
        <v xml:space="preserve">163362132   </v>
      </c>
      <c r="E10821" t="s">
        <v>2845</v>
      </c>
      <c r="F10821" t="s">
        <v>2847</v>
      </c>
      <c r="G10821">
        <v>535.82000000000005</v>
      </c>
      <c r="H10821">
        <v>250101</v>
      </c>
      <c r="I10821">
        <v>4900</v>
      </c>
      <c r="J10821" t="s">
        <v>2846</v>
      </c>
      <c r="K10821">
        <v>535.82000000000005</v>
      </c>
      <c r="L10821">
        <v>0</v>
      </c>
      <c r="M10821">
        <v>59702</v>
      </c>
      <c r="N10821" t="s">
        <v>45</v>
      </c>
      <c r="O10821">
        <v>250114</v>
      </c>
      <c r="P10821">
        <v>535.82000000000005</v>
      </c>
    </row>
    <row r="10822" spans="1:16" x14ac:dyDescent="0.25">
      <c r="A10822" t="s">
        <v>3296</v>
      </c>
      <c r="B10822" t="s">
        <v>2931</v>
      </c>
      <c r="C10822">
        <v>161</v>
      </c>
      <c r="D10822" t="str">
        <f>"163882802   "</f>
        <v xml:space="preserve">163882802   </v>
      </c>
      <c r="E10822" t="s">
        <v>2845</v>
      </c>
      <c r="F10822" t="s">
        <v>2847</v>
      </c>
      <c r="G10822">
        <v>0.49</v>
      </c>
      <c r="H10822">
        <v>250102</v>
      </c>
      <c r="I10822">
        <v>4900</v>
      </c>
      <c r="J10822" t="s">
        <v>2846</v>
      </c>
      <c r="K10822">
        <v>179.94</v>
      </c>
      <c r="L10822">
        <v>0</v>
      </c>
      <c r="M10822">
        <v>17808</v>
      </c>
      <c r="N10822" t="s">
        <v>24</v>
      </c>
      <c r="O10822">
        <v>250114</v>
      </c>
      <c r="P10822">
        <v>0.49</v>
      </c>
    </row>
    <row r="10823" spans="1:16" x14ac:dyDescent="0.25">
      <c r="A10823" t="s">
        <v>3296</v>
      </c>
      <c r="B10823" t="s">
        <v>2931</v>
      </c>
      <c r="C10823">
        <v>161</v>
      </c>
      <c r="D10823" t="str">
        <f>"163882802   "</f>
        <v xml:space="preserve">163882802   </v>
      </c>
      <c r="E10823" t="s">
        <v>2845</v>
      </c>
      <c r="F10823" t="s">
        <v>2847</v>
      </c>
      <c r="G10823">
        <v>179.45</v>
      </c>
      <c r="H10823">
        <v>250102</v>
      </c>
      <c r="I10823">
        <v>4900</v>
      </c>
      <c r="J10823" t="s">
        <v>2846</v>
      </c>
      <c r="K10823">
        <v>179.94</v>
      </c>
      <c r="L10823">
        <v>0</v>
      </c>
      <c r="M10823">
        <v>17808</v>
      </c>
      <c r="N10823" t="s">
        <v>24</v>
      </c>
      <c r="O10823">
        <v>250114</v>
      </c>
      <c r="P10823">
        <v>179.45</v>
      </c>
    </row>
    <row r="10824" spans="1:16" x14ac:dyDescent="0.25">
      <c r="A10824" t="s">
        <v>3296</v>
      </c>
      <c r="B10824" t="s">
        <v>2931</v>
      </c>
      <c r="C10824">
        <v>162</v>
      </c>
      <c r="D10824" t="str">
        <f>"163883294   "</f>
        <v xml:space="preserve">163883294   </v>
      </c>
      <c r="E10824" t="s">
        <v>2845</v>
      </c>
      <c r="F10824" t="s">
        <v>2847</v>
      </c>
      <c r="G10824">
        <v>78.84</v>
      </c>
      <c r="H10824">
        <v>250102</v>
      </c>
      <c r="I10824">
        <v>4900</v>
      </c>
      <c r="J10824" t="s">
        <v>2846</v>
      </c>
      <c r="K10824">
        <v>78.84</v>
      </c>
      <c r="L10824">
        <v>0</v>
      </c>
      <c r="M10824">
        <v>17527</v>
      </c>
      <c r="N10824" t="s">
        <v>142</v>
      </c>
      <c r="O10824">
        <v>250114</v>
      </c>
      <c r="P10824">
        <v>78.84</v>
      </c>
    </row>
    <row r="10825" spans="1:16" x14ac:dyDescent="0.25">
      <c r="A10825" t="s">
        <v>3296</v>
      </c>
      <c r="B10825" t="s">
        <v>2931</v>
      </c>
      <c r="C10825">
        <v>202</v>
      </c>
      <c r="D10825" t="str">
        <f>"163887239   "</f>
        <v xml:space="preserve">163887239   </v>
      </c>
      <c r="E10825" t="s">
        <v>2845</v>
      </c>
      <c r="F10825" t="s">
        <v>2847</v>
      </c>
      <c r="G10825">
        <v>1.01</v>
      </c>
      <c r="H10825">
        <v>250102</v>
      </c>
      <c r="I10825">
        <v>4900</v>
      </c>
      <c r="J10825" t="s">
        <v>2846</v>
      </c>
      <c r="K10825">
        <v>370.11</v>
      </c>
      <c r="L10825">
        <v>0</v>
      </c>
      <c r="M10825">
        <v>17808</v>
      </c>
      <c r="N10825" t="s">
        <v>24</v>
      </c>
      <c r="O10825">
        <v>250116</v>
      </c>
      <c r="P10825">
        <v>1.01</v>
      </c>
    </row>
    <row r="10826" spans="1:16" x14ac:dyDescent="0.25">
      <c r="A10826" t="s">
        <v>3296</v>
      </c>
      <c r="B10826" t="s">
        <v>2931</v>
      </c>
      <c r="C10826">
        <v>202</v>
      </c>
      <c r="D10826" t="str">
        <f>"163887239   "</f>
        <v xml:space="preserve">163887239   </v>
      </c>
      <c r="E10826" t="s">
        <v>2845</v>
      </c>
      <c r="F10826" t="s">
        <v>2847</v>
      </c>
      <c r="G10826">
        <v>369.1</v>
      </c>
      <c r="H10826">
        <v>250102</v>
      </c>
      <c r="I10826">
        <v>4900</v>
      </c>
      <c r="J10826" t="s">
        <v>2846</v>
      </c>
      <c r="K10826">
        <v>370.11</v>
      </c>
      <c r="L10826">
        <v>0</v>
      </c>
      <c r="M10826">
        <v>17808</v>
      </c>
      <c r="N10826" t="s">
        <v>24</v>
      </c>
      <c r="O10826">
        <v>250116</v>
      </c>
      <c r="P10826">
        <v>369.1</v>
      </c>
    </row>
    <row r="10827" spans="1:16" x14ac:dyDescent="0.25">
      <c r="A10827" t="s">
        <v>3296</v>
      </c>
      <c r="B10827" t="s">
        <v>2931</v>
      </c>
      <c r="C10827">
        <v>203</v>
      </c>
      <c r="D10827" t="str">
        <f>"163883412   "</f>
        <v xml:space="preserve">163883412   </v>
      </c>
      <c r="E10827" t="s">
        <v>2845</v>
      </c>
      <c r="F10827" t="s">
        <v>2847</v>
      </c>
      <c r="G10827">
        <v>1.57</v>
      </c>
      <c r="H10827">
        <v>250102</v>
      </c>
      <c r="I10827">
        <v>4900</v>
      </c>
      <c r="J10827" t="s">
        <v>2846</v>
      </c>
      <c r="K10827">
        <v>1146.0999999999999</v>
      </c>
      <c r="L10827">
        <v>0</v>
      </c>
      <c r="M10827">
        <v>17131</v>
      </c>
      <c r="N10827" t="s">
        <v>154</v>
      </c>
      <c r="O10827">
        <v>250116</v>
      </c>
      <c r="P10827">
        <v>1.57</v>
      </c>
    </row>
    <row r="10828" spans="1:16" x14ac:dyDescent="0.25">
      <c r="A10828" t="s">
        <v>3296</v>
      </c>
      <c r="B10828" t="s">
        <v>2931</v>
      </c>
      <c r="C10828">
        <v>203</v>
      </c>
      <c r="D10828" t="str">
        <f>"163883412   "</f>
        <v xml:space="preserve">163883412   </v>
      </c>
      <c r="E10828" t="s">
        <v>2845</v>
      </c>
      <c r="F10828" t="s">
        <v>2847</v>
      </c>
      <c r="G10828">
        <v>571.48</v>
      </c>
      <c r="H10828">
        <v>250102</v>
      </c>
      <c r="I10828">
        <v>4900</v>
      </c>
      <c r="J10828" t="s">
        <v>2846</v>
      </c>
      <c r="K10828">
        <v>1146.0999999999999</v>
      </c>
      <c r="L10828">
        <v>0</v>
      </c>
      <c r="M10828">
        <v>17131</v>
      </c>
      <c r="N10828" t="s">
        <v>154</v>
      </c>
      <c r="O10828">
        <v>250116</v>
      </c>
      <c r="P10828">
        <v>571.48</v>
      </c>
    </row>
    <row r="10829" spans="1:16" x14ac:dyDescent="0.25">
      <c r="A10829" t="s">
        <v>3296</v>
      </c>
      <c r="B10829" t="s">
        <v>2931</v>
      </c>
      <c r="C10829">
        <v>203</v>
      </c>
      <c r="D10829" t="str">
        <f>"163883412   "</f>
        <v xml:space="preserve">163883412   </v>
      </c>
      <c r="E10829" t="s">
        <v>2845</v>
      </c>
      <c r="F10829" t="s">
        <v>2847</v>
      </c>
      <c r="G10829">
        <v>1.57</v>
      </c>
      <c r="H10829">
        <v>250102</v>
      </c>
      <c r="I10829">
        <v>4900</v>
      </c>
      <c r="J10829" t="s">
        <v>2846</v>
      </c>
      <c r="K10829">
        <v>1146.0999999999999</v>
      </c>
      <c r="L10829">
        <v>0</v>
      </c>
      <c r="M10829">
        <v>17711</v>
      </c>
      <c r="N10829" t="s">
        <v>155</v>
      </c>
      <c r="O10829">
        <v>250116</v>
      </c>
      <c r="P10829">
        <v>1.57</v>
      </c>
    </row>
    <row r="10830" spans="1:16" x14ac:dyDescent="0.25">
      <c r="A10830" t="s">
        <v>3296</v>
      </c>
      <c r="B10830" t="s">
        <v>2931</v>
      </c>
      <c r="C10830">
        <v>203</v>
      </c>
      <c r="D10830" t="str">
        <f>"163883412   "</f>
        <v xml:space="preserve">163883412   </v>
      </c>
      <c r="E10830" t="s">
        <v>2845</v>
      </c>
      <c r="F10830" t="s">
        <v>2847</v>
      </c>
      <c r="G10830">
        <v>571.48</v>
      </c>
      <c r="H10830">
        <v>250102</v>
      </c>
      <c r="I10830">
        <v>4900</v>
      </c>
      <c r="J10830" t="s">
        <v>2846</v>
      </c>
      <c r="K10830">
        <v>1146.0999999999999</v>
      </c>
      <c r="L10830">
        <v>0</v>
      </c>
      <c r="M10830">
        <v>17711</v>
      </c>
      <c r="N10830" t="s">
        <v>155</v>
      </c>
      <c r="O10830">
        <v>250116</v>
      </c>
      <c r="P10830">
        <v>571.48</v>
      </c>
    </row>
    <row r="10831" spans="1:16" x14ac:dyDescent="0.25">
      <c r="A10831" t="s">
        <v>3296</v>
      </c>
      <c r="B10831" t="s">
        <v>2931</v>
      </c>
      <c r="C10831">
        <v>1987</v>
      </c>
      <c r="D10831" t="str">
        <f>"164738844   "</f>
        <v xml:space="preserve">164738844   </v>
      </c>
      <c r="E10831" t="s">
        <v>2845</v>
      </c>
      <c r="F10831" t="s">
        <v>2847</v>
      </c>
      <c r="G10831">
        <v>200.75</v>
      </c>
      <c r="H10831">
        <v>250205</v>
      </c>
      <c r="I10831">
        <v>4900</v>
      </c>
      <c r="J10831" t="s">
        <v>2846</v>
      </c>
      <c r="K10831">
        <v>200.75</v>
      </c>
      <c r="L10831">
        <v>0</v>
      </c>
      <c r="M10831">
        <v>59702</v>
      </c>
      <c r="N10831" t="s">
        <v>45</v>
      </c>
      <c r="O10831">
        <v>250218</v>
      </c>
      <c r="P10831">
        <v>200.75</v>
      </c>
    </row>
    <row r="10832" spans="1:16" x14ac:dyDescent="0.25">
      <c r="A10832" t="s">
        <v>3296</v>
      </c>
      <c r="B10832" t="s">
        <v>2931</v>
      </c>
      <c r="C10832">
        <v>2873</v>
      </c>
      <c r="D10832" t="str">
        <f>"165129562   "</f>
        <v xml:space="preserve">165129562   </v>
      </c>
      <c r="E10832" t="s">
        <v>2845</v>
      </c>
      <c r="F10832" t="s">
        <v>2847</v>
      </c>
      <c r="G10832">
        <v>256.98</v>
      </c>
      <c r="H10832">
        <v>250224</v>
      </c>
      <c r="I10832">
        <v>4900</v>
      </c>
      <c r="J10832" t="s">
        <v>2846</v>
      </c>
      <c r="K10832">
        <v>256.98</v>
      </c>
      <c r="L10832">
        <v>0</v>
      </c>
      <c r="M10832">
        <v>56559</v>
      </c>
      <c r="N10832" t="s">
        <v>51</v>
      </c>
      <c r="O10832">
        <v>250312</v>
      </c>
      <c r="P10832">
        <v>256.98</v>
      </c>
    </row>
    <row r="10833" spans="1:16" x14ac:dyDescent="0.25">
      <c r="A10833" t="s">
        <v>3296</v>
      </c>
      <c r="B10833" t="s">
        <v>2931</v>
      </c>
      <c r="C10833">
        <v>4937</v>
      </c>
      <c r="D10833" t="str">
        <f>"165452352   "</f>
        <v xml:space="preserve">165452352   </v>
      </c>
      <c r="E10833" t="s">
        <v>2845</v>
      </c>
      <c r="F10833" t="s">
        <v>2847</v>
      </c>
      <c r="G10833">
        <v>460.31</v>
      </c>
      <c r="H10833">
        <v>250311</v>
      </c>
      <c r="I10833">
        <v>4900</v>
      </c>
      <c r="J10833" t="s">
        <v>2846</v>
      </c>
      <c r="K10833">
        <v>581.44000000000005</v>
      </c>
      <c r="L10833">
        <v>0</v>
      </c>
      <c r="M10833">
        <v>49701</v>
      </c>
      <c r="N10833" t="s">
        <v>111</v>
      </c>
      <c r="O10833">
        <v>250416</v>
      </c>
      <c r="P10833">
        <v>460.31</v>
      </c>
    </row>
    <row r="10834" spans="1:16" x14ac:dyDescent="0.25">
      <c r="A10834" t="s">
        <v>3296</v>
      </c>
      <c r="B10834" t="s">
        <v>2931</v>
      </c>
      <c r="C10834">
        <v>5604</v>
      </c>
      <c r="D10834" t="str">
        <f>"166011535   "</f>
        <v xml:space="preserve">166011535   </v>
      </c>
      <c r="E10834" t="s">
        <v>2845</v>
      </c>
      <c r="F10834" t="s">
        <v>2847</v>
      </c>
      <c r="G10834">
        <v>755.55</v>
      </c>
      <c r="H10834">
        <v>250405</v>
      </c>
      <c r="I10834">
        <v>4900</v>
      </c>
      <c r="J10834" t="s">
        <v>2846</v>
      </c>
      <c r="K10834">
        <v>1007.4</v>
      </c>
      <c r="L10834">
        <v>0</v>
      </c>
      <c r="M10834">
        <v>49701</v>
      </c>
      <c r="N10834" t="s">
        <v>111</v>
      </c>
      <c r="O10834">
        <v>250425</v>
      </c>
      <c r="P10834">
        <v>755.55</v>
      </c>
    </row>
    <row r="10835" spans="1:16" x14ac:dyDescent="0.25">
      <c r="A10835" t="s">
        <v>3296</v>
      </c>
      <c r="B10835" t="s">
        <v>2931</v>
      </c>
      <c r="C10835">
        <v>6566</v>
      </c>
      <c r="D10835" t="str">
        <f>"166421930   "</f>
        <v xml:space="preserve">166421930   </v>
      </c>
      <c r="E10835" t="s">
        <v>2845</v>
      </c>
      <c r="F10835" t="s">
        <v>2847</v>
      </c>
      <c r="G10835">
        <v>2.61</v>
      </c>
      <c r="H10835">
        <v>250423</v>
      </c>
      <c r="I10835">
        <v>4900</v>
      </c>
      <c r="J10835" t="s">
        <v>2846</v>
      </c>
      <c r="K10835">
        <v>781.83</v>
      </c>
      <c r="L10835">
        <v>0</v>
      </c>
      <c r="M10835">
        <v>13501</v>
      </c>
      <c r="N10835" t="s">
        <v>66</v>
      </c>
      <c r="O10835">
        <v>250514</v>
      </c>
      <c r="P10835">
        <v>2.61</v>
      </c>
    </row>
    <row r="10836" spans="1:16" x14ac:dyDescent="0.25">
      <c r="A10836" t="s">
        <v>3296</v>
      </c>
      <c r="B10836" t="s">
        <v>2931</v>
      </c>
      <c r="C10836">
        <v>6566</v>
      </c>
      <c r="D10836" t="str">
        <f>"166421930   "</f>
        <v xml:space="preserve">166421930   </v>
      </c>
      <c r="E10836" t="s">
        <v>2845</v>
      </c>
      <c r="F10836" t="s">
        <v>2847</v>
      </c>
      <c r="G10836">
        <v>63.85</v>
      </c>
      <c r="H10836">
        <v>250423</v>
      </c>
      <c r="I10836">
        <v>4900</v>
      </c>
      <c r="J10836" t="s">
        <v>2846</v>
      </c>
      <c r="K10836">
        <v>781.83</v>
      </c>
      <c r="L10836">
        <v>0</v>
      </c>
      <c r="M10836">
        <v>16121</v>
      </c>
      <c r="N10836" t="s">
        <v>127</v>
      </c>
      <c r="O10836">
        <v>250514</v>
      </c>
      <c r="P10836">
        <v>63.85</v>
      </c>
    </row>
    <row r="10837" spans="1:16" x14ac:dyDescent="0.25">
      <c r="A10837" t="s">
        <v>3296</v>
      </c>
      <c r="B10837" t="s">
        <v>2931</v>
      </c>
      <c r="C10837">
        <v>6566</v>
      </c>
      <c r="D10837" t="str">
        <f>"166421930   "</f>
        <v xml:space="preserve">166421930   </v>
      </c>
      <c r="E10837" t="s">
        <v>2845</v>
      </c>
      <c r="F10837" t="s">
        <v>2847</v>
      </c>
      <c r="G10837">
        <v>63.85</v>
      </c>
      <c r="H10837">
        <v>250423</v>
      </c>
      <c r="I10837">
        <v>4900</v>
      </c>
      <c r="J10837" t="s">
        <v>2846</v>
      </c>
      <c r="K10837">
        <v>781.83</v>
      </c>
      <c r="L10837">
        <v>0</v>
      </c>
      <c r="M10837">
        <v>17538</v>
      </c>
      <c r="N10837" t="s">
        <v>129</v>
      </c>
      <c r="O10837">
        <v>250514</v>
      </c>
      <c r="P10837">
        <v>63.85</v>
      </c>
    </row>
    <row r="10838" spans="1:16" x14ac:dyDescent="0.25">
      <c r="A10838" t="s">
        <v>3296</v>
      </c>
      <c r="B10838" t="s">
        <v>2931</v>
      </c>
      <c r="C10838">
        <v>8526</v>
      </c>
      <c r="D10838" t="str">
        <f>"166801353   "</f>
        <v xml:space="preserve">166801353   </v>
      </c>
      <c r="E10838" t="s">
        <v>2845</v>
      </c>
      <c r="F10838" t="s">
        <v>2847</v>
      </c>
      <c r="G10838">
        <v>271.48</v>
      </c>
      <c r="H10838">
        <v>250509</v>
      </c>
      <c r="I10838">
        <v>4900</v>
      </c>
      <c r="J10838" t="s">
        <v>2846</v>
      </c>
      <c r="K10838">
        <v>836.21</v>
      </c>
      <c r="L10838">
        <v>0</v>
      </c>
      <c r="M10838">
        <v>17131</v>
      </c>
      <c r="N10838" t="s">
        <v>154</v>
      </c>
      <c r="O10838">
        <v>250617</v>
      </c>
      <c r="P10838">
        <v>271.48</v>
      </c>
    </row>
    <row r="10839" spans="1:16" x14ac:dyDescent="0.25">
      <c r="A10839" t="s">
        <v>3296</v>
      </c>
      <c r="B10839" t="s">
        <v>2931</v>
      </c>
      <c r="C10839">
        <v>8526</v>
      </c>
      <c r="D10839" t="str">
        <f>"166801353   "</f>
        <v xml:space="preserve">166801353   </v>
      </c>
      <c r="E10839" t="s">
        <v>2845</v>
      </c>
      <c r="F10839" t="s">
        <v>2847</v>
      </c>
      <c r="G10839">
        <v>271.48</v>
      </c>
      <c r="H10839">
        <v>250509</v>
      </c>
      <c r="I10839">
        <v>4900</v>
      </c>
      <c r="J10839" t="s">
        <v>2846</v>
      </c>
      <c r="K10839">
        <v>836.21</v>
      </c>
      <c r="L10839">
        <v>0</v>
      </c>
      <c r="M10839">
        <v>17711</v>
      </c>
      <c r="N10839" t="s">
        <v>155</v>
      </c>
      <c r="O10839">
        <v>250617</v>
      </c>
      <c r="P10839">
        <v>271.48</v>
      </c>
    </row>
    <row r="10840" spans="1:16" x14ac:dyDescent="0.25">
      <c r="A10840" t="s">
        <v>3296</v>
      </c>
      <c r="B10840" t="s">
        <v>2931</v>
      </c>
      <c r="C10840">
        <v>8555</v>
      </c>
      <c r="D10840" t="str">
        <f>"167084997   "</f>
        <v xml:space="preserve">167084997   </v>
      </c>
      <c r="E10840" t="s">
        <v>2845</v>
      </c>
      <c r="F10840" t="s">
        <v>2847</v>
      </c>
      <c r="G10840">
        <v>153</v>
      </c>
      <c r="H10840">
        <v>250521</v>
      </c>
      <c r="I10840">
        <v>4900</v>
      </c>
      <c r="J10840" t="s">
        <v>2846</v>
      </c>
      <c r="K10840">
        <v>248.2</v>
      </c>
      <c r="L10840">
        <v>0</v>
      </c>
      <c r="M10840">
        <v>17802</v>
      </c>
      <c r="N10840" t="s">
        <v>18</v>
      </c>
      <c r="O10840">
        <v>250617</v>
      </c>
      <c r="P10840">
        <v>153</v>
      </c>
    </row>
    <row r="10841" spans="1:16" x14ac:dyDescent="0.25">
      <c r="A10841" t="s">
        <v>3296</v>
      </c>
      <c r="B10841" t="s">
        <v>2931</v>
      </c>
      <c r="C10841">
        <v>8685</v>
      </c>
      <c r="D10841" t="str">
        <f>"167316241   "</f>
        <v xml:space="preserve">167316241   </v>
      </c>
      <c r="E10841" t="s">
        <v>2845</v>
      </c>
      <c r="F10841" t="s">
        <v>2847</v>
      </c>
      <c r="G10841">
        <v>47.12</v>
      </c>
      <c r="H10841">
        <v>250531</v>
      </c>
      <c r="I10841">
        <v>4900</v>
      </c>
      <c r="J10841" t="s">
        <v>2846</v>
      </c>
      <c r="K10841">
        <v>554.79999999999995</v>
      </c>
      <c r="L10841">
        <v>0</v>
      </c>
      <c r="M10841">
        <v>17711</v>
      </c>
      <c r="N10841" t="s">
        <v>155</v>
      </c>
      <c r="O10841">
        <v>250617</v>
      </c>
      <c r="P10841">
        <v>47.12</v>
      </c>
    </row>
    <row r="10842" spans="1:16" x14ac:dyDescent="0.25">
      <c r="A10842" t="s">
        <v>3296</v>
      </c>
      <c r="B10842" t="s">
        <v>2931</v>
      </c>
      <c r="C10842">
        <v>9094</v>
      </c>
      <c r="D10842" t="str">
        <f>"167005103   "</f>
        <v xml:space="preserve">167005103   </v>
      </c>
      <c r="E10842" t="s">
        <v>2845</v>
      </c>
      <c r="F10842" t="s">
        <v>2847</v>
      </c>
      <c r="G10842">
        <v>559.52</v>
      </c>
      <c r="H10842">
        <v>250601</v>
      </c>
      <c r="I10842">
        <v>4900</v>
      </c>
      <c r="J10842" t="s">
        <v>2846</v>
      </c>
      <c r="K10842">
        <v>895.71</v>
      </c>
      <c r="L10842">
        <v>0</v>
      </c>
      <c r="M10842">
        <v>59702</v>
      </c>
      <c r="N10842" t="s">
        <v>45</v>
      </c>
      <c r="O10842">
        <v>250626</v>
      </c>
      <c r="P10842">
        <v>559.52</v>
      </c>
    </row>
    <row r="10843" spans="1:16" x14ac:dyDescent="0.25">
      <c r="A10843" t="s">
        <v>3296</v>
      </c>
      <c r="B10843" t="s">
        <v>2931</v>
      </c>
      <c r="C10843">
        <v>9770</v>
      </c>
      <c r="D10843" t="str">
        <f>"167742562   "</f>
        <v xml:space="preserve">167742562   </v>
      </c>
      <c r="E10843" t="s">
        <v>2845</v>
      </c>
      <c r="F10843" t="s">
        <v>2847</v>
      </c>
      <c r="G10843">
        <v>60.96</v>
      </c>
      <c r="H10843">
        <v>250620</v>
      </c>
      <c r="I10843">
        <v>4900</v>
      </c>
      <c r="J10843" t="s">
        <v>2846</v>
      </c>
      <c r="K10843">
        <v>113.51</v>
      </c>
      <c r="L10843">
        <v>0</v>
      </c>
      <c r="M10843">
        <v>59702</v>
      </c>
      <c r="N10843" t="s">
        <v>45</v>
      </c>
      <c r="O10843">
        <v>250728</v>
      </c>
      <c r="P10843">
        <v>60.96</v>
      </c>
    </row>
    <row r="10844" spans="1:16" x14ac:dyDescent="0.25">
      <c r="A10844" t="s">
        <v>3296</v>
      </c>
      <c r="B10844" t="s">
        <v>2931</v>
      </c>
      <c r="C10844">
        <v>9804</v>
      </c>
      <c r="D10844" t="str">
        <f>"167905990   "</f>
        <v xml:space="preserve">167905990   </v>
      </c>
      <c r="E10844" t="s">
        <v>2845</v>
      </c>
      <c r="F10844" t="s">
        <v>2847</v>
      </c>
      <c r="G10844">
        <v>122.95</v>
      </c>
      <c r="H10844">
        <v>250627</v>
      </c>
      <c r="I10844">
        <v>4900</v>
      </c>
      <c r="J10844" t="s">
        <v>2846</v>
      </c>
      <c r="K10844">
        <v>279.95</v>
      </c>
      <c r="L10844">
        <v>0</v>
      </c>
      <c r="M10844">
        <v>18972</v>
      </c>
      <c r="N10844" t="s">
        <v>39</v>
      </c>
      <c r="O10844">
        <v>250729</v>
      </c>
      <c r="P10844">
        <v>122.95</v>
      </c>
    </row>
    <row r="10845" spans="1:16" x14ac:dyDescent="0.25">
      <c r="A10845" t="s">
        <v>3296</v>
      </c>
      <c r="B10845" t="s">
        <v>2931</v>
      </c>
      <c r="C10845">
        <v>9805</v>
      </c>
      <c r="D10845" t="str">
        <f>"167949249   "</f>
        <v xml:space="preserve">167949249   </v>
      </c>
      <c r="E10845" t="s">
        <v>2845</v>
      </c>
      <c r="F10845" t="s">
        <v>2847</v>
      </c>
      <c r="G10845">
        <v>45.79</v>
      </c>
      <c r="H10845">
        <v>250629</v>
      </c>
      <c r="I10845">
        <v>4900</v>
      </c>
      <c r="J10845" t="s">
        <v>2846</v>
      </c>
      <c r="K10845">
        <v>915.78</v>
      </c>
      <c r="L10845">
        <v>0</v>
      </c>
      <c r="M10845">
        <v>13501</v>
      </c>
      <c r="N10845" t="s">
        <v>66</v>
      </c>
      <c r="O10845">
        <v>250729</v>
      </c>
      <c r="P10845">
        <v>45.79</v>
      </c>
    </row>
    <row r="10846" spans="1:16" x14ac:dyDescent="0.25">
      <c r="A10846" t="s">
        <v>3296</v>
      </c>
      <c r="B10846" t="s">
        <v>2931</v>
      </c>
      <c r="C10846">
        <v>9805</v>
      </c>
      <c r="D10846" t="str">
        <f>"167949249   "</f>
        <v xml:space="preserve">167949249   </v>
      </c>
      <c r="E10846" t="s">
        <v>2845</v>
      </c>
      <c r="F10846" t="s">
        <v>2847</v>
      </c>
      <c r="G10846">
        <v>443.34</v>
      </c>
      <c r="H10846">
        <v>250629</v>
      </c>
      <c r="I10846">
        <v>4900</v>
      </c>
      <c r="J10846" t="s">
        <v>2846</v>
      </c>
      <c r="K10846">
        <v>915.78</v>
      </c>
      <c r="L10846">
        <v>0</v>
      </c>
      <c r="M10846">
        <v>17538</v>
      </c>
      <c r="N10846" t="s">
        <v>129</v>
      </c>
      <c r="O10846">
        <v>250729</v>
      </c>
      <c r="P10846">
        <v>443.34</v>
      </c>
    </row>
    <row r="10847" spans="1:16" x14ac:dyDescent="0.25">
      <c r="A10847" t="s">
        <v>3296</v>
      </c>
      <c r="B10847" t="s">
        <v>2931</v>
      </c>
      <c r="C10847">
        <v>9807</v>
      </c>
      <c r="D10847" t="str">
        <f>"167566274   "</f>
        <v xml:space="preserve">167566274   </v>
      </c>
      <c r="E10847" t="s">
        <v>2845</v>
      </c>
      <c r="F10847" t="s">
        <v>2847</v>
      </c>
      <c r="G10847">
        <v>-17.23</v>
      </c>
      <c r="H10847">
        <v>250611</v>
      </c>
      <c r="I10847">
        <v>4900</v>
      </c>
      <c r="J10847" t="s">
        <v>2846</v>
      </c>
      <c r="K10847">
        <v>486.47</v>
      </c>
      <c r="L10847">
        <v>0</v>
      </c>
      <c r="M10847">
        <v>49701</v>
      </c>
      <c r="N10847" t="s">
        <v>111</v>
      </c>
      <c r="O10847">
        <v>250729</v>
      </c>
      <c r="P10847">
        <v>-17.23</v>
      </c>
    </row>
    <row r="10848" spans="1:16" x14ac:dyDescent="0.25">
      <c r="A10848" t="s">
        <v>3296</v>
      </c>
      <c r="B10848" t="s">
        <v>2931</v>
      </c>
      <c r="C10848">
        <v>9807</v>
      </c>
      <c r="D10848" t="str">
        <f>"167566274   "</f>
        <v xml:space="preserve">167566274   </v>
      </c>
      <c r="E10848" t="s">
        <v>2845</v>
      </c>
      <c r="F10848" t="s">
        <v>2847</v>
      </c>
      <c r="G10848">
        <v>281.52</v>
      </c>
      <c r="H10848">
        <v>250611</v>
      </c>
      <c r="I10848">
        <v>4900</v>
      </c>
      <c r="J10848" t="s">
        <v>2846</v>
      </c>
      <c r="K10848">
        <v>486.47</v>
      </c>
      <c r="L10848">
        <v>0</v>
      </c>
      <c r="M10848">
        <v>59501</v>
      </c>
      <c r="N10848" t="s">
        <v>62</v>
      </c>
      <c r="O10848">
        <v>250729</v>
      </c>
      <c r="P10848">
        <v>281.52</v>
      </c>
    </row>
    <row r="10849" spans="1:16" x14ac:dyDescent="0.25">
      <c r="A10849" t="s">
        <v>3296</v>
      </c>
      <c r="B10849" t="s">
        <v>2931</v>
      </c>
      <c r="C10849">
        <v>9896</v>
      </c>
      <c r="D10849" t="str">
        <f>"168046576   "</f>
        <v xml:space="preserve">168046576   </v>
      </c>
      <c r="E10849" t="s">
        <v>2845</v>
      </c>
      <c r="F10849" t="s">
        <v>2847</v>
      </c>
      <c r="G10849">
        <v>-29.37</v>
      </c>
      <c r="H10849">
        <v>250703</v>
      </c>
      <c r="I10849">
        <v>4900</v>
      </c>
      <c r="J10849" t="s">
        <v>2846</v>
      </c>
      <c r="K10849">
        <v>389.65</v>
      </c>
      <c r="L10849">
        <v>0</v>
      </c>
      <c r="M10849">
        <v>17808</v>
      </c>
      <c r="N10849" t="s">
        <v>24</v>
      </c>
      <c r="O10849">
        <v>250801</v>
      </c>
      <c r="P10849">
        <v>-29.37</v>
      </c>
    </row>
    <row r="10850" spans="1:16" x14ac:dyDescent="0.25">
      <c r="A10850" t="s">
        <v>3296</v>
      </c>
      <c r="B10850" t="s">
        <v>2931</v>
      </c>
      <c r="C10850">
        <v>9896</v>
      </c>
      <c r="D10850" t="str">
        <f>"168046576   "</f>
        <v xml:space="preserve">168046576   </v>
      </c>
      <c r="E10850" t="s">
        <v>2845</v>
      </c>
      <c r="F10850" t="s">
        <v>2847</v>
      </c>
      <c r="G10850">
        <v>419.02</v>
      </c>
      <c r="H10850">
        <v>250703</v>
      </c>
      <c r="I10850">
        <v>4900</v>
      </c>
      <c r="J10850" t="s">
        <v>2846</v>
      </c>
      <c r="K10850">
        <v>389.65</v>
      </c>
      <c r="L10850">
        <v>0</v>
      </c>
      <c r="M10850">
        <v>69501</v>
      </c>
      <c r="N10850" t="s">
        <v>123</v>
      </c>
      <c r="O10850">
        <v>250801</v>
      </c>
      <c r="P10850">
        <v>419.02</v>
      </c>
    </row>
    <row r="10851" spans="1:16" x14ac:dyDescent="0.25">
      <c r="A10851" t="s">
        <v>3296</v>
      </c>
      <c r="B10851" t="s">
        <v>2931</v>
      </c>
      <c r="C10851">
        <v>10373</v>
      </c>
      <c r="D10851" t="str">
        <f>"168701233   "</f>
        <v xml:space="preserve">168701233   </v>
      </c>
      <c r="E10851" t="s">
        <v>2845</v>
      </c>
      <c r="F10851" t="s">
        <v>2847</v>
      </c>
      <c r="G10851">
        <v>393.46</v>
      </c>
      <c r="H10851">
        <v>250731</v>
      </c>
      <c r="I10851">
        <v>4900</v>
      </c>
      <c r="J10851" t="s">
        <v>2846</v>
      </c>
      <c r="K10851">
        <v>932.57</v>
      </c>
      <c r="L10851">
        <v>0</v>
      </c>
      <c r="M10851">
        <v>67522</v>
      </c>
      <c r="N10851" t="s">
        <v>121</v>
      </c>
      <c r="O10851">
        <v>250818</v>
      </c>
      <c r="P10851">
        <v>393.46</v>
      </c>
    </row>
    <row r="10852" spans="1:16" x14ac:dyDescent="0.25">
      <c r="A10852" t="s">
        <v>3296</v>
      </c>
      <c r="B10852" t="s">
        <v>2931</v>
      </c>
      <c r="C10852">
        <v>10686</v>
      </c>
      <c r="D10852" t="str">
        <f>"168943526   "</f>
        <v xml:space="preserve">168943526   </v>
      </c>
      <c r="E10852" t="s">
        <v>2845</v>
      </c>
      <c r="F10852" t="s">
        <v>2847</v>
      </c>
      <c r="G10852">
        <v>154.99</v>
      </c>
      <c r="H10852">
        <v>250811</v>
      </c>
      <c r="I10852">
        <v>4900</v>
      </c>
      <c r="J10852" t="s">
        <v>2846</v>
      </c>
      <c r="K10852">
        <v>369.74</v>
      </c>
      <c r="L10852">
        <v>0</v>
      </c>
      <c r="M10852">
        <v>66756</v>
      </c>
      <c r="N10852" t="s">
        <v>120</v>
      </c>
      <c r="O10852">
        <v>250821</v>
      </c>
      <c r="P10852">
        <v>154.99</v>
      </c>
    </row>
    <row r="10853" spans="1:16" x14ac:dyDescent="0.25">
      <c r="A10853" t="s">
        <v>3296</v>
      </c>
      <c r="B10853" t="s">
        <v>2931</v>
      </c>
      <c r="C10853">
        <v>10692</v>
      </c>
      <c r="D10853" t="str">
        <f>"168943521   "</f>
        <v xml:space="preserve">168943521   </v>
      </c>
      <c r="E10853" t="s">
        <v>2845</v>
      </c>
      <c r="F10853" t="s">
        <v>2847</v>
      </c>
      <c r="G10853">
        <v>336.14</v>
      </c>
      <c r="H10853">
        <v>250811</v>
      </c>
      <c r="I10853">
        <v>4900</v>
      </c>
      <c r="J10853" t="s">
        <v>2846</v>
      </c>
      <c r="K10853">
        <v>801.9</v>
      </c>
      <c r="L10853">
        <v>0</v>
      </c>
      <c r="M10853">
        <v>67522</v>
      </c>
      <c r="N10853" t="s">
        <v>121</v>
      </c>
      <c r="O10853">
        <v>250821</v>
      </c>
      <c r="P10853">
        <v>336.14</v>
      </c>
    </row>
    <row r="10854" spans="1:16" x14ac:dyDescent="0.25">
      <c r="A10854" t="s">
        <v>3296</v>
      </c>
      <c r="B10854" t="s">
        <v>2931</v>
      </c>
      <c r="C10854">
        <v>10693</v>
      </c>
      <c r="D10854" t="str">
        <f>"168943286   "</f>
        <v xml:space="preserve">168943286   </v>
      </c>
      <c r="E10854" t="s">
        <v>2845</v>
      </c>
      <c r="F10854" t="s">
        <v>2847</v>
      </c>
      <c r="G10854">
        <v>322.83999999999997</v>
      </c>
      <c r="H10854">
        <v>250811</v>
      </c>
      <c r="I10854">
        <v>4900</v>
      </c>
      <c r="J10854" t="s">
        <v>2846</v>
      </c>
      <c r="K10854">
        <v>645.67999999999995</v>
      </c>
      <c r="L10854">
        <v>0</v>
      </c>
      <c r="M10854">
        <v>49701</v>
      </c>
      <c r="N10854" t="s">
        <v>111</v>
      </c>
      <c r="O10854">
        <v>250821</v>
      </c>
      <c r="P10854">
        <v>322.83999999999997</v>
      </c>
    </row>
    <row r="10855" spans="1:16" x14ac:dyDescent="0.25">
      <c r="A10855" t="s">
        <v>3296</v>
      </c>
      <c r="B10855" t="s">
        <v>2931</v>
      </c>
      <c r="C10855">
        <v>10695</v>
      </c>
      <c r="D10855" t="str">
        <f>"168943296   "</f>
        <v xml:space="preserve">168943296   </v>
      </c>
      <c r="E10855" t="s">
        <v>2845</v>
      </c>
      <c r="F10855" t="s">
        <v>2847</v>
      </c>
      <c r="G10855">
        <v>127.38</v>
      </c>
      <c r="H10855">
        <v>250811</v>
      </c>
      <c r="I10855">
        <v>4900</v>
      </c>
      <c r="J10855" t="s">
        <v>2846</v>
      </c>
      <c r="K10855">
        <v>254.75</v>
      </c>
      <c r="L10855">
        <v>0</v>
      </c>
      <c r="M10855">
        <v>49701</v>
      </c>
      <c r="N10855" t="s">
        <v>111</v>
      </c>
      <c r="O10855">
        <v>250821</v>
      </c>
      <c r="P10855">
        <v>127.38</v>
      </c>
    </row>
    <row r="10856" spans="1:16" x14ac:dyDescent="0.25">
      <c r="A10856" t="s">
        <v>3296</v>
      </c>
      <c r="B10856" t="s">
        <v>2931</v>
      </c>
      <c r="C10856">
        <v>10700</v>
      </c>
      <c r="D10856" t="str">
        <f>"168943516   "</f>
        <v xml:space="preserve">168943516   </v>
      </c>
      <c r="E10856" t="s">
        <v>2845</v>
      </c>
      <c r="F10856" t="s">
        <v>2847</v>
      </c>
      <c r="G10856">
        <v>357.25</v>
      </c>
      <c r="H10856">
        <v>250811</v>
      </c>
      <c r="I10856">
        <v>4900</v>
      </c>
      <c r="J10856" t="s">
        <v>2846</v>
      </c>
      <c r="K10856">
        <v>852.27</v>
      </c>
      <c r="L10856">
        <v>0</v>
      </c>
      <c r="M10856">
        <v>69111</v>
      </c>
      <c r="N10856" t="s">
        <v>657</v>
      </c>
      <c r="O10856">
        <v>250821</v>
      </c>
      <c r="P10856">
        <v>357.25</v>
      </c>
    </row>
    <row r="10857" spans="1:16" x14ac:dyDescent="0.25">
      <c r="A10857" t="s">
        <v>3296</v>
      </c>
      <c r="B10857" t="s">
        <v>2931</v>
      </c>
      <c r="C10857">
        <v>10734</v>
      </c>
      <c r="D10857" t="str">
        <f>"168743625   "</f>
        <v xml:space="preserve">168743625   </v>
      </c>
      <c r="E10857" t="s">
        <v>2845</v>
      </c>
      <c r="F10857" t="s">
        <v>2847</v>
      </c>
      <c r="G10857">
        <v>90.38</v>
      </c>
      <c r="H10857">
        <v>250802</v>
      </c>
      <c r="I10857">
        <v>4900</v>
      </c>
      <c r="J10857" t="s">
        <v>2846</v>
      </c>
      <c r="K10857">
        <v>217.04</v>
      </c>
      <c r="L10857">
        <v>0</v>
      </c>
      <c r="M10857">
        <v>17808</v>
      </c>
      <c r="N10857" t="s">
        <v>24</v>
      </c>
      <c r="O10857">
        <v>250821</v>
      </c>
      <c r="P10857">
        <v>90.38</v>
      </c>
    </row>
    <row r="10858" spans="1:16" x14ac:dyDescent="0.25">
      <c r="A10858" t="s">
        <v>3296</v>
      </c>
      <c r="B10858" t="s">
        <v>2931</v>
      </c>
      <c r="C10858">
        <v>10735</v>
      </c>
      <c r="D10858" t="str">
        <f>"168812711   "</f>
        <v xml:space="preserve">168812711   </v>
      </c>
      <c r="E10858" t="s">
        <v>2845</v>
      </c>
      <c r="F10858" t="s">
        <v>2847</v>
      </c>
      <c r="G10858">
        <v>248.53</v>
      </c>
      <c r="H10858">
        <v>250805</v>
      </c>
      <c r="I10858">
        <v>4900</v>
      </c>
      <c r="J10858" t="s">
        <v>2846</v>
      </c>
      <c r="K10858">
        <v>608.82000000000005</v>
      </c>
      <c r="L10858">
        <v>0</v>
      </c>
      <c r="M10858">
        <v>69501</v>
      </c>
      <c r="N10858" t="s">
        <v>123</v>
      </c>
      <c r="O10858">
        <v>250821</v>
      </c>
      <c r="P10858">
        <v>248.53</v>
      </c>
    </row>
    <row r="10859" spans="1:16" x14ac:dyDescent="0.25">
      <c r="A10859" t="s">
        <v>3296</v>
      </c>
      <c r="B10859" t="s">
        <v>2931</v>
      </c>
      <c r="C10859">
        <v>10742</v>
      </c>
      <c r="D10859" t="str">
        <f>"169077953   "</f>
        <v xml:space="preserve">169077953   </v>
      </c>
      <c r="E10859" t="s">
        <v>2845</v>
      </c>
      <c r="F10859" t="s">
        <v>2847</v>
      </c>
      <c r="G10859">
        <v>494.94</v>
      </c>
      <c r="H10859">
        <v>250817</v>
      </c>
      <c r="I10859">
        <v>4900</v>
      </c>
      <c r="J10859" t="s">
        <v>2846</v>
      </c>
      <c r="K10859">
        <v>989.88</v>
      </c>
      <c r="L10859">
        <v>0</v>
      </c>
      <c r="M10859">
        <v>49701</v>
      </c>
      <c r="N10859" t="s">
        <v>111</v>
      </c>
      <c r="O10859">
        <v>250821</v>
      </c>
      <c r="P10859">
        <v>494.94</v>
      </c>
    </row>
    <row r="10860" spans="1:16" x14ac:dyDescent="0.25">
      <c r="A10860" t="s">
        <v>3296</v>
      </c>
      <c r="B10860" t="s">
        <v>2931</v>
      </c>
      <c r="C10860">
        <v>10745</v>
      </c>
      <c r="D10860" t="str">
        <f>"169077947   "</f>
        <v xml:space="preserve">169077947   </v>
      </c>
      <c r="E10860" t="s">
        <v>2845</v>
      </c>
      <c r="F10860" t="s">
        <v>2847</v>
      </c>
      <c r="G10860">
        <v>499.32</v>
      </c>
      <c r="H10860">
        <v>250817</v>
      </c>
      <c r="I10860">
        <v>4900</v>
      </c>
      <c r="J10860" t="s">
        <v>2846</v>
      </c>
      <c r="K10860">
        <v>998.64</v>
      </c>
      <c r="L10860">
        <v>0</v>
      </c>
      <c r="M10860">
        <v>49701</v>
      </c>
      <c r="N10860" t="s">
        <v>111</v>
      </c>
      <c r="O10860">
        <v>250821</v>
      </c>
      <c r="P10860">
        <v>499.32</v>
      </c>
    </row>
    <row r="10861" spans="1:16" x14ac:dyDescent="0.25">
      <c r="A10861" t="s">
        <v>3296</v>
      </c>
      <c r="B10861" t="s">
        <v>2931</v>
      </c>
      <c r="C10861">
        <v>10748</v>
      </c>
      <c r="D10861" t="str">
        <f>"169078132   "</f>
        <v xml:space="preserve">169078132   </v>
      </c>
      <c r="E10861" t="s">
        <v>2845</v>
      </c>
      <c r="F10861" t="s">
        <v>2847</v>
      </c>
      <c r="G10861">
        <v>290.72000000000003</v>
      </c>
      <c r="H10861">
        <v>250817</v>
      </c>
      <c r="I10861">
        <v>4900</v>
      </c>
      <c r="J10861" t="s">
        <v>2846</v>
      </c>
      <c r="K10861">
        <v>581.44000000000005</v>
      </c>
      <c r="L10861">
        <v>0</v>
      </c>
      <c r="M10861">
        <v>49701</v>
      </c>
      <c r="N10861" t="s">
        <v>111</v>
      </c>
      <c r="O10861">
        <v>250821</v>
      </c>
      <c r="P10861">
        <v>290.72000000000003</v>
      </c>
    </row>
    <row r="10862" spans="1:16" x14ac:dyDescent="0.25">
      <c r="A10862" t="s">
        <v>3296</v>
      </c>
      <c r="B10862" t="s">
        <v>2931</v>
      </c>
      <c r="C10862">
        <v>10750</v>
      </c>
      <c r="D10862" t="str">
        <f>"168900753   "</f>
        <v xml:space="preserve">168900753   </v>
      </c>
      <c r="E10862" t="s">
        <v>2845</v>
      </c>
      <c r="F10862" t="s">
        <v>2847</v>
      </c>
      <c r="G10862">
        <v>71.36</v>
      </c>
      <c r="H10862">
        <v>250809</v>
      </c>
      <c r="I10862">
        <v>4900</v>
      </c>
      <c r="J10862" t="s">
        <v>2846</v>
      </c>
      <c r="K10862">
        <v>142.71</v>
      </c>
      <c r="L10862">
        <v>0</v>
      </c>
      <c r="M10862">
        <v>49702</v>
      </c>
      <c r="N10862" t="s">
        <v>112</v>
      </c>
      <c r="O10862">
        <v>250821</v>
      </c>
      <c r="P10862">
        <v>71.36</v>
      </c>
    </row>
    <row r="10863" spans="1:16" x14ac:dyDescent="0.25">
      <c r="A10863" t="s">
        <v>3296</v>
      </c>
      <c r="B10863" t="s">
        <v>2931</v>
      </c>
      <c r="C10863">
        <v>10826</v>
      </c>
      <c r="D10863" t="str">
        <f>"169077969   "</f>
        <v xml:space="preserve">169077969   </v>
      </c>
      <c r="E10863" t="s">
        <v>2845</v>
      </c>
      <c r="F10863" t="s">
        <v>2847</v>
      </c>
      <c r="G10863">
        <v>503.7</v>
      </c>
      <c r="H10863">
        <v>250817</v>
      </c>
      <c r="I10863">
        <v>4900</v>
      </c>
      <c r="J10863" t="s">
        <v>2846</v>
      </c>
      <c r="K10863">
        <v>1007.4</v>
      </c>
      <c r="L10863">
        <v>0</v>
      </c>
      <c r="M10863">
        <v>46556</v>
      </c>
      <c r="N10863" t="s">
        <v>458</v>
      </c>
      <c r="O10863">
        <v>250825</v>
      </c>
      <c r="P10863">
        <v>503.7</v>
      </c>
    </row>
    <row r="10864" spans="1:16" x14ac:dyDescent="0.25">
      <c r="A10864" t="s">
        <v>3296</v>
      </c>
      <c r="B10864" t="s">
        <v>2931</v>
      </c>
      <c r="C10864">
        <v>10886</v>
      </c>
      <c r="D10864" t="str">
        <f>"169078122   "</f>
        <v xml:space="preserve">169078122   </v>
      </c>
      <c r="E10864" t="s">
        <v>2845</v>
      </c>
      <c r="F10864" t="s">
        <v>2847</v>
      </c>
      <c r="G10864">
        <v>150.03</v>
      </c>
      <c r="H10864">
        <v>250817</v>
      </c>
      <c r="I10864">
        <v>4900</v>
      </c>
      <c r="J10864" t="s">
        <v>2846</v>
      </c>
      <c r="K10864">
        <v>300.06</v>
      </c>
      <c r="L10864">
        <v>0</v>
      </c>
      <c r="M10864">
        <v>46556</v>
      </c>
      <c r="N10864" t="s">
        <v>458</v>
      </c>
      <c r="O10864">
        <v>250826</v>
      </c>
      <c r="P10864">
        <v>150.03</v>
      </c>
    </row>
    <row r="10865" spans="1:16" x14ac:dyDescent="0.25">
      <c r="A10865" t="s">
        <v>3296</v>
      </c>
      <c r="B10865" t="s">
        <v>2931</v>
      </c>
      <c r="C10865">
        <v>11799</v>
      </c>
      <c r="D10865" t="str">
        <f>"169401925   "</f>
        <v xml:space="preserve">169401925   </v>
      </c>
      <c r="E10865" t="s">
        <v>2845</v>
      </c>
      <c r="F10865" t="s">
        <v>2847</v>
      </c>
      <c r="G10865">
        <v>105.77</v>
      </c>
      <c r="H10865">
        <v>250831</v>
      </c>
      <c r="I10865">
        <v>4900</v>
      </c>
      <c r="J10865" t="s">
        <v>2846</v>
      </c>
      <c r="K10865">
        <v>313.88</v>
      </c>
      <c r="L10865">
        <v>0</v>
      </c>
      <c r="M10865">
        <v>17808</v>
      </c>
      <c r="N10865" t="s">
        <v>24</v>
      </c>
      <c r="O10865">
        <v>250910</v>
      </c>
      <c r="P10865">
        <v>105.77</v>
      </c>
    </row>
    <row r="10866" spans="1:16" x14ac:dyDescent="0.25">
      <c r="A10866" t="s">
        <v>3296</v>
      </c>
      <c r="B10866" t="s">
        <v>2931</v>
      </c>
      <c r="C10866">
        <v>12051</v>
      </c>
      <c r="D10866" t="str">
        <f>"169440178   "</f>
        <v xml:space="preserve">169440178   </v>
      </c>
      <c r="E10866" t="s">
        <v>2845</v>
      </c>
      <c r="F10866" t="s">
        <v>2847</v>
      </c>
      <c r="G10866">
        <v>96.5</v>
      </c>
      <c r="H10866">
        <v>250901</v>
      </c>
      <c r="I10866">
        <v>4900</v>
      </c>
      <c r="J10866" t="s">
        <v>2846</v>
      </c>
      <c r="K10866">
        <v>288.70999999999998</v>
      </c>
      <c r="L10866">
        <v>0</v>
      </c>
      <c r="M10866">
        <v>17809</v>
      </c>
      <c r="N10866" t="s">
        <v>25</v>
      </c>
      <c r="O10866">
        <v>250915</v>
      </c>
      <c r="P10866">
        <v>96.5</v>
      </c>
    </row>
    <row r="10867" spans="1:16" x14ac:dyDescent="0.25">
      <c r="A10867" t="s">
        <v>3296</v>
      </c>
      <c r="B10867" t="s">
        <v>2931</v>
      </c>
      <c r="C10867">
        <v>12113</v>
      </c>
      <c r="D10867" t="str">
        <f>"169460954   "</f>
        <v xml:space="preserve">169460954   </v>
      </c>
      <c r="E10867" t="s">
        <v>2845</v>
      </c>
      <c r="F10867" t="s">
        <v>2847</v>
      </c>
      <c r="G10867">
        <v>295.12</v>
      </c>
      <c r="H10867">
        <v>250902</v>
      </c>
      <c r="I10867">
        <v>4900</v>
      </c>
      <c r="J10867" t="s">
        <v>2846</v>
      </c>
      <c r="K10867">
        <v>890.23</v>
      </c>
      <c r="L10867">
        <v>0</v>
      </c>
      <c r="M10867">
        <v>17808</v>
      </c>
      <c r="N10867" t="s">
        <v>24</v>
      </c>
      <c r="O10867">
        <v>250916</v>
      </c>
      <c r="P10867">
        <v>295.12</v>
      </c>
    </row>
    <row r="10868" spans="1:16" x14ac:dyDescent="0.25">
      <c r="A10868" t="s">
        <v>3296</v>
      </c>
      <c r="B10868" t="s">
        <v>2931</v>
      </c>
      <c r="C10868">
        <v>12838</v>
      </c>
      <c r="D10868" t="str">
        <f>"068220385   "</f>
        <v xml:space="preserve">068220385   </v>
      </c>
      <c r="E10868" t="s">
        <v>2845</v>
      </c>
      <c r="F10868" t="s">
        <v>2847</v>
      </c>
      <c r="G10868">
        <v>10</v>
      </c>
      <c r="H10868">
        <v>250918</v>
      </c>
      <c r="I10868">
        <v>4900</v>
      </c>
      <c r="J10868" t="s">
        <v>2846</v>
      </c>
      <c r="K10868">
        <v>10</v>
      </c>
      <c r="L10868">
        <v>0</v>
      </c>
      <c r="M10868">
        <v>11001</v>
      </c>
      <c r="N10868" t="s">
        <v>93</v>
      </c>
      <c r="O10868">
        <v>250930</v>
      </c>
      <c r="P10868">
        <v>10</v>
      </c>
    </row>
    <row r="10869" spans="1:16" x14ac:dyDescent="0.25">
      <c r="A10869" t="s">
        <v>3296</v>
      </c>
      <c r="B10869" t="s">
        <v>2931</v>
      </c>
      <c r="C10869">
        <v>12870</v>
      </c>
      <c r="D10869" t="str">
        <f>"169758712   "</f>
        <v xml:space="preserve">169758712   </v>
      </c>
      <c r="E10869" t="s">
        <v>2845</v>
      </c>
      <c r="F10869" t="s">
        <v>2847</v>
      </c>
      <c r="G10869">
        <v>135.36000000000001</v>
      </c>
      <c r="H10869">
        <v>250915</v>
      </c>
      <c r="I10869">
        <v>4900</v>
      </c>
      <c r="J10869" t="s">
        <v>2846</v>
      </c>
      <c r="K10869">
        <v>461.72</v>
      </c>
      <c r="L10869">
        <v>0</v>
      </c>
      <c r="M10869">
        <v>67554</v>
      </c>
      <c r="N10869" t="s">
        <v>317</v>
      </c>
      <c r="O10869">
        <v>250930</v>
      </c>
      <c r="P10869">
        <v>135.36000000000001</v>
      </c>
    </row>
    <row r="10870" spans="1:16" x14ac:dyDescent="0.25">
      <c r="A10870" t="s">
        <v>3296</v>
      </c>
      <c r="B10870" t="s">
        <v>2931</v>
      </c>
      <c r="C10870">
        <v>12874</v>
      </c>
      <c r="D10870" t="str">
        <f>"169785123   "</f>
        <v xml:space="preserve">169785123   </v>
      </c>
      <c r="E10870" t="s">
        <v>2845</v>
      </c>
      <c r="F10870" t="s">
        <v>2847</v>
      </c>
      <c r="G10870">
        <v>288.61</v>
      </c>
      <c r="H10870">
        <v>250916</v>
      </c>
      <c r="I10870">
        <v>4900</v>
      </c>
      <c r="J10870" t="s">
        <v>2846</v>
      </c>
      <c r="K10870">
        <v>989.51</v>
      </c>
      <c r="L10870">
        <v>0</v>
      </c>
      <c r="M10870">
        <v>17808</v>
      </c>
      <c r="N10870" t="s">
        <v>24</v>
      </c>
      <c r="O10870">
        <v>250930</v>
      </c>
      <c r="P10870">
        <v>288.61</v>
      </c>
    </row>
    <row r="10871" spans="1:16" x14ac:dyDescent="0.25">
      <c r="A10871" t="s">
        <v>3296</v>
      </c>
      <c r="B10871" t="s">
        <v>2931</v>
      </c>
      <c r="C10871">
        <v>13157</v>
      </c>
      <c r="D10871" t="str">
        <f>"169999727   "</f>
        <v xml:space="preserve">169999727   </v>
      </c>
      <c r="E10871" t="s">
        <v>2845</v>
      </c>
      <c r="F10871" t="s">
        <v>2847</v>
      </c>
      <c r="G10871">
        <v>55.13</v>
      </c>
      <c r="H10871">
        <v>250926</v>
      </c>
      <c r="I10871">
        <v>4900</v>
      </c>
      <c r="J10871" t="s">
        <v>2846</v>
      </c>
      <c r="K10871">
        <v>188.07</v>
      </c>
      <c r="L10871">
        <v>0</v>
      </c>
      <c r="M10871">
        <v>11001</v>
      </c>
      <c r="N10871" t="s">
        <v>93</v>
      </c>
      <c r="O10871">
        <v>251006</v>
      </c>
      <c r="P10871">
        <v>55.13</v>
      </c>
    </row>
    <row r="10872" spans="1:16" x14ac:dyDescent="0.25">
      <c r="A10872" t="s">
        <v>3296</v>
      </c>
      <c r="B10872" t="s">
        <v>2931</v>
      </c>
      <c r="C10872">
        <v>14173</v>
      </c>
      <c r="D10872" t="str">
        <f>"170567138   "</f>
        <v xml:space="preserve">170567138   </v>
      </c>
      <c r="E10872" t="s">
        <v>2845</v>
      </c>
      <c r="F10872" t="s">
        <v>2847</v>
      </c>
      <c r="G10872">
        <v>164.83</v>
      </c>
      <c r="H10872">
        <v>251020</v>
      </c>
      <c r="I10872">
        <v>4900</v>
      </c>
      <c r="J10872" t="s">
        <v>2846</v>
      </c>
      <c r="K10872">
        <v>164.83</v>
      </c>
      <c r="L10872">
        <v>0</v>
      </c>
      <c r="M10872">
        <v>56559</v>
      </c>
      <c r="N10872" t="s">
        <v>51</v>
      </c>
      <c r="O10872">
        <v>251024</v>
      </c>
      <c r="P10872">
        <v>164.83</v>
      </c>
    </row>
    <row r="10873" spans="1:16" x14ac:dyDescent="0.25">
      <c r="A10873" t="s">
        <v>3296</v>
      </c>
      <c r="B10873" t="s">
        <v>2931</v>
      </c>
      <c r="C10873">
        <v>14174</v>
      </c>
      <c r="D10873" t="str">
        <f>"170543565   "</f>
        <v xml:space="preserve">170543565   </v>
      </c>
      <c r="E10873" t="s">
        <v>2845</v>
      </c>
      <c r="F10873" t="s">
        <v>2847</v>
      </c>
      <c r="G10873">
        <v>123.8</v>
      </c>
      <c r="H10873">
        <v>251019</v>
      </c>
      <c r="I10873">
        <v>4900</v>
      </c>
      <c r="J10873" t="s">
        <v>2846</v>
      </c>
      <c r="K10873">
        <v>610.64</v>
      </c>
      <c r="L10873">
        <v>0</v>
      </c>
      <c r="M10873">
        <v>69702</v>
      </c>
      <c r="N10873" t="s">
        <v>124</v>
      </c>
      <c r="O10873">
        <v>251024</v>
      </c>
      <c r="P10873">
        <v>123.8</v>
      </c>
    </row>
    <row r="10874" spans="1:16" x14ac:dyDescent="0.25">
      <c r="A10874" t="s">
        <v>3296</v>
      </c>
      <c r="B10874" t="s">
        <v>2931</v>
      </c>
      <c r="C10874">
        <v>14506</v>
      </c>
      <c r="D10874" t="str">
        <f>"170701308   "</f>
        <v xml:space="preserve">170701308   </v>
      </c>
      <c r="E10874" t="s">
        <v>2845</v>
      </c>
      <c r="F10874" t="s">
        <v>2847</v>
      </c>
      <c r="G10874">
        <v>2.87</v>
      </c>
      <c r="H10874">
        <v>251026</v>
      </c>
      <c r="I10874">
        <v>4900</v>
      </c>
      <c r="J10874" t="s">
        <v>2846</v>
      </c>
      <c r="K10874">
        <v>344.19</v>
      </c>
      <c r="L10874">
        <v>0</v>
      </c>
      <c r="M10874">
        <v>13501</v>
      </c>
      <c r="N10874" t="s">
        <v>66</v>
      </c>
      <c r="O10874">
        <v>251103</v>
      </c>
      <c r="P10874">
        <v>2.87</v>
      </c>
    </row>
    <row r="10875" spans="1:16" x14ac:dyDescent="0.25">
      <c r="A10875" t="s">
        <v>3296</v>
      </c>
      <c r="B10875" t="s">
        <v>2931</v>
      </c>
      <c r="C10875">
        <v>14506</v>
      </c>
      <c r="D10875" t="str">
        <f>"170701308   "</f>
        <v xml:space="preserve">170701308   </v>
      </c>
      <c r="E10875" t="s">
        <v>2845</v>
      </c>
      <c r="F10875" t="s">
        <v>2847</v>
      </c>
      <c r="G10875">
        <v>18.170000000000002</v>
      </c>
      <c r="H10875">
        <v>251026</v>
      </c>
      <c r="I10875">
        <v>4900</v>
      </c>
      <c r="J10875" t="s">
        <v>2846</v>
      </c>
      <c r="K10875">
        <v>344.19</v>
      </c>
      <c r="L10875">
        <v>0</v>
      </c>
      <c r="M10875">
        <v>16121</v>
      </c>
      <c r="N10875" t="s">
        <v>127</v>
      </c>
      <c r="O10875">
        <v>251103</v>
      </c>
      <c r="P10875">
        <v>18.170000000000002</v>
      </c>
    </row>
    <row r="10876" spans="1:16" x14ac:dyDescent="0.25">
      <c r="A10876" t="s">
        <v>3296</v>
      </c>
      <c r="B10876" t="s">
        <v>2931</v>
      </c>
      <c r="C10876">
        <v>14506</v>
      </c>
      <c r="D10876" t="str">
        <f>"170701308   "</f>
        <v xml:space="preserve">170701308   </v>
      </c>
      <c r="E10876" t="s">
        <v>2845</v>
      </c>
      <c r="F10876" t="s">
        <v>2847</v>
      </c>
      <c r="G10876">
        <v>18.170000000000002</v>
      </c>
      <c r="H10876">
        <v>251026</v>
      </c>
      <c r="I10876">
        <v>4900</v>
      </c>
      <c r="J10876" t="s">
        <v>2846</v>
      </c>
      <c r="K10876">
        <v>344.19</v>
      </c>
      <c r="L10876">
        <v>0</v>
      </c>
      <c r="M10876">
        <v>16820</v>
      </c>
      <c r="N10876" t="s">
        <v>128</v>
      </c>
      <c r="O10876">
        <v>251103</v>
      </c>
      <c r="P10876">
        <v>18.170000000000002</v>
      </c>
    </row>
    <row r="10877" spans="1:16" x14ac:dyDescent="0.25">
      <c r="A10877" t="s">
        <v>3296</v>
      </c>
      <c r="B10877" t="s">
        <v>2931</v>
      </c>
      <c r="C10877">
        <v>14506</v>
      </c>
      <c r="D10877" t="str">
        <f>"170701308   "</f>
        <v xml:space="preserve">170701308   </v>
      </c>
      <c r="E10877" t="s">
        <v>2845</v>
      </c>
      <c r="F10877" t="s">
        <v>2847</v>
      </c>
      <c r="G10877">
        <v>18.16</v>
      </c>
      <c r="H10877">
        <v>251026</v>
      </c>
      <c r="I10877">
        <v>4900</v>
      </c>
      <c r="J10877" t="s">
        <v>2846</v>
      </c>
      <c r="K10877">
        <v>344.19</v>
      </c>
      <c r="L10877">
        <v>0</v>
      </c>
      <c r="M10877">
        <v>17538</v>
      </c>
      <c r="N10877" t="s">
        <v>129</v>
      </c>
      <c r="O10877">
        <v>251103</v>
      </c>
      <c r="P10877">
        <v>18.16</v>
      </c>
    </row>
    <row r="10878" spans="1:16" x14ac:dyDescent="0.25">
      <c r="A10878" t="s">
        <v>3296</v>
      </c>
      <c r="B10878" t="s">
        <v>2931</v>
      </c>
      <c r="C10878">
        <v>16824</v>
      </c>
      <c r="D10878" t="str">
        <f>"171321810   "</f>
        <v xml:space="preserve">171321810   </v>
      </c>
      <c r="E10878" t="s">
        <v>2845</v>
      </c>
      <c r="F10878" t="s">
        <v>2847</v>
      </c>
      <c r="G10878">
        <v>448.58</v>
      </c>
      <c r="H10878">
        <v>251123</v>
      </c>
      <c r="I10878">
        <v>4900</v>
      </c>
      <c r="J10878" t="s">
        <v>2846</v>
      </c>
      <c r="K10878">
        <v>448.58</v>
      </c>
      <c r="L10878">
        <v>0</v>
      </c>
      <c r="M10878">
        <v>59702</v>
      </c>
      <c r="N10878" t="s">
        <v>45</v>
      </c>
      <c r="O10878">
        <v>251212</v>
      </c>
      <c r="P10878">
        <v>448.58</v>
      </c>
    </row>
    <row r="10879" spans="1:16" x14ac:dyDescent="0.25">
      <c r="A10879" t="s">
        <v>3296</v>
      </c>
      <c r="B10879" t="s">
        <v>2931</v>
      </c>
      <c r="C10879">
        <v>11129</v>
      </c>
      <c r="D10879" t="str">
        <f>"105785      "</f>
        <v xml:space="preserve">105785      </v>
      </c>
      <c r="E10879" t="s">
        <v>2249</v>
      </c>
      <c r="F10879" t="s">
        <v>2250</v>
      </c>
      <c r="G10879">
        <v>60</v>
      </c>
      <c r="H10879">
        <v>250820</v>
      </c>
      <c r="I10879">
        <v>4440</v>
      </c>
      <c r="J10879" t="s">
        <v>346</v>
      </c>
      <c r="K10879">
        <v>170</v>
      </c>
      <c r="L10879">
        <v>7.37</v>
      </c>
      <c r="M10879">
        <v>17711</v>
      </c>
      <c r="N10879" t="s">
        <v>155</v>
      </c>
      <c r="O10879">
        <v>250901</v>
      </c>
      <c r="P10879">
        <v>52.63</v>
      </c>
    </row>
    <row r="10880" spans="1:16" x14ac:dyDescent="0.25">
      <c r="A10880" t="s">
        <v>3296</v>
      </c>
      <c r="B10880" t="s">
        <v>2931</v>
      </c>
      <c r="C10880">
        <v>11129</v>
      </c>
      <c r="D10880" t="str">
        <f>"105785      "</f>
        <v xml:space="preserve">105785      </v>
      </c>
      <c r="E10880" t="s">
        <v>2249</v>
      </c>
      <c r="F10880" t="s">
        <v>2250</v>
      </c>
      <c r="G10880">
        <v>110</v>
      </c>
      <c r="H10880">
        <v>250820</v>
      </c>
      <c r="I10880">
        <v>4440</v>
      </c>
      <c r="J10880" t="s">
        <v>346</v>
      </c>
      <c r="K10880">
        <v>170</v>
      </c>
      <c r="L10880">
        <v>22.35</v>
      </c>
      <c r="M10880">
        <v>17711</v>
      </c>
      <c r="N10880" t="s">
        <v>155</v>
      </c>
      <c r="O10880">
        <v>250901</v>
      </c>
      <c r="P10880">
        <v>87.65</v>
      </c>
    </row>
    <row r="10881" spans="1:16" x14ac:dyDescent="0.25">
      <c r="A10881" t="s">
        <v>3296</v>
      </c>
      <c r="B10881" t="s">
        <v>2931</v>
      </c>
      <c r="C10881">
        <v>12986</v>
      </c>
      <c r="D10881" t="str">
        <f>"105823      "</f>
        <v xml:space="preserve">105823      </v>
      </c>
      <c r="E10881" t="s">
        <v>2249</v>
      </c>
      <c r="F10881" t="s">
        <v>2250</v>
      </c>
      <c r="G10881">
        <v>20</v>
      </c>
      <c r="H10881">
        <v>250923</v>
      </c>
      <c r="I10881">
        <v>4440</v>
      </c>
      <c r="J10881" t="s">
        <v>346</v>
      </c>
      <c r="K10881">
        <v>20</v>
      </c>
      <c r="L10881">
        <v>2.46</v>
      </c>
      <c r="M10881">
        <v>17711</v>
      </c>
      <c r="N10881" t="s">
        <v>155</v>
      </c>
      <c r="O10881">
        <v>251003</v>
      </c>
      <c r="P10881">
        <v>17.54</v>
      </c>
    </row>
    <row r="10882" spans="1:16" x14ac:dyDescent="0.25">
      <c r="A10882" t="s">
        <v>3296</v>
      </c>
      <c r="B10882" t="s">
        <v>2931</v>
      </c>
      <c r="C10882">
        <v>1109</v>
      </c>
      <c r="D10882" t="str">
        <f>"2234        "</f>
        <v xml:space="preserve">2234        </v>
      </c>
      <c r="E10882" t="s">
        <v>851</v>
      </c>
      <c r="F10882" t="s">
        <v>853</v>
      </c>
      <c r="G10882">
        <v>353.9</v>
      </c>
      <c r="H10882">
        <v>250131</v>
      </c>
      <c r="I10882">
        <v>4470</v>
      </c>
      <c r="J10882" t="s">
        <v>203</v>
      </c>
      <c r="K10882">
        <v>353.9</v>
      </c>
      <c r="L10882">
        <v>43.46</v>
      </c>
      <c r="M10882">
        <v>49807</v>
      </c>
      <c r="N10882" t="s">
        <v>852</v>
      </c>
      <c r="O10882">
        <v>250204</v>
      </c>
      <c r="P10882">
        <v>310.44</v>
      </c>
    </row>
    <row r="10883" spans="1:16" x14ac:dyDescent="0.25">
      <c r="A10883" t="s">
        <v>3296</v>
      </c>
      <c r="B10883" t="s">
        <v>2931</v>
      </c>
      <c r="C10883">
        <v>2915</v>
      </c>
      <c r="D10883" t="str">
        <f>"2338        "</f>
        <v xml:space="preserve">2338        </v>
      </c>
      <c r="E10883" t="s">
        <v>851</v>
      </c>
      <c r="F10883" t="s">
        <v>853</v>
      </c>
      <c r="G10883">
        <v>309.60000000000002</v>
      </c>
      <c r="H10883">
        <v>250228</v>
      </c>
      <c r="I10883">
        <v>4470</v>
      </c>
      <c r="J10883" t="s">
        <v>203</v>
      </c>
      <c r="K10883">
        <v>309.60000000000002</v>
      </c>
      <c r="L10883">
        <v>38.020000000000003</v>
      </c>
      <c r="M10883">
        <v>49807</v>
      </c>
      <c r="N10883" t="s">
        <v>852</v>
      </c>
      <c r="O10883">
        <v>250313</v>
      </c>
      <c r="P10883">
        <v>271.58</v>
      </c>
    </row>
    <row r="10884" spans="1:16" x14ac:dyDescent="0.25">
      <c r="A10884" t="s">
        <v>3296</v>
      </c>
      <c r="B10884" t="s">
        <v>2931</v>
      </c>
      <c r="C10884">
        <v>4587</v>
      </c>
      <c r="D10884" t="str">
        <f>"2416        "</f>
        <v xml:space="preserve">2416        </v>
      </c>
      <c r="E10884" t="s">
        <v>851</v>
      </c>
      <c r="F10884" t="s">
        <v>853</v>
      </c>
      <c r="G10884">
        <v>421</v>
      </c>
      <c r="H10884">
        <v>250331</v>
      </c>
      <c r="I10884">
        <v>4470</v>
      </c>
      <c r="J10884" t="s">
        <v>203</v>
      </c>
      <c r="K10884">
        <v>421</v>
      </c>
      <c r="L10884">
        <v>51.7</v>
      </c>
      <c r="M10884">
        <v>49807</v>
      </c>
      <c r="N10884" t="s">
        <v>852</v>
      </c>
      <c r="O10884">
        <v>250414</v>
      </c>
      <c r="P10884">
        <v>369.3</v>
      </c>
    </row>
    <row r="10885" spans="1:16" x14ac:dyDescent="0.25">
      <c r="A10885" t="s">
        <v>3296</v>
      </c>
      <c r="B10885" t="s">
        <v>2931</v>
      </c>
      <c r="C10885">
        <v>6062</v>
      </c>
      <c r="D10885" t="str">
        <f>"2528        "</f>
        <v xml:space="preserve">2528        </v>
      </c>
      <c r="E10885" t="s">
        <v>851</v>
      </c>
      <c r="F10885" t="s">
        <v>853</v>
      </c>
      <c r="G10885">
        <v>239</v>
      </c>
      <c r="H10885">
        <v>250430</v>
      </c>
      <c r="I10885">
        <v>4470</v>
      </c>
      <c r="J10885" t="s">
        <v>203</v>
      </c>
      <c r="K10885">
        <v>239</v>
      </c>
      <c r="L10885">
        <v>29.35</v>
      </c>
      <c r="M10885">
        <v>49807</v>
      </c>
      <c r="N10885" t="s">
        <v>852</v>
      </c>
      <c r="O10885">
        <v>250508</v>
      </c>
      <c r="P10885">
        <v>209.65</v>
      </c>
    </row>
    <row r="10886" spans="1:16" x14ac:dyDescent="0.25">
      <c r="A10886" t="s">
        <v>3296</v>
      </c>
      <c r="B10886" t="s">
        <v>2931</v>
      </c>
      <c r="C10886">
        <v>9429</v>
      </c>
      <c r="D10886" t="str">
        <f>"2703        "</f>
        <v xml:space="preserve">2703        </v>
      </c>
      <c r="E10886" t="s">
        <v>851</v>
      </c>
      <c r="F10886" t="s">
        <v>853</v>
      </c>
      <c r="G10886">
        <v>181.8</v>
      </c>
      <c r="H10886">
        <v>250630</v>
      </c>
      <c r="I10886">
        <v>4470</v>
      </c>
      <c r="J10886" t="s">
        <v>203</v>
      </c>
      <c r="K10886">
        <v>181.8</v>
      </c>
      <c r="L10886">
        <v>22.33</v>
      </c>
      <c r="M10886">
        <v>49807</v>
      </c>
      <c r="N10886" t="s">
        <v>852</v>
      </c>
      <c r="O10886">
        <v>250707</v>
      </c>
      <c r="P10886">
        <v>159.47</v>
      </c>
    </row>
    <row r="10887" spans="1:16" x14ac:dyDescent="0.25">
      <c r="A10887" t="s">
        <v>3296</v>
      </c>
      <c r="B10887" t="s">
        <v>2931</v>
      </c>
      <c r="C10887">
        <v>13625</v>
      </c>
      <c r="D10887" t="str">
        <f>"3051        "</f>
        <v xml:space="preserve">3051        </v>
      </c>
      <c r="E10887" t="s">
        <v>851</v>
      </c>
      <c r="F10887" t="s">
        <v>853</v>
      </c>
      <c r="G10887">
        <v>582.20000000000005</v>
      </c>
      <c r="H10887">
        <v>250930</v>
      </c>
      <c r="I10887">
        <v>4470</v>
      </c>
      <c r="J10887" t="s">
        <v>203</v>
      </c>
      <c r="K10887">
        <v>582.20000000000005</v>
      </c>
      <c r="L10887">
        <v>71.5</v>
      </c>
      <c r="M10887">
        <v>49807</v>
      </c>
      <c r="N10887" t="s">
        <v>852</v>
      </c>
      <c r="O10887">
        <v>251013</v>
      </c>
      <c r="P10887">
        <v>510.7</v>
      </c>
    </row>
    <row r="10888" spans="1:16" x14ac:dyDescent="0.25">
      <c r="A10888" t="s">
        <v>3296</v>
      </c>
      <c r="B10888" t="s">
        <v>2931</v>
      </c>
      <c r="C10888">
        <v>16277</v>
      </c>
      <c r="D10888" t="str">
        <f>"3262        "</f>
        <v xml:space="preserve">3262        </v>
      </c>
      <c r="E10888" t="s">
        <v>851</v>
      </c>
      <c r="F10888" t="s">
        <v>853</v>
      </c>
      <c r="G10888">
        <v>613.4</v>
      </c>
      <c r="H10888">
        <v>251130</v>
      </c>
      <c r="I10888">
        <v>4470</v>
      </c>
      <c r="J10888" t="s">
        <v>203</v>
      </c>
      <c r="K10888">
        <v>613.4</v>
      </c>
      <c r="L10888">
        <v>75.33</v>
      </c>
      <c r="M10888">
        <v>49807</v>
      </c>
      <c r="N10888" t="s">
        <v>852</v>
      </c>
      <c r="O10888">
        <v>251205</v>
      </c>
      <c r="P10888">
        <v>538.07000000000005</v>
      </c>
    </row>
    <row r="10889" spans="1:16" x14ac:dyDescent="0.25">
      <c r="A10889" t="s">
        <v>3296</v>
      </c>
      <c r="B10889" t="s">
        <v>2931</v>
      </c>
      <c r="C10889">
        <v>17800</v>
      </c>
      <c r="D10889" t="str">
        <f>"3321        "</f>
        <v xml:space="preserve">3321        </v>
      </c>
      <c r="E10889" t="s">
        <v>851</v>
      </c>
      <c r="F10889" t="s">
        <v>853</v>
      </c>
      <c r="G10889">
        <v>291</v>
      </c>
      <c r="H10889">
        <v>251222</v>
      </c>
      <c r="I10889">
        <v>4470</v>
      </c>
      <c r="J10889" t="s">
        <v>203</v>
      </c>
      <c r="K10889">
        <v>291</v>
      </c>
      <c r="L10889">
        <v>35.74</v>
      </c>
      <c r="M10889">
        <v>49807</v>
      </c>
      <c r="N10889" t="s">
        <v>852</v>
      </c>
      <c r="O10889">
        <v>251230</v>
      </c>
      <c r="P10889">
        <v>255.26</v>
      </c>
    </row>
    <row r="10890" spans="1:16" x14ac:dyDescent="0.25">
      <c r="A10890" t="s">
        <v>3296</v>
      </c>
      <c r="B10890" t="s">
        <v>2931</v>
      </c>
      <c r="C10890">
        <v>13615</v>
      </c>
      <c r="D10890" t="str">
        <f>"25291       "</f>
        <v xml:space="preserve">25291       </v>
      </c>
      <c r="E10890" t="s">
        <v>507</v>
      </c>
      <c r="F10890" t="s">
        <v>508</v>
      </c>
      <c r="G10890">
        <v>364.96</v>
      </c>
      <c r="H10890">
        <v>250930</v>
      </c>
      <c r="I10890">
        <v>4555</v>
      </c>
      <c r="J10890" t="s">
        <v>352</v>
      </c>
      <c r="K10890">
        <v>434.62</v>
      </c>
      <c r="L10890">
        <v>74.16</v>
      </c>
      <c r="M10890">
        <v>44424</v>
      </c>
      <c r="N10890" t="s">
        <v>99</v>
      </c>
      <c r="O10890">
        <v>251013</v>
      </c>
      <c r="P10890">
        <v>290.8</v>
      </c>
    </row>
    <row r="10891" spans="1:16" x14ac:dyDescent="0.25">
      <c r="A10891" t="s">
        <v>3296</v>
      </c>
      <c r="B10891" t="s">
        <v>2931</v>
      </c>
      <c r="C10891">
        <v>422</v>
      </c>
      <c r="D10891" t="str">
        <f>"256         "</f>
        <v xml:space="preserve">256         </v>
      </c>
      <c r="E10891" t="s">
        <v>507</v>
      </c>
      <c r="F10891" t="s">
        <v>508</v>
      </c>
      <c r="G10891">
        <v>245.42</v>
      </c>
      <c r="H10891">
        <v>250113</v>
      </c>
      <c r="I10891">
        <v>4600</v>
      </c>
      <c r="J10891" t="s">
        <v>278</v>
      </c>
      <c r="K10891">
        <v>245.42</v>
      </c>
      <c r="L10891">
        <v>49.87</v>
      </c>
      <c r="M10891">
        <v>17131</v>
      </c>
      <c r="N10891" t="s">
        <v>154</v>
      </c>
      <c r="O10891">
        <v>250122</v>
      </c>
      <c r="P10891">
        <v>195.55</v>
      </c>
    </row>
    <row r="10892" spans="1:16" x14ac:dyDescent="0.25">
      <c r="A10892" t="s">
        <v>3296</v>
      </c>
      <c r="B10892" t="s">
        <v>2931</v>
      </c>
      <c r="C10892">
        <v>1817</v>
      </c>
      <c r="D10892" t="str">
        <f>"2546        "</f>
        <v xml:space="preserve">2546        </v>
      </c>
      <c r="E10892" t="s">
        <v>507</v>
      </c>
      <c r="F10892" t="s">
        <v>508</v>
      </c>
      <c r="G10892">
        <v>245.03</v>
      </c>
      <c r="H10892">
        <v>250211</v>
      </c>
      <c r="I10892">
        <v>4600</v>
      </c>
      <c r="J10892" t="s">
        <v>278</v>
      </c>
      <c r="K10892">
        <v>245.03</v>
      </c>
      <c r="L10892">
        <v>49.79</v>
      </c>
      <c r="M10892">
        <v>17131</v>
      </c>
      <c r="N10892" t="s">
        <v>154</v>
      </c>
      <c r="O10892">
        <v>250214</v>
      </c>
      <c r="P10892">
        <v>195.24</v>
      </c>
    </row>
    <row r="10893" spans="1:16" x14ac:dyDescent="0.25">
      <c r="A10893" t="s">
        <v>3296</v>
      </c>
      <c r="B10893" t="s">
        <v>2931</v>
      </c>
      <c r="C10893">
        <v>13615</v>
      </c>
      <c r="D10893" t="str">
        <f>"25291       "</f>
        <v xml:space="preserve">25291       </v>
      </c>
      <c r="E10893" t="s">
        <v>507</v>
      </c>
      <c r="F10893" t="s">
        <v>508</v>
      </c>
      <c r="G10893">
        <v>69.66</v>
      </c>
      <c r="H10893">
        <v>250930</v>
      </c>
      <c r="I10893">
        <v>4600</v>
      </c>
      <c r="J10893" t="s">
        <v>278</v>
      </c>
      <c r="K10893">
        <v>434.62</v>
      </c>
      <c r="L10893">
        <v>14.15</v>
      </c>
      <c r="M10893">
        <v>44424</v>
      </c>
      <c r="N10893" t="s">
        <v>99</v>
      </c>
      <c r="O10893">
        <v>251013</v>
      </c>
      <c r="P10893">
        <v>55.51</v>
      </c>
    </row>
    <row r="10894" spans="1:16" x14ac:dyDescent="0.25">
      <c r="A10894" t="s">
        <v>3296</v>
      </c>
      <c r="B10894" t="s">
        <v>2931</v>
      </c>
      <c r="C10894">
        <v>15416</v>
      </c>
      <c r="D10894" t="str">
        <f>"25374       "</f>
        <v xml:space="preserve">25374       </v>
      </c>
      <c r="E10894" t="s">
        <v>507</v>
      </c>
      <c r="F10894" t="s">
        <v>508</v>
      </c>
      <c r="G10894">
        <v>308.88</v>
      </c>
      <c r="H10894">
        <v>251113</v>
      </c>
      <c r="I10894">
        <v>4600</v>
      </c>
      <c r="J10894" t="s">
        <v>278</v>
      </c>
      <c r="K10894">
        <v>308.88</v>
      </c>
      <c r="L10894">
        <v>62.76</v>
      </c>
      <c r="M10894">
        <v>17131</v>
      </c>
      <c r="N10894" t="s">
        <v>154</v>
      </c>
      <c r="O10894">
        <v>251120</v>
      </c>
      <c r="P10894">
        <v>246.12</v>
      </c>
    </row>
    <row r="10895" spans="1:16" x14ac:dyDescent="0.25">
      <c r="A10895" t="s">
        <v>3296</v>
      </c>
      <c r="B10895" t="s">
        <v>2931</v>
      </c>
      <c r="C10895">
        <v>1007</v>
      </c>
      <c r="D10895" t="str">
        <f>"6903241643  "</f>
        <v xml:space="preserve">6903241643  </v>
      </c>
      <c r="E10895" t="s">
        <v>180</v>
      </c>
      <c r="F10895" t="s">
        <v>182</v>
      </c>
      <c r="G10895">
        <v>5967.88</v>
      </c>
      <c r="H10895">
        <v>250127</v>
      </c>
      <c r="I10895">
        <v>4400</v>
      </c>
      <c r="J10895" t="s">
        <v>162</v>
      </c>
      <c r="K10895">
        <v>5967.88</v>
      </c>
      <c r="L10895">
        <v>1212.5999999999999</v>
      </c>
      <c r="M10895">
        <v>46554</v>
      </c>
      <c r="N10895" t="s">
        <v>102</v>
      </c>
      <c r="O10895">
        <v>250203</v>
      </c>
      <c r="P10895">
        <v>4755.28</v>
      </c>
    </row>
    <row r="10896" spans="1:16" x14ac:dyDescent="0.25">
      <c r="A10896" t="s">
        <v>3296</v>
      </c>
      <c r="B10896" t="s">
        <v>2931</v>
      </c>
      <c r="C10896">
        <v>8088</v>
      </c>
      <c r="D10896" t="str">
        <f>"6903383158  "</f>
        <v xml:space="preserve">6903383158  </v>
      </c>
      <c r="E10896" t="s">
        <v>180</v>
      </c>
      <c r="F10896" t="s">
        <v>182</v>
      </c>
      <c r="G10896">
        <v>1310.22</v>
      </c>
      <c r="H10896">
        <v>250526</v>
      </c>
      <c r="I10896">
        <v>4400</v>
      </c>
      <c r="J10896" t="s">
        <v>162</v>
      </c>
      <c r="K10896">
        <v>1310.22</v>
      </c>
      <c r="L10896">
        <v>266.22000000000003</v>
      </c>
      <c r="M10896">
        <v>66756</v>
      </c>
      <c r="N10896" t="s">
        <v>120</v>
      </c>
      <c r="O10896">
        <v>250611</v>
      </c>
      <c r="P10896">
        <v>1044</v>
      </c>
    </row>
    <row r="10897" spans="1:16" x14ac:dyDescent="0.25">
      <c r="A10897" t="s">
        <v>3296</v>
      </c>
      <c r="B10897" t="s">
        <v>2931</v>
      </c>
      <c r="C10897">
        <v>15498</v>
      </c>
      <c r="D10897" t="str">
        <f>"6903610201  "</f>
        <v xml:space="preserve">6903610201  </v>
      </c>
      <c r="E10897" t="s">
        <v>180</v>
      </c>
      <c r="F10897" t="s">
        <v>182</v>
      </c>
      <c r="G10897">
        <v>2598.35</v>
      </c>
      <c r="H10897">
        <v>251111</v>
      </c>
      <c r="I10897">
        <v>4400</v>
      </c>
      <c r="J10897" t="s">
        <v>162</v>
      </c>
      <c r="K10897">
        <v>2598.35</v>
      </c>
      <c r="L10897">
        <v>527.95000000000005</v>
      </c>
      <c r="M10897">
        <v>17803</v>
      </c>
      <c r="N10897" t="s">
        <v>19</v>
      </c>
      <c r="O10897">
        <v>251121</v>
      </c>
      <c r="P10897">
        <v>2070.4</v>
      </c>
    </row>
    <row r="10898" spans="1:16" x14ac:dyDescent="0.25">
      <c r="A10898" t="s">
        <v>3296</v>
      </c>
      <c r="B10898" t="s">
        <v>2931</v>
      </c>
      <c r="C10898">
        <v>5224</v>
      </c>
      <c r="D10898" t="str">
        <f>"6903309708  "</f>
        <v xml:space="preserve">6903309708  </v>
      </c>
      <c r="E10898" t="s">
        <v>180</v>
      </c>
      <c r="F10898" t="s">
        <v>182</v>
      </c>
      <c r="G10898">
        <v>324.17</v>
      </c>
      <c r="H10898">
        <v>250327</v>
      </c>
      <c r="I10898">
        <v>4555</v>
      </c>
      <c r="J10898" t="s">
        <v>352</v>
      </c>
      <c r="K10898">
        <v>324.17</v>
      </c>
      <c r="L10898">
        <v>65.87</v>
      </c>
      <c r="M10898">
        <v>56564</v>
      </c>
      <c r="N10898" t="s">
        <v>56</v>
      </c>
      <c r="O10898">
        <v>250422</v>
      </c>
      <c r="P10898">
        <v>258.3</v>
      </c>
    </row>
    <row r="10899" spans="1:16" x14ac:dyDescent="0.25">
      <c r="A10899" t="s">
        <v>3296</v>
      </c>
      <c r="B10899" t="s">
        <v>2931</v>
      </c>
      <c r="C10899">
        <v>11623</v>
      </c>
      <c r="D10899" t="str">
        <f>"6903530728  "</f>
        <v xml:space="preserve">6903530728  </v>
      </c>
      <c r="E10899" t="s">
        <v>180</v>
      </c>
      <c r="F10899" t="s">
        <v>182</v>
      </c>
      <c r="G10899">
        <v>171.32</v>
      </c>
      <c r="H10899">
        <v>250901</v>
      </c>
      <c r="I10899">
        <v>4555</v>
      </c>
      <c r="J10899" t="s">
        <v>352</v>
      </c>
      <c r="K10899">
        <v>171.32</v>
      </c>
      <c r="L10899">
        <v>34.81</v>
      </c>
      <c r="M10899">
        <v>67522</v>
      </c>
      <c r="N10899" t="s">
        <v>121</v>
      </c>
      <c r="O10899">
        <v>250909</v>
      </c>
      <c r="P10899">
        <v>136.51</v>
      </c>
    </row>
    <row r="10900" spans="1:16" x14ac:dyDescent="0.25">
      <c r="A10900" t="s">
        <v>3296</v>
      </c>
      <c r="B10900" t="s">
        <v>2931</v>
      </c>
      <c r="C10900">
        <v>85</v>
      </c>
      <c r="D10900" t="str">
        <f>"6903205719  "</f>
        <v xml:space="preserve">6903205719  </v>
      </c>
      <c r="E10900" t="s">
        <v>180</v>
      </c>
      <c r="F10900" t="s">
        <v>182</v>
      </c>
      <c r="G10900">
        <v>896.07</v>
      </c>
      <c r="H10900">
        <v>250101</v>
      </c>
      <c r="I10900">
        <v>4574</v>
      </c>
      <c r="J10900" t="s">
        <v>181</v>
      </c>
      <c r="K10900">
        <v>896.07</v>
      </c>
      <c r="L10900">
        <v>182.07</v>
      </c>
      <c r="M10900">
        <v>56528</v>
      </c>
      <c r="N10900" t="s">
        <v>70</v>
      </c>
      <c r="O10900">
        <v>250107</v>
      </c>
      <c r="P10900">
        <v>714</v>
      </c>
    </row>
    <row r="10901" spans="1:16" x14ac:dyDescent="0.25">
      <c r="A10901" t="s">
        <v>3296</v>
      </c>
      <c r="B10901" t="s">
        <v>2931</v>
      </c>
      <c r="C10901">
        <v>119</v>
      </c>
      <c r="D10901" t="str">
        <f>"6903212206  "</f>
        <v xml:space="preserve">6903212206  </v>
      </c>
      <c r="E10901" t="s">
        <v>180</v>
      </c>
      <c r="F10901" t="s">
        <v>182</v>
      </c>
      <c r="G10901">
        <v>564.75</v>
      </c>
      <c r="H10901">
        <v>250101</v>
      </c>
      <c r="I10901">
        <v>4574</v>
      </c>
      <c r="J10901" t="s">
        <v>181</v>
      </c>
      <c r="K10901">
        <v>564.75</v>
      </c>
      <c r="L10901">
        <v>114.75</v>
      </c>
      <c r="M10901">
        <v>51151</v>
      </c>
      <c r="N10901" t="s">
        <v>221</v>
      </c>
      <c r="O10901">
        <v>250113</v>
      </c>
      <c r="P10901">
        <v>450</v>
      </c>
    </row>
    <row r="10902" spans="1:16" x14ac:dyDescent="0.25">
      <c r="A10902" t="s">
        <v>3296</v>
      </c>
      <c r="B10902" t="s">
        <v>2931</v>
      </c>
      <c r="C10902">
        <v>269</v>
      </c>
      <c r="D10902" t="str">
        <f>"6903231218  "</f>
        <v xml:space="preserve">6903231218  </v>
      </c>
      <c r="E10902" t="s">
        <v>180</v>
      </c>
      <c r="F10902" t="s">
        <v>182</v>
      </c>
      <c r="G10902">
        <v>2178.4899999999998</v>
      </c>
      <c r="H10902">
        <v>250107</v>
      </c>
      <c r="I10902">
        <v>4574</v>
      </c>
      <c r="J10902" t="s">
        <v>181</v>
      </c>
      <c r="K10902">
        <v>2178.4899999999998</v>
      </c>
      <c r="L10902">
        <v>442.64</v>
      </c>
      <c r="M10902">
        <v>17809</v>
      </c>
      <c r="N10902" t="s">
        <v>25</v>
      </c>
      <c r="O10902">
        <v>250120</v>
      </c>
      <c r="P10902">
        <v>1735.85</v>
      </c>
    </row>
    <row r="10903" spans="1:16" x14ac:dyDescent="0.25">
      <c r="A10903" t="s">
        <v>3296</v>
      </c>
      <c r="B10903" t="s">
        <v>2931</v>
      </c>
      <c r="C10903">
        <v>407</v>
      </c>
      <c r="D10903" t="str">
        <f>"6903234823  "</f>
        <v xml:space="preserve">6903234823  </v>
      </c>
      <c r="E10903" t="s">
        <v>180</v>
      </c>
      <c r="F10903" t="s">
        <v>182</v>
      </c>
      <c r="G10903">
        <v>1121.8399999999999</v>
      </c>
      <c r="H10903">
        <v>250114</v>
      </c>
      <c r="I10903">
        <v>4574</v>
      </c>
      <c r="J10903" t="s">
        <v>181</v>
      </c>
      <c r="K10903">
        <v>1121.8399999999999</v>
      </c>
      <c r="L10903">
        <v>227.94</v>
      </c>
      <c r="M10903">
        <v>17534</v>
      </c>
      <c r="N10903" t="s">
        <v>148</v>
      </c>
      <c r="O10903">
        <v>250122</v>
      </c>
      <c r="P10903">
        <v>893.9</v>
      </c>
    </row>
    <row r="10904" spans="1:16" x14ac:dyDescent="0.25">
      <c r="A10904" t="s">
        <v>3296</v>
      </c>
      <c r="B10904" t="s">
        <v>2931</v>
      </c>
      <c r="C10904">
        <v>1126</v>
      </c>
      <c r="D10904" t="str">
        <f>"6903244451  "</f>
        <v xml:space="preserve">6903244451  </v>
      </c>
      <c r="E10904" t="s">
        <v>180</v>
      </c>
      <c r="F10904" t="s">
        <v>182</v>
      </c>
      <c r="G10904">
        <v>188.25</v>
      </c>
      <c r="H10904">
        <v>250201</v>
      </c>
      <c r="I10904">
        <v>4574</v>
      </c>
      <c r="J10904" t="s">
        <v>181</v>
      </c>
      <c r="K10904">
        <v>188.25</v>
      </c>
      <c r="L10904">
        <v>38.25</v>
      </c>
      <c r="M10904">
        <v>51151</v>
      </c>
      <c r="N10904" t="s">
        <v>221</v>
      </c>
      <c r="O10904">
        <v>250204</v>
      </c>
      <c r="P10904">
        <v>150</v>
      </c>
    </row>
    <row r="10905" spans="1:16" x14ac:dyDescent="0.25">
      <c r="A10905" t="s">
        <v>3296</v>
      </c>
      <c r="B10905" t="s">
        <v>2931</v>
      </c>
      <c r="C10905">
        <v>1302</v>
      </c>
      <c r="D10905" t="str">
        <f>"6903246670  "</f>
        <v xml:space="preserve">6903246670  </v>
      </c>
      <c r="E10905" t="s">
        <v>180</v>
      </c>
      <c r="F10905" t="s">
        <v>182</v>
      </c>
      <c r="G10905">
        <v>1121.8399999999999</v>
      </c>
      <c r="H10905">
        <v>250131</v>
      </c>
      <c r="I10905">
        <v>4574</v>
      </c>
      <c r="J10905" t="s">
        <v>181</v>
      </c>
      <c r="K10905">
        <v>1121.8399999999999</v>
      </c>
      <c r="L10905">
        <v>227.94</v>
      </c>
      <c r="M10905">
        <v>17534</v>
      </c>
      <c r="N10905" t="s">
        <v>148</v>
      </c>
      <c r="O10905">
        <v>250206</v>
      </c>
      <c r="P10905">
        <v>893.9</v>
      </c>
    </row>
    <row r="10906" spans="1:16" x14ac:dyDescent="0.25">
      <c r="A10906" t="s">
        <v>3296</v>
      </c>
      <c r="B10906" t="s">
        <v>2931</v>
      </c>
      <c r="C10906">
        <v>1449</v>
      </c>
      <c r="D10906" t="str">
        <f>"6903261023  "</f>
        <v xml:space="preserve">6903261023  </v>
      </c>
      <c r="E10906" t="s">
        <v>180</v>
      </c>
      <c r="F10906" t="s">
        <v>182</v>
      </c>
      <c r="G10906">
        <v>22.72</v>
      </c>
      <c r="H10906">
        <v>250131</v>
      </c>
      <c r="I10906">
        <v>4574</v>
      </c>
      <c r="J10906" t="s">
        <v>181</v>
      </c>
      <c r="K10906">
        <v>22.72</v>
      </c>
      <c r="L10906">
        <v>4.62</v>
      </c>
      <c r="M10906">
        <v>17803</v>
      </c>
      <c r="N10906" t="s">
        <v>19</v>
      </c>
      <c r="O10906">
        <v>250210</v>
      </c>
      <c r="P10906">
        <v>18.100000000000001</v>
      </c>
    </row>
    <row r="10907" spans="1:16" x14ac:dyDescent="0.25">
      <c r="A10907" t="s">
        <v>3296</v>
      </c>
      <c r="B10907" t="s">
        <v>2931</v>
      </c>
      <c r="C10907">
        <v>3444</v>
      </c>
      <c r="D10907" t="str">
        <f>"6903281671  "</f>
        <v xml:space="preserve">6903281671  </v>
      </c>
      <c r="E10907" t="s">
        <v>180</v>
      </c>
      <c r="F10907" t="s">
        <v>182</v>
      </c>
      <c r="G10907">
        <v>188.25</v>
      </c>
      <c r="H10907">
        <v>250301</v>
      </c>
      <c r="I10907">
        <v>4574</v>
      </c>
      <c r="J10907" t="s">
        <v>181</v>
      </c>
      <c r="K10907">
        <v>188.25</v>
      </c>
      <c r="L10907">
        <v>38.25</v>
      </c>
      <c r="M10907">
        <v>51151</v>
      </c>
      <c r="N10907" t="s">
        <v>221</v>
      </c>
      <c r="O10907">
        <v>250324</v>
      </c>
      <c r="P10907">
        <v>150</v>
      </c>
    </row>
    <row r="10908" spans="1:16" x14ac:dyDescent="0.25">
      <c r="A10908" t="s">
        <v>3296</v>
      </c>
      <c r="B10908" t="s">
        <v>2931</v>
      </c>
      <c r="C10908">
        <v>3777</v>
      </c>
      <c r="D10908" t="str">
        <f>"6903300212  "</f>
        <v xml:space="preserve">6903300212  </v>
      </c>
      <c r="E10908" t="s">
        <v>180</v>
      </c>
      <c r="F10908" t="s">
        <v>182</v>
      </c>
      <c r="G10908">
        <v>1165.22</v>
      </c>
      <c r="H10908">
        <v>250311</v>
      </c>
      <c r="I10908">
        <v>4574</v>
      </c>
      <c r="J10908" t="s">
        <v>181</v>
      </c>
      <c r="K10908">
        <v>1165.22</v>
      </c>
      <c r="L10908">
        <v>236.76</v>
      </c>
      <c r="M10908">
        <v>17534</v>
      </c>
      <c r="N10908" t="s">
        <v>148</v>
      </c>
      <c r="O10908">
        <v>250401</v>
      </c>
      <c r="P10908">
        <v>928.46</v>
      </c>
    </row>
    <row r="10909" spans="1:16" x14ac:dyDescent="0.25">
      <c r="A10909" t="s">
        <v>3296</v>
      </c>
      <c r="B10909" t="s">
        <v>2931</v>
      </c>
      <c r="C10909">
        <v>3967</v>
      </c>
      <c r="D10909" t="str">
        <f>"6903302564  "</f>
        <v xml:space="preserve">6903302564  </v>
      </c>
      <c r="E10909" t="s">
        <v>180</v>
      </c>
      <c r="F10909" t="s">
        <v>182</v>
      </c>
      <c r="G10909">
        <v>490.93</v>
      </c>
      <c r="H10909">
        <v>250314</v>
      </c>
      <c r="I10909">
        <v>4574</v>
      </c>
      <c r="J10909" t="s">
        <v>181</v>
      </c>
      <c r="K10909">
        <v>490.93</v>
      </c>
      <c r="L10909">
        <v>99.75</v>
      </c>
      <c r="M10909">
        <v>17804</v>
      </c>
      <c r="N10909" t="s">
        <v>20</v>
      </c>
      <c r="O10909">
        <v>250404</v>
      </c>
      <c r="P10909">
        <v>391.18</v>
      </c>
    </row>
    <row r="10910" spans="1:16" x14ac:dyDescent="0.25">
      <c r="A10910" t="s">
        <v>3296</v>
      </c>
      <c r="B10910" t="s">
        <v>2931</v>
      </c>
      <c r="C10910">
        <v>3982</v>
      </c>
      <c r="D10910" t="str">
        <f>"6903301885  "</f>
        <v xml:space="preserve">6903301885  </v>
      </c>
      <c r="E10910" t="s">
        <v>180</v>
      </c>
      <c r="F10910" t="s">
        <v>182</v>
      </c>
      <c r="G10910">
        <v>1688.88</v>
      </c>
      <c r="H10910">
        <v>250314</v>
      </c>
      <c r="I10910">
        <v>4574</v>
      </c>
      <c r="J10910" t="s">
        <v>181</v>
      </c>
      <c r="K10910">
        <v>1688.88</v>
      </c>
      <c r="L10910">
        <v>343.16</v>
      </c>
      <c r="M10910">
        <v>17803</v>
      </c>
      <c r="N10910" t="s">
        <v>19</v>
      </c>
      <c r="O10910">
        <v>250404</v>
      </c>
      <c r="P10910">
        <v>1345.72</v>
      </c>
    </row>
    <row r="10911" spans="1:16" x14ac:dyDescent="0.25">
      <c r="A10911" t="s">
        <v>3296</v>
      </c>
      <c r="B10911" t="s">
        <v>2931</v>
      </c>
      <c r="C10911">
        <v>4496</v>
      </c>
      <c r="D10911" t="str">
        <f>"6903307802  "</f>
        <v xml:space="preserve">6903307802  </v>
      </c>
      <c r="E10911" t="s">
        <v>180</v>
      </c>
      <c r="F10911" t="s">
        <v>182</v>
      </c>
      <c r="G10911">
        <v>1121.8399999999999</v>
      </c>
      <c r="H10911">
        <v>250325</v>
      </c>
      <c r="I10911">
        <v>4574</v>
      </c>
      <c r="J10911" t="s">
        <v>181</v>
      </c>
      <c r="K10911">
        <v>1121.8399999999999</v>
      </c>
      <c r="L10911">
        <v>227.94</v>
      </c>
      <c r="M10911">
        <v>17534</v>
      </c>
      <c r="N10911" t="s">
        <v>148</v>
      </c>
      <c r="O10911">
        <v>250411</v>
      </c>
      <c r="P10911">
        <v>893.9</v>
      </c>
    </row>
    <row r="10912" spans="1:16" x14ac:dyDescent="0.25">
      <c r="A10912" t="s">
        <v>3296</v>
      </c>
      <c r="B10912" t="s">
        <v>2931</v>
      </c>
      <c r="C10912">
        <v>4737</v>
      </c>
      <c r="D10912" t="str">
        <f>"6903309256  "</f>
        <v xml:space="preserve">6903309256  </v>
      </c>
      <c r="E10912" t="s">
        <v>180</v>
      </c>
      <c r="F10912" t="s">
        <v>182</v>
      </c>
      <c r="G10912">
        <v>3669.04</v>
      </c>
      <c r="H10912">
        <v>250327</v>
      </c>
      <c r="I10912">
        <v>4574</v>
      </c>
      <c r="J10912" t="s">
        <v>181</v>
      </c>
      <c r="K10912">
        <v>3669.04</v>
      </c>
      <c r="L10912">
        <v>745.5</v>
      </c>
      <c r="M10912">
        <v>51151</v>
      </c>
      <c r="N10912" t="s">
        <v>221</v>
      </c>
      <c r="O10912">
        <v>250415</v>
      </c>
      <c r="P10912">
        <v>2923.54</v>
      </c>
    </row>
    <row r="10913" spans="1:16" x14ac:dyDescent="0.25">
      <c r="A10913" t="s">
        <v>3296</v>
      </c>
      <c r="B10913" t="s">
        <v>2931</v>
      </c>
      <c r="C10913">
        <v>4783</v>
      </c>
      <c r="D10913" t="str">
        <f>"6903309997  "</f>
        <v xml:space="preserve">6903309997  </v>
      </c>
      <c r="E10913" t="s">
        <v>180</v>
      </c>
      <c r="F10913" t="s">
        <v>182</v>
      </c>
      <c r="G10913">
        <v>714.95</v>
      </c>
      <c r="H10913">
        <v>250328</v>
      </c>
      <c r="I10913">
        <v>4574</v>
      </c>
      <c r="J10913" t="s">
        <v>181</v>
      </c>
      <c r="K10913">
        <v>714.95</v>
      </c>
      <c r="L10913">
        <v>145.27000000000001</v>
      </c>
      <c r="M10913">
        <v>17522</v>
      </c>
      <c r="N10913" t="s">
        <v>137</v>
      </c>
      <c r="O10913">
        <v>250415</v>
      </c>
      <c r="P10913">
        <v>569.67999999999995</v>
      </c>
    </row>
    <row r="10914" spans="1:16" x14ac:dyDescent="0.25">
      <c r="A10914" t="s">
        <v>3296</v>
      </c>
      <c r="B10914" t="s">
        <v>2931</v>
      </c>
      <c r="C10914">
        <v>4947</v>
      </c>
      <c r="D10914" t="str">
        <f>"6903311962  "</f>
        <v xml:space="preserve">6903311962  </v>
      </c>
      <c r="E10914" t="s">
        <v>180</v>
      </c>
      <c r="F10914" t="s">
        <v>182</v>
      </c>
      <c r="G10914">
        <v>188.25</v>
      </c>
      <c r="H10914">
        <v>250401</v>
      </c>
      <c r="I10914">
        <v>4574</v>
      </c>
      <c r="J10914" t="s">
        <v>181</v>
      </c>
      <c r="K10914">
        <v>188.25</v>
      </c>
      <c r="L10914">
        <v>38.25</v>
      </c>
      <c r="M10914">
        <v>51151</v>
      </c>
      <c r="N10914" t="s">
        <v>221</v>
      </c>
      <c r="O10914">
        <v>250416</v>
      </c>
      <c r="P10914">
        <v>150</v>
      </c>
    </row>
    <row r="10915" spans="1:16" x14ac:dyDescent="0.25">
      <c r="A10915" t="s">
        <v>3296</v>
      </c>
      <c r="B10915" t="s">
        <v>2931</v>
      </c>
      <c r="C10915">
        <v>5523</v>
      </c>
      <c r="D10915" t="str">
        <f>"6903333880  "</f>
        <v xml:space="preserve">6903333880  </v>
      </c>
      <c r="E10915" t="s">
        <v>180</v>
      </c>
      <c r="F10915" t="s">
        <v>182</v>
      </c>
      <c r="G10915">
        <v>356.42</v>
      </c>
      <c r="H10915">
        <v>250411</v>
      </c>
      <c r="I10915">
        <v>4574</v>
      </c>
      <c r="J10915" t="s">
        <v>181</v>
      </c>
      <c r="K10915">
        <v>356.42</v>
      </c>
      <c r="L10915">
        <v>72.42</v>
      </c>
      <c r="M10915">
        <v>17536</v>
      </c>
      <c r="N10915" t="s">
        <v>150</v>
      </c>
      <c r="O10915">
        <v>250425</v>
      </c>
      <c r="P10915">
        <v>284</v>
      </c>
    </row>
    <row r="10916" spans="1:16" x14ac:dyDescent="0.25">
      <c r="A10916" t="s">
        <v>3296</v>
      </c>
      <c r="B10916" t="s">
        <v>2931</v>
      </c>
      <c r="C10916">
        <v>5561</v>
      </c>
      <c r="D10916" t="str">
        <f>"6903335351  "</f>
        <v xml:space="preserve">6903335351  </v>
      </c>
      <c r="E10916" t="s">
        <v>180</v>
      </c>
      <c r="F10916" t="s">
        <v>182</v>
      </c>
      <c r="G10916">
        <v>1580.05</v>
      </c>
      <c r="H10916">
        <v>250414</v>
      </c>
      <c r="I10916">
        <v>4574</v>
      </c>
      <c r="J10916" t="s">
        <v>181</v>
      </c>
      <c r="K10916">
        <v>1580.05</v>
      </c>
      <c r="L10916">
        <v>321.05</v>
      </c>
      <c r="M10916">
        <v>51151</v>
      </c>
      <c r="N10916" t="s">
        <v>221</v>
      </c>
      <c r="O10916">
        <v>250425</v>
      </c>
      <c r="P10916">
        <v>1259</v>
      </c>
    </row>
    <row r="10917" spans="1:16" x14ac:dyDescent="0.25">
      <c r="A10917" t="s">
        <v>3296</v>
      </c>
      <c r="B10917" t="s">
        <v>2931</v>
      </c>
      <c r="C10917">
        <v>6286</v>
      </c>
      <c r="D10917" t="str">
        <f>"6903345687  "</f>
        <v xml:space="preserve">6903345687  </v>
      </c>
      <c r="E10917" t="s">
        <v>180</v>
      </c>
      <c r="F10917" t="s">
        <v>182</v>
      </c>
      <c r="G10917">
        <v>1121.8399999999999</v>
      </c>
      <c r="H10917">
        <v>250429</v>
      </c>
      <c r="I10917">
        <v>4574</v>
      </c>
      <c r="J10917" t="s">
        <v>181</v>
      </c>
      <c r="K10917">
        <v>1121.8399999999999</v>
      </c>
      <c r="L10917">
        <v>227.94</v>
      </c>
      <c r="M10917">
        <v>17534</v>
      </c>
      <c r="N10917" t="s">
        <v>148</v>
      </c>
      <c r="O10917">
        <v>250512</v>
      </c>
      <c r="P10917">
        <v>893.9</v>
      </c>
    </row>
    <row r="10918" spans="1:16" x14ac:dyDescent="0.25">
      <c r="A10918" t="s">
        <v>3296</v>
      </c>
      <c r="B10918" t="s">
        <v>2931</v>
      </c>
      <c r="C10918">
        <v>6338</v>
      </c>
      <c r="D10918" t="str">
        <f>"6903346578  "</f>
        <v xml:space="preserve">6903346578  </v>
      </c>
      <c r="E10918" t="s">
        <v>180</v>
      </c>
      <c r="F10918" t="s">
        <v>182</v>
      </c>
      <c r="G10918">
        <v>188.25</v>
      </c>
      <c r="H10918">
        <v>250501</v>
      </c>
      <c r="I10918">
        <v>4574</v>
      </c>
      <c r="J10918" t="s">
        <v>181</v>
      </c>
      <c r="K10918">
        <v>188.25</v>
      </c>
      <c r="L10918">
        <v>38.25</v>
      </c>
      <c r="M10918">
        <v>51151</v>
      </c>
      <c r="N10918" t="s">
        <v>221</v>
      </c>
      <c r="O10918">
        <v>250512</v>
      </c>
      <c r="P10918">
        <v>150</v>
      </c>
    </row>
    <row r="10919" spans="1:16" x14ac:dyDescent="0.25">
      <c r="A10919" t="s">
        <v>3296</v>
      </c>
      <c r="B10919" t="s">
        <v>2931</v>
      </c>
      <c r="C10919">
        <v>7882</v>
      </c>
      <c r="D10919" t="str">
        <f>"6903380601  "</f>
        <v xml:space="preserve">6903380601  </v>
      </c>
      <c r="E10919" t="s">
        <v>180</v>
      </c>
      <c r="F10919" t="s">
        <v>182</v>
      </c>
      <c r="G10919">
        <v>1121.8399999999999</v>
      </c>
      <c r="H10919">
        <v>250523</v>
      </c>
      <c r="I10919">
        <v>4574</v>
      </c>
      <c r="J10919" t="s">
        <v>181</v>
      </c>
      <c r="K10919">
        <v>1121.8399999999999</v>
      </c>
      <c r="L10919">
        <v>227.94</v>
      </c>
      <c r="M10919">
        <v>17534</v>
      </c>
      <c r="N10919" t="s">
        <v>148</v>
      </c>
      <c r="O10919">
        <v>250610</v>
      </c>
      <c r="P10919">
        <v>893.9</v>
      </c>
    </row>
    <row r="10920" spans="1:16" x14ac:dyDescent="0.25">
      <c r="A10920" t="s">
        <v>3296</v>
      </c>
      <c r="B10920" t="s">
        <v>2931</v>
      </c>
      <c r="C10920">
        <v>8191</v>
      </c>
      <c r="D10920" t="str">
        <f>"6903383962  "</f>
        <v xml:space="preserve">6903383962  </v>
      </c>
      <c r="E10920" t="s">
        <v>180</v>
      </c>
      <c r="F10920" t="s">
        <v>182</v>
      </c>
      <c r="G10920">
        <v>352.35</v>
      </c>
      <c r="H10920">
        <v>250527</v>
      </c>
      <c r="I10920">
        <v>4574</v>
      </c>
      <c r="J10920" t="s">
        <v>181</v>
      </c>
      <c r="K10920">
        <v>352.35</v>
      </c>
      <c r="L10920">
        <v>71.59</v>
      </c>
      <c r="M10920">
        <v>17536</v>
      </c>
      <c r="N10920" t="s">
        <v>150</v>
      </c>
      <c r="O10920">
        <v>250612</v>
      </c>
      <c r="P10920">
        <v>280.76</v>
      </c>
    </row>
    <row r="10921" spans="1:16" x14ac:dyDescent="0.25">
      <c r="A10921" t="s">
        <v>3296</v>
      </c>
      <c r="B10921" t="s">
        <v>2931</v>
      </c>
      <c r="C10921">
        <v>8456</v>
      </c>
      <c r="D10921" t="str">
        <f>"6903387089  "</f>
        <v xml:space="preserve">6903387089  </v>
      </c>
      <c r="E10921" t="s">
        <v>180</v>
      </c>
      <c r="F10921" t="s">
        <v>182</v>
      </c>
      <c r="G10921">
        <v>188.25</v>
      </c>
      <c r="H10921">
        <v>250601</v>
      </c>
      <c r="I10921">
        <v>4574</v>
      </c>
      <c r="J10921" t="s">
        <v>181</v>
      </c>
      <c r="K10921">
        <v>188.25</v>
      </c>
      <c r="L10921">
        <v>38.25</v>
      </c>
      <c r="M10921">
        <v>51151</v>
      </c>
      <c r="N10921" t="s">
        <v>221</v>
      </c>
      <c r="O10921">
        <v>250613</v>
      </c>
      <c r="P10921">
        <v>150</v>
      </c>
    </row>
    <row r="10922" spans="1:16" x14ac:dyDescent="0.25">
      <c r="A10922" t="s">
        <v>3296</v>
      </c>
      <c r="B10922" t="s">
        <v>2931</v>
      </c>
      <c r="C10922">
        <v>9353</v>
      </c>
      <c r="D10922" t="str">
        <f>"6903426012  "</f>
        <v xml:space="preserve">6903426012  </v>
      </c>
      <c r="E10922" t="s">
        <v>180</v>
      </c>
      <c r="F10922" t="s">
        <v>182</v>
      </c>
      <c r="G10922">
        <v>244.17</v>
      </c>
      <c r="H10922">
        <v>250619</v>
      </c>
      <c r="I10922">
        <v>4574</v>
      </c>
      <c r="J10922" t="s">
        <v>181</v>
      </c>
      <c r="K10922">
        <v>244.17</v>
      </c>
      <c r="L10922">
        <v>49.61</v>
      </c>
      <c r="M10922">
        <v>51151</v>
      </c>
      <c r="N10922" t="s">
        <v>221</v>
      </c>
      <c r="O10922">
        <v>250704</v>
      </c>
      <c r="P10922">
        <v>194.56</v>
      </c>
    </row>
    <row r="10923" spans="1:16" x14ac:dyDescent="0.25">
      <c r="A10923" t="s">
        <v>3296</v>
      </c>
      <c r="B10923" t="s">
        <v>2931</v>
      </c>
      <c r="C10923">
        <v>9534</v>
      </c>
      <c r="D10923" t="str">
        <f>"6903452567  "</f>
        <v xml:space="preserve">6903452567  </v>
      </c>
      <c r="E10923" t="s">
        <v>180</v>
      </c>
      <c r="F10923" t="s">
        <v>182</v>
      </c>
      <c r="G10923">
        <v>188.25</v>
      </c>
      <c r="H10923">
        <v>250701</v>
      </c>
      <c r="I10923">
        <v>4574</v>
      </c>
      <c r="J10923" t="s">
        <v>181</v>
      </c>
      <c r="K10923">
        <v>188.25</v>
      </c>
      <c r="L10923">
        <v>38.25</v>
      </c>
      <c r="M10923">
        <v>51151</v>
      </c>
      <c r="N10923" t="s">
        <v>221</v>
      </c>
      <c r="O10923">
        <v>250709</v>
      </c>
      <c r="P10923">
        <v>150</v>
      </c>
    </row>
    <row r="10924" spans="1:16" x14ac:dyDescent="0.25">
      <c r="A10924" t="s">
        <v>3296</v>
      </c>
      <c r="B10924" t="s">
        <v>2931</v>
      </c>
      <c r="C10924">
        <v>10292</v>
      </c>
      <c r="D10924" t="str">
        <f>"6903499163  "</f>
        <v xml:space="preserve">6903499163  </v>
      </c>
      <c r="E10924" t="s">
        <v>180</v>
      </c>
      <c r="F10924" t="s">
        <v>182</v>
      </c>
      <c r="G10924">
        <v>609.09</v>
      </c>
      <c r="H10924">
        <v>250808</v>
      </c>
      <c r="I10924">
        <v>4574</v>
      </c>
      <c r="J10924" t="s">
        <v>181</v>
      </c>
      <c r="K10924">
        <v>609.09</v>
      </c>
      <c r="L10924">
        <v>123.76</v>
      </c>
      <c r="M10924">
        <v>17804</v>
      </c>
      <c r="N10924" t="s">
        <v>20</v>
      </c>
      <c r="O10924">
        <v>250813</v>
      </c>
      <c r="P10924">
        <v>485.33</v>
      </c>
    </row>
    <row r="10925" spans="1:16" x14ac:dyDescent="0.25">
      <c r="A10925" t="s">
        <v>3296</v>
      </c>
      <c r="B10925" t="s">
        <v>2931</v>
      </c>
      <c r="C10925">
        <v>10394</v>
      </c>
      <c r="D10925" t="str">
        <f>"6903493565  "</f>
        <v xml:space="preserve">6903493565  </v>
      </c>
      <c r="E10925" t="s">
        <v>180</v>
      </c>
      <c r="F10925" t="s">
        <v>182</v>
      </c>
      <c r="G10925">
        <v>188.25</v>
      </c>
      <c r="H10925">
        <v>250801</v>
      </c>
      <c r="I10925">
        <v>4574</v>
      </c>
      <c r="J10925" t="s">
        <v>181</v>
      </c>
      <c r="K10925">
        <v>188.25</v>
      </c>
      <c r="L10925">
        <v>38.25</v>
      </c>
      <c r="M10925">
        <v>51151</v>
      </c>
      <c r="N10925" t="s">
        <v>221</v>
      </c>
      <c r="O10925">
        <v>250818</v>
      </c>
      <c r="P10925">
        <v>150</v>
      </c>
    </row>
    <row r="10926" spans="1:16" x14ac:dyDescent="0.25">
      <c r="A10926" t="s">
        <v>3296</v>
      </c>
      <c r="B10926" t="s">
        <v>2931</v>
      </c>
      <c r="C10926">
        <v>10775</v>
      </c>
      <c r="D10926" t="str">
        <f>"6903505821  "</f>
        <v xml:space="preserve">6903505821  </v>
      </c>
      <c r="E10926" t="s">
        <v>180</v>
      </c>
      <c r="F10926" t="s">
        <v>182</v>
      </c>
      <c r="G10926">
        <v>1129.95</v>
      </c>
      <c r="H10926">
        <v>250819</v>
      </c>
      <c r="I10926">
        <v>4574</v>
      </c>
      <c r="J10926" t="s">
        <v>181</v>
      </c>
      <c r="K10926">
        <v>1129.95</v>
      </c>
      <c r="L10926">
        <v>229.59</v>
      </c>
      <c r="M10926">
        <v>17534</v>
      </c>
      <c r="N10926" t="s">
        <v>148</v>
      </c>
      <c r="O10926">
        <v>250822</v>
      </c>
      <c r="P10926">
        <v>900.36</v>
      </c>
    </row>
    <row r="10927" spans="1:16" x14ac:dyDescent="0.25">
      <c r="A10927" t="s">
        <v>3296</v>
      </c>
      <c r="B10927" t="s">
        <v>2931</v>
      </c>
      <c r="C10927">
        <v>11172</v>
      </c>
      <c r="D10927" t="str">
        <f>"6903508125  "</f>
        <v xml:space="preserve">6903508125  </v>
      </c>
      <c r="E10927" t="s">
        <v>180</v>
      </c>
      <c r="F10927" t="s">
        <v>182</v>
      </c>
      <c r="G10927">
        <v>1997.73</v>
      </c>
      <c r="H10927">
        <v>250822</v>
      </c>
      <c r="I10927">
        <v>4574</v>
      </c>
      <c r="J10927" t="s">
        <v>181</v>
      </c>
      <c r="K10927">
        <v>1997.73</v>
      </c>
      <c r="L10927">
        <v>405.91</v>
      </c>
      <c r="M10927">
        <v>17522</v>
      </c>
      <c r="N10927" t="s">
        <v>137</v>
      </c>
      <c r="O10927">
        <v>250901</v>
      </c>
      <c r="P10927">
        <v>1591.82</v>
      </c>
    </row>
    <row r="10928" spans="1:16" x14ac:dyDescent="0.25">
      <c r="A10928" t="s">
        <v>3296</v>
      </c>
      <c r="B10928" t="s">
        <v>2931</v>
      </c>
      <c r="C10928">
        <v>11473</v>
      </c>
      <c r="D10928" t="str">
        <f>"6903530292  "</f>
        <v xml:space="preserve">6903530292  </v>
      </c>
      <c r="E10928" t="s">
        <v>180</v>
      </c>
      <c r="F10928" t="s">
        <v>182</v>
      </c>
      <c r="G10928">
        <v>188.25</v>
      </c>
      <c r="H10928">
        <v>250901</v>
      </c>
      <c r="I10928">
        <v>4574</v>
      </c>
      <c r="J10928" t="s">
        <v>181</v>
      </c>
      <c r="K10928">
        <v>188.25</v>
      </c>
      <c r="L10928">
        <v>38.25</v>
      </c>
      <c r="M10928">
        <v>51151</v>
      </c>
      <c r="N10928" t="s">
        <v>221</v>
      </c>
      <c r="O10928">
        <v>250905</v>
      </c>
      <c r="P10928">
        <v>150</v>
      </c>
    </row>
    <row r="10929" spans="1:16" x14ac:dyDescent="0.25">
      <c r="A10929" t="s">
        <v>3296</v>
      </c>
      <c r="B10929" t="s">
        <v>2931</v>
      </c>
      <c r="C10929">
        <v>11477</v>
      </c>
      <c r="D10929" t="str">
        <f>"6903531236  "</f>
        <v xml:space="preserve">6903531236  </v>
      </c>
      <c r="E10929" t="s">
        <v>180</v>
      </c>
      <c r="F10929" t="s">
        <v>182</v>
      </c>
      <c r="G10929">
        <v>142.02000000000001</v>
      </c>
      <c r="H10929">
        <v>250902</v>
      </c>
      <c r="I10929">
        <v>4574</v>
      </c>
      <c r="J10929" t="s">
        <v>181</v>
      </c>
      <c r="K10929">
        <v>426.05</v>
      </c>
      <c r="L10929">
        <v>28.86</v>
      </c>
      <c r="M10929">
        <v>17534</v>
      </c>
      <c r="N10929" t="s">
        <v>148</v>
      </c>
      <c r="O10929">
        <v>250905</v>
      </c>
      <c r="P10929">
        <v>113.16</v>
      </c>
    </row>
    <row r="10930" spans="1:16" x14ac:dyDescent="0.25">
      <c r="A10930" t="s">
        <v>3296</v>
      </c>
      <c r="B10930" t="s">
        <v>2931</v>
      </c>
      <c r="C10930">
        <v>11477</v>
      </c>
      <c r="D10930" t="str">
        <f>"6903531236  "</f>
        <v xml:space="preserve">6903531236  </v>
      </c>
      <c r="E10930" t="s">
        <v>180</v>
      </c>
      <c r="F10930" t="s">
        <v>182</v>
      </c>
      <c r="G10930">
        <v>142.02000000000001</v>
      </c>
      <c r="H10930">
        <v>250902</v>
      </c>
      <c r="I10930">
        <v>4574</v>
      </c>
      <c r="J10930" t="s">
        <v>181</v>
      </c>
      <c r="K10930">
        <v>426.05</v>
      </c>
      <c r="L10930">
        <v>28.86</v>
      </c>
      <c r="M10930">
        <v>17535</v>
      </c>
      <c r="N10930" t="s">
        <v>149</v>
      </c>
      <c r="O10930">
        <v>250905</v>
      </c>
      <c r="P10930">
        <v>113.16</v>
      </c>
    </row>
    <row r="10931" spans="1:16" x14ac:dyDescent="0.25">
      <c r="A10931" t="s">
        <v>3296</v>
      </c>
      <c r="B10931" t="s">
        <v>2931</v>
      </c>
      <c r="C10931">
        <v>11477</v>
      </c>
      <c r="D10931" t="str">
        <f>"6903531236  "</f>
        <v xml:space="preserve">6903531236  </v>
      </c>
      <c r="E10931" t="s">
        <v>180</v>
      </c>
      <c r="F10931" t="s">
        <v>182</v>
      </c>
      <c r="G10931">
        <v>142.01</v>
      </c>
      <c r="H10931">
        <v>250902</v>
      </c>
      <c r="I10931">
        <v>4574</v>
      </c>
      <c r="J10931" t="s">
        <v>181</v>
      </c>
      <c r="K10931">
        <v>426.05</v>
      </c>
      <c r="L10931">
        <v>28.85</v>
      </c>
      <c r="M10931">
        <v>17536</v>
      </c>
      <c r="N10931" t="s">
        <v>150</v>
      </c>
      <c r="O10931">
        <v>250905</v>
      </c>
      <c r="P10931">
        <v>113.16</v>
      </c>
    </row>
    <row r="10932" spans="1:16" x14ac:dyDescent="0.25">
      <c r="A10932" t="s">
        <v>3296</v>
      </c>
      <c r="B10932" t="s">
        <v>2931</v>
      </c>
      <c r="C10932">
        <v>11751</v>
      </c>
      <c r="D10932" t="str">
        <f>"6903534252  "</f>
        <v xml:space="preserve">6903534252  </v>
      </c>
      <c r="E10932" t="s">
        <v>180</v>
      </c>
      <c r="F10932" t="s">
        <v>182</v>
      </c>
      <c r="G10932">
        <v>1740.1</v>
      </c>
      <c r="H10932">
        <v>250905</v>
      </c>
      <c r="I10932">
        <v>4574</v>
      </c>
      <c r="J10932" t="s">
        <v>181</v>
      </c>
      <c r="K10932">
        <v>1740.1</v>
      </c>
      <c r="L10932">
        <v>353.57</v>
      </c>
      <c r="M10932">
        <v>17803</v>
      </c>
      <c r="N10932" t="s">
        <v>19</v>
      </c>
      <c r="O10932">
        <v>250910</v>
      </c>
      <c r="P10932">
        <v>1386.53</v>
      </c>
    </row>
    <row r="10933" spans="1:16" x14ac:dyDescent="0.25">
      <c r="A10933" t="s">
        <v>3296</v>
      </c>
      <c r="B10933" t="s">
        <v>2931</v>
      </c>
      <c r="C10933">
        <v>12045</v>
      </c>
      <c r="D10933" t="str">
        <f>"6903535966  "</f>
        <v xml:space="preserve">6903535966  </v>
      </c>
      <c r="E10933" t="s">
        <v>180</v>
      </c>
      <c r="F10933" t="s">
        <v>182</v>
      </c>
      <c r="G10933">
        <v>1129.95</v>
      </c>
      <c r="H10933">
        <v>250909</v>
      </c>
      <c r="I10933">
        <v>4574</v>
      </c>
      <c r="J10933" t="s">
        <v>181</v>
      </c>
      <c r="K10933">
        <v>1129.95</v>
      </c>
      <c r="L10933">
        <v>229.59</v>
      </c>
      <c r="M10933">
        <v>17534</v>
      </c>
      <c r="N10933" t="s">
        <v>148</v>
      </c>
      <c r="O10933">
        <v>250915</v>
      </c>
      <c r="P10933">
        <v>900.36</v>
      </c>
    </row>
    <row r="10934" spans="1:16" x14ac:dyDescent="0.25">
      <c r="A10934" t="s">
        <v>3296</v>
      </c>
      <c r="B10934" t="s">
        <v>2931</v>
      </c>
      <c r="C10934">
        <v>12650</v>
      </c>
      <c r="D10934" t="str">
        <f>"6903538844  "</f>
        <v xml:space="preserve">6903538844  </v>
      </c>
      <c r="E10934" t="s">
        <v>180</v>
      </c>
      <c r="F10934" t="s">
        <v>182</v>
      </c>
      <c r="G10934">
        <v>3777.7</v>
      </c>
      <c r="H10934">
        <v>250915</v>
      </c>
      <c r="I10934">
        <v>4574</v>
      </c>
      <c r="J10934" t="s">
        <v>181</v>
      </c>
      <c r="K10934">
        <v>3868.06</v>
      </c>
      <c r="L10934">
        <v>767.58</v>
      </c>
      <c r="M10934">
        <v>51151</v>
      </c>
      <c r="N10934" t="s">
        <v>221</v>
      </c>
      <c r="O10934">
        <v>250929</v>
      </c>
      <c r="P10934">
        <v>3010.12</v>
      </c>
    </row>
    <row r="10935" spans="1:16" x14ac:dyDescent="0.25">
      <c r="A10935" t="s">
        <v>3296</v>
      </c>
      <c r="B10935" t="s">
        <v>2931</v>
      </c>
      <c r="C10935">
        <v>12911</v>
      </c>
      <c r="D10935" t="str">
        <f>"6903546340  "</f>
        <v xml:space="preserve">6903546340  </v>
      </c>
      <c r="E10935" t="s">
        <v>180</v>
      </c>
      <c r="F10935" t="s">
        <v>182</v>
      </c>
      <c r="G10935">
        <v>1129.95</v>
      </c>
      <c r="H10935">
        <v>250926</v>
      </c>
      <c r="I10935">
        <v>4574</v>
      </c>
      <c r="J10935" t="s">
        <v>181</v>
      </c>
      <c r="K10935">
        <v>1129.95</v>
      </c>
      <c r="L10935">
        <v>229.59</v>
      </c>
      <c r="M10935">
        <v>17534</v>
      </c>
      <c r="N10935" t="s">
        <v>148</v>
      </c>
      <c r="O10935">
        <v>251001</v>
      </c>
      <c r="P10935">
        <v>900.36</v>
      </c>
    </row>
    <row r="10936" spans="1:16" x14ac:dyDescent="0.25">
      <c r="A10936" t="s">
        <v>3296</v>
      </c>
      <c r="B10936" t="s">
        <v>2931</v>
      </c>
      <c r="C10936">
        <v>13113</v>
      </c>
      <c r="D10936" t="str">
        <f>"6903541898  "</f>
        <v xml:space="preserve">6903541898  </v>
      </c>
      <c r="E10936" t="s">
        <v>180</v>
      </c>
      <c r="F10936" t="s">
        <v>182</v>
      </c>
      <c r="G10936">
        <v>835.93</v>
      </c>
      <c r="H10936">
        <v>250918</v>
      </c>
      <c r="I10936">
        <v>4574</v>
      </c>
      <c r="J10936" t="s">
        <v>181</v>
      </c>
      <c r="K10936">
        <v>835.93</v>
      </c>
      <c r="L10936">
        <v>169.85</v>
      </c>
      <c r="M10936">
        <v>51151</v>
      </c>
      <c r="N10936" t="s">
        <v>221</v>
      </c>
      <c r="O10936">
        <v>251006</v>
      </c>
      <c r="P10936">
        <v>666.08</v>
      </c>
    </row>
    <row r="10937" spans="1:16" x14ac:dyDescent="0.25">
      <c r="A10937" t="s">
        <v>3296</v>
      </c>
      <c r="B10937" t="s">
        <v>2931</v>
      </c>
      <c r="C10937">
        <v>13143</v>
      </c>
      <c r="D10937" t="str">
        <f>"6903547818  "</f>
        <v xml:space="preserve">6903547818  </v>
      </c>
      <c r="E10937" t="s">
        <v>180</v>
      </c>
      <c r="F10937" t="s">
        <v>182</v>
      </c>
      <c r="G10937">
        <v>112.74</v>
      </c>
      <c r="H10937">
        <v>251001</v>
      </c>
      <c r="I10937">
        <v>4574</v>
      </c>
      <c r="J10937" t="s">
        <v>181</v>
      </c>
      <c r="K10937">
        <v>1352.89</v>
      </c>
      <c r="L10937">
        <v>22.91</v>
      </c>
      <c r="M10937">
        <v>17534</v>
      </c>
      <c r="N10937" t="s">
        <v>148</v>
      </c>
      <c r="O10937">
        <v>251006</v>
      </c>
      <c r="P10937">
        <v>89.83</v>
      </c>
    </row>
    <row r="10938" spans="1:16" x14ac:dyDescent="0.25">
      <c r="A10938" t="s">
        <v>3296</v>
      </c>
      <c r="B10938" t="s">
        <v>2931</v>
      </c>
      <c r="C10938">
        <v>13143</v>
      </c>
      <c r="D10938" t="str">
        <f>"6903547818  "</f>
        <v xml:space="preserve">6903547818  </v>
      </c>
      <c r="E10938" t="s">
        <v>180</v>
      </c>
      <c r="F10938" t="s">
        <v>182</v>
      </c>
      <c r="G10938">
        <v>112.74</v>
      </c>
      <c r="H10938">
        <v>251001</v>
      </c>
      <c r="I10938">
        <v>4574</v>
      </c>
      <c r="J10938" t="s">
        <v>181</v>
      </c>
      <c r="K10938">
        <v>1352.89</v>
      </c>
      <c r="L10938">
        <v>22.91</v>
      </c>
      <c r="M10938">
        <v>17535</v>
      </c>
      <c r="N10938" t="s">
        <v>149</v>
      </c>
      <c r="O10938">
        <v>251006</v>
      </c>
      <c r="P10938">
        <v>89.83</v>
      </c>
    </row>
    <row r="10939" spans="1:16" x14ac:dyDescent="0.25">
      <c r="A10939" t="s">
        <v>3296</v>
      </c>
      <c r="B10939" t="s">
        <v>2931</v>
      </c>
      <c r="C10939">
        <v>13143</v>
      </c>
      <c r="D10939" t="str">
        <f>"6903547818  "</f>
        <v xml:space="preserve">6903547818  </v>
      </c>
      <c r="E10939" t="s">
        <v>180</v>
      </c>
      <c r="F10939" t="s">
        <v>182</v>
      </c>
      <c r="G10939">
        <v>112.74</v>
      </c>
      <c r="H10939">
        <v>251001</v>
      </c>
      <c r="I10939">
        <v>4574</v>
      </c>
      <c r="J10939" t="s">
        <v>181</v>
      </c>
      <c r="K10939">
        <v>1352.89</v>
      </c>
      <c r="L10939">
        <v>22.91</v>
      </c>
      <c r="M10939">
        <v>17536</v>
      </c>
      <c r="N10939" t="s">
        <v>150</v>
      </c>
      <c r="O10939">
        <v>251006</v>
      </c>
      <c r="P10939">
        <v>89.83</v>
      </c>
    </row>
    <row r="10940" spans="1:16" x14ac:dyDescent="0.25">
      <c r="A10940" t="s">
        <v>3296</v>
      </c>
      <c r="B10940" t="s">
        <v>2931</v>
      </c>
      <c r="C10940">
        <v>13733</v>
      </c>
      <c r="D10940" t="str">
        <f>"6903570980  "</f>
        <v xml:space="preserve">6903570980  </v>
      </c>
      <c r="E10940" t="s">
        <v>180</v>
      </c>
      <c r="F10940" t="s">
        <v>182</v>
      </c>
      <c r="G10940">
        <v>188.25</v>
      </c>
      <c r="H10940">
        <v>251001</v>
      </c>
      <c r="I10940">
        <v>4574</v>
      </c>
      <c r="J10940" t="s">
        <v>181</v>
      </c>
      <c r="K10940">
        <v>188.25</v>
      </c>
      <c r="L10940">
        <v>38.25</v>
      </c>
      <c r="M10940">
        <v>51151</v>
      </c>
      <c r="N10940" t="s">
        <v>221</v>
      </c>
      <c r="O10940">
        <v>251017</v>
      </c>
      <c r="P10940">
        <v>150</v>
      </c>
    </row>
    <row r="10941" spans="1:16" x14ac:dyDescent="0.25">
      <c r="A10941" t="s">
        <v>3296</v>
      </c>
      <c r="B10941" t="s">
        <v>2931</v>
      </c>
      <c r="C10941">
        <v>14290</v>
      </c>
      <c r="D10941" t="str">
        <f>"6903584934  "</f>
        <v xml:space="preserve">6903584934  </v>
      </c>
      <c r="E10941" t="s">
        <v>180</v>
      </c>
      <c r="F10941" t="s">
        <v>182</v>
      </c>
      <c r="G10941">
        <v>2532.4499999999998</v>
      </c>
      <c r="H10941">
        <v>251024</v>
      </c>
      <c r="I10941">
        <v>4574</v>
      </c>
      <c r="J10941" t="s">
        <v>181</v>
      </c>
      <c r="K10941">
        <v>2532.4499999999998</v>
      </c>
      <c r="L10941">
        <v>514.55999999999995</v>
      </c>
      <c r="M10941">
        <v>17803</v>
      </c>
      <c r="N10941" t="s">
        <v>19</v>
      </c>
      <c r="O10941">
        <v>251028</v>
      </c>
      <c r="P10941">
        <v>2017.89</v>
      </c>
    </row>
    <row r="10942" spans="1:16" x14ac:dyDescent="0.25">
      <c r="A10942" t="s">
        <v>3296</v>
      </c>
      <c r="B10942" t="s">
        <v>2931</v>
      </c>
      <c r="C10942">
        <v>14715</v>
      </c>
      <c r="D10942" t="str">
        <f>"6903585316  "</f>
        <v xml:space="preserve">6903585316  </v>
      </c>
      <c r="E10942" t="s">
        <v>180</v>
      </c>
      <c r="F10942" t="s">
        <v>182</v>
      </c>
      <c r="G10942">
        <v>1740.1</v>
      </c>
      <c r="H10942">
        <v>251027</v>
      </c>
      <c r="I10942">
        <v>4574</v>
      </c>
      <c r="J10942" t="s">
        <v>181</v>
      </c>
      <c r="K10942">
        <v>1740.1</v>
      </c>
      <c r="L10942">
        <v>353.57</v>
      </c>
      <c r="M10942">
        <v>51151</v>
      </c>
      <c r="N10942" t="s">
        <v>221</v>
      </c>
      <c r="O10942">
        <v>251106</v>
      </c>
      <c r="P10942">
        <v>1386.53</v>
      </c>
    </row>
    <row r="10943" spans="1:16" x14ac:dyDescent="0.25">
      <c r="A10943" t="s">
        <v>3296</v>
      </c>
      <c r="B10943" t="s">
        <v>2931</v>
      </c>
      <c r="C10943">
        <v>14755</v>
      </c>
      <c r="D10943" t="str">
        <f>"6903604641  "</f>
        <v xml:space="preserve">6903604641  </v>
      </c>
      <c r="E10943" t="s">
        <v>180</v>
      </c>
      <c r="F10943" t="s">
        <v>182</v>
      </c>
      <c r="G10943">
        <v>188.25</v>
      </c>
      <c r="H10943">
        <v>251031</v>
      </c>
      <c r="I10943">
        <v>4574</v>
      </c>
      <c r="J10943" t="s">
        <v>181</v>
      </c>
      <c r="K10943">
        <v>188.25</v>
      </c>
      <c r="L10943">
        <v>38.25</v>
      </c>
      <c r="M10943">
        <v>51151</v>
      </c>
      <c r="N10943" t="s">
        <v>221</v>
      </c>
      <c r="O10943">
        <v>251106</v>
      </c>
      <c r="P10943">
        <v>150</v>
      </c>
    </row>
    <row r="10944" spans="1:16" x14ac:dyDescent="0.25">
      <c r="A10944" t="s">
        <v>3296</v>
      </c>
      <c r="B10944" t="s">
        <v>2931</v>
      </c>
      <c r="C10944">
        <v>14882</v>
      </c>
      <c r="D10944" t="str">
        <f>"6903606706  "</f>
        <v xml:space="preserve">6903606706  </v>
      </c>
      <c r="E10944" t="s">
        <v>180</v>
      </c>
      <c r="F10944" t="s">
        <v>182</v>
      </c>
      <c r="G10944">
        <v>1129.95</v>
      </c>
      <c r="H10944">
        <v>251104</v>
      </c>
      <c r="I10944">
        <v>4574</v>
      </c>
      <c r="J10944" t="s">
        <v>181</v>
      </c>
      <c r="K10944">
        <v>1129.95</v>
      </c>
      <c r="L10944">
        <v>229.59</v>
      </c>
      <c r="M10944">
        <v>17534</v>
      </c>
      <c r="N10944" t="s">
        <v>148</v>
      </c>
      <c r="O10944">
        <v>251107</v>
      </c>
      <c r="P10944">
        <v>900.36</v>
      </c>
    </row>
    <row r="10945" spans="1:16" x14ac:dyDescent="0.25">
      <c r="A10945" t="s">
        <v>3296</v>
      </c>
      <c r="B10945" t="s">
        <v>2931</v>
      </c>
      <c r="C10945">
        <v>15760</v>
      </c>
      <c r="D10945" t="str">
        <f>"6903615860  "</f>
        <v xml:space="preserve">6903615860  </v>
      </c>
      <c r="E10945" t="s">
        <v>180</v>
      </c>
      <c r="F10945" t="s">
        <v>182</v>
      </c>
      <c r="G10945">
        <v>1099.1400000000001</v>
      </c>
      <c r="H10945">
        <v>251121</v>
      </c>
      <c r="I10945">
        <v>4574</v>
      </c>
      <c r="J10945" t="s">
        <v>181</v>
      </c>
      <c r="K10945">
        <v>1493.41</v>
      </c>
      <c r="L10945">
        <v>223.33</v>
      </c>
      <c r="M10945">
        <v>17534</v>
      </c>
      <c r="N10945" t="s">
        <v>148</v>
      </c>
      <c r="O10945">
        <v>251126</v>
      </c>
      <c r="P10945">
        <v>875.81</v>
      </c>
    </row>
    <row r="10946" spans="1:16" x14ac:dyDescent="0.25">
      <c r="A10946" t="s">
        <v>3296</v>
      </c>
      <c r="B10946" t="s">
        <v>2931</v>
      </c>
      <c r="C10946">
        <v>15760</v>
      </c>
      <c r="D10946" t="str">
        <f>"6903615860  "</f>
        <v xml:space="preserve">6903615860  </v>
      </c>
      <c r="E10946" t="s">
        <v>180</v>
      </c>
      <c r="F10946" t="s">
        <v>182</v>
      </c>
      <c r="G10946">
        <v>394.27</v>
      </c>
      <c r="H10946">
        <v>251121</v>
      </c>
      <c r="I10946">
        <v>4574</v>
      </c>
      <c r="J10946" t="s">
        <v>181</v>
      </c>
      <c r="K10946">
        <v>1493.41</v>
      </c>
      <c r="L10946">
        <v>80.11</v>
      </c>
      <c r="M10946">
        <v>17535</v>
      </c>
      <c r="N10946" t="s">
        <v>149</v>
      </c>
      <c r="O10946">
        <v>251126</v>
      </c>
      <c r="P10946">
        <v>314.16000000000003</v>
      </c>
    </row>
    <row r="10947" spans="1:16" x14ac:dyDescent="0.25">
      <c r="A10947" t="s">
        <v>3296</v>
      </c>
      <c r="B10947" t="s">
        <v>2931</v>
      </c>
      <c r="C10947">
        <v>15953</v>
      </c>
      <c r="D10947" t="str">
        <f>"6903611763  "</f>
        <v xml:space="preserve">6903611763  </v>
      </c>
      <c r="E10947" t="s">
        <v>180</v>
      </c>
      <c r="F10947" t="s">
        <v>182</v>
      </c>
      <c r="G10947">
        <v>1598.7</v>
      </c>
      <c r="H10947">
        <v>251114</v>
      </c>
      <c r="I10947">
        <v>4574</v>
      </c>
      <c r="J10947" t="s">
        <v>181</v>
      </c>
      <c r="K10947">
        <v>2283.85</v>
      </c>
      <c r="L10947">
        <v>324.83999999999997</v>
      </c>
      <c r="M10947">
        <v>46554</v>
      </c>
      <c r="N10947" t="s">
        <v>102</v>
      </c>
      <c r="O10947">
        <v>251201</v>
      </c>
      <c r="P10947">
        <v>1273.8599999999999</v>
      </c>
    </row>
    <row r="10948" spans="1:16" x14ac:dyDescent="0.25">
      <c r="A10948" t="s">
        <v>3296</v>
      </c>
      <c r="B10948" t="s">
        <v>2931</v>
      </c>
      <c r="C10948">
        <v>15953</v>
      </c>
      <c r="D10948" t="str">
        <f>"6903611763  "</f>
        <v xml:space="preserve">6903611763  </v>
      </c>
      <c r="E10948" t="s">
        <v>180</v>
      </c>
      <c r="F10948" t="s">
        <v>182</v>
      </c>
      <c r="G10948">
        <v>685.15</v>
      </c>
      <c r="H10948">
        <v>251114</v>
      </c>
      <c r="I10948">
        <v>4574</v>
      </c>
      <c r="J10948" t="s">
        <v>181</v>
      </c>
      <c r="K10948">
        <v>2283.85</v>
      </c>
      <c r="L10948">
        <v>139.21</v>
      </c>
      <c r="M10948">
        <v>46557</v>
      </c>
      <c r="N10948" t="s">
        <v>104</v>
      </c>
      <c r="O10948">
        <v>251201</v>
      </c>
      <c r="P10948">
        <v>545.94000000000005</v>
      </c>
    </row>
    <row r="10949" spans="1:16" x14ac:dyDescent="0.25">
      <c r="A10949" t="s">
        <v>3296</v>
      </c>
      <c r="B10949" t="s">
        <v>2931</v>
      </c>
      <c r="C10949">
        <v>16357</v>
      </c>
      <c r="D10949" t="str">
        <f>"6903617946  "</f>
        <v xml:space="preserve">6903617946  </v>
      </c>
      <c r="E10949" t="s">
        <v>180</v>
      </c>
      <c r="F10949" t="s">
        <v>182</v>
      </c>
      <c r="G10949">
        <v>-49.72</v>
      </c>
      <c r="H10949">
        <v>251125</v>
      </c>
      <c r="I10949">
        <v>4574</v>
      </c>
      <c r="J10949" t="s">
        <v>181</v>
      </c>
      <c r="K10949">
        <v>-49.72</v>
      </c>
      <c r="L10949">
        <v>-10.1</v>
      </c>
      <c r="M10949">
        <v>17535</v>
      </c>
      <c r="N10949" t="s">
        <v>149</v>
      </c>
      <c r="O10949">
        <v>251208</v>
      </c>
      <c r="P10949">
        <v>-39.619999999999997</v>
      </c>
    </row>
    <row r="10950" spans="1:16" x14ac:dyDescent="0.25">
      <c r="A10950" t="s">
        <v>3296</v>
      </c>
      <c r="B10950" t="s">
        <v>2931</v>
      </c>
      <c r="C10950">
        <v>16417</v>
      </c>
      <c r="D10950" t="str">
        <f>"6903619470  "</f>
        <v xml:space="preserve">6903619470  </v>
      </c>
      <c r="E10950" t="s">
        <v>180</v>
      </c>
      <c r="F10950" t="s">
        <v>182</v>
      </c>
      <c r="G10950">
        <v>147.09</v>
      </c>
      <c r="H10950">
        <v>251128</v>
      </c>
      <c r="I10950">
        <v>4574</v>
      </c>
      <c r="J10950" t="s">
        <v>181</v>
      </c>
      <c r="K10950">
        <v>147.09</v>
      </c>
      <c r="L10950">
        <v>29.89</v>
      </c>
      <c r="M10950">
        <v>17534</v>
      </c>
      <c r="N10950" t="s">
        <v>148</v>
      </c>
      <c r="O10950">
        <v>251208</v>
      </c>
      <c r="P10950">
        <v>117.2</v>
      </c>
    </row>
    <row r="10951" spans="1:16" x14ac:dyDescent="0.25">
      <c r="A10951" t="s">
        <v>3296</v>
      </c>
      <c r="B10951" t="s">
        <v>2931</v>
      </c>
      <c r="C10951">
        <v>16693</v>
      </c>
      <c r="D10951" t="str">
        <f>"6903640398  "</f>
        <v xml:space="preserve">6903640398  </v>
      </c>
      <c r="E10951" t="s">
        <v>180</v>
      </c>
      <c r="F10951" t="s">
        <v>182</v>
      </c>
      <c r="G10951">
        <v>-75.040000000000006</v>
      </c>
      <c r="H10951">
        <v>251209</v>
      </c>
      <c r="I10951">
        <v>4574</v>
      </c>
      <c r="J10951" t="s">
        <v>181</v>
      </c>
      <c r="K10951">
        <v>-75.040000000000006</v>
      </c>
      <c r="L10951">
        <v>-15.25</v>
      </c>
      <c r="M10951">
        <v>17534</v>
      </c>
      <c r="N10951" t="s">
        <v>148</v>
      </c>
      <c r="O10951">
        <v>251211</v>
      </c>
      <c r="P10951">
        <v>-59.79</v>
      </c>
    </row>
    <row r="10952" spans="1:16" x14ac:dyDescent="0.25">
      <c r="A10952" t="s">
        <v>3296</v>
      </c>
      <c r="B10952" t="s">
        <v>2931</v>
      </c>
      <c r="C10952">
        <v>16759</v>
      </c>
      <c r="D10952" t="str">
        <f>"6903640536  "</f>
        <v xml:space="preserve">6903640536  </v>
      </c>
      <c r="E10952" t="s">
        <v>180</v>
      </c>
      <c r="F10952" t="s">
        <v>182</v>
      </c>
      <c r="G10952">
        <v>5412.86</v>
      </c>
      <c r="H10952">
        <v>251209</v>
      </c>
      <c r="I10952">
        <v>4574</v>
      </c>
      <c r="J10952" t="s">
        <v>181</v>
      </c>
      <c r="K10952">
        <v>5412.86</v>
      </c>
      <c r="L10952">
        <v>1099.82</v>
      </c>
      <c r="M10952">
        <v>17804</v>
      </c>
      <c r="N10952" t="s">
        <v>20</v>
      </c>
      <c r="O10952">
        <v>251211</v>
      </c>
      <c r="P10952">
        <v>4313.04</v>
      </c>
    </row>
    <row r="10953" spans="1:16" x14ac:dyDescent="0.25">
      <c r="A10953" t="s">
        <v>3296</v>
      </c>
      <c r="B10953" t="s">
        <v>2931</v>
      </c>
      <c r="C10953">
        <v>16939</v>
      </c>
      <c r="D10953" t="str">
        <f>"6903636502  "</f>
        <v xml:space="preserve">6903636502  </v>
      </c>
      <c r="E10953" t="s">
        <v>180</v>
      </c>
      <c r="F10953" t="s">
        <v>182</v>
      </c>
      <c r="G10953">
        <v>188.25</v>
      </c>
      <c r="H10953">
        <v>251201</v>
      </c>
      <c r="I10953">
        <v>4574</v>
      </c>
      <c r="J10953" t="s">
        <v>181</v>
      </c>
      <c r="K10953">
        <v>188.25</v>
      </c>
      <c r="L10953">
        <v>38.25</v>
      </c>
      <c r="M10953">
        <v>51151</v>
      </c>
      <c r="N10953" t="s">
        <v>221</v>
      </c>
      <c r="O10953">
        <v>251216</v>
      </c>
      <c r="P10953">
        <v>150</v>
      </c>
    </row>
    <row r="10954" spans="1:16" x14ac:dyDescent="0.25">
      <c r="A10954" t="s">
        <v>3296</v>
      </c>
      <c r="B10954" t="s">
        <v>2931</v>
      </c>
      <c r="C10954">
        <v>17022</v>
      </c>
      <c r="D10954" t="str">
        <f>"6903639766  "</f>
        <v xml:space="preserve">6903639766  </v>
      </c>
      <c r="E10954" t="s">
        <v>180</v>
      </c>
      <c r="F10954" t="s">
        <v>182</v>
      </c>
      <c r="G10954">
        <v>3777.7</v>
      </c>
      <c r="H10954">
        <v>251208</v>
      </c>
      <c r="I10954">
        <v>4574</v>
      </c>
      <c r="J10954" t="s">
        <v>181</v>
      </c>
      <c r="K10954">
        <v>3777.7</v>
      </c>
      <c r="L10954">
        <v>767.58</v>
      </c>
      <c r="M10954">
        <v>51151</v>
      </c>
      <c r="N10954" t="s">
        <v>221</v>
      </c>
      <c r="O10954">
        <v>251216</v>
      </c>
      <c r="P10954">
        <v>3010.12</v>
      </c>
    </row>
    <row r="10955" spans="1:16" x14ac:dyDescent="0.25">
      <c r="A10955" t="s">
        <v>3296</v>
      </c>
      <c r="B10955" t="s">
        <v>2931</v>
      </c>
      <c r="C10955">
        <v>17715</v>
      </c>
      <c r="D10955" t="str">
        <f>"6903642449  "</f>
        <v xml:space="preserve">6903642449  </v>
      </c>
      <c r="E10955" t="s">
        <v>180</v>
      </c>
      <c r="F10955" t="s">
        <v>182</v>
      </c>
      <c r="G10955">
        <v>1129.95</v>
      </c>
      <c r="H10955">
        <v>251212</v>
      </c>
      <c r="I10955">
        <v>4574</v>
      </c>
      <c r="J10955" t="s">
        <v>181</v>
      </c>
      <c r="K10955">
        <v>1129.95</v>
      </c>
      <c r="L10955">
        <v>229.59</v>
      </c>
      <c r="M10955">
        <v>17534</v>
      </c>
      <c r="N10955" t="s">
        <v>148</v>
      </c>
      <c r="O10955">
        <v>251229</v>
      </c>
      <c r="P10955">
        <v>900.36</v>
      </c>
    </row>
    <row r="10956" spans="1:16" x14ac:dyDescent="0.25">
      <c r="A10956" t="s">
        <v>3296</v>
      </c>
      <c r="B10956" t="s">
        <v>2931</v>
      </c>
      <c r="C10956">
        <v>121</v>
      </c>
      <c r="D10956" t="str">
        <f>"6903206383  "</f>
        <v xml:space="preserve">6903206383  </v>
      </c>
      <c r="E10956" t="s">
        <v>180</v>
      </c>
      <c r="F10956" t="s">
        <v>182</v>
      </c>
      <c r="G10956">
        <v>209.08</v>
      </c>
      <c r="H10956">
        <v>250101</v>
      </c>
      <c r="I10956">
        <v>4580</v>
      </c>
      <c r="J10956" t="s">
        <v>126</v>
      </c>
      <c r="K10956">
        <v>209.08</v>
      </c>
      <c r="L10956">
        <v>42.48</v>
      </c>
      <c r="M10956">
        <v>17521</v>
      </c>
      <c r="N10956" t="s">
        <v>136</v>
      </c>
      <c r="O10956">
        <v>250113</v>
      </c>
      <c r="P10956">
        <v>166.6</v>
      </c>
    </row>
    <row r="10957" spans="1:16" x14ac:dyDescent="0.25">
      <c r="A10957" t="s">
        <v>3296</v>
      </c>
      <c r="B10957" t="s">
        <v>2931</v>
      </c>
      <c r="C10957">
        <v>2030</v>
      </c>
      <c r="D10957" t="str">
        <f>"6903243156  "</f>
        <v xml:space="preserve">6903243156  </v>
      </c>
      <c r="E10957" t="s">
        <v>180</v>
      </c>
      <c r="F10957" t="s">
        <v>182</v>
      </c>
      <c r="G10957">
        <v>208.14</v>
      </c>
      <c r="H10957">
        <v>250129</v>
      </c>
      <c r="I10957">
        <v>4580</v>
      </c>
      <c r="J10957" t="s">
        <v>126</v>
      </c>
      <c r="K10957">
        <v>208.14</v>
      </c>
      <c r="L10957">
        <v>42.29</v>
      </c>
      <c r="M10957">
        <v>56559</v>
      </c>
      <c r="N10957" t="s">
        <v>51</v>
      </c>
      <c r="O10957">
        <v>250219</v>
      </c>
      <c r="P10957">
        <v>165.85</v>
      </c>
    </row>
    <row r="10958" spans="1:16" x14ac:dyDescent="0.25">
      <c r="A10958" t="s">
        <v>3296</v>
      </c>
      <c r="B10958" t="s">
        <v>2931</v>
      </c>
      <c r="C10958">
        <v>4242</v>
      </c>
      <c r="D10958" t="str">
        <f>"6903305181  "</f>
        <v xml:space="preserve">6903305181  </v>
      </c>
      <c r="E10958" t="s">
        <v>180</v>
      </c>
      <c r="F10958" t="s">
        <v>182</v>
      </c>
      <c r="G10958">
        <v>88.14</v>
      </c>
      <c r="H10958">
        <v>250320</v>
      </c>
      <c r="I10958">
        <v>4580</v>
      </c>
      <c r="J10958" t="s">
        <v>126</v>
      </c>
      <c r="K10958">
        <v>1777.02</v>
      </c>
      <c r="L10958">
        <v>17.91</v>
      </c>
      <c r="M10958">
        <v>56559</v>
      </c>
      <c r="N10958" t="s">
        <v>51</v>
      </c>
      <c r="O10958">
        <v>250409</v>
      </c>
      <c r="P10958">
        <v>70.23</v>
      </c>
    </row>
    <row r="10959" spans="1:16" x14ac:dyDescent="0.25">
      <c r="A10959" t="s">
        <v>3296</v>
      </c>
      <c r="B10959" t="s">
        <v>2931</v>
      </c>
      <c r="C10959">
        <v>4826</v>
      </c>
      <c r="D10959" t="str">
        <f>"6903310290  "</f>
        <v xml:space="preserve">6903310290  </v>
      </c>
      <c r="E10959" t="s">
        <v>180</v>
      </c>
      <c r="F10959" t="s">
        <v>182</v>
      </c>
      <c r="G10959">
        <v>82.53</v>
      </c>
      <c r="H10959">
        <v>250328</v>
      </c>
      <c r="I10959">
        <v>4580</v>
      </c>
      <c r="J10959" t="s">
        <v>126</v>
      </c>
      <c r="K10959">
        <v>82.53</v>
      </c>
      <c r="L10959">
        <v>16.77</v>
      </c>
      <c r="M10959">
        <v>17521</v>
      </c>
      <c r="N10959" t="s">
        <v>136</v>
      </c>
      <c r="O10959">
        <v>250415</v>
      </c>
      <c r="P10959">
        <v>65.760000000000005</v>
      </c>
    </row>
    <row r="10960" spans="1:16" x14ac:dyDescent="0.25">
      <c r="A10960" t="s">
        <v>3296</v>
      </c>
      <c r="B10960" t="s">
        <v>2931</v>
      </c>
      <c r="C10960">
        <v>6745</v>
      </c>
      <c r="D10960" t="str">
        <f>"6903341461  "</f>
        <v xml:space="preserve">6903341461  </v>
      </c>
      <c r="E10960" t="s">
        <v>180</v>
      </c>
      <c r="F10960" t="s">
        <v>182</v>
      </c>
      <c r="G10960">
        <v>324.17</v>
      </c>
      <c r="H10960">
        <v>250423</v>
      </c>
      <c r="I10960">
        <v>4580</v>
      </c>
      <c r="J10960" t="s">
        <v>126</v>
      </c>
      <c r="K10960">
        <v>324.17</v>
      </c>
      <c r="L10960">
        <v>65.87</v>
      </c>
      <c r="M10960">
        <v>17521</v>
      </c>
      <c r="N10960" t="s">
        <v>136</v>
      </c>
      <c r="O10960">
        <v>250516</v>
      </c>
      <c r="P10960">
        <v>258.3</v>
      </c>
    </row>
    <row r="10961" spans="1:16" x14ac:dyDescent="0.25">
      <c r="A10961" t="s">
        <v>3296</v>
      </c>
      <c r="B10961" t="s">
        <v>2931</v>
      </c>
      <c r="C10961">
        <v>7381</v>
      </c>
      <c r="D10961" t="str">
        <f>"6903374074  "</f>
        <v xml:space="preserve">6903374074  </v>
      </c>
      <c r="E10961" t="s">
        <v>180</v>
      </c>
      <c r="F10961" t="s">
        <v>182</v>
      </c>
      <c r="G10961">
        <v>146.41</v>
      </c>
      <c r="H10961">
        <v>250515</v>
      </c>
      <c r="I10961">
        <v>4580</v>
      </c>
      <c r="J10961" t="s">
        <v>126</v>
      </c>
      <c r="K10961">
        <v>146.41</v>
      </c>
      <c r="L10961">
        <v>29.75</v>
      </c>
      <c r="M10961">
        <v>56559</v>
      </c>
      <c r="N10961" t="s">
        <v>51</v>
      </c>
      <c r="O10961">
        <v>250603</v>
      </c>
      <c r="P10961">
        <v>116.66</v>
      </c>
    </row>
    <row r="10962" spans="1:16" x14ac:dyDescent="0.25">
      <c r="A10962" t="s">
        <v>3296</v>
      </c>
      <c r="B10962" t="s">
        <v>2931</v>
      </c>
      <c r="C10962">
        <v>12650</v>
      </c>
      <c r="D10962" t="str">
        <f>"6903538844  "</f>
        <v xml:space="preserve">6903538844  </v>
      </c>
      <c r="E10962" t="s">
        <v>180</v>
      </c>
      <c r="F10962" t="s">
        <v>182</v>
      </c>
      <c r="G10962">
        <v>90.36</v>
      </c>
      <c r="H10962">
        <v>250915</v>
      </c>
      <c r="I10962">
        <v>4580</v>
      </c>
      <c r="J10962" t="s">
        <v>126</v>
      </c>
      <c r="K10962">
        <v>3868.06</v>
      </c>
      <c r="L10962">
        <v>18.36</v>
      </c>
      <c r="M10962">
        <v>56559</v>
      </c>
      <c r="N10962" t="s">
        <v>51</v>
      </c>
      <c r="O10962">
        <v>250929</v>
      </c>
      <c r="P10962">
        <v>72</v>
      </c>
    </row>
    <row r="10963" spans="1:16" x14ac:dyDescent="0.25">
      <c r="A10963" t="s">
        <v>3296</v>
      </c>
      <c r="B10963" t="s">
        <v>2931</v>
      </c>
      <c r="C10963">
        <v>13395</v>
      </c>
      <c r="D10963" t="str">
        <f>"6903547962  "</f>
        <v xml:space="preserve">6903547962  </v>
      </c>
      <c r="E10963" t="s">
        <v>180</v>
      </c>
      <c r="F10963" t="s">
        <v>182</v>
      </c>
      <c r="G10963">
        <v>165.16</v>
      </c>
      <c r="H10963">
        <v>251001</v>
      </c>
      <c r="I10963">
        <v>4580</v>
      </c>
      <c r="J10963" t="s">
        <v>126</v>
      </c>
      <c r="K10963">
        <v>330.32</v>
      </c>
      <c r="L10963">
        <v>33.56</v>
      </c>
      <c r="M10963">
        <v>17525</v>
      </c>
      <c r="N10963" t="s">
        <v>140</v>
      </c>
      <c r="O10963">
        <v>251008</v>
      </c>
      <c r="P10963">
        <v>131.6</v>
      </c>
    </row>
    <row r="10964" spans="1:16" x14ac:dyDescent="0.25">
      <c r="A10964" t="s">
        <v>3296</v>
      </c>
      <c r="B10964" t="s">
        <v>2931</v>
      </c>
      <c r="C10964">
        <v>13395</v>
      </c>
      <c r="D10964" t="str">
        <f>"6903547962  "</f>
        <v xml:space="preserve">6903547962  </v>
      </c>
      <c r="E10964" t="s">
        <v>180</v>
      </c>
      <c r="F10964" t="s">
        <v>182</v>
      </c>
      <c r="G10964">
        <v>165.16</v>
      </c>
      <c r="H10964">
        <v>251001</v>
      </c>
      <c r="I10964">
        <v>4580</v>
      </c>
      <c r="J10964" t="s">
        <v>126</v>
      </c>
      <c r="K10964">
        <v>330.32</v>
      </c>
      <c r="L10964">
        <v>33.56</v>
      </c>
      <c r="M10964">
        <v>17529</v>
      </c>
      <c r="N10964" t="s">
        <v>143</v>
      </c>
      <c r="O10964">
        <v>251008</v>
      </c>
      <c r="P10964">
        <v>131.6</v>
      </c>
    </row>
    <row r="10965" spans="1:16" x14ac:dyDescent="0.25">
      <c r="A10965" t="s">
        <v>3296</v>
      </c>
      <c r="B10965" t="s">
        <v>2931</v>
      </c>
      <c r="C10965">
        <v>14149</v>
      </c>
      <c r="D10965" t="str">
        <f>"6903580160  "</f>
        <v xml:space="preserve">6903580160  </v>
      </c>
      <c r="E10965" t="s">
        <v>180</v>
      </c>
      <c r="F10965" t="s">
        <v>182</v>
      </c>
      <c r="G10965">
        <v>95.48</v>
      </c>
      <c r="H10965">
        <v>251017</v>
      </c>
      <c r="I10965">
        <v>4580</v>
      </c>
      <c r="J10965" t="s">
        <v>126</v>
      </c>
      <c r="K10965">
        <v>95.48</v>
      </c>
      <c r="L10965">
        <v>19.399999999999999</v>
      </c>
      <c r="M10965">
        <v>56559</v>
      </c>
      <c r="N10965" t="s">
        <v>51</v>
      </c>
      <c r="O10965">
        <v>251024</v>
      </c>
      <c r="P10965">
        <v>76.08</v>
      </c>
    </row>
    <row r="10966" spans="1:16" x14ac:dyDescent="0.25">
      <c r="A10966" t="s">
        <v>3296</v>
      </c>
      <c r="B10966" t="s">
        <v>2931</v>
      </c>
      <c r="C10966">
        <v>16717</v>
      </c>
      <c r="D10966" t="str">
        <f>"6903637653  "</f>
        <v xml:space="preserve">6903637653  </v>
      </c>
      <c r="E10966" t="s">
        <v>180</v>
      </c>
      <c r="F10966" t="s">
        <v>182</v>
      </c>
      <c r="G10966">
        <v>101.03</v>
      </c>
      <c r="H10966">
        <v>251202</v>
      </c>
      <c r="I10966">
        <v>4580</v>
      </c>
      <c r="J10966" t="s">
        <v>126</v>
      </c>
      <c r="K10966">
        <v>101.03</v>
      </c>
      <c r="L10966">
        <v>20.53</v>
      </c>
      <c r="M10966">
        <v>56559</v>
      </c>
      <c r="N10966" t="s">
        <v>51</v>
      </c>
      <c r="O10966">
        <v>251211</v>
      </c>
      <c r="P10966">
        <v>80.5</v>
      </c>
    </row>
    <row r="10967" spans="1:16" x14ac:dyDescent="0.25">
      <c r="A10967" t="s">
        <v>3296</v>
      </c>
      <c r="B10967" t="s">
        <v>2931</v>
      </c>
      <c r="C10967">
        <v>4195</v>
      </c>
      <c r="D10967" t="str">
        <f>"6903301185  "</f>
        <v xml:space="preserve">6903301185  </v>
      </c>
      <c r="E10967" t="s">
        <v>180</v>
      </c>
      <c r="F10967" t="s">
        <v>182</v>
      </c>
      <c r="G10967">
        <v>98.56</v>
      </c>
      <c r="H10967">
        <v>250313</v>
      </c>
      <c r="I10967">
        <v>4590</v>
      </c>
      <c r="J10967" t="s">
        <v>388</v>
      </c>
      <c r="K10967">
        <v>98.56</v>
      </c>
      <c r="L10967">
        <v>20.03</v>
      </c>
      <c r="M10967">
        <v>56522</v>
      </c>
      <c r="N10967" t="s">
        <v>68</v>
      </c>
      <c r="O10967">
        <v>250409</v>
      </c>
      <c r="P10967">
        <v>78.53</v>
      </c>
    </row>
    <row r="10968" spans="1:16" x14ac:dyDescent="0.25">
      <c r="A10968" t="s">
        <v>3296</v>
      </c>
      <c r="B10968" t="s">
        <v>2931</v>
      </c>
      <c r="C10968">
        <v>15457</v>
      </c>
      <c r="D10968" t="str">
        <f>"6903609041  "</f>
        <v xml:space="preserve">6903609041  </v>
      </c>
      <c r="E10968" t="s">
        <v>180</v>
      </c>
      <c r="F10968" t="s">
        <v>182</v>
      </c>
      <c r="G10968">
        <v>1720.2</v>
      </c>
      <c r="H10968">
        <v>251110</v>
      </c>
      <c r="I10968">
        <v>4590</v>
      </c>
      <c r="J10968" t="s">
        <v>388</v>
      </c>
      <c r="K10968">
        <v>1720.2</v>
      </c>
      <c r="L10968">
        <v>349.52</v>
      </c>
      <c r="M10968">
        <v>66756</v>
      </c>
      <c r="N10968" t="s">
        <v>120</v>
      </c>
      <c r="O10968">
        <v>251120</v>
      </c>
      <c r="P10968">
        <v>1370.68</v>
      </c>
    </row>
    <row r="10969" spans="1:16" x14ac:dyDescent="0.25">
      <c r="A10969" t="s">
        <v>3296</v>
      </c>
      <c r="B10969" t="s">
        <v>2931</v>
      </c>
      <c r="C10969">
        <v>365</v>
      </c>
      <c r="D10969" t="str">
        <f>"6903232992  "</f>
        <v xml:space="preserve">6903232992  </v>
      </c>
      <c r="E10969" t="s">
        <v>180</v>
      </c>
      <c r="F10969" t="s">
        <v>182</v>
      </c>
      <c r="G10969">
        <v>93.17</v>
      </c>
      <c r="H10969">
        <v>250109</v>
      </c>
      <c r="I10969">
        <v>4600</v>
      </c>
      <c r="J10969" t="s">
        <v>278</v>
      </c>
      <c r="K10969">
        <v>93.17</v>
      </c>
      <c r="L10969">
        <v>18.93</v>
      </c>
      <c r="M10969">
        <v>56565</v>
      </c>
      <c r="N10969" t="s">
        <v>57</v>
      </c>
      <c r="O10969">
        <v>250122</v>
      </c>
      <c r="P10969">
        <v>74.239999999999995</v>
      </c>
    </row>
    <row r="10970" spans="1:16" x14ac:dyDescent="0.25">
      <c r="A10970" t="s">
        <v>3296</v>
      </c>
      <c r="B10970" t="s">
        <v>2931</v>
      </c>
      <c r="C10970">
        <v>436</v>
      </c>
      <c r="D10970" t="str">
        <f>"6903238477  "</f>
        <v xml:space="preserve">6903238477  </v>
      </c>
      <c r="E10970" t="s">
        <v>180</v>
      </c>
      <c r="F10970" t="s">
        <v>182</v>
      </c>
      <c r="G10970">
        <v>1697.26</v>
      </c>
      <c r="H10970">
        <v>250201</v>
      </c>
      <c r="I10970">
        <v>4600</v>
      </c>
      <c r="J10970" t="s">
        <v>278</v>
      </c>
      <c r="K10970">
        <v>1697.26</v>
      </c>
      <c r="L10970">
        <v>344.86</v>
      </c>
      <c r="M10970">
        <v>51151</v>
      </c>
      <c r="N10970" t="s">
        <v>221</v>
      </c>
      <c r="O10970">
        <v>250122</v>
      </c>
      <c r="P10970">
        <v>1352.4</v>
      </c>
    </row>
    <row r="10971" spans="1:16" x14ac:dyDescent="0.25">
      <c r="A10971" t="s">
        <v>3296</v>
      </c>
      <c r="B10971" t="s">
        <v>2931</v>
      </c>
      <c r="C10971">
        <v>1014</v>
      </c>
      <c r="D10971" t="str">
        <f>"6903243422  "</f>
        <v xml:space="preserve">6903243422  </v>
      </c>
      <c r="E10971" t="s">
        <v>180</v>
      </c>
      <c r="F10971" t="s">
        <v>182</v>
      </c>
      <c r="G10971">
        <v>432.22</v>
      </c>
      <c r="H10971">
        <v>250129</v>
      </c>
      <c r="I10971">
        <v>4600</v>
      </c>
      <c r="J10971" t="s">
        <v>278</v>
      </c>
      <c r="K10971">
        <v>432.22</v>
      </c>
      <c r="L10971">
        <v>87.82</v>
      </c>
      <c r="M10971">
        <v>56565</v>
      </c>
      <c r="N10971" t="s">
        <v>57</v>
      </c>
      <c r="O10971">
        <v>250203</v>
      </c>
      <c r="P10971">
        <v>344.4</v>
      </c>
    </row>
    <row r="10972" spans="1:16" x14ac:dyDescent="0.25">
      <c r="A10972" t="s">
        <v>3296</v>
      </c>
      <c r="B10972" t="s">
        <v>2931</v>
      </c>
      <c r="C10972">
        <v>1795</v>
      </c>
      <c r="D10972" t="str">
        <f>"6903257299  "</f>
        <v xml:space="preserve">6903257299  </v>
      </c>
      <c r="E10972" t="s">
        <v>180</v>
      </c>
      <c r="F10972" t="s">
        <v>182</v>
      </c>
      <c r="G10972">
        <v>98.43</v>
      </c>
      <c r="H10972">
        <v>250131</v>
      </c>
      <c r="I10972">
        <v>4600</v>
      </c>
      <c r="J10972" t="s">
        <v>278</v>
      </c>
      <c r="K10972">
        <v>98.43</v>
      </c>
      <c r="L10972">
        <v>20</v>
      </c>
      <c r="M10972">
        <v>47522</v>
      </c>
      <c r="N10972" t="s">
        <v>106</v>
      </c>
      <c r="O10972">
        <v>250214</v>
      </c>
      <c r="P10972">
        <v>78.430000000000007</v>
      </c>
    </row>
    <row r="10973" spans="1:16" x14ac:dyDescent="0.25">
      <c r="A10973" t="s">
        <v>3296</v>
      </c>
      <c r="B10973" t="s">
        <v>2931</v>
      </c>
      <c r="C10973">
        <v>1988</v>
      </c>
      <c r="D10973" t="str">
        <f>"6903269484  "</f>
        <v xml:space="preserve">6903269484  </v>
      </c>
      <c r="E10973" t="s">
        <v>180</v>
      </c>
      <c r="F10973" t="s">
        <v>182</v>
      </c>
      <c r="G10973">
        <v>324.17</v>
      </c>
      <c r="H10973">
        <v>250205</v>
      </c>
      <c r="I10973">
        <v>4600</v>
      </c>
      <c r="J10973" t="s">
        <v>278</v>
      </c>
      <c r="K10973">
        <v>324.17</v>
      </c>
      <c r="L10973">
        <v>65.87</v>
      </c>
      <c r="M10973">
        <v>17526</v>
      </c>
      <c r="N10973" t="s">
        <v>141</v>
      </c>
      <c r="O10973">
        <v>250218</v>
      </c>
      <c r="P10973">
        <v>258.3</v>
      </c>
    </row>
    <row r="10974" spans="1:16" x14ac:dyDescent="0.25">
      <c r="A10974" t="s">
        <v>3296</v>
      </c>
      <c r="B10974" t="s">
        <v>2931</v>
      </c>
      <c r="C10974">
        <v>3365</v>
      </c>
      <c r="D10974" t="str">
        <f>"6903293228  "</f>
        <v xml:space="preserve">6903293228  </v>
      </c>
      <c r="E10974" t="s">
        <v>180</v>
      </c>
      <c r="F10974" t="s">
        <v>182</v>
      </c>
      <c r="G10974">
        <v>88.9</v>
      </c>
      <c r="H10974">
        <v>250228</v>
      </c>
      <c r="I10974">
        <v>4600</v>
      </c>
      <c r="J10974" t="s">
        <v>278</v>
      </c>
      <c r="K10974">
        <v>88.9</v>
      </c>
      <c r="L10974">
        <v>18.059999999999999</v>
      </c>
      <c r="M10974">
        <v>47522</v>
      </c>
      <c r="N10974" t="s">
        <v>106</v>
      </c>
      <c r="O10974">
        <v>250319</v>
      </c>
      <c r="P10974">
        <v>70.84</v>
      </c>
    </row>
    <row r="10975" spans="1:16" x14ac:dyDescent="0.25">
      <c r="A10975" t="s">
        <v>3296</v>
      </c>
      <c r="B10975" t="s">
        <v>2931</v>
      </c>
      <c r="C10975">
        <v>4242</v>
      </c>
      <c r="D10975" t="str">
        <f>"6903305181  "</f>
        <v xml:space="preserve">6903305181  </v>
      </c>
      <c r="E10975" t="s">
        <v>180</v>
      </c>
      <c r="F10975" t="s">
        <v>182</v>
      </c>
      <c r="G10975">
        <v>343.16</v>
      </c>
      <c r="H10975">
        <v>250320</v>
      </c>
      <c r="I10975">
        <v>4600</v>
      </c>
      <c r="J10975" t="s">
        <v>278</v>
      </c>
      <c r="K10975">
        <v>1777.02</v>
      </c>
      <c r="L10975">
        <v>69.73</v>
      </c>
      <c r="M10975">
        <v>51151</v>
      </c>
      <c r="N10975" t="s">
        <v>221</v>
      </c>
      <c r="O10975">
        <v>250409</v>
      </c>
      <c r="P10975">
        <v>273.43</v>
      </c>
    </row>
    <row r="10976" spans="1:16" x14ac:dyDescent="0.25">
      <c r="A10976" t="s">
        <v>3296</v>
      </c>
      <c r="B10976" t="s">
        <v>2931</v>
      </c>
      <c r="C10976">
        <v>4242</v>
      </c>
      <c r="D10976" t="str">
        <f>"6903305181  "</f>
        <v xml:space="preserve">6903305181  </v>
      </c>
      <c r="E10976" t="s">
        <v>180</v>
      </c>
      <c r="F10976" t="s">
        <v>182</v>
      </c>
      <c r="G10976">
        <v>1345.72</v>
      </c>
      <c r="H10976">
        <v>250320</v>
      </c>
      <c r="I10976">
        <v>4600</v>
      </c>
      <c r="J10976" t="s">
        <v>278</v>
      </c>
      <c r="K10976">
        <v>1777.02</v>
      </c>
      <c r="L10976">
        <v>273.43</v>
      </c>
      <c r="M10976">
        <v>51151</v>
      </c>
      <c r="N10976" t="s">
        <v>221</v>
      </c>
      <c r="O10976">
        <v>250409</v>
      </c>
      <c r="P10976">
        <v>1072.29</v>
      </c>
    </row>
    <row r="10977" spans="1:16" x14ac:dyDescent="0.25">
      <c r="A10977" t="s">
        <v>3296</v>
      </c>
      <c r="B10977" t="s">
        <v>2931</v>
      </c>
      <c r="C10977">
        <v>4845</v>
      </c>
      <c r="D10977" t="str">
        <f>"6903324385  "</f>
        <v xml:space="preserve">6903324385  </v>
      </c>
      <c r="E10977" t="s">
        <v>180</v>
      </c>
      <c r="F10977" t="s">
        <v>182</v>
      </c>
      <c r="G10977">
        <v>98.43</v>
      </c>
      <c r="H10977">
        <v>250331</v>
      </c>
      <c r="I10977">
        <v>4600</v>
      </c>
      <c r="J10977" t="s">
        <v>278</v>
      </c>
      <c r="K10977">
        <v>98.43</v>
      </c>
      <c r="L10977">
        <v>20</v>
      </c>
      <c r="M10977">
        <v>47522</v>
      </c>
      <c r="N10977" t="s">
        <v>106</v>
      </c>
      <c r="O10977">
        <v>250415</v>
      </c>
      <c r="P10977">
        <v>78.430000000000007</v>
      </c>
    </row>
    <row r="10978" spans="1:16" x14ac:dyDescent="0.25">
      <c r="A10978" t="s">
        <v>3296</v>
      </c>
      <c r="B10978" t="s">
        <v>2931</v>
      </c>
      <c r="C10978">
        <v>6597</v>
      </c>
      <c r="D10978" t="str">
        <f>"6903358777  "</f>
        <v xml:space="preserve">6903358777  </v>
      </c>
      <c r="E10978" t="s">
        <v>180</v>
      </c>
      <c r="F10978" t="s">
        <v>182</v>
      </c>
      <c r="G10978">
        <v>95.25</v>
      </c>
      <c r="H10978">
        <v>250430</v>
      </c>
      <c r="I10978">
        <v>4600</v>
      </c>
      <c r="J10978" t="s">
        <v>278</v>
      </c>
      <c r="K10978">
        <v>95.25</v>
      </c>
      <c r="L10978">
        <v>19.350000000000001</v>
      </c>
      <c r="M10978">
        <v>47522</v>
      </c>
      <c r="N10978" t="s">
        <v>106</v>
      </c>
      <c r="O10978">
        <v>250514</v>
      </c>
      <c r="P10978">
        <v>75.900000000000006</v>
      </c>
    </row>
    <row r="10979" spans="1:16" x14ac:dyDescent="0.25">
      <c r="A10979" t="s">
        <v>3296</v>
      </c>
      <c r="B10979" t="s">
        <v>2931</v>
      </c>
      <c r="C10979">
        <v>7379</v>
      </c>
      <c r="D10979" t="str">
        <f>"6903374542  "</f>
        <v xml:space="preserve">6903374542  </v>
      </c>
      <c r="E10979" t="s">
        <v>180</v>
      </c>
      <c r="F10979" t="s">
        <v>182</v>
      </c>
      <c r="G10979">
        <v>146.21</v>
      </c>
      <c r="H10979">
        <v>250515</v>
      </c>
      <c r="I10979">
        <v>4600</v>
      </c>
      <c r="J10979" t="s">
        <v>278</v>
      </c>
      <c r="K10979">
        <v>146.21</v>
      </c>
      <c r="L10979">
        <v>29.71</v>
      </c>
      <c r="M10979">
        <v>56565</v>
      </c>
      <c r="N10979" t="s">
        <v>57</v>
      </c>
      <c r="O10979">
        <v>250603</v>
      </c>
      <c r="P10979">
        <v>116.5</v>
      </c>
    </row>
    <row r="10980" spans="1:16" x14ac:dyDescent="0.25">
      <c r="A10980" t="s">
        <v>3296</v>
      </c>
      <c r="B10980" t="s">
        <v>2931</v>
      </c>
      <c r="C10980">
        <v>9619</v>
      </c>
      <c r="D10980" t="str">
        <f>"6903446954  "</f>
        <v xml:space="preserve">6903446954  </v>
      </c>
      <c r="E10980" t="s">
        <v>180</v>
      </c>
      <c r="F10980" t="s">
        <v>182</v>
      </c>
      <c r="G10980">
        <v>8770.94</v>
      </c>
      <c r="H10980">
        <v>250630</v>
      </c>
      <c r="I10980">
        <v>4600</v>
      </c>
      <c r="J10980" t="s">
        <v>278</v>
      </c>
      <c r="K10980">
        <v>8770.94</v>
      </c>
      <c r="L10980">
        <v>1782.14</v>
      </c>
      <c r="M10980">
        <v>51151</v>
      </c>
      <c r="N10980" t="s">
        <v>221</v>
      </c>
      <c r="O10980">
        <v>250721</v>
      </c>
      <c r="P10980">
        <v>6988.8</v>
      </c>
    </row>
    <row r="10981" spans="1:16" x14ac:dyDescent="0.25">
      <c r="A10981" t="s">
        <v>3296</v>
      </c>
      <c r="B10981" t="s">
        <v>2931</v>
      </c>
      <c r="C10981">
        <v>13956</v>
      </c>
      <c r="D10981" t="str">
        <f>"6903576271  "</f>
        <v xml:space="preserve">6903576271  </v>
      </c>
      <c r="E10981" t="s">
        <v>180</v>
      </c>
      <c r="F10981" t="s">
        <v>182</v>
      </c>
      <c r="G10981">
        <v>363.46</v>
      </c>
      <c r="H10981">
        <v>251010</v>
      </c>
      <c r="I10981">
        <v>4600</v>
      </c>
      <c r="J10981" t="s">
        <v>278</v>
      </c>
      <c r="K10981">
        <v>363.46</v>
      </c>
      <c r="L10981">
        <v>73.849999999999994</v>
      </c>
      <c r="M10981">
        <v>17536</v>
      </c>
      <c r="N10981" t="s">
        <v>150</v>
      </c>
      <c r="O10981">
        <v>251021</v>
      </c>
      <c r="P10981">
        <v>289.61</v>
      </c>
    </row>
    <row r="10982" spans="1:16" x14ac:dyDescent="0.25">
      <c r="A10982" t="s">
        <v>3296</v>
      </c>
      <c r="B10982" t="s">
        <v>2931</v>
      </c>
      <c r="C10982">
        <v>13958</v>
      </c>
      <c r="D10982" t="str">
        <f>"6903576468  "</f>
        <v xml:space="preserve">6903576468  </v>
      </c>
      <c r="E10982" t="s">
        <v>180</v>
      </c>
      <c r="F10982" t="s">
        <v>182</v>
      </c>
      <c r="G10982">
        <v>803.58</v>
      </c>
      <c r="H10982">
        <v>251010</v>
      </c>
      <c r="I10982">
        <v>4600</v>
      </c>
      <c r="J10982" t="s">
        <v>278</v>
      </c>
      <c r="K10982">
        <v>803.58</v>
      </c>
      <c r="L10982">
        <v>163.28</v>
      </c>
      <c r="M10982">
        <v>17522</v>
      </c>
      <c r="N10982" t="s">
        <v>137</v>
      </c>
      <c r="O10982">
        <v>251021</v>
      </c>
      <c r="P10982">
        <v>640.29999999999995</v>
      </c>
    </row>
    <row r="10983" spans="1:16" x14ac:dyDescent="0.25">
      <c r="A10983" t="s">
        <v>3296</v>
      </c>
      <c r="B10983" t="s">
        <v>2931</v>
      </c>
      <c r="C10983">
        <v>16358</v>
      </c>
      <c r="D10983" t="str">
        <f>"6903617471  "</f>
        <v xml:space="preserve">6903617471  </v>
      </c>
      <c r="E10983" t="s">
        <v>180</v>
      </c>
      <c r="F10983" t="s">
        <v>182</v>
      </c>
      <c r="G10983">
        <v>401.69</v>
      </c>
      <c r="H10983">
        <v>251125</v>
      </c>
      <c r="I10983">
        <v>4600</v>
      </c>
      <c r="J10983" t="s">
        <v>278</v>
      </c>
      <c r="K10983">
        <v>401.69</v>
      </c>
      <c r="L10983">
        <v>81.62</v>
      </c>
      <c r="M10983">
        <v>17522</v>
      </c>
      <c r="N10983" t="s">
        <v>137</v>
      </c>
      <c r="O10983">
        <v>251208</v>
      </c>
      <c r="P10983">
        <v>320.07</v>
      </c>
    </row>
    <row r="10984" spans="1:16" x14ac:dyDescent="0.25">
      <c r="A10984" t="s">
        <v>3296</v>
      </c>
      <c r="B10984" t="s">
        <v>2931</v>
      </c>
      <c r="C10984">
        <v>156</v>
      </c>
      <c r="D10984" t="str">
        <f>"6903211818  "</f>
        <v xml:space="preserve">6903211818  </v>
      </c>
      <c r="E10984" t="s">
        <v>180</v>
      </c>
      <c r="F10984" t="s">
        <v>182</v>
      </c>
      <c r="G10984">
        <v>1149.96</v>
      </c>
      <c r="H10984">
        <v>250101</v>
      </c>
      <c r="I10984">
        <v>4842</v>
      </c>
      <c r="J10984" t="s">
        <v>15</v>
      </c>
      <c r="K10984">
        <v>1149.96</v>
      </c>
      <c r="L10984">
        <v>233.66</v>
      </c>
      <c r="M10984">
        <v>17737</v>
      </c>
      <c r="N10984" t="s">
        <v>156</v>
      </c>
      <c r="O10984">
        <v>250114</v>
      </c>
      <c r="P10984">
        <v>916.3</v>
      </c>
    </row>
    <row r="10985" spans="1:16" x14ac:dyDescent="0.25">
      <c r="A10985" t="s">
        <v>3296</v>
      </c>
      <c r="B10985" t="s">
        <v>2931</v>
      </c>
      <c r="C10985">
        <v>11914</v>
      </c>
      <c r="D10985" t="str">
        <f>"6903510782  "</f>
        <v xml:space="preserve">6903510782  </v>
      </c>
      <c r="E10985" t="s">
        <v>180</v>
      </c>
      <c r="F10985" t="s">
        <v>182</v>
      </c>
      <c r="G10985">
        <v>288.14999999999998</v>
      </c>
      <c r="H10985">
        <v>250901</v>
      </c>
      <c r="I10985">
        <v>4842</v>
      </c>
      <c r="J10985" t="s">
        <v>15</v>
      </c>
      <c r="K10985">
        <v>864.44</v>
      </c>
      <c r="L10985">
        <v>58.55</v>
      </c>
      <c r="M10985">
        <v>17536</v>
      </c>
      <c r="N10985" t="s">
        <v>150</v>
      </c>
      <c r="O10985">
        <v>250912</v>
      </c>
      <c r="P10985">
        <v>229.6</v>
      </c>
    </row>
    <row r="10986" spans="1:16" x14ac:dyDescent="0.25">
      <c r="A10986" t="s">
        <v>3296</v>
      </c>
      <c r="B10986" t="s">
        <v>2931</v>
      </c>
      <c r="C10986">
        <v>171</v>
      </c>
      <c r="D10986" t="str">
        <f>"6903210785  "</f>
        <v xml:space="preserve">6903210785  </v>
      </c>
      <c r="E10986" t="s">
        <v>180</v>
      </c>
      <c r="F10986" t="s">
        <v>182</v>
      </c>
      <c r="G10986">
        <v>104.54</v>
      </c>
      <c r="H10986">
        <v>250101</v>
      </c>
      <c r="I10986">
        <v>4860</v>
      </c>
      <c r="J10986" t="s">
        <v>286</v>
      </c>
      <c r="K10986">
        <v>104.54</v>
      </c>
      <c r="L10986">
        <v>21.24</v>
      </c>
      <c r="M10986">
        <v>67522</v>
      </c>
      <c r="N10986" t="s">
        <v>121</v>
      </c>
      <c r="O10986">
        <v>250115</v>
      </c>
      <c r="P10986">
        <v>83.3</v>
      </c>
    </row>
    <row r="10987" spans="1:16" x14ac:dyDescent="0.25">
      <c r="A10987" t="s">
        <v>3296</v>
      </c>
      <c r="B10987" t="s">
        <v>2931</v>
      </c>
      <c r="C10987">
        <v>1390</v>
      </c>
      <c r="D10987" t="str">
        <f>"6903245476  "</f>
        <v xml:space="preserve">6903245476  </v>
      </c>
      <c r="E10987" t="s">
        <v>180</v>
      </c>
      <c r="F10987" t="s">
        <v>182</v>
      </c>
      <c r="G10987">
        <v>-1244.54</v>
      </c>
      <c r="H10987">
        <v>250131</v>
      </c>
      <c r="I10987">
        <v>4860</v>
      </c>
      <c r="J10987" t="s">
        <v>286</v>
      </c>
      <c r="K10987">
        <v>-1866.81</v>
      </c>
      <c r="L10987">
        <v>-252.87</v>
      </c>
      <c r="M10987">
        <v>46554</v>
      </c>
      <c r="N10987" t="s">
        <v>102</v>
      </c>
      <c r="O10987">
        <v>250210</v>
      </c>
      <c r="P10987">
        <v>-991.67</v>
      </c>
    </row>
    <row r="10988" spans="1:16" x14ac:dyDescent="0.25">
      <c r="A10988" t="s">
        <v>3296</v>
      </c>
      <c r="B10988" t="s">
        <v>2931</v>
      </c>
      <c r="C10988">
        <v>1390</v>
      </c>
      <c r="D10988" t="str">
        <f>"6903245476  "</f>
        <v xml:space="preserve">6903245476  </v>
      </c>
      <c r="E10988" t="s">
        <v>180</v>
      </c>
      <c r="F10988" t="s">
        <v>182</v>
      </c>
      <c r="G10988">
        <v>-622.27</v>
      </c>
      <c r="H10988">
        <v>250131</v>
      </c>
      <c r="I10988">
        <v>4860</v>
      </c>
      <c r="J10988" t="s">
        <v>286</v>
      </c>
      <c r="K10988">
        <v>-1866.81</v>
      </c>
      <c r="L10988">
        <v>-126.44</v>
      </c>
      <c r="M10988">
        <v>46557</v>
      </c>
      <c r="N10988" t="s">
        <v>104</v>
      </c>
      <c r="O10988">
        <v>250210</v>
      </c>
      <c r="P10988">
        <v>-495.83</v>
      </c>
    </row>
    <row r="10989" spans="1:16" x14ac:dyDescent="0.25">
      <c r="A10989" t="s">
        <v>3296</v>
      </c>
      <c r="B10989" t="s">
        <v>2931</v>
      </c>
      <c r="C10989">
        <v>1391</v>
      </c>
      <c r="D10989" t="str">
        <f>"6903237111  "</f>
        <v xml:space="preserve">6903237111  </v>
      </c>
      <c r="E10989" t="s">
        <v>180</v>
      </c>
      <c r="F10989" t="s">
        <v>182</v>
      </c>
      <c r="G10989">
        <v>2880.31</v>
      </c>
      <c r="H10989">
        <v>250131</v>
      </c>
      <c r="I10989">
        <v>4860</v>
      </c>
      <c r="J10989" t="s">
        <v>286</v>
      </c>
      <c r="K10989">
        <v>4320.46</v>
      </c>
      <c r="L10989">
        <v>585.24</v>
      </c>
      <c r="M10989">
        <v>46554</v>
      </c>
      <c r="N10989" t="s">
        <v>102</v>
      </c>
      <c r="O10989">
        <v>250210</v>
      </c>
      <c r="P10989">
        <v>2295.0700000000002</v>
      </c>
    </row>
    <row r="10990" spans="1:16" x14ac:dyDescent="0.25">
      <c r="A10990" t="s">
        <v>3296</v>
      </c>
      <c r="B10990" t="s">
        <v>2931</v>
      </c>
      <c r="C10990">
        <v>1391</v>
      </c>
      <c r="D10990" t="str">
        <f>"6903237111  "</f>
        <v xml:space="preserve">6903237111  </v>
      </c>
      <c r="E10990" t="s">
        <v>180</v>
      </c>
      <c r="F10990" t="s">
        <v>182</v>
      </c>
      <c r="G10990">
        <v>1440.15</v>
      </c>
      <c r="H10990">
        <v>250131</v>
      </c>
      <c r="I10990">
        <v>4860</v>
      </c>
      <c r="J10990" t="s">
        <v>286</v>
      </c>
      <c r="K10990">
        <v>4320.46</v>
      </c>
      <c r="L10990">
        <v>292.62</v>
      </c>
      <c r="M10990">
        <v>46557</v>
      </c>
      <c r="N10990" t="s">
        <v>104</v>
      </c>
      <c r="O10990">
        <v>250210</v>
      </c>
      <c r="P10990">
        <v>1147.53</v>
      </c>
    </row>
    <row r="10991" spans="1:16" x14ac:dyDescent="0.25">
      <c r="A10991" t="s">
        <v>3296</v>
      </c>
      <c r="B10991" t="s">
        <v>2931</v>
      </c>
      <c r="C10991">
        <v>1392</v>
      </c>
      <c r="D10991" t="str">
        <f>"6903245477  "</f>
        <v xml:space="preserve">6903245477  </v>
      </c>
      <c r="E10991" t="s">
        <v>180</v>
      </c>
      <c r="F10991" t="s">
        <v>182</v>
      </c>
      <c r="G10991">
        <v>-409.55</v>
      </c>
      <c r="H10991">
        <v>250131</v>
      </c>
      <c r="I10991">
        <v>4860</v>
      </c>
      <c r="J10991" t="s">
        <v>286</v>
      </c>
      <c r="K10991">
        <v>-409.55</v>
      </c>
      <c r="L10991">
        <v>-79.27</v>
      </c>
      <c r="M10991">
        <v>46554</v>
      </c>
      <c r="N10991" t="s">
        <v>102</v>
      </c>
      <c r="O10991">
        <v>250210</v>
      </c>
      <c r="P10991">
        <v>-330.28</v>
      </c>
    </row>
    <row r="10992" spans="1:16" x14ac:dyDescent="0.25">
      <c r="A10992" t="s">
        <v>3296</v>
      </c>
      <c r="B10992" t="s">
        <v>2931</v>
      </c>
      <c r="C10992">
        <v>6742</v>
      </c>
      <c r="D10992" t="str">
        <f>"6903367237  "</f>
        <v xml:space="preserve">6903367237  </v>
      </c>
      <c r="E10992" t="s">
        <v>180</v>
      </c>
      <c r="F10992" t="s">
        <v>182</v>
      </c>
      <c r="G10992">
        <v>2608.89</v>
      </c>
      <c r="H10992">
        <v>250506</v>
      </c>
      <c r="I10992">
        <v>4860</v>
      </c>
      <c r="J10992" t="s">
        <v>286</v>
      </c>
      <c r="K10992">
        <v>2608.89</v>
      </c>
      <c r="L10992">
        <v>530.09</v>
      </c>
      <c r="M10992">
        <v>46554</v>
      </c>
      <c r="N10992" t="s">
        <v>102</v>
      </c>
      <c r="O10992">
        <v>250516</v>
      </c>
      <c r="P10992">
        <v>2078.8000000000002</v>
      </c>
    </row>
    <row r="10993" spans="1:16" x14ac:dyDescent="0.25">
      <c r="A10993" t="s">
        <v>3296</v>
      </c>
      <c r="B10993" t="s">
        <v>2931</v>
      </c>
      <c r="C10993">
        <v>8424</v>
      </c>
      <c r="D10993" t="str">
        <f>"6903406974  "</f>
        <v xml:space="preserve">6903406974  </v>
      </c>
      <c r="E10993" t="s">
        <v>180</v>
      </c>
      <c r="F10993" t="s">
        <v>182</v>
      </c>
      <c r="G10993">
        <v>98.43</v>
      </c>
      <c r="H10993">
        <v>250531</v>
      </c>
      <c r="I10993">
        <v>4860</v>
      </c>
      <c r="J10993" t="s">
        <v>286</v>
      </c>
      <c r="K10993">
        <v>98.43</v>
      </c>
      <c r="L10993">
        <v>20</v>
      </c>
      <c r="M10993">
        <v>47522</v>
      </c>
      <c r="N10993" t="s">
        <v>106</v>
      </c>
      <c r="O10993">
        <v>250613</v>
      </c>
      <c r="P10993">
        <v>78.430000000000007</v>
      </c>
    </row>
    <row r="10994" spans="1:16" x14ac:dyDescent="0.25">
      <c r="A10994" t="s">
        <v>3296</v>
      </c>
      <c r="B10994" t="s">
        <v>2931</v>
      </c>
      <c r="C10994">
        <v>9521</v>
      </c>
      <c r="D10994" t="str">
        <f>"6903445770  "</f>
        <v xml:space="preserve">6903445770  </v>
      </c>
      <c r="E10994" t="s">
        <v>180</v>
      </c>
      <c r="F10994" t="s">
        <v>182</v>
      </c>
      <c r="G10994">
        <v>95.25</v>
      </c>
      <c r="H10994">
        <v>250630</v>
      </c>
      <c r="I10994">
        <v>4860</v>
      </c>
      <c r="J10994" t="s">
        <v>286</v>
      </c>
      <c r="K10994">
        <v>95.25</v>
      </c>
      <c r="L10994">
        <v>19.350000000000001</v>
      </c>
      <c r="M10994">
        <v>47522</v>
      </c>
      <c r="N10994" t="s">
        <v>106</v>
      </c>
      <c r="O10994">
        <v>250709</v>
      </c>
      <c r="P10994">
        <v>75.900000000000006</v>
      </c>
    </row>
    <row r="10995" spans="1:16" x14ac:dyDescent="0.25">
      <c r="A10995" t="s">
        <v>3296</v>
      </c>
      <c r="B10995" t="s">
        <v>2931</v>
      </c>
      <c r="C10995">
        <v>10216</v>
      </c>
      <c r="D10995" t="str">
        <f>"6903488463  "</f>
        <v xml:space="preserve">6903488463  </v>
      </c>
      <c r="E10995" t="s">
        <v>180</v>
      </c>
      <c r="F10995" t="s">
        <v>182</v>
      </c>
      <c r="G10995">
        <v>98.43</v>
      </c>
      <c r="H10995">
        <v>250731</v>
      </c>
      <c r="I10995">
        <v>4860</v>
      </c>
      <c r="J10995" t="s">
        <v>286</v>
      </c>
      <c r="K10995">
        <v>98.43</v>
      </c>
      <c r="L10995">
        <v>20</v>
      </c>
      <c r="M10995">
        <v>47522</v>
      </c>
      <c r="N10995" t="s">
        <v>106</v>
      </c>
      <c r="O10995">
        <v>250813</v>
      </c>
      <c r="P10995">
        <v>78.430000000000007</v>
      </c>
    </row>
    <row r="10996" spans="1:16" x14ac:dyDescent="0.25">
      <c r="A10996" t="s">
        <v>3296</v>
      </c>
      <c r="B10996" t="s">
        <v>2931</v>
      </c>
      <c r="C10996">
        <v>11247</v>
      </c>
      <c r="D10996" t="str">
        <f>"6903500481  "</f>
        <v xml:space="preserve">6903500481  </v>
      </c>
      <c r="E10996" t="s">
        <v>180</v>
      </c>
      <c r="F10996" t="s">
        <v>182</v>
      </c>
      <c r="G10996">
        <v>259.87</v>
      </c>
      <c r="H10996">
        <v>250811</v>
      </c>
      <c r="I10996">
        <v>4860</v>
      </c>
      <c r="J10996" t="s">
        <v>286</v>
      </c>
      <c r="K10996">
        <v>3349.72</v>
      </c>
      <c r="L10996">
        <v>52.8</v>
      </c>
      <c r="M10996">
        <v>66756</v>
      </c>
      <c r="N10996" t="s">
        <v>120</v>
      </c>
      <c r="O10996">
        <v>250902</v>
      </c>
      <c r="P10996">
        <v>207.07</v>
      </c>
    </row>
    <row r="10997" spans="1:16" x14ac:dyDescent="0.25">
      <c r="A10997" t="s">
        <v>3296</v>
      </c>
      <c r="B10997" t="s">
        <v>2931</v>
      </c>
      <c r="C10997">
        <v>11247</v>
      </c>
      <c r="D10997" t="str">
        <f>"6903500481  "</f>
        <v xml:space="preserve">6903500481  </v>
      </c>
      <c r="E10997" t="s">
        <v>180</v>
      </c>
      <c r="F10997" t="s">
        <v>182</v>
      </c>
      <c r="G10997">
        <v>8.89</v>
      </c>
      <c r="H10997">
        <v>250811</v>
      </c>
      <c r="I10997">
        <v>4860</v>
      </c>
      <c r="J10997" t="s">
        <v>286</v>
      </c>
      <c r="K10997">
        <v>3349.72</v>
      </c>
      <c r="L10997">
        <v>1.81</v>
      </c>
      <c r="M10997">
        <v>67522</v>
      </c>
      <c r="N10997" t="s">
        <v>121</v>
      </c>
      <c r="O10997">
        <v>250902</v>
      </c>
      <c r="P10997">
        <v>7.08</v>
      </c>
    </row>
    <row r="10998" spans="1:16" x14ac:dyDescent="0.25">
      <c r="A10998" t="s">
        <v>3296</v>
      </c>
      <c r="B10998" t="s">
        <v>2931</v>
      </c>
      <c r="C10998">
        <v>11247</v>
      </c>
      <c r="D10998" t="str">
        <f>"6903500481  "</f>
        <v xml:space="preserve">6903500481  </v>
      </c>
      <c r="E10998" t="s">
        <v>180</v>
      </c>
      <c r="F10998" t="s">
        <v>182</v>
      </c>
      <c r="G10998">
        <v>67.5</v>
      </c>
      <c r="H10998">
        <v>250811</v>
      </c>
      <c r="I10998">
        <v>4860</v>
      </c>
      <c r="J10998" t="s">
        <v>286</v>
      </c>
      <c r="K10998">
        <v>3349.72</v>
      </c>
      <c r="L10998">
        <v>13.72</v>
      </c>
      <c r="M10998">
        <v>67522</v>
      </c>
      <c r="N10998" t="s">
        <v>121</v>
      </c>
      <c r="O10998">
        <v>250902</v>
      </c>
      <c r="P10998">
        <v>53.78</v>
      </c>
    </row>
    <row r="10999" spans="1:16" x14ac:dyDescent="0.25">
      <c r="A10999" t="s">
        <v>3296</v>
      </c>
      <c r="B10999" t="s">
        <v>2931</v>
      </c>
      <c r="C10999">
        <v>11247</v>
      </c>
      <c r="D10999" t="str">
        <f>"6903500481  "</f>
        <v xml:space="preserve">6903500481  </v>
      </c>
      <c r="E10999" t="s">
        <v>180</v>
      </c>
      <c r="F10999" t="s">
        <v>182</v>
      </c>
      <c r="G10999">
        <v>10.119999999999999</v>
      </c>
      <c r="H10999">
        <v>250811</v>
      </c>
      <c r="I10999">
        <v>4860</v>
      </c>
      <c r="J10999" t="s">
        <v>286</v>
      </c>
      <c r="K10999">
        <v>3349.72</v>
      </c>
      <c r="L10999">
        <v>2.06</v>
      </c>
      <c r="M10999">
        <v>67554</v>
      </c>
      <c r="N10999" t="s">
        <v>317</v>
      </c>
      <c r="O10999">
        <v>250902</v>
      </c>
      <c r="P10999">
        <v>8.06</v>
      </c>
    </row>
    <row r="11000" spans="1:16" x14ac:dyDescent="0.25">
      <c r="A11000" t="s">
        <v>3296</v>
      </c>
      <c r="B11000" t="s">
        <v>2931</v>
      </c>
      <c r="C11000">
        <v>11471</v>
      </c>
      <c r="D11000" t="str">
        <f>"6903523033  "</f>
        <v xml:space="preserve">6903523033  </v>
      </c>
      <c r="E11000" t="s">
        <v>180</v>
      </c>
      <c r="F11000" t="s">
        <v>182</v>
      </c>
      <c r="G11000">
        <v>99.21</v>
      </c>
      <c r="H11000">
        <v>250831</v>
      </c>
      <c r="I11000">
        <v>4860</v>
      </c>
      <c r="J11000" t="s">
        <v>286</v>
      </c>
      <c r="K11000">
        <v>99.21</v>
      </c>
      <c r="L11000">
        <v>20.16</v>
      </c>
      <c r="M11000">
        <v>47522</v>
      </c>
      <c r="N11000" t="s">
        <v>106</v>
      </c>
      <c r="O11000">
        <v>250905</v>
      </c>
      <c r="P11000">
        <v>79.05</v>
      </c>
    </row>
    <row r="11001" spans="1:16" x14ac:dyDescent="0.25">
      <c r="A11001" t="s">
        <v>3296</v>
      </c>
      <c r="B11001" t="s">
        <v>2931</v>
      </c>
      <c r="C11001">
        <v>12840</v>
      </c>
      <c r="D11001" t="str">
        <f>"6903543619  "</f>
        <v xml:space="preserve">6903543619  </v>
      </c>
      <c r="E11001" t="s">
        <v>180</v>
      </c>
      <c r="F11001" t="s">
        <v>182</v>
      </c>
      <c r="G11001">
        <v>389.15</v>
      </c>
      <c r="H11001">
        <v>251001</v>
      </c>
      <c r="I11001">
        <v>4860</v>
      </c>
      <c r="J11001" t="s">
        <v>286</v>
      </c>
      <c r="K11001">
        <v>1651.61</v>
      </c>
      <c r="L11001">
        <v>79.069999999999993</v>
      </c>
      <c r="M11001">
        <v>17804</v>
      </c>
      <c r="N11001" t="s">
        <v>20</v>
      </c>
      <c r="O11001">
        <v>250930</v>
      </c>
      <c r="P11001">
        <v>310.08</v>
      </c>
    </row>
    <row r="11002" spans="1:16" x14ac:dyDescent="0.25">
      <c r="A11002" t="s">
        <v>3296</v>
      </c>
      <c r="B11002" t="s">
        <v>2931</v>
      </c>
      <c r="C11002">
        <v>13146</v>
      </c>
      <c r="D11002" t="str">
        <f>"6903558914  "</f>
        <v xml:space="preserve">6903558914  </v>
      </c>
      <c r="E11002" t="s">
        <v>180</v>
      </c>
      <c r="F11002" t="s">
        <v>182</v>
      </c>
      <c r="G11002">
        <v>96.01</v>
      </c>
      <c r="H11002">
        <v>250930</v>
      </c>
      <c r="I11002">
        <v>4860</v>
      </c>
      <c r="J11002" t="s">
        <v>286</v>
      </c>
      <c r="K11002">
        <v>96.01</v>
      </c>
      <c r="L11002">
        <v>19.510000000000002</v>
      </c>
      <c r="M11002">
        <v>47522</v>
      </c>
      <c r="N11002" t="s">
        <v>106</v>
      </c>
      <c r="O11002">
        <v>251006</v>
      </c>
      <c r="P11002">
        <v>76.5</v>
      </c>
    </row>
    <row r="11003" spans="1:16" x14ac:dyDescent="0.25">
      <c r="A11003" t="s">
        <v>3296</v>
      </c>
      <c r="B11003" t="s">
        <v>2931</v>
      </c>
      <c r="C11003">
        <v>14085</v>
      </c>
      <c r="D11003" t="str">
        <f>"6903545347  "</f>
        <v xml:space="preserve">6903545347  </v>
      </c>
      <c r="E11003" t="s">
        <v>180</v>
      </c>
      <c r="F11003" t="s">
        <v>182</v>
      </c>
      <c r="G11003">
        <v>4073.96</v>
      </c>
      <c r="H11003">
        <v>251001</v>
      </c>
      <c r="I11003">
        <v>4860</v>
      </c>
      <c r="J11003" t="s">
        <v>286</v>
      </c>
      <c r="K11003">
        <v>4073.96</v>
      </c>
      <c r="L11003">
        <v>827.78</v>
      </c>
      <c r="M11003">
        <v>46554</v>
      </c>
      <c r="N11003" t="s">
        <v>102</v>
      </c>
      <c r="O11003">
        <v>251023</v>
      </c>
      <c r="P11003">
        <v>3246.18</v>
      </c>
    </row>
    <row r="11004" spans="1:16" x14ac:dyDescent="0.25">
      <c r="A11004" t="s">
        <v>3296</v>
      </c>
      <c r="B11004" t="s">
        <v>2931</v>
      </c>
      <c r="C11004">
        <v>14749</v>
      </c>
      <c r="D11004" t="str">
        <f>"6903597614  "</f>
        <v xml:space="preserve">6903597614  </v>
      </c>
      <c r="E11004" t="s">
        <v>180</v>
      </c>
      <c r="F11004" t="s">
        <v>182</v>
      </c>
      <c r="G11004">
        <v>99.21</v>
      </c>
      <c r="H11004">
        <v>251031</v>
      </c>
      <c r="I11004">
        <v>4860</v>
      </c>
      <c r="J11004" t="s">
        <v>286</v>
      </c>
      <c r="K11004">
        <v>99.21</v>
      </c>
      <c r="L11004">
        <v>20.16</v>
      </c>
      <c r="M11004">
        <v>47522</v>
      </c>
      <c r="N11004" t="s">
        <v>106</v>
      </c>
      <c r="O11004">
        <v>251106</v>
      </c>
      <c r="P11004">
        <v>79.05</v>
      </c>
    </row>
    <row r="11005" spans="1:16" x14ac:dyDescent="0.25">
      <c r="A11005" t="s">
        <v>3296</v>
      </c>
      <c r="B11005" t="s">
        <v>2931</v>
      </c>
      <c r="C11005">
        <v>16429</v>
      </c>
      <c r="D11005" t="str">
        <f>"6903634255  "</f>
        <v xml:space="preserve">6903634255  </v>
      </c>
      <c r="E11005" t="s">
        <v>180</v>
      </c>
      <c r="F11005" t="s">
        <v>182</v>
      </c>
      <c r="G11005">
        <v>96.01</v>
      </c>
      <c r="H11005">
        <v>251130</v>
      </c>
      <c r="I11005">
        <v>4860</v>
      </c>
      <c r="J11005" t="s">
        <v>286</v>
      </c>
      <c r="K11005">
        <v>96.01</v>
      </c>
      <c r="L11005">
        <v>19.510000000000002</v>
      </c>
      <c r="M11005">
        <v>47522</v>
      </c>
      <c r="N11005" t="s">
        <v>106</v>
      </c>
      <c r="O11005">
        <v>251208</v>
      </c>
      <c r="P11005">
        <v>76.5</v>
      </c>
    </row>
    <row r="11006" spans="1:16" x14ac:dyDescent="0.25">
      <c r="A11006" t="s">
        <v>3296</v>
      </c>
      <c r="B11006" t="s">
        <v>2931</v>
      </c>
      <c r="C11006">
        <v>16984</v>
      </c>
      <c r="D11006" t="str">
        <f>"6903629103  "</f>
        <v xml:space="preserve">6903629103  </v>
      </c>
      <c r="E11006" t="s">
        <v>180</v>
      </c>
      <c r="F11006" t="s">
        <v>182</v>
      </c>
      <c r="G11006">
        <v>33.28</v>
      </c>
      <c r="H11006">
        <v>251130</v>
      </c>
      <c r="I11006">
        <v>4860</v>
      </c>
      <c r="J11006" t="s">
        <v>286</v>
      </c>
      <c r="K11006">
        <v>33.28</v>
      </c>
      <c r="L11006">
        <v>6.76</v>
      </c>
      <c r="M11006">
        <v>46554</v>
      </c>
      <c r="N11006" t="s">
        <v>102</v>
      </c>
      <c r="O11006">
        <v>251216</v>
      </c>
      <c r="P11006">
        <v>26.52</v>
      </c>
    </row>
    <row r="11007" spans="1:16" x14ac:dyDescent="0.25">
      <c r="A11007" t="s">
        <v>3296</v>
      </c>
      <c r="B11007" t="s">
        <v>2931</v>
      </c>
      <c r="C11007">
        <v>18231</v>
      </c>
      <c r="D11007" t="str">
        <f>"6903662749  "</f>
        <v xml:space="preserve">6903662749  </v>
      </c>
      <c r="E11007" t="s">
        <v>180</v>
      </c>
      <c r="F11007" t="s">
        <v>182</v>
      </c>
      <c r="G11007">
        <v>60.69</v>
      </c>
      <c r="H11007">
        <v>251231</v>
      </c>
      <c r="I11007">
        <v>4860</v>
      </c>
      <c r="J11007" t="s">
        <v>286</v>
      </c>
      <c r="K11007">
        <v>60.69</v>
      </c>
      <c r="L11007">
        <v>12.33</v>
      </c>
      <c r="M11007">
        <v>46554</v>
      </c>
      <c r="N11007" t="s">
        <v>102</v>
      </c>
      <c r="O11007">
        <v>260112</v>
      </c>
      <c r="P11007">
        <v>48.36</v>
      </c>
    </row>
    <row r="11008" spans="1:16" x14ac:dyDescent="0.25">
      <c r="A11008" t="s">
        <v>3296</v>
      </c>
      <c r="B11008" t="s">
        <v>2931</v>
      </c>
      <c r="C11008">
        <v>18367</v>
      </c>
      <c r="D11008" t="str">
        <f>"6903664731  "</f>
        <v xml:space="preserve">6903664731  </v>
      </c>
      <c r="E11008" t="s">
        <v>180</v>
      </c>
      <c r="F11008" t="s">
        <v>182</v>
      </c>
      <c r="G11008">
        <v>99.21</v>
      </c>
      <c r="H11008">
        <v>251231</v>
      </c>
      <c r="I11008">
        <v>4860</v>
      </c>
      <c r="J11008" t="s">
        <v>286</v>
      </c>
      <c r="K11008">
        <v>99.21</v>
      </c>
      <c r="L11008">
        <v>20.16</v>
      </c>
      <c r="M11008">
        <v>47522</v>
      </c>
      <c r="N11008" t="s">
        <v>106</v>
      </c>
      <c r="O11008">
        <v>260113</v>
      </c>
      <c r="P11008">
        <v>79.05</v>
      </c>
    </row>
    <row r="11009" spans="1:16" x14ac:dyDescent="0.25">
      <c r="A11009" t="s">
        <v>3296</v>
      </c>
      <c r="B11009" t="s">
        <v>2931</v>
      </c>
      <c r="C11009">
        <v>9634</v>
      </c>
      <c r="D11009" t="str">
        <f>"50015495    "</f>
        <v xml:space="preserve">50015495    </v>
      </c>
      <c r="E11009" t="s">
        <v>2138</v>
      </c>
      <c r="F11009" t="s">
        <v>2139</v>
      </c>
      <c r="G11009">
        <v>350</v>
      </c>
      <c r="H11009">
        <v>250626</v>
      </c>
      <c r="I11009">
        <v>4600</v>
      </c>
      <c r="J11009" t="s">
        <v>278</v>
      </c>
      <c r="K11009">
        <v>350</v>
      </c>
      <c r="L11009">
        <v>0</v>
      </c>
      <c r="M11009">
        <v>56524</v>
      </c>
      <c r="N11009" t="s">
        <v>69</v>
      </c>
      <c r="O11009">
        <v>250722</v>
      </c>
      <c r="P11009">
        <v>350</v>
      </c>
    </row>
    <row r="11010" spans="1:16" x14ac:dyDescent="0.25">
      <c r="A11010" t="s">
        <v>3296</v>
      </c>
      <c r="B11010" t="s">
        <v>2931</v>
      </c>
      <c r="C11010">
        <v>622</v>
      </c>
      <c r="D11010" t="str">
        <f>"71164210    "</f>
        <v xml:space="preserve">71164210    </v>
      </c>
      <c r="E11010" t="s">
        <v>616</v>
      </c>
      <c r="F11010" t="s">
        <v>617</v>
      </c>
      <c r="G11010">
        <v>36.03</v>
      </c>
      <c r="H11010">
        <v>250101</v>
      </c>
      <c r="I11010">
        <v>4380</v>
      </c>
      <c r="J11010" t="s">
        <v>211</v>
      </c>
      <c r="K11010">
        <v>36.03</v>
      </c>
      <c r="L11010">
        <v>7.32</v>
      </c>
      <c r="M11010">
        <v>17521</v>
      </c>
      <c r="N11010" t="s">
        <v>136</v>
      </c>
      <c r="O11010">
        <v>250124</v>
      </c>
      <c r="P11010">
        <v>28.71</v>
      </c>
    </row>
    <row r="11011" spans="1:16" x14ac:dyDescent="0.25">
      <c r="A11011" t="s">
        <v>3296</v>
      </c>
      <c r="B11011" t="s">
        <v>2931</v>
      </c>
      <c r="C11011">
        <v>829</v>
      </c>
      <c r="D11011" t="str">
        <f>"71220686    "</f>
        <v xml:space="preserve">71220686    </v>
      </c>
      <c r="E11011" t="s">
        <v>616</v>
      </c>
      <c r="F11011" t="s">
        <v>617</v>
      </c>
      <c r="G11011">
        <v>50.43</v>
      </c>
      <c r="H11011">
        <v>250128</v>
      </c>
      <c r="I11011">
        <v>4380</v>
      </c>
      <c r="J11011" t="s">
        <v>211</v>
      </c>
      <c r="K11011">
        <v>50.43</v>
      </c>
      <c r="L11011">
        <v>10.25</v>
      </c>
      <c r="M11011">
        <v>46554</v>
      </c>
      <c r="N11011" t="s">
        <v>102</v>
      </c>
      <c r="O11011">
        <v>250129</v>
      </c>
      <c r="P11011">
        <v>40.18</v>
      </c>
    </row>
    <row r="11012" spans="1:16" x14ac:dyDescent="0.25">
      <c r="A11012" t="s">
        <v>3296</v>
      </c>
      <c r="B11012" t="s">
        <v>2931</v>
      </c>
      <c r="C11012">
        <v>896</v>
      </c>
      <c r="D11012" t="str">
        <f>"71224406    "</f>
        <v xml:space="preserve">71224406    </v>
      </c>
      <c r="E11012" t="s">
        <v>616</v>
      </c>
      <c r="F11012" t="s">
        <v>617</v>
      </c>
      <c r="G11012">
        <v>11.04</v>
      </c>
      <c r="H11012">
        <v>250129</v>
      </c>
      <c r="I11012">
        <v>4380</v>
      </c>
      <c r="J11012" t="s">
        <v>211</v>
      </c>
      <c r="K11012">
        <v>11.04</v>
      </c>
      <c r="L11012">
        <v>2.2400000000000002</v>
      </c>
      <c r="M11012">
        <v>59503</v>
      </c>
      <c r="N11012" t="s">
        <v>766</v>
      </c>
      <c r="O11012">
        <v>250130</v>
      </c>
      <c r="P11012">
        <v>8.8000000000000007</v>
      </c>
    </row>
    <row r="11013" spans="1:16" x14ac:dyDescent="0.25">
      <c r="A11013" t="s">
        <v>3296</v>
      </c>
      <c r="B11013" t="s">
        <v>2931</v>
      </c>
      <c r="C11013">
        <v>897</v>
      </c>
      <c r="D11013" t="str">
        <f>"71224421    "</f>
        <v xml:space="preserve">71224421    </v>
      </c>
      <c r="E11013" t="s">
        <v>616</v>
      </c>
      <c r="F11013" t="s">
        <v>617</v>
      </c>
      <c r="G11013">
        <v>57.98</v>
      </c>
      <c r="H11013">
        <v>250129</v>
      </c>
      <c r="I11013">
        <v>4380</v>
      </c>
      <c r="J11013" t="s">
        <v>211</v>
      </c>
      <c r="K11013">
        <v>165.66</v>
      </c>
      <c r="L11013">
        <v>11.78</v>
      </c>
      <c r="M11013">
        <v>59502</v>
      </c>
      <c r="N11013" t="s">
        <v>63</v>
      </c>
      <c r="O11013">
        <v>250130</v>
      </c>
      <c r="P11013">
        <v>46.2</v>
      </c>
    </row>
    <row r="11014" spans="1:16" x14ac:dyDescent="0.25">
      <c r="A11014" t="s">
        <v>3296</v>
      </c>
      <c r="B11014" t="s">
        <v>2931</v>
      </c>
      <c r="C11014">
        <v>897</v>
      </c>
      <c r="D11014" t="str">
        <f>"71224421    "</f>
        <v xml:space="preserve">71224421    </v>
      </c>
      <c r="E11014" t="s">
        <v>616</v>
      </c>
      <c r="F11014" t="s">
        <v>617</v>
      </c>
      <c r="G11014">
        <v>107.68</v>
      </c>
      <c r="H11014">
        <v>250129</v>
      </c>
      <c r="I11014">
        <v>4380</v>
      </c>
      <c r="J11014" t="s">
        <v>211</v>
      </c>
      <c r="K11014">
        <v>165.66</v>
      </c>
      <c r="L11014">
        <v>21.88</v>
      </c>
      <c r="M11014">
        <v>59802</v>
      </c>
      <c r="N11014" t="s">
        <v>195</v>
      </c>
      <c r="O11014">
        <v>250130</v>
      </c>
      <c r="P11014">
        <v>85.8</v>
      </c>
    </row>
    <row r="11015" spans="1:16" x14ac:dyDescent="0.25">
      <c r="A11015" t="s">
        <v>3296</v>
      </c>
      <c r="B11015" t="s">
        <v>2931</v>
      </c>
      <c r="C11015">
        <v>898</v>
      </c>
      <c r="D11015" t="str">
        <f>"71224419    "</f>
        <v xml:space="preserve">71224419    </v>
      </c>
      <c r="E11015" t="s">
        <v>616</v>
      </c>
      <c r="F11015" t="s">
        <v>617</v>
      </c>
      <c r="G11015">
        <v>35.89</v>
      </c>
      <c r="H11015">
        <v>250129</v>
      </c>
      <c r="I11015">
        <v>4380</v>
      </c>
      <c r="J11015" t="s">
        <v>211</v>
      </c>
      <c r="K11015">
        <v>35.89</v>
      </c>
      <c r="L11015">
        <v>7.29</v>
      </c>
      <c r="M11015">
        <v>59504</v>
      </c>
      <c r="N11015" t="s">
        <v>193</v>
      </c>
      <c r="O11015">
        <v>250130</v>
      </c>
      <c r="P11015">
        <v>28.6</v>
      </c>
    </row>
    <row r="11016" spans="1:16" x14ac:dyDescent="0.25">
      <c r="A11016" t="s">
        <v>3296</v>
      </c>
      <c r="B11016" t="s">
        <v>2931</v>
      </c>
      <c r="C11016">
        <v>899</v>
      </c>
      <c r="D11016" t="str">
        <f>"71224420    "</f>
        <v xml:space="preserve">71224420    </v>
      </c>
      <c r="E11016" t="s">
        <v>616</v>
      </c>
      <c r="F11016" t="s">
        <v>617</v>
      </c>
      <c r="G11016">
        <v>184.99</v>
      </c>
      <c r="H11016">
        <v>250129</v>
      </c>
      <c r="I11016">
        <v>4380</v>
      </c>
      <c r="J11016" t="s">
        <v>211</v>
      </c>
      <c r="K11016">
        <v>184.99</v>
      </c>
      <c r="L11016">
        <v>37.590000000000003</v>
      </c>
      <c r="M11016">
        <v>17951</v>
      </c>
      <c r="N11016" t="s">
        <v>207</v>
      </c>
      <c r="O11016">
        <v>250130</v>
      </c>
      <c r="P11016">
        <v>147.4</v>
      </c>
    </row>
    <row r="11017" spans="1:16" x14ac:dyDescent="0.25">
      <c r="A11017" t="s">
        <v>3296</v>
      </c>
      <c r="B11017" t="s">
        <v>2931</v>
      </c>
      <c r="C11017">
        <v>900</v>
      </c>
      <c r="D11017" t="str">
        <f>"71224425    "</f>
        <v xml:space="preserve">71224425    </v>
      </c>
      <c r="E11017" t="s">
        <v>616</v>
      </c>
      <c r="F11017" t="s">
        <v>617</v>
      </c>
      <c r="G11017">
        <v>771.07</v>
      </c>
      <c r="H11017">
        <v>250129</v>
      </c>
      <c r="I11017">
        <v>4380</v>
      </c>
      <c r="J11017" t="s">
        <v>211</v>
      </c>
      <c r="K11017">
        <v>771.07</v>
      </c>
      <c r="L11017">
        <v>156.66999999999999</v>
      </c>
      <c r="M11017">
        <v>59501</v>
      </c>
      <c r="N11017" t="s">
        <v>62</v>
      </c>
      <c r="O11017">
        <v>250130</v>
      </c>
      <c r="P11017">
        <v>614.4</v>
      </c>
    </row>
    <row r="11018" spans="1:16" x14ac:dyDescent="0.25">
      <c r="A11018" t="s">
        <v>3296</v>
      </c>
      <c r="B11018" t="s">
        <v>2931</v>
      </c>
      <c r="C11018">
        <v>1047</v>
      </c>
      <c r="D11018" t="str">
        <f>"71224422    "</f>
        <v xml:space="preserve">71224422    </v>
      </c>
      <c r="E11018" t="s">
        <v>616</v>
      </c>
      <c r="F11018" t="s">
        <v>617</v>
      </c>
      <c r="G11018">
        <v>65.010000000000005</v>
      </c>
      <c r="H11018">
        <v>250129</v>
      </c>
      <c r="I11018">
        <v>4380</v>
      </c>
      <c r="J11018" t="s">
        <v>211</v>
      </c>
      <c r="K11018">
        <v>65.010000000000005</v>
      </c>
      <c r="L11018">
        <v>13.21</v>
      </c>
      <c r="M11018">
        <v>49501</v>
      </c>
      <c r="N11018" t="s">
        <v>110</v>
      </c>
      <c r="O11018">
        <v>250203</v>
      </c>
      <c r="P11018">
        <v>51.8</v>
      </c>
    </row>
    <row r="11019" spans="1:16" x14ac:dyDescent="0.25">
      <c r="A11019" t="s">
        <v>3296</v>
      </c>
      <c r="B11019" t="s">
        <v>2931</v>
      </c>
      <c r="C11019">
        <v>1482</v>
      </c>
      <c r="D11019" t="str">
        <f>"71224418    "</f>
        <v xml:space="preserve">71224418    </v>
      </c>
      <c r="E11019" t="s">
        <v>616</v>
      </c>
      <c r="F11019" t="s">
        <v>617</v>
      </c>
      <c r="G11019">
        <v>158.13</v>
      </c>
      <c r="H11019">
        <v>250129</v>
      </c>
      <c r="I11019">
        <v>4380</v>
      </c>
      <c r="J11019" t="s">
        <v>211</v>
      </c>
      <c r="K11019">
        <v>158.13</v>
      </c>
      <c r="L11019">
        <v>32.130000000000003</v>
      </c>
      <c r="M11019">
        <v>14951</v>
      </c>
      <c r="N11019" t="s">
        <v>186</v>
      </c>
      <c r="O11019">
        <v>250210</v>
      </c>
      <c r="P11019">
        <v>126</v>
      </c>
    </row>
    <row r="11020" spans="1:16" x14ac:dyDescent="0.25">
      <c r="A11020" t="s">
        <v>3296</v>
      </c>
      <c r="B11020" t="s">
        <v>2931</v>
      </c>
      <c r="C11020">
        <v>1613</v>
      </c>
      <c r="D11020" t="str">
        <f>"71219827    "</f>
        <v xml:space="preserve">71219827    </v>
      </c>
      <c r="E11020" t="s">
        <v>616</v>
      </c>
      <c r="F11020" t="s">
        <v>617</v>
      </c>
      <c r="G11020">
        <v>17.07</v>
      </c>
      <c r="H11020">
        <v>250128</v>
      </c>
      <c r="I11020">
        <v>4380</v>
      </c>
      <c r="J11020" t="s">
        <v>211</v>
      </c>
      <c r="K11020">
        <v>17.07</v>
      </c>
      <c r="L11020">
        <v>3.47</v>
      </c>
      <c r="M11020">
        <v>47522</v>
      </c>
      <c r="N11020" t="s">
        <v>106</v>
      </c>
      <c r="O11020">
        <v>250211</v>
      </c>
      <c r="P11020">
        <v>13.6</v>
      </c>
    </row>
    <row r="11021" spans="1:16" x14ac:dyDescent="0.25">
      <c r="A11021" t="s">
        <v>3296</v>
      </c>
      <c r="B11021" t="s">
        <v>2931</v>
      </c>
      <c r="C11021">
        <v>1614</v>
      </c>
      <c r="D11021" t="str">
        <f>"71219826    "</f>
        <v xml:space="preserve">71219826    </v>
      </c>
      <c r="E11021" t="s">
        <v>616</v>
      </c>
      <c r="F11021" t="s">
        <v>617</v>
      </c>
      <c r="G11021">
        <v>69.88</v>
      </c>
      <c r="H11021">
        <v>250128</v>
      </c>
      <c r="I11021">
        <v>4380</v>
      </c>
      <c r="J11021" t="s">
        <v>211</v>
      </c>
      <c r="K11021">
        <v>69.88</v>
      </c>
      <c r="L11021">
        <v>14.2</v>
      </c>
      <c r="M11021">
        <v>47522</v>
      </c>
      <c r="N11021" t="s">
        <v>106</v>
      </c>
      <c r="O11021">
        <v>250211</v>
      </c>
      <c r="P11021">
        <v>55.68</v>
      </c>
    </row>
    <row r="11022" spans="1:16" x14ac:dyDescent="0.25">
      <c r="A11022" t="s">
        <v>3296</v>
      </c>
      <c r="B11022" t="s">
        <v>2931</v>
      </c>
      <c r="C11022">
        <v>1654</v>
      </c>
      <c r="D11022" t="str">
        <f>"71261778    "</f>
        <v xml:space="preserve">71261778    </v>
      </c>
      <c r="E11022" t="s">
        <v>616</v>
      </c>
      <c r="F11022" t="s">
        <v>617</v>
      </c>
      <c r="G11022">
        <v>153.69</v>
      </c>
      <c r="H11022">
        <v>250131</v>
      </c>
      <c r="I11022">
        <v>4380</v>
      </c>
      <c r="J11022" t="s">
        <v>211</v>
      </c>
      <c r="K11022">
        <v>252</v>
      </c>
      <c r="L11022">
        <v>31.23</v>
      </c>
      <c r="M11022">
        <v>59502</v>
      </c>
      <c r="N11022" t="s">
        <v>63</v>
      </c>
      <c r="O11022">
        <v>250212</v>
      </c>
      <c r="P11022">
        <v>122.46</v>
      </c>
    </row>
    <row r="11023" spans="1:16" x14ac:dyDescent="0.25">
      <c r="A11023" t="s">
        <v>3296</v>
      </c>
      <c r="B11023" t="s">
        <v>2931</v>
      </c>
      <c r="C11023">
        <v>1654</v>
      </c>
      <c r="D11023" t="str">
        <f>"71261778    "</f>
        <v xml:space="preserve">71261778    </v>
      </c>
      <c r="E11023" t="s">
        <v>616</v>
      </c>
      <c r="F11023" t="s">
        <v>617</v>
      </c>
      <c r="G11023">
        <v>98.31</v>
      </c>
      <c r="H11023">
        <v>250131</v>
      </c>
      <c r="I11023">
        <v>4380</v>
      </c>
      <c r="J11023" t="s">
        <v>211</v>
      </c>
      <c r="K11023">
        <v>252</v>
      </c>
      <c r="L11023">
        <v>19.98</v>
      </c>
      <c r="M11023">
        <v>59802</v>
      </c>
      <c r="N11023" t="s">
        <v>195</v>
      </c>
      <c r="O11023">
        <v>250212</v>
      </c>
      <c r="P11023">
        <v>78.33</v>
      </c>
    </row>
    <row r="11024" spans="1:16" x14ac:dyDescent="0.25">
      <c r="A11024" t="s">
        <v>3296</v>
      </c>
      <c r="B11024" t="s">
        <v>2931</v>
      </c>
      <c r="C11024">
        <v>1656</v>
      </c>
      <c r="D11024" t="str">
        <f>"71265043    "</f>
        <v xml:space="preserve">71265043    </v>
      </c>
      <c r="E11024" t="s">
        <v>616</v>
      </c>
      <c r="F11024" t="s">
        <v>617</v>
      </c>
      <c r="G11024">
        <v>156.25</v>
      </c>
      <c r="H11024">
        <v>250131</v>
      </c>
      <c r="I11024">
        <v>4380</v>
      </c>
      <c r="J11024" t="s">
        <v>211</v>
      </c>
      <c r="K11024">
        <v>156.25</v>
      </c>
      <c r="L11024">
        <v>31.75</v>
      </c>
      <c r="M11024">
        <v>59505</v>
      </c>
      <c r="N11024" t="s">
        <v>194</v>
      </c>
      <c r="O11024">
        <v>250212</v>
      </c>
      <c r="P11024">
        <v>124.5</v>
      </c>
    </row>
    <row r="11025" spans="1:16" x14ac:dyDescent="0.25">
      <c r="A11025" t="s">
        <v>3296</v>
      </c>
      <c r="B11025" t="s">
        <v>2931</v>
      </c>
      <c r="C11025">
        <v>1657</v>
      </c>
      <c r="D11025" t="str">
        <f>"71261601    "</f>
        <v xml:space="preserve">71261601    </v>
      </c>
      <c r="E11025" t="s">
        <v>616</v>
      </c>
      <c r="F11025" t="s">
        <v>617</v>
      </c>
      <c r="G11025">
        <v>23.09</v>
      </c>
      <c r="H11025">
        <v>250131</v>
      </c>
      <c r="I11025">
        <v>4380</v>
      </c>
      <c r="J11025" t="s">
        <v>211</v>
      </c>
      <c r="K11025">
        <v>23.09</v>
      </c>
      <c r="L11025">
        <v>4.6900000000000004</v>
      </c>
      <c r="M11025">
        <v>13641</v>
      </c>
      <c r="N11025" t="s">
        <v>871</v>
      </c>
      <c r="O11025">
        <v>250212</v>
      </c>
      <c r="P11025">
        <v>18.399999999999999</v>
      </c>
    </row>
    <row r="11026" spans="1:16" x14ac:dyDescent="0.25">
      <c r="A11026" t="s">
        <v>3296</v>
      </c>
      <c r="B11026" t="s">
        <v>2931</v>
      </c>
      <c r="C11026">
        <v>1662</v>
      </c>
      <c r="D11026" t="str">
        <f>"71261777    "</f>
        <v xml:space="preserve">71261777    </v>
      </c>
      <c r="E11026" t="s">
        <v>616</v>
      </c>
      <c r="F11026" t="s">
        <v>617</v>
      </c>
      <c r="G11026">
        <v>525.47</v>
      </c>
      <c r="H11026">
        <v>250131</v>
      </c>
      <c r="I11026">
        <v>4380</v>
      </c>
      <c r="J11026" t="s">
        <v>211</v>
      </c>
      <c r="K11026">
        <v>525.47</v>
      </c>
      <c r="L11026">
        <v>106.77</v>
      </c>
      <c r="M11026">
        <v>59501</v>
      </c>
      <c r="N11026" t="s">
        <v>62</v>
      </c>
      <c r="O11026">
        <v>250212</v>
      </c>
      <c r="P11026">
        <v>418.7</v>
      </c>
    </row>
    <row r="11027" spans="1:16" x14ac:dyDescent="0.25">
      <c r="A11027" t="s">
        <v>3296</v>
      </c>
      <c r="B11027" t="s">
        <v>2931</v>
      </c>
      <c r="C11027">
        <v>1663</v>
      </c>
      <c r="D11027" t="str">
        <f>"71262424    "</f>
        <v xml:space="preserve">71262424    </v>
      </c>
      <c r="E11027" t="s">
        <v>616</v>
      </c>
      <c r="F11027" t="s">
        <v>617</v>
      </c>
      <c r="G11027">
        <v>15.69</v>
      </c>
      <c r="H11027">
        <v>250131</v>
      </c>
      <c r="I11027">
        <v>4380</v>
      </c>
      <c r="J11027" t="s">
        <v>211</v>
      </c>
      <c r="K11027">
        <v>15.69</v>
      </c>
      <c r="L11027">
        <v>3.19</v>
      </c>
      <c r="M11027">
        <v>13841</v>
      </c>
      <c r="N11027" t="s">
        <v>178</v>
      </c>
      <c r="O11027">
        <v>250212</v>
      </c>
      <c r="P11027">
        <v>12.5</v>
      </c>
    </row>
    <row r="11028" spans="1:16" x14ac:dyDescent="0.25">
      <c r="A11028" t="s">
        <v>3296</v>
      </c>
      <c r="B11028" t="s">
        <v>2931</v>
      </c>
      <c r="C11028">
        <v>1664</v>
      </c>
      <c r="D11028" t="str">
        <f>"71261779    "</f>
        <v xml:space="preserve">71261779    </v>
      </c>
      <c r="E11028" t="s">
        <v>616</v>
      </c>
      <c r="F11028" t="s">
        <v>617</v>
      </c>
      <c r="G11028">
        <v>105.17</v>
      </c>
      <c r="H11028">
        <v>250131</v>
      </c>
      <c r="I11028">
        <v>4380</v>
      </c>
      <c r="J11028" t="s">
        <v>211</v>
      </c>
      <c r="K11028">
        <v>105.17</v>
      </c>
      <c r="L11028">
        <v>21.37</v>
      </c>
      <c r="M11028">
        <v>59504</v>
      </c>
      <c r="N11028" t="s">
        <v>193</v>
      </c>
      <c r="O11028">
        <v>250212</v>
      </c>
      <c r="P11028">
        <v>83.8</v>
      </c>
    </row>
    <row r="11029" spans="1:16" x14ac:dyDescent="0.25">
      <c r="A11029" t="s">
        <v>3296</v>
      </c>
      <c r="B11029" t="s">
        <v>2931</v>
      </c>
      <c r="C11029">
        <v>1665</v>
      </c>
      <c r="D11029" t="str">
        <f>"71262174    "</f>
        <v xml:space="preserve">71262174    </v>
      </c>
      <c r="E11029" t="s">
        <v>616</v>
      </c>
      <c r="F11029" t="s">
        <v>617</v>
      </c>
      <c r="G11029">
        <v>72.48</v>
      </c>
      <c r="H11029">
        <v>250131</v>
      </c>
      <c r="I11029">
        <v>4380</v>
      </c>
      <c r="J11029" t="s">
        <v>211</v>
      </c>
      <c r="K11029">
        <v>72.48</v>
      </c>
      <c r="L11029">
        <v>14.73</v>
      </c>
      <c r="M11029">
        <v>17952</v>
      </c>
      <c r="N11029" t="s">
        <v>157</v>
      </c>
      <c r="O11029">
        <v>250212</v>
      </c>
      <c r="P11029">
        <v>57.75</v>
      </c>
    </row>
    <row r="11030" spans="1:16" x14ac:dyDescent="0.25">
      <c r="A11030" t="s">
        <v>3296</v>
      </c>
      <c r="B11030" t="s">
        <v>2931</v>
      </c>
      <c r="C11030">
        <v>1667</v>
      </c>
      <c r="D11030" t="str">
        <f>"71261593    "</f>
        <v xml:space="preserve">71261593    </v>
      </c>
      <c r="E11030" t="s">
        <v>616</v>
      </c>
      <c r="F11030" t="s">
        <v>617</v>
      </c>
      <c r="G11030">
        <v>656.74</v>
      </c>
      <c r="H11030">
        <v>250131</v>
      </c>
      <c r="I11030">
        <v>4380</v>
      </c>
      <c r="J11030" t="s">
        <v>211</v>
      </c>
      <c r="K11030">
        <v>656.74</v>
      </c>
      <c r="L11030">
        <v>133.44</v>
      </c>
      <c r="M11030">
        <v>17951</v>
      </c>
      <c r="N11030" t="s">
        <v>207</v>
      </c>
      <c r="O11030">
        <v>250212</v>
      </c>
      <c r="P11030">
        <v>523.29999999999995</v>
      </c>
    </row>
    <row r="11031" spans="1:16" x14ac:dyDescent="0.25">
      <c r="A11031" t="s">
        <v>3296</v>
      </c>
      <c r="B11031" t="s">
        <v>2931</v>
      </c>
      <c r="C11031">
        <v>1668</v>
      </c>
      <c r="D11031" t="str">
        <f>"71261784    "</f>
        <v xml:space="preserve">71261784    </v>
      </c>
      <c r="E11031" t="s">
        <v>616</v>
      </c>
      <c r="F11031" t="s">
        <v>617</v>
      </c>
      <c r="G11031">
        <v>43.55</v>
      </c>
      <c r="H11031">
        <v>250131</v>
      </c>
      <c r="I11031">
        <v>4380</v>
      </c>
      <c r="J11031" t="s">
        <v>211</v>
      </c>
      <c r="K11031">
        <v>43.55</v>
      </c>
      <c r="L11031">
        <v>8.85</v>
      </c>
      <c r="M11031">
        <v>59503</v>
      </c>
      <c r="N11031" t="s">
        <v>766</v>
      </c>
      <c r="O11031">
        <v>250212</v>
      </c>
      <c r="P11031">
        <v>34.700000000000003</v>
      </c>
    </row>
    <row r="11032" spans="1:16" x14ac:dyDescent="0.25">
      <c r="A11032" t="s">
        <v>3296</v>
      </c>
      <c r="B11032" t="s">
        <v>2931</v>
      </c>
      <c r="C11032">
        <v>1676</v>
      </c>
      <c r="D11032" t="str">
        <f>"71261780    "</f>
        <v xml:space="preserve">71261780    </v>
      </c>
      <c r="E11032" t="s">
        <v>616</v>
      </c>
      <c r="F11032" t="s">
        <v>617</v>
      </c>
      <c r="G11032">
        <v>137.61000000000001</v>
      </c>
      <c r="H11032">
        <v>250131</v>
      </c>
      <c r="I11032">
        <v>4380</v>
      </c>
      <c r="J11032" t="s">
        <v>211</v>
      </c>
      <c r="K11032">
        <v>137.61000000000001</v>
      </c>
      <c r="L11032">
        <v>27.96</v>
      </c>
      <c r="M11032">
        <v>59505</v>
      </c>
      <c r="N11032" t="s">
        <v>194</v>
      </c>
      <c r="O11032">
        <v>250212</v>
      </c>
      <c r="P11032">
        <v>109.65</v>
      </c>
    </row>
    <row r="11033" spans="1:16" x14ac:dyDescent="0.25">
      <c r="A11033" t="s">
        <v>3296</v>
      </c>
      <c r="B11033" t="s">
        <v>2931</v>
      </c>
      <c r="C11033">
        <v>1690</v>
      </c>
      <c r="D11033" t="str">
        <f>"71261785    "</f>
        <v xml:space="preserve">71261785    </v>
      </c>
      <c r="E11033" t="s">
        <v>616</v>
      </c>
      <c r="F11033" t="s">
        <v>617</v>
      </c>
      <c r="G11033">
        <v>364.84</v>
      </c>
      <c r="H11033">
        <v>250131</v>
      </c>
      <c r="I11033">
        <v>4380</v>
      </c>
      <c r="J11033" t="s">
        <v>211</v>
      </c>
      <c r="K11033">
        <v>446.09</v>
      </c>
      <c r="L11033">
        <v>74.13</v>
      </c>
      <c r="M11033">
        <v>49501</v>
      </c>
      <c r="N11033" t="s">
        <v>110</v>
      </c>
      <c r="O11033">
        <v>250212</v>
      </c>
      <c r="P11033">
        <v>290.70999999999998</v>
      </c>
    </row>
    <row r="11034" spans="1:16" x14ac:dyDescent="0.25">
      <c r="A11034" t="s">
        <v>3296</v>
      </c>
      <c r="B11034" t="s">
        <v>2931</v>
      </c>
      <c r="C11034">
        <v>1690</v>
      </c>
      <c r="D11034" t="str">
        <f>"71261785    "</f>
        <v xml:space="preserve">71261785    </v>
      </c>
      <c r="E11034" t="s">
        <v>616</v>
      </c>
      <c r="F11034" t="s">
        <v>617</v>
      </c>
      <c r="G11034">
        <v>81.25</v>
      </c>
      <c r="H11034">
        <v>250131</v>
      </c>
      <c r="I11034">
        <v>4380</v>
      </c>
      <c r="J11034" t="s">
        <v>211</v>
      </c>
      <c r="K11034">
        <v>446.09</v>
      </c>
      <c r="L11034">
        <v>16.510000000000002</v>
      </c>
      <c r="M11034">
        <v>49503</v>
      </c>
      <c r="N11034" t="s">
        <v>267</v>
      </c>
      <c r="O11034">
        <v>250212</v>
      </c>
      <c r="P11034">
        <v>64.739999999999995</v>
      </c>
    </row>
    <row r="11035" spans="1:16" x14ac:dyDescent="0.25">
      <c r="A11035" t="s">
        <v>3296</v>
      </c>
      <c r="B11035" t="s">
        <v>2931</v>
      </c>
      <c r="C11035">
        <v>1971</v>
      </c>
      <c r="D11035" t="str">
        <f>"71224424    "</f>
        <v xml:space="preserve">71224424    </v>
      </c>
      <c r="E11035" t="s">
        <v>616</v>
      </c>
      <c r="F11035" t="s">
        <v>617</v>
      </c>
      <c r="G11035">
        <v>8.2799999999999994</v>
      </c>
      <c r="H11035">
        <v>250129</v>
      </c>
      <c r="I11035">
        <v>4380</v>
      </c>
      <c r="J11035" t="s">
        <v>211</v>
      </c>
      <c r="K11035">
        <v>43.42</v>
      </c>
      <c r="L11035">
        <v>1.68</v>
      </c>
      <c r="M11035">
        <v>17956</v>
      </c>
      <c r="N11035" t="s">
        <v>170</v>
      </c>
      <c r="O11035">
        <v>250218</v>
      </c>
      <c r="P11035">
        <v>6.6</v>
      </c>
    </row>
    <row r="11036" spans="1:16" x14ac:dyDescent="0.25">
      <c r="A11036" t="s">
        <v>3296</v>
      </c>
      <c r="B11036" t="s">
        <v>2931</v>
      </c>
      <c r="C11036">
        <v>1972</v>
      </c>
      <c r="D11036" t="str">
        <f>"71224427    "</f>
        <v xml:space="preserve">71224427    </v>
      </c>
      <c r="E11036" t="s">
        <v>616</v>
      </c>
      <c r="F11036" t="s">
        <v>617</v>
      </c>
      <c r="G11036">
        <v>35.14</v>
      </c>
      <c r="H11036">
        <v>250129</v>
      </c>
      <c r="I11036">
        <v>4380</v>
      </c>
      <c r="J11036" t="s">
        <v>211</v>
      </c>
      <c r="K11036">
        <v>54.47</v>
      </c>
      <c r="L11036">
        <v>7.14</v>
      </c>
      <c r="M11036">
        <v>17956</v>
      </c>
      <c r="N11036" t="s">
        <v>170</v>
      </c>
      <c r="O11036">
        <v>250218</v>
      </c>
      <c r="P11036">
        <v>28</v>
      </c>
    </row>
    <row r="11037" spans="1:16" x14ac:dyDescent="0.25">
      <c r="A11037" t="s">
        <v>3296</v>
      </c>
      <c r="B11037" t="s">
        <v>2931</v>
      </c>
      <c r="C11037">
        <v>1974</v>
      </c>
      <c r="D11037" t="str">
        <f>"71224423    "</f>
        <v xml:space="preserve">71224423    </v>
      </c>
      <c r="E11037" t="s">
        <v>616</v>
      </c>
      <c r="F11037" t="s">
        <v>617</v>
      </c>
      <c r="G11037">
        <v>115.96</v>
      </c>
      <c r="H11037">
        <v>250129</v>
      </c>
      <c r="I11037">
        <v>4380</v>
      </c>
      <c r="J11037" t="s">
        <v>211</v>
      </c>
      <c r="K11037">
        <v>1219.8599999999999</v>
      </c>
      <c r="L11037">
        <v>23.56</v>
      </c>
      <c r="M11037">
        <v>13540</v>
      </c>
      <c r="N11037" t="s">
        <v>131</v>
      </c>
      <c r="O11037">
        <v>250218</v>
      </c>
      <c r="P11037">
        <v>92.4</v>
      </c>
    </row>
    <row r="11038" spans="1:16" x14ac:dyDescent="0.25">
      <c r="A11038" t="s">
        <v>3296</v>
      </c>
      <c r="B11038" t="s">
        <v>2931</v>
      </c>
      <c r="C11038">
        <v>1974</v>
      </c>
      <c r="D11038" t="str">
        <f>"71224423    "</f>
        <v xml:space="preserve">71224423    </v>
      </c>
      <c r="E11038" t="s">
        <v>616</v>
      </c>
      <c r="F11038" t="s">
        <v>617</v>
      </c>
      <c r="G11038">
        <v>938.24</v>
      </c>
      <c r="H11038">
        <v>250129</v>
      </c>
      <c r="I11038">
        <v>4380</v>
      </c>
      <c r="J11038" t="s">
        <v>211</v>
      </c>
      <c r="K11038">
        <v>1219.8599999999999</v>
      </c>
      <c r="L11038">
        <v>190.64</v>
      </c>
      <c r="M11038">
        <v>17950</v>
      </c>
      <c r="N11038" t="s">
        <v>132</v>
      </c>
      <c r="O11038">
        <v>250218</v>
      </c>
      <c r="P11038">
        <v>747.6</v>
      </c>
    </row>
    <row r="11039" spans="1:16" x14ac:dyDescent="0.25">
      <c r="A11039" t="s">
        <v>3296</v>
      </c>
      <c r="B11039" t="s">
        <v>2931</v>
      </c>
      <c r="C11039">
        <v>1977</v>
      </c>
      <c r="D11039" t="str">
        <f>"71261596    "</f>
        <v xml:space="preserve">71261596    </v>
      </c>
      <c r="E11039" t="s">
        <v>616</v>
      </c>
      <c r="F11039" t="s">
        <v>617</v>
      </c>
      <c r="G11039">
        <v>32.36</v>
      </c>
      <c r="H11039">
        <v>250131</v>
      </c>
      <c r="I11039">
        <v>4380</v>
      </c>
      <c r="J11039" t="s">
        <v>211</v>
      </c>
      <c r="K11039">
        <v>430.84</v>
      </c>
      <c r="L11039">
        <v>6.58</v>
      </c>
      <c r="M11039">
        <v>13540</v>
      </c>
      <c r="N11039" t="s">
        <v>131</v>
      </c>
      <c r="O11039">
        <v>250218</v>
      </c>
      <c r="P11039">
        <v>25.78</v>
      </c>
    </row>
    <row r="11040" spans="1:16" x14ac:dyDescent="0.25">
      <c r="A11040" t="s">
        <v>3296</v>
      </c>
      <c r="B11040" t="s">
        <v>2931</v>
      </c>
      <c r="C11040">
        <v>1977</v>
      </c>
      <c r="D11040" t="str">
        <f>"71261596    "</f>
        <v xml:space="preserve">71261596    </v>
      </c>
      <c r="E11040" t="s">
        <v>616</v>
      </c>
      <c r="F11040" t="s">
        <v>617</v>
      </c>
      <c r="G11040">
        <v>261.81</v>
      </c>
      <c r="H11040">
        <v>250131</v>
      </c>
      <c r="I11040">
        <v>4380</v>
      </c>
      <c r="J11040" t="s">
        <v>211</v>
      </c>
      <c r="K11040">
        <v>430.84</v>
      </c>
      <c r="L11040">
        <v>53.2</v>
      </c>
      <c r="M11040">
        <v>17950</v>
      </c>
      <c r="N11040" t="s">
        <v>132</v>
      </c>
      <c r="O11040">
        <v>250218</v>
      </c>
      <c r="P11040">
        <v>208.61</v>
      </c>
    </row>
    <row r="11041" spans="1:16" x14ac:dyDescent="0.25">
      <c r="A11041" t="s">
        <v>3296</v>
      </c>
      <c r="B11041" t="s">
        <v>2931</v>
      </c>
      <c r="C11041">
        <v>1977</v>
      </c>
      <c r="D11041" t="str">
        <f>"71261596    "</f>
        <v xml:space="preserve">71261596    </v>
      </c>
      <c r="E11041" t="s">
        <v>616</v>
      </c>
      <c r="F11041" t="s">
        <v>617</v>
      </c>
      <c r="G11041">
        <v>136.66999999999999</v>
      </c>
      <c r="H11041">
        <v>250131</v>
      </c>
      <c r="I11041">
        <v>4380</v>
      </c>
      <c r="J11041" t="s">
        <v>211</v>
      </c>
      <c r="K11041">
        <v>430.84</v>
      </c>
      <c r="L11041">
        <v>27.77</v>
      </c>
      <c r="M11041">
        <v>17956</v>
      </c>
      <c r="N11041" t="s">
        <v>170</v>
      </c>
      <c r="O11041">
        <v>250218</v>
      </c>
      <c r="P11041">
        <v>108.9</v>
      </c>
    </row>
    <row r="11042" spans="1:16" x14ac:dyDescent="0.25">
      <c r="A11042" t="s">
        <v>3296</v>
      </c>
      <c r="B11042" t="s">
        <v>2931</v>
      </c>
      <c r="C11042">
        <v>2353</v>
      </c>
      <c r="D11042" t="str">
        <f>"71261781    "</f>
        <v xml:space="preserve">71261781    </v>
      </c>
      <c r="E11042" t="s">
        <v>616</v>
      </c>
      <c r="F11042" t="s">
        <v>617</v>
      </c>
      <c r="G11042">
        <v>116.97</v>
      </c>
      <c r="H11042">
        <v>250201</v>
      </c>
      <c r="I11042">
        <v>4380</v>
      </c>
      <c r="J11042" t="s">
        <v>211</v>
      </c>
      <c r="K11042">
        <v>150.68</v>
      </c>
      <c r="L11042">
        <v>23.77</v>
      </c>
      <c r="M11042">
        <v>14432</v>
      </c>
      <c r="N11042" t="s">
        <v>75</v>
      </c>
      <c r="O11042">
        <v>250224</v>
      </c>
      <c r="P11042">
        <v>93.2</v>
      </c>
    </row>
    <row r="11043" spans="1:16" x14ac:dyDescent="0.25">
      <c r="A11043" t="s">
        <v>3296</v>
      </c>
      <c r="B11043" t="s">
        <v>2931</v>
      </c>
      <c r="C11043">
        <v>2353</v>
      </c>
      <c r="D11043" t="str">
        <f>"71261781    "</f>
        <v xml:space="preserve">71261781    </v>
      </c>
      <c r="E11043" t="s">
        <v>616</v>
      </c>
      <c r="F11043" t="s">
        <v>617</v>
      </c>
      <c r="G11043">
        <v>33.71</v>
      </c>
      <c r="H11043">
        <v>250201</v>
      </c>
      <c r="I11043">
        <v>4380</v>
      </c>
      <c r="J11043" t="s">
        <v>211</v>
      </c>
      <c r="K11043">
        <v>150.68</v>
      </c>
      <c r="L11043">
        <v>6.85</v>
      </c>
      <c r="M11043">
        <v>14951</v>
      </c>
      <c r="N11043" t="s">
        <v>186</v>
      </c>
      <c r="O11043">
        <v>250224</v>
      </c>
      <c r="P11043">
        <v>26.86</v>
      </c>
    </row>
    <row r="11044" spans="1:16" x14ac:dyDescent="0.25">
      <c r="A11044" t="s">
        <v>3296</v>
      </c>
      <c r="B11044" t="s">
        <v>2931</v>
      </c>
      <c r="C11044">
        <v>2357</v>
      </c>
      <c r="D11044" t="str">
        <f>"71265044    "</f>
        <v xml:space="preserve">71265044    </v>
      </c>
      <c r="E11044" t="s">
        <v>616</v>
      </c>
      <c r="F11044" t="s">
        <v>617</v>
      </c>
      <c r="G11044">
        <v>30.43</v>
      </c>
      <c r="H11044">
        <v>250201</v>
      </c>
      <c r="I11044">
        <v>4380</v>
      </c>
      <c r="J11044" t="s">
        <v>211</v>
      </c>
      <c r="K11044">
        <v>91.3</v>
      </c>
      <c r="L11044">
        <v>6.18</v>
      </c>
      <c r="M11044">
        <v>11401</v>
      </c>
      <c r="N11044" t="s">
        <v>91</v>
      </c>
      <c r="O11044">
        <v>250224</v>
      </c>
      <c r="P11044">
        <v>24.25</v>
      </c>
    </row>
    <row r="11045" spans="1:16" x14ac:dyDescent="0.25">
      <c r="A11045" t="s">
        <v>3296</v>
      </c>
      <c r="B11045" t="s">
        <v>2931</v>
      </c>
      <c r="C11045">
        <v>2357</v>
      </c>
      <c r="D11045" t="str">
        <f>"71265044    "</f>
        <v xml:space="preserve">71265044    </v>
      </c>
      <c r="E11045" t="s">
        <v>616</v>
      </c>
      <c r="F11045" t="s">
        <v>617</v>
      </c>
      <c r="G11045">
        <v>60.87</v>
      </c>
      <c r="H11045">
        <v>250201</v>
      </c>
      <c r="I11045">
        <v>4380</v>
      </c>
      <c r="J11045" t="s">
        <v>211</v>
      </c>
      <c r="K11045">
        <v>91.3</v>
      </c>
      <c r="L11045">
        <v>12.37</v>
      </c>
      <c r="M11045">
        <v>14952</v>
      </c>
      <c r="N11045" t="s">
        <v>213</v>
      </c>
      <c r="O11045">
        <v>250224</v>
      </c>
      <c r="P11045">
        <v>48.5</v>
      </c>
    </row>
    <row r="11046" spans="1:16" x14ac:dyDescent="0.25">
      <c r="A11046" t="s">
        <v>3296</v>
      </c>
      <c r="B11046" t="s">
        <v>2931</v>
      </c>
      <c r="C11046">
        <v>2453</v>
      </c>
      <c r="D11046" t="str">
        <f>"71282857    "</f>
        <v xml:space="preserve">71282857    </v>
      </c>
      <c r="E11046" t="s">
        <v>616</v>
      </c>
      <c r="F11046" t="s">
        <v>617</v>
      </c>
      <c r="G11046">
        <v>50.2</v>
      </c>
      <c r="H11046">
        <v>250226</v>
      </c>
      <c r="I11046">
        <v>4380</v>
      </c>
      <c r="J11046" t="s">
        <v>211</v>
      </c>
      <c r="K11046">
        <v>50.2</v>
      </c>
      <c r="L11046">
        <v>10.199999999999999</v>
      </c>
      <c r="M11046">
        <v>17951</v>
      </c>
      <c r="N11046" t="s">
        <v>207</v>
      </c>
      <c r="O11046">
        <v>250227</v>
      </c>
      <c r="P11046">
        <v>40</v>
      </c>
    </row>
    <row r="11047" spans="1:16" x14ac:dyDescent="0.25">
      <c r="A11047" t="s">
        <v>3296</v>
      </c>
      <c r="B11047" t="s">
        <v>2931</v>
      </c>
      <c r="C11047">
        <v>2454</v>
      </c>
      <c r="D11047" t="str">
        <f>"71282860    "</f>
        <v xml:space="preserve">71282860    </v>
      </c>
      <c r="E11047" t="s">
        <v>616</v>
      </c>
      <c r="F11047" t="s">
        <v>617</v>
      </c>
      <c r="G11047">
        <v>235.19</v>
      </c>
      <c r="H11047">
        <v>250226</v>
      </c>
      <c r="I11047">
        <v>4380</v>
      </c>
      <c r="J11047" t="s">
        <v>211</v>
      </c>
      <c r="K11047">
        <v>235.19</v>
      </c>
      <c r="L11047">
        <v>47.79</v>
      </c>
      <c r="M11047">
        <v>17951</v>
      </c>
      <c r="N11047" t="s">
        <v>207</v>
      </c>
      <c r="O11047">
        <v>250227</v>
      </c>
      <c r="P11047">
        <v>187.4</v>
      </c>
    </row>
    <row r="11048" spans="1:16" x14ac:dyDescent="0.25">
      <c r="A11048" t="s">
        <v>3296</v>
      </c>
      <c r="B11048" t="s">
        <v>2931</v>
      </c>
      <c r="C11048">
        <v>2455</v>
      </c>
      <c r="D11048" t="str">
        <f>"71282859    "</f>
        <v xml:space="preserve">71282859    </v>
      </c>
      <c r="E11048" t="s">
        <v>616</v>
      </c>
      <c r="F11048" t="s">
        <v>617</v>
      </c>
      <c r="G11048">
        <v>45.18</v>
      </c>
      <c r="H11048">
        <v>250226</v>
      </c>
      <c r="I11048">
        <v>4380</v>
      </c>
      <c r="J11048" t="s">
        <v>211</v>
      </c>
      <c r="K11048">
        <v>45.18</v>
      </c>
      <c r="L11048">
        <v>9.18</v>
      </c>
      <c r="M11048">
        <v>17951</v>
      </c>
      <c r="N11048" t="s">
        <v>207</v>
      </c>
      <c r="O11048">
        <v>250227</v>
      </c>
      <c r="P11048">
        <v>36</v>
      </c>
    </row>
    <row r="11049" spans="1:16" x14ac:dyDescent="0.25">
      <c r="A11049" t="s">
        <v>3296</v>
      </c>
      <c r="B11049" t="s">
        <v>2931</v>
      </c>
      <c r="C11049">
        <v>2456</v>
      </c>
      <c r="D11049" t="str">
        <f>"71282852    "</f>
        <v xml:space="preserve">71282852    </v>
      </c>
      <c r="E11049" t="s">
        <v>616</v>
      </c>
      <c r="F11049" t="s">
        <v>617</v>
      </c>
      <c r="G11049">
        <v>80.319999999999993</v>
      </c>
      <c r="H11049">
        <v>250226</v>
      </c>
      <c r="I11049">
        <v>4380</v>
      </c>
      <c r="J11049" t="s">
        <v>211</v>
      </c>
      <c r="K11049">
        <v>80.319999999999993</v>
      </c>
      <c r="L11049">
        <v>16.32</v>
      </c>
      <c r="M11049">
        <v>17951</v>
      </c>
      <c r="N11049" t="s">
        <v>207</v>
      </c>
      <c r="O11049">
        <v>250227</v>
      </c>
      <c r="P11049">
        <v>64</v>
      </c>
    </row>
    <row r="11050" spans="1:16" x14ac:dyDescent="0.25">
      <c r="A11050" t="s">
        <v>3296</v>
      </c>
      <c r="B11050" t="s">
        <v>2931</v>
      </c>
      <c r="C11050">
        <v>2457</v>
      </c>
      <c r="D11050" t="str">
        <f>"71282856    "</f>
        <v xml:space="preserve">71282856    </v>
      </c>
      <c r="E11050" t="s">
        <v>616</v>
      </c>
      <c r="F11050" t="s">
        <v>617</v>
      </c>
      <c r="G11050">
        <v>55.22</v>
      </c>
      <c r="H11050">
        <v>250226</v>
      </c>
      <c r="I11050">
        <v>4380</v>
      </c>
      <c r="J11050" t="s">
        <v>211</v>
      </c>
      <c r="K11050">
        <v>55.22</v>
      </c>
      <c r="L11050">
        <v>11.22</v>
      </c>
      <c r="M11050">
        <v>17951</v>
      </c>
      <c r="N11050" t="s">
        <v>207</v>
      </c>
      <c r="O11050">
        <v>250227</v>
      </c>
      <c r="P11050">
        <v>44</v>
      </c>
    </row>
    <row r="11051" spans="1:16" x14ac:dyDescent="0.25">
      <c r="A11051" t="s">
        <v>3296</v>
      </c>
      <c r="B11051" t="s">
        <v>2931</v>
      </c>
      <c r="C11051">
        <v>2464</v>
      </c>
      <c r="D11051" t="str">
        <f>"71278252    "</f>
        <v xml:space="preserve">71278252    </v>
      </c>
      <c r="E11051" t="s">
        <v>616</v>
      </c>
      <c r="F11051" t="s">
        <v>617</v>
      </c>
      <c r="G11051">
        <v>125.34</v>
      </c>
      <c r="H11051">
        <v>250225</v>
      </c>
      <c r="I11051">
        <v>4380</v>
      </c>
      <c r="J11051" t="s">
        <v>211</v>
      </c>
      <c r="K11051">
        <v>125.34</v>
      </c>
      <c r="L11051">
        <v>25.47</v>
      </c>
      <c r="M11051">
        <v>47522</v>
      </c>
      <c r="N11051" t="s">
        <v>106</v>
      </c>
      <c r="O11051">
        <v>250227</v>
      </c>
      <c r="P11051">
        <v>99.87</v>
      </c>
    </row>
    <row r="11052" spans="1:16" x14ac:dyDescent="0.25">
      <c r="A11052" t="s">
        <v>3296</v>
      </c>
      <c r="B11052" t="s">
        <v>2931</v>
      </c>
      <c r="C11052">
        <v>2465</v>
      </c>
      <c r="D11052" t="str">
        <f>"71278253    "</f>
        <v xml:space="preserve">71278253    </v>
      </c>
      <c r="E11052" t="s">
        <v>616</v>
      </c>
      <c r="F11052" t="s">
        <v>617</v>
      </c>
      <c r="G11052">
        <v>122.49</v>
      </c>
      <c r="H11052">
        <v>250225</v>
      </c>
      <c r="I11052">
        <v>4380</v>
      </c>
      <c r="J11052" t="s">
        <v>211</v>
      </c>
      <c r="K11052">
        <v>122.49</v>
      </c>
      <c r="L11052">
        <v>24.89</v>
      </c>
      <c r="M11052">
        <v>47522</v>
      </c>
      <c r="N11052" t="s">
        <v>106</v>
      </c>
      <c r="O11052">
        <v>250227</v>
      </c>
      <c r="P11052">
        <v>97.6</v>
      </c>
    </row>
    <row r="11053" spans="1:16" x14ac:dyDescent="0.25">
      <c r="A11053" t="s">
        <v>3296</v>
      </c>
      <c r="B11053" t="s">
        <v>2931</v>
      </c>
      <c r="C11053">
        <v>2662</v>
      </c>
      <c r="D11053" t="str">
        <f>"71279105    "</f>
        <v xml:space="preserve">71279105    </v>
      </c>
      <c r="E11053" t="s">
        <v>616</v>
      </c>
      <c r="F11053" t="s">
        <v>617</v>
      </c>
      <c r="G11053">
        <v>50.43</v>
      </c>
      <c r="H11053">
        <v>250225</v>
      </c>
      <c r="I11053">
        <v>4380</v>
      </c>
      <c r="J11053" t="s">
        <v>211</v>
      </c>
      <c r="K11053">
        <v>50.43</v>
      </c>
      <c r="L11053">
        <v>10.25</v>
      </c>
      <c r="M11053">
        <v>46554</v>
      </c>
      <c r="N11053" t="s">
        <v>102</v>
      </c>
      <c r="O11053">
        <v>250310</v>
      </c>
      <c r="P11053">
        <v>40.18</v>
      </c>
    </row>
    <row r="11054" spans="1:16" x14ac:dyDescent="0.25">
      <c r="A11054" t="s">
        <v>3296</v>
      </c>
      <c r="B11054" t="s">
        <v>2931</v>
      </c>
      <c r="C11054">
        <v>2879</v>
      </c>
      <c r="D11054" t="str">
        <f>"71282862    "</f>
        <v xml:space="preserve">71282862    </v>
      </c>
      <c r="E11054" t="s">
        <v>616</v>
      </c>
      <c r="F11054" t="s">
        <v>617</v>
      </c>
      <c r="G11054">
        <v>57.98</v>
      </c>
      <c r="H11054">
        <v>250226</v>
      </c>
      <c r="I11054">
        <v>4380</v>
      </c>
      <c r="J11054" t="s">
        <v>211</v>
      </c>
      <c r="K11054">
        <v>165.66</v>
      </c>
      <c r="L11054">
        <v>11.78</v>
      </c>
      <c r="M11054">
        <v>59502</v>
      </c>
      <c r="N11054" t="s">
        <v>63</v>
      </c>
      <c r="O11054">
        <v>250312</v>
      </c>
      <c r="P11054">
        <v>46.2</v>
      </c>
    </row>
    <row r="11055" spans="1:16" x14ac:dyDescent="0.25">
      <c r="A11055" t="s">
        <v>3296</v>
      </c>
      <c r="B11055" t="s">
        <v>2931</v>
      </c>
      <c r="C11055">
        <v>2879</v>
      </c>
      <c r="D11055" t="str">
        <f>"71282862    "</f>
        <v xml:space="preserve">71282862    </v>
      </c>
      <c r="E11055" t="s">
        <v>616</v>
      </c>
      <c r="F11055" t="s">
        <v>617</v>
      </c>
      <c r="G11055">
        <v>107.68</v>
      </c>
      <c r="H11055">
        <v>250226</v>
      </c>
      <c r="I11055">
        <v>4380</v>
      </c>
      <c r="J11055" t="s">
        <v>211</v>
      </c>
      <c r="K11055">
        <v>165.66</v>
      </c>
      <c r="L11055">
        <v>21.88</v>
      </c>
      <c r="M11055">
        <v>59802</v>
      </c>
      <c r="N11055" t="s">
        <v>195</v>
      </c>
      <c r="O11055">
        <v>250312</v>
      </c>
      <c r="P11055">
        <v>85.8</v>
      </c>
    </row>
    <row r="11056" spans="1:16" x14ac:dyDescent="0.25">
      <c r="A11056" t="s">
        <v>3296</v>
      </c>
      <c r="B11056" t="s">
        <v>2931</v>
      </c>
      <c r="C11056">
        <v>2880</v>
      </c>
      <c r="D11056" t="str">
        <f>"71282851    "</f>
        <v xml:space="preserve">71282851    </v>
      </c>
      <c r="E11056" t="s">
        <v>616</v>
      </c>
      <c r="F11056" t="s">
        <v>617</v>
      </c>
      <c r="G11056">
        <v>65.010000000000005</v>
      </c>
      <c r="H11056">
        <v>250226</v>
      </c>
      <c r="I11056">
        <v>4380</v>
      </c>
      <c r="J11056" t="s">
        <v>211</v>
      </c>
      <c r="K11056">
        <v>65.010000000000005</v>
      </c>
      <c r="L11056">
        <v>13.21</v>
      </c>
      <c r="M11056">
        <v>49501</v>
      </c>
      <c r="N11056" t="s">
        <v>110</v>
      </c>
      <c r="O11056">
        <v>250312</v>
      </c>
      <c r="P11056">
        <v>51.8</v>
      </c>
    </row>
    <row r="11057" spans="1:16" x14ac:dyDescent="0.25">
      <c r="A11057" t="s">
        <v>3296</v>
      </c>
      <c r="B11057" t="s">
        <v>2931</v>
      </c>
      <c r="C11057">
        <v>2881</v>
      </c>
      <c r="D11057" t="str">
        <f>"71282854    "</f>
        <v xml:space="preserve">71282854    </v>
      </c>
      <c r="E11057" t="s">
        <v>616</v>
      </c>
      <c r="F11057" t="s">
        <v>617</v>
      </c>
      <c r="G11057">
        <v>399.09</v>
      </c>
      <c r="H11057">
        <v>250226</v>
      </c>
      <c r="I11057">
        <v>4380</v>
      </c>
      <c r="J11057" t="s">
        <v>211</v>
      </c>
      <c r="K11057">
        <v>399.09</v>
      </c>
      <c r="L11057">
        <v>81.09</v>
      </c>
      <c r="M11057">
        <v>14951</v>
      </c>
      <c r="N11057" t="s">
        <v>186</v>
      </c>
      <c r="O11057">
        <v>250312</v>
      </c>
      <c r="P11057">
        <v>318</v>
      </c>
    </row>
    <row r="11058" spans="1:16" x14ac:dyDescent="0.25">
      <c r="A11058" t="s">
        <v>3296</v>
      </c>
      <c r="B11058" t="s">
        <v>2931</v>
      </c>
      <c r="C11058">
        <v>2883</v>
      </c>
      <c r="D11058" t="str">
        <f>"71282861    "</f>
        <v xml:space="preserve">71282861    </v>
      </c>
      <c r="E11058" t="s">
        <v>616</v>
      </c>
      <c r="F11058" t="s">
        <v>617</v>
      </c>
      <c r="G11058">
        <v>55.22</v>
      </c>
      <c r="H11058">
        <v>250226</v>
      </c>
      <c r="I11058">
        <v>4380</v>
      </c>
      <c r="J11058" t="s">
        <v>211</v>
      </c>
      <c r="K11058">
        <v>74.55</v>
      </c>
      <c r="L11058">
        <v>11.22</v>
      </c>
      <c r="M11058">
        <v>17956</v>
      </c>
      <c r="N11058" t="s">
        <v>170</v>
      </c>
      <c r="O11058">
        <v>250312</v>
      </c>
      <c r="P11058">
        <v>44</v>
      </c>
    </row>
    <row r="11059" spans="1:16" x14ac:dyDescent="0.25">
      <c r="A11059" t="s">
        <v>3296</v>
      </c>
      <c r="B11059" t="s">
        <v>2931</v>
      </c>
      <c r="C11059">
        <v>2885</v>
      </c>
      <c r="D11059" t="str">
        <f>"71282816    "</f>
        <v xml:space="preserve">71282816    </v>
      </c>
      <c r="E11059" t="s">
        <v>616</v>
      </c>
      <c r="F11059" t="s">
        <v>617</v>
      </c>
      <c r="G11059">
        <v>11.04</v>
      </c>
      <c r="H11059">
        <v>250226</v>
      </c>
      <c r="I11059">
        <v>4380</v>
      </c>
      <c r="J11059" t="s">
        <v>211</v>
      </c>
      <c r="K11059">
        <v>11.04</v>
      </c>
      <c r="L11059">
        <v>2.2400000000000002</v>
      </c>
      <c r="M11059">
        <v>59503</v>
      </c>
      <c r="N11059" t="s">
        <v>766</v>
      </c>
      <c r="O11059">
        <v>250312</v>
      </c>
      <c r="P11059">
        <v>8.8000000000000007</v>
      </c>
    </row>
    <row r="11060" spans="1:16" x14ac:dyDescent="0.25">
      <c r="A11060" t="s">
        <v>3296</v>
      </c>
      <c r="B11060" t="s">
        <v>2931</v>
      </c>
      <c r="C11060">
        <v>2886</v>
      </c>
      <c r="D11060" t="str">
        <f>"71282858    "</f>
        <v xml:space="preserve">71282858    </v>
      </c>
      <c r="E11060" t="s">
        <v>616</v>
      </c>
      <c r="F11060" t="s">
        <v>617</v>
      </c>
      <c r="G11060">
        <v>65.260000000000005</v>
      </c>
      <c r="H11060">
        <v>250226</v>
      </c>
      <c r="I11060">
        <v>4380</v>
      </c>
      <c r="J11060" t="s">
        <v>211</v>
      </c>
      <c r="K11060">
        <v>79.069999999999993</v>
      </c>
      <c r="L11060">
        <v>13.26</v>
      </c>
      <c r="M11060">
        <v>17956</v>
      </c>
      <c r="N11060" t="s">
        <v>170</v>
      </c>
      <c r="O11060">
        <v>250312</v>
      </c>
      <c r="P11060">
        <v>52</v>
      </c>
    </row>
    <row r="11061" spans="1:16" x14ac:dyDescent="0.25">
      <c r="A11061" t="s">
        <v>3296</v>
      </c>
      <c r="B11061" t="s">
        <v>2931</v>
      </c>
      <c r="C11061">
        <v>2887</v>
      </c>
      <c r="D11061" t="str">
        <f>"71282849    "</f>
        <v xml:space="preserve">71282849    </v>
      </c>
      <c r="E11061" t="s">
        <v>616</v>
      </c>
      <c r="F11061" t="s">
        <v>617</v>
      </c>
      <c r="G11061">
        <v>143.57</v>
      </c>
      <c r="H11061">
        <v>250226</v>
      </c>
      <c r="I11061">
        <v>4380</v>
      </c>
      <c r="J11061" t="s">
        <v>211</v>
      </c>
      <c r="K11061">
        <v>143.57</v>
      </c>
      <c r="L11061">
        <v>29.17</v>
      </c>
      <c r="M11061">
        <v>59501</v>
      </c>
      <c r="N11061" t="s">
        <v>62</v>
      </c>
      <c r="O11061">
        <v>250312</v>
      </c>
      <c r="P11061">
        <v>114.4</v>
      </c>
    </row>
    <row r="11062" spans="1:16" x14ac:dyDescent="0.25">
      <c r="A11062" t="s">
        <v>3296</v>
      </c>
      <c r="B11062" t="s">
        <v>2931</v>
      </c>
      <c r="C11062">
        <v>2889</v>
      </c>
      <c r="D11062" t="str">
        <f>"71282853    "</f>
        <v xml:space="preserve">71282853    </v>
      </c>
      <c r="E11062" t="s">
        <v>616</v>
      </c>
      <c r="F11062" t="s">
        <v>617</v>
      </c>
      <c r="G11062">
        <v>35.89</v>
      </c>
      <c r="H11062">
        <v>250226</v>
      </c>
      <c r="I11062">
        <v>4380</v>
      </c>
      <c r="J11062" t="s">
        <v>211</v>
      </c>
      <c r="K11062">
        <v>35.89</v>
      </c>
      <c r="L11062">
        <v>7.29</v>
      </c>
      <c r="M11062">
        <v>59504</v>
      </c>
      <c r="N11062" t="s">
        <v>193</v>
      </c>
      <c r="O11062">
        <v>250312</v>
      </c>
      <c r="P11062">
        <v>28.6</v>
      </c>
    </row>
    <row r="11063" spans="1:16" x14ac:dyDescent="0.25">
      <c r="A11063" t="s">
        <v>3296</v>
      </c>
      <c r="B11063" t="s">
        <v>2931</v>
      </c>
      <c r="C11063">
        <v>2952</v>
      </c>
      <c r="D11063" t="str">
        <f>"71282863    "</f>
        <v xml:space="preserve">71282863    </v>
      </c>
      <c r="E11063" t="s">
        <v>616</v>
      </c>
      <c r="F11063" t="s">
        <v>617</v>
      </c>
      <c r="G11063">
        <v>55.22</v>
      </c>
      <c r="H11063">
        <v>250226</v>
      </c>
      <c r="I11063">
        <v>4380</v>
      </c>
      <c r="J11063" t="s">
        <v>211</v>
      </c>
      <c r="K11063">
        <v>63.5</v>
      </c>
      <c r="L11063">
        <v>11.22</v>
      </c>
      <c r="M11063">
        <v>17956</v>
      </c>
      <c r="N11063" t="s">
        <v>170</v>
      </c>
      <c r="O11063">
        <v>250313</v>
      </c>
      <c r="P11063">
        <v>44</v>
      </c>
    </row>
    <row r="11064" spans="1:16" x14ac:dyDescent="0.25">
      <c r="A11064" t="s">
        <v>3296</v>
      </c>
      <c r="B11064" t="s">
        <v>2931</v>
      </c>
      <c r="C11064">
        <v>2974</v>
      </c>
      <c r="D11064" t="str">
        <f>"71322581    "</f>
        <v xml:space="preserve">71322581    </v>
      </c>
      <c r="E11064" t="s">
        <v>616</v>
      </c>
      <c r="F11064" t="s">
        <v>617</v>
      </c>
      <c r="G11064">
        <v>24.84</v>
      </c>
      <c r="H11064">
        <v>250228</v>
      </c>
      <c r="I11064">
        <v>4380</v>
      </c>
      <c r="J11064" t="s">
        <v>211</v>
      </c>
      <c r="K11064">
        <v>335.14</v>
      </c>
      <c r="L11064">
        <v>5.05</v>
      </c>
      <c r="M11064">
        <v>13540</v>
      </c>
      <c r="N11064" t="s">
        <v>131</v>
      </c>
      <c r="O11064">
        <v>250313</v>
      </c>
      <c r="P11064">
        <v>19.79</v>
      </c>
    </row>
    <row r="11065" spans="1:16" x14ac:dyDescent="0.25">
      <c r="A11065" t="s">
        <v>3296</v>
      </c>
      <c r="B11065" t="s">
        <v>2931</v>
      </c>
      <c r="C11065">
        <v>2974</v>
      </c>
      <c r="D11065" t="str">
        <f>"71322581    "</f>
        <v xml:space="preserve">71322581    </v>
      </c>
      <c r="E11065" t="s">
        <v>616</v>
      </c>
      <c r="F11065" t="s">
        <v>617</v>
      </c>
      <c r="G11065">
        <v>200.97</v>
      </c>
      <c r="H11065">
        <v>250228</v>
      </c>
      <c r="I11065">
        <v>4380</v>
      </c>
      <c r="J11065" t="s">
        <v>211</v>
      </c>
      <c r="K11065">
        <v>335.14</v>
      </c>
      <c r="L11065">
        <v>40.83</v>
      </c>
      <c r="M11065">
        <v>17950</v>
      </c>
      <c r="N11065" t="s">
        <v>132</v>
      </c>
      <c r="O11065">
        <v>250313</v>
      </c>
      <c r="P11065">
        <v>160.13999999999999</v>
      </c>
    </row>
    <row r="11066" spans="1:16" x14ac:dyDescent="0.25">
      <c r="A11066" t="s">
        <v>3296</v>
      </c>
      <c r="B11066" t="s">
        <v>2931</v>
      </c>
      <c r="C11066">
        <v>2974</v>
      </c>
      <c r="D11066" t="str">
        <f>"71322581    "</f>
        <v xml:space="preserve">71322581    </v>
      </c>
      <c r="E11066" t="s">
        <v>616</v>
      </c>
      <c r="F11066" t="s">
        <v>617</v>
      </c>
      <c r="G11066">
        <v>109.33</v>
      </c>
      <c r="H11066">
        <v>250228</v>
      </c>
      <c r="I11066">
        <v>4380</v>
      </c>
      <c r="J11066" t="s">
        <v>211</v>
      </c>
      <c r="K11066">
        <v>335.14</v>
      </c>
      <c r="L11066">
        <v>22.21</v>
      </c>
      <c r="M11066">
        <v>17956</v>
      </c>
      <c r="N11066" t="s">
        <v>170</v>
      </c>
      <c r="O11066">
        <v>250313</v>
      </c>
      <c r="P11066">
        <v>87.12</v>
      </c>
    </row>
    <row r="11067" spans="1:16" x14ac:dyDescent="0.25">
      <c r="A11067" t="s">
        <v>3296</v>
      </c>
      <c r="B11067" t="s">
        <v>2931</v>
      </c>
      <c r="C11067">
        <v>3071</v>
      </c>
      <c r="D11067" t="str">
        <f>"71322766    "</f>
        <v xml:space="preserve">71322766    </v>
      </c>
      <c r="E11067" t="s">
        <v>616</v>
      </c>
      <c r="F11067" t="s">
        <v>617</v>
      </c>
      <c r="G11067">
        <v>84.14</v>
      </c>
      <c r="H11067">
        <v>250228</v>
      </c>
      <c r="I11067">
        <v>4380</v>
      </c>
      <c r="J11067" t="s">
        <v>211</v>
      </c>
      <c r="K11067">
        <v>84.14</v>
      </c>
      <c r="L11067">
        <v>17.100000000000001</v>
      </c>
      <c r="M11067">
        <v>59504</v>
      </c>
      <c r="N11067" t="s">
        <v>193</v>
      </c>
      <c r="O11067">
        <v>250314</v>
      </c>
      <c r="P11067">
        <v>67.040000000000006</v>
      </c>
    </row>
    <row r="11068" spans="1:16" x14ac:dyDescent="0.25">
      <c r="A11068" t="s">
        <v>3296</v>
      </c>
      <c r="B11068" t="s">
        <v>2931</v>
      </c>
      <c r="C11068">
        <v>3082</v>
      </c>
      <c r="D11068" t="str">
        <f>"71321507    "</f>
        <v xml:space="preserve">71321507    </v>
      </c>
      <c r="E11068" t="s">
        <v>616</v>
      </c>
      <c r="F11068" t="s">
        <v>617</v>
      </c>
      <c r="G11068">
        <v>28.36</v>
      </c>
      <c r="H11068">
        <v>250228</v>
      </c>
      <c r="I11068">
        <v>4380</v>
      </c>
      <c r="J11068" t="s">
        <v>211</v>
      </c>
      <c r="K11068">
        <v>85.09</v>
      </c>
      <c r="L11068">
        <v>5.76</v>
      </c>
      <c r="M11068">
        <v>11401</v>
      </c>
      <c r="N11068" t="s">
        <v>91</v>
      </c>
      <c r="O11068">
        <v>250314</v>
      </c>
      <c r="P11068">
        <v>22.6</v>
      </c>
    </row>
    <row r="11069" spans="1:16" x14ac:dyDescent="0.25">
      <c r="A11069" t="s">
        <v>3296</v>
      </c>
      <c r="B11069" t="s">
        <v>2931</v>
      </c>
      <c r="C11069">
        <v>3082</v>
      </c>
      <c r="D11069" t="str">
        <f>"71321507    "</f>
        <v xml:space="preserve">71321507    </v>
      </c>
      <c r="E11069" t="s">
        <v>616</v>
      </c>
      <c r="F11069" t="s">
        <v>617</v>
      </c>
      <c r="G11069">
        <v>56.73</v>
      </c>
      <c r="H11069">
        <v>250228</v>
      </c>
      <c r="I11069">
        <v>4380</v>
      </c>
      <c r="J11069" t="s">
        <v>211</v>
      </c>
      <c r="K11069">
        <v>85.09</v>
      </c>
      <c r="L11069">
        <v>11.53</v>
      </c>
      <c r="M11069">
        <v>14952</v>
      </c>
      <c r="N11069" t="s">
        <v>213</v>
      </c>
      <c r="O11069">
        <v>250314</v>
      </c>
      <c r="P11069">
        <v>45.2</v>
      </c>
    </row>
    <row r="11070" spans="1:16" x14ac:dyDescent="0.25">
      <c r="A11070" t="s">
        <v>3296</v>
      </c>
      <c r="B11070" t="s">
        <v>2931</v>
      </c>
      <c r="C11070">
        <v>3083</v>
      </c>
      <c r="D11070" t="str">
        <f>"71322767    "</f>
        <v xml:space="preserve">71322767    </v>
      </c>
      <c r="E11070" t="s">
        <v>616</v>
      </c>
      <c r="F11070" t="s">
        <v>617</v>
      </c>
      <c r="G11070">
        <v>105.11</v>
      </c>
      <c r="H11070">
        <v>250228</v>
      </c>
      <c r="I11070">
        <v>4380</v>
      </c>
      <c r="J11070" t="s">
        <v>211</v>
      </c>
      <c r="K11070">
        <v>132.08000000000001</v>
      </c>
      <c r="L11070">
        <v>21.36</v>
      </c>
      <c r="M11070">
        <v>14432</v>
      </c>
      <c r="N11070" t="s">
        <v>75</v>
      </c>
      <c r="O11070">
        <v>250314</v>
      </c>
      <c r="P11070">
        <v>83.75</v>
      </c>
    </row>
    <row r="11071" spans="1:16" x14ac:dyDescent="0.25">
      <c r="A11071" t="s">
        <v>3296</v>
      </c>
      <c r="B11071" t="s">
        <v>2931</v>
      </c>
      <c r="C11071">
        <v>3083</v>
      </c>
      <c r="D11071" t="str">
        <f>"71322767    "</f>
        <v xml:space="preserve">71322767    </v>
      </c>
      <c r="E11071" t="s">
        <v>616</v>
      </c>
      <c r="F11071" t="s">
        <v>617</v>
      </c>
      <c r="G11071">
        <v>26.97</v>
      </c>
      <c r="H11071">
        <v>250228</v>
      </c>
      <c r="I11071">
        <v>4380</v>
      </c>
      <c r="J11071" t="s">
        <v>211</v>
      </c>
      <c r="K11071">
        <v>132.08000000000001</v>
      </c>
      <c r="L11071">
        <v>5.48</v>
      </c>
      <c r="M11071">
        <v>14951</v>
      </c>
      <c r="N11071" t="s">
        <v>186</v>
      </c>
      <c r="O11071">
        <v>250314</v>
      </c>
      <c r="P11071">
        <v>21.49</v>
      </c>
    </row>
    <row r="11072" spans="1:16" x14ac:dyDescent="0.25">
      <c r="A11072" t="s">
        <v>3296</v>
      </c>
      <c r="B11072" t="s">
        <v>2931</v>
      </c>
      <c r="C11072">
        <v>3102</v>
      </c>
      <c r="D11072" t="str">
        <f>"71321508    "</f>
        <v xml:space="preserve">71321508    </v>
      </c>
      <c r="E11072" t="s">
        <v>616</v>
      </c>
      <c r="F11072" t="s">
        <v>617</v>
      </c>
      <c r="G11072">
        <v>186.24</v>
      </c>
      <c r="H11072">
        <v>250228</v>
      </c>
      <c r="I11072">
        <v>4380</v>
      </c>
      <c r="J11072" t="s">
        <v>211</v>
      </c>
      <c r="K11072">
        <v>186.24</v>
      </c>
      <c r="L11072">
        <v>37.840000000000003</v>
      </c>
      <c r="M11072">
        <v>59505</v>
      </c>
      <c r="N11072" t="s">
        <v>194</v>
      </c>
      <c r="O11072">
        <v>250314</v>
      </c>
      <c r="P11072">
        <v>148.4</v>
      </c>
    </row>
    <row r="11073" spans="1:16" x14ac:dyDescent="0.25">
      <c r="A11073" t="s">
        <v>3296</v>
      </c>
      <c r="B11073" t="s">
        <v>2931</v>
      </c>
      <c r="C11073">
        <v>3113</v>
      </c>
      <c r="D11073" t="str">
        <f>"71322763    "</f>
        <v xml:space="preserve">71322763    </v>
      </c>
      <c r="E11073" t="s">
        <v>616</v>
      </c>
      <c r="F11073" t="s">
        <v>617</v>
      </c>
      <c r="G11073">
        <v>420.37</v>
      </c>
      <c r="H11073">
        <v>250228</v>
      </c>
      <c r="I11073">
        <v>4380</v>
      </c>
      <c r="J11073" t="s">
        <v>211</v>
      </c>
      <c r="K11073">
        <v>420.37</v>
      </c>
      <c r="L11073">
        <v>85.41</v>
      </c>
      <c r="M11073">
        <v>59501</v>
      </c>
      <c r="N11073" t="s">
        <v>62</v>
      </c>
      <c r="O11073">
        <v>250314</v>
      </c>
      <c r="P11073">
        <v>334.96</v>
      </c>
    </row>
    <row r="11074" spans="1:16" x14ac:dyDescent="0.25">
      <c r="A11074" t="s">
        <v>3296</v>
      </c>
      <c r="B11074" t="s">
        <v>2931</v>
      </c>
      <c r="C11074">
        <v>3120</v>
      </c>
      <c r="D11074" t="str">
        <f>"71322764    "</f>
        <v xml:space="preserve">71322764    </v>
      </c>
      <c r="E11074" t="s">
        <v>616</v>
      </c>
      <c r="F11074" t="s">
        <v>617</v>
      </c>
      <c r="G11074">
        <v>122.96</v>
      </c>
      <c r="H11074">
        <v>250228</v>
      </c>
      <c r="I11074">
        <v>4380</v>
      </c>
      <c r="J11074" t="s">
        <v>211</v>
      </c>
      <c r="K11074">
        <v>201.6</v>
      </c>
      <c r="L11074">
        <v>24.98</v>
      </c>
      <c r="M11074">
        <v>59502</v>
      </c>
      <c r="N11074" t="s">
        <v>63</v>
      </c>
      <c r="O11074">
        <v>250314</v>
      </c>
      <c r="P11074">
        <v>97.98</v>
      </c>
    </row>
    <row r="11075" spans="1:16" x14ac:dyDescent="0.25">
      <c r="A11075" t="s">
        <v>3296</v>
      </c>
      <c r="B11075" t="s">
        <v>2931</v>
      </c>
      <c r="C11075">
        <v>3120</v>
      </c>
      <c r="D11075" t="str">
        <f>"71322764    "</f>
        <v xml:space="preserve">71322764    </v>
      </c>
      <c r="E11075" t="s">
        <v>616</v>
      </c>
      <c r="F11075" t="s">
        <v>617</v>
      </c>
      <c r="G11075">
        <v>78.64</v>
      </c>
      <c r="H11075">
        <v>250228</v>
      </c>
      <c r="I11075">
        <v>4380</v>
      </c>
      <c r="J11075" t="s">
        <v>211</v>
      </c>
      <c r="K11075">
        <v>201.6</v>
      </c>
      <c r="L11075">
        <v>15.98</v>
      </c>
      <c r="M11075">
        <v>59802</v>
      </c>
      <c r="N11075" t="s">
        <v>195</v>
      </c>
      <c r="O11075">
        <v>250314</v>
      </c>
      <c r="P11075">
        <v>62.66</v>
      </c>
    </row>
    <row r="11076" spans="1:16" x14ac:dyDescent="0.25">
      <c r="A11076" t="s">
        <v>3296</v>
      </c>
      <c r="B11076" t="s">
        <v>2931</v>
      </c>
      <c r="C11076">
        <v>3122</v>
      </c>
      <c r="D11076" t="str">
        <f>"71323409    "</f>
        <v xml:space="preserve">71323409    </v>
      </c>
      <c r="E11076" t="s">
        <v>616</v>
      </c>
      <c r="F11076" t="s">
        <v>617</v>
      </c>
      <c r="G11076">
        <v>12.55</v>
      </c>
      <c r="H11076">
        <v>250228</v>
      </c>
      <c r="I11076">
        <v>4380</v>
      </c>
      <c r="J11076" t="s">
        <v>211</v>
      </c>
      <c r="K11076">
        <v>12.55</v>
      </c>
      <c r="L11076">
        <v>2.5499999999999998</v>
      </c>
      <c r="M11076">
        <v>13841</v>
      </c>
      <c r="N11076" t="s">
        <v>178</v>
      </c>
      <c r="O11076">
        <v>250314</v>
      </c>
      <c r="P11076">
        <v>10</v>
      </c>
    </row>
    <row r="11077" spans="1:16" x14ac:dyDescent="0.25">
      <c r="A11077" t="s">
        <v>3296</v>
      </c>
      <c r="B11077" t="s">
        <v>2931</v>
      </c>
      <c r="C11077">
        <v>3186</v>
      </c>
      <c r="D11077" t="str">
        <f>"71322773    "</f>
        <v xml:space="preserve">71322773    </v>
      </c>
      <c r="E11077" t="s">
        <v>616</v>
      </c>
      <c r="F11077" t="s">
        <v>617</v>
      </c>
      <c r="G11077">
        <v>291.87</v>
      </c>
      <c r="H11077">
        <v>250228</v>
      </c>
      <c r="I11077">
        <v>4380</v>
      </c>
      <c r="J11077" t="s">
        <v>211</v>
      </c>
      <c r="K11077">
        <v>356.87</v>
      </c>
      <c r="L11077">
        <v>59.3</v>
      </c>
      <c r="M11077">
        <v>49501</v>
      </c>
      <c r="N11077" t="s">
        <v>110</v>
      </c>
      <c r="O11077">
        <v>250314</v>
      </c>
      <c r="P11077">
        <v>232.57</v>
      </c>
    </row>
    <row r="11078" spans="1:16" x14ac:dyDescent="0.25">
      <c r="A11078" t="s">
        <v>3296</v>
      </c>
      <c r="B11078" t="s">
        <v>2931</v>
      </c>
      <c r="C11078">
        <v>3186</v>
      </c>
      <c r="D11078" t="str">
        <f>"71322773    "</f>
        <v xml:space="preserve">71322773    </v>
      </c>
      <c r="E11078" t="s">
        <v>616</v>
      </c>
      <c r="F11078" t="s">
        <v>617</v>
      </c>
      <c r="G11078">
        <v>65</v>
      </c>
      <c r="H11078">
        <v>250228</v>
      </c>
      <c r="I11078">
        <v>4380</v>
      </c>
      <c r="J11078" t="s">
        <v>211</v>
      </c>
      <c r="K11078">
        <v>356.87</v>
      </c>
      <c r="L11078">
        <v>13.21</v>
      </c>
      <c r="M11078">
        <v>49503</v>
      </c>
      <c r="N11078" t="s">
        <v>267</v>
      </c>
      <c r="O11078">
        <v>250314</v>
      </c>
      <c r="P11078">
        <v>51.79</v>
      </c>
    </row>
    <row r="11079" spans="1:16" x14ac:dyDescent="0.25">
      <c r="A11079" t="s">
        <v>3296</v>
      </c>
      <c r="B11079" t="s">
        <v>2931</v>
      </c>
      <c r="C11079">
        <v>3239</v>
      </c>
      <c r="D11079" t="str">
        <f>"71322770    "</f>
        <v xml:space="preserve">71322770    </v>
      </c>
      <c r="E11079" t="s">
        <v>616</v>
      </c>
      <c r="F11079" t="s">
        <v>617</v>
      </c>
      <c r="G11079">
        <v>34.840000000000003</v>
      </c>
      <c r="H11079">
        <v>250228</v>
      </c>
      <c r="I11079">
        <v>4380</v>
      </c>
      <c r="J11079" t="s">
        <v>211</v>
      </c>
      <c r="K11079">
        <v>34.840000000000003</v>
      </c>
      <c r="L11079">
        <v>7.08</v>
      </c>
      <c r="M11079">
        <v>59503</v>
      </c>
      <c r="N11079" t="s">
        <v>766</v>
      </c>
      <c r="O11079">
        <v>250317</v>
      </c>
      <c r="P11079">
        <v>27.76</v>
      </c>
    </row>
    <row r="11080" spans="1:16" x14ac:dyDescent="0.25">
      <c r="A11080" t="s">
        <v>3296</v>
      </c>
      <c r="B11080" t="s">
        <v>2931</v>
      </c>
      <c r="C11080">
        <v>3334</v>
      </c>
      <c r="D11080" t="str">
        <f>"71322765    "</f>
        <v xml:space="preserve">71322765    </v>
      </c>
      <c r="E11080" t="s">
        <v>616</v>
      </c>
      <c r="F11080" t="s">
        <v>617</v>
      </c>
      <c r="G11080">
        <v>110.09</v>
      </c>
      <c r="H11080">
        <v>250228</v>
      </c>
      <c r="I11080">
        <v>4380</v>
      </c>
      <c r="J11080" t="s">
        <v>211</v>
      </c>
      <c r="K11080">
        <v>110.09</v>
      </c>
      <c r="L11080">
        <v>22.37</v>
      </c>
      <c r="M11080">
        <v>59505</v>
      </c>
      <c r="N11080" t="s">
        <v>194</v>
      </c>
      <c r="O11080">
        <v>250318</v>
      </c>
      <c r="P11080">
        <v>87.72</v>
      </c>
    </row>
    <row r="11081" spans="1:16" x14ac:dyDescent="0.25">
      <c r="A11081" t="s">
        <v>3296</v>
      </c>
      <c r="B11081" t="s">
        <v>2931</v>
      </c>
      <c r="C11081">
        <v>3335</v>
      </c>
      <c r="D11081" t="str">
        <f>"71323158    "</f>
        <v xml:space="preserve">71323158    </v>
      </c>
      <c r="E11081" t="s">
        <v>616</v>
      </c>
      <c r="F11081" t="s">
        <v>617</v>
      </c>
      <c r="G11081">
        <v>94.93</v>
      </c>
      <c r="H11081">
        <v>250228</v>
      </c>
      <c r="I11081">
        <v>4380</v>
      </c>
      <c r="J11081" t="s">
        <v>211</v>
      </c>
      <c r="K11081">
        <v>94.93</v>
      </c>
      <c r="L11081">
        <v>19.29</v>
      </c>
      <c r="M11081">
        <v>17952</v>
      </c>
      <c r="N11081" t="s">
        <v>157</v>
      </c>
      <c r="O11081">
        <v>250318</v>
      </c>
      <c r="P11081">
        <v>75.64</v>
      </c>
    </row>
    <row r="11082" spans="1:16" x14ac:dyDescent="0.25">
      <c r="A11082" t="s">
        <v>3296</v>
      </c>
      <c r="B11082" t="s">
        <v>2931</v>
      </c>
      <c r="C11082">
        <v>3376</v>
      </c>
      <c r="D11082" t="str">
        <f>"71322578    "</f>
        <v xml:space="preserve">71322578    </v>
      </c>
      <c r="E11082" t="s">
        <v>616</v>
      </c>
      <c r="F11082" t="s">
        <v>617</v>
      </c>
      <c r="G11082">
        <v>525.39</v>
      </c>
      <c r="H11082">
        <v>250228</v>
      </c>
      <c r="I11082">
        <v>4380</v>
      </c>
      <c r="J11082" t="s">
        <v>211</v>
      </c>
      <c r="K11082">
        <v>525.39</v>
      </c>
      <c r="L11082">
        <v>106.75</v>
      </c>
      <c r="M11082">
        <v>17952</v>
      </c>
      <c r="N11082" t="s">
        <v>157</v>
      </c>
      <c r="O11082">
        <v>250319</v>
      </c>
      <c r="P11082">
        <v>418.64</v>
      </c>
    </row>
    <row r="11083" spans="1:16" x14ac:dyDescent="0.25">
      <c r="A11083" t="s">
        <v>3296</v>
      </c>
      <c r="B11083" t="s">
        <v>2931</v>
      </c>
      <c r="C11083">
        <v>4125</v>
      </c>
      <c r="D11083" t="str">
        <f>"71337482    "</f>
        <v xml:space="preserve">71337482    </v>
      </c>
      <c r="E11083" t="s">
        <v>616</v>
      </c>
      <c r="F11083" t="s">
        <v>617</v>
      </c>
      <c r="G11083">
        <v>50.43</v>
      </c>
      <c r="H11083">
        <v>250325</v>
      </c>
      <c r="I11083">
        <v>4380</v>
      </c>
      <c r="J11083" t="s">
        <v>211</v>
      </c>
      <c r="K11083">
        <v>50.43</v>
      </c>
      <c r="L11083">
        <v>10.25</v>
      </c>
      <c r="M11083">
        <v>46554</v>
      </c>
      <c r="N11083" t="s">
        <v>102</v>
      </c>
      <c r="O11083">
        <v>250407</v>
      </c>
      <c r="P11083">
        <v>40.18</v>
      </c>
    </row>
    <row r="11084" spans="1:16" x14ac:dyDescent="0.25">
      <c r="A11084" t="s">
        <v>3296</v>
      </c>
      <c r="B11084" t="s">
        <v>2931</v>
      </c>
      <c r="C11084">
        <v>4617</v>
      </c>
      <c r="D11084" t="str">
        <f>"71336628    "</f>
        <v xml:space="preserve">71336628    </v>
      </c>
      <c r="E11084" t="s">
        <v>616</v>
      </c>
      <c r="F11084" t="s">
        <v>617</v>
      </c>
      <c r="G11084">
        <v>122.49</v>
      </c>
      <c r="H11084">
        <v>250325</v>
      </c>
      <c r="I11084">
        <v>4380</v>
      </c>
      <c r="J11084" t="s">
        <v>211</v>
      </c>
      <c r="K11084">
        <v>122.49</v>
      </c>
      <c r="L11084">
        <v>24.89</v>
      </c>
      <c r="M11084">
        <v>47522</v>
      </c>
      <c r="N11084" t="s">
        <v>106</v>
      </c>
      <c r="O11084">
        <v>250414</v>
      </c>
      <c r="P11084">
        <v>97.6</v>
      </c>
    </row>
    <row r="11085" spans="1:16" x14ac:dyDescent="0.25">
      <c r="A11085" t="s">
        <v>3296</v>
      </c>
      <c r="B11085" t="s">
        <v>2931</v>
      </c>
      <c r="C11085">
        <v>4628</v>
      </c>
      <c r="D11085" t="str">
        <f>"71336627    "</f>
        <v xml:space="preserve">71336627    </v>
      </c>
      <c r="E11085" t="s">
        <v>616</v>
      </c>
      <c r="F11085" t="s">
        <v>617</v>
      </c>
      <c r="G11085">
        <v>143.82</v>
      </c>
      <c r="H11085">
        <v>250325</v>
      </c>
      <c r="I11085">
        <v>4380</v>
      </c>
      <c r="J11085" t="s">
        <v>211</v>
      </c>
      <c r="K11085">
        <v>143.82</v>
      </c>
      <c r="L11085">
        <v>29.22</v>
      </c>
      <c r="M11085">
        <v>47522</v>
      </c>
      <c r="N11085" t="s">
        <v>106</v>
      </c>
      <c r="O11085">
        <v>250414</v>
      </c>
      <c r="P11085">
        <v>114.6</v>
      </c>
    </row>
    <row r="11086" spans="1:16" x14ac:dyDescent="0.25">
      <c r="A11086" t="s">
        <v>3296</v>
      </c>
      <c r="B11086" t="s">
        <v>2931</v>
      </c>
      <c r="C11086">
        <v>4668</v>
      </c>
      <c r="D11086" t="str">
        <f>"71341214    "</f>
        <v xml:space="preserve">71341214    </v>
      </c>
      <c r="E11086" t="s">
        <v>616</v>
      </c>
      <c r="F11086" t="s">
        <v>617</v>
      </c>
      <c r="G11086">
        <v>25.1</v>
      </c>
      <c r="H11086">
        <v>250326</v>
      </c>
      <c r="I11086">
        <v>4380</v>
      </c>
      <c r="J11086" t="s">
        <v>211</v>
      </c>
      <c r="K11086">
        <v>25.1</v>
      </c>
      <c r="L11086">
        <v>5.0999999999999996</v>
      </c>
      <c r="M11086">
        <v>17951</v>
      </c>
      <c r="N11086" t="s">
        <v>207</v>
      </c>
      <c r="O11086">
        <v>250414</v>
      </c>
      <c r="P11086">
        <v>20</v>
      </c>
    </row>
    <row r="11087" spans="1:16" x14ac:dyDescent="0.25">
      <c r="A11087" t="s">
        <v>3296</v>
      </c>
      <c r="B11087" t="s">
        <v>2931</v>
      </c>
      <c r="C11087">
        <v>4674</v>
      </c>
      <c r="D11087" t="str">
        <f>"71341225    "</f>
        <v xml:space="preserve">71341225    </v>
      </c>
      <c r="E11087" t="s">
        <v>616</v>
      </c>
      <c r="F11087" t="s">
        <v>617</v>
      </c>
      <c r="G11087">
        <v>57.98</v>
      </c>
      <c r="H11087">
        <v>250326</v>
      </c>
      <c r="I11087">
        <v>4380</v>
      </c>
      <c r="J11087" t="s">
        <v>211</v>
      </c>
      <c r="K11087">
        <v>165.66</v>
      </c>
      <c r="L11087">
        <v>11.78</v>
      </c>
      <c r="M11087">
        <v>59502</v>
      </c>
      <c r="N11087" t="s">
        <v>63</v>
      </c>
      <c r="O11087">
        <v>250414</v>
      </c>
      <c r="P11087">
        <v>46.2</v>
      </c>
    </row>
    <row r="11088" spans="1:16" x14ac:dyDescent="0.25">
      <c r="A11088" t="s">
        <v>3296</v>
      </c>
      <c r="B11088" t="s">
        <v>2931</v>
      </c>
      <c r="C11088">
        <v>4674</v>
      </c>
      <c r="D11088" t="str">
        <f>"71341225    "</f>
        <v xml:space="preserve">71341225    </v>
      </c>
      <c r="E11088" t="s">
        <v>616</v>
      </c>
      <c r="F11088" t="s">
        <v>617</v>
      </c>
      <c r="G11088">
        <v>107.68</v>
      </c>
      <c r="H11088">
        <v>250326</v>
      </c>
      <c r="I11088">
        <v>4380</v>
      </c>
      <c r="J11088" t="s">
        <v>211</v>
      </c>
      <c r="K11088">
        <v>165.66</v>
      </c>
      <c r="L11088">
        <v>21.88</v>
      </c>
      <c r="M11088">
        <v>59802</v>
      </c>
      <c r="N11088" t="s">
        <v>195</v>
      </c>
      <c r="O11088">
        <v>250414</v>
      </c>
      <c r="P11088">
        <v>85.8</v>
      </c>
    </row>
    <row r="11089" spans="1:16" x14ac:dyDescent="0.25">
      <c r="A11089" t="s">
        <v>3296</v>
      </c>
      <c r="B11089" t="s">
        <v>2931</v>
      </c>
      <c r="C11089">
        <v>4679</v>
      </c>
      <c r="D11089" t="str">
        <f>"71341220    "</f>
        <v xml:space="preserve">71341220    </v>
      </c>
      <c r="E11089" t="s">
        <v>616</v>
      </c>
      <c r="F11089" t="s">
        <v>617</v>
      </c>
      <c r="G11089">
        <v>40.159999999999997</v>
      </c>
      <c r="H11089">
        <v>250326</v>
      </c>
      <c r="I11089">
        <v>4380</v>
      </c>
      <c r="J11089" t="s">
        <v>211</v>
      </c>
      <c r="K11089">
        <v>40.159999999999997</v>
      </c>
      <c r="L11089">
        <v>8.16</v>
      </c>
      <c r="M11089">
        <v>17951</v>
      </c>
      <c r="N11089" t="s">
        <v>207</v>
      </c>
      <c r="O11089">
        <v>250414</v>
      </c>
      <c r="P11089">
        <v>32</v>
      </c>
    </row>
    <row r="11090" spans="1:16" x14ac:dyDescent="0.25">
      <c r="A11090" t="s">
        <v>3296</v>
      </c>
      <c r="B11090" t="s">
        <v>2931</v>
      </c>
      <c r="C11090">
        <v>4685</v>
      </c>
      <c r="D11090" t="str">
        <f>"71341215    "</f>
        <v xml:space="preserve">71341215    </v>
      </c>
      <c r="E11090" t="s">
        <v>616</v>
      </c>
      <c r="F11090" t="s">
        <v>617</v>
      </c>
      <c r="G11090">
        <v>60.24</v>
      </c>
      <c r="H11090">
        <v>250326</v>
      </c>
      <c r="I11090">
        <v>4380</v>
      </c>
      <c r="J11090" t="s">
        <v>211</v>
      </c>
      <c r="K11090">
        <v>68.52</v>
      </c>
      <c r="L11090">
        <v>12.24</v>
      </c>
      <c r="M11090">
        <v>17956</v>
      </c>
      <c r="N11090" t="s">
        <v>170</v>
      </c>
      <c r="O11090">
        <v>250414</v>
      </c>
      <c r="P11090">
        <v>48</v>
      </c>
    </row>
    <row r="11091" spans="1:16" x14ac:dyDescent="0.25">
      <c r="A11091" t="s">
        <v>3296</v>
      </c>
      <c r="B11091" t="s">
        <v>2931</v>
      </c>
      <c r="C11091">
        <v>4686</v>
      </c>
      <c r="D11091" t="str">
        <f>"71341218    "</f>
        <v xml:space="preserve">71341218    </v>
      </c>
      <c r="E11091" t="s">
        <v>616</v>
      </c>
      <c r="F11091" t="s">
        <v>617</v>
      </c>
      <c r="G11091">
        <v>25.1</v>
      </c>
      <c r="H11091">
        <v>250326</v>
      </c>
      <c r="I11091">
        <v>4380</v>
      </c>
      <c r="J11091" t="s">
        <v>211</v>
      </c>
      <c r="K11091">
        <v>25.1</v>
      </c>
      <c r="L11091">
        <v>5.0999999999999996</v>
      </c>
      <c r="M11091">
        <v>17951</v>
      </c>
      <c r="N11091" t="s">
        <v>207</v>
      </c>
      <c r="O11091">
        <v>250414</v>
      </c>
      <c r="P11091">
        <v>20</v>
      </c>
    </row>
    <row r="11092" spans="1:16" x14ac:dyDescent="0.25">
      <c r="A11092" t="s">
        <v>3296</v>
      </c>
      <c r="B11092" t="s">
        <v>2931</v>
      </c>
      <c r="C11092">
        <v>4966</v>
      </c>
      <c r="D11092" t="str">
        <f>"71381201    "</f>
        <v xml:space="preserve">71381201    </v>
      </c>
      <c r="E11092" t="s">
        <v>616</v>
      </c>
      <c r="F11092" t="s">
        <v>617</v>
      </c>
      <c r="G11092">
        <v>84.14</v>
      </c>
      <c r="H11092">
        <v>250331</v>
      </c>
      <c r="I11092">
        <v>4380</v>
      </c>
      <c r="J11092" t="s">
        <v>211</v>
      </c>
      <c r="K11092">
        <v>84.14</v>
      </c>
      <c r="L11092">
        <v>17.100000000000001</v>
      </c>
      <c r="M11092">
        <v>59504</v>
      </c>
      <c r="N11092" t="s">
        <v>193</v>
      </c>
      <c r="O11092">
        <v>250416</v>
      </c>
      <c r="P11092">
        <v>67.040000000000006</v>
      </c>
    </row>
    <row r="11093" spans="1:16" x14ac:dyDescent="0.25">
      <c r="A11093" t="s">
        <v>3296</v>
      </c>
      <c r="B11093" t="s">
        <v>2931</v>
      </c>
      <c r="C11093">
        <v>4974</v>
      </c>
      <c r="D11093" t="str">
        <f>"71381595    "</f>
        <v xml:space="preserve">71381595    </v>
      </c>
      <c r="E11093" t="s">
        <v>616</v>
      </c>
      <c r="F11093" t="s">
        <v>617</v>
      </c>
      <c r="G11093">
        <v>94.93</v>
      </c>
      <c r="H11093">
        <v>250331</v>
      </c>
      <c r="I11093">
        <v>4380</v>
      </c>
      <c r="J11093" t="s">
        <v>211</v>
      </c>
      <c r="K11093">
        <v>94.93</v>
      </c>
      <c r="L11093">
        <v>19.29</v>
      </c>
      <c r="M11093">
        <v>17952</v>
      </c>
      <c r="N11093" t="s">
        <v>157</v>
      </c>
      <c r="O11093">
        <v>250416</v>
      </c>
      <c r="P11093">
        <v>75.64</v>
      </c>
    </row>
    <row r="11094" spans="1:16" x14ac:dyDescent="0.25">
      <c r="A11094" t="s">
        <v>3296</v>
      </c>
      <c r="B11094" t="s">
        <v>2931</v>
      </c>
      <c r="C11094">
        <v>4979</v>
      </c>
      <c r="D11094" t="str">
        <f>"71381841    "</f>
        <v xml:space="preserve">71381841    </v>
      </c>
      <c r="E11094" t="s">
        <v>616</v>
      </c>
      <c r="F11094" t="s">
        <v>617</v>
      </c>
      <c r="G11094">
        <v>12.55</v>
      </c>
      <c r="H11094">
        <v>250331</v>
      </c>
      <c r="I11094">
        <v>4380</v>
      </c>
      <c r="J11094" t="s">
        <v>211</v>
      </c>
      <c r="K11094">
        <v>12.55</v>
      </c>
      <c r="L11094">
        <v>2.5499999999999998</v>
      </c>
      <c r="M11094">
        <v>13841</v>
      </c>
      <c r="N11094" t="s">
        <v>178</v>
      </c>
      <c r="O11094">
        <v>250416</v>
      </c>
      <c r="P11094">
        <v>10</v>
      </c>
    </row>
    <row r="11095" spans="1:16" x14ac:dyDescent="0.25">
      <c r="A11095" t="s">
        <v>3296</v>
      </c>
      <c r="B11095" t="s">
        <v>2931</v>
      </c>
      <c r="C11095">
        <v>5014</v>
      </c>
      <c r="D11095" t="str">
        <f>"71341223    "</f>
        <v xml:space="preserve">71341223    </v>
      </c>
      <c r="E11095" t="s">
        <v>616</v>
      </c>
      <c r="F11095" t="s">
        <v>617</v>
      </c>
      <c r="G11095">
        <v>24.85</v>
      </c>
      <c r="H11095">
        <v>250326</v>
      </c>
      <c r="I11095">
        <v>4380</v>
      </c>
      <c r="J11095" t="s">
        <v>211</v>
      </c>
      <c r="K11095">
        <v>24.85</v>
      </c>
      <c r="L11095">
        <v>5.05</v>
      </c>
      <c r="M11095">
        <v>49501</v>
      </c>
      <c r="N11095" t="s">
        <v>110</v>
      </c>
      <c r="O11095">
        <v>250416</v>
      </c>
      <c r="P11095">
        <v>19.8</v>
      </c>
    </row>
    <row r="11096" spans="1:16" x14ac:dyDescent="0.25">
      <c r="A11096" t="s">
        <v>3296</v>
      </c>
      <c r="B11096" t="s">
        <v>2931</v>
      </c>
      <c r="C11096">
        <v>5015</v>
      </c>
      <c r="D11096" t="str">
        <f>"71341222    "</f>
        <v xml:space="preserve">71341222    </v>
      </c>
      <c r="E11096" t="s">
        <v>616</v>
      </c>
      <c r="F11096" t="s">
        <v>617</v>
      </c>
      <c r="G11096">
        <v>101.15</v>
      </c>
      <c r="H11096">
        <v>250326</v>
      </c>
      <c r="I11096">
        <v>4380</v>
      </c>
      <c r="J11096" t="s">
        <v>211</v>
      </c>
      <c r="K11096">
        <v>101.15</v>
      </c>
      <c r="L11096">
        <v>20.55</v>
      </c>
      <c r="M11096">
        <v>59504</v>
      </c>
      <c r="N11096" t="s">
        <v>193</v>
      </c>
      <c r="O11096">
        <v>250416</v>
      </c>
      <c r="P11096">
        <v>80.599999999999994</v>
      </c>
    </row>
    <row r="11097" spans="1:16" x14ac:dyDescent="0.25">
      <c r="A11097" t="s">
        <v>3296</v>
      </c>
      <c r="B11097" t="s">
        <v>2931</v>
      </c>
      <c r="C11097">
        <v>5018</v>
      </c>
      <c r="D11097" t="str">
        <f>"71341219    "</f>
        <v xml:space="preserve">71341219    </v>
      </c>
      <c r="E11097" t="s">
        <v>616</v>
      </c>
      <c r="F11097" t="s">
        <v>617</v>
      </c>
      <c r="G11097">
        <v>210.09</v>
      </c>
      <c r="H11097">
        <v>250326</v>
      </c>
      <c r="I11097">
        <v>4380</v>
      </c>
      <c r="J11097" t="s">
        <v>211</v>
      </c>
      <c r="K11097">
        <v>210.09</v>
      </c>
      <c r="L11097">
        <v>42.69</v>
      </c>
      <c r="M11097">
        <v>17951</v>
      </c>
      <c r="N11097" t="s">
        <v>207</v>
      </c>
      <c r="O11097">
        <v>250416</v>
      </c>
      <c r="P11097">
        <v>167.4</v>
      </c>
    </row>
    <row r="11098" spans="1:16" x14ac:dyDescent="0.25">
      <c r="A11098" t="s">
        <v>3296</v>
      </c>
      <c r="B11098" t="s">
        <v>2931</v>
      </c>
      <c r="C11098">
        <v>5019</v>
      </c>
      <c r="D11098" t="str">
        <f>"71341221    "</f>
        <v xml:space="preserve">71341221    </v>
      </c>
      <c r="E11098" t="s">
        <v>616</v>
      </c>
      <c r="F11098" t="s">
        <v>617</v>
      </c>
      <c r="G11098">
        <v>323.79000000000002</v>
      </c>
      <c r="H11098">
        <v>250326</v>
      </c>
      <c r="I11098">
        <v>4380</v>
      </c>
      <c r="J11098" t="s">
        <v>211</v>
      </c>
      <c r="K11098">
        <v>323.79000000000002</v>
      </c>
      <c r="L11098">
        <v>65.790000000000006</v>
      </c>
      <c r="M11098">
        <v>14951</v>
      </c>
      <c r="N11098" t="s">
        <v>186</v>
      </c>
      <c r="O11098">
        <v>250416</v>
      </c>
      <c r="P11098">
        <v>258</v>
      </c>
    </row>
    <row r="11099" spans="1:16" x14ac:dyDescent="0.25">
      <c r="A11099" t="s">
        <v>3296</v>
      </c>
      <c r="B11099" t="s">
        <v>2931</v>
      </c>
      <c r="C11099">
        <v>5021</v>
      </c>
      <c r="D11099" t="str">
        <f>"71341226    "</f>
        <v xml:space="preserve">71341226    </v>
      </c>
      <c r="E11099" t="s">
        <v>616</v>
      </c>
      <c r="F11099" t="s">
        <v>617</v>
      </c>
      <c r="G11099">
        <v>55.23</v>
      </c>
      <c r="H11099">
        <v>250326</v>
      </c>
      <c r="I11099">
        <v>4380</v>
      </c>
      <c r="J11099" t="s">
        <v>211</v>
      </c>
      <c r="K11099">
        <v>74.55</v>
      </c>
      <c r="L11099">
        <v>11.22</v>
      </c>
      <c r="M11099">
        <v>17956</v>
      </c>
      <c r="N11099" t="s">
        <v>170</v>
      </c>
      <c r="O11099">
        <v>250416</v>
      </c>
      <c r="P11099">
        <v>44.01</v>
      </c>
    </row>
    <row r="11100" spans="1:16" x14ac:dyDescent="0.25">
      <c r="A11100" t="s">
        <v>3296</v>
      </c>
      <c r="B11100" t="s">
        <v>2931</v>
      </c>
      <c r="C11100">
        <v>5022</v>
      </c>
      <c r="D11100" t="str">
        <f>"71341172    "</f>
        <v xml:space="preserve">71341172    </v>
      </c>
      <c r="E11100" t="s">
        <v>616</v>
      </c>
      <c r="F11100" t="s">
        <v>617</v>
      </c>
      <c r="G11100">
        <v>41.16</v>
      </c>
      <c r="H11100">
        <v>250326</v>
      </c>
      <c r="I11100">
        <v>4380</v>
      </c>
      <c r="J11100" t="s">
        <v>211</v>
      </c>
      <c r="K11100">
        <v>41.16</v>
      </c>
      <c r="L11100">
        <v>8.36</v>
      </c>
      <c r="M11100">
        <v>59503</v>
      </c>
      <c r="N11100" t="s">
        <v>766</v>
      </c>
      <c r="O11100">
        <v>250416</v>
      </c>
      <c r="P11100">
        <v>32.799999999999997</v>
      </c>
    </row>
    <row r="11101" spans="1:16" x14ac:dyDescent="0.25">
      <c r="A11101" t="s">
        <v>3296</v>
      </c>
      <c r="B11101" t="s">
        <v>2931</v>
      </c>
      <c r="C11101">
        <v>5024</v>
      </c>
      <c r="D11101" t="str">
        <f>"71341217    "</f>
        <v xml:space="preserve">71341217    </v>
      </c>
      <c r="E11101" t="s">
        <v>616</v>
      </c>
      <c r="F11101" t="s">
        <v>617</v>
      </c>
      <c r="G11101">
        <v>144.26</v>
      </c>
      <c r="H11101">
        <v>250326</v>
      </c>
      <c r="I11101">
        <v>4380</v>
      </c>
      <c r="J11101" t="s">
        <v>211</v>
      </c>
      <c r="K11101">
        <v>144.26</v>
      </c>
      <c r="L11101">
        <v>29.31</v>
      </c>
      <c r="M11101">
        <v>59501</v>
      </c>
      <c r="N11101" t="s">
        <v>62</v>
      </c>
      <c r="O11101">
        <v>250416</v>
      </c>
      <c r="P11101">
        <v>114.95</v>
      </c>
    </row>
    <row r="11102" spans="1:16" x14ac:dyDescent="0.25">
      <c r="A11102" t="s">
        <v>3296</v>
      </c>
      <c r="B11102" t="s">
        <v>2931</v>
      </c>
      <c r="C11102">
        <v>5030</v>
      </c>
      <c r="D11102" t="str">
        <f>"71341224    "</f>
        <v xml:space="preserve">71341224    </v>
      </c>
      <c r="E11102" t="s">
        <v>616</v>
      </c>
      <c r="F11102" t="s">
        <v>617</v>
      </c>
      <c r="G11102">
        <v>25.1</v>
      </c>
      <c r="H11102">
        <v>250326</v>
      </c>
      <c r="I11102">
        <v>4380</v>
      </c>
      <c r="J11102" t="s">
        <v>211</v>
      </c>
      <c r="K11102">
        <v>25.1</v>
      </c>
      <c r="L11102">
        <v>5.0999999999999996</v>
      </c>
      <c r="M11102">
        <v>17951</v>
      </c>
      <c r="N11102" t="s">
        <v>207</v>
      </c>
      <c r="O11102">
        <v>250416</v>
      </c>
      <c r="P11102">
        <v>20</v>
      </c>
    </row>
    <row r="11103" spans="1:16" x14ac:dyDescent="0.25">
      <c r="A11103" t="s">
        <v>3296</v>
      </c>
      <c r="B11103" t="s">
        <v>2931</v>
      </c>
      <c r="C11103">
        <v>5032</v>
      </c>
      <c r="D11103" t="str">
        <f>"71341213    "</f>
        <v xml:space="preserve">71341213    </v>
      </c>
      <c r="E11103" t="s">
        <v>616</v>
      </c>
      <c r="F11103" t="s">
        <v>617</v>
      </c>
      <c r="G11103">
        <v>69.02</v>
      </c>
      <c r="H11103">
        <v>250326</v>
      </c>
      <c r="I11103">
        <v>4380</v>
      </c>
      <c r="J11103" t="s">
        <v>211</v>
      </c>
      <c r="K11103">
        <v>795.92</v>
      </c>
      <c r="L11103">
        <v>14.02</v>
      </c>
      <c r="M11103">
        <v>13540</v>
      </c>
      <c r="N11103" t="s">
        <v>131</v>
      </c>
      <c r="O11103">
        <v>250416</v>
      </c>
      <c r="P11103">
        <v>55</v>
      </c>
    </row>
    <row r="11104" spans="1:16" x14ac:dyDescent="0.25">
      <c r="A11104" t="s">
        <v>3296</v>
      </c>
      <c r="B11104" t="s">
        <v>2931</v>
      </c>
      <c r="C11104">
        <v>5032</v>
      </c>
      <c r="D11104" t="str">
        <f>"71341213    "</f>
        <v xml:space="preserve">71341213    </v>
      </c>
      <c r="E11104" t="s">
        <v>616</v>
      </c>
      <c r="F11104" t="s">
        <v>617</v>
      </c>
      <c r="G11104">
        <v>558.47</v>
      </c>
      <c r="H11104">
        <v>250326</v>
      </c>
      <c r="I11104">
        <v>4380</v>
      </c>
      <c r="J11104" t="s">
        <v>211</v>
      </c>
      <c r="K11104">
        <v>795.92</v>
      </c>
      <c r="L11104">
        <v>113.47</v>
      </c>
      <c r="M11104">
        <v>17950</v>
      </c>
      <c r="N11104" t="s">
        <v>132</v>
      </c>
      <c r="O11104">
        <v>250416</v>
      </c>
      <c r="P11104">
        <v>445</v>
      </c>
    </row>
    <row r="11105" spans="1:16" x14ac:dyDescent="0.25">
      <c r="A11105" t="s">
        <v>3296</v>
      </c>
      <c r="B11105" t="s">
        <v>2931</v>
      </c>
      <c r="C11105">
        <v>5043</v>
      </c>
      <c r="D11105" t="str">
        <f>"71381203    "</f>
        <v xml:space="preserve">71381203    </v>
      </c>
      <c r="E11105" t="s">
        <v>616</v>
      </c>
      <c r="F11105" t="s">
        <v>617</v>
      </c>
      <c r="G11105">
        <v>122.96</v>
      </c>
      <c r="H11105">
        <v>250331</v>
      </c>
      <c r="I11105">
        <v>4380</v>
      </c>
      <c r="J11105" t="s">
        <v>211</v>
      </c>
      <c r="K11105">
        <v>201.6</v>
      </c>
      <c r="L11105">
        <v>24.98</v>
      </c>
      <c r="M11105">
        <v>59502</v>
      </c>
      <c r="N11105" t="s">
        <v>63</v>
      </c>
      <c r="O11105">
        <v>250416</v>
      </c>
      <c r="P11105">
        <v>97.98</v>
      </c>
    </row>
    <row r="11106" spans="1:16" x14ac:dyDescent="0.25">
      <c r="A11106" t="s">
        <v>3296</v>
      </c>
      <c r="B11106" t="s">
        <v>2931</v>
      </c>
      <c r="C11106">
        <v>5043</v>
      </c>
      <c r="D11106" t="str">
        <f>"71381203    "</f>
        <v xml:space="preserve">71381203    </v>
      </c>
      <c r="E11106" t="s">
        <v>616</v>
      </c>
      <c r="F11106" t="s">
        <v>617</v>
      </c>
      <c r="G11106">
        <v>78.64</v>
      </c>
      <c r="H11106">
        <v>250331</v>
      </c>
      <c r="I11106">
        <v>4380</v>
      </c>
      <c r="J11106" t="s">
        <v>211</v>
      </c>
      <c r="K11106">
        <v>201.6</v>
      </c>
      <c r="L11106">
        <v>15.98</v>
      </c>
      <c r="M11106">
        <v>59802</v>
      </c>
      <c r="N11106" t="s">
        <v>195</v>
      </c>
      <c r="O11106">
        <v>250416</v>
      </c>
      <c r="P11106">
        <v>62.66</v>
      </c>
    </row>
    <row r="11107" spans="1:16" x14ac:dyDescent="0.25">
      <c r="A11107" t="s">
        <v>3296</v>
      </c>
      <c r="B11107" t="s">
        <v>2931</v>
      </c>
      <c r="C11107">
        <v>5053</v>
      </c>
      <c r="D11107" t="str">
        <f>"71381020    "</f>
        <v xml:space="preserve">71381020    </v>
      </c>
      <c r="E11107" t="s">
        <v>616</v>
      </c>
      <c r="F11107" t="s">
        <v>617</v>
      </c>
      <c r="G11107">
        <v>25.88</v>
      </c>
      <c r="H11107">
        <v>250331</v>
      </c>
      <c r="I11107">
        <v>4380</v>
      </c>
      <c r="J11107" t="s">
        <v>211</v>
      </c>
      <c r="K11107">
        <v>344.67</v>
      </c>
      <c r="L11107">
        <v>5.26</v>
      </c>
      <c r="M11107">
        <v>13540</v>
      </c>
      <c r="N11107" t="s">
        <v>131</v>
      </c>
      <c r="O11107">
        <v>250416</v>
      </c>
      <c r="P11107">
        <v>20.62</v>
      </c>
    </row>
    <row r="11108" spans="1:16" x14ac:dyDescent="0.25">
      <c r="A11108" t="s">
        <v>3296</v>
      </c>
      <c r="B11108" t="s">
        <v>2931</v>
      </c>
      <c r="C11108">
        <v>5053</v>
      </c>
      <c r="D11108" t="str">
        <f>"71381020    "</f>
        <v xml:space="preserve">71381020    </v>
      </c>
      <c r="E11108" t="s">
        <v>616</v>
      </c>
      <c r="F11108" t="s">
        <v>617</v>
      </c>
      <c r="G11108">
        <v>209.46</v>
      </c>
      <c r="H11108">
        <v>250331</v>
      </c>
      <c r="I11108">
        <v>4380</v>
      </c>
      <c r="J11108" t="s">
        <v>211</v>
      </c>
      <c r="K11108">
        <v>344.67</v>
      </c>
      <c r="L11108">
        <v>42.56</v>
      </c>
      <c r="M11108">
        <v>17950</v>
      </c>
      <c r="N11108" t="s">
        <v>132</v>
      </c>
      <c r="O11108">
        <v>250416</v>
      </c>
      <c r="P11108">
        <v>166.9</v>
      </c>
    </row>
    <row r="11109" spans="1:16" x14ac:dyDescent="0.25">
      <c r="A11109" t="s">
        <v>3296</v>
      </c>
      <c r="B11109" t="s">
        <v>2931</v>
      </c>
      <c r="C11109">
        <v>5053</v>
      </c>
      <c r="D11109" t="str">
        <f>"71381020    "</f>
        <v xml:space="preserve">71381020    </v>
      </c>
      <c r="E11109" t="s">
        <v>616</v>
      </c>
      <c r="F11109" t="s">
        <v>617</v>
      </c>
      <c r="G11109">
        <v>109.33</v>
      </c>
      <c r="H11109">
        <v>250331</v>
      </c>
      <c r="I11109">
        <v>4380</v>
      </c>
      <c r="J11109" t="s">
        <v>211</v>
      </c>
      <c r="K11109">
        <v>344.67</v>
      </c>
      <c r="L11109">
        <v>22.21</v>
      </c>
      <c r="M11109">
        <v>17956</v>
      </c>
      <c r="N11109" t="s">
        <v>170</v>
      </c>
      <c r="O11109">
        <v>250416</v>
      </c>
      <c r="P11109">
        <v>87.12</v>
      </c>
    </row>
    <row r="11110" spans="1:16" x14ac:dyDescent="0.25">
      <c r="A11110" t="s">
        <v>3296</v>
      </c>
      <c r="B11110" t="s">
        <v>2931</v>
      </c>
      <c r="C11110">
        <v>5055</v>
      </c>
      <c r="D11110" t="str">
        <f>"71381205    "</f>
        <v xml:space="preserve">71381205    </v>
      </c>
      <c r="E11110" t="s">
        <v>616</v>
      </c>
      <c r="F11110" t="s">
        <v>617</v>
      </c>
      <c r="G11110">
        <v>105.11</v>
      </c>
      <c r="H11110">
        <v>250331</v>
      </c>
      <c r="I11110">
        <v>4380</v>
      </c>
      <c r="J11110" t="s">
        <v>211</v>
      </c>
      <c r="K11110">
        <v>132.08000000000001</v>
      </c>
      <c r="L11110">
        <v>21.36</v>
      </c>
      <c r="M11110">
        <v>14432</v>
      </c>
      <c r="N11110" t="s">
        <v>75</v>
      </c>
      <c r="O11110">
        <v>250416</v>
      </c>
      <c r="P11110">
        <v>83.75</v>
      </c>
    </row>
    <row r="11111" spans="1:16" x14ac:dyDescent="0.25">
      <c r="A11111" t="s">
        <v>3296</v>
      </c>
      <c r="B11111" t="s">
        <v>2931</v>
      </c>
      <c r="C11111">
        <v>5055</v>
      </c>
      <c r="D11111" t="str">
        <f>"71381205    "</f>
        <v xml:space="preserve">71381205    </v>
      </c>
      <c r="E11111" t="s">
        <v>616</v>
      </c>
      <c r="F11111" t="s">
        <v>617</v>
      </c>
      <c r="G11111">
        <v>26.97</v>
      </c>
      <c r="H11111">
        <v>250331</v>
      </c>
      <c r="I11111">
        <v>4380</v>
      </c>
      <c r="J11111" t="s">
        <v>211</v>
      </c>
      <c r="K11111">
        <v>132.08000000000001</v>
      </c>
      <c r="L11111">
        <v>5.48</v>
      </c>
      <c r="M11111">
        <v>14951</v>
      </c>
      <c r="N11111" t="s">
        <v>186</v>
      </c>
      <c r="O11111">
        <v>250416</v>
      </c>
      <c r="P11111">
        <v>21.49</v>
      </c>
    </row>
    <row r="11112" spans="1:16" x14ac:dyDescent="0.25">
      <c r="A11112" t="s">
        <v>3296</v>
      </c>
      <c r="B11112" t="s">
        <v>2931</v>
      </c>
      <c r="C11112">
        <v>5062</v>
      </c>
      <c r="D11112" t="str">
        <f>"71381202    "</f>
        <v xml:space="preserve">71381202    </v>
      </c>
      <c r="E11112" t="s">
        <v>616</v>
      </c>
      <c r="F11112" t="s">
        <v>617</v>
      </c>
      <c r="G11112">
        <v>110.09</v>
      </c>
      <c r="H11112">
        <v>250331</v>
      </c>
      <c r="I11112">
        <v>4380</v>
      </c>
      <c r="J11112" t="s">
        <v>211</v>
      </c>
      <c r="K11112">
        <v>110.09</v>
      </c>
      <c r="L11112">
        <v>22.37</v>
      </c>
      <c r="M11112">
        <v>59505</v>
      </c>
      <c r="N11112" t="s">
        <v>194</v>
      </c>
      <c r="O11112">
        <v>250416</v>
      </c>
      <c r="P11112">
        <v>87.72</v>
      </c>
    </row>
    <row r="11113" spans="1:16" x14ac:dyDescent="0.25">
      <c r="A11113" t="s">
        <v>3296</v>
      </c>
      <c r="B11113" t="s">
        <v>2931</v>
      </c>
      <c r="C11113">
        <v>5100</v>
      </c>
      <c r="D11113" t="str">
        <f>"71379934    "</f>
        <v xml:space="preserve">71379934    </v>
      </c>
      <c r="E11113" t="s">
        <v>616</v>
      </c>
      <c r="F11113" t="s">
        <v>617</v>
      </c>
      <c r="G11113">
        <v>206.32</v>
      </c>
      <c r="H11113">
        <v>250331</v>
      </c>
      <c r="I11113">
        <v>4380</v>
      </c>
      <c r="J11113" t="s">
        <v>211</v>
      </c>
      <c r="K11113">
        <v>206.32</v>
      </c>
      <c r="L11113">
        <v>41.92</v>
      </c>
      <c r="M11113">
        <v>59505</v>
      </c>
      <c r="N11113" t="s">
        <v>194</v>
      </c>
      <c r="O11113">
        <v>250416</v>
      </c>
      <c r="P11113">
        <v>164.4</v>
      </c>
    </row>
    <row r="11114" spans="1:16" x14ac:dyDescent="0.25">
      <c r="A11114" t="s">
        <v>3296</v>
      </c>
      <c r="B11114" t="s">
        <v>2931</v>
      </c>
      <c r="C11114">
        <v>5101</v>
      </c>
      <c r="D11114" t="str">
        <f>"71381208    "</f>
        <v xml:space="preserve">71381208    </v>
      </c>
      <c r="E11114" t="s">
        <v>616</v>
      </c>
      <c r="F11114" t="s">
        <v>617</v>
      </c>
      <c r="G11114">
        <v>34.840000000000003</v>
      </c>
      <c r="H11114">
        <v>250331</v>
      </c>
      <c r="I11114">
        <v>4380</v>
      </c>
      <c r="J11114" t="s">
        <v>211</v>
      </c>
      <c r="K11114">
        <v>34.840000000000003</v>
      </c>
      <c r="L11114">
        <v>7.08</v>
      </c>
      <c r="M11114">
        <v>59503</v>
      </c>
      <c r="N11114" t="s">
        <v>766</v>
      </c>
      <c r="O11114">
        <v>250416</v>
      </c>
      <c r="P11114">
        <v>27.76</v>
      </c>
    </row>
    <row r="11115" spans="1:16" x14ac:dyDescent="0.25">
      <c r="A11115" t="s">
        <v>3296</v>
      </c>
      <c r="B11115" t="s">
        <v>2931</v>
      </c>
      <c r="C11115">
        <v>5104</v>
      </c>
      <c r="D11115" t="str">
        <f>"71381204    "</f>
        <v xml:space="preserve">71381204    </v>
      </c>
      <c r="E11115" t="s">
        <v>616</v>
      </c>
      <c r="F11115" t="s">
        <v>617</v>
      </c>
      <c r="G11115">
        <v>420.37</v>
      </c>
      <c r="H11115">
        <v>250331</v>
      </c>
      <c r="I11115">
        <v>4380</v>
      </c>
      <c r="J11115" t="s">
        <v>211</v>
      </c>
      <c r="K11115">
        <v>420.37</v>
      </c>
      <c r="L11115">
        <v>85.41</v>
      </c>
      <c r="M11115">
        <v>59501</v>
      </c>
      <c r="N11115" t="s">
        <v>62</v>
      </c>
      <c r="O11115">
        <v>250416</v>
      </c>
      <c r="P11115">
        <v>334.96</v>
      </c>
    </row>
    <row r="11116" spans="1:16" x14ac:dyDescent="0.25">
      <c r="A11116" t="s">
        <v>3296</v>
      </c>
      <c r="B11116" t="s">
        <v>2931</v>
      </c>
      <c r="C11116">
        <v>5140</v>
      </c>
      <c r="D11116" t="str">
        <f>"71379933    "</f>
        <v xml:space="preserve">71379933    </v>
      </c>
      <c r="E11116" t="s">
        <v>616</v>
      </c>
      <c r="F11116" t="s">
        <v>617</v>
      </c>
      <c r="G11116">
        <v>33.380000000000003</v>
      </c>
      <c r="H11116">
        <v>250331</v>
      </c>
      <c r="I11116">
        <v>4380</v>
      </c>
      <c r="J11116" t="s">
        <v>211</v>
      </c>
      <c r="K11116">
        <v>100.15</v>
      </c>
      <c r="L11116">
        <v>6.78</v>
      </c>
      <c r="M11116">
        <v>11401</v>
      </c>
      <c r="N11116" t="s">
        <v>91</v>
      </c>
      <c r="O11116">
        <v>250417</v>
      </c>
      <c r="P11116">
        <v>26.6</v>
      </c>
    </row>
    <row r="11117" spans="1:16" x14ac:dyDescent="0.25">
      <c r="A11117" t="s">
        <v>3296</v>
      </c>
      <c r="B11117" t="s">
        <v>2931</v>
      </c>
      <c r="C11117">
        <v>5140</v>
      </c>
      <c r="D11117" t="str">
        <f>"71379933    "</f>
        <v xml:space="preserve">71379933    </v>
      </c>
      <c r="E11117" t="s">
        <v>616</v>
      </c>
      <c r="F11117" t="s">
        <v>617</v>
      </c>
      <c r="G11117">
        <v>66.77</v>
      </c>
      <c r="H11117">
        <v>250331</v>
      </c>
      <c r="I11117">
        <v>4380</v>
      </c>
      <c r="J11117" t="s">
        <v>211</v>
      </c>
      <c r="K11117">
        <v>100.15</v>
      </c>
      <c r="L11117">
        <v>13.57</v>
      </c>
      <c r="M11117">
        <v>14952</v>
      </c>
      <c r="N11117" t="s">
        <v>213</v>
      </c>
      <c r="O11117">
        <v>250417</v>
      </c>
      <c r="P11117">
        <v>53.2</v>
      </c>
    </row>
    <row r="11118" spans="1:16" x14ac:dyDescent="0.25">
      <c r="A11118" t="s">
        <v>3296</v>
      </c>
      <c r="B11118" t="s">
        <v>2931</v>
      </c>
      <c r="C11118">
        <v>5141</v>
      </c>
      <c r="D11118" t="str">
        <f>"71381017    "</f>
        <v xml:space="preserve">71381017    </v>
      </c>
      <c r="E11118" t="s">
        <v>616</v>
      </c>
      <c r="F11118" t="s">
        <v>617</v>
      </c>
      <c r="G11118">
        <v>525.39</v>
      </c>
      <c r="H11118">
        <v>250331</v>
      </c>
      <c r="I11118">
        <v>4380</v>
      </c>
      <c r="J11118" t="s">
        <v>211</v>
      </c>
      <c r="K11118">
        <v>525.39</v>
      </c>
      <c r="L11118">
        <v>106.75</v>
      </c>
      <c r="M11118">
        <v>17951</v>
      </c>
      <c r="N11118" t="s">
        <v>207</v>
      </c>
      <c r="O11118">
        <v>250417</v>
      </c>
      <c r="P11118">
        <v>418.64</v>
      </c>
    </row>
    <row r="11119" spans="1:16" x14ac:dyDescent="0.25">
      <c r="A11119" t="s">
        <v>3296</v>
      </c>
      <c r="B11119" t="s">
        <v>2931</v>
      </c>
      <c r="C11119">
        <v>5590</v>
      </c>
      <c r="D11119" t="str">
        <f>"71400258    "</f>
        <v xml:space="preserve">71400258    </v>
      </c>
      <c r="E11119" t="s">
        <v>616</v>
      </c>
      <c r="F11119" t="s">
        <v>617</v>
      </c>
      <c r="G11119">
        <v>50.43</v>
      </c>
      <c r="H11119">
        <v>250423</v>
      </c>
      <c r="I11119">
        <v>4380</v>
      </c>
      <c r="J11119" t="s">
        <v>211</v>
      </c>
      <c r="K11119">
        <v>50.43</v>
      </c>
      <c r="L11119">
        <v>10.25</v>
      </c>
      <c r="M11119">
        <v>46554</v>
      </c>
      <c r="N11119" t="s">
        <v>102</v>
      </c>
      <c r="O11119">
        <v>250425</v>
      </c>
      <c r="P11119">
        <v>40.18</v>
      </c>
    </row>
    <row r="11120" spans="1:16" x14ac:dyDescent="0.25">
      <c r="A11120" t="s">
        <v>3296</v>
      </c>
      <c r="B11120" t="s">
        <v>2931</v>
      </c>
      <c r="C11120">
        <v>6345</v>
      </c>
      <c r="D11120" t="str">
        <f>"71399400    "</f>
        <v xml:space="preserve">71399400    </v>
      </c>
      <c r="E11120" t="s">
        <v>616</v>
      </c>
      <c r="F11120" t="s">
        <v>617</v>
      </c>
      <c r="G11120">
        <v>122.49</v>
      </c>
      <c r="H11120">
        <v>250423</v>
      </c>
      <c r="I11120">
        <v>4380</v>
      </c>
      <c r="J11120" t="s">
        <v>211</v>
      </c>
      <c r="K11120">
        <v>122.49</v>
      </c>
      <c r="L11120">
        <v>24.89</v>
      </c>
      <c r="M11120">
        <v>47522</v>
      </c>
      <c r="N11120" t="s">
        <v>106</v>
      </c>
      <c r="O11120">
        <v>250512</v>
      </c>
      <c r="P11120">
        <v>97.6</v>
      </c>
    </row>
    <row r="11121" spans="1:16" x14ac:dyDescent="0.25">
      <c r="A11121" t="s">
        <v>3296</v>
      </c>
      <c r="B11121" t="s">
        <v>2931</v>
      </c>
      <c r="C11121">
        <v>6464</v>
      </c>
      <c r="D11121" t="str">
        <f>"71399399    "</f>
        <v xml:space="preserve">71399399    </v>
      </c>
      <c r="E11121" t="s">
        <v>616</v>
      </c>
      <c r="F11121" t="s">
        <v>617</v>
      </c>
      <c r="G11121">
        <v>143.82</v>
      </c>
      <c r="H11121">
        <v>250423</v>
      </c>
      <c r="I11121">
        <v>4380</v>
      </c>
      <c r="J11121" t="s">
        <v>211</v>
      </c>
      <c r="K11121">
        <v>143.82</v>
      </c>
      <c r="L11121">
        <v>29.22</v>
      </c>
      <c r="M11121">
        <v>47522</v>
      </c>
      <c r="N11121" t="s">
        <v>106</v>
      </c>
      <c r="O11121">
        <v>250513</v>
      </c>
      <c r="P11121">
        <v>114.6</v>
      </c>
    </row>
    <row r="11122" spans="1:16" x14ac:dyDescent="0.25">
      <c r="A11122" t="s">
        <v>3296</v>
      </c>
      <c r="B11122" t="s">
        <v>2931</v>
      </c>
      <c r="C11122">
        <v>6473</v>
      </c>
      <c r="D11122" t="str">
        <f>"71444130    "</f>
        <v xml:space="preserve">71444130    </v>
      </c>
      <c r="E11122" t="s">
        <v>616</v>
      </c>
      <c r="F11122" t="s">
        <v>617</v>
      </c>
      <c r="G11122">
        <v>131.38999999999999</v>
      </c>
      <c r="H11122">
        <v>250430</v>
      </c>
      <c r="I11122">
        <v>4380</v>
      </c>
      <c r="J11122" t="s">
        <v>211</v>
      </c>
      <c r="K11122">
        <v>165.1</v>
      </c>
      <c r="L11122">
        <v>26.7</v>
      </c>
      <c r="M11122">
        <v>14432</v>
      </c>
      <c r="N11122" t="s">
        <v>75</v>
      </c>
      <c r="O11122">
        <v>250513</v>
      </c>
      <c r="P11122">
        <v>104.69</v>
      </c>
    </row>
    <row r="11123" spans="1:16" x14ac:dyDescent="0.25">
      <c r="A11123" t="s">
        <v>3296</v>
      </c>
      <c r="B11123" t="s">
        <v>2931</v>
      </c>
      <c r="C11123">
        <v>6473</v>
      </c>
      <c r="D11123" t="str">
        <f>"71444130    "</f>
        <v xml:space="preserve">71444130    </v>
      </c>
      <c r="E11123" t="s">
        <v>616</v>
      </c>
      <c r="F11123" t="s">
        <v>617</v>
      </c>
      <c r="G11123">
        <v>33.71</v>
      </c>
      <c r="H11123">
        <v>250430</v>
      </c>
      <c r="I11123">
        <v>4380</v>
      </c>
      <c r="J11123" t="s">
        <v>211</v>
      </c>
      <c r="K11123">
        <v>165.1</v>
      </c>
      <c r="L11123">
        <v>6.85</v>
      </c>
      <c r="M11123">
        <v>14951</v>
      </c>
      <c r="N11123" t="s">
        <v>186</v>
      </c>
      <c r="O11123">
        <v>250513</v>
      </c>
      <c r="P11123">
        <v>26.86</v>
      </c>
    </row>
    <row r="11124" spans="1:16" x14ac:dyDescent="0.25">
      <c r="A11124" t="s">
        <v>3296</v>
      </c>
      <c r="B11124" t="s">
        <v>2931</v>
      </c>
      <c r="C11124">
        <v>6475</v>
      </c>
      <c r="D11124" t="str">
        <f>"71403951    "</f>
        <v xml:space="preserve">71403951    </v>
      </c>
      <c r="E11124" t="s">
        <v>616</v>
      </c>
      <c r="F11124" t="s">
        <v>617</v>
      </c>
      <c r="G11124">
        <v>230.17</v>
      </c>
      <c r="H11124">
        <v>250424</v>
      </c>
      <c r="I11124">
        <v>4380</v>
      </c>
      <c r="J11124" t="s">
        <v>211</v>
      </c>
      <c r="K11124">
        <v>230.17</v>
      </c>
      <c r="L11124">
        <v>46.77</v>
      </c>
      <c r="M11124">
        <v>17951</v>
      </c>
      <c r="N11124" t="s">
        <v>207</v>
      </c>
      <c r="O11124">
        <v>250513</v>
      </c>
      <c r="P11124">
        <v>183.4</v>
      </c>
    </row>
    <row r="11125" spans="1:16" x14ac:dyDescent="0.25">
      <c r="A11125" t="s">
        <v>3296</v>
      </c>
      <c r="B11125" t="s">
        <v>2931</v>
      </c>
      <c r="C11125">
        <v>6479</v>
      </c>
      <c r="D11125" t="str">
        <f>"71441793    "</f>
        <v xml:space="preserve">71441793    </v>
      </c>
      <c r="E11125" t="s">
        <v>616</v>
      </c>
      <c r="F11125" t="s">
        <v>617</v>
      </c>
      <c r="G11125">
        <v>181.22</v>
      </c>
      <c r="H11125">
        <v>250430</v>
      </c>
      <c r="I11125">
        <v>4380</v>
      </c>
      <c r="J11125" t="s">
        <v>211</v>
      </c>
      <c r="K11125">
        <v>181.22</v>
      </c>
      <c r="L11125">
        <v>36.82</v>
      </c>
      <c r="M11125">
        <v>59505</v>
      </c>
      <c r="N11125" t="s">
        <v>194</v>
      </c>
      <c r="O11125">
        <v>250513</v>
      </c>
      <c r="P11125">
        <v>144.4</v>
      </c>
    </row>
    <row r="11126" spans="1:16" x14ac:dyDescent="0.25">
      <c r="A11126" t="s">
        <v>3296</v>
      </c>
      <c r="B11126" t="s">
        <v>2931</v>
      </c>
      <c r="C11126">
        <v>6480</v>
      </c>
      <c r="D11126" t="str">
        <f>"71403952    "</f>
        <v xml:space="preserve">71403952    </v>
      </c>
      <c r="E11126" t="s">
        <v>616</v>
      </c>
      <c r="F11126" t="s">
        <v>617</v>
      </c>
      <c r="G11126">
        <v>40.159999999999997</v>
      </c>
      <c r="H11126">
        <v>250424</v>
      </c>
      <c r="I11126">
        <v>4380</v>
      </c>
      <c r="J11126" t="s">
        <v>211</v>
      </c>
      <c r="K11126">
        <v>40.159999999999997</v>
      </c>
      <c r="L11126">
        <v>8.16</v>
      </c>
      <c r="M11126">
        <v>17951</v>
      </c>
      <c r="N11126" t="s">
        <v>207</v>
      </c>
      <c r="O11126">
        <v>250513</v>
      </c>
      <c r="P11126">
        <v>32</v>
      </c>
    </row>
    <row r="11127" spans="1:16" x14ac:dyDescent="0.25">
      <c r="A11127" t="s">
        <v>3296</v>
      </c>
      <c r="B11127" t="s">
        <v>2931</v>
      </c>
      <c r="C11127">
        <v>6481</v>
      </c>
      <c r="D11127" t="str">
        <f>"71403957    "</f>
        <v xml:space="preserve">71403957    </v>
      </c>
      <c r="E11127" t="s">
        <v>616</v>
      </c>
      <c r="F11127" t="s">
        <v>617</v>
      </c>
      <c r="G11127">
        <v>65.27</v>
      </c>
      <c r="H11127">
        <v>250424</v>
      </c>
      <c r="I11127">
        <v>4380</v>
      </c>
      <c r="J11127" t="s">
        <v>211</v>
      </c>
      <c r="K11127">
        <v>79.069999999999993</v>
      </c>
      <c r="L11127">
        <v>13.26</v>
      </c>
      <c r="M11127">
        <v>17956</v>
      </c>
      <c r="N11127" t="s">
        <v>170</v>
      </c>
      <c r="O11127">
        <v>250513</v>
      </c>
      <c r="P11127">
        <v>52.01</v>
      </c>
    </row>
    <row r="11128" spans="1:16" x14ac:dyDescent="0.25">
      <c r="A11128" t="s">
        <v>3296</v>
      </c>
      <c r="B11128" t="s">
        <v>2931</v>
      </c>
      <c r="C11128">
        <v>6483</v>
      </c>
      <c r="D11128" t="str">
        <f>"71403902    "</f>
        <v xml:space="preserve">71403902    </v>
      </c>
      <c r="E11128" t="s">
        <v>616</v>
      </c>
      <c r="F11128" t="s">
        <v>617</v>
      </c>
      <c r="G11128">
        <v>41.16</v>
      </c>
      <c r="H11128">
        <v>250424</v>
      </c>
      <c r="I11128">
        <v>4380</v>
      </c>
      <c r="J11128" t="s">
        <v>211</v>
      </c>
      <c r="K11128">
        <v>41.16</v>
      </c>
      <c r="L11128">
        <v>8.36</v>
      </c>
      <c r="M11128">
        <v>59503</v>
      </c>
      <c r="N11128" t="s">
        <v>766</v>
      </c>
      <c r="O11128">
        <v>250513</v>
      </c>
      <c r="P11128">
        <v>32.799999999999997</v>
      </c>
    </row>
    <row r="11129" spans="1:16" x14ac:dyDescent="0.25">
      <c r="A11129" t="s">
        <v>3296</v>
      </c>
      <c r="B11129" t="s">
        <v>2931</v>
      </c>
      <c r="C11129">
        <v>6485</v>
      </c>
      <c r="D11129" t="str">
        <f>"71403960    "</f>
        <v xml:space="preserve">71403960    </v>
      </c>
      <c r="E11129" t="s">
        <v>616</v>
      </c>
      <c r="F11129" t="s">
        <v>617</v>
      </c>
      <c r="G11129">
        <v>25.1</v>
      </c>
      <c r="H11129">
        <v>250424</v>
      </c>
      <c r="I11129">
        <v>4380</v>
      </c>
      <c r="J11129" t="s">
        <v>211</v>
      </c>
      <c r="K11129">
        <v>25.1</v>
      </c>
      <c r="L11129">
        <v>5.0999999999999996</v>
      </c>
      <c r="M11129">
        <v>17951</v>
      </c>
      <c r="N11129" t="s">
        <v>207</v>
      </c>
      <c r="O11129">
        <v>250513</v>
      </c>
      <c r="P11129">
        <v>20</v>
      </c>
    </row>
    <row r="11130" spans="1:16" x14ac:dyDescent="0.25">
      <c r="A11130" t="s">
        <v>3296</v>
      </c>
      <c r="B11130" t="s">
        <v>2931</v>
      </c>
      <c r="C11130">
        <v>6486</v>
      </c>
      <c r="D11130" t="str">
        <f>"71403961    "</f>
        <v xml:space="preserve">71403961    </v>
      </c>
      <c r="E11130" t="s">
        <v>616</v>
      </c>
      <c r="F11130" t="s">
        <v>617</v>
      </c>
      <c r="G11130">
        <v>66.010000000000005</v>
      </c>
      <c r="H11130">
        <v>250424</v>
      </c>
      <c r="I11130">
        <v>4380</v>
      </c>
      <c r="J11130" t="s">
        <v>211</v>
      </c>
      <c r="K11130">
        <v>66.010000000000005</v>
      </c>
      <c r="L11130">
        <v>13.41</v>
      </c>
      <c r="M11130">
        <v>59504</v>
      </c>
      <c r="N11130" t="s">
        <v>193</v>
      </c>
      <c r="O11130">
        <v>250513</v>
      </c>
      <c r="P11130">
        <v>52.6</v>
      </c>
    </row>
    <row r="11131" spans="1:16" x14ac:dyDescent="0.25">
      <c r="A11131" t="s">
        <v>3296</v>
      </c>
      <c r="B11131" t="s">
        <v>2931</v>
      </c>
      <c r="C11131">
        <v>6487</v>
      </c>
      <c r="D11131" t="str">
        <f>"71403965    "</f>
        <v xml:space="preserve">71403965    </v>
      </c>
      <c r="E11131" t="s">
        <v>616</v>
      </c>
      <c r="F11131" t="s">
        <v>617</v>
      </c>
      <c r="G11131">
        <v>55.23</v>
      </c>
      <c r="H11131">
        <v>250424</v>
      </c>
      <c r="I11131">
        <v>4380</v>
      </c>
      <c r="J11131" t="s">
        <v>211</v>
      </c>
      <c r="K11131">
        <v>74.55</v>
      </c>
      <c r="L11131">
        <v>11.22</v>
      </c>
      <c r="M11131">
        <v>17956</v>
      </c>
      <c r="N11131" t="s">
        <v>170</v>
      </c>
      <c r="O11131">
        <v>250513</v>
      </c>
      <c r="P11131">
        <v>44.01</v>
      </c>
    </row>
    <row r="11132" spans="1:16" x14ac:dyDescent="0.25">
      <c r="A11132" t="s">
        <v>3296</v>
      </c>
      <c r="B11132" t="s">
        <v>2931</v>
      </c>
      <c r="C11132">
        <v>6491</v>
      </c>
      <c r="D11132" t="str">
        <f>"71403959    "</f>
        <v xml:space="preserve">71403959    </v>
      </c>
      <c r="E11132" t="s">
        <v>616</v>
      </c>
      <c r="F11132" t="s">
        <v>617</v>
      </c>
      <c r="G11132">
        <v>233.43</v>
      </c>
      <c r="H11132">
        <v>250424</v>
      </c>
      <c r="I11132">
        <v>4380</v>
      </c>
      <c r="J11132" t="s">
        <v>211</v>
      </c>
      <c r="K11132">
        <v>233.43</v>
      </c>
      <c r="L11132">
        <v>47.43</v>
      </c>
      <c r="M11132">
        <v>14951</v>
      </c>
      <c r="N11132" t="s">
        <v>186</v>
      </c>
      <c r="O11132">
        <v>250513</v>
      </c>
      <c r="P11132">
        <v>186</v>
      </c>
    </row>
    <row r="11133" spans="1:16" x14ac:dyDescent="0.25">
      <c r="A11133" t="s">
        <v>3296</v>
      </c>
      <c r="B11133" t="s">
        <v>2931</v>
      </c>
      <c r="C11133">
        <v>6493</v>
      </c>
      <c r="D11133" t="str">
        <f>"71403953    "</f>
        <v xml:space="preserve">71403953    </v>
      </c>
      <c r="E11133" t="s">
        <v>616</v>
      </c>
      <c r="F11133" t="s">
        <v>617</v>
      </c>
      <c r="G11133">
        <v>66.260000000000005</v>
      </c>
      <c r="H11133">
        <v>250424</v>
      </c>
      <c r="I11133">
        <v>4380</v>
      </c>
      <c r="J11133" t="s">
        <v>211</v>
      </c>
      <c r="K11133">
        <v>779.1</v>
      </c>
      <c r="L11133">
        <v>13.46</v>
      </c>
      <c r="M11133">
        <v>13540</v>
      </c>
      <c r="N11133" t="s">
        <v>131</v>
      </c>
      <c r="O11133">
        <v>250513</v>
      </c>
      <c r="P11133">
        <v>52.8</v>
      </c>
    </row>
    <row r="11134" spans="1:16" x14ac:dyDescent="0.25">
      <c r="A11134" t="s">
        <v>3296</v>
      </c>
      <c r="B11134" t="s">
        <v>2931</v>
      </c>
      <c r="C11134">
        <v>6493</v>
      </c>
      <c r="D11134" t="str">
        <f>"71403953    "</f>
        <v xml:space="preserve">71403953    </v>
      </c>
      <c r="E11134" t="s">
        <v>616</v>
      </c>
      <c r="F11134" t="s">
        <v>617</v>
      </c>
      <c r="G11134">
        <v>536.14</v>
      </c>
      <c r="H11134">
        <v>250424</v>
      </c>
      <c r="I11134">
        <v>4380</v>
      </c>
      <c r="J11134" t="s">
        <v>211</v>
      </c>
      <c r="K11134">
        <v>779.1</v>
      </c>
      <c r="L11134">
        <v>108.94</v>
      </c>
      <c r="M11134">
        <v>17950</v>
      </c>
      <c r="N11134" t="s">
        <v>132</v>
      </c>
      <c r="O11134">
        <v>250513</v>
      </c>
      <c r="P11134">
        <v>427.2</v>
      </c>
    </row>
    <row r="11135" spans="1:16" x14ac:dyDescent="0.25">
      <c r="A11135" t="s">
        <v>3296</v>
      </c>
      <c r="B11135" t="s">
        <v>2931</v>
      </c>
      <c r="C11135">
        <v>6494</v>
      </c>
      <c r="D11135" t="str">
        <f>"71444127    "</f>
        <v xml:space="preserve">71444127    </v>
      </c>
      <c r="E11135" t="s">
        <v>616</v>
      </c>
      <c r="F11135" t="s">
        <v>617</v>
      </c>
      <c r="G11135">
        <v>525.47</v>
      </c>
      <c r="H11135">
        <v>250430</v>
      </c>
      <c r="I11135">
        <v>4380</v>
      </c>
      <c r="J11135" t="s">
        <v>211</v>
      </c>
      <c r="K11135">
        <v>525.47</v>
      </c>
      <c r="L11135">
        <v>106.77</v>
      </c>
      <c r="M11135">
        <v>59501</v>
      </c>
      <c r="N11135" t="s">
        <v>62</v>
      </c>
      <c r="O11135">
        <v>250513</v>
      </c>
      <c r="P11135">
        <v>418.7</v>
      </c>
    </row>
    <row r="11136" spans="1:16" x14ac:dyDescent="0.25">
      <c r="A11136" t="s">
        <v>3296</v>
      </c>
      <c r="B11136" t="s">
        <v>2931</v>
      </c>
      <c r="C11136">
        <v>6500</v>
      </c>
      <c r="D11136" t="str">
        <f>"71403958    "</f>
        <v xml:space="preserve">71403958    </v>
      </c>
      <c r="E11136" t="s">
        <v>616</v>
      </c>
      <c r="F11136" t="s">
        <v>617</v>
      </c>
      <c r="G11136">
        <v>447.53</v>
      </c>
      <c r="H11136">
        <v>250424</v>
      </c>
      <c r="I11136">
        <v>4380</v>
      </c>
      <c r="J11136" t="s">
        <v>211</v>
      </c>
      <c r="K11136">
        <v>447.53</v>
      </c>
      <c r="L11136">
        <v>90.93</v>
      </c>
      <c r="M11136">
        <v>59501</v>
      </c>
      <c r="N11136" t="s">
        <v>62</v>
      </c>
      <c r="O11136">
        <v>250513</v>
      </c>
      <c r="P11136">
        <v>356.6</v>
      </c>
    </row>
    <row r="11137" spans="1:16" x14ac:dyDescent="0.25">
      <c r="A11137" t="s">
        <v>3296</v>
      </c>
      <c r="B11137" t="s">
        <v>2931</v>
      </c>
      <c r="C11137">
        <v>6501</v>
      </c>
      <c r="D11137" t="str">
        <f>"71403956    "</f>
        <v xml:space="preserve">71403956    </v>
      </c>
      <c r="E11137" t="s">
        <v>616</v>
      </c>
      <c r="F11137" t="s">
        <v>617</v>
      </c>
      <c r="G11137">
        <v>25.1</v>
      </c>
      <c r="H11137">
        <v>250424</v>
      </c>
      <c r="I11137">
        <v>4380</v>
      </c>
      <c r="J11137" t="s">
        <v>211</v>
      </c>
      <c r="K11137">
        <v>25.1</v>
      </c>
      <c r="L11137">
        <v>5.0999999999999996</v>
      </c>
      <c r="M11137">
        <v>17951</v>
      </c>
      <c r="N11137" t="s">
        <v>207</v>
      </c>
      <c r="O11137">
        <v>250513</v>
      </c>
      <c r="P11137">
        <v>20</v>
      </c>
    </row>
    <row r="11138" spans="1:16" x14ac:dyDescent="0.25">
      <c r="A11138" t="s">
        <v>3296</v>
      </c>
      <c r="B11138" t="s">
        <v>2931</v>
      </c>
      <c r="C11138">
        <v>6515</v>
      </c>
      <c r="D11138" t="str">
        <f>"71441792    "</f>
        <v xml:space="preserve">71441792    </v>
      </c>
      <c r="E11138" t="s">
        <v>616</v>
      </c>
      <c r="F11138" t="s">
        <v>617</v>
      </c>
      <c r="G11138">
        <v>33.380000000000003</v>
      </c>
      <c r="H11138">
        <v>250430</v>
      </c>
      <c r="I11138">
        <v>4380</v>
      </c>
      <c r="J11138" t="s">
        <v>211</v>
      </c>
      <c r="K11138">
        <v>100.15</v>
      </c>
      <c r="L11138">
        <v>6.78</v>
      </c>
      <c r="M11138">
        <v>11401</v>
      </c>
      <c r="N11138" t="s">
        <v>91</v>
      </c>
      <c r="O11138">
        <v>250513</v>
      </c>
      <c r="P11138">
        <v>26.6</v>
      </c>
    </row>
    <row r="11139" spans="1:16" x14ac:dyDescent="0.25">
      <c r="A11139" t="s">
        <v>3296</v>
      </c>
      <c r="B11139" t="s">
        <v>2931</v>
      </c>
      <c r="C11139">
        <v>6515</v>
      </c>
      <c r="D11139" t="str">
        <f>"71441792    "</f>
        <v xml:space="preserve">71441792    </v>
      </c>
      <c r="E11139" t="s">
        <v>616</v>
      </c>
      <c r="F11139" t="s">
        <v>617</v>
      </c>
      <c r="G11139">
        <v>66.77</v>
      </c>
      <c r="H11139">
        <v>250430</v>
      </c>
      <c r="I11139">
        <v>4380</v>
      </c>
      <c r="J11139" t="s">
        <v>211</v>
      </c>
      <c r="K11139">
        <v>100.15</v>
      </c>
      <c r="L11139">
        <v>13.57</v>
      </c>
      <c r="M11139">
        <v>14952</v>
      </c>
      <c r="N11139" t="s">
        <v>213</v>
      </c>
      <c r="O11139">
        <v>250513</v>
      </c>
      <c r="P11139">
        <v>53.2</v>
      </c>
    </row>
    <row r="11140" spans="1:16" x14ac:dyDescent="0.25">
      <c r="A11140" t="s">
        <v>3296</v>
      </c>
      <c r="B11140" t="s">
        <v>2931</v>
      </c>
      <c r="C11140">
        <v>6526</v>
      </c>
      <c r="D11140" t="str">
        <f>"71403963    "</f>
        <v xml:space="preserve">71403963    </v>
      </c>
      <c r="E11140" t="s">
        <v>616</v>
      </c>
      <c r="F11140" t="s">
        <v>617</v>
      </c>
      <c r="G11140">
        <v>80.319999999999993</v>
      </c>
      <c r="H11140">
        <v>250424</v>
      </c>
      <c r="I11140">
        <v>4380</v>
      </c>
      <c r="J11140" t="s">
        <v>211</v>
      </c>
      <c r="K11140">
        <v>80.319999999999993</v>
      </c>
      <c r="L11140">
        <v>16.32</v>
      </c>
      <c r="M11140">
        <v>17951</v>
      </c>
      <c r="N11140" t="s">
        <v>207</v>
      </c>
      <c r="O11140">
        <v>250513</v>
      </c>
      <c r="P11140">
        <v>64</v>
      </c>
    </row>
    <row r="11141" spans="1:16" x14ac:dyDescent="0.25">
      <c r="A11141" t="s">
        <v>3296</v>
      </c>
      <c r="B11141" t="s">
        <v>2931</v>
      </c>
      <c r="C11141">
        <v>6528</v>
      </c>
      <c r="D11141" t="str">
        <f>"71403954    "</f>
        <v xml:space="preserve">71403954    </v>
      </c>
      <c r="E11141" t="s">
        <v>616</v>
      </c>
      <c r="F11141" t="s">
        <v>617</v>
      </c>
      <c r="G11141">
        <v>24.85</v>
      </c>
      <c r="H11141">
        <v>250424</v>
      </c>
      <c r="I11141">
        <v>4380</v>
      </c>
      <c r="J11141" t="s">
        <v>211</v>
      </c>
      <c r="K11141">
        <v>24.85</v>
      </c>
      <c r="L11141">
        <v>5.05</v>
      </c>
      <c r="M11141">
        <v>49501</v>
      </c>
      <c r="N11141" t="s">
        <v>110</v>
      </c>
      <c r="O11141">
        <v>250513</v>
      </c>
      <c r="P11141">
        <v>19.8</v>
      </c>
    </row>
    <row r="11142" spans="1:16" x14ac:dyDescent="0.25">
      <c r="A11142" t="s">
        <v>3296</v>
      </c>
      <c r="B11142" t="s">
        <v>2931</v>
      </c>
      <c r="C11142">
        <v>6535</v>
      </c>
      <c r="D11142" t="str">
        <f>"71403955    "</f>
        <v xml:space="preserve">71403955    </v>
      </c>
      <c r="E11142" t="s">
        <v>616</v>
      </c>
      <c r="F11142" t="s">
        <v>617</v>
      </c>
      <c r="G11142">
        <v>55.22</v>
      </c>
      <c r="H11142">
        <v>250424</v>
      </c>
      <c r="I11142">
        <v>4380</v>
      </c>
      <c r="J11142" t="s">
        <v>211</v>
      </c>
      <c r="K11142">
        <v>63.5</v>
      </c>
      <c r="L11142">
        <v>11.22</v>
      </c>
      <c r="M11142">
        <v>17956</v>
      </c>
      <c r="N11142" t="s">
        <v>170</v>
      </c>
      <c r="O11142">
        <v>250513</v>
      </c>
      <c r="P11142">
        <v>44</v>
      </c>
    </row>
    <row r="11143" spans="1:16" x14ac:dyDescent="0.25">
      <c r="A11143" t="s">
        <v>3296</v>
      </c>
      <c r="B11143" t="s">
        <v>2931</v>
      </c>
      <c r="C11143">
        <v>6536</v>
      </c>
      <c r="D11143" t="str">
        <f>"71403962    "</f>
        <v xml:space="preserve">71403962    </v>
      </c>
      <c r="E11143" t="s">
        <v>616</v>
      </c>
      <c r="F11143" t="s">
        <v>617</v>
      </c>
      <c r="G11143">
        <v>216.11</v>
      </c>
      <c r="H11143">
        <v>250424</v>
      </c>
      <c r="I11143">
        <v>4380</v>
      </c>
      <c r="J11143" t="s">
        <v>211</v>
      </c>
      <c r="K11143">
        <v>617.46</v>
      </c>
      <c r="L11143">
        <v>43.91</v>
      </c>
      <c r="M11143">
        <v>59502</v>
      </c>
      <c r="N11143" t="s">
        <v>63</v>
      </c>
      <c r="O11143">
        <v>250513</v>
      </c>
      <c r="P11143">
        <v>172.2</v>
      </c>
    </row>
    <row r="11144" spans="1:16" x14ac:dyDescent="0.25">
      <c r="A11144" t="s">
        <v>3296</v>
      </c>
      <c r="B11144" t="s">
        <v>2931</v>
      </c>
      <c r="C11144">
        <v>6536</v>
      </c>
      <c r="D11144" t="str">
        <f>"71403962    "</f>
        <v xml:space="preserve">71403962    </v>
      </c>
      <c r="E11144" t="s">
        <v>616</v>
      </c>
      <c r="F11144" t="s">
        <v>617</v>
      </c>
      <c r="G11144">
        <v>401.35</v>
      </c>
      <c r="H11144">
        <v>250424</v>
      </c>
      <c r="I11144">
        <v>4380</v>
      </c>
      <c r="J11144" t="s">
        <v>211</v>
      </c>
      <c r="K11144">
        <v>617.46</v>
      </c>
      <c r="L11144">
        <v>81.55</v>
      </c>
      <c r="M11144">
        <v>59802</v>
      </c>
      <c r="N11144" t="s">
        <v>195</v>
      </c>
      <c r="O11144">
        <v>250513</v>
      </c>
      <c r="P11144">
        <v>319.8</v>
      </c>
    </row>
    <row r="11145" spans="1:16" x14ac:dyDescent="0.25">
      <c r="A11145" t="s">
        <v>3296</v>
      </c>
      <c r="B11145" t="s">
        <v>2931</v>
      </c>
      <c r="C11145">
        <v>6578</v>
      </c>
      <c r="D11145" t="str">
        <f>"71444515    "</f>
        <v xml:space="preserve">71444515    </v>
      </c>
      <c r="E11145" t="s">
        <v>616</v>
      </c>
      <c r="F11145" t="s">
        <v>617</v>
      </c>
      <c r="G11145">
        <v>118.66</v>
      </c>
      <c r="H11145">
        <v>250430</v>
      </c>
      <c r="I11145">
        <v>4380</v>
      </c>
      <c r="J11145" t="s">
        <v>211</v>
      </c>
      <c r="K11145">
        <v>118.66</v>
      </c>
      <c r="L11145">
        <v>24.11</v>
      </c>
      <c r="M11145">
        <v>17952</v>
      </c>
      <c r="N11145" t="s">
        <v>157</v>
      </c>
      <c r="O11145">
        <v>250514</v>
      </c>
      <c r="P11145">
        <v>94.55</v>
      </c>
    </row>
    <row r="11146" spans="1:16" x14ac:dyDescent="0.25">
      <c r="A11146" t="s">
        <v>3296</v>
      </c>
      <c r="B11146" t="s">
        <v>2931</v>
      </c>
      <c r="C11146">
        <v>6608</v>
      </c>
      <c r="D11146" t="str">
        <f>"71444126    "</f>
        <v xml:space="preserve">71444126    </v>
      </c>
      <c r="E11146" t="s">
        <v>616</v>
      </c>
      <c r="F11146" t="s">
        <v>617</v>
      </c>
      <c r="G11146">
        <v>153.69</v>
      </c>
      <c r="H11146">
        <v>250430</v>
      </c>
      <c r="I11146">
        <v>4380</v>
      </c>
      <c r="J11146" t="s">
        <v>211</v>
      </c>
      <c r="K11146">
        <v>252</v>
      </c>
      <c r="L11146">
        <v>31.23</v>
      </c>
      <c r="M11146">
        <v>59502</v>
      </c>
      <c r="N11146" t="s">
        <v>63</v>
      </c>
      <c r="O11146">
        <v>250514</v>
      </c>
      <c r="P11146">
        <v>122.46</v>
      </c>
    </row>
    <row r="11147" spans="1:16" x14ac:dyDescent="0.25">
      <c r="A11147" t="s">
        <v>3296</v>
      </c>
      <c r="B11147" t="s">
        <v>2931</v>
      </c>
      <c r="C11147">
        <v>6608</v>
      </c>
      <c r="D11147" t="str">
        <f>"71444126    "</f>
        <v xml:space="preserve">71444126    </v>
      </c>
      <c r="E11147" t="s">
        <v>616</v>
      </c>
      <c r="F11147" t="s">
        <v>617</v>
      </c>
      <c r="G11147">
        <v>98.31</v>
      </c>
      <c r="H11147">
        <v>250430</v>
      </c>
      <c r="I11147">
        <v>4380</v>
      </c>
      <c r="J11147" t="s">
        <v>211</v>
      </c>
      <c r="K11147">
        <v>252</v>
      </c>
      <c r="L11147">
        <v>19.98</v>
      </c>
      <c r="M11147">
        <v>59802</v>
      </c>
      <c r="N11147" t="s">
        <v>195</v>
      </c>
      <c r="O11147">
        <v>250514</v>
      </c>
      <c r="P11147">
        <v>78.33</v>
      </c>
    </row>
    <row r="11148" spans="1:16" x14ac:dyDescent="0.25">
      <c r="A11148" t="s">
        <v>3296</v>
      </c>
      <c r="B11148" t="s">
        <v>2931</v>
      </c>
      <c r="C11148">
        <v>6614</v>
      </c>
      <c r="D11148" t="str">
        <f>"71444757    "</f>
        <v xml:space="preserve">71444757    </v>
      </c>
      <c r="E11148" t="s">
        <v>616</v>
      </c>
      <c r="F11148" t="s">
        <v>617</v>
      </c>
      <c r="G11148">
        <v>15.69</v>
      </c>
      <c r="H11148">
        <v>250430</v>
      </c>
      <c r="I11148">
        <v>4380</v>
      </c>
      <c r="J11148" t="s">
        <v>211</v>
      </c>
      <c r="K11148">
        <v>15.69</v>
      </c>
      <c r="L11148">
        <v>3.19</v>
      </c>
      <c r="M11148">
        <v>13841</v>
      </c>
      <c r="N11148" t="s">
        <v>178</v>
      </c>
      <c r="O11148">
        <v>250514</v>
      </c>
      <c r="P11148">
        <v>12.5</v>
      </c>
    </row>
    <row r="11149" spans="1:16" x14ac:dyDescent="0.25">
      <c r="A11149" t="s">
        <v>3296</v>
      </c>
      <c r="B11149" t="s">
        <v>2931</v>
      </c>
      <c r="C11149">
        <v>6630</v>
      </c>
      <c r="D11149" t="str">
        <f>"71444134    "</f>
        <v xml:space="preserve">71444134    </v>
      </c>
      <c r="E11149" t="s">
        <v>616</v>
      </c>
      <c r="F11149" t="s">
        <v>617</v>
      </c>
      <c r="G11149">
        <v>364.84</v>
      </c>
      <c r="H11149">
        <v>250430</v>
      </c>
      <c r="I11149">
        <v>4380</v>
      </c>
      <c r="J11149" t="s">
        <v>211</v>
      </c>
      <c r="K11149">
        <v>446.09</v>
      </c>
      <c r="L11149">
        <v>74.13</v>
      </c>
      <c r="M11149">
        <v>49501</v>
      </c>
      <c r="N11149" t="s">
        <v>110</v>
      </c>
      <c r="O11149">
        <v>250514</v>
      </c>
      <c r="P11149">
        <v>290.70999999999998</v>
      </c>
    </row>
    <row r="11150" spans="1:16" x14ac:dyDescent="0.25">
      <c r="A11150" t="s">
        <v>3296</v>
      </c>
      <c r="B11150" t="s">
        <v>2931</v>
      </c>
      <c r="C11150">
        <v>6630</v>
      </c>
      <c r="D11150" t="str">
        <f>"71444134    "</f>
        <v xml:space="preserve">71444134    </v>
      </c>
      <c r="E11150" t="s">
        <v>616</v>
      </c>
      <c r="F11150" t="s">
        <v>617</v>
      </c>
      <c r="G11150">
        <v>81.25</v>
      </c>
      <c r="H11150">
        <v>250430</v>
      </c>
      <c r="I11150">
        <v>4380</v>
      </c>
      <c r="J11150" t="s">
        <v>211</v>
      </c>
      <c r="K11150">
        <v>446.09</v>
      </c>
      <c r="L11150">
        <v>16.510000000000002</v>
      </c>
      <c r="M11150">
        <v>49503</v>
      </c>
      <c r="N11150" t="s">
        <v>267</v>
      </c>
      <c r="O11150">
        <v>250514</v>
      </c>
      <c r="P11150">
        <v>64.739999999999995</v>
      </c>
    </row>
    <row r="11151" spans="1:16" x14ac:dyDescent="0.25">
      <c r="A11151" t="s">
        <v>3296</v>
      </c>
      <c r="B11151" t="s">
        <v>2931</v>
      </c>
      <c r="C11151">
        <v>6631</v>
      </c>
      <c r="D11151" t="str">
        <f>"71444128    "</f>
        <v xml:space="preserve">71444128    </v>
      </c>
      <c r="E11151" t="s">
        <v>616</v>
      </c>
      <c r="F11151" t="s">
        <v>617</v>
      </c>
      <c r="G11151">
        <v>105.17</v>
      </c>
      <c r="H11151">
        <v>250430</v>
      </c>
      <c r="I11151">
        <v>4380</v>
      </c>
      <c r="J11151" t="s">
        <v>211</v>
      </c>
      <c r="K11151">
        <v>105.17</v>
      </c>
      <c r="L11151">
        <v>21.37</v>
      </c>
      <c r="M11151">
        <v>59504</v>
      </c>
      <c r="N11151" t="s">
        <v>193</v>
      </c>
      <c r="O11151">
        <v>250514</v>
      </c>
      <c r="P11151">
        <v>83.8</v>
      </c>
    </row>
    <row r="11152" spans="1:16" x14ac:dyDescent="0.25">
      <c r="A11152" t="s">
        <v>3296</v>
      </c>
      <c r="B11152" t="s">
        <v>2931</v>
      </c>
      <c r="C11152">
        <v>6643</v>
      </c>
      <c r="D11152" t="str">
        <f>"71443942    "</f>
        <v xml:space="preserve">71443942    </v>
      </c>
      <c r="E11152" t="s">
        <v>616</v>
      </c>
      <c r="F11152" t="s">
        <v>617</v>
      </c>
      <c r="G11152">
        <v>656.74</v>
      </c>
      <c r="H11152">
        <v>250601</v>
      </c>
      <c r="I11152">
        <v>4380</v>
      </c>
      <c r="J11152" t="s">
        <v>211</v>
      </c>
      <c r="K11152">
        <v>656.74</v>
      </c>
      <c r="L11152">
        <v>133.44</v>
      </c>
      <c r="M11152">
        <v>17951</v>
      </c>
      <c r="N11152" t="s">
        <v>207</v>
      </c>
      <c r="O11152">
        <v>250625</v>
      </c>
      <c r="P11152">
        <v>523.29999999999995</v>
      </c>
    </row>
    <row r="11153" spans="1:16" x14ac:dyDescent="0.25">
      <c r="A11153" t="s">
        <v>3296</v>
      </c>
      <c r="B11153" t="s">
        <v>2931</v>
      </c>
      <c r="C11153">
        <v>6647</v>
      </c>
      <c r="D11153" t="str">
        <f>"71444129    "</f>
        <v xml:space="preserve">71444129    </v>
      </c>
      <c r="E11153" t="s">
        <v>616</v>
      </c>
      <c r="F11153" t="s">
        <v>617</v>
      </c>
      <c r="G11153">
        <v>137.61000000000001</v>
      </c>
      <c r="H11153">
        <v>250430</v>
      </c>
      <c r="I11153">
        <v>4380</v>
      </c>
      <c r="J11153" t="s">
        <v>211</v>
      </c>
      <c r="K11153">
        <v>137.61000000000001</v>
      </c>
      <c r="L11153">
        <v>27.96</v>
      </c>
      <c r="M11153">
        <v>59505</v>
      </c>
      <c r="N11153" t="s">
        <v>194</v>
      </c>
      <c r="O11153">
        <v>250514</v>
      </c>
      <c r="P11153">
        <v>109.65</v>
      </c>
    </row>
    <row r="11154" spans="1:16" x14ac:dyDescent="0.25">
      <c r="A11154" t="s">
        <v>3296</v>
      </c>
      <c r="B11154" t="s">
        <v>2931</v>
      </c>
      <c r="C11154">
        <v>6675</v>
      </c>
      <c r="D11154" t="str">
        <f>"71443945    "</f>
        <v xml:space="preserve">71443945    </v>
      </c>
      <c r="E11154" t="s">
        <v>616</v>
      </c>
      <c r="F11154" t="s">
        <v>617</v>
      </c>
      <c r="G11154">
        <v>31.48</v>
      </c>
      <c r="H11154">
        <v>250430</v>
      </c>
      <c r="I11154">
        <v>4380</v>
      </c>
      <c r="J11154" t="s">
        <v>211</v>
      </c>
      <c r="K11154">
        <v>422.86</v>
      </c>
      <c r="L11154">
        <v>6.4</v>
      </c>
      <c r="M11154">
        <v>13540</v>
      </c>
      <c r="N11154" t="s">
        <v>131</v>
      </c>
      <c r="O11154">
        <v>250515</v>
      </c>
      <c r="P11154">
        <v>25.08</v>
      </c>
    </row>
    <row r="11155" spans="1:16" x14ac:dyDescent="0.25">
      <c r="A11155" t="s">
        <v>3296</v>
      </c>
      <c r="B11155" t="s">
        <v>2931</v>
      </c>
      <c r="C11155">
        <v>6675</v>
      </c>
      <c r="D11155" t="str">
        <f>"71443945    "</f>
        <v xml:space="preserve">71443945    </v>
      </c>
      <c r="E11155" t="s">
        <v>616</v>
      </c>
      <c r="F11155" t="s">
        <v>617</v>
      </c>
      <c r="G11155">
        <v>254.71</v>
      </c>
      <c r="H11155">
        <v>250430</v>
      </c>
      <c r="I11155">
        <v>4380</v>
      </c>
      <c r="J11155" t="s">
        <v>211</v>
      </c>
      <c r="K11155">
        <v>422.86</v>
      </c>
      <c r="L11155">
        <v>51.75</v>
      </c>
      <c r="M11155">
        <v>17950</v>
      </c>
      <c r="N11155" t="s">
        <v>132</v>
      </c>
      <c r="O11155">
        <v>250515</v>
      </c>
      <c r="P11155">
        <v>202.96</v>
      </c>
    </row>
    <row r="11156" spans="1:16" x14ac:dyDescent="0.25">
      <c r="A11156" t="s">
        <v>3296</v>
      </c>
      <c r="B11156" t="s">
        <v>2931</v>
      </c>
      <c r="C11156">
        <v>6675</v>
      </c>
      <c r="D11156" t="str">
        <f>"71443945    "</f>
        <v xml:space="preserve">71443945    </v>
      </c>
      <c r="E11156" t="s">
        <v>616</v>
      </c>
      <c r="F11156" t="s">
        <v>617</v>
      </c>
      <c r="G11156">
        <v>136.66999999999999</v>
      </c>
      <c r="H11156">
        <v>250430</v>
      </c>
      <c r="I11156">
        <v>4380</v>
      </c>
      <c r="J11156" t="s">
        <v>211</v>
      </c>
      <c r="K11156">
        <v>422.86</v>
      </c>
      <c r="L11156">
        <v>27.77</v>
      </c>
      <c r="M11156">
        <v>17956</v>
      </c>
      <c r="N11156" t="s">
        <v>170</v>
      </c>
      <c r="O11156">
        <v>250515</v>
      </c>
      <c r="P11156">
        <v>108.9</v>
      </c>
    </row>
    <row r="11157" spans="1:16" x14ac:dyDescent="0.25">
      <c r="A11157" t="s">
        <v>3296</v>
      </c>
      <c r="B11157" t="s">
        <v>2931</v>
      </c>
      <c r="C11157">
        <v>7361</v>
      </c>
      <c r="D11157" t="str">
        <f>"71458654    "</f>
        <v xml:space="preserve">71458654    </v>
      </c>
      <c r="E11157" t="s">
        <v>616</v>
      </c>
      <c r="F11157" t="s">
        <v>617</v>
      </c>
      <c r="G11157">
        <v>50.43</v>
      </c>
      <c r="H11157">
        <v>250521</v>
      </c>
      <c r="I11157">
        <v>4380</v>
      </c>
      <c r="J11157" t="s">
        <v>211</v>
      </c>
      <c r="K11157">
        <v>50.43</v>
      </c>
      <c r="L11157">
        <v>10.25</v>
      </c>
      <c r="M11157">
        <v>46554</v>
      </c>
      <c r="N11157" t="s">
        <v>102</v>
      </c>
      <c r="O11157">
        <v>250603</v>
      </c>
      <c r="P11157">
        <v>40.18</v>
      </c>
    </row>
    <row r="11158" spans="1:16" x14ac:dyDescent="0.25">
      <c r="A11158" t="s">
        <v>3296</v>
      </c>
      <c r="B11158" t="s">
        <v>2931</v>
      </c>
      <c r="C11158">
        <v>7495</v>
      </c>
      <c r="D11158" t="str">
        <f>"71444133    "</f>
        <v xml:space="preserve">71444133    </v>
      </c>
      <c r="E11158" t="s">
        <v>616</v>
      </c>
      <c r="F11158" t="s">
        <v>617</v>
      </c>
      <c r="G11158">
        <v>43.55</v>
      </c>
      <c r="H11158">
        <v>250508</v>
      </c>
      <c r="I11158">
        <v>4380</v>
      </c>
      <c r="J11158" t="s">
        <v>211</v>
      </c>
      <c r="K11158">
        <v>43.55</v>
      </c>
      <c r="L11158">
        <v>8.85</v>
      </c>
      <c r="M11158">
        <v>59503</v>
      </c>
      <c r="N11158" t="s">
        <v>766</v>
      </c>
      <c r="O11158">
        <v>250604</v>
      </c>
      <c r="P11158">
        <v>34.700000000000003</v>
      </c>
    </row>
    <row r="11159" spans="1:16" x14ac:dyDescent="0.25">
      <c r="A11159" t="s">
        <v>3296</v>
      </c>
      <c r="B11159" t="s">
        <v>2931</v>
      </c>
      <c r="C11159">
        <v>8368</v>
      </c>
      <c r="D11159" t="str">
        <f>"71457806    "</f>
        <v xml:space="preserve">71457806    </v>
      </c>
      <c r="E11159" t="s">
        <v>616</v>
      </c>
      <c r="F11159" t="s">
        <v>617</v>
      </c>
      <c r="G11159">
        <v>122.49</v>
      </c>
      <c r="H11159">
        <v>250521</v>
      </c>
      <c r="I11159">
        <v>4380</v>
      </c>
      <c r="J11159" t="s">
        <v>211</v>
      </c>
      <c r="K11159">
        <v>122.49</v>
      </c>
      <c r="L11159">
        <v>24.89</v>
      </c>
      <c r="M11159">
        <v>47522</v>
      </c>
      <c r="N11159" t="s">
        <v>106</v>
      </c>
      <c r="O11159">
        <v>250613</v>
      </c>
      <c r="P11159">
        <v>97.6</v>
      </c>
    </row>
    <row r="11160" spans="1:16" x14ac:dyDescent="0.25">
      <c r="A11160" t="s">
        <v>3296</v>
      </c>
      <c r="B11160" t="s">
        <v>2931</v>
      </c>
      <c r="C11160">
        <v>8379</v>
      </c>
      <c r="D11160" t="str">
        <f>"71457804    "</f>
        <v xml:space="preserve">71457804    </v>
      </c>
      <c r="E11160" t="s">
        <v>616</v>
      </c>
      <c r="F11160" t="s">
        <v>617</v>
      </c>
      <c r="G11160">
        <v>143.82</v>
      </c>
      <c r="H11160">
        <v>250521</v>
      </c>
      <c r="I11160">
        <v>4380</v>
      </c>
      <c r="J11160" t="s">
        <v>211</v>
      </c>
      <c r="K11160">
        <v>143.82</v>
      </c>
      <c r="L11160">
        <v>29.22</v>
      </c>
      <c r="M11160">
        <v>47522</v>
      </c>
      <c r="N11160" t="s">
        <v>106</v>
      </c>
      <c r="O11160">
        <v>250613</v>
      </c>
      <c r="P11160">
        <v>114.6</v>
      </c>
    </row>
    <row r="11161" spans="1:16" x14ac:dyDescent="0.25">
      <c r="A11161" t="s">
        <v>3296</v>
      </c>
      <c r="B11161" t="s">
        <v>2931</v>
      </c>
      <c r="C11161">
        <v>8386</v>
      </c>
      <c r="D11161" t="str">
        <f>"71462345    "</f>
        <v xml:space="preserve">71462345    </v>
      </c>
      <c r="E11161" t="s">
        <v>616</v>
      </c>
      <c r="F11161" t="s">
        <v>617</v>
      </c>
      <c r="G11161">
        <v>183.23</v>
      </c>
      <c r="H11161">
        <v>250522</v>
      </c>
      <c r="I11161">
        <v>4380</v>
      </c>
      <c r="J11161" t="s">
        <v>211</v>
      </c>
      <c r="K11161">
        <v>183.23</v>
      </c>
      <c r="L11161">
        <v>37.229999999999997</v>
      </c>
      <c r="M11161">
        <v>14951</v>
      </c>
      <c r="N11161" t="s">
        <v>186</v>
      </c>
      <c r="O11161">
        <v>250613</v>
      </c>
      <c r="P11161">
        <v>146</v>
      </c>
    </row>
    <row r="11162" spans="1:16" x14ac:dyDescent="0.25">
      <c r="A11162" t="s">
        <v>3296</v>
      </c>
      <c r="B11162" t="s">
        <v>2931</v>
      </c>
      <c r="C11162">
        <v>8387</v>
      </c>
      <c r="D11162" t="str">
        <f>"71462348    "</f>
        <v xml:space="preserve">71462348    </v>
      </c>
      <c r="E11162" t="s">
        <v>616</v>
      </c>
      <c r="F11162" t="s">
        <v>617</v>
      </c>
      <c r="G11162">
        <v>146.33000000000001</v>
      </c>
      <c r="H11162">
        <v>250522</v>
      </c>
      <c r="I11162">
        <v>4380</v>
      </c>
      <c r="J11162" t="s">
        <v>211</v>
      </c>
      <c r="K11162">
        <v>146.33000000000001</v>
      </c>
      <c r="L11162">
        <v>29.73</v>
      </c>
      <c r="M11162">
        <v>59501</v>
      </c>
      <c r="N11162" t="s">
        <v>62</v>
      </c>
      <c r="O11162">
        <v>250613</v>
      </c>
      <c r="P11162">
        <v>116.6</v>
      </c>
    </row>
    <row r="11163" spans="1:16" x14ac:dyDescent="0.25">
      <c r="A11163" t="s">
        <v>3296</v>
      </c>
      <c r="B11163" t="s">
        <v>2931</v>
      </c>
      <c r="C11163">
        <v>8389</v>
      </c>
      <c r="D11163" t="str">
        <f>"71462354    "</f>
        <v xml:space="preserve">71462354    </v>
      </c>
      <c r="E11163" t="s">
        <v>616</v>
      </c>
      <c r="F11163" t="s">
        <v>617</v>
      </c>
      <c r="G11163">
        <v>70.28</v>
      </c>
      <c r="H11163">
        <v>250522</v>
      </c>
      <c r="I11163">
        <v>4380</v>
      </c>
      <c r="J11163" t="s">
        <v>211</v>
      </c>
      <c r="K11163">
        <v>70.28</v>
      </c>
      <c r="L11163">
        <v>14.28</v>
      </c>
      <c r="M11163">
        <v>17951</v>
      </c>
      <c r="N11163" t="s">
        <v>207</v>
      </c>
      <c r="O11163">
        <v>250613</v>
      </c>
      <c r="P11163">
        <v>56</v>
      </c>
    </row>
    <row r="11164" spans="1:16" x14ac:dyDescent="0.25">
      <c r="A11164" t="s">
        <v>3296</v>
      </c>
      <c r="B11164" t="s">
        <v>2931</v>
      </c>
      <c r="C11164">
        <v>8390</v>
      </c>
      <c r="D11164" t="str">
        <f>"71462350    "</f>
        <v xml:space="preserve">71462350    </v>
      </c>
      <c r="E11164" t="s">
        <v>616</v>
      </c>
      <c r="F11164" t="s">
        <v>617</v>
      </c>
      <c r="G11164">
        <v>105.17</v>
      </c>
      <c r="H11164">
        <v>250522</v>
      </c>
      <c r="I11164">
        <v>4380</v>
      </c>
      <c r="J11164" t="s">
        <v>211</v>
      </c>
      <c r="K11164">
        <v>105.17</v>
      </c>
      <c r="L11164">
        <v>21.37</v>
      </c>
      <c r="M11164">
        <v>49501</v>
      </c>
      <c r="N11164" t="s">
        <v>110</v>
      </c>
      <c r="O11164">
        <v>250613</v>
      </c>
      <c r="P11164">
        <v>83.8</v>
      </c>
    </row>
    <row r="11165" spans="1:16" x14ac:dyDescent="0.25">
      <c r="A11165" t="s">
        <v>3296</v>
      </c>
      <c r="B11165" t="s">
        <v>2931</v>
      </c>
      <c r="C11165">
        <v>8410</v>
      </c>
      <c r="D11165" t="str">
        <f>"71462349    "</f>
        <v xml:space="preserve">71462349    </v>
      </c>
      <c r="E11165" t="s">
        <v>616</v>
      </c>
      <c r="F11165" t="s">
        <v>617</v>
      </c>
      <c r="G11165">
        <v>20.079999999999998</v>
      </c>
      <c r="H11165">
        <v>250522</v>
      </c>
      <c r="I11165">
        <v>4380</v>
      </c>
      <c r="J11165" t="s">
        <v>211</v>
      </c>
      <c r="K11165">
        <v>20.079999999999998</v>
      </c>
      <c r="L11165">
        <v>4.08</v>
      </c>
      <c r="M11165">
        <v>17951</v>
      </c>
      <c r="N11165" t="s">
        <v>207</v>
      </c>
      <c r="O11165">
        <v>250613</v>
      </c>
      <c r="P11165">
        <v>16</v>
      </c>
    </row>
    <row r="11166" spans="1:16" x14ac:dyDescent="0.25">
      <c r="A11166" t="s">
        <v>3296</v>
      </c>
      <c r="B11166" t="s">
        <v>2931</v>
      </c>
      <c r="C11166">
        <v>8414</v>
      </c>
      <c r="D11166" t="str">
        <f>"71462346    "</f>
        <v xml:space="preserve">71462346    </v>
      </c>
      <c r="E11166" t="s">
        <v>616</v>
      </c>
      <c r="F11166" t="s">
        <v>617</v>
      </c>
      <c r="G11166">
        <v>50.2</v>
      </c>
      <c r="H11166">
        <v>250522</v>
      </c>
      <c r="I11166">
        <v>4380</v>
      </c>
      <c r="J11166" t="s">
        <v>211</v>
      </c>
      <c r="K11166">
        <v>58.48</v>
      </c>
      <c r="L11166">
        <v>10.199999999999999</v>
      </c>
      <c r="M11166">
        <v>17956</v>
      </c>
      <c r="N11166" t="s">
        <v>170</v>
      </c>
      <c r="O11166">
        <v>250613</v>
      </c>
      <c r="P11166">
        <v>40</v>
      </c>
    </row>
    <row r="11167" spans="1:16" x14ac:dyDescent="0.25">
      <c r="A11167" t="s">
        <v>3296</v>
      </c>
      <c r="B11167" t="s">
        <v>2931</v>
      </c>
      <c r="C11167">
        <v>8416</v>
      </c>
      <c r="D11167" t="str">
        <f>"71462342    "</f>
        <v xml:space="preserve">71462342    </v>
      </c>
      <c r="E11167" t="s">
        <v>616</v>
      </c>
      <c r="F11167" t="s">
        <v>617</v>
      </c>
      <c r="G11167">
        <v>20.079999999999998</v>
      </c>
      <c r="H11167">
        <v>250522</v>
      </c>
      <c r="I11167">
        <v>4380</v>
      </c>
      <c r="J11167" t="s">
        <v>211</v>
      </c>
      <c r="K11167">
        <v>20.079999999999998</v>
      </c>
      <c r="L11167">
        <v>4.08</v>
      </c>
      <c r="M11167">
        <v>17951</v>
      </c>
      <c r="N11167" t="s">
        <v>207</v>
      </c>
      <c r="O11167">
        <v>250613</v>
      </c>
      <c r="P11167">
        <v>16</v>
      </c>
    </row>
    <row r="11168" spans="1:16" x14ac:dyDescent="0.25">
      <c r="A11168" t="s">
        <v>3296</v>
      </c>
      <c r="B11168" t="s">
        <v>2931</v>
      </c>
      <c r="C11168">
        <v>8417</v>
      </c>
      <c r="D11168" t="str">
        <f>"71462347    "</f>
        <v xml:space="preserve">71462347    </v>
      </c>
      <c r="E11168" t="s">
        <v>616</v>
      </c>
      <c r="F11168" t="s">
        <v>617</v>
      </c>
      <c r="G11168">
        <v>60.74</v>
      </c>
      <c r="H11168">
        <v>250522</v>
      </c>
      <c r="I11168">
        <v>4380</v>
      </c>
      <c r="J11168" t="s">
        <v>211</v>
      </c>
      <c r="K11168">
        <v>728.9</v>
      </c>
      <c r="L11168">
        <v>12.34</v>
      </c>
      <c r="M11168">
        <v>13540</v>
      </c>
      <c r="N11168" t="s">
        <v>131</v>
      </c>
      <c r="O11168">
        <v>250613</v>
      </c>
      <c r="P11168">
        <v>48.4</v>
      </c>
    </row>
    <row r="11169" spans="1:17" x14ac:dyDescent="0.25">
      <c r="A11169" t="s">
        <v>3296</v>
      </c>
      <c r="B11169" t="s">
        <v>2931</v>
      </c>
      <c r="C11169">
        <v>8417</v>
      </c>
      <c r="D11169" t="str">
        <f>"71462347    "</f>
        <v xml:space="preserve">71462347    </v>
      </c>
      <c r="E11169" t="s">
        <v>616</v>
      </c>
      <c r="F11169" t="s">
        <v>617</v>
      </c>
      <c r="G11169">
        <v>491.46</v>
      </c>
      <c r="H11169">
        <v>250522</v>
      </c>
      <c r="I11169">
        <v>4380</v>
      </c>
      <c r="J11169" t="s">
        <v>211</v>
      </c>
      <c r="K11169">
        <v>728.9</v>
      </c>
      <c r="L11169">
        <v>99.86</v>
      </c>
      <c r="M11169">
        <v>17950</v>
      </c>
      <c r="N11169" t="s">
        <v>132</v>
      </c>
      <c r="O11169">
        <v>250613</v>
      </c>
      <c r="P11169">
        <v>391.6</v>
      </c>
    </row>
    <row r="11170" spans="1:17" x14ac:dyDescent="0.25">
      <c r="A11170" t="s">
        <v>3296</v>
      </c>
      <c r="B11170" t="s">
        <v>2931</v>
      </c>
      <c r="C11170">
        <v>8421</v>
      </c>
      <c r="D11170" t="str">
        <f>"71462343    "</f>
        <v xml:space="preserve">71462343    </v>
      </c>
      <c r="E11170" t="s">
        <v>616</v>
      </c>
      <c r="F11170" t="s">
        <v>617</v>
      </c>
      <c r="G11170">
        <v>57.98</v>
      </c>
      <c r="H11170">
        <v>250522</v>
      </c>
      <c r="I11170">
        <v>4380</v>
      </c>
      <c r="J11170" t="s">
        <v>211</v>
      </c>
      <c r="K11170">
        <v>165.66</v>
      </c>
      <c r="L11170">
        <v>11.78</v>
      </c>
      <c r="M11170">
        <v>59502</v>
      </c>
      <c r="N11170" t="s">
        <v>63</v>
      </c>
      <c r="O11170">
        <v>250613</v>
      </c>
      <c r="P11170">
        <v>46.2</v>
      </c>
    </row>
    <row r="11171" spans="1:17" x14ac:dyDescent="0.25">
      <c r="A11171" t="s">
        <v>3296</v>
      </c>
      <c r="B11171" t="s">
        <v>2931</v>
      </c>
      <c r="C11171">
        <v>8421</v>
      </c>
      <c r="D11171" t="str">
        <f>"71462343    "</f>
        <v xml:space="preserve">71462343    </v>
      </c>
      <c r="E11171" t="s">
        <v>616</v>
      </c>
      <c r="F11171" t="s">
        <v>617</v>
      </c>
      <c r="G11171">
        <v>107.68</v>
      </c>
      <c r="H11171">
        <v>250522</v>
      </c>
      <c r="I11171">
        <v>4380</v>
      </c>
      <c r="J11171" t="s">
        <v>211</v>
      </c>
      <c r="K11171">
        <v>165.66</v>
      </c>
      <c r="L11171">
        <v>21.88</v>
      </c>
      <c r="M11171">
        <v>59802</v>
      </c>
      <c r="N11171" t="s">
        <v>195</v>
      </c>
      <c r="O11171">
        <v>250613</v>
      </c>
      <c r="P11171">
        <v>85.8</v>
      </c>
    </row>
    <row r="11172" spans="1:17" x14ac:dyDescent="0.25">
      <c r="A11172" t="s">
        <v>3296</v>
      </c>
      <c r="B11172" t="s">
        <v>2931</v>
      </c>
      <c r="C11172">
        <v>8423</v>
      </c>
      <c r="D11172" t="str">
        <f>"71462344    "</f>
        <v xml:space="preserve">71462344    </v>
      </c>
      <c r="E11172" t="s">
        <v>616</v>
      </c>
      <c r="F11172" t="s">
        <v>617</v>
      </c>
      <c r="G11172">
        <v>5.0199999999999996</v>
      </c>
      <c r="H11172">
        <v>250522</v>
      </c>
      <c r="I11172">
        <v>4380</v>
      </c>
      <c r="J11172" t="s">
        <v>211</v>
      </c>
      <c r="K11172">
        <v>190.01</v>
      </c>
      <c r="L11172">
        <v>1.02</v>
      </c>
      <c r="M11172">
        <v>17951</v>
      </c>
      <c r="N11172" t="s">
        <v>207</v>
      </c>
      <c r="O11172">
        <v>250613</v>
      </c>
      <c r="P11172">
        <v>4</v>
      </c>
    </row>
    <row r="11173" spans="1:17" x14ac:dyDescent="0.25">
      <c r="A11173" t="s">
        <v>3296</v>
      </c>
      <c r="B11173" t="s">
        <v>2931</v>
      </c>
      <c r="C11173">
        <v>8425</v>
      </c>
      <c r="D11173" t="str">
        <f>"71462351    "</f>
        <v xml:space="preserve">71462351    </v>
      </c>
      <c r="E11173" t="s">
        <v>616</v>
      </c>
      <c r="F11173" t="s">
        <v>617</v>
      </c>
      <c r="G11173">
        <v>30.12</v>
      </c>
      <c r="H11173">
        <v>250522</v>
      </c>
      <c r="I11173">
        <v>4380</v>
      </c>
      <c r="J11173" t="s">
        <v>211</v>
      </c>
      <c r="K11173">
        <v>49.45</v>
      </c>
      <c r="L11173">
        <v>6.12</v>
      </c>
      <c r="M11173">
        <v>17956</v>
      </c>
      <c r="N11173" t="s">
        <v>170</v>
      </c>
      <c r="O11173">
        <v>250613</v>
      </c>
      <c r="P11173">
        <v>24</v>
      </c>
    </row>
    <row r="11174" spans="1:17" x14ac:dyDescent="0.25">
      <c r="A11174" t="s">
        <v>3296</v>
      </c>
      <c r="B11174" t="s">
        <v>2931</v>
      </c>
      <c r="C11174">
        <v>8427</v>
      </c>
      <c r="D11174" t="str">
        <f>"71462341    "</f>
        <v xml:space="preserve">71462341    </v>
      </c>
      <c r="E11174" t="s">
        <v>616</v>
      </c>
      <c r="F11174" t="s">
        <v>617</v>
      </c>
      <c r="G11174">
        <v>50.2</v>
      </c>
      <c r="H11174">
        <v>250522</v>
      </c>
      <c r="I11174">
        <v>4380</v>
      </c>
      <c r="J11174" t="s">
        <v>211</v>
      </c>
      <c r="K11174">
        <v>50.2</v>
      </c>
      <c r="L11174">
        <v>10.199999999999999</v>
      </c>
      <c r="M11174">
        <v>17951</v>
      </c>
      <c r="N11174" t="s">
        <v>207</v>
      </c>
      <c r="O11174">
        <v>250613</v>
      </c>
      <c r="P11174">
        <v>40</v>
      </c>
    </row>
    <row r="11175" spans="1:17" x14ac:dyDescent="0.25">
      <c r="A11175" t="s">
        <v>3296</v>
      </c>
      <c r="B11175" t="s">
        <v>2931</v>
      </c>
      <c r="C11175">
        <v>8428</v>
      </c>
      <c r="D11175" t="str">
        <f>"71462353    "</f>
        <v xml:space="preserve">71462353    </v>
      </c>
      <c r="E11175" t="s">
        <v>616</v>
      </c>
      <c r="F11175" t="s">
        <v>617</v>
      </c>
      <c r="G11175">
        <v>86.09</v>
      </c>
      <c r="H11175">
        <v>250522</v>
      </c>
      <c r="I11175">
        <v>4380</v>
      </c>
      <c r="J11175" t="s">
        <v>211</v>
      </c>
      <c r="K11175">
        <v>86.09</v>
      </c>
      <c r="L11175">
        <v>17.489999999999998</v>
      </c>
      <c r="M11175">
        <v>59504</v>
      </c>
      <c r="N11175" t="s">
        <v>193</v>
      </c>
      <c r="O11175">
        <v>250613</v>
      </c>
      <c r="P11175">
        <v>68.599999999999994</v>
      </c>
    </row>
    <row r="11176" spans="1:17" x14ac:dyDescent="0.25">
      <c r="A11176" t="s">
        <v>3296</v>
      </c>
      <c r="B11176" t="s">
        <v>2931</v>
      </c>
      <c r="C11176">
        <v>8441</v>
      </c>
      <c r="D11176" t="str">
        <f>"71462288    "</f>
        <v xml:space="preserve">71462288    </v>
      </c>
      <c r="E11176" t="s">
        <v>616</v>
      </c>
      <c r="F11176" t="s">
        <v>617</v>
      </c>
      <c r="G11176">
        <v>11.04</v>
      </c>
      <c r="H11176">
        <v>250522</v>
      </c>
      <c r="I11176">
        <v>4380</v>
      </c>
      <c r="J11176" t="s">
        <v>211</v>
      </c>
      <c r="K11176">
        <v>11.04</v>
      </c>
      <c r="L11176">
        <v>2.2400000000000002</v>
      </c>
      <c r="M11176">
        <v>59503</v>
      </c>
      <c r="N11176" t="s">
        <v>766</v>
      </c>
      <c r="O11176">
        <v>250613</v>
      </c>
      <c r="P11176">
        <v>8.8000000000000007</v>
      </c>
    </row>
    <row r="11177" spans="1:17" s="1" customFormat="1" x14ac:dyDescent="0.25">
      <c r="A11177" t="s">
        <v>3296</v>
      </c>
      <c r="B11177" t="s">
        <v>2931</v>
      </c>
      <c r="C11177">
        <v>8442</v>
      </c>
      <c r="D11177" t="str">
        <f>"71462352    "</f>
        <v xml:space="preserve">71462352    </v>
      </c>
      <c r="E11177" t="s">
        <v>616</v>
      </c>
      <c r="F11177" t="s">
        <v>617</v>
      </c>
      <c r="G11177">
        <v>65.260000000000005</v>
      </c>
      <c r="H11177">
        <v>250522</v>
      </c>
      <c r="I11177">
        <v>4380</v>
      </c>
      <c r="J11177" t="s">
        <v>211</v>
      </c>
      <c r="K11177">
        <v>79.069999999999993</v>
      </c>
      <c r="L11177">
        <v>13.26</v>
      </c>
      <c r="M11177">
        <v>17956</v>
      </c>
      <c r="N11177" t="s">
        <v>170</v>
      </c>
      <c r="O11177">
        <v>250613</v>
      </c>
      <c r="P11177">
        <v>52</v>
      </c>
      <c r="Q11177"/>
    </row>
    <row r="11178" spans="1:17" s="1" customFormat="1" x14ac:dyDescent="0.25">
      <c r="A11178" t="s">
        <v>3296</v>
      </c>
      <c r="B11178" t="s">
        <v>2931</v>
      </c>
      <c r="C11178">
        <v>8550</v>
      </c>
      <c r="D11178" t="str">
        <f>"71502575    "</f>
        <v xml:space="preserve">71502575    </v>
      </c>
      <c r="E11178" t="s">
        <v>616</v>
      </c>
      <c r="F11178" t="s">
        <v>617</v>
      </c>
      <c r="G11178">
        <v>34.840000000000003</v>
      </c>
      <c r="H11178">
        <v>250531</v>
      </c>
      <c r="I11178">
        <v>4380</v>
      </c>
      <c r="J11178" t="s">
        <v>211</v>
      </c>
      <c r="K11178">
        <v>34.840000000000003</v>
      </c>
      <c r="L11178">
        <v>7.08</v>
      </c>
      <c r="M11178">
        <v>59503</v>
      </c>
      <c r="N11178" t="s">
        <v>766</v>
      </c>
      <c r="O11178">
        <v>250617</v>
      </c>
      <c r="P11178">
        <v>27.76</v>
      </c>
      <c r="Q11178"/>
    </row>
    <row r="11179" spans="1:17" s="1" customFormat="1" x14ac:dyDescent="0.25">
      <c r="A11179" t="s">
        <v>3296</v>
      </c>
      <c r="B11179" t="s">
        <v>2931</v>
      </c>
      <c r="C11179">
        <v>8569</v>
      </c>
      <c r="D11179" t="str">
        <f>"71502385    "</f>
        <v xml:space="preserve">71502385    </v>
      </c>
      <c r="E11179" t="s">
        <v>616</v>
      </c>
      <c r="F11179" t="s">
        <v>617</v>
      </c>
      <c r="G11179">
        <v>518.82000000000005</v>
      </c>
      <c r="H11179">
        <v>250531</v>
      </c>
      <c r="I11179">
        <v>4380</v>
      </c>
      <c r="J11179" t="s">
        <v>211</v>
      </c>
      <c r="K11179">
        <v>518.82000000000005</v>
      </c>
      <c r="L11179">
        <v>105.42</v>
      </c>
      <c r="M11179">
        <v>17951</v>
      </c>
      <c r="N11179" t="s">
        <v>207</v>
      </c>
      <c r="O11179">
        <v>250617</v>
      </c>
      <c r="P11179">
        <v>413.4</v>
      </c>
      <c r="Q11179"/>
    </row>
    <row r="11180" spans="1:17" s="1" customFormat="1" x14ac:dyDescent="0.25">
      <c r="A11180" t="s">
        <v>3296</v>
      </c>
      <c r="B11180" t="s">
        <v>2931</v>
      </c>
      <c r="C11180">
        <v>8690</v>
      </c>
      <c r="D11180" t="str">
        <f>"71500166    "</f>
        <v xml:space="preserve">71500166    </v>
      </c>
      <c r="E11180" t="s">
        <v>616</v>
      </c>
      <c r="F11180" t="s">
        <v>617</v>
      </c>
      <c r="G11180">
        <v>151.1</v>
      </c>
      <c r="H11180">
        <v>250530</v>
      </c>
      <c r="I11180">
        <v>4380</v>
      </c>
      <c r="J11180" t="s">
        <v>211</v>
      </c>
      <c r="K11180">
        <v>151.1</v>
      </c>
      <c r="L11180">
        <v>30.7</v>
      </c>
      <c r="M11180">
        <v>59505</v>
      </c>
      <c r="N11180" t="s">
        <v>194</v>
      </c>
      <c r="O11180">
        <v>250617</v>
      </c>
      <c r="P11180">
        <v>120.4</v>
      </c>
      <c r="Q11180"/>
    </row>
    <row r="11181" spans="1:17" s="1" customFormat="1" x14ac:dyDescent="0.25">
      <c r="A11181" t="s">
        <v>3296</v>
      </c>
      <c r="B11181" t="s">
        <v>2931</v>
      </c>
      <c r="C11181">
        <v>8692</v>
      </c>
      <c r="D11181" t="str">
        <f>"71500898    "</f>
        <v xml:space="preserve">71500898    </v>
      </c>
      <c r="E11181" t="s">
        <v>616</v>
      </c>
      <c r="F11181" t="s">
        <v>617</v>
      </c>
      <c r="G11181">
        <v>147.34</v>
      </c>
      <c r="H11181">
        <v>250530</v>
      </c>
      <c r="I11181">
        <v>4380</v>
      </c>
      <c r="J11181" t="s">
        <v>211</v>
      </c>
      <c r="K11181">
        <v>147.34</v>
      </c>
      <c r="L11181">
        <v>0</v>
      </c>
      <c r="M11181">
        <v>59504</v>
      </c>
      <c r="N11181" t="s">
        <v>193</v>
      </c>
      <c r="O11181">
        <v>250617</v>
      </c>
      <c r="P11181">
        <v>147.34</v>
      </c>
      <c r="Q11181"/>
    </row>
    <row r="11182" spans="1:17" s="1" customFormat="1" x14ac:dyDescent="0.25">
      <c r="A11182" t="s">
        <v>3296</v>
      </c>
      <c r="B11182" t="s">
        <v>2931</v>
      </c>
      <c r="C11182">
        <v>8694</v>
      </c>
      <c r="D11182" t="str">
        <f>"71500167    "</f>
        <v xml:space="preserve">71500167    </v>
      </c>
      <c r="E11182" t="s">
        <v>616</v>
      </c>
      <c r="F11182" t="s">
        <v>617</v>
      </c>
      <c r="G11182">
        <v>33.380000000000003</v>
      </c>
      <c r="H11182">
        <v>250530</v>
      </c>
      <c r="I11182">
        <v>4380</v>
      </c>
      <c r="J11182" t="s">
        <v>211</v>
      </c>
      <c r="K11182">
        <v>100.15</v>
      </c>
      <c r="L11182">
        <v>6.78</v>
      </c>
      <c r="M11182">
        <v>11401</v>
      </c>
      <c r="N11182" t="s">
        <v>91</v>
      </c>
      <c r="O11182">
        <v>250617</v>
      </c>
      <c r="P11182">
        <v>26.6</v>
      </c>
      <c r="Q11182"/>
    </row>
    <row r="11183" spans="1:17" s="1" customFormat="1" x14ac:dyDescent="0.25">
      <c r="A11183" t="s">
        <v>3296</v>
      </c>
      <c r="B11183" t="s">
        <v>2931</v>
      </c>
      <c r="C11183">
        <v>8694</v>
      </c>
      <c r="D11183" t="str">
        <f>"71500167    "</f>
        <v xml:space="preserve">71500167    </v>
      </c>
      <c r="E11183" t="s">
        <v>616</v>
      </c>
      <c r="F11183" t="s">
        <v>617</v>
      </c>
      <c r="G11183">
        <v>66.77</v>
      </c>
      <c r="H11183">
        <v>250530</v>
      </c>
      <c r="I11183">
        <v>4380</v>
      </c>
      <c r="J11183" t="s">
        <v>211</v>
      </c>
      <c r="K11183">
        <v>100.15</v>
      </c>
      <c r="L11183">
        <v>13.57</v>
      </c>
      <c r="M11183">
        <v>14952</v>
      </c>
      <c r="N11183" t="s">
        <v>213</v>
      </c>
      <c r="O11183">
        <v>250617</v>
      </c>
      <c r="P11183">
        <v>53.2</v>
      </c>
      <c r="Q11183"/>
    </row>
    <row r="11184" spans="1:17" s="1" customFormat="1" x14ac:dyDescent="0.25">
      <c r="A11184" t="s">
        <v>3296</v>
      </c>
      <c r="B11184" t="s">
        <v>2931</v>
      </c>
      <c r="C11184">
        <v>8928</v>
      </c>
      <c r="D11184" t="str">
        <f>"71503191    "</f>
        <v xml:space="preserve">71503191    </v>
      </c>
      <c r="E11184" t="s">
        <v>616</v>
      </c>
      <c r="F11184" t="s">
        <v>617</v>
      </c>
      <c r="G11184">
        <v>12.55</v>
      </c>
      <c r="H11184">
        <v>250531</v>
      </c>
      <c r="I11184">
        <v>4380</v>
      </c>
      <c r="J11184" t="s">
        <v>211</v>
      </c>
      <c r="K11184">
        <v>12.55</v>
      </c>
      <c r="L11184">
        <v>2.5499999999999998</v>
      </c>
      <c r="M11184">
        <v>13841</v>
      </c>
      <c r="N11184" t="s">
        <v>178</v>
      </c>
      <c r="O11184">
        <v>250619</v>
      </c>
      <c r="P11184">
        <v>10</v>
      </c>
      <c r="Q11184"/>
    </row>
    <row r="11185" spans="1:17" s="1" customFormat="1" x14ac:dyDescent="0.25">
      <c r="A11185" t="s">
        <v>3296</v>
      </c>
      <c r="B11185" t="s">
        <v>2931</v>
      </c>
      <c r="C11185">
        <v>8929</v>
      </c>
      <c r="D11185" t="str">
        <f>"71502953    "</f>
        <v xml:space="preserve">71502953    </v>
      </c>
      <c r="E11185" t="s">
        <v>616</v>
      </c>
      <c r="F11185" t="s">
        <v>617</v>
      </c>
      <c r="G11185">
        <v>90.46</v>
      </c>
      <c r="H11185">
        <v>250531</v>
      </c>
      <c r="I11185">
        <v>4380</v>
      </c>
      <c r="J11185" t="s">
        <v>211</v>
      </c>
      <c r="K11185">
        <v>90.46</v>
      </c>
      <c r="L11185">
        <v>18.38</v>
      </c>
      <c r="M11185">
        <v>17952</v>
      </c>
      <c r="N11185" t="s">
        <v>157</v>
      </c>
      <c r="O11185">
        <v>250619</v>
      </c>
      <c r="P11185">
        <v>72.08</v>
      </c>
      <c r="Q11185"/>
    </row>
    <row r="11186" spans="1:17" s="1" customFormat="1" x14ac:dyDescent="0.25">
      <c r="A11186" t="s">
        <v>3296</v>
      </c>
      <c r="B11186" t="s">
        <v>2931</v>
      </c>
      <c r="C11186">
        <v>8930</v>
      </c>
      <c r="D11186" t="str">
        <f>"71502570    "</f>
        <v xml:space="preserve">71502570    </v>
      </c>
      <c r="E11186" t="s">
        <v>616</v>
      </c>
      <c r="F11186" t="s">
        <v>617</v>
      </c>
      <c r="G11186">
        <v>84.14</v>
      </c>
      <c r="H11186">
        <v>250531</v>
      </c>
      <c r="I11186">
        <v>4380</v>
      </c>
      <c r="J11186" t="s">
        <v>211</v>
      </c>
      <c r="K11186">
        <v>84.14</v>
      </c>
      <c r="L11186">
        <v>17.100000000000001</v>
      </c>
      <c r="M11186">
        <v>59504</v>
      </c>
      <c r="N11186" t="s">
        <v>193</v>
      </c>
      <c r="O11186">
        <v>250619</v>
      </c>
      <c r="P11186">
        <v>67.040000000000006</v>
      </c>
      <c r="Q11186"/>
    </row>
    <row r="11187" spans="1:17" s="1" customFormat="1" x14ac:dyDescent="0.25">
      <c r="A11187" t="s">
        <v>3296</v>
      </c>
      <c r="B11187" t="s">
        <v>2931</v>
      </c>
      <c r="C11187">
        <v>8932</v>
      </c>
      <c r="D11187" t="str">
        <f>"71502576    "</f>
        <v xml:space="preserve">71502576    </v>
      </c>
      <c r="E11187" t="s">
        <v>616</v>
      </c>
      <c r="F11187" t="s">
        <v>617</v>
      </c>
      <c r="G11187">
        <v>291.87</v>
      </c>
      <c r="H11187">
        <v>250531</v>
      </c>
      <c r="I11187">
        <v>4380</v>
      </c>
      <c r="J11187" t="s">
        <v>211</v>
      </c>
      <c r="K11187">
        <v>356.87</v>
      </c>
      <c r="L11187">
        <v>59.3</v>
      </c>
      <c r="M11187">
        <v>49501</v>
      </c>
      <c r="N11187" t="s">
        <v>110</v>
      </c>
      <c r="O11187">
        <v>250619</v>
      </c>
      <c r="P11187">
        <v>232.57</v>
      </c>
      <c r="Q11187"/>
    </row>
    <row r="11188" spans="1:17" s="1" customFormat="1" x14ac:dyDescent="0.25">
      <c r="A11188" t="s">
        <v>3296</v>
      </c>
      <c r="B11188" t="s">
        <v>2931</v>
      </c>
      <c r="C11188">
        <v>8932</v>
      </c>
      <c r="D11188" t="str">
        <f>"71502576    "</f>
        <v xml:space="preserve">71502576    </v>
      </c>
      <c r="E11188" t="s">
        <v>616</v>
      </c>
      <c r="F11188" t="s">
        <v>617</v>
      </c>
      <c r="G11188">
        <v>65</v>
      </c>
      <c r="H11188">
        <v>250531</v>
      </c>
      <c r="I11188">
        <v>4380</v>
      </c>
      <c r="J11188" t="s">
        <v>211</v>
      </c>
      <c r="K11188">
        <v>356.87</v>
      </c>
      <c r="L11188">
        <v>13.21</v>
      </c>
      <c r="M11188">
        <v>49503</v>
      </c>
      <c r="N11188" t="s">
        <v>267</v>
      </c>
      <c r="O11188">
        <v>250619</v>
      </c>
      <c r="P11188">
        <v>51.79</v>
      </c>
      <c r="Q11188"/>
    </row>
    <row r="11189" spans="1:17" s="1" customFormat="1" x14ac:dyDescent="0.25">
      <c r="A11189" t="s">
        <v>3296</v>
      </c>
      <c r="B11189" t="s">
        <v>2931</v>
      </c>
      <c r="C11189">
        <v>8933</v>
      </c>
      <c r="D11189" t="str">
        <f>"71502389    "</f>
        <v xml:space="preserve">71502389    </v>
      </c>
      <c r="E11189" t="s">
        <v>616</v>
      </c>
      <c r="F11189" t="s">
        <v>617</v>
      </c>
      <c r="G11189">
        <v>56.94</v>
      </c>
      <c r="H11189">
        <v>250531</v>
      </c>
      <c r="I11189">
        <v>4380</v>
      </c>
      <c r="J11189" t="s">
        <v>211</v>
      </c>
      <c r="K11189">
        <v>337.11</v>
      </c>
      <c r="L11189">
        <v>11.57</v>
      </c>
      <c r="M11189">
        <v>13540</v>
      </c>
      <c r="N11189" t="s">
        <v>131</v>
      </c>
      <c r="O11189">
        <v>250619</v>
      </c>
      <c r="P11189">
        <v>45.37</v>
      </c>
      <c r="Q11189"/>
    </row>
    <row r="11190" spans="1:17" s="1" customFormat="1" x14ac:dyDescent="0.25">
      <c r="A11190" t="s">
        <v>3296</v>
      </c>
      <c r="B11190" t="s">
        <v>2931</v>
      </c>
      <c r="C11190">
        <v>8933</v>
      </c>
      <c r="D11190" t="str">
        <f>"71502389    "</f>
        <v xml:space="preserve">71502389    </v>
      </c>
      <c r="E11190" t="s">
        <v>616</v>
      </c>
      <c r="F11190" t="s">
        <v>617</v>
      </c>
      <c r="G11190">
        <v>170.84</v>
      </c>
      <c r="H11190">
        <v>250531</v>
      </c>
      <c r="I11190">
        <v>4380</v>
      </c>
      <c r="J11190" t="s">
        <v>211</v>
      </c>
      <c r="K11190">
        <v>337.11</v>
      </c>
      <c r="L11190">
        <v>34.71</v>
      </c>
      <c r="M11190">
        <v>17950</v>
      </c>
      <c r="N11190" t="s">
        <v>132</v>
      </c>
      <c r="O11190">
        <v>250619</v>
      </c>
      <c r="P11190">
        <v>136.13</v>
      </c>
      <c r="Q11190"/>
    </row>
    <row r="11191" spans="1:17" s="1" customFormat="1" x14ac:dyDescent="0.25">
      <c r="A11191" t="s">
        <v>3296</v>
      </c>
      <c r="B11191" t="s">
        <v>2931</v>
      </c>
      <c r="C11191">
        <v>8933</v>
      </c>
      <c r="D11191" t="str">
        <f>"71502389    "</f>
        <v xml:space="preserve">71502389    </v>
      </c>
      <c r="E11191" t="s">
        <v>616</v>
      </c>
      <c r="F11191" t="s">
        <v>617</v>
      </c>
      <c r="G11191">
        <v>109.33</v>
      </c>
      <c r="H11191">
        <v>250531</v>
      </c>
      <c r="I11191">
        <v>4380</v>
      </c>
      <c r="J11191" t="s">
        <v>211</v>
      </c>
      <c r="K11191">
        <v>337.11</v>
      </c>
      <c r="L11191">
        <v>22.21</v>
      </c>
      <c r="M11191">
        <v>17956</v>
      </c>
      <c r="N11191" t="s">
        <v>170</v>
      </c>
      <c r="O11191">
        <v>250619</v>
      </c>
      <c r="P11191">
        <v>87.12</v>
      </c>
      <c r="Q11191"/>
    </row>
    <row r="11192" spans="1:17" s="1" customFormat="1" x14ac:dyDescent="0.25">
      <c r="A11192" t="s">
        <v>3296</v>
      </c>
      <c r="B11192" t="s">
        <v>2931</v>
      </c>
      <c r="C11192">
        <v>8936</v>
      </c>
      <c r="D11192" t="str">
        <f>"71502569    "</f>
        <v xml:space="preserve">71502569    </v>
      </c>
      <c r="E11192" t="s">
        <v>616</v>
      </c>
      <c r="F11192" t="s">
        <v>617</v>
      </c>
      <c r="G11192">
        <v>122.96</v>
      </c>
      <c r="H11192">
        <v>250531</v>
      </c>
      <c r="I11192">
        <v>4380</v>
      </c>
      <c r="J11192" t="s">
        <v>211</v>
      </c>
      <c r="K11192">
        <v>201.6</v>
      </c>
      <c r="L11192">
        <v>24.98</v>
      </c>
      <c r="M11192">
        <v>59502</v>
      </c>
      <c r="N11192" t="s">
        <v>63</v>
      </c>
      <c r="O11192">
        <v>250619</v>
      </c>
      <c r="P11192">
        <v>97.98</v>
      </c>
      <c r="Q11192"/>
    </row>
    <row r="11193" spans="1:17" s="1" customFormat="1" x14ac:dyDescent="0.25">
      <c r="A11193" t="s">
        <v>3296</v>
      </c>
      <c r="B11193" t="s">
        <v>2931</v>
      </c>
      <c r="C11193">
        <v>8936</v>
      </c>
      <c r="D11193" t="str">
        <f>"71502569    "</f>
        <v xml:space="preserve">71502569    </v>
      </c>
      <c r="E11193" t="s">
        <v>616</v>
      </c>
      <c r="F11193" t="s">
        <v>617</v>
      </c>
      <c r="G11193">
        <v>78.64</v>
      </c>
      <c r="H11193">
        <v>250531</v>
      </c>
      <c r="I11193">
        <v>4380</v>
      </c>
      <c r="J11193" t="s">
        <v>211</v>
      </c>
      <c r="K11193">
        <v>201.6</v>
      </c>
      <c r="L11193">
        <v>15.98</v>
      </c>
      <c r="M11193">
        <v>59802</v>
      </c>
      <c r="N11193" t="s">
        <v>195</v>
      </c>
      <c r="O11193">
        <v>250619</v>
      </c>
      <c r="P11193">
        <v>62.66</v>
      </c>
      <c r="Q11193"/>
    </row>
    <row r="11194" spans="1:17" s="1" customFormat="1" x14ac:dyDescent="0.25">
      <c r="A11194" t="s">
        <v>3296</v>
      </c>
      <c r="B11194" t="s">
        <v>2931</v>
      </c>
      <c r="C11194">
        <v>8937</v>
      </c>
      <c r="D11194" t="str">
        <f>"71502568    "</f>
        <v xml:space="preserve">71502568    </v>
      </c>
      <c r="E11194" t="s">
        <v>616</v>
      </c>
      <c r="F11194" t="s">
        <v>617</v>
      </c>
      <c r="G11194">
        <v>420.37</v>
      </c>
      <c r="H11194">
        <v>250531</v>
      </c>
      <c r="I11194">
        <v>4380</v>
      </c>
      <c r="J11194" t="s">
        <v>211</v>
      </c>
      <c r="K11194">
        <v>420.37</v>
      </c>
      <c r="L11194">
        <v>85.41</v>
      </c>
      <c r="M11194">
        <v>59501</v>
      </c>
      <c r="N11194" t="s">
        <v>62</v>
      </c>
      <c r="O11194">
        <v>250619</v>
      </c>
      <c r="P11194">
        <v>334.96</v>
      </c>
      <c r="Q11194"/>
    </row>
    <row r="11195" spans="1:17" s="1" customFormat="1" x14ac:dyDescent="0.25">
      <c r="A11195" t="s">
        <v>3296</v>
      </c>
      <c r="B11195" t="s">
        <v>2931</v>
      </c>
      <c r="C11195">
        <v>8938</v>
      </c>
      <c r="D11195" t="str">
        <f>"71502573    "</f>
        <v xml:space="preserve">71502573    </v>
      </c>
      <c r="E11195" t="s">
        <v>616</v>
      </c>
      <c r="F11195" t="s">
        <v>617</v>
      </c>
      <c r="G11195">
        <v>105.11</v>
      </c>
      <c r="H11195">
        <v>250531</v>
      </c>
      <c r="I11195">
        <v>4380</v>
      </c>
      <c r="J11195" t="s">
        <v>211</v>
      </c>
      <c r="K11195">
        <v>132.08000000000001</v>
      </c>
      <c r="L11195">
        <v>21.36</v>
      </c>
      <c r="M11195">
        <v>14432</v>
      </c>
      <c r="N11195" t="s">
        <v>75</v>
      </c>
      <c r="O11195">
        <v>250619</v>
      </c>
      <c r="P11195">
        <v>83.75</v>
      </c>
      <c r="Q11195"/>
    </row>
    <row r="11196" spans="1:17" s="1" customFormat="1" x14ac:dyDescent="0.25">
      <c r="A11196" t="s">
        <v>3296</v>
      </c>
      <c r="B11196" t="s">
        <v>2931</v>
      </c>
      <c r="C11196">
        <v>8938</v>
      </c>
      <c r="D11196" t="str">
        <f>"71502573    "</f>
        <v xml:space="preserve">71502573    </v>
      </c>
      <c r="E11196" t="s">
        <v>616</v>
      </c>
      <c r="F11196" t="s">
        <v>617</v>
      </c>
      <c r="G11196">
        <v>26.97</v>
      </c>
      <c r="H11196">
        <v>250531</v>
      </c>
      <c r="I11196">
        <v>4380</v>
      </c>
      <c r="J11196" t="s">
        <v>211</v>
      </c>
      <c r="K11196">
        <v>132.08000000000001</v>
      </c>
      <c r="L11196">
        <v>5.48</v>
      </c>
      <c r="M11196">
        <v>14951</v>
      </c>
      <c r="N11196" t="s">
        <v>186</v>
      </c>
      <c r="O11196">
        <v>250619</v>
      </c>
      <c r="P11196">
        <v>21.49</v>
      </c>
      <c r="Q11196"/>
    </row>
    <row r="11197" spans="1:17" s="1" customFormat="1" x14ac:dyDescent="0.25">
      <c r="A11197" t="s">
        <v>3296</v>
      </c>
      <c r="B11197" t="s">
        <v>2931</v>
      </c>
      <c r="C11197">
        <v>8940</v>
      </c>
      <c r="D11197" t="str">
        <f>"71502571    "</f>
        <v xml:space="preserve">71502571    </v>
      </c>
      <c r="E11197" t="s">
        <v>616</v>
      </c>
      <c r="F11197" t="s">
        <v>617</v>
      </c>
      <c r="G11197">
        <v>110.09</v>
      </c>
      <c r="H11197">
        <v>250531</v>
      </c>
      <c r="I11197">
        <v>4380</v>
      </c>
      <c r="J11197" t="s">
        <v>211</v>
      </c>
      <c r="K11197">
        <v>110.09</v>
      </c>
      <c r="L11197">
        <v>22.37</v>
      </c>
      <c r="M11197">
        <v>59505</v>
      </c>
      <c r="N11197" t="s">
        <v>194</v>
      </c>
      <c r="O11197">
        <v>250619</v>
      </c>
      <c r="P11197">
        <v>87.72</v>
      </c>
      <c r="Q11197"/>
    </row>
    <row r="11198" spans="1:17" s="1" customFormat="1" x14ac:dyDescent="0.25">
      <c r="A11198" t="s">
        <v>3296</v>
      </c>
      <c r="B11198" t="s">
        <v>2931</v>
      </c>
      <c r="C11198">
        <v>9219</v>
      </c>
      <c r="D11198" t="str">
        <f>"71520789    "</f>
        <v xml:space="preserve">71520789    </v>
      </c>
      <c r="E11198" t="s">
        <v>616</v>
      </c>
      <c r="F11198" t="s">
        <v>617</v>
      </c>
      <c r="G11198">
        <v>47.71</v>
      </c>
      <c r="H11198">
        <v>250619</v>
      </c>
      <c r="I11198">
        <v>4380</v>
      </c>
      <c r="J11198" t="s">
        <v>211</v>
      </c>
      <c r="K11198">
        <v>433.73</v>
      </c>
      <c r="L11198">
        <v>9.69</v>
      </c>
      <c r="M11198">
        <v>13540</v>
      </c>
      <c r="N11198" t="s">
        <v>131</v>
      </c>
      <c r="O11198">
        <v>250627</v>
      </c>
      <c r="P11198">
        <v>38.020000000000003</v>
      </c>
      <c r="Q11198"/>
    </row>
    <row r="11199" spans="1:17" s="1" customFormat="1" x14ac:dyDescent="0.25">
      <c r="A11199" t="s">
        <v>3296</v>
      </c>
      <c r="B11199" t="s">
        <v>2931</v>
      </c>
      <c r="C11199">
        <v>9219</v>
      </c>
      <c r="D11199" t="str">
        <f>"71520789    "</f>
        <v xml:space="preserve">71520789    </v>
      </c>
      <c r="E11199" t="s">
        <v>616</v>
      </c>
      <c r="F11199" t="s">
        <v>617</v>
      </c>
      <c r="G11199">
        <v>386.02</v>
      </c>
      <c r="H11199">
        <v>250619</v>
      </c>
      <c r="I11199">
        <v>4380</v>
      </c>
      <c r="J11199" t="s">
        <v>211</v>
      </c>
      <c r="K11199">
        <v>433.73</v>
      </c>
      <c r="L11199">
        <v>78.430000000000007</v>
      </c>
      <c r="M11199">
        <v>17950</v>
      </c>
      <c r="N11199" t="s">
        <v>132</v>
      </c>
      <c r="O11199">
        <v>250627</v>
      </c>
      <c r="P11199">
        <v>307.58999999999997</v>
      </c>
      <c r="Q11199"/>
    </row>
    <row r="11200" spans="1:17" s="1" customFormat="1" x14ac:dyDescent="0.25">
      <c r="A11200" t="s">
        <v>3296</v>
      </c>
      <c r="B11200" t="s">
        <v>2931</v>
      </c>
      <c r="C11200">
        <v>9220</v>
      </c>
      <c r="D11200" t="str">
        <f>"71520788    "</f>
        <v xml:space="preserve">71520788    </v>
      </c>
      <c r="E11200" t="s">
        <v>616</v>
      </c>
      <c r="F11200" t="s">
        <v>617</v>
      </c>
      <c r="G11200">
        <v>25.1</v>
      </c>
      <c r="H11200">
        <v>250619</v>
      </c>
      <c r="I11200">
        <v>4380</v>
      </c>
      <c r="J11200" t="s">
        <v>211</v>
      </c>
      <c r="K11200">
        <v>25.1</v>
      </c>
      <c r="L11200">
        <v>5.0999999999999996</v>
      </c>
      <c r="M11200">
        <v>17951</v>
      </c>
      <c r="N11200" t="s">
        <v>207</v>
      </c>
      <c r="O11200">
        <v>250627</v>
      </c>
      <c r="P11200">
        <v>20</v>
      </c>
      <c r="Q11200"/>
    </row>
    <row r="11201" spans="1:17" s="1" customFormat="1" x14ac:dyDescent="0.25">
      <c r="A11201" t="s">
        <v>3296</v>
      </c>
      <c r="B11201" t="s">
        <v>2931</v>
      </c>
      <c r="C11201">
        <v>9221</v>
      </c>
      <c r="D11201" t="str">
        <f>"71520785    "</f>
        <v xml:space="preserve">71520785    </v>
      </c>
      <c r="E11201" t="s">
        <v>616</v>
      </c>
      <c r="F11201" t="s">
        <v>617</v>
      </c>
      <c r="G11201">
        <v>35.14</v>
      </c>
      <c r="H11201">
        <v>250619</v>
      </c>
      <c r="I11201">
        <v>4380</v>
      </c>
      <c r="J11201" t="s">
        <v>211</v>
      </c>
      <c r="K11201">
        <v>35.14</v>
      </c>
      <c r="L11201">
        <v>7.14</v>
      </c>
      <c r="M11201">
        <v>17951</v>
      </c>
      <c r="N11201" t="s">
        <v>207</v>
      </c>
      <c r="O11201">
        <v>250627</v>
      </c>
      <c r="P11201">
        <v>28</v>
      </c>
      <c r="Q11201"/>
    </row>
    <row r="11202" spans="1:17" s="1" customFormat="1" x14ac:dyDescent="0.25">
      <c r="A11202" t="s">
        <v>3296</v>
      </c>
      <c r="B11202" t="s">
        <v>2931</v>
      </c>
      <c r="C11202">
        <v>9227</v>
      </c>
      <c r="D11202" t="str">
        <f>"71520778    "</f>
        <v xml:space="preserve">71520778    </v>
      </c>
      <c r="E11202" t="s">
        <v>616</v>
      </c>
      <c r="F11202" t="s">
        <v>617</v>
      </c>
      <c r="G11202">
        <v>14.5</v>
      </c>
      <c r="H11202">
        <v>250619</v>
      </c>
      <c r="I11202">
        <v>4380</v>
      </c>
      <c r="J11202" t="s">
        <v>211</v>
      </c>
      <c r="K11202">
        <v>14.5</v>
      </c>
      <c r="L11202">
        <v>2.95</v>
      </c>
      <c r="M11202">
        <v>17956</v>
      </c>
      <c r="N11202" t="s">
        <v>170</v>
      </c>
      <c r="O11202">
        <v>250627</v>
      </c>
      <c r="P11202">
        <v>11.55</v>
      </c>
      <c r="Q11202"/>
    </row>
    <row r="11203" spans="1:17" s="1" customFormat="1" x14ac:dyDescent="0.25">
      <c r="A11203" t="s">
        <v>3296</v>
      </c>
      <c r="B11203" t="s">
        <v>2931</v>
      </c>
      <c r="C11203">
        <v>9228</v>
      </c>
      <c r="D11203" t="str">
        <f>"71520779    "</f>
        <v xml:space="preserve">71520779    </v>
      </c>
      <c r="E11203" t="s">
        <v>616</v>
      </c>
      <c r="F11203" t="s">
        <v>617</v>
      </c>
      <c r="G11203">
        <v>20.079999999999998</v>
      </c>
      <c r="H11203">
        <v>250619</v>
      </c>
      <c r="I11203">
        <v>4380</v>
      </c>
      <c r="J11203" t="s">
        <v>211</v>
      </c>
      <c r="K11203">
        <v>20.079999999999998</v>
      </c>
      <c r="L11203">
        <v>4.08</v>
      </c>
      <c r="M11203">
        <v>17951</v>
      </c>
      <c r="N11203" t="s">
        <v>207</v>
      </c>
      <c r="O11203">
        <v>250627</v>
      </c>
      <c r="P11203">
        <v>16</v>
      </c>
      <c r="Q11203"/>
    </row>
    <row r="11204" spans="1:17" s="1" customFormat="1" x14ac:dyDescent="0.25">
      <c r="A11204" t="s">
        <v>3296</v>
      </c>
      <c r="B11204" t="s">
        <v>2931</v>
      </c>
      <c r="C11204">
        <v>9229</v>
      </c>
      <c r="D11204" t="str">
        <f>"71520783    "</f>
        <v xml:space="preserve">71520783    </v>
      </c>
      <c r="E11204" t="s">
        <v>616</v>
      </c>
      <c r="F11204" t="s">
        <v>617</v>
      </c>
      <c r="G11204">
        <v>73.17</v>
      </c>
      <c r="H11204">
        <v>250619</v>
      </c>
      <c r="I11204">
        <v>4380</v>
      </c>
      <c r="J11204" t="s">
        <v>211</v>
      </c>
      <c r="K11204">
        <v>73.17</v>
      </c>
      <c r="L11204">
        <v>14.87</v>
      </c>
      <c r="M11204">
        <v>59501</v>
      </c>
      <c r="N11204" t="s">
        <v>62</v>
      </c>
      <c r="O11204">
        <v>250627</v>
      </c>
      <c r="P11204">
        <v>58.3</v>
      </c>
      <c r="Q11204"/>
    </row>
    <row r="11205" spans="1:17" s="1" customFormat="1" x14ac:dyDescent="0.25">
      <c r="A11205" t="s">
        <v>3296</v>
      </c>
      <c r="B11205" t="s">
        <v>2931</v>
      </c>
      <c r="C11205">
        <v>9230</v>
      </c>
      <c r="D11205" t="str">
        <f>"71520782    "</f>
        <v xml:space="preserve">71520782    </v>
      </c>
      <c r="E11205" t="s">
        <v>616</v>
      </c>
      <c r="F11205" t="s">
        <v>617</v>
      </c>
      <c r="G11205">
        <v>32.5</v>
      </c>
      <c r="H11205">
        <v>250619</v>
      </c>
      <c r="I11205">
        <v>4380</v>
      </c>
      <c r="J11205" t="s">
        <v>211</v>
      </c>
      <c r="K11205">
        <v>32.5</v>
      </c>
      <c r="L11205">
        <v>6.6</v>
      </c>
      <c r="M11205">
        <v>49501</v>
      </c>
      <c r="N11205" t="s">
        <v>110</v>
      </c>
      <c r="O11205">
        <v>250627</v>
      </c>
      <c r="P11205">
        <v>25.9</v>
      </c>
      <c r="Q11205"/>
    </row>
    <row r="11206" spans="1:17" s="1" customFormat="1" x14ac:dyDescent="0.25">
      <c r="A11206" t="s">
        <v>3296</v>
      </c>
      <c r="B11206" t="s">
        <v>2931</v>
      </c>
      <c r="C11206">
        <v>9231</v>
      </c>
      <c r="D11206" t="str">
        <f>"71520781    "</f>
        <v xml:space="preserve">71520781    </v>
      </c>
      <c r="E11206" t="s">
        <v>616</v>
      </c>
      <c r="F11206" t="s">
        <v>617</v>
      </c>
      <c r="G11206">
        <v>31.31</v>
      </c>
      <c r="H11206">
        <v>250619</v>
      </c>
      <c r="I11206">
        <v>4380</v>
      </c>
      <c r="J11206" t="s">
        <v>211</v>
      </c>
      <c r="K11206">
        <v>31.31</v>
      </c>
      <c r="L11206">
        <v>6.36</v>
      </c>
      <c r="M11206">
        <v>17956</v>
      </c>
      <c r="N11206" t="s">
        <v>170</v>
      </c>
      <c r="O11206">
        <v>250627</v>
      </c>
      <c r="P11206">
        <v>24.95</v>
      </c>
      <c r="Q11206"/>
    </row>
    <row r="11207" spans="1:17" s="1" customFormat="1" x14ac:dyDescent="0.25">
      <c r="A11207" t="s">
        <v>3296</v>
      </c>
      <c r="B11207" t="s">
        <v>2931</v>
      </c>
      <c r="C11207">
        <v>9232</v>
      </c>
      <c r="D11207" t="str">
        <f>"71520787    "</f>
        <v xml:space="preserve">71520787    </v>
      </c>
      <c r="E11207" t="s">
        <v>616</v>
      </c>
      <c r="F11207" t="s">
        <v>617</v>
      </c>
      <c r="G11207">
        <v>205.07</v>
      </c>
      <c r="H11207">
        <v>250619</v>
      </c>
      <c r="I11207">
        <v>4380</v>
      </c>
      <c r="J11207" t="s">
        <v>211</v>
      </c>
      <c r="K11207">
        <v>205.07</v>
      </c>
      <c r="L11207">
        <v>41.67</v>
      </c>
      <c r="M11207">
        <v>17951</v>
      </c>
      <c r="N11207" t="s">
        <v>207</v>
      </c>
      <c r="O11207">
        <v>250627</v>
      </c>
      <c r="P11207">
        <v>163.4</v>
      </c>
      <c r="Q11207"/>
    </row>
    <row r="11208" spans="1:17" s="1" customFormat="1" x14ac:dyDescent="0.25">
      <c r="A11208" t="s">
        <v>3296</v>
      </c>
      <c r="B11208" t="s">
        <v>2931</v>
      </c>
      <c r="C11208">
        <v>9233</v>
      </c>
      <c r="D11208" t="str">
        <f>"71520777    "</f>
        <v xml:space="preserve">71520777    </v>
      </c>
      <c r="E11208" t="s">
        <v>616</v>
      </c>
      <c r="F11208" t="s">
        <v>617</v>
      </c>
      <c r="G11208">
        <v>20.079999999999998</v>
      </c>
      <c r="H11208">
        <v>250619</v>
      </c>
      <c r="I11208">
        <v>4380</v>
      </c>
      <c r="J11208" t="s">
        <v>211</v>
      </c>
      <c r="K11208">
        <v>20.079999999999998</v>
      </c>
      <c r="L11208">
        <v>4.08</v>
      </c>
      <c r="M11208">
        <v>17951</v>
      </c>
      <c r="N11208" t="s">
        <v>207</v>
      </c>
      <c r="O11208">
        <v>250627</v>
      </c>
      <c r="P11208">
        <v>16</v>
      </c>
      <c r="Q11208"/>
    </row>
    <row r="11209" spans="1:17" s="1" customFormat="1" x14ac:dyDescent="0.25">
      <c r="A11209" t="s">
        <v>3296</v>
      </c>
      <c r="B11209" t="s">
        <v>2931</v>
      </c>
      <c r="C11209">
        <v>9234</v>
      </c>
      <c r="D11209" t="str">
        <f>"71520706    "</f>
        <v xml:space="preserve">71520706    </v>
      </c>
      <c r="E11209" t="s">
        <v>616</v>
      </c>
      <c r="F11209" t="s">
        <v>617</v>
      </c>
      <c r="G11209">
        <v>30.62</v>
      </c>
      <c r="H11209">
        <v>250619</v>
      </c>
      <c r="I11209">
        <v>4380</v>
      </c>
      <c r="J11209" t="s">
        <v>211</v>
      </c>
      <c r="K11209">
        <v>30.62</v>
      </c>
      <c r="L11209">
        <v>6.22</v>
      </c>
      <c r="M11209">
        <v>59503</v>
      </c>
      <c r="N11209" t="s">
        <v>766</v>
      </c>
      <c r="O11209">
        <v>250627</v>
      </c>
      <c r="P11209">
        <v>24.4</v>
      </c>
      <c r="Q11209"/>
    </row>
    <row r="11210" spans="1:17" s="1" customFormat="1" x14ac:dyDescent="0.25">
      <c r="A11210" t="s">
        <v>3296</v>
      </c>
      <c r="B11210" t="s">
        <v>2931</v>
      </c>
      <c r="C11210">
        <v>9235</v>
      </c>
      <c r="D11210" t="str">
        <f>"71520780    "</f>
        <v xml:space="preserve">71520780    </v>
      </c>
      <c r="E11210" t="s">
        <v>616</v>
      </c>
      <c r="F11210" t="s">
        <v>617</v>
      </c>
      <c r="G11210">
        <v>32.299999999999997</v>
      </c>
      <c r="H11210">
        <v>250619</v>
      </c>
      <c r="I11210">
        <v>4380</v>
      </c>
      <c r="J11210" t="s">
        <v>211</v>
      </c>
      <c r="K11210">
        <v>82.83</v>
      </c>
      <c r="L11210">
        <v>6.56</v>
      </c>
      <c r="M11210">
        <v>59502</v>
      </c>
      <c r="N11210" t="s">
        <v>63</v>
      </c>
      <c r="O11210">
        <v>250627</v>
      </c>
      <c r="P11210">
        <v>25.74</v>
      </c>
      <c r="Q11210"/>
    </row>
    <row r="11211" spans="1:17" s="1" customFormat="1" x14ac:dyDescent="0.25">
      <c r="A11211" t="s">
        <v>3296</v>
      </c>
      <c r="B11211" t="s">
        <v>2931</v>
      </c>
      <c r="C11211">
        <v>9235</v>
      </c>
      <c r="D11211" t="str">
        <f>"71520780    "</f>
        <v xml:space="preserve">71520780    </v>
      </c>
      <c r="E11211" t="s">
        <v>616</v>
      </c>
      <c r="F11211" t="s">
        <v>617</v>
      </c>
      <c r="G11211">
        <v>50.53</v>
      </c>
      <c r="H11211">
        <v>250619</v>
      </c>
      <c r="I11211">
        <v>4380</v>
      </c>
      <c r="J11211" t="s">
        <v>211</v>
      </c>
      <c r="K11211">
        <v>82.83</v>
      </c>
      <c r="L11211">
        <v>10.27</v>
      </c>
      <c r="M11211">
        <v>59802</v>
      </c>
      <c r="N11211" t="s">
        <v>195</v>
      </c>
      <c r="O11211">
        <v>250627</v>
      </c>
      <c r="P11211">
        <v>40.26</v>
      </c>
      <c r="Q11211"/>
    </row>
    <row r="11212" spans="1:17" s="1" customFormat="1" x14ac:dyDescent="0.25">
      <c r="A11212" t="s">
        <v>3296</v>
      </c>
      <c r="B11212" t="s">
        <v>2931</v>
      </c>
      <c r="C11212">
        <v>9236</v>
      </c>
      <c r="D11212" t="str">
        <f>"71520776    "</f>
        <v xml:space="preserve">71520776    </v>
      </c>
      <c r="E11212" t="s">
        <v>616</v>
      </c>
      <c r="F11212" t="s">
        <v>617</v>
      </c>
      <c r="G11212">
        <v>58.11</v>
      </c>
      <c r="H11212">
        <v>250619</v>
      </c>
      <c r="I11212">
        <v>4380</v>
      </c>
      <c r="J11212" t="s">
        <v>211</v>
      </c>
      <c r="K11212">
        <v>58.11</v>
      </c>
      <c r="L11212">
        <v>11.81</v>
      </c>
      <c r="M11212">
        <v>59504</v>
      </c>
      <c r="N11212" t="s">
        <v>193</v>
      </c>
      <c r="O11212">
        <v>250627</v>
      </c>
      <c r="P11212">
        <v>46.3</v>
      </c>
      <c r="Q11212"/>
    </row>
    <row r="11213" spans="1:17" s="1" customFormat="1" x14ac:dyDescent="0.25">
      <c r="A11213" t="s">
        <v>3296</v>
      </c>
      <c r="B11213" t="s">
        <v>2931</v>
      </c>
      <c r="C11213">
        <v>9237</v>
      </c>
      <c r="D11213" t="str">
        <f>"71520784    "</f>
        <v xml:space="preserve">71520784    </v>
      </c>
      <c r="E11213" t="s">
        <v>616</v>
      </c>
      <c r="F11213" t="s">
        <v>617</v>
      </c>
      <c r="G11213">
        <v>183.23</v>
      </c>
      <c r="H11213">
        <v>250619</v>
      </c>
      <c r="I11213">
        <v>4380</v>
      </c>
      <c r="J11213" t="s">
        <v>211</v>
      </c>
      <c r="K11213">
        <v>183.23</v>
      </c>
      <c r="L11213">
        <v>37.229999999999997</v>
      </c>
      <c r="M11213">
        <v>14951</v>
      </c>
      <c r="N11213" t="s">
        <v>186</v>
      </c>
      <c r="O11213">
        <v>250627</v>
      </c>
      <c r="P11213">
        <v>146</v>
      </c>
      <c r="Q11213"/>
    </row>
    <row r="11214" spans="1:17" s="1" customFormat="1" x14ac:dyDescent="0.25">
      <c r="A11214" t="s">
        <v>3296</v>
      </c>
      <c r="B11214" t="s">
        <v>2931</v>
      </c>
      <c r="C11214">
        <v>9238</v>
      </c>
      <c r="D11214" t="str">
        <f>"71520786    "</f>
        <v xml:space="preserve">71520786    </v>
      </c>
      <c r="E11214" t="s">
        <v>616</v>
      </c>
      <c r="F11214" t="s">
        <v>617</v>
      </c>
      <c r="G11214">
        <v>50.51</v>
      </c>
      <c r="H11214">
        <v>250619</v>
      </c>
      <c r="I11214">
        <v>4380</v>
      </c>
      <c r="J11214" t="s">
        <v>211</v>
      </c>
      <c r="K11214">
        <v>50.51</v>
      </c>
      <c r="L11214">
        <v>10.26</v>
      </c>
      <c r="M11214">
        <v>17952</v>
      </c>
      <c r="N11214" t="s">
        <v>157</v>
      </c>
      <c r="O11214">
        <v>250627</v>
      </c>
      <c r="P11214">
        <v>40.25</v>
      </c>
      <c r="Q11214"/>
    </row>
    <row r="11215" spans="1:17" s="1" customFormat="1" x14ac:dyDescent="0.25">
      <c r="A11215" t="s">
        <v>3296</v>
      </c>
      <c r="B11215" t="s">
        <v>2931</v>
      </c>
      <c r="C11215">
        <v>9276</v>
      </c>
      <c r="D11215" t="str">
        <f>"71553188    "</f>
        <v xml:space="preserve">71553188    </v>
      </c>
      <c r="E11215" t="s">
        <v>616</v>
      </c>
      <c r="F11215" t="s">
        <v>617</v>
      </c>
      <c r="G11215">
        <v>12.47</v>
      </c>
      <c r="H11215">
        <v>250627</v>
      </c>
      <c r="I11215">
        <v>4380</v>
      </c>
      <c r="J11215" t="s">
        <v>211</v>
      </c>
      <c r="K11215">
        <v>12.47</v>
      </c>
      <c r="L11215">
        <v>2.5299999999999998</v>
      </c>
      <c r="M11215">
        <v>17950</v>
      </c>
      <c r="N11215" t="s">
        <v>132</v>
      </c>
      <c r="O11215">
        <v>250701</v>
      </c>
      <c r="P11215">
        <v>9.94</v>
      </c>
      <c r="Q11215"/>
    </row>
    <row r="11216" spans="1:17" s="1" customFormat="1" x14ac:dyDescent="0.25">
      <c r="A11216" t="s">
        <v>3296</v>
      </c>
      <c r="B11216" t="s">
        <v>2931</v>
      </c>
      <c r="C11216">
        <v>9330</v>
      </c>
      <c r="D11216" t="str">
        <f>"71558376    "</f>
        <v xml:space="preserve">71558376    </v>
      </c>
      <c r="E11216" t="s">
        <v>616</v>
      </c>
      <c r="F11216" t="s">
        <v>617</v>
      </c>
      <c r="G11216">
        <v>8.2799999999999994</v>
      </c>
      <c r="H11216">
        <v>250630</v>
      </c>
      <c r="I11216">
        <v>4380</v>
      </c>
      <c r="J11216" t="s">
        <v>211</v>
      </c>
      <c r="K11216">
        <v>24.85</v>
      </c>
      <c r="L11216">
        <v>1.68</v>
      </c>
      <c r="M11216">
        <v>11401</v>
      </c>
      <c r="N11216" t="s">
        <v>91</v>
      </c>
      <c r="O11216">
        <v>250703</v>
      </c>
      <c r="P11216">
        <v>6.6</v>
      </c>
      <c r="Q11216"/>
    </row>
    <row r="11217" spans="1:17" s="1" customFormat="1" x14ac:dyDescent="0.25">
      <c r="A11217" t="s">
        <v>3296</v>
      </c>
      <c r="B11217" t="s">
        <v>2931</v>
      </c>
      <c r="C11217">
        <v>9330</v>
      </c>
      <c r="D11217" t="str">
        <f>"71558376    "</f>
        <v xml:space="preserve">71558376    </v>
      </c>
      <c r="E11217" t="s">
        <v>616</v>
      </c>
      <c r="F11217" t="s">
        <v>617</v>
      </c>
      <c r="G11217">
        <v>16.57</v>
      </c>
      <c r="H11217">
        <v>250630</v>
      </c>
      <c r="I11217">
        <v>4380</v>
      </c>
      <c r="J11217" t="s">
        <v>211</v>
      </c>
      <c r="K11217">
        <v>24.85</v>
      </c>
      <c r="L11217">
        <v>3.37</v>
      </c>
      <c r="M11217">
        <v>14952</v>
      </c>
      <c r="N11217" t="s">
        <v>213</v>
      </c>
      <c r="O11217">
        <v>250703</v>
      </c>
      <c r="P11217">
        <v>13.2</v>
      </c>
      <c r="Q11217"/>
    </row>
    <row r="11218" spans="1:17" s="1" customFormat="1" x14ac:dyDescent="0.25">
      <c r="A11218" t="s">
        <v>3296</v>
      </c>
      <c r="B11218" t="s">
        <v>2931</v>
      </c>
      <c r="C11218">
        <v>9342</v>
      </c>
      <c r="D11218" t="str">
        <f>"71516229    "</f>
        <v xml:space="preserve">71516229    </v>
      </c>
      <c r="E11218" t="s">
        <v>616</v>
      </c>
      <c r="F11218" t="s">
        <v>617</v>
      </c>
      <c r="G11218">
        <v>122.49</v>
      </c>
      <c r="H11218">
        <v>250618</v>
      </c>
      <c r="I11218">
        <v>4380</v>
      </c>
      <c r="J11218" t="s">
        <v>211</v>
      </c>
      <c r="K11218">
        <v>122.49</v>
      </c>
      <c r="L11218">
        <v>24.89</v>
      </c>
      <c r="M11218">
        <v>47522</v>
      </c>
      <c r="N11218" t="s">
        <v>106</v>
      </c>
      <c r="O11218">
        <v>250704</v>
      </c>
      <c r="P11218">
        <v>97.6</v>
      </c>
      <c r="Q11218"/>
    </row>
    <row r="11219" spans="1:17" s="1" customFormat="1" x14ac:dyDescent="0.25">
      <c r="A11219" t="s">
        <v>3296</v>
      </c>
      <c r="B11219" t="s">
        <v>2931</v>
      </c>
      <c r="C11219">
        <v>9343</v>
      </c>
      <c r="D11219" t="str">
        <f>"71516230    "</f>
        <v xml:space="preserve">71516230    </v>
      </c>
      <c r="E11219" t="s">
        <v>616</v>
      </c>
      <c r="F11219" t="s">
        <v>617</v>
      </c>
      <c r="G11219">
        <v>143.82</v>
      </c>
      <c r="H11219">
        <v>250618</v>
      </c>
      <c r="I11219">
        <v>4380</v>
      </c>
      <c r="J11219" t="s">
        <v>211</v>
      </c>
      <c r="K11219">
        <v>143.82</v>
      </c>
      <c r="L11219">
        <v>29.22</v>
      </c>
      <c r="M11219">
        <v>47522</v>
      </c>
      <c r="N11219" t="s">
        <v>106</v>
      </c>
      <c r="O11219">
        <v>250704</v>
      </c>
      <c r="P11219">
        <v>114.6</v>
      </c>
      <c r="Q11219"/>
    </row>
    <row r="11220" spans="1:17" s="1" customFormat="1" x14ac:dyDescent="0.25">
      <c r="A11220" t="s">
        <v>3296</v>
      </c>
      <c r="B11220" t="s">
        <v>2931</v>
      </c>
      <c r="C11220">
        <v>9428</v>
      </c>
      <c r="D11220" t="str">
        <f>"71517066    "</f>
        <v xml:space="preserve">71517066    </v>
      </c>
      <c r="E11220" t="s">
        <v>616</v>
      </c>
      <c r="F11220" t="s">
        <v>617</v>
      </c>
      <c r="G11220">
        <v>25.21</v>
      </c>
      <c r="H11220">
        <v>250618</v>
      </c>
      <c r="I11220">
        <v>4380</v>
      </c>
      <c r="J11220" t="s">
        <v>211</v>
      </c>
      <c r="K11220">
        <v>25.21</v>
      </c>
      <c r="L11220">
        <v>5.12</v>
      </c>
      <c r="M11220">
        <v>46554</v>
      </c>
      <c r="N11220" t="s">
        <v>102</v>
      </c>
      <c r="O11220">
        <v>250707</v>
      </c>
      <c r="P11220">
        <v>20.09</v>
      </c>
      <c r="Q11220"/>
    </row>
    <row r="11221" spans="1:17" s="1" customFormat="1" x14ac:dyDescent="0.25">
      <c r="A11221" t="s">
        <v>3296</v>
      </c>
      <c r="B11221" t="s">
        <v>2931</v>
      </c>
      <c r="C11221">
        <v>9430</v>
      </c>
      <c r="D11221" t="str">
        <f>"71537380    "</f>
        <v xml:space="preserve">71537380    </v>
      </c>
      <c r="E11221" t="s">
        <v>616</v>
      </c>
      <c r="F11221" t="s">
        <v>617</v>
      </c>
      <c r="G11221">
        <v>174.45</v>
      </c>
      <c r="H11221">
        <v>250627</v>
      </c>
      <c r="I11221">
        <v>4380</v>
      </c>
      <c r="J11221" t="s">
        <v>211</v>
      </c>
      <c r="K11221">
        <v>174.45</v>
      </c>
      <c r="L11221">
        <v>35.450000000000003</v>
      </c>
      <c r="M11221">
        <v>46557</v>
      </c>
      <c r="N11221" t="s">
        <v>104</v>
      </c>
      <c r="O11221">
        <v>250707</v>
      </c>
      <c r="P11221">
        <v>139</v>
      </c>
      <c r="Q11221"/>
    </row>
    <row r="11222" spans="1:17" s="1" customFormat="1" x14ac:dyDescent="0.25">
      <c r="A11222" t="s">
        <v>3296</v>
      </c>
      <c r="B11222" t="s">
        <v>2931</v>
      </c>
      <c r="C11222">
        <v>9690</v>
      </c>
      <c r="D11222" t="str">
        <f>"71558375    "</f>
        <v xml:space="preserve">71558375    </v>
      </c>
      <c r="E11222" t="s">
        <v>616</v>
      </c>
      <c r="F11222" t="s">
        <v>617</v>
      </c>
      <c r="G11222">
        <v>15.19</v>
      </c>
      <c r="H11222">
        <v>250630</v>
      </c>
      <c r="I11222">
        <v>4380</v>
      </c>
      <c r="J11222" t="s">
        <v>211</v>
      </c>
      <c r="K11222">
        <v>15.19</v>
      </c>
      <c r="L11222">
        <v>3.09</v>
      </c>
      <c r="M11222">
        <v>59505</v>
      </c>
      <c r="N11222" t="s">
        <v>194</v>
      </c>
      <c r="O11222">
        <v>250724</v>
      </c>
      <c r="P11222">
        <v>12.1</v>
      </c>
      <c r="Q11222"/>
    </row>
    <row r="11223" spans="1:17" s="1" customFormat="1" x14ac:dyDescent="0.25">
      <c r="A11223" t="s">
        <v>3296</v>
      </c>
      <c r="B11223" t="s">
        <v>2931</v>
      </c>
      <c r="C11223">
        <v>9815</v>
      </c>
      <c r="D11223" t="str">
        <f>"71560452    "</f>
        <v xml:space="preserve">71560452    </v>
      </c>
      <c r="E11223" t="s">
        <v>616</v>
      </c>
      <c r="F11223" t="s">
        <v>617</v>
      </c>
      <c r="G11223">
        <v>518.82000000000005</v>
      </c>
      <c r="H11223">
        <v>250630</v>
      </c>
      <c r="I11223">
        <v>4380</v>
      </c>
      <c r="J11223" t="s">
        <v>211</v>
      </c>
      <c r="K11223">
        <v>518.82000000000005</v>
      </c>
      <c r="L11223">
        <v>105.42</v>
      </c>
      <c r="M11223">
        <v>17951</v>
      </c>
      <c r="N11223" t="s">
        <v>207</v>
      </c>
      <c r="O11223">
        <v>250729</v>
      </c>
      <c r="P11223">
        <v>413.4</v>
      </c>
      <c r="Q11223"/>
    </row>
    <row r="11224" spans="1:17" s="1" customFormat="1" x14ac:dyDescent="0.25">
      <c r="A11224" t="s">
        <v>3296</v>
      </c>
      <c r="B11224" t="s">
        <v>2931</v>
      </c>
      <c r="C11224">
        <v>9818</v>
      </c>
      <c r="D11224" t="str">
        <f>"71561242    "</f>
        <v xml:space="preserve">71561242    </v>
      </c>
      <c r="E11224" t="s">
        <v>616</v>
      </c>
      <c r="F11224" t="s">
        <v>617</v>
      </c>
      <c r="G11224">
        <v>12.55</v>
      </c>
      <c r="H11224">
        <v>250630</v>
      </c>
      <c r="I11224">
        <v>4380</v>
      </c>
      <c r="J11224" t="s">
        <v>211</v>
      </c>
      <c r="K11224">
        <v>12.55</v>
      </c>
      <c r="L11224">
        <v>2.5499999999999998</v>
      </c>
      <c r="M11224">
        <v>13841</v>
      </c>
      <c r="N11224" t="s">
        <v>178</v>
      </c>
      <c r="O11224">
        <v>250729</v>
      </c>
      <c r="P11224">
        <v>10</v>
      </c>
      <c r="Q11224"/>
    </row>
    <row r="11225" spans="1:17" s="1" customFormat="1" x14ac:dyDescent="0.25">
      <c r="A11225" t="s">
        <v>3296</v>
      </c>
      <c r="B11225" t="s">
        <v>2931</v>
      </c>
      <c r="C11225">
        <v>9819</v>
      </c>
      <c r="D11225" t="str">
        <f>"71560632    "</f>
        <v xml:space="preserve">71560632    </v>
      </c>
      <c r="E11225" t="s">
        <v>616</v>
      </c>
      <c r="F11225" t="s">
        <v>617</v>
      </c>
      <c r="G11225">
        <v>105.12</v>
      </c>
      <c r="H11225">
        <v>250630</v>
      </c>
      <c r="I11225">
        <v>4380</v>
      </c>
      <c r="J11225" t="s">
        <v>211</v>
      </c>
      <c r="K11225">
        <v>132.08000000000001</v>
      </c>
      <c r="L11225">
        <v>21.36</v>
      </c>
      <c r="M11225">
        <v>14432</v>
      </c>
      <c r="N11225" t="s">
        <v>75</v>
      </c>
      <c r="O11225">
        <v>250729</v>
      </c>
      <c r="P11225">
        <v>83.76</v>
      </c>
      <c r="Q11225"/>
    </row>
    <row r="11226" spans="1:17" s="1" customFormat="1" x14ac:dyDescent="0.25">
      <c r="A11226" t="s">
        <v>3296</v>
      </c>
      <c r="B11226" t="s">
        <v>2931</v>
      </c>
      <c r="C11226">
        <v>9819</v>
      </c>
      <c r="D11226" t="str">
        <f>"71560632    "</f>
        <v xml:space="preserve">71560632    </v>
      </c>
      <c r="E11226" t="s">
        <v>616</v>
      </c>
      <c r="F11226" t="s">
        <v>617</v>
      </c>
      <c r="G11226">
        <v>26.96</v>
      </c>
      <c r="H11226">
        <v>250630</v>
      </c>
      <c r="I11226">
        <v>4380</v>
      </c>
      <c r="J11226" t="s">
        <v>211</v>
      </c>
      <c r="K11226">
        <v>132.08000000000001</v>
      </c>
      <c r="L11226">
        <v>5.48</v>
      </c>
      <c r="M11226">
        <v>14951</v>
      </c>
      <c r="N11226" t="s">
        <v>186</v>
      </c>
      <c r="O11226">
        <v>250729</v>
      </c>
      <c r="P11226">
        <v>21.48</v>
      </c>
      <c r="Q11226"/>
    </row>
    <row r="11227" spans="1:17" s="1" customFormat="1" x14ac:dyDescent="0.25">
      <c r="A11227" t="s">
        <v>3296</v>
      </c>
      <c r="B11227" t="s">
        <v>2931</v>
      </c>
      <c r="C11227">
        <v>9820</v>
      </c>
      <c r="D11227" t="str">
        <f>"71560635    "</f>
        <v xml:space="preserve">71560635    </v>
      </c>
      <c r="E11227" t="s">
        <v>616</v>
      </c>
      <c r="F11227" t="s">
        <v>617</v>
      </c>
      <c r="G11227">
        <v>242.11</v>
      </c>
      <c r="H11227">
        <v>250630</v>
      </c>
      <c r="I11227">
        <v>4380</v>
      </c>
      <c r="J11227" t="s">
        <v>211</v>
      </c>
      <c r="K11227">
        <v>242.11</v>
      </c>
      <c r="L11227">
        <v>49.19</v>
      </c>
      <c r="M11227">
        <v>49501</v>
      </c>
      <c r="N11227" t="s">
        <v>110</v>
      </c>
      <c r="O11227">
        <v>250729</v>
      </c>
      <c r="P11227">
        <v>192.92</v>
      </c>
      <c r="Q11227"/>
    </row>
    <row r="11228" spans="1:17" s="1" customFormat="1" x14ac:dyDescent="0.25">
      <c r="A11228" t="s">
        <v>3296</v>
      </c>
      <c r="B11228" t="s">
        <v>2931</v>
      </c>
      <c r="C11228">
        <v>9839</v>
      </c>
      <c r="D11228" t="str">
        <f>"71577652    "</f>
        <v xml:space="preserve">71577652    </v>
      </c>
      <c r="E11228" t="s">
        <v>616</v>
      </c>
      <c r="F11228" t="s">
        <v>617</v>
      </c>
      <c r="G11228">
        <v>184.99</v>
      </c>
      <c r="H11228">
        <v>250717</v>
      </c>
      <c r="I11228">
        <v>4380</v>
      </c>
      <c r="J11228" t="s">
        <v>211</v>
      </c>
      <c r="K11228">
        <v>184.99</v>
      </c>
      <c r="L11228">
        <v>37.590000000000003</v>
      </c>
      <c r="M11228">
        <v>17951</v>
      </c>
      <c r="N11228" t="s">
        <v>207</v>
      </c>
      <c r="O11228">
        <v>250729</v>
      </c>
      <c r="P11228">
        <v>147.4</v>
      </c>
      <c r="Q11228"/>
    </row>
    <row r="11229" spans="1:17" s="1" customFormat="1" x14ac:dyDescent="0.25">
      <c r="A11229" t="s">
        <v>3296</v>
      </c>
      <c r="B11229" t="s">
        <v>2931</v>
      </c>
      <c r="C11229">
        <v>10080</v>
      </c>
      <c r="D11229" t="str">
        <f>"71573381    "</f>
        <v xml:space="preserve">71573381    </v>
      </c>
      <c r="E11229" t="s">
        <v>616</v>
      </c>
      <c r="F11229" t="s">
        <v>617</v>
      </c>
      <c r="G11229">
        <v>122.49</v>
      </c>
      <c r="H11229">
        <v>250717</v>
      </c>
      <c r="I11229">
        <v>4380</v>
      </c>
      <c r="J11229" t="s">
        <v>211</v>
      </c>
      <c r="K11229">
        <v>122.49</v>
      </c>
      <c r="L11229">
        <v>24.89</v>
      </c>
      <c r="M11229">
        <v>47522</v>
      </c>
      <c r="N11229" t="s">
        <v>106</v>
      </c>
      <c r="O11229">
        <v>250811</v>
      </c>
      <c r="P11229">
        <v>97.6</v>
      </c>
      <c r="Q11229"/>
    </row>
    <row r="11230" spans="1:17" s="1" customFormat="1" x14ac:dyDescent="0.25">
      <c r="A11230" t="s">
        <v>3296</v>
      </c>
      <c r="B11230" t="s">
        <v>2931</v>
      </c>
      <c r="C11230">
        <v>10083</v>
      </c>
      <c r="D11230" t="str">
        <f>"71577650    "</f>
        <v xml:space="preserve">71577650    </v>
      </c>
      <c r="E11230" t="s">
        <v>616</v>
      </c>
      <c r="F11230" t="s">
        <v>617</v>
      </c>
      <c r="G11230">
        <v>82.83</v>
      </c>
      <c r="H11230">
        <v>250717</v>
      </c>
      <c r="I11230">
        <v>4380</v>
      </c>
      <c r="J11230" t="s">
        <v>211</v>
      </c>
      <c r="K11230">
        <v>82.83</v>
      </c>
      <c r="L11230">
        <v>16.829999999999998</v>
      </c>
      <c r="M11230">
        <v>14951</v>
      </c>
      <c r="N11230" t="s">
        <v>186</v>
      </c>
      <c r="O11230">
        <v>250811</v>
      </c>
      <c r="P11230">
        <v>66</v>
      </c>
      <c r="Q11230"/>
    </row>
    <row r="11231" spans="1:17" s="1" customFormat="1" x14ac:dyDescent="0.25">
      <c r="A11231" t="s">
        <v>3296</v>
      </c>
      <c r="B11231" t="s">
        <v>2931</v>
      </c>
      <c r="C11231">
        <v>10084</v>
      </c>
      <c r="D11231" t="str">
        <f>"71573380    "</f>
        <v xml:space="preserve">71573380    </v>
      </c>
      <c r="E11231" t="s">
        <v>616</v>
      </c>
      <c r="F11231" t="s">
        <v>617</v>
      </c>
      <c r="G11231">
        <v>143.82</v>
      </c>
      <c r="H11231">
        <v>250717</v>
      </c>
      <c r="I11231">
        <v>4380</v>
      </c>
      <c r="J11231" t="s">
        <v>211</v>
      </c>
      <c r="K11231">
        <v>143.82</v>
      </c>
      <c r="L11231">
        <v>29.22</v>
      </c>
      <c r="M11231">
        <v>47522</v>
      </c>
      <c r="N11231" t="s">
        <v>106</v>
      </c>
      <c r="O11231">
        <v>250811</v>
      </c>
      <c r="P11231">
        <v>114.6</v>
      </c>
      <c r="Q11231"/>
    </row>
    <row r="11232" spans="1:17" s="1" customFormat="1" x14ac:dyDescent="0.25">
      <c r="A11232" t="s">
        <v>3296</v>
      </c>
      <c r="B11232" t="s">
        <v>2931</v>
      </c>
      <c r="C11232">
        <v>10233</v>
      </c>
      <c r="D11232" t="str">
        <f>"71613674    "</f>
        <v xml:space="preserve">71613674    </v>
      </c>
      <c r="E11232" t="s">
        <v>616</v>
      </c>
      <c r="F11232" t="s">
        <v>617</v>
      </c>
      <c r="G11232">
        <v>8.2799999999999994</v>
      </c>
      <c r="H11232">
        <v>250724</v>
      </c>
      <c r="I11232">
        <v>4380</v>
      </c>
      <c r="J11232" t="s">
        <v>211</v>
      </c>
      <c r="K11232">
        <v>24.85</v>
      </c>
      <c r="L11232">
        <v>1.68</v>
      </c>
      <c r="M11232">
        <v>11401</v>
      </c>
      <c r="N11232" t="s">
        <v>91</v>
      </c>
      <c r="O11232">
        <v>250813</v>
      </c>
      <c r="P11232">
        <v>6.6</v>
      </c>
      <c r="Q11232"/>
    </row>
    <row r="11233" spans="1:17" s="1" customFormat="1" x14ac:dyDescent="0.25">
      <c r="A11233" t="s">
        <v>3296</v>
      </c>
      <c r="B11233" t="s">
        <v>2931</v>
      </c>
      <c r="C11233">
        <v>10233</v>
      </c>
      <c r="D11233" t="str">
        <f>"71613674    "</f>
        <v xml:space="preserve">71613674    </v>
      </c>
      <c r="E11233" t="s">
        <v>616</v>
      </c>
      <c r="F11233" t="s">
        <v>617</v>
      </c>
      <c r="G11233">
        <v>16.57</v>
      </c>
      <c r="H11233">
        <v>250724</v>
      </c>
      <c r="I11233">
        <v>4380</v>
      </c>
      <c r="J11233" t="s">
        <v>211</v>
      </c>
      <c r="K11233">
        <v>24.85</v>
      </c>
      <c r="L11233">
        <v>3.37</v>
      </c>
      <c r="M11233">
        <v>14952</v>
      </c>
      <c r="N11233" t="s">
        <v>213</v>
      </c>
      <c r="O11233">
        <v>250813</v>
      </c>
      <c r="P11233">
        <v>13.2</v>
      </c>
      <c r="Q11233"/>
    </row>
    <row r="11234" spans="1:17" s="1" customFormat="1" x14ac:dyDescent="0.25">
      <c r="A11234" t="s">
        <v>3296</v>
      </c>
      <c r="B11234" t="s">
        <v>2931</v>
      </c>
      <c r="C11234">
        <v>10378</v>
      </c>
      <c r="D11234" t="str">
        <f>"71622283    "</f>
        <v xml:space="preserve">71622283    </v>
      </c>
      <c r="E11234" t="s">
        <v>616</v>
      </c>
      <c r="F11234" t="s">
        <v>617</v>
      </c>
      <c r="G11234">
        <v>648.52</v>
      </c>
      <c r="H11234">
        <v>250731</v>
      </c>
      <c r="I11234">
        <v>4380</v>
      </c>
      <c r="J11234" t="s">
        <v>211</v>
      </c>
      <c r="K11234">
        <v>648.52</v>
      </c>
      <c r="L11234">
        <v>131.77000000000001</v>
      </c>
      <c r="M11234">
        <v>17951</v>
      </c>
      <c r="N11234" t="s">
        <v>207</v>
      </c>
      <c r="O11234">
        <v>250818</v>
      </c>
      <c r="P11234">
        <v>516.75</v>
      </c>
      <c r="Q11234"/>
    </row>
    <row r="11235" spans="1:17" s="1" customFormat="1" x14ac:dyDescent="0.25">
      <c r="A11235" t="s">
        <v>3296</v>
      </c>
      <c r="B11235" t="s">
        <v>2931</v>
      </c>
      <c r="C11235">
        <v>10585</v>
      </c>
      <c r="D11235" t="str">
        <f>"71622461    "</f>
        <v xml:space="preserve">71622461    </v>
      </c>
      <c r="E11235" t="s">
        <v>616</v>
      </c>
      <c r="F11235" t="s">
        <v>617</v>
      </c>
      <c r="G11235">
        <v>131.4</v>
      </c>
      <c r="H11235">
        <v>250807</v>
      </c>
      <c r="I11235">
        <v>4380</v>
      </c>
      <c r="J11235" t="s">
        <v>211</v>
      </c>
      <c r="K11235">
        <v>165.1</v>
      </c>
      <c r="L11235">
        <v>26.7</v>
      </c>
      <c r="M11235">
        <v>14432</v>
      </c>
      <c r="N11235" t="s">
        <v>75</v>
      </c>
      <c r="O11235">
        <v>250820</v>
      </c>
      <c r="P11235">
        <v>104.7</v>
      </c>
      <c r="Q11235"/>
    </row>
    <row r="11236" spans="1:17" s="1" customFormat="1" x14ac:dyDescent="0.25">
      <c r="A11236" t="s">
        <v>3296</v>
      </c>
      <c r="B11236" t="s">
        <v>2931</v>
      </c>
      <c r="C11236">
        <v>10585</v>
      </c>
      <c r="D11236" t="str">
        <f>"71622461    "</f>
        <v xml:space="preserve">71622461    </v>
      </c>
      <c r="E11236" t="s">
        <v>616</v>
      </c>
      <c r="F11236" t="s">
        <v>617</v>
      </c>
      <c r="G11236">
        <v>33.700000000000003</v>
      </c>
      <c r="H11236">
        <v>250807</v>
      </c>
      <c r="I11236">
        <v>4380</v>
      </c>
      <c r="J11236" t="s">
        <v>211</v>
      </c>
      <c r="K11236">
        <v>165.1</v>
      </c>
      <c r="L11236">
        <v>6.85</v>
      </c>
      <c r="M11236">
        <v>14951</v>
      </c>
      <c r="N11236" t="s">
        <v>186</v>
      </c>
      <c r="O11236">
        <v>250820</v>
      </c>
      <c r="P11236">
        <v>26.85</v>
      </c>
      <c r="Q11236"/>
    </row>
    <row r="11237" spans="1:17" s="1" customFormat="1" x14ac:dyDescent="0.25">
      <c r="A11237" t="s">
        <v>3296</v>
      </c>
      <c r="B11237" t="s">
        <v>2931</v>
      </c>
      <c r="C11237">
        <v>10588</v>
      </c>
      <c r="D11237" t="str">
        <f>"71623063    "</f>
        <v xml:space="preserve">71623063    </v>
      </c>
      <c r="E11237" t="s">
        <v>616</v>
      </c>
      <c r="F11237" t="s">
        <v>617</v>
      </c>
      <c r="G11237">
        <v>15.69</v>
      </c>
      <c r="H11237">
        <v>250807</v>
      </c>
      <c r="I11237">
        <v>4380</v>
      </c>
      <c r="J11237" t="s">
        <v>211</v>
      </c>
      <c r="K11237">
        <v>15.69</v>
      </c>
      <c r="L11237">
        <v>3.19</v>
      </c>
      <c r="M11237">
        <v>13841</v>
      </c>
      <c r="N11237" t="s">
        <v>178</v>
      </c>
      <c r="O11237">
        <v>250820</v>
      </c>
      <c r="P11237">
        <v>12.5</v>
      </c>
      <c r="Q11237"/>
    </row>
    <row r="11238" spans="1:17" s="1" customFormat="1" x14ac:dyDescent="0.25">
      <c r="A11238" t="s">
        <v>3296</v>
      </c>
      <c r="B11238" t="s">
        <v>2931</v>
      </c>
      <c r="C11238">
        <v>10593</v>
      </c>
      <c r="D11238" t="str">
        <f>"71622464    "</f>
        <v xml:space="preserve">71622464    </v>
      </c>
      <c r="E11238" t="s">
        <v>616</v>
      </c>
      <c r="F11238" t="s">
        <v>617</v>
      </c>
      <c r="G11238">
        <v>302.64</v>
      </c>
      <c r="H11238">
        <v>250807</v>
      </c>
      <c r="I11238">
        <v>4380</v>
      </c>
      <c r="J11238" t="s">
        <v>211</v>
      </c>
      <c r="K11238">
        <v>302.64</v>
      </c>
      <c r="L11238">
        <v>61.49</v>
      </c>
      <c r="M11238">
        <v>49501</v>
      </c>
      <c r="N11238" t="s">
        <v>110</v>
      </c>
      <c r="O11238">
        <v>250820</v>
      </c>
      <c r="P11238">
        <v>241.15</v>
      </c>
      <c r="Q11238"/>
    </row>
    <row r="11239" spans="1:17" s="1" customFormat="1" x14ac:dyDescent="0.25">
      <c r="A11239" t="s">
        <v>3296</v>
      </c>
      <c r="B11239" t="s">
        <v>2931</v>
      </c>
      <c r="C11239">
        <v>10678</v>
      </c>
      <c r="D11239" t="str">
        <f>"71635382    "</f>
        <v xml:space="preserve">71635382    </v>
      </c>
      <c r="E11239" t="s">
        <v>616</v>
      </c>
      <c r="F11239" t="s">
        <v>617</v>
      </c>
      <c r="G11239">
        <v>143.82</v>
      </c>
      <c r="H11239">
        <v>250812</v>
      </c>
      <c r="I11239">
        <v>4380</v>
      </c>
      <c r="J11239" t="s">
        <v>211</v>
      </c>
      <c r="K11239">
        <v>143.82</v>
      </c>
      <c r="L11239">
        <v>29.22</v>
      </c>
      <c r="M11239">
        <v>47522</v>
      </c>
      <c r="N11239" t="s">
        <v>106</v>
      </c>
      <c r="O11239">
        <v>250821</v>
      </c>
      <c r="P11239">
        <v>114.6</v>
      </c>
      <c r="Q11239"/>
    </row>
    <row r="11240" spans="1:17" s="1" customFormat="1" x14ac:dyDescent="0.25">
      <c r="A11240" t="s">
        <v>3296</v>
      </c>
      <c r="B11240" t="s">
        <v>2931</v>
      </c>
      <c r="C11240">
        <v>10680</v>
      </c>
      <c r="D11240" t="str">
        <f>"71635381    "</f>
        <v xml:space="preserve">71635381    </v>
      </c>
      <c r="E11240" t="s">
        <v>616</v>
      </c>
      <c r="F11240" t="s">
        <v>617</v>
      </c>
      <c r="G11240">
        <v>122.49</v>
      </c>
      <c r="H11240">
        <v>250812</v>
      </c>
      <c r="I11240">
        <v>4380</v>
      </c>
      <c r="J11240" t="s">
        <v>211</v>
      </c>
      <c r="K11240">
        <v>122.49</v>
      </c>
      <c r="L11240">
        <v>24.89</v>
      </c>
      <c r="M11240">
        <v>47522</v>
      </c>
      <c r="N11240" t="s">
        <v>106</v>
      </c>
      <c r="O11240">
        <v>250821</v>
      </c>
      <c r="P11240">
        <v>97.6</v>
      </c>
      <c r="Q11240"/>
    </row>
    <row r="11241" spans="1:17" s="1" customFormat="1" x14ac:dyDescent="0.25">
      <c r="A11241" t="s">
        <v>3296</v>
      </c>
      <c r="B11241" t="s">
        <v>2931</v>
      </c>
      <c r="C11241">
        <v>10712</v>
      </c>
      <c r="D11241" t="str">
        <f>"71639770    "</f>
        <v xml:space="preserve">71639770    </v>
      </c>
      <c r="E11241" t="s">
        <v>616</v>
      </c>
      <c r="F11241" t="s">
        <v>617</v>
      </c>
      <c r="G11241">
        <v>73.17</v>
      </c>
      <c r="H11241">
        <v>250814</v>
      </c>
      <c r="I11241">
        <v>4380</v>
      </c>
      <c r="J11241" t="s">
        <v>211</v>
      </c>
      <c r="K11241">
        <v>73.17</v>
      </c>
      <c r="L11241">
        <v>14.87</v>
      </c>
      <c r="M11241">
        <v>59501</v>
      </c>
      <c r="N11241" t="s">
        <v>62</v>
      </c>
      <c r="O11241">
        <v>250821</v>
      </c>
      <c r="P11241">
        <v>58.3</v>
      </c>
      <c r="Q11241"/>
    </row>
    <row r="11242" spans="1:17" s="1" customFormat="1" x14ac:dyDescent="0.25">
      <c r="A11242" t="s">
        <v>3296</v>
      </c>
      <c r="B11242" t="s">
        <v>2931</v>
      </c>
      <c r="C11242">
        <v>10713</v>
      </c>
      <c r="D11242" t="str">
        <f>"71639771    "</f>
        <v xml:space="preserve">71639771    </v>
      </c>
      <c r="E11242" t="s">
        <v>616</v>
      </c>
      <c r="F11242" t="s">
        <v>617</v>
      </c>
      <c r="G11242">
        <v>82.83</v>
      </c>
      <c r="H11242">
        <v>250814</v>
      </c>
      <c r="I11242">
        <v>4380</v>
      </c>
      <c r="J11242" t="s">
        <v>211</v>
      </c>
      <c r="K11242">
        <v>82.83</v>
      </c>
      <c r="L11242">
        <v>16.829999999999998</v>
      </c>
      <c r="M11242">
        <v>14951</v>
      </c>
      <c r="N11242" t="s">
        <v>186</v>
      </c>
      <c r="O11242">
        <v>250821</v>
      </c>
      <c r="P11242">
        <v>66</v>
      </c>
      <c r="Q11242"/>
    </row>
    <row r="11243" spans="1:17" s="1" customFormat="1" x14ac:dyDescent="0.25">
      <c r="A11243" t="s">
        <v>3296</v>
      </c>
      <c r="B11243" t="s">
        <v>2931</v>
      </c>
      <c r="C11243">
        <v>10715</v>
      </c>
      <c r="D11243" t="str">
        <f>"71639769    "</f>
        <v xml:space="preserve">71639769    </v>
      </c>
      <c r="E11243" t="s">
        <v>616</v>
      </c>
      <c r="F11243" t="s">
        <v>617</v>
      </c>
      <c r="G11243">
        <v>184.99</v>
      </c>
      <c r="H11243">
        <v>250814</v>
      </c>
      <c r="I11243">
        <v>4380</v>
      </c>
      <c r="J11243" t="s">
        <v>211</v>
      </c>
      <c r="K11243">
        <v>184.99</v>
      </c>
      <c r="L11243">
        <v>37.590000000000003</v>
      </c>
      <c r="M11243">
        <v>17951</v>
      </c>
      <c r="N11243" t="s">
        <v>207</v>
      </c>
      <c r="O11243">
        <v>250821</v>
      </c>
      <c r="P11243">
        <v>147.4</v>
      </c>
      <c r="Q11243"/>
    </row>
    <row r="11244" spans="1:17" s="1" customFormat="1" x14ac:dyDescent="0.25">
      <c r="A11244" t="s">
        <v>3296</v>
      </c>
      <c r="B11244" t="s">
        <v>2931</v>
      </c>
      <c r="C11244">
        <v>10716</v>
      </c>
      <c r="D11244" t="str">
        <f>"71639768    "</f>
        <v xml:space="preserve">71639768    </v>
      </c>
      <c r="E11244" t="s">
        <v>616</v>
      </c>
      <c r="F11244" t="s">
        <v>617</v>
      </c>
      <c r="G11244">
        <v>17.95</v>
      </c>
      <c r="H11244">
        <v>250814</v>
      </c>
      <c r="I11244">
        <v>4380</v>
      </c>
      <c r="J11244" t="s">
        <v>211</v>
      </c>
      <c r="K11244">
        <v>17.95</v>
      </c>
      <c r="L11244">
        <v>3.65</v>
      </c>
      <c r="M11244">
        <v>59504</v>
      </c>
      <c r="N11244" t="s">
        <v>193</v>
      </c>
      <c r="O11244">
        <v>250821</v>
      </c>
      <c r="P11244">
        <v>14.3</v>
      </c>
      <c r="Q11244"/>
    </row>
    <row r="11245" spans="1:17" s="1" customFormat="1" x14ac:dyDescent="0.25">
      <c r="A11245" t="s">
        <v>3296</v>
      </c>
      <c r="B11245" t="s">
        <v>2931</v>
      </c>
      <c r="C11245">
        <v>10749</v>
      </c>
      <c r="D11245" t="str">
        <f>"71677020    "</f>
        <v xml:space="preserve">71677020    </v>
      </c>
      <c r="E11245" t="s">
        <v>616</v>
      </c>
      <c r="F11245" t="s">
        <v>617</v>
      </c>
      <c r="G11245">
        <v>15.19</v>
      </c>
      <c r="H11245">
        <v>250821</v>
      </c>
      <c r="I11245">
        <v>4380</v>
      </c>
      <c r="J11245" t="s">
        <v>211</v>
      </c>
      <c r="K11245">
        <v>15.19</v>
      </c>
      <c r="L11245">
        <v>3.09</v>
      </c>
      <c r="M11245">
        <v>59505</v>
      </c>
      <c r="N11245" t="s">
        <v>194</v>
      </c>
      <c r="O11245">
        <v>250821</v>
      </c>
      <c r="P11245">
        <v>12.1</v>
      </c>
      <c r="Q11245"/>
    </row>
    <row r="11246" spans="1:17" s="1" customFormat="1" x14ac:dyDescent="0.25">
      <c r="A11246" t="s">
        <v>3296</v>
      </c>
      <c r="B11246" t="s">
        <v>2931</v>
      </c>
      <c r="C11246">
        <v>10805</v>
      </c>
      <c r="D11246" t="str">
        <f>"71677019    "</f>
        <v xml:space="preserve">71677019    </v>
      </c>
      <c r="E11246" t="s">
        <v>616</v>
      </c>
      <c r="F11246" t="s">
        <v>617</v>
      </c>
      <c r="G11246">
        <v>8.2799999999999994</v>
      </c>
      <c r="H11246">
        <v>250821</v>
      </c>
      <c r="I11246">
        <v>4380</v>
      </c>
      <c r="J11246" t="s">
        <v>211</v>
      </c>
      <c r="K11246">
        <v>24.85</v>
      </c>
      <c r="L11246">
        <v>1.68</v>
      </c>
      <c r="M11246">
        <v>11401</v>
      </c>
      <c r="N11246" t="s">
        <v>91</v>
      </c>
      <c r="O11246">
        <v>250822</v>
      </c>
      <c r="P11246">
        <v>6.6</v>
      </c>
      <c r="Q11246"/>
    </row>
    <row r="11247" spans="1:17" s="1" customFormat="1" x14ac:dyDescent="0.25">
      <c r="A11247" t="s">
        <v>3296</v>
      </c>
      <c r="B11247" t="s">
        <v>2931</v>
      </c>
      <c r="C11247">
        <v>10805</v>
      </c>
      <c r="D11247" t="str">
        <f>"71677019    "</f>
        <v xml:space="preserve">71677019    </v>
      </c>
      <c r="E11247" t="s">
        <v>616</v>
      </c>
      <c r="F11247" t="s">
        <v>617</v>
      </c>
      <c r="G11247">
        <v>16.57</v>
      </c>
      <c r="H11247">
        <v>250821</v>
      </c>
      <c r="I11247">
        <v>4380</v>
      </c>
      <c r="J11247" t="s">
        <v>211</v>
      </c>
      <c r="K11247">
        <v>24.85</v>
      </c>
      <c r="L11247">
        <v>3.37</v>
      </c>
      <c r="M11247">
        <v>14952</v>
      </c>
      <c r="N11247" t="s">
        <v>213</v>
      </c>
      <c r="O11247">
        <v>250822</v>
      </c>
      <c r="P11247">
        <v>13.2</v>
      </c>
      <c r="Q11247"/>
    </row>
    <row r="11248" spans="1:17" s="1" customFormat="1" x14ac:dyDescent="0.25">
      <c r="A11248" t="s">
        <v>3296</v>
      </c>
      <c r="B11248" t="s">
        <v>2931</v>
      </c>
      <c r="C11248">
        <v>11797</v>
      </c>
      <c r="D11248" t="str">
        <f>"71678674    "</f>
        <v xml:space="preserve">71678674    </v>
      </c>
      <c r="E11248" t="s">
        <v>616</v>
      </c>
      <c r="F11248" t="s">
        <v>617</v>
      </c>
      <c r="G11248">
        <v>63.1</v>
      </c>
      <c r="H11248">
        <v>250831</v>
      </c>
      <c r="I11248">
        <v>4380</v>
      </c>
      <c r="J11248" t="s">
        <v>211</v>
      </c>
      <c r="K11248">
        <v>63.1</v>
      </c>
      <c r="L11248">
        <v>12.82</v>
      </c>
      <c r="M11248">
        <v>59504</v>
      </c>
      <c r="N11248" t="s">
        <v>193</v>
      </c>
      <c r="O11248">
        <v>250910</v>
      </c>
      <c r="P11248">
        <v>50.28</v>
      </c>
      <c r="Q11248"/>
    </row>
    <row r="11249" spans="1:17" s="1" customFormat="1" x14ac:dyDescent="0.25">
      <c r="A11249" t="s">
        <v>3296</v>
      </c>
      <c r="B11249" t="s">
        <v>2931</v>
      </c>
      <c r="C11249">
        <v>11798</v>
      </c>
      <c r="D11249" t="str">
        <f>"71678494    "</f>
        <v xml:space="preserve">71678494    </v>
      </c>
      <c r="E11249" t="s">
        <v>616</v>
      </c>
      <c r="F11249" t="s">
        <v>617</v>
      </c>
      <c r="G11249">
        <v>518.82000000000005</v>
      </c>
      <c r="H11249">
        <v>250831</v>
      </c>
      <c r="I11249">
        <v>4380</v>
      </c>
      <c r="J11249" t="s">
        <v>211</v>
      </c>
      <c r="K11249">
        <v>518.82000000000005</v>
      </c>
      <c r="L11249">
        <v>105.42</v>
      </c>
      <c r="M11249">
        <v>17951</v>
      </c>
      <c r="N11249" t="s">
        <v>207</v>
      </c>
      <c r="O11249">
        <v>250910</v>
      </c>
      <c r="P11249">
        <v>413.4</v>
      </c>
      <c r="Q11249"/>
    </row>
    <row r="11250" spans="1:17" s="1" customFormat="1" x14ac:dyDescent="0.25">
      <c r="A11250" t="s">
        <v>3296</v>
      </c>
      <c r="B11250" t="s">
        <v>2931</v>
      </c>
      <c r="C11250">
        <v>11800</v>
      </c>
      <c r="D11250" t="str">
        <f>"71678675    "</f>
        <v xml:space="preserve">71678675    </v>
      </c>
      <c r="E11250" t="s">
        <v>616</v>
      </c>
      <c r="F11250" t="s">
        <v>617</v>
      </c>
      <c r="G11250">
        <v>92.22</v>
      </c>
      <c r="H11250">
        <v>250831</v>
      </c>
      <c r="I11250">
        <v>4380</v>
      </c>
      <c r="J11250" t="s">
        <v>211</v>
      </c>
      <c r="K11250">
        <v>151.19999999999999</v>
      </c>
      <c r="L11250">
        <v>18.739999999999998</v>
      </c>
      <c r="M11250">
        <v>59502</v>
      </c>
      <c r="N11250" t="s">
        <v>63</v>
      </c>
      <c r="O11250">
        <v>250910</v>
      </c>
      <c r="P11250">
        <v>73.48</v>
      </c>
      <c r="Q11250"/>
    </row>
    <row r="11251" spans="1:17" s="1" customFormat="1" x14ac:dyDescent="0.25">
      <c r="A11251" t="s">
        <v>3296</v>
      </c>
      <c r="B11251" t="s">
        <v>2931</v>
      </c>
      <c r="C11251">
        <v>11800</v>
      </c>
      <c r="D11251" t="str">
        <f>"71678675    "</f>
        <v xml:space="preserve">71678675    </v>
      </c>
      <c r="E11251" t="s">
        <v>616</v>
      </c>
      <c r="F11251" t="s">
        <v>617</v>
      </c>
      <c r="G11251">
        <v>58.98</v>
      </c>
      <c r="H11251">
        <v>250831</v>
      </c>
      <c r="I11251">
        <v>4380</v>
      </c>
      <c r="J11251" t="s">
        <v>211</v>
      </c>
      <c r="K11251">
        <v>151.19999999999999</v>
      </c>
      <c r="L11251">
        <v>11.98</v>
      </c>
      <c r="M11251">
        <v>59802</v>
      </c>
      <c r="N11251" t="s">
        <v>195</v>
      </c>
      <c r="O11251">
        <v>250910</v>
      </c>
      <c r="P11251">
        <v>47</v>
      </c>
      <c r="Q11251"/>
    </row>
    <row r="11252" spans="1:17" s="1" customFormat="1" x14ac:dyDescent="0.25">
      <c r="A11252" t="s">
        <v>3296</v>
      </c>
      <c r="B11252" t="s">
        <v>2931</v>
      </c>
      <c r="C11252">
        <v>11804</v>
      </c>
      <c r="D11252" t="str">
        <f>"71678680    "</f>
        <v xml:space="preserve">71678680    </v>
      </c>
      <c r="E11252" t="s">
        <v>616</v>
      </c>
      <c r="F11252" t="s">
        <v>617</v>
      </c>
      <c r="G11252">
        <v>279.43</v>
      </c>
      <c r="H11252">
        <v>250831</v>
      </c>
      <c r="I11252">
        <v>4380</v>
      </c>
      <c r="J11252" t="s">
        <v>211</v>
      </c>
      <c r="K11252">
        <v>328.18</v>
      </c>
      <c r="L11252">
        <v>56.78</v>
      </c>
      <c r="M11252">
        <v>49501</v>
      </c>
      <c r="N11252" t="s">
        <v>110</v>
      </c>
      <c r="O11252">
        <v>250910</v>
      </c>
      <c r="P11252">
        <v>222.65</v>
      </c>
      <c r="Q11252"/>
    </row>
    <row r="11253" spans="1:17" s="1" customFormat="1" x14ac:dyDescent="0.25">
      <c r="A11253" t="s">
        <v>3296</v>
      </c>
      <c r="B11253" t="s">
        <v>2931</v>
      </c>
      <c r="C11253">
        <v>11804</v>
      </c>
      <c r="D11253" t="str">
        <f>"71678680    "</f>
        <v xml:space="preserve">71678680    </v>
      </c>
      <c r="E11253" t="s">
        <v>616</v>
      </c>
      <c r="F11253" t="s">
        <v>617</v>
      </c>
      <c r="G11253">
        <v>48.75</v>
      </c>
      <c r="H11253">
        <v>250831</v>
      </c>
      <c r="I11253">
        <v>4380</v>
      </c>
      <c r="J11253" t="s">
        <v>211</v>
      </c>
      <c r="K11253">
        <v>328.18</v>
      </c>
      <c r="L11253">
        <v>9.91</v>
      </c>
      <c r="M11253">
        <v>49503</v>
      </c>
      <c r="N11253" t="s">
        <v>267</v>
      </c>
      <c r="O11253">
        <v>250910</v>
      </c>
      <c r="P11253">
        <v>38.840000000000003</v>
      </c>
      <c r="Q11253"/>
    </row>
    <row r="11254" spans="1:17" s="1" customFormat="1" x14ac:dyDescent="0.25">
      <c r="A11254" t="s">
        <v>3296</v>
      </c>
      <c r="B11254" t="s">
        <v>2931</v>
      </c>
      <c r="C11254">
        <v>11806</v>
      </c>
      <c r="D11254" t="str">
        <f>"71679045    "</f>
        <v xml:space="preserve">71679045    </v>
      </c>
      <c r="E11254" t="s">
        <v>616</v>
      </c>
      <c r="F11254" t="s">
        <v>617</v>
      </c>
      <c r="G11254">
        <v>57.79</v>
      </c>
      <c r="H11254">
        <v>250831</v>
      </c>
      <c r="I11254">
        <v>4380</v>
      </c>
      <c r="J11254" t="s">
        <v>211</v>
      </c>
      <c r="K11254">
        <v>57.79</v>
      </c>
      <c r="L11254">
        <v>11.74</v>
      </c>
      <c r="M11254">
        <v>17952</v>
      </c>
      <c r="N11254" t="s">
        <v>157</v>
      </c>
      <c r="O11254">
        <v>250910</v>
      </c>
      <c r="P11254">
        <v>46.05</v>
      </c>
      <c r="Q11254"/>
    </row>
    <row r="11255" spans="1:17" s="1" customFormat="1" x14ac:dyDescent="0.25">
      <c r="A11255" t="s">
        <v>3296</v>
      </c>
      <c r="B11255" t="s">
        <v>2931</v>
      </c>
      <c r="C11255">
        <v>11808</v>
      </c>
      <c r="D11255" t="str">
        <f>"71678673    "</f>
        <v xml:space="preserve">71678673    </v>
      </c>
      <c r="E11255" t="s">
        <v>616</v>
      </c>
      <c r="F11255" t="s">
        <v>617</v>
      </c>
      <c r="G11255">
        <v>82.57</v>
      </c>
      <c r="H11255">
        <v>250831</v>
      </c>
      <c r="I11255">
        <v>4380</v>
      </c>
      <c r="J11255" t="s">
        <v>211</v>
      </c>
      <c r="K11255">
        <v>82.57</v>
      </c>
      <c r="L11255">
        <v>16.78</v>
      </c>
      <c r="M11255">
        <v>59505</v>
      </c>
      <c r="N11255" t="s">
        <v>194</v>
      </c>
      <c r="O11255">
        <v>250910</v>
      </c>
      <c r="P11255">
        <v>65.790000000000006</v>
      </c>
      <c r="Q11255"/>
    </row>
    <row r="11256" spans="1:17" s="1" customFormat="1" x14ac:dyDescent="0.25">
      <c r="A11256" t="s">
        <v>3296</v>
      </c>
      <c r="B11256" t="s">
        <v>2931</v>
      </c>
      <c r="C11256">
        <v>11812</v>
      </c>
      <c r="D11256" t="str">
        <f>"71678679    "</f>
        <v xml:space="preserve">71678679    </v>
      </c>
      <c r="E11256" t="s">
        <v>616</v>
      </c>
      <c r="F11256" t="s">
        <v>617</v>
      </c>
      <c r="G11256">
        <v>26.13</v>
      </c>
      <c r="H11256">
        <v>250831</v>
      </c>
      <c r="I11256">
        <v>4380</v>
      </c>
      <c r="J11256" t="s">
        <v>211</v>
      </c>
      <c r="K11256">
        <v>26.13</v>
      </c>
      <c r="L11256">
        <v>5.31</v>
      </c>
      <c r="M11256">
        <v>59503</v>
      </c>
      <c r="N11256" t="s">
        <v>766</v>
      </c>
      <c r="O11256">
        <v>250910</v>
      </c>
      <c r="P11256">
        <v>20.82</v>
      </c>
      <c r="Q11256"/>
    </row>
    <row r="11257" spans="1:17" s="1" customFormat="1" x14ac:dyDescent="0.25">
      <c r="A11257" t="s">
        <v>3296</v>
      </c>
      <c r="B11257" t="s">
        <v>2931</v>
      </c>
      <c r="C11257">
        <v>11813</v>
      </c>
      <c r="D11257" t="str">
        <f>"71679280    "</f>
        <v xml:space="preserve">71679280    </v>
      </c>
      <c r="E11257" t="s">
        <v>616</v>
      </c>
      <c r="F11257" t="s">
        <v>617</v>
      </c>
      <c r="G11257">
        <v>12.55</v>
      </c>
      <c r="H11257">
        <v>250831</v>
      </c>
      <c r="I11257">
        <v>4380</v>
      </c>
      <c r="J11257" t="s">
        <v>211</v>
      </c>
      <c r="K11257">
        <v>12.55</v>
      </c>
      <c r="L11257">
        <v>2.5499999999999998</v>
      </c>
      <c r="M11257">
        <v>13841</v>
      </c>
      <c r="N11257" t="s">
        <v>178</v>
      </c>
      <c r="O11257">
        <v>250910</v>
      </c>
      <c r="P11257">
        <v>10</v>
      </c>
      <c r="Q11257"/>
    </row>
    <row r="11258" spans="1:17" s="1" customFormat="1" x14ac:dyDescent="0.25">
      <c r="A11258" t="s">
        <v>3296</v>
      </c>
      <c r="B11258" t="s">
        <v>2931</v>
      </c>
      <c r="C11258">
        <v>11814</v>
      </c>
      <c r="D11258" t="str">
        <f>"71678672    "</f>
        <v xml:space="preserve">71678672    </v>
      </c>
      <c r="E11258" t="s">
        <v>616</v>
      </c>
      <c r="F11258" t="s">
        <v>617</v>
      </c>
      <c r="G11258">
        <v>315.27999999999997</v>
      </c>
      <c r="H11258">
        <v>250831</v>
      </c>
      <c r="I11258">
        <v>4380</v>
      </c>
      <c r="J11258" t="s">
        <v>211</v>
      </c>
      <c r="K11258">
        <v>315.27999999999997</v>
      </c>
      <c r="L11258">
        <v>64.06</v>
      </c>
      <c r="M11258">
        <v>59501</v>
      </c>
      <c r="N11258" t="s">
        <v>62</v>
      </c>
      <c r="O11258">
        <v>250910</v>
      </c>
      <c r="P11258">
        <v>251.22</v>
      </c>
      <c r="Q11258"/>
    </row>
    <row r="11259" spans="1:17" s="1" customFormat="1" x14ac:dyDescent="0.25">
      <c r="A11259" t="s">
        <v>3296</v>
      </c>
      <c r="B11259" t="s">
        <v>2931</v>
      </c>
      <c r="C11259">
        <v>12082</v>
      </c>
      <c r="D11259" t="str">
        <f>"71678497    "</f>
        <v xml:space="preserve">71678497    </v>
      </c>
      <c r="E11259" t="s">
        <v>616</v>
      </c>
      <c r="F11259" t="s">
        <v>617</v>
      </c>
      <c r="G11259">
        <v>19.27</v>
      </c>
      <c r="H11259">
        <v>250831</v>
      </c>
      <c r="I11259">
        <v>4380</v>
      </c>
      <c r="J11259" t="s">
        <v>211</v>
      </c>
      <c r="K11259">
        <v>248.55</v>
      </c>
      <c r="L11259">
        <v>3.92</v>
      </c>
      <c r="M11259">
        <v>13540</v>
      </c>
      <c r="N11259" t="s">
        <v>131</v>
      </c>
      <c r="O11259">
        <v>250916</v>
      </c>
      <c r="P11259">
        <v>15.35</v>
      </c>
      <c r="Q11259"/>
    </row>
    <row r="11260" spans="1:17" s="1" customFormat="1" x14ac:dyDescent="0.25">
      <c r="A11260" t="s">
        <v>3296</v>
      </c>
      <c r="B11260" t="s">
        <v>2931</v>
      </c>
      <c r="C11260">
        <v>12082</v>
      </c>
      <c r="D11260" t="str">
        <f>"71678497    "</f>
        <v xml:space="preserve">71678497    </v>
      </c>
      <c r="E11260" t="s">
        <v>616</v>
      </c>
      <c r="F11260" t="s">
        <v>617</v>
      </c>
      <c r="G11260">
        <v>73.290000000000006</v>
      </c>
      <c r="H11260">
        <v>250831</v>
      </c>
      <c r="I11260">
        <v>4380</v>
      </c>
      <c r="J11260" t="s">
        <v>211</v>
      </c>
      <c r="K11260">
        <v>248.55</v>
      </c>
      <c r="L11260">
        <v>14.89</v>
      </c>
      <c r="M11260">
        <v>17956</v>
      </c>
      <c r="N11260" t="s">
        <v>170</v>
      </c>
      <c r="O11260">
        <v>250916</v>
      </c>
      <c r="P11260">
        <v>58.4</v>
      </c>
      <c r="Q11260"/>
    </row>
    <row r="11261" spans="1:17" s="1" customFormat="1" x14ac:dyDescent="0.25">
      <c r="A11261" t="s">
        <v>3296</v>
      </c>
      <c r="B11261" t="s">
        <v>2931</v>
      </c>
      <c r="C11261">
        <v>12082</v>
      </c>
      <c r="D11261" t="str">
        <f>"71678497    "</f>
        <v xml:space="preserve">71678497    </v>
      </c>
      <c r="E11261" t="s">
        <v>616</v>
      </c>
      <c r="F11261" t="s">
        <v>617</v>
      </c>
      <c r="G11261">
        <v>155.99</v>
      </c>
      <c r="H11261">
        <v>250831</v>
      </c>
      <c r="I11261">
        <v>4380</v>
      </c>
      <c r="J11261" t="s">
        <v>211</v>
      </c>
      <c r="K11261">
        <v>248.55</v>
      </c>
      <c r="L11261">
        <v>31.7</v>
      </c>
      <c r="M11261">
        <v>17956</v>
      </c>
      <c r="N11261" t="s">
        <v>170</v>
      </c>
      <c r="O11261">
        <v>250916</v>
      </c>
      <c r="P11261">
        <v>124.29</v>
      </c>
      <c r="Q11261"/>
    </row>
    <row r="11262" spans="1:17" s="1" customFormat="1" x14ac:dyDescent="0.25">
      <c r="A11262" t="s">
        <v>3296</v>
      </c>
      <c r="B11262" t="s">
        <v>2931</v>
      </c>
      <c r="C11262">
        <v>12168</v>
      </c>
      <c r="D11262" t="str">
        <f>"71693759    "</f>
        <v xml:space="preserve">71693759    </v>
      </c>
      <c r="E11262" t="s">
        <v>616</v>
      </c>
      <c r="F11262" t="s">
        <v>617</v>
      </c>
      <c r="G11262">
        <v>50.43</v>
      </c>
      <c r="H11262">
        <v>250909</v>
      </c>
      <c r="I11262">
        <v>4380</v>
      </c>
      <c r="J11262" t="s">
        <v>211</v>
      </c>
      <c r="K11262">
        <v>50.43</v>
      </c>
      <c r="L11262">
        <v>10.25</v>
      </c>
      <c r="M11262">
        <v>46554</v>
      </c>
      <c r="N11262" t="s">
        <v>102</v>
      </c>
      <c r="O11262">
        <v>250917</v>
      </c>
      <c r="P11262">
        <v>40.18</v>
      </c>
      <c r="Q11262"/>
    </row>
    <row r="11263" spans="1:17" s="1" customFormat="1" x14ac:dyDescent="0.25">
      <c r="A11263" t="s">
        <v>3296</v>
      </c>
      <c r="B11263" t="s">
        <v>2931</v>
      </c>
      <c r="C11263">
        <v>12371</v>
      </c>
      <c r="D11263" t="str">
        <f>"71692922    "</f>
        <v xml:space="preserve">71692922    </v>
      </c>
      <c r="E11263" t="s">
        <v>616</v>
      </c>
      <c r="F11263" t="s">
        <v>617</v>
      </c>
      <c r="G11263">
        <v>122.49</v>
      </c>
      <c r="H11263">
        <v>250909</v>
      </c>
      <c r="I11263">
        <v>4380</v>
      </c>
      <c r="J11263" t="s">
        <v>211</v>
      </c>
      <c r="K11263">
        <v>122.49</v>
      </c>
      <c r="L11263">
        <v>24.89</v>
      </c>
      <c r="M11263">
        <v>47522</v>
      </c>
      <c r="N11263" t="s">
        <v>106</v>
      </c>
      <c r="O11263">
        <v>250919</v>
      </c>
      <c r="P11263">
        <v>97.6</v>
      </c>
      <c r="Q11263"/>
    </row>
    <row r="11264" spans="1:17" s="1" customFormat="1" x14ac:dyDescent="0.25">
      <c r="A11264" t="s">
        <v>3296</v>
      </c>
      <c r="B11264" t="s">
        <v>2931</v>
      </c>
      <c r="C11264">
        <v>12373</v>
      </c>
      <c r="D11264" t="str">
        <f>"71692921    "</f>
        <v xml:space="preserve">71692921    </v>
      </c>
      <c r="E11264" t="s">
        <v>616</v>
      </c>
      <c r="F11264" t="s">
        <v>617</v>
      </c>
      <c r="G11264">
        <v>143.82</v>
      </c>
      <c r="H11264">
        <v>250909</v>
      </c>
      <c r="I11264">
        <v>4380</v>
      </c>
      <c r="J11264" t="s">
        <v>211</v>
      </c>
      <c r="K11264">
        <v>143.82</v>
      </c>
      <c r="L11264">
        <v>29.22</v>
      </c>
      <c r="M11264">
        <v>47522</v>
      </c>
      <c r="N11264" t="s">
        <v>106</v>
      </c>
      <c r="O11264">
        <v>250919</v>
      </c>
      <c r="P11264">
        <v>114.6</v>
      </c>
      <c r="Q11264"/>
    </row>
    <row r="11265" spans="1:17" s="1" customFormat="1" x14ac:dyDescent="0.25">
      <c r="A11265" t="s">
        <v>3296</v>
      </c>
      <c r="B11265" t="s">
        <v>2931</v>
      </c>
      <c r="C11265">
        <v>12384</v>
      </c>
      <c r="D11265" t="str">
        <f>"71697489    "</f>
        <v xml:space="preserve">71697489    </v>
      </c>
      <c r="E11265" t="s">
        <v>616</v>
      </c>
      <c r="F11265" t="s">
        <v>617</v>
      </c>
      <c r="G11265">
        <v>55.22</v>
      </c>
      <c r="H11265">
        <v>250911</v>
      </c>
      <c r="I11265">
        <v>4380</v>
      </c>
      <c r="J11265" t="s">
        <v>211</v>
      </c>
      <c r="K11265">
        <v>55.22</v>
      </c>
      <c r="L11265">
        <v>11.22</v>
      </c>
      <c r="M11265">
        <v>17951</v>
      </c>
      <c r="N11265" t="s">
        <v>207</v>
      </c>
      <c r="O11265">
        <v>250919</v>
      </c>
      <c r="P11265">
        <v>44</v>
      </c>
      <c r="Q11265"/>
    </row>
    <row r="11266" spans="1:17" s="1" customFormat="1" x14ac:dyDescent="0.25">
      <c r="A11266" t="s">
        <v>3296</v>
      </c>
      <c r="B11266" t="s">
        <v>2931</v>
      </c>
      <c r="C11266">
        <v>12387</v>
      </c>
      <c r="D11266" t="str">
        <f>"71697490    "</f>
        <v xml:space="preserve">71697490    </v>
      </c>
      <c r="E11266" t="s">
        <v>616</v>
      </c>
      <c r="F11266" t="s">
        <v>617</v>
      </c>
      <c r="G11266">
        <v>25.1</v>
      </c>
      <c r="H11266">
        <v>250911</v>
      </c>
      <c r="I11266">
        <v>4380</v>
      </c>
      <c r="J11266" t="s">
        <v>211</v>
      </c>
      <c r="K11266">
        <v>25.1</v>
      </c>
      <c r="L11266">
        <v>5.0999999999999996</v>
      </c>
      <c r="M11266">
        <v>17951</v>
      </c>
      <c r="N11266" t="s">
        <v>207</v>
      </c>
      <c r="O11266">
        <v>250919</v>
      </c>
      <c r="P11266">
        <v>20</v>
      </c>
      <c r="Q11266"/>
    </row>
    <row r="11267" spans="1:17" s="1" customFormat="1" x14ac:dyDescent="0.25">
      <c r="A11267" t="s">
        <v>3296</v>
      </c>
      <c r="B11267" t="s">
        <v>2931</v>
      </c>
      <c r="C11267">
        <v>12388</v>
      </c>
      <c r="D11267" t="str">
        <f>"71697487    "</f>
        <v xml:space="preserve">71697487    </v>
      </c>
      <c r="E11267" t="s">
        <v>616</v>
      </c>
      <c r="F11267" t="s">
        <v>617</v>
      </c>
      <c r="G11267">
        <v>165.41</v>
      </c>
      <c r="H11267">
        <v>250911</v>
      </c>
      <c r="I11267">
        <v>4380</v>
      </c>
      <c r="J11267" t="s">
        <v>211</v>
      </c>
      <c r="K11267">
        <v>165.41</v>
      </c>
      <c r="L11267">
        <v>33.61</v>
      </c>
      <c r="M11267">
        <v>49501</v>
      </c>
      <c r="N11267" t="s">
        <v>110</v>
      </c>
      <c r="O11267">
        <v>250919</v>
      </c>
      <c r="P11267">
        <v>131.80000000000001</v>
      </c>
      <c r="Q11267"/>
    </row>
    <row r="11268" spans="1:17" s="1" customFormat="1" x14ac:dyDescent="0.25">
      <c r="A11268" t="s">
        <v>3296</v>
      </c>
      <c r="B11268" t="s">
        <v>2931</v>
      </c>
      <c r="C11268">
        <v>12393</v>
      </c>
      <c r="D11268" t="str">
        <f>"71697485    "</f>
        <v xml:space="preserve">71697485    </v>
      </c>
      <c r="E11268" t="s">
        <v>616</v>
      </c>
      <c r="F11268" t="s">
        <v>617</v>
      </c>
      <c r="G11268">
        <v>268.82</v>
      </c>
      <c r="H11268">
        <v>250911</v>
      </c>
      <c r="I11268">
        <v>4380</v>
      </c>
      <c r="J11268" t="s">
        <v>211</v>
      </c>
      <c r="K11268">
        <v>768.06</v>
      </c>
      <c r="L11268">
        <v>54.62</v>
      </c>
      <c r="M11268">
        <v>59502</v>
      </c>
      <c r="N11268" t="s">
        <v>63</v>
      </c>
      <c r="O11268">
        <v>250919</v>
      </c>
      <c r="P11268">
        <v>214.2</v>
      </c>
      <c r="Q11268"/>
    </row>
    <row r="11269" spans="1:17" s="1" customFormat="1" x14ac:dyDescent="0.25">
      <c r="A11269" t="s">
        <v>3296</v>
      </c>
      <c r="B11269" t="s">
        <v>2931</v>
      </c>
      <c r="C11269">
        <v>12393</v>
      </c>
      <c r="D11269" t="str">
        <f>"71697485    "</f>
        <v xml:space="preserve">71697485    </v>
      </c>
      <c r="E11269" t="s">
        <v>616</v>
      </c>
      <c r="F11269" t="s">
        <v>617</v>
      </c>
      <c r="G11269">
        <v>499.24</v>
      </c>
      <c r="H11269">
        <v>250911</v>
      </c>
      <c r="I11269">
        <v>4380</v>
      </c>
      <c r="J11269" t="s">
        <v>211</v>
      </c>
      <c r="K11269">
        <v>768.06</v>
      </c>
      <c r="L11269">
        <v>101.44</v>
      </c>
      <c r="M11269">
        <v>59802</v>
      </c>
      <c r="N11269" t="s">
        <v>195</v>
      </c>
      <c r="O11269">
        <v>250919</v>
      </c>
      <c r="P11269">
        <v>397.8</v>
      </c>
      <c r="Q11269"/>
    </row>
    <row r="11270" spans="1:17" s="1" customFormat="1" x14ac:dyDescent="0.25">
      <c r="A11270" t="s">
        <v>3296</v>
      </c>
      <c r="B11270" t="s">
        <v>2931</v>
      </c>
      <c r="C11270">
        <v>12394</v>
      </c>
      <c r="D11270" t="str">
        <f>"71697494    "</f>
        <v xml:space="preserve">71697494    </v>
      </c>
      <c r="E11270" t="s">
        <v>616</v>
      </c>
      <c r="F11270" t="s">
        <v>617</v>
      </c>
      <c r="G11270">
        <v>13.8</v>
      </c>
      <c r="H11270">
        <v>250911</v>
      </c>
      <c r="I11270">
        <v>4380</v>
      </c>
      <c r="J11270" t="s">
        <v>211</v>
      </c>
      <c r="K11270">
        <v>53.97</v>
      </c>
      <c r="L11270">
        <v>2.8</v>
      </c>
      <c r="M11270">
        <v>17956</v>
      </c>
      <c r="N11270" t="s">
        <v>170</v>
      </c>
      <c r="O11270">
        <v>250919</v>
      </c>
      <c r="P11270">
        <v>11</v>
      </c>
      <c r="Q11270"/>
    </row>
    <row r="11271" spans="1:17" s="1" customFormat="1" x14ac:dyDescent="0.25">
      <c r="A11271" t="s">
        <v>3296</v>
      </c>
      <c r="B11271" t="s">
        <v>2931</v>
      </c>
      <c r="C11271">
        <v>12397</v>
      </c>
      <c r="D11271" t="str">
        <f>"71697496    "</f>
        <v xml:space="preserve">71697496    </v>
      </c>
      <c r="E11271" t="s">
        <v>616</v>
      </c>
      <c r="F11271" t="s">
        <v>617</v>
      </c>
      <c r="G11271">
        <v>45.18</v>
      </c>
      <c r="H11271">
        <v>250911</v>
      </c>
      <c r="I11271">
        <v>4380</v>
      </c>
      <c r="J11271" t="s">
        <v>211</v>
      </c>
      <c r="K11271">
        <v>45.18</v>
      </c>
      <c r="L11271">
        <v>9.18</v>
      </c>
      <c r="M11271">
        <v>17951</v>
      </c>
      <c r="N11271" t="s">
        <v>207</v>
      </c>
      <c r="O11271">
        <v>250919</v>
      </c>
      <c r="P11271">
        <v>36</v>
      </c>
      <c r="Q11271"/>
    </row>
    <row r="11272" spans="1:17" s="1" customFormat="1" x14ac:dyDescent="0.25">
      <c r="A11272" t="s">
        <v>3296</v>
      </c>
      <c r="B11272" t="s">
        <v>2931</v>
      </c>
      <c r="C11272">
        <v>12398</v>
      </c>
      <c r="D11272" t="str">
        <f>"71697488    "</f>
        <v xml:space="preserve">71697488    </v>
      </c>
      <c r="E11272" t="s">
        <v>616</v>
      </c>
      <c r="F11272" t="s">
        <v>617</v>
      </c>
      <c r="G11272">
        <v>310.49</v>
      </c>
      <c r="H11272">
        <v>250911</v>
      </c>
      <c r="I11272">
        <v>4380</v>
      </c>
      <c r="J11272" t="s">
        <v>211</v>
      </c>
      <c r="K11272">
        <v>310.49</v>
      </c>
      <c r="L11272">
        <v>63.09</v>
      </c>
      <c r="M11272">
        <v>17951</v>
      </c>
      <c r="N11272" t="s">
        <v>207</v>
      </c>
      <c r="O11272">
        <v>250919</v>
      </c>
      <c r="P11272">
        <v>247.4</v>
      </c>
      <c r="Q11272"/>
    </row>
    <row r="11273" spans="1:17" s="1" customFormat="1" x14ac:dyDescent="0.25">
      <c r="A11273" t="s">
        <v>3296</v>
      </c>
      <c r="B11273" t="s">
        <v>2931</v>
      </c>
      <c r="C11273">
        <v>12400</v>
      </c>
      <c r="D11273" t="str">
        <f>"71697495    "</f>
        <v xml:space="preserve">71697495    </v>
      </c>
      <c r="E11273" t="s">
        <v>616</v>
      </c>
      <c r="F11273" t="s">
        <v>617</v>
      </c>
      <c r="G11273">
        <v>30.12</v>
      </c>
      <c r="H11273">
        <v>250911</v>
      </c>
      <c r="I11273">
        <v>4380</v>
      </c>
      <c r="J11273" t="s">
        <v>211</v>
      </c>
      <c r="K11273">
        <v>49.45</v>
      </c>
      <c r="L11273">
        <v>6.12</v>
      </c>
      <c r="M11273">
        <v>17956</v>
      </c>
      <c r="N11273" t="s">
        <v>170</v>
      </c>
      <c r="O11273">
        <v>250919</v>
      </c>
      <c r="P11273">
        <v>24</v>
      </c>
      <c r="Q11273"/>
    </row>
    <row r="11274" spans="1:17" s="1" customFormat="1" x14ac:dyDescent="0.25">
      <c r="A11274" t="s">
        <v>3296</v>
      </c>
      <c r="B11274" t="s">
        <v>2931</v>
      </c>
      <c r="C11274">
        <v>12401</v>
      </c>
      <c r="D11274" t="str">
        <f>"71697493    "</f>
        <v xml:space="preserve">71697493    </v>
      </c>
      <c r="E11274" t="s">
        <v>616</v>
      </c>
      <c r="F11274" t="s">
        <v>617</v>
      </c>
      <c r="G11274">
        <v>547.92999999999995</v>
      </c>
      <c r="H11274">
        <v>250911</v>
      </c>
      <c r="I11274">
        <v>4380</v>
      </c>
      <c r="J11274" t="s">
        <v>211</v>
      </c>
      <c r="K11274">
        <v>547.92999999999995</v>
      </c>
      <c r="L11274">
        <v>111.33</v>
      </c>
      <c r="M11274">
        <v>59501</v>
      </c>
      <c r="N11274" t="s">
        <v>62</v>
      </c>
      <c r="O11274">
        <v>250919</v>
      </c>
      <c r="P11274">
        <v>436.6</v>
      </c>
      <c r="Q11274"/>
    </row>
    <row r="11275" spans="1:17" s="1" customFormat="1" x14ac:dyDescent="0.25">
      <c r="A11275" t="s">
        <v>3296</v>
      </c>
      <c r="B11275" t="s">
        <v>2931</v>
      </c>
      <c r="C11275">
        <v>12402</v>
      </c>
      <c r="D11275" t="str">
        <f>"71697497    "</f>
        <v xml:space="preserve">71697497    </v>
      </c>
      <c r="E11275" t="s">
        <v>616</v>
      </c>
      <c r="F11275" t="s">
        <v>617</v>
      </c>
      <c r="G11275">
        <v>50.2</v>
      </c>
      <c r="H11275">
        <v>250911</v>
      </c>
      <c r="I11275">
        <v>4380</v>
      </c>
      <c r="J11275" t="s">
        <v>211</v>
      </c>
      <c r="K11275">
        <v>58.48</v>
      </c>
      <c r="L11275">
        <v>10.199999999999999</v>
      </c>
      <c r="M11275">
        <v>17956</v>
      </c>
      <c r="N11275" t="s">
        <v>170</v>
      </c>
      <c r="O11275">
        <v>250919</v>
      </c>
      <c r="P11275">
        <v>40</v>
      </c>
      <c r="Q11275"/>
    </row>
    <row r="11276" spans="1:17" s="1" customFormat="1" x14ac:dyDescent="0.25">
      <c r="A11276" t="s">
        <v>3296</v>
      </c>
      <c r="B11276" t="s">
        <v>2931</v>
      </c>
      <c r="C11276">
        <v>12403</v>
      </c>
      <c r="D11276" t="str">
        <f>"71697498    "</f>
        <v xml:space="preserve">71697498    </v>
      </c>
      <c r="E11276" t="s">
        <v>616</v>
      </c>
      <c r="F11276" t="s">
        <v>617</v>
      </c>
      <c r="G11276">
        <v>100.4</v>
      </c>
      <c r="H11276">
        <v>250911</v>
      </c>
      <c r="I11276">
        <v>4380</v>
      </c>
      <c r="J11276" t="s">
        <v>211</v>
      </c>
      <c r="K11276">
        <v>100.4</v>
      </c>
      <c r="L11276">
        <v>20.399999999999999</v>
      </c>
      <c r="M11276">
        <v>17951</v>
      </c>
      <c r="N11276" t="s">
        <v>207</v>
      </c>
      <c r="O11276">
        <v>250919</v>
      </c>
      <c r="P11276">
        <v>80</v>
      </c>
      <c r="Q11276"/>
    </row>
    <row r="11277" spans="1:17" s="1" customFormat="1" x14ac:dyDescent="0.25">
      <c r="A11277" t="s">
        <v>3296</v>
      </c>
      <c r="B11277" t="s">
        <v>2931</v>
      </c>
      <c r="C11277">
        <v>12404</v>
      </c>
      <c r="D11277" t="str">
        <f>"71697378    "</f>
        <v xml:space="preserve">71697378    </v>
      </c>
      <c r="E11277" t="s">
        <v>616</v>
      </c>
      <c r="F11277" t="s">
        <v>617</v>
      </c>
      <c r="G11277">
        <v>11.04</v>
      </c>
      <c r="H11277">
        <v>250911</v>
      </c>
      <c r="I11277">
        <v>4380</v>
      </c>
      <c r="J11277" t="s">
        <v>211</v>
      </c>
      <c r="K11277">
        <v>11.04</v>
      </c>
      <c r="L11277">
        <v>2.2400000000000002</v>
      </c>
      <c r="M11277">
        <v>59503</v>
      </c>
      <c r="N11277" t="s">
        <v>766</v>
      </c>
      <c r="O11277">
        <v>250919</v>
      </c>
      <c r="P11277">
        <v>8.8000000000000007</v>
      </c>
      <c r="Q11277"/>
    </row>
    <row r="11278" spans="1:17" s="1" customFormat="1" x14ac:dyDescent="0.25">
      <c r="A11278" t="s">
        <v>3296</v>
      </c>
      <c r="B11278" t="s">
        <v>2931</v>
      </c>
      <c r="C11278">
        <v>12405</v>
      </c>
      <c r="D11278" t="str">
        <f>"71697491    "</f>
        <v xml:space="preserve">71697491    </v>
      </c>
      <c r="E11278" t="s">
        <v>616</v>
      </c>
      <c r="F11278" t="s">
        <v>617</v>
      </c>
      <c r="G11278">
        <v>71.03</v>
      </c>
      <c r="H11278">
        <v>250911</v>
      </c>
      <c r="I11278">
        <v>4380</v>
      </c>
      <c r="J11278" t="s">
        <v>211</v>
      </c>
      <c r="K11278">
        <v>71.03</v>
      </c>
      <c r="L11278">
        <v>14.43</v>
      </c>
      <c r="M11278">
        <v>59504</v>
      </c>
      <c r="N11278" t="s">
        <v>193</v>
      </c>
      <c r="O11278">
        <v>250919</v>
      </c>
      <c r="P11278">
        <v>56.6</v>
      </c>
      <c r="Q11278"/>
    </row>
    <row r="11279" spans="1:17" s="1" customFormat="1" x14ac:dyDescent="0.25">
      <c r="A11279" t="s">
        <v>3296</v>
      </c>
      <c r="B11279" t="s">
        <v>2931</v>
      </c>
      <c r="C11279">
        <v>12406</v>
      </c>
      <c r="D11279" t="str">
        <f>"71697492    "</f>
        <v xml:space="preserve">71697492    </v>
      </c>
      <c r="E11279" t="s">
        <v>616</v>
      </c>
      <c r="F11279" t="s">
        <v>617</v>
      </c>
      <c r="G11279">
        <v>59.16</v>
      </c>
      <c r="H11279">
        <v>250911</v>
      </c>
      <c r="I11279">
        <v>4380</v>
      </c>
      <c r="J11279" t="s">
        <v>211</v>
      </c>
      <c r="K11279">
        <v>713.84</v>
      </c>
      <c r="L11279">
        <v>12.02</v>
      </c>
      <c r="M11279">
        <v>13540</v>
      </c>
      <c r="N11279" t="s">
        <v>131</v>
      </c>
      <c r="O11279">
        <v>250919</v>
      </c>
      <c r="P11279">
        <v>47.14</v>
      </c>
      <c r="Q11279"/>
    </row>
    <row r="11280" spans="1:17" s="1" customFormat="1" x14ac:dyDescent="0.25">
      <c r="A11280" t="s">
        <v>3296</v>
      </c>
      <c r="B11280" t="s">
        <v>2931</v>
      </c>
      <c r="C11280">
        <v>12406</v>
      </c>
      <c r="D11280" t="str">
        <f>"71697492    "</f>
        <v xml:space="preserve">71697492    </v>
      </c>
      <c r="E11280" t="s">
        <v>616</v>
      </c>
      <c r="F11280" t="s">
        <v>617</v>
      </c>
      <c r="G11280">
        <v>478.64</v>
      </c>
      <c r="H11280">
        <v>250911</v>
      </c>
      <c r="I11280">
        <v>4380</v>
      </c>
      <c r="J11280" t="s">
        <v>211</v>
      </c>
      <c r="K11280">
        <v>713.84</v>
      </c>
      <c r="L11280">
        <v>97.25</v>
      </c>
      <c r="M11280">
        <v>17950</v>
      </c>
      <c r="N11280" t="s">
        <v>132</v>
      </c>
      <c r="O11280">
        <v>250919</v>
      </c>
      <c r="P11280">
        <v>381.39</v>
      </c>
      <c r="Q11280"/>
    </row>
    <row r="11281" spans="1:17" s="1" customFormat="1" x14ac:dyDescent="0.25">
      <c r="A11281" t="s">
        <v>3296</v>
      </c>
      <c r="B11281" t="s">
        <v>2931</v>
      </c>
      <c r="C11281">
        <v>12429</v>
      </c>
      <c r="D11281" t="str">
        <f>"71735293    "</f>
        <v xml:space="preserve">71735293    </v>
      </c>
      <c r="E11281" t="s">
        <v>616</v>
      </c>
      <c r="F11281" t="s">
        <v>617</v>
      </c>
      <c r="G11281">
        <v>241.46</v>
      </c>
      <c r="H11281">
        <v>250918</v>
      </c>
      <c r="I11281">
        <v>4380</v>
      </c>
      <c r="J11281" t="s">
        <v>211</v>
      </c>
      <c r="K11281">
        <v>241.46</v>
      </c>
      <c r="L11281">
        <v>49.06</v>
      </c>
      <c r="M11281">
        <v>59505</v>
      </c>
      <c r="N11281" t="s">
        <v>194</v>
      </c>
      <c r="O11281">
        <v>250919</v>
      </c>
      <c r="P11281">
        <v>192.4</v>
      </c>
      <c r="Q11281"/>
    </row>
    <row r="11282" spans="1:17" s="1" customFormat="1" x14ac:dyDescent="0.25">
      <c r="A11282" t="s">
        <v>3296</v>
      </c>
      <c r="B11282" t="s">
        <v>2931</v>
      </c>
      <c r="C11282">
        <v>12711</v>
      </c>
      <c r="D11282" t="str">
        <f>"71678676    "</f>
        <v xml:space="preserve">71678676    </v>
      </c>
      <c r="E11282" t="s">
        <v>616</v>
      </c>
      <c r="F11282" t="s">
        <v>617</v>
      </c>
      <c r="G11282">
        <v>105.12</v>
      </c>
      <c r="H11282">
        <v>250901</v>
      </c>
      <c r="I11282">
        <v>4380</v>
      </c>
      <c r="J11282" t="s">
        <v>211</v>
      </c>
      <c r="K11282">
        <v>132.08000000000001</v>
      </c>
      <c r="L11282">
        <v>21.36</v>
      </c>
      <c r="M11282">
        <v>14432</v>
      </c>
      <c r="N11282" t="s">
        <v>75</v>
      </c>
      <c r="O11282">
        <v>250929</v>
      </c>
      <c r="P11282">
        <v>83.76</v>
      </c>
      <c r="Q11282"/>
    </row>
    <row r="11283" spans="1:17" s="1" customFormat="1" x14ac:dyDescent="0.25">
      <c r="A11283" t="s">
        <v>3296</v>
      </c>
      <c r="B11283" t="s">
        <v>2931</v>
      </c>
      <c r="C11283">
        <v>12711</v>
      </c>
      <c r="D11283" t="str">
        <f>"71678676    "</f>
        <v xml:space="preserve">71678676    </v>
      </c>
      <c r="E11283" t="s">
        <v>616</v>
      </c>
      <c r="F11283" t="s">
        <v>617</v>
      </c>
      <c r="G11283">
        <v>26.96</v>
      </c>
      <c r="H11283">
        <v>250901</v>
      </c>
      <c r="I11283">
        <v>4380</v>
      </c>
      <c r="J11283" t="s">
        <v>211</v>
      </c>
      <c r="K11283">
        <v>132.08000000000001</v>
      </c>
      <c r="L11283">
        <v>5.48</v>
      </c>
      <c r="M11283">
        <v>14951</v>
      </c>
      <c r="N11283" t="s">
        <v>186</v>
      </c>
      <c r="O11283">
        <v>250929</v>
      </c>
      <c r="P11283">
        <v>21.48</v>
      </c>
      <c r="Q11283"/>
    </row>
    <row r="11284" spans="1:17" s="1" customFormat="1" x14ac:dyDescent="0.25">
      <c r="A11284" t="s">
        <v>3296</v>
      </c>
      <c r="B11284" t="s">
        <v>2931</v>
      </c>
      <c r="C11284">
        <v>12966</v>
      </c>
      <c r="D11284" t="str">
        <f>"71697486    "</f>
        <v xml:space="preserve">71697486    </v>
      </c>
      <c r="E11284" t="s">
        <v>616</v>
      </c>
      <c r="F11284" t="s">
        <v>617</v>
      </c>
      <c r="G11284">
        <v>434.23</v>
      </c>
      <c r="H11284">
        <v>250911</v>
      </c>
      <c r="I11284">
        <v>4380</v>
      </c>
      <c r="J11284" t="s">
        <v>211</v>
      </c>
      <c r="K11284">
        <v>434.23</v>
      </c>
      <c r="L11284">
        <v>88.23</v>
      </c>
      <c r="M11284">
        <v>14951</v>
      </c>
      <c r="N11284" t="s">
        <v>186</v>
      </c>
      <c r="O11284">
        <v>251003</v>
      </c>
      <c r="P11284">
        <v>346</v>
      </c>
      <c r="Q11284"/>
    </row>
    <row r="11285" spans="1:17" s="1" customFormat="1" x14ac:dyDescent="0.25">
      <c r="A11285" t="s">
        <v>3296</v>
      </c>
      <c r="B11285" t="s">
        <v>2931</v>
      </c>
      <c r="C11285">
        <v>13046</v>
      </c>
      <c r="D11285" t="str">
        <f>"71735294    "</f>
        <v xml:space="preserve">71735294    </v>
      </c>
      <c r="E11285" t="s">
        <v>616</v>
      </c>
      <c r="F11285" t="s">
        <v>617</v>
      </c>
      <c r="G11285">
        <v>30.04</v>
      </c>
      <c r="H11285">
        <v>250918</v>
      </c>
      <c r="I11285">
        <v>4380</v>
      </c>
      <c r="J11285" t="s">
        <v>211</v>
      </c>
      <c r="K11285">
        <v>100.15</v>
      </c>
      <c r="L11285">
        <v>6.1</v>
      </c>
      <c r="M11285">
        <v>11401</v>
      </c>
      <c r="N11285" t="s">
        <v>91</v>
      </c>
      <c r="O11285">
        <v>251003</v>
      </c>
      <c r="P11285">
        <v>23.94</v>
      </c>
      <c r="Q11285"/>
    </row>
    <row r="11286" spans="1:17" s="1" customFormat="1" x14ac:dyDescent="0.25">
      <c r="A11286" t="s">
        <v>3296</v>
      </c>
      <c r="B11286" t="s">
        <v>2931</v>
      </c>
      <c r="C11286">
        <v>13046</v>
      </c>
      <c r="D11286" t="str">
        <f>"71735294    "</f>
        <v xml:space="preserve">71735294    </v>
      </c>
      <c r="E11286" t="s">
        <v>616</v>
      </c>
      <c r="F11286" t="s">
        <v>617</v>
      </c>
      <c r="G11286">
        <v>70.11</v>
      </c>
      <c r="H11286">
        <v>250918</v>
      </c>
      <c r="I11286">
        <v>4380</v>
      </c>
      <c r="J11286" t="s">
        <v>211</v>
      </c>
      <c r="K11286">
        <v>100.15</v>
      </c>
      <c r="L11286">
        <v>14.25</v>
      </c>
      <c r="M11286">
        <v>14952</v>
      </c>
      <c r="N11286" t="s">
        <v>213</v>
      </c>
      <c r="O11286">
        <v>251003</v>
      </c>
      <c r="P11286">
        <v>55.86</v>
      </c>
      <c r="Q11286"/>
    </row>
    <row r="11287" spans="1:17" s="1" customFormat="1" x14ac:dyDescent="0.25">
      <c r="A11287" t="s">
        <v>3296</v>
      </c>
      <c r="B11287" t="s">
        <v>2931</v>
      </c>
      <c r="C11287">
        <v>13058</v>
      </c>
      <c r="D11287" t="str">
        <f>"71736822    "</f>
        <v xml:space="preserve">71736822    </v>
      </c>
      <c r="E11287" t="s">
        <v>616</v>
      </c>
      <c r="F11287" t="s">
        <v>617</v>
      </c>
      <c r="G11287">
        <v>420.37</v>
      </c>
      <c r="H11287">
        <v>250930</v>
      </c>
      <c r="I11287">
        <v>4380</v>
      </c>
      <c r="J11287" t="s">
        <v>211</v>
      </c>
      <c r="K11287">
        <v>420.37</v>
      </c>
      <c r="L11287">
        <v>85.41</v>
      </c>
      <c r="M11287">
        <v>59501</v>
      </c>
      <c r="N11287" t="s">
        <v>62</v>
      </c>
      <c r="O11287">
        <v>251003</v>
      </c>
      <c r="P11287">
        <v>334.96</v>
      </c>
      <c r="Q11287"/>
    </row>
    <row r="11288" spans="1:17" s="1" customFormat="1" x14ac:dyDescent="0.25">
      <c r="A11288" t="s">
        <v>3296</v>
      </c>
      <c r="B11288" t="s">
        <v>2931</v>
      </c>
      <c r="C11288">
        <v>13059</v>
      </c>
      <c r="D11288" t="str">
        <f>"71736823    "</f>
        <v xml:space="preserve">71736823    </v>
      </c>
      <c r="E11288" t="s">
        <v>616</v>
      </c>
      <c r="F11288" t="s">
        <v>617</v>
      </c>
      <c r="G11288">
        <v>84.14</v>
      </c>
      <c r="H11288">
        <v>250930</v>
      </c>
      <c r="I11288">
        <v>4380</v>
      </c>
      <c r="J11288" t="s">
        <v>211</v>
      </c>
      <c r="K11288">
        <v>84.14</v>
      </c>
      <c r="L11288">
        <v>17.100000000000001</v>
      </c>
      <c r="M11288">
        <v>59504</v>
      </c>
      <c r="N11288" t="s">
        <v>193</v>
      </c>
      <c r="O11288">
        <v>251003</v>
      </c>
      <c r="P11288">
        <v>67.040000000000006</v>
      </c>
      <c r="Q11288"/>
    </row>
    <row r="11289" spans="1:17" s="1" customFormat="1" x14ac:dyDescent="0.25">
      <c r="A11289" t="s">
        <v>3296</v>
      </c>
      <c r="B11289" t="s">
        <v>2931</v>
      </c>
      <c r="C11289">
        <v>13060</v>
      </c>
      <c r="D11289" t="str">
        <f>"71736824    "</f>
        <v xml:space="preserve">71736824    </v>
      </c>
      <c r="E11289" t="s">
        <v>616</v>
      </c>
      <c r="F11289" t="s">
        <v>617</v>
      </c>
      <c r="G11289">
        <v>122.96</v>
      </c>
      <c r="H11289">
        <v>250930</v>
      </c>
      <c r="I11289">
        <v>4380</v>
      </c>
      <c r="J11289" t="s">
        <v>211</v>
      </c>
      <c r="K11289">
        <v>201.6</v>
      </c>
      <c r="L11289">
        <v>24.98</v>
      </c>
      <c r="M11289">
        <v>59502</v>
      </c>
      <c r="N11289" t="s">
        <v>63</v>
      </c>
      <c r="O11289">
        <v>251003</v>
      </c>
      <c r="P11289">
        <v>97.98</v>
      </c>
      <c r="Q11289"/>
    </row>
    <row r="11290" spans="1:17" s="1" customFormat="1" x14ac:dyDescent="0.25">
      <c r="A11290" t="s">
        <v>3296</v>
      </c>
      <c r="B11290" t="s">
        <v>2931</v>
      </c>
      <c r="C11290">
        <v>13060</v>
      </c>
      <c r="D11290" t="str">
        <f>"71736824    "</f>
        <v xml:space="preserve">71736824    </v>
      </c>
      <c r="E11290" t="s">
        <v>616</v>
      </c>
      <c r="F11290" t="s">
        <v>617</v>
      </c>
      <c r="G11290">
        <v>78.64</v>
      </c>
      <c r="H11290">
        <v>250930</v>
      </c>
      <c r="I11290">
        <v>4380</v>
      </c>
      <c r="J11290" t="s">
        <v>211</v>
      </c>
      <c r="K11290">
        <v>201.6</v>
      </c>
      <c r="L11290">
        <v>15.98</v>
      </c>
      <c r="M11290">
        <v>59802</v>
      </c>
      <c r="N11290" t="s">
        <v>195</v>
      </c>
      <c r="O11290">
        <v>251003</v>
      </c>
      <c r="P11290">
        <v>62.66</v>
      </c>
      <c r="Q11290"/>
    </row>
    <row r="11291" spans="1:17" s="1" customFormat="1" x14ac:dyDescent="0.25">
      <c r="A11291" t="s">
        <v>3296</v>
      </c>
      <c r="B11291" t="s">
        <v>2931</v>
      </c>
      <c r="C11291">
        <v>13061</v>
      </c>
      <c r="D11291" t="str">
        <f>"71737191    "</f>
        <v xml:space="preserve">71737191    </v>
      </c>
      <c r="E11291" t="s">
        <v>616</v>
      </c>
      <c r="F11291" t="s">
        <v>617</v>
      </c>
      <c r="G11291">
        <v>77.06</v>
      </c>
      <c r="H11291">
        <v>250930</v>
      </c>
      <c r="I11291">
        <v>4380</v>
      </c>
      <c r="J11291" t="s">
        <v>211</v>
      </c>
      <c r="K11291">
        <v>77.06</v>
      </c>
      <c r="L11291">
        <v>15.66</v>
      </c>
      <c r="M11291">
        <v>17952</v>
      </c>
      <c r="N11291" t="s">
        <v>157</v>
      </c>
      <c r="O11291">
        <v>251003</v>
      </c>
      <c r="P11291">
        <v>61.4</v>
      </c>
      <c r="Q11291"/>
    </row>
    <row r="11292" spans="1:17" s="1" customFormat="1" x14ac:dyDescent="0.25">
      <c r="A11292" t="s">
        <v>3296</v>
      </c>
      <c r="B11292" t="s">
        <v>2931</v>
      </c>
      <c r="C11292">
        <v>13062</v>
      </c>
      <c r="D11292" t="str">
        <f>"71736825    "</f>
        <v xml:space="preserve">71736825    </v>
      </c>
      <c r="E11292" t="s">
        <v>616</v>
      </c>
      <c r="F11292" t="s">
        <v>617</v>
      </c>
      <c r="G11292">
        <v>105.12</v>
      </c>
      <c r="H11292">
        <v>250930</v>
      </c>
      <c r="I11292">
        <v>4380</v>
      </c>
      <c r="J11292" t="s">
        <v>211</v>
      </c>
      <c r="K11292">
        <v>132.08000000000001</v>
      </c>
      <c r="L11292">
        <v>21.36</v>
      </c>
      <c r="M11292">
        <v>14432</v>
      </c>
      <c r="N11292" t="s">
        <v>75</v>
      </c>
      <c r="O11292">
        <v>251003</v>
      </c>
      <c r="P11292">
        <v>83.76</v>
      </c>
      <c r="Q11292"/>
    </row>
    <row r="11293" spans="1:17" s="1" customFormat="1" x14ac:dyDescent="0.25">
      <c r="A11293" t="s">
        <v>3296</v>
      </c>
      <c r="B11293" t="s">
        <v>2931</v>
      </c>
      <c r="C11293">
        <v>13062</v>
      </c>
      <c r="D11293" t="str">
        <f>"71736825    "</f>
        <v xml:space="preserve">71736825    </v>
      </c>
      <c r="E11293" t="s">
        <v>616</v>
      </c>
      <c r="F11293" t="s">
        <v>617</v>
      </c>
      <c r="G11293">
        <v>26.96</v>
      </c>
      <c r="H11293">
        <v>250930</v>
      </c>
      <c r="I11293">
        <v>4380</v>
      </c>
      <c r="J11293" t="s">
        <v>211</v>
      </c>
      <c r="K11293">
        <v>132.08000000000001</v>
      </c>
      <c r="L11293">
        <v>5.48</v>
      </c>
      <c r="M11293">
        <v>14951</v>
      </c>
      <c r="N11293" t="s">
        <v>186</v>
      </c>
      <c r="O11293">
        <v>251003</v>
      </c>
      <c r="P11293">
        <v>21.48</v>
      </c>
      <c r="Q11293"/>
    </row>
    <row r="11294" spans="1:17" s="1" customFormat="1" x14ac:dyDescent="0.25">
      <c r="A11294" t="s">
        <v>3296</v>
      </c>
      <c r="B11294" t="s">
        <v>2931</v>
      </c>
      <c r="C11294">
        <v>13063</v>
      </c>
      <c r="D11294" t="str">
        <f>"71736828    "</f>
        <v xml:space="preserve">71736828    </v>
      </c>
      <c r="E11294" t="s">
        <v>616</v>
      </c>
      <c r="F11294" t="s">
        <v>617</v>
      </c>
      <c r="G11294">
        <v>34.840000000000003</v>
      </c>
      <c r="H11294">
        <v>250930</v>
      </c>
      <c r="I11294">
        <v>4380</v>
      </c>
      <c r="J11294" t="s">
        <v>211</v>
      </c>
      <c r="K11294">
        <v>34.840000000000003</v>
      </c>
      <c r="L11294">
        <v>7.08</v>
      </c>
      <c r="M11294">
        <v>59503</v>
      </c>
      <c r="N11294" t="s">
        <v>766</v>
      </c>
      <c r="O11294">
        <v>251003</v>
      </c>
      <c r="P11294">
        <v>27.76</v>
      </c>
      <c r="Q11294"/>
    </row>
    <row r="11295" spans="1:17" s="1" customFormat="1" x14ac:dyDescent="0.25">
      <c r="A11295" t="s">
        <v>3296</v>
      </c>
      <c r="B11295" t="s">
        <v>2931</v>
      </c>
      <c r="C11295">
        <v>13065</v>
      </c>
      <c r="D11295" t="str">
        <f>"71736821    "</f>
        <v xml:space="preserve">71736821    </v>
      </c>
      <c r="E11295" t="s">
        <v>616</v>
      </c>
      <c r="F11295" t="s">
        <v>617</v>
      </c>
      <c r="G11295">
        <v>110.09</v>
      </c>
      <c r="H11295">
        <v>250930</v>
      </c>
      <c r="I11295">
        <v>4380</v>
      </c>
      <c r="J11295" t="s">
        <v>211</v>
      </c>
      <c r="K11295">
        <v>110.09</v>
      </c>
      <c r="L11295">
        <v>22.37</v>
      </c>
      <c r="M11295">
        <v>59505</v>
      </c>
      <c r="N11295" t="s">
        <v>194</v>
      </c>
      <c r="O11295">
        <v>251003</v>
      </c>
      <c r="P11295">
        <v>87.72</v>
      </c>
      <c r="Q11295"/>
    </row>
    <row r="11296" spans="1:17" s="1" customFormat="1" x14ac:dyDescent="0.25">
      <c r="A11296" t="s">
        <v>3296</v>
      </c>
      <c r="B11296" t="s">
        <v>2931</v>
      </c>
      <c r="C11296">
        <v>13163</v>
      </c>
      <c r="D11296" t="str">
        <f>"71737425    "</f>
        <v xml:space="preserve">71737425    </v>
      </c>
      <c r="E11296" t="s">
        <v>616</v>
      </c>
      <c r="F11296" t="s">
        <v>617</v>
      </c>
      <c r="G11296">
        <v>12.55</v>
      </c>
      <c r="H11296">
        <v>250930</v>
      </c>
      <c r="I11296">
        <v>4380</v>
      </c>
      <c r="J11296" t="s">
        <v>211</v>
      </c>
      <c r="K11296">
        <v>12.55</v>
      </c>
      <c r="L11296">
        <v>2.5499999999999998</v>
      </c>
      <c r="M11296">
        <v>13841</v>
      </c>
      <c r="N11296" t="s">
        <v>178</v>
      </c>
      <c r="O11296">
        <v>251006</v>
      </c>
      <c r="P11296">
        <v>10</v>
      </c>
      <c r="Q11296"/>
    </row>
    <row r="11297" spans="1:17" s="1" customFormat="1" x14ac:dyDescent="0.25">
      <c r="A11297" t="s">
        <v>3296</v>
      </c>
      <c r="B11297" t="s">
        <v>2931</v>
      </c>
      <c r="C11297">
        <v>13164</v>
      </c>
      <c r="D11297" t="str">
        <f>"71736829    "</f>
        <v xml:space="preserve">71736829    </v>
      </c>
      <c r="E11297" t="s">
        <v>616</v>
      </c>
      <c r="F11297" t="s">
        <v>617</v>
      </c>
      <c r="G11297">
        <v>291.94</v>
      </c>
      <c r="H11297">
        <v>250930</v>
      </c>
      <c r="I11297">
        <v>4380</v>
      </c>
      <c r="J11297" t="s">
        <v>211</v>
      </c>
      <c r="K11297">
        <v>373.19</v>
      </c>
      <c r="L11297">
        <v>59.32</v>
      </c>
      <c r="M11297">
        <v>49501</v>
      </c>
      <c r="N11297" t="s">
        <v>110</v>
      </c>
      <c r="O11297">
        <v>251006</v>
      </c>
      <c r="P11297">
        <v>232.62</v>
      </c>
      <c r="Q11297"/>
    </row>
    <row r="11298" spans="1:17" s="1" customFormat="1" x14ac:dyDescent="0.25">
      <c r="A11298" t="s">
        <v>3296</v>
      </c>
      <c r="B11298" t="s">
        <v>2931</v>
      </c>
      <c r="C11298">
        <v>13164</v>
      </c>
      <c r="D11298" t="str">
        <f>"71736829    "</f>
        <v xml:space="preserve">71736829    </v>
      </c>
      <c r="E11298" t="s">
        <v>616</v>
      </c>
      <c r="F11298" t="s">
        <v>617</v>
      </c>
      <c r="G11298">
        <v>81.25</v>
      </c>
      <c r="H11298">
        <v>250930</v>
      </c>
      <c r="I11298">
        <v>4380</v>
      </c>
      <c r="J11298" t="s">
        <v>211</v>
      </c>
      <c r="K11298">
        <v>373.19</v>
      </c>
      <c r="L11298">
        <v>16.510000000000002</v>
      </c>
      <c r="M11298">
        <v>49503</v>
      </c>
      <c r="N11298" t="s">
        <v>267</v>
      </c>
      <c r="O11298">
        <v>251006</v>
      </c>
      <c r="P11298">
        <v>64.739999999999995</v>
      </c>
      <c r="Q11298"/>
    </row>
    <row r="11299" spans="1:17" s="1" customFormat="1" x14ac:dyDescent="0.25">
      <c r="A11299" t="s">
        <v>3296</v>
      </c>
      <c r="B11299" t="s">
        <v>2931</v>
      </c>
      <c r="C11299">
        <v>13165</v>
      </c>
      <c r="D11299" t="str">
        <f>"71736645    "</f>
        <v xml:space="preserve">71736645    </v>
      </c>
      <c r="E11299" t="s">
        <v>616</v>
      </c>
      <c r="F11299" t="s">
        <v>617</v>
      </c>
      <c r="G11299">
        <v>518.82000000000005</v>
      </c>
      <c r="H11299">
        <v>250930</v>
      </c>
      <c r="I11299">
        <v>4380</v>
      </c>
      <c r="J11299" t="s">
        <v>211</v>
      </c>
      <c r="K11299">
        <v>518.82000000000005</v>
      </c>
      <c r="L11299">
        <v>105.42</v>
      </c>
      <c r="M11299">
        <v>17951</v>
      </c>
      <c r="N11299" t="s">
        <v>207</v>
      </c>
      <c r="O11299">
        <v>251006</v>
      </c>
      <c r="P11299">
        <v>413.4</v>
      </c>
      <c r="Q11299"/>
    </row>
    <row r="11300" spans="1:17" s="1" customFormat="1" x14ac:dyDescent="0.25">
      <c r="A11300" t="s">
        <v>3296</v>
      </c>
      <c r="B11300" t="s">
        <v>2931</v>
      </c>
      <c r="C11300">
        <v>13542</v>
      </c>
      <c r="D11300" t="str">
        <f>"71736648    "</f>
        <v xml:space="preserve">71736648    </v>
      </c>
      <c r="E11300" t="s">
        <v>616</v>
      </c>
      <c r="F11300" t="s">
        <v>617</v>
      </c>
      <c r="G11300">
        <v>24.45</v>
      </c>
      <c r="H11300">
        <v>250930</v>
      </c>
      <c r="I11300">
        <v>4380</v>
      </c>
      <c r="J11300" t="s">
        <v>211</v>
      </c>
      <c r="K11300">
        <v>278.3</v>
      </c>
      <c r="L11300">
        <v>4.97</v>
      </c>
      <c r="M11300">
        <v>13540</v>
      </c>
      <c r="N11300" t="s">
        <v>131</v>
      </c>
      <c r="O11300">
        <v>251010</v>
      </c>
      <c r="P11300">
        <v>19.48</v>
      </c>
      <c r="Q11300"/>
    </row>
    <row r="11301" spans="1:17" s="1" customFormat="1" x14ac:dyDescent="0.25">
      <c r="A11301" t="s">
        <v>3296</v>
      </c>
      <c r="B11301" t="s">
        <v>2931</v>
      </c>
      <c r="C11301">
        <v>13542</v>
      </c>
      <c r="D11301" t="str">
        <f>"71736648    "</f>
        <v xml:space="preserve">71736648    </v>
      </c>
      <c r="E11301" t="s">
        <v>616</v>
      </c>
      <c r="F11301" t="s">
        <v>617</v>
      </c>
      <c r="G11301">
        <v>197.83</v>
      </c>
      <c r="H11301">
        <v>250930</v>
      </c>
      <c r="I11301">
        <v>4380</v>
      </c>
      <c r="J11301" t="s">
        <v>211</v>
      </c>
      <c r="K11301">
        <v>278.3</v>
      </c>
      <c r="L11301">
        <v>40.200000000000003</v>
      </c>
      <c r="M11301">
        <v>17950</v>
      </c>
      <c r="N11301" t="s">
        <v>132</v>
      </c>
      <c r="O11301">
        <v>251010</v>
      </c>
      <c r="P11301">
        <v>157.63</v>
      </c>
      <c r="Q11301"/>
    </row>
    <row r="11302" spans="1:17" s="1" customFormat="1" x14ac:dyDescent="0.25">
      <c r="A11302" t="s">
        <v>3296</v>
      </c>
      <c r="B11302" t="s">
        <v>2931</v>
      </c>
      <c r="C11302">
        <v>13542</v>
      </c>
      <c r="D11302" t="str">
        <f>"71736648    "</f>
        <v xml:space="preserve">71736648    </v>
      </c>
      <c r="E11302" t="s">
        <v>616</v>
      </c>
      <c r="F11302" t="s">
        <v>617</v>
      </c>
      <c r="G11302">
        <v>56.02</v>
      </c>
      <c r="H11302">
        <v>250930</v>
      </c>
      <c r="I11302">
        <v>4380</v>
      </c>
      <c r="J11302" t="s">
        <v>211</v>
      </c>
      <c r="K11302">
        <v>278.3</v>
      </c>
      <c r="L11302">
        <v>11.38</v>
      </c>
      <c r="M11302">
        <v>17956</v>
      </c>
      <c r="N11302" t="s">
        <v>170</v>
      </c>
      <c r="O11302">
        <v>251010</v>
      </c>
      <c r="P11302">
        <v>44.64</v>
      </c>
      <c r="Q11302"/>
    </row>
    <row r="11303" spans="1:17" s="1" customFormat="1" x14ac:dyDescent="0.25">
      <c r="A11303" t="s">
        <v>3296</v>
      </c>
      <c r="B11303" t="s">
        <v>2931</v>
      </c>
      <c r="C11303">
        <v>13738</v>
      </c>
      <c r="D11303" t="str">
        <f>"71751918    "</f>
        <v xml:space="preserve">71751918    </v>
      </c>
      <c r="E11303" t="s">
        <v>616</v>
      </c>
      <c r="F11303" t="s">
        <v>617</v>
      </c>
      <c r="G11303">
        <v>50.43</v>
      </c>
      <c r="H11303">
        <v>251008</v>
      </c>
      <c r="I11303">
        <v>4380</v>
      </c>
      <c r="J11303" t="s">
        <v>211</v>
      </c>
      <c r="K11303">
        <v>50.43</v>
      </c>
      <c r="L11303">
        <v>10.25</v>
      </c>
      <c r="M11303">
        <v>46554</v>
      </c>
      <c r="N11303" t="s">
        <v>102</v>
      </c>
      <c r="O11303">
        <v>251017</v>
      </c>
      <c r="P11303">
        <v>40.18</v>
      </c>
      <c r="Q11303"/>
    </row>
    <row r="11304" spans="1:17" s="1" customFormat="1" x14ac:dyDescent="0.25">
      <c r="A11304" t="s">
        <v>3296</v>
      </c>
      <c r="B11304" t="s">
        <v>2931</v>
      </c>
      <c r="C11304">
        <v>13865</v>
      </c>
      <c r="D11304" t="str">
        <f>"71751078    "</f>
        <v xml:space="preserve">71751078    </v>
      </c>
      <c r="E11304" t="s">
        <v>616</v>
      </c>
      <c r="F11304" t="s">
        <v>617</v>
      </c>
      <c r="G11304">
        <v>122.49</v>
      </c>
      <c r="H11304">
        <v>251008</v>
      </c>
      <c r="I11304">
        <v>4380</v>
      </c>
      <c r="J11304" t="s">
        <v>211</v>
      </c>
      <c r="K11304">
        <v>122.49</v>
      </c>
      <c r="L11304">
        <v>24.89</v>
      </c>
      <c r="M11304">
        <v>47522</v>
      </c>
      <c r="N11304" t="s">
        <v>106</v>
      </c>
      <c r="O11304">
        <v>251020</v>
      </c>
      <c r="P11304">
        <v>97.6</v>
      </c>
      <c r="Q11304"/>
    </row>
    <row r="11305" spans="1:17" s="1" customFormat="1" x14ac:dyDescent="0.25">
      <c r="A11305" t="s">
        <v>3296</v>
      </c>
      <c r="B11305" t="s">
        <v>2931</v>
      </c>
      <c r="C11305">
        <v>13868</v>
      </c>
      <c r="D11305" t="str">
        <f>"71755654    "</f>
        <v xml:space="preserve">71755654    </v>
      </c>
      <c r="E11305" t="s">
        <v>616</v>
      </c>
      <c r="F11305" t="s">
        <v>617</v>
      </c>
      <c r="G11305">
        <v>86.09</v>
      </c>
      <c r="H11305">
        <v>251009</v>
      </c>
      <c r="I11305">
        <v>4380</v>
      </c>
      <c r="J11305" t="s">
        <v>211</v>
      </c>
      <c r="K11305">
        <v>86.09</v>
      </c>
      <c r="L11305">
        <v>17.489999999999998</v>
      </c>
      <c r="M11305">
        <v>59504</v>
      </c>
      <c r="N11305" t="s">
        <v>193</v>
      </c>
      <c r="O11305">
        <v>251020</v>
      </c>
      <c r="P11305">
        <v>68.599999999999994</v>
      </c>
      <c r="Q11305"/>
    </row>
    <row r="11306" spans="1:17" s="1" customFormat="1" x14ac:dyDescent="0.25">
      <c r="A11306" t="s">
        <v>3296</v>
      </c>
      <c r="B11306" t="s">
        <v>2931</v>
      </c>
      <c r="C11306">
        <v>13870</v>
      </c>
      <c r="D11306" t="str">
        <f>"71755651    "</f>
        <v xml:space="preserve">71755651    </v>
      </c>
      <c r="E11306" t="s">
        <v>616</v>
      </c>
      <c r="F11306" t="s">
        <v>617</v>
      </c>
      <c r="G11306">
        <v>112.1</v>
      </c>
      <c r="H11306">
        <v>251009</v>
      </c>
      <c r="I11306">
        <v>4380</v>
      </c>
      <c r="J11306" t="s">
        <v>211</v>
      </c>
      <c r="K11306">
        <v>1195.76</v>
      </c>
      <c r="L11306">
        <v>22.78</v>
      </c>
      <c r="M11306">
        <v>13540</v>
      </c>
      <c r="N11306" t="s">
        <v>131</v>
      </c>
      <c r="O11306">
        <v>251020</v>
      </c>
      <c r="P11306">
        <v>89.32</v>
      </c>
      <c r="Q11306"/>
    </row>
    <row r="11307" spans="1:17" s="1" customFormat="1" x14ac:dyDescent="0.25">
      <c r="A11307" t="s">
        <v>3296</v>
      </c>
      <c r="B11307" t="s">
        <v>2931</v>
      </c>
      <c r="C11307">
        <v>13870</v>
      </c>
      <c r="D11307" t="str">
        <f>"71755651    "</f>
        <v xml:space="preserve">71755651    </v>
      </c>
      <c r="E11307" t="s">
        <v>616</v>
      </c>
      <c r="F11307" t="s">
        <v>617</v>
      </c>
      <c r="G11307">
        <v>764.3</v>
      </c>
      <c r="H11307">
        <v>251009</v>
      </c>
      <c r="I11307">
        <v>4380</v>
      </c>
      <c r="J11307" t="s">
        <v>211</v>
      </c>
      <c r="K11307">
        <v>1195.76</v>
      </c>
      <c r="L11307">
        <v>155.30000000000001</v>
      </c>
      <c r="M11307">
        <v>17950</v>
      </c>
      <c r="N11307" t="s">
        <v>132</v>
      </c>
      <c r="O11307">
        <v>251020</v>
      </c>
      <c r="P11307">
        <v>609</v>
      </c>
      <c r="Q11307"/>
    </row>
    <row r="11308" spans="1:17" s="1" customFormat="1" x14ac:dyDescent="0.25">
      <c r="A11308" t="s">
        <v>3296</v>
      </c>
      <c r="B11308" t="s">
        <v>2931</v>
      </c>
      <c r="C11308">
        <v>13870</v>
      </c>
      <c r="D11308" t="str">
        <f>"71755651    "</f>
        <v xml:space="preserve">71755651    </v>
      </c>
      <c r="E11308" t="s">
        <v>616</v>
      </c>
      <c r="F11308" t="s">
        <v>617</v>
      </c>
      <c r="G11308">
        <v>142.66</v>
      </c>
      <c r="H11308">
        <v>251009</v>
      </c>
      <c r="I11308">
        <v>4380</v>
      </c>
      <c r="J11308" t="s">
        <v>211</v>
      </c>
      <c r="K11308">
        <v>1195.76</v>
      </c>
      <c r="L11308">
        <v>28.99</v>
      </c>
      <c r="M11308">
        <v>17956</v>
      </c>
      <c r="N11308" t="s">
        <v>170</v>
      </c>
      <c r="O11308">
        <v>251020</v>
      </c>
      <c r="P11308">
        <v>113.67</v>
      </c>
      <c r="Q11308"/>
    </row>
    <row r="11309" spans="1:17" s="1" customFormat="1" x14ac:dyDescent="0.25">
      <c r="A11309" t="s">
        <v>3296</v>
      </c>
      <c r="B11309" t="s">
        <v>2931</v>
      </c>
      <c r="C11309">
        <v>13879</v>
      </c>
      <c r="D11309" t="str">
        <f>"71755645    "</f>
        <v xml:space="preserve">71755645    </v>
      </c>
      <c r="E11309" t="s">
        <v>616</v>
      </c>
      <c r="F11309" t="s">
        <v>617</v>
      </c>
      <c r="G11309">
        <v>190.51</v>
      </c>
      <c r="H11309">
        <v>251009</v>
      </c>
      <c r="I11309">
        <v>4380</v>
      </c>
      <c r="J11309" t="s">
        <v>211</v>
      </c>
      <c r="K11309">
        <v>190.51</v>
      </c>
      <c r="L11309">
        <v>38.71</v>
      </c>
      <c r="M11309">
        <v>49501</v>
      </c>
      <c r="N11309" t="s">
        <v>110</v>
      </c>
      <c r="O11309">
        <v>251020</v>
      </c>
      <c r="P11309">
        <v>151.80000000000001</v>
      </c>
      <c r="Q11309"/>
    </row>
    <row r="11310" spans="1:17" s="1" customFormat="1" x14ac:dyDescent="0.25">
      <c r="A11310" t="s">
        <v>3296</v>
      </c>
      <c r="B11310" t="s">
        <v>2931</v>
      </c>
      <c r="C11310">
        <v>13883</v>
      </c>
      <c r="D11310" t="str">
        <f>"71755532    "</f>
        <v xml:space="preserve">71755532    </v>
      </c>
      <c r="E11310" t="s">
        <v>616</v>
      </c>
      <c r="F11310" t="s">
        <v>617</v>
      </c>
      <c r="G11310">
        <v>36.14</v>
      </c>
      <c r="H11310">
        <v>251009</v>
      </c>
      <c r="I11310">
        <v>4380</v>
      </c>
      <c r="J11310" t="s">
        <v>211</v>
      </c>
      <c r="K11310">
        <v>36.14</v>
      </c>
      <c r="L11310">
        <v>7.34</v>
      </c>
      <c r="M11310">
        <v>59503</v>
      </c>
      <c r="N11310" t="s">
        <v>766</v>
      </c>
      <c r="O11310">
        <v>251020</v>
      </c>
      <c r="P11310">
        <v>28.8</v>
      </c>
      <c r="Q11310"/>
    </row>
    <row r="11311" spans="1:17" s="1" customFormat="1" x14ac:dyDescent="0.25">
      <c r="A11311" t="s">
        <v>3296</v>
      </c>
      <c r="B11311" t="s">
        <v>2931</v>
      </c>
      <c r="C11311">
        <v>13885</v>
      </c>
      <c r="D11311" t="str">
        <f>"71755652    "</f>
        <v xml:space="preserve">71755652    </v>
      </c>
      <c r="E11311" t="s">
        <v>616</v>
      </c>
      <c r="F11311" t="s">
        <v>617</v>
      </c>
      <c r="G11311">
        <v>303.70999999999998</v>
      </c>
      <c r="H11311">
        <v>251009</v>
      </c>
      <c r="I11311">
        <v>4380</v>
      </c>
      <c r="J11311" t="s">
        <v>211</v>
      </c>
      <c r="K11311">
        <v>303.70999999999998</v>
      </c>
      <c r="L11311">
        <v>61.71</v>
      </c>
      <c r="M11311">
        <v>14951</v>
      </c>
      <c r="N11311" t="s">
        <v>186</v>
      </c>
      <c r="O11311">
        <v>251020</v>
      </c>
      <c r="P11311">
        <v>242</v>
      </c>
      <c r="Q11311"/>
    </row>
    <row r="11312" spans="1:17" s="1" customFormat="1" x14ac:dyDescent="0.25">
      <c r="A11312" t="s">
        <v>3296</v>
      </c>
      <c r="B11312" t="s">
        <v>2931</v>
      </c>
      <c r="C11312">
        <v>13889</v>
      </c>
      <c r="D11312" t="str">
        <f>"71755655    "</f>
        <v xml:space="preserve">71755655    </v>
      </c>
      <c r="E11312" t="s">
        <v>616</v>
      </c>
      <c r="F11312" t="s">
        <v>617</v>
      </c>
      <c r="G11312">
        <v>50.2</v>
      </c>
      <c r="H11312">
        <v>251009</v>
      </c>
      <c r="I11312">
        <v>4380</v>
      </c>
      <c r="J11312" t="s">
        <v>211</v>
      </c>
      <c r="K11312">
        <v>50.2</v>
      </c>
      <c r="L11312">
        <v>10.199999999999999</v>
      </c>
      <c r="M11312">
        <v>17951</v>
      </c>
      <c r="N11312" t="s">
        <v>207</v>
      </c>
      <c r="O11312">
        <v>251020</v>
      </c>
      <c r="P11312">
        <v>40</v>
      </c>
      <c r="Q11312"/>
    </row>
    <row r="11313" spans="1:17" s="1" customFormat="1" x14ac:dyDescent="0.25">
      <c r="A11313" t="s">
        <v>3296</v>
      </c>
      <c r="B11313" t="s">
        <v>2931</v>
      </c>
      <c r="C11313">
        <v>13900</v>
      </c>
      <c r="D11313" t="str">
        <f>"71751077    "</f>
        <v xml:space="preserve">71751077    </v>
      </c>
      <c r="E11313" t="s">
        <v>616</v>
      </c>
      <c r="F11313" t="s">
        <v>617</v>
      </c>
      <c r="G11313">
        <v>143.82</v>
      </c>
      <c r="H11313">
        <v>251008</v>
      </c>
      <c r="I11313">
        <v>4380</v>
      </c>
      <c r="J11313" t="s">
        <v>211</v>
      </c>
      <c r="K11313">
        <v>143.82</v>
      </c>
      <c r="L11313">
        <v>29.22</v>
      </c>
      <c r="M11313">
        <v>47522</v>
      </c>
      <c r="N11313" t="s">
        <v>106</v>
      </c>
      <c r="O11313">
        <v>251020</v>
      </c>
      <c r="P11313">
        <v>114.6</v>
      </c>
      <c r="Q11313"/>
    </row>
    <row r="11314" spans="1:17" s="1" customFormat="1" x14ac:dyDescent="0.25">
      <c r="A11314" t="s">
        <v>3296</v>
      </c>
      <c r="B11314" t="s">
        <v>2931</v>
      </c>
      <c r="C11314">
        <v>13901</v>
      </c>
      <c r="D11314" t="str">
        <f>"71755648    "</f>
        <v xml:space="preserve">71755648    </v>
      </c>
      <c r="E11314" t="s">
        <v>616</v>
      </c>
      <c r="F11314" t="s">
        <v>617</v>
      </c>
      <c r="G11314">
        <v>75.3</v>
      </c>
      <c r="H11314">
        <v>251009</v>
      </c>
      <c r="I11314">
        <v>4380</v>
      </c>
      <c r="J11314" t="s">
        <v>211</v>
      </c>
      <c r="K11314">
        <v>75.3</v>
      </c>
      <c r="L11314">
        <v>15.3</v>
      </c>
      <c r="M11314">
        <v>17951</v>
      </c>
      <c r="N11314" t="s">
        <v>207</v>
      </c>
      <c r="O11314">
        <v>251020</v>
      </c>
      <c r="P11314">
        <v>60</v>
      </c>
      <c r="Q11314"/>
    </row>
    <row r="11315" spans="1:17" s="1" customFormat="1" x14ac:dyDescent="0.25">
      <c r="A11315" t="s">
        <v>3296</v>
      </c>
      <c r="B11315" t="s">
        <v>2931</v>
      </c>
      <c r="C11315">
        <v>13902</v>
      </c>
      <c r="D11315" t="str">
        <f>"71755658    "</f>
        <v xml:space="preserve">71755658    </v>
      </c>
      <c r="E11315" t="s">
        <v>616</v>
      </c>
      <c r="F11315" t="s">
        <v>617</v>
      </c>
      <c r="G11315">
        <v>45.18</v>
      </c>
      <c r="H11315">
        <v>251009</v>
      </c>
      <c r="I11315">
        <v>4380</v>
      </c>
      <c r="J11315" t="s">
        <v>211</v>
      </c>
      <c r="K11315">
        <v>45.18</v>
      </c>
      <c r="L11315">
        <v>9.18</v>
      </c>
      <c r="M11315">
        <v>17951</v>
      </c>
      <c r="N11315" t="s">
        <v>207</v>
      </c>
      <c r="O11315">
        <v>251020</v>
      </c>
      <c r="P11315">
        <v>36</v>
      </c>
      <c r="Q11315"/>
    </row>
    <row r="11316" spans="1:17" s="1" customFormat="1" x14ac:dyDescent="0.25">
      <c r="A11316" t="s">
        <v>3296</v>
      </c>
      <c r="B11316" t="s">
        <v>2931</v>
      </c>
      <c r="C11316">
        <v>13903</v>
      </c>
      <c r="D11316" t="str">
        <f>"71755656    "</f>
        <v xml:space="preserve">71755656    </v>
      </c>
      <c r="E11316" t="s">
        <v>616</v>
      </c>
      <c r="F11316" t="s">
        <v>617</v>
      </c>
      <c r="G11316">
        <v>50.2</v>
      </c>
      <c r="H11316">
        <v>251009</v>
      </c>
      <c r="I11316">
        <v>4380</v>
      </c>
      <c r="J11316" t="s">
        <v>211</v>
      </c>
      <c r="K11316">
        <v>58.48</v>
      </c>
      <c r="L11316">
        <v>10.199999999999999</v>
      </c>
      <c r="M11316">
        <v>17956</v>
      </c>
      <c r="N11316" t="s">
        <v>170</v>
      </c>
      <c r="O11316">
        <v>251020</v>
      </c>
      <c r="P11316">
        <v>40</v>
      </c>
      <c r="Q11316"/>
    </row>
    <row r="11317" spans="1:17" s="1" customFormat="1" x14ac:dyDescent="0.25">
      <c r="A11317" t="s">
        <v>3296</v>
      </c>
      <c r="B11317" t="s">
        <v>2931</v>
      </c>
      <c r="C11317">
        <v>13905</v>
      </c>
      <c r="D11317" t="str">
        <f>"71755647    "</f>
        <v xml:space="preserve">71755647    </v>
      </c>
      <c r="E11317" t="s">
        <v>616</v>
      </c>
      <c r="F11317" t="s">
        <v>617</v>
      </c>
      <c r="G11317">
        <v>146.33000000000001</v>
      </c>
      <c r="H11317">
        <v>251009</v>
      </c>
      <c r="I11317">
        <v>4380</v>
      </c>
      <c r="J11317" t="s">
        <v>211</v>
      </c>
      <c r="K11317">
        <v>146.33000000000001</v>
      </c>
      <c r="L11317">
        <v>29.73</v>
      </c>
      <c r="M11317">
        <v>59501</v>
      </c>
      <c r="N11317" t="s">
        <v>62</v>
      </c>
      <c r="O11317">
        <v>251020</v>
      </c>
      <c r="P11317">
        <v>116.6</v>
      </c>
      <c r="Q11317"/>
    </row>
    <row r="11318" spans="1:17" s="1" customFormat="1" x14ac:dyDescent="0.25">
      <c r="A11318" t="s">
        <v>3296</v>
      </c>
      <c r="B11318" t="s">
        <v>2931</v>
      </c>
      <c r="C11318">
        <v>13909</v>
      </c>
      <c r="D11318" t="str">
        <f>"71755646    "</f>
        <v xml:space="preserve">71755646    </v>
      </c>
      <c r="E11318" t="s">
        <v>616</v>
      </c>
      <c r="F11318" t="s">
        <v>617</v>
      </c>
      <c r="G11318">
        <v>57.98</v>
      </c>
      <c r="H11318">
        <v>251009</v>
      </c>
      <c r="I11318">
        <v>4380</v>
      </c>
      <c r="J11318" t="s">
        <v>211</v>
      </c>
      <c r="K11318">
        <v>165.66</v>
      </c>
      <c r="L11318">
        <v>11.78</v>
      </c>
      <c r="M11318">
        <v>59502</v>
      </c>
      <c r="N11318" t="s">
        <v>63</v>
      </c>
      <c r="O11318">
        <v>251020</v>
      </c>
      <c r="P11318">
        <v>46.2</v>
      </c>
      <c r="Q11318"/>
    </row>
    <row r="11319" spans="1:17" s="1" customFormat="1" x14ac:dyDescent="0.25">
      <c r="A11319" t="s">
        <v>3296</v>
      </c>
      <c r="B11319" t="s">
        <v>2931</v>
      </c>
      <c r="C11319">
        <v>13909</v>
      </c>
      <c r="D11319" t="str">
        <f>"71755646    "</f>
        <v xml:space="preserve">71755646    </v>
      </c>
      <c r="E11319" t="s">
        <v>616</v>
      </c>
      <c r="F11319" t="s">
        <v>617</v>
      </c>
      <c r="G11319">
        <v>107.68</v>
      </c>
      <c r="H11319">
        <v>251009</v>
      </c>
      <c r="I11319">
        <v>4380</v>
      </c>
      <c r="J11319" t="s">
        <v>211</v>
      </c>
      <c r="K11319">
        <v>165.66</v>
      </c>
      <c r="L11319">
        <v>21.88</v>
      </c>
      <c r="M11319">
        <v>59802</v>
      </c>
      <c r="N11319" t="s">
        <v>195</v>
      </c>
      <c r="O11319">
        <v>251020</v>
      </c>
      <c r="P11319">
        <v>85.8</v>
      </c>
      <c r="Q11319"/>
    </row>
    <row r="11320" spans="1:17" s="1" customFormat="1" x14ac:dyDescent="0.25">
      <c r="A11320" t="s">
        <v>3296</v>
      </c>
      <c r="B11320" t="s">
        <v>2931</v>
      </c>
      <c r="C11320">
        <v>13910</v>
      </c>
      <c r="D11320" t="str">
        <f>"71755649    "</f>
        <v xml:space="preserve">71755649    </v>
      </c>
      <c r="E11320" t="s">
        <v>616</v>
      </c>
      <c r="F11320" t="s">
        <v>617</v>
      </c>
      <c r="G11320">
        <v>40.159999999999997</v>
      </c>
      <c r="H11320">
        <v>251009</v>
      </c>
      <c r="I11320">
        <v>4380</v>
      </c>
      <c r="J11320" t="s">
        <v>211</v>
      </c>
      <c r="K11320">
        <v>40.159999999999997</v>
      </c>
      <c r="L11320">
        <v>8.16</v>
      </c>
      <c r="M11320">
        <v>17951</v>
      </c>
      <c r="N11320" t="s">
        <v>207</v>
      </c>
      <c r="O11320">
        <v>251020</v>
      </c>
      <c r="P11320">
        <v>32</v>
      </c>
      <c r="Q11320"/>
    </row>
    <row r="11321" spans="1:17" s="1" customFormat="1" x14ac:dyDescent="0.25">
      <c r="A11321" t="s">
        <v>3296</v>
      </c>
      <c r="B11321" t="s">
        <v>2931</v>
      </c>
      <c r="C11321">
        <v>13911</v>
      </c>
      <c r="D11321" t="str">
        <f>"71755650    "</f>
        <v xml:space="preserve">71755650    </v>
      </c>
      <c r="E11321" t="s">
        <v>616</v>
      </c>
      <c r="F11321" t="s">
        <v>617</v>
      </c>
      <c r="G11321">
        <v>205.07</v>
      </c>
      <c r="H11321">
        <v>251009</v>
      </c>
      <c r="I11321">
        <v>4380</v>
      </c>
      <c r="J11321" t="s">
        <v>211</v>
      </c>
      <c r="K11321">
        <v>205.07</v>
      </c>
      <c r="L11321">
        <v>41.67</v>
      </c>
      <c r="M11321">
        <v>17951</v>
      </c>
      <c r="N11321" t="s">
        <v>207</v>
      </c>
      <c r="O11321">
        <v>251020</v>
      </c>
      <c r="P11321">
        <v>163.4</v>
      </c>
      <c r="Q11321"/>
    </row>
    <row r="11322" spans="1:17" s="1" customFormat="1" x14ac:dyDescent="0.25">
      <c r="A11322" t="s">
        <v>3296</v>
      </c>
      <c r="B11322" t="s">
        <v>2931</v>
      </c>
      <c r="C11322">
        <v>13912</v>
      </c>
      <c r="D11322" t="str">
        <f>"71755657    "</f>
        <v xml:space="preserve">71755657    </v>
      </c>
      <c r="E11322" t="s">
        <v>616</v>
      </c>
      <c r="F11322" t="s">
        <v>617</v>
      </c>
      <c r="G11322">
        <v>40.159999999999997</v>
      </c>
      <c r="H11322">
        <v>251009</v>
      </c>
      <c r="I11322">
        <v>4380</v>
      </c>
      <c r="J11322" t="s">
        <v>211</v>
      </c>
      <c r="K11322">
        <v>59.49</v>
      </c>
      <c r="L11322">
        <v>8.16</v>
      </c>
      <c r="M11322">
        <v>17956</v>
      </c>
      <c r="N11322" t="s">
        <v>170</v>
      </c>
      <c r="O11322">
        <v>251020</v>
      </c>
      <c r="P11322">
        <v>32</v>
      </c>
      <c r="Q11322"/>
    </row>
    <row r="11323" spans="1:17" s="1" customFormat="1" x14ac:dyDescent="0.25">
      <c r="A11323" t="s">
        <v>3296</v>
      </c>
      <c r="B11323" t="s">
        <v>2931</v>
      </c>
      <c r="C11323">
        <v>14186</v>
      </c>
      <c r="D11323" t="str">
        <f>"71792944    "</f>
        <v xml:space="preserve">71792944    </v>
      </c>
      <c r="E11323" t="s">
        <v>616</v>
      </c>
      <c r="F11323" t="s">
        <v>617</v>
      </c>
      <c r="G11323">
        <v>156.12</v>
      </c>
      <c r="H11323">
        <v>251016</v>
      </c>
      <c r="I11323">
        <v>4380</v>
      </c>
      <c r="J11323" t="s">
        <v>211</v>
      </c>
      <c r="K11323">
        <v>156.12</v>
      </c>
      <c r="L11323">
        <v>31.72</v>
      </c>
      <c r="M11323">
        <v>59505</v>
      </c>
      <c r="N11323" t="s">
        <v>194</v>
      </c>
      <c r="O11323">
        <v>251024</v>
      </c>
      <c r="P11323">
        <v>124.4</v>
      </c>
      <c r="Q11323"/>
    </row>
    <row r="11324" spans="1:17" s="1" customFormat="1" x14ac:dyDescent="0.25">
      <c r="A11324" t="s">
        <v>3296</v>
      </c>
      <c r="B11324" t="s">
        <v>2931</v>
      </c>
      <c r="C11324">
        <v>14233</v>
      </c>
      <c r="D11324" t="str">
        <f>"71792945    "</f>
        <v xml:space="preserve">71792945    </v>
      </c>
      <c r="E11324" t="s">
        <v>616</v>
      </c>
      <c r="F11324" t="s">
        <v>617</v>
      </c>
      <c r="G11324">
        <v>45.11</v>
      </c>
      <c r="H11324">
        <v>251016</v>
      </c>
      <c r="I11324">
        <v>4380</v>
      </c>
      <c r="J11324" t="s">
        <v>211</v>
      </c>
      <c r="K11324">
        <v>150.35</v>
      </c>
      <c r="L11324">
        <v>9.17</v>
      </c>
      <c r="M11324">
        <v>11401</v>
      </c>
      <c r="N11324" t="s">
        <v>91</v>
      </c>
      <c r="O11324">
        <v>251027</v>
      </c>
      <c r="P11324">
        <v>35.94</v>
      </c>
      <c r="Q11324"/>
    </row>
    <row r="11325" spans="1:17" s="1" customFormat="1" x14ac:dyDescent="0.25">
      <c r="A11325" t="s">
        <v>3296</v>
      </c>
      <c r="B11325" t="s">
        <v>2931</v>
      </c>
      <c r="C11325">
        <v>14233</v>
      </c>
      <c r="D11325" t="str">
        <f>"71792945    "</f>
        <v xml:space="preserve">71792945    </v>
      </c>
      <c r="E11325" t="s">
        <v>616</v>
      </c>
      <c r="F11325" t="s">
        <v>617</v>
      </c>
      <c r="G11325">
        <v>105.24</v>
      </c>
      <c r="H11325">
        <v>251016</v>
      </c>
      <c r="I11325">
        <v>4380</v>
      </c>
      <c r="J11325" t="s">
        <v>211</v>
      </c>
      <c r="K11325">
        <v>150.35</v>
      </c>
      <c r="L11325">
        <v>21.38</v>
      </c>
      <c r="M11325">
        <v>14952</v>
      </c>
      <c r="N11325" t="s">
        <v>213</v>
      </c>
      <c r="O11325">
        <v>251027</v>
      </c>
      <c r="P11325">
        <v>83.86</v>
      </c>
      <c r="Q11325"/>
    </row>
    <row r="11326" spans="1:17" s="1" customFormat="1" x14ac:dyDescent="0.25">
      <c r="A11326" t="s">
        <v>3296</v>
      </c>
      <c r="B11326" t="s">
        <v>2931</v>
      </c>
      <c r="C11326">
        <v>14766</v>
      </c>
      <c r="D11326" t="str">
        <f>"71815968    "</f>
        <v xml:space="preserve">71815968    </v>
      </c>
      <c r="E11326" t="s">
        <v>616</v>
      </c>
      <c r="F11326" t="s">
        <v>617</v>
      </c>
      <c r="G11326">
        <v>20.079999999999998</v>
      </c>
      <c r="H11326">
        <v>251031</v>
      </c>
      <c r="I11326">
        <v>4380</v>
      </c>
      <c r="J11326" t="s">
        <v>211</v>
      </c>
      <c r="K11326">
        <v>20.079999999999998</v>
      </c>
      <c r="L11326">
        <v>4.08</v>
      </c>
      <c r="M11326">
        <v>17951</v>
      </c>
      <c r="N11326" t="s">
        <v>207</v>
      </c>
      <c r="O11326">
        <v>251106</v>
      </c>
      <c r="P11326">
        <v>16</v>
      </c>
      <c r="Q11326"/>
    </row>
    <row r="11327" spans="1:17" s="1" customFormat="1" x14ac:dyDescent="0.25">
      <c r="A11327" t="s">
        <v>3296</v>
      </c>
      <c r="B11327" t="s">
        <v>2931</v>
      </c>
      <c r="C11327">
        <v>14768</v>
      </c>
      <c r="D11327" t="str">
        <f>"71815957    "</f>
        <v xml:space="preserve">71815957    </v>
      </c>
      <c r="E11327" t="s">
        <v>616</v>
      </c>
      <c r="F11327" t="s">
        <v>617</v>
      </c>
      <c r="G11327">
        <v>93.12</v>
      </c>
      <c r="H11327">
        <v>251031</v>
      </c>
      <c r="I11327">
        <v>4380</v>
      </c>
      <c r="J11327" t="s">
        <v>211</v>
      </c>
      <c r="K11327">
        <v>266.06</v>
      </c>
      <c r="L11327">
        <v>18.920000000000002</v>
      </c>
      <c r="M11327">
        <v>59502</v>
      </c>
      <c r="N11327" t="s">
        <v>63</v>
      </c>
      <c r="O11327">
        <v>251106</v>
      </c>
      <c r="P11327">
        <v>74.2</v>
      </c>
      <c r="Q11327"/>
    </row>
    <row r="11328" spans="1:17" s="1" customFormat="1" x14ac:dyDescent="0.25">
      <c r="A11328" t="s">
        <v>3296</v>
      </c>
      <c r="B11328" t="s">
        <v>2931</v>
      </c>
      <c r="C11328">
        <v>14768</v>
      </c>
      <c r="D11328" t="str">
        <f>"71815957    "</f>
        <v xml:space="preserve">71815957    </v>
      </c>
      <c r="E11328" t="s">
        <v>616</v>
      </c>
      <c r="F11328" t="s">
        <v>617</v>
      </c>
      <c r="G11328">
        <v>172.94</v>
      </c>
      <c r="H11328">
        <v>251031</v>
      </c>
      <c r="I11328">
        <v>4380</v>
      </c>
      <c r="J11328" t="s">
        <v>211</v>
      </c>
      <c r="K11328">
        <v>266.06</v>
      </c>
      <c r="L11328">
        <v>35.14</v>
      </c>
      <c r="M11328">
        <v>59802</v>
      </c>
      <c r="N11328" t="s">
        <v>195</v>
      </c>
      <c r="O11328">
        <v>251106</v>
      </c>
      <c r="P11328">
        <v>137.80000000000001</v>
      </c>
      <c r="Q11328"/>
    </row>
    <row r="11329" spans="1:17" s="1" customFormat="1" x14ac:dyDescent="0.25">
      <c r="A11329" t="s">
        <v>3296</v>
      </c>
      <c r="B11329" t="s">
        <v>2931</v>
      </c>
      <c r="C11329">
        <v>14769</v>
      </c>
      <c r="D11329" t="str">
        <f>"71815960    "</f>
        <v xml:space="preserve">71815960    </v>
      </c>
      <c r="E11329" t="s">
        <v>616</v>
      </c>
      <c r="F11329" t="s">
        <v>617</v>
      </c>
      <c r="G11329">
        <v>75.3</v>
      </c>
      <c r="H11329">
        <v>251031</v>
      </c>
      <c r="I11329">
        <v>4380</v>
      </c>
      <c r="J11329" t="s">
        <v>211</v>
      </c>
      <c r="K11329">
        <v>75.3</v>
      </c>
      <c r="L11329">
        <v>15.3</v>
      </c>
      <c r="M11329">
        <v>17951</v>
      </c>
      <c r="N11329" t="s">
        <v>207</v>
      </c>
      <c r="O11329">
        <v>251106</v>
      </c>
      <c r="P11329">
        <v>60</v>
      </c>
      <c r="Q11329"/>
    </row>
    <row r="11330" spans="1:17" s="1" customFormat="1" x14ac:dyDescent="0.25">
      <c r="A11330" t="s">
        <v>3296</v>
      </c>
      <c r="B11330" t="s">
        <v>2931</v>
      </c>
      <c r="C11330">
        <v>14773</v>
      </c>
      <c r="D11330" t="str">
        <f>"71815964    "</f>
        <v xml:space="preserve">71815964    </v>
      </c>
      <c r="E11330" t="s">
        <v>616</v>
      </c>
      <c r="F11330" t="s">
        <v>617</v>
      </c>
      <c r="G11330">
        <v>40.159999999999997</v>
      </c>
      <c r="H11330">
        <v>251031</v>
      </c>
      <c r="I11330">
        <v>4380</v>
      </c>
      <c r="J11330" t="s">
        <v>211</v>
      </c>
      <c r="K11330">
        <v>40.159999999999997</v>
      </c>
      <c r="L11330">
        <v>8.16</v>
      </c>
      <c r="M11330">
        <v>17951</v>
      </c>
      <c r="N11330" t="s">
        <v>207</v>
      </c>
      <c r="O11330">
        <v>251106</v>
      </c>
      <c r="P11330">
        <v>32</v>
      </c>
      <c r="Q11330"/>
    </row>
    <row r="11331" spans="1:17" s="1" customFormat="1" x14ac:dyDescent="0.25">
      <c r="A11331" t="s">
        <v>3296</v>
      </c>
      <c r="B11331" t="s">
        <v>2931</v>
      </c>
      <c r="C11331">
        <v>14774</v>
      </c>
      <c r="D11331" t="str">
        <f>"71815958    "</f>
        <v xml:space="preserve">71815958    </v>
      </c>
      <c r="E11331" t="s">
        <v>616</v>
      </c>
      <c r="F11331" t="s">
        <v>617</v>
      </c>
      <c r="G11331">
        <v>225.15</v>
      </c>
      <c r="H11331">
        <v>251031</v>
      </c>
      <c r="I11331">
        <v>4380</v>
      </c>
      <c r="J11331" t="s">
        <v>211</v>
      </c>
      <c r="K11331">
        <v>225.15</v>
      </c>
      <c r="L11331">
        <v>45.75</v>
      </c>
      <c r="M11331">
        <v>17951</v>
      </c>
      <c r="N11331" t="s">
        <v>207</v>
      </c>
      <c r="O11331">
        <v>251106</v>
      </c>
      <c r="P11331">
        <v>179.4</v>
      </c>
      <c r="Q11331"/>
    </row>
    <row r="11332" spans="1:17" s="1" customFormat="1" x14ac:dyDescent="0.25">
      <c r="A11332" t="s">
        <v>3296</v>
      </c>
      <c r="B11332" t="s">
        <v>2931</v>
      </c>
      <c r="C11332">
        <v>14777</v>
      </c>
      <c r="D11332" t="str">
        <f>"71815963    "</f>
        <v xml:space="preserve">71815963    </v>
      </c>
      <c r="E11332" t="s">
        <v>616</v>
      </c>
      <c r="F11332" t="s">
        <v>617</v>
      </c>
      <c r="G11332">
        <v>91.11</v>
      </c>
      <c r="H11332">
        <v>251031</v>
      </c>
      <c r="I11332">
        <v>4380</v>
      </c>
      <c r="J11332" t="s">
        <v>211</v>
      </c>
      <c r="K11332">
        <v>91.11</v>
      </c>
      <c r="L11332">
        <v>18.510000000000002</v>
      </c>
      <c r="M11332">
        <v>59504</v>
      </c>
      <c r="N11332" t="s">
        <v>193</v>
      </c>
      <c r="O11332">
        <v>251106</v>
      </c>
      <c r="P11332">
        <v>72.599999999999994</v>
      </c>
      <c r="Q11332"/>
    </row>
    <row r="11333" spans="1:17" s="1" customFormat="1" x14ac:dyDescent="0.25">
      <c r="A11333" t="s">
        <v>3296</v>
      </c>
      <c r="B11333" t="s">
        <v>2931</v>
      </c>
      <c r="C11333">
        <v>14778</v>
      </c>
      <c r="D11333" t="str">
        <f>"71817567    "</f>
        <v xml:space="preserve">71817567    </v>
      </c>
      <c r="E11333" t="s">
        <v>616</v>
      </c>
      <c r="F11333" t="s">
        <v>617</v>
      </c>
      <c r="G11333">
        <v>96.32</v>
      </c>
      <c r="H11333">
        <v>251031</v>
      </c>
      <c r="I11333">
        <v>4380</v>
      </c>
      <c r="J11333" t="s">
        <v>211</v>
      </c>
      <c r="K11333">
        <v>96.32</v>
      </c>
      <c r="L11333">
        <v>19.57</v>
      </c>
      <c r="M11333">
        <v>17952</v>
      </c>
      <c r="N11333" t="s">
        <v>157</v>
      </c>
      <c r="O11333">
        <v>251106</v>
      </c>
      <c r="P11333">
        <v>76.75</v>
      </c>
      <c r="Q11333"/>
    </row>
    <row r="11334" spans="1:17" s="1" customFormat="1" x14ac:dyDescent="0.25">
      <c r="A11334" t="s">
        <v>3296</v>
      </c>
      <c r="B11334" t="s">
        <v>2931</v>
      </c>
      <c r="C11334">
        <v>14779</v>
      </c>
      <c r="D11334" t="str">
        <f>"71817200    "</f>
        <v xml:space="preserve">71817200    </v>
      </c>
      <c r="E11334" t="s">
        <v>616</v>
      </c>
      <c r="F11334" t="s">
        <v>617</v>
      </c>
      <c r="G11334">
        <v>61.87</v>
      </c>
      <c r="H11334">
        <v>251031</v>
      </c>
      <c r="I11334">
        <v>4380</v>
      </c>
      <c r="J11334" t="s">
        <v>211</v>
      </c>
      <c r="K11334">
        <v>61.87</v>
      </c>
      <c r="L11334">
        <v>12.57</v>
      </c>
      <c r="M11334">
        <v>59501</v>
      </c>
      <c r="N11334" t="s">
        <v>62</v>
      </c>
      <c r="O11334">
        <v>251106</v>
      </c>
      <c r="P11334">
        <v>49.3</v>
      </c>
      <c r="Q11334"/>
    </row>
    <row r="11335" spans="1:17" s="1" customFormat="1" x14ac:dyDescent="0.25">
      <c r="A11335" t="s">
        <v>3296</v>
      </c>
      <c r="B11335" t="s">
        <v>2931</v>
      </c>
      <c r="C11335">
        <v>14781</v>
      </c>
      <c r="D11335" t="str">
        <f>"71817202    "</f>
        <v xml:space="preserve">71817202    </v>
      </c>
      <c r="E11335" t="s">
        <v>616</v>
      </c>
      <c r="F11335" t="s">
        <v>617</v>
      </c>
      <c r="G11335">
        <v>137.61000000000001</v>
      </c>
      <c r="H11335">
        <v>251031</v>
      </c>
      <c r="I11335">
        <v>4380</v>
      </c>
      <c r="J11335" t="s">
        <v>211</v>
      </c>
      <c r="K11335">
        <v>137.61000000000001</v>
      </c>
      <c r="L11335">
        <v>27.96</v>
      </c>
      <c r="M11335">
        <v>59505</v>
      </c>
      <c r="N11335" t="s">
        <v>194</v>
      </c>
      <c r="O11335">
        <v>251106</v>
      </c>
      <c r="P11335">
        <v>109.65</v>
      </c>
      <c r="Q11335"/>
    </row>
    <row r="11336" spans="1:17" s="1" customFormat="1" x14ac:dyDescent="0.25">
      <c r="A11336" t="s">
        <v>3296</v>
      </c>
      <c r="B11336" t="s">
        <v>2931</v>
      </c>
      <c r="C11336">
        <v>14783</v>
      </c>
      <c r="D11336" t="str">
        <f>"71817199    "</f>
        <v xml:space="preserve">71817199    </v>
      </c>
      <c r="E11336" t="s">
        <v>616</v>
      </c>
      <c r="F11336" t="s">
        <v>617</v>
      </c>
      <c r="G11336">
        <v>153.69</v>
      </c>
      <c r="H11336">
        <v>251031</v>
      </c>
      <c r="I11336">
        <v>4380</v>
      </c>
      <c r="J11336" t="s">
        <v>211</v>
      </c>
      <c r="K11336">
        <v>252</v>
      </c>
      <c r="L11336">
        <v>31.23</v>
      </c>
      <c r="M11336">
        <v>59502</v>
      </c>
      <c r="N11336" t="s">
        <v>63</v>
      </c>
      <c r="O11336">
        <v>251106</v>
      </c>
      <c r="P11336">
        <v>122.46</v>
      </c>
      <c r="Q11336"/>
    </row>
    <row r="11337" spans="1:17" s="1" customFormat="1" x14ac:dyDescent="0.25">
      <c r="A11337" t="s">
        <v>3296</v>
      </c>
      <c r="B11337" t="s">
        <v>2931</v>
      </c>
      <c r="C11337">
        <v>14783</v>
      </c>
      <c r="D11337" t="str">
        <f>"71817199    "</f>
        <v xml:space="preserve">71817199    </v>
      </c>
      <c r="E11337" t="s">
        <v>616</v>
      </c>
      <c r="F11337" t="s">
        <v>617</v>
      </c>
      <c r="G11337">
        <v>98.31</v>
      </c>
      <c r="H11337">
        <v>251031</v>
      </c>
      <c r="I11337">
        <v>4380</v>
      </c>
      <c r="J11337" t="s">
        <v>211</v>
      </c>
      <c r="K11337">
        <v>252</v>
      </c>
      <c r="L11337">
        <v>19.98</v>
      </c>
      <c r="M11337">
        <v>59802</v>
      </c>
      <c r="N11337" t="s">
        <v>195</v>
      </c>
      <c r="O11337">
        <v>251106</v>
      </c>
      <c r="P11337">
        <v>78.33</v>
      </c>
      <c r="Q11337"/>
    </row>
    <row r="11338" spans="1:17" s="1" customFormat="1" x14ac:dyDescent="0.25">
      <c r="A11338" t="s">
        <v>3296</v>
      </c>
      <c r="B11338" t="s">
        <v>2931</v>
      </c>
      <c r="C11338">
        <v>14785</v>
      </c>
      <c r="D11338" t="str">
        <f>"71817024    "</f>
        <v xml:space="preserve">71817024    </v>
      </c>
      <c r="E11338" t="s">
        <v>616</v>
      </c>
      <c r="F11338" t="s">
        <v>617</v>
      </c>
      <c r="G11338">
        <v>648.52</v>
      </c>
      <c r="H11338">
        <v>251031</v>
      </c>
      <c r="I11338">
        <v>4380</v>
      </c>
      <c r="J11338" t="s">
        <v>211</v>
      </c>
      <c r="K11338">
        <v>648.52</v>
      </c>
      <c r="L11338">
        <v>131.77000000000001</v>
      </c>
      <c r="M11338">
        <v>17951</v>
      </c>
      <c r="N11338" t="s">
        <v>207</v>
      </c>
      <c r="O11338">
        <v>251106</v>
      </c>
      <c r="P11338">
        <v>516.75</v>
      </c>
      <c r="Q11338"/>
    </row>
    <row r="11339" spans="1:17" s="1" customFormat="1" x14ac:dyDescent="0.25">
      <c r="A11339" t="s">
        <v>3296</v>
      </c>
      <c r="B11339" t="s">
        <v>2931</v>
      </c>
      <c r="C11339">
        <v>14786</v>
      </c>
      <c r="D11339" t="str">
        <f>"71817201    "</f>
        <v xml:space="preserve">71817201    </v>
      </c>
      <c r="E11339" t="s">
        <v>616</v>
      </c>
      <c r="F11339" t="s">
        <v>617</v>
      </c>
      <c r="G11339">
        <v>105.17</v>
      </c>
      <c r="H11339">
        <v>251031</v>
      </c>
      <c r="I11339">
        <v>4380</v>
      </c>
      <c r="J11339" t="s">
        <v>211</v>
      </c>
      <c r="K11339">
        <v>105.17</v>
      </c>
      <c r="L11339">
        <v>21.37</v>
      </c>
      <c r="M11339">
        <v>59504</v>
      </c>
      <c r="N11339" t="s">
        <v>193</v>
      </c>
      <c r="O11339">
        <v>251106</v>
      </c>
      <c r="P11339">
        <v>83.8</v>
      </c>
      <c r="Q11339"/>
    </row>
    <row r="11340" spans="1:17" s="1" customFormat="1" x14ac:dyDescent="0.25">
      <c r="A11340" t="s">
        <v>3296</v>
      </c>
      <c r="B11340" t="s">
        <v>2931</v>
      </c>
      <c r="C11340">
        <v>14800</v>
      </c>
      <c r="D11340" t="str">
        <f>"71811423    "</f>
        <v xml:space="preserve">71811423    </v>
      </c>
      <c r="E11340" t="s">
        <v>616</v>
      </c>
      <c r="F11340" t="s">
        <v>617</v>
      </c>
      <c r="G11340">
        <v>143.82</v>
      </c>
      <c r="H11340">
        <v>251031</v>
      </c>
      <c r="I11340">
        <v>4380</v>
      </c>
      <c r="J11340" t="s">
        <v>211</v>
      </c>
      <c r="K11340">
        <v>143.82</v>
      </c>
      <c r="L11340">
        <v>29.22</v>
      </c>
      <c r="M11340">
        <v>47522</v>
      </c>
      <c r="N11340" t="s">
        <v>106</v>
      </c>
      <c r="O11340">
        <v>251106</v>
      </c>
      <c r="P11340">
        <v>114.6</v>
      </c>
      <c r="Q11340"/>
    </row>
    <row r="11341" spans="1:17" s="1" customFormat="1" x14ac:dyDescent="0.25">
      <c r="A11341" t="s">
        <v>3296</v>
      </c>
      <c r="B11341" t="s">
        <v>2931</v>
      </c>
      <c r="C11341">
        <v>14801</v>
      </c>
      <c r="D11341" t="str">
        <f>"71811424    "</f>
        <v xml:space="preserve">71811424    </v>
      </c>
      <c r="E11341" t="s">
        <v>616</v>
      </c>
      <c r="F11341" t="s">
        <v>617</v>
      </c>
      <c r="G11341">
        <v>122.49</v>
      </c>
      <c r="H11341">
        <v>251031</v>
      </c>
      <c r="I11341">
        <v>4380</v>
      </c>
      <c r="J11341" t="s">
        <v>211</v>
      </c>
      <c r="K11341">
        <v>122.49</v>
      </c>
      <c r="L11341">
        <v>24.89</v>
      </c>
      <c r="M11341">
        <v>47522</v>
      </c>
      <c r="N11341" t="s">
        <v>106</v>
      </c>
      <c r="O11341">
        <v>251106</v>
      </c>
      <c r="P11341">
        <v>97.6</v>
      </c>
      <c r="Q11341"/>
    </row>
    <row r="11342" spans="1:17" s="1" customFormat="1" x14ac:dyDescent="0.25">
      <c r="A11342" t="s">
        <v>3296</v>
      </c>
      <c r="B11342" t="s">
        <v>2931</v>
      </c>
      <c r="C11342">
        <v>14804</v>
      </c>
      <c r="D11342" t="str">
        <f>"71815955    "</f>
        <v xml:space="preserve">71815955    </v>
      </c>
      <c r="E11342" t="s">
        <v>616</v>
      </c>
      <c r="F11342" t="s">
        <v>617</v>
      </c>
      <c r="G11342">
        <v>142.19</v>
      </c>
      <c r="H11342">
        <v>251031</v>
      </c>
      <c r="I11342">
        <v>4380</v>
      </c>
      <c r="J11342" t="s">
        <v>211</v>
      </c>
      <c r="K11342">
        <v>142.19</v>
      </c>
      <c r="L11342">
        <v>28.89</v>
      </c>
      <c r="M11342">
        <v>59501</v>
      </c>
      <c r="N11342" t="s">
        <v>62</v>
      </c>
      <c r="O11342">
        <v>251106</v>
      </c>
      <c r="P11342">
        <v>113.3</v>
      </c>
      <c r="Q11342"/>
    </row>
    <row r="11343" spans="1:17" s="1" customFormat="1" x14ac:dyDescent="0.25">
      <c r="A11343" t="s">
        <v>3296</v>
      </c>
      <c r="B11343" t="s">
        <v>2931</v>
      </c>
      <c r="C11343">
        <v>14805</v>
      </c>
      <c r="D11343" t="str">
        <f>"71815959    "</f>
        <v xml:space="preserve">71815959    </v>
      </c>
      <c r="E11343" t="s">
        <v>616</v>
      </c>
      <c r="F11343" t="s">
        <v>617</v>
      </c>
      <c r="G11343">
        <v>60.24</v>
      </c>
      <c r="H11343">
        <v>251031</v>
      </c>
      <c r="I11343">
        <v>4380</v>
      </c>
      <c r="J11343" t="s">
        <v>211</v>
      </c>
      <c r="K11343">
        <v>60.24</v>
      </c>
      <c r="L11343">
        <v>12.24</v>
      </c>
      <c r="M11343">
        <v>17951</v>
      </c>
      <c r="N11343" t="s">
        <v>207</v>
      </c>
      <c r="O11343">
        <v>251106</v>
      </c>
      <c r="P11343">
        <v>48</v>
      </c>
      <c r="Q11343"/>
    </row>
    <row r="11344" spans="1:17" s="1" customFormat="1" x14ac:dyDescent="0.25">
      <c r="A11344" t="s">
        <v>3296</v>
      </c>
      <c r="B11344" t="s">
        <v>2931</v>
      </c>
      <c r="C11344">
        <v>14853</v>
      </c>
      <c r="D11344" t="str">
        <f>"71815832    "</f>
        <v xml:space="preserve">71815832    </v>
      </c>
      <c r="E11344" t="s">
        <v>616</v>
      </c>
      <c r="F11344" t="s">
        <v>617</v>
      </c>
      <c r="G11344">
        <v>11.04</v>
      </c>
      <c r="H11344">
        <v>251031</v>
      </c>
      <c r="I11344">
        <v>4380</v>
      </c>
      <c r="J11344" t="s">
        <v>211</v>
      </c>
      <c r="K11344">
        <v>11.04</v>
      </c>
      <c r="L11344">
        <v>2.2400000000000002</v>
      </c>
      <c r="M11344">
        <v>59503</v>
      </c>
      <c r="N11344" t="s">
        <v>766</v>
      </c>
      <c r="O11344">
        <v>251107</v>
      </c>
      <c r="P11344">
        <v>8.8000000000000007</v>
      </c>
      <c r="Q11344"/>
    </row>
    <row r="11345" spans="1:17" s="1" customFormat="1" x14ac:dyDescent="0.25">
      <c r="A11345" t="s">
        <v>3296</v>
      </c>
      <c r="B11345" t="s">
        <v>2931</v>
      </c>
      <c r="C11345">
        <v>14855</v>
      </c>
      <c r="D11345" t="str">
        <f>"71817207    "</f>
        <v xml:space="preserve">71817207    </v>
      </c>
      <c r="E11345" t="s">
        <v>616</v>
      </c>
      <c r="F11345" t="s">
        <v>617</v>
      </c>
      <c r="G11345">
        <v>43.55</v>
      </c>
      <c r="H11345">
        <v>251031</v>
      </c>
      <c r="I11345">
        <v>4380</v>
      </c>
      <c r="J11345" t="s">
        <v>211</v>
      </c>
      <c r="K11345">
        <v>43.55</v>
      </c>
      <c r="L11345">
        <v>8.85</v>
      </c>
      <c r="M11345">
        <v>59503</v>
      </c>
      <c r="N11345" t="s">
        <v>766</v>
      </c>
      <c r="O11345">
        <v>251107</v>
      </c>
      <c r="P11345">
        <v>34.700000000000003</v>
      </c>
      <c r="Q11345"/>
    </row>
    <row r="11346" spans="1:17" s="1" customFormat="1" x14ac:dyDescent="0.25">
      <c r="A11346" t="s">
        <v>3296</v>
      </c>
      <c r="B11346" t="s">
        <v>2931</v>
      </c>
      <c r="C11346">
        <v>14857</v>
      </c>
      <c r="D11346" t="str">
        <f>"71817204    "</f>
        <v xml:space="preserve">71817204    </v>
      </c>
      <c r="E11346" t="s">
        <v>616</v>
      </c>
      <c r="F11346" t="s">
        <v>617</v>
      </c>
      <c r="G11346">
        <v>474.77</v>
      </c>
      <c r="H11346">
        <v>251031</v>
      </c>
      <c r="I11346">
        <v>4380</v>
      </c>
      <c r="J11346" t="s">
        <v>211</v>
      </c>
      <c r="K11346">
        <v>474.77</v>
      </c>
      <c r="L11346">
        <v>96.47</v>
      </c>
      <c r="M11346">
        <v>59501</v>
      </c>
      <c r="N11346" t="s">
        <v>62</v>
      </c>
      <c r="O11346">
        <v>251107</v>
      </c>
      <c r="P11346">
        <v>378.3</v>
      </c>
      <c r="Q11346"/>
    </row>
    <row r="11347" spans="1:17" s="1" customFormat="1" x14ac:dyDescent="0.25">
      <c r="A11347" t="s">
        <v>3296</v>
      </c>
      <c r="B11347" t="s">
        <v>2931</v>
      </c>
      <c r="C11347">
        <v>15067</v>
      </c>
      <c r="D11347" t="str">
        <f>"71812262    "</f>
        <v xml:space="preserve">71812262    </v>
      </c>
      <c r="E11347" t="s">
        <v>616</v>
      </c>
      <c r="F11347" t="s">
        <v>617</v>
      </c>
      <c r="G11347">
        <v>50.43</v>
      </c>
      <c r="H11347">
        <v>251031</v>
      </c>
      <c r="I11347">
        <v>4380</v>
      </c>
      <c r="J11347" t="s">
        <v>211</v>
      </c>
      <c r="K11347">
        <v>50.43</v>
      </c>
      <c r="L11347">
        <v>10.25</v>
      </c>
      <c r="M11347">
        <v>46554</v>
      </c>
      <c r="N11347" t="s">
        <v>102</v>
      </c>
      <c r="O11347">
        <v>251111</v>
      </c>
      <c r="P11347">
        <v>40.18</v>
      </c>
      <c r="Q11347"/>
    </row>
    <row r="11348" spans="1:17" s="1" customFormat="1" x14ac:dyDescent="0.25">
      <c r="A11348" t="s">
        <v>3296</v>
      </c>
      <c r="B11348" t="s">
        <v>2931</v>
      </c>
      <c r="C11348">
        <v>15275</v>
      </c>
      <c r="D11348" t="str">
        <f>"71817208    "</f>
        <v xml:space="preserve">71817208    </v>
      </c>
      <c r="E11348" t="s">
        <v>616</v>
      </c>
      <c r="F11348" t="s">
        <v>617</v>
      </c>
      <c r="G11348">
        <v>364.84</v>
      </c>
      <c r="H11348">
        <v>251031</v>
      </c>
      <c r="I11348">
        <v>4380</v>
      </c>
      <c r="J11348" t="s">
        <v>211</v>
      </c>
      <c r="K11348">
        <v>446.09</v>
      </c>
      <c r="L11348">
        <v>74.13</v>
      </c>
      <c r="M11348">
        <v>49501</v>
      </c>
      <c r="N11348" t="s">
        <v>110</v>
      </c>
      <c r="O11348">
        <v>251117</v>
      </c>
      <c r="P11348">
        <v>290.70999999999998</v>
      </c>
      <c r="Q11348"/>
    </row>
    <row r="11349" spans="1:17" s="1" customFormat="1" x14ac:dyDescent="0.25">
      <c r="A11349" t="s">
        <v>3296</v>
      </c>
      <c r="B11349" t="s">
        <v>2931</v>
      </c>
      <c r="C11349">
        <v>15275</v>
      </c>
      <c r="D11349" t="str">
        <f>"71817208    "</f>
        <v xml:space="preserve">71817208    </v>
      </c>
      <c r="E11349" t="s">
        <v>616</v>
      </c>
      <c r="F11349" t="s">
        <v>617</v>
      </c>
      <c r="G11349">
        <v>81.25</v>
      </c>
      <c r="H11349">
        <v>251031</v>
      </c>
      <c r="I11349">
        <v>4380</v>
      </c>
      <c r="J11349" t="s">
        <v>211</v>
      </c>
      <c r="K11349">
        <v>446.09</v>
      </c>
      <c r="L11349">
        <v>16.510000000000002</v>
      </c>
      <c r="M11349">
        <v>49503</v>
      </c>
      <c r="N11349" t="s">
        <v>267</v>
      </c>
      <c r="O11349">
        <v>251117</v>
      </c>
      <c r="P11349">
        <v>64.739999999999995</v>
      </c>
      <c r="Q11349"/>
    </row>
    <row r="11350" spans="1:17" s="1" customFormat="1" x14ac:dyDescent="0.25">
      <c r="A11350" t="s">
        <v>3296</v>
      </c>
      <c r="B11350" t="s">
        <v>2931</v>
      </c>
      <c r="C11350">
        <v>15276</v>
      </c>
      <c r="D11350" t="str">
        <f>"71817027    "</f>
        <v xml:space="preserve">71817027    </v>
      </c>
      <c r="E11350" t="s">
        <v>616</v>
      </c>
      <c r="F11350" t="s">
        <v>617</v>
      </c>
      <c r="G11350">
        <v>29.96</v>
      </c>
      <c r="H11350">
        <v>251031</v>
      </c>
      <c r="I11350">
        <v>4380</v>
      </c>
      <c r="J11350" t="s">
        <v>211</v>
      </c>
      <c r="K11350">
        <v>342.43</v>
      </c>
      <c r="L11350">
        <v>6.09</v>
      </c>
      <c r="M11350">
        <v>13540</v>
      </c>
      <c r="N11350" t="s">
        <v>131</v>
      </c>
      <c r="O11350">
        <v>251117</v>
      </c>
      <c r="P11350">
        <v>23.87</v>
      </c>
      <c r="Q11350"/>
    </row>
    <row r="11351" spans="1:17" s="1" customFormat="1" x14ac:dyDescent="0.25">
      <c r="A11351" t="s">
        <v>3296</v>
      </c>
      <c r="B11351" t="s">
        <v>2931</v>
      </c>
      <c r="C11351">
        <v>15276</v>
      </c>
      <c r="D11351" t="str">
        <f>"71817027    "</f>
        <v xml:space="preserve">71817027    </v>
      </c>
      <c r="E11351" t="s">
        <v>616</v>
      </c>
      <c r="F11351" t="s">
        <v>617</v>
      </c>
      <c r="G11351">
        <v>204.31</v>
      </c>
      <c r="H11351">
        <v>251031</v>
      </c>
      <c r="I11351">
        <v>4380</v>
      </c>
      <c r="J11351" t="s">
        <v>211</v>
      </c>
      <c r="K11351">
        <v>342.43</v>
      </c>
      <c r="L11351">
        <v>41.51</v>
      </c>
      <c r="M11351">
        <v>17950</v>
      </c>
      <c r="N11351" t="s">
        <v>132</v>
      </c>
      <c r="O11351">
        <v>251117</v>
      </c>
      <c r="P11351">
        <v>162.80000000000001</v>
      </c>
      <c r="Q11351"/>
    </row>
    <row r="11352" spans="1:17" s="1" customFormat="1" x14ac:dyDescent="0.25">
      <c r="A11352" t="s">
        <v>3296</v>
      </c>
      <c r="B11352" t="s">
        <v>2931</v>
      </c>
      <c r="C11352">
        <v>15276</v>
      </c>
      <c r="D11352" t="str">
        <f>"71817027    "</f>
        <v xml:space="preserve">71817027    </v>
      </c>
      <c r="E11352" t="s">
        <v>616</v>
      </c>
      <c r="F11352" t="s">
        <v>617</v>
      </c>
      <c r="G11352">
        <v>108.16</v>
      </c>
      <c r="H11352">
        <v>251031</v>
      </c>
      <c r="I11352">
        <v>4380</v>
      </c>
      <c r="J11352" t="s">
        <v>211</v>
      </c>
      <c r="K11352">
        <v>342.43</v>
      </c>
      <c r="L11352">
        <v>21.98</v>
      </c>
      <c r="M11352">
        <v>17956</v>
      </c>
      <c r="N11352" t="s">
        <v>170</v>
      </c>
      <c r="O11352">
        <v>251117</v>
      </c>
      <c r="P11352">
        <v>86.18</v>
      </c>
      <c r="Q11352"/>
    </row>
    <row r="11353" spans="1:17" s="1" customFormat="1" x14ac:dyDescent="0.25">
      <c r="A11353" t="s">
        <v>3296</v>
      </c>
      <c r="B11353" t="s">
        <v>2931</v>
      </c>
      <c r="C11353">
        <v>15278</v>
      </c>
      <c r="D11353" t="str">
        <f>"71815967    "</f>
        <v xml:space="preserve">71815967    </v>
      </c>
      <c r="E11353" t="s">
        <v>616</v>
      </c>
      <c r="F11353" t="s">
        <v>617</v>
      </c>
      <c r="G11353">
        <v>69.03</v>
      </c>
      <c r="H11353">
        <v>251031</v>
      </c>
      <c r="I11353">
        <v>4380</v>
      </c>
      <c r="J11353" t="s">
        <v>211</v>
      </c>
      <c r="K11353">
        <v>804.2</v>
      </c>
      <c r="L11353">
        <v>14.03</v>
      </c>
      <c r="M11353">
        <v>13540</v>
      </c>
      <c r="N11353" t="s">
        <v>131</v>
      </c>
      <c r="O11353">
        <v>251117</v>
      </c>
      <c r="P11353">
        <v>55</v>
      </c>
      <c r="Q11353"/>
    </row>
    <row r="11354" spans="1:17" s="1" customFormat="1" x14ac:dyDescent="0.25">
      <c r="A11354" t="s">
        <v>3296</v>
      </c>
      <c r="B11354" t="s">
        <v>2931</v>
      </c>
      <c r="C11354">
        <v>15278</v>
      </c>
      <c r="D11354" t="str">
        <f>"71815967    "</f>
        <v xml:space="preserve">71815967    </v>
      </c>
      <c r="E11354" t="s">
        <v>616</v>
      </c>
      <c r="F11354" t="s">
        <v>617</v>
      </c>
      <c r="G11354">
        <v>470.62</v>
      </c>
      <c r="H11354">
        <v>251031</v>
      </c>
      <c r="I11354">
        <v>4380</v>
      </c>
      <c r="J11354" t="s">
        <v>211</v>
      </c>
      <c r="K11354">
        <v>804.2</v>
      </c>
      <c r="L11354">
        <v>95.62</v>
      </c>
      <c r="M11354">
        <v>17950</v>
      </c>
      <c r="N11354" t="s">
        <v>132</v>
      </c>
      <c r="O11354">
        <v>251117</v>
      </c>
      <c r="P11354">
        <v>375</v>
      </c>
      <c r="Q11354"/>
    </row>
    <row r="11355" spans="1:17" s="1" customFormat="1" x14ac:dyDescent="0.25">
      <c r="A11355" t="s">
        <v>3296</v>
      </c>
      <c r="B11355" t="s">
        <v>2931</v>
      </c>
      <c r="C11355">
        <v>15278</v>
      </c>
      <c r="D11355" t="str">
        <f>"71815967    "</f>
        <v xml:space="preserve">71815967    </v>
      </c>
      <c r="E11355" t="s">
        <v>616</v>
      </c>
      <c r="F11355" t="s">
        <v>617</v>
      </c>
      <c r="G11355">
        <v>87.85</v>
      </c>
      <c r="H11355">
        <v>251031</v>
      </c>
      <c r="I11355">
        <v>4380</v>
      </c>
      <c r="J11355" t="s">
        <v>211</v>
      </c>
      <c r="K11355">
        <v>804.2</v>
      </c>
      <c r="L11355">
        <v>17.850000000000001</v>
      </c>
      <c r="M11355">
        <v>17956</v>
      </c>
      <c r="N11355" t="s">
        <v>170</v>
      </c>
      <c r="O11355">
        <v>251117</v>
      </c>
      <c r="P11355">
        <v>70</v>
      </c>
      <c r="Q11355"/>
    </row>
    <row r="11356" spans="1:17" s="1" customFormat="1" x14ac:dyDescent="0.25">
      <c r="A11356" t="s">
        <v>3296</v>
      </c>
      <c r="B11356" t="s">
        <v>2931</v>
      </c>
      <c r="C11356">
        <v>15280</v>
      </c>
      <c r="D11356" t="str">
        <f>"71815961    "</f>
        <v xml:space="preserve">71815961    </v>
      </c>
      <c r="E11356" t="s">
        <v>616</v>
      </c>
      <c r="F11356" t="s">
        <v>617</v>
      </c>
      <c r="G11356">
        <v>25.1</v>
      </c>
      <c r="H11356">
        <v>251031</v>
      </c>
      <c r="I11356">
        <v>4380</v>
      </c>
      <c r="J11356" t="s">
        <v>211</v>
      </c>
      <c r="K11356">
        <v>33.380000000000003</v>
      </c>
      <c r="L11356">
        <v>5.0999999999999996</v>
      </c>
      <c r="M11356">
        <v>17956</v>
      </c>
      <c r="N11356" t="s">
        <v>170</v>
      </c>
      <c r="O11356">
        <v>251117</v>
      </c>
      <c r="P11356">
        <v>20</v>
      </c>
      <c r="Q11356"/>
    </row>
    <row r="11357" spans="1:17" s="1" customFormat="1" x14ac:dyDescent="0.25">
      <c r="A11357" t="s">
        <v>3296</v>
      </c>
      <c r="B11357" t="s">
        <v>2931</v>
      </c>
      <c r="C11357">
        <v>15281</v>
      </c>
      <c r="D11357" t="str">
        <f>"71815966    "</f>
        <v xml:space="preserve">71815966    </v>
      </c>
      <c r="E11357" t="s">
        <v>616</v>
      </c>
      <c r="F11357" t="s">
        <v>617</v>
      </c>
      <c r="G11357">
        <v>80.069999999999993</v>
      </c>
      <c r="H11357">
        <v>251031</v>
      </c>
      <c r="I11357">
        <v>4380</v>
      </c>
      <c r="J11357" t="s">
        <v>211</v>
      </c>
      <c r="K11357">
        <v>80.069999999999993</v>
      </c>
      <c r="L11357">
        <v>16.27</v>
      </c>
      <c r="M11357">
        <v>49501</v>
      </c>
      <c r="N11357" t="s">
        <v>110</v>
      </c>
      <c r="O11357">
        <v>251117</v>
      </c>
      <c r="P11357">
        <v>63.8</v>
      </c>
      <c r="Q11357"/>
    </row>
    <row r="11358" spans="1:17" s="1" customFormat="1" x14ac:dyDescent="0.25">
      <c r="A11358" t="s">
        <v>3296</v>
      </c>
      <c r="B11358" t="s">
        <v>2931</v>
      </c>
      <c r="C11358">
        <v>15282</v>
      </c>
      <c r="D11358" t="str">
        <f>"71817800    "</f>
        <v xml:space="preserve">71817800    </v>
      </c>
      <c r="E11358" t="s">
        <v>616</v>
      </c>
      <c r="F11358" t="s">
        <v>617</v>
      </c>
      <c r="G11358">
        <v>15.69</v>
      </c>
      <c r="H11358">
        <v>251031</v>
      </c>
      <c r="I11358">
        <v>4380</v>
      </c>
      <c r="J11358" t="s">
        <v>211</v>
      </c>
      <c r="K11358">
        <v>15.69</v>
      </c>
      <c r="L11358">
        <v>3.19</v>
      </c>
      <c r="M11358">
        <v>13841</v>
      </c>
      <c r="N11358" t="s">
        <v>178</v>
      </c>
      <c r="O11358">
        <v>251117</v>
      </c>
      <c r="P11358">
        <v>12.5</v>
      </c>
      <c r="Q11358"/>
    </row>
    <row r="11359" spans="1:17" s="1" customFormat="1" x14ac:dyDescent="0.25">
      <c r="A11359" t="s">
        <v>3296</v>
      </c>
      <c r="B11359" t="s">
        <v>2931</v>
      </c>
      <c r="C11359">
        <v>15288</v>
      </c>
      <c r="D11359" t="str">
        <f>"71815965    "</f>
        <v xml:space="preserve">71815965    </v>
      </c>
      <c r="E11359" t="s">
        <v>616</v>
      </c>
      <c r="F11359" t="s">
        <v>617</v>
      </c>
      <c r="G11359">
        <v>19.329999999999998</v>
      </c>
      <c r="H11359">
        <v>251031</v>
      </c>
      <c r="I11359">
        <v>4380</v>
      </c>
      <c r="J11359" t="s">
        <v>211</v>
      </c>
      <c r="K11359">
        <v>44.43</v>
      </c>
      <c r="L11359">
        <v>3.93</v>
      </c>
      <c r="M11359">
        <v>17956</v>
      </c>
      <c r="N11359" t="s">
        <v>170</v>
      </c>
      <c r="O11359">
        <v>251117</v>
      </c>
      <c r="P11359">
        <v>15.4</v>
      </c>
      <c r="Q11359"/>
    </row>
    <row r="11360" spans="1:17" s="1" customFormat="1" x14ac:dyDescent="0.25">
      <c r="A11360" t="s">
        <v>3296</v>
      </c>
      <c r="B11360" t="s">
        <v>2931</v>
      </c>
      <c r="C11360">
        <v>15352</v>
      </c>
      <c r="D11360" t="str">
        <f>"71815962    "</f>
        <v xml:space="preserve">71815962    </v>
      </c>
      <c r="E11360" t="s">
        <v>616</v>
      </c>
      <c r="F11360" t="s">
        <v>617</v>
      </c>
      <c r="G11360">
        <v>353.91</v>
      </c>
      <c r="H11360">
        <v>251031</v>
      </c>
      <c r="I11360">
        <v>4380</v>
      </c>
      <c r="J11360" t="s">
        <v>211</v>
      </c>
      <c r="K11360">
        <v>353.91</v>
      </c>
      <c r="L11360">
        <v>71.91</v>
      </c>
      <c r="M11360">
        <v>14951</v>
      </c>
      <c r="N11360" t="s">
        <v>186</v>
      </c>
      <c r="O11360">
        <v>251119</v>
      </c>
      <c r="P11360">
        <v>282</v>
      </c>
      <c r="Q11360"/>
    </row>
    <row r="11361" spans="1:17" s="1" customFormat="1" x14ac:dyDescent="0.25">
      <c r="A11361" t="s">
        <v>3296</v>
      </c>
      <c r="B11361" t="s">
        <v>2931</v>
      </c>
      <c r="C11361">
        <v>15360</v>
      </c>
      <c r="D11361" t="str">
        <f>"71817203    "</f>
        <v xml:space="preserve">71817203    </v>
      </c>
      <c r="E11361" t="s">
        <v>616</v>
      </c>
      <c r="F11361" t="s">
        <v>617</v>
      </c>
      <c r="G11361">
        <v>131.4</v>
      </c>
      <c r="H11361">
        <v>251031</v>
      </c>
      <c r="I11361">
        <v>4380</v>
      </c>
      <c r="J11361" t="s">
        <v>211</v>
      </c>
      <c r="K11361">
        <v>165.1</v>
      </c>
      <c r="L11361">
        <v>26.7</v>
      </c>
      <c r="M11361">
        <v>14432</v>
      </c>
      <c r="N11361" t="s">
        <v>75</v>
      </c>
      <c r="O11361">
        <v>251119</v>
      </c>
      <c r="P11361">
        <v>104.7</v>
      </c>
      <c r="Q11361"/>
    </row>
    <row r="11362" spans="1:17" s="1" customFormat="1" x14ac:dyDescent="0.25">
      <c r="A11362" t="s">
        <v>3296</v>
      </c>
      <c r="B11362" t="s">
        <v>2931</v>
      </c>
      <c r="C11362">
        <v>15360</v>
      </c>
      <c r="D11362" t="str">
        <f>"71817203    "</f>
        <v xml:space="preserve">71817203    </v>
      </c>
      <c r="E11362" t="s">
        <v>616</v>
      </c>
      <c r="F11362" t="s">
        <v>617</v>
      </c>
      <c r="G11362">
        <v>33.700000000000003</v>
      </c>
      <c r="H11362">
        <v>251031</v>
      </c>
      <c r="I11362">
        <v>4380</v>
      </c>
      <c r="J11362" t="s">
        <v>211</v>
      </c>
      <c r="K11362">
        <v>165.1</v>
      </c>
      <c r="L11362">
        <v>6.85</v>
      </c>
      <c r="M11362">
        <v>14951</v>
      </c>
      <c r="N11362" t="s">
        <v>186</v>
      </c>
      <c r="O11362">
        <v>251119</v>
      </c>
      <c r="P11362">
        <v>26.85</v>
      </c>
      <c r="Q11362"/>
    </row>
    <row r="11363" spans="1:17" s="1" customFormat="1" x14ac:dyDescent="0.25">
      <c r="A11363" t="s">
        <v>3296</v>
      </c>
      <c r="B11363" t="s">
        <v>2931</v>
      </c>
      <c r="C11363">
        <v>15545</v>
      </c>
      <c r="D11363" t="str">
        <f>"71855003    "</f>
        <v xml:space="preserve">71855003    </v>
      </c>
      <c r="E11363" t="s">
        <v>616</v>
      </c>
      <c r="F11363" t="s">
        <v>617</v>
      </c>
      <c r="G11363">
        <v>110.94</v>
      </c>
      <c r="H11363">
        <v>251113</v>
      </c>
      <c r="I11363">
        <v>4380</v>
      </c>
      <c r="J11363" t="s">
        <v>211</v>
      </c>
      <c r="K11363">
        <v>110.94</v>
      </c>
      <c r="L11363">
        <v>22.54</v>
      </c>
      <c r="M11363">
        <v>59505</v>
      </c>
      <c r="N11363" t="s">
        <v>194</v>
      </c>
      <c r="O11363">
        <v>251121</v>
      </c>
      <c r="P11363">
        <v>88.4</v>
      </c>
      <c r="Q11363"/>
    </row>
    <row r="11364" spans="1:17" s="1" customFormat="1" x14ac:dyDescent="0.25">
      <c r="A11364" t="s">
        <v>3296</v>
      </c>
      <c r="B11364" t="s">
        <v>2931</v>
      </c>
      <c r="C11364">
        <v>16609</v>
      </c>
      <c r="D11364" t="str">
        <f>"71869830    "</f>
        <v xml:space="preserve">71869830    </v>
      </c>
      <c r="E11364" t="s">
        <v>616</v>
      </c>
      <c r="F11364" t="s">
        <v>617</v>
      </c>
      <c r="G11364">
        <v>50.43</v>
      </c>
      <c r="H11364">
        <v>251130</v>
      </c>
      <c r="I11364">
        <v>4380</v>
      </c>
      <c r="J11364" t="s">
        <v>211</v>
      </c>
      <c r="K11364">
        <v>50.43</v>
      </c>
      <c r="L11364">
        <v>10.25</v>
      </c>
      <c r="M11364">
        <v>46554</v>
      </c>
      <c r="N11364" t="s">
        <v>102</v>
      </c>
      <c r="O11364">
        <v>251210</v>
      </c>
      <c r="P11364">
        <v>40.18</v>
      </c>
      <c r="Q11364"/>
    </row>
    <row r="11365" spans="1:17" s="1" customFormat="1" x14ac:dyDescent="0.25">
      <c r="A11365" t="s">
        <v>3296</v>
      </c>
      <c r="B11365" t="s">
        <v>2931</v>
      </c>
      <c r="C11365">
        <v>16771</v>
      </c>
      <c r="D11365" t="str">
        <f>"71875463    "</f>
        <v xml:space="preserve">71875463    </v>
      </c>
      <c r="E11365" t="s">
        <v>616</v>
      </c>
      <c r="F11365" t="s">
        <v>617</v>
      </c>
      <c r="G11365">
        <v>93.88</v>
      </c>
      <c r="H11365">
        <v>251130</v>
      </c>
      <c r="I11365">
        <v>4380</v>
      </c>
      <c r="J11365" t="s">
        <v>211</v>
      </c>
      <c r="K11365">
        <v>1030.0999999999999</v>
      </c>
      <c r="L11365">
        <v>19.079999999999998</v>
      </c>
      <c r="M11365">
        <v>13540</v>
      </c>
      <c r="N11365" t="s">
        <v>131</v>
      </c>
      <c r="O11365">
        <v>251211</v>
      </c>
      <c r="P11365">
        <v>74.8</v>
      </c>
      <c r="Q11365"/>
    </row>
    <row r="11366" spans="1:17" s="1" customFormat="1" x14ac:dyDescent="0.25">
      <c r="A11366" t="s">
        <v>3296</v>
      </c>
      <c r="B11366" t="s">
        <v>2931</v>
      </c>
      <c r="C11366">
        <v>16771</v>
      </c>
      <c r="D11366" t="str">
        <f>"71875463    "</f>
        <v xml:space="preserve">71875463    </v>
      </c>
      <c r="E11366" t="s">
        <v>616</v>
      </c>
      <c r="F11366" t="s">
        <v>617</v>
      </c>
      <c r="G11366">
        <v>640.04999999999995</v>
      </c>
      <c r="H11366">
        <v>251130</v>
      </c>
      <c r="I11366">
        <v>4380</v>
      </c>
      <c r="J11366" t="s">
        <v>211</v>
      </c>
      <c r="K11366">
        <v>1030.0999999999999</v>
      </c>
      <c r="L11366">
        <v>130.05000000000001</v>
      </c>
      <c r="M11366">
        <v>17950</v>
      </c>
      <c r="N11366" t="s">
        <v>132</v>
      </c>
      <c r="O11366">
        <v>251211</v>
      </c>
      <c r="P11366">
        <v>510</v>
      </c>
      <c r="Q11366"/>
    </row>
    <row r="11367" spans="1:17" s="1" customFormat="1" x14ac:dyDescent="0.25">
      <c r="A11367" t="s">
        <v>3296</v>
      </c>
      <c r="B11367" t="s">
        <v>2931</v>
      </c>
      <c r="C11367">
        <v>16771</v>
      </c>
      <c r="D11367" t="str">
        <f>"71875463    "</f>
        <v xml:space="preserve">71875463    </v>
      </c>
      <c r="E11367" t="s">
        <v>616</v>
      </c>
      <c r="F11367" t="s">
        <v>617</v>
      </c>
      <c r="G11367">
        <v>119.47</v>
      </c>
      <c r="H11367">
        <v>251130</v>
      </c>
      <c r="I11367">
        <v>4380</v>
      </c>
      <c r="J11367" t="s">
        <v>211</v>
      </c>
      <c r="K11367">
        <v>1030.0999999999999</v>
      </c>
      <c r="L11367">
        <v>24.27</v>
      </c>
      <c r="M11367">
        <v>17956</v>
      </c>
      <c r="N11367" t="s">
        <v>170</v>
      </c>
      <c r="O11367">
        <v>251211</v>
      </c>
      <c r="P11367">
        <v>95.2</v>
      </c>
      <c r="Q11367"/>
    </row>
    <row r="11368" spans="1:17" s="1" customFormat="1" x14ac:dyDescent="0.25">
      <c r="A11368" t="s">
        <v>3296</v>
      </c>
      <c r="B11368" t="s">
        <v>2931</v>
      </c>
      <c r="C11368">
        <v>16772</v>
      </c>
      <c r="D11368" t="str">
        <f>"71872799    "</f>
        <v xml:space="preserve">71872799    </v>
      </c>
      <c r="E11368" t="s">
        <v>616</v>
      </c>
      <c r="F11368" t="s">
        <v>617</v>
      </c>
      <c r="G11368">
        <v>12.55</v>
      </c>
      <c r="H11368">
        <v>251130</v>
      </c>
      <c r="I11368">
        <v>4380</v>
      </c>
      <c r="J11368" t="s">
        <v>211</v>
      </c>
      <c r="K11368">
        <v>12.55</v>
      </c>
      <c r="L11368">
        <v>2.5499999999999998</v>
      </c>
      <c r="M11368">
        <v>13841</v>
      </c>
      <c r="N11368" t="s">
        <v>178</v>
      </c>
      <c r="O11368">
        <v>251211</v>
      </c>
      <c r="P11368">
        <v>10</v>
      </c>
      <c r="Q11368"/>
    </row>
    <row r="11369" spans="1:17" s="1" customFormat="1" x14ac:dyDescent="0.25">
      <c r="A11369" t="s">
        <v>3296</v>
      </c>
      <c r="B11369" t="s">
        <v>2931</v>
      </c>
      <c r="C11369">
        <v>16773</v>
      </c>
      <c r="D11369" t="str">
        <f>"71875465    "</f>
        <v xml:space="preserve">71875465    </v>
      </c>
      <c r="E11369" t="s">
        <v>616</v>
      </c>
      <c r="F11369" t="s">
        <v>617</v>
      </c>
      <c r="G11369">
        <v>50.2</v>
      </c>
      <c r="H11369">
        <v>251130</v>
      </c>
      <c r="I11369">
        <v>4380</v>
      </c>
      <c r="J11369" t="s">
        <v>211</v>
      </c>
      <c r="K11369">
        <v>58.48</v>
      </c>
      <c r="L11369">
        <v>10.199999999999999</v>
      </c>
      <c r="M11369">
        <v>17956</v>
      </c>
      <c r="N11369" t="s">
        <v>170</v>
      </c>
      <c r="O11369">
        <v>251211</v>
      </c>
      <c r="P11369">
        <v>40</v>
      </c>
      <c r="Q11369"/>
    </row>
    <row r="11370" spans="1:17" s="1" customFormat="1" x14ac:dyDescent="0.25">
      <c r="A11370" t="s">
        <v>3296</v>
      </c>
      <c r="B11370" t="s">
        <v>2931</v>
      </c>
      <c r="C11370">
        <v>16774</v>
      </c>
      <c r="D11370" t="str">
        <f>"71875461    "</f>
        <v xml:space="preserve">71875461    </v>
      </c>
      <c r="E11370" t="s">
        <v>616</v>
      </c>
      <c r="F11370" t="s">
        <v>617</v>
      </c>
      <c r="G11370">
        <v>30.12</v>
      </c>
      <c r="H11370">
        <v>251130</v>
      </c>
      <c r="I11370">
        <v>4380</v>
      </c>
      <c r="J11370" t="s">
        <v>211</v>
      </c>
      <c r="K11370">
        <v>30.12</v>
      </c>
      <c r="L11370">
        <v>6.12</v>
      </c>
      <c r="M11370">
        <v>17951</v>
      </c>
      <c r="N11370" t="s">
        <v>207</v>
      </c>
      <c r="O11370">
        <v>251211</v>
      </c>
      <c r="P11370">
        <v>24</v>
      </c>
      <c r="Q11370"/>
    </row>
    <row r="11371" spans="1:17" s="1" customFormat="1" x14ac:dyDescent="0.25">
      <c r="A11371" t="s">
        <v>3296</v>
      </c>
      <c r="B11371" t="s">
        <v>2931</v>
      </c>
      <c r="C11371">
        <v>16775</v>
      </c>
      <c r="D11371" t="str">
        <f>"71872027    "</f>
        <v xml:space="preserve">71872027    </v>
      </c>
      <c r="E11371" t="s">
        <v>616</v>
      </c>
      <c r="F11371" t="s">
        <v>617</v>
      </c>
      <c r="G11371">
        <v>518.82000000000005</v>
      </c>
      <c r="H11371">
        <v>251130</v>
      </c>
      <c r="I11371">
        <v>4380</v>
      </c>
      <c r="J11371" t="s">
        <v>211</v>
      </c>
      <c r="K11371">
        <v>518.82000000000005</v>
      </c>
      <c r="L11371">
        <v>105.42</v>
      </c>
      <c r="M11371">
        <v>17951</v>
      </c>
      <c r="N11371" t="s">
        <v>207</v>
      </c>
      <c r="O11371">
        <v>251211</v>
      </c>
      <c r="P11371">
        <v>413.4</v>
      </c>
      <c r="Q11371"/>
    </row>
    <row r="11372" spans="1:17" s="1" customFormat="1" x14ac:dyDescent="0.25">
      <c r="A11372" t="s">
        <v>3296</v>
      </c>
      <c r="B11372" t="s">
        <v>2931</v>
      </c>
      <c r="C11372">
        <v>16776</v>
      </c>
      <c r="D11372" t="str">
        <f>"71875473    "</f>
        <v xml:space="preserve">71875473    </v>
      </c>
      <c r="E11372" t="s">
        <v>616</v>
      </c>
      <c r="F11372" t="s">
        <v>617</v>
      </c>
      <c r="G11372">
        <v>76.05</v>
      </c>
      <c r="H11372">
        <v>251130</v>
      </c>
      <c r="I11372">
        <v>4380</v>
      </c>
      <c r="J11372" t="s">
        <v>211</v>
      </c>
      <c r="K11372">
        <v>76.05</v>
      </c>
      <c r="L11372">
        <v>15.45</v>
      </c>
      <c r="M11372">
        <v>59504</v>
      </c>
      <c r="N11372" t="s">
        <v>193</v>
      </c>
      <c r="O11372">
        <v>251211</v>
      </c>
      <c r="P11372">
        <v>60.6</v>
      </c>
      <c r="Q11372"/>
    </row>
    <row r="11373" spans="1:17" s="1" customFormat="1" x14ac:dyDescent="0.25">
      <c r="A11373" t="s">
        <v>3296</v>
      </c>
      <c r="B11373" t="s">
        <v>2931</v>
      </c>
      <c r="C11373">
        <v>16777</v>
      </c>
      <c r="D11373" t="str">
        <f>"71875471    "</f>
        <v xml:space="preserve">71875471    </v>
      </c>
      <c r="E11373" t="s">
        <v>616</v>
      </c>
      <c r="F11373" t="s">
        <v>617</v>
      </c>
      <c r="G11373">
        <v>138.05000000000001</v>
      </c>
      <c r="H11373">
        <v>251130</v>
      </c>
      <c r="I11373">
        <v>4380</v>
      </c>
      <c r="J11373" t="s">
        <v>211</v>
      </c>
      <c r="K11373">
        <v>138.05000000000001</v>
      </c>
      <c r="L11373">
        <v>28.05</v>
      </c>
      <c r="M11373">
        <v>59501</v>
      </c>
      <c r="N11373" t="s">
        <v>62</v>
      </c>
      <c r="O11373">
        <v>251211</v>
      </c>
      <c r="P11373">
        <v>110</v>
      </c>
      <c r="Q11373"/>
    </row>
    <row r="11374" spans="1:17" s="1" customFormat="1" x14ac:dyDescent="0.25">
      <c r="A11374" t="s">
        <v>3296</v>
      </c>
      <c r="B11374" t="s">
        <v>2931</v>
      </c>
      <c r="C11374">
        <v>16778</v>
      </c>
      <c r="D11374" t="str">
        <f>"71875466    "</f>
        <v xml:space="preserve">71875466    </v>
      </c>
      <c r="E11374" t="s">
        <v>616</v>
      </c>
      <c r="F11374" t="s">
        <v>617</v>
      </c>
      <c r="G11374">
        <v>25.11</v>
      </c>
      <c r="H11374">
        <v>251130</v>
      </c>
      <c r="I11374">
        <v>4380</v>
      </c>
      <c r="J11374" t="s">
        <v>211</v>
      </c>
      <c r="K11374">
        <v>38.909999999999997</v>
      </c>
      <c r="L11374">
        <v>0</v>
      </c>
      <c r="M11374">
        <v>17956</v>
      </c>
      <c r="N11374" t="s">
        <v>170</v>
      </c>
      <c r="O11374">
        <v>251211</v>
      </c>
      <c r="P11374">
        <v>25.11</v>
      </c>
      <c r="Q11374"/>
    </row>
    <row r="11375" spans="1:17" s="1" customFormat="1" x14ac:dyDescent="0.25">
      <c r="A11375" t="s">
        <v>3296</v>
      </c>
      <c r="B11375" t="s">
        <v>2931</v>
      </c>
      <c r="C11375">
        <v>16779</v>
      </c>
      <c r="D11375" t="str">
        <f>"71875467    "</f>
        <v xml:space="preserve">71875467    </v>
      </c>
      <c r="E11375" t="s">
        <v>616</v>
      </c>
      <c r="F11375" t="s">
        <v>617</v>
      </c>
      <c r="G11375">
        <v>93.12</v>
      </c>
      <c r="H11375">
        <v>251130</v>
      </c>
      <c r="I11375">
        <v>4380</v>
      </c>
      <c r="J11375" t="s">
        <v>211</v>
      </c>
      <c r="K11375">
        <v>266.06</v>
      </c>
      <c r="L11375">
        <v>18.920000000000002</v>
      </c>
      <c r="M11375">
        <v>59502</v>
      </c>
      <c r="N11375" t="s">
        <v>63</v>
      </c>
      <c r="O11375">
        <v>251211</v>
      </c>
      <c r="P11375">
        <v>74.2</v>
      </c>
      <c r="Q11375"/>
    </row>
    <row r="11376" spans="1:17" s="1" customFormat="1" x14ac:dyDescent="0.25">
      <c r="A11376" t="s">
        <v>3296</v>
      </c>
      <c r="B11376" t="s">
        <v>2931</v>
      </c>
      <c r="C11376">
        <v>16779</v>
      </c>
      <c r="D11376" t="str">
        <f>"71875467    "</f>
        <v xml:space="preserve">71875467    </v>
      </c>
      <c r="E11376" t="s">
        <v>616</v>
      </c>
      <c r="F11376" t="s">
        <v>617</v>
      </c>
      <c r="G11376">
        <v>172.94</v>
      </c>
      <c r="H11376">
        <v>251130</v>
      </c>
      <c r="I11376">
        <v>4380</v>
      </c>
      <c r="J11376" t="s">
        <v>211</v>
      </c>
      <c r="K11376">
        <v>266.06</v>
      </c>
      <c r="L11376">
        <v>35.14</v>
      </c>
      <c r="M11376">
        <v>59802</v>
      </c>
      <c r="N11376" t="s">
        <v>195</v>
      </c>
      <c r="O11376">
        <v>251211</v>
      </c>
      <c r="P11376">
        <v>137.80000000000001</v>
      </c>
      <c r="Q11376"/>
    </row>
    <row r="11377" spans="1:17" s="1" customFormat="1" x14ac:dyDescent="0.25">
      <c r="A11377" t="s">
        <v>3296</v>
      </c>
      <c r="B11377" t="s">
        <v>2931</v>
      </c>
      <c r="C11377">
        <v>16780</v>
      </c>
      <c r="D11377" t="str">
        <f>"71868996    "</f>
        <v xml:space="preserve">71868996    </v>
      </c>
      <c r="E11377" t="s">
        <v>616</v>
      </c>
      <c r="F11377" t="s">
        <v>617</v>
      </c>
      <c r="G11377">
        <v>143.82</v>
      </c>
      <c r="H11377">
        <v>251130</v>
      </c>
      <c r="I11377">
        <v>4380</v>
      </c>
      <c r="J11377" t="s">
        <v>211</v>
      </c>
      <c r="K11377">
        <v>143.82</v>
      </c>
      <c r="L11377">
        <v>29.22</v>
      </c>
      <c r="M11377">
        <v>47522</v>
      </c>
      <c r="N11377" t="s">
        <v>106</v>
      </c>
      <c r="O11377">
        <v>251211</v>
      </c>
      <c r="P11377">
        <v>114.6</v>
      </c>
      <c r="Q11377"/>
    </row>
    <row r="11378" spans="1:17" s="1" customFormat="1" x14ac:dyDescent="0.25">
      <c r="A11378" t="s">
        <v>3296</v>
      </c>
      <c r="B11378" t="s">
        <v>2931</v>
      </c>
      <c r="C11378">
        <v>16781</v>
      </c>
      <c r="D11378" t="str">
        <f>"71875468    "</f>
        <v xml:space="preserve">71875468    </v>
      </c>
      <c r="E11378" t="s">
        <v>616</v>
      </c>
      <c r="F11378" t="s">
        <v>617</v>
      </c>
      <c r="G11378">
        <v>20.079999999999998</v>
      </c>
      <c r="H11378">
        <v>251130</v>
      </c>
      <c r="I11378">
        <v>4380</v>
      </c>
      <c r="J11378" t="s">
        <v>211</v>
      </c>
      <c r="K11378">
        <v>20.079999999999998</v>
      </c>
      <c r="L11378">
        <v>4.08</v>
      </c>
      <c r="M11378">
        <v>17951</v>
      </c>
      <c r="N11378" t="s">
        <v>207</v>
      </c>
      <c r="O11378">
        <v>251211</v>
      </c>
      <c r="P11378">
        <v>16</v>
      </c>
      <c r="Q11378"/>
    </row>
    <row r="11379" spans="1:17" s="1" customFormat="1" x14ac:dyDescent="0.25">
      <c r="A11379" t="s">
        <v>3296</v>
      </c>
      <c r="B11379" t="s">
        <v>2931</v>
      </c>
      <c r="C11379">
        <v>16782</v>
      </c>
      <c r="D11379" t="str">
        <f>"71872206    "</f>
        <v xml:space="preserve">71872206    </v>
      </c>
      <c r="E11379" t="s">
        <v>616</v>
      </c>
      <c r="F11379" t="s">
        <v>617</v>
      </c>
      <c r="G11379">
        <v>379.81</v>
      </c>
      <c r="H11379">
        <v>251130</v>
      </c>
      <c r="I11379">
        <v>4380</v>
      </c>
      <c r="J11379" t="s">
        <v>211</v>
      </c>
      <c r="K11379">
        <v>379.81</v>
      </c>
      <c r="L11379">
        <v>77.17</v>
      </c>
      <c r="M11379">
        <v>59501</v>
      </c>
      <c r="N11379" t="s">
        <v>62</v>
      </c>
      <c r="O11379">
        <v>251211</v>
      </c>
      <c r="P11379">
        <v>302.64</v>
      </c>
      <c r="Q11379"/>
    </row>
    <row r="11380" spans="1:17" s="1" customFormat="1" x14ac:dyDescent="0.25">
      <c r="A11380" t="s">
        <v>3296</v>
      </c>
      <c r="B11380" t="s">
        <v>2931</v>
      </c>
      <c r="C11380">
        <v>16783</v>
      </c>
      <c r="D11380" t="str">
        <f>"71872202    "</f>
        <v xml:space="preserve">71872202    </v>
      </c>
      <c r="E11380" t="s">
        <v>616</v>
      </c>
      <c r="F11380" t="s">
        <v>617</v>
      </c>
      <c r="G11380">
        <v>122.96</v>
      </c>
      <c r="H11380">
        <v>251130</v>
      </c>
      <c r="I11380">
        <v>4380</v>
      </c>
      <c r="J11380" t="s">
        <v>211</v>
      </c>
      <c r="K11380">
        <v>201.6</v>
      </c>
      <c r="L11380">
        <v>24.98</v>
      </c>
      <c r="M11380">
        <v>59502</v>
      </c>
      <c r="N11380" t="s">
        <v>63</v>
      </c>
      <c r="O11380">
        <v>251211</v>
      </c>
      <c r="P11380">
        <v>97.98</v>
      </c>
      <c r="Q11380"/>
    </row>
    <row r="11381" spans="1:17" s="1" customFormat="1" x14ac:dyDescent="0.25">
      <c r="A11381" t="s">
        <v>3296</v>
      </c>
      <c r="B11381" t="s">
        <v>2931</v>
      </c>
      <c r="C11381">
        <v>16783</v>
      </c>
      <c r="D11381" t="str">
        <f>"71872202    "</f>
        <v xml:space="preserve">71872202    </v>
      </c>
      <c r="E11381" t="s">
        <v>616</v>
      </c>
      <c r="F11381" t="s">
        <v>617</v>
      </c>
      <c r="G11381">
        <v>78.64</v>
      </c>
      <c r="H11381">
        <v>251130</v>
      </c>
      <c r="I11381">
        <v>4380</v>
      </c>
      <c r="J11381" t="s">
        <v>211</v>
      </c>
      <c r="K11381">
        <v>201.6</v>
      </c>
      <c r="L11381">
        <v>15.98</v>
      </c>
      <c r="M11381">
        <v>59802</v>
      </c>
      <c r="N11381" t="s">
        <v>195</v>
      </c>
      <c r="O11381">
        <v>251211</v>
      </c>
      <c r="P11381">
        <v>62.66</v>
      </c>
      <c r="Q11381"/>
    </row>
    <row r="11382" spans="1:17" s="1" customFormat="1" x14ac:dyDescent="0.25">
      <c r="A11382" t="s">
        <v>3296</v>
      </c>
      <c r="B11382" t="s">
        <v>2931</v>
      </c>
      <c r="C11382">
        <v>16784</v>
      </c>
      <c r="D11382" t="str">
        <f>"71872210    "</f>
        <v xml:space="preserve">71872210    </v>
      </c>
      <c r="E11382" t="s">
        <v>616</v>
      </c>
      <c r="F11382" t="s">
        <v>617</v>
      </c>
      <c r="G11382">
        <v>291.87</v>
      </c>
      <c r="H11382">
        <v>251130</v>
      </c>
      <c r="I11382">
        <v>4380</v>
      </c>
      <c r="J11382" t="s">
        <v>211</v>
      </c>
      <c r="K11382">
        <v>356.87</v>
      </c>
      <c r="L11382">
        <v>59.3</v>
      </c>
      <c r="M11382">
        <v>49501</v>
      </c>
      <c r="N11382" t="s">
        <v>110</v>
      </c>
      <c r="O11382">
        <v>251211</v>
      </c>
      <c r="P11382">
        <v>232.57</v>
      </c>
      <c r="Q11382"/>
    </row>
    <row r="11383" spans="1:17" s="1" customFormat="1" x14ac:dyDescent="0.25">
      <c r="A11383" t="s">
        <v>3296</v>
      </c>
      <c r="B11383" t="s">
        <v>2931</v>
      </c>
      <c r="C11383">
        <v>16784</v>
      </c>
      <c r="D11383" t="str">
        <f>"71872210    "</f>
        <v xml:space="preserve">71872210    </v>
      </c>
      <c r="E11383" t="s">
        <v>616</v>
      </c>
      <c r="F11383" t="s">
        <v>617</v>
      </c>
      <c r="G11383">
        <v>65</v>
      </c>
      <c r="H11383">
        <v>251130</v>
      </c>
      <c r="I11383">
        <v>4380</v>
      </c>
      <c r="J11383" t="s">
        <v>211</v>
      </c>
      <c r="K11383">
        <v>356.87</v>
      </c>
      <c r="L11383">
        <v>13.21</v>
      </c>
      <c r="M11383">
        <v>49503</v>
      </c>
      <c r="N11383" t="s">
        <v>267</v>
      </c>
      <c r="O11383">
        <v>251211</v>
      </c>
      <c r="P11383">
        <v>51.79</v>
      </c>
      <c r="Q11383"/>
    </row>
    <row r="11384" spans="1:17" s="1" customFormat="1" x14ac:dyDescent="0.25">
      <c r="A11384" t="s">
        <v>3296</v>
      </c>
      <c r="B11384" t="s">
        <v>2931</v>
      </c>
      <c r="C11384">
        <v>16785</v>
      </c>
      <c r="D11384" t="str">
        <f>"71868997    "</f>
        <v xml:space="preserve">71868997    </v>
      </c>
      <c r="E11384" t="s">
        <v>616</v>
      </c>
      <c r="F11384" t="s">
        <v>617</v>
      </c>
      <c r="G11384">
        <v>122.49</v>
      </c>
      <c r="H11384">
        <v>251130</v>
      </c>
      <c r="I11384">
        <v>4380</v>
      </c>
      <c r="J11384" t="s">
        <v>211</v>
      </c>
      <c r="K11384">
        <v>122.49</v>
      </c>
      <c r="L11384">
        <v>24.89</v>
      </c>
      <c r="M11384">
        <v>47522</v>
      </c>
      <c r="N11384" t="s">
        <v>106</v>
      </c>
      <c r="O11384">
        <v>251211</v>
      </c>
      <c r="P11384">
        <v>97.6</v>
      </c>
      <c r="Q11384"/>
    </row>
    <row r="11385" spans="1:17" s="1" customFormat="1" x14ac:dyDescent="0.25">
      <c r="A11385" t="s">
        <v>3296</v>
      </c>
      <c r="B11385" t="s">
        <v>2931</v>
      </c>
      <c r="C11385">
        <v>16786</v>
      </c>
      <c r="D11385" t="str">
        <f>"71875472    "</f>
        <v xml:space="preserve">71875472    </v>
      </c>
      <c r="E11385" t="s">
        <v>616</v>
      </c>
      <c r="F11385" t="s">
        <v>617</v>
      </c>
      <c r="G11385">
        <v>190.01</v>
      </c>
      <c r="H11385">
        <v>251130</v>
      </c>
      <c r="I11385">
        <v>4380</v>
      </c>
      <c r="J11385" t="s">
        <v>211</v>
      </c>
      <c r="K11385">
        <v>190.01</v>
      </c>
      <c r="L11385">
        <v>38.61</v>
      </c>
      <c r="M11385">
        <v>17951</v>
      </c>
      <c r="N11385" t="s">
        <v>207</v>
      </c>
      <c r="O11385">
        <v>251211</v>
      </c>
      <c r="P11385">
        <v>151.4</v>
      </c>
      <c r="Q11385"/>
    </row>
    <row r="11386" spans="1:17" s="1" customFormat="1" x14ac:dyDescent="0.25">
      <c r="A11386" t="s">
        <v>3296</v>
      </c>
      <c r="B11386" t="s">
        <v>2931</v>
      </c>
      <c r="C11386">
        <v>16787</v>
      </c>
      <c r="D11386" t="str">
        <f>"71872032    "</f>
        <v xml:space="preserve">71872032    </v>
      </c>
      <c r="E11386" t="s">
        <v>616</v>
      </c>
      <c r="F11386" t="s">
        <v>617</v>
      </c>
      <c r="G11386">
        <v>23.97</v>
      </c>
      <c r="H11386">
        <v>251130</v>
      </c>
      <c r="I11386">
        <v>4380</v>
      </c>
      <c r="J11386" t="s">
        <v>211</v>
      </c>
      <c r="K11386">
        <v>273.94</v>
      </c>
      <c r="L11386">
        <v>4.87</v>
      </c>
      <c r="M11386">
        <v>13540</v>
      </c>
      <c r="N11386" t="s">
        <v>131</v>
      </c>
      <c r="O11386">
        <v>251211</v>
      </c>
      <c r="P11386">
        <v>19.100000000000001</v>
      </c>
      <c r="Q11386"/>
    </row>
    <row r="11387" spans="1:17" s="1" customFormat="1" x14ac:dyDescent="0.25">
      <c r="A11387" t="s">
        <v>3296</v>
      </c>
      <c r="B11387" t="s">
        <v>2931</v>
      </c>
      <c r="C11387">
        <v>16787</v>
      </c>
      <c r="D11387" t="str">
        <f>"71872032    "</f>
        <v xml:space="preserve">71872032    </v>
      </c>
      <c r="E11387" t="s">
        <v>616</v>
      </c>
      <c r="F11387" t="s">
        <v>617</v>
      </c>
      <c r="G11387">
        <v>163.44</v>
      </c>
      <c r="H11387">
        <v>251130</v>
      </c>
      <c r="I11387">
        <v>4380</v>
      </c>
      <c r="J11387" t="s">
        <v>211</v>
      </c>
      <c r="K11387">
        <v>273.94</v>
      </c>
      <c r="L11387">
        <v>33.21</v>
      </c>
      <c r="M11387">
        <v>17950</v>
      </c>
      <c r="N11387" t="s">
        <v>132</v>
      </c>
      <c r="O11387">
        <v>251211</v>
      </c>
      <c r="P11387">
        <v>130.22999999999999</v>
      </c>
      <c r="Q11387"/>
    </row>
    <row r="11388" spans="1:17" s="1" customFormat="1" x14ac:dyDescent="0.25">
      <c r="A11388" t="s">
        <v>3296</v>
      </c>
      <c r="B11388" t="s">
        <v>2931</v>
      </c>
      <c r="C11388">
        <v>16787</v>
      </c>
      <c r="D11388" t="str">
        <f>"71872032    "</f>
        <v xml:space="preserve">71872032    </v>
      </c>
      <c r="E11388" t="s">
        <v>616</v>
      </c>
      <c r="F11388" t="s">
        <v>617</v>
      </c>
      <c r="G11388">
        <v>86.53</v>
      </c>
      <c r="H11388">
        <v>251130</v>
      </c>
      <c r="I11388">
        <v>4380</v>
      </c>
      <c r="J11388" t="s">
        <v>211</v>
      </c>
      <c r="K11388">
        <v>273.94</v>
      </c>
      <c r="L11388">
        <v>17.579999999999998</v>
      </c>
      <c r="M11388">
        <v>17956</v>
      </c>
      <c r="N11388" t="s">
        <v>170</v>
      </c>
      <c r="O11388">
        <v>251211</v>
      </c>
      <c r="P11388">
        <v>68.95</v>
      </c>
      <c r="Q11388"/>
    </row>
    <row r="11389" spans="1:17" s="1" customFormat="1" x14ac:dyDescent="0.25">
      <c r="A11389" t="s">
        <v>3296</v>
      </c>
      <c r="B11389" t="s">
        <v>2931</v>
      </c>
      <c r="C11389">
        <v>16789</v>
      </c>
      <c r="D11389" t="str">
        <f>"71875330    "</f>
        <v xml:space="preserve">71875330    </v>
      </c>
      <c r="E11389" t="s">
        <v>616</v>
      </c>
      <c r="F11389" t="s">
        <v>617</v>
      </c>
      <c r="G11389">
        <v>36.14</v>
      </c>
      <c r="H11389">
        <v>251130</v>
      </c>
      <c r="I11389">
        <v>4380</v>
      </c>
      <c r="J11389" t="s">
        <v>211</v>
      </c>
      <c r="K11389">
        <v>36.14</v>
      </c>
      <c r="L11389">
        <v>7.34</v>
      </c>
      <c r="M11389">
        <v>59503</v>
      </c>
      <c r="N11389" t="s">
        <v>766</v>
      </c>
      <c r="O11389">
        <v>251211</v>
      </c>
      <c r="P11389">
        <v>28.8</v>
      </c>
      <c r="Q11389"/>
    </row>
    <row r="11390" spans="1:17" s="1" customFormat="1" x14ac:dyDescent="0.25">
      <c r="A11390" t="s">
        <v>3296</v>
      </c>
      <c r="B11390" t="s">
        <v>2931</v>
      </c>
      <c r="C11390">
        <v>16790</v>
      </c>
      <c r="D11390" t="str">
        <f>"71875470    "</f>
        <v xml:space="preserve">71875470    </v>
      </c>
      <c r="E11390" t="s">
        <v>616</v>
      </c>
      <c r="F11390" t="s">
        <v>617</v>
      </c>
      <c r="G11390">
        <v>135.29</v>
      </c>
      <c r="H11390">
        <v>251130</v>
      </c>
      <c r="I11390">
        <v>4380</v>
      </c>
      <c r="J11390" t="s">
        <v>211</v>
      </c>
      <c r="K11390">
        <v>135.29</v>
      </c>
      <c r="L11390">
        <v>27.49</v>
      </c>
      <c r="M11390">
        <v>49501</v>
      </c>
      <c r="N11390" t="s">
        <v>110</v>
      </c>
      <c r="O11390">
        <v>251211</v>
      </c>
      <c r="P11390">
        <v>107.8</v>
      </c>
      <c r="Q11390"/>
    </row>
    <row r="11391" spans="1:17" s="1" customFormat="1" x14ac:dyDescent="0.25">
      <c r="A11391" t="s">
        <v>3296</v>
      </c>
      <c r="B11391" t="s">
        <v>2931</v>
      </c>
      <c r="C11391">
        <v>16791</v>
      </c>
      <c r="D11391" t="str">
        <f>"71872201    "</f>
        <v xml:space="preserve">71872201    </v>
      </c>
      <c r="E11391" t="s">
        <v>616</v>
      </c>
      <c r="F11391" t="s">
        <v>617</v>
      </c>
      <c r="G11391">
        <v>84.14</v>
      </c>
      <c r="H11391">
        <v>251130</v>
      </c>
      <c r="I11391">
        <v>4380</v>
      </c>
      <c r="J11391" t="s">
        <v>211</v>
      </c>
      <c r="K11391">
        <v>84.14</v>
      </c>
      <c r="L11391">
        <v>17.100000000000001</v>
      </c>
      <c r="M11391">
        <v>59504</v>
      </c>
      <c r="N11391" t="s">
        <v>193</v>
      </c>
      <c r="O11391">
        <v>251211</v>
      </c>
      <c r="P11391">
        <v>67.040000000000006</v>
      </c>
      <c r="Q11391"/>
    </row>
    <row r="11392" spans="1:17" s="1" customFormat="1" x14ac:dyDescent="0.25">
      <c r="A11392" t="s">
        <v>3296</v>
      </c>
      <c r="B11392" t="s">
        <v>2931</v>
      </c>
      <c r="C11392">
        <v>16792</v>
      </c>
      <c r="D11392" t="str">
        <f>"71875464    "</f>
        <v xml:space="preserve">71875464    </v>
      </c>
      <c r="E11392" t="s">
        <v>616</v>
      </c>
      <c r="F11392" t="s">
        <v>617</v>
      </c>
      <c r="G11392">
        <v>40.159999999999997</v>
      </c>
      <c r="H11392">
        <v>251130</v>
      </c>
      <c r="I11392">
        <v>4380</v>
      </c>
      <c r="J11392" t="s">
        <v>211</v>
      </c>
      <c r="K11392">
        <v>40.159999999999997</v>
      </c>
      <c r="L11392">
        <v>8.16</v>
      </c>
      <c r="M11392">
        <v>17951</v>
      </c>
      <c r="N11392" t="s">
        <v>207</v>
      </c>
      <c r="O11392">
        <v>251211</v>
      </c>
      <c r="P11392">
        <v>32</v>
      </c>
      <c r="Q11392"/>
    </row>
    <row r="11393" spans="1:17" s="1" customFormat="1" x14ac:dyDescent="0.25">
      <c r="A11393" t="s">
        <v>3296</v>
      </c>
      <c r="B11393" t="s">
        <v>2931</v>
      </c>
      <c r="C11393">
        <v>16793</v>
      </c>
      <c r="D11393" t="str">
        <f>"71872203    "</f>
        <v xml:space="preserve">71872203    </v>
      </c>
      <c r="E11393" t="s">
        <v>616</v>
      </c>
      <c r="F11393" t="s">
        <v>617</v>
      </c>
      <c r="G11393">
        <v>49.5</v>
      </c>
      <c r="H11393">
        <v>251130</v>
      </c>
      <c r="I11393">
        <v>4380</v>
      </c>
      <c r="J11393" t="s">
        <v>211</v>
      </c>
      <c r="K11393">
        <v>49.5</v>
      </c>
      <c r="L11393">
        <v>10.06</v>
      </c>
      <c r="M11393">
        <v>59501</v>
      </c>
      <c r="N11393" t="s">
        <v>62</v>
      </c>
      <c r="O11393">
        <v>251211</v>
      </c>
      <c r="P11393">
        <v>39.44</v>
      </c>
      <c r="Q11393"/>
    </row>
    <row r="11394" spans="1:17" s="1" customFormat="1" x14ac:dyDescent="0.25">
      <c r="A11394" t="s">
        <v>3296</v>
      </c>
      <c r="B11394" t="s">
        <v>2931</v>
      </c>
      <c r="C11394">
        <v>16794</v>
      </c>
      <c r="D11394" t="str">
        <f>"71872204    "</f>
        <v xml:space="preserve">71872204    </v>
      </c>
      <c r="E11394" t="s">
        <v>616</v>
      </c>
      <c r="F11394" t="s">
        <v>617</v>
      </c>
      <c r="G11394">
        <v>110.09</v>
      </c>
      <c r="H11394">
        <v>251130</v>
      </c>
      <c r="I11394">
        <v>4380</v>
      </c>
      <c r="J11394" t="s">
        <v>211</v>
      </c>
      <c r="K11394">
        <v>110.09</v>
      </c>
      <c r="L11394">
        <v>22.37</v>
      </c>
      <c r="M11394">
        <v>59505</v>
      </c>
      <c r="N11394" t="s">
        <v>194</v>
      </c>
      <c r="O11394">
        <v>251211</v>
      </c>
      <c r="P11394">
        <v>87.72</v>
      </c>
      <c r="Q11394"/>
    </row>
    <row r="11395" spans="1:17" s="1" customFormat="1" x14ac:dyDescent="0.25">
      <c r="A11395" t="s">
        <v>3296</v>
      </c>
      <c r="B11395" t="s">
        <v>2931</v>
      </c>
      <c r="C11395">
        <v>16822</v>
      </c>
      <c r="D11395" t="str">
        <f>"71855002    "</f>
        <v xml:space="preserve">71855002    </v>
      </c>
      <c r="E11395" t="s">
        <v>616</v>
      </c>
      <c r="F11395" t="s">
        <v>617</v>
      </c>
      <c r="G11395">
        <v>34.56</v>
      </c>
      <c r="H11395">
        <v>251113</v>
      </c>
      <c r="I11395">
        <v>4380</v>
      </c>
      <c r="J11395" t="s">
        <v>211</v>
      </c>
      <c r="K11395">
        <v>115.21</v>
      </c>
      <c r="L11395">
        <v>7.02</v>
      </c>
      <c r="M11395">
        <v>11401</v>
      </c>
      <c r="N11395" t="s">
        <v>91</v>
      </c>
      <c r="O11395">
        <v>251212</v>
      </c>
      <c r="P11395">
        <v>27.54</v>
      </c>
      <c r="Q11395"/>
    </row>
    <row r="11396" spans="1:17" s="1" customFormat="1" x14ac:dyDescent="0.25">
      <c r="A11396" t="s">
        <v>3296</v>
      </c>
      <c r="B11396" t="s">
        <v>2931</v>
      </c>
      <c r="C11396">
        <v>16822</v>
      </c>
      <c r="D11396" t="str">
        <f>"71855002    "</f>
        <v xml:space="preserve">71855002    </v>
      </c>
      <c r="E11396" t="s">
        <v>616</v>
      </c>
      <c r="F11396" t="s">
        <v>617</v>
      </c>
      <c r="G11396">
        <v>80.650000000000006</v>
      </c>
      <c r="H11396">
        <v>251113</v>
      </c>
      <c r="I11396">
        <v>4380</v>
      </c>
      <c r="J11396" t="s">
        <v>211</v>
      </c>
      <c r="K11396">
        <v>115.21</v>
      </c>
      <c r="L11396">
        <v>16.39</v>
      </c>
      <c r="M11396">
        <v>14952</v>
      </c>
      <c r="N11396" t="s">
        <v>213</v>
      </c>
      <c r="O11396">
        <v>251212</v>
      </c>
      <c r="P11396">
        <v>64.260000000000005</v>
      </c>
      <c r="Q11396"/>
    </row>
    <row r="11397" spans="1:17" s="1" customFormat="1" x14ac:dyDescent="0.25">
      <c r="A11397" t="s">
        <v>3296</v>
      </c>
      <c r="B11397" t="s">
        <v>2931</v>
      </c>
      <c r="C11397">
        <v>16829</v>
      </c>
      <c r="D11397" t="str">
        <f>"71875469    "</f>
        <v xml:space="preserve">71875469    </v>
      </c>
      <c r="E11397" t="s">
        <v>616</v>
      </c>
      <c r="F11397" t="s">
        <v>617</v>
      </c>
      <c r="G11397">
        <v>45.18</v>
      </c>
      <c r="H11397">
        <v>251130</v>
      </c>
      <c r="I11397">
        <v>4380</v>
      </c>
      <c r="J11397" t="s">
        <v>211</v>
      </c>
      <c r="K11397">
        <v>64.510000000000005</v>
      </c>
      <c r="L11397">
        <v>9.18</v>
      </c>
      <c r="M11397">
        <v>17956</v>
      </c>
      <c r="N11397" t="s">
        <v>170</v>
      </c>
      <c r="O11397">
        <v>251212</v>
      </c>
      <c r="P11397">
        <v>36</v>
      </c>
      <c r="Q11397"/>
    </row>
    <row r="11398" spans="1:17" s="1" customFormat="1" x14ac:dyDescent="0.25">
      <c r="A11398" t="s">
        <v>3296</v>
      </c>
      <c r="B11398" t="s">
        <v>2931</v>
      </c>
      <c r="C11398">
        <v>16830</v>
      </c>
      <c r="D11398" t="str">
        <f>"71872209    "</f>
        <v xml:space="preserve">71872209    </v>
      </c>
      <c r="E11398" t="s">
        <v>616</v>
      </c>
      <c r="F11398" t="s">
        <v>617</v>
      </c>
      <c r="G11398">
        <v>34.840000000000003</v>
      </c>
      <c r="H11398">
        <v>251130</v>
      </c>
      <c r="I11398">
        <v>4380</v>
      </c>
      <c r="J11398" t="s">
        <v>211</v>
      </c>
      <c r="K11398">
        <v>34.840000000000003</v>
      </c>
      <c r="L11398">
        <v>7.08</v>
      </c>
      <c r="M11398">
        <v>59503</v>
      </c>
      <c r="N11398" t="s">
        <v>766</v>
      </c>
      <c r="O11398">
        <v>251212</v>
      </c>
      <c r="P11398">
        <v>27.76</v>
      </c>
      <c r="Q11398"/>
    </row>
    <row r="11399" spans="1:17" s="1" customFormat="1" x14ac:dyDescent="0.25">
      <c r="A11399" t="s">
        <v>3296</v>
      </c>
      <c r="B11399" t="s">
        <v>2931</v>
      </c>
      <c r="C11399">
        <v>16831</v>
      </c>
      <c r="D11399" t="str">
        <f>"71872566    "</f>
        <v xml:space="preserve">71872566    </v>
      </c>
      <c r="E11399" t="s">
        <v>616</v>
      </c>
      <c r="F11399" t="s">
        <v>617</v>
      </c>
      <c r="G11399">
        <v>77.06</v>
      </c>
      <c r="H11399">
        <v>251130</v>
      </c>
      <c r="I11399">
        <v>4380</v>
      </c>
      <c r="J11399" t="s">
        <v>211</v>
      </c>
      <c r="K11399">
        <v>77.06</v>
      </c>
      <c r="L11399">
        <v>15.66</v>
      </c>
      <c r="M11399">
        <v>17952</v>
      </c>
      <c r="N11399" t="s">
        <v>157</v>
      </c>
      <c r="O11399">
        <v>251212</v>
      </c>
      <c r="P11399">
        <v>61.4</v>
      </c>
      <c r="Q11399"/>
    </row>
    <row r="11400" spans="1:17" s="1" customFormat="1" x14ac:dyDescent="0.25">
      <c r="A11400" t="s">
        <v>3296</v>
      </c>
      <c r="B11400" t="s">
        <v>2931</v>
      </c>
      <c r="C11400">
        <v>16936</v>
      </c>
      <c r="D11400" t="str">
        <f>"71872205    "</f>
        <v xml:space="preserve">71872205    </v>
      </c>
      <c r="E11400" t="s">
        <v>616</v>
      </c>
      <c r="F11400" t="s">
        <v>617</v>
      </c>
      <c r="G11400">
        <v>105.12</v>
      </c>
      <c r="H11400">
        <v>251130</v>
      </c>
      <c r="I11400">
        <v>4380</v>
      </c>
      <c r="J11400" t="s">
        <v>211</v>
      </c>
      <c r="K11400">
        <v>132.08000000000001</v>
      </c>
      <c r="L11400">
        <v>21.36</v>
      </c>
      <c r="M11400">
        <v>14432</v>
      </c>
      <c r="N11400" t="s">
        <v>75</v>
      </c>
      <c r="O11400">
        <v>251216</v>
      </c>
      <c r="P11400">
        <v>83.76</v>
      </c>
      <c r="Q11400"/>
    </row>
    <row r="11401" spans="1:17" s="1" customFormat="1" x14ac:dyDescent="0.25">
      <c r="A11401" t="s">
        <v>3296</v>
      </c>
      <c r="B11401" t="s">
        <v>2931</v>
      </c>
      <c r="C11401">
        <v>16936</v>
      </c>
      <c r="D11401" t="str">
        <f>"71872205    "</f>
        <v xml:space="preserve">71872205    </v>
      </c>
      <c r="E11401" t="s">
        <v>616</v>
      </c>
      <c r="F11401" t="s">
        <v>617</v>
      </c>
      <c r="G11401">
        <v>26.96</v>
      </c>
      <c r="H11401">
        <v>251130</v>
      </c>
      <c r="I11401">
        <v>4380</v>
      </c>
      <c r="J11401" t="s">
        <v>211</v>
      </c>
      <c r="K11401">
        <v>132.08000000000001</v>
      </c>
      <c r="L11401">
        <v>5.48</v>
      </c>
      <c r="M11401">
        <v>14951</v>
      </c>
      <c r="N11401" t="s">
        <v>186</v>
      </c>
      <c r="O11401">
        <v>251216</v>
      </c>
      <c r="P11401">
        <v>21.48</v>
      </c>
      <c r="Q11401"/>
    </row>
    <row r="11402" spans="1:17" s="1" customFormat="1" x14ac:dyDescent="0.25">
      <c r="A11402" t="s">
        <v>3296</v>
      </c>
      <c r="B11402" t="s">
        <v>2931</v>
      </c>
      <c r="C11402">
        <v>16937</v>
      </c>
      <c r="D11402" t="str">
        <f>"71875462    "</f>
        <v xml:space="preserve">71875462    </v>
      </c>
      <c r="E11402" t="s">
        <v>616</v>
      </c>
      <c r="F11402" t="s">
        <v>617</v>
      </c>
      <c r="G11402">
        <v>223.39</v>
      </c>
      <c r="H11402">
        <v>251130</v>
      </c>
      <c r="I11402">
        <v>4380</v>
      </c>
      <c r="J11402" t="s">
        <v>211</v>
      </c>
      <c r="K11402">
        <v>223.39</v>
      </c>
      <c r="L11402">
        <v>45.39</v>
      </c>
      <c r="M11402">
        <v>14951</v>
      </c>
      <c r="N11402" t="s">
        <v>186</v>
      </c>
      <c r="O11402">
        <v>251216</v>
      </c>
      <c r="P11402">
        <v>178</v>
      </c>
      <c r="Q11402"/>
    </row>
    <row r="11403" spans="1:17" s="1" customFormat="1" x14ac:dyDescent="0.25">
      <c r="A11403" t="s">
        <v>3296</v>
      </c>
      <c r="B11403" t="s">
        <v>2931</v>
      </c>
      <c r="C11403">
        <v>17863</v>
      </c>
      <c r="D11403" t="str">
        <f>"71912254    "</f>
        <v xml:space="preserve">71912254    </v>
      </c>
      <c r="E11403" t="s">
        <v>616</v>
      </c>
      <c r="F11403" t="s">
        <v>617</v>
      </c>
      <c r="G11403">
        <v>30.04</v>
      </c>
      <c r="H11403">
        <v>251211</v>
      </c>
      <c r="I11403">
        <v>4380</v>
      </c>
      <c r="J11403" t="s">
        <v>211</v>
      </c>
      <c r="K11403">
        <v>100.15</v>
      </c>
      <c r="L11403">
        <v>6.1</v>
      </c>
      <c r="M11403">
        <v>11401</v>
      </c>
      <c r="N11403" t="s">
        <v>91</v>
      </c>
      <c r="O11403">
        <v>251231</v>
      </c>
      <c r="P11403">
        <v>23.94</v>
      </c>
      <c r="Q11403"/>
    </row>
    <row r="11404" spans="1:17" s="1" customFormat="1" x14ac:dyDescent="0.25">
      <c r="A11404" t="s">
        <v>3296</v>
      </c>
      <c r="B11404" t="s">
        <v>2931</v>
      </c>
      <c r="C11404">
        <v>17863</v>
      </c>
      <c r="D11404" t="str">
        <f>"71912254    "</f>
        <v xml:space="preserve">71912254    </v>
      </c>
      <c r="E11404" t="s">
        <v>616</v>
      </c>
      <c r="F11404" t="s">
        <v>617</v>
      </c>
      <c r="G11404">
        <v>70.11</v>
      </c>
      <c r="H11404">
        <v>251211</v>
      </c>
      <c r="I11404">
        <v>4380</v>
      </c>
      <c r="J11404" t="s">
        <v>211</v>
      </c>
      <c r="K11404">
        <v>100.15</v>
      </c>
      <c r="L11404">
        <v>14.25</v>
      </c>
      <c r="M11404">
        <v>14952</v>
      </c>
      <c r="N11404" t="s">
        <v>213</v>
      </c>
      <c r="O11404">
        <v>251231</v>
      </c>
      <c r="P11404">
        <v>55.86</v>
      </c>
      <c r="Q11404"/>
    </row>
    <row r="11405" spans="1:17" s="1" customFormat="1" x14ac:dyDescent="0.25">
      <c r="A11405" t="s">
        <v>3296</v>
      </c>
      <c r="B11405" t="s">
        <v>2931</v>
      </c>
      <c r="C11405">
        <v>17866</v>
      </c>
      <c r="D11405" t="str">
        <f>"71912278    "</f>
        <v xml:space="preserve">71912278    </v>
      </c>
      <c r="E11405" t="s">
        <v>616</v>
      </c>
      <c r="F11405" t="s">
        <v>617</v>
      </c>
      <c r="G11405">
        <v>161.13999999999999</v>
      </c>
      <c r="H11405">
        <v>251211</v>
      </c>
      <c r="I11405">
        <v>4380</v>
      </c>
      <c r="J11405" t="s">
        <v>211</v>
      </c>
      <c r="K11405">
        <v>161.13999999999999</v>
      </c>
      <c r="L11405">
        <v>32.74</v>
      </c>
      <c r="M11405">
        <v>59505</v>
      </c>
      <c r="N11405" t="s">
        <v>194</v>
      </c>
      <c r="O11405">
        <v>251231</v>
      </c>
      <c r="P11405">
        <v>128.4</v>
      </c>
      <c r="Q11405"/>
    </row>
    <row r="11406" spans="1:17" s="1" customFormat="1" x14ac:dyDescent="0.25">
      <c r="A11406" t="s">
        <v>3296</v>
      </c>
      <c r="B11406" t="s">
        <v>2931</v>
      </c>
      <c r="C11406">
        <v>18327</v>
      </c>
      <c r="D11406" t="str">
        <f>"71930991    "</f>
        <v xml:space="preserve">71930991    </v>
      </c>
      <c r="E11406" t="s">
        <v>616</v>
      </c>
      <c r="F11406" t="s">
        <v>617</v>
      </c>
      <c r="G11406">
        <v>291.87</v>
      </c>
      <c r="H11406">
        <v>251231</v>
      </c>
      <c r="I11406">
        <v>4380</v>
      </c>
      <c r="J11406" t="s">
        <v>211</v>
      </c>
      <c r="K11406">
        <v>356.87</v>
      </c>
      <c r="L11406">
        <v>59.3</v>
      </c>
      <c r="M11406">
        <v>49501</v>
      </c>
      <c r="N11406" t="s">
        <v>110</v>
      </c>
      <c r="O11406">
        <v>260113</v>
      </c>
      <c r="P11406">
        <v>232.57</v>
      </c>
      <c r="Q11406"/>
    </row>
    <row r="11407" spans="1:17" s="1" customFormat="1" x14ac:dyDescent="0.25">
      <c r="A11407" t="s">
        <v>3296</v>
      </c>
      <c r="B11407" t="s">
        <v>2931</v>
      </c>
      <c r="C11407">
        <v>18327</v>
      </c>
      <c r="D11407" t="str">
        <f>"71930991    "</f>
        <v xml:space="preserve">71930991    </v>
      </c>
      <c r="E11407" t="s">
        <v>616</v>
      </c>
      <c r="F11407" t="s">
        <v>617</v>
      </c>
      <c r="G11407">
        <v>65</v>
      </c>
      <c r="H11407">
        <v>251231</v>
      </c>
      <c r="I11407">
        <v>4380</v>
      </c>
      <c r="J11407" t="s">
        <v>211</v>
      </c>
      <c r="K11407">
        <v>356.87</v>
      </c>
      <c r="L11407">
        <v>13.21</v>
      </c>
      <c r="M11407">
        <v>49503</v>
      </c>
      <c r="N11407" t="s">
        <v>267</v>
      </c>
      <c r="O11407">
        <v>260113</v>
      </c>
      <c r="P11407">
        <v>51.79</v>
      </c>
      <c r="Q11407"/>
    </row>
    <row r="11408" spans="1:17" s="1" customFormat="1" x14ac:dyDescent="0.25">
      <c r="A11408" t="s">
        <v>3296</v>
      </c>
      <c r="B11408" t="s">
        <v>2931</v>
      </c>
      <c r="C11408">
        <v>18329</v>
      </c>
      <c r="D11408" t="str">
        <f>"71929761    "</f>
        <v xml:space="preserve">71929761    </v>
      </c>
      <c r="E11408" t="s">
        <v>616</v>
      </c>
      <c r="F11408" t="s">
        <v>617</v>
      </c>
      <c r="G11408">
        <v>200.05</v>
      </c>
      <c r="H11408">
        <v>251231</v>
      </c>
      <c r="I11408">
        <v>4380</v>
      </c>
      <c r="J11408" t="s">
        <v>211</v>
      </c>
      <c r="K11408">
        <v>200.05</v>
      </c>
      <c r="L11408">
        <v>40.65</v>
      </c>
      <c r="M11408">
        <v>17951</v>
      </c>
      <c r="N11408" t="s">
        <v>207</v>
      </c>
      <c r="O11408">
        <v>260113</v>
      </c>
      <c r="P11408">
        <v>159.4</v>
      </c>
      <c r="Q11408"/>
    </row>
    <row r="11409" spans="1:17" s="1" customFormat="1" x14ac:dyDescent="0.25">
      <c r="A11409" t="s">
        <v>3296</v>
      </c>
      <c r="B11409" t="s">
        <v>2931</v>
      </c>
      <c r="C11409">
        <v>18332</v>
      </c>
      <c r="D11409" t="str">
        <f>"71929762    "</f>
        <v xml:space="preserve">71929762    </v>
      </c>
      <c r="E11409" t="s">
        <v>616</v>
      </c>
      <c r="F11409" t="s">
        <v>617</v>
      </c>
      <c r="G11409">
        <v>30.12</v>
      </c>
      <c r="H11409">
        <v>251231</v>
      </c>
      <c r="I11409">
        <v>4380</v>
      </c>
      <c r="J11409" t="s">
        <v>211</v>
      </c>
      <c r="K11409">
        <v>38.4</v>
      </c>
      <c r="L11409">
        <v>6.12</v>
      </c>
      <c r="M11409">
        <v>17956</v>
      </c>
      <c r="N11409" t="s">
        <v>170</v>
      </c>
      <c r="O11409">
        <v>260113</v>
      </c>
      <c r="P11409">
        <v>24</v>
      </c>
      <c r="Q11409"/>
    </row>
    <row r="11410" spans="1:17" s="1" customFormat="1" x14ac:dyDescent="0.25">
      <c r="A11410" t="s">
        <v>3296</v>
      </c>
      <c r="B11410" t="s">
        <v>2931</v>
      </c>
      <c r="C11410">
        <v>18334</v>
      </c>
      <c r="D11410" t="str">
        <f>"71930983    "</f>
        <v xml:space="preserve">71930983    </v>
      </c>
      <c r="E11410" t="s">
        <v>616</v>
      </c>
      <c r="F11410" t="s">
        <v>617</v>
      </c>
      <c r="G11410">
        <v>49.5</v>
      </c>
      <c r="H11410">
        <v>251231</v>
      </c>
      <c r="I11410">
        <v>4380</v>
      </c>
      <c r="J11410" t="s">
        <v>211</v>
      </c>
      <c r="K11410">
        <v>49.5</v>
      </c>
      <c r="L11410">
        <v>10.06</v>
      </c>
      <c r="M11410">
        <v>59501</v>
      </c>
      <c r="N11410" t="s">
        <v>62</v>
      </c>
      <c r="O11410">
        <v>260113</v>
      </c>
      <c r="P11410">
        <v>39.44</v>
      </c>
      <c r="Q11410"/>
    </row>
    <row r="11411" spans="1:17" s="1" customFormat="1" x14ac:dyDescent="0.25">
      <c r="A11411" t="s">
        <v>3296</v>
      </c>
      <c r="B11411" t="s">
        <v>2931</v>
      </c>
      <c r="C11411">
        <v>18338</v>
      </c>
      <c r="D11411" t="str">
        <f>"71930982    "</f>
        <v xml:space="preserve">71930982    </v>
      </c>
      <c r="E11411" t="s">
        <v>616</v>
      </c>
      <c r="F11411" t="s">
        <v>617</v>
      </c>
      <c r="G11411">
        <v>122.96</v>
      </c>
      <c r="H11411">
        <v>251231</v>
      </c>
      <c r="I11411">
        <v>4380</v>
      </c>
      <c r="J11411" t="s">
        <v>211</v>
      </c>
      <c r="K11411">
        <v>201.6</v>
      </c>
      <c r="L11411">
        <v>24.98</v>
      </c>
      <c r="M11411">
        <v>59502</v>
      </c>
      <c r="N11411" t="s">
        <v>63</v>
      </c>
      <c r="O11411">
        <v>260113</v>
      </c>
      <c r="P11411">
        <v>97.98</v>
      </c>
      <c r="Q11411"/>
    </row>
    <row r="11412" spans="1:17" s="1" customFormat="1" x14ac:dyDescent="0.25">
      <c r="A11412" t="s">
        <v>3296</v>
      </c>
      <c r="B11412" t="s">
        <v>2931</v>
      </c>
      <c r="C11412">
        <v>18338</v>
      </c>
      <c r="D11412" t="str">
        <f>"71930982    "</f>
        <v xml:space="preserve">71930982    </v>
      </c>
      <c r="E11412" t="s">
        <v>616</v>
      </c>
      <c r="F11412" t="s">
        <v>617</v>
      </c>
      <c r="G11412">
        <v>78.64</v>
      </c>
      <c r="H11412">
        <v>251231</v>
      </c>
      <c r="I11412">
        <v>4380</v>
      </c>
      <c r="J11412" t="s">
        <v>211</v>
      </c>
      <c r="K11412">
        <v>201.6</v>
      </c>
      <c r="L11412">
        <v>15.98</v>
      </c>
      <c r="M11412">
        <v>59802</v>
      </c>
      <c r="N11412" t="s">
        <v>195</v>
      </c>
      <c r="O11412">
        <v>260113</v>
      </c>
      <c r="P11412">
        <v>62.66</v>
      </c>
      <c r="Q11412"/>
    </row>
    <row r="11413" spans="1:17" s="1" customFormat="1" x14ac:dyDescent="0.25">
      <c r="A11413" t="s">
        <v>3296</v>
      </c>
      <c r="B11413" t="s">
        <v>2931</v>
      </c>
      <c r="C11413">
        <v>18340</v>
      </c>
      <c r="D11413" t="str">
        <f>"71929760    "</f>
        <v xml:space="preserve">71929760    </v>
      </c>
      <c r="E11413" t="s">
        <v>616</v>
      </c>
      <c r="F11413" t="s">
        <v>617</v>
      </c>
      <c r="G11413">
        <v>19.329999999999998</v>
      </c>
      <c r="H11413">
        <v>251231</v>
      </c>
      <c r="I11413">
        <v>4380</v>
      </c>
      <c r="J11413" t="s">
        <v>211</v>
      </c>
      <c r="K11413">
        <v>49.45</v>
      </c>
      <c r="L11413">
        <v>3.93</v>
      </c>
      <c r="M11413">
        <v>17956</v>
      </c>
      <c r="N11413" t="s">
        <v>170</v>
      </c>
      <c r="O11413">
        <v>260113</v>
      </c>
      <c r="P11413">
        <v>15.4</v>
      </c>
      <c r="Q11413"/>
    </row>
    <row r="11414" spans="1:17" s="1" customFormat="1" x14ac:dyDescent="0.25">
      <c r="A11414" t="s">
        <v>3296</v>
      </c>
      <c r="B11414" t="s">
        <v>2931</v>
      </c>
      <c r="C11414">
        <v>18341</v>
      </c>
      <c r="D11414" t="str">
        <f>"71931571    "</f>
        <v xml:space="preserve">71931571    </v>
      </c>
      <c r="E11414" t="s">
        <v>616</v>
      </c>
      <c r="F11414" t="s">
        <v>617</v>
      </c>
      <c r="G11414">
        <v>12.55</v>
      </c>
      <c r="H11414">
        <v>251231</v>
      </c>
      <c r="I11414">
        <v>4380</v>
      </c>
      <c r="J11414" t="s">
        <v>211</v>
      </c>
      <c r="K11414">
        <v>12.55</v>
      </c>
      <c r="L11414">
        <v>2.5499999999999998</v>
      </c>
      <c r="M11414">
        <v>13841</v>
      </c>
      <c r="N11414" t="s">
        <v>178</v>
      </c>
      <c r="O11414">
        <v>260113</v>
      </c>
      <c r="P11414">
        <v>10</v>
      </c>
      <c r="Q11414"/>
    </row>
    <row r="11415" spans="1:17" s="1" customFormat="1" x14ac:dyDescent="0.25">
      <c r="A11415" t="s">
        <v>3296</v>
      </c>
      <c r="B11415" t="s">
        <v>2931</v>
      </c>
      <c r="C11415">
        <v>18342</v>
      </c>
      <c r="D11415" t="str">
        <f>"71929764    "</f>
        <v xml:space="preserve">71929764    </v>
      </c>
      <c r="E11415" t="s">
        <v>616</v>
      </c>
      <c r="F11415" t="s">
        <v>617</v>
      </c>
      <c r="G11415">
        <v>13.8</v>
      </c>
      <c r="H11415">
        <v>251231</v>
      </c>
      <c r="I11415">
        <v>4380</v>
      </c>
      <c r="J11415" t="s">
        <v>211</v>
      </c>
      <c r="K11415">
        <v>48.95</v>
      </c>
      <c r="L11415">
        <v>2.8</v>
      </c>
      <c r="M11415">
        <v>17956</v>
      </c>
      <c r="N11415" t="s">
        <v>170</v>
      </c>
      <c r="O11415">
        <v>260113</v>
      </c>
      <c r="P11415">
        <v>11</v>
      </c>
      <c r="Q11415"/>
    </row>
    <row r="11416" spans="1:17" s="1" customFormat="1" x14ac:dyDescent="0.25">
      <c r="A11416" t="s">
        <v>3296</v>
      </c>
      <c r="B11416" t="s">
        <v>2931</v>
      </c>
      <c r="C11416">
        <v>18343</v>
      </c>
      <c r="D11416" t="str">
        <f>"71930985    "</f>
        <v xml:space="preserve">71930985    </v>
      </c>
      <c r="E11416" t="s">
        <v>616</v>
      </c>
      <c r="F11416" t="s">
        <v>617</v>
      </c>
      <c r="G11416">
        <v>84.14</v>
      </c>
      <c r="H11416">
        <v>251231</v>
      </c>
      <c r="I11416">
        <v>4380</v>
      </c>
      <c r="J11416" t="s">
        <v>211</v>
      </c>
      <c r="K11416">
        <v>84.14</v>
      </c>
      <c r="L11416">
        <v>17.100000000000001</v>
      </c>
      <c r="M11416">
        <v>59504</v>
      </c>
      <c r="N11416" t="s">
        <v>193</v>
      </c>
      <c r="O11416">
        <v>260113</v>
      </c>
      <c r="P11416">
        <v>67.040000000000006</v>
      </c>
      <c r="Q11416"/>
    </row>
    <row r="11417" spans="1:17" s="1" customFormat="1" x14ac:dyDescent="0.25">
      <c r="A11417" t="s">
        <v>3296</v>
      </c>
      <c r="B11417" t="s">
        <v>2931</v>
      </c>
      <c r="C11417">
        <v>18360</v>
      </c>
      <c r="D11417" t="str">
        <f>"71925353    "</f>
        <v xml:space="preserve">71925353    </v>
      </c>
      <c r="E11417" t="s">
        <v>616</v>
      </c>
      <c r="F11417" t="s">
        <v>617</v>
      </c>
      <c r="G11417">
        <v>122.49</v>
      </c>
      <c r="H11417">
        <v>251230</v>
      </c>
      <c r="I11417">
        <v>4380</v>
      </c>
      <c r="J11417" t="s">
        <v>211</v>
      </c>
      <c r="K11417">
        <v>122.49</v>
      </c>
      <c r="L11417">
        <v>24.89</v>
      </c>
      <c r="M11417">
        <v>47522</v>
      </c>
      <c r="N11417" t="s">
        <v>106</v>
      </c>
      <c r="O11417">
        <v>260113</v>
      </c>
      <c r="P11417">
        <v>97.6</v>
      </c>
      <c r="Q11417"/>
    </row>
    <row r="11418" spans="1:17" s="1" customFormat="1" x14ac:dyDescent="0.25">
      <c r="A11418" t="s">
        <v>3296</v>
      </c>
      <c r="B11418" t="s">
        <v>2931</v>
      </c>
      <c r="C11418">
        <v>18361</v>
      </c>
      <c r="D11418" t="str">
        <f>"71929757    "</f>
        <v xml:space="preserve">71929757    </v>
      </c>
      <c r="E11418" t="s">
        <v>616</v>
      </c>
      <c r="F11418" t="s">
        <v>617</v>
      </c>
      <c r="G11418">
        <v>75.55</v>
      </c>
      <c r="H11418">
        <v>251231</v>
      </c>
      <c r="I11418">
        <v>4380</v>
      </c>
      <c r="J11418" t="s">
        <v>211</v>
      </c>
      <c r="K11418">
        <v>215.86</v>
      </c>
      <c r="L11418">
        <v>15.35</v>
      </c>
      <c r="M11418">
        <v>59502</v>
      </c>
      <c r="N11418" t="s">
        <v>63</v>
      </c>
      <c r="O11418">
        <v>260113</v>
      </c>
      <c r="P11418">
        <v>60.2</v>
      </c>
      <c r="Q11418"/>
    </row>
    <row r="11419" spans="1:17" s="1" customFormat="1" x14ac:dyDescent="0.25">
      <c r="A11419" t="s">
        <v>3296</v>
      </c>
      <c r="B11419" t="s">
        <v>2931</v>
      </c>
      <c r="C11419">
        <v>18361</v>
      </c>
      <c r="D11419" t="str">
        <f>"71929757    "</f>
        <v xml:space="preserve">71929757    </v>
      </c>
      <c r="E11419" t="s">
        <v>616</v>
      </c>
      <c r="F11419" t="s">
        <v>617</v>
      </c>
      <c r="G11419">
        <v>140.31</v>
      </c>
      <c r="H11419">
        <v>251231</v>
      </c>
      <c r="I11419">
        <v>4380</v>
      </c>
      <c r="J11419" t="s">
        <v>211</v>
      </c>
      <c r="K11419">
        <v>215.86</v>
      </c>
      <c r="L11419">
        <v>28.51</v>
      </c>
      <c r="M11419">
        <v>59802</v>
      </c>
      <c r="N11419" t="s">
        <v>195</v>
      </c>
      <c r="O11419">
        <v>260113</v>
      </c>
      <c r="P11419">
        <v>111.8</v>
      </c>
      <c r="Q11419"/>
    </row>
    <row r="11420" spans="1:17" s="1" customFormat="1" x14ac:dyDescent="0.25">
      <c r="A11420" t="s">
        <v>3296</v>
      </c>
      <c r="B11420" t="s">
        <v>2931</v>
      </c>
      <c r="C11420">
        <v>18372</v>
      </c>
      <c r="D11420" t="str">
        <f>"71925352    "</f>
        <v xml:space="preserve">71925352    </v>
      </c>
      <c r="E11420" t="s">
        <v>616</v>
      </c>
      <c r="F11420" t="s">
        <v>617</v>
      </c>
      <c r="G11420">
        <v>143.82</v>
      </c>
      <c r="H11420">
        <v>251230</v>
      </c>
      <c r="I11420">
        <v>4380</v>
      </c>
      <c r="J11420" t="s">
        <v>211</v>
      </c>
      <c r="K11420">
        <v>143.82</v>
      </c>
      <c r="L11420">
        <v>29.22</v>
      </c>
      <c r="M11420">
        <v>47522</v>
      </c>
      <c r="N11420" t="s">
        <v>106</v>
      </c>
      <c r="O11420">
        <v>260113</v>
      </c>
      <c r="P11420">
        <v>114.6</v>
      </c>
      <c r="Q11420"/>
    </row>
    <row r="11421" spans="1:17" s="1" customFormat="1" x14ac:dyDescent="0.25">
      <c r="A11421" t="s">
        <v>3296</v>
      </c>
      <c r="B11421" t="s">
        <v>2931</v>
      </c>
      <c r="C11421">
        <v>18381</v>
      </c>
      <c r="D11421" t="str">
        <f>"71929616    "</f>
        <v xml:space="preserve">71929616    </v>
      </c>
      <c r="E11421" t="s">
        <v>616</v>
      </c>
      <c r="F11421" t="s">
        <v>617</v>
      </c>
      <c r="G11421">
        <v>11.04</v>
      </c>
      <c r="H11421">
        <v>251231</v>
      </c>
      <c r="I11421">
        <v>4380</v>
      </c>
      <c r="J11421" t="s">
        <v>211</v>
      </c>
      <c r="K11421">
        <v>11.04</v>
      </c>
      <c r="L11421">
        <v>2.2400000000000002</v>
      </c>
      <c r="M11421">
        <v>59503</v>
      </c>
      <c r="N11421" t="s">
        <v>766</v>
      </c>
      <c r="O11421">
        <v>260113</v>
      </c>
      <c r="P11421">
        <v>8.8000000000000007</v>
      </c>
      <c r="Q11421"/>
    </row>
    <row r="11422" spans="1:17" s="1" customFormat="1" x14ac:dyDescent="0.25">
      <c r="A11422" t="s">
        <v>3296</v>
      </c>
      <c r="B11422" t="s">
        <v>2931</v>
      </c>
      <c r="C11422">
        <v>18388</v>
      </c>
      <c r="D11422" t="str">
        <f>"71930990    "</f>
        <v xml:space="preserve">71930990    </v>
      </c>
      <c r="E11422" t="s">
        <v>616</v>
      </c>
      <c r="F11422" t="s">
        <v>617</v>
      </c>
      <c r="G11422">
        <v>34.840000000000003</v>
      </c>
      <c r="H11422">
        <v>251231</v>
      </c>
      <c r="I11422">
        <v>4380</v>
      </c>
      <c r="J11422" t="s">
        <v>211</v>
      </c>
      <c r="K11422">
        <v>34.840000000000003</v>
      </c>
      <c r="L11422">
        <v>7.08</v>
      </c>
      <c r="M11422">
        <v>59503</v>
      </c>
      <c r="N11422" t="s">
        <v>766</v>
      </c>
      <c r="O11422">
        <v>260113</v>
      </c>
      <c r="P11422">
        <v>27.76</v>
      </c>
      <c r="Q11422"/>
    </row>
    <row r="11423" spans="1:17" s="1" customFormat="1" x14ac:dyDescent="0.25">
      <c r="A11423" t="s">
        <v>3296</v>
      </c>
      <c r="B11423" t="s">
        <v>2931</v>
      </c>
      <c r="C11423">
        <v>18413</v>
      </c>
      <c r="D11423" t="str">
        <f>"71962822    "</f>
        <v xml:space="preserve">71962822    </v>
      </c>
      <c r="E11423" t="s">
        <v>616</v>
      </c>
      <c r="F11423" t="s">
        <v>617</v>
      </c>
      <c r="G11423">
        <v>95.76</v>
      </c>
      <c r="H11423">
        <v>251231</v>
      </c>
      <c r="I11423">
        <v>4380</v>
      </c>
      <c r="J11423" t="s">
        <v>211</v>
      </c>
      <c r="K11423">
        <v>95.76</v>
      </c>
      <c r="L11423">
        <v>19.46</v>
      </c>
      <c r="M11423">
        <v>59505</v>
      </c>
      <c r="N11423" t="s">
        <v>194</v>
      </c>
      <c r="O11423">
        <v>260113</v>
      </c>
      <c r="P11423">
        <v>76.3</v>
      </c>
      <c r="Q11423"/>
    </row>
    <row r="11424" spans="1:17" s="1" customFormat="1" x14ac:dyDescent="0.25">
      <c r="A11424" t="s">
        <v>3296</v>
      </c>
      <c r="B11424" t="s">
        <v>2931</v>
      </c>
      <c r="C11424">
        <v>18423</v>
      </c>
      <c r="D11424" t="str">
        <f>"71930984    "</f>
        <v xml:space="preserve">71930984    </v>
      </c>
      <c r="E11424" t="s">
        <v>616</v>
      </c>
      <c r="F11424" t="s">
        <v>617</v>
      </c>
      <c r="G11424">
        <v>110.09</v>
      </c>
      <c r="H11424">
        <v>251231</v>
      </c>
      <c r="I11424">
        <v>4380</v>
      </c>
      <c r="J11424" t="s">
        <v>211</v>
      </c>
      <c r="K11424">
        <v>110.09</v>
      </c>
      <c r="L11424">
        <v>22.37</v>
      </c>
      <c r="M11424">
        <v>59505</v>
      </c>
      <c r="N11424" t="s">
        <v>194</v>
      </c>
      <c r="O11424">
        <v>260113</v>
      </c>
      <c r="P11424">
        <v>87.72</v>
      </c>
      <c r="Q11424"/>
    </row>
    <row r="11425" spans="1:17" s="1" customFormat="1" x14ac:dyDescent="0.25">
      <c r="A11425" t="s">
        <v>3296</v>
      </c>
      <c r="B11425" t="s">
        <v>2931</v>
      </c>
      <c r="C11425">
        <v>18436</v>
      </c>
      <c r="D11425" t="str">
        <f>"71929759    "</f>
        <v xml:space="preserve">71929759    </v>
      </c>
      <c r="E11425" t="s">
        <v>616</v>
      </c>
      <c r="F11425" t="s">
        <v>617</v>
      </c>
      <c r="G11425">
        <v>155.37</v>
      </c>
      <c r="H11425">
        <v>251231</v>
      </c>
      <c r="I11425">
        <v>4380</v>
      </c>
      <c r="J11425" t="s">
        <v>211</v>
      </c>
      <c r="K11425">
        <v>155.37</v>
      </c>
      <c r="L11425">
        <v>31.57</v>
      </c>
      <c r="M11425">
        <v>49501</v>
      </c>
      <c r="N11425" t="s">
        <v>110</v>
      </c>
      <c r="O11425">
        <v>260113</v>
      </c>
      <c r="P11425">
        <v>123.8</v>
      </c>
      <c r="Q11425"/>
    </row>
    <row r="11426" spans="1:17" s="1" customFormat="1" x14ac:dyDescent="0.25">
      <c r="A11426" t="s">
        <v>3296</v>
      </c>
      <c r="B11426" t="s">
        <v>2931</v>
      </c>
      <c r="C11426">
        <v>18439</v>
      </c>
      <c r="D11426" t="str">
        <f>"71929763    "</f>
        <v xml:space="preserve">71929763    </v>
      </c>
      <c r="E11426" t="s">
        <v>616</v>
      </c>
      <c r="F11426" t="s">
        <v>617</v>
      </c>
      <c r="G11426">
        <v>71.03</v>
      </c>
      <c r="H11426">
        <v>251231</v>
      </c>
      <c r="I11426">
        <v>4380</v>
      </c>
      <c r="J11426" t="s">
        <v>211</v>
      </c>
      <c r="K11426">
        <v>71.03</v>
      </c>
      <c r="L11426">
        <v>14.43</v>
      </c>
      <c r="M11426">
        <v>59504</v>
      </c>
      <c r="N11426" t="s">
        <v>193</v>
      </c>
      <c r="O11426">
        <v>260113</v>
      </c>
      <c r="P11426">
        <v>56.6</v>
      </c>
      <c r="Q11426"/>
    </row>
    <row r="11427" spans="1:17" s="1" customFormat="1" x14ac:dyDescent="0.25">
      <c r="A11427" t="s">
        <v>3296</v>
      </c>
      <c r="B11427" t="s">
        <v>2931</v>
      </c>
      <c r="C11427">
        <v>18452</v>
      </c>
      <c r="D11427" t="str">
        <f>"71931343    "</f>
        <v xml:space="preserve">71931343    </v>
      </c>
      <c r="E11427" t="s">
        <v>616</v>
      </c>
      <c r="F11427" t="s">
        <v>617</v>
      </c>
      <c r="G11427">
        <v>77.06</v>
      </c>
      <c r="H11427">
        <v>251231</v>
      </c>
      <c r="I11427">
        <v>4380</v>
      </c>
      <c r="J11427" t="s">
        <v>211</v>
      </c>
      <c r="K11427">
        <v>77.06</v>
      </c>
      <c r="L11427">
        <v>15.66</v>
      </c>
      <c r="M11427">
        <v>17952</v>
      </c>
      <c r="N11427" t="s">
        <v>157</v>
      </c>
      <c r="O11427">
        <v>260113</v>
      </c>
      <c r="P11427">
        <v>61.4</v>
      </c>
      <c r="Q11427"/>
    </row>
    <row r="11428" spans="1:17" s="1" customFormat="1" x14ac:dyDescent="0.25">
      <c r="A11428" t="s">
        <v>3296</v>
      </c>
      <c r="B11428" t="s">
        <v>2931</v>
      </c>
      <c r="C11428">
        <v>18460</v>
      </c>
      <c r="D11428" t="str">
        <f>"71929756    "</f>
        <v xml:space="preserve">71929756    </v>
      </c>
      <c r="E11428" t="s">
        <v>616</v>
      </c>
      <c r="F11428" t="s">
        <v>617</v>
      </c>
      <c r="G11428">
        <v>35.14</v>
      </c>
      <c r="H11428">
        <v>251231</v>
      </c>
      <c r="I11428">
        <v>4380</v>
      </c>
      <c r="J11428" t="s">
        <v>211</v>
      </c>
      <c r="K11428">
        <v>35.14</v>
      </c>
      <c r="L11428">
        <v>7.14</v>
      </c>
      <c r="M11428">
        <v>17951</v>
      </c>
      <c r="N11428" t="s">
        <v>207</v>
      </c>
      <c r="O11428">
        <v>260113</v>
      </c>
      <c r="P11428">
        <v>28</v>
      </c>
      <c r="Q11428"/>
    </row>
    <row r="11429" spans="1:17" s="1" customFormat="1" x14ac:dyDescent="0.25">
      <c r="A11429" t="s">
        <v>3296</v>
      </c>
      <c r="B11429" t="s">
        <v>2931</v>
      </c>
      <c r="C11429">
        <v>18470</v>
      </c>
      <c r="D11429" t="str">
        <f>"71929755    "</f>
        <v xml:space="preserve">71929755    </v>
      </c>
      <c r="E11429" t="s">
        <v>616</v>
      </c>
      <c r="F11429" t="s">
        <v>617</v>
      </c>
      <c r="G11429">
        <v>439.25</v>
      </c>
      <c r="H11429">
        <v>251231</v>
      </c>
      <c r="I11429">
        <v>4380</v>
      </c>
      <c r="J11429" t="s">
        <v>211</v>
      </c>
      <c r="K11429">
        <v>439.25</v>
      </c>
      <c r="L11429">
        <v>89.25</v>
      </c>
      <c r="M11429">
        <v>59501</v>
      </c>
      <c r="N11429" t="s">
        <v>62</v>
      </c>
      <c r="O11429">
        <v>260114</v>
      </c>
      <c r="P11429">
        <v>350</v>
      </c>
      <c r="Q11429"/>
    </row>
    <row r="11430" spans="1:17" s="1" customFormat="1" x14ac:dyDescent="0.25">
      <c r="A11430" t="s">
        <v>3296</v>
      </c>
      <c r="B11430" t="s">
        <v>2931</v>
      </c>
      <c r="C11430">
        <v>18471</v>
      </c>
      <c r="D11430" t="str">
        <f>"71929765    "</f>
        <v xml:space="preserve">71929765    </v>
      </c>
      <c r="E11430" t="s">
        <v>616</v>
      </c>
      <c r="F11430" t="s">
        <v>617</v>
      </c>
      <c r="G11430">
        <v>50.2</v>
      </c>
      <c r="H11430">
        <v>251231</v>
      </c>
      <c r="I11430">
        <v>4380</v>
      </c>
      <c r="J11430" t="s">
        <v>211</v>
      </c>
      <c r="K11430">
        <v>50.2</v>
      </c>
      <c r="L11430">
        <v>10.199999999999999</v>
      </c>
      <c r="M11430">
        <v>17951</v>
      </c>
      <c r="N11430" t="s">
        <v>207</v>
      </c>
      <c r="O11430">
        <v>260114</v>
      </c>
      <c r="P11430">
        <v>40</v>
      </c>
      <c r="Q11430"/>
    </row>
    <row r="11431" spans="1:17" s="1" customFormat="1" x14ac:dyDescent="0.25">
      <c r="A11431" t="s">
        <v>3296</v>
      </c>
      <c r="B11431" t="s">
        <v>2931</v>
      </c>
      <c r="C11431">
        <v>18477</v>
      </c>
      <c r="D11431" t="str">
        <f>"71929758    "</f>
        <v xml:space="preserve">71929758    </v>
      </c>
      <c r="E11431" t="s">
        <v>616</v>
      </c>
      <c r="F11431" t="s">
        <v>617</v>
      </c>
      <c r="G11431">
        <v>35.14</v>
      </c>
      <c r="H11431">
        <v>251231</v>
      </c>
      <c r="I11431">
        <v>4380</v>
      </c>
      <c r="J11431" t="s">
        <v>211</v>
      </c>
      <c r="K11431">
        <v>35.14</v>
      </c>
      <c r="L11431">
        <v>7.14</v>
      </c>
      <c r="M11431">
        <v>17951</v>
      </c>
      <c r="N11431" t="s">
        <v>207</v>
      </c>
      <c r="O11431">
        <v>260114</v>
      </c>
      <c r="P11431">
        <v>28</v>
      </c>
      <c r="Q11431"/>
    </row>
    <row r="11432" spans="1:17" s="1" customFormat="1" x14ac:dyDescent="0.25">
      <c r="A11432" t="s">
        <v>3296</v>
      </c>
      <c r="B11432" t="s">
        <v>2931</v>
      </c>
      <c r="C11432">
        <v>18491</v>
      </c>
      <c r="D11432" t="str">
        <f>"71930812    "</f>
        <v xml:space="preserve">71930812    </v>
      </c>
      <c r="E11432" t="s">
        <v>616</v>
      </c>
      <c r="F11432" t="s">
        <v>617</v>
      </c>
      <c r="G11432">
        <v>26.4</v>
      </c>
      <c r="H11432">
        <v>251231</v>
      </c>
      <c r="I11432">
        <v>4380</v>
      </c>
      <c r="J11432" t="s">
        <v>211</v>
      </c>
      <c r="K11432">
        <v>266.06</v>
      </c>
      <c r="L11432">
        <v>5.36</v>
      </c>
      <c r="M11432">
        <v>13540</v>
      </c>
      <c r="N11432" t="s">
        <v>131</v>
      </c>
      <c r="O11432">
        <v>260114</v>
      </c>
      <c r="P11432">
        <v>21.04</v>
      </c>
      <c r="Q11432"/>
    </row>
    <row r="11433" spans="1:17" s="1" customFormat="1" x14ac:dyDescent="0.25">
      <c r="A11433" t="s">
        <v>3296</v>
      </c>
      <c r="B11433" t="s">
        <v>2931</v>
      </c>
      <c r="C11433">
        <v>18491</v>
      </c>
      <c r="D11433" t="str">
        <f>"71930812    "</f>
        <v xml:space="preserve">71930812    </v>
      </c>
      <c r="E11433" t="s">
        <v>616</v>
      </c>
      <c r="F11433" t="s">
        <v>617</v>
      </c>
      <c r="G11433">
        <v>183.64</v>
      </c>
      <c r="H11433">
        <v>251231</v>
      </c>
      <c r="I11433">
        <v>4380</v>
      </c>
      <c r="J11433" t="s">
        <v>211</v>
      </c>
      <c r="K11433">
        <v>266.06</v>
      </c>
      <c r="L11433">
        <v>37.31</v>
      </c>
      <c r="M11433">
        <v>17950</v>
      </c>
      <c r="N11433" t="s">
        <v>132</v>
      </c>
      <c r="O11433">
        <v>260114</v>
      </c>
      <c r="P11433">
        <v>146.33000000000001</v>
      </c>
      <c r="Q11433"/>
    </row>
    <row r="11434" spans="1:17" s="1" customFormat="1" x14ac:dyDescent="0.25">
      <c r="A11434" t="s">
        <v>3296</v>
      </c>
      <c r="B11434" t="s">
        <v>2931</v>
      </c>
      <c r="C11434">
        <v>18491</v>
      </c>
      <c r="D11434" t="str">
        <f>"71930812    "</f>
        <v xml:space="preserve">71930812    </v>
      </c>
      <c r="E11434" t="s">
        <v>616</v>
      </c>
      <c r="F11434" t="s">
        <v>617</v>
      </c>
      <c r="G11434">
        <v>56.02</v>
      </c>
      <c r="H11434">
        <v>251231</v>
      </c>
      <c r="I11434">
        <v>4380</v>
      </c>
      <c r="J11434" t="s">
        <v>211</v>
      </c>
      <c r="K11434">
        <v>266.06</v>
      </c>
      <c r="L11434">
        <v>11.38</v>
      </c>
      <c r="M11434">
        <v>17956</v>
      </c>
      <c r="N11434" t="s">
        <v>170</v>
      </c>
      <c r="O11434">
        <v>260114</v>
      </c>
      <c r="P11434">
        <v>44.64</v>
      </c>
      <c r="Q11434"/>
    </row>
    <row r="11435" spans="1:17" s="1" customFormat="1" x14ac:dyDescent="0.25">
      <c r="A11435" t="s">
        <v>3296</v>
      </c>
      <c r="B11435" t="s">
        <v>2931</v>
      </c>
      <c r="C11435">
        <v>18560</v>
      </c>
      <c r="D11435" t="str">
        <f>"71930987    "</f>
        <v xml:space="preserve">71930987    </v>
      </c>
      <c r="E11435" t="s">
        <v>616</v>
      </c>
      <c r="F11435" t="s">
        <v>617</v>
      </c>
      <c r="G11435">
        <v>105.12</v>
      </c>
      <c r="H11435">
        <v>251231</v>
      </c>
      <c r="I11435">
        <v>4380</v>
      </c>
      <c r="J11435" t="s">
        <v>211</v>
      </c>
      <c r="K11435">
        <v>132.08000000000001</v>
      </c>
      <c r="L11435">
        <v>21.36</v>
      </c>
      <c r="M11435">
        <v>14432</v>
      </c>
      <c r="N11435" t="s">
        <v>75</v>
      </c>
      <c r="O11435">
        <v>260116</v>
      </c>
      <c r="P11435">
        <v>83.76</v>
      </c>
      <c r="Q11435"/>
    </row>
    <row r="11436" spans="1:17" s="1" customFormat="1" x14ac:dyDescent="0.25">
      <c r="A11436" t="s">
        <v>3296</v>
      </c>
      <c r="B11436" t="s">
        <v>2931</v>
      </c>
      <c r="C11436">
        <v>18560</v>
      </c>
      <c r="D11436" t="str">
        <f>"71930987    "</f>
        <v xml:space="preserve">71930987    </v>
      </c>
      <c r="E11436" t="s">
        <v>616</v>
      </c>
      <c r="F11436" t="s">
        <v>617</v>
      </c>
      <c r="G11436">
        <v>26.96</v>
      </c>
      <c r="H11436">
        <v>251231</v>
      </c>
      <c r="I11436">
        <v>4380</v>
      </c>
      <c r="J11436" t="s">
        <v>211</v>
      </c>
      <c r="K11436">
        <v>132.08000000000001</v>
      </c>
      <c r="L11436">
        <v>5.48</v>
      </c>
      <c r="M11436">
        <v>14951</v>
      </c>
      <c r="N11436" t="s">
        <v>186</v>
      </c>
      <c r="O11436">
        <v>260116</v>
      </c>
      <c r="P11436">
        <v>21.48</v>
      </c>
      <c r="Q11436"/>
    </row>
    <row r="11437" spans="1:17" s="1" customFormat="1" x14ac:dyDescent="0.25">
      <c r="A11437" t="s">
        <v>3296</v>
      </c>
      <c r="B11437" t="s">
        <v>2931</v>
      </c>
      <c r="C11437">
        <v>18586</v>
      </c>
      <c r="D11437" t="str">
        <f>"71929766    "</f>
        <v xml:space="preserve">71929766    </v>
      </c>
      <c r="E11437" t="s">
        <v>616</v>
      </c>
      <c r="F11437" t="s">
        <v>617</v>
      </c>
      <c r="G11437">
        <v>248.49</v>
      </c>
      <c r="H11437">
        <v>251231</v>
      </c>
      <c r="I11437">
        <v>4380</v>
      </c>
      <c r="J11437" t="s">
        <v>211</v>
      </c>
      <c r="K11437">
        <v>248.49</v>
      </c>
      <c r="L11437">
        <v>50.49</v>
      </c>
      <c r="M11437">
        <v>14951</v>
      </c>
      <c r="N11437" t="s">
        <v>186</v>
      </c>
      <c r="O11437">
        <v>260116</v>
      </c>
      <c r="P11437">
        <v>198</v>
      </c>
      <c r="Q11437"/>
    </row>
    <row r="11438" spans="1:17" s="1" customFormat="1" x14ac:dyDescent="0.25">
      <c r="A11438" t="s">
        <v>3296</v>
      </c>
      <c r="B11438" t="s">
        <v>2931</v>
      </c>
      <c r="C11438">
        <v>18590</v>
      </c>
      <c r="D11438" t="str">
        <f>"71962821    "</f>
        <v xml:space="preserve">71962821    </v>
      </c>
      <c r="E11438" t="s">
        <v>616</v>
      </c>
      <c r="F11438" t="s">
        <v>617</v>
      </c>
      <c r="G11438">
        <v>35.71</v>
      </c>
      <c r="H11438">
        <v>251231</v>
      </c>
      <c r="I11438">
        <v>4380</v>
      </c>
      <c r="J11438" t="s">
        <v>211</v>
      </c>
      <c r="K11438">
        <v>119.04</v>
      </c>
      <c r="L11438">
        <v>7.26</v>
      </c>
      <c r="M11438">
        <v>11401</v>
      </c>
      <c r="N11438" t="s">
        <v>91</v>
      </c>
      <c r="O11438">
        <v>260116</v>
      </c>
      <c r="P11438">
        <v>28.45</v>
      </c>
      <c r="Q11438"/>
    </row>
    <row r="11439" spans="1:17" s="1" customFormat="1" x14ac:dyDescent="0.25">
      <c r="A11439" t="s">
        <v>3296</v>
      </c>
      <c r="B11439" t="s">
        <v>2931</v>
      </c>
      <c r="C11439">
        <v>18590</v>
      </c>
      <c r="D11439" t="str">
        <f>"71962821    "</f>
        <v xml:space="preserve">71962821    </v>
      </c>
      <c r="E11439" t="s">
        <v>616</v>
      </c>
      <c r="F11439" t="s">
        <v>617</v>
      </c>
      <c r="G11439">
        <v>83.33</v>
      </c>
      <c r="H11439">
        <v>251231</v>
      </c>
      <c r="I11439">
        <v>4380</v>
      </c>
      <c r="J11439" t="s">
        <v>211</v>
      </c>
      <c r="K11439">
        <v>119.04</v>
      </c>
      <c r="L11439">
        <v>16.93</v>
      </c>
      <c r="M11439">
        <v>14952</v>
      </c>
      <c r="N11439" t="s">
        <v>213</v>
      </c>
      <c r="O11439">
        <v>260116</v>
      </c>
      <c r="P11439">
        <v>66.400000000000006</v>
      </c>
      <c r="Q11439"/>
    </row>
    <row r="11440" spans="1:17" s="1" customFormat="1" x14ac:dyDescent="0.25">
      <c r="A11440" t="s">
        <v>3296</v>
      </c>
      <c r="B11440" t="s">
        <v>2931</v>
      </c>
      <c r="C11440">
        <v>9021</v>
      </c>
      <c r="D11440" t="str">
        <f>"71443942/2  "</f>
        <v xml:space="preserve">71443942/2  </v>
      </c>
      <c r="E11440" t="s">
        <v>616</v>
      </c>
      <c r="F11440" t="s">
        <v>617</v>
      </c>
      <c r="G11440">
        <v>12</v>
      </c>
      <c r="H11440">
        <v>250625</v>
      </c>
      <c r="I11440">
        <v>4470</v>
      </c>
      <c r="J11440" t="s">
        <v>203</v>
      </c>
      <c r="K11440">
        <v>13.68</v>
      </c>
      <c r="L11440">
        <v>0</v>
      </c>
      <c r="M11440">
        <v>17951</v>
      </c>
      <c r="N11440" t="s">
        <v>207</v>
      </c>
      <c r="O11440">
        <v>250626</v>
      </c>
      <c r="P11440">
        <v>12</v>
      </c>
      <c r="Q11440"/>
    </row>
    <row r="11441" spans="1:17" s="1" customFormat="1" x14ac:dyDescent="0.25">
      <c r="A11441" t="s">
        <v>3296</v>
      </c>
      <c r="B11441" t="s">
        <v>2931</v>
      </c>
      <c r="C11441">
        <v>1295</v>
      </c>
      <c r="D11441" t="str">
        <f>"71242077    "</f>
        <v xml:space="preserve">71242077    </v>
      </c>
      <c r="E11441" t="s">
        <v>616</v>
      </c>
      <c r="F11441" t="s">
        <v>617</v>
      </c>
      <c r="G11441">
        <v>213.1</v>
      </c>
      <c r="H11441">
        <v>250131</v>
      </c>
      <c r="I11441">
        <v>4550</v>
      </c>
      <c r="J11441" t="s">
        <v>226</v>
      </c>
      <c r="K11441">
        <v>213.1</v>
      </c>
      <c r="L11441">
        <v>43.3</v>
      </c>
      <c r="M11441">
        <v>46557</v>
      </c>
      <c r="N11441" t="s">
        <v>104</v>
      </c>
      <c r="O11441">
        <v>250206</v>
      </c>
      <c r="P11441">
        <v>169.8</v>
      </c>
      <c r="Q11441"/>
    </row>
    <row r="11442" spans="1:17" s="1" customFormat="1" x14ac:dyDescent="0.25">
      <c r="A11442" t="s">
        <v>3296</v>
      </c>
      <c r="B11442" t="s">
        <v>2931</v>
      </c>
      <c r="C11442">
        <v>3060</v>
      </c>
      <c r="D11442" t="str">
        <f>"71300463    "</f>
        <v xml:space="preserve">71300463    </v>
      </c>
      <c r="E11442" t="s">
        <v>616</v>
      </c>
      <c r="F11442" t="s">
        <v>617</v>
      </c>
      <c r="G11442">
        <v>172.46</v>
      </c>
      <c r="H11442">
        <v>250228</v>
      </c>
      <c r="I11442">
        <v>4550</v>
      </c>
      <c r="J11442" t="s">
        <v>226</v>
      </c>
      <c r="K11442">
        <v>172.46</v>
      </c>
      <c r="L11442">
        <v>35.04</v>
      </c>
      <c r="M11442">
        <v>46557</v>
      </c>
      <c r="N11442" t="s">
        <v>104</v>
      </c>
      <c r="O11442">
        <v>250314</v>
      </c>
      <c r="P11442">
        <v>137.41999999999999</v>
      </c>
      <c r="Q11442"/>
    </row>
    <row r="11443" spans="1:17" s="1" customFormat="1" x14ac:dyDescent="0.25">
      <c r="A11443" t="s">
        <v>3296</v>
      </c>
      <c r="B11443" t="s">
        <v>2931</v>
      </c>
      <c r="C11443">
        <v>4673</v>
      </c>
      <c r="D11443" t="str">
        <f>"71357877    "</f>
        <v xml:space="preserve">71357877    </v>
      </c>
      <c r="E11443" t="s">
        <v>616</v>
      </c>
      <c r="F11443" t="s">
        <v>617</v>
      </c>
      <c r="G11443">
        <v>174.45</v>
      </c>
      <c r="H11443">
        <v>250331</v>
      </c>
      <c r="I11443">
        <v>4550</v>
      </c>
      <c r="J11443" t="s">
        <v>226</v>
      </c>
      <c r="K11443">
        <v>174.45</v>
      </c>
      <c r="L11443">
        <v>35.450000000000003</v>
      </c>
      <c r="M11443">
        <v>46557</v>
      </c>
      <c r="N11443" t="s">
        <v>104</v>
      </c>
      <c r="O11443">
        <v>250414</v>
      </c>
      <c r="P11443">
        <v>139</v>
      </c>
      <c r="Q11443"/>
    </row>
    <row r="11444" spans="1:17" s="1" customFormat="1" x14ac:dyDescent="0.25">
      <c r="A11444" t="s">
        <v>3296</v>
      </c>
      <c r="B11444" t="s">
        <v>2931</v>
      </c>
      <c r="C11444">
        <v>5058</v>
      </c>
      <c r="D11444" t="str">
        <f>"71381209    "</f>
        <v xml:space="preserve">71381209    </v>
      </c>
      <c r="E11444" t="s">
        <v>616</v>
      </c>
      <c r="F11444" t="s">
        <v>617</v>
      </c>
      <c r="G11444">
        <v>291.87</v>
      </c>
      <c r="H11444">
        <v>250331</v>
      </c>
      <c r="I11444">
        <v>4550</v>
      </c>
      <c r="J11444" t="s">
        <v>226</v>
      </c>
      <c r="K11444">
        <v>356.87</v>
      </c>
      <c r="L11444">
        <v>59.3</v>
      </c>
      <c r="M11444">
        <v>49501</v>
      </c>
      <c r="N11444" t="s">
        <v>110</v>
      </c>
      <c r="O11444">
        <v>250416</v>
      </c>
      <c r="P11444">
        <v>232.57</v>
      </c>
      <c r="Q11444"/>
    </row>
    <row r="11445" spans="1:17" s="1" customFormat="1" x14ac:dyDescent="0.25">
      <c r="A11445" t="s">
        <v>3296</v>
      </c>
      <c r="B11445" t="s">
        <v>2931</v>
      </c>
      <c r="C11445">
        <v>5058</v>
      </c>
      <c r="D11445" t="str">
        <f>"71381209    "</f>
        <v xml:space="preserve">71381209    </v>
      </c>
      <c r="E11445" t="s">
        <v>616</v>
      </c>
      <c r="F11445" t="s">
        <v>617</v>
      </c>
      <c r="G11445">
        <v>65</v>
      </c>
      <c r="H11445">
        <v>250331</v>
      </c>
      <c r="I11445">
        <v>4550</v>
      </c>
      <c r="J11445" t="s">
        <v>226</v>
      </c>
      <c r="K11445">
        <v>356.87</v>
      </c>
      <c r="L11445">
        <v>13.21</v>
      </c>
      <c r="M11445">
        <v>49503</v>
      </c>
      <c r="N11445" t="s">
        <v>267</v>
      </c>
      <c r="O11445">
        <v>250416</v>
      </c>
      <c r="P11445">
        <v>51.79</v>
      </c>
      <c r="Q11445"/>
    </row>
    <row r="11446" spans="1:17" s="1" customFormat="1" x14ac:dyDescent="0.25">
      <c r="A11446" t="s">
        <v>3296</v>
      </c>
      <c r="B11446" t="s">
        <v>2931</v>
      </c>
      <c r="C11446">
        <v>5835</v>
      </c>
      <c r="D11446" t="str">
        <f>"71420689    "</f>
        <v xml:space="preserve">71420689    </v>
      </c>
      <c r="E11446" t="s">
        <v>616</v>
      </c>
      <c r="F11446" t="s">
        <v>617</v>
      </c>
      <c r="G11446">
        <v>174.45</v>
      </c>
      <c r="H11446">
        <v>250429</v>
      </c>
      <c r="I11446">
        <v>4550</v>
      </c>
      <c r="J11446" t="s">
        <v>226</v>
      </c>
      <c r="K11446">
        <v>174.45</v>
      </c>
      <c r="L11446">
        <v>35.450000000000003</v>
      </c>
      <c r="M11446">
        <v>46557</v>
      </c>
      <c r="N11446" t="s">
        <v>104</v>
      </c>
      <c r="O11446">
        <v>250505</v>
      </c>
      <c r="P11446">
        <v>139</v>
      </c>
      <c r="Q11446"/>
    </row>
    <row r="11447" spans="1:17" s="1" customFormat="1" x14ac:dyDescent="0.25">
      <c r="A11447" t="s">
        <v>3296</v>
      </c>
      <c r="B11447" t="s">
        <v>2931</v>
      </c>
      <c r="C11447">
        <v>7721</v>
      </c>
      <c r="D11447" t="str">
        <f>"71479100    "</f>
        <v xml:space="preserve">71479100    </v>
      </c>
      <c r="E11447" t="s">
        <v>616</v>
      </c>
      <c r="F11447" t="s">
        <v>617</v>
      </c>
      <c r="G11447">
        <v>174.45</v>
      </c>
      <c r="H11447">
        <v>250528</v>
      </c>
      <c r="I11447">
        <v>4550</v>
      </c>
      <c r="J11447" t="s">
        <v>226</v>
      </c>
      <c r="K11447">
        <v>174.45</v>
      </c>
      <c r="L11447">
        <v>35.450000000000003</v>
      </c>
      <c r="M11447">
        <v>46557</v>
      </c>
      <c r="N11447" t="s">
        <v>104</v>
      </c>
      <c r="O11447">
        <v>250609</v>
      </c>
      <c r="P11447">
        <v>139</v>
      </c>
      <c r="Q11447"/>
    </row>
    <row r="11448" spans="1:17" s="1" customFormat="1" x14ac:dyDescent="0.25">
      <c r="A11448" t="s">
        <v>3296</v>
      </c>
      <c r="B11448" t="s">
        <v>2931</v>
      </c>
      <c r="C11448">
        <v>10056</v>
      </c>
      <c r="D11448" t="str">
        <f>"71593682    "</f>
        <v xml:space="preserve">71593682    </v>
      </c>
      <c r="E11448" t="s">
        <v>616</v>
      </c>
      <c r="F11448" t="s">
        <v>617</v>
      </c>
      <c r="G11448">
        <v>174.45</v>
      </c>
      <c r="H11448">
        <v>250723</v>
      </c>
      <c r="I11448">
        <v>4550</v>
      </c>
      <c r="J11448" t="s">
        <v>226</v>
      </c>
      <c r="K11448">
        <v>174.45</v>
      </c>
      <c r="L11448">
        <v>35.450000000000003</v>
      </c>
      <c r="M11448">
        <v>46557</v>
      </c>
      <c r="N11448" t="s">
        <v>104</v>
      </c>
      <c r="O11448">
        <v>250811</v>
      </c>
      <c r="P11448">
        <v>139</v>
      </c>
      <c r="Q11448"/>
    </row>
    <row r="11449" spans="1:17" s="1" customFormat="1" x14ac:dyDescent="0.25">
      <c r="A11449" t="s">
        <v>3296</v>
      </c>
      <c r="B11449" t="s">
        <v>2931</v>
      </c>
      <c r="C11449">
        <v>12193</v>
      </c>
      <c r="D11449" t="str">
        <f>"71713986    "</f>
        <v xml:space="preserve">71713986    </v>
      </c>
      <c r="E11449" t="s">
        <v>616</v>
      </c>
      <c r="F11449" t="s">
        <v>617</v>
      </c>
      <c r="G11449">
        <v>174.45</v>
      </c>
      <c r="H11449">
        <v>250916</v>
      </c>
      <c r="I11449">
        <v>4550</v>
      </c>
      <c r="J11449" t="s">
        <v>226</v>
      </c>
      <c r="K11449">
        <v>174.45</v>
      </c>
      <c r="L11449">
        <v>35.450000000000003</v>
      </c>
      <c r="M11449">
        <v>46557</v>
      </c>
      <c r="N11449" t="s">
        <v>104</v>
      </c>
      <c r="O11449">
        <v>250917</v>
      </c>
      <c r="P11449">
        <v>139</v>
      </c>
      <c r="Q11449"/>
    </row>
    <row r="11450" spans="1:17" s="1" customFormat="1" x14ac:dyDescent="0.25">
      <c r="A11450" t="s">
        <v>3296</v>
      </c>
      <c r="B11450" t="s">
        <v>2931</v>
      </c>
      <c r="C11450">
        <v>13876</v>
      </c>
      <c r="D11450" t="str">
        <f>"71771948    "</f>
        <v xml:space="preserve">71771948    </v>
      </c>
      <c r="E11450" t="s">
        <v>616</v>
      </c>
      <c r="F11450" t="s">
        <v>617</v>
      </c>
      <c r="G11450">
        <v>174.45</v>
      </c>
      <c r="H11450">
        <v>251014</v>
      </c>
      <c r="I11450">
        <v>4550</v>
      </c>
      <c r="J11450" t="s">
        <v>226</v>
      </c>
      <c r="K11450">
        <v>174.45</v>
      </c>
      <c r="L11450">
        <v>35.450000000000003</v>
      </c>
      <c r="M11450">
        <v>46557</v>
      </c>
      <c r="N11450" t="s">
        <v>104</v>
      </c>
      <c r="O11450">
        <v>251020</v>
      </c>
      <c r="P11450">
        <v>139</v>
      </c>
      <c r="Q11450"/>
    </row>
    <row r="11451" spans="1:17" s="1" customFormat="1" x14ac:dyDescent="0.25">
      <c r="A11451" t="s">
        <v>3296</v>
      </c>
      <c r="B11451" t="s">
        <v>2931</v>
      </c>
      <c r="C11451">
        <v>15265</v>
      </c>
      <c r="D11451" t="str">
        <f>"71834065    "</f>
        <v xml:space="preserve">71834065    </v>
      </c>
      <c r="E11451" t="s">
        <v>616</v>
      </c>
      <c r="F11451" t="s">
        <v>617</v>
      </c>
      <c r="G11451">
        <v>174.45</v>
      </c>
      <c r="H11451">
        <v>251112</v>
      </c>
      <c r="I11451">
        <v>4550</v>
      </c>
      <c r="J11451" t="s">
        <v>226</v>
      </c>
      <c r="K11451">
        <v>174.45</v>
      </c>
      <c r="L11451">
        <v>35.450000000000003</v>
      </c>
      <c r="M11451">
        <v>46557</v>
      </c>
      <c r="N11451" t="s">
        <v>104</v>
      </c>
      <c r="O11451">
        <v>251117</v>
      </c>
      <c r="P11451">
        <v>139</v>
      </c>
      <c r="Q11451"/>
    </row>
    <row r="11452" spans="1:17" s="1" customFormat="1" x14ac:dyDescent="0.25">
      <c r="A11452" t="s">
        <v>3296</v>
      </c>
      <c r="B11452" t="s">
        <v>2931</v>
      </c>
      <c r="C11452">
        <v>16993</v>
      </c>
      <c r="D11452" t="str">
        <f>"71891371    "</f>
        <v xml:space="preserve">71891371    </v>
      </c>
      <c r="E11452" t="s">
        <v>616</v>
      </c>
      <c r="F11452" t="s">
        <v>617</v>
      </c>
      <c r="G11452">
        <v>174.45</v>
      </c>
      <c r="H11452">
        <v>251209</v>
      </c>
      <c r="I11452">
        <v>4550</v>
      </c>
      <c r="J11452" t="s">
        <v>226</v>
      </c>
      <c r="K11452">
        <v>174.45</v>
      </c>
      <c r="L11452">
        <v>35.450000000000003</v>
      </c>
      <c r="M11452">
        <v>46557</v>
      </c>
      <c r="N11452" t="s">
        <v>104</v>
      </c>
      <c r="O11452">
        <v>251216</v>
      </c>
      <c r="P11452">
        <v>139</v>
      </c>
      <c r="Q11452"/>
    </row>
    <row r="11453" spans="1:17" s="1" customFormat="1" x14ac:dyDescent="0.25">
      <c r="A11453" t="s">
        <v>3296</v>
      </c>
      <c r="B11453" t="s">
        <v>2931</v>
      </c>
      <c r="C11453">
        <v>1607</v>
      </c>
      <c r="D11453" t="str">
        <f>"71257887    "</f>
        <v xml:space="preserve">71257887    </v>
      </c>
      <c r="E11453" t="s">
        <v>616</v>
      </c>
      <c r="F11453" t="s">
        <v>617</v>
      </c>
      <c r="G11453">
        <v>60.05</v>
      </c>
      <c r="H11453">
        <v>250131</v>
      </c>
      <c r="I11453">
        <v>4580</v>
      </c>
      <c r="J11453" t="s">
        <v>126</v>
      </c>
      <c r="K11453">
        <v>60.05</v>
      </c>
      <c r="L11453">
        <v>12.2</v>
      </c>
      <c r="M11453">
        <v>17521</v>
      </c>
      <c r="N11453" t="s">
        <v>136</v>
      </c>
      <c r="O11453">
        <v>250211</v>
      </c>
      <c r="P11453">
        <v>47.85</v>
      </c>
      <c r="Q11453"/>
    </row>
    <row r="11454" spans="1:17" s="1" customFormat="1" x14ac:dyDescent="0.25">
      <c r="A11454" t="s">
        <v>3296</v>
      </c>
      <c r="B11454" t="s">
        <v>2931</v>
      </c>
      <c r="C11454">
        <v>6281</v>
      </c>
      <c r="D11454" t="str">
        <f>"71436640    "</f>
        <v xml:space="preserve">71436640    </v>
      </c>
      <c r="E11454" t="s">
        <v>616</v>
      </c>
      <c r="F11454" t="s">
        <v>617</v>
      </c>
      <c r="G11454">
        <v>48.04</v>
      </c>
      <c r="H11454">
        <v>250429</v>
      </c>
      <c r="I11454">
        <v>4580</v>
      </c>
      <c r="J11454" t="s">
        <v>126</v>
      </c>
      <c r="K11454">
        <v>48.04</v>
      </c>
      <c r="L11454">
        <v>9.76</v>
      </c>
      <c r="M11454">
        <v>17521</v>
      </c>
      <c r="N11454" t="s">
        <v>136</v>
      </c>
      <c r="O11454">
        <v>250512</v>
      </c>
      <c r="P11454">
        <v>38.28</v>
      </c>
      <c r="Q11454"/>
    </row>
    <row r="11455" spans="1:17" s="1" customFormat="1" x14ac:dyDescent="0.25">
      <c r="A11455" t="s">
        <v>3296</v>
      </c>
      <c r="B11455" t="s">
        <v>2931</v>
      </c>
      <c r="C11455">
        <v>8264</v>
      </c>
      <c r="D11455" t="str">
        <f>"71495020    "</f>
        <v xml:space="preserve">71495020    </v>
      </c>
      <c r="E11455" t="s">
        <v>616</v>
      </c>
      <c r="F11455" t="s">
        <v>617</v>
      </c>
      <c r="G11455">
        <v>48.04</v>
      </c>
      <c r="H11455">
        <v>250528</v>
      </c>
      <c r="I11455">
        <v>4580</v>
      </c>
      <c r="J11455" t="s">
        <v>126</v>
      </c>
      <c r="K11455">
        <v>48.04</v>
      </c>
      <c r="L11455">
        <v>9.76</v>
      </c>
      <c r="M11455">
        <v>17521</v>
      </c>
      <c r="N11455" t="s">
        <v>136</v>
      </c>
      <c r="O11455">
        <v>250612</v>
      </c>
      <c r="P11455">
        <v>38.28</v>
      </c>
      <c r="Q11455"/>
    </row>
    <row r="11456" spans="1:17" s="1" customFormat="1" x14ac:dyDescent="0.25">
      <c r="A11456" t="s">
        <v>3296</v>
      </c>
      <c r="B11456" t="s">
        <v>2931</v>
      </c>
      <c r="C11456">
        <v>10599</v>
      </c>
      <c r="D11456" t="str">
        <f>"71656180    "</f>
        <v xml:space="preserve">71656180    </v>
      </c>
      <c r="E11456" t="s">
        <v>616</v>
      </c>
      <c r="F11456" t="s">
        <v>617</v>
      </c>
      <c r="G11456">
        <v>174.45</v>
      </c>
      <c r="H11456">
        <v>250819</v>
      </c>
      <c r="I11456">
        <v>4580</v>
      </c>
      <c r="J11456" t="s">
        <v>126</v>
      </c>
      <c r="K11456">
        <v>174.45</v>
      </c>
      <c r="L11456">
        <v>35.450000000000003</v>
      </c>
      <c r="M11456">
        <v>46557</v>
      </c>
      <c r="N11456" t="s">
        <v>104</v>
      </c>
      <c r="O11456">
        <v>250820</v>
      </c>
      <c r="P11456">
        <v>139</v>
      </c>
      <c r="Q11456"/>
    </row>
    <row r="11457" spans="1:16" x14ac:dyDescent="0.25">
      <c r="A11457" t="s">
        <v>3296</v>
      </c>
      <c r="B11457" t="s">
        <v>2931</v>
      </c>
      <c r="C11457">
        <v>10774</v>
      </c>
      <c r="D11457" t="str">
        <f>"71671950    "</f>
        <v xml:space="preserve">71671950    </v>
      </c>
      <c r="E11457" t="s">
        <v>616</v>
      </c>
      <c r="F11457" t="s">
        <v>617</v>
      </c>
      <c r="G11457">
        <v>12.47</v>
      </c>
      <c r="H11457">
        <v>250819</v>
      </c>
      <c r="I11457">
        <v>4580</v>
      </c>
      <c r="J11457" t="s">
        <v>126</v>
      </c>
      <c r="K11457">
        <v>12.47</v>
      </c>
      <c r="L11457">
        <v>2.5299999999999998</v>
      </c>
      <c r="M11457">
        <v>17521</v>
      </c>
      <c r="N11457" t="s">
        <v>136</v>
      </c>
      <c r="O11457">
        <v>250822</v>
      </c>
      <c r="P11457">
        <v>9.94</v>
      </c>
    </row>
    <row r="11458" spans="1:16" x14ac:dyDescent="0.25">
      <c r="A11458" t="s">
        <v>3296</v>
      </c>
      <c r="B11458" t="s">
        <v>2931</v>
      </c>
      <c r="C11458">
        <v>12414</v>
      </c>
      <c r="D11458" t="str">
        <f>"71729873    "</f>
        <v xml:space="preserve">71729873    </v>
      </c>
      <c r="E11458" t="s">
        <v>616</v>
      </c>
      <c r="F11458" t="s">
        <v>617</v>
      </c>
      <c r="G11458">
        <v>49.9</v>
      </c>
      <c r="H11458">
        <v>250916</v>
      </c>
      <c r="I11458">
        <v>4580</v>
      </c>
      <c r="J11458" t="s">
        <v>126</v>
      </c>
      <c r="K11458">
        <v>49.9</v>
      </c>
      <c r="L11458">
        <v>10.14</v>
      </c>
      <c r="M11458">
        <v>17521</v>
      </c>
      <c r="N11458" t="s">
        <v>136</v>
      </c>
      <c r="O11458">
        <v>250919</v>
      </c>
      <c r="P11458">
        <v>39.76</v>
      </c>
    </row>
    <row r="11459" spans="1:16" x14ac:dyDescent="0.25">
      <c r="A11459" t="s">
        <v>3296</v>
      </c>
      <c r="B11459" t="s">
        <v>2931</v>
      </c>
      <c r="C11459">
        <v>13859</v>
      </c>
      <c r="D11459" t="str">
        <f>"71772817    "</f>
        <v xml:space="preserve">71772817    </v>
      </c>
      <c r="E11459" t="s">
        <v>616</v>
      </c>
      <c r="F11459" t="s">
        <v>617</v>
      </c>
      <c r="G11459">
        <v>173.74</v>
      </c>
      <c r="H11459">
        <v>251014</v>
      </c>
      <c r="I11459">
        <v>4580</v>
      </c>
      <c r="J11459" t="s">
        <v>126</v>
      </c>
      <c r="K11459">
        <v>173.74</v>
      </c>
      <c r="L11459">
        <v>35.299999999999997</v>
      </c>
      <c r="M11459">
        <v>56559</v>
      </c>
      <c r="N11459" t="s">
        <v>51</v>
      </c>
      <c r="O11459">
        <v>251020</v>
      </c>
      <c r="P11459">
        <v>138.44</v>
      </c>
    </row>
    <row r="11460" spans="1:16" x14ac:dyDescent="0.25">
      <c r="A11460" t="s">
        <v>3296</v>
      </c>
      <c r="B11460" t="s">
        <v>2931</v>
      </c>
      <c r="C11460">
        <v>13895</v>
      </c>
      <c r="D11460" t="str">
        <f>"71787861    "</f>
        <v xml:space="preserve">71787861    </v>
      </c>
      <c r="E11460" t="s">
        <v>616</v>
      </c>
      <c r="F11460" t="s">
        <v>617</v>
      </c>
      <c r="G11460">
        <v>49.9</v>
      </c>
      <c r="H11460">
        <v>251014</v>
      </c>
      <c r="I11460">
        <v>4580</v>
      </c>
      <c r="J11460" t="s">
        <v>126</v>
      </c>
      <c r="K11460">
        <v>49.9</v>
      </c>
      <c r="L11460">
        <v>10.14</v>
      </c>
      <c r="M11460">
        <v>17521</v>
      </c>
      <c r="N11460" t="s">
        <v>136</v>
      </c>
      <c r="O11460">
        <v>251020</v>
      </c>
      <c r="P11460">
        <v>39.76</v>
      </c>
    </row>
    <row r="11461" spans="1:16" x14ac:dyDescent="0.25">
      <c r="A11461" t="s">
        <v>3296</v>
      </c>
      <c r="B11461" t="s">
        <v>2931</v>
      </c>
      <c r="C11461">
        <v>1436</v>
      </c>
      <c r="D11461" t="str">
        <f>"71242978    "</f>
        <v xml:space="preserve">71242978    </v>
      </c>
      <c r="E11461" t="s">
        <v>616</v>
      </c>
      <c r="F11461" t="s">
        <v>617</v>
      </c>
      <c r="G11461">
        <v>217.18</v>
      </c>
      <c r="H11461">
        <v>250131</v>
      </c>
      <c r="I11461">
        <v>4600</v>
      </c>
      <c r="J11461" t="s">
        <v>278</v>
      </c>
      <c r="K11461">
        <v>217.18</v>
      </c>
      <c r="L11461">
        <v>44.13</v>
      </c>
      <c r="M11461">
        <v>56568</v>
      </c>
      <c r="N11461" t="s">
        <v>354</v>
      </c>
      <c r="O11461">
        <v>250210</v>
      </c>
      <c r="P11461">
        <v>173.05</v>
      </c>
    </row>
    <row r="11462" spans="1:16" x14ac:dyDescent="0.25">
      <c r="A11462" t="s">
        <v>3296</v>
      </c>
      <c r="B11462" t="s">
        <v>2931</v>
      </c>
      <c r="C11462">
        <v>3104</v>
      </c>
      <c r="D11462" t="str">
        <f>"71301362    "</f>
        <v xml:space="preserve">71301362    </v>
      </c>
      <c r="E11462" t="s">
        <v>616</v>
      </c>
      <c r="F11462" t="s">
        <v>617</v>
      </c>
      <c r="G11462">
        <v>173.74</v>
      </c>
      <c r="H11462">
        <v>250228</v>
      </c>
      <c r="I11462">
        <v>4600</v>
      </c>
      <c r="J11462" t="s">
        <v>278</v>
      </c>
      <c r="K11462">
        <v>173.74</v>
      </c>
      <c r="L11462">
        <v>35.299999999999997</v>
      </c>
      <c r="M11462">
        <v>56568</v>
      </c>
      <c r="N11462" t="s">
        <v>354</v>
      </c>
      <c r="O11462">
        <v>250314</v>
      </c>
      <c r="P11462">
        <v>138.44</v>
      </c>
    </row>
    <row r="11463" spans="1:16" x14ac:dyDescent="0.25">
      <c r="A11463" t="s">
        <v>3296</v>
      </c>
      <c r="B11463" t="s">
        <v>2931</v>
      </c>
      <c r="C11463">
        <v>3161</v>
      </c>
      <c r="D11463" t="str">
        <f>"71316338    "</f>
        <v xml:space="preserve">71316338    </v>
      </c>
      <c r="E11463" t="s">
        <v>616</v>
      </c>
      <c r="F11463" t="s">
        <v>617</v>
      </c>
      <c r="G11463">
        <v>48.04</v>
      </c>
      <c r="H11463">
        <v>250228</v>
      </c>
      <c r="I11463">
        <v>4600</v>
      </c>
      <c r="J11463" t="s">
        <v>278</v>
      </c>
      <c r="K11463">
        <v>48.04</v>
      </c>
      <c r="L11463">
        <v>9.76</v>
      </c>
      <c r="M11463">
        <v>17521</v>
      </c>
      <c r="N11463" t="s">
        <v>136</v>
      </c>
      <c r="O11463">
        <v>250314</v>
      </c>
      <c r="P11463">
        <v>38.28</v>
      </c>
    </row>
    <row r="11464" spans="1:16" x14ac:dyDescent="0.25">
      <c r="A11464" t="s">
        <v>3296</v>
      </c>
      <c r="B11464" t="s">
        <v>2931</v>
      </c>
      <c r="C11464">
        <v>4680</v>
      </c>
      <c r="D11464" t="str">
        <f>"71358774    "</f>
        <v xml:space="preserve">71358774    </v>
      </c>
      <c r="E11464" t="s">
        <v>616</v>
      </c>
      <c r="F11464" t="s">
        <v>617</v>
      </c>
      <c r="G11464">
        <v>173.74</v>
      </c>
      <c r="H11464">
        <v>250331</v>
      </c>
      <c r="I11464">
        <v>4600</v>
      </c>
      <c r="J11464" t="s">
        <v>278</v>
      </c>
      <c r="K11464">
        <v>173.74</v>
      </c>
      <c r="L11464">
        <v>35.299999999999997</v>
      </c>
      <c r="M11464">
        <v>56568</v>
      </c>
      <c r="N11464" t="s">
        <v>354</v>
      </c>
      <c r="O11464">
        <v>250414</v>
      </c>
      <c r="P11464">
        <v>138.44</v>
      </c>
    </row>
    <row r="11465" spans="1:16" x14ac:dyDescent="0.25">
      <c r="A11465" t="s">
        <v>3296</v>
      </c>
      <c r="B11465" t="s">
        <v>2931</v>
      </c>
      <c r="C11465">
        <v>5110</v>
      </c>
      <c r="D11465" t="str">
        <f>"71373791    "</f>
        <v xml:space="preserve">71373791    </v>
      </c>
      <c r="E11465" t="s">
        <v>616</v>
      </c>
      <c r="F11465" t="s">
        <v>617</v>
      </c>
      <c r="G11465">
        <v>48.04</v>
      </c>
      <c r="H11465">
        <v>250331</v>
      </c>
      <c r="I11465">
        <v>4600</v>
      </c>
      <c r="J11465" t="s">
        <v>278</v>
      </c>
      <c r="K11465">
        <v>48.04</v>
      </c>
      <c r="L11465">
        <v>9.76</v>
      </c>
      <c r="M11465">
        <v>17521</v>
      </c>
      <c r="N11465" t="s">
        <v>136</v>
      </c>
      <c r="O11465">
        <v>250416</v>
      </c>
      <c r="P11465">
        <v>38.28</v>
      </c>
    </row>
    <row r="11466" spans="1:16" x14ac:dyDescent="0.25">
      <c r="A11466" t="s">
        <v>3296</v>
      </c>
      <c r="B11466" t="s">
        <v>2931</v>
      </c>
      <c r="C11466">
        <v>6010</v>
      </c>
      <c r="D11466" t="str">
        <f>"71421580    "</f>
        <v xml:space="preserve">71421580    </v>
      </c>
      <c r="E11466" t="s">
        <v>616</v>
      </c>
      <c r="F11466" t="s">
        <v>617</v>
      </c>
      <c r="G11466">
        <v>173.74</v>
      </c>
      <c r="H11466">
        <v>250429</v>
      </c>
      <c r="I11466">
        <v>4600</v>
      </c>
      <c r="J11466" t="s">
        <v>278</v>
      </c>
      <c r="K11466">
        <v>173.74</v>
      </c>
      <c r="L11466">
        <v>35.299999999999997</v>
      </c>
      <c r="M11466">
        <v>56568</v>
      </c>
      <c r="N11466" t="s">
        <v>354</v>
      </c>
      <c r="O11466">
        <v>250508</v>
      </c>
      <c r="P11466">
        <v>138.44</v>
      </c>
    </row>
    <row r="11467" spans="1:16" x14ac:dyDescent="0.25">
      <c r="A11467" t="s">
        <v>3296</v>
      </c>
      <c r="B11467" t="s">
        <v>2931</v>
      </c>
      <c r="C11467">
        <v>7768</v>
      </c>
      <c r="D11467" t="str">
        <f>"71479983    "</f>
        <v xml:space="preserve">71479983    </v>
      </c>
      <c r="E11467" t="s">
        <v>616</v>
      </c>
      <c r="F11467" t="s">
        <v>617</v>
      </c>
      <c r="G11467">
        <v>173.74</v>
      </c>
      <c r="H11467">
        <v>250528</v>
      </c>
      <c r="I11467">
        <v>4600</v>
      </c>
      <c r="J11467" t="s">
        <v>278</v>
      </c>
      <c r="K11467">
        <v>173.74</v>
      </c>
      <c r="L11467">
        <v>35.299999999999997</v>
      </c>
      <c r="M11467">
        <v>56568</v>
      </c>
      <c r="N11467" t="s">
        <v>354</v>
      </c>
      <c r="O11467">
        <v>250609</v>
      </c>
      <c r="P11467">
        <v>138.44</v>
      </c>
    </row>
    <row r="11468" spans="1:16" x14ac:dyDescent="0.25">
      <c r="A11468" t="s">
        <v>3296</v>
      </c>
      <c r="B11468" t="s">
        <v>2931</v>
      </c>
      <c r="C11468">
        <v>9354</v>
      </c>
      <c r="D11468" t="str">
        <f>"71538253    "</f>
        <v xml:space="preserve">71538253    </v>
      </c>
      <c r="E11468" t="s">
        <v>616</v>
      </c>
      <c r="F11468" t="s">
        <v>617</v>
      </c>
      <c r="G11468">
        <v>43.44</v>
      </c>
      <c r="H11468">
        <v>250627</v>
      </c>
      <c r="I11468">
        <v>4600</v>
      </c>
      <c r="J11468" t="s">
        <v>278</v>
      </c>
      <c r="K11468">
        <v>43.44</v>
      </c>
      <c r="L11468">
        <v>8.83</v>
      </c>
      <c r="M11468">
        <v>56568</v>
      </c>
      <c r="N11468" t="s">
        <v>354</v>
      </c>
      <c r="O11468">
        <v>250704</v>
      </c>
      <c r="P11468">
        <v>34.61</v>
      </c>
    </row>
    <row r="11469" spans="1:16" x14ac:dyDescent="0.25">
      <c r="A11469" t="s">
        <v>3296</v>
      </c>
      <c r="B11469" t="s">
        <v>2931</v>
      </c>
      <c r="C11469">
        <v>10757</v>
      </c>
      <c r="D11469" t="str">
        <f>"71657039    "</f>
        <v xml:space="preserve">71657039    </v>
      </c>
      <c r="E11469" t="s">
        <v>616</v>
      </c>
      <c r="F11469" t="s">
        <v>617</v>
      </c>
      <c r="G11469">
        <v>43.44</v>
      </c>
      <c r="H11469">
        <v>250819</v>
      </c>
      <c r="I11469">
        <v>4600</v>
      </c>
      <c r="J11469" t="s">
        <v>278</v>
      </c>
      <c r="K11469">
        <v>43.44</v>
      </c>
      <c r="L11469">
        <v>8.83</v>
      </c>
      <c r="M11469">
        <v>56568</v>
      </c>
      <c r="N11469" t="s">
        <v>354</v>
      </c>
      <c r="O11469">
        <v>250822</v>
      </c>
      <c r="P11469">
        <v>34.61</v>
      </c>
    </row>
    <row r="11470" spans="1:16" x14ac:dyDescent="0.25">
      <c r="A11470" t="s">
        <v>3296</v>
      </c>
      <c r="B11470" t="s">
        <v>2931</v>
      </c>
      <c r="C11470">
        <v>12532</v>
      </c>
      <c r="D11470" t="str">
        <f>"71714846    "</f>
        <v xml:space="preserve">71714846    </v>
      </c>
      <c r="E11470" t="s">
        <v>616</v>
      </c>
      <c r="F11470" t="s">
        <v>617</v>
      </c>
      <c r="G11470">
        <v>173.74</v>
      </c>
      <c r="H11470">
        <v>250916</v>
      </c>
      <c r="I11470">
        <v>4600</v>
      </c>
      <c r="J11470" t="s">
        <v>278</v>
      </c>
      <c r="K11470">
        <v>173.74</v>
      </c>
      <c r="L11470">
        <v>35.299999999999997</v>
      </c>
      <c r="M11470">
        <v>56568</v>
      </c>
      <c r="N11470" t="s">
        <v>354</v>
      </c>
      <c r="O11470">
        <v>250926</v>
      </c>
      <c r="P11470">
        <v>138.44</v>
      </c>
    </row>
    <row r="11471" spans="1:16" x14ac:dyDescent="0.25">
      <c r="A11471" t="s">
        <v>3296</v>
      </c>
      <c r="B11471" t="s">
        <v>2931</v>
      </c>
      <c r="C11471">
        <v>15400</v>
      </c>
      <c r="D11471" t="str">
        <f>"71834915    "</f>
        <v xml:space="preserve">71834915    </v>
      </c>
      <c r="E11471" t="s">
        <v>616</v>
      </c>
      <c r="F11471" t="s">
        <v>617</v>
      </c>
      <c r="G11471">
        <v>173.74</v>
      </c>
      <c r="H11471">
        <v>251112</v>
      </c>
      <c r="I11471">
        <v>4600</v>
      </c>
      <c r="J11471" t="s">
        <v>278</v>
      </c>
      <c r="K11471">
        <v>173.74</v>
      </c>
      <c r="L11471">
        <v>35.299999999999997</v>
      </c>
      <c r="M11471">
        <v>56568</v>
      </c>
      <c r="N11471" t="s">
        <v>354</v>
      </c>
      <c r="O11471">
        <v>251120</v>
      </c>
      <c r="P11471">
        <v>138.44</v>
      </c>
    </row>
    <row r="11472" spans="1:16" x14ac:dyDescent="0.25">
      <c r="A11472" t="s">
        <v>3296</v>
      </c>
      <c r="B11472" t="s">
        <v>2931</v>
      </c>
      <c r="C11472">
        <v>15512</v>
      </c>
      <c r="D11472" t="str">
        <f>"71849952    "</f>
        <v xml:space="preserve">71849952    </v>
      </c>
      <c r="E11472" t="s">
        <v>616</v>
      </c>
      <c r="F11472" t="s">
        <v>617</v>
      </c>
      <c r="G11472">
        <v>49.9</v>
      </c>
      <c r="H11472">
        <v>251112</v>
      </c>
      <c r="I11472">
        <v>4600</v>
      </c>
      <c r="J11472" t="s">
        <v>278</v>
      </c>
      <c r="K11472">
        <v>49.9</v>
      </c>
      <c r="L11472">
        <v>10.14</v>
      </c>
      <c r="M11472">
        <v>17521</v>
      </c>
      <c r="N11472" t="s">
        <v>136</v>
      </c>
      <c r="O11472">
        <v>251121</v>
      </c>
      <c r="P11472">
        <v>39.76</v>
      </c>
    </row>
    <row r="11473" spans="1:16" x14ac:dyDescent="0.25">
      <c r="A11473" t="s">
        <v>3296</v>
      </c>
      <c r="B11473" t="s">
        <v>2931</v>
      </c>
      <c r="C11473">
        <v>16761</v>
      </c>
      <c r="D11473" t="str">
        <f>"71907257    "</f>
        <v xml:space="preserve">71907257    </v>
      </c>
      <c r="E11473" t="s">
        <v>616</v>
      </c>
      <c r="F11473" t="s">
        <v>617</v>
      </c>
      <c r="G11473">
        <v>49.9</v>
      </c>
      <c r="H11473">
        <v>251209</v>
      </c>
      <c r="I11473">
        <v>4600</v>
      </c>
      <c r="J11473" t="s">
        <v>278</v>
      </c>
      <c r="K11473">
        <v>49.9</v>
      </c>
      <c r="L11473">
        <v>10.14</v>
      </c>
      <c r="M11473">
        <v>17521</v>
      </c>
      <c r="N11473" t="s">
        <v>136</v>
      </c>
      <c r="O11473">
        <v>251211</v>
      </c>
      <c r="P11473">
        <v>39.76</v>
      </c>
    </row>
    <row r="11474" spans="1:16" x14ac:dyDescent="0.25">
      <c r="A11474" t="s">
        <v>3296</v>
      </c>
      <c r="B11474" t="s">
        <v>2931</v>
      </c>
      <c r="C11474">
        <v>16971</v>
      </c>
      <c r="D11474" t="str">
        <f>"71892223    "</f>
        <v xml:space="preserve">71892223    </v>
      </c>
      <c r="E11474" t="s">
        <v>616</v>
      </c>
      <c r="F11474" t="s">
        <v>617</v>
      </c>
      <c r="G11474">
        <v>173.74</v>
      </c>
      <c r="H11474">
        <v>251209</v>
      </c>
      <c r="I11474">
        <v>4600</v>
      </c>
      <c r="J11474" t="s">
        <v>278</v>
      </c>
      <c r="K11474">
        <v>173.74</v>
      </c>
      <c r="L11474">
        <v>35.299999999999997</v>
      </c>
      <c r="M11474">
        <v>56568</v>
      </c>
      <c r="N11474" t="s">
        <v>354</v>
      </c>
      <c r="O11474">
        <v>251216</v>
      </c>
      <c r="P11474">
        <v>138.44</v>
      </c>
    </row>
    <row r="11475" spans="1:16" x14ac:dyDescent="0.25">
      <c r="A11475" t="s">
        <v>3296</v>
      </c>
      <c r="B11475" t="s">
        <v>2931</v>
      </c>
      <c r="C11475">
        <v>18481</v>
      </c>
      <c r="D11475" t="str">
        <f>"71964657    "</f>
        <v xml:space="preserve">71964657    </v>
      </c>
      <c r="E11475" t="s">
        <v>616</v>
      </c>
      <c r="F11475" t="s">
        <v>617</v>
      </c>
      <c r="G11475">
        <v>37.42</v>
      </c>
      <c r="H11475">
        <v>251231</v>
      </c>
      <c r="I11475">
        <v>4600</v>
      </c>
      <c r="J11475" t="s">
        <v>278</v>
      </c>
      <c r="K11475">
        <v>37.42</v>
      </c>
      <c r="L11475">
        <v>7.6</v>
      </c>
      <c r="M11475">
        <v>17521</v>
      </c>
      <c r="N11475" t="s">
        <v>136</v>
      </c>
      <c r="O11475">
        <v>260114</v>
      </c>
      <c r="P11475">
        <v>29.82</v>
      </c>
    </row>
    <row r="11476" spans="1:16" x14ac:dyDescent="0.25">
      <c r="A11476" t="s">
        <v>3296</v>
      </c>
      <c r="B11476" t="s">
        <v>2931</v>
      </c>
      <c r="C11476">
        <v>1971</v>
      </c>
      <c r="D11476" t="str">
        <f>"71224424    "</f>
        <v xml:space="preserve">71224424    </v>
      </c>
      <c r="E11476" t="s">
        <v>616</v>
      </c>
      <c r="F11476" t="s">
        <v>617</v>
      </c>
      <c r="G11476">
        <v>35.14</v>
      </c>
      <c r="H11476">
        <v>250129</v>
      </c>
      <c r="I11476">
        <v>4842</v>
      </c>
      <c r="J11476" t="s">
        <v>15</v>
      </c>
      <c r="K11476">
        <v>43.42</v>
      </c>
      <c r="L11476">
        <v>7.14</v>
      </c>
      <c r="M11476">
        <v>17956</v>
      </c>
      <c r="N11476" t="s">
        <v>170</v>
      </c>
      <c r="O11476">
        <v>250218</v>
      </c>
      <c r="P11476">
        <v>28</v>
      </c>
    </row>
    <row r="11477" spans="1:16" x14ac:dyDescent="0.25">
      <c r="A11477" t="s">
        <v>3296</v>
      </c>
      <c r="B11477" t="s">
        <v>2931</v>
      </c>
      <c r="C11477">
        <v>1972</v>
      </c>
      <c r="D11477" t="str">
        <f>"71224427    "</f>
        <v xml:space="preserve">71224427    </v>
      </c>
      <c r="E11477" t="s">
        <v>616</v>
      </c>
      <c r="F11477" t="s">
        <v>617</v>
      </c>
      <c r="G11477">
        <v>19.329999999999998</v>
      </c>
      <c r="H11477">
        <v>250129</v>
      </c>
      <c r="I11477">
        <v>4842</v>
      </c>
      <c r="J11477" t="s">
        <v>15</v>
      </c>
      <c r="K11477">
        <v>54.47</v>
      </c>
      <c r="L11477">
        <v>3.93</v>
      </c>
      <c r="M11477">
        <v>17956</v>
      </c>
      <c r="N11477" t="s">
        <v>170</v>
      </c>
      <c r="O11477">
        <v>250218</v>
      </c>
      <c r="P11477">
        <v>15.4</v>
      </c>
    </row>
    <row r="11478" spans="1:16" x14ac:dyDescent="0.25">
      <c r="A11478" t="s">
        <v>3296</v>
      </c>
      <c r="B11478" t="s">
        <v>2931</v>
      </c>
      <c r="C11478">
        <v>1973</v>
      </c>
      <c r="D11478" t="str">
        <f>"71224426    "</f>
        <v xml:space="preserve">71224426    </v>
      </c>
      <c r="E11478" t="s">
        <v>616</v>
      </c>
      <c r="F11478" t="s">
        <v>617</v>
      </c>
      <c r="G11478">
        <v>13.81</v>
      </c>
      <c r="H11478">
        <v>250129</v>
      </c>
      <c r="I11478">
        <v>4842</v>
      </c>
      <c r="J11478" t="s">
        <v>15</v>
      </c>
      <c r="K11478">
        <v>13.81</v>
      </c>
      <c r="L11478">
        <v>2.81</v>
      </c>
      <c r="M11478">
        <v>17956</v>
      </c>
      <c r="N11478" t="s">
        <v>170</v>
      </c>
      <c r="O11478">
        <v>250218</v>
      </c>
      <c r="P11478">
        <v>11</v>
      </c>
    </row>
    <row r="11479" spans="1:16" x14ac:dyDescent="0.25">
      <c r="A11479" t="s">
        <v>3296</v>
      </c>
      <c r="B11479" t="s">
        <v>2931</v>
      </c>
      <c r="C11479">
        <v>1974</v>
      </c>
      <c r="D11479" t="str">
        <f>"71224423    "</f>
        <v xml:space="preserve">71224423    </v>
      </c>
      <c r="E11479" t="s">
        <v>616</v>
      </c>
      <c r="F11479" t="s">
        <v>617</v>
      </c>
      <c r="G11479">
        <v>18.22</v>
      </c>
      <c r="H11479">
        <v>250129</v>
      </c>
      <c r="I11479">
        <v>4842</v>
      </c>
      <c r="J11479" t="s">
        <v>15</v>
      </c>
      <c r="K11479">
        <v>1219.8599999999999</v>
      </c>
      <c r="L11479">
        <v>3.7</v>
      </c>
      <c r="M11479">
        <v>13540</v>
      </c>
      <c r="N11479" t="s">
        <v>131</v>
      </c>
      <c r="O11479">
        <v>250218</v>
      </c>
      <c r="P11479">
        <v>14.52</v>
      </c>
    </row>
    <row r="11480" spans="1:16" x14ac:dyDescent="0.25">
      <c r="A11480" t="s">
        <v>3296</v>
      </c>
      <c r="B11480" t="s">
        <v>2931</v>
      </c>
      <c r="C11480">
        <v>1974</v>
      </c>
      <c r="D11480" t="str">
        <f>"71224423    "</f>
        <v xml:space="preserve">71224423    </v>
      </c>
      <c r="E11480" t="s">
        <v>616</v>
      </c>
      <c r="F11480" t="s">
        <v>617</v>
      </c>
      <c r="G11480">
        <v>147.44</v>
      </c>
      <c r="H11480">
        <v>250129</v>
      </c>
      <c r="I11480">
        <v>4842</v>
      </c>
      <c r="J11480" t="s">
        <v>15</v>
      </c>
      <c r="K11480">
        <v>1219.8599999999999</v>
      </c>
      <c r="L11480">
        <v>29.96</v>
      </c>
      <c r="M11480">
        <v>17950</v>
      </c>
      <c r="N11480" t="s">
        <v>132</v>
      </c>
      <c r="O11480">
        <v>250218</v>
      </c>
      <c r="P11480">
        <v>117.48</v>
      </c>
    </row>
    <row r="11481" spans="1:16" x14ac:dyDescent="0.25">
      <c r="A11481" t="s">
        <v>3296</v>
      </c>
      <c r="B11481" t="s">
        <v>2931</v>
      </c>
      <c r="C11481">
        <v>2883</v>
      </c>
      <c r="D11481" t="str">
        <f>"71282861    "</f>
        <v xml:space="preserve">71282861    </v>
      </c>
      <c r="E11481" t="s">
        <v>616</v>
      </c>
      <c r="F11481" t="s">
        <v>617</v>
      </c>
      <c r="G11481">
        <v>19.329999999999998</v>
      </c>
      <c r="H11481">
        <v>250226</v>
      </c>
      <c r="I11481">
        <v>4842</v>
      </c>
      <c r="J11481" t="s">
        <v>15</v>
      </c>
      <c r="K11481">
        <v>74.55</v>
      </c>
      <c r="L11481">
        <v>3.93</v>
      </c>
      <c r="M11481">
        <v>17956</v>
      </c>
      <c r="N11481" t="s">
        <v>170</v>
      </c>
      <c r="O11481">
        <v>250312</v>
      </c>
      <c r="P11481">
        <v>15.4</v>
      </c>
    </row>
    <row r="11482" spans="1:16" x14ac:dyDescent="0.25">
      <c r="A11482" t="s">
        <v>3296</v>
      </c>
      <c r="B11482" t="s">
        <v>2931</v>
      </c>
      <c r="C11482">
        <v>2886</v>
      </c>
      <c r="D11482" t="str">
        <f>"71282858    "</f>
        <v xml:space="preserve">71282858    </v>
      </c>
      <c r="E11482" t="s">
        <v>616</v>
      </c>
      <c r="F11482" t="s">
        <v>617</v>
      </c>
      <c r="G11482">
        <v>13.81</v>
      </c>
      <c r="H11482">
        <v>250226</v>
      </c>
      <c r="I11482">
        <v>4842</v>
      </c>
      <c r="J11482" t="s">
        <v>15</v>
      </c>
      <c r="K11482">
        <v>79.069999999999993</v>
      </c>
      <c r="L11482">
        <v>2.81</v>
      </c>
      <c r="M11482">
        <v>17956</v>
      </c>
      <c r="N11482" t="s">
        <v>170</v>
      </c>
      <c r="O11482">
        <v>250312</v>
      </c>
      <c r="P11482">
        <v>11</v>
      </c>
    </row>
    <row r="11483" spans="1:16" x14ac:dyDescent="0.25">
      <c r="A11483" t="s">
        <v>3296</v>
      </c>
      <c r="B11483" t="s">
        <v>2931</v>
      </c>
      <c r="C11483">
        <v>2951</v>
      </c>
      <c r="D11483" t="str">
        <f>"71282855    "</f>
        <v xml:space="preserve">71282855    </v>
      </c>
      <c r="E11483" t="s">
        <v>616</v>
      </c>
      <c r="F11483" t="s">
        <v>617</v>
      </c>
      <c r="G11483">
        <v>18.22</v>
      </c>
      <c r="H11483">
        <v>250226</v>
      </c>
      <c r="I11483">
        <v>4842</v>
      </c>
      <c r="J11483" t="s">
        <v>15</v>
      </c>
      <c r="K11483">
        <v>165.66</v>
      </c>
      <c r="L11483">
        <v>3.7</v>
      </c>
      <c r="M11483">
        <v>13540</v>
      </c>
      <c r="N11483" t="s">
        <v>131</v>
      </c>
      <c r="O11483">
        <v>250313</v>
      </c>
      <c r="P11483">
        <v>14.52</v>
      </c>
    </row>
    <row r="11484" spans="1:16" x14ac:dyDescent="0.25">
      <c r="A11484" t="s">
        <v>3296</v>
      </c>
      <c r="B11484" t="s">
        <v>2931</v>
      </c>
      <c r="C11484">
        <v>2951</v>
      </c>
      <c r="D11484" t="str">
        <f>"71282855    "</f>
        <v xml:space="preserve">71282855    </v>
      </c>
      <c r="E11484" t="s">
        <v>616</v>
      </c>
      <c r="F11484" t="s">
        <v>617</v>
      </c>
      <c r="G11484">
        <v>147.44</v>
      </c>
      <c r="H11484">
        <v>250226</v>
      </c>
      <c r="I11484">
        <v>4842</v>
      </c>
      <c r="J11484" t="s">
        <v>15</v>
      </c>
      <c r="K11484">
        <v>165.66</v>
      </c>
      <c r="L11484">
        <v>29.96</v>
      </c>
      <c r="M11484">
        <v>17950</v>
      </c>
      <c r="N11484" t="s">
        <v>132</v>
      </c>
      <c r="O11484">
        <v>250313</v>
      </c>
      <c r="P11484">
        <v>117.48</v>
      </c>
    </row>
    <row r="11485" spans="1:16" x14ac:dyDescent="0.25">
      <c r="A11485" t="s">
        <v>3296</v>
      </c>
      <c r="B11485" t="s">
        <v>2931</v>
      </c>
      <c r="C11485">
        <v>2952</v>
      </c>
      <c r="D11485" t="str">
        <f>"71282863    "</f>
        <v xml:space="preserve">71282863    </v>
      </c>
      <c r="E11485" t="s">
        <v>616</v>
      </c>
      <c r="F11485" t="s">
        <v>617</v>
      </c>
      <c r="G11485">
        <v>8.2799999999999994</v>
      </c>
      <c r="H11485">
        <v>250226</v>
      </c>
      <c r="I11485">
        <v>4842</v>
      </c>
      <c r="J11485" t="s">
        <v>15</v>
      </c>
      <c r="K11485">
        <v>63.5</v>
      </c>
      <c r="L11485">
        <v>1.68</v>
      </c>
      <c r="M11485">
        <v>17956</v>
      </c>
      <c r="N11485" t="s">
        <v>170</v>
      </c>
      <c r="O11485">
        <v>250313</v>
      </c>
      <c r="P11485">
        <v>6.6</v>
      </c>
    </row>
    <row r="11486" spans="1:16" x14ac:dyDescent="0.25">
      <c r="A11486" t="s">
        <v>3296</v>
      </c>
      <c r="B11486" t="s">
        <v>2931</v>
      </c>
      <c r="C11486">
        <v>4675</v>
      </c>
      <c r="D11486" t="str">
        <f>"71341216    "</f>
        <v xml:space="preserve">71341216    </v>
      </c>
      <c r="E11486" t="s">
        <v>616</v>
      </c>
      <c r="F11486" t="s">
        <v>617</v>
      </c>
      <c r="G11486">
        <v>13.81</v>
      </c>
      <c r="H11486">
        <v>250326</v>
      </c>
      <c r="I11486">
        <v>4842</v>
      </c>
      <c r="J11486" t="s">
        <v>15</v>
      </c>
      <c r="K11486">
        <v>13.81</v>
      </c>
      <c r="L11486">
        <v>2.81</v>
      </c>
      <c r="M11486">
        <v>17956</v>
      </c>
      <c r="N11486" t="s">
        <v>170</v>
      </c>
      <c r="O11486">
        <v>250414</v>
      </c>
      <c r="P11486">
        <v>11</v>
      </c>
    </row>
    <row r="11487" spans="1:16" x14ac:dyDescent="0.25">
      <c r="A11487" t="s">
        <v>3296</v>
      </c>
      <c r="B11487" t="s">
        <v>2931</v>
      </c>
      <c r="C11487">
        <v>4685</v>
      </c>
      <c r="D11487" t="str">
        <f>"71341215    "</f>
        <v xml:space="preserve">71341215    </v>
      </c>
      <c r="E11487" t="s">
        <v>616</v>
      </c>
      <c r="F11487" t="s">
        <v>617</v>
      </c>
      <c r="G11487">
        <v>8.2799999999999994</v>
      </c>
      <c r="H11487">
        <v>250326</v>
      </c>
      <c r="I11487">
        <v>4842</v>
      </c>
      <c r="J11487" t="s">
        <v>15</v>
      </c>
      <c r="K11487">
        <v>68.52</v>
      </c>
      <c r="L11487">
        <v>1.68</v>
      </c>
      <c r="M11487">
        <v>17956</v>
      </c>
      <c r="N11487" t="s">
        <v>170</v>
      </c>
      <c r="O11487">
        <v>250414</v>
      </c>
      <c r="P11487">
        <v>6.6</v>
      </c>
    </row>
    <row r="11488" spans="1:16" x14ac:dyDescent="0.25">
      <c r="A11488" t="s">
        <v>3296</v>
      </c>
      <c r="B11488" t="s">
        <v>2931</v>
      </c>
      <c r="C11488">
        <v>5021</v>
      </c>
      <c r="D11488" t="str">
        <f>"71341226    "</f>
        <v xml:space="preserve">71341226    </v>
      </c>
      <c r="E11488" t="s">
        <v>616</v>
      </c>
      <c r="F11488" t="s">
        <v>617</v>
      </c>
      <c r="G11488">
        <v>19.32</v>
      </c>
      <c r="H11488">
        <v>250326</v>
      </c>
      <c r="I11488">
        <v>4842</v>
      </c>
      <c r="J11488" t="s">
        <v>15</v>
      </c>
      <c r="K11488">
        <v>74.55</v>
      </c>
      <c r="L11488">
        <v>3.93</v>
      </c>
      <c r="M11488">
        <v>17956</v>
      </c>
      <c r="N11488" t="s">
        <v>170</v>
      </c>
      <c r="O11488">
        <v>250416</v>
      </c>
      <c r="P11488">
        <v>15.39</v>
      </c>
    </row>
    <row r="11489" spans="1:16" x14ac:dyDescent="0.25">
      <c r="A11489" t="s">
        <v>3296</v>
      </c>
      <c r="B11489" t="s">
        <v>2931</v>
      </c>
      <c r="C11489">
        <v>5032</v>
      </c>
      <c r="D11489" t="str">
        <f>"71341213    "</f>
        <v xml:space="preserve">71341213    </v>
      </c>
      <c r="E11489" t="s">
        <v>616</v>
      </c>
      <c r="F11489" t="s">
        <v>617</v>
      </c>
      <c r="G11489">
        <v>18.55</v>
      </c>
      <c r="H11489">
        <v>250326</v>
      </c>
      <c r="I11489">
        <v>4842</v>
      </c>
      <c r="J11489" t="s">
        <v>15</v>
      </c>
      <c r="K11489">
        <v>795.92</v>
      </c>
      <c r="L11489">
        <v>3.77</v>
      </c>
      <c r="M11489">
        <v>13540</v>
      </c>
      <c r="N11489" t="s">
        <v>131</v>
      </c>
      <c r="O11489">
        <v>250416</v>
      </c>
      <c r="P11489">
        <v>14.78</v>
      </c>
    </row>
    <row r="11490" spans="1:16" x14ac:dyDescent="0.25">
      <c r="A11490" t="s">
        <v>3296</v>
      </c>
      <c r="B11490" t="s">
        <v>2931</v>
      </c>
      <c r="C11490">
        <v>5032</v>
      </c>
      <c r="D11490" t="str">
        <f>"71341213    "</f>
        <v xml:space="preserve">71341213    </v>
      </c>
      <c r="E11490" t="s">
        <v>616</v>
      </c>
      <c r="F11490" t="s">
        <v>617</v>
      </c>
      <c r="G11490">
        <v>149.88</v>
      </c>
      <c r="H11490">
        <v>250326</v>
      </c>
      <c r="I11490">
        <v>4842</v>
      </c>
      <c r="J11490" t="s">
        <v>15</v>
      </c>
      <c r="K11490">
        <v>795.92</v>
      </c>
      <c r="L11490">
        <v>30.45</v>
      </c>
      <c r="M11490">
        <v>17950</v>
      </c>
      <c r="N11490" t="s">
        <v>132</v>
      </c>
      <c r="O11490">
        <v>250416</v>
      </c>
      <c r="P11490">
        <v>119.43</v>
      </c>
    </row>
    <row r="11491" spans="1:16" x14ac:dyDescent="0.25">
      <c r="A11491" t="s">
        <v>3296</v>
      </c>
      <c r="B11491" t="s">
        <v>2931</v>
      </c>
      <c r="C11491">
        <v>6481</v>
      </c>
      <c r="D11491" t="str">
        <f>"71403957    "</f>
        <v xml:space="preserve">71403957    </v>
      </c>
      <c r="E11491" t="s">
        <v>616</v>
      </c>
      <c r="F11491" t="s">
        <v>617</v>
      </c>
      <c r="G11491">
        <v>13.8</v>
      </c>
      <c r="H11491">
        <v>250424</v>
      </c>
      <c r="I11491">
        <v>4842</v>
      </c>
      <c r="J11491" t="s">
        <v>15</v>
      </c>
      <c r="K11491">
        <v>79.069999999999993</v>
      </c>
      <c r="L11491">
        <v>2.8</v>
      </c>
      <c r="M11491">
        <v>17956</v>
      </c>
      <c r="N11491" t="s">
        <v>170</v>
      </c>
      <c r="O11491">
        <v>250513</v>
      </c>
      <c r="P11491">
        <v>11</v>
      </c>
    </row>
    <row r="11492" spans="1:16" x14ac:dyDescent="0.25">
      <c r="A11492" t="s">
        <v>3296</v>
      </c>
      <c r="B11492" t="s">
        <v>2931</v>
      </c>
      <c r="C11492">
        <v>6487</v>
      </c>
      <c r="D11492" t="str">
        <f>"71403965    "</f>
        <v xml:space="preserve">71403965    </v>
      </c>
      <c r="E11492" t="s">
        <v>616</v>
      </c>
      <c r="F11492" t="s">
        <v>617</v>
      </c>
      <c r="G11492">
        <v>19.32</v>
      </c>
      <c r="H11492">
        <v>250424</v>
      </c>
      <c r="I11492">
        <v>4842</v>
      </c>
      <c r="J11492" t="s">
        <v>15</v>
      </c>
      <c r="K11492">
        <v>74.55</v>
      </c>
      <c r="L11492">
        <v>3.93</v>
      </c>
      <c r="M11492">
        <v>17956</v>
      </c>
      <c r="N11492" t="s">
        <v>170</v>
      </c>
      <c r="O11492">
        <v>250513</v>
      </c>
      <c r="P11492">
        <v>15.39</v>
      </c>
    </row>
    <row r="11493" spans="1:16" x14ac:dyDescent="0.25">
      <c r="A11493" t="s">
        <v>3296</v>
      </c>
      <c r="B11493" t="s">
        <v>2931</v>
      </c>
      <c r="C11493">
        <v>6493</v>
      </c>
      <c r="D11493" t="str">
        <f>"71403953    "</f>
        <v xml:space="preserve">71403953    </v>
      </c>
      <c r="E11493" t="s">
        <v>616</v>
      </c>
      <c r="F11493" t="s">
        <v>617</v>
      </c>
      <c r="G11493">
        <v>19.43</v>
      </c>
      <c r="H11493">
        <v>250424</v>
      </c>
      <c r="I11493">
        <v>4842</v>
      </c>
      <c r="J11493" t="s">
        <v>15</v>
      </c>
      <c r="K11493">
        <v>779.1</v>
      </c>
      <c r="L11493">
        <v>3.95</v>
      </c>
      <c r="M11493">
        <v>13540</v>
      </c>
      <c r="N11493" t="s">
        <v>131</v>
      </c>
      <c r="O11493">
        <v>250513</v>
      </c>
      <c r="P11493">
        <v>15.48</v>
      </c>
    </row>
    <row r="11494" spans="1:16" x14ac:dyDescent="0.25">
      <c r="A11494" t="s">
        <v>3296</v>
      </c>
      <c r="B11494" t="s">
        <v>2931</v>
      </c>
      <c r="C11494">
        <v>6493</v>
      </c>
      <c r="D11494" t="str">
        <f>"71403953    "</f>
        <v xml:space="preserve">71403953    </v>
      </c>
      <c r="E11494" t="s">
        <v>616</v>
      </c>
      <c r="F11494" t="s">
        <v>617</v>
      </c>
      <c r="G11494">
        <v>157.27000000000001</v>
      </c>
      <c r="H11494">
        <v>250424</v>
      </c>
      <c r="I11494">
        <v>4842</v>
      </c>
      <c r="J11494" t="s">
        <v>15</v>
      </c>
      <c r="K11494">
        <v>779.1</v>
      </c>
      <c r="L11494">
        <v>31.96</v>
      </c>
      <c r="M11494">
        <v>17950</v>
      </c>
      <c r="N11494" t="s">
        <v>132</v>
      </c>
      <c r="O11494">
        <v>250513</v>
      </c>
      <c r="P11494">
        <v>125.31</v>
      </c>
    </row>
    <row r="11495" spans="1:16" x14ac:dyDescent="0.25">
      <c r="A11495" t="s">
        <v>3296</v>
      </c>
      <c r="B11495" t="s">
        <v>2931</v>
      </c>
      <c r="C11495">
        <v>6535</v>
      </c>
      <c r="D11495" t="str">
        <f>"71403955    "</f>
        <v xml:space="preserve">71403955    </v>
      </c>
      <c r="E11495" t="s">
        <v>616</v>
      </c>
      <c r="F11495" t="s">
        <v>617</v>
      </c>
      <c r="G11495">
        <v>8.2799999999999994</v>
      </c>
      <c r="H11495">
        <v>250424</v>
      </c>
      <c r="I11495">
        <v>4842</v>
      </c>
      <c r="J11495" t="s">
        <v>15</v>
      </c>
      <c r="K11495">
        <v>63.5</v>
      </c>
      <c r="L11495">
        <v>1.68</v>
      </c>
      <c r="M11495">
        <v>17956</v>
      </c>
      <c r="N11495" t="s">
        <v>170</v>
      </c>
      <c r="O11495">
        <v>250513</v>
      </c>
      <c r="P11495">
        <v>6.6</v>
      </c>
    </row>
    <row r="11496" spans="1:16" x14ac:dyDescent="0.25">
      <c r="A11496" t="s">
        <v>3296</v>
      </c>
      <c r="B11496" t="s">
        <v>2931</v>
      </c>
      <c r="C11496">
        <v>8414</v>
      </c>
      <c r="D11496" t="str">
        <f>"71462346    "</f>
        <v xml:space="preserve">71462346    </v>
      </c>
      <c r="E11496" t="s">
        <v>616</v>
      </c>
      <c r="F11496" t="s">
        <v>617</v>
      </c>
      <c r="G11496">
        <v>8.2799999999999994</v>
      </c>
      <c r="H11496">
        <v>250522</v>
      </c>
      <c r="I11496">
        <v>4842</v>
      </c>
      <c r="J11496" t="s">
        <v>15</v>
      </c>
      <c r="K11496">
        <v>58.48</v>
      </c>
      <c r="L11496">
        <v>1.68</v>
      </c>
      <c r="M11496">
        <v>17956</v>
      </c>
      <c r="N11496" t="s">
        <v>170</v>
      </c>
      <c r="O11496">
        <v>250613</v>
      </c>
      <c r="P11496">
        <v>6.6</v>
      </c>
    </row>
    <row r="11497" spans="1:16" x14ac:dyDescent="0.25">
      <c r="A11497" t="s">
        <v>3296</v>
      </c>
      <c r="B11497" t="s">
        <v>2931</v>
      </c>
      <c r="C11497">
        <v>8417</v>
      </c>
      <c r="D11497" t="str">
        <f>"71462347    "</f>
        <v xml:space="preserve">71462347    </v>
      </c>
      <c r="E11497" t="s">
        <v>616</v>
      </c>
      <c r="F11497" t="s">
        <v>617</v>
      </c>
      <c r="G11497">
        <v>19.440000000000001</v>
      </c>
      <c r="H11497">
        <v>250522</v>
      </c>
      <c r="I11497">
        <v>4842</v>
      </c>
      <c r="J11497" t="s">
        <v>15</v>
      </c>
      <c r="K11497">
        <v>728.9</v>
      </c>
      <c r="L11497">
        <v>3.95</v>
      </c>
      <c r="M11497">
        <v>13540</v>
      </c>
      <c r="N11497" t="s">
        <v>131</v>
      </c>
      <c r="O11497">
        <v>250613</v>
      </c>
      <c r="P11497">
        <v>15.49</v>
      </c>
    </row>
    <row r="11498" spans="1:16" x14ac:dyDescent="0.25">
      <c r="A11498" t="s">
        <v>3296</v>
      </c>
      <c r="B11498" t="s">
        <v>2931</v>
      </c>
      <c r="C11498">
        <v>8417</v>
      </c>
      <c r="D11498" t="str">
        <f>"71462347    "</f>
        <v xml:space="preserve">71462347    </v>
      </c>
      <c r="E11498" t="s">
        <v>616</v>
      </c>
      <c r="F11498" t="s">
        <v>617</v>
      </c>
      <c r="G11498">
        <v>157.26</v>
      </c>
      <c r="H11498">
        <v>250522</v>
      </c>
      <c r="I11498">
        <v>4842</v>
      </c>
      <c r="J11498" t="s">
        <v>15</v>
      </c>
      <c r="K11498">
        <v>728.9</v>
      </c>
      <c r="L11498">
        <v>31.95</v>
      </c>
      <c r="M11498">
        <v>17950</v>
      </c>
      <c r="N11498" t="s">
        <v>132</v>
      </c>
      <c r="O11498">
        <v>250613</v>
      </c>
      <c r="P11498">
        <v>125.31</v>
      </c>
    </row>
    <row r="11499" spans="1:16" x14ac:dyDescent="0.25">
      <c r="A11499" t="s">
        <v>3296</v>
      </c>
      <c r="B11499" t="s">
        <v>2931</v>
      </c>
      <c r="C11499">
        <v>8423</v>
      </c>
      <c r="D11499" t="str">
        <f>"71462344    "</f>
        <v xml:space="preserve">71462344    </v>
      </c>
      <c r="E11499" t="s">
        <v>616</v>
      </c>
      <c r="F11499" t="s">
        <v>617</v>
      </c>
      <c r="G11499">
        <v>184.99</v>
      </c>
      <c r="H11499">
        <v>250522</v>
      </c>
      <c r="I11499">
        <v>4842</v>
      </c>
      <c r="J11499" t="s">
        <v>15</v>
      </c>
      <c r="K11499">
        <v>190.01</v>
      </c>
      <c r="L11499">
        <v>37.590000000000003</v>
      </c>
      <c r="M11499">
        <v>17951</v>
      </c>
      <c r="N11499" t="s">
        <v>207</v>
      </c>
      <c r="O11499">
        <v>250613</v>
      </c>
      <c r="P11499">
        <v>147.4</v>
      </c>
    </row>
    <row r="11500" spans="1:16" x14ac:dyDescent="0.25">
      <c r="A11500" t="s">
        <v>3296</v>
      </c>
      <c r="B11500" t="s">
        <v>2931</v>
      </c>
      <c r="C11500">
        <v>8425</v>
      </c>
      <c r="D11500" t="str">
        <f>"71462351    "</f>
        <v xml:space="preserve">71462351    </v>
      </c>
      <c r="E11500" t="s">
        <v>616</v>
      </c>
      <c r="F11500" t="s">
        <v>617</v>
      </c>
      <c r="G11500">
        <v>19.329999999999998</v>
      </c>
      <c r="H11500">
        <v>250522</v>
      </c>
      <c r="I11500">
        <v>4842</v>
      </c>
      <c r="J11500" t="s">
        <v>15</v>
      </c>
      <c r="K11500">
        <v>49.45</v>
      </c>
      <c r="L11500">
        <v>3.93</v>
      </c>
      <c r="M11500">
        <v>17956</v>
      </c>
      <c r="N11500" t="s">
        <v>170</v>
      </c>
      <c r="O11500">
        <v>250613</v>
      </c>
      <c r="P11500">
        <v>15.4</v>
      </c>
    </row>
    <row r="11501" spans="1:16" x14ac:dyDescent="0.25">
      <c r="A11501" t="s">
        <v>3296</v>
      </c>
      <c r="B11501" t="s">
        <v>2931</v>
      </c>
      <c r="C11501">
        <v>8442</v>
      </c>
      <c r="D11501" t="str">
        <f>"71462352    "</f>
        <v xml:space="preserve">71462352    </v>
      </c>
      <c r="E11501" t="s">
        <v>616</v>
      </c>
      <c r="F11501" t="s">
        <v>617</v>
      </c>
      <c r="G11501">
        <v>13.81</v>
      </c>
      <c r="H11501">
        <v>250522</v>
      </c>
      <c r="I11501">
        <v>4842</v>
      </c>
      <c r="J11501" t="s">
        <v>15</v>
      </c>
      <c r="K11501">
        <v>79.069999999999993</v>
      </c>
      <c r="L11501">
        <v>2.81</v>
      </c>
      <c r="M11501">
        <v>17956</v>
      </c>
      <c r="N11501" t="s">
        <v>170</v>
      </c>
      <c r="O11501">
        <v>250613</v>
      </c>
      <c r="P11501">
        <v>11</v>
      </c>
    </row>
    <row r="11502" spans="1:16" x14ac:dyDescent="0.25">
      <c r="A11502" t="s">
        <v>3296</v>
      </c>
      <c r="B11502" t="s">
        <v>2931</v>
      </c>
      <c r="C11502">
        <v>10744</v>
      </c>
      <c r="D11502" t="str">
        <f>"71639772    "</f>
        <v xml:space="preserve">71639772    </v>
      </c>
      <c r="E11502" t="s">
        <v>616</v>
      </c>
      <c r="F11502" t="s">
        <v>617</v>
      </c>
      <c r="G11502">
        <v>3.45</v>
      </c>
      <c r="H11502">
        <v>250814</v>
      </c>
      <c r="I11502">
        <v>4842</v>
      </c>
      <c r="J11502" t="s">
        <v>15</v>
      </c>
      <c r="K11502">
        <v>3.45</v>
      </c>
      <c r="L11502">
        <v>0.7</v>
      </c>
      <c r="M11502">
        <v>17956</v>
      </c>
      <c r="N11502" t="s">
        <v>170</v>
      </c>
      <c r="O11502">
        <v>250821</v>
      </c>
      <c r="P11502">
        <v>2.75</v>
      </c>
    </row>
    <row r="11503" spans="1:16" x14ac:dyDescent="0.25">
      <c r="A11503" t="s">
        <v>3296</v>
      </c>
      <c r="B11503" t="s">
        <v>2931</v>
      </c>
      <c r="C11503">
        <v>12394</v>
      </c>
      <c r="D11503" t="str">
        <f>"71697494    "</f>
        <v xml:space="preserve">71697494    </v>
      </c>
      <c r="E11503" t="s">
        <v>616</v>
      </c>
      <c r="F11503" t="s">
        <v>617</v>
      </c>
      <c r="G11503">
        <v>40.17</v>
      </c>
      <c r="H11503">
        <v>250911</v>
      </c>
      <c r="I11503">
        <v>4842</v>
      </c>
      <c r="J11503" t="s">
        <v>15</v>
      </c>
      <c r="K11503">
        <v>53.97</v>
      </c>
      <c r="L11503">
        <v>8.16</v>
      </c>
      <c r="M11503">
        <v>17956</v>
      </c>
      <c r="N11503" t="s">
        <v>170</v>
      </c>
      <c r="O11503">
        <v>250919</v>
      </c>
      <c r="P11503">
        <v>32.01</v>
      </c>
    </row>
    <row r="11504" spans="1:16" x14ac:dyDescent="0.25">
      <c r="A11504" t="s">
        <v>3296</v>
      </c>
      <c r="B11504" t="s">
        <v>2931</v>
      </c>
      <c r="C11504">
        <v>12400</v>
      </c>
      <c r="D11504" t="str">
        <f>"71697495    "</f>
        <v xml:space="preserve">71697495    </v>
      </c>
      <c r="E11504" t="s">
        <v>616</v>
      </c>
      <c r="F11504" t="s">
        <v>617</v>
      </c>
      <c r="G11504">
        <v>19.329999999999998</v>
      </c>
      <c r="H11504">
        <v>250911</v>
      </c>
      <c r="I11504">
        <v>4842</v>
      </c>
      <c r="J11504" t="s">
        <v>15</v>
      </c>
      <c r="K11504">
        <v>49.45</v>
      </c>
      <c r="L11504">
        <v>3.93</v>
      </c>
      <c r="M11504">
        <v>17956</v>
      </c>
      <c r="N11504" t="s">
        <v>170</v>
      </c>
      <c r="O11504">
        <v>250919</v>
      </c>
      <c r="P11504">
        <v>15.4</v>
      </c>
    </row>
    <row r="11505" spans="1:16" x14ac:dyDescent="0.25">
      <c r="A11505" t="s">
        <v>3296</v>
      </c>
      <c r="B11505" t="s">
        <v>2931</v>
      </c>
      <c r="C11505">
        <v>12402</v>
      </c>
      <c r="D11505" t="str">
        <f>"71697497    "</f>
        <v xml:space="preserve">71697497    </v>
      </c>
      <c r="E11505" t="s">
        <v>616</v>
      </c>
      <c r="F11505" t="s">
        <v>617</v>
      </c>
      <c r="G11505">
        <v>8.2799999999999994</v>
      </c>
      <c r="H11505">
        <v>250911</v>
      </c>
      <c r="I11505">
        <v>4842</v>
      </c>
      <c r="J11505" t="s">
        <v>15</v>
      </c>
      <c r="K11505">
        <v>58.48</v>
      </c>
      <c r="L11505">
        <v>1.68</v>
      </c>
      <c r="M11505">
        <v>17956</v>
      </c>
      <c r="N11505" t="s">
        <v>170</v>
      </c>
      <c r="O11505">
        <v>250919</v>
      </c>
      <c r="P11505">
        <v>6.6</v>
      </c>
    </row>
    <row r="11506" spans="1:16" x14ac:dyDescent="0.25">
      <c r="A11506" t="s">
        <v>3296</v>
      </c>
      <c r="B11506" t="s">
        <v>2931</v>
      </c>
      <c r="C11506">
        <v>12406</v>
      </c>
      <c r="D11506" t="str">
        <f>"71697492    "</f>
        <v xml:space="preserve">71697492    </v>
      </c>
      <c r="E11506" t="s">
        <v>616</v>
      </c>
      <c r="F11506" t="s">
        <v>617</v>
      </c>
      <c r="G11506">
        <v>19.440000000000001</v>
      </c>
      <c r="H11506">
        <v>250911</v>
      </c>
      <c r="I11506">
        <v>4842</v>
      </c>
      <c r="J11506" t="s">
        <v>15</v>
      </c>
      <c r="K11506">
        <v>713.84</v>
      </c>
      <c r="L11506">
        <v>3.95</v>
      </c>
      <c r="M11506">
        <v>13540</v>
      </c>
      <c r="N11506" t="s">
        <v>131</v>
      </c>
      <c r="O11506">
        <v>250919</v>
      </c>
      <c r="P11506">
        <v>15.49</v>
      </c>
    </row>
    <row r="11507" spans="1:16" x14ac:dyDescent="0.25">
      <c r="A11507" t="s">
        <v>3296</v>
      </c>
      <c r="B11507" t="s">
        <v>2931</v>
      </c>
      <c r="C11507">
        <v>12406</v>
      </c>
      <c r="D11507" t="str">
        <f>"71697492    "</f>
        <v xml:space="preserve">71697492    </v>
      </c>
      <c r="E11507" t="s">
        <v>616</v>
      </c>
      <c r="F11507" t="s">
        <v>617</v>
      </c>
      <c r="G11507">
        <v>156.6</v>
      </c>
      <c r="H11507">
        <v>250911</v>
      </c>
      <c r="I11507">
        <v>4842</v>
      </c>
      <c r="J11507" t="s">
        <v>15</v>
      </c>
      <c r="K11507">
        <v>713.84</v>
      </c>
      <c r="L11507">
        <v>31.82</v>
      </c>
      <c r="M11507">
        <v>17950</v>
      </c>
      <c r="N11507" t="s">
        <v>132</v>
      </c>
      <c r="O11507">
        <v>250919</v>
      </c>
      <c r="P11507">
        <v>124.78</v>
      </c>
    </row>
    <row r="11508" spans="1:16" x14ac:dyDescent="0.25">
      <c r="A11508" t="s">
        <v>3296</v>
      </c>
      <c r="B11508" t="s">
        <v>2931</v>
      </c>
      <c r="C11508">
        <v>13870</v>
      </c>
      <c r="D11508" t="str">
        <f>"71755651    "</f>
        <v xml:space="preserve">71755651    </v>
      </c>
      <c r="E11508" t="s">
        <v>616</v>
      </c>
      <c r="F11508" t="s">
        <v>617</v>
      </c>
      <c r="G11508">
        <v>19.440000000000001</v>
      </c>
      <c r="H11508">
        <v>251009</v>
      </c>
      <c r="I11508">
        <v>4842</v>
      </c>
      <c r="J11508" t="s">
        <v>15</v>
      </c>
      <c r="K11508">
        <v>1195.76</v>
      </c>
      <c r="L11508">
        <v>3.95</v>
      </c>
      <c r="M11508">
        <v>13540</v>
      </c>
      <c r="N11508" t="s">
        <v>131</v>
      </c>
      <c r="O11508">
        <v>251020</v>
      </c>
      <c r="P11508">
        <v>15.49</v>
      </c>
    </row>
    <row r="11509" spans="1:16" x14ac:dyDescent="0.25">
      <c r="A11509" t="s">
        <v>3296</v>
      </c>
      <c r="B11509" t="s">
        <v>2931</v>
      </c>
      <c r="C11509">
        <v>13870</v>
      </c>
      <c r="D11509" t="str">
        <f>"71755651    "</f>
        <v xml:space="preserve">71755651    </v>
      </c>
      <c r="E11509" t="s">
        <v>616</v>
      </c>
      <c r="F11509" t="s">
        <v>617</v>
      </c>
      <c r="G11509">
        <v>24.74</v>
      </c>
      <c r="H11509">
        <v>251009</v>
      </c>
      <c r="I11509">
        <v>4842</v>
      </c>
      <c r="J11509" t="s">
        <v>15</v>
      </c>
      <c r="K11509">
        <v>1195.76</v>
      </c>
      <c r="L11509">
        <v>5.03</v>
      </c>
      <c r="M11509">
        <v>17950</v>
      </c>
      <c r="N11509" t="s">
        <v>132</v>
      </c>
      <c r="O11509">
        <v>251020</v>
      </c>
      <c r="P11509">
        <v>19.71</v>
      </c>
    </row>
    <row r="11510" spans="1:16" x14ac:dyDescent="0.25">
      <c r="A11510" t="s">
        <v>3296</v>
      </c>
      <c r="B11510" t="s">
        <v>2931</v>
      </c>
      <c r="C11510">
        <v>13870</v>
      </c>
      <c r="D11510" t="str">
        <f>"71755651    "</f>
        <v xml:space="preserve">71755651    </v>
      </c>
      <c r="E11510" t="s">
        <v>616</v>
      </c>
      <c r="F11510" t="s">
        <v>617</v>
      </c>
      <c r="G11510">
        <v>132.52000000000001</v>
      </c>
      <c r="H11510">
        <v>251009</v>
      </c>
      <c r="I11510">
        <v>4842</v>
      </c>
      <c r="J11510" t="s">
        <v>15</v>
      </c>
      <c r="K11510">
        <v>1195.76</v>
      </c>
      <c r="L11510">
        <v>26.93</v>
      </c>
      <c r="M11510">
        <v>17950</v>
      </c>
      <c r="N11510" t="s">
        <v>132</v>
      </c>
      <c r="O11510">
        <v>251020</v>
      </c>
      <c r="P11510">
        <v>105.59</v>
      </c>
    </row>
    <row r="11511" spans="1:16" x14ac:dyDescent="0.25">
      <c r="A11511" t="s">
        <v>3296</v>
      </c>
      <c r="B11511" t="s">
        <v>2931</v>
      </c>
      <c r="C11511">
        <v>13903</v>
      </c>
      <c r="D11511" t="str">
        <f>"71755656    "</f>
        <v xml:space="preserve">71755656    </v>
      </c>
      <c r="E11511" t="s">
        <v>616</v>
      </c>
      <c r="F11511" t="s">
        <v>617</v>
      </c>
      <c r="G11511">
        <v>8.2799999999999994</v>
      </c>
      <c r="H11511">
        <v>251009</v>
      </c>
      <c r="I11511">
        <v>4842</v>
      </c>
      <c r="J11511" t="s">
        <v>15</v>
      </c>
      <c r="K11511">
        <v>58.48</v>
      </c>
      <c r="L11511">
        <v>1.68</v>
      </c>
      <c r="M11511">
        <v>17956</v>
      </c>
      <c r="N11511" t="s">
        <v>170</v>
      </c>
      <c r="O11511">
        <v>251020</v>
      </c>
      <c r="P11511">
        <v>6.6</v>
      </c>
    </row>
    <row r="11512" spans="1:16" x14ac:dyDescent="0.25">
      <c r="A11512" t="s">
        <v>3296</v>
      </c>
      <c r="B11512" t="s">
        <v>2931</v>
      </c>
      <c r="C11512">
        <v>13906</v>
      </c>
      <c r="D11512" t="str">
        <f>"71755653    "</f>
        <v xml:space="preserve">71755653    </v>
      </c>
      <c r="E11512" t="s">
        <v>616</v>
      </c>
      <c r="F11512" t="s">
        <v>617</v>
      </c>
      <c r="G11512">
        <v>13.81</v>
      </c>
      <c r="H11512">
        <v>251009</v>
      </c>
      <c r="I11512">
        <v>4842</v>
      </c>
      <c r="J11512" t="s">
        <v>15</v>
      </c>
      <c r="K11512">
        <v>13.81</v>
      </c>
      <c r="L11512">
        <v>2.81</v>
      </c>
      <c r="M11512">
        <v>17956</v>
      </c>
      <c r="N11512" t="s">
        <v>170</v>
      </c>
      <c r="O11512">
        <v>251020</v>
      </c>
      <c r="P11512">
        <v>11</v>
      </c>
    </row>
    <row r="11513" spans="1:16" x14ac:dyDescent="0.25">
      <c r="A11513" t="s">
        <v>3296</v>
      </c>
      <c r="B11513" t="s">
        <v>2931</v>
      </c>
      <c r="C11513">
        <v>13912</v>
      </c>
      <c r="D11513" t="str">
        <f>"71755657    "</f>
        <v xml:space="preserve">71755657    </v>
      </c>
      <c r="E11513" t="s">
        <v>616</v>
      </c>
      <c r="F11513" t="s">
        <v>617</v>
      </c>
      <c r="G11513">
        <v>19.329999999999998</v>
      </c>
      <c r="H11513">
        <v>251009</v>
      </c>
      <c r="I11513">
        <v>4842</v>
      </c>
      <c r="J11513" t="s">
        <v>15</v>
      </c>
      <c r="K11513">
        <v>59.49</v>
      </c>
      <c r="L11513">
        <v>3.93</v>
      </c>
      <c r="M11513">
        <v>17956</v>
      </c>
      <c r="N11513" t="s">
        <v>170</v>
      </c>
      <c r="O11513">
        <v>251020</v>
      </c>
      <c r="P11513">
        <v>15.4</v>
      </c>
    </row>
    <row r="11514" spans="1:16" x14ac:dyDescent="0.25">
      <c r="A11514" t="s">
        <v>3296</v>
      </c>
      <c r="B11514" t="s">
        <v>2931</v>
      </c>
      <c r="C11514">
        <v>15278</v>
      </c>
      <c r="D11514" t="str">
        <f>"71815967    "</f>
        <v xml:space="preserve">71815967    </v>
      </c>
      <c r="E11514" t="s">
        <v>616</v>
      </c>
      <c r="F11514" t="s">
        <v>617</v>
      </c>
      <c r="G11514">
        <v>19.440000000000001</v>
      </c>
      <c r="H11514">
        <v>251031</v>
      </c>
      <c r="I11514">
        <v>4842</v>
      </c>
      <c r="J11514" t="s">
        <v>15</v>
      </c>
      <c r="K11514">
        <v>804.2</v>
      </c>
      <c r="L11514">
        <v>3.95</v>
      </c>
      <c r="M11514">
        <v>13540</v>
      </c>
      <c r="N11514" t="s">
        <v>131</v>
      </c>
      <c r="O11514">
        <v>251117</v>
      </c>
      <c r="P11514">
        <v>15.49</v>
      </c>
    </row>
    <row r="11515" spans="1:16" x14ac:dyDescent="0.25">
      <c r="A11515" t="s">
        <v>3296</v>
      </c>
      <c r="B11515" t="s">
        <v>2931</v>
      </c>
      <c r="C11515">
        <v>15278</v>
      </c>
      <c r="D11515" t="str">
        <f>"71815967    "</f>
        <v xml:space="preserve">71815967    </v>
      </c>
      <c r="E11515" t="s">
        <v>616</v>
      </c>
      <c r="F11515" t="s">
        <v>617</v>
      </c>
      <c r="G11515">
        <v>132.52000000000001</v>
      </c>
      <c r="H11515">
        <v>251031</v>
      </c>
      <c r="I11515">
        <v>4842</v>
      </c>
      <c r="J11515" t="s">
        <v>15</v>
      </c>
      <c r="K11515">
        <v>804.2</v>
      </c>
      <c r="L11515">
        <v>26.93</v>
      </c>
      <c r="M11515">
        <v>17950</v>
      </c>
      <c r="N11515" t="s">
        <v>132</v>
      </c>
      <c r="O11515">
        <v>251117</v>
      </c>
      <c r="P11515">
        <v>105.59</v>
      </c>
    </row>
    <row r="11516" spans="1:16" x14ac:dyDescent="0.25">
      <c r="A11516" t="s">
        <v>3296</v>
      </c>
      <c r="B11516" t="s">
        <v>2931</v>
      </c>
      <c r="C11516">
        <v>15278</v>
      </c>
      <c r="D11516" t="str">
        <f>"71815967    "</f>
        <v xml:space="preserve">71815967    </v>
      </c>
      <c r="E11516" t="s">
        <v>616</v>
      </c>
      <c r="F11516" t="s">
        <v>617</v>
      </c>
      <c r="G11516">
        <v>24.74</v>
      </c>
      <c r="H11516">
        <v>251031</v>
      </c>
      <c r="I11516">
        <v>4842</v>
      </c>
      <c r="J11516" t="s">
        <v>15</v>
      </c>
      <c r="K11516">
        <v>804.2</v>
      </c>
      <c r="L11516">
        <v>5.03</v>
      </c>
      <c r="M11516">
        <v>17956</v>
      </c>
      <c r="N11516" t="s">
        <v>170</v>
      </c>
      <c r="O11516">
        <v>251117</v>
      </c>
      <c r="P11516">
        <v>19.71</v>
      </c>
    </row>
    <row r="11517" spans="1:16" x14ac:dyDescent="0.25">
      <c r="A11517" t="s">
        <v>3296</v>
      </c>
      <c r="B11517" t="s">
        <v>2931</v>
      </c>
      <c r="C11517">
        <v>15280</v>
      </c>
      <c r="D11517" t="str">
        <f>"71815961    "</f>
        <v xml:space="preserve">71815961    </v>
      </c>
      <c r="E11517" t="s">
        <v>616</v>
      </c>
      <c r="F11517" t="s">
        <v>617</v>
      </c>
      <c r="G11517">
        <v>8.2799999999999994</v>
      </c>
      <c r="H11517">
        <v>251031</v>
      </c>
      <c r="I11517">
        <v>4842</v>
      </c>
      <c r="J11517" t="s">
        <v>15</v>
      </c>
      <c r="K11517">
        <v>33.380000000000003</v>
      </c>
      <c r="L11517">
        <v>1.68</v>
      </c>
      <c r="M11517">
        <v>17956</v>
      </c>
      <c r="N11517" t="s">
        <v>170</v>
      </c>
      <c r="O11517">
        <v>251117</v>
      </c>
      <c r="P11517">
        <v>6.6</v>
      </c>
    </row>
    <row r="11518" spans="1:16" x14ac:dyDescent="0.25">
      <c r="A11518" t="s">
        <v>3296</v>
      </c>
      <c r="B11518" t="s">
        <v>2931</v>
      </c>
      <c r="C11518">
        <v>15288</v>
      </c>
      <c r="D11518" t="str">
        <f>"71815965    "</f>
        <v xml:space="preserve">71815965    </v>
      </c>
      <c r="E11518" t="s">
        <v>616</v>
      </c>
      <c r="F11518" t="s">
        <v>617</v>
      </c>
      <c r="G11518">
        <v>25.1</v>
      </c>
      <c r="H11518">
        <v>251031</v>
      </c>
      <c r="I11518">
        <v>4842</v>
      </c>
      <c r="J11518" t="s">
        <v>15</v>
      </c>
      <c r="K11518">
        <v>44.43</v>
      </c>
      <c r="L11518">
        <v>5.0999999999999996</v>
      </c>
      <c r="M11518">
        <v>17956</v>
      </c>
      <c r="N11518" t="s">
        <v>170</v>
      </c>
      <c r="O11518">
        <v>251117</v>
      </c>
      <c r="P11518">
        <v>20</v>
      </c>
    </row>
    <row r="11519" spans="1:16" x14ac:dyDescent="0.25">
      <c r="A11519" t="s">
        <v>3296</v>
      </c>
      <c r="B11519" t="s">
        <v>2931</v>
      </c>
      <c r="C11519">
        <v>15289</v>
      </c>
      <c r="D11519" t="str">
        <f>"71815956    "</f>
        <v xml:space="preserve">71815956    </v>
      </c>
      <c r="E11519" t="s">
        <v>616</v>
      </c>
      <c r="F11519" t="s">
        <v>617</v>
      </c>
      <c r="G11519">
        <v>13.81</v>
      </c>
      <c r="H11519">
        <v>251031</v>
      </c>
      <c r="I11519">
        <v>4842</v>
      </c>
      <c r="J11519" t="s">
        <v>15</v>
      </c>
      <c r="K11519">
        <v>13.81</v>
      </c>
      <c r="L11519">
        <v>2.81</v>
      </c>
      <c r="M11519">
        <v>17956</v>
      </c>
      <c r="N11519" t="s">
        <v>170</v>
      </c>
      <c r="O11519">
        <v>251117</v>
      </c>
      <c r="P11519">
        <v>11</v>
      </c>
    </row>
    <row r="11520" spans="1:16" x14ac:dyDescent="0.25">
      <c r="A11520" t="s">
        <v>3296</v>
      </c>
      <c r="B11520" t="s">
        <v>2931</v>
      </c>
      <c r="C11520">
        <v>16771</v>
      </c>
      <c r="D11520" t="str">
        <f>"71875463    "</f>
        <v xml:space="preserve">71875463    </v>
      </c>
      <c r="E11520" t="s">
        <v>616</v>
      </c>
      <c r="F11520" t="s">
        <v>617</v>
      </c>
      <c r="G11520">
        <v>19.440000000000001</v>
      </c>
      <c r="H11520">
        <v>251130</v>
      </c>
      <c r="I11520">
        <v>4842</v>
      </c>
      <c r="J11520" t="s">
        <v>15</v>
      </c>
      <c r="K11520">
        <v>1030.0999999999999</v>
      </c>
      <c r="L11520">
        <v>3.95</v>
      </c>
      <c r="M11520">
        <v>13540</v>
      </c>
      <c r="N11520" t="s">
        <v>131</v>
      </c>
      <c r="O11520">
        <v>251211</v>
      </c>
      <c r="P11520">
        <v>15.49</v>
      </c>
    </row>
    <row r="11521" spans="1:16" x14ac:dyDescent="0.25">
      <c r="A11521" t="s">
        <v>3296</v>
      </c>
      <c r="B11521" t="s">
        <v>2931</v>
      </c>
      <c r="C11521">
        <v>16771</v>
      </c>
      <c r="D11521" t="str">
        <f>"71875463    "</f>
        <v xml:space="preserve">71875463    </v>
      </c>
      <c r="E11521" t="s">
        <v>616</v>
      </c>
      <c r="F11521" t="s">
        <v>617</v>
      </c>
      <c r="G11521">
        <v>132.52000000000001</v>
      </c>
      <c r="H11521">
        <v>251130</v>
      </c>
      <c r="I11521">
        <v>4842</v>
      </c>
      <c r="J11521" t="s">
        <v>15</v>
      </c>
      <c r="K11521">
        <v>1030.0999999999999</v>
      </c>
      <c r="L11521">
        <v>26.93</v>
      </c>
      <c r="M11521">
        <v>17950</v>
      </c>
      <c r="N11521" t="s">
        <v>132</v>
      </c>
      <c r="O11521">
        <v>251211</v>
      </c>
      <c r="P11521">
        <v>105.59</v>
      </c>
    </row>
    <row r="11522" spans="1:16" x14ac:dyDescent="0.25">
      <c r="A11522" t="s">
        <v>3296</v>
      </c>
      <c r="B11522" t="s">
        <v>2931</v>
      </c>
      <c r="C11522">
        <v>16771</v>
      </c>
      <c r="D11522" t="str">
        <f>"71875463    "</f>
        <v xml:space="preserve">71875463    </v>
      </c>
      <c r="E11522" t="s">
        <v>616</v>
      </c>
      <c r="F11522" t="s">
        <v>617</v>
      </c>
      <c r="G11522">
        <v>24.74</v>
      </c>
      <c r="H11522">
        <v>251130</v>
      </c>
      <c r="I11522">
        <v>4842</v>
      </c>
      <c r="J11522" t="s">
        <v>15</v>
      </c>
      <c r="K11522">
        <v>1030.0999999999999</v>
      </c>
      <c r="L11522">
        <v>5.03</v>
      </c>
      <c r="M11522">
        <v>17956</v>
      </c>
      <c r="N11522" t="s">
        <v>170</v>
      </c>
      <c r="O11522">
        <v>251211</v>
      </c>
      <c r="P11522">
        <v>19.71</v>
      </c>
    </row>
    <row r="11523" spans="1:16" x14ac:dyDescent="0.25">
      <c r="A11523" t="s">
        <v>3296</v>
      </c>
      <c r="B11523" t="s">
        <v>2931</v>
      </c>
      <c r="C11523">
        <v>16773</v>
      </c>
      <c r="D11523" t="str">
        <f>"71875465    "</f>
        <v xml:space="preserve">71875465    </v>
      </c>
      <c r="E11523" t="s">
        <v>616</v>
      </c>
      <c r="F11523" t="s">
        <v>617</v>
      </c>
      <c r="G11523">
        <v>8.2799999999999994</v>
      </c>
      <c r="H11523">
        <v>251130</v>
      </c>
      <c r="I11523">
        <v>4842</v>
      </c>
      <c r="J11523" t="s">
        <v>15</v>
      </c>
      <c r="K11523">
        <v>58.48</v>
      </c>
      <c r="L11523">
        <v>1.68</v>
      </c>
      <c r="M11523">
        <v>17956</v>
      </c>
      <c r="N11523" t="s">
        <v>170</v>
      </c>
      <c r="O11523">
        <v>251211</v>
      </c>
      <c r="P11523">
        <v>6.6</v>
      </c>
    </row>
    <row r="11524" spans="1:16" x14ac:dyDescent="0.25">
      <c r="A11524" t="s">
        <v>3296</v>
      </c>
      <c r="B11524" t="s">
        <v>2931</v>
      </c>
      <c r="C11524">
        <v>16778</v>
      </c>
      <c r="D11524" t="str">
        <f>"71875466    "</f>
        <v xml:space="preserve">71875466    </v>
      </c>
      <c r="E11524" t="s">
        <v>616</v>
      </c>
      <c r="F11524" t="s">
        <v>617</v>
      </c>
      <c r="G11524">
        <v>13.8</v>
      </c>
      <c r="H11524">
        <v>251130</v>
      </c>
      <c r="I11524">
        <v>4842</v>
      </c>
      <c r="J11524" t="s">
        <v>15</v>
      </c>
      <c r="K11524">
        <v>38.909999999999997</v>
      </c>
      <c r="L11524">
        <v>2.8</v>
      </c>
      <c r="M11524">
        <v>17956</v>
      </c>
      <c r="N11524" t="s">
        <v>170</v>
      </c>
      <c r="O11524">
        <v>251211</v>
      </c>
      <c r="P11524">
        <v>11</v>
      </c>
    </row>
    <row r="11525" spans="1:16" x14ac:dyDescent="0.25">
      <c r="A11525" t="s">
        <v>3296</v>
      </c>
      <c r="B11525" t="s">
        <v>2931</v>
      </c>
      <c r="C11525">
        <v>16829</v>
      </c>
      <c r="D11525" t="str">
        <f>"71875469    "</f>
        <v xml:space="preserve">71875469    </v>
      </c>
      <c r="E11525" t="s">
        <v>616</v>
      </c>
      <c r="F11525" t="s">
        <v>617</v>
      </c>
      <c r="G11525">
        <v>19.329999999999998</v>
      </c>
      <c r="H11525">
        <v>251130</v>
      </c>
      <c r="I11525">
        <v>4842</v>
      </c>
      <c r="J11525" t="s">
        <v>15</v>
      </c>
      <c r="K11525">
        <v>64.510000000000005</v>
      </c>
      <c r="L11525">
        <v>3.93</v>
      </c>
      <c r="M11525">
        <v>17956</v>
      </c>
      <c r="N11525" t="s">
        <v>170</v>
      </c>
      <c r="O11525">
        <v>251212</v>
      </c>
      <c r="P11525">
        <v>15.4</v>
      </c>
    </row>
    <row r="11526" spans="1:16" x14ac:dyDescent="0.25">
      <c r="A11526" t="s">
        <v>3296</v>
      </c>
      <c r="B11526" t="s">
        <v>2931</v>
      </c>
      <c r="C11526">
        <v>18332</v>
      </c>
      <c r="D11526" t="str">
        <f>"71929762    "</f>
        <v xml:space="preserve">71929762    </v>
      </c>
      <c r="E11526" t="s">
        <v>616</v>
      </c>
      <c r="F11526" t="s">
        <v>617</v>
      </c>
      <c r="G11526">
        <v>8.2799999999999994</v>
      </c>
      <c r="H11526">
        <v>251231</v>
      </c>
      <c r="I11526">
        <v>4842</v>
      </c>
      <c r="J11526" t="s">
        <v>15</v>
      </c>
      <c r="K11526">
        <v>38.4</v>
      </c>
      <c r="L11526">
        <v>1.68</v>
      </c>
      <c r="M11526">
        <v>17956</v>
      </c>
      <c r="N11526" t="s">
        <v>170</v>
      </c>
      <c r="O11526">
        <v>260113</v>
      </c>
      <c r="P11526">
        <v>6.6</v>
      </c>
    </row>
    <row r="11527" spans="1:16" x14ac:dyDescent="0.25">
      <c r="A11527" t="s">
        <v>3296</v>
      </c>
      <c r="B11527" t="s">
        <v>2931</v>
      </c>
      <c r="C11527">
        <v>18340</v>
      </c>
      <c r="D11527" t="str">
        <f>"71929760    "</f>
        <v xml:space="preserve">71929760    </v>
      </c>
      <c r="E11527" t="s">
        <v>616</v>
      </c>
      <c r="F11527" t="s">
        <v>617</v>
      </c>
      <c r="G11527">
        <v>30.12</v>
      </c>
      <c r="H11527">
        <v>251231</v>
      </c>
      <c r="I11527">
        <v>4842</v>
      </c>
      <c r="J11527" t="s">
        <v>15</v>
      </c>
      <c r="K11527">
        <v>49.45</v>
      </c>
      <c r="L11527">
        <v>6.12</v>
      </c>
      <c r="M11527">
        <v>17956</v>
      </c>
      <c r="N11527" t="s">
        <v>170</v>
      </c>
      <c r="O11527">
        <v>260113</v>
      </c>
      <c r="P11527">
        <v>24</v>
      </c>
    </row>
    <row r="11528" spans="1:16" x14ac:dyDescent="0.25">
      <c r="A11528" t="s">
        <v>3296</v>
      </c>
      <c r="B11528" t="s">
        <v>2931</v>
      </c>
      <c r="C11528">
        <v>18342</v>
      </c>
      <c r="D11528" t="str">
        <f>"71929764    "</f>
        <v xml:space="preserve">71929764    </v>
      </c>
      <c r="E11528" t="s">
        <v>616</v>
      </c>
      <c r="F11528" t="s">
        <v>617</v>
      </c>
      <c r="G11528">
        <v>35.15</v>
      </c>
      <c r="H11528">
        <v>251231</v>
      </c>
      <c r="I11528">
        <v>4842</v>
      </c>
      <c r="J11528" t="s">
        <v>15</v>
      </c>
      <c r="K11528">
        <v>48.95</v>
      </c>
      <c r="L11528">
        <v>7.14</v>
      </c>
      <c r="M11528">
        <v>17956</v>
      </c>
      <c r="N11528" t="s">
        <v>170</v>
      </c>
      <c r="O11528">
        <v>260113</v>
      </c>
      <c r="P11528">
        <v>28.01</v>
      </c>
    </row>
    <row r="11529" spans="1:16" x14ac:dyDescent="0.25">
      <c r="A11529" t="s">
        <v>3296</v>
      </c>
      <c r="B11529" t="s">
        <v>2931</v>
      </c>
      <c r="C11529">
        <v>18455</v>
      </c>
      <c r="D11529" t="str">
        <f>"71929754    "</f>
        <v xml:space="preserve">71929754    </v>
      </c>
      <c r="E11529" t="s">
        <v>616</v>
      </c>
      <c r="F11529" t="s">
        <v>617</v>
      </c>
      <c r="G11529">
        <v>19.440000000000001</v>
      </c>
      <c r="H11529">
        <v>251231</v>
      </c>
      <c r="I11529">
        <v>4842</v>
      </c>
      <c r="J11529" t="s">
        <v>15</v>
      </c>
      <c r="K11529">
        <v>176.7</v>
      </c>
      <c r="L11529">
        <v>3.95</v>
      </c>
      <c r="M11529">
        <v>13540</v>
      </c>
      <c r="N11529" t="s">
        <v>131</v>
      </c>
      <c r="O11529">
        <v>260113</v>
      </c>
      <c r="P11529">
        <v>15.49</v>
      </c>
    </row>
    <row r="11530" spans="1:16" x14ac:dyDescent="0.25">
      <c r="A11530" t="s">
        <v>3296</v>
      </c>
      <c r="B11530" t="s">
        <v>2931</v>
      </c>
      <c r="C11530">
        <v>18455</v>
      </c>
      <c r="D11530" t="str">
        <f>"71929754    "</f>
        <v xml:space="preserve">71929754    </v>
      </c>
      <c r="E11530" t="s">
        <v>616</v>
      </c>
      <c r="F11530" t="s">
        <v>617</v>
      </c>
      <c r="G11530">
        <v>157.26</v>
      </c>
      <c r="H11530">
        <v>251231</v>
      </c>
      <c r="I11530">
        <v>4842</v>
      </c>
      <c r="J11530" t="s">
        <v>15</v>
      </c>
      <c r="K11530">
        <v>176.7</v>
      </c>
      <c r="L11530">
        <v>31.95</v>
      </c>
      <c r="M11530">
        <v>17950</v>
      </c>
      <c r="N11530" t="s">
        <v>132</v>
      </c>
      <c r="O11530">
        <v>260113</v>
      </c>
      <c r="P11530">
        <v>125.31</v>
      </c>
    </row>
    <row r="11531" spans="1:16" x14ac:dyDescent="0.25">
      <c r="A11531" t="s">
        <v>3296</v>
      </c>
      <c r="B11531" t="s">
        <v>2931</v>
      </c>
      <c r="C11531">
        <v>1670</v>
      </c>
      <c r="D11531" t="str">
        <f>"71262488    "</f>
        <v xml:space="preserve">71262488    </v>
      </c>
      <c r="E11531" t="s">
        <v>616</v>
      </c>
      <c r="F11531" t="s">
        <v>617</v>
      </c>
      <c r="G11531">
        <v>329.44</v>
      </c>
      <c r="H11531">
        <v>250131</v>
      </c>
      <c r="I11531">
        <v>4860</v>
      </c>
      <c r="J11531" t="s">
        <v>286</v>
      </c>
      <c r="K11531">
        <v>329.44</v>
      </c>
      <c r="L11531">
        <v>66.94</v>
      </c>
      <c r="M11531">
        <v>69501</v>
      </c>
      <c r="N11531" t="s">
        <v>123</v>
      </c>
      <c r="O11531">
        <v>250212</v>
      </c>
      <c r="P11531">
        <v>262.5</v>
      </c>
    </row>
    <row r="11532" spans="1:16" x14ac:dyDescent="0.25">
      <c r="A11532" t="s">
        <v>3296</v>
      </c>
      <c r="B11532" t="s">
        <v>2931</v>
      </c>
      <c r="C11532">
        <v>3253</v>
      </c>
      <c r="D11532" t="str">
        <f>"71322586    "</f>
        <v xml:space="preserve">71322586    </v>
      </c>
      <c r="E11532" t="s">
        <v>616</v>
      </c>
      <c r="F11532" t="s">
        <v>617</v>
      </c>
      <c r="G11532">
        <v>18.47</v>
      </c>
      <c r="H11532">
        <v>250228</v>
      </c>
      <c r="I11532">
        <v>4860</v>
      </c>
      <c r="J11532" t="s">
        <v>286</v>
      </c>
      <c r="K11532">
        <v>18.47</v>
      </c>
      <c r="L11532">
        <v>3.75</v>
      </c>
      <c r="M11532">
        <v>13641</v>
      </c>
      <c r="N11532" t="s">
        <v>871</v>
      </c>
      <c r="O11532">
        <v>250317</v>
      </c>
      <c r="P11532">
        <v>14.72</v>
      </c>
    </row>
    <row r="11533" spans="1:16" x14ac:dyDescent="0.25">
      <c r="A11533" t="s">
        <v>3296</v>
      </c>
      <c r="B11533" t="s">
        <v>2931</v>
      </c>
      <c r="C11533">
        <v>3342</v>
      </c>
      <c r="D11533" t="str">
        <f>"71323469    "</f>
        <v xml:space="preserve">71323469    </v>
      </c>
      <c r="E11533" t="s">
        <v>616</v>
      </c>
      <c r="F11533" t="s">
        <v>617</v>
      </c>
      <c r="G11533">
        <v>268.32</v>
      </c>
      <c r="H11533">
        <v>250228</v>
      </c>
      <c r="I11533">
        <v>4860</v>
      </c>
      <c r="J11533" t="s">
        <v>286</v>
      </c>
      <c r="K11533">
        <v>268.32</v>
      </c>
      <c r="L11533">
        <v>54.52</v>
      </c>
      <c r="M11533">
        <v>69501</v>
      </c>
      <c r="N11533" t="s">
        <v>123</v>
      </c>
      <c r="O11533">
        <v>250318</v>
      </c>
      <c r="P11533">
        <v>213.8</v>
      </c>
    </row>
    <row r="11534" spans="1:16" x14ac:dyDescent="0.25">
      <c r="A11534" t="s">
        <v>3296</v>
      </c>
      <c r="B11534" t="s">
        <v>2931</v>
      </c>
      <c r="C11534">
        <v>5026</v>
      </c>
      <c r="D11534" t="str">
        <f>"71381902    "</f>
        <v xml:space="preserve">71381902    </v>
      </c>
      <c r="E11534" t="s">
        <v>616</v>
      </c>
      <c r="F11534" t="s">
        <v>617</v>
      </c>
      <c r="G11534">
        <v>282.63</v>
      </c>
      <c r="H11534">
        <v>250331</v>
      </c>
      <c r="I11534">
        <v>4860</v>
      </c>
      <c r="J11534" t="s">
        <v>286</v>
      </c>
      <c r="K11534">
        <v>282.63</v>
      </c>
      <c r="L11534">
        <v>57.43</v>
      </c>
      <c r="M11534">
        <v>69501</v>
      </c>
      <c r="N11534" t="s">
        <v>123</v>
      </c>
      <c r="O11534">
        <v>250416</v>
      </c>
      <c r="P11534">
        <v>225.2</v>
      </c>
    </row>
    <row r="11535" spans="1:16" x14ac:dyDescent="0.25">
      <c r="A11535" t="s">
        <v>3296</v>
      </c>
      <c r="B11535" t="s">
        <v>2931</v>
      </c>
      <c r="C11535">
        <v>5054</v>
      </c>
      <c r="D11535" t="str">
        <f>"71381025    "</f>
        <v xml:space="preserve">71381025    </v>
      </c>
      <c r="E11535" t="s">
        <v>616</v>
      </c>
      <c r="F11535" t="s">
        <v>617</v>
      </c>
      <c r="G11535">
        <v>18.47</v>
      </c>
      <c r="H11535">
        <v>250331</v>
      </c>
      <c r="I11535">
        <v>4860</v>
      </c>
      <c r="J11535" t="s">
        <v>286</v>
      </c>
      <c r="K11535">
        <v>18.47</v>
      </c>
      <c r="L11535">
        <v>3.75</v>
      </c>
      <c r="M11535">
        <v>13641</v>
      </c>
      <c r="N11535" t="s">
        <v>871</v>
      </c>
      <c r="O11535">
        <v>250416</v>
      </c>
      <c r="P11535">
        <v>14.72</v>
      </c>
    </row>
    <row r="11536" spans="1:16" x14ac:dyDescent="0.25">
      <c r="A11536" t="s">
        <v>3296</v>
      </c>
      <c r="B11536" t="s">
        <v>2931</v>
      </c>
      <c r="C11536">
        <v>6511</v>
      </c>
      <c r="D11536" t="str">
        <f>"71444817    "</f>
        <v xml:space="preserve">71444817    </v>
      </c>
      <c r="E11536" t="s">
        <v>616</v>
      </c>
      <c r="F11536" t="s">
        <v>617</v>
      </c>
      <c r="G11536">
        <v>353.28</v>
      </c>
      <c r="H11536">
        <v>250430</v>
      </c>
      <c r="I11536">
        <v>4860</v>
      </c>
      <c r="J11536" t="s">
        <v>286</v>
      </c>
      <c r="K11536">
        <v>353.28</v>
      </c>
      <c r="L11536">
        <v>71.78</v>
      </c>
      <c r="M11536">
        <v>69501</v>
      </c>
      <c r="N11536" t="s">
        <v>123</v>
      </c>
      <c r="O11536">
        <v>250513</v>
      </c>
      <c r="P11536">
        <v>281.5</v>
      </c>
    </row>
    <row r="11537" spans="1:16" x14ac:dyDescent="0.25">
      <c r="A11537" t="s">
        <v>3296</v>
      </c>
      <c r="B11537" t="s">
        <v>2931</v>
      </c>
      <c r="C11537">
        <v>6519</v>
      </c>
      <c r="D11537" t="str">
        <f>"71443950    "</f>
        <v xml:space="preserve">71443950    </v>
      </c>
      <c r="E11537" t="s">
        <v>616</v>
      </c>
      <c r="F11537" t="s">
        <v>617</v>
      </c>
      <c r="G11537">
        <v>23.09</v>
      </c>
      <c r="H11537">
        <v>250430</v>
      </c>
      <c r="I11537">
        <v>4860</v>
      </c>
      <c r="J11537" t="s">
        <v>286</v>
      </c>
      <c r="K11537">
        <v>23.09</v>
      </c>
      <c r="L11537">
        <v>4.6900000000000004</v>
      </c>
      <c r="M11537">
        <v>13641</v>
      </c>
      <c r="N11537" t="s">
        <v>871</v>
      </c>
      <c r="O11537">
        <v>250513</v>
      </c>
      <c r="P11537">
        <v>18.399999999999999</v>
      </c>
    </row>
    <row r="11538" spans="1:16" x14ac:dyDescent="0.25">
      <c r="A11538" t="s">
        <v>3296</v>
      </c>
      <c r="B11538" t="s">
        <v>2931</v>
      </c>
      <c r="C11538">
        <v>8927</v>
      </c>
      <c r="D11538" t="str">
        <f>"71502393    "</f>
        <v xml:space="preserve">71502393    </v>
      </c>
      <c r="E11538" t="s">
        <v>616</v>
      </c>
      <c r="F11538" t="s">
        <v>617</v>
      </c>
      <c r="G11538">
        <v>18.47</v>
      </c>
      <c r="H11538">
        <v>250531</v>
      </c>
      <c r="I11538">
        <v>4860</v>
      </c>
      <c r="J11538" t="s">
        <v>286</v>
      </c>
      <c r="K11538">
        <v>18.47</v>
      </c>
      <c r="L11538">
        <v>3.75</v>
      </c>
      <c r="M11538">
        <v>13641</v>
      </c>
      <c r="N11538" t="s">
        <v>871</v>
      </c>
      <c r="O11538">
        <v>250619</v>
      </c>
      <c r="P11538">
        <v>14.72</v>
      </c>
    </row>
    <row r="11539" spans="1:16" x14ac:dyDescent="0.25">
      <c r="A11539" t="s">
        <v>3296</v>
      </c>
      <c r="B11539" t="s">
        <v>2931</v>
      </c>
      <c r="C11539">
        <v>8934</v>
      </c>
      <c r="D11539" t="str">
        <f>"71503250    "</f>
        <v xml:space="preserve">71503250    </v>
      </c>
      <c r="E11539" t="s">
        <v>616</v>
      </c>
      <c r="F11539" t="s">
        <v>617</v>
      </c>
      <c r="G11539">
        <v>282.63</v>
      </c>
      <c r="H11539">
        <v>250531</v>
      </c>
      <c r="I11539">
        <v>4860</v>
      </c>
      <c r="J11539" t="s">
        <v>286</v>
      </c>
      <c r="K11539">
        <v>282.63</v>
      </c>
      <c r="L11539">
        <v>57.43</v>
      </c>
      <c r="M11539">
        <v>69501</v>
      </c>
      <c r="N11539" t="s">
        <v>123</v>
      </c>
      <c r="O11539">
        <v>250619</v>
      </c>
      <c r="P11539">
        <v>225.2</v>
      </c>
    </row>
    <row r="11540" spans="1:16" x14ac:dyDescent="0.25">
      <c r="A11540" t="s">
        <v>3296</v>
      </c>
      <c r="B11540" t="s">
        <v>2931</v>
      </c>
      <c r="C11540">
        <v>9821</v>
      </c>
      <c r="D11540" t="str">
        <f>"71560459    "</f>
        <v xml:space="preserve">71560459    </v>
      </c>
      <c r="E11540" t="s">
        <v>616</v>
      </c>
      <c r="F11540" t="s">
        <v>617</v>
      </c>
      <c r="G11540">
        <v>18.47</v>
      </c>
      <c r="H11540">
        <v>250630</v>
      </c>
      <c r="I11540">
        <v>4860</v>
      </c>
      <c r="J11540" t="s">
        <v>286</v>
      </c>
      <c r="K11540">
        <v>18.47</v>
      </c>
      <c r="L11540">
        <v>3.75</v>
      </c>
      <c r="M11540">
        <v>13641</v>
      </c>
      <c r="N11540" t="s">
        <v>871</v>
      </c>
      <c r="O11540">
        <v>250729</v>
      </c>
      <c r="P11540">
        <v>14.72</v>
      </c>
    </row>
    <row r="11541" spans="1:16" x14ac:dyDescent="0.25">
      <c r="A11541" t="s">
        <v>3296</v>
      </c>
      <c r="B11541" t="s">
        <v>2931</v>
      </c>
      <c r="C11541">
        <v>9823</v>
      </c>
      <c r="D11541" t="str">
        <f>"71561295    "</f>
        <v xml:space="preserve">71561295    </v>
      </c>
      <c r="E11541" t="s">
        <v>616</v>
      </c>
      <c r="F11541" t="s">
        <v>617</v>
      </c>
      <c r="G11541">
        <v>282.63</v>
      </c>
      <c r="H11541">
        <v>250630</v>
      </c>
      <c r="I11541">
        <v>4860</v>
      </c>
      <c r="J11541" t="s">
        <v>286</v>
      </c>
      <c r="K11541">
        <v>282.63</v>
      </c>
      <c r="L11541">
        <v>57.43</v>
      </c>
      <c r="M11541">
        <v>69501</v>
      </c>
      <c r="N11541" t="s">
        <v>123</v>
      </c>
      <c r="O11541">
        <v>250729</v>
      </c>
      <c r="P11541">
        <v>225.2</v>
      </c>
    </row>
    <row r="11542" spans="1:16" x14ac:dyDescent="0.25">
      <c r="A11542" t="s">
        <v>3296</v>
      </c>
      <c r="B11542" t="s">
        <v>2931</v>
      </c>
      <c r="C11542">
        <v>10390</v>
      </c>
      <c r="D11542" t="str">
        <f>"71623117    "</f>
        <v xml:space="preserve">71623117    </v>
      </c>
      <c r="E11542" t="s">
        <v>616</v>
      </c>
      <c r="F11542" t="s">
        <v>617</v>
      </c>
      <c r="G11542">
        <v>353.28</v>
      </c>
      <c r="H11542">
        <v>250731</v>
      </c>
      <c r="I11542">
        <v>4860</v>
      </c>
      <c r="J11542" t="s">
        <v>286</v>
      </c>
      <c r="K11542">
        <v>353.28</v>
      </c>
      <c r="L11542">
        <v>71.78</v>
      </c>
      <c r="M11542">
        <v>69501</v>
      </c>
      <c r="N11542" t="s">
        <v>123</v>
      </c>
      <c r="O11542">
        <v>250818</v>
      </c>
      <c r="P11542">
        <v>281.5</v>
      </c>
    </row>
    <row r="11543" spans="1:16" x14ac:dyDescent="0.25">
      <c r="A11543" t="s">
        <v>3296</v>
      </c>
      <c r="B11543" t="s">
        <v>2931</v>
      </c>
      <c r="C11543">
        <v>10590</v>
      </c>
      <c r="D11543" t="str">
        <f>"71622290    "</f>
        <v xml:space="preserve">71622290    </v>
      </c>
      <c r="E11543" t="s">
        <v>616</v>
      </c>
      <c r="F11543" t="s">
        <v>617</v>
      </c>
      <c r="G11543">
        <v>23.09</v>
      </c>
      <c r="H11543">
        <v>250807</v>
      </c>
      <c r="I11543">
        <v>4860</v>
      </c>
      <c r="J11543" t="s">
        <v>286</v>
      </c>
      <c r="K11543">
        <v>23.09</v>
      </c>
      <c r="L11543">
        <v>4.6900000000000004</v>
      </c>
      <c r="M11543">
        <v>13641</v>
      </c>
      <c r="N11543" t="s">
        <v>871</v>
      </c>
      <c r="O11543">
        <v>250820</v>
      </c>
      <c r="P11543">
        <v>18.399999999999999</v>
      </c>
    </row>
    <row r="11544" spans="1:16" x14ac:dyDescent="0.25">
      <c r="A11544" t="s">
        <v>3296</v>
      </c>
      <c r="B11544" t="s">
        <v>2931</v>
      </c>
      <c r="C11544">
        <v>11807</v>
      </c>
      <c r="D11544" t="str">
        <f>"71679337    "</f>
        <v xml:space="preserve">71679337    </v>
      </c>
      <c r="E11544" t="s">
        <v>616</v>
      </c>
      <c r="F11544" t="s">
        <v>617</v>
      </c>
      <c r="G11544">
        <v>282.63</v>
      </c>
      <c r="H11544">
        <v>250831</v>
      </c>
      <c r="I11544">
        <v>4860</v>
      </c>
      <c r="J11544" t="s">
        <v>286</v>
      </c>
      <c r="K11544">
        <v>282.63</v>
      </c>
      <c r="L11544">
        <v>57.43</v>
      </c>
      <c r="M11544">
        <v>69501</v>
      </c>
      <c r="N11544" t="s">
        <v>123</v>
      </c>
      <c r="O11544">
        <v>250910</v>
      </c>
      <c r="P11544">
        <v>225.2</v>
      </c>
    </row>
    <row r="11545" spans="1:16" x14ac:dyDescent="0.25">
      <c r="A11545" t="s">
        <v>3296</v>
      </c>
      <c r="B11545" t="s">
        <v>2931</v>
      </c>
      <c r="C11545">
        <v>11810</v>
      </c>
      <c r="D11545" t="str">
        <f>"71678502    "</f>
        <v xml:space="preserve">71678502    </v>
      </c>
      <c r="E11545" t="s">
        <v>616</v>
      </c>
      <c r="F11545" t="s">
        <v>617</v>
      </c>
      <c r="G11545">
        <v>18.47</v>
      </c>
      <c r="H11545">
        <v>250831</v>
      </c>
      <c r="I11545">
        <v>4860</v>
      </c>
      <c r="J11545" t="s">
        <v>286</v>
      </c>
      <c r="K11545">
        <v>18.47</v>
      </c>
      <c r="L11545">
        <v>3.75</v>
      </c>
      <c r="M11545">
        <v>13641</v>
      </c>
      <c r="N11545" t="s">
        <v>871</v>
      </c>
      <c r="O11545">
        <v>250910</v>
      </c>
      <c r="P11545">
        <v>14.72</v>
      </c>
    </row>
    <row r="11546" spans="1:16" x14ac:dyDescent="0.25">
      <c r="A11546" t="s">
        <v>3296</v>
      </c>
      <c r="B11546" t="s">
        <v>2931</v>
      </c>
      <c r="C11546">
        <v>13064</v>
      </c>
      <c r="D11546" t="str">
        <f>"71736653    "</f>
        <v xml:space="preserve">71736653    </v>
      </c>
      <c r="E11546" t="s">
        <v>616</v>
      </c>
      <c r="F11546" t="s">
        <v>617</v>
      </c>
      <c r="G11546">
        <v>18.47</v>
      </c>
      <c r="H11546">
        <v>250930</v>
      </c>
      <c r="I11546">
        <v>4860</v>
      </c>
      <c r="J11546" t="s">
        <v>286</v>
      </c>
      <c r="K11546">
        <v>18.47</v>
      </c>
      <c r="L11546">
        <v>3.75</v>
      </c>
      <c r="M11546">
        <v>13641</v>
      </c>
      <c r="N11546" t="s">
        <v>871</v>
      </c>
      <c r="O11546">
        <v>251003</v>
      </c>
      <c r="P11546">
        <v>14.72</v>
      </c>
    </row>
    <row r="11547" spans="1:16" x14ac:dyDescent="0.25">
      <c r="A11547" t="s">
        <v>3296</v>
      </c>
      <c r="B11547" t="s">
        <v>2931</v>
      </c>
      <c r="C11547">
        <v>13597</v>
      </c>
      <c r="D11547" t="str">
        <f>"71737482    "</f>
        <v xml:space="preserve">71737482    </v>
      </c>
      <c r="E11547" t="s">
        <v>616</v>
      </c>
      <c r="F11547" t="s">
        <v>617</v>
      </c>
      <c r="G11547">
        <v>282.63</v>
      </c>
      <c r="H11547">
        <v>250930</v>
      </c>
      <c r="I11547">
        <v>4860</v>
      </c>
      <c r="J11547" t="s">
        <v>286</v>
      </c>
      <c r="K11547">
        <v>282.63</v>
      </c>
      <c r="L11547">
        <v>57.43</v>
      </c>
      <c r="M11547">
        <v>69501</v>
      </c>
      <c r="N11547" t="s">
        <v>123</v>
      </c>
      <c r="O11547">
        <v>251013</v>
      </c>
      <c r="P11547">
        <v>225.2</v>
      </c>
    </row>
    <row r="11548" spans="1:16" x14ac:dyDescent="0.25">
      <c r="A11548" t="s">
        <v>3296</v>
      </c>
      <c r="B11548" t="s">
        <v>2931</v>
      </c>
      <c r="C11548">
        <v>14856</v>
      </c>
      <c r="D11548" t="str">
        <f>"71817857    "</f>
        <v xml:space="preserve">71817857    </v>
      </c>
      <c r="E11548" t="s">
        <v>616</v>
      </c>
      <c r="F11548" t="s">
        <v>617</v>
      </c>
      <c r="G11548">
        <v>353.28</v>
      </c>
      <c r="H11548">
        <v>251031</v>
      </c>
      <c r="I11548">
        <v>4860</v>
      </c>
      <c r="J11548" t="s">
        <v>286</v>
      </c>
      <c r="K11548">
        <v>353.28</v>
      </c>
      <c r="L11548">
        <v>71.78</v>
      </c>
      <c r="M11548">
        <v>69501</v>
      </c>
      <c r="N11548" t="s">
        <v>123</v>
      </c>
      <c r="O11548">
        <v>251107</v>
      </c>
      <c r="P11548">
        <v>281.5</v>
      </c>
    </row>
    <row r="11549" spans="1:16" x14ac:dyDescent="0.25">
      <c r="A11549" t="s">
        <v>3296</v>
      </c>
      <c r="B11549" t="s">
        <v>2931</v>
      </c>
      <c r="C11549">
        <v>15287</v>
      </c>
      <c r="D11549" t="str">
        <f>"71817031    "</f>
        <v xml:space="preserve">71817031    </v>
      </c>
      <c r="E11549" t="s">
        <v>616</v>
      </c>
      <c r="F11549" t="s">
        <v>617</v>
      </c>
      <c r="G11549">
        <v>23.09</v>
      </c>
      <c r="H11549">
        <v>251031</v>
      </c>
      <c r="I11549">
        <v>4860</v>
      </c>
      <c r="J11549" t="s">
        <v>286</v>
      </c>
      <c r="K11549">
        <v>23.09</v>
      </c>
      <c r="L11549">
        <v>4.6900000000000004</v>
      </c>
      <c r="M11549">
        <v>13641</v>
      </c>
      <c r="N11549" t="s">
        <v>871</v>
      </c>
      <c r="O11549">
        <v>251117</v>
      </c>
      <c r="P11549">
        <v>18.399999999999999</v>
      </c>
    </row>
    <row r="11550" spans="1:16" x14ac:dyDescent="0.25">
      <c r="A11550" t="s">
        <v>3296</v>
      </c>
      <c r="B11550" t="s">
        <v>2931</v>
      </c>
      <c r="C11550">
        <v>16788</v>
      </c>
      <c r="D11550" t="str">
        <f>"71872034    "</f>
        <v xml:space="preserve">71872034    </v>
      </c>
      <c r="E11550" t="s">
        <v>616</v>
      </c>
      <c r="F11550" t="s">
        <v>617</v>
      </c>
      <c r="G11550">
        <v>18.47</v>
      </c>
      <c r="H11550">
        <v>251130</v>
      </c>
      <c r="I11550">
        <v>4860</v>
      </c>
      <c r="J11550" t="s">
        <v>286</v>
      </c>
      <c r="K11550">
        <v>18.47</v>
      </c>
      <c r="L11550">
        <v>3.75</v>
      </c>
      <c r="M11550">
        <v>13641</v>
      </c>
      <c r="N11550" t="s">
        <v>871</v>
      </c>
      <c r="O11550">
        <v>251211</v>
      </c>
      <c r="P11550">
        <v>14.72</v>
      </c>
    </row>
    <row r="11551" spans="1:16" x14ac:dyDescent="0.25">
      <c r="A11551" t="s">
        <v>3296</v>
      </c>
      <c r="B11551" t="s">
        <v>2931</v>
      </c>
      <c r="C11551">
        <v>16818</v>
      </c>
      <c r="D11551" t="str">
        <f>"71872858    "</f>
        <v xml:space="preserve">71872858    </v>
      </c>
      <c r="E11551" t="s">
        <v>616</v>
      </c>
      <c r="F11551" t="s">
        <v>617</v>
      </c>
      <c r="G11551">
        <v>282.63</v>
      </c>
      <c r="H11551">
        <v>251130</v>
      </c>
      <c r="I11551">
        <v>4860</v>
      </c>
      <c r="J11551" t="s">
        <v>286</v>
      </c>
      <c r="K11551">
        <v>282.63</v>
      </c>
      <c r="L11551">
        <v>57.43</v>
      </c>
      <c r="M11551">
        <v>69501</v>
      </c>
      <c r="N11551" t="s">
        <v>123</v>
      </c>
      <c r="O11551">
        <v>251212</v>
      </c>
      <c r="P11551">
        <v>225.2</v>
      </c>
    </row>
    <row r="11552" spans="1:16" x14ac:dyDescent="0.25">
      <c r="A11552" t="s">
        <v>3296</v>
      </c>
      <c r="B11552" t="s">
        <v>2931</v>
      </c>
      <c r="C11552">
        <v>18335</v>
      </c>
      <c r="D11552" t="str">
        <f>"71930816    "</f>
        <v xml:space="preserve">71930816    </v>
      </c>
      <c r="E11552" t="s">
        <v>616</v>
      </c>
      <c r="F11552" t="s">
        <v>617</v>
      </c>
      <c r="G11552">
        <v>18.47</v>
      </c>
      <c r="H11552">
        <v>251231</v>
      </c>
      <c r="I11552">
        <v>4860</v>
      </c>
      <c r="J11552" t="s">
        <v>286</v>
      </c>
      <c r="K11552">
        <v>18.47</v>
      </c>
      <c r="L11552">
        <v>3.75</v>
      </c>
      <c r="M11552">
        <v>13641</v>
      </c>
      <c r="N11552" t="s">
        <v>871</v>
      </c>
      <c r="O11552">
        <v>260113</v>
      </c>
      <c r="P11552">
        <v>14.72</v>
      </c>
    </row>
    <row r="11553" spans="1:16" x14ac:dyDescent="0.25">
      <c r="A11553" t="s">
        <v>3296</v>
      </c>
      <c r="B11553" t="s">
        <v>2931</v>
      </c>
      <c r="C11553">
        <v>18344</v>
      </c>
      <c r="D11553" t="str">
        <f>"71931627    "</f>
        <v xml:space="preserve">71931627    </v>
      </c>
      <c r="E11553" t="s">
        <v>616</v>
      </c>
      <c r="F11553" t="s">
        <v>617</v>
      </c>
      <c r="G11553">
        <v>263.55</v>
      </c>
      <c r="H11553">
        <v>251231</v>
      </c>
      <c r="I11553">
        <v>4860</v>
      </c>
      <c r="J11553" t="s">
        <v>286</v>
      </c>
      <c r="K11553">
        <v>263.55</v>
      </c>
      <c r="L11553">
        <v>53.55</v>
      </c>
      <c r="M11553">
        <v>69501</v>
      </c>
      <c r="N11553" t="s">
        <v>123</v>
      </c>
      <c r="O11553">
        <v>260113</v>
      </c>
      <c r="P11553">
        <v>210</v>
      </c>
    </row>
    <row r="11554" spans="1:16" x14ac:dyDescent="0.25">
      <c r="A11554" t="s">
        <v>3296</v>
      </c>
      <c r="B11554" t="s">
        <v>2931</v>
      </c>
      <c r="C11554">
        <v>13123</v>
      </c>
      <c r="D11554" t="str">
        <f>"10151200    "</f>
        <v xml:space="preserve">10151200    </v>
      </c>
      <c r="E11554" t="s">
        <v>2417</v>
      </c>
      <c r="F11554" t="s">
        <v>2418</v>
      </c>
      <c r="G11554">
        <v>15</v>
      </c>
      <c r="H11554">
        <v>250930</v>
      </c>
      <c r="I11554">
        <v>4470</v>
      </c>
      <c r="J11554" t="s">
        <v>203</v>
      </c>
      <c r="K11554">
        <v>147</v>
      </c>
      <c r="L11554">
        <v>3.05</v>
      </c>
      <c r="M11554">
        <v>18995</v>
      </c>
      <c r="N11554" t="s">
        <v>2317</v>
      </c>
      <c r="O11554">
        <v>251006</v>
      </c>
      <c r="P11554">
        <v>11.95</v>
      </c>
    </row>
    <row r="11555" spans="1:16" x14ac:dyDescent="0.25">
      <c r="A11555" t="s">
        <v>3296</v>
      </c>
      <c r="B11555" t="s">
        <v>2931</v>
      </c>
      <c r="C11555">
        <v>13123</v>
      </c>
      <c r="D11555" t="str">
        <f>"10151200    "</f>
        <v xml:space="preserve">10151200    </v>
      </c>
      <c r="E11555" t="s">
        <v>2417</v>
      </c>
      <c r="F11555" t="s">
        <v>2418</v>
      </c>
      <c r="G11555">
        <v>132</v>
      </c>
      <c r="H11555">
        <v>250930</v>
      </c>
      <c r="I11555">
        <v>4520</v>
      </c>
      <c r="J11555" t="s">
        <v>280</v>
      </c>
      <c r="K11555">
        <v>147</v>
      </c>
      <c r="L11555">
        <v>16.21</v>
      </c>
      <c r="M11555">
        <v>18995</v>
      </c>
      <c r="N11555" t="s">
        <v>2317</v>
      </c>
      <c r="O11555">
        <v>251006</v>
      </c>
      <c r="P11555">
        <v>115.79</v>
      </c>
    </row>
    <row r="11556" spans="1:16" x14ac:dyDescent="0.25">
      <c r="A11556" t="s">
        <v>3296</v>
      </c>
      <c r="B11556" t="s">
        <v>2931</v>
      </c>
      <c r="C11556">
        <v>13681</v>
      </c>
      <c r="D11556" t="str">
        <f>"4048        "</f>
        <v xml:space="preserve">4048        </v>
      </c>
      <c r="E11556" t="s">
        <v>2437</v>
      </c>
      <c r="F11556" t="s">
        <v>2438</v>
      </c>
      <c r="G11556">
        <v>1446.76</v>
      </c>
      <c r="H11556">
        <v>251003</v>
      </c>
      <c r="I11556">
        <v>4580</v>
      </c>
      <c r="J11556" t="s">
        <v>126</v>
      </c>
      <c r="K11556">
        <v>1446.76</v>
      </c>
      <c r="L11556">
        <v>293.95999999999998</v>
      </c>
      <c r="M11556">
        <v>46554</v>
      </c>
      <c r="N11556" t="s">
        <v>102</v>
      </c>
      <c r="O11556">
        <v>251013</v>
      </c>
      <c r="P11556">
        <v>1152.8</v>
      </c>
    </row>
    <row r="11557" spans="1:16" x14ac:dyDescent="0.25">
      <c r="A11557" t="s">
        <v>3296</v>
      </c>
      <c r="B11557" t="s">
        <v>2931</v>
      </c>
      <c r="C11557">
        <v>11352</v>
      </c>
      <c r="D11557" t="str">
        <f>"101605      "</f>
        <v xml:space="preserve">101605      </v>
      </c>
      <c r="E11557" t="s">
        <v>3095</v>
      </c>
      <c r="F11557" t="s">
        <v>3096</v>
      </c>
      <c r="G11557">
        <v>20</v>
      </c>
      <c r="H11557">
        <v>250825</v>
      </c>
      <c r="I11557">
        <v>4410</v>
      </c>
      <c r="J11557" t="s">
        <v>165</v>
      </c>
      <c r="K11557">
        <v>382</v>
      </c>
      <c r="L11557">
        <v>2.46</v>
      </c>
      <c r="M11557">
        <v>17972</v>
      </c>
      <c r="N11557" t="s">
        <v>28</v>
      </c>
      <c r="O11557">
        <v>250904</v>
      </c>
      <c r="P11557">
        <v>17.54</v>
      </c>
    </row>
    <row r="11558" spans="1:16" x14ac:dyDescent="0.25">
      <c r="A11558" t="s">
        <v>3296</v>
      </c>
      <c r="B11558" t="s">
        <v>2931</v>
      </c>
      <c r="C11558">
        <v>11352</v>
      </c>
      <c r="D11558" t="str">
        <f>"101605      "</f>
        <v xml:space="preserve">101605      </v>
      </c>
      <c r="E11558" t="s">
        <v>3095</v>
      </c>
      <c r="F11558" t="s">
        <v>3096</v>
      </c>
      <c r="G11558">
        <v>10</v>
      </c>
      <c r="H11558">
        <v>250825</v>
      </c>
      <c r="I11558">
        <v>4410</v>
      </c>
      <c r="J11558" t="s">
        <v>165</v>
      </c>
      <c r="K11558">
        <v>382</v>
      </c>
      <c r="L11558">
        <v>2.0299999999999998</v>
      </c>
      <c r="M11558">
        <v>69702</v>
      </c>
      <c r="N11558" t="s">
        <v>124</v>
      </c>
      <c r="O11558">
        <v>250904</v>
      </c>
      <c r="P11558">
        <v>7.97</v>
      </c>
    </row>
    <row r="11559" spans="1:16" x14ac:dyDescent="0.25">
      <c r="A11559" t="s">
        <v>3296</v>
      </c>
      <c r="B11559" t="s">
        <v>2931</v>
      </c>
      <c r="C11559">
        <v>11352</v>
      </c>
      <c r="D11559" t="str">
        <f>"101605      "</f>
        <v xml:space="preserve">101605      </v>
      </c>
      <c r="E11559" t="s">
        <v>3095</v>
      </c>
      <c r="F11559" t="s">
        <v>3096</v>
      </c>
      <c r="G11559">
        <v>352</v>
      </c>
      <c r="H11559">
        <v>250825</v>
      </c>
      <c r="I11559">
        <v>4410</v>
      </c>
      <c r="J11559" t="s">
        <v>165</v>
      </c>
      <c r="K11559">
        <v>382</v>
      </c>
      <c r="L11559">
        <v>43.23</v>
      </c>
      <c r="M11559">
        <v>69702</v>
      </c>
      <c r="N11559" t="s">
        <v>124</v>
      </c>
      <c r="O11559">
        <v>250904</v>
      </c>
      <c r="P11559">
        <v>308.77</v>
      </c>
    </row>
    <row r="11560" spans="1:16" x14ac:dyDescent="0.25">
      <c r="A11560" t="s">
        <v>3296</v>
      </c>
      <c r="B11560" t="s">
        <v>2931</v>
      </c>
      <c r="C11560">
        <v>7362</v>
      </c>
      <c r="D11560" t="str">
        <f>"101258      "</f>
        <v xml:space="preserve">101258      </v>
      </c>
      <c r="E11560" t="s">
        <v>3095</v>
      </c>
      <c r="F11560" t="s">
        <v>3096</v>
      </c>
      <c r="G11560">
        <v>228</v>
      </c>
      <c r="H11560">
        <v>250521</v>
      </c>
      <c r="I11560">
        <v>4440</v>
      </c>
      <c r="J11560" t="s">
        <v>346</v>
      </c>
      <c r="K11560">
        <v>1806.75</v>
      </c>
      <c r="L11560">
        <v>28</v>
      </c>
      <c r="M11560">
        <v>69702</v>
      </c>
      <c r="N11560" t="s">
        <v>124</v>
      </c>
      <c r="O11560">
        <v>250603</v>
      </c>
      <c r="P11560">
        <v>200</v>
      </c>
    </row>
    <row r="11561" spans="1:16" x14ac:dyDescent="0.25">
      <c r="A11561" t="s">
        <v>3296</v>
      </c>
      <c r="B11561" t="s">
        <v>2931</v>
      </c>
      <c r="C11561">
        <v>7362</v>
      </c>
      <c r="D11561" t="str">
        <f>"101258      "</f>
        <v xml:space="preserve">101258      </v>
      </c>
      <c r="E11561" t="s">
        <v>3095</v>
      </c>
      <c r="F11561" t="s">
        <v>3096</v>
      </c>
      <c r="G11561">
        <v>156.88</v>
      </c>
      <c r="H11561">
        <v>250521</v>
      </c>
      <c r="I11561">
        <v>4572</v>
      </c>
      <c r="J11561" t="s">
        <v>173</v>
      </c>
      <c r="K11561">
        <v>1806.75</v>
      </c>
      <c r="L11561">
        <v>31.88</v>
      </c>
      <c r="M11561">
        <v>17972</v>
      </c>
      <c r="N11561" t="s">
        <v>28</v>
      </c>
      <c r="O11561">
        <v>250603</v>
      </c>
      <c r="P11561">
        <v>125</v>
      </c>
    </row>
    <row r="11562" spans="1:16" x14ac:dyDescent="0.25">
      <c r="A11562" t="s">
        <v>3296</v>
      </c>
      <c r="B11562" t="s">
        <v>2931</v>
      </c>
      <c r="C11562">
        <v>7362</v>
      </c>
      <c r="D11562" t="str">
        <f>"101258      "</f>
        <v xml:space="preserve">101258      </v>
      </c>
      <c r="E11562" t="s">
        <v>3095</v>
      </c>
      <c r="F11562" t="s">
        <v>3096</v>
      </c>
      <c r="G11562">
        <v>156.88</v>
      </c>
      <c r="H11562">
        <v>250521</v>
      </c>
      <c r="I11562">
        <v>4572</v>
      </c>
      <c r="J11562" t="s">
        <v>173</v>
      </c>
      <c r="K11562">
        <v>1806.75</v>
      </c>
      <c r="L11562">
        <v>31.88</v>
      </c>
      <c r="M11562">
        <v>69702</v>
      </c>
      <c r="N11562" t="s">
        <v>124</v>
      </c>
      <c r="O11562">
        <v>250603</v>
      </c>
      <c r="P11562">
        <v>125</v>
      </c>
    </row>
    <row r="11563" spans="1:16" x14ac:dyDescent="0.25">
      <c r="A11563" t="s">
        <v>3296</v>
      </c>
      <c r="B11563" t="s">
        <v>2931</v>
      </c>
      <c r="C11563">
        <v>7362</v>
      </c>
      <c r="D11563" t="str">
        <f>"101258      "</f>
        <v xml:space="preserve">101258      </v>
      </c>
      <c r="E11563" t="s">
        <v>3095</v>
      </c>
      <c r="F11563" t="s">
        <v>3096</v>
      </c>
      <c r="G11563">
        <v>632.5</v>
      </c>
      <c r="H11563">
        <v>250521</v>
      </c>
      <c r="I11563">
        <v>4860</v>
      </c>
      <c r="J11563" t="s">
        <v>286</v>
      </c>
      <c r="K11563">
        <v>1806.75</v>
      </c>
      <c r="L11563">
        <v>128.52000000000001</v>
      </c>
      <c r="M11563">
        <v>17972</v>
      </c>
      <c r="N11563" t="s">
        <v>28</v>
      </c>
      <c r="O11563">
        <v>250603</v>
      </c>
      <c r="P11563">
        <v>503.98</v>
      </c>
    </row>
    <row r="11564" spans="1:16" x14ac:dyDescent="0.25">
      <c r="A11564" t="s">
        <v>3296</v>
      </c>
      <c r="B11564" t="s">
        <v>2931</v>
      </c>
      <c r="C11564">
        <v>7362</v>
      </c>
      <c r="D11564" t="str">
        <f>"101258      "</f>
        <v xml:space="preserve">101258      </v>
      </c>
      <c r="E11564" t="s">
        <v>3095</v>
      </c>
      <c r="F11564" t="s">
        <v>3096</v>
      </c>
      <c r="G11564">
        <v>632.49</v>
      </c>
      <c r="H11564">
        <v>250521</v>
      </c>
      <c r="I11564">
        <v>4860</v>
      </c>
      <c r="J11564" t="s">
        <v>286</v>
      </c>
      <c r="K11564">
        <v>1806.75</v>
      </c>
      <c r="L11564">
        <v>128.51</v>
      </c>
      <c r="M11564">
        <v>69702</v>
      </c>
      <c r="N11564" t="s">
        <v>124</v>
      </c>
      <c r="O11564">
        <v>250603</v>
      </c>
      <c r="P11564">
        <v>503.98</v>
      </c>
    </row>
    <row r="11565" spans="1:16" x14ac:dyDescent="0.25">
      <c r="A11565" t="s">
        <v>3296</v>
      </c>
      <c r="B11565" t="s">
        <v>2931</v>
      </c>
      <c r="C11565">
        <v>7276</v>
      </c>
      <c r="D11565" t="str">
        <f>"270525      "</f>
        <v xml:space="preserve">270525      </v>
      </c>
      <c r="E11565" t="s">
        <v>1939</v>
      </c>
      <c r="F11565" t="s">
        <v>1940</v>
      </c>
      <c r="G11565">
        <v>371</v>
      </c>
      <c r="H11565">
        <v>250526</v>
      </c>
      <c r="I11565">
        <v>4364</v>
      </c>
      <c r="J11565" t="s">
        <v>470</v>
      </c>
      <c r="K11565">
        <v>4261.2</v>
      </c>
      <c r="L11565">
        <v>75.38</v>
      </c>
      <c r="M11565">
        <v>11605</v>
      </c>
      <c r="N11565" t="s">
        <v>1066</v>
      </c>
      <c r="O11565">
        <v>250602</v>
      </c>
      <c r="P11565">
        <v>295.62</v>
      </c>
    </row>
    <row r="11566" spans="1:16" x14ac:dyDescent="0.25">
      <c r="A11566" t="s">
        <v>3296</v>
      </c>
      <c r="B11566" t="s">
        <v>2931</v>
      </c>
      <c r="C11566">
        <v>7276</v>
      </c>
      <c r="D11566" t="str">
        <f>"270525      "</f>
        <v xml:space="preserve">270525      </v>
      </c>
      <c r="E11566" t="s">
        <v>1939</v>
      </c>
      <c r="F11566" t="s">
        <v>1940</v>
      </c>
      <c r="G11566">
        <v>3890.2</v>
      </c>
      <c r="H11566">
        <v>250526</v>
      </c>
      <c r="I11566">
        <v>4470</v>
      </c>
      <c r="J11566" t="s">
        <v>203</v>
      </c>
      <c r="K11566">
        <v>4261.2</v>
      </c>
      <c r="L11566">
        <v>477.74</v>
      </c>
      <c r="M11566">
        <v>11605</v>
      </c>
      <c r="N11566" t="s">
        <v>1066</v>
      </c>
      <c r="O11566">
        <v>250602</v>
      </c>
      <c r="P11566">
        <v>3412.46</v>
      </c>
    </row>
    <row r="11567" spans="1:16" x14ac:dyDescent="0.25">
      <c r="A11567" t="s">
        <v>3296</v>
      </c>
      <c r="B11567" t="s">
        <v>2931</v>
      </c>
      <c r="C11567">
        <v>1802</v>
      </c>
      <c r="D11567" t="str">
        <f>"13715       "</f>
        <v xml:space="preserve">13715       </v>
      </c>
      <c r="E11567" t="s">
        <v>1125</v>
      </c>
      <c r="F11567" t="s">
        <v>1126</v>
      </c>
      <c r="G11567">
        <v>512.79999999999995</v>
      </c>
      <c r="H11567">
        <v>250210</v>
      </c>
      <c r="I11567">
        <v>4390</v>
      </c>
      <c r="J11567" t="s">
        <v>232</v>
      </c>
      <c r="K11567">
        <v>512.79999999999995</v>
      </c>
      <c r="L11567">
        <v>104.19</v>
      </c>
      <c r="M11567">
        <v>59501</v>
      </c>
      <c r="N11567" t="s">
        <v>62</v>
      </c>
      <c r="O11567">
        <v>250214</v>
      </c>
      <c r="P11567">
        <v>408.61</v>
      </c>
    </row>
    <row r="11568" spans="1:16" x14ac:dyDescent="0.25">
      <c r="A11568" t="s">
        <v>3296</v>
      </c>
      <c r="B11568" t="s">
        <v>2931</v>
      </c>
      <c r="C11568">
        <v>17602</v>
      </c>
      <c r="D11568" t="str">
        <f>"14324       "</f>
        <v xml:space="preserve">14324       </v>
      </c>
      <c r="E11568" t="s">
        <v>1125</v>
      </c>
      <c r="F11568" t="s">
        <v>1126</v>
      </c>
      <c r="G11568">
        <v>1270.69</v>
      </c>
      <c r="H11568">
        <v>251217</v>
      </c>
      <c r="I11568">
        <v>4390</v>
      </c>
      <c r="J11568" t="s">
        <v>232</v>
      </c>
      <c r="K11568">
        <v>1270.69</v>
      </c>
      <c r="L11568">
        <v>258.19</v>
      </c>
      <c r="M11568">
        <v>59501</v>
      </c>
      <c r="N11568" t="s">
        <v>62</v>
      </c>
      <c r="O11568">
        <v>251223</v>
      </c>
      <c r="P11568">
        <v>1012.5</v>
      </c>
    </row>
    <row r="11569" spans="1:16" x14ac:dyDescent="0.25">
      <c r="A11569" t="s">
        <v>3296</v>
      </c>
      <c r="B11569" t="s">
        <v>2931</v>
      </c>
      <c r="C11569">
        <v>3519</v>
      </c>
      <c r="D11569" t="str">
        <f>"30252035    "</f>
        <v xml:space="preserve">30252035    </v>
      </c>
      <c r="E11569" t="s">
        <v>1449</v>
      </c>
      <c r="F11569" t="s">
        <v>1450</v>
      </c>
      <c r="G11569">
        <v>246.61</v>
      </c>
      <c r="H11569">
        <v>250311</v>
      </c>
      <c r="I11569">
        <v>4580</v>
      </c>
      <c r="J11569" t="s">
        <v>126</v>
      </c>
      <c r="K11569">
        <v>246.61</v>
      </c>
      <c r="L11569">
        <v>50.11</v>
      </c>
      <c r="M11569">
        <v>17538</v>
      </c>
      <c r="N11569" t="s">
        <v>129</v>
      </c>
      <c r="O11569">
        <v>250325</v>
      </c>
      <c r="P11569">
        <v>196.5</v>
      </c>
    </row>
    <row r="11570" spans="1:16" x14ac:dyDescent="0.25">
      <c r="A11570" t="s">
        <v>3296</v>
      </c>
      <c r="B11570" t="s">
        <v>2931</v>
      </c>
      <c r="C11570">
        <v>13373</v>
      </c>
      <c r="D11570" t="str">
        <f>"30257996    "</f>
        <v xml:space="preserve">30257996    </v>
      </c>
      <c r="E11570" t="s">
        <v>1449</v>
      </c>
      <c r="F11570" t="s">
        <v>1450</v>
      </c>
      <c r="G11570">
        <v>245.98</v>
      </c>
      <c r="H11570">
        <v>250930</v>
      </c>
      <c r="I11570">
        <v>4580</v>
      </c>
      <c r="J11570" t="s">
        <v>126</v>
      </c>
      <c r="K11570">
        <v>245.98</v>
      </c>
      <c r="L11570">
        <v>49.98</v>
      </c>
      <c r="M11570">
        <v>17538</v>
      </c>
      <c r="N11570" t="s">
        <v>129</v>
      </c>
      <c r="O11570">
        <v>251008</v>
      </c>
      <c r="P11570">
        <v>196</v>
      </c>
    </row>
    <row r="11571" spans="1:16" x14ac:dyDescent="0.25">
      <c r="A11571" t="s">
        <v>3296</v>
      </c>
      <c r="B11571" t="s">
        <v>2931</v>
      </c>
      <c r="C11571">
        <v>6672</v>
      </c>
      <c r="D11571" t="str">
        <f>"70002800    "</f>
        <v xml:space="preserve">70002800    </v>
      </c>
      <c r="E11571" t="s">
        <v>2915</v>
      </c>
      <c r="F11571" t="s">
        <v>2916</v>
      </c>
      <c r="G11571">
        <v>239</v>
      </c>
      <c r="H11571">
        <v>250430</v>
      </c>
      <c r="I11571">
        <v>4440</v>
      </c>
      <c r="J11571" t="s">
        <v>346</v>
      </c>
      <c r="K11571">
        <v>239</v>
      </c>
      <c r="L11571">
        <v>0</v>
      </c>
      <c r="M11571">
        <v>17522</v>
      </c>
      <c r="N11571" t="s">
        <v>137</v>
      </c>
      <c r="O11571">
        <v>250515</v>
      </c>
      <c r="P11571">
        <v>239</v>
      </c>
    </row>
    <row r="11572" spans="1:16" x14ac:dyDescent="0.25">
      <c r="A11572" t="s">
        <v>3296</v>
      </c>
      <c r="B11572" t="s">
        <v>2931</v>
      </c>
      <c r="C11572">
        <v>3429</v>
      </c>
      <c r="D11572" t="str">
        <f>"108083      "</f>
        <v xml:space="preserve">108083      </v>
      </c>
      <c r="E11572" t="s">
        <v>1429</v>
      </c>
      <c r="F11572" t="s">
        <v>1430</v>
      </c>
      <c r="G11572">
        <v>251.05</v>
      </c>
      <c r="H11572">
        <v>250307</v>
      </c>
      <c r="I11572">
        <v>1198</v>
      </c>
      <c r="J11572" t="s">
        <v>610</v>
      </c>
      <c r="K11572">
        <v>251.05</v>
      </c>
      <c r="L11572">
        <v>51.01</v>
      </c>
      <c r="M11572">
        <v>97629</v>
      </c>
      <c r="N11572" t="s">
        <v>1110</v>
      </c>
      <c r="O11572">
        <v>250321</v>
      </c>
      <c r="P11572">
        <v>200.04</v>
      </c>
    </row>
    <row r="11573" spans="1:16" x14ac:dyDescent="0.25">
      <c r="A11573" t="s">
        <v>3296</v>
      </c>
      <c r="B11573" t="s">
        <v>2931</v>
      </c>
      <c r="C11573">
        <v>232</v>
      </c>
      <c r="D11573" t="str">
        <f>"21-157891   "</f>
        <v xml:space="preserve">21-157891   </v>
      </c>
      <c r="E11573" t="s">
        <v>362</v>
      </c>
      <c r="F11573" t="s">
        <v>363</v>
      </c>
      <c r="G11573">
        <v>170.68</v>
      </c>
      <c r="H11573">
        <v>250109</v>
      </c>
      <c r="I11573">
        <v>4367</v>
      </c>
      <c r="J11573" t="s">
        <v>159</v>
      </c>
      <c r="K11573">
        <v>397.84</v>
      </c>
      <c r="L11573">
        <v>34.68</v>
      </c>
      <c r="M11573">
        <v>49501</v>
      </c>
      <c r="N11573" t="s">
        <v>110</v>
      </c>
      <c r="O11573">
        <v>250120</v>
      </c>
      <c r="P11573">
        <v>136</v>
      </c>
    </row>
    <row r="11574" spans="1:16" x14ac:dyDescent="0.25">
      <c r="A11574" t="s">
        <v>3296</v>
      </c>
      <c r="B11574" t="s">
        <v>2931</v>
      </c>
      <c r="C11574">
        <v>232</v>
      </c>
      <c r="D11574" t="str">
        <f>"21-157891   "</f>
        <v xml:space="preserve">21-157891   </v>
      </c>
      <c r="E11574" t="s">
        <v>362</v>
      </c>
      <c r="F11574" t="s">
        <v>363</v>
      </c>
      <c r="G11574">
        <v>79.06</v>
      </c>
      <c r="H11574">
        <v>250109</v>
      </c>
      <c r="I11574">
        <v>4367</v>
      </c>
      <c r="J11574" t="s">
        <v>159</v>
      </c>
      <c r="K11574">
        <v>397.84</v>
      </c>
      <c r="L11574">
        <v>16.059999999999999</v>
      </c>
      <c r="M11574">
        <v>49503</v>
      </c>
      <c r="N11574" t="s">
        <v>267</v>
      </c>
      <c r="O11574">
        <v>250120</v>
      </c>
      <c r="P11574">
        <v>63</v>
      </c>
    </row>
    <row r="11575" spans="1:16" x14ac:dyDescent="0.25">
      <c r="A11575" t="s">
        <v>3296</v>
      </c>
      <c r="B11575" t="s">
        <v>2931</v>
      </c>
      <c r="C11575">
        <v>232</v>
      </c>
      <c r="D11575" t="str">
        <f>"21-157891   "</f>
        <v xml:space="preserve">21-157891   </v>
      </c>
      <c r="E11575" t="s">
        <v>362</v>
      </c>
      <c r="F11575" t="s">
        <v>363</v>
      </c>
      <c r="G11575">
        <v>69.03</v>
      </c>
      <c r="H11575">
        <v>250109</v>
      </c>
      <c r="I11575">
        <v>4367</v>
      </c>
      <c r="J11575" t="s">
        <v>159</v>
      </c>
      <c r="K11575">
        <v>397.84</v>
      </c>
      <c r="L11575">
        <v>14.03</v>
      </c>
      <c r="M11575">
        <v>59501</v>
      </c>
      <c r="N11575" t="s">
        <v>62</v>
      </c>
      <c r="O11575">
        <v>250120</v>
      </c>
      <c r="P11575">
        <v>55</v>
      </c>
    </row>
    <row r="11576" spans="1:16" x14ac:dyDescent="0.25">
      <c r="A11576" t="s">
        <v>3296</v>
      </c>
      <c r="B11576" t="s">
        <v>2931</v>
      </c>
      <c r="C11576">
        <v>232</v>
      </c>
      <c r="D11576" t="str">
        <f>"21-157891   "</f>
        <v xml:space="preserve">21-157891   </v>
      </c>
      <c r="E11576" t="s">
        <v>362</v>
      </c>
      <c r="F11576" t="s">
        <v>363</v>
      </c>
      <c r="G11576">
        <v>48.23</v>
      </c>
      <c r="H11576">
        <v>250109</v>
      </c>
      <c r="I11576">
        <v>4367</v>
      </c>
      <c r="J11576" t="s">
        <v>159</v>
      </c>
      <c r="K11576">
        <v>397.84</v>
      </c>
      <c r="L11576">
        <v>9.8000000000000007</v>
      </c>
      <c r="M11576">
        <v>59502</v>
      </c>
      <c r="N11576" t="s">
        <v>63</v>
      </c>
      <c r="O11576">
        <v>250120</v>
      </c>
      <c r="P11576">
        <v>38.43</v>
      </c>
    </row>
    <row r="11577" spans="1:16" x14ac:dyDescent="0.25">
      <c r="A11577" t="s">
        <v>3296</v>
      </c>
      <c r="B11577" t="s">
        <v>2931</v>
      </c>
      <c r="C11577">
        <v>232</v>
      </c>
      <c r="D11577" t="str">
        <f>"21-157891   "</f>
        <v xml:space="preserve">21-157891   </v>
      </c>
      <c r="E11577" t="s">
        <v>362</v>
      </c>
      <c r="F11577" t="s">
        <v>363</v>
      </c>
      <c r="G11577">
        <v>30.84</v>
      </c>
      <c r="H11577">
        <v>250109</v>
      </c>
      <c r="I11577">
        <v>4367</v>
      </c>
      <c r="J11577" t="s">
        <v>159</v>
      </c>
      <c r="K11577">
        <v>397.84</v>
      </c>
      <c r="L11577">
        <v>6.27</v>
      </c>
      <c r="M11577">
        <v>59802</v>
      </c>
      <c r="N11577" t="s">
        <v>195</v>
      </c>
      <c r="O11577">
        <v>250120</v>
      </c>
      <c r="P11577">
        <v>24.57</v>
      </c>
    </row>
    <row r="11578" spans="1:16" x14ac:dyDescent="0.25">
      <c r="A11578" t="s">
        <v>3296</v>
      </c>
      <c r="B11578" t="s">
        <v>2931</v>
      </c>
      <c r="C11578">
        <v>1255</v>
      </c>
      <c r="D11578" t="str">
        <f>"21-165063   "</f>
        <v xml:space="preserve">21-165063   </v>
      </c>
      <c r="E11578" t="s">
        <v>362</v>
      </c>
      <c r="F11578" t="s">
        <v>363</v>
      </c>
      <c r="G11578">
        <v>170.68</v>
      </c>
      <c r="H11578">
        <v>250201</v>
      </c>
      <c r="I11578">
        <v>4367</v>
      </c>
      <c r="J11578" t="s">
        <v>159</v>
      </c>
      <c r="K11578">
        <v>397.84</v>
      </c>
      <c r="L11578">
        <v>34.68</v>
      </c>
      <c r="M11578">
        <v>49501</v>
      </c>
      <c r="N11578" t="s">
        <v>110</v>
      </c>
      <c r="O11578">
        <v>250206</v>
      </c>
      <c r="P11578">
        <v>136</v>
      </c>
    </row>
    <row r="11579" spans="1:16" x14ac:dyDescent="0.25">
      <c r="A11579" t="s">
        <v>3296</v>
      </c>
      <c r="B11579" t="s">
        <v>2931</v>
      </c>
      <c r="C11579">
        <v>1255</v>
      </c>
      <c r="D11579" t="str">
        <f>"21-165063   "</f>
        <v xml:space="preserve">21-165063   </v>
      </c>
      <c r="E11579" t="s">
        <v>362</v>
      </c>
      <c r="F11579" t="s">
        <v>363</v>
      </c>
      <c r="G11579">
        <v>79.06</v>
      </c>
      <c r="H11579">
        <v>250201</v>
      </c>
      <c r="I11579">
        <v>4367</v>
      </c>
      <c r="J11579" t="s">
        <v>159</v>
      </c>
      <c r="K11579">
        <v>397.84</v>
      </c>
      <c r="L11579">
        <v>16.059999999999999</v>
      </c>
      <c r="M11579">
        <v>49503</v>
      </c>
      <c r="N11579" t="s">
        <v>267</v>
      </c>
      <c r="O11579">
        <v>250206</v>
      </c>
      <c r="P11579">
        <v>63</v>
      </c>
    </row>
    <row r="11580" spans="1:16" x14ac:dyDescent="0.25">
      <c r="A11580" t="s">
        <v>3296</v>
      </c>
      <c r="B11580" t="s">
        <v>2931</v>
      </c>
      <c r="C11580">
        <v>1255</v>
      </c>
      <c r="D11580" t="str">
        <f>"21-165063   "</f>
        <v xml:space="preserve">21-165063   </v>
      </c>
      <c r="E11580" t="s">
        <v>362</v>
      </c>
      <c r="F11580" t="s">
        <v>363</v>
      </c>
      <c r="G11580">
        <v>69.03</v>
      </c>
      <c r="H11580">
        <v>250201</v>
      </c>
      <c r="I11580">
        <v>4367</v>
      </c>
      <c r="J11580" t="s">
        <v>159</v>
      </c>
      <c r="K11580">
        <v>397.84</v>
      </c>
      <c r="L11580">
        <v>14.03</v>
      </c>
      <c r="M11580">
        <v>59501</v>
      </c>
      <c r="N11580" t="s">
        <v>62</v>
      </c>
      <c r="O11580">
        <v>250206</v>
      </c>
      <c r="P11580">
        <v>55</v>
      </c>
    </row>
    <row r="11581" spans="1:16" x14ac:dyDescent="0.25">
      <c r="A11581" t="s">
        <v>3296</v>
      </c>
      <c r="B11581" t="s">
        <v>2931</v>
      </c>
      <c r="C11581">
        <v>1255</v>
      </c>
      <c r="D11581" t="str">
        <f>"21-165063   "</f>
        <v xml:space="preserve">21-165063   </v>
      </c>
      <c r="E11581" t="s">
        <v>362</v>
      </c>
      <c r="F11581" t="s">
        <v>363</v>
      </c>
      <c r="G11581">
        <v>48.24</v>
      </c>
      <c r="H11581">
        <v>250201</v>
      </c>
      <c r="I11581">
        <v>4367</v>
      </c>
      <c r="J11581" t="s">
        <v>159</v>
      </c>
      <c r="K11581">
        <v>397.84</v>
      </c>
      <c r="L11581">
        <v>9.8000000000000007</v>
      </c>
      <c r="M11581">
        <v>59502</v>
      </c>
      <c r="N11581" t="s">
        <v>63</v>
      </c>
      <c r="O11581">
        <v>250206</v>
      </c>
      <c r="P11581">
        <v>38.44</v>
      </c>
    </row>
    <row r="11582" spans="1:16" x14ac:dyDescent="0.25">
      <c r="A11582" t="s">
        <v>3296</v>
      </c>
      <c r="B11582" t="s">
        <v>2931</v>
      </c>
      <c r="C11582">
        <v>1255</v>
      </c>
      <c r="D11582" t="str">
        <f>"21-165063   "</f>
        <v xml:space="preserve">21-165063   </v>
      </c>
      <c r="E11582" t="s">
        <v>362</v>
      </c>
      <c r="F11582" t="s">
        <v>363</v>
      </c>
      <c r="G11582">
        <v>30.83</v>
      </c>
      <c r="H11582">
        <v>250201</v>
      </c>
      <c r="I11582">
        <v>4367</v>
      </c>
      <c r="J11582" t="s">
        <v>159</v>
      </c>
      <c r="K11582">
        <v>397.84</v>
      </c>
      <c r="L11582">
        <v>6.26</v>
      </c>
      <c r="M11582">
        <v>59802</v>
      </c>
      <c r="N11582" t="s">
        <v>195</v>
      </c>
      <c r="O11582">
        <v>250206</v>
      </c>
      <c r="P11582">
        <v>24.57</v>
      </c>
    </row>
    <row r="11583" spans="1:16" x14ac:dyDescent="0.25">
      <c r="A11583" t="s">
        <v>3296</v>
      </c>
      <c r="B11583" t="s">
        <v>2931</v>
      </c>
      <c r="C11583">
        <v>2824</v>
      </c>
      <c r="D11583" t="str">
        <f>"21-173347   "</f>
        <v xml:space="preserve">21-173347   </v>
      </c>
      <c r="E11583" t="s">
        <v>362</v>
      </c>
      <c r="F11583" t="s">
        <v>363</v>
      </c>
      <c r="G11583">
        <v>170.68</v>
      </c>
      <c r="H11583">
        <v>250301</v>
      </c>
      <c r="I11583">
        <v>4367</v>
      </c>
      <c r="J11583" t="s">
        <v>159</v>
      </c>
      <c r="K11583">
        <v>397.84</v>
      </c>
      <c r="L11583">
        <v>34.68</v>
      </c>
      <c r="M11583">
        <v>49501</v>
      </c>
      <c r="N11583" t="s">
        <v>110</v>
      </c>
      <c r="O11583">
        <v>250312</v>
      </c>
      <c r="P11583">
        <v>136</v>
      </c>
    </row>
    <row r="11584" spans="1:16" x14ac:dyDescent="0.25">
      <c r="A11584" t="s">
        <v>3296</v>
      </c>
      <c r="B11584" t="s">
        <v>2931</v>
      </c>
      <c r="C11584">
        <v>2824</v>
      </c>
      <c r="D11584" t="str">
        <f>"21-173347   "</f>
        <v xml:space="preserve">21-173347   </v>
      </c>
      <c r="E11584" t="s">
        <v>362</v>
      </c>
      <c r="F11584" t="s">
        <v>363</v>
      </c>
      <c r="G11584">
        <v>79.06</v>
      </c>
      <c r="H11584">
        <v>250301</v>
      </c>
      <c r="I11584">
        <v>4367</v>
      </c>
      <c r="J11584" t="s">
        <v>159</v>
      </c>
      <c r="K11584">
        <v>397.84</v>
      </c>
      <c r="L11584">
        <v>16.059999999999999</v>
      </c>
      <c r="M11584">
        <v>49503</v>
      </c>
      <c r="N11584" t="s">
        <v>267</v>
      </c>
      <c r="O11584">
        <v>250312</v>
      </c>
      <c r="P11584">
        <v>63</v>
      </c>
    </row>
    <row r="11585" spans="1:16" x14ac:dyDescent="0.25">
      <c r="A11585" t="s">
        <v>3296</v>
      </c>
      <c r="B11585" t="s">
        <v>2931</v>
      </c>
      <c r="C11585">
        <v>2824</v>
      </c>
      <c r="D11585" t="str">
        <f>"21-173347   "</f>
        <v xml:space="preserve">21-173347   </v>
      </c>
      <c r="E11585" t="s">
        <v>362</v>
      </c>
      <c r="F11585" t="s">
        <v>363</v>
      </c>
      <c r="G11585">
        <v>69.03</v>
      </c>
      <c r="H11585">
        <v>250301</v>
      </c>
      <c r="I11585">
        <v>4367</v>
      </c>
      <c r="J11585" t="s">
        <v>159</v>
      </c>
      <c r="K11585">
        <v>397.84</v>
      </c>
      <c r="L11585">
        <v>14.03</v>
      </c>
      <c r="M11585">
        <v>59501</v>
      </c>
      <c r="N11585" t="s">
        <v>62</v>
      </c>
      <c r="O11585">
        <v>250312</v>
      </c>
      <c r="P11585">
        <v>55</v>
      </c>
    </row>
    <row r="11586" spans="1:16" x14ac:dyDescent="0.25">
      <c r="A11586" t="s">
        <v>3296</v>
      </c>
      <c r="B11586" t="s">
        <v>2931</v>
      </c>
      <c r="C11586">
        <v>2824</v>
      </c>
      <c r="D11586" t="str">
        <f>"21-173347   "</f>
        <v xml:space="preserve">21-173347   </v>
      </c>
      <c r="E11586" t="s">
        <v>362</v>
      </c>
      <c r="F11586" t="s">
        <v>363</v>
      </c>
      <c r="G11586">
        <v>48.24</v>
      </c>
      <c r="H11586">
        <v>250301</v>
      </c>
      <c r="I11586">
        <v>4367</v>
      </c>
      <c r="J11586" t="s">
        <v>159</v>
      </c>
      <c r="K11586">
        <v>397.84</v>
      </c>
      <c r="L11586">
        <v>9.8000000000000007</v>
      </c>
      <c r="M11586">
        <v>59502</v>
      </c>
      <c r="N11586" t="s">
        <v>63</v>
      </c>
      <c r="O11586">
        <v>250312</v>
      </c>
      <c r="P11586">
        <v>38.44</v>
      </c>
    </row>
    <row r="11587" spans="1:16" x14ac:dyDescent="0.25">
      <c r="A11587" t="s">
        <v>3296</v>
      </c>
      <c r="B11587" t="s">
        <v>2931</v>
      </c>
      <c r="C11587">
        <v>2824</v>
      </c>
      <c r="D11587" t="str">
        <f>"21-173347   "</f>
        <v xml:space="preserve">21-173347   </v>
      </c>
      <c r="E11587" t="s">
        <v>362</v>
      </c>
      <c r="F11587" t="s">
        <v>363</v>
      </c>
      <c r="G11587">
        <v>30.83</v>
      </c>
      <c r="H11587">
        <v>250301</v>
      </c>
      <c r="I11587">
        <v>4367</v>
      </c>
      <c r="J11587" t="s">
        <v>159</v>
      </c>
      <c r="K11587">
        <v>397.84</v>
      </c>
      <c r="L11587">
        <v>6.26</v>
      </c>
      <c r="M11587">
        <v>59802</v>
      </c>
      <c r="N11587" t="s">
        <v>195</v>
      </c>
      <c r="O11587">
        <v>250312</v>
      </c>
      <c r="P11587">
        <v>24.57</v>
      </c>
    </row>
    <row r="11588" spans="1:16" x14ac:dyDescent="0.25">
      <c r="A11588" t="s">
        <v>3296</v>
      </c>
      <c r="B11588" t="s">
        <v>2931</v>
      </c>
      <c r="C11588">
        <v>4227</v>
      </c>
      <c r="D11588" t="str">
        <f>"21-181501   "</f>
        <v xml:space="preserve">21-181501   </v>
      </c>
      <c r="E11588" t="s">
        <v>362</v>
      </c>
      <c r="F11588" t="s">
        <v>363</v>
      </c>
      <c r="G11588">
        <v>170.68</v>
      </c>
      <c r="H11588">
        <v>250401</v>
      </c>
      <c r="I11588">
        <v>4367</v>
      </c>
      <c r="J11588" t="s">
        <v>159</v>
      </c>
      <c r="K11588">
        <v>397.84</v>
      </c>
      <c r="L11588">
        <v>34.68</v>
      </c>
      <c r="M11588">
        <v>49501</v>
      </c>
      <c r="N11588" t="s">
        <v>110</v>
      </c>
      <c r="O11588">
        <v>250409</v>
      </c>
      <c r="P11588">
        <v>136</v>
      </c>
    </row>
    <row r="11589" spans="1:16" x14ac:dyDescent="0.25">
      <c r="A11589" t="s">
        <v>3296</v>
      </c>
      <c r="B11589" t="s">
        <v>2931</v>
      </c>
      <c r="C11589">
        <v>4227</v>
      </c>
      <c r="D11589" t="str">
        <f>"21-181501   "</f>
        <v xml:space="preserve">21-181501   </v>
      </c>
      <c r="E11589" t="s">
        <v>362</v>
      </c>
      <c r="F11589" t="s">
        <v>363</v>
      </c>
      <c r="G11589">
        <v>79.069999999999993</v>
      </c>
      <c r="H11589">
        <v>250401</v>
      </c>
      <c r="I11589">
        <v>4367</v>
      </c>
      <c r="J11589" t="s">
        <v>159</v>
      </c>
      <c r="K11589">
        <v>397.84</v>
      </c>
      <c r="L11589">
        <v>16.07</v>
      </c>
      <c r="M11589">
        <v>49503</v>
      </c>
      <c r="N11589" t="s">
        <v>267</v>
      </c>
      <c r="O11589">
        <v>250409</v>
      </c>
      <c r="P11589">
        <v>63</v>
      </c>
    </row>
    <row r="11590" spans="1:16" x14ac:dyDescent="0.25">
      <c r="A11590" t="s">
        <v>3296</v>
      </c>
      <c r="B11590" t="s">
        <v>2931</v>
      </c>
      <c r="C11590">
        <v>4227</v>
      </c>
      <c r="D11590" t="str">
        <f>"21-181501   "</f>
        <v xml:space="preserve">21-181501   </v>
      </c>
      <c r="E11590" t="s">
        <v>362</v>
      </c>
      <c r="F11590" t="s">
        <v>363</v>
      </c>
      <c r="G11590">
        <v>69.03</v>
      </c>
      <c r="H11590">
        <v>250401</v>
      </c>
      <c r="I11590">
        <v>4367</v>
      </c>
      <c r="J11590" t="s">
        <v>159</v>
      </c>
      <c r="K11590">
        <v>397.84</v>
      </c>
      <c r="L11590">
        <v>14.03</v>
      </c>
      <c r="M11590">
        <v>59501</v>
      </c>
      <c r="N11590" t="s">
        <v>62</v>
      </c>
      <c r="O11590">
        <v>250409</v>
      </c>
      <c r="P11590">
        <v>55</v>
      </c>
    </row>
    <row r="11591" spans="1:16" x14ac:dyDescent="0.25">
      <c r="A11591" t="s">
        <v>3296</v>
      </c>
      <c r="B11591" t="s">
        <v>2931</v>
      </c>
      <c r="C11591">
        <v>4227</v>
      </c>
      <c r="D11591" t="str">
        <f>"21-181501   "</f>
        <v xml:space="preserve">21-181501   </v>
      </c>
      <c r="E11591" t="s">
        <v>362</v>
      </c>
      <c r="F11591" t="s">
        <v>363</v>
      </c>
      <c r="G11591">
        <v>48.24</v>
      </c>
      <c r="H11591">
        <v>250401</v>
      </c>
      <c r="I11591">
        <v>4367</v>
      </c>
      <c r="J11591" t="s">
        <v>159</v>
      </c>
      <c r="K11591">
        <v>397.84</v>
      </c>
      <c r="L11591">
        <v>9.8000000000000007</v>
      </c>
      <c r="M11591">
        <v>59502</v>
      </c>
      <c r="N11591" t="s">
        <v>63</v>
      </c>
      <c r="O11591">
        <v>250409</v>
      </c>
      <c r="P11591">
        <v>38.44</v>
      </c>
    </row>
    <row r="11592" spans="1:16" x14ac:dyDescent="0.25">
      <c r="A11592" t="s">
        <v>3296</v>
      </c>
      <c r="B11592" t="s">
        <v>2931</v>
      </c>
      <c r="C11592">
        <v>4227</v>
      </c>
      <c r="D11592" t="str">
        <f>"21-181501   "</f>
        <v xml:space="preserve">21-181501   </v>
      </c>
      <c r="E11592" t="s">
        <v>362</v>
      </c>
      <c r="F11592" t="s">
        <v>363</v>
      </c>
      <c r="G11592">
        <v>30.82</v>
      </c>
      <c r="H11592">
        <v>250401</v>
      </c>
      <c r="I11592">
        <v>4367</v>
      </c>
      <c r="J11592" t="s">
        <v>159</v>
      </c>
      <c r="K11592">
        <v>397.84</v>
      </c>
      <c r="L11592">
        <v>6.26</v>
      </c>
      <c r="M11592">
        <v>59802</v>
      </c>
      <c r="N11592" t="s">
        <v>195</v>
      </c>
      <c r="O11592">
        <v>250409</v>
      </c>
      <c r="P11592">
        <v>24.56</v>
      </c>
    </row>
    <row r="11593" spans="1:16" x14ac:dyDescent="0.25">
      <c r="A11593" t="s">
        <v>3296</v>
      </c>
      <c r="B11593" t="s">
        <v>2931</v>
      </c>
      <c r="C11593">
        <v>6236</v>
      </c>
      <c r="D11593" t="str">
        <f>"21-189434   "</f>
        <v xml:space="preserve">21-189434   </v>
      </c>
      <c r="E11593" t="s">
        <v>362</v>
      </c>
      <c r="F11593" t="s">
        <v>363</v>
      </c>
      <c r="G11593">
        <v>170.68</v>
      </c>
      <c r="H11593">
        <v>250501</v>
      </c>
      <c r="I11593">
        <v>4367</v>
      </c>
      <c r="J11593" t="s">
        <v>159</v>
      </c>
      <c r="K11593">
        <v>397.84</v>
      </c>
      <c r="L11593">
        <v>34.68</v>
      </c>
      <c r="M11593">
        <v>49501</v>
      </c>
      <c r="N11593" t="s">
        <v>110</v>
      </c>
      <c r="O11593">
        <v>250512</v>
      </c>
      <c r="P11593">
        <v>136</v>
      </c>
    </row>
    <row r="11594" spans="1:16" x14ac:dyDescent="0.25">
      <c r="A11594" t="s">
        <v>3296</v>
      </c>
      <c r="B11594" t="s">
        <v>2931</v>
      </c>
      <c r="C11594">
        <v>6236</v>
      </c>
      <c r="D11594" t="str">
        <f>"21-189434   "</f>
        <v xml:space="preserve">21-189434   </v>
      </c>
      <c r="E11594" t="s">
        <v>362</v>
      </c>
      <c r="F11594" t="s">
        <v>363</v>
      </c>
      <c r="G11594">
        <v>79.069999999999993</v>
      </c>
      <c r="H11594">
        <v>250501</v>
      </c>
      <c r="I11594">
        <v>4367</v>
      </c>
      <c r="J11594" t="s">
        <v>159</v>
      </c>
      <c r="K11594">
        <v>397.84</v>
      </c>
      <c r="L11594">
        <v>16.07</v>
      </c>
      <c r="M11594">
        <v>49503</v>
      </c>
      <c r="N11594" t="s">
        <v>267</v>
      </c>
      <c r="O11594">
        <v>250512</v>
      </c>
      <c r="P11594">
        <v>63</v>
      </c>
    </row>
    <row r="11595" spans="1:16" x14ac:dyDescent="0.25">
      <c r="A11595" t="s">
        <v>3296</v>
      </c>
      <c r="B11595" t="s">
        <v>2931</v>
      </c>
      <c r="C11595">
        <v>6236</v>
      </c>
      <c r="D11595" t="str">
        <f>"21-189434   "</f>
        <v xml:space="preserve">21-189434   </v>
      </c>
      <c r="E11595" t="s">
        <v>362</v>
      </c>
      <c r="F11595" t="s">
        <v>363</v>
      </c>
      <c r="G11595">
        <v>69</v>
      </c>
      <c r="H11595">
        <v>250501</v>
      </c>
      <c r="I11595">
        <v>4367</v>
      </c>
      <c r="J11595" t="s">
        <v>159</v>
      </c>
      <c r="K11595">
        <v>397.84</v>
      </c>
      <c r="L11595">
        <v>14.02</v>
      </c>
      <c r="M11595">
        <v>59501</v>
      </c>
      <c r="N11595" t="s">
        <v>62</v>
      </c>
      <c r="O11595">
        <v>250512</v>
      </c>
      <c r="P11595">
        <v>54.98</v>
      </c>
    </row>
    <row r="11596" spans="1:16" x14ac:dyDescent="0.25">
      <c r="A11596" t="s">
        <v>3296</v>
      </c>
      <c r="B11596" t="s">
        <v>2931</v>
      </c>
      <c r="C11596">
        <v>6236</v>
      </c>
      <c r="D11596" t="str">
        <f>"21-189434   "</f>
        <v xml:space="preserve">21-189434   </v>
      </c>
      <c r="E11596" t="s">
        <v>362</v>
      </c>
      <c r="F11596" t="s">
        <v>363</v>
      </c>
      <c r="G11596">
        <v>48.24</v>
      </c>
      <c r="H11596">
        <v>250501</v>
      </c>
      <c r="I11596">
        <v>4367</v>
      </c>
      <c r="J11596" t="s">
        <v>159</v>
      </c>
      <c r="K11596">
        <v>397.84</v>
      </c>
      <c r="L11596">
        <v>9.8000000000000007</v>
      </c>
      <c r="M11596">
        <v>59502</v>
      </c>
      <c r="N11596" t="s">
        <v>63</v>
      </c>
      <c r="O11596">
        <v>250512</v>
      </c>
      <c r="P11596">
        <v>38.44</v>
      </c>
    </row>
    <row r="11597" spans="1:16" x14ac:dyDescent="0.25">
      <c r="A11597" t="s">
        <v>3296</v>
      </c>
      <c r="B11597" t="s">
        <v>2931</v>
      </c>
      <c r="C11597">
        <v>6236</v>
      </c>
      <c r="D11597" t="str">
        <f>"21-189434   "</f>
        <v xml:space="preserve">21-189434   </v>
      </c>
      <c r="E11597" t="s">
        <v>362</v>
      </c>
      <c r="F11597" t="s">
        <v>363</v>
      </c>
      <c r="G11597">
        <v>30.85</v>
      </c>
      <c r="H11597">
        <v>250501</v>
      </c>
      <c r="I11597">
        <v>4367</v>
      </c>
      <c r="J11597" t="s">
        <v>159</v>
      </c>
      <c r="K11597">
        <v>397.84</v>
      </c>
      <c r="L11597">
        <v>6.27</v>
      </c>
      <c r="M11597">
        <v>59802</v>
      </c>
      <c r="N11597" t="s">
        <v>195</v>
      </c>
      <c r="O11597">
        <v>250512</v>
      </c>
      <c r="P11597">
        <v>24.58</v>
      </c>
    </row>
    <row r="11598" spans="1:16" x14ac:dyDescent="0.25">
      <c r="A11598" t="s">
        <v>3296</v>
      </c>
      <c r="B11598" t="s">
        <v>2931</v>
      </c>
      <c r="C11598">
        <v>8042</v>
      </c>
      <c r="D11598" t="str">
        <f>"21-196647   "</f>
        <v xml:space="preserve">21-196647   </v>
      </c>
      <c r="E11598" t="s">
        <v>362</v>
      </c>
      <c r="F11598" t="s">
        <v>363</v>
      </c>
      <c r="G11598">
        <v>170.68</v>
      </c>
      <c r="H11598">
        <v>250601</v>
      </c>
      <c r="I11598">
        <v>4367</v>
      </c>
      <c r="J11598" t="s">
        <v>159</v>
      </c>
      <c r="K11598">
        <v>397.84</v>
      </c>
      <c r="L11598">
        <v>34.68</v>
      </c>
      <c r="M11598">
        <v>49501</v>
      </c>
      <c r="N11598" t="s">
        <v>110</v>
      </c>
      <c r="O11598">
        <v>250611</v>
      </c>
      <c r="P11598">
        <v>136</v>
      </c>
    </row>
    <row r="11599" spans="1:16" x14ac:dyDescent="0.25">
      <c r="A11599" t="s">
        <v>3296</v>
      </c>
      <c r="B11599" t="s">
        <v>2931</v>
      </c>
      <c r="C11599">
        <v>8042</v>
      </c>
      <c r="D11599" t="str">
        <f>"21-196647   "</f>
        <v xml:space="preserve">21-196647   </v>
      </c>
      <c r="E11599" t="s">
        <v>362</v>
      </c>
      <c r="F11599" t="s">
        <v>363</v>
      </c>
      <c r="G11599">
        <v>79.069999999999993</v>
      </c>
      <c r="H11599">
        <v>250601</v>
      </c>
      <c r="I11599">
        <v>4367</v>
      </c>
      <c r="J11599" t="s">
        <v>159</v>
      </c>
      <c r="K11599">
        <v>397.84</v>
      </c>
      <c r="L11599">
        <v>16.07</v>
      </c>
      <c r="M11599">
        <v>49503</v>
      </c>
      <c r="N11599" t="s">
        <v>267</v>
      </c>
      <c r="O11599">
        <v>250611</v>
      </c>
      <c r="P11599">
        <v>63</v>
      </c>
    </row>
    <row r="11600" spans="1:16" x14ac:dyDescent="0.25">
      <c r="A11600" t="s">
        <v>3296</v>
      </c>
      <c r="B11600" t="s">
        <v>2931</v>
      </c>
      <c r="C11600">
        <v>8042</v>
      </c>
      <c r="D11600" t="str">
        <f>"21-196647   "</f>
        <v xml:space="preserve">21-196647   </v>
      </c>
      <c r="E11600" t="s">
        <v>362</v>
      </c>
      <c r="F11600" t="s">
        <v>363</v>
      </c>
      <c r="G11600">
        <v>69.03</v>
      </c>
      <c r="H11600">
        <v>250601</v>
      </c>
      <c r="I11600">
        <v>4367</v>
      </c>
      <c r="J11600" t="s">
        <v>159</v>
      </c>
      <c r="K11600">
        <v>397.84</v>
      </c>
      <c r="L11600">
        <v>14.03</v>
      </c>
      <c r="M11600">
        <v>59501</v>
      </c>
      <c r="N11600" t="s">
        <v>62</v>
      </c>
      <c r="O11600">
        <v>250611</v>
      </c>
      <c r="P11600">
        <v>55</v>
      </c>
    </row>
    <row r="11601" spans="1:16" x14ac:dyDescent="0.25">
      <c r="A11601" t="s">
        <v>3296</v>
      </c>
      <c r="B11601" t="s">
        <v>2931</v>
      </c>
      <c r="C11601">
        <v>8042</v>
      </c>
      <c r="D11601" t="str">
        <f>"21-196647   "</f>
        <v xml:space="preserve">21-196647   </v>
      </c>
      <c r="E11601" t="s">
        <v>362</v>
      </c>
      <c r="F11601" t="s">
        <v>363</v>
      </c>
      <c r="G11601">
        <v>48.24</v>
      </c>
      <c r="H11601">
        <v>250601</v>
      </c>
      <c r="I11601">
        <v>4367</v>
      </c>
      <c r="J11601" t="s">
        <v>159</v>
      </c>
      <c r="K11601">
        <v>397.84</v>
      </c>
      <c r="L11601">
        <v>9.8000000000000007</v>
      </c>
      <c r="M11601">
        <v>59502</v>
      </c>
      <c r="N11601" t="s">
        <v>63</v>
      </c>
      <c r="O11601">
        <v>250611</v>
      </c>
      <c r="P11601">
        <v>38.44</v>
      </c>
    </row>
    <row r="11602" spans="1:16" x14ac:dyDescent="0.25">
      <c r="A11602" t="s">
        <v>3296</v>
      </c>
      <c r="B11602" t="s">
        <v>2931</v>
      </c>
      <c r="C11602">
        <v>8042</v>
      </c>
      <c r="D11602" t="str">
        <f>"21-196647   "</f>
        <v xml:space="preserve">21-196647   </v>
      </c>
      <c r="E11602" t="s">
        <v>362</v>
      </c>
      <c r="F11602" t="s">
        <v>363</v>
      </c>
      <c r="G11602">
        <v>30.82</v>
      </c>
      <c r="H11602">
        <v>250601</v>
      </c>
      <c r="I11602">
        <v>4367</v>
      </c>
      <c r="J11602" t="s">
        <v>159</v>
      </c>
      <c r="K11602">
        <v>397.84</v>
      </c>
      <c r="L11602">
        <v>6.26</v>
      </c>
      <c r="M11602">
        <v>59802</v>
      </c>
      <c r="N11602" t="s">
        <v>195</v>
      </c>
      <c r="O11602">
        <v>250611</v>
      </c>
      <c r="P11602">
        <v>24.56</v>
      </c>
    </row>
    <row r="11603" spans="1:16" x14ac:dyDescent="0.25">
      <c r="A11603" t="s">
        <v>3296</v>
      </c>
      <c r="B11603" t="s">
        <v>2931</v>
      </c>
      <c r="C11603">
        <v>9593</v>
      </c>
      <c r="D11603" t="str">
        <f>"21-205450   "</f>
        <v xml:space="preserve">21-205450   </v>
      </c>
      <c r="E11603" t="s">
        <v>362</v>
      </c>
      <c r="F11603" t="s">
        <v>363</v>
      </c>
      <c r="G11603">
        <v>170.68</v>
      </c>
      <c r="H11603">
        <v>250701</v>
      </c>
      <c r="I11603">
        <v>4367</v>
      </c>
      <c r="J11603" t="s">
        <v>159</v>
      </c>
      <c r="K11603">
        <v>397.84</v>
      </c>
      <c r="L11603">
        <v>34.68</v>
      </c>
      <c r="M11603">
        <v>49501</v>
      </c>
      <c r="N11603" t="s">
        <v>110</v>
      </c>
      <c r="O11603">
        <v>250721</v>
      </c>
      <c r="P11603">
        <v>136</v>
      </c>
    </row>
    <row r="11604" spans="1:16" x14ac:dyDescent="0.25">
      <c r="A11604" t="s">
        <v>3296</v>
      </c>
      <c r="B11604" t="s">
        <v>2931</v>
      </c>
      <c r="C11604">
        <v>9593</v>
      </c>
      <c r="D11604" t="str">
        <f>"21-205450   "</f>
        <v xml:space="preserve">21-205450   </v>
      </c>
      <c r="E11604" t="s">
        <v>362</v>
      </c>
      <c r="F11604" t="s">
        <v>363</v>
      </c>
      <c r="G11604">
        <v>79.06</v>
      </c>
      <c r="H11604">
        <v>250701</v>
      </c>
      <c r="I11604">
        <v>4367</v>
      </c>
      <c r="J11604" t="s">
        <v>159</v>
      </c>
      <c r="K11604">
        <v>397.84</v>
      </c>
      <c r="L11604">
        <v>16.059999999999999</v>
      </c>
      <c r="M11604">
        <v>49503</v>
      </c>
      <c r="N11604" t="s">
        <v>267</v>
      </c>
      <c r="O11604">
        <v>250721</v>
      </c>
      <c r="P11604">
        <v>63</v>
      </c>
    </row>
    <row r="11605" spans="1:16" x14ac:dyDescent="0.25">
      <c r="A11605" t="s">
        <v>3296</v>
      </c>
      <c r="B11605" t="s">
        <v>2931</v>
      </c>
      <c r="C11605">
        <v>9593</v>
      </c>
      <c r="D11605" t="str">
        <f>"21-205450   "</f>
        <v xml:space="preserve">21-205450   </v>
      </c>
      <c r="E11605" t="s">
        <v>362</v>
      </c>
      <c r="F11605" t="s">
        <v>363</v>
      </c>
      <c r="G11605">
        <v>69.010000000000005</v>
      </c>
      <c r="H11605">
        <v>250701</v>
      </c>
      <c r="I11605">
        <v>4367</v>
      </c>
      <c r="J11605" t="s">
        <v>159</v>
      </c>
      <c r="K11605">
        <v>397.84</v>
      </c>
      <c r="L11605">
        <v>14.02</v>
      </c>
      <c r="M11605">
        <v>59501</v>
      </c>
      <c r="N11605" t="s">
        <v>62</v>
      </c>
      <c r="O11605">
        <v>250721</v>
      </c>
      <c r="P11605">
        <v>54.99</v>
      </c>
    </row>
    <row r="11606" spans="1:16" x14ac:dyDescent="0.25">
      <c r="A11606" t="s">
        <v>3296</v>
      </c>
      <c r="B11606" t="s">
        <v>2931</v>
      </c>
      <c r="C11606">
        <v>9593</v>
      </c>
      <c r="D11606" t="str">
        <f>"21-205450   "</f>
        <v xml:space="preserve">21-205450   </v>
      </c>
      <c r="E11606" t="s">
        <v>362</v>
      </c>
      <c r="F11606" t="s">
        <v>363</v>
      </c>
      <c r="G11606">
        <v>48.24</v>
      </c>
      <c r="H11606">
        <v>250701</v>
      </c>
      <c r="I11606">
        <v>4367</v>
      </c>
      <c r="J11606" t="s">
        <v>159</v>
      </c>
      <c r="K11606">
        <v>397.84</v>
      </c>
      <c r="L11606">
        <v>9.8000000000000007</v>
      </c>
      <c r="M11606">
        <v>59502</v>
      </c>
      <c r="N11606" t="s">
        <v>63</v>
      </c>
      <c r="O11606">
        <v>250721</v>
      </c>
      <c r="P11606">
        <v>38.44</v>
      </c>
    </row>
    <row r="11607" spans="1:16" x14ac:dyDescent="0.25">
      <c r="A11607" t="s">
        <v>3296</v>
      </c>
      <c r="B11607" t="s">
        <v>2931</v>
      </c>
      <c r="C11607">
        <v>9593</v>
      </c>
      <c r="D11607" t="str">
        <f>"21-205450   "</f>
        <v xml:space="preserve">21-205450   </v>
      </c>
      <c r="E11607" t="s">
        <v>362</v>
      </c>
      <c r="F11607" t="s">
        <v>363</v>
      </c>
      <c r="G11607">
        <v>30.85</v>
      </c>
      <c r="H11607">
        <v>250701</v>
      </c>
      <c r="I11607">
        <v>4367</v>
      </c>
      <c r="J11607" t="s">
        <v>159</v>
      </c>
      <c r="K11607">
        <v>397.84</v>
      </c>
      <c r="L11607">
        <v>6.27</v>
      </c>
      <c r="M11607">
        <v>59802</v>
      </c>
      <c r="N11607" t="s">
        <v>195</v>
      </c>
      <c r="O11607">
        <v>250721</v>
      </c>
      <c r="P11607">
        <v>24.58</v>
      </c>
    </row>
    <row r="11608" spans="1:16" x14ac:dyDescent="0.25">
      <c r="A11608" t="s">
        <v>3296</v>
      </c>
      <c r="B11608" t="s">
        <v>2931</v>
      </c>
      <c r="C11608">
        <v>10045</v>
      </c>
      <c r="D11608" t="str">
        <f>"21-212695   "</f>
        <v xml:space="preserve">21-212695   </v>
      </c>
      <c r="E11608" t="s">
        <v>362</v>
      </c>
      <c r="F11608" t="s">
        <v>363</v>
      </c>
      <c r="G11608">
        <v>170.68</v>
      </c>
      <c r="H11608">
        <v>250801</v>
      </c>
      <c r="I11608">
        <v>4367</v>
      </c>
      <c r="J11608" t="s">
        <v>159</v>
      </c>
      <c r="K11608">
        <v>397.84</v>
      </c>
      <c r="L11608">
        <v>34.68</v>
      </c>
      <c r="M11608">
        <v>49501</v>
      </c>
      <c r="N11608" t="s">
        <v>110</v>
      </c>
      <c r="O11608">
        <v>250808</v>
      </c>
      <c r="P11608">
        <v>136</v>
      </c>
    </row>
    <row r="11609" spans="1:16" x14ac:dyDescent="0.25">
      <c r="A11609" t="s">
        <v>3296</v>
      </c>
      <c r="B11609" t="s">
        <v>2931</v>
      </c>
      <c r="C11609">
        <v>10045</v>
      </c>
      <c r="D11609" t="str">
        <f>"21-212695   "</f>
        <v xml:space="preserve">21-212695   </v>
      </c>
      <c r="E11609" t="s">
        <v>362</v>
      </c>
      <c r="F11609" t="s">
        <v>363</v>
      </c>
      <c r="G11609">
        <v>79.069999999999993</v>
      </c>
      <c r="H11609">
        <v>250801</v>
      </c>
      <c r="I11609">
        <v>4367</v>
      </c>
      <c r="J11609" t="s">
        <v>159</v>
      </c>
      <c r="K11609">
        <v>397.84</v>
      </c>
      <c r="L11609">
        <v>16.07</v>
      </c>
      <c r="M11609">
        <v>49503</v>
      </c>
      <c r="N11609" t="s">
        <v>267</v>
      </c>
      <c r="O11609">
        <v>250808</v>
      </c>
      <c r="P11609">
        <v>63</v>
      </c>
    </row>
    <row r="11610" spans="1:16" x14ac:dyDescent="0.25">
      <c r="A11610" t="s">
        <v>3296</v>
      </c>
      <c r="B11610" t="s">
        <v>2931</v>
      </c>
      <c r="C11610">
        <v>10045</v>
      </c>
      <c r="D11610" t="str">
        <f>"21-212695   "</f>
        <v xml:space="preserve">21-212695   </v>
      </c>
      <c r="E11610" t="s">
        <v>362</v>
      </c>
      <c r="F11610" t="s">
        <v>363</v>
      </c>
      <c r="G11610">
        <v>69.03</v>
      </c>
      <c r="H11610">
        <v>250801</v>
      </c>
      <c r="I11610">
        <v>4367</v>
      </c>
      <c r="J11610" t="s">
        <v>159</v>
      </c>
      <c r="K11610">
        <v>397.84</v>
      </c>
      <c r="L11610">
        <v>14.03</v>
      </c>
      <c r="M11610">
        <v>59501</v>
      </c>
      <c r="N11610" t="s">
        <v>62</v>
      </c>
      <c r="O11610">
        <v>250808</v>
      </c>
      <c r="P11610">
        <v>55</v>
      </c>
    </row>
    <row r="11611" spans="1:16" x14ac:dyDescent="0.25">
      <c r="A11611" t="s">
        <v>3296</v>
      </c>
      <c r="B11611" t="s">
        <v>2931</v>
      </c>
      <c r="C11611">
        <v>10045</v>
      </c>
      <c r="D11611" t="str">
        <f>"21-212695   "</f>
        <v xml:space="preserve">21-212695   </v>
      </c>
      <c r="E11611" t="s">
        <v>362</v>
      </c>
      <c r="F11611" t="s">
        <v>363</v>
      </c>
      <c r="G11611">
        <v>48.24</v>
      </c>
      <c r="H11611">
        <v>250801</v>
      </c>
      <c r="I11611">
        <v>4367</v>
      </c>
      <c r="J11611" t="s">
        <v>159</v>
      </c>
      <c r="K11611">
        <v>397.84</v>
      </c>
      <c r="L11611">
        <v>9.8000000000000007</v>
      </c>
      <c r="M11611">
        <v>59502</v>
      </c>
      <c r="N11611" t="s">
        <v>63</v>
      </c>
      <c r="O11611">
        <v>250808</v>
      </c>
      <c r="P11611">
        <v>38.44</v>
      </c>
    </row>
    <row r="11612" spans="1:16" x14ac:dyDescent="0.25">
      <c r="A11612" t="s">
        <v>3296</v>
      </c>
      <c r="B11612" t="s">
        <v>2931</v>
      </c>
      <c r="C11612">
        <v>10045</v>
      </c>
      <c r="D11612" t="str">
        <f>"21-212695   "</f>
        <v xml:space="preserve">21-212695   </v>
      </c>
      <c r="E11612" t="s">
        <v>362</v>
      </c>
      <c r="F11612" t="s">
        <v>363</v>
      </c>
      <c r="G11612">
        <v>30.82</v>
      </c>
      <c r="H11612">
        <v>250801</v>
      </c>
      <c r="I11612">
        <v>4367</v>
      </c>
      <c r="J11612" t="s">
        <v>159</v>
      </c>
      <c r="K11612">
        <v>397.84</v>
      </c>
      <c r="L11612">
        <v>6.26</v>
      </c>
      <c r="M11612">
        <v>59802</v>
      </c>
      <c r="N11612" t="s">
        <v>195</v>
      </c>
      <c r="O11612">
        <v>250808</v>
      </c>
      <c r="P11612">
        <v>24.56</v>
      </c>
    </row>
    <row r="11613" spans="1:16" x14ac:dyDescent="0.25">
      <c r="A11613" t="s">
        <v>3296</v>
      </c>
      <c r="B11613" t="s">
        <v>2931</v>
      </c>
      <c r="C11613">
        <v>11972</v>
      </c>
      <c r="D11613" t="str">
        <f>"21-220086   "</f>
        <v xml:space="preserve">21-220086   </v>
      </c>
      <c r="E11613" t="s">
        <v>362</v>
      </c>
      <c r="F11613" t="s">
        <v>363</v>
      </c>
      <c r="G11613">
        <v>170.69</v>
      </c>
      <c r="H11613">
        <v>250901</v>
      </c>
      <c r="I11613">
        <v>4367</v>
      </c>
      <c r="J11613" t="s">
        <v>159</v>
      </c>
      <c r="K11613">
        <v>397.84</v>
      </c>
      <c r="L11613">
        <v>34.68</v>
      </c>
      <c r="M11613">
        <v>49501</v>
      </c>
      <c r="N11613" t="s">
        <v>110</v>
      </c>
      <c r="O11613">
        <v>250915</v>
      </c>
      <c r="P11613">
        <v>136.01</v>
      </c>
    </row>
    <row r="11614" spans="1:16" x14ac:dyDescent="0.25">
      <c r="A11614" t="s">
        <v>3296</v>
      </c>
      <c r="B11614" t="s">
        <v>2931</v>
      </c>
      <c r="C11614">
        <v>11972</v>
      </c>
      <c r="D11614" t="str">
        <f>"21-220086   "</f>
        <v xml:space="preserve">21-220086   </v>
      </c>
      <c r="E11614" t="s">
        <v>362</v>
      </c>
      <c r="F11614" t="s">
        <v>363</v>
      </c>
      <c r="G11614">
        <v>79.06</v>
      </c>
      <c r="H11614">
        <v>250901</v>
      </c>
      <c r="I11614">
        <v>4367</v>
      </c>
      <c r="J11614" t="s">
        <v>159</v>
      </c>
      <c r="K11614">
        <v>397.84</v>
      </c>
      <c r="L11614">
        <v>16.059999999999999</v>
      </c>
      <c r="M11614">
        <v>49503</v>
      </c>
      <c r="N11614" t="s">
        <v>267</v>
      </c>
      <c r="O11614">
        <v>250915</v>
      </c>
      <c r="P11614">
        <v>63</v>
      </c>
    </row>
    <row r="11615" spans="1:16" x14ac:dyDescent="0.25">
      <c r="A11615" t="s">
        <v>3296</v>
      </c>
      <c r="B11615" t="s">
        <v>2931</v>
      </c>
      <c r="C11615">
        <v>11972</v>
      </c>
      <c r="D11615" t="str">
        <f>"21-220086   "</f>
        <v xml:space="preserve">21-220086   </v>
      </c>
      <c r="E11615" t="s">
        <v>362</v>
      </c>
      <c r="F11615" t="s">
        <v>363</v>
      </c>
      <c r="G11615">
        <v>69</v>
      </c>
      <c r="H11615">
        <v>250901</v>
      </c>
      <c r="I11615">
        <v>4367</v>
      </c>
      <c r="J11615" t="s">
        <v>159</v>
      </c>
      <c r="K11615">
        <v>397.84</v>
      </c>
      <c r="L11615">
        <v>14.02</v>
      </c>
      <c r="M11615">
        <v>59501</v>
      </c>
      <c r="N11615" t="s">
        <v>62</v>
      </c>
      <c r="O11615">
        <v>250915</v>
      </c>
      <c r="P11615">
        <v>54.98</v>
      </c>
    </row>
    <row r="11616" spans="1:16" x14ac:dyDescent="0.25">
      <c r="A11616" t="s">
        <v>3296</v>
      </c>
      <c r="B11616" t="s">
        <v>2931</v>
      </c>
      <c r="C11616">
        <v>11972</v>
      </c>
      <c r="D11616" t="str">
        <f>"21-220086   "</f>
        <v xml:space="preserve">21-220086   </v>
      </c>
      <c r="E11616" t="s">
        <v>362</v>
      </c>
      <c r="F11616" t="s">
        <v>363</v>
      </c>
      <c r="G11616">
        <v>48.24</v>
      </c>
      <c r="H11616">
        <v>250901</v>
      </c>
      <c r="I11616">
        <v>4367</v>
      </c>
      <c r="J11616" t="s">
        <v>159</v>
      </c>
      <c r="K11616">
        <v>397.84</v>
      </c>
      <c r="L11616">
        <v>9.8000000000000007</v>
      </c>
      <c r="M11616">
        <v>59502</v>
      </c>
      <c r="N11616" t="s">
        <v>63</v>
      </c>
      <c r="O11616">
        <v>250915</v>
      </c>
      <c r="P11616">
        <v>38.44</v>
      </c>
    </row>
    <row r="11617" spans="1:16" x14ac:dyDescent="0.25">
      <c r="A11617" t="s">
        <v>3296</v>
      </c>
      <c r="B11617" t="s">
        <v>2931</v>
      </c>
      <c r="C11617">
        <v>11972</v>
      </c>
      <c r="D11617" t="str">
        <f>"21-220086   "</f>
        <v xml:space="preserve">21-220086   </v>
      </c>
      <c r="E11617" t="s">
        <v>362</v>
      </c>
      <c r="F11617" t="s">
        <v>363</v>
      </c>
      <c r="G11617">
        <v>30.85</v>
      </c>
      <c r="H11617">
        <v>250901</v>
      </c>
      <c r="I11617">
        <v>4367</v>
      </c>
      <c r="J11617" t="s">
        <v>159</v>
      </c>
      <c r="K11617">
        <v>397.84</v>
      </c>
      <c r="L11617">
        <v>6.27</v>
      </c>
      <c r="M11617">
        <v>59802</v>
      </c>
      <c r="N11617" t="s">
        <v>195</v>
      </c>
      <c r="O11617">
        <v>250915</v>
      </c>
      <c r="P11617">
        <v>24.58</v>
      </c>
    </row>
    <row r="11618" spans="1:16" x14ac:dyDescent="0.25">
      <c r="A11618" t="s">
        <v>3296</v>
      </c>
      <c r="B11618" t="s">
        <v>2931</v>
      </c>
      <c r="C11618">
        <v>13355</v>
      </c>
      <c r="D11618" t="str">
        <f>"21-228417   "</f>
        <v xml:space="preserve">21-228417   </v>
      </c>
      <c r="E11618" t="s">
        <v>362</v>
      </c>
      <c r="F11618" t="s">
        <v>363</v>
      </c>
      <c r="G11618">
        <v>170.68</v>
      </c>
      <c r="H11618">
        <v>251001</v>
      </c>
      <c r="I11618">
        <v>4367</v>
      </c>
      <c r="J11618" t="s">
        <v>159</v>
      </c>
      <c r="K11618">
        <v>397.84</v>
      </c>
      <c r="L11618">
        <v>34.68</v>
      </c>
      <c r="M11618">
        <v>49501</v>
      </c>
      <c r="N11618" t="s">
        <v>110</v>
      </c>
      <c r="O11618">
        <v>251008</v>
      </c>
      <c r="P11618">
        <v>136</v>
      </c>
    </row>
    <row r="11619" spans="1:16" x14ac:dyDescent="0.25">
      <c r="A11619" t="s">
        <v>3296</v>
      </c>
      <c r="B11619" t="s">
        <v>2931</v>
      </c>
      <c r="C11619">
        <v>13355</v>
      </c>
      <c r="D11619" t="str">
        <f>"21-228417   "</f>
        <v xml:space="preserve">21-228417   </v>
      </c>
      <c r="E11619" t="s">
        <v>362</v>
      </c>
      <c r="F11619" t="s">
        <v>363</v>
      </c>
      <c r="G11619">
        <v>79.06</v>
      </c>
      <c r="H11619">
        <v>251001</v>
      </c>
      <c r="I11619">
        <v>4367</v>
      </c>
      <c r="J11619" t="s">
        <v>159</v>
      </c>
      <c r="K11619">
        <v>397.84</v>
      </c>
      <c r="L11619">
        <v>16.059999999999999</v>
      </c>
      <c r="M11619">
        <v>49503</v>
      </c>
      <c r="N11619" t="s">
        <v>267</v>
      </c>
      <c r="O11619">
        <v>251008</v>
      </c>
      <c r="P11619">
        <v>63</v>
      </c>
    </row>
    <row r="11620" spans="1:16" x14ac:dyDescent="0.25">
      <c r="A11620" t="s">
        <v>3296</v>
      </c>
      <c r="B11620" t="s">
        <v>2931</v>
      </c>
      <c r="C11620">
        <v>13355</v>
      </c>
      <c r="D11620" t="str">
        <f>"21-228417   "</f>
        <v xml:space="preserve">21-228417   </v>
      </c>
      <c r="E11620" t="s">
        <v>362</v>
      </c>
      <c r="F11620" t="s">
        <v>363</v>
      </c>
      <c r="G11620">
        <v>69.010000000000005</v>
      </c>
      <c r="H11620">
        <v>251001</v>
      </c>
      <c r="I11620">
        <v>4367</v>
      </c>
      <c r="J11620" t="s">
        <v>159</v>
      </c>
      <c r="K11620">
        <v>397.84</v>
      </c>
      <c r="L11620">
        <v>14.02</v>
      </c>
      <c r="M11620">
        <v>59501</v>
      </c>
      <c r="N11620" t="s">
        <v>62</v>
      </c>
      <c r="O11620">
        <v>251008</v>
      </c>
      <c r="P11620">
        <v>54.99</v>
      </c>
    </row>
    <row r="11621" spans="1:16" x14ac:dyDescent="0.25">
      <c r="A11621" t="s">
        <v>3296</v>
      </c>
      <c r="B11621" t="s">
        <v>2931</v>
      </c>
      <c r="C11621">
        <v>13355</v>
      </c>
      <c r="D11621" t="str">
        <f>"21-228417   "</f>
        <v xml:space="preserve">21-228417   </v>
      </c>
      <c r="E11621" t="s">
        <v>362</v>
      </c>
      <c r="F11621" t="s">
        <v>363</v>
      </c>
      <c r="G11621">
        <v>48.24</v>
      </c>
      <c r="H11621">
        <v>251001</v>
      </c>
      <c r="I11621">
        <v>4367</v>
      </c>
      <c r="J11621" t="s">
        <v>159</v>
      </c>
      <c r="K11621">
        <v>397.84</v>
      </c>
      <c r="L11621">
        <v>9.8000000000000007</v>
      </c>
      <c r="M11621">
        <v>59502</v>
      </c>
      <c r="N11621" t="s">
        <v>63</v>
      </c>
      <c r="O11621">
        <v>251008</v>
      </c>
      <c r="P11621">
        <v>38.44</v>
      </c>
    </row>
    <row r="11622" spans="1:16" x14ac:dyDescent="0.25">
      <c r="A11622" t="s">
        <v>3296</v>
      </c>
      <c r="B11622" t="s">
        <v>2931</v>
      </c>
      <c r="C11622">
        <v>13355</v>
      </c>
      <c r="D11622" t="str">
        <f>"21-228417   "</f>
        <v xml:space="preserve">21-228417   </v>
      </c>
      <c r="E11622" t="s">
        <v>362</v>
      </c>
      <c r="F11622" t="s">
        <v>363</v>
      </c>
      <c r="G11622">
        <v>30.85</v>
      </c>
      <c r="H11622">
        <v>251001</v>
      </c>
      <c r="I11622">
        <v>4367</v>
      </c>
      <c r="J11622" t="s">
        <v>159</v>
      </c>
      <c r="K11622">
        <v>397.84</v>
      </c>
      <c r="L11622">
        <v>6.27</v>
      </c>
      <c r="M11622">
        <v>59802</v>
      </c>
      <c r="N11622" t="s">
        <v>195</v>
      </c>
      <c r="O11622">
        <v>251008</v>
      </c>
      <c r="P11622">
        <v>24.58</v>
      </c>
    </row>
    <row r="11623" spans="1:16" x14ac:dyDescent="0.25">
      <c r="A11623" t="s">
        <v>3296</v>
      </c>
      <c r="B11623" t="s">
        <v>2931</v>
      </c>
      <c r="C11623">
        <v>14985</v>
      </c>
      <c r="D11623" t="str">
        <f>"21-237107   "</f>
        <v xml:space="preserve">21-237107   </v>
      </c>
      <c r="E11623" t="s">
        <v>362</v>
      </c>
      <c r="F11623" t="s">
        <v>363</v>
      </c>
      <c r="G11623">
        <v>170.68</v>
      </c>
      <c r="H11623">
        <v>251101</v>
      </c>
      <c r="I11623">
        <v>4367</v>
      </c>
      <c r="J11623" t="s">
        <v>159</v>
      </c>
      <c r="K11623">
        <v>397.84</v>
      </c>
      <c r="L11623">
        <v>34.68</v>
      </c>
      <c r="M11623">
        <v>49501</v>
      </c>
      <c r="N11623" t="s">
        <v>110</v>
      </c>
      <c r="O11623">
        <v>251110</v>
      </c>
      <c r="P11623">
        <v>136</v>
      </c>
    </row>
    <row r="11624" spans="1:16" x14ac:dyDescent="0.25">
      <c r="A11624" t="s">
        <v>3296</v>
      </c>
      <c r="B11624" t="s">
        <v>2931</v>
      </c>
      <c r="C11624">
        <v>14985</v>
      </c>
      <c r="D11624" t="str">
        <f>"21-237107   "</f>
        <v xml:space="preserve">21-237107   </v>
      </c>
      <c r="E11624" t="s">
        <v>362</v>
      </c>
      <c r="F11624" t="s">
        <v>363</v>
      </c>
      <c r="G11624">
        <v>79.06</v>
      </c>
      <c r="H11624">
        <v>251101</v>
      </c>
      <c r="I11624">
        <v>4367</v>
      </c>
      <c r="J11624" t="s">
        <v>159</v>
      </c>
      <c r="K11624">
        <v>397.84</v>
      </c>
      <c r="L11624">
        <v>16.059999999999999</v>
      </c>
      <c r="M11624">
        <v>49503</v>
      </c>
      <c r="N11624" t="s">
        <v>267</v>
      </c>
      <c r="O11624">
        <v>251110</v>
      </c>
      <c r="P11624">
        <v>63</v>
      </c>
    </row>
    <row r="11625" spans="1:16" x14ac:dyDescent="0.25">
      <c r="A11625" t="s">
        <v>3296</v>
      </c>
      <c r="B11625" t="s">
        <v>2931</v>
      </c>
      <c r="C11625">
        <v>14985</v>
      </c>
      <c r="D11625" t="str">
        <f>"21-237107   "</f>
        <v xml:space="preserve">21-237107   </v>
      </c>
      <c r="E11625" t="s">
        <v>362</v>
      </c>
      <c r="F11625" t="s">
        <v>363</v>
      </c>
      <c r="G11625">
        <v>69.03</v>
      </c>
      <c r="H11625">
        <v>251101</v>
      </c>
      <c r="I11625">
        <v>4367</v>
      </c>
      <c r="J11625" t="s">
        <v>159</v>
      </c>
      <c r="K11625">
        <v>397.84</v>
      </c>
      <c r="L11625">
        <v>14.03</v>
      </c>
      <c r="M11625">
        <v>59501</v>
      </c>
      <c r="N11625" t="s">
        <v>62</v>
      </c>
      <c r="O11625">
        <v>251110</v>
      </c>
      <c r="P11625">
        <v>55</v>
      </c>
    </row>
    <row r="11626" spans="1:16" x14ac:dyDescent="0.25">
      <c r="A11626" t="s">
        <v>3296</v>
      </c>
      <c r="B11626" t="s">
        <v>2931</v>
      </c>
      <c r="C11626">
        <v>14985</v>
      </c>
      <c r="D11626" t="str">
        <f>"21-237107   "</f>
        <v xml:space="preserve">21-237107   </v>
      </c>
      <c r="E11626" t="s">
        <v>362</v>
      </c>
      <c r="F11626" t="s">
        <v>363</v>
      </c>
      <c r="G11626">
        <v>48.24</v>
      </c>
      <c r="H11626">
        <v>251101</v>
      </c>
      <c r="I11626">
        <v>4367</v>
      </c>
      <c r="J11626" t="s">
        <v>159</v>
      </c>
      <c r="K11626">
        <v>397.84</v>
      </c>
      <c r="L11626">
        <v>9.8000000000000007</v>
      </c>
      <c r="M11626">
        <v>59502</v>
      </c>
      <c r="N11626" t="s">
        <v>63</v>
      </c>
      <c r="O11626">
        <v>251110</v>
      </c>
      <c r="P11626">
        <v>38.44</v>
      </c>
    </row>
    <row r="11627" spans="1:16" x14ac:dyDescent="0.25">
      <c r="A11627" t="s">
        <v>3296</v>
      </c>
      <c r="B11627" t="s">
        <v>2931</v>
      </c>
      <c r="C11627">
        <v>14985</v>
      </c>
      <c r="D11627" t="str">
        <f>"21-237107   "</f>
        <v xml:space="preserve">21-237107   </v>
      </c>
      <c r="E11627" t="s">
        <v>362</v>
      </c>
      <c r="F11627" t="s">
        <v>363</v>
      </c>
      <c r="G11627">
        <v>30.83</v>
      </c>
      <c r="H11627">
        <v>251101</v>
      </c>
      <c r="I11627">
        <v>4367</v>
      </c>
      <c r="J11627" t="s">
        <v>159</v>
      </c>
      <c r="K11627">
        <v>397.84</v>
      </c>
      <c r="L11627">
        <v>6.26</v>
      </c>
      <c r="M11627">
        <v>59802</v>
      </c>
      <c r="N11627" t="s">
        <v>195</v>
      </c>
      <c r="O11627">
        <v>251110</v>
      </c>
      <c r="P11627">
        <v>24.57</v>
      </c>
    </row>
    <row r="11628" spans="1:16" x14ac:dyDescent="0.25">
      <c r="A11628" t="s">
        <v>3296</v>
      </c>
      <c r="B11628" t="s">
        <v>2931</v>
      </c>
      <c r="C11628">
        <v>16191</v>
      </c>
      <c r="D11628" t="str">
        <f>"21-244829   "</f>
        <v xml:space="preserve">21-244829   </v>
      </c>
      <c r="E11628" t="s">
        <v>362</v>
      </c>
      <c r="F11628" t="s">
        <v>363</v>
      </c>
      <c r="G11628">
        <v>170.68</v>
      </c>
      <c r="H11628">
        <v>251201</v>
      </c>
      <c r="I11628">
        <v>4367</v>
      </c>
      <c r="J11628" t="s">
        <v>159</v>
      </c>
      <c r="K11628">
        <v>397.84</v>
      </c>
      <c r="L11628">
        <v>34.68</v>
      </c>
      <c r="M11628">
        <v>49501</v>
      </c>
      <c r="N11628" t="s">
        <v>110</v>
      </c>
      <c r="O11628">
        <v>251204</v>
      </c>
      <c r="P11628">
        <v>136</v>
      </c>
    </row>
    <row r="11629" spans="1:16" x14ac:dyDescent="0.25">
      <c r="A11629" t="s">
        <v>3296</v>
      </c>
      <c r="B11629" t="s">
        <v>2931</v>
      </c>
      <c r="C11629">
        <v>16191</v>
      </c>
      <c r="D11629" t="str">
        <f>"21-244829   "</f>
        <v xml:space="preserve">21-244829   </v>
      </c>
      <c r="E11629" t="s">
        <v>362</v>
      </c>
      <c r="F11629" t="s">
        <v>363</v>
      </c>
      <c r="G11629">
        <v>79.06</v>
      </c>
      <c r="H11629">
        <v>251201</v>
      </c>
      <c r="I11629">
        <v>4367</v>
      </c>
      <c r="J11629" t="s">
        <v>159</v>
      </c>
      <c r="K11629">
        <v>397.84</v>
      </c>
      <c r="L11629">
        <v>16.059999999999999</v>
      </c>
      <c r="M11629">
        <v>49503</v>
      </c>
      <c r="N11629" t="s">
        <v>267</v>
      </c>
      <c r="O11629">
        <v>251204</v>
      </c>
      <c r="P11629">
        <v>63</v>
      </c>
    </row>
    <row r="11630" spans="1:16" x14ac:dyDescent="0.25">
      <c r="A11630" t="s">
        <v>3296</v>
      </c>
      <c r="B11630" t="s">
        <v>2931</v>
      </c>
      <c r="C11630">
        <v>16191</v>
      </c>
      <c r="D11630" t="str">
        <f>"21-244829   "</f>
        <v xml:space="preserve">21-244829   </v>
      </c>
      <c r="E11630" t="s">
        <v>362</v>
      </c>
      <c r="F11630" t="s">
        <v>363</v>
      </c>
      <c r="G11630">
        <v>69.03</v>
      </c>
      <c r="H11630">
        <v>251201</v>
      </c>
      <c r="I11630">
        <v>4367</v>
      </c>
      <c r="J11630" t="s">
        <v>159</v>
      </c>
      <c r="K11630">
        <v>397.84</v>
      </c>
      <c r="L11630">
        <v>14.03</v>
      </c>
      <c r="M11630">
        <v>59501</v>
      </c>
      <c r="N11630" t="s">
        <v>62</v>
      </c>
      <c r="O11630">
        <v>251204</v>
      </c>
      <c r="P11630">
        <v>55</v>
      </c>
    </row>
    <row r="11631" spans="1:16" x14ac:dyDescent="0.25">
      <c r="A11631" t="s">
        <v>3296</v>
      </c>
      <c r="B11631" t="s">
        <v>2931</v>
      </c>
      <c r="C11631">
        <v>16191</v>
      </c>
      <c r="D11631" t="str">
        <f>"21-244829   "</f>
        <v xml:space="preserve">21-244829   </v>
      </c>
      <c r="E11631" t="s">
        <v>362</v>
      </c>
      <c r="F11631" t="s">
        <v>363</v>
      </c>
      <c r="G11631">
        <v>48.24</v>
      </c>
      <c r="H11631">
        <v>251201</v>
      </c>
      <c r="I11631">
        <v>4367</v>
      </c>
      <c r="J11631" t="s">
        <v>159</v>
      </c>
      <c r="K11631">
        <v>397.84</v>
      </c>
      <c r="L11631">
        <v>9.8000000000000007</v>
      </c>
      <c r="M11631">
        <v>59502</v>
      </c>
      <c r="N11631" t="s">
        <v>63</v>
      </c>
      <c r="O11631">
        <v>251204</v>
      </c>
      <c r="P11631">
        <v>38.44</v>
      </c>
    </row>
    <row r="11632" spans="1:16" x14ac:dyDescent="0.25">
      <c r="A11632" t="s">
        <v>3296</v>
      </c>
      <c r="B11632" t="s">
        <v>2931</v>
      </c>
      <c r="C11632">
        <v>16191</v>
      </c>
      <c r="D11632" t="str">
        <f>"21-244829   "</f>
        <v xml:space="preserve">21-244829   </v>
      </c>
      <c r="E11632" t="s">
        <v>362</v>
      </c>
      <c r="F11632" t="s">
        <v>363</v>
      </c>
      <c r="G11632">
        <v>30.83</v>
      </c>
      <c r="H11632">
        <v>251201</v>
      </c>
      <c r="I11632">
        <v>4367</v>
      </c>
      <c r="J11632" t="s">
        <v>159</v>
      </c>
      <c r="K11632">
        <v>397.84</v>
      </c>
      <c r="L11632">
        <v>6.26</v>
      </c>
      <c r="M11632">
        <v>59802</v>
      </c>
      <c r="N11632" t="s">
        <v>195</v>
      </c>
      <c r="O11632">
        <v>251204</v>
      </c>
      <c r="P11632">
        <v>24.57</v>
      </c>
    </row>
    <row r="11633" spans="1:16" x14ac:dyDescent="0.25">
      <c r="A11633" t="s">
        <v>3296</v>
      </c>
      <c r="B11633" t="s">
        <v>2931</v>
      </c>
      <c r="C11633">
        <v>4643</v>
      </c>
      <c r="D11633" t="str">
        <f>"52505106    "</f>
        <v xml:space="preserve">52505106    </v>
      </c>
      <c r="E11633" t="s">
        <v>1643</v>
      </c>
      <c r="F11633" t="s">
        <v>1644</v>
      </c>
      <c r="G11633">
        <v>254.48</v>
      </c>
      <c r="H11633">
        <v>250331</v>
      </c>
      <c r="I11633">
        <v>4380</v>
      </c>
      <c r="J11633" t="s">
        <v>211</v>
      </c>
      <c r="K11633">
        <v>254.48</v>
      </c>
      <c r="L11633">
        <v>51.71</v>
      </c>
      <c r="M11633">
        <v>59505</v>
      </c>
      <c r="N11633" t="s">
        <v>194</v>
      </c>
      <c r="O11633">
        <v>250414</v>
      </c>
      <c r="P11633">
        <v>202.77</v>
      </c>
    </row>
    <row r="11634" spans="1:16" x14ac:dyDescent="0.25">
      <c r="A11634" t="s">
        <v>3296</v>
      </c>
      <c r="B11634" t="s">
        <v>2931</v>
      </c>
      <c r="C11634">
        <v>4672</v>
      </c>
      <c r="D11634" t="str">
        <f>"52505056    "</f>
        <v xml:space="preserve">52505056    </v>
      </c>
      <c r="E11634" t="s">
        <v>1643</v>
      </c>
      <c r="F11634" t="s">
        <v>1644</v>
      </c>
      <c r="G11634">
        <v>130.63</v>
      </c>
      <c r="H11634">
        <v>250331</v>
      </c>
      <c r="I11634">
        <v>4380</v>
      </c>
      <c r="J11634" t="s">
        <v>211</v>
      </c>
      <c r="K11634">
        <v>483.8</v>
      </c>
      <c r="L11634">
        <v>26.54</v>
      </c>
      <c r="M11634">
        <v>59112</v>
      </c>
      <c r="N11634" t="s">
        <v>44</v>
      </c>
      <c r="O11634">
        <v>250414</v>
      </c>
      <c r="P11634">
        <v>104.09</v>
      </c>
    </row>
    <row r="11635" spans="1:16" x14ac:dyDescent="0.25">
      <c r="A11635" t="s">
        <v>3296</v>
      </c>
      <c r="B11635" t="s">
        <v>2931</v>
      </c>
      <c r="C11635">
        <v>4672</v>
      </c>
      <c r="D11635" t="str">
        <f>"52505056    "</f>
        <v xml:space="preserve">52505056    </v>
      </c>
      <c r="E11635" t="s">
        <v>1643</v>
      </c>
      <c r="F11635" t="s">
        <v>1644</v>
      </c>
      <c r="G11635">
        <v>353.17</v>
      </c>
      <c r="H11635">
        <v>250331</v>
      </c>
      <c r="I11635">
        <v>4380</v>
      </c>
      <c r="J11635" t="s">
        <v>211</v>
      </c>
      <c r="K11635">
        <v>483.8</v>
      </c>
      <c r="L11635">
        <v>71.760000000000005</v>
      </c>
      <c r="M11635">
        <v>59504</v>
      </c>
      <c r="N11635" t="s">
        <v>193</v>
      </c>
      <c r="O11635">
        <v>250414</v>
      </c>
      <c r="P11635">
        <v>281.41000000000003</v>
      </c>
    </row>
    <row r="11636" spans="1:16" x14ac:dyDescent="0.25">
      <c r="A11636" t="s">
        <v>3296</v>
      </c>
      <c r="B11636" t="s">
        <v>2931</v>
      </c>
      <c r="C11636">
        <v>4706</v>
      </c>
      <c r="D11636" t="str">
        <f>"52505122    "</f>
        <v xml:space="preserve">52505122    </v>
      </c>
      <c r="E11636" t="s">
        <v>1643</v>
      </c>
      <c r="F11636" t="s">
        <v>1644</v>
      </c>
      <c r="G11636">
        <v>644.5</v>
      </c>
      <c r="H11636">
        <v>250331</v>
      </c>
      <c r="I11636">
        <v>4380</v>
      </c>
      <c r="J11636" t="s">
        <v>211</v>
      </c>
      <c r="K11636">
        <v>1056.55</v>
      </c>
      <c r="L11636">
        <v>130.94999999999999</v>
      </c>
      <c r="M11636">
        <v>59502</v>
      </c>
      <c r="N11636" t="s">
        <v>63</v>
      </c>
      <c r="O11636">
        <v>250414</v>
      </c>
      <c r="P11636">
        <v>513.54999999999995</v>
      </c>
    </row>
    <row r="11637" spans="1:16" x14ac:dyDescent="0.25">
      <c r="A11637" t="s">
        <v>3296</v>
      </c>
      <c r="B11637" t="s">
        <v>2931</v>
      </c>
      <c r="C11637">
        <v>4706</v>
      </c>
      <c r="D11637" t="str">
        <f>"52505122    "</f>
        <v xml:space="preserve">52505122    </v>
      </c>
      <c r="E11637" t="s">
        <v>1643</v>
      </c>
      <c r="F11637" t="s">
        <v>1644</v>
      </c>
      <c r="G11637">
        <v>412.05</v>
      </c>
      <c r="H11637">
        <v>250331</v>
      </c>
      <c r="I11637">
        <v>4380</v>
      </c>
      <c r="J11637" t="s">
        <v>211</v>
      </c>
      <c r="K11637">
        <v>1056.55</v>
      </c>
      <c r="L11637">
        <v>83.72</v>
      </c>
      <c r="M11637">
        <v>59802</v>
      </c>
      <c r="N11637" t="s">
        <v>195</v>
      </c>
      <c r="O11637">
        <v>250414</v>
      </c>
      <c r="P11637">
        <v>328.33</v>
      </c>
    </row>
    <row r="11638" spans="1:16" x14ac:dyDescent="0.25">
      <c r="A11638" t="s">
        <v>3296</v>
      </c>
      <c r="B11638" t="s">
        <v>2931</v>
      </c>
      <c r="C11638">
        <v>4707</v>
      </c>
      <c r="D11638" t="str">
        <f>"52505055    "</f>
        <v xml:space="preserve">52505055    </v>
      </c>
      <c r="E11638" t="s">
        <v>1643</v>
      </c>
      <c r="F11638" t="s">
        <v>1644</v>
      </c>
      <c r="G11638">
        <v>88.86</v>
      </c>
      <c r="H11638">
        <v>250331</v>
      </c>
      <c r="I11638">
        <v>4380</v>
      </c>
      <c r="J11638" t="s">
        <v>211</v>
      </c>
      <c r="K11638">
        <v>1481.04</v>
      </c>
      <c r="L11638">
        <v>18.059999999999999</v>
      </c>
      <c r="M11638">
        <v>59111</v>
      </c>
      <c r="N11638" t="s">
        <v>60</v>
      </c>
      <c r="O11638">
        <v>250414</v>
      </c>
      <c r="P11638">
        <v>70.8</v>
      </c>
    </row>
    <row r="11639" spans="1:16" x14ac:dyDescent="0.25">
      <c r="A11639" t="s">
        <v>3296</v>
      </c>
      <c r="B11639" t="s">
        <v>2931</v>
      </c>
      <c r="C11639">
        <v>4707</v>
      </c>
      <c r="D11639" t="str">
        <f>"52505055    "</f>
        <v xml:space="preserve">52505055    </v>
      </c>
      <c r="E11639" t="s">
        <v>1643</v>
      </c>
      <c r="F11639" t="s">
        <v>1644</v>
      </c>
      <c r="G11639">
        <v>1392.18</v>
      </c>
      <c r="H11639">
        <v>250331</v>
      </c>
      <c r="I11639">
        <v>4380</v>
      </c>
      <c r="J11639" t="s">
        <v>211</v>
      </c>
      <c r="K11639">
        <v>1481.04</v>
      </c>
      <c r="L11639">
        <v>282.87</v>
      </c>
      <c r="M11639">
        <v>59501</v>
      </c>
      <c r="N11639" t="s">
        <v>62</v>
      </c>
      <c r="O11639">
        <v>250414</v>
      </c>
      <c r="P11639">
        <v>1109.31</v>
      </c>
    </row>
    <row r="11640" spans="1:16" x14ac:dyDescent="0.25">
      <c r="A11640" t="s">
        <v>3296</v>
      </c>
      <c r="B11640" t="s">
        <v>2931</v>
      </c>
      <c r="C11640">
        <v>5952</v>
      </c>
      <c r="D11640" t="str">
        <f>"6250672     "</f>
        <v xml:space="preserve">6250672     </v>
      </c>
      <c r="E11640" t="s">
        <v>1643</v>
      </c>
      <c r="F11640" t="s">
        <v>1644</v>
      </c>
      <c r="G11640">
        <v>34</v>
      </c>
      <c r="H11640">
        <v>250430</v>
      </c>
      <c r="I11640">
        <v>4380</v>
      </c>
      <c r="J11640" t="s">
        <v>211</v>
      </c>
      <c r="K11640">
        <v>34</v>
      </c>
      <c r="L11640">
        <v>6.91</v>
      </c>
      <c r="M11640">
        <v>59504</v>
      </c>
      <c r="N11640" t="s">
        <v>193</v>
      </c>
      <c r="O11640">
        <v>250507</v>
      </c>
      <c r="P11640">
        <v>27.09</v>
      </c>
    </row>
    <row r="11641" spans="1:16" x14ac:dyDescent="0.25">
      <c r="A11641" t="s">
        <v>3296</v>
      </c>
      <c r="B11641" t="s">
        <v>2931</v>
      </c>
      <c r="C11641">
        <v>9499</v>
      </c>
      <c r="D11641" t="str">
        <f>"52507328    "</f>
        <v xml:space="preserve">52507328    </v>
      </c>
      <c r="E11641" t="s">
        <v>1643</v>
      </c>
      <c r="F11641" t="s">
        <v>1644</v>
      </c>
      <c r="G11641">
        <v>99.01</v>
      </c>
      <c r="H11641">
        <v>250630</v>
      </c>
      <c r="I11641">
        <v>4380</v>
      </c>
      <c r="J11641" t="s">
        <v>211</v>
      </c>
      <c r="K11641">
        <v>1650.2</v>
      </c>
      <c r="L11641">
        <v>20.12</v>
      </c>
      <c r="M11641">
        <v>59111</v>
      </c>
      <c r="N11641" t="s">
        <v>60</v>
      </c>
      <c r="O11641">
        <v>250709</v>
      </c>
      <c r="P11641">
        <v>78.89</v>
      </c>
    </row>
    <row r="11642" spans="1:16" x14ac:dyDescent="0.25">
      <c r="A11642" t="s">
        <v>3296</v>
      </c>
      <c r="B11642" t="s">
        <v>2931</v>
      </c>
      <c r="C11642">
        <v>9499</v>
      </c>
      <c r="D11642" t="str">
        <f>"52507328    "</f>
        <v xml:space="preserve">52507328    </v>
      </c>
      <c r="E11642" t="s">
        <v>1643</v>
      </c>
      <c r="F11642" t="s">
        <v>1644</v>
      </c>
      <c r="G11642">
        <v>1551.19</v>
      </c>
      <c r="H11642">
        <v>250630</v>
      </c>
      <c r="I11642">
        <v>4380</v>
      </c>
      <c r="J11642" t="s">
        <v>211</v>
      </c>
      <c r="K11642">
        <v>1650.2</v>
      </c>
      <c r="L11642">
        <v>315.18</v>
      </c>
      <c r="M11642">
        <v>59501</v>
      </c>
      <c r="N11642" t="s">
        <v>62</v>
      </c>
      <c r="O11642">
        <v>250709</v>
      </c>
      <c r="P11642">
        <v>1236.01</v>
      </c>
    </row>
    <row r="11643" spans="1:16" x14ac:dyDescent="0.25">
      <c r="A11643" t="s">
        <v>3296</v>
      </c>
      <c r="B11643" t="s">
        <v>2931</v>
      </c>
      <c r="C11643">
        <v>9500</v>
      </c>
      <c r="D11643" t="str">
        <f>"52507396    "</f>
        <v xml:space="preserve">52507396    </v>
      </c>
      <c r="E11643" t="s">
        <v>1643</v>
      </c>
      <c r="F11643" t="s">
        <v>1644</v>
      </c>
      <c r="G11643">
        <v>655.82</v>
      </c>
      <c r="H11643">
        <v>250630</v>
      </c>
      <c r="I11643">
        <v>4380</v>
      </c>
      <c r="J11643" t="s">
        <v>211</v>
      </c>
      <c r="K11643">
        <v>1075.1199999999999</v>
      </c>
      <c r="L11643">
        <v>133.25</v>
      </c>
      <c r="M11643">
        <v>59502</v>
      </c>
      <c r="N11643" t="s">
        <v>63</v>
      </c>
      <c r="O11643">
        <v>250709</v>
      </c>
      <c r="P11643">
        <v>522.57000000000005</v>
      </c>
    </row>
    <row r="11644" spans="1:16" x14ac:dyDescent="0.25">
      <c r="A11644" t="s">
        <v>3296</v>
      </c>
      <c r="B11644" t="s">
        <v>2931</v>
      </c>
      <c r="C11644">
        <v>9500</v>
      </c>
      <c r="D11644" t="str">
        <f>"52507396    "</f>
        <v xml:space="preserve">52507396    </v>
      </c>
      <c r="E11644" t="s">
        <v>1643</v>
      </c>
      <c r="F11644" t="s">
        <v>1644</v>
      </c>
      <c r="G11644">
        <v>419.3</v>
      </c>
      <c r="H11644">
        <v>250630</v>
      </c>
      <c r="I11644">
        <v>4380</v>
      </c>
      <c r="J11644" t="s">
        <v>211</v>
      </c>
      <c r="K11644">
        <v>1075.1199999999999</v>
      </c>
      <c r="L11644">
        <v>85.2</v>
      </c>
      <c r="M11644">
        <v>59802</v>
      </c>
      <c r="N11644" t="s">
        <v>195</v>
      </c>
      <c r="O11644">
        <v>250709</v>
      </c>
      <c r="P11644">
        <v>334.1</v>
      </c>
    </row>
    <row r="11645" spans="1:16" x14ac:dyDescent="0.25">
      <c r="A11645" t="s">
        <v>3296</v>
      </c>
      <c r="B11645" t="s">
        <v>2931</v>
      </c>
      <c r="C11645">
        <v>9504</v>
      </c>
      <c r="D11645" t="str">
        <f>"52507380    "</f>
        <v xml:space="preserve">52507380    </v>
      </c>
      <c r="E11645" t="s">
        <v>1643</v>
      </c>
      <c r="F11645" t="s">
        <v>1644</v>
      </c>
      <c r="G11645">
        <v>212.41</v>
      </c>
      <c r="H11645">
        <v>250630</v>
      </c>
      <c r="I11645">
        <v>4380</v>
      </c>
      <c r="J11645" t="s">
        <v>211</v>
      </c>
      <c r="K11645">
        <v>212.41</v>
      </c>
      <c r="L11645">
        <v>43.16</v>
      </c>
      <c r="M11645">
        <v>59505</v>
      </c>
      <c r="N11645" t="s">
        <v>194</v>
      </c>
      <c r="O11645">
        <v>250709</v>
      </c>
      <c r="P11645">
        <v>169.25</v>
      </c>
    </row>
    <row r="11646" spans="1:16" x14ac:dyDescent="0.25">
      <c r="A11646" t="s">
        <v>3296</v>
      </c>
      <c r="B11646" t="s">
        <v>2931</v>
      </c>
      <c r="C11646">
        <v>9506</v>
      </c>
      <c r="D11646" t="str">
        <f>"52507329    "</f>
        <v xml:space="preserve">52507329    </v>
      </c>
      <c r="E11646" t="s">
        <v>1643</v>
      </c>
      <c r="F11646" t="s">
        <v>1644</v>
      </c>
      <c r="G11646">
        <v>125.21</v>
      </c>
      <c r="H11646">
        <v>250630</v>
      </c>
      <c r="I11646">
        <v>4380</v>
      </c>
      <c r="J11646" t="s">
        <v>211</v>
      </c>
      <c r="K11646">
        <v>463.75</v>
      </c>
      <c r="L11646">
        <v>25.44</v>
      </c>
      <c r="M11646">
        <v>59112</v>
      </c>
      <c r="N11646" t="s">
        <v>44</v>
      </c>
      <c r="O11646">
        <v>250709</v>
      </c>
      <c r="P11646">
        <v>99.77</v>
      </c>
    </row>
    <row r="11647" spans="1:16" x14ac:dyDescent="0.25">
      <c r="A11647" t="s">
        <v>3296</v>
      </c>
      <c r="B11647" t="s">
        <v>2931</v>
      </c>
      <c r="C11647">
        <v>9506</v>
      </c>
      <c r="D11647" t="str">
        <f>"52507329    "</f>
        <v xml:space="preserve">52507329    </v>
      </c>
      <c r="E11647" t="s">
        <v>1643</v>
      </c>
      <c r="F11647" t="s">
        <v>1644</v>
      </c>
      <c r="G11647">
        <v>338.54</v>
      </c>
      <c r="H11647">
        <v>250630</v>
      </c>
      <c r="I11647">
        <v>4380</v>
      </c>
      <c r="J11647" t="s">
        <v>211</v>
      </c>
      <c r="K11647">
        <v>463.75</v>
      </c>
      <c r="L11647">
        <v>68.790000000000006</v>
      </c>
      <c r="M11647">
        <v>59504</v>
      </c>
      <c r="N11647" t="s">
        <v>193</v>
      </c>
      <c r="O11647">
        <v>250709</v>
      </c>
      <c r="P11647">
        <v>269.75</v>
      </c>
    </row>
    <row r="11648" spans="1:16" x14ac:dyDescent="0.25">
      <c r="A11648" t="s">
        <v>3296</v>
      </c>
      <c r="B11648" t="s">
        <v>2931</v>
      </c>
      <c r="C11648">
        <v>11608</v>
      </c>
      <c r="D11648" t="str">
        <f>"2562606     "</f>
        <v xml:space="preserve">2562606     </v>
      </c>
      <c r="E11648" t="s">
        <v>1643</v>
      </c>
      <c r="F11648" t="s">
        <v>1644</v>
      </c>
      <c r="G11648">
        <v>23</v>
      </c>
      <c r="H11648">
        <v>250905</v>
      </c>
      <c r="I11648">
        <v>4380</v>
      </c>
      <c r="J11648" t="s">
        <v>211</v>
      </c>
      <c r="K11648">
        <v>23</v>
      </c>
      <c r="L11648">
        <v>4.67</v>
      </c>
      <c r="M11648">
        <v>59505</v>
      </c>
      <c r="N11648" t="s">
        <v>194</v>
      </c>
      <c r="O11648">
        <v>250909</v>
      </c>
      <c r="P11648">
        <v>18.329999999999998</v>
      </c>
    </row>
    <row r="11649" spans="1:16" x14ac:dyDescent="0.25">
      <c r="A11649" t="s">
        <v>3296</v>
      </c>
      <c r="B11649" t="s">
        <v>2931</v>
      </c>
      <c r="C11649">
        <v>11611</v>
      </c>
      <c r="D11649" t="str">
        <f>"2562619     "</f>
        <v xml:space="preserve">2562619     </v>
      </c>
      <c r="E11649" t="s">
        <v>1643</v>
      </c>
      <c r="F11649" t="s">
        <v>1644</v>
      </c>
      <c r="G11649">
        <v>23</v>
      </c>
      <c r="H11649">
        <v>250905</v>
      </c>
      <c r="I11649">
        <v>4380</v>
      </c>
      <c r="J11649" t="s">
        <v>211</v>
      </c>
      <c r="K11649">
        <v>23</v>
      </c>
      <c r="L11649">
        <v>4.67</v>
      </c>
      <c r="M11649">
        <v>59505</v>
      </c>
      <c r="N11649" t="s">
        <v>194</v>
      </c>
      <c r="O11649">
        <v>250909</v>
      </c>
      <c r="P11649">
        <v>18.329999999999998</v>
      </c>
    </row>
    <row r="11650" spans="1:16" x14ac:dyDescent="0.25">
      <c r="A11650" t="s">
        <v>3296</v>
      </c>
      <c r="B11650" t="s">
        <v>2931</v>
      </c>
      <c r="C11650">
        <v>12671</v>
      </c>
      <c r="D11650" t="str">
        <f>"2562618     "</f>
        <v xml:space="preserve">2562618     </v>
      </c>
      <c r="E11650" t="s">
        <v>1643</v>
      </c>
      <c r="F11650" t="s">
        <v>1644</v>
      </c>
      <c r="G11650">
        <v>46</v>
      </c>
      <c r="H11650">
        <v>250905</v>
      </c>
      <c r="I11650">
        <v>4380</v>
      </c>
      <c r="J11650" t="s">
        <v>211</v>
      </c>
      <c r="K11650">
        <v>46</v>
      </c>
      <c r="L11650">
        <v>9.35</v>
      </c>
      <c r="M11650">
        <v>56571</v>
      </c>
      <c r="N11650" t="s">
        <v>553</v>
      </c>
      <c r="O11650">
        <v>250929</v>
      </c>
      <c r="P11650">
        <v>36.65</v>
      </c>
    </row>
    <row r="11651" spans="1:16" x14ac:dyDescent="0.25">
      <c r="A11651" t="s">
        <v>3296</v>
      </c>
      <c r="B11651" t="s">
        <v>2931</v>
      </c>
      <c r="C11651">
        <v>13031</v>
      </c>
      <c r="D11651" t="str">
        <f>"52513113    "</f>
        <v xml:space="preserve">52513113    </v>
      </c>
      <c r="E11651" t="s">
        <v>1643</v>
      </c>
      <c r="F11651" t="s">
        <v>1644</v>
      </c>
      <c r="G11651">
        <v>62.02</v>
      </c>
      <c r="H11651">
        <v>250930</v>
      </c>
      <c r="I11651">
        <v>4380</v>
      </c>
      <c r="J11651" t="s">
        <v>211</v>
      </c>
      <c r="K11651">
        <v>1033.68</v>
      </c>
      <c r="L11651">
        <v>12.6</v>
      </c>
      <c r="M11651">
        <v>59111</v>
      </c>
      <c r="N11651" t="s">
        <v>60</v>
      </c>
      <c r="O11651">
        <v>251003</v>
      </c>
      <c r="P11651">
        <v>49.42</v>
      </c>
    </row>
    <row r="11652" spans="1:16" x14ac:dyDescent="0.25">
      <c r="A11652" t="s">
        <v>3296</v>
      </c>
      <c r="B11652" t="s">
        <v>2931</v>
      </c>
      <c r="C11652">
        <v>13031</v>
      </c>
      <c r="D11652" t="str">
        <f>"52513113    "</f>
        <v xml:space="preserve">52513113    </v>
      </c>
      <c r="E11652" t="s">
        <v>1643</v>
      </c>
      <c r="F11652" t="s">
        <v>1644</v>
      </c>
      <c r="G11652">
        <v>971.66</v>
      </c>
      <c r="H11652">
        <v>250930</v>
      </c>
      <c r="I11652">
        <v>4380</v>
      </c>
      <c r="J11652" t="s">
        <v>211</v>
      </c>
      <c r="K11652">
        <v>1033.68</v>
      </c>
      <c r="L11652">
        <v>197.43</v>
      </c>
      <c r="M11652">
        <v>59501</v>
      </c>
      <c r="N11652" t="s">
        <v>62</v>
      </c>
      <c r="O11652">
        <v>251003</v>
      </c>
      <c r="P11652">
        <v>774.23</v>
      </c>
    </row>
    <row r="11653" spans="1:16" x14ac:dyDescent="0.25">
      <c r="A11653" t="s">
        <v>3296</v>
      </c>
      <c r="B11653" t="s">
        <v>2931</v>
      </c>
      <c r="C11653">
        <v>13038</v>
      </c>
      <c r="D11653" t="str">
        <f>"52513045    "</f>
        <v xml:space="preserve">52513045    </v>
      </c>
      <c r="E11653" t="s">
        <v>1643</v>
      </c>
      <c r="F11653" t="s">
        <v>1644</v>
      </c>
      <c r="G11653">
        <v>95.86</v>
      </c>
      <c r="H11653">
        <v>250930</v>
      </c>
      <c r="I11653">
        <v>4380</v>
      </c>
      <c r="J11653" t="s">
        <v>211</v>
      </c>
      <c r="K11653">
        <v>1597.67</v>
      </c>
      <c r="L11653">
        <v>19.48</v>
      </c>
      <c r="M11653">
        <v>59111</v>
      </c>
      <c r="N11653" t="s">
        <v>60</v>
      </c>
      <c r="O11653">
        <v>251003</v>
      </c>
      <c r="P11653">
        <v>76.38</v>
      </c>
    </row>
    <row r="11654" spans="1:16" x14ac:dyDescent="0.25">
      <c r="A11654" t="s">
        <v>3296</v>
      </c>
      <c r="B11654" t="s">
        <v>2931</v>
      </c>
      <c r="C11654">
        <v>13038</v>
      </c>
      <c r="D11654" t="str">
        <f>"52513045    "</f>
        <v xml:space="preserve">52513045    </v>
      </c>
      <c r="E11654" t="s">
        <v>1643</v>
      </c>
      <c r="F11654" t="s">
        <v>1644</v>
      </c>
      <c r="G11654">
        <v>1501.81</v>
      </c>
      <c r="H11654">
        <v>250930</v>
      </c>
      <c r="I11654">
        <v>4380</v>
      </c>
      <c r="J11654" t="s">
        <v>211</v>
      </c>
      <c r="K11654">
        <v>1597.67</v>
      </c>
      <c r="L11654">
        <v>305.14999999999998</v>
      </c>
      <c r="M11654">
        <v>59501</v>
      </c>
      <c r="N11654" t="s">
        <v>62</v>
      </c>
      <c r="O11654">
        <v>251003</v>
      </c>
      <c r="P11654">
        <v>1196.6600000000001</v>
      </c>
    </row>
    <row r="11655" spans="1:16" x14ac:dyDescent="0.25">
      <c r="A11655" t="s">
        <v>3296</v>
      </c>
      <c r="B11655" t="s">
        <v>2931</v>
      </c>
      <c r="C11655">
        <v>13039</v>
      </c>
      <c r="D11655" t="str">
        <f>"52513097    "</f>
        <v xml:space="preserve">52513097    </v>
      </c>
      <c r="E11655" t="s">
        <v>1643</v>
      </c>
      <c r="F11655" t="s">
        <v>1644</v>
      </c>
      <c r="G11655">
        <v>184.12</v>
      </c>
      <c r="H11655">
        <v>250930</v>
      </c>
      <c r="I11655">
        <v>4380</v>
      </c>
      <c r="J11655" t="s">
        <v>211</v>
      </c>
      <c r="K11655">
        <v>184.12</v>
      </c>
      <c r="L11655">
        <v>37.409999999999997</v>
      </c>
      <c r="M11655">
        <v>59505</v>
      </c>
      <c r="N11655" t="s">
        <v>194</v>
      </c>
      <c r="O11655">
        <v>251003</v>
      </c>
      <c r="P11655">
        <v>146.71</v>
      </c>
    </row>
    <row r="11656" spans="1:16" x14ac:dyDescent="0.25">
      <c r="A11656" t="s">
        <v>3296</v>
      </c>
      <c r="B11656" t="s">
        <v>2931</v>
      </c>
      <c r="C11656">
        <v>13312</v>
      </c>
      <c r="D11656" t="str">
        <f>"52513046    "</f>
        <v xml:space="preserve">52513046    </v>
      </c>
      <c r="E11656" t="s">
        <v>1643</v>
      </c>
      <c r="F11656" t="s">
        <v>1644</v>
      </c>
      <c r="G11656">
        <v>128.31</v>
      </c>
      <c r="H11656">
        <v>250930</v>
      </c>
      <c r="I11656">
        <v>4380</v>
      </c>
      <c r="J11656" t="s">
        <v>211</v>
      </c>
      <c r="K11656">
        <v>475.23</v>
      </c>
      <c r="L11656">
        <v>26.07</v>
      </c>
      <c r="M11656">
        <v>59112</v>
      </c>
      <c r="N11656" t="s">
        <v>44</v>
      </c>
      <c r="O11656">
        <v>251007</v>
      </c>
      <c r="P11656">
        <v>102.24</v>
      </c>
    </row>
    <row r="11657" spans="1:16" x14ac:dyDescent="0.25">
      <c r="A11657" t="s">
        <v>3296</v>
      </c>
      <c r="B11657" t="s">
        <v>2931</v>
      </c>
      <c r="C11657">
        <v>13312</v>
      </c>
      <c r="D11657" t="str">
        <f>"52513046    "</f>
        <v xml:space="preserve">52513046    </v>
      </c>
      <c r="E11657" t="s">
        <v>1643</v>
      </c>
      <c r="F11657" t="s">
        <v>1644</v>
      </c>
      <c r="G11657">
        <v>346.92</v>
      </c>
      <c r="H11657">
        <v>250930</v>
      </c>
      <c r="I11657">
        <v>4380</v>
      </c>
      <c r="J11657" t="s">
        <v>211</v>
      </c>
      <c r="K11657">
        <v>475.23</v>
      </c>
      <c r="L11657">
        <v>70.489999999999995</v>
      </c>
      <c r="M11657">
        <v>59504</v>
      </c>
      <c r="N11657" t="s">
        <v>193</v>
      </c>
      <c r="O11657">
        <v>251007</v>
      </c>
      <c r="P11657">
        <v>276.43</v>
      </c>
    </row>
    <row r="11658" spans="1:16" x14ac:dyDescent="0.25">
      <c r="A11658" t="s">
        <v>3296</v>
      </c>
      <c r="B11658" t="s">
        <v>2931</v>
      </c>
      <c r="C11658">
        <v>15195</v>
      </c>
      <c r="D11658" t="str">
        <f>"6251883     "</f>
        <v xml:space="preserve">6251883     </v>
      </c>
      <c r="E11658" t="s">
        <v>1643</v>
      </c>
      <c r="F11658" t="s">
        <v>1644</v>
      </c>
      <c r="G11658">
        <v>90.01</v>
      </c>
      <c r="H11658">
        <v>251031</v>
      </c>
      <c r="I11658">
        <v>4380</v>
      </c>
      <c r="J11658" t="s">
        <v>211</v>
      </c>
      <c r="K11658">
        <v>90.01</v>
      </c>
      <c r="L11658">
        <v>18.29</v>
      </c>
      <c r="M11658">
        <v>69501</v>
      </c>
      <c r="N11658" t="s">
        <v>123</v>
      </c>
      <c r="O11658">
        <v>251114</v>
      </c>
      <c r="P11658">
        <v>71.72</v>
      </c>
    </row>
    <row r="11659" spans="1:16" x14ac:dyDescent="0.25">
      <c r="A11659" t="s">
        <v>3296</v>
      </c>
      <c r="B11659" t="s">
        <v>2931</v>
      </c>
      <c r="C11659">
        <v>18375</v>
      </c>
      <c r="D11659" t="str">
        <f>"52518748    "</f>
        <v xml:space="preserve">52518748    </v>
      </c>
      <c r="E11659" t="s">
        <v>1643</v>
      </c>
      <c r="F11659" t="s">
        <v>1644</v>
      </c>
      <c r="G11659">
        <v>134.66999999999999</v>
      </c>
      <c r="H11659">
        <v>251231</v>
      </c>
      <c r="I11659">
        <v>4380</v>
      </c>
      <c r="J11659" t="s">
        <v>211</v>
      </c>
      <c r="K11659">
        <v>498.77</v>
      </c>
      <c r="L11659">
        <v>27.36</v>
      </c>
      <c r="M11659">
        <v>59112</v>
      </c>
      <c r="N11659" t="s">
        <v>44</v>
      </c>
      <c r="O11659">
        <v>260113</v>
      </c>
      <c r="P11659">
        <v>107.31</v>
      </c>
    </row>
    <row r="11660" spans="1:16" x14ac:dyDescent="0.25">
      <c r="A11660" t="s">
        <v>3296</v>
      </c>
      <c r="B11660" t="s">
        <v>2931</v>
      </c>
      <c r="C11660">
        <v>18375</v>
      </c>
      <c r="D11660" t="str">
        <f>"52518748    "</f>
        <v xml:space="preserve">52518748    </v>
      </c>
      <c r="E11660" t="s">
        <v>1643</v>
      </c>
      <c r="F11660" t="s">
        <v>1644</v>
      </c>
      <c r="G11660">
        <v>364.1</v>
      </c>
      <c r="H11660">
        <v>251231</v>
      </c>
      <c r="I11660">
        <v>4380</v>
      </c>
      <c r="J11660" t="s">
        <v>211</v>
      </c>
      <c r="K11660">
        <v>498.77</v>
      </c>
      <c r="L11660">
        <v>73.98</v>
      </c>
      <c r="M11660">
        <v>59504</v>
      </c>
      <c r="N11660" t="s">
        <v>193</v>
      </c>
      <c r="O11660">
        <v>260113</v>
      </c>
      <c r="P11660">
        <v>290.12</v>
      </c>
    </row>
    <row r="11661" spans="1:16" x14ac:dyDescent="0.25">
      <c r="A11661" t="s">
        <v>3296</v>
      </c>
      <c r="B11661" t="s">
        <v>2931</v>
      </c>
      <c r="C11661">
        <v>18378</v>
      </c>
      <c r="D11661" t="str">
        <f>"52518798    "</f>
        <v xml:space="preserve">52518798    </v>
      </c>
      <c r="E11661" t="s">
        <v>1643</v>
      </c>
      <c r="F11661" t="s">
        <v>1644</v>
      </c>
      <c r="G11661">
        <v>186.32</v>
      </c>
      <c r="H11661">
        <v>251231</v>
      </c>
      <c r="I11661">
        <v>4380</v>
      </c>
      <c r="J11661" t="s">
        <v>211</v>
      </c>
      <c r="K11661">
        <v>186.32</v>
      </c>
      <c r="L11661">
        <v>37.86</v>
      </c>
      <c r="M11661">
        <v>59505</v>
      </c>
      <c r="N11661" t="s">
        <v>194</v>
      </c>
      <c r="O11661">
        <v>260113</v>
      </c>
      <c r="P11661">
        <v>148.46</v>
      </c>
    </row>
    <row r="11662" spans="1:16" x14ac:dyDescent="0.25">
      <c r="A11662" t="s">
        <v>3296</v>
      </c>
      <c r="B11662" t="s">
        <v>2931</v>
      </c>
      <c r="C11662">
        <v>18405</v>
      </c>
      <c r="D11662" t="str">
        <f>"52518814    "</f>
        <v xml:space="preserve">52518814    </v>
      </c>
      <c r="E11662" t="s">
        <v>1643</v>
      </c>
      <c r="F11662" t="s">
        <v>1644</v>
      </c>
      <c r="G11662">
        <v>744.62</v>
      </c>
      <c r="H11662">
        <v>251231</v>
      </c>
      <c r="I11662">
        <v>4380</v>
      </c>
      <c r="J11662" t="s">
        <v>211</v>
      </c>
      <c r="K11662">
        <v>1220.69</v>
      </c>
      <c r="L11662">
        <v>151.30000000000001</v>
      </c>
      <c r="M11662">
        <v>59502</v>
      </c>
      <c r="N11662" t="s">
        <v>63</v>
      </c>
      <c r="O11662">
        <v>260113</v>
      </c>
      <c r="P11662">
        <v>593.32000000000005</v>
      </c>
    </row>
    <row r="11663" spans="1:16" x14ac:dyDescent="0.25">
      <c r="A11663" t="s">
        <v>3296</v>
      </c>
      <c r="B11663" t="s">
        <v>2931</v>
      </c>
      <c r="C11663">
        <v>18405</v>
      </c>
      <c r="D11663" t="str">
        <f>"52518814    "</f>
        <v xml:space="preserve">52518814    </v>
      </c>
      <c r="E11663" t="s">
        <v>1643</v>
      </c>
      <c r="F11663" t="s">
        <v>1644</v>
      </c>
      <c r="G11663">
        <v>476.07</v>
      </c>
      <c r="H11663">
        <v>251231</v>
      </c>
      <c r="I11663">
        <v>4380</v>
      </c>
      <c r="J11663" t="s">
        <v>211</v>
      </c>
      <c r="K11663">
        <v>1220.69</v>
      </c>
      <c r="L11663">
        <v>96.73</v>
      </c>
      <c r="M11663">
        <v>59802</v>
      </c>
      <c r="N11663" t="s">
        <v>195</v>
      </c>
      <c r="O11663">
        <v>260113</v>
      </c>
      <c r="P11663">
        <v>379.34</v>
      </c>
    </row>
    <row r="11664" spans="1:16" x14ac:dyDescent="0.25">
      <c r="A11664" t="s">
        <v>3296</v>
      </c>
      <c r="B11664" t="s">
        <v>2931</v>
      </c>
      <c r="C11664">
        <v>18415</v>
      </c>
      <c r="D11664" t="str">
        <f>"52518747    "</f>
        <v xml:space="preserve">52518747    </v>
      </c>
      <c r="E11664" t="s">
        <v>1643</v>
      </c>
      <c r="F11664" t="s">
        <v>1644</v>
      </c>
      <c r="G11664">
        <v>78.489999999999995</v>
      </c>
      <c r="H11664">
        <v>251231</v>
      </c>
      <c r="I11664">
        <v>4380</v>
      </c>
      <c r="J11664" t="s">
        <v>211</v>
      </c>
      <c r="K11664">
        <v>1308.24</v>
      </c>
      <c r="L11664">
        <v>15.95</v>
      </c>
      <c r="M11664">
        <v>59111</v>
      </c>
      <c r="N11664" t="s">
        <v>60</v>
      </c>
      <c r="O11664">
        <v>260113</v>
      </c>
      <c r="P11664">
        <v>62.54</v>
      </c>
    </row>
    <row r="11665" spans="1:16" x14ac:dyDescent="0.25">
      <c r="A11665" t="s">
        <v>3296</v>
      </c>
      <c r="B11665" t="s">
        <v>2931</v>
      </c>
      <c r="C11665">
        <v>18415</v>
      </c>
      <c r="D11665" t="str">
        <f>"52518747    "</f>
        <v xml:space="preserve">52518747    </v>
      </c>
      <c r="E11665" t="s">
        <v>1643</v>
      </c>
      <c r="F11665" t="s">
        <v>1644</v>
      </c>
      <c r="G11665">
        <v>1229.75</v>
      </c>
      <c r="H11665">
        <v>251231</v>
      </c>
      <c r="I11665">
        <v>4380</v>
      </c>
      <c r="J11665" t="s">
        <v>211</v>
      </c>
      <c r="K11665">
        <v>1308.24</v>
      </c>
      <c r="L11665">
        <v>249.87</v>
      </c>
      <c r="M11665">
        <v>59501</v>
      </c>
      <c r="N11665" t="s">
        <v>62</v>
      </c>
      <c r="O11665">
        <v>260113</v>
      </c>
      <c r="P11665">
        <v>979.88</v>
      </c>
    </row>
    <row r="11666" spans="1:16" x14ac:dyDescent="0.25">
      <c r="A11666" t="s">
        <v>3296</v>
      </c>
      <c r="B11666" t="s">
        <v>2931</v>
      </c>
      <c r="C11666">
        <v>15474</v>
      </c>
      <c r="D11666" t="str">
        <f>"7450554576  "</f>
        <v xml:space="preserve">7450554576  </v>
      </c>
      <c r="E11666" t="s">
        <v>738</v>
      </c>
      <c r="F11666" t="s">
        <v>739</v>
      </c>
      <c r="G11666">
        <v>523.11</v>
      </c>
      <c r="H11666">
        <v>251101</v>
      </c>
      <c r="I11666">
        <v>4555</v>
      </c>
      <c r="J11666" t="s">
        <v>352</v>
      </c>
      <c r="K11666">
        <v>523.11</v>
      </c>
      <c r="L11666">
        <v>106.29</v>
      </c>
      <c r="M11666">
        <v>44453</v>
      </c>
      <c r="N11666" t="s">
        <v>100</v>
      </c>
      <c r="O11666">
        <v>251121</v>
      </c>
      <c r="P11666">
        <v>416.82</v>
      </c>
    </row>
    <row r="11667" spans="1:16" x14ac:dyDescent="0.25">
      <c r="A11667" t="s">
        <v>3296</v>
      </c>
      <c r="B11667" t="s">
        <v>2931</v>
      </c>
      <c r="C11667">
        <v>809</v>
      </c>
      <c r="D11667" t="str">
        <f>"7450505359  "</f>
        <v xml:space="preserve">7450505359  </v>
      </c>
      <c r="E11667" t="s">
        <v>738</v>
      </c>
      <c r="F11667" t="s">
        <v>739</v>
      </c>
      <c r="G11667">
        <v>240.57</v>
      </c>
      <c r="H11667">
        <v>250121</v>
      </c>
      <c r="I11667">
        <v>4600</v>
      </c>
      <c r="J11667" t="s">
        <v>278</v>
      </c>
      <c r="K11667">
        <v>481.13</v>
      </c>
      <c r="L11667">
        <v>48.88</v>
      </c>
      <c r="M11667">
        <v>54222</v>
      </c>
      <c r="N11667" t="s">
        <v>48</v>
      </c>
      <c r="O11667">
        <v>250129</v>
      </c>
      <c r="P11667">
        <v>191.69</v>
      </c>
    </row>
    <row r="11668" spans="1:16" x14ac:dyDescent="0.25">
      <c r="A11668" t="s">
        <v>3296</v>
      </c>
      <c r="B11668" t="s">
        <v>2931</v>
      </c>
      <c r="C11668">
        <v>809</v>
      </c>
      <c r="D11668" t="str">
        <f>"7450505359  "</f>
        <v xml:space="preserve">7450505359  </v>
      </c>
      <c r="E11668" t="s">
        <v>738</v>
      </c>
      <c r="F11668" t="s">
        <v>739</v>
      </c>
      <c r="G11668">
        <v>240.56</v>
      </c>
      <c r="H11668">
        <v>250121</v>
      </c>
      <c r="I11668">
        <v>4600</v>
      </c>
      <c r="J11668" t="s">
        <v>278</v>
      </c>
      <c r="K11668">
        <v>481.13</v>
      </c>
      <c r="L11668">
        <v>48.88</v>
      </c>
      <c r="M11668">
        <v>54251</v>
      </c>
      <c r="N11668" t="s">
        <v>485</v>
      </c>
      <c r="O11668">
        <v>250129</v>
      </c>
      <c r="P11668">
        <v>191.68</v>
      </c>
    </row>
    <row r="11669" spans="1:16" x14ac:dyDescent="0.25">
      <c r="A11669" t="s">
        <v>3296</v>
      </c>
      <c r="B11669" t="s">
        <v>2931</v>
      </c>
      <c r="C11669">
        <v>3998</v>
      </c>
      <c r="D11669" t="str">
        <f>"7450515236  "</f>
        <v xml:space="preserve">7450515236  </v>
      </c>
      <c r="E11669" t="s">
        <v>738</v>
      </c>
      <c r="F11669" t="s">
        <v>739</v>
      </c>
      <c r="G11669">
        <v>200.73</v>
      </c>
      <c r="H11669">
        <v>250305</v>
      </c>
      <c r="I11669">
        <v>4600</v>
      </c>
      <c r="J11669" t="s">
        <v>278</v>
      </c>
      <c r="K11669">
        <v>401.46</v>
      </c>
      <c r="L11669">
        <v>40.79</v>
      </c>
      <c r="M11669">
        <v>54222</v>
      </c>
      <c r="N11669" t="s">
        <v>48</v>
      </c>
      <c r="O11669">
        <v>250404</v>
      </c>
      <c r="P11669">
        <v>159.94</v>
      </c>
    </row>
    <row r="11670" spans="1:16" x14ac:dyDescent="0.25">
      <c r="A11670" t="s">
        <v>3296</v>
      </c>
      <c r="B11670" t="s">
        <v>2931</v>
      </c>
      <c r="C11670">
        <v>3998</v>
      </c>
      <c r="D11670" t="str">
        <f>"7450515236  "</f>
        <v xml:space="preserve">7450515236  </v>
      </c>
      <c r="E11670" t="s">
        <v>738</v>
      </c>
      <c r="F11670" t="s">
        <v>739</v>
      </c>
      <c r="G11670">
        <v>200.73</v>
      </c>
      <c r="H11670">
        <v>250305</v>
      </c>
      <c r="I11670">
        <v>4600</v>
      </c>
      <c r="J11670" t="s">
        <v>278</v>
      </c>
      <c r="K11670">
        <v>401.46</v>
      </c>
      <c r="L11670">
        <v>40.79</v>
      </c>
      <c r="M11670">
        <v>54251</v>
      </c>
      <c r="N11670" t="s">
        <v>485</v>
      </c>
      <c r="O11670">
        <v>250404</v>
      </c>
      <c r="P11670">
        <v>159.94</v>
      </c>
    </row>
    <row r="11671" spans="1:16" x14ac:dyDescent="0.25">
      <c r="A11671" t="s">
        <v>3296</v>
      </c>
      <c r="B11671" t="s">
        <v>2931</v>
      </c>
      <c r="C11671">
        <v>5023</v>
      </c>
      <c r="D11671" t="str">
        <f>"7450519660  "</f>
        <v xml:space="preserve">7450519660  </v>
      </c>
      <c r="E11671" t="s">
        <v>738</v>
      </c>
      <c r="F11671" t="s">
        <v>739</v>
      </c>
      <c r="G11671">
        <v>295.26</v>
      </c>
      <c r="H11671">
        <v>250326</v>
      </c>
      <c r="I11671">
        <v>4600</v>
      </c>
      <c r="J11671" t="s">
        <v>278</v>
      </c>
      <c r="K11671">
        <v>590.52</v>
      </c>
      <c r="L11671">
        <v>59.99</v>
      </c>
      <c r="M11671">
        <v>54222</v>
      </c>
      <c r="N11671" t="s">
        <v>48</v>
      </c>
      <c r="O11671">
        <v>250416</v>
      </c>
      <c r="P11671">
        <v>235.27</v>
      </c>
    </row>
    <row r="11672" spans="1:16" x14ac:dyDescent="0.25">
      <c r="A11672" t="s">
        <v>3296</v>
      </c>
      <c r="B11672" t="s">
        <v>2931</v>
      </c>
      <c r="C11672">
        <v>5023</v>
      </c>
      <c r="D11672" t="str">
        <f>"7450519660  "</f>
        <v xml:space="preserve">7450519660  </v>
      </c>
      <c r="E11672" t="s">
        <v>738</v>
      </c>
      <c r="F11672" t="s">
        <v>739</v>
      </c>
      <c r="G11672">
        <v>295.26</v>
      </c>
      <c r="H11672">
        <v>250326</v>
      </c>
      <c r="I11672">
        <v>4600</v>
      </c>
      <c r="J11672" t="s">
        <v>278</v>
      </c>
      <c r="K11672">
        <v>590.52</v>
      </c>
      <c r="L11672">
        <v>59.99</v>
      </c>
      <c r="M11672">
        <v>54251</v>
      </c>
      <c r="N11672" t="s">
        <v>485</v>
      </c>
      <c r="O11672">
        <v>250416</v>
      </c>
      <c r="P11672">
        <v>235.27</v>
      </c>
    </row>
    <row r="11673" spans="1:16" x14ac:dyDescent="0.25">
      <c r="A11673" t="s">
        <v>3296</v>
      </c>
      <c r="B11673" t="s">
        <v>2931</v>
      </c>
      <c r="C11673">
        <v>8732</v>
      </c>
      <c r="D11673" t="str">
        <f>"7450532286  "</f>
        <v xml:space="preserve">7450532286  </v>
      </c>
      <c r="E11673" t="s">
        <v>738</v>
      </c>
      <c r="F11673" t="s">
        <v>739</v>
      </c>
      <c r="G11673">
        <v>374.21</v>
      </c>
      <c r="H11673">
        <v>250603</v>
      </c>
      <c r="I11673">
        <v>4600</v>
      </c>
      <c r="J11673" t="s">
        <v>278</v>
      </c>
      <c r="K11673">
        <v>748.42</v>
      </c>
      <c r="L11673">
        <v>76.03</v>
      </c>
      <c r="M11673">
        <v>54222</v>
      </c>
      <c r="N11673" t="s">
        <v>48</v>
      </c>
      <c r="O11673">
        <v>250617</v>
      </c>
      <c r="P11673">
        <v>298.18</v>
      </c>
    </row>
    <row r="11674" spans="1:16" x14ac:dyDescent="0.25">
      <c r="A11674" t="s">
        <v>3296</v>
      </c>
      <c r="B11674" t="s">
        <v>2931</v>
      </c>
      <c r="C11674">
        <v>8732</v>
      </c>
      <c r="D11674" t="str">
        <f>"7450532286  "</f>
        <v xml:space="preserve">7450532286  </v>
      </c>
      <c r="E11674" t="s">
        <v>738</v>
      </c>
      <c r="F11674" t="s">
        <v>739</v>
      </c>
      <c r="G11674">
        <v>374.21</v>
      </c>
      <c r="H11674">
        <v>250603</v>
      </c>
      <c r="I11674">
        <v>4600</v>
      </c>
      <c r="J11674" t="s">
        <v>278</v>
      </c>
      <c r="K11674">
        <v>748.42</v>
      </c>
      <c r="L11674">
        <v>76.03</v>
      </c>
      <c r="M11674">
        <v>54251</v>
      </c>
      <c r="N11674" t="s">
        <v>485</v>
      </c>
      <c r="O11674">
        <v>250617</v>
      </c>
      <c r="P11674">
        <v>298.18</v>
      </c>
    </row>
    <row r="11675" spans="1:16" x14ac:dyDescent="0.25">
      <c r="A11675" t="s">
        <v>3296</v>
      </c>
      <c r="B11675" t="s">
        <v>2931</v>
      </c>
      <c r="C11675">
        <v>10820</v>
      </c>
      <c r="D11675" t="str">
        <f>"7450542338  "</f>
        <v xml:space="preserve">7450542338  </v>
      </c>
      <c r="E11675" t="s">
        <v>738</v>
      </c>
      <c r="F11675" t="s">
        <v>739</v>
      </c>
      <c r="G11675">
        <v>359.59</v>
      </c>
      <c r="H11675">
        <v>250815</v>
      </c>
      <c r="I11675">
        <v>4600</v>
      </c>
      <c r="J11675" t="s">
        <v>278</v>
      </c>
      <c r="K11675">
        <v>719.17</v>
      </c>
      <c r="L11675">
        <v>73.06</v>
      </c>
      <c r="M11675">
        <v>54222</v>
      </c>
      <c r="N11675" t="s">
        <v>48</v>
      </c>
      <c r="O11675">
        <v>250825</v>
      </c>
      <c r="P11675">
        <v>286.52999999999997</v>
      </c>
    </row>
    <row r="11676" spans="1:16" x14ac:dyDescent="0.25">
      <c r="A11676" t="s">
        <v>3296</v>
      </c>
      <c r="B11676" t="s">
        <v>2931</v>
      </c>
      <c r="C11676">
        <v>10820</v>
      </c>
      <c r="D11676" t="str">
        <f>"7450542338  "</f>
        <v xml:space="preserve">7450542338  </v>
      </c>
      <c r="E11676" t="s">
        <v>738</v>
      </c>
      <c r="F11676" t="s">
        <v>739</v>
      </c>
      <c r="G11676">
        <v>359.58</v>
      </c>
      <c r="H11676">
        <v>250815</v>
      </c>
      <c r="I11676">
        <v>4600</v>
      </c>
      <c r="J11676" t="s">
        <v>278</v>
      </c>
      <c r="K11676">
        <v>719.17</v>
      </c>
      <c r="L11676">
        <v>73.06</v>
      </c>
      <c r="M11676">
        <v>54251</v>
      </c>
      <c r="N11676" t="s">
        <v>485</v>
      </c>
      <c r="O11676">
        <v>250825</v>
      </c>
      <c r="P11676">
        <v>286.52</v>
      </c>
    </row>
    <row r="11677" spans="1:16" x14ac:dyDescent="0.25">
      <c r="A11677" t="s">
        <v>3296</v>
      </c>
      <c r="B11677" t="s">
        <v>2931</v>
      </c>
      <c r="C11677">
        <v>12864</v>
      </c>
      <c r="D11677" t="str">
        <f>"7450550558  "</f>
        <v xml:space="preserve">7450550558  </v>
      </c>
      <c r="E11677" t="s">
        <v>738</v>
      </c>
      <c r="F11677" t="s">
        <v>739</v>
      </c>
      <c r="G11677">
        <v>380.99</v>
      </c>
      <c r="H11677">
        <v>250926</v>
      </c>
      <c r="I11677">
        <v>4600</v>
      </c>
      <c r="J11677" t="s">
        <v>278</v>
      </c>
      <c r="K11677">
        <v>761.97</v>
      </c>
      <c r="L11677">
        <v>77.41</v>
      </c>
      <c r="M11677">
        <v>54222</v>
      </c>
      <c r="N11677" t="s">
        <v>48</v>
      </c>
      <c r="O11677">
        <v>250930</v>
      </c>
      <c r="P11677">
        <v>303.58</v>
      </c>
    </row>
    <row r="11678" spans="1:16" x14ac:dyDescent="0.25">
      <c r="A11678" t="s">
        <v>3296</v>
      </c>
      <c r="B11678" t="s">
        <v>2931</v>
      </c>
      <c r="C11678">
        <v>12864</v>
      </c>
      <c r="D11678" t="str">
        <f>"7450550558  "</f>
        <v xml:space="preserve">7450550558  </v>
      </c>
      <c r="E11678" t="s">
        <v>738</v>
      </c>
      <c r="F11678" t="s">
        <v>739</v>
      </c>
      <c r="G11678">
        <v>380.98</v>
      </c>
      <c r="H11678">
        <v>250926</v>
      </c>
      <c r="I11678">
        <v>4600</v>
      </c>
      <c r="J11678" t="s">
        <v>278</v>
      </c>
      <c r="K11678">
        <v>761.97</v>
      </c>
      <c r="L11678">
        <v>77.41</v>
      </c>
      <c r="M11678">
        <v>54251</v>
      </c>
      <c r="N11678" t="s">
        <v>485</v>
      </c>
      <c r="O11678">
        <v>250930</v>
      </c>
      <c r="P11678">
        <v>303.57</v>
      </c>
    </row>
    <row r="11679" spans="1:16" x14ac:dyDescent="0.25">
      <c r="A11679" t="s">
        <v>3296</v>
      </c>
      <c r="B11679" t="s">
        <v>2931</v>
      </c>
      <c r="C11679">
        <v>14795</v>
      </c>
      <c r="D11679" t="str">
        <f>"7450557000  "</f>
        <v xml:space="preserve">7450557000  </v>
      </c>
      <c r="E11679" t="s">
        <v>738</v>
      </c>
      <c r="F11679" t="s">
        <v>739</v>
      </c>
      <c r="G11679">
        <v>437.71</v>
      </c>
      <c r="H11679">
        <v>251031</v>
      </c>
      <c r="I11679">
        <v>4600</v>
      </c>
      <c r="J11679" t="s">
        <v>278</v>
      </c>
      <c r="K11679">
        <v>437.71</v>
      </c>
      <c r="L11679">
        <v>88.94</v>
      </c>
      <c r="M11679">
        <v>54252</v>
      </c>
      <c r="N11679" t="s">
        <v>742</v>
      </c>
      <c r="O11679">
        <v>251106</v>
      </c>
      <c r="P11679">
        <v>348.77</v>
      </c>
    </row>
    <row r="11680" spans="1:16" x14ac:dyDescent="0.25">
      <c r="A11680" t="s">
        <v>3296</v>
      </c>
      <c r="B11680" t="s">
        <v>2931</v>
      </c>
      <c r="C11680">
        <v>10335</v>
      </c>
      <c r="D11680" t="str">
        <f>"945743      "</f>
        <v xml:space="preserve">945743      </v>
      </c>
      <c r="E11680" t="s">
        <v>3260</v>
      </c>
      <c r="F11680" t="s">
        <v>3261</v>
      </c>
      <c r="G11680">
        <v>464</v>
      </c>
      <c r="H11680">
        <v>250701</v>
      </c>
      <c r="I11680">
        <v>4600</v>
      </c>
      <c r="J11680" t="s">
        <v>278</v>
      </c>
      <c r="K11680">
        <v>464</v>
      </c>
      <c r="L11680">
        <v>0</v>
      </c>
      <c r="M11680">
        <v>17632</v>
      </c>
      <c r="N11680" t="s">
        <v>615</v>
      </c>
      <c r="O11680">
        <v>250818</v>
      </c>
      <c r="P11680">
        <v>464</v>
      </c>
    </row>
    <row r="11681" spans="1:16" x14ac:dyDescent="0.25">
      <c r="A11681" t="s">
        <v>3296</v>
      </c>
      <c r="B11681" t="s">
        <v>2931</v>
      </c>
      <c r="C11681">
        <v>99</v>
      </c>
      <c r="D11681" t="str">
        <f>"874303      "</f>
        <v xml:space="preserve">874303      </v>
      </c>
      <c r="E11681" t="s">
        <v>187</v>
      </c>
      <c r="F11681" t="s">
        <v>189</v>
      </c>
      <c r="G11681">
        <v>4.47</v>
      </c>
      <c r="H11681">
        <v>250101</v>
      </c>
      <c r="I11681">
        <v>4369</v>
      </c>
      <c r="J11681" t="s">
        <v>188</v>
      </c>
      <c r="K11681">
        <v>40.22</v>
      </c>
      <c r="L11681">
        <v>0.91</v>
      </c>
      <c r="M11681">
        <v>11901</v>
      </c>
      <c r="N11681" t="s">
        <v>31</v>
      </c>
      <c r="O11681">
        <v>250108</v>
      </c>
      <c r="P11681">
        <v>3.56</v>
      </c>
    </row>
    <row r="11682" spans="1:16" x14ac:dyDescent="0.25">
      <c r="A11682" t="s">
        <v>3296</v>
      </c>
      <c r="B11682" t="s">
        <v>2931</v>
      </c>
      <c r="C11682">
        <v>99</v>
      </c>
      <c r="D11682" t="str">
        <f>"874303      "</f>
        <v xml:space="preserve">874303      </v>
      </c>
      <c r="E11682" t="s">
        <v>187</v>
      </c>
      <c r="F11682" t="s">
        <v>189</v>
      </c>
      <c r="G11682">
        <v>35.75</v>
      </c>
      <c r="H11682">
        <v>250101</v>
      </c>
      <c r="I11682">
        <v>4369</v>
      </c>
      <c r="J11682" t="s">
        <v>188</v>
      </c>
      <c r="K11682">
        <v>40.22</v>
      </c>
      <c r="L11682">
        <v>7.26</v>
      </c>
      <c r="M11682">
        <v>11901</v>
      </c>
      <c r="N11682" t="s">
        <v>31</v>
      </c>
      <c r="O11682">
        <v>250108</v>
      </c>
      <c r="P11682">
        <v>28.49</v>
      </c>
    </row>
    <row r="11683" spans="1:16" x14ac:dyDescent="0.25">
      <c r="A11683" t="s">
        <v>3296</v>
      </c>
      <c r="B11683" t="s">
        <v>2931</v>
      </c>
      <c r="C11683">
        <v>108</v>
      </c>
      <c r="D11683" t="str">
        <f>"874304      "</f>
        <v xml:space="preserve">874304      </v>
      </c>
      <c r="E11683" t="s">
        <v>187</v>
      </c>
      <c r="F11683" t="s">
        <v>189</v>
      </c>
      <c r="G11683">
        <v>4.33</v>
      </c>
      <c r="H11683">
        <v>250101</v>
      </c>
      <c r="I11683">
        <v>4369</v>
      </c>
      <c r="J11683" t="s">
        <v>188</v>
      </c>
      <c r="K11683">
        <v>155.87</v>
      </c>
      <c r="L11683">
        <v>0.88</v>
      </c>
      <c r="M11683">
        <v>11901</v>
      </c>
      <c r="N11683" t="s">
        <v>31</v>
      </c>
      <c r="O11683">
        <v>250110</v>
      </c>
      <c r="P11683">
        <v>3.45</v>
      </c>
    </row>
    <row r="11684" spans="1:16" x14ac:dyDescent="0.25">
      <c r="A11684" t="s">
        <v>3296</v>
      </c>
      <c r="B11684" t="s">
        <v>2931</v>
      </c>
      <c r="C11684">
        <v>108</v>
      </c>
      <c r="D11684" t="str">
        <f>"874304      "</f>
        <v xml:space="preserve">874304      </v>
      </c>
      <c r="E11684" t="s">
        <v>187</v>
      </c>
      <c r="F11684" t="s">
        <v>189</v>
      </c>
      <c r="G11684">
        <v>12.99</v>
      </c>
      <c r="H11684">
        <v>250101</v>
      </c>
      <c r="I11684">
        <v>4369</v>
      </c>
      <c r="J11684" t="s">
        <v>188</v>
      </c>
      <c r="K11684">
        <v>155.87</v>
      </c>
      <c r="L11684">
        <v>2.64</v>
      </c>
      <c r="M11684">
        <v>11901</v>
      </c>
      <c r="N11684" t="s">
        <v>31</v>
      </c>
      <c r="O11684">
        <v>250110</v>
      </c>
      <c r="P11684">
        <v>10.35</v>
      </c>
    </row>
    <row r="11685" spans="1:16" x14ac:dyDescent="0.25">
      <c r="A11685" t="s">
        <v>3296</v>
      </c>
      <c r="B11685" t="s">
        <v>2931</v>
      </c>
      <c r="C11685">
        <v>108</v>
      </c>
      <c r="D11685" t="str">
        <f>"874304      "</f>
        <v xml:space="preserve">874304      </v>
      </c>
      <c r="E11685" t="s">
        <v>187</v>
      </c>
      <c r="F11685" t="s">
        <v>189</v>
      </c>
      <c r="G11685">
        <v>34.64</v>
      </c>
      <c r="H11685">
        <v>250101</v>
      </c>
      <c r="I11685">
        <v>4369</v>
      </c>
      <c r="J11685" t="s">
        <v>188</v>
      </c>
      <c r="K11685">
        <v>155.87</v>
      </c>
      <c r="L11685">
        <v>7.04</v>
      </c>
      <c r="M11685">
        <v>11901</v>
      </c>
      <c r="N11685" t="s">
        <v>31</v>
      </c>
      <c r="O11685">
        <v>250110</v>
      </c>
      <c r="P11685">
        <v>27.6</v>
      </c>
    </row>
    <row r="11686" spans="1:16" x14ac:dyDescent="0.25">
      <c r="A11686" t="s">
        <v>3296</v>
      </c>
      <c r="B11686" t="s">
        <v>2931</v>
      </c>
      <c r="C11686">
        <v>108</v>
      </c>
      <c r="D11686" t="str">
        <f>"874304      "</f>
        <v xml:space="preserve">874304      </v>
      </c>
      <c r="E11686" t="s">
        <v>187</v>
      </c>
      <c r="F11686" t="s">
        <v>189</v>
      </c>
      <c r="G11686">
        <v>103.91</v>
      </c>
      <c r="H11686">
        <v>250101</v>
      </c>
      <c r="I11686">
        <v>4369</v>
      </c>
      <c r="J11686" t="s">
        <v>188</v>
      </c>
      <c r="K11686">
        <v>155.87</v>
      </c>
      <c r="L11686">
        <v>21.11</v>
      </c>
      <c r="M11686">
        <v>11901</v>
      </c>
      <c r="N11686" t="s">
        <v>31</v>
      </c>
      <c r="O11686">
        <v>250110</v>
      </c>
      <c r="P11686">
        <v>82.8</v>
      </c>
    </row>
    <row r="11687" spans="1:16" x14ac:dyDescent="0.25">
      <c r="A11687" t="s">
        <v>3296</v>
      </c>
      <c r="B11687" t="s">
        <v>2931</v>
      </c>
      <c r="C11687">
        <v>4010</v>
      </c>
      <c r="D11687" t="str">
        <f>"892557      "</f>
        <v xml:space="preserve">892557      </v>
      </c>
      <c r="E11687" t="s">
        <v>187</v>
      </c>
      <c r="F11687" t="s">
        <v>189</v>
      </c>
      <c r="G11687">
        <v>4.47</v>
      </c>
      <c r="H11687">
        <v>250401</v>
      </c>
      <c r="I11687">
        <v>4369</v>
      </c>
      <c r="J11687" t="s">
        <v>188</v>
      </c>
      <c r="K11687">
        <v>40.22</v>
      </c>
      <c r="L11687">
        <v>0.91</v>
      </c>
      <c r="M11687">
        <v>11901</v>
      </c>
      <c r="N11687" t="s">
        <v>31</v>
      </c>
      <c r="O11687">
        <v>250407</v>
      </c>
      <c r="P11687">
        <v>3.56</v>
      </c>
    </row>
    <row r="11688" spans="1:16" x14ac:dyDescent="0.25">
      <c r="A11688" t="s">
        <v>3296</v>
      </c>
      <c r="B11688" t="s">
        <v>2931</v>
      </c>
      <c r="C11688">
        <v>4010</v>
      </c>
      <c r="D11688" t="str">
        <f>"892557      "</f>
        <v xml:space="preserve">892557      </v>
      </c>
      <c r="E11688" t="s">
        <v>187</v>
      </c>
      <c r="F11688" t="s">
        <v>189</v>
      </c>
      <c r="G11688">
        <v>35.75</v>
      </c>
      <c r="H11688">
        <v>250401</v>
      </c>
      <c r="I11688">
        <v>4369</v>
      </c>
      <c r="J11688" t="s">
        <v>188</v>
      </c>
      <c r="K11688">
        <v>40.22</v>
      </c>
      <c r="L11688">
        <v>7.26</v>
      </c>
      <c r="M11688">
        <v>11901</v>
      </c>
      <c r="N11688" t="s">
        <v>31</v>
      </c>
      <c r="O11688">
        <v>250407</v>
      </c>
      <c r="P11688">
        <v>28.49</v>
      </c>
    </row>
    <row r="11689" spans="1:16" x14ac:dyDescent="0.25">
      <c r="A11689" t="s">
        <v>3296</v>
      </c>
      <c r="B11689" t="s">
        <v>2931</v>
      </c>
      <c r="C11689">
        <v>9570</v>
      </c>
      <c r="D11689" t="str">
        <f t="shared" ref="D11689:D11697" si="168">"907384      "</f>
        <v xml:space="preserve">907384      </v>
      </c>
      <c r="E11689" t="s">
        <v>187</v>
      </c>
      <c r="F11689" t="s">
        <v>189</v>
      </c>
      <c r="G11689">
        <v>4.62</v>
      </c>
      <c r="H11689">
        <v>250701</v>
      </c>
      <c r="I11689">
        <v>4369</v>
      </c>
      <c r="J11689" t="s">
        <v>188</v>
      </c>
      <c r="K11689">
        <v>41.62</v>
      </c>
      <c r="L11689">
        <v>0.94</v>
      </c>
      <c r="M11689">
        <v>11901</v>
      </c>
      <c r="N11689" t="s">
        <v>31</v>
      </c>
      <c r="O11689">
        <v>250721</v>
      </c>
      <c r="P11689">
        <v>3.68</v>
      </c>
    </row>
    <row r="11690" spans="1:16" x14ac:dyDescent="0.25">
      <c r="A11690" t="s">
        <v>3296</v>
      </c>
      <c r="B11690" t="s">
        <v>2931</v>
      </c>
      <c r="C11690">
        <v>9570</v>
      </c>
      <c r="D11690" t="str">
        <f t="shared" si="168"/>
        <v xml:space="preserve">907384      </v>
      </c>
      <c r="E11690" t="s">
        <v>187</v>
      </c>
      <c r="F11690" t="s">
        <v>189</v>
      </c>
      <c r="G11690">
        <v>4.62</v>
      </c>
      <c r="H11690">
        <v>250701</v>
      </c>
      <c r="I11690">
        <v>4369</v>
      </c>
      <c r="J11690" t="s">
        <v>188</v>
      </c>
      <c r="K11690">
        <v>41.62</v>
      </c>
      <c r="L11690">
        <v>0.94</v>
      </c>
      <c r="M11690">
        <v>11901</v>
      </c>
      <c r="N11690" t="s">
        <v>31</v>
      </c>
      <c r="O11690">
        <v>250721</v>
      </c>
      <c r="P11690">
        <v>3.68</v>
      </c>
    </row>
    <row r="11691" spans="1:16" x14ac:dyDescent="0.25">
      <c r="A11691" t="s">
        <v>3296</v>
      </c>
      <c r="B11691" t="s">
        <v>2931</v>
      </c>
      <c r="C11691">
        <v>9570</v>
      </c>
      <c r="D11691" t="str">
        <f t="shared" si="168"/>
        <v xml:space="preserve">907384      </v>
      </c>
      <c r="E11691" t="s">
        <v>187</v>
      </c>
      <c r="F11691" t="s">
        <v>189</v>
      </c>
      <c r="G11691">
        <v>4.62</v>
      </c>
      <c r="H11691">
        <v>250701</v>
      </c>
      <c r="I11691">
        <v>4369</v>
      </c>
      <c r="J11691" t="s">
        <v>188</v>
      </c>
      <c r="K11691">
        <v>41.62</v>
      </c>
      <c r="L11691">
        <v>0.94</v>
      </c>
      <c r="M11691">
        <v>11901</v>
      </c>
      <c r="N11691" t="s">
        <v>31</v>
      </c>
      <c r="O11691">
        <v>250721</v>
      </c>
      <c r="P11691">
        <v>3.68</v>
      </c>
    </row>
    <row r="11692" spans="1:16" x14ac:dyDescent="0.25">
      <c r="A11692" t="s">
        <v>3296</v>
      </c>
      <c r="B11692" t="s">
        <v>2931</v>
      </c>
      <c r="C11692">
        <v>9570</v>
      </c>
      <c r="D11692" t="str">
        <f t="shared" si="168"/>
        <v xml:space="preserve">907384      </v>
      </c>
      <c r="E11692" t="s">
        <v>187</v>
      </c>
      <c r="F11692" t="s">
        <v>189</v>
      </c>
      <c r="G11692">
        <v>4.62</v>
      </c>
      <c r="H11692">
        <v>250701</v>
      </c>
      <c r="I11692">
        <v>4369</v>
      </c>
      <c r="J11692" t="s">
        <v>188</v>
      </c>
      <c r="K11692">
        <v>41.62</v>
      </c>
      <c r="L11692">
        <v>0.94</v>
      </c>
      <c r="M11692">
        <v>11901</v>
      </c>
      <c r="N11692" t="s">
        <v>31</v>
      </c>
      <c r="O11692">
        <v>250721</v>
      </c>
      <c r="P11692">
        <v>3.68</v>
      </c>
    </row>
    <row r="11693" spans="1:16" x14ac:dyDescent="0.25">
      <c r="A11693" t="s">
        <v>3296</v>
      </c>
      <c r="B11693" t="s">
        <v>2931</v>
      </c>
      <c r="C11693">
        <v>9570</v>
      </c>
      <c r="D11693" t="str">
        <f t="shared" si="168"/>
        <v xml:space="preserve">907384      </v>
      </c>
      <c r="E11693" t="s">
        <v>187</v>
      </c>
      <c r="F11693" t="s">
        <v>189</v>
      </c>
      <c r="G11693">
        <v>4.62</v>
      </c>
      <c r="H11693">
        <v>250701</v>
      </c>
      <c r="I11693">
        <v>4369</v>
      </c>
      <c r="J11693" t="s">
        <v>188</v>
      </c>
      <c r="K11693">
        <v>41.62</v>
      </c>
      <c r="L11693">
        <v>0.94</v>
      </c>
      <c r="M11693">
        <v>11901</v>
      </c>
      <c r="N11693" t="s">
        <v>31</v>
      </c>
      <c r="O11693">
        <v>250721</v>
      </c>
      <c r="P11693">
        <v>3.68</v>
      </c>
    </row>
    <row r="11694" spans="1:16" x14ac:dyDescent="0.25">
      <c r="A11694" t="s">
        <v>3296</v>
      </c>
      <c r="B11694" t="s">
        <v>2931</v>
      </c>
      <c r="C11694">
        <v>9570</v>
      </c>
      <c r="D11694" t="str">
        <f t="shared" si="168"/>
        <v xml:space="preserve">907384      </v>
      </c>
      <c r="E11694" t="s">
        <v>187</v>
      </c>
      <c r="F11694" t="s">
        <v>189</v>
      </c>
      <c r="G11694">
        <v>4.62</v>
      </c>
      <c r="H11694">
        <v>250701</v>
      </c>
      <c r="I11694">
        <v>4369</v>
      </c>
      <c r="J11694" t="s">
        <v>188</v>
      </c>
      <c r="K11694">
        <v>41.62</v>
      </c>
      <c r="L11694">
        <v>0.94</v>
      </c>
      <c r="M11694">
        <v>11901</v>
      </c>
      <c r="N11694" t="s">
        <v>31</v>
      </c>
      <c r="O11694">
        <v>250721</v>
      </c>
      <c r="P11694">
        <v>3.68</v>
      </c>
    </row>
    <row r="11695" spans="1:16" x14ac:dyDescent="0.25">
      <c r="A11695" t="s">
        <v>3296</v>
      </c>
      <c r="B11695" t="s">
        <v>2931</v>
      </c>
      <c r="C11695">
        <v>9570</v>
      </c>
      <c r="D11695" t="str">
        <f t="shared" si="168"/>
        <v xml:space="preserve">907384      </v>
      </c>
      <c r="E11695" t="s">
        <v>187</v>
      </c>
      <c r="F11695" t="s">
        <v>189</v>
      </c>
      <c r="G11695">
        <v>4.62</v>
      </c>
      <c r="H11695">
        <v>250701</v>
      </c>
      <c r="I11695">
        <v>4369</v>
      </c>
      <c r="J11695" t="s">
        <v>188</v>
      </c>
      <c r="K11695">
        <v>41.62</v>
      </c>
      <c r="L11695">
        <v>0.94</v>
      </c>
      <c r="M11695">
        <v>11901</v>
      </c>
      <c r="N11695" t="s">
        <v>31</v>
      </c>
      <c r="O11695">
        <v>250721</v>
      </c>
      <c r="P11695">
        <v>3.68</v>
      </c>
    </row>
    <row r="11696" spans="1:16" x14ac:dyDescent="0.25">
      <c r="A11696" t="s">
        <v>3296</v>
      </c>
      <c r="B11696" t="s">
        <v>2931</v>
      </c>
      <c r="C11696">
        <v>9570</v>
      </c>
      <c r="D11696" t="str">
        <f t="shared" si="168"/>
        <v xml:space="preserve">907384      </v>
      </c>
      <c r="E11696" t="s">
        <v>187</v>
      </c>
      <c r="F11696" t="s">
        <v>189</v>
      </c>
      <c r="G11696">
        <v>4.62</v>
      </c>
      <c r="H11696">
        <v>250701</v>
      </c>
      <c r="I11696">
        <v>4369</v>
      </c>
      <c r="J11696" t="s">
        <v>188</v>
      </c>
      <c r="K11696">
        <v>41.62</v>
      </c>
      <c r="L11696">
        <v>0.94</v>
      </c>
      <c r="M11696">
        <v>11901</v>
      </c>
      <c r="N11696" t="s">
        <v>31</v>
      </c>
      <c r="O11696">
        <v>250721</v>
      </c>
      <c r="P11696">
        <v>3.68</v>
      </c>
    </row>
    <row r="11697" spans="1:16" x14ac:dyDescent="0.25">
      <c r="A11697" t="s">
        <v>3296</v>
      </c>
      <c r="B11697" t="s">
        <v>2931</v>
      </c>
      <c r="C11697">
        <v>9570</v>
      </c>
      <c r="D11697" t="str">
        <f t="shared" si="168"/>
        <v xml:space="preserve">907384      </v>
      </c>
      <c r="E11697" t="s">
        <v>187</v>
      </c>
      <c r="F11697" t="s">
        <v>189</v>
      </c>
      <c r="G11697">
        <v>4.66</v>
      </c>
      <c r="H11697">
        <v>250701</v>
      </c>
      <c r="I11697">
        <v>4369</v>
      </c>
      <c r="J11697" t="s">
        <v>188</v>
      </c>
      <c r="K11697">
        <v>41.62</v>
      </c>
      <c r="L11697">
        <v>0.95</v>
      </c>
      <c r="M11697">
        <v>11901</v>
      </c>
      <c r="N11697" t="s">
        <v>31</v>
      </c>
      <c r="O11697">
        <v>250721</v>
      </c>
      <c r="P11697">
        <v>3.71</v>
      </c>
    </row>
    <row r="11698" spans="1:16" x14ac:dyDescent="0.25">
      <c r="A11698" t="s">
        <v>3296</v>
      </c>
      <c r="B11698" t="s">
        <v>2931</v>
      </c>
      <c r="C11698">
        <v>12712</v>
      </c>
      <c r="D11698" t="str">
        <f>"924815      "</f>
        <v xml:space="preserve">924815      </v>
      </c>
      <c r="E11698" t="s">
        <v>187</v>
      </c>
      <c r="F11698" t="s">
        <v>189</v>
      </c>
      <c r="G11698">
        <v>4.62</v>
      </c>
      <c r="H11698">
        <v>251001</v>
      </c>
      <c r="I11698">
        <v>4369</v>
      </c>
      <c r="J11698" t="s">
        <v>188</v>
      </c>
      <c r="K11698">
        <v>41.62</v>
      </c>
      <c r="L11698">
        <v>0.94</v>
      </c>
      <c r="M11698">
        <v>11901</v>
      </c>
      <c r="N11698" t="s">
        <v>31</v>
      </c>
      <c r="O11698">
        <v>250929</v>
      </c>
      <c r="P11698">
        <v>3.68</v>
      </c>
    </row>
    <row r="11699" spans="1:16" x14ac:dyDescent="0.25">
      <c r="A11699" t="s">
        <v>3296</v>
      </c>
      <c r="B11699" t="s">
        <v>2931</v>
      </c>
      <c r="C11699">
        <v>12712</v>
      </c>
      <c r="D11699" t="str">
        <f>"924815      "</f>
        <v xml:space="preserve">924815      </v>
      </c>
      <c r="E11699" t="s">
        <v>187</v>
      </c>
      <c r="F11699" t="s">
        <v>189</v>
      </c>
      <c r="G11699">
        <v>37</v>
      </c>
      <c r="H11699">
        <v>251001</v>
      </c>
      <c r="I11699">
        <v>4369</v>
      </c>
      <c r="J11699" t="s">
        <v>188</v>
      </c>
      <c r="K11699">
        <v>41.62</v>
      </c>
      <c r="L11699">
        <v>7.52</v>
      </c>
      <c r="M11699">
        <v>11901</v>
      </c>
      <c r="N11699" t="s">
        <v>31</v>
      </c>
      <c r="O11699">
        <v>250929</v>
      </c>
      <c r="P11699">
        <v>29.48</v>
      </c>
    </row>
    <row r="11700" spans="1:16" x14ac:dyDescent="0.25">
      <c r="A11700" t="s">
        <v>3296</v>
      </c>
      <c r="B11700" t="s">
        <v>2931</v>
      </c>
      <c r="C11700">
        <v>3482</v>
      </c>
      <c r="D11700" t="str">
        <f>"101273      "</f>
        <v xml:space="preserve">101273      </v>
      </c>
      <c r="E11700" t="s">
        <v>1437</v>
      </c>
      <c r="F11700" t="s">
        <v>1438</v>
      </c>
      <c r="G11700">
        <v>294</v>
      </c>
      <c r="H11700">
        <v>250310</v>
      </c>
      <c r="I11700">
        <v>4410</v>
      </c>
      <c r="J11700" t="s">
        <v>165</v>
      </c>
      <c r="K11700">
        <v>294</v>
      </c>
      <c r="L11700">
        <v>36.11</v>
      </c>
      <c r="M11700">
        <v>11751</v>
      </c>
      <c r="N11700" t="s">
        <v>167</v>
      </c>
      <c r="O11700">
        <v>250324</v>
      </c>
      <c r="P11700">
        <v>257.89</v>
      </c>
    </row>
    <row r="11701" spans="1:16" x14ac:dyDescent="0.25">
      <c r="A11701" t="s">
        <v>3296</v>
      </c>
      <c r="B11701" t="s">
        <v>2931</v>
      </c>
      <c r="C11701">
        <v>17791</v>
      </c>
      <c r="D11701" t="str">
        <f>"1813        "</f>
        <v xml:space="preserve">1813        </v>
      </c>
      <c r="E11701" t="s">
        <v>1437</v>
      </c>
      <c r="F11701" t="s">
        <v>1438</v>
      </c>
      <c r="G11701">
        <v>121.5</v>
      </c>
      <c r="H11701">
        <v>251220</v>
      </c>
      <c r="I11701">
        <v>4410</v>
      </c>
      <c r="J11701" t="s">
        <v>165</v>
      </c>
      <c r="K11701">
        <v>121.5</v>
      </c>
      <c r="L11701">
        <v>14.92</v>
      </c>
      <c r="M11701">
        <v>49702</v>
      </c>
      <c r="N11701" t="s">
        <v>112</v>
      </c>
      <c r="O11701">
        <v>251230</v>
      </c>
      <c r="P11701">
        <v>106.58</v>
      </c>
    </row>
    <row r="11702" spans="1:16" x14ac:dyDescent="0.25">
      <c r="A11702" t="s">
        <v>3296</v>
      </c>
      <c r="B11702" t="s">
        <v>2931</v>
      </c>
      <c r="C11702">
        <v>1594</v>
      </c>
      <c r="D11702" t="str">
        <f>"45016846    "</f>
        <v xml:space="preserve">45016846    </v>
      </c>
      <c r="E11702" t="s">
        <v>1049</v>
      </c>
      <c r="F11702" t="s">
        <v>1050</v>
      </c>
      <c r="G11702">
        <v>32.9</v>
      </c>
      <c r="H11702">
        <v>250131</v>
      </c>
      <c r="I11702">
        <v>4369</v>
      </c>
      <c r="J11702" t="s">
        <v>188</v>
      </c>
      <c r="K11702">
        <v>65.790000000000006</v>
      </c>
      <c r="L11702">
        <v>6.68</v>
      </c>
      <c r="M11702">
        <v>59111</v>
      </c>
      <c r="N11702" t="s">
        <v>60</v>
      </c>
      <c r="O11702">
        <v>250211</v>
      </c>
      <c r="P11702">
        <v>26.22</v>
      </c>
    </row>
    <row r="11703" spans="1:16" x14ac:dyDescent="0.25">
      <c r="A11703" t="s">
        <v>3296</v>
      </c>
      <c r="B11703" t="s">
        <v>2931</v>
      </c>
      <c r="C11703">
        <v>1594</v>
      </c>
      <c r="D11703" t="str">
        <f>"45016846    "</f>
        <v xml:space="preserve">45016846    </v>
      </c>
      <c r="E11703" t="s">
        <v>1049</v>
      </c>
      <c r="F11703" t="s">
        <v>1050</v>
      </c>
      <c r="G11703">
        <v>32.89</v>
      </c>
      <c r="H11703">
        <v>250131</v>
      </c>
      <c r="I11703">
        <v>4369</v>
      </c>
      <c r="J11703" t="s">
        <v>188</v>
      </c>
      <c r="K11703">
        <v>65.790000000000006</v>
      </c>
      <c r="L11703">
        <v>6.68</v>
      </c>
      <c r="M11703">
        <v>59501</v>
      </c>
      <c r="N11703" t="s">
        <v>62</v>
      </c>
      <c r="O11703">
        <v>250211</v>
      </c>
      <c r="P11703">
        <v>26.21</v>
      </c>
    </row>
    <row r="11704" spans="1:16" x14ac:dyDescent="0.25">
      <c r="A11704" t="s">
        <v>3296</v>
      </c>
      <c r="B11704" t="s">
        <v>2931</v>
      </c>
      <c r="C11704">
        <v>1610</v>
      </c>
      <c r="D11704" t="str">
        <f>"45053178    "</f>
        <v xml:space="preserve">45053178    </v>
      </c>
      <c r="E11704" t="s">
        <v>1049</v>
      </c>
      <c r="F11704" t="s">
        <v>1050</v>
      </c>
      <c r="G11704">
        <v>19045.740000000002</v>
      </c>
      <c r="H11704">
        <v>250131</v>
      </c>
      <c r="I11704">
        <v>4369</v>
      </c>
      <c r="J11704" t="s">
        <v>188</v>
      </c>
      <c r="K11704">
        <v>19045.740000000002</v>
      </c>
      <c r="L11704">
        <v>3869.85</v>
      </c>
      <c r="M11704">
        <v>11801</v>
      </c>
      <c r="N11704" t="s">
        <v>40</v>
      </c>
      <c r="O11704">
        <v>250211</v>
      </c>
      <c r="P11704">
        <v>15175.89</v>
      </c>
    </row>
    <row r="11705" spans="1:16" x14ac:dyDescent="0.25">
      <c r="A11705" t="s">
        <v>3296</v>
      </c>
      <c r="B11705" t="s">
        <v>2931</v>
      </c>
      <c r="C11705">
        <v>3252</v>
      </c>
      <c r="D11705" t="str">
        <f>"45071605    "</f>
        <v xml:space="preserve">45071605    </v>
      </c>
      <c r="E11705" t="s">
        <v>1049</v>
      </c>
      <c r="F11705" t="s">
        <v>1050</v>
      </c>
      <c r="G11705">
        <v>32.9</v>
      </c>
      <c r="H11705">
        <v>250228</v>
      </c>
      <c r="I11705">
        <v>4369</v>
      </c>
      <c r="J11705" t="s">
        <v>188</v>
      </c>
      <c r="K11705">
        <v>65.790000000000006</v>
      </c>
      <c r="L11705">
        <v>6.68</v>
      </c>
      <c r="M11705">
        <v>59111</v>
      </c>
      <c r="N11705" t="s">
        <v>60</v>
      </c>
      <c r="O11705">
        <v>250317</v>
      </c>
      <c r="P11705">
        <v>26.22</v>
      </c>
    </row>
    <row r="11706" spans="1:16" x14ac:dyDescent="0.25">
      <c r="A11706" t="s">
        <v>3296</v>
      </c>
      <c r="B11706" t="s">
        <v>2931</v>
      </c>
      <c r="C11706">
        <v>3252</v>
      </c>
      <c r="D11706" t="str">
        <f>"45071605    "</f>
        <v xml:space="preserve">45071605    </v>
      </c>
      <c r="E11706" t="s">
        <v>1049</v>
      </c>
      <c r="F11706" t="s">
        <v>1050</v>
      </c>
      <c r="G11706">
        <v>32.89</v>
      </c>
      <c r="H11706">
        <v>250228</v>
      </c>
      <c r="I11706">
        <v>4369</v>
      </c>
      <c r="J11706" t="s">
        <v>188</v>
      </c>
      <c r="K11706">
        <v>65.790000000000006</v>
      </c>
      <c r="L11706">
        <v>6.68</v>
      </c>
      <c r="M11706">
        <v>59501</v>
      </c>
      <c r="N11706" t="s">
        <v>62</v>
      </c>
      <c r="O11706">
        <v>250317</v>
      </c>
      <c r="P11706">
        <v>26.21</v>
      </c>
    </row>
    <row r="11707" spans="1:16" x14ac:dyDescent="0.25">
      <c r="A11707" t="s">
        <v>3296</v>
      </c>
      <c r="B11707" t="s">
        <v>2931</v>
      </c>
      <c r="C11707">
        <v>3333</v>
      </c>
      <c r="D11707" t="str">
        <f>"45108283    "</f>
        <v xml:space="preserve">45108283    </v>
      </c>
      <c r="E11707" t="s">
        <v>1049</v>
      </c>
      <c r="F11707" t="s">
        <v>1050</v>
      </c>
      <c r="G11707">
        <v>19045.740000000002</v>
      </c>
      <c r="H11707">
        <v>250228</v>
      </c>
      <c r="I11707">
        <v>4369</v>
      </c>
      <c r="J11707" t="s">
        <v>188</v>
      </c>
      <c r="K11707">
        <v>19045.740000000002</v>
      </c>
      <c r="L11707">
        <v>3869.85</v>
      </c>
      <c r="M11707">
        <v>11801</v>
      </c>
      <c r="N11707" t="s">
        <v>40</v>
      </c>
      <c r="O11707">
        <v>250318</v>
      </c>
      <c r="P11707">
        <v>15175.89</v>
      </c>
    </row>
    <row r="11708" spans="1:16" x14ac:dyDescent="0.25">
      <c r="A11708" t="s">
        <v>3296</v>
      </c>
      <c r="B11708" t="s">
        <v>2931</v>
      </c>
      <c r="C11708">
        <v>4225</v>
      </c>
      <c r="D11708" t="str">
        <f>"45127715    "</f>
        <v xml:space="preserve">45127715    </v>
      </c>
      <c r="E11708" t="s">
        <v>1049</v>
      </c>
      <c r="F11708" t="s">
        <v>1050</v>
      </c>
      <c r="G11708">
        <v>32.9</v>
      </c>
      <c r="H11708">
        <v>250331</v>
      </c>
      <c r="I11708">
        <v>4369</v>
      </c>
      <c r="J11708" t="s">
        <v>188</v>
      </c>
      <c r="K11708">
        <v>65.790000000000006</v>
      </c>
      <c r="L11708">
        <v>6.68</v>
      </c>
      <c r="M11708">
        <v>59111</v>
      </c>
      <c r="N11708" t="s">
        <v>60</v>
      </c>
      <c r="O11708">
        <v>250409</v>
      </c>
      <c r="P11708">
        <v>26.22</v>
      </c>
    </row>
    <row r="11709" spans="1:16" x14ac:dyDescent="0.25">
      <c r="A11709" t="s">
        <v>3296</v>
      </c>
      <c r="B11709" t="s">
        <v>2931</v>
      </c>
      <c r="C11709">
        <v>4225</v>
      </c>
      <c r="D11709" t="str">
        <f>"45127715    "</f>
        <v xml:space="preserve">45127715    </v>
      </c>
      <c r="E11709" t="s">
        <v>1049</v>
      </c>
      <c r="F11709" t="s">
        <v>1050</v>
      </c>
      <c r="G11709">
        <v>32.89</v>
      </c>
      <c r="H11709">
        <v>250331</v>
      </c>
      <c r="I11709">
        <v>4369</v>
      </c>
      <c r="J11709" t="s">
        <v>188</v>
      </c>
      <c r="K11709">
        <v>65.790000000000006</v>
      </c>
      <c r="L11709">
        <v>6.68</v>
      </c>
      <c r="M11709">
        <v>59501</v>
      </c>
      <c r="N11709" t="s">
        <v>62</v>
      </c>
      <c r="O11709">
        <v>250409</v>
      </c>
      <c r="P11709">
        <v>26.21</v>
      </c>
    </row>
    <row r="11710" spans="1:16" x14ac:dyDescent="0.25">
      <c r="A11710" t="s">
        <v>3296</v>
      </c>
      <c r="B11710" t="s">
        <v>2931</v>
      </c>
      <c r="C11710">
        <v>5006</v>
      </c>
      <c r="D11710" t="str">
        <f>"45164629    "</f>
        <v xml:space="preserve">45164629    </v>
      </c>
      <c r="E11710" t="s">
        <v>1049</v>
      </c>
      <c r="F11710" t="s">
        <v>1050</v>
      </c>
      <c r="G11710">
        <v>19045.740000000002</v>
      </c>
      <c r="H11710">
        <v>250331</v>
      </c>
      <c r="I11710">
        <v>4369</v>
      </c>
      <c r="J11710" t="s">
        <v>188</v>
      </c>
      <c r="K11710">
        <v>19045.740000000002</v>
      </c>
      <c r="L11710">
        <v>3869.85</v>
      </c>
      <c r="M11710">
        <v>11801</v>
      </c>
      <c r="N11710" t="s">
        <v>40</v>
      </c>
      <c r="O11710">
        <v>250416</v>
      </c>
      <c r="P11710">
        <v>15175.89</v>
      </c>
    </row>
    <row r="11711" spans="1:16" x14ac:dyDescent="0.25">
      <c r="A11711" t="s">
        <v>3296</v>
      </c>
      <c r="B11711" t="s">
        <v>2931</v>
      </c>
      <c r="C11711">
        <v>6488</v>
      </c>
      <c r="D11711" t="str">
        <f>"45185902    "</f>
        <v xml:space="preserve">45185902    </v>
      </c>
      <c r="E11711" t="s">
        <v>1049</v>
      </c>
      <c r="F11711" t="s">
        <v>1050</v>
      </c>
      <c r="G11711">
        <v>32.9</v>
      </c>
      <c r="H11711">
        <v>250430</v>
      </c>
      <c r="I11711">
        <v>4369</v>
      </c>
      <c r="J11711" t="s">
        <v>188</v>
      </c>
      <c r="K11711">
        <v>65.790000000000006</v>
      </c>
      <c r="L11711">
        <v>6.68</v>
      </c>
      <c r="M11711">
        <v>59111</v>
      </c>
      <c r="N11711" t="s">
        <v>60</v>
      </c>
      <c r="O11711">
        <v>250513</v>
      </c>
      <c r="P11711">
        <v>26.22</v>
      </c>
    </row>
    <row r="11712" spans="1:16" x14ac:dyDescent="0.25">
      <c r="A11712" t="s">
        <v>3296</v>
      </c>
      <c r="B11712" t="s">
        <v>2931</v>
      </c>
      <c r="C11712">
        <v>6488</v>
      </c>
      <c r="D11712" t="str">
        <f>"45185902    "</f>
        <v xml:space="preserve">45185902    </v>
      </c>
      <c r="E11712" t="s">
        <v>1049</v>
      </c>
      <c r="F11712" t="s">
        <v>1050</v>
      </c>
      <c r="G11712">
        <v>32.89</v>
      </c>
      <c r="H11712">
        <v>250430</v>
      </c>
      <c r="I11712">
        <v>4369</v>
      </c>
      <c r="J11712" t="s">
        <v>188</v>
      </c>
      <c r="K11712">
        <v>65.790000000000006</v>
      </c>
      <c r="L11712">
        <v>6.68</v>
      </c>
      <c r="M11712">
        <v>59501</v>
      </c>
      <c r="N11712" t="s">
        <v>62</v>
      </c>
      <c r="O11712">
        <v>250513</v>
      </c>
      <c r="P11712">
        <v>26.21</v>
      </c>
    </row>
    <row r="11713" spans="1:16" x14ac:dyDescent="0.25">
      <c r="A11713" t="s">
        <v>3296</v>
      </c>
      <c r="B11713" t="s">
        <v>2931</v>
      </c>
      <c r="C11713">
        <v>6738</v>
      </c>
      <c r="D11713" t="str">
        <f>"45222580    "</f>
        <v xml:space="preserve">45222580    </v>
      </c>
      <c r="E11713" t="s">
        <v>1049</v>
      </c>
      <c r="F11713" t="s">
        <v>1050</v>
      </c>
      <c r="G11713">
        <v>19045.740000000002</v>
      </c>
      <c r="H11713">
        <v>250430</v>
      </c>
      <c r="I11713">
        <v>4369</v>
      </c>
      <c r="J11713" t="s">
        <v>188</v>
      </c>
      <c r="K11713">
        <v>19045.740000000002</v>
      </c>
      <c r="L11713">
        <v>3869.85</v>
      </c>
      <c r="M11713">
        <v>11801</v>
      </c>
      <c r="N11713" t="s">
        <v>40</v>
      </c>
      <c r="O11713">
        <v>250516</v>
      </c>
      <c r="P11713">
        <v>15175.89</v>
      </c>
    </row>
    <row r="11714" spans="1:16" x14ac:dyDescent="0.25">
      <c r="A11714" t="s">
        <v>3296</v>
      </c>
      <c r="B11714" t="s">
        <v>2931</v>
      </c>
      <c r="C11714">
        <v>8620</v>
      </c>
      <c r="D11714" t="str">
        <f>"45282087    "</f>
        <v xml:space="preserve">45282087    </v>
      </c>
      <c r="E11714" t="s">
        <v>1049</v>
      </c>
      <c r="F11714" t="s">
        <v>1050</v>
      </c>
      <c r="G11714">
        <v>19045.740000000002</v>
      </c>
      <c r="H11714">
        <v>250531</v>
      </c>
      <c r="I11714">
        <v>4369</v>
      </c>
      <c r="J11714" t="s">
        <v>188</v>
      </c>
      <c r="K11714">
        <v>19045.740000000002</v>
      </c>
      <c r="L11714">
        <v>3869.85</v>
      </c>
      <c r="M11714">
        <v>11801</v>
      </c>
      <c r="N11714" t="s">
        <v>40</v>
      </c>
      <c r="O11714">
        <v>250617</v>
      </c>
      <c r="P11714">
        <v>15175.89</v>
      </c>
    </row>
    <row r="11715" spans="1:16" x14ac:dyDescent="0.25">
      <c r="A11715" t="s">
        <v>3296</v>
      </c>
      <c r="B11715" t="s">
        <v>2931</v>
      </c>
      <c r="C11715">
        <v>8672</v>
      </c>
      <c r="D11715" t="str">
        <f>"45245151    "</f>
        <v xml:space="preserve">45245151    </v>
      </c>
      <c r="E11715" t="s">
        <v>1049</v>
      </c>
      <c r="F11715" t="s">
        <v>1050</v>
      </c>
      <c r="G11715">
        <v>32.9</v>
      </c>
      <c r="H11715">
        <v>250531</v>
      </c>
      <c r="I11715">
        <v>4369</v>
      </c>
      <c r="J11715" t="s">
        <v>188</v>
      </c>
      <c r="K11715">
        <v>65.790000000000006</v>
      </c>
      <c r="L11715">
        <v>6.68</v>
      </c>
      <c r="M11715">
        <v>59111</v>
      </c>
      <c r="N11715" t="s">
        <v>60</v>
      </c>
      <c r="O11715">
        <v>250617</v>
      </c>
      <c r="P11715">
        <v>26.22</v>
      </c>
    </row>
    <row r="11716" spans="1:16" x14ac:dyDescent="0.25">
      <c r="A11716" t="s">
        <v>3296</v>
      </c>
      <c r="B11716" t="s">
        <v>2931</v>
      </c>
      <c r="C11716">
        <v>8672</v>
      </c>
      <c r="D11716" t="str">
        <f>"45245151    "</f>
        <v xml:space="preserve">45245151    </v>
      </c>
      <c r="E11716" t="s">
        <v>1049</v>
      </c>
      <c r="F11716" t="s">
        <v>1050</v>
      </c>
      <c r="G11716">
        <v>32.89</v>
      </c>
      <c r="H11716">
        <v>250531</v>
      </c>
      <c r="I11716">
        <v>4369</v>
      </c>
      <c r="J11716" t="s">
        <v>188</v>
      </c>
      <c r="K11716">
        <v>65.790000000000006</v>
      </c>
      <c r="L11716">
        <v>6.68</v>
      </c>
      <c r="M11716">
        <v>59501</v>
      </c>
      <c r="N11716" t="s">
        <v>62</v>
      </c>
      <c r="O11716">
        <v>250617</v>
      </c>
      <c r="P11716">
        <v>26.21</v>
      </c>
    </row>
    <row r="11717" spans="1:16" x14ac:dyDescent="0.25">
      <c r="A11717" t="s">
        <v>3296</v>
      </c>
      <c r="B11717" t="s">
        <v>2931</v>
      </c>
      <c r="C11717">
        <v>9550</v>
      </c>
      <c r="D11717" t="str">
        <f>"45304201    "</f>
        <v xml:space="preserve">45304201    </v>
      </c>
      <c r="E11717" t="s">
        <v>1049</v>
      </c>
      <c r="F11717" t="s">
        <v>1050</v>
      </c>
      <c r="G11717">
        <v>32.9</v>
      </c>
      <c r="H11717">
        <v>250630</v>
      </c>
      <c r="I11717">
        <v>4369</v>
      </c>
      <c r="J11717" t="s">
        <v>188</v>
      </c>
      <c r="K11717">
        <v>65.790000000000006</v>
      </c>
      <c r="L11717">
        <v>6.68</v>
      </c>
      <c r="M11717">
        <v>59111</v>
      </c>
      <c r="N11717" t="s">
        <v>60</v>
      </c>
      <c r="O11717">
        <v>250711</v>
      </c>
      <c r="P11717">
        <v>26.22</v>
      </c>
    </row>
    <row r="11718" spans="1:16" x14ac:dyDescent="0.25">
      <c r="A11718" t="s">
        <v>3296</v>
      </c>
      <c r="B11718" t="s">
        <v>2931</v>
      </c>
      <c r="C11718">
        <v>9550</v>
      </c>
      <c r="D11718" t="str">
        <f>"45304201    "</f>
        <v xml:space="preserve">45304201    </v>
      </c>
      <c r="E11718" t="s">
        <v>1049</v>
      </c>
      <c r="F11718" t="s">
        <v>1050</v>
      </c>
      <c r="G11718">
        <v>32.89</v>
      </c>
      <c r="H11718">
        <v>250630</v>
      </c>
      <c r="I11718">
        <v>4369</v>
      </c>
      <c r="J11718" t="s">
        <v>188</v>
      </c>
      <c r="K11718">
        <v>65.790000000000006</v>
      </c>
      <c r="L11718">
        <v>6.68</v>
      </c>
      <c r="M11718">
        <v>59501</v>
      </c>
      <c r="N11718" t="s">
        <v>62</v>
      </c>
      <c r="O11718">
        <v>250711</v>
      </c>
      <c r="P11718">
        <v>26.21</v>
      </c>
    </row>
    <row r="11719" spans="1:16" x14ac:dyDescent="0.25">
      <c r="A11719" t="s">
        <v>3296</v>
      </c>
      <c r="B11719" t="s">
        <v>2931</v>
      </c>
      <c r="C11719">
        <v>9739</v>
      </c>
      <c r="D11719" t="str">
        <f>"45340839    "</f>
        <v xml:space="preserve">45340839    </v>
      </c>
      <c r="E11719" t="s">
        <v>1049</v>
      </c>
      <c r="F11719" t="s">
        <v>1050</v>
      </c>
      <c r="G11719">
        <v>19045.740000000002</v>
      </c>
      <c r="H11719">
        <v>250630</v>
      </c>
      <c r="I11719">
        <v>4369</v>
      </c>
      <c r="J11719" t="s">
        <v>188</v>
      </c>
      <c r="K11719">
        <v>19045.740000000002</v>
      </c>
      <c r="L11719">
        <v>3869.85</v>
      </c>
      <c r="M11719">
        <v>11801</v>
      </c>
      <c r="N11719" t="s">
        <v>40</v>
      </c>
      <c r="O11719">
        <v>250728</v>
      </c>
      <c r="P11719">
        <v>15175.89</v>
      </c>
    </row>
    <row r="11720" spans="1:16" x14ac:dyDescent="0.25">
      <c r="A11720" t="s">
        <v>3296</v>
      </c>
      <c r="B11720" t="s">
        <v>2931</v>
      </c>
      <c r="C11720">
        <v>10366</v>
      </c>
      <c r="D11720" t="str">
        <f>"45400569    "</f>
        <v xml:space="preserve">45400569    </v>
      </c>
      <c r="E11720" t="s">
        <v>1049</v>
      </c>
      <c r="F11720" t="s">
        <v>1050</v>
      </c>
      <c r="G11720">
        <v>19045.740000000002</v>
      </c>
      <c r="H11720">
        <v>250731</v>
      </c>
      <c r="I11720">
        <v>4369</v>
      </c>
      <c r="J11720" t="s">
        <v>188</v>
      </c>
      <c r="K11720">
        <v>19045.740000000002</v>
      </c>
      <c r="L11720">
        <v>3869.85</v>
      </c>
      <c r="M11720">
        <v>11801</v>
      </c>
      <c r="N11720" t="s">
        <v>40</v>
      </c>
      <c r="O11720">
        <v>250818</v>
      </c>
      <c r="P11720">
        <v>15175.89</v>
      </c>
    </row>
    <row r="11721" spans="1:16" x14ac:dyDescent="0.25">
      <c r="A11721" t="s">
        <v>3296</v>
      </c>
      <c r="B11721" t="s">
        <v>2931</v>
      </c>
      <c r="C11721">
        <v>10446</v>
      </c>
      <c r="D11721" t="str">
        <f>"45364065    "</f>
        <v xml:space="preserve">45364065    </v>
      </c>
      <c r="E11721" t="s">
        <v>1049</v>
      </c>
      <c r="F11721" t="s">
        <v>1050</v>
      </c>
      <c r="G11721">
        <v>32.9</v>
      </c>
      <c r="H11721">
        <v>250806</v>
      </c>
      <c r="I11721">
        <v>4369</v>
      </c>
      <c r="J11721" t="s">
        <v>188</v>
      </c>
      <c r="K11721">
        <v>65.790000000000006</v>
      </c>
      <c r="L11721">
        <v>6.68</v>
      </c>
      <c r="M11721">
        <v>59111</v>
      </c>
      <c r="N11721" t="s">
        <v>60</v>
      </c>
      <c r="O11721">
        <v>250819</v>
      </c>
      <c r="P11721">
        <v>26.22</v>
      </c>
    </row>
    <row r="11722" spans="1:16" x14ac:dyDescent="0.25">
      <c r="A11722" t="s">
        <v>3296</v>
      </c>
      <c r="B11722" t="s">
        <v>2931</v>
      </c>
      <c r="C11722">
        <v>10446</v>
      </c>
      <c r="D11722" t="str">
        <f>"45364065    "</f>
        <v xml:space="preserve">45364065    </v>
      </c>
      <c r="E11722" t="s">
        <v>1049</v>
      </c>
      <c r="F11722" t="s">
        <v>1050</v>
      </c>
      <c r="G11722">
        <v>32.89</v>
      </c>
      <c r="H11722">
        <v>250806</v>
      </c>
      <c r="I11722">
        <v>4369</v>
      </c>
      <c r="J11722" t="s">
        <v>188</v>
      </c>
      <c r="K11722">
        <v>65.790000000000006</v>
      </c>
      <c r="L11722">
        <v>6.68</v>
      </c>
      <c r="M11722">
        <v>59501</v>
      </c>
      <c r="N11722" t="s">
        <v>62</v>
      </c>
      <c r="O11722">
        <v>250819</v>
      </c>
      <c r="P11722">
        <v>26.21</v>
      </c>
    </row>
    <row r="11723" spans="1:16" x14ac:dyDescent="0.25">
      <c r="A11723" t="s">
        <v>3296</v>
      </c>
      <c r="B11723" t="s">
        <v>2931</v>
      </c>
      <c r="C11723">
        <v>11641</v>
      </c>
      <c r="D11723" t="str">
        <f>"45460956    "</f>
        <v xml:space="preserve">45460956    </v>
      </c>
      <c r="E11723" t="s">
        <v>1049</v>
      </c>
      <c r="F11723" t="s">
        <v>1050</v>
      </c>
      <c r="G11723">
        <v>19045.740000000002</v>
      </c>
      <c r="H11723">
        <v>250831</v>
      </c>
      <c r="I11723">
        <v>4369</v>
      </c>
      <c r="J11723" t="s">
        <v>188</v>
      </c>
      <c r="K11723">
        <v>19045.740000000002</v>
      </c>
      <c r="L11723">
        <v>3869.85</v>
      </c>
      <c r="M11723">
        <v>11801</v>
      </c>
      <c r="N11723" t="s">
        <v>40</v>
      </c>
      <c r="O11723">
        <v>250909</v>
      </c>
      <c r="P11723">
        <v>15175.89</v>
      </c>
    </row>
    <row r="11724" spans="1:16" x14ac:dyDescent="0.25">
      <c r="A11724" t="s">
        <v>3296</v>
      </c>
      <c r="B11724" t="s">
        <v>2931</v>
      </c>
      <c r="C11724">
        <v>11745</v>
      </c>
      <c r="D11724" t="str">
        <f>"45424398    "</f>
        <v xml:space="preserve">45424398    </v>
      </c>
      <c r="E11724" t="s">
        <v>1049</v>
      </c>
      <c r="F11724" t="s">
        <v>1050</v>
      </c>
      <c r="G11724">
        <v>32.9</v>
      </c>
      <c r="H11724">
        <v>250831</v>
      </c>
      <c r="I11724">
        <v>4369</v>
      </c>
      <c r="J11724" t="s">
        <v>188</v>
      </c>
      <c r="K11724">
        <v>65.790000000000006</v>
      </c>
      <c r="L11724">
        <v>6.68</v>
      </c>
      <c r="M11724">
        <v>59111</v>
      </c>
      <c r="N11724" t="s">
        <v>60</v>
      </c>
      <c r="O11724">
        <v>250910</v>
      </c>
      <c r="P11724">
        <v>26.22</v>
      </c>
    </row>
    <row r="11725" spans="1:16" x14ac:dyDescent="0.25">
      <c r="A11725" t="s">
        <v>3296</v>
      </c>
      <c r="B11725" t="s">
        <v>2931</v>
      </c>
      <c r="C11725">
        <v>11745</v>
      </c>
      <c r="D11725" t="str">
        <f>"45424398    "</f>
        <v xml:space="preserve">45424398    </v>
      </c>
      <c r="E11725" t="s">
        <v>1049</v>
      </c>
      <c r="F11725" t="s">
        <v>1050</v>
      </c>
      <c r="G11725">
        <v>32.89</v>
      </c>
      <c r="H11725">
        <v>250831</v>
      </c>
      <c r="I11725">
        <v>4369</v>
      </c>
      <c r="J11725" t="s">
        <v>188</v>
      </c>
      <c r="K11725">
        <v>65.790000000000006</v>
      </c>
      <c r="L11725">
        <v>6.68</v>
      </c>
      <c r="M11725">
        <v>59501</v>
      </c>
      <c r="N11725" t="s">
        <v>62</v>
      </c>
      <c r="O11725">
        <v>250910</v>
      </c>
      <c r="P11725">
        <v>26.21</v>
      </c>
    </row>
    <row r="11726" spans="1:16" x14ac:dyDescent="0.25">
      <c r="A11726" t="s">
        <v>3296</v>
      </c>
      <c r="B11726" t="s">
        <v>2931</v>
      </c>
      <c r="C11726">
        <v>13295</v>
      </c>
      <c r="D11726" t="str">
        <f>"45485877    "</f>
        <v xml:space="preserve">45485877    </v>
      </c>
      <c r="E11726" t="s">
        <v>1049</v>
      </c>
      <c r="F11726" t="s">
        <v>1050</v>
      </c>
      <c r="G11726">
        <v>32.9</v>
      </c>
      <c r="H11726">
        <v>250930</v>
      </c>
      <c r="I11726">
        <v>4369</v>
      </c>
      <c r="J11726" t="s">
        <v>188</v>
      </c>
      <c r="K11726">
        <v>65.790000000000006</v>
      </c>
      <c r="L11726">
        <v>6.68</v>
      </c>
      <c r="M11726">
        <v>59111</v>
      </c>
      <c r="N11726" t="s">
        <v>60</v>
      </c>
      <c r="O11726">
        <v>251007</v>
      </c>
      <c r="P11726">
        <v>26.22</v>
      </c>
    </row>
    <row r="11727" spans="1:16" x14ac:dyDescent="0.25">
      <c r="A11727" t="s">
        <v>3296</v>
      </c>
      <c r="B11727" t="s">
        <v>2931</v>
      </c>
      <c r="C11727">
        <v>13295</v>
      </c>
      <c r="D11727" t="str">
        <f>"45485877    "</f>
        <v xml:space="preserve">45485877    </v>
      </c>
      <c r="E11727" t="s">
        <v>1049</v>
      </c>
      <c r="F11727" t="s">
        <v>1050</v>
      </c>
      <c r="G11727">
        <v>32.89</v>
      </c>
      <c r="H11727">
        <v>250930</v>
      </c>
      <c r="I11727">
        <v>4369</v>
      </c>
      <c r="J11727" t="s">
        <v>188</v>
      </c>
      <c r="K11727">
        <v>65.790000000000006</v>
      </c>
      <c r="L11727">
        <v>6.68</v>
      </c>
      <c r="M11727">
        <v>59501</v>
      </c>
      <c r="N11727" t="s">
        <v>62</v>
      </c>
      <c r="O11727">
        <v>251007</v>
      </c>
      <c r="P11727">
        <v>26.21</v>
      </c>
    </row>
    <row r="11728" spans="1:16" x14ac:dyDescent="0.25">
      <c r="A11728" t="s">
        <v>3296</v>
      </c>
      <c r="B11728" t="s">
        <v>2931</v>
      </c>
      <c r="C11728">
        <v>13707</v>
      </c>
      <c r="D11728" t="str">
        <f>"45522168    "</f>
        <v xml:space="preserve">45522168    </v>
      </c>
      <c r="E11728" t="s">
        <v>1049</v>
      </c>
      <c r="F11728" t="s">
        <v>1050</v>
      </c>
      <c r="G11728">
        <v>19045.740000000002</v>
      </c>
      <c r="H11728">
        <v>250930</v>
      </c>
      <c r="I11728">
        <v>4369</v>
      </c>
      <c r="J11728" t="s">
        <v>188</v>
      </c>
      <c r="K11728">
        <v>19045.740000000002</v>
      </c>
      <c r="L11728">
        <v>3869.85</v>
      </c>
      <c r="M11728">
        <v>11801</v>
      </c>
      <c r="N11728" t="s">
        <v>40</v>
      </c>
      <c r="O11728">
        <v>251016</v>
      </c>
      <c r="P11728">
        <v>15175.89</v>
      </c>
    </row>
    <row r="11729" spans="1:16" x14ac:dyDescent="0.25">
      <c r="A11729" t="s">
        <v>3296</v>
      </c>
      <c r="B11729" t="s">
        <v>2931</v>
      </c>
      <c r="C11729">
        <v>14860</v>
      </c>
      <c r="D11729" t="str">
        <f>"45546970    "</f>
        <v xml:space="preserve">45546970    </v>
      </c>
      <c r="E11729" t="s">
        <v>1049</v>
      </c>
      <c r="F11729" t="s">
        <v>1050</v>
      </c>
      <c r="G11729">
        <v>32.9</v>
      </c>
      <c r="H11729">
        <v>251031</v>
      </c>
      <c r="I11729">
        <v>4369</v>
      </c>
      <c r="J11729" t="s">
        <v>188</v>
      </c>
      <c r="K11729">
        <v>65.790000000000006</v>
      </c>
      <c r="L11729">
        <v>6.68</v>
      </c>
      <c r="M11729">
        <v>59111</v>
      </c>
      <c r="N11729" t="s">
        <v>60</v>
      </c>
      <c r="O11729">
        <v>251107</v>
      </c>
      <c r="P11729">
        <v>26.22</v>
      </c>
    </row>
    <row r="11730" spans="1:16" x14ac:dyDescent="0.25">
      <c r="A11730" t="s">
        <v>3296</v>
      </c>
      <c r="B11730" t="s">
        <v>2931</v>
      </c>
      <c r="C11730">
        <v>14860</v>
      </c>
      <c r="D11730" t="str">
        <f>"45546970    "</f>
        <v xml:space="preserve">45546970    </v>
      </c>
      <c r="E11730" t="s">
        <v>1049</v>
      </c>
      <c r="F11730" t="s">
        <v>1050</v>
      </c>
      <c r="G11730">
        <v>32.89</v>
      </c>
      <c r="H11730">
        <v>251031</v>
      </c>
      <c r="I11730">
        <v>4369</v>
      </c>
      <c r="J11730" t="s">
        <v>188</v>
      </c>
      <c r="K11730">
        <v>65.790000000000006</v>
      </c>
      <c r="L11730">
        <v>6.68</v>
      </c>
      <c r="M11730">
        <v>59501</v>
      </c>
      <c r="N11730" t="s">
        <v>62</v>
      </c>
      <c r="O11730">
        <v>251107</v>
      </c>
      <c r="P11730">
        <v>26.21</v>
      </c>
    </row>
    <row r="11731" spans="1:16" x14ac:dyDescent="0.25">
      <c r="A11731" t="s">
        <v>3296</v>
      </c>
      <c r="B11731" t="s">
        <v>2931</v>
      </c>
      <c r="C11731">
        <v>14862</v>
      </c>
      <c r="D11731" t="str">
        <f>"45582938    "</f>
        <v xml:space="preserve">45582938    </v>
      </c>
      <c r="E11731" t="s">
        <v>1049</v>
      </c>
      <c r="F11731" t="s">
        <v>1050</v>
      </c>
      <c r="G11731">
        <v>19045.740000000002</v>
      </c>
      <c r="H11731">
        <v>251031</v>
      </c>
      <c r="I11731">
        <v>4369</v>
      </c>
      <c r="J11731" t="s">
        <v>188</v>
      </c>
      <c r="K11731">
        <v>19045.740000000002</v>
      </c>
      <c r="L11731">
        <v>3869.85</v>
      </c>
      <c r="M11731">
        <v>11801</v>
      </c>
      <c r="N11731" t="s">
        <v>40</v>
      </c>
      <c r="O11731">
        <v>251107</v>
      </c>
      <c r="P11731">
        <v>15175.89</v>
      </c>
    </row>
    <row r="11732" spans="1:16" x14ac:dyDescent="0.25">
      <c r="A11732" t="s">
        <v>3296</v>
      </c>
      <c r="B11732" t="s">
        <v>2931</v>
      </c>
      <c r="C11732">
        <v>16320</v>
      </c>
      <c r="D11732" t="str">
        <f>"45609468    "</f>
        <v xml:space="preserve">45609468    </v>
      </c>
      <c r="E11732" t="s">
        <v>1049</v>
      </c>
      <c r="F11732" t="s">
        <v>1050</v>
      </c>
      <c r="G11732">
        <v>32.89</v>
      </c>
      <c r="H11732">
        <v>251130</v>
      </c>
      <c r="I11732">
        <v>4369</v>
      </c>
      <c r="J11732" t="s">
        <v>188</v>
      </c>
      <c r="K11732">
        <v>65.790000000000006</v>
      </c>
      <c r="L11732">
        <v>6.68</v>
      </c>
      <c r="M11732">
        <v>59111</v>
      </c>
      <c r="N11732" t="s">
        <v>60</v>
      </c>
      <c r="O11732">
        <v>251205</v>
      </c>
      <c r="P11732">
        <v>26.21</v>
      </c>
    </row>
    <row r="11733" spans="1:16" x14ac:dyDescent="0.25">
      <c r="A11733" t="s">
        <v>3296</v>
      </c>
      <c r="B11733" t="s">
        <v>2931</v>
      </c>
      <c r="C11733">
        <v>16320</v>
      </c>
      <c r="D11733" t="str">
        <f>"45609468    "</f>
        <v xml:space="preserve">45609468    </v>
      </c>
      <c r="E11733" t="s">
        <v>1049</v>
      </c>
      <c r="F11733" t="s">
        <v>1050</v>
      </c>
      <c r="G11733">
        <v>32.9</v>
      </c>
      <c r="H11733">
        <v>251130</v>
      </c>
      <c r="I11733">
        <v>4369</v>
      </c>
      <c r="J11733" t="s">
        <v>188</v>
      </c>
      <c r="K11733">
        <v>65.790000000000006</v>
      </c>
      <c r="L11733">
        <v>6.68</v>
      </c>
      <c r="M11733">
        <v>59501</v>
      </c>
      <c r="N11733" t="s">
        <v>62</v>
      </c>
      <c r="O11733">
        <v>251205</v>
      </c>
      <c r="P11733">
        <v>26.22</v>
      </c>
    </row>
    <row r="11734" spans="1:16" x14ac:dyDescent="0.25">
      <c r="A11734" t="s">
        <v>3296</v>
      </c>
      <c r="B11734" t="s">
        <v>2931</v>
      </c>
      <c r="C11734">
        <v>16437</v>
      </c>
      <c r="D11734" t="str">
        <f>"45645584    "</f>
        <v xml:space="preserve">45645584    </v>
      </c>
      <c r="E11734" t="s">
        <v>1049</v>
      </c>
      <c r="F11734" t="s">
        <v>1050</v>
      </c>
      <c r="G11734">
        <v>19045.740000000002</v>
      </c>
      <c r="H11734">
        <v>251130</v>
      </c>
      <c r="I11734">
        <v>4369</v>
      </c>
      <c r="J11734" t="s">
        <v>188</v>
      </c>
      <c r="K11734">
        <v>19045.740000000002</v>
      </c>
      <c r="L11734">
        <v>3869.85</v>
      </c>
      <c r="M11734">
        <v>11801</v>
      </c>
      <c r="N11734" t="s">
        <v>40</v>
      </c>
      <c r="O11734">
        <v>251208</v>
      </c>
      <c r="P11734">
        <v>15175.89</v>
      </c>
    </row>
    <row r="11735" spans="1:16" x14ac:dyDescent="0.25">
      <c r="A11735" t="s">
        <v>3296</v>
      </c>
      <c r="B11735" t="s">
        <v>2931</v>
      </c>
      <c r="C11735">
        <v>18358</v>
      </c>
      <c r="D11735" t="str">
        <f>"45672181    "</f>
        <v xml:space="preserve">45672181    </v>
      </c>
      <c r="E11735" t="s">
        <v>1049</v>
      </c>
      <c r="F11735" t="s">
        <v>1050</v>
      </c>
      <c r="G11735">
        <v>32.9</v>
      </c>
      <c r="H11735">
        <v>251231</v>
      </c>
      <c r="I11735">
        <v>4369</v>
      </c>
      <c r="J11735" t="s">
        <v>188</v>
      </c>
      <c r="K11735">
        <v>65.790000000000006</v>
      </c>
      <c r="L11735">
        <v>6.68</v>
      </c>
      <c r="M11735">
        <v>59111</v>
      </c>
      <c r="N11735" t="s">
        <v>60</v>
      </c>
      <c r="O11735">
        <v>260113</v>
      </c>
      <c r="P11735">
        <v>26.22</v>
      </c>
    </row>
    <row r="11736" spans="1:16" x14ac:dyDescent="0.25">
      <c r="A11736" t="s">
        <v>3296</v>
      </c>
      <c r="B11736" t="s">
        <v>2931</v>
      </c>
      <c r="C11736">
        <v>18358</v>
      </c>
      <c r="D11736" t="str">
        <f>"45672181    "</f>
        <v xml:space="preserve">45672181    </v>
      </c>
      <c r="E11736" t="s">
        <v>1049</v>
      </c>
      <c r="F11736" t="s">
        <v>1050</v>
      </c>
      <c r="G11736">
        <v>32.89</v>
      </c>
      <c r="H11736">
        <v>251231</v>
      </c>
      <c r="I11736">
        <v>4369</v>
      </c>
      <c r="J11736" t="s">
        <v>188</v>
      </c>
      <c r="K11736">
        <v>65.790000000000006</v>
      </c>
      <c r="L11736">
        <v>6.68</v>
      </c>
      <c r="M11736">
        <v>59501</v>
      </c>
      <c r="N11736" t="s">
        <v>62</v>
      </c>
      <c r="O11736">
        <v>260113</v>
      </c>
      <c r="P11736">
        <v>26.21</v>
      </c>
    </row>
    <row r="11737" spans="1:16" x14ac:dyDescent="0.25">
      <c r="A11737" t="s">
        <v>3296</v>
      </c>
      <c r="B11737" t="s">
        <v>2931</v>
      </c>
      <c r="C11737">
        <v>18463</v>
      </c>
      <c r="D11737" t="str">
        <f>"45707916    "</f>
        <v xml:space="preserve">45707916    </v>
      </c>
      <c r="E11737" t="s">
        <v>1049</v>
      </c>
      <c r="F11737" t="s">
        <v>1050</v>
      </c>
      <c r="G11737">
        <v>19045.740000000002</v>
      </c>
      <c r="H11737">
        <v>251231</v>
      </c>
      <c r="I11737">
        <v>4369</v>
      </c>
      <c r="J11737" t="s">
        <v>188</v>
      </c>
      <c r="K11737">
        <v>19045.740000000002</v>
      </c>
      <c r="L11737">
        <v>3869.85</v>
      </c>
      <c r="M11737">
        <v>11801</v>
      </c>
      <c r="N11737" t="s">
        <v>40</v>
      </c>
      <c r="O11737">
        <v>260113</v>
      </c>
      <c r="P11737">
        <v>15175.89</v>
      </c>
    </row>
    <row r="11738" spans="1:16" x14ac:dyDescent="0.25">
      <c r="A11738" t="s">
        <v>3296</v>
      </c>
      <c r="B11738" t="s">
        <v>2931</v>
      </c>
      <c r="C11738">
        <v>1597</v>
      </c>
      <c r="D11738" t="str">
        <f>"95001553    "</f>
        <v xml:space="preserve">95001553    </v>
      </c>
      <c r="E11738" t="s">
        <v>1019</v>
      </c>
      <c r="F11738" t="s">
        <v>1020</v>
      </c>
      <c r="G11738">
        <v>3010.24</v>
      </c>
      <c r="H11738">
        <v>250131</v>
      </c>
      <c r="I11738">
        <v>4366</v>
      </c>
      <c r="J11738" t="s">
        <v>65</v>
      </c>
      <c r="K11738">
        <v>3010.24</v>
      </c>
      <c r="L11738">
        <v>611.64</v>
      </c>
      <c r="M11738">
        <v>11801</v>
      </c>
      <c r="N11738" t="s">
        <v>40</v>
      </c>
      <c r="O11738">
        <v>250211</v>
      </c>
      <c r="P11738">
        <v>2398.6</v>
      </c>
    </row>
    <row r="11739" spans="1:16" x14ac:dyDescent="0.25">
      <c r="A11739" t="s">
        <v>3296</v>
      </c>
      <c r="B11739" t="s">
        <v>2931</v>
      </c>
      <c r="C11739">
        <v>1524</v>
      </c>
      <c r="D11739" t="str">
        <f>"95002310    "</f>
        <v xml:space="preserve">95002310    </v>
      </c>
      <c r="E11739" t="s">
        <v>1019</v>
      </c>
      <c r="F11739" t="s">
        <v>1020</v>
      </c>
      <c r="G11739">
        <v>2949.88</v>
      </c>
      <c r="H11739">
        <v>250131</v>
      </c>
      <c r="I11739">
        <v>4367</v>
      </c>
      <c r="J11739" t="s">
        <v>159</v>
      </c>
      <c r="K11739">
        <v>2949.88</v>
      </c>
      <c r="L11739">
        <v>599.38</v>
      </c>
      <c r="M11739">
        <v>11801</v>
      </c>
      <c r="N11739" t="s">
        <v>40</v>
      </c>
      <c r="O11739">
        <v>250210</v>
      </c>
      <c r="P11739">
        <v>2350.5</v>
      </c>
    </row>
    <row r="11740" spans="1:16" x14ac:dyDescent="0.25">
      <c r="A11740" t="s">
        <v>3296</v>
      </c>
      <c r="B11740" t="s">
        <v>2931</v>
      </c>
      <c r="C11740">
        <v>3180</v>
      </c>
      <c r="D11740" t="str">
        <f>"95005469    "</f>
        <v xml:space="preserve">95005469    </v>
      </c>
      <c r="E11740" t="s">
        <v>1019</v>
      </c>
      <c r="F11740" t="s">
        <v>1020</v>
      </c>
      <c r="G11740">
        <v>2949.88</v>
      </c>
      <c r="H11740">
        <v>250228</v>
      </c>
      <c r="I11740">
        <v>4367</v>
      </c>
      <c r="J11740" t="s">
        <v>159</v>
      </c>
      <c r="K11740">
        <v>2949.88</v>
      </c>
      <c r="L11740">
        <v>599.38</v>
      </c>
      <c r="M11740">
        <v>11801</v>
      </c>
      <c r="N11740" t="s">
        <v>40</v>
      </c>
      <c r="O11740">
        <v>250314</v>
      </c>
      <c r="P11740">
        <v>2350.5</v>
      </c>
    </row>
    <row r="11741" spans="1:16" x14ac:dyDescent="0.25">
      <c r="A11741" t="s">
        <v>3296</v>
      </c>
      <c r="B11741" t="s">
        <v>2931</v>
      </c>
      <c r="C11741">
        <v>4972</v>
      </c>
      <c r="D11741" t="str">
        <f>"95008588    "</f>
        <v xml:space="preserve">95008588    </v>
      </c>
      <c r="E11741" t="s">
        <v>1019</v>
      </c>
      <c r="F11741" t="s">
        <v>1020</v>
      </c>
      <c r="G11741">
        <v>2949.88</v>
      </c>
      <c r="H11741">
        <v>250331</v>
      </c>
      <c r="I11741">
        <v>4367</v>
      </c>
      <c r="J11741" t="s">
        <v>159</v>
      </c>
      <c r="K11741">
        <v>2949.88</v>
      </c>
      <c r="L11741">
        <v>599.38</v>
      </c>
      <c r="M11741">
        <v>11801</v>
      </c>
      <c r="N11741" t="s">
        <v>40</v>
      </c>
      <c r="O11741">
        <v>250416</v>
      </c>
      <c r="P11741">
        <v>2350.5</v>
      </c>
    </row>
    <row r="11742" spans="1:16" x14ac:dyDescent="0.25">
      <c r="A11742" t="s">
        <v>3296</v>
      </c>
      <c r="B11742" t="s">
        <v>2931</v>
      </c>
      <c r="C11742">
        <v>6731</v>
      </c>
      <c r="D11742" t="str">
        <f>"95011749    "</f>
        <v xml:space="preserve">95011749    </v>
      </c>
      <c r="E11742" t="s">
        <v>1019</v>
      </c>
      <c r="F11742" t="s">
        <v>1020</v>
      </c>
      <c r="G11742">
        <v>2949.88</v>
      </c>
      <c r="H11742">
        <v>250430</v>
      </c>
      <c r="I11742">
        <v>4367</v>
      </c>
      <c r="J11742" t="s">
        <v>159</v>
      </c>
      <c r="K11742">
        <v>2949.88</v>
      </c>
      <c r="L11742">
        <v>599.38</v>
      </c>
      <c r="M11742">
        <v>11801</v>
      </c>
      <c r="N11742" t="s">
        <v>40</v>
      </c>
      <c r="O11742">
        <v>250516</v>
      </c>
      <c r="P11742">
        <v>2350.5</v>
      </c>
    </row>
    <row r="11743" spans="1:16" x14ac:dyDescent="0.25">
      <c r="A11743" t="s">
        <v>3296</v>
      </c>
      <c r="B11743" t="s">
        <v>2931</v>
      </c>
      <c r="C11743">
        <v>8641</v>
      </c>
      <c r="D11743" t="str">
        <f>"95014803    "</f>
        <v xml:space="preserve">95014803    </v>
      </c>
      <c r="E11743" t="s">
        <v>1019</v>
      </c>
      <c r="F11743" t="s">
        <v>1020</v>
      </c>
      <c r="G11743">
        <v>2949.88</v>
      </c>
      <c r="H11743">
        <v>250531</v>
      </c>
      <c r="I11743">
        <v>4367</v>
      </c>
      <c r="J11743" t="s">
        <v>159</v>
      </c>
      <c r="K11743">
        <v>2949.88</v>
      </c>
      <c r="L11743">
        <v>599.38</v>
      </c>
      <c r="M11743">
        <v>11801</v>
      </c>
      <c r="N11743" t="s">
        <v>40</v>
      </c>
      <c r="O11743">
        <v>250617</v>
      </c>
      <c r="P11743">
        <v>2350.5</v>
      </c>
    </row>
    <row r="11744" spans="1:16" x14ac:dyDescent="0.25">
      <c r="A11744" t="s">
        <v>3296</v>
      </c>
      <c r="B11744" t="s">
        <v>2931</v>
      </c>
      <c r="C11744">
        <v>9738</v>
      </c>
      <c r="D11744" t="str">
        <f>"95017791    "</f>
        <v xml:space="preserve">95017791    </v>
      </c>
      <c r="E11744" t="s">
        <v>1019</v>
      </c>
      <c r="F11744" t="s">
        <v>1020</v>
      </c>
      <c r="G11744">
        <v>2949.88</v>
      </c>
      <c r="H11744">
        <v>250630</v>
      </c>
      <c r="I11744">
        <v>4367</v>
      </c>
      <c r="J11744" t="s">
        <v>159</v>
      </c>
      <c r="K11744">
        <v>2949.88</v>
      </c>
      <c r="L11744">
        <v>599.38</v>
      </c>
      <c r="M11744">
        <v>11801</v>
      </c>
      <c r="N11744" t="s">
        <v>40</v>
      </c>
      <c r="O11744">
        <v>250728</v>
      </c>
      <c r="P11744">
        <v>2350.5</v>
      </c>
    </row>
    <row r="11745" spans="1:16" x14ac:dyDescent="0.25">
      <c r="A11745" t="s">
        <v>3296</v>
      </c>
      <c r="B11745" t="s">
        <v>2931</v>
      </c>
      <c r="C11745">
        <v>10448</v>
      </c>
      <c r="D11745" t="str">
        <f>"95020656    "</f>
        <v xml:space="preserve">95020656    </v>
      </c>
      <c r="E11745" t="s">
        <v>1019</v>
      </c>
      <c r="F11745" t="s">
        <v>1020</v>
      </c>
      <c r="G11745">
        <v>2949.88</v>
      </c>
      <c r="H11745">
        <v>250806</v>
      </c>
      <c r="I11745">
        <v>4367</v>
      </c>
      <c r="J11745" t="s">
        <v>159</v>
      </c>
      <c r="K11745">
        <v>2953.27</v>
      </c>
      <c r="L11745">
        <v>599.38</v>
      </c>
      <c r="M11745">
        <v>11801</v>
      </c>
      <c r="N11745" t="s">
        <v>40</v>
      </c>
      <c r="O11745">
        <v>250819</v>
      </c>
      <c r="P11745">
        <v>2350.5</v>
      </c>
    </row>
    <row r="11746" spans="1:16" x14ac:dyDescent="0.25">
      <c r="A11746" t="s">
        <v>3296</v>
      </c>
      <c r="B11746" t="s">
        <v>2931</v>
      </c>
      <c r="C11746">
        <v>11747</v>
      </c>
      <c r="D11746" t="str">
        <f>"95023521    "</f>
        <v xml:space="preserve">95023521    </v>
      </c>
      <c r="E11746" t="s">
        <v>1019</v>
      </c>
      <c r="F11746" t="s">
        <v>1020</v>
      </c>
      <c r="G11746">
        <v>2949.88</v>
      </c>
      <c r="H11746">
        <v>250831</v>
      </c>
      <c r="I11746">
        <v>4367</v>
      </c>
      <c r="J11746" t="s">
        <v>159</v>
      </c>
      <c r="K11746">
        <v>2949.88</v>
      </c>
      <c r="L11746">
        <v>599.38</v>
      </c>
      <c r="M11746">
        <v>11801</v>
      </c>
      <c r="N11746" t="s">
        <v>40</v>
      </c>
      <c r="O11746">
        <v>250910</v>
      </c>
      <c r="P11746">
        <v>2350.5</v>
      </c>
    </row>
    <row r="11747" spans="1:16" x14ac:dyDescent="0.25">
      <c r="A11747" t="s">
        <v>3296</v>
      </c>
      <c r="B11747" t="s">
        <v>2931</v>
      </c>
      <c r="C11747">
        <v>13713</v>
      </c>
      <c r="D11747" t="str">
        <f>"95026416    "</f>
        <v xml:space="preserve">95026416    </v>
      </c>
      <c r="E11747" t="s">
        <v>1019</v>
      </c>
      <c r="F11747" t="s">
        <v>1020</v>
      </c>
      <c r="G11747">
        <v>2949.88</v>
      </c>
      <c r="H11747">
        <v>250930</v>
      </c>
      <c r="I11747">
        <v>4367</v>
      </c>
      <c r="J11747" t="s">
        <v>159</v>
      </c>
      <c r="K11747">
        <v>2949.88</v>
      </c>
      <c r="L11747">
        <v>599.38</v>
      </c>
      <c r="M11747">
        <v>11801</v>
      </c>
      <c r="N11747" t="s">
        <v>40</v>
      </c>
      <c r="O11747">
        <v>251016</v>
      </c>
      <c r="P11747">
        <v>2350.5</v>
      </c>
    </row>
    <row r="11748" spans="1:16" x14ac:dyDescent="0.25">
      <c r="A11748" t="s">
        <v>3296</v>
      </c>
      <c r="B11748" t="s">
        <v>2931</v>
      </c>
      <c r="C11748">
        <v>14861</v>
      </c>
      <c r="D11748" t="str">
        <f>"95029369    "</f>
        <v xml:space="preserve">95029369    </v>
      </c>
      <c r="E11748" t="s">
        <v>1019</v>
      </c>
      <c r="F11748" t="s">
        <v>1020</v>
      </c>
      <c r="G11748">
        <v>2949.88</v>
      </c>
      <c r="H11748">
        <v>251031</v>
      </c>
      <c r="I11748">
        <v>4367</v>
      </c>
      <c r="J11748" t="s">
        <v>159</v>
      </c>
      <c r="K11748">
        <v>2949.88</v>
      </c>
      <c r="L11748">
        <v>599.38</v>
      </c>
      <c r="M11748">
        <v>11801</v>
      </c>
      <c r="N11748" t="s">
        <v>40</v>
      </c>
      <c r="O11748">
        <v>251107</v>
      </c>
      <c r="P11748">
        <v>2350.5</v>
      </c>
    </row>
    <row r="11749" spans="1:16" x14ac:dyDescent="0.25">
      <c r="A11749" t="s">
        <v>3296</v>
      </c>
      <c r="B11749" t="s">
        <v>2931</v>
      </c>
      <c r="C11749">
        <v>16439</v>
      </c>
      <c r="D11749" t="str">
        <f>"95032218    "</f>
        <v xml:space="preserve">95032218    </v>
      </c>
      <c r="E11749" t="s">
        <v>1019</v>
      </c>
      <c r="F11749" t="s">
        <v>1020</v>
      </c>
      <c r="G11749">
        <v>2949.88</v>
      </c>
      <c r="H11749">
        <v>251130</v>
      </c>
      <c r="I11749">
        <v>4367</v>
      </c>
      <c r="J11749" t="s">
        <v>159</v>
      </c>
      <c r="K11749">
        <v>2949.88</v>
      </c>
      <c r="L11749">
        <v>599.38</v>
      </c>
      <c r="M11749">
        <v>11801</v>
      </c>
      <c r="N11749" t="s">
        <v>40</v>
      </c>
      <c r="O11749">
        <v>251208</v>
      </c>
      <c r="P11749">
        <v>2350.5</v>
      </c>
    </row>
    <row r="11750" spans="1:16" x14ac:dyDescent="0.25">
      <c r="A11750" t="s">
        <v>3296</v>
      </c>
      <c r="B11750" t="s">
        <v>2931</v>
      </c>
      <c r="C11750">
        <v>18373</v>
      </c>
      <c r="D11750" t="str">
        <f>"95035222    "</f>
        <v xml:space="preserve">95035222    </v>
      </c>
      <c r="E11750" t="s">
        <v>1019</v>
      </c>
      <c r="F11750" t="s">
        <v>1020</v>
      </c>
      <c r="G11750">
        <v>2949.88</v>
      </c>
      <c r="H11750">
        <v>251231</v>
      </c>
      <c r="I11750">
        <v>4367</v>
      </c>
      <c r="J11750" t="s">
        <v>159</v>
      </c>
      <c r="K11750">
        <v>2949.88</v>
      </c>
      <c r="L11750">
        <v>599.38</v>
      </c>
      <c r="M11750">
        <v>11801</v>
      </c>
      <c r="N11750" t="s">
        <v>40</v>
      </c>
      <c r="O11750">
        <v>260113</v>
      </c>
      <c r="P11750">
        <v>2350.5</v>
      </c>
    </row>
    <row r="11751" spans="1:16" x14ac:dyDescent="0.25">
      <c r="A11751" t="s">
        <v>3296</v>
      </c>
      <c r="B11751" t="s">
        <v>2931</v>
      </c>
      <c r="C11751">
        <v>3312</v>
      </c>
      <c r="D11751" t="str">
        <f>"95004688    "</f>
        <v xml:space="preserve">95004688    </v>
      </c>
      <c r="E11751" t="s">
        <v>1019</v>
      </c>
      <c r="F11751" t="s">
        <v>1020</v>
      </c>
      <c r="G11751">
        <v>3010.24</v>
      </c>
      <c r="H11751">
        <v>250228</v>
      </c>
      <c r="I11751">
        <v>4369</v>
      </c>
      <c r="J11751" t="s">
        <v>188</v>
      </c>
      <c r="K11751">
        <v>3010.24</v>
      </c>
      <c r="L11751">
        <v>611.64</v>
      </c>
      <c r="M11751">
        <v>11801</v>
      </c>
      <c r="N11751" t="s">
        <v>40</v>
      </c>
      <c r="O11751">
        <v>250318</v>
      </c>
      <c r="P11751">
        <v>2398.6</v>
      </c>
    </row>
    <row r="11752" spans="1:16" x14ac:dyDescent="0.25">
      <c r="A11752" t="s">
        <v>3296</v>
      </c>
      <c r="B11752" t="s">
        <v>2931</v>
      </c>
      <c r="C11752">
        <v>5108</v>
      </c>
      <c r="D11752" t="str">
        <f>"95007876    "</f>
        <v xml:space="preserve">95007876    </v>
      </c>
      <c r="E11752" t="s">
        <v>1019</v>
      </c>
      <c r="F11752" t="s">
        <v>1020</v>
      </c>
      <c r="G11752">
        <v>3010.24</v>
      </c>
      <c r="H11752">
        <v>250331</v>
      </c>
      <c r="I11752">
        <v>4369</v>
      </c>
      <c r="J11752" t="s">
        <v>188</v>
      </c>
      <c r="K11752">
        <v>3010.24</v>
      </c>
      <c r="L11752">
        <v>611.64</v>
      </c>
      <c r="M11752">
        <v>11801</v>
      </c>
      <c r="N11752" t="s">
        <v>40</v>
      </c>
      <c r="O11752">
        <v>250416</v>
      </c>
      <c r="P11752">
        <v>2398.6</v>
      </c>
    </row>
    <row r="11753" spans="1:16" x14ac:dyDescent="0.25">
      <c r="A11753" t="s">
        <v>3296</v>
      </c>
      <c r="B11753" t="s">
        <v>2931</v>
      </c>
      <c r="C11753">
        <v>6739</v>
      </c>
      <c r="D11753" t="str">
        <f>"95011003    "</f>
        <v xml:space="preserve">95011003    </v>
      </c>
      <c r="E11753" t="s">
        <v>1019</v>
      </c>
      <c r="F11753" t="s">
        <v>1020</v>
      </c>
      <c r="G11753">
        <v>3010.24</v>
      </c>
      <c r="H11753">
        <v>250430</v>
      </c>
      <c r="I11753">
        <v>4369</v>
      </c>
      <c r="J11753" t="s">
        <v>188</v>
      </c>
      <c r="K11753">
        <v>3010.24</v>
      </c>
      <c r="L11753">
        <v>611.64</v>
      </c>
      <c r="M11753">
        <v>11801</v>
      </c>
      <c r="N11753" t="s">
        <v>40</v>
      </c>
      <c r="O11753">
        <v>250516</v>
      </c>
      <c r="P11753">
        <v>2398.6</v>
      </c>
    </row>
    <row r="11754" spans="1:16" x14ac:dyDescent="0.25">
      <c r="A11754" t="s">
        <v>3296</v>
      </c>
      <c r="B11754" t="s">
        <v>2931</v>
      </c>
      <c r="C11754">
        <v>8597</v>
      </c>
      <c r="D11754" t="str">
        <f>"95014115    "</f>
        <v xml:space="preserve">95014115    </v>
      </c>
      <c r="E11754" t="s">
        <v>1019</v>
      </c>
      <c r="F11754" t="s">
        <v>1020</v>
      </c>
      <c r="G11754">
        <v>3010.24</v>
      </c>
      <c r="H11754">
        <v>250531</v>
      </c>
      <c r="I11754">
        <v>4369</v>
      </c>
      <c r="J11754" t="s">
        <v>188</v>
      </c>
      <c r="K11754">
        <v>3010.24</v>
      </c>
      <c r="L11754">
        <v>611.64</v>
      </c>
      <c r="M11754">
        <v>11801</v>
      </c>
      <c r="N11754" t="s">
        <v>40</v>
      </c>
      <c r="O11754">
        <v>250617</v>
      </c>
      <c r="P11754">
        <v>2398.6</v>
      </c>
    </row>
    <row r="11755" spans="1:16" x14ac:dyDescent="0.25">
      <c r="A11755" t="s">
        <v>3296</v>
      </c>
      <c r="B11755" t="s">
        <v>2931</v>
      </c>
      <c r="C11755">
        <v>9737</v>
      </c>
      <c r="D11755" t="str">
        <f>"95017099    "</f>
        <v xml:space="preserve">95017099    </v>
      </c>
      <c r="E11755" t="s">
        <v>1019</v>
      </c>
      <c r="F11755" t="s">
        <v>1020</v>
      </c>
      <c r="G11755">
        <v>3010.24</v>
      </c>
      <c r="H11755">
        <v>250630</v>
      </c>
      <c r="I11755">
        <v>4369</v>
      </c>
      <c r="J11755" t="s">
        <v>188</v>
      </c>
      <c r="K11755">
        <v>3010.24</v>
      </c>
      <c r="L11755">
        <v>611.64</v>
      </c>
      <c r="M11755">
        <v>11801</v>
      </c>
      <c r="N11755" t="s">
        <v>40</v>
      </c>
      <c r="O11755">
        <v>250728</v>
      </c>
      <c r="P11755">
        <v>2398.6</v>
      </c>
    </row>
    <row r="11756" spans="1:16" x14ac:dyDescent="0.25">
      <c r="A11756" t="s">
        <v>3296</v>
      </c>
      <c r="B11756" t="s">
        <v>2931</v>
      </c>
      <c r="C11756">
        <v>10239</v>
      </c>
      <c r="D11756" t="str">
        <f>"95020010    "</f>
        <v xml:space="preserve">95020010    </v>
      </c>
      <c r="E11756" t="s">
        <v>1019</v>
      </c>
      <c r="F11756" t="s">
        <v>1020</v>
      </c>
      <c r="G11756">
        <v>3010.24</v>
      </c>
      <c r="H11756">
        <v>250731</v>
      </c>
      <c r="I11756">
        <v>4369</v>
      </c>
      <c r="J11756" t="s">
        <v>188</v>
      </c>
      <c r="K11756">
        <v>3013.7</v>
      </c>
      <c r="L11756">
        <v>611.64</v>
      </c>
      <c r="M11756">
        <v>11801</v>
      </c>
      <c r="N11756" t="s">
        <v>40</v>
      </c>
      <c r="O11756">
        <v>250813</v>
      </c>
      <c r="P11756">
        <v>2398.6</v>
      </c>
    </row>
    <row r="11757" spans="1:16" x14ac:dyDescent="0.25">
      <c r="A11757" t="s">
        <v>3296</v>
      </c>
      <c r="B11757" t="s">
        <v>2931</v>
      </c>
      <c r="C11757">
        <v>11630</v>
      </c>
      <c r="D11757" t="str">
        <f>"95022834    "</f>
        <v xml:space="preserve">95022834    </v>
      </c>
      <c r="E11757" t="s">
        <v>1019</v>
      </c>
      <c r="F11757" t="s">
        <v>1020</v>
      </c>
      <c r="G11757">
        <v>3010.24</v>
      </c>
      <c r="H11757">
        <v>250831</v>
      </c>
      <c r="I11757">
        <v>4369</v>
      </c>
      <c r="J11757" t="s">
        <v>188</v>
      </c>
      <c r="K11757">
        <v>3010.24</v>
      </c>
      <c r="L11757">
        <v>611.64</v>
      </c>
      <c r="M11757">
        <v>11801</v>
      </c>
      <c r="N11757" t="s">
        <v>40</v>
      </c>
      <c r="O11757">
        <v>250909</v>
      </c>
      <c r="P11757">
        <v>2398.6</v>
      </c>
    </row>
    <row r="11758" spans="1:16" x14ac:dyDescent="0.25">
      <c r="A11758" t="s">
        <v>3296</v>
      </c>
      <c r="B11758" t="s">
        <v>2931</v>
      </c>
      <c r="C11758">
        <v>13714</v>
      </c>
      <c r="D11758" t="str">
        <f>"95025775    "</f>
        <v xml:space="preserve">95025775    </v>
      </c>
      <c r="E11758" t="s">
        <v>1019</v>
      </c>
      <c r="F11758" t="s">
        <v>1020</v>
      </c>
      <c r="G11758">
        <v>3010.24</v>
      </c>
      <c r="H11758">
        <v>250930</v>
      </c>
      <c r="I11758">
        <v>4369</v>
      </c>
      <c r="J11758" t="s">
        <v>188</v>
      </c>
      <c r="K11758">
        <v>3010.24</v>
      </c>
      <c r="L11758">
        <v>611.64</v>
      </c>
      <c r="M11758">
        <v>11801</v>
      </c>
      <c r="N11758" t="s">
        <v>40</v>
      </c>
      <c r="O11758">
        <v>251016</v>
      </c>
      <c r="P11758">
        <v>2398.6</v>
      </c>
    </row>
    <row r="11759" spans="1:16" x14ac:dyDescent="0.25">
      <c r="A11759" t="s">
        <v>3296</v>
      </c>
      <c r="B11759" t="s">
        <v>2931</v>
      </c>
      <c r="C11759">
        <v>14858</v>
      </c>
      <c r="D11759" t="str">
        <f>"95028711    "</f>
        <v xml:space="preserve">95028711    </v>
      </c>
      <c r="E11759" t="s">
        <v>1019</v>
      </c>
      <c r="F11759" t="s">
        <v>1020</v>
      </c>
      <c r="G11759">
        <v>2447.25</v>
      </c>
      <c r="H11759">
        <v>251031</v>
      </c>
      <c r="I11759">
        <v>4369</v>
      </c>
      <c r="J11759" t="s">
        <v>188</v>
      </c>
      <c r="K11759">
        <v>2447.25</v>
      </c>
      <c r="L11759">
        <v>497.25</v>
      </c>
      <c r="M11759">
        <v>11801</v>
      </c>
      <c r="N11759" t="s">
        <v>40</v>
      </c>
      <c r="O11759">
        <v>251107</v>
      </c>
      <c r="P11759">
        <v>1950</v>
      </c>
    </row>
    <row r="11760" spans="1:16" x14ac:dyDescent="0.25">
      <c r="A11760" t="s">
        <v>3296</v>
      </c>
      <c r="B11760" t="s">
        <v>2931</v>
      </c>
      <c r="C11760">
        <v>16438</v>
      </c>
      <c r="D11760" t="str">
        <f>"95031581    "</f>
        <v xml:space="preserve">95031581    </v>
      </c>
      <c r="E11760" t="s">
        <v>1019</v>
      </c>
      <c r="F11760" t="s">
        <v>1020</v>
      </c>
      <c r="G11760">
        <v>2447.25</v>
      </c>
      <c r="H11760">
        <v>251130</v>
      </c>
      <c r="I11760">
        <v>4369</v>
      </c>
      <c r="J11760" t="s">
        <v>188</v>
      </c>
      <c r="K11760">
        <v>2447.25</v>
      </c>
      <c r="L11760">
        <v>497.25</v>
      </c>
      <c r="M11760">
        <v>11801</v>
      </c>
      <c r="N11760" t="s">
        <v>40</v>
      </c>
      <c r="O11760">
        <v>251208</v>
      </c>
      <c r="P11760">
        <v>1950</v>
      </c>
    </row>
    <row r="11761" spans="1:16" x14ac:dyDescent="0.25">
      <c r="A11761" t="s">
        <v>3296</v>
      </c>
      <c r="B11761" t="s">
        <v>2931</v>
      </c>
      <c r="C11761">
        <v>18480</v>
      </c>
      <c r="D11761" t="str">
        <f>"95034547    "</f>
        <v xml:space="preserve">95034547    </v>
      </c>
      <c r="E11761" t="s">
        <v>1019</v>
      </c>
      <c r="F11761" t="s">
        <v>1020</v>
      </c>
      <c r="G11761">
        <v>2447.25</v>
      </c>
      <c r="H11761">
        <v>251231</v>
      </c>
      <c r="I11761">
        <v>4369</v>
      </c>
      <c r="J11761" t="s">
        <v>188</v>
      </c>
      <c r="K11761">
        <v>2447.25</v>
      </c>
      <c r="L11761">
        <v>497.25</v>
      </c>
      <c r="M11761">
        <v>11801</v>
      </c>
      <c r="N11761" t="s">
        <v>40</v>
      </c>
      <c r="O11761">
        <v>260114</v>
      </c>
      <c r="P11761">
        <v>1950</v>
      </c>
    </row>
    <row r="11762" spans="1:16" x14ac:dyDescent="0.25">
      <c r="A11762" t="s">
        <v>3296</v>
      </c>
      <c r="B11762" t="s">
        <v>2931</v>
      </c>
      <c r="C11762">
        <v>5328</v>
      </c>
      <c r="D11762" t="str">
        <f>"850         "</f>
        <v xml:space="preserve">850         </v>
      </c>
      <c r="E11762" t="s">
        <v>1718</v>
      </c>
      <c r="F11762" t="s">
        <v>1719</v>
      </c>
      <c r="G11762">
        <v>106.68</v>
      </c>
      <c r="H11762">
        <v>250412</v>
      </c>
      <c r="I11762">
        <v>4440</v>
      </c>
      <c r="J11762" t="s">
        <v>346</v>
      </c>
      <c r="K11762">
        <v>251.01</v>
      </c>
      <c r="L11762">
        <v>21.68</v>
      </c>
      <c r="M11762">
        <v>13281</v>
      </c>
      <c r="N11762" t="s">
        <v>476</v>
      </c>
      <c r="O11762">
        <v>250423</v>
      </c>
      <c r="P11762">
        <v>85</v>
      </c>
    </row>
    <row r="11763" spans="1:16" x14ac:dyDescent="0.25">
      <c r="A11763" t="s">
        <v>3296</v>
      </c>
      <c r="B11763" t="s">
        <v>2931</v>
      </c>
      <c r="C11763">
        <v>5328</v>
      </c>
      <c r="D11763" t="str">
        <f>"850         "</f>
        <v xml:space="preserve">850         </v>
      </c>
      <c r="E11763" t="s">
        <v>1718</v>
      </c>
      <c r="F11763" t="s">
        <v>1719</v>
      </c>
      <c r="G11763">
        <v>144.33000000000001</v>
      </c>
      <c r="H11763">
        <v>250412</v>
      </c>
      <c r="I11763">
        <v>4441</v>
      </c>
      <c r="J11763" t="s">
        <v>234</v>
      </c>
      <c r="K11763">
        <v>251.01</v>
      </c>
      <c r="L11763">
        <v>29.33</v>
      </c>
      <c r="M11763">
        <v>14974</v>
      </c>
      <c r="N11763" t="s">
        <v>83</v>
      </c>
      <c r="O11763">
        <v>250423</v>
      </c>
      <c r="P11763">
        <v>115</v>
      </c>
    </row>
    <row r="11764" spans="1:16" x14ac:dyDescent="0.25">
      <c r="A11764" t="s">
        <v>3296</v>
      </c>
      <c r="B11764" t="s">
        <v>2931</v>
      </c>
      <c r="C11764">
        <v>3803</v>
      </c>
      <c r="D11764" t="str">
        <f>"27641       "</f>
        <v xml:space="preserve">27641       </v>
      </c>
      <c r="E11764" t="s">
        <v>1507</v>
      </c>
      <c r="F11764" t="s">
        <v>1508</v>
      </c>
      <c r="G11764">
        <v>104</v>
      </c>
      <c r="H11764">
        <v>250317</v>
      </c>
      <c r="I11764">
        <v>4470</v>
      </c>
      <c r="J11764" t="s">
        <v>203</v>
      </c>
      <c r="K11764">
        <v>104</v>
      </c>
      <c r="L11764">
        <v>21.13</v>
      </c>
      <c r="M11764">
        <v>69501</v>
      </c>
      <c r="N11764" t="s">
        <v>123</v>
      </c>
      <c r="O11764">
        <v>250401</v>
      </c>
      <c r="P11764">
        <v>82.87</v>
      </c>
    </row>
    <row r="11765" spans="1:16" x14ac:dyDescent="0.25">
      <c r="A11765" t="s">
        <v>3296</v>
      </c>
      <c r="B11765" t="s">
        <v>2931</v>
      </c>
      <c r="C11765">
        <v>1343</v>
      </c>
      <c r="D11765" t="str">
        <f>"060225      "</f>
        <v xml:space="preserve">060225      </v>
      </c>
      <c r="E11765" t="s">
        <v>2934</v>
      </c>
      <c r="F11765" t="s">
        <v>2935</v>
      </c>
      <c r="G11765">
        <v>100</v>
      </c>
      <c r="H11765">
        <v>250204</v>
      </c>
      <c r="I11765">
        <v>4940</v>
      </c>
      <c r="J11765" t="s">
        <v>250</v>
      </c>
      <c r="K11765">
        <v>100</v>
      </c>
      <c r="L11765">
        <v>0</v>
      </c>
      <c r="M11765">
        <v>11001</v>
      </c>
      <c r="N11765" t="s">
        <v>93</v>
      </c>
      <c r="O11765">
        <v>250207</v>
      </c>
      <c r="P11765">
        <v>100</v>
      </c>
    </row>
    <row r="11766" spans="1:16" x14ac:dyDescent="0.25">
      <c r="A11766" t="s">
        <v>3296</v>
      </c>
      <c r="B11766" t="s">
        <v>2931</v>
      </c>
      <c r="C11766">
        <v>10423</v>
      </c>
      <c r="D11766" t="str">
        <f>"26810       "</f>
        <v xml:space="preserve">26810       </v>
      </c>
      <c r="E11766" t="s">
        <v>2187</v>
      </c>
      <c r="F11766" t="s">
        <v>2188</v>
      </c>
      <c r="G11766">
        <v>120</v>
      </c>
      <c r="H11766">
        <v>250808</v>
      </c>
      <c r="I11766">
        <v>4580</v>
      </c>
      <c r="J11766" t="s">
        <v>126</v>
      </c>
      <c r="K11766">
        <v>120</v>
      </c>
      <c r="L11766">
        <v>14.74</v>
      </c>
      <c r="M11766">
        <v>17711</v>
      </c>
      <c r="N11766" t="s">
        <v>155</v>
      </c>
      <c r="O11766">
        <v>250819</v>
      </c>
      <c r="P11766">
        <v>105.26</v>
      </c>
    </row>
    <row r="11767" spans="1:16" x14ac:dyDescent="0.25">
      <c r="A11767" t="s">
        <v>3296</v>
      </c>
      <c r="B11767" t="s">
        <v>2931</v>
      </c>
      <c r="C11767">
        <v>15197</v>
      </c>
      <c r="D11767" t="str">
        <f>"27000       "</f>
        <v xml:space="preserve">27000       </v>
      </c>
      <c r="E11767" t="s">
        <v>2187</v>
      </c>
      <c r="F11767" t="s">
        <v>2188</v>
      </c>
      <c r="G11767">
        <v>8000</v>
      </c>
      <c r="H11767">
        <v>251111</v>
      </c>
      <c r="I11767">
        <v>4600</v>
      </c>
      <c r="J11767" t="s">
        <v>278</v>
      </c>
      <c r="K11767">
        <v>8000</v>
      </c>
      <c r="L11767">
        <v>0</v>
      </c>
      <c r="M11767">
        <v>17711</v>
      </c>
      <c r="N11767" t="s">
        <v>155</v>
      </c>
      <c r="O11767">
        <v>251114</v>
      </c>
      <c r="P11767">
        <v>8000</v>
      </c>
    </row>
    <row r="11768" spans="1:16" x14ac:dyDescent="0.25">
      <c r="A11768" t="s">
        <v>3296</v>
      </c>
      <c r="B11768" t="s">
        <v>2931</v>
      </c>
      <c r="C11768">
        <v>4183</v>
      </c>
      <c r="D11768" t="str">
        <f>"15056       "</f>
        <v xml:space="preserve">15056       </v>
      </c>
      <c r="E11768" t="s">
        <v>3049</v>
      </c>
      <c r="F11768" t="s">
        <v>3050</v>
      </c>
      <c r="G11768">
        <v>22.5</v>
      </c>
      <c r="H11768">
        <v>250322</v>
      </c>
      <c r="I11768">
        <v>4510</v>
      </c>
      <c r="J11768" t="s">
        <v>240</v>
      </c>
      <c r="K11768">
        <v>115</v>
      </c>
      <c r="L11768">
        <v>2.0499999999999998</v>
      </c>
      <c r="M11768">
        <v>17131</v>
      </c>
      <c r="N11768" t="s">
        <v>154</v>
      </c>
      <c r="O11768">
        <v>250408</v>
      </c>
      <c r="P11768">
        <v>20.45</v>
      </c>
    </row>
    <row r="11769" spans="1:16" x14ac:dyDescent="0.25">
      <c r="A11769" t="s">
        <v>3296</v>
      </c>
      <c r="B11769" t="s">
        <v>2931</v>
      </c>
      <c r="C11769">
        <v>4183</v>
      </c>
      <c r="D11769" t="str">
        <f>"15056       "</f>
        <v xml:space="preserve">15056       </v>
      </c>
      <c r="E11769" t="s">
        <v>3049</v>
      </c>
      <c r="F11769" t="s">
        <v>3050</v>
      </c>
      <c r="G11769">
        <v>22.5</v>
      </c>
      <c r="H11769">
        <v>250322</v>
      </c>
      <c r="I11769">
        <v>4510</v>
      </c>
      <c r="J11769" t="s">
        <v>240</v>
      </c>
      <c r="K11769">
        <v>115</v>
      </c>
      <c r="L11769">
        <v>2.0499999999999998</v>
      </c>
      <c r="M11769">
        <v>17711</v>
      </c>
      <c r="N11769" t="s">
        <v>155</v>
      </c>
      <c r="O11769">
        <v>250408</v>
      </c>
      <c r="P11769">
        <v>20.45</v>
      </c>
    </row>
    <row r="11770" spans="1:16" x14ac:dyDescent="0.25">
      <c r="A11770" t="s">
        <v>3296</v>
      </c>
      <c r="B11770" t="s">
        <v>2931</v>
      </c>
      <c r="C11770">
        <v>10914</v>
      </c>
      <c r="D11770" t="str">
        <f>"1164        "</f>
        <v xml:space="preserve">1164        </v>
      </c>
      <c r="E11770" t="s">
        <v>2229</v>
      </c>
      <c r="F11770" t="s">
        <v>2230</v>
      </c>
      <c r="G11770">
        <v>300</v>
      </c>
      <c r="H11770">
        <v>250825</v>
      </c>
      <c r="I11770">
        <v>4410</v>
      </c>
      <c r="J11770" t="s">
        <v>165</v>
      </c>
      <c r="K11770">
        <v>384.41</v>
      </c>
      <c r="L11770">
        <v>36.840000000000003</v>
      </c>
      <c r="M11770">
        <v>17131</v>
      </c>
      <c r="N11770" t="s">
        <v>154</v>
      </c>
      <c r="O11770">
        <v>250827</v>
      </c>
      <c r="P11770">
        <v>263.16000000000003</v>
      </c>
    </row>
    <row r="11771" spans="1:16" x14ac:dyDescent="0.25">
      <c r="A11771" t="s">
        <v>3296</v>
      </c>
      <c r="B11771" t="s">
        <v>2931</v>
      </c>
      <c r="C11771">
        <v>10914</v>
      </c>
      <c r="D11771" t="str">
        <f>"1164        "</f>
        <v xml:space="preserve">1164        </v>
      </c>
      <c r="E11771" t="s">
        <v>2229</v>
      </c>
      <c r="F11771" t="s">
        <v>2230</v>
      </c>
      <c r="G11771">
        <v>84.41</v>
      </c>
      <c r="H11771">
        <v>250825</v>
      </c>
      <c r="I11771">
        <v>4420</v>
      </c>
      <c r="J11771" t="s">
        <v>330</v>
      </c>
      <c r="K11771">
        <v>384.41</v>
      </c>
      <c r="L11771">
        <v>17.149999999999999</v>
      </c>
      <c r="M11771">
        <v>17131</v>
      </c>
      <c r="N11771" t="s">
        <v>154</v>
      </c>
      <c r="O11771">
        <v>250827</v>
      </c>
      <c r="P11771">
        <v>67.260000000000005</v>
      </c>
    </row>
    <row r="11772" spans="1:16" x14ac:dyDescent="0.25">
      <c r="A11772" t="s">
        <v>3296</v>
      </c>
      <c r="B11772" t="s">
        <v>2931</v>
      </c>
      <c r="C11772">
        <v>3673</v>
      </c>
      <c r="D11772" t="str">
        <f>"12895       "</f>
        <v xml:space="preserve">12895       </v>
      </c>
      <c r="E11772" t="s">
        <v>1493</v>
      </c>
      <c r="F11772" t="s">
        <v>1494</v>
      </c>
      <c r="G11772">
        <v>8634.4</v>
      </c>
      <c r="H11772">
        <v>250318</v>
      </c>
      <c r="I11772">
        <v>4440</v>
      </c>
      <c r="J11772" t="s">
        <v>346</v>
      </c>
      <c r="K11772">
        <v>8634.4</v>
      </c>
      <c r="L11772">
        <v>1754.4</v>
      </c>
      <c r="M11772">
        <v>18120</v>
      </c>
      <c r="N11772" t="s">
        <v>37</v>
      </c>
      <c r="O11772">
        <v>250328</v>
      </c>
      <c r="P11772">
        <v>6880</v>
      </c>
    </row>
    <row r="11773" spans="1:16" x14ac:dyDescent="0.25">
      <c r="A11773" t="s">
        <v>3296</v>
      </c>
      <c r="B11773" t="s">
        <v>2931</v>
      </c>
      <c r="C11773">
        <v>3675</v>
      </c>
      <c r="D11773" t="str">
        <f>"12890       "</f>
        <v xml:space="preserve">12890       </v>
      </c>
      <c r="E11773" t="s">
        <v>1493</v>
      </c>
      <c r="F11773" t="s">
        <v>1494</v>
      </c>
      <c r="G11773">
        <v>5961.25</v>
      </c>
      <c r="H11773">
        <v>250318</v>
      </c>
      <c r="I11773">
        <v>4440</v>
      </c>
      <c r="J11773" t="s">
        <v>346</v>
      </c>
      <c r="K11773">
        <v>5961.25</v>
      </c>
      <c r="L11773">
        <v>1211.25</v>
      </c>
      <c r="M11773">
        <v>18120</v>
      </c>
      <c r="N11773" t="s">
        <v>37</v>
      </c>
      <c r="O11773">
        <v>250328</v>
      </c>
      <c r="P11773">
        <v>4750</v>
      </c>
    </row>
    <row r="11774" spans="1:16" x14ac:dyDescent="0.25">
      <c r="A11774" t="s">
        <v>3296</v>
      </c>
      <c r="B11774" t="s">
        <v>2931</v>
      </c>
      <c r="C11774">
        <v>3676</v>
      </c>
      <c r="D11774" t="str">
        <f>"12896       "</f>
        <v xml:space="preserve">12896       </v>
      </c>
      <c r="E11774" t="s">
        <v>1493</v>
      </c>
      <c r="F11774" t="s">
        <v>1494</v>
      </c>
      <c r="G11774">
        <v>9939.6</v>
      </c>
      <c r="H11774">
        <v>250318</v>
      </c>
      <c r="I11774">
        <v>4440</v>
      </c>
      <c r="J11774" t="s">
        <v>346</v>
      </c>
      <c r="K11774">
        <v>9939.6</v>
      </c>
      <c r="L11774">
        <v>2019.6</v>
      </c>
      <c r="M11774">
        <v>18120</v>
      </c>
      <c r="N11774" t="s">
        <v>37</v>
      </c>
      <c r="O11774">
        <v>250328</v>
      </c>
      <c r="P11774">
        <v>7920</v>
      </c>
    </row>
    <row r="11775" spans="1:16" x14ac:dyDescent="0.25">
      <c r="A11775" t="s">
        <v>3296</v>
      </c>
      <c r="B11775" t="s">
        <v>2931</v>
      </c>
      <c r="C11775">
        <v>3688</v>
      </c>
      <c r="D11775" t="str">
        <f>"12892       "</f>
        <v xml:space="preserve">12892       </v>
      </c>
      <c r="E11775" t="s">
        <v>1493</v>
      </c>
      <c r="F11775" t="s">
        <v>1494</v>
      </c>
      <c r="G11775">
        <v>5710.25</v>
      </c>
      <c r="H11775">
        <v>250318</v>
      </c>
      <c r="I11775">
        <v>4440</v>
      </c>
      <c r="J11775" t="s">
        <v>346</v>
      </c>
      <c r="K11775">
        <v>5710.25</v>
      </c>
      <c r="L11775">
        <v>1160.25</v>
      </c>
      <c r="M11775">
        <v>18120</v>
      </c>
      <c r="N11775" t="s">
        <v>37</v>
      </c>
      <c r="O11775">
        <v>250328</v>
      </c>
      <c r="P11775">
        <v>4550</v>
      </c>
    </row>
    <row r="11776" spans="1:16" x14ac:dyDescent="0.25">
      <c r="A11776" t="s">
        <v>3296</v>
      </c>
      <c r="B11776" t="s">
        <v>2931</v>
      </c>
      <c r="C11776">
        <v>3697</v>
      </c>
      <c r="D11776" t="str">
        <f>"12894       "</f>
        <v xml:space="preserve">12894       </v>
      </c>
      <c r="E11776" t="s">
        <v>1493</v>
      </c>
      <c r="F11776" t="s">
        <v>1494</v>
      </c>
      <c r="G11776">
        <v>3639.5</v>
      </c>
      <c r="H11776">
        <v>250318</v>
      </c>
      <c r="I11776">
        <v>4440</v>
      </c>
      <c r="J11776" t="s">
        <v>346</v>
      </c>
      <c r="K11776">
        <v>3639.5</v>
      </c>
      <c r="L11776">
        <v>739.5</v>
      </c>
      <c r="M11776">
        <v>18120</v>
      </c>
      <c r="N11776" t="s">
        <v>37</v>
      </c>
      <c r="O11776">
        <v>250328</v>
      </c>
      <c r="P11776">
        <v>2900</v>
      </c>
    </row>
    <row r="11777" spans="1:16" x14ac:dyDescent="0.25">
      <c r="A11777" t="s">
        <v>3296</v>
      </c>
      <c r="B11777" t="s">
        <v>2931</v>
      </c>
      <c r="C11777">
        <v>3704</v>
      </c>
      <c r="D11777" t="str">
        <f>"12891       "</f>
        <v xml:space="preserve">12891       </v>
      </c>
      <c r="E11777" t="s">
        <v>1493</v>
      </c>
      <c r="F11777" t="s">
        <v>1494</v>
      </c>
      <c r="G11777">
        <v>6902.5</v>
      </c>
      <c r="H11777">
        <v>250318</v>
      </c>
      <c r="I11777">
        <v>4440</v>
      </c>
      <c r="J11777" t="s">
        <v>346</v>
      </c>
      <c r="K11777">
        <v>6902.5</v>
      </c>
      <c r="L11777">
        <v>1402.5</v>
      </c>
      <c r="M11777">
        <v>18120</v>
      </c>
      <c r="N11777" t="s">
        <v>37</v>
      </c>
      <c r="O11777">
        <v>250328</v>
      </c>
      <c r="P11777">
        <v>5500</v>
      </c>
    </row>
    <row r="11778" spans="1:16" x14ac:dyDescent="0.25">
      <c r="A11778" t="s">
        <v>3296</v>
      </c>
      <c r="B11778" t="s">
        <v>2931</v>
      </c>
      <c r="C11778">
        <v>3705</v>
      </c>
      <c r="D11778" t="str">
        <f>"12893       "</f>
        <v xml:space="preserve">12893       </v>
      </c>
      <c r="E11778" t="s">
        <v>1493</v>
      </c>
      <c r="F11778" t="s">
        <v>1494</v>
      </c>
      <c r="G11778">
        <v>7111.66</v>
      </c>
      <c r="H11778">
        <v>250318</v>
      </c>
      <c r="I11778">
        <v>4440</v>
      </c>
      <c r="J11778" t="s">
        <v>346</v>
      </c>
      <c r="K11778">
        <v>7111.66</v>
      </c>
      <c r="L11778">
        <v>1445</v>
      </c>
      <c r="M11778">
        <v>18120</v>
      </c>
      <c r="N11778" t="s">
        <v>37</v>
      </c>
      <c r="O11778">
        <v>250328</v>
      </c>
      <c r="P11778">
        <v>5666.66</v>
      </c>
    </row>
    <row r="11779" spans="1:16" x14ac:dyDescent="0.25">
      <c r="A11779" t="s">
        <v>3296</v>
      </c>
      <c r="B11779" t="s">
        <v>2931</v>
      </c>
      <c r="C11779">
        <v>3712</v>
      </c>
      <c r="D11779" t="str">
        <f>"12897       "</f>
        <v xml:space="preserve">12897       </v>
      </c>
      <c r="E11779" t="s">
        <v>1493</v>
      </c>
      <c r="F11779" t="s">
        <v>1494</v>
      </c>
      <c r="G11779">
        <v>5333.75</v>
      </c>
      <c r="H11779">
        <v>250318</v>
      </c>
      <c r="I11779">
        <v>4440</v>
      </c>
      <c r="J11779" t="s">
        <v>346</v>
      </c>
      <c r="K11779">
        <v>5333.75</v>
      </c>
      <c r="L11779">
        <v>1083.75</v>
      </c>
      <c r="M11779">
        <v>18120</v>
      </c>
      <c r="N11779" t="s">
        <v>37</v>
      </c>
      <c r="O11779">
        <v>250328</v>
      </c>
      <c r="P11779">
        <v>4250</v>
      </c>
    </row>
    <row r="11780" spans="1:16" x14ac:dyDescent="0.25">
      <c r="A11780" t="s">
        <v>3296</v>
      </c>
      <c r="B11780" t="s">
        <v>2931</v>
      </c>
      <c r="C11780">
        <v>3714</v>
      </c>
      <c r="D11780" t="str">
        <f>"12898       "</f>
        <v xml:space="preserve">12898       </v>
      </c>
      <c r="E11780" t="s">
        <v>1493</v>
      </c>
      <c r="F11780" t="s">
        <v>1494</v>
      </c>
      <c r="G11780">
        <v>8345.75</v>
      </c>
      <c r="H11780">
        <v>250318</v>
      </c>
      <c r="I11780">
        <v>4440</v>
      </c>
      <c r="J11780" t="s">
        <v>346</v>
      </c>
      <c r="K11780">
        <v>8345.75</v>
      </c>
      <c r="L11780">
        <v>1695.75</v>
      </c>
      <c r="M11780">
        <v>18120</v>
      </c>
      <c r="N11780" t="s">
        <v>37</v>
      </c>
      <c r="O11780">
        <v>250328</v>
      </c>
      <c r="P11780">
        <v>6650</v>
      </c>
    </row>
    <row r="11781" spans="1:16" x14ac:dyDescent="0.25">
      <c r="A11781" t="s">
        <v>3296</v>
      </c>
      <c r="B11781" t="s">
        <v>2931</v>
      </c>
      <c r="C11781">
        <v>4124</v>
      </c>
      <c r="D11781" t="str">
        <f>"12941       "</f>
        <v xml:space="preserve">12941       </v>
      </c>
      <c r="E11781" t="s">
        <v>1493</v>
      </c>
      <c r="F11781" t="s">
        <v>1494</v>
      </c>
      <c r="G11781">
        <v>313.75</v>
      </c>
      <c r="H11781">
        <v>250326</v>
      </c>
      <c r="I11781">
        <v>4440</v>
      </c>
      <c r="J11781" t="s">
        <v>346</v>
      </c>
      <c r="K11781">
        <v>313.75</v>
      </c>
      <c r="L11781">
        <v>63.75</v>
      </c>
      <c r="M11781">
        <v>18120</v>
      </c>
      <c r="N11781" t="s">
        <v>37</v>
      </c>
      <c r="O11781">
        <v>250407</v>
      </c>
      <c r="P11781">
        <v>250</v>
      </c>
    </row>
    <row r="11782" spans="1:16" x14ac:dyDescent="0.25">
      <c r="A11782" t="s">
        <v>3296</v>
      </c>
      <c r="B11782" t="s">
        <v>2931</v>
      </c>
      <c r="C11782">
        <v>9056</v>
      </c>
      <c r="D11782" t="str">
        <f>"13697       "</f>
        <v xml:space="preserve">13697       </v>
      </c>
      <c r="E11782" t="s">
        <v>1493</v>
      </c>
      <c r="F11782" t="s">
        <v>1494</v>
      </c>
      <c r="G11782">
        <v>6275</v>
      </c>
      <c r="H11782">
        <v>250616</v>
      </c>
      <c r="I11782">
        <v>4440</v>
      </c>
      <c r="J11782" t="s">
        <v>346</v>
      </c>
      <c r="K11782">
        <v>6275</v>
      </c>
      <c r="L11782">
        <v>1275</v>
      </c>
      <c r="M11782">
        <v>18120</v>
      </c>
      <c r="N11782" t="s">
        <v>37</v>
      </c>
      <c r="O11782">
        <v>250626</v>
      </c>
      <c r="P11782">
        <v>5000</v>
      </c>
    </row>
    <row r="11783" spans="1:16" x14ac:dyDescent="0.25">
      <c r="A11783" t="s">
        <v>3296</v>
      </c>
      <c r="B11783" t="s">
        <v>2931</v>
      </c>
      <c r="C11783">
        <v>9085</v>
      </c>
      <c r="D11783" t="str">
        <f>"13699       "</f>
        <v xml:space="preserve">13699       </v>
      </c>
      <c r="E11783" t="s">
        <v>1493</v>
      </c>
      <c r="F11783" t="s">
        <v>1494</v>
      </c>
      <c r="G11783">
        <v>3765</v>
      </c>
      <c r="H11783">
        <v>250616</v>
      </c>
      <c r="I11783">
        <v>4440</v>
      </c>
      <c r="J11783" t="s">
        <v>346</v>
      </c>
      <c r="K11783">
        <v>3765</v>
      </c>
      <c r="L11783">
        <v>765</v>
      </c>
      <c r="M11783">
        <v>18120</v>
      </c>
      <c r="N11783" t="s">
        <v>37</v>
      </c>
      <c r="O11783">
        <v>250626</v>
      </c>
      <c r="P11783">
        <v>3000</v>
      </c>
    </row>
    <row r="11784" spans="1:16" x14ac:dyDescent="0.25">
      <c r="A11784" t="s">
        <v>3296</v>
      </c>
      <c r="B11784" t="s">
        <v>2931</v>
      </c>
      <c r="C11784">
        <v>9088</v>
      </c>
      <c r="D11784" t="str">
        <f>"13700       "</f>
        <v xml:space="preserve">13700       </v>
      </c>
      <c r="E11784" t="s">
        <v>1493</v>
      </c>
      <c r="F11784" t="s">
        <v>1494</v>
      </c>
      <c r="G11784">
        <v>9939.6</v>
      </c>
      <c r="H11784">
        <v>250616</v>
      </c>
      <c r="I11784">
        <v>4440</v>
      </c>
      <c r="J11784" t="s">
        <v>346</v>
      </c>
      <c r="K11784">
        <v>9939.6</v>
      </c>
      <c r="L11784">
        <v>2019.6</v>
      </c>
      <c r="M11784">
        <v>18120</v>
      </c>
      <c r="N11784" t="s">
        <v>37</v>
      </c>
      <c r="O11784">
        <v>250626</v>
      </c>
      <c r="P11784">
        <v>7920</v>
      </c>
    </row>
    <row r="11785" spans="1:16" x14ac:dyDescent="0.25">
      <c r="A11785" t="s">
        <v>3296</v>
      </c>
      <c r="B11785" t="s">
        <v>2931</v>
      </c>
      <c r="C11785">
        <v>9096</v>
      </c>
      <c r="D11785" t="str">
        <f>"13701       "</f>
        <v xml:space="preserve">13701       </v>
      </c>
      <c r="E11785" t="s">
        <v>1493</v>
      </c>
      <c r="F11785" t="s">
        <v>1494</v>
      </c>
      <c r="G11785">
        <v>8785</v>
      </c>
      <c r="H11785">
        <v>250616</v>
      </c>
      <c r="I11785">
        <v>4440</v>
      </c>
      <c r="J11785" t="s">
        <v>346</v>
      </c>
      <c r="K11785">
        <v>8785</v>
      </c>
      <c r="L11785">
        <v>1785</v>
      </c>
      <c r="M11785">
        <v>18120</v>
      </c>
      <c r="N11785" t="s">
        <v>37</v>
      </c>
      <c r="O11785">
        <v>250626</v>
      </c>
      <c r="P11785">
        <v>7000</v>
      </c>
    </row>
    <row r="11786" spans="1:16" x14ac:dyDescent="0.25">
      <c r="A11786" t="s">
        <v>3296</v>
      </c>
      <c r="B11786" t="s">
        <v>2931</v>
      </c>
      <c r="C11786">
        <v>9099</v>
      </c>
      <c r="D11786" t="str">
        <f>"13696       "</f>
        <v xml:space="preserve">13696       </v>
      </c>
      <c r="E11786" t="s">
        <v>1493</v>
      </c>
      <c r="F11786" t="s">
        <v>1494</v>
      </c>
      <c r="G11786">
        <v>6902.5</v>
      </c>
      <c r="H11786">
        <v>250616</v>
      </c>
      <c r="I11786">
        <v>4440</v>
      </c>
      <c r="J11786" t="s">
        <v>346</v>
      </c>
      <c r="K11786">
        <v>6902.5</v>
      </c>
      <c r="L11786">
        <v>1402.5</v>
      </c>
      <c r="M11786">
        <v>18120</v>
      </c>
      <c r="N11786" t="s">
        <v>37</v>
      </c>
      <c r="O11786">
        <v>250626</v>
      </c>
      <c r="P11786">
        <v>5500</v>
      </c>
    </row>
    <row r="11787" spans="1:16" x14ac:dyDescent="0.25">
      <c r="A11787" t="s">
        <v>3296</v>
      </c>
      <c r="B11787" t="s">
        <v>2931</v>
      </c>
      <c r="C11787">
        <v>9101</v>
      </c>
      <c r="D11787" t="str">
        <f>"13698       "</f>
        <v xml:space="preserve">13698       </v>
      </c>
      <c r="E11787" t="s">
        <v>1493</v>
      </c>
      <c r="F11787" t="s">
        <v>1494</v>
      </c>
      <c r="G11787">
        <v>5333.75</v>
      </c>
      <c r="H11787">
        <v>250616</v>
      </c>
      <c r="I11787">
        <v>4440</v>
      </c>
      <c r="J11787" t="s">
        <v>346</v>
      </c>
      <c r="K11787">
        <v>5333.75</v>
      </c>
      <c r="L11787">
        <v>1083.75</v>
      </c>
      <c r="M11787">
        <v>18120</v>
      </c>
      <c r="N11787" t="s">
        <v>37</v>
      </c>
      <c r="O11787">
        <v>250626</v>
      </c>
      <c r="P11787">
        <v>4250</v>
      </c>
    </row>
    <row r="11788" spans="1:16" x14ac:dyDescent="0.25">
      <c r="A11788" t="s">
        <v>3296</v>
      </c>
      <c r="B11788" t="s">
        <v>2931</v>
      </c>
      <c r="C11788">
        <v>12276</v>
      </c>
      <c r="D11788" t="str">
        <f>"13975       "</f>
        <v xml:space="preserve">13975       </v>
      </c>
      <c r="E11788" t="s">
        <v>1493</v>
      </c>
      <c r="F11788" t="s">
        <v>1494</v>
      </c>
      <c r="G11788">
        <v>8785</v>
      </c>
      <c r="H11788">
        <v>250916</v>
      </c>
      <c r="I11788">
        <v>4440</v>
      </c>
      <c r="J11788" t="s">
        <v>346</v>
      </c>
      <c r="K11788">
        <v>8785</v>
      </c>
      <c r="L11788">
        <v>1785</v>
      </c>
      <c r="M11788">
        <v>18120</v>
      </c>
      <c r="N11788" t="s">
        <v>37</v>
      </c>
      <c r="O11788">
        <v>250918</v>
      </c>
      <c r="P11788">
        <v>7000</v>
      </c>
    </row>
    <row r="11789" spans="1:16" x14ac:dyDescent="0.25">
      <c r="A11789" t="s">
        <v>3296</v>
      </c>
      <c r="B11789" t="s">
        <v>2931</v>
      </c>
      <c r="C11789">
        <v>12279</v>
      </c>
      <c r="D11789" t="str">
        <f>"13977       "</f>
        <v xml:space="preserve">13977       </v>
      </c>
      <c r="E11789" t="s">
        <v>1493</v>
      </c>
      <c r="F11789" t="s">
        <v>1494</v>
      </c>
      <c r="G11789">
        <v>5333.75</v>
      </c>
      <c r="H11789">
        <v>250916</v>
      </c>
      <c r="I11789">
        <v>4440</v>
      </c>
      <c r="J11789" t="s">
        <v>346</v>
      </c>
      <c r="K11789">
        <v>5333.75</v>
      </c>
      <c r="L11789">
        <v>1083.75</v>
      </c>
      <c r="M11789">
        <v>18120</v>
      </c>
      <c r="N11789" t="s">
        <v>37</v>
      </c>
      <c r="O11789">
        <v>250918</v>
      </c>
      <c r="P11789">
        <v>4250</v>
      </c>
    </row>
    <row r="11790" spans="1:16" x14ac:dyDescent="0.25">
      <c r="A11790" t="s">
        <v>3296</v>
      </c>
      <c r="B11790" t="s">
        <v>2931</v>
      </c>
      <c r="C11790">
        <v>12282</v>
      </c>
      <c r="D11790" t="str">
        <f>"13976       "</f>
        <v xml:space="preserve">13976       </v>
      </c>
      <c r="E11790" t="s">
        <v>1493</v>
      </c>
      <c r="F11790" t="s">
        <v>1494</v>
      </c>
      <c r="G11790">
        <v>8785</v>
      </c>
      <c r="H11790">
        <v>250916</v>
      </c>
      <c r="I11790">
        <v>4440</v>
      </c>
      <c r="J11790" t="s">
        <v>346</v>
      </c>
      <c r="K11790">
        <v>8785</v>
      </c>
      <c r="L11790">
        <v>1785</v>
      </c>
      <c r="M11790">
        <v>18120</v>
      </c>
      <c r="N11790" t="s">
        <v>37</v>
      </c>
      <c r="O11790">
        <v>250918</v>
      </c>
      <c r="P11790">
        <v>7000</v>
      </c>
    </row>
    <row r="11791" spans="1:16" x14ac:dyDescent="0.25">
      <c r="A11791" t="s">
        <v>3296</v>
      </c>
      <c r="B11791" t="s">
        <v>2931</v>
      </c>
      <c r="C11791">
        <v>12888</v>
      </c>
      <c r="D11791" t="str">
        <f>"14066       "</f>
        <v xml:space="preserve">14066       </v>
      </c>
      <c r="E11791" t="s">
        <v>1493</v>
      </c>
      <c r="F11791" t="s">
        <v>1494</v>
      </c>
      <c r="G11791">
        <v>9412.5</v>
      </c>
      <c r="H11791">
        <v>250926</v>
      </c>
      <c r="I11791">
        <v>4440</v>
      </c>
      <c r="J11791" t="s">
        <v>346</v>
      </c>
      <c r="K11791">
        <v>9412.5</v>
      </c>
      <c r="L11791">
        <v>1912.5</v>
      </c>
      <c r="M11791">
        <v>18120</v>
      </c>
      <c r="N11791" t="s">
        <v>37</v>
      </c>
      <c r="O11791">
        <v>251001</v>
      </c>
      <c r="P11791">
        <v>7500</v>
      </c>
    </row>
    <row r="11792" spans="1:16" x14ac:dyDescent="0.25">
      <c r="A11792" t="s">
        <v>3296</v>
      </c>
      <c r="B11792" t="s">
        <v>2931</v>
      </c>
      <c r="C11792">
        <v>17411</v>
      </c>
      <c r="D11792" t="str">
        <f>"14766       "</f>
        <v xml:space="preserve">14766       </v>
      </c>
      <c r="E11792" t="s">
        <v>1493</v>
      </c>
      <c r="F11792" t="s">
        <v>1494</v>
      </c>
      <c r="G11792">
        <v>5333.75</v>
      </c>
      <c r="H11792">
        <v>251215</v>
      </c>
      <c r="I11792">
        <v>4440</v>
      </c>
      <c r="J11792" t="s">
        <v>346</v>
      </c>
      <c r="K11792">
        <v>5333.75</v>
      </c>
      <c r="L11792">
        <v>1083.75</v>
      </c>
      <c r="M11792">
        <v>18120</v>
      </c>
      <c r="N11792" t="s">
        <v>37</v>
      </c>
      <c r="O11792">
        <v>251219</v>
      </c>
      <c r="P11792">
        <v>4250</v>
      </c>
    </row>
    <row r="11793" spans="1:16" x14ac:dyDescent="0.25">
      <c r="A11793" t="s">
        <v>3296</v>
      </c>
      <c r="B11793" t="s">
        <v>2931</v>
      </c>
      <c r="C11793">
        <v>17412</v>
      </c>
      <c r="D11793" t="str">
        <f>"14767       "</f>
        <v xml:space="preserve">14767       </v>
      </c>
      <c r="E11793" t="s">
        <v>1493</v>
      </c>
      <c r="F11793" t="s">
        <v>1494</v>
      </c>
      <c r="G11793">
        <v>9287</v>
      </c>
      <c r="H11793">
        <v>251215</v>
      </c>
      <c r="I11793">
        <v>4440</v>
      </c>
      <c r="J11793" t="s">
        <v>346</v>
      </c>
      <c r="K11793">
        <v>9287</v>
      </c>
      <c r="L11793">
        <v>1887</v>
      </c>
      <c r="M11793">
        <v>18120</v>
      </c>
      <c r="N11793" t="s">
        <v>37</v>
      </c>
      <c r="O11793">
        <v>251219</v>
      </c>
      <c r="P11793">
        <v>7400</v>
      </c>
    </row>
    <row r="11794" spans="1:16" x14ac:dyDescent="0.25">
      <c r="A11794" t="s">
        <v>3296</v>
      </c>
      <c r="B11794" t="s">
        <v>2931</v>
      </c>
      <c r="C11794">
        <v>17414</v>
      </c>
      <c r="D11794" t="str">
        <f>"14768       "</f>
        <v xml:space="preserve">14768       </v>
      </c>
      <c r="E11794" t="s">
        <v>1493</v>
      </c>
      <c r="F11794" t="s">
        <v>1494</v>
      </c>
      <c r="G11794">
        <v>8785.01</v>
      </c>
      <c r="H11794">
        <v>251215</v>
      </c>
      <c r="I11794">
        <v>4440</v>
      </c>
      <c r="J11794" t="s">
        <v>346</v>
      </c>
      <c r="K11794">
        <v>8785.01</v>
      </c>
      <c r="L11794">
        <v>1785</v>
      </c>
      <c r="M11794">
        <v>18120</v>
      </c>
      <c r="N11794" t="s">
        <v>37</v>
      </c>
      <c r="O11794">
        <v>251219</v>
      </c>
      <c r="P11794">
        <v>7000.01</v>
      </c>
    </row>
    <row r="11795" spans="1:16" x14ac:dyDescent="0.25">
      <c r="A11795" t="s">
        <v>3296</v>
      </c>
      <c r="B11795" t="s">
        <v>2931</v>
      </c>
      <c r="C11795">
        <v>17416</v>
      </c>
      <c r="D11795" t="str">
        <f>"14769       "</f>
        <v xml:space="preserve">14769       </v>
      </c>
      <c r="E11795" t="s">
        <v>1493</v>
      </c>
      <c r="F11795" t="s">
        <v>1494</v>
      </c>
      <c r="G11795">
        <v>12142.13</v>
      </c>
      <c r="H11795">
        <v>251215</v>
      </c>
      <c r="I11795">
        <v>4440</v>
      </c>
      <c r="J11795" t="s">
        <v>346</v>
      </c>
      <c r="K11795">
        <v>12142.13</v>
      </c>
      <c r="L11795">
        <v>2467.13</v>
      </c>
      <c r="M11795">
        <v>18120</v>
      </c>
      <c r="N11795" t="s">
        <v>37</v>
      </c>
      <c r="O11795">
        <v>251219</v>
      </c>
      <c r="P11795">
        <v>9675</v>
      </c>
    </row>
    <row r="11796" spans="1:16" x14ac:dyDescent="0.25">
      <c r="A11796" t="s">
        <v>3296</v>
      </c>
      <c r="B11796" t="s">
        <v>2931</v>
      </c>
      <c r="C11796">
        <v>5390</v>
      </c>
      <c r="D11796" t="str">
        <f>"13100       "</f>
        <v xml:space="preserve">13100       </v>
      </c>
      <c r="E11796" t="s">
        <v>1493</v>
      </c>
      <c r="F11796" t="s">
        <v>1494</v>
      </c>
      <c r="G11796">
        <v>400</v>
      </c>
      <c r="H11796">
        <v>250411</v>
      </c>
      <c r="I11796">
        <v>4820</v>
      </c>
      <c r="J11796" t="s">
        <v>169</v>
      </c>
      <c r="K11796">
        <v>400</v>
      </c>
      <c r="L11796">
        <v>0</v>
      </c>
      <c r="M11796">
        <v>18820</v>
      </c>
      <c r="N11796" t="s">
        <v>372</v>
      </c>
      <c r="O11796">
        <v>250424</v>
      </c>
      <c r="P11796">
        <v>400</v>
      </c>
    </row>
    <row r="11797" spans="1:16" x14ac:dyDescent="0.25">
      <c r="A11797" t="s">
        <v>3296</v>
      </c>
      <c r="B11797" t="s">
        <v>2931</v>
      </c>
      <c r="C11797">
        <v>17478</v>
      </c>
      <c r="D11797" t="str">
        <f>"14770       "</f>
        <v xml:space="preserve">14770       </v>
      </c>
      <c r="E11797" t="s">
        <v>1493</v>
      </c>
      <c r="F11797" t="s">
        <v>1494</v>
      </c>
      <c r="G11797">
        <v>1004</v>
      </c>
      <c r="H11797">
        <v>251215</v>
      </c>
      <c r="I11797">
        <v>4820</v>
      </c>
      <c r="J11797" t="s">
        <v>169</v>
      </c>
      <c r="K11797">
        <v>1004</v>
      </c>
      <c r="L11797">
        <v>204</v>
      </c>
      <c r="M11797">
        <v>18820</v>
      </c>
      <c r="N11797" t="s">
        <v>372</v>
      </c>
      <c r="O11797">
        <v>251222</v>
      </c>
      <c r="P11797">
        <v>800</v>
      </c>
    </row>
    <row r="11798" spans="1:16" x14ac:dyDescent="0.25">
      <c r="A11798" t="s">
        <v>3296</v>
      </c>
      <c r="B11798" t="s">
        <v>2931</v>
      </c>
      <c r="C11798">
        <v>12763</v>
      </c>
      <c r="D11798" t="str">
        <f>"121267      "</f>
        <v xml:space="preserve">121267      </v>
      </c>
      <c r="E11798" t="s">
        <v>2390</v>
      </c>
      <c r="F11798" t="s">
        <v>2391</v>
      </c>
      <c r="G11798">
        <v>595.89</v>
      </c>
      <c r="H11798">
        <v>250923</v>
      </c>
      <c r="I11798">
        <v>1196</v>
      </c>
      <c r="J11798" t="s">
        <v>340</v>
      </c>
      <c r="K11798">
        <v>595.89</v>
      </c>
      <c r="L11798">
        <v>0</v>
      </c>
      <c r="M11798">
        <v>97604</v>
      </c>
      <c r="N11798" t="s">
        <v>341</v>
      </c>
      <c r="O11798">
        <v>250930</v>
      </c>
      <c r="P11798">
        <v>595.89</v>
      </c>
    </row>
    <row r="11799" spans="1:16" x14ac:dyDescent="0.25">
      <c r="A11799" t="s">
        <v>3296</v>
      </c>
      <c r="B11799" t="s">
        <v>2931</v>
      </c>
      <c r="C11799">
        <v>17638</v>
      </c>
      <c r="D11799" t="str">
        <f>"123505      "</f>
        <v xml:space="preserve">123505      </v>
      </c>
      <c r="E11799" t="s">
        <v>2390</v>
      </c>
      <c r="F11799" t="s">
        <v>2391</v>
      </c>
      <c r="G11799">
        <v>7740</v>
      </c>
      <c r="H11799">
        <v>251218</v>
      </c>
      <c r="I11799">
        <v>4390</v>
      </c>
      <c r="J11799" t="s">
        <v>232</v>
      </c>
      <c r="K11799">
        <v>7740</v>
      </c>
      <c r="L11799">
        <v>0</v>
      </c>
      <c r="M11799">
        <v>17951</v>
      </c>
      <c r="N11799" t="s">
        <v>207</v>
      </c>
      <c r="O11799">
        <v>251223</v>
      </c>
      <c r="P11799">
        <v>7740</v>
      </c>
    </row>
    <row r="11800" spans="1:16" x14ac:dyDescent="0.25">
      <c r="A11800" t="s">
        <v>3296</v>
      </c>
      <c r="B11800" t="s">
        <v>2931</v>
      </c>
      <c r="C11800">
        <v>12271</v>
      </c>
      <c r="D11800" t="str">
        <f>"13230       "</f>
        <v xml:space="preserve">13230       </v>
      </c>
      <c r="E11800" t="s">
        <v>688</v>
      </c>
      <c r="F11800" t="s">
        <v>689</v>
      </c>
      <c r="G11800">
        <v>1002.47</v>
      </c>
      <c r="H11800">
        <v>250910</v>
      </c>
      <c r="I11800">
        <v>4390</v>
      </c>
      <c r="J11800" t="s">
        <v>232</v>
      </c>
      <c r="K11800">
        <v>1002.47</v>
      </c>
      <c r="L11800">
        <v>203.69</v>
      </c>
      <c r="M11800">
        <v>49501</v>
      </c>
      <c r="N11800" t="s">
        <v>110</v>
      </c>
      <c r="O11800">
        <v>250918</v>
      </c>
      <c r="P11800">
        <v>798.78</v>
      </c>
    </row>
    <row r="11801" spans="1:16" x14ac:dyDescent="0.25">
      <c r="A11801" t="s">
        <v>3296</v>
      </c>
      <c r="B11801" t="s">
        <v>2931</v>
      </c>
      <c r="C11801">
        <v>14696</v>
      </c>
      <c r="D11801" t="str">
        <f>"13533       "</f>
        <v xml:space="preserve">13533       </v>
      </c>
      <c r="E11801" t="s">
        <v>688</v>
      </c>
      <c r="F11801" t="s">
        <v>689</v>
      </c>
      <c r="G11801">
        <v>493.3</v>
      </c>
      <c r="H11801">
        <v>251031</v>
      </c>
      <c r="I11801">
        <v>4390</v>
      </c>
      <c r="J11801" t="s">
        <v>232</v>
      </c>
      <c r="K11801">
        <v>493.3</v>
      </c>
      <c r="L11801">
        <v>0</v>
      </c>
      <c r="M11801">
        <v>49501</v>
      </c>
      <c r="N11801" t="s">
        <v>110</v>
      </c>
      <c r="O11801">
        <v>251106</v>
      </c>
      <c r="P11801">
        <v>493.3</v>
      </c>
    </row>
    <row r="11802" spans="1:16" x14ac:dyDescent="0.25">
      <c r="A11802" t="s">
        <v>3296</v>
      </c>
      <c r="B11802" t="s">
        <v>2931</v>
      </c>
      <c r="C11802">
        <v>16376</v>
      </c>
      <c r="D11802" t="str">
        <f>"13656       "</f>
        <v xml:space="preserve">13656       </v>
      </c>
      <c r="E11802" t="s">
        <v>688</v>
      </c>
      <c r="F11802" t="s">
        <v>689</v>
      </c>
      <c r="G11802">
        <v>275.52</v>
      </c>
      <c r="H11802">
        <v>251124</v>
      </c>
      <c r="I11802">
        <v>4390</v>
      </c>
      <c r="J11802" t="s">
        <v>232</v>
      </c>
      <c r="K11802">
        <v>275.52</v>
      </c>
      <c r="L11802">
        <v>55.98</v>
      </c>
      <c r="M11802">
        <v>49501</v>
      </c>
      <c r="N11802" t="s">
        <v>110</v>
      </c>
      <c r="O11802">
        <v>251208</v>
      </c>
      <c r="P11802">
        <v>219.54</v>
      </c>
    </row>
    <row r="11803" spans="1:16" x14ac:dyDescent="0.25">
      <c r="A11803" t="s">
        <v>3296</v>
      </c>
      <c r="B11803" t="s">
        <v>2931</v>
      </c>
      <c r="C11803">
        <v>17108</v>
      </c>
      <c r="D11803" t="str">
        <f>"13711       "</f>
        <v xml:space="preserve">13711       </v>
      </c>
      <c r="E11803" t="s">
        <v>688</v>
      </c>
      <c r="F11803" t="s">
        <v>689</v>
      </c>
      <c r="G11803">
        <v>271.79000000000002</v>
      </c>
      <c r="H11803">
        <v>251203</v>
      </c>
      <c r="I11803">
        <v>4390</v>
      </c>
      <c r="J11803" t="s">
        <v>232</v>
      </c>
      <c r="K11803">
        <v>271.79000000000002</v>
      </c>
      <c r="L11803">
        <v>55.22</v>
      </c>
      <c r="M11803">
        <v>49501</v>
      </c>
      <c r="N11803" t="s">
        <v>110</v>
      </c>
      <c r="O11803">
        <v>251217</v>
      </c>
      <c r="P11803">
        <v>216.57</v>
      </c>
    </row>
    <row r="11804" spans="1:16" x14ac:dyDescent="0.25">
      <c r="A11804" t="s">
        <v>3296</v>
      </c>
      <c r="B11804" t="s">
        <v>2931</v>
      </c>
      <c r="C11804">
        <v>9061</v>
      </c>
      <c r="D11804" t="str">
        <f>"12825       "</f>
        <v xml:space="preserve">12825       </v>
      </c>
      <c r="E11804" t="s">
        <v>688</v>
      </c>
      <c r="F11804" t="s">
        <v>689</v>
      </c>
      <c r="G11804">
        <v>84.89</v>
      </c>
      <c r="H11804">
        <v>250616</v>
      </c>
      <c r="I11804">
        <v>4400</v>
      </c>
      <c r="J11804" t="s">
        <v>162</v>
      </c>
      <c r="K11804">
        <v>84.89</v>
      </c>
      <c r="L11804">
        <v>0</v>
      </c>
      <c r="M11804">
        <v>49501</v>
      </c>
      <c r="N11804" t="s">
        <v>110</v>
      </c>
      <c r="O11804">
        <v>250626</v>
      </c>
      <c r="P11804">
        <v>84.89</v>
      </c>
    </row>
    <row r="11805" spans="1:16" x14ac:dyDescent="0.25">
      <c r="A11805" t="s">
        <v>3296</v>
      </c>
      <c r="B11805" t="s">
        <v>2931</v>
      </c>
      <c r="C11805">
        <v>11708</v>
      </c>
      <c r="D11805" t="str">
        <f>"13217       "</f>
        <v xml:space="preserve">13217       </v>
      </c>
      <c r="E11805" t="s">
        <v>688</v>
      </c>
      <c r="F11805" t="s">
        <v>689</v>
      </c>
      <c r="G11805">
        <v>695.29</v>
      </c>
      <c r="H11805">
        <v>250905</v>
      </c>
      <c r="I11805">
        <v>4400</v>
      </c>
      <c r="J11805" t="s">
        <v>162</v>
      </c>
      <c r="K11805">
        <v>695.29</v>
      </c>
      <c r="L11805">
        <v>0</v>
      </c>
      <c r="M11805">
        <v>46554</v>
      </c>
      <c r="N11805" t="s">
        <v>102</v>
      </c>
      <c r="O11805">
        <v>250910</v>
      </c>
      <c r="P11805">
        <v>695.29</v>
      </c>
    </row>
    <row r="11806" spans="1:16" x14ac:dyDescent="0.25">
      <c r="A11806" t="s">
        <v>3296</v>
      </c>
      <c r="B11806" t="s">
        <v>2931</v>
      </c>
      <c r="C11806">
        <v>13247</v>
      </c>
      <c r="D11806" t="str">
        <f>"13336       "</f>
        <v xml:space="preserve">13336       </v>
      </c>
      <c r="E11806" t="s">
        <v>688</v>
      </c>
      <c r="F11806" t="s">
        <v>689</v>
      </c>
      <c r="G11806">
        <v>132.84</v>
      </c>
      <c r="H11806">
        <v>250930</v>
      </c>
      <c r="I11806">
        <v>4400</v>
      </c>
      <c r="J11806" t="s">
        <v>162</v>
      </c>
      <c r="K11806">
        <v>132.84</v>
      </c>
      <c r="L11806">
        <v>0</v>
      </c>
      <c r="M11806">
        <v>49501</v>
      </c>
      <c r="N11806" t="s">
        <v>110</v>
      </c>
      <c r="O11806">
        <v>251007</v>
      </c>
      <c r="P11806">
        <v>132.84</v>
      </c>
    </row>
    <row r="11807" spans="1:16" x14ac:dyDescent="0.25">
      <c r="A11807" t="s">
        <v>3296</v>
      </c>
      <c r="B11807" t="s">
        <v>2931</v>
      </c>
      <c r="C11807">
        <v>15746</v>
      </c>
      <c r="D11807" t="str">
        <f>"13657       "</f>
        <v xml:space="preserve">13657       </v>
      </c>
      <c r="E11807" t="s">
        <v>688</v>
      </c>
      <c r="F11807" t="s">
        <v>689</v>
      </c>
      <c r="G11807">
        <v>1015.97</v>
      </c>
      <c r="H11807">
        <v>251124</v>
      </c>
      <c r="I11807">
        <v>4400</v>
      </c>
      <c r="J11807" t="s">
        <v>162</v>
      </c>
      <c r="K11807">
        <v>1015.97</v>
      </c>
      <c r="L11807">
        <v>206.43</v>
      </c>
      <c r="M11807">
        <v>46554</v>
      </c>
      <c r="N11807" t="s">
        <v>102</v>
      </c>
      <c r="O11807">
        <v>251126</v>
      </c>
      <c r="P11807">
        <v>809.54</v>
      </c>
    </row>
    <row r="11808" spans="1:16" x14ac:dyDescent="0.25">
      <c r="A11808" t="s">
        <v>3296</v>
      </c>
      <c r="B11808" t="s">
        <v>2931</v>
      </c>
      <c r="C11808">
        <v>17837</v>
      </c>
      <c r="D11808" t="str">
        <f>"13781       "</f>
        <v xml:space="preserve">13781       </v>
      </c>
      <c r="E11808" t="s">
        <v>688</v>
      </c>
      <c r="F11808" t="s">
        <v>689</v>
      </c>
      <c r="G11808">
        <v>762.6</v>
      </c>
      <c r="H11808">
        <v>251215</v>
      </c>
      <c r="I11808">
        <v>4400</v>
      </c>
      <c r="J11808" t="s">
        <v>162</v>
      </c>
      <c r="K11808">
        <v>762.6</v>
      </c>
      <c r="L11808">
        <v>0</v>
      </c>
      <c r="M11808">
        <v>46554</v>
      </c>
      <c r="N11808" t="s">
        <v>102</v>
      </c>
      <c r="O11808">
        <v>251230</v>
      </c>
      <c r="P11808">
        <v>762.6</v>
      </c>
    </row>
    <row r="11809" spans="1:16" x14ac:dyDescent="0.25">
      <c r="A11809" t="s">
        <v>3296</v>
      </c>
      <c r="B11809" t="s">
        <v>2931</v>
      </c>
      <c r="C11809">
        <v>1581</v>
      </c>
      <c r="D11809" t="str">
        <f>"12173       "</f>
        <v xml:space="preserve">12173       </v>
      </c>
      <c r="E11809" t="s">
        <v>688</v>
      </c>
      <c r="F11809" t="s">
        <v>689</v>
      </c>
      <c r="G11809">
        <v>333.99</v>
      </c>
      <c r="H11809">
        <v>250207</v>
      </c>
      <c r="I11809">
        <v>4590</v>
      </c>
      <c r="J11809" t="s">
        <v>388</v>
      </c>
      <c r="K11809">
        <v>333.99</v>
      </c>
      <c r="L11809">
        <v>67.86</v>
      </c>
      <c r="M11809">
        <v>49501</v>
      </c>
      <c r="N11809" t="s">
        <v>110</v>
      </c>
      <c r="O11809">
        <v>250211</v>
      </c>
      <c r="P11809">
        <v>266.13</v>
      </c>
    </row>
    <row r="11810" spans="1:16" x14ac:dyDescent="0.25">
      <c r="A11810" t="s">
        <v>3296</v>
      </c>
      <c r="B11810" t="s">
        <v>2931</v>
      </c>
      <c r="C11810">
        <v>2908</v>
      </c>
      <c r="D11810" t="str">
        <f>"12292       "</f>
        <v xml:space="preserve">12292       </v>
      </c>
      <c r="E11810" t="s">
        <v>688</v>
      </c>
      <c r="F11810" t="s">
        <v>689</v>
      </c>
      <c r="G11810">
        <v>36.69</v>
      </c>
      <c r="H11810">
        <v>250228</v>
      </c>
      <c r="I11810">
        <v>4590</v>
      </c>
      <c r="J11810" t="s">
        <v>388</v>
      </c>
      <c r="K11810">
        <v>36.69</v>
      </c>
      <c r="L11810">
        <v>7.45</v>
      </c>
      <c r="M11810">
        <v>49501</v>
      </c>
      <c r="N11810" t="s">
        <v>110</v>
      </c>
      <c r="O11810">
        <v>250313</v>
      </c>
      <c r="P11810">
        <v>29.24</v>
      </c>
    </row>
    <row r="11811" spans="1:16" x14ac:dyDescent="0.25">
      <c r="A11811" t="s">
        <v>3296</v>
      </c>
      <c r="B11811" t="s">
        <v>2931</v>
      </c>
      <c r="C11811">
        <v>3540</v>
      </c>
      <c r="D11811" t="str">
        <f>"12354       "</f>
        <v xml:space="preserve">12354       </v>
      </c>
      <c r="E11811" t="s">
        <v>688</v>
      </c>
      <c r="F11811" t="s">
        <v>689</v>
      </c>
      <c r="G11811">
        <v>341.02</v>
      </c>
      <c r="H11811">
        <v>250312</v>
      </c>
      <c r="I11811">
        <v>4590</v>
      </c>
      <c r="J11811" t="s">
        <v>388</v>
      </c>
      <c r="K11811">
        <v>341.02</v>
      </c>
      <c r="L11811">
        <v>69.290000000000006</v>
      </c>
      <c r="M11811">
        <v>49501</v>
      </c>
      <c r="N11811" t="s">
        <v>110</v>
      </c>
      <c r="O11811">
        <v>250325</v>
      </c>
      <c r="P11811">
        <v>271.73</v>
      </c>
    </row>
    <row r="11812" spans="1:16" x14ac:dyDescent="0.25">
      <c r="A11812" t="s">
        <v>3296</v>
      </c>
      <c r="B11812" t="s">
        <v>2931</v>
      </c>
      <c r="C11812">
        <v>7063</v>
      </c>
      <c r="D11812" t="str">
        <f>"12647       "</f>
        <v xml:space="preserve">12647       </v>
      </c>
      <c r="E11812" t="s">
        <v>688</v>
      </c>
      <c r="F11812" t="s">
        <v>689</v>
      </c>
      <c r="G11812">
        <v>458.64</v>
      </c>
      <c r="H11812">
        <v>250516</v>
      </c>
      <c r="I11812">
        <v>4590</v>
      </c>
      <c r="J11812" t="s">
        <v>388</v>
      </c>
      <c r="K11812">
        <v>458.64</v>
      </c>
      <c r="L11812">
        <v>93.19</v>
      </c>
      <c r="M11812">
        <v>49501</v>
      </c>
      <c r="N11812" t="s">
        <v>110</v>
      </c>
      <c r="O11812">
        <v>250522</v>
      </c>
      <c r="P11812">
        <v>365.45</v>
      </c>
    </row>
    <row r="11813" spans="1:16" x14ac:dyDescent="0.25">
      <c r="A11813" t="s">
        <v>3296</v>
      </c>
      <c r="B11813" t="s">
        <v>2931</v>
      </c>
      <c r="C11813">
        <v>11306</v>
      </c>
      <c r="D11813" t="str">
        <f>"13185       "</f>
        <v xml:space="preserve">13185       </v>
      </c>
      <c r="E11813" t="s">
        <v>688</v>
      </c>
      <c r="F11813" t="s">
        <v>689</v>
      </c>
      <c r="G11813">
        <v>549.25</v>
      </c>
      <c r="H11813">
        <v>250829</v>
      </c>
      <c r="I11813">
        <v>4590</v>
      </c>
      <c r="J11813" t="s">
        <v>388</v>
      </c>
      <c r="K11813">
        <v>549.25</v>
      </c>
      <c r="L11813">
        <v>111.6</v>
      </c>
      <c r="M11813">
        <v>49501</v>
      </c>
      <c r="N11813" t="s">
        <v>110</v>
      </c>
      <c r="O11813">
        <v>250903</v>
      </c>
      <c r="P11813">
        <v>437.65</v>
      </c>
    </row>
    <row r="11814" spans="1:16" x14ac:dyDescent="0.25">
      <c r="A11814" t="s">
        <v>3296</v>
      </c>
      <c r="B11814" t="s">
        <v>2931</v>
      </c>
      <c r="C11814">
        <v>12751</v>
      </c>
      <c r="D11814" t="str">
        <f>"13293       "</f>
        <v xml:space="preserve">13293       </v>
      </c>
      <c r="E11814" t="s">
        <v>688</v>
      </c>
      <c r="F11814" t="s">
        <v>689</v>
      </c>
      <c r="G11814">
        <v>736.6</v>
      </c>
      <c r="H11814">
        <v>250923</v>
      </c>
      <c r="I11814">
        <v>4590</v>
      </c>
      <c r="J11814" t="s">
        <v>388</v>
      </c>
      <c r="K11814">
        <v>736.6</v>
      </c>
      <c r="L11814">
        <v>0</v>
      </c>
      <c r="M11814">
        <v>49501</v>
      </c>
      <c r="N11814" t="s">
        <v>110</v>
      </c>
      <c r="O11814">
        <v>250930</v>
      </c>
      <c r="P11814">
        <v>736.6</v>
      </c>
    </row>
    <row r="11815" spans="1:16" x14ac:dyDescent="0.25">
      <c r="A11815" t="s">
        <v>3296</v>
      </c>
      <c r="B11815" t="s">
        <v>2931</v>
      </c>
      <c r="C11815">
        <v>13222</v>
      </c>
      <c r="D11815" t="str">
        <f>"13335       "</f>
        <v xml:space="preserve">13335       </v>
      </c>
      <c r="E11815" t="s">
        <v>688</v>
      </c>
      <c r="F11815" t="s">
        <v>689</v>
      </c>
      <c r="G11815">
        <v>69.84</v>
      </c>
      <c r="H11815">
        <v>250930</v>
      </c>
      <c r="I11815">
        <v>4590</v>
      </c>
      <c r="J11815" t="s">
        <v>388</v>
      </c>
      <c r="K11815">
        <v>69.84</v>
      </c>
      <c r="L11815">
        <v>14.19</v>
      </c>
      <c r="M11815">
        <v>49501</v>
      </c>
      <c r="N11815" t="s">
        <v>110</v>
      </c>
      <c r="O11815">
        <v>251006</v>
      </c>
      <c r="P11815">
        <v>55.65</v>
      </c>
    </row>
    <row r="11816" spans="1:16" x14ac:dyDescent="0.25">
      <c r="A11816" t="s">
        <v>3296</v>
      </c>
      <c r="B11816" t="s">
        <v>2931</v>
      </c>
      <c r="C11816">
        <v>16382</v>
      </c>
      <c r="D11816" t="str">
        <f>"13688       "</f>
        <v xml:space="preserve">13688       </v>
      </c>
      <c r="E11816" t="s">
        <v>688</v>
      </c>
      <c r="F11816" t="s">
        <v>689</v>
      </c>
      <c r="G11816">
        <v>412.69</v>
      </c>
      <c r="H11816">
        <v>251128</v>
      </c>
      <c r="I11816">
        <v>4590</v>
      </c>
      <c r="J11816" t="s">
        <v>388</v>
      </c>
      <c r="K11816">
        <v>412.69</v>
      </c>
      <c r="L11816">
        <v>83.85</v>
      </c>
      <c r="M11816">
        <v>49501</v>
      </c>
      <c r="N11816" t="s">
        <v>110</v>
      </c>
      <c r="O11816">
        <v>251208</v>
      </c>
      <c r="P11816">
        <v>328.84</v>
      </c>
    </row>
    <row r="11817" spans="1:16" x14ac:dyDescent="0.25">
      <c r="A11817" t="s">
        <v>3296</v>
      </c>
      <c r="B11817" t="s">
        <v>2931</v>
      </c>
      <c r="C11817">
        <v>17188</v>
      </c>
      <c r="D11817" t="str">
        <f>"13782       "</f>
        <v xml:space="preserve">13782       </v>
      </c>
      <c r="E11817" t="s">
        <v>688</v>
      </c>
      <c r="F11817" t="s">
        <v>689</v>
      </c>
      <c r="G11817">
        <v>249.92</v>
      </c>
      <c r="H11817">
        <v>251215</v>
      </c>
      <c r="I11817">
        <v>4590</v>
      </c>
      <c r="J11817" t="s">
        <v>388</v>
      </c>
      <c r="K11817">
        <v>249.92</v>
      </c>
      <c r="L11817">
        <v>50.78</v>
      </c>
      <c r="M11817">
        <v>49501</v>
      </c>
      <c r="N11817" t="s">
        <v>110</v>
      </c>
      <c r="O11817">
        <v>251218</v>
      </c>
      <c r="P11817">
        <v>199.14</v>
      </c>
    </row>
    <row r="11818" spans="1:16" x14ac:dyDescent="0.25">
      <c r="A11818" t="s">
        <v>3296</v>
      </c>
      <c r="B11818" t="s">
        <v>2931</v>
      </c>
      <c r="C11818">
        <v>18021</v>
      </c>
      <c r="D11818" t="str">
        <f>"13859       "</f>
        <v xml:space="preserve">13859       </v>
      </c>
      <c r="E11818" t="s">
        <v>688</v>
      </c>
      <c r="F11818" t="s">
        <v>689</v>
      </c>
      <c r="G11818">
        <v>201.36</v>
      </c>
      <c r="H11818">
        <v>251231</v>
      </c>
      <c r="I11818">
        <v>4590</v>
      </c>
      <c r="J11818" t="s">
        <v>388</v>
      </c>
      <c r="K11818">
        <v>201.36</v>
      </c>
      <c r="L11818">
        <v>40.909999999999997</v>
      </c>
      <c r="M11818">
        <v>49501</v>
      </c>
      <c r="N11818" t="s">
        <v>110</v>
      </c>
      <c r="O11818">
        <v>260108</v>
      </c>
      <c r="P11818">
        <v>160.44999999999999</v>
      </c>
    </row>
    <row r="11819" spans="1:16" x14ac:dyDescent="0.25">
      <c r="A11819" t="s">
        <v>3296</v>
      </c>
      <c r="B11819" t="s">
        <v>2931</v>
      </c>
      <c r="C11819">
        <v>720</v>
      </c>
      <c r="D11819" t="str">
        <f>"12115       "</f>
        <v xml:space="preserve">12115       </v>
      </c>
      <c r="E11819" t="s">
        <v>688</v>
      </c>
      <c r="F11819" t="s">
        <v>689</v>
      </c>
      <c r="G11819">
        <v>464.59</v>
      </c>
      <c r="H11819">
        <v>250124</v>
      </c>
      <c r="I11819">
        <v>4600</v>
      </c>
      <c r="J11819" t="s">
        <v>278</v>
      </c>
      <c r="K11819">
        <v>464.59</v>
      </c>
      <c r="L11819">
        <v>94.4</v>
      </c>
      <c r="M11819">
        <v>46555</v>
      </c>
      <c r="N11819" t="s">
        <v>103</v>
      </c>
      <c r="O11819">
        <v>250128</v>
      </c>
      <c r="P11819">
        <v>370.19</v>
      </c>
    </row>
    <row r="11820" spans="1:16" x14ac:dyDescent="0.25">
      <c r="A11820" t="s">
        <v>3296</v>
      </c>
      <c r="B11820" t="s">
        <v>2931</v>
      </c>
      <c r="C11820">
        <v>1405</v>
      </c>
      <c r="D11820" t="str">
        <f>"12147       "</f>
        <v xml:space="preserve">12147       </v>
      </c>
      <c r="E11820" t="s">
        <v>688</v>
      </c>
      <c r="F11820" t="s">
        <v>689</v>
      </c>
      <c r="G11820">
        <v>24.2</v>
      </c>
      <c r="H11820">
        <v>250131</v>
      </c>
      <c r="I11820">
        <v>4600</v>
      </c>
      <c r="J11820" t="s">
        <v>278</v>
      </c>
      <c r="K11820">
        <v>24.2</v>
      </c>
      <c r="L11820">
        <v>4.92</v>
      </c>
      <c r="M11820">
        <v>49501</v>
      </c>
      <c r="N11820" t="s">
        <v>110</v>
      </c>
      <c r="O11820">
        <v>250210</v>
      </c>
      <c r="P11820">
        <v>19.28</v>
      </c>
    </row>
    <row r="11821" spans="1:16" x14ac:dyDescent="0.25">
      <c r="A11821" t="s">
        <v>3296</v>
      </c>
      <c r="B11821" t="s">
        <v>2931</v>
      </c>
      <c r="C11821">
        <v>9915</v>
      </c>
      <c r="D11821" t="str">
        <f>"13061       "</f>
        <v xml:space="preserve">13061       </v>
      </c>
      <c r="E11821" t="s">
        <v>688</v>
      </c>
      <c r="F11821" t="s">
        <v>689</v>
      </c>
      <c r="G11821">
        <v>54.5</v>
      </c>
      <c r="H11821">
        <v>250731</v>
      </c>
      <c r="I11821">
        <v>4600</v>
      </c>
      <c r="J11821" t="s">
        <v>278</v>
      </c>
      <c r="K11821">
        <v>54.5</v>
      </c>
      <c r="L11821">
        <v>11.07</v>
      </c>
      <c r="M11821">
        <v>49501</v>
      </c>
      <c r="N11821" t="s">
        <v>110</v>
      </c>
      <c r="O11821">
        <v>250804</v>
      </c>
      <c r="P11821">
        <v>43.43</v>
      </c>
    </row>
    <row r="11822" spans="1:16" x14ac:dyDescent="0.25">
      <c r="A11822" t="s">
        <v>3296</v>
      </c>
      <c r="B11822" t="s">
        <v>2931</v>
      </c>
      <c r="C11822">
        <v>5334</v>
      </c>
      <c r="D11822" t="str">
        <f>"27705       "</f>
        <v xml:space="preserve">27705       </v>
      </c>
      <c r="E11822" t="s">
        <v>387</v>
      </c>
      <c r="F11822" t="s">
        <v>389</v>
      </c>
      <c r="G11822">
        <v>108.88</v>
      </c>
      <c r="H11822">
        <v>250417</v>
      </c>
      <c r="I11822">
        <v>4390</v>
      </c>
      <c r="J11822" t="s">
        <v>232</v>
      </c>
      <c r="K11822">
        <v>108.88</v>
      </c>
      <c r="L11822">
        <v>0</v>
      </c>
      <c r="M11822">
        <v>69501</v>
      </c>
      <c r="N11822" t="s">
        <v>123</v>
      </c>
      <c r="O11822">
        <v>250423</v>
      </c>
      <c r="P11822">
        <v>108.88</v>
      </c>
    </row>
    <row r="11823" spans="1:16" x14ac:dyDescent="0.25">
      <c r="A11823" t="s">
        <v>3296</v>
      </c>
      <c r="B11823" t="s">
        <v>2931</v>
      </c>
      <c r="C11823">
        <v>7998</v>
      </c>
      <c r="D11823" t="str">
        <f>"28008       "</f>
        <v xml:space="preserve">28008       </v>
      </c>
      <c r="E11823" t="s">
        <v>387</v>
      </c>
      <c r="F11823" t="s">
        <v>389</v>
      </c>
      <c r="G11823">
        <v>1939.6</v>
      </c>
      <c r="H11823">
        <v>250531</v>
      </c>
      <c r="I11823">
        <v>4390</v>
      </c>
      <c r="J11823" t="s">
        <v>232</v>
      </c>
      <c r="K11823">
        <v>1939.6</v>
      </c>
      <c r="L11823">
        <v>0</v>
      </c>
      <c r="M11823">
        <v>69501</v>
      </c>
      <c r="N11823" t="s">
        <v>123</v>
      </c>
      <c r="O11823">
        <v>250610</v>
      </c>
      <c r="P11823">
        <v>1939.6</v>
      </c>
    </row>
    <row r="11824" spans="1:16" x14ac:dyDescent="0.25">
      <c r="A11824" t="s">
        <v>3296</v>
      </c>
      <c r="B11824" t="s">
        <v>2931</v>
      </c>
      <c r="C11824">
        <v>10008</v>
      </c>
      <c r="D11824" t="str">
        <f>"28362       "</f>
        <v xml:space="preserve">28362       </v>
      </c>
      <c r="E11824" t="s">
        <v>387</v>
      </c>
      <c r="F11824" t="s">
        <v>389</v>
      </c>
      <c r="G11824">
        <v>92.24</v>
      </c>
      <c r="H11824">
        <v>250730</v>
      </c>
      <c r="I11824">
        <v>4390</v>
      </c>
      <c r="J11824" t="s">
        <v>232</v>
      </c>
      <c r="K11824">
        <v>92.24</v>
      </c>
      <c r="L11824">
        <v>18.739999999999998</v>
      </c>
      <c r="M11824">
        <v>69501</v>
      </c>
      <c r="N11824" t="s">
        <v>123</v>
      </c>
      <c r="O11824">
        <v>250806</v>
      </c>
      <c r="P11824">
        <v>73.5</v>
      </c>
    </row>
    <row r="11825" spans="1:16" x14ac:dyDescent="0.25">
      <c r="A11825" t="s">
        <v>3296</v>
      </c>
      <c r="B11825" t="s">
        <v>2931</v>
      </c>
      <c r="C11825">
        <v>10088</v>
      </c>
      <c r="D11825" t="str">
        <f>"28408       "</f>
        <v xml:space="preserve">28408       </v>
      </c>
      <c r="E11825" t="s">
        <v>387</v>
      </c>
      <c r="F11825" t="s">
        <v>389</v>
      </c>
      <c r="G11825">
        <v>112.95</v>
      </c>
      <c r="H11825">
        <v>250807</v>
      </c>
      <c r="I11825">
        <v>4390</v>
      </c>
      <c r="J11825" t="s">
        <v>232</v>
      </c>
      <c r="K11825">
        <v>112.95</v>
      </c>
      <c r="L11825">
        <v>22.95</v>
      </c>
      <c r="M11825">
        <v>69501</v>
      </c>
      <c r="N11825" t="s">
        <v>123</v>
      </c>
      <c r="O11825">
        <v>250811</v>
      </c>
      <c r="P11825">
        <v>90</v>
      </c>
    </row>
    <row r="11826" spans="1:16" x14ac:dyDescent="0.25">
      <c r="A11826" t="s">
        <v>3296</v>
      </c>
      <c r="B11826" t="s">
        <v>2931</v>
      </c>
      <c r="C11826">
        <v>11502</v>
      </c>
      <c r="D11826" t="str">
        <f>"28637       "</f>
        <v xml:space="preserve">28637       </v>
      </c>
      <c r="E11826" t="s">
        <v>387</v>
      </c>
      <c r="F11826" t="s">
        <v>389</v>
      </c>
      <c r="G11826">
        <v>80.34</v>
      </c>
      <c r="H11826">
        <v>250831</v>
      </c>
      <c r="I11826">
        <v>4390</v>
      </c>
      <c r="J11826" t="s">
        <v>232</v>
      </c>
      <c r="K11826">
        <v>80.34</v>
      </c>
      <c r="L11826">
        <v>16.32</v>
      </c>
      <c r="M11826">
        <v>69501</v>
      </c>
      <c r="N11826" t="s">
        <v>123</v>
      </c>
      <c r="O11826">
        <v>250908</v>
      </c>
      <c r="P11826">
        <v>64.02</v>
      </c>
    </row>
    <row r="11827" spans="1:16" x14ac:dyDescent="0.25">
      <c r="A11827" t="s">
        <v>3296</v>
      </c>
      <c r="B11827" t="s">
        <v>2931</v>
      </c>
      <c r="C11827">
        <v>12164</v>
      </c>
      <c r="D11827" t="str">
        <f>"28744       "</f>
        <v xml:space="preserve">28744       </v>
      </c>
      <c r="E11827" t="s">
        <v>387</v>
      </c>
      <c r="F11827" t="s">
        <v>389</v>
      </c>
      <c r="G11827">
        <v>92.24</v>
      </c>
      <c r="H11827">
        <v>250831</v>
      </c>
      <c r="I11827">
        <v>4390</v>
      </c>
      <c r="J11827" t="s">
        <v>232</v>
      </c>
      <c r="K11827">
        <v>92.24</v>
      </c>
      <c r="L11827">
        <v>18.739999999999998</v>
      </c>
      <c r="M11827">
        <v>69501</v>
      </c>
      <c r="N11827" t="s">
        <v>123</v>
      </c>
      <c r="O11827">
        <v>250917</v>
      </c>
      <c r="P11827">
        <v>73.5</v>
      </c>
    </row>
    <row r="11828" spans="1:16" x14ac:dyDescent="0.25">
      <c r="A11828" t="s">
        <v>3296</v>
      </c>
      <c r="B11828" t="s">
        <v>2931</v>
      </c>
      <c r="C11828">
        <v>14577</v>
      </c>
      <c r="D11828" t="str">
        <f>"29142       "</f>
        <v xml:space="preserve">29142       </v>
      </c>
      <c r="E11828" t="s">
        <v>387</v>
      </c>
      <c r="F11828" t="s">
        <v>389</v>
      </c>
      <c r="G11828">
        <v>666.55</v>
      </c>
      <c r="H11828">
        <v>251029</v>
      </c>
      <c r="I11828">
        <v>4390</v>
      </c>
      <c r="J11828" t="s">
        <v>232</v>
      </c>
      <c r="K11828">
        <v>666.55</v>
      </c>
      <c r="L11828">
        <v>0</v>
      </c>
      <c r="M11828">
        <v>69501</v>
      </c>
      <c r="N11828" t="s">
        <v>123</v>
      </c>
      <c r="O11828">
        <v>251105</v>
      </c>
      <c r="P11828">
        <v>666.55</v>
      </c>
    </row>
    <row r="11829" spans="1:16" x14ac:dyDescent="0.25">
      <c r="A11829" t="s">
        <v>3296</v>
      </c>
      <c r="B11829" t="s">
        <v>2931</v>
      </c>
      <c r="C11829">
        <v>16651</v>
      </c>
      <c r="D11829" t="str">
        <f>"29454       "</f>
        <v xml:space="preserve">29454       </v>
      </c>
      <c r="E11829" t="s">
        <v>387</v>
      </c>
      <c r="F11829" t="s">
        <v>389</v>
      </c>
      <c r="G11829">
        <v>447.44</v>
      </c>
      <c r="H11829">
        <v>251208</v>
      </c>
      <c r="I11829">
        <v>4390</v>
      </c>
      <c r="J11829" t="s">
        <v>232</v>
      </c>
      <c r="K11829">
        <v>447.44</v>
      </c>
      <c r="L11829">
        <v>0</v>
      </c>
      <c r="M11829">
        <v>69501</v>
      </c>
      <c r="N11829" t="s">
        <v>123</v>
      </c>
      <c r="O11829">
        <v>251211</v>
      </c>
      <c r="P11829">
        <v>447.44</v>
      </c>
    </row>
    <row r="11830" spans="1:16" x14ac:dyDescent="0.25">
      <c r="A11830" t="s">
        <v>3296</v>
      </c>
      <c r="B11830" t="s">
        <v>2931</v>
      </c>
      <c r="C11830">
        <v>10900</v>
      </c>
      <c r="D11830" t="str">
        <f>"28558       "</f>
        <v xml:space="preserve">28558       </v>
      </c>
      <c r="E11830" t="s">
        <v>387</v>
      </c>
      <c r="F11830" t="s">
        <v>389</v>
      </c>
      <c r="G11830">
        <v>70.069999999999993</v>
      </c>
      <c r="H11830">
        <v>250822</v>
      </c>
      <c r="I11830">
        <v>4550</v>
      </c>
      <c r="J11830" t="s">
        <v>226</v>
      </c>
      <c r="K11830">
        <v>70.069999999999993</v>
      </c>
      <c r="L11830">
        <v>14.24</v>
      </c>
      <c r="M11830">
        <v>69501</v>
      </c>
      <c r="N11830" t="s">
        <v>123</v>
      </c>
      <c r="O11830">
        <v>250827</v>
      </c>
      <c r="P11830">
        <v>55.83</v>
      </c>
    </row>
    <row r="11831" spans="1:16" x14ac:dyDescent="0.25">
      <c r="A11831" t="s">
        <v>3296</v>
      </c>
      <c r="B11831" t="s">
        <v>2931</v>
      </c>
      <c r="C11831">
        <v>17195</v>
      </c>
      <c r="D11831" t="str">
        <f>"29494       "</f>
        <v xml:space="preserve">29494       </v>
      </c>
      <c r="E11831" t="s">
        <v>387</v>
      </c>
      <c r="F11831" t="s">
        <v>389</v>
      </c>
      <c r="G11831">
        <v>80.08</v>
      </c>
      <c r="H11831">
        <v>251212</v>
      </c>
      <c r="I11831">
        <v>4550</v>
      </c>
      <c r="J11831" t="s">
        <v>226</v>
      </c>
      <c r="K11831">
        <v>80.08</v>
      </c>
      <c r="L11831">
        <v>16.27</v>
      </c>
      <c r="M11831">
        <v>69501</v>
      </c>
      <c r="N11831" t="s">
        <v>123</v>
      </c>
      <c r="O11831">
        <v>251218</v>
      </c>
      <c r="P11831">
        <v>63.81</v>
      </c>
    </row>
    <row r="11832" spans="1:16" x14ac:dyDescent="0.25">
      <c r="A11832" t="s">
        <v>3296</v>
      </c>
      <c r="B11832" t="s">
        <v>2931</v>
      </c>
      <c r="C11832">
        <v>260</v>
      </c>
      <c r="D11832" t="str">
        <f>"27091       "</f>
        <v xml:space="preserve">27091       </v>
      </c>
      <c r="E11832" t="s">
        <v>387</v>
      </c>
      <c r="F11832" t="s">
        <v>389</v>
      </c>
      <c r="G11832">
        <v>127.33</v>
      </c>
      <c r="H11832">
        <v>250117</v>
      </c>
      <c r="I11832">
        <v>4590</v>
      </c>
      <c r="J11832" t="s">
        <v>388</v>
      </c>
      <c r="K11832">
        <v>127.33</v>
      </c>
      <c r="L11832">
        <v>25.87</v>
      </c>
      <c r="M11832">
        <v>69501</v>
      </c>
      <c r="N11832" t="s">
        <v>123</v>
      </c>
      <c r="O11832">
        <v>250120</v>
      </c>
      <c r="P11832">
        <v>101.46</v>
      </c>
    </row>
    <row r="11833" spans="1:16" x14ac:dyDescent="0.25">
      <c r="A11833" t="s">
        <v>3296</v>
      </c>
      <c r="B11833" t="s">
        <v>2931</v>
      </c>
      <c r="C11833">
        <v>2045</v>
      </c>
      <c r="D11833" t="str">
        <f>"27310       "</f>
        <v xml:space="preserve">27310       </v>
      </c>
      <c r="E11833" t="s">
        <v>387</v>
      </c>
      <c r="F11833" t="s">
        <v>389</v>
      </c>
      <c r="G11833">
        <v>50.5</v>
      </c>
      <c r="H11833">
        <v>250214</v>
      </c>
      <c r="I11833">
        <v>4590</v>
      </c>
      <c r="J11833" t="s">
        <v>388</v>
      </c>
      <c r="K11833">
        <v>101</v>
      </c>
      <c r="L11833">
        <v>10.26</v>
      </c>
      <c r="M11833">
        <v>66754</v>
      </c>
      <c r="N11833" t="s">
        <v>119</v>
      </c>
      <c r="O11833">
        <v>250220</v>
      </c>
      <c r="P11833">
        <v>40.24</v>
      </c>
    </row>
    <row r="11834" spans="1:16" x14ac:dyDescent="0.25">
      <c r="A11834" t="s">
        <v>3296</v>
      </c>
      <c r="B11834" t="s">
        <v>2931</v>
      </c>
      <c r="C11834">
        <v>2045</v>
      </c>
      <c r="D11834" t="str">
        <f>"27310       "</f>
        <v xml:space="preserve">27310       </v>
      </c>
      <c r="E11834" t="s">
        <v>387</v>
      </c>
      <c r="F11834" t="s">
        <v>389</v>
      </c>
      <c r="G11834">
        <v>50.5</v>
      </c>
      <c r="H11834">
        <v>250214</v>
      </c>
      <c r="I11834">
        <v>4590</v>
      </c>
      <c r="J11834" t="s">
        <v>388</v>
      </c>
      <c r="K11834">
        <v>101</v>
      </c>
      <c r="L11834">
        <v>10.26</v>
      </c>
      <c r="M11834">
        <v>66754</v>
      </c>
      <c r="N11834" t="s">
        <v>119</v>
      </c>
      <c r="O11834">
        <v>250220</v>
      </c>
      <c r="P11834">
        <v>40.24</v>
      </c>
    </row>
    <row r="11835" spans="1:16" x14ac:dyDescent="0.25">
      <c r="A11835" t="s">
        <v>3296</v>
      </c>
      <c r="B11835" t="s">
        <v>2931</v>
      </c>
      <c r="C11835">
        <v>2137</v>
      </c>
      <c r="D11835" t="str">
        <f>"27326       "</f>
        <v xml:space="preserve">27326       </v>
      </c>
      <c r="E11835" t="s">
        <v>387</v>
      </c>
      <c r="F11835" t="s">
        <v>389</v>
      </c>
      <c r="G11835">
        <v>59.5</v>
      </c>
      <c r="H11835">
        <v>250218</v>
      </c>
      <c r="I11835">
        <v>4590</v>
      </c>
      <c r="J11835" t="s">
        <v>388</v>
      </c>
      <c r="K11835">
        <v>59.5</v>
      </c>
      <c r="L11835">
        <v>12.09</v>
      </c>
      <c r="M11835">
        <v>69111</v>
      </c>
      <c r="N11835" t="s">
        <v>657</v>
      </c>
      <c r="O11835">
        <v>250220</v>
      </c>
      <c r="P11835">
        <v>47.41</v>
      </c>
    </row>
    <row r="11836" spans="1:16" x14ac:dyDescent="0.25">
      <c r="A11836" t="s">
        <v>3296</v>
      </c>
      <c r="B11836" t="s">
        <v>2931</v>
      </c>
      <c r="C11836">
        <v>2201</v>
      </c>
      <c r="D11836" t="str">
        <f>"27343       "</f>
        <v xml:space="preserve">27343       </v>
      </c>
      <c r="E11836" t="s">
        <v>387</v>
      </c>
      <c r="F11836" t="s">
        <v>389</v>
      </c>
      <c r="G11836">
        <v>126.08</v>
      </c>
      <c r="H11836">
        <v>250219</v>
      </c>
      <c r="I11836">
        <v>4590</v>
      </c>
      <c r="J11836" t="s">
        <v>388</v>
      </c>
      <c r="K11836">
        <v>126.08</v>
      </c>
      <c r="L11836">
        <v>25.62</v>
      </c>
      <c r="M11836">
        <v>69501</v>
      </c>
      <c r="N11836" t="s">
        <v>123</v>
      </c>
      <c r="O11836">
        <v>250221</v>
      </c>
      <c r="P11836">
        <v>100.46</v>
      </c>
    </row>
    <row r="11837" spans="1:16" x14ac:dyDescent="0.25">
      <c r="A11837" t="s">
        <v>3296</v>
      </c>
      <c r="B11837" t="s">
        <v>2931</v>
      </c>
      <c r="C11837">
        <v>2913</v>
      </c>
      <c r="D11837" t="str">
        <f>"27437       "</f>
        <v xml:space="preserve">27437       </v>
      </c>
      <c r="E11837" t="s">
        <v>387</v>
      </c>
      <c r="F11837" t="s">
        <v>389</v>
      </c>
      <c r="G11837">
        <v>19.36</v>
      </c>
      <c r="H11837">
        <v>250228</v>
      </c>
      <c r="I11837">
        <v>4590</v>
      </c>
      <c r="J11837" t="s">
        <v>388</v>
      </c>
      <c r="K11837">
        <v>65.88</v>
      </c>
      <c r="L11837">
        <v>3.93</v>
      </c>
      <c r="M11837">
        <v>69111</v>
      </c>
      <c r="N11837" t="s">
        <v>657</v>
      </c>
      <c r="O11837">
        <v>250313</v>
      </c>
      <c r="P11837">
        <v>15.43</v>
      </c>
    </row>
    <row r="11838" spans="1:16" x14ac:dyDescent="0.25">
      <c r="A11838" t="s">
        <v>3296</v>
      </c>
      <c r="B11838" t="s">
        <v>2931</v>
      </c>
      <c r="C11838">
        <v>2913</v>
      </c>
      <c r="D11838" t="str">
        <f>"27437       "</f>
        <v xml:space="preserve">27437       </v>
      </c>
      <c r="E11838" t="s">
        <v>387</v>
      </c>
      <c r="F11838" t="s">
        <v>389</v>
      </c>
      <c r="G11838">
        <v>46.52</v>
      </c>
      <c r="H11838">
        <v>250228</v>
      </c>
      <c r="I11838">
        <v>4590</v>
      </c>
      <c r="J11838" t="s">
        <v>388</v>
      </c>
      <c r="K11838">
        <v>65.88</v>
      </c>
      <c r="L11838">
        <v>0</v>
      </c>
      <c r="M11838">
        <v>69803</v>
      </c>
      <c r="N11838" t="s">
        <v>391</v>
      </c>
      <c r="O11838">
        <v>250313</v>
      </c>
      <c r="P11838">
        <v>46.52</v>
      </c>
    </row>
    <row r="11839" spans="1:16" x14ac:dyDescent="0.25">
      <c r="A11839" t="s">
        <v>3296</v>
      </c>
      <c r="B11839" t="s">
        <v>2931</v>
      </c>
      <c r="C11839">
        <v>3567</v>
      </c>
      <c r="D11839" t="str">
        <f>"27456       "</f>
        <v xml:space="preserve">27456       </v>
      </c>
      <c r="E11839" t="s">
        <v>387</v>
      </c>
      <c r="F11839" t="s">
        <v>389</v>
      </c>
      <c r="G11839">
        <v>93.99</v>
      </c>
      <c r="H11839">
        <v>250317</v>
      </c>
      <c r="I11839">
        <v>4590</v>
      </c>
      <c r="J11839" t="s">
        <v>388</v>
      </c>
      <c r="K11839">
        <v>93.99</v>
      </c>
      <c r="L11839">
        <v>19.100000000000001</v>
      </c>
      <c r="M11839">
        <v>69501</v>
      </c>
      <c r="N11839" t="s">
        <v>123</v>
      </c>
      <c r="O11839">
        <v>250325</v>
      </c>
      <c r="P11839">
        <v>74.89</v>
      </c>
    </row>
    <row r="11840" spans="1:16" x14ac:dyDescent="0.25">
      <c r="A11840" t="s">
        <v>3296</v>
      </c>
      <c r="B11840" t="s">
        <v>2931</v>
      </c>
      <c r="C11840">
        <v>3662</v>
      </c>
      <c r="D11840" t="str">
        <f>"27517       "</f>
        <v xml:space="preserve">27517       </v>
      </c>
      <c r="E11840" t="s">
        <v>387</v>
      </c>
      <c r="F11840" t="s">
        <v>389</v>
      </c>
      <c r="G11840">
        <v>35.229999999999997</v>
      </c>
      <c r="H11840">
        <v>250321</v>
      </c>
      <c r="I11840">
        <v>4590</v>
      </c>
      <c r="J11840" t="s">
        <v>388</v>
      </c>
      <c r="K11840">
        <v>35.229999999999997</v>
      </c>
      <c r="L11840">
        <v>7.16</v>
      </c>
      <c r="M11840">
        <v>69501</v>
      </c>
      <c r="N11840" t="s">
        <v>123</v>
      </c>
      <c r="O11840">
        <v>250328</v>
      </c>
      <c r="P11840">
        <v>28.07</v>
      </c>
    </row>
    <row r="11841" spans="1:16" x14ac:dyDescent="0.25">
      <c r="A11841" t="s">
        <v>3296</v>
      </c>
      <c r="B11841" t="s">
        <v>2931</v>
      </c>
      <c r="C11841">
        <v>4210</v>
      </c>
      <c r="D11841" t="str">
        <f>"27551       "</f>
        <v xml:space="preserve">27551       </v>
      </c>
      <c r="E11841" t="s">
        <v>387</v>
      </c>
      <c r="F11841" t="s">
        <v>389</v>
      </c>
      <c r="G11841">
        <v>47.63</v>
      </c>
      <c r="H11841">
        <v>250331</v>
      </c>
      <c r="I11841">
        <v>4590</v>
      </c>
      <c r="J11841" t="s">
        <v>388</v>
      </c>
      <c r="K11841">
        <v>47.63</v>
      </c>
      <c r="L11841">
        <v>9.68</v>
      </c>
      <c r="M11841">
        <v>69501</v>
      </c>
      <c r="N11841" t="s">
        <v>123</v>
      </c>
      <c r="O11841">
        <v>250409</v>
      </c>
      <c r="P11841">
        <v>37.950000000000003</v>
      </c>
    </row>
    <row r="11842" spans="1:16" x14ac:dyDescent="0.25">
      <c r="A11842" t="s">
        <v>3296</v>
      </c>
      <c r="B11842" t="s">
        <v>2931</v>
      </c>
      <c r="C11842">
        <v>4835</v>
      </c>
      <c r="D11842" t="str">
        <f>"27661       "</f>
        <v xml:space="preserve">27661       </v>
      </c>
      <c r="E11842" t="s">
        <v>387</v>
      </c>
      <c r="F11842" t="s">
        <v>389</v>
      </c>
      <c r="G11842">
        <v>254.94</v>
      </c>
      <c r="H11842">
        <v>250411</v>
      </c>
      <c r="I11842">
        <v>4590</v>
      </c>
      <c r="J11842" t="s">
        <v>388</v>
      </c>
      <c r="K11842">
        <v>254.94</v>
      </c>
      <c r="L11842">
        <v>51.8</v>
      </c>
      <c r="M11842">
        <v>69501</v>
      </c>
      <c r="N11842" t="s">
        <v>123</v>
      </c>
      <c r="O11842">
        <v>250415</v>
      </c>
      <c r="P11842">
        <v>203.14</v>
      </c>
    </row>
    <row r="11843" spans="1:16" x14ac:dyDescent="0.25">
      <c r="A11843" t="s">
        <v>3296</v>
      </c>
      <c r="B11843" t="s">
        <v>2931</v>
      </c>
      <c r="C11843">
        <v>5895</v>
      </c>
      <c r="D11843" t="str">
        <f>"27746       "</f>
        <v xml:space="preserve">27746       </v>
      </c>
      <c r="E11843" t="s">
        <v>387</v>
      </c>
      <c r="F11843" t="s">
        <v>389</v>
      </c>
      <c r="G11843">
        <v>205.87</v>
      </c>
      <c r="H11843">
        <v>250430</v>
      </c>
      <c r="I11843">
        <v>4590</v>
      </c>
      <c r="J11843" t="s">
        <v>388</v>
      </c>
      <c r="K11843">
        <v>205.87</v>
      </c>
      <c r="L11843">
        <v>41.83</v>
      </c>
      <c r="M11843">
        <v>69501</v>
      </c>
      <c r="N11843" t="s">
        <v>123</v>
      </c>
      <c r="O11843">
        <v>250507</v>
      </c>
      <c r="P11843">
        <v>164.04</v>
      </c>
    </row>
    <row r="11844" spans="1:16" x14ac:dyDescent="0.25">
      <c r="A11844" t="s">
        <v>3296</v>
      </c>
      <c r="B11844" t="s">
        <v>2931</v>
      </c>
      <c r="C11844">
        <v>7182</v>
      </c>
      <c r="D11844" t="str">
        <f>"27938       "</f>
        <v xml:space="preserve">27938       </v>
      </c>
      <c r="E11844" t="s">
        <v>387</v>
      </c>
      <c r="F11844" t="s">
        <v>389</v>
      </c>
      <c r="G11844">
        <v>589.19000000000005</v>
      </c>
      <c r="H11844">
        <v>250523</v>
      </c>
      <c r="I11844">
        <v>4590</v>
      </c>
      <c r="J11844" t="s">
        <v>388</v>
      </c>
      <c r="K11844">
        <v>589.19000000000005</v>
      </c>
      <c r="L11844">
        <v>119.72</v>
      </c>
      <c r="M11844">
        <v>69501</v>
      </c>
      <c r="N11844" t="s">
        <v>123</v>
      </c>
      <c r="O11844">
        <v>250526</v>
      </c>
      <c r="P11844">
        <v>469.47</v>
      </c>
    </row>
    <row r="11845" spans="1:16" x14ac:dyDescent="0.25">
      <c r="A11845" t="s">
        <v>3296</v>
      </c>
      <c r="B11845" t="s">
        <v>2931</v>
      </c>
      <c r="C11845">
        <v>10089</v>
      </c>
      <c r="D11845" t="str">
        <f>"28451       "</f>
        <v xml:space="preserve">28451       </v>
      </c>
      <c r="E11845" t="s">
        <v>387</v>
      </c>
      <c r="F11845" t="s">
        <v>389</v>
      </c>
      <c r="G11845">
        <v>45.8</v>
      </c>
      <c r="H11845">
        <v>250731</v>
      </c>
      <c r="I11845">
        <v>4590</v>
      </c>
      <c r="J11845" t="s">
        <v>388</v>
      </c>
      <c r="K11845">
        <v>52.67</v>
      </c>
      <c r="L11845">
        <v>9.31</v>
      </c>
      <c r="M11845">
        <v>69111</v>
      </c>
      <c r="N11845" t="s">
        <v>657</v>
      </c>
      <c r="O11845">
        <v>250811</v>
      </c>
      <c r="P11845">
        <v>36.49</v>
      </c>
    </row>
    <row r="11846" spans="1:16" x14ac:dyDescent="0.25">
      <c r="A11846" t="s">
        <v>3296</v>
      </c>
      <c r="B11846" t="s">
        <v>2931</v>
      </c>
      <c r="C11846">
        <v>10089</v>
      </c>
      <c r="D11846" t="str">
        <f>"28451       "</f>
        <v xml:space="preserve">28451       </v>
      </c>
      <c r="E11846" t="s">
        <v>387</v>
      </c>
      <c r="F11846" t="s">
        <v>389</v>
      </c>
      <c r="G11846">
        <v>6.87</v>
      </c>
      <c r="H11846">
        <v>250731</v>
      </c>
      <c r="I11846">
        <v>4590</v>
      </c>
      <c r="J11846" t="s">
        <v>388</v>
      </c>
      <c r="K11846">
        <v>52.67</v>
      </c>
      <c r="L11846">
        <v>1.4</v>
      </c>
      <c r="M11846">
        <v>69501</v>
      </c>
      <c r="N11846" t="s">
        <v>123</v>
      </c>
      <c r="O11846">
        <v>250811</v>
      </c>
      <c r="P11846">
        <v>5.47</v>
      </c>
    </row>
    <row r="11847" spans="1:16" x14ac:dyDescent="0.25">
      <c r="A11847" t="s">
        <v>3296</v>
      </c>
      <c r="B11847" t="s">
        <v>2931</v>
      </c>
      <c r="C11847">
        <v>11884</v>
      </c>
      <c r="D11847" t="str">
        <f>"28738       "</f>
        <v xml:space="preserve">28738       </v>
      </c>
      <c r="E11847" t="s">
        <v>387</v>
      </c>
      <c r="F11847" t="s">
        <v>389</v>
      </c>
      <c r="G11847">
        <v>109.28</v>
      </c>
      <c r="H11847">
        <v>250910</v>
      </c>
      <c r="I11847">
        <v>4590</v>
      </c>
      <c r="J11847" t="s">
        <v>388</v>
      </c>
      <c r="K11847">
        <v>191.03</v>
      </c>
      <c r="L11847">
        <v>22.2</v>
      </c>
      <c r="M11847">
        <v>66754</v>
      </c>
      <c r="N11847" t="s">
        <v>119</v>
      </c>
      <c r="O11847">
        <v>250911</v>
      </c>
      <c r="P11847">
        <v>87.08</v>
      </c>
    </row>
    <row r="11848" spans="1:16" x14ac:dyDescent="0.25">
      <c r="A11848" t="s">
        <v>3296</v>
      </c>
      <c r="B11848" t="s">
        <v>2931</v>
      </c>
      <c r="C11848">
        <v>11884</v>
      </c>
      <c r="D11848" t="str">
        <f>"28738       "</f>
        <v xml:space="preserve">28738       </v>
      </c>
      <c r="E11848" t="s">
        <v>387</v>
      </c>
      <c r="F11848" t="s">
        <v>389</v>
      </c>
      <c r="G11848">
        <v>24.38</v>
      </c>
      <c r="H11848">
        <v>250910</v>
      </c>
      <c r="I11848">
        <v>4590</v>
      </c>
      <c r="J11848" t="s">
        <v>388</v>
      </c>
      <c r="K11848">
        <v>191.03</v>
      </c>
      <c r="L11848">
        <v>4.95</v>
      </c>
      <c r="M11848">
        <v>69111</v>
      </c>
      <c r="N11848" t="s">
        <v>657</v>
      </c>
      <c r="O11848">
        <v>250911</v>
      </c>
      <c r="P11848">
        <v>19.43</v>
      </c>
    </row>
    <row r="11849" spans="1:16" x14ac:dyDescent="0.25">
      <c r="A11849" t="s">
        <v>3296</v>
      </c>
      <c r="B11849" t="s">
        <v>2931</v>
      </c>
      <c r="C11849">
        <v>11884</v>
      </c>
      <c r="D11849" t="str">
        <f>"28738       "</f>
        <v xml:space="preserve">28738       </v>
      </c>
      <c r="E11849" t="s">
        <v>387</v>
      </c>
      <c r="F11849" t="s">
        <v>389</v>
      </c>
      <c r="G11849">
        <v>57.37</v>
      </c>
      <c r="H11849">
        <v>250910</v>
      </c>
      <c r="I11849">
        <v>4590</v>
      </c>
      <c r="J11849" t="s">
        <v>388</v>
      </c>
      <c r="K11849">
        <v>191.03</v>
      </c>
      <c r="L11849">
        <v>11.66</v>
      </c>
      <c r="M11849">
        <v>69501</v>
      </c>
      <c r="N11849" t="s">
        <v>123</v>
      </c>
      <c r="O11849">
        <v>250911</v>
      </c>
      <c r="P11849">
        <v>45.71</v>
      </c>
    </row>
    <row r="11850" spans="1:16" x14ac:dyDescent="0.25">
      <c r="A11850" t="s">
        <v>3296</v>
      </c>
      <c r="B11850" t="s">
        <v>2931</v>
      </c>
      <c r="C11850">
        <v>12517</v>
      </c>
      <c r="D11850" t="str">
        <f>"28804       "</f>
        <v xml:space="preserve">28804       </v>
      </c>
      <c r="E11850" t="s">
        <v>387</v>
      </c>
      <c r="F11850" t="s">
        <v>389</v>
      </c>
      <c r="G11850">
        <v>43.49</v>
      </c>
      <c r="H11850">
        <v>250919</v>
      </c>
      <c r="I11850">
        <v>4590</v>
      </c>
      <c r="J11850" t="s">
        <v>388</v>
      </c>
      <c r="K11850">
        <v>57.14</v>
      </c>
      <c r="L11850">
        <v>8.84</v>
      </c>
      <c r="M11850">
        <v>69501</v>
      </c>
      <c r="N11850" t="s">
        <v>123</v>
      </c>
      <c r="O11850">
        <v>250925</v>
      </c>
      <c r="P11850">
        <v>34.65</v>
      </c>
    </row>
    <row r="11851" spans="1:16" x14ac:dyDescent="0.25">
      <c r="A11851" t="s">
        <v>3296</v>
      </c>
      <c r="B11851" t="s">
        <v>2931</v>
      </c>
      <c r="C11851">
        <v>13796</v>
      </c>
      <c r="D11851" t="str">
        <f>"29010       "</f>
        <v xml:space="preserve">29010       </v>
      </c>
      <c r="E11851" t="s">
        <v>387</v>
      </c>
      <c r="F11851" t="s">
        <v>389</v>
      </c>
      <c r="G11851">
        <v>358.15</v>
      </c>
      <c r="H11851">
        <v>251016</v>
      </c>
      <c r="I11851">
        <v>4590</v>
      </c>
      <c r="J11851" t="s">
        <v>388</v>
      </c>
      <c r="K11851">
        <v>358.15</v>
      </c>
      <c r="L11851">
        <v>72.77</v>
      </c>
      <c r="M11851">
        <v>69501</v>
      </c>
      <c r="N11851" t="s">
        <v>123</v>
      </c>
      <c r="O11851">
        <v>251020</v>
      </c>
      <c r="P11851">
        <v>285.38</v>
      </c>
    </row>
    <row r="11852" spans="1:16" x14ac:dyDescent="0.25">
      <c r="A11852" t="s">
        <v>3296</v>
      </c>
      <c r="B11852" t="s">
        <v>2931</v>
      </c>
      <c r="C11852">
        <v>14576</v>
      </c>
      <c r="D11852" t="str">
        <f>"29141       "</f>
        <v xml:space="preserve">29141       </v>
      </c>
      <c r="E11852" t="s">
        <v>387</v>
      </c>
      <c r="F11852" t="s">
        <v>389</v>
      </c>
      <c r="G11852">
        <v>43.49</v>
      </c>
      <c r="H11852">
        <v>251029</v>
      </c>
      <c r="I11852">
        <v>4590</v>
      </c>
      <c r="J11852" t="s">
        <v>388</v>
      </c>
      <c r="K11852">
        <v>184.5</v>
      </c>
      <c r="L11852">
        <v>8.84</v>
      </c>
      <c r="M11852">
        <v>69111</v>
      </c>
      <c r="N11852" t="s">
        <v>657</v>
      </c>
      <c r="O11852">
        <v>251105</v>
      </c>
      <c r="P11852">
        <v>34.65</v>
      </c>
    </row>
    <row r="11853" spans="1:16" x14ac:dyDescent="0.25">
      <c r="A11853" t="s">
        <v>3296</v>
      </c>
      <c r="B11853" t="s">
        <v>2931</v>
      </c>
      <c r="C11853">
        <v>14576</v>
      </c>
      <c r="D11853" t="str">
        <f>"29141       "</f>
        <v xml:space="preserve">29141       </v>
      </c>
      <c r="E11853" t="s">
        <v>387</v>
      </c>
      <c r="F11853" t="s">
        <v>389</v>
      </c>
      <c r="G11853">
        <v>141.01</v>
      </c>
      <c r="H11853">
        <v>251029</v>
      </c>
      <c r="I11853">
        <v>4590</v>
      </c>
      <c r="J11853" t="s">
        <v>388</v>
      </c>
      <c r="K11853">
        <v>184.5</v>
      </c>
      <c r="L11853">
        <v>28.65</v>
      </c>
      <c r="M11853">
        <v>69501</v>
      </c>
      <c r="N11853" t="s">
        <v>123</v>
      </c>
      <c r="O11853">
        <v>251105</v>
      </c>
      <c r="P11853">
        <v>112.36</v>
      </c>
    </row>
    <row r="11854" spans="1:16" x14ac:dyDescent="0.25">
      <c r="A11854" t="s">
        <v>3296</v>
      </c>
      <c r="B11854" t="s">
        <v>2931</v>
      </c>
      <c r="C11854">
        <v>16128</v>
      </c>
      <c r="D11854" t="str">
        <f>"29400       "</f>
        <v xml:space="preserve">29400       </v>
      </c>
      <c r="E11854" t="s">
        <v>387</v>
      </c>
      <c r="F11854" t="s">
        <v>389</v>
      </c>
      <c r="G11854">
        <v>155.5</v>
      </c>
      <c r="H11854">
        <v>251127</v>
      </c>
      <c r="I11854">
        <v>4590</v>
      </c>
      <c r="J11854" t="s">
        <v>388</v>
      </c>
      <c r="K11854">
        <v>155.5</v>
      </c>
      <c r="L11854">
        <v>31.6</v>
      </c>
      <c r="M11854">
        <v>69501</v>
      </c>
      <c r="N11854" t="s">
        <v>123</v>
      </c>
      <c r="O11854">
        <v>251204</v>
      </c>
      <c r="P11854">
        <v>123.9</v>
      </c>
    </row>
    <row r="11855" spans="1:16" x14ac:dyDescent="0.25">
      <c r="A11855" t="s">
        <v>3296</v>
      </c>
      <c r="B11855" t="s">
        <v>2931</v>
      </c>
      <c r="C11855">
        <v>16129</v>
      </c>
      <c r="D11855" t="str">
        <f>"29402       "</f>
        <v xml:space="preserve">29402       </v>
      </c>
      <c r="E11855" t="s">
        <v>387</v>
      </c>
      <c r="F11855" t="s">
        <v>389</v>
      </c>
      <c r="G11855">
        <v>196.82</v>
      </c>
      <c r="H11855">
        <v>251128</v>
      </c>
      <c r="I11855">
        <v>4590</v>
      </c>
      <c r="J11855" t="s">
        <v>388</v>
      </c>
      <c r="K11855">
        <v>196.82</v>
      </c>
      <c r="L11855">
        <v>39.99</v>
      </c>
      <c r="M11855">
        <v>69111</v>
      </c>
      <c r="N11855" t="s">
        <v>657</v>
      </c>
      <c r="O11855">
        <v>251204</v>
      </c>
      <c r="P11855">
        <v>156.83000000000001</v>
      </c>
    </row>
    <row r="11856" spans="1:16" x14ac:dyDescent="0.25">
      <c r="A11856" t="s">
        <v>3296</v>
      </c>
      <c r="B11856" t="s">
        <v>2931</v>
      </c>
      <c r="C11856">
        <v>17685</v>
      </c>
      <c r="D11856" t="str">
        <f>"29592       "</f>
        <v xml:space="preserve">29592       </v>
      </c>
      <c r="E11856" t="s">
        <v>387</v>
      </c>
      <c r="F11856" t="s">
        <v>389</v>
      </c>
      <c r="G11856">
        <v>130.32</v>
      </c>
      <c r="H11856">
        <v>251223</v>
      </c>
      <c r="I11856">
        <v>4590</v>
      </c>
      <c r="J11856" t="s">
        <v>388</v>
      </c>
      <c r="K11856">
        <v>130.32</v>
      </c>
      <c r="L11856">
        <v>26.48</v>
      </c>
      <c r="M11856">
        <v>69111</v>
      </c>
      <c r="N11856" t="s">
        <v>657</v>
      </c>
      <c r="O11856">
        <v>251229</v>
      </c>
      <c r="P11856">
        <v>103.84</v>
      </c>
    </row>
    <row r="11857" spans="1:16" x14ac:dyDescent="0.25">
      <c r="A11857" t="s">
        <v>3296</v>
      </c>
      <c r="B11857" t="s">
        <v>2931</v>
      </c>
      <c r="C11857">
        <v>991</v>
      </c>
      <c r="D11857" t="str">
        <f>"27123       "</f>
        <v xml:space="preserve">27123       </v>
      </c>
      <c r="E11857" t="s">
        <v>387</v>
      </c>
      <c r="F11857" t="s">
        <v>389</v>
      </c>
      <c r="G11857">
        <v>239.95</v>
      </c>
      <c r="H11857">
        <v>250128</v>
      </c>
      <c r="I11857">
        <v>4600</v>
      </c>
      <c r="J11857" t="s">
        <v>278</v>
      </c>
      <c r="K11857">
        <v>239.95</v>
      </c>
      <c r="L11857">
        <v>48.75</v>
      </c>
      <c r="M11857">
        <v>66756</v>
      </c>
      <c r="N11857" t="s">
        <v>120</v>
      </c>
      <c r="O11857">
        <v>250131</v>
      </c>
      <c r="P11857">
        <v>191.2</v>
      </c>
    </row>
    <row r="11858" spans="1:16" x14ac:dyDescent="0.25">
      <c r="A11858" t="s">
        <v>3296</v>
      </c>
      <c r="B11858" t="s">
        <v>2931</v>
      </c>
      <c r="C11858">
        <v>8407</v>
      </c>
      <c r="D11858" t="str">
        <f>"28057       "</f>
        <v xml:space="preserve">28057       </v>
      </c>
      <c r="E11858" t="s">
        <v>387</v>
      </c>
      <c r="F11858" t="s">
        <v>389</v>
      </c>
      <c r="G11858">
        <v>123.97</v>
      </c>
      <c r="H11858">
        <v>250611</v>
      </c>
      <c r="I11858">
        <v>4600</v>
      </c>
      <c r="J11858" t="s">
        <v>278</v>
      </c>
      <c r="K11858">
        <v>123.97</v>
      </c>
      <c r="L11858">
        <v>25.19</v>
      </c>
      <c r="M11858">
        <v>67554</v>
      </c>
      <c r="N11858" t="s">
        <v>317</v>
      </c>
      <c r="O11858">
        <v>250613</v>
      </c>
      <c r="P11858">
        <v>98.78</v>
      </c>
    </row>
    <row r="11859" spans="1:16" x14ac:dyDescent="0.25">
      <c r="A11859" t="s">
        <v>3296</v>
      </c>
      <c r="B11859" t="s">
        <v>2931</v>
      </c>
      <c r="C11859">
        <v>12517</v>
      </c>
      <c r="D11859" t="str">
        <f>"28804       "</f>
        <v xml:space="preserve">28804       </v>
      </c>
      <c r="E11859" t="s">
        <v>387</v>
      </c>
      <c r="F11859" t="s">
        <v>389</v>
      </c>
      <c r="G11859">
        <v>13.65</v>
      </c>
      <c r="H11859">
        <v>250919</v>
      </c>
      <c r="I11859">
        <v>4600</v>
      </c>
      <c r="J11859" t="s">
        <v>278</v>
      </c>
      <c r="K11859">
        <v>57.14</v>
      </c>
      <c r="L11859">
        <v>2.77</v>
      </c>
      <c r="M11859">
        <v>69501</v>
      </c>
      <c r="N11859" t="s">
        <v>123</v>
      </c>
      <c r="O11859">
        <v>250925</v>
      </c>
      <c r="P11859">
        <v>10.88</v>
      </c>
    </row>
    <row r="11860" spans="1:16" x14ac:dyDescent="0.25">
      <c r="A11860" t="s">
        <v>3296</v>
      </c>
      <c r="B11860" t="s">
        <v>2931</v>
      </c>
      <c r="C11860">
        <v>1778</v>
      </c>
      <c r="D11860" t="str">
        <f>"72073       "</f>
        <v xml:space="preserve">72073       </v>
      </c>
      <c r="E11860" t="s">
        <v>1113</v>
      </c>
      <c r="F11860" t="s">
        <v>1114</v>
      </c>
      <c r="G11860">
        <v>2759</v>
      </c>
      <c r="H11860">
        <v>250211</v>
      </c>
      <c r="I11860">
        <v>4390</v>
      </c>
      <c r="J11860" t="s">
        <v>232</v>
      </c>
      <c r="K11860">
        <v>2759</v>
      </c>
      <c r="L11860">
        <v>0</v>
      </c>
      <c r="M11860">
        <v>17952</v>
      </c>
      <c r="N11860" t="s">
        <v>157</v>
      </c>
      <c r="O11860">
        <v>250213</v>
      </c>
      <c r="P11860">
        <v>2759</v>
      </c>
    </row>
    <row r="11861" spans="1:16" x14ac:dyDescent="0.25">
      <c r="A11861" t="s">
        <v>3296</v>
      </c>
      <c r="B11861" t="s">
        <v>2931</v>
      </c>
      <c r="C11861">
        <v>9728</v>
      </c>
      <c r="D11861" t="str">
        <f>"73466       "</f>
        <v xml:space="preserve">73466       </v>
      </c>
      <c r="E11861" t="s">
        <v>1113</v>
      </c>
      <c r="F11861" t="s">
        <v>1114</v>
      </c>
      <c r="G11861">
        <v>3150.3</v>
      </c>
      <c r="H11861">
        <v>250630</v>
      </c>
      <c r="I11861">
        <v>4390</v>
      </c>
      <c r="J11861" t="s">
        <v>232</v>
      </c>
      <c r="K11861">
        <v>3150.3</v>
      </c>
      <c r="L11861">
        <v>0</v>
      </c>
      <c r="M11861">
        <v>17952</v>
      </c>
      <c r="N11861" t="s">
        <v>157</v>
      </c>
      <c r="O11861">
        <v>250725</v>
      </c>
      <c r="P11861">
        <v>3150.3</v>
      </c>
    </row>
    <row r="11862" spans="1:16" x14ac:dyDescent="0.25">
      <c r="A11862" t="s">
        <v>3296</v>
      </c>
      <c r="B11862" t="s">
        <v>2931</v>
      </c>
      <c r="C11862">
        <v>9498</v>
      </c>
      <c r="D11862" t="str">
        <f>"35407       "</f>
        <v xml:space="preserve">35407       </v>
      </c>
      <c r="E11862" t="s">
        <v>474</v>
      </c>
      <c r="F11862" t="s">
        <v>475</v>
      </c>
      <c r="G11862">
        <v>250.87</v>
      </c>
      <c r="H11862">
        <v>250630</v>
      </c>
      <c r="I11862">
        <v>4390</v>
      </c>
      <c r="J11862" t="s">
        <v>232</v>
      </c>
      <c r="K11862">
        <v>250.87</v>
      </c>
      <c r="L11862">
        <v>50.97</v>
      </c>
      <c r="M11862">
        <v>59501</v>
      </c>
      <c r="N11862" t="s">
        <v>62</v>
      </c>
      <c r="O11862">
        <v>250709</v>
      </c>
      <c r="P11862">
        <v>199.9</v>
      </c>
    </row>
    <row r="11863" spans="1:16" x14ac:dyDescent="0.25">
      <c r="A11863" t="s">
        <v>3296</v>
      </c>
      <c r="B11863" t="s">
        <v>2931</v>
      </c>
      <c r="C11863">
        <v>9964</v>
      </c>
      <c r="D11863" t="str">
        <f>"35474       "</f>
        <v xml:space="preserve">35474       </v>
      </c>
      <c r="E11863" t="s">
        <v>474</v>
      </c>
      <c r="F11863" t="s">
        <v>475</v>
      </c>
      <c r="G11863">
        <v>584.79999999999995</v>
      </c>
      <c r="H11863">
        <v>250731</v>
      </c>
      <c r="I11863">
        <v>4400</v>
      </c>
      <c r="J11863" t="s">
        <v>162</v>
      </c>
      <c r="K11863">
        <v>584.79999999999995</v>
      </c>
      <c r="L11863">
        <v>118.82</v>
      </c>
      <c r="M11863">
        <v>59504</v>
      </c>
      <c r="N11863" t="s">
        <v>193</v>
      </c>
      <c r="O11863">
        <v>250805</v>
      </c>
      <c r="P11863">
        <v>465.98</v>
      </c>
    </row>
    <row r="11864" spans="1:16" x14ac:dyDescent="0.25">
      <c r="A11864" t="s">
        <v>3296</v>
      </c>
      <c r="B11864" t="s">
        <v>2931</v>
      </c>
      <c r="C11864">
        <v>379</v>
      </c>
      <c r="D11864" t="str">
        <f>"34960       "</f>
        <v xml:space="preserve">34960       </v>
      </c>
      <c r="E11864" t="s">
        <v>474</v>
      </c>
      <c r="F11864" t="s">
        <v>475</v>
      </c>
      <c r="G11864">
        <v>9.09</v>
      </c>
      <c r="H11864">
        <v>250117</v>
      </c>
      <c r="I11864">
        <v>4590</v>
      </c>
      <c r="J11864" t="s">
        <v>388</v>
      </c>
      <c r="K11864">
        <v>9.09</v>
      </c>
      <c r="L11864">
        <v>1.85</v>
      </c>
      <c r="M11864">
        <v>59504</v>
      </c>
      <c r="N11864" t="s">
        <v>193</v>
      </c>
      <c r="O11864">
        <v>250122</v>
      </c>
      <c r="P11864">
        <v>7.24</v>
      </c>
    </row>
    <row r="11865" spans="1:16" x14ac:dyDescent="0.25">
      <c r="A11865" t="s">
        <v>3296</v>
      </c>
      <c r="B11865" t="s">
        <v>2931</v>
      </c>
      <c r="C11865">
        <v>5793</v>
      </c>
      <c r="D11865" t="str">
        <f>"35204       "</f>
        <v xml:space="preserve">35204       </v>
      </c>
      <c r="E11865" t="s">
        <v>474</v>
      </c>
      <c r="F11865" t="s">
        <v>475</v>
      </c>
      <c r="G11865">
        <v>88.53</v>
      </c>
      <c r="H11865">
        <v>250424</v>
      </c>
      <c r="I11865">
        <v>4590</v>
      </c>
      <c r="J11865" t="s">
        <v>388</v>
      </c>
      <c r="K11865">
        <v>88.53</v>
      </c>
      <c r="L11865">
        <v>17.989999999999998</v>
      </c>
      <c r="M11865">
        <v>59504</v>
      </c>
      <c r="N11865" t="s">
        <v>193</v>
      </c>
      <c r="O11865">
        <v>250505</v>
      </c>
      <c r="P11865">
        <v>70.540000000000006</v>
      </c>
    </row>
    <row r="11866" spans="1:16" x14ac:dyDescent="0.25">
      <c r="A11866" t="s">
        <v>3296</v>
      </c>
      <c r="B11866" t="s">
        <v>2931</v>
      </c>
      <c r="C11866">
        <v>11396</v>
      </c>
      <c r="D11866" t="str">
        <f>"35579       "</f>
        <v xml:space="preserve">35579       </v>
      </c>
      <c r="E11866" t="s">
        <v>474</v>
      </c>
      <c r="F11866" t="s">
        <v>475</v>
      </c>
      <c r="G11866">
        <v>162.62</v>
      </c>
      <c r="H11866">
        <v>250902</v>
      </c>
      <c r="I11866">
        <v>4590</v>
      </c>
      <c r="J11866" t="s">
        <v>388</v>
      </c>
      <c r="K11866">
        <v>162.62</v>
      </c>
      <c r="L11866">
        <v>33.04</v>
      </c>
      <c r="M11866">
        <v>59504</v>
      </c>
      <c r="N11866" t="s">
        <v>193</v>
      </c>
      <c r="O11866">
        <v>250904</v>
      </c>
      <c r="P11866">
        <v>129.58000000000001</v>
      </c>
    </row>
    <row r="11867" spans="1:16" x14ac:dyDescent="0.25">
      <c r="A11867" t="s">
        <v>3296</v>
      </c>
      <c r="B11867" t="s">
        <v>2931</v>
      </c>
      <c r="C11867">
        <v>12289</v>
      </c>
      <c r="D11867" t="str">
        <f>"35608       "</f>
        <v xml:space="preserve">35608       </v>
      </c>
      <c r="E11867" t="s">
        <v>474</v>
      </c>
      <c r="F11867" t="s">
        <v>475</v>
      </c>
      <c r="G11867">
        <v>1156</v>
      </c>
      <c r="H11867">
        <v>250918</v>
      </c>
      <c r="I11867">
        <v>4590</v>
      </c>
      <c r="J11867" t="s">
        <v>388</v>
      </c>
      <c r="K11867">
        <v>1156</v>
      </c>
      <c r="L11867">
        <v>234.88</v>
      </c>
      <c r="M11867">
        <v>59504</v>
      </c>
      <c r="N11867" t="s">
        <v>193</v>
      </c>
      <c r="O11867">
        <v>250918</v>
      </c>
      <c r="P11867">
        <v>921.12</v>
      </c>
    </row>
    <row r="11868" spans="1:16" x14ac:dyDescent="0.25">
      <c r="A11868" t="s">
        <v>3296</v>
      </c>
      <c r="B11868" t="s">
        <v>2931</v>
      </c>
      <c r="C11868">
        <v>14375</v>
      </c>
      <c r="D11868" t="str">
        <f>"35756       "</f>
        <v xml:space="preserve">35756       </v>
      </c>
      <c r="E11868" t="s">
        <v>474</v>
      </c>
      <c r="F11868" t="s">
        <v>475</v>
      </c>
      <c r="G11868">
        <v>123.61</v>
      </c>
      <c r="H11868">
        <v>251029</v>
      </c>
      <c r="I11868">
        <v>4590</v>
      </c>
      <c r="J11868" t="s">
        <v>388</v>
      </c>
      <c r="K11868">
        <v>123.61</v>
      </c>
      <c r="L11868">
        <v>25.12</v>
      </c>
      <c r="M11868">
        <v>59504</v>
      </c>
      <c r="N11868" t="s">
        <v>193</v>
      </c>
      <c r="O11868">
        <v>251030</v>
      </c>
      <c r="P11868">
        <v>98.49</v>
      </c>
    </row>
    <row r="11869" spans="1:16" x14ac:dyDescent="0.25">
      <c r="A11869" t="s">
        <v>3296</v>
      </c>
      <c r="B11869" t="s">
        <v>2931</v>
      </c>
      <c r="C11869">
        <v>17039</v>
      </c>
      <c r="D11869" t="str">
        <f>"35903       "</f>
        <v xml:space="preserve">35903       </v>
      </c>
      <c r="E11869" t="s">
        <v>474</v>
      </c>
      <c r="F11869" t="s">
        <v>475</v>
      </c>
      <c r="G11869">
        <v>46.06</v>
      </c>
      <c r="H11869">
        <v>251215</v>
      </c>
      <c r="I11869">
        <v>4590</v>
      </c>
      <c r="J11869" t="s">
        <v>388</v>
      </c>
      <c r="K11869">
        <v>46.06</v>
      </c>
      <c r="L11869">
        <v>9.36</v>
      </c>
      <c r="M11869">
        <v>59504</v>
      </c>
      <c r="N11869" t="s">
        <v>193</v>
      </c>
      <c r="O11869">
        <v>251216</v>
      </c>
      <c r="P11869">
        <v>36.700000000000003</v>
      </c>
    </row>
    <row r="11870" spans="1:16" x14ac:dyDescent="0.25">
      <c r="A11870" t="s">
        <v>3296</v>
      </c>
      <c r="B11870" t="s">
        <v>2931</v>
      </c>
      <c r="C11870">
        <v>1145</v>
      </c>
      <c r="D11870" t="str">
        <f>"34976       "</f>
        <v xml:space="preserve">34976       </v>
      </c>
      <c r="E11870" t="s">
        <v>474</v>
      </c>
      <c r="F11870" t="s">
        <v>475</v>
      </c>
      <c r="G11870">
        <v>230.08</v>
      </c>
      <c r="H11870">
        <v>250123</v>
      </c>
      <c r="I11870">
        <v>4600</v>
      </c>
      <c r="J11870" t="s">
        <v>278</v>
      </c>
      <c r="K11870">
        <v>230.08</v>
      </c>
      <c r="L11870">
        <v>46.75</v>
      </c>
      <c r="M11870">
        <v>59501</v>
      </c>
      <c r="N11870" t="s">
        <v>62</v>
      </c>
      <c r="O11870">
        <v>250205</v>
      </c>
      <c r="P11870">
        <v>183.33</v>
      </c>
    </row>
    <row r="11871" spans="1:16" x14ac:dyDescent="0.25">
      <c r="A11871" t="s">
        <v>3296</v>
      </c>
      <c r="B11871" t="s">
        <v>2931</v>
      </c>
      <c r="C11871">
        <v>1148</v>
      </c>
      <c r="D11871" t="str">
        <f>"34994       "</f>
        <v xml:space="preserve">34994       </v>
      </c>
      <c r="E11871" t="s">
        <v>474</v>
      </c>
      <c r="F11871" t="s">
        <v>475</v>
      </c>
      <c r="G11871">
        <v>162.36000000000001</v>
      </c>
      <c r="H11871">
        <v>250130</v>
      </c>
      <c r="I11871">
        <v>4600</v>
      </c>
      <c r="J11871" t="s">
        <v>278</v>
      </c>
      <c r="K11871">
        <v>162.36000000000001</v>
      </c>
      <c r="L11871">
        <v>32.99</v>
      </c>
      <c r="M11871">
        <v>59505</v>
      </c>
      <c r="N11871" t="s">
        <v>194</v>
      </c>
      <c r="O11871">
        <v>250205</v>
      </c>
      <c r="P11871">
        <v>129.37</v>
      </c>
    </row>
    <row r="11872" spans="1:16" x14ac:dyDescent="0.25">
      <c r="A11872" t="s">
        <v>3296</v>
      </c>
      <c r="B11872" t="s">
        <v>2931</v>
      </c>
      <c r="C11872">
        <v>2679</v>
      </c>
      <c r="D11872" t="str">
        <f>"35074       "</f>
        <v xml:space="preserve">35074       </v>
      </c>
      <c r="E11872" t="s">
        <v>474</v>
      </c>
      <c r="F11872" t="s">
        <v>475</v>
      </c>
      <c r="G11872">
        <v>115.73</v>
      </c>
      <c r="H11872">
        <v>250226</v>
      </c>
      <c r="I11872">
        <v>4600</v>
      </c>
      <c r="J11872" t="s">
        <v>278</v>
      </c>
      <c r="K11872">
        <v>115.73</v>
      </c>
      <c r="L11872">
        <v>23.51</v>
      </c>
      <c r="M11872">
        <v>59505</v>
      </c>
      <c r="N11872" t="s">
        <v>194</v>
      </c>
      <c r="O11872">
        <v>250311</v>
      </c>
      <c r="P11872">
        <v>92.22</v>
      </c>
    </row>
    <row r="11873" spans="1:16" x14ac:dyDescent="0.25">
      <c r="A11873" t="s">
        <v>3296</v>
      </c>
      <c r="B11873" t="s">
        <v>2931</v>
      </c>
      <c r="C11873">
        <v>3911</v>
      </c>
      <c r="D11873" t="str">
        <f>"35128       "</f>
        <v xml:space="preserve">35128       </v>
      </c>
      <c r="E11873" t="s">
        <v>474</v>
      </c>
      <c r="F11873" t="s">
        <v>475</v>
      </c>
      <c r="G11873">
        <v>88.92</v>
      </c>
      <c r="H11873">
        <v>250321</v>
      </c>
      <c r="I11873">
        <v>4600</v>
      </c>
      <c r="J11873" t="s">
        <v>278</v>
      </c>
      <c r="K11873">
        <v>88.92</v>
      </c>
      <c r="L11873">
        <v>18.07</v>
      </c>
      <c r="M11873">
        <v>59502</v>
      </c>
      <c r="N11873" t="s">
        <v>63</v>
      </c>
      <c r="O11873">
        <v>250403</v>
      </c>
      <c r="P11873">
        <v>70.849999999999994</v>
      </c>
    </row>
    <row r="11874" spans="1:16" x14ac:dyDescent="0.25">
      <c r="A11874" t="s">
        <v>3296</v>
      </c>
      <c r="B11874" t="s">
        <v>2931</v>
      </c>
      <c r="C11874">
        <v>5790</v>
      </c>
      <c r="D11874" t="str">
        <f>"35205       "</f>
        <v xml:space="preserve">35205       </v>
      </c>
      <c r="E11874" t="s">
        <v>474</v>
      </c>
      <c r="F11874" t="s">
        <v>475</v>
      </c>
      <c r="G11874">
        <v>67.099999999999994</v>
      </c>
      <c r="H11874">
        <v>250424</v>
      </c>
      <c r="I11874">
        <v>4600</v>
      </c>
      <c r="J11874" t="s">
        <v>278</v>
      </c>
      <c r="K11874">
        <v>67.099999999999994</v>
      </c>
      <c r="L11874">
        <v>13.63</v>
      </c>
      <c r="M11874">
        <v>59501</v>
      </c>
      <c r="N11874" t="s">
        <v>62</v>
      </c>
      <c r="O11874">
        <v>250505</v>
      </c>
      <c r="P11874">
        <v>53.47</v>
      </c>
    </row>
    <row r="11875" spans="1:16" x14ac:dyDescent="0.25">
      <c r="A11875" t="s">
        <v>3296</v>
      </c>
      <c r="B11875" t="s">
        <v>2931</v>
      </c>
      <c r="C11875">
        <v>5954</v>
      </c>
      <c r="D11875" t="str">
        <f>"35221       "</f>
        <v xml:space="preserve">35221       </v>
      </c>
      <c r="E11875" t="s">
        <v>474</v>
      </c>
      <c r="F11875" t="s">
        <v>475</v>
      </c>
      <c r="G11875">
        <v>61.2</v>
      </c>
      <c r="H11875">
        <v>250430</v>
      </c>
      <c r="I11875">
        <v>4600</v>
      </c>
      <c r="J11875" t="s">
        <v>278</v>
      </c>
      <c r="K11875">
        <v>61.2</v>
      </c>
      <c r="L11875">
        <v>12.44</v>
      </c>
      <c r="M11875">
        <v>59501</v>
      </c>
      <c r="N11875" t="s">
        <v>62</v>
      </c>
      <c r="O11875">
        <v>250507</v>
      </c>
      <c r="P11875">
        <v>48.76</v>
      </c>
    </row>
    <row r="11876" spans="1:16" x14ac:dyDescent="0.25">
      <c r="A11876" t="s">
        <v>3296</v>
      </c>
      <c r="B11876" t="s">
        <v>2931</v>
      </c>
      <c r="C11876">
        <v>9960</v>
      </c>
      <c r="D11876" t="str">
        <f>"35460       "</f>
        <v xml:space="preserve">35460       </v>
      </c>
      <c r="E11876" t="s">
        <v>474</v>
      </c>
      <c r="F11876" t="s">
        <v>475</v>
      </c>
      <c r="G11876">
        <v>425.64</v>
      </c>
      <c r="H11876">
        <v>250730</v>
      </c>
      <c r="I11876">
        <v>4600</v>
      </c>
      <c r="J11876" t="s">
        <v>278</v>
      </c>
      <c r="K11876">
        <v>425.64</v>
      </c>
      <c r="L11876">
        <v>86.48</v>
      </c>
      <c r="M11876">
        <v>59501</v>
      </c>
      <c r="N11876" t="s">
        <v>62</v>
      </c>
      <c r="O11876">
        <v>250805</v>
      </c>
      <c r="P11876">
        <v>339.16</v>
      </c>
    </row>
    <row r="11877" spans="1:16" x14ac:dyDescent="0.25">
      <c r="A11877" t="s">
        <v>3296</v>
      </c>
      <c r="B11877" t="s">
        <v>2931</v>
      </c>
      <c r="C11877">
        <v>11134</v>
      </c>
      <c r="D11877" t="str">
        <f>"35544       "</f>
        <v xml:space="preserve">35544       </v>
      </c>
      <c r="E11877" t="s">
        <v>474</v>
      </c>
      <c r="F11877" t="s">
        <v>475</v>
      </c>
      <c r="G11877">
        <v>94.66</v>
      </c>
      <c r="H11877">
        <v>250825</v>
      </c>
      <c r="I11877">
        <v>4600</v>
      </c>
      <c r="J11877" t="s">
        <v>278</v>
      </c>
      <c r="K11877">
        <v>94.66</v>
      </c>
      <c r="L11877">
        <v>19.23</v>
      </c>
      <c r="M11877">
        <v>59501</v>
      </c>
      <c r="N11877" t="s">
        <v>62</v>
      </c>
      <c r="O11877">
        <v>250901</v>
      </c>
      <c r="P11877">
        <v>75.430000000000007</v>
      </c>
    </row>
    <row r="11878" spans="1:16" x14ac:dyDescent="0.25">
      <c r="A11878" t="s">
        <v>3296</v>
      </c>
      <c r="B11878" t="s">
        <v>2931</v>
      </c>
      <c r="C11878">
        <v>11989</v>
      </c>
      <c r="D11878" t="str">
        <f>"35592       "</f>
        <v xml:space="preserve">35592       </v>
      </c>
      <c r="E11878" t="s">
        <v>474</v>
      </c>
      <c r="F11878" t="s">
        <v>475</v>
      </c>
      <c r="G11878">
        <v>75.97</v>
      </c>
      <c r="H11878">
        <v>250905</v>
      </c>
      <c r="I11878">
        <v>4600</v>
      </c>
      <c r="J11878" t="s">
        <v>278</v>
      </c>
      <c r="K11878">
        <v>75.97</v>
      </c>
      <c r="L11878">
        <v>15.44</v>
      </c>
      <c r="M11878">
        <v>59505</v>
      </c>
      <c r="N11878" t="s">
        <v>194</v>
      </c>
      <c r="O11878">
        <v>250915</v>
      </c>
      <c r="P11878">
        <v>60.53</v>
      </c>
    </row>
    <row r="11879" spans="1:16" x14ac:dyDescent="0.25">
      <c r="A11879" t="s">
        <v>3296</v>
      </c>
      <c r="B11879" t="s">
        <v>2931</v>
      </c>
      <c r="C11879">
        <v>12635</v>
      </c>
      <c r="D11879" t="str">
        <f>"35612       "</f>
        <v xml:space="preserve">35612       </v>
      </c>
      <c r="E11879" t="s">
        <v>474</v>
      </c>
      <c r="F11879" t="s">
        <v>475</v>
      </c>
      <c r="G11879">
        <v>115.59</v>
      </c>
      <c r="H11879">
        <v>250918</v>
      </c>
      <c r="I11879">
        <v>4600</v>
      </c>
      <c r="J11879" t="s">
        <v>278</v>
      </c>
      <c r="K11879">
        <v>115.59</v>
      </c>
      <c r="L11879">
        <v>23.49</v>
      </c>
      <c r="M11879">
        <v>59501</v>
      </c>
      <c r="N11879" t="s">
        <v>62</v>
      </c>
      <c r="O11879">
        <v>250929</v>
      </c>
      <c r="P11879">
        <v>92.1</v>
      </c>
    </row>
    <row r="11880" spans="1:16" x14ac:dyDescent="0.25">
      <c r="A11880" t="s">
        <v>3296</v>
      </c>
      <c r="B11880" t="s">
        <v>2931</v>
      </c>
      <c r="C11880">
        <v>13512</v>
      </c>
      <c r="D11880" t="str">
        <f>"35684       "</f>
        <v xml:space="preserve">35684       </v>
      </c>
      <c r="E11880" t="s">
        <v>474</v>
      </c>
      <c r="F11880" t="s">
        <v>475</v>
      </c>
      <c r="G11880">
        <v>287.51</v>
      </c>
      <c r="H11880">
        <v>251006</v>
      </c>
      <c r="I11880">
        <v>4600</v>
      </c>
      <c r="J11880" t="s">
        <v>278</v>
      </c>
      <c r="K11880">
        <v>287.51</v>
      </c>
      <c r="L11880">
        <v>58.42</v>
      </c>
      <c r="M11880">
        <v>59502</v>
      </c>
      <c r="N11880" t="s">
        <v>63</v>
      </c>
      <c r="O11880">
        <v>251010</v>
      </c>
      <c r="P11880">
        <v>229.09</v>
      </c>
    </row>
    <row r="11881" spans="1:16" x14ac:dyDescent="0.25">
      <c r="A11881" t="s">
        <v>3296</v>
      </c>
      <c r="B11881" t="s">
        <v>2931</v>
      </c>
      <c r="C11881">
        <v>14367</v>
      </c>
      <c r="D11881" t="str">
        <f>"35755       "</f>
        <v xml:space="preserve">35755       </v>
      </c>
      <c r="E11881" t="s">
        <v>474</v>
      </c>
      <c r="F11881" t="s">
        <v>475</v>
      </c>
      <c r="G11881">
        <v>92.36</v>
      </c>
      <c r="H11881">
        <v>251028</v>
      </c>
      <c r="I11881">
        <v>4600</v>
      </c>
      <c r="J11881" t="s">
        <v>278</v>
      </c>
      <c r="K11881">
        <v>92.36</v>
      </c>
      <c r="L11881">
        <v>18.77</v>
      </c>
      <c r="M11881">
        <v>59501</v>
      </c>
      <c r="N11881" t="s">
        <v>62</v>
      </c>
      <c r="O11881">
        <v>251030</v>
      </c>
      <c r="P11881">
        <v>73.59</v>
      </c>
    </row>
    <row r="11882" spans="1:16" x14ac:dyDescent="0.25">
      <c r="A11882" t="s">
        <v>3296</v>
      </c>
      <c r="B11882" t="s">
        <v>2931</v>
      </c>
      <c r="C11882">
        <v>15670</v>
      </c>
      <c r="D11882" t="str">
        <f>"35819       "</f>
        <v xml:space="preserve">35819       </v>
      </c>
      <c r="E11882" t="s">
        <v>474</v>
      </c>
      <c r="F11882" t="s">
        <v>475</v>
      </c>
      <c r="G11882">
        <v>93.71</v>
      </c>
      <c r="H11882">
        <v>251114</v>
      </c>
      <c r="I11882">
        <v>4600</v>
      </c>
      <c r="J11882" t="s">
        <v>278</v>
      </c>
      <c r="K11882">
        <v>93.71</v>
      </c>
      <c r="L11882">
        <v>19.04</v>
      </c>
      <c r="M11882">
        <v>59502</v>
      </c>
      <c r="N11882" t="s">
        <v>63</v>
      </c>
      <c r="O11882">
        <v>251124</v>
      </c>
      <c r="P11882">
        <v>74.67</v>
      </c>
    </row>
    <row r="11883" spans="1:16" x14ac:dyDescent="0.25">
      <c r="A11883" t="s">
        <v>3296</v>
      </c>
      <c r="B11883" t="s">
        <v>2931</v>
      </c>
      <c r="C11883">
        <v>16344</v>
      </c>
      <c r="D11883" t="str">
        <f>"35856       "</f>
        <v xml:space="preserve">35856       </v>
      </c>
      <c r="E11883" t="s">
        <v>474</v>
      </c>
      <c r="F11883" t="s">
        <v>475</v>
      </c>
      <c r="G11883">
        <v>140.9</v>
      </c>
      <c r="H11883">
        <v>251128</v>
      </c>
      <c r="I11883">
        <v>4600</v>
      </c>
      <c r="J11883" t="s">
        <v>278</v>
      </c>
      <c r="K11883">
        <v>140.9</v>
      </c>
      <c r="L11883">
        <v>28.63</v>
      </c>
      <c r="M11883">
        <v>59505</v>
      </c>
      <c r="N11883" t="s">
        <v>194</v>
      </c>
      <c r="O11883">
        <v>251208</v>
      </c>
      <c r="P11883">
        <v>112.27</v>
      </c>
    </row>
    <row r="11884" spans="1:16" x14ac:dyDescent="0.25">
      <c r="A11884" t="s">
        <v>3296</v>
      </c>
      <c r="B11884" t="s">
        <v>2931</v>
      </c>
      <c r="C11884">
        <v>17184</v>
      </c>
      <c r="D11884" t="str">
        <f>"35904       "</f>
        <v xml:space="preserve">35904       </v>
      </c>
      <c r="E11884" t="s">
        <v>474</v>
      </c>
      <c r="F11884" t="s">
        <v>475</v>
      </c>
      <c r="G11884">
        <v>129.44</v>
      </c>
      <c r="H11884">
        <v>251215</v>
      </c>
      <c r="I11884">
        <v>4600</v>
      </c>
      <c r="J11884" t="s">
        <v>278</v>
      </c>
      <c r="K11884">
        <v>129.44</v>
      </c>
      <c r="L11884">
        <v>26.3</v>
      </c>
      <c r="M11884">
        <v>59502</v>
      </c>
      <c r="N11884" t="s">
        <v>63</v>
      </c>
      <c r="O11884">
        <v>251218</v>
      </c>
      <c r="P11884">
        <v>103.14</v>
      </c>
    </row>
    <row r="11885" spans="1:16" x14ac:dyDescent="0.25">
      <c r="A11885" t="s">
        <v>3296</v>
      </c>
      <c r="B11885" t="s">
        <v>2931</v>
      </c>
      <c r="C11885">
        <v>17979</v>
      </c>
      <c r="D11885" t="str">
        <f>"35939       "</f>
        <v xml:space="preserve">35939       </v>
      </c>
      <c r="E11885" t="s">
        <v>474</v>
      </c>
      <c r="F11885" t="s">
        <v>475</v>
      </c>
      <c r="G11885">
        <v>65.77</v>
      </c>
      <c r="H11885">
        <v>251230</v>
      </c>
      <c r="I11885">
        <v>4600</v>
      </c>
      <c r="J11885" t="s">
        <v>278</v>
      </c>
      <c r="K11885">
        <v>65.77</v>
      </c>
      <c r="L11885">
        <v>13.36</v>
      </c>
      <c r="M11885">
        <v>59505</v>
      </c>
      <c r="N11885" t="s">
        <v>194</v>
      </c>
      <c r="O11885">
        <v>260107</v>
      </c>
      <c r="P11885">
        <v>52.41</v>
      </c>
    </row>
    <row r="11886" spans="1:16" x14ac:dyDescent="0.25">
      <c r="A11886" t="s">
        <v>3296</v>
      </c>
      <c r="B11886" t="s">
        <v>2931</v>
      </c>
      <c r="C11886">
        <v>12783</v>
      </c>
      <c r="D11886" t="str">
        <f>"10144381    "</f>
        <v xml:space="preserve">10144381    </v>
      </c>
      <c r="E11886" t="s">
        <v>581</v>
      </c>
      <c r="F11886" t="s">
        <v>582</v>
      </c>
      <c r="G11886">
        <v>1170.02</v>
      </c>
      <c r="H11886">
        <v>250917</v>
      </c>
      <c r="I11886">
        <v>4390</v>
      </c>
      <c r="J11886" t="s">
        <v>232</v>
      </c>
      <c r="K11886">
        <v>1170.02</v>
      </c>
      <c r="L11886">
        <v>237.73</v>
      </c>
      <c r="M11886">
        <v>17952</v>
      </c>
      <c r="N11886" t="s">
        <v>157</v>
      </c>
      <c r="O11886">
        <v>250930</v>
      </c>
      <c r="P11886">
        <v>932.29</v>
      </c>
    </row>
    <row r="11887" spans="1:16" x14ac:dyDescent="0.25">
      <c r="A11887" t="s">
        <v>3296</v>
      </c>
      <c r="B11887" t="s">
        <v>2931</v>
      </c>
      <c r="C11887">
        <v>11772</v>
      </c>
      <c r="D11887" t="str">
        <f>"10141828    "</f>
        <v xml:space="preserve">10141828    </v>
      </c>
      <c r="E11887" t="s">
        <v>581</v>
      </c>
      <c r="F11887" t="s">
        <v>582</v>
      </c>
      <c r="G11887">
        <v>95.1</v>
      </c>
      <c r="H11887">
        <v>250828</v>
      </c>
      <c r="I11887">
        <v>4400</v>
      </c>
      <c r="J11887" t="s">
        <v>162</v>
      </c>
      <c r="K11887">
        <v>95.1</v>
      </c>
      <c r="L11887">
        <v>19.32</v>
      </c>
      <c r="M11887">
        <v>17805</v>
      </c>
      <c r="N11887" t="s">
        <v>21</v>
      </c>
      <c r="O11887">
        <v>250910</v>
      </c>
      <c r="P11887">
        <v>75.78</v>
      </c>
    </row>
    <row r="11888" spans="1:16" x14ac:dyDescent="0.25">
      <c r="A11888" t="s">
        <v>3296</v>
      </c>
      <c r="B11888" t="s">
        <v>2931</v>
      </c>
      <c r="C11888">
        <v>11777</v>
      </c>
      <c r="D11888" t="str">
        <f>"10141881    "</f>
        <v xml:space="preserve">10141881    </v>
      </c>
      <c r="E11888" t="s">
        <v>581</v>
      </c>
      <c r="F11888" t="s">
        <v>582</v>
      </c>
      <c r="G11888">
        <v>133.82</v>
      </c>
      <c r="H11888">
        <v>250828</v>
      </c>
      <c r="I11888">
        <v>4400</v>
      </c>
      <c r="J11888" t="s">
        <v>162</v>
      </c>
      <c r="K11888">
        <v>133.82</v>
      </c>
      <c r="L11888">
        <v>27.19</v>
      </c>
      <c r="M11888">
        <v>17805</v>
      </c>
      <c r="N11888" t="s">
        <v>21</v>
      </c>
      <c r="O11888">
        <v>250910</v>
      </c>
      <c r="P11888">
        <v>106.63</v>
      </c>
    </row>
    <row r="11889" spans="1:16" x14ac:dyDescent="0.25">
      <c r="A11889" t="s">
        <v>3296</v>
      </c>
      <c r="B11889" t="s">
        <v>2931</v>
      </c>
      <c r="C11889">
        <v>2868</v>
      </c>
      <c r="D11889" t="str">
        <f>"10120837    "</f>
        <v xml:space="preserve">10120837    </v>
      </c>
      <c r="E11889" t="s">
        <v>581</v>
      </c>
      <c r="F11889" t="s">
        <v>582</v>
      </c>
      <c r="G11889">
        <v>589.85</v>
      </c>
      <c r="H11889">
        <v>250221</v>
      </c>
      <c r="I11889">
        <v>4580</v>
      </c>
      <c r="J11889" t="s">
        <v>126</v>
      </c>
      <c r="K11889">
        <v>589.85</v>
      </c>
      <c r="L11889">
        <v>119.85</v>
      </c>
      <c r="M11889">
        <v>17809</v>
      </c>
      <c r="N11889" t="s">
        <v>25</v>
      </c>
      <c r="O11889">
        <v>250312</v>
      </c>
      <c r="P11889">
        <v>470</v>
      </c>
    </row>
    <row r="11890" spans="1:16" x14ac:dyDescent="0.25">
      <c r="A11890" t="s">
        <v>3296</v>
      </c>
      <c r="B11890" t="s">
        <v>2931</v>
      </c>
      <c r="C11890">
        <v>3975</v>
      </c>
      <c r="D11890" t="str">
        <f>"10122248    "</f>
        <v xml:space="preserve">10122248    </v>
      </c>
      <c r="E11890" t="s">
        <v>581</v>
      </c>
      <c r="F11890" t="s">
        <v>582</v>
      </c>
      <c r="G11890">
        <v>155.75</v>
      </c>
      <c r="H11890">
        <v>250305</v>
      </c>
      <c r="I11890">
        <v>4580</v>
      </c>
      <c r="J11890" t="s">
        <v>126</v>
      </c>
      <c r="K11890">
        <v>155.75</v>
      </c>
      <c r="L11890">
        <v>31.65</v>
      </c>
      <c r="M11890">
        <v>17809</v>
      </c>
      <c r="N11890" t="s">
        <v>25</v>
      </c>
      <c r="O11890">
        <v>250404</v>
      </c>
      <c r="P11890">
        <v>124.1</v>
      </c>
    </row>
    <row r="11891" spans="1:16" x14ac:dyDescent="0.25">
      <c r="A11891" t="s">
        <v>3296</v>
      </c>
      <c r="B11891" t="s">
        <v>2931</v>
      </c>
      <c r="C11891">
        <v>8942</v>
      </c>
      <c r="D11891" t="str">
        <f>"10132769    "</f>
        <v xml:space="preserve">10132769    </v>
      </c>
      <c r="E11891" t="s">
        <v>581</v>
      </c>
      <c r="F11891" t="s">
        <v>582</v>
      </c>
      <c r="G11891">
        <v>57.49</v>
      </c>
      <c r="H11891">
        <v>250606</v>
      </c>
      <c r="I11891">
        <v>4580</v>
      </c>
      <c r="J11891" t="s">
        <v>126</v>
      </c>
      <c r="K11891">
        <v>57.49</v>
      </c>
      <c r="L11891">
        <v>11.68</v>
      </c>
      <c r="M11891">
        <v>17809</v>
      </c>
      <c r="N11891" t="s">
        <v>25</v>
      </c>
      <c r="O11891">
        <v>250619</v>
      </c>
      <c r="P11891">
        <v>45.81</v>
      </c>
    </row>
    <row r="11892" spans="1:16" x14ac:dyDescent="0.25">
      <c r="A11892" t="s">
        <v>3296</v>
      </c>
      <c r="B11892" t="s">
        <v>2931</v>
      </c>
      <c r="C11892">
        <v>12220</v>
      </c>
      <c r="D11892" t="str">
        <f>"10142404    "</f>
        <v xml:space="preserve">10142404    </v>
      </c>
      <c r="E11892" t="s">
        <v>581</v>
      </c>
      <c r="F11892" t="s">
        <v>582</v>
      </c>
      <c r="G11892">
        <v>617.65</v>
      </c>
      <c r="H11892">
        <v>250902</v>
      </c>
      <c r="I11892">
        <v>4580</v>
      </c>
      <c r="J11892" t="s">
        <v>126</v>
      </c>
      <c r="K11892">
        <v>617.65</v>
      </c>
      <c r="L11892">
        <v>125.5</v>
      </c>
      <c r="M11892">
        <v>17809</v>
      </c>
      <c r="N11892" t="s">
        <v>25</v>
      </c>
      <c r="O11892">
        <v>250917</v>
      </c>
      <c r="P11892">
        <v>492.15</v>
      </c>
    </row>
    <row r="11893" spans="1:16" x14ac:dyDescent="0.25">
      <c r="A11893" t="s">
        <v>3296</v>
      </c>
      <c r="B11893" t="s">
        <v>2931</v>
      </c>
      <c r="C11893">
        <v>12358</v>
      </c>
      <c r="D11893" t="str">
        <f>"10143159    "</f>
        <v xml:space="preserve">10143159    </v>
      </c>
      <c r="E11893" t="s">
        <v>581</v>
      </c>
      <c r="F11893" t="s">
        <v>582</v>
      </c>
      <c r="G11893">
        <v>617.65</v>
      </c>
      <c r="H11893">
        <v>250908</v>
      </c>
      <c r="I11893">
        <v>4580</v>
      </c>
      <c r="J11893" t="s">
        <v>126</v>
      </c>
      <c r="K11893">
        <v>617.65</v>
      </c>
      <c r="L11893">
        <v>125.5</v>
      </c>
      <c r="M11893">
        <v>17809</v>
      </c>
      <c r="N11893" t="s">
        <v>25</v>
      </c>
      <c r="O11893">
        <v>250919</v>
      </c>
      <c r="P11893">
        <v>492.15</v>
      </c>
    </row>
    <row r="11894" spans="1:16" x14ac:dyDescent="0.25">
      <c r="A11894" t="s">
        <v>3296</v>
      </c>
      <c r="B11894" t="s">
        <v>2931</v>
      </c>
      <c r="C11894">
        <v>16743</v>
      </c>
      <c r="D11894" t="str">
        <f>"10154488    "</f>
        <v xml:space="preserve">10154488    </v>
      </c>
      <c r="E11894" t="s">
        <v>581</v>
      </c>
      <c r="F11894" t="s">
        <v>582</v>
      </c>
      <c r="G11894">
        <v>77.709999999999994</v>
      </c>
      <c r="H11894">
        <v>251126</v>
      </c>
      <c r="I11894">
        <v>4580</v>
      </c>
      <c r="J11894" t="s">
        <v>126</v>
      </c>
      <c r="K11894">
        <v>77.709999999999994</v>
      </c>
      <c r="L11894">
        <v>15.79</v>
      </c>
      <c r="M11894">
        <v>17809</v>
      </c>
      <c r="N11894" t="s">
        <v>25</v>
      </c>
      <c r="O11894">
        <v>251211</v>
      </c>
      <c r="P11894">
        <v>61.92</v>
      </c>
    </row>
    <row r="11895" spans="1:16" x14ac:dyDescent="0.25">
      <c r="A11895" t="s">
        <v>3296</v>
      </c>
      <c r="B11895" t="s">
        <v>2931</v>
      </c>
      <c r="C11895">
        <v>17646</v>
      </c>
      <c r="D11895" t="str">
        <f>"902158      "</f>
        <v xml:space="preserve">902158      </v>
      </c>
      <c r="E11895" t="s">
        <v>581</v>
      </c>
      <c r="F11895" t="s">
        <v>582</v>
      </c>
      <c r="G11895">
        <v>230.52</v>
      </c>
      <c r="H11895">
        <v>251218</v>
      </c>
      <c r="I11895">
        <v>4580</v>
      </c>
      <c r="J11895" t="s">
        <v>126</v>
      </c>
      <c r="K11895">
        <v>230.52</v>
      </c>
      <c r="L11895">
        <v>46.84</v>
      </c>
      <c r="M11895">
        <v>17809</v>
      </c>
      <c r="N11895" t="s">
        <v>25</v>
      </c>
      <c r="O11895">
        <v>251229</v>
      </c>
      <c r="P11895">
        <v>183.68</v>
      </c>
    </row>
    <row r="11896" spans="1:16" x14ac:dyDescent="0.25">
      <c r="A11896" t="s">
        <v>3296</v>
      </c>
      <c r="B11896" t="s">
        <v>2931</v>
      </c>
      <c r="C11896">
        <v>11269</v>
      </c>
      <c r="D11896" t="str">
        <f>"10141829    "</f>
        <v xml:space="preserve">10141829    </v>
      </c>
      <c r="E11896" t="s">
        <v>581</v>
      </c>
      <c r="F11896" t="s">
        <v>582</v>
      </c>
      <c r="G11896">
        <v>173.42</v>
      </c>
      <c r="H11896">
        <v>250828</v>
      </c>
      <c r="I11896">
        <v>4590</v>
      </c>
      <c r="J11896" t="s">
        <v>388</v>
      </c>
      <c r="K11896">
        <v>173.42</v>
      </c>
      <c r="L11896">
        <v>35.24</v>
      </c>
      <c r="M11896">
        <v>17807</v>
      </c>
      <c r="N11896" t="s">
        <v>23</v>
      </c>
      <c r="O11896">
        <v>250902</v>
      </c>
      <c r="P11896">
        <v>138.18</v>
      </c>
    </row>
    <row r="11897" spans="1:16" x14ac:dyDescent="0.25">
      <c r="A11897" t="s">
        <v>3296</v>
      </c>
      <c r="B11897" t="s">
        <v>2931</v>
      </c>
      <c r="C11897">
        <v>15772</v>
      </c>
      <c r="D11897" t="str">
        <f>"10153734    "</f>
        <v xml:space="preserve">10153734    </v>
      </c>
      <c r="E11897" t="s">
        <v>581</v>
      </c>
      <c r="F11897" t="s">
        <v>582</v>
      </c>
      <c r="G11897">
        <v>1096.8699999999999</v>
      </c>
      <c r="H11897">
        <v>251121</v>
      </c>
      <c r="I11897">
        <v>4590</v>
      </c>
      <c r="J11897" t="s">
        <v>388</v>
      </c>
      <c r="K11897">
        <v>1096.8699999999999</v>
      </c>
      <c r="L11897">
        <v>222.87</v>
      </c>
      <c r="M11897">
        <v>66756</v>
      </c>
      <c r="N11897" t="s">
        <v>120</v>
      </c>
      <c r="O11897">
        <v>251126</v>
      </c>
      <c r="P11897">
        <v>874</v>
      </c>
    </row>
    <row r="11898" spans="1:16" x14ac:dyDescent="0.25">
      <c r="A11898" t="s">
        <v>3296</v>
      </c>
      <c r="B11898" t="s">
        <v>2931</v>
      </c>
      <c r="C11898">
        <v>16737</v>
      </c>
      <c r="D11898" t="str">
        <f>"10154341    "</f>
        <v xml:space="preserve">10154341    </v>
      </c>
      <c r="E11898" t="s">
        <v>581</v>
      </c>
      <c r="F11898" t="s">
        <v>582</v>
      </c>
      <c r="G11898">
        <v>76.75</v>
      </c>
      <c r="H11898">
        <v>251125</v>
      </c>
      <c r="I11898">
        <v>4590</v>
      </c>
      <c r="J11898" t="s">
        <v>388</v>
      </c>
      <c r="K11898">
        <v>76.75</v>
      </c>
      <c r="L11898">
        <v>15.59</v>
      </c>
      <c r="M11898">
        <v>17806</v>
      </c>
      <c r="N11898" t="s">
        <v>22</v>
      </c>
      <c r="O11898">
        <v>251211</v>
      </c>
      <c r="P11898">
        <v>61.16</v>
      </c>
    </row>
    <row r="11899" spans="1:16" x14ac:dyDescent="0.25">
      <c r="A11899" t="s">
        <v>3296</v>
      </c>
      <c r="B11899" t="s">
        <v>2931</v>
      </c>
      <c r="C11899">
        <v>552</v>
      </c>
      <c r="D11899" t="str">
        <f>"10117350    "</f>
        <v xml:space="preserve">10117350    </v>
      </c>
      <c r="E11899" t="s">
        <v>581</v>
      </c>
      <c r="F11899" t="s">
        <v>582</v>
      </c>
      <c r="G11899">
        <v>80.66</v>
      </c>
      <c r="H11899">
        <v>250121</v>
      </c>
      <c r="I11899">
        <v>4600</v>
      </c>
      <c r="J11899" t="s">
        <v>278</v>
      </c>
      <c r="K11899">
        <v>80.66</v>
      </c>
      <c r="L11899">
        <v>16.39</v>
      </c>
      <c r="M11899">
        <v>17951</v>
      </c>
      <c r="N11899" t="s">
        <v>207</v>
      </c>
      <c r="O11899">
        <v>250123</v>
      </c>
      <c r="P11899">
        <v>64.27</v>
      </c>
    </row>
    <row r="11900" spans="1:16" x14ac:dyDescent="0.25">
      <c r="A11900" t="s">
        <v>3296</v>
      </c>
      <c r="B11900" t="s">
        <v>2931</v>
      </c>
      <c r="C11900">
        <v>867</v>
      </c>
      <c r="D11900" t="str">
        <f>"10115797    "</f>
        <v xml:space="preserve">10115797    </v>
      </c>
      <c r="E11900" t="s">
        <v>581</v>
      </c>
      <c r="F11900" t="s">
        <v>582</v>
      </c>
      <c r="G11900">
        <v>87.99</v>
      </c>
      <c r="H11900">
        <v>250108</v>
      </c>
      <c r="I11900">
        <v>4600</v>
      </c>
      <c r="J11900" t="s">
        <v>278</v>
      </c>
      <c r="K11900">
        <v>87.99</v>
      </c>
      <c r="L11900">
        <v>17.88</v>
      </c>
      <c r="M11900">
        <v>17809</v>
      </c>
      <c r="N11900" t="s">
        <v>25</v>
      </c>
      <c r="O11900">
        <v>250130</v>
      </c>
      <c r="P11900">
        <v>70.11</v>
      </c>
    </row>
    <row r="11901" spans="1:16" x14ac:dyDescent="0.25">
      <c r="A11901" t="s">
        <v>3296</v>
      </c>
      <c r="B11901" t="s">
        <v>2931</v>
      </c>
      <c r="C11901">
        <v>868</v>
      </c>
      <c r="D11901" t="str">
        <f>"10115798    "</f>
        <v xml:space="preserve">10115798    </v>
      </c>
      <c r="E11901" t="s">
        <v>581</v>
      </c>
      <c r="F11901" t="s">
        <v>582</v>
      </c>
      <c r="G11901">
        <v>61.06</v>
      </c>
      <c r="H11901">
        <v>250108</v>
      </c>
      <c r="I11901">
        <v>4600</v>
      </c>
      <c r="J11901" t="s">
        <v>278</v>
      </c>
      <c r="K11901">
        <v>61.06</v>
      </c>
      <c r="L11901">
        <v>12.41</v>
      </c>
      <c r="M11901">
        <v>17809</v>
      </c>
      <c r="N11901" t="s">
        <v>25</v>
      </c>
      <c r="O11901">
        <v>250130</v>
      </c>
      <c r="P11901">
        <v>48.65</v>
      </c>
    </row>
    <row r="11902" spans="1:16" x14ac:dyDescent="0.25">
      <c r="A11902" t="s">
        <v>3296</v>
      </c>
      <c r="B11902" t="s">
        <v>2931</v>
      </c>
      <c r="C11902">
        <v>876</v>
      </c>
      <c r="D11902" t="str">
        <f>"10116699    "</f>
        <v xml:space="preserve">10116699    </v>
      </c>
      <c r="E11902" t="s">
        <v>581</v>
      </c>
      <c r="F11902" t="s">
        <v>582</v>
      </c>
      <c r="G11902">
        <v>165.99</v>
      </c>
      <c r="H11902">
        <v>250116</v>
      </c>
      <c r="I11902">
        <v>4600</v>
      </c>
      <c r="J11902" t="s">
        <v>278</v>
      </c>
      <c r="K11902">
        <v>165.99</v>
      </c>
      <c r="L11902">
        <v>33.729999999999997</v>
      </c>
      <c r="M11902">
        <v>17809</v>
      </c>
      <c r="N11902" t="s">
        <v>25</v>
      </c>
      <c r="O11902">
        <v>250130</v>
      </c>
      <c r="P11902">
        <v>132.26</v>
      </c>
    </row>
    <row r="11903" spans="1:16" x14ac:dyDescent="0.25">
      <c r="A11903" t="s">
        <v>3296</v>
      </c>
      <c r="B11903" t="s">
        <v>2931</v>
      </c>
      <c r="C11903">
        <v>2857</v>
      </c>
      <c r="D11903" t="str">
        <f>"10120307    "</f>
        <v xml:space="preserve">10120307    </v>
      </c>
      <c r="E11903" t="s">
        <v>581</v>
      </c>
      <c r="F11903" t="s">
        <v>582</v>
      </c>
      <c r="G11903">
        <v>162.94999999999999</v>
      </c>
      <c r="H11903">
        <v>250218</v>
      </c>
      <c r="I11903">
        <v>4600</v>
      </c>
      <c r="J11903" t="s">
        <v>278</v>
      </c>
      <c r="K11903">
        <v>162.94999999999999</v>
      </c>
      <c r="L11903">
        <v>33.11</v>
      </c>
      <c r="M11903">
        <v>17809</v>
      </c>
      <c r="N11903" t="s">
        <v>25</v>
      </c>
      <c r="O11903">
        <v>250312</v>
      </c>
      <c r="P11903">
        <v>129.84</v>
      </c>
    </row>
    <row r="11904" spans="1:16" x14ac:dyDescent="0.25">
      <c r="A11904" t="s">
        <v>3296</v>
      </c>
      <c r="B11904" t="s">
        <v>2931</v>
      </c>
      <c r="C11904">
        <v>5635</v>
      </c>
      <c r="D11904" t="str">
        <f>"10125827    "</f>
        <v xml:space="preserve">10125827    </v>
      </c>
      <c r="E11904" t="s">
        <v>581</v>
      </c>
      <c r="F11904" t="s">
        <v>582</v>
      </c>
      <c r="G11904">
        <v>413.49</v>
      </c>
      <c r="H11904">
        <v>250408</v>
      </c>
      <c r="I11904">
        <v>4600</v>
      </c>
      <c r="J11904" t="s">
        <v>278</v>
      </c>
      <c r="K11904">
        <v>413.49</v>
      </c>
      <c r="L11904">
        <v>84.02</v>
      </c>
      <c r="M11904">
        <v>17819</v>
      </c>
      <c r="N11904" t="s">
        <v>1776</v>
      </c>
      <c r="O11904">
        <v>250428</v>
      </c>
      <c r="P11904">
        <v>329.47</v>
      </c>
    </row>
    <row r="11905" spans="1:16" x14ac:dyDescent="0.25">
      <c r="A11905" t="s">
        <v>3296</v>
      </c>
      <c r="B11905" t="s">
        <v>2931</v>
      </c>
      <c r="C11905">
        <v>5646</v>
      </c>
      <c r="D11905" t="str">
        <f>"10125828    "</f>
        <v xml:space="preserve">10125828    </v>
      </c>
      <c r="E11905" t="s">
        <v>581</v>
      </c>
      <c r="F11905" t="s">
        <v>582</v>
      </c>
      <c r="G11905">
        <v>131.19999999999999</v>
      </c>
      <c r="H11905">
        <v>250408</v>
      </c>
      <c r="I11905">
        <v>4600</v>
      </c>
      <c r="J11905" t="s">
        <v>278</v>
      </c>
      <c r="K11905">
        <v>131.19999999999999</v>
      </c>
      <c r="L11905">
        <v>26.66</v>
      </c>
      <c r="M11905">
        <v>17809</v>
      </c>
      <c r="N11905" t="s">
        <v>25</v>
      </c>
      <c r="O11905">
        <v>250428</v>
      </c>
      <c r="P11905">
        <v>104.54</v>
      </c>
    </row>
    <row r="11906" spans="1:16" x14ac:dyDescent="0.25">
      <c r="A11906" t="s">
        <v>3296</v>
      </c>
      <c r="B11906" t="s">
        <v>2931</v>
      </c>
      <c r="C11906">
        <v>6138</v>
      </c>
      <c r="D11906" t="str">
        <f>"10126923    "</f>
        <v xml:space="preserve">10126923    </v>
      </c>
      <c r="E11906" t="s">
        <v>581</v>
      </c>
      <c r="F11906" t="s">
        <v>582</v>
      </c>
      <c r="G11906">
        <v>409.25</v>
      </c>
      <c r="H11906">
        <v>250416</v>
      </c>
      <c r="I11906">
        <v>4600</v>
      </c>
      <c r="J11906" t="s">
        <v>278</v>
      </c>
      <c r="K11906">
        <v>409.25</v>
      </c>
      <c r="L11906">
        <v>83.15</v>
      </c>
      <c r="M11906">
        <v>17809</v>
      </c>
      <c r="N11906" t="s">
        <v>25</v>
      </c>
      <c r="O11906">
        <v>250509</v>
      </c>
      <c r="P11906">
        <v>326.10000000000002</v>
      </c>
    </row>
    <row r="11907" spans="1:16" x14ac:dyDescent="0.25">
      <c r="A11907" t="s">
        <v>3296</v>
      </c>
      <c r="B11907" t="s">
        <v>2931</v>
      </c>
      <c r="C11907">
        <v>8646</v>
      </c>
      <c r="D11907" t="str">
        <f>"10131766    "</f>
        <v xml:space="preserve">10131766    </v>
      </c>
      <c r="E11907" t="s">
        <v>581</v>
      </c>
      <c r="F11907" t="s">
        <v>582</v>
      </c>
      <c r="G11907">
        <v>895.16</v>
      </c>
      <c r="H11907">
        <v>250528</v>
      </c>
      <c r="I11907">
        <v>4600</v>
      </c>
      <c r="J11907" t="s">
        <v>278</v>
      </c>
      <c r="K11907">
        <v>895.16</v>
      </c>
      <c r="L11907">
        <v>181.89</v>
      </c>
      <c r="M11907">
        <v>17809</v>
      </c>
      <c r="N11907" t="s">
        <v>25</v>
      </c>
      <c r="O11907">
        <v>250617</v>
      </c>
      <c r="P11907">
        <v>713.27</v>
      </c>
    </row>
    <row r="11908" spans="1:16" x14ac:dyDescent="0.25">
      <c r="A11908" t="s">
        <v>3296</v>
      </c>
      <c r="B11908" t="s">
        <v>2931</v>
      </c>
      <c r="C11908">
        <v>8730</v>
      </c>
      <c r="D11908" t="str">
        <f>"10132308    "</f>
        <v xml:space="preserve">10132308    </v>
      </c>
      <c r="E11908" t="s">
        <v>581</v>
      </c>
      <c r="F11908" t="s">
        <v>582</v>
      </c>
      <c r="G11908">
        <v>463.6</v>
      </c>
      <c r="H11908">
        <v>250603</v>
      </c>
      <c r="I11908">
        <v>4600</v>
      </c>
      <c r="J11908" t="s">
        <v>278</v>
      </c>
      <c r="K11908">
        <v>463.6</v>
      </c>
      <c r="L11908">
        <v>94.2</v>
      </c>
      <c r="M11908">
        <v>17809</v>
      </c>
      <c r="N11908" t="s">
        <v>25</v>
      </c>
      <c r="O11908">
        <v>250617</v>
      </c>
      <c r="P11908">
        <v>369.4</v>
      </c>
    </row>
    <row r="11909" spans="1:16" x14ac:dyDescent="0.25">
      <c r="A11909" t="s">
        <v>3296</v>
      </c>
      <c r="B11909" t="s">
        <v>2931</v>
      </c>
      <c r="C11909">
        <v>10536</v>
      </c>
      <c r="D11909" t="str">
        <f>"10138725    "</f>
        <v xml:space="preserve">10138725    </v>
      </c>
      <c r="E11909" t="s">
        <v>581</v>
      </c>
      <c r="F11909" t="s">
        <v>582</v>
      </c>
      <c r="G11909">
        <v>156.81</v>
      </c>
      <c r="H11909">
        <v>250801</v>
      </c>
      <c r="I11909">
        <v>4600</v>
      </c>
      <c r="J11909" t="s">
        <v>278</v>
      </c>
      <c r="K11909">
        <v>156.81</v>
      </c>
      <c r="L11909">
        <v>31.86</v>
      </c>
      <c r="M11909">
        <v>17809</v>
      </c>
      <c r="N11909" t="s">
        <v>25</v>
      </c>
      <c r="O11909">
        <v>250820</v>
      </c>
      <c r="P11909">
        <v>124.95</v>
      </c>
    </row>
    <row r="11910" spans="1:16" x14ac:dyDescent="0.25">
      <c r="A11910" t="s">
        <v>3296</v>
      </c>
      <c r="B11910" t="s">
        <v>2931</v>
      </c>
      <c r="C11910">
        <v>11778</v>
      </c>
      <c r="D11910" t="str">
        <f>"10141882    "</f>
        <v xml:space="preserve">10141882    </v>
      </c>
      <c r="E11910" t="s">
        <v>581</v>
      </c>
      <c r="F11910" t="s">
        <v>582</v>
      </c>
      <c r="G11910">
        <v>241.58</v>
      </c>
      <c r="H11910">
        <v>250828</v>
      </c>
      <c r="I11910">
        <v>4600</v>
      </c>
      <c r="J11910" t="s">
        <v>278</v>
      </c>
      <c r="K11910">
        <v>241.58</v>
      </c>
      <c r="L11910">
        <v>49.09</v>
      </c>
      <c r="M11910">
        <v>17809</v>
      </c>
      <c r="N11910" t="s">
        <v>25</v>
      </c>
      <c r="O11910">
        <v>250910</v>
      </c>
      <c r="P11910">
        <v>192.49</v>
      </c>
    </row>
    <row r="11911" spans="1:16" x14ac:dyDescent="0.25">
      <c r="A11911" t="s">
        <v>3296</v>
      </c>
      <c r="B11911" t="s">
        <v>2931</v>
      </c>
      <c r="C11911">
        <v>12108</v>
      </c>
      <c r="D11911" t="str">
        <f>"10142272    "</f>
        <v xml:space="preserve">10142272    </v>
      </c>
      <c r="E11911" t="s">
        <v>581</v>
      </c>
      <c r="F11911" t="s">
        <v>582</v>
      </c>
      <c r="G11911">
        <v>2485.92</v>
      </c>
      <c r="H11911">
        <v>250901</v>
      </c>
      <c r="I11911">
        <v>4600</v>
      </c>
      <c r="J11911" t="s">
        <v>278</v>
      </c>
      <c r="K11911">
        <v>2485.92</v>
      </c>
      <c r="L11911">
        <v>505.11</v>
      </c>
      <c r="M11911">
        <v>17809</v>
      </c>
      <c r="N11911" t="s">
        <v>25</v>
      </c>
      <c r="O11911">
        <v>250916</v>
      </c>
      <c r="P11911">
        <v>1980.81</v>
      </c>
    </row>
    <row r="11912" spans="1:16" x14ac:dyDescent="0.25">
      <c r="A11912" t="s">
        <v>3296</v>
      </c>
      <c r="B11912" t="s">
        <v>2931</v>
      </c>
      <c r="C11912">
        <v>12829</v>
      </c>
      <c r="D11912" t="str">
        <f>"10145080    "</f>
        <v xml:space="preserve">10145080    </v>
      </c>
      <c r="E11912" t="s">
        <v>581</v>
      </c>
      <c r="F11912" t="s">
        <v>582</v>
      </c>
      <c r="G11912">
        <v>1184.42</v>
      </c>
      <c r="H11912">
        <v>250922</v>
      </c>
      <c r="I11912">
        <v>4600</v>
      </c>
      <c r="J11912" t="s">
        <v>278</v>
      </c>
      <c r="K11912">
        <v>1184.42</v>
      </c>
      <c r="L11912">
        <v>240.66</v>
      </c>
      <c r="M11912">
        <v>17809</v>
      </c>
      <c r="N11912" t="s">
        <v>25</v>
      </c>
      <c r="O11912">
        <v>250930</v>
      </c>
      <c r="P11912">
        <v>943.76</v>
      </c>
    </row>
    <row r="11913" spans="1:16" x14ac:dyDescent="0.25">
      <c r="A11913" t="s">
        <v>3296</v>
      </c>
      <c r="B11913" t="s">
        <v>2931</v>
      </c>
      <c r="C11913">
        <v>15538</v>
      </c>
      <c r="D11913" t="str">
        <f>"10152406    "</f>
        <v xml:space="preserve">10152406    </v>
      </c>
      <c r="E11913" t="s">
        <v>581</v>
      </c>
      <c r="F11913" t="s">
        <v>582</v>
      </c>
      <c r="G11913">
        <v>363.45</v>
      </c>
      <c r="H11913">
        <v>251112</v>
      </c>
      <c r="I11913">
        <v>4600</v>
      </c>
      <c r="J11913" t="s">
        <v>278</v>
      </c>
      <c r="K11913">
        <v>363.45</v>
      </c>
      <c r="L11913">
        <v>73.849999999999994</v>
      </c>
      <c r="M11913">
        <v>17809</v>
      </c>
      <c r="N11913" t="s">
        <v>25</v>
      </c>
      <c r="O11913">
        <v>251121</v>
      </c>
      <c r="P11913">
        <v>289.60000000000002</v>
      </c>
    </row>
    <row r="11914" spans="1:16" x14ac:dyDescent="0.25">
      <c r="A11914" t="s">
        <v>3296</v>
      </c>
      <c r="B11914" t="s">
        <v>2931</v>
      </c>
      <c r="C11914">
        <v>15543</v>
      </c>
      <c r="D11914" t="str">
        <f>"10152604    "</f>
        <v xml:space="preserve">10152604    </v>
      </c>
      <c r="E11914" t="s">
        <v>581</v>
      </c>
      <c r="F11914" t="s">
        <v>582</v>
      </c>
      <c r="G11914">
        <v>223.7</v>
      </c>
      <c r="H11914">
        <v>251113</v>
      </c>
      <c r="I11914">
        <v>4600</v>
      </c>
      <c r="J11914" t="s">
        <v>278</v>
      </c>
      <c r="K11914">
        <v>223.7</v>
      </c>
      <c r="L11914">
        <v>45.45</v>
      </c>
      <c r="M11914">
        <v>17951</v>
      </c>
      <c r="N11914" t="s">
        <v>207</v>
      </c>
      <c r="O11914">
        <v>251121</v>
      </c>
      <c r="P11914">
        <v>178.25</v>
      </c>
    </row>
    <row r="11915" spans="1:16" x14ac:dyDescent="0.25">
      <c r="A11915" t="s">
        <v>3296</v>
      </c>
      <c r="B11915" t="s">
        <v>2931</v>
      </c>
      <c r="C11915">
        <v>15544</v>
      </c>
      <c r="D11915" t="str">
        <f>"10152603    "</f>
        <v xml:space="preserve">10152603    </v>
      </c>
      <c r="E11915" t="s">
        <v>581</v>
      </c>
      <c r="F11915" t="s">
        <v>582</v>
      </c>
      <c r="G11915">
        <v>233.49</v>
      </c>
      <c r="H11915">
        <v>251113</v>
      </c>
      <c r="I11915">
        <v>4600</v>
      </c>
      <c r="J11915" t="s">
        <v>278</v>
      </c>
      <c r="K11915">
        <v>233.49</v>
      </c>
      <c r="L11915">
        <v>47.44</v>
      </c>
      <c r="M11915">
        <v>17951</v>
      </c>
      <c r="N11915" t="s">
        <v>207</v>
      </c>
      <c r="O11915">
        <v>251121</v>
      </c>
      <c r="P11915">
        <v>186.05</v>
      </c>
    </row>
    <row r="11916" spans="1:16" x14ac:dyDescent="0.25">
      <c r="A11916" t="s">
        <v>3296</v>
      </c>
      <c r="B11916" t="s">
        <v>2931</v>
      </c>
      <c r="C11916">
        <v>15638</v>
      </c>
      <c r="D11916" t="str">
        <f>"10151524    "</f>
        <v xml:space="preserve">10151524    </v>
      </c>
      <c r="E11916" t="s">
        <v>581</v>
      </c>
      <c r="F11916" t="s">
        <v>582</v>
      </c>
      <c r="G11916">
        <v>46.34</v>
      </c>
      <c r="H11916">
        <v>251105</v>
      </c>
      <c r="I11916">
        <v>4600</v>
      </c>
      <c r="J11916" t="s">
        <v>278</v>
      </c>
      <c r="K11916">
        <v>164.14</v>
      </c>
      <c r="L11916">
        <v>9.42</v>
      </c>
      <c r="M11916">
        <v>17803</v>
      </c>
      <c r="N11916" t="s">
        <v>19</v>
      </c>
      <c r="O11916">
        <v>251124</v>
      </c>
      <c r="P11916">
        <v>36.92</v>
      </c>
    </row>
    <row r="11917" spans="1:16" x14ac:dyDescent="0.25">
      <c r="A11917" t="s">
        <v>3296</v>
      </c>
      <c r="B11917" t="s">
        <v>2931</v>
      </c>
      <c r="C11917">
        <v>15638</v>
      </c>
      <c r="D11917" t="str">
        <f>"10151524    "</f>
        <v xml:space="preserve">10151524    </v>
      </c>
      <c r="E11917" t="s">
        <v>581</v>
      </c>
      <c r="F11917" t="s">
        <v>582</v>
      </c>
      <c r="G11917">
        <v>117.8</v>
      </c>
      <c r="H11917">
        <v>251105</v>
      </c>
      <c r="I11917">
        <v>4600</v>
      </c>
      <c r="J11917" t="s">
        <v>278</v>
      </c>
      <c r="K11917">
        <v>164.14</v>
      </c>
      <c r="L11917">
        <v>23.94</v>
      </c>
      <c r="M11917">
        <v>17813</v>
      </c>
      <c r="N11917" t="s">
        <v>858</v>
      </c>
      <c r="O11917">
        <v>251124</v>
      </c>
      <c r="P11917">
        <v>93.86</v>
      </c>
    </row>
    <row r="11918" spans="1:16" x14ac:dyDescent="0.25">
      <c r="A11918" t="s">
        <v>3296</v>
      </c>
      <c r="B11918" t="s">
        <v>2931</v>
      </c>
      <c r="C11918">
        <v>16477</v>
      </c>
      <c r="D11918" t="str">
        <f>"10152605    "</f>
        <v xml:space="preserve">10152605    </v>
      </c>
      <c r="E11918" t="s">
        <v>581</v>
      </c>
      <c r="F11918" t="s">
        <v>582</v>
      </c>
      <c r="G11918">
        <v>534.29999999999995</v>
      </c>
      <c r="H11918">
        <v>251113</v>
      </c>
      <c r="I11918">
        <v>4600</v>
      </c>
      <c r="J11918" t="s">
        <v>278</v>
      </c>
      <c r="K11918">
        <v>534.29999999999995</v>
      </c>
      <c r="L11918">
        <v>108.56</v>
      </c>
      <c r="M11918">
        <v>17809</v>
      </c>
      <c r="N11918" t="s">
        <v>25</v>
      </c>
      <c r="O11918">
        <v>251209</v>
      </c>
      <c r="P11918">
        <v>425.74</v>
      </c>
    </row>
    <row r="11919" spans="1:16" x14ac:dyDescent="0.25">
      <c r="A11919" t="s">
        <v>3296</v>
      </c>
      <c r="B11919" t="s">
        <v>2931</v>
      </c>
      <c r="C11919">
        <v>16764</v>
      </c>
      <c r="D11919" t="str">
        <f>"10155229    "</f>
        <v xml:space="preserve">10155229    </v>
      </c>
      <c r="E11919" t="s">
        <v>581</v>
      </c>
      <c r="F11919" t="s">
        <v>582</v>
      </c>
      <c r="G11919">
        <v>495.97</v>
      </c>
      <c r="H11919">
        <v>251201</v>
      </c>
      <c r="I11919">
        <v>4600</v>
      </c>
      <c r="J11919" t="s">
        <v>278</v>
      </c>
      <c r="K11919">
        <v>495.97</v>
      </c>
      <c r="L11919">
        <v>100.77</v>
      </c>
      <c r="M11919">
        <v>17809</v>
      </c>
      <c r="N11919" t="s">
        <v>25</v>
      </c>
      <c r="O11919">
        <v>251211</v>
      </c>
      <c r="P11919">
        <v>395.2</v>
      </c>
    </row>
    <row r="11920" spans="1:16" x14ac:dyDescent="0.25">
      <c r="A11920" t="s">
        <v>3296</v>
      </c>
      <c r="B11920" t="s">
        <v>2931</v>
      </c>
      <c r="C11920">
        <v>17875</v>
      </c>
      <c r="D11920" t="str">
        <f>"10156795    "</f>
        <v xml:space="preserve">10156795    </v>
      </c>
      <c r="E11920" t="s">
        <v>581</v>
      </c>
      <c r="F11920" t="s">
        <v>582</v>
      </c>
      <c r="G11920">
        <v>2510</v>
      </c>
      <c r="H11920">
        <v>251212</v>
      </c>
      <c r="I11920">
        <v>4600</v>
      </c>
      <c r="J11920" t="s">
        <v>278</v>
      </c>
      <c r="K11920">
        <v>2510</v>
      </c>
      <c r="L11920">
        <v>510</v>
      </c>
      <c r="M11920">
        <v>17809</v>
      </c>
      <c r="N11920" t="s">
        <v>25</v>
      </c>
      <c r="O11920">
        <v>251231</v>
      </c>
      <c r="P11920">
        <v>2000</v>
      </c>
    </row>
    <row r="11921" spans="1:16" x14ac:dyDescent="0.25">
      <c r="A11921" t="s">
        <v>3296</v>
      </c>
      <c r="B11921" t="s">
        <v>2931</v>
      </c>
      <c r="C11921">
        <v>555</v>
      </c>
      <c r="D11921" t="str">
        <f>"2422084399  "</f>
        <v xml:space="preserve">2422084399  </v>
      </c>
      <c r="E11921" t="s">
        <v>583</v>
      </c>
      <c r="F11921" t="s">
        <v>584</v>
      </c>
      <c r="G11921">
        <v>77.760000000000005</v>
      </c>
      <c r="H11921">
        <v>250121</v>
      </c>
      <c r="I11921">
        <v>4500</v>
      </c>
      <c r="J11921" t="s">
        <v>312</v>
      </c>
      <c r="K11921">
        <v>77.760000000000005</v>
      </c>
      <c r="L11921">
        <v>15.8</v>
      </c>
      <c r="M11921">
        <v>17808</v>
      </c>
      <c r="N11921" t="s">
        <v>24</v>
      </c>
      <c r="O11921">
        <v>250123</v>
      </c>
      <c r="P11921">
        <v>61.96</v>
      </c>
    </row>
    <row r="11922" spans="1:16" x14ac:dyDescent="0.25">
      <c r="A11922" t="s">
        <v>3296</v>
      </c>
      <c r="B11922" t="s">
        <v>2931</v>
      </c>
      <c r="C11922">
        <v>1684</v>
      </c>
      <c r="D11922" t="str">
        <f>"2422092836  "</f>
        <v xml:space="preserve">2422092836  </v>
      </c>
      <c r="E11922" t="s">
        <v>583</v>
      </c>
      <c r="F11922" t="s">
        <v>584</v>
      </c>
      <c r="G11922">
        <v>6.68</v>
      </c>
      <c r="H11922">
        <v>250204</v>
      </c>
      <c r="I11922">
        <v>4500</v>
      </c>
      <c r="J11922" t="s">
        <v>312</v>
      </c>
      <c r="K11922">
        <v>6.68</v>
      </c>
      <c r="L11922">
        <v>1.36</v>
      </c>
      <c r="M11922">
        <v>16431</v>
      </c>
      <c r="N11922" t="s">
        <v>17</v>
      </c>
      <c r="O11922">
        <v>250212</v>
      </c>
      <c r="P11922">
        <v>5.32</v>
      </c>
    </row>
    <row r="11923" spans="1:16" x14ac:dyDescent="0.25">
      <c r="A11923" t="s">
        <v>3296</v>
      </c>
      <c r="B11923" t="s">
        <v>2931</v>
      </c>
      <c r="C11923">
        <v>11339</v>
      </c>
      <c r="D11923" t="str">
        <f>"2422184015  "</f>
        <v xml:space="preserve">2422184015  </v>
      </c>
      <c r="E11923" t="s">
        <v>583</v>
      </c>
      <c r="F11923" t="s">
        <v>584</v>
      </c>
      <c r="G11923">
        <v>199.41</v>
      </c>
      <c r="H11923">
        <v>250901</v>
      </c>
      <c r="I11923">
        <v>4500</v>
      </c>
      <c r="J11923" t="s">
        <v>312</v>
      </c>
      <c r="K11923">
        <v>199.41</v>
      </c>
      <c r="L11923">
        <v>40.520000000000003</v>
      </c>
      <c r="M11923">
        <v>69704</v>
      </c>
      <c r="N11923" t="s">
        <v>89</v>
      </c>
      <c r="O11923">
        <v>250903</v>
      </c>
      <c r="P11923">
        <v>158.88999999999999</v>
      </c>
    </row>
    <row r="11924" spans="1:16" x14ac:dyDescent="0.25">
      <c r="A11924" t="s">
        <v>3296</v>
      </c>
      <c r="B11924" t="s">
        <v>2931</v>
      </c>
      <c r="C11924">
        <v>14282</v>
      </c>
      <c r="D11924" t="str">
        <f>"32010       "</f>
        <v xml:space="preserve">32010       </v>
      </c>
      <c r="E11924" t="s">
        <v>2493</v>
      </c>
      <c r="F11924" t="s">
        <v>2494</v>
      </c>
      <c r="G11924">
        <v>286.5</v>
      </c>
      <c r="H11924">
        <v>251024</v>
      </c>
      <c r="I11924">
        <v>4440</v>
      </c>
      <c r="J11924" t="s">
        <v>346</v>
      </c>
      <c r="K11924">
        <v>286.5</v>
      </c>
      <c r="L11924">
        <v>58.21</v>
      </c>
      <c r="M11924">
        <v>13401</v>
      </c>
      <c r="N11924" t="s">
        <v>10</v>
      </c>
      <c r="O11924">
        <v>251028</v>
      </c>
      <c r="P11924">
        <v>228.29</v>
      </c>
    </row>
    <row r="11925" spans="1:16" x14ac:dyDescent="0.25">
      <c r="A11925" t="s">
        <v>3296</v>
      </c>
      <c r="B11925" t="s">
        <v>2931</v>
      </c>
      <c r="C11925">
        <v>11165</v>
      </c>
      <c r="D11925" t="str">
        <f>"LA 20250124 "</f>
        <v xml:space="preserve">LA 20250124 </v>
      </c>
      <c r="E11925" t="s">
        <v>2257</v>
      </c>
      <c r="F11925" t="s">
        <v>2258</v>
      </c>
      <c r="G11925">
        <v>35.200000000000003</v>
      </c>
      <c r="H11925">
        <v>250828</v>
      </c>
      <c r="I11925">
        <v>4420</v>
      </c>
      <c r="J11925" t="s">
        <v>330</v>
      </c>
      <c r="K11925">
        <v>35.200000000000003</v>
      </c>
      <c r="L11925">
        <v>4.32</v>
      </c>
      <c r="M11925">
        <v>16322</v>
      </c>
      <c r="N11925" t="s">
        <v>331</v>
      </c>
      <c r="O11925">
        <v>250901</v>
      </c>
      <c r="P11925">
        <v>30.88</v>
      </c>
    </row>
    <row r="11926" spans="1:16" x14ac:dyDescent="0.25">
      <c r="A11926" t="s">
        <v>3296</v>
      </c>
      <c r="B11926" t="s">
        <v>2931</v>
      </c>
      <c r="C11926">
        <v>13116</v>
      </c>
      <c r="D11926" t="str">
        <f>"LA 20250137 "</f>
        <v xml:space="preserve">LA 20250137 </v>
      </c>
      <c r="E11926" t="s">
        <v>2257</v>
      </c>
      <c r="F11926" t="s">
        <v>2258</v>
      </c>
      <c r="G11926">
        <v>96.8</v>
      </c>
      <c r="H11926">
        <v>250929</v>
      </c>
      <c r="I11926">
        <v>4420</v>
      </c>
      <c r="J11926" t="s">
        <v>330</v>
      </c>
      <c r="K11926">
        <v>96.8</v>
      </c>
      <c r="L11926">
        <v>11.89</v>
      </c>
      <c r="M11926">
        <v>16322</v>
      </c>
      <c r="N11926" t="s">
        <v>331</v>
      </c>
      <c r="O11926">
        <v>251006</v>
      </c>
      <c r="P11926">
        <v>84.91</v>
      </c>
    </row>
    <row r="11927" spans="1:16" x14ac:dyDescent="0.25">
      <c r="A11927" t="s">
        <v>3296</v>
      </c>
      <c r="B11927" t="s">
        <v>2931</v>
      </c>
      <c r="C11927">
        <v>14326</v>
      </c>
      <c r="D11927" t="str">
        <f>"LA 20250158 "</f>
        <v xml:space="preserve">LA 20250158 </v>
      </c>
      <c r="E11927" t="s">
        <v>2257</v>
      </c>
      <c r="F11927" t="s">
        <v>2258</v>
      </c>
      <c r="G11927">
        <v>52.8</v>
      </c>
      <c r="H11927">
        <v>251024</v>
      </c>
      <c r="I11927">
        <v>4420</v>
      </c>
      <c r="J11927" t="s">
        <v>330</v>
      </c>
      <c r="K11927">
        <v>52.8</v>
      </c>
      <c r="L11927">
        <v>6.48</v>
      </c>
      <c r="M11927">
        <v>16322</v>
      </c>
      <c r="N11927" t="s">
        <v>331</v>
      </c>
      <c r="O11927">
        <v>251029</v>
      </c>
      <c r="P11927">
        <v>46.32</v>
      </c>
    </row>
    <row r="11928" spans="1:16" x14ac:dyDescent="0.25">
      <c r="A11928" t="s">
        <v>3296</v>
      </c>
      <c r="B11928" t="s">
        <v>2931</v>
      </c>
      <c r="C11928">
        <v>15998</v>
      </c>
      <c r="D11928" t="str">
        <f>"LA 20250177 "</f>
        <v xml:space="preserve">LA 20250177 </v>
      </c>
      <c r="E11928" t="s">
        <v>2257</v>
      </c>
      <c r="F11928" t="s">
        <v>2258</v>
      </c>
      <c r="G11928">
        <v>114.4</v>
      </c>
      <c r="H11928">
        <v>251128</v>
      </c>
      <c r="I11928">
        <v>4420</v>
      </c>
      <c r="J11928" t="s">
        <v>330</v>
      </c>
      <c r="K11928">
        <v>114.4</v>
      </c>
      <c r="L11928">
        <v>0</v>
      </c>
      <c r="M11928">
        <v>16322</v>
      </c>
      <c r="N11928" t="s">
        <v>331</v>
      </c>
      <c r="O11928">
        <v>251201</v>
      </c>
      <c r="P11928">
        <v>114.4</v>
      </c>
    </row>
    <row r="11929" spans="1:16" x14ac:dyDescent="0.25">
      <c r="A11929" t="s">
        <v>3296</v>
      </c>
      <c r="B11929" t="s">
        <v>2931</v>
      </c>
      <c r="C11929">
        <v>17026</v>
      </c>
      <c r="D11929" t="str">
        <f>"LA 20250194 "</f>
        <v xml:space="preserve">LA 20250194 </v>
      </c>
      <c r="E11929" t="s">
        <v>2257</v>
      </c>
      <c r="F11929" t="s">
        <v>2258</v>
      </c>
      <c r="G11929">
        <v>52.8</v>
      </c>
      <c r="H11929">
        <v>251215</v>
      </c>
      <c r="I11929">
        <v>4420</v>
      </c>
      <c r="J11929" t="s">
        <v>330</v>
      </c>
      <c r="K11929">
        <v>52.8</v>
      </c>
      <c r="L11929">
        <v>6.48</v>
      </c>
      <c r="M11929">
        <v>16322</v>
      </c>
      <c r="N11929" t="s">
        <v>331</v>
      </c>
      <c r="O11929">
        <v>251216</v>
      </c>
      <c r="P11929">
        <v>46.32</v>
      </c>
    </row>
    <row r="11930" spans="1:16" x14ac:dyDescent="0.25">
      <c r="A11930" t="s">
        <v>3296</v>
      </c>
      <c r="B11930" t="s">
        <v>2931</v>
      </c>
      <c r="C11930">
        <v>18229</v>
      </c>
      <c r="D11930" t="str">
        <f>"LA 20250202 "</f>
        <v xml:space="preserve">LA 20250202 </v>
      </c>
      <c r="E11930" t="s">
        <v>2257</v>
      </c>
      <c r="F11930" t="s">
        <v>2258</v>
      </c>
      <c r="G11930">
        <v>35.200000000000003</v>
      </c>
      <c r="H11930">
        <v>251231</v>
      </c>
      <c r="I11930">
        <v>4420</v>
      </c>
      <c r="J11930" t="s">
        <v>330</v>
      </c>
      <c r="K11930">
        <v>35.200000000000003</v>
      </c>
      <c r="L11930">
        <v>4.32</v>
      </c>
      <c r="M11930">
        <v>16322</v>
      </c>
      <c r="N11930" t="s">
        <v>331</v>
      </c>
      <c r="O11930">
        <v>260112</v>
      </c>
      <c r="P11930">
        <v>30.88</v>
      </c>
    </row>
    <row r="11931" spans="1:16" x14ac:dyDescent="0.25">
      <c r="A11931" t="s">
        <v>3296</v>
      </c>
      <c r="B11931" t="s">
        <v>2931</v>
      </c>
      <c r="C11931">
        <v>6803</v>
      </c>
      <c r="D11931" t="str">
        <f>"7400007913  "</f>
        <v xml:space="preserve">7400007913  </v>
      </c>
      <c r="E11931" t="s">
        <v>3084</v>
      </c>
      <c r="F11931" t="s">
        <v>3085</v>
      </c>
      <c r="G11931">
        <v>1841.61</v>
      </c>
      <c r="H11931">
        <v>250513</v>
      </c>
      <c r="I11931">
        <v>4367</v>
      </c>
      <c r="J11931" t="s">
        <v>159</v>
      </c>
      <c r="K11931">
        <v>1841.61</v>
      </c>
      <c r="L11931">
        <v>374.19</v>
      </c>
      <c r="M11931">
        <v>47522</v>
      </c>
      <c r="N11931" t="s">
        <v>106</v>
      </c>
      <c r="O11931">
        <v>250516</v>
      </c>
      <c r="P11931">
        <v>1467.42</v>
      </c>
    </row>
    <row r="11932" spans="1:16" x14ac:dyDescent="0.25">
      <c r="A11932" t="s">
        <v>3296</v>
      </c>
      <c r="B11932" t="s">
        <v>2931</v>
      </c>
      <c r="C11932">
        <v>15668</v>
      </c>
      <c r="D11932" t="str">
        <f>"7400008644  "</f>
        <v xml:space="preserve">7400008644  </v>
      </c>
      <c r="E11932" t="s">
        <v>3084</v>
      </c>
      <c r="F11932" t="s">
        <v>3085</v>
      </c>
      <c r="G11932">
        <v>306.93</v>
      </c>
      <c r="H11932">
        <v>251111</v>
      </c>
      <c r="I11932">
        <v>4367</v>
      </c>
      <c r="J11932" t="s">
        <v>159</v>
      </c>
      <c r="K11932">
        <v>1841.61</v>
      </c>
      <c r="L11932">
        <v>62.36</v>
      </c>
      <c r="M11932">
        <v>47522</v>
      </c>
      <c r="N11932" t="s">
        <v>106</v>
      </c>
      <c r="O11932">
        <v>251124</v>
      </c>
      <c r="P11932">
        <v>244.57</v>
      </c>
    </row>
    <row r="11933" spans="1:16" x14ac:dyDescent="0.25">
      <c r="A11933" t="s">
        <v>3296</v>
      </c>
      <c r="B11933" t="s">
        <v>2931</v>
      </c>
      <c r="C11933">
        <v>2829</v>
      </c>
      <c r="D11933" t="str">
        <f>"384         "</f>
        <v xml:space="preserve">384         </v>
      </c>
      <c r="E11933" t="s">
        <v>3021</v>
      </c>
      <c r="F11933" t="s">
        <v>3022</v>
      </c>
      <c r="G11933">
        <v>64</v>
      </c>
      <c r="H11933">
        <v>250225</v>
      </c>
      <c r="I11933">
        <v>4440</v>
      </c>
      <c r="J11933" t="s">
        <v>346</v>
      </c>
      <c r="K11933">
        <v>64</v>
      </c>
      <c r="L11933">
        <v>13</v>
      </c>
      <c r="M11933">
        <v>12982</v>
      </c>
      <c r="N11933" t="s">
        <v>1384</v>
      </c>
      <c r="O11933">
        <v>250312</v>
      </c>
      <c r="P11933">
        <v>51</v>
      </c>
    </row>
    <row r="11934" spans="1:16" x14ac:dyDescent="0.25">
      <c r="A11934" t="s">
        <v>3296</v>
      </c>
      <c r="B11934" t="s">
        <v>2931</v>
      </c>
      <c r="C11934">
        <v>3488</v>
      </c>
      <c r="D11934" t="str">
        <f>"386         "</f>
        <v xml:space="preserve">386         </v>
      </c>
      <c r="E11934" t="s">
        <v>3021</v>
      </c>
      <c r="F11934" t="s">
        <v>3022</v>
      </c>
      <c r="G11934">
        <v>48</v>
      </c>
      <c r="H11934">
        <v>250310</v>
      </c>
      <c r="I11934">
        <v>4440</v>
      </c>
      <c r="J11934" t="s">
        <v>346</v>
      </c>
      <c r="K11934">
        <v>48</v>
      </c>
      <c r="L11934">
        <v>9.75</v>
      </c>
      <c r="M11934">
        <v>12982</v>
      </c>
      <c r="N11934" t="s">
        <v>1384</v>
      </c>
      <c r="O11934">
        <v>250324</v>
      </c>
      <c r="P11934">
        <v>38.25</v>
      </c>
    </row>
    <row r="11935" spans="1:16" x14ac:dyDescent="0.25">
      <c r="A11935" t="s">
        <v>3296</v>
      </c>
      <c r="B11935" t="s">
        <v>2931</v>
      </c>
      <c r="C11935">
        <v>4522</v>
      </c>
      <c r="D11935" t="str">
        <f>"388         "</f>
        <v xml:space="preserve">388         </v>
      </c>
      <c r="E11935" t="s">
        <v>3021</v>
      </c>
      <c r="F11935" t="s">
        <v>3022</v>
      </c>
      <c r="G11935">
        <v>64</v>
      </c>
      <c r="H11935">
        <v>250401</v>
      </c>
      <c r="I11935">
        <v>4440</v>
      </c>
      <c r="J11935" t="s">
        <v>346</v>
      </c>
      <c r="K11935">
        <v>64</v>
      </c>
      <c r="L11935">
        <v>13</v>
      </c>
      <c r="M11935">
        <v>11902</v>
      </c>
      <c r="N11935" t="s">
        <v>329</v>
      </c>
      <c r="O11935">
        <v>250414</v>
      </c>
      <c r="P11935">
        <v>51</v>
      </c>
    </row>
    <row r="11936" spans="1:16" x14ac:dyDescent="0.25">
      <c r="A11936" t="s">
        <v>3296</v>
      </c>
      <c r="B11936" t="s">
        <v>2931</v>
      </c>
      <c r="C11936">
        <v>1325</v>
      </c>
      <c r="D11936" t="str">
        <f>"5503        "</f>
        <v xml:space="preserve">5503        </v>
      </c>
      <c r="E11936" t="s">
        <v>941</v>
      </c>
      <c r="F11936" t="s">
        <v>942</v>
      </c>
      <c r="G11936">
        <v>5.2</v>
      </c>
      <c r="H11936">
        <v>250131</v>
      </c>
      <c r="I11936">
        <v>4500</v>
      </c>
      <c r="J11936" t="s">
        <v>312</v>
      </c>
      <c r="K11936">
        <v>26.55</v>
      </c>
      <c r="L11936">
        <v>1.06</v>
      </c>
      <c r="M11936">
        <v>44423</v>
      </c>
      <c r="N11936" t="s">
        <v>98</v>
      </c>
      <c r="O11936">
        <v>250207</v>
      </c>
      <c r="P11936">
        <v>4.1399999999999997</v>
      </c>
    </row>
    <row r="11937" spans="1:16" x14ac:dyDescent="0.25">
      <c r="A11937" t="s">
        <v>3296</v>
      </c>
      <c r="B11937" t="s">
        <v>2931</v>
      </c>
      <c r="C11937">
        <v>14647</v>
      </c>
      <c r="D11937" t="str">
        <f>"6364        "</f>
        <v xml:space="preserve">6364        </v>
      </c>
      <c r="E11937" t="s">
        <v>941</v>
      </c>
      <c r="F11937" t="s">
        <v>942</v>
      </c>
      <c r="G11937">
        <v>16.34</v>
      </c>
      <c r="H11937">
        <v>251031</v>
      </c>
      <c r="I11937">
        <v>4500</v>
      </c>
      <c r="J11937" t="s">
        <v>312</v>
      </c>
      <c r="K11937">
        <v>138.16999999999999</v>
      </c>
      <c r="L11937">
        <v>3.32</v>
      </c>
      <c r="M11937">
        <v>44424</v>
      </c>
      <c r="N11937" t="s">
        <v>99</v>
      </c>
      <c r="O11937">
        <v>251105</v>
      </c>
      <c r="P11937">
        <v>13.02</v>
      </c>
    </row>
    <row r="11938" spans="1:16" x14ac:dyDescent="0.25">
      <c r="A11938" t="s">
        <v>3296</v>
      </c>
      <c r="B11938" t="s">
        <v>2931</v>
      </c>
      <c r="C11938">
        <v>16260</v>
      </c>
      <c r="D11938" t="str">
        <f>"6487        "</f>
        <v xml:space="preserve">6487        </v>
      </c>
      <c r="E11938" t="s">
        <v>941</v>
      </c>
      <c r="F11938" t="s">
        <v>942</v>
      </c>
      <c r="G11938">
        <v>8.85</v>
      </c>
      <c r="H11938">
        <v>251130</v>
      </c>
      <c r="I11938">
        <v>4500</v>
      </c>
      <c r="J11938" t="s">
        <v>312</v>
      </c>
      <c r="K11938">
        <v>8.85</v>
      </c>
      <c r="L11938">
        <v>1.8</v>
      </c>
      <c r="M11938">
        <v>43222</v>
      </c>
      <c r="N11938" t="s">
        <v>95</v>
      </c>
      <c r="O11938">
        <v>251205</v>
      </c>
      <c r="P11938">
        <v>7.05</v>
      </c>
    </row>
    <row r="11939" spans="1:16" x14ac:dyDescent="0.25">
      <c r="A11939" t="s">
        <v>3296</v>
      </c>
      <c r="B11939" t="s">
        <v>2931</v>
      </c>
      <c r="C11939">
        <v>18240</v>
      </c>
      <c r="D11939" t="str">
        <f>"6624        "</f>
        <v xml:space="preserve">6624        </v>
      </c>
      <c r="E11939" t="s">
        <v>941</v>
      </c>
      <c r="F11939" t="s">
        <v>942</v>
      </c>
      <c r="G11939">
        <v>21.99</v>
      </c>
      <c r="H11939">
        <v>251231</v>
      </c>
      <c r="I11939">
        <v>4500</v>
      </c>
      <c r="J11939" t="s">
        <v>312</v>
      </c>
      <c r="K11939">
        <v>187.69</v>
      </c>
      <c r="L11939">
        <v>4.47</v>
      </c>
      <c r="M11939">
        <v>44424</v>
      </c>
      <c r="N11939" t="s">
        <v>99</v>
      </c>
      <c r="O11939">
        <v>260112</v>
      </c>
      <c r="P11939">
        <v>17.52</v>
      </c>
    </row>
    <row r="11940" spans="1:16" x14ac:dyDescent="0.25">
      <c r="A11940" t="s">
        <v>3296</v>
      </c>
      <c r="B11940" t="s">
        <v>2931</v>
      </c>
      <c r="C11940">
        <v>7999</v>
      </c>
      <c r="D11940" t="str">
        <f>"5905        "</f>
        <v xml:space="preserve">5905        </v>
      </c>
      <c r="E11940" t="s">
        <v>941</v>
      </c>
      <c r="F11940" t="s">
        <v>942</v>
      </c>
      <c r="G11940">
        <v>27.82</v>
      </c>
      <c r="H11940">
        <v>250531</v>
      </c>
      <c r="I11940">
        <v>4520</v>
      </c>
      <c r="J11940" t="s">
        <v>280</v>
      </c>
      <c r="K11940">
        <v>62.52</v>
      </c>
      <c r="L11940">
        <v>3.42</v>
      </c>
      <c r="M11940">
        <v>49704</v>
      </c>
      <c r="N11940" t="s">
        <v>113</v>
      </c>
      <c r="O11940">
        <v>250610</v>
      </c>
      <c r="P11940">
        <v>24.4</v>
      </c>
    </row>
    <row r="11941" spans="1:16" x14ac:dyDescent="0.25">
      <c r="A11941" t="s">
        <v>3296</v>
      </c>
      <c r="B11941" t="s">
        <v>2931</v>
      </c>
      <c r="C11941">
        <v>14647</v>
      </c>
      <c r="D11941" t="str">
        <f>"6364        "</f>
        <v xml:space="preserve">6364        </v>
      </c>
      <c r="E11941" t="s">
        <v>941</v>
      </c>
      <c r="F11941" t="s">
        <v>942</v>
      </c>
      <c r="G11941">
        <v>20.91</v>
      </c>
      <c r="H11941">
        <v>251031</v>
      </c>
      <c r="I11941">
        <v>4520</v>
      </c>
      <c r="J11941" t="s">
        <v>280</v>
      </c>
      <c r="K11941">
        <v>138.16999999999999</v>
      </c>
      <c r="L11941">
        <v>2.57</v>
      </c>
      <c r="M11941">
        <v>41126</v>
      </c>
      <c r="N11941" t="s">
        <v>94</v>
      </c>
      <c r="O11941">
        <v>251105</v>
      </c>
      <c r="P11941">
        <v>18.34</v>
      </c>
    </row>
    <row r="11942" spans="1:16" x14ac:dyDescent="0.25">
      <c r="A11942" t="s">
        <v>3296</v>
      </c>
      <c r="B11942" t="s">
        <v>2931</v>
      </c>
      <c r="C11942">
        <v>14647</v>
      </c>
      <c r="D11942" t="str">
        <f>"6364        "</f>
        <v xml:space="preserve">6364        </v>
      </c>
      <c r="E11942" t="s">
        <v>941</v>
      </c>
      <c r="F11942" t="s">
        <v>942</v>
      </c>
      <c r="G11942">
        <v>8.01</v>
      </c>
      <c r="H11942">
        <v>251031</v>
      </c>
      <c r="I11942">
        <v>4520</v>
      </c>
      <c r="J11942" t="s">
        <v>280</v>
      </c>
      <c r="K11942">
        <v>138.16999999999999</v>
      </c>
      <c r="L11942">
        <v>0.98</v>
      </c>
      <c r="M11942">
        <v>43222</v>
      </c>
      <c r="N11942" t="s">
        <v>95</v>
      </c>
      <c r="O11942">
        <v>251105</v>
      </c>
      <c r="P11942">
        <v>7.03</v>
      </c>
    </row>
    <row r="11943" spans="1:16" x14ac:dyDescent="0.25">
      <c r="A11943" t="s">
        <v>3296</v>
      </c>
      <c r="B11943" t="s">
        <v>2931</v>
      </c>
      <c r="C11943">
        <v>18240</v>
      </c>
      <c r="D11943" t="str">
        <f>"6624        "</f>
        <v xml:space="preserve">6624        </v>
      </c>
      <c r="E11943" t="s">
        <v>941</v>
      </c>
      <c r="F11943" t="s">
        <v>942</v>
      </c>
      <c r="G11943">
        <v>43.62</v>
      </c>
      <c r="H11943">
        <v>251231</v>
      </c>
      <c r="I11943">
        <v>4520</v>
      </c>
      <c r="J11943" t="s">
        <v>280</v>
      </c>
      <c r="K11943">
        <v>187.69</v>
      </c>
      <c r="L11943">
        <v>5.36</v>
      </c>
      <c r="M11943">
        <v>49704</v>
      </c>
      <c r="N11943" t="s">
        <v>113</v>
      </c>
      <c r="O11943">
        <v>260112</v>
      </c>
      <c r="P11943">
        <v>38.26</v>
      </c>
    </row>
    <row r="11944" spans="1:16" x14ac:dyDescent="0.25">
      <c r="A11944" t="s">
        <v>3296</v>
      </c>
      <c r="B11944" t="s">
        <v>2931</v>
      </c>
      <c r="C11944">
        <v>7999</v>
      </c>
      <c r="D11944" t="str">
        <f>"5905        "</f>
        <v xml:space="preserve">5905        </v>
      </c>
      <c r="E11944" t="s">
        <v>941</v>
      </c>
      <c r="F11944" t="s">
        <v>942</v>
      </c>
      <c r="G11944">
        <v>26.2</v>
      </c>
      <c r="H11944">
        <v>250531</v>
      </c>
      <c r="I11944">
        <v>4530</v>
      </c>
      <c r="J11944" t="s">
        <v>293</v>
      </c>
      <c r="K11944">
        <v>62.52</v>
      </c>
      <c r="L11944">
        <v>5.32</v>
      </c>
      <c r="M11944">
        <v>49704</v>
      </c>
      <c r="N11944" t="s">
        <v>113</v>
      </c>
      <c r="O11944">
        <v>250610</v>
      </c>
      <c r="P11944">
        <v>20.88</v>
      </c>
    </row>
    <row r="11945" spans="1:16" x14ac:dyDescent="0.25">
      <c r="A11945" t="s">
        <v>3296</v>
      </c>
      <c r="B11945" t="s">
        <v>2931</v>
      </c>
      <c r="C11945">
        <v>1325</v>
      </c>
      <c r="D11945" t="str">
        <f>"5503        "</f>
        <v xml:space="preserve">5503        </v>
      </c>
      <c r="E11945" t="s">
        <v>941</v>
      </c>
      <c r="F11945" t="s">
        <v>942</v>
      </c>
      <c r="G11945">
        <v>21.35</v>
      </c>
      <c r="H11945">
        <v>250131</v>
      </c>
      <c r="I11945">
        <v>4600</v>
      </c>
      <c r="J11945" t="s">
        <v>278</v>
      </c>
      <c r="K11945">
        <v>26.55</v>
      </c>
      <c r="L11945">
        <v>4.34</v>
      </c>
      <c r="M11945">
        <v>49111</v>
      </c>
      <c r="N11945" t="s">
        <v>108</v>
      </c>
      <c r="O11945">
        <v>250207</v>
      </c>
      <c r="P11945">
        <v>17.010000000000002</v>
      </c>
    </row>
    <row r="11946" spans="1:16" x14ac:dyDescent="0.25">
      <c r="A11946" t="s">
        <v>3296</v>
      </c>
      <c r="B11946" t="s">
        <v>2931</v>
      </c>
      <c r="C11946">
        <v>4458</v>
      </c>
      <c r="D11946" t="str">
        <f>"5699        "</f>
        <v xml:space="preserve">5699        </v>
      </c>
      <c r="E11946" t="s">
        <v>941</v>
      </c>
      <c r="F11946" t="s">
        <v>942</v>
      </c>
      <c r="G11946">
        <v>45.35</v>
      </c>
      <c r="H11946">
        <v>250331</v>
      </c>
      <c r="I11946">
        <v>4600</v>
      </c>
      <c r="J11946" t="s">
        <v>278</v>
      </c>
      <c r="K11946">
        <v>45.35</v>
      </c>
      <c r="L11946">
        <v>9.2100000000000009</v>
      </c>
      <c r="M11946">
        <v>44453</v>
      </c>
      <c r="N11946" t="s">
        <v>100</v>
      </c>
      <c r="O11946">
        <v>250411</v>
      </c>
      <c r="P11946">
        <v>36.14</v>
      </c>
    </row>
    <row r="11947" spans="1:16" x14ac:dyDescent="0.25">
      <c r="A11947" t="s">
        <v>3296</v>
      </c>
      <c r="B11947" t="s">
        <v>2931</v>
      </c>
      <c r="C11947">
        <v>6066</v>
      </c>
      <c r="D11947" t="str">
        <f>"5802        "</f>
        <v xml:space="preserve">5802        </v>
      </c>
      <c r="E11947" t="s">
        <v>941</v>
      </c>
      <c r="F11947" t="s">
        <v>942</v>
      </c>
      <c r="G11947">
        <v>16.39</v>
      </c>
      <c r="H11947">
        <v>250430</v>
      </c>
      <c r="I11947">
        <v>4600</v>
      </c>
      <c r="J11947" t="s">
        <v>278</v>
      </c>
      <c r="K11947">
        <v>36.159999999999997</v>
      </c>
      <c r="L11947">
        <v>3.33</v>
      </c>
      <c r="M11947">
        <v>44422</v>
      </c>
      <c r="N11947" t="s">
        <v>97</v>
      </c>
      <c r="O11947">
        <v>250508</v>
      </c>
      <c r="P11947">
        <v>13.06</v>
      </c>
    </row>
    <row r="11948" spans="1:16" x14ac:dyDescent="0.25">
      <c r="A11948" t="s">
        <v>3296</v>
      </c>
      <c r="B11948" t="s">
        <v>2931</v>
      </c>
      <c r="C11948">
        <v>6066</v>
      </c>
      <c r="D11948" t="str">
        <f>"5802        "</f>
        <v xml:space="preserve">5802        </v>
      </c>
      <c r="E11948" t="s">
        <v>941</v>
      </c>
      <c r="F11948" t="s">
        <v>942</v>
      </c>
      <c r="G11948">
        <v>19.77</v>
      </c>
      <c r="H11948">
        <v>250430</v>
      </c>
      <c r="I11948">
        <v>4600</v>
      </c>
      <c r="J11948" t="s">
        <v>278</v>
      </c>
      <c r="K11948">
        <v>36.159999999999997</v>
      </c>
      <c r="L11948">
        <v>4.0199999999999996</v>
      </c>
      <c r="M11948">
        <v>49501</v>
      </c>
      <c r="N11948" t="s">
        <v>110</v>
      </c>
      <c r="O11948">
        <v>250508</v>
      </c>
      <c r="P11948">
        <v>15.75</v>
      </c>
    </row>
    <row r="11949" spans="1:16" x14ac:dyDescent="0.25">
      <c r="A11949" t="s">
        <v>3296</v>
      </c>
      <c r="B11949" t="s">
        <v>2931</v>
      </c>
      <c r="C11949">
        <v>7999</v>
      </c>
      <c r="D11949" t="str">
        <f>"5905        "</f>
        <v xml:space="preserve">5905        </v>
      </c>
      <c r="E11949" t="s">
        <v>941</v>
      </c>
      <c r="F11949" t="s">
        <v>942</v>
      </c>
      <c r="G11949">
        <v>8.5</v>
      </c>
      <c r="H11949">
        <v>250531</v>
      </c>
      <c r="I11949">
        <v>4600</v>
      </c>
      <c r="J11949" t="s">
        <v>278</v>
      </c>
      <c r="K11949">
        <v>62.52</v>
      </c>
      <c r="L11949">
        <v>1.73</v>
      </c>
      <c r="M11949">
        <v>49704</v>
      </c>
      <c r="N11949" t="s">
        <v>113</v>
      </c>
      <c r="O11949">
        <v>250610</v>
      </c>
      <c r="P11949">
        <v>6.77</v>
      </c>
    </row>
    <row r="11950" spans="1:16" x14ac:dyDescent="0.25">
      <c r="A11950" t="s">
        <v>3296</v>
      </c>
      <c r="B11950" t="s">
        <v>2931</v>
      </c>
      <c r="C11950">
        <v>11318</v>
      </c>
      <c r="D11950" t="str">
        <f>"6169        "</f>
        <v xml:space="preserve">6169        </v>
      </c>
      <c r="E11950" t="s">
        <v>941</v>
      </c>
      <c r="F11950" t="s">
        <v>942</v>
      </c>
      <c r="G11950">
        <v>10.89</v>
      </c>
      <c r="H11950">
        <v>250831</v>
      </c>
      <c r="I11950">
        <v>4600</v>
      </c>
      <c r="J11950" t="s">
        <v>278</v>
      </c>
      <c r="K11950">
        <v>10.89</v>
      </c>
      <c r="L11950">
        <v>2.21</v>
      </c>
      <c r="M11950">
        <v>44423</v>
      </c>
      <c r="N11950" t="s">
        <v>98</v>
      </c>
      <c r="O11950">
        <v>250903</v>
      </c>
      <c r="P11950">
        <v>8.68</v>
      </c>
    </row>
    <row r="11951" spans="1:16" x14ac:dyDescent="0.25">
      <c r="A11951" t="s">
        <v>3296</v>
      </c>
      <c r="B11951" t="s">
        <v>2931</v>
      </c>
      <c r="C11951">
        <v>12937</v>
      </c>
      <c r="D11951" t="str">
        <f>"6268        "</f>
        <v xml:space="preserve">6268        </v>
      </c>
      <c r="E11951" t="s">
        <v>941</v>
      </c>
      <c r="F11951" t="s">
        <v>942</v>
      </c>
      <c r="G11951">
        <v>59.7</v>
      </c>
      <c r="H11951">
        <v>250930</v>
      </c>
      <c r="I11951">
        <v>4600</v>
      </c>
      <c r="J11951" t="s">
        <v>278</v>
      </c>
      <c r="K11951">
        <v>59.7</v>
      </c>
      <c r="L11951">
        <v>12.13</v>
      </c>
      <c r="M11951">
        <v>44453</v>
      </c>
      <c r="N11951" t="s">
        <v>100</v>
      </c>
      <c r="O11951">
        <v>251002</v>
      </c>
      <c r="P11951">
        <v>47.57</v>
      </c>
    </row>
    <row r="11952" spans="1:16" x14ac:dyDescent="0.25">
      <c r="A11952" t="s">
        <v>3296</v>
      </c>
      <c r="B11952" t="s">
        <v>2931</v>
      </c>
      <c r="C11952">
        <v>14647</v>
      </c>
      <c r="D11952" t="str">
        <f>"6364        "</f>
        <v xml:space="preserve">6364        </v>
      </c>
      <c r="E11952" t="s">
        <v>941</v>
      </c>
      <c r="F11952" t="s">
        <v>942</v>
      </c>
      <c r="G11952">
        <v>67.819999999999993</v>
      </c>
      <c r="H11952">
        <v>251031</v>
      </c>
      <c r="I11952">
        <v>4600</v>
      </c>
      <c r="J11952" t="s">
        <v>278</v>
      </c>
      <c r="K11952">
        <v>138.16999999999999</v>
      </c>
      <c r="L11952">
        <v>13.78</v>
      </c>
      <c r="M11952">
        <v>43222</v>
      </c>
      <c r="N11952" t="s">
        <v>95</v>
      </c>
      <c r="O11952">
        <v>251105</v>
      </c>
      <c r="P11952">
        <v>54.04</v>
      </c>
    </row>
    <row r="11953" spans="1:16" x14ac:dyDescent="0.25">
      <c r="A11953" t="s">
        <v>3296</v>
      </c>
      <c r="B11953" t="s">
        <v>2931</v>
      </c>
      <c r="C11953">
        <v>14647</v>
      </c>
      <c r="D11953" t="str">
        <f>"6364        "</f>
        <v xml:space="preserve">6364        </v>
      </c>
      <c r="E11953" t="s">
        <v>941</v>
      </c>
      <c r="F11953" t="s">
        <v>942</v>
      </c>
      <c r="G11953">
        <v>25.09</v>
      </c>
      <c r="H11953">
        <v>251031</v>
      </c>
      <c r="I11953">
        <v>4600</v>
      </c>
      <c r="J11953" t="s">
        <v>278</v>
      </c>
      <c r="K11953">
        <v>138.16999999999999</v>
      </c>
      <c r="L11953">
        <v>5.0999999999999996</v>
      </c>
      <c r="M11953">
        <v>44424</v>
      </c>
      <c r="N11953" t="s">
        <v>99</v>
      </c>
      <c r="O11953">
        <v>251105</v>
      </c>
      <c r="P11953">
        <v>19.989999999999998</v>
      </c>
    </row>
    <row r="11954" spans="1:16" x14ac:dyDescent="0.25">
      <c r="A11954" t="s">
        <v>3296</v>
      </c>
      <c r="B11954" t="s">
        <v>2931</v>
      </c>
      <c r="C11954">
        <v>18240</v>
      </c>
      <c r="D11954" t="str">
        <f>"6624        "</f>
        <v xml:space="preserve">6624        </v>
      </c>
      <c r="E11954" t="s">
        <v>941</v>
      </c>
      <c r="F11954" t="s">
        <v>942</v>
      </c>
      <c r="G11954">
        <v>56.29</v>
      </c>
      <c r="H11954">
        <v>251231</v>
      </c>
      <c r="I11954">
        <v>4600</v>
      </c>
      <c r="J11954" t="s">
        <v>278</v>
      </c>
      <c r="K11954">
        <v>187.69</v>
      </c>
      <c r="L11954">
        <v>11.44</v>
      </c>
      <c r="M11954">
        <v>44453</v>
      </c>
      <c r="N11954" t="s">
        <v>100</v>
      </c>
      <c r="O11954">
        <v>260112</v>
      </c>
      <c r="P11954">
        <v>44.85</v>
      </c>
    </row>
    <row r="11955" spans="1:16" x14ac:dyDescent="0.25">
      <c r="A11955" t="s">
        <v>3296</v>
      </c>
      <c r="B11955" t="s">
        <v>2931</v>
      </c>
      <c r="C11955">
        <v>18240</v>
      </c>
      <c r="D11955" t="str">
        <f>"6624        "</f>
        <v xml:space="preserve">6624        </v>
      </c>
      <c r="E11955" t="s">
        <v>941</v>
      </c>
      <c r="F11955" t="s">
        <v>942</v>
      </c>
      <c r="G11955">
        <v>16.899999999999999</v>
      </c>
      <c r="H11955">
        <v>251231</v>
      </c>
      <c r="I11955">
        <v>4600</v>
      </c>
      <c r="J11955" t="s">
        <v>278</v>
      </c>
      <c r="K11955">
        <v>187.69</v>
      </c>
      <c r="L11955">
        <v>3.43</v>
      </c>
      <c r="M11955">
        <v>49501</v>
      </c>
      <c r="N11955" t="s">
        <v>110</v>
      </c>
      <c r="O11955">
        <v>260112</v>
      </c>
      <c r="P11955">
        <v>13.47</v>
      </c>
    </row>
    <row r="11956" spans="1:16" x14ac:dyDescent="0.25">
      <c r="A11956" t="s">
        <v>3296</v>
      </c>
      <c r="B11956" t="s">
        <v>2931</v>
      </c>
      <c r="C11956">
        <v>18240</v>
      </c>
      <c r="D11956" t="str">
        <f>"6624        "</f>
        <v xml:space="preserve">6624        </v>
      </c>
      <c r="E11956" t="s">
        <v>941</v>
      </c>
      <c r="F11956" t="s">
        <v>942</v>
      </c>
      <c r="G11956">
        <v>48.89</v>
      </c>
      <c r="H11956">
        <v>251231</v>
      </c>
      <c r="I11956">
        <v>4600</v>
      </c>
      <c r="J11956" t="s">
        <v>278</v>
      </c>
      <c r="K11956">
        <v>187.69</v>
      </c>
      <c r="L11956">
        <v>9.93</v>
      </c>
      <c r="M11956">
        <v>49704</v>
      </c>
      <c r="N11956" t="s">
        <v>113</v>
      </c>
      <c r="O11956">
        <v>260112</v>
      </c>
      <c r="P11956">
        <v>38.96</v>
      </c>
    </row>
    <row r="11957" spans="1:16" x14ac:dyDescent="0.25">
      <c r="A11957" t="s">
        <v>3296</v>
      </c>
      <c r="B11957" t="s">
        <v>2931</v>
      </c>
      <c r="C11957">
        <v>3981</v>
      </c>
      <c r="D11957" t="str">
        <f>"18133       "</f>
        <v xml:space="preserve">18133       </v>
      </c>
      <c r="E11957" t="s">
        <v>1536</v>
      </c>
      <c r="F11957" t="s">
        <v>1537</v>
      </c>
      <c r="G11957">
        <v>677.33</v>
      </c>
      <c r="H11957">
        <v>250321</v>
      </c>
      <c r="I11957">
        <v>4600</v>
      </c>
      <c r="J11957" t="s">
        <v>278</v>
      </c>
      <c r="K11957">
        <v>677.33</v>
      </c>
      <c r="L11957">
        <v>137.62</v>
      </c>
      <c r="M11957">
        <v>56564</v>
      </c>
      <c r="N11957" t="s">
        <v>56</v>
      </c>
      <c r="O11957">
        <v>250404</v>
      </c>
      <c r="P11957">
        <v>539.71</v>
      </c>
    </row>
    <row r="11958" spans="1:16" x14ac:dyDescent="0.25">
      <c r="A11958" t="s">
        <v>3296</v>
      </c>
      <c r="B11958" t="s">
        <v>2931</v>
      </c>
      <c r="C11958">
        <v>17019</v>
      </c>
      <c r="D11958" t="str">
        <f>"19044       "</f>
        <v xml:space="preserve">19044       </v>
      </c>
      <c r="E11958" t="s">
        <v>1536</v>
      </c>
      <c r="F11958" t="s">
        <v>1537</v>
      </c>
      <c r="G11958">
        <v>1029.74</v>
      </c>
      <c r="H11958">
        <v>251211</v>
      </c>
      <c r="I11958">
        <v>4600</v>
      </c>
      <c r="J11958" t="s">
        <v>278</v>
      </c>
      <c r="K11958">
        <v>1029.74</v>
      </c>
      <c r="L11958">
        <v>209.23</v>
      </c>
      <c r="M11958">
        <v>56564</v>
      </c>
      <c r="N11958" t="s">
        <v>56</v>
      </c>
      <c r="O11958">
        <v>251216</v>
      </c>
      <c r="P11958">
        <v>820.51</v>
      </c>
    </row>
    <row r="11959" spans="1:16" x14ac:dyDescent="0.25">
      <c r="A11959" t="s">
        <v>3296</v>
      </c>
      <c r="B11959" t="s">
        <v>2931</v>
      </c>
      <c r="C11959">
        <v>15968</v>
      </c>
      <c r="D11959" t="str">
        <f>"1210        "</f>
        <v xml:space="preserve">1210        </v>
      </c>
      <c r="E11959" t="s">
        <v>2644</v>
      </c>
      <c r="F11959" t="s">
        <v>2645</v>
      </c>
      <c r="G11959">
        <v>10</v>
      </c>
      <c r="H11959">
        <v>251124</v>
      </c>
      <c r="I11959">
        <v>4410</v>
      </c>
      <c r="J11959" t="s">
        <v>165</v>
      </c>
      <c r="K11959">
        <v>68</v>
      </c>
      <c r="L11959">
        <v>2.0299999999999998</v>
      </c>
      <c r="M11959">
        <v>13932</v>
      </c>
      <c r="N11959" t="s">
        <v>680</v>
      </c>
      <c r="O11959">
        <v>251201</v>
      </c>
      <c r="P11959">
        <v>7.97</v>
      </c>
    </row>
    <row r="11960" spans="1:16" x14ac:dyDescent="0.25">
      <c r="A11960" t="s">
        <v>3296</v>
      </c>
      <c r="B11960" t="s">
        <v>2931</v>
      </c>
      <c r="C11960">
        <v>15968</v>
      </c>
      <c r="D11960" t="str">
        <f>"1210        "</f>
        <v xml:space="preserve">1210        </v>
      </c>
      <c r="E11960" t="s">
        <v>2644</v>
      </c>
      <c r="F11960" t="s">
        <v>2645</v>
      </c>
      <c r="G11960">
        <v>58</v>
      </c>
      <c r="H11960">
        <v>251124</v>
      </c>
      <c r="I11960">
        <v>4410</v>
      </c>
      <c r="J11960" t="s">
        <v>165</v>
      </c>
      <c r="K11960">
        <v>68</v>
      </c>
      <c r="L11960">
        <v>7.12</v>
      </c>
      <c r="M11960">
        <v>13932</v>
      </c>
      <c r="N11960" t="s">
        <v>680</v>
      </c>
      <c r="O11960">
        <v>251201</v>
      </c>
      <c r="P11960">
        <v>50.88</v>
      </c>
    </row>
    <row r="11961" spans="1:16" x14ac:dyDescent="0.25">
      <c r="A11961" t="s">
        <v>3296</v>
      </c>
      <c r="B11961" t="s">
        <v>2931</v>
      </c>
      <c r="C11961">
        <v>10085</v>
      </c>
      <c r="D11961" t="str">
        <f>"1001002358  "</f>
        <v xml:space="preserve">1001002358  </v>
      </c>
      <c r="E11961" t="s">
        <v>3311</v>
      </c>
      <c r="F11961" t="s">
        <v>3310</v>
      </c>
      <c r="G11961">
        <v>138.05000000000001</v>
      </c>
      <c r="H11961">
        <v>250806</v>
      </c>
      <c r="I11961">
        <v>4842</v>
      </c>
      <c r="J11961" t="s">
        <v>15</v>
      </c>
      <c r="K11961">
        <v>138.05000000000001</v>
      </c>
      <c r="L11961">
        <v>28.05</v>
      </c>
      <c r="M11961">
        <v>17809</v>
      </c>
      <c r="N11961" t="s">
        <v>25</v>
      </c>
      <c r="O11961">
        <v>250811</v>
      </c>
      <c r="P11961">
        <v>110</v>
      </c>
    </row>
    <row r="11962" spans="1:16" x14ac:dyDescent="0.25">
      <c r="A11962" t="s">
        <v>3296</v>
      </c>
      <c r="B11962" t="s">
        <v>2931</v>
      </c>
      <c r="C11962">
        <v>10844</v>
      </c>
      <c r="D11962" t="str">
        <f>"1001002376  "</f>
        <v xml:space="preserve">1001002376  </v>
      </c>
      <c r="E11962" t="s">
        <v>3311</v>
      </c>
      <c r="F11962" t="s">
        <v>3310</v>
      </c>
      <c r="G11962">
        <v>464.35</v>
      </c>
      <c r="H11962">
        <v>250822</v>
      </c>
      <c r="I11962">
        <v>4842</v>
      </c>
      <c r="J11962" t="s">
        <v>15</v>
      </c>
      <c r="K11962">
        <v>464.35</v>
      </c>
      <c r="L11962">
        <v>94.35</v>
      </c>
      <c r="M11962">
        <v>17951</v>
      </c>
      <c r="N11962" t="s">
        <v>207</v>
      </c>
      <c r="O11962">
        <v>250825</v>
      </c>
      <c r="P11962">
        <v>370</v>
      </c>
    </row>
    <row r="11963" spans="1:16" x14ac:dyDescent="0.25">
      <c r="A11963" t="s">
        <v>3296</v>
      </c>
      <c r="B11963" t="s">
        <v>2931</v>
      </c>
      <c r="C11963">
        <v>9735</v>
      </c>
      <c r="D11963" t="str">
        <f>"1556        "</f>
        <v xml:space="preserve">1556        </v>
      </c>
      <c r="E11963" t="s">
        <v>1986</v>
      </c>
      <c r="F11963" t="s">
        <v>1987</v>
      </c>
      <c r="G11963">
        <v>451.8</v>
      </c>
      <c r="H11963">
        <v>250715</v>
      </c>
      <c r="I11963">
        <v>4390</v>
      </c>
      <c r="J11963" t="s">
        <v>232</v>
      </c>
      <c r="K11963">
        <v>451.8</v>
      </c>
      <c r="L11963">
        <v>91.8</v>
      </c>
      <c r="M11963">
        <v>17950</v>
      </c>
      <c r="N11963" t="s">
        <v>132</v>
      </c>
      <c r="O11963">
        <v>250728</v>
      </c>
      <c r="P11963">
        <v>360</v>
      </c>
    </row>
    <row r="11964" spans="1:16" x14ac:dyDescent="0.25">
      <c r="A11964" t="s">
        <v>3296</v>
      </c>
      <c r="B11964" t="s">
        <v>2931</v>
      </c>
      <c r="C11964">
        <v>7686</v>
      </c>
      <c r="D11964" t="str">
        <f>"1541        "</f>
        <v xml:space="preserve">1541        </v>
      </c>
      <c r="E11964" t="s">
        <v>1986</v>
      </c>
      <c r="F11964" t="s">
        <v>1987</v>
      </c>
      <c r="G11964">
        <v>163.15</v>
      </c>
      <c r="H11964">
        <v>250529</v>
      </c>
      <c r="I11964">
        <v>4842</v>
      </c>
      <c r="J11964" t="s">
        <v>15</v>
      </c>
      <c r="K11964">
        <v>163.15</v>
      </c>
      <c r="L11964">
        <v>33.15</v>
      </c>
      <c r="M11964">
        <v>17952</v>
      </c>
      <c r="N11964" t="s">
        <v>157</v>
      </c>
      <c r="O11964">
        <v>250609</v>
      </c>
      <c r="P11964">
        <v>130</v>
      </c>
    </row>
    <row r="11965" spans="1:16" x14ac:dyDescent="0.25">
      <c r="A11965" t="s">
        <v>3296</v>
      </c>
      <c r="B11965" t="s">
        <v>2931</v>
      </c>
      <c r="C11965">
        <v>16480</v>
      </c>
      <c r="D11965" t="str">
        <f>"1595        "</f>
        <v xml:space="preserve">1595        </v>
      </c>
      <c r="E11965" t="s">
        <v>1986</v>
      </c>
      <c r="F11965" t="s">
        <v>1987</v>
      </c>
      <c r="G11965">
        <v>150.6</v>
      </c>
      <c r="H11965">
        <v>251206</v>
      </c>
      <c r="I11965">
        <v>4860</v>
      </c>
      <c r="J11965" t="s">
        <v>286</v>
      </c>
      <c r="K11965">
        <v>150.6</v>
      </c>
      <c r="L11965">
        <v>30.6</v>
      </c>
      <c r="M11965">
        <v>17952</v>
      </c>
      <c r="N11965" t="s">
        <v>157</v>
      </c>
      <c r="O11965">
        <v>251209</v>
      </c>
      <c r="P11965">
        <v>120</v>
      </c>
    </row>
    <row r="11966" spans="1:16" x14ac:dyDescent="0.25">
      <c r="A11966" t="s">
        <v>3296</v>
      </c>
      <c r="B11966" t="s">
        <v>2931</v>
      </c>
      <c r="C11966">
        <v>12015</v>
      </c>
      <c r="D11966" t="str">
        <f>"44852143    "</f>
        <v xml:space="preserve">44852143    </v>
      </c>
      <c r="E11966" t="s">
        <v>2873</v>
      </c>
      <c r="F11966" t="s">
        <v>2874</v>
      </c>
      <c r="G11966">
        <v>76</v>
      </c>
      <c r="H11966">
        <v>250910</v>
      </c>
      <c r="I11966">
        <v>4940</v>
      </c>
      <c r="J11966" t="s">
        <v>250</v>
      </c>
      <c r="K11966">
        <v>76</v>
      </c>
      <c r="L11966">
        <v>0</v>
      </c>
      <c r="M11966">
        <v>59504</v>
      </c>
      <c r="N11966" t="s">
        <v>193</v>
      </c>
      <c r="O11966">
        <v>250915</v>
      </c>
      <c r="P11966">
        <v>76</v>
      </c>
    </row>
    <row r="11967" spans="1:16" x14ac:dyDescent="0.25">
      <c r="A11967" t="s">
        <v>3296</v>
      </c>
      <c r="B11967" t="s">
        <v>2931</v>
      </c>
      <c r="C11967">
        <v>2224</v>
      </c>
      <c r="D11967" t="str">
        <f>"4248        "</f>
        <v xml:space="preserve">4248        </v>
      </c>
      <c r="E11967" t="s">
        <v>1221</v>
      </c>
      <c r="F11967" t="s">
        <v>1222</v>
      </c>
      <c r="G11967">
        <v>1192.25</v>
      </c>
      <c r="H11967">
        <v>250218</v>
      </c>
      <c r="I11967">
        <v>4350</v>
      </c>
      <c r="J11967" t="s">
        <v>290</v>
      </c>
      <c r="K11967">
        <v>1192.25</v>
      </c>
      <c r="L11967">
        <v>242.25</v>
      </c>
      <c r="M11967">
        <v>17538</v>
      </c>
      <c r="N11967" t="s">
        <v>129</v>
      </c>
      <c r="O11967">
        <v>250221</v>
      </c>
      <c r="P11967">
        <v>950</v>
      </c>
    </row>
    <row r="11968" spans="1:16" x14ac:dyDescent="0.25">
      <c r="A11968" t="s">
        <v>3296</v>
      </c>
      <c r="B11968" t="s">
        <v>2931</v>
      </c>
      <c r="C11968">
        <v>4137</v>
      </c>
      <c r="D11968" t="str">
        <f>"1108        "</f>
        <v xml:space="preserve">1108        </v>
      </c>
      <c r="E11968" t="s">
        <v>1580</v>
      </c>
      <c r="F11968" t="s">
        <v>1581</v>
      </c>
      <c r="G11968">
        <v>244.73</v>
      </c>
      <c r="H11968">
        <v>250326</v>
      </c>
      <c r="I11968">
        <v>4600</v>
      </c>
      <c r="J11968" t="s">
        <v>278</v>
      </c>
      <c r="K11968">
        <v>244.73</v>
      </c>
      <c r="L11968">
        <v>49.73</v>
      </c>
      <c r="M11968">
        <v>17806</v>
      </c>
      <c r="N11968" t="s">
        <v>22</v>
      </c>
      <c r="O11968">
        <v>250407</v>
      </c>
      <c r="P11968">
        <v>195</v>
      </c>
    </row>
    <row r="11969" spans="1:16" x14ac:dyDescent="0.25">
      <c r="A11969" t="s">
        <v>3296</v>
      </c>
      <c r="B11969" t="s">
        <v>2931</v>
      </c>
      <c r="C11969">
        <v>5633</v>
      </c>
      <c r="D11969" t="str">
        <f>"6025040013  "</f>
        <v xml:space="preserve">6025040013  </v>
      </c>
      <c r="E11969" t="s">
        <v>1774</v>
      </c>
      <c r="F11969" t="s">
        <v>1775</v>
      </c>
      <c r="G11969">
        <v>499.8</v>
      </c>
      <c r="H11969">
        <v>250424</v>
      </c>
      <c r="I11969">
        <v>4557</v>
      </c>
      <c r="J11969" t="s">
        <v>1152</v>
      </c>
      <c r="K11969">
        <v>499.8</v>
      </c>
      <c r="L11969">
        <v>101.55</v>
      </c>
      <c r="M11969">
        <v>69501</v>
      </c>
      <c r="N11969" t="s">
        <v>123</v>
      </c>
      <c r="O11969">
        <v>250428</v>
      </c>
      <c r="P11969">
        <v>398.25</v>
      </c>
    </row>
    <row r="11970" spans="1:16" x14ac:dyDescent="0.25">
      <c r="A11970" t="s">
        <v>3296</v>
      </c>
      <c r="B11970" t="s">
        <v>2931</v>
      </c>
      <c r="C11970">
        <v>3985</v>
      </c>
      <c r="D11970" t="str">
        <f>"1827        "</f>
        <v xml:space="preserve">1827        </v>
      </c>
      <c r="E11970" t="s">
        <v>1538</v>
      </c>
      <c r="F11970" t="s">
        <v>1539</v>
      </c>
      <c r="G11970">
        <v>105.56</v>
      </c>
      <c r="H11970">
        <v>250328</v>
      </c>
      <c r="I11970">
        <v>4390</v>
      </c>
      <c r="J11970" t="s">
        <v>232</v>
      </c>
      <c r="K11970">
        <v>259.45</v>
      </c>
      <c r="L11970">
        <v>21.45</v>
      </c>
      <c r="M11970">
        <v>17951</v>
      </c>
      <c r="N11970" t="s">
        <v>207</v>
      </c>
      <c r="O11970">
        <v>250404</v>
      </c>
      <c r="P11970">
        <v>84.11</v>
      </c>
    </row>
    <row r="11971" spans="1:16" x14ac:dyDescent="0.25">
      <c r="A11971" t="s">
        <v>3296</v>
      </c>
      <c r="B11971" t="s">
        <v>2931</v>
      </c>
      <c r="C11971">
        <v>3985</v>
      </c>
      <c r="D11971" t="str">
        <f>"1827        "</f>
        <v xml:space="preserve">1827        </v>
      </c>
      <c r="E11971" t="s">
        <v>1538</v>
      </c>
      <c r="F11971" t="s">
        <v>1539</v>
      </c>
      <c r="G11971">
        <v>153.88999999999999</v>
      </c>
      <c r="H11971">
        <v>250328</v>
      </c>
      <c r="I11971">
        <v>4390</v>
      </c>
      <c r="J11971" t="s">
        <v>232</v>
      </c>
      <c r="K11971">
        <v>259.45</v>
      </c>
      <c r="L11971">
        <v>31.27</v>
      </c>
      <c r="M11971">
        <v>17951</v>
      </c>
      <c r="N11971" t="s">
        <v>207</v>
      </c>
      <c r="O11971">
        <v>250404</v>
      </c>
      <c r="P11971">
        <v>122.62</v>
      </c>
    </row>
    <row r="11972" spans="1:16" x14ac:dyDescent="0.25">
      <c r="A11972" t="s">
        <v>3296</v>
      </c>
      <c r="B11972" t="s">
        <v>2931</v>
      </c>
      <c r="C11972">
        <v>7041</v>
      </c>
      <c r="D11972" t="str">
        <f>"1834        "</f>
        <v xml:space="preserve">1834        </v>
      </c>
      <c r="E11972" t="s">
        <v>1538</v>
      </c>
      <c r="F11972" t="s">
        <v>1539</v>
      </c>
      <c r="G11972">
        <v>54.2</v>
      </c>
      <c r="H11972">
        <v>250521</v>
      </c>
      <c r="I11972">
        <v>4390</v>
      </c>
      <c r="J11972" t="s">
        <v>232</v>
      </c>
      <c r="K11972">
        <v>292.14999999999998</v>
      </c>
      <c r="L11972">
        <v>11.01</v>
      </c>
      <c r="M11972">
        <v>17951</v>
      </c>
      <c r="N11972" t="s">
        <v>207</v>
      </c>
      <c r="O11972">
        <v>250522</v>
      </c>
      <c r="P11972">
        <v>43.19</v>
      </c>
    </row>
    <row r="11973" spans="1:16" x14ac:dyDescent="0.25">
      <c r="A11973" t="s">
        <v>3296</v>
      </c>
      <c r="B11973" t="s">
        <v>2931</v>
      </c>
      <c r="C11973">
        <v>7041</v>
      </c>
      <c r="D11973" t="str">
        <f>"1834        "</f>
        <v xml:space="preserve">1834        </v>
      </c>
      <c r="E11973" t="s">
        <v>1538</v>
      </c>
      <c r="F11973" t="s">
        <v>1539</v>
      </c>
      <c r="G11973">
        <v>237.95</v>
      </c>
      <c r="H11973">
        <v>250521</v>
      </c>
      <c r="I11973">
        <v>4390</v>
      </c>
      <c r="J11973" t="s">
        <v>232</v>
      </c>
      <c r="K11973">
        <v>292.14999999999998</v>
      </c>
      <c r="L11973">
        <v>48.35</v>
      </c>
      <c r="M11973">
        <v>17951</v>
      </c>
      <c r="N11973" t="s">
        <v>207</v>
      </c>
      <c r="O11973">
        <v>250522</v>
      </c>
      <c r="P11973">
        <v>189.6</v>
      </c>
    </row>
    <row r="11974" spans="1:16" x14ac:dyDescent="0.25">
      <c r="A11974" t="s">
        <v>3296</v>
      </c>
      <c r="B11974" t="s">
        <v>2931</v>
      </c>
      <c r="C11974">
        <v>14129</v>
      </c>
      <c r="D11974" t="str">
        <f>"1876        "</f>
        <v xml:space="preserve">1876        </v>
      </c>
      <c r="E11974" t="s">
        <v>1538</v>
      </c>
      <c r="F11974" t="s">
        <v>1539</v>
      </c>
      <c r="G11974">
        <v>347.4</v>
      </c>
      <c r="H11974">
        <v>251021</v>
      </c>
      <c r="I11974">
        <v>4400</v>
      </c>
      <c r="J11974" t="s">
        <v>162</v>
      </c>
      <c r="K11974">
        <v>347.4</v>
      </c>
      <c r="L11974">
        <v>70.59</v>
      </c>
      <c r="M11974">
        <v>17802</v>
      </c>
      <c r="N11974" t="s">
        <v>18</v>
      </c>
      <c r="O11974">
        <v>251024</v>
      </c>
      <c r="P11974">
        <v>276.81</v>
      </c>
    </row>
    <row r="11975" spans="1:16" x14ac:dyDescent="0.25">
      <c r="A11975" t="s">
        <v>3296</v>
      </c>
      <c r="B11975" t="s">
        <v>2931</v>
      </c>
      <c r="C11975">
        <v>4002</v>
      </c>
      <c r="D11975" t="str">
        <f>"1828        "</f>
        <v xml:space="preserve">1828        </v>
      </c>
      <c r="E11975" t="s">
        <v>1538</v>
      </c>
      <c r="F11975" t="s">
        <v>1539</v>
      </c>
      <c r="G11975">
        <v>1015.15</v>
      </c>
      <c r="H11975">
        <v>250328</v>
      </c>
      <c r="I11975">
        <v>4600</v>
      </c>
      <c r="J11975" t="s">
        <v>278</v>
      </c>
      <c r="K11975">
        <v>1015.15</v>
      </c>
      <c r="L11975">
        <v>206.27</v>
      </c>
      <c r="M11975">
        <v>17809</v>
      </c>
      <c r="N11975" t="s">
        <v>25</v>
      </c>
      <c r="O11975">
        <v>250407</v>
      </c>
      <c r="P11975">
        <v>808.88</v>
      </c>
    </row>
    <row r="11976" spans="1:16" x14ac:dyDescent="0.25">
      <c r="A11976" t="s">
        <v>3296</v>
      </c>
      <c r="B11976" t="s">
        <v>2931</v>
      </c>
      <c r="C11976">
        <v>7157</v>
      </c>
      <c r="D11976" t="str">
        <f>"1835        "</f>
        <v xml:space="preserve">1835        </v>
      </c>
      <c r="E11976" t="s">
        <v>1538</v>
      </c>
      <c r="F11976" t="s">
        <v>1539</v>
      </c>
      <c r="G11976">
        <v>67.94</v>
      </c>
      <c r="H11976">
        <v>250521</v>
      </c>
      <c r="I11976">
        <v>4600</v>
      </c>
      <c r="J11976" t="s">
        <v>278</v>
      </c>
      <c r="K11976">
        <v>67.94</v>
      </c>
      <c r="L11976">
        <v>13.8</v>
      </c>
      <c r="M11976">
        <v>17809</v>
      </c>
      <c r="N11976" t="s">
        <v>25</v>
      </c>
      <c r="O11976">
        <v>250526</v>
      </c>
      <c r="P11976">
        <v>54.14</v>
      </c>
    </row>
    <row r="11977" spans="1:16" x14ac:dyDescent="0.25">
      <c r="A11977" t="s">
        <v>3296</v>
      </c>
      <c r="B11977" t="s">
        <v>2931</v>
      </c>
      <c r="C11977">
        <v>11338</v>
      </c>
      <c r="D11977" t="str">
        <f>"1851        "</f>
        <v xml:space="preserve">1851        </v>
      </c>
      <c r="E11977" t="s">
        <v>1538</v>
      </c>
      <c r="F11977" t="s">
        <v>1539</v>
      </c>
      <c r="G11977">
        <v>2335.3200000000002</v>
      </c>
      <c r="H11977">
        <v>250829</v>
      </c>
      <c r="I11977">
        <v>4600</v>
      </c>
      <c r="J11977" t="s">
        <v>278</v>
      </c>
      <c r="K11977">
        <v>2335.3200000000002</v>
      </c>
      <c r="L11977">
        <v>474.51</v>
      </c>
      <c r="M11977">
        <v>17809</v>
      </c>
      <c r="N11977" t="s">
        <v>25</v>
      </c>
      <c r="O11977">
        <v>250903</v>
      </c>
      <c r="P11977">
        <v>1860.81</v>
      </c>
    </row>
    <row r="11978" spans="1:16" x14ac:dyDescent="0.25">
      <c r="A11978" t="s">
        <v>3296</v>
      </c>
      <c r="B11978" t="s">
        <v>2931</v>
      </c>
      <c r="C11978">
        <v>14070</v>
      </c>
      <c r="D11978" t="str">
        <f>"1875        "</f>
        <v xml:space="preserve">1875        </v>
      </c>
      <c r="E11978" t="s">
        <v>1538</v>
      </c>
      <c r="F11978" t="s">
        <v>1539</v>
      </c>
      <c r="G11978">
        <v>744.24</v>
      </c>
      <c r="H11978">
        <v>251021</v>
      </c>
      <c r="I11978">
        <v>4600</v>
      </c>
      <c r="J11978" t="s">
        <v>278</v>
      </c>
      <c r="K11978">
        <v>744.24</v>
      </c>
      <c r="L11978">
        <v>151.22</v>
      </c>
      <c r="M11978">
        <v>17951</v>
      </c>
      <c r="N11978" t="s">
        <v>207</v>
      </c>
      <c r="O11978">
        <v>251023</v>
      </c>
      <c r="P11978">
        <v>593.02</v>
      </c>
    </row>
    <row r="11979" spans="1:16" x14ac:dyDescent="0.25">
      <c r="A11979" t="s">
        <v>3296</v>
      </c>
      <c r="B11979" t="s">
        <v>2931</v>
      </c>
      <c r="C11979">
        <v>14128</v>
      </c>
      <c r="D11979" t="str">
        <f>"1874        "</f>
        <v xml:space="preserve">1874        </v>
      </c>
      <c r="E11979" t="s">
        <v>1538</v>
      </c>
      <c r="F11979" t="s">
        <v>1539</v>
      </c>
      <c r="G11979">
        <v>55.14</v>
      </c>
      <c r="H11979">
        <v>251021</v>
      </c>
      <c r="I11979">
        <v>4600</v>
      </c>
      <c r="J11979" t="s">
        <v>278</v>
      </c>
      <c r="K11979">
        <v>184.87</v>
      </c>
      <c r="L11979">
        <v>11.2</v>
      </c>
      <c r="M11979">
        <v>17809</v>
      </c>
      <c r="N11979" t="s">
        <v>25</v>
      </c>
      <c r="O11979">
        <v>251024</v>
      </c>
      <c r="P11979">
        <v>43.94</v>
      </c>
    </row>
    <row r="11980" spans="1:16" x14ac:dyDescent="0.25">
      <c r="A11980" t="s">
        <v>3296</v>
      </c>
      <c r="B11980" t="s">
        <v>2931</v>
      </c>
      <c r="C11980">
        <v>14128</v>
      </c>
      <c r="D11980" t="str">
        <f>"1874        "</f>
        <v xml:space="preserve">1874        </v>
      </c>
      <c r="E11980" t="s">
        <v>1538</v>
      </c>
      <c r="F11980" t="s">
        <v>1539</v>
      </c>
      <c r="G11980">
        <v>129.72999999999999</v>
      </c>
      <c r="H11980">
        <v>251021</v>
      </c>
      <c r="I11980">
        <v>4600</v>
      </c>
      <c r="J11980" t="s">
        <v>278</v>
      </c>
      <c r="K11980">
        <v>184.87</v>
      </c>
      <c r="L11980">
        <v>26.36</v>
      </c>
      <c r="M11980">
        <v>17819</v>
      </c>
      <c r="N11980" t="s">
        <v>1776</v>
      </c>
      <c r="O11980">
        <v>251024</v>
      </c>
      <c r="P11980">
        <v>103.37</v>
      </c>
    </row>
    <row r="11981" spans="1:16" x14ac:dyDescent="0.25">
      <c r="A11981" t="s">
        <v>3296</v>
      </c>
      <c r="B11981" t="s">
        <v>2931</v>
      </c>
      <c r="C11981">
        <v>14130</v>
      </c>
      <c r="D11981" t="str">
        <f>"1877        "</f>
        <v xml:space="preserve">1877        </v>
      </c>
      <c r="E11981" t="s">
        <v>1538</v>
      </c>
      <c r="F11981" t="s">
        <v>1539</v>
      </c>
      <c r="G11981">
        <v>2631.97</v>
      </c>
      <c r="H11981">
        <v>251021</v>
      </c>
      <c r="I11981">
        <v>4600</v>
      </c>
      <c r="J11981" t="s">
        <v>278</v>
      </c>
      <c r="K11981">
        <v>3068.33</v>
      </c>
      <c r="L11981">
        <v>534.78</v>
      </c>
      <c r="M11981">
        <v>17809</v>
      </c>
      <c r="N11981" t="s">
        <v>25</v>
      </c>
      <c r="O11981">
        <v>251024</v>
      </c>
      <c r="P11981">
        <v>2097.19</v>
      </c>
    </row>
    <row r="11982" spans="1:16" x14ac:dyDescent="0.25">
      <c r="A11982" t="s">
        <v>3296</v>
      </c>
      <c r="B11982" t="s">
        <v>2931</v>
      </c>
      <c r="C11982">
        <v>14130</v>
      </c>
      <c r="D11982" t="str">
        <f>"1877        "</f>
        <v xml:space="preserve">1877        </v>
      </c>
      <c r="E11982" t="s">
        <v>1538</v>
      </c>
      <c r="F11982" t="s">
        <v>1539</v>
      </c>
      <c r="G11982">
        <v>436.36</v>
      </c>
      <c r="H11982">
        <v>251021</v>
      </c>
      <c r="I11982">
        <v>4600</v>
      </c>
      <c r="J11982" t="s">
        <v>278</v>
      </c>
      <c r="K11982">
        <v>3068.33</v>
      </c>
      <c r="L11982">
        <v>88.66</v>
      </c>
      <c r="M11982">
        <v>17951</v>
      </c>
      <c r="N11982" t="s">
        <v>207</v>
      </c>
      <c r="O11982">
        <v>251024</v>
      </c>
      <c r="P11982">
        <v>347.7</v>
      </c>
    </row>
    <row r="11983" spans="1:16" x14ac:dyDescent="0.25">
      <c r="A11983" t="s">
        <v>3296</v>
      </c>
      <c r="B11983" t="s">
        <v>2931</v>
      </c>
      <c r="C11983">
        <v>15225</v>
      </c>
      <c r="D11983" t="str">
        <f>"1884        "</f>
        <v xml:space="preserve">1884        </v>
      </c>
      <c r="E11983" t="s">
        <v>1538</v>
      </c>
      <c r="F11983" t="s">
        <v>1539</v>
      </c>
      <c r="G11983">
        <v>86.55</v>
      </c>
      <c r="H11983">
        <v>251030</v>
      </c>
      <c r="I11983">
        <v>4600</v>
      </c>
      <c r="J11983" t="s">
        <v>278</v>
      </c>
      <c r="K11983">
        <v>86.55</v>
      </c>
      <c r="L11983">
        <v>17.59</v>
      </c>
      <c r="M11983">
        <v>17951</v>
      </c>
      <c r="N11983" t="s">
        <v>207</v>
      </c>
      <c r="O11983">
        <v>251114</v>
      </c>
      <c r="P11983">
        <v>68.959999999999994</v>
      </c>
    </row>
    <row r="11984" spans="1:16" x14ac:dyDescent="0.25">
      <c r="A11984" t="s">
        <v>3296</v>
      </c>
      <c r="B11984" t="s">
        <v>2931</v>
      </c>
      <c r="C11984">
        <v>15338</v>
      </c>
      <c r="D11984" t="str">
        <f>"1885        "</f>
        <v xml:space="preserve">1885        </v>
      </c>
      <c r="E11984" t="s">
        <v>1538</v>
      </c>
      <c r="F11984" t="s">
        <v>1539</v>
      </c>
      <c r="G11984">
        <v>594.30999999999995</v>
      </c>
      <c r="H11984">
        <v>251031</v>
      </c>
      <c r="I11984">
        <v>4600</v>
      </c>
      <c r="J11984" t="s">
        <v>278</v>
      </c>
      <c r="K11984">
        <v>594.30999999999995</v>
      </c>
      <c r="L11984">
        <v>120.76</v>
      </c>
      <c r="M11984">
        <v>17809</v>
      </c>
      <c r="N11984" t="s">
        <v>25</v>
      </c>
      <c r="O11984">
        <v>251119</v>
      </c>
      <c r="P11984">
        <v>473.55</v>
      </c>
    </row>
    <row r="11985" spans="1:16" x14ac:dyDescent="0.25">
      <c r="A11985" t="s">
        <v>3296</v>
      </c>
      <c r="B11985" t="s">
        <v>2931</v>
      </c>
      <c r="C11985">
        <v>12690</v>
      </c>
      <c r="D11985" t="str">
        <f>"A-250918395 "</f>
        <v xml:space="preserve">A-250918395 </v>
      </c>
      <c r="E11985" t="s">
        <v>3271</v>
      </c>
      <c r="F11985" t="s">
        <v>3272</v>
      </c>
      <c r="G11985">
        <v>132.5</v>
      </c>
      <c r="H11985">
        <v>250919</v>
      </c>
      <c r="I11985">
        <v>4600</v>
      </c>
      <c r="J11985" t="s">
        <v>278</v>
      </c>
      <c r="K11985">
        <v>132.5</v>
      </c>
      <c r="L11985">
        <v>0</v>
      </c>
      <c r="M11985">
        <v>18971</v>
      </c>
      <c r="N11985" t="s">
        <v>38</v>
      </c>
      <c r="O11985">
        <v>250929</v>
      </c>
      <c r="P11985">
        <v>132.5</v>
      </c>
    </row>
    <row r="11986" spans="1:16" x14ac:dyDescent="0.25">
      <c r="A11986" t="s">
        <v>3296</v>
      </c>
      <c r="B11986" t="s">
        <v>2931</v>
      </c>
      <c r="C11986">
        <v>2116</v>
      </c>
      <c r="D11986" t="str">
        <f>"79479       "</f>
        <v xml:space="preserve">79479       </v>
      </c>
      <c r="E11986" t="s">
        <v>1201</v>
      </c>
      <c r="F11986" t="s">
        <v>1202</v>
      </c>
      <c r="G11986">
        <v>222.77</v>
      </c>
      <c r="H11986">
        <v>250213</v>
      </c>
      <c r="I11986">
        <v>4600</v>
      </c>
      <c r="J11986" t="s">
        <v>278</v>
      </c>
      <c r="K11986">
        <v>222.77</v>
      </c>
      <c r="L11986">
        <v>45.26</v>
      </c>
      <c r="M11986">
        <v>47522</v>
      </c>
      <c r="N11986" t="s">
        <v>106</v>
      </c>
      <c r="O11986">
        <v>250220</v>
      </c>
      <c r="P11986">
        <v>177.51</v>
      </c>
    </row>
    <row r="11987" spans="1:16" x14ac:dyDescent="0.25">
      <c r="A11987" t="s">
        <v>3296</v>
      </c>
      <c r="B11987" t="s">
        <v>2931</v>
      </c>
      <c r="C11987">
        <v>2630</v>
      </c>
      <c r="D11987" t="str">
        <f>"79522       "</f>
        <v xml:space="preserve">79522       </v>
      </c>
      <c r="E11987" t="s">
        <v>1201</v>
      </c>
      <c r="F11987" t="s">
        <v>1202</v>
      </c>
      <c r="G11987">
        <v>669.48</v>
      </c>
      <c r="H11987">
        <v>250223</v>
      </c>
      <c r="I11987">
        <v>4600</v>
      </c>
      <c r="J11987" t="s">
        <v>278</v>
      </c>
      <c r="K11987">
        <v>669.48</v>
      </c>
      <c r="L11987">
        <v>136.03</v>
      </c>
      <c r="M11987">
        <v>46554</v>
      </c>
      <c r="N11987" t="s">
        <v>102</v>
      </c>
      <c r="O11987">
        <v>250307</v>
      </c>
      <c r="P11987">
        <v>533.45000000000005</v>
      </c>
    </row>
    <row r="11988" spans="1:16" x14ac:dyDescent="0.25">
      <c r="A11988" t="s">
        <v>3296</v>
      </c>
      <c r="B11988" t="s">
        <v>2931</v>
      </c>
      <c r="C11988">
        <v>5508</v>
      </c>
      <c r="D11988" t="str">
        <f>"79749       "</f>
        <v xml:space="preserve">79749       </v>
      </c>
      <c r="E11988" t="s">
        <v>1201</v>
      </c>
      <c r="F11988" t="s">
        <v>1202</v>
      </c>
      <c r="G11988">
        <v>1121.99</v>
      </c>
      <c r="H11988">
        <v>250417</v>
      </c>
      <c r="I11988">
        <v>4600</v>
      </c>
      <c r="J11988" t="s">
        <v>278</v>
      </c>
      <c r="K11988">
        <v>1121.99</v>
      </c>
      <c r="L11988">
        <v>227.97</v>
      </c>
      <c r="M11988">
        <v>17529</v>
      </c>
      <c r="N11988" t="s">
        <v>143</v>
      </c>
      <c r="O11988">
        <v>250425</v>
      </c>
      <c r="P11988">
        <v>894.02</v>
      </c>
    </row>
    <row r="11989" spans="1:16" x14ac:dyDescent="0.25">
      <c r="A11989" t="s">
        <v>3296</v>
      </c>
      <c r="B11989" t="s">
        <v>2931</v>
      </c>
      <c r="C11989">
        <v>6860</v>
      </c>
      <c r="D11989" t="str">
        <f>"79874       "</f>
        <v xml:space="preserve">79874       </v>
      </c>
      <c r="E11989" t="s">
        <v>1201</v>
      </c>
      <c r="F11989" t="s">
        <v>1202</v>
      </c>
      <c r="G11989">
        <v>200.81</v>
      </c>
      <c r="H11989">
        <v>250514</v>
      </c>
      <c r="I11989">
        <v>4600</v>
      </c>
      <c r="J11989" t="s">
        <v>278</v>
      </c>
      <c r="K11989">
        <v>200.81</v>
      </c>
      <c r="L11989">
        <v>40.799999999999997</v>
      </c>
      <c r="M11989">
        <v>17529</v>
      </c>
      <c r="N11989" t="s">
        <v>143</v>
      </c>
      <c r="O11989">
        <v>250519</v>
      </c>
      <c r="P11989">
        <v>160.01</v>
      </c>
    </row>
    <row r="11990" spans="1:16" x14ac:dyDescent="0.25">
      <c r="A11990" t="s">
        <v>3296</v>
      </c>
      <c r="B11990" t="s">
        <v>2931</v>
      </c>
      <c r="C11990">
        <v>14747</v>
      </c>
      <c r="D11990" t="str">
        <f>"80374       "</f>
        <v xml:space="preserve">80374       </v>
      </c>
      <c r="E11990" t="s">
        <v>1201</v>
      </c>
      <c r="F11990" t="s">
        <v>1202</v>
      </c>
      <c r="G11990">
        <v>243.35</v>
      </c>
      <c r="H11990">
        <v>251101</v>
      </c>
      <c r="I11990">
        <v>4600</v>
      </c>
      <c r="J11990" t="s">
        <v>278</v>
      </c>
      <c r="K11990">
        <v>243.35</v>
      </c>
      <c r="L11990">
        <v>49.45</v>
      </c>
      <c r="M11990">
        <v>47522</v>
      </c>
      <c r="N11990" t="s">
        <v>106</v>
      </c>
      <c r="O11990">
        <v>251106</v>
      </c>
      <c r="P11990">
        <v>193.9</v>
      </c>
    </row>
    <row r="11991" spans="1:16" x14ac:dyDescent="0.25">
      <c r="A11991" t="s">
        <v>3296</v>
      </c>
      <c r="B11991" t="s">
        <v>2931</v>
      </c>
      <c r="C11991">
        <v>17885</v>
      </c>
      <c r="D11991" t="str">
        <f>"0175        "</f>
        <v xml:space="preserve">0175        </v>
      </c>
      <c r="E11991" t="s">
        <v>3330</v>
      </c>
      <c r="F11991" t="s">
        <v>2786</v>
      </c>
      <c r="G11991">
        <v>878.86</v>
      </c>
      <c r="H11991">
        <v>251222</v>
      </c>
      <c r="I11991">
        <v>4390</v>
      </c>
      <c r="J11991" t="s">
        <v>232</v>
      </c>
      <c r="K11991">
        <v>878.86</v>
      </c>
      <c r="L11991">
        <v>0</v>
      </c>
      <c r="M11991">
        <v>17951</v>
      </c>
      <c r="N11991" t="s">
        <v>207</v>
      </c>
      <c r="O11991">
        <v>251231</v>
      </c>
      <c r="P11991">
        <v>878.86</v>
      </c>
    </row>
    <row r="11992" spans="1:16" x14ac:dyDescent="0.25">
      <c r="A11992" t="s">
        <v>3296</v>
      </c>
      <c r="B11992" t="s">
        <v>2931</v>
      </c>
      <c r="C11992">
        <v>13184</v>
      </c>
      <c r="D11992" t="str">
        <f>"78-2025     "</f>
        <v xml:space="preserve">78-2025     </v>
      </c>
      <c r="E11992" t="s">
        <v>2420</v>
      </c>
      <c r="F11992" t="s">
        <v>2421</v>
      </c>
      <c r="G11992">
        <v>439.25</v>
      </c>
      <c r="H11992">
        <v>251002</v>
      </c>
      <c r="I11992">
        <v>4440</v>
      </c>
      <c r="J11992" t="s">
        <v>346</v>
      </c>
      <c r="K11992">
        <v>439.25</v>
      </c>
      <c r="L11992">
        <v>89.25</v>
      </c>
      <c r="M11992">
        <v>16930</v>
      </c>
      <c r="N11992" t="s">
        <v>135</v>
      </c>
      <c r="O11992">
        <v>251006</v>
      </c>
      <c r="P11992">
        <v>350</v>
      </c>
    </row>
    <row r="11993" spans="1:16" x14ac:dyDescent="0.25">
      <c r="A11993" t="s">
        <v>3296</v>
      </c>
      <c r="B11993" t="s">
        <v>2931</v>
      </c>
      <c r="C11993">
        <v>2029</v>
      </c>
      <c r="D11993" t="str">
        <f>"M113704     "</f>
        <v xml:space="preserve">M113704     </v>
      </c>
      <c r="E11993" t="s">
        <v>1193</v>
      </c>
      <c r="F11993" t="s">
        <v>1194</v>
      </c>
      <c r="G11993">
        <v>500</v>
      </c>
      <c r="H11993">
        <v>250206</v>
      </c>
      <c r="I11993">
        <v>4440</v>
      </c>
      <c r="J11993" t="s">
        <v>346</v>
      </c>
      <c r="K11993">
        <v>500</v>
      </c>
      <c r="L11993">
        <v>0</v>
      </c>
      <c r="M11993">
        <v>18120</v>
      </c>
      <c r="N11993" t="s">
        <v>37</v>
      </c>
      <c r="O11993">
        <v>250219</v>
      </c>
      <c r="P11993">
        <v>500</v>
      </c>
    </row>
    <row r="11994" spans="1:16" x14ac:dyDescent="0.25">
      <c r="A11994" t="s">
        <v>3296</v>
      </c>
      <c r="B11994" t="s">
        <v>2931</v>
      </c>
      <c r="C11994">
        <v>2537</v>
      </c>
      <c r="D11994" t="str">
        <f>"M113790     "</f>
        <v xml:space="preserve">M113790     </v>
      </c>
      <c r="E11994" t="s">
        <v>1193</v>
      </c>
      <c r="F11994" t="s">
        <v>1194</v>
      </c>
      <c r="G11994">
        <v>500</v>
      </c>
      <c r="H11994">
        <v>250224</v>
      </c>
      <c r="I11994">
        <v>4440</v>
      </c>
      <c r="J11994" t="s">
        <v>346</v>
      </c>
      <c r="K11994">
        <v>500</v>
      </c>
      <c r="L11994">
        <v>0</v>
      </c>
      <c r="M11994">
        <v>18120</v>
      </c>
      <c r="N11994" t="s">
        <v>37</v>
      </c>
      <c r="O11994">
        <v>250303</v>
      </c>
      <c r="P11994">
        <v>500</v>
      </c>
    </row>
    <row r="11995" spans="1:16" x14ac:dyDescent="0.25">
      <c r="A11995" t="s">
        <v>3296</v>
      </c>
      <c r="B11995" t="s">
        <v>2931</v>
      </c>
      <c r="C11995">
        <v>3407</v>
      </c>
      <c r="D11995" t="str">
        <f>"M113848     "</f>
        <v xml:space="preserve">M113848     </v>
      </c>
      <c r="E11995" t="s">
        <v>1193</v>
      </c>
      <c r="F11995" t="s">
        <v>1194</v>
      </c>
      <c r="G11995">
        <v>1200</v>
      </c>
      <c r="H11995">
        <v>250306</v>
      </c>
      <c r="I11995">
        <v>4440</v>
      </c>
      <c r="J11995" t="s">
        <v>346</v>
      </c>
      <c r="K11995">
        <v>1200</v>
      </c>
      <c r="L11995">
        <v>0</v>
      </c>
      <c r="M11995">
        <v>18120</v>
      </c>
      <c r="N11995" t="s">
        <v>37</v>
      </c>
      <c r="O11995">
        <v>250320</v>
      </c>
      <c r="P11995">
        <v>1200</v>
      </c>
    </row>
    <row r="11996" spans="1:16" x14ac:dyDescent="0.25">
      <c r="A11996" t="s">
        <v>3296</v>
      </c>
      <c r="B11996" t="s">
        <v>2931</v>
      </c>
      <c r="C11996">
        <v>3408</v>
      </c>
      <c r="D11996" t="str">
        <f>"M113858     "</f>
        <v xml:space="preserve">M113858     </v>
      </c>
      <c r="E11996" t="s">
        <v>1193</v>
      </c>
      <c r="F11996" t="s">
        <v>1194</v>
      </c>
      <c r="G11996">
        <v>580</v>
      </c>
      <c r="H11996">
        <v>250306</v>
      </c>
      <c r="I11996">
        <v>4440</v>
      </c>
      <c r="J11996" t="s">
        <v>346</v>
      </c>
      <c r="K11996">
        <v>580</v>
      </c>
      <c r="L11996">
        <v>0</v>
      </c>
      <c r="M11996">
        <v>18122</v>
      </c>
      <c r="N11996" t="s">
        <v>176</v>
      </c>
      <c r="O11996">
        <v>250320</v>
      </c>
      <c r="P11996">
        <v>580</v>
      </c>
    </row>
    <row r="11997" spans="1:16" x14ac:dyDescent="0.25">
      <c r="A11997" t="s">
        <v>3296</v>
      </c>
      <c r="B11997" t="s">
        <v>2931</v>
      </c>
      <c r="C11997">
        <v>4238</v>
      </c>
      <c r="D11997" t="str">
        <f>"M113987     "</f>
        <v xml:space="preserve">M113987     </v>
      </c>
      <c r="E11997" t="s">
        <v>1193</v>
      </c>
      <c r="F11997" t="s">
        <v>1194</v>
      </c>
      <c r="G11997">
        <v>500</v>
      </c>
      <c r="H11997">
        <v>250327</v>
      </c>
      <c r="I11997">
        <v>4440</v>
      </c>
      <c r="J11997" t="s">
        <v>346</v>
      </c>
      <c r="K11997">
        <v>500</v>
      </c>
      <c r="L11997">
        <v>0</v>
      </c>
      <c r="M11997">
        <v>18120</v>
      </c>
      <c r="N11997" t="s">
        <v>37</v>
      </c>
      <c r="O11997">
        <v>250409</v>
      </c>
      <c r="P11997">
        <v>500</v>
      </c>
    </row>
    <row r="11998" spans="1:16" x14ac:dyDescent="0.25">
      <c r="A11998" t="s">
        <v>3296</v>
      </c>
      <c r="B11998" t="s">
        <v>2931</v>
      </c>
      <c r="C11998">
        <v>4254</v>
      </c>
      <c r="D11998" t="str">
        <f>"M113986     "</f>
        <v xml:space="preserve">M113986     </v>
      </c>
      <c r="E11998" t="s">
        <v>1193</v>
      </c>
      <c r="F11998" t="s">
        <v>1194</v>
      </c>
      <c r="G11998">
        <v>500</v>
      </c>
      <c r="H11998">
        <v>250327</v>
      </c>
      <c r="I11998">
        <v>4440</v>
      </c>
      <c r="J11998" t="s">
        <v>346</v>
      </c>
      <c r="K11998">
        <v>500</v>
      </c>
      <c r="L11998">
        <v>0</v>
      </c>
      <c r="M11998">
        <v>18120</v>
      </c>
      <c r="N11998" t="s">
        <v>37</v>
      </c>
      <c r="O11998">
        <v>250409</v>
      </c>
      <c r="P11998">
        <v>500</v>
      </c>
    </row>
    <row r="11999" spans="1:16" x14ac:dyDescent="0.25">
      <c r="A11999" t="s">
        <v>3296</v>
      </c>
      <c r="B11999" t="s">
        <v>2931</v>
      </c>
      <c r="C11999">
        <v>4535</v>
      </c>
      <c r="D11999" t="str">
        <f>"M114044     "</f>
        <v xml:space="preserve">M114044     </v>
      </c>
      <c r="E11999" t="s">
        <v>1193</v>
      </c>
      <c r="F11999" t="s">
        <v>1194</v>
      </c>
      <c r="G11999">
        <v>580</v>
      </c>
      <c r="H11999">
        <v>250401</v>
      </c>
      <c r="I11999">
        <v>4440</v>
      </c>
      <c r="J11999" t="s">
        <v>346</v>
      </c>
      <c r="K11999">
        <v>580</v>
      </c>
      <c r="L11999">
        <v>0</v>
      </c>
      <c r="M11999">
        <v>18120</v>
      </c>
      <c r="N11999" t="s">
        <v>37</v>
      </c>
      <c r="O11999">
        <v>250414</v>
      </c>
      <c r="P11999">
        <v>580</v>
      </c>
    </row>
    <row r="12000" spans="1:16" x14ac:dyDescent="0.25">
      <c r="A12000" t="s">
        <v>3296</v>
      </c>
      <c r="B12000" t="s">
        <v>2931</v>
      </c>
      <c r="C12000">
        <v>4666</v>
      </c>
      <c r="D12000" t="str">
        <f>"M114067     "</f>
        <v xml:space="preserve">M114067     </v>
      </c>
      <c r="E12000" t="s">
        <v>1193</v>
      </c>
      <c r="F12000" t="s">
        <v>1194</v>
      </c>
      <c r="G12000">
        <v>1000</v>
      </c>
      <c r="H12000">
        <v>250402</v>
      </c>
      <c r="I12000">
        <v>4440</v>
      </c>
      <c r="J12000" t="s">
        <v>346</v>
      </c>
      <c r="K12000">
        <v>1000</v>
      </c>
      <c r="L12000">
        <v>0</v>
      </c>
      <c r="M12000">
        <v>18120</v>
      </c>
      <c r="N12000" t="s">
        <v>37</v>
      </c>
      <c r="O12000">
        <v>250414</v>
      </c>
      <c r="P12000">
        <v>1000</v>
      </c>
    </row>
    <row r="12001" spans="1:16" x14ac:dyDescent="0.25">
      <c r="A12001" t="s">
        <v>3296</v>
      </c>
      <c r="B12001" t="s">
        <v>2931</v>
      </c>
      <c r="C12001">
        <v>8247</v>
      </c>
      <c r="D12001" t="str">
        <f>"M114548     "</f>
        <v xml:space="preserve">M114548     </v>
      </c>
      <c r="E12001" t="s">
        <v>1193</v>
      </c>
      <c r="F12001" t="s">
        <v>1194</v>
      </c>
      <c r="G12001">
        <v>580</v>
      </c>
      <c r="H12001">
        <v>250604</v>
      </c>
      <c r="I12001">
        <v>4440</v>
      </c>
      <c r="J12001" t="s">
        <v>346</v>
      </c>
      <c r="K12001">
        <v>580</v>
      </c>
      <c r="L12001">
        <v>0</v>
      </c>
      <c r="M12001">
        <v>18122</v>
      </c>
      <c r="N12001" t="s">
        <v>176</v>
      </c>
      <c r="O12001">
        <v>250612</v>
      </c>
      <c r="P12001">
        <v>580</v>
      </c>
    </row>
    <row r="12002" spans="1:16" x14ac:dyDescent="0.25">
      <c r="A12002" t="s">
        <v>3296</v>
      </c>
      <c r="B12002" t="s">
        <v>2931</v>
      </c>
      <c r="C12002">
        <v>8333</v>
      </c>
      <c r="D12002" t="str">
        <f>"M114550     "</f>
        <v xml:space="preserve">M114550     </v>
      </c>
      <c r="E12002" t="s">
        <v>1193</v>
      </c>
      <c r="F12002" t="s">
        <v>1194</v>
      </c>
      <c r="G12002">
        <v>1200</v>
      </c>
      <c r="H12002">
        <v>250604</v>
      </c>
      <c r="I12002">
        <v>4440</v>
      </c>
      <c r="J12002" t="s">
        <v>346</v>
      </c>
      <c r="K12002">
        <v>1200</v>
      </c>
      <c r="L12002">
        <v>0</v>
      </c>
      <c r="M12002">
        <v>18120</v>
      </c>
      <c r="N12002" t="s">
        <v>37</v>
      </c>
      <c r="O12002">
        <v>250613</v>
      </c>
      <c r="P12002">
        <v>1200</v>
      </c>
    </row>
    <row r="12003" spans="1:16" x14ac:dyDescent="0.25">
      <c r="A12003" t="s">
        <v>3296</v>
      </c>
      <c r="B12003" t="s">
        <v>2931</v>
      </c>
      <c r="C12003">
        <v>11672</v>
      </c>
      <c r="D12003" t="str">
        <f>"M114732     "</f>
        <v xml:space="preserve">M114732     </v>
      </c>
      <c r="E12003" t="s">
        <v>1193</v>
      </c>
      <c r="F12003" t="s">
        <v>1194</v>
      </c>
      <c r="G12003">
        <v>580</v>
      </c>
      <c r="H12003">
        <v>250827</v>
      </c>
      <c r="I12003">
        <v>4440</v>
      </c>
      <c r="J12003" t="s">
        <v>346</v>
      </c>
      <c r="K12003">
        <v>580</v>
      </c>
      <c r="L12003">
        <v>0</v>
      </c>
      <c r="M12003">
        <v>18122</v>
      </c>
      <c r="N12003" t="s">
        <v>176</v>
      </c>
      <c r="O12003">
        <v>250910</v>
      </c>
      <c r="P12003">
        <v>580</v>
      </c>
    </row>
    <row r="12004" spans="1:16" x14ac:dyDescent="0.25">
      <c r="A12004" t="s">
        <v>3296</v>
      </c>
      <c r="B12004" t="s">
        <v>2931</v>
      </c>
      <c r="C12004">
        <v>11689</v>
      </c>
      <c r="D12004" t="str">
        <f>"M114771     "</f>
        <v xml:space="preserve">M114771     </v>
      </c>
      <c r="E12004" t="s">
        <v>1193</v>
      </c>
      <c r="F12004" t="s">
        <v>1194</v>
      </c>
      <c r="G12004">
        <v>1200</v>
      </c>
      <c r="H12004">
        <v>250901</v>
      </c>
      <c r="I12004">
        <v>4440</v>
      </c>
      <c r="J12004" t="s">
        <v>346</v>
      </c>
      <c r="K12004">
        <v>1200</v>
      </c>
      <c r="L12004">
        <v>0</v>
      </c>
      <c r="M12004">
        <v>18120</v>
      </c>
      <c r="N12004" t="s">
        <v>37</v>
      </c>
      <c r="O12004">
        <v>250910</v>
      </c>
      <c r="P12004">
        <v>1200</v>
      </c>
    </row>
    <row r="12005" spans="1:16" x14ac:dyDescent="0.25">
      <c r="A12005" t="s">
        <v>3296</v>
      </c>
      <c r="B12005" t="s">
        <v>2931</v>
      </c>
      <c r="C12005">
        <v>16849</v>
      </c>
      <c r="D12005" t="str">
        <f>"M115390     "</f>
        <v xml:space="preserve">M115390     </v>
      </c>
      <c r="E12005" t="s">
        <v>1193</v>
      </c>
      <c r="F12005" t="s">
        <v>1194</v>
      </c>
      <c r="G12005">
        <v>600</v>
      </c>
      <c r="H12005">
        <v>251202</v>
      </c>
      <c r="I12005">
        <v>4440</v>
      </c>
      <c r="J12005" t="s">
        <v>346</v>
      </c>
      <c r="K12005">
        <v>600</v>
      </c>
      <c r="L12005">
        <v>0</v>
      </c>
      <c r="M12005">
        <v>18120</v>
      </c>
      <c r="N12005" t="s">
        <v>37</v>
      </c>
      <c r="O12005">
        <v>251215</v>
      </c>
      <c r="P12005">
        <v>600</v>
      </c>
    </row>
    <row r="12006" spans="1:16" x14ac:dyDescent="0.25">
      <c r="A12006" t="s">
        <v>3296</v>
      </c>
      <c r="B12006" t="s">
        <v>2931</v>
      </c>
      <c r="C12006">
        <v>10792</v>
      </c>
      <c r="D12006" t="str">
        <f>"202501320   "</f>
        <v xml:space="preserve">202501320   </v>
      </c>
      <c r="E12006" t="s">
        <v>1867</v>
      </c>
      <c r="F12006" t="s">
        <v>1868</v>
      </c>
      <c r="G12006">
        <v>818.92</v>
      </c>
      <c r="H12006">
        <v>250819</v>
      </c>
      <c r="I12006">
        <v>4500</v>
      </c>
      <c r="J12006" t="s">
        <v>312</v>
      </c>
      <c r="K12006">
        <v>818.92</v>
      </c>
      <c r="L12006">
        <v>166.39</v>
      </c>
      <c r="M12006">
        <v>13802</v>
      </c>
      <c r="N12006" t="s">
        <v>34</v>
      </c>
      <c r="O12006">
        <v>250822</v>
      </c>
      <c r="P12006">
        <v>652.53</v>
      </c>
    </row>
    <row r="12007" spans="1:16" x14ac:dyDescent="0.25">
      <c r="A12007" t="s">
        <v>3296</v>
      </c>
      <c r="B12007" t="s">
        <v>2931</v>
      </c>
      <c r="C12007">
        <v>11527</v>
      </c>
      <c r="D12007" t="str">
        <f>"202501451   "</f>
        <v xml:space="preserve">202501451   </v>
      </c>
      <c r="E12007" t="s">
        <v>1867</v>
      </c>
      <c r="F12007" t="s">
        <v>1868</v>
      </c>
      <c r="G12007">
        <v>103.16</v>
      </c>
      <c r="H12007">
        <v>250830</v>
      </c>
      <c r="I12007">
        <v>4500</v>
      </c>
      <c r="J12007" t="s">
        <v>312</v>
      </c>
      <c r="K12007">
        <v>103.16</v>
      </c>
      <c r="L12007">
        <v>20.96</v>
      </c>
      <c r="M12007">
        <v>13802</v>
      </c>
      <c r="N12007" t="s">
        <v>34</v>
      </c>
      <c r="O12007">
        <v>250908</v>
      </c>
      <c r="P12007">
        <v>82.2</v>
      </c>
    </row>
    <row r="12008" spans="1:16" x14ac:dyDescent="0.25">
      <c r="A12008" t="s">
        <v>3296</v>
      </c>
      <c r="B12008" t="s">
        <v>2931</v>
      </c>
      <c r="C12008">
        <v>6550</v>
      </c>
      <c r="D12008" t="str">
        <f>"202500715   "</f>
        <v xml:space="preserve">202500715   </v>
      </c>
      <c r="E12008" t="s">
        <v>1867</v>
      </c>
      <c r="F12008" t="s">
        <v>1868</v>
      </c>
      <c r="G12008">
        <v>150</v>
      </c>
      <c r="H12008">
        <v>250417</v>
      </c>
      <c r="I12008">
        <v>4600</v>
      </c>
      <c r="J12008" t="s">
        <v>278</v>
      </c>
      <c r="K12008">
        <v>522.57000000000005</v>
      </c>
      <c r="L12008">
        <v>30.48</v>
      </c>
      <c r="M12008">
        <v>17530</v>
      </c>
      <c r="N12008" t="s">
        <v>144</v>
      </c>
      <c r="O12008">
        <v>250514</v>
      </c>
      <c r="P12008">
        <v>119.52</v>
      </c>
    </row>
    <row r="12009" spans="1:16" x14ac:dyDescent="0.25">
      <c r="A12009" t="s">
        <v>3296</v>
      </c>
      <c r="B12009" t="s">
        <v>2931</v>
      </c>
      <c r="C12009">
        <v>6550</v>
      </c>
      <c r="D12009" t="str">
        <f>"202500715   "</f>
        <v xml:space="preserve">202500715   </v>
      </c>
      <c r="E12009" t="s">
        <v>1867</v>
      </c>
      <c r="F12009" t="s">
        <v>1868</v>
      </c>
      <c r="G12009">
        <v>150</v>
      </c>
      <c r="H12009">
        <v>250417</v>
      </c>
      <c r="I12009">
        <v>4600</v>
      </c>
      <c r="J12009" t="s">
        <v>278</v>
      </c>
      <c r="K12009">
        <v>522.57000000000005</v>
      </c>
      <c r="L12009">
        <v>30.48</v>
      </c>
      <c r="M12009">
        <v>17531</v>
      </c>
      <c r="N12009" t="s">
        <v>145</v>
      </c>
      <c r="O12009">
        <v>250514</v>
      </c>
      <c r="P12009">
        <v>119.52</v>
      </c>
    </row>
    <row r="12010" spans="1:16" x14ac:dyDescent="0.25">
      <c r="A12010" t="s">
        <v>3296</v>
      </c>
      <c r="B12010" t="s">
        <v>2931</v>
      </c>
      <c r="C12010">
        <v>6550</v>
      </c>
      <c r="D12010" t="str">
        <f>"202500715   "</f>
        <v xml:space="preserve">202500715   </v>
      </c>
      <c r="E12010" t="s">
        <v>1867</v>
      </c>
      <c r="F12010" t="s">
        <v>1868</v>
      </c>
      <c r="G12010">
        <v>222.57</v>
      </c>
      <c r="H12010">
        <v>250417</v>
      </c>
      <c r="I12010">
        <v>4600</v>
      </c>
      <c r="J12010" t="s">
        <v>278</v>
      </c>
      <c r="K12010">
        <v>522.57000000000005</v>
      </c>
      <c r="L12010">
        <v>45.22</v>
      </c>
      <c r="M12010">
        <v>17538</v>
      </c>
      <c r="N12010" t="s">
        <v>129</v>
      </c>
      <c r="O12010">
        <v>250514</v>
      </c>
      <c r="P12010">
        <v>177.35</v>
      </c>
    </row>
    <row r="12011" spans="1:16" x14ac:dyDescent="0.25">
      <c r="A12011" t="s">
        <v>3296</v>
      </c>
      <c r="B12011" t="s">
        <v>2931</v>
      </c>
      <c r="C12011">
        <v>6595</v>
      </c>
      <c r="D12011" t="str">
        <f>"202500822   "</f>
        <v xml:space="preserve">202500822   </v>
      </c>
      <c r="E12011" t="s">
        <v>1867</v>
      </c>
      <c r="F12011" t="s">
        <v>1868</v>
      </c>
      <c r="G12011">
        <v>78.650000000000006</v>
      </c>
      <c r="H12011">
        <v>250430</v>
      </c>
      <c r="I12011">
        <v>4600</v>
      </c>
      <c r="J12011" t="s">
        <v>278</v>
      </c>
      <c r="K12011">
        <v>78.650000000000006</v>
      </c>
      <c r="L12011">
        <v>15.98</v>
      </c>
      <c r="M12011">
        <v>17530</v>
      </c>
      <c r="N12011" t="s">
        <v>144</v>
      </c>
      <c r="O12011">
        <v>250514</v>
      </c>
      <c r="P12011">
        <v>62.67</v>
      </c>
    </row>
    <row r="12012" spans="1:16" x14ac:dyDescent="0.25">
      <c r="A12012" t="s">
        <v>3296</v>
      </c>
      <c r="B12012" t="s">
        <v>2931</v>
      </c>
      <c r="C12012">
        <v>10967</v>
      </c>
      <c r="D12012" t="str">
        <f>"202501319   "</f>
        <v xml:space="preserve">202501319   </v>
      </c>
      <c r="E12012" t="s">
        <v>1867</v>
      </c>
      <c r="F12012" t="s">
        <v>1868</v>
      </c>
      <c r="G12012">
        <v>1532.24</v>
      </c>
      <c r="H12012">
        <v>250819</v>
      </c>
      <c r="I12012">
        <v>4600</v>
      </c>
      <c r="J12012" t="s">
        <v>278</v>
      </c>
      <c r="K12012">
        <v>1532.24</v>
      </c>
      <c r="L12012">
        <v>311.33</v>
      </c>
      <c r="M12012">
        <v>13802</v>
      </c>
      <c r="N12012" t="s">
        <v>34</v>
      </c>
      <c r="O12012">
        <v>250828</v>
      </c>
      <c r="P12012">
        <v>1220.9100000000001</v>
      </c>
    </row>
    <row r="12013" spans="1:16" x14ac:dyDescent="0.25">
      <c r="A12013" t="s">
        <v>3296</v>
      </c>
      <c r="B12013" t="s">
        <v>2931</v>
      </c>
      <c r="C12013">
        <v>11310</v>
      </c>
      <c r="D12013" t="str">
        <f>"202501417   "</f>
        <v xml:space="preserve">202501417   </v>
      </c>
      <c r="E12013" t="s">
        <v>1867</v>
      </c>
      <c r="F12013" t="s">
        <v>1868</v>
      </c>
      <c r="G12013">
        <v>358.43</v>
      </c>
      <c r="H12013">
        <v>250828</v>
      </c>
      <c r="I12013">
        <v>4600</v>
      </c>
      <c r="J12013" t="s">
        <v>278</v>
      </c>
      <c r="K12013">
        <v>358.43</v>
      </c>
      <c r="L12013">
        <v>72.83</v>
      </c>
      <c r="M12013">
        <v>13802</v>
      </c>
      <c r="N12013" t="s">
        <v>34</v>
      </c>
      <c r="O12013">
        <v>250903</v>
      </c>
      <c r="P12013">
        <v>285.60000000000002</v>
      </c>
    </row>
    <row r="12014" spans="1:16" x14ac:dyDescent="0.25">
      <c r="A12014" t="s">
        <v>3296</v>
      </c>
      <c r="B12014" t="s">
        <v>2931</v>
      </c>
      <c r="C12014">
        <v>15888</v>
      </c>
      <c r="D12014" t="str">
        <f>"202502262   "</f>
        <v xml:space="preserve">202502262   </v>
      </c>
      <c r="E12014" t="s">
        <v>1867</v>
      </c>
      <c r="F12014" t="s">
        <v>1868</v>
      </c>
      <c r="G12014">
        <v>359.17</v>
      </c>
      <c r="H12014">
        <v>251125</v>
      </c>
      <c r="I12014">
        <v>4600</v>
      </c>
      <c r="J12014" t="s">
        <v>278</v>
      </c>
      <c r="K12014">
        <v>359.17</v>
      </c>
      <c r="L12014">
        <v>72.98</v>
      </c>
      <c r="M12014">
        <v>13802</v>
      </c>
      <c r="N12014" t="s">
        <v>34</v>
      </c>
      <c r="O12014">
        <v>251128</v>
      </c>
      <c r="P12014">
        <v>286.19</v>
      </c>
    </row>
    <row r="12015" spans="1:16" x14ac:dyDescent="0.25">
      <c r="A12015" t="s">
        <v>3296</v>
      </c>
      <c r="B12015" t="s">
        <v>2931</v>
      </c>
      <c r="C12015">
        <v>6170</v>
      </c>
      <c r="D12015" t="str">
        <f>"5751        "</f>
        <v xml:space="preserve">5751        </v>
      </c>
      <c r="E12015" t="s">
        <v>1849</v>
      </c>
      <c r="F12015" t="s">
        <v>1850</v>
      </c>
      <c r="G12015">
        <v>125.87</v>
      </c>
      <c r="H12015">
        <v>250505</v>
      </c>
      <c r="I12015">
        <v>4580</v>
      </c>
      <c r="J12015" t="s">
        <v>126</v>
      </c>
      <c r="K12015">
        <v>125.87</v>
      </c>
      <c r="L12015">
        <v>25.58</v>
      </c>
      <c r="M12015">
        <v>17522</v>
      </c>
      <c r="N12015" t="s">
        <v>137</v>
      </c>
      <c r="O12015">
        <v>250509</v>
      </c>
      <c r="P12015">
        <v>100.29</v>
      </c>
    </row>
    <row r="12016" spans="1:16" x14ac:dyDescent="0.25">
      <c r="A12016" t="s">
        <v>3296</v>
      </c>
      <c r="B12016" t="s">
        <v>2931</v>
      </c>
      <c r="C12016">
        <v>3804</v>
      </c>
      <c r="D12016" t="str">
        <f>"RE-1203504  "</f>
        <v xml:space="preserve">RE-1203504  </v>
      </c>
      <c r="E12016" t="s">
        <v>3227</v>
      </c>
      <c r="F12016" t="s">
        <v>3228</v>
      </c>
      <c r="G12016">
        <v>135.05000000000001</v>
      </c>
      <c r="H12016">
        <v>250319</v>
      </c>
      <c r="I12016">
        <v>4600</v>
      </c>
      <c r="J12016" t="s">
        <v>278</v>
      </c>
      <c r="K12016">
        <v>135.05000000000001</v>
      </c>
      <c r="L12016">
        <v>26.14</v>
      </c>
      <c r="M12016">
        <v>17525</v>
      </c>
      <c r="N12016" t="s">
        <v>140</v>
      </c>
      <c r="O12016">
        <v>250401</v>
      </c>
      <c r="P12016">
        <v>108.91</v>
      </c>
    </row>
    <row r="12017" spans="1:16" x14ac:dyDescent="0.25">
      <c r="A12017" t="s">
        <v>3296</v>
      </c>
      <c r="B12017" t="s">
        <v>2931</v>
      </c>
      <c r="C12017">
        <v>15294</v>
      </c>
      <c r="D12017" t="str">
        <f>"1790        "</f>
        <v xml:space="preserve">1790        </v>
      </c>
      <c r="E12017" t="s">
        <v>2570</v>
      </c>
      <c r="F12017" t="s">
        <v>2571</v>
      </c>
      <c r="G12017">
        <v>30</v>
      </c>
      <c r="H12017">
        <v>251030</v>
      </c>
      <c r="I12017">
        <v>4600</v>
      </c>
      <c r="J12017" t="s">
        <v>278</v>
      </c>
      <c r="K12017">
        <v>30</v>
      </c>
      <c r="L12017">
        <v>6.1</v>
      </c>
      <c r="M12017">
        <v>17737</v>
      </c>
      <c r="N12017" t="s">
        <v>156</v>
      </c>
      <c r="O12017">
        <v>251117</v>
      </c>
      <c r="P12017">
        <v>23.9</v>
      </c>
    </row>
    <row r="12018" spans="1:16" x14ac:dyDescent="0.25">
      <c r="A12018" t="s">
        <v>3296</v>
      </c>
      <c r="B12018" t="s">
        <v>2931</v>
      </c>
      <c r="C12018">
        <v>17940</v>
      </c>
      <c r="D12018" t="str">
        <f>"1823        "</f>
        <v xml:space="preserve">1823        </v>
      </c>
      <c r="E12018" t="s">
        <v>2570</v>
      </c>
      <c r="F12018" t="s">
        <v>2571</v>
      </c>
      <c r="G12018">
        <v>50</v>
      </c>
      <c r="H12018">
        <v>251227</v>
      </c>
      <c r="I12018">
        <v>4600</v>
      </c>
      <c r="J12018" t="s">
        <v>278</v>
      </c>
      <c r="K12018">
        <v>50</v>
      </c>
      <c r="L12018">
        <v>0</v>
      </c>
      <c r="M12018">
        <v>17711</v>
      </c>
      <c r="N12018" t="s">
        <v>155</v>
      </c>
      <c r="O12018">
        <v>260107</v>
      </c>
      <c r="P12018">
        <v>50</v>
      </c>
    </row>
    <row r="12019" spans="1:16" x14ac:dyDescent="0.25">
      <c r="A12019" t="s">
        <v>3296</v>
      </c>
      <c r="B12019" t="s">
        <v>2931</v>
      </c>
      <c r="C12019">
        <v>6337</v>
      </c>
      <c r="D12019" t="str">
        <f>"155         "</f>
        <v xml:space="preserve">155         </v>
      </c>
      <c r="E12019" t="s">
        <v>3076</v>
      </c>
      <c r="F12019" t="s">
        <v>3077</v>
      </c>
      <c r="G12019">
        <v>350</v>
      </c>
      <c r="H12019">
        <v>250508</v>
      </c>
      <c r="I12019">
        <v>4820</v>
      </c>
      <c r="J12019" t="s">
        <v>169</v>
      </c>
      <c r="K12019">
        <v>350</v>
      </c>
      <c r="L12019">
        <v>0</v>
      </c>
      <c r="M12019">
        <v>13841</v>
      </c>
      <c r="N12019" t="s">
        <v>178</v>
      </c>
      <c r="O12019">
        <v>250512</v>
      </c>
      <c r="P12019">
        <v>350</v>
      </c>
    </row>
    <row r="12020" spans="1:16" x14ac:dyDescent="0.25">
      <c r="A12020" t="s">
        <v>3296</v>
      </c>
      <c r="B12020" t="s">
        <v>2931</v>
      </c>
      <c r="C12020">
        <v>15967</v>
      </c>
      <c r="D12020" t="str">
        <f>"174         "</f>
        <v xml:space="preserve">174         </v>
      </c>
      <c r="E12020" t="s">
        <v>3076</v>
      </c>
      <c r="F12020" t="s">
        <v>3077</v>
      </c>
      <c r="G12020">
        <v>300</v>
      </c>
      <c r="H12020">
        <v>251128</v>
      </c>
      <c r="I12020">
        <v>4820</v>
      </c>
      <c r="J12020" t="s">
        <v>169</v>
      </c>
      <c r="K12020">
        <v>300</v>
      </c>
      <c r="L12020">
        <v>0</v>
      </c>
      <c r="M12020">
        <v>13841</v>
      </c>
      <c r="N12020" t="s">
        <v>178</v>
      </c>
      <c r="O12020">
        <v>251201</v>
      </c>
      <c r="P12020">
        <v>300</v>
      </c>
    </row>
    <row r="12021" spans="1:16" x14ac:dyDescent="0.25">
      <c r="A12021" t="s">
        <v>3296</v>
      </c>
      <c r="B12021" t="s">
        <v>2931</v>
      </c>
      <c r="C12021">
        <v>10524</v>
      </c>
      <c r="D12021" t="str">
        <f>"2155        "</f>
        <v xml:space="preserve">2155        </v>
      </c>
      <c r="E12021" t="s">
        <v>2203</v>
      </c>
      <c r="F12021" t="s">
        <v>2204</v>
      </c>
      <c r="G12021">
        <v>92710.2</v>
      </c>
      <c r="H12021">
        <v>250808</v>
      </c>
      <c r="I12021">
        <v>1196</v>
      </c>
      <c r="J12021" t="s">
        <v>340</v>
      </c>
      <c r="K12021">
        <v>92710.2</v>
      </c>
      <c r="L12021">
        <v>0</v>
      </c>
      <c r="M12021">
        <v>97604</v>
      </c>
      <c r="N12021" t="s">
        <v>341</v>
      </c>
      <c r="O12021">
        <v>250820</v>
      </c>
      <c r="P12021">
        <v>92710.2</v>
      </c>
    </row>
    <row r="12022" spans="1:16" x14ac:dyDescent="0.25">
      <c r="A12022" t="s">
        <v>3296</v>
      </c>
      <c r="B12022" t="s">
        <v>2931</v>
      </c>
      <c r="C12022">
        <v>11768</v>
      </c>
      <c r="D12022" t="str">
        <f>"2157        "</f>
        <v xml:space="preserve">2157        </v>
      </c>
      <c r="E12022" t="s">
        <v>2203</v>
      </c>
      <c r="F12022" t="s">
        <v>2204</v>
      </c>
      <c r="G12022">
        <v>19500</v>
      </c>
      <c r="H12022">
        <v>250905</v>
      </c>
      <c r="I12022">
        <v>1196</v>
      </c>
      <c r="J12022" t="s">
        <v>340</v>
      </c>
      <c r="K12022">
        <v>19500</v>
      </c>
      <c r="L12022">
        <v>0</v>
      </c>
      <c r="M12022">
        <v>97603</v>
      </c>
      <c r="N12022" t="s">
        <v>2289</v>
      </c>
      <c r="O12022">
        <v>250910</v>
      </c>
      <c r="P12022">
        <v>19500</v>
      </c>
    </row>
    <row r="12023" spans="1:16" x14ac:dyDescent="0.25">
      <c r="A12023" t="s">
        <v>3296</v>
      </c>
      <c r="B12023" t="s">
        <v>2931</v>
      </c>
      <c r="C12023">
        <v>12747</v>
      </c>
      <c r="D12023" t="str">
        <f>"2158        "</f>
        <v xml:space="preserve">2158        </v>
      </c>
      <c r="E12023" t="s">
        <v>2203</v>
      </c>
      <c r="F12023" t="s">
        <v>2204</v>
      </c>
      <c r="G12023">
        <v>20200</v>
      </c>
      <c r="H12023">
        <v>250916</v>
      </c>
      <c r="I12023">
        <v>1196</v>
      </c>
      <c r="J12023" t="s">
        <v>340</v>
      </c>
      <c r="K12023">
        <v>20200</v>
      </c>
      <c r="L12023">
        <v>0</v>
      </c>
      <c r="M12023">
        <v>97603</v>
      </c>
      <c r="N12023" t="s">
        <v>2289</v>
      </c>
      <c r="O12023">
        <v>250930</v>
      </c>
      <c r="P12023">
        <v>20200</v>
      </c>
    </row>
    <row r="12024" spans="1:16" x14ac:dyDescent="0.25">
      <c r="A12024" t="s">
        <v>3296</v>
      </c>
      <c r="B12024" t="s">
        <v>2931</v>
      </c>
      <c r="C12024">
        <v>13654</v>
      </c>
      <c r="D12024" t="str">
        <f>"2160        "</f>
        <v xml:space="preserve">2160        </v>
      </c>
      <c r="E12024" t="s">
        <v>2203</v>
      </c>
      <c r="F12024" t="s">
        <v>2204</v>
      </c>
      <c r="G12024">
        <v>11550</v>
      </c>
      <c r="H12024">
        <v>250930</v>
      </c>
      <c r="I12024">
        <v>1196</v>
      </c>
      <c r="J12024" t="s">
        <v>340</v>
      </c>
      <c r="K12024">
        <v>11550</v>
      </c>
      <c r="L12024">
        <v>0</v>
      </c>
      <c r="M12024">
        <v>97603</v>
      </c>
      <c r="N12024" t="s">
        <v>2289</v>
      </c>
      <c r="O12024">
        <v>251013</v>
      </c>
      <c r="P12024">
        <v>11550</v>
      </c>
    </row>
    <row r="12025" spans="1:16" x14ac:dyDescent="0.25">
      <c r="A12025" t="s">
        <v>3296</v>
      </c>
      <c r="B12025" t="s">
        <v>2931</v>
      </c>
      <c r="C12025">
        <v>14333</v>
      </c>
      <c r="D12025" t="str">
        <f>"2162        "</f>
        <v xml:space="preserve">2162        </v>
      </c>
      <c r="E12025" t="s">
        <v>2203</v>
      </c>
      <c r="F12025" t="s">
        <v>2204</v>
      </c>
      <c r="G12025">
        <v>5800</v>
      </c>
      <c r="H12025">
        <v>251023</v>
      </c>
      <c r="I12025">
        <v>1196</v>
      </c>
      <c r="J12025" t="s">
        <v>340</v>
      </c>
      <c r="K12025">
        <v>5800</v>
      </c>
      <c r="L12025">
        <v>0</v>
      </c>
      <c r="M12025">
        <v>97603</v>
      </c>
      <c r="N12025" t="s">
        <v>2289</v>
      </c>
      <c r="O12025">
        <v>251029</v>
      </c>
      <c r="P12025">
        <v>5800</v>
      </c>
    </row>
    <row r="12026" spans="1:16" x14ac:dyDescent="0.25">
      <c r="A12026" t="s">
        <v>3296</v>
      </c>
      <c r="B12026" t="s">
        <v>2931</v>
      </c>
      <c r="C12026">
        <v>17796</v>
      </c>
      <c r="D12026" t="str">
        <f>"2171        "</f>
        <v xml:space="preserve">2171        </v>
      </c>
      <c r="E12026" t="s">
        <v>2203</v>
      </c>
      <c r="F12026" t="s">
        <v>2204</v>
      </c>
      <c r="G12026">
        <v>17170</v>
      </c>
      <c r="H12026">
        <v>251223</v>
      </c>
      <c r="I12026">
        <v>1196</v>
      </c>
      <c r="J12026" t="s">
        <v>340</v>
      </c>
      <c r="K12026">
        <v>17170</v>
      </c>
      <c r="L12026">
        <v>0</v>
      </c>
      <c r="M12026">
        <v>97603</v>
      </c>
      <c r="N12026" t="s">
        <v>2289</v>
      </c>
      <c r="O12026">
        <v>251230</v>
      </c>
      <c r="P12026">
        <v>17170</v>
      </c>
    </row>
    <row r="12027" spans="1:16" x14ac:dyDescent="0.25">
      <c r="A12027" t="s">
        <v>3296</v>
      </c>
      <c r="B12027" t="s">
        <v>2931</v>
      </c>
      <c r="C12027">
        <v>18357</v>
      </c>
      <c r="D12027" t="str">
        <f>"2175        "</f>
        <v xml:space="preserve">2175        </v>
      </c>
      <c r="E12027" t="s">
        <v>2203</v>
      </c>
      <c r="F12027" t="s">
        <v>2204</v>
      </c>
      <c r="G12027">
        <v>10880</v>
      </c>
      <c r="H12027">
        <v>251231</v>
      </c>
      <c r="I12027">
        <v>1196</v>
      </c>
      <c r="J12027" t="s">
        <v>340</v>
      </c>
      <c r="K12027">
        <v>10880</v>
      </c>
      <c r="L12027">
        <v>0</v>
      </c>
      <c r="M12027">
        <v>97603</v>
      </c>
      <c r="N12027" t="s">
        <v>2289</v>
      </c>
      <c r="O12027">
        <v>260113</v>
      </c>
      <c r="P12027">
        <v>10880</v>
      </c>
    </row>
    <row r="12028" spans="1:16" x14ac:dyDescent="0.25">
      <c r="A12028" t="s">
        <v>3296</v>
      </c>
      <c r="B12028" t="s">
        <v>2931</v>
      </c>
      <c r="C12028">
        <v>17797</v>
      </c>
      <c r="D12028" t="str">
        <f>"2172        "</f>
        <v xml:space="preserve">2172        </v>
      </c>
      <c r="E12028" t="s">
        <v>2203</v>
      </c>
      <c r="F12028" t="s">
        <v>2204</v>
      </c>
      <c r="G12028">
        <v>3915</v>
      </c>
      <c r="H12028">
        <v>251223</v>
      </c>
      <c r="I12028">
        <v>4390</v>
      </c>
      <c r="J12028" t="s">
        <v>232</v>
      </c>
      <c r="K12028">
        <v>3915</v>
      </c>
      <c r="L12028">
        <v>0</v>
      </c>
      <c r="M12028">
        <v>18993</v>
      </c>
      <c r="N12028" t="s">
        <v>540</v>
      </c>
      <c r="O12028">
        <v>251230</v>
      </c>
      <c r="P12028">
        <v>3915</v>
      </c>
    </row>
    <row r="12029" spans="1:16" x14ac:dyDescent="0.25">
      <c r="A12029" t="s">
        <v>3296</v>
      </c>
      <c r="B12029" t="s">
        <v>2931</v>
      </c>
      <c r="C12029">
        <v>7391</v>
      </c>
      <c r="D12029" t="str">
        <f>"10463       "</f>
        <v xml:space="preserve">10463       </v>
      </c>
      <c r="E12029" t="s">
        <v>1959</v>
      </c>
      <c r="F12029" t="s">
        <v>1960</v>
      </c>
      <c r="G12029">
        <v>304</v>
      </c>
      <c r="H12029">
        <v>250522</v>
      </c>
      <c r="I12029">
        <v>4600</v>
      </c>
      <c r="J12029" t="s">
        <v>278</v>
      </c>
      <c r="K12029">
        <v>304</v>
      </c>
      <c r="L12029">
        <v>0</v>
      </c>
      <c r="M12029">
        <v>49702</v>
      </c>
      <c r="N12029" t="s">
        <v>112</v>
      </c>
      <c r="O12029">
        <v>250603</v>
      </c>
      <c r="P12029">
        <v>304</v>
      </c>
    </row>
    <row r="12030" spans="1:16" x14ac:dyDescent="0.25">
      <c r="A12030" t="s">
        <v>3296</v>
      </c>
      <c r="B12030" t="s">
        <v>2931</v>
      </c>
      <c r="C12030">
        <v>13208</v>
      </c>
      <c r="D12030" t="str">
        <f>"10505       "</f>
        <v xml:space="preserve">10505       </v>
      </c>
      <c r="E12030" t="s">
        <v>1959</v>
      </c>
      <c r="F12030" t="s">
        <v>1960</v>
      </c>
      <c r="G12030">
        <v>254</v>
      </c>
      <c r="H12030">
        <v>251001</v>
      </c>
      <c r="I12030">
        <v>4600</v>
      </c>
      <c r="J12030" t="s">
        <v>278</v>
      </c>
      <c r="K12030">
        <v>254</v>
      </c>
      <c r="L12030">
        <v>0</v>
      </c>
      <c r="M12030">
        <v>49702</v>
      </c>
      <c r="N12030" t="s">
        <v>112</v>
      </c>
      <c r="O12030">
        <v>251006</v>
      </c>
      <c r="P12030">
        <v>254</v>
      </c>
    </row>
    <row r="12031" spans="1:16" x14ac:dyDescent="0.25">
      <c r="A12031" t="s">
        <v>3296</v>
      </c>
      <c r="B12031" t="s">
        <v>2931</v>
      </c>
      <c r="C12031">
        <v>7539</v>
      </c>
      <c r="D12031" t="str">
        <f>"712307      "</f>
        <v xml:space="preserve">712307      </v>
      </c>
      <c r="E12031" t="s">
        <v>1976</v>
      </c>
      <c r="F12031" t="s">
        <v>1977</v>
      </c>
      <c r="G12031">
        <v>370.23</v>
      </c>
      <c r="H12031">
        <v>250526</v>
      </c>
      <c r="I12031">
        <v>4600</v>
      </c>
      <c r="J12031" t="s">
        <v>278</v>
      </c>
      <c r="K12031">
        <v>370.23</v>
      </c>
      <c r="L12031">
        <v>75.23</v>
      </c>
      <c r="M12031">
        <v>17523</v>
      </c>
      <c r="N12031" t="s">
        <v>138</v>
      </c>
      <c r="O12031">
        <v>250604</v>
      </c>
      <c r="P12031">
        <v>295</v>
      </c>
    </row>
    <row r="12032" spans="1:16" x14ac:dyDescent="0.25">
      <c r="A12032" t="s">
        <v>3296</v>
      </c>
      <c r="B12032" t="s">
        <v>2931</v>
      </c>
      <c r="C12032">
        <v>11742</v>
      </c>
      <c r="D12032" t="str">
        <f>"712816      "</f>
        <v xml:space="preserve">712816      </v>
      </c>
      <c r="E12032" t="s">
        <v>1976</v>
      </c>
      <c r="F12032" t="s">
        <v>1977</v>
      </c>
      <c r="G12032">
        <v>1407.17</v>
      </c>
      <c r="H12032">
        <v>250909</v>
      </c>
      <c r="I12032">
        <v>4600</v>
      </c>
      <c r="J12032" t="s">
        <v>278</v>
      </c>
      <c r="K12032">
        <v>1407.17</v>
      </c>
      <c r="L12032">
        <v>285.92</v>
      </c>
      <c r="M12032">
        <v>17526</v>
      </c>
      <c r="N12032" t="s">
        <v>141</v>
      </c>
      <c r="O12032">
        <v>250910</v>
      </c>
      <c r="P12032">
        <v>1121.25</v>
      </c>
    </row>
    <row r="12033" spans="1:16" x14ac:dyDescent="0.25">
      <c r="A12033" t="s">
        <v>3296</v>
      </c>
      <c r="B12033" t="s">
        <v>2931</v>
      </c>
      <c r="C12033">
        <v>12803</v>
      </c>
      <c r="D12033" t="str">
        <f>"1000282934  "</f>
        <v xml:space="preserve">1000282934  </v>
      </c>
      <c r="E12033" t="s">
        <v>2392</v>
      </c>
      <c r="F12033" t="s">
        <v>2393</v>
      </c>
      <c r="G12033">
        <v>639.54999999999995</v>
      </c>
      <c r="H12033">
        <v>250919</v>
      </c>
      <c r="I12033">
        <v>4580</v>
      </c>
      <c r="J12033" t="s">
        <v>126</v>
      </c>
      <c r="K12033">
        <v>639.54999999999995</v>
      </c>
      <c r="L12033">
        <v>129.94999999999999</v>
      </c>
      <c r="M12033">
        <v>47522</v>
      </c>
      <c r="N12033" t="s">
        <v>106</v>
      </c>
      <c r="O12033">
        <v>250930</v>
      </c>
      <c r="P12033">
        <v>509.6</v>
      </c>
    </row>
    <row r="12034" spans="1:16" x14ac:dyDescent="0.25">
      <c r="A12034" t="s">
        <v>3296</v>
      </c>
      <c r="B12034" t="s">
        <v>2931</v>
      </c>
      <c r="C12034">
        <v>18356</v>
      </c>
      <c r="D12034" t="str">
        <f>"1000292088  "</f>
        <v xml:space="preserve">1000292088  </v>
      </c>
      <c r="E12034" t="s">
        <v>2392</v>
      </c>
      <c r="F12034" t="s">
        <v>2393</v>
      </c>
      <c r="G12034">
        <v>308.55</v>
      </c>
      <c r="H12034">
        <v>251231</v>
      </c>
      <c r="I12034">
        <v>4580</v>
      </c>
      <c r="J12034" t="s">
        <v>126</v>
      </c>
      <c r="K12034">
        <v>308.55</v>
      </c>
      <c r="L12034">
        <v>62.69</v>
      </c>
      <c r="M12034">
        <v>11701</v>
      </c>
      <c r="N12034" t="s">
        <v>973</v>
      </c>
      <c r="O12034">
        <v>260113</v>
      </c>
      <c r="P12034">
        <v>245.86</v>
      </c>
    </row>
    <row r="12035" spans="1:16" x14ac:dyDescent="0.25">
      <c r="A12035" t="s">
        <v>3296</v>
      </c>
      <c r="B12035" t="s">
        <v>2931</v>
      </c>
      <c r="C12035">
        <v>3643</v>
      </c>
      <c r="D12035" t="str">
        <f>"477159      "</f>
        <v xml:space="preserve">477159      </v>
      </c>
      <c r="E12035" t="s">
        <v>1487</v>
      </c>
      <c r="F12035" t="s">
        <v>1488</v>
      </c>
      <c r="G12035">
        <v>900</v>
      </c>
      <c r="H12035">
        <v>250311</v>
      </c>
      <c r="I12035">
        <v>4600</v>
      </c>
      <c r="J12035" t="s">
        <v>278</v>
      </c>
      <c r="K12035">
        <v>3645.59</v>
      </c>
      <c r="L12035">
        <v>182.87</v>
      </c>
      <c r="M12035">
        <v>17522</v>
      </c>
      <c r="N12035" t="s">
        <v>137</v>
      </c>
      <c r="O12035">
        <v>250327</v>
      </c>
      <c r="P12035">
        <v>717.13</v>
      </c>
    </row>
    <row r="12036" spans="1:16" x14ac:dyDescent="0.25">
      <c r="A12036" t="s">
        <v>3296</v>
      </c>
      <c r="B12036" t="s">
        <v>2931</v>
      </c>
      <c r="C12036">
        <v>3643</v>
      </c>
      <c r="D12036" t="str">
        <f>"477159      "</f>
        <v xml:space="preserve">477159      </v>
      </c>
      <c r="E12036" t="s">
        <v>1487</v>
      </c>
      <c r="F12036" t="s">
        <v>1488</v>
      </c>
      <c r="G12036">
        <v>2745.59</v>
      </c>
      <c r="H12036">
        <v>250311</v>
      </c>
      <c r="I12036">
        <v>4600</v>
      </c>
      <c r="J12036" t="s">
        <v>278</v>
      </c>
      <c r="K12036">
        <v>3645.59</v>
      </c>
      <c r="L12036">
        <v>557.87</v>
      </c>
      <c r="M12036">
        <v>17633</v>
      </c>
      <c r="N12036" t="s">
        <v>628</v>
      </c>
      <c r="O12036">
        <v>250327</v>
      </c>
      <c r="P12036">
        <v>2187.7199999999998</v>
      </c>
    </row>
    <row r="12037" spans="1:16" x14ac:dyDescent="0.25">
      <c r="A12037" t="s">
        <v>3296</v>
      </c>
      <c r="B12037" t="s">
        <v>2931</v>
      </c>
      <c r="C12037">
        <v>7454</v>
      </c>
      <c r="D12037" t="str">
        <f>"17961       "</f>
        <v xml:space="preserve">17961       </v>
      </c>
      <c r="E12037" t="s">
        <v>712</v>
      </c>
      <c r="F12037" t="s">
        <v>713</v>
      </c>
      <c r="G12037">
        <v>126.67</v>
      </c>
      <c r="H12037">
        <v>250526</v>
      </c>
      <c r="I12037">
        <v>4420</v>
      </c>
      <c r="J12037" t="s">
        <v>330</v>
      </c>
      <c r="K12037">
        <v>285</v>
      </c>
      <c r="L12037">
        <v>15.56</v>
      </c>
      <c r="M12037">
        <v>44222</v>
      </c>
      <c r="N12037" t="s">
        <v>96</v>
      </c>
      <c r="O12037">
        <v>250604</v>
      </c>
      <c r="P12037">
        <v>111.11</v>
      </c>
    </row>
    <row r="12038" spans="1:16" x14ac:dyDescent="0.25">
      <c r="A12038" t="s">
        <v>3296</v>
      </c>
      <c r="B12038" t="s">
        <v>2931</v>
      </c>
      <c r="C12038">
        <v>7454</v>
      </c>
      <c r="D12038" t="str">
        <f>"17961       "</f>
        <v xml:space="preserve">17961       </v>
      </c>
      <c r="E12038" t="s">
        <v>712</v>
      </c>
      <c r="F12038" t="s">
        <v>713</v>
      </c>
      <c r="G12038">
        <v>95.01</v>
      </c>
      <c r="H12038">
        <v>250526</v>
      </c>
      <c r="I12038">
        <v>4420</v>
      </c>
      <c r="J12038" t="s">
        <v>330</v>
      </c>
      <c r="K12038">
        <v>285</v>
      </c>
      <c r="L12038">
        <v>11.67</v>
      </c>
      <c r="M12038">
        <v>44422</v>
      </c>
      <c r="N12038" t="s">
        <v>97</v>
      </c>
      <c r="O12038">
        <v>250604</v>
      </c>
      <c r="P12038">
        <v>83.34</v>
      </c>
    </row>
    <row r="12039" spans="1:16" x14ac:dyDescent="0.25">
      <c r="A12039" t="s">
        <v>3296</v>
      </c>
      <c r="B12039" t="s">
        <v>2931</v>
      </c>
      <c r="C12039">
        <v>7454</v>
      </c>
      <c r="D12039" t="str">
        <f>"17961       "</f>
        <v xml:space="preserve">17961       </v>
      </c>
      <c r="E12039" t="s">
        <v>712</v>
      </c>
      <c r="F12039" t="s">
        <v>713</v>
      </c>
      <c r="G12039">
        <v>63.32</v>
      </c>
      <c r="H12039">
        <v>250526</v>
      </c>
      <c r="I12039">
        <v>4420</v>
      </c>
      <c r="J12039" t="s">
        <v>330</v>
      </c>
      <c r="K12039">
        <v>285</v>
      </c>
      <c r="L12039">
        <v>7.78</v>
      </c>
      <c r="M12039">
        <v>46554</v>
      </c>
      <c r="N12039" t="s">
        <v>102</v>
      </c>
      <c r="O12039">
        <v>250604</v>
      </c>
      <c r="P12039">
        <v>55.54</v>
      </c>
    </row>
    <row r="12040" spans="1:16" x14ac:dyDescent="0.25">
      <c r="A12040" t="s">
        <v>3296</v>
      </c>
      <c r="B12040" t="s">
        <v>2931</v>
      </c>
      <c r="C12040">
        <v>10899</v>
      </c>
      <c r="D12040" t="str">
        <f>"5732        "</f>
        <v xml:space="preserve">5732        </v>
      </c>
      <c r="E12040" t="s">
        <v>712</v>
      </c>
      <c r="F12040" t="s">
        <v>713</v>
      </c>
      <c r="G12040">
        <v>1131</v>
      </c>
      <c r="H12040">
        <v>250822</v>
      </c>
      <c r="I12040">
        <v>4420</v>
      </c>
      <c r="J12040" t="s">
        <v>330</v>
      </c>
      <c r="K12040">
        <v>4697</v>
      </c>
      <c r="L12040">
        <v>229.8</v>
      </c>
      <c r="M12040">
        <v>11605</v>
      </c>
      <c r="N12040" t="s">
        <v>1066</v>
      </c>
      <c r="O12040">
        <v>250827</v>
      </c>
      <c r="P12040">
        <v>901.2</v>
      </c>
    </row>
    <row r="12041" spans="1:16" x14ac:dyDescent="0.25">
      <c r="A12041" t="s">
        <v>3296</v>
      </c>
      <c r="B12041" t="s">
        <v>2931</v>
      </c>
      <c r="C12041">
        <v>10899</v>
      </c>
      <c r="D12041" t="str">
        <f>"5732        "</f>
        <v xml:space="preserve">5732        </v>
      </c>
      <c r="E12041" t="s">
        <v>712</v>
      </c>
      <c r="F12041" t="s">
        <v>713</v>
      </c>
      <c r="G12041">
        <v>3566</v>
      </c>
      <c r="H12041">
        <v>250822</v>
      </c>
      <c r="I12041">
        <v>4420</v>
      </c>
      <c r="J12041" t="s">
        <v>330</v>
      </c>
      <c r="K12041">
        <v>4697</v>
      </c>
      <c r="L12041">
        <v>0</v>
      </c>
      <c r="M12041">
        <v>11605</v>
      </c>
      <c r="N12041" t="s">
        <v>1066</v>
      </c>
      <c r="O12041">
        <v>250827</v>
      </c>
      <c r="P12041">
        <v>3566</v>
      </c>
    </row>
    <row r="12042" spans="1:16" x14ac:dyDescent="0.25">
      <c r="A12042" t="s">
        <v>3296</v>
      </c>
      <c r="B12042" t="s">
        <v>2931</v>
      </c>
      <c r="C12042">
        <v>10972</v>
      </c>
      <c r="D12042" t="str">
        <f>"18475       "</f>
        <v xml:space="preserve">18475       </v>
      </c>
      <c r="E12042" t="s">
        <v>712</v>
      </c>
      <c r="F12042" t="s">
        <v>713</v>
      </c>
      <c r="G12042">
        <v>520</v>
      </c>
      <c r="H12042">
        <v>250825</v>
      </c>
      <c r="I12042">
        <v>4420</v>
      </c>
      <c r="J12042" t="s">
        <v>330</v>
      </c>
      <c r="K12042">
        <v>520</v>
      </c>
      <c r="L12042">
        <v>0</v>
      </c>
      <c r="M12042">
        <v>49702</v>
      </c>
      <c r="N12042" t="s">
        <v>112</v>
      </c>
      <c r="O12042">
        <v>250828</v>
      </c>
      <c r="P12042">
        <v>520</v>
      </c>
    </row>
    <row r="12043" spans="1:16" x14ac:dyDescent="0.25">
      <c r="A12043" t="s">
        <v>3296</v>
      </c>
      <c r="B12043" t="s">
        <v>2931</v>
      </c>
      <c r="C12043">
        <v>15259</v>
      </c>
      <c r="D12043" t="str">
        <f>"19114       "</f>
        <v xml:space="preserve">19114       </v>
      </c>
      <c r="E12043" t="s">
        <v>712</v>
      </c>
      <c r="F12043" t="s">
        <v>713</v>
      </c>
      <c r="G12043">
        <v>558.6</v>
      </c>
      <c r="H12043">
        <v>251111</v>
      </c>
      <c r="I12043">
        <v>4420</v>
      </c>
      <c r="J12043" t="s">
        <v>330</v>
      </c>
      <c r="K12043">
        <v>558.6</v>
      </c>
      <c r="L12043">
        <v>68.599999999999994</v>
      </c>
      <c r="M12043">
        <v>43222</v>
      </c>
      <c r="N12043" t="s">
        <v>95</v>
      </c>
      <c r="O12043">
        <v>251117</v>
      </c>
      <c r="P12043">
        <v>490</v>
      </c>
    </row>
    <row r="12044" spans="1:16" x14ac:dyDescent="0.25">
      <c r="A12044" t="s">
        <v>3296</v>
      </c>
      <c r="B12044" t="s">
        <v>2931</v>
      </c>
      <c r="C12044">
        <v>15803</v>
      </c>
      <c r="D12044" t="str">
        <f>"19139       "</f>
        <v xml:space="preserve">19139       </v>
      </c>
      <c r="E12044" t="s">
        <v>712</v>
      </c>
      <c r="F12044" t="s">
        <v>713</v>
      </c>
      <c r="G12044">
        <v>4665</v>
      </c>
      <c r="H12044">
        <v>251124</v>
      </c>
      <c r="I12044">
        <v>4420</v>
      </c>
      <c r="J12044" t="s">
        <v>330</v>
      </c>
      <c r="K12044">
        <v>4665</v>
      </c>
      <c r="L12044">
        <v>572.89</v>
      </c>
      <c r="M12044">
        <v>49702</v>
      </c>
      <c r="N12044" t="s">
        <v>112</v>
      </c>
      <c r="O12044">
        <v>251127</v>
      </c>
      <c r="P12044">
        <v>4092.11</v>
      </c>
    </row>
    <row r="12045" spans="1:16" x14ac:dyDescent="0.25">
      <c r="A12045" t="s">
        <v>3296</v>
      </c>
      <c r="B12045" t="s">
        <v>2931</v>
      </c>
      <c r="C12045">
        <v>751</v>
      </c>
      <c r="D12045" t="str">
        <f>"17063       "</f>
        <v xml:space="preserve">17063       </v>
      </c>
      <c r="E12045" t="s">
        <v>712</v>
      </c>
      <c r="F12045" t="s">
        <v>713</v>
      </c>
      <c r="G12045">
        <v>567.4</v>
      </c>
      <c r="H12045">
        <v>250123</v>
      </c>
      <c r="I12045">
        <v>4520</v>
      </c>
      <c r="J12045" t="s">
        <v>280</v>
      </c>
      <c r="K12045">
        <v>1134.81</v>
      </c>
      <c r="L12045">
        <v>69.680000000000007</v>
      </c>
      <c r="M12045">
        <v>41126</v>
      </c>
      <c r="N12045" t="s">
        <v>94</v>
      </c>
      <c r="O12045">
        <v>250129</v>
      </c>
      <c r="P12045">
        <v>497.72</v>
      </c>
    </row>
    <row r="12046" spans="1:16" x14ac:dyDescent="0.25">
      <c r="A12046" t="s">
        <v>3296</v>
      </c>
      <c r="B12046" t="s">
        <v>2931</v>
      </c>
      <c r="C12046">
        <v>751</v>
      </c>
      <c r="D12046" t="str">
        <f>"17063       "</f>
        <v xml:space="preserve">17063       </v>
      </c>
      <c r="E12046" t="s">
        <v>712</v>
      </c>
      <c r="F12046" t="s">
        <v>713</v>
      </c>
      <c r="G12046">
        <v>567.41</v>
      </c>
      <c r="H12046">
        <v>250123</v>
      </c>
      <c r="I12046">
        <v>4520</v>
      </c>
      <c r="J12046" t="s">
        <v>280</v>
      </c>
      <c r="K12046">
        <v>1134.81</v>
      </c>
      <c r="L12046">
        <v>69.680000000000007</v>
      </c>
      <c r="M12046">
        <v>44222</v>
      </c>
      <c r="N12046" t="s">
        <v>96</v>
      </c>
      <c r="O12046">
        <v>250129</v>
      </c>
      <c r="P12046">
        <v>497.73</v>
      </c>
    </row>
    <row r="12047" spans="1:16" x14ac:dyDescent="0.25">
      <c r="A12047" t="s">
        <v>3296</v>
      </c>
      <c r="B12047" t="s">
        <v>2931</v>
      </c>
      <c r="C12047">
        <v>2362</v>
      </c>
      <c r="D12047" t="str">
        <f>"5239276207  "</f>
        <v xml:space="preserve">5239276207  </v>
      </c>
      <c r="E12047" t="s">
        <v>1253</v>
      </c>
      <c r="F12047" t="s">
        <v>1254</v>
      </c>
      <c r="G12047">
        <v>17.010000000000002</v>
      </c>
      <c r="H12047">
        <v>250222</v>
      </c>
      <c r="I12047">
        <v>4600</v>
      </c>
      <c r="J12047" t="s">
        <v>278</v>
      </c>
      <c r="K12047">
        <v>17.010000000000002</v>
      </c>
      <c r="L12047">
        <v>3.46</v>
      </c>
      <c r="M12047">
        <v>13801</v>
      </c>
      <c r="N12047" t="s">
        <v>33</v>
      </c>
      <c r="O12047">
        <v>250224</v>
      </c>
      <c r="P12047">
        <v>13.55</v>
      </c>
    </row>
    <row r="12048" spans="1:16" x14ac:dyDescent="0.25">
      <c r="A12048" t="s">
        <v>3296</v>
      </c>
      <c r="B12048" t="s">
        <v>2931</v>
      </c>
      <c r="C12048">
        <v>11618</v>
      </c>
      <c r="D12048" t="str">
        <f>"5239900891  "</f>
        <v xml:space="preserve">5239900891  </v>
      </c>
      <c r="E12048" t="s">
        <v>1253</v>
      </c>
      <c r="F12048" t="s">
        <v>1254</v>
      </c>
      <c r="G12048">
        <v>31.87</v>
      </c>
      <c r="H12048">
        <v>250906</v>
      </c>
      <c r="I12048">
        <v>4600</v>
      </c>
      <c r="J12048" t="s">
        <v>278</v>
      </c>
      <c r="K12048">
        <v>31.87</v>
      </c>
      <c r="L12048">
        <v>6.48</v>
      </c>
      <c r="M12048">
        <v>13801</v>
      </c>
      <c r="N12048" t="s">
        <v>33</v>
      </c>
      <c r="O12048">
        <v>250909</v>
      </c>
      <c r="P12048">
        <v>25.39</v>
      </c>
    </row>
    <row r="12049" spans="1:16" x14ac:dyDescent="0.25">
      <c r="A12049" t="s">
        <v>3296</v>
      </c>
      <c r="B12049" t="s">
        <v>2931</v>
      </c>
      <c r="C12049">
        <v>13118</v>
      </c>
      <c r="D12049" t="str">
        <f>"5239964805  "</f>
        <v xml:space="preserve">5239964805  </v>
      </c>
      <c r="E12049" t="s">
        <v>1253</v>
      </c>
      <c r="F12049" t="s">
        <v>1254</v>
      </c>
      <c r="G12049">
        <v>46.8</v>
      </c>
      <c r="H12049">
        <v>250927</v>
      </c>
      <c r="I12049">
        <v>4600</v>
      </c>
      <c r="J12049" t="s">
        <v>278</v>
      </c>
      <c r="K12049">
        <v>46.8</v>
      </c>
      <c r="L12049">
        <v>9.51</v>
      </c>
      <c r="M12049">
        <v>13801</v>
      </c>
      <c r="N12049" t="s">
        <v>33</v>
      </c>
      <c r="O12049">
        <v>251006</v>
      </c>
      <c r="P12049">
        <v>37.29</v>
      </c>
    </row>
    <row r="12050" spans="1:16" x14ac:dyDescent="0.25">
      <c r="A12050" t="s">
        <v>3296</v>
      </c>
      <c r="B12050" t="s">
        <v>2931</v>
      </c>
      <c r="C12050">
        <v>14520</v>
      </c>
      <c r="D12050" t="str">
        <f>"5240084328  "</f>
        <v xml:space="preserve">5240084328  </v>
      </c>
      <c r="E12050" t="s">
        <v>1253</v>
      </c>
      <c r="F12050" t="s">
        <v>1254</v>
      </c>
      <c r="G12050">
        <v>21.82</v>
      </c>
      <c r="H12050">
        <v>251031</v>
      </c>
      <c r="I12050">
        <v>4600</v>
      </c>
      <c r="J12050" t="s">
        <v>278</v>
      </c>
      <c r="K12050">
        <v>21.82</v>
      </c>
      <c r="L12050">
        <v>4.43</v>
      </c>
      <c r="M12050">
        <v>13801</v>
      </c>
      <c r="N12050" t="s">
        <v>33</v>
      </c>
      <c r="O12050">
        <v>251104</v>
      </c>
      <c r="P12050">
        <v>17.39</v>
      </c>
    </row>
    <row r="12051" spans="1:16" x14ac:dyDescent="0.25">
      <c r="A12051" t="s">
        <v>3296</v>
      </c>
      <c r="B12051" t="s">
        <v>2931</v>
      </c>
      <c r="C12051">
        <v>15658</v>
      </c>
      <c r="D12051" t="str">
        <f>"5240141682  "</f>
        <v xml:space="preserve">5240141682  </v>
      </c>
      <c r="E12051" t="s">
        <v>1253</v>
      </c>
      <c r="F12051" t="s">
        <v>1254</v>
      </c>
      <c r="G12051">
        <v>29.78</v>
      </c>
      <c r="H12051">
        <v>251122</v>
      </c>
      <c r="I12051">
        <v>4600</v>
      </c>
      <c r="J12051" t="s">
        <v>278</v>
      </c>
      <c r="K12051">
        <v>29.78</v>
      </c>
      <c r="L12051">
        <v>6.05</v>
      </c>
      <c r="M12051">
        <v>13801</v>
      </c>
      <c r="N12051" t="s">
        <v>33</v>
      </c>
      <c r="O12051">
        <v>251124</v>
      </c>
      <c r="P12051">
        <v>23.73</v>
      </c>
    </row>
    <row r="12052" spans="1:16" x14ac:dyDescent="0.25">
      <c r="A12052" t="s">
        <v>3296</v>
      </c>
      <c r="B12052" t="s">
        <v>2931</v>
      </c>
      <c r="C12052">
        <v>16032</v>
      </c>
      <c r="D12052" t="str">
        <f>"5240159803  "</f>
        <v xml:space="preserve">5240159803  </v>
      </c>
      <c r="E12052" t="s">
        <v>1253</v>
      </c>
      <c r="F12052" t="s">
        <v>1254</v>
      </c>
      <c r="G12052">
        <v>16.57</v>
      </c>
      <c r="H12052">
        <v>251129</v>
      </c>
      <c r="I12052">
        <v>4600</v>
      </c>
      <c r="J12052" t="s">
        <v>278</v>
      </c>
      <c r="K12052">
        <v>16.57</v>
      </c>
      <c r="L12052">
        <v>3.37</v>
      </c>
      <c r="M12052">
        <v>13801</v>
      </c>
      <c r="N12052" t="s">
        <v>33</v>
      </c>
      <c r="O12052">
        <v>251202</v>
      </c>
      <c r="P12052">
        <v>13.2</v>
      </c>
    </row>
    <row r="12053" spans="1:16" x14ac:dyDescent="0.25">
      <c r="A12053" t="s">
        <v>3296</v>
      </c>
      <c r="B12053" t="s">
        <v>2931</v>
      </c>
      <c r="C12053">
        <v>3410</v>
      </c>
      <c r="D12053" t="str">
        <f>"2503012809  "</f>
        <v xml:space="preserve">2503012809  </v>
      </c>
      <c r="E12053" t="s">
        <v>1423</v>
      </c>
      <c r="F12053" t="s">
        <v>1424</v>
      </c>
      <c r="G12053">
        <v>111.27</v>
      </c>
      <c r="H12053">
        <v>250306</v>
      </c>
      <c r="I12053">
        <v>4520</v>
      </c>
      <c r="J12053" t="s">
        <v>280</v>
      </c>
      <c r="K12053">
        <v>111.27</v>
      </c>
      <c r="L12053">
        <v>0</v>
      </c>
      <c r="M12053">
        <v>14640</v>
      </c>
      <c r="N12053" t="s">
        <v>78</v>
      </c>
      <c r="O12053">
        <v>250320</v>
      </c>
      <c r="P12053">
        <v>111.27</v>
      </c>
    </row>
    <row r="12054" spans="1:16" x14ac:dyDescent="0.25">
      <c r="A12054" t="s">
        <v>3296</v>
      </c>
      <c r="B12054" t="s">
        <v>2931</v>
      </c>
      <c r="C12054">
        <v>3956</v>
      </c>
      <c r="D12054" t="str">
        <f>"2503013820  "</f>
        <v xml:space="preserve">2503013820  </v>
      </c>
      <c r="E12054" t="s">
        <v>1423</v>
      </c>
      <c r="F12054" t="s">
        <v>1424</v>
      </c>
      <c r="G12054">
        <v>199.05</v>
      </c>
      <c r="H12054">
        <v>250321</v>
      </c>
      <c r="I12054">
        <v>4520</v>
      </c>
      <c r="J12054" t="s">
        <v>280</v>
      </c>
      <c r="K12054">
        <v>255.24</v>
      </c>
      <c r="L12054">
        <v>24.44</v>
      </c>
      <c r="M12054">
        <v>56563</v>
      </c>
      <c r="N12054" t="s">
        <v>55</v>
      </c>
      <c r="O12054">
        <v>250404</v>
      </c>
      <c r="P12054">
        <v>174.61</v>
      </c>
    </row>
    <row r="12055" spans="1:16" x14ac:dyDescent="0.25">
      <c r="A12055" t="s">
        <v>3296</v>
      </c>
      <c r="B12055" t="s">
        <v>2931</v>
      </c>
      <c r="C12055">
        <v>10811</v>
      </c>
      <c r="D12055" t="str">
        <f>"2503023165  "</f>
        <v xml:space="preserve">2503023165  </v>
      </c>
      <c r="E12055" t="s">
        <v>1423</v>
      </c>
      <c r="F12055" t="s">
        <v>1424</v>
      </c>
      <c r="G12055">
        <v>617.94000000000005</v>
      </c>
      <c r="H12055">
        <v>250815</v>
      </c>
      <c r="I12055">
        <v>4520</v>
      </c>
      <c r="J12055" t="s">
        <v>280</v>
      </c>
      <c r="K12055">
        <v>1287.24</v>
      </c>
      <c r="L12055">
        <v>75.89</v>
      </c>
      <c r="M12055">
        <v>54422</v>
      </c>
      <c r="N12055" t="s">
        <v>49</v>
      </c>
      <c r="O12055">
        <v>250825</v>
      </c>
      <c r="P12055">
        <v>542.04999999999995</v>
      </c>
    </row>
    <row r="12056" spans="1:16" x14ac:dyDescent="0.25">
      <c r="A12056" t="s">
        <v>3296</v>
      </c>
      <c r="B12056" t="s">
        <v>2931</v>
      </c>
      <c r="C12056">
        <v>11141</v>
      </c>
      <c r="D12056" t="str">
        <f>"2503023540  "</f>
        <v xml:space="preserve">2503023540  </v>
      </c>
      <c r="E12056" t="s">
        <v>1423</v>
      </c>
      <c r="F12056" t="s">
        <v>1424</v>
      </c>
      <c r="G12056">
        <v>33.35</v>
      </c>
      <c r="H12056">
        <v>250821</v>
      </c>
      <c r="I12056">
        <v>4520</v>
      </c>
      <c r="J12056" t="s">
        <v>280</v>
      </c>
      <c r="K12056">
        <v>41.25</v>
      </c>
      <c r="L12056">
        <v>4.0999999999999996</v>
      </c>
      <c r="M12056">
        <v>54451</v>
      </c>
      <c r="N12056" t="s">
        <v>218</v>
      </c>
      <c r="O12056">
        <v>250901</v>
      </c>
      <c r="P12056">
        <v>29.25</v>
      </c>
    </row>
    <row r="12057" spans="1:16" x14ac:dyDescent="0.25">
      <c r="A12057" t="s">
        <v>3296</v>
      </c>
      <c r="B12057" t="s">
        <v>2931</v>
      </c>
      <c r="C12057">
        <v>11342</v>
      </c>
      <c r="D12057" t="str">
        <f>"2503023629  "</f>
        <v xml:space="preserve">2503023629  </v>
      </c>
      <c r="E12057" t="s">
        <v>1423</v>
      </c>
      <c r="F12057" t="s">
        <v>1424</v>
      </c>
      <c r="G12057">
        <v>270.33999999999997</v>
      </c>
      <c r="H12057">
        <v>250822</v>
      </c>
      <c r="I12057">
        <v>4520</v>
      </c>
      <c r="J12057" t="s">
        <v>280</v>
      </c>
      <c r="K12057">
        <v>666.85</v>
      </c>
      <c r="L12057">
        <v>33.200000000000003</v>
      </c>
      <c r="M12057">
        <v>14640</v>
      </c>
      <c r="N12057" t="s">
        <v>78</v>
      </c>
      <c r="O12057">
        <v>250904</v>
      </c>
      <c r="P12057">
        <v>237.14</v>
      </c>
    </row>
    <row r="12058" spans="1:16" x14ac:dyDescent="0.25">
      <c r="A12058" t="s">
        <v>3296</v>
      </c>
      <c r="B12058" t="s">
        <v>2931</v>
      </c>
      <c r="C12058">
        <v>11342</v>
      </c>
      <c r="D12058" t="str">
        <f>"2503023629  "</f>
        <v xml:space="preserve">2503023629  </v>
      </c>
      <c r="E12058" t="s">
        <v>1423</v>
      </c>
      <c r="F12058" t="s">
        <v>1424</v>
      </c>
      <c r="G12058">
        <v>396.51</v>
      </c>
      <c r="H12058">
        <v>250822</v>
      </c>
      <c r="I12058">
        <v>4520</v>
      </c>
      <c r="J12058" t="s">
        <v>280</v>
      </c>
      <c r="K12058">
        <v>666.85</v>
      </c>
      <c r="L12058">
        <v>80.569999999999993</v>
      </c>
      <c r="M12058">
        <v>14640</v>
      </c>
      <c r="N12058" t="s">
        <v>78</v>
      </c>
      <c r="O12058">
        <v>250904</v>
      </c>
      <c r="P12058">
        <v>315.94</v>
      </c>
    </row>
    <row r="12059" spans="1:16" x14ac:dyDescent="0.25">
      <c r="A12059" t="s">
        <v>3296</v>
      </c>
      <c r="B12059" t="s">
        <v>2931</v>
      </c>
      <c r="C12059">
        <v>14216</v>
      </c>
      <c r="D12059" t="str">
        <f>"2603003742  "</f>
        <v xml:space="preserve">2603003742  </v>
      </c>
      <c r="E12059" t="s">
        <v>1423</v>
      </c>
      <c r="F12059" t="s">
        <v>1424</v>
      </c>
      <c r="G12059">
        <v>51.96</v>
      </c>
      <c r="H12059">
        <v>251022</v>
      </c>
      <c r="I12059">
        <v>4520</v>
      </c>
      <c r="J12059" t="s">
        <v>280</v>
      </c>
      <c r="K12059">
        <v>217.62</v>
      </c>
      <c r="L12059">
        <v>10.56</v>
      </c>
      <c r="M12059">
        <v>14640</v>
      </c>
      <c r="N12059" t="s">
        <v>78</v>
      </c>
      <c r="O12059">
        <v>251027</v>
      </c>
      <c r="P12059">
        <v>41.4</v>
      </c>
    </row>
    <row r="12060" spans="1:16" x14ac:dyDescent="0.25">
      <c r="A12060" t="s">
        <v>3296</v>
      </c>
      <c r="B12060" t="s">
        <v>2931</v>
      </c>
      <c r="C12060">
        <v>14216</v>
      </c>
      <c r="D12060" t="str">
        <f>"2603003742  "</f>
        <v xml:space="preserve">2603003742  </v>
      </c>
      <c r="E12060" t="s">
        <v>1423</v>
      </c>
      <c r="F12060" t="s">
        <v>1424</v>
      </c>
      <c r="G12060">
        <v>165.66</v>
      </c>
      <c r="H12060">
        <v>251022</v>
      </c>
      <c r="I12060">
        <v>4520</v>
      </c>
      <c r="J12060" t="s">
        <v>280</v>
      </c>
      <c r="K12060">
        <v>217.62</v>
      </c>
      <c r="L12060">
        <v>20.34</v>
      </c>
      <c r="M12060">
        <v>14640</v>
      </c>
      <c r="N12060" t="s">
        <v>78</v>
      </c>
      <c r="O12060">
        <v>251027</v>
      </c>
      <c r="P12060">
        <v>145.32</v>
      </c>
    </row>
    <row r="12061" spans="1:16" x14ac:dyDescent="0.25">
      <c r="A12061" t="s">
        <v>3296</v>
      </c>
      <c r="B12061" t="s">
        <v>2931</v>
      </c>
      <c r="C12061">
        <v>14870</v>
      </c>
      <c r="D12061" t="str">
        <f>"2603004454  "</f>
        <v xml:space="preserve">2603004454  </v>
      </c>
      <c r="E12061" t="s">
        <v>1423</v>
      </c>
      <c r="F12061" t="s">
        <v>1424</v>
      </c>
      <c r="G12061">
        <v>308.97000000000003</v>
      </c>
      <c r="H12061">
        <v>251031</v>
      </c>
      <c r="I12061">
        <v>4520</v>
      </c>
      <c r="J12061" t="s">
        <v>280</v>
      </c>
      <c r="K12061">
        <v>1006.35</v>
      </c>
      <c r="L12061">
        <v>62.78</v>
      </c>
      <c r="M12061">
        <v>14640</v>
      </c>
      <c r="N12061" t="s">
        <v>78</v>
      </c>
      <c r="O12061">
        <v>251107</v>
      </c>
      <c r="P12061">
        <v>246.19</v>
      </c>
    </row>
    <row r="12062" spans="1:16" x14ac:dyDescent="0.25">
      <c r="A12062" t="s">
        <v>3296</v>
      </c>
      <c r="B12062" t="s">
        <v>2931</v>
      </c>
      <c r="C12062">
        <v>14870</v>
      </c>
      <c r="D12062" t="str">
        <f>"2603004454  "</f>
        <v xml:space="preserve">2603004454  </v>
      </c>
      <c r="E12062" t="s">
        <v>1423</v>
      </c>
      <c r="F12062" t="s">
        <v>1424</v>
      </c>
      <c r="G12062">
        <v>697.38</v>
      </c>
      <c r="H12062">
        <v>251031</v>
      </c>
      <c r="I12062">
        <v>4520</v>
      </c>
      <c r="J12062" t="s">
        <v>280</v>
      </c>
      <c r="K12062">
        <v>1006.35</v>
      </c>
      <c r="L12062">
        <v>85.64</v>
      </c>
      <c r="M12062">
        <v>14640</v>
      </c>
      <c r="N12062" t="s">
        <v>78</v>
      </c>
      <c r="O12062">
        <v>251107</v>
      </c>
      <c r="P12062">
        <v>611.74</v>
      </c>
    </row>
    <row r="12063" spans="1:16" x14ac:dyDescent="0.25">
      <c r="A12063" t="s">
        <v>3296</v>
      </c>
      <c r="B12063" t="s">
        <v>2931</v>
      </c>
      <c r="C12063">
        <v>15681</v>
      </c>
      <c r="D12063" t="str">
        <f>"2603005344  "</f>
        <v xml:space="preserve">2603005344  </v>
      </c>
      <c r="E12063" t="s">
        <v>1423</v>
      </c>
      <c r="F12063" t="s">
        <v>1424</v>
      </c>
      <c r="G12063">
        <v>156.68</v>
      </c>
      <c r="H12063">
        <v>251112</v>
      </c>
      <c r="I12063">
        <v>4520</v>
      </c>
      <c r="J12063" t="s">
        <v>280</v>
      </c>
      <c r="K12063">
        <v>156.68</v>
      </c>
      <c r="L12063">
        <v>31.84</v>
      </c>
      <c r="M12063">
        <v>14640</v>
      </c>
      <c r="N12063" t="s">
        <v>78</v>
      </c>
      <c r="O12063">
        <v>251125</v>
      </c>
      <c r="P12063">
        <v>124.84</v>
      </c>
    </row>
    <row r="12064" spans="1:16" x14ac:dyDescent="0.25">
      <c r="A12064" t="s">
        <v>3296</v>
      </c>
      <c r="B12064" t="s">
        <v>2931</v>
      </c>
      <c r="C12064">
        <v>3956</v>
      </c>
      <c r="D12064" t="str">
        <f>"2503013820  "</f>
        <v xml:space="preserve">2503013820  </v>
      </c>
      <c r="E12064" t="s">
        <v>1423</v>
      </c>
      <c r="F12064" t="s">
        <v>1424</v>
      </c>
      <c r="G12064">
        <v>56.19</v>
      </c>
      <c r="H12064">
        <v>250321</v>
      </c>
      <c r="I12064">
        <v>4600</v>
      </c>
      <c r="J12064" t="s">
        <v>278</v>
      </c>
      <c r="K12064">
        <v>255.24</v>
      </c>
      <c r="L12064">
        <v>11.42</v>
      </c>
      <c r="M12064">
        <v>56563</v>
      </c>
      <c r="N12064" t="s">
        <v>55</v>
      </c>
      <c r="O12064">
        <v>250404</v>
      </c>
      <c r="P12064">
        <v>44.77</v>
      </c>
    </row>
    <row r="12065" spans="1:16" x14ac:dyDescent="0.25">
      <c r="A12065" t="s">
        <v>3296</v>
      </c>
      <c r="B12065" t="s">
        <v>2931</v>
      </c>
      <c r="C12065">
        <v>10811</v>
      </c>
      <c r="D12065" t="str">
        <f>"2503023165  "</f>
        <v xml:space="preserve">2503023165  </v>
      </c>
      <c r="E12065" t="s">
        <v>1423</v>
      </c>
      <c r="F12065" t="s">
        <v>1424</v>
      </c>
      <c r="G12065">
        <v>669.3</v>
      </c>
      <c r="H12065">
        <v>250815</v>
      </c>
      <c r="I12065">
        <v>4600</v>
      </c>
      <c r="J12065" t="s">
        <v>278</v>
      </c>
      <c r="K12065">
        <v>1287.24</v>
      </c>
      <c r="L12065">
        <v>135.99</v>
      </c>
      <c r="M12065">
        <v>54422</v>
      </c>
      <c r="N12065" t="s">
        <v>49</v>
      </c>
      <c r="O12065">
        <v>250825</v>
      </c>
      <c r="P12065">
        <v>533.30999999999995</v>
      </c>
    </row>
    <row r="12066" spans="1:16" x14ac:dyDescent="0.25">
      <c r="A12066" t="s">
        <v>3296</v>
      </c>
      <c r="B12066" t="s">
        <v>2931</v>
      </c>
      <c r="C12066">
        <v>11141</v>
      </c>
      <c r="D12066" t="str">
        <f>"2503023540  "</f>
        <v xml:space="preserve">2503023540  </v>
      </c>
      <c r="E12066" t="s">
        <v>1423</v>
      </c>
      <c r="F12066" t="s">
        <v>1424</v>
      </c>
      <c r="G12066">
        <v>7.9</v>
      </c>
      <c r="H12066">
        <v>250821</v>
      </c>
      <c r="I12066">
        <v>4600</v>
      </c>
      <c r="J12066" t="s">
        <v>278</v>
      </c>
      <c r="K12066">
        <v>41.25</v>
      </c>
      <c r="L12066">
        <v>1.61</v>
      </c>
      <c r="M12066">
        <v>54451</v>
      </c>
      <c r="N12066" t="s">
        <v>218</v>
      </c>
      <c r="O12066">
        <v>250901</v>
      </c>
      <c r="P12066">
        <v>6.29</v>
      </c>
    </row>
    <row r="12067" spans="1:16" x14ac:dyDescent="0.25">
      <c r="A12067" t="s">
        <v>3296</v>
      </c>
      <c r="B12067" t="s">
        <v>2931</v>
      </c>
      <c r="C12067">
        <v>4547</v>
      </c>
      <c r="D12067" t="str">
        <f>"100952      "</f>
        <v xml:space="preserve">100952      </v>
      </c>
      <c r="E12067" t="s">
        <v>511</v>
      </c>
      <c r="F12067" t="s">
        <v>512</v>
      </c>
      <c r="G12067">
        <v>18.82</v>
      </c>
      <c r="H12067">
        <v>250331</v>
      </c>
      <c r="I12067">
        <v>4364</v>
      </c>
      <c r="J12067" t="s">
        <v>470</v>
      </c>
      <c r="K12067">
        <v>1223.6300000000001</v>
      </c>
      <c r="L12067">
        <v>3.82</v>
      </c>
      <c r="M12067">
        <v>59702</v>
      </c>
      <c r="N12067" t="s">
        <v>45</v>
      </c>
      <c r="O12067">
        <v>250414</v>
      </c>
      <c r="P12067">
        <v>15</v>
      </c>
    </row>
    <row r="12068" spans="1:16" x14ac:dyDescent="0.25">
      <c r="A12068" t="s">
        <v>3296</v>
      </c>
      <c r="B12068" t="s">
        <v>2931</v>
      </c>
      <c r="C12068">
        <v>1246</v>
      </c>
      <c r="D12068" t="str">
        <f>"99932       "</f>
        <v xml:space="preserve">99932       </v>
      </c>
      <c r="E12068" t="s">
        <v>511</v>
      </c>
      <c r="F12068" t="s">
        <v>512</v>
      </c>
      <c r="G12068">
        <v>199.03</v>
      </c>
      <c r="H12068">
        <v>250131</v>
      </c>
      <c r="I12068">
        <v>4367</v>
      </c>
      <c r="J12068" t="s">
        <v>159</v>
      </c>
      <c r="K12068">
        <v>199.03</v>
      </c>
      <c r="L12068">
        <v>40.44</v>
      </c>
      <c r="M12068">
        <v>49701</v>
      </c>
      <c r="N12068" t="s">
        <v>111</v>
      </c>
      <c r="O12068">
        <v>250206</v>
      </c>
      <c r="P12068">
        <v>158.59</v>
      </c>
    </row>
    <row r="12069" spans="1:16" x14ac:dyDescent="0.25">
      <c r="A12069" t="s">
        <v>3296</v>
      </c>
      <c r="B12069" t="s">
        <v>2931</v>
      </c>
      <c r="C12069">
        <v>1328</v>
      </c>
      <c r="D12069" t="str">
        <f>"99934       "</f>
        <v xml:space="preserve">99934       </v>
      </c>
      <c r="E12069" t="s">
        <v>511</v>
      </c>
      <c r="F12069" t="s">
        <v>512</v>
      </c>
      <c r="G12069">
        <v>56.71</v>
      </c>
      <c r="H12069">
        <v>250131</v>
      </c>
      <c r="I12069">
        <v>4367</v>
      </c>
      <c r="J12069" t="s">
        <v>159</v>
      </c>
      <c r="K12069">
        <v>113.42</v>
      </c>
      <c r="L12069">
        <v>11.52</v>
      </c>
      <c r="M12069">
        <v>14971</v>
      </c>
      <c r="N12069" t="s">
        <v>81</v>
      </c>
      <c r="O12069">
        <v>250207</v>
      </c>
      <c r="P12069">
        <v>45.19</v>
      </c>
    </row>
    <row r="12070" spans="1:16" x14ac:dyDescent="0.25">
      <c r="A12070" t="s">
        <v>3296</v>
      </c>
      <c r="B12070" t="s">
        <v>2931</v>
      </c>
      <c r="C12070">
        <v>1328</v>
      </c>
      <c r="D12070" t="str">
        <f>"99934       "</f>
        <v xml:space="preserve">99934       </v>
      </c>
      <c r="E12070" t="s">
        <v>511</v>
      </c>
      <c r="F12070" t="s">
        <v>512</v>
      </c>
      <c r="G12070">
        <v>56.71</v>
      </c>
      <c r="H12070">
        <v>250131</v>
      </c>
      <c r="I12070">
        <v>4367</v>
      </c>
      <c r="J12070" t="s">
        <v>159</v>
      </c>
      <c r="K12070">
        <v>113.42</v>
      </c>
      <c r="L12070">
        <v>11.52</v>
      </c>
      <c r="M12070">
        <v>18972</v>
      </c>
      <c r="N12070" t="s">
        <v>39</v>
      </c>
      <c r="O12070">
        <v>250207</v>
      </c>
      <c r="P12070">
        <v>45.19</v>
      </c>
    </row>
    <row r="12071" spans="1:16" x14ac:dyDescent="0.25">
      <c r="A12071" t="s">
        <v>3296</v>
      </c>
      <c r="B12071" t="s">
        <v>2931</v>
      </c>
      <c r="C12071">
        <v>1400</v>
      </c>
      <c r="D12071" t="str">
        <f t="shared" ref="D12071:D12079" si="169">"99933       "</f>
        <v xml:space="preserve">99933       </v>
      </c>
      <c r="E12071" t="s">
        <v>511</v>
      </c>
      <c r="F12071" t="s">
        <v>512</v>
      </c>
      <c r="G12071">
        <v>36.58</v>
      </c>
      <c r="H12071">
        <v>250131</v>
      </c>
      <c r="I12071">
        <v>4367</v>
      </c>
      <c r="J12071" t="s">
        <v>159</v>
      </c>
      <c r="K12071">
        <v>417.05</v>
      </c>
      <c r="L12071">
        <v>7.43</v>
      </c>
      <c r="M12071">
        <v>11101</v>
      </c>
      <c r="N12071" t="s">
        <v>67</v>
      </c>
      <c r="O12071">
        <v>250210</v>
      </c>
      <c r="P12071">
        <v>29.15</v>
      </c>
    </row>
    <row r="12072" spans="1:16" x14ac:dyDescent="0.25">
      <c r="A12072" t="s">
        <v>3296</v>
      </c>
      <c r="B12072" t="s">
        <v>2931</v>
      </c>
      <c r="C12072">
        <v>1400</v>
      </c>
      <c r="D12072" t="str">
        <f t="shared" si="169"/>
        <v xml:space="preserve">99933       </v>
      </c>
      <c r="E12072" t="s">
        <v>511</v>
      </c>
      <c r="F12072" t="s">
        <v>512</v>
      </c>
      <c r="G12072">
        <v>14.64</v>
      </c>
      <c r="H12072">
        <v>250131</v>
      </c>
      <c r="I12072">
        <v>4367</v>
      </c>
      <c r="J12072" t="s">
        <v>159</v>
      </c>
      <c r="K12072">
        <v>417.05</v>
      </c>
      <c r="L12072">
        <v>2.97</v>
      </c>
      <c r="M12072">
        <v>11201</v>
      </c>
      <c r="N12072" t="s">
        <v>35</v>
      </c>
      <c r="O12072">
        <v>250210</v>
      </c>
      <c r="P12072">
        <v>11.67</v>
      </c>
    </row>
    <row r="12073" spans="1:16" x14ac:dyDescent="0.25">
      <c r="A12073" t="s">
        <v>3296</v>
      </c>
      <c r="B12073" t="s">
        <v>2931</v>
      </c>
      <c r="C12073">
        <v>1400</v>
      </c>
      <c r="D12073" t="str">
        <f t="shared" si="169"/>
        <v xml:space="preserve">99933       </v>
      </c>
      <c r="E12073" t="s">
        <v>511</v>
      </c>
      <c r="F12073" t="s">
        <v>512</v>
      </c>
      <c r="G12073">
        <v>36.53</v>
      </c>
      <c r="H12073">
        <v>250131</v>
      </c>
      <c r="I12073">
        <v>4367</v>
      </c>
      <c r="J12073" t="s">
        <v>159</v>
      </c>
      <c r="K12073">
        <v>417.05</v>
      </c>
      <c r="L12073">
        <v>7.42</v>
      </c>
      <c r="M12073">
        <v>11301</v>
      </c>
      <c r="N12073" t="s">
        <v>92</v>
      </c>
      <c r="O12073">
        <v>250210</v>
      </c>
      <c r="P12073">
        <v>29.11</v>
      </c>
    </row>
    <row r="12074" spans="1:16" x14ac:dyDescent="0.25">
      <c r="A12074" t="s">
        <v>3296</v>
      </c>
      <c r="B12074" t="s">
        <v>2931</v>
      </c>
      <c r="C12074">
        <v>1400</v>
      </c>
      <c r="D12074" t="str">
        <f t="shared" si="169"/>
        <v xml:space="preserve">99933       </v>
      </c>
      <c r="E12074" t="s">
        <v>511</v>
      </c>
      <c r="F12074" t="s">
        <v>512</v>
      </c>
      <c r="G12074">
        <v>14.64</v>
      </c>
      <c r="H12074">
        <v>250131</v>
      </c>
      <c r="I12074">
        <v>4367</v>
      </c>
      <c r="J12074" t="s">
        <v>159</v>
      </c>
      <c r="K12074">
        <v>417.05</v>
      </c>
      <c r="L12074">
        <v>2.97</v>
      </c>
      <c r="M12074">
        <v>11401</v>
      </c>
      <c r="N12074" t="s">
        <v>91</v>
      </c>
      <c r="O12074">
        <v>250210</v>
      </c>
      <c r="P12074">
        <v>11.67</v>
      </c>
    </row>
    <row r="12075" spans="1:16" x14ac:dyDescent="0.25">
      <c r="A12075" t="s">
        <v>3296</v>
      </c>
      <c r="B12075" t="s">
        <v>2931</v>
      </c>
      <c r="C12075">
        <v>1400</v>
      </c>
      <c r="D12075" t="str">
        <f t="shared" si="169"/>
        <v xml:space="preserve">99933       </v>
      </c>
      <c r="E12075" t="s">
        <v>511</v>
      </c>
      <c r="F12075" t="s">
        <v>512</v>
      </c>
      <c r="G12075">
        <v>21.96</v>
      </c>
      <c r="H12075">
        <v>250131</v>
      </c>
      <c r="I12075">
        <v>4367</v>
      </c>
      <c r="J12075" t="s">
        <v>159</v>
      </c>
      <c r="K12075">
        <v>417.05</v>
      </c>
      <c r="L12075">
        <v>4.46</v>
      </c>
      <c r="M12075">
        <v>11501</v>
      </c>
      <c r="N12075" t="s">
        <v>13</v>
      </c>
      <c r="O12075">
        <v>250210</v>
      </c>
      <c r="P12075">
        <v>17.5</v>
      </c>
    </row>
    <row r="12076" spans="1:16" x14ac:dyDescent="0.25">
      <c r="A12076" t="s">
        <v>3296</v>
      </c>
      <c r="B12076" t="s">
        <v>2931</v>
      </c>
      <c r="C12076">
        <v>1400</v>
      </c>
      <c r="D12076" t="str">
        <f t="shared" si="169"/>
        <v xml:space="preserve">99933       </v>
      </c>
      <c r="E12076" t="s">
        <v>511</v>
      </c>
      <c r="F12076" t="s">
        <v>512</v>
      </c>
      <c r="G12076">
        <v>36.58</v>
      </c>
      <c r="H12076">
        <v>250131</v>
      </c>
      <c r="I12076">
        <v>4367</v>
      </c>
      <c r="J12076" t="s">
        <v>159</v>
      </c>
      <c r="K12076">
        <v>417.05</v>
      </c>
      <c r="L12076">
        <v>7.43</v>
      </c>
      <c r="M12076">
        <v>11601</v>
      </c>
      <c r="N12076" t="s">
        <v>12</v>
      </c>
      <c r="O12076">
        <v>250210</v>
      </c>
      <c r="P12076">
        <v>29.15</v>
      </c>
    </row>
    <row r="12077" spans="1:16" x14ac:dyDescent="0.25">
      <c r="A12077" t="s">
        <v>3296</v>
      </c>
      <c r="B12077" t="s">
        <v>2931</v>
      </c>
      <c r="C12077">
        <v>1400</v>
      </c>
      <c r="D12077" t="str">
        <f t="shared" si="169"/>
        <v xml:space="preserve">99933       </v>
      </c>
      <c r="E12077" t="s">
        <v>511</v>
      </c>
      <c r="F12077" t="s">
        <v>512</v>
      </c>
      <c r="G12077">
        <v>21.94</v>
      </c>
      <c r="H12077">
        <v>250131</v>
      </c>
      <c r="I12077">
        <v>4367</v>
      </c>
      <c r="J12077" t="s">
        <v>159</v>
      </c>
      <c r="K12077">
        <v>417.05</v>
      </c>
      <c r="L12077">
        <v>4.46</v>
      </c>
      <c r="M12077">
        <v>11701</v>
      </c>
      <c r="N12077" t="s">
        <v>973</v>
      </c>
      <c r="O12077">
        <v>250210</v>
      </c>
      <c r="P12077">
        <v>17.48</v>
      </c>
    </row>
    <row r="12078" spans="1:16" x14ac:dyDescent="0.25">
      <c r="A12078" t="s">
        <v>3296</v>
      </c>
      <c r="B12078" t="s">
        <v>2931</v>
      </c>
      <c r="C12078">
        <v>1400</v>
      </c>
      <c r="D12078" t="str">
        <f t="shared" si="169"/>
        <v xml:space="preserve">99933       </v>
      </c>
      <c r="E12078" t="s">
        <v>511</v>
      </c>
      <c r="F12078" t="s">
        <v>512</v>
      </c>
      <c r="G12078">
        <v>102.43</v>
      </c>
      <c r="H12078">
        <v>250131</v>
      </c>
      <c r="I12078">
        <v>4367</v>
      </c>
      <c r="J12078" t="s">
        <v>159</v>
      </c>
      <c r="K12078">
        <v>417.05</v>
      </c>
      <c r="L12078">
        <v>20.81</v>
      </c>
      <c r="M12078">
        <v>11801</v>
      </c>
      <c r="N12078" t="s">
        <v>40</v>
      </c>
      <c r="O12078">
        <v>250210</v>
      </c>
      <c r="P12078">
        <v>81.62</v>
      </c>
    </row>
    <row r="12079" spans="1:16" x14ac:dyDescent="0.25">
      <c r="A12079" t="s">
        <v>3296</v>
      </c>
      <c r="B12079" t="s">
        <v>2931</v>
      </c>
      <c r="C12079">
        <v>1400</v>
      </c>
      <c r="D12079" t="str">
        <f t="shared" si="169"/>
        <v xml:space="preserve">99933       </v>
      </c>
      <c r="E12079" t="s">
        <v>511</v>
      </c>
      <c r="F12079" t="s">
        <v>512</v>
      </c>
      <c r="G12079">
        <v>131.75</v>
      </c>
      <c r="H12079">
        <v>250131</v>
      </c>
      <c r="I12079">
        <v>4367</v>
      </c>
      <c r="J12079" t="s">
        <v>159</v>
      </c>
      <c r="K12079">
        <v>417.05</v>
      </c>
      <c r="L12079">
        <v>26.77</v>
      </c>
      <c r="M12079">
        <v>11901</v>
      </c>
      <c r="N12079" t="s">
        <v>31</v>
      </c>
      <c r="O12079">
        <v>250210</v>
      </c>
      <c r="P12079">
        <v>104.98</v>
      </c>
    </row>
    <row r="12080" spans="1:16" x14ac:dyDescent="0.25">
      <c r="A12080" t="s">
        <v>3296</v>
      </c>
      <c r="B12080" t="s">
        <v>2931</v>
      </c>
      <c r="C12080">
        <v>1598</v>
      </c>
      <c r="D12080" t="str">
        <f>"99935       "</f>
        <v xml:space="preserve">99935       </v>
      </c>
      <c r="E12080" t="s">
        <v>511</v>
      </c>
      <c r="F12080" t="s">
        <v>512</v>
      </c>
      <c r="G12080">
        <v>7.31</v>
      </c>
      <c r="H12080">
        <v>250131</v>
      </c>
      <c r="I12080">
        <v>4367</v>
      </c>
      <c r="J12080" t="s">
        <v>159</v>
      </c>
      <c r="K12080">
        <v>58.53</v>
      </c>
      <c r="L12080">
        <v>1.49</v>
      </c>
      <c r="M12080">
        <v>13561</v>
      </c>
      <c r="N12080" t="s">
        <v>241</v>
      </c>
      <c r="O12080">
        <v>250211</v>
      </c>
      <c r="P12080">
        <v>5.82</v>
      </c>
    </row>
    <row r="12081" spans="1:16" x14ac:dyDescent="0.25">
      <c r="A12081" t="s">
        <v>3296</v>
      </c>
      <c r="B12081" t="s">
        <v>2931</v>
      </c>
      <c r="C12081">
        <v>1598</v>
      </c>
      <c r="D12081" t="str">
        <f>"99935       "</f>
        <v xml:space="preserve">99935       </v>
      </c>
      <c r="E12081" t="s">
        <v>511</v>
      </c>
      <c r="F12081" t="s">
        <v>512</v>
      </c>
      <c r="G12081">
        <v>7.31</v>
      </c>
      <c r="H12081">
        <v>250131</v>
      </c>
      <c r="I12081">
        <v>4367</v>
      </c>
      <c r="J12081" t="s">
        <v>159</v>
      </c>
      <c r="K12081">
        <v>58.53</v>
      </c>
      <c r="L12081">
        <v>1.49</v>
      </c>
      <c r="M12081">
        <v>13661</v>
      </c>
      <c r="N12081" t="s">
        <v>243</v>
      </c>
      <c r="O12081">
        <v>250211</v>
      </c>
      <c r="P12081">
        <v>5.82</v>
      </c>
    </row>
    <row r="12082" spans="1:16" x14ac:dyDescent="0.25">
      <c r="A12082" t="s">
        <v>3296</v>
      </c>
      <c r="B12082" t="s">
        <v>2931</v>
      </c>
      <c r="C12082">
        <v>1598</v>
      </c>
      <c r="D12082" t="str">
        <f>"99935       "</f>
        <v xml:space="preserve">99935       </v>
      </c>
      <c r="E12082" t="s">
        <v>511</v>
      </c>
      <c r="F12082" t="s">
        <v>512</v>
      </c>
      <c r="G12082">
        <v>21.93</v>
      </c>
      <c r="H12082">
        <v>250131</v>
      </c>
      <c r="I12082">
        <v>4367</v>
      </c>
      <c r="J12082" t="s">
        <v>159</v>
      </c>
      <c r="K12082">
        <v>58.53</v>
      </c>
      <c r="L12082">
        <v>4.46</v>
      </c>
      <c r="M12082">
        <v>13861</v>
      </c>
      <c r="N12082" t="s">
        <v>604</v>
      </c>
      <c r="O12082">
        <v>250211</v>
      </c>
      <c r="P12082">
        <v>17.47</v>
      </c>
    </row>
    <row r="12083" spans="1:16" x14ac:dyDescent="0.25">
      <c r="A12083" t="s">
        <v>3296</v>
      </c>
      <c r="B12083" t="s">
        <v>2931</v>
      </c>
      <c r="C12083">
        <v>1598</v>
      </c>
      <c r="D12083" t="str">
        <f>"99935       "</f>
        <v xml:space="preserve">99935       </v>
      </c>
      <c r="E12083" t="s">
        <v>511</v>
      </c>
      <c r="F12083" t="s">
        <v>512</v>
      </c>
      <c r="G12083">
        <v>21.98</v>
      </c>
      <c r="H12083">
        <v>250131</v>
      </c>
      <c r="I12083">
        <v>4367</v>
      </c>
      <c r="J12083" t="s">
        <v>159</v>
      </c>
      <c r="K12083">
        <v>58.53</v>
      </c>
      <c r="L12083">
        <v>4.47</v>
      </c>
      <c r="M12083">
        <v>13940</v>
      </c>
      <c r="N12083" t="s">
        <v>14</v>
      </c>
      <c r="O12083">
        <v>250211</v>
      </c>
      <c r="P12083">
        <v>17.510000000000002</v>
      </c>
    </row>
    <row r="12084" spans="1:16" x14ac:dyDescent="0.25">
      <c r="A12084" t="s">
        <v>3296</v>
      </c>
      <c r="B12084" t="s">
        <v>2931</v>
      </c>
      <c r="C12084">
        <v>2737</v>
      </c>
      <c r="D12084" t="str">
        <f>"100488      "</f>
        <v xml:space="preserve">100488      </v>
      </c>
      <c r="E12084" t="s">
        <v>511</v>
      </c>
      <c r="F12084" t="s">
        <v>512</v>
      </c>
      <c r="G12084">
        <v>189.25</v>
      </c>
      <c r="H12084">
        <v>250228</v>
      </c>
      <c r="I12084">
        <v>4367</v>
      </c>
      <c r="J12084" t="s">
        <v>159</v>
      </c>
      <c r="K12084">
        <v>189.25</v>
      </c>
      <c r="L12084">
        <v>38.450000000000003</v>
      </c>
      <c r="M12084">
        <v>49701</v>
      </c>
      <c r="N12084" t="s">
        <v>111</v>
      </c>
      <c r="O12084">
        <v>250311</v>
      </c>
      <c r="P12084">
        <v>150.80000000000001</v>
      </c>
    </row>
    <row r="12085" spans="1:16" x14ac:dyDescent="0.25">
      <c r="A12085" t="s">
        <v>3296</v>
      </c>
      <c r="B12085" t="s">
        <v>2931</v>
      </c>
      <c r="C12085">
        <v>2746</v>
      </c>
      <c r="D12085" t="str">
        <f t="shared" ref="D12085:D12093" si="170">"100489      "</f>
        <v xml:space="preserve">100489      </v>
      </c>
      <c r="E12085" t="s">
        <v>511</v>
      </c>
      <c r="F12085" t="s">
        <v>512</v>
      </c>
      <c r="G12085">
        <v>35.93</v>
      </c>
      <c r="H12085">
        <v>250228</v>
      </c>
      <c r="I12085">
        <v>4367</v>
      </c>
      <c r="J12085" t="s">
        <v>159</v>
      </c>
      <c r="K12085">
        <v>409.73</v>
      </c>
      <c r="L12085">
        <v>7.3</v>
      </c>
      <c r="M12085">
        <v>11101</v>
      </c>
      <c r="N12085" t="s">
        <v>67</v>
      </c>
      <c r="O12085">
        <v>250311</v>
      </c>
      <c r="P12085">
        <v>28.63</v>
      </c>
    </row>
    <row r="12086" spans="1:16" x14ac:dyDescent="0.25">
      <c r="A12086" t="s">
        <v>3296</v>
      </c>
      <c r="B12086" t="s">
        <v>2931</v>
      </c>
      <c r="C12086">
        <v>2746</v>
      </c>
      <c r="D12086" t="str">
        <f t="shared" si="170"/>
        <v xml:space="preserve">100489      </v>
      </c>
      <c r="E12086" t="s">
        <v>511</v>
      </c>
      <c r="F12086" t="s">
        <v>512</v>
      </c>
      <c r="G12086">
        <v>14.38</v>
      </c>
      <c r="H12086">
        <v>250228</v>
      </c>
      <c r="I12086">
        <v>4367</v>
      </c>
      <c r="J12086" t="s">
        <v>159</v>
      </c>
      <c r="K12086">
        <v>409.73</v>
      </c>
      <c r="L12086">
        <v>2.92</v>
      </c>
      <c r="M12086">
        <v>11201</v>
      </c>
      <c r="N12086" t="s">
        <v>35</v>
      </c>
      <c r="O12086">
        <v>250311</v>
      </c>
      <c r="P12086">
        <v>11.46</v>
      </c>
    </row>
    <row r="12087" spans="1:16" x14ac:dyDescent="0.25">
      <c r="A12087" t="s">
        <v>3296</v>
      </c>
      <c r="B12087" t="s">
        <v>2931</v>
      </c>
      <c r="C12087">
        <v>2746</v>
      </c>
      <c r="D12087" t="str">
        <f t="shared" si="170"/>
        <v xml:space="preserve">100489      </v>
      </c>
      <c r="E12087" t="s">
        <v>511</v>
      </c>
      <c r="F12087" t="s">
        <v>512</v>
      </c>
      <c r="G12087">
        <v>35.89</v>
      </c>
      <c r="H12087">
        <v>250228</v>
      </c>
      <c r="I12087">
        <v>4367</v>
      </c>
      <c r="J12087" t="s">
        <v>159</v>
      </c>
      <c r="K12087">
        <v>409.73</v>
      </c>
      <c r="L12087">
        <v>7.29</v>
      </c>
      <c r="M12087">
        <v>11301</v>
      </c>
      <c r="N12087" t="s">
        <v>92</v>
      </c>
      <c r="O12087">
        <v>250311</v>
      </c>
      <c r="P12087">
        <v>28.6</v>
      </c>
    </row>
    <row r="12088" spans="1:16" x14ac:dyDescent="0.25">
      <c r="A12088" t="s">
        <v>3296</v>
      </c>
      <c r="B12088" t="s">
        <v>2931</v>
      </c>
      <c r="C12088">
        <v>2746</v>
      </c>
      <c r="D12088" t="str">
        <f t="shared" si="170"/>
        <v xml:space="preserve">100489      </v>
      </c>
      <c r="E12088" t="s">
        <v>511</v>
      </c>
      <c r="F12088" t="s">
        <v>512</v>
      </c>
      <c r="G12088">
        <v>14.38</v>
      </c>
      <c r="H12088">
        <v>250228</v>
      </c>
      <c r="I12088">
        <v>4367</v>
      </c>
      <c r="J12088" t="s">
        <v>159</v>
      </c>
      <c r="K12088">
        <v>409.73</v>
      </c>
      <c r="L12088">
        <v>2.92</v>
      </c>
      <c r="M12088">
        <v>11401</v>
      </c>
      <c r="N12088" t="s">
        <v>91</v>
      </c>
      <c r="O12088">
        <v>250311</v>
      </c>
      <c r="P12088">
        <v>11.46</v>
      </c>
    </row>
    <row r="12089" spans="1:16" x14ac:dyDescent="0.25">
      <c r="A12089" t="s">
        <v>3296</v>
      </c>
      <c r="B12089" t="s">
        <v>2931</v>
      </c>
      <c r="C12089">
        <v>2746</v>
      </c>
      <c r="D12089" t="str">
        <f t="shared" si="170"/>
        <v xml:space="preserve">100489      </v>
      </c>
      <c r="E12089" t="s">
        <v>511</v>
      </c>
      <c r="F12089" t="s">
        <v>512</v>
      </c>
      <c r="G12089">
        <v>21.61</v>
      </c>
      <c r="H12089">
        <v>250228</v>
      </c>
      <c r="I12089">
        <v>4367</v>
      </c>
      <c r="J12089" t="s">
        <v>159</v>
      </c>
      <c r="K12089">
        <v>409.73</v>
      </c>
      <c r="L12089">
        <v>4.3899999999999997</v>
      </c>
      <c r="M12089">
        <v>11501</v>
      </c>
      <c r="N12089" t="s">
        <v>13</v>
      </c>
      <c r="O12089">
        <v>250311</v>
      </c>
      <c r="P12089">
        <v>17.22</v>
      </c>
    </row>
    <row r="12090" spans="1:16" x14ac:dyDescent="0.25">
      <c r="A12090" t="s">
        <v>3296</v>
      </c>
      <c r="B12090" t="s">
        <v>2931</v>
      </c>
      <c r="C12090">
        <v>2746</v>
      </c>
      <c r="D12090" t="str">
        <f t="shared" si="170"/>
        <v xml:space="preserve">100489      </v>
      </c>
      <c r="E12090" t="s">
        <v>511</v>
      </c>
      <c r="F12090" t="s">
        <v>512</v>
      </c>
      <c r="G12090">
        <v>35.93</v>
      </c>
      <c r="H12090">
        <v>250228</v>
      </c>
      <c r="I12090">
        <v>4367</v>
      </c>
      <c r="J12090" t="s">
        <v>159</v>
      </c>
      <c r="K12090">
        <v>409.73</v>
      </c>
      <c r="L12090">
        <v>7.3</v>
      </c>
      <c r="M12090">
        <v>11601</v>
      </c>
      <c r="N12090" t="s">
        <v>12</v>
      </c>
      <c r="O12090">
        <v>250311</v>
      </c>
      <c r="P12090">
        <v>28.63</v>
      </c>
    </row>
    <row r="12091" spans="1:16" x14ac:dyDescent="0.25">
      <c r="A12091" t="s">
        <v>3296</v>
      </c>
      <c r="B12091" t="s">
        <v>2931</v>
      </c>
      <c r="C12091">
        <v>2746</v>
      </c>
      <c r="D12091" t="str">
        <f t="shared" si="170"/>
        <v xml:space="preserve">100489      </v>
      </c>
      <c r="E12091" t="s">
        <v>511</v>
      </c>
      <c r="F12091" t="s">
        <v>512</v>
      </c>
      <c r="G12091">
        <v>21.55</v>
      </c>
      <c r="H12091">
        <v>250228</v>
      </c>
      <c r="I12091">
        <v>4367</v>
      </c>
      <c r="J12091" t="s">
        <v>159</v>
      </c>
      <c r="K12091">
        <v>409.73</v>
      </c>
      <c r="L12091">
        <v>4.38</v>
      </c>
      <c r="M12091">
        <v>11701</v>
      </c>
      <c r="N12091" t="s">
        <v>973</v>
      </c>
      <c r="O12091">
        <v>250311</v>
      </c>
      <c r="P12091">
        <v>17.170000000000002</v>
      </c>
    </row>
    <row r="12092" spans="1:16" x14ac:dyDescent="0.25">
      <c r="A12092" t="s">
        <v>3296</v>
      </c>
      <c r="B12092" t="s">
        <v>2931</v>
      </c>
      <c r="C12092">
        <v>2746</v>
      </c>
      <c r="D12092" t="str">
        <f t="shared" si="170"/>
        <v xml:space="preserve">100489      </v>
      </c>
      <c r="E12092" t="s">
        <v>511</v>
      </c>
      <c r="F12092" t="s">
        <v>512</v>
      </c>
      <c r="G12092">
        <v>100.63</v>
      </c>
      <c r="H12092">
        <v>250228</v>
      </c>
      <c r="I12092">
        <v>4367</v>
      </c>
      <c r="J12092" t="s">
        <v>159</v>
      </c>
      <c r="K12092">
        <v>409.73</v>
      </c>
      <c r="L12092">
        <v>20.45</v>
      </c>
      <c r="M12092">
        <v>11801</v>
      </c>
      <c r="N12092" t="s">
        <v>40</v>
      </c>
      <c r="O12092">
        <v>250311</v>
      </c>
      <c r="P12092">
        <v>80.180000000000007</v>
      </c>
    </row>
    <row r="12093" spans="1:16" x14ac:dyDescent="0.25">
      <c r="A12093" t="s">
        <v>3296</v>
      </c>
      <c r="B12093" t="s">
        <v>2931</v>
      </c>
      <c r="C12093">
        <v>2746</v>
      </c>
      <c r="D12093" t="str">
        <f t="shared" si="170"/>
        <v xml:space="preserve">100489      </v>
      </c>
      <c r="E12093" t="s">
        <v>511</v>
      </c>
      <c r="F12093" t="s">
        <v>512</v>
      </c>
      <c r="G12093">
        <v>129.43</v>
      </c>
      <c r="H12093">
        <v>250228</v>
      </c>
      <c r="I12093">
        <v>4367</v>
      </c>
      <c r="J12093" t="s">
        <v>159</v>
      </c>
      <c r="K12093">
        <v>409.73</v>
      </c>
      <c r="L12093">
        <v>26.3</v>
      </c>
      <c r="M12093">
        <v>11901</v>
      </c>
      <c r="N12093" t="s">
        <v>31</v>
      </c>
      <c r="O12093">
        <v>250311</v>
      </c>
      <c r="P12093">
        <v>103.13</v>
      </c>
    </row>
    <row r="12094" spans="1:16" x14ac:dyDescent="0.25">
      <c r="A12094" t="s">
        <v>3296</v>
      </c>
      <c r="B12094" t="s">
        <v>2931</v>
      </c>
      <c r="C12094">
        <v>2762</v>
      </c>
      <c r="D12094" t="str">
        <f>"100491      "</f>
        <v xml:space="preserve">100491      </v>
      </c>
      <c r="E12094" t="s">
        <v>511</v>
      </c>
      <c r="F12094" t="s">
        <v>512</v>
      </c>
      <c r="G12094">
        <v>7.31</v>
      </c>
      <c r="H12094">
        <v>250228</v>
      </c>
      <c r="I12094">
        <v>4367</v>
      </c>
      <c r="J12094" t="s">
        <v>159</v>
      </c>
      <c r="K12094">
        <v>58.53</v>
      </c>
      <c r="L12094">
        <v>1.49</v>
      </c>
      <c r="M12094">
        <v>13561</v>
      </c>
      <c r="N12094" t="s">
        <v>241</v>
      </c>
      <c r="O12094">
        <v>250311</v>
      </c>
      <c r="P12094">
        <v>5.82</v>
      </c>
    </row>
    <row r="12095" spans="1:16" x14ac:dyDescent="0.25">
      <c r="A12095" t="s">
        <v>3296</v>
      </c>
      <c r="B12095" t="s">
        <v>2931</v>
      </c>
      <c r="C12095">
        <v>2762</v>
      </c>
      <c r="D12095" t="str">
        <f>"100491      "</f>
        <v xml:space="preserve">100491      </v>
      </c>
      <c r="E12095" t="s">
        <v>511</v>
      </c>
      <c r="F12095" t="s">
        <v>512</v>
      </c>
      <c r="G12095">
        <v>7.31</v>
      </c>
      <c r="H12095">
        <v>250228</v>
      </c>
      <c r="I12095">
        <v>4367</v>
      </c>
      <c r="J12095" t="s">
        <v>159</v>
      </c>
      <c r="K12095">
        <v>58.53</v>
      </c>
      <c r="L12095">
        <v>1.49</v>
      </c>
      <c r="M12095">
        <v>13661</v>
      </c>
      <c r="N12095" t="s">
        <v>243</v>
      </c>
      <c r="O12095">
        <v>250311</v>
      </c>
      <c r="P12095">
        <v>5.82</v>
      </c>
    </row>
    <row r="12096" spans="1:16" x14ac:dyDescent="0.25">
      <c r="A12096" t="s">
        <v>3296</v>
      </c>
      <c r="B12096" t="s">
        <v>2931</v>
      </c>
      <c r="C12096">
        <v>2762</v>
      </c>
      <c r="D12096" t="str">
        <f>"100491      "</f>
        <v xml:space="preserve">100491      </v>
      </c>
      <c r="E12096" t="s">
        <v>511</v>
      </c>
      <c r="F12096" t="s">
        <v>512</v>
      </c>
      <c r="G12096">
        <v>21.93</v>
      </c>
      <c r="H12096">
        <v>250228</v>
      </c>
      <c r="I12096">
        <v>4367</v>
      </c>
      <c r="J12096" t="s">
        <v>159</v>
      </c>
      <c r="K12096">
        <v>58.53</v>
      </c>
      <c r="L12096">
        <v>4.46</v>
      </c>
      <c r="M12096">
        <v>13861</v>
      </c>
      <c r="N12096" t="s">
        <v>604</v>
      </c>
      <c r="O12096">
        <v>250311</v>
      </c>
      <c r="P12096">
        <v>17.47</v>
      </c>
    </row>
    <row r="12097" spans="1:16" x14ac:dyDescent="0.25">
      <c r="A12097" t="s">
        <v>3296</v>
      </c>
      <c r="B12097" t="s">
        <v>2931</v>
      </c>
      <c r="C12097">
        <v>2762</v>
      </c>
      <c r="D12097" t="str">
        <f>"100491      "</f>
        <v xml:space="preserve">100491      </v>
      </c>
      <c r="E12097" t="s">
        <v>511</v>
      </c>
      <c r="F12097" t="s">
        <v>512</v>
      </c>
      <c r="G12097">
        <v>21.98</v>
      </c>
      <c r="H12097">
        <v>250228</v>
      </c>
      <c r="I12097">
        <v>4367</v>
      </c>
      <c r="J12097" t="s">
        <v>159</v>
      </c>
      <c r="K12097">
        <v>58.53</v>
      </c>
      <c r="L12097">
        <v>4.47</v>
      </c>
      <c r="M12097">
        <v>13940</v>
      </c>
      <c r="N12097" t="s">
        <v>14</v>
      </c>
      <c r="O12097">
        <v>250311</v>
      </c>
      <c r="P12097">
        <v>17.510000000000002</v>
      </c>
    </row>
    <row r="12098" spans="1:16" x14ac:dyDescent="0.25">
      <c r="A12098" t="s">
        <v>3296</v>
      </c>
      <c r="B12098" t="s">
        <v>2931</v>
      </c>
      <c r="C12098">
        <v>2798</v>
      </c>
      <c r="D12098" t="str">
        <f>"100490      "</f>
        <v xml:space="preserve">100490      </v>
      </c>
      <c r="E12098" t="s">
        <v>511</v>
      </c>
      <c r="F12098" t="s">
        <v>512</v>
      </c>
      <c r="G12098">
        <v>56.71</v>
      </c>
      <c r="H12098">
        <v>250228</v>
      </c>
      <c r="I12098">
        <v>4367</v>
      </c>
      <c r="J12098" t="s">
        <v>159</v>
      </c>
      <c r="K12098">
        <v>113.42</v>
      </c>
      <c r="L12098">
        <v>11.52</v>
      </c>
      <c r="M12098">
        <v>14971</v>
      </c>
      <c r="N12098" t="s">
        <v>81</v>
      </c>
      <c r="O12098">
        <v>250312</v>
      </c>
      <c r="P12098">
        <v>45.19</v>
      </c>
    </row>
    <row r="12099" spans="1:16" x14ac:dyDescent="0.25">
      <c r="A12099" t="s">
        <v>3296</v>
      </c>
      <c r="B12099" t="s">
        <v>2931</v>
      </c>
      <c r="C12099">
        <v>2798</v>
      </c>
      <c r="D12099" t="str">
        <f>"100490      "</f>
        <v xml:space="preserve">100490      </v>
      </c>
      <c r="E12099" t="s">
        <v>511</v>
      </c>
      <c r="F12099" t="s">
        <v>512</v>
      </c>
      <c r="G12099">
        <v>56.71</v>
      </c>
      <c r="H12099">
        <v>250228</v>
      </c>
      <c r="I12099">
        <v>4367</v>
      </c>
      <c r="J12099" t="s">
        <v>159</v>
      </c>
      <c r="K12099">
        <v>113.42</v>
      </c>
      <c r="L12099">
        <v>11.52</v>
      </c>
      <c r="M12099">
        <v>18972</v>
      </c>
      <c r="N12099" t="s">
        <v>39</v>
      </c>
      <c r="O12099">
        <v>250312</v>
      </c>
      <c r="P12099">
        <v>45.19</v>
      </c>
    </row>
    <row r="12100" spans="1:16" x14ac:dyDescent="0.25">
      <c r="A12100" t="s">
        <v>3296</v>
      </c>
      <c r="B12100" t="s">
        <v>2931</v>
      </c>
      <c r="C12100">
        <v>4357</v>
      </c>
      <c r="D12100" t="str">
        <f>"101350      "</f>
        <v xml:space="preserve">101350      </v>
      </c>
      <c r="E12100" t="s">
        <v>511</v>
      </c>
      <c r="F12100" t="s">
        <v>512</v>
      </c>
      <c r="G12100">
        <v>7.31</v>
      </c>
      <c r="H12100">
        <v>250331</v>
      </c>
      <c r="I12100">
        <v>4367</v>
      </c>
      <c r="J12100" t="s">
        <v>159</v>
      </c>
      <c r="K12100">
        <v>58.53</v>
      </c>
      <c r="L12100">
        <v>1.49</v>
      </c>
      <c r="M12100">
        <v>13561</v>
      </c>
      <c r="N12100" t="s">
        <v>241</v>
      </c>
      <c r="O12100">
        <v>250411</v>
      </c>
      <c r="P12100">
        <v>5.82</v>
      </c>
    </row>
    <row r="12101" spans="1:16" x14ac:dyDescent="0.25">
      <c r="A12101" t="s">
        <v>3296</v>
      </c>
      <c r="B12101" t="s">
        <v>2931</v>
      </c>
      <c r="C12101">
        <v>4357</v>
      </c>
      <c r="D12101" t="str">
        <f>"101350      "</f>
        <v xml:space="preserve">101350      </v>
      </c>
      <c r="E12101" t="s">
        <v>511</v>
      </c>
      <c r="F12101" t="s">
        <v>512</v>
      </c>
      <c r="G12101">
        <v>7.31</v>
      </c>
      <c r="H12101">
        <v>250331</v>
      </c>
      <c r="I12101">
        <v>4367</v>
      </c>
      <c r="J12101" t="s">
        <v>159</v>
      </c>
      <c r="K12101">
        <v>58.53</v>
      </c>
      <c r="L12101">
        <v>1.49</v>
      </c>
      <c r="M12101">
        <v>13661</v>
      </c>
      <c r="N12101" t="s">
        <v>243</v>
      </c>
      <c r="O12101">
        <v>250411</v>
      </c>
      <c r="P12101">
        <v>5.82</v>
      </c>
    </row>
    <row r="12102" spans="1:16" x14ac:dyDescent="0.25">
      <c r="A12102" t="s">
        <v>3296</v>
      </c>
      <c r="B12102" t="s">
        <v>2931</v>
      </c>
      <c r="C12102">
        <v>4357</v>
      </c>
      <c r="D12102" t="str">
        <f>"101350      "</f>
        <v xml:space="preserve">101350      </v>
      </c>
      <c r="E12102" t="s">
        <v>511</v>
      </c>
      <c r="F12102" t="s">
        <v>512</v>
      </c>
      <c r="G12102">
        <v>21.93</v>
      </c>
      <c r="H12102">
        <v>250331</v>
      </c>
      <c r="I12102">
        <v>4367</v>
      </c>
      <c r="J12102" t="s">
        <v>159</v>
      </c>
      <c r="K12102">
        <v>58.53</v>
      </c>
      <c r="L12102">
        <v>4.46</v>
      </c>
      <c r="M12102">
        <v>13861</v>
      </c>
      <c r="N12102" t="s">
        <v>604</v>
      </c>
      <c r="O12102">
        <v>250411</v>
      </c>
      <c r="P12102">
        <v>17.47</v>
      </c>
    </row>
    <row r="12103" spans="1:16" x14ac:dyDescent="0.25">
      <c r="A12103" t="s">
        <v>3296</v>
      </c>
      <c r="B12103" t="s">
        <v>2931</v>
      </c>
      <c r="C12103">
        <v>4357</v>
      </c>
      <c r="D12103" t="str">
        <f>"101350      "</f>
        <v xml:space="preserve">101350      </v>
      </c>
      <c r="E12103" t="s">
        <v>511</v>
      </c>
      <c r="F12103" t="s">
        <v>512</v>
      </c>
      <c r="G12103">
        <v>21.98</v>
      </c>
      <c r="H12103">
        <v>250331</v>
      </c>
      <c r="I12103">
        <v>4367</v>
      </c>
      <c r="J12103" t="s">
        <v>159</v>
      </c>
      <c r="K12103">
        <v>58.53</v>
      </c>
      <c r="L12103">
        <v>4.47</v>
      </c>
      <c r="M12103">
        <v>13940</v>
      </c>
      <c r="N12103" t="s">
        <v>14</v>
      </c>
      <c r="O12103">
        <v>250411</v>
      </c>
      <c r="P12103">
        <v>17.510000000000002</v>
      </c>
    </row>
    <row r="12104" spans="1:16" x14ac:dyDescent="0.25">
      <c r="A12104" t="s">
        <v>3296</v>
      </c>
      <c r="B12104" t="s">
        <v>2931</v>
      </c>
      <c r="C12104">
        <v>4367</v>
      </c>
      <c r="D12104" t="str">
        <f>"101347      "</f>
        <v xml:space="preserve">101347      </v>
      </c>
      <c r="E12104" t="s">
        <v>511</v>
      </c>
      <c r="F12104" t="s">
        <v>512</v>
      </c>
      <c r="G12104">
        <v>189.25</v>
      </c>
      <c r="H12104">
        <v>250331</v>
      </c>
      <c r="I12104">
        <v>4367</v>
      </c>
      <c r="J12104" t="s">
        <v>159</v>
      </c>
      <c r="K12104">
        <v>189.25</v>
      </c>
      <c r="L12104">
        <v>38.450000000000003</v>
      </c>
      <c r="M12104">
        <v>49701</v>
      </c>
      <c r="N12104" t="s">
        <v>111</v>
      </c>
      <c r="O12104">
        <v>250411</v>
      </c>
      <c r="P12104">
        <v>150.80000000000001</v>
      </c>
    </row>
    <row r="12105" spans="1:16" x14ac:dyDescent="0.25">
      <c r="A12105" t="s">
        <v>3296</v>
      </c>
      <c r="B12105" t="s">
        <v>2931</v>
      </c>
      <c r="C12105">
        <v>4425</v>
      </c>
      <c r="D12105" t="str">
        <f>"101349      "</f>
        <v xml:space="preserve">101349      </v>
      </c>
      <c r="E12105" t="s">
        <v>511</v>
      </c>
      <c r="F12105" t="s">
        <v>512</v>
      </c>
      <c r="G12105">
        <v>56.71</v>
      </c>
      <c r="H12105">
        <v>250331</v>
      </c>
      <c r="I12105">
        <v>4367</v>
      </c>
      <c r="J12105" t="s">
        <v>159</v>
      </c>
      <c r="K12105">
        <v>113.42</v>
      </c>
      <c r="L12105">
        <v>11.52</v>
      </c>
      <c r="M12105">
        <v>14971</v>
      </c>
      <c r="N12105" t="s">
        <v>81</v>
      </c>
      <c r="O12105">
        <v>250411</v>
      </c>
      <c r="P12105">
        <v>45.19</v>
      </c>
    </row>
    <row r="12106" spans="1:16" x14ac:dyDescent="0.25">
      <c r="A12106" t="s">
        <v>3296</v>
      </c>
      <c r="B12106" t="s">
        <v>2931</v>
      </c>
      <c r="C12106">
        <v>4425</v>
      </c>
      <c r="D12106" t="str">
        <f>"101349      "</f>
        <v xml:space="preserve">101349      </v>
      </c>
      <c r="E12106" t="s">
        <v>511</v>
      </c>
      <c r="F12106" t="s">
        <v>512</v>
      </c>
      <c r="G12106">
        <v>56.71</v>
      </c>
      <c r="H12106">
        <v>250331</v>
      </c>
      <c r="I12106">
        <v>4367</v>
      </c>
      <c r="J12106" t="s">
        <v>159</v>
      </c>
      <c r="K12106">
        <v>113.42</v>
      </c>
      <c r="L12106">
        <v>11.52</v>
      </c>
      <c r="M12106">
        <v>18972</v>
      </c>
      <c r="N12106" t="s">
        <v>39</v>
      </c>
      <c r="O12106">
        <v>250411</v>
      </c>
      <c r="P12106">
        <v>45.19</v>
      </c>
    </row>
    <row r="12107" spans="1:16" x14ac:dyDescent="0.25">
      <c r="A12107" t="s">
        <v>3296</v>
      </c>
      <c r="B12107" t="s">
        <v>2931</v>
      </c>
      <c r="C12107">
        <v>4474</v>
      </c>
      <c r="D12107" t="str">
        <f t="shared" ref="D12107:D12115" si="171">"101348      "</f>
        <v xml:space="preserve">101348      </v>
      </c>
      <c r="E12107" t="s">
        <v>511</v>
      </c>
      <c r="F12107" t="s">
        <v>512</v>
      </c>
      <c r="G12107">
        <v>35.29</v>
      </c>
      <c r="H12107">
        <v>250331</v>
      </c>
      <c r="I12107">
        <v>4367</v>
      </c>
      <c r="J12107" t="s">
        <v>159</v>
      </c>
      <c r="K12107">
        <v>402.42</v>
      </c>
      <c r="L12107">
        <v>7.17</v>
      </c>
      <c r="M12107">
        <v>11101</v>
      </c>
      <c r="N12107" t="s">
        <v>67</v>
      </c>
      <c r="O12107">
        <v>250411</v>
      </c>
      <c r="P12107">
        <v>28.12</v>
      </c>
    </row>
    <row r="12108" spans="1:16" x14ac:dyDescent="0.25">
      <c r="A12108" t="s">
        <v>3296</v>
      </c>
      <c r="B12108" t="s">
        <v>2931</v>
      </c>
      <c r="C12108">
        <v>4474</v>
      </c>
      <c r="D12108" t="str">
        <f t="shared" si="171"/>
        <v xml:space="preserve">101348      </v>
      </c>
      <c r="E12108" t="s">
        <v>511</v>
      </c>
      <c r="F12108" t="s">
        <v>512</v>
      </c>
      <c r="G12108">
        <v>14.12</v>
      </c>
      <c r="H12108">
        <v>250331</v>
      </c>
      <c r="I12108">
        <v>4367</v>
      </c>
      <c r="J12108" t="s">
        <v>159</v>
      </c>
      <c r="K12108">
        <v>402.42</v>
      </c>
      <c r="L12108">
        <v>2.87</v>
      </c>
      <c r="M12108">
        <v>11201</v>
      </c>
      <c r="N12108" t="s">
        <v>35</v>
      </c>
      <c r="O12108">
        <v>250411</v>
      </c>
      <c r="P12108">
        <v>11.25</v>
      </c>
    </row>
    <row r="12109" spans="1:16" x14ac:dyDescent="0.25">
      <c r="A12109" t="s">
        <v>3296</v>
      </c>
      <c r="B12109" t="s">
        <v>2931</v>
      </c>
      <c r="C12109">
        <v>4474</v>
      </c>
      <c r="D12109" t="str">
        <f t="shared" si="171"/>
        <v xml:space="preserve">101348      </v>
      </c>
      <c r="E12109" t="s">
        <v>511</v>
      </c>
      <c r="F12109" t="s">
        <v>512</v>
      </c>
      <c r="G12109">
        <v>35.25</v>
      </c>
      <c r="H12109">
        <v>250331</v>
      </c>
      <c r="I12109">
        <v>4367</v>
      </c>
      <c r="J12109" t="s">
        <v>159</v>
      </c>
      <c r="K12109">
        <v>402.42</v>
      </c>
      <c r="L12109">
        <v>7.16</v>
      </c>
      <c r="M12109">
        <v>11301</v>
      </c>
      <c r="N12109" t="s">
        <v>92</v>
      </c>
      <c r="O12109">
        <v>250411</v>
      </c>
      <c r="P12109">
        <v>28.09</v>
      </c>
    </row>
    <row r="12110" spans="1:16" x14ac:dyDescent="0.25">
      <c r="A12110" t="s">
        <v>3296</v>
      </c>
      <c r="B12110" t="s">
        <v>2931</v>
      </c>
      <c r="C12110">
        <v>4474</v>
      </c>
      <c r="D12110" t="str">
        <f t="shared" si="171"/>
        <v xml:space="preserve">101348      </v>
      </c>
      <c r="E12110" t="s">
        <v>511</v>
      </c>
      <c r="F12110" t="s">
        <v>512</v>
      </c>
      <c r="G12110">
        <v>14.12</v>
      </c>
      <c r="H12110">
        <v>250331</v>
      </c>
      <c r="I12110">
        <v>4367</v>
      </c>
      <c r="J12110" t="s">
        <v>159</v>
      </c>
      <c r="K12110">
        <v>402.42</v>
      </c>
      <c r="L12110">
        <v>2.87</v>
      </c>
      <c r="M12110">
        <v>11401</v>
      </c>
      <c r="N12110" t="s">
        <v>91</v>
      </c>
      <c r="O12110">
        <v>250411</v>
      </c>
      <c r="P12110">
        <v>11.25</v>
      </c>
    </row>
    <row r="12111" spans="1:16" x14ac:dyDescent="0.25">
      <c r="A12111" t="s">
        <v>3296</v>
      </c>
      <c r="B12111" t="s">
        <v>2931</v>
      </c>
      <c r="C12111">
        <v>4474</v>
      </c>
      <c r="D12111" t="str">
        <f t="shared" si="171"/>
        <v xml:space="preserve">101348      </v>
      </c>
      <c r="E12111" t="s">
        <v>511</v>
      </c>
      <c r="F12111" t="s">
        <v>512</v>
      </c>
      <c r="G12111">
        <v>21.23</v>
      </c>
      <c r="H12111">
        <v>250331</v>
      </c>
      <c r="I12111">
        <v>4367</v>
      </c>
      <c r="J12111" t="s">
        <v>159</v>
      </c>
      <c r="K12111">
        <v>402.42</v>
      </c>
      <c r="L12111">
        <v>4.3099999999999996</v>
      </c>
      <c r="M12111">
        <v>11501</v>
      </c>
      <c r="N12111" t="s">
        <v>13</v>
      </c>
      <c r="O12111">
        <v>250411</v>
      </c>
      <c r="P12111">
        <v>16.920000000000002</v>
      </c>
    </row>
    <row r="12112" spans="1:16" x14ac:dyDescent="0.25">
      <c r="A12112" t="s">
        <v>3296</v>
      </c>
      <c r="B12112" t="s">
        <v>2931</v>
      </c>
      <c r="C12112">
        <v>4474</v>
      </c>
      <c r="D12112" t="str">
        <f t="shared" si="171"/>
        <v xml:space="preserve">101348      </v>
      </c>
      <c r="E12112" t="s">
        <v>511</v>
      </c>
      <c r="F12112" t="s">
        <v>512</v>
      </c>
      <c r="G12112">
        <v>35.29</v>
      </c>
      <c r="H12112">
        <v>250331</v>
      </c>
      <c r="I12112">
        <v>4367</v>
      </c>
      <c r="J12112" t="s">
        <v>159</v>
      </c>
      <c r="K12112">
        <v>402.42</v>
      </c>
      <c r="L12112">
        <v>7.17</v>
      </c>
      <c r="M12112">
        <v>11601</v>
      </c>
      <c r="N12112" t="s">
        <v>12</v>
      </c>
      <c r="O12112">
        <v>250411</v>
      </c>
      <c r="P12112">
        <v>28.12</v>
      </c>
    </row>
    <row r="12113" spans="1:16" x14ac:dyDescent="0.25">
      <c r="A12113" t="s">
        <v>3296</v>
      </c>
      <c r="B12113" t="s">
        <v>2931</v>
      </c>
      <c r="C12113">
        <v>4474</v>
      </c>
      <c r="D12113" t="str">
        <f t="shared" si="171"/>
        <v xml:space="preserve">101348      </v>
      </c>
      <c r="E12113" t="s">
        <v>511</v>
      </c>
      <c r="F12113" t="s">
        <v>512</v>
      </c>
      <c r="G12113">
        <v>21.17</v>
      </c>
      <c r="H12113">
        <v>250331</v>
      </c>
      <c r="I12113">
        <v>4367</v>
      </c>
      <c r="J12113" t="s">
        <v>159</v>
      </c>
      <c r="K12113">
        <v>402.42</v>
      </c>
      <c r="L12113">
        <v>4.3</v>
      </c>
      <c r="M12113">
        <v>11701</v>
      </c>
      <c r="N12113" t="s">
        <v>973</v>
      </c>
      <c r="O12113">
        <v>250411</v>
      </c>
      <c r="P12113">
        <v>16.87</v>
      </c>
    </row>
    <row r="12114" spans="1:16" x14ac:dyDescent="0.25">
      <c r="A12114" t="s">
        <v>3296</v>
      </c>
      <c r="B12114" t="s">
        <v>2931</v>
      </c>
      <c r="C12114">
        <v>4474</v>
      </c>
      <c r="D12114" t="str">
        <f t="shared" si="171"/>
        <v xml:space="preserve">101348      </v>
      </c>
      <c r="E12114" t="s">
        <v>511</v>
      </c>
      <c r="F12114" t="s">
        <v>512</v>
      </c>
      <c r="G12114">
        <v>98.83</v>
      </c>
      <c r="H12114">
        <v>250331</v>
      </c>
      <c r="I12114">
        <v>4367</v>
      </c>
      <c r="J12114" t="s">
        <v>159</v>
      </c>
      <c r="K12114">
        <v>402.42</v>
      </c>
      <c r="L12114">
        <v>20.079999999999998</v>
      </c>
      <c r="M12114">
        <v>11801</v>
      </c>
      <c r="N12114" t="s">
        <v>40</v>
      </c>
      <c r="O12114">
        <v>250411</v>
      </c>
      <c r="P12114">
        <v>78.75</v>
      </c>
    </row>
    <row r="12115" spans="1:16" x14ac:dyDescent="0.25">
      <c r="A12115" t="s">
        <v>3296</v>
      </c>
      <c r="B12115" t="s">
        <v>2931</v>
      </c>
      <c r="C12115">
        <v>4474</v>
      </c>
      <c r="D12115" t="str">
        <f t="shared" si="171"/>
        <v xml:space="preserve">101348      </v>
      </c>
      <c r="E12115" t="s">
        <v>511</v>
      </c>
      <c r="F12115" t="s">
        <v>512</v>
      </c>
      <c r="G12115">
        <v>127.12</v>
      </c>
      <c r="H12115">
        <v>250331</v>
      </c>
      <c r="I12115">
        <v>4367</v>
      </c>
      <c r="J12115" t="s">
        <v>159</v>
      </c>
      <c r="K12115">
        <v>402.42</v>
      </c>
      <c r="L12115">
        <v>25.83</v>
      </c>
      <c r="M12115">
        <v>11901</v>
      </c>
      <c r="N12115" t="s">
        <v>31</v>
      </c>
      <c r="O12115">
        <v>250411</v>
      </c>
      <c r="P12115">
        <v>101.29</v>
      </c>
    </row>
    <row r="12116" spans="1:16" x14ac:dyDescent="0.25">
      <c r="A12116" t="s">
        <v>3296</v>
      </c>
      <c r="B12116" t="s">
        <v>2931</v>
      </c>
      <c r="C12116">
        <v>5944</v>
      </c>
      <c r="D12116" t="str">
        <f>"102167      "</f>
        <v xml:space="preserve">102167      </v>
      </c>
      <c r="E12116" t="s">
        <v>511</v>
      </c>
      <c r="F12116" t="s">
        <v>512</v>
      </c>
      <c r="G12116">
        <v>189.25</v>
      </c>
      <c r="H12116">
        <v>250430</v>
      </c>
      <c r="I12116">
        <v>4367</v>
      </c>
      <c r="J12116" t="s">
        <v>159</v>
      </c>
      <c r="K12116">
        <v>189.25</v>
      </c>
      <c r="L12116">
        <v>38.450000000000003</v>
      </c>
      <c r="M12116">
        <v>49701</v>
      </c>
      <c r="N12116" t="s">
        <v>111</v>
      </c>
      <c r="O12116">
        <v>250507</v>
      </c>
      <c r="P12116">
        <v>150.80000000000001</v>
      </c>
    </row>
    <row r="12117" spans="1:16" x14ac:dyDescent="0.25">
      <c r="A12117" t="s">
        <v>3296</v>
      </c>
      <c r="B12117" t="s">
        <v>2931</v>
      </c>
      <c r="C12117">
        <v>6073</v>
      </c>
      <c r="D12117" t="str">
        <f t="shared" ref="D12117:D12125" si="172">"102168      "</f>
        <v xml:space="preserve">102168      </v>
      </c>
      <c r="E12117" t="s">
        <v>511</v>
      </c>
      <c r="F12117" t="s">
        <v>512</v>
      </c>
      <c r="G12117">
        <v>34.65</v>
      </c>
      <c r="H12117">
        <v>250430</v>
      </c>
      <c r="I12117">
        <v>4367</v>
      </c>
      <c r="J12117" t="s">
        <v>159</v>
      </c>
      <c r="K12117">
        <v>395.1</v>
      </c>
      <c r="L12117">
        <v>7.04</v>
      </c>
      <c r="M12117">
        <v>11101</v>
      </c>
      <c r="N12117" t="s">
        <v>67</v>
      </c>
      <c r="O12117">
        <v>250508</v>
      </c>
      <c r="P12117">
        <v>27.61</v>
      </c>
    </row>
    <row r="12118" spans="1:16" x14ac:dyDescent="0.25">
      <c r="A12118" t="s">
        <v>3296</v>
      </c>
      <c r="B12118" t="s">
        <v>2931</v>
      </c>
      <c r="C12118">
        <v>6073</v>
      </c>
      <c r="D12118" t="str">
        <f t="shared" si="172"/>
        <v xml:space="preserve">102168      </v>
      </c>
      <c r="E12118" t="s">
        <v>511</v>
      </c>
      <c r="F12118" t="s">
        <v>512</v>
      </c>
      <c r="G12118">
        <v>13.87</v>
      </c>
      <c r="H12118">
        <v>250430</v>
      </c>
      <c r="I12118">
        <v>4367</v>
      </c>
      <c r="J12118" t="s">
        <v>159</v>
      </c>
      <c r="K12118">
        <v>395.1</v>
      </c>
      <c r="L12118">
        <v>2.82</v>
      </c>
      <c r="M12118">
        <v>11201</v>
      </c>
      <c r="N12118" t="s">
        <v>35</v>
      </c>
      <c r="O12118">
        <v>250508</v>
      </c>
      <c r="P12118">
        <v>11.05</v>
      </c>
    </row>
    <row r="12119" spans="1:16" x14ac:dyDescent="0.25">
      <c r="A12119" t="s">
        <v>3296</v>
      </c>
      <c r="B12119" t="s">
        <v>2931</v>
      </c>
      <c r="C12119">
        <v>6073</v>
      </c>
      <c r="D12119" t="str">
        <f t="shared" si="172"/>
        <v xml:space="preserve">102168      </v>
      </c>
      <c r="E12119" t="s">
        <v>511</v>
      </c>
      <c r="F12119" t="s">
        <v>512</v>
      </c>
      <c r="G12119">
        <v>34.61</v>
      </c>
      <c r="H12119">
        <v>250430</v>
      </c>
      <c r="I12119">
        <v>4367</v>
      </c>
      <c r="J12119" t="s">
        <v>159</v>
      </c>
      <c r="K12119">
        <v>395.1</v>
      </c>
      <c r="L12119">
        <v>7.03</v>
      </c>
      <c r="M12119">
        <v>11301</v>
      </c>
      <c r="N12119" t="s">
        <v>92</v>
      </c>
      <c r="O12119">
        <v>250508</v>
      </c>
      <c r="P12119">
        <v>27.58</v>
      </c>
    </row>
    <row r="12120" spans="1:16" x14ac:dyDescent="0.25">
      <c r="A12120" t="s">
        <v>3296</v>
      </c>
      <c r="B12120" t="s">
        <v>2931</v>
      </c>
      <c r="C12120">
        <v>6073</v>
      </c>
      <c r="D12120" t="str">
        <f t="shared" si="172"/>
        <v xml:space="preserve">102168      </v>
      </c>
      <c r="E12120" t="s">
        <v>511</v>
      </c>
      <c r="F12120" t="s">
        <v>512</v>
      </c>
      <c r="G12120">
        <v>13.87</v>
      </c>
      <c r="H12120">
        <v>250430</v>
      </c>
      <c r="I12120">
        <v>4367</v>
      </c>
      <c r="J12120" t="s">
        <v>159</v>
      </c>
      <c r="K12120">
        <v>395.1</v>
      </c>
      <c r="L12120">
        <v>2.82</v>
      </c>
      <c r="M12120">
        <v>11401</v>
      </c>
      <c r="N12120" t="s">
        <v>91</v>
      </c>
      <c r="O12120">
        <v>250508</v>
      </c>
      <c r="P12120">
        <v>11.05</v>
      </c>
    </row>
    <row r="12121" spans="1:16" x14ac:dyDescent="0.25">
      <c r="A12121" t="s">
        <v>3296</v>
      </c>
      <c r="B12121" t="s">
        <v>2931</v>
      </c>
      <c r="C12121">
        <v>6073</v>
      </c>
      <c r="D12121" t="str">
        <f t="shared" si="172"/>
        <v xml:space="preserve">102168      </v>
      </c>
      <c r="E12121" t="s">
        <v>511</v>
      </c>
      <c r="F12121" t="s">
        <v>512</v>
      </c>
      <c r="G12121">
        <v>20.82</v>
      </c>
      <c r="H12121">
        <v>250430</v>
      </c>
      <c r="I12121">
        <v>4367</v>
      </c>
      <c r="J12121" t="s">
        <v>159</v>
      </c>
      <c r="K12121">
        <v>395.1</v>
      </c>
      <c r="L12121">
        <v>4.2300000000000004</v>
      </c>
      <c r="M12121">
        <v>11501</v>
      </c>
      <c r="N12121" t="s">
        <v>13</v>
      </c>
      <c r="O12121">
        <v>250508</v>
      </c>
      <c r="P12121">
        <v>16.59</v>
      </c>
    </row>
    <row r="12122" spans="1:16" x14ac:dyDescent="0.25">
      <c r="A12122" t="s">
        <v>3296</v>
      </c>
      <c r="B12122" t="s">
        <v>2931</v>
      </c>
      <c r="C12122">
        <v>6073</v>
      </c>
      <c r="D12122" t="str">
        <f t="shared" si="172"/>
        <v xml:space="preserve">102168      </v>
      </c>
      <c r="E12122" t="s">
        <v>511</v>
      </c>
      <c r="F12122" t="s">
        <v>512</v>
      </c>
      <c r="G12122">
        <v>34.65</v>
      </c>
      <c r="H12122">
        <v>250430</v>
      </c>
      <c r="I12122">
        <v>4367</v>
      </c>
      <c r="J12122" t="s">
        <v>159</v>
      </c>
      <c r="K12122">
        <v>395.1</v>
      </c>
      <c r="L12122">
        <v>7.04</v>
      </c>
      <c r="M12122">
        <v>11601</v>
      </c>
      <c r="N12122" t="s">
        <v>12</v>
      </c>
      <c r="O12122">
        <v>250508</v>
      </c>
      <c r="P12122">
        <v>27.61</v>
      </c>
    </row>
    <row r="12123" spans="1:16" x14ac:dyDescent="0.25">
      <c r="A12123" t="s">
        <v>3296</v>
      </c>
      <c r="B12123" t="s">
        <v>2931</v>
      </c>
      <c r="C12123">
        <v>6073</v>
      </c>
      <c r="D12123" t="str">
        <f t="shared" si="172"/>
        <v xml:space="preserve">102168      </v>
      </c>
      <c r="E12123" t="s">
        <v>511</v>
      </c>
      <c r="F12123" t="s">
        <v>512</v>
      </c>
      <c r="G12123">
        <v>20.78</v>
      </c>
      <c r="H12123">
        <v>250430</v>
      </c>
      <c r="I12123">
        <v>4367</v>
      </c>
      <c r="J12123" t="s">
        <v>159</v>
      </c>
      <c r="K12123">
        <v>395.1</v>
      </c>
      <c r="L12123">
        <v>4.22</v>
      </c>
      <c r="M12123">
        <v>11701</v>
      </c>
      <c r="N12123" t="s">
        <v>973</v>
      </c>
      <c r="O12123">
        <v>250508</v>
      </c>
      <c r="P12123">
        <v>16.559999999999999</v>
      </c>
    </row>
    <row r="12124" spans="1:16" x14ac:dyDescent="0.25">
      <c r="A12124" t="s">
        <v>3296</v>
      </c>
      <c r="B12124" t="s">
        <v>2931</v>
      </c>
      <c r="C12124">
        <v>6073</v>
      </c>
      <c r="D12124" t="str">
        <f t="shared" si="172"/>
        <v xml:space="preserve">102168      </v>
      </c>
      <c r="E12124" t="s">
        <v>511</v>
      </c>
      <c r="F12124" t="s">
        <v>512</v>
      </c>
      <c r="G12124">
        <v>97.04</v>
      </c>
      <c r="H12124">
        <v>250430</v>
      </c>
      <c r="I12124">
        <v>4367</v>
      </c>
      <c r="J12124" t="s">
        <v>159</v>
      </c>
      <c r="K12124">
        <v>395.1</v>
      </c>
      <c r="L12124">
        <v>19.72</v>
      </c>
      <c r="M12124">
        <v>11801</v>
      </c>
      <c r="N12124" t="s">
        <v>40</v>
      </c>
      <c r="O12124">
        <v>250508</v>
      </c>
      <c r="P12124">
        <v>77.319999999999993</v>
      </c>
    </row>
    <row r="12125" spans="1:16" x14ac:dyDescent="0.25">
      <c r="A12125" t="s">
        <v>3296</v>
      </c>
      <c r="B12125" t="s">
        <v>2931</v>
      </c>
      <c r="C12125">
        <v>6073</v>
      </c>
      <c r="D12125" t="str">
        <f t="shared" si="172"/>
        <v xml:space="preserve">102168      </v>
      </c>
      <c r="E12125" t="s">
        <v>511</v>
      </c>
      <c r="F12125" t="s">
        <v>512</v>
      </c>
      <c r="G12125">
        <v>124.81</v>
      </c>
      <c r="H12125">
        <v>250430</v>
      </c>
      <c r="I12125">
        <v>4367</v>
      </c>
      <c r="J12125" t="s">
        <v>159</v>
      </c>
      <c r="K12125">
        <v>395.1</v>
      </c>
      <c r="L12125">
        <v>25.36</v>
      </c>
      <c r="M12125">
        <v>11901</v>
      </c>
      <c r="N12125" t="s">
        <v>31</v>
      </c>
      <c r="O12125">
        <v>250508</v>
      </c>
      <c r="P12125">
        <v>99.45</v>
      </c>
    </row>
    <row r="12126" spans="1:16" x14ac:dyDescent="0.25">
      <c r="A12126" t="s">
        <v>3296</v>
      </c>
      <c r="B12126" t="s">
        <v>2931</v>
      </c>
      <c r="C12126">
        <v>6102</v>
      </c>
      <c r="D12126" t="str">
        <f>"102169      "</f>
        <v xml:space="preserve">102169      </v>
      </c>
      <c r="E12126" t="s">
        <v>511</v>
      </c>
      <c r="F12126" t="s">
        <v>512</v>
      </c>
      <c r="G12126">
        <v>56.71</v>
      </c>
      <c r="H12126">
        <v>250430</v>
      </c>
      <c r="I12126">
        <v>4367</v>
      </c>
      <c r="J12126" t="s">
        <v>159</v>
      </c>
      <c r="K12126">
        <v>113.42</v>
      </c>
      <c r="L12126">
        <v>11.52</v>
      </c>
      <c r="M12126">
        <v>14971</v>
      </c>
      <c r="N12126" t="s">
        <v>81</v>
      </c>
      <c r="O12126">
        <v>250509</v>
      </c>
      <c r="P12126">
        <v>45.19</v>
      </c>
    </row>
    <row r="12127" spans="1:16" x14ac:dyDescent="0.25">
      <c r="A12127" t="s">
        <v>3296</v>
      </c>
      <c r="B12127" t="s">
        <v>2931</v>
      </c>
      <c r="C12127">
        <v>6102</v>
      </c>
      <c r="D12127" t="str">
        <f>"102169      "</f>
        <v xml:space="preserve">102169      </v>
      </c>
      <c r="E12127" t="s">
        <v>511</v>
      </c>
      <c r="F12127" t="s">
        <v>512</v>
      </c>
      <c r="G12127">
        <v>56.71</v>
      </c>
      <c r="H12127">
        <v>250430</v>
      </c>
      <c r="I12127">
        <v>4367</v>
      </c>
      <c r="J12127" t="s">
        <v>159</v>
      </c>
      <c r="K12127">
        <v>113.42</v>
      </c>
      <c r="L12127">
        <v>11.52</v>
      </c>
      <c r="M12127">
        <v>18972</v>
      </c>
      <c r="N12127" t="s">
        <v>39</v>
      </c>
      <c r="O12127">
        <v>250509</v>
      </c>
      <c r="P12127">
        <v>45.19</v>
      </c>
    </row>
    <row r="12128" spans="1:16" x14ac:dyDescent="0.25">
      <c r="A12128" t="s">
        <v>3296</v>
      </c>
      <c r="B12128" t="s">
        <v>2931</v>
      </c>
      <c r="C12128">
        <v>6369</v>
      </c>
      <c r="D12128" t="str">
        <f>"102170      "</f>
        <v xml:space="preserve">102170      </v>
      </c>
      <c r="E12128" t="s">
        <v>511</v>
      </c>
      <c r="F12128" t="s">
        <v>512</v>
      </c>
      <c r="G12128">
        <v>7.31</v>
      </c>
      <c r="H12128">
        <v>250430</v>
      </c>
      <c r="I12128">
        <v>4367</v>
      </c>
      <c r="J12128" t="s">
        <v>159</v>
      </c>
      <c r="K12128">
        <v>58.53</v>
      </c>
      <c r="L12128">
        <v>1.49</v>
      </c>
      <c r="M12128">
        <v>13561</v>
      </c>
      <c r="N12128" t="s">
        <v>241</v>
      </c>
      <c r="O12128">
        <v>250513</v>
      </c>
      <c r="P12128">
        <v>5.82</v>
      </c>
    </row>
    <row r="12129" spans="1:16" x14ac:dyDescent="0.25">
      <c r="A12129" t="s">
        <v>3296</v>
      </c>
      <c r="B12129" t="s">
        <v>2931</v>
      </c>
      <c r="C12129">
        <v>6369</v>
      </c>
      <c r="D12129" t="str">
        <f>"102170      "</f>
        <v xml:space="preserve">102170      </v>
      </c>
      <c r="E12129" t="s">
        <v>511</v>
      </c>
      <c r="F12129" t="s">
        <v>512</v>
      </c>
      <c r="G12129">
        <v>7.31</v>
      </c>
      <c r="H12129">
        <v>250430</v>
      </c>
      <c r="I12129">
        <v>4367</v>
      </c>
      <c r="J12129" t="s">
        <v>159</v>
      </c>
      <c r="K12129">
        <v>58.53</v>
      </c>
      <c r="L12129">
        <v>1.49</v>
      </c>
      <c r="M12129">
        <v>13661</v>
      </c>
      <c r="N12129" t="s">
        <v>243</v>
      </c>
      <c r="O12129">
        <v>250513</v>
      </c>
      <c r="P12129">
        <v>5.82</v>
      </c>
    </row>
    <row r="12130" spans="1:16" x14ac:dyDescent="0.25">
      <c r="A12130" t="s">
        <v>3296</v>
      </c>
      <c r="B12130" t="s">
        <v>2931</v>
      </c>
      <c r="C12130">
        <v>6369</v>
      </c>
      <c r="D12130" t="str">
        <f>"102170      "</f>
        <v xml:space="preserve">102170      </v>
      </c>
      <c r="E12130" t="s">
        <v>511</v>
      </c>
      <c r="F12130" t="s">
        <v>512</v>
      </c>
      <c r="G12130">
        <v>21.93</v>
      </c>
      <c r="H12130">
        <v>250430</v>
      </c>
      <c r="I12130">
        <v>4367</v>
      </c>
      <c r="J12130" t="s">
        <v>159</v>
      </c>
      <c r="K12130">
        <v>58.53</v>
      </c>
      <c r="L12130">
        <v>4.46</v>
      </c>
      <c r="M12130">
        <v>13861</v>
      </c>
      <c r="N12130" t="s">
        <v>604</v>
      </c>
      <c r="O12130">
        <v>250513</v>
      </c>
      <c r="P12130">
        <v>17.47</v>
      </c>
    </row>
    <row r="12131" spans="1:16" x14ac:dyDescent="0.25">
      <c r="A12131" t="s">
        <v>3296</v>
      </c>
      <c r="B12131" t="s">
        <v>2931</v>
      </c>
      <c r="C12131">
        <v>6369</v>
      </c>
      <c r="D12131" t="str">
        <f>"102170      "</f>
        <v xml:space="preserve">102170      </v>
      </c>
      <c r="E12131" t="s">
        <v>511</v>
      </c>
      <c r="F12131" t="s">
        <v>512</v>
      </c>
      <c r="G12131">
        <v>21.98</v>
      </c>
      <c r="H12131">
        <v>250430</v>
      </c>
      <c r="I12131">
        <v>4367</v>
      </c>
      <c r="J12131" t="s">
        <v>159</v>
      </c>
      <c r="K12131">
        <v>58.53</v>
      </c>
      <c r="L12131">
        <v>4.47</v>
      </c>
      <c r="M12131">
        <v>13940</v>
      </c>
      <c r="N12131" t="s">
        <v>14</v>
      </c>
      <c r="O12131">
        <v>250513</v>
      </c>
      <c r="P12131">
        <v>17.510000000000002</v>
      </c>
    </row>
    <row r="12132" spans="1:16" x14ac:dyDescent="0.25">
      <c r="A12132" t="s">
        <v>3296</v>
      </c>
      <c r="B12132" t="s">
        <v>2931</v>
      </c>
      <c r="C12132">
        <v>7956</v>
      </c>
      <c r="D12132" t="str">
        <f>"102548      "</f>
        <v xml:space="preserve">102548      </v>
      </c>
      <c r="E12132" t="s">
        <v>511</v>
      </c>
      <c r="F12132" t="s">
        <v>512</v>
      </c>
      <c r="G12132">
        <v>187.16</v>
      </c>
      <c r="H12132">
        <v>250531</v>
      </c>
      <c r="I12132">
        <v>4367</v>
      </c>
      <c r="J12132" t="s">
        <v>159</v>
      </c>
      <c r="K12132">
        <v>187.16</v>
      </c>
      <c r="L12132">
        <v>38.03</v>
      </c>
      <c r="M12132">
        <v>49701</v>
      </c>
      <c r="N12132" t="s">
        <v>111</v>
      </c>
      <c r="O12132">
        <v>250610</v>
      </c>
      <c r="P12132">
        <v>149.13</v>
      </c>
    </row>
    <row r="12133" spans="1:16" x14ac:dyDescent="0.25">
      <c r="A12133" t="s">
        <v>3296</v>
      </c>
      <c r="B12133" t="s">
        <v>2931</v>
      </c>
      <c r="C12133">
        <v>7959</v>
      </c>
      <c r="D12133" t="str">
        <f>"102551      "</f>
        <v xml:space="preserve">102551      </v>
      </c>
      <c r="E12133" t="s">
        <v>511</v>
      </c>
      <c r="F12133" t="s">
        <v>512</v>
      </c>
      <c r="G12133">
        <v>7.31</v>
      </c>
      <c r="H12133">
        <v>250531</v>
      </c>
      <c r="I12133">
        <v>4367</v>
      </c>
      <c r="J12133" t="s">
        <v>159</v>
      </c>
      <c r="K12133">
        <v>58.53</v>
      </c>
      <c r="L12133">
        <v>1.49</v>
      </c>
      <c r="M12133">
        <v>13561</v>
      </c>
      <c r="N12133" t="s">
        <v>241</v>
      </c>
      <c r="O12133">
        <v>250610</v>
      </c>
      <c r="P12133">
        <v>5.82</v>
      </c>
    </row>
    <row r="12134" spans="1:16" x14ac:dyDescent="0.25">
      <c r="A12134" t="s">
        <v>3296</v>
      </c>
      <c r="B12134" t="s">
        <v>2931</v>
      </c>
      <c r="C12134">
        <v>7959</v>
      </c>
      <c r="D12134" t="str">
        <f>"102551      "</f>
        <v xml:space="preserve">102551      </v>
      </c>
      <c r="E12134" t="s">
        <v>511</v>
      </c>
      <c r="F12134" t="s">
        <v>512</v>
      </c>
      <c r="G12134">
        <v>7.31</v>
      </c>
      <c r="H12134">
        <v>250531</v>
      </c>
      <c r="I12134">
        <v>4367</v>
      </c>
      <c r="J12134" t="s">
        <v>159</v>
      </c>
      <c r="K12134">
        <v>58.53</v>
      </c>
      <c r="L12134">
        <v>1.49</v>
      </c>
      <c r="M12134">
        <v>13661</v>
      </c>
      <c r="N12134" t="s">
        <v>243</v>
      </c>
      <c r="O12134">
        <v>250610</v>
      </c>
      <c r="P12134">
        <v>5.82</v>
      </c>
    </row>
    <row r="12135" spans="1:16" x14ac:dyDescent="0.25">
      <c r="A12135" t="s">
        <v>3296</v>
      </c>
      <c r="B12135" t="s">
        <v>2931</v>
      </c>
      <c r="C12135">
        <v>7959</v>
      </c>
      <c r="D12135" t="str">
        <f>"102551      "</f>
        <v xml:space="preserve">102551      </v>
      </c>
      <c r="E12135" t="s">
        <v>511</v>
      </c>
      <c r="F12135" t="s">
        <v>512</v>
      </c>
      <c r="G12135">
        <v>21.93</v>
      </c>
      <c r="H12135">
        <v>250531</v>
      </c>
      <c r="I12135">
        <v>4367</v>
      </c>
      <c r="J12135" t="s">
        <v>159</v>
      </c>
      <c r="K12135">
        <v>58.53</v>
      </c>
      <c r="L12135">
        <v>4.46</v>
      </c>
      <c r="M12135">
        <v>13861</v>
      </c>
      <c r="N12135" t="s">
        <v>604</v>
      </c>
      <c r="O12135">
        <v>250610</v>
      </c>
      <c r="P12135">
        <v>17.47</v>
      </c>
    </row>
    <row r="12136" spans="1:16" x14ac:dyDescent="0.25">
      <c r="A12136" t="s">
        <v>3296</v>
      </c>
      <c r="B12136" t="s">
        <v>2931</v>
      </c>
      <c r="C12136">
        <v>7959</v>
      </c>
      <c r="D12136" t="str">
        <f>"102551      "</f>
        <v xml:space="preserve">102551      </v>
      </c>
      <c r="E12136" t="s">
        <v>511</v>
      </c>
      <c r="F12136" t="s">
        <v>512</v>
      </c>
      <c r="G12136">
        <v>21.98</v>
      </c>
      <c r="H12136">
        <v>250531</v>
      </c>
      <c r="I12136">
        <v>4367</v>
      </c>
      <c r="J12136" t="s">
        <v>159</v>
      </c>
      <c r="K12136">
        <v>58.53</v>
      </c>
      <c r="L12136">
        <v>4.47</v>
      </c>
      <c r="M12136">
        <v>13940</v>
      </c>
      <c r="N12136" t="s">
        <v>14</v>
      </c>
      <c r="O12136">
        <v>250610</v>
      </c>
      <c r="P12136">
        <v>17.510000000000002</v>
      </c>
    </row>
    <row r="12137" spans="1:16" x14ac:dyDescent="0.25">
      <c r="A12137" t="s">
        <v>3296</v>
      </c>
      <c r="B12137" t="s">
        <v>2931</v>
      </c>
      <c r="C12137">
        <v>7973</v>
      </c>
      <c r="D12137" t="str">
        <f>"102550      "</f>
        <v xml:space="preserve">102550      </v>
      </c>
      <c r="E12137" t="s">
        <v>511</v>
      </c>
      <c r="F12137" t="s">
        <v>512</v>
      </c>
      <c r="G12137">
        <v>56.71</v>
      </c>
      <c r="H12137">
        <v>250531</v>
      </c>
      <c r="I12137">
        <v>4367</v>
      </c>
      <c r="J12137" t="s">
        <v>159</v>
      </c>
      <c r="K12137">
        <v>113.42</v>
      </c>
      <c r="L12137">
        <v>11.52</v>
      </c>
      <c r="M12137">
        <v>14971</v>
      </c>
      <c r="N12137" t="s">
        <v>81</v>
      </c>
      <c r="O12137">
        <v>250610</v>
      </c>
      <c r="P12137">
        <v>45.19</v>
      </c>
    </row>
    <row r="12138" spans="1:16" x14ac:dyDescent="0.25">
      <c r="A12138" t="s">
        <v>3296</v>
      </c>
      <c r="B12138" t="s">
        <v>2931</v>
      </c>
      <c r="C12138">
        <v>7973</v>
      </c>
      <c r="D12138" t="str">
        <f>"102550      "</f>
        <v xml:space="preserve">102550      </v>
      </c>
      <c r="E12138" t="s">
        <v>511</v>
      </c>
      <c r="F12138" t="s">
        <v>512</v>
      </c>
      <c r="G12138">
        <v>56.71</v>
      </c>
      <c r="H12138">
        <v>250531</v>
      </c>
      <c r="I12138">
        <v>4367</v>
      </c>
      <c r="J12138" t="s">
        <v>159</v>
      </c>
      <c r="K12138">
        <v>113.42</v>
      </c>
      <c r="L12138">
        <v>11.52</v>
      </c>
      <c r="M12138">
        <v>18972</v>
      </c>
      <c r="N12138" t="s">
        <v>39</v>
      </c>
      <c r="O12138">
        <v>250610</v>
      </c>
      <c r="P12138">
        <v>45.19</v>
      </c>
    </row>
    <row r="12139" spans="1:16" x14ac:dyDescent="0.25">
      <c r="A12139" t="s">
        <v>3296</v>
      </c>
      <c r="B12139" t="s">
        <v>2931</v>
      </c>
      <c r="C12139">
        <v>8224</v>
      </c>
      <c r="D12139" t="str">
        <f t="shared" ref="D12139:D12147" si="173">"102549      "</f>
        <v xml:space="preserve">102549      </v>
      </c>
      <c r="E12139" t="s">
        <v>511</v>
      </c>
      <c r="F12139" t="s">
        <v>512</v>
      </c>
      <c r="G12139">
        <v>34.65</v>
      </c>
      <c r="H12139">
        <v>250531</v>
      </c>
      <c r="I12139">
        <v>4367</v>
      </c>
      <c r="J12139" t="s">
        <v>159</v>
      </c>
      <c r="K12139">
        <v>395.1</v>
      </c>
      <c r="L12139">
        <v>7.04</v>
      </c>
      <c r="M12139">
        <v>11101</v>
      </c>
      <c r="N12139" t="s">
        <v>67</v>
      </c>
      <c r="O12139">
        <v>250612</v>
      </c>
      <c r="P12139">
        <v>27.61</v>
      </c>
    </row>
    <row r="12140" spans="1:16" x14ac:dyDescent="0.25">
      <c r="A12140" t="s">
        <v>3296</v>
      </c>
      <c r="B12140" t="s">
        <v>2931</v>
      </c>
      <c r="C12140">
        <v>8224</v>
      </c>
      <c r="D12140" t="str">
        <f t="shared" si="173"/>
        <v xml:space="preserve">102549      </v>
      </c>
      <c r="E12140" t="s">
        <v>511</v>
      </c>
      <c r="F12140" t="s">
        <v>512</v>
      </c>
      <c r="G12140">
        <v>13.87</v>
      </c>
      <c r="H12140">
        <v>250531</v>
      </c>
      <c r="I12140">
        <v>4367</v>
      </c>
      <c r="J12140" t="s">
        <v>159</v>
      </c>
      <c r="K12140">
        <v>395.1</v>
      </c>
      <c r="L12140">
        <v>2.82</v>
      </c>
      <c r="M12140">
        <v>11201</v>
      </c>
      <c r="N12140" t="s">
        <v>35</v>
      </c>
      <c r="O12140">
        <v>250612</v>
      </c>
      <c r="P12140">
        <v>11.05</v>
      </c>
    </row>
    <row r="12141" spans="1:16" x14ac:dyDescent="0.25">
      <c r="A12141" t="s">
        <v>3296</v>
      </c>
      <c r="B12141" t="s">
        <v>2931</v>
      </c>
      <c r="C12141">
        <v>8224</v>
      </c>
      <c r="D12141" t="str">
        <f t="shared" si="173"/>
        <v xml:space="preserve">102549      </v>
      </c>
      <c r="E12141" t="s">
        <v>511</v>
      </c>
      <c r="F12141" t="s">
        <v>512</v>
      </c>
      <c r="G12141">
        <v>34.61</v>
      </c>
      <c r="H12141">
        <v>250531</v>
      </c>
      <c r="I12141">
        <v>4367</v>
      </c>
      <c r="J12141" t="s">
        <v>159</v>
      </c>
      <c r="K12141">
        <v>395.1</v>
      </c>
      <c r="L12141">
        <v>7.03</v>
      </c>
      <c r="M12141">
        <v>11301</v>
      </c>
      <c r="N12141" t="s">
        <v>92</v>
      </c>
      <c r="O12141">
        <v>250612</v>
      </c>
      <c r="P12141">
        <v>27.58</v>
      </c>
    </row>
    <row r="12142" spans="1:16" x14ac:dyDescent="0.25">
      <c r="A12142" t="s">
        <v>3296</v>
      </c>
      <c r="B12142" t="s">
        <v>2931</v>
      </c>
      <c r="C12142">
        <v>8224</v>
      </c>
      <c r="D12142" t="str">
        <f t="shared" si="173"/>
        <v xml:space="preserve">102549      </v>
      </c>
      <c r="E12142" t="s">
        <v>511</v>
      </c>
      <c r="F12142" t="s">
        <v>512</v>
      </c>
      <c r="G12142">
        <v>13.87</v>
      </c>
      <c r="H12142">
        <v>250531</v>
      </c>
      <c r="I12142">
        <v>4367</v>
      </c>
      <c r="J12142" t="s">
        <v>159</v>
      </c>
      <c r="K12142">
        <v>395.1</v>
      </c>
      <c r="L12142">
        <v>2.82</v>
      </c>
      <c r="M12142">
        <v>11401</v>
      </c>
      <c r="N12142" t="s">
        <v>91</v>
      </c>
      <c r="O12142">
        <v>250612</v>
      </c>
      <c r="P12142">
        <v>11.05</v>
      </c>
    </row>
    <row r="12143" spans="1:16" x14ac:dyDescent="0.25">
      <c r="A12143" t="s">
        <v>3296</v>
      </c>
      <c r="B12143" t="s">
        <v>2931</v>
      </c>
      <c r="C12143">
        <v>8224</v>
      </c>
      <c r="D12143" t="str">
        <f t="shared" si="173"/>
        <v xml:space="preserve">102549      </v>
      </c>
      <c r="E12143" t="s">
        <v>511</v>
      </c>
      <c r="F12143" t="s">
        <v>512</v>
      </c>
      <c r="G12143">
        <v>20.82</v>
      </c>
      <c r="H12143">
        <v>250531</v>
      </c>
      <c r="I12143">
        <v>4367</v>
      </c>
      <c r="J12143" t="s">
        <v>159</v>
      </c>
      <c r="K12143">
        <v>395.1</v>
      </c>
      <c r="L12143">
        <v>4.2300000000000004</v>
      </c>
      <c r="M12143">
        <v>11501</v>
      </c>
      <c r="N12143" t="s">
        <v>13</v>
      </c>
      <c r="O12143">
        <v>250612</v>
      </c>
      <c r="P12143">
        <v>16.59</v>
      </c>
    </row>
    <row r="12144" spans="1:16" x14ac:dyDescent="0.25">
      <c r="A12144" t="s">
        <v>3296</v>
      </c>
      <c r="B12144" t="s">
        <v>2931</v>
      </c>
      <c r="C12144">
        <v>8224</v>
      </c>
      <c r="D12144" t="str">
        <f t="shared" si="173"/>
        <v xml:space="preserve">102549      </v>
      </c>
      <c r="E12144" t="s">
        <v>511</v>
      </c>
      <c r="F12144" t="s">
        <v>512</v>
      </c>
      <c r="G12144">
        <v>34.65</v>
      </c>
      <c r="H12144">
        <v>250531</v>
      </c>
      <c r="I12144">
        <v>4367</v>
      </c>
      <c r="J12144" t="s">
        <v>159</v>
      </c>
      <c r="K12144">
        <v>395.1</v>
      </c>
      <c r="L12144">
        <v>7.04</v>
      </c>
      <c r="M12144">
        <v>11601</v>
      </c>
      <c r="N12144" t="s">
        <v>12</v>
      </c>
      <c r="O12144">
        <v>250612</v>
      </c>
      <c r="P12144">
        <v>27.61</v>
      </c>
    </row>
    <row r="12145" spans="1:16" x14ac:dyDescent="0.25">
      <c r="A12145" t="s">
        <v>3296</v>
      </c>
      <c r="B12145" t="s">
        <v>2931</v>
      </c>
      <c r="C12145">
        <v>8224</v>
      </c>
      <c r="D12145" t="str">
        <f t="shared" si="173"/>
        <v xml:space="preserve">102549      </v>
      </c>
      <c r="E12145" t="s">
        <v>511</v>
      </c>
      <c r="F12145" t="s">
        <v>512</v>
      </c>
      <c r="G12145">
        <v>20.78</v>
      </c>
      <c r="H12145">
        <v>250531</v>
      </c>
      <c r="I12145">
        <v>4367</v>
      </c>
      <c r="J12145" t="s">
        <v>159</v>
      </c>
      <c r="K12145">
        <v>395.1</v>
      </c>
      <c r="L12145">
        <v>4.22</v>
      </c>
      <c r="M12145">
        <v>11701</v>
      </c>
      <c r="N12145" t="s">
        <v>973</v>
      </c>
      <c r="O12145">
        <v>250612</v>
      </c>
      <c r="P12145">
        <v>16.559999999999999</v>
      </c>
    </row>
    <row r="12146" spans="1:16" x14ac:dyDescent="0.25">
      <c r="A12146" t="s">
        <v>3296</v>
      </c>
      <c r="B12146" t="s">
        <v>2931</v>
      </c>
      <c r="C12146">
        <v>8224</v>
      </c>
      <c r="D12146" t="str">
        <f t="shared" si="173"/>
        <v xml:space="preserve">102549      </v>
      </c>
      <c r="E12146" t="s">
        <v>511</v>
      </c>
      <c r="F12146" t="s">
        <v>512</v>
      </c>
      <c r="G12146">
        <v>97.04</v>
      </c>
      <c r="H12146">
        <v>250531</v>
      </c>
      <c r="I12146">
        <v>4367</v>
      </c>
      <c r="J12146" t="s">
        <v>159</v>
      </c>
      <c r="K12146">
        <v>395.1</v>
      </c>
      <c r="L12146">
        <v>19.72</v>
      </c>
      <c r="M12146">
        <v>11801</v>
      </c>
      <c r="N12146" t="s">
        <v>40</v>
      </c>
      <c r="O12146">
        <v>250612</v>
      </c>
      <c r="P12146">
        <v>77.319999999999993</v>
      </c>
    </row>
    <row r="12147" spans="1:16" x14ac:dyDescent="0.25">
      <c r="A12147" t="s">
        <v>3296</v>
      </c>
      <c r="B12147" t="s">
        <v>2931</v>
      </c>
      <c r="C12147">
        <v>8224</v>
      </c>
      <c r="D12147" t="str">
        <f t="shared" si="173"/>
        <v xml:space="preserve">102549      </v>
      </c>
      <c r="E12147" t="s">
        <v>511</v>
      </c>
      <c r="F12147" t="s">
        <v>512</v>
      </c>
      <c r="G12147">
        <v>124.81</v>
      </c>
      <c r="H12147">
        <v>250531</v>
      </c>
      <c r="I12147">
        <v>4367</v>
      </c>
      <c r="J12147" t="s">
        <v>159</v>
      </c>
      <c r="K12147">
        <v>395.1</v>
      </c>
      <c r="L12147">
        <v>25.36</v>
      </c>
      <c r="M12147">
        <v>11901</v>
      </c>
      <c r="N12147" t="s">
        <v>31</v>
      </c>
      <c r="O12147">
        <v>250612</v>
      </c>
      <c r="P12147">
        <v>99.45</v>
      </c>
    </row>
    <row r="12148" spans="1:16" x14ac:dyDescent="0.25">
      <c r="A12148" t="s">
        <v>3296</v>
      </c>
      <c r="B12148" t="s">
        <v>2931</v>
      </c>
      <c r="C12148">
        <v>9459</v>
      </c>
      <c r="D12148" t="str">
        <f>"103811      "</f>
        <v xml:space="preserve">103811      </v>
      </c>
      <c r="E12148" t="s">
        <v>511</v>
      </c>
      <c r="F12148" t="s">
        <v>512</v>
      </c>
      <c r="G12148">
        <v>53.05</v>
      </c>
      <c r="H12148">
        <v>250630</v>
      </c>
      <c r="I12148">
        <v>4367</v>
      </c>
      <c r="J12148" t="s">
        <v>159</v>
      </c>
      <c r="K12148">
        <v>106.1</v>
      </c>
      <c r="L12148">
        <v>10.78</v>
      </c>
      <c r="M12148">
        <v>14971</v>
      </c>
      <c r="N12148" t="s">
        <v>81</v>
      </c>
      <c r="O12148">
        <v>250708</v>
      </c>
      <c r="P12148">
        <v>42.27</v>
      </c>
    </row>
    <row r="12149" spans="1:16" x14ac:dyDescent="0.25">
      <c r="A12149" t="s">
        <v>3296</v>
      </c>
      <c r="B12149" t="s">
        <v>2931</v>
      </c>
      <c r="C12149">
        <v>9459</v>
      </c>
      <c r="D12149" t="str">
        <f>"103811      "</f>
        <v xml:space="preserve">103811      </v>
      </c>
      <c r="E12149" t="s">
        <v>511</v>
      </c>
      <c r="F12149" t="s">
        <v>512</v>
      </c>
      <c r="G12149">
        <v>53.05</v>
      </c>
      <c r="H12149">
        <v>250630</v>
      </c>
      <c r="I12149">
        <v>4367</v>
      </c>
      <c r="J12149" t="s">
        <v>159</v>
      </c>
      <c r="K12149">
        <v>106.1</v>
      </c>
      <c r="L12149">
        <v>10.78</v>
      </c>
      <c r="M12149">
        <v>18972</v>
      </c>
      <c r="N12149" t="s">
        <v>39</v>
      </c>
      <c r="O12149">
        <v>250708</v>
      </c>
      <c r="P12149">
        <v>42.27</v>
      </c>
    </row>
    <row r="12150" spans="1:16" x14ac:dyDescent="0.25">
      <c r="A12150" t="s">
        <v>3296</v>
      </c>
      <c r="B12150" t="s">
        <v>2931</v>
      </c>
      <c r="C12150">
        <v>9490</v>
      </c>
      <c r="D12150" t="str">
        <f t="shared" ref="D12150:D12158" si="174">"103810      "</f>
        <v xml:space="preserve">103810      </v>
      </c>
      <c r="E12150" t="s">
        <v>511</v>
      </c>
      <c r="F12150" t="s">
        <v>512</v>
      </c>
      <c r="G12150">
        <v>32.729999999999997</v>
      </c>
      <c r="H12150">
        <v>250630</v>
      </c>
      <c r="I12150">
        <v>4367</v>
      </c>
      <c r="J12150" t="s">
        <v>159</v>
      </c>
      <c r="K12150">
        <v>373.15</v>
      </c>
      <c r="L12150">
        <v>6.65</v>
      </c>
      <c r="M12150">
        <v>11101</v>
      </c>
      <c r="N12150" t="s">
        <v>67</v>
      </c>
      <c r="O12150">
        <v>250709</v>
      </c>
      <c r="P12150">
        <v>26.08</v>
      </c>
    </row>
    <row r="12151" spans="1:16" x14ac:dyDescent="0.25">
      <c r="A12151" t="s">
        <v>3296</v>
      </c>
      <c r="B12151" t="s">
        <v>2931</v>
      </c>
      <c r="C12151">
        <v>9490</v>
      </c>
      <c r="D12151" t="str">
        <f t="shared" si="174"/>
        <v xml:space="preserve">103810      </v>
      </c>
      <c r="E12151" t="s">
        <v>511</v>
      </c>
      <c r="F12151" t="s">
        <v>512</v>
      </c>
      <c r="G12151">
        <v>13.1</v>
      </c>
      <c r="H12151">
        <v>250630</v>
      </c>
      <c r="I12151">
        <v>4367</v>
      </c>
      <c r="J12151" t="s">
        <v>159</v>
      </c>
      <c r="K12151">
        <v>373.15</v>
      </c>
      <c r="L12151">
        <v>2.66</v>
      </c>
      <c r="M12151">
        <v>11201</v>
      </c>
      <c r="N12151" t="s">
        <v>35</v>
      </c>
      <c r="O12151">
        <v>250709</v>
      </c>
      <c r="P12151">
        <v>10.44</v>
      </c>
    </row>
    <row r="12152" spans="1:16" x14ac:dyDescent="0.25">
      <c r="A12152" t="s">
        <v>3296</v>
      </c>
      <c r="B12152" t="s">
        <v>2931</v>
      </c>
      <c r="C12152">
        <v>9490</v>
      </c>
      <c r="D12152" t="str">
        <f t="shared" si="174"/>
        <v xml:space="preserve">103810      </v>
      </c>
      <c r="E12152" t="s">
        <v>511</v>
      </c>
      <c r="F12152" t="s">
        <v>512</v>
      </c>
      <c r="G12152">
        <v>32.69</v>
      </c>
      <c r="H12152">
        <v>250630</v>
      </c>
      <c r="I12152">
        <v>4367</v>
      </c>
      <c r="J12152" t="s">
        <v>159</v>
      </c>
      <c r="K12152">
        <v>373.15</v>
      </c>
      <c r="L12152">
        <v>6.64</v>
      </c>
      <c r="M12152">
        <v>11301</v>
      </c>
      <c r="N12152" t="s">
        <v>92</v>
      </c>
      <c r="O12152">
        <v>250709</v>
      </c>
      <c r="P12152">
        <v>26.05</v>
      </c>
    </row>
    <row r="12153" spans="1:16" x14ac:dyDescent="0.25">
      <c r="A12153" t="s">
        <v>3296</v>
      </c>
      <c r="B12153" t="s">
        <v>2931</v>
      </c>
      <c r="C12153">
        <v>9490</v>
      </c>
      <c r="D12153" t="str">
        <f t="shared" si="174"/>
        <v xml:space="preserve">103810      </v>
      </c>
      <c r="E12153" t="s">
        <v>511</v>
      </c>
      <c r="F12153" t="s">
        <v>512</v>
      </c>
      <c r="G12153">
        <v>13.1</v>
      </c>
      <c r="H12153">
        <v>250630</v>
      </c>
      <c r="I12153">
        <v>4367</v>
      </c>
      <c r="J12153" t="s">
        <v>159</v>
      </c>
      <c r="K12153">
        <v>373.15</v>
      </c>
      <c r="L12153">
        <v>2.66</v>
      </c>
      <c r="M12153">
        <v>11401</v>
      </c>
      <c r="N12153" t="s">
        <v>91</v>
      </c>
      <c r="O12153">
        <v>250709</v>
      </c>
      <c r="P12153">
        <v>10.44</v>
      </c>
    </row>
    <row r="12154" spans="1:16" x14ac:dyDescent="0.25">
      <c r="A12154" t="s">
        <v>3296</v>
      </c>
      <c r="B12154" t="s">
        <v>2931</v>
      </c>
      <c r="C12154">
        <v>9490</v>
      </c>
      <c r="D12154" t="str">
        <f t="shared" si="174"/>
        <v xml:space="preserve">103810      </v>
      </c>
      <c r="E12154" t="s">
        <v>511</v>
      </c>
      <c r="F12154" t="s">
        <v>512</v>
      </c>
      <c r="G12154">
        <v>19.64</v>
      </c>
      <c r="H12154">
        <v>250630</v>
      </c>
      <c r="I12154">
        <v>4367</v>
      </c>
      <c r="J12154" t="s">
        <v>159</v>
      </c>
      <c r="K12154">
        <v>373.15</v>
      </c>
      <c r="L12154">
        <v>3.99</v>
      </c>
      <c r="M12154">
        <v>11501</v>
      </c>
      <c r="N12154" t="s">
        <v>13</v>
      </c>
      <c r="O12154">
        <v>250709</v>
      </c>
      <c r="P12154">
        <v>15.65</v>
      </c>
    </row>
    <row r="12155" spans="1:16" x14ac:dyDescent="0.25">
      <c r="A12155" t="s">
        <v>3296</v>
      </c>
      <c r="B12155" t="s">
        <v>2931</v>
      </c>
      <c r="C12155">
        <v>9490</v>
      </c>
      <c r="D12155" t="str">
        <f t="shared" si="174"/>
        <v xml:space="preserve">103810      </v>
      </c>
      <c r="E12155" t="s">
        <v>511</v>
      </c>
      <c r="F12155" t="s">
        <v>512</v>
      </c>
      <c r="G12155">
        <v>32.729999999999997</v>
      </c>
      <c r="H12155">
        <v>250630</v>
      </c>
      <c r="I12155">
        <v>4367</v>
      </c>
      <c r="J12155" t="s">
        <v>159</v>
      </c>
      <c r="K12155">
        <v>373.15</v>
      </c>
      <c r="L12155">
        <v>6.65</v>
      </c>
      <c r="M12155">
        <v>11601</v>
      </c>
      <c r="N12155" t="s">
        <v>12</v>
      </c>
      <c r="O12155">
        <v>250709</v>
      </c>
      <c r="P12155">
        <v>26.08</v>
      </c>
    </row>
    <row r="12156" spans="1:16" x14ac:dyDescent="0.25">
      <c r="A12156" t="s">
        <v>3296</v>
      </c>
      <c r="B12156" t="s">
        <v>2931</v>
      </c>
      <c r="C12156">
        <v>9490</v>
      </c>
      <c r="D12156" t="str">
        <f t="shared" si="174"/>
        <v xml:space="preserve">103810      </v>
      </c>
      <c r="E12156" t="s">
        <v>511</v>
      </c>
      <c r="F12156" t="s">
        <v>512</v>
      </c>
      <c r="G12156">
        <v>19.63</v>
      </c>
      <c r="H12156">
        <v>250630</v>
      </c>
      <c r="I12156">
        <v>4367</v>
      </c>
      <c r="J12156" t="s">
        <v>159</v>
      </c>
      <c r="K12156">
        <v>373.15</v>
      </c>
      <c r="L12156">
        <v>3.99</v>
      </c>
      <c r="M12156">
        <v>11701</v>
      </c>
      <c r="N12156" t="s">
        <v>973</v>
      </c>
      <c r="O12156">
        <v>250709</v>
      </c>
      <c r="P12156">
        <v>15.64</v>
      </c>
    </row>
    <row r="12157" spans="1:16" x14ac:dyDescent="0.25">
      <c r="A12157" t="s">
        <v>3296</v>
      </c>
      <c r="B12157" t="s">
        <v>2931</v>
      </c>
      <c r="C12157">
        <v>9490</v>
      </c>
      <c r="D12157" t="str">
        <f t="shared" si="174"/>
        <v xml:space="preserve">103810      </v>
      </c>
      <c r="E12157" t="s">
        <v>511</v>
      </c>
      <c r="F12157" t="s">
        <v>512</v>
      </c>
      <c r="G12157">
        <v>91.65</v>
      </c>
      <c r="H12157">
        <v>250630</v>
      </c>
      <c r="I12157">
        <v>4367</v>
      </c>
      <c r="J12157" t="s">
        <v>159</v>
      </c>
      <c r="K12157">
        <v>373.15</v>
      </c>
      <c r="L12157">
        <v>18.62</v>
      </c>
      <c r="M12157">
        <v>11801</v>
      </c>
      <c r="N12157" t="s">
        <v>40</v>
      </c>
      <c r="O12157">
        <v>250709</v>
      </c>
      <c r="P12157">
        <v>73.03</v>
      </c>
    </row>
    <row r="12158" spans="1:16" x14ac:dyDescent="0.25">
      <c r="A12158" t="s">
        <v>3296</v>
      </c>
      <c r="B12158" t="s">
        <v>2931</v>
      </c>
      <c r="C12158">
        <v>9490</v>
      </c>
      <c r="D12158" t="str">
        <f t="shared" si="174"/>
        <v xml:space="preserve">103810      </v>
      </c>
      <c r="E12158" t="s">
        <v>511</v>
      </c>
      <c r="F12158" t="s">
        <v>512</v>
      </c>
      <c r="G12158">
        <v>117.88</v>
      </c>
      <c r="H12158">
        <v>250630</v>
      </c>
      <c r="I12158">
        <v>4367</v>
      </c>
      <c r="J12158" t="s">
        <v>159</v>
      </c>
      <c r="K12158">
        <v>373.15</v>
      </c>
      <c r="L12158">
        <v>23.95</v>
      </c>
      <c r="M12158">
        <v>11901</v>
      </c>
      <c r="N12158" t="s">
        <v>31</v>
      </c>
      <c r="O12158">
        <v>250709</v>
      </c>
      <c r="P12158">
        <v>93.93</v>
      </c>
    </row>
    <row r="12159" spans="1:16" x14ac:dyDescent="0.25">
      <c r="A12159" t="s">
        <v>3296</v>
      </c>
      <c r="B12159" t="s">
        <v>2931</v>
      </c>
      <c r="C12159">
        <v>9492</v>
      </c>
      <c r="D12159" t="str">
        <f>"103809      "</f>
        <v xml:space="preserve">103809      </v>
      </c>
      <c r="E12159" t="s">
        <v>511</v>
      </c>
      <c r="F12159" t="s">
        <v>512</v>
      </c>
      <c r="G12159">
        <v>173.19</v>
      </c>
      <c r="H12159">
        <v>250630</v>
      </c>
      <c r="I12159">
        <v>4367</v>
      </c>
      <c r="J12159" t="s">
        <v>159</v>
      </c>
      <c r="K12159">
        <v>173.19</v>
      </c>
      <c r="L12159">
        <v>35.19</v>
      </c>
      <c r="M12159">
        <v>49701</v>
      </c>
      <c r="N12159" t="s">
        <v>111</v>
      </c>
      <c r="O12159">
        <v>250709</v>
      </c>
      <c r="P12159">
        <v>138</v>
      </c>
    </row>
    <row r="12160" spans="1:16" x14ac:dyDescent="0.25">
      <c r="A12160" t="s">
        <v>3296</v>
      </c>
      <c r="B12160" t="s">
        <v>2931</v>
      </c>
      <c r="C12160">
        <v>9542</v>
      </c>
      <c r="D12160" t="str">
        <f>"103812      "</f>
        <v xml:space="preserve">103812      </v>
      </c>
      <c r="E12160" t="s">
        <v>511</v>
      </c>
      <c r="F12160" t="s">
        <v>512</v>
      </c>
      <c r="G12160">
        <v>7.31</v>
      </c>
      <c r="H12160">
        <v>250630</v>
      </c>
      <c r="I12160">
        <v>4367</v>
      </c>
      <c r="J12160" t="s">
        <v>159</v>
      </c>
      <c r="K12160">
        <v>58.53</v>
      </c>
      <c r="L12160">
        <v>1.49</v>
      </c>
      <c r="M12160">
        <v>13561</v>
      </c>
      <c r="N12160" t="s">
        <v>241</v>
      </c>
      <c r="O12160">
        <v>250711</v>
      </c>
      <c r="P12160">
        <v>5.82</v>
      </c>
    </row>
    <row r="12161" spans="1:16" x14ac:dyDescent="0.25">
      <c r="A12161" t="s">
        <v>3296</v>
      </c>
      <c r="B12161" t="s">
        <v>2931</v>
      </c>
      <c r="C12161">
        <v>9542</v>
      </c>
      <c r="D12161" t="str">
        <f>"103812      "</f>
        <v xml:space="preserve">103812      </v>
      </c>
      <c r="E12161" t="s">
        <v>511</v>
      </c>
      <c r="F12161" t="s">
        <v>512</v>
      </c>
      <c r="G12161">
        <v>7.31</v>
      </c>
      <c r="H12161">
        <v>250630</v>
      </c>
      <c r="I12161">
        <v>4367</v>
      </c>
      <c r="J12161" t="s">
        <v>159</v>
      </c>
      <c r="K12161">
        <v>58.53</v>
      </c>
      <c r="L12161">
        <v>1.49</v>
      </c>
      <c r="M12161">
        <v>13661</v>
      </c>
      <c r="N12161" t="s">
        <v>243</v>
      </c>
      <c r="O12161">
        <v>250711</v>
      </c>
      <c r="P12161">
        <v>5.82</v>
      </c>
    </row>
    <row r="12162" spans="1:16" x14ac:dyDescent="0.25">
      <c r="A12162" t="s">
        <v>3296</v>
      </c>
      <c r="B12162" t="s">
        <v>2931</v>
      </c>
      <c r="C12162">
        <v>9542</v>
      </c>
      <c r="D12162" t="str">
        <f>"103812      "</f>
        <v xml:space="preserve">103812      </v>
      </c>
      <c r="E12162" t="s">
        <v>511</v>
      </c>
      <c r="F12162" t="s">
        <v>512</v>
      </c>
      <c r="G12162">
        <v>21.93</v>
      </c>
      <c r="H12162">
        <v>250630</v>
      </c>
      <c r="I12162">
        <v>4367</v>
      </c>
      <c r="J12162" t="s">
        <v>159</v>
      </c>
      <c r="K12162">
        <v>58.53</v>
      </c>
      <c r="L12162">
        <v>4.46</v>
      </c>
      <c r="M12162">
        <v>13861</v>
      </c>
      <c r="N12162" t="s">
        <v>604</v>
      </c>
      <c r="O12162">
        <v>250711</v>
      </c>
      <c r="P12162">
        <v>17.47</v>
      </c>
    </row>
    <row r="12163" spans="1:16" x14ac:dyDescent="0.25">
      <c r="A12163" t="s">
        <v>3296</v>
      </c>
      <c r="B12163" t="s">
        <v>2931</v>
      </c>
      <c r="C12163">
        <v>9542</v>
      </c>
      <c r="D12163" t="str">
        <f>"103812      "</f>
        <v xml:space="preserve">103812      </v>
      </c>
      <c r="E12163" t="s">
        <v>511</v>
      </c>
      <c r="F12163" t="s">
        <v>512</v>
      </c>
      <c r="G12163">
        <v>21.98</v>
      </c>
      <c r="H12163">
        <v>250630</v>
      </c>
      <c r="I12163">
        <v>4367</v>
      </c>
      <c r="J12163" t="s">
        <v>159</v>
      </c>
      <c r="K12163">
        <v>58.53</v>
      </c>
      <c r="L12163">
        <v>4.47</v>
      </c>
      <c r="M12163">
        <v>13940</v>
      </c>
      <c r="N12163" t="s">
        <v>14</v>
      </c>
      <c r="O12163">
        <v>250711</v>
      </c>
      <c r="P12163">
        <v>17.510000000000002</v>
      </c>
    </row>
    <row r="12164" spans="1:16" x14ac:dyDescent="0.25">
      <c r="A12164" t="s">
        <v>3296</v>
      </c>
      <c r="B12164" t="s">
        <v>2931</v>
      </c>
      <c r="C12164">
        <v>9983</v>
      </c>
      <c r="D12164" t="str">
        <f>"104358      "</f>
        <v xml:space="preserve">104358      </v>
      </c>
      <c r="E12164" t="s">
        <v>511</v>
      </c>
      <c r="F12164" t="s">
        <v>512</v>
      </c>
      <c r="G12164">
        <v>173.19</v>
      </c>
      <c r="H12164">
        <v>250731</v>
      </c>
      <c r="I12164">
        <v>4367</v>
      </c>
      <c r="J12164" t="s">
        <v>159</v>
      </c>
      <c r="K12164">
        <v>173.19</v>
      </c>
      <c r="L12164">
        <v>35.19</v>
      </c>
      <c r="M12164">
        <v>49701</v>
      </c>
      <c r="N12164" t="s">
        <v>111</v>
      </c>
      <c r="O12164">
        <v>250806</v>
      </c>
      <c r="P12164">
        <v>138</v>
      </c>
    </row>
    <row r="12165" spans="1:16" x14ac:dyDescent="0.25">
      <c r="A12165" t="s">
        <v>3296</v>
      </c>
      <c r="B12165" t="s">
        <v>2931</v>
      </c>
      <c r="C12165">
        <v>10042</v>
      </c>
      <c r="D12165" t="str">
        <f t="shared" ref="D12165:D12173" si="175">"104359      "</f>
        <v xml:space="preserve">104359      </v>
      </c>
      <c r="E12165" t="s">
        <v>511</v>
      </c>
      <c r="F12165" t="s">
        <v>512</v>
      </c>
      <c r="G12165">
        <v>32.08</v>
      </c>
      <c r="H12165">
        <v>250731</v>
      </c>
      <c r="I12165">
        <v>4367</v>
      </c>
      <c r="J12165" t="s">
        <v>159</v>
      </c>
      <c r="K12165">
        <v>365.83</v>
      </c>
      <c r="L12165">
        <v>6.52</v>
      </c>
      <c r="M12165">
        <v>11101</v>
      </c>
      <c r="N12165" t="s">
        <v>67</v>
      </c>
      <c r="O12165">
        <v>250808</v>
      </c>
      <c r="P12165">
        <v>25.56</v>
      </c>
    </row>
    <row r="12166" spans="1:16" x14ac:dyDescent="0.25">
      <c r="A12166" t="s">
        <v>3296</v>
      </c>
      <c r="B12166" t="s">
        <v>2931</v>
      </c>
      <c r="C12166">
        <v>10042</v>
      </c>
      <c r="D12166" t="str">
        <f t="shared" si="175"/>
        <v xml:space="preserve">104359      </v>
      </c>
      <c r="E12166" t="s">
        <v>511</v>
      </c>
      <c r="F12166" t="s">
        <v>512</v>
      </c>
      <c r="G12166">
        <v>12.84</v>
      </c>
      <c r="H12166">
        <v>250731</v>
      </c>
      <c r="I12166">
        <v>4367</v>
      </c>
      <c r="J12166" t="s">
        <v>159</v>
      </c>
      <c r="K12166">
        <v>365.83</v>
      </c>
      <c r="L12166">
        <v>2.61</v>
      </c>
      <c r="M12166">
        <v>11201</v>
      </c>
      <c r="N12166" t="s">
        <v>35</v>
      </c>
      <c r="O12166">
        <v>250808</v>
      </c>
      <c r="P12166">
        <v>10.23</v>
      </c>
    </row>
    <row r="12167" spans="1:16" x14ac:dyDescent="0.25">
      <c r="A12167" t="s">
        <v>3296</v>
      </c>
      <c r="B12167" t="s">
        <v>2931</v>
      </c>
      <c r="C12167">
        <v>10042</v>
      </c>
      <c r="D12167" t="str">
        <f t="shared" si="175"/>
        <v xml:space="preserve">104359      </v>
      </c>
      <c r="E12167" t="s">
        <v>511</v>
      </c>
      <c r="F12167" t="s">
        <v>512</v>
      </c>
      <c r="G12167">
        <v>32.049999999999997</v>
      </c>
      <c r="H12167">
        <v>250731</v>
      </c>
      <c r="I12167">
        <v>4367</v>
      </c>
      <c r="J12167" t="s">
        <v>159</v>
      </c>
      <c r="K12167">
        <v>365.83</v>
      </c>
      <c r="L12167">
        <v>6.51</v>
      </c>
      <c r="M12167">
        <v>11301</v>
      </c>
      <c r="N12167" t="s">
        <v>92</v>
      </c>
      <c r="O12167">
        <v>250808</v>
      </c>
      <c r="P12167">
        <v>25.54</v>
      </c>
    </row>
    <row r="12168" spans="1:16" x14ac:dyDescent="0.25">
      <c r="A12168" t="s">
        <v>3296</v>
      </c>
      <c r="B12168" t="s">
        <v>2931</v>
      </c>
      <c r="C12168">
        <v>10042</v>
      </c>
      <c r="D12168" t="str">
        <f t="shared" si="175"/>
        <v xml:space="preserve">104359      </v>
      </c>
      <c r="E12168" t="s">
        <v>511</v>
      </c>
      <c r="F12168" t="s">
        <v>512</v>
      </c>
      <c r="G12168">
        <v>12.84</v>
      </c>
      <c r="H12168">
        <v>250731</v>
      </c>
      <c r="I12168">
        <v>4367</v>
      </c>
      <c r="J12168" t="s">
        <v>159</v>
      </c>
      <c r="K12168">
        <v>365.83</v>
      </c>
      <c r="L12168">
        <v>2.61</v>
      </c>
      <c r="M12168">
        <v>11401</v>
      </c>
      <c r="N12168" t="s">
        <v>91</v>
      </c>
      <c r="O12168">
        <v>250808</v>
      </c>
      <c r="P12168">
        <v>10.23</v>
      </c>
    </row>
    <row r="12169" spans="1:16" x14ac:dyDescent="0.25">
      <c r="A12169" t="s">
        <v>3296</v>
      </c>
      <c r="B12169" t="s">
        <v>2931</v>
      </c>
      <c r="C12169">
        <v>10042</v>
      </c>
      <c r="D12169" t="str">
        <f t="shared" si="175"/>
        <v xml:space="preserve">104359      </v>
      </c>
      <c r="E12169" t="s">
        <v>511</v>
      </c>
      <c r="F12169" t="s">
        <v>512</v>
      </c>
      <c r="G12169">
        <v>19.28</v>
      </c>
      <c r="H12169">
        <v>250731</v>
      </c>
      <c r="I12169">
        <v>4367</v>
      </c>
      <c r="J12169" t="s">
        <v>159</v>
      </c>
      <c r="K12169">
        <v>365.83</v>
      </c>
      <c r="L12169">
        <v>3.92</v>
      </c>
      <c r="M12169">
        <v>11501</v>
      </c>
      <c r="N12169" t="s">
        <v>13</v>
      </c>
      <c r="O12169">
        <v>250808</v>
      </c>
      <c r="P12169">
        <v>15.36</v>
      </c>
    </row>
    <row r="12170" spans="1:16" x14ac:dyDescent="0.25">
      <c r="A12170" t="s">
        <v>3296</v>
      </c>
      <c r="B12170" t="s">
        <v>2931</v>
      </c>
      <c r="C12170">
        <v>10042</v>
      </c>
      <c r="D12170" t="str">
        <f t="shared" si="175"/>
        <v xml:space="preserve">104359      </v>
      </c>
      <c r="E12170" t="s">
        <v>511</v>
      </c>
      <c r="F12170" t="s">
        <v>512</v>
      </c>
      <c r="G12170">
        <v>32.08</v>
      </c>
      <c r="H12170">
        <v>250731</v>
      </c>
      <c r="I12170">
        <v>4367</v>
      </c>
      <c r="J12170" t="s">
        <v>159</v>
      </c>
      <c r="K12170">
        <v>365.83</v>
      </c>
      <c r="L12170">
        <v>6.52</v>
      </c>
      <c r="M12170">
        <v>11601</v>
      </c>
      <c r="N12170" t="s">
        <v>12</v>
      </c>
      <c r="O12170">
        <v>250808</v>
      </c>
      <c r="P12170">
        <v>25.56</v>
      </c>
    </row>
    <row r="12171" spans="1:16" x14ac:dyDescent="0.25">
      <c r="A12171" t="s">
        <v>3296</v>
      </c>
      <c r="B12171" t="s">
        <v>2931</v>
      </c>
      <c r="C12171">
        <v>10042</v>
      </c>
      <c r="D12171" t="str">
        <f t="shared" si="175"/>
        <v xml:space="preserve">104359      </v>
      </c>
      <c r="E12171" t="s">
        <v>511</v>
      </c>
      <c r="F12171" t="s">
        <v>512</v>
      </c>
      <c r="G12171">
        <v>19.239999999999998</v>
      </c>
      <c r="H12171">
        <v>250731</v>
      </c>
      <c r="I12171">
        <v>4367</v>
      </c>
      <c r="J12171" t="s">
        <v>159</v>
      </c>
      <c r="K12171">
        <v>365.83</v>
      </c>
      <c r="L12171">
        <v>3.91</v>
      </c>
      <c r="M12171">
        <v>11701</v>
      </c>
      <c r="N12171" t="s">
        <v>973</v>
      </c>
      <c r="O12171">
        <v>250808</v>
      </c>
      <c r="P12171">
        <v>15.33</v>
      </c>
    </row>
    <row r="12172" spans="1:16" x14ac:dyDescent="0.25">
      <c r="A12172" t="s">
        <v>3296</v>
      </c>
      <c r="B12172" t="s">
        <v>2931</v>
      </c>
      <c r="C12172">
        <v>10042</v>
      </c>
      <c r="D12172" t="str">
        <f t="shared" si="175"/>
        <v xml:space="preserve">104359      </v>
      </c>
      <c r="E12172" t="s">
        <v>511</v>
      </c>
      <c r="F12172" t="s">
        <v>512</v>
      </c>
      <c r="G12172">
        <v>89.85</v>
      </c>
      <c r="H12172">
        <v>250731</v>
      </c>
      <c r="I12172">
        <v>4367</v>
      </c>
      <c r="J12172" t="s">
        <v>159</v>
      </c>
      <c r="K12172">
        <v>365.83</v>
      </c>
      <c r="L12172">
        <v>18.260000000000002</v>
      </c>
      <c r="M12172">
        <v>11801</v>
      </c>
      <c r="N12172" t="s">
        <v>40</v>
      </c>
      <c r="O12172">
        <v>250808</v>
      </c>
      <c r="P12172">
        <v>71.59</v>
      </c>
    </row>
    <row r="12173" spans="1:16" x14ac:dyDescent="0.25">
      <c r="A12173" t="s">
        <v>3296</v>
      </c>
      <c r="B12173" t="s">
        <v>2931</v>
      </c>
      <c r="C12173">
        <v>10042</v>
      </c>
      <c r="D12173" t="str">
        <f t="shared" si="175"/>
        <v xml:space="preserve">104359      </v>
      </c>
      <c r="E12173" t="s">
        <v>511</v>
      </c>
      <c r="F12173" t="s">
        <v>512</v>
      </c>
      <c r="G12173">
        <v>115.57</v>
      </c>
      <c r="H12173">
        <v>250731</v>
      </c>
      <c r="I12173">
        <v>4367</v>
      </c>
      <c r="J12173" t="s">
        <v>159</v>
      </c>
      <c r="K12173">
        <v>365.83</v>
      </c>
      <c r="L12173">
        <v>23.48</v>
      </c>
      <c r="M12173">
        <v>11901</v>
      </c>
      <c r="N12173" t="s">
        <v>31</v>
      </c>
      <c r="O12173">
        <v>250808</v>
      </c>
      <c r="P12173">
        <v>92.09</v>
      </c>
    </row>
    <row r="12174" spans="1:16" x14ac:dyDescent="0.25">
      <c r="A12174" t="s">
        <v>3296</v>
      </c>
      <c r="B12174" t="s">
        <v>2931</v>
      </c>
      <c r="C12174">
        <v>10060</v>
      </c>
      <c r="D12174" t="str">
        <f>"104360      "</f>
        <v xml:space="preserve">104360      </v>
      </c>
      <c r="E12174" t="s">
        <v>511</v>
      </c>
      <c r="F12174" t="s">
        <v>512</v>
      </c>
      <c r="G12174">
        <v>53.05</v>
      </c>
      <c r="H12174">
        <v>250731</v>
      </c>
      <c r="I12174">
        <v>4367</v>
      </c>
      <c r="J12174" t="s">
        <v>159</v>
      </c>
      <c r="K12174">
        <v>106.1</v>
      </c>
      <c r="L12174">
        <v>10.78</v>
      </c>
      <c r="M12174">
        <v>14971</v>
      </c>
      <c r="N12174" t="s">
        <v>81</v>
      </c>
      <c r="O12174">
        <v>250811</v>
      </c>
      <c r="P12174">
        <v>42.27</v>
      </c>
    </row>
    <row r="12175" spans="1:16" x14ac:dyDescent="0.25">
      <c r="A12175" t="s">
        <v>3296</v>
      </c>
      <c r="B12175" t="s">
        <v>2931</v>
      </c>
      <c r="C12175">
        <v>10060</v>
      </c>
      <c r="D12175" t="str">
        <f>"104360      "</f>
        <v xml:space="preserve">104360      </v>
      </c>
      <c r="E12175" t="s">
        <v>511</v>
      </c>
      <c r="F12175" t="s">
        <v>512</v>
      </c>
      <c r="G12175">
        <v>53.05</v>
      </c>
      <c r="H12175">
        <v>250731</v>
      </c>
      <c r="I12175">
        <v>4367</v>
      </c>
      <c r="J12175" t="s">
        <v>159</v>
      </c>
      <c r="K12175">
        <v>106.1</v>
      </c>
      <c r="L12175">
        <v>10.78</v>
      </c>
      <c r="M12175">
        <v>18972</v>
      </c>
      <c r="N12175" t="s">
        <v>39</v>
      </c>
      <c r="O12175">
        <v>250811</v>
      </c>
      <c r="P12175">
        <v>42.27</v>
      </c>
    </row>
    <row r="12176" spans="1:16" x14ac:dyDescent="0.25">
      <c r="A12176" t="s">
        <v>3296</v>
      </c>
      <c r="B12176" t="s">
        <v>2931</v>
      </c>
      <c r="C12176">
        <v>10342</v>
      </c>
      <c r="D12176" t="str">
        <f>"104361      "</f>
        <v xml:space="preserve">104361      </v>
      </c>
      <c r="E12176" t="s">
        <v>511</v>
      </c>
      <c r="F12176" t="s">
        <v>512</v>
      </c>
      <c r="G12176">
        <v>7.31</v>
      </c>
      <c r="H12176">
        <v>250731</v>
      </c>
      <c r="I12176">
        <v>4367</v>
      </c>
      <c r="J12176" t="s">
        <v>159</v>
      </c>
      <c r="K12176">
        <v>58.53</v>
      </c>
      <c r="L12176">
        <v>1.49</v>
      </c>
      <c r="M12176">
        <v>13561</v>
      </c>
      <c r="N12176" t="s">
        <v>241</v>
      </c>
      <c r="O12176">
        <v>250818</v>
      </c>
      <c r="P12176">
        <v>5.82</v>
      </c>
    </row>
    <row r="12177" spans="1:16" x14ac:dyDescent="0.25">
      <c r="A12177" t="s">
        <v>3296</v>
      </c>
      <c r="B12177" t="s">
        <v>2931</v>
      </c>
      <c r="C12177">
        <v>10342</v>
      </c>
      <c r="D12177" t="str">
        <f>"104361      "</f>
        <v xml:space="preserve">104361      </v>
      </c>
      <c r="E12177" t="s">
        <v>511</v>
      </c>
      <c r="F12177" t="s">
        <v>512</v>
      </c>
      <c r="G12177">
        <v>7.31</v>
      </c>
      <c r="H12177">
        <v>250731</v>
      </c>
      <c r="I12177">
        <v>4367</v>
      </c>
      <c r="J12177" t="s">
        <v>159</v>
      </c>
      <c r="K12177">
        <v>58.53</v>
      </c>
      <c r="L12177">
        <v>1.49</v>
      </c>
      <c r="M12177">
        <v>13661</v>
      </c>
      <c r="N12177" t="s">
        <v>243</v>
      </c>
      <c r="O12177">
        <v>250818</v>
      </c>
      <c r="P12177">
        <v>5.82</v>
      </c>
    </row>
    <row r="12178" spans="1:16" x14ac:dyDescent="0.25">
      <c r="A12178" t="s">
        <v>3296</v>
      </c>
      <c r="B12178" t="s">
        <v>2931</v>
      </c>
      <c r="C12178">
        <v>10342</v>
      </c>
      <c r="D12178" t="str">
        <f>"104361      "</f>
        <v xml:space="preserve">104361      </v>
      </c>
      <c r="E12178" t="s">
        <v>511</v>
      </c>
      <c r="F12178" t="s">
        <v>512</v>
      </c>
      <c r="G12178">
        <v>21.93</v>
      </c>
      <c r="H12178">
        <v>250731</v>
      </c>
      <c r="I12178">
        <v>4367</v>
      </c>
      <c r="J12178" t="s">
        <v>159</v>
      </c>
      <c r="K12178">
        <v>58.53</v>
      </c>
      <c r="L12178">
        <v>4.46</v>
      </c>
      <c r="M12178">
        <v>13861</v>
      </c>
      <c r="N12178" t="s">
        <v>604</v>
      </c>
      <c r="O12178">
        <v>250818</v>
      </c>
      <c r="P12178">
        <v>17.47</v>
      </c>
    </row>
    <row r="12179" spans="1:16" x14ac:dyDescent="0.25">
      <c r="A12179" t="s">
        <v>3296</v>
      </c>
      <c r="B12179" t="s">
        <v>2931</v>
      </c>
      <c r="C12179">
        <v>10342</v>
      </c>
      <c r="D12179" t="str">
        <f>"104361      "</f>
        <v xml:space="preserve">104361      </v>
      </c>
      <c r="E12179" t="s">
        <v>511</v>
      </c>
      <c r="F12179" t="s">
        <v>512</v>
      </c>
      <c r="G12179">
        <v>21.98</v>
      </c>
      <c r="H12179">
        <v>250731</v>
      </c>
      <c r="I12179">
        <v>4367</v>
      </c>
      <c r="J12179" t="s">
        <v>159</v>
      </c>
      <c r="K12179">
        <v>58.53</v>
      </c>
      <c r="L12179">
        <v>4.47</v>
      </c>
      <c r="M12179">
        <v>13940</v>
      </c>
      <c r="N12179" t="s">
        <v>14</v>
      </c>
      <c r="O12179">
        <v>250818</v>
      </c>
      <c r="P12179">
        <v>17.510000000000002</v>
      </c>
    </row>
    <row r="12180" spans="1:16" x14ac:dyDescent="0.25">
      <c r="A12180" t="s">
        <v>3296</v>
      </c>
      <c r="B12180" t="s">
        <v>2931</v>
      </c>
      <c r="C12180">
        <v>11375</v>
      </c>
      <c r="D12180" t="str">
        <f>"104986      "</f>
        <v xml:space="preserve">104986      </v>
      </c>
      <c r="E12180" t="s">
        <v>511</v>
      </c>
      <c r="F12180" t="s">
        <v>512</v>
      </c>
      <c r="G12180">
        <v>165.51</v>
      </c>
      <c r="H12180">
        <v>250831</v>
      </c>
      <c r="I12180">
        <v>4367</v>
      </c>
      <c r="J12180" t="s">
        <v>159</v>
      </c>
      <c r="K12180">
        <v>165.51</v>
      </c>
      <c r="L12180">
        <v>33.630000000000003</v>
      </c>
      <c r="M12180">
        <v>49701</v>
      </c>
      <c r="N12180" t="s">
        <v>111</v>
      </c>
      <c r="O12180">
        <v>250904</v>
      </c>
      <c r="P12180">
        <v>131.88</v>
      </c>
    </row>
    <row r="12181" spans="1:16" x14ac:dyDescent="0.25">
      <c r="A12181" t="s">
        <v>3296</v>
      </c>
      <c r="B12181" t="s">
        <v>2931</v>
      </c>
      <c r="C12181">
        <v>11548</v>
      </c>
      <c r="D12181" t="str">
        <f>"104989      "</f>
        <v xml:space="preserve">104989      </v>
      </c>
      <c r="E12181" t="s">
        <v>511</v>
      </c>
      <c r="F12181" t="s">
        <v>512</v>
      </c>
      <c r="G12181">
        <v>7.32</v>
      </c>
      <c r="H12181">
        <v>250831</v>
      </c>
      <c r="I12181">
        <v>4367</v>
      </c>
      <c r="J12181" t="s">
        <v>159</v>
      </c>
      <c r="K12181">
        <v>43.9</v>
      </c>
      <c r="L12181">
        <v>1.49</v>
      </c>
      <c r="M12181">
        <v>13561</v>
      </c>
      <c r="N12181" t="s">
        <v>241</v>
      </c>
      <c r="O12181">
        <v>250908</v>
      </c>
      <c r="P12181">
        <v>5.83</v>
      </c>
    </row>
    <row r="12182" spans="1:16" x14ac:dyDescent="0.25">
      <c r="A12182" t="s">
        <v>3296</v>
      </c>
      <c r="B12182" t="s">
        <v>2931</v>
      </c>
      <c r="C12182">
        <v>11548</v>
      </c>
      <c r="D12182" t="str">
        <f>"104989      "</f>
        <v xml:space="preserve">104989      </v>
      </c>
      <c r="E12182" t="s">
        <v>511</v>
      </c>
      <c r="F12182" t="s">
        <v>512</v>
      </c>
      <c r="G12182">
        <v>7.32</v>
      </c>
      <c r="H12182">
        <v>250831</v>
      </c>
      <c r="I12182">
        <v>4367</v>
      </c>
      <c r="J12182" t="s">
        <v>159</v>
      </c>
      <c r="K12182">
        <v>43.9</v>
      </c>
      <c r="L12182">
        <v>1.49</v>
      </c>
      <c r="M12182">
        <v>13661</v>
      </c>
      <c r="N12182" t="s">
        <v>243</v>
      </c>
      <c r="O12182">
        <v>250908</v>
      </c>
      <c r="P12182">
        <v>5.83</v>
      </c>
    </row>
    <row r="12183" spans="1:16" x14ac:dyDescent="0.25">
      <c r="A12183" t="s">
        <v>3296</v>
      </c>
      <c r="B12183" t="s">
        <v>2931</v>
      </c>
      <c r="C12183">
        <v>11548</v>
      </c>
      <c r="D12183" t="str">
        <f>"104989      "</f>
        <v xml:space="preserve">104989      </v>
      </c>
      <c r="E12183" t="s">
        <v>511</v>
      </c>
      <c r="F12183" t="s">
        <v>512</v>
      </c>
      <c r="G12183">
        <v>21.94</v>
      </c>
      <c r="H12183">
        <v>250831</v>
      </c>
      <c r="I12183">
        <v>4367</v>
      </c>
      <c r="J12183" t="s">
        <v>159</v>
      </c>
      <c r="K12183">
        <v>43.9</v>
      </c>
      <c r="L12183">
        <v>4.46</v>
      </c>
      <c r="M12183">
        <v>13861</v>
      </c>
      <c r="N12183" t="s">
        <v>604</v>
      </c>
      <c r="O12183">
        <v>250908</v>
      </c>
      <c r="P12183">
        <v>17.48</v>
      </c>
    </row>
    <row r="12184" spans="1:16" x14ac:dyDescent="0.25">
      <c r="A12184" t="s">
        <v>3296</v>
      </c>
      <c r="B12184" t="s">
        <v>2931</v>
      </c>
      <c r="C12184">
        <v>11548</v>
      </c>
      <c r="D12184" t="str">
        <f>"104989      "</f>
        <v xml:space="preserve">104989      </v>
      </c>
      <c r="E12184" t="s">
        <v>511</v>
      </c>
      <c r="F12184" t="s">
        <v>512</v>
      </c>
      <c r="G12184">
        <v>7.32</v>
      </c>
      <c r="H12184">
        <v>250831</v>
      </c>
      <c r="I12184">
        <v>4367</v>
      </c>
      <c r="J12184" t="s">
        <v>159</v>
      </c>
      <c r="K12184">
        <v>43.9</v>
      </c>
      <c r="L12184">
        <v>1.49</v>
      </c>
      <c r="M12184">
        <v>13940</v>
      </c>
      <c r="N12184" t="s">
        <v>14</v>
      </c>
      <c r="O12184">
        <v>250908</v>
      </c>
      <c r="P12184">
        <v>5.83</v>
      </c>
    </row>
    <row r="12185" spans="1:16" x14ac:dyDescent="0.25">
      <c r="A12185" t="s">
        <v>3296</v>
      </c>
      <c r="B12185" t="s">
        <v>2931</v>
      </c>
      <c r="C12185">
        <v>11549</v>
      </c>
      <c r="D12185" t="str">
        <f t="shared" ref="D12185:D12193" si="176">"104987      "</f>
        <v xml:space="preserve">104987      </v>
      </c>
      <c r="E12185" t="s">
        <v>511</v>
      </c>
      <c r="F12185" t="s">
        <v>512</v>
      </c>
      <c r="G12185">
        <v>30.8</v>
      </c>
      <c r="H12185">
        <v>250831</v>
      </c>
      <c r="I12185">
        <v>4367</v>
      </c>
      <c r="J12185" t="s">
        <v>159</v>
      </c>
      <c r="K12185">
        <v>351.2</v>
      </c>
      <c r="L12185">
        <v>6.26</v>
      </c>
      <c r="M12185">
        <v>11101</v>
      </c>
      <c r="N12185" t="s">
        <v>67</v>
      </c>
      <c r="O12185">
        <v>250908</v>
      </c>
      <c r="P12185">
        <v>24.54</v>
      </c>
    </row>
    <row r="12186" spans="1:16" x14ac:dyDescent="0.25">
      <c r="A12186" t="s">
        <v>3296</v>
      </c>
      <c r="B12186" t="s">
        <v>2931</v>
      </c>
      <c r="C12186">
        <v>11549</v>
      </c>
      <c r="D12186" t="str">
        <f t="shared" si="176"/>
        <v xml:space="preserve">104987      </v>
      </c>
      <c r="E12186" t="s">
        <v>511</v>
      </c>
      <c r="F12186" t="s">
        <v>512</v>
      </c>
      <c r="G12186">
        <v>12.33</v>
      </c>
      <c r="H12186">
        <v>250831</v>
      </c>
      <c r="I12186">
        <v>4367</v>
      </c>
      <c r="J12186" t="s">
        <v>159</v>
      </c>
      <c r="K12186">
        <v>351.2</v>
      </c>
      <c r="L12186">
        <v>2.5099999999999998</v>
      </c>
      <c r="M12186">
        <v>11201</v>
      </c>
      <c r="N12186" t="s">
        <v>35</v>
      </c>
      <c r="O12186">
        <v>250908</v>
      </c>
      <c r="P12186">
        <v>9.82</v>
      </c>
    </row>
    <row r="12187" spans="1:16" x14ac:dyDescent="0.25">
      <c r="A12187" t="s">
        <v>3296</v>
      </c>
      <c r="B12187" t="s">
        <v>2931</v>
      </c>
      <c r="C12187">
        <v>11549</v>
      </c>
      <c r="D12187" t="str">
        <f t="shared" si="176"/>
        <v xml:space="preserve">104987      </v>
      </c>
      <c r="E12187" t="s">
        <v>511</v>
      </c>
      <c r="F12187" t="s">
        <v>512</v>
      </c>
      <c r="G12187">
        <v>30.77</v>
      </c>
      <c r="H12187">
        <v>250831</v>
      </c>
      <c r="I12187">
        <v>4367</v>
      </c>
      <c r="J12187" t="s">
        <v>159</v>
      </c>
      <c r="K12187">
        <v>351.2</v>
      </c>
      <c r="L12187">
        <v>6.25</v>
      </c>
      <c r="M12187">
        <v>11301</v>
      </c>
      <c r="N12187" t="s">
        <v>92</v>
      </c>
      <c r="O12187">
        <v>250908</v>
      </c>
      <c r="P12187">
        <v>24.52</v>
      </c>
    </row>
    <row r="12188" spans="1:16" x14ac:dyDescent="0.25">
      <c r="A12188" t="s">
        <v>3296</v>
      </c>
      <c r="B12188" t="s">
        <v>2931</v>
      </c>
      <c r="C12188">
        <v>11549</v>
      </c>
      <c r="D12188" t="str">
        <f t="shared" si="176"/>
        <v xml:space="preserve">104987      </v>
      </c>
      <c r="E12188" t="s">
        <v>511</v>
      </c>
      <c r="F12188" t="s">
        <v>512</v>
      </c>
      <c r="G12188">
        <v>12.33</v>
      </c>
      <c r="H12188">
        <v>250831</v>
      </c>
      <c r="I12188">
        <v>4367</v>
      </c>
      <c r="J12188" t="s">
        <v>159</v>
      </c>
      <c r="K12188">
        <v>351.2</v>
      </c>
      <c r="L12188">
        <v>2.5099999999999998</v>
      </c>
      <c r="M12188">
        <v>11401</v>
      </c>
      <c r="N12188" t="s">
        <v>91</v>
      </c>
      <c r="O12188">
        <v>250908</v>
      </c>
      <c r="P12188">
        <v>9.82</v>
      </c>
    </row>
    <row r="12189" spans="1:16" x14ac:dyDescent="0.25">
      <c r="A12189" t="s">
        <v>3296</v>
      </c>
      <c r="B12189" t="s">
        <v>2931</v>
      </c>
      <c r="C12189">
        <v>11549</v>
      </c>
      <c r="D12189" t="str">
        <f t="shared" si="176"/>
        <v xml:space="preserve">104987      </v>
      </c>
      <c r="E12189" t="s">
        <v>511</v>
      </c>
      <c r="F12189" t="s">
        <v>512</v>
      </c>
      <c r="G12189">
        <v>18.510000000000002</v>
      </c>
      <c r="H12189">
        <v>250831</v>
      </c>
      <c r="I12189">
        <v>4367</v>
      </c>
      <c r="J12189" t="s">
        <v>159</v>
      </c>
      <c r="K12189">
        <v>351.2</v>
      </c>
      <c r="L12189">
        <v>3.76</v>
      </c>
      <c r="M12189">
        <v>11501</v>
      </c>
      <c r="N12189" t="s">
        <v>13</v>
      </c>
      <c r="O12189">
        <v>250908</v>
      </c>
      <c r="P12189">
        <v>14.75</v>
      </c>
    </row>
    <row r="12190" spans="1:16" x14ac:dyDescent="0.25">
      <c r="A12190" t="s">
        <v>3296</v>
      </c>
      <c r="B12190" t="s">
        <v>2931</v>
      </c>
      <c r="C12190">
        <v>11549</v>
      </c>
      <c r="D12190" t="str">
        <f t="shared" si="176"/>
        <v xml:space="preserve">104987      </v>
      </c>
      <c r="E12190" t="s">
        <v>511</v>
      </c>
      <c r="F12190" t="s">
        <v>512</v>
      </c>
      <c r="G12190">
        <v>30.8</v>
      </c>
      <c r="H12190">
        <v>250831</v>
      </c>
      <c r="I12190">
        <v>4367</v>
      </c>
      <c r="J12190" t="s">
        <v>159</v>
      </c>
      <c r="K12190">
        <v>351.2</v>
      </c>
      <c r="L12190">
        <v>6.26</v>
      </c>
      <c r="M12190">
        <v>11601</v>
      </c>
      <c r="N12190" t="s">
        <v>12</v>
      </c>
      <c r="O12190">
        <v>250908</v>
      </c>
      <c r="P12190">
        <v>24.54</v>
      </c>
    </row>
    <row r="12191" spans="1:16" x14ac:dyDescent="0.25">
      <c r="A12191" t="s">
        <v>3296</v>
      </c>
      <c r="B12191" t="s">
        <v>2931</v>
      </c>
      <c r="C12191">
        <v>11549</v>
      </c>
      <c r="D12191" t="str">
        <f t="shared" si="176"/>
        <v xml:space="preserve">104987      </v>
      </c>
      <c r="E12191" t="s">
        <v>511</v>
      </c>
      <c r="F12191" t="s">
        <v>512</v>
      </c>
      <c r="G12191">
        <v>18.47</v>
      </c>
      <c r="H12191">
        <v>250831</v>
      </c>
      <c r="I12191">
        <v>4367</v>
      </c>
      <c r="J12191" t="s">
        <v>159</v>
      </c>
      <c r="K12191">
        <v>351.2</v>
      </c>
      <c r="L12191">
        <v>3.75</v>
      </c>
      <c r="M12191">
        <v>11701</v>
      </c>
      <c r="N12191" t="s">
        <v>973</v>
      </c>
      <c r="O12191">
        <v>250908</v>
      </c>
      <c r="P12191">
        <v>14.72</v>
      </c>
    </row>
    <row r="12192" spans="1:16" x14ac:dyDescent="0.25">
      <c r="A12192" t="s">
        <v>3296</v>
      </c>
      <c r="B12192" t="s">
        <v>2931</v>
      </c>
      <c r="C12192">
        <v>11549</v>
      </c>
      <c r="D12192" t="str">
        <f t="shared" si="176"/>
        <v xml:space="preserve">104987      </v>
      </c>
      <c r="E12192" t="s">
        <v>511</v>
      </c>
      <c r="F12192" t="s">
        <v>512</v>
      </c>
      <c r="G12192">
        <v>86.25</v>
      </c>
      <c r="H12192">
        <v>250831</v>
      </c>
      <c r="I12192">
        <v>4367</v>
      </c>
      <c r="J12192" t="s">
        <v>159</v>
      </c>
      <c r="K12192">
        <v>351.2</v>
      </c>
      <c r="L12192">
        <v>17.52</v>
      </c>
      <c r="M12192">
        <v>11801</v>
      </c>
      <c r="N12192" t="s">
        <v>40</v>
      </c>
      <c r="O12192">
        <v>250908</v>
      </c>
      <c r="P12192">
        <v>68.73</v>
      </c>
    </row>
    <row r="12193" spans="1:16" x14ac:dyDescent="0.25">
      <c r="A12193" t="s">
        <v>3296</v>
      </c>
      <c r="B12193" t="s">
        <v>2931</v>
      </c>
      <c r="C12193">
        <v>11549</v>
      </c>
      <c r="D12193" t="str">
        <f t="shared" si="176"/>
        <v xml:space="preserve">104987      </v>
      </c>
      <c r="E12193" t="s">
        <v>511</v>
      </c>
      <c r="F12193" t="s">
        <v>512</v>
      </c>
      <c r="G12193">
        <v>110.94</v>
      </c>
      <c r="H12193">
        <v>250831</v>
      </c>
      <c r="I12193">
        <v>4367</v>
      </c>
      <c r="J12193" t="s">
        <v>159</v>
      </c>
      <c r="K12193">
        <v>351.2</v>
      </c>
      <c r="L12193">
        <v>22.54</v>
      </c>
      <c r="M12193">
        <v>11901</v>
      </c>
      <c r="N12193" t="s">
        <v>31</v>
      </c>
      <c r="O12193">
        <v>250908</v>
      </c>
      <c r="P12193">
        <v>88.4</v>
      </c>
    </row>
    <row r="12194" spans="1:16" x14ac:dyDescent="0.25">
      <c r="A12194" t="s">
        <v>3296</v>
      </c>
      <c r="B12194" t="s">
        <v>2931</v>
      </c>
      <c r="C12194">
        <v>11681</v>
      </c>
      <c r="D12194" t="str">
        <f>"104988      "</f>
        <v xml:space="preserve">104988      </v>
      </c>
      <c r="E12194" t="s">
        <v>511</v>
      </c>
      <c r="F12194" t="s">
        <v>512</v>
      </c>
      <c r="G12194">
        <v>53.05</v>
      </c>
      <c r="H12194">
        <v>250831</v>
      </c>
      <c r="I12194">
        <v>4367</v>
      </c>
      <c r="J12194" t="s">
        <v>159</v>
      </c>
      <c r="K12194">
        <v>106.1</v>
      </c>
      <c r="L12194">
        <v>10.78</v>
      </c>
      <c r="M12194">
        <v>14971</v>
      </c>
      <c r="N12194" t="s">
        <v>81</v>
      </c>
      <c r="O12194">
        <v>250910</v>
      </c>
      <c r="P12194">
        <v>42.27</v>
      </c>
    </row>
    <row r="12195" spans="1:16" x14ac:dyDescent="0.25">
      <c r="A12195" t="s">
        <v>3296</v>
      </c>
      <c r="B12195" t="s">
        <v>2931</v>
      </c>
      <c r="C12195">
        <v>11681</v>
      </c>
      <c r="D12195" t="str">
        <f>"104988      "</f>
        <v xml:space="preserve">104988      </v>
      </c>
      <c r="E12195" t="s">
        <v>511</v>
      </c>
      <c r="F12195" t="s">
        <v>512</v>
      </c>
      <c r="G12195">
        <v>53.05</v>
      </c>
      <c r="H12195">
        <v>250831</v>
      </c>
      <c r="I12195">
        <v>4367</v>
      </c>
      <c r="J12195" t="s">
        <v>159</v>
      </c>
      <c r="K12195">
        <v>106.1</v>
      </c>
      <c r="L12195">
        <v>10.78</v>
      </c>
      <c r="M12195">
        <v>18972</v>
      </c>
      <c r="N12195" t="s">
        <v>39</v>
      </c>
      <c r="O12195">
        <v>250910</v>
      </c>
      <c r="P12195">
        <v>42.27</v>
      </c>
    </row>
    <row r="12196" spans="1:16" x14ac:dyDescent="0.25">
      <c r="A12196" t="s">
        <v>3296</v>
      </c>
      <c r="B12196" t="s">
        <v>2931</v>
      </c>
      <c r="C12196">
        <v>13084</v>
      </c>
      <c r="D12196" t="str">
        <f t="shared" ref="D12196:D12204" si="177">"105718      "</f>
        <v xml:space="preserve">105718      </v>
      </c>
      <c r="E12196" t="s">
        <v>511</v>
      </c>
      <c r="F12196" t="s">
        <v>512</v>
      </c>
      <c r="G12196">
        <v>30.8</v>
      </c>
      <c r="H12196">
        <v>250930</v>
      </c>
      <c r="I12196">
        <v>4367</v>
      </c>
      <c r="J12196" t="s">
        <v>159</v>
      </c>
      <c r="K12196">
        <v>351.2</v>
      </c>
      <c r="L12196">
        <v>6.26</v>
      </c>
      <c r="M12196">
        <v>11101</v>
      </c>
      <c r="N12196" t="s">
        <v>67</v>
      </c>
      <c r="O12196">
        <v>251003</v>
      </c>
      <c r="P12196">
        <v>24.54</v>
      </c>
    </row>
    <row r="12197" spans="1:16" x14ac:dyDescent="0.25">
      <c r="A12197" t="s">
        <v>3296</v>
      </c>
      <c r="B12197" t="s">
        <v>2931</v>
      </c>
      <c r="C12197">
        <v>13084</v>
      </c>
      <c r="D12197" t="str">
        <f t="shared" si="177"/>
        <v xml:space="preserve">105718      </v>
      </c>
      <c r="E12197" t="s">
        <v>511</v>
      </c>
      <c r="F12197" t="s">
        <v>512</v>
      </c>
      <c r="G12197">
        <v>12.33</v>
      </c>
      <c r="H12197">
        <v>250930</v>
      </c>
      <c r="I12197">
        <v>4367</v>
      </c>
      <c r="J12197" t="s">
        <v>159</v>
      </c>
      <c r="K12197">
        <v>351.2</v>
      </c>
      <c r="L12197">
        <v>2.5099999999999998</v>
      </c>
      <c r="M12197">
        <v>11201</v>
      </c>
      <c r="N12197" t="s">
        <v>35</v>
      </c>
      <c r="O12197">
        <v>251003</v>
      </c>
      <c r="P12197">
        <v>9.82</v>
      </c>
    </row>
    <row r="12198" spans="1:16" x14ac:dyDescent="0.25">
      <c r="A12198" t="s">
        <v>3296</v>
      </c>
      <c r="B12198" t="s">
        <v>2931</v>
      </c>
      <c r="C12198">
        <v>13084</v>
      </c>
      <c r="D12198" t="str">
        <f t="shared" si="177"/>
        <v xml:space="preserve">105718      </v>
      </c>
      <c r="E12198" t="s">
        <v>511</v>
      </c>
      <c r="F12198" t="s">
        <v>512</v>
      </c>
      <c r="G12198">
        <v>30.77</v>
      </c>
      <c r="H12198">
        <v>250930</v>
      </c>
      <c r="I12198">
        <v>4367</v>
      </c>
      <c r="J12198" t="s">
        <v>159</v>
      </c>
      <c r="K12198">
        <v>351.2</v>
      </c>
      <c r="L12198">
        <v>6.25</v>
      </c>
      <c r="M12198">
        <v>11301</v>
      </c>
      <c r="N12198" t="s">
        <v>92</v>
      </c>
      <c r="O12198">
        <v>251003</v>
      </c>
      <c r="P12198">
        <v>24.52</v>
      </c>
    </row>
    <row r="12199" spans="1:16" x14ac:dyDescent="0.25">
      <c r="A12199" t="s">
        <v>3296</v>
      </c>
      <c r="B12199" t="s">
        <v>2931</v>
      </c>
      <c r="C12199">
        <v>13084</v>
      </c>
      <c r="D12199" t="str">
        <f t="shared" si="177"/>
        <v xml:space="preserve">105718      </v>
      </c>
      <c r="E12199" t="s">
        <v>511</v>
      </c>
      <c r="F12199" t="s">
        <v>512</v>
      </c>
      <c r="G12199">
        <v>12.33</v>
      </c>
      <c r="H12199">
        <v>250930</v>
      </c>
      <c r="I12199">
        <v>4367</v>
      </c>
      <c r="J12199" t="s">
        <v>159</v>
      </c>
      <c r="K12199">
        <v>351.2</v>
      </c>
      <c r="L12199">
        <v>2.5099999999999998</v>
      </c>
      <c r="M12199">
        <v>11401</v>
      </c>
      <c r="N12199" t="s">
        <v>91</v>
      </c>
      <c r="O12199">
        <v>251003</v>
      </c>
      <c r="P12199">
        <v>9.82</v>
      </c>
    </row>
    <row r="12200" spans="1:16" x14ac:dyDescent="0.25">
      <c r="A12200" t="s">
        <v>3296</v>
      </c>
      <c r="B12200" t="s">
        <v>2931</v>
      </c>
      <c r="C12200">
        <v>13084</v>
      </c>
      <c r="D12200" t="str">
        <f t="shared" si="177"/>
        <v xml:space="preserve">105718      </v>
      </c>
      <c r="E12200" t="s">
        <v>511</v>
      </c>
      <c r="F12200" t="s">
        <v>512</v>
      </c>
      <c r="G12200">
        <v>18.510000000000002</v>
      </c>
      <c r="H12200">
        <v>250930</v>
      </c>
      <c r="I12200">
        <v>4367</v>
      </c>
      <c r="J12200" t="s">
        <v>159</v>
      </c>
      <c r="K12200">
        <v>351.2</v>
      </c>
      <c r="L12200">
        <v>3.76</v>
      </c>
      <c r="M12200">
        <v>11501</v>
      </c>
      <c r="N12200" t="s">
        <v>13</v>
      </c>
      <c r="O12200">
        <v>251003</v>
      </c>
      <c r="P12200">
        <v>14.75</v>
      </c>
    </row>
    <row r="12201" spans="1:16" x14ac:dyDescent="0.25">
      <c r="A12201" t="s">
        <v>3296</v>
      </c>
      <c r="B12201" t="s">
        <v>2931</v>
      </c>
      <c r="C12201">
        <v>13084</v>
      </c>
      <c r="D12201" t="str">
        <f t="shared" si="177"/>
        <v xml:space="preserve">105718      </v>
      </c>
      <c r="E12201" t="s">
        <v>511</v>
      </c>
      <c r="F12201" t="s">
        <v>512</v>
      </c>
      <c r="G12201">
        <v>30.8</v>
      </c>
      <c r="H12201">
        <v>250930</v>
      </c>
      <c r="I12201">
        <v>4367</v>
      </c>
      <c r="J12201" t="s">
        <v>159</v>
      </c>
      <c r="K12201">
        <v>351.2</v>
      </c>
      <c r="L12201">
        <v>6.26</v>
      </c>
      <c r="M12201">
        <v>11601</v>
      </c>
      <c r="N12201" t="s">
        <v>12</v>
      </c>
      <c r="O12201">
        <v>251003</v>
      </c>
      <c r="P12201">
        <v>24.54</v>
      </c>
    </row>
    <row r="12202" spans="1:16" x14ac:dyDescent="0.25">
      <c r="A12202" t="s">
        <v>3296</v>
      </c>
      <c r="B12202" t="s">
        <v>2931</v>
      </c>
      <c r="C12202">
        <v>13084</v>
      </c>
      <c r="D12202" t="str">
        <f t="shared" si="177"/>
        <v xml:space="preserve">105718      </v>
      </c>
      <c r="E12202" t="s">
        <v>511</v>
      </c>
      <c r="F12202" t="s">
        <v>512</v>
      </c>
      <c r="G12202">
        <v>18.47</v>
      </c>
      <c r="H12202">
        <v>250930</v>
      </c>
      <c r="I12202">
        <v>4367</v>
      </c>
      <c r="J12202" t="s">
        <v>159</v>
      </c>
      <c r="K12202">
        <v>351.2</v>
      </c>
      <c r="L12202">
        <v>3.75</v>
      </c>
      <c r="M12202">
        <v>11701</v>
      </c>
      <c r="N12202" t="s">
        <v>973</v>
      </c>
      <c r="O12202">
        <v>251003</v>
      </c>
      <c r="P12202">
        <v>14.72</v>
      </c>
    </row>
    <row r="12203" spans="1:16" x14ac:dyDescent="0.25">
      <c r="A12203" t="s">
        <v>3296</v>
      </c>
      <c r="B12203" t="s">
        <v>2931</v>
      </c>
      <c r="C12203">
        <v>13084</v>
      </c>
      <c r="D12203" t="str">
        <f t="shared" si="177"/>
        <v xml:space="preserve">105718      </v>
      </c>
      <c r="E12203" t="s">
        <v>511</v>
      </c>
      <c r="F12203" t="s">
        <v>512</v>
      </c>
      <c r="G12203">
        <v>86.25</v>
      </c>
      <c r="H12203">
        <v>250930</v>
      </c>
      <c r="I12203">
        <v>4367</v>
      </c>
      <c r="J12203" t="s">
        <v>159</v>
      </c>
      <c r="K12203">
        <v>351.2</v>
      </c>
      <c r="L12203">
        <v>17.52</v>
      </c>
      <c r="M12203">
        <v>11801</v>
      </c>
      <c r="N12203" t="s">
        <v>40</v>
      </c>
      <c r="O12203">
        <v>251003</v>
      </c>
      <c r="P12203">
        <v>68.73</v>
      </c>
    </row>
    <row r="12204" spans="1:16" x14ac:dyDescent="0.25">
      <c r="A12204" t="s">
        <v>3296</v>
      </c>
      <c r="B12204" t="s">
        <v>2931</v>
      </c>
      <c r="C12204">
        <v>13084</v>
      </c>
      <c r="D12204" t="str">
        <f t="shared" si="177"/>
        <v xml:space="preserve">105718      </v>
      </c>
      <c r="E12204" t="s">
        <v>511</v>
      </c>
      <c r="F12204" t="s">
        <v>512</v>
      </c>
      <c r="G12204">
        <v>110.94</v>
      </c>
      <c r="H12204">
        <v>250930</v>
      </c>
      <c r="I12204">
        <v>4367</v>
      </c>
      <c r="J12204" t="s">
        <v>159</v>
      </c>
      <c r="K12204">
        <v>351.2</v>
      </c>
      <c r="L12204">
        <v>22.54</v>
      </c>
      <c r="M12204">
        <v>11901</v>
      </c>
      <c r="N12204" t="s">
        <v>31</v>
      </c>
      <c r="O12204">
        <v>251003</v>
      </c>
      <c r="P12204">
        <v>88.4</v>
      </c>
    </row>
    <row r="12205" spans="1:16" x14ac:dyDescent="0.25">
      <c r="A12205" t="s">
        <v>3296</v>
      </c>
      <c r="B12205" t="s">
        <v>2931</v>
      </c>
      <c r="C12205">
        <v>13135</v>
      </c>
      <c r="D12205" t="str">
        <f>"105719      "</f>
        <v xml:space="preserve">105719      </v>
      </c>
      <c r="E12205" t="s">
        <v>511</v>
      </c>
      <c r="F12205" t="s">
        <v>512</v>
      </c>
      <c r="G12205">
        <v>53.05</v>
      </c>
      <c r="H12205">
        <v>250930</v>
      </c>
      <c r="I12205">
        <v>4367</v>
      </c>
      <c r="J12205" t="s">
        <v>159</v>
      </c>
      <c r="K12205">
        <v>106.1</v>
      </c>
      <c r="L12205">
        <v>10.78</v>
      </c>
      <c r="M12205">
        <v>14971</v>
      </c>
      <c r="N12205" t="s">
        <v>81</v>
      </c>
      <c r="O12205">
        <v>251006</v>
      </c>
      <c r="P12205">
        <v>42.27</v>
      </c>
    </row>
    <row r="12206" spans="1:16" x14ac:dyDescent="0.25">
      <c r="A12206" t="s">
        <v>3296</v>
      </c>
      <c r="B12206" t="s">
        <v>2931</v>
      </c>
      <c r="C12206">
        <v>13135</v>
      </c>
      <c r="D12206" t="str">
        <f>"105719      "</f>
        <v xml:space="preserve">105719      </v>
      </c>
      <c r="E12206" t="s">
        <v>511</v>
      </c>
      <c r="F12206" t="s">
        <v>512</v>
      </c>
      <c r="G12206">
        <v>53.05</v>
      </c>
      <c r="H12206">
        <v>250930</v>
      </c>
      <c r="I12206">
        <v>4367</v>
      </c>
      <c r="J12206" t="s">
        <v>159</v>
      </c>
      <c r="K12206">
        <v>106.1</v>
      </c>
      <c r="L12206">
        <v>10.78</v>
      </c>
      <c r="M12206">
        <v>18972</v>
      </c>
      <c r="N12206" t="s">
        <v>39</v>
      </c>
      <c r="O12206">
        <v>251006</v>
      </c>
      <c r="P12206">
        <v>42.27</v>
      </c>
    </row>
    <row r="12207" spans="1:16" x14ac:dyDescent="0.25">
      <c r="A12207" t="s">
        <v>3296</v>
      </c>
      <c r="B12207" t="s">
        <v>2931</v>
      </c>
      <c r="C12207">
        <v>13209</v>
      </c>
      <c r="D12207" t="str">
        <f>"105717      "</f>
        <v xml:space="preserve">105717      </v>
      </c>
      <c r="E12207" t="s">
        <v>511</v>
      </c>
      <c r="F12207" t="s">
        <v>512</v>
      </c>
      <c r="G12207">
        <v>175.29</v>
      </c>
      <c r="H12207">
        <v>250930</v>
      </c>
      <c r="I12207">
        <v>4367</v>
      </c>
      <c r="J12207" t="s">
        <v>159</v>
      </c>
      <c r="K12207">
        <v>175.29</v>
      </c>
      <c r="L12207">
        <v>35.619999999999997</v>
      </c>
      <c r="M12207">
        <v>49701</v>
      </c>
      <c r="N12207" t="s">
        <v>111</v>
      </c>
      <c r="O12207">
        <v>251006</v>
      </c>
      <c r="P12207">
        <v>139.66999999999999</v>
      </c>
    </row>
    <row r="12208" spans="1:16" x14ac:dyDescent="0.25">
      <c r="A12208" t="s">
        <v>3296</v>
      </c>
      <c r="B12208" t="s">
        <v>2931</v>
      </c>
      <c r="C12208">
        <v>13239</v>
      </c>
      <c r="D12208" t="str">
        <f>"105720      "</f>
        <v xml:space="preserve">105720      </v>
      </c>
      <c r="E12208" t="s">
        <v>511</v>
      </c>
      <c r="F12208" t="s">
        <v>512</v>
      </c>
      <c r="G12208">
        <v>7.32</v>
      </c>
      <c r="H12208">
        <v>250930</v>
      </c>
      <c r="I12208">
        <v>4367</v>
      </c>
      <c r="J12208" t="s">
        <v>159</v>
      </c>
      <c r="K12208">
        <v>43.9</v>
      </c>
      <c r="L12208">
        <v>1.49</v>
      </c>
      <c r="M12208">
        <v>13561</v>
      </c>
      <c r="N12208" t="s">
        <v>241</v>
      </c>
      <c r="O12208">
        <v>251007</v>
      </c>
      <c r="P12208">
        <v>5.83</v>
      </c>
    </row>
    <row r="12209" spans="1:16" x14ac:dyDescent="0.25">
      <c r="A12209" t="s">
        <v>3296</v>
      </c>
      <c r="B12209" t="s">
        <v>2931</v>
      </c>
      <c r="C12209">
        <v>13239</v>
      </c>
      <c r="D12209" t="str">
        <f>"105720      "</f>
        <v xml:space="preserve">105720      </v>
      </c>
      <c r="E12209" t="s">
        <v>511</v>
      </c>
      <c r="F12209" t="s">
        <v>512</v>
      </c>
      <c r="G12209">
        <v>7.32</v>
      </c>
      <c r="H12209">
        <v>250930</v>
      </c>
      <c r="I12209">
        <v>4367</v>
      </c>
      <c r="J12209" t="s">
        <v>159</v>
      </c>
      <c r="K12209">
        <v>43.9</v>
      </c>
      <c r="L12209">
        <v>1.49</v>
      </c>
      <c r="M12209">
        <v>13661</v>
      </c>
      <c r="N12209" t="s">
        <v>243</v>
      </c>
      <c r="O12209">
        <v>251007</v>
      </c>
      <c r="P12209">
        <v>5.83</v>
      </c>
    </row>
    <row r="12210" spans="1:16" x14ac:dyDescent="0.25">
      <c r="A12210" t="s">
        <v>3296</v>
      </c>
      <c r="B12210" t="s">
        <v>2931</v>
      </c>
      <c r="C12210">
        <v>13239</v>
      </c>
      <c r="D12210" t="str">
        <f>"105720      "</f>
        <v xml:space="preserve">105720      </v>
      </c>
      <c r="E12210" t="s">
        <v>511</v>
      </c>
      <c r="F12210" t="s">
        <v>512</v>
      </c>
      <c r="G12210">
        <v>21.94</v>
      </c>
      <c r="H12210">
        <v>250930</v>
      </c>
      <c r="I12210">
        <v>4367</v>
      </c>
      <c r="J12210" t="s">
        <v>159</v>
      </c>
      <c r="K12210">
        <v>43.9</v>
      </c>
      <c r="L12210">
        <v>4.46</v>
      </c>
      <c r="M12210">
        <v>13861</v>
      </c>
      <c r="N12210" t="s">
        <v>604</v>
      </c>
      <c r="O12210">
        <v>251007</v>
      </c>
      <c r="P12210">
        <v>17.48</v>
      </c>
    </row>
    <row r="12211" spans="1:16" x14ac:dyDescent="0.25">
      <c r="A12211" t="s">
        <v>3296</v>
      </c>
      <c r="B12211" t="s">
        <v>2931</v>
      </c>
      <c r="C12211">
        <v>13239</v>
      </c>
      <c r="D12211" t="str">
        <f>"105720      "</f>
        <v xml:space="preserve">105720      </v>
      </c>
      <c r="E12211" t="s">
        <v>511</v>
      </c>
      <c r="F12211" t="s">
        <v>512</v>
      </c>
      <c r="G12211">
        <v>7.32</v>
      </c>
      <c r="H12211">
        <v>250930</v>
      </c>
      <c r="I12211">
        <v>4367</v>
      </c>
      <c r="J12211" t="s">
        <v>159</v>
      </c>
      <c r="K12211">
        <v>43.9</v>
      </c>
      <c r="L12211">
        <v>1.49</v>
      </c>
      <c r="M12211">
        <v>13940</v>
      </c>
      <c r="N12211" t="s">
        <v>14</v>
      </c>
      <c r="O12211">
        <v>251007</v>
      </c>
      <c r="P12211">
        <v>5.83</v>
      </c>
    </row>
    <row r="12212" spans="1:16" x14ac:dyDescent="0.25">
      <c r="A12212" t="s">
        <v>3296</v>
      </c>
      <c r="B12212" t="s">
        <v>2931</v>
      </c>
      <c r="C12212">
        <v>14706</v>
      </c>
      <c r="D12212" t="str">
        <f>"106323      "</f>
        <v xml:space="preserve">106323      </v>
      </c>
      <c r="E12212" t="s">
        <v>511</v>
      </c>
      <c r="F12212" t="s">
        <v>512</v>
      </c>
      <c r="G12212">
        <v>182.97</v>
      </c>
      <c r="H12212">
        <v>251031</v>
      </c>
      <c r="I12212">
        <v>4367</v>
      </c>
      <c r="J12212" t="s">
        <v>159</v>
      </c>
      <c r="K12212">
        <v>182.97</v>
      </c>
      <c r="L12212">
        <v>37.18</v>
      </c>
      <c r="M12212">
        <v>49701</v>
      </c>
      <c r="N12212" t="s">
        <v>111</v>
      </c>
      <c r="O12212">
        <v>251106</v>
      </c>
      <c r="P12212">
        <v>145.79</v>
      </c>
    </row>
    <row r="12213" spans="1:16" x14ac:dyDescent="0.25">
      <c r="A12213" t="s">
        <v>3296</v>
      </c>
      <c r="B12213" t="s">
        <v>2931</v>
      </c>
      <c r="C12213">
        <v>14826</v>
      </c>
      <c r="D12213" t="str">
        <f>"106325      "</f>
        <v xml:space="preserve">106325      </v>
      </c>
      <c r="E12213" t="s">
        <v>511</v>
      </c>
      <c r="F12213" t="s">
        <v>512</v>
      </c>
      <c r="G12213">
        <v>53.05</v>
      </c>
      <c r="H12213">
        <v>251031</v>
      </c>
      <c r="I12213">
        <v>4367</v>
      </c>
      <c r="J12213" t="s">
        <v>159</v>
      </c>
      <c r="K12213">
        <v>106.1</v>
      </c>
      <c r="L12213">
        <v>10.78</v>
      </c>
      <c r="M12213">
        <v>14971</v>
      </c>
      <c r="N12213" t="s">
        <v>81</v>
      </c>
      <c r="O12213">
        <v>251107</v>
      </c>
      <c r="P12213">
        <v>42.27</v>
      </c>
    </row>
    <row r="12214" spans="1:16" x14ac:dyDescent="0.25">
      <c r="A12214" t="s">
        <v>3296</v>
      </c>
      <c r="B12214" t="s">
        <v>2931</v>
      </c>
      <c r="C12214">
        <v>14826</v>
      </c>
      <c r="D12214" t="str">
        <f>"106325      "</f>
        <v xml:space="preserve">106325      </v>
      </c>
      <c r="E12214" t="s">
        <v>511</v>
      </c>
      <c r="F12214" t="s">
        <v>512</v>
      </c>
      <c r="G12214">
        <v>53.05</v>
      </c>
      <c r="H12214">
        <v>251031</v>
      </c>
      <c r="I12214">
        <v>4367</v>
      </c>
      <c r="J12214" t="s">
        <v>159</v>
      </c>
      <c r="K12214">
        <v>106.1</v>
      </c>
      <c r="L12214">
        <v>10.78</v>
      </c>
      <c r="M12214">
        <v>18972</v>
      </c>
      <c r="N12214" t="s">
        <v>39</v>
      </c>
      <c r="O12214">
        <v>251107</v>
      </c>
      <c r="P12214">
        <v>42.27</v>
      </c>
    </row>
    <row r="12215" spans="1:16" x14ac:dyDescent="0.25">
      <c r="A12215" t="s">
        <v>3296</v>
      </c>
      <c r="B12215" t="s">
        <v>2931</v>
      </c>
      <c r="C12215">
        <v>14846</v>
      </c>
      <c r="D12215" t="str">
        <f>"106326      "</f>
        <v xml:space="preserve">106326      </v>
      </c>
      <c r="E12215" t="s">
        <v>511</v>
      </c>
      <c r="F12215" t="s">
        <v>512</v>
      </c>
      <c r="G12215">
        <v>7.32</v>
      </c>
      <c r="H12215">
        <v>251031</v>
      </c>
      <c r="I12215">
        <v>4367</v>
      </c>
      <c r="J12215" t="s">
        <v>159</v>
      </c>
      <c r="K12215">
        <v>43.9</v>
      </c>
      <c r="L12215">
        <v>1.49</v>
      </c>
      <c r="M12215">
        <v>13561</v>
      </c>
      <c r="N12215" t="s">
        <v>241</v>
      </c>
      <c r="O12215">
        <v>251107</v>
      </c>
      <c r="P12215">
        <v>5.83</v>
      </c>
    </row>
    <row r="12216" spans="1:16" x14ac:dyDescent="0.25">
      <c r="A12216" t="s">
        <v>3296</v>
      </c>
      <c r="B12216" t="s">
        <v>2931</v>
      </c>
      <c r="C12216">
        <v>14846</v>
      </c>
      <c r="D12216" t="str">
        <f>"106326      "</f>
        <v xml:space="preserve">106326      </v>
      </c>
      <c r="E12216" t="s">
        <v>511</v>
      </c>
      <c r="F12216" t="s">
        <v>512</v>
      </c>
      <c r="G12216">
        <v>7.32</v>
      </c>
      <c r="H12216">
        <v>251031</v>
      </c>
      <c r="I12216">
        <v>4367</v>
      </c>
      <c r="J12216" t="s">
        <v>159</v>
      </c>
      <c r="K12216">
        <v>43.9</v>
      </c>
      <c r="L12216">
        <v>1.49</v>
      </c>
      <c r="M12216">
        <v>13661</v>
      </c>
      <c r="N12216" t="s">
        <v>243</v>
      </c>
      <c r="O12216">
        <v>251107</v>
      </c>
      <c r="P12216">
        <v>5.83</v>
      </c>
    </row>
    <row r="12217" spans="1:16" x14ac:dyDescent="0.25">
      <c r="A12217" t="s">
        <v>3296</v>
      </c>
      <c r="B12217" t="s">
        <v>2931</v>
      </c>
      <c r="C12217">
        <v>14846</v>
      </c>
      <c r="D12217" t="str">
        <f>"106326      "</f>
        <v xml:space="preserve">106326      </v>
      </c>
      <c r="E12217" t="s">
        <v>511</v>
      </c>
      <c r="F12217" t="s">
        <v>512</v>
      </c>
      <c r="G12217">
        <v>21.94</v>
      </c>
      <c r="H12217">
        <v>251031</v>
      </c>
      <c r="I12217">
        <v>4367</v>
      </c>
      <c r="J12217" t="s">
        <v>159</v>
      </c>
      <c r="K12217">
        <v>43.9</v>
      </c>
      <c r="L12217">
        <v>4.46</v>
      </c>
      <c r="M12217">
        <v>13861</v>
      </c>
      <c r="N12217" t="s">
        <v>604</v>
      </c>
      <c r="O12217">
        <v>251107</v>
      </c>
      <c r="P12217">
        <v>17.48</v>
      </c>
    </row>
    <row r="12218" spans="1:16" x14ac:dyDescent="0.25">
      <c r="A12218" t="s">
        <v>3296</v>
      </c>
      <c r="B12218" t="s">
        <v>2931</v>
      </c>
      <c r="C12218">
        <v>14846</v>
      </c>
      <c r="D12218" t="str">
        <f>"106326      "</f>
        <v xml:space="preserve">106326      </v>
      </c>
      <c r="E12218" t="s">
        <v>511</v>
      </c>
      <c r="F12218" t="s">
        <v>512</v>
      </c>
      <c r="G12218">
        <v>7.32</v>
      </c>
      <c r="H12218">
        <v>251031</v>
      </c>
      <c r="I12218">
        <v>4367</v>
      </c>
      <c r="J12218" t="s">
        <v>159</v>
      </c>
      <c r="K12218">
        <v>43.9</v>
      </c>
      <c r="L12218">
        <v>1.49</v>
      </c>
      <c r="M12218">
        <v>13940</v>
      </c>
      <c r="N12218" t="s">
        <v>14</v>
      </c>
      <c r="O12218">
        <v>251107</v>
      </c>
      <c r="P12218">
        <v>5.83</v>
      </c>
    </row>
    <row r="12219" spans="1:16" x14ac:dyDescent="0.25">
      <c r="A12219" t="s">
        <v>3296</v>
      </c>
      <c r="B12219" t="s">
        <v>2931</v>
      </c>
      <c r="C12219">
        <v>14854</v>
      </c>
      <c r="D12219" t="str">
        <f t="shared" ref="D12219:D12227" si="178">"106324      "</f>
        <v xml:space="preserve">106324      </v>
      </c>
      <c r="E12219" t="s">
        <v>511</v>
      </c>
      <c r="F12219" t="s">
        <v>512</v>
      </c>
      <c r="G12219">
        <v>31.44</v>
      </c>
      <c r="H12219">
        <v>251031</v>
      </c>
      <c r="I12219">
        <v>4367</v>
      </c>
      <c r="J12219" t="s">
        <v>159</v>
      </c>
      <c r="K12219">
        <v>358.52</v>
      </c>
      <c r="L12219">
        <v>6.39</v>
      </c>
      <c r="M12219">
        <v>11101</v>
      </c>
      <c r="N12219" t="s">
        <v>67</v>
      </c>
      <c r="O12219">
        <v>251107</v>
      </c>
      <c r="P12219">
        <v>25.05</v>
      </c>
    </row>
    <row r="12220" spans="1:16" x14ac:dyDescent="0.25">
      <c r="A12220" t="s">
        <v>3296</v>
      </c>
      <c r="B12220" t="s">
        <v>2931</v>
      </c>
      <c r="C12220">
        <v>14854</v>
      </c>
      <c r="D12220" t="str">
        <f t="shared" si="178"/>
        <v xml:space="preserve">106324      </v>
      </c>
      <c r="E12220" t="s">
        <v>511</v>
      </c>
      <c r="F12220" t="s">
        <v>512</v>
      </c>
      <c r="G12220">
        <v>12.58</v>
      </c>
      <c r="H12220">
        <v>251031</v>
      </c>
      <c r="I12220">
        <v>4367</v>
      </c>
      <c r="J12220" t="s">
        <v>159</v>
      </c>
      <c r="K12220">
        <v>358.52</v>
      </c>
      <c r="L12220">
        <v>2.56</v>
      </c>
      <c r="M12220">
        <v>11201</v>
      </c>
      <c r="N12220" t="s">
        <v>35</v>
      </c>
      <c r="O12220">
        <v>251107</v>
      </c>
      <c r="P12220">
        <v>10.02</v>
      </c>
    </row>
    <row r="12221" spans="1:16" x14ac:dyDescent="0.25">
      <c r="A12221" t="s">
        <v>3296</v>
      </c>
      <c r="B12221" t="s">
        <v>2931</v>
      </c>
      <c r="C12221">
        <v>14854</v>
      </c>
      <c r="D12221" t="str">
        <f t="shared" si="178"/>
        <v xml:space="preserve">106324      </v>
      </c>
      <c r="E12221" t="s">
        <v>511</v>
      </c>
      <c r="F12221" t="s">
        <v>512</v>
      </c>
      <c r="G12221">
        <v>31.41</v>
      </c>
      <c r="H12221">
        <v>251031</v>
      </c>
      <c r="I12221">
        <v>4367</v>
      </c>
      <c r="J12221" t="s">
        <v>159</v>
      </c>
      <c r="K12221">
        <v>358.52</v>
      </c>
      <c r="L12221">
        <v>6.38</v>
      </c>
      <c r="M12221">
        <v>11301</v>
      </c>
      <c r="N12221" t="s">
        <v>92</v>
      </c>
      <c r="O12221">
        <v>251107</v>
      </c>
      <c r="P12221">
        <v>25.03</v>
      </c>
    </row>
    <row r="12222" spans="1:16" x14ac:dyDescent="0.25">
      <c r="A12222" t="s">
        <v>3296</v>
      </c>
      <c r="B12222" t="s">
        <v>2931</v>
      </c>
      <c r="C12222">
        <v>14854</v>
      </c>
      <c r="D12222" t="str">
        <f t="shared" si="178"/>
        <v xml:space="preserve">106324      </v>
      </c>
      <c r="E12222" t="s">
        <v>511</v>
      </c>
      <c r="F12222" t="s">
        <v>512</v>
      </c>
      <c r="G12222">
        <v>12.58</v>
      </c>
      <c r="H12222">
        <v>251031</v>
      </c>
      <c r="I12222">
        <v>4367</v>
      </c>
      <c r="J12222" t="s">
        <v>159</v>
      </c>
      <c r="K12222">
        <v>358.52</v>
      </c>
      <c r="L12222">
        <v>2.56</v>
      </c>
      <c r="M12222">
        <v>11401</v>
      </c>
      <c r="N12222" t="s">
        <v>91</v>
      </c>
      <c r="O12222">
        <v>251107</v>
      </c>
      <c r="P12222">
        <v>10.02</v>
      </c>
    </row>
    <row r="12223" spans="1:16" x14ac:dyDescent="0.25">
      <c r="A12223" t="s">
        <v>3296</v>
      </c>
      <c r="B12223" t="s">
        <v>2931</v>
      </c>
      <c r="C12223">
        <v>14854</v>
      </c>
      <c r="D12223" t="str">
        <f t="shared" si="178"/>
        <v xml:space="preserve">106324      </v>
      </c>
      <c r="E12223" t="s">
        <v>511</v>
      </c>
      <c r="F12223" t="s">
        <v>512</v>
      </c>
      <c r="G12223">
        <v>18.899999999999999</v>
      </c>
      <c r="H12223">
        <v>251031</v>
      </c>
      <c r="I12223">
        <v>4367</v>
      </c>
      <c r="J12223" t="s">
        <v>159</v>
      </c>
      <c r="K12223">
        <v>358.52</v>
      </c>
      <c r="L12223">
        <v>3.84</v>
      </c>
      <c r="M12223">
        <v>11501</v>
      </c>
      <c r="N12223" t="s">
        <v>13</v>
      </c>
      <c r="O12223">
        <v>251107</v>
      </c>
      <c r="P12223">
        <v>15.06</v>
      </c>
    </row>
    <row r="12224" spans="1:16" x14ac:dyDescent="0.25">
      <c r="A12224" t="s">
        <v>3296</v>
      </c>
      <c r="B12224" t="s">
        <v>2931</v>
      </c>
      <c r="C12224">
        <v>14854</v>
      </c>
      <c r="D12224" t="str">
        <f t="shared" si="178"/>
        <v xml:space="preserve">106324      </v>
      </c>
      <c r="E12224" t="s">
        <v>511</v>
      </c>
      <c r="F12224" t="s">
        <v>512</v>
      </c>
      <c r="G12224">
        <v>31.44</v>
      </c>
      <c r="H12224">
        <v>251031</v>
      </c>
      <c r="I12224">
        <v>4367</v>
      </c>
      <c r="J12224" t="s">
        <v>159</v>
      </c>
      <c r="K12224">
        <v>358.52</v>
      </c>
      <c r="L12224">
        <v>6.39</v>
      </c>
      <c r="M12224">
        <v>11601</v>
      </c>
      <c r="N12224" t="s">
        <v>12</v>
      </c>
      <c r="O12224">
        <v>251107</v>
      </c>
      <c r="P12224">
        <v>25.05</v>
      </c>
    </row>
    <row r="12225" spans="1:16" x14ac:dyDescent="0.25">
      <c r="A12225" t="s">
        <v>3296</v>
      </c>
      <c r="B12225" t="s">
        <v>2931</v>
      </c>
      <c r="C12225">
        <v>14854</v>
      </c>
      <c r="D12225" t="str">
        <f t="shared" si="178"/>
        <v xml:space="preserve">106324      </v>
      </c>
      <c r="E12225" t="s">
        <v>511</v>
      </c>
      <c r="F12225" t="s">
        <v>512</v>
      </c>
      <c r="G12225">
        <v>18.86</v>
      </c>
      <c r="H12225">
        <v>251031</v>
      </c>
      <c r="I12225">
        <v>4367</v>
      </c>
      <c r="J12225" t="s">
        <v>159</v>
      </c>
      <c r="K12225">
        <v>358.52</v>
      </c>
      <c r="L12225">
        <v>3.83</v>
      </c>
      <c r="M12225">
        <v>11701</v>
      </c>
      <c r="N12225" t="s">
        <v>973</v>
      </c>
      <c r="O12225">
        <v>251107</v>
      </c>
      <c r="P12225">
        <v>15.03</v>
      </c>
    </row>
    <row r="12226" spans="1:16" x14ac:dyDescent="0.25">
      <c r="A12226" t="s">
        <v>3296</v>
      </c>
      <c r="B12226" t="s">
        <v>2931</v>
      </c>
      <c r="C12226">
        <v>14854</v>
      </c>
      <c r="D12226" t="str">
        <f t="shared" si="178"/>
        <v xml:space="preserve">106324      </v>
      </c>
      <c r="E12226" t="s">
        <v>511</v>
      </c>
      <c r="F12226" t="s">
        <v>512</v>
      </c>
      <c r="G12226">
        <v>88.05</v>
      </c>
      <c r="H12226">
        <v>251031</v>
      </c>
      <c r="I12226">
        <v>4367</v>
      </c>
      <c r="J12226" t="s">
        <v>159</v>
      </c>
      <c r="K12226">
        <v>358.52</v>
      </c>
      <c r="L12226">
        <v>17.89</v>
      </c>
      <c r="M12226">
        <v>11801</v>
      </c>
      <c r="N12226" t="s">
        <v>40</v>
      </c>
      <c r="O12226">
        <v>251107</v>
      </c>
      <c r="P12226">
        <v>70.16</v>
      </c>
    </row>
    <row r="12227" spans="1:16" x14ac:dyDescent="0.25">
      <c r="A12227" t="s">
        <v>3296</v>
      </c>
      <c r="B12227" t="s">
        <v>2931</v>
      </c>
      <c r="C12227">
        <v>14854</v>
      </c>
      <c r="D12227" t="str">
        <f t="shared" si="178"/>
        <v xml:space="preserve">106324      </v>
      </c>
      <c r="E12227" t="s">
        <v>511</v>
      </c>
      <c r="F12227" t="s">
        <v>512</v>
      </c>
      <c r="G12227">
        <v>113.26</v>
      </c>
      <c r="H12227">
        <v>251031</v>
      </c>
      <c r="I12227">
        <v>4367</v>
      </c>
      <c r="J12227" t="s">
        <v>159</v>
      </c>
      <c r="K12227">
        <v>358.52</v>
      </c>
      <c r="L12227">
        <v>23.01</v>
      </c>
      <c r="M12227">
        <v>11901</v>
      </c>
      <c r="N12227" t="s">
        <v>31</v>
      </c>
      <c r="O12227">
        <v>251107</v>
      </c>
      <c r="P12227">
        <v>90.25</v>
      </c>
    </row>
    <row r="12228" spans="1:16" x14ac:dyDescent="0.25">
      <c r="A12228" t="s">
        <v>3296</v>
      </c>
      <c r="B12228" t="s">
        <v>2931</v>
      </c>
      <c r="C12228">
        <v>16171</v>
      </c>
      <c r="D12228" t="str">
        <f>"106912      "</f>
        <v xml:space="preserve">106912      </v>
      </c>
      <c r="E12228" t="s">
        <v>511</v>
      </c>
      <c r="F12228" t="s">
        <v>512</v>
      </c>
      <c r="G12228">
        <v>7.32</v>
      </c>
      <c r="H12228">
        <v>251130</v>
      </c>
      <c r="I12228">
        <v>4367</v>
      </c>
      <c r="J12228" t="s">
        <v>159</v>
      </c>
      <c r="K12228">
        <v>43.9</v>
      </c>
      <c r="L12228">
        <v>1.49</v>
      </c>
      <c r="M12228">
        <v>13561</v>
      </c>
      <c r="N12228" t="s">
        <v>241</v>
      </c>
      <c r="O12228">
        <v>251204</v>
      </c>
      <c r="P12228">
        <v>5.83</v>
      </c>
    </row>
    <row r="12229" spans="1:16" x14ac:dyDescent="0.25">
      <c r="A12229" t="s">
        <v>3296</v>
      </c>
      <c r="B12229" t="s">
        <v>2931</v>
      </c>
      <c r="C12229">
        <v>16171</v>
      </c>
      <c r="D12229" t="str">
        <f>"106912      "</f>
        <v xml:space="preserve">106912      </v>
      </c>
      <c r="E12229" t="s">
        <v>511</v>
      </c>
      <c r="F12229" t="s">
        <v>512</v>
      </c>
      <c r="G12229">
        <v>7.32</v>
      </c>
      <c r="H12229">
        <v>251130</v>
      </c>
      <c r="I12229">
        <v>4367</v>
      </c>
      <c r="J12229" t="s">
        <v>159</v>
      </c>
      <c r="K12229">
        <v>43.9</v>
      </c>
      <c r="L12229">
        <v>1.49</v>
      </c>
      <c r="M12229">
        <v>13661</v>
      </c>
      <c r="N12229" t="s">
        <v>243</v>
      </c>
      <c r="O12229">
        <v>251204</v>
      </c>
      <c r="P12229">
        <v>5.83</v>
      </c>
    </row>
    <row r="12230" spans="1:16" x14ac:dyDescent="0.25">
      <c r="A12230" t="s">
        <v>3296</v>
      </c>
      <c r="B12230" t="s">
        <v>2931</v>
      </c>
      <c r="C12230">
        <v>16171</v>
      </c>
      <c r="D12230" t="str">
        <f>"106912      "</f>
        <v xml:space="preserve">106912      </v>
      </c>
      <c r="E12230" t="s">
        <v>511</v>
      </c>
      <c r="F12230" t="s">
        <v>512</v>
      </c>
      <c r="G12230">
        <v>21.94</v>
      </c>
      <c r="H12230">
        <v>251130</v>
      </c>
      <c r="I12230">
        <v>4367</v>
      </c>
      <c r="J12230" t="s">
        <v>159</v>
      </c>
      <c r="K12230">
        <v>43.9</v>
      </c>
      <c r="L12230">
        <v>4.46</v>
      </c>
      <c r="M12230">
        <v>13861</v>
      </c>
      <c r="N12230" t="s">
        <v>604</v>
      </c>
      <c r="O12230">
        <v>251204</v>
      </c>
      <c r="P12230">
        <v>17.48</v>
      </c>
    </row>
    <row r="12231" spans="1:16" x14ac:dyDescent="0.25">
      <c r="A12231" t="s">
        <v>3296</v>
      </c>
      <c r="B12231" t="s">
        <v>2931</v>
      </c>
      <c r="C12231">
        <v>16171</v>
      </c>
      <c r="D12231" t="str">
        <f>"106912      "</f>
        <v xml:space="preserve">106912      </v>
      </c>
      <c r="E12231" t="s">
        <v>511</v>
      </c>
      <c r="F12231" t="s">
        <v>512</v>
      </c>
      <c r="G12231">
        <v>7.32</v>
      </c>
      <c r="H12231">
        <v>251130</v>
      </c>
      <c r="I12231">
        <v>4367</v>
      </c>
      <c r="J12231" t="s">
        <v>159</v>
      </c>
      <c r="K12231">
        <v>43.9</v>
      </c>
      <c r="L12231">
        <v>1.49</v>
      </c>
      <c r="M12231">
        <v>13940</v>
      </c>
      <c r="N12231" t="s">
        <v>14</v>
      </c>
      <c r="O12231">
        <v>251204</v>
      </c>
      <c r="P12231">
        <v>5.83</v>
      </c>
    </row>
    <row r="12232" spans="1:16" x14ac:dyDescent="0.25">
      <c r="A12232" t="s">
        <v>3296</v>
      </c>
      <c r="B12232" t="s">
        <v>2931</v>
      </c>
      <c r="C12232">
        <v>16184</v>
      </c>
      <c r="D12232" t="str">
        <f>"106909      "</f>
        <v xml:space="preserve">106909      </v>
      </c>
      <c r="E12232" t="s">
        <v>511</v>
      </c>
      <c r="F12232" t="s">
        <v>512</v>
      </c>
      <c r="G12232">
        <v>190.65</v>
      </c>
      <c r="H12232">
        <v>251130</v>
      </c>
      <c r="I12232">
        <v>4367</v>
      </c>
      <c r="J12232" t="s">
        <v>159</v>
      </c>
      <c r="K12232">
        <v>190.65</v>
      </c>
      <c r="L12232">
        <v>38.74</v>
      </c>
      <c r="M12232">
        <v>49701</v>
      </c>
      <c r="N12232" t="s">
        <v>111</v>
      </c>
      <c r="O12232">
        <v>251204</v>
      </c>
      <c r="P12232">
        <v>151.91</v>
      </c>
    </row>
    <row r="12233" spans="1:16" x14ac:dyDescent="0.25">
      <c r="A12233" t="s">
        <v>3296</v>
      </c>
      <c r="B12233" t="s">
        <v>2931</v>
      </c>
      <c r="C12233">
        <v>16423</v>
      </c>
      <c r="D12233" t="str">
        <f t="shared" ref="D12233:D12241" si="179">"106910      "</f>
        <v xml:space="preserve">106910      </v>
      </c>
      <c r="E12233" t="s">
        <v>511</v>
      </c>
      <c r="F12233" t="s">
        <v>512</v>
      </c>
      <c r="G12233">
        <v>30.8</v>
      </c>
      <c r="H12233">
        <v>251130</v>
      </c>
      <c r="I12233">
        <v>4367</v>
      </c>
      <c r="J12233" t="s">
        <v>159</v>
      </c>
      <c r="K12233">
        <v>351.2</v>
      </c>
      <c r="L12233">
        <v>6.26</v>
      </c>
      <c r="M12233">
        <v>11101</v>
      </c>
      <c r="N12233" t="s">
        <v>67</v>
      </c>
      <c r="O12233">
        <v>251208</v>
      </c>
      <c r="P12233">
        <v>24.54</v>
      </c>
    </row>
    <row r="12234" spans="1:16" x14ac:dyDescent="0.25">
      <c r="A12234" t="s">
        <v>3296</v>
      </c>
      <c r="B12234" t="s">
        <v>2931</v>
      </c>
      <c r="C12234">
        <v>16423</v>
      </c>
      <c r="D12234" t="str">
        <f t="shared" si="179"/>
        <v xml:space="preserve">106910      </v>
      </c>
      <c r="E12234" t="s">
        <v>511</v>
      </c>
      <c r="F12234" t="s">
        <v>512</v>
      </c>
      <c r="G12234">
        <v>12.33</v>
      </c>
      <c r="H12234">
        <v>251130</v>
      </c>
      <c r="I12234">
        <v>4367</v>
      </c>
      <c r="J12234" t="s">
        <v>159</v>
      </c>
      <c r="K12234">
        <v>351.2</v>
      </c>
      <c r="L12234">
        <v>2.5099999999999998</v>
      </c>
      <c r="M12234">
        <v>11201</v>
      </c>
      <c r="N12234" t="s">
        <v>35</v>
      </c>
      <c r="O12234">
        <v>251208</v>
      </c>
      <c r="P12234">
        <v>9.82</v>
      </c>
    </row>
    <row r="12235" spans="1:16" x14ac:dyDescent="0.25">
      <c r="A12235" t="s">
        <v>3296</v>
      </c>
      <c r="B12235" t="s">
        <v>2931</v>
      </c>
      <c r="C12235">
        <v>16423</v>
      </c>
      <c r="D12235" t="str">
        <f t="shared" si="179"/>
        <v xml:space="preserve">106910      </v>
      </c>
      <c r="E12235" t="s">
        <v>511</v>
      </c>
      <c r="F12235" t="s">
        <v>512</v>
      </c>
      <c r="G12235">
        <v>30.77</v>
      </c>
      <c r="H12235">
        <v>251130</v>
      </c>
      <c r="I12235">
        <v>4367</v>
      </c>
      <c r="J12235" t="s">
        <v>159</v>
      </c>
      <c r="K12235">
        <v>351.2</v>
      </c>
      <c r="L12235">
        <v>6.25</v>
      </c>
      <c r="M12235">
        <v>11301</v>
      </c>
      <c r="N12235" t="s">
        <v>92</v>
      </c>
      <c r="O12235">
        <v>251208</v>
      </c>
      <c r="P12235">
        <v>24.52</v>
      </c>
    </row>
    <row r="12236" spans="1:16" x14ac:dyDescent="0.25">
      <c r="A12236" t="s">
        <v>3296</v>
      </c>
      <c r="B12236" t="s">
        <v>2931</v>
      </c>
      <c r="C12236">
        <v>16423</v>
      </c>
      <c r="D12236" t="str">
        <f t="shared" si="179"/>
        <v xml:space="preserve">106910      </v>
      </c>
      <c r="E12236" t="s">
        <v>511</v>
      </c>
      <c r="F12236" t="s">
        <v>512</v>
      </c>
      <c r="G12236">
        <v>12.33</v>
      </c>
      <c r="H12236">
        <v>251130</v>
      </c>
      <c r="I12236">
        <v>4367</v>
      </c>
      <c r="J12236" t="s">
        <v>159</v>
      </c>
      <c r="K12236">
        <v>351.2</v>
      </c>
      <c r="L12236">
        <v>2.5099999999999998</v>
      </c>
      <c r="M12236">
        <v>11401</v>
      </c>
      <c r="N12236" t="s">
        <v>91</v>
      </c>
      <c r="O12236">
        <v>251208</v>
      </c>
      <c r="P12236">
        <v>9.82</v>
      </c>
    </row>
    <row r="12237" spans="1:16" x14ac:dyDescent="0.25">
      <c r="A12237" t="s">
        <v>3296</v>
      </c>
      <c r="B12237" t="s">
        <v>2931</v>
      </c>
      <c r="C12237">
        <v>16423</v>
      </c>
      <c r="D12237" t="str">
        <f t="shared" si="179"/>
        <v xml:space="preserve">106910      </v>
      </c>
      <c r="E12237" t="s">
        <v>511</v>
      </c>
      <c r="F12237" t="s">
        <v>512</v>
      </c>
      <c r="G12237">
        <v>18.510000000000002</v>
      </c>
      <c r="H12237">
        <v>251130</v>
      </c>
      <c r="I12237">
        <v>4367</v>
      </c>
      <c r="J12237" t="s">
        <v>159</v>
      </c>
      <c r="K12237">
        <v>351.2</v>
      </c>
      <c r="L12237">
        <v>3.76</v>
      </c>
      <c r="M12237">
        <v>11501</v>
      </c>
      <c r="N12237" t="s">
        <v>13</v>
      </c>
      <c r="O12237">
        <v>251208</v>
      </c>
      <c r="P12237">
        <v>14.75</v>
      </c>
    </row>
    <row r="12238" spans="1:16" x14ac:dyDescent="0.25">
      <c r="A12238" t="s">
        <v>3296</v>
      </c>
      <c r="B12238" t="s">
        <v>2931</v>
      </c>
      <c r="C12238">
        <v>16423</v>
      </c>
      <c r="D12238" t="str">
        <f t="shared" si="179"/>
        <v xml:space="preserve">106910      </v>
      </c>
      <c r="E12238" t="s">
        <v>511</v>
      </c>
      <c r="F12238" t="s">
        <v>512</v>
      </c>
      <c r="G12238">
        <v>30.8</v>
      </c>
      <c r="H12238">
        <v>251130</v>
      </c>
      <c r="I12238">
        <v>4367</v>
      </c>
      <c r="J12238" t="s">
        <v>159</v>
      </c>
      <c r="K12238">
        <v>351.2</v>
      </c>
      <c r="L12238">
        <v>6.26</v>
      </c>
      <c r="M12238">
        <v>11601</v>
      </c>
      <c r="N12238" t="s">
        <v>12</v>
      </c>
      <c r="O12238">
        <v>251208</v>
      </c>
      <c r="P12238">
        <v>24.54</v>
      </c>
    </row>
    <row r="12239" spans="1:16" x14ac:dyDescent="0.25">
      <c r="A12239" t="s">
        <v>3296</v>
      </c>
      <c r="B12239" t="s">
        <v>2931</v>
      </c>
      <c r="C12239">
        <v>16423</v>
      </c>
      <c r="D12239" t="str">
        <f t="shared" si="179"/>
        <v xml:space="preserve">106910      </v>
      </c>
      <c r="E12239" t="s">
        <v>511</v>
      </c>
      <c r="F12239" t="s">
        <v>512</v>
      </c>
      <c r="G12239">
        <v>18.47</v>
      </c>
      <c r="H12239">
        <v>251130</v>
      </c>
      <c r="I12239">
        <v>4367</v>
      </c>
      <c r="J12239" t="s">
        <v>159</v>
      </c>
      <c r="K12239">
        <v>351.2</v>
      </c>
      <c r="L12239">
        <v>3.75</v>
      </c>
      <c r="M12239">
        <v>11701</v>
      </c>
      <c r="N12239" t="s">
        <v>973</v>
      </c>
      <c r="O12239">
        <v>251208</v>
      </c>
      <c r="P12239">
        <v>14.72</v>
      </c>
    </row>
    <row r="12240" spans="1:16" x14ac:dyDescent="0.25">
      <c r="A12240" t="s">
        <v>3296</v>
      </c>
      <c r="B12240" t="s">
        <v>2931</v>
      </c>
      <c r="C12240">
        <v>16423</v>
      </c>
      <c r="D12240" t="str">
        <f t="shared" si="179"/>
        <v xml:space="preserve">106910      </v>
      </c>
      <c r="E12240" t="s">
        <v>511</v>
      </c>
      <c r="F12240" t="s">
        <v>512</v>
      </c>
      <c r="G12240">
        <v>86.25</v>
      </c>
      <c r="H12240">
        <v>251130</v>
      </c>
      <c r="I12240">
        <v>4367</v>
      </c>
      <c r="J12240" t="s">
        <v>159</v>
      </c>
      <c r="K12240">
        <v>351.2</v>
      </c>
      <c r="L12240">
        <v>17.52</v>
      </c>
      <c r="M12240">
        <v>11801</v>
      </c>
      <c r="N12240" t="s">
        <v>40</v>
      </c>
      <c r="O12240">
        <v>251208</v>
      </c>
      <c r="P12240">
        <v>68.73</v>
      </c>
    </row>
    <row r="12241" spans="1:16" x14ac:dyDescent="0.25">
      <c r="A12241" t="s">
        <v>3296</v>
      </c>
      <c r="B12241" t="s">
        <v>2931</v>
      </c>
      <c r="C12241">
        <v>16423</v>
      </c>
      <c r="D12241" t="str">
        <f t="shared" si="179"/>
        <v xml:space="preserve">106910      </v>
      </c>
      <c r="E12241" t="s">
        <v>511</v>
      </c>
      <c r="F12241" t="s">
        <v>512</v>
      </c>
      <c r="G12241">
        <v>110.94</v>
      </c>
      <c r="H12241">
        <v>251130</v>
      </c>
      <c r="I12241">
        <v>4367</v>
      </c>
      <c r="J12241" t="s">
        <v>159</v>
      </c>
      <c r="K12241">
        <v>351.2</v>
      </c>
      <c r="L12241">
        <v>22.54</v>
      </c>
      <c r="M12241">
        <v>11901</v>
      </c>
      <c r="N12241" t="s">
        <v>31</v>
      </c>
      <c r="O12241">
        <v>251208</v>
      </c>
      <c r="P12241">
        <v>88.4</v>
      </c>
    </row>
    <row r="12242" spans="1:16" x14ac:dyDescent="0.25">
      <c r="A12242" t="s">
        <v>3296</v>
      </c>
      <c r="B12242" t="s">
        <v>2931</v>
      </c>
      <c r="C12242">
        <v>16578</v>
      </c>
      <c r="D12242" t="str">
        <f>"106911      "</f>
        <v xml:space="preserve">106911      </v>
      </c>
      <c r="E12242" t="s">
        <v>511</v>
      </c>
      <c r="F12242" t="s">
        <v>512</v>
      </c>
      <c r="G12242">
        <v>53.05</v>
      </c>
      <c r="H12242">
        <v>251130</v>
      </c>
      <c r="I12242">
        <v>4367</v>
      </c>
      <c r="J12242" t="s">
        <v>159</v>
      </c>
      <c r="K12242">
        <v>106.1</v>
      </c>
      <c r="L12242">
        <v>10.78</v>
      </c>
      <c r="M12242">
        <v>14971</v>
      </c>
      <c r="N12242" t="s">
        <v>81</v>
      </c>
      <c r="O12242">
        <v>251210</v>
      </c>
      <c r="P12242">
        <v>42.27</v>
      </c>
    </row>
    <row r="12243" spans="1:16" x14ac:dyDescent="0.25">
      <c r="A12243" t="s">
        <v>3296</v>
      </c>
      <c r="B12243" t="s">
        <v>2931</v>
      </c>
      <c r="C12243">
        <v>16578</v>
      </c>
      <c r="D12243" t="str">
        <f>"106911      "</f>
        <v xml:space="preserve">106911      </v>
      </c>
      <c r="E12243" t="s">
        <v>511</v>
      </c>
      <c r="F12243" t="s">
        <v>512</v>
      </c>
      <c r="G12243">
        <v>53.05</v>
      </c>
      <c r="H12243">
        <v>251130</v>
      </c>
      <c r="I12243">
        <v>4367</v>
      </c>
      <c r="J12243" t="s">
        <v>159</v>
      </c>
      <c r="K12243">
        <v>106.1</v>
      </c>
      <c r="L12243">
        <v>10.78</v>
      </c>
      <c r="M12243">
        <v>18972</v>
      </c>
      <c r="N12243" t="s">
        <v>39</v>
      </c>
      <c r="O12243">
        <v>251210</v>
      </c>
      <c r="P12243">
        <v>42.27</v>
      </c>
    </row>
    <row r="12244" spans="1:16" x14ac:dyDescent="0.25">
      <c r="A12244" t="s">
        <v>3296</v>
      </c>
      <c r="B12244" t="s">
        <v>2931</v>
      </c>
      <c r="C12244">
        <v>18030</v>
      </c>
      <c r="D12244" t="str">
        <f>"107360      "</f>
        <v xml:space="preserve">107360      </v>
      </c>
      <c r="E12244" t="s">
        <v>511</v>
      </c>
      <c r="F12244" t="s">
        <v>512</v>
      </c>
      <c r="G12244">
        <v>7.32</v>
      </c>
      <c r="H12244">
        <v>251231</v>
      </c>
      <c r="I12244">
        <v>4367</v>
      </c>
      <c r="J12244" t="s">
        <v>159</v>
      </c>
      <c r="K12244">
        <v>43.9</v>
      </c>
      <c r="L12244">
        <v>1.49</v>
      </c>
      <c r="M12244">
        <v>13561</v>
      </c>
      <c r="N12244" t="s">
        <v>241</v>
      </c>
      <c r="O12244">
        <v>260108</v>
      </c>
      <c r="P12244">
        <v>5.83</v>
      </c>
    </row>
    <row r="12245" spans="1:16" x14ac:dyDescent="0.25">
      <c r="A12245" t="s">
        <v>3296</v>
      </c>
      <c r="B12245" t="s">
        <v>2931</v>
      </c>
      <c r="C12245">
        <v>18030</v>
      </c>
      <c r="D12245" t="str">
        <f>"107360      "</f>
        <v xml:space="preserve">107360      </v>
      </c>
      <c r="E12245" t="s">
        <v>511</v>
      </c>
      <c r="F12245" t="s">
        <v>512</v>
      </c>
      <c r="G12245">
        <v>7.32</v>
      </c>
      <c r="H12245">
        <v>251231</v>
      </c>
      <c r="I12245">
        <v>4367</v>
      </c>
      <c r="J12245" t="s">
        <v>159</v>
      </c>
      <c r="K12245">
        <v>43.9</v>
      </c>
      <c r="L12245">
        <v>1.49</v>
      </c>
      <c r="M12245">
        <v>13661</v>
      </c>
      <c r="N12245" t="s">
        <v>243</v>
      </c>
      <c r="O12245">
        <v>260108</v>
      </c>
      <c r="P12245">
        <v>5.83</v>
      </c>
    </row>
    <row r="12246" spans="1:16" x14ac:dyDescent="0.25">
      <c r="A12246" t="s">
        <v>3296</v>
      </c>
      <c r="B12246" t="s">
        <v>2931</v>
      </c>
      <c r="C12246">
        <v>18030</v>
      </c>
      <c r="D12246" t="str">
        <f>"107360      "</f>
        <v xml:space="preserve">107360      </v>
      </c>
      <c r="E12246" t="s">
        <v>511</v>
      </c>
      <c r="F12246" t="s">
        <v>512</v>
      </c>
      <c r="G12246">
        <v>21.94</v>
      </c>
      <c r="H12246">
        <v>251231</v>
      </c>
      <c r="I12246">
        <v>4367</v>
      </c>
      <c r="J12246" t="s">
        <v>159</v>
      </c>
      <c r="K12246">
        <v>43.9</v>
      </c>
      <c r="L12246">
        <v>4.46</v>
      </c>
      <c r="M12246">
        <v>13861</v>
      </c>
      <c r="N12246" t="s">
        <v>604</v>
      </c>
      <c r="O12246">
        <v>260108</v>
      </c>
      <c r="P12246">
        <v>17.48</v>
      </c>
    </row>
    <row r="12247" spans="1:16" x14ac:dyDescent="0.25">
      <c r="A12247" t="s">
        <v>3296</v>
      </c>
      <c r="B12247" t="s">
        <v>2931</v>
      </c>
      <c r="C12247">
        <v>18030</v>
      </c>
      <c r="D12247" t="str">
        <f>"107360      "</f>
        <v xml:space="preserve">107360      </v>
      </c>
      <c r="E12247" t="s">
        <v>511</v>
      </c>
      <c r="F12247" t="s">
        <v>512</v>
      </c>
      <c r="G12247">
        <v>7.32</v>
      </c>
      <c r="H12247">
        <v>251231</v>
      </c>
      <c r="I12247">
        <v>4367</v>
      </c>
      <c r="J12247" t="s">
        <v>159</v>
      </c>
      <c r="K12247">
        <v>43.9</v>
      </c>
      <c r="L12247">
        <v>1.49</v>
      </c>
      <c r="M12247">
        <v>13940</v>
      </c>
      <c r="N12247" t="s">
        <v>14</v>
      </c>
      <c r="O12247">
        <v>260108</v>
      </c>
      <c r="P12247">
        <v>5.83</v>
      </c>
    </row>
    <row r="12248" spans="1:16" x14ac:dyDescent="0.25">
      <c r="A12248" t="s">
        <v>3296</v>
      </c>
      <c r="B12248" t="s">
        <v>2931</v>
      </c>
      <c r="C12248">
        <v>18056</v>
      </c>
      <c r="D12248" t="str">
        <f>"107357      "</f>
        <v xml:space="preserve">107357      </v>
      </c>
      <c r="E12248" t="s">
        <v>511</v>
      </c>
      <c r="F12248" t="s">
        <v>512</v>
      </c>
      <c r="G12248">
        <v>182.97</v>
      </c>
      <c r="H12248">
        <v>251231</v>
      </c>
      <c r="I12248">
        <v>4367</v>
      </c>
      <c r="J12248" t="s">
        <v>159</v>
      </c>
      <c r="K12248">
        <v>182.97</v>
      </c>
      <c r="L12248">
        <v>37.18</v>
      </c>
      <c r="M12248">
        <v>49701</v>
      </c>
      <c r="N12248" t="s">
        <v>111</v>
      </c>
      <c r="O12248">
        <v>260108</v>
      </c>
      <c r="P12248">
        <v>145.79</v>
      </c>
    </row>
    <row r="12249" spans="1:16" x14ac:dyDescent="0.25">
      <c r="A12249" t="s">
        <v>3296</v>
      </c>
      <c r="B12249" t="s">
        <v>2931</v>
      </c>
      <c r="C12249">
        <v>18157</v>
      </c>
      <c r="D12249" t="str">
        <f t="shared" ref="D12249:D12257" si="180">"107358      "</f>
        <v xml:space="preserve">107358      </v>
      </c>
      <c r="E12249" t="s">
        <v>511</v>
      </c>
      <c r="F12249" t="s">
        <v>512</v>
      </c>
      <c r="G12249">
        <v>31.44</v>
      </c>
      <c r="H12249">
        <v>251231</v>
      </c>
      <c r="I12249">
        <v>4367</v>
      </c>
      <c r="J12249" t="s">
        <v>159</v>
      </c>
      <c r="K12249">
        <v>358.52</v>
      </c>
      <c r="L12249">
        <v>6.39</v>
      </c>
      <c r="M12249">
        <v>11101</v>
      </c>
      <c r="N12249" t="s">
        <v>67</v>
      </c>
      <c r="O12249">
        <v>260109</v>
      </c>
      <c r="P12249">
        <v>25.05</v>
      </c>
    </row>
    <row r="12250" spans="1:16" x14ac:dyDescent="0.25">
      <c r="A12250" t="s">
        <v>3296</v>
      </c>
      <c r="B12250" t="s">
        <v>2931</v>
      </c>
      <c r="C12250">
        <v>18157</v>
      </c>
      <c r="D12250" t="str">
        <f t="shared" si="180"/>
        <v xml:space="preserve">107358      </v>
      </c>
      <c r="E12250" t="s">
        <v>511</v>
      </c>
      <c r="F12250" t="s">
        <v>512</v>
      </c>
      <c r="G12250">
        <v>12.58</v>
      </c>
      <c r="H12250">
        <v>251231</v>
      </c>
      <c r="I12250">
        <v>4367</v>
      </c>
      <c r="J12250" t="s">
        <v>159</v>
      </c>
      <c r="K12250">
        <v>358.52</v>
      </c>
      <c r="L12250">
        <v>2.56</v>
      </c>
      <c r="M12250">
        <v>11201</v>
      </c>
      <c r="N12250" t="s">
        <v>35</v>
      </c>
      <c r="O12250">
        <v>260109</v>
      </c>
      <c r="P12250">
        <v>10.02</v>
      </c>
    </row>
    <row r="12251" spans="1:16" x14ac:dyDescent="0.25">
      <c r="A12251" t="s">
        <v>3296</v>
      </c>
      <c r="B12251" t="s">
        <v>2931</v>
      </c>
      <c r="C12251">
        <v>18157</v>
      </c>
      <c r="D12251" t="str">
        <f t="shared" si="180"/>
        <v xml:space="preserve">107358      </v>
      </c>
      <c r="E12251" t="s">
        <v>511</v>
      </c>
      <c r="F12251" t="s">
        <v>512</v>
      </c>
      <c r="G12251">
        <v>31.41</v>
      </c>
      <c r="H12251">
        <v>251231</v>
      </c>
      <c r="I12251">
        <v>4367</v>
      </c>
      <c r="J12251" t="s">
        <v>159</v>
      </c>
      <c r="K12251">
        <v>358.52</v>
      </c>
      <c r="L12251">
        <v>6.38</v>
      </c>
      <c r="M12251">
        <v>11301</v>
      </c>
      <c r="N12251" t="s">
        <v>92</v>
      </c>
      <c r="O12251">
        <v>260109</v>
      </c>
      <c r="P12251">
        <v>25.03</v>
      </c>
    </row>
    <row r="12252" spans="1:16" x14ac:dyDescent="0.25">
      <c r="A12252" t="s">
        <v>3296</v>
      </c>
      <c r="B12252" t="s">
        <v>2931</v>
      </c>
      <c r="C12252">
        <v>18157</v>
      </c>
      <c r="D12252" t="str">
        <f t="shared" si="180"/>
        <v xml:space="preserve">107358      </v>
      </c>
      <c r="E12252" t="s">
        <v>511</v>
      </c>
      <c r="F12252" t="s">
        <v>512</v>
      </c>
      <c r="G12252">
        <v>12.58</v>
      </c>
      <c r="H12252">
        <v>251231</v>
      </c>
      <c r="I12252">
        <v>4367</v>
      </c>
      <c r="J12252" t="s">
        <v>159</v>
      </c>
      <c r="K12252">
        <v>358.52</v>
      </c>
      <c r="L12252">
        <v>2.56</v>
      </c>
      <c r="M12252">
        <v>11401</v>
      </c>
      <c r="N12252" t="s">
        <v>91</v>
      </c>
      <c r="O12252">
        <v>260109</v>
      </c>
      <c r="P12252">
        <v>10.02</v>
      </c>
    </row>
    <row r="12253" spans="1:16" x14ac:dyDescent="0.25">
      <c r="A12253" t="s">
        <v>3296</v>
      </c>
      <c r="B12253" t="s">
        <v>2931</v>
      </c>
      <c r="C12253">
        <v>18157</v>
      </c>
      <c r="D12253" t="str">
        <f t="shared" si="180"/>
        <v xml:space="preserve">107358      </v>
      </c>
      <c r="E12253" t="s">
        <v>511</v>
      </c>
      <c r="F12253" t="s">
        <v>512</v>
      </c>
      <c r="G12253">
        <v>18.899999999999999</v>
      </c>
      <c r="H12253">
        <v>251231</v>
      </c>
      <c r="I12253">
        <v>4367</v>
      </c>
      <c r="J12253" t="s">
        <v>159</v>
      </c>
      <c r="K12253">
        <v>358.52</v>
      </c>
      <c r="L12253">
        <v>3.84</v>
      </c>
      <c r="M12253">
        <v>11501</v>
      </c>
      <c r="N12253" t="s">
        <v>13</v>
      </c>
      <c r="O12253">
        <v>260109</v>
      </c>
      <c r="P12253">
        <v>15.06</v>
      </c>
    </row>
    <row r="12254" spans="1:16" x14ac:dyDescent="0.25">
      <c r="A12254" t="s">
        <v>3296</v>
      </c>
      <c r="B12254" t="s">
        <v>2931</v>
      </c>
      <c r="C12254">
        <v>18157</v>
      </c>
      <c r="D12254" t="str">
        <f t="shared" si="180"/>
        <v xml:space="preserve">107358      </v>
      </c>
      <c r="E12254" t="s">
        <v>511</v>
      </c>
      <c r="F12254" t="s">
        <v>512</v>
      </c>
      <c r="G12254">
        <v>31.44</v>
      </c>
      <c r="H12254">
        <v>251231</v>
      </c>
      <c r="I12254">
        <v>4367</v>
      </c>
      <c r="J12254" t="s">
        <v>159</v>
      </c>
      <c r="K12254">
        <v>358.52</v>
      </c>
      <c r="L12254">
        <v>6.39</v>
      </c>
      <c r="M12254">
        <v>11601</v>
      </c>
      <c r="N12254" t="s">
        <v>12</v>
      </c>
      <c r="O12254">
        <v>260109</v>
      </c>
      <c r="P12254">
        <v>25.05</v>
      </c>
    </row>
    <row r="12255" spans="1:16" x14ac:dyDescent="0.25">
      <c r="A12255" t="s">
        <v>3296</v>
      </c>
      <c r="B12255" t="s">
        <v>2931</v>
      </c>
      <c r="C12255">
        <v>18157</v>
      </c>
      <c r="D12255" t="str">
        <f t="shared" si="180"/>
        <v xml:space="preserve">107358      </v>
      </c>
      <c r="E12255" t="s">
        <v>511</v>
      </c>
      <c r="F12255" t="s">
        <v>512</v>
      </c>
      <c r="G12255">
        <v>18.86</v>
      </c>
      <c r="H12255">
        <v>251231</v>
      </c>
      <c r="I12255">
        <v>4367</v>
      </c>
      <c r="J12255" t="s">
        <v>159</v>
      </c>
      <c r="K12255">
        <v>358.52</v>
      </c>
      <c r="L12255">
        <v>3.83</v>
      </c>
      <c r="M12255">
        <v>11701</v>
      </c>
      <c r="N12255" t="s">
        <v>973</v>
      </c>
      <c r="O12255">
        <v>260109</v>
      </c>
      <c r="P12255">
        <v>15.03</v>
      </c>
    </row>
    <row r="12256" spans="1:16" x14ac:dyDescent="0.25">
      <c r="A12256" t="s">
        <v>3296</v>
      </c>
      <c r="B12256" t="s">
        <v>2931</v>
      </c>
      <c r="C12256">
        <v>18157</v>
      </c>
      <c r="D12256" t="str">
        <f t="shared" si="180"/>
        <v xml:space="preserve">107358      </v>
      </c>
      <c r="E12256" t="s">
        <v>511</v>
      </c>
      <c r="F12256" t="s">
        <v>512</v>
      </c>
      <c r="G12256">
        <v>88.05</v>
      </c>
      <c r="H12256">
        <v>251231</v>
      </c>
      <c r="I12256">
        <v>4367</v>
      </c>
      <c r="J12256" t="s">
        <v>159</v>
      </c>
      <c r="K12256">
        <v>358.52</v>
      </c>
      <c r="L12256">
        <v>17.89</v>
      </c>
      <c r="M12256">
        <v>11801</v>
      </c>
      <c r="N12256" t="s">
        <v>40</v>
      </c>
      <c r="O12256">
        <v>260109</v>
      </c>
      <c r="P12256">
        <v>70.16</v>
      </c>
    </row>
    <row r="12257" spans="1:16" x14ac:dyDescent="0.25">
      <c r="A12257" t="s">
        <v>3296</v>
      </c>
      <c r="B12257" t="s">
        <v>2931</v>
      </c>
      <c r="C12257">
        <v>18157</v>
      </c>
      <c r="D12257" t="str">
        <f t="shared" si="180"/>
        <v xml:space="preserve">107358      </v>
      </c>
      <c r="E12257" t="s">
        <v>511</v>
      </c>
      <c r="F12257" t="s">
        <v>512</v>
      </c>
      <c r="G12257">
        <v>113.26</v>
      </c>
      <c r="H12257">
        <v>251231</v>
      </c>
      <c r="I12257">
        <v>4367</v>
      </c>
      <c r="J12257" t="s">
        <v>159</v>
      </c>
      <c r="K12257">
        <v>358.52</v>
      </c>
      <c r="L12257">
        <v>23.01</v>
      </c>
      <c r="M12257">
        <v>11901</v>
      </c>
      <c r="N12257" t="s">
        <v>31</v>
      </c>
      <c r="O12257">
        <v>260109</v>
      </c>
      <c r="P12257">
        <v>90.25</v>
      </c>
    </row>
    <row r="12258" spans="1:16" x14ac:dyDescent="0.25">
      <c r="A12258" t="s">
        <v>3296</v>
      </c>
      <c r="B12258" t="s">
        <v>2931</v>
      </c>
      <c r="C12258">
        <v>427</v>
      </c>
      <c r="D12258" t="str">
        <f>"99583       "</f>
        <v xml:space="preserve">99583       </v>
      </c>
      <c r="E12258" t="s">
        <v>511</v>
      </c>
      <c r="F12258" t="s">
        <v>512</v>
      </c>
      <c r="G12258">
        <v>181.97</v>
      </c>
      <c r="H12258">
        <v>250115</v>
      </c>
      <c r="I12258">
        <v>4369</v>
      </c>
      <c r="J12258" t="s">
        <v>188</v>
      </c>
      <c r="K12258">
        <v>363.95</v>
      </c>
      <c r="L12258">
        <v>36.97</v>
      </c>
      <c r="M12258">
        <v>13281</v>
      </c>
      <c r="N12258" t="s">
        <v>476</v>
      </c>
      <c r="O12258">
        <v>250122</v>
      </c>
      <c r="P12258">
        <v>145</v>
      </c>
    </row>
    <row r="12259" spans="1:16" x14ac:dyDescent="0.25">
      <c r="A12259" t="s">
        <v>3296</v>
      </c>
      <c r="B12259" t="s">
        <v>2931</v>
      </c>
      <c r="C12259">
        <v>427</v>
      </c>
      <c r="D12259" t="str">
        <f>"99583       "</f>
        <v xml:space="preserve">99583       </v>
      </c>
      <c r="E12259" t="s">
        <v>511</v>
      </c>
      <c r="F12259" t="s">
        <v>512</v>
      </c>
      <c r="G12259">
        <v>181.98</v>
      </c>
      <c r="H12259">
        <v>250115</v>
      </c>
      <c r="I12259">
        <v>4369</v>
      </c>
      <c r="J12259" t="s">
        <v>188</v>
      </c>
      <c r="K12259">
        <v>363.95</v>
      </c>
      <c r="L12259">
        <v>36.979999999999997</v>
      </c>
      <c r="M12259">
        <v>13940</v>
      </c>
      <c r="N12259" t="s">
        <v>14</v>
      </c>
      <c r="O12259">
        <v>250122</v>
      </c>
      <c r="P12259">
        <v>145</v>
      </c>
    </row>
    <row r="12260" spans="1:16" x14ac:dyDescent="0.25">
      <c r="A12260" t="s">
        <v>3296</v>
      </c>
      <c r="B12260" t="s">
        <v>2931</v>
      </c>
      <c r="C12260">
        <v>1536</v>
      </c>
      <c r="D12260" t="str">
        <f>"99931       "</f>
        <v xml:space="preserve">99931       </v>
      </c>
      <c r="E12260" t="s">
        <v>511</v>
      </c>
      <c r="F12260" t="s">
        <v>512</v>
      </c>
      <c r="G12260">
        <v>127.59</v>
      </c>
      <c r="H12260">
        <v>250131</v>
      </c>
      <c r="I12260">
        <v>4369</v>
      </c>
      <c r="J12260" t="s">
        <v>188</v>
      </c>
      <c r="K12260">
        <v>425.29</v>
      </c>
      <c r="L12260">
        <v>25.92</v>
      </c>
      <c r="M12260">
        <v>17971</v>
      </c>
      <c r="N12260" t="s">
        <v>27</v>
      </c>
      <c r="O12260">
        <v>250211</v>
      </c>
      <c r="P12260">
        <v>101.67</v>
      </c>
    </row>
    <row r="12261" spans="1:16" x14ac:dyDescent="0.25">
      <c r="A12261" t="s">
        <v>3296</v>
      </c>
      <c r="B12261" t="s">
        <v>2931</v>
      </c>
      <c r="C12261">
        <v>1536</v>
      </c>
      <c r="D12261" t="str">
        <f>"99931       "</f>
        <v xml:space="preserve">99931       </v>
      </c>
      <c r="E12261" t="s">
        <v>511</v>
      </c>
      <c r="F12261" t="s">
        <v>512</v>
      </c>
      <c r="G12261">
        <v>238.16</v>
      </c>
      <c r="H12261">
        <v>250131</v>
      </c>
      <c r="I12261">
        <v>4369</v>
      </c>
      <c r="J12261" t="s">
        <v>188</v>
      </c>
      <c r="K12261">
        <v>425.29</v>
      </c>
      <c r="L12261">
        <v>48.39</v>
      </c>
      <c r="M12261">
        <v>69701</v>
      </c>
      <c r="N12261" t="s">
        <v>1030</v>
      </c>
      <c r="O12261">
        <v>250211</v>
      </c>
      <c r="P12261">
        <v>189.77</v>
      </c>
    </row>
    <row r="12262" spans="1:16" x14ac:dyDescent="0.25">
      <c r="A12262" t="s">
        <v>3296</v>
      </c>
      <c r="B12262" t="s">
        <v>2931</v>
      </c>
      <c r="C12262">
        <v>1536</v>
      </c>
      <c r="D12262" t="str">
        <f>"99931       "</f>
        <v xml:space="preserve">99931       </v>
      </c>
      <c r="E12262" t="s">
        <v>511</v>
      </c>
      <c r="F12262" t="s">
        <v>512</v>
      </c>
      <c r="G12262">
        <v>59.54</v>
      </c>
      <c r="H12262">
        <v>250131</v>
      </c>
      <c r="I12262">
        <v>4369</v>
      </c>
      <c r="J12262" t="s">
        <v>188</v>
      </c>
      <c r="K12262">
        <v>425.29</v>
      </c>
      <c r="L12262">
        <v>12.1</v>
      </c>
      <c r="M12262">
        <v>69703</v>
      </c>
      <c r="N12262" t="s">
        <v>88</v>
      </c>
      <c r="O12262">
        <v>250211</v>
      </c>
      <c r="P12262">
        <v>47.44</v>
      </c>
    </row>
    <row r="12263" spans="1:16" x14ac:dyDescent="0.25">
      <c r="A12263" t="s">
        <v>3296</v>
      </c>
      <c r="B12263" t="s">
        <v>2931</v>
      </c>
      <c r="C12263">
        <v>2787</v>
      </c>
      <c r="D12263" t="str">
        <f>"100487      "</f>
        <v xml:space="preserve">100487      </v>
      </c>
      <c r="E12263" t="s">
        <v>511</v>
      </c>
      <c r="F12263" t="s">
        <v>512</v>
      </c>
      <c r="G12263">
        <v>130.31</v>
      </c>
      <c r="H12263">
        <v>250228</v>
      </c>
      <c r="I12263">
        <v>4369</v>
      </c>
      <c r="J12263" t="s">
        <v>188</v>
      </c>
      <c r="K12263">
        <v>434.37</v>
      </c>
      <c r="L12263">
        <v>26.48</v>
      </c>
      <c r="M12263">
        <v>17971</v>
      </c>
      <c r="N12263" t="s">
        <v>27</v>
      </c>
      <c r="O12263">
        <v>250312</v>
      </c>
      <c r="P12263">
        <v>103.83</v>
      </c>
    </row>
    <row r="12264" spans="1:16" x14ac:dyDescent="0.25">
      <c r="A12264" t="s">
        <v>3296</v>
      </c>
      <c r="B12264" t="s">
        <v>2931</v>
      </c>
      <c r="C12264">
        <v>2787</v>
      </c>
      <c r="D12264" t="str">
        <f>"100487      "</f>
        <v xml:space="preserve">100487      </v>
      </c>
      <c r="E12264" t="s">
        <v>511</v>
      </c>
      <c r="F12264" t="s">
        <v>512</v>
      </c>
      <c r="G12264">
        <v>243.25</v>
      </c>
      <c r="H12264">
        <v>250228</v>
      </c>
      <c r="I12264">
        <v>4369</v>
      </c>
      <c r="J12264" t="s">
        <v>188</v>
      </c>
      <c r="K12264">
        <v>434.37</v>
      </c>
      <c r="L12264">
        <v>49.43</v>
      </c>
      <c r="M12264">
        <v>69701</v>
      </c>
      <c r="N12264" t="s">
        <v>1030</v>
      </c>
      <c r="O12264">
        <v>250312</v>
      </c>
      <c r="P12264">
        <v>193.82</v>
      </c>
    </row>
    <row r="12265" spans="1:16" x14ac:dyDescent="0.25">
      <c r="A12265" t="s">
        <v>3296</v>
      </c>
      <c r="B12265" t="s">
        <v>2931</v>
      </c>
      <c r="C12265">
        <v>2787</v>
      </c>
      <c r="D12265" t="str">
        <f>"100487      "</f>
        <v xml:space="preserve">100487      </v>
      </c>
      <c r="E12265" t="s">
        <v>511</v>
      </c>
      <c r="F12265" t="s">
        <v>512</v>
      </c>
      <c r="G12265">
        <v>60.81</v>
      </c>
      <c r="H12265">
        <v>250228</v>
      </c>
      <c r="I12265">
        <v>4369</v>
      </c>
      <c r="J12265" t="s">
        <v>188</v>
      </c>
      <c r="K12265">
        <v>434.37</v>
      </c>
      <c r="L12265">
        <v>12.36</v>
      </c>
      <c r="M12265">
        <v>69703</v>
      </c>
      <c r="N12265" t="s">
        <v>88</v>
      </c>
      <c r="O12265">
        <v>250312</v>
      </c>
      <c r="P12265">
        <v>48.45</v>
      </c>
    </row>
    <row r="12266" spans="1:16" x14ac:dyDescent="0.25">
      <c r="A12266" t="s">
        <v>3296</v>
      </c>
      <c r="B12266" t="s">
        <v>2931</v>
      </c>
      <c r="C12266">
        <v>4380</v>
      </c>
      <c r="D12266" t="str">
        <f>"101346      "</f>
        <v xml:space="preserve">101346      </v>
      </c>
      <c r="E12266" t="s">
        <v>511</v>
      </c>
      <c r="F12266" t="s">
        <v>512</v>
      </c>
      <c r="G12266">
        <v>120.25</v>
      </c>
      <c r="H12266">
        <v>250331</v>
      </c>
      <c r="I12266">
        <v>4369</v>
      </c>
      <c r="J12266" t="s">
        <v>188</v>
      </c>
      <c r="K12266">
        <v>400.85</v>
      </c>
      <c r="L12266">
        <v>24.43</v>
      </c>
      <c r="M12266">
        <v>17971</v>
      </c>
      <c r="N12266" t="s">
        <v>27</v>
      </c>
      <c r="O12266">
        <v>250411</v>
      </c>
      <c r="P12266">
        <v>95.82</v>
      </c>
    </row>
    <row r="12267" spans="1:16" x14ac:dyDescent="0.25">
      <c r="A12267" t="s">
        <v>3296</v>
      </c>
      <c r="B12267" t="s">
        <v>2931</v>
      </c>
      <c r="C12267">
        <v>4380</v>
      </c>
      <c r="D12267" t="str">
        <f>"101346      "</f>
        <v xml:space="preserve">101346      </v>
      </c>
      <c r="E12267" t="s">
        <v>511</v>
      </c>
      <c r="F12267" t="s">
        <v>512</v>
      </c>
      <c r="G12267">
        <v>196.42</v>
      </c>
      <c r="H12267">
        <v>250331</v>
      </c>
      <c r="I12267">
        <v>4369</v>
      </c>
      <c r="J12267" t="s">
        <v>188</v>
      </c>
      <c r="K12267">
        <v>400.85</v>
      </c>
      <c r="L12267">
        <v>39.909999999999997</v>
      </c>
      <c r="M12267">
        <v>69701</v>
      </c>
      <c r="N12267" t="s">
        <v>1030</v>
      </c>
      <c r="O12267">
        <v>250411</v>
      </c>
      <c r="P12267">
        <v>156.51</v>
      </c>
    </row>
    <row r="12268" spans="1:16" x14ac:dyDescent="0.25">
      <c r="A12268" t="s">
        <v>3296</v>
      </c>
      <c r="B12268" t="s">
        <v>2931</v>
      </c>
      <c r="C12268">
        <v>4380</v>
      </c>
      <c r="D12268" t="str">
        <f>"101346      "</f>
        <v xml:space="preserve">101346      </v>
      </c>
      <c r="E12268" t="s">
        <v>511</v>
      </c>
      <c r="F12268" t="s">
        <v>512</v>
      </c>
      <c r="G12268">
        <v>84.18</v>
      </c>
      <c r="H12268">
        <v>250331</v>
      </c>
      <c r="I12268">
        <v>4369</v>
      </c>
      <c r="J12268" t="s">
        <v>188</v>
      </c>
      <c r="K12268">
        <v>400.85</v>
      </c>
      <c r="L12268">
        <v>17.100000000000001</v>
      </c>
      <c r="M12268">
        <v>69703</v>
      </c>
      <c r="N12268" t="s">
        <v>88</v>
      </c>
      <c r="O12268">
        <v>250411</v>
      </c>
      <c r="P12268">
        <v>67.08</v>
      </c>
    </row>
    <row r="12269" spans="1:16" x14ac:dyDescent="0.25">
      <c r="A12269" t="s">
        <v>3296</v>
      </c>
      <c r="B12269" t="s">
        <v>2931</v>
      </c>
      <c r="C12269">
        <v>4786</v>
      </c>
      <c r="D12269" t="str">
        <f>"101675      "</f>
        <v xml:space="preserve">101675      </v>
      </c>
      <c r="E12269" t="s">
        <v>511</v>
      </c>
      <c r="F12269" t="s">
        <v>512</v>
      </c>
      <c r="G12269">
        <v>218.37</v>
      </c>
      <c r="H12269">
        <v>250404</v>
      </c>
      <c r="I12269">
        <v>4369</v>
      </c>
      <c r="J12269" t="s">
        <v>188</v>
      </c>
      <c r="K12269">
        <v>363.95</v>
      </c>
      <c r="L12269">
        <v>44.37</v>
      </c>
      <c r="M12269">
        <v>17971</v>
      </c>
      <c r="N12269" t="s">
        <v>27</v>
      </c>
      <c r="O12269">
        <v>250415</v>
      </c>
      <c r="P12269">
        <v>174</v>
      </c>
    </row>
    <row r="12270" spans="1:16" x14ac:dyDescent="0.25">
      <c r="A12270" t="s">
        <v>3296</v>
      </c>
      <c r="B12270" t="s">
        <v>2931</v>
      </c>
      <c r="C12270">
        <v>4786</v>
      </c>
      <c r="D12270" t="str">
        <f>"101675      "</f>
        <v xml:space="preserve">101675      </v>
      </c>
      <c r="E12270" t="s">
        <v>511</v>
      </c>
      <c r="F12270" t="s">
        <v>512</v>
      </c>
      <c r="G12270">
        <v>145.58000000000001</v>
      </c>
      <c r="H12270">
        <v>250404</v>
      </c>
      <c r="I12270">
        <v>4369</v>
      </c>
      <c r="J12270" t="s">
        <v>188</v>
      </c>
      <c r="K12270">
        <v>363.95</v>
      </c>
      <c r="L12270">
        <v>29.58</v>
      </c>
      <c r="M12270">
        <v>59702</v>
      </c>
      <c r="N12270" t="s">
        <v>45</v>
      </c>
      <c r="O12270">
        <v>250415</v>
      </c>
      <c r="P12270">
        <v>116</v>
      </c>
    </row>
    <row r="12271" spans="1:16" x14ac:dyDescent="0.25">
      <c r="A12271" t="s">
        <v>3296</v>
      </c>
      <c r="B12271" t="s">
        <v>2931</v>
      </c>
      <c r="C12271">
        <v>6040</v>
      </c>
      <c r="D12271" t="str">
        <f>"102166      "</f>
        <v xml:space="preserve">102166      </v>
      </c>
      <c r="E12271" t="s">
        <v>511</v>
      </c>
      <c r="F12271" t="s">
        <v>512</v>
      </c>
      <c r="G12271">
        <v>87.07</v>
      </c>
      <c r="H12271">
        <v>250430</v>
      </c>
      <c r="I12271">
        <v>4369</v>
      </c>
      <c r="J12271" t="s">
        <v>188</v>
      </c>
      <c r="K12271">
        <v>544.57000000000005</v>
      </c>
      <c r="L12271">
        <v>17.690000000000001</v>
      </c>
      <c r="M12271">
        <v>17971</v>
      </c>
      <c r="N12271" t="s">
        <v>27</v>
      </c>
      <c r="O12271">
        <v>250508</v>
      </c>
      <c r="P12271">
        <v>69.38</v>
      </c>
    </row>
    <row r="12272" spans="1:16" x14ac:dyDescent="0.25">
      <c r="A12272" t="s">
        <v>3296</v>
      </c>
      <c r="B12272" t="s">
        <v>2931</v>
      </c>
      <c r="C12272">
        <v>6040</v>
      </c>
      <c r="D12272" t="str">
        <f>"102166      "</f>
        <v xml:space="preserve">102166      </v>
      </c>
      <c r="E12272" t="s">
        <v>511</v>
      </c>
      <c r="F12272" t="s">
        <v>512</v>
      </c>
      <c r="G12272">
        <v>122.56</v>
      </c>
      <c r="H12272">
        <v>250430</v>
      </c>
      <c r="I12272">
        <v>4369</v>
      </c>
      <c r="J12272" t="s">
        <v>188</v>
      </c>
      <c r="K12272">
        <v>544.57000000000005</v>
      </c>
      <c r="L12272">
        <v>24.9</v>
      </c>
      <c r="M12272">
        <v>17971</v>
      </c>
      <c r="N12272" t="s">
        <v>27</v>
      </c>
      <c r="O12272">
        <v>250508</v>
      </c>
      <c r="P12272">
        <v>97.66</v>
      </c>
    </row>
    <row r="12273" spans="1:16" x14ac:dyDescent="0.25">
      <c r="A12273" t="s">
        <v>3296</v>
      </c>
      <c r="B12273" t="s">
        <v>2931</v>
      </c>
      <c r="C12273">
        <v>6040</v>
      </c>
      <c r="D12273" t="str">
        <f>"102166      "</f>
        <v xml:space="preserve">102166      </v>
      </c>
      <c r="E12273" t="s">
        <v>511</v>
      </c>
      <c r="F12273" t="s">
        <v>512</v>
      </c>
      <c r="G12273">
        <v>48.98</v>
      </c>
      <c r="H12273">
        <v>250430</v>
      </c>
      <c r="I12273">
        <v>4369</v>
      </c>
      <c r="J12273" t="s">
        <v>188</v>
      </c>
      <c r="K12273">
        <v>544.57000000000005</v>
      </c>
      <c r="L12273">
        <v>9.9499999999999993</v>
      </c>
      <c r="M12273">
        <v>59702</v>
      </c>
      <c r="N12273" t="s">
        <v>45</v>
      </c>
      <c r="O12273">
        <v>250508</v>
      </c>
      <c r="P12273">
        <v>39.03</v>
      </c>
    </row>
    <row r="12274" spans="1:16" x14ac:dyDescent="0.25">
      <c r="A12274" t="s">
        <v>3296</v>
      </c>
      <c r="B12274" t="s">
        <v>2931</v>
      </c>
      <c r="C12274">
        <v>6040</v>
      </c>
      <c r="D12274" t="str">
        <f>"102166      "</f>
        <v xml:space="preserve">102166      </v>
      </c>
      <c r="E12274" t="s">
        <v>511</v>
      </c>
      <c r="F12274" t="s">
        <v>512</v>
      </c>
      <c r="G12274">
        <v>228.77</v>
      </c>
      <c r="H12274">
        <v>250430</v>
      </c>
      <c r="I12274">
        <v>4369</v>
      </c>
      <c r="J12274" t="s">
        <v>188</v>
      </c>
      <c r="K12274">
        <v>544.57000000000005</v>
      </c>
      <c r="L12274">
        <v>46.48</v>
      </c>
      <c r="M12274">
        <v>69701</v>
      </c>
      <c r="N12274" t="s">
        <v>1030</v>
      </c>
      <c r="O12274">
        <v>250508</v>
      </c>
      <c r="P12274">
        <v>182.29</v>
      </c>
    </row>
    <row r="12275" spans="1:16" x14ac:dyDescent="0.25">
      <c r="A12275" t="s">
        <v>3296</v>
      </c>
      <c r="B12275" t="s">
        <v>2931</v>
      </c>
      <c r="C12275">
        <v>6040</v>
      </c>
      <c r="D12275" t="str">
        <f>"102166      "</f>
        <v xml:space="preserve">102166      </v>
      </c>
      <c r="E12275" t="s">
        <v>511</v>
      </c>
      <c r="F12275" t="s">
        <v>512</v>
      </c>
      <c r="G12275">
        <v>57.19</v>
      </c>
      <c r="H12275">
        <v>250430</v>
      </c>
      <c r="I12275">
        <v>4369</v>
      </c>
      <c r="J12275" t="s">
        <v>188</v>
      </c>
      <c r="K12275">
        <v>544.57000000000005</v>
      </c>
      <c r="L12275">
        <v>11.62</v>
      </c>
      <c r="M12275">
        <v>69703</v>
      </c>
      <c r="N12275" t="s">
        <v>88</v>
      </c>
      <c r="O12275">
        <v>250508</v>
      </c>
      <c r="P12275">
        <v>45.57</v>
      </c>
    </row>
    <row r="12276" spans="1:16" x14ac:dyDescent="0.25">
      <c r="A12276" t="s">
        <v>3296</v>
      </c>
      <c r="B12276" t="s">
        <v>2931</v>
      </c>
      <c r="C12276">
        <v>8001</v>
      </c>
      <c r="D12276" t="str">
        <f>"102547      "</f>
        <v xml:space="preserve">102547      </v>
      </c>
      <c r="E12276" t="s">
        <v>511</v>
      </c>
      <c r="F12276" t="s">
        <v>512</v>
      </c>
      <c r="G12276">
        <v>65.790000000000006</v>
      </c>
      <c r="H12276">
        <v>250531</v>
      </c>
      <c r="I12276">
        <v>4369</v>
      </c>
      <c r="J12276" t="s">
        <v>188</v>
      </c>
      <c r="K12276">
        <v>544.57000000000005</v>
      </c>
      <c r="L12276">
        <v>13.37</v>
      </c>
      <c r="M12276">
        <v>17971</v>
      </c>
      <c r="N12276" t="s">
        <v>27</v>
      </c>
      <c r="O12276">
        <v>250610</v>
      </c>
      <c r="P12276">
        <v>52.42</v>
      </c>
    </row>
    <row r="12277" spans="1:16" x14ac:dyDescent="0.25">
      <c r="A12277" t="s">
        <v>3296</v>
      </c>
      <c r="B12277" t="s">
        <v>2931</v>
      </c>
      <c r="C12277">
        <v>8001</v>
      </c>
      <c r="D12277" t="str">
        <f>"102547      "</f>
        <v xml:space="preserve">102547      </v>
      </c>
      <c r="E12277" t="s">
        <v>511</v>
      </c>
      <c r="F12277" t="s">
        <v>512</v>
      </c>
      <c r="G12277">
        <v>132.53</v>
      </c>
      <c r="H12277">
        <v>250531</v>
      </c>
      <c r="I12277">
        <v>4369</v>
      </c>
      <c r="J12277" t="s">
        <v>188</v>
      </c>
      <c r="K12277">
        <v>544.57000000000005</v>
      </c>
      <c r="L12277">
        <v>26.93</v>
      </c>
      <c r="M12277">
        <v>17971</v>
      </c>
      <c r="N12277" t="s">
        <v>27</v>
      </c>
      <c r="O12277">
        <v>250610</v>
      </c>
      <c r="P12277">
        <v>105.6</v>
      </c>
    </row>
    <row r="12278" spans="1:16" x14ac:dyDescent="0.25">
      <c r="A12278" t="s">
        <v>3296</v>
      </c>
      <c r="B12278" t="s">
        <v>2931</v>
      </c>
      <c r="C12278">
        <v>8001</v>
      </c>
      <c r="D12278" t="str">
        <f>"102547      "</f>
        <v xml:space="preserve">102547      </v>
      </c>
      <c r="E12278" t="s">
        <v>511</v>
      </c>
      <c r="F12278" t="s">
        <v>512</v>
      </c>
      <c r="G12278">
        <v>37</v>
      </c>
      <c r="H12278">
        <v>250531</v>
      </c>
      <c r="I12278">
        <v>4369</v>
      </c>
      <c r="J12278" t="s">
        <v>188</v>
      </c>
      <c r="K12278">
        <v>544.57000000000005</v>
      </c>
      <c r="L12278">
        <v>7.52</v>
      </c>
      <c r="M12278">
        <v>59702</v>
      </c>
      <c r="N12278" t="s">
        <v>45</v>
      </c>
      <c r="O12278">
        <v>250610</v>
      </c>
      <c r="P12278">
        <v>29.48</v>
      </c>
    </row>
    <row r="12279" spans="1:16" x14ac:dyDescent="0.25">
      <c r="A12279" t="s">
        <v>3296</v>
      </c>
      <c r="B12279" t="s">
        <v>2931</v>
      </c>
      <c r="C12279">
        <v>8001</v>
      </c>
      <c r="D12279" t="str">
        <f>"102547      "</f>
        <v xml:space="preserve">102547      </v>
      </c>
      <c r="E12279" t="s">
        <v>511</v>
      </c>
      <c r="F12279" t="s">
        <v>512</v>
      </c>
      <c r="G12279">
        <v>247.4</v>
      </c>
      <c r="H12279">
        <v>250531</v>
      </c>
      <c r="I12279">
        <v>4369</v>
      </c>
      <c r="J12279" t="s">
        <v>188</v>
      </c>
      <c r="K12279">
        <v>544.57000000000005</v>
      </c>
      <c r="L12279">
        <v>50.27</v>
      </c>
      <c r="M12279">
        <v>69701</v>
      </c>
      <c r="N12279" t="s">
        <v>1030</v>
      </c>
      <c r="O12279">
        <v>250610</v>
      </c>
      <c r="P12279">
        <v>197.13</v>
      </c>
    </row>
    <row r="12280" spans="1:16" x14ac:dyDescent="0.25">
      <c r="A12280" t="s">
        <v>3296</v>
      </c>
      <c r="B12280" t="s">
        <v>2931</v>
      </c>
      <c r="C12280">
        <v>8001</v>
      </c>
      <c r="D12280" t="str">
        <f>"102547      "</f>
        <v xml:space="preserve">102547      </v>
      </c>
      <c r="E12280" t="s">
        <v>511</v>
      </c>
      <c r="F12280" t="s">
        <v>512</v>
      </c>
      <c r="G12280">
        <v>61.85</v>
      </c>
      <c r="H12280">
        <v>250531</v>
      </c>
      <c r="I12280">
        <v>4369</v>
      </c>
      <c r="J12280" t="s">
        <v>188</v>
      </c>
      <c r="K12280">
        <v>544.57000000000005</v>
      </c>
      <c r="L12280">
        <v>12.57</v>
      </c>
      <c r="M12280">
        <v>69703</v>
      </c>
      <c r="N12280" t="s">
        <v>88</v>
      </c>
      <c r="O12280">
        <v>250610</v>
      </c>
      <c r="P12280">
        <v>49.28</v>
      </c>
    </row>
    <row r="12281" spans="1:16" x14ac:dyDescent="0.25">
      <c r="A12281" t="s">
        <v>3296</v>
      </c>
      <c r="B12281" t="s">
        <v>2931</v>
      </c>
      <c r="C12281">
        <v>9389</v>
      </c>
      <c r="D12281" t="str">
        <f>"103808      "</f>
        <v xml:space="preserve">103808      </v>
      </c>
      <c r="E12281" t="s">
        <v>511</v>
      </c>
      <c r="F12281" t="s">
        <v>512</v>
      </c>
      <c r="G12281">
        <v>65.790000000000006</v>
      </c>
      <c r="H12281">
        <v>250630</v>
      </c>
      <c r="I12281">
        <v>4369</v>
      </c>
      <c r="J12281" t="s">
        <v>188</v>
      </c>
      <c r="K12281">
        <v>571.1</v>
      </c>
      <c r="L12281">
        <v>13.37</v>
      </c>
      <c r="M12281">
        <v>17971</v>
      </c>
      <c r="N12281" t="s">
        <v>27</v>
      </c>
      <c r="O12281">
        <v>250707</v>
      </c>
      <c r="P12281">
        <v>52.42</v>
      </c>
    </row>
    <row r="12282" spans="1:16" x14ac:dyDescent="0.25">
      <c r="A12282" t="s">
        <v>3296</v>
      </c>
      <c r="B12282" t="s">
        <v>2931</v>
      </c>
      <c r="C12282">
        <v>9389</v>
      </c>
      <c r="D12282" t="str">
        <f>"103808      "</f>
        <v xml:space="preserve">103808      </v>
      </c>
      <c r="E12282" t="s">
        <v>511</v>
      </c>
      <c r="F12282" t="s">
        <v>512</v>
      </c>
      <c r="G12282">
        <v>140.49</v>
      </c>
      <c r="H12282">
        <v>250630</v>
      </c>
      <c r="I12282">
        <v>4369</v>
      </c>
      <c r="J12282" t="s">
        <v>188</v>
      </c>
      <c r="K12282">
        <v>571.1</v>
      </c>
      <c r="L12282">
        <v>28.55</v>
      </c>
      <c r="M12282">
        <v>17971</v>
      </c>
      <c r="N12282" t="s">
        <v>27</v>
      </c>
      <c r="O12282">
        <v>250707</v>
      </c>
      <c r="P12282">
        <v>111.94</v>
      </c>
    </row>
    <row r="12283" spans="1:16" x14ac:dyDescent="0.25">
      <c r="A12283" t="s">
        <v>3296</v>
      </c>
      <c r="B12283" t="s">
        <v>2931</v>
      </c>
      <c r="C12283">
        <v>9389</v>
      </c>
      <c r="D12283" t="str">
        <f>"103808      "</f>
        <v xml:space="preserve">103808      </v>
      </c>
      <c r="E12283" t="s">
        <v>511</v>
      </c>
      <c r="F12283" t="s">
        <v>512</v>
      </c>
      <c r="G12283">
        <v>37</v>
      </c>
      <c r="H12283">
        <v>250630</v>
      </c>
      <c r="I12283">
        <v>4369</v>
      </c>
      <c r="J12283" t="s">
        <v>188</v>
      </c>
      <c r="K12283">
        <v>571.1</v>
      </c>
      <c r="L12283">
        <v>7.52</v>
      </c>
      <c r="M12283">
        <v>59702</v>
      </c>
      <c r="N12283" t="s">
        <v>45</v>
      </c>
      <c r="O12283">
        <v>250707</v>
      </c>
      <c r="P12283">
        <v>29.48</v>
      </c>
    </row>
    <row r="12284" spans="1:16" x14ac:dyDescent="0.25">
      <c r="A12284" t="s">
        <v>3296</v>
      </c>
      <c r="B12284" t="s">
        <v>2931</v>
      </c>
      <c r="C12284">
        <v>9389</v>
      </c>
      <c r="D12284" t="str">
        <f>"103808      "</f>
        <v xml:space="preserve">103808      </v>
      </c>
      <c r="E12284" t="s">
        <v>511</v>
      </c>
      <c r="F12284" t="s">
        <v>512</v>
      </c>
      <c r="G12284">
        <v>262.26</v>
      </c>
      <c r="H12284">
        <v>250630</v>
      </c>
      <c r="I12284">
        <v>4369</v>
      </c>
      <c r="J12284" t="s">
        <v>188</v>
      </c>
      <c r="K12284">
        <v>571.1</v>
      </c>
      <c r="L12284">
        <v>53.29</v>
      </c>
      <c r="M12284">
        <v>69701</v>
      </c>
      <c r="N12284" t="s">
        <v>1030</v>
      </c>
      <c r="O12284">
        <v>250707</v>
      </c>
      <c r="P12284">
        <v>208.97</v>
      </c>
    </row>
    <row r="12285" spans="1:16" x14ac:dyDescent="0.25">
      <c r="A12285" t="s">
        <v>3296</v>
      </c>
      <c r="B12285" t="s">
        <v>2931</v>
      </c>
      <c r="C12285">
        <v>9389</v>
      </c>
      <c r="D12285" t="str">
        <f>"103808      "</f>
        <v xml:space="preserve">103808      </v>
      </c>
      <c r="E12285" t="s">
        <v>511</v>
      </c>
      <c r="F12285" t="s">
        <v>512</v>
      </c>
      <c r="G12285">
        <v>65.56</v>
      </c>
      <c r="H12285">
        <v>250630</v>
      </c>
      <c r="I12285">
        <v>4369</v>
      </c>
      <c r="J12285" t="s">
        <v>188</v>
      </c>
      <c r="K12285">
        <v>571.1</v>
      </c>
      <c r="L12285">
        <v>13.32</v>
      </c>
      <c r="M12285">
        <v>69703</v>
      </c>
      <c r="N12285" t="s">
        <v>88</v>
      </c>
      <c r="O12285">
        <v>250707</v>
      </c>
      <c r="P12285">
        <v>52.24</v>
      </c>
    </row>
    <row r="12286" spans="1:16" x14ac:dyDescent="0.25">
      <c r="A12286" t="s">
        <v>3296</v>
      </c>
      <c r="B12286" t="s">
        <v>2931</v>
      </c>
      <c r="C12286">
        <v>9986</v>
      </c>
      <c r="D12286" t="str">
        <f>"104357      "</f>
        <v xml:space="preserve">104357      </v>
      </c>
      <c r="E12286" t="s">
        <v>511</v>
      </c>
      <c r="F12286" t="s">
        <v>512</v>
      </c>
      <c r="G12286">
        <v>88.43</v>
      </c>
      <c r="H12286">
        <v>250731</v>
      </c>
      <c r="I12286">
        <v>4369</v>
      </c>
      <c r="J12286" t="s">
        <v>188</v>
      </c>
      <c r="K12286">
        <v>563.41999999999996</v>
      </c>
      <c r="L12286">
        <v>17.97</v>
      </c>
      <c r="M12286">
        <v>17971</v>
      </c>
      <c r="N12286" t="s">
        <v>27</v>
      </c>
      <c r="O12286">
        <v>250806</v>
      </c>
      <c r="P12286">
        <v>70.459999999999994</v>
      </c>
    </row>
    <row r="12287" spans="1:16" x14ac:dyDescent="0.25">
      <c r="A12287" t="s">
        <v>3296</v>
      </c>
      <c r="B12287" t="s">
        <v>2931</v>
      </c>
      <c r="C12287">
        <v>9986</v>
      </c>
      <c r="D12287" t="str">
        <f>"104357      "</f>
        <v xml:space="preserve">104357      </v>
      </c>
      <c r="E12287" t="s">
        <v>511</v>
      </c>
      <c r="F12287" t="s">
        <v>512</v>
      </c>
      <c r="G12287">
        <v>128.21</v>
      </c>
      <c r="H12287">
        <v>250731</v>
      </c>
      <c r="I12287">
        <v>4369</v>
      </c>
      <c r="J12287" t="s">
        <v>188</v>
      </c>
      <c r="K12287">
        <v>563.41999999999996</v>
      </c>
      <c r="L12287">
        <v>26.05</v>
      </c>
      <c r="M12287">
        <v>17971</v>
      </c>
      <c r="N12287" t="s">
        <v>27</v>
      </c>
      <c r="O12287">
        <v>250806</v>
      </c>
      <c r="P12287">
        <v>102.16</v>
      </c>
    </row>
    <row r="12288" spans="1:16" x14ac:dyDescent="0.25">
      <c r="A12288" t="s">
        <v>3296</v>
      </c>
      <c r="B12288" t="s">
        <v>2931</v>
      </c>
      <c r="C12288">
        <v>9986</v>
      </c>
      <c r="D12288" t="str">
        <f>"104357      "</f>
        <v xml:space="preserve">104357      </v>
      </c>
      <c r="E12288" t="s">
        <v>511</v>
      </c>
      <c r="F12288" t="s">
        <v>512</v>
      </c>
      <c r="G12288">
        <v>47.62</v>
      </c>
      <c r="H12288">
        <v>250731</v>
      </c>
      <c r="I12288">
        <v>4369</v>
      </c>
      <c r="J12288" t="s">
        <v>188</v>
      </c>
      <c r="K12288">
        <v>563.41999999999996</v>
      </c>
      <c r="L12288">
        <v>9.68</v>
      </c>
      <c r="M12288">
        <v>59702</v>
      </c>
      <c r="N12288" t="s">
        <v>45</v>
      </c>
      <c r="O12288">
        <v>250806</v>
      </c>
      <c r="P12288">
        <v>37.94</v>
      </c>
    </row>
    <row r="12289" spans="1:16" x14ac:dyDescent="0.25">
      <c r="A12289" t="s">
        <v>3296</v>
      </c>
      <c r="B12289" t="s">
        <v>2931</v>
      </c>
      <c r="C12289">
        <v>9986</v>
      </c>
      <c r="D12289" t="str">
        <f>"104357      "</f>
        <v xml:space="preserve">104357      </v>
      </c>
      <c r="E12289" t="s">
        <v>511</v>
      </c>
      <c r="F12289" t="s">
        <v>512</v>
      </c>
      <c r="G12289">
        <v>239.33</v>
      </c>
      <c r="H12289">
        <v>250731</v>
      </c>
      <c r="I12289">
        <v>4369</v>
      </c>
      <c r="J12289" t="s">
        <v>188</v>
      </c>
      <c r="K12289">
        <v>563.41999999999996</v>
      </c>
      <c r="L12289">
        <v>48.63</v>
      </c>
      <c r="M12289">
        <v>69701</v>
      </c>
      <c r="N12289" t="s">
        <v>1030</v>
      </c>
      <c r="O12289">
        <v>250806</v>
      </c>
      <c r="P12289">
        <v>190.7</v>
      </c>
    </row>
    <row r="12290" spans="1:16" x14ac:dyDescent="0.25">
      <c r="A12290" t="s">
        <v>3296</v>
      </c>
      <c r="B12290" t="s">
        <v>2931</v>
      </c>
      <c r="C12290">
        <v>9986</v>
      </c>
      <c r="D12290" t="str">
        <f>"104357      "</f>
        <v xml:space="preserve">104357      </v>
      </c>
      <c r="E12290" t="s">
        <v>511</v>
      </c>
      <c r="F12290" t="s">
        <v>512</v>
      </c>
      <c r="G12290">
        <v>59.83</v>
      </c>
      <c r="H12290">
        <v>250731</v>
      </c>
      <c r="I12290">
        <v>4369</v>
      </c>
      <c r="J12290" t="s">
        <v>188</v>
      </c>
      <c r="K12290">
        <v>563.41999999999996</v>
      </c>
      <c r="L12290">
        <v>12.16</v>
      </c>
      <c r="M12290">
        <v>69703</v>
      </c>
      <c r="N12290" t="s">
        <v>88</v>
      </c>
      <c r="O12290">
        <v>250806</v>
      </c>
      <c r="P12290">
        <v>47.67</v>
      </c>
    </row>
    <row r="12291" spans="1:16" x14ac:dyDescent="0.25">
      <c r="A12291" t="s">
        <v>3296</v>
      </c>
      <c r="B12291" t="s">
        <v>2931</v>
      </c>
      <c r="C12291">
        <v>11510</v>
      </c>
      <c r="D12291" t="str">
        <f>"104985      "</f>
        <v xml:space="preserve">104985      </v>
      </c>
      <c r="E12291" t="s">
        <v>511</v>
      </c>
      <c r="F12291" t="s">
        <v>512</v>
      </c>
      <c r="G12291">
        <v>87.07</v>
      </c>
      <c r="H12291">
        <v>250831</v>
      </c>
      <c r="I12291">
        <v>4369</v>
      </c>
      <c r="J12291" t="s">
        <v>188</v>
      </c>
      <c r="K12291">
        <v>542.47</v>
      </c>
      <c r="L12291">
        <v>17.690000000000001</v>
      </c>
      <c r="M12291">
        <v>17971</v>
      </c>
      <c r="N12291" t="s">
        <v>27</v>
      </c>
      <c r="O12291">
        <v>250908</v>
      </c>
      <c r="P12291">
        <v>69.38</v>
      </c>
    </row>
    <row r="12292" spans="1:16" x14ac:dyDescent="0.25">
      <c r="A12292" t="s">
        <v>3296</v>
      </c>
      <c r="B12292" t="s">
        <v>2931</v>
      </c>
      <c r="C12292">
        <v>11510</v>
      </c>
      <c r="D12292" t="str">
        <f>"104985      "</f>
        <v xml:space="preserve">104985      </v>
      </c>
      <c r="E12292" t="s">
        <v>511</v>
      </c>
      <c r="F12292" t="s">
        <v>512</v>
      </c>
      <c r="G12292">
        <v>121.93</v>
      </c>
      <c r="H12292">
        <v>250831</v>
      </c>
      <c r="I12292">
        <v>4369</v>
      </c>
      <c r="J12292" t="s">
        <v>188</v>
      </c>
      <c r="K12292">
        <v>542.47</v>
      </c>
      <c r="L12292">
        <v>24.77</v>
      </c>
      <c r="M12292">
        <v>17971</v>
      </c>
      <c r="N12292" t="s">
        <v>27</v>
      </c>
      <c r="O12292">
        <v>250908</v>
      </c>
      <c r="P12292">
        <v>97.16</v>
      </c>
    </row>
    <row r="12293" spans="1:16" x14ac:dyDescent="0.25">
      <c r="A12293" t="s">
        <v>3296</v>
      </c>
      <c r="B12293" t="s">
        <v>2931</v>
      </c>
      <c r="C12293">
        <v>11510</v>
      </c>
      <c r="D12293" t="str">
        <f>"104985      "</f>
        <v xml:space="preserve">104985      </v>
      </c>
      <c r="E12293" t="s">
        <v>511</v>
      </c>
      <c r="F12293" t="s">
        <v>512</v>
      </c>
      <c r="G12293">
        <v>48.98</v>
      </c>
      <c r="H12293">
        <v>250831</v>
      </c>
      <c r="I12293">
        <v>4369</v>
      </c>
      <c r="J12293" t="s">
        <v>188</v>
      </c>
      <c r="K12293">
        <v>542.47</v>
      </c>
      <c r="L12293">
        <v>9.9499999999999993</v>
      </c>
      <c r="M12293">
        <v>59702</v>
      </c>
      <c r="N12293" t="s">
        <v>45</v>
      </c>
      <c r="O12293">
        <v>250908</v>
      </c>
      <c r="P12293">
        <v>39.03</v>
      </c>
    </row>
    <row r="12294" spans="1:16" x14ac:dyDescent="0.25">
      <c r="A12294" t="s">
        <v>3296</v>
      </c>
      <c r="B12294" t="s">
        <v>2931</v>
      </c>
      <c r="C12294">
        <v>11510</v>
      </c>
      <c r="D12294" t="str">
        <f>"104985      "</f>
        <v xml:space="preserve">104985      </v>
      </c>
      <c r="E12294" t="s">
        <v>511</v>
      </c>
      <c r="F12294" t="s">
        <v>512</v>
      </c>
      <c r="G12294">
        <v>227.59</v>
      </c>
      <c r="H12294">
        <v>250831</v>
      </c>
      <c r="I12294">
        <v>4369</v>
      </c>
      <c r="J12294" t="s">
        <v>188</v>
      </c>
      <c r="K12294">
        <v>542.47</v>
      </c>
      <c r="L12294">
        <v>46.24</v>
      </c>
      <c r="M12294">
        <v>69701</v>
      </c>
      <c r="N12294" t="s">
        <v>1030</v>
      </c>
      <c r="O12294">
        <v>250908</v>
      </c>
      <c r="P12294">
        <v>181.35</v>
      </c>
    </row>
    <row r="12295" spans="1:16" x14ac:dyDescent="0.25">
      <c r="A12295" t="s">
        <v>3296</v>
      </c>
      <c r="B12295" t="s">
        <v>2931</v>
      </c>
      <c r="C12295">
        <v>11510</v>
      </c>
      <c r="D12295" t="str">
        <f>"104985      "</f>
        <v xml:space="preserve">104985      </v>
      </c>
      <c r="E12295" t="s">
        <v>511</v>
      </c>
      <c r="F12295" t="s">
        <v>512</v>
      </c>
      <c r="G12295">
        <v>56.9</v>
      </c>
      <c r="H12295">
        <v>250831</v>
      </c>
      <c r="I12295">
        <v>4369</v>
      </c>
      <c r="J12295" t="s">
        <v>188</v>
      </c>
      <c r="K12295">
        <v>542.47</v>
      </c>
      <c r="L12295">
        <v>11.56</v>
      </c>
      <c r="M12295">
        <v>69703</v>
      </c>
      <c r="N12295" t="s">
        <v>88</v>
      </c>
      <c r="O12295">
        <v>250908</v>
      </c>
      <c r="P12295">
        <v>45.34</v>
      </c>
    </row>
    <row r="12296" spans="1:16" x14ac:dyDescent="0.25">
      <c r="A12296" t="s">
        <v>3296</v>
      </c>
      <c r="B12296" t="s">
        <v>2931</v>
      </c>
      <c r="C12296">
        <v>13418</v>
      </c>
      <c r="D12296" t="str">
        <f>"105716      "</f>
        <v xml:space="preserve">105716      </v>
      </c>
      <c r="E12296" t="s">
        <v>511</v>
      </c>
      <c r="F12296" t="s">
        <v>512</v>
      </c>
      <c r="G12296">
        <v>87.07</v>
      </c>
      <c r="H12296">
        <v>250930</v>
      </c>
      <c r="I12296">
        <v>4369</v>
      </c>
      <c r="J12296" t="s">
        <v>188</v>
      </c>
      <c r="K12296">
        <v>527.11</v>
      </c>
      <c r="L12296">
        <v>17.690000000000001</v>
      </c>
      <c r="M12296">
        <v>17971</v>
      </c>
      <c r="N12296" t="s">
        <v>27</v>
      </c>
      <c r="O12296">
        <v>251009</v>
      </c>
      <c r="P12296">
        <v>69.38</v>
      </c>
    </row>
    <row r="12297" spans="1:16" x14ac:dyDescent="0.25">
      <c r="A12297" t="s">
        <v>3296</v>
      </c>
      <c r="B12297" t="s">
        <v>2931</v>
      </c>
      <c r="C12297">
        <v>13418</v>
      </c>
      <c r="D12297" t="str">
        <f>"105716      "</f>
        <v xml:space="preserve">105716      </v>
      </c>
      <c r="E12297" t="s">
        <v>511</v>
      </c>
      <c r="F12297" t="s">
        <v>512</v>
      </c>
      <c r="G12297">
        <v>117.32</v>
      </c>
      <c r="H12297">
        <v>250930</v>
      </c>
      <c r="I12297">
        <v>4369</v>
      </c>
      <c r="J12297" t="s">
        <v>188</v>
      </c>
      <c r="K12297">
        <v>527.11</v>
      </c>
      <c r="L12297">
        <v>23.84</v>
      </c>
      <c r="M12297">
        <v>17971</v>
      </c>
      <c r="N12297" t="s">
        <v>27</v>
      </c>
      <c r="O12297">
        <v>251009</v>
      </c>
      <c r="P12297">
        <v>93.48</v>
      </c>
    </row>
    <row r="12298" spans="1:16" x14ac:dyDescent="0.25">
      <c r="A12298" t="s">
        <v>3296</v>
      </c>
      <c r="B12298" t="s">
        <v>2931</v>
      </c>
      <c r="C12298">
        <v>13418</v>
      </c>
      <c r="D12298" t="str">
        <f>"105716      "</f>
        <v xml:space="preserve">105716      </v>
      </c>
      <c r="E12298" t="s">
        <v>511</v>
      </c>
      <c r="F12298" t="s">
        <v>512</v>
      </c>
      <c r="G12298">
        <v>48.98</v>
      </c>
      <c r="H12298">
        <v>250930</v>
      </c>
      <c r="I12298">
        <v>4369</v>
      </c>
      <c r="J12298" t="s">
        <v>188</v>
      </c>
      <c r="K12298">
        <v>527.11</v>
      </c>
      <c r="L12298">
        <v>9.9499999999999993</v>
      </c>
      <c r="M12298">
        <v>59702</v>
      </c>
      <c r="N12298" t="s">
        <v>45</v>
      </c>
      <c r="O12298">
        <v>251009</v>
      </c>
      <c r="P12298">
        <v>39.03</v>
      </c>
    </row>
    <row r="12299" spans="1:16" x14ac:dyDescent="0.25">
      <c r="A12299" t="s">
        <v>3296</v>
      </c>
      <c r="B12299" t="s">
        <v>2931</v>
      </c>
      <c r="C12299">
        <v>13418</v>
      </c>
      <c r="D12299" t="str">
        <f>"105716      "</f>
        <v xml:space="preserve">105716      </v>
      </c>
      <c r="E12299" t="s">
        <v>511</v>
      </c>
      <c r="F12299" t="s">
        <v>512</v>
      </c>
      <c r="G12299">
        <v>218.99</v>
      </c>
      <c r="H12299">
        <v>250930</v>
      </c>
      <c r="I12299">
        <v>4369</v>
      </c>
      <c r="J12299" t="s">
        <v>188</v>
      </c>
      <c r="K12299">
        <v>527.11</v>
      </c>
      <c r="L12299">
        <v>44.5</v>
      </c>
      <c r="M12299">
        <v>69701</v>
      </c>
      <c r="N12299" t="s">
        <v>1030</v>
      </c>
      <c r="O12299">
        <v>251009</v>
      </c>
      <c r="P12299">
        <v>174.49</v>
      </c>
    </row>
    <row r="12300" spans="1:16" x14ac:dyDescent="0.25">
      <c r="A12300" t="s">
        <v>3296</v>
      </c>
      <c r="B12300" t="s">
        <v>2931</v>
      </c>
      <c r="C12300">
        <v>13418</v>
      </c>
      <c r="D12300" t="str">
        <f>"105716      "</f>
        <v xml:space="preserve">105716      </v>
      </c>
      <c r="E12300" t="s">
        <v>511</v>
      </c>
      <c r="F12300" t="s">
        <v>512</v>
      </c>
      <c r="G12300">
        <v>54.75</v>
      </c>
      <c r="H12300">
        <v>250930</v>
      </c>
      <c r="I12300">
        <v>4369</v>
      </c>
      <c r="J12300" t="s">
        <v>188</v>
      </c>
      <c r="K12300">
        <v>527.11</v>
      </c>
      <c r="L12300">
        <v>11.12</v>
      </c>
      <c r="M12300">
        <v>69703</v>
      </c>
      <c r="N12300" t="s">
        <v>88</v>
      </c>
      <c r="O12300">
        <v>251009</v>
      </c>
      <c r="P12300">
        <v>43.63</v>
      </c>
    </row>
    <row r="12301" spans="1:16" x14ac:dyDescent="0.25">
      <c r="A12301" t="s">
        <v>3296</v>
      </c>
      <c r="B12301" t="s">
        <v>2931</v>
      </c>
      <c r="C12301">
        <v>14850</v>
      </c>
      <c r="D12301" t="str">
        <f>"106322      "</f>
        <v xml:space="preserve">106322      </v>
      </c>
      <c r="E12301" t="s">
        <v>511</v>
      </c>
      <c r="F12301" t="s">
        <v>512</v>
      </c>
      <c r="G12301">
        <v>117.32</v>
      </c>
      <c r="H12301">
        <v>251031</v>
      </c>
      <c r="I12301">
        <v>4369</v>
      </c>
      <c r="J12301" t="s">
        <v>188</v>
      </c>
      <c r="K12301">
        <v>710.03</v>
      </c>
      <c r="L12301">
        <v>23.84</v>
      </c>
      <c r="M12301">
        <v>17971</v>
      </c>
      <c r="N12301" t="s">
        <v>27</v>
      </c>
      <c r="O12301">
        <v>251107</v>
      </c>
      <c r="P12301">
        <v>93.48</v>
      </c>
    </row>
    <row r="12302" spans="1:16" x14ac:dyDescent="0.25">
      <c r="A12302" t="s">
        <v>3296</v>
      </c>
      <c r="B12302" t="s">
        <v>2931</v>
      </c>
      <c r="C12302">
        <v>14850</v>
      </c>
      <c r="D12302" t="str">
        <f>"106322      "</f>
        <v xml:space="preserve">106322      </v>
      </c>
      <c r="E12302" t="s">
        <v>511</v>
      </c>
      <c r="F12302" t="s">
        <v>512</v>
      </c>
      <c r="G12302">
        <v>204.13</v>
      </c>
      <c r="H12302">
        <v>251031</v>
      </c>
      <c r="I12302">
        <v>4369</v>
      </c>
      <c r="J12302" t="s">
        <v>188</v>
      </c>
      <c r="K12302">
        <v>710.03</v>
      </c>
      <c r="L12302">
        <v>41.48</v>
      </c>
      <c r="M12302">
        <v>17971</v>
      </c>
      <c r="N12302" t="s">
        <v>27</v>
      </c>
      <c r="O12302">
        <v>251107</v>
      </c>
      <c r="P12302">
        <v>162.65</v>
      </c>
    </row>
    <row r="12303" spans="1:16" x14ac:dyDescent="0.25">
      <c r="A12303" t="s">
        <v>3296</v>
      </c>
      <c r="B12303" t="s">
        <v>2931</v>
      </c>
      <c r="C12303">
        <v>14850</v>
      </c>
      <c r="D12303" t="str">
        <f>"106322      "</f>
        <v xml:space="preserve">106322      </v>
      </c>
      <c r="E12303" t="s">
        <v>511</v>
      </c>
      <c r="F12303" t="s">
        <v>512</v>
      </c>
      <c r="G12303">
        <v>114.83</v>
      </c>
      <c r="H12303">
        <v>251031</v>
      </c>
      <c r="I12303">
        <v>4369</v>
      </c>
      <c r="J12303" t="s">
        <v>188</v>
      </c>
      <c r="K12303">
        <v>710.03</v>
      </c>
      <c r="L12303">
        <v>23.33</v>
      </c>
      <c r="M12303">
        <v>59702</v>
      </c>
      <c r="N12303" t="s">
        <v>45</v>
      </c>
      <c r="O12303">
        <v>251107</v>
      </c>
      <c r="P12303">
        <v>91.5</v>
      </c>
    </row>
    <row r="12304" spans="1:16" x14ac:dyDescent="0.25">
      <c r="A12304" t="s">
        <v>3296</v>
      </c>
      <c r="B12304" t="s">
        <v>2931</v>
      </c>
      <c r="C12304">
        <v>14850</v>
      </c>
      <c r="D12304" t="str">
        <f>"106322      "</f>
        <v xml:space="preserve">106322      </v>
      </c>
      <c r="E12304" t="s">
        <v>511</v>
      </c>
      <c r="F12304" t="s">
        <v>512</v>
      </c>
      <c r="G12304">
        <v>219</v>
      </c>
      <c r="H12304">
        <v>251031</v>
      </c>
      <c r="I12304">
        <v>4369</v>
      </c>
      <c r="J12304" t="s">
        <v>188</v>
      </c>
      <c r="K12304">
        <v>710.03</v>
      </c>
      <c r="L12304">
        <v>44.5</v>
      </c>
      <c r="M12304">
        <v>69701</v>
      </c>
      <c r="N12304" t="s">
        <v>1030</v>
      </c>
      <c r="O12304">
        <v>251107</v>
      </c>
      <c r="P12304">
        <v>174.5</v>
      </c>
    </row>
    <row r="12305" spans="1:16" x14ac:dyDescent="0.25">
      <c r="A12305" t="s">
        <v>3296</v>
      </c>
      <c r="B12305" t="s">
        <v>2931</v>
      </c>
      <c r="C12305">
        <v>14850</v>
      </c>
      <c r="D12305" t="str">
        <f>"106322      "</f>
        <v xml:space="preserve">106322      </v>
      </c>
      <c r="E12305" t="s">
        <v>511</v>
      </c>
      <c r="F12305" t="s">
        <v>512</v>
      </c>
      <c r="G12305">
        <v>54.75</v>
      </c>
      <c r="H12305">
        <v>251031</v>
      </c>
      <c r="I12305">
        <v>4369</v>
      </c>
      <c r="J12305" t="s">
        <v>188</v>
      </c>
      <c r="K12305">
        <v>710.03</v>
      </c>
      <c r="L12305">
        <v>11.12</v>
      </c>
      <c r="M12305">
        <v>69703</v>
      </c>
      <c r="N12305" t="s">
        <v>88</v>
      </c>
      <c r="O12305">
        <v>251107</v>
      </c>
      <c r="P12305">
        <v>43.63</v>
      </c>
    </row>
    <row r="12306" spans="1:16" x14ac:dyDescent="0.25">
      <c r="A12306" t="s">
        <v>3296</v>
      </c>
      <c r="B12306" t="s">
        <v>2931</v>
      </c>
      <c r="C12306">
        <v>16486</v>
      </c>
      <c r="D12306" t="str">
        <f>"106908      "</f>
        <v xml:space="preserve">106908      </v>
      </c>
      <c r="E12306" t="s">
        <v>511</v>
      </c>
      <c r="F12306" t="s">
        <v>512</v>
      </c>
      <c r="G12306">
        <v>127.59</v>
      </c>
      <c r="H12306">
        <v>251130</v>
      </c>
      <c r="I12306">
        <v>4369</v>
      </c>
      <c r="J12306" t="s">
        <v>188</v>
      </c>
      <c r="K12306">
        <v>671.08</v>
      </c>
      <c r="L12306">
        <v>25.92</v>
      </c>
      <c r="M12306">
        <v>17972</v>
      </c>
      <c r="N12306" t="s">
        <v>28</v>
      </c>
      <c r="O12306">
        <v>251209</v>
      </c>
      <c r="P12306">
        <v>101.67</v>
      </c>
    </row>
    <row r="12307" spans="1:16" x14ac:dyDescent="0.25">
      <c r="A12307" t="s">
        <v>3296</v>
      </c>
      <c r="B12307" t="s">
        <v>2931</v>
      </c>
      <c r="C12307">
        <v>16486</v>
      </c>
      <c r="D12307" t="str">
        <f>"106908      "</f>
        <v xml:space="preserve">106908      </v>
      </c>
      <c r="E12307" t="s">
        <v>511</v>
      </c>
      <c r="F12307" t="s">
        <v>512</v>
      </c>
      <c r="G12307">
        <v>157.31</v>
      </c>
      <c r="H12307">
        <v>251130</v>
      </c>
      <c r="I12307">
        <v>4369</v>
      </c>
      <c r="J12307" t="s">
        <v>188</v>
      </c>
      <c r="K12307">
        <v>671.08</v>
      </c>
      <c r="L12307">
        <v>31.96</v>
      </c>
      <c r="M12307">
        <v>17972</v>
      </c>
      <c r="N12307" t="s">
        <v>28</v>
      </c>
      <c r="O12307">
        <v>251209</v>
      </c>
      <c r="P12307">
        <v>125.35</v>
      </c>
    </row>
    <row r="12308" spans="1:16" x14ac:dyDescent="0.25">
      <c r="A12308" t="s">
        <v>3296</v>
      </c>
      <c r="B12308" t="s">
        <v>2931</v>
      </c>
      <c r="C12308">
        <v>16486</v>
      </c>
      <c r="D12308" t="str">
        <f>"106908      "</f>
        <v xml:space="preserve">106908      </v>
      </c>
      <c r="E12308" t="s">
        <v>511</v>
      </c>
      <c r="F12308" t="s">
        <v>512</v>
      </c>
      <c r="G12308">
        <v>88.48</v>
      </c>
      <c r="H12308">
        <v>251130</v>
      </c>
      <c r="I12308">
        <v>4369</v>
      </c>
      <c r="J12308" t="s">
        <v>188</v>
      </c>
      <c r="K12308">
        <v>671.08</v>
      </c>
      <c r="L12308">
        <v>17.98</v>
      </c>
      <c r="M12308">
        <v>59702</v>
      </c>
      <c r="N12308" t="s">
        <v>45</v>
      </c>
      <c r="O12308">
        <v>251209</v>
      </c>
      <c r="P12308">
        <v>70.5</v>
      </c>
    </row>
    <row r="12309" spans="1:16" x14ac:dyDescent="0.25">
      <c r="A12309" t="s">
        <v>3296</v>
      </c>
      <c r="B12309" t="s">
        <v>2931</v>
      </c>
      <c r="C12309">
        <v>16486</v>
      </c>
      <c r="D12309" t="str">
        <f>"106908      "</f>
        <v xml:space="preserve">106908      </v>
      </c>
      <c r="E12309" t="s">
        <v>511</v>
      </c>
      <c r="F12309" t="s">
        <v>512</v>
      </c>
      <c r="G12309">
        <v>238.16</v>
      </c>
      <c r="H12309">
        <v>251130</v>
      </c>
      <c r="I12309">
        <v>4369</v>
      </c>
      <c r="J12309" t="s">
        <v>188</v>
      </c>
      <c r="K12309">
        <v>671.08</v>
      </c>
      <c r="L12309">
        <v>48.39</v>
      </c>
      <c r="M12309">
        <v>69701</v>
      </c>
      <c r="N12309" t="s">
        <v>1030</v>
      </c>
      <c r="O12309">
        <v>251209</v>
      </c>
      <c r="P12309">
        <v>189.77</v>
      </c>
    </row>
    <row r="12310" spans="1:16" x14ac:dyDescent="0.25">
      <c r="A12310" t="s">
        <v>3296</v>
      </c>
      <c r="B12310" t="s">
        <v>2931</v>
      </c>
      <c r="C12310">
        <v>16486</v>
      </c>
      <c r="D12310" t="str">
        <f>"106908      "</f>
        <v xml:space="preserve">106908      </v>
      </c>
      <c r="E12310" t="s">
        <v>511</v>
      </c>
      <c r="F12310" t="s">
        <v>512</v>
      </c>
      <c r="G12310">
        <v>59.54</v>
      </c>
      <c r="H12310">
        <v>251130</v>
      </c>
      <c r="I12310">
        <v>4369</v>
      </c>
      <c r="J12310" t="s">
        <v>188</v>
      </c>
      <c r="K12310">
        <v>671.08</v>
      </c>
      <c r="L12310">
        <v>12.1</v>
      </c>
      <c r="M12310">
        <v>69703</v>
      </c>
      <c r="N12310" t="s">
        <v>88</v>
      </c>
      <c r="O12310">
        <v>251209</v>
      </c>
      <c r="P12310">
        <v>47.44</v>
      </c>
    </row>
    <row r="12311" spans="1:16" x14ac:dyDescent="0.25">
      <c r="A12311" t="s">
        <v>3296</v>
      </c>
      <c r="B12311" t="s">
        <v>2931</v>
      </c>
      <c r="C12311">
        <v>18097</v>
      </c>
      <c r="D12311" t="str">
        <f>"107356      "</f>
        <v xml:space="preserve">107356      </v>
      </c>
      <c r="E12311" t="s">
        <v>511</v>
      </c>
      <c r="F12311" t="s">
        <v>512</v>
      </c>
      <c r="G12311">
        <v>54.27</v>
      </c>
      <c r="H12311">
        <v>251231</v>
      </c>
      <c r="I12311">
        <v>4369</v>
      </c>
      <c r="J12311" t="s">
        <v>188</v>
      </c>
      <c r="K12311">
        <v>521.80999999999995</v>
      </c>
      <c r="L12311">
        <v>11.03</v>
      </c>
      <c r="M12311">
        <v>17971</v>
      </c>
      <c r="N12311" t="s">
        <v>27</v>
      </c>
      <c r="O12311">
        <v>260109</v>
      </c>
      <c r="P12311">
        <v>43.24</v>
      </c>
    </row>
    <row r="12312" spans="1:16" x14ac:dyDescent="0.25">
      <c r="A12312" t="s">
        <v>3296</v>
      </c>
      <c r="B12312" t="s">
        <v>2931</v>
      </c>
      <c r="C12312">
        <v>18097</v>
      </c>
      <c r="D12312" t="str">
        <f>"107356      "</f>
        <v xml:space="preserve">107356      </v>
      </c>
      <c r="E12312" t="s">
        <v>511</v>
      </c>
      <c r="F12312" t="s">
        <v>512</v>
      </c>
      <c r="G12312">
        <v>218.18</v>
      </c>
      <c r="H12312">
        <v>251231</v>
      </c>
      <c r="I12312">
        <v>4369</v>
      </c>
      <c r="J12312" t="s">
        <v>188</v>
      </c>
      <c r="K12312">
        <v>521.80999999999995</v>
      </c>
      <c r="L12312">
        <v>44.33</v>
      </c>
      <c r="M12312">
        <v>17971</v>
      </c>
      <c r="N12312" t="s">
        <v>27</v>
      </c>
      <c r="O12312">
        <v>260109</v>
      </c>
      <c r="P12312">
        <v>173.85</v>
      </c>
    </row>
    <row r="12313" spans="1:16" x14ac:dyDescent="0.25">
      <c r="A12313" t="s">
        <v>3296</v>
      </c>
      <c r="B12313" t="s">
        <v>2931</v>
      </c>
      <c r="C12313">
        <v>18097</v>
      </c>
      <c r="D12313" t="str">
        <f>"107356      "</f>
        <v xml:space="preserve">107356      </v>
      </c>
      <c r="E12313" t="s">
        <v>511</v>
      </c>
      <c r="F12313" t="s">
        <v>512</v>
      </c>
      <c r="G12313">
        <v>122.73</v>
      </c>
      <c r="H12313">
        <v>251231</v>
      </c>
      <c r="I12313">
        <v>4369</v>
      </c>
      <c r="J12313" t="s">
        <v>188</v>
      </c>
      <c r="K12313">
        <v>521.80999999999995</v>
      </c>
      <c r="L12313">
        <v>24.94</v>
      </c>
      <c r="M12313">
        <v>59702</v>
      </c>
      <c r="N12313" t="s">
        <v>45</v>
      </c>
      <c r="O12313">
        <v>260109</v>
      </c>
      <c r="P12313">
        <v>97.79</v>
      </c>
    </row>
    <row r="12314" spans="1:16" x14ac:dyDescent="0.25">
      <c r="A12314" t="s">
        <v>3296</v>
      </c>
      <c r="B12314" t="s">
        <v>2931</v>
      </c>
      <c r="C12314">
        <v>18097</v>
      </c>
      <c r="D12314" t="str">
        <f>"107356      "</f>
        <v xml:space="preserve">107356      </v>
      </c>
      <c r="E12314" t="s">
        <v>511</v>
      </c>
      <c r="F12314" t="s">
        <v>512</v>
      </c>
      <c r="G12314">
        <v>101.31</v>
      </c>
      <c r="H12314">
        <v>251231</v>
      </c>
      <c r="I12314">
        <v>4369</v>
      </c>
      <c r="J12314" t="s">
        <v>188</v>
      </c>
      <c r="K12314">
        <v>521.80999999999995</v>
      </c>
      <c r="L12314">
        <v>20.58</v>
      </c>
      <c r="M12314">
        <v>69701</v>
      </c>
      <c r="N12314" t="s">
        <v>1030</v>
      </c>
      <c r="O12314">
        <v>260109</v>
      </c>
      <c r="P12314">
        <v>80.73</v>
      </c>
    </row>
    <row r="12315" spans="1:16" x14ac:dyDescent="0.25">
      <c r="A12315" t="s">
        <v>3296</v>
      </c>
      <c r="B12315" t="s">
        <v>2931</v>
      </c>
      <c r="C12315">
        <v>18097</v>
      </c>
      <c r="D12315" t="str">
        <f>"107356      "</f>
        <v xml:space="preserve">107356      </v>
      </c>
      <c r="E12315" t="s">
        <v>511</v>
      </c>
      <c r="F12315" t="s">
        <v>512</v>
      </c>
      <c r="G12315">
        <v>25.32</v>
      </c>
      <c r="H12315">
        <v>251231</v>
      </c>
      <c r="I12315">
        <v>4369</v>
      </c>
      <c r="J12315" t="s">
        <v>188</v>
      </c>
      <c r="K12315">
        <v>521.80999999999995</v>
      </c>
      <c r="L12315">
        <v>5.14</v>
      </c>
      <c r="M12315">
        <v>69703</v>
      </c>
      <c r="N12315" t="s">
        <v>88</v>
      </c>
      <c r="O12315">
        <v>260109</v>
      </c>
      <c r="P12315">
        <v>20.18</v>
      </c>
    </row>
    <row r="12316" spans="1:16" x14ac:dyDescent="0.25">
      <c r="A12316" t="s">
        <v>3296</v>
      </c>
      <c r="B12316" t="s">
        <v>2931</v>
      </c>
      <c r="C12316">
        <v>18399</v>
      </c>
      <c r="D12316" t="str">
        <f>"107359      "</f>
        <v xml:space="preserve">107359      </v>
      </c>
      <c r="E12316" t="s">
        <v>511</v>
      </c>
      <c r="F12316" t="s">
        <v>512</v>
      </c>
      <c r="G12316">
        <v>56.71</v>
      </c>
      <c r="H12316">
        <v>251231</v>
      </c>
      <c r="I12316">
        <v>4369</v>
      </c>
      <c r="J12316" t="s">
        <v>188</v>
      </c>
      <c r="K12316">
        <v>113.42</v>
      </c>
      <c r="L12316">
        <v>11.52</v>
      </c>
      <c r="M12316">
        <v>14971</v>
      </c>
      <c r="N12316" t="s">
        <v>81</v>
      </c>
      <c r="O12316">
        <v>260113</v>
      </c>
      <c r="P12316">
        <v>45.19</v>
      </c>
    </row>
    <row r="12317" spans="1:16" x14ac:dyDescent="0.25">
      <c r="A12317" t="s">
        <v>3296</v>
      </c>
      <c r="B12317" t="s">
        <v>2931</v>
      </c>
      <c r="C12317">
        <v>18399</v>
      </c>
      <c r="D12317" t="str">
        <f>"107359      "</f>
        <v xml:space="preserve">107359      </v>
      </c>
      <c r="E12317" t="s">
        <v>511</v>
      </c>
      <c r="F12317" t="s">
        <v>512</v>
      </c>
      <c r="G12317">
        <v>56.71</v>
      </c>
      <c r="H12317">
        <v>251231</v>
      </c>
      <c r="I12317">
        <v>4369</v>
      </c>
      <c r="J12317" t="s">
        <v>188</v>
      </c>
      <c r="K12317">
        <v>113.42</v>
      </c>
      <c r="L12317">
        <v>11.52</v>
      </c>
      <c r="M12317">
        <v>18972</v>
      </c>
      <c r="N12317" t="s">
        <v>39</v>
      </c>
      <c r="O12317">
        <v>260113</v>
      </c>
      <c r="P12317">
        <v>45.19</v>
      </c>
    </row>
    <row r="12318" spans="1:16" x14ac:dyDescent="0.25">
      <c r="A12318" t="s">
        <v>3296</v>
      </c>
      <c r="B12318" t="s">
        <v>2931</v>
      </c>
      <c r="C12318">
        <v>4547</v>
      </c>
      <c r="D12318" t="str">
        <f>"100952      "</f>
        <v xml:space="preserve">100952      </v>
      </c>
      <c r="E12318" t="s">
        <v>511</v>
      </c>
      <c r="F12318" t="s">
        <v>512</v>
      </c>
      <c r="G12318">
        <v>1129.51</v>
      </c>
      <c r="H12318">
        <v>250331</v>
      </c>
      <c r="I12318">
        <v>4580</v>
      </c>
      <c r="J12318" t="s">
        <v>126</v>
      </c>
      <c r="K12318">
        <v>1223.6300000000001</v>
      </c>
      <c r="L12318">
        <v>229.5</v>
      </c>
      <c r="M12318">
        <v>59702</v>
      </c>
      <c r="N12318" t="s">
        <v>45</v>
      </c>
      <c r="O12318">
        <v>250414</v>
      </c>
      <c r="P12318">
        <v>900.01</v>
      </c>
    </row>
    <row r="12319" spans="1:16" x14ac:dyDescent="0.25">
      <c r="A12319" t="s">
        <v>3296</v>
      </c>
      <c r="B12319" t="s">
        <v>2931</v>
      </c>
      <c r="C12319">
        <v>4287</v>
      </c>
      <c r="D12319" t="str">
        <f>"100948      "</f>
        <v xml:space="preserve">100948      </v>
      </c>
      <c r="E12319" t="s">
        <v>511</v>
      </c>
      <c r="F12319" t="s">
        <v>512</v>
      </c>
      <c r="G12319">
        <v>646.33000000000004</v>
      </c>
      <c r="H12319">
        <v>250328</v>
      </c>
      <c r="I12319">
        <v>4600</v>
      </c>
      <c r="J12319" t="s">
        <v>278</v>
      </c>
      <c r="K12319">
        <v>646.33000000000004</v>
      </c>
      <c r="L12319">
        <v>131.33000000000001</v>
      </c>
      <c r="M12319">
        <v>17972</v>
      </c>
      <c r="N12319" t="s">
        <v>28</v>
      </c>
      <c r="O12319">
        <v>250410</v>
      </c>
      <c r="P12319">
        <v>515</v>
      </c>
    </row>
    <row r="12320" spans="1:16" x14ac:dyDescent="0.25">
      <c r="A12320" t="s">
        <v>3296</v>
      </c>
      <c r="B12320" t="s">
        <v>2931</v>
      </c>
      <c r="C12320">
        <v>4547</v>
      </c>
      <c r="D12320" t="str">
        <f>"100952      "</f>
        <v xml:space="preserve">100952      </v>
      </c>
      <c r="E12320" t="s">
        <v>511</v>
      </c>
      <c r="F12320" t="s">
        <v>512</v>
      </c>
      <c r="G12320">
        <v>75.3</v>
      </c>
      <c r="H12320">
        <v>250331</v>
      </c>
      <c r="I12320">
        <v>4600</v>
      </c>
      <c r="J12320" t="s">
        <v>278</v>
      </c>
      <c r="K12320">
        <v>1223.6300000000001</v>
      </c>
      <c r="L12320">
        <v>15.3</v>
      </c>
      <c r="M12320">
        <v>59702</v>
      </c>
      <c r="N12320" t="s">
        <v>45</v>
      </c>
      <c r="O12320">
        <v>250414</v>
      </c>
      <c r="P12320">
        <v>60</v>
      </c>
    </row>
    <row r="12321" spans="1:16" x14ac:dyDescent="0.25">
      <c r="A12321" t="s">
        <v>3296</v>
      </c>
      <c r="B12321" t="s">
        <v>2931</v>
      </c>
      <c r="C12321">
        <v>10453</v>
      </c>
      <c r="D12321" t="str">
        <f>"104504      "</f>
        <v xml:space="preserve">104504      </v>
      </c>
      <c r="E12321" t="s">
        <v>511</v>
      </c>
      <c r="F12321" t="s">
        <v>512</v>
      </c>
      <c r="G12321">
        <v>60.87</v>
      </c>
      <c r="H12321">
        <v>250812</v>
      </c>
      <c r="I12321">
        <v>4600</v>
      </c>
      <c r="J12321" t="s">
        <v>278</v>
      </c>
      <c r="K12321">
        <v>60.87</v>
      </c>
      <c r="L12321">
        <v>12.37</v>
      </c>
      <c r="M12321">
        <v>69701</v>
      </c>
      <c r="N12321" t="s">
        <v>1030</v>
      </c>
      <c r="O12321">
        <v>250819</v>
      </c>
      <c r="P12321">
        <v>48.5</v>
      </c>
    </row>
    <row r="12322" spans="1:16" x14ac:dyDescent="0.25">
      <c r="A12322" t="s">
        <v>3296</v>
      </c>
      <c r="B12322" t="s">
        <v>2931</v>
      </c>
      <c r="C12322">
        <v>2585</v>
      </c>
      <c r="D12322" t="str">
        <f>"252204      "</f>
        <v xml:space="preserve">252204      </v>
      </c>
      <c r="E12322" t="s">
        <v>3215</v>
      </c>
      <c r="F12322" t="s">
        <v>3216</v>
      </c>
      <c r="G12322">
        <v>59</v>
      </c>
      <c r="H12322">
        <v>250228</v>
      </c>
      <c r="I12322">
        <v>4420</v>
      </c>
      <c r="J12322" t="s">
        <v>330</v>
      </c>
      <c r="K12322">
        <v>59</v>
      </c>
      <c r="L12322">
        <v>0</v>
      </c>
      <c r="M12322">
        <v>17535</v>
      </c>
      <c r="N12322" t="s">
        <v>149</v>
      </c>
      <c r="O12322">
        <v>250306</v>
      </c>
      <c r="P12322">
        <v>59</v>
      </c>
    </row>
    <row r="12323" spans="1:16" x14ac:dyDescent="0.25">
      <c r="A12323" t="s">
        <v>3296</v>
      </c>
      <c r="B12323" t="s">
        <v>2931</v>
      </c>
      <c r="C12323">
        <v>1715</v>
      </c>
      <c r="D12323" t="str">
        <f>"259012      "</f>
        <v xml:space="preserve">259012      </v>
      </c>
      <c r="E12323" t="s">
        <v>3215</v>
      </c>
      <c r="F12323" t="s">
        <v>3216</v>
      </c>
      <c r="G12323">
        <v>3100</v>
      </c>
      <c r="H12323">
        <v>250210</v>
      </c>
      <c r="I12323">
        <v>4600</v>
      </c>
      <c r="J12323" t="s">
        <v>278</v>
      </c>
      <c r="K12323">
        <v>3100</v>
      </c>
      <c r="L12323">
        <v>0</v>
      </c>
      <c r="M12323">
        <v>17649</v>
      </c>
      <c r="N12323" t="s">
        <v>2329</v>
      </c>
      <c r="O12323">
        <v>250213</v>
      </c>
      <c r="P12323">
        <v>3100</v>
      </c>
    </row>
    <row r="12324" spans="1:16" x14ac:dyDescent="0.25">
      <c r="A12324" t="s">
        <v>3296</v>
      </c>
      <c r="B12324" t="s">
        <v>2931</v>
      </c>
      <c r="C12324">
        <v>2616</v>
      </c>
      <c r="D12324" t="str">
        <f>"6468        "</f>
        <v xml:space="preserve">6468        </v>
      </c>
      <c r="E12324" t="s">
        <v>923</v>
      </c>
      <c r="F12324" t="s">
        <v>924</v>
      </c>
      <c r="G12324">
        <v>2568.2199999999998</v>
      </c>
      <c r="H12324">
        <v>250224</v>
      </c>
      <c r="I12324">
        <v>4367</v>
      </c>
      <c r="J12324" t="s">
        <v>159</v>
      </c>
      <c r="K12324">
        <v>3852.13</v>
      </c>
      <c r="L12324">
        <v>521.83000000000004</v>
      </c>
      <c r="M12324">
        <v>11801</v>
      </c>
      <c r="N12324" t="s">
        <v>40</v>
      </c>
      <c r="O12324">
        <v>250307</v>
      </c>
      <c r="P12324">
        <v>2046.39</v>
      </c>
    </row>
    <row r="12325" spans="1:16" x14ac:dyDescent="0.25">
      <c r="A12325" t="s">
        <v>3296</v>
      </c>
      <c r="B12325" t="s">
        <v>2931</v>
      </c>
      <c r="C12325">
        <v>6114</v>
      </c>
      <c r="D12325" t="str">
        <f>"6846        "</f>
        <v xml:space="preserve">6846        </v>
      </c>
      <c r="E12325" t="s">
        <v>923</v>
      </c>
      <c r="F12325" t="s">
        <v>924</v>
      </c>
      <c r="G12325">
        <v>1026.56</v>
      </c>
      <c r="H12325">
        <v>250502</v>
      </c>
      <c r="I12325">
        <v>4367</v>
      </c>
      <c r="J12325" t="s">
        <v>159</v>
      </c>
      <c r="K12325">
        <v>1026.56</v>
      </c>
      <c r="L12325">
        <v>208.58</v>
      </c>
      <c r="M12325">
        <v>13901</v>
      </c>
      <c r="N12325" t="s">
        <v>116</v>
      </c>
      <c r="O12325">
        <v>250509</v>
      </c>
      <c r="P12325">
        <v>817.98</v>
      </c>
    </row>
    <row r="12326" spans="1:16" x14ac:dyDescent="0.25">
      <c r="A12326" t="s">
        <v>3296</v>
      </c>
      <c r="B12326" t="s">
        <v>2931</v>
      </c>
      <c r="C12326">
        <v>6242</v>
      </c>
      <c r="D12326" t="str">
        <f>"6885        "</f>
        <v xml:space="preserve">6885        </v>
      </c>
      <c r="E12326" t="s">
        <v>923</v>
      </c>
      <c r="F12326" t="s">
        <v>924</v>
      </c>
      <c r="G12326">
        <v>1309.72</v>
      </c>
      <c r="H12326">
        <v>250502</v>
      </c>
      <c r="I12326">
        <v>4367</v>
      </c>
      <c r="J12326" t="s">
        <v>159</v>
      </c>
      <c r="K12326">
        <v>3852.13</v>
      </c>
      <c r="L12326">
        <v>266.12</v>
      </c>
      <c r="M12326">
        <v>11801</v>
      </c>
      <c r="N12326" t="s">
        <v>40</v>
      </c>
      <c r="O12326">
        <v>250512</v>
      </c>
      <c r="P12326">
        <v>1043.5999999999999</v>
      </c>
    </row>
    <row r="12327" spans="1:16" x14ac:dyDescent="0.25">
      <c r="A12327" t="s">
        <v>3296</v>
      </c>
      <c r="B12327" t="s">
        <v>2931</v>
      </c>
      <c r="C12327">
        <v>10077</v>
      </c>
      <c r="D12327" t="str">
        <f>"7259        "</f>
        <v xml:space="preserve">7259        </v>
      </c>
      <c r="E12327" t="s">
        <v>923</v>
      </c>
      <c r="F12327" t="s">
        <v>924</v>
      </c>
      <c r="G12327">
        <v>1271.2</v>
      </c>
      <c r="H12327">
        <v>250801</v>
      </c>
      <c r="I12327">
        <v>4367</v>
      </c>
      <c r="J12327" t="s">
        <v>159</v>
      </c>
      <c r="K12327">
        <v>3852.13</v>
      </c>
      <c r="L12327">
        <v>258.29000000000002</v>
      </c>
      <c r="M12327">
        <v>11801</v>
      </c>
      <c r="N12327" t="s">
        <v>40</v>
      </c>
      <c r="O12327">
        <v>250811</v>
      </c>
      <c r="P12327">
        <v>1012.91</v>
      </c>
    </row>
    <row r="12328" spans="1:16" x14ac:dyDescent="0.25">
      <c r="A12328" t="s">
        <v>3296</v>
      </c>
      <c r="B12328" t="s">
        <v>2931</v>
      </c>
      <c r="C12328">
        <v>15303</v>
      </c>
      <c r="D12328" t="str">
        <f>"7695        "</f>
        <v xml:space="preserve">7695        </v>
      </c>
      <c r="E12328" t="s">
        <v>923</v>
      </c>
      <c r="F12328" t="s">
        <v>924</v>
      </c>
      <c r="G12328">
        <v>2697.34</v>
      </c>
      <c r="H12328">
        <v>251101</v>
      </c>
      <c r="I12328">
        <v>4367</v>
      </c>
      <c r="J12328" t="s">
        <v>159</v>
      </c>
      <c r="K12328">
        <v>4086.48</v>
      </c>
      <c r="L12328">
        <v>548.07000000000005</v>
      </c>
      <c r="M12328">
        <v>11801</v>
      </c>
      <c r="N12328" t="s">
        <v>40</v>
      </c>
      <c r="O12328">
        <v>251118</v>
      </c>
      <c r="P12328">
        <v>2149.27</v>
      </c>
    </row>
    <row r="12329" spans="1:16" x14ac:dyDescent="0.25">
      <c r="A12329" t="s">
        <v>3296</v>
      </c>
      <c r="B12329" t="s">
        <v>2931</v>
      </c>
      <c r="C12329">
        <v>1260</v>
      </c>
      <c r="D12329" t="str">
        <f>"6451        "</f>
        <v xml:space="preserve">6451        </v>
      </c>
      <c r="E12329" t="s">
        <v>923</v>
      </c>
      <c r="F12329" t="s">
        <v>924</v>
      </c>
      <c r="G12329">
        <v>898.21</v>
      </c>
      <c r="H12329">
        <v>250203</v>
      </c>
      <c r="I12329">
        <v>4369</v>
      </c>
      <c r="J12329" t="s">
        <v>188</v>
      </c>
      <c r="K12329">
        <v>1026.56</v>
      </c>
      <c r="L12329">
        <v>182.5</v>
      </c>
      <c r="M12329">
        <v>13901</v>
      </c>
      <c r="N12329" t="s">
        <v>116</v>
      </c>
      <c r="O12329">
        <v>250206</v>
      </c>
      <c r="P12329">
        <v>715.71</v>
      </c>
    </row>
    <row r="12330" spans="1:16" x14ac:dyDescent="0.25">
      <c r="A12330" t="s">
        <v>3296</v>
      </c>
      <c r="B12330" t="s">
        <v>2931</v>
      </c>
      <c r="C12330">
        <v>1260</v>
      </c>
      <c r="D12330" t="str">
        <f>"6451        "</f>
        <v xml:space="preserve">6451        </v>
      </c>
      <c r="E12330" t="s">
        <v>923</v>
      </c>
      <c r="F12330" t="s">
        <v>924</v>
      </c>
      <c r="G12330">
        <v>128.35</v>
      </c>
      <c r="H12330">
        <v>250203</v>
      </c>
      <c r="I12330">
        <v>4369</v>
      </c>
      <c r="J12330" t="s">
        <v>188</v>
      </c>
      <c r="K12330">
        <v>1026.56</v>
      </c>
      <c r="L12330">
        <v>26.08</v>
      </c>
      <c r="M12330">
        <v>18993</v>
      </c>
      <c r="N12330" t="s">
        <v>540</v>
      </c>
      <c r="O12330">
        <v>250206</v>
      </c>
      <c r="P12330">
        <v>102.27</v>
      </c>
    </row>
    <row r="12331" spans="1:16" x14ac:dyDescent="0.25">
      <c r="A12331" t="s">
        <v>3296</v>
      </c>
      <c r="B12331" t="s">
        <v>2931</v>
      </c>
      <c r="C12331">
        <v>2144</v>
      </c>
      <c r="D12331" t="str">
        <f>"CD400098072 "</f>
        <v xml:space="preserve">CD400098072 </v>
      </c>
      <c r="E12331" t="s">
        <v>1205</v>
      </c>
      <c r="F12331" t="s">
        <v>1206</v>
      </c>
      <c r="G12331">
        <v>702.74</v>
      </c>
      <c r="H12331">
        <v>250214</v>
      </c>
      <c r="I12331">
        <v>4534</v>
      </c>
      <c r="J12331" t="s">
        <v>349</v>
      </c>
      <c r="K12331">
        <v>702.74</v>
      </c>
      <c r="L12331">
        <v>142.79</v>
      </c>
      <c r="M12331">
        <v>53222</v>
      </c>
      <c r="N12331" t="s">
        <v>41</v>
      </c>
      <c r="O12331">
        <v>250220</v>
      </c>
      <c r="P12331">
        <v>559.95000000000005</v>
      </c>
    </row>
    <row r="12332" spans="1:16" x14ac:dyDescent="0.25">
      <c r="A12332" t="s">
        <v>3296</v>
      </c>
      <c r="B12332" t="s">
        <v>2931</v>
      </c>
      <c r="C12332">
        <v>3492</v>
      </c>
      <c r="D12332" t="str">
        <f>"CD400102643 "</f>
        <v xml:space="preserve">CD400102643 </v>
      </c>
      <c r="E12332" t="s">
        <v>1205</v>
      </c>
      <c r="F12332" t="s">
        <v>1206</v>
      </c>
      <c r="G12332">
        <v>27.89</v>
      </c>
      <c r="H12332">
        <v>250310</v>
      </c>
      <c r="I12332">
        <v>4534</v>
      </c>
      <c r="J12332" t="s">
        <v>349</v>
      </c>
      <c r="K12332">
        <v>27.89</v>
      </c>
      <c r="L12332">
        <v>5.67</v>
      </c>
      <c r="M12332">
        <v>53222</v>
      </c>
      <c r="N12332" t="s">
        <v>41</v>
      </c>
      <c r="O12332">
        <v>250324</v>
      </c>
      <c r="P12332">
        <v>22.22</v>
      </c>
    </row>
    <row r="12333" spans="1:16" x14ac:dyDescent="0.25">
      <c r="A12333" t="s">
        <v>3296</v>
      </c>
      <c r="B12333" t="s">
        <v>2931</v>
      </c>
      <c r="C12333">
        <v>10799</v>
      </c>
      <c r="D12333" t="str">
        <f>"20223818    "</f>
        <v xml:space="preserve">20223818    </v>
      </c>
      <c r="E12333" t="s">
        <v>2219</v>
      </c>
      <c r="F12333" t="s">
        <v>2220</v>
      </c>
      <c r="G12333">
        <v>2001.73</v>
      </c>
      <c r="H12333">
        <v>250814</v>
      </c>
      <c r="I12333">
        <v>4580</v>
      </c>
      <c r="J12333" t="s">
        <v>126</v>
      </c>
      <c r="K12333">
        <v>2001.73</v>
      </c>
      <c r="L12333">
        <v>406.73</v>
      </c>
      <c r="M12333">
        <v>17521</v>
      </c>
      <c r="N12333" t="s">
        <v>136</v>
      </c>
      <c r="O12333">
        <v>250822</v>
      </c>
      <c r="P12333">
        <v>1595</v>
      </c>
    </row>
    <row r="12334" spans="1:16" x14ac:dyDescent="0.25">
      <c r="A12334" t="s">
        <v>3296</v>
      </c>
      <c r="B12334" t="s">
        <v>2931</v>
      </c>
      <c r="C12334">
        <v>4465</v>
      </c>
      <c r="D12334" t="str">
        <f>"165000068560"</f>
        <v>165000068560</v>
      </c>
      <c r="E12334" t="s">
        <v>1628</v>
      </c>
      <c r="F12334" t="s">
        <v>1629</v>
      </c>
      <c r="G12334">
        <v>976.39</v>
      </c>
      <c r="H12334">
        <v>250331</v>
      </c>
      <c r="I12334">
        <v>4346</v>
      </c>
      <c r="J12334" t="s">
        <v>334</v>
      </c>
      <c r="K12334">
        <v>1169.6600000000001</v>
      </c>
      <c r="L12334">
        <v>198.39</v>
      </c>
      <c r="M12334">
        <v>43222</v>
      </c>
      <c r="N12334" t="s">
        <v>95</v>
      </c>
      <c r="O12334">
        <v>250411</v>
      </c>
      <c r="P12334">
        <v>778</v>
      </c>
    </row>
    <row r="12335" spans="1:16" x14ac:dyDescent="0.25">
      <c r="A12335" t="s">
        <v>3296</v>
      </c>
      <c r="B12335" t="s">
        <v>2931</v>
      </c>
      <c r="C12335">
        <v>4465</v>
      </c>
      <c r="D12335" t="str">
        <f>"165000068560"</f>
        <v>165000068560</v>
      </c>
      <c r="E12335" t="s">
        <v>1628</v>
      </c>
      <c r="F12335" t="s">
        <v>1629</v>
      </c>
      <c r="G12335">
        <v>193.27</v>
      </c>
      <c r="H12335">
        <v>250331</v>
      </c>
      <c r="I12335">
        <v>4346</v>
      </c>
      <c r="J12335" t="s">
        <v>334</v>
      </c>
      <c r="K12335">
        <v>1169.6600000000001</v>
      </c>
      <c r="L12335">
        <v>39.270000000000003</v>
      </c>
      <c r="M12335">
        <v>53222</v>
      </c>
      <c r="N12335" t="s">
        <v>41</v>
      </c>
      <c r="O12335">
        <v>250411</v>
      </c>
      <c r="P12335">
        <v>154</v>
      </c>
    </row>
    <row r="12336" spans="1:16" x14ac:dyDescent="0.25">
      <c r="A12336" t="s">
        <v>3296</v>
      </c>
      <c r="B12336" t="s">
        <v>2931</v>
      </c>
      <c r="C12336">
        <v>6375</v>
      </c>
      <c r="D12336" t="str">
        <f>"165000069124"</f>
        <v>165000069124</v>
      </c>
      <c r="E12336" t="s">
        <v>1628</v>
      </c>
      <c r="F12336" t="s">
        <v>1629</v>
      </c>
      <c r="G12336">
        <v>4959.76</v>
      </c>
      <c r="H12336">
        <v>250430</v>
      </c>
      <c r="I12336">
        <v>4346</v>
      </c>
      <c r="J12336" t="s">
        <v>334</v>
      </c>
      <c r="K12336">
        <v>7163.54</v>
      </c>
      <c r="L12336">
        <v>1007.76</v>
      </c>
      <c r="M12336">
        <v>14321</v>
      </c>
      <c r="N12336" t="s">
        <v>72</v>
      </c>
      <c r="O12336">
        <v>250513</v>
      </c>
      <c r="P12336">
        <v>3952</v>
      </c>
    </row>
    <row r="12337" spans="1:16" x14ac:dyDescent="0.25">
      <c r="A12337" t="s">
        <v>3296</v>
      </c>
      <c r="B12337" t="s">
        <v>2931</v>
      </c>
      <c r="C12337">
        <v>6375</v>
      </c>
      <c r="D12337" t="str">
        <f>"165000069124"</f>
        <v>165000069124</v>
      </c>
      <c r="E12337" t="s">
        <v>1628</v>
      </c>
      <c r="F12337" t="s">
        <v>1629</v>
      </c>
      <c r="G12337">
        <v>536.67999999999995</v>
      </c>
      <c r="H12337">
        <v>250430</v>
      </c>
      <c r="I12337">
        <v>4346</v>
      </c>
      <c r="J12337" t="s">
        <v>334</v>
      </c>
      <c r="K12337">
        <v>7163.54</v>
      </c>
      <c r="L12337">
        <v>109.05</v>
      </c>
      <c r="M12337">
        <v>16321</v>
      </c>
      <c r="N12337" t="s">
        <v>16</v>
      </c>
      <c r="O12337">
        <v>250513</v>
      </c>
      <c r="P12337">
        <v>427.63</v>
      </c>
    </row>
    <row r="12338" spans="1:16" x14ac:dyDescent="0.25">
      <c r="A12338" t="s">
        <v>3296</v>
      </c>
      <c r="B12338" t="s">
        <v>2931</v>
      </c>
      <c r="C12338">
        <v>6375</v>
      </c>
      <c r="D12338" t="str">
        <f>"165000069124"</f>
        <v>165000069124</v>
      </c>
      <c r="E12338" t="s">
        <v>1628</v>
      </c>
      <c r="F12338" t="s">
        <v>1629</v>
      </c>
      <c r="G12338">
        <v>1040.32</v>
      </c>
      <c r="H12338">
        <v>250430</v>
      </c>
      <c r="I12338">
        <v>4346</v>
      </c>
      <c r="J12338" t="s">
        <v>334</v>
      </c>
      <c r="K12338">
        <v>7163.54</v>
      </c>
      <c r="L12338">
        <v>211.38</v>
      </c>
      <c r="M12338">
        <v>43222</v>
      </c>
      <c r="N12338" t="s">
        <v>95</v>
      </c>
      <c r="O12338">
        <v>250513</v>
      </c>
      <c r="P12338">
        <v>828.94</v>
      </c>
    </row>
    <row r="12339" spans="1:16" x14ac:dyDescent="0.25">
      <c r="A12339" t="s">
        <v>3296</v>
      </c>
      <c r="B12339" t="s">
        <v>2931</v>
      </c>
      <c r="C12339">
        <v>6375</v>
      </c>
      <c r="D12339" t="str">
        <f>"165000069124"</f>
        <v>165000069124</v>
      </c>
      <c r="E12339" t="s">
        <v>1628</v>
      </c>
      <c r="F12339" t="s">
        <v>1629</v>
      </c>
      <c r="G12339">
        <v>306.68</v>
      </c>
      <c r="H12339">
        <v>250430</v>
      </c>
      <c r="I12339">
        <v>4346</v>
      </c>
      <c r="J12339" t="s">
        <v>334</v>
      </c>
      <c r="K12339">
        <v>7163.54</v>
      </c>
      <c r="L12339">
        <v>62.31</v>
      </c>
      <c r="M12339">
        <v>53222</v>
      </c>
      <c r="N12339" t="s">
        <v>41</v>
      </c>
      <c r="O12339">
        <v>250513</v>
      </c>
      <c r="P12339">
        <v>244.37</v>
      </c>
    </row>
    <row r="12340" spans="1:16" x14ac:dyDescent="0.25">
      <c r="A12340" t="s">
        <v>3296</v>
      </c>
      <c r="B12340" t="s">
        <v>2931</v>
      </c>
      <c r="C12340">
        <v>6375</v>
      </c>
      <c r="D12340" t="str">
        <f>"165000069124"</f>
        <v>165000069124</v>
      </c>
      <c r="E12340" t="s">
        <v>1628</v>
      </c>
      <c r="F12340" t="s">
        <v>1629</v>
      </c>
      <c r="G12340">
        <v>320.10000000000002</v>
      </c>
      <c r="H12340">
        <v>250430</v>
      </c>
      <c r="I12340">
        <v>4346</v>
      </c>
      <c r="J12340" t="s">
        <v>334</v>
      </c>
      <c r="K12340">
        <v>7163.54</v>
      </c>
      <c r="L12340">
        <v>65.040000000000006</v>
      </c>
      <c r="M12340">
        <v>53222</v>
      </c>
      <c r="N12340" t="s">
        <v>41</v>
      </c>
      <c r="O12340">
        <v>250513</v>
      </c>
      <c r="P12340">
        <v>255.06</v>
      </c>
    </row>
    <row r="12341" spans="1:16" x14ac:dyDescent="0.25">
      <c r="A12341" t="s">
        <v>3296</v>
      </c>
      <c r="B12341" t="s">
        <v>2931</v>
      </c>
      <c r="C12341">
        <v>8481</v>
      </c>
      <c r="D12341" t="str">
        <f>"165000069577"</f>
        <v>165000069577</v>
      </c>
      <c r="E12341" t="s">
        <v>1628</v>
      </c>
      <c r="F12341" t="s">
        <v>1629</v>
      </c>
      <c r="G12341">
        <v>1216.51</v>
      </c>
      <c r="H12341">
        <v>250531</v>
      </c>
      <c r="I12341">
        <v>4346</v>
      </c>
      <c r="J12341" t="s">
        <v>334</v>
      </c>
      <c r="K12341">
        <v>3639.5</v>
      </c>
      <c r="L12341">
        <v>247.18</v>
      </c>
      <c r="M12341">
        <v>14321</v>
      </c>
      <c r="N12341" t="s">
        <v>72</v>
      </c>
      <c r="O12341">
        <v>250616</v>
      </c>
      <c r="P12341">
        <v>969.33</v>
      </c>
    </row>
    <row r="12342" spans="1:16" x14ac:dyDescent="0.25">
      <c r="A12342" t="s">
        <v>3296</v>
      </c>
      <c r="B12342" t="s">
        <v>2931</v>
      </c>
      <c r="C12342">
        <v>8481</v>
      </c>
      <c r="D12342" t="str">
        <f>"165000069577"</f>
        <v>165000069577</v>
      </c>
      <c r="E12342" t="s">
        <v>1628</v>
      </c>
      <c r="F12342" t="s">
        <v>1629</v>
      </c>
      <c r="G12342">
        <v>1342.01</v>
      </c>
      <c r="H12342">
        <v>250531</v>
      </c>
      <c r="I12342">
        <v>4346</v>
      </c>
      <c r="J12342" t="s">
        <v>334</v>
      </c>
      <c r="K12342">
        <v>3639.5</v>
      </c>
      <c r="L12342">
        <v>272.68</v>
      </c>
      <c r="M12342">
        <v>16322</v>
      </c>
      <c r="N12342" t="s">
        <v>331</v>
      </c>
      <c r="O12342">
        <v>250616</v>
      </c>
      <c r="P12342">
        <v>1069.33</v>
      </c>
    </row>
    <row r="12343" spans="1:16" x14ac:dyDescent="0.25">
      <c r="A12343" t="s">
        <v>3296</v>
      </c>
      <c r="B12343" t="s">
        <v>2931</v>
      </c>
      <c r="C12343">
        <v>8481</v>
      </c>
      <c r="D12343" t="str">
        <f>"165000069577"</f>
        <v>165000069577</v>
      </c>
      <c r="E12343" t="s">
        <v>1628</v>
      </c>
      <c r="F12343" t="s">
        <v>1629</v>
      </c>
      <c r="G12343">
        <v>41.84</v>
      </c>
      <c r="H12343">
        <v>250531</v>
      </c>
      <c r="I12343">
        <v>4346</v>
      </c>
      <c r="J12343" t="s">
        <v>334</v>
      </c>
      <c r="K12343">
        <v>3639.5</v>
      </c>
      <c r="L12343">
        <v>8.5</v>
      </c>
      <c r="M12343">
        <v>53222</v>
      </c>
      <c r="N12343" t="s">
        <v>41</v>
      </c>
      <c r="O12343">
        <v>250616</v>
      </c>
      <c r="P12343">
        <v>33.340000000000003</v>
      </c>
    </row>
    <row r="12344" spans="1:16" x14ac:dyDescent="0.25">
      <c r="A12344" t="s">
        <v>3296</v>
      </c>
      <c r="B12344" t="s">
        <v>2931</v>
      </c>
      <c r="C12344">
        <v>8481</v>
      </c>
      <c r="D12344" t="str">
        <f>"165000069577"</f>
        <v>165000069577</v>
      </c>
      <c r="E12344" t="s">
        <v>1628</v>
      </c>
      <c r="F12344" t="s">
        <v>1629</v>
      </c>
      <c r="G12344">
        <v>1039.1400000000001</v>
      </c>
      <c r="H12344">
        <v>250531</v>
      </c>
      <c r="I12344">
        <v>4346</v>
      </c>
      <c r="J12344" t="s">
        <v>334</v>
      </c>
      <c r="K12344">
        <v>3639.5</v>
      </c>
      <c r="L12344">
        <v>211.14</v>
      </c>
      <c r="M12344">
        <v>53222</v>
      </c>
      <c r="N12344" t="s">
        <v>41</v>
      </c>
      <c r="O12344">
        <v>250616</v>
      </c>
      <c r="P12344">
        <v>828</v>
      </c>
    </row>
    <row r="12345" spans="1:16" x14ac:dyDescent="0.25">
      <c r="A12345" t="s">
        <v>3296</v>
      </c>
      <c r="B12345" t="s">
        <v>2931</v>
      </c>
      <c r="C12345">
        <v>9864</v>
      </c>
      <c r="D12345" t="str">
        <f>"165000070208"</f>
        <v>165000070208</v>
      </c>
      <c r="E12345" t="s">
        <v>1628</v>
      </c>
      <c r="F12345" t="s">
        <v>1629</v>
      </c>
      <c r="G12345">
        <v>166.38</v>
      </c>
      <c r="H12345">
        <v>250630</v>
      </c>
      <c r="I12345">
        <v>4346</v>
      </c>
      <c r="J12345" t="s">
        <v>334</v>
      </c>
      <c r="K12345">
        <v>1164.6400000000001</v>
      </c>
      <c r="L12345">
        <v>33.81</v>
      </c>
      <c r="M12345">
        <v>16322</v>
      </c>
      <c r="N12345" t="s">
        <v>331</v>
      </c>
      <c r="O12345">
        <v>250731</v>
      </c>
      <c r="P12345">
        <v>132.57</v>
      </c>
    </row>
    <row r="12346" spans="1:16" x14ac:dyDescent="0.25">
      <c r="A12346" t="s">
        <v>3296</v>
      </c>
      <c r="B12346" t="s">
        <v>2931</v>
      </c>
      <c r="C12346">
        <v>9864</v>
      </c>
      <c r="D12346" t="str">
        <f>"165000070208"</f>
        <v>165000070208</v>
      </c>
      <c r="E12346" t="s">
        <v>1628</v>
      </c>
      <c r="F12346" t="s">
        <v>1629</v>
      </c>
      <c r="G12346">
        <v>748.71</v>
      </c>
      <c r="H12346">
        <v>250630</v>
      </c>
      <c r="I12346">
        <v>4346</v>
      </c>
      <c r="J12346" t="s">
        <v>334</v>
      </c>
      <c r="K12346">
        <v>1164.6400000000001</v>
      </c>
      <c r="L12346">
        <v>152.13</v>
      </c>
      <c r="M12346">
        <v>43222</v>
      </c>
      <c r="N12346" t="s">
        <v>95</v>
      </c>
      <c r="O12346">
        <v>250731</v>
      </c>
      <c r="P12346">
        <v>596.58000000000004</v>
      </c>
    </row>
    <row r="12347" spans="1:16" x14ac:dyDescent="0.25">
      <c r="A12347" t="s">
        <v>3296</v>
      </c>
      <c r="B12347" t="s">
        <v>2931</v>
      </c>
      <c r="C12347">
        <v>9864</v>
      </c>
      <c r="D12347" t="str">
        <f>"165000070208"</f>
        <v>165000070208</v>
      </c>
      <c r="E12347" t="s">
        <v>1628</v>
      </c>
      <c r="F12347" t="s">
        <v>1629</v>
      </c>
      <c r="G12347">
        <v>249.55</v>
      </c>
      <c r="H12347">
        <v>250630</v>
      </c>
      <c r="I12347">
        <v>4346</v>
      </c>
      <c r="J12347" t="s">
        <v>334</v>
      </c>
      <c r="K12347">
        <v>1164.6400000000001</v>
      </c>
      <c r="L12347">
        <v>50.71</v>
      </c>
      <c r="M12347">
        <v>53222</v>
      </c>
      <c r="N12347" t="s">
        <v>41</v>
      </c>
      <c r="O12347">
        <v>250731</v>
      </c>
      <c r="P12347">
        <v>198.84</v>
      </c>
    </row>
    <row r="12348" spans="1:16" x14ac:dyDescent="0.25">
      <c r="A12348" t="s">
        <v>3296</v>
      </c>
      <c r="B12348" t="s">
        <v>2931</v>
      </c>
      <c r="C12348">
        <v>13133</v>
      </c>
      <c r="D12348" t="str">
        <f>"165000071239"</f>
        <v>165000071239</v>
      </c>
      <c r="E12348" t="s">
        <v>1628</v>
      </c>
      <c r="F12348" t="s">
        <v>1629</v>
      </c>
      <c r="G12348">
        <v>115.46</v>
      </c>
      <c r="H12348">
        <v>250930</v>
      </c>
      <c r="I12348">
        <v>4346</v>
      </c>
      <c r="J12348" t="s">
        <v>334</v>
      </c>
      <c r="K12348">
        <v>577.29999999999995</v>
      </c>
      <c r="L12348">
        <v>23.46</v>
      </c>
      <c r="M12348">
        <v>16321</v>
      </c>
      <c r="N12348" t="s">
        <v>16</v>
      </c>
      <c r="O12348">
        <v>251006</v>
      </c>
      <c r="P12348">
        <v>92</v>
      </c>
    </row>
    <row r="12349" spans="1:16" x14ac:dyDescent="0.25">
      <c r="A12349" t="s">
        <v>3296</v>
      </c>
      <c r="B12349" t="s">
        <v>2931</v>
      </c>
      <c r="C12349">
        <v>13133</v>
      </c>
      <c r="D12349" t="str">
        <f>"165000071239"</f>
        <v>165000071239</v>
      </c>
      <c r="E12349" t="s">
        <v>1628</v>
      </c>
      <c r="F12349" t="s">
        <v>1629</v>
      </c>
      <c r="G12349">
        <v>115.46</v>
      </c>
      <c r="H12349">
        <v>250930</v>
      </c>
      <c r="I12349">
        <v>4346</v>
      </c>
      <c r="J12349" t="s">
        <v>334</v>
      </c>
      <c r="K12349">
        <v>577.29999999999995</v>
      </c>
      <c r="L12349">
        <v>23.46</v>
      </c>
      <c r="M12349">
        <v>16322</v>
      </c>
      <c r="N12349" t="s">
        <v>331</v>
      </c>
      <c r="O12349">
        <v>251006</v>
      </c>
      <c r="P12349">
        <v>92</v>
      </c>
    </row>
    <row r="12350" spans="1:16" x14ac:dyDescent="0.25">
      <c r="A12350" t="s">
        <v>3296</v>
      </c>
      <c r="B12350" t="s">
        <v>2931</v>
      </c>
      <c r="C12350">
        <v>13133</v>
      </c>
      <c r="D12350" t="str">
        <f>"165000071239"</f>
        <v>165000071239</v>
      </c>
      <c r="E12350" t="s">
        <v>1628</v>
      </c>
      <c r="F12350" t="s">
        <v>1629</v>
      </c>
      <c r="G12350">
        <v>346.38</v>
      </c>
      <c r="H12350">
        <v>250930</v>
      </c>
      <c r="I12350">
        <v>4346</v>
      </c>
      <c r="J12350" t="s">
        <v>334</v>
      </c>
      <c r="K12350">
        <v>577.29999999999995</v>
      </c>
      <c r="L12350">
        <v>70.38</v>
      </c>
      <c r="M12350">
        <v>53222</v>
      </c>
      <c r="N12350" t="s">
        <v>41</v>
      </c>
      <c r="O12350">
        <v>251006</v>
      </c>
      <c r="P12350">
        <v>276</v>
      </c>
    </row>
    <row r="12351" spans="1:16" x14ac:dyDescent="0.25">
      <c r="A12351" t="s">
        <v>3296</v>
      </c>
      <c r="B12351" t="s">
        <v>2931</v>
      </c>
      <c r="C12351">
        <v>16482</v>
      </c>
      <c r="D12351" t="str">
        <f>"165000072049"</f>
        <v>165000072049</v>
      </c>
      <c r="E12351" t="s">
        <v>1628</v>
      </c>
      <c r="F12351" t="s">
        <v>1629</v>
      </c>
      <c r="G12351">
        <v>386.54</v>
      </c>
      <c r="H12351">
        <v>251130</v>
      </c>
      <c r="I12351">
        <v>4346</v>
      </c>
      <c r="J12351" t="s">
        <v>334</v>
      </c>
      <c r="K12351">
        <v>642.55999999999995</v>
      </c>
      <c r="L12351">
        <v>78.540000000000006</v>
      </c>
      <c r="M12351">
        <v>43222</v>
      </c>
      <c r="N12351" t="s">
        <v>95</v>
      </c>
      <c r="O12351">
        <v>251209</v>
      </c>
      <c r="P12351">
        <v>308</v>
      </c>
    </row>
    <row r="12352" spans="1:16" x14ac:dyDescent="0.25">
      <c r="A12352" t="s">
        <v>3296</v>
      </c>
      <c r="B12352" t="s">
        <v>2931</v>
      </c>
      <c r="C12352">
        <v>16482</v>
      </c>
      <c r="D12352" t="str">
        <f>"165000072049"</f>
        <v>165000072049</v>
      </c>
      <c r="E12352" t="s">
        <v>1628</v>
      </c>
      <c r="F12352" t="s">
        <v>1629</v>
      </c>
      <c r="G12352">
        <v>256.02</v>
      </c>
      <c r="H12352">
        <v>251130</v>
      </c>
      <c r="I12352">
        <v>4346</v>
      </c>
      <c r="J12352" t="s">
        <v>334</v>
      </c>
      <c r="K12352">
        <v>642.55999999999995</v>
      </c>
      <c r="L12352">
        <v>52.02</v>
      </c>
      <c r="M12352">
        <v>53222</v>
      </c>
      <c r="N12352" t="s">
        <v>41</v>
      </c>
      <c r="O12352">
        <v>251209</v>
      </c>
      <c r="P12352">
        <v>204</v>
      </c>
    </row>
    <row r="12353" spans="1:16" x14ac:dyDescent="0.25">
      <c r="A12353" t="s">
        <v>3296</v>
      </c>
      <c r="B12353" t="s">
        <v>2931</v>
      </c>
      <c r="C12353">
        <v>4447</v>
      </c>
      <c r="D12353" t="str">
        <f>"165000068544"</f>
        <v>165000068544</v>
      </c>
      <c r="E12353" t="s">
        <v>1628</v>
      </c>
      <c r="F12353" t="s">
        <v>1629</v>
      </c>
      <c r="G12353">
        <v>289.89999999999998</v>
      </c>
      <c r="H12353">
        <v>250331</v>
      </c>
      <c r="I12353">
        <v>4470</v>
      </c>
      <c r="J12353" t="s">
        <v>203</v>
      </c>
      <c r="K12353">
        <v>386.54</v>
      </c>
      <c r="L12353">
        <v>58.9</v>
      </c>
      <c r="M12353">
        <v>16321</v>
      </c>
      <c r="N12353" t="s">
        <v>16</v>
      </c>
      <c r="O12353">
        <v>250411</v>
      </c>
      <c r="P12353">
        <v>231</v>
      </c>
    </row>
    <row r="12354" spans="1:16" x14ac:dyDescent="0.25">
      <c r="A12354" t="s">
        <v>3296</v>
      </c>
      <c r="B12354" t="s">
        <v>2931</v>
      </c>
      <c r="C12354">
        <v>4447</v>
      </c>
      <c r="D12354" t="str">
        <f>"165000068544"</f>
        <v>165000068544</v>
      </c>
      <c r="E12354" t="s">
        <v>1628</v>
      </c>
      <c r="F12354" t="s">
        <v>1629</v>
      </c>
      <c r="G12354">
        <v>96.64</v>
      </c>
      <c r="H12354">
        <v>250331</v>
      </c>
      <c r="I12354">
        <v>4470</v>
      </c>
      <c r="J12354" t="s">
        <v>203</v>
      </c>
      <c r="K12354">
        <v>386.54</v>
      </c>
      <c r="L12354">
        <v>19.64</v>
      </c>
      <c r="M12354">
        <v>53222</v>
      </c>
      <c r="N12354" t="s">
        <v>41</v>
      </c>
      <c r="O12354">
        <v>250411</v>
      </c>
      <c r="P12354">
        <v>77</v>
      </c>
    </row>
    <row r="12355" spans="1:16" x14ac:dyDescent="0.25">
      <c r="A12355" t="s">
        <v>3296</v>
      </c>
      <c r="B12355" t="s">
        <v>2931</v>
      </c>
      <c r="C12355">
        <v>11889</v>
      </c>
      <c r="D12355" t="str">
        <f>"165000070808"</f>
        <v>165000070808</v>
      </c>
      <c r="E12355" t="s">
        <v>1628</v>
      </c>
      <c r="F12355" t="s">
        <v>1629</v>
      </c>
      <c r="G12355">
        <v>584.82000000000005</v>
      </c>
      <c r="H12355">
        <v>250831</v>
      </c>
      <c r="I12355">
        <v>4470</v>
      </c>
      <c r="J12355" t="s">
        <v>203</v>
      </c>
      <c r="K12355">
        <v>1611.42</v>
      </c>
      <c r="L12355">
        <v>118.83</v>
      </c>
      <c r="M12355">
        <v>14321</v>
      </c>
      <c r="N12355" t="s">
        <v>72</v>
      </c>
      <c r="O12355">
        <v>250912</v>
      </c>
      <c r="P12355">
        <v>465.99</v>
      </c>
    </row>
    <row r="12356" spans="1:16" x14ac:dyDescent="0.25">
      <c r="A12356" t="s">
        <v>3296</v>
      </c>
      <c r="B12356" t="s">
        <v>2931</v>
      </c>
      <c r="C12356">
        <v>11889</v>
      </c>
      <c r="D12356" t="str">
        <f>"165000070808"</f>
        <v>165000070808</v>
      </c>
      <c r="E12356" t="s">
        <v>1628</v>
      </c>
      <c r="F12356" t="s">
        <v>1629</v>
      </c>
      <c r="G12356">
        <v>342.2</v>
      </c>
      <c r="H12356">
        <v>250831</v>
      </c>
      <c r="I12356">
        <v>4470</v>
      </c>
      <c r="J12356" t="s">
        <v>203</v>
      </c>
      <c r="K12356">
        <v>1611.42</v>
      </c>
      <c r="L12356">
        <v>69.53</v>
      </c>
      <c r="M12356">
        <v>16321</v>
      </c>
      <c r="N12356" t="s">
        <v>16</v>
      </c>
      <c r="O12356">
        <v>250912</v>
      </c>
      <c r="P12356">
        <v>272.67</v>
      </c>
    </row>
    <row r="12357" spans="1:16" x14ac:dyDescent="0.25">
      <c r="A12357" t="s">
        <v>3296</v>
      </c>
      <c r="B12357" t="s">
        <v>2931</v>
      </c>
      <c r="C12357">
        <v>11889</v>
      </c>
      <c r="D12357" t="str">
        <f>"165000070808"</f>
        <v>165000070808</v>
      </c>
      <c r="E12357" t="s">
        <v>1628</v>
      </c>
      <c r="F12357" t="s">
        <v>1629</v>
      </c>
      <c r="G12357">
        <v>342.2</v>
      </c>
      <c r="H12357">
        <v>250831</v>
      </c>
      <c r="I12357">
        <v>4470</v>
      </c>
      <c r="J12357" t="s">
        <v>203</v>
      </c>
      <c r="K12357">
        <v>1611.42</v>
      </c>
      <c r="L12357">
        <v>69.53</v>
      </c>
      <c r="M12357">
        <v>16322</v>
      </c>
      <c r="N12357" t="s">
        <v>331</v>
      </c>
      <c r="O12357">
        <v>250912</v>
      </c>
      <c r="P12357">
        <v>272.67</v>
      </c>
    </row>
    <row r="12358" spans="1:16" x14ac:dyDescent="0.25">
      <c r="A12358" t="s">
        <v>3296</v>
      </c>
      <c r="B12358" t="s">
        <v>2931</v>
      </c>
      <c r="C12358">
        <v>11889</v>
      </c>
      <c r="D12358" t="str">
        <f>"165000070808"</f>
        <v>165000070808</v>
      </c>
      <c r="E12358" t="s">
        <v>1628</v>
      </c>
      <c r="F12358" t="s">
        <v>1629</v>
      </c>
      <c r="G12358">
        <v>342.2</v>
      </c>
      <c r="H12358">
        <v>250831</v>
      </c>
      <c r="I12358">
        <v>4470</v>
      </c>
      <c r="J12358" t="s">
        <v>203</v>
      </c>
      <c r="K12358">
        <v>1611.42</v>
      </c>
      <c r="L12358">
        <v>69.53</v>
      </c>
      <c r="M12358">
        <v>53222</v>
      </c>
      <c r="N12358" t="s">
        <v>41</v>
      </c>
      <c r="O12358">
        <v>250912</v>
      </c>
      <c r="P12358">
        <v>272.67</v>
      </c>
    </row>
    <row r="12359" spans="1:16" x14ac:dyDescent="0.25">
      <c r="A12359" t="s">
        <v>3296</v>
      </c>
      <c r="B12359" t="s">
        <v>2931</v>
      </c>
      <c r="C12359">
        <v>14896</v>
      </c>
      <c r="D12359" t="str">
        <f>"165000071621"</f>
        <v>165000071621</v>
      </c>
      <c r="E12359" t="s">
        <v>1628</v>
      </c>
      <c r="F12359" t="s">
        <v>1629</v>
      </c>
      <c r="G12359">
        <v>83.19</v>
      </c>
      <c r="H12359">
        <v>251031</v>
      </c>
      <c r="I12359">
        <v>4470</v>
      </c>
      <c r="J12359" t="s">
        <v>203</v>
      </c>
      <c r="K12359">
        <v>1164.6400000000001</v>
      </c>
      <c r="L12359">
        <v>16.899999999999999</v>
      </c>
      <c r="M12359">
        <v>16321</v>
      </c>
      <c r="N12359" t="s">
        <v>16</v>
      </c>
      <c r="O12359">
        <v>251107</v>
      </c>
      <c r="P12359">
        <v>66.290000000000006</v>
      </c>
    </row>
    <row r="12360" spans="1:16" x14ac:dyDescent="0.25">
      <c r="A12360" t="s">
        <v>3296</v>
      </c>
      <c r="B12360" t="s">
        <v>2931</v>
      </c>
      <c r="C12360">
        <v>14896</v>
      </c>
      <c r="D12360" t="str">
        <f>"165000071621"</f>
        <v>165000071621</v>
      </c>
      <c r="E12360" t="s">
        <v>1628</v>
      </c>
      <c r="F12360" t="s">
        <v>1629</v>
      </c>
      <c r="G12360">
        <v>83.19</v>
      </c>
      <c r="H12360">
        <v>251031</v>
      </c>
      <c r="I12360">
        <v>4470</v>
      </c>
      <c r="J12360" t="s">
        <v>203</v>
      </c>
      <c r="K12360">
        <v>1164.6400000000001</v>
      </c>
      <c r="L12360">
        <v>16.899999999999999</v>
      </c>
      <c r="M12360">
        <v>16322</v>
      </c>
      <c r="N12360" t="s">
        <v>331</v>
      </c>
      <c r="O12360">
        <v>251107</v>
      </c>
      <c r="P12360">
        <v>66.290000000000006</v>
      </c>
    </row>
    <row r="12361" spans="1:16" x14ac:dyDescent="0.25">
      <c r="A12361" t="s">
        <v>3296</v>
      </c>
      <c r="B12361" t="s">
        <v>2931</v>
      </c>
      <c r="C12361">
        <v>14896</v>
      </c>
      <c r="D12361" t="str">
        <f>"165000071621"</f>
        <v>165000071621</v>
      </c>
      <c r="E12361" t="s">
        <v>1628</v>
      </c>
      <c r="F12361" t="s">
        <v>1629</v>
      </c>
      <c r="G12361">
        <v>582.32000000000005</v>
      </c>
      <c r="H12361">
        <v>251031</v>
      </c>
      <c r="I12361">
        <v>4470</v>
      </c>
      <c r="J12361" t="s">
        <v>203</v>
      </c>
      <c r="K12361">
        <v>1164.6400000000001</v>
      </c>
      <c r="L12361">
        <v>118.32</v>
      </c>
      <c r="M12361">
        <v>43222</v>
      </c>
      <c r="N12361" t="s">
        <v>95</v>
      </c>
      <c r="O12361">
        <v>251107</v>
      </c>
      <c r="P12361">
        <v>464</v>
      </c>
    </row>
    <row r="12362" spans="1:16" x14ac:dyDescent="0.25">
      <c r="A12362" t="s">
        <v>3296</v>
      </c>
      <c r="B12362" t="s">
        <v>2931</v>
      </c>
      <c r="C12362">
        <v>14896</v>
      </c>
      <c r="D12362" t="str">
        <f>"165000071621"</f>
        <v>165000071621</v>
      </c>
      <c r="E12362" t="s">
        <v>1628</v>
      </c>
      <c r="F12362" t="s">
        <v>1629</v>
      </c>
      <c r="G12362">
        <v>415.94</v>
      </c>
      <c r="H12362">
        <v>251031</v>
      </c>
      <c r="I12362">
        <v>4470</v>
      </c>
      <c r="J12362" t="s">
        <v>203</v>
      </c>
      <c r="K12362">
        <v>1164.6400000000001</v>
      </c>
      <c r="L12362">
        <v>84.51</v>
      </c>
      <c r="M12362">
        <v>53222</v>
      </c>
      <c r="N12362" t="s">
        <v>41</v>
      </c>
      <c r="O12362">
        <v>251107</v>
      </c>
      <c r="P12362">
        <v>331.43</v>
      </c>
    </row>
    <row r="12363" spans="1:16" x14ac:dyDescent="0.25">
      <c r="A12363" t="s">
        <v>3296</v>
      </c>
      <c r="B12363" t="s">
        <v>2931</v>
      </c>
      <c r="C12363">
        <v>18207</v>
      </c>
      <c r="D12363" t="str">
        <f>"165000072378"</f>
        <v>165000072378</v>
      </c>
      <c r="E12363" t="s">
        <v>1628</v>
      </c>
      <c r="F12363" t="s">
        <v>1629</v>
      </c>
      <c r="G12363">
        <v>675.19</v>
      </c>
      <c r="H12363">
        <v>251231</v>
      </c>
      <c r="I12363">
        <v>4470</v>
      </c>
      <c r="J12363" t="s">
        <v>203</v>
      </c>
      <c r="K12363">
        <v>1350.38</v>
      </c>
      <c r="L12363">
        <v>137.19</v>
      </c>
      <c r="M12363">
        <v>14321</v>
      </c>
      <c r="N12363" t="s">
        <v>72</v>
      </c>
      <c r="O12363">
        <v>260112</v>
      </c>
      <c r="P12363">
        <v>538</v>
      </c>
    </row>
    <row r="12364" spans="1:16" x14ac:dyDescent="0.25">
      <c r="A12364" t="s">
        <v>3296</v>
      </c>
      <c r="B12364" t="s">
        <v>2931</v>
      </c>
      <c r="C12364">
        <v>18207</v>
      </c>
      <c r="D12364" t="str">
        <f>"165000072378"</f>
        <v>165000072378</v>
      </c>
      <c r="E12364" t="s">
        <v>1628</v>
      </c>
      <c r="F12364" t="s">
        <v>1629</v>
      </c>
      <c r="G12364">
        <v>540.15</v>
      </c>
      <c r="H12364">
        <v>251231</v>
      </c>
      <c r="I12364">
        <v>4470</v>
      </c>
      <c r="J12364" t="s">
        <v>203</v>
      </c>
      <c r="K12364">
        <v>1350.38</v>
      </c>
      <c r="L12364">
        <v>109.75</v>
      </c>
      <c r="M12364">
        <v>16321</v>
      </c>
      <c r="N12364" t="s">
        <v>16</v>
      </c>
      <c r="O12364">
        <v>260112</v>
      </c>
      <c r="P12364">
        <v>430.4</v>
      </c>
    </row>
    <row r="12365" spans="1:16" x14ac:dyDescent="0.25">
      <c r="A12365" t="s">
        <v>3296</v>
      </c>
      <c r="B12365" t="s">
        <v>2931</v>
      </c>
      <c r="C12365">
        <v>18207</v>
      </c>
      <c r="D12365" t="str">
        <f>"165000072378"</f>
        <v>165000072378</v>
      </c>
      <c r="E12365" t="s">
        <v>1628</v>
      </c>
      <c r="F12365" t="s">
        <v>1629</v>
      </c>
      <c r="G12365">
        <v>135.04</v>
      </c>
      <c r="H12365">
        <v>251231</v>
      </c>
      <c r="I12365">
        <v>4470</v>
      </c>
      <c r="J12365" t="s">
        <v>203</v>
      </c>
      <c r="K12365">
        <v>1350.38</v>
      </c>
      <c r="L12365">
        <v>27.44</v>
      </c>
      <c r="M12365">
        <v>16322</v>
      </c>
      <c r="N12365" t="s">
        <v>331</v>
      </c>
      <c r="O12365">
        <v>260112</v>
      </c>
      <c r="P12365">
        <v>107.6</v>
      </c>
    </row>
    <row r="12366" spans="1:16" x14ac:dyDescent="0.25">
      <c r="A12366" t="s">
        <v>3296</v>
      </c>
      <c r="B12366" t="s">
        <v>2931</v>
      </c>
      <c r="C12366">
        <v>5921</v>
      </c>
      <c r="D12366" t="str">
        <f>"103         "</f>
        <v xml:space="preserve">103         </v>
      </c>
      <c r="E12366" t="s">
        <v>1817</v>
      </c>
      <c r="F12366" t="s">
        <v>1818</v>
      </c>
      <c r="G12366">
        <v>269.3</v>
      </c>
      <c r="H12366">
        <v>250428</v>
      </c>
      <c r="I12366">
        <v>4500</v>
      </c>
      <c r="J12366" t="s">
        <v>312</v>
      </c>
      <c r="K12366">
        <v>269.3</v>
      </c>
      <c r="L12366">
        <v>54.72</v>
      </c>
      <c r="M12366">
        <v>13801</v>
      </c>
      <c r="N12366" t="s">
        <v>33</v>
      </c>
      <c r="O12366">
        <v>250507</v>
      </c>
      <c r="P12366">
        <v>214.58</v>
      </c>
    </row>
    <row r="12367" spans="1:16" x14ac:dyDescent="0.25">
      <c r="A12367" t="s">
        <v>3296</v>
      </c>
      <c r="B12367" t="s">
        <v>2931</v>
      </c>
      <c r="C12367">
        <v>15129</v>
      </c>
      <c r="D12367" t="str">
        <f>"109         "</f>
        <v xml:space="preserve">109         </v>
      </c>
      <c r="E12367" t="s">
        <v>1817</v>
      </c>
      <c r="F12367" t="s">
        <v>1818</v>
      </c>
      <c r="G12367">
        <v>54.95</v>
      </c>
      <c r="H12367">
        <v>251104</v>
      </c>
      <c r="I12367">
        <v>4600</v>
      </c>
      <c r="J12367" t="s">
        <v>278</v>
      </c>
      <c r="K12367">
        <v>54.95</v>
      </c>
      <c r="L12367">
        <v>11.17</v>
      </c>
      <c r="M12367">
        <v>13801</v>
      </c>
      <c r="N12367" t="s">
        <v>33</v>
      </c>
      <c r="O12367">
        <v>251112</v>
      </c>
      <c r="P12367">
        <v>43.78</v>
      </c>
    </row>
    <row r="12368" spans="1:16" x14ac:dyDescent="0.25">
      <c r="A12368" t="s">
        <v>3296</v>
      </c>
      <c r="B12368" t="s">
        <v>2931</v>
      </c>
      <c r="C12368">
        <v>11304</v>
      </c>
      <c r="D12368" t="str">
        <f>"5001605     "</f>
        <v xml:space="preserve">5001605     </v>
      </c>
      <c r="E12368" t="s">
        <v>2271</v>
      </c>
      <c r="F12368" t="s">
        <v>2272</v>
      </c>
      <c r="G12368">
        <v>40.9</v>
      </c>
      <c r="H12368">
        <v>250829</v>
      </c>
      <c r="I12368">
        <v>4600</v>
      </c>
      <c r="J12368" t="s">
        <v>278</v>
      </c>
      <c r="K12368">
        <v>40.9</v>
      </c>
      <c r="L12368">
        <v>8.31</v>
      </c>
      <c r="M12368">
        <v>56568</v>
      </c>
      <c r="N12368" t="s">
        <v>354</v>
      </c>
      <c r="O12368">
        <v>250903</v>
      </c>
      <c r="P12368">
        <v>32.590000000000003</v>
      </c>
    </row>
    <row r="12369" spans="1:16" x14ac:dyDescent="0.25">
      <c r="A12369" t="s">
        <v>3296</v>
      </c>
      <c r="B12369" t="s">
        <v>2931</v>
      </c>
      <c r="C12369">
        <v>18034</v>
      </c>
      <c r="D12369" t="str">
        <f>"5001824     "</f>
        <v xml:space="preserve">5001824     </v>
      </c>
      <c r="E12369" t="s">
        <v>2271</v>
      </c>
      <c r="F12369" t="s">
        <v>2272</v>
      </c>
      <c r="G12369">
        <v>43.65</v>
      </c>
      <c r="H12369">
        <v>251231</v>
      </c>
      <c r="I12369">
        <v>4600</v>
      </c>
      <c r="J12369" t="s">
        <v>278</v>
      </c>
      <c r="K12369">
        <v>43.65</v>
      </c>
      <c r="L12369">
        <v>8.8699999999999992</v>
      </c>
      <c r="M12369">
        <v>56568</v>
      </c>
      <c r="N12369" t="s">
        <v>354</v>
      </c>
      <c r="O12369">
        <v>260108</v>
      </c>
      <c r="P12369">
        <v>34.78</v>
      </c>
    </row>
    <row r="12370" spans="1:16" x14ac:dyDescent="0.25">
      <c r="A12370" t="s">
        <v>3296</v>
      </c>
      <c r="B12370" t="s">
        <v>2931</v>
      </c>
      <c r="C12370">
        <v>16135</v>
      </c>
      <c r="D12370" t="str">
        <f>"21185       "</f>
        <v xml:space="preserve">21185       </v>
      </c>
      <c r="E12370" t="s">
        <v>2661</v>
      </c>
      <c r="F12370" t="s">
        <v>2662</v>
      </c>
      <c r="G12370">
        <v>2510</v>
      </c>
      <c r="H12370">
        <v>251130</v>
      </c>
      <c r="I12370">
        <v>4580</v>
      </c>
      <c r="J12370" t="s">
        <v>126</v>
      </c>
      <c r="K12370">
        <v>2510</v>
      </c>
      <c r="L12370">
        <v>510</v>
      </c>
      <c r="M12370">
        <v>17808</v>
      </c>
      <c r="N12370" t="s">
        <v>24</v>
      </c>
      <c r="O12370">
        <v>251204</v>
      </c>
      <c r="P12370">
        <v>2000</v>
      </c>
    </row>
    <row r="12371" spans="1:16" x14ac:dyDescent="0.25">
      <c r="A12371" t="s">
        <v>3296</v>
      </c>
      <c r="B12371" t="s">
        <v>2931</v>
      </c>
      <c r="C12371">
        <v>1207</v>
      </c>
      <c r="D12371" t="str">
        <f>"2560101963  "</f>
        <v xml:space="preserve">2560101963  </v>
      </c>
      <c r="E12371" t="s">
        <v>892</v>
      </c>
      <c r="F12371" t="s">
        <v>893</v>
      </c>
      <c r="G12371">
        <v>5.35</v>
      </c>
      <c r="H12371">
        <v>250131</v>
      </c>
      <c r="I12371">
        <v>4520</v>
      </c>
      <c r="J12371" t="s">
        <v>280</v>
      </c>
      <c r="K12371">
        <v>54.86</v>
      </c>
      <c r="L12371">
        <v>1.0900000000000001</v>
      </c>
      <c r="M12371">
        <v>13801</v>
      </c>
      <c r="N12371" t="s">
        <v>33</v>
      </c>
      <c r="O12371">
        <v>250205</v>
      </c>
      <c r="P12371">
        <v>4.26</v>
      </c>
    </row>
    <row r="12372" spans="1:16" x14ac:dyDescent="0.25">
      <c r="A12372" t="s">
        <v>3296</v>
      </c>
      <c r="B12372" t="s">
        <v>2931</v>
      </c>
      <c r="C12372">
        <v>1207</v>
      </c>
      <c r="D12372" t="str">
        <f>"2560101963  "</f>
        <v xml:space="preserve">2560101963  </v>
      </c>
      <c r="E12372" t="s">
        <v>892</v>
      </c>
      <c r="F12372" t="s">
        <v>893</v>
      </c>
      <c r="G12372">
        <v>49.51</v>
      </c>
      <c r="H12372">
        <v>250131</v>
      </c>
      <c r="I12372">
        <v>4520</v>
      </c>
      <c r="J12372" t="s">
        <v>280</v>
      </c>
      <c r="K12372">
        <v>54.86</v>
      </c>
      <c r="L12372">
        <v>6.08</v>
      </c>
      <c r="M12372">
        <v>13801</v>
      </c>
      <c r="N12372" t="s">
        <v>33</v>
      </c>
      <c r="O12372">
        <v>250205</v>
      </c>
      <c r="P12372">
        <v>43.43</v>
      </c>
    </row>
    <row r="12373" spans="1:16" x14ac:dyDescent="0.25">
      <c r="A12373" t="s">
        <v>3296</v>
      </c>
      <c r="B12373" t="s">
        <v>2931</v>
      </c>
      <c r="C12373">
        <v>8079</v>
      </c>
      <c r="D12373" t="str">
        <f>"2560507612  "</f>
        <v xml:space="preserve">2560507612  </v>
      </c>
      <c r="E12373" t="s">
        <v>892</v>
      </c>
      <c r="F12373" t="s">
        <v>893</v>
      </c>
      <c r="G12373">
        <v>5.45</v>
      </c>
      <c r="H12373">
        <v>250531</v>
      </c>
      <c r="I12373">
        <v>4520</v>
      </c>
      <c r="J12373" t="s">
        <v>280</v>
      </c>
      <c r="K12373">
        <v>44.96</v>
      </c>
      <c r="L12373">
        <v>1.1100000000000001</v>
      </c>
      <c r="M12373">
        <v>13601</v>
      </c>
      <c r="N12373" t="s">
        <v>115</v>
      </c>
      <c r="O12373">
        <v>250611</v>
      </c>
      <c r="P12373">
        <v>4.34</v>
      </c>
    </row>
    <row r="12374" spans="1:16" x14ac:dyDescent="0.25">
      <c r="A12374" t="s">
        <v>3296</v>
      </c>
      <c r="B12374" t="s">
        <v>2931</v>
      </c>
      <c r="C12374">
        <v>8079</v>
      </c>
      <c r="D12374" t="str">
        <f>"2560507612  "</f>
        <v xml:space="preserve">2560507612  </v>
      </c>
      <c r="E12374" t="s">
        <v>892</v>
      </c>
      <c r="F12374" t="s">
        <v>893</v>
      </c>
      <c r="G12374">
        <v>39.51</v>
      </c>
      <c r="H12374">
        <v>250531</v>
      </c>
      <c r="I12374">
        <v>4520</v>
      </c>
      <c r="J12374" t="s">
        <v>280</v>
      </c>
      <c r="K12374">
        <v>44.96</v>
      </c>
      <c r="L12374">
        <v>4.8499999999999996</v>
      </c>
      <c r="M12374">
        <v>13601</v>
      </c>
      <c r="N12374" t="s">
        <v>115</v>
      </c>
      <c r="O12374">
        <v>250611</v>
      </c>
      <c r="P12374">
        <v>34.659999999999997</v>
      </c>
    </row>
    <row r="12375" spans="1:16" x14ac:dyDescent="0.25">
      <c r="A12375" t="s">
        <v>3296</v>
      </c>
      <c r="B12375" t="s">
        <v>2931</v>
      </c>
      <c r="C12375">
        <v>11322</v>
      </c>
      <c r="D12375" t="str">
        <f>"2560807338  "</f>
        <v xml:space="preserve">2560807338  </v>
      </c>
      <c r="E12375" t="s">
        <v>892</v>
      </c>
      <c r="F12375" t="s">
        <v>893</v>
      </c>
      <c r="G12375">
        <v>15.78</v>
      </c>
      <c r="H12375">
        <v>250831</v>
      </c>
      <c r="I12375">
        <v>4520</v>
      </c>
      <c r="J12375" t="s">
        <v>280</v>
      </c>
      <c r="K12375">
        <v>82.18</v>
      </c>
      <c r="L12375">
        <v>3.21</v>
      </c>
      <c r="M12375">
        <v>13601</v>
      </c>
      <c r="N12375" t="s">
        <v>115</v>
      </c>
      <c r="O12375">
        <v>250903</v>
      </c>
      <c r="P12375">
        <v>12.57</v>
      </c>
    </row>
    <row r="12376" spans="1:16" x14ac:dyDescent="0.25">
      <c r="A12376" t="s">
        <v>3296</v>
      </c>
      <c r="B12376" t="s">
        <v>2931</v>
      </c>
      <c r="C12376">
        <v>11322</v>
      </c>
      <c r="D12376" t="str">
        <f>"2560807338  "</f>
        <v xml:space="preserve">2560807338  </v>
      </c>
      <c r="E12376" t="s">
        <v>892</v>
      </c>
      <c r="F12376" t="s">
        <v>893</v>
      </c>
      <c r="G12376">
        <v>66.400000000000006</v>
      </c>
      <c r="H12376">
        <v>250831</v>
      </c>
      <c r="I12376">
        <v>4520</v>
      </c>
      <c r="J12376" t="s">
        <v>280</v>
      </c>
      <c r="K12376">
        <v>82.18</v>
      </c>
      <c r="L12376">
        <v>8.15</v>
      </c>
      <c r="M12376">
        <v>13601</v>
      </c>
      <c r="N12376" t="s">
        <v>115</v>
      </c>
      <c r="O12376">
        <v>250903</v>
      </c>
      <c r="P12376">
        <v>58.25</v>
      </c>
    </row>
    <row r="12377" spans="1:16" x14ac:dyDescent="0.25">
      <c r="A12377" t="s">
        <v>3296</v>
      </c>
      <c r="B12377" t="s">
        <v>2931</v>
      </c>
      <c r="C12377">
        <v>13055</v>
      </c>
      <c r="D12377" t="str">
        <f>"2560907792  "</f>
        <v xml:space="preserve">2560907792  </v>
      </c>
      <c r="E12377" t="s">
        <v>892</v>
      </c>
      <c r="F12377" t="s">
        <v>893</v>
      </c>
      <c r="G12377">
        <v>5.44</v>
      </c>
      <c r="H12377">
        <v>250930</v>
      </c>
      <c r="I12377">
        <v>4520</v>
      </c>
      <c r="J12377" t="s">
        <v>280</v>
      </c>
      <c r="K12377">
        <v>36.49</v>
      </c>
      <c r="L12377">
        <v>1.1100000000000001</v>
      </c>
      <c r="M12377">
        <v>13801</v>
      </c>
      <c r="N12377" t="s">
        <v>33</v>
      </c>
      <c r="O12377">
        <v>251003</v>
      </c>
      <c r="P12377">
        <v>4.33</v>
      </c>
    </row>
    <row r="12378" spans="1:16" x14ac:dyDescent="0.25">
      <c r="A12378" t="s">
        <v>3296</v>
      </c>
      <c r="B12378" t="s">
        <v>2931</v>
      </c>
      <c r="C12378">
        <v>13055</v>
      </c>
      <c r="D12378" t="str">
        <f>"2560907792  "</f>
        <v xml:space="preserve">2560907792  </v>
      </c>
      <c r="E12378" t="s">
        <v>892</v>
      </c>
      <c r="F12378" t="s">
        <v>893</v>
      </c>
      <c r="G12378">
        <v>31.05</v>
      </c>
      <c r="H12378">
        <v>250930</v>
      </c>
      <c r="I12378">
        <v>4520</v>
      </c>
      <c r="J12378" t="s">
        <v>280</v>
      </c>
      <c r="K12378">
        <v>36.49</v>
      </c>
      <c r="L12378">
        <v>3.81</v>
      </c>
      <c r="M12378">
        <v>13801</v>
      </c>
      <c r="N12378" t="s">
        <v>33</v>
      </c>
      <c r="O12378">
        <v>251003</v>
      </c>
      <c r="P12378">
        <v>27.24</v>
      </c>
    </row>
    <row r="12379" spans="1:16" x14ac:dyDescent="0.25">
      <c r="A12379" t="s">
        <v>3296</v>
      </c>
      <c r="B12379" t="s">
        <v>2931</v>
      </c>
      <c r="C12379">
        <v>18028</v>
      </c>
      <c r="D12379" t="str">
        <f>"2561213663  "</f>
        <v xml:space="preserve">2561213663  </v>
      </c>
      <c r="E12379" t="s">
        <v>892</v>
      </c>
      <c r="F12379" t="s">
        <v>893</v>
      </c>
      <c r="G12379">
        <v>4.4400000000000004</v>
      </c>
      <c r="H12379">
        <v>251231</v>
      </c>
      <c r="I12379">
        <v>4520</v>
      </c>
      <c r="J12379" t="s">
        <v>280</v>
      </c>
      <c r="K12379">
        <v>32.56</v>
      </c>
      <c r="L12379">
        <v>0.9</v>
      </c>
      <c r="M12379">
        <v>13801</v>
      </c>
      <c r="N12379" t="s">
        <v>33</v>
      </c>
      <c r="O12379">
        <v>260108</v>
      </c>
      <c r="P12379">
        <v>3.54</v>
      </c>
    </row>
    <row r="12380" spans="1:16" x14ac:dyDescent="0.25">
      <c r="A12380" t="s">
        <v>3296</v>
      </c>
      <c r="B12380" t="s">
        <v>2931</v>
      </c>
      <c r="C12380">
        <v>18028</v>
      </c>
      <c r="D12380" t="str">
        <f>"2561213663  "</f>
        <v xml:space="preserve">2561213663  </v>
      </c>
      <c r="E12380" t="s">
        <v>892</v>
      </c>
      <c r="F12380" t="s">
        <v>893</v>
      </c>
      <c r="G12380">
        <v>28.12</v>
      </c>
      <c r="H12380">
        <v>251231</v>
      </c>
      <c r="I12380">
        <v>4520</v>
      </c>
      <c r="J12380" t="s">
        <v>280</v>
      </c>
      <c r="K12380">
        <v>32.56</v>
      </c>
      <c r="L12380">
        <v>3.45</v>
      </c>
      <c r="M12380">
        <v>13801</v>
      </c>
      <c r="N12380" t="s">
        <v>33</v>
      </c>
      <c r="O12380">
        <v>260108</v>
      </c>
      <c r="P12380">
        <v>24.67</v>
      </c>
    </row>
    <row r="12381" spans="1:16" x14ac:dyDescent="0.25">
      <c r="A12381" t="s">
        <v>3296</v>
      </c>
      <c r="B12381" t="s">
        <v>2931</v>
      </c>
      <c r="C12381">
        <v>16715</v>
      </c>
      <c r="D12381" t="str">
        <f>"1075        "</f>
        <v xml:space="preserve">1075        </v>
      </c>
      <c r="E12381" t="s">
        <v>2704</v>
      </c>
      <c r="F12381" t="s">
        <v>2705</v>
      </c>
      <c r="G12381">
        <v>1500</v>
      </c>
      <c r="H12381">
        <v>251209</v>
      </c>
      <c r="I12381">
        <v>4400</v>
      </c>
      <c r="J12381" t="s">
        <v>162</v>
      </c>
      <c r="K12381">
        <v>1500</v>
      </c>
      <c r="L12381">
        <v>304.77999999999997</v>
      </c>
      <c r="M12381">
        <v>17523</v>
      </c>
      <c r="N12381" t="s">
        <v>138</v>
      </c>
      <c r="O12381">
        <v>251211</v>
      </c>
      <c r="P12381">
        <v>1195.22</v>
      </c>
    </row>
    <row r="12382" spans="1:16" x14ac:dyDescent="0.25">
      <c r="A12382" t="s">
        <v>3296</v>
      </c>
      <c r="B12382" t="s">
        <v>2931</v>
      </c>
      <c r="C12382">
        <v>4485</v>
      </c>
      <c r="D12382" t="str">
        <f>"302714      "</f>
        <v xml:space="preserve">302714      </v>
      </c>
      <c r="E12382" t="s">
        <v>1630</v>
      </c>
      <c r="F12382" t="s">
        <v>1631</v>
      </c>
      <c r="G12382">
        <v>843.36</v>
      </c>
      <c r="H12382">
        <v>250331</v>
      </c>
      <c r="I12382">
        <v>4470</v>
      </c>
      <c r="J12382" t="s">
        <v>203</v>
      </c>
      <c r="K12382">
        <v>843.36</v>
      </c>
      <c r="L12382">
        <v>171.36</v>
      </c>
      <c r="M12382">
        <v>67554</v>
      </c>
      <c r="N12382" t="s">
        <v>317</v>
      </c>
      <c r="O12382">
        <v>250411</v>
      </c>
      <c r="P12382">
        <v>672</v>
      </c>
    </row>
    <row r="12383" spans="1:16" x14ac:dyDescent="0.25">
      <c r="A12383" t="s">
        <v>3296</v>
      </c>
      <c r="B12383" t="s">
        <v>2931</v>
      </c>
      <c r="C12383">
        <v>9519</v>
      </c>
      <c r="D12383" t="str">
        <f>"302785      "</f>
        <v xml:space="preserve">302785      </v>
      </c>
      <c r="E12383" t="s">
        <v>1630</v>
      </c>
      <c r="F12383" t="s">
        <v>1631</v>
      </c>
      <c r="G12383">
        <v>263.55</v>
      </c>
      <c r="H12383">
        <v>250630</v>
      </c>
      <c r="I12383">
        <v>4470</v>
      </c>
      <c r="J12383" t="s">
        <v>203</v>
      </c>
      <c r="K12383">
        <v>263.55</v>
      </c>
      <c r="L12383">
        <v>53.55</v>
      </c>
      <c r="M12383">
        <v>67554</v>
      </c>
      <c r="N12383" t="s">
        <v>317</v>
      </c>
      <c r="O12383">
        <v>250709</v>
      </c>
      <c r="P12383">
        <v>210</v>
      </c>
    </row>
    <row r="12384" spans="1:16" x14ac:dyDescent="0.25">
      <c r="A12384" t="s">
        <v>3296</v>
      </c>
      <c r="B12384" t="s">
        <v>2931</v>
      </c>
      <c r="C12384">
        <v>12931</v>
      </c>
      <c r="D12384" t="str">
        <f>"302832      "</f>
        <v xml:space="preserve">302832      </v>
      </c>
      <c r="E12384" t="s">
        <v>1630</v>
      </c>
      <c r="F12384" t="s">
        <v>1631</v>
      </c>
      <c r="G12384">
        <v>1262.53</v>
      </c>
      <c r="H12384">
        <v>250930</v>
      </c>
      <c r="I12384">
        <v>4470</v>
      </c>
      <c r="J12384" t="s">
        <v>203</v>
      </c>
      <c r="K12384">
        <v>1262.53</v>
      </c>
      <c r="L12384">
        <v>256.52999999999997</v>
      </c>
      <c r="M12384">
        <v>67554</v>
      </c>
      <c r="N12384" t="s">
        <v>317</v>
      </c>
      <c r="O12384">
        <v>251002</v>
      </c>
      <c r="P12384">
        <v>1006</v>
      </c>
    </row>
    <row r="12385" spans="1:16" x14ac:dyDescent="0.25">
      <c r="A12385" t="s">
        <v>3296</v>
      </c>
      <c r="B12385" t="s">
        <v>2931</v>
      </c>
      <c r="C12385">
        <v>12727</v>
      </c>
      <c r="D12385" t="str">
        <f>"6992        "</f>
        <v xml:space="preserve">6992        </v>
      </c>
      <c r="E12385" t="s">
        <v>2380</v>
      </c>
      <c r="F12385" t="s">
        <v>2381</v>
      </c>
      <c r="G12385">
        <v>8.9</v>
      </c>
      <c r="H12385">
        <v>250922</v>
      </c>
      <c r="I12385">
        <v>4364</v>
      </c>
      <c r="J12385" t="s">
        <v>470</v>
      </c>
      <c r="K12385">
        <v>64.900000000000006</v>
      </c>
      <c r="L12385">
        <v>1.81</v>
      </c>
      <c r="M12385">
        <v>11901</v>
      </c>
      <c r="N12385" t="s">
        <v>31</v>
      </c>
      <c r="O12385">
        <v>250929</v>
      </c>
      <c r="P12385">
        <v>7.09</v>
      </c>
    </row>
    <row r="12386" spans="1:16" x14ac:dyDescent="0.25">
      <c r="A12386" t="s">
        <v>3296</v>
      </c>
      <c r="B12386" t="s">
        <v>2931</v>
      </c>
      <c r="C12386">
        <v>12727</v>
      </c>
      <c r="D12386" t="str">
        <f>"6992        "</f>
        <v xml:space="preserve">6992        </v>
      </c>
      <c r="E12386" t="s">
        <v>2380</v>
      </c>
      <c r="F12386" t="s">
        <v>2381</v>
      </c>
      <c r="G12386">
        <v>56</v>
      </c>
      <c r="H12386">
        <v>250922</v>
      </c>
      <c r="I12386">
        <v>4510</v>
      </c>
      <c r="J12386" t="s">
        <v>240</v>
      </c>
      <c r="K12386">
        <v>64.900000000000006</v>
      </c>
      <c r="L12386">
        <v>6.88</v>
      </c>
      <c r="M12386">
        <v>11901</v>
      </c>
      <c r="N12386" t="s">
        <v>31</v>
      </c>
      <c r="O12386">
        <v>250929</v>
      </c>
      <c r="P12386">
        <v>49.12</v>
      </c>
    </row>
    <row r="12387" spans="1:16" x14ac:dyDescent="0.25">
      <c r="A12387" t="s">
        <v>3296</v>
      </c>
      <c r="B12387" t="s">
        <v>2931</v>
      </c>
      <c r="C12387">
        <v>17976</v>
      </c>
      <c r="D12387" t="str">
        <f>"9491352049  "</f>
        <v xml:space="preserve">9491352049  </v>
      </c>
      <c r="E12387" t="s">
        <v>395</v>
      </c>
      <c r="F12387" t="s">
        <v>396</v>
      </c>
      <c r="G12387">
        <v>17319</v>
      </c>
      <c r="H12387">
        <v>251223</v>
      </c>
      <c r="I12387">
        <v>1198</v>
      </c>
      <c r="J12387" t="s">
        <v>610</v>
      </c>
      <c r="K12387">
        <v>17319</v>
      </c>
      <c r="L12387">
        <v>3519</v>
      </c>
      <c r="M12387">
        <v>95511</v>
      </c>
      <c r="N12387" t="s">
        <v>1947</v>
      </c>
      <c r="O12387">
        <v>260107</v>
      </c>
      <c r="P12387">
        <v>13800</v>
      </c>
    </row>
    <row r="12388" spans="1:16" x14ac:dyDescent="0.25">
      <c r="A12388" t="s">
        <v>3296</v>
      </c>
      <c r="B12388" t="s">
        <v>2931</v>
      </c>
      <c r="C12388">
        <v>275</v>
      </c>
      <c r="D12388" t="str">
        <f>"9491247042  "</f>
        <v xml:space="preserve">9491247042  </v>
      </c>
      <c r="E12388" t="s">
        <v>395</v>
      </c>
      <c r="F12388" t="s">
        <v>396</v>
      </c>
      <c r="G12388">
        <v>469.4</v>
      </c>
      <c r="H12388">
        <v>250114</v>
      </c>
      <c r="I12388">
        <v>4400</v>
      </c>
      <c r="J12388" t="s">
        <v>162</v>
      </c>
      <c r="K12388">
        <v>469.4</v>
      </c>
      <c r="L12388">
        <v>95.38</v>
      </c>
      <c r="M12388">
        <v>69501</v>
      </c>
      <c r="N12388" t="s">
        <v>123</v>
      </c>
      <c r="O12388">
        <v>250120</v>
      </c>
      <c r="P12388">
        <v>374.02</v>
      </c>
    </row>
    <row r="12389" spans="1:16" x14ac:dyDescent="0.25">
      <c r="A12389" t="s">
        <v>3296</v>
      </c>
      <c r="B12389" t="s">
        <v>2931</v>
      </c>
      <c r="C12389">
        <v>5297</v>
      </c>
      <c r="D12389" t="str">
        <f>"9491276212  "</f>
        <v xml:space="preserve">9491276212  </v>
      </c>
      <c r="E12389" t="s">
        <v>395</v>
      </c>
      <c r="F12389" t="s">
        <v>396</v>
      </c>
      <c r="G12389">
        <v>585.28</v>
      </c>
      <c r="H12389">
        <v>250411</v>
      </c>
      <c r="I12389">
        <v>4400</v>
      </c>
      <c r="J12389" t="s">
        <v>162</v>
      </c>
      <c r="K12389">
        <v>585.28</v>
      </c>
      <c r="L12389">
        <v>118.92</v>
      </c>
      <c r="M12389">
        <v>59113</v>
      </c>
      <c r="N12389" t="s">
        <v>61</v>
      </c>
      <c r="O12389">
        <v>250423</v>
      </c>
      <c r="P12389">
        <v>466.36</v>
      </c>
    </row>
    <row r="12390" spans="1:16" x14ac:dyDescent="0.25">
      <c r="A12390" t="s">
        <v>3296</v>
      </c>
      <c r="B12390" t="s">
        <v>2931</v>
      </c>
      <c r="C12390">
        <v>7325</v>
      </c>
      <c r="D12390" t="str">
        <f>"9491287109  "</f>
        <v xml:space="preserve">9491287109  </v>
      </c>
      <c r="E12390" t="s">
        <v>395</v>
      </c>
      <c r="F12390" t="s">
        <v>396</v>
      </c>
      <c r="G12390">
        <v>990.22</v>
      </c>
      <c r="H12390">
        <v>250521</v>
      </c>
      <c r="I12390">
        <v>4400</v>
      </c>
      <c r="J12390" t="s">
        <v>162</v>
      </c>
      <c r="K12390">
        <v>1237.78</v>
      </c>
      <c r="L12390">
        <v>201.2</v>
      </c>
      <c r="M12390">
        <v>69113</v>
      </c>
      <c r="N12390" t="s">
        <v>122</v>
      </c>
      <c r="O12390">
        <v>250603</v>
      </c>
      <c r="P12390">
        <v>789.02</v>
      </c>
    </row>
    <row r="12391" spans="1:16" x14ac:dyDescent="0.25">
      <c r="A12391" t="s">
        <v>3296</v>
      </c>
      <c r="B12391" t="s">
        <v>2931</v>
      </c>
      <c r="C12391">
        <v>7325</v>
      </c>
      <c r="D12391" t="str">
        <f>"9491287109  "</f>
        <v xml:space="preserve">9491287109  </v>
      </c>
      <c r="E12391" t="s">
        <v>395</v>
      </c>
      <c r="F12391" t="s">
        <v>396</v>
      </c>
      <c r="G12391">
        <v>123.78</v>
      </c>
      <c r="H12391">
        <v>250521</v>
      </c>
      <c r="I12391">
        <v>4400</v>
      </c>
      <c r="J12391" t="s">
        <v>162</v>
      </c>
      <c r="K12391">
        <v>1237.78</v>
      </c>
      <c r="L12391">
        <v>25.15</v>
      </c>
      <c r="M12391">
        <v>69802</v>
      </c>
      <c r="N12391" t="s">
        <v>375</v>
      </c>
      <c r="O12391">
        <v>250603</v>
      </c>
      <c r="P12391">
        <v>98.63</v>
      </c>
    </row>
    <row r="12392" spans="1:16" x14ac:dyDescent="0.25">
      <c r="A12392" t="s">
        <v>3296</v>
      </c>
      <c r="B12392" t="s">
        <v>2931</v>
      </c>
      <c r="C12392">
        <v>7325</v>
      </c>
      <c r="D12392" t="str">
        <f>"9491287109  "</f>
        <v xml:space="preserve">9491287109  </v>
      </c>
      <c r="E12392" t="s">
        <v>395</v>
      </c>
      <c r="F12392" t="s">
        <v>396</v>
      </c>
      <c r="G12392">
        <v>123.78</v>
      </c>
      <c r="H12392">
        <v>250521</v>
      </c>
      <c r="I12392">
        <v>4400</v>
      </c>
      <c r="J12392" t="s">
        <v>162</v>
      </c>
      <c r="K12392">
        <v>1237.78</v>
      </c>
      <c r="L12392">
        <v>25.15</v>
      </c>
      <c r="M12392">
        <v>69804</v>
      </c>
      <c r="N12392" t="s">
        <v>376</v>
      </c>
      <c r="O12392">
        <v>250603</v>
      </c>
      <c r="P12392">
        <v>98.63</v>
      </c>
    </row>
    <row r="12393" spans="1:16" x14ac:dyDescent="0.25">
      <c r="A12393" t="s">
        <v>3296</v>
      </c>
      <c r="B12393" t="s">
        <v>2931</v>
      </c>
      <c r="C12393">
        <v>7355</v>
      </c>
      <c r="D12393" t="str">
        <f>"9491287301  "</f>
        <v xml:space="preserve">9491287301  </v>
      </c>
      <c r="E12393" t="s">
        <v>395</v>
      </c>
      <c r="F12393" t="s">
        <v>396</v>
      </c>
      <c r="G12393">
        <v>1516.22</v>
      </c>
      <c r="H12393">
        <v>250521</v>
      </c>
      <c r="I12393">
        <v>4400</v>
      </c>
      <c r="J12393" t="s">
        <v>162</v>
      </c>
      <c r="K12393">
        <v>1895.28</v>
      </c>
      <c r="L12393">
        <v>308.08</v>
      </c>
      <c r="M12393">
        <v>69113</v>
      </c>
      <c r="N12393" t="s">
        <v>122</v>
      </c>
      <c r="O12393">
        <v>250603</v>
      </c>
      <c r="P12393">
        <v>1208.1400000000001</v>
      </c>
    </row>
    <row r="12394" spans="1:16" x14ac:dyDescent="0.25">
      <c r="A12394" t="s">
        <v>3296</v>
      </c>
      <c r="B12394" t="s">
        <v>2931</v>
      </c>
      <c r="C12394">
        <v>7355</v>
      </c>
      <c r="D12394" t="str">
        <f>"9491287301  "</f>
        <v xml:space="preserve">9491287301  </v>
      </c>
      <c r="E12394" t="s">
        <v>395</v>
      </c>
      <c r="F12394" t="s">
        <v>396</v>
      </c>
      <c r="G12394">
        <v>189.53</v>
      </c>
      <c r="H12394">
        <v>250521</v>
      </c>
      <c r="I12394">
        <v>4400</v>
      </c>
      <c r="J12394" t="s">
        <v>162</v>
      </c>
      <c r="K12394">
        <v>1895.28</v>
      </c>
      <c r="L12394">
        <v>38.51</v>
      </c>
      <c r="M12394">
        <v>69802</v>
      </c>
      <c r="N12394" t="s">
        <v>375</v>
      </c>
      <c r="O12394">
        <v>250603</v>
      </c>
      <c r="P12394">
        <v>151.02000000000001</v>
      </c>
    </row>
    <row r="12395" spans="1:16" x14ac:dyDescent="0.25">
      <c r="A12395" t="s">
        <v>3296</v>
      </c>
      <c r="B12395" t="s">
        <v>2931</v>
      </c>
      <c r="C12395">
        <v>7355</v>
      </c>
      <c r="D12395" t="str">
        <f>"9491287301  "</f>
        <v xml:space="preserve">9491287301  </v>
      </c>
      <c r="E12395" t="s">
        <v>395</v>
      </c>
      <c r="F12395" t="s">
        <v>396</v>
      </c>
      <c r="G12395">
        <v>189.53</v>
      </c>
      <c r="H12395">
        <v>250521</v>
      </c>
      <c r="I12395">
        <v>4400</v>
      </c>
      <c r="J12395" t="s">
        <v>162</v>
      </c>
      <c r="K12395">
        <v>1895.28</v>
      </c>
      <c r="L12395">
        <v>38.51</v>
      </c>
      <c r="M12395">
        <v>69804</v>
      </c>
      <c r="N12395" t="s">
        <v>376</v>
      </c>
      <c r="O12395">
        <v>250603</v>
      </c>
      <c r="P12395">
        <v>151.02000000000001</v>
      </c>
    </row>
    <row r="12396" spans="1:16" x14ac:dyDescent="0.25">
      <c r="A12396" t="s">
        <v>3296</v>
      </c>
      <c r="B12396" t="s">
        <v>2931</v>
      </c>
      <c r="C12396">
        <v>10873</v>
      </c>
      <c r="D12396" t="str">
        <f>"9491312057  "</f>
        <v xml:space="preserve">9491312057  </v>
      </c>
      <c r="E12396" t="s">
        <v>395</v>
      </c>
      <c r="F12396" t="s">
        <v>396</v>
      </c>
      <c r="G12396">
        <v>564</v>
      </c>
      <c r="H12396">
        <v>250821</v>
      </c>
      <c r="I12396">
        <v>4400</v>
      </c>
      <c r="J12396" t="s">
        <v>162</v>
      </c>
      <c r="K12396">
        <v>564</v>
      </c>
      <c r="L12396">
        <v>114.6</v>
      </c>
      <c r="M12396">
        <v>49501</v>
      </c>
      <c r="N12396" t="s">
        <v>110</v>
      </c>
      <c r="O12396">
        <v>250826</v>
      </c>
      <c r="P12396">
        <v>449.4</v>
      </c>
    </row>
    <row r="12397" spans="1:16" x14ac:dyDescent="0.25">
      <c r="A12397" t="s">
        <v>3296</v>
      </c>
      <c r="B12397" t="s">
        <v>2931</v>
      </c>
      <c r="C12397">
        <v>10986</v>
      </c>
      <c r="D12397" t="str">
        <f>"9491313934  "</f>
        <v xml:space="preserve">9491313934  </v>
      </c>
      <c r="E12397" t="s">
        <v>395</v>
      </c>
      <c r="F12397" t="s">
        <v>396</v>
      </c>
      <c r="G12397">
        <v>1018.13</v>
      </c>
      <c r="H12397">
        <v>250826</v>
      </c>
      <c r="I12397">
        <v>4400</v>
      </c>
      <c r="J12397" t="s">
        <v>162</v>
      </c>
      <c r="K12397">
        <v>1018.13</v>
      </c>
      <c r="L12397">
        <v>206.87</v>
      </c>
      <c r="M12397">
        <v>59113</v>
      </c>
      <c r="N12397" t="s">
        <v>61</v>
      </c>
      <c r="O12397">
        <v>250828</v>
      </c>
      <c r="P12397">
        <v>811.26</v>
      </c>
    </row>
    <row r="12398" spans="1:16" x14ac:dyDescent="0.25">
      <c r="A12398" t="s">
        <v>3296</v>
      </c>
      <c r="B12398" t="s">
        <v>2931</v>
      </c>
      <c r="C12398">
        <v>13476</v>
      </c>
      <c r="D12398" t="str">
        <f>"9491326618  "</f>
        <v xml:space="preserve">9491326618  </v>
      </c>
      <c r="E12398" t="s">
        <v>395</v>
      </c>
      <c r="F12398" t="s">
        <v>396</v>
      </c>
      <c r="G12398">
        <v>492.46</v>
      </c>
      <c r="H12398">
        <v>251003</v>
      </c>
      <c r="I12398">
        <v>4400</v>
      </c>
      <c r="J12398" t="s">
        <v>162</v>
      </c>
      <c r="K12398">
        <v>492.46</v>
      </c>
      <c r="L12398">
        <v>100.06</v>
      </c>
      <c r="M12398">
        <v>49501</v>
      </c>
      <c r="N12398" t="s">
        <v>110</v>
      </c>
      <c r="O12398">
        <v>251010</v>
      </c>
      <c r="P12398">
        <v>392.4</v>
      </c>
    </row>
    <row r="12399" spans="1:16" x14ac:dyDescent="0.25">
      <c r="A12399" t="s">
        <v>3296</v>
      </c>
      <c r="B12399" t="s">
        <v>2931</v>
      </c>
      <c r="C12399">
        <v>13781</v>
      </c>
      <c r="D12399" t="str">
        <f>"9491326649  "</f>
        <v xml:space="preserve">9491326649  </v>
      </c>
      <c r="E12399" t="s">
        <v>395</v>
      </c>
      <c r="F12399" t="s">
        <v>396</v>
      </c>
      <c r="G12399">
        <v>1634.01</v>
      </c>
      <c r="H12399">
        <v>251003</v>
      </c>
      <c r="I12399">
        <v>4400</v>
      </c>
      <c r="J12399" t="s">
        <v>162</v>
      </c>
      <c r="K12399">
        <v>1634.01</v>
      </c>
      <c r="L12399">
        <v>332.01</v>
      </c>
      <c r="M12399">
        <v>14640</v>
      </c>
      <c r="N12399" t="s">
        <v>78</v>
      </c>
      <c r="O12399">
        <v>251020</v>
      </c>
      <c r="P12399">
        <v>1302</v>
      </c>
    </row>
    <row r="12400" spans="1:16" x14ac:dyDescent="0.25">
      <c r="A12400" t="s">
        <v>3296</v>
      </c>
      <c r="B12400" t="s">
        <v>2931</v>
      </c>
      <c r="C12400">
        <v>14352</v>
      </c>
      <c r="D12400" t="str">
        <f>"9491331998  "</f>
        <v xml:space="preserve">9491331998  </v>
      </c>
      <c r="E12400" t="s">
        <v>395</v>
      </c>
      <c r="F12400" t="s">
        <v>396</v>
      </c>
      <c r="G12400">
        <v>282.83</v>
      </c>
      <c r="H12400">
        <v>251022</v>
      </c>
      <c r="I12400">
        <v>4400</v>
      </c>
      <c r="J12400" t="s">
        <v>162</v>
      </c>
      <c r="K12400">
        <v>314.25</v>
      </c>
      <c r="L12400">
        <v>57.47</v>
      </c>
      <c r="M12400">
        <v>69113</v>
      </c>
      <c r="N12400" t="s">
        <v>122</v>
      </c>
      <c r="O12400">
        <v>251030</v>
      </c>
      <c r="P12400">
        <v>225.36</v>
      </c>
    </row>
    <row r="12401" spans="1:16" x14ac:dyDescent="0.25">
      <c r="A12401" t="s">
        <v>3296</v>
      </c>
      <c r="B12401" t="s">
        <v>2931</v>
      </c>
      <c r="C12401">
        <v>14352</v>
      </c>
      <c r="D12401" t="str">
        <f>"9491331998  "</f>
        <v xml:space="preserve">9491331998  </v>
      </c>
      <c r="E12401" t="s">
        <v>395</v>
      </c>
      <c r="F12401" t="s">
        <v>396</v>
      </c>
      <c r="G12401">
        <v>15.71</v>
      </c>
      <c r="H12401">
        <v>251022</v>
      </c>
      <c r="I12401">
        <v>4400</v>
      </c>
      <c r="J12401" t="s">
        <v>162</v>
      </c>
      <c r="K12401">
        <v>314.25</v>
      </c>
      <c r="L12401">
        <v>3.19</v>
      </c>
      <c r="M12401">
        <v>69802</v>
      </c>
      <c r="N12401" t="s">
        <v>375</v>
      </c>
      <c r="O12401">
        <v>251030</v>
      </c>
      <c r="P12401">
        <v>12.52</v>
      </c>
    </row>
    <row r="12402" spans="1:16" x14ac:dyDescent="0.25">
      <c r="A12402" t="s">
        <v>3296</v>
      </c>
      <c r="B12402" t="s">
        <v>2931</v>
      </c>
      <c r="C12402">
        <v>14352</v>
      </c>
      <c r="D12402" t="str">
        <f>"9491331998  "</f>
        <v xml:space="preserve">9491331998  </v>
      </c>
      <c r="E12402" t="s">
        <v>395</v>
      </c>
      <c r="F12402" t="s">
        <v>396</v>
      </c>
      <c r="G12402">
        <v>15.71</v>
      </c>
      <c r="H12402">
        <v>251022</v>
      </c>
      <c r="I12402">
        <v>4400</v>
      </c>
      <c r="J12402" t="s">
        <v>162</v>
      </c>
      <c r="K12402">
        <v>314.25</v>
      </c>
      <c r="L12402">
        <v>3.19</v>
      </c>
      <c r="M12402">
        <v>69804</v>
      </c>
      <c r="N12402" t="s">
        <v>376</v>
      </c>
      <c r="O12402">
        <v>251030</v>
      </c>
      <c r="P12402">
        <v>12.52</v>
      </c>
    </row>
    <row r="12403" spans="1:16" x14ac:dyDescent="0.25">
      <c r="A12403" t="s">
        <v>3296</v>
      </c>
      <c r="B12403" t="s">
        <v>2931</v>
      </c>
      <c r="C12403">
        <v>14695</v>
      </c>
      <c r="D12403" t="str">
        <f>"9491335571  "</f>
        <v xml:space="preserve">9491335571  </v>
      </c>
      <c r="E12403" t="s">
        <v>395</v>
      </c>
      <c r="F12403" t="s">
        <v>396</v>
      </c>
      <c r="G12403">
        <v>393.87</v>
      </c>
      <c r="H12403">
        <v>251031</v>
      </c>
      <c r="I12403">
        <v>4400</v>
      </c>
      <c r="J12403" t="s">
        <v>162</v>
      </c>
      <c r="K12403">
        <v>393.87</v>
      </c>
      <c r="L12403">
        <v>80.03</v>
      </c>
      <c r="M12403">
        <v>69501</v>
      </c>
      <c r="N12403" t="s">
        <v>123</v>
      </c>
      <c r="O12403">
        <v>251106</v>
      </c>
      <c r="P12403">
        <v>313.83999999999997</v>
      </c>
    </row>
    <row r="12404" spans="1:16" x14ac:dyDescent="0.25">
      <c r="A12404" t="s">
        <v>3296</v>
      </c>
      <c r="B12404" t="s">
        <v>2931</v>
      </c>
      <c r="C12404">
        <v>16050</v>
      </c>
      <c r="D12404" t="str">
        <f>"9491343662  "</f>
        <v xml:space="preserve">9491343662  </v>
      </c>
      <c r="E12404" t="s">
        <v>395</v>
      </c>
      <c r="F12404" t="s">
        <v>396</v>
      </c>
      <c r="G12404">
        <v>646.5</v>
      </c>
      <c r="H12404">
        <v>251127</v>
      </c>
      <c r="I12404">
        <v>4400</v>
      </c>
      <c r="J12404" t="s">
        <v>162</v>
      </c>
      <c r="K12404">
        <v>646.5</v>
      </c>
      <c r="L12404">
        <v>131.36000000000001</v>
      </c>
      <c r="M12404">
        <v>17913</v>
      </c>
      <c r="N12404" t="s">
        <v>26</v>
      </c>
      <c r="O12404">
        <v>251202</v>
      </c>
      <c r="P12404">
        <v>515.14</v>
      </c>
    </row>
    <row r="12405" spans="1:16" x14ac:dyDescent="0.25">
      <c r="A12405" t="s">
        <v>3296</v>
      </c>
      <c r="B12405" t="s">
        <v>2931</v>
      </c>
      <c r="C12405">
        <v>16379</v>
      </c>
      <c r="D12405" t="str">
        <f>"9491343678  "</f>
        <v xml:space="preserve">9491343678  </v>
      </c>
      <c r="E12405" t="s">
        <v>395</v>
      </c>
      <c r="F12405" t="s">
        <v>396</v>
      </c>
      <c r="G12405">
        <v>823.88</v>
      </c>
      <c r="H12405">
        <v>251127</v>
      </c>
      <c r="I12405">
        <v>4400</v>
      </c>
      <c r="J12405" t="s">
        <v>162</v>
      </c>
      <c r="K12405">
        <v>823.88</v>
      </c>
      <c r="L12405">
        <v>167.4</v>
      </c>
      <c r="M12405">
        <v>49501</v>
      </c>
      <c r="N12405" t="s">
        <v>110</v>
      </c>
      <c r="O12405">
        <v>251208</v>
      </c>
      <c r="P12405">
        <v>656.48</v>
      </c>
    </row>
    <row r="12406" spans="1:16" x14ac:dyDescent="0.25">
      <c r="A12406" t="s">
        <v>3296</v>
      </c>
      <c r="B12406" t="s">
        <v>2931</v>
      </c>
      <c r="C12406">
        <v>17652</v>
      </c>
      <c r="D12406" t="str">
        <f>"9491350352  "</f>
        <v xml:space="preserve">9491350352  </v>
      </c>
      <c r="E12406" t="s">
        <v>395</v>
      </c>
      <c r="F12406" t="s">
        <v>396</v>
      </c>
      <c r="G12406">
        <v>887.16</v>
      </c>
      <c r="H12406">
        <v>251218</v>
      </c>
      <c r="I12406">
        <v>4400</v>
      </c>
      <c r="J12406" t="s">
        <v>162</v>
      </c>
      <c r="K12406">
        <v>887.16</v>
      </c>
      <c r="L12406">
        <v>180.26</v>
      </c>
      <c r="M12406">
        <v>49501</v>
      </c>
      <c r="N12406" t="s">
        <v>110</v>
      </c>
      <c r="O12406">
        <v>251229</v>
      </c>
      <c r="P12406">
        <v>706.9</v>
      </c>
    </row>
    <row r="12407" spans="1:16" x14ac:dyDescent="0.25">
      <c r="A12407" t="s">
        <v>3296</v>
      </c>
      <c r="B12407" t="s">
        <v>2931</v>
      </c>
      <c r="C12407">
        <v>14421</v>
      </c>
      <c r="D12407" t="str">
        <f>"9491332290  "</f>
        <v xml:space="preserve">9491332290  </v>
      </c>
      <c r="E12407" t="s">
        <v>395</v>
      </c>
      <c r="F12407" t="s">
        <v>396</v>
      </c>
      <c r="G12407">
        <v>8229.35</v>
      </c>
      <c r="H12407">
        <v>251023</v>
      </c>
      <c r="I12407">
        <v>4580</v>
      </c>
      <c r="J12407" t="s">
        <v>126</v>
      </c>
      <c r="K12407">
        <v>8229.35</v>
      </c>
      <c r="L12407">
        <v>1672.1</v>
      </c>
      <c r="M12407">
        <v>49112</v>
      </c>
      <c r="N12407" t="s">
        <v>109</v>
      </c>
      <c r="O12407">
        <v>251031</v>
      </c>
      <c r="P12407">
        <v>6557.25</v>
      </c>
    </row>
    <row r="12408" spans="1:16" x14ac:dyDescent="0.25">
      <c r="A12408" t="s">
        <v>3296</v>
      </c>
      <c r="B12408" t="s">
        <v>2931</v>
      </c>
      <c r="C12408">
        <v>2218</v>
      </c>
      <c r="D12408" t="str">
        <f>"9491258097  "</f>
        <v xml:space="preserve">9491258097  </v>
      </c>
      <c r="E12408" t="s">
        <v>395</v>
      </c>
      <c r="F12408" t="s">
        <v>396</v>
      </c>
      <c r="G12408">
        <v>277.83</v>
      </c>
      <c r="H12408">
        <v>250218</v>
      </c>
      <c r="I12408">
        <v>4590</v>
      </c>
      <c r="J12408" t="s">
        <v>388</v>
      </c>
      <c r="K12408">
        <v>277.83</v>
      </c>
      <c r="L12408">
        <v>56.45</v>
      </c>
      <c r="M12408">
        <v>49501</v>
      </c>
      <c r="N12408" t="s">
        <v>110</v>
      </c>
      <c r="O12408">
        <v>250221</v>
      </c>
      <c r="P12408">
        <v>221.38</v>
      </c>
    </row>
    <row r="12409" spans="1:16" x14ac:dyDescent="0.25">
      <c r="A12409" t="s">
        <v>3296</v>
      </c>
      <c r="B12409" t="s">
        <v>2931</v>
      </c>
      <c r="C12409">
        <v>3398</v>
      </c>
      <c r="D12409" t="str">
        <f>"9491263583  "</f>
        <v xml:space="preserve">9491263583  </v>
      </c>
      <c r="E12409" t="s">
        <v>395</v>
      </c>
      <c r="F12409" t="s">
        <v>396</v>
      </c>
      <c r="G12409">
        <v>324.02999999999997</v>
      </c>
      <c r="H12409">
        <v>250306</v>
      </c>
      <c r="I12409">
        <v>4590</v>
      </c>
      <c r="J12409" t="s">
        <v>388</v>
      </c>
      <c r="K12409">
        <v>324.02999999999997</v>
      </c>
      <c r="L12409">
        <v>65.84</v>
      </c>
      <c r="M12409">
        <v>49501</v>
      </c>
      <c r="N12409" t="s">
        <v>110</v>
      </c>
      <c r="O12409">
        <v>250320</v>
      </c>
      <c r="P12409">
        <v>258.19</v>
      </c>
    </row>
    <row r="12410" spans="1:16" x14ac:dyDescent="0.25">
      <c r="A12410" t="s">
        <v>3296</v>
      </c>
      <c r="B12410" t="s">
        <v>2931</v>
      </c>
      <c r="C12410">
        <v>3599</v>
      </c>
      <c r="D12410" t="str">
        <f>"9491266414  "</f>
        <v xml:space="preserve">9491266414  </v>
      </c>
      <c r="E12410" t="s">
        <v>395</v>
      </c>
      <c r="F12410" t="s">
        <v>396</v>
      </c>
      <c r="G12410">
        <v>235.27</v>
      </c>
      <c r="H12410">
        <v>250314</v>
      </c>
      <c r="I12410">
        <v>4600</v>
      </c>
      <c r="J12410" t="s">
        <v>278</v>
      </c>
      <c r="K12410">
        <v>235.27</v>
      </c>
      <c r="L12410">
        <v>47.8</v>
      </c>
      <c r="M12410">
        <v>49501</v>
      </c>
      <c r="N12410" t="s">
        <v>110</v>
      </c>
      <c r="O12410">
        <v>250326</v>
      </c>
      <c r="P12410">
        <v>187.47</v>
      </c>
    </row>
    <row r="12411" spans="1:16" x14ac:dyDescent="0.25">
      <c r="A12411" t="s">
        <v>3296</v>
      </c>
      <c r="B12411" t="s">
        <v>2931</v>
      </c>
      <c r="C12411">
        <v>10983</v>
      </c>
      <c r="D12411" t="str">
        <f>"9491313217  "</f>
        <v xml:space="preserve">9491313217  </v>
      </c>
      <c r="E12411" t="s">
        <v>395</v>
      </c>
      <c r="F12411" t="s">
        <v>396</v>
      </c>
      <c r="G12411">
        <v>776.09</v>
      </c>
      <c r="H12411">
        <v>250825</v>
      </c>
      <c r="I12411">
        <v>4600</v>
      </c>
      <c r="J12411" t="s">
        <v>278</v>
      </c>
      <c r="K12411">
        <v>776.09</v>
      </c>
      <c r="L12411">
        <v>157.69</v>
      </c>
      <c r="M12411">
        <v>49501</v>
      </c>
      <c r="N12411" t="s">
        <v>110</v>
      </c>
      <c r="O12411">
        <v>250828</v>
      </c>
      <c r="P12411">
        <v>618.4</v>
      </c>
    </row>
    <row r="12412" spans="1:16" x14ac:dyDescent="0.25">
      <c r="A12412" t="s">
        <v>3296</v>
      </c>
      <c r="B12412" t="s">
        <v>2931</v>
      </c>
      <c r="C12412">
        <v>12990</v>
      </c>
      <c r="D12412" t="str">
        <f>"9491323622  "</f>
        <v xml:space="preserve">9491323622  </v>
      </c>
      <c r="E12412" t="s">
        <v>395</v>
      </c>
      <c r="F12412" t="s">
        <v>396</v>
      </c>
      <c r="G12412">
        <v>2438.4699999999998</v>
      </c>
      <c r="H12412">
        <v>250925</v>
      </c>
      <c r="I12412">
        <v>4600</v>
      </c>
      <c r="J12412" t="s">
        <v>278</v>
      </c>
      <c r="K12412">
        <v>2438.4699999999998</v>
      </c>
      <c r="L12412">
        <v>495.47</v>
      </c>
      <c r="M12412">
        <v>54451</v>
      </c>
      <c r="N12412" t="s">
        <v>218</v>
      </c>
      <c r="O12412">
        <v>251003</v>
      </c>
      <c r="P12412">
        <v>1943</v>
      </c>
    </row>
    <row r="12413" spans="1:16" x14ac:dyDescent="0.25">
      <c r="A12413" t="s">
        <v>3296</v>
      </c>
      <c r="B12413" t="s">
        <v>2931</v>
      </c>
      <c r="C12413">
        <v>14479</v>
      </c>
      <c r="D12413" t="str">
        <f>"9491334770  "</f>
        <v xml:space="preserve">9491334770  </v>
      </c>
      <c r="E12413" t="s">
        <v>395</v>
      </c>
      <c r="F12413" t="s">
        <v>396</v>
      </c>
      <c r="G12413">
        <v>197.39</v>
      </c>
      <c r="H12413">
        <v>251030</v>
      </c>
      <c r="I12413">
        <v>4600</v>
      </c>
      <c r="J12413" t="s">
        <v>278</v>
      </c>
      <c r="K12413">
        <v>197.39</v>
      </c>
      <c r="L12413">
        <v>40.11</v>
      </c>
      <c r="M12413">
        <v>17913</v>
      </c>
      <c r="N12413" t="s">
        <v>26</v>
      </c>
      <c r="O12413">
        <v>251103</v>
      </c>
      <c r="P12413">
        <v>157.28</v>
      </c>
    </row>
    <row r="12414" spans="1:16" x14ac:dyDescent="0.25">
      <c r="A12414" t="s">
        <v>3296</v>
      </c>
      <c r="B12414" t="s">
        <v>2931</v>
      </c>
      <c r="C12414">
        <v>357</v>
      </c>
      <c r="D12414" t="str">
        <f>"90109346    "</f>
        <v xml:space="preserve">90109346    </v>
      </c>
      <c r="E12414" t="s">
        <v>453</v>
      </c>
      <c r="F12414" t="s">
        <v>454</v>
      </c>
      <c r="G12414">
        <v>96</v>
      </c>
      <c r="H12414">
        <v>250115</v>
      </c>
      <c r="I12414">
        <v>4470</v>
      </c>
      <c r="J12414" t="s">
        <v>203</v>
      </c>
      <c r="K12414">
        <v>96</v>
      </c>
      <c r="L12414">
        <v>0</v>
      </c>
      <c r="M12414">
        <v>17132</v>
      </c>
      <c r="N12414" t="s">
        <v>174</v>
      </c>
      <c r="O12414">
        <v>250122</v>
      </c>
      <c r="P12414">
        <v>96</v>
      </c>
    </row>
    <row r="12415" spans="1:16" x14ac:dyDescent="0.25">
      <c r="A12415" t="s">
        <v>3296</v>
      </c>
      <c r="B12415" t="s">
        <v>2931</v>
      </c>
      <c r="C12415">
        <v>10607</v>
      </c>
      <c r="D12415" t="str">
        <f>"90117741    "</f>
        <v xml:space="preserve">90117741    </v>
      </c>
      <c r="E12415" t="s">
        <v>453</v>
      </c>
      <c r="F12415" t="s">
        <v>454</v>
      </c>
      <c r="G12415">
        <v>357</v>
      </c>
      <c r="H12415">
        <v>250901</v>
      </c>
      <c r="I12415">
        <v>4820</v>
      </c>
      <c r="J12415" t="s">
        <v>169</v>
      </c>
      <c r="K12415">
        <v>357</v>
      </c>
      <c r="L12415">
        <v>43.84</v>
      </c>
      <c r="M12415">
        <v>17131</v>
      </c>
      <c r="N12415" t="s">
        <v>154</v>
      </c>
      <c r="O12415">
        <v>250820</v>
      </c>
      <c r="P12415">
        <v>313.16000000000003</v>
      </c>
    </row>
    <row r="12416" spans="1:16" x14ac:dyDescent="0.25">
      <c r="A12416" t="s">
        <v>3296</v>
      </c>
      <c r="B12416" t="s">
        <v>2931</v>
      </c>
      <c r="C12416">
        <v>2031</v>
      </c>
      <c r="D12416" t="str">
        <f>"5471        "</f>
        <v xml:space="preserve">5471        </v>
      </c>
      <c r="E12416" t="s">
        <v>1195</v>
      </c>
      <c r="F12416" t="s">
        <v>1196</v>
      </c>
      <c r="G12416">
        <v>702.8</v>
      </c>
      <c r="H12416">
        <v>250206</v>
      </c>
      <c r="I12416">
        <v>4346</v>
      </c>
      <c r="J12416" t="s">
        <v>334</v>
      </c>
      <c r="K12416">
        <v>702.8</v>
      </c>
      <c r="L12416">
        <v>142.80000000000001</v>
      </c>
      <c r="M12416">
        <v>67554</v>
      </c>
      <c r="N12416" t="s">
        <v>317</v>
      </c>
      <c r="O12416">
        <v>250219</v>
      </c>
      <c r="P12416">
        <v>560</v>
      </c>
    </row>
    <row r="12417" spans="1:16" x14ac:dyDescent="0.25">
      <c r="A12417" t="s">
        <v>3296</v>
      </c>
      <c r="B12417" t="s">
        <v>2931</v>
      </c>
      <c r="C12417">
        <v>12824</v>
      </c>
      <c r="D12417" t="str">
        <f>"6668        "</f>
        <v xml:space="preserve">6668        </v>
      </c>
      <c r="E12417" t="s">
        <v>1195</v>
      </c>
      <c r="F12417" t="s">
        <v>1196</v>
      </c>
      <c r="G12417">
        <v>2945.48</v>
      </c>
      <c r="H12417">
        <v>250923</v>
      </c>
      <c r="I12417">
        <v>4346</v>
      </c>
      <c r="J12417" t="s">
        <v>334</v>
      </c>
      <c r="K12417">
        <v>2945.48</v>
      </c>
      <c r="L12417">
        <v>598.48</v>
      </c>
      <c r="M12417">
        <v>67554</v>
      </c>
      <c r="N12417" t="s">
        <v>317</v>
      </c>
      <c r="O12417">
        <v>250930</v>
      </c>
      <c r="P12417">
        <v>2347</v>
      </c>
    </row>
    <row r="12418" spans="1:16" x14ac:dyDescent="0.25">
      <c r="A12418" t="s">
        <v>3296</v>
      </c>
      <c r="B12418" t="s">
        <v>2931</v>
      </c>
      <c r="C12418">
        <v>11495</v>
      </c>
      <c r="D12418" t="str">
        <f>"5962        "</f>
        <v xml:space="preserve">5962        </v>
      </c>
      <c r="E12418" t="s">
        <v>2243</v>
      </c>
      <c r="F12418" t="s">
        <v>2244</v>
      </c>
      <c r="G12418">
        <v>1765</v>
      </c>
      <c r="H12418">
        <v>250827</v>
      </c>
      <c r="I12418">
        <v>4470</v>
      </c>
      <c r="J12418" t="s">
        <v>203</v>
      </c>
      <c r="K12418">
        <v>1765</v>
      </c>
      <c r="L12418">
        <v>358.63</v>
      </c>
      <c r="M12418">
        <v>17957</v>
      </c>
      <c r="N12418" t="s">
        <v>812</v>
      </c>
      <c r="O12418">
        <v>250905</v>
      </c>
      <c r="P12418">
        <v>1406.37</v>
      </c>
    </row>
    <row r="12419" spans="1:16" x14ac:dyDescent="0.25">
      <c r="A12419" t="s">
        <v>3296</v>
      </c>
      <c r="B12419" t="s">
        <v>2931</v>
      </c>
      <c r="C12419">
        <v>11070</v>
      </c>
      <c r="D12419" t="str">
        <f>"5963        "</f>
        <v xml:space="preserve">5963        </v>
      </c>
      <c r="E12419" t="s">
        <v>2243</v>
      </c>
      <c r="F12419" t="s">
        <v>2244</v>
      </c>
      <c r="G12419">
        <v>442.72</v>
      </c>
      <c r="H12419">
        <v>250827</v>
      </c>
      <c r="I12419">
        <v>4600</v>
      </c>
      <c r="J12419" t="s">
        <v>278</v>
      </c>
      <c r="K12419">
        <v>442.72</v>
      </c>
      <c r="L12419">
        <v>89.96</v>
      </c>
      <c r="M12419">
        <v>17523</v>
      </c>
      <c r="N12419" t="s">
        <v>138</v>
      </c>
      <c r="O12419">
        <v>250829</v>
      </c>
      <c r="P12419">
        <v>352.76</v>
      </c>
    </row>
    <row r="12420" spans="1:16" x14ac:dyDescent="0.25">
      <c r="A12420" t="s">
        <v>3296</v>
      </c>
      <c r="B12420" t="s">
        <v>2931</v>
      </c>
      <c r="C12420">
        <v>14429</v>
      </c>
      <c r="D12420" t="str">
        <f>"1964        "</f>
        <v xml:space="preserve">1964        </v>
      </c>
      <c r="E12420" t="s">
        <v>2508</v>
      </c>
      <c r="F12420" t="s">
        <v>2509</v>
      </c>
      <c r="G12420">
        <v>323.37</v>
      </c>
      <c r="H12420">
        <v>251030</v>
      </c>
      <c r="I12420">
        <v>4400</v>
      </c>
      <c r="J12420" t="s">
        <v>162</v>
      </c>
      <c r="K12420">
        <v>323.37</v>
      </c>
      <c r="L12420">
        <v>65.7</v>
      </c>
      <c r="M12420">
        <v>17803</v>
      </c>
      <c r="N12420" t="s">
        <v>19</v>
      </c>
      <c r="O12420">
        <v>251031</v>
      </c>
      <c r="P12420">
        <v>257.67</v>
      </c>
    </row>
    <row r="12421" spans="1:16" x14ac:dyDescent="0.25">
      <c r="A12421" t="s">
        <v>3296</v>
      </c>
      <c r="B12421" t="s">
        <v>2931</v>
      </c>
      <c r="C12421">
        <v>15713</v>
      </c>
      <c r="D12421" t="str">
        <f>"2054        "</f>
        <v xml:space="preserve">2054        </v>
      </c>
      <c r="E12421" t="s">
        <v>2508</v>
      </c>
      <c r="F12421" t="s">
        <v>2509</v>
      </c>
      <c r="G12421">
        <v>177.03</v>
      </c>
      <c r="H12421">
        <v>251120</v>
      </c>
      <c r="I12421">
        <v>4400</v>
      </c>
      <c r="J12421" t="s">
        <v>162</v>
      </c>
      <c r="K12421">
        <v>177.03</v>
      </c>
      <c r="L12421">
        <v>35.97</v>
      </c>
      <c r="M12421">
        <v>17803</v>
      </c>
      <c r="N12421" t="s">
        <v>19</v>
      </c>
      <c r="O12421">
        <v>251125</v>
      </c>
      <c r="P12421">
        <v>141.06</v>
      </c>
    </row>
    <row r="12422" spans="1:16" x14ac:dyDescent="0.25">
      <c r="A12422" t="s">
        <v>3296</v>
      </c>
      <c r="B12422" t="s">
        <v>2931</v>
      </c>
      <c r="C12422">
        <v>3441</v>
      </c>
      <c r="D12422" t="str">
        <f>"1156        "</f>
        <v xml:space="preserve">1156        </v>
      </c>
      <c r="E12422" t="s">
        <v>1435</v>
      </c>
      <c r="F12422" t="s">
        <v>1436</v>
      </c>
      <c r="G12422">
        <v>8</v>
      </c>
      <c r="H12422">
        <v>250301</v>
      </c>
      <c r="I12422">
        <v>4410</v>
      </c>
      <c r="J12422" t="s">
        <v>165</v>
      </c>
      <c r="K12422">
        <v>44</v>
      </c>
      <c r="L12422">
        <v>1.63</v>
      </c>
      <c r="M12422">
        <v>17525</v>
      </c>
      <c r="N12422" t="s">
        <v>140</v>
      </c>
      <c r="O12422">
        <v>250324</v>
      </c>
      <c r="P12422">
        <v>6.37</v>
      </c>
    </row>
    <row r="12423" spans="1:16" x14ac:dyDescent="0.25">
      <c r="A12423" t="s">
        <v>3296</v>
      </c>
      <c r="B12423" t="s">
        <v>2931</v>
      </c>
      <c r="C12423">
        <v>3441</v>
      </c>
      <c r="D12423" t="str">
        <f>"1156        "</f>
        <v xml:space="preserve">1156        </v>
      </c>
      <c r="E12423" t="s">
        <v>1435</v>
      </c>
      <c r="F12423" t="s">
        <v>1436</v>
      </c>
      <c r="G12423">
        <v>36</v>
      </c>
      <c r="H12423">
        <v>250301</v>
      </c>
      <c r="I12423">
        <v>4410</v>
      </c>
      <c r="J12423" t="s">
        <v>165</v>
      </c>
      <c r="K12423">
        <v>44</v>
      </c>
      <c r="L12423">
        <v>4.42</v>
      </c>
      <c r="M12423">
        <v>17525</v>
      </c>
      <c r="N12423" t="s">
        <v>140</v>
      </c>
      <c r="O12423">
        <v>250324</v>
      </c>
      <c r="P12423">
        <v>31.58</v>
      </c>
    </row>
    <row r="12424" spans="1:16" x14ac:dyDescent="0.25">
      <c r="A12424" t="s">
        <v>3296</v>
      </c>
      <c r="B12424" t="s">
        <v>2931</v>
      </c>
      <c r="C12424">
        <v>14814</v>
      </c>
      <c r="D12424" t="str">
        <f>"888         "</f>
        <v xml:space="preserve">888         </v>
      </c>
      <c r="E12424" t="s">
        <v>2530</v>
      </c>
      <c r="F12424" t="s">
        <v>2531</v>
      </c>
      <c r="G12424">
        <v>398</v>
      </c>
      <c r="H12424">
        <v>251105</v>
      </c>
      <c r="I12424">
        <v>4580</v>
      </c>
      <c r="J12424" t="s">
        <v>126</v>
      </c>
      <c r="K12424">
        <v>398</v>
      </c>
      <c r="L12424">
        <v>80.87</v>
      </c>
      <c r="M12424">
        <v>66722</v>
      </c>
      <c r="N12424" t="s">
        <v>118</v>
      </c>
      <c r="O12424">
        <v>251107</v>
      </c>
      <c r="P12424">
        <v>317.13</v>
      </c>
    </row>
    <row r="12425" spans="1:16" x14ac:dyDescent="0.25">
      <c r="A12425" t="s">
        <v>3296</v>
      </c>
      <c r="B12425" t="s">
        <v>2931</v>
      </c>
      <c r="C12425">
        <v>17214</v>
      </c>
      <c r="D12425" t="str">
        <f>"1048        "</f>
        <v xml:space="preserve">1048        </v>
      </c>
      <c r="E12425" t="s">
        <v>2530</v>
      </c>
      <c r="F12425" t="s">
        <v>2531</v>
      </c>
      <c r="G12425">
        <v>249</v>
      </c>
      <c r="H12425">
        <v>251216</v>
      </c>
      <c r="I12425">
        <v>4580</v>
      </c>
      <c r="J12425" t="s">
        <v>126</v>
      </c>
      <c r="K12425">
        <v>996</v>
      </c>
      <c r="L12425">
        <v>50.59</v>
      </c>
      <c r="M12425">
        <v>67554</v>
      </c>
      <c r="N12425" t="s">
        <v>317</v>
      </c>
      <c r="O12425">
        <v>251218</v>
      </c>
      <c r="P12425">
        <v>198.41</v>
      </c>
    </row>
    <row r="12426" spans="1:16" x14ac:dyDescent="0.25">
      <c r="A12426" t="s">
        <v>3296</v>
      </c>
      <c r="B12426" t="s">
        <v>2931</v>
      </c>
      <c r="C12426">
        <v>17214</v>
      </c>
      <c r="D12426" t="str">
        <f>"1048        "</f>
        <v xml:space="preserve">1048        </v>
      </c>
      <c r="E12426" t="s">
        <v>2530</v>
      </c>
      <c r="F12426" t="s">
        <v>2531</v>
      </c>
      <c r="G12426">
        <v>498</v>
      </c>
      <c r="H12426">
        <v>251216</v>
      </c>
      <c r="I12426">
        <v>4580</v>
      </c>
      <c r="J12426" t="s">
        <v>126</v>
      </c>
      <c r="K12426">
        <v>996</v>
      </c>
      <c r="L12426">
        <v>101.19</v>
      </c>
      <c r="M12426">
        <v>69501</v>
      </c>
      <c r="N12426" t="s">
        <v>123</v>
      </c>
      <c r="O12426">
        <v>251218</v>
      </c>
      <c r="P12426">
        <v>396.81</v>
      </c>
    </row>
    <row r="12427" spans="1:16" x14ac:dyDescent="0.25">
      <c r="A12427" t="s">
        <v>3296</v>
      </c>
      <c r="B12427" t="s">
        <v>2931</v>
      </c>
      <c r="C12427">
        <v>17214</v>
      </c>
      <c r="D12427" t="str">
        <f>"1048        "</f>
        <v xml:space="preserve">1048        </v>
      </c>
      <c r="E12427" t="s">
        <v>2530</v>
      </c>
      <c r="F12427" t="s">
        <v>2531</v>
      </c>
      <c r="G12427">
        <v>249</v>
      </c>
      <c r="H12427">
        <v>251216</v>
      </c>
      <c r="I12427">
        <v>4580</v>
      </c>
      <c r="J12427" t="s">
        <v>126</v>
      </c>
      <c r="K12427">
        <v>996</v>
      </c>
      <c r="L12427">
        <v>50.59</v>
      </c>
      <c r="M12427">
        <v>69702</v>
      </c>
      <c r="N12427" t="s">
        <v>124</v>
      </c>
      <c r="O12427">
        <v>251218</v>
      </c>
      <c r="P12427">
        <v>198.41</v>
      </c>
    </row>
    <row r="12428" spans="1:16" x14ac:dyDescent="0.25">
      <c r="A12428" t="s">
        <v>3296</v>
      </c>
      <c r="B12428" t="s">
        <v>2931</v>
      </c>
      <c r="C12428">
        <v>4151</v>
      </c>
      <c r="D12428" t="str">
        <f>"19/2025     "</f>
        <v xml:space="preserve">19/2025     </v>
      </c>
      <c r="E12428" t="s">
        <v>3231</v>
      </c>
      <c r="G12428">
        <v>100</v>
      </c>
      <c r="H12428">
        <v>250324</v>
      </c>
      <c r="I12428">
        <v>4440</v>
      </c>
      <c r="J12428" t="s">
        <v>346</v>
      </c>
      <c r="K12428">
        <v>100</v>
      </c>
      <c r="L12428">
        <v>0</v>
      </c>
      <c r="M12428">
        <v>11902</v>
      </c>
      <c r="N12428" t="s">
        <v>329</v>
      </c>
      <c r="O12428">
        <v>250408</v>
      </c>
      <c r="P12428">
        <v>100</v>
      </c>
    </row>
    <row r="12429" spans="1:16" x14ac:dyDescent="0.25">
      <c r="A12429" t="s">
        <v>3296</v>
      </c>
      <c r="B12429" t="s">
        <v>2931</v>
      </c>
      <c r="C12429">
        <v>9125</v>
      </c>
      <c r="D12429" t="str">
        <f>"162 8704    "</f>
        <v xml:space="preserve">162 8704    </v>
      </c>
      <c r="E12429" t="s">
        <v>2920</v>
      </c>
      <c r="F12429" t="s">
        <v>2921</v>
      </c>
      <c r="G12429">
        <v>2720</v>
      </c>
      <c r="H12429">
        <v>250617</v>
      </c>
      <c r="I12429">
        <v>4440</v>
      </c>
      <c r="J12429" t="s">
        <v>346</v>
      </c>
      <c r="K12429">
        <v>2720</v>
      </c>
      <c r="L12429">
        <v>0</v>
      </c>
      <c r="M12429">
        <v>14861</v>
      </c>
      <c r="N12429" t="s">
        <v>79</v>
      </c>
      <c r="O12429">
        <v>250626</v>
      </c>
      <c r="P12429">
        <v>2720</v>
      </c>
    </row>
    <row r="12430" spans="1:16" x14ac:dyDescent="0.25">
      <c r="A12430" t="s">
        <v>3296</v>
      </c>
      <c r="B12430" t="s">
        <v>2931</v>
      </c>
      <c r="C12430">
        <v>14032</v>
      </c>
      <c r="D12430" t="str">
        <f>"162 9036    "</f>
        <v xml:space="preserve">162 9036    </v>
      </c>
      <c r="E12430" t="s">
        <v>2920</v>
      </c>
      <c r="F12430" t="s">
        <v>2921</v>
      </c>
      <c r="G12430">
        <v>170</v>
      </c>
      <c r="H12430">
        <v>251017</v>
      </c>
      <c r="I12430">
        <v>4440</v>
      </c>
      <c r="J12430" t="s">
        <v>346</v>
      </c>
      <c r="K12430">
        <v>170</v>
      </c>
      <c r="L12430">
        <v>0</v>
      </c>
      <c r="M12430">
        <v>13201</v>
      </c>
      <c r="N12430" t="s">
        <v>269</v>
      </c>
      <c r="O12430">
        <v>251022</v>
      </c>
      <c r="P12430">
        <v>170</v>
      </c>
    </row>
    <row r="12431" spans="1:16" x14ac:dyDescent="0.25">
      <c r="A12431" t="s">
        <v>3296</v>
      </c>
      <c r="B12431" t="s">
        <v>2931</v>
      </c>
      <c r="C12431">
        <v>17672</v>
      </c>
      <c r="D12431" t="str">
        <f>"162 9171    "</f>
        <v xml:space="preserve">162 9171    </v>
      </c>
      <c r="E12431" t="s">
        <v>2920</v>
      </c>
      <c r="F12431" t="s">
        <v>2921</v>
      </c>
      <c r="G12431">
        <v>510</v>
      </c>
      <c r="H12431">
        <v>251219</v>
      </c>
      <c r="I12431">
        <v>4440</v>
      </c>
      <c r="J12431" t="s">
        <v>346</v>
      </c>
      <c r="K12431">
        <v>510</v>
      </c>
      <c r="L12431">
        <v>0</v>
      </c>
      <c r="M12431">
        <v>14861</v>
      </c>
      <c r="N12431" t="s">
        <v>79</v>
      </c>
      <c r="O12431">
        <v>251229</v>
      </c>
      <c r="P12431">
        <v>510</v>
      </c>
    </row>
    <row r="12432" spans="1:16" x14ac:dyDescent="0.25">
      <c r="A12432" t="s">
        <v>3296</v>
      </c>
      <c r="B12432" t="s">
        <v>2931</v>
      </c>
      <c r="C12432">
        <v>3367</v>
      </c>
      <c r="D12432" t="str">
        <f>"159630      "</f>
        <v xml:space="preserve">159630      </v>
      </c>
      <c r="E12432" t="s">
        <v>1413</v>
      </c>
      <c r="F12432" t="s">
        <v>1414</v>
      </c>
      <c r="G12432">
        <v>110.9</v>
      </c>
      <c r="H12432">
        <v>250211</v>
      </c>
      <c r="I12432">
        <v>4580</v>
      </c>
      <c r="J12432" t="s">
        <v>126</v>
      </c>
      <c r="K12432">
        <v>110.9</v>
      </c>
      <c r="L12432">
        <v>22.53</v>
      </c>
      <c r="M12432">
        <v>17537</v>
      </c>
      <c r="N12432" t="s">
        <v>151</v>
      </c>
      <c r="O12432">
        <v>250319</v>
      </c>
      <c r="P12432">
        <v>88.37</v>
      </c>
    </row>
    <row r="12433" spans="1:16" x14ac:dyDescent="0.25">
      <c r="A12433" t="s">
        <v>3296</v>
      </c>
      <c r="B12433" t="s">
        <v>2931</v>
      </c>
      <c r="C12433">
        <v>1410</v>
      </c>
      <c r="D12433" t="str">
        <f>"174624      "</f>
        <v xml:space="preserve">174624      </v>
      </c>
      <c r="E12433" t="s">
        <v>978</v>
      </c>
      <c r="F12433" t="s">
        <v>979</v>
      </c>
      <c r="G12433">
        <v>990.01</v>
      </c>
      <c r="H12433">
        <v>250203</v>
      </c>
      <c r="I12433">
        <v>4555</v>
      </c>
      <c r="J12433" t="s">
        <v>352</v>
      </c>
      <c r="K12433">
        <v>990.01</v>
      </c>
      <c r="L12433">
        <v>201.16</v>
      </c>
      <c r="M12433">
        <v>44453</v>
      </c>
      <c r="N12433" t="s">
        <v>100</v>
      </c>
      <c r="O12433">
        <v>250210</v>
      </c>
      <c r="P12433">
        <v>788.85</v>
      </c>
    </row>
    <row r="12434" spans="1:16" x14ac:dyDescent="0.25">
      <c r="A12434" t="s">
        <v>3296</v>
      </c>
      <c r="B12434" t="s">
        <v>2931</v>
      </c>
      <c r="C12434">
        <v>1644</v>
      </c>
      <c r="D12434" t="str">
        <f>"174801      "</f>
        <v xml:space="preserve">174801      </v>
      </c>
      <c r="E12434" t="s">
        <v>978</v>
      </c>
      <c r="F12434" t="s">
        <v>979</v>
      </c>
      <c r="G12434">
        <v>42.91</v>
      </c>
      <c r="H12434">
        <v>250210</v>
      </c>
      <c r="I12434">
        <v>4555</v>
      </c>
      <c r="J12434" t="s">
        <v>352</v>
      </c>
      <c r="K12434">
        <v>42.91</v>
      </c>
      <c r="L12434">
        <v>8.7200000000000006</v>
      </c>
      <c r="M12434">
        <v>44453</v>
      </c>
      <c r="N12434" t="s">
        <v>100</v>
      </c>
      <c r="O12434">
        <v>250212</v>
      </c>
      <c r="P12434">
        <v>34.19</v>
      </c>
    </row>
    <row r="12435" spans="1:16" x14ac:dyDescent="0.25">
      <c r="A12435" t="s">
        <v>3296</v>
      </c>
      <c r="B12435" t="s">
        <v>2931</v>
      </c>
      <c r="C12435">
        <v>2395</v>
      </c>
      <c r="D12435" t="str">
        <f>"175075      "</f>
        <v xml:space="preserve">175075      </v>
      </c>
      <c r="E12435" t="s">
        <v>978</v>
      </c>
      <c r="F12435" t="s">
        <v>979</v>
      </c>
      <c r="G12435">
        <v>66.39</v>
      </c>
      <c r="H12435">
        <v>250220</v>
      </c>
      <c r="I12435">
        <v>4555</v>
      </c>
      <c r="J12435" t="s">
        <v>352</v>
      </c>
      <c r="K12435">
        <v>66.39</v>
      </c>
      <c r="L12435">
        <v>13.49</v>
      </c>
      <c r="M12435">
        <v>44453</v>
      </c>
      <c r="N12435" t="s">
        <v>100</v>
      </c>
      <c r="O12435">
        <v>250225</v>
      </c>
      <c r="P12435">
        <v>52.9</v>
      </c>
    </row>
    <row r="12436" spans="1:16" x14ac:dyDescent="0.25">
      <c r="A12436" t="s">
        <v>3296</v>
      </c>
      <c r="B12436" t="s">
        <v>2931</v>
      </c>
      <c r="C12436">
        <v>3652</v>
      </c>
      <c r="D12436" t="str">
        <f>"175621      "</f>
        <v xml:space="preserve">175621      </v>
      </c>
      <c r="E12436" t="s">
        <v>978</v>
      </c>
      <c r="F12436" t="s">
        <v>979</v>
      </c>
      <c r="G12436">
        <v>3268.68</v>
      </c>
      <c r="H12436">
        <v>250317</v>
      </c>
      <c r="I12436">
        <v>4600</v>
      </c>
      <c r="J12436" t="s">
        <v>278</v>
      </c>
      <c r="K12436">
        <v>3268.68</v>
      </c>
      <c r="L12436">
        <v>664.15</v>
      </c>
      <c r="M12436">
        <v>44423</v>
      </c>
      <c r="N12436" t="s">
        <v>98</v>
      </c>
      <c r="O12436">
        <v>250327</v>
      </c>
      <c r="P12436">
        <v>2604.5300000000002</v>
      </c>
    </row>
    <row r="12437" spans="1:16" x14ac:dyDescent="0.25">
      <c r="A12437" t="s">
        <v>3296</v>
      </c>
      <c r="B12437" t="s">
        <v>2931</v>
      </c>
      <c r="C12437">
        <v>12228</v>
      </c>
      <c r="D12437" t="str">
        <f>"179747      "</f>
        <v xml:space="preserve">179747      </v>
      </c>
      <c r="E12437" t="s">
        <v>978</v>
      </c>
      <c r="F12437" t="s">
        <v>979</v>
      </c>
      <c r="G12437">
        <v>295.47000000000003</v>
      </c>
      <c r="H12437">
        <v>250912</v>
      </c>
      <c r="I12437">
        <v>4600</v>
      </c>
      <c r="J12437" t="s">
        <v>278</v>
      </c>
      <c r="K12437">
        <v>295.47000000000003</v>
      </c>
      <c r="L12437">
        <v>60.04</v>
      </c>
      <c r="M12437">
        <v>54222</v>
      </c>
      <c r="N12437" t="s">
        <v>48</v>
      </c>
      <c r="O12437">
        <v>250917</v>
      </c>
      <c r="P12437">
        <v>235.43</v>
      </c>
    </row>
    <row r="12438" spans="1:16" x14ac:dyDescent="0.25">
      <c r="A12438" t="s">
        <v>3296</v>
      </c>
      <c r="B12438" t="s">
        <v>2931</v>
      </c>
      <c r="C12438">
        <v>13619</v>
      </c>
      <c r="D12438" t="str">
        <f>"180304      "</f>
        <v xml:space="preserve">180304      </v>
      </c>
      <c r="E12438" t="s">
        <v>978</v>
      </c>
      <c r="F12438" t="s">
        <v>979</v>
      </c>
      <c r="G12438">
        <v>2456.48</v>
      </c>
      <c r="H12438">
        <v>250930</v>
      </c>
      <c r="I12438">
        <v>4600</v>
      </c>
      <c r="J12438" t="s">
        <v>278</v>
      </c>
      <c r="K12438">
        <v>2456.48</v>
      </c>
      <c r="L12438">
        <v>499.13</v>
      </c>
      <c r="M12438">
        <v>44423</v>
      </c>
      <c r="N12438" t="s">
        <v>98</v>
      </c>
      <c r="O12438">
        <v>251013</v>
      </c>
      <c r="P12438">
        <v>1957.35</v>
      </c>
    </row>
    <row r="12439" spans="1:16" x14ac:dyDescent="0.25">
      <c r="A12439" t="s">
        <v>3296</v>
      </c>
      <c r="B12439" t="s">
        <v>2931</v>
      </c>
      <c r="C12439">
        <v>13937</v>
      </c>
      <c r="D12439" t="str">
        <f>"180433      "</f>
        <v xml:space="preserve">180433      </v>
      </c>
      <c r="E12439" t="s">
        <v>978</v>
      </c>
      <c r="F12439" t="s">
        <v>979</v>
      </c>
      <c r="G12439">
        <v>627.35</v>
      </c>
      <c r="H12439">
        <v>251006</v>
      </c>
      <c r="I12439">
        <v>4600</v>
      </c>
      <c r="J12439" t="s">
        <v>278</v>
      </c>
      <c r="K12439">
        <v>627.35</v>
      </c>
      <c r="L12439">
        <v>127.47</v>
      </c>
      <c r="M12439">
        <v>44423</v>
      </c>
      <c r="N12439" t="s">
        <v>98</v>
      </c>
      <c r="O12439">
        <v>251021</v>
      </c>
      <c r="P12439">
        <v>499.88</v>
      </c>
    </row>
    <row r="12440" spans="1:16" x14ac:dyDescent="0.25">
      <c r="A12440" t="s">
        <v>3296</v>
      </c>
      <c r="B12440" t="s">
        <v>2931</v>
      </c>
      <c r="C12440">
        <v>13939</v>
      </c>
      <c r="D12440" t="str">
        <f>"180523      "</f>
        <v xml:space="preserve">180523      </v>
      </c>
      <c r="E12440" t="s">
        <v>978</v>
      </c>
      <c r="F12440" t="s">
        <v>979</v>
      </c>
      <c r="G12440">
        <v>63.55</v>
      </c>
      <c r="H12440">
        <v>251008</v>
      </c>
      <c r="I12440">
        <v>4600</v>
      </c>
      <c r="J12440" t="s">
        <v>278</v>
      </c>
      <c r="K12440">
        <v>63.55</v>
      </c>
      <c r="L12440">
        <v>12.91</v>
      </c>
      <c r="M12440">
        <v>44453</v>
      </c>
      <c r="N12440" t="s">
        <v>100</v>
      </c>
      <c r="O12440">
        <v>251021</v>
      </c>
      <c r="P12440">
        <v>50.64</v>
      </c>
    </row>
    <row r="12441" spans="1:16" x14ac:dyDescent="0.25">
      <c r="A12441" t="s">
        <v>3296</v>
      </c>
      <c r="B12441" t="s">
        <v>2931</v>
      </c>
      <c r="C12441">
        <v>13940</v>
      </c>
      <c r="D12441" t="str">
        <f>"180520      "</f>
        <v xml:space="preserve">180520      </v>
      </c>
      <c r="E12441" t="s">
        <v>978</v>
      </c>
      <c r="F12441" t="s">
        <v>979</v>
      </c>
      <c r="G12441">
        <v>103.41</v>
      </c>
      <c r="H12441">
        <v>251008</v>
      </c>
      <c r="I12441">
        <v>4600</v>
      </c>
      <c r="J12441" t="s">
        <v>278</v>
      </c>
      <c r="K12441">
        <v>103.41</v>
      </c>
      <c r="L12441">
        <v>21.01</v>
      </c>
      <c r="M12441">
        <v>44453</v>
      </c>
      <c r="N12441" t="s">
        <v>100</v>
      </c>
      <c r="O12441">
        <v>251021</v>
      </c>
      <c r="P12441">
        <v>82.4</v>
      </c>
    </row>
    <row r="12442" spans="1:16" x14ac:dyDescent="0.25">
      <c r="A12442" t="s">
        <v>3296</v>
      </c>
      <c r="B12442" t="s">
        <v>2931</v>
      </c>
      <c r="C12442">
        <v>15299</v>
      </c>
      <c r="D12442" t="str">
        <f>"181247      "</f>
        <v xml:space="preserve">181247      </v>
      </c>
      <c r="E12442" t="s">
        <v>978</v>
      </c>
      <c r="F12442" t="s">
        <v>979</v>
      </c>
      <c r="G12442">
        <v>567.65</v>
      </c>
      <c r="H12442">
        <v>251110</v>
      </c>
      <c r="I12442">
        <v>4600</v>
      </c>
      <c r="J12442" t="s">
        <v>278</v>
      </c>
      <c r="K12442">
        <v>567.65</v>
      </c>
      <c r="L12442">
        <v>115.34</v>
      </c>
      <c r="M12442">
        <v>54252</v>
      </c>
      <c r="N12442" t="s">
        <v>742</v>
      </c>
      <c r="O12442">
        <v>251117</v>
      </c>
      <c r="P12442">
        <v>452.31</v>
      </c>
    </row>
    <row r="12443" spans="1:16" x14ac:dyDescent="0.25">
      <c r="A12443" t="s">
        <v>3296</v>
      </c>
      <c r="B12443" t="s">
        <v>2931</v>
      </c>
      <c r="C12443">
        <v>16160</v>
      </c>
      <c r="D12443" t="str">
        <f>"181757      "</f>
        <v xml:space="preserve">181757      </v>
      </c>
      <c r="E12443" t="s">
        <v>978</v>
      </c>
      <c r="F12443" t="s">
        <v>979</v>
      </c>
      <c r="G12443">
        <v>460.15</v>
      </c>
      <c r="H12443">
        <v>251128</v>
      </c>
      <c r="I12443">
        <v>4600</v>
      </c>
      <c r="J12443" t="s">
        <v>278</v>
      </c>
      <c r="K12443">
        <v>460.15</v>
      </c>
      <c r="L12443">
        <v>93.5</v>
      </c>
      <c r="M12443">
        <v>54252</v>
      </c>
      <c r="N12443" t="s">
        <v>742</v>
      </c>
      <c r="O12443">
        <v>251204</v>
      </c>
      <c r="P12443">
        <v>366.65</v>
      </c>
    </row>
    <row r="12444" spans="1:16" x14ac:dyDescent="0.25">
      <c r="A12444" t="s">
        <v>3296</v>
      </c>
      <c r="B12444" t="s">
        <v>2931</v>
      </c>
      <c r="C12444">
        <v>1621</v>
      </c>
      <c r="D12444" t="str">
        <f>"0960158509  "</f>
        <v xml:space="preserve">0960158509  </v>
      </c>
      <c r="E12444" t="s">
        <v>1057</v>
      </c>
      <c r="F12444" t="s">
        <v>1058</v>
      </c>
      <c r="G12444">
        <v>1164.43</v>
      </c>
      <c r="H12444">
        <v>250131</v>
      </c>
      <c r="I12444">
        <v>4555</v>
      </c>
      <c r="J12444" t="s">
        <v>352</v>
      </c>
      <c r="K12444">
        <v>1164.43</v>
      </c>
      <c r="L12444">
        <v>236.6</v>
      </c>
      <c r="M12444">
        <v>44453</v>
      </c>
      <c r="N12444" t="s">
        <v>100</v>
      </c>
      <c r="O12444">
        <v>250211</v>
      </c>
      <c r="P12444">
        <v>927.83</v>
      </c>
    </row>
    <row r="12445" spans="1:16" x14ac:dyDescent="0.25">
      <c r="A12445" t="s">
        <v>3296</v>
      </c>
      <c r="B12445" t="s">
        <v>2931</v>
      </c>
      <c r="C12445">
        <v>5558</v>
      </c>
      <c r="D12445" t="str">
        <f>"0960167347  "</f>
        <v xml:space="preserve">0960167347  </v>
      </c>
      <c r="E12445" t="s">
        <v>1057</v>
      </c>
      <c r="F12445" t="s">
        <v>1058</v>
      </c>
      <c r="G12445">
        <v>521.57000000000005</v>
      </c>
      <c r="H12445">
        <v>250404</v>
      </c>
      <c r="I12445">
        <v>4555</v>
      </c>
      <c r="J12445" t="s">
        <v>352</v>
      </c>
      <c r="K12445">
        <v>521.57000000000005</v>
      </c>
      <c r="L12445">
        <v>105.98</v>
      </c>
      <c r="M12445">
        <v>44453</v>
      </c>
      <c r="N12445" t="s">
        <v>100</v>
      </c>
      <c r="O12445">
        <v>250425</v>
      </c>
      <c r="P12445">
        <v>415.59</v>
      </c>
    </row>
    <row r="12446" spans="1:16" x14ac:dyDescent="0.25">
      <c r="A12446" t="s">
        <v>3296</v>
      </c>
      <c r="B12446" t="s">
        <v>2931</v>
      </c>
      <c r="C12446">
        <v>8551</v>
      </c>
      <c r="D12446" t="str">
        <f>"0960170737  "</f>
        <v xml:space="preserve">0960170737  </v>
      </c>
      <c r="E12446" t="s">
        <v>1057</v>
      </c>
      <c r="F12446" t="s">
        <v>1058</v>
      </c>
      <c r="G12446">
        <v>93.18</v>
      </c>
      <c r="H12446">
        <v>250501</v>
      </c>
      <c r="I12446">
        <v>4555</v>
      </c>
      <c r="J12446" t="s">
        <v>352</v>
      </c>
      <c r="K12446">
        <v>93.18</v>
      </c>
      <c r="L12446">
        <v>18.93</v>
      </c>
      <c r="M12446">
        <v>44453</v>
      </c>
      <c r="N12446" t="s">
        <v>100</v>
      </c>
      <c r="O12446">
        <v>250617</v>
      </c>
      <c r="P12446">
        <v>74.25</v>
      </c>
    </row>
    <row r="12447" spans="1:16" x14ac:dyDescent="0.25">
      <c r="A12447" t="s">
        <v>3296</v>
      </c>
      <c r="B12447" t="s">
        <v>2931</v>
      </c>
      <c r="C12447">
        <v>13829</v>
      </c>
      <c r="D12447" t="str">
        <f>"0960192759  "</f>
        <v xml:space="preserve">0960192759  </v>
      </c>
      <c r="E12447" t="s">
        <v>1057</v>
      </c>
      <c r="F12447" t="s">
        <v>1058</v>
      </c>
      <c r="G12447">
        <v>904.4</v>
      </c>
      <c r="H12447">
        <v>251006</v>
      </c>
      <c r="I12447">
        <v>4555</v>
      </c>
      <c r="J12447" t="s">
        <v>352</v>
      </c>
      <c r="K12447">
        <v>1098.93</v>
      </c>
      <c r="L12447">
        <v>183.76</v>
      </c>
      <c r="M12447">
        <v>44453</v>
      </c>
      <c r="N12447" t="s">
        <v>100</v>
      </c>
      <c r="O12447">
        <v>251020</v>
      </c>
      <c r="P12447">
        <v>720.64</v>
      </c>
    </row>
    <row r="12448" spans="1:16" x14ac:dyDescent="0.25">
      <c r="A12448" t="s">
        <v>3296</v>
      </c>
      <c r="B12448" t="s">
        <v>2931</v>
      </c>
      <c r="C12448">
        <v>14432</v>
      </c>
      <c r="D12448" t="str">
        <f>"0960194195  "</f>
        <v xml:space="preserve">0960194195  </v>
      </c>
      <c r="E12448" t="s">
        <v>1057</v>
      </c>
      <c r="F12448" t="s">
        <v>1058</v>
      </c>
      <c r="G12448">
        <v>474.39</v>
      </c>
      <c r="H12448">
        <v>251015</v>
      </c>
      <c r="I12448">
        <v>4555</v>
      </c>
      <c r="J12448" t="s">
        <v>352</v>
      </c>
      <c r="K12448">
        <v>474.39</v>
      </c>
      <c r="L12448">
        <v>96.39</v>
      </c>
      <c r="M12448">
        <v>44453</v>
      </c>
      <c r="N12448" t="s">
        <v>100</v>
      </c>
      <c r="O12448">
        <v>251031</v>
      </c>
      <c r="P12448">
        <v>378</v>
      </c>
    </row>
    <row r="12449" spans="1:16" x14ac:dyDescent="0.25">
      <c r="A12449" t="s">
        <v>3296</v>
      </c>
      <c r="B12449" t="s">
        <v>2931</v>
      </c>
      <c r="C12449">
        <v>15979</v>
      </c>
      <c r="D12449" t="str">
        <f>"0960199594  "</f>
        <v xml:space="preserve">0960199594  </v>
      </c>
      <c r="E12449" t="s">
        <v>1057</v>
      </c>
      <c r="F12449" t="s">
        <v>1058</v>
      </c>
      <c r="G12449">
        <v>1106.3499999999999</v>
      </c>
      <c r="H12449">
        <v>251124</v>
      </c>
      <c r="I12449">
        <v>4555</v>
      </c>
      <c r="J12449" t="s">
        <v>352</v>
      </c>
      <c r="K12449">
        <v>1106.3499999999999</v>
      </c>
      <c r="L12449">
        <v>224.8</v>
      </c>
      <c r="M12449">
        <v>44453</v>
      </c>
      <c r="N12449" t="s">
        <v>100</v>
      </c>
      <c r="O12449">
        <v>251201</v>
      </c>
      <c r="P12449">
        <v>881.55</v>
      </c>
    </row>
    <row r="12450" spans="1:16" x14ac:dyDescent="0.25">
      <c r="A12450" t="s">
        <v>3296</v>
      </c>
      <c r="B12450" t="s">
        <v>2931</v>
      </c>
      <c r="C12450">
        <v>13829</v>
      </c>
      <c r="D12450" t="str">
        <f>"0960192759  "</f>
        <v xml:space="preserve">0960192759  </v>
      </c>
      <c r="E12450" t="s">
        <v>1057</v>
      </c>
      <c r="F12450" t="s">
        <v>1058</v>
      </c>
      <c r="G12450">
        <v>194.53</v>
      </c>
      <c r="H12450">
        <v>251006</v>
      </c>
      <c r="I12450">
        <v>4580</v>
      </c>
      <c r="J12450" t="s">
        <v>126</v>
      </c>
      <c r="K12450">
        <v>1098.93</v>
      </c>
      <c r="L12450">
        <v>39.53</v>
      </c>
      <c r="M12450">
        <v>44453</v>
      </c>
      <c r="N12450" t="s">
        <v>100</v>
      </c>
      <c r="O12450">
        <v>251020</v>
      </c>
      <c r="P12450">
        <v>155</v>
      </c>
    </row>
    <row r="12451" spans="1:16" x14ac:dyDescent="0.25">
      <c r="A12451" t="s">
        <v>3296</v>
      </c>
      <c r="B12451" t="s">
        <v>2931</v>
      </c>
      <c r="C12451">
        <v>14335</v>
      </c>
      <c r="D12451" t="str">
        <f>"0960194401  "</f>
        <v xml:space="preserve">0960194401  </v>
      </c>
      <c r="E12451" t="s">
        <v>1057</v>
      </c>
      <c r="F12451" t="s">
        <v>1058</v>
      </c>
      <c r="G12451">
        <v>437.68</v>
      </c>
      <c r="H12451">
        <v>251016</v>
      </c>
      <c r="I12451">
        <v>4580</v>
      </c>
      <c r="J12451" t="s">
        <v>126</v>
      </c>
      <c r="K12451">
        <v>437.68</v>
      </c>
      <c r="L12451">
        <v>88.93</v>
      </c>
      <c r="M12451">
        <v>44422</v>
      </c>
      <c r="N12451" t="s">
        <v>97</v>
      </c>
      <c r="O12451">
        <v>251029</v>
      </c>
      <c r="P12451">
        <v>348.75</v>
      </c>
    </row>
    <row r="12452" spans="1:16" x14ac:dyDescent="0.25">
      <c r="A12452" t="s">
        <v>3296</v>
      </c>
      <c r="B12452" t="s">
        <v>2931</v>
      </c>
      <c r="C12452">
        <v>5211</v>
      </c>
      <c r="D12452" t="str">
        <f>"0960167348  "</f>
        <v xml:space="preserve">0960167348  </v>
      </c>
      <c r="E12452" t="s">
        <v>1057</v>
      </c>
      <c r="F12452" t="s">
        <v>1058</v>
      </c>
      <c r="G12452">
        <v>15.37</v>
      </c>
      <c r="H12452">
        <v>250404</v>
      </c>
      <c r="I12452">
        <v>4600</v>
      </c>
      <c r="J12452" t="s">
        <v>278</v>
      </c>
      <c r="K12452">
        <v>15.37</v>
      </c>
      <c r="L12452">
        <v>3.12</v>
      </c>
      <c r="M12452">
        <v>44422</v>
      </c>
      <c r="N12452" t="s">
        <v>97</v>
      </c>
      <c r="O12452">
        <v>250422</v>
      </c>
      <c r="P12452">
        <v>12.25</v>
      </c>
    </row>
    <row r="12453" spans="1:16" x14ac:dyDescent="0.25">
      <c r="A12453" t="s">
        <v>3296</v>
      </c>
      <c r="B12453" t="s">
        <v>2931</v>
      </c>
      <c r="C12453">
        <v>14578</v>
      </c>
      <c r="D12453" t="str">
        <f>"5240085955  "</f>
        <v xml:space="preserve">5240085955  </v>
      </c>
      <c r="E12453" t="s">
        <v>872</v>
      </c>
      <c r="F12453" t="s">
        <v>873</v>
      </c>
      <c r="G12453">
        <v>57.93</v>
      </c>
      <c r="H12453">
        <v>251031</v>
      </c>
      <c r="I12453">
        <v>4532</v>
      </c>
      <c r="J12453" t="s">
        <v>296</v>
      </c>
      <c r="K12453">
        <v>57.93</v>
      </c>
      <c r="L12453">
        <v>11.77</v>
      </c>
      <c r="M12453">
        <v>49702</v>
      </c>
      <c r="N12453" t="s">
        <v>112</v>
      </c>
      <c r="O12453">
        <v>251105</v>
      </c>
      <c r="P12453">
        <v>46.16</v>
      </c>
    </row>
    <row r="12454" spans="1:16" x14ac:dyDescent="0.25">
      <c r="A12454" t="s">
        <v>3296</v>
      </c>
      <c r="B12454" t="s">
        <v>2931</v>
      </c>
      <c r="C12454">
        <v>6103</v>
      </c>
      <c r="D12454" t="str">
        <f>"5239464959  "</f>
        <v xml:space="preserve">5239464959  </v>
      </c>
      <c r="E12454" t="s">
        <v>872</v>
      </c>
      <c r="F12454" t="s">
        <v>873</v>
      </c>
      <c r="G12454">
        <v>200.95</v>
      </c>
      <c r="H12454">
        <v>250430</v>
      </c>
      <c r="I12454">
        <v>4580</v>
      </c>
      <c r="J12454" t="s">
        <v>126</v>
      </c>
      <c r="K12454">
        <v>664.1</v>
      </c>
      <c r="L12454">
        <v>40.83</v>
      </c>
      <c r="M12454">
        <v>46556</v>
      </c>
      <c r="N12454" t="s">
        <v>458</v>
      </c>
      <c r="O12454">
        <v>250509</v>
      </c>
      <c r="P12454">
        <v>160.12</v>
      </c>
    </row>
    <row r="12455" spans="1:16" x14ac:dyDescent="0.25">
      <c r="A12455" t="s">
        <v>3296</v>
      </c>
      <c r="B12455" t="s">
        <v>2931</v>
      </c>
      <c r="C12455">
        <v>11360</v>
      </c>
      <c r="D12455" t="str">
        <f>"5239885777  "</f>
        <v xml:space="preserve">5239885777  </v>
      </c>
      <c r="E12455" t="s">
        <v>872</v>
      </c>
      <c r="F12455" t="s">
        <v>873</v>
      </c>
      <c r="G12455">
        <v>167.41</v>
      </c>
      <c r="H12455">
        <v>250831</v>
      </c>
      <c r="I12455">
        <v>4580</v>
      </c>
      <c r="J12455" t="s">
        <v>126</v>
      </c>
      <c r="K12455">
        <v>287.31</v>
      </c>
      <c r="L12455">
        <v>34.020000000000003</v>
      </c>
      <c r="M12455">
        <v>47522</v>
      </c>
      <c r="N12455" t="s">
        <v>106</v>
      </c>
      <c r="O12455">
        <v>250904</v>
      </c>
      <c r="P12455">
        <v>133.38999999999999</v>
      </c>
    </row>
    <row r="12456" spans="1:16" x14ac:dyDescent="0.25">
      <c r="A12456" t="s">
        <v>3296</v>
      </c>
      <c r="B12456" t="s">
        <v>2931</v>
      </c>
      <c r="C12456">
        <v>16153</v>
      </c>
      <c r="D12456" t="str">
        <f>"5240170941  "</f>
        <v xml:space="preserve">5240170941  </v>
      </c>
      <c r="E12456" t="s">
        <v>872</v>
      </c>
      <c r="F12456" t="s">
        <v>873</v>
      </c>
      <c r="G12456">
        <v>8.06</v>
      </c>
      <c r="H12456">
        <v>251130</v>
      </c>
      <c r="I12456">
        <v>4580</v>
      </c>
      <c r="J12456" t="s">
        <v>126</v>
      </c>
      <c r="K12456">
        <v>8.06</v>
      </c>
      <c r="L12456">
        <v>1.64</v>
      </c>
      <c r="M12456">
        <v>47522</v>
      </c>
      <c r="N12456" t="s">
        <v>106</v>
      </c>
      <c r="O12456">
        <v>251204</v>
      </c>
      <c r="P12456">
        <v>6.42</v>
      </c>
    </row>
    <row r="12457" spans="1:16" x14ac:dyDescent="0.25">
      <c r="A12457" t="s">
        <v>3296</v>
      </c>
      <c r="B12457" t="s">
        <v>2931</v>
      </c>
      <c r="C12457">
        <v>17855</v>
      </c>
      <c r="D12457" t="str">
        <f>"458630625   "</f>
        <v xml:space="preserve">458630625   </v>
      </c>
      <c r="E12457" t="s">
        <v>872</v>
      </c>
      <c r="F12457" t="s">
        <v>873</v>
      </c>
      <c r="G12457">
        <v>2965.05</v>
      </c>
      <c r="H12457">
        <v>251217</v>
      </c>
      <c r="I12457">
        <v>4580</v>
      </c>
      <c r="J12457" t="s">
        <v>126</v>
      </c>
      <c r="K12457">
        <v>2965.05</v>
      </c>
      <c r="L12457">
        <v>602.46</v>
      </c>
      <c r="M12457">
        <v>46556</v>
      </c>
      <c r="N12457" t="s">
        <v>458</v>
      </c>
      <c r="O12457">
        <v>251231</v>
      </c>
      <c r="P12457">
        <v>2362.59</v>
      </c>
    </row>
    <row r="12458" spans="1:16" x14ac:dyDescent="0.25">
      <c r="A12458" t="s">
        <v>3296</v>
      </c>
      <c r="B12458" t="s">
        <v>2931</v>
      </c>
      <c r="C12458">
        <v>1288</v>
      </c>
      <c r="D12458" t="str">
        <f>"5239231120  "</f>
        <v xml:space="preserve">5239231120  </v>
      </c>
      <c r="E12458" t="s">
        <v>872</v>
      </c>
      <c r="F12458" t="s">
        <v>873</v>
      </c>
      <c r="G12458">
        <v>114.45</v>
      </c>
      <c r="H12458">
        <v>250131</v>
      </c>
      <c r="I12458">
        <v>4590</v>
      </c>
      <c r="J12458" t="s">
        <v>388</v>
      </c>
      <c r="K12458">
        <v>157.94999999999999</v>
      </c>
      <c r="L12458">
        <v>23.25</v>
      </c>
      <c r="M12458">
        <v>46556</v>
      </c>
      <c r="N12458" t="s">
        <v>458</v>
      </c>
      <c r="O12458">
        <v>250206</v>
      </c>
      <c r="P12458">
        <v>91.2</v>
      </c>
    </row>
    <row r="12459" spans="1:16" x14ac:dyDescent="0.25">
      <c r="A12459" t="s">
        <v>3296</v>
      </c>
      <c r="B12459" t="s">
        <v>2931</v>
      </c>
      <c r="C12459">
        <v>1288</v>
      </c>
      <c r="D12459" t="str">
        <f>"5239231120  "</f>
        <v xml:space="preserve">5239231120  </v>
      </c>
      <c r="E12459" t="s">
        <v>872</v>
      </c>
      <c r="F12459" t="s">
        <v>873</v>
      </c>
      <c r="G12459">
        <v>43.5</v>
      </c>
      <c r="H12459">
        <v>250131</v>
      </c>
      <c r="I12459">
        <v>4590</v>
      </c>
      <c r="J12459" t="s">
        <v>388</v>
      </c>
      <c r="K12459">
        <v>157.94999999999999</v>
      </c>
      <c r="L12459">
        <v>8.84</v>
      </c>
      <c r="M12459">
        <v>46563</v>
      </c>
      <c r="N12459" t="s">
        <v>932</v>
      </c>
      <c r="O12459">
        <v>250206</v>
      </c>
      <c r="P12459">
        <v>34.659999999999997</v>
      </c>
    </row>
    <row r="12460" spans="1:16" x14ac:dyDescent="0.25">
      <c r="A12460" t="s">
        <v>3296</v>
      </c>
      <c r="B12460" t="s">
        <v>2931</v>
      </c>
      <c r="C12460">
        <v>1289</v>
      </c>
      <c r="D12460" t="str">
        <f>"5239231119  "</f>
        <v xml:space="preserve">5239231119  </v>
      </c>
      <c r="E12460" t="s">
        <v>872</v>
      </c>
      <c r="F12460" t="s">
        <v>873</v>
      </c>
      <c r="G12460">
        <v>32.32</v>
      </c>
      <c r="H12460">
        <v>250131</v>
      </c>
      <c r="I12460">
        <v>4590</v>
      </c>
      <c r="J12460" t="s">
        <v>388</v>
      </c>
      <c r="K12460">
        <v>425.25</v>
      </c>
      <c r="L12460">
        <v>6.57</v>
      </c>
      <c r="M12460">
        <v>46556</v>
      </c>
      <c r="N12460" t="s">
        <v>458</v>
      </c>
      <c r="O12460">
        <v>250206</v>
      </c>
      <c r="P12460">
        <v>25.75</v>
      </c>
    </row>
    <row r="12461" spans="1:16" x14ac:dyDescent="0.25">
      <c r="A12461" t="s">
        <v>3296</v>
      </c>
      <c r="B12461" t="s">
        <v>2931</v>
      </c>
      <c r="C12461">
        <v>1289</v>
      </c>
      <c r="D12461" t="str">
        <f>"5239231119  "</f>
        <v xml:space="preserve">5239231119  </v>
      </c>
      <c r="E12461" t="s">
        <v>872</v>
      </c>
      <c r="F12461" t="s">
        <v>873</v>
      </c>
      <c r="G12461">
        <v>392.93</v>
      </c>
      <c r="H12461">
        <v>250131</v>
      </c>
      <c r="I12461">
        <v>4590</v>
      </c>
      <c r="J12461" t="s">
        <v>388</v>
      </c>
      <c r="K12461">
        <v>425.25</v>
      </c>
      <c r="L12461">
        <v>79.84</v>
      </c>
      <c r="M12461">
        <v>46563</v>
      </c>
      <c r="N12461" t="s">
        <v>932</v>
      </c>
      <c r="O12461">
        <v>250206</v>
      </c>
      <c r="P12461">
        <v>313.08999999999997</v>
      </c>
    </row>
    <row r="12462" spans="1:16" x14ac:dyDescent="0.25">
      <c r="A12462" t="s">
        <v>3296</v>
      </c>
      <c r="B12462" t="s">
        <v>2931</v>
      </c>
      <c r="C12462">
        <v>1411</v>
      </c>
      <c r="D12462" t="str">
        <f>"5239231175  "</f>
        <v xml:space="preserve">5239231175  </v>
      </c>
      <c r="E12462" t="s">
        <v>872</v>
      </c>
      <c r="F12462" t="s">
        <v>873</v>
      </c>
      <c r="G12462">
        <v>61.6</v>
      </c>
      <c r="H12462">
        <v>250131</v>
      </c>
      <c r="I12462">
        <v>4590</v>
      </c>
      <c r="J12462" t="s">
        <v>388</v>
      </c>
      <c r="K12462">
        <v>61.6</v>
      </c>
      <c r="L12462">
        <v>12.52</v>
      </c>
      <c r="M12462">
        <v>46563</v>
      </c>
      <c r="N12462" t="s">
        <v>932</v>
      </c>
      <c r="O12462">
        <v>250210</v>
      </c>
      <c r="P12462">
        <v>49.08</v>
      </c>
    </row>
    <row r="12463" spans="1:16" x14ac:dyDescent="0.25">
      <c r="A12463" t="s">
        <v>3296</v>
      </c>
      <c r="B12463" t="s">
        <v>2931</v>
      </c>
      <c r="C12463">
        <v>1534</v>
      </c>
      <c r="D12463" t="str">
        <f>"5239231118  "</f>
        <v xml:space="preserve">5239231118  </v>
      </c>
      <c r="E12463" t="s">
        <v>872</v>
      </c>
      <c r="F12463" t="s">
        <v>873</v>
      </c>
      <c r="G12463">
        <v>1262.6300000000001</v>
      </c>
      <c r="H12463">
        <v>250131</v>
      </c>
      <c r="I12463">
        <v>4590</v>
      </c>
      <c r="J12463" t="s">
        <v>388</v>
      </c>
      <c r="K12463">
        <v>1262.6300000000001</v>
      </c>
      <c r="L12463">
        <v>256.55</v>
      </c>
      <c r="M12463">
        <v>46554</v>
      </c>
      <c r="N12463" t="s">
        <v>102</v>
      </c>
      <c r="O12463">
        <v>250211</v>
      </c>
      <c r="P12463">
        <v>1006.08</v>
      </c>
    </row>
    <row r="12464" spans="1:16" x14ac:dyDescent="0.25">
      <c r="A12464" t="s">
        <v>3296</v>
      </c>
      <c r="B12464" t="s">
        <v>2931</v>
      </c>
      <c r="C12464">
        <v>2608</v>
      </c>
      <c r="D12464" t="str">
        <f>"5239298882  "</f>
        <v xml:space="preserve">5239298882  </v>
      </c>
      <c r="E12464" t="s">
        <v>872</v>
      </c>
      <c r="F12464" t="s">
        <v>873</v>
      </c>
      <c r="G12464">
        <v>38.61</v>
      </c>
      <c r="H12464">
        <v>250228</v>
      </c>
      <c r="I12464">
        <v>4590</v>
      </c>
      <c r="J12464" t="s">
        <v>388</v>
      </c>
      <c r="K12464">
        <v>38.61</v>
      </c>
      <c r="L12464">
        <v>7.85</v>
      </c>
      <c r="M12464">
        <v>46563</v>
      </c>
      <c r="N12464" t="s">
        <v>932</v>
      </c>
      <c r="O12464">
        <v>250307</v>
      </c>
      <c r="P12464">
        <v>30.76</v>
      </c>
    </row>
    <row r="12465" spans="1:16" x14ac:dyDescent="0.25">
      <c r="A12465" t="s">
        <v>3296</v>
      </c>
      <c r="B12465" t="s">
        <v>2931</v>
      </c>
      <c r="C12465">
        <v>2628</v>
      </c>
      <c r="D12465" t="str">
        <f>"5239298926  "</f>
        <v xml:space="preserve">5239298926  </v>
      </c>
      <c r="E12465" t="s">
        <v>872</v>
      </c>
      <c r="F12465" t="s">
        <v>873</v>
      </c>
      <c r="G12465">
        <v>61.99</v>
      </c>
      <c r="H12465">
        <v>250228</v>
      </c>
      <c r="I12465">
        <v>4590</v>
      </c>
      <c r="J12465" t="s">
        <v>388</v>
      </c>
      <c r="K12465">
        <v>61.99</v>
      </c>
      <c r="L12465">
        <v>12.6</v>
      </c>
      <c r="M12465">
        <v>49501</v>
      </c>
      <c r="N12465" t="s">
        <v>110</v>
      </c>
      <c r="O12465">
        <v>250307</v>
      </c>
      <c r="P12465">
        <v>49.39</v>
      </c>
    </row>
    <row r="12466" spans="1:16" x14ac:dyDescent="0.25">
      <c r="A12466" t="s">
        <v>3296</v>
      </c>
      <c r="B12466" t="s">
        <v>2931</v>
      </c>
      <c r="C12466">
        <v>2629</v>
      </c>
      <c r="D12466" t="str">
        <f>"5239298932  "</f>
        <v xml:space="preserve">5239298932  </v>
      </c>
      <c r="E12466" t="s">
        <v>872</v>
      </c>
      <c r="F12466" t="s">
        <v>873</v>
      </c>
      <c r="G12466">
        <v>82.58</v>
      </c>
      <c r="H12466">
        <v>250228</v>
      </c>
      <c r="I12466">
        <v>4590</v>
      </c>
      <c r="J12466" t="s">
        <v>388</v>
      </c>
      <c r="K12466">
        <v>82.58</v>
      </c>
      <c r="L12466">
        <v>16.78</v>
      </c>
      <c r="M12466">
        <v>46563</v>
      </c>
      <c r="N12466" t="s">
        <v>932</v>
      </c>
      <c r="O12466">
        <v>250307</v>
      </c>
      <c r="P12466">
        <v>65.8</v>
      </c>
    </row>
    <row r="12467" spans="1:16" x14ac:dyDescent="0.25">
      <c r="A12467" t="s">
        <v>3296</v>
      </c>
      <c r="B12467" t="s">
        <v>2931</v>
      </c>
      <c r="C12467">
        <v>2631</v>
      </c>
      <c r="D12467" t="str">
        <f>"5239298931  "</f>
        <v xml:space="preserve">5239298931  </v>
      </c>
      <c r="E12467" t="s">
        <v>872</v>
      </c>
      <c r="F12467" t="s">
        <v>873</v>
      </c>
      <c r="G12467">
        <v>173.47</v>
      </c>
      <c r="H12467">
        <v>250228</v>
      </c>
      <c r="I12467">
        <v>4590</v>
      </c>
      <c r="J12467" t="s">
        <v>388</v>
      </c>
      <c r="K12467">
        <v>430.31</v>
      </c>
      <c r="L12467">
        <v>35.25</v>
      </c>
      <c r="M12467">
        <v>46556</v>
      </c>
      <c r="N12467" t="s">
        <v>458</v>
      </c>
      <c r="O12467">
        <v>250307</v>
      </c>
      <c r="P12467">
        <v>138.22</v>
      </c>
    </row>
    <row r="12468" spans="1:16" x14ac:dyDescent="0.25">
      <c r="A12468" t="s">
        <v>3296</v>
      </c>
      <c r="B12468" t="s">
        <v>2931</v>
      </c>
      <c r="C12468">
        <v>2631</v>
      </c>
      <c r="D12468" t="str">
        <f>"5239298931  "</f>
        <v xml:space="preserve">5239298931  </v>
      </c>
      <c r="E12468" t="s">
        <v>872</v>
      </c>
      <c r="F12468" t="s">
        <v>873</v>
      </c>
      <c r="G12468">
        <v>256.83999999999997</v>
      </c>
      <c r="H12468">
        <v>250228</v>
      </c>
      <c r="I12468">
        <v>4590</v>
      </c>
      <c r="J12468" t="s">
        <v>388</v>
      </c>
      <c r="K12468">
        <v>430.31</v>
      </c>
      <c r="L12468">
        <v>52.19</v>
      </c>
      <c r="M12468">
        <v>46563</v>
      </c>
      <c r="N12468" t="s">
        <v>932</v>
      </c>
      <c r="O12468">
        <v>250307</v>
      </c>
      <c r="P12468">
        <v>204.65</v>
      </c>
    </row>
    <row r="12469" spans="1:16" x14ac:dyDescent="0.25">
      <c r="A12469" t="s">
        <v>3296</v>
      </c>
      <c r="B12469" t="s">
        <v>2931</v>
      </c>
      <c r="C12469">
        <v>2632</v>
      </c>
      <c r="D12469" t="str">
        <f>"5239298966  "</f>
        <v xml:space="preserve">5239298966  </v>
      </c>
      <c r="E12469" t="s">
        <v>872</v>
      </c>
      <c r="F12469" t="s">
        <v>873</v>
      </c>
      <c r="G12469">
        <v>189.54</v>
      </c>
      <c r="H12469">
        <v>250228</v>
      </c>
      <c r="I12469">
        <v>4590</v>
      </c>
      <c r="J12469" t="s">
        <v>388</v>
      </c>
      <c r="K12469">
        <v>189.54</v>
      </c>
      <c r="L12469">
        <v>38.51</v>
      </c>
      <c r="M12469">
        <v>46563</v>
      </c>
      <c r="N12469" t="s">
        <v>932</v>
      </c>
      <c r="O12469">
        <v>250307</v>
      </c>
      <c r="P12469">
        <v>151.03</v>
      </c>
    </row>
    <row r="12470" spans="1:16" x14ac:dyDescent="0.25">
      <c r="A12470" t="s">
        <v>3296</v>
      </c>
      <c r="B12470" t="s">
        <v>2931</v>
      </c>
      <c r="C12470">
        <v>4205</v>
      </c>
      <c r="D12470" t="str">
        <f>"5239374911  "</f>
        <v xml:space="preserve">5239374911  </v>
      </c>
      <c r="E12470" t="s">
        <v>872</v>
      </c>
      <c r="F12470" t="s">
        <v>873</v>
      </c>
      <c r="G12470">
        <v>86.94</v>
      </c>
      <c r="H12470">
        <v>250331</v>
      </c>
      <c r="I12470">
        <v>4590</v>
      </c>
      <c r="J12470" t="s">
        <v>388</v>
      </c>
      <c r="K12470">
        <v>86.94</v>
      </c>
      <c r="L12470">
        <v>17.670000000000002</v>
      </c>
      <c r="M12470">
        <v>46556</v>
      </c>
      <c r="N12470" t="s">
        <v>458</v>
      </c>
      <c r="O12470">
        <v>250409</v>
      </c>
      <c r="P12470">
        <v>69.27</v>
      </c>
    </row>
    <row r="12471" spans="1:16" x14ac:dyDescent="0.25">
      <c r="A12471" t="s">
        <v>3296</v>
      </c>
      <c r="B12471" t="s">
        <v>2931</v>
      </c>
      <c r="C12471">
        <v>4217</v>
      </c>
      <c r="D12471" t="str">
        <f>"5239374832  "</f>
        <v xml:space="preserve">5239374832  </v>
      </c>
      <c r="E12471" t="s">
        <v>872</v>
      </c>
      <c r="F12471" t="s">
        <v>873</v>
      </c>
      <c r="G12471">
        <v>300.86</v>
      </c>
      <c r="H12471">
        <v>250331</v>
      </c>
      <c r="I12471">
        <v>4590</v>
      </c>
      <c r="J12471" t="s">
        <v>388</v>
      </c>
      <c r="K12471">
        <v>797.69</v>
      </c>
      <c r="L12471">
        <v>61.13</v>
      </c>
      <c r="M12471">
        <v>46556</v>
      </c>
      <c r="N12471" t="s">
        <v>458</v>
      </c>
      <c r="O12471">
        <v>250409</v>
      </c>
      <c r="P12471">
        <v>239.73</v>
      </c>
    </row>
    <row r="12472" spans="1:16" x14ac:dyDescent="0.25">
      <c r="A12472" t="s">
        <v>3296</v>
      </c>
      <c r="B12472" t="s">
        <v>2931</v>
      </c>
      <c r="C12472">
        <v>4217</v>
      </c>
      <c r="D12472" t="str">
        <f>"5239374832  "</f>
        <v xml:space="preserve">5239374832  </v>
      </c>
      <c r="E12472" t="s">
        <v>872</v>
      </c>
      <c r="F12472" t="s">
        <v>873</v>
      </c>
      <c r="G12472">
        <v>496.83</v>
      </c>
      <c r="H12472">
        <v>250331</v>
      </c>
      <c r="I12472">
        <v>4590</v>
      </c>
      <c r="J12472" t="s">
        <v>388</v>
      </c>
      <c r="K12472">
        <v>797.69</v>
      </c>
      <c r="L12472">
        <v>100.95</v>
      </c>
      <c r="M12472">
        <v>46563</v>
      </c>
      <c r="N12472" t="s">
        <v>932</v>
      </c>
      <c r="O12472">
        <v>250409</v>
      </c>
      <c r="P12472">
        <v>395.88</v>
      </c>
    </row>
    <row r="12473" spans="1:16" x14ac:dyDescent="0.25">
      <c r="A12473" t="s">
        <v>3296</v>
      </c>
      <c r="B12473" t="s">
        <v>2931</v>
      </c>
      <c r="C12473">
        <v>4256</v>
      </c>
      <c r="D12473" t="str">
        <f>"5239374828  "</f>
        <v xml:space="preserve">5239374828  </v>
      </c>
      <c r="E12473" t="s">
        <v>872</v>
      </c>
      <c r="F12473" t="s">
        <v>873</v>
      </c>
      <c r="G12473">
        <v>204.48</v>
      </c>
      <c r="H12473">
        <v>250331</v>
      </c>
      <c r="I12473">
        <v>4590</v>
      </c>
      <c r="J12473" t="s">
        <v>388</v>
      </c>
      <c r="K12473">
        <v>204.48</v>
      </c>
      <c r="L12473">
        <v>41.55</v>
      </c>
      <c r="M12473">
        <v>49501</v>
      </c>
      <c r="N12473" t="s">
        <v>110</v>
      </c>
      <c r="O12473">
        <v>250409</v>
      </c>
      <c r="P12473">
        <v>162.93</v>
      </c>
    </row>
    <row r="12474" spans="1:16" x14ac:dyDescent="0.25">
      <c r="A12474" t="s">
        <v>3296</v>
      </c>
      <c r="B12474" t="s">
        <v>2931</v>
      </c>
      <c r="C12474">
        <v>5906</v>
      </c>
      <c r="D12474" t="str">
        <f>"5239464915  "</f>
        <v xml:space="preserve">5239464915  </v>
      </c>
      <c r="E12474" t="s">
        <v>872</v>
      </c>
      <c r="F12474" t="s">
        <v>873</v>
      </c>
      <c r="G12474">
        <v>308.19</v>
      </c>
      <c r="H12474">
        <v>250430</v>
      </c>
      <c r="I12474">
        <v>4590</v>
      </c>
      <c r="J12474" t="s">
        <v>388</v>
      </c>
      <c r="K12474">
        <v>1706.77</v>
      </c>
      <c r="L12474">
        <v>62.62</v>
      </c>
      <c r="M12474">
        <v>46556</v>
      </c>
      <c r="N12474" t="s">
        <v>458</v>
      </c>
      <c r="O12474">
        <v>250507</v>
      </c>
      <c r="P12474">
        <v>245.57</v>
      </c>
    </row>
    <row r="12475" spans="1:16" x14ac:dyDescent="0.25">
      <c r="A12475" t="s">
        <v>3296</v>
      </c>
      <c r="B12475" t="s">
        <v>2931</v>
      </c>
      <c r="C12475">
        <v>5906</v>
      </c>
      <c r="D12475" t="str">
        <f>"5239464915  "</f>
        <v xml:space="preserve">5239464915  </v>
      </c>
      <c r="E12475" t="s">
        <v>872</v>
      </c>
      <c r="F12475" t="s">
        <v>873</v>
      </c>
      <c r="G12475">
        <v>674.66</v>
      </c>
      <c r="H12475">
        <v>250430</v>
      </c>
      <c r="I12475">
        <v>4590</v>
      </c>
      <c r="J12475" t="s">
        <v>388</v>
      </c>
      <c r="K12475">
        <v>1706.77</v>
      </c>
      <c r="L12475">
        <v>137.08000000000001</v>
      </c>
      <c r="M12475">
        <v>46563</v>
      </c>
      <c r="N12475" t="s">
        <v>932</v>
      </c>
      <c r="O12475">
        <v>250507</v>
      </c>
      <c r="P12475">
        <v>537.58000000000004</v>
      </c>
    </row>
    <row r="12476" spans="1:16" x14ac:dyDescent="0.25">
      <c r="A12476" t="s">
        <v>3296</v>
      </c>
      <c r="B12476" t="s">
        <v>2931</v>
      </c>
      <c r="C12476">
        <v>5906</v>
      </c>
      <c r="D12476" t="str">
        <f>"5239464915  "</f>
        <v xml:space="preserve">5239464915  </v>
      </c>
      <c r="E12476" t="s">
        <v>872</v>
      </c>
      <c r="F12476" t="s">
        <v>873</v>
      </c>
      <c r="G12476">
        <v>723.92</v>
      </c>
      <c r="H12476">
        <v>250430</v>
      </c>
      <c r="I12476">
        <v>4590</v>
      </c>
      <c r="J12476" t="s">
        <v>388</v>
      </c>
      <c r="K12476">
        <v>1706.77</v>
      </c>
      <c r="L12476">
        <v>147.09</v>
      </c>
      <c r="M12476">
        <v>49501</v>
      </c>
      <c r="N12476" t="s">
        <v>110</v>
      </c>
      <c r="O12476">
        <v>250507</v>
      </c>
      <c r="P12476">
        <v>576.83000000000004</v>
      </c>
    </row>
    <row r="12477" spans="1:16" x14ac:dyDescent="0.25">
      <c r="A12477" t="s">
        <v>3296</v>
      </c>
      <c r="B12477" t="s">
        <v>2931</v>
      </c>
      <c r="C12477">
        <v>6103</v>
      </c>
      <c r="D12477" t="str">
        <f>"5239464959  "</f>
        <v xml:space="preserve">5239464959  </v>
      </c>
      <c r="E12477" t="s">
        <v>872</v>
      </c>
      <c r="F12477" t="s">
        <v>873</v>
      </c>
      <c r="G12477">
        <v>390.21</v>
      </c>
      <c r="H12477">
        <v>250430</v>
      </c>
      <c r="I12477">
        <v>4590</v>
      </c>
      <c r="J12477" t="s">
        <v>388</v>
      </c>
      <c r="K12477">
        <v>664.1</v>
      </c>
      <c r="L12477">
        <v>79.290000000000006</v>
      </c>
      <c r="M12477">
        <v>46556</v>
      </c>
      <c r="N12477" t="s">
        <v>458</v>
      </c>
      <c r="O12477">
        <v>250509</v>
      </c>
      <c r="P12477">
        <v>310.92</v>
      </c>
    </row>
    <row r="12478" spans="1:16" x14ac:dyDescent="0.25">
      <c r="A12478" t="s">
        <v>3296</v>
      </c>
      <c r="B12478" t="s">
        <v>2931</v>
      </c>
      <c r="C12478">
        <v>6103</v>
      </c>
      <c r="D12478" t="str">
        <f>"5239464959  "</f>
        <v xml:space="preserve">5239464959  </v>
      </c>
      <c r="E12478" t="s">
        <v>872</v>
      </c>
      <c r="F12478" t="s">
        <v>873</v>
      </c>
      <c r="G12478">
        <v>72.94</v>
      </c>
      <c r="H12478">
        <v>250430</v>
      </c>
      <c r="I12478">
        <v>4590</v>
      </c>
      <c r="J12478" t="s">
        <v>388</v>
      </c>
      <c r="K12478">
        <v>664.1</v>
      </c>
      <c r="L12478">
        <v>14.82</v>
      </c>
      <c r="M12478">
        <v>46563</v>
      </c>
      <c r="N12478" t="s">
        <v>932</v>
      </c>
      <c r="O12478">
        <v>250509</v>
      </c>
      <c r="P12478">
        <v>58.12</v>
      </c>
    </row>
    <row r="12479" spans="1:16" x14ac:dyDescent="0.25">
      <c r="A12479" t="s">
        <v>3296</v>
      </c>
      <c r="B12479" t="s">
        <v>2931</v>
      </c>
      <c r="C12479">
        <v>7791</v>
      </c>
      <c r="D12479" t="str">
        <f>"5239575068  "</f>
        <v xml:space="preserve">5239575068  </v>
      </c>
      <c r="E12479" t="s">
        <v>872</v>
      </c>
      <c r="F12479" t="s">
        <v>873</v>
      </c>
      <c r="G12479">
        <v>118.28</v>
      </c>
      <c r="H12479">
        <v>250531</v>
      </c>
      <c r="I12479">
        <v>4590</v>
      </c>
      <c r="J12479" t="s">
        <v>388</v>
      </c>
      <c r="K12479">
        <v>118.28</v>
      </c>
      <c r="L12479">
        <v>24.03</v>
      </c>
      <c r="M12479">
        <v>47522</v>
      </c>
      <c r="N12479" t="s">
        <v>106</v>
      </c>
      <c r="O12479">
        <v>250609</v>
      </c>
      <c r="P12479">
        <v>94.25</v>
      </c>
    </row>
    <row r="12480" spans="1:16" x14ac:dyDescent="0.25">
      <c r="A12480" t="s">
        <v>3296</v>
      </c>
      <c r="B12480" t="s">
        <v>2931</v>
      </c>
      <c r="C12480">
        <v>7794</v>
      </c>
      <c r="D12480" t="str">
        <f>"5239575072  "</f>
        <v xml:space="preserve">5239575072  </v>
      </c>
      <c r="E12480" t="s">
        <v>872</v>
      </c>
      <c r="F12480" t="s">
        <v>873</v>
      </c>
      <c r="G12480">
        <v>724</v>
      </c>
      <c r="H12480">
        <v>250531</v>
      </c>
      <c r="I12480">
        <v>4590</v>
      </c>
      <c r="J12480" t="s">
        <v>388</v>
      </c>
      <c r="K12480">
        <v>1162.74</v>
      </c>
      <c r="L12480">
        <v>147.11000000000001</v>
      </c>
      <c r="M12480">
        <v>46556</v>
      </c>
      <c r="N12480" t="s">
        <v>458</v>
      </c>
      <c r="O12480">
        <v>250609</v>
      </c>
      <c r="P12480">
        <v>576.89</v>
      </c>
    </row>
    <row r="12481" spans="1:16" x14ac:dyDescent="0.25">
      <c r="A12481" t="s">
        <v>3296</v>
      </c>
      <c r="B12481" t="s">
        <v>2931</v>
      </c>
      <c r="C12481">
        <v>7794</v>
      </c>
      <c r="D12481" t="str">
        <f>"5239575072  "</f>
        <v xml:space="preserve">5239575072  </v>
      </c>
      <c r="E12481" t="s">
        <v>872</v>
      </c>
      <c r="F12481" t="s">
        <v>873</v>
      </c>
      <c r="G12481">
        <v>438.74</v>
      </c>
      <c r="H12481">
        <v>250531</v>
      </c>
      <c r="I12481">
        <v>4590</v>
      </c>
      <c r="J12481" t="s">
        <v>388</v>
      </c>
      <c r="K12481">
        <v>1162.74</v>
      </c>
      <c r="L12481">
        <v>89.15</v>
      </c>
      <c r="M12481">
        <v>46563</v>
      </c>
      <c r="N12481" t="s">
        <v>932</v>
      </c>
      <c r="O12481">
        <v>250609</v>
      </c>
      <c r="P12481">
        <v>349.59</v>
      </c>
    </row>
    <row r="12482" spans="1:16" x14ac:dyDescent="0.25">
      <c r="A12482" t="s">
        <v>3296</v>
      </c>
      <c r="B12482" t="s">
        <v>2931</v>
      </c>
      <c r="C12482">
        <v>7795</v>
      </c>
      <c r="D12482" t="str">
        <f>"5239575071  "</f>
        <v xml:space="preserve">5239575071  </v>
      </c>
      <c r="E12482" t="s">
        <v>872</v>
      </c>
      <c r="F12482" t="s">
        <v>873</v>
      </c>
      <c r="G12482">
        <v>-89.85</v>
      </c>
      <c r="H12482">
        <v>250531</v>
      </c>
      <c r="I12482">
        <v>4590</v>
      </c>
      <c r="J12482" t="s">
        <v>388</v>
      </c>
      <c r="K12482">
        <v>-89.85</v>
      </c>
      <c r="L12482">
        <v>-18.260000000000002</v>
      </c>
      <c r="M12482">
        <v>46563</v>
      </c>
      <c r="N12482" t="s">
        <v>932</v>
      </c>
      <c r="O12482">
        <v>250609</v>
      </c>
      <c r="P12482">
        <v>-71.59</v>
      </c>
    </row>
    <row r="12483" spans="1:16" x14ac:dyDescent="0.25">
      <c r="A12483" t="s">
        <v>3296</v>
      </c>
      <c r="B12483" t="s">
        <v>2931</v>
      </c>
      <c r="C12483">
        <v>7870</v>
      </c>
      <c r="D12483" t="str">
        <f>"5239575064  "</f>
        <v xml:space="preserve">5239575064  </v>
      </c>
      <c r="E12483" t="s">
        <v>872</v>
      </c>
      <c r="F12483" t="s">
        <v>873</v>
      </c>
      <c r="G12483">
        <v>606.02</v>
      </c>
      <c r="H12483">
        <v>250531</v>
      </c>
      <c r="I12483">
        <v>4590</v>
      </c>
      <c r="J12483" t="s">
        <v>388</v>
      </c>
      <c r="K12483">
        <v>606.02</v>
      </c>
      <c r="L12483">
        <v>123.14</v>
      </c>
      <c r="M12483">
        <v>49501</v>
      </c>
      <c r="N12483" t="s">
        <v>110</v>
      </c>
      <c r="O12483">
        <v>250610</v>
      </c>
      <c r="P12483">
        <v>482.88</v>
      </c>
    </row>
    <row r="12484" spans="1:16" x14ac:dyDescent="0.25">
      <c r="A12484" t="s">
        <v>3296</v>
      </c>
      <c r="B12484" t="s">
        <v>2931</v>
      </c>
      <c r="C12484">
        <v>8971</v>
      </c>
      <c r="D12484" t="str">
        <f>"5239575156  "</f>
        <v xml:space="preserve">5239575156  </v>
      </c>
      <c r="E12484" t="s">
        <v>872</v>
      </c>
      <c r="F12484" t="s">
        <v>873</v>
      </c>
      <c r="G12484">
        <v>104.33</v>
      </c>
      <c r="H12484">
        <v>250601</v>
      </c>
      <c r="I12484">
        <v>4590</v>
      </c>
      <c r="J12484" t="s">
        <v>388</v>
      </c>
      <c r="K12484">
        <v>211.43</v>
      </c>
      <c r="L12484">
        <v>21.2</v>
      </c>
      <c r="M12484">
        <v>46556</v>
      </c>
      <c r="N12484" t="s">
        <v>458</v>
      </c>
      <c r="O12484">
        <v>250624</v>
      </c>
      <c r="P12484">
        <v>83.13</v>
      </c>
    </row>
    <row r="12485" spans="1:16" x14ac:dyDescent="0.25">
      <c r="A12485" t="s">
        <v>3296</v>
      </c>
      <c r="B12485" t="s">
        <v>2931</v>
      </c>
      <c r="C12485">
        <v>8971</v>
      </c>
      <c r="D12485" t="str">
        <f>"5239575156  "</f>
        <v xml:space="preserve">5239575156  </v>
      </c>
      <c r="E12485" t="s">
        <v>872</v>
      </c>
      <c r="F12485" t="s">
        <v>873</v>
      </c>
      <c r="G12485">
        <v>107.1</v>
      </c>
      <c r="H12485">
        <v>250601</v>
      </c>
      <c r="I12485">
        <v>4590</v>
      </c>
      <c r="J12485" t="s">
        <v>388</v>
      </c>
      <c r="K12485">
        <v>211.43</v>
      </c>
      <c r="L12485">
        <v>21.76</v>
      </c>
      <c r="M12485">
        <v>46563</v>
      </c>
      <c r="N12485" t="s">
        <v>932</v>
      </c>
      <c r="O12485">
        <v>250624</v>
      </c>
      <c r="P12485">
        <v>85.34</v>
      </c>
    </row>
    <row r="12486" spans="1:16" x14ac:dyDescent="0.25">
      <c r="A12486" t="s">
        <v>3296</v>
      </c>
      <c r="B12486" t="s">
        <v>2931</v>
      </c>
      <c r="C12486">
        <v>9482</v>
      </c>
      <c r="D12486" t="str">
        <f>"5239682208  "</f>
        <v xml:space="preserve">5239682208  </v>
      </c>
      <c r="E12486" t="s">
        <v>872</v>
      </c>
      <c r="F12486" t="s">
        <v>873</v>
      </c>
      <c r="G12486">
        <v>3.26</v>
      </c>
      <c r="H12486">
        <v>250630</v>
      </c>
      <c r="I12486">
        <v>4590</v>
      </c>
      <c r="J12486" t="s">
        <v>388</v>
      </c>
      <c r="K12486">
        <v>24.11</v>
      </c>
      <c r="L12486">
        <v>0.66</v>
      </c>
      <c r="M12486">
        <v>49501</v>
      </c>
      <c r="N12486" t="s">
        <v>110</v>
      </c>
      <c r="O12486">
        <v>250709</v>
      </c>
      <c r="P12486">
        <v>2.6</v>
      </c>
    </row>
    <row r="12487" spans="1:16" x14ac:dyDescent="0.25">
      <c r="A12487" t="s">
        <v>3296</v>
      </c>
      <c r="B12487" t="s">
        <v>2931</v>
      </c>
      <c r="C12487">
        <v>9483</v>
      </c>
      <c r="D12487" t="str">
        <f>"5239682211  "</f>
        <v xml:space="preserve">5239682211  </v>
      </c>
      <c r="E12487" t="s">
        <v>872</v>
      </c>
      <c r="F12487" t="s">
        <v>873</v>
      </c>
      <c r="G12487">
        <v>6.43</v>
      </c>
      <c r="H12487">
        <v>250630</v>
      </c>
      <c r="I12487">
        <v>4590</v>
      </c>
      <c r="J12487" t="s">
        <v>388</v>
      </c>
      <c r="K12487">
        <v>17.690000000000001</v>
      </c>
      <c r="L12487">
        <v>1.31</v>
      </c>
      <c r="M12487">
        <v>47522</v>
      </c>
      <c r="N12487" t="s">
        <v>106</v>
      </c>
      <c r="O12487">
        <v>250709</v>
      </c>
      <c r="P12487">
        <v>5.12</v>
      </c>
    </row>
    <row r="12488" spans="1:16" x14ac:dyDescent="0.25">
      <c r="A12488" t="s">
        <v>3296</v>
      </c>
      <c r="B12488" t="s">
        <v>2931</v>
      </c>
      <c r="C12488">
        <v>11298</v>
      </c>
      <c r="D12488" t="str">
        <f>"5239885772  "</f>
        <v xml:space="preserve">5239885772  </v>
      </c>
      <c r="E12488" t="s">
        <v>872</v>
      </c>
      <c r="F12488" t="s">
        <v>873</v>
      </c>
      <c r="G12488">
        <v>953.08</v>
      </c>
      <c r="H12488">
        <v>250831</v>
      </c>
      <c r="I12488">
        <v>4590</v>
      </c>
      <c r="J12488" t="s">
        <v>388</v>
      </c>
      <c r="K12488">
        <v>953.08</v>
      </c>
      <c r="L12488">
        <v>193.65</v>
      </c>
      <c r="M12488">
        <v>49501</v>
      </c>
      <c r="N12488" t="s">
        <v>110</v>
      </c>
      <c r="O12488">
        <v>250903</v>
      </c>
      <c r="P12488">
        <v>759.43</v>
      </c>
    </row>
    <row r="12489" spans="1:16" x14ac:dyDescent="0.25">
      <c r="A12489" t="s">
        <v>3296</v>
      </c>
      <c r="B12489" t="s">
        <v>2931</v>
      </c>
      <c r="C12489">
        <v>11428</v>
      </c>
      <c r="D12489" t="str">
        <f>"5239885780  "</f>
        <v xml:space="preserve">5239885780  </v>
      </c>
      <c r="E12489" t="s">
        <v>872</v>
      </c>
      <c r="F12489" t="s">
        <v>873</v>
      </c>
      <c r="G12489">
        <v>342.8</v>
      </c>
      <c r="H12489">
        <v>250831</v>
      </c>
      <c r="I12489">
        <v>4590</v>
      </c>
      <c r="J12489" t="s">
        <v>388</v>
      </c>
      <c r="K12489">
        <v>716.87</v>
      </c>
      <c r="L12489">
        <v>69.650000000000006</v>
      </c>
      <c r="M12489">
        <v>46556</v>
      </c>
      <c r="N12489" t="s">
        <v>458</v>
      </c>
      <c r="O12489">
        <v>250905</v>
      </c>
      <c r="P12489">
        <v>273.14999999999998</v>
      </c>
    </row>
    <row r="12490" spans="1:16" x14ac:dyDescent="0.25">
      <c r="A12490" t="s">
        <v>3296</v>
      </c>
      <c r="B12490" t="s">
        <v>2931</v>
      </c>
      <c r="C12490">
        <v>11428</v>
      </c>
      <c r="D12490" t="str">
        <f>"5239885780  "</f>
        <v xml:space="preserve">5239885780  </v>
      </c>
      <c r="E12490" t="s">
        <v>872</v>
      </c>
      <c r="F12490" t="s">
        <v>873</v>
      </c>
      <c r="G12490">
        <v>374.07</v>
      </c>
      <c r="H12490">
        <v>250831</v>
      </c>
      <c r="I12490">
        <v>4590</v>
      </c>
      <c r="J12490" t="s">
        <v>388</v>
      </c>
      <c r="K12490">
        <v>716.87</v>
      </c>
      <c r="L12490">
        <v>76.010000000000005</v>
      </c>
      <c r="M12490">
        <v>46563</v>
      </c>
      <c r="N12490" t="s">
        <v>932</v>
      </c>
      <c r="O12490">
        <v>250905</v>
      </c>
      <c r="P12490">
        <v>298.06</v>
      </c>
    </row>
    <row r="12491" spans="1:16" x14ac:dyDescent="0.25">
      <c r="A12491" t="s">
        <v>3296</v>
      </c>
      <c r="B12491" t="s">
        <v>2931</v>
      </c>
      <c r="C12491">
        <v>11941</v>
      </c>
      <c r="D12491" t="str">
        <f>"456857787   "</f>
        <v xml:space="preserve">456857787   </v>
      </c>
      <c r="E12491" t="s">
        <v>872</v>
      </c>
      <c r="F12491" t="s">
        <v>873</v>
      </c>
      <c r="G12491">
        <v>1653.3</v>
      </c>
      <c r="H12491">
        <v>250909</v>
      </c>
      <c r="I12491">
        <v>4590</v>
      </c>
      <c r="J12491" t="s">
        <v>388</v>
      </c>
      <c r="K12491">
        <v>1653.3</v>
      </c>
      <c r="L12491">
        <v>335.93</v>
      </c>
      <c r="M12491">
        <v>49501</v>
      </c>
      <c r="N12491" t="s">
        <v>110</v>
      </c>
      <c r="O12491">
        <v>250912</v>
      </c>
      <c r="P12491">
        <v>1317.37</v>
      </c>
    </row>
    <row r="12492" spans="1:16" x14ac:dyDescent="0.25">
      <c r="A12492" t="s">
        <v>3296</v>
      </c>
      <c r="B12492" t="s">
        <v>2931</v>
      </c>
      <c r="C12492">
        <v>12234</v>
      </c>
      <c r="D12492" t="str">
        <f>"5239885863  "</f>
        <v xml:space="preserve">5239885863  </v>
      </c>
      <c r="E12492" t="s">
        <v>872</v>
      </c>
      <c r="F12492" t="s">
        <v>873</v>
      </c>
      <c r="G12492">
        <v>1142.1400000000001</v>
      </c>
      <c r="H12492">
        <v>250831</v>
      </c>
      <c r="I12492">
        <v>4590</v>
      </c>
      <c r="J12492" t="s">
        <v>388</v>
      </c>
      <c r="K12492">
        <v>1320.95</v>
      </c>
      <c r="L12492">
        <v>232.07</v>
      </c>
      <c r="M12492">
        <v>46556</v>
      </c>
      <c r="N12492" t="s">
        <v>458</v>
      </c>
      <c r="O12492">
        <v>250918</v>
      </c>
      <c r="P12492">
        <v>910.07</v>
      </c>
    </row>
    <row r="12493" spans="1:16" x14ac:dyDescent="0.25">
      <c r="A12493" t="s">
        <v>3296</v>
      </c>
      <c r="B12493" t="s">
        <v>2931</v>
      </c>
      <c r="C12493">
        <v>12234</v>
      </c>
      <c r="D12493" t="str">
        <f>"5239885863  "</f>
        <v xml:space="preserve">5239885863  </v>
      </c>
      <c r="E12493" t="s">
        <v>872</v>
      </c>
      <c r="F12493" t="s">
        <v>873</v>
      </c>
      <c r="G12493">
        <v>178.81</v>
      </c>
      <c r="H12493">
        <v>250831</v>
      </c>
      <c r="I12493">
        <v>4590</v>
      </c>
      <c r="J12493" t="s">
        <v>388</v>
      </c>
      <c r="K12493">
        <v>1320.95</v>
      </c>
      <c r="L12493">
        <v>36.33</v>
      </c>
      <c r="M12493">
        <v>46563</v>
      </c>
      <c r="N12493" t="s">
        <v>932</v>
      </c>
      <c r="O12493">
        <v>250918</v>
      </c>
      <c r="P12493">
        <v>142.47999999999999</v>
      </c>
    </row>
    <row r="12494" spans="1:16" x14ac:dyDescent="0.25">
      <c r="A12494" t="s">
        <v>3296</v>
      </c>
      <c r="B12494" t="s">
        <v>2931</v>
      </c>
      <c r="C12494">
        <v>12963</v>
      </c>
      <c r="D12494" t="str">
        <f>"5239986441  "</f>
        <v xml:space="preserve">5239986441  </v>
      </c>
      <c r="E12494" t="s">
        <v>872</v>
      </c>
      <c r="F12494" t="s">
        <v>873</v>
      </c>
      <c r="G12494">
        <v>780.09</v>
      </c>
      <c r="H12494">
        <v>250930</v>
      </c>
      <c r="I12494">
        <v>4590</v>
      </c>
      <c r="J12494" t="s">
        <v>388</v>
      </c>
      <c r="K12494">
        <v>2725.33</v>
      </c>
      <c r="L12494">
        <v>158.5</v>
      </c>
      <c r="M12494">
        <v>46556</v>
      </c>
      <c r="N12494" t="s">
        <v>458</v>
      </c>
      <c r="O12494">
        <v>251003</v>
      </c>
      <c r="P12494">
        <v>621.59</v>
      </c>
    </row>
    <row r="12495" spans="1:16" x14ac:dyDescent="0.25">
      <c r="A12495" t="s">
        <v>3296</v>
      </c>
      <c r="B12495" t="s">
        <v>2931</v>
      </c>
      <c r="C12495">
        <v>12963</v>
      </c>
      <c r="D12495" t="str">
        <f>"5239986441  "</f>
        <v xml:space="preserve">5239986441  </v>
      </c>
      <c r="E12495" t="s">
        <v>872</v>
      </c>
      <c r="F12495" t="s">
        <v>873</v>
      </c>
      <c r="G12495">
        <v>127.53</v>
      </c>
      <c r="H12495">
        <v>250930</v>
      </c>
      <c r="I12495">
        <v>4590</v>
      </c>
      <c r="J12495" t="s">
        <v>388</v>
      </c>
      <c r="K12495">
        <v>2725.33</v>
      </c>
      <c r="L12495">
        <v>25.91</v>
      </c>
      <c r="M12495">
        <v>49501</v>
      </c>
      <c r="N12495" t="s">
        <v>110</v>
      </c>
      <c r="O12495">
        <v>251003</v>
      </c>
      <c r="P12495">
        <v>101.62</v>
      </c>
    </row>
    <row r="12496" spans="1:16" x14ac:dyDescent="0.25">
      <c r="A12496" t="s">
        <v>3296</v>
      </c>
      <c r="B12496" t="s">
        <v>2931</v>
      </c>
      <c r="C12496">
        <v>12963</v>
      </c>
      <c r="D12496" t="str">
        <f>"5239986441  "</f>
        <v xml:space="preserve">5239986441  </v>
      </c>
      <c r="E12496" t="s">
        <v>872</v>
      </c>
      <c r="F12496" t="s">
        <v>873</v>
      </c>
      <c r="G12496">
        <v>773.43</v>
      </c>
      <c r="H12496">
        <v>250930</v>
      </c>
      <c r="I12496">
        <v>4590</v>
      </c>
      <c r="J12496" t="s">
        <v>388</v>
      </c>
      <c r="K12496">
        <v>2725.33</v>
      </c>
      <c r="L12496">
        <v>157.15</v>
      </c>
      <c r="M12496">
        <v>49501</v>
      </c>
      <c r="N12496" t="s">
        <v>110</v>
      </c>
      <c r="O12496">
        <v>251003</v>
      </c>
      <c r="P12496">
        <v>616.28</v>
      </c>
    </row>
    <row r="12497" spans="1:16" x14ac:dyDescent="0.25">
      <c r="A12497" t="s">
        <v>3296</v>
      </c>
      <c r="B12497" t="s">
        <v>2931</v>
      </c>
      <c r="C12497">
        <v>12963</v>
      </c>
      <c r="D12497" t="str">
        <f>"5239986441  "</f>
        <v xml:space="preserve">5239986441  </v>
      </c>
      <c r="E12497" t="s">
        <v>872</v>
      </c>
      <c r="F12497" t="s">
        <v>873</v>
      </c>
      <c r="G12497">
        <v>1044.28</v>
      </c>
      <c r="H12497">
        <v>250930</v>
      </c>
      <c r="I12497">
        <v>4590</v>
      </c>
      <c r="J12497" t="s">
        <v>388</v>
      </c>
      <c r="K12497">
        <v>2725.33</v>
      </c>
      <c r="L12497">
        <v>212.18</v>
      </c>
      <c r="M12497">
        <v>49501</v>
      </c>
      <c r="N12497" t="s">
        <v>110</v>
      </c>
      <c r="O12497">
        <v>251003</v>
      </c>
      <c r="P12497">
        <v>832.1</v>
      </c>
    </row>
    <row r="12498" spans="1:16" x14ac:dyDescent="0.25">
      <c r="A12498" t="s">
        <v>3296</v>
      </c>
      <c r="B12498" t="s">
        <v>2931</v>
      </c>
      <c r="C12498">
        <v>13095</v>
      </c>
      <c r="D12498" t="str">
        <f>"5239986437  "</f>
        <v xml:space="preserve">5239986437  </v>
      </c>
      <c r="E12498" t="s">
        <v>872</v>
      </c>
      <c r="F12498" t="s">
        <v>873</v>
      </c>
      <c r="G12498">
        <v>662.02</v>
      </c>
      <c r="H12498">
        <v>250930</v>
      </c>
      <c r="I12498">
        <v>4590</v>
      </c>
      <c r="J12498" t="s">
        <v>388</v>
      </c>
      <c r="K12498">
        <v>662.02</v>
      </c>
      <c r="L12498">
        <v>134.51</v>
      </c>
      <c r="M12498">
        <v>49501</v>
      </c>
      <c r="N12498" t="s">
        <v>110</v>
      </c>
      <c r="O12498">
        <v>251006</v>
      </c>
      <c r="P12498">
        <v>527.51</v>
      </c>
    </row>
    <row r="12499" spans="1:16" x14ac:dyDescent="0.25">
      <c r="A12499" t="s">
        <v>3296</v>
      </c>
      <c r="B12499" t="s">
        <v>2931</v>
      </c>
      <c r="C12499">
        <v>13574</v>
      </c>
      <c r="D12499" t="str">
        <f>"5239986463  "</f>
        <v xml:space="preserve">5239986463  </v>
      </c>
      <c r="E12499" t="s">
        <v>872</v>
      </c>
      <c r="F12499" t="s">
        <v>873</v>
      </c>
      <c r="G12499">
        <v>71.13</v>
      </c>
      <c r="H12499">
        <v>250930</v>
      </c>
      <c r="I12499">
        <v>4590</v>
      </c>
      <c r="J12499" t="s">
        <v>388</v>
      </c>
      <c r="K12499">
        <v>653.55999999999995</v>
      </c>
      <c r="L12499">
        <v>14.45</v>
      </c>
      <c r="M12499">
        <v>46556</v>
      </c>
      <c r="N12499" t="s">
        <v>458</v>
      </c>
      <c r="O12499">
        <v>251013</v>
      </c>
      <c r="P12499">
        <v>56.68</v>
      </c>
    </row>
    <row r="12500" spans="1:16" x14ac:dyDescent="0.25">
      <c r="A12500" t="s">
        <v>3296</v>
      </c>
      <c r="B12500" t="s">
        <v>2931</v>
      </c>
      <c r="C12500">
        <v>13574</v>
      </c>
      <c r="D12500" t="str">
        <f>"5239986463  "</f>
        <v xml:space="preserve">5239986463  </v>
      </c>
      <c r="E12500" t="s">
        <v>872</v>
      </c>
      <c r="F12500" t="s">
        <v>873</v>
      </c>
      <c r="G12500">
        <v>582.42999999999995</v>
      </c>
      <c r="H12500">
        <v>250930</v>
      </c>
      <c r="I12500">
        <v>4590</v>
      </c>
      <c r="J12500" t="s">
        <v>388</v>
      </c>
      <c r="K12500">
        <v>653.55999999999995</v>
      </c>
      <c r="L12500">
        <v>118.34</v>
      </c>
      <c r="M12500">
        <v>46563</v>
      </c>
      <c r="N12500" t="s">
        <v>932</v>
      </c>
      <c r="O12500">
        <v>251013</v>
      </c>
      <c r="P12500">
        <v>464.09</v>
      </c>
    </row>
    <row r="12501" spans="1:16" x14ac:dyDescent="0.25">
      <c r="A12501" t="s">
        <v>3296</v>
      </c>
      <c r="B12501" t="s">
        <v>2931</v>
      </c>
      <c r="C12501">
        <v>14677</v>
      </c>
      <c r="D12501" t="str">
        <f>"5240086031  "</f>
        <v xml:space="preserve">5240086031  </v>
      </c>
      <c r="E12501" t="s">
        <v>872</v>
      </c>
      <c r="F12501" t="s">
        <v>873</v>
      </c>
      <c r="G12501">
        <v>197.35</v>
      </c>
      <c r="H12501">
        <v>251031</v>
      </c>
      <c r="I12501">
        <v>4590</v>
      </c>
      <c r="J12501" t="s">
        <v>388</v>
      </c>
      <c r="K12501">
        <v>197.35</v>
      </c>
      <c r="L12501">
        <v>40.1</v>
      </c>
      <c r="M12501">
        <v>49501</v>
      </c>
      <c r="N12501" t="s">
        <v>110</v>
      </c>
      <c r="O12501">
        <v>251106</v>
      </c>
      <c r="P12501">
        <v>157.25</v>
      </c>
    </row>
    <row r="12502" spans="1:16" x14ac:dyDescent="0.25">
      <c r="A12502" t="s">
        <v>3296</v>
      </c>
      <c r="B12502" t="s">
        <v>2931</v>
      </c>
      <c r="C12502">
        <v>14758</v>
      </c>
      <c r="D12502" t="str">
        <f>"5240086036  "</f>
        <v xml:space="preserve">5240086036  </v>
      </c>
      <c r="E12502" t="s">
        <v>872</v>
      </c>
      <c r="F12502" t="s">
        <v>873</v>
      </c>
      <c r="G12502">
        <v>-228.86</v>
      </c>
      <c r="H12502">
        <v>251031</v>
      </c>
      <c r="I12502">
        <v>4590</v>
      </c>
      <c r="J12502" t="s">
        <v>388</v>
      </c>
      <c r="K12502">
        <v>-228.86</v>
      </c>
      <c r="L12502">
        <v>-46.5</v>
      </c>
      <c r="M12502">
        <v>46556</v>
      </c>
      <c r="N12502" t="s">
        <v>458</v>
      </c>
      <c r="O12502">
        <v>251106</v>
      </c>
      <c r="P12502">
        <v>-182.36</v>
      </c>
    </row>
    <row r="12503" spans="1:16" x14ac:dyDescent="0.25">
      <c r="A12503" t="s">
        <v>3296</v>
      </c>
      <c r="B12503" t="s">
        <v>2931</v>
      </c>
      <c r="C12503">
        <v>14759</v>
      </c>
      <c r="D12503" t="str">
        <f>"5240086037  "</f>
        <v xml:space="preserve">5240086037  </v>
      </c>
      <c r="E12503" t="s">
        <v>872</v>
      </c>
      <c r="F12503" t="s">
        <v>873</v>
      </c>
      <c r="G12503">
        <v>898.61</v>
      </c>
      <c r="H12503">
        <v>251031</v>
      </c>
      <c r="I12503">
        <v>4590</v>
      </c>
      <c r="J12503" t="s">
        <v>388</v>
      </c>
      <c r="K12503">
        <v>898.61</v>
      </c>
      <c r="L12503">
        <v>182.59</v>
      </c>
      <c r="M12503">
        <v>46556</v>
      </c>
      <c r="N12503" t="s">
        <v>458</v>
      </c>
      <c r="O12503">
        <v>251106</v>
      </c>
      <c r="P12503">
        <v>716.02</v>
      </c>
    </row>
    <row r="12504" spans="1:16" x14ac:dyDescent="0.25">
      <c r="A12504" t="s">
        <v>3296</v>
      </c>
      <c r="B12504" t="s">
        <v>2931</v>
      </c>
      <c r="C12504">
        <v>15413</v>
      </c>
      <c r="D12504" t="str">
        <f>"458158299   "</f>
        <v xml:space="preserve">458158299   </v>
      </c>
      <c r="E12504" t="s">
        <v>872</v>
      </c>
      <c r="F12504" t="s">
        <v>873</v>
      </c>
      <c r="G12504">
        <v>2873.95</v>
      </c>
      <c r="H12504">
        <v>251117</v>
      </c>
      <c r="I12504">
        <v>4590</v>
      </c>
      <c r="J12504" t="s">
        <v>388</v>
      </c>
      <c r="K12504">
        <v>2873.95</v>
      </c>
      <c r="L12504">
        <v>583.95000000000005</v>
      </c>
      <c r="M12504">
        <v>49501</v>
      </c>
      <c r="N12504" t="s">
        <v>110</v>
      </c>
      <c r="O12504">
        <v>251120</v>
      </c>
      <c r="P12504">
        <v>2290</v>
      </c>
    </row>
    <row r="12505" spans="1:16" x14ac:dyDescent="0.25">
      <c r="A12505" t="s">
        <v>3296</v>
      </c>
      <c r="B12505" t="s">
        <v>2931</v>
      </c>
      <c r="C12505">
        <v>16401</v>
      </c>
      <c r="D12505" t="str">
        <f>"5240170895  "</f>
        <v xml:space="preserve">5240170895  </v>
      </c>
      <c r="E12505" t="s">
        <v>872</v>
      </c>
      <c r="F12505" t="s">
        <v>873</v>
      </c>
      <c r="G12505">
        <v>113.87</v>
      </c>
      <c r="H12505">
        <v>251130</v>
      </c>
      <c r="I12505">
        <v>4590</v>
      </c>
      <c r="J12505" t="s">
        <v>388</v>
      </c>
      <c r="K12505">
        <v>113.87</v>
      </c>
      <c r="L12505">
        <v>23.14</v>
      </c>
      <c r="M12505">
        <v>46556</v>
      </c>
      <c r="N12505" t="s">
        <v>458</v>
      </c>
      <c r="O12505">
        <v>251208</v>
      </c>
      <c r="P12505">
        <v>90.73</v>
      </c>
    </row>
    <row r="12506" spans="1:16" x14ac:dyDescent="0.25">
      <c r="A12506" t="s">
        <v>3296</v>
      </c>
      <c r="B12506" t="s">
        <v>2931</v>
      </c>
      <c r="C12506">
        <v>16402</v>
      </c>
      <c r="D12506" t="str">
        <f>"5240170943  "</f>
        <v xml:space="preserve">5240170943  </v>
      </c>
      <c r="E12506" t="s">
        <v>872</v>
      </c>
      <c r="F12506" t="s">
        <v>873</v>
      </c>
      <c r="G12506">
        <v>525.65</v>
      </c>
      <c r="H12506">
        <v>251130</v>
      </c>
      <c r="I12506">
        <v>4590</v>
      </c>
      <c r="J12506" t="s">
        <v>388</v>
      </c>
      <c r="K12506">
        <v>525.65</v>
      </c>
      <c r="L12506">
        <v>106.81</v>
      </c>
      <c r="M12506">
        <v>46556</v>
      </c>
      <c r="N12506" t="s">
        <v>458</v>
      </c>
      <c r="O12506">
        <v>251208</v>
      </c>
      <c r="P12506">
        <v>418.84</v>
      </c>
    </row>
    <row r="12507" spans="1:16" x14ac:dyDescent="0.25">
      <c r="A12507" t="s">
        <v>3296</v>
      </c>
      <c r="B12507" t="s">
        <v>2931</v>
      </c>
      <c r="C12507">
        <v>16404</v>
      </c>
      <c r="D12507" t="str">
        <f>"5240170894  "</f>
        <v xml:space="preserve">5240170894  </v>
      </c>
      <c r="E12507" t="s">
        <v>872</v>
      </c>
      <c r="F12507" t="s">
        <v>873</v>
      </c>
      <c r="G12507">
        <v>-57.55</v>
      </c>
      <c r="H12507">
        <v>251130</v>
      </c>
      <c r="I12507">
        <v>4590</v>
      </c>
      <c r="J12507" t="s">
        <v>388</v>
      </c>
      <c r="K12507">
        <v>-57.55</v>
      </c>
      <c r="L12507">
        <v>-11.69</v>
      </c>
      <c r="M12507">
        <v>46556</v>
      </c>
      <c r="N12507" t="s">
        <v>458</v>
      </c>
      <c r="O12507">
        <v>251208</v>
      </c>
      <c r="P12507">
        <v>-45.86</v>
      </c>
    </row>
    <row r="12508" spans="1:16" x14ac:dyDescent="0.25">
      <c r="A12508" t="s">
        <v>3296</v>
      </c>
      <c r="B12508" t="s">
        <v>2931</v>
      </c>
      <c r="C12508">
        <v>16467</v>
      </c>
      <c r="D12508" t="str">
        <f>"5240170938  "</f>
        <v xml:space="preserve">5240170938  </v>
      </c>
      <c r="E12508" t="s">
        <v>872</v>
      </c>
      <c r="F12508" t="s">
        <v>873</v>
      </c>
      <c r="G12508">
        <v>267.45</v>
      </c>
      <c r="H12508">
        <v>251130</v>
      </c>
      <c r="I12508">
        <v>4590</v>
      </c>
      <c r="J12508" t="s">
        <v>388</v>
      </c>
      <c r="K12508">
        <v>479.43</v>
      </c>
      <c r="L12508">
        <v>54.34</v>
      </c>
      <c r="M12508">
        <v>49501</v>
      </c>
      <c r="N12508" t="s">
        <v>110</v>
      </c>
      <c r="O12508">
        <v>251209</v>
      </c>
      <c r="P12508">
        <v>213.11</v>
      </c>
    </row>
    <row r="12509" spans="1:16" x14ac:dyDescent="0.25">
      <c r="A12509" t="s">
        <v>3296</v>
      </c>
      <c r="B12509" t="s">
        <v>2931</v>
      </c>
      <c r="C12509">
        <v>16974</v>
      </c>
      <c r="D12509" t="str">
        <f>"5240171006  "</f>
        <v xml:space="preserve">5240171006  </v>
      </c>
      <c r="E12509" t="s">
        <v>872</v>
      </c>
      <c r="F12509" t="s">
        <v>873</v>
      </c>
      <c r="G12509">
        <v>10.39</v>
      </c>
      <c r="H12509">
        <v>251130</v>
      </c>
      <c r="I12509">
        <v>4590</v>
      </c>
      <c r="J12509" t="s">
        <v>388</v>
      </c>
      <c r="K12509">
        <v>10.39</v>
      </c>
      <c r="L12509">
        <v>2.11</v>
      </c>
      <c r="M12509">
        <v>46556</v>
      </c>
      <c r="N12509" t="s">
        <v>458</v>
      </c>
      <c r="O12509">
        <v>251216</v>
      </c>
      <c r="P12509">
        <v>8.2799999999999994</v>
      </c>
    </row>
    <row r="12510" spans="1:16" x14ac:dyDescent="0.25">
      <c r="A12510" t="s">
        <v>3296</v>
      </c>
      <c r="B12510" t="s">
        <v>2931</v>
      </c>
      <c r="C12510">
        <v>18001</v>
      </c>
      <c r="D12510" t="str">
        <f>"5240243535  "</f>
        <v xml:space="preserve">5240243535  </v>
      </c>
      <c r="E12510" t="s">
        <v>872</v>
      </c>
      <c r="F12510" t="s">
        <v>873</v>
      </c>
      <c r="G12510">
        <v>802.26</v>
      </c>
      <c r="H12510">
        <v>251231</v>
      </c>
      <c r="I12510">
        <v>4590</v>
      </c>
      <c r="J12510" t="s">
        <v>388</v>
      </c>
      <c r="K12510">
        <v>852.05</v>
      </c>
      <c r="L12510">
        <v>163.01</v>
      </c>
      <c r="M12510">
        <v>46556</v>
      </c>
      <c r="N12510" t="s">
        <v>458</v>
      </c>
      <c r="O12510">
        <v>260108</v>
      </c>
      <c r="P12510">
        <v>639.25</v>
      </c>
    </row>
    <row r="12511" spans="1:16" x14ac:dyDescent="0.25">
      <c r="A12511" t="s">
        <v>3296</v>
      </c>
      <c r="B12511" t="s">
        <v>2931</v>
      </c>
      <c r="C12511">
        <v>18001</v>
      </c>
      <c r="D12511" t="str">
        <f>"5240243535  "</f>
        <v xml:space="preserve">5240243535  </v>
      </c>
      <c r="E12511" t="s">
        <v>872</v>
      </c>
      <c r="F12511" t="s">
        <v>873</v>
      </c>
      <c r="G12511">
        <v>49.79</v>
      </c>
      <c r="H12511">
        <v>251231</v>
      </c>
      <c r="I12511">
        <v>4590</v>
      </c>
      <c r="J12511" t="s">
        <v>388</v>
      </c>
      <c r="K12511">
        <v>852.05</v>
      </c>
      <c r="L12511">
        <v>10.119999999999999</v>
      </c>
      <c r="M12511">
        <v>49501</v>
      </c>
      <c r="N12511" t="s">
        <v>110</v>
      </c>
      <c r="O12511">
        <v>260108</v>
      </c>
      <c r="P12511">
        <v>39.67</v>
      </c>
    </row>
    <row r="12512" spans="1:16" x14ac:dyDescent="0.25">
      <c r="A12512" t="s">
        <v>3296</v>
      </c>
      <c r="B12512" t="s">
        <v>2931</v>
      </c>
      <c r="C12512">
        <v>1173</v>
      </c>
      <c r="D12512" t="str">
        <f>"5239231117  "</f>
        <v xml:space="preserve">5239231117  </v>
      </c>
      <c r="E12512" t="s">
        <v>872</v>
      </c>
      <c r="F12512" t="s">
        <v>873</v>
      </c>
      <c r="G12512">
        <v>19.68</v>
      </c>
      <c r="H12512">
        <v>250131</v>
      </c>
      <c r="I12512">
        <v>4600</v>
      </c>
      <c r="J12512" t="s">
        <v>278</v>
      </c>
      <c r="K12512">
        <v>19.68</v>
      </c>
      <c r="L12512">
        <v>4</v>
      </c>
      <c r="M12512">
        <v>47522</v>
      </c>
      <c r="N12512" t="s">
        <v>106</v>
      </c>
      <c r="O12512">
        <v>250205</v>
      </c>
      <c r="P12512">
        <v>15.68</v>
      </c>
    </row>
    <row r="12513" spans="1:16" x14ac:dyDescent="0.25">
      <c r="A12513" t="s">
        <v>3296</v>
      </c>
      <c r="B12513" t="s">
        <v>2931</v>
      </c>
      <c r="C12513">
        <v>1340</v>
      </c>
      <c r="D12513" t="str">
        <f>"5239231113  "</f>
        <v xml:space="preserve">5239231113  </v>
      </c>
      <c r="E12513" t="s">
        <v>872</v>
      </c>
      <c r="F12513" t="s">
        <v>873</v>
      </c>
      <c r="G12513">
        <v>118.36</v>
      </c>
      <c r="H12513">
        <v>250131</v>
      </c>
      <c r="I12513">
        <v>4600</v>
      </c>
      <c r="J12513" t="s">
        <v>278</v>
      </c>
      <c r="K12513">
        <v>118.36</v>
      </c>
      <c r="L12513">
        <v>24.05</v>
      </c>
      <c r="M12513">
        <v>49501</v>
      </c>
      <c r="N12513" t="s">
        <v>110</v>
      </c>
      <c r="O12513">
        <v>250207</v>
      </c>
      <c r="P12513">
        <v>94.31</v>
      </c>
    </row>
    <row r="12514" spans="1:16" x14ac:dyDescent="0.25">
      <c r="A12514" t="s">
        <v>3296</v>
      </c>
      <c r="B12514" t="s">
        <v>2931</v>
      </c>
      <c r="C12514">
        <v>2618</v>
      </c>
      <c r="D12514" t="str">
        <f>"5239298930  "</f>
        <v xml:space="preserve">5239298930  </v>
      </c>
      <c r="E12514" t="s">
        <v>872</v>
      </c>
      <c r="F12514" t="s">
        <v>873</v>
      </c>
      <c r="G12514">
        <v>56.74</v>
      </c>
      <c r="H12514">
        <v>250228</v>
      </c>
      <c r="I12514">
        <v>4600</v>
      </c>
      <c r="J12514" t="s">
        <v>278</v>
      </c>
      <c r="K12514">
        <v>56.74</v>
      </c>
      <c r="L12514">
        <v>11.53</v>
      </c>
      <c r="M12514">
        <v>46555</v>
      </c>
      <c r="N12514" t="s">
        <v>103</v>
      </c>
      <c r="O12514">
        <v>250307</v>
      </c>
      <c r="P12514">
        <v>45.21</v>
      </c>
    </row>
    <row r="12515" spans="1:16" x14ac:dyDescent="0.25">
      <c r="A12515" t="s">
        <v>3296</v>
      </c>
      <c r="B12515" t="s">
        <v>2931</v>
      </c>
      <c r="C12515">
        <v>4239</v>
      </c>
      <c r="D12515" t="str">
        <f>"5239374772  "</f>
        <v xml:space="preserve">5239374772  </v>
      </c>
      <c r="E12515" t="s">
        <v>872</v>
      </c>
      <c r="F12515" t="s">
        <v>873</v>
      </c>
      <c r="G12515">
        <v>18.32</v>
      </c>
      <c r="H12515">
        <v>250331</v>
      </c>
      <c r="I12515">
        <v>4600</v>
      </c>
      <c r="J12515" t="s">
        <v>278</v>
      </c>
      <c r="K12515">
        <v>18.32</v>
      </c>
      <c r="L12515">
        <v>3.72</v>
      </c>
      <c r="M12515">
        <v>46554</v>
      </c>
      <c r="N12515" t="s">
        <v>102</v>
      </c>
      <c r="O12515">
        <v>250409</v>
      </c>
      <c r="P12515">
        <v>14.6</v>
      </c>
    </row>
    <row r="12516" spans="1:16" x14ac:dyDescent="0.25">
      <c r="A12516" t="s">
        <v>3296</v>
      </c>
      <c r="B12516" t="s">
        <v>2931</v>
      </c>
      <c r="C12516">
        <v>5872</v>
      </c>
      <c r="D12516" t="str">
        <f>"5239464914  "</f>
        <v xml:space="preserve">5239464914  </v>
      </c>
      <c r="E12516" t="s">
        <v>872</v>
      </c>
      <c r="F12516" t="s">
        <v>873</v>
      </c>
      <c r="G12516">
        <v>89.68</v>
      </c>
      <c r="H12516">
        <v>250430</v>
      </c>
      <c r="I12516">
        <v>4600</v>
      </c>
      <c r="J12516" t="s">
        <v>278</v>
      </c>
      <c r="K12516">
        <v>89.68</v>
      </c>
      <c r="L12516">
        <v>18.22</v>
      </c>
      <c r="M12516">
        <v>47522</v>
      </c>
      <c r="N12516" t="s">
        <v>106</v>
      </c>
      <c r="O12516">
        <v>250506</v>
      </c>
      <c r="P12516">
        <v>71.459999999999994</v>
      </c>
    </row>
    <row r="12517" spans="1:16" x14ac:dyDescent="0.25">
      <c r="A12517" t="s">
        <v>3296</v>
      </c>
      <c r="B12517" t="s">
        <v>2931</v>
      </c>
      <c r="C12517">
        <v>5905</v>
      </c>
      <c r="D12517" t="str">
        <f>"5239464869  "</f>
        <v xml:space="preserve">5239464869  </v>
      </c>
      <c r="E12517" t="s">
        <v>872</v>
      </c>
      <c r="F12517" t="s">
        <v>873</v>
      </c>
      <c r="G12517">
        <v>21.09</v>
      </c>
      <c r="H12517">
        <v>250430</v>
      </c>
      <c r="I12517">
        <v>4600</v>
      </c>
      <c r="J12517" t="s">
        <v>278</v>
      </c>
      <c r="K12517">
        <v>21.09</v>
      </c>
      <c r="L12517">
        <v>4.29</v>
      </c>
      <c r="M12517">
        <v>44423</v>
      </c>
      <c r="N12517" t="s">
        <v>98</v>
      </c>
      <c r="O12517">
        <v>250507</v>
      </c>
      <c r="P12517">
        <v>16.8</v>
      </c>
    </row>
    <row r="12518" spans="1:16" x14ac:dyDescent="0.25">
      <c r="A12518" t="s">
        <v>3296</v>
      </c>
      <c r="B12518" t="s">
        <v>2931</v>
      </c>
      <c r="C12518">
        <v>5914</v>
      </c>
      <c r="D12518" t="str">
        <f>"5239464910  "</f>
        <v xml:space="preserve">5239464910  </v>
      </c>
      <c r="E12518" t="s">
        <v>872</v>
      </c>
      <c r="F12518" t="s">
        <v>873</v>
      </c>
      <c r="G12518">
        <v>167.64</v>
      </c>
      <c r="H12518">
        <v>250430</v>
      </c>
      <c r="I12518">
        <v>4600</v>
      </c>
      <c r="J12518" t="s">
        <v>278</v>
      </c>
      <c r="K12518">
        <v>167.64</v>
      </c>
      <c r="L12518">
        <v>34.06</v>
      </c>
      <c r="M12518">
        <v>49501</v>
      </c>
      <c r="N12518" t="s">
        <v>110</v>
      </c>
      <c r="O12518">
        <v>250507</v>
      </c>
      <c r="P12518">
        <v>133.58000000000001</v>
      </c>
    </row>
    <row r="12519" spans="1:16" x14ac:dyDescent="0.25">
      <c r="A12519" t="s">
        <v>3296</v>
      </c>
      <c r="B12519" t="s">
        <v>2931</v>
      </c>
      <c r="C12519">
        <v>5919</v>
      </c>
      <c r="D12519" t="str">
        <f>"5239464868  "</f>
        <v xml:space="preserve">5239464868  </v>
      </c>
      <c r="E12519" t="s">
        <v>872</v>
      </c>
      <c r="F12519" t="s">
        <v>873</v>
      </c>
      <c r="G12519">
        <v>-21.09</v>
      </c>
      <c r="H12519">
        <v>250430</v>
      </c>
      <c r="I12519">
        <v>4600</v>
      </c>
      <c r="J12519" t="s">
        <v>278</v>
      </c>
      <c r="K12519">
        <v>-21.09</v>
      </c>
      <c r="L12519">
        <v>-4.29</v>
      </c>
      <c r="M12519">
        <v>44423</v>
      </c>
      <c r="N12519" t="s">
        <v>98</v>
      </c>
      <c r="O12519">
        <v>250507</v>
      </c>
      <c r="P12519">
        <v>-16.8</v>
      </c>
    </row>
    <row r="12520" spans="1:16" x14ac:dyDescent="0.25">
      <c r="A12520" t="s">
        <v>3296</v>
      </c>
      <c r="B12520" t="s">
        <v>2931</v>
      </c>
      <c r="C12520">
        <v>7822</v>
      </c>
      <c r="D12520" t="str">
        <f>"5239575070  "</f>
        <v xml:space="preserve">5239575070  </v>
      </c>
      <c r="E12520" t="s">
        <v>872</v>
      </c>
      <c r="F12520" t="s">
        <v>873</v>
      </c>
      <c r="G12520">
        <v>167.09</v>
      </c>
      <c r="H12520">
        <v>250531</v>
      </c>
      <c r="I12520">
        <v>4600</v>
      </c>
      <c r="J12520" t="s">
        <v>278</v>
      </c>
      <c r="K12520">
        <v>167.09</v>
      </c>
      <c r="L12520">
        <v>33.950000000000003</v>
      </c>
      <c r="M12520">
        <v>46555</v>
      </c>
      <c r="N12520" t="s">
        <v>103</v>
      </c>
      <c r="O12520">
        <v>250609</v>
      </c>
      <c r="P12520">
        <v>133.13999999999999</v>
      </c>
    </row>
    <row r="12521" spans="1:16" x14ac:dyDescent="0.25">
      <c r="A12521" t="s">
        <v>3296</v>
      </c>
      <c r="B12521" t="s">
        <v>2931</v>
      </c>
      <c r="C12521">
        <v>9482</v>
      </c>
      <c r="D12521" t="str">
        <f>"5239682208  "</f>
        <v xml:space="preserve">5239682208  </v>
      </c>
      <c r="E12521" t="s">
        <v>872</v>
      </c>
      <c r="F12521" t="s">
        <v>873</v>
      </c>
      <c r="G12521">
        <v>20.85</v>
      </c>
      <c r="H12521">
        <v>250630</v>
      </c>
      <c r="I12521">
        <v>4600</v>
      </c>
      <c r="J12521" t="s">
        <v>278</v>
      </c>
      <c r="K12521">
        <v>24.11</v>
      </c>
      <c r="L12521">
        <v>4.24</v>
      </c>
      <c r="M12521">
        <v>49501</v>
      </c>
      <c r="N12521" t="s">
        <v>110</v>
      </c>
      <c r="O12521">
        <v>250709</v>
      </c>
      <c r="P12521">
        <v>16.61</v>
      </c>
    </row>
    <row r="12522" spans="1:16" x14ac:dyDescent="0.25">
      <c r="A12522" t="s">
        <v>3296</v>
      </c>
      <c r="B12522" t="s">
        <v>2931</v>
      </c>
      <c r="C12522">
        <v>9483</v>
      </c>
      <c r="D12522" t="str">
        <f>"5239682211  "</f>
        <v xml:space="preserve">5239682211  </v>
      </c>
      <c r="E12522" t="s">
        <v>872</v>
      </c>
      <c r="F12522" t="s">
        <v>873</v>
      </c>
      <c r="G12522">
        <v>11.26</v>
      </c>
      <c r="H12522">
        <v>250630</v>
      </c>
      <c r="I12522">
        <v>4600</v>
      </c>
      <c r="J12522" t="s">
        <v>278</v>
      </c>
      <c r="K12522">
        <v>17.690000000000001</v>
      </c>
      <c r="L12522">
        <v>2.29</v>
      </c>
      <c r="M12522">
        <v>47522</v>
      </c>
      <c r="N12522" t="s">
        <v>106</v>
      </c>
      <c r="O12522">
        <v>250709</v>
      </c>
      <c r="P12522">
        <v>8.9700000000000006</v>
      </c>
    </row>
    <row r="12523" spans="1:16" x14ac:dyDescent="0.25">
      <c r="A12523" t="s">
        <v>3296</v>
      </c>
      <c r="B12523" t="s">
        <v>2931</v>
      </c>
      <c r="C12523">
        <v>9973</v>
      </c>
      <c r="D12523" t="str">
        <f>"5239785467  "</f>
        <v xml:space="preserve">5239785467  </v>
      </c>
      <c r="E12523" t="s">
        <v>872</v>
      </c>
      <c r="F12523" t="s">
        <v>873</v>
      </c>
      <c r="G12523">
        <v>93.66</v>
      </c>
      <c r="H12523">
        <v>250731</v>
      </c>
      <c r="I12523">
        <v>4600</v>
      </c>
      <c r="J12523" t="s">
        <v>278</v>
      </c>
      <c r="K12523">
        <v>93.66</v>
      </c>
      <c r="L12523">
        <v>19.03</v>
      </c>
      <c r="M12523">
        <v>49501</v>
      </c>
      <c r="N12523" t="s">
        <v>110</v>
      </c>
      <c r="O12523">
        <v>250806</v>
      </c>
      <c r="P12523">
        <v>74.63</v>
      </c>
    </row>
    <row r="12524" spans="1:16" x14ac:dyDescent="0.25">
      <c r="A12524" t="s">
        <v>3296</v>
      </c>
      <c r="B12524" t="s">
        <v>2931</v>
      </c>
      <c r="C12524">
        <v>11360</v>
      </c>
      <c r="D12524" t="str">
        <f>"5239885777  "</f>
        <v xml:space="preserve">5239885777  </v>
      </c>
      <c r="E12524" t="s">
        <v>872</v>
      </c>
      <c r="F12524" t="s">
        <v>873</v>
      </c>
      <c r="G12524">
        <v>119.9</v>
      </c>
      <c r="H12524">
        <v>250831</v>
      </c>
      <c r="I12524">
        <v>4600</v>
      </c>
      <c r="J12524" t="s">
        <v>278</v>
      </c>
      <c r="K12524">
        <v>287.31</v>
      </c>
      <c r="L12524">
        <v>24.36</v>
      </c>
      <c r="M12524">
        <v>47522</v>
      </c>
      <c r="N12524" t="s">
        <v>106</v>
      </c>
      <c r="O12524">
        <v>250904</v>
      </c>
      <c r="P12524">
        <v>95.54</v>
      </c>
    </row>
    <row r="12525" spans="1:16" x14ac:dyDescent="0.25">
      <c r="A12525" t="s">
        <v>3296</v>
      </c>
      <c r="B12525" t="s">
        <v>2931</v>
      </c>
      <c r="C12525">
        <v>11361</v>
      </c>
      <c r="D12525" t="str">
        <f>"5239885778  "</f>
        <v xml:space="preserve">5239885778  </v>
      </c>
      <c r="E12525" t="s">
        <v>872</v>
      </c>
      <c r="F12525" t="s">
        <v>873</v>
      </c>
      <c r="G12525">
        <v>-6.81</v>
      </c>
      <c r="H12525">
        <v>250831</v>
      </c>
      <c r="I12525">
        <v>4600</v>
      </c>
      <c r="J12525" t="s">
        <v>278</v>
      </c>
      <c r="K12525">
        <v>-6.81</v>
      </c>
      <c r="L12525">
        <v>-1.38</v>
      </c>
      <c r="M12525">
        <v>46554</v>
      </c>
      <c r="N12525" t="s">
        <v>102</v>
      </c>
      <c r="O12525">
        <v>250904</v>
      </c>
      <c r="P12525">
        <v>-5.43</v>
      </c>
    </row>
    <row r="12526" spans="1:16" x14ac:dyDescent="0.25">
      <c r="A12526" t="s">
        <v>3296</v>
      </c>
      <c r="B12526" t="s">
        <v>2931</v>
      </c>
      <c r="C12526">
        <v>11362</v>
      </c>
      <c r="D12526" t="str">
        <f>"5239885779  "</f>
        <v xml:space="preserve">5239885779  </v>
      </c>
      <c r="E12526" t="s">
        <v>872</v>
      </c>
      <c r="F12526" t="s">
        <v>873</v>
      </c>
      <c r="G12526">
        <v>25.69</v>
      </c>
      <c r="H12526">
        <v>250831</v>
      </c>
      <c r="I12526">
        <v>4600</v>
      </c>
      <c r="J12526" t="s">
        <v>278</v>
      </c>
      <c r="K12526">
        <v>25.69</v>
      </c>
      <c r="L12526">
        <v>5.22</v>
      </c>
      <c r="M12526">
        <v>46554</v>
      </c>
      <c r="N12526" t="s">
        <v>102</v>
      </c>
      <c r="O12526">
        <v>250904</v>
      </c>
      <c r="P12526">
        <v>20.47</v>
      </c>
    </row>
    <row r="12527" spans="1:16" x14ac:dyDescent="0.25">
      <c r="A12527" t="s">
        <v>3296</v>
      </c>
      <c r="B12527" t="s">
        <v>2931</v>
      </c>
      <c r="C12527">
        <v>13611</v>
      </c>
      <c r="D12527" t="str">
        <f>"5239986440  "</f>
        <v xml:space="preserve">5239986440  </v>
      </c>
      <c r="E12527" t="s">
        <v>872</v>
      </c>
      <c r="F12527" t="s">
        <v>873</v>
      </c>
      <c r="G12527">
        <v>23.48</v>
      </c>
      <c r="H12527">
        <v>250930</v>
      </c>
      <c r="I12527">
        <v>4600</v>
      </c>
      <c r="J12527" t="s">
        <v>278</v>
      </c>
      <c r="K12527">
        <v>23.48</v>
      </c>
      <c r="L12527">
        <v>4.7699999999999996</v>
      </c>
      <c r="M12527">
        <v>46554</v>
      </c>
      <c r="N12527" t="s">
        <v>102</v>
      </c>
      <c r="O12527">
        <v>251013</v>
      </c>
      <c r="P12527">
        <v>18.71</v>
      </c>
    </row>
    <row r="12528" spans="1:16" x14ac:dyDescent="0.25">
      <c r="A12528" t="s">
        <v>3296</v>
      </c>
      <c r="B12528" t="s">
        <v>2931</v>
      </c>
      <c r="C12528">
        <v>16467</v>
      </c>
      <c r="D12528" t="str">
        <f>"5240170938  "</f>
        <v xml:space="preserve">5240170938  </v>
      </c>
      <c r="E12528" t="s">
        <v>872</v>
      </c>
      <c r="F12528" t="s">
        <v>873</v>
      </c>
      <c r="G12528">
        <v>211.98</v>
      </c>
      <c r="H12528">
        <v>251130</v>
      </c>
      <c r="I12528">
        <v>4600</v>
      </c>
      <c r="J12528" t="s">
        <v>278</v>
      </c>
      <c r="K12528">
        <v>479.43</v>
      </c>
      <c r="L12528">
        <v>43.07</v>
      </c>
      <c r="M12528">
        <v>49501</v>
      </c>
      <c r="N12528" t="s">
        <v>110</v>
      </c>
      <c r="O12528">
        <v>251209</v>
      </c>
      <c r="P12528">
        <v>168.91</v>
      </c>
    </row>
    <row r="12529" spans="1:16" x14ac:dyDescent="0.25">
      <c r="A12529" t="s">
        <v>3296</v>
      </c>
      <c r="B12529" t="s">
        <v>2931</v>
      </c>
      <c r="C12529">
        <v>12245</v>
      </c>
      <c r="D12529" t="str">
        <f>"202590677   "</f>
        <v xml:space="preserve">202590677   </v>
      </c>
      <c r="E12529" t="s">
        <v>2330</v>
      </c>
      <c r="F12529" t="s">
        <v>2331</v>
      </c>
      <c r="G12529">
        <v>86.97</v>
      </c>
      <c r="H12529">
        <v>250912</v>
      </c>
      <c r="I12529">
        <v>4600</v>
      </c>
      <c r="J12529" t="s">
        <v>278</v>
      </c>
      <c r="K12529">
        <v>86.97</v>
      </c>
      <c r="L12529">
        <v>17.670000000000002</v>
      </c>
      <c r="M12529">
        <v>17525</v>
      </c>
      <c r="N12529" t="s">
        <v>140</v>
      </c>
      <c r="O12529">
        <v>250918</v>
      </c>
      <c r="P12529">
        <v>69.3</v>
      </c>
    </row>
    <row r="12530" spans="1:16" x14ac:dyDescent="0.25">
      <c r="A12530" t="s">
        <v>3296</v>
      </c>
      <c r="B12530" t="s">
        <v>2931</v>
      </c>
      <c r="C12530">
        <v>12750</v>
      </c>
      <c r="D12530" t="str">
        <f>"202590720   "</f>
        <v xml:space="preserve">202590720   </v>
      </c>
      <c r="E12530" t="s">
        <v>2330</v>
      </c>
      <c r="F12530" t="s">
        <v>2331</v>
      </c>
      <c r="G12530">
        <v>133.03</v>
      </c>
      <c r="H12530">
        <v>250923</v>
      </c>
      <c r="I12530">
        <v>4600</v>
      </c>
      <c r="J12530" t="s">
        <v>278</v>
      </c>
      <c r="K12530">
        <v>133.03</v>
      </c>
      <c r="L12530">
        <v>27.03</v>
      </c>
      <c r="M12530">
        <v>17521</v>
      </c>
      <c r="N12530" t="s">
        <v>136</v>
      </c>
      <c r="O12530">
        <v>250930</v>
      </c>
      <c r="P12530">
        <v>106</v>
      </c>
    </row>
    <row r="12531" spans="1:16" x14ac:dyDescent="0.25">
      <c r="A12531" t="s">
        <v>3296</v>
      </c>
      <c r="B12531" t="s">
        <v>2931</v>
      </c>
      <c r="C12531">
        <v>5440</v>
      </c>
      <c r="D12531" t="str">
        <f>"1087611     "</f>
        <v xml:space="preserve">1087611     </v>
      </c>
      <c r="E12531" t="s">
        <v>1742</v>
      </c>
      <c r="F12531" t="s">
        <v>1743</v>
      </c>
      <c r="G12531">
        <v>392</v>
      </c>
      <c r="H12531">
        <v>250416</v>
      </c>
      <c r="I12531">
        <v>1198</v>
      </c>
      <c r="J12531" t="s">
        <v>610</v>
      </c>
      <c r="K12531">
        <v>392</v>
      </c>
      <c r="L12531">
        <v>79.650000000000006</v>
      </c>
      <c r="M12531">
        <v>97629</v>
      </c>
      <c r="N12531" t="s">
        <v>1110</v>
      </c>
      <c r="O12531">
        <v>250424</v>
      </c>
      <c r="P12531">
        <v>312.35000000000002</v>
      </c>
    </row>
    <row r="12532" spans="1:16" x14ac:dyDescent="0.25">
      <c r="A12532" t="s">
        <v>3296</v>
      </c>
      <c r="B12532" t="s">
        <v>2931</v>
      </c>
      <c r="C12532">
        <v>8406</v>
      </c>
      <c r="D12532" t="str">
        <f>"3608        "</f>
        <v xml:space="preserve">3608        </v>
      </c>
      <c r="E12532" t="s">
        <v>3108</v>
      </c>
      <c r="F12532" t="s">
        <v>3109</v>
      </c>
      <c r="G12532">
        <v>150</v>
      </c>
      <c r="H12532">
        <v>250531</v>
      </c>
      <c r="I12532">
        <v>4440</v>
      </c>
      <c r="J12532" t="s">
        <v>346</v>
      </c>
      <c r="K12532">
        <v>300</v>
      </c>
      <c r="L12532">
        <v>0</v>
      </c>
      <c r="M12532">
        <v>13501</v>
      </c>
      <c r="N12532" t="s">
        <v>66</v>
      </c>
      <c r="O12532">
        <v>250613</v>
      </c>
      <c r="P12532">
        <v>150</v>
      </c>
    </row>
    <row r="12533" spans="1:16" x14ac:dyDescent="0.25">
      <c r="A12533" t="s">
        <v>3296</v>
      </c>
      <c r="B12533" t="s">
        <v>2931</v>
      </c>
      <c r="C12533">
        <v>8406</v>
      </c>
      <c r="D12533" t="str">
        <f>"3608        "</f>
        <v xml:space="preserve">3608        </v>
      </c>
      <c r="E12533" t="s">
        <v>3108</v>
      </c>
      <c r="F12533" t="s">
        <v>3109</v>
      </c>
      <c r="G12533">
        <v>150</v>
      </c>
      <c r="H12533">
        <v>250531</v>
      </c>
      <c r="I12533">
        <v>4440</v>
      </c>
      <c r="J12533" t="s">
        <v>346</v>
      </c>
      <c r="K12533">
        <v>300</v>
      </c>
      <c r="L12533">
        <v>0</v>
      </c>
      <c r="M12533">
        <v>17974</v>
      </c>
      <c r="N12533" t="s">
        <v>153</v>
      </c>
      <c r="O12533">
        <v>250613</v>
      </c>
      <c r="P12533">
        <v>150</v>
      </c>
    </row>
    <row r="12534" spans="1:16" x14ac:dyDescent="0.25">
      <c r="A12534" t="s">
        <v>3296</v>
      </c>
      <c r="B12534" t="s">
        <v>2931</v>
      </c>
      <c r="C12534">
        <v>1248</v>
      </c>
      <c r="D12534" t="str">
        <f>"4-1-2025    "</f>
        <v xml:space="preserve">4-1-2025    </v>
      </c>
      <c r="E12534" t="s">
        <v>3210</v>
      </c>
      <c r="F12534" t="s">
        <v>3211</v>
      </c>
      <c r="G12534">
        <v>532</v>
      </c>
      <c r="H12534">
        <v>250127</v>
      </c>
      <c r="I12534">
        <v>4410</v>
      </c>
      <c r="J12534" t="s">
        <v>165</v>
      </c>
      <c r="K12534">
        <v>1068</v>
      </c>
      <c r="L12534">
        <v>0</v>
      </c>
      <c r="M12534">
        <v>11902</v>
      </c>
      <c r="N12534" t="s">
        <v>329</v>
      </c>
      <c r="O12534">
        <v>250206</v>
      </c>
      <c r="P12534">
        <v>532</v>
      </c>
    </row>
    <row r="12535" spans="1:16" x14ac:dyDescent="0.25">
      <c r="A12535" t="s">
        <v>3296</v>
      </c>
      <c r="B12535" t="s">
        <v>2931</v>
      </c>
      <c r="C12535">
        <v>4071</v>
      </c>
      <c r="D12535" t="str">
        <f>"4-3-2025    "</f>
        <v xml:space="preserve">4-3-2025    </v>
      </c>
      <c r="E12535" t="s">
        <v>3210</v>
      </c>
      <c r="F12535" t="s">
        <v>3211</v>
      </c>
      <c r="G12535">
        <v>1096</v>
      </c>
      <c r="H12535">
        <v>250324</v>
      </c>
      <c r="I12535">
        <v>4410</v>
      </c>
      <c r="J12535" t="s">
        <v>165</v>
      </c>
      <c r="K12535">
        <v>1396</v>
      </c>
      <c r="L12535">
        <v>0</v>
      </c>
      <c r="M12535">
        <v>11902</v>
      </c>
      <c r="N12535" t="s">
        <v>329</v>
      </c>
      <c r="O12535">
        <v>250407</v>
      </c>
      <c r="P12535">
        <v>1096</v>
      </c>
    </row>
    <row r="12536" spans="1:16" x14ac:dyDescent="0.25">
      <c r="A12536" t="s">
        <v>3296</v>
      </c>
      <c r="B12536" t="s">
        <v>2931</v>
      </c>
      <c r="C12536">
        <v>1248</v>
      </c>
      <c r="D12536" t="str">
        <f>"4-1-2025    "</f>
        <v xml:space="preserve">4-1-2025    </v>
      </c>
      <c r="E12536" t="s">
        <v>3210</v>
      </c>
      <c r="F12536" t="s">
        <v>3211</v>
      </c>
      <c r="G12536">
        <v>136</v>
      </c>
      <c r="H12536">
        <v>250127</v>
      </c>
      <c r="I12536">
        <v>4420</v>
      </c>
      <c r="J12536" t="s">
        <v>330</v>
      </c>
      <c r="K12536">
        <v>1068</v>
      </c>
      <c r="L12536">
        <v>0</v>
      </c>
      <c r="M12536">
        <v>11902</v>
      </c>
      <c r="N12536" t="s">
        <v>329</v>
      </c>
      <c r="O12536">
        <v>250206</v>
      </c>
      <c r="P12536">
        <v>136</v>
      </c>
    </row>
    <row r="12537" spans="1:16" x14ac:dyDescent="0.25">
      <c r="A12537" t="s">
        <v>3296</v>
      </c>
      <c r="B12537" t="s">
        <v>2931</v>
      </c>
      <c r="C12537">
        <v>1248</v>
      </c>
      <c r="D12537" t="str">
        <f>"4-1-2025    "</f>
        <v xml:space="preserve">4-1-2025    </v>
      </c>
      <c r="E12537" t="s">
        <v>3210</v>
      </c>
      <c r="F12537" t="s">
        <v>3211</v>
      </c>
      <c r="G12537">
        <v>200</v>
      </c>
      <c r="H12537">
        <v>250127</v>
      </c>
      <c r="I12537">
        <v>4440</v>
      </c>
      <c r="J12537" t="s">
        <v>346</v>
      </c>
      <c r="K12537">
        <v>1068</v>
      </c>
      <c r="L12537">
        <v>0</v>
      </c>
      <c r="M12537">
        <v>11902</v>
      </c>
      <c r="N12537" t="s">
        <v>329</v>
      </c>
      <c r="O12537">
        <v>250206</v>
      </c>
      <c r="P12537">
        <v>200</v>
      </c>
    </row>
    <row r="12538" spans="1:16" x14ac:dyDescent="0.25">
      <c r="A12538" t="s">
        <v>3296</v>
      </c>
      <c r="B12538" t="s">
        <v>2931</v>
      </c>
      <c r="C12538">
        <v>1248</v>
      </c>
      <c r="D12538" t="str">
        <f>"4-1-2025    "</f>
        <v xml:space="preserve">4-1-2025    </v>
      </c>
      <c r="E12538" t="s">
        <v>3210</v>
      </c>
      <c r="F12538" t="s">
        <v>3211</v>
      </c>
      <c r="G12538">
        <v>200</v>
      </c>
      <c r="H12538">
        <v>250127</v>
      </c>
      <c r="I12538">
        <v>4440</v>
      </c>
      <c r="J12538" t="s">
        <v>346</v>
      </c>
      <c r="K12538">
        <v>1068</v>
      </c>
      <c r="L12538">
        <v>0</v>
      </c>
      <c r="M12538">
        <v>11902</v>
      </c>
      <c r="N12538" t="s">
        <v>329</v>
      </c>
      <c r="O12538">
        <v>250206</v>
      </c>
      <c r="P12538">
        <v>200</v>
      </c>
    </row>
    <row r="12539" spans="1:16" x14ac:dyDescent="0.25">
      <c r="A12539" t="s">
        <v>3296</v>
      </c>
      <c r="B12539" t="s">
        <v>2931</v>
      </c>
      <c r="C12539">
        <v>4071</v>
      </c>
      <c r="D12539" t="str">
        <f>"4-3-2025    "</f>
        <v xml:space="preserve">4-3-2025    </v>
      </c>
      <c r="E12539" t="s">
        <v>3210</v>
      </c>
      <c r="F12539" t="s">
        <v>3211</v>
      </c>
      <c r="G12539">
        <v>200</v>
      </c>
      <c r="H12539">
        <v>250324</v>
      </c>
      <c r="I12539">
        <v>4440</v>
      </c>
      <c r="J12539" t="s">
        <v>346</v>
      </c>
      <c r="K12539">
        <v>1396</v>
      </c>
      <c r="L12539">
        <v>0</v>
      </c>
      <c r="M12539">
        <v>11902</v>
      </c>
      <c r="N12539" t="s">
        <v>329</v>
      </c>
      <c r="O12539">
        <v>250407</v>
      </c>
      <c r="P12539">
        <v>200</v>
      </c>
    </row>
    <row r="12540" spans="1:16" x14ac:dyDescent="0.25">
      <c r="A12540" t="s">
        <v>3296</v>
      </c>
      <c r="B12540" t="s">
        <v>2931</v>
      </c>
      <c r="C12540">
        <v>4071</v>
      </c>
      <c r="D12540" t="str">
        <f>"4-3-2025    "</f>
        <v xml:space="preserve">4-3-2025    </v>
      </c>
      <c r="E12540" t="s">
        <v>3210</v>
      </c>
      <c r="F12540" t="s">
        <v>3211</v>
      </c>
      <c r="G12540">
        <v>100</v>
      </c>
      <c r="H12540">
        <v>250324</v>
      </c>
      <c r="I12540">
        <v>4440</v>
      </c>
      <c r="J12540" t="s">
        <v>346</v>
      </c>
      <c r="K12540">
        <v>1396</v>
      </c>
      <c r="L12540">
        <v>0</v>
      </c>
      <c r="M12540">
        <v>11902</v>
      </c>
      <c r="N12540" t="s">
        <v>329</v>
      </c>
      <c r="O12540">
        <v>250407</v>
      </c>
      <c r="P12540">
        <v>100</v>
      </c>
    </row>
    <row r="12541" spans="1:16" x14ac:dyDescent="0.25">
      <c r="A12541" t="s">
        <v>3296</v>
      </c>
      <c r="B12541" t="s">
        <v>2931</v>
      </c>
      <c r="C12541">
        <v>7034</v>
      </c>
      <c r="D12541" t="str">
        <f>"2-4-2025    "</f>
        <v xml:space="preserve">2-4-2025    </v>
      </c>
      <c r="E12541" t="s">
        <v>3210</v>
      </c>
      <c r="F12541" t="s">
        <v>3211</v>
      </c>
      <c r="G12541">
        <v>300</v>
      </c>
      <c r="H12541">
        <v>250501</v>
      </c>
      <c r="I12541">
        <v>4440</v>
      </c>
      <c r="J12541" t="s">
        <v>346</v>
      </c>
      <c r="K12541">
        <v>300</v>
      </c>
      <c r="L12541">
        <v>0</v>
      </c>
      <c r="M12541">
        <v>11902</v>
      </c>
      <c r="N12541" t="s">
        <v>329</v>
      </c>
      <c r="O12541">
        <v>250522</v>
      </c>
      <c r="P12541">
        <v>300</v>
      </c>
    </row>
    <row r="12542" spans="1:16" x14ac:dyDescent="0.25">
      <c r="A12542" t="s">
        <v>3296</v>
      </c>
      <c r="B12542" t="s">
        <v>2931</v>
      </c>
      <c r="C12542">
        <v>6313</v>
      </c>
      <c r="D12542" t="str">
        <f>"251606      "</f>
        <v xml:space="preserve">251606      </v>
      </c>
      <c r="E12542" t="s">
        <v>1787</v>
      </c>
      <c r="F12542" t="s">
        <v>1788</v>
      </c>
      <c r="G12542">
        <v>21793.53</v>
      </c>
      <c r="H12542">
        <v>250430</v>
      </c>
      <c r="I12542">
        <v>1198</v>
      </c>
      <c r="J12542" t="s">
        <v>610</v>
      </c>
      <c r="K12542">
        <v>21793.53</v>
      </c>
      <c r="L12542">
        <v>4428.17</v>
      </c>
      <c r="M12542">
        <v>97628</v>
      </c>
      <c r="N12542" t="s">
        <v>737</v>
      </c>
      <c r="O12542">
        <v>250512</v>
      </c>
      <c r="P12542">
        <v>17365.36</v>
      </c>
    </row>
    <row r="12543" spans="1:16" x14ac:dyDescent="0.25">
      <c r="A12543" t="s">
        <v>3296</v>
      </c>
      <c r="B12543" t="s">
        <v>2931</v>
      </c>
      <c r="C12543">
        <v>11470</v>
      </c>
      <c r="D12543" t="str">
        <f>"253164      "</f>
        <v xml:space="preserve">253164      </v>
      </c>
      <c r="E12543" t="s">
        <v>1787</v>
      </c>
      <c r="F12543" t="s">
        <v>1788</v>
      </c>
      <c r="G12543">
        <v>11397.26</v>
      </c>
      <c r="H12543">
        <v>250831</v>
      </c>
      <c r="I12543">
        <v>1198</v>
      </c>
      <c r="J12543" t="s">
        <v>610</v>
      </c>
      <c r="K12543">
        <v>11397.26</v>
      </c>
      <c r="L12543">
        <v>2315.7800000000002</v>
      </c>
      <c r="M12543">
        <v>97628</v>
      </c>
      <c r="N12543" t="s">
        <v>737</v>
      </c>
      <c r="O12543">
        <v>250905</v>
      </c>
      <c r="P12543">
        <v>9081.48</v>
      </c>
    </row>
    <row r="12544" spans="1:16" x14ac:dyDescent="0.25">
      <c r="A12544" t="s">
        <v>3296</v>
      </c>
      <c r="B12544" t="s">
        <v>2931</v>
      </c>
      <c r="C12544">
        <v>12779</v>
      </c>
      <c r="D12544" t="str">
        <f>"253477      "</f>
        <v xml:space="preserve">253477      </v>
      </c>
      <c r="E12544" t="s">
        <v>1787</v>
      </c>
      <c r="F12544" t="s">
        <v>1788</v>
      </c>
      <c r="G12544">
        <v>3618.83</v>
      </c>
      <c r="H12544">
        <v>250925</v>
      </c>
      <c r="I12544">
        <v>1198</v>
      </c>
      <c r="J12544" t="s">
        <v>610</v>
      </c>
      <c r="K12544">
        <v>3618.83</v>
      </c>
      <c r="L12544">
        <v>735.3</v>
      </c>
      <c r="M12544">
        <v>97628</v>
      </c>
      <c r="N12544" t="s">
        <v>737</v>
      </c>
      <c r="O12544">
        <v>250930</v>
      </c>
      <c r="P12544">
        <v>2883.53</v>
      </c>
    </row>
    <row r="12545" spans="1:16" x14ac:dyDescent="0.25">
      <c r="A12545" t="s">
        <v>3296</v>
      </c>
      <c r="B12545" t="s">
        <v>2931</v>
      </c>
      <c r="C12545">
        <v>5702</v>
      </c>
      <c r="D12545" t="str">
        <f>"251460      "</f>
        <v xml:space="preserve">251460      </v>
      </c>
      <c r="E12545" t="s">
        <v>1787</v>
      </c>
      <c r="F12545" t="s">
        <v>1788</v>
      </c>
      <c r="G12545">
        <v>768.01</v>
      </c>
      <c r="H12545">
        <v>250422</v>
      </c>
      <c r="I12545">
        <v>4580</v>
      </c>
      <c r="J12545" t="s">
        <v>126</v>
      </c>
      <c r="K12545">
        <v>768.01</v>
      </c>
      <c r="L12545">
        <v>156.05000000000001</v>
      </c>
      <c r="M12545">
        <v>13801</v>
      </c>
      <c r="N12545" t="s">
        <v>33</v>
      </c>
      <c r="O12545">
        <v>250429</v>
      </c>
      <c r="P12545">
        <v>611.96</v>
      </c>
    </row>
    <row r="12546" spans="1:16" x14ac:dyDescent="0.25">
      <c r="A12546" t="s">
        <v>3296</v>
      </c>
      <c r="B12546" t="s">
        <v>2931</v>
      </c>
      <c r="C12546">
        <v>6119</v>
      </c>
      <c r="D12546" t="str">
        <f>"251513      "</f>
        <v xml:space="preserve">251513      </v>
      </c>
      <c r="E12546" t="s">
        <v>1787</v>
      </c>
      <c r="F12546" t="s">
        <v>1788</v>
      </c>
      <c r="G12546">
        <v>393.24</v>
      </c>
      <c r="H12546">
        <v>250425</v>
      </c>
      <c r="I12546">
        <v>4580</v>
      </c>
      <c r="J12546" t="s">
        <v>126</v>
      </c>
      <c r="K12546">
        <v>393.24</v>
      </c>
      <c r="L12546">
        <v>79.900000000000006</v>
      </c>
      <c r="M12546">
        <v>11001</v>
      </c>
      <c r="N12546" t="s">
        <v>93</v>
      </c>
      <c r="O12546">
        <v>250509</v>
      </c>
      <c r="P12546">
        <v>313.33999999999997</v>
      </c>
    </row>
    <row r="12547" spans="1:16" x14ac:dyDescent="0.25">
      <c r="A12547" t="s">
        <v>3296</v>
      </c>
      <c r="B12547" t="s">
        <v>2931</v>
      </c>
      <c r="C12547">
        <v>6267</v>
      </c>
      <c r="D12547" t="str">
        <f>"251598      "</f>
        <v xml:space="preserve">251598      </v>
      </c>
      <c r="E12547" t="s">
        <v>1787</v>
      </c>
      <c r="F12547" t="s">
        <v>1788</v>
      </c>
      <c r="G12547">
        <v>836.24</v>
      </c>
      <c r="H12547">
        <v>250429</v>
      </c>
      <c r="I12547">
        <v>4580</v>
      </c>
      <c r="J12547" t="s">
        <v>126</v>
      </c>
      <c r="K12547">
        <v>836.24</v>
      </c>
      <c r="L12547">
        <v>169.91</v>
      </c>
      <c r="M12547">
        <v>11501</v>
      </c>
      <c r="N12547" t="s">
        <v>13</v>
      </c>
      <c r="O12547">
        <v>250512</v>
      </c>
      <c r="P12547">
        <v>666.33</v>
      </c>
    </row>
    <row r="12548" spans="1:16" x14ac:dyDescent="0.25">
      <c r="A12548" t="s">
        <v>3296</v>
      </c>
      <c r="B12548" t="s">
        <v>2931</v>
      </c>
      <c r="C12548">
        <v>6754</v>
      </c>
      <c r="D12548" t="str">
        <f>"251704      "</f>
        <v xml:space="preserve">251704      </v>
      </c>
      <c r="E12548" t="s">
        <v>1787</v>
      </c>
      <c r="F12548" t="s">
        <v>1788</v>
      </c>
      <c r="G12548">
        <v>1274.97</v>
      </c>
      <c r="H12548">
        <v>250506</v>
      </c>
      <c r="I12548">
        <v>4580</v>
      </c>
      <c r="J12548" t="s">
        <v>126</v>
      </c>
      <c r="K12548">
        <v>1274.97</v>
      </c>
      <c r="L12548">
        <v>259.06</v>
      </c>
      <c r="M12548">
        <v>13940</v>
      </c>
      <c r="N12548" t="s">
        <v>14</v>
      </c>
      <c r="O12548">
        <v>250516</v>
      </c>
      <c r="P12548">
        <v>1015.91</v>
      </c>
    </row>
    <row r="12549" spans="1:16" x14ac:dyDescent="0.25">
      <c r="A12549" t="s">
        <v>3296</v>
      </c>
      <c r="B12549" t="s">
        <v>2931</v>
      </c>
      <c r="C12549">
        <v>7416</v>
      </c>
      <c r="D12549" t="str">
        <f>"251825      "</f>
        <v xml:space="preserve">251825      </v>
      </c>
      <c r="E12549" t="s">
        <v>1787</v>
      </c>
      <c r="F12549" t="s">
        <v>1788</v>
      </c>
      <c r="G12549">
        <v>469.88</v>
      </c>
      <c r="H12549">
        <v>250516</v>
      </c>
      <c r="I12549">
        <v>4580</v>
      </c>
      <c r="J12549" t="s">
        <v>126</v>
      </c>
      <c r="K12549">
        <v>469.88</v>
      </c>
      <c r="L12549">
        <v>95.47</v>
      </c>
      <c r="M12549">
        <v>11801</v>
      </c>
      <c r="N12549" t="s">
        <v>40</v>
      </c>
      <c r="O12549">
        <v>250603</v>
      </c>
      <c r="P12549">
        <v>374.41</v>
      </c>
    </row>
    <row r="12550" spans="1:16" x14ac:dyDescent="0.25">
      <c r="A12550" t="s">
        <v>3296</v>
      </c>
      <c r="B12550" t="s">
        <v>2931</v>
      </c>
      <c r="C12550">
        <v>7831</v>
      </c>
      <c r="D12550" t="str">
        <f>"251918      "</f>
        <v xml:space="preserve">251918      </v>
      </c>
      <c r="E12550" t="s">
        <v>1787</v>
      </c>
      <c r="F12550" t="s">
        <v>1788</v>
      </c>
      <c r="G12550">
        <v>1405.39</v>
      </c>
      <c r="H12550">
        <v>250523</v>
      </c>
      <c r="I12550">
        <v>4580</v>
      </c>
      <c r="J12550" t="s">
        <v>126</v>
      </c>
      <c r="K12550">
        <v>1405.39</v>
      </c>
      <c r="L12550">
        <v>285.56</v>
      </c>
      <c r="M12550">
        <v>11801</v>
      </c>
      <c r="N12550" t="s">
        <v>40</v>
      </c>
      <c r="O12550">
        <v>250609</v>
      </c>
      <c r="P12550">
        <v>1119.83</v>
      </c>
    </row>
    <row r="12551" spans="1:16" x14ac:dyDescent="0.25">
      <c r="A12551" t="s">
        <v>3296</v>
      </c>
      <c r="B12551" t="s">
        <v>2931</v>
      </c>
      <c r="C12551">
        <v>9206</v>
      </c>
      <c r="D12551" t="str">
        <f>"252311      "</f>
        <v xml:space="preserve">252311      </v>
      </c>
      <c r="E12551" t="s">
        <v>1787</v>
      </c>
      <c r="F12551" t="s">
        <v>1788</v>
      </c>
      <c r="G12551">
        <v>398.49</v>
      </c>
      <c r="H12551">
        <v>250619</v>
      </c>
      <c r="I12551">
        <v>4580</v>
      </c>
      <c r="J12551" t="s">
        <v>126</v>
      </c>
      <c r="K12551">
        <v>2513.0100000000002</v>
      </c>
      <c r="L12551">
        <v>80.97</v>
      </c>
      <c r="M12551">
        <v>48601</v>
      </c>
      <c r="N12551" t="s">
        <v>107</v>
      </c>
      <c r="O12551">
        <v>250627</v>
      </c>
      <c r="P12551">
        <v>317.52</v>
      </c>
    </row>
    <row r="12552" spans="1:16" x14ac:dyDescent="0.25">
      <c r="A12552" t="s">
        <v>3296</v>
      </c>
      <c r="B12552" t="s">
        <v>2931</v>
      </c>
      <c r="C12552">
        <v>9206</v>
      </c>
      <c r="D12552" t="str">
        <f>"252311      "</f>
        <v xml:space="preserve">252311      </v>
      </c>
      <c r="E12552" t="s">
        <v>1787</v>
      </c>
      <c r="F12552" t="s">
        <v>1788</v>
      </c>
      <c r="G12552">
        <v>2114.52</v>
      </c>
      <c r="H12552">
        <v>250619</v>
      </c>
      <c r="I12552">
        <v>4580</v>
      </c>
      <c r="J12552" t="s">
        <v>126</v>
      </c>
      <c r="K12552">
        <v>2513.0100000000002</v>
      </c>
      <c r="L12552">
        <v>429.64</v>
      </c>
      <c r="M12552">
        <v>49111</v>
      </c>
      <c r="N12552" t="s">
        <v>108</v>
      </c>
      <c r="O12552">
        <v>250627</v>
      </c>
      <c r="P12552">
        <v>1684.88</v>
      </c>
    </row>
    <row r="12553" spans="1:16" x14ac:dyDescent="0.25">
      <c r="A12553" t="s">
        <v>3296</v>
      </c>
      <c r="B12553" t="s">
        <v>2931</v>
      </c>
      <c r="C12553">
        <v>1054</v>
      </c>
      <c r="D12553" t="str">
        <f>"2535        "</f>
        <v xml:space="preserve">2535        </v>
      </c>
      <c r="E12553" t="s">
        <v>833</v>
      </c>
      <c r="F12553" t="s">
        <v>834</v>
      </c>
      <c r="G12553">
        <v>785.84</v>
      </c>
      <c r="H12553">
        <v>250121</v>
      </c>
      <c r="I12553">
        <v>4500</v>
      </c>
      <c r="J12553" t="s">
        <v>312</v>
      </c>
      <c r="K12553">
        <v>785.84</v>
      </c>
      <c r="L12553">
        <v>159.66999999999999</v>
      </c>
      <c r="M12553">
        <v>13802</v>
      </c>
      <c r="N12553" t="s">
        <v>34</v>
      </c>
      <c r="O12553">
        <v>250204</v>
      </c>
      <c r="P12553">
        <v>626.16999999999996</v>
      </c>
    </row>
    <row r="12554" spans="1:16" x14ac:dyDescent="0.25">
      <c r="A12554" t="s">
        <v>3296</v>
      </c>
      <c r="B12554" t="s">
        <v>2931</v>
      </c>
      <c r="C12554">
        <v>2441</v>
      </c>
      <c r="D12554" t="str">
        <f>"2547        "</f>
        <v xml:space="preserve">2547        </v>
      </c>
      <c r="E12554" t="s">
        <v>833</v>
      </c>
      <c r="F12554" t="s">
        <v>834</v>
      </c>
      <c r="G12554">
        <v>309.48</v>
      </c>
      <c r="H12554">
        <v>250221</v>
      </c>
      <c r="I12554">
        <v>4500</v>
      </c>
      <c r="J12554" t="s">
        <v>312</v>
      </c>
      <c r="K12554">
        <v>309.48</v>
      </c>
      <c r="L12554">
        <v>62.88</v>
      </c>
      <c r="M12554">
        <v>13801</v>
      </c>
      <c r="N12554" t="s">
        <v>33</v>
      </c>
      <c r="O12554">
        <v>250226</v>
      </c>
      <c r="P12554">
        <v>246.6</v>
      </c>
    </row>
    <row r="12555" spans="1:16" x14ac:dyDescent="0.25">
      <c r="A12555" t="s">
        <v>3296</v>
      </c>
      <c r="B12555" t="s">
        <v>2931</v>
      </c>
      <c r="C12555">
        <v>6756</v>
      </c>
      <c r="D12555" t="str">
        <f>"2576        "</f>
        <v xml:space="preserve">2576        </v>
      </c>
      <c r="E12555" t="s">
        <v>833</v>
      </c>
      <c r="F12555" t="s">
        <v>834</v>
      </c>
      <c r="G12555">
        <v>60</v>
      </c>
      <c r="H12555">
        <v>250430</v>
      </c>
      <c r="I12555">
        <v>4500</v>
      </c>
      <c r="J12555" t="s">
        <v>312</v>
      </c>
      <c r="K12555">
        <v>1136.8800000000001</v>
      </c>
      <c r="L12555">
        <v>12.19</v>
      </c>
      <c r="M12555">
        <v>13802</v>
      </c>
      <c r="N12555" t="s">
        <v>34</v>
      </c>
      <c r="O12555">
        <v>250516</v>
      </c>
      <c r="P12555">
        <v>47.81</v>
      </c>
    </row>
    <row r="12556" spans="1:16" x14ac:dyDescent="0.25">
      <c r="A12556" t="s">
        <v>3296</v>
      </c>
      <c r="B12556" t="s">
        <v>2931</v>
      </c>
      <c r="C12556">
        <v>6756</v>
      </c>
      <c r="D12556" t="str">
        <f>"2576        "</f>
        <v xml:space="preserve">2576        </v>
      </c>
      <c r="E12556" t="s">
        <v>833</v>
      </c>
      <c r="F12556" t="s">
        <v>834</v>
      </c>
      <c r="G12556">
        <v>1076.8800000000001</v>
      </c>
      <c r="H12556">
        <v>250430</v>
      </c>
      <c r="I12556">
        <v>4500</v>
      </c>
      <c r="J12556" t="s">
        <v>312</v>
      </c>
      <c r="K12556">
        <v>1136.8800000000001</v>
      </c>
      <c r="L12556">
        <v>218.81</v>
      </c>
      <c r="M12556">
        <v>13802</v>
      </c>
      <c r="N12556" t="s">
        <v>34</v>
      </c>
      <c r="O12556">
        <v>250516</v>
      </c>
      <c r="P12556">
        <v>858.07</v>
      </c>
    </row>
    <row r="12557" spans="1:16" x14ac:dyDescent="0.25">
      <c r="A12557" t="s">
        <v>3296</v>
      </c>
      <c r="B12557" t="s">
        <v>2931</v>
      </c>
      <c r="C12557">
        <v>11158</v>
      </c>
      <c r="D12557" t="str">
        <f>"2603        "</f>
        <v xml:space="preserve">2603        </v>
      </c>
      <c r="E12557" t="s">
        <v>833</v>
      </c>
      <c r="F12557" t="s">
        <v>834</v>
      </c>
      <c r="G12557">
        <v>295.85000000000002</v>
      </c>
      <c r="H12557">
        <v>250827</v>
      </c>
      <c r="I12557">
        <v>4500</v>
      </c>
      <c r="J12557" t="s">
        <v>312</v>
      </c>
      <c r="K12557">
        <v>295.85000000000002</v>
      </c>
      <c r="L12557">
        <v>60.11</v>
      </c>
      <c r="M12557">
        <v>13802</v>
      </c>
      <c r="N12557" t="s">
        <v>34</v>
      </c>
      <c r="O12557">
        <v>250901</v>
      </c>
      <c r="P12557">
        <v>235.74</v>
      </c>
    </row>
    <row r="12558" spans="1:16" x14ac:dyDescent="0.25">
      <c r="A12558" t="s">
        <v>3296</v>
      </c>
      <c r="B12558" t="s">
        <v>2931</v>
      </c>
      <c r="C12558">
        <v>11673</v>
      </c>
      <c r="D12558" t="str">
        <f>"2604        "</f>
        <v xml:space="preserve">2604        </v>
      </c>
      <c r="E12558" t="s">
        <v>833</v>
      </c>
      <c r="F12558" t="s">
        <v>834</v>
      </c>
      <c r="G12558">
        <v>37.75</v>
      </c>
      <c r="H12558">
        <v>250827</v>
      </c>
      <c r="I12558">
        <v>4500</v>
      </c>
      <c r="J12558" t="s">
        <v>312</v>
      </c>
      <c r="K12558">
        <v>266.94</v>
      </c>
      <c r="L12558">
        <v>7.67</v>
      </c>
      <c r="M12558">
        <v>13802</v>
      </c>
      <c r="N12558" t="s">
        <v>34</v>
      </c>
      <c r="O12558">
        <v>250910</v>
      </c>
      <c r="P12558">
        <v>30.08</v>
      </c>
    </row>
    <row r="12559" spans="1:16" x14ac:dyDescent="0.25">
      <c r="A12559" t="s">
        <v>3296</v>
      </c>
      <c r="B12559" t="s">
        <v>2931</v>
      </c>
      <c r="C12559">
        <v>11673</v>
      </c>
      <c r="D12559" t="str">
        <f>"2604        "</f>
        <v xml:space="preserve">2604        </v>
      </c>
      <c r="E12559" t="s">
        <v>833</v>
      </c>
      <c r="F12559" t="s">
        <v>834</v>
      </c>
      <c r="G12559">
        <v>229.19</v>
      </c>
      <c r="H12559">
        <v>250827</v>
      </c>
      <c r="I12559">
        <v>4500</v>
      </c>
      <c r="J12559" t="s">
        <v>312</v>
      </c>
      <c r="K12559">
        <v>266.94</v>
      </c>
      <c r="L12559">
        <v>46.57</v>
      </c>
      <c r="M12559">
        <v>13802</v>
      </c>
      <c r="N12559" t="s">
        <v>34</v>
      </c>
      <c r="O12559">
        <v>250910</v>
      </c>
      <c r="P12559">
        <v>182.62</v>
      </c>
    </row>
    <row r="12560" spans="1:16" x14ac:dyDescent="0.25">
      <c r="A12560" t="s">
        <v>3296</v>
      </c>
      <c r="B12560" t="s">
        <v>2931</v>
      </c>
      <c r="C12560">
        <v>15313</v>
      </c>
      <c r="D12560" t="str">
        <f>"2632        "</f>
        <v xml:space="preserve">2632        </v>
      </c>
      <c r="E12560" t="s">
        <v>833</v>
      </c>
      <c r="F12560" t="s">
        <v>834</v>
      </c>
      <c r="G12560">
        <v>635.83000000000004</v>
      </c>
      <c r="H12560">
        <v>251110</v>
      </c>
      <c r="I12560">
        <v>4520</v>
      </c>
      <c r="J12560" t="s">
        <v>280</v>
      </c>
      <c r="K12560">
        <v>635.83000000000004</v>
      </c>
      <c r="L12560">
        <v>129.19</v>
      </c>
      <c r="M12560">
        <v>13802</v>
      </c>
      <c r="N12560" t="s">
        <v>34</v>
      </c>
      <c r="O12560">
        <v>251118</v>
      </c>
      <c r="P12560">
        <v>506.64</v>
      </c>
    </row>
    <row r="12561" spans="1:16" x14ac:dyDescent="0.25">
      <c r="A12561" t="s">
        <v>3296</v>
      </c>
      <c r="B12561" t="s">
        <v>2931</v>
      </c>
      <c r="C12561">
        <v>2547</v>
      </c>
      <c r="D12561" t="str">
        <f>"2548        "</f>
        <v xml:space="preserve">2548        </v>
      </c>
      <c r="E12561" t="s">
        <v>833</v>
      </c>
      <c r="F12561" t="s">
        <v>834</v>
      </c>
      <c r="G12561">
        <v>15.3</v>
      </c>
      <c r="H12561">
        <v>250221</v>
      </c>
      <c r="I12561">
        <v>4600</v>
      </c>
      <c r="J12561" t="s">
        <v>278</v>
      </c>
      <c r="K12561">
        <v>1081.51</v>
      </c>
      <c r="L12561">
        <v>1.88</v>
      </c>
      <c r="M12561">
        <v>13802</v>
      </c>
      <c r="N12561" t="s">
        <v>34</v>
      </c>
      <c r="O12561">
        <v>250304</v>
      </c>
      <c r="P12561">
        <v>13.42</v>
      </c>
    </row>
    <row r="12562" spans="1:16" x14ac:dyDescent="0.25">
      <c r="A12562" t="s">
        <v>3296</v>
      </c>
      <c r="B12562" t="s">
        <v>2931</v>
      </c>
      <c r="C12562">
        <v>2547</v>
      </c>
      <c r="D12562" t="str">
        <f>"2548        "</f>
        <v xml:space="preserve">2548        </v>
      </c>
      <c r="E12562" t="s">
        <v>833</v>
      </c>
      <c r="F12562" t="s">
        <v>834</v>
      </c>
      <c r="G12562">
        <v>1066.21</v>
      </c>
      <c r="H12562">
        <v>250221</v>
      </c>
      <c r="I12562">
        <v>4600</v>
      </c>
      <c r="J12562" t="s">
        <v>278</v>
      </c>
      <c r="K12562">
        <v>1081.51</v>
      </c>
      <c r="L12562">
        <v>216.64</v>
      </c>
      <c r="M12562">
        <v>13802</v>
      </c>
      <c r="N12562" t="s">
        <v>34</v>
      </c>
      <c r="O12562">
        <v>250304</v>
      </c>
      <c r="P12562">
        <v>849.57</v>
      </c>
    </row>
    <row r="12563" spans="1:16" x14ac:dyDescent="0.25">
      <c r="A12563" t="s">
        <v>3296</v>
      </c>
      <c r="B12563" t="s">
        <v>2931</v>
      </c>
      <c r="C12563">
        <v>8391</v>
      </c>
      <c r="D12563" t="str">
        <f>"2587        "</f>
        <v xml:space="preserve">2587        </v>
      </c>
      <c r="E12563" t="s">
        <v>833</v>
      </c>
      <c r="F12563" t="s">
        <v>834</v>
      </c>
      <c r="G12563">
        <v>304.11</v>
      </c>
      <c r="H12563">
        <v>250605</v>
      </c>
      <c r="I12563">
        <v>4600</v>
      </c>
      <c r="J12563" t="s">
        <v>278</v>
      </c>
      <c r="K12563">
        <v>304.11</v>
      </c>
      <c r="L12563">
        <v>61.79</v>
      </c>
      <c r="M12563">
        <v>13801</v>
      </c>
      <c r="N12563" t="s">
        <v>33</v>
      </c>
      <c r="O12563">
        <v>250613</v>
      </c>
      <c r="P12563">
        <v>242.32</v>
      </c>
    </row>
    <row r="12564" spans="1:16" x14ac:dyDescent="0.25">
      <c r="A12564" t="s">
        <v>3296</v>
      </c>
      <c r="B12564" t="s">
        <v>2931</v>
      </c>
      <c r="C12564">
        <v>15184</v>
      </c>
      <c r="D12564" t="str">
        <f>"2633        "</f>
        <v xml:space="preserve">2633        </v>
      </c>
      <c r="E12564" t="s">
        <v>833</v>
      </c>
      <c r="F12564" t="s">
        <v>834</v>
      </c>
      <c r="G12564">
        <v>757.37</v>
      </c>
      <c r="H12564">
        <v>251031</v>
      </c>
      <c r="I12564">
        <v>4600</v>
      </c>
      <c r="J12564" t="s">
        <v>278</v>
      </c>
      <c r="K12564">
        <v>757.37</v>
      </c>
      <c r="L12564">
        <v>153.88999999999999</v>
      </c>
      <c r="M12564">
        <v>13801</v>
      </c>
      <c r="N12564" t="s">
        <v>33</v>
      </c>
      <c r="O12564">
        <v>251113</v>
      </c>
      <c r="P12564">
        <v>603.48</v>
      </c>
    </row>
    <row r="12565" spans="1:16" x14ac:dyDescent="0.25">
      <c r="A12565" t="s">
        <v>3296</v>
      </c>
      <c r="B12565" t="s">
        <v>2931</v>
      </c>
      <c r="C12565">
        <v>15408</v>
      </c>
      <c r="D12565" t="str">
        <f>"2634        "</f>
        <v xml:space="preserve">2634        </v>
      </c>
      <c r="E12565" t="s">
        <v>833</v>
      </c>
      <c r="F12565" t="s">
        <v>834</v>
      </c>
      <c r="G12565">
        <v>1519.35</v>
      </c>
      <c r="H12565">
        <v>251101</v>
      </c>
      <c r="I12565">
        <v>4600</v>
      </c>
      <c r="J12565" t="s">
        <v>278</v>
      </c>
      <c r="K12565">
        <v>1519.35</v>
      </c>
      <c r="L12565">
        <v>308.70999999999998</v>
      </c>
      <c r="M12565">
        <v>17538</v>
      </c>
      <c r="N12565" t="s">
        <v>129</v>
      </c>
      <c r="O12565">
        <v>251120</v>
      </c>
      <c r="P12565">
        <v>1210.6400000000001</v>
      </c>
    </row>
    <row r="12566" spans="1:16" x14ac:dyDescent="0.25">
      <c r="A12566" t="s">
        <v>3296</v>
      </c>
      <c r="B12566" t="s">
        <v>2931</v>
      </c>
      <c r="C12566">
        <v>17895</v>
      </c>
      <c r="D12566" t="str">
        <f>"2635        "</f>
        <v xml:space="preserve">2635        </v>
      </c>
      <c r="E12566" t="s">
        <v>833</v>
      </c>
      <c r="F12566" t="s">
        <v>834</v>
      </c>
      <c r="G12566">
        <v>151.96</v>
      </c>
      <c r="H12566">
        <v>251222</v>
      </c>
      <c r="I12566">
        <v>4600</v>
      </c>
      <c r="J12566" t="s">
        <v>278</v>
      </c>
      <c r="K12566">
        <v>151.96</v>
      </c>
      <c r="L12566">
        <v>30.88</v>
      </c>
      <c r="M12566">
        <v>13821</v>
      </c>
      <c r="N12566" t="s">
        <v>867</v>
      </c>
      <c r="O12566">
        <v>260102</v>
      </c>
      <c r="P12566">
        <v>121.08</v>
      </c>
    </row>
    <row r="12567" spans="1:16" x14ac:dyDescent="0.25">
      <c r="A12567" t="s">
        <v>3296</v>
      </c>
      <c r="B12567" t="s">
        <v>2931</v>
      </c>
      <c r="C12567">
        <v>2624</v>
      </c>
      <c r="D12567" t="str">
        <f>"171330628   "</f>
        <v xml:space="preserve">171330628   </v>
      </c>
      <c r="E12567" t="s">
        <v>1320</v>
      </c>
      <c r="F12567" t="s">
        <v>1321</v>
      </c>
      <c r="G12567">
        <v>224.54</v>
      </c>
      <c r="H12567">
        <v>250224</v>
      </c>
      <c r="I12567">
        <v>4580</v>
      </c>
      <c r="J12567" t="s">
        <v>126</v>
      </c>
      <c r="K12567">
        <v>224.54</v>
      </c>
      <c r="L12567">
        <v>45.62</v>
      </c>
      <c r="M12567">
        <v>13801</v>
      </c>
      <c r="N12567" t="s">
        <v>33</v>
      </c>
      <c r="O12567">
        <v>250307</v>
      </c>
      <c r="P12567">
        <v>178.92</v>
      </c>
    </row>
    <row r="12568" spans="1:16" x14ac:dyDescent="0.25">
      <c r="A12568" t="s">
        <v>3296</v>
      </c>
      <c r="B12568" t="s">
        <v>2931</v>
      </c>
      <c r="C12568">
        <v>4229</v>
      </c>
      <c r="D12568" t="str">
        <f>"171339126   "</f>
        <v xml:space="preserve">171339126   </v>
      </c>
      <c r="E12568" t="s">
        <v>1320</v>
      </c>
      <c r="F12568" t="s">
        <v>1321</v>
      </c>
      <c r="G12568">
        <v>-65.709999999999994</v>
      </c>
      <c r="H12568">
        <v>250331</v>
      </c>
      <c r="I12568">
        <v>4600</v>
      </c>
      <c r="J12568" t="s">
        <v>278</v>
      </c>
      <c r="K12568">
        <v>-65.709999999999994</v>
      </c>
      <c r="L12568">
        <v>-13.35</v>
      </c>
      <c r="M12568">
        <v>14952</v>
      </c>
      <c r="N12568" t="s">
        <v>213</v>
      </c>
      <c r="O12568">
        <v>250409</v>
      </c>
      <c r="P12568">
        <v>-52.36</v>
      </c>
    </row>
    <row r="12569" spans="1:16" x14ac:dyDescent="0.25">
      <c r="A12569" t="s">
        <v>3296</v>
      </c>
      <c r="B12569" t="s">
        <v>2931</v>
      </c>
      <c r="C12569">
        <v>4230</v>
      </c>
      <c r="D12569" t="str">
        <f>"171338637   "</f>
        <v xml:space="preserve">171338637   </v>
      </c>
      <c r="E12569" t="s">
        <v>1320</v>
      </c>
      <c r="F12569" t="s">
        <v>1321</v>
      </c>
      <c r="G12569">
        <v>68.22</v>
      </c>
      <c r="H12569">
        <v>250331</v>
      </c>
      <c r="I12569">
        <v>4600</v>
      </c>
      <c r="J12569" t="s">
        <v>278</v>
      </c>
      <c r="K12569">
        <v>68.22</v>
      </c>
      <c r="L12569">
        <v>13.86</v>
      </c>
      <c r="M12569">
        <v>14952</v>
      </c>
      <c r="N12569" t="s">
        <v>213</v>
      </c>
      <c r="O12569">
        <v>250409</v>
      </c>
      <c r="P12569">
        <v>54.36</v>
      </c>
    </row>
    <row r="12570" spans="1:16" x14ac:dyDescent="0.25">
      <c r="A12570" t="s">
        <v>3296</v>
      </c>
      <c r="B12570" t="s">
        <v>2931</v>
      </c>
      <c r="C12570">
        <v>4231</v>
      </c>
      <c r="D12570" t="str">
        <f>"171339127   "</f>
        <v xml:space="preserve">171339127   </v>
      </c>
      <c r="E12570" t="s">
        <v>1320</v>
      </c>
      <c r="F12570" t="s">
        <v>1321</v>
      </c>
      <c r="G12570">
        <v>13.34</v>
      </c>
      <c r="H12570">
        <v>250331</v>
      </c>
      <c r="I12570">
        <v>4600</v>
      </c>
      <c r="J12570" t="s">
        <v>278</v>
      </c>
      <c r="K12570">
        <v>40.020000000000003</v>
      </c>
      <c r="L12570">
        <v>2.71</v>
      </c>
      <c r="M12570">
        <v>11401</v>
      </c>
      <c r="N12570" t="s">
        <v>91</v>
      </c>
      <c r="O12570">
        <v>250409</v>
      </c>
      <c r="P12570">
        <v>10.63</v>
      </c>
    </row>
    <row r="12571" spans="1:16" x14ac:dyDescent="0.25">
      <c r="A12571" t="s">
        <v>3296</v>
      </c>
      <c r="B12571" t="s">
        <v>2931</v>
      </c>
      <c r="C12571">
        <v>4231</v>
      </c>
      <c r="D12571" t="str">
        <f>"171339127   "</f>
        <v xml:space="preserve">171339127   </v>
      </c>
      <c r="E12571" t="s">
        <v>1320</v>
      </c>
      <c r="F12571" t="s">
        <v>1321</v>
      </c>
      <c r="G12571">
        <v>26.68</v>
      </c>
      <c r="H12571">
        <v>250331</v>
      </c>
      <c r="I12571">
        <v>4600</v>
      </c>
      <c r="J12571" t="s">
        <v>278</v>
      </c>
      <c r="K12571">
        <v>40.020000000000003</v>
      </c>
      <c r="L12571">
        <v>5.42</v>
      </c>
      <c r="M12571">
        <v>14952</v>
      </c>
      <c r="N12571" t="s">
        <v>213</v>
      </c>
      <c r="O12571">
        <v>250409</v>
      </c>
      <c r="P12571">
        <v>21.26</v>
      </c>
    </row>
    <row r="12572" spans="1:16" x14ac:dyDescent="0.25">
      <c r="A12572" t="s">
        <v>3296</v>
      </c>
      <c r="B12572" t="s">
        <v>2931</v>
      </c>
      <c r="C12572">
        <v>15904</v>
      </c>
      <c r="D12572" t="str">
        <f>"13018       "</f>
        <v xml:space="preserve">13018       </v>
      </c>
      <c r="E12572" t="s">
        <v>2628</v>
      </c>
      <c r="F12572" t="s">
        <v>2629</v>
      </c>
      <c r="G12572">
        <v>447.8</v>
      </c>
      <c r="H12572">
        <v>251126</v>
      </c>
      <c r="I12572">
        <v>4600</v>
      </c>
      <c r="J12572" t="s">
        <v>278</v>
      </c>
      <c r="K12572">
        <v>447.8</v>
      </c>
      <c r="L12572">
        <v>90.99</v>
      </c>
      <c r="M12572">
        <v>56573</v>
      </c>
      <c r="N12572" t="s">
        <v>843</v>
      </c>
      <c r="O12572">
        <v>251128</v>
      </c>
      <c r="P12572">
        <v>356.81</v>
      </c>
    </row>
    <row r="12573" spans="1:16" x14ac:dyDescent="0.25">
      <c r="A12573" t="s">
        <v>3296</v>
      </c>
      <c r="B12573" t="s">
        <v>2931</v>
      </c>
      <c r="C12573">
        <v>9416</v>
      </c>
      <c r="D12573" t="str">
        <f>"102508403   "</f>
        <v xml:space="preserve">102508403   </v>
      </c>
      <c r="E12573" t="s">
        <v>1092</v>
      </c>
      <c r="F12573" t="s">
        <v>1093</v>
      </c>
      <c r="G12573">
        <v>117.98</v>
      </c>
      <c r="H12573">
        <v>250630</v>
      </c>
      <c r="I12573">
        <v>4385</v>
      </c>
      <c r="J12573" t="s">
        <v>1062</v>
      </c>
      <c r="K12573">
        <v>117.98</v>
      </c>
      <c r="L12573">
        <v>23.97</v>
      </c>
      <c r="M12573">
        <v>17737</v>
      </c>
      <c r="N12573" t="s">
        <v>156</v>
      </c>
      <c r="O12573">
        <v>250707</v>
      </c>
      <c r="P12573">
        <v>94.01</v>
      </c>
    </row>
    <row r="12574" spans="1:16" x14ac:dyDescent="0.25">
      <c r="A12574" t="s">
        <v>3296</v>
      </c>
      <c r="B12574" t="s">
        <v>2931</v>
      </c>
      <c r="C12574">
        <v>9420</v>
      </c>
      <c r="D12574" t="str">
        <f>"102508381   "</f>
        <v xml:space="preserve">102508381   </v>
      </c>
      <c r="E12574" t="s">
        <v>1092</v>
      </c>
      <c r="F12574" t="s">
        <v>1093</v>
      </c>
      <c r="G12574">
        <v>204.26</v>
      </c>
      <c r="H12574">
        <v>250630</v>
      </c>
      <c r="I12574">
        <v>4385</v>
      </c>
      <c r="J12574" t="s">
        <v>1062</v>
      </c>
      <c r="K12574">
        <v>204.26</v>
      </c>
      <c r="L12574">
        <v>41.5</v>
      </c>
      <c r="M12574">
        <v>17737</v>
      </c>
      <c r="N12574" t="s">
        <v>156</v>
      </c>
      <c r="O12574">
        <v>250707</v>
      </c>
      <c r="P12574">
        <v>162.76</v>
      </c>
    </row>
    <row r="12575" spans="1:16" x14ac:dyDescent="0.25">
      <c r="A12575" t="s">
        <v>3296</v>
      </c>
      <c r="B12575" t="s">
        <v>2931</v>
      </c>
      <c r="C12575">
        <v>1732</v>
      </c>
      <c r="D12575" t="str">
        <f>"102502066   "</f>
        <v xml:space="preserve">102502066   </v>
      </c>
      <c r="E12575" t="s">
        <v>1092</v>
      </c>
      <c r="F12575" t="s">
        <v>1093</v>
      </c>
      <c r="G12575">
        <v>33.76</v>
      </c>
      <c r="H12575">
        <v>250205</v>
      </c>
      <c r="I12575">
        <v>4470</v>
      </c>
      <c r="J12575" t="s">
        <v>203</v>
      </c>
      <c r="K12575">
        <v>33.76</v>
      </c>
      <c r="L12575">
        <v>6.86</v>
      </c>
      <c r="M12575">
        <v>67554</v>
      </c>
      <c r="N12575" t="s">
        <v>317</v>
      </c>
      <c r="O12575">
        <v>250213</v>
      </c>
      <c r="P12575">
        <v>26.9</v>
      </c>
    </row>
    <row r="12576" spans="1:16" x14ac:dyDescent="0.25">
      <c r="A12576" t="s">
        <v>3296</v>
      </c>
      <c r="B12576" t="s">
        <v>2931</v>
      </c>
      <c r="C12576">
        <v>4441</v>
      </c>
      <c r="D12576" t="str">
        <f>"102503717   "</f>
        <v xml:space="preserve">102503717   </v>
      </c>
      <c r="E12576" t="s">
        <v>1092</v>
      </c>
      <c r="F12576" t="s">
        <v>1093</v>
      </c>
      <c r="G12576">
        <v>123.76</v>
      </c>
      <c r="H12576">
        <v>250331</v>
      </c>
      <c r="I12576">
        <v>4470</v>
      </c>
      <c r="J12576" t="s">
        <v>203</v>
      </c>
      <c r="K12576">
        <v>123.76</v>
      </c>
      <c r="L12576">
        <v>25.15</v>
      </c>
      <c r="M12576">
        <v>67522</v>
      </c>
      <c r="N12576" t="s">
        <v>121</v>
      </c>
      <c r="O12576">
        <v>250411</v>
      </c>
      <c r="P12576">
        <v>98.61</v>
      </c>
    </row>
    <row r="12577" spans="1:16" x14ac:dyDescent="0.25">
      <c r="A12577" t="s">
        <v>3296</v>
      </c>
      <c r="B12577" t="s">
        <v>2931</v>
      </c>
      <c r="C12577">
        <v>5892</v>
      </c>
      <c r="D12577" t="str">
        <f>"102504961   "</f>
        <v xml:space="preserve">102504961   </v>
      </c>
      <c r="E12577" t="s">
        <v>1092</v>
      </c>
      <c r="F12577" t="s">
        <v>1093</v>
      </c>
      <c r="G12577">
        <v>73.709999999999994</v>
      </c>
      <c r="H12577">
        <v>250425</v>
      </c>
      <c r="I12577">
        <v>4470</v>
      </c>
      <c r="J12577" t="s">
        <v>203</v>
      </c>
      <c r="K12577">
        <v>73.709999999999994</v>
      </c>
      <c r="L12577">
        <v>14.98</v>
      </c>
      <c r="M12577">
        <v>67522</v>
      </c>
      <c r="N12577" t="s">
        <v>121</v>
      </c>
      <c r="O12577">
        <v>250507</v>
      </c>
      <c r="P12577">
        <v>58.73</v>
      </c>
    </row>
    <row r="12578" spans="1:16" x14ac:dyDescent="0.25">
      <c r="A12578" t="s">
        <v>3296</v>
      </c>
      <c r="B12578" t="s">
        <v>2931</v>
      </c>
      <c r="C12578">
        <v>11603</v>
      </c>
      <c r="D12578" t="str">
        <f>"102511128   "</f>
        <v xml:space="preserve">102511128   </v>
      </c>
      <c r="E12578" t="s">
        <v>1092</v>
      </c>
      <c r="F12578" t="s">
        <v>1093</v>
      </c>
      <c r="G12578">
        <v>113.09</v>
      </c>
      <c r="H12578">
        <v>250903</v>
      </c>
      <c r="I12578">
        <v>4470</v>
      </c>
      <c r="J12578" t="s">
        <v>203</v>
      </c>
      <c r="K12578">
        <v>113.09</v>
      </c>
      <c r="L12578">
        <v>22.98</v>
      </c>
      <c r="M12578">
        <v>67554</v>
      </c>
      <c r="N12578" t="s">
        <v>317</v>
      </c>
      <c r="O12578">
        <v>250909</v>
      </c>
      <c r="P12578">
        <v>90.11</v>
      </c>
    </row>
    <row r="12579" spans="1:16" x14ac:dyDescent="0.25">
      <c r="A12579" t="s">
        <v>3296</v>
      </c>
      <c r="B12579" t="s">
        <v>2931</v>
      </c>
      <c r="C12579">
        <v>307</v>
      </c>
      <c r="D12579" t="str">
        <f>"807537      "</f>
        <v xml:space="preserve">807537      </v>
      </c>
      <c r="E12579" t="s">
        <v>406</v>
      </c>
      <c r="F12579" t="s">
        <v>407</v>
      </c>
      <c r="G12579">
        <v>278.07</v>
      </c>
      <c r="H12579">
        <v>250113</v>
      </c>
      <c r="I12579">
        <v>4367</v>
      </c>
      <c r="J12579" t="s">
        <v>159</v>
      </c>
      <c r="K12579">
        <v>278.07</v>
      </c>
      <c r="L12579">
        <v>56.5</v>
      </c>
      <c r="M12579">
        <v>17711</v>
      </c>
      <c r="N12579" t="s">
        <v>155</v>
      </c>
      <c r="O12579">
        <v>250121</v>
      </c>
      <c r="P12579">
        <v>221.57</v>
      </c>
    </row>
    <row r="12580" spans="1:16" x14ac:dyDescent="0.25">
      <c r="A12580" t="s">
        <v>3296</v>
      </c>
      <c r="B12580" t="s">
        <v>2931</v>
      </c>
      <c r="C12580">
        <v>906</v>
      </c>
      <c r="D12580" t="str">
        <f>"819406      "</f>
        <v xml:space="preserve">819406      </v>
      </c>
      <c r="E12580" t="s">
        <v>406</v>
      </c>
      <c r="F12580" t="s">
        <v>407</v>
      </c>
      <c r="G12580">
        <v>605.36</v>
      </c>
      <c r="H12580">
        <v>250127</v>
      </c>
      <c r="I12580">
        <v>4367</v>
      </c>
      <c r="J12580" t="s">
        <v>159</v>
      </c>
      <c r="K12580">
        <v>605.36</v>
      </c>
      <c r="L12580">
        <v>123</v>
      </c>
      <c r="M12580">
        <v>17737</v>
      </c>
      <c r="N12580" t="s">
        <v>156</v>
      </c>
      <c r="O12580">
        <v>250131</v>
      </c>
      <c r="P12580">
        <v>482.36</v>
      </c>
    </row>
    <row r="12581" spans="1:16" x14ac:dyDescent="0.25">
      <c r="A12581" t="s">
        <v>3296</v>
      </c>
      <c r="B12581" t="s">
        <v>2931</v>
      </c>
      <c r="C12581">
        <v>984</v>
      </c>
      <c r="D12581" t="str">
        <f>"817195      "</f>
        <v xml:space="preserve">817195      </v>
      </c>
      <c r="E12581" t="s">
        <v>406</v>
      </c>
      <c r="F12581" t="s">
        <v>407</v>
      </c>
      <c r="G12581">
        <v>842.54</v>
      </c>
      <c r="H12581">
        <v>250127</v>
      </c>
      <c r="I12581">
        <v>4367</v>
      </c>
      <c r="J12581" t="s">
        <v>159</v>
      </c>
      <c r="K12581">
        <v>842.54</v>
      </c>
      <c r="L12581">
        <v>171.19</v>
      </c>
      <c r="M12581">
        <v>67554</v>
      </c>
      <c r="N12581" t="s">
        <v>317</v>
      </c>
      <c r="O12581">
        <v>250131</v>
      </c>
      <c r="P12581">
        <v>671.35</v>
      </c>
    </row>
    <row r="12582" spans="1:16" x14ac:dyDescent="0.25">
      <c r="A12582" t="s">
        <v>3296</v>
      </c>
      <c r="B12582" t="s">
        <v>2931</v>
      </c>
      <c r="C12582">
        <v>9488</v>
      </c>
      <c r="D12582" t="str">
        <f>"36556       "</f>
        <v xml:space="preserve">36556       </v>
      </c>
      <c r="E12582" t="s">
        <v>2132</v>
      </c>
      <c r="F12582" t="s">
        <v>2133</v>
      </c>
      <c r="G12582">
        <v>37.83</v>
      </c>
      <c r="H12582">
        <v>250630</v>
      </c>
      <c r="I12582">
        <v>4520</v>
      </c>
      <c r="J12582" t="s">
        <v>280</v>
      </c>
      <c r="K12582">
        <v>37.83</v>
      </c>
      <c r="L12582">
        <v>4.6500000000000004</v>
      </c>
      <c r="M12582">
        <v>49702</v>
      </c>
      <c r="N12582" t="s">
        <v>112</v>
      </c>
      <c r="O12582">
        <v>250709</v>
      </c>
      <c r="P12582">
        <v>33.18</v>
      </c>
    </row>
    <row r="12583" spans="1:16" x14ac:dyDescent="0.25">
      <c r="A12583" t="s">
        <v>3296</v>
      </c>
      <c r="B12583" t="s">
        <v>2931</v>
      </c>
      <c r="C12583">
        <v>12322</v>
      </c>
      <c r="D12583" t="str">
        <f>"25301490    "</f>
        <v xml:space="preserve">25301490    </v>
      </c>
      <c r="E12583" t="s">
        <v>2342</v>
      </c>
      <c r="F12583" t="s">
        <v>2343</v>
      </c>
      <c r="G12583">
        <v>730.5</v>
      </c>
      <c r="H12583">
        <v>250916</v>
      </c>
      <c r="I12583">
        <v>4600</v>
      </c>
      <c r="J12583" t="s">
        <v>278</v>
      </c>
      <c r="K12583">
        <v>730.5</v>
      </c>
      <c r="L12583">
        <v>148.43</v>
      </c>
      <c r="M12583">
        <v>46554</v>
      </c>
      <c r="N12583" t="s">
        <v>102</v>
      </c>
      <c r="O12583">
        <v>250919</v>
      </c>
      <c r="P12583">
        <v>582.07000000000005</v>
      </c>
    </row>
    <row r="12584" spans="1:16" x14ac:dyDescent="0.25">
      <c r="A12584" t="s">
        <v>3296</v>
      </c>
      <c r="B12584" t="s">
        <v>2931</v>
      </c>
      <c r="C12584">
        <v>13585</v>
      </c>
      <c r="D12584" t="str">
        <f>"254821      "</f>
        <v xml:space="preserve">254821      </v>
      </c>
      <c r="E12584" t="s">
        <v>2433</v>
      </c>
      <c r="F12584" t="s">
        <v>2434</v>
      </c>
      <c r="G12584">
        <v>127.36</v>
      </c>
      <c r="H12584">
        <v>250930</v>
      </c>
      <c r="I12584">
        <v>4590</v>
      </c>
      <c r="J12584" t="s">
        <v>388</v>
      </c>
      <c r="K12584">
        <v>127.36</v>
      </c>
      <c r="L12584">
        <v>25.88</v>
      </c>
      <c r="M12584">
        <v>56551</v>
      </c>
      <c r="N12584" t="s">
        <v>551</v>
      </c>
      <c r="O12584">
        <v>251013</v>
      </c>
      <c r="P12584">
        <v>101.48</v>
      </c>
    </row>
    <row r="12585" spans="1:16" x14ac:dyDescent="0.25">
      <c r="A12585" t="s">
        <v>3296</v>
      </c>
      <c r="B12585" t="s">
        <v>2931</v>
      </c>
      <c r="C12585">
        <v>15113</v>
      </c>
      <c r="D12585" t="str">
        <f>"255340      "</f>
        <v xml:space="preserve">255340      </v>
      </c>
      <c r="E12585" t="s">
        <v>2433</v>
      </c>
      <c r="F12585" t="s">
        <v>2434</v>
      </c>
      <c r="G12585">
        <v>59.78</v>
      </c>
      <c r="H12585">
        <v>251107</v>
      </c>
      <c r="I12585">
        <v>4590</v>
      </c>
      <c r="J12585" t="s">
        <v>388</v>
      </c>
      <c r="K12585">
        <v>59.78</v>
      </c>
      <c r="L12585">
        <v>12.15</v>
      </c>
      <c r="M12585">
        <v>56551</v>
      </c>
      <c r="N12585" t="s">
        <v>551</v>
      </c>
      <c r="O12585">
        <v>251111</v>
      </c>
      <c r="P12585">
        <v>47.63</v>
      </c>
    </row>
    <row r="12586" spans="1:16" x14ac:dyDescent="0.25">
      <c r="A12586" t="s">
        <v>3296</v>
      </c>
      <c r="B12586" t="s">
        <v>2931</v>
      </c>
      <c r="C12586">
        <v>14368</v>
      </c>
      <c r="D12586" t="str">
        <f>"255157      "</f>
        <v xml:space="preserve">255157      </v>
      </c>
      <c r="E12586" t="s">
        <v>2433</v>
      </c>
      <c r="F12586" t="s">
        <v>2434</v>
      </c>
      <c r="G12586">
        <v>154</v>
      </c>
      <c r="H12586">
        <v>251028</v>
      </c>
      <c r="I12586">
        <v>4600</v>
      </c>
      <c r="J12586" t="s">
        <v>278</v>
      </c>
      <c r="K12586">
        <v>154</v>
      </c>
      <c r="L12586">
        <v>31.29</v>
      </c>
      <c r="M12586">
        <v>17526</v>
      </c>
      <c r="N12586" t="s">
        <v>141</v>
      </c>
      <c r="O12586">
        <v>251030</v>
      </c>
      <c r="P12586">
        <v>122.71</v>
      </c>
    </row>
    <row r="12587" spans="1:16" x14ac:dyDescent="0.25">
      <c r="A12587" t="s">
        <v>3296</v>
      </c>
      <c r="B12587" t="s">
        <v>2931</v>
      </c>
      <c r="C12587">
        <v>16415</v>
      </c>
      <c r="D12587" t="str">
        <f>"255845      "</f>
        <v xml:space="preserve">255845      </v>
      </c>
      <c r="E12587" t="s">
        <v>2433</v>
      </c>
      <c r="F12587" t="s">
        <v>2434</v>
      </c>
      <c r="G12587">
        <v>85.97</v>
      </c>
      <c r="H12587">
        <v>251205</v>
      </c>
      <c r="I12587">
        <v>4600</v>
      </c>
      <c r="J12587" t="s">
        <v>278</v>
      </c>
      <c r="K12587">
        <v>85.97</v>
      </c>
      <c r="L12587">
        <v>17.47</v>
      </c>
      <c r="M12587">
        <v>17526</v>
      </c>
      <c r="N12587" t="s">
        <v>141</v>
      </c>
      <c r="O12587">
        <v>251208</v>
      </c>
      <c r="P12587">
        <v>68.5</v>
      </c>
    </row>
    <row r="12588" spans="1:16" x14ac:dyDescent="0.25">
      <c r="A12588" t="s">
        <v>3296</v>
      </c>
      <c r="B12588" t="s">
        <v>2931</v>
      </c>
      <c r="C12588">
        <v>17549</v>
      </c>
      <c r="D12588" t="str">
        <f t="shared" ref="D12588:D12594" si="181">"33841       "</f>
        <v xml:space="preserve">33841       </v>
      </c>
      <c r="E12588" t="s">
        <v>2761</v>
      </c>
      <c r="F12588" t="s">
        <v>2762</v>
      </c>
      <c r="G12588">
        <v>465.08</v>
      </c>
      <c r="H12588">
        <v>251211</v>
      </c>
      <c r="I12588">
        <v>4580</v>
      </c>
      <c r="J12588" t="s">
        <v>126</v>
      </c>
      <c r="K12588">
        <v>3577.49</v>
      </c>
      <c r="L12588">
        <v>94.5</v>
      </c>
      <c r="M12588">
        <v>41126</v>
      </c>
      <c r="N12588" t="s">
        <v>94</v>
      </c>
      <c r="O12588">
        <v>251222</v>
      </c>
      <c r="P12588">
        <v>370.58</v>
      </c>
    </row>
    <row r="12589" spans="1:16" x14ac:dyDescent="0.25">
      <c r="A12589" t="s">
        <v>3296</v>
      </c>
      <c r="B12589" t="s">
        <v>2931</v>
      </c>
      <c r="C12589">
        <v>17549</v>
      </c>
      <c r="D12589" t="str">
        <f t="shared" si="181"/>
        <v xml:space="preserve">33841       </v>
      </c>
      <c r="E12589" t="s">
        <v>2761</v>
      </c>
      <c r="F12589" t="s">
        <v>2762</v>
      </c>
      <c r="G12589">
        <v>357.75</v>
      </c>
      <c r="H12589">
        <v>251211</v>
      </c>
      <c r="I12589">
        <v>4580</v>
      </c>
      <c r="J12589" t="s">
        <v>126</v>
      </c>
      <c r="K12589">
        <v>3577.49</v>
      </c>
      <c r="L12589">
        <v>72.69</v>
      </c>
      <c r="M12589">
        <v>43222</v>
      </c>
      <c r="N12589" t="s">
        <v>95</v>
      </c>
      <c r="O12589">
        <v>251222</v>
      </c>
      <c r="P12589">
        <v>285.06</v>
      </c>
    </row>
    <row r="12590" spans="1:16" x14ac:dyDescent="0.25">
      <c r="A12590" t="s">
        <v>3296</v>
      </c>
      <c r="B12590" t="s">
        <v>2931</v>
      </c>
      <c r="C12590">
        <v>17549</v>
      </c>
      <c r="D12590" t="str">
        <f t="shared" si="181"/>
        <v xml:space="preserve">33841       </v>
      </c>
      <c r="E12590" t="s">
        <v>2761</v>
      </c>
      <c r="F12590" t="s">
        <v>2762</v>
      </c>
      <c r="G12590">
        <v>429.3</v>
      </c>
      <c r="H12590">
        <v>251211</v>
      </c>
      <c r="I12590">
        <v>4580</v>
      </c>
      <c r="J12590" t="s">
        <v>126</v>
      </c>
      <c r="K12590">
        <v>3577.49</v>
      </c>
      <c r="L12590">
        <v>87.23</v>
      </c>
      <c r="M12590">
        <v>44222</v>
      </c>
      <c r="N12590" t="s">
        <v>96</v>
      </c>
      <c r="O12590">
        <v>251222</v>
      </c>
      <c r="P12590">
        <v>342.07</v>
      </c>
    </row>
    <row r="12591" spans="1:16" x14ac:dyDescent="0.25">
      <c r="A12591" t="s">
        <v>3296</v>
      </c>
      <c r="B12591" t="s">
        <v>2931</v>
      </c>
      <c r="C12591">
        <v>17549</v>
      </c>
      <c r="D12591" t="str">
        <f t="shared" si="181"/>
        <v xml:space="preserve">33841       </v>
      </c>
      <c r="E12591" t="s">
        <v>2761</v>
      </c>
      <c r="F12591" t="s">
        <v>2762</v>
      </c>
      <c r="G12591">
        <v>465.07</v>
      </c>
      <c r="H12591">
        <v>251211</v>
      </c>
      <c r="I12591">
        <v>4580</v>
      </c>
      <c r="J12591" t="s">
        <v>126</v>
      </c>
      <c r="K12591">
        <v>3577.49</v>
      </c>
      <c r="L12591">
        <v>94.5</v>
      </c>
      <c r="M12591">
        <v>44424</v>
      </c>
      <c r="N12591" t="s">
        <v>99</v>
      </c>
      <c r="O12591">
        <v>251222</v>
      </c>
      <c r="P12591">
        <v>370.57</v>
      </c>
    </row>
    <row r="12592" spans="1:16" x14ac:dyDescent="0.25">
      <c r="A12592" t="s">
        <v>3296</v>
      </c>
      <c r="B12592" t="s">
        <v>2931</v>
      </c>
      <c r="C12592">
        <v>17549</v>
      </c>
      <c r="D12592" t="str">
        <f t="shared" si="181"/>
        <v xml:space="preserve">33841       </v>
      </c>
      <c r="E12592" t="s">
        <v>2761</v>
      </c>
      <c r="F12592" t="s">
        <v>2762</v>
      </c>
      <c r="G12592">
        <v>250.42</v>
      </c>
      <c r="H12592">
        <v>251211</v>
      </c>
      <c r="I12592">
        <v>4580</v>
      </c>
      <c r="J12592" t="s">
        <v>126</v>
      </c>
      <c r="K12592">
        <v>3577.49</v>
      </c>
      <c r="L12592">
        <v>50.88</v>
      </c>
      <c r="M12592">
        <v>46222</v>
      </c>
      <c r="N12592" t="s">
        <v>101</v>
      </c>
      <c r="O12592">
        <v>251222</v>
      </c>
      <c r="P12592">
        <v>199.54</v>
      </c>
    </row>
    <row r="12593" spans="1:16" x14ac:dyDescent="0.25">
      <c r="A12593" t="s">
        <v>3296</v>
      </c>
      <c r="B12593" t="s">
        <v>2931</v>
      </c>
      <c r="C12593">
        <v>17549</v>
      </c>
      <c r="D12593" t="str">
        <f t="shared" si="181"/>
        <v xml:space="preserve">33841       </v>
      </c>
      <c r="E12593" t="s">
        <v>2761</v>
      </c>
      <c r="F12593" t="s">
        <v>2762</v>
      </c>
      <c r="G12593">
        <v>1431</v>
      </c>
      <c r="H12593">
        <v>251211</v>
      </c>
      <c r="I12593">
        <v>4580</v>
      </c>
      <c r="J12593" t="s">
        <v>126</v>
      </c>
      <c r="K12593">
        <v>3577.49</v>
      </c>
      <c r="L12593">
        <v>290.76</v>
      </c>
      <c r="M12593">
        <v>46559</v>
      </c>
      <c r="N12593" t="s">
        <v>105</v>
      </c>
      <c r="O12593">
        <v>251222</v>
      </c>
      <c r="P12593">
        <v>1140.24</v>
      </c>
    </row>
    <row r="12594" spans="1:16" x14ac:dyDescent="0.25">
      <c r="A12594" t="s">
        <v>3296</v>
      </c>
      <c r="B12594" t="s">
        <v>2931</v>
      </c>
      <c r="C12594">
        <v>17549</v>
      </c>
      <c r="D12594" t="str">
        <f t="shared" si="181"/>
        <v xml:space="preserve">33841       </v>
      </c>
      <c r="E12594" t="s">
        <v>2761</v>
      </c>
      <c r="F12594" t="s">
        <v>2762</v>
      </c>
      <c r="G12594">
        <v>178.87</v>
      </c>
      <c r="H12594">
        <v>251211</v>
      </c>
      <c r="I12594">
        <v>4580</v>
      </c>
      <c r="J12594" t="s">
        <v>126</v>
      </c>
      <c r="K12594">
        <v>3577.49</v>
      </c>
      <c r="L12594">
        <v>36.340000000000003</v>
      </c>
      <c r="M12594">
        <v>47522</v>
      </c>
      <c r="N12594" t="s">
        <v>106</v>
      </c>
      <c r="O12594">
        <v>251222</v>
      </c>
      <c r="P12594">
        <v>142.53</v>
      </c>
    </row>
    <row r="12595" spans="1:16" x14ac:dyDescent="0.25">
      <c r="A12595" t="s">
        <v>3296</v>
      </c>
      <c r="B12595" t="s">
        <v>2931</v>
      </c>
      <c r="C12595">
        <v>17649</v>
      </c>
      <c r="D12595" t="str">
        <f>"33911       "</f>
        <v xml:space="preserve">33911       </v>
      </c>
      <c r="E12595" t="s">
        <v>2761</v>
      </c>
      <c r="F12595" t="s">
        <v>2762</v>
      </c>
      <c r="G12595">
        <v>119</v>
      </c>
      <c r="H12595">
        <v>251218</v>
      </c>
      <c r="I12595">
        <v>4580</v>
      </c>
      <c r="J12595" t="s">
        <v>126</v>
      </c>
      <c r="K12595">
        <v>357</v>
      </c>
      <c r="L12595">
        <v>24.18</v>
      </c>
      <c r="M12595">
        <v>13540</v>
      </c>
      <c r="N12595" t="s">
        <v>131</v>
      </c>
      <c r="O12595">
        <v>251229</v>
      </c>
      <c r="P12595">
        <v>94.82</v>
      </c>
    </row>
    <row r="12596" spans="1:16" x14ac:dyDescent="0.25">
      <c r="A12596" t="s">
        <v>3296</v>
      </c>
      <c r="B12596" t="s">
        <v>2931</v>
      </c>
      <c r="C12596">
        <v>17649</v>
      </c>
      <c r="D12596" t="str">
        <f>"33911       "</f>
        <v xml:space="preserve">33911       </v>
      </c>
      <c r="E12596" t="s">
        <v>2761</v>
      </c>
      <c r="F12596" t="s">
        <v>2762</v>
      </c>
      <c r="G12596">
        <v>238</v>
      </c>
      <c r="H12596">
        <v>251218</v>
      </c>
      <c r="I12596">
        <v>4580</v>
      </c>
      <c r="J12596" t="s">
        <v>126</v>
      </c>
      <c r="K12596">
        <v>357</v>
      </c>
      <c r="L12596">
        <v>48.36</v>
      </c>
      <c r="M12596">
        <v>17950</v>
      </c>
      <c r="N12596" t="s">
        <v>132</v>
      </c>
      <c r="O12596">
        <v>251229</v>
      </c>
      <c r="P12596">
        <v>189.64</v>
      </c>
    </row>
    <row r="12597" spans="1:16" x14ac:dyDescent="0.25">
      <c r="A12597" t="s">
        <v>3296</v>
      </c>
      <c r="B12597" t="s">
        <v>2931</v>
      </c>
      <c r="C12597">
        <v>14087</v>
      </c>
      <c r="D12597" t="str">
        <f>"13/2025     "</f>
        <v xml:space="preserve">13/2025     </v>
      </c>
      <c r="E12597" t="s">
        <v>2477</v>
      </c>
      <c r="F12597" t="s">
        <v>2478</v>
      </c>
      <c r="G12597">
        <v>18</v>
      </c>
      <c r="H12597">
        <v>251008</v>
      </c>
      <c r="I12597">
        <v>4510</v>
      </c>
      <c r="J12597" t="s">
        <v>240</v>
      </c>
      <c r="K12597">
        <v>18</v>
      </c>
      <c r="L12597">
        <v>2.21</v>
      </c>
      <c r="M12597">
        <v>13601</v>
      </c>
      <c r="N12597" t="s">
        <v>115</v>
      </c>
      <c r="O12597">
        <v>251023</v>
      </c>
      <c r="P12597">
        <v>15.79</v>
      </c>
    </row>
    <row r="12598" spans="1:16" x14ac:dyDescent="0.25">
      <c r="A12598" t="s">
        <v>3296</v>
      </c>
      <c r="B12598" t="s">
        <v>2931</v>
      </c>
      <c r="C12598">
        <v>3223</v>
      </c>
      <c r="D12598" t="str">
        <f>"10733       "</f>
        <v xml:space="preserve">10733       </v>
      </c>
      <c r="E12598" t="s">
        <v>1398</v>
      </c>
      <c r="F12598" t="s">
        <v>1399</v>
      </c>
      <c r="G12598">
        <v>103.84</v>
      </c>
      <c r="H12598">
        <v>250305</v>
      </c>
      <c r="I12598">
        <v>4600</v>
      </c>
      <c r="J12598" t="s">
        <v>278</v>
      </c>
      <c r="K12598">
        <v>103.84</v>
      </c>
      <c r="L12598">
        <v>21.1</v>
      </c>
      <c r="M12598">
        <v>17524</v>
      </c>
      <c r="N12598" t="s">
        <v>139</v>
      </c>
      <c r="O12598">
        <v>250317</v>
      </c>
      <c r="P12598">
        <v>82.74</v>
      </c>
    </row>
    <row r="12599" spans="1:16" x14ac:dyDescent="0.25">
      <c r="A12599" t="s">
        <v>3296</v>
      </c>
      <c r="B12599" t="s">
        <v>2931</v>
      </c>
      <c r="C12599">
        <v>3908</v>
      </c>
      <c r="D12599" t="str">
        <f>"10769       "</f>
        <v xml:space="preserve">10769       </v>
      </c>
      <c r="E12599" t="s">
        <v>1398</v>
      </c>
      <c r="F12599" t="s">
        <v>1399</v>
      </c>
      <c r="G12599">
        <v>51.92</v>
      </c>
      <c r="H12599">
        <v>250320</v>
      </c>
      <c r="I12599">
        <v>4600</v>
      </c>
      <c r="J12599" t="s">
        <v>278</v>
      </c>
      <c r="K12599">
        <v>51.92</v>
      </c>
      <c r="L12599">
        <v>10.55</v>
      </c>
      <c r="M12599">
        <v>17524</v>
      </c>
      <c r="N12599" t="s">
        <v>139</v>
      </c>
      <c r="O12599">
        <v>250403</v>
      </c>
      <c r="P12599">
        <v>41.37</v>
      </c>
    </row>
    <row r="12600" spans="1:16" x14ac:dyDescent="0.25">
      <c r="A12600" t="s">
        <v>3296</v>
      </c>
      <c r="B12600" t="s">
        <v>2931</v>
      </c>
      <c r="C12600">
        <v>179</v>
      </c>
      <c r="D12600" t="str">
        <f>"145985      "</f>
        <v xml:space="preserve">145985      </v>
      </c>
      <c r="E12600" t="s">
        <v>298</v>
      </c>
      <c r="F12600" t="s">
        <v>300</v>
      </c>
      <c r="G12600">
        <v>371.49</v>
      </c>
      <c r="H12600">
        <v>250109</v>
      </c>
      <c r="I12600">
        <v>4400</v>
      </c>
      <c r="J12600" t="s">
        <v>162</v>
      </c>
      <c r="K12600">
        <v>371.49</v>
      </c>
      <c r="L12600">
        <v>75.48</v>
      </c>
      <c r="M12600">
        <v>59114</v>
      </c>
      <c r="N12600" t="s">
        <v>299</v>
      </c>
      <c r="O12600">
        <v>250115</v>
      </c>
      <c r="P12600">
        <v>296.01</v>
      </c>
    </row>
    <row r="12601" spans="1:16" x14ac:dyDescent="0.25">
      <c r="A12601" t="s">
        <v>3296</v>
      </c>
      <c r="B12601" t="s">
        <v>2931</v>
      </c>
      <c r="C12601">
        <v>244</v>
      </c>
      <c r="D12601" t="str">
        <f>"146124      "</f>
        <v xml:space="preserve">146124      </v>
      </c>
      <c r="E12601" t="s">
        <v>298</v>
      </c>
      <c r="F12601" t="s">
        <v>300</v>
      </c>
      <c r="G12601">
        <v>189.04</v>
      </c>
      <c r="H12601">
        <v>250110</v>
      </c>
      <c r="I12601">
        <v>4400</v>
      </c>
      <c r="J12601" t="s">
        <v>162</v>
      </c>
      <c r="K12601">
        <v>378.08</v>
      </c>
      <c r="L12601">
        <v>38.409999999999997</v>
      </c>
      <c r="M12601">
        <v>14432</v>
      </c>
      <c r="N12601" t="s">
        <v>75</v>
      </c>
      <c r="O12601">
        <v>250120</v>
      </c>
      <c r="P12601">
        <v>150.63</v>
      </c>
    </row>
    <row r="12602" spans="1:16" x14ac:dyDescent="0.25">
      <c r="A12602" t="s">
        <v>3296</v>
      </c>
      <c r="B12602" t="s">
        <v>2931</v>
      </c>
      <c r="C12602">
        <v>244</v>
      </c>
      <c r="D12602" t="str">
        <f>"146124      "</f>
        <v xml:space="preserve">146124      </v>
      </c>
      <c r="E12602" t="s">
        <v>298</v>
      </c>
      <c r="F12602" t="s">
        <v>300</v>
      </c>
      <c r="G12602">
        <v>189.04</v>
      </c>
      <c r="H12602">
        <v>250110</v>
      </c>
      <c r="I12602">
        <v>4400</v>
      </c>
      <c r="J12602" t="s">
        <v>162</v>
      </c>
      <c r="K12602">
        <v>378.08</v>
      </c>
      <c r="L12602">
        <v>38.409999999999997</v>
      </c>
      <c r="M12602">
        <v>14912</v>
      </c>
      <c r="N12602" t="s">
        <v>80</v>
      </c>
      <c r="O12602">
        <v>250120</v>
      </c>
      <c r="P12602">
        <v>150.63</v>
      </c>
    </row>
    <row r="12603" spans="1:16" x14ac:dyDescent="0.25">
      <c r="A12603" t="s">
        <v>3296</v>
      </c>
      <c r="B12603" t="s">
        <v>2931</v>
      </c>
      <c r="C12603">
        <v>2592</v>
      </c>
      <c r="D12603" t="str">
        <f>"150160      "</f>
        <v xml:space="preserve">150160      </v>
      </c>
      <c r="E12603" t="s">
        <v>298</v>
      </c>
      <c r="F12603" t="s">
        <v>300</v>
      </c>
      <c r="G12603">
        <v>305.60000000000002</v>
      </c>
      <c r="H12603">
        <v>250219</v>
      </c>
      <c r="I12603">
        <v>4400</v>
      </c>
      <c r="J12603" t="s">
        <v>162</v>
      </c>
      <c r="K12603">
        <v>305.60000000000002</v>
      </c>
      <c r="L12603">
        <v>62.09</v>
      </c>
      <c r="M12603">
        <v>14912</v>
      </c>
      <c r="N12603" t="s">
        <v>80</v>
      </c>
      <c r="O12603">
        <v>250306</v>
      </c>
      <c r="P12603">
        <v>243.51</v>
      </c>
    </row>
    <row r="12604" spans="1:16" x14ac:dyDescent="0.25">
      <c r="A12604" t="s">
        <v>3296</v>
      </c>
      <c r="B12604" t="s">
        <v>2931</v>
      </c>
      <c r="C12604">
        <v>2918</v>
      </c>
      <c r="D12604" t="str">
        <f>"151474      "</f>
        <v xml:space="preserve">151474      </v>
      </c>
      <c r="E12604" t="s">
        <v>298</v>
      </c>
      <c r="F12604" t="s">
        <v>300</v>
      </c>
      <c r="G12604">
        <v>111.46</v>
      </c>
      <c r="H12604">
        <v>250228</v>
      </c>
      <c r="I12604">
        <v>4400</v>
      </c>
      <c r="J12604" t="s">
        <v>162</v>
      </c>
      <c r="K12604">
        <v>111.46</v>
      </c>
      <c r="L12604">
        <v>22.65</v>
      </c>
      <c r="M12604">
        <v>49501</v>
      </c>
      <c r="N12604" t="s">
        <v>110</v>
      </c>
      <c r="O12604">
        <v>250313</v>
      </c>
      <c r="P12604">
        <v>88.81</v>
      </c>
    </row>
    <row r="12605" spans="1:16" x14ac:dyDescent="0.25">
      <c r="A12605" t="s">
        <v>3296</v>
      </c>
      <c r="B12605" t="s">
        <v>2931</v>
      </c>
      <c r="C12605">
        <v>3523</v>
      </c>
      <c r="D12605" t="str">
        <f>"152140      "</f>
        <v xml:space="preserve">152140      </v>
      </c>
      <c r="E12605" t="s">
        <v>298</v>
      </c>
      <c r="F12605" t="s">
        <v>300</v>
      </c>
      <c r="G12605">
        <v>189.24</v>
      </c>
      <c r="H12605">
        <v>250311</v>
      </c>
      <c r="I12605">
        <v>4400</v>
      </c>
      <c r="J12605" t="s">
        <v>162</v>
      </c>
      <c r="K12605">
        <v>189.24</v>
      </c>
      <c r="L12605">
        <v>38.450000000000003</v>
      </c>
      <c r="M12605">
        <v>14640</v>
      </c>
      <c r="N12605" t="s">
        <v>78</v>
      </c>
      <c r="O12605">
        <v>250325</v>
      </c>
      <c r="P12605">
        <v>150.79</v>
      </c>
    </row>
    <row r="12606" spans="1:16" x14ac:dyDescent="0.25">
      <c r="A12606" t="s">
        <v>3296</v>
      </c>
      <c r="B12606" t="s">
        <v>2931</v>
      </c>
      <c r="C12606">
        <v>3561</v>
      </c>
      <c r="D12606" t="str">
        <f>"152461      "</f>
        <v xml:space="preserve">152461      </v>
      </c>
      <c r="E12606" t="s">
        <v>298</v>
      </c>
      <c r="F12606" t="s">
        <v>300</v>
      </c>
      <c r="G12606">
        <v>339.58</v>
      </c>
      <c r="H12606">
        <v>250313</v>
      </c>
      <c r="I12606">
        <v>4400</v>
      </c>
      <c r="J12606" t="s">
        <v>162</v>
      </c>
      <c r="K12606">
        <v>339.58</v>
      </c>
      <c r="L12606">
        <v>69</v>
      </c>
      <c r="M12606">
        <v>14640</v>
      </c>
      <c r="N12606" t="s">
        <v>78</v>
      </c>
      <c r="O12606">
        <v>250325</v>
      </c>
      <c r="P12606">
        <v>270.58</v>
      </c>
    </row>
    <row r="12607" spans="1:16" x14ac:dyDescent="0.25">
      <c r="A12607" t="s">
        <v>3296</v>
      </c>
      <c r="B12607" t="s">
        <v>2931</v>
      </c>
      <c r="C12607">
        <v>3883</v>
      </c>
      <c r="D12607" t="str">
        <f>"153121      "</f>
        <v xml:space="preserve">153121      </v>
      </c>
      <c r="E12607" t="s">
        <v>298</v>
      </c>
      <c r="F12607" t="s">
        <v>300</v>
      </c>
      <c r="G12607">
        <v>171.95</v>
      </c>
      <c r="H12607">
        <v>250320</v>
      </c>
      <c r="I12607">
        <v>4400</v>
      </c>
      <c r="J12607" t="s">
        <v>162</v>
      </c>
      <c r="K12607">
        <v>343.9</v>
      </c>
      <c r="L12607">
        <v>34.94</v>
      </c>
      <c r="M12607">
        <v>14422</v>
      </c>
      <c r="N12607" t="s">
        <v>73</v>
      </c>
      <c r="O12607">
        <v>250403</v>
      </c>
      <c r="P12607">
        <v>137.01</v>
      </c>
    </row>
    <row r="12608" spans="1:16" x14ac:dyDescent="0.25">
      <c r="A12608" t="s">
        <v>3296</v>
      </c>
      <c r="B12608" t="s">
        <v>2931</v>
      </c>
      <c r="C12608">
        <v>3883</v>
      </c>
      <c r="D12608" t="str">
        <f>"153121      "</f>
        <v xml:space="preserve">153121      </v>
      </c>
      <c r="E12608" t="s">
        <v>298</v>
      </c>
      <c r="F12608" t="s">
        <v>300</v>
      </c>
      <c r="G12608">
        <v>171.95</v>
      </c>
      <c r="H12608">
        <v>250320</v>
      </c>
      <c r="I12608">
        <v>4400</v>
      </c>
      <c r="J12608" t="s">
        <v>162</v>
      </c>
      <c r="K12608">
        <v>343.9</v>
      </c>
      <c r="L12608">
        <v>34.94</v>
      </c>
      <c r="M12608">
        <v>14640</v>
      </c>
      <c r="N12608" t="s">
        <v>78</v>
      </c>
      <c r="O12608">
        <v>250403</v>
      </c>
      <c r="P12608">
        <v>137.01</v>
      </c>
    </row>
    <row r="12609" spans="1:16" x14ac:dyDescent="0.25">
      <c r="A12609" t="s">
        <v>3296</v>
      </c>
      <c r="B12609" t="s">
        <v>2931</v>
      </c>
      <c r="C12609">
        <v>3907</v>
      </c>
      <c r="D12609" t="str">
        <f>"153123      "</f>
        <v xml:space="preserve">153123      </v>
      </c>
      <c r="E12609" t="s">
        <v>298</v>
      </c>
      <c r="F12609" t="s">
        <v>300</v>
      </c>
      <c r="G12609">
        <v>72.11</v>
      </c>
      <c r="H12609">
        <v>250320</v>
      </c>
      <c r="I12609">
        <v>4400</v>
      </c>
      <c r="J12609" t="s">
        <v>162</v>
      </c>
      <c r="K12609">
        <v>655.55</v>
      </c>
      <c r="L12609">
        <v>14.65</v>
      </c>
      <c r="M12609">
        <v>13552</v>
      </c>
      <c r="N12609" t="s">
        <v>133</v>
      </c>
      <c r="O12609">
        <v>250403</v>
      </c>
      <c r="P12609">
        <v>57.46</v>
      </c>
    </row>
    <row r="12610" spans="1:16" x14ac:dyDescent="0.25">
      <c r="A12610" t="s">
        <v>3296</v>
      </c>
      <c r="B12610" t="s">
        <v>2931</v>
      </c>
      <c r="C12610">
        <v>3907</v>
      </c>
      <c r="D12610" t="str">
        <f>"153123      "</f>
        <v xml:space="preserve">153123      </v>
      </c>
      <c r="E12610" t="s">
        <v>298</v>
      </c>
      <c r="F12610" t="s">
        <v>300</v>
      </c>
      <c r="G12610">
        <v>583.44000000000005</v>
      </c>
      <c r="H12610">
        <v>250320</v>
      </c>
      <c r="I12610">
        <v>4400</v>
      </c>
      <c r="J12610" t="s">
        <v>162</v>
      </c>
      <c r="K12610">
        <v>655.55</v>
      </c>
      <c r="L12610">
        <v>118.55</v>
      </c>
      <c r="M12610">
        <v>17918</v>
      </c>
      <c r="N12610" t="s">
        <v>152</v>
      </c>
      <c r="O12610">
        <v>250403</v>
      </c>
      <c r="P12610">
        <v>464.89</v>
      </c>
    </row>
    <row r="12611" spans="1:16" x14ac:dyDescent="0.25">
      <c r="A12611" t="s">
        <v>3296</v>
      </c>
      <c r="B12611" t="s">
        <v>2931</v>
      </c>
      <c r="C12611">
        <v>4255</v>
      </c>
      <c r="D12611" t="str">
        <f>"154140      "</f>
        <v xml:space="preserve">154140      </v>
      </c>
      <c r="E12611" t="s">
        <v>298</v>
      </c>
      <c r="F12611" t="s">
        <v>300</v>
      </c>
      <c r="G12611">
        <v>825.98</v>
      </c>
      <c r="H12611">
        <v>250327</v>
      </c>
      <c r="I12611">
        <v>4400</v>
      </c>
      <c r="J12611" t="s">
        <v>162</v>
      </c>
      <c r="K12611">
        <v>825.98</v>
      </c>
      <c r="L12611">
        <v>167.83</v>
      </c>
      <c r="M12611">
        <v>49501</v>
      </c>
      <c r="N12611" t="s">
        <v>110</v>
      </c>
      <c r="O12611">
        <v>250409</v>
      </c>
      <c r="P12611">
        <v>658.15</v>
      </c>
    </row>
    <row r="12612" spans="1:16" x14ac:dyDescent="0.25">
      <c r="A12612" t="s">
        <v>3296</v>
      </c>
      <c r="B12612" t="s">
        <v>2931</v>
      </c>
      <c r="C12612">
        <v>4268</v>
      </c>
      <c r="D12612" t="str">
        <f>"154247      "</f>
        <v xml:space="preserve">154247      </v>
      </c>
      <c r="E12612" t="s">
        <v>298</v>
      </c>
      <c r="F12612" t="s">
        <v>300</v>
      </c>
      <c r="G12612">
        <v>548.75</v>
      </c>
      <c r="H12612">
        <v>250328</v>
      </c>
      <c r="I12612">
        <v>4400</v>
      </c>
      <c r="J12612" t="s">
        <v>162</v>
      </c>
      <c r="K12612">
        <v>548.75</v>
      </c>
      <c r="L12612">
        <v>111.5</v>
      </c>
      <c r="M12612">
        <v>14640</v>
      </c>
      <c r="N12612" t="s">
        <v>78</v>
      </c>
      <c r="O12612">
        <v>250409</v>
      </c>
      <c r="P12612">
        <v>437.25</v>
      </c>
    </row>
    <row r="12613" spans="1:16" x14ac:dyDescent="0.25">
      <c r="A12613" t="s">
        <v>3296</v>
      </c>
      <c r="B12613" t="s">
        <v>2931</v>
      </c>
      <c r="C12613">
        <v>4472</v>
      </c>
      <c r="D12613" t="str">
        <f>"154573      "</f>
        <v xml:space="preserve">154573      </v>
      </c>
      <c r="E12613" t="s">
        <v>298</v>
      </c>
      <c r="F12613" t="s">
        <v>300</v>
      </c>
      <c r="G12613">
        <v>151.61000000000001</v>
      </c>
      <c r="H12613">
        <v>250331</v>
      </c>
      <c r="I12613">
        <v>4400</v>
      </c>
      <c r="J12613" t="s">
        <v>162</v>
      </c>
      <c r="K12613">
        <v>1378.31</v>
      </c>
      <c r="L12613">
        <v>30.81</v>
      </c>
      <c r="M12613">
        <v>13552</v>
      </c>
      <c r="N12613" t="s">
        <v>133</v>
      </c>
      <c r="O12613">
        <v>250411</v>
      </c>
      <c r="P12613">
        <v>120.8</v>
      </c>
    </row>
    <row r="12614" spans="1:16" x14ac:dyDescent="0.25">
      <c r="A12614" t="s">
        <v>3296</v>
      </c>
      <c r="B12614" t="s">
        <v>2931</v>
      </c>
      <c r="C12614">
        <v>4472</v>
      </c>
      <c r="D12614" t="str">
        <f>"154573      "</f>
        <v xml:space="preserve">154573      </v>
      </c>
      <c r="E12614" t="s">
        <v>298</v>
      </c>
      <c r="F12614" t="s">
        <v>300</v>
      </c>
      <c r="G12614">
        <v>1226.7</v>
      </c>
      <c r="H12614">
        <v>250331</v>
      </c>
      <c r="I12614">
        <v>4400</v>
      </c>
      <c r="J12614" t="s">
        <v>162</v>
      </c>
      <c r="K12614">
        <v>1378.31</v>
      </c>
      <c r="L12614">
        <v>249.25</v>
      </c>
      <c r="M12614">
        <v>17918</v>
      </c>
      <c r="N12614" t="s">
        <v>152</v>
      </c>
      <c r="O12614">
        <v>250411</v>
      </c>
      <c r="P12614">
        <v>977.45</v>
      </c>
    </row>
    <row r="12615" spans="1:16" x14ac:dyDescent="0.25">
      <c r="A12615" t="s">
        <v>3296</v>
      </c>
      <c r="B12615" t="s">
        <v>2931</v>
      </c>
      <c r="C12615">
        <v>5123</v>
      </c>
      <c r="D12615" t="str">
        <f>"155037      "</f>
        <v xml:space="preserve">155037      </v>
      </c>
      <c r="E12615" t="s">
        <v>298</v>
      </c>
      <c r="F12615" t="s">
        <v>300</v>
      </c>
      <c r="G12615">
        <v>272.72000000000003</v>
      </c>
      <c r="H12615">
        <v>250404</v>
      </c>
      <c r="I12615">
        <v>4400</v>
      </c>
      <c r="J12615" t="s">
        <v>162</v>
      </c>
      <c r="K12615">
        <v>272.72000000000003</v>
      </c>
      <c r="L12615">
        <v>55.41</v>
      </c>
      <c r="M12615">
        <v>14912</v>
      </c>
      <c r="N12615" t="s">
        <v>80</v>
      </c>
      <c r="O12615">
        <v>250417</v>
      </c>
      <c r="P12615">
        <v>217.31</v>
      </c>
    </row>
    <row r="12616" spans="1:16" x14ac:dyDescent="0.25">
      <c r="A12616" t="s">
        <v>3296</v>
      </c>
      <c r="B12616" t="s">
        <v>2931</v>
      </c>
      <c r="C12616">
        <v>5486</v>
      </c>
      <c r="D12616" t="str">
        <f>"155952      "</f>
        <v xml:space="preserve">155952      </v>
      </c>
      <c r="E12616" t="s">
        <v>298</v>
      </c>
      <c r="F12616" t="s">
        <v>300</v>
      </c>
      <c r="G12616">
        <v>47.2</v>
      </c>
      <c r="H12616">
        <v>250417</v>
      </c>
      <c r="I12616">
        <v>4400</v>
      </c>
      <c r="J12616" t="s">
        <v>162</v>
      </c>
      <c r="K12616">
        <v>429.05</v>
      </c>
      <c r="L12616">
        <v>9.59</v>
      </c>
      <c r="M12616">
        <v>13552</v>
      </c>
      <c r="N12616" t="s">
        <v>133</v>
      </c>
      <c r="O12616">
        <v>250424</v>
      </c>
      <c r="P12616">
        <v>37.61</v>
      </c>
    </row>
    <row r="12617" spans="1:16" x14ac:dyDescent="0.25">
      <c r="A12617" t="s">
        <v>3296</v>
      </c>
      <c r="B12617" t="s">
        <v>2931</v>
      </c>
      <c r="C12617">
        <v>5486</v>
      </c>
      <c r="D12617" t="str">
        <f>"155952      "</f>
        <v xml:space="preserve">155952      </v>
      </c>
      <c r="E12617" t="s">
        <v>298</v>
      </c>
      <c r="F12617" t="s">
        <v>300</v>
      </c>
      <c r="G12617">
        <v>381.85</v>
      </c>
      <c r="H12617">
        <v>250417</v>
      </c>
      <c r="I12617">
        <v>4400</v>
      </c>
      <c r="J12617" t="s">
        <v>162</v>
      </c>
      <c r="K12617">
        <v>429.05</v>
      </c>
      <c r="L12617">
        <v>77.59</v>
      </c>
      <c r="M12617">
        <v>17918</v>
      </c>
      <c r="N12617" t="s">
        <v>152</v>
      </c>
      <c r="O12617">
        <v>250424</v>
      </c>
      <c r="P12617">
        <v>304.26</v>
      </c>
    </row>
    <row r="12618" spans="1:16" x14ac:dyDescent="0.25">
      <c r="A12618" t="s">
        <v>3296</v>
      </c>
      <c r="B12618" t="s">
        <v>2931</v>
      </c>
      <c r="C12618">
        <v>5812</v>
      </c>
      <c r="D12618" t="str">
        <f>"157047      "</f>
        <v xml:space="preserve">157047      </v>
      </c>
      <c r="E12618" t="s">
        <v>298</v>
      </c>
      <c r="F12618" t="s">
        <v>300</v>
      </c>
      <c r="G12618">
        <v>627.39</v>
      </c>
      <c r="H12618">
        <v>250427</v>
      </c>
      <c r="I12618">
        <v>4400</v>
      </c>
      <c r="J12618" t="s">
        <v>162</v>
      </c>
      <c r="K12618">
        <v>627.39</v>
      </c>
      <c r="L12618">
        <v>127.48</v>
      </c>
      <c r="M12618">
        <v>49501</v>
      </c>
      <c r="N12618" t="s">
        <v>110</v>
      </c>
      <c r="O12618">
        <v>250505</v>
      </c>
      <c r="P12618">
        <v>499.91</v>
      </c>
    </row>
    <row r="12619" spans="1:16" x14ac:dyDescent="0.25">
      <c r="A12619" t="s">
        <v>3296</v>
      </c>
      <c r="B12619" t="s">
        <v>2931</v>
      </c>
      <c r="C12619">
        <v>6859</v>
      </c>
      <c r="D12619" t="str">
        <f>"159024      "</f>
        <v xml:space="preserve">159024      </v>
      </c>
      <c r="E12619" t="s">
        <v>298</v>
      </c>
      <c r="F12619" t="s">
        <v>300</v>
      </c>
      <c r="G12619">
        <v>396.87</v>
      </c>
      <c r="H12619">
        <v>250514</v>
      </c>
      <c r="I12619">
        <v>4400</v>
      </c>
      <c r="J12619" t="s">
        <v>162</v>
      </c>
      <c r="K12619">
        <v>396.87</v>
      </c>
      <c r="L12619">
        <v>80.64</v>
      </c>
      <c r="M12619">
        <v>54451</v>
      </c>
      <c r="N12619" t="s">
        <v>218</v>
      </c>
      <c r="O12619">
        <v>250519</v>
      </c>
      <c r="P12619">
        <v>316.23</v>
      </c>
    </row>
    <row r="12620" spans="1:16" x14ac:dyDescent="0.25">
      <c r="A12620" t="s">
        <v>3296</v>
      </c>
      <c r="B12620" t="s">
        <v>2931</v>
      </c>
      <c r="C12620">
        <v>7534</v>
      </c>
      <c r="D12620" t="str">
        <f>"160693      "</f>
        <v xml:space="preserve">160693      </v>
      </c>
      <c r="E12620" t="s">
        <v>298</v>
      </c>
      <c r="F12620" t="s">
        <v>300</v>
      </c>
      <c r="G12620">
        <v>1316.25</v>
      </c>
      <c r="H12620">
        <v>250526</v>
      </c>
      <c r="I12620">
        <v>4400</v>
      </c>
      <c r="J12620" t="s">
        <v>162</v>
      </c>
      <c r="K12620">
        <v>1316.25</v>
      </c>
      <c r="L12620">
        <v>267.45</v>
      </c>
      <c r="M12620">
        <v>49501</v>
      </c>
      <c r="N12620" t="s">
        <v>110</v>
      </c>
      <c r="O12620">
        <v>250604</v>
      </c>
      <c r="P12620">
        <v>1048.8</v>
      </c>
    </row>
    <row r="12621" spans="1:16" x14ac:dyDescent="0.25">
      <c r="A12621" t="s">
        <v>3296</v>
      </c>
      <c r="B12621" t="s">
        <v>2931</v>
      </c>
      <c r="C12621">
        <v>7564</v>
      </c>
      <c r="D12621" t="str">
        <f>"160692      "</f>
        <v xml:space="preserve">160692      </v>
      </c>
      <c r="E12621" t="s">
        <v>298</v>
      </c>
      <c r="F12621" t="s">
        <v>300</v>
      </c>
      <c r="G12621">
        <v>2965.41</v>
      </c>
      <c r="H12621">
        <v>250526</v>
      </c>
      <c r="I12621">
        <v>4400</v>
      </c>
      <c r="J12621" t="s">
        <v>162</v>
      </c>
      <c r="K12621">
        <v>2965.41</v>
      </c>
      <c r="L12621">
        <v>602.53</v>
      </c>
      <c r="M12621">
        <v>49501</v>
      </c>
      <c r="N12621" t="s">
        <v>110</v>
      </c>
      <c r="O12621">
        <v>250604</v>
      </c>
      <c r="P12621">
        <v>2362.88</v>
      </c>
    </row>
    <row r="12622" spans="1:16" x14ac:dyDescent="0.25">
      <c r="A12622" t="s">
        <v>3296</v>
      </c>
      <c r="B12622" t="s">
        <v>2931</v>
      </c>
      <c r="C12622">
        <v>7574</v>
      </c>
      <c r="D12622" t="str">
        <f>"160773      "</f>
        <v xml:space="preserve">160773      </v>
      </c>
      <c r="E12622" t="s">
        <v>298</v>
      </c>
      <c r="F12622" t="s">
        <v>300</v>
      </c>
      <c r="G12622">
        <v>1213.0999999999999</v>
      </c>
      <c r="H12622">
        <v>250527</v>
      </c>
      <c r="I12622">
        <v>4400</v>
      </c>
      <c r="J12622" t="s">
        <v>162</v>
      </c>
      <c r="K12622">
        <v>1213.0999999999999</v>
      </c>
      <c r="L12622">
        <v>246.49</v>
      </c>
      <c r="M12622">
        <v>54451</v>
      </c>
      <c r="N12622" t="s">
        <v>218</v>
      </c>
      <c r="O12622">
        <v>250604</v>
      </c>
      <c r="P12622">
        <v>966.61</v>
      </c>
    </row>
    <row r="12623" spans="1:16" x14ac:dyDescent="0.25">
      <c r="A12623" t="s">
        <v>3296</v>
      </c>
      <c r="B12623" t="s">
        <v>2931</v>
      </c>
      <c r="C12623">
        <v>7842</v>
      </c>
      <c r="D12623" t="str">
        <f>"161463      "</f>
        <v xml:space="preserve">161463      </v>
      </c>
      <c r="E12623" t="s">
        <v>298</v>
      </c>
      <c r="F12623" t="s">
        <v>300</v>
      </c>
      <c r="G12623">
        <v>1424.26</v>
      </c>
      <c r="H12623">
        <v>250530</v>
      </c>
      <c r="I12623">
        <v>4400</v>
      </c>
      <c r="J12623" t="s">
        <v>162</v>
      </c>
      <c r="K12623">
        <v>1424.26</v>
      </c>
      <c r="L12623">
        <v>289.39</v>
      </c>
      <c r="M12623">
        <v>54451</v>
      </c>
      <c r="N12623" t="s">
        <v>218</v>
      </c>
      <c r="O12623">
        <v>250609</v>
      </c>
      <c r="P12623">
        <v>1134.8699999999999</v>
      </c>
    </row>
    <row r="12624" spans="1:16" x14ac:dyDescent="0.25">
      <c r="A12624" t="s">
        <v>3296</v>
      </c>
      <c r="B12624" t="s">
        <v>2931</v>
      </c>
      <c r="C12624">
        <v>8922</v>
      </c>
      <c r="D12624" t="str">
        <f>"163387      "</f>
        <v xml:space="preserve">163387      </v>
      </c>
      <c r="E12624" t="s">
        <v>298</v>
      </c>
      <c r="F12624" t="s">
        <v>300</v>
      </c>
      <c r="G12624">
        <v>681.86</v>
      </c>
      <c r="H12624">
        <v>250618</v>
      </c>
      <c r="I12624">
        <v>4400</v>
      </c>
      <c r="J12624" t="s">
        <v>162</v>
      </c>
      <c r="K12624">
        <v>681.86</v>
      </c>
      <c r="L12624">
        <v>138.55000000000001</v>
      </c>
      <c r="M12624">
        <v>56563</v>
      </c>
      <c r="N12624" t="s">
        <v>55</v>
      </c>
      <c r="O12624">
        <v>250619</v>
      </c>
      <c r="P12624">
        <v>543.30999999999995</v>
      </c>
    </row>
    <row r="12625" spans="1:16" x14ac:dyDescent="0.25">
      <c r="A12625" t="s">
        <v>3296</v>
      </c>
      <c r="B12625" t="s">
        <v>2931</v>
      </c>
      <c r="C12625">
        <v>9032</v>
      </c>
      <c r="D12625" t="str">
        <f>"162929      "</f>
        <v xml:space="preserve">162929      </v>
      </c>
      <c r="E12625" t="s">
        <v>298</v>
      </c>
      <c r="F12625" t="s">
        <v>300</v>
      </c>
      <c r="G12625">
        <v>74.569999999999993</v>
      </c>
      <c r="H12625">
        <v>250613</v>
      </c>
      <c r="I12625">
        <v>4400</v>
      </c>
      <c r="J12625" t="s">
        <v>162</v>
      </c>
      <c r="K12625">
        <v>677.94</v>
      </c>
      <c r="L12625">
        <v>15.15</v>
      </c>
      <c r="M12625">
        <v>13540</v>
      </c>
      <c r="N12625" t="s">
        <v>131</v>
      </c>
      <c r="O12625">
        <v>250626</v>
      </c>
      <c r="P12625">
        <v>59.42</v>
      </c>
    </row>
    <row r="12626" spans="1:16" x14ac:dyDescent="0.25">
      <c r="A12626" t="s">
        <v>3296</v>
      </c>
      <c r="B12626" t="s">
        <v>2931</v>
      </c>
      <c r="C12626">
        <v>9032</v>
      </c>
      <c r="D12626" t="str">
        <f>"162929      "</f>
        <v xml:space="preserve">162929      </v>
      </c>
      <c r="E12626" t="s">
        <v>298</v>
      </c>
      <c r="F12626" t="s">
        <v>300</v>
      </c>
      <c r="G12626">
        <v>603.37</v>
      </c>
      <c r="H12626">
        <v>250613</v>
      </c>
      <c r="I12626">
        <v>4400</v>
      </c>
      <c r="J12626" t="s">
        <v>162</v>
      </c>
      <c r="K12626">
        <v>677.94</v>
      </c>
      <c r="L12626">
        <v>122.6</v>
      </c>
      <c r="M12626">
        <v>17950</v>
      </c>
      <c r="N12626" t="s">
        <v>132</v>
      </c>
      <c r="O12626">
        <v>250626</v>
      </c>
      <c r="P12626">
        <v>480.77</v>
      </c>
    </row>
    <row r="12627" spans="1:16" x14ac:dyDescent="0.25">
      <c r="A12627" t="s">
        <v>3296</v>
      </c>
      <c r="B12627" t="s">
        <v>2931</v>
      </c>
      <c r="C12627">
        <v>9145</v>
      </c>
      <c r="D12627" t="str">
        <f>"163384      "</f>
        <v xml:space="preserve">163384      </v>
      </c>
      <c r="E12627" t="s">
        <v>298</v>
      </c>
      <c r="F12627" t="s">
        <v>300</v>
      </c>
      <c r="G12627">
        <v>950.04</v>
      </c>
      <c r="H12627">
        <v>250618</v>
      </c>
      <c r="I12627">
        <v>4400</v>
      </c>
      <c r="J12627" t="s">
        <v>162</v>
      </c>
      <c r="K12627">
        <v>950.04</v>
      </c>
      <c r="L12627">
        <v>193.04</v>
      </c>
      <c r="M12627">
        <v>54451</v>
      </c>
      <c r="N12627" t="s">
        <v>218</v>
      </c>
      <c r="O12627">
        <v>250627</v>
      </c>
      <c r="P12627">
        <v>757</v>
      </c>
    </row>
    <row r="12628" spans="1:16" x14ac:dyDescent="0.25">
      <c r="A12628" t="s">
        <v>3296</v>
      </c>
      <c r="B12628" t="s">
        <v>2931</v>
      </c>
      <c r="C12628">
        <v>9197</v>
      </c>
      <c r="D12628" t="str">
        <f>"163878      "</f>
        <v xml:space="preserve">163878      </v>
      </c>
      <c r="E12628" t="s">
        <v>298</v>
      </c>
      <c r="F12628" t="s">
        <v>300</v>
      </c>
      <c r="G12628">
        <v>151.37</v>
      </c>
      <c r="H12628">
        <v>250624</v>
      </c>
      <c r="I12628">
        <v>4400</v>
      </c>
      <c r="J12628" t="s">
        <v>162</v>
      </c>
      <c r="K12628">
        <v>151.37</v>
      </c>
      <c r="L12628">
        <v>30.76</v>
      </c>
      <c r="M12628">
        <v>56563</v>
      </c>
      <c r="N12628" t="s">
        <v>55</v>
      </c>
      <c r="O12628">
        <v>250627</v>
      </c>
      <c r="P12628">
        <v>120.61</v>
      </c>
    </row>
    <row r="12629" spans="1:16" x14ac:dyDescent="0.25">
      <c r="A12629" t="s">
        <v>3296</v>
      </c>
      <c r="B12629" t="s">
        <v>2931</v>
      </c>
      <c r="C12629">
        <v>9198</v>
      </c>
      <c r="D12629" t="str">
        <f>"163943      "</f>
        <v xml:space="preserve">163943      </v>
      </c>
      <c r="E12629" t="s">
        <v>298</v>
      </c>
      <c r="F12629" t="s">
        <v>300</v>
      </c>
      <c r="G12629">
        <v>1662.88</v>
      </c>
      <c r="H12629">
        <v>250625</v>
      </c>
      <c r="I12629">
        <v>4400</v>
      </c>
      <c r="J12629" t="s">
        <v>162</v>
      </c>
      <c r="K12629">
        <v>1662.88</v>
      </c>
      <c r="L12629">
        <v>337.88</v>
      </c>
      <c r="M12629">
        <v>54451</v>
      </c>
      <c r="N12629" t="s">
        <v>218</v>
      </c>
      <c r="O12629">
        <v>250627</v>
      </c>
      <c r="P12629">
        <v>1325</v>
      </c>
    </row>
    <row r="12630" spans="1:16" x14ac:dyDescent="0.25">
      <c r="A12630" t="s">
        <v>3296</v>
      </c>
      <c r="B12630" t="s">
        <v>2931</v>
      </c>
      <c r="C12630">
        <v>9199</v>
      </c>
      <c r="D12630" t="str">
        <f>"163954      "</f>
        <v xml:space="preserve">163954      </v>
      </c>
      <c r="E12630" t="s">
        <v>298</v>
      </c>
      <c r="F12630" t="s">
        <v>300</v>
      </c>
      <c r="G12630">
        <v>89.19</v>
      </c>
      <c r="H12630">
        <v>250625</v>
      </c>
      <c r="I12630">
        <v>4400</v>
      </c>
      <c r="J12630" t="s">
        <v>162</v>
      </c>
      <c r="K12630">
        <v>89.19</v>
      </c>
      <c r="L12630">
        <v>18.12</v>
      </c>
      <c r="M12630">
        <v>54451</v>
      </c>
      <c r="N12630" t="s">
        <v>218</v>
      </c>
      <c r="O12630">
        <v>250627</v>
      </c>
      <c r="P12630">
        <v>71.069999999999993</v>
      </c>
    </row>
    <row r="12631" spans="1:16" x14ac:dyDescent="0.25">
      <c r="A12631" t="s">
        <v>3296</v>
      </c>
      <c r="B12631" t="s">
        <v>2931</v>
      </c>
      <c r="C12631">
        <v>9202</v>
      </c>
      <c r="D12631" t="str">
        <f>"164019      "</f>
        <v xml:space="preserve">164019      </v>
      </c>
      <c r="E12631" t="s">
        <v>298</v>
      </c>
      <c r="F12631" t="s">
        <v>300</v>
      </c>
      <c r="G12631">
        <v>712.84</v>
      </c>
      <c r="H12631">
        <v>250625</v>
      </c>
      <c r="I12631">
        <v>4400</v>
      </c>
      <c r="J12631" t="s">
        <v>162</v>
      </c>
      <c r="K12631">
        <v>712.84</v>
      </c>
      <c r="L12631">
        <v>144.84</v>
      </c>
      <c r="M12631">
        <v>56563</v>
      </c>
      <c r="N12631" t="s">
        <v>55</v>
      </c>
      <c r="O12631">
        <v>250627</v>
      </c>
      <c r="P12631">
        <v>568</v>
      </c>
    </row>
    <row r="12632" spans="1:16" x14ac:dyDescent="0.25">
      <c r="A12632" t="s">
        <v>3296</v>
      </c>
      <c r="B12632" t="s">
        <v>2931</v>
      </c>
      <c r="C12632">
        <v>9204</v>
      </c>
      <c r="D12632" t="str">
        <f>"163961      "</f>
        <v xml:space="preserve">163961      </v>
      </c>
      <c r="E12632" t="s">
        <v>298</v>
      </c>
      <c r="F12632" t="s">
        <v>300</v>
      </c>
      <c r="G12632">
        <v>863.73</v>
      </c>
      <c r="H12632">
        <v>250625</v>
      </c>
      <c r="I12632">
        <v>4400</v>
      </c>
      <c r="J12632" t="s">
        <v>162</v>
      </c>
      <c r="K12632">
        <v>863.73</v>
      </c>
      <c r="L12632">
        <v>175.5</v>
      </c>
      <c r="M12632">
        <v>54451</v>
      </c>
      <c r="N12632" t="s">
        <v>218</v>
      </c>
      <c r="O12632">
        <v>250627</v>
      </c>
      <c r="P12632">
        <v>688.23</v>
      </c>
    </row>
    <row r="12633" spans="1:16" x14ac:dyDescent="0.25">
      <c r="A12633" t="s">
        <v>3296</v>
      </c>
      <c r="B12633" t="s">
        <v>2931</v>
      </c>
      <c r="C12633">
        <v>9744</v>
      </c>
      <c r="D12633" t="str">
        <f>"165709      "</f>
        <v xml:space="preserve">165709      </v>
      </c>
      <c r="E12633" t="s">
        <v>298</v>
      </c>
      <c r="F12633" t="s">
        <v>300</v>
      </c>
      <c r="G12633">
        <v>1251.24</v>
      </c>
      <c r="H12633">
        <v>250711</v>
      </c>
      <c r="I12633">
        <v>4400</v>
      </c>
      <c r="J12633" t="s">
        <v>162</v>
      </c>
      <c r="K12633">
        <v>1251.24</v>
      </c>
      <c r="L12633">
        <v>254.24</v>
      </c>
      <c r="M12633">
        <v>59504</v>
      </c>
      <c r="N12633" t="s">
        <v>193</v>
      </c>
      <c r="O12633">
        <v>250728</v>
      </c>
      <c r="P12633">
        <v>997</v>
      </c>
    </row>
    <row r="12634" spans="1:16" x14ac:dyDescent="0.25">
      <c r="A12634" t="s">
        <v>3296</v>
      </c>
      <c r="B12634" t="s">
        <v>2931</v>
      </c>
      <c r="C12634">
        <v>9907</v>
      </c>
      <c r="D12634" t="str">
        <f>"167141      "</f>
        <v xml:space="preserve">167141      </v>
      </c>
      <c r="E12634" t="s">
        <v>298</v>
      </c>
      <c r="F12634" t="s">
        <v>300</v>
      </c>
      <c r="G12634">
        <v>694.52</v>
      </c>
      <c r="H12634">
        <v>250725</v>
      </c>
      <c r="I12634">
        <v>4400</v>
      </c>
      <c r="J12634" t="s">
        <v>162</v>
      </c>
      <c r="K12634">
        <v>694.52</v>
      </c>
      <c r="L12634">
        <v>141.12</v>
      </c>
      <c r="M12634">
        <v>59114</v>
      </c>
      <c r="N12634" t="s">
        <v>299</v>
      </c>
      <c r="O12634">
        <v>250804</v>
      </c>
      <c r="P12634">
        <v>553.4</v>
      </c>
    </row>
    <row r="12635" spans="1:16" x14ac:dyDescent="0.25">
      <c r="A12635" t="s">
        <v>3296</v>
      </c>
      <c r="B12635" t="s">
        <v>2931</v>
      </c>
      <c r="C12635">
        <v>9909</v>
      </c>
      <c r="D12635" t="str">
        <f>"167143      "</f>
        <v xml:space="preserve">167143      </v>
      </c>
      <c r="E12635" t="s">
        <v>298</v>
      </c>
      <c r="F12635" t="s">
        <v>300</v>
      </c>
      <c r="G12635">
        <v>314.31</v>
      </c>
      <c r="H12635">
        <v>250725</v>
      </c>
      <c r="I12635">
        <v>4400</v>
      </c>
      <c r="J12635" t="s">
        <v>162</v>
      </c>
      <c r="K12635">
        <v>314.31</v>
      </c>
      <c r="L12635">
        <v>63.86</v>
      </c>
      <c r="M12635">
        <v>59114</v>
      </c>
      <c r="N12635" t="s">
        <v>299</v>
      </c>
      <c r="O12635">
        <v>250804</v>
      </c>
      <c r="P12635">
        <v>250.45</v>
      </c>
    </row>
    <row r="12636" spans="1:16" x14ac:dyDescent="0.25">
      <c r="A12636" t="s">
        <v>3296</v>
      </c>
      <c r="B12636" t="s">
        <v>2931</v>
      </c>
      <c r="C12636">
        <v>10057</v>
      </c>
      <c r="D12636" t="str">
        <f>"167831      "</f>
        <v xml:space="preserve">167831      </v>
      </c>
      <c r="E12636" t="s">
        <v>298</v>
      </c>
      <c r="F12636" t="s">
        <v>300</v>
      </c>
      <c r="G12636">
        <v>384.78</v>
      </c>
      <c r="H12636">
        <v>250731</v>
      </c>
      <c r="I12636">
        <v>4400</v>
      </c>
      <c r="J12636" t="s">
        <v>162</v>
      </c>
      <c r="K12636">
        <v>384.78</v>
      </c>
      <c r="L12636">
        <v>78.180000000000007</v>
      </c>
      <c r="M12636">
        <v>59113</v>
      </c>
      <c r="N12636" t="s">
        <v>61</v>
      </c>
      <c r="O12636">
        <v>250811</v>
      </c>
      <c r="P12636">
        <v>306.60000000000002</v>
      </c>
    </row>
    <row r="12637" spans="1:16" x14ac:dyDescent="0.25">
      <c r="A12637" t="s">
        <v>3296</v>
      </c>
      <c r="B12637" t="s">
        <v>2931</v>
      </c>
      <c r="C12637">
        <v>10796</v>
      </c>
      <c r="D12637" t="str">
        <f>"170342      "</f>
        <v xml:space="preserve">170342      </v>
      </c>
      <c r="E12637" t="s">
        <v>298</v>
      </c>
      <c r="F12637" t="s">
        <v>300</v>
      </c>
      <c r="G12637">
        <v>1122.3</v>
      </c>
      <c r="H12637">
        <v>250821</v>
      </c>
      <c r="I12637">
        <v>4400</v>
      </c>
      <c r="J12637" t="s">
        <v>162</v>
      </c>
      <c r="K12637">
        <v>1122.3</v>
      </c>
      <c r="L12637">
        <v>228.04</v>
      </c>
      <c r="M12637">
        <v>59504</v>
      </c>
      <c r="N12637" t="s">
        <v>193</v>
      </c>
      <c r="O12637">
        <v>250822</v>
      </c>
      <c r="P12637">
        <v>894.26</v>
      </c>
    </row>
    <row r="12638" spans="1:16" x14ac:dyDescent="0.25">
      <c r="A12638" t="s">
        <v>3296</v>
      </c>
      <c r="B12638" t="s">
        <v>2931</v>
      </c>
      <c r="C12638">
        <v>10816</v>
      </c>
      <c r="D12638" t="str">
        <f>"169690      "</f>
        <v xml:space="preserve">169690      </v>
      </c>
      <c r="E12638" t="s">
        <v>298</v>
      </c>
      <c r="F12638" t="s">
        <v>300</v>
      </c>
      <c r="G12638">
        <v>1056.68</v>
      </c>
      <c r="H12638">
        <v>250818</v>
      </c>
      <c r="I12638">
        <v>4400</v>
      </c>
      <c r="J12638" t="s">
        <v>162</v>
      </c>
      <c r="K12638">
        <v>1056.68</v>
      </c>
      <c r="L12638">
        <v>214.7</v>
      </c>
      <c r="M12638">
        <v>54451</v>
      </c>
      <c r="N12638" t="s">
        <v>218</v>
      </c>
      <c r="O12638">
        <v>250825</v>
      </c>
      <c r="P12638">
        <v>841.98</v>
      </c>
    </row>
    <row r="12639" spans="1:16" x14ac:dyDescent="0.25">
      <c r="A12639" t="s">
        <v>3296</v>
      </c>
      <c r="B12639" t="s">
        <v>2931</v>
      </c>
      <c r="C12639">
        <v>11066</v>
      </c>
      <c r="D12639" t="str">
        <f>"169989      "</f>
        <v xml:space="preserve">169989      </v>
      </c>
      <c r="E12639" t="s">
        <v>298</v>
      </c>
      <c r="F12639" t="s">
        <v>300</v>
      </c>
      <c r="G12639">
        <v>1331</v>
      </c>
      <c r="H12639">
        <v>250820</v>
      </c>
      <c r="I12639">
        <v>4400</v>
      </c>
      <c r="J12639" t="s">
        <v>162</v>
      </c>
      <c r="K12639">
        <v>1331</v>
      </c>
      <c r="L12639">
        <v>270.44</v>
      </c>
      <c r="M12639">
        <v>14912</v>
      </c>
      <c r="N12639" t="s">
        <v>80</v>
      </c>
      <c r="O12639">
        <v>250829</v>
      </c>
      <c r="P12639">
        <v>1060.56</v>
      </c>
    </row>
    <row r="12640" spans="1:16" x14ac:dyDescent="0.25">
      <c r="A12640" t="s">
        <v>3296</v>
      </c>
      <c r="B12640" t="s">
        <v>2931</v>
      </c>
      <c r="C12640">
        <v>11068</v>
      </c>
      <c r="D12640" t="str">
        <f>"170442      "</f>
        <v xml:space="preserve">170442      </v>
      </c>
      <c r="E12640" t="s">
        <v>298</v>
      </c>
      <c r="F12640" t="s">
        <v>300</v>
      </c>
      <c r="G12640">
        <v>665.75</v>
      </c>
      <c r="H12640">
        <v>250822</v>
      </c>
      <c r="I12640">
        <v>4400</v>
      </c>
      <c r="J12640" t="s">
        <v>162</v>
      </c>
      <c r="K12640">
        <v>665.75</v>
      </c>
      <c r="L12640">
        <v>135.27000000000001</v>
      </c>
      <c r="M12640">
        <v>14422</v>
      </c>
      <c r="N12640" t="s">
        <v>73</v>
      </c>
      <c r="O12640">
        <v>250829</v>
      </c>
      <c r="P12640">
        <v>530.48</v>
      </c>
    </row>
    <row r="12641" spans="1:16" x14ac:dyDescent="0.25">
      <c r="A12641" t="s">
        <v>3296</v>
      </c>
      <c r="B12641" t="s">
        <v>2931</v>
      </c>
      <c r="C12641">
        <v>11154</v>
      </c>
      <c r="D12641" t="str">
        <f>"171289      "</f>
        <v xml:space="preserve">171289      </v>
      </c>
      <c r="E12641" t="s">
        <v>298</v>
      </c>
      <c r="F12641" t="s">
        <v>300</v>
      </c>
      <c r="G12641">
        <v>63.18</v>
      </c>
      <c r="H12641">
        <v>250827</v>
      </c>
      <c r="I12641">
        <v>4400</v>
      </c>
      <c r="J12641" t="s">
        <v>162</v>
      </c>
      <c r="K12641">
        <v>63.18</v>
      </c>
      <c r="L12641">
        <v>12.84</v>
      </c>
      <c r="M12641">
        <v>49501</v>
      </c>
      <c r="N12641" t="s">
        <v>110</v>
      </c>
      <c r="O12641">
        <v>250901</v>
      </c>
      <c r="P12641">
        <v>50.34</v>
      </c>
    </row>
    <row r="12642" spans="1:16" x14ac:dyDescent="0.25">
      <c r="A12642" t="s">
        <v>3296</v>
      </c>
      <c r="B12642" t="s">
        <v>2931</v>
      </c>
      <c r="C12642">
        <v>11208</v>
      </c>
      <c r="D12642" t="str">
        <f>"170953      "</f>
        <v xml:space="preserve">170953      </v>
      </c>
      <c r="E12642" t="s">
        <v>298</v>
      </c>
      <c r="F12642" t="s">
        <v>300</v>
      </c>
      <c r="G12642">
        <v>426.56</v>
      </c>
      <c r="H12642">
        <v>250826</v>
      </c>
      <c r="I12642">
        <v>4400</v>
      </c>
      <c r="J12642" t="s">
        <v>162</v>
      </c>
      <c r="K12642">
        <v>426.56</v>
      </c>
      <c r="L12642">
        <v>86.67</v>
      </c>
      <c r="M12642">
        <v>14912</v>
      </c>
      <c r="N12642" t="s">
        <v>80</v>
      </c>
      <c r="O12642">
        <v>250902</v>
      </c>
      <c r="P12642">
        <v>339.89</v>
      </c>
    </row>
    <row r="12643" spans="1:16" x14ac:dyDescent="0.25">
      <c r="A12643" t="s">
        <v>3296</v>
      </c>
      <c r="B12643" t="s">
        <v>2931</v>
      </c>
      <c r="C12643">
        <v>11293</v>
      </c>
      <c r="D12643" t="str">
        <f>"171284      "</f>
        <v xml:space="preserve">171284      </v>
      </c>
      <c r="E12643" t="s">
        <v>298</v>
      </c>
      <c r="F12643" t="s">
        <v>300</v>
      </c>
      <c r="G12643">
        <v>675.66</v>
      </c>
      <c r="H12643">
        <v>250827</v>
      </c>
      <c r="I12643">
        <v>4400</v>
      </c>
      <c r="J12643" t="s">
        <v>162</v>
      </c>
      <c r="K12643">
        <v>675.66</v>
      </c>
      <c r="L12643">
        <v>137.29</v>
      </c>
      <c r="M12643">
        <v>49501</v>
      </c>
      <c r="N12643" t="s">
        <v>110</v>
      </c>
      <c r="O12643">
        <v>250903</v>
      </c>
      <c r="P12643">
        <v>538.37</v>
      </c>
    </row>
    <row r="12644" spans="1:16" x14ac:dyDescent="0.25">
      <c r="A12644" t="s">
        <v>3296</v>
      </c>
      <c r="B12644" t="s">
        <v>2931</v>
      </c>
      <c r="C12644">
        <v>11901</v>
      </c>
      <c r="D12644" t="str">
        <f>"173064      "</f>
        <v xml:space="preserve">173064      </v>
      </c>
      <c r="E12644" t="s">
        <v>298</v>
      </c>
      <c r="F12644" t="s">
        <v>300</v>
      </c>
      <c r="G12644">
        <v>819.52</v>
      </c>
      <c r="H12644">
        <v>250909</v>
      </c>
      <c r="I12644">
        <v>4400</v>
      </c>
      <c r="J12644" t="s">
        <v>162</v>
      </c>
      <c r="K12644">
        <v>819.52</v>
      </c>
      <c r="L12644">
        <v>166.52</v>
      </c>
      <c r="M12644">
        <v>59504</v>
      </c>
      <c r="N12644" t="s">
        <v>193</v>
      </c>
      <c r="O12644">
        <v>250912</v>
      </c>
      <c r="P12644">
        <v>653</v>
      </c>
    </row>
    <row r="12645" spans="1:16" x14ac:dyDescent="0.25">
      <c r="A12645" t="s">
        <v>3296</v>
      </c>
      <c r="B12645" t="s">
        <v>2931</v>
      </c>
      <c r="C12645">
        <v>11902</v>
      </c>
      <c r="D12645" t="str">
        <f>"173041      "</f>
        <v xml:space="preserve">173041      </v>
      </c>
      <c r="E12645" t="s">
        <v>298</v>
      </c>
      <c r="F12645" t="s">
        <v>300</v>
      </c>
      <c r="G12645">
        <v>138.19</v>
      </c>
      <c r="H12645">
        <v>250909</v>
      </c>
      <c r="I12645">
        <v>4400</v>
      </c>
      <c r="J12645" t="s">
        <v>162</v>
      </c>
      <c r="K12645">
        <v>1256.31</v>
      </c>
      <c r="L12645">
        <v>28.08</v>
      </c>
      <c r="M12645">
        <v>13552</v>
      </c>
      <c r="N12645" t="s">
        <v>133</v>
      </c>
      <c r="O12645">
        <v>250912</v>
      </c>
      <c r="P12645">
        <v>110.11</v>
      </c>
    </row>
    <row r="12646" spans="1:16" x14ac:dyDescent="0.25">
      <c r="A12646" t="s">
        <v>3296</v>
      </c>
      <c r="B12646" t="s">
        <v>2931</v>
      </c>
      <c r="C12646">
        <v>11902</v>
      </c>
      <c r="D12646" t="str">
        <f>"173041      "</f>
        <v xml:space="preserve">173041      </v>
      </c>
      <c r="E12646" t="s">
        <v>298</v>
      </c>
      <c r="F12646" t="s">
        <v>300</v>
      </c>
      <c r="G12646">
        <v>1118.1199999999999</v>
      </c>
      <c r="H12646">
        <v>250909</v>
      </c>
      <c r="I12646">
        <v>4400</v>
      </c>
      <c r="J12646" t="s">
        <v>162</v>
      </c>
      <c r="K12646">
        <v>1256.31</v>
      </c>
      <c r="L12646">
        <v>227.19</v>
      </c>
      <c r="M12646">
        <v>17918</v>
      </c>
      <c r="N12646" t="s">
        <v>152</v>
      </c>
      <c r="O12646">
        <v>250912</v>
      </c>
      <c r="P12646">
        <v>890.93</v>
      </c>
    </row>
    <row r="12647" spans="1:16" x14ac:dyDescent="0.25">
      <c r="A12647" t="s">
        <v>3296</v>
      </c>
      <c r="B12647" t="s">
        <v>2931</v>
      </c>
      <c r="C12647">
        <v>12121</v>
      </c>
      <c r="D12647" t="str">
        <f>"173535      "</f>
        <v xml:space="preserve">173535      </v>
      </c>
      <c r="E12647" t="s">
        <v>298</v>
      </c>
      <c r="F12647" t="s">
        <v>300</v>
      </c>
      <c r="G12647">
        <v>2640.03</v>
      </c>
      <c r="H12647">
        <v>250912</v>
      </c>
      <c r="I12647">
        <v>4400</v>
      </c>
      <c r="J12647" t="s">
        <v>162</v>
      </c>
      <c r="K12647">
        <v>2640.03</v>
      </c>
      <c r="L12647">
        <v>536.41999999999996</v>
      </c>
      <c r="M12647">
        <v>49501</v>
      </c>
      <c r="N12647" t="s">
        <v>110</v>
      </c>
      <c r="O12647">
        <v>250916</v>
      </c>
      <c r="P12647">
        <v>2103.61</v>
      </c>
    </row>
    <row r="12648" spans="1:16" x14ac:dyDescent="0.25">
      <c r="A12648" t="s">
        <v>3296</v>
      </c>
      <c r="B12648" t="s">
        <v>2931</v>
      </c>
      <c r="C12648">
        <v>12933</v>
      </c>
      <c r="D12648" t="str">
        <f>"176297      "</f>
        <v xml:space="preserve">176297      </v>
      </c>
      <c r="E12648" t="s">
        <v>298</v>
      </c>
      <c r="F12648" t="s">
        <v>300</v>
      </c>
      <c r="G12648">
        <v>169.64</v>
      </c>
      <c r="H12648">
        <v>250930</v>
      </c>
      <c r="I12648">
        <v>4400</v>
      </c>
      <c r="J12648" t="s">
        <v>162</v>
      </c>
      <c r="K12648">
        <v>1542.16</v>
      </c>
      <c r="L12648">
        <v>34.47</v>
      </c>
      <c r="M12648">
        <v>13552</v>
      </c>
      <c r="N12648" t="s">
        <v>133</v>
      </c>
      <c r="O12648">
        <v>251002</v>
      </c>
      <c r="P12648">
        <v>135.16999999999999</v>
      </c>
    </row>
    <row r="12649" spans="1:16" x14ac:dyDescent="0.25">
      <c r="A12649" t="s">
        <v>3296</v>
      </c>
      <c r="B12649" t="s">
        <v>2931</v>
      </c>
      <c r="C12649">
        <v>12933</v>
      </c>
      <c r="D12649" t="str">
        <f>"176297      "</f>
        <v xml:space="preserve">176297      </v>
      </c>
      <c r="E12649" t="s">
        <v>298</v>
      </c>
      <c r="F12649" t="s">
        <v>300</v>
      </c>
      <c r="G12649">
        <v>1372.52</v>
      </c>
      <c r="H12649">
        <v>250930</v>
      </c>
      <c r="I12649">
        <v>4400</v>
      </c>
      <c r="J12649" t="s">
        <v>162</v>
      </c>
      <c r="K12649">
        <v>1542.16</v>
      </c>
      <c r="L12649">
        <v>278.88</v>
      </c>
      <c r="M12649">
        <v>17918</v>
      </c>
      <c r="N12649" t="s">
        <v>152</v>
      </c>
      <c r="O12649">
        <v>251002</v>
      </c>
      <c r="P12649">
        <v>1093.6400000000001</v>
      </c>
    </row>
    <row r="12650" spans="1:16" x14ac:dyDescent="0.25">
      <c r="A12650" t="s">
        <v>3296</v>
      </c>
      <c r="B12650" t="s">
        <v>2931</v>
      </c>
      <c r="C12650">
        <v>12940</v>
      </c>
      <c r="D12650" t="str">
        <f>"176299      "</f>
        <v xml:space="preserve">176299      </v>
      </c>
      <c r="E12650" t="s">
        <v>298</v>
      </c>
      <c r="F12650" t="s">
        <v>300</v>
      </c>
      <c r="G12650">
        <v>85.31</v>
      </c>
      <c r="H12650">
        <v>250930</v>
      </c>
      <c r="I12650">
        <v>4400</v>
      </c>
      <c r="J12650" t="s">
        <v>162</v>
      </c>
      <c r="K12650">
        <v>775.53</v>
      </c>
      <c r="L12650">
        <v>17.329999999999998</v>
      </c>
      <c r="M12650">
        <v>13552</v>
      </c>
      <c r="N12650" t="s">
        <v>133</v>
      </c>
      <c r="O12650">
        <v>251002</v>
      </c>
      <c r="P12650">
        <v>67.98</v>
      </c>
    </row>
    <row r="12651" spans="1:16" x14ac:dyDescent="0.25">
      <c r="A12651" t="s">
        <v>3296</v>
      </c>
      <c r="B12651" t="s">
        <v>2931</v>
      </c>
      <c r="C12651">
        <v>12940</v>
      </c>
      <c r="D12651" t="str">
        <f>"176299      "</f>
        <v xml:space="preserve">176299      </v>
      </c>
      <c r="E12651" t="s">
        <v>298</v>
      </c>
      <c r="F12651" t="s">
        <v>300</v>
      </c>
      <c r="G12651">
        <v>690.22</v>
      </c>
      <c r="H12651">
        <v>250930</v>
      </c>
      <c r="I12651">
        <v>4400</v>
      </c>
      <c r="J12651" t="s">
        <v>162</v>
      </c>
      <c r="K12651">
        <v>775.53</v>
      </c>
      <c r="L12651">
        <v>140.24</v>
      </c>
      <c r="M12651">
        <v>17918</v>
      </c>
      <c r="N12651" t="s">
        <v>152</v>
      </c>
      <c r="O12651">
        <v>251002</v>
      </c>
      <c r="P12651">
        <v>549.98</v>
      </c>
    </row>
    <row r="12652" spans="1:16" x14ac:dyDescent="0.25">
      <c r="A12652" t="s">
        <v>3296</v>
      </c>
      <c r="B12652" t="s">
        <v>2931</v>
      </c>
      <c r="C12652">
        <v>13134</v>
      </c>
      <c r="D12652" t="str">
        <f>"176425      "</f>
        <v xml:space="preserve">176425      </v>
      </c>
      <c r="E12652" t="s">
        <v>298</v>
      </c>
      <c r="F12652" t="s">
        <v>300</v>
      </c>
      <c r="G12652">
        <v>1066.1300000000001</v>
      </c>
      <c r="H12652">
        <v>250930</v>
      </c>
      <c r="I12652">
        <v>4400</v>
      </c>
      <c r="J12652" t="s">
        <v>162</v>
      </c>
      <c r="K12652">
        <v>1066.1300000000001</v>
      </c>
      <c r="L12652">
        <v>216.62</v>
      </c>
      <c r="M12652">
        <v>49501</v>
      </c>
      <c r="N12652" t="s">
        <v>110</v>
      </c>
      <c r="O12652">
        <v>251006</v>
      </c>
      <c r="P12652">
        <v>849.51</v>
      </c>
    </row>
    <row r="12653" spans="1:16" x14ac:dyDescent="0.25">
      <c r="A12653" t="s">
        <v>3296</v>
      </c>
      <c r="B12653" t="s">
        <v>2931</v>
      </c>
      <c r="C12653">
        <v>13193</v>
      </c>
      <c r="D12653" t="str">
        <f>"176383      "</f>
        <v xml:space="preserve">176383      </v>
      </c>
      <c r="E12653" t="s">
        <v>298</v>
      </c>
      <c r="F12653" t="s">
        <v>300</v>
      </c>
      <c r="G12653">
        <v>296.23</v>
      </c>
      <c r="H12653">
        <v>250930</v>
      </c>
      <c r="I12653">
        <v>4400</v>
      </c>
      <c r="J12653" t="s">
        <v>162</v>
      </c>
      <c r="K12653">
        <v>296.23</v>
      </c>
      <c r="L12653">
        <v>60.19</v>
      </c>
      <c r="M12653">
        <v>14912</v>
      </c>
      <c r="N12653" t="s">
        <v>80</v>
      </c>
      <c r="O12653">
        <v>251006</v>
      </c>
      <c r="P12653">
        <v>236.04</v>
      </c>
    </row>
    <row r="12654" spans="1:16" x14ac:dyDescent="0.25">
      <c r="A12654" t="s">
        <v>3296</v>
      </c>
      <c r="B12654" t="s">
        <v>2931</v>
      </c>
      <c r="C12654">
        <v>13862</v>
      </c>
      <c r="D12654" t="str">
        <f>"177745      "</f>
        <v xml:space="preserve">177745      </v>
      </c>
      <c r="E12654" t="s">
        <v>298</v>
      </c>
      <c r="F12654" t="s">
        <v>300</v>
      </c>
      <c r="G12654">
        <v>45.96</v>
      </c>
      <c r="H12654">
        <v>251014</v>
      </c>
      <c r="I12654">
        <v>4400</v>
      </c>
      <c r="J12654" t="s">
        <v>162</v>
      </c>
      <c r="K12654">
        <v>417.86</v>
      </c>
      <c r="L12654">
        <v>9.34</v>
      </c>
      <c r="M12654">
        <v>13540</v>
      </c>
      <c r="N12654" t="s">
        <v>131</v>
      </c>
      <c r="O12654">
        <v>251020</v>
      </c>
      <c r="P12654">
        <v>36.619999999999997</v>
      </c>
    </row>
    <row r="12655" spans="1:16" x14ac:dyDescent="0.25">
      <c r="A12655" t="s">
        <v>3296</v>
      </c>
      <c r="B12655" t="s">
        <v>2931</v>
      </c>
      <c r="C12655">
        <v>13862</v>
      </c>
      <c r="D12655" t="str">
        <f>"177745      "</f>
        <v xml:space="preserve">177745      </v>
      </c>
      <c r="E12655" t="s">
        <v>298</v>
      </c>
      <c r="F12655" t="s">
        <v>300</v>
      </c>
      <c r="G12655">
        <v>371.9</v>
      </c>
      <c r="H12655">
        <v>251014</v>
      </c>
      <c r="I12655">
        <v>4400</v>
      </c>
      <c r="J12655" t="s">
        <v>162</v>
      </c>
      <c r="K12655">
        <v>417.86</v>
      </c>
      <c r="L12655">
        <v>75.569999999999993</v>
      </c>
      <c r="M12655">
        <v>17950</v>
      </c>
      <c r="N12655" t="s">
        <v>132</v>
      </c>
      <c r="O12655">
        <v>251020</v>
      </c>
      <c r="P12655">
        <v>296.33</v>
      </c>
    </row>
    <row r="12656" spans="1:16" x14ac:dyDescent="0.25">
      <c r="A12656" t="s">
        <v>3296</v>
      </c>
      <c r="B12656" t="s">
        <v>2931</v>
      </c>
      <c r="C12656">
        <v>13872</v>
      </c>
      <c r="D12656" t="str">
        <f>"177748      "</f>
        <v xml:space="preserve">177748      </v>
      </c>
      <c r="E12656" t="s">
        <v>298</v>
      </c>
      <c r="F12656" t="s">
        <v>300</v>
      </c>
      <c r="G12656">
        <v>84.38</v>
      </c>
      <c r="H12656">
        <v>251014</v>
      </c>
      <c r="I12656">
        <v>4400</v>
      </c>
      <c r="J12656" t="s">
        <v>162</v>
      </c>
      <c r="K12656">
        <v>767.09</v>
      </c>
      <c r="L12656">
        <v>17.14</v>
      </c>
      <c r="M12656">
        <v>13540</v>
      </c>
      <c r="N12656" t="s">
        <v>131</v>
      </c>
      <c r="O12656">
        <v>251020</v>
      </c>
      <c r="P12656">
        <v>67.239999999999995</v>
      </c>
    </row>
    <row r="12657" spans="1:16" x14ac:dyDescent="0.25">
      <c r="A12657" t="s">
        <v>3296</v>
      </c>
      <c r="B12657" t="s">
        <v>2931</v>
      </c>
      <c r="C12657">
        <v>13872</v>
      </c>
      <c r="D12657" t="str">
        <f>"177748      "</f>
        <v xml:space="preserve">177748      </v>
      </c>
      <c r="E12657" t="s">
        <v>298</v>
      </c>
      <c r="F12657" t="s">
        <v>300</v>
      </c>
      <c r="G12657">
        <v>682.71</v>
      </c>
      <c r="H12657">
        <v>251014</v>
      </c>
      <c r="I12657">
        <v>4400</v>
      </c>
      <c r="J12657" t="s">
        <v>162</v>
      </c>
      <c r="K12657">
        <v>767.09</v>
      </c>
      <c r="L12657">
        <v>138.72</v>
      </c>
      <c r="M12657">
        <v>17950</v>
      </c>
      <c r="N12657" t="s">
        <v>132</v>
      </c>
      <c r="O12657">
        <v>251020</v>
      </c>
      <c r="P12657">
        <v>543.99</v>
      </c>
    </row>
    <row r="12658" spans="1:16" x14ac:dyDescent="0.25">
      <c r="A12658" t="s">
        <v>3296</v>
      </c>
      <c r="B12658" t="s">
        <v>2931</v>
      </c>
      <c r="C12658">
        <v>13877</v>
      </c>
      <c r="D12658" t="str">
        <f>"177744      "</f>
        <v xml:space="preserve">177744      </v>
      </c>
      <c r="E12658" t="s">
        <v>298</v>
      </c>
      <c r="F12658" t="s">
        <v>300</v>
      </c>
      <c r="G12658">
        <v>119.11</v>
      </c>
      <c r="H12658">
        <v>251014</v>
      </c>
      <c r="I12658">
        <v>4400</v>
      </c>
      <c r="J12658" t="s">
        <v>162</v>
      </c>
      <c r="K12658">
        <v>1082.81</v>
      </c>
      <c r="L12658">
        <v>24.2</v>
      </c>
      <c r="M12658">
        <v>13540</v>
      </c>
      <c r="N12658" t="s">
        <v>131</v>
      </c>
      <c r="O12658">
        <v>251020</v>
      </c>
      <c r="P12658">
        <v>94.91</v>
      </c>
    </row>
    <row r="12659" spans="1:16" x14ac:dyDescent="0.25">
      <c r="A12659" t="s">
        <v>3296</v>
      </c>
      <c r="B12659" t="s">
        <v>2931</v>
      </c>
      <c r="C12659">
        <v>13877</v>
      </c>
      <c r="D12659" t="str">
        <f>"177744      "</f>
        <v xml:space="preserve">177744      </v>
      </c>
      <c r="E12659" t="s">
        <v>298</v>
      </c>
      <c r="F12659" t="s">
        <v>300</v>
      </c>
      <c r="G12659">
        <v>963.7</v>
      </c>
      <c r="H12659">
        <v>251014</v>
      </c>
      <c r="I12659">
        <v>4400</v>
      </c>
      <c r="J12659" t="s">
        <v>162</v>
      </c>
      <c r="K12659">
        <v>1082.81</v>
      </c>
      <c r="L12659">
        <v>195.81</v>
      </c>
      <c r="M12659">
        <v>17950</v>
      </c>
      <c r="N12659" t="s">
        <v>132</v>
      </c>
      <c r="O12659">
        <v>251020</v>
      </c>
      <c r="P12659">
        <v>767.89</v>
      </c>
    </row>
    <row r="12660" spans="1:16" x14ac:dyDescent="0.25">
      <c r="A12660" t="s">
        <v>3296</v>
      </c>
      <c r="B12660" t="s">
        <v>2931</v>
      </c>
      <c r="C12660">
        <v>14184</v>
      </c>
      <c r="D12660" t="str">
        <f>"178820      "</f>
        <v xml:space="preserve">178820      </v>
      </c>
      <c r="E12660" t="s">
        <v>298</v>
      </c>
      <c r="F12660" t="s">
        <v>300</v>
      </c>
      <c r="G12660">
        <v>516.84</v>
      </c>
      <c r="H12660">
        <v>251023</v>
      </c>
      <c r="I12660">
        <v>4400</v>
      </c>
      <c r="J12660" t="s">
        <v>162</v>
      </c>
      <c r="K12660">
        <v>516.84</v>
      </c>
      <c r="L12660">
        <v>105.02</v>
      </c>
      <c r="M12660">
        <v>59114</v>
      </c>
      <c r="N12660" t="s">
        <v>299</v>
      </c>
      <c r="O12660">
        <v>251024</v>
      </c>
      <c r="P12660">
        <v>411.82</v>
      </c>
    </row>
    <row r="12661" spans="1:16" x14ac:dyDescent="0.25">
      <c r="A12661" t="s">
        <v>3296</v>
      </c>
      <c r="B12661" t="s">
        <v>2931</v>
      </c>
      <c r="C12661">
        <v>14206</v>
      </c>
      <c r="D12661" t="str">
        <f>"178434      "</f>
        <v xml:space="preserve">178434      </v>
      </c>
      <c r="E12661" t="s">
        <v>298</v>
      </c>
      <c r="F12661" t="s">
        <v>300</v>
      </c>
      <c r="G12661">
        <v>213.52</v>
      </c>
      <c r="H12661">
        <v>251021</v>
      </c>
      <c r="I12661">
        <v>4400</v>
      </c>
      <c r="J12661" t="s">
        <v>162</v>
      </c>
      <c r="K12661">
        <v>213.52</v>
      </c>
      <c r="L12661">
        <v>43.38</v>
      </c>
      <c r="M12661">
        <v>14432</v>
      </c>
      <c r="N12661" t="s">
        <v>75</v>
      </c>
      <c r="O12661">
        <v>251027</v>
      </c>
      <c r="P12661">
        <v>170.14</v>
      </c>
    </row>
    <row r="12662" spans="1:16" x14ac:dyDescent="0.25">
      <c r="A12662" t="s">
        <v>3296</v>
      </c>
      <c r="B12662" t="s">
        <v>2931</v>
      </c>
      <c r="C12662">
        <v>14211</v>
      </c>
      <c r="D12662" t="str">
        <f>"178419      "</f>
        <v xml:space="preserve">178419      </v>
      </c>
      <c r="E12662" t="s">
        <v>298</v>
      </c>
      <c r="F12662" t="s">
        <v>300</v>
      </c>
      <c r="G12662">
        <v>2306.54</v>
      </c>
      <c r="H12662">
        <v>251021</v>
      </c>
      <c r="I12662">
        <v>4400</v>
      </c>
      <c r="J12662" t="s">
        <v>162</v>
      </c>
      <c r="K12662">
        <v>2306.54</v>
      </c>
      <c r="L12662">
        <v>468.66</v>
      </c>
      <c r="M12662">
        <v>14912</v>
      </c>
      <c r="N12662" t="s">
        <v>80</v>
      </c>
      <c r="O12662">
        <v>251027</v>
      </c>
      <c r="P12662">
        <v>1837.88</v>
      </c>
    </row>
    <row r="12663" spans="1:16" x14ac:dyDescent="0.25">
      <c r="A12663" t="s">
        <v>3296</v>
      </c>
      <c r="B12663" t="s">
        <v>2931</v>
      </c>
      <c r="C12663">
        <v>14430</v>
      </c>
      <c r="D12663" t="str">
        <f>"179878      "</f>
        <v xml:space="preserve">179878      </v>
      </c>
      <c r="E12663" t="s">
        <v>298</v>
      </c>
      <c r="F12663" t="s">
        <v>300</v>
      </c>
      <c r="G12663">
        <v>2547.16</v>
      </c>
      <c r="H12663">
        <v>251030</v>
      </c>
      <c r="I12663">
        <v>4400</v>
      </c>
      <c r="J12663" t="s">
        <v>162</v>
      </c>
      <c r="K12663">
        <v>2547.16</v>
      </c>
      <c r="L12663">
        <v>517.54999999999995</v>
      </c>
      <c r="M12663">
        <v>59114</v>
      </c>
      <c r="N12663" t="s">
        <v>299</v>
      </c>
      <c r="O12663">
        <v>251031</v>
      </c>
      <c r="P12663">
        <v>2029.61</v>
      </c>
    </row>
    <row r="12664" spans="1:16" x14ac:dyDescent="0.25">
      <c r="A12664" t="s">
        <v>3296</v>
      </c>
      <c r="B12664" t="s">
        <v>2931</v>
      </c>
      <c r="C12664">
        <v>14553</v>
      </c>
      <c r="D12664" t="str">
        <f>"180058      "</f>
        <v xml:space="preserve">180058      </v>
      </c>
      <c r="E12664" t="s">
        <v>298</v>
      </c>
      <c r="F12664" t="s">
        <v>300</v>
      </c>
      <c r="G12664">
        <v>564.75</v>
      </c>
      <c r="H12664">
        <v>251030</v>
      </c>
      <c r="I12664">
        <v>4400</v>
      </c>
      <c r="J12664" t="s">
        <v>162</v>
      </c>
      <c r="K12664">
        <v>564.75</v>
      </c>
      <c r="L12664">
        <v>114.75</v>
      </c>
      <c r="M12664">
        <v>54451</v>
      </c>
      <c r="N12664" t="s">
        <v>218</v>
      </c>
      <c r="O12664">
        <v>251104</v>
      </c>
      <c r="P12664">
        <v>450</v>
      </c>
    </row>
    <row r="12665" spans="1:16" x14ac:dyDescent="0.25">
      <c r="A12665" t="s">
        <v>3296</v>
      </c>
      <c r="B12665" t="s">
        <v>2931</v>
      </c>
      <c r="C12665">
        <v>14554</v>
      </c>
      <c r="D12665" t="str">
        <f>"180057      "</f>
        <v xml:space="preserve">180057      </v>
      </c>
      <c r="E12665" t="s">
        <v>298</v>
      </c>
      <c r="F12665" t="s">
        <v>300</v>
      </c>
      <c r="G12665">
        <v>564.75</v>
      </c>
      <c r="H12665">
        <v>251030</v>
      </c>
      <c r="I12665">
        <v>4400</v>
      </c>
      <c r="J12665" t="s">
        <v>162</v>
      </c>
      <c r="K12665">
        <v>564.75</v>
      </c>
      <c r="L12665">
        <v>114.75</v>
      </c>
      <c r="M12665">
        <v>54451</v>
      </c>
      <c r="N12665" t="s">
        <v>218</v>
      </c>
      <c r="O12665">
        <v>251104</v>
      </c>
      <c r="P12665">
        <v>450</v>
      </c>
    </row>
    <row r="12666" spans="1:16" x14ac:dyDescent="0.25">
      <c r="A12666" t="s">
        <v>3296</v>
      </c>
      <c r="B12666" t="s">
        <v>2931</v>
      </c>
      <c r="C12666">
        <v>14555</v>
      </c>
      <c r="D12666" t="str">
        <f>"180059      "</f>
        <v xml:space="preserve">180059      </v>
      </c>
      <c r="E12666" t="s">
        <v>298</v>
      </c>
      <c r="F12666" t="s">
        <v>300</v>
      </c>
      <c r="G12666">
        <v>317.47000000000003</v>
      </c>
      <c r="H12666">
        <v>251030</v>
      </c>
      <c r="I12666">
        <v>4400</v>
      </c>
      <c r="J12666" t="s">
        <v>162</v>
      </c>
      <c r="K12666">
        <v>317.47000000000003</v>
      </c>
      <c r="L12666">
        <v>64.510000000000005</v>
      </c>
      <c r="M12666">
        <v>14432</v>
      </c>
      <c r="N12666" t="s">
        <v>75</v>
      </c>
      <c r="O12666">
        <v>251104</v>
      </c>
      <c r="P12666">
        <v>252.96</v>
      </c>
    </row>
    <row r="12667" spans="1:16" x14ac:dyDescent="0.25">
      <c r="A12667" t="s">
        <v>3296</v>
      </c>
      <c r="B12667" t="s">
        <v>2931</v>
      </c>
      <c r="C12667">
        <v>14558</v>
      </c>
      <c r="D12667" t="str">
        <f>"180056      "</f>
        <v xml:space="preserve">180056      </v>
      </c>
      <c r="E12667" t="s">
        <v>298</v>
      </c>
      <c r="F12667" t="s">
        <v>300</v>
      </c>
      <c r="G12667">
        <v>564.75</v>
      </c>
      <c r="H12667">
        <v>251030</v>
      </c>
      <c r="I12667">
        <v>4400</v>
      </c>
      <c r="J12667" t="s">
        <v>162</v>
      </c>
      <c r="K12667">
        <v>564.75</v>
      </c>
      <c r="L12667">
        <v>114.75</v>
      </c>
      <c r="M12667">
        <v>54451</v>
      </c>
      <c r="N12667" t="s">
        <v>218</v>
      </c>
      <c r="O12667">
        <v>251104</v>
      </c>
      <c r="P12667">
        <v>450</v>
      </c>
    </row>
    <row r="12668" spans="1:16" x14ac:dyDescent="0.25">
      <c r="A12668" t="s">
        <v>3296</v>
      </c>
      <c r="B12668" t="s">
        <v>2931</v>
      </c>
      <c r="C12668">
        <v>14681</v>
      </c>
      <c r="D12668" t="str">
        <f>"179419      "</f>
        <v xml:space="preserve">179419      </v>
      </c>
      <c r="E12668" t="s">
        <v>298</v>
      </c>
      <c r="F12668" t="s">
        <v>300</v>
      </c>
      <c r="G12668">
        <v>1541.95</v>
      </c>
      <c r="H12668">
        <v>251028</v>
      </c>
      <c r="I12668">
        <v>4400</v>
      </c>
      <c r="J12668" t="s">
        <v>162</v>
      </c>
      <c r="K12668">
        <v>1541.95</v>
      </c>
      <c r="L12668">
        <v>313.3</v>
      </c>
      <c r="M12668">
        <v>49501</v>
      </c>
      <c r="N12668" t="s">
        <v>110</v>
      </c>
      <c r="O12668">
        <v>251106</v>
      </c>
      <c r="P12668">
        <v>1228.6500000000001</v>
      </c>
    </row>
    <row r="12669" spans="1:16" x14ac:dyDescent="0.25">
      <c r="A12669" t="s">
        <v>3296</v>
      </c>
      <c r="B12669" t="s">
        <v>2931</v>
      </c>
      <c r="C12669">
        <v>15209</v>
      </c>
      <c r="D12669" t="str">
        <f>"180882      "</f>
        <v xml:space="preserve">180882      </v>
      </c>
      <c r="E12669" t="s">
        <v>298</v>
      </c>
      <c r="F12669" t="s">
        <v>300</v>
      </c>
      <c r="G12669">
        <v>334.06</v>
      </c>
      <c r="H12669">
        <v>251106</v>
      </c>
      <c r="I12669">
        <v>4400</v>
      </c>
      <c r="J12669" t="s">
        <v>162</v>
      </c>
      <c r="K12669">
        <v>334.06</v>
      </c>
      <c r="L12669">
        <v>67.88</v>
      </c>
      <c r="M12669">
        <v>14422</v>
      </c>
      <c r="N12669" t="s">
        <v>73</v>
      </c>
      <c r="O12669">
        <v>251114</v>
      </c>
      <c r="P12669">
        <v>266.18</v>
      </c>
    </row>
    <row r="12670" spans="1:16" x14ac:dyDescent="0.25">
      <c r="A12670" t="s">
        <v>3296</v>
      </c>
      <c r="B12670" t="s">
        <v>2931</v>
      </c>
      <c r="C12670">
        <v>15432</v>
      </c>
      <c r="D12670" t="str">
        <f>"181551      "</f>
        <v xml:space="preserve">181551      </v>
      </c>
      <c r="E12670" t="s">
        <v>298</v>
      </c>
      <c r="F12670" t="s">
        <v>300</v>
      </c>
      <c r="G12670">
        <v>3112.4</v>
      </c>
      <c r="H12670">
        <v>251114</v>
      </c>
      <c r="I12670">
        <v>4400</v>
      </c>
      <c r="J12670" t="s">
        <v>162</v>
      </c>
      <c r="K12670">
        <v>3112.4</v>
      </c>
      <c r="L12670">
        <v>632.4</v>
      </c>
      <c r="M12670">
        <v>14432</v>
      </c>
      <c r="N12670" t="s">
        <v>75</v>
      </c>
      <c r="O12670">
        <v>251120</v>
      </c>
      <c r="P12670">
        <v>2480</v>
      </c>
    </row>
    <row r="12671" spans="1:16" x14ac:dyDescent="0.25">
      <c r="A12671" t="s">
        <v>3296</v>
      </c>
      <c r="B12671" t="s">
        <v>2931</v>
      </c>
      <c r="C12671">
        <v>15514</v>
      </c>
      <c r="D12671" t="str">
        <f>"182168      "</f>
        <v xml:space="preserve">182168      </v>
      </c>
      <c r="E12671" t="s">
        <v>298</v>
      </c>
      <c r="F12671" t="s">
        <v>300</v>
      </c>
      <c r="G12671">
        <v>4881.95</v>
      </c>
      <c r="H12671">
        <v>251119</v>
      </c>
      <c r="I12671">
        <v>4400</v>
      </c>
      <c r="J12671" t="s">
        <v>162</v>
      </c>
      <c r="K12671">
        <v>4881.95</v>
      </c>
      <c r="L12671">
        <v>991.95</v>
      </c>
      <c r="M12671">
        <v>14432</v>
      </c>
      <c r="N12671" t="s">
        <v>75</v>
      </c>
      <c r="O12671">
        <v>251121</v>
      </c>
      <c r="P12671">
        <v>3890</v>
      </c>
    </row>
    <row r="12672" spans="1:16" x14ac:dyDescent="0.25">
      <c r="A12672" t="s">
        <v>3296</v>
      </c>
      <c r="B12672" t="s">
        <v>2931</v>
      </c>
      <c r="C12672">
        <v>17261</v>
      </c>
      <c r="D12672" t="str">
        <f>"185735      "</f>
        <v xml:space="preserve">185735      </v>
      </c>
      <c r="E12672" t="s">
        <v>298</v>
      </c>
      <c r="F12672" t="s">
        <v>300</v>
      </c>
      <c r="G12672">
        <v>1600.37</v>
      </c>
      <c r="H12672">
        <v>251217</v>
      </c>
      <c r="I12672">
        <v>4400</v>
      </c>
      <c r="J12672" t="s">
        <v>162</v>
      </c>
      <c r="K12672">
        <v>1600.37</v>
      </c>
      <c r="L12672">
        <v>325.17</v>
      </c>
      <c r="M12672">
        <v>49501</v>
      </c>
      <c r="N12672" t="s">
        <v>110</v>
      </c>
      <c r="O12672">
        <v>251218</v>
      </c>
      <c r="P12672">
        <v>1275.2</v>
      </c>
    </row>
    <row r="12673" spans="1:16" x14ac:dyDescent="0.25">
      <c r="A12673" t="s">
        <v>3296</v>
      </c>
      <c r="B12673" t="s">
        <v>2931</v>
      </c>
      <c r="C12673">
        <v>17446</v>
      </c>
      <c r="D12673" t="str">
        <f>"185840      "</f>
        <v xml:space="preserve">185840      </v>
      </c>
      <c r="E12673" t="s">
        <v>298</v>
      </c>
      <c r="F12673" t="s">
        <v>300</v>
      </c>
      <c r="G12673">
        <v>493.81</v>
      </c>
      <c r="H12673">
        <v>251217</v>
      </c>
      <c r="I12673">
        <v>4400</v>
      </c>
      <c r="J12673" t="s">
        <v>162</v>
      </c>
      <c r="K12673">
        <v>493.81</v>
      </c>
      <c r="L12673">
        <v>100.34</v>
      </c>
      <c r="M12673">
        <v>14990</v>
      </c>
      <c r="N12673" t="s">
        <v>85</v>
      </c>
      <c r="O12673">
        <v>251219</v>
      </c>
      <c r="P12673">
        <v>393.47</v>
      </c>
    </row>
    <row r="12674" spans="1:16" x14ac:dyDescent="0.25">
      <c r="A12674" t="s">
        <v>3296</v>
      </c>
      <c r="B12674" t="s">
        <v>2931</v>
      </c>
      <c r="C12674">
        <v>17722</v>
      </c>
      <c r="D12674" t="str">
        <f>"186261      "</f>
        <v xml:space="preserve">186261      </v>
      </c>
      <c r="E12674" t="s">
        <v>298</v>
      </c>
      <c r="F12674" t="s">
        <v>300</v>
      </c>
      <c r="G12674">
        <v>379</v>
      </c>
      <c r="H12674">
        <v>251219</v>
      </c>
      <c r="I12674">
        <v>4400</v>
      </c>
      <c r="J12674" t="s">
        <v>162</v>
      </c>
      <c r="K12674">
        <v>379</v>
      </c>
      <c r="L12674">
        <v>77.010000000000005</v>
      </c>
      <c r="M12674">
        <v>14912</v>
      </c>
      <c r="N12674" t="s">
        <v>80</v>
      </c>
      <c r="O12674">
        <v>251230</v>
      </c>
      <c r="P12674">
        <v>301.99</v>
      </c>
    </row>
    <row r="12675" spans="1:16" x14ac:dyDescent="0.25">
      <c r="A12675" t="s">
        <v>3296</v>
      </c>
      <c r="B12675" t="s">
        <v>2931</v>
      </c>
      <c r="C12675">
        <v>18296</v>
      </c>
      <c r="D12675" t="str">
        <f>"187234      "</f>
        <v xml:space="preserve">187234      </v>
      </c>
      <c r="E12675" t="s">
        <v>298</v>
      </c>
      <c r="F12675" t="s">
        <v>300</v>
      </c>
      <c r="G12675">
        <v>330.33</v>
      </c>
      <c r="H12675">
        <v>251231</v>
      </c>
      <c r="I12675">
        <v>4400</v>
      </c>
      <c r="J12675" t="s">
        <v>162</v>
      </c>
      <c r="K12675">
        <v>330.33</v>
      </c>
      <c r="L12675">
        <v>67.12</v>
      </c>
      <c r="M12675">
        <v>49501</v>
      </c>
      <c r="N12675" t="s">
        <v>110</v>
      </c>
      <c r="O12675">
        <v>260113</v>
      </c>
      <c r="P12675">
        <v>263.20999999999998</v>
      </c>
    </row>
    <row r="12676" spans="1:16" x14ac:dyDescent="0.25">
      <c r="A12676" t="s">
        <v>3296</v>
      </c>
      <c r="B12676" t="s">
        <v>2931</v>
      </c>
      <c r="C12676">
        <v>10461</v>
      </c>
      <c r="D12676" t="str">
        <f>"169121      "</f>
        <v xml:space="preserve">169121      </v>
      </c>
      <c r="E12676" t="s">
        <v>298</v>
      </c>
      <c r="F12676" t="s">
        <v>300</v>
      </c>
      <c r="G12676">
        <v>337.14</v>
      </c>
      <c r="H12676">
        <v>250812</v>
      </c>
      <c r="I12676">
        <v>4600</v>
      </c>
      <c r="J12676" t="s">
        <v>278</v>
      </c>
      <c r="K12676">
        <v>337.14</v>
      </c>
      <c r="L12676">
        <v>68.5</v>
      </c>
      <c r="M12676">
        <v>54451</v>
      </c>
      <c r="N12676" t="s">
        <v>218</v>
      </c>
      <c r="O12676">
        <v>250820</v>
      </c>
      <c r="P12676">
        <v>268.64</v>
      </c>
    </row>
    <row r="12677" spans="1:16" x14ac:dyDescent="0.25">
      <c r="A12677" t="s">
        <v>3296</v>
      </c>
      <c r="B12677" t="s">
        <v>2931</v>
      </c>
      <c r="C12677">
        <v>92</v>
      </c>
      <c r="D12677" t="str">
        <f>"619         "</f>
        <v xml:space="preserve">619         </v>
      </c>
      <c r="E12677" t="s">
        <v>183</v>
      </c>
      <c r="F12677" t="s">
        <v>185</v>
      </c>
      <c r="G12677">
        <v>3063.5</v>
      </c>
      <c r="H12677">
        <v>250101</v>
      </c>
      <c r="I12677">
        <v>4820</v>
      </c>
      <c r="J12677" t="s">
        <v>169</v>
      </c>
      <c r="K12677">
        <v>11615.55</v>
      </c>
      <c r="L12677">
        <v>0</v>
      </c>
      <c r="M12677">
        <v>11402</v>
      </c>
      <c r="N12677" t="s">
        <v>184</v>
      </c>
      <c r="O12677">
        <v>250107</v>
      </c>
      <c r="P12677">
        <v>3063.5</v>
      </c>
    </row>
    <row r="12678" spans="1:16" x14ac:dyDescent="0.25">
      <c r="A12678" t="s">
        <v>3296</v>
      </c>
      <c r="B12678" t="s">
        <v>2931</v>
      </c>
      <c r="C12678">
        <v>92</v>
      </c>
      <c r="D12678" t="str">
        <f>"619         "</f>
        <v xml:space="preserve">619         </v>
      </c>
      <c r="E12678" t="s">
        <v>183</v>
      </c>
      <c r="F12678" t="s">
        <v>185</v>
      </c>
      <c r="G12678">
        <v>7269.24</v>
      </c>
      <c r="H12678">
        <v>250101</v>
      </c>
      <c r="I12678">
        <v>4820</v>
      </c>
      <c r="J12678" t="s">
        <v>169</v>
      </c>
      <c r="K12678">
        <v>11615.55</v>
      </c>
      <c r="L12678">
        <v>0</v>
      </c>
      <c r="M12678">
        <v>14951</v>
      </c>
      <c r="N12678" t="s">
        <v>186</v>
      </c>
      <c r="O12678">
        <v>250107</v>
      </c>
      <c r="P12678">
        <v>7269.24</v>
      </c>
    </row>
    <row r="12679" spans="1:16" x14ac:dyDescent="0.25">
      <c r="A12679" t="s">
        <v>3296</v>
      </c>
      <c r="B12679" t="s">
        <v>2931</v>
      </c>
      <c r="C12679">
        <v>92</v>
      </c>
      <c r="D12679" t="str">
        <f>"619         "</f>
        <v xml:space="preserve">619         </v>
      </c>
      <c r="E12679" t="s">
        <v>183</v>
      </c>
      <c r="F12679" t="s">
        <v>185</v>
      </c>
      <c r="G12679">
        <v>1282.81</v>
      </c>
      <c r="H12679">
        <v>250101</v>
      </c>
      <c r="I12679">
        <v>4820</v>
      </c>
      <c r="J12679" t="s">
        <v>169</v>
      </c>
      <c r="K12679">
        <v>11615.55</v>
      </c>
      <c r="L12679">
        <v>0</v>
      </c>
      <c r="M12679">
        <v>14990</v>
      </c>
      <c r="N12679" t="s">
        <v>85</v>
      </c>
      <c r="O12679">
        <v>250107</v>
      </c>
      <c r="P12679">
        <v>1282.81</v>
      </c>
    </row>
    <row r="12680" spans="1:16" x14ac:dyDescent="0.25">
      <c r="A12680" t="s">
        <v>3296</v>
      </c>
      <c r="B12680" t="s">
        <v>2931</v>
      </c>
      <c r="C12680">
        <v>531</v>
      </c>
      <c r="D12680" t="str">
        <f>"627         "</f>
        <v xml:space="preserve">627         </v>
      </c>
      <c r="E12680" t="s">
        <v>183</v>
      </c>
      <c r="F12680" t="s">
        <v>185</v>
      </c>
      <c r="G12680">
        <v>3063.5</v>
      </c>
      <c r="H12680">
        <v>250201</v>
      </c>
      <c r="I12680">
        <v>4820</v>
      </c>
      <c r="J12680" t="s">
        <v>169</v>
      </c>
      <c r="K12680">
        <v>11615.55</v>
      </c>
      <c r="L12680">
        <v>0</v>
      </c>
      <c r="M12680">
        <v>11402</v>
      </c>
      <c r="N12680" t="s">
        <v>184</v>
      </c>
      <c r="O12680">
        <v>250123</v>
      </c>
      <c r="P12680">
        <v>3063.5</v>
      </c>
    </row>
    <row r="12681" spans="1:16" x14ac:dyDescent="0.25">
      <c r="A12681" t="s">
        <v>3296</v>
      </c>
      <c r="B12681" t="s">
        <v>2931</v>
      </c>
      <c r="C12681">
        <v>531</v>
      </c>
      <c r="D12681" t="str">
        <f>"627         "</f>
        <v xml:space="preserve">627         </v>
      </c>
      <c r="E12681" t="s">
        <v>183</v>
      </c>
      <c r="F12681" t="s">
        <v>185</v>
      </c>
      <c r="G12681">
        <v>7269.24</v>
      </c>
      <c r="H12681">
        <v>250201</v>
      </c>
      <c r="I12681">
        <v>4820</v>
      </c>
      <c r="J12681" t="s">
        <v>169</v>
      </c>
      <c r="K12681">
        <v>11615.55</v>
      </c>
      <c r="L12681">
        <v>0</v>
      </c>
      <c r="M12681">
        <v>14951</v>
      </c>
      <c r="N12681" t="s">
        <v>186</v>
      </c>
      <c r="O12681">
        <v>250123</v>
      </c>
      <c r="P12681">
        <v>7269.24</v>
      </c>
    </row>
    <row r="12682" spans="1:16" x14ac:dyDescent="0.25">
      <c r="A12682" t="s">
        <v>3296</v>
      </c>
      <c r="B12682" t="s">
        <v>2931</v>
      </c>
      <c r="C12682">
        <v>531</v>
      </c>
      <c r="D12682" t="str">
        <f>"627         "</f>
        <v xml:space="preserve">627         </v>
      </c>
      <c r="E12682" t="s">
        <v>183</v>
      </c>
      <c r="F12682" t="s">
        <v>185</v>
      </c>
      <c r="G12682">
        <v>1282.81</v>
      </c>
      <c r="H12682">
        <v>250201</v>
      </c>
      <c r="I12682">
        <v>4820</v>
      </c>
      <c r="J12682" t="s">
        <v>169</v>
      </c>
      <c r="K12682">
        <v>11615.55</v>
      </c>
      <c r="L12682">
        <v>0</v>
      </c>
      <c r="M12682">
        <v>14990</v>
      </c>
      <c r="N12682" t="s">
        <v>85</v>
      </c>
      <c r="O12682">
        <v>250123</v>
      </c>
      <c r="P12682">
        <v>1282.81</v>
      </c>
    </row>
    <row r="12683" spans="1:16" x14ac:dyDescent="0.25">
      <c r="A12683" t="s">
        <v>3296</v>
      </c>
      <c r="B12683" t="s">
        <v>2931</v>
      </c>
      <c r="C12683">
        <v>2355</v>
      </c>
      <c r="D12683" t="str">
        <f>"635         "</f>
        <v xml:space="preserve">635         </v>
      </c>
      <c r="E12683" t="s">
        <v>183</v>
      </c>
      <c r="F12683" t="s">
        <v>185</v>
      </c>
      <c r="G12683">
        <v>3063.5</v>
      </c>
      <c r="H12683">
        <v>250301</v>
      </c>
      <c r="I12683">
        <v>4820</v>
      </c>
      <c r="J12683" t="s">
        <v>169</v>
      </c>
      <c r="K12683">
        <v>11615.55</v>
      </c>
      <c r="L12683">
        <v>0</v>
      </c>
      <c r="M12683">
        <v>11402</v>
      </c>
      <c r="N12683" t="s">
        <v>184</v>
      </c>
      <c r="O12683">
        <v>250224</v>
      </c>
      <c r="P12683">
        <v>3063.5</v>
      </c>
    </row>
    <row r="12684" spans="1:16" x14ac:dyDescent="0.25">
      <c r="A12684" t="s">
        <v>3296</v>
      </c>
      <c r="B12684" t="s">
        <v>2931</v>
      </c>
      <c r="C12684">
        <v>2355</v>
      </c>
      <c r="D12684" t="str">
        <f>"635         "</f>
        <v xml:space="preserve">635         </v>
      </c>
      <c r="E12684" t="s">
        <v>183</v>
      </c>
      <c r="F12684" t="s">
        <v>185</v>
      </c>
      <c r="G12684">
        <v>7269.24</v>
      </c>
      <c r="H12684">
        <v>250301</v>
      </c>
      <c r="I12684">
        <v>4820</v>
      </c>
      <c r="J12684" t="s">
        <v>169</v>
      </c>
      <c r="K12684">
        <v>11615.55</v>
      </c>
      <c r="L12684">
        <v>0</v>
      </c>
      <c r="M12684">
        <v>14951</v>
      </c>
      <c r="N12684" t="s">
        <v>186</v>
      </c>
      <c r="O12684">
        <v>250224</v>
      </c>
      <c r="P12684">
        <v>7269.24</v>
      </c>
    </row>
    <row r="12685" spans="1:16" x14ac:dyDescent="0.25">
      <c r="A12685" t="s">
        <v>3296</v>
      </c>
      <c r="B12685" t="s">
        <v>2931</v>
      </c>
      <c r="C12685">
        <v>2355</v>
      </c>
      <c r="D12685" t="str">
        <f>"635         "</f>
        <v xml:space="preserve">635         </v>
      </c>
      <c r="E12685" t="s">
        <v>183</v>
      </c>
      <c r="F12685" t="s">
        <v>185</v>
      </c>
      <c r="G12685">
        <v>1282.81</v>
      </c>
      <c r="H12685">
        <v>250301</v>
      </c>
      <c r="I12685">
        <v>4820</v>
      </c>
      <c r="J12685" t="s">
        <v>169</v>
      </c>
      <c r="K12685">
        <v>11615.55</v>
      </c>
      <c r="L12685">
        <v>0</v>
      </c>
      <c r="M12685">
        <v>14990</v>
      </c>
      <c r="N12685" t="s">
        <v>85</v>
      </c>
      <c r="O12685">
        <v>250224</v>
      </c>
      <c r="P12685">
        <v>1282.81</v>
      </c>
    </row>
    <row r="12686" spans="1:16" x14ac:dyDescent="0.25">
      <c r="A12686" t="s">
        <v>3296</v>
      </c>
      <c r="B12686" t="s">
        <v>2931</v>
      </c>
      <c r="C12686">
        <v>4064</v>
      </c>
      <c r="D12686" t="str">
        <f>"643         "</f>
        <v xml:space="preserve">643         </v>
      </c>
      <c r="E12686" t="s">
        <v>183</v>
      </c>
      <c r="F12686" t="s">
        <v>185</v>
      </c>
      <c r="G12686">
        <v>3063.5</v>
      </c>
      <c r="H12686">
        <v>250401</v>
      </c>
      <c r="I12686">
        <v>4820</v>
      </c>
      <c r="J12686" t="s">
        <v>169</v>
      </c>
      <c r="K12686">
        <v>11615.55</v>
      </c>
      <c r="L12686">
        <v>0</v>
      </c>
      <c r="M12686">
        <v>11402</v>
      </c>
      <c r="N12686" t="s">
        <v>184</v>
      </c>
      <c r="O12686">
        <v>250407</v>
      </c>
      <c r="P12686">
        <v>3063.5</v>
      </c>
    </row>
    <row r="12687" spans="1:16" x14ac:dyDescent="0.25">
      <c r="A12687" t="s">
        <v>3296</v>
      </c>
      <c r="B12687" t="s">
        <v>2931</v>
      </c>
      <c r="C12687">
        <v>4064</v>
      </c>
      <c r="D12687" t="str">
        <f>"643         "</f>
        <v xml:space="preserve">643         </v>
      </c>
      <c r="E12687" t="s">
        <v>183</v>
      </c>
      <c r="F12687" t="s">
        <v>185</v>
      </c>
      <c r="G12687">
        <v>7269.24</v>
      </c>
      <c r="H12687">
        <v>250401</v>
      </c>
      <c r="I12687">
        <v>4820</v>
      </c>
      <c r="J12687" t="s">
        <v>169</v>
      </c>
      <c r="K12687">
        <v>11615.55</v>
      </c>
      <c r="L12687">
        <v>0</v>
      </c>
      <c r="M12687">
        <v>14951</v>
      </c>
      <c r="N12687" t="s">
        <v>186</v>
      </c>
      <c r="O12687">
        <v>250407</v>
      </c>
      <c r="P12687">
        <v>7269.24</v>
      </c>
    </row>
    <row r="12688" spans="1:16" x14ac:dyDescent="0.25">
      <c r="A12688" t="s">
        <v>3296</v>
      </c>
      <c r="B12688" t="s">
        <v>2931</v>
      </c>
      <c r="C12688">
        <v>4064</v>
      </c>
      <c r="D12688" t="str">
        <f>"643         "</f>
        <v xml:space="preserve">643         </v>
      </c>
      <c r="E12688" t="s">
        <v>183</v>
      </c>
      <c r="F12688" t="s">
        <v>185</v>
      </c>
      <c r="G12688">
        <v>1282.81</v>
      </c>
      <c r="H12688">
        <v>250401</v>
      </c>
      <c r="I12688">
        <v>4820</v>
      </c>
      <c r="J12688" t="s">
        <v>169</v>
      </c>
      <c r="K12688">
        <v>11615.55</v>
      </c>
      <c r="L12688">
        <v>0</v>
      </c>
      <c r="M12688">
        <v>14990</v>
      </c>
      <c r="N12688" t="s">
        <v>85</v>
      </c>
      <c r="O12688">
        <v>250407</v>
      </c>
      <c r="P12688">
        <v>1282.81</v>
      </c>
    </row>
    <row r="12689" spans="1:16" x14ac:dyDescent="0.25">
      <c r="A12689" t="s">
        <v>3296</v>
      </c>
      <c r="B12689" t="s">
        <v>2931</v>
      </c>
      <c r="C12689">
        <v>5589</v>
      </c>
      <c r="D12689" t="str">
        <f>"651         "</f>
        <v xml:space="preserve">651         </v>
      </c>
      <c r="E12689" t="s">
        <v>183</v>
      </c>
      <c r="F12689" t="s">
        <v>185</v>
      </c>
      <c r="G12689">
        <v>3063.5</v>
      </c>
      <c r="H12689">
        <v>250501</v>
      </c>
      <c r="I12689">
        <v>4820</v>
      </c>
      <c r="J12689" t="s">
        <v>169</v>
      </c>
      <c r="K12689">
        <v>11615.55</v>
      </c>
      <c r="L12689">
        <v>0</v>
      </c>
      <c r="M12689">
        <v>11402</v>
      </c>
      <c r="N12689" t="s">
        <v>184</v>
      </c>
      <c r="O12689">
        <v>250425</v>
      </c>
      <c r="P12689">
        <v>3063.5</v>
      </c>
    </row>
    <row r="12690" spans="1:16" x14ac:dyDescent="0.25">
      <c r="A12690" t="s">
        <v>3296</v>
      </c>
      <c r="B12690" t="s">
        <v>2931</v>
      </c>
      <c r="C12690">
        <v>5589</v>
      </c>
      <c r="D12690" t="str">
        <f>"651         "</f>
        <v xml:space="preserve">651         </v>
      </c>
      <c r="E12690" t="s">
        <v>183</v>
      </c>
      <c r="F12690" t="s">
        <v>185</v>
      </c>
      <c r="G12690">
        <v>7269.24</v>
      </c>
      <c r="H12690">
        <v>250501</v>
      </c>
      <c r="I12690">
        <v>4820</v>
      </c>
      <c r="J12690" t="s">
        <v>169</v>
      </c>
      <c r="K12690">
        <v>11615.55</v>
      </c>
      <c r="L12690">
        <v>0</v>
      </c>
      <c r="M12690">
        <v>14951</v>
      </c>
      <c r="N12690" t="s">
        <v>186</v>
      </c>
      <c r="O12690">
        <v>250425</v>
      </c>
      <c r="P12690">
        <v>7269.24</v>
      </c>
    </row>
    <row r="12691" spans="1:16" x14ac:dyDescent="0.25">
      <c r="A12691" t="s">
        <v>3296</v>
      </c>
      <c r="B12691" t="s">
        <v>2931</v>
      </c>
      <c r="C12691">
        <v>5589</v>
      </c>
      <c r="D12691" t="str">
        <f>"651         "</f>
        <v xml:space="preserve">651         </v>
      </c>
      <c r="E12691" t="s">
        <v>183</v>
      </c>
      <c r="F12691" t="s">
        <v>185</v>
      </c>
      <c r="G12691">
        <v>1282.81</v>
      </c>
      <c r="H12691">
        <v>250501</v>
      </c>
      <c r="I12691">
        <v>4820</v>
      </c>
      <c r="J12691" t="s">
        <v>169</v>
      </c>
      <c r="K12691">
        <v>11615.55</v>
      </c>
      <c r="L12691">
        <v>0</v>
      </c>
      <c r="M12691">
        <v>14990</v>
      </c>
      <c r="N12691" t="s">
        <v>85</v>
      </c>
      <c r="O12691">
        <v>250425</v>
      </c>
      <c r="P12691">
        <v>1282.81</v>
      </c>
    </row>
    <row r="12692" spans="1:16" x14ac:dyDescent="0.25">
      <c r="A12692" t="s">
        <v>3296</v>
      </c>
      <c r="B12692" t="s">
        <v>2931</v>
      </c>
      <c r="C12692">
        <v>7504</v>
      </c>
      <c r="D12692" t="str">
        <f>"658         "</f>
        <v xml:space="preserve">658         </v>
      </c>
      <c r="E12692" t="s">
        <v>183</v>
      </c>
      <c r="F12692" t="s">
        <v>185</v>
      </c>
      <c r="G12692">
        <v>3063.5</v>
      </c>
      <c r="H12692">
        <v>250601</v>
      </c>
      <c r="I12692">
        <v>4820</v>
      </c>
      <c r="J12692" t="s">
        <v>169</v>
      </c>
      <c r="K12692">
        <v>11615.55</v>
      </c>
      <c r="L12692">
        <v>0</v>
      </c>
      <c r="M12692">
        <v>11402</v>
      </c>
      <c r="N12692" t="s">
        <v>184</v>
      </c>
      <c r="O12692">
        <v>250604</v>
      </c>
      <c r="P12692">
        <v>3063.5</v>
      </c>
    </row>
    <row r="12693" spans="1:16" x14ac:dyDescent="0.25">
      <c r="A12693" t="s">
        <v>3296</v>
      </c>
      <c r="B12693" t="s">
        <v>2931</v>
      </c>
      <c r="C12693">
        <v>7504</v>
      </c>
      <c r="D12693" t="str">
        <f>"658         "</f>
        <v xml:space="preserve">658         </v>
      </c>
      <c r="E12693" t="s">
        <v>183</v>
      </c>
      <c r="F12693" t="s">
        <v>185</v>
      </c>
      <c r="G12693">
        <v>7269.24</v>
      </c>
      <c r="H12693">
        <v>250601</v>
      </c>
      <c r="I12693">
        <v>4820</v>
      </c>
      <c r="J12693" t="s">
        <v>169</v>
      </c>
      <c r="K12693">
        <v>11615.55</v>
      </c>
      <c r="L12693">
        <v>0</v>
      </c>
      <c r="M12693">
        <v>14951</v>
      </c>
      <c r="N12693" t="s">
        <v>186</v>
      </c>
      <c r="O12693">
        <v>250604</v>
      </c>
      <c r="P12693">
        <v>7269.24</v>
      </c>
    </row>
    <row r="12694" spans="1:16" x14ac:dyDescent="0.25">
      <c r="A12694" t="s">
        <v>3296</v>
      </c>
      <c r="B12694" t="s">
        <v>2931</v>
      </c>
      <c r="C12694">
        <v>7504</v>
      </c>
      <c r="D12694" t="str">
        <f>"658         "</f>
        <v xml:space="preserve">658         </v>
      </c>
      <c r="E12694" t="s">
        <v>183</v>
      </c>
      <c r="F12694" t="s">
        <v>185</v>
      </c>
      <c r="G12694">
        <v>1282.81</v>
      </c>
      <c r="H12694">
        <v>250601</v>
      </c>
      <c r="I12694">
        <v>4820</v>
      </c>
      <c r="J12694" t="s">
        <v>169</v>
      </c>
      <c r="K12694">
        <v>11615.55</v>
      </c>
      <c r="L12694">
        <v>0</v>
      </c>
      <c r="M12694">
        <v>14990</v>
      </c>
      <c r="N12694" t="s">
        <v>85</v>
      </c>
      <c r="O12694">
        <v>250604</v>
      </c>
      <c r="P12694">
        <v>1282.81</v>
      </c>
    </row>
    <row r="12695" spans="1:16" x14ac:dyDescent="0.25">
      <c r="A12695" t="s">
        <v>3296</v>
      </c>
      <c r="B12695" t="s">
        <v>2931</v>
      </c>
      <c r="C12695">
        <v>8948</v>
      </c>
      <c r="D12695" t="str">
        <f>"668         "</f>
        <v xml:space="preserve">668         </v>
      </c>
      <c r="E12695" t="s">
        <v>183</v>
      </c>
      <c r="F12695" t="s">
        <v>185</v>
      </c>
      <c r="G12695">
        <v>3063.5</v>
      </c>
      <c r="H12695">
        <v>250701</v>
      </c>
      <c r="I12695">
        <v>4820</v>
      </c>
      <c r="J12695" t="s">
        <v>169</v>
      </c>
      <c r="K12695">
        <v>11615.55</v>
      </c>
      <c r="L12695">
        <v>0</v>
      </c>
      <c r="M12695">
        <v>11402</v>
      </c>
      <c r="N12695" t="s">
        <v>184</v>
      </c>
      <c r="O12695">
        <v>250619</v>
      </c>
      <c r="P12695">
        <v>3063.5</v>
      </c>
    </row>
    <row r="12696" spans="1:16" x14ac:dyDescent="0.25">
      <c r="A12696" t="s">
        <v>3296</v>
      </c>
      <c r="B12696" t="s">
        <v>2931</v>
      </c>
      <c r="C12696">
        <v>8948</v>
      </c>
      <c r="D12696" t="str">
        <f>"668         "</f>
        <v xml:space="preserve">668         </v>
      </c>
      <c r="E12696" t="s">
        <v>183</v>
      </c>
      <c r="F12696" t="s">
        <v>185</v>
      </c>
      <c r="G12696">
        <v>7269.24</v>
      </c>
      <c r="H12696">
        <v>250701</v>
      </c>
      <c r="I12696">
        <v>4820</v>
      </c>
      <c r="J12696" t="s">
        <v>169</v>
      </c>
      <c r="K12696">
        <v>11615.55</v>
      </c>
      <c r="L12696">
        <v>0</v>
      </c>
      <c r="M12696">
        <v>14951</v>
      </c>
      <c r="N12696" t="s">
        <v>186</v>
      </c>
      <c r="O12696">
        <v>250619</v>
      </c>
      <c r="P12696">
        <v>7269.24</v>
      </c>
    </row>
    <row r="12697" spans="1:16" x14ac:dyDescent="0.25">
      <c r="A12697" t="s">
        <v>3296</v>
      </c>
      <c r="B12697" t="s">
        <v>2931</v>
      </c>
      <c r="C12697">
        <v>8948</v>
      </c>
      <c r="D12697" t="str">
        <f>"668         "</f>
        <v xml:space="preserve">668         </v>
      </c>
      <c r="E12697" t="s">
        <v>183</v>
      </c>
      <c r="F12697" t="s">
        <v>185</v>
      </c>
      <c r="G12697">
        <v>1282.81</v>
      </c>
      <c r="H12697">
        <v>250701</v>
      </c>
      <c r="I12697">
        <v>4820</v>
      </c>
      <c r="J12697" t="s">
        <v>169</v>
      </c>
      <c r="K12697">
        <v>11615.55</v>
      </c>
      <c r="L12697">
        <v>0</v>
      </c>
      <c r="M12697">
        <v>14990</v>
      </c>
      <c r="N12697" t="s">
        <v>85</v>
      </c>
      <c r="O12697">
        <v>250619</v>
      </c>
      <c r="P12697">
        <v>1282.81</v>
      </c>
    </row>
    <row r="12698" spans="1:16" x14ac:dyDescent="0.25">
      <c r="A12698" t="s">
        <v>3296</v>
      </c>
      <c r="B12698" t="s">
        <v>2931</v>
      </c>
      <c r="C12698">
        <v>10646</v>
      </c>
      <c r="D12698" t="str">
        <f>"678         "</f>
        <v xml:space="preserve">678         </v>
      </c>
      <c r="E12698" t="s">
        <v>183</v>
      </c>
      <c r="F12698" t="s">
        <v>185</v>
      </c>
      <c r="G12698">
        <v>6081.75</v>
      </c>
      <c r="H12698">
        <v>250901</v>
      </c>
      <c r="I12698">
        <v>4820</v>
      </c>
      <c r="J12698" t="s">
        <v>169</v>
      </c>
      <c r="K12698">
        <v>7155</v>
      </c>
      <c r="L12698">
        <v>0</v>
      </c>
      <c r="M12698">
        <v>14951</v>
      </c>
      <c r="N12698" t="s">
        <v>186</v>
      </c>
      <c r="O12698">
        <v>250821</v>
      </c>
      <c r="P12698">
        <v>6081.75</v>
      </c>
    </row>
    <row r="12699" spans="1:16" x14ac:dyDescent="0.25">
      <c r="A12699" t="s">
        <v>3296</v>
      </c>
      <c r="B12699" t="s">
        <v>2931</v>
      </c>
      <c r="C12699">
        <v>10646</v>
      </c>
      <c r="D12699" t="str">
        <f>"678         "</f>
        <v xml:space="preserve">678         </v>
      </c>
      <c r="E12699" t="s">
        <v>183</v>
      </c>
      <c r="F12699" t="s">
        <v>185</v>
      </c>
      <c r="G12699">
        <v>1073.25</v>
      </c>
      <c r="H12699">
        <v>250901</v>
      </c>
      <c r="I12699">
        <v>4820</v>
      </c>
      <c r="J12699" t="s">
        <v>169</v>
      </c>
      <c r="K12699">
        <v>7155</v>
      </c>
      <c r="L12699">
        <v>0</v>
      </c>
      <c r="M12699">
        <v>14990</v>
      </c>
      <c r="N12699" t="s">
        <v>85</v>
      </c>
      <c r="O12699">
        <v>250821</v>
      </c>
      <c r="P12699">
        <v>1073.25</v>
      </c>
    </row>
    <row r="12700" spans="1:16" x14ac:dyDescent="0.25">
      <c r="A12700" t="s">
        <v>3296</v>
      </c>
      <c r="B12700" t="s">
        <v>2931</v>
      </c>
      <c r="C12700">
        <v>10763</v>
      </c>
      <c r="D12700" t="str">
        <f>"675         "</f>
        <v xml:space="preserve">675         </v>
      </c>
      <c r="E12700" t="s">
        <v>183</v>
      </c>
      <c r="F12700" t="s">
        <v>185</v>
      </c>
      <c r="G12700">
        <v>-3063.5</v>
      </c>
      <c r="H12700">
        <v>250811</v>
      </c>
      <c r="I12700">
        <v>4820</v>
      </c>
      <c r="J12700" t="s">
        <v>169</v>
      </c>
      <c r="K12700">
        <v>2694.45</v>
      </c>
      <c r="L12700">
        <v>0</v>
      </c>
      <c r="M12700">
        <v>11402</v>
      </c>
      <c r="N12700" t="s">
        <v>184</v>
      </c>
      <c r="O12700">
        <v>250822</v>
      </c>
      <c r="P12700">
        <v>-3063.5</v>
      </c>
    </row>
    <row r="12701" spans="1:16" x14ac:dyDescent="0.25">
      <c r="A12701" t="s">
        <v>3296</v>
      </c>
      <c r="B12701" t="s">
        <v>2931</v>
      </c>
      <c r="C12701">
        <v>10763</v>
      </c>
      <c r="D12701" t="str">
        <f>"675         "</f>
        <v xml:space="preserve">675         </v>
      </c>
      <c r="E12701" t="s">
        <v>183</v>
      </c>
      <c r="F12701" t="s">
        <v>185</v>
      </c>
      <c r="G12701">
        <v>-1397.05</v>
      </c>
      <c r="H12701">
        <v>250811</v>
      </c>
      <c r="I12701">
        <v>4820</v>
      </c>
      <c r="J12701" t="s">
        <v>169</v>
      </c>
      <c r="K12701">
        <v>2694.45</v>
      </c>
      <c r="L12701">
        <v>0</v>
      </c>
      <c r="M12701">
        <v>14951</v>
      </c>
      <c r="N12701" t="s">
        <v>186</v>
      </c>
      <c r="O12701">
        <v>250822</v>
      </c>
      <c r="P12701">
        <v>-1397.05</v>
      </c>
    </row>
    <row r="12702" spans="1:16" x14ac:dyDescent="0.25">
      <c r="A12702" t="s">
        <v>3296</v>
      </c>
      <c r="B12702" t="s">
        <v>2931</v>
      </c>
      <c r="C12702">
        <v>10763</v>
      </c>
      <c r="D12702" t="str">
        <f>"675         "</f>
        <v xml:space="preserve">675         </v>
      </c>
      <c r="E12702" t="s">
        <v>183</v>
      </c>
      <c r="F12702" t="s">
        <v>185</v>
      </c>
      <c r="G12702">
        <v>6081.75</v>
      </c>
      <c r="H12702">
        <v>250811</v>
      </c>
      <c r="I12702">
        <v>4820</v>
      </c>
      <c r="J12702" t="s">
        <v>169</v>
      </c>
      <c r="K12702">
        <v>2694.45</v>
      </c>
      <c r="L12702">
        <v>0</v>
      </c>
      <c r="M12702">
        <v>14951</v>
      </c>
      <c r="N12702" t="s">
        <v>186</v>
      </c>
      <c r="O12702">
        <v>250822</v>
      </c>
      <c r="P12702">
        <v>6081.75</v>
      </c>
    </row>
    <row r="12703" spans="1:16" x14ac:dyDescent="0.25">
      <c r="A12703" t="s">
        <v>3296</v>
      </c>
      <c r="B12703" t="s">
        <v>2931</v>
      </c>
      <c r="C12703">
        <v>10763</v>
      </c>
      <c r="D12703" t="str">
        <f>"675         "</f>
        <v xml:space="preserve">675         </v>
      </c>
      <c r="E12703" t="s">
        <v>183</v>
      </c>
      <c r="F12703" t="s">
        <v>185</v>
      </c>
      <c r="G12703">
        <v>1073.25</v>
      </c>
      <c r="H12703">
        <v>250811</v>
      </c>
      <c r="I12703">
        <v>4820</v>
      </c>
      <c r="J12703" t="s">
        <v>169</v>
      </c>
      <c r="K12703">
        <v>2694.45</v>
      </c>
      <c r="L12703">
        <v>0</v>
      </c>
      <c r="M12703">
        <v>14990</v>
      </c>
      <c r="N12703" t="s">
        <v>85</v>
      </c>
      <c r="O12703">
        <v>250822</v>
      </c>
      <c r="P12703">
        <v>1073.25</v>
      </c>
    </row>
    <row r="12704" spans="1:16" x14ac:dyDescent="0.25">
      <c r="A12704" t="s">
        <v>3296</v>
      </c>
      <c r="B12704" t="s">
        <v>2931</v>
      </c>
      <c r="C12704">
        <v>12959</v>
      </c>
      <c r="D12704" t="str">
        <f>"691         "</f>
        <v xml:space="preserve">691         </v>
      </c>
      <c r="E12704" t="s">
        <v>183</v>
      </c>
      <c r="F12704" t="s">
        <v>185</v>
      </c>
      <c r="G12704">
        <v>7155</v>
      </c>
      <c r="H12704">
        <v>251001</v>
      </c>
      <c r="I12704">
        <v>4820</v>
      </c>
      <c r="J12704" t="s">
        <v>169</v>
      </c>
      <c r="K12704">
        <v>7155</v>
      </c>
      <c r="L12704">
        <v>0</v>
      </c>
      <c r="M12704">
        <v>14951</v>
      </c>
      <c r="N12704" t="s">
        <v>186</v>
      </c>
      <c r="O12704">
        <v>251003</v>
      </c>
      <c r="P12704">
        <v>7155</v>
      </c>
    </row>
    <row r="12705" spans="1:16" x14ac:dyDescent="0.25">
      <c r="A12705" t="s">
        <v>3296</v>
      </c>
      <c r="B12705" t="s">
        <v>2931</v>
      </c>
      <c r="C12705">
        <v>14545</v>
      </c>
      <c r="D12705" t="str">
        <f>"701         "</f>
        <v xml:space="preserve">701         </v>
      </c>
      <c r="E12705" t="s">
        <v>183</v>
      </c>
      <c r="F12705" t="s">
        <v>185</v>
      </c>
      <c r="G12705">
        <v>7155</v>
      </c>
      <c r="H12705">
        <v>251101</v>
      </c>
      <c r="I12705">
        <v>4820</v>
      </c>
      <c r="J12705" t="s">
        <v>169</v>
      </c>
      <c r="K12705">
        <v>7155</v>
      </c>
      <c r="L12705">
        <v>0</v>
      </c>
      <c r="M12705">
        <v>14951</v>
      </c>
      <c r="N12705" t="s">
        <v>186</v>
      </c>
      <c r="O12705">
        <v>251104</v>
      </c>
      <c r="P12705">
        <v>7155</v>
      </c>
    </row>
    <row r="12706" spans="1:16" x14ac:dyDescent="0.25">
      <c r="A12706" t="s">
        <v>3296</v>
      </c>
      <c r="B12706" t="s">
        <v>2931</v>
      </c>
      <c r="C12706">
        <v>16224</v>
      </c>
      <c r="D12706" t="str">
        <f>"726         "</f>
        <v xml:space="preserve">726         </v>
      </c>
      <c r="E12706" t="s">
        <v>183</v>
      </c>
      <c r="F12706" t="s">
        <v>185</v>
      </c>
      <c r="G12706">
        <v>7155</v>
      </c>
      <c r="H12706">
        <v>251201</v>
      </c>
      <c r="I12706">
        <v>4820</v>
      </c>
      <c r="J12706" t="s">
        <v>169</v>
      </c>
      <c r="K12706">
        <v>7155</v>
      </c>
      <c r="L12706">
        <v>0</v>
      </c>
      <c r="M12706">
        <v>14951</v>
      </c>
      <c r="N12706" t="s">
        <v>186</v>
      </c>
      <c r="O12706">
        <v>251204</v>
      </c>
      <c r="P12706">
        <v>7155</v>
      </c>
    </row>
    <row r="12707" spans="1:16" x14ac:dyDescent="0.25">
      <c r="A12707" t="s">
        <v>3296</v>
      </c>
      <c r="B12707" t="s">
        <v>2931</v>
      </c>
      <c r="C12707">
        <v>17683</v>
      </c>
      <c r="D12707" t="str">
        <f>"1041        "</f>
        <v xml:space="preserve">1041        </v>
      </c>
      <c r="E12707" t="s">
        <v>3197</v>
      </c>
      <c r="F12707" t="s">
        <v>3198</v>
      </c>
      <c r="G12707">
        <v>90</v>
      </c>
      <c r="H12707">
        <v>251222</v>
      </c>
      <c r="I12707">
        <v>4440</v>
      </c>
      <c r="J12707" t="s">
        <v>346</v>
      </c>
      <c r="K12707">
        <v>150</v>
      </c>
      <c r="L12707">
        <v>0</v>
      </c>
      <c r="M12707">
        <v>69702</v>
      </c>
      <c r="N12707" t="s">
        <v>124</v>
      </c>
      <c r="O12707">
        <v>251229</v>
      </c>
      <c r="P12707">
        <v>90</v>
      </c>
    </row>
    <row r="12708" spans="1:16" x14ac:dyDescent="0.25">
      <c r="A12708" t="s">
        <v>3296</v>
      </c>
      <c r="B12708" t="s">
        <v>2931</v>
      </c>
      <c r="C12708">
        <v>17683</v>
      </c>
      <c r="D12708" t="str">
        <f>"1041        "</f>
        <v xml:space="preserve">1041        </v>
      </c>
      <c r="E12708" t="s">
        <v>3197</v>
      </c>
      <c r="F12708" t="s">
        <v>3198</v>
      </c>
      <c r="G12708">
        <v>60</v>
      </c>
      <c r="H12708">
        <v>251222</v>
      </c>
      <c r="I12708">
        <v>4440</v>
      </c>
      <c r="J12708" t="s">
        <v>346</v>
      </c>
      <c r="K12708">
        <v>150</v>
      </c>
      <c r="L12708">
        <v>0</v>
      </c>
      <c r="M12708">
        <v>69704</v>
      </c>
      <c r="N12708" t="s">
        <v>89</v>
      </c>
      <c r="O12708">
        <v>251229</v>
      </c>
      <c r="P12708">
        <v>60</v>
      </c>
    </row>
    <row r="12709" spans="1:16" x14ac:dyDescent="0.25">
      <c r="A12709" t="s">
        <v>3296</v>
      </c>
      <c r="B12709" t="s">
        <v>2931</v>
      </c>
      <c r="C12709">
        <v>17914</v>
      </c>
      <c r="D12709" t="str">
        <f>"1040        "</f>
        <v xml:space="preserve">1040        </v>
      </c>
      <c r="E12709" t="s">
        <v>3197</v>
      </c>
      <c r="F12709" t="s">
        <v>3198</v>
      </c>
      <c r="G12709">
        <v>15</v>
      </c>
      <c r="H12709">
        <v>251222</v>
      </c>
      <c r="I12709">
        <v>4470</v>
      </c>
      <c r="J12709" t="s">
        <v>203</v>
      </c>
      <c r="K12709">
        <v>390</v>
      </c>
      <c r="L12709">
        <v>0</v>
      </c>
      <c r="M12709">
        <v>17131</v>
      </c>
      <c r="N12709" t="s">
        <v>154</v>
      </c>
      <c r="O12709">
        <v>260107</v>
      </c>
      <c r="P12709">
        <v>15</v>
      </c>
    </row>
    <row r="12710" spans="1:16" x14ac:dyDescent="0.25">
      <c r="A12710" t="s">
        <v>3296</v>
      </c>
      <c r="B12710" t="s">
        <v>2931</v>
      </c>
      <c r="C12710">
        <v>17914</v>
      </c>
      <c r="D12710" t="str">
        <f>"1040        "</f>
        <v xml:space="preserve">1040        </v>
      </c>
      <c r="E12710" t="s">
        <v>3197</v>
      </c>
      <c r="F12710" t="s">
        <v>3198</v>
      </c>
      <c r="G12710">
        <v>120</v>
      </c>
      <c r="H12710">
        <v>251222</v>
      </c>
      <c r="I12710">
        <v>4470</v>
      </c>
      <c r="J12710" t="s">
        <v>203</v>
      </c>
      <c r="K12710">
        <v>390</v>
      </c>
      <c r="L12710">
        <v>0</v>
      </c>
      <c r="M12710">
        <v>17538</v>
      </c>
      <c r="N12710" t="s">
        <v>129</v>
      </c>
      <c r="O12710">
        <v>260107</v>
      </c>
      <c r="P12710">
        <v>120</v>
      </c>
    </row>
    <row r="12711" spans="1:16" x14ac:dyDescent="0.25">
      <c r="A12711" t="s">
        <v>3296</v>
      </c>
      <c r="B12711" t="s">
        <v>2931</v>
      </c>
      <c r="C12711">
        <v>17914</v>
      </c>
      <c r="D12711" t="str">
        <f>"1040        "</f>
        <v xml:space="preserve">1040        </v>
      </c>
      <c r="E12711" t="s">
        <v>3197</v>
      </c>
      <c r="F12711" t="s">
        <v>3198</v>
      </c>
      <c r="G12711">
        <v>15</v>
      </c>
      <c r="H12711">
        <v>251222</v>
      </c>
      <c r="I12711">
        <v>4470</v>
      </c>
      <c r="J12711" t="s">
        <v>203</v>
      </c>
      <c r="K12711">
        <v>390</v>
      </c>
      <c r="L12711">
        <v>0</v>
      </c>
      <c r="M12711">
        <v>17711</v>
      </c>
      <c r="N12711" t="s">
        <v>155</v>
      </c>
      <c r="O12711">
        <v>260107</v>
      </c>
      <c r="P12711">
        <v>15</v>
      </c>
    </row>
    <row r="12712" spans="1:16" x14ac:dyDescent="0.25">
      <c r="A12712" t="s">
        <v>3296</v>
      </c>
      <c r="B12712" t="s">
        <v>2931</v>
      </c>
      <c r="C12712">
        <v>17914</v>
      </c>
      <c r="D12712" t="str">
        <f>"1040        "</f>
        <v xml:space="preserve">1040        </v>
      </c>
      <c r="E12712" t="s">
        <v>3197</v>
      </c>
      <c r="F12712" t="s">
        <v>3198</v>
      </c>
      <c r="G12712">
        <v>240</v>
      </c>
      <c r="H12712">
        <v>251222</v>
      </c>
      <c r="I12712">
        <v>4470</v>
      </c>
      <c r="J12712" t="s">
        <v>203</v>
      </c>
      <c r="K12712">
        <v>390</v>
      </c>
      <c r="L12712">
        <v>0</v>
      </c>
      <c r="M12712">
        <v>17808</v>
      </c>
      <c r="N12712" t="s">
        <v>24</v>
      </c>
      <c r="O12712">
        <v>260107</v>
      </c>
      <c r="P12712">
        <v>240</v>
      </c>
    </row>
    <row r="12713" spans="1:16" x14ac:dyDescent="0.25">
      <c r="A12713" t="s">
        <v>3296</v>
      </c>
      <c r="B12713" t="s">
        <v>2931</v>
      </c>
      <c r="C12713">
        <v>1326</v>
      </c>
      <c r="D12713" t="str">
        <f>"2560096132  "</f>
        <v xml:space="preserve">2560096132  </v>
      </c>
      <c r="E12713" t="s">
        <v>943</v>
      </c>
      <c r="F12713" t="s">
        <v>944</v>
      </c>
      <c r="G12713">
        <v>49.57</v>
      </c>
      <c r="H12713">
        <v>250131</v>
      </c>
      <c r="I12713">
        <v>4520</v>
      </c>
      <c r="J12713" t="s">
        <v>280</v>
      </c>
      <c r="K12713">
        <v>236.68</v>
      </c>
      <c r="L12713">
        <v>6.09</v>
      </c>
      <c r="M12713">
        <v>43222</v>
      </c>
      <c r="N12713" t="s">
        <v>95</v>
      </c>
      <c r="O12713">
        <v>250207</v>
      </c>
      <c r="P12713">
        <v>43.48</v>
      </c>
    </row>
    <row r="12714" spans="1:16" x14ac:dyDescent="0.25">
      <c r="A12714" t="s">
        <v>3296</v>
      </c>
      <c r="B12714" t="s">
        <v>2931</v>
      </c>
      <c r="C12714">
        <v>1326</v>
      </c>
      <c r="D12714" t="str">
        <f>"2560096132  "</f>
        <v xml:space="preserve">2560096132  </v>
      </c>
      <c r="E12714" t="s">
        <v>943</v>
      </c>
      <c r="F12714" t="s">
        <v>944</v>
      </c>
      <c r="G12714">
        <v>99.15</v>
      </c>
      <c r="H12714">
        <v>250131</v>
      </c>
      <c r="I12714">
        <v>4520</v>
      </c>
      <c r="J12714" t="s">
        <v>280</v>
      </c>
      <c r="K12714">
        <v>236.68</v>
      </c>
      <c r="L12714">
        <v>12.18</v>
      </c>
      <c r="M12714">
        <v>44251</v>
      </c>
      <c r="N12714" t="s">
        <v>215</v>
      </c>
      <c r="O12714">
        <v>250207</v>
      </c>
      <c r="P12714">
        <v>86.97</v>
      </c>
    </row>
    <row r="12715" spans="1:16" x14ac:dyDescent="0.25">
      <c r="A12715" t="s">
        <v>3296</v>
      </c>
      <c r="B12715" t="s">
        <v>2931</v>
      </c>
      <c r="C12715">
        <v>1326</v>
      </c>
      <c r="D12715" t="str">
        <f>"2560096132  "</f>
        <v xml:space="preserve">2560096132  </v>
      </c>
      <c r="E12715" t="s">
        <v>943</v>
      </c>
      <c r="F12715" t="s">
        <v>944</v>
      </c>
      <c r="G12715">
        <v>49.57</v>
      </c>
      <c r="H12715">
        <v>250131</v>
      </c>
      <c r="I12715">
        <v>4520</v>
      </c>
      <c r="J12715" t="s">
        <v>280</v>
      </c>
      <c r="K12715">
        <v>236.68</v>
      </c>
      <c r="L12715">
        <v>6.09</v>
      </c>
      <c r="M12715">
        <v>44423</v>
      </c>
      <c r="N12715" t="s">
        <v>98</v>
      </c>
      <c r="O12715">
        <v>250207</v>
      </c>
      <c r="P12715">
        <v>43.48</v>
      </c>
    </row>
    <row r="12716" spans="1:16" x14ac:dyDescent="0.25">
      <c r="A12716" t="s">
        <v>3296</v>
      </c>
      <c r="B12716" t="s">
        <v>2931</v>
      </c>
      <c r="C12716">
        <v>2747</v>
      </c>
      <c r="D12716" t="str">
        <f>"2560189141  "</f>
        <v xml:space="preserve">2560189141  </v>
      </c>
      <c r="E12716" t="s">
        <v>943</v>
      </c>
      <c r="F12716" t="s">
        <v>944</v>
      </c>
      <c r="G12716">
        <v>205.92</v>
      </c>
      <c r="H12716">
        <v>250228</v>
      </c>
      <c r="I12716">
        <v>4520</v>
      </c>
      <c r="J12716" t="s">
        <v>280</v>
      </c>
      <c r="K12716">
        <v>270.77</v>
      </c>
      <c r="L12716">
        <v>25.29</v>
      </c>
      <c r="M12716">
        <v>44222</v>
      </c>
      <c r="N12716" t="s">
        <v>96</v>
      </c>
      <c r="O12716">
        <v>250311</v>
      </c>
      <c r="P12716">
        <v>180.63</v>
      </c>
    </row>
    <row r="12717" spans="1:16" x14ac:dyDescent="0.25">
      <c r="A12717" t="s">
        <v>3296</v>
      </c>
      <c r="B12717" t="s">
        <v>2931</v>
      </c>
      <c r="C12717">
        <v>2747</v>
      </c>
      <c r="D12717" t="str">
        <f>"2560189141  "</f>
        <v xml:space="preserve">2560189141  </v>
      </c>
      <c r="E12717" t="s">
        <v>943</v>
      </c>
      <c r="F12717" t="s">
        <v>944</v>
      </c>
      <c r="G12717">
        <v>59.73</v>
      </c>
      <c r="H12717">
        <v>250228</v>
      </c>
      <c r="I12717">
        <v>4520</v>
      </c>
      <c r="J12717" t="s">
        <v>280</v>
      </c>
      <c r="K12717">
        <v>270.77</v>
      </c>
      <c r="L12717">
        <v>7.34</v>
      </c>
      <c r="M12717">
        <v>49111</v>
      </c>
      <c r="N12717" t="s">
        <v>108</v>
      </c>
      <c r="O12717">
        <v>250311</v>
      </c>
      <c r="P12717">
        <v>52.39</v>
      </c>
    </row>
    <row r="12718" spans="1:16" x14ac:dyDescent="0.25">
      <c r="A12718" t="s">
        <v>3296</v>
      </c>
      <c r="B12718" t="s">
        <v>2931</v>
      </c>
      <c r="C12718">
        <v>4407</v>
      </c>
      <c r="D12718" t="str">
        <f>"2560292084  "</f>
        <v xml:space="preserve">2560292084  </v>
      </c>
      <c r="E12718" t="s">
        <v>943</v>
      </c>
      <c r="F12718" t="s">
        <v>944</v>
      </c>
      <c r="G12718">
        <v>246.29</v>
      </c>
      <c r="H12718">
        <v>250331</v>
      </c>
      <c r="I12718">
        <v>4520</v>
      </c>
      <c r="J12718" t="s">
        <v>280</v>
      </c>
      <c r="K12718">
        <v>255.09</v>
      </c>
      <c r="L12718">
        <v>30.25</v>
      </c>
      <c r="M12718">
        <v>44251</v>
      </c>
      <c r="N12718" t="s">
        <v>215</v>
      </c>
      <c r="O12718">
        <v>250411</v>
      </c>
      <c r="P12718">
        <v>216.04</v>
      </c>
    </row>
    <row r="12719" spans="1:16" x14ac:dyDescent="0.25">
      <c r="A12719" t="s">
        <v>3296</v>
      </c>
      <c r="B12719" t="s">
        <v>2931</v>
      </c>
      <c r="C12719">
        <v>5938</v>
      </c>
      <c r="D12719" t="str">
        <f>"2560396465  "</f>
        <v xml:space="preserve">2560396465  </v>
      </c>
      <c r="E12719" t="s">
        <v>943</v>
      </c>
      <c r="F12719" t="s">
        <v>944</v>
      </c>
      <c r="G12719">
        <v>49.42</v>
      </c>
      <c r="H12719">
        <v>250430</v>
      </c>
      <c r="I12719">
        <v>4520</v>
      </c>
      <c r="J12719" t="s">
        <v>280</v>
      </c>
      <c r="K12719">
        <v>108.89</v>
      </c>
      <c r="L12719">
        <v>6.07</v>
      </c>
      <c r="M12719">
        <v>44222</v>
      </c>
      <c r="N12719" t="s">
        <v>96</v>
      </c>
      <c r="O12719">
        <v>250507</v>
      </c>
      <c r="P12719">
        <v>43.35</v>
      </c>
    </row>
    <row r="12720" spans="1:16" x14ac:dyDescent="0.25">
      <c r="A12720" t="s">
        <v>3296</v>
      </c>
      <c r="B12720" t="s">
        <v>2931</v>
      </c>
      <c r="C12720">
        <v>5938</v>
      </c>
      <c r="D12720" t="str">
        <f>"2560396465  "</f>
        <v xml:space="preserve">2560396465  </v>
      </c>
      <c r="E12720" t="s">
        <v>943</v>
      </c>
      <c r="F12720" t="s">
        <v>944</v>
      </c>
      <c r="G12720">
        <v>28.52</v>
      </c>
      <c r="H12720">
        <v>250430</v>
      </c>
      <c r="I12720">
        <v>4520</v>
      </c>
      <c r="J12720" t="s">
        <v>280</v>
      </c>
      <c r="K12720">
        <v>108.89</v>
      </c>
      <c r="L12720">
        <v>3.5</v>
      </c>
      <c r="M12720">
        <v>48601</v>
      </c>
      <c r="N12720" t="s">
        <v>107</v>
      </c>
      <c r="O12720">
        <v>250507</v>
      </c>
      <c r="P12720">
        <v>25.02</v>
      </c>
    </row>
    <row r="12721" spans="1:16" x14ac:dyDescent="0.25">
      <c r="A12721" t="s">
        <v>3296</v>
      </c>
      <c r="B12721" t="s">
        <v>2931</v>
      </c>
      <c r="C12721">
        <v>5938</v>
      </c>
      <c r="D12721" t="str">
        <f>"2560396465  "</f>
        <v xml:space="preserve">2560396465  </v>
      </c>
      <c r="E12721" t="s">
        <v>943</v>
      </c>
      <c r="F12721" t="s">
        <v>944</v>
      </c>
      <c r="G12721">
        <v>27.27</v>
      </c>
      <c r="H12721">
        <v>250430</v>
      </c>
      <c r="I12721">
        <v>4520</v>
      </c>
      <c r="J12721" t="s">
        <v>280</v>
      </c>
      <c r="K12721">
        <v>108.89</v>
      </c>
      <c r="L12721">
        <v>3.35</v>
      </c>
      <c r="M12721">
        <v>49702</v>
      </c>
      <c r="N12721" t="s">
        <v>112</v>
      </c>
      <c r="O12721">
        <v>250507</v>
      </c>
      <c r="P12721">
        <v>23.92</v>
      </c>
    </row>
    <row r="12722" spans="1:16" x14ac:dyDescent="0.25">
      <c r="A12722" t="s">
        <v>3296</v>
      </c>
      <c r="B12722" t="s">
        <v>2931</v>
      </c>
      <c r="C12722">
        <v>8164</v>
      </c>
      <c r="D12722" t="str">
        <f t="shared" ref="D12722:D12727" si="182">"2560501317  "</f>
        <v xml:space="preserve">2560501317  </v>
      </c>
      <c r="E12722" t="s">
        <v>943</v>
      </c>
      <c r="F12722" t="s">
        <v>944</v>
      </c>
      <c r="G12722">
        <v>27.11</v>
      </c>
      <c r="H12722">
        <v>250531</v>
      </c>
      <c r="I12722">
        <v>4520</v>
      </c>
      <c r="J12722" t="s">
        <v>280</v>
      </c>
      <c r="K12722">
        <v>237.85</v>
      </c>
      <c r="L12722">
        <v>3.33</v>
      </c>
      <c r="M12722">
        <v>44222</v>
      </c>
      <c r="N12722" t="s">
        <v>96</v>
      </c>
      <c r="O12722">
        <v>250611</v>
      </c>
      <c r="P12722">
        <v>23.78</v>
      </c>
    </row>
    <row r="12723" spans="1:16" x14ac:dyDescent="0.25">
      <c r="A12723" t="s">
        <v>3296</v>
      </c>
      <c r="B12723" t="s">
        <v>2931</v>
      </c>
      <c r="C12723">
        <v>8164</v>
      </c>
      <c r="D12723" t="str">
        <f t="shared" si="182"/>
        <v xml:space="preserve">2560501317  </v>
      </c>
      <c r="E12723" t="s">
        <v>943</v>
      </c>
      <c r="F12723" t="s">
        <v>944</v>
      </c>
      <c r="G12723">
        <v>117.24</v>
      </c>
      <c r="H12723">
        <v>250531</v>
      </c>
      <c r="I12723">
        <v>4520</v>
      </c>
      <c r="J12723" t="s">
        <v>280</v>
      </c>
      <c r="K12723">
        <v>237.85</v>
      </c>
      <c r="L12723">
        <v>14.4</v>
      </c>
      <c r="M12723">
        <v>44222</v>
      </c>
      <c r="N12723" t="s">
        <v>96</v>
      </c>
      <c r="O12723">
        <v>250611</v>
      </c>
      <c r="P12723">
        <v>102.84</v>
      </c>
    </row>
    <row r="12724" spans="1:16" x14ac:dyDescent="0.25">
      <c r="A12724" t="s">
        <v>3296</v>
      </c>
      <c r="B12724" t="s">
        <v>2931</v>
      </c>
      <c r="C12724">
        <v>8164</v>
      </c>
      <c r="D12724" t="str">
        <f t="shared" si="182"/>
        <v xml:space="preserve">2560501317  </v>
      </c>
      <c r="E12724" t="s">
        <v>943</v>
      </c>
      <c r="F12724" t="s">
        <v>944</v>
      </c>
      <c r="G12724">
        <v>33.64</v>
      </c>
      <c r="H12724">
        <v>250531</v>
      </c>
      <c r="I12724">
        <v>4520</v>
      </c>
      <c r="J12724" t="s">
        <v>280</v>
      </c>
      <c r="K12724">
        <v>237.85</v>
      </c>
      <c r="L12724">
        <v>4.13</v>
      </c>
      <c r="M12724">
        <v>44423</v>
      </c>
      <c r="N12724" t="s">
        <v>98</v>
      </c>
      <c r="O12724">
        <v>250611</v>
      </c>
      <c r="P12724">
        <v>29.51</v>
      </c>
    </row>
    <row r="12725" spans="1:16" x14ac:dyDescent="0.25">
      <c r="A12725" t="s">
        <v>3296</v>
      </c>
      <c r="B12725" t="s">
        <v>2931</v>
      </c>
      <c r="C12725">
        <v>8164</v>
      </c>
      <c r="D12725" t="str">
        <f t="shared" si="182"/>
        <v xml:space="preserve">2560501317  </v>
      </c>
      <c r="E12725" t="s">
        <v>943</v>
      </c>
      <c r="F12725" t="s">
        <v>944</v>
      </c>
      <c r="G12725">
        <v>23.45</v>
      </c>
      <c r="H12725">
        <v>250531</v>
      </c>
      <c r="I12725">
        <v>4520</v>
      </c>
      <c r="J12725" t="s">
        <v>280</v>
      </c>
      <c r="K12725">
        <v>237.85</v>
      </c>
      <c r="L12725">
        <v>2.88</v>
      </c>
      <c r="M12725">
        <v>44453</v>
      </c>
      <c r="N12725" t="s">
        <v>100</v>
      </c>
      <c r="O12725">
        <v>250611</v>
      </c>
      <c r="P12725">
        <v>20.57</v>
      </c>
    </row>
    <row r="12726" spans="1:16" x14ac:dyDescent="0.25">
      <c r="A12726" t="s">
        <v>3296</v>
      </c>
      <c r="B12726" t="s">
        <v>2931</v>
      </c>
      <c r="C12726">
        <v>8164</v>
      </c>
      <c r="D12726" t="str">
        <f t="shared" si="182"/>
        <v xml:space="preserve">2560501317  </v>
      </c>
      <c r="E12726" t="s">
        <v>943</v>
      </c>
      <c r="F12726" t="s">
        <v>944</v>
      </c>
      <c r="G12726">
        <v>9.6999999999999993</v>
      </c>
      <c r="H12726">
        <v>250531</v>
      </c>
      <c r="I12726">
        <v>4520</v>
      </c>
      <c r="J12726" t="s">
        <v>280</v>
      </c>
      <c r="K12726">
        <v>237.85</v>
      </c>
      <c r="L12726">
        <v>1.19</v>
      </c>
      <c r="M12726">
        <v>49701</v>
      </c>
      <c r="N12726" t="s">
        <v>111</v>
      </c>
      <c r="O12726">
        <v>250611</v>
      </c>
      <c r="P12726">
        <v>8.51</v>
      </c>
    </row>
    <row r="12727" spans="1:16" x14ac:dyDescent="0.25">
      <c r="A12727" t="s">
        <v>3296</v>
      </c>
      <c r="B12727" t="s">
        <v>2931</v>
      </c>
      <c r="C12727">
        <v>8164</v>
      </c>
      <c r="D12727" t="str">
        <f t="shared" si="182"/>
        <v xml:space="preserve">2560501317  </v>
      </c>
      <c r="E12727" t="s">
        <v>943</v>
      </c>
      <c r="F12727" t="s">
        <v>944</v>
      </c>
      <c r="G12727">
        <v>17.690000000000001</v>
      </c>
      <c r="H12727">
        <v>250531</v>
      </c>
      <c r="I12727">
        <v>4520</v>
      </c>
      <c r="J12727" t="s">
        <v>280</v>
      </c>
      <c r="K12727">
        <v>237.85</v>
      </c>
      <c r="L12727">
        <v>2.17</v>
      </c>
      <c r="M12727">
        <v>49701</v>
      </c>
      <c r="N12727" t="s">
        <v>111</v>
      </c>
      <c r="O12727">
        <v>250611</v>
      </c>
      <c r="P12727">
        <v>15.52</v>
      </c>
    </row>
    <row r="12728" spans="1:16" x14ac:dyDescent="0.25">
      <c r="A12728" t="s">
        <v>3296</v>
      </c>
      <c r="B12728" t="s">
        <v>2931</v>
      </c>
      <c r="C12728">
        <v>9491</v>
      </c>
      <c r="D12728" t="str">
        <f>"2560599925  "</f>
        <v xml:space="preserve">2560599925  </v>
      </c>
      <c r="E12728" t="s">
        <v>943</v>
      </c>
      <c r="F12728" t="s">
        <v>944</v>
      </c>
      <c r="G12728">
        <v>43.55</v>
      </c>
      <c r="H12728">
        <v>250630</v>
      </c>
      <c r="I12728">
        <v>4520</v>
      </c>
      <c r="J12728" t="s">
        <v>280</v>
      </c>
      <c r="K12728">
        <v>43.55</v>
      </c>
      <c r="L12728">
        <v>5.35</v>
      </c>
      <c r="M12728">
        <v>49112</v>
      </c>
      <c r="N12728" t="s">
        <v>109</v>
      </c>
      <c r="O12728">
        <v>250709</v>
      </c>
      <c r="P12728">
        <v>38.200000000000003</v>
      </c>
    </row>
    <row r="12729" spans="1:16" x14ac:dyDescent="0.25">
      <c r="A12729" t="s">
        <v>3296</v>
      </c>
      <c r="B12729" t="s">
        <v>2931</v>
      </c>
      <c r="C12729">
        <v>11438</v>
      </c>
      <c r="D12729" t="str">
        <f>"2560801259  "</f>
        <v xml:space="preserve">2560801259  </v>
      </c>
      <c r="E12729" t="s">
        <v>943</v>
      </c>
      <c r="F12729" t="s">
        <v>944</v>
      </c>
      <c r="G12729">
        <v>47.87</v>
      </c>
      <c r="H12729">
        <v>250831</v>
      </c>
      <c r="I12729">
        <v>4520</v>
      </c>
      <c r="J12729" t="s">
        <v>280</v>
      </c>
      <c r="K12729">
        <v>183.22</v>
      </c>
      <c r="L12729">
        <v>5.88</v>
      </c>
      <c r="M12729">
        <v>41126</v>
      </c>
      <c r="N12729" t="s">
        <v>94</v>
      </c>
      <c r="O12729">
        <v>250905</v>
      </c>
      <c r="P12729">
        <v>41.99</v>
      </c>
    </row>
    <row r="12730" spans="1:16" x14ac:dyDescent="0.25">
      <c r="A12730" t="s">
        <v>3296</v>
      </c>
      <c r="B12730" t="s">
        <v>2931</v>
      </c>
      <c r="C12730">
        <v>11438</v>
      </c>
      <c r="D12730" t="str">
        <f>"2560801259  "</f>
        <v xml:space="preserve">2560801259  </v>
      </c>
      <c r="E12730" t="s">
        <v>943</v>
      </c>
      <c r="F12730" t="s">
        <v>944</v>
      </c>
      <c r="G12730">
        <v>125.06</v>
      </c>
      <c r="H12730">
        <v>250831</v>
      </c>
      <c r="I12730">
        <v>4520</v>
      </c>
      <c r="J12730" t="s">
        <v>280</v>
      </c>
      <c r="K12730">
        <v>183.22</v>
      </c>
      <c r="L12730">
        <v>15.36</v>
      </c>
      <c r="M12730">
        <v>44222</v>
      </c>
      <c r="N12730" t="s">
        <v>96</v>
      </c>
      <c r="O12730">
        <v>250905</v>
      </c>
      <c r="P12730">
        <v>109.7</v>
      </c>
    </row>
    <row r="12731" spans="1:16" x14ac:dyDescent="0.25">
      <c r="A12731" t="s">
        <v>3296</v>
      </c>
      <c r="B12731" t="s">
        <v>2931</v>
      </c>
      <c r="C12731">
        <v>13607</v>
      </c>
      <c r="D12731" t="str">
        <f>"2560901695  "</f>
        <v xml:space="preserve">2560901695  </v>
      </c>
      <c r="E12731" t="s">
        <v>943</v>
      </c>
      <c r="F12731" t="s">
        <v>944</v>
      </c>
      <c r="G12731">
        <v>217.81</v>
      </c>
      <c r="H12731">
        <v>250930</v>
      </c>
      <c r="I12731">
        <v>4520</v>
      </c>
      <c r="J12731" t="s">
        <v>280</v>
      </c>
      <c r="K12731">
        <v>283.24</v>
      </c>
      <c r="L12731">
        <v>26.75</v>
      </c>
      <c r="M12731">
        <v>44222</v>
      </c>
      <c r="N12731" t="s">
        <v>96</v>
      </c>
      <c r="O12731">
        <v>251013</v>
      </c>
      <c r="P12731">
        <v>191.06</v>
      </c>
    </row>
    <row r="12732" spans="1:16" x14ac:dyDescent="0.25">
      <c r="A12732" t="s">
        <v>3296</v>
      </c>
      <c r="B12732" t="s">
        <v>2931</v>
      </c>
      <c r="C12732">
        <v>13607</v>
      </c>
      <c r="D12732" t="str">
        <f>"2560901695  "</f>
        <v xml:space="preserve">2560901695  </v>
      </c>
      <c r="E12732" t="s">
        <v>943</v>
      </c>
      <c r="F12732" t="s">
        <v>944</v>
      </c>
      <c r="G12732">
        <v>58.82</v>
      </c>
      <c r="H12732">
        <v>250930</v>
      </c>
      <c r="I12732">
        <v>4520</v>
      </c>
      <c r="J12732" t="s">
        <v>280</v>
      </c>
      <c r="K12732">
        <v>283.24</v>
      </c>
      <c r="L12732">
        <v>7.22</v>
      </c>
      <c r="M12732">
        <v>49702</v>
      </c>
      <c r="N12732" t="s">
        <v>112</v>
      </c>
      <c r="O12732">
        <v>251013</v>
      </c>
      <c r="P12732">
        <v>51.6</v>
      </c>
    </row>
    <row r="12733" spans="1:16" x14ac:dyDescent="0.25">
      <c r="A12733" t="s">
        <v>3296</v>
      </c>
      <c r="B12733" t="s">
        <v>2931</v>
      </c>
      <c r="C12733">
        <v>15230</v>
      </c>
      <c r="D12733" t="str">
        <f>"2561009591  "</f>
        <v xml:space="preserve">2561009591  </v>
      </c>
      <c r="E12733" t="s">
        <v>943</v>
      </c>
      <c r="F12733" t="s">
        <v>944</v>
      </c>
      <c r="G12733">
        <v>171.4</v>
      </c>
      <c r="H12733">
        <v>251031</v>
      </c>
      <c r="I12733">
        <v>4520</v>
      </c>
      <c r="J12733" t="s">
        <v>280</v>
      </c>
      <c r="K12733">
        <v>254.87</v>
      </c>
      <c r="L12733">
        <v>21.05</v>
      </c>
      <c r="M12733">
        <v>44222</v>
      </c>
      <c r="N12733" t="s">
        <v>96</v>
      </c>
      <c r="O12733">
        <v>251117</v>
      </c>
      <c r="P12733">
        <v>150.35</v>
      </c>
    </row>
    <row r="12734" spans="1:16" x14ac:dyDescent="0.25">
      <c r="A12734" t="s">
        <v>3296</v>
      </c>
      <c r="B12734" t="s">
        <v>2931</v>
      </c>
      <c r="C12734">
        <v>15230</v>
      </c>
      <c r="D12734" t="str">
        <f>"2561009591  "</f>
        <v xml:space="preserve">2561009591  </v>
      </c>
      <c r="E12734" t="s">
        <v>943</v>
      </c>
      <c r="F12734" t="s">
        <v>944</v>
      </c>
      <c r="G12734">
        <v>40.71</v>
      </c>
      <c r="H12734">
        <v>251031</v>
      </c>
      <c r="I12734">
        <v>4520</v>
      </c>
      <c r="J12734" t="s">
        <v>280</v>
      </c>
      <c r="K12734">
        <v>254.87</v>
      </c>
      <c r="L12734">
        <v>5</v>
      </c>
      <c r="M12734">
        <v>48601</v>
      </c>
      <c r="N12734" t="s">
        <v>107</v>
      </c>
      <c r="O12734">
        <v>251117</v>
      </c>
      <c r="P12734">
        <v>35.71</v>
      </c>
    </row>
    <row r="12735" spans="1:16" x14ac:dyDescent="0.25">
      <c r="A12735" t="s">
        <v>3296</v>
      </c>
      <c r="B12735" t="s">
        <v>2931</v>
      </c>
      <c r="C12735">
        <v>15230</v>
      </c>
      <c r="D12735" t="str">
        <f>"2561009591  "</f>
        <v xml:space="preserve">2561009591  </v>
      </c>
      <c r="E12735" t="s">
        <v>943</v>
      </c>
      <c r="F12735" t="s">
        <v>944</v>
      </c>
      <c r="G12735">
        <v>30.44</v>
      </c>
      <c r="H12735">
        <v>251031</v>
      </c>
      <c r="I12735">
        <v>4520</v>
      </c>
      <c r="J12735" t="s">
        <v>280</v>
      </c>
      <c r="K12735">
        <v>254.87</v>
      </c>
      <c r="L12735">
        <v>3.74</v>
      </c>
      <c r="M12735">
        <v>49702</v>
      </c>
      <c r="N12735" t="s">
        <v>112</v>
      </c>
      <c r="O12735">
        <v>251117</v>
      </c>
      <c r="P12735">
        <v>26.7</v>
      </c>
    </row>
    <row r="12736" spans="1:16" x14ac:dyDescent="0.25">
      <c r="A12736" t="s">
        <v>3296</v>
      </c>
      <c r="B12736" t="s">
        <v>2931</v>
      </c>
      <c r="C12736">
        <v>16827</v>
      </c>
      <c r="D12736" t="str">
        <f>"2561114299  "</f>
        <v xml:space="preserve">2561114299  </v>
      </c>
      <c r="E12736" t="s">
        <v>943</v>
      </c>
      <c r="F12736" t="s">
        <v>944</v>
      </c>
      <c r="G12736">
        <v>368.43</v>
      </c>
      <c r="H12736">
        <v>251130</v>
      </c>
      <c r="I12736">
        <v>4520</v>
      </c>
      <c r="J12736" t="s">
        <v>280</v>
      </c>
      <c r="K12736">
        <v>377.79</v>
      </c>
      <c r="L12736">
        <v>45.25</v>
      </c>
      <c r="M12736">
        <v>44251</v>
      </c>
      <c r="N12736" t="s">
        <v>215</v>
      </c>
      <c r="O12736">
        <v>251212</v>
      </c>
      <c r="P12736">
        <v>323.18</v>
      </c>
    </row>
    <row r="12737" spans="1:16" x14ac:dyDescent="0.25">
      <c r="A12737" t="s">
        <v>3296</v>
      </c>
      <c r="B12737" t="s">
        <v>2931</v>
      </c>
      <c r="C12737">
        <v>18020</v>
      </c>
      <c r="D12737" t="str">
        <f>"2561207428  "</f>
        <v xml:space="preserve">2561207428  </v>
      </c>
      <c r="E12737" t="s">
        <v>943</v>
      </c>
      <c r="F12737" t="s">
        <v>944</v>
      </c>
      <c r="G12737">
        <v>148.47999999999999</v>
      </c>
      <c r="H12737">
        <v>251231</v>
      </c>
      <c r="I12737">
        <v>4520</v>
      </c>
      <c r="J12737" t="s">
        <v>280</v>
      </c>
      <c r="K12737">
        <v>173.95</v>
      </c>
      <c r="L12737">
        <v>18.23</v>
      </c>
      <c r="M12737">
        <v>44251</v>
      </c>
      <c r="N12737" t="s">
        <v>215</v>
      </c>
      <c r="O12737">
        <v>260108</v>
      </c>
      <c r="P12737">
        <v>130.25</v>
      </c>
    </row>
    <row r="12738" spans="1:16" x14ac:dyDescent="0.25">
      <c r="A12738" t="s">
        <v>3296</v>
      </c>
      <c r="B12738" t="s">
        <v>2931</v>
      </c>
      <c r="C12738">
        <v>18020</v>
      </c>
      <c r="D12738" t="str">
        <f>"2561207428  "</f>
        <v xml:space="preserve">2561207428  </v>
      </c>
      <c r="E12738" t="s">
        <v>943</v>
      </c>
      <c r="F12738" t="s">
        <v>944</v>
      </c>
      <c r="G12738">
        <v>23.8</v>
      </c>
      <c r="H12738">
        <v>251231</v>
      </c>
      <c r="I12738">
        <v>4520</v>
      </c>
      <c r="J12738" t="s">
        <v>280</v>
      </c>
      <c r="K12738">
        <v>173.95</v>
      </c>
      <c r="L12738">
        <v>2.92</v>
      </c>
      <c r="M12738">
        <v>49702</v>
      </c>
      <c r="N12738" t="s">
        <v>112</v>
      </c>
      <c r="O12738">
        <v>260108</v>
      </c>
      <c r="P12738">
        <v>20.88</v>
      </c>
    </row>
    <row r="12739" spans="1:16" x14ac:dyDescent="0.25">
      <c r="A12739" t="s">
        <v>3296</v>
      </c>
      <c r="B12739" t="s">
        <v>2931</v>
      </c>
      <c r="C12739">
        <v>1326</v>
      </c>
      <c r="D12739" t="str">
        <f>"2560096132  "</f>
        <v xml:space="preserve">2560096132  </v>
      </c>
      <c r="E12739" t="s">
        <v>943</v>
      </c>
      <c r="F12739" t="s">
        <v>944</v>
      </c>
      <c r="G12739">
        <v>19.2</v>
      </c>
      <c r="H12739">
        <v>250131</v>
      </c>
      <c r="I12739">
        <v>4600</v>
      </c>
      <c r="J12739" t="s">
        <v>278</v>
      </c>
      <c r="K12739">
        <v>236.68</v>
      </c>
      <c r="L12739">
        <v>3.9</v>
      </c>
      <c r="M12739">
        <v>43222</v>
      </c>
      <c r="N12739" t="s">
        <v>95</v>
      </c>
      <c r="O12739">
        <v>250207</v>
      </c>
      <c r="P12739">
        <v>15.3</v>
      </c>
    </row>
    <row r="12740" spans="1:16" x14ac:dyDescent="0.25">
      <c r="A12740" t="s">
        <v>3296</v>
      </c>
      <c r="B12740" t="s">
        <v>2931</v>
      </c>
      <c r="C12740">
        <v>1326</v>
      </c>
      <c r="D12740" t="str">
        <f>"2560096132  "</f>
        <v xml:space="preserve">2560096132  </v>
      </c>
      <c r="E12740" t="s">
        <v>943</v>
      </c>
      <c r="F12740" t="s">
        <v>944</v>
      </c>
      <c r="G12740">
        <v>13.39</v>
      </c>
      <c r="H12740">
        <v>250131</v>
      </c>
      <c r="I12740">
        <v>4600</v>
      </c>
      <c r="J12740" t="s">
        <v>278</v>
      </c>
      <c r="K12740">
        <v>236.68</v>
      </c>
      <c r="L12740">
        <v>2.72</v>
      </c>
      <c r="M12740">
        <v>44251</v>
      </c>
      <c r="N12740" t="s">
        <v>215</v>
      </c>
      <c r="O12740">
        <v>250207</v>
      </c>
      <c r="P12740">
        <v>10.67</v>
      </c>
    </row>
    <row r="12741" spans="1:16" x14ac:dyDescent="0.25">
      <c r="A12741" t="s">
        <v>3296</v>
      </c>
      <c r="B12741" t="s">
        <v>2931</v>
      </c>
      <c r="C12741">
        <v>1326</v>
      </c>
      <c r="D12741" t="str">
        <f>"2560096132  "</f>
        <v xml:space="preserve">2560096132  </v>
      </c>
      <c r="E12741" t="s">
        <v>943</v>
      </c>
      <c r="F12741" t="s">
        <v>944</v>
      </c>
      <c r="G12741">
        <v>5.8</v>
      </c>
      <c r="H12741">
        <v>250131</v>
      </c>
      <c r="I12741">
        <v>4600</v>
      </c>
      <c r="J12741" t="s">
        <v>278</v>
      </c>
      <c r="K12741">
        <v>236.68</v>
      </c>
      <c r="L12741">
        <v>1.18</v>
      </c>
      <c r="M12741">
        <v>44423</v>
      </c>
      <c r="N12741" t="s">
        <v>98</v>
      </c>
      <c r="O12741">
        <v>250207</v>
      </c>
      <c r="P12741">
        <v>4.62</v>
      </c>
    </row>
    <row r="12742" spans="1:16" x14ac:dyDescent="0.25">
      <c r="A12742" t="s">
        <v>3296</v>
      </c>
      <c r="B12742" t="s">
        <v>2931</v>
      </c>
      <c r="C12742">
        <v>2747</v>
      </c>
      <c r="D12742" t="str">
        <f>"2560189141  "</f>
        <v xml:space="preserve">2560189141  </v>
      </c>
      <c r="E12742" t="s">
        <v>943</v>
      </c>
      <c r="F12742" t="s">
        <v>944</v>
      </c>
      <c r="G12742">
        <v>4.32</v>
      </c>
      <c r="H12742">
        <v>250228</v>
      </c>
      <c r="I12742">
        <v>4600</v>
      </c>
      <c r="J12742" t="s">
        <v>278</v>
      </c>
      <c r="K12742">
        <v>270.77</v>
      </c>
      <c r="L12742">
        <v>0.88</v>
      </c>
      <c r="M12742">
        <v>44222</v>
      </c>
      <c r="N12742" t="s">
        <v>96</v>
      </c>
      <c r="O12742">
        <v>250311</v>
      </c>
      <c r="P12742">
        <v>3.44</v>
      </c>
    </row>
    <row r="12743" spans="1:16" x14ac:dyDescent="0.25">
      <c r="A12743" t="s">
        <v>3296</v>
      </c>
      <c r="B12743" t="s">
        <v>2931</v>
      </c>
      <c r="C12743">
        <v>2747</v>
      </c>
      <c r="D12743" t="str">
        <f>"2560189141  "</f>
        <v xml:space="preserve">2560189141  </v>
      </c>
      <c r="E12743" t="s">
        <v>943</v>
      </c>
      <c r="F12743" t="s">
        <v>944</v>
      </c>
      <c r="G12743">
        <v>0.8</v>
      </c>
      <c r="H12743">
        <v>250228</v>
      </c>
      <c r="I12743">
        <v>4600</v>
      </c>
      <c r="J12743" t="s">
        <v>278</v>
      </c>
      <c r="K12743">
        <v>270.77</v>
      </c>
      <c r="L12743">
        <v>0.16</v>
      </c>
      <c r="M12743">
        <v>49111</v>
      </c>
      <c r="N12743" t="s">
        <v>108</v>
      </c>
      <c r="O12743">
        <v>250311</v>
      </c>
      <c r="P12743">
        <v>0.64</v>
      </c>
    </row>
    <row r="12744" spans="1:16" x14ac:dyDescent="0.25">
      <c r="A12744" t="s">
        <v>3296</v>
      </c>
      <c r="B12744" t="s">
        <v>2931</v>
      </c>
      <c r="C12744">
        <v>4407</v>
      </c>
      <c r="D12744" t="str">
        <f>"2560292084  "</f>
        <v xml:space="preserve">2560292084  </v>
      </c>
      <c r="E12744" t="s">
        <v>943</v>
      </c>
      <c r="F12744" t="s">
        <v>944</v>
      </c>
      <c r="G12744">
        <v>8.8000000000000007</v>
      </c>
      <c r="H12744">
        <v>250331</v>
      </c>
      <c r="I12744">
        <v>4600</v>
      </c>
      <c r="J12744" t="s">
        <v>278</v>
      </c>
      <c r="K12744">
        <v>255.09</v>
      </c>
      <c r="L12744">
        <v>1.79</v>
      </c>
      <c r="M12744">
        <v>44251</v>
      </c>
      <c r="N12744" t="s">
        <v>215</v>
      </c>
      <c r="O12744">
        <v>250411</v>
      </c>
      <c r="P12744">
        <v>7.01</v>
      </c>
    </row>
    <row r="12745" spans="1:16" x14ac:dyDescent="0.25">
      <c r="A12745" t="s">
        <v>3296</v>
      </c>
      <c r="B12745" t="s">
        <v>2931</v>
      </c>
      <c r="C12745">
        <v>5938</v>
      </c>
      <c r="D12745" t="str">
        <f>"2560396465  "</f>
        <v xml:space="preserve">2560396465  </v>
      </c>
      <c r="E12745" t="s">
        <v>943</v>
      </c>
      <c r="F12745" t="s">
        <v>944</v>
      </c>
      <c r="G12745">
        <v>2.99</v>
      </c>
      <c r="H12745">
        <v>250430</v>
      </c>
      <c r="I12745">
        <v>4600</v>
      </c>
      <c r="J12745" t="s">
        <v>278</v>
      </c>
      <c r="K12745">
        <v>108.89</v>
      </c>
      <c r="L12745">
        <v>0.61</v>
      </c>
      <c r="M12745">
        <v>44222</v>
      </c>
      <c r="N12745" t="s">
        <v>96</v>
      </c>
      <c r="O12745">
        <v>250507</v>
      </c>
      <c r="P12745">
        <v>2.38</v>
      </c>
    </row>
    <row r="12746" spans="1:16" x14ac:dyDescent="0.25">
      <c r="A12746" t="s">
        <v>3296</v>
      </c>
      <c r="B12746" t="s">
        <v>2931</v>
      </c>
      <c r="C12746">
        <v>5938</v>
      </c>
      <c r="D12746" t="str">
        <f>"2560396465  "</f>
        <v xml:space="preserve">2560396465  </v>
      </c>
      <c r="E12746" t="s">
        <v>943</v>
      </c>
      <c r="F12746" t="s">
        <v>944</v>
      </c>
      <c r="G12746">
        <v>0.28999999999999998</v>
      </c>
      <c r="H12746">
        <v>250430</v>
      </c>
      <c r="I12746">
        <v>4600</v>
      </c>
      <c r="J12746" t="s">
        <v>278</v>
      </c>
      <c r="K12746">
        <v>108.89</v>
      </c>
      <c r="L12746">
        <v>0.06</v>
      </c>
      <c r="M12746">
        <v>48601</v>
      </c>
      <c r="N12746" t="s">
        <v>107</v>
      </c>
      <c r="O12746">
        <v>250507</v>
      </c>
      <c r="P12746">
        <v>0.23</v>
      </c>
    </row>
    <row r="12747" spans="1:16" x14ac:dyDescent="0.25">
      <c r="A12747" t="s">
        <v>3296</v>
      </c>
      <c r="B12747" t="s">
        <v>2931</v>
      </c>
      <c r="C12747">
        <v>5938</v>
      </c>
      <c r="D12747" t="str">
        <f>"2560396465  "</f>
        <v xml:space="preserve">2560396465  </v>
      </c>
      <c r="E12747" t="s">
        <v>943</v>
      </c>
      <c r="F12747" t="s">
        <v>944</v>
      </c>
      <c r="G12747">
        <v>0.4</v>
      </c>
      <c r="H12747">
        <v>250430</v>
      </c>
      <c r="I12747">
        <v>4600</v>
      </c>
      <c r="J12747" t="s">
        <v>278</v>
      </c>
      <c r="K12747">
        <v>108.89</v>
      </c>
      <c r="L12747">
        <v>0.08</v>
      </c>
      <c r="M12747">
        <v>49702</v>
      </c>
      <c r="N12747" t="s">
        <v>112</v>
      </c>
      <c r="O12747">
        <v>250507</v>
      </c>
      <c r="P12747">
        <v>0.32</v>
      </c>
    </row>
    <row r="12748" spans="1:16" x14ac:dyDescent="0.25">
      <c r="A12748" t="s">
        <v>3296</v>
      </c>
      <c r="B12748" t="s">
        <v>2931</v>
      </c>
      <c r="C12748">
        <v>8164</v>
      </c>
      <c r="D12748" t="str">
        <f>"2560501317  "</f>
        <v xml:space="preserve">2560501317  </v>
      </c>
      <c r="E12748" t="s">
        <v>943</v>
      </c>
      <c r="F12748" t="s">
        <v>944</v>
      </c>
      <c r="G12748">
        <v>0.39</v>
      </c>
      <c r="H12748">
        <v>250531</v>
      </c>
      <c r="I12748">
        <v>4600</v>
      </c>
      <c r="J12748" t="s">
        <v>278</v>
      </c>
      <c r="K12748">
        <v>237.85</v>
      </c>
      <c r="L12748">
        <v>0.08</v>
      </c>
      <c r="M12748">
        <v>44222</v>
      </c>
      <c r="N12748" t="s">
        <v>96</v>
      </c>
      <c r="O12748">
        <v>250611</v>
      </c>
      <c r="P12748">
        <v>0.31</v>
      </c>
    </row>
    <row r="12749" spans="1:16" x14ac:dyDescent="0.25">
      <c r="A12749" t="s">
        <v>3296</v>
      </c>
      <c r="B12749" t="s">
        <v>2931</v>
      </c>
      <c r="C12749">
        <v>8164</v>
      </c>
      <c r="D12749" t="str">
        <f>"2560501317  "</f>
        <v xml:space="preserve">2560501317  </v>
      </c>
      <c r="E12749" t="s">
        <v>943</v>
      </c>
      <c r="F12749" t="s">
        <v>944</v>
      </c>
      <c r="G12749">
        <v>7.83</v>
      </c>
      <c r="H12749">
        <v>250531</v>
      </c>
      <c r="I12749">
        <v>4600</v>
      </c>
      <c r="J12749" t="s">
        <v>278</v>
      </c>
      <c r="K12749">
        <v>237.85</v>
      </c>
      <c r="L12749">
        <v>1.59</v>
      </c>
      <c r="M12749">
        <v>44222</v>
      </c>
      <c r="N12749" t="s">
        <v>96</v>
      </c>
      <c r="O12749">
        <v>250611</v>
      </c>
      <c r="P12749">
        <v>6.24</v>
      </c>
    </row>
    <row r="12750" spans="1:16" x14ac:dyDescent="0.25">
      <c r="A12750" t="s">
        <v>3296</v>
      </c>
      <c r="B12750" t="s">
        <v>2931</v>
      </c>
      <c r="C12750">
        <v>8164</v>
      </c>
      <c r="D12750" t="str">
        <f>"2560501317  "</f>
        <v xml:space="preserve">2560501317  </v>
      </c>
      <c r="E12750" t="s">
        <v>943</v>
      </c>
      <c r="F12750" t="s">
        <v>944</v>
      </c>
      <c r="G12750">
        <v>0.8</v>
      </c>
      <c r="H12750">
        <v>250531</v>
      </c>
      <c r="I12750">
        <v>4600</v>
      </c>
      <c r="J12750" t="s">
        <v>278</v>
      </c>
      <c r="K12750">
        <v>237.85</v>
      </c>
      <c r="L12750">
        <v>0.16</v>
      </c>
      <c r="M12750">
        <v>44453</v>
      </c>
      <c r="N12750" t="s">
        <v>100</v>
      </c>
      <c r="O12750">
        <v>250611</v>
      </c>
      <c r="P12750">
        <v>0.64</v>
      </c>
    </row>
    <row r="12751" spans="1:16" x14ac:dyDescent="0.25">
      <c r="A12751" t="s">
        <v>3296</v>
      </c>
      <c r="B12751" t="s">
        <v>2931</v>
      </c>
      <c r="C12751">
        <v>11438</v>
      </c>
      <c r="D12751" t="str">
        <f>"2560801259  "</f>
        <v xml:space="preserve">2560801259  </v>
      </c>
      <c r="E12751" t="s">
        <v>943</v>
      </c>
      <c r="F12751" t="s">
        <v>944</v>
      </c>
      <c r="G12751">
        <v>0.6</v>
      </c>
      <c r="H12751">
        <v>250831</v>
      </c>
      <c r="I12751">
        <v>4600</v>
      </c>
      <c r="J12751" t="s">
        <v>278</v>
      </c>
      <c r="K12751">
        <v>183.22</v>
      </c>
      <c r="L12751">
        <v>0.12</v>
      </c>
      <c r="M12751">
        <v>41126</v>
      </c>
      <c r="N12751" t="s">
        <v>94</v>
      </c>
      <c r="O12751">
        <v>250905</v>
      </c>
      <c r="P12751">
        <v>0.48</v>
      </c>
    </row>
    <row r="12752" spans="1:16" x14ac:dyDescent="0.25">
      <c r="A12752" t="s">
        <v>3296</v>
      </c>
      <c r="B12752" t="s">
        <v>2931</v>
      </c>
      <c r="C12752">
        <v>11438</v>
      </c>
      <c r="D12752" t="str">
        <f>"2560801259  "</f>
        <v xml:space="preserve">2560801259  </v>
      </c>
      <c r="E12752" t="s">
        <v>943</v>
      </c>
      <c r="F12752" t="s">
        <v>944</v>
      </c>
      <c r="G12752">
        <v>9.69</v>
      </c>
      <c r="H12752">
        <v>250831</v>
      </c>
      <c r="I12752">
        <v>4600</v>
      </c>
      <c r="J12752" t="s">
        <v>278</v>
      </c>
      <c r="K12752">
        <v>183.22</v>
      </c>
      <c r="L12752">
        <v>1.97</v>
      </c>
      <c r="M12752">
        <v>44222</v>
      </c>
      <c r="N12752" t="s">
        <v>96</v>
      </c>
      <c r="O12752">
        <v>250905</v>
      </c>
      <c r="P12752">
        <v>7.72</v>
      </c>
    </row>
    <row r="12753" spans="1:16" x14ac:dyDescent="0.25">
      <c r="A12753" t="s">
        <v>3296</v>
      </c>
      <c r="B12753" t="s">
        <v>2931</v>
      </c>
      <c r="C12753">
        <v>13607</v>
      </c>
      <c r="D12753" t="str">
        <f>"2560901695  "</f>
        <v xml:space="preserve">2560901695  </v>
      </c>
      <c r="E12753" t="s">
        <v>943</v>
      </c>
      <c r="F12753" t="s">
        <v>944</v>
      </c>
      <c r="G12753">
        <v>3.12</v>
      </c>
      <c r="H12753">
        <v>250930</v>
      </c>
      <c r="I12753">
        <v>4600</v>
      </c>
      <c r="J12753" t="s">
        <v>278</v>
      </c>
      <c r="K12753">
        <v>283.24</v>
      </c>
      <c r="L12753">
        <v>0.63</v>
      </c>
      <c r="M12753">
        <v>44222</v>
      </c>
      <c r="N12753" t="s">
        <v>96</v>
      </c>
      <c r="O12753">
        <v>251013</v>
      </c>
      <c r="P12753">
        <v>2.4900000000000002</v>
      </c>
    </row>
    <row r="12754" spans="1:16" x14ac:dyDescent="0.25">
      <c r="A12754" t="s">
        <v>3296</v>
      </c>
      <c r="B12754" t="s">
        <v>2931</v>
      </c>
      <c r="C12754">
        <v>13607</v>
      </c>
      <c r="D12754" t="str">
        <f>"2560901695  "</f>
        <v xml:space="preserve">2560901695  </v>
      </c>
      <c r="E12754" t="s">
        <v>943</v>
      </c>
      <c r="F12754" t="s">
        <v>944</v>
      </c>
      <c r="G12754">
        <v>3.49</v>
      </c>
      <c r="H12754">
        <v>250930</v>
      </c>
      <c r="I12754">
        <v>4600</v>
      </c>
      <c r="J12754" t="s">
        <v>278</v>
      </c>
      <c r="K12754">
        <v>283.24</v>
      </c>
      <c r="L12754">
        <v>0.71</v>
      </c>
      <c r="M12754">
        <v>49702</v>
      </c>
      <c r="N12754" t="s">
        <v>112</v>
      </c>
      <c r="O12754">
        <v>251013</v>
      </c>
      <c r="P12754">
        <v>2.78</v>
      </c>
    </row>
    <row r="12755" spans="1:16" x14ac:dyDescent="0.25">
      <c r="A12755" t="s">
        <v>3296</v>
      </c>
      <c r="B12755" t="s">
        <v>2931</v>
      </c>
      <c r="C12755">
        <v>15230</v>
      </c>
      <c r="D12755" t="str">
        <f>"2561009591  "</f>
        <v xml:space="preserve">2561009591  </v>
      </c>
      <c r="E12755" t="s">
        <v>943</v>
      </c>
      <c r="F12755" t="s">
        <v>944</v>
      </c>
      <c r="G12755">
        <v>12.32</v>
      </c>
      <c r="H12755">
        <v>251031</v>
      </c>
      <c r="I12755">
        <v>4600</v>
      </c>
      <c r="J12755" t="s">
        <v>278</v>
      </c>
      <c r="K12755">
        <v>254.87</v>
      </c>
      <c r="L12755">
        <v>2.5</v>
      </c>
      <c r="M12755">
        <v>44222</v>
      </c>
      <c r="N12755" t="s">
        <v>96</v>
      </c>
      <c r="O12755">
        <v>251117</v>
      </c>
      <c r="P12755">
        <v>9.82</v>
      </c>
    </row>
    <row r="12756" spans="1:16" x14ac:dyDescent="0.25">
      <c r="A12756" t="s">
        <v>3296</v>
      </c>
      <c r="B12756" t="s">
        <v>2931</v>
      </c>
      <c r="C12756">
        <v>16827</v>
      </c>
      <c r="D12756" t="str">
        <f>"2561114299  "</f>
        <v xml:space="preserve">2561114299  </v>
      </c>
      <c r="E12756" t="s">
        <v>943</v>
      </c>
      <c r="F12756" t="s">
        <v>944</v>
      </c>
      <c r="G12756">
        <v>9.36</v>
      </c>
      <c r="H12756">
        <v>251130</v>
      </c>
      <c r="I12756">
        <v>4600</v>
      </c>
      <c r="J12756" t="s">
        <v>278</v>
      </c>
      <c r="K12756">
        <v>377.79</v>
      </c>
      <c r="L12756">
        <v>1.9</v>
      </c>
      <c r="M12756">
        <v>44251</v>
      </c>
      <c r="N12756" t="s">
        <v>215</v>
      </c>
      <c r="O12756">
        <v>251212</v>
      </c>
      <c r="P12756">
        <v>7.46</v>
      </c>
    </row>
    <row r="12757" spans="1:16" x14ac:dyDescent="0.25">
      <c r="A12757" t="s">
        <v>3296</v>
      </c>
      <c r="B12757" t="s">
        <v>2931</v>
      </c>
      <c r="C12757">
        <v>18020</v>
      </c>
      <c r="D12757" t="str">
        <f>"2561207428  "</f>
        <v xml:space="preserve">2561207428  </v>
      </c>
      <c r="E12757" t="s">
        <v>943</v>
      </c>
      <c r="F12757" t="s">
        <v>944</v>
      </c>
      <c r="G12757">
        <v>1.67</v>
      </c>
      <c r="H12757">
        <v>251231</v>
      </c>
      <c r="I12757">
        <v>4600</v>
      </c>
      <c r="J12757" t="s">
        <v>278</v>
      </c>
      <c r="K12757">
        <v>173.95</v>
      </c>
      <c r="L12757">
        <v>0.34</v>
      </c>
      <c r="M12757">
        <v>44251</v>
      </c>
      <c r="N12757" t="s">
        <v>215</v>
      </c>
      <c r="O12757">
        <v>260108</v>
      </c>
      <c r="P12757">
        <v>1.33</v>
      </c>
    </row>
    <row r="12758" spans="1:16" x14ac:dyDescent="0.25">
      <c r="A12758" t="s">
        <v>3296</v>
      </c>
      <c r="B12758" t="s">
        <v>2931</v>
      </c>
      <c r="C12758">
        <v>16821</v>
      </c>
      <c r="D12758" t="str">
        <f>"111225      "</f>
        <v xml:space="preserve">111225      </v>
      </c>
      <c r="E12758" t="s">
        <v>2888</v>
      </c>
      <c r="F12758" t="s">
        <v>2890</v>
      </c>
      <c r="G12758">
        <v>74000</v>
      </c>
      <c r="H12758">
        <v>251211</v>
      </c>
      <c r="I12758">
        <v>1200</v>
      </c>
      <c r="J12758" t="s">
        <v>2928</v>
      </c>
      <c r="K12758">
        <v>74000</v>
      </c>
      <c r="L12758">
        <v>0</v>
      </c>
      <c r="M12758">
        <v>96501</v>
      </c>
      <c r="N12758" t="s">
        <v>2066</v>
      </c>
      <c r="O12758">
        <v>251212</v>
      </c>
      <c r="P12758">
        <v>74000</v>
      </c>
    </row>
    <row r="12759" spans="1:16" x14ac:dyDescent="0.25">
      <c r="A12759" t="s">
        <v>3296</v>
      </c>
      <c r="B12759" t="s">
        <v>2931</v>
      </c>
      <c r="C12759">
        <v>17534</v>
      </c>
      <c r="D12759" t="str">
        <f>"166/265505  "</f>
        <v xml:space="preserve">166/265505  </v>
      </c>
      <c r="E12759" t="s">
        <v>2888</v>
      </c>
      <c r="F12759" t="s">
        <v>2890</v>
      </c>
      <c r="G12759">
        <v>828.3</v>
      </c>
      <c r="H12759">
        <v>251211</v>
      </c>
      <c r="I12759">
        <v>4440</v>
      </c>
      <c r="J12759" t="s">
        <v>346</v>
      </c>
      <c r="K12759">
        <v>828.3</v>
      </c>
      <c r="L12759">
        <v>168.3</v>
      </c>
      <c r="M12759">
        <v>46222</v>
      </c>
      <c r="N12759" t="s">
        <v>101</v>
      </c>
      <c r="O12759">
        <v>251222</v>
      </c>
      <c r="P12759">
        <v>660</v>
      </c>
    </row>
    <row r="12760" spans="1:16" x14ac:dyDescent="0.25">
      <c r="A12760" t="s">
        <v>3296</v>
      </c>
      <c r="B12760" t="s">
        <v>2931</v>
      </c>
      <c r="C12760">
        <v>8453</v>
      </c>
      <c r="D12760" t="str">
        <f>"168/262634  "</f>
        <v xml:space="preserve">168/262634  </v>
      </c>
      <c r="E12760" t="s">
        <v>2888</v>
      </c>
      <c r="F12760" t="s">
        <v>2890</v>
      </c>
      <c r="G12760">
        <v>54.99</v>
      </c>
      <c r="H12760">
        <v>250531</v>
      </c>
      <c r="I12760">
        <v>4470</v>
      </c>
      <c r="J12760" t="s">
        <v>203</v>
      </c>
      <c r="K12760">
        <v>54.99</v>
      </c>
      <c r="L12760">
        <v>6.75</v>
      </c>
      <c r="M12760">
        <v>48601</v>
      </c>
      <c r="N12760" t="s">
        <v>107</v>
      </c>
      <c r="O12760">
        <v>250613</v>
      </c>
      <c r="P12760">
        <v>48.24</v>
      </c>
    </row>
    <row r="12761" spans="1:16" x14ac:dyDescent="0.25">
      <c r="A12761" t="s">
        <v>3296</v>
      </c>
      <c r="B12761" t="s">
        <v>2931</v>
      </c>
      <c r="C12761">
        <v>8762</v>
      </c>
      <c r="D12761" t="str">
        <f>"169/261262  "</f>
        <v xml:space="preserve">169/261262  </v>
      </c>
      <c r="E12761" t="s">
        <v>2888</v>
      </c>
      <c r="F12761" t="s">
        <v>2890</v>
      </c>
      <c r="G12761">
        <v>2765.33</v>
      </c>
      <c r="H12761">
        <v>250509</v>
      </c>
      <c r="I12761">
        <v>4800</v>
      </c>
      <c r="J12761" t="s">
        <v>2919</v>
      </c>
      <c r="K12761">
        <v>2765.33</v>
      </c>
      <c r="L12761">
        <v>0</v>
      </c>
      <c r="M12761">
        <v>49503</v>
      </c>
      <c r="N12761" t="s">
        <v>267</v>
      </c>
      <c r="O12761">
        <v>250618</v>
      </c>
      <c r="P12761">
        <v>2765.33</v>
      </c>
    </row>
    <row r="12762" spans="1:16" x14ac:dyDescent="0.25">
      <c r="A12762" t="s">
        <v>3296</v>
      </c>
      <c r="B12762" t="s">
        <v>2931</v>
      </c>
      <c r="C12762">
        <v>13467</v>
      </c>
      <c r="D12762" t="str">
        <f>"169/261312  "</f>
        <v xml:space="preserve">169/261312  </v>
      </c>
      <c r="E12762" t="s">
        <v>2888</v>
      </c>
      <c r="F12762" t="s">
        <v>2890</v>
      </c>
      <c r="G12762">
        <v>2268.1799999999998</v>
      </c>
      <c r="H12762">
        <v>251001</v>
      </c>
      <c r="I12762">
        <v>4800</v>
      </c>
      <c r="J12762" t="s">
        <v>2919</v>
      </c>
      <c r="K12762">
        <v>2268.1799999999998</v>
      </c>
      <c r="L12762">
        <v>0</v>
      </c>
      <c r="M12762">
        <v>49501</v>
      </c>
      <c r="N12762" t="s">
        <v>110</v>
      </c>
      <c r="O12762">
        <v>251010</v>
      </c>
      <c r="P12762">
        <v>2268.1799999999998</v>
      </c>
    </row>
    <row r="12763" spans="1:16" x14ac:dyDescent="0.25">
      <c r="A12763" t="s">
        <v>3296</v>
      </c>
      <c r="B12763" t="s">
        <v>2931</v>
      </c>
      <c r="C12763">
        <v>90</v>
      </c>
      <c r="D12763" t="str">
        <f>"170/285536  "</f>
        <v xml:space="preserve">170/285536  </v>
      </c>
      <c r="E12763" t="s">
        <v>2888</v>
      </c>
      <c r="F12763" t="s">
        <v>2890</v>
      </c>
      <c r="G12763">
        <v>250</v>
      </c>
      <c r="H12763">
        <v>250101</v>
      </c>
      <c r="I12763">
        <v>4820</v>
      </c>
      <c r="J12763" t="s">
        <v>169</v>
      </c>
      <c r="K12763">
        <v>250</v>
      </c>
      <c r="L12763">
        <v>0</v>
      </c>
      <c r="M12763">
        <v>49502</v>
      </c>
      <c r="N12763" t="s">
        <v>2889</v>
      </c>
      <c r="O12763">
        <v>250107</v>
      </c>
      <c r="P12763">
        <v>250</v>
      </c>
    </row>
    <row r="12764" spans="1:16" x14ac:dyDescent="0.25">
      <c r="A12764" t="s">
        <v>3296</v>
      </c>
      <c r="B12764" t="s">
        <v>2931</v>
      </c>
      <c r="C12764">
        <v>597</v>
      </c>
      <c r="D12764" t="str">
        <f>"170/285609  "</f>
        <v xml:space="preserve">170/285609  </v>
      </c>
      <c r="E12764" t="s">
        <v>2888</v>
      </c>
      <c r="F12764" t="s">
        <v>2890</v>
      </c>
      <c r="G12764">
        <v>250</v>
      </c>
      <c r="H12764">
        <v>250201</v>
      </c>
      <c r="I12764">
        <v>4820</v>
      </c>
      <c r="J12764" t="s">
        <v>169</v>
      </c>
      <c r="K12764">
        <v>250</v>
      </c>
      <c r="L12764">
        <v>0</v>
      </c>
      <c r="M12764">
        <v>47522</v>
      </c>
      <c r="N12764" t="s">
        <v>106</v>
      </c>
      <c r="O12764">
        <v>250124</v>
      </c>
      <c r="P12764">
        <v>250</v>
      </c>
    </row>
    <row r="12765" spans="1:16" x14ac:dyDescent="0.25">
      <c r="A12765" t="s">
        <v>3296</v>
      </c>
      <c r="B12765" t="s">
        <v>2931</v>
      </c>
      <c r="C12765">
        <v>2331</v>
      </c>
      <c r="D12765" t="str">
        <f>"170/285655  "</f>
        <v xml:space="preserve">170/285655  </v>
      </c>
      <c r="E12765" t="s">
        <v>2888</v>
      </c>
      <c r="F12765" t="s">
        <v>2890</v>
      </c>
      <c r="G12765">
        <v>254.74</v>
      </c>
      <c r="H12765">
        <v>250301</v>
      </c>
      <c r="I12765">
        <v>4820</v>
      </c>
      <c r="J12765" t="s">
        <v>169</v>
      </c>
      <c r="K12765">
        <v>254.74</v>
      </c>
      <c r="L12765">
        <v>0</v>
      </c>
      <c r="M12765">
        <v>49502</v>
      </c>
      <c r="N12765" t="s">
        <v>2889</v>
      </c>
      <c r="O12765">
        <v>250224</v>
      </c>
      <c r="P12765">
        <v>254.74</v>
      </c>
    </row>
    <row r="12766" spans="1:16" x14ac:dyDescent="0.25">
      <c r="A12766" t="s">
        <v>3296</v>
      </c>
      <c r="B12766" t="s">
        <v>2931</v>
      </c>
      <c r="C12766">
        <v>4028</v>
      </c>
      <c r="D12766" t="str">
        <f>"170/285703  "</f>
        <v xml:space="preserve">170/285703  </v>
      </c>
      <c r="E12766" t="s">
        <v>2888</v>
      </c>
      <c r="F12766" t="s">
        <v>2890</v>
      </c>
      <c r="G12766">
        <v>252.37</v>
      </c>
      <c r="H12766">
        <v>250401</v>
      </c>
      <c r="I12766">
        <v>4820</v>
      </c>
      <c r="J12766" t="s">
        <v>169</v>
      </c>
      <c r="K12766">
        <v>252.37</v>
      </c>
      <c r="L12766">
        <v>0</v>
      </c>
      <c r="M12766">
        <v>49502</v>
      </c>
      <c r="N12766" t="s">
        <v>2889</v>
      </c>
      <c r="O12766">
        <v>250407</v>
      </c>
      <c r="P12766">
        <v>252.37</v>
      </c>
    </row>
    <row r="12767" spans="1:16" x14ac:dyDescent="0.25">
      <c r="A12767" t="s">
        <v>3296</v>
      </c>
      <c r="B12767" t="s">
        <v>2931</v>
      </c>
      <c r="C12767">
        <v>5562</v>
      </c>
      <c r="D12767" t="str">
        <f>"170/285749  "</f>
        <v xml:space="preserve">170/285749  </v>
      </c>
      <c r="E12767" t="s">
        <v>2888</v>
      </c>
      <c r="F12767" t="s">
        <v>2890</v>
      </c>
      <c r="G12767">
        <v>252.37</v>
      </c>
      <c r="H12767">
        <v>250501</v>
      </c>
      <c r="I12767">
        <v>4820</v>
      </c>
      <c r="J12767" t="s">
        <v>169</v>
      </c>
      <c r="K12767">
        <v>252.37</v>
      </c>
      <c r="L12767">
        <v>0</v>
      </c>
      <c r="M12767">
        <v>49502</v>
      </c>
      <c r="N12767" t="s">
        <v>2889</v>
      </c>
      <c r="O12767">
        <v>250425</v>
      </c>
      <c r="P12767">
        <v>252.37</v>
      </c>
    </row>
    <row r="12768" spans="1:16" x14ac:dyDescent="0.25">
      <c r="A12768" t="s">
        <v>3296</v>
      </c>
      <c r="B12768" t="s">
        <v>2931</v>
      </c>
      <c r="C12768">
        <v>7378</v>
      </c>
      <c r="D12768" t="str">
        <f>"170/285794  "</f>
        <v xml:space="preserve">170/285794  </v>
      </c>
      <c r="E12768" t="s">
        <v>2888</v>
      </c>
      <c r="F12768" t="s">
        <v>2890</v>
      </c>
      <c r="G12768">
        <v>252.37</v>
      </c>
      <c r="H12768">
        <v>250601</v>
      </c>
      <c r="I12768">
        <v>4820</v>
      </c>
      <c r="J12768" t="s">
        <v>169</v>
      </c>
      <c r="K12768">
        <v>252.37</v>
      </c>
      <c r="L12768">
        <v>0</v>
      </c>
      <c r="M12768">
        <v>49502</v>
      </c>
      <c r="N12768" t="s">
        <v>2889</v>
      </c>
      <c r="O12768">
        <v>250603</v>
      </c>
      <c r="P12768">
        <v>252.37</v>
      </c>
    </row>
    <row r="12769" spans="1:16" x14ac:dyDescent="0.25">
      <c r="A12769" t="s">
        <v>3296</v>
      </c>
      <c r="B12769" t="s">
        <v>2931</v>
      </c>
      <c r="C12769">
        <v>8945</v>
      </c>
      <c r="D12769" t="str">
        <f>"170/285834  "</f>
        <v xml:space="preserve">170/285834  </v>
      </c>
      <c r="E12769" t="s">
        <v>2888</v>
      </c>
      <c r="F12769" t="s">
        <v>2890</v>
      </c>
      <c r="G12769">
        <v>252.37</v>
      </c>
      <c r="H12769">
        <v>250701</v>
      </c>
      <c r="I12769">
        <v>4820</v>
      </c>
      <c r="J12769" t="s">
        <v>169</v>
      </c>
      <c r="K12769">
        <v>252.37</v>
      </c>
      <c r="L12769">
        <v>0</v>
      </c>
      <c r="M12769">
        <v>49502</v>
      </c>
      <c r="N12769" t="s">
        <v>2889</v>
      </c>
      <c r="O12769">
        <v>250619</v>
      </c>
      <c r="P12769">
        <v>252.37</v>
      </c>
    </row>
    <row r="12770" spans="1:16" x14ac:dyDescent="0.25">
      <c r="A12770" t="s">
        <v>3296</v>
      </c>
      <c r="B12770" t="s">
        <v>2931</v>
      </c>
      <c r="C12770">
        <v>9856</v>
      </c>
      <c r="D12770" t="str">
        <f>"170/285877  "</f>
        <v xml:space="preserve">170/285877  </v>
      </c>
      <c r="E12770" t="s">
        <v>2888</v>
      </c>
      <c r="F12770" t="s">
        <v>2890</v>
      </c>
      <c r="G12770">
        <v>252.37</v>
      </c>
      <c r="H12770">
        <v>250801</v>
      </c>
      <c r="I12770">
        <v>4820</v>
      </c>
      <c r="J12770" t="s">
        <v>169</v>
      </c>
      <c r="K12770">
        <v>252.37</v>
      </c>
      <c r="L12770">
        <v>0</v>
      </c>
      <c r="M12770">
        <v>49502</v>
      </c>
      <c r="N12770" t="s">
        <v>2889</v>
      </c>
      <c r="O12770">
        <v>250730</v>
      </c>
      <c r="P12770">
        <v>252.37</v>
      </c>
    </row>
    <row r="12771" spans="1:16" x14ac:dyDescent="0.25">
      <c r="A12771" t="s">
        <v>3296</v>
      </c>
      <c r="B12771" t="s">
        <v>2931</v>
      </c>
      <c r="C12771">
        <v>10645</v>
      </c>
      <c r="D12771" t="str">
        <f>"170/285921  "</f>
        <v xml:space="preserve">170/285921  </v>
      </c>
      <c r="E12771" t="s">
        <v>2888</v>
      </c>
      <c r="F12771" t="s">
        <v>2890</v>
      </c>
      <c r="G12771">
        <v>252.37</v>
      </c>
      <c r="H12771">
        <v>250901</v>
      </c>
      <c r="I12771">
        <v>4820</v>
      </c>
      <c r="J12771" t="s">
        <v>169</v>
      </c>
      <c r="K12771">
        <v>252.37</v>
      </c>
      <c r="L12771">
        <v>0</v>
      </c>
      <c r="M12771">
        <v>49502</v>
      </c>
      <c r="N12771" t="s">
        <v>2889</v>
      </c>
      <c r="O12771">
        <v>250821</v>
      </c>
      <c r="P12771">
        <v>252.37</v>
      </c>
    </row>
    <row r="12772" spans="1:16" x14ac:dyDescent="0.25">
      <c r="A12772" t="s">
        <v>3296</v>
      </c>
      <c r="B12772" t="s">
        <v>2931</v>
      </c>
      <c r="C12772">
        <v>12648</v>
      </c>
      <c r="D12772" t="str">
        <f>"170/285963  "</f>
        <v xml:space="preserve">170/285963  </v>
      </c>
      <c r="E12772" t="s">
        <v>2888</v>
      </c>
      <c r="F12772" t="s">
        <v>2890</v>
      </c>
      <c r="G12772">
        <v>252.37</v>
      </c>
      <c r="H12772">
        <v>251001</v>
      </c>
      <c r="I12772">
        <v>4820</v>
      </c>
      <c r="J12772" t="s">
        <v>169</v>
      </c>
      <c r="K12772">
        <v>252.37</v>
      </c>
      <c r="L12772">
        <v>0</v>
      </c>
      <c r="M12772">
        <v>49502</v>
      </c>
      <c r="N12772" t="s">
        <v>2889</v>
      </c>
      <c r="O12772">
        <v>250929</v>
      </c>
      <c r="P12772">
        <v>252.37</v>
      </c>
    </row>
    <row r="12773" spans="1:16" x14ac:dyDescent="0.25">
      <c r="A12773" t="s">
        <v>3296</v>
      </c>
      <c r="B12773" t="s">
        <v>2931</v>
      </c>
      <c r="C12773">
        <v>14143</v>
      </c>
      <c r="D12773" t="str">
        <f>"170/286005  "</f>
        <v xml:space="preserve">170/286005  </v>
      </c>
      <c r="E12773" t="s">
        <v>2888</v>
      </c>
      <c r="F12773" t="s">
        <v>2890</v>
      </c>
      <c r="G12773">
        <v>252.37</v>
      </c>
      <c r="H12773">
        <v>251101</v>
      </c>
      <c r="I12773">
        <v>4820</v>
      </c>
      <c r="J12773" t="s">
        <v>169</v>
      </c>
      <c r="K12773">
        <v>252.37</v>
      </c>
      <c r="L12773">
        <v>0</v>
      </c>
      <c r="M12773">
        <v>49502</v>
      </c>
      <c r="N12773" t="s">
        <v>2889</v>
      </c>
      <c r="O12773">
        <v>251024</v>
      </c>
      <c r="P12773">
        <v>252.37</v>
      </c>
    </row>
    <row r="12774" spans="1:16" x14ac:dyDescent="0.25">
      <c r="A12774" t="s">
        <v>3296</v>
      </c>
      <c r="B12774" t="s">
        <v>2931</v>
      </c>
      <c r="C12774">
        <v>15808</v>
      </c>
      <c r="D12774" t="str">
        <f>"170/286048  "</f>
        <v xml:space="preserve">170/286048  </v>
      </c>
      <c r="E12774" t="s">
        <v>2888</v>
      </c>
      <c r="F12774" t="s">
        <v>2890</v>
      </c>
      <c r="G12774">
        <v>252.37</v>
      </c>
      <c r="H12774">
        <v>251201</v>
      </c>
      <c r="I12774">
        <v>4820</v>
      </c>
      <c r="J12774" t="s">
        <v>169</v>
      </c>
      <c r="K12774">
        <v>252.37</v>
      </c>
      <c r="L12774">
        <v>0</v>
      </c>
      <c r="M12774">
        <v>49502</v>
      </c>
      <c r="N12774" t="s">
        <v>2889</v>
      </c>
      <c r="O12774">
        <v>251127</v>
      </c>
      <c r="P12774">
        <v>252.37</v>
      </c>
    </row>
    <row r="12775" spans="1:16" x14ac:dyDescent="0.25">
      <c r="A12775" t="s">
        <v>3296</v>
      </c>
      <c r="B12775" t="s">
        <v>2931</v>
      </c>
      <c r="C12775">
        <v>12246</v>
      </c>
      <c r="D12775" t="str">
        <f>"10211       "</f>
        <v xml:space="preserve">10211       </v>
      </c>
      <c r="E12775" t="s">
        <v>1334</v>
      </c>
      <c r="F12775" t="s">
        <v>1335</v>
      </c>
      <c r="G12775">
        <v>759.07</v>
      </c>
      <c r="H12775">
        <v>250912</v>
      </c>
      <c r="I12775">
        <v>4350</v>
      </c>
      <c r="J12775" t="s">
        <v>290</v>
      </c>
      <c r="K12775">
        <v>759.07</v>
      </c>
      <c r="L12775">
        <v>154.22999999999999</v>
      </c>
      <c r="M12775">
        <v>49702</v>
      </c>
      <c r="N12775" t="s">
        <v>112</v>
      </c>
      <c r="O12775">
        <v>250918</v>
      </c>
      <c r="P12775">
        <v>604.84</v>
      </c>
    </row>
    <row r="12776" spans="1:16" x14ac:dyDescent="0.25">
      <c r="A12776" t="s">
        <v>3296</v>
      </c>
      <c r="B12776" t="s">
        <v>2931</v>
      </c>
      <c r="C12776">
        <v>2683</v>
      </c>
      <c r="D12776" t="str">
        <f>"1723        "</f>
        <v xml:space="preserve">1723        </v>
      </c>
      <c r="E12776" t="s">
        <v>1334</v>
      </c>
      <c r="F12776" t="s">
        <v>1335</v>
      </c>
      <c r="G12776">
        <v>74</v>
      </c>
      <c r="H12776">
        <v>250201</v>
      </c>
      <c r="I12776">
        <v>4860</v>
      </c>
      <c r="J12776" t="s">
        <v>286</v>
      </c>
      <c r="K12776">
        <v>74</v>
      </c>
      <c r="L12776">
        <v>9.09</v>
      </c>
      <c r="M12776">
        <v>49807</v>
      </c>
      <c r="N12776" t="s">
        <v>852</v>
      </c>
      <c r="O12776">
        <v>250311</v>
      </c>
      <c r="P12776">
        <v>64.91</v>
      </c>
    </row>
    <row r="12777" spans="1:16" x14ac:dyDescent="0.25">
      <c r="A12777" t="s">
        <v>3296</v>
      </c>
      <c r="B12777" t="s">
        <v>2931</v>
      </c>
      <c r="C12777">
        <v>3378</v>
      </c>
      <c r="D12777" t="str">
        <f>"1741        "</f>
        <v xml:space="preserve">1741        </v>
      </c>
      <c r="E12777" t="s">
        <v>1334</v>
      </c>
      <c r="F12777" t="s">
        <v>1335</v>
      </c>
      <c r="G12777">
        <v>148</v>
      </c>
      <c r="H12777">
        <v>250228</v>
      </c>
      <c r="I12777">
        <v>4860</v>
      </c>
      <c r="J12777" t="s">
        <v>286</v>
      </c>
      <c r="K12777">
        <v>148</v>
      </c>
      <c r="L12777">
        <v>18.18</v>
      </c>
      <c r="M12777">
        <v>49807</v>
      </c>
      <c r="N12777" t="s">
        <v>852</v>
      </c>
      <c r="O12777">
        <v>250319</v>
      </c>
      <c r="P12777">
        <v>129.82</v>
      </c>
    </row>
    <row r="12778" spans="1:16" x14ac:dyDescent="0.25">
      <c r="A12778" t="s">
        <v>3296</v>
      </c>
      <c r="B12778" t="s">
        <v>2931</v>
      </c>
      <c r="C12778">
        <v>12608</v>
      </c>
      <c r="D12778" t="str">
        <f>"1790        "</f>
        <v xml:space="preserve">1790        </v>
      </c>
      <c r="E12778" t="s">
        <v>1334</v>
      </c>
      <c r="F12778" t="s">
        <v>1335</v>
      </c>
      <c r="G12778">
        <v>74</v>
      </c>
      <c r="H12778">
        <v>250901</v>
      </c>
      <c r="I12778">
        <v>4860</v>
      </c>
      <c r="J12778" t="s">
        <v>286</v>
      </c>
      <c r="K12778">
        <v>74</v>
      </c>
      <c r="L12778">
        <v>9.09</v>
      </c>
      <c r="M12778">
        <v>49807</v>
      </c>
      <c r="N12778" t="s">
        <v>852</v>
      </c>
      <c r="O12778">
        <v>250926</v>
      </c>
      <c r="P12778">
        <v>64.91</v>
      </c>
    </row>
    <row r="12779" spans="1:16" x14ac:dyDescent="0.25">
      <c r="A12779" t="s">
        <v>3296</v>
      </c>
      <c r="B12779" t="s">
        <v>2931</v>
      </c>
      <c r="C12779">
        <v>14028</v>
      </c>
      <c r="D12779" t="str">
        <f>"1807        "</f>
        <v xml:space="preserve">1807        </v>
      </c>
      <c r="E12779" t="s">
        <v>1334</v>
      </c>
      <c r="F12779" t="s">
        <v>1335</v>
      </c>
      <c r="G12779">
        <v>296</v>
      </c>
      <c r="H12779">
        <v>251001</v>
      </c>
      <c r="I12779">
        <v>4860</v>
      </c>
      <c r="J12779" t="s">
        <v>286</v>
      </c>
      <c r="K12779">
        <v>296</v>
      </c>
      <c r="L12779">
        <v>36.35</v>
      </c>
      <c r="M12779">
        <v>49807</v>
      </c>
      <c r="N12779" t="s">
        <v>852</v>
      </c>
      <c r="O12779">
        <v>251022</v>
      </c>
      <c r="P12779">
        <v>259.64999999999998</v>
      </c>
    </row>
    <row r="12780" spans="1:16" x14ac:dyDescent="0.25">
      <c r="A12780" t="s">
        <v>3296</v>
      </c>
      <c r="B12780" t="s">
        <v>2931</v>
      </c>
      <c r="C12780">
        <v>15484</v>
      </c>
      <c r="D12780" t="str">
        <f>"1822        "</f>
        <v xml:space="preserve">1822        </v>
      </c>
      <c r="E12780" t="s">
        <v>1334</v>
      </c>
      <c r="F12780" t="s">
        <v>1335</v>
      </c>
      <c r="G12780">
        <v>74</v>
      </c>
      <c r="H12780">
        <v>251101</v>
      </c>
      <c r="I12780">
        <v>4860</v>
      </c>
      <c r="J12780" t="s">
        <v>286</v>
      </c>
      <c r="K12780">
        <v>74</v>
      </c>
      <c r="L12780">
        <v>9.09</v>
      </c>
      <c r="M12780">
        <v>49807</v>
      </c>
      <c r="N12780" t="s">
        <v>852</v>
      </c>
      <c r="O12780">
        <v>251121</v>
      </c>
      <c r="P12780">
        <v>64.91</v>
      </c>
    </row>
    <row r="12781" spans="1:16" x14ac:dyDescent="0.25">
      <c r="A12781" t="s">
        <v>3296</v>
      </c>
      <c r="B12781" t="s">
        <v>2931</v>
      </c>
      <c r="C12781">
        <v>17183</v>
      </c>
      <c r="D12781" t="str">
        <f>"1837        "</f>
        <v xml:space="preserve">1837        </v>
      </c>
      <c r="E12781" t="s">
        <v>1334</v>
      </c>
      <c r="F12781" t="s">
        <v>1335</v>
      </c>
      <c r="G12781">
        <v>222</v>
      </c>
      <c r="H12781">
        <v>251130</v>
      </c>
      <c r="I12781">
        <v>4860</v>
      </c>
      <c r="J12781" t="s">
        <v>286</v>
      </c>
      <c r="K12781">
        <v>222</v>
      </c>
      <c r="L12781">
        <v>27.26</v>
      </c>
      <c r="M12781">
        <v>49807</v>
      </c>
      <c r="N12781" t="s">
        <v>852</v>
      </c>
      <c r="O12781">
        <v>251218</v>
      </c>
      <c r="P12781">
        <v>194.74</v>
      </c>
    </row>
    <row r="12782" spans="1:16" x14ac:dyDescent="0.25">
      <c r="A12782" t="s">
        <v>3296</v>
      </c>
      <c r="B12782" t="s">
        <v>2931</v>
      </c>
      <c r="C12782">
        <v>17859</v>
      </c>
      <c r="D12782" t="str">
        <f>"1840        "</f>
        <v xml:space="preserve">1840        </v>
      </c>
      <c r="E12782" t="s">
        <v>1334</v>
      </c>
      <c r="F12782" t="s">
        <v>1335</v>
      </c>
      <c r="G12782">
        <v>74</v>
      </c>
      <c r="H12782">
        <v>251219</v>
      </c>
      <c r="I12782">
        <v>4860</v>
      </c>
      <c r="J12782" t="s">
        <v>286</v>
      </c>
      <c r="K12782">
        <v>74</v>
      </c>
      <c r="L12782">
        <v>9.09</v>
      </c>
      <c r="M12782">
        <v>49807</v>
      </c>
      <c r="N12782" t="s">
        <v>852</v>
      </c>
      <c r="O12782">
        <v>251231</v>
      </c>
      <c r="P12782">
        <v>64.91</v>
      </c>
    </row>
    <row r="12783" spans="1:16" x14ac:dyDescent="0.25">
      <c r="A12783" t="s">
        <v>3296</v>
      </c>
      <c r="B12783" t="s">
        <v>2931</v>
      </c>
      <c r="C12783">
        <v>1338</v>
      </c>
      <c r="D12783" t="str">
        <f>"422756      "</f>
        <v xml:space="preserve">422756      </v>
      </c>
      <c r="E12783" t="s">
        <v>951</v>
      </c>
      <c r="F12783" t="s">
        <v>952</v>
      </c>
      <c r="G12783">
        <v>10431.14</v>
      </c>
      <c r="H12783">
        <v>250131</v>
      </c>
      <c r="I12783">
        <v>4571</v>
      </c>
      <c r="J12783" t="s">
        <v>223</v>
      </c>
      <c r="K12783">
        <v>10980.15</v>
      </c>
      <c r="L12783">
        <v>2119.4699999999998</v>
      </c>
      <c r="M12783">
        <v>49501</v>
      </c>
      <c r="N12783" t="s">
        <v>110</v>
      </c>
      <c r="O12783">
        <v>250207</v>
      </c>
      <c r="P12783">
        <v>8311.67</v>
      </c>
    </row>
    <row r="12784" spans="1:16" x14ac:dyDescent="0.25">
      <c r="A12784" t="s">
        <v>3296</v>
      </c>
      <c r="B12784" t="s">
        <v>2931</v>
      </c>
      <c r="C12784">
        <v>1338</v>
      </c>
      <c r="D12784" t="str">
        <f>"422756      "</f>
        <v xml:space="preserve">422756      </v>
      </c>
      <c r="E12784" t="s">
        <v>951</v>
      </c>
      <c r="F12784" t="s">
        <v>952</v>
      </c>
      <c r="G12784">
        <v>549.01</v>
      </c>
      <c r="H12784">
        <v>250131</v>
      </c>
      <c r="I12784">
        <v>4571</v>
      </c>
      <c r="J12784" t="s">
        <v>223</v>
      </c>
      <c r="K12784">
        <v>10980.15</v>
      </c>
      <c r="L12784">
        <v>111.55</v>
      </c>
      <c r="M12784">
        <v>49801</v>
      </c>
      <c r="N12784" t="s">
        <v>953</v>
      </c>
      <c r="O12784">
        <v>250207</v>
      </c>
      <c r="P12784">
        <v>437.46</v>
      </c>
    </row>
    <row r="12785" spans="1:16" x14ac:dyDescent="0.25">
      <c r="A12785" t="s">
        <v>3296</v>
      </c>
      <c r="B12785" t="s">
        <v>2931</v>
      </c>
      <c r="C12785">
        <v>1348</v>
      </c>
      <c r="D12785" t="str">
        <f>"422755      "</f>
        <v xml:space="preserve">422755      </v>
      </c>
      <c r="E12785" t="s">
        <v>951</v>
      </c>
      <c r="F12785" t="s">
        <v>952</v>
      </c>
      <c r="G12785">
        <v>899.81</v>
      </c>
      <c r="H12785">
        <v>250131</v>
      </c>
      <c r="I12785">
        <v>4571</v>
      </c>
      <c r="J12785" t="s">
        <v>223</v>
      </c>
      <c r="K12785">
        <v>29993.62</v>
      </c>
      <c r="L12785">
        <v>182.83</v>
      </c>
      <c r="M12785">
        <v>49111</v>
      </c>
      <c r="N12785" t="s">
        <v>108</v>
      </c>
      <c r="O12785">
        <v>250207</v>
      </c>
      <c r="P12785">
        <v>716.98</v>
      </c>
    </row>
    <row r="12786" spans="1:16" x14ac:dyDescent="0.25">
      <c r="A12786" t="s">
        <v>3296</v>
      </c>
      <c r="B12786" t="s">
        <v>2931</v>
      </c>
      <c r="C12786">
        <v>1348</v>
      </c>
      <c r="D12786" t="str">
        <f>"422755      "</f>
        <v xml:space="preserve">422755      </v>
      </c>
      <c r="E12786" t="s">
        <v>951</v>
      </c>
      <c r="F12786" t="s">
        <v>952</v>
      </c>
      <c r="G12786">
        <v>27744.1</v>
      </c>
      <c r="H12786">
        <v>250131</v>
      </c>
      <c r="I12786">
        <v>4571</v>
      </c>
      <c r="J12786" t="s">
        <v>223</v>
      </c>
      <c r="K12786">
        <v>29993.62</v>
      </c>
      <c r="L12786">
        <v>5637.25</v>
      </c>
      <c r="M12786">
        <v>49501</v>
      </c>
      <c r="N12786" t="s">
        <v>110</v>
      </c>
      <c r="O12786">
        <v>250207</v>
      </c>
      <c r="P12786">
        <v>22106.85</v>
      </c>
    </row>
    <row r="12787" spans="1:16" x14ac:dyDescent="0.25">
      <c r="A12787" t="s">
        <v>3296</v>
      </c>
      <c r="B12787" t="s">
        <v>2931</v>
      </c>
      <c r="C12787">
        <v>1348</v>
      </c>
      <c r="D12787" t="str">
        <f>"422755      "</f>
        <v xml:space="preserve">422755      </v>
      </c>
      <c r="E12787" t="s">
        <v>951</v>
      </c>
      <c r="F12787" t="s">
        <v>952</v>
      </c>
      <c r="G12787">
        <v>599.87</v>
      </c>
      <c r="H12787">
        <v>250131</v>
      </c>
      <c r="I12787">
        <v>4571</v>
      </c>
      <c r="J12787" t="s">
        <v>223</v>
      </c>
      <c r="K12787">
        <v>29993.62</v>
      </c>
      <c r="L12787">
        <v>121.89</v>
      </c>
      <c r="M12787">
        <v>49801</v>
      </c>
      <c r="N12787" t="s">
        <v>953</v>
      </c>
      <c r="O12787">
        <v>250207</v>
      </c>
      <c r="P12787">
        <v>477.98</v>
      </c>
    </row>
    <row r="12788" spans="1:16" x14ac:dyDescent="0.25">
      <c r="A12788" t="s">
        <v>3296</v>
      </c>
      <c r="B12788" t="s">
        <v>2931</v>
      </c>
      <c r="C12788">
        <v>1348</v>
      </c>
      <c r="D12788" t="str">
        <f>"422755      "</f>
        <v xml:space="preserve">422755      </v>
      </c>
      <c r="E12788" t="s">
        <v>951</v>
      </c>
      <c r="F12788" t="s">
        <v>952</v>
      </c>
      <c r="G12788">
        <v>749.84</v>
      </c>
      <c r="H12788">
        <v>250131</v>
      </c>
      <c r="I12788">
        <v>4571</v>
      </c>
      <c r="J12788" t="s">
        <v>223</v>
      </c>
      <c r="K12788">
        <v>29993.62</v>
      </c>
      <c r="L12788">
        <v>0</v>
      </c>
      <c r="M12788">
        <v>49803</v>
      </c>
      <c r="N12788" t="s">
        <v>956</v>
      </c>
      <c r="O12788">
        <v>250207</v>
      </c>
      <c r="P12788">
        <v>749.84</v>
      </c>
    </row>
    <row r="12789" spans="1:16" x14ac:dyDescent="0.25">
      <c r="A12789" t="s">
        <v>3296</v>
      </c>
      <c r="B12789" t="s">
        <v>2931</v>
      </c>
      <c r="C12789">
        <v>2939</v>
      </c>
      <c r="D12789" t="str">
        <f>"422821      "</f>
        <v xml:space="preserve">422821      </v>
      </c>
      <c r="E12789" t="s">
        <v>951</v>
      </c>
      <c r="F12789" t="s">
        <v>952</v>
      </c>
      <c r="G12789">
        <v>822.65</v>
      </c>
      <c r="H12789">
        <v>250228</v>
      </c>
      <c r="I12789">
        <v>4571</v>
      </c>
      <c r="J12789" t="s">
        <v>223</v>
      </c>
      <c r="K12789">
        <v>27421.73</v>
      </c>
      <c r="L12789">
        <v>167.15</v>
      </c>
      <c r="M12789">
        <v>49111</v>
      </c>
      <c r="N12789" t="s">
        <v>108</v>
      </c>
      <c r="O12789">
        <v>250313</v>
      </c>
      <c r="P12789">
        <v>655.5</v>
      </c>
    </row>
    <row r="12790" spans="1:16" x14ac:dyDescent="0.25">
      <c r="A12790" t="s">
        <v>3296</v>
      </c>
      <c r="B12790" t="s">
        <v>2931</v>
      </c>
      <c r="C12790">
        <v>2939</v>
      </c>
      <c r="D12790" t="str">
        <f>"422821      "</f>
        <v xml:space="preserve">422821      </v>
      </c>
      <c r="E12790" t="s">
        <v>951</v>
      </c>
      <c r="F12790" t="s">
        <v>952</v>
      </c>
      <c r="G12790">
        <v>25365.11</v>
      </c>
      <c r="H12790">
        <v>250228</v>
      </c>
      <c r="I12790">
        <v>4571</v>
      </c>
      <c r="J12790" t="s">
        <v>223</v>
      </c>
      <c r="K12790">
        <v>27421.73</v>
      </c>
      <c r="L12790">
        <v>5153.87</v>
      </c>
      <c r="M12790">
        <v>49501</v>
      </c>
      <c r="N12790" t="s">
        <v>110</v>
      </c>
      <c r="O12790">
        <v>250313</v>
      </c>
      <c r="P12790">
        <v>20211.240000000002</v>
      </c>
    </row>
    <row r="12791" spans="1:16" x14ac:dyDescent="0.25">
      <c r="A12791" t="s">
        <v>3296</v>
      </c>
      <c r="B12791" t="s">
        <v>2931</v>
      </c>
      <c r="C12791">
        <v>2939</v>
      </c>
      <c r="D12791" t="str">
        <f>"422821      "</f>
        <v xml:space="preserve">422821      </v>
      </c>
      <c r="E12791" t="s">
        <v>951</v>
      </c>
      <c r="F12791" t="s">
        <v>952</v>
      </c>
      <c r="G12791">
        <v>548.42999999999995</v>
      </c>
      <c r="H12791">
        <v>250228</v>
      </c>
      <c r="I12791">
        <v>4571</v>
      </c>
      <c r="J12791" t="s">
        <v>223</v>
      </c>
      <c r="K12791">
        <v>27421.73</v>
      </c>
      <c r="L12791">
        <v>111.43</v>
      </c>
      <c r="M12791">
        <v>49801</v>
      </c>
      <c r="N12791" t="s">
        <v>953</v>
      </c>
      <c r="O12791">
        <v>250313</v>
      </c>
      <c r="P12791">
        <v>437</v>
      </c>
    </row>
    <row r="12792" spans="1:16" x14ac:dyDescent="0.25">
      <c r="A12792" t="s">
        <v>3296</v>
      </c>
      <c r="B12792" t="s">
        <v>2931</v>
      </c>
      <c r="C12792">
        <v>2939</v>
      </c>
      <c r="D12792" t="str">
        <f>"422821      "</f>
        <v xml:space="preserve">422821      </v>
      </c>
      <c r="E12792" t="s">
        <v>951</v>
      </c>
      <c r="F12792" t="s">
        <v>952</v>
      </c>
      <c r="G12792">
        <v>685.54</v>
      </c>
      <c r="H12792">
        <v>250228</v>
      </c>
      <c r="I12792">
        <v>4571</v>
      </c>
      <c r="J12792" t="s">
        <v>223</v>
      </c>
      <c r="K12792">
        <v>27421.73</v>
      </c>
      <c r="L12792">
        <v>0</v>
      </c>
      <c r="M12792">
        <v>49803</v>
      </c>
      <c r="N12792" t="s">
        <v>956</v>
      </c>
      <c r="O12792">
        <v>250313</v>
      </c>
      <c r="P12792">
        <v>685.54</v>
      </c>
    </row>
    <row r="12793" spans="1:16" x14ac:dyDescent="0.25">
      <c r="A12793" t="s">
        <v>3296</v>
      </c>
      <c r="B12793" t="s">
        <v>2931</v>
      </c>
      <c r="C12793">
        <v>2946</v>
      </c>
      <c r="D12793" t="str">
        <f>"422790      "</f>
        <v xml:space="preserve">422790      </v>
      </c>
      <c r="E12793" t="s">
        <v>951</v>
      </c>
      <c r="F12793" t="s">
        <v>952</v>
      </c>
      <c r="G12793">
        <v>9366.81</v>
      </c>
      <c r="H12793">
        <v>250228</v>
      </c>
      <c r="I12793">
        <v>4571</v>
      </c>
      <c r="J12793" t="s">
        <v>223</v>
      </c>
      <c r="K12793">
        <v>9859.7999999999993</v>
      </c>
      <c r="L12793">
        <v>1903.22</v>
      </c>
      <c r="M12793">
        <v>49501</v>
      </c>
      <c r="N12793" t="s">
        <v>110</v>
      </c>
      <c r="O12793">
        <v>250313</v>
      </c>
      <c r="P12793">
        <v>7463.59</v>
      </c>
    </row>
    <row r="12794" spans="1:16" x14ac:dyDescent="0.25">
      <c r="A12794" t="s">
        <v>3296</v>
      </c>
      <c r="B12794" t="s">
        <v>2931</v>
      </c>
      <c r="C12794">
        <v>2946</v>
      </c>
      <c r="D12794" t="str">
        <f>"422790      "</f>
        <v xml:space="preserve">422790      </v>
      </c>
      <c r="E12794" t="s">
        <v>951</v>
      </c>
      <c r="F12794" t="s">
        <v>952</v>
      </c>
      <c r="G12794">
        <v>492.99</v>
      </c>
      <c r="H12794">
        <v>250228</v>
      </c>
      <c r="I12794">
        <v>4571</v>
      </c>
      <c r="J12794" t="s">
        <v>223</v>
      </c>
      <c r="K12794">
        <v>9859.7999999999993</v>
      </c>
      <c r="L12794">
        <v>100.17</v>
      </c>
      <c r="M12794">
        <v>49801</v>
      </c>
      <c r="N12794" t="s">
        <v>953</v>
      </c>
      <c r="O12794">
        <v>250313</v>
      </c>
      <c r="P12794">
        <v>392.82</v>
      </c>
    </row>
    <row r="12795" spans="1:16" x14ac:dyDescent="0.25">
      <c r="A12795" t="s">
        <v>3296</v>
      </c>
      <c r="B12795" t="s">
        <v>2931</v>
      </c>
      <c r="C12795">
        <v>4727</v>
      </c>
      <c r="D12795" t="str">
        <f>"423113      "</f>
        <v xml:space="preserve">423113      </v>
      </c>
      <c r="E12795" t="s">
        <v>951</v>
      </c>
      <c r="F12795" t="s">
        <v>952</v>
      </c>
      <c r="G12795">
        <v>8075.72</v>
      </c>
      <c r="H12795">
        <v>250331</v>
      </c>
      <c r="I12795">
        <v>4571</v>
      </c>
      <c r="J12795" t="s">
        <v>223</v>
      </c>
      <c r="K12795">
        <v>8500.76</v>
      </c>
      <c r="L12795">
        <v>1640.88</v>
      </c>
      <c r="M12795">
        <v>49501</v>
      </c>
      <c r="N12795" t="s">
        <v>110</v>
      </c>
      <c r="O12795">
        <v>250415</v>
      </c>
      <c r="P12795">
        <v>6434.84</v>
      </c>
    </row>
    <row r="12796" spans="1:16" x14ac:dyDescent="0.25">
      <c r="A12796" t="s">
        <v>3296</v>
      </c>
      <c r="B12796" t="s">
        <v>2931</v>
      </c>
      <c r="C12796">
        <v>4727</v>
      </c>
      <c r="D12796" t="str">
        <f>"423113      "</f>
        <v xml:space="preserve">423113      </v>
      </c>
      <c r="E12796" t="s">
        <v>951</v>
      </c>
      <c r="F12796" t="s">
        <v>952</v>
      </c>
      <c r="G12796">
        <v>425.04</v>
      </c>
      <c r="H12796">
        <v>250331</v>
      </c>
      <c r="I12796">
        <v>4571</v>
      </c>
      <c r="J12796" t="s">
        <v>223</v>
      </c>
      <c r="K12796">
        <v>8500.76</v>
      </c>
      <c r="L12796">
        <v>86.36</v>
      </c>
      <c r="M12796">
        <v>49801</v>
      </c>
      <c r="N12796" t="s">
        <v>953</v>
      </c>
      <c r="O12796">
        <v>250415</v>
      </c>
      <c r="P12796">
        <v>338.68</v>
      </c>
    </row>
    <row r="12797" spans="1:16" x14ac:dyDescent="0.25">
      <c r="A12797" t="s">
        <v>3296</v>
      </c>
      <c r="B12797" t="s">
        <v>2931</v>
      </c>
      <c r="C12797">
        <v>4730</v>
      </c>
      <c r="D12797" t="str">
        <f>"423147      "</f>
        <v xml:space="preserve">423147      </v>
      </c>
      <c r="E12797" t="s">
        <v>951</v>
      </c>
      <c r="F12797" t="s">
        <v>952</v>
      </c>
      <c r="G12797">
        <v>728.78</v>
      </c>
      <c r="H12797">
        <v>250331</v>
      </c>
      <c r="I12797">
        <v>4571</v>
      </c>
      <c r="J12797" t="s">
        <v>223</v>
      </c>
      <c r="K12797">
        <v>24292.51</v>
      </c>
      <c r="L12797">
        <v>148.08000000000001</v>
      </c>
      <c r="M12797">
        <v>49111</v>
      </c>
      <c r="N12797" t="s">
        <v>108</v>
      </c>
      <c r="O12797">
        <v>250415</v>
      </c>
      <c r="P12797">
        <v>580.70000000000005</v>
      </c>
    </row>
    <row r="12798" spans="1:16" x14ac:dyDescent="0.25">
      <c r="A12798" t="s">
        <v>3296</v>
      </c>
      <c r="B12798" t="s">
        <v>2931</v>
      </c>
      <c r="C12798">
        <v>4730</v>
      </c>
      <c r="D12798" t="str">
        <f>"423147      "</f>
        <v xml:space="preserve">423147      </v>
      </c>
      <c r="E12798" t="s">
        <v>951</v>
      </c>
      <c r="F12798" t="s">
        <v>952</v>
      </c>
      <c r="G12798">
        <v>22470.57</v>
      </c>
      <c r="H12798">
        <v>250331</v>
      </c>
      <c r="I12798">
        <v>4571</v>
      </c>
      <c r="J12798" t="s">
        <v>223</v>
      </c>
      <c r="K12798">
        <v>24292.51</v>
      </c>
      <c r="L12798">
        <v>4565.7299999999996</v>
      </c>
      <c r="M12798">
        <v>49501</v>
      </c>
      <c r="N12798" t="s">
        <v>110</v>
      </c>
      <c r="O12798">
        <v>250415</v>
      </c>
      <c r="P12798">
        <v>17904.84</v>
      </c>
    </row>
    <row r="12799" spans="1:16" x14ac:dyDescent="0.25">
      <c r="A12799" t="s">
        <v>3296</v>
      </c>
      <c r="B12799" t="s">
        <v>2931</v>
      </c>
      <c r="C12799">
        <v>4730</v>
      </c>
      <c r="D12799" t="str">
        <f>"423147      "</f>
        <v xml:space="preserve">423147      </v>
      </c>
      <c r="E12799" t="s">
        <v>951</v>
      </c>
      <c r="F12799" t="s">
        <v>952</v>
      </c>
      <c r="G12799">
        <v>485.85</v>
      </c>
      <c r="H12799">
        <v>250331</v>
      </c>
      <c r="I12799">
        <v>4571</v>
      </c>
      <c r="J12799" t="s">
        <v>223</v>
      </c>
      <c r="K12799">
        <v>24292.51</v>
      </c>
      <c r="L12799">
        <v>98.72</v>
      </c>
      <c r="M12799">
        <v>49801</v>
      </c>
      <c r="N12799" t="s">
        <v>953</v>
      </c>
      <c r="O12799">
        <v>250415</v>
      </c>
      <c r="P12799">
        <v>387.13</v>
      </c>
    </row>
    <row r="12800" spans="1:16" x14ac:dyDescent="0.25">
      <c r="A12800" t="s">
        <v>3296</v>
      </c>
      <c r="B12800" t="s">
        <v>2931</v>
      </c>
      <c r="C12800">
        <v>4730</v>
      </c>
      <c r="D12800" t="str">
        <f>"423147      "</f>
        <v xml:space="preserve">423147      </v>
      </c>
      <c r="E12800" t="s">
        <v>951</v>
      </c>
      <c r="F12800" t="s">
        <v>952</v>
      </c>
      <c r="G12800">
        <v>607.30999999999995</v>
      </c>
      <c r="H12800">
        <v>250331</v>
      </c>
      <c r="I12800">
        <v>4571</v>
      </c>
      <c r="J12800" t="s">
        <v>223</v>
      </c>
      <c r="K12800">
        <v>24292.51</v>
      </c>
      <c r="L12800">
        <v>0</v>
      </c>
      <c r="M12800">
        <v>49803</v>
      </c>
      <c r="N12800" t="s">
        <v>956</v>
      </c>
      <c r="O12800">
        <v>250415</v>
      </c>
      <c r="P12800">
        <v>607.30999999999995</v>
      </c>
    </row>
    <row r="12801" spans="1:16" x14ac:dyDescent="0.25">
      <c r="A12801" t="s">
        <v>3296</v>
      </c>
      <c r="B12801" t="s">
        <v>2931</v>
      </c>
      <c r="C12801">
        <v>6157</v>
      </c>
      <c r="D12801" t="str">
        <f>"423169      "</f>
        <v xml:space="preserve">423169      </v>
      </c>
      <c r="E12801" t="s">
        <v>951</v>
      </c>
      <c r="F12801" t="s">
        <v>952</v>
      </c>
      <c r="G12801">
        <v>521.12</v>
      </c>
      <c r="H12801">
        <v>250430</v>
      </c>
      <c r="I12801">
        <v>4571</v>
      </c>
      <c r="J12801" t="s">
        <v>223</v>
      </c>
      <c r="K12801">
        <v>17370.54</v>
      </c>
      <c r="L12801">
        <v>105.88</v>
      </c>
      <c r="M12801">
        <v>49111</v>
      </c>
      <c r="N12801" t="s">
        <v>108</v>
      </c>
      <c r="O12801">
        <v>250509</v>
      </c>
      <c r="P12801">
        <v>415.24</v>
      </c>
    </row>
    <row r="12802" spans="1:16" x14ac:dyDescent="0.25">
      <c r="A12802" t="s">
        <v>3296</v>
      </c>
      <c r="B12802" t="s">
        <v>2931</v>
      </c>
      <c r="C12802">
        <v>6157</v>
      </c>
      <c r="D12802" t="str">
        <f>"423169      "</f>
        <v xml:space="preserve">423169      </v>
      </c>
      <c r="E12802" t="s">
        <v>951</v>
      </c>
      <c r="F12802" t="s">
        <v>952</v>
      </c>
      <c r="G12802">
        <v>16067.75</v>
      </c>
      <c r="H12802">
        <v>250430</v>
      </c>
      <c r="I12802">
        <v>4571</v>
      </c>
      <c r="J12802" t="s">
        <v>223</v>
      </c>
      <c r="K12802">
        <v>17370.54</v>
      </c>
      <c r="L12802">
        <v>3264.76</v>
      </c>
      <c r="M12802">
        <v>49501</v>
      </c>
      <c r="N12802" t="s">
        <v>110</v>
      </c>
      <c r="O12802">
        <v>250509</v>
      </c>
      <c r="P12802">
        <v>12802.99</v>
      </c>
    </row>
    <row r="12803" spans="1:16" x14ac:dyDescent="0.25">
      <c r="A12803" t="s">
        <v>3296</v>
      </c>
      <c r="B12803" t="s">
        <v>2931</v>
      </c>
      <c r="C12803">
        <v>6157</v>
      </c>
      <c r="D12803" t="str">
        <f>"423169      "</f>
        <v xml:space="preserve">423169      </v>
      </c>
      <c r="E12803" t="s">
        <v>951</v>
      </c>
      <c r="F12803" t="s">
        <v>952</v>
      </c>
      <c r="G12803">
        <v>347.41</v>
      </c>
      <c r="H12803">
        <v>250430</v>
      </c>
      <c r="I12803">
        <v>4571</v>
      </c>
      <c r="J12803" t="s">
        <v>223</v>
      </c>
      <c r="K12803">
        <v>17370.54</v>
      </c>
      <c r="L12803">
        <v>70.59</v>
      </c>
      <c r="M12803">
        <v>49801</v>
      </c>
      <c r="N12803" t="s">
        <v>953</v>
      </c>
      <c r="O12803">
        <v>250509</v>
      </c>
      <c r="P12803">
        <v>276.82</v>
      </c>
    </row>
    <row r="12804" spans="1:16" x14ac:dyDescent="0.25">
      <c r="A12804" t="s">
        <v>3296</v>
      </c>
      <c r="B12804" t="s">
        <v>2931</v>
      </c>
      <c r="C12804">
        <v>6157</v>
      </c>
      <c r="D12804" t="str">
        <f>"423169      "</f>
        <v xml:space="preserve">423169      </v>
      </c>
      <c r="E12804" t="s">
        <v>951</v>
      </c>
      <c r="F12804" t="s">
        <v>952</v>
      </c>
      <c r="G12804">
        <v>434.26</v>
      </c>
      <c r="H12804">
        <v>250430</v>
      </c>
      <c r="I12804">
        <v>4571</v>
      </c>
      <c r="J12804" t="s">
        <v>223</v>
      </c>
      <c r="K12804">
        <v>17370.54</v>
      </c>
      <c r="L12804">
        <v>0</v>
      </c>
      <c r="M12804">
        <v>49803</v>
      </c>
      <c r="N12804" t="s">
        <v>956</v>
      </c>
      <c r="O12804">
        <v>250509</v>
      </c>
      <c r="P12804">
        <v>434.26</v>
      </c>
    </row>
    <row r="12805" spans="1:16" x14ac:dyDescent="0.25">
      <c r="A12805" t="s">
        <v>3296</v>
      </c>
      <c r="B12805" t="s">
        <v>2931</v>
      </c>
      <c r="C12805">
        <v>6213</v>
      </c>
      <c r="D12805" t="str">
        <f>"423170      "</f>
        <v xml:space="preserve">423170      </v>
      </c>
      <c r="E12805" t="s">
        <v>951</v>
      </c>
      <c r="F12805" t="s">
        <v>952</v>
      </c>
      <c r="G12805">
        <v>6015.41</v>
      </c>
      <c r="H12805">
        <v>250430</v>
      </c>
      <c r="I12805">
        <v>4571</v>
      </c>
      <c r="J12805" t="s">
        <v>223</v>
      </c>
      <c r="K12805">
        <v>6332.01</v>
      </c>
      <c r="L12805">
        <v>1222.25</v>
      </c>
      <c r="M12805">
        <v>49501</v>
      </c>
      <c r="N12805" t="s">
        <v>110</v>
      </c>
      <c r="O12805">
        <v>250509</v>
      </c>
      <c r="P12805">
        <v>4793.16</v>
      </c>
    </row>
    <row r="12806" spans="1:16" x14ac:dyDescent="0.25">
      <c r="A12806" t="s">
        <v>3296</v>
      </c>
      <c r="B12806" t="s">
        <v>2931</v>
      </c>
      <c r="C12806">
        <v>6213</v>
      </c>
      <c r="D12806" t="str">
        <f>"423170      "</f>
        <v xml:space="preserve">423170      </v>
      </c>
      <c r="E12806" t="s">
        <v>951</v>
      </c>
      <c r="F12806" t="s">
        <v>952</v>
      </c>
      <c r="G12806">
        <v>316.60000000000002</v>
      </c>
      <c r="H12806">
        <v>250430</v>
      </c>
      <c r="I12806">
        <v>4571</v>
      </c>
      <c r="J12806" t="s">
        <v>223</v>
      </c>
      <c r="K12806">
        <v>6332.01</v>
      </c>
      <c r="L12806">
        <v>64.33</v>
      </c>
      <c r="M12806">
        <v>49801</v>
      </c>
      <c r="N12806" t="s">
        <v>953</v>
      </c>
      <c r="O12806">
        <v>250509</v>
      </c>
      <c r="P12806">
        <v>252.27</v>
      </c>
    </row>
    <row r="12807" spans="1:16" x14ac:dyDescent="0.25">
      <c r="A12807" t="s">
        <v>3296</v>
      </c>
      <c r="B12807" t="s">
        <v>2931</v>
      </c>
      <c r="C12807">
        <v>8496</v>
      </c>
      <c r="D12807" t="str">
        <f>"423519      "</f>
        <v xml:space="preserve">423519      </v>
      </c>
      <c r="E12807" t="s">
        <v>951</v>
      </c>
      <c r="F12807" t="s">
        <v>952</v>
      </c>
      <c r="G12807">
        <v>595.69000000000005</v>
      </c>
      <c r="H12807">
        <v>250531</v>
      </c>
      <c r="I12807">
        <v>4571</v>
      </c>
      <c r="J12807" t="s">
        <v>223</v>
      </c>
      <c r="K12807">
        <v>11913.83</v>
      </c>
      <c r="L12807">
        <v>121.04</v>
      </c>
      <c r="M12807">
        <v>49111</v>
      </c>
      <c r="N12807" t="s">
        <v>108</v>
      </c>
      <c r="O12807">
        <v>250617</v>
      </c>
      <c r="P12807">
        <v>474.65</v>
      </c>
    </row>
    <row r="12808" spans="1:16" x14ac:dyDescent="0.25">
      <c r="A12808" t="s">
        <v>3296</v>
      </c>
      <c r="B12808" t="s">
        <v>2931</v>
      </c>
      <c r="C12808">
        <v>8496</v>
      </c>
      <c r="D12808" t="str">
        <f>"423519      "</f>
        <v xml:space="preserve">423519      </v>
      </c>
      <c r="E12808" t="s">
        <v>951</v>
      </c>
      <c r="F12808" t="s">
        <v>952</v>
      </c>
      <c r="G12808">
        <v>10901.15</v>
      </c>
      <c r="H12808">
        <v>250531</v>
      </c>
      <c r="I12808">
        <v>4571</v>
      </c>
      <c r="J12808" t="s">
        <v>223</v>
      </c>
      <c r="K12808">
        <v>11913.83</v>
      </c>
      <c r="L12808">
        <v>2214.9699999999998</v>
      </c>
      <c r="M12808">
        <v>49501</v>
      </c>
      <c r="N12808" t="s">
        <v>110</v>
      </c>
      <c r="O12808">
        <v>250617</v>
      </c>
      <c r="P12808">
        <v>8686.18</v>
      </c>
    </row>
    <row r="12809" spans="1:16" x14ac:dyDescent="0.25">
      <c r="A12809" t="s">
        <v>3296</v>
      </c>
      <c r="B12809" t="s">
        <v>2931</v>
      </c>
      <c r="C12809">
        <v>8496</v>
      </c>
      <c r="D12809" t="str">
        <f>"423519      "</f>
        <v xml:space="preserve">423519      </v>
      </c>
      <c r="E12809" t="s">
        <v>951</v>
      </c>
      <c r="F12809" t="s">
        <v>952</v>
      </c>
      <c r="G12809">
        <v>238.28</v>
      </c>
      <c r="H12809">
        <v>250531</v>
      </c>
      <c r="I12809">
        <v>4571</v>
      </c>
      <c r="J12809" t="s">
        <v>223</v>
      </c>
      <c r="K12809">
        <v>11913.83</v>
      </c>
      <c r="L12809">
        <v>48.42</v>
      </c>
      <c r="M12809">
        <v>49801</v>
      </c>
      <c r="N12809" t="s">
        <v>953</v>
      </c>
      <c r="O12809">
        <v>250617</v>
      </c>
      <c r="P12809">
        <v>189.86</v>
      </c>
    </row>
    <row r="12810" spans="1:16" x14ac:dyDescent="0.25">
      <c r="A12810" t="s">
        <v>3296</v>
      </c>
      <c r="B12810" t="s">
        <v>2931</v>
      </c>
      <c r="C12810">
        <v>8496</v>
      </c>
      <c r="D12810" t="str">
        <f>"423519      "</f>
        <v xml:space="preserve">423519      </v>
      </c>
      <c r="E12810" t="s">
        <v>951</v>
      </c>
      <c r="F12810" t="s">
        <v>952</v>
      </c>
      <c r="G12810">
        <v>178.71</v>
      </c>
      <c r="H12810">
        <v>250531</v>
      </c>
      <c r="I12810">
        <v>4571</v>
      </c>
      <c r="J12810" t="s">
        <v>223</v>
      </c>
      <c r="K12810">
        <v>11913.83</v>
      </c>
      <c r="L12810">
        <v>0</v>
      </c>
      <c r="M12810">
        <v>49803</v>
      </c>
      <c r="N12810" t="s">
        <v>956</v>
      </c>
      <c r="O12810">
        <v>250617</v>
      </c>
      <c r="P12810">
        <v>178.71</v>
      </c>
    </row>
    <row r="12811" spans="1:16" x14ac:dyDescent="0.25">
      <c r="A12811" t="s">
        <v>3296</v>
      </c>
      <c r="B12811" t="s">
        <v>2931</v>
      </c>
      <c r="C12811">
        <v>8497</v>
      </c>
      <c r="D12811" t="str">
        <f>"423481      "</f>
        <v xml:space="preserve">423481      </v>
      </c>
      <c r="E12811" t="s">
        <v>951</v>
      </c>
      <c r="F12811" t="s">
        <v>952</v>
      </c>
      <c r="G12811">
        <v>4147.13</v>
      </c>
      <c r="H12811">
        <v>250531</v>
      </c>
      <c r="I12811">
        <v>4571</v>
      </c>
      <c r="J12811" t="s">
        <v>223</v>
      </c>
      <c r="K12811">
        <v>4365.3999999999996</v>
      </c>
      <c r="L12811">
        <v>842.64</v>
      </c>
      <c r="M12811">
        <v>49501</v>
      </c>
      <c r="N12811" t="s">
        <v>110</v>
      </c>
      <c r="O12811">
        <v>250617</v>
      </c>
      <c r="P12811">
        <v>3304.49</v>
      </c>
    </row>
    <row r="12812" spans="1:16" x14ac:dyDescent="0.25">
      <c r="A12812" t="s">
        <v>3296</v>
      </c>
      <c r="B12812" t="s">
        <v>2931</v>
      </c>
      <c r="C12812">
        <v>8497</v>
      </c>
      <c r="D12812" t="str">
        <f>"423481      "</f>
        <v xml:space="preserve">423481      </v>
      </c>
      <c r="E12812" t="s">
        <v>951</v>
      </c>
      <c r="F12812" t="s">
        <v>952</v>
      </c>
      <c r="G12812">
        <v>218.27</v>
      </c>
      <c r="H12812">
        <v>250531</v>
      </c>
      <c r="I12812">
        <v>4571</v>
      </c>
      <c r="J12812" t="s">
        <v>223</v>
      </c>
      <c r="K12812">
        <v>4365.3999999999996</v>
      </c>
      <c r="L12812">
        <v>44.35</v>
      </c>
      <c r="M12812">
        <v>49801</v>
      </c>
      <c r="N12812" t="s">
        <v>953</v>
      </c>
      <c r="O12812">
        <v>250617</v>
      </c>
      <c r="P12812">
        <v>173.92</v>
      </c>
    </row>
    <row r="12813" spans="1:16" x14ac:dyDescent="0.25">
      <c r="A12813" t="s">
        <v>3296</v>
      </c>
      <c r="B12813" t="s">
        <v>2931</v>
      </c>
      <c r="C12813">
        <v>9396</v>
      </c>
      <c r="D12813" t="str">
        <f>"185400      "</f>
        <v xml:space="preserve">185400      </v>
      </c>
      <c r="E12813" t="s">
        <v>951</v>
      </c>
      <c r="F12813" t="s">
        <v>952</v>
      </c>
      <c r="G12813">
        <v>9.3000000000000007</v>
      </c>
      <c r="H12813">
        <v>250630</v>
      </c>
      <c r="I12813">
        <v>4571</v>
      </c>
      <c r="J12813" t="s">
        <v>223</v>
      </c>
      <c r="K12813">
        <v>186.05</v>
      </c>
      <c r="L12813">
        <v>1.89</v>
      </c>
      <c r="M12813">
        <v>49111</v>
      </c>
      <c r="N12813" t="s">
        <v>108</v>
      </c>
      <c r="O12813">
        <v>250707</v>
      </c>
      <c r="P12813">
        <v>7.41</v>
      </c>
    </row>
    <row r="12814" spans="1:16" x14ac:dyDescent="0.25">
      <c r="A12814" t="s">
        <v>3296</v>
      </c>
      <c r="B12814" t="s">
        <v>2931</v>
      </c>
      <c r="C12814">
        <v>9396</v>
      </c>
      <c r="D12814" t="str">
        <f>"185400      "</f>
        <v xml:space="preserve">185400      </v>
      </c>
      <c r="E12814" t="s">
        <v>951</v>
      </c>
      <c r="F12814" t="s">
        <v>952</v>
      </c>
      <c r="G12814">
        <v>170.24</v>
      </c>
      <c r="H12814">
        <v>250630</v>
      </c>
      <c r="I12814">
        <v>4571</v>
      </c>
      <c r="J12814" t="s">
        <v>223</v>
      </c>
      <c r="K12814">
        <v>186.05</v>
      </c>
      <c r="L12814">
        <v>34.590000000000003</v>
      </c>
      <c r="M12814">
        <v>49501</v>
      </c>
      <c r="N12814" t="s">
        <v>110</v>
      </c>
      <c r="O12814">
        <v>250707</v>
      </c>
      <c r="P12814">
        <v>135.65</v>
      </c>
    </row>
    <row r="12815" spans="1:16" x14ac:dyDescent="0.25">
      <c r="A12815" t="s">
        <v>3296</v>
      </c>
      <c r="B12815" t="s">
        <v>2931</v>
      </c>
      <c r="C12815">
        <v>9396</v>
      </c>
      <c r="D12815" t="str">
        <f>"185400      "</f>
        <v xml:space="preserve">185400      </v>
      </c>
      <c r="E12815" t="s">
        <v>951</v>
      </c>
      <c r="F12815" t="s">
        <v>952</v>
      </c>
      <c r="G12815">
        <v>3.72</v>
      </c>
      <c r="H12815">
        <v>250630</v>
      </c>
      <c r="I12815">
        <v>4571</v>
      </c>
      <c r="J12815" t="s">
        <v>223</v>
      </c>
      <c r="K12815">
        <v>186.05</v>
      </c>
      <c r="L12815">
        <v>0.76</v>
      </c>
      <c r="M12815">
        <v>49801</v>
      </c>
      <c r="N12815" t="s">
        <v>953</v>
      </c>
      <c r="O12815">
        <v>250707</v>
      </c>
      <c r="P12815">
        <v>2.96</v>
      </c>
    </row>
    <row r="12816" spans="1:16" x14ac:dyDescent="0.25">
      <c r="A12816" t="s">
        <v>3296</v>
      </c>
      <c r="B12816" t="s">
        <v>2931</v>
      </c>
      <c r="C12816">
        <v>9396</v>
      </c>
      <c r="D12816" t="str">
        <f>"185400      "</f>
        <v xml:space="preserve">185400      </v>
      </c>
      <c r="E12816" t="s">
        <v>951</v>
      </c>
      <c r="F12816" t="s">
        <v>952</v>
      </c>
      <c r="G12816">
        <v>2.79</v>
      </c>
      <c r="H12816">
        <v>250630</v>
      </c>
      <c r="I12816">
        <v>4571</v>
      </c>
      <c r="J12816" t="s">
        <v>223</v>
      </c>
      <c r="K12816">
        <v>186.05</v>
      </c>
      <c r="L12816">
        <v>0</v>
      </c>
      <c r="M12816">
        <v>49803</v>
      </c>
      <c r="N12816" t="s">
        <v>956</v>
      </c>
      <c r="O12816">
        <v>250707</v>
      </c>
      <c r="P12816">
        <v>2.79</v>
      </c>
    </row>
    <row r="12817" spans="1:16" x14ac:dyDescent="0.25">
      <c r="A12817" t="s">
        <v>3296</v>
      </c>
      <c r="B12817" t="s">
        <v>2931</v>
      </c>
      <c r="C12817">
        <v>9398</v>
      </c>
      <c r="D12817" t="str">
        <f>"185288      "</f>
        <v xml:space="preserve">185288      </v>
      </c>
      <c r="E12817" t="s">
        <v>951</v>
      </c>
      <c r="F12817" t="s">
        <v>952</v>
      </c>
      <c r="G12817">
        <v>177.56</v>
      </c>
      <c r="H12817">
        <v>250630</v>
      </c>
      <c r="I12817">
        <v>4571</v>
      </c>
      <c r="J12817" t="s">
        <v>223</v>
      </c>
      <c r="K12817">
        <v>3551.2</v>
      </c>
      <c r="L12817">
        <v>36.08</v>
      </c>
      <c r="M12817">
        <v>49111</v>
      </c>
      <c r="N12817" t="s">
        <v>108</v>
      </c>
      <c r="O12817">
        <v>250707</v>
      </c>
      <c r="P12817">
        <v>141.47999999999999</v>
      </c>
    </row>
    <row r="12818" spans="1:16" x14ac:dyDescent="0.25">
      <c r="A12818" t="s">
        <v>3296</v>
      </c>
      <c r="B12818" t="s">
        <v>2931</v>
      </c>
      <c r="C12818">
        <v>9398</v>
      </c>
      <c r="D12818" t="str">
        <f>"185288      "</f>
        <v xml:space="preserve">185288      </v>
      </c>
      <c r="E12818" t="s">
        <v>951</v>
      </c>
      <c r="F12818" t="s">
        <v>952</v>
      </c>
      <c r="G12818">
        <v>3249.35</v>
      </c>
      <c r="H12818">
        <v>250630</v>
      </c>
      <c r="I12818">
        <v>4571</v>
      </c>
      <c r="J12818" t="s">
        <v>223</v>
      </c>
      <c r="K12818">
        <v>3551.2</v>
      </c>
      <c r="L12818">
        <v>660.23</v>
      </c>
      <c r="M12818">
        <v>49501</v>
      </c>
      <c r="N12818" t="s">
        <v>110</v>
      </c>
      <c r="O12818">
        <v>250707</v>
      </c>
      <c r="P12818">
        <v>2589.12</v>
      </c>
    </row>
    <row r="12819" spans="1:16" x14ac:dyDescent="0.25">
      <c r="A12819" t="s">
        <v>3296</v>
      </c>
      <c r="B12819" t="s">
        <v>2931</v>
      </c>
      <c r="C12819">
        <v>9398</v>
      </c>
      <c r="D12819" t="str">
        <f>"185288      "</f>
        <v xml:space="preserve">185288      </v>
      </c>
      <c r="E12819" t="s">
        <v>951</v>
      </c>
      <c r="F12819" t="s">
        <v>952</v>
      </c>
      <c r="G12819">
        <v>71.02</v>
      </c>
      <c r="H12819">
        <v>250630</v>
      </c>
      <c r="I12819">
        <v>4571</v>
      </c>
      <c r="J12819" t="s">
        <v>223</v>
      </c>
      <c r="K12819">
        <v>3551.2</v>
      </c>
      <c r="L12819">
        <v>14.43</v>
      </c>
      <c r="M12819">
        <v>49801</v>
      </c>
      <c r="N12819" t="s">
        <v>953</v>
      </c>
      <c r="O12819">
        <v>250707</v>
      </c>
      <c r="P12819">
        <v>56.59</v>
      </c>
    </row>
    <row r="12820" spans="1:16" x14ac:dyDescent="0.25">
      <c r="A12820" t="s">
        <v>3296</v>
      </c>
      <c r="B12820" t="s">
        <v>2931</v>
      </c>
      <c r="C12820">
        <v>9398</v>
      </c>
      <c r="D12820" t="str">
        <f>"185288      "</f>
        <v xml:space="preserve">185288      </v>
      </c>
      <c r="E12820" t="s">
        <v>951</v>
      </c>
      <c r="F12820" t="s">
        <v>952</v>
      </c>
      <c r="G12820">
        <v>53.27</v>
      </c>
      <c r="H12820">
        <v>250630</v>
      </c>
      <c r="I12820">
        <v>4571</v>
      </c>
      <c r="J12820" t="s">
        <v>223</v>
      </c>
      <c r="K12820">
        <v>3551.2</v>
      </c>
      <c r="L12820">
        <v>0</v>
      </c>
      <c r="M12820">
        <v>49803</v>
      </c>
      <c r="N12820" t="s">
        <v>956</v>
      </c>
      <c r="O12820">
        <v>250707</v>
      </c>
      <c r="P12820">
        <v>53.27</v>
      </c>
    </row>
    <row r="12821" spans="1:16" x14ac:dyDescent="0.25">
      <c r="A12821" t="s">
        <v>3296</v>
      </c>
      <c r="B12821" t="s">
        <v>2931</v>
      </c>
      <c r="C12821">
        <v>9404</v>
      </c>
      <c r="D12821" t="str">
        <f>"185292      "</f>
        <v xml:space="preserve">185292      </v>
      </c>
      <c r="E12821" t="s">
        <v>951</v>
      </c>
      <c r="F12821" t="s">
        <v>952</v>
      </c>
      <c r="G12821">
        <v>929.96</v>
      </c>
      <c r="H12821">
        <v>250630</v>
      </c>
      <c r="I12821">
        <v>4571</v>
      </c>
      <c r="J12821" t="s">
        <v>223</v>
      </c>
      <c r="K12821">
        <v>978.91</v>
      </c>
      <c r="L12821">
        <v>188.96</v>
      </c>
      <c r="M12821">
        <v>49501</v>
      </c>
      <c r="N12821" t="s">
        <v>110</v>
      </c>
      <c r="O12821">
        <v>250707</v>
      </c>
      <c r="P12821">
        <v>741</v>
      </c>
    </row>
    <row r="12822" spans="1:16" x14ac:dyDescent="0.25">
      <c r="A12822" t="s">
        <v>3296</v>
      </c>
      <c r="B12822" t="s">
        <v>2931</v>
      </c>
      <c r="C12822">
        <v>9404</v>
      </c>
      <c r="D12822" t="str">
        <f>"185292      "</f>
        <v xml:space="preserve">185292      </v>
      </c>
      <c r="E12822" t="s">
        <v>951</v>
      </c>
      <c r="F12822" t="s">
        <v>952</v>
      </c>
      <c r="G12822">
        <v>48.95</v>
      </c>
      <c r="H12822">
        <v>250630</v>
      </c>
      <c r="I12822">
        <v>4571</v>
      </c>
      <c r="J12822" t="s">
        <v>223</v>
      </c>
      <c r="K12822">
        <v>978.91</v>
      </c>
      <c r="L12822">
        <v>9.9499999999999993</v>
      </c>
      <c r="M12822">
        <v>49801</v>
      </c>
      <c r="N12822" t="s">
        <v>953</v>
      </c>
      <c r="O12822">
        <v>250707</v>
      </c>
      <c r="P12822">
        <v>39</v>
      </c>
    </row>
    <row r="12823" spans="1:16" x14ac:dyDescent="0.25">
      <c r="A12823" t="s">
        <v>3296</v>
      </c>
      <c r="B12823" t="s">
        <v>2931</v>
      </c>
      <c r="C12823">
        <v>9431</v>
      </c>
      <c r="D12823" t="str">
        <f>"423548      "</f>
        <v xml:space="preserve">423548      </v>
      </c>
      <c r="E12823" t="s">
        <v>951</v>
      </c>
      <c r="F12823" t="s">
        <v>952</v>
      </c>
      <c r="G12823">
        <v>286.82</v>
      </c>
      <c r="H12823">
        <v>250630</v>
      </c>
      <c r="I12823">
        <v>4571</v>
      </c>
      <c r="J12823" t="s">
        <v>223</v>
      </c>
      <c r="K12823">
        <v>5736.46</v>
      </c>
      <c r="L12823">
        <v>58.28</v>
      </c>
      <c r="M12823">
        <v>49111</v>
      </c>
      <c r="N12823" t="s">
        <v>108</v>
      </c>
      <c r="O12823">
        <v>250707</v>
      </c>
      <c r="P12823">
        <v>228.54</v>
      </c>
    </row>
    <row r="12824" spans="1:16" x14ac:dyDescent="0.25">
      <c r="A12824" t="s">
        <v>3296</v>
      </c>
      <c r="B12824" t="s">
        <v>2931</v>
      </c>
      <c r="C12824">
        <v>9431</v>
      </c>
      <c r="D12824" t="str">
        <f>"423548      "</f>
        <v xml:space="preserve">423548      </v>
      </c>
      <c r="E12824" t="s">
        <v>951</v>
      </c>
      <c r="F12824" t="s">
        <v>952</v>
      </c>
      <c r="G12824">
        <v>5248.86</v>
      </c>
      <c r="H12824">
        <v>250630</v>
      </c>
      <c r="I12824">
        <v>4571</v>
      </c>
      <c r="J12824" t="s">
        <v>223</v>
      </c>
      <c r="K12824">
        <v>5736.46</v>
      </c>
      <c r="L12824">
        <v>1066.5</v>
      </c>
      <c r="M12824">
        <v>49501</v>
      </c>
      <c r="N12824" t="s">
        <v>110</v>
      </c>
      <c r="O12824">
        <v>250707</v>
      </c>
      <c r="P12824">
        <v>4182.3599999999997</v>
      </c>
    </row>
    <row r="12825" spans="1:16" x14ac:dyDescent="0.25">
      <c r="A12825" t="s">
        <v>3296</v>
      </c>
      <c r="B12825" t="s">
        <v>2931</v>
      </c>
      <c r="C12825">
        <v>9431</v>
      </c>
      <c r="D12825" t="str">
        <f>"423548      "</f>
        <v xml:space="preserve">423548      </v>
      </c>
      <c r="E12825" t="s">
        <v>951</v>
      </c>
      <c r="F12825" t="s">
        <v>952</v>
      </c>
      <c r="G12825">
        <v>114.73</v>
      </c>
      <c r="H12825">
        <v>250630</v>
      </c>
      <c r="I12825">
        <v>4571</v>
      </c>
      <c r="J12825" t="s">
        <v>223</v>
      </c>
      <c r="K12825">
        <v>5736.46</v>
      </c>
      <c r="L12825">
        <v>23.31</v>
      </c>
      <c r="M12825">
        <v>49801</v>
      </c>
      <c r="N12825" t="s">
        <v>953</v>
      </c>
      <c r="O12825">
        <v>250707</v>
      </c>
      <c r="P12825">
        <v>91.42</v>
      </c>
    </row>
    <row r="12826" spans="1:16" x14ac:dyDescent="0.25">
      <c r="A12826" t="s">
        <v>3296</v>
      </c>
      <c r="B12826" t="s">
        <v>2931</v>
      </c>
      <c r="C12826">
        <v>9431</v>
      </c>
      <c r="D12826" t="str">
        <f>"423548      "</f>
        <v xml:space="preserve">423548      </v>
      </c>
      <c r="E12826" t="s">
        <v>951</v>
      </c>
      <c r="F12826" t="s">
        <v>952</v>
      </c>
      <c r="G12826">
        <v>86.05</v>
      </c>
      <c r="H12826">
        <v>250630</v>
      </c>
      <c r="I12826">
        <v>4571</v>
      </c>
      <c r="J12826" t="s">
        <v>223</v>
      </c>
      <c r="K12826">
        <v>5736.46</v>
      </c>
      <c r="L12826">
        <v>0</v>
      </c>
      <c r="M12826">
        <v>49803</v>
      </c>
      <c r="N12826" t="s">
        <v>956</v>
      </c>
      <c r="O12826">
        <v>250707</v>
      </c>
      <c r="P12826">
        <v>86.05</v>
      </c>
    </row>
    <row r="12827" spans="1:16" x14ac:dyDescent="0.25">
      <c r="A12827" t="s">
        <v>3296</v>
      </c>
      <c r="B12827" t="s">
        <v>2931</v>
      </c>
      <c r="C12827">
        <v>9432</v>
      </c>
      <c r="D12827" t="str">
        <f>"423549      "</f>
        <v xml:space="preserve">423549      </v>
      </c>
      <c r="E12827" t="s">
        <v>951</v>
      </c>
      <c r="F12827" t="s">
        <v>952</v>
      </c>
      <c r="G12827">
        <v>2014.49</v>
      </c>
      <c r="H12827">
        <v>250630</v>
      </c>
      <c r="I12827">
        <v>4571</v>
      </c>
      <c r="J12827" t="s">
        <v>223</v>
      </c>
      <c r="K12827">
        <v>2120.52</v>
      </c>
      <c r="L12827">
        <v>409.32</v>
      </c>
      <c r="M12827">
        <v>49501</v>
      </c>
      <c r="N12827" t="s">
        <v>110</v>
      </c>
      <c r="O12827">
        <v>250707</v>
      </c>
      <c r="P12827">
        <v>1605.17</v>
      </c>
    </row>
    <row r="12828" spans="1:16" x14ac:dyDescent="0.25">
      <c r="A12828" t="s">
        <v>3296</v>
      </c>
      <c r="B12828" t="s">
        <v>2931</v>
      </c>
      <c r="C12828">
        <v>9432</v>
      </c>
      <c r="D12828" t="str">
        <f>"423549      "</f>
        <v xml:space="preserve">423549      </v>
      </c>
      <c r="E12828" t="s">
        <v>951</v>
      </c>
      <c r="F12828" t="s">
        <v>952</v>
      </c>
      <c r="G12828">
        <v>106.03</v>
      </c>
      <c r="H12828">
        <v>250630</v>
      </c>
      <c r="I12828">
        <v>4571</v>
      </c>
      <c r="J12828" t="s">
        <v>223</v>
      </c>
      <c r="K12828">
        <v>2120.52</v>
      </c>
      <c r="L12828">
        <v>21.54</v>
      </c>
      <c r="M12828">
        <v>49801</v>
      </c>
      <c r="N12828" t="s">
        <v>953</v>
      </c>
      <c r="O12828">
        <v>250707</v>
      </c>
      <c r="P12828">
        <v>84.49</v>
      </c>
    </row>
    <row r="12829" spans="1:16" x14ac:dyDescent="0.25">
      <c r="A12829" t="s">
        <v>3296</v>
      </c>
      <c r="B12829" t="s">
        <v>2931</v>
      </c>
      <c r="C12829">
        <v>10006</v>
      </c>
      <c r="D12829" t="str">
        <f>"423786      "</f>
        <v xml:space="preserve">423786      </v>
      </c>
      <c r="E12829" t="s">
        <v>951</v>
      </c>
      <c r="F12829" t="s">
        <v>952</v>
      </c>
      <c r="G12829">
        <v>1304.98</v>
      </c>
      <c r="H12829">
        <v>250731</v>
      </c>
      <c r="I12829">
        <v>4571</v>
      </c>
      <c r="J12829" t="s">
        <v>223</v>
      </c>
      <c r="K12829">
        <v>1373.66</v>
      </c>
      <c r="L12829">
        <v>265.16000000000003</v>
      </c>
      <c r="M12829">
        <v>49501</v>
      </c>
      <c r="N12829" t="s">
        <v>110</v>
      </c>
      <c r="O12829">
        <v>250806</v>
      </c>
      <c r="P12829">
        <v>1039.82</v>
      </c>
    </row>
    <row r="12830" spans="1:16" x14ac:dyDescent="0.25">
      <c r="A12830" t="s">
        <v>3296</v>
      </c>
      <c r="B12830" t="s">
        <v>2931</v>
      </c>
      <c r="C12830">
        <v>10006</v>
      </c>
      <c r="D12830" t="str">
        <f>"423786      "</f>
        <v xml:space="preserve">423786      </v>
      </c>
      <c r="E12830" t="s">
        <v>951</v>
      </c>
      <c r="F12830" t="s">
        <v>952</v>
      </c>
      <c r="G12830">
        <v>68.680000000000007</v>
      </c>
      <c r="H12830">
        <v>250731</v>
      </c>
      <c r="I12830">
        <v>4571</v>
      </c>
      <c r="J12830" t="s">
        <v>223</v>
      </c>
      <c r="K12830">
        <v>1373.66</v>
      </c>
      <c r="L12830">
        <v>13.95</v>
      </c>
      <c r="M12830">
        <v>49801</v>
      </c>
      <c r="N12830" t="s">
        <v>953</v>
      </c>
      <c r="O12830">
        <v>250806</v>
      </c>
      <c r="P12830">
        <v>54.73</v>
      </c>
    </row>
    <row r="12831" spans="1:16" x14ac:dyDescent="0.25">
      <c r="A12831" t="s">
        <v>3296</v>
      </c>
      <c r="B12831" t="s">
        <v>2931</v>
      </c>
      <c r="C12831">
        <v>10007</v>
      </c>
      <c r="D12831" t="str">
        <f>"423784      "</f>
        <v xml:space="preserve">423784      </v>
      </c>
      <c r="E12831" t="s">
        <v>951</v>
      </c>
      <c r="F12831" t="s">
        <v>952</v>
      </c>
      <c r="G12831">
        <v>96.88</v>
      </c>
      <c r="H12831">
        <v>250731</v>
      </c>
      <c r="I12831">
        <v>4571</v>
      </c>
      <c r="J12831" t="s">
        <v>223</v>
      </c>
      <c r="K12831">
        <v>3229.2</v>
      </c>
      <c r="L12831">
        <v>19.68</v>
      </c>
      <c r="M12831">
        <v>49111</v>
      </c>
      <c r="N12831" t="s">
        <v>108</v>
      </c>
      <c r="O12831">
        <v>250806</v>
      </c>
      <c r="P12831">
        <v>77.2</v>
      </c>
    </row>
    <row r="12832" spans="1:16" x14ac:dyDescent="0.25">
      <c r="A12832" t="s">
        <v>3296</v>
      </c>
      <c r="B12832" t="s">
        <v>2931</v>
      </c>
      <c r="C12832">
        <v>10007</v>
      </c>
      <c r="D12832" t="str">
        <f>"423784      "</f>
        <v xml:space="preserve">423784      </v>
      </c>
      <c r="E12832" t="s">
        <v>951</v>
      </c>
      <c r="F12832" t="s">
        <v>952</v>
      </c>
      <c r="G12832">
        <v>2987.01</v>
      </c>
      <c r="H12832">
        <v>250731</v>
      </c>
      <c r="I12832">
        <v>4571</v>
      </c>
      <c r="J12832" t="s">
        <v>223</v>
      </c>
      <c r="K12832">
        <v>3229.2</v>
      </c>
      <c r="L12832">
        <v>606.91999999999996</v>
      </c>
      <c r="M12832">
        <v>49501</v>
      </c>
      <c r="N12832" t="s">
        <v>110</v>
      </c>
      <c r="O12832">
        <v>250806</v>
      </c>
      <c r="P12832">
        <v>2380.09</v>
      </c>
    </row>
    <row r="12833" spans="1:16" x14ac:dyDescent="0.25">
      <c r="A12833" t="s">
        <v>3296</v>
      </c>
      <c r="B12833" t="s">
        <v>2931</v>
      </c>
      <c r="C12833">
        <v>10007</v>
      </c>
      <c r="D12833" t="str">
        <f>"423784      "</f>
        <v xml:space="preserve">423784      </v>
      </c>
      <c r="E12833" t="s">
        <v>951</v>
      </c>
      <c r="F12833" t="s">
        <v>952</v>
      </c>
      <c r="G12833">
        <v>64.58</v>
      </c>
      <c r="H12833">
        <v>250731</v>
      </c>
      <c r="I12833">
        <v>4571</v>
      </c>
      <c r="J12833" t="s">
        <v>223</v>
      </c>
      <c r="K12833">
        <v>3229.2</v>
      </c>
      <c r="L12833">
        <v>13.12</v>
      </c>
      <c r="M12833">
        <v>49801</v>
      </c>
      <c r="N12833" t="s">
        <v>953</v>
      </c>
      <c r="O12833">
        <v>250806</v>
      </c>
      <c r="P12833">
        <v>51.46</v>
      </c>
    </row>
    <row r="12834" spans="1:16" x14ac:dyDescent="0.25">
      <c r="A12834" t="s">
        <v>3296</v>
      </c>
      <c r="B12834" t="s">
        <v>2931</v>
      </c>
      <c r="C12834">
        <v>10007</v>
      </c>
      <c r="D12834" t="str">
        <f>"423784      "</f>
        <v xml:space="preserve">423784      </v>
      </c>
      <c r="E12834" t="s">
        <v>951</v>
      </c>
      <c r="F12834" t="s">
        <v>952</v>
      </c>
      <c r="G12834">
        <v>80.73</v>
      </c>
      <c r="H12834">
        <v>250731</v>
      </c>
      <c r="I12834">
        <v>4571</v>
      </c>
      <c r="J12834" t="s">
        <v>223</v>
      </c>
      <c r="K12834">
        <v>3229.2</v>
      </c>
      <c r="L12834">
        <v>0</v>
      </c>
      <c r="M12834">
        <v>49803</v>
      </c>
      <c r="N12834" t="s">
        <v>956</v>
      </c>
      <c r="O12834">
        <v>250806</v>
      </c>
      <c r="P12834">
        <v>80.73</v>
      </c>
    </row>
    <row r="12835" spans="1:16" x14ac:dyDescent="0.25">
      <c r="A12835" t="s">
        <v>3296</v>
      </c>
      <c r="B12835" t="s">
        <v>2931</v>
      </c>
      <c r="C12835">
        <v>11560</v>
      </c>
      <c r="D12835" t="str">
        <f>"423925      "</f>
        <v xml:space="preserve">423925      </v>
      </c>
      <c r="E12835" t="s">
        <v>951</v>
      </c>
      <c r="F12835" t="s">
        <v>952</v>
      </c>
      <c r="G12835">
        <v>1877.93</v>
      </c>
      <c r="H12835">
        <v>250831</v>
      </c>
      <c r="I12835">
        <v>4571</v>
      </c>
      <c r="J12835" t="s">
        <v>223</v>
      </c>
      <c r="K12835">
        <v>1976.77</v>
      </c>
      <c r="L12835">
        <v>381.57</v>
      </c>
      <c r="M12835">
        <v>49501</v>
      </c>
      <c r="N12835" t="s">
        <v>110</v>
      </c>
      <c r="O12835">
        <v>250908</v>
      </c>
      <c r="P12835">
        <v>1496.36</v>
      </c>
    </row>
    <row r="12836" spans="1:16" x14ac:dyDescent="0.25">
      <c r="A12836" t="s">
        <v>3296</v>
      </c>
      <c r="B12836" t="s">
        <v>2931</v>
      </c>
      <c r="C12836">
        <v>11560</v>
      </c>
      <c r="D12836" t="str">
        <f>"423925      "</f>
        <v xml:space="preserve">423925      </v>
      </c>
      <c r="E12836" t="s">
        <v>951</v>
      </c>
      <c r="F12836" t="s">
        <v>952</v>
      </c>
      <c r="G12836">
        <v>98.84</v>
      </c>
      <c r="H12836">
        <v>250831</v>
      </c>
      <c r="I12836">
        <v>4571</v>
      </c>
      <c r="J12836" t="s">
        <v>223</v>
      </c>
      <c r="K12836">
        <v>1976.77</v>
      </c>
      <c r="L12836">
        <v>20.079999999999998</v>
      </c>
      <c r="M12836">
        <v>49801</v>
      </c>
      <c r="N12836" t="s">
        <v>953</v>
      </c>
      <c r="O12836">
        <v>250908</v>
      </c>
      <c r="P12836">
        <v>78.760000000000005</v>
      </c>
    </row>
    <row r="12837" spans="1:16" x14ac:dyDescent="0.25">
      <c r="A12837" t="s">
        <v>3296</v>
      </c>
      <c r="B12837" t="s">
        <v>2931</v>
      </c>
      <c r="C12837">
        <v>11564</v>
      </c>
      <c r="D12837" t="str">
        <f>"423924      "</f>
        <v xml:space="preserve">423924      </v>
      </c>
      <c r="E12837" t="s">
        <v>951</v>
      </c>
      <c r="F12837" t="s">
        <v>952</v>
      </c>
      <c r="G12837">
        <v>162.75</v>
      </c>
      <c r="H12837">
        <v>250831</v>
      </c>
      <c r="I12837">
        <v>4571</v>
      </c>
      <c r="J12837" t="s">
        <v>223</v>
      </c>
      <c r="K12837">
        <v>5425</v>
      </c>
      <c r="L12837">
        <v>33.07</v>
      </c>
      <c r="M12837">
        <v>49111</v>
      </c>
      <c r="N12837" t="s">
        <v>108</v>
      </c>
      <c r="O12837">
        <v>250908</v>
      </c>
      <c r="P12837">
        <v>129.68</v>
      </c>
    </row>
    <row r="12838" spans="1:16" x14ac:dyDescent="0.25">
      <c r="A12838" t="s">
        <v>3296</v>
      </c>
      <c r="B12838" t="s">
        <v>2931</v>
      </c>
      <c r="C12838">
        <v>11564</v>
      </c>
      <c r="D12838" t="str">
        <f>"423924      "</f>
        <v xml:space="preserve">423924      </v>
      </c>
      <c r="E12838" t="s">
        <v>951</v>
      </c>
      <c r="F12838" t="s">
        <v>952</v>
      </c>
      <c r="G12838">
        <v>5018.13</v>
      </c>
      <c r="H12838">
        <v>250831</v>
      </c>
      <c r="I12838">
        <v>4571</v>
      </c>
      <c r="J12838" t="s">
        <v>223</v>
      </c>
      <c r="K12838">
        <v>5425</v>
      </c>
      <c r="L12838">
        <v>1019.62</v>
      </c>
      <c r="M12838">
        <v>49501</v>
      </c>
      <c r="N12838" t="s">
        <v>110</v>
      </c>
      <c r="O12838">
        <v>250908</v>
      </c>
      <c r="P12838">
        <v>3998.51</v>
      </c>
    </row>
    <row r="12839" spans="1:16" x14ac:dyDescent="0.25">
      <c r="A12839" t="s">
        <v>3296</v>
      </c>
      <c r="B12839" t="s">
        <v>2931</v>
      </c>
      <c r="C12839">
        <v>11564</v>
      </c>
      <c r="D12839" t="str">
        <f>"423924      "</f>
        <v xml:space="preserve">423924      </v>
      </c>
      <c r="E12839" t="s">
        <v>951</v>
      </c>
      <c r="F12839" t="s">
        <v>952</v>
      </c>
      <c r="G12839">
        <v>108.5</v>
      </c>
      <c r="H12839">
        <v>250831</v>
      </c>
      <c r="I12839">
        <v>4571</v>
      </c>
      <c r="J12839" t="s">
        <v>223</v>
      </c>
      <c r="K12839">
        <v>5425</v>
      </c>
      <c r="L12839">
        <v>22.05</v>
      </c>
      <c r="M12839">
        <v>49801</v>
      </c>
      <c r="N12839" t="s">
        <v>953</v>
      </c>
      <c r="O12839">
        <v>250908</v>
      </c>
      <c r="P12839">
        <v>86.45</v>
      </c>
    </row>
    <row r="12840" spans="1:16" x14ac:dyDescent="0.25">
      <c r="A12840" t="s">
        <v>3296</v>
      </c>
      <c r="B12840" t="s">
        <v>2931</v>
      </c>
      <c r="C12840">
        <v>11564</v>
      </c>
      <c r="D12840" t="str">
        <f>"423924      "</f>
        <v xml:space="preserve">423924      </v>
      </c>
      <c r="E12840" t="s">
        <v>951</v>
      </c>
      <c r="F12840" t="s">
        <v>952</v>
      </c>
      <c r="G12840">
        <v>135.62</v>
      </c>
      <c r="H12840">
        <v>250831</v>
      </c>
      <c r="I12840">
        <v>4571</v>
      </c>
      <c r="J12840" t="s">
        <v>223</v>
      </c>
      <c r="K12840">
        <v>5425</v>
      </c>
      <c r="L12840">
        <v>0</v>
      </c>
      <c r="M12840">
        <v>49803</v>
      </c>
      <c r="N12840" t="s">
        <v>956</v>
      </c>
      <c r="O12840">
        <v>250908</v>
      </c>
      <c r="P12840">
        <v>135.62</v>
      </c>
    </row>
    <row r="12841" spans="1:16" x14ac:dyDescent="0.25">
      <c r="A12841" t="s">
        <v>3296</v>
      </c>
      <c r="B12841" t="s">
        <v>2931</v>
      </c>
      <c r="C12841">
        <v>13255</v>
      </c>
      <c r="D12841" t="str">
        <f>"424114      "</f>
        <v xml:space="preserve">424114      </v>
      </c>
      <c r="E12841" t="s">
        <v>951</v>
      </c>
      <c r="F12841" t="s">
        <v>952</v>
      </c>
      <c r="G12841">
        <v>2671.57</v>
      </c>
      <c r="H12841">
        <v>250930</v>
      </c>
      <c r="I12841">
        <v>4571</v>
      </c>
      <c r="J12841" t="s">
        <v>223</v>
      </c>
      <c r="K12841">
        <v>2812.18</v>
      </c>
      <c r="L12841">
        <v>542.83000000000004</v>
      </c>
      <c r="M12841">
        <v>49501</v>
      </c>
      <c r="N12841" t="s">
        <v>110</v>
      </c>
      <c r="O12841">
        <v>251007</v>
      </c>
      <c r="P12841">
        <v>2128.7399999999998</v>
      </c>
    </row>
    <row r="12842" spans="1:16" x14ac:dyDescent="0.25">
      <c r="A12842" t="s">
        <v>3296</v>
      </c>
      <c r="B12842" t="s">
        <v>2931</v>
      </c>
      <c r="C12842">
        <v>13255</v>
      </c>
      <c r="D12842" t="str">
        <f>"424114      "</f>
        <v xml:space="preserve">424114      </v>
      </c>
      <c r="E12842" t="s">
        <v>951</v>
      </c>
      <c r="F12842" t="s">
        <v>952</v>
      </c>
      <c r="G12842">
        <v>140.61000000000001</v>
      </c>
      <c r="H12842">
        <v>250930</v>
      </c>
      <c r="I12842">
        <v>4571</v>
      </c>
      <c r="J12842" t="s">
        <v>223</v>
      </c>
      <c r="K12842">
        <v>2812.18</v>
      </c>
      <c r="L12842">
        <v>28.57</v>
      </c>
      <c r="M12842">
        <v>49801</v>
      </c>
      <c r="N12842" t="s">
        <v>953</v>
      </c>
      <c r="O12842">
        <v>251007</v>
      </c>
      <c r="P12842">
        <v>112.04</v>
      </c>
    </row>
    <row r="12843" spans="1:16" x14ac:dyDescent="0.25">
      <c r="A12843" t="s">
        <v>3296</v>
      </c>
      <c r="B12843" t="s">
        <v>2931</v>
      </c>
      <c r="C12843">
        <v>13256</v>
      </c>
      <c r="D12843" t="str">
        <f>"424113      "</f>
        <v xml:space="preserve">424113      </v>
      </c>
      <c r="E12843" t="s">
        <v>951</v>
      </c>
      <c r="F12843" t="s">
        <v>952</v>
      </c>
      <c r="G12843">
        <v>228.22</v>
      </c>
      <c r="H12843">
        <v>250930</v>
      </c>
      <c r="I12843">
        <v>4571</v>
      </c>
      <c r="J12843" t="s">
        <v>223</v>
      </c>
      <c r="K12843">
        <v>7607.26</v>
      </c>
      <c r="L12843">
        <v>46.37</v>
      </c>
      <c r="M12843">
        <v>49111</v>
      </c>
      <c r="N12843" t="s">
        <v>108</v>
      </c>
      <c r="O12843">
        <v>251007</v>
      </c>
      <c r="P12843">
        <v>181.85</v>
      </c>
    </row>
    <row r="12844" spans="1:16" x14ac:dyDescent="0.25">
      <c r="A12844" t="s">
        <v>3296</v>
      </c>
      <c r="B12844" t="s">
        <v>2931</v>
      </c>
      <c r="C12844">
        <v>13256</v>
      </c>
      <c r="D12844" t="str">
        <f>"424113      "</f>
        <v xml:space="preserve">424113      </v>
      </c>
      <c r="E12844" t="s">
        <v>951</v>
      </c>
      <c r="F12844" t="s">
        <v>952</v>
      </c>
      <c r="G12844">
        <v>7036.71</v>
      </c>
      <c r="H12844">
        <v>250930</v>
      </c>
      <c r="I12844">
        <v>4571</v>
      </c>
      <c r="J12844" t="s">
        <v>223</v>
      </c>
      <c r="K12844">
        <v>7607.26</v>
      </c>
      <c r="L12844">
        <v>1429.77</v>
      </c>
      <c r="M12844">
        <v>49501</v>
      </c>
      <c r="N12844" t="s">
        <v>110</v>
      </c>
      <c r="O12844">
        <v>251007</v>
      </c>
      <c r="P12844">
        <v>5606.94</v>
      </c>
    </row>
    <row r="12845" spans="1:16" x14ac:dyDescent="0.25">
      <c r="A12845" t="s">
        <v>3296</v>
      </c>
      <c r="B12845" t="s">
        <v>2931</v>
      </c>
      <c r="C12845">
        <v>13256</v>
      </c>
      <c r="D12845" t="str">
        <f>"424113      "</f>
        <v xml:space="preserve">424113      </v>
      </c>
      <c r="E12845" t="s">
        <v>951</v>
      </c>
      <c r="F12845" t="s">
        <v>952</v>
      </c>
      <c r="G12845">
        <v>228.22</v>
      </c>
      <c r="H12845">
        <v>250930</v>
      </c>
      <c r="I12845">
        <v>4571</v>
      </c>
      <c r="J12845" t="s">
        <v>223</v>
      </c>
      <c r="K12845">
        <v>7607.26</v>
      </c>
      <c r="L12845">
        <v>46.37</v>
      </c>
      <c r="M12845">
        <v>49801</v>
      </c>
      <c r="N12845" t="s">
        <v>953</v>
      </c>
      <c r="O12845">
        <v>251007</v>
      </c>
      <c r="P12845">
        <v>181.85</v>
      </c>
    </row>
    <row r="12846" spans="1:16" x14ac:dyDescent="0.25">
      <c r="A12846" t="s">
        <v>3296</v>
      </c>
      <c r="B12846" t="s">
        <v>2931</v>
      </c>
      <c r="C12846">
        <v>13256</v>
      </c>
      <c r="D12846" t="str">
        <f>"424113      "</f>
        <v xml:space="preserve">424113      </v>
      </c>
      <c r="E12846" t="s">
        <v>951</v>
      </c>
      <c r="F12846" t="s">
        <v>952</v>
      </c>
      <c r="G12846">
        <v>114.11</v>
      </c>
      <c r="H12846">
        <v>250930</v>
      </c>
      <c r="I12846">
        <v>4571</v>
      </c>
      <c r="J12846" t="s">
        <v>223</v>
      </c>
      <c r="K12846">
        <v>7607.26</v>
      </c>
      <c r="L12846">
        <v>0</v>
      </c>
      <c r="M12846">
        <v>49803</v>
      </c>
      <c r="N12846" t="s">
        <v>956</v>
      </c>
      <c r="O12846">
        <v>251007</v>
      </c>
      <c r="P12846">
        <v>114.11</v>
      </c>
    </row>
    <row r="12847" spans="1:16" x14ac:dyDescent="0.25">
      <c r="A12847" t="s">
        <v>3296</v>
      </c>
      <c r="B12847" t="s">
        <v>2931</v>
      </c>
      <c r="C12847">
        <v>14719</v>
      </c>
      <c r="D12847" t="str">
        <f>"424428      "</f>
        <v xml:space="preserve">424428      </v>
      </c>
      <c r="E12847" t="s">
        <v>951</v>
      </c>
      <c r="F12847" t="s">
        <v>952</v>
      </c>
      <c r="G12847">
        <v>5758.03</v>
      </c>
      <c r="H12847">
        <v>251031</v>
      </c>
      <c r="I12847">
        <v>4571</v>
      </c>
      <c r="J12847" t="s">
        <v>223</v>
      </c>
      <c r="K12847">
        <v>6061.08</v>
      </c>
      <c r="L12847">
        <v>1169.96</v>
      </c>
      <c r="M12847">
        <v>49501</v>
      </c>
      <c r="N12847" t="s">
        <v>110</v>
      </c>
      <c r="O12847">
        <v>251106</v>
      </c>
      <c r="P12847">
        <v>4588.07</v>
      </c>
    </row>
    <row r="12848" spans="1:16" x14ac:dyDescent="0.25">
      <c r="A12848" t="s">
        <v>3296</v>
      </c>
      <c r="B12848" t="s">
        <v>2931</v>
      </c>
      <c r="C12848">
        <v>14719</v>
      </c>
      <c r="D12848" t="str">
        <f>"424428      "</f>
        <v xml:space="preserve">424428      </v>
      </c>
      <c r="E12848" t="s">
        <v>951</v>
      </c>
      <c r="F12848" t="s">
        <v>952</v>
      </c>
      <c r="G12848">
        <v>303.05</v>
      </c>
      <c r="H12848">
        <v>251031</v>
      </c>
      <c r="I12848">
        <v>4571</v>
      </c>
      <c r="J12848" t="s">
        <v>223</v>
      </c>
      <c r="K12848">
        <v>6061.08</v>
      </c>
      <c r="L12848">
        <v>61.58</v>
      </c>
      <c r="M12848">
        <v>49801</v>
      </c>
      <c r="N12848" t="s">
        <v>953</v>
      </c>
      <c r="O12848">
        <v>251106</v>
      </c>
      <c r="P12848">
        <v>241.47</v>
      </c>
    </row>
    <row r="12849" spans="1:16" x14ac:dyDescent="0.25">
      <c r="A12849" t="s">
        <v>3296</v>
      </c>
      <c r="B12849" t="s">
        <v>2931</v>
      </c>
      <c r="C12849">
        <v>14723</v>
      </c>
      <c r="D12849" t="str">
        <f>"424427      "</f>
        <v xml:space="preserve">424427      </v>
      </c>
      <c r="E12849" t="s">
        <v>951</v>
      </c>
      <c r="F12849" t="s">
        <v>952</v>
      </c>
      <c r="G12849">
        <v>481.53</v>
      </c>
      <c r="H12849">
        <v>251031</v>
      </c>
      <c r="I12849">
        <v>4571</v>
      </c>
      <c r="J12849" t="s">
        <v>223</v>
      </c>
      <c r="K12849">
        <v>16050.87</v>
      </c>
      <c r="L12849">
        <v>97.84</v>
      </c>
      <c r="M12849">
        <v>49111</v>
      </c>
      <c r="N12849" t="s">
        <v>108</v>
      </c>
      <c r="O12849">
        <v>251106</v>
      </c>
      <c r="P12849">
        <v>383.69</v>
      </c>
    </row>
    <row r="12850" spans="1:16" x14ac:dyDescent="0.25">
      <c r="A12850" t="s">
        <v>3296</v>
      </c>
      <c r="B12850" t="s">
        <v>2931</v>
      </c>
      <c r="C12850">
        <v>14723</v>
      </c>
      <c r="D12850" t="str">
        <f>"424427      "</f>
        <v xml:space="preserve">424427      </v>
      </c>
      <c r="E12850" t="s">
        <v>951</v>
      </c>
      <c r="F12850" t="s">
        <v>952</v>
      </c>
      <c r="G12850">
        <v>14847.05</v>
      </c>
      <c r="H12850">
        <v>251031</v>
      </c>
      <c r="I12850">
        <v>4571</v>
      </c>
      <c r="J12850" t="s">
        <v>223</v>
      </c>
      <c r="K12850">
        <v>16050.87</v>
      </c>
      <c r="L12850">
        <v>3016.73</v>
      </c>
      <c r="M12850">
        <v>49501</v>
      </c>
      <c r="N12850" t="s">
        <v>110</v>
      </c>
      <c r="O12850">
        <v>251106</v>
      </c>
      <c r="P12850">
        <v>11830.32</v>
      </c>
    </row>
    <row r="12851" spans="1:16" x14ac:dyDescent="0.25">
      <c r="A12851" t="s">
        <v>3296</v>
      </c>
      <c r="B12851" t="s">
        <v>2931</v>
      </c>
      <c r="C12851">
        <v>14723</v>
      </c>
      <c r="D12851" t="str">
        <f>"424427      "</f>
        <v xml:space="preserve">424427      </v>
      </c>
      <c r="E12851" t="s">
        <v>951</v>
      </c>
      <c r="F12851" t="s">
        <v>952</v>
      </c>
      <c r="G12851">
        <v>481.53</v>
      </c>
      <c r="H12851">
        <v>251031</v>
      </c>
      <c r="I12851">
        <v>4571</v>
      </c>
      <c r="J12851" t="s">
        <v>223</v>
      </c>
      <c r="K12851">
        <v>16050.87</v>
      </c>
      <c r="L12851">
        <v>97.84</v>
      </c>
      <c r="M12851">
        <v>49801</v>
      </c>
      <c r="N12851" t="s">
        <v>953</v>
      </c>
      <c r="O12851">
        <v>251106</v>
      </c>
      <c r="P12851">
        <v>383.69</v>
      </c>
    </row>
    <row r="12852" spans="1:16" x14ac:dyDescent="0.25">
      <c r="A12852" t="s">
        <v>3296</v>
      </c>
      <c r="B12852" t="s">
        <v>2931</v>
      </c>
      <c r="C12852">
        <v>14723</v>
      </c>
      <c r="D12852" t="str">
        <f>"424427      "</f>
        <v xml:space="preserve">424427      </v>
      </c>
      <c r="E12852" t="s">
        <v>951</v>
      </c>
      <c r="F12852" t="s">
        <v>952</v>
      </c>
      <c r="G12852">
        <v>240.76</v>
      </c>
      <c r="H12852">
        <v>251031</v>
      </c>
      <c r="I12852">
        <v>4571</v>
      </c>
      <c r="J12852" t="s">
        <v>223</v>
      </c>
      <c r="K12852">
        <v>16050.87</v>
      </c>
      <c r="L12852">
        <v>0</v>
      </c>
      <c r="M12852">
        <v>49803</v>
      </c>
      <c r="N12852" t="s">
        <v>956</v>
      </c>
      <c r="O12852">
        <v>251106</v>
      </c>
      <c r="P12852">
        <v>240.76</v>
      </c>
    </row>
    <row r="12853" spans="1:16" x14ac:dyDescent="0.25">
      <c r="A12853" t="s">
        <v>3296</v>
      </c>
      <c r="B12853" t="s">
        <v>2931</v>
      </c>
      <c r="C12853">
        <v>17103</v>
      </c>
      <c r="D12853" t="str">
        <f>"424493      "</f>
        <v xml:space="preserve">424493      </v>
      </c>
      <c r="E12853" t="s">
        <v>951</v>
      </c>
      <c r="F12853" t="s">
        <v>952</v>
      </c>
      <c r="G12853">
        <v>7016.76</v>
      </c>
      <c r="H12853">
        <v>251130</v>
      </c>
      <c r="I12853">
        <v>4571</v>
      </c>
      <c r="J12853" t="s">
        <v>223</v>
      </c>
      <c r="K12853">
        <v>7386.06</v>
      </c>
      <c r="L12853">
        <v>1425.72</v>
      </c>
      <c r="M12853">
        <v>49501</v>
      </c>
      <c r="N12853" t="s">
        <v>110</v>
      </c>
      <c r="O12853">
        <v>251217</v>
      </c>
      <c r="P12853">
        <v>5591.04</v>
      </c>
    </row>
    <row r="12854" spans="1:16" x14ac:dyDescent="0.25">
      <c r="A12854" t="s">
        <v>3296</v>
      </c>
      <c r="B12854" t="s">
        <v>2931</v>
      </c>
      <c r="C12854">
        <v>17103</v>
      </c>
      <c r="D12854" t="str">
        <f>"424493      "</f>
        <v xml:space="preserve">424493      </v>
      </c>
      <c r="E12854" t="s">
        <v>951</v>
      </c>
      <c r="F12854" t="s">
        <v>952</v>
      </c>
      <c r="G12854">
        <v>369.3</v>
      </c>
      <c r="H12854">
        <v>251130</v>
      </c>
      <c r="I12854">
        <v>4571</v>
      </c>
      <c r="J12854" t="s">
        <v>223</v>
      </c>
      <c r="K12854">
        <v>7386.06</v>
      </c>
      <c r="L12854">
        <v>75.040000000000006</v>
      </c>
      <c r="M12854">
        <v>49801</v>
      </c>
      <c r="N12854" t="s">
        <v>953</v>
      </c>
      <c r="O12854">
        <v>251217</v>
      </c>
      <c r="P12854">
        <v>294.26</v>
      </c>
    </row>
    <row r="12855" spans="1:16" x14ac:dyDescent="0.25">
      <c r="A12855" t="s">
        <v>3296</v>
      </c>
      <c r="B12855" t="s">
        <v>2931</v>
      </c>
      <c r="C12855">
        <v>17107</v>
      </c>
      <c r="D12855" t="str">
        <f>"424492      "</f>
        <v xml:space="preserve">424492      </v>
      </c>
      <c r="E12855" t="s">
        <v>951</v>
      </c>
      <c r="F12855" t="s">
        <v>952</v>
      </c>
      <c r="G12855">
        <v>607.80999999999995</v>
      </c>
      <c r="H12855">
        <v>251130</v>
      </c>
      <c r="I12855">
        <v>4571</v>
      </c>
      <c r="J12855" t="s">
        <v>223</v>
      </c>
      <c r="K12855">
        <v>20260.18</v>
      </c>
      <c r="L12855">
        <v>123.5</v>
      </c>
      <c r="M12855">
        <v>49111</v>
      </c>
      <c r="N12855" t="s">
        <v>108</v>
      </c>
      <c r="O12855">
        <v>251217</v>
      </c>
      <c r="P12855">
        <v>484.31</v>
      </c>
    </row>
    <row r="12856" spans="1:16" x14ac:dyDescent="0.25">
      <c r="A12856" t="s">
        <v>3296</v>
      </c>
      <c r="B12856" t="s">
        <v>2931</v>
      </c>
      <c r="C12856">
        <v>17107</v>
      </c>
      <c r="D12856" t="str">
        <f>"424492      "</f>
        <v xml:space="preserve">424492      </v>
      </c>
      <c r="E12856" t="s">
        <v>951</v>
      </c>
      <c r="F12856" t="s">
        <v>952</v>
      </c>
      <c r="G12856">
        <v>18740.66</v>
      </c>
      <c r="H12856">
        <v>251130</v>
      </c>
      <c r="I12856">
        <v>4571</v>
      </c>
      <c r="J12856" t="s">
        <v>223</v>
      </c>
      <c r="K12856">
        <v>20260.18</v>
      </c>
      <c r="L12856">
        <v>3807.86</v>
      </c>
      <c r="M12856">
        <v>49501</v>
      </c>
      <c r="N12856" t="s">
        <v>110</v>
      </c>
      <c r="O12856">
        <v>251217</v>
      </c>
      <c r="P12856">
        <v>14932.8</v>
      </c>
    </row>
    <row r="12857" spans="1:16" x14ac:dyDescent="0.25">
      <c r="A12857" t="s">
        <v>3296</v>
      </c>
      <c r="B12857" t="s">
        <v>2931</v>
      </c>
      <c r="C12857">
        <v>17107</v>
      </c>
      <c r="D12857" t="str">
        <f>"424492      "</f>
        <v xml:space="preserve">424492      </v>
      </c>
      <c r="E12857" t="s">
        <v>951</v>
      </c>
      <c r="F12857" t="s">
        <v>952</v>
      </c>
      <c r="G12857">
        <v>607.80999999999995</v>
      </c>
      <c r="H12857">
        <v>251130</v>
      </c>
      <c r="I12857">
        <v>4571</v>
      </c>
      <c r="J12857" t="s">
        <v>223</v>
      </c>
      <c r="K12857">
        <v>20260.18</v>
      </c>
      <c r="L12857">
        <v>123.5</v>
      </c>
      <c r="M12857">
        <v>49801</v>
      </c>
      <c r="N12857" t="s">
        <v>953</v>
      </c>
      <c r="O12857">
        <v>251217</v>
      </c>
      <c r="P12857">
        <v>484.31</v>
      </c>
    </row>
    <row r="12858" spans="1:16" x14ac:dyDescent="0.25">
      <c r="A12858" t="s">
        <v>3296</v>
      </c>
      <c r="B12858" t="s">
        <v>2931</v>
      </c>
      <c r="C12858">
        <v>17107</v>
      </c>
      <c r="D12858" t="str">
        <f>"424492      "</f>
        <v xml:space="preserve">424492      </v>
      </c>
      <c r="E12858" t="s">
        <v>951</v>
      </c>
      <c r="F12858" t="s">
        <v>952</v>
      </c>
      <c r="G12858">
        <v>303.89999999999998</v>
      </c>
      <c r="H12858">
        <v>251130</v>
      </c>
      <c r="I12858">
        <v>4571</v>
      </c>
      <c r="J12858" t="s">
        <v>223</v>
      </c>
      <c r="K12858">
        <v>20260.18</v>
      </c>
      <c r="L12858">
        <v>0</v>
      </c>
      <c r="M12858">
        <v>49803</v>
      </c>
      <c r="N12858" t="s">
        <v>956</v>
      </c>
      <c r="O12858">
        <v>251217</v>
      </c>
      <c r="P12858">
        <v>303.89999999999998</v>
      </c>
    </row>
    <row r="12859" spans="1:16" x14ac:dyDescent="0.25">
      <c r="A12859" t="s">
        <v>3296</v>
      </c>
      <c r="B12859" t="s">
        <v>2931</v>
      </c>
      <c r="C12859">
        <v>18066</v>
      </c>
      <c r="D12859" t="str">
        <f>"424681      "</f>
        <v xml:space="preserve">424681      </v>
      </c>
      <c r="E12859" t="s">
        <v>951</v>
      </c>
      <c r="F12859" t="s">
        <v>952</v>
      </c>
      <c r="G12859">
        <v>683.12</v>
      </c>
      <c r="H12859">
        <v>251231</v>
      </c>
      <c r="I12859">
        <v>4571</v>
      </c>
      <c r="J12859" t="s">
        <v>223</v>
      </c>
      <c r="K12859">
        <v>22770.560000000001</v>
      </c>
      <c r="L12859">
        <v>138.80000000000001</v>
      </c>
      <c r="M12859">
        <v>49111</v>
      </c>
      <c r="N12859" t="s">
        <v>108</v>
      </c>
      <c r="O12859">
        <v>260108</v>
      </c>
      <c r="P12859">
        <v>544.32000000000005</v>
      </c>
    </row>
    <row r="12860" spans="1:16" x14ac:dyDescent="0.25">
      <c r="A12860" t="s">
        <v>3296</v>
      </c>
      <c r="B12860" t="s">
        <v>2931</v>
      </c>
      <c r="C12860">
        <v>18066</v>
      </c>
      <c r="D12860" t="str">
        <f>"424681      "</f>
        <v xml:space="preserve">424681      </v>
      </c>
      <c r="E12860" t="s">
        <v>951</v>
      </c>
      <c r="F12860" t="s">
        <v>952</v>
      </c>
      <c r="G12860">
        <v>21062.76</v>
      </c>
      <c r="H12860">
        <v>251231</v>
      </c>
      <c r="I12860">
        <v>4571</v>
      </c>
      <c r="J12860" t="s">
        <v>223</v>
      </c>
      <c r="K12860">
        <v>22770.560000000001</v>
      </c>
      <c r="L12860">
        <v>4279.68</v>
      </c>
      <c r="M12860">
        <v>49501</v>
      </c>
      <c r="N12860" t="s">
        <v>110</v>
      </c>
      <c r="O12860">
        <v>260108</v>
      </c>
      <c r="P12860">
        <v>16783.080000000002</v>
      </c>
    </row>
    <row r="12861" spans="1:16" x14ac:dyDescent="0.25">
      <c r="A12861" t="s">
        <v>3296</v>
      </c>
      <c r="B12861" t="s">
        <v>2931</v>
      </c>
      <c r="C12861">
        <v>18066</v>
      </c>
      <c r="D12861" t="str">
        <f>"424681      "</f>
        <v xml:space="preserve">424681      </v>
      </c>
      <c r="E12861" t="s">
        <v>951</v>
      </c>
      <c r="F12861" t="s">
        <v>952</v>
      </c>
      <c r="G12861">
        <v>683.12</v>
      </c>
      <c r="H12861">
        <v>251231</v>
      </c>
      <c r="I12861">
        <v>4571</v>
      </c>
      <c r="J12861" t="s">
        <v>223</v>
      </c>
      <c r="K12861">
        <v>22770.560000000001</v>
      </c>
      <c r="L12861">
        <v>138.80000000000001</v>
      </c>
      <c r="M12861">
        <v>49801</v>
      </c>
      <c r="N12861" t="s">
        <v>953</v>
      </c>
      <c r="O12861">
        <v>260108</v>
      </c>
      <c r="P12861">
        <v>544.32000000000005</v>
      </c>
    </row>
    <row r="12862" spans="1:16" x14ac:dyDescent="0.25">
      <c r="A12862" t="s">
        <v>3296</v>
      </c>
      <c r="B12862" t="s">
        <v>2931</v>
      </c>
      <c r="C12862">
        <v>18066</v>
      </c>
      <c r="D12862" t="str">
        <f>"424681      "</f>
        <v xml:space="preserve">424681      </v>
      </c>
      <c r="E12862" t="s">
        <v>951</v>
      </c>
      <c r="F12862" t="s">
        <v>952</v>
      </c>
      <c r="G12862">
        <v>341.56</v>
      </c>
      <c r="H12862">
        <v>251231</v>
      </c>
      <c r="I12862">
        <v>4571</v>
      </c>
      <c r="J12862" t="s">
        <v>223</v>
      </c>
      <c r="K12862">
        <v>22770.560000000001</v>
      </c>
      <c r="L12862">
        <v>0</v>
      </c>
      <c r="M12862">
        <v>49803</v>
      </c>
      <c r="N12862" t="s">
        <v>956</v>
      </c>
      <c r="O12862">
        <v>260108</v>
      </c>
      <c r="P12862">
        <v>341.56</v>
      </c>
    </row>
    <row r="12863" spans="1:16" x14ac:dyDescent="0.25">
      <c r="A12863" t="s">
        <v>3296</v>
      </c>
      <c r="B12863" t="s">
        <v>2931</v>
      </c>
      <c r="C12863">
        <v>18092</v>
      </c>
      <c r="D12863" t="str">
        <f>"424682      "</f>
        <v xml:space="preserve">424682      </v>
      </c>
      <c r="E12863" t="s">
        <v>951</v>
      </c>
      <c r="F12863" t="s">
        <v>952</v>
      </c>
      <c r="G12863">
        <v>7279.98</v>
      </c>
      <c r="H12863">
        <v>251231</v>
      </c>
      <c r="I12863">
        <v>4571</v>
      </c>
      <c r="J12863" t="s">
        <v>223</v>
      </c>
      <c r="K12863">
        <v>7663.14</v>
      </c>
      <c r="L12863">
        <v>1479.2</v>
      </c>
      <c r="M12863">
        <v>49501</v>
      </c>
      <c r="N12863" t="s">
        <v>110</v>
      </c>
      <c r="O12863">
        <v>260109</v>
      </c>
      <c r="P12863">
        <v>5800.78</v>
      </c>
    </row>
    <row r="12864" spans="1:16" x14ac:dyDescent="0.25">
      <c r="A12864" t="s">
        <v>3296</v>
      </c>
      <c r="B12864" t="s">
        <v>2931</v>
      </c>
      <c r="C12864">
        <v>18092</v>
      </c>
      <c r="D12864" t="str">
        <f>"424682      "</f>
        <v xml:space="preserve">424682      </v>
      </c>
      <c r="E12864" t="s">
        <v>951</v>
      </c>
      <c r="F12864" t="s">
        <v>952</v>
      </c>
      <c r="G12864">
        <v>383.16</v>
      </c>
      <c r="H12864">
        <v>251231</v>
      </c>
      <c r="I12864">
        <v>4571</v>
      </c>
      <c r="J12864" t="s">
        <v>223</v>
      </c>
      <c r="K12864">
        <v>7663.14</v>
      </c>
      <c r="L12864">
        <v>77.849999999999994</v>
      </c>
      <c r="M12864">
        <v>49801</v>
      </c>
      <c r="N12864" t="s">
        <v>953</v>
      </c>
      <c r="O12864">
        <v>260109</v>
      </c>
      <c r="P12864">
        <v>305.31</v>
      </c>
    </row>
    <row r="12865" spans="1:16" x14ac:dyDescent="0.25">
      <c r="A12865" t="s">
        <v>3296</v>
      </c>
      <c r="B12865" t="s">
        <v>2931</v>
      </c>
      <c r="C12865">
        <v>4644</v>
      </c>
      <c r="D12865" t="str">
        <f>"179915      "</f>
        <v xml:space="preserve">179915      </v>
      </c>
      <c r="E12865" t="s">
        <v>951</v>
      </c>
      <c r="F12865" t="s">
        <v>952</v>
      </c>
      <c r="G12865">
        <v>1066.3</v>
      </c>
      <c r="H12865">
        <v>250331</v>
      </c>
      <c r="I12865">
        <v>4573</v>
      </c>
      <c r="J12865" t="s">
        <v>646</v>
      </c>
      <c r="K12865">
        <v>1122.42</v>
      </c>
      <c r="L12865">
        <v>216.66</v>
      </c>
      <c r="M12865">
        <v>49501</v>
      </c>
      <c r="N12865" t="s">
        <v>110</v>
      </c>
      <c r="O12865">
        <v>250414</v>
      </c>
      <c r="P12865">
        <v>849.64</v>
      </c>
    </row>
    <row r="12866" spans="1:16" x14ac:dyDescent="0.25">
      <c r="A12866" t="s">
        <v>3296</v>
      </c>
      <c r="B12866" t="s">
        <v>2931</v>
      </c>
      <c r="C12866">
        <v>4644</v>
      </c>
      <c r="D12866" t="str">
        <f>"179915      "</f>
        <v xml:space="preserve">179915      </v>
      </c>
      <c r="E12866" t="s">
        <v>951</v>
      </c>
      <c r="F12866" t="s">
        <v>952</v>
      </c>
      <c r="G12866">
        <v>56.12</v>
      </c>
      <c r="H12866">
        <v>250331</v>
      </c>
      <c r="I12866">
        <v>4573</v>
      </c>
      <c r="J12866" t="s">
        <v>646</v>
      </c>
      <c r="K12866">
        <v>1122.42</v>
      </c>
      <c r="L12866">
        <v>11.4</v>
      </c>
      <c r="M12866">
        <v>49801</v>
      </c>
      <c r="N12866" t="s">
        <v>953</v>
      </c>
      <c r="O12866">
        <v>250414</v>
      </c>
      <c r="P12866">
        <v>44.72</v>
      </c>
    </row>
    <row r="12867" spans="1:16" x14ac:dyDescent="0.25">
      <c r="A12867" t="s">
        <v>3296</v>
      </c>
      <c r="B12867" t="s">
        <v>2931</v>
      </c>
      <c r="C12867">
        <v>4658</v>
      </c>
      <c r="D12867" t="str">
        <f>"179867      "</f>
        <v xml:space="preserve">179867      </v>
      </c>
      <c r="E12867" t="s">
        <v>951</v>
      </c>
      <c r="F12867" t="s">
        <v>952</v>
      </c>
      <c r="G12867">
        <v>128.96</v>
      </c>
      <c r="H12867">
        <v>250331</v>
      </c>
      <c r="I12867">
        <v>4573</v>
      </c>
      <c r="J12867" t="s">
        <v>646</v>
      </c>
      <c r="K12867">
        <v>4298.8100000000004</v>
      </c>
      <c r="L12867">
        <v>26.2</v>
      </c>
      <c r="M12867">
        <v>49111</v>
      </c>
      <c r="N12867" t="s">
        <v>108</v>
      </c>
      <c r="O12867">
        <v>250414</v>
      </c>
      <c r="P12867">
        <v>102.76</v>
      </c>
    </row>
    <row r="12868" spans="1:16" x14ac:dyDescent="0.25">
      <c r="A12868" t="s">
        <v>3296</v>
      </c>
      <c r="B12868" t="s">
        <v>2931</v>
      </c>
      <c r="C12868">
        <v>4658</v>
      </c>
      <c r="D12868" t="str">
        <f>"179867      "</f>
        <v xml:space="preserve">179867      </v>
      </c>
      <c r="E12868" t="s">
        <v>951</v>
      </c>
      <c r="F12868" t="s">
        <v>952</v>
      </c>
      <c r="G12868">
        <v>3976.4</v>
      </c>
      <c r="H12868">
        <v>250331</v>
      </c>
      <c r="I12868">
        <v>4573</v>
      </c>
      <c r="J12868" t="s">
        <v>646</v>
      </c>
      <c r="K12868">
        <v>4298.8100000000004</v>
      </c>
      <c r="L12868">
        <v>807.95</v>
      </c>
      <c r="M12868">
        <v>49501</v>
      </c>
      <c r="N12868" t="s">
        <v>110</v>
      </c>
      <c r="O12868">
        <v>250414</v>
      </c>
      <c r="P12868">
        <v>3168.45</v>
      </c>
    </row>
    <row r="12869" spans="1:16" x14ac:dyDescent="0.25">
      <c r="A12869" t="s">
        <v>3296</v>
      </c>
      <c r="B12869" t="s">
        <v>2931</v>
      </c>
      <c r="C12869">
        <v>4658</v>
      </c>
      <c r="D12869" t="str">
        <f>"179867      "</f>
        <v xml:space="preserve">179867      </v>
      </c>
      <c r="E12869" t="s">
        <v>951</v>
      </c>
      <c r="F12869" t="s">
        <v>952</v>
      </c>
      <c r="G12869">
        <v>85.98</v>
      </c>
      <c r="H12869">
        <v>250331</v>
      </c>
      <c r="I12869">
        <v>4573</v>
      </c>
      <c r="J12869" t="s">
        <v>646</v>
      </c>
      <c r="K12869">
        <v>4298.8100000000004</v>
      </c>
      <c r="L12869">
        <v>17.47</v>
      </c>
      <c r="M12869">
        <v>49801</v>
      </c>
      <c r="N12869" t="s">
        <v>953</v>
      </c>
      <c r="O12869">
        <v>250414</v>
      </c>
      <c r="P12869">
        <v>68.510000000000005</v>
      </c>
    </row>
    <row r="12870" spans="1:16" x14ac:dyDescent="0.25">
      <c r="A12870" t="s">
        <v>3296</v>
      </c>
      <c r="B12870" t="s">
        <v>2931</v>
      </c>
      <c r="C12870">
        <v>4658</v>
      </c>
      <c r="D12870" t="str">
        <f>"179867      "</f>
        <v xml:space="preserve">179867      </v>
      </c>
      <c r="E12870" t="s">
        <v>951</v>
      </c>
      <c r="F12870" t="s">
        <v>952</v>
      </c>
      <c r="G12870">
        <v>107.47</v>
      </c>
      <c r="H12870">
        <v>250331</v>
      </c>
      <c r="I12870">
        <v>4573</v>
      </c>
      <c r="J12870" t="s">
        <v>646</v>
      </c>
      <c r="K12870">
        <v>4298.8100000000004</v>
      </c>
      <c r="L12870">
        <v>0</v>
      </c>
      <c r="M12870">
        <v>49803</v>
      </c>
      <c r="N12870" t="s">
        <v>956</v>
      </c>
      <c r="O12870">
        <v>250414</v>
      </c>
      <c r="P12870">
        <v>107.47</v>
      </c>
    </row>
    <row r="12871" spans="1:16" x14ac:dyDescent="0.25">
      <c r="A12871" t="s">
        <v>3296</v>
      </c>
      <c r="B12871" t="s">
        <v>2931</v>
      </c>
      <c r="C12871">
        <v>4683</v>
      </c>
      <c r="D12871" t="str">
        <f>"179977      "</f>
        <v xml:space="preserve">179977      </v>
      </c>
      <c r="E12871" t="s">
        <v>951</v>
      </c>
      <c r="F12871" t="s">
        <v>952</v>
      </c>
      <c r="G12871">
        <v>427.34</v>
      </c>
      <c r="H12871">
        <v>250331</v>
      </c>
      <c r="I12871">
        <v>4573</v>
      </c>
      <c r="J12871" t="s">
        <v>646</v>
      </c>
      <c r="K12871">
        <v>427.34</v>
      </c>
      <c r="L12871">
        <v>86.83</v>
      </c>
      <c r="M12871">
        <v>49503</v>
      </c>
      <c r="N12871" t="s">
        <v>267</v>
      </c>
      <c r="O12871">
        <v>250414</v>
      </c>
      <c r="P12871">
        <v>340.51</v>
      </c>
    </row>
    <row r="12872" spans="1:16" x14ac:dyDescent="0.25">
      <c r="A12872" t="s">
        <v>3296</v>
      </c>
      <c r="B12872" t="s">
        <v>2931</v>
      </c>
      <c r="C12872">
        <v>4688</v>
      </c>
      <c r="D12872" t="str">
        <f>"179926      "</f>
        <v xml:space="preserve">179926      </v>
      </c>
      <c r="E12872" t="s">
        <v>951</v>
      </c>
      <c r="F12872" t="s">
        <v>952</v>
      </c>
      <c r="G12872">
        <v>448.69</v>
      </c>
      <c r="H12872">
        <v>250331</v>
      </c>
      <c r="I12872">
        <v>4573</v>
      </c>
      <c r="J12872" t="s">
        <v>646</v>
      </c>
      <c r="K12872">
        <v>448.69</v>
      </c>
      <c r="L12872">
        <v>91.17</v>
      </c>
      <c r="M12872">
        <v>49501</v>
      </c>
      <c r="N12872" t="s">
        <v>110</v>
      </c>
      <c r="O12872">
        <v>250414</v>
      </c>
      <c r="P12872">
        <v>357.52</v>
      </c>
    </row>
    <row r="12873" spans="1:16" x14ac:dyDescent="0.25">
      <c r="A12873" t="s">
        <v>3296</v>
      </c>
      <c r="B12873" t="s">
        <v>2931</v>
      </c>
      <c r="C12873">
        <v>4689</v>
      </c>
      <c r="D12873" t="str">
        <f>"179914      "</f>
        <v xml:space="preserve">179914      </v>
      </c>
      <c r="E12873" t="s">
        <v>951</v>
      </c>
      <c r="F12873" t="s">
        <v>952</v>
      </c>
      <c r="G12873">
        <v>80.28</v>
      </c>
      <c r="H12873">
        <v>250331</v>
      </c>
      <c r="I12873">
        <v>4573</v>
      </c>
      <c r="J12873" t="s">
        <v>646</v>
      </c>
      <c r="K12873">
        <v>2676.02</v>
      </c>
      <c r="L12873">
        <v>16.309999999999999</v>
      </c>
      <c r="M12873">
        <v>49111</v>
      </c>
      <c r="N12873" t="s">
        <v>108</v>
      </c>
      <c r="O12873">
        <v>250414</v>
      </c>
      <c r="P12873">
        <v>63.97</v>
      </c>
    </row>
    <row r="12874" spans="1:16" x14ac:dyDescent="0.25">
      <c r="A12874" t="s">
        <v>3296</v>
      </c>
      <c r="B12874" t="s">
        <v>2931</v>
      </c>
      <c r="C12874">
        <v>4689</v>
      </c>
      <c r="D12874" t="str">
        <f>"179914      "</f>
        <v xml:space="preserve">179914      </v>
      </c>
      <c r="E12874" t="s">
        <v>951</v>
      </c>
      <c r="F12874" t="s">
        <v>952</v>
      </c>
      <c r="G12874">
        <v>2475.3200000000002</v>
      </c>
      <c r="H12874">
        <v>250331</v>
      </c>
      <c r="I12874">
        <v>4573</v>
      </c>
      <c r="J12874" t="s">
        <v>646</v>
      </c>
      <c r="K12874">
        <v>2676.02</v>
      </c>
      <c r="L12874">
        <v>502.95</v>
      </c>
      <c r="M12874">
        <v>49501</v>
      </c>
      <c r="N12874" t="s">
        <v>110</v>
      </c>
      <c r="O12874">
        <v>250414</v>
      </c>
      <c r="P12874">
        <v>1972.37</v>
      </c>
    </row>
    <row r="12875" spans="1:16" x14ac:dyDescent="0.25">
      <c r="A12875" t="s">
        <v>3296</v>
      </c>
      <c r="B12875" t="s">
        <v>2931</v>
      </c>
      <c r="C12875">
        <v>4689</v>
      </c>
      <c r="D12875" t="str">
        <f>"179914      "</f>
        <v xml:space="preserve">179914      </v>
      </c>
      <c r="E12875" t="s">
        <v>951</v>
      </c>
      <c r="F12875" t="s">
        <v>952</v>
      </c>
      <c r="G12875">
        <v>53.52</v>
      </c>
      <c r="H12875">
        <v>250331</v>
      </c>
      <c r="I12875">
        <v>4573</v>
      </c>
      <c r="J12875" t="s">
        <v>646</v>
      </c>
      <c r="K12875">
        <v>2676.02</v>
      </c>
      <c r="L12875">
        <v>10.87</v>
      </c>
      <c r="M12875">
        <v>49801</v>
      </c>
      <c r="N12875" t="s">
        <v>953</v>
      </c>
      <c r="O12875">
        <v>250414</v>
      </c>
      <c r="P12875">
        <v>42.65</v>
      </c>
    </row>
    <row r="12876" spans="1:16" x14ac:dyDescent="0.25">
      <c r="A12876" t="s">
        <v>3296</v>
      </c>
      <c r="B12876" t="s">
        <v>2931</v>
      </c>
      <c r="C12876">
        <v>4689</v>
      </c>
      <c r="D12876" t="str">
        <f>"179914      "</f>
        <v xml:space="preserve">179914      </v>
      </c>
      <c r="E12876" t="s">
        <v>951</v>
      </c>
      <c r="F12876" t="s">
        <v>952</v>
      </c>
      <c r="G12876">
        <v>66.900000000000006</v>
      </c>
      <c r="H12876">
        <v>250331</v>
      </c>
      <c r="I12876">
        <v>4573</v>
      </c>
      <c r="J12876" t="s">
        <v>646</v>
      </c>
      <c r="K12876">
        <v>2676.02</v>
      </c>
      <c r="L12876">
        <v>0</v>
      </c>
      <c r="M12876">
        <v>49803</v>
      </c>
      <c r="N12876" t="s">
        <v>956</v>
      </c>
      <c r="O12876">
        <v>250414</v>
      </c>
      <c r="P12876">
        <v>66.900000000000006</v>
      </c>
    </row>
    <row r="12877" spans="1:16" x14ac:dyDescent="0.25">
      <c r="A12877" t="s">
        <v>3296</v>
      </c>
      <c r="B12877" t="s">
        <v>2931</v>
      </c>
      <c r="C12877">
        <v>9407</v>
      </c>
      <c r="D12877" t="str">
        <f>"185337      "</f>
        <v xml:space="preserve">185337      </v>
      </c>
      <c r="E12877" t="s">
        <v>951</v>
      </c>
      <c r="F12877" t="s">
        <v>952</v>
      </c>
      <c r="G12877">
        <v>399.56</v>
      </c>
      <c r="H12877">
        <v>250630</v>
      </c>
      <c r="I12877">
        <v>4573</v>
      </c>
      <c r="J12877" t="s">
        <v>646</v>
      </c>
      <c r="K12877">
        <v>399.56</v>
      </c>
      <c r="L12877">
        <v>81.19</v>
      </c>
      <c r="M12877">
        <v>49503</v>
      </c>
      <c r="N12877" t="s">
        <v>267</v>
      </c>
      <c r="O12877">
        <v>250707</v>
      </c>
      <c r="P12877">
        <v>318.37</v>
      </c>
    </row>
    <row r="12878" spans="1:16" x14ac:dyDescent="0.25">
      <c r="A12878" t="s">
        <v>3296</v>
      </c>
      <c r="B12878" t="s">
        <v>2931</v>
      </c>
      <c r="C12878">
        <v>9408</v>
      </c>
      <c r="D12878" t="str">
        <f>"185287      "</f>
        <v xml:space="preserve">185287      </v>
      </c>
      <c r="E12878" t="s">
        <v>951</v>
      </c>
      <c r="F12878" t="s">
        <v>952</v>
      </c>
      <c r="G12878">
        <v>120.94</v>
      </c>
      <c r="H12878">
        <v>250630</v>
      </c>
      <c r="I12878">
        <v>4573</v>
      </c>
      <c r="J12878" t="s">
        <v>646</v>
      </c>
      <c r="K12878">
        <v>2418.85</v>
      </c>
      <c r="L12878">
        <v>24.57</v>
      </c>
      <c r="M12878">
        <v>49111</v>
      </c>
      <c r="N12878" t="s">
        <v>108</v>
      </c>
      <c r="O12878">
        <v>250707</v>
      </c>
      <c r="P12878">
        <v>96.37</v>
      </c>
    </row>
    <row r="12879" spans="1:16" x14ac:dyDescent="0.25">
      <c r="A12879" t="s">
        <v>3296</v>
      </c>
      <c r="B12879" t="s">
        <v>2931</v>
      </c>
      <c r="C12879">
        <v>9408</v>
      </c>
      <c r="D12879" t="str">
        <f>"185287      "</f>
        <v xml:space="preserve">185287      </v>
      </c>
      <c r="E12879" t="s">
        <v>951</v>
      </c>
      <c r="F12879" t="s">
        <v>952</v>
      </c>
      <c r="G12879">
        <v>2213.25</v>
      </c>
      <c r="H12879">
        <v>250630</v>
      </c>
      <c r="I12879">
        <v>4573</v>
      </c>
      <c r="J12879" t="s">
        <v>646</v>
      </c>
      <c r="K12879">
        <v>2418.85</v>
      </c>
      <c r="L12879">
        <v>449.7</v>
      </c>
      <c r="M12879">
        <v>49501</v>
      </c>
      <c r="N12879" t="s">
        <v>110</v>
      </c>
      <c r="O12879">
        <v>250707</v>
      </c>
      <c r="P12879">
        <v>1763.55</v>
      </c>
    </row>
    <row r="12880" spans="1:16" x14ac:dyDescent="0.25">
      <c r="A12880" t="s">
        <v>3296</v>
      </c>
      <c r="B12880" t="s">
        <v>2931</v>
      </c>
      <c r="C12880">
        <v>9408</v>
      </c>
      <c r="D12880" t="str">
        <f>"185287      "</f>
        <v xml:space="preserve">185287      </v>
      </c>
      <c r="E12880" t="s">
        <v>951</v>
      </c>
      <c r="F12880" t="s">
        <v>952</v>
      </c>
      <c r="G12880">
        <v>48.38</v>
      </c>
      <c r="H12880">
        <v>250630</v>
      </c>
      <c r="I12880">
        <v>4573</v>
      </c>
      <c r="J12880" t="s">
        <v>646</v>
      </c>
      <c r="K12880">
        <v>2418.85</v>
      </c>
      <c r="L12880">
        <v>9.83</v>
      </c>
      <c r="M12880">
        <v>49801</v>
      </c>
      <c r="N12880" t="s">
        <v>953</v>
      </c>
      <c r="O12880">
        <v>250707</v>
      </c>
      <c r="P12880">
        <v>38.549999999999997</v>
      </c>
    </row>
    <row r="12881" spans="1:16" x14ac:dyDescent="0.25">
      <c r="A12881" t="s">
        <v>3296</v>
      </c>
      <c r="B12881" t="s">
        <v>2931</v>
      </c>
      <c r="C12881">
        <v>9408</v>
      </c>
      <c r="D12881" t="str">
        <f>"185287      "</f>
        <v xml:space="preserve">185287      </v>
      </c>
      <c r="E12881" t="s">
        <v>951</v>
      </c>
      <c r="F12881" t="s">
        <v>952</v>
      </c>
      <c r="G12881">
        <v>36.28</v>
      </c>
      <c r="H12881">
        <v>250630</v>
      </c>
      <c r="I12881">
        <v>4573</v>
      </c>
      <c r="J12881" t="s">
        <v>646</v>
      </c>
      <c r="K12881">
        <v>2418.85</v>
      </c>
      <c r="L12881">
        <v>0</v>
      </c>
      <c r="M12881">
        <v>49803</v>
      </c>
      <c r="N12881" t="s">
        <v>956</v>
      </c>
      <c r="O12881">
        <v>250707</v>
      </c>
      <c r="P12881">
        <v>36.28</v>
      </c>
    </row>
    <row r="12882" spans="1:16" x14ac:dyDescent="0.25">
      <c r="A12882" t="s">
        <v>3296</v>
      </c>
      <c r="B12882" t="s">
        <v>2931</v>
      </c>
      <c r="C12882">
        <v>13210</v>
      </c>
      <c r="D12882" t="str">
        <f>"188450      "</f>
        <v xml:space="preserve">188450      </v>
      </c>
      <c r="E12882" t="s">
        <v>951</v>
      </c>
      <c r="F12882" t="s">
        <v>952</v>
      </c>
      <c r="G12882">
        <v>80.94</v>
      </c>
      <c r="H12882">
        <v>250930</v>
      </c>
      <c r="I12882">
        <v>4573</v>
      </c>
      <c r="J12882" t="s">
        <v>646</v>
      </c>
      <c r="K12882">
        <v>2697.92</v>
      </c>
      <c r="L12882">
        <v>16.45</v>
      </c>
      <c r="M12882">
        <v>49111</v>
      </c>
      <c r="N12882" t="s">
        <v>108</v>
      </c>
      <c r="O12882">
        <v>251006</v>
      </c>
      <c r="P12882">
        <v>64.489999999999995</v>
      </c>
    </row>
    <row r="12883" spans="1:16" x14ac:dyDescent="0.25">
      <c r="A12883" t="s">
        <v>3296</v>
      </c>
      <c r="B12883" t="s">
        <v>2931</v>
      </c>
      <c r="C12883">
        <v>13210</v>
      </c>
      <c r="D12883" t="str">
        <f>"188450      "</f>
        <v xml:space="preserve">188450      </v>
      </c>
      <c r="E12883" t="s">
        <v>951</v>
      </c>
      <c r="F12883" t="s">
        <v>952</v>
      </c>
      <c r="G12883">
        <v>2495.5700000000002</v>
      </c>
      <c r="H12883">
        <v>250930</v>
      </c>
      <c r="I12883">
        <v>4573</v>
      </c>
      <c r="J12883" t="s">
        <v>646</v>
      </c>
      <c r="K12883">
        <v>2697.92</v>
      </c>
      <c r="L12883">
        <v>507.07</v>
      </c>
      <c r="M12883">
        <v>49501</v>
      </c>
      <c r="N12883" t="s">
        <v>110</v>
      </c>
      <c r="O12883">
        <v>251006</v>
      </c>
      <c r="P12883">
        <v>1988.5</v>
      </c>
    </row>
    <row r="12884" spans="1:16" x14ac:dyDescent="0.25">
      <c r="A12884" t="s">
        <v>3296</v>
      </c>
      <c r="B12884" t="s">
        <v>2931</v>
      </c>
      <c r="C12884">
        <v>13210</v>
      </c>
      <c r="D12884" t="str">
        <f>"188450      "</f>
        <v xml:space="preserve">188450      </v>
      </c>
      <c r="E12884" t="s">
        <v>951</v>
      </c>
      <c r="F12884" t="s">
        <v>952</v>
      </c>
      <c r="G12884">
        <v>80.94</v>
      </c>
      <c r="H12884">
        <v>250930</v>
      </c>
      <c r="I12884">
        <v>4573</v>
      </c>
      <c r="J12884" t="s">
        <v>646</v>
      </c>
      <c r="K12884">
        <v>2697.92</v>
      </c>
      <c r="L12884">
        <v>16.45</v>
      </c>
      <c r="M12884">
        <v>49801</v>
      </c>
      <c r="N12884" t="s">
        <v>953</v>
      </c>
      <c r="O12884">
        <v>251006</v>
      </c>
      <c r="P12884">
        <v>64.489999999999995</v>
      </c>
    </row>
    <row r="12885" spans="1:16" x14ac:dyDescent="0.25">
      <c r="A12885" t="s">
        <v>3296</v>
      </c>
      <c r="B12885" t="s">
        <v>2931</v>
      </c>
      <c r="C12885">
        <v>13210</v>
      </c>
      <c r="D12885" t="str">
        <f>"188450      "</f>
        <v xml:space="preserve">188450      </v>
      </c>
      <c r="E12885" t="s">
        <v>951</v>
      </c>
      <c r="F12885" t="s">
        <v>952</v>
      </c>
      <c r="G12885">
        <v>40.47</v>
      </c>
      <c r="H12885">
        <v>250930</v>
      </c>
      <c r="I12885">
        <v>4573</v>
      </c>
      <c r="J12885" t="s">
        <v>646</v>
      </c>
      <c r="K12885">
        <v>2697.92</v>
      </c>
      <c r="L12885">
        <v>0</v>
      </c>
      <c r="M12885">
        <v>49803</v>
      </c>
      <c r="N12885" t="s">
        <v>956</v>
      </c>
      <c r="O12885">
        <v>251006</v>
      </c>
      <c r="P12885">
        <v>40.47</v>
      </c>
    </row>
    <row r="12886" spans="1:16" x14ac:dyDescent="0.25">
      <c r="A12886" t="s">
        <v>3296</v>
      </c>
      <c r="B12886" t="s">
        <v>2931</v>
      </c>
      <c r="C12886">
        <v>13211</v>
      </c>
      <c r="D12886" t="str">
        <f>"188451      "</f>
        <v xml:space="preserve">188451      </v>
      </c>
      <c r="E12886" t="s">
        <v>951</v>
      </c>
      <c r="F12886" t="s">
        <v>952</v>
      </c>
      <c r="G12886">
        <v>119.83</v>
      </c>
      <c r="H12886">
        <v>250930</v>
      </c>
      <c r="I12886">
        <v>4573</v>
      </c>
      <c r="J12886" t="s">
        <v>646</v>
      </c>
      <c r="K12886">
        <v>3994.42</v>
      </c>
      <c r="L12886">
        <v>24.35</v>
      </c>
      <c r="M12886">
        <v>49111</v>
      </c>
      <c r="N12886" t="s">
        <v>108</v>
      </c>
      <c r="O12886">
        <v>251006</v>
      </c>
      <c r="P12886">
        <v>95.48</v>
      </c>
    </row>
    <row r="12887" spans="1:16" x14ac:dyDescent="0.25">
      <c r="A12887" t="s">
        <v>3296</v>
      </c>
      <c r="B12887" t="s">
        <v>2931</v>
      </c>
      <c r="C12887">
        <v>13211</v>
      </c>
      <c r="D12887" t="str">
        <f>"188451      "</f>
        <v xml:space="preserve">188451      </v>
      </c>
      <c r="E12887" t="s">
        <v>951</v>
      </c>
      <c r="F12887" t="s">
        <v>952</v>
      </c>
      <c r="G12887">
        <v>3694.84</v>
      </c>
      <c r="H12887">
        <v>250930</v>
      </c>
      <c r="I12887">
        <v>4573</v>
      </c>
      <c r="J12887" t="s">
        <v>646</v>
      </c>
      <c r="K12887">
        <v>3994.42</v>
      </c>
      <c r="L12887">
        <v>750.74</v>
      </c>
      <c r="M12887">
        <v>49501</v>
      </c>
      <c r="N12887" t="s">
        <v>110</v>
      </c>
      <c r="O12887">
        <v>251006</v>
      </c>
      <c r="P12887">
        <v>2944.1</v>
      </c>
    </row>
    <row r="12888" spans="1:16" x14ac:dyDescent="0.25">
      <c r="A12888" t="s">
        <v>3296</v>
      </c>
      <c r="B12888" t="s">
        <v>2931</v>
      </c>
      <c r="C12888">
        <v>13211</v>
      </c>
      <c r="D12888" t="str">
        <f>"188451      "</f>
        <v xml:space="preserve">188451      </v>
      </c>
      <c r="E12888" t="s">
        <v>951</v>
      </c>
      <c r="F12888" t="s">
        <v>952</v>
      </c>
      <c r="G12888">
        <v>119.83</v>
      </c>
      <c r="H12888">
        <v>250930</v>
      </c>
      <c r="I12888">
        <v>4573</v>
      </c>
      <c r="J12888" t="s">
        <v>646</v>
      </c>
      <c r="K12888">
        <v>3994.42</v>
      </c>
      <c r="L12888">
        <v>24.35</v>
      </c>
      <c r="M12888">
        <v>49801</v>
      </c>
      <c r="N12888" t="s">
        <v>953</v>
      </c>
      <c r="O12888">
        <v>251006</v>
      </c>
      <c r="P12888">
        <v>95.48</v>
      </c>
    </row>
    <row r="12889" spans="1:16" x14ac:dyDescent="0.25">
      <c r="A12889" t="s">
        <v>3296</v>
      </c>
      <c r="B12889" t="s">
        <v>2931</v>
      </c>
      <c r="C12889">
        <v>13211</v>
      </c>
      <c r="D12889" t="str">
        <f>"188451      "</f>
        <v xml:space="preserve">188451      </v>
      </c>
      <c r="E12889" t="s">
        <v>951</v>
      </c>
      <c r="F12889" t="s">
        <v>952</v>
      </c>
      <c r="G12889">
        <v>59.92</v>
      </c>
      <c r="H12889">
        <v>250930</v>
      </c>
      <c r="I12889">
        <v>4573</v>
      </c>
      <c r="J12889" t="s">
        <v>646</v>
      </c>
      <c r="K12889">
        <v>3994.42</v>
      </c>
      <c r="L12889">
        <v>0</v>
      </c>
      <c r="M12889">
        <v>49803</v>
      </c>
      <c r="N12889" t="s">
        <v>956</v>
      </c>
      <c r="O12889">
        <v>251006</v>
      </c>
      <c r="P12889">
        <v>59.92</v>
      </c>
    </row>
    <row r="12890" spans="1:16" x14ac:dyDescent="0.25">
      <c r="A12890" t="s">
        <v>3296</v>
      </c>
      <c r="B12890" t="s">
        <v>2931</v>
      </c>
      <c r="C12890">
        <v>13212</v>
      </c>
      <c r="D12890" t="str">
        <f>"188500      "</f>
        <v xml:space="preserve">188500      </v>
      </c>
      <c r="E12890" t="s">
        <v>951</v>
      </c>
      <c r="F12890" t="s">
        <v>952</v>
      </c>
      <c r="G12890">
        <v>992.34</v>
      </c>
      <c r="H12890">
        <v>250930</v>
      </c>
      <c r="I12890">
        <v>4573</v>
      </c>
      <c r="J12890" t="s">
        <v>646</v>
      </c>
      <c r="K12890">
        <v>1044.57</v>
      </c>
      <c r="L12890">
        <v>201.63</v>
      </c>
      <c r="M12890">
        <v>49501</v>
      </c>
      <c r="N12890" t="s">
        <v>110</v>
      </c>
      <c r="O12890">
        <v>251006</v>
      </c>
      <c r="P12890">
        <v>790.71</v>
      </c>
    </row>
    <row r="12891" spans="1:16" x14ac:dyDescent="0.25">
      <c r="A12891" t="s">
        <v>3296</v>
      </c>
      <c r="B12891" t="s">
        <v>2931</v>
      </c>
      <c r="C12891">
        <v>13212</v>
      </c>
      <c r="D12891" t="str">
        <f>"188500      "</f>
        <v xml:space="preserve">188500      </v>
      </c>
      <c r="E12891" t="s">
        <v>951</v>
      </c>
      <c r="F12891" t="s">
        <v>952</v>
      </c>
      <c r="G12891">
        <v>52.23</v>
      </c>
      <c r="H12891">
        <v>250930</v>
      </c>
      <c r="I12891">
        <v>4573</v>
      </c>
      <c r="J12891" t="s">
        <v>646</v>
      </c>
      <c r="K12891">
        <v>1044.57</v>
      </c>
      <c r="L12891">
        <v>10.61</v>
      </c>
      <c r="M12891">
        <v>49801</v>
      </c>
      <c r="N12891" t="s">
        <v>953</v>
      </c>
      <c r="O12891">
        <v>251006</v>
      </c>
      <c r="P12891">
        <v>41.62</v>
      </c>
    </row>
    <row r="12892" spans="1:16" x14ac:dyDescent="0.25">
      <c r="A12892" t="s">
        <v>3296</v>
      </c>
      <c r="B12892" t="s">
        <v>2931</v>
      </c>
      <c r="C12892">
        <v>13214</v>
      </c>
      <c r="D12892" t="str">
        <f>"188744      "</f>
        <v xml:space="preserve">188744      </v>
      </c>
      <c r="E12892" t="s">
        <v>951</v>
      </c>
      <c r="F12892" t="s">
        <v>952</v>
      </c>
      <c r="G12892">
        <v>6.73</v>
      </c>
      <c r="H12892">
        <v>250930</v>
      </c>
      <c r="I12892">
        <v>4573</v>
      </c>
      <c r="J12892" t="s">
        <v>646</v>
      </c>
      <c r="K12892">
        <v>224.34</v>
      </c>
      <c r="L12892">
        <v>1.37</v>
      </c>
      <c r="M12892">
        <v>49111</v>
      </c>
      <c r="N12892" t="s">
        <v>108</v>
      </c>
      <c r="O12892">
        <v>251006</v>
      </c>
      <c r="P12892">
        <v>5.36</v>
      </c>
    </row>
    <row r="12893" spans="1:16" x14ac:dyDescent="0.25">
      <c r="A12893" t="s">
        <v>3296</v>
      </c>
      <c r="B12893" t="s">
        <v>2931</v>
      </c>
      <c r="C12893">
        <v>13214</v>
      </c>
      <c r="D12893" t="str">
        <f>"188744      "</f>
        <v xml:space="preserve">188744      </v>
      </c>
      <c r="E12893" t="s">
        <v>951</v>
      </c>
      <c r="F12893" t="s">
        <v>952</v>
      </c>
      <c r="G12893">
        <v>207.51</v>
      </c>
      <c r="H12893">
        <v>250930</v>
      </c>
      <c r="I12893">
        <v>4573</v>
      </c>
      <c r="J12893" t="s">
        <v>646</v>
      </c>
      <c r="K12893">
        <v>224.34</v>
      </c>
      <c r="L12893">
        <v>42.16</v>
      </c>
      <c r="M12893">
        <v>49501</v>
      </c>
      <c r="N12893" t="s">
        <v>110</v>
      </c>
      <c r="O12893">
        <v>251006</v>
      </c>
      <c r="P12893">
        <v>165.35</v>
      </c>
    </row>
    <row r="12894" spans="1:16" x14ac:dyDescent="0.25">
      <c r="A12894" t="s">
        <v>3296</v>
      </c>
      <c r="B12894" t="s">
        <v>2931</v>
      </c>
      <c r="C12894">
        <v>13214</v>
      </c>
      <c r="D12894" t="str">
        <f>"188744      "</f>
        <v xml:space="preserve">188744      </v>
      </c>
      <c r="E12894" t="s">
        <v>951</v>
      </c>
      <c r="F12894" t="s">
        <v>952</v>
      </c>
      <c r="G12894">
        <v>6.73</v>
      </c>
      <c r="H12894">
        <v>250930</v>
      </c>
      <c r="I12894">
        <v>4573</v>
      </c>
      <c r="J12894" t="s">
        <v>646</v>
      </c>
      <c r="K12894">
        <v>224.34</v>
      </c>
      <c r="L12894">
        <v>1.37</v>
      </c>
      <c r="M12894">
        <v>49801</v>
      </c>
      <c r="N12894" t="s">
        <v>953</v>
      </c>
      <c r="O12894">
        <v>251006</v>
      </c>
      <c r="P12894">
        <v>5.36</v>
      </c>
    </row>
    <row r="12895" spans="1:16" x14ac:dyDescent="0.25">
      <c r="A12895" t="s">
        <v>3296</v>
      </c>
      <c r="B12895" t="s">
        <v>2931</v>
      </c>
      <c r="C12895">
        <v>13214</v>
      </c>
      <c r="D12895" t="str">
        <f>"188744      "</f>
        <v xml:space="preserve">188744      </v>
      </c>
      <c r="E12895" t="s">
        <v>951</v>
      </c>
      <c r="F12895" t="s">
        <v>952</v>
      </c>
      <c r="G12895">
        <v>3.37</v>
      </c>
      <c r="H12895">
        <v>250930</v>
      </c>
      <c r="I12895">
        <v>4573</v>
      </c>
      <c r="J12895" t="s">
        <v>646</v>
      </c>
      <c r="K12895">
        <v>224.34</v>
      </c>
      <c r="L12895">
        <v>0</v>
      </c>
      <c r="M12895">
        <v>49803</v>
      </c>
      <c r="N12895" t="s">
        <v>956</v>
      </c>
      <c r="O12895">
        <v>251006</v>
      </c>
      <c r="P12895">
        <v>3.37</v>
      </c>
    </row>
    <row r="12896" spans="1:16" x14ac:dyDescent="0.25">
      <c r="A12896" t="s">
        <v>3296</v>
      </c>
      <c r="B12896" t="s">
        <v>2931</v>
      </c>
      <c r="C12896">
        <v>13226</v>
      </c>
      <c r="D12896" t="str">
        <f>"189016      "</f>
        <v xml:space="preserve">189016      </v>
      </c>
      <c r="E12896" t="s">
        <v>951</v>
      </c>
      <c r="F12896" t="s">
        <v>952</v>
      </c>
      <c r="G12896">
        <v>383.14</v>
      </c>
      <c r="H12896">
        <v>250930</v>
      </c>
      <c r="I12896">
        <v>4573</v>
      </c>
      <c r="J12896" t="s">
        <v>646</v>
      </c>
      <c r="K12896">
        <v>383.14</v>
      </c>
      <c r="L12896">
        <v>77.849999999999994</v>
      </c>
      <c r="M12896">
        <v>49503</v>
      </c>
      <c r="N12896" t="s">
        <v>267</v>
      </c>
      <c r="O12896">
        <v>251006</v>
      </c>
      <c r="P12896">
        <v>305.29000000000002</v>
      </c>
    </row>
    <row r="12897" spans="1:16" x14ac:dyDescent="0.25">
      <c r="A12897" t="s">
        <v>3296</v>
      </c>
      <c r="B12897" t="s">
        <v>2931</v>
      </c>
      <c r="C12897">
        <v>17880</v>
      </c>
      <c r="D12897" t="str">
        <f>"193050      "</f>
        <v xml:space="preserve">193050      </v>
      </c>
      <c r="E12897" t="s">
        <v>951</v>
      </c>
      <c r="F12897" t="s">
        <v>952</v>
      </c>
      <c r="G12897">
        <v>8.6999999999999993</v>
      </c>
      <c r="H12897">
        <v>251230</v>
      </c>
      <c r="I12897">
        <v>4573</v>
      </c>
      <c r="J12897" t="s">
        <v>646</v>
      </c>
      <c r="K12897">
        <v>290.01</v>
      </c>
      <c r="L12897">
        <v>1.77</v>
      </c>
      <c r="M12897">
        <v>49111</v>
      </c>
      <c r="N12897" t="s">
        <v>108</v>
      </c>
      <c r="O12897">
        <v>251231</v>
      </c>
      <c r="P12897">
        <v>6.93</v>
      </c>
    </row>
    <row r="12898" spans="1:16" x14ac:dyDescent="0.25">
      <c r="A12898" t="s">
        <v>3296</v>
      </c>
      <c r="B12898" t="s">
        <v>2931</v>
      </c>
      <c r="C12898">
        <v>17880</v>
      </c>
      <c r="D12898" t="str">
        <f>"193050      "</f>
        <v xml:space="preserve">193050      </v>
      </c>
      <c r="E12898" t="s">
        <v>951</v>
      </c>
      <c r="F12898" t="s">
        <v>952</v>
      </c>
      <c r="G12898">
        <v>268.26</v>
      </c>
      <c r="H12898">
        <v>251230</v>
      </c>
      <c r="I12898">
        <v>4573</v>
      </c>
      <c r="J12898" t="s">
        <v>646</v>
      </c>
      <c r="K12898">
        <v>290.01</v>
      </c>
      <c r="L12898">
        <v>54.51</v>
      </c>
      <c r="M12898">
        <v>49501</v>
      </c>
      <c r="N12898" t="s">
        <v>110</v>
      </c>
      <c r="O12898">
        <v>251231</v>
      </c>
      <c r="P12898">
        <v>213.75</v>
      </c>
    </row>
    <row r="12899" spans="1:16" x14ac:dyDescent="0.25">
      <c r="A12899" t="s">
        <v>3296</v>
      </c>
      <c r="B12899" t="s">
        <v>2931</v>
      </c>
      <c r="C12899">
        <v>17880</v>
      </c>
      <c r="D12899" t="str">
        <f>"193050      "</f>
        <v xml:space="preserve">193050      </v>
      </c>
      <c r="E12899" t="s">
        <v>951</v>
      </c>
      <c r="F12899" t="s">
        <v>952</v>
      </c>
      <c r="G12899">
        <v>8.6999999999999993</v>
      </c>
      <c r="H12899">
        <v>251230</v>
      </c>
      <c r="I12899">
        <v>4573</v>
      </c>
      <c r="J12899" t="s">
        <v>646</v>
      </c>
      <c r="K12899">
        <v>290.01</v>
      </c>
      <c r="L12899">
        <v>1.77</v>
      </c>
      <c r="M12899">
        <v>49801</v>
      </c>
      <c r="N12899" t="s">
        <v>953</v>
      </c>
      <c r="O12899">
        <v>251231</v>
      </c>
      <c r="P12899">
        <v>6.93</v>
      </c>
    </row>
    <row r="12900" spans="1:16" x14ac:dyDescent="0.25">
      <c r="A12900" t="s">
        <v>3296</v>
      </c>
      <c r="B12900" t="s">
        <v>2931</v>
      </c>
      <c r="C12900">
        <v>17880</v>
      </c>
      <c r="D12900" t="str">
        <f>"193050      "</f>
        <v xml:space="preserve">193050      </v>
      </c>
      <c r="E12900" t="s">
        <v>951</v>
      </c>
      <c r="F12900" t="s">
        <v>952</v>
      </c>
      <c r="G12900">
        <v>4.3499999999999996</v>
      </c>
      <c r="H12900">
        <v>251230</v>
      </c>
      <c r="I12900">
        <v>4573</v>
      </c>
      <c r="J12900" t="s">
        <v>646</v>
      </c>
      <c r="K12900">
        <v>290.01</v>
      </c>
      <c r="L12900">
        <v>0</v>
      </c>
      <c r="M12900">
        <v>49803</v>
      </c>
      <c r="N12900" t="s">
        <v>956</v>
      </c>
      <c r="O12900">
        <v>251231</v>
      </c>
      <c r="P12900">
        <v>4.3499999999999996</v>
      </c>
    </row>
    <row r="12901" spans="1:16" x14ac:dyDescent="0.25">
      <c r="A12901" t="s">
        <v>3296</v>
      </c>
      <c r="B12901" t="s">
        <v>2931</v>
      </c>
      <c r="C12901">
        <v>17881</v>
      </c>
      <c r="D12901" t="str">
        <f>"192886      "</f>
        <v xml:space="preserve">192886      </v>
      </c>
      <c r="E12901" t="s">
        <v>951</v>
      </c>
      <c r="F12901" t="s">
        <v>952</v>
      </c>
      <c r="G12901">
        <v>1169.08</v>
      </c>
      <c r="H12901">
        <v>251230</v>
      </c>
      <c r="I12901">
        <v>4573</v>
      </c>
      <c r="J12901" t="s">
        <v>646</v>
      </c>
      <c r="K12901">
        <v>1230.6099999999999</v>
      </c>
      <c r="L12901">
        <v>237.54</v>
      </c>
      <c r="M12901">
        <v>49501</v>
      </c>
      <c r="N12901" t="s">
        <v>110</v>
      </c>
      <c r="O12901">
        <v>251231</v>
      </c>
      <c r="P12901">
        <v>931.54</v>
      </c>
    </row>
    <row r="12902" spans="1:16" x14ac:dyDescent="0.25">
      <c r="A12902" t="s">
        <v>3296</v>
      </c>
      <c r="B12902" t="s">
        <v>2931</v>
      </c>
      <c r="C12902">
        <v>17881</v>
      </c>
      <c r="D12902" t="str">
        <f>"192886      "</f>
        <v xml:space="preserve">192886      </v>
      </c>
      <c r="E12902" t="s">
        <v>951</v>
      </c>
      <c r="F12902" t="s">
        <v>952</v>
      </c>
      <c r="G12902">
        <v>61.53</v>
      </c>
      <c r="H12902">
        <v>251230</v>
      </c>
      <c r="I12902">
        <v>4573</v>
      </c>
      <c r="J12902" t="s">
        <v>646</v>
      </c>
      <c r="K12902">
        <v>1230.6099999999999</v>
      </c>
      <c r="L12902">
        <v>12.5</v>
      </c>
      <c r="M12902">
        <v>49801</v>
      </c>
      <c r="N12902" t="s">
        <v>953</v>
      </c>
      <c r="O12902">
        <v>251231</v>
      </c>
      <c r="P12902">
        <v>49.03</v>
      </c>
    </row>
    <row r="12903" spans="1:16" x14ac:dyDescent="0.25">
      <c r="A12903" t="s">
        <v>3296</v>
      </c>
      <c r="B12903" t="s">
        <v>2931</v>
      </c>
      <c r="C12903">
        <v>17882</v>
      </c>
      <c r="D12903" t="str">
        <f>"193043      "</f>
        <v xml:space="preserve">193043      </v>
      </c>
      <c r="E12903" t="s">
        <v>951</v>
      </c>
      <c r="F12903" t="s">
        <v>952</v>
      </c>
      <c r="G12903">
        <v>410.51</v>
      </c>
      <c r="H12903">
        <v>251230</v>
      </c>
      <c r="I12903">
        <v>4573</v>
      </c>
      <c r="J12903" t="s">
        <v>646</v>
      </c>
      <c r="K12903">
        <v>410.51</v>
      </c>
      <c r="L12903">
        <v>83.41</v>
      </c>
      <c r="M12903">
        <v>49503</v>
      </c>
      <c r="N12903" t="s">
        <v>267</v>
      </c>
      <c r="O12903">
        <v>251231</v>
      </c>
      <c r="P12903">
        <v>327.10000000000002</v>
      </c>
    </row>
    <row r="12904" spans="1:16" x14ac:dyDescent="0.25">
      <c r="A12904" t="s">
        <v>3296</v>
      </c>
      <c r="B12904" t="s">
        <v>2931</v>
      </c>
      <c r="C12904">
        <v>17883</v>
      </c>
      <c r="D12904" t="str">
        <f>"192880      "</f>
        <v xml:space="preserve">192880      </v>
      </c>
      <c r="E12904" t="s">
        <v>951</v>
      </c>
      <c r="F12904" t="s">
        <v>952</v>
      </c>
      <c r="G12904">
        <v>100.47</v>
      </c>
      <c r="H12904">
        <v>251230</v>
      </c>
      <c r="I12904">
        <v>4573</v>
      </c>
      <c r="J12904" t="s">
        <v>646</v>
      </c>
      <c r="K12904">
        <v>3349.06</v>
      </c>
      <c r="L12904">
        <v>20.41</v>
      </c>
      <c r="M12904">
        <v>49111</v>
      </c>
      <c r="N12904" t="s">
        <v>108</v>
      </c>
      <c r="O12904">
        <v>251231</v>
      </c>
      <c r="P12904">
        <v>80.06</v>
      </c>
    </row>
    <row r="12905" spans="1:16" x14ac:dyDescent="0.25">
      <c r="A12905" t="s">
        <v>3296</v>
      </c>
      <c r="B12905" t="s">
        <v>2931</v>
      </c>
      <c r="C12905">
        <v>17883</v>
      </c>
      <c r="D12905" t="str">
        <f>"192880      "</f>
        <v xml:space="preserve">192880      </v>
      </c>
      <c r="E12905" t="s">
        <v>951</v>
      </c>
      <c r="F12905" t="s">
        <v>952</v>
      </c>
      <c r="G12905">
        <v>3097.88</v>
      </c>
      <c r="H12905">
        <v>251230</v>
      </c>
      <c r="I12905">
        <v>4573</v>
      </c>
      <c r="J12905" t="s">
        <v>646</v>
      </c>
      <c r="K12905">
        <v>3349.06</v>
      </c>
      <c r="L12905">
        <v>629.45000000000005</v>
      </c>
      <c r="M12905">
        <v>49501</v>
      </c>
      <c r="N12905" t="s">
        <v>110</v>
      </c>
      <c r="O12905">
        <v>251231</v>
      </c>
      <c r="P12905">
        <v>2468.4299999999998</v>
      </c>
    </row>
    <row r="12906" spans="1:16" x14ac:dyDescent="0.25">
      <c r="A12906" t="s">
        <v>3296</v>
      </c>
      <c r="B12906" t="s">
        <v>2931</v>
      </c>
      <c r="C12906">
        <v>17883</v>
      </c>
      <c r="D12906" t="str">
        <f>"192880      "</f>
        <v xml:space="preserve">192880      </v>
      </c>
      <c r="E12906" t="s">
        <v>951</v>
      </c>
      <c r="F12906" t="s">
        <v>952</v>
      </c>
      <c r="G12906">
        <v>100.47</v>
      </c>
      <c r="H12906">
        <v>251230</v>
      </c>
      <c r="I12906">
        <v>4573</v>
      </c>
      <c r="J12906" t="s">
        <v>646</v>
      </c>
      <c r="K12906">
        <v>3349.06</v>
      </c>
      <c r="L12906">
        <v>20.41</v>
      </c>
      <c r="M12906">
        <v>49801</v>
      </c>
      <c r="N12906" t="s">
        <v>953</v>
      </c>
      <c r="O12906">
        <v>251231</v>
      </c>
      <c r="P12906">
        <v>80.06</v>
      </c>
    </row>
    <row r="12907" spans="1:16" x14ac:dyDescent="0.25">
      <c r="A12907" t="s">
        <v>3296</v>
      </c>
      <c r="B12907" t="s">
        <v>2931</v>
      </c>
      <c r="C12907">
        <v>17883</v>
      </c>
      <c r="D12907" t="str">
        <f>"192880      "</f>
        <v xml:space="preserve">192880      </v>
      </c>
      <c r="E12907" t="s">
        <v>951</v>
      </c>
      <c r="F12907" t="s">
        <v>952</v>
      </c>
      <c r="G12907">
        <v>50.24</v>
      </c>
      <c r="H12907">
        <v>251230</v>
      </c>
      <c r="I12907">
        <v>4573</v>
      </c>
      <c r="J12907" t="s">
        <v>646</v>
      </c>
      <c r="K12907">
        <v>3349.06</v>
      </c>
      <c r="L12907">
        <v>0</v>
      </c>
      <c r="M12907">
        <v>49803</v>
      </c>
      <c r="N12907" t="s">
        <v>956</v>
      </c>
      <c r="O12907">
        <v>251231</v>
      </c>
      <c r="P12907">
        <v>50.24</v>
      </c>
    </row>
    <row r="12908" spans="1:16" x14ac:dyDescent="0.25">
      <c r="A12908" t="s">
        <v>3296</v>
      </c>
      <c r="B12908" t="s">
        <v>2931</v>
      </c>
      <c r="C12908">
        <v>17977</v>
      </c>
      <c r="D12908" t="str">
        <f>"192881      "</f>
        <v xml:space="preserve">192881      </v>
      </c>
      <c r="E12908" t="s">
        <v>951</v>
      </c>
      <c r="F12908" t="s">
        <v>952</v>
      </c>
      <c r="G12908">
        <v>81.42</v>
      </c>
      <c r="H12908">
        <v>251230</v>
      </c>
      <c r="I12908">
        <v>4573</v>
      </c>
      <c r="J12908" t="s">
        <v>646</v>
      </c>
      <c r="K12908">
        <v>2714.01</v>
      </c>
      <c r="L12908">
        <v>16.54</v>
      </c>
      <c r="M12908">
        <v>49111</v>
      </c>
      <c r="N12908" t="s">
        <v>108</v>
      </c>
      <c r="O12908">
        <v>260107</v>
      </c>
      <c r="P12908">
        <v>64.88</v>
      </c>
    </row>
    <row r="12909" spans="1:16" x14ac:dyDescent="0.25">
      <c r="A12909" t="s">
        <v>3296</v>
      </c>
      <c r="B12909" t="s">
        <v>2931</v>
      </c>
      <c r="C12909">
        <v>17977</v>
      </c>
      <c r="D12909" t="str">
        <f>"192881      "</f>
        <v xml:space="preserve">192881      </v>
      </c>
      <c r="E12909" t="s">
        <v>951</v>
      </c>
      <c r="F12909" t="s">
        <v>952</v>
      </c>
      <c r="G12909">
        <v>2510.46</v>
      </c>
      <c r="H12909">
        <v>251230</v>
      </c>
      <c r="I12909">
        <v>4573</v>
      </c>
      <c r="J12909" t="s">
        <v>646</v>
      </c>
      <c r="K12909">
        <v>2714.01</v>
      </c>
      <c r="L12909">
        <v>510.09</v>
      </c>
      <c r="M12909">
        <v>49501</v>
      </c>
      <c r="N12909" t="s">
        <v>110</v>
      </c>
      <c r="O12909">
        <v>260107</v>
      </c>
      <c r="P12909">
        <v>2000.37</v>
      </c>
    </row>
    <row r="12910" spans="1:16" x14ac:dyDescent="0.25">
      <c r="A12910" t="s">
        <v>3296</v>
      </c>
      <c r="B12910" t="s">
        <v>2931</v>
      </c>
      <c r="C12910">
        <v>17977</v>
      </c>
      <c r="D12910" t="str">
        <f>"192881      "</f>
        <v xml:space="preserve">192881      </v>
      </c>
      <c r="E12910" t="s">
        <v>951</v>
      </c>
      <c r="F12910" t="s">
        <v>952</v>
      </c>
      <c r="G12910">
        <v>81.42</v>
      </c>
      <c r="H12910">
        <v>251230</v>
      </c>
      <c r="I12910">
        <v>4573</v>
      </c>
      <c r="J12910" t="s">
        <v>646</v>
      </c>
      <c r="K12910">
        <v>2714.01</v>
      </c>
      <c r="L12910">
        <v>16.54</v>
      </c>
      <c r="M12910">
        <v>49801</v>
      </c>
      <c r="N12910" t="s">
        <v>953</v>
      </c>
      <c r="O12910">
        <v>260107</v>
      </c>
      <c r="P12910">
        <v>64.88</v>
      </c>
    </row>
    <row r="12911" spans="1:16" x14ac:dyDescent="0.25">
      <c r="A12911" t="s">
        <v>3296</v>
      </c>
      <c r="B12911" t="s">
        <v>2931</v>
      </c>
      <c r="C12911">
        <v>17977</v>
      </c>
      <c r="D12911" t="str">
        <f>"192881      "</f>
        <v xml:space="preserve">192881      </v>
      </c>
      <c r="E12911" t="s">
        <v>951</v>
      </c>
      <c r="F12911" t="s">
        <v>952</v>
      </c>
      <c r="G12911">
        <v>40.71</v>
      </c>
      <c r="H12911">
        <v>251230</v>
      </c>
      <c r="I12911">
        <v>4573</v>
      </c>
      <c r="J12911" t="s">
        <v>646</v>
      </c>
      <c r="K12911">
        <v>2714.01</v>
      </c>
      <c r="L12911">
        <v>0</v>
      </c>
      <c r="M12911">
        <v>49803</v>
      </c>
      <c r="N12911" t="s">
        <v>956</v>
      </c>
      <c r="O12911">
        <v>260107</v>
      </c>
      <c r="P12911">
        <v>40.71</v>
      </c>
    </row>
    <row r="12912" spans="1:16" x14ac:dyDescent="0.25">
      <c r="A12912" t="s">
        <v>3296</v>
      </c>
      <c r="B12912" t="s">
        <v>2931</v>
      </c>
      <c r="C12912">
        <v>10584</v>
      </c>
      <c r="D12912" t="str">
        <f>"6654        "</f>
        <v xml:space="preserve">6654        </v>
      </c>
      <c r="E12912" t="s">
        <v>2209</v>
      </c>
      <c r="F12912" t="s">
        <v>2210</v>
      </c>
      <c r="G12912">
        <v>645</v>
      </c>
      <c r="H12912">
        <v>250818</v>
      </c>
      <c r="I12912">
        <v>4400</v>
      </c>
      <c r="J12912" t="s">
        <v>162</v>
      </c>
      <c r="K12912">
        <v>985</v>
      </c>
      <c r="L12912">
        <v>131.06</v>
      </c>
      <c r="M12912">
        <v>49701</v>
      </c>
      <c r="N12912" t="s">
        <v>111</v>
      </c>
      <c r="O12912">
        <v>250820</v>
      </c>
      <c r="P12912">
        <v>513.94000000000005</v>
      </c>
    </row>
    <row r="12913" spans="1:16" x14ac:dyDescent="0.25">
      <c r="A12913" t="s">
        <v>3296</v>
      </c>
      <c r="B12913" t="s">
        <v>2931</v>
      </c>
      <c r="C12913">
        <v>10584</v>
      </c>
      <c r="D12913" t="str">
        <f>"6654        "</f>
        <v xml:space="preserve">6654        </v>
      </c>
      <c r="E12913" t="s">
        <v>2209</v>
      </c>
      <c r="F12913" t="s">
        <v>2210</v>
      </c>
      <c r="G12913">
        <v>340</v>
      </c>
      <c r="H12913">
        <v>250818</v>
      </c>
      <c r="I12913">
        <v>4600</v>
      </c>
      <c r="J12913" t="s">
        <v>278</v>
      </c>
      <c r="K12913">
        <v>985</v>
      </c>
      <c r="L12913">
        <v>69.08</v>
      </c>
      <c r="M12913">
        <v>46564</v>
      </c>
      <c r="N12913" t="s">
        <v>678</v>
      </c>
      <c r="O12913">
        <v>250820</v>
      </c>
      <c r="P12913">
        <v>270.92</v>
      </c>
    </row>
    <row r="12914" spans="1:16" x14ac:dyDescent="0.25">
      <c r="A12914" t="s">
        <v>3296</v>
      </c>
      <c r="B12914" t="s">
        <v>2931</v>
      </c>
      <c r="C12914">
        <v>17330</v>
      </c>
      <c r="D12914" t="str">
        <f>"6777        "</f>
        <v xml:space="preserve">6777        </v>
      </c>
      <c r="E12914" t="s">
        <v>2209</v>
      </c>
      <c r="F12914" t="s">
        <v>2210</v>
      </c>
      <c r="G12914">
        <v>1550</v>
      </c>
      <c r="H12914">
        <v>251215</v>
      </c>
      <c r="I12914">
        <v>4600</v>
      </c>
      <c r="J12914" t="s">
        <v>278</v>
      </c>
      <c r="K12914">
        <v>1550</v>
      </c>
      <c r="L12914">
        <v>314.94</v>
      </c>
      <c r="M12914">
        <v>49701</v>
      </c>
      <c r="N12914" t="s">
        <v>111</v>
      </c>
      <c r="O12914">
        <v>251219</v>
      </c>
      <c r="P12914">
        <v>1235.06</v>
      </c>
    </row>
    <row r="12915" spans="1:16" x14ac:dyDescent="0.25">
      <c r="A12915" t="s">
        <v>3296</v>
      </c>
      <c r="B12915" t="s">
        <v>2931</v>
      </c>
      <c r="C12915">
        <v>14016</v>
      </c>
      <c r="D12915" t="str">
        <f>"VTL1001717  "</f>
        <v xml:space="preserve">VTL1001717  </v>
      </c>
      <c r="E12915" t="s">
        <v>2469</v>
      </c>
      <c r="F12915" t="s">
        <v>2470</v>
      </c>
      <c r="G12915">
        <v>320</v>
      </c>
      <c r="H12915">
        <v>251001</v>
      </c>
      <c r="I12915">
        <v>4440</v>
      </c>
      <c r="J12915" t="s">
        <v>346</v>
      </c>
      <c r="K12915">
        <v>320</v>
      </c>
      <c r="L12915">
        <v>0</v>
      </c>
      <c r="M12915">
        <v>43222</v>
      </c>
      <c r="N12915" t="s">
        <v>95</v>
      </c>
      <c r="O12915">
        <v>251022</v>
      </c>
      <c r="P12915">
        <v>320</v>
      </c>
    </row>
    <row r="12916" spans="1:16" x14ac:dyDescent="0.25">
      <c r="A12916" t="s">
        <v>3296</v>
      </c>
      <c r="B12916" t="s">
        <v>2931</v>
      </c>
      <c r="C12916">
        <v>106</v>
      </c>
      <c r="D12916" t="str">
        <f>"INV11006706 "</f>
        <v xml:space="preserve">INV11006706 </v>
      </c>
      <c r="E12916" t="s">
        <v>202</v>
      </c>
      <c r="F12916" t="s">
        <v>204</v>
      </c>
      <c r="G12916">
        <v>1400.58</v>
      </c>
      <c r="H12916">
        <v>250101</v>
      </c>
      <c r="I12916">
        <v>4470</v>
      </c>
      <c r="J12916" t="s">
        <v>203</v>
      </c>
      <c r="K12916">
        <v>1400.58</v>
      </c>
      <c r="L12916">
        <v>284.58</v>
      </c>
      <c r="M12916">
        <v>11501</v>
      </c>
      <c r="N12916" t="s">
        <v>13</v>
      </c>
      <c r="O12916">
        <v>250109</v>
      </c>
      <c r="P12916">
        <v>1116</v>
      </c>
    </row>
    <row r="12917" spans="1:16" x14ac:dyDescent="0.25">
      <c r="A12917" t="s">
        <v>3296</v>
      </c>
      <c r="B12917" t="s">
        <v>2931</v>
      </c>
      <c r="C12917">
        <v>4620</v>
      </c>
      <c r="D12917" t="str">
        <f>"32592       "</f>
        <v xml:space="preserve">32592       </v>
      </c>
      <c r="E12917" t="s">
        <v>1639</v>
      </c>
      <c r="F12917" t="s">
        <v>1640</v>
      </c>
      <c r="G12917">
        <v>79.8</v>
      </c>
      <c r="H12917">
        <v>250402</v>
      </c>
      <c r="I12917">
        <v>4346</v>
      </c>
      <c r="J12917" t="s">
        <v>334</v>
      </c>
      <c r="K12917">
        <v>79.8</v>
      </c>
      <c r="L12917">
        <v>9.8000000000000007</v>
      </c>
      <c r="M12917">
        <v>53222</v>
      </c>
      <c r="N12917" t="s">
        <v>41</v>
      </c>
      <c r="O12917">
        <v>250414</v>
      </c>
      <c r="P12917">
        <v>70</v>
      </c>
    </row>
    <row r="12918" spans="1:16" x14ac:dyDescent="0.25">
      <c r="A12918" t="s">
        <v>3296</v>
      </c>
      <c r="B12918" t="s">
        <v>2931</v>
      </c>
      <c r="C12918">
        <v>1828</v>
      </c>
      <c r="D12918" t="str">
        <f>"8416        "</f>
        <v xml:space="preserve">8416        </v>
      </c>
      <c r="E12918" t="s">
        <v>1137</v>
      </c>
      <c r="F12918" t="s">
        <v>1138</v>
      </c>
      <c r="G12918">
        <v>85</v>
      </c>
      <c r="H12918">
        <v>250131</v>
      </c>
      <c r="I12918">
        <v>4600</v>
      </c>
      <c r="J12918" t="s">
        <v>278</v>
      </c>
      <c r="K12918">
        <v>85</v>
      </c>
      <c r="L12918">
        <v>17.27</v>
      </c>
      <c r="M12918">
        <v>67522</v>
      </c>
      <c r="N12918" t="s">
        <v>121</v>
      </c>
      <c r="O12918">
        <v>250214</v>
      </c>
      <c r="P12918">
        <v>67.73</v>
      </c>
    </row>
    <row r="12919" spans="1:16" x14ac:dyDescent="0.25">
      <c r="A12919" t="s">
        <v>3296</v>
      </c>
      <c r="B12919" t="s">
        <v>2931</v>
      </c>
      <c r="C12919">
        <v>12413</v>
      </c>
      <c r="D12919" t="str">
        <f>"272477      "</f>
        <v xml:space="preserve">272477      </v>
      </c>
      <c r="E12919" t="s">
        <v>2348</v>
      </c>
      <c r="F12919" t="s">
        <v>2349</v>
      </c>
      <c r="G12919">
        <v>1044.3399999999999</v>
      </c>
      <c r="H12919">
        <v>250916</v>
      </c>
      <c r="I12919">
        <v>4600</v>
      </c>
      <c r="J12919" t="s">
        <v>278</v>
      </c>
      <c r="K12919">
        <v>1044.3399999999999</v>
      </c>
      <c r="L12919">
        <v>212.2</v>
      </c>
      <c r="M12919">
        <v>66754</v>
      </c>
      <c r="N12919" t="s">
        <v>119</v>
      </c>
      <c r="O12919">
        <v>250919</v>
      </c>
      <c r="P12919">
        <v>832.14</v>
      </c>
    </row>
    <row r="12920" spans="1:16" x14ac:dyDescent="0.25">
      <c r="A12920" t="s">
        <v>3296</v>
      </c>
      <c r="B12920" t="s">
        <v>2931</v>
      </c>
      <c r="C12920">
        <v>15211</v>
      </c>
      <c r="D12920" t="str">
        <f>"278714      "</f>
        <v xml:space="preserve">278714      </v>
      </c>
      <c r="E12920" t="s">
        <v>2348</v>
      </c>
      <c r="F12920" t="s">
        <v>2349</v>
      </c>
      <c r="G12920">
        <v>32.5</v>
      </c>
      <c r="H12920">
        <v>251107</v>
      </c>
      <c r="I12920">
        <v>4600</v>
      </c>
      <c r="J12920" t="s">
        <v>278</v>
      </c>
      <c r="K12920">
        <v>32.5</v>
      </c>
      <c r="L12920">
        <v>6.6</v>
      </c>
      <c r="M12920">
        <v>66722</v>
      </c>
      <c r="N12920" t="s">
        <v>118</v>
      </c>
      <c r="O12920">
        <v>251114</v>
      </c>
      <c r="P12920">
        <v>25.9</v>
      </c>
    </row>
    <row r="12921" spans="1:16" x14ac:dyDescent="0.25">
      <c r="A12921" t="s">
        <v>3296</v>
      </c>
      <c r="B12921" t="s">
        <v>2931</v>
      </c>
      <c r="C12921">
        <v>7064</v>
      </c>
      <c r="D12921" t="str">
        <f>"48482       "</f>
        <v xml:space="preserve">48482       </v>
      </c>
      <c r="E12921" t="s">
        <v>1913</v>
      </c>
      <c r="F12921" t="s">
        <v>1914</v>
      </c>
      <c r="G12921">
        <v>2021.43</v>
      </c>
      <c r="H12921">
        <v>250516</v>
      </c>
      <c r="I12921">
        <v>4555</v>
      </c>
      <c r="J12921" t="s">
        <v>352</v>
      </c>
      <c r="K12921">
        <v>2021.43</v>
      </c>
      <c r="L12921">
        <v>410.73</v>
      </c>
      <c r="M12921">
        <v>17951</v>
      </c>
      <c r="N12921" t="s">
        <v>207</v>
      </c>
      <c r="O12921">
        <v>250522</v>
      </c>
      <c r="P12921">
        <v>1610.7</v>
      </c>
    </row>
    <row r="12922" spans="1:16" x14ac:dyDescent="0.25">
      <c r="A12922" t="s">
        <v>3296</v>
      </c>
      <c r="B12922" t="s">
        <v>2931</v>
      </c>
      <c r="C12922">
        <v>6039</v>
      </c>
      <c r="D12922" t="str">
        <f>"111943      "</f>
        <v xml:space="preserve">111943      </v>
      </c>
      <c r="E12922" t="s">
        <v>1833</v>
      </c>
      <c r="F12922" t="s">
        <v>1834</v>
      </c>
      <c r="G12922">
        <v>5670.34</v>
      </c>
      <c r="H12922">
        <v>250430</v>
      </c>
      <c r="I12922">
        <v>4552</v>
      </c>
      <c r="J12922" t="s">
        <v>1025</v>
      </c>
      <c r="K12922">
        <v>5670.34</v>
      </c>
      <c r="L12922">
        <v>1152.1400000000001</v>
      </c>
      <c r="M12922">
        <v>17737</v>
      </c>
      <c r="N12922" t="s">
        <v>156</v>
      </c>
      <c r="O12922">
        <v>250508</v>
      </c>
      <c r="P12922">
        <v>4518.2</v>
      </c>
    </row>
    <row r="12923" spans="1:16" x14ac:dyDescent="0.25">
      <c r="A12923" t="s">
        <v>3296</v>
      </c>
      <c r="B12923" t="s">
        <v>2931</v>
      </c>
      <c r="C12923">
        <v>1611</v>
      </c>
      <c r="D12923" t="str">
        <f>"7000053247  "</f>
        <v xml:space="preserve">7000053247  </v>
      </c>
      <c r="E12923" t="s">
        <v>1053</v>
      </c>
      <c r="F12923" t="s">
        <v>1054</v>
      </c>
      <c r="G12923">
        <v>3115.47</v>
      </c>
      <c r="H12923">
        <v>250128</v>
      </c>
      <c r="I12923">
        <v>4580</v>
      </c>
      <c r="J12923" t="s">
        <v>126</v>
      </c>
      <c r="K12923">
        <v>3115.47</v>
      </c>
      <c r="L12923">
        <v>633.02</v>
      </c>
      <c r="M12923">
        <v>17521</v>
      </c>
      <c r="N12923" t="s">
        <v>136</v>
      </c>
      <c r="O12923">
        <v>250211</v>
      </c>
      <c r="P12923">
        <v>2482.4499999999998</v>
      </c>
    </row>
    <row r="12924" spans="1:16" x14ac:dyDescent="0.25">
      <c r="A12924" t="s">
        <v>3296</v>
      </c>
      <c r="B12924" t="s">
        <v>2931</v>
      </c>
      <c r="C12924">
        <v>15660</v>
      </c>
      <c r="D12924" t="str">
        <f>"3089        "</f>
        <v xml:space="preserve">3089        </v>
      </c>
      <c r="E12924" t="s">
        <v>2602</v>
      </c>
      <c r="F12924" t="s">
        <v>2603</v>
      </c>
      <c r="G12924">
        <v>163.15</v>
      </c>
      <c r="H12924">
        <v>251120</v>
      </c>
      <c r="I12924">
        <v>4470</v>
      </c>
      <c r="J12924" t="s">
        <v>203</v>
      </c>
      <c r="K12924">
        <v>163.15</v>
      </c>
      <c r="L12924">
        <v>33.15</v>
      </c>
      <c r="M12924">
        <v>17803</v>
      </c>
      <c r="N12924" t="s">
        <v>19</v>
      </c>
      <c r="O12924">
        <v>251124</v>
      </c>
      <c r="P12924">
        <v>130</v>
      </c>
    </row>
    <row r="12925" spans="1:16" x14ac:dyDescent="0.25">
      <c r="A12925" t="s">
        <v>3296</v>
      </c>
      <c r="B12925" t="s">
        <v>2931</v>
      </c>
      <c r="C12925">
        <v>15861</v>
      </c>
      <c r="D12925" t="str">
        <f>"19500001913 "</f>
        <v xml:space="preserve">19500001913 </v>
      </c>
      <c r="E12925" t="s">
        <v>2624</v>
      </c>
      <c r="F12925" t="s">
        <v>2625</v>
      </c>
      <c r="G12925">
        <v>55.01</v>
      </c>
      <c r="H12925">
        <v>251119</v>
      </c>
      <c r="I12925">
        <v>4590</v>
      </c>
      <c r="J12925" t="s">
        <v>388</v>
      </c>
      <c r="K12925">
        <v>55.01</v>
      </c>
      <c r="L12925">
        <v>11.18</v>
      </c>
      <c r="M12925">
        <v>56551</v>
      </c>
      <c r="N12925" t="s">
        <v>551</v>
      </c>
      <c r="O12925">
        <v>251127</v>
      </c>
      <c r="P12925">
        <v>43.83</v>
      </c>
    </row>
    <row r="12926" spans="1:16" x14ac:dyDescent="0.25">
      <c r="A12926" t="s">
        <v>3296</v>
      </c>
      <c r="B12926" t="s">
        <v>2931</v>
      </c>
      <c r="C12926">
        <v>16197</v>
      </c>
      <c r="D12926" t="str">
        <f>"1721        "</f>
        <v xml:space="preserve">1721        </v>
      </c>
      <c r="E12926" t="s">
        <v>2667</v>
      </c>
      <c r="F12926" t="s">
        <v>2668</v>
      </c>
      <c r="G12926">
        <v>100.4</v>
      </c>
      <c r="H12926">
        <v>251202</v>
      </c>
      <c r="I12926">
        <v>4350</v>
      </c>
      <c r="J12926" t="s">
        <v>290</v>
      </c>
      <c r="K12926">
        <v>100.4</v>
      </c>
      <c r="L12926">
        <v>20.399999999999999</v>
      </c>
      <c r="M12926">
        <v>49702</v>
      </c>
      <c r="N12926" t="s">
        <v>112</v>
      </c>
      <c r="O12926">
        <v>251204</v>
      </c>
      <c r="P12926">
        <v>80</v>
      </c>
    </row>
    <row r="12927" spans="1:16" x14ac:dyDescent="0.25">
      <c r="A12927" t="s">
        <v>3296</v>
      </c>
      <c r="B12927" t="s">
        <v>2931</v>
      </c>
      <c r="C12927">
        <v>1341</v>
      </c>
      <c r="D12927" t="str">
        <f>"0063002560  "</f>
        <v xml:space="preserve">0063002560  </v>
      </c>
      <c r="E12927" t="s">
        <v>954</v>
      </c>
      <c r="F12927" t="s">
        <v>955</v>
      </c>
      <c r="G12927">
        <v>34.96</v>
      </c>
      <c r="H12927">
        <v>250131</v>
      </c>
      <c r="I12927">
        <v>4560</v>
      </c>
      <c r="J12927" t="s">
        <v>390</v>
      </c>
      <c r="K12927">
        <v>34.96</v>
      </c>
      <c r="L12927">
        <v>7.1</v>
      </c>
      <c r="M12927">
        <v>17862</v>
      </c>
      <c r="N12927" t="s">
        <v>130</v>
      </c>
      <c r="O12927">
        <v>250207</v>
      </c>
      <c r="P12927">
        <v>27.86</v>
      </c>
    </row>
    <row r="12928" spans="1:16" x14ac:dyDescent="0.25">
      <c r="A12928" t="s">
        <v>3296</v>
      </c>
      <c r="B12928" t="s">
        <v>2931</v>
      </c>
      <c r="C12928">
        <v>4544</v>
      </c>
      <c r="D12928" t="str">
        <f t="shared" ref="D12928:D12934" si="183">"0063002573  "</f>
        <v xml:space="preserve">0063002573  </v>
      </c>
      <c r="E12928" t="s">
        <v>954</v>
      </c>
      <c r="F12928" t="s">
        <v>955</v>
      </c>
      <c r="G12928">
        <v>73.7</v>
      </c>
      <c r="H12928">
        <v>250331</v>
      </c>
      <c r="I12928">
        <v>4560</v>
      </c>
      <c r="J12928" t="s">
        <v>390</v>
      </c>
      <c r="K12928">
        <v>365.9</v>
      </c>
      <c r="L12928">
        <v>14.97</v>
      </c>
      <c r="M12928">
        <v>11603</v>
      </c>
      <c r="N12928" t="s">
        <v>897</v>
      </c>
      <c r="O12928">
        <v>250414</v>
      </c>
      <c r="P12928">
        <v>58.73</v>
      </c>
    </row>
    <row r="12929" spans="1:16" x14ac:dyDescent="0.25">
      <c r="A12929" t="s">
        <v>3296</v>
      </c>
      <c r="B12929" t="s">
        <v>2931</v>
      </c>
      <c r="C12929">
        <v>4544</v>
      </c>
      <c r="D12929" t="str">
        <f t="shared" si="183"/>
        <v xml:space="preserve">0063002573  </v>
      </c>
      <c r="E12929" t="s">
        <v>954</v>
      </c>
      <c r="F12929" t="s">
        <v>955</v>
      </c>
      <c r="G12929">
        <v>81.52</v>
      </c>
      <c r="H12929">
        <v>250331</v>
      </c>
      <c r="I12929">
        <v>4560</v>
      </c>
      <c r="J12929" t="s">
        <v>390</v>
      </c>
      <c r="K12929">
        <v>365.9</v>
      </c>
      <c r="L12929">
        <v>16.559999999999999</v>
      </c>
      <c r="M12929">
        <v>17523</v>
      </c>
      <c r="N12929" t="s">
        <v>138</v>
      </c>
      <c r="O12929">
        <v>250414</v>
      </c>
      <c r="P12929">
        <v>64.959999999999994</v>
      </c>
    </row>
    <row r="12930" spans="1:16" x14ac:dyDescent="0.25">
      <c r="A12930" t="s">
        <v>3296</v>
      </c>
      <c r="B12930" t="s">
        <v>2931</v>
      </c>
      <c r="C12930">
        <v>4544</v>
      </c>
      <c r="D12930" t="str">
        <f t="shared" si="183"/>
        <v xml:space="preserve">0063002573  </v>
      </c>
      <c r="E12930" t="s">
        <v>954</v>
      </c>
      <c r="F12930" t="s">
        <v>955</v>
      </c>
      <c r="G12930">
        <v>60.05</v>
      </c>
      <c r="H12930">
        <v>250331</v>
      </c>
      <c r="I12930">
        <v>4560</v>
      </c>
      <c r="J12930" t="s">
        <v>390</v>
      </c>
      <c r="K12930">
        <v>365.9</v>
      </c>
      <c r="L12930">
        <v>12.2</v>
      </c>
      <c r="M12930">
        <v>17526</v>
      </c>
      <c r="N12930" t="s">
        <v>141</v>
      </c>
      <c r="O12930">
        <v>250414</v>
      </c>
      <c r="P12930">
        <v>47.85</v>
      </c>
    </row>
    <row r="12931" spans="1:16" x14ac:dyDescent="0.25">
      <c r="A12931" t="s">
        <v>3296</v>
      </c>
      <c r="B12931" t="s">
        <v>2931</v>
      </c>
      <c r="C12931">
        <v>4544</v>
      </c>
      <c r="D12931" t="str">
        <f t="shared" si="183"/>
        <v xml:space="preserve">0063002573  </v>
      </c>
      <c r="E12931" t="s">
        <v>954</v>
      </c>
      <c r="F12931" t="s">
        <v>955</v>
      </c>
      <c r="G12931">
        <v>22.21</v>
      </c>
      <c r="H12931">
        <v>250331</v>
      </c>
      <c r="I12931">
        <v>4560</v>
      </c>
      <c r="J12931" t="s">
        <v>390</v>
      </c>
      <c r="K12931">
        <v>365.9</v>
      </c>
      <c r="L12931">
        <v>4.51</v>
      </c>
      <c r="M12931">
        <v>17529</v>
      </c>
      <c r="N12931" t="s">
        <v>143</v>
      </c>
      <c r="O12931">
        <v>250414</v>
      </c>
      <c r="P12931">
        <v>17.7</v>
      </c>
    </row>
    <row r="12932" spans="1:16" x14ac:dyDescent="0.25">
      <c r="A12932" t="s">
        <v>3296</v>
      </c>
      <c r="B12932" t="s">
        <v>2931</v>
      </c>
      <c r="C12932">
        <v>4544</v>
      </c>
      <c r="D12932" t="str">
        <f t="shared" si="183"/>
        <v xml:space="preserve">0063002573  </v>
      </c>
      <c r="E12932" t="s">
        <v>954</v>
      </c>
      <c r="F12932" t="s">
        <v>955</v>
      </c>
      <c r="G12932">
        <v>24.27</v>
      </c>
      <c r="H12932">
        <v>250331</v>
      </c>
      <c r="I12932">
        <v>4560</v>
      </c>
      <c r="J12932" t="s">
        <v>390</v>
      </c>
      <c r="K12932">
        <v>365.9</v>
      </c>
      <c r="L12932">
        <v>4.93</v>
      </c>
      <c r="M12932">
        <v>17538</v>
      </c>
      <c r="N12932" t="s">
        <v>129</v>
      </c>
      <c r="O12932">
        <v>250414</v>
      </c>
      <c r="P12932">
        <v>19.34</v>
      </c>
    </row>
    <row r="12933" spans="1:16" x14ac:dyDescent="0.25">
      <c r="A12933" t="s">
        <v>3296</v>
      </c>
      <c r="B12933" t="s">
        <v>2931</v>
      </c>
      <c r="C12933">
        <v>4544</v>
      </c>
      <c r="D12933" t="str">
        <f t="shared" si="183"/>
        <v xml:space="preserve">0063002573  </v>
      </c>
      <c r="E12933" t="s">
        <v>954</v>
      </c>
      <c r="F12933" t="s">
        <v>955</v>
      </c>
      <c r="G12933">
        <v>68.150000000000006</v>
      </c>
      <c r="H12933">
        <v>250331</v>
      </c>
      <c r="I12933">
        <v>4560</v>
      </c>
      <c r="J12933" t="s">
        <v>390</v>
      </c>
      <c r="K12933">
        <v>365.9</v>
      </c>
      <c r="L12933">
        <v>13.85</v>
      </c>
      <c r="M12933">
        <v>17538</v>
      </c>
      <c r="N12933" t="s">
        <v>129</v>
      </c>
      <c r="O12933">
        <v>250414</v>
      </c>
      <c r="P12933">
        <v>54.3</v>
      </c>
    </row>
    <row r="12934" spans="1:16" x14ac:dyDescent="0.25">
      <c r="A12934" t="s">
        <v>3296</v>
      </c>
      <c r="B12934" t="s">
        <v>2931</v>
      </c>
      <c r="C12934">
        <v>4544</v>
      </c>
      <c r="D12934" t="str">
        <f t="shared" si="183"/>
        <v xml:space="preserve">0063002573  </v>
      </c>
      <c r="E12934" t="s">
        <v>954</v>
      </c>
      <c r="F12934" t="s">
        <v>955</v>
      </c>
      <c r="G12934">
        <v>36</v>
      </c>
      <c r="H12934">
        <v>250331</v>
      </c>
      <c r="I12934">
        <v>4560</v>
      </c>
      <c r="J12934" t="s">
        <v>390</v>
      </c>
      <c r="K12934">
        <v>365.9</v>
      </c>
      <c r="L12934">
        <v>7.31</v>
      </c>
      <c r="M12934">
        <v>17808</v>
      </c>
      <c r="N12934" t="s">
        <v>24</v>
      </c>
      <c r="O12934">
        <v>250414</v>
      </c>
      <c r="P12934">
        <v>28.69</v>
      </c>
    </row>
    <row r="12935" spans="1:16" x14ac:dyDescent="0.25">
      <c r="A12935" t="s">
        <v>3296</v>
      </c>
      <c r="B12935" t="s">
        <v>2931</v>
      </c>
      <c r="C12935">
        <v>6365</v>
      </c>
      <c r="D12935" t="str">
        <f>"0063002580  "</f>
        <v xml:space="preserve">0063002580  </v>
      </c>
      <c r="E12935" t="s">
        <v>954</v>
      </c>
      <c r="F12935" t="s">
        <v>955</v>
      </c>
      <c r="G12935">
        <v>12.63</v>
      </c>
      <c r="H12935">
        <v>250430</v>
      </c>
      <c r="I12935">
        <v>4560</v>
      </c>
      <c r="J12935" t="s">
        <v>390</v>
      </c>
      <c r="K12935">
        <v>134.15</v>
      </c>
      <c r="L12935">
        <v>2.57</v>
      </c>
      <c r="M12935">
        <v>11900</v>
      </c>
      <c r="N12935" t="s">
        <v>30</v>
      </c>
      <c r="O12935">
        <v>250513</v>
      </c>
      <c r="P12935">
        <v>10.06</v>
      </c>
    </row>
    <row r="12936" spans="1:16" x14ac:dyDescent="0.25">
      <c r="A12936" t="s">
        <v>3296</v>
      </c>
      <c r="B12936" t="s">
        <v>2931</v>
      </c>
      <c r="C12936">
        <v>6365</v>
      </c>
      <c r="D12936" t="str">
        <f>"0063002580  "</f>
        <v xml:space="preserve">0063002580  </v>
      </c>
      <c r="E12936" t="s">
        <v>954</v>
      </c>
      <c r="F12936" t="s">
        <v>955</v>
      </c>
      <c r="G12936">
        <v>11.89</v>
      </c>
      <c r="H12936">
        <v>250430</v>
      </c>
      <c r="I12936">
        <v>4560</v>
      </c>
      <c r="J12936" t="s">
        <v>390</v>
      </c>
      <c r="K12936">
        <v>134.15</v>
      </c>
      <c r="L12936">
        <v>2.42</v>
      </c>
      <c r="M12936">
        <v>17523</v>
      </c>
      <c r="N12936" t="s">
        <v>138</v>
      </c>
      <c r="O12936">
        <v>250513</v>
      </c>
      <c r="P12936">
        <v>9.4700000000000006</v>
      </c>
    </row>
    <row r="12937" spans="1:16" x14ac:dyDescent="0.25">
      <c r="A12937" t="s">
        <v>3296</v>
      </c>
      <c r="B12937" t="s">
        <v>2931</v>
      </c>
      <c r="C12937">
        <v>6365</v>
      </c>
      <c r="D12937" t="str">
        <f>"0063002580  "</f>
        <v xml:space="preserve">0063002580  </v>
      </c>
      <c r="E12937" t="s">
        <v>954</v>
      </c>
      <c r="F12937" t="s">
        <v>955</v>
      </c>
      <c r="G12937">
        <v>17.190000000000001</v>
      </c>
      <c r="H12937">
        <v>250430</v>
      </c>
      <c r="I12937">
        <v>4560</v>
      </c>
      <c r="J12937" t="s">
        <v>390</v>
      </c>
      <c r="K12937">
        <v>134.15</v>
      </c>
      <c r="L12937">
        <v>3.49</v>
      </c>
      <c r="M12937">
        <v>17525</v>
      </c>
      <c r="N12937" t="s">
        <v>140</v>
      </c>
      <c r="O12937">
        <v>250513</v>
      </c>
      <c r="P12937">
        <v>13.7</v>
      </c>
    </row>
    <row r="12938" spans="1:16" x14ac:dyDescent="0.25">
      <c r="A12938" t="s">
        <v>3296</v>
      </c>
      <c r="B12938" t="s">
        <v>2931</v>
      </c>
      <c r="C12938">
        <v>6365</v>
      </c>
      <c r="D12938" t="str">
        <f>"0063002580  "</f>
        <v xml:space="preserve">0063002580  </v>
      </c>
      <c r="E12938" t="s">
        <v>954</v>
      </c>
      <c r="F12938" t="s">
        <v>955</v>
      </c>
      <c r="G12938">
        <v>38</v>
      </c>
      <c r="H12938">
        <v>250430</v>
      </c>
      <c r="I12938">
        <v>4560</v>
      </c>
      <c r="J12938" t="s">
        <v>390</v>
      </c>
      <c r="K12938">
        <v>134.15</v>
      </c>
      <c r="L12938">
        <v>7.72</v>
      </c>
      <c r="M12938">
        <v>17538</v>
      </c>
      <c r="N12938" t="s">
        <v>129</v>
      </c>
      <c r="O12938">
        <v>250513</v>
      </c>
      <c r="P12938">
        <v>30.28</v>
      </c>
    </row>
    <row r="12939" spans="1:16" x14ac:dyDescent="0.25">
      <c r="A12939" t="s">
        <v>3296</v>
      </c>
      <c r="B12939" t="s">
        <v>2931</v>
      </c>
      <c r="C12939">
        <v>6365</v>
      </c>
      <c r="D12939" t="str">
        <f>"0063002580  "</f>
        <v xml:space="preserve">0063002580  </v>
      </c>
      <c r="E12939" t="s">
        <v>954</v>
      </c>
      <c r="F12939" t="s">
        <v>955</v>
      </c>
      <c r="G12939">
        <v>54.44</v>
      </c>
      <c r="H12939">
        <v>250430</v>
      </c>
      <c r="I12939">
        <v>4560</v>
      </c>
      <c r="J12939" t="s">
        <v>390</v>
      </c>
      <c r="K12939">
        <v>134.15</v>
      </c>
      <c r="L12939">
        <v>11.06</v>
      </c>
      <c r="M12939">
        <v>17538</v>
      </c>
      <c r="N12939" t="s">
        <v>129</v>
      </c>
      <c r="O12939">
        <v>250513</v>
      </c>
      <c r="P12939">
        <v>43.38</v>
      </c>
    </row>
    <row r="12940" spans="1:16" x14ac:dyDescent="0.25">
      <c r="A12940" t="s">
        <v>3296</v>
      </c>
      <c r="B12940" t="s">
        <v>2931</v>
      </c>
      <c r="C12940">
        <v>7928</v>
      </c>
      <c r="D12940" t="str">
        <f>"0063002592  "</f>
        <v xml:space="preserve">0063002592  </v>
      </c>
      <c r="E12940" t="s">
        <v>954</v>
      </c>
      <c r="F12940" t="s">
        <v>955</v>
      </c>
      <c r="G12940">
        <v>48.03</v>
      </c>
      <c r="H12940">
        <v>250531</v>
      </c>
      <c r="I12940">
        <v>4560</v>
      </c>
      <c r="J12940" t="s">
        <v>390</v>
      </c>
      <c r="K12940">
        <v>161.74</v>
      </c>
      <c r="L12940">
        <v>9.76</v>
      </c>
      <c r="M12940">
        <v>17523</v>
      </c>
      <c r="N12940" t="s">
        <v>138</v>
      </c>
      <c r="O12940">
        <v>250610</v>
      </c>
      <c r="P12940">
        <v>38.270000000000003</v>
      </c>
    </row>
    <row r="12941" spans="1:16" x14ac:dyDescent="0.25">
      <c r="A12941" t="s">
        <v>3296</v>
      </c>
      <c r="B12941" t="s">
        <v>2931</v>
      </c>
      <c r="C12941">
        <v>7928</v>
      </c>
      <c r="D12941" t="str">
        <f>"0063002592  "</f>
        <v xml:space="preserve">0063002592  </v>
      </c>
      <c r="E12941" t="s">
        <v>954</v>
      </c>
      <c r="F12941" t="s">
        <v>955</v>
      </c>
      <c r="G12941">
        <v>113.71</v>
      </c>
      <c r="H12941">
        <v>250531</v>
      </c>
      <c r="I12941">
        <v>4560</v>
      </c>
      <c r="J12941" t="s">
        <v>390</v>
      </c>
      <c r="K12941">
        <v>161.74</v>
      </c>
      <c r="L12941">
        <v>23.1</v>
      </c>
      <c r="M12941">
        <v>17527</v>
      </c>
      <c r="N12941" t="s">
        <v>142</v>
      </c>
      <c r="O12941">
        <v>250610</v>
      </c>
      <c r="P12941">
        <v>90.61</v>
      </c>
    </row>
    <row r="12942" spans="1:16" x14ac:dyDescent="0.25">
      <c r="A12942" t="s">
        <v>3296</v>
      </c>
      <c r="B12942" t="s">
        <v>2931</v>
      </c>
      <c r="C12942">
        <v>9370</v>
      </c>
      <c r="D12942" t="str">
        <f>"0063002603  "</f>
        <v xml:space="preserve">0063002603  </v>
      </c>
      <c r="E12942" t="s">
        <v>954</v>
      </c>
      <c r="F12942" t="s">
        <v>955</v>
      </c>
      <c r="G12942">
        <v>76.569999999999993</v>
      </c>
      <c r="H12942">
        <v>250630</v>
      </c>
      <c r="I12942">
        <v>4560</v>
      </c>
      <c r="J12942" t="s">
        <v>390</v>
      </c>
      <c r="K12942">
        <v>138.36000000000001</v>
      </c>
      <c r="L12942">
        <v>15.56</v>
      </c>
      <c r="M12942">
        <v>17533</v>
      </c>
      <c r="N12942" t="s">
        <v>147</v>
      </c>
      <c r="O12942">
        <v>250707</v>
      </c>
      <c r="P12942">
        <v>61.01</v>
      </c>
    </row>
    <row r="12943" spans="1:16" x14ac:dyDescent="0.25">
      <c r="A12943" t="s">
        <v>3296</v>
      </c>
      <c r="B12943" t="s">
        <v>2931</v>
      </c>
      <c r="C12943">
        <v>9370</v>
      </c>
      <c r="D12943" t="str">
        <f>"0063002603  "</f>
        <v xml:space="preserve">0063002603  </v>
      </c>
      <c r="E12943" t="s">
        <v>954</v>
      </c>
      <c r="F12943" t="s">
        <v>955</v>
      </c>
      <c r="G12943">
        <v>61.79</v>
      </c>
      <c r="H12943">
        <v>250630</v>
      </c>
      <c r="I12943">
        <v>4560</v>
      </c>
      <c r="J12943" t="s">
        <v>390</v>
      </c>
      <c r="K12943">
        <v>138.36000000000001</v>
      </c>
      <c r="L12943">
        <v>12.55</v>
      </c>
      <c r="M12943">
        <v>17975</v>
      </c>
      <c r="N12943" t="s">
        <v>29</v>
      </c>
      <c r="O12943">
        <v>250707</v>
      </c>
      <c r="P12943">
        <v>49.24</v>
      </c>
    </row>
    <row r="12944" spans="1:16" x14ac:dyDescent="0.25">
      <c r="A12944" t="s">
        <v>3296</v>
      </c>
      <c r="B12944" t="s">
        <v>2931</v>
      </c>
      <c r="C12944">
        <v>2828</v>
      </c>
      <c r="D12944" t="str">
        <f>"0063002567  "</f>
        <v xml:space="preserve">0063002567  </v>
      </c>
      <c r="E12944" t="s">
        <v>954</v>
      </c>
      <c r="F12944" t="s">
        <v>955</v>
      </c>
      <c r="G12944">
        <v>26.43</v>
      </c>
      <c r="H12944">
        <v>250228</v>
      </c>
      <c r="I12944">
        <v>4600</v>
      </c>
      <c r="J12944" t="s">
        <v>278</v>
      </c>
      <c r="K12944">
        <v>26.43</v>
      </c>
      <c r="L12944">
        <v>5.37</v>
      </c>
      <c r="M12944">
        <v>17529</v>
      </c>
      <c r="N12944" t="s">
        <v>143</v>
      </c>
      <c r="O12944">
        <v>250312</v>
      </c>
      <c r="P12944">
        <v>21.06</v>
      </c>
    </row>
    <row r="12945" spans="1:16" x14ac:dyDescent="0.25">
      <c r="A12945" t="s">
        <v>3296</v>
      </c>
      <c r="B12945" t="s">
        <v>2931</v>
      </c>
      <c r="C12945">
        <v>1568</v>
      </c>
      <c r="D12945" t="str">
        <f>"36948505    "</f>
        <v xml:space="preserve">36948505    </v>
      </c>
      <c r="E12945" t="s">
        <v>222</v>
      </c>
      <c r="F12945" t="s">
        <v>224</v>
      </c>
      <c r="G12945">
        <v>104.2</v>
      </c>
      <c r="H12945">
        <v>250131</v>
      </c>
      <c r="I12945">
        <v>4380</v>
      </c>
      <c r="J12945" t="s">
        <v>211</v>
      </c>
      <c r="K12945">
        <v>415.8</v>
      </c>
      <c r="L12945">
        <v>0</v>
      </c>
      <c r="M12945">
        <v>11001</v>
      </c>
      <c r="N12945" t="s">
        <v>93</v>
      </c>
      <c r="O12945">
        <v>250211</v>
      </c>
      <c r="P12945">
        <v>104.2</v>
      </c>
    </row>
    <row r="12946" spans="1:16" x14ac:dyDescent="0.25">
      <c r="A12946" t="s">
        <v>3296</v>
      </c>
      <c r="B12946" t="s">
        <v>2931</v>
      </c>
      <c r="C12946">
        <v>1568</v>
      </c>
      <c r="D12946" t="str">
        <f>"36948505    "</f>
        <v xml:space="preserve">36948505    </v>
      </c>
      <c r="E12946" t="s">
        <v>222</v>
      </c>
      <c r="F12946" t="s">
        <v>224</v>
      </c>
      <c r="G12946">
        <v>14.5</v>
      </c>
      <c r="H12946">
        <v>250131</v>
      </c>
      <c r="I12946">
        <v>4380</v>
      </c>
      <c r="J12946" t="s">
        <v>211</v>
      </c>
      <c r="K12946">
        <v>415.8</v>
      </c>
      <c r="L12946">
        <v>0</v>
      </c>
      <c r="M12946">
        <v>18972</v>
      </c>
      <c r="N12946" t="s">
        <v>39</v>
      </c>
      <c r="O12946">
        <v>250211</v>
      </c>
      <c r="P12946">
        <v>14.5</v>
      </c>
    </row>
    <row r="12947" spans="1:16" x14ac:dyDescent="0.25">
      <c r="A12947" t="s">
        <v>3296</v>
      </c>
      <c r="B12947" t="s">
        <v>2931</v>
      </c>
      <c r="C12947">
        <v>2792</v>
      </c>
      <c r="D12947" t="str">
        <f>"70008475    "</f>
        <v xml:space="preserve">70008475    </v>
      </c>
      <c r="E12947" t="s">
        <v>222</v>
      </c>
      <c r="F12947" t="s">
        <v>224</v>
      </c>
      <c r="G12947">
        <v>83.4</v>
      </c>
      <c r="H12947">
        <v>250228</v>
      </c>
      <c r="I12947">
        <v>4380</v>
      </c>
      <c r="J12947" t="s">
        <v>211</v>
      </c>
      <c r="K12947">
        <v>514.84</v>
      </c>
      <c r="L12947">
        <v>0</v>
      </c>
      <c r="M12947">
        <v>11001</v>
      </c>
      <c r="N12947" t="s">
        <v>93</v>
      </c>
      <c r="O12947">
        <v>250312</v>
      </c>
      <c r="P12947">
        <v>83.4</v>
      </c>
    </row>
    <row r="12948" spans="1:16" x14ac:dyDescent="0.25">
      <c r="A12948" t="s">
        <v>3296</v>
      </c>
      <c r="B12948" t="s">
        <v>2931</v>
      </c>
      <c r="C12948">
        <v>2792</v>
      </c>
      <c r="D12948" t="str">
        <f>"70008475    "</f>
        <v xml:space="preserve">70008475    </v>
      </c>
      <c r="E12948" t="s">
        <v>222</v>
      </c>
      <c r="F12948" t="s">
        <v>224</v>
      </c>
      <c r="G12948">
        <v>48</v>
      </c>
      <c r="H12948">
        <v>250228</v>
      </c>
      <c r="I12948">
        <v>4380</v>
      </c>
      <c r="J12948" t="s">
        <v>211</v>
      </c>
      <c r="K12948">
        <v>514.84</v>
      </c>
      <c r="L12948">
        <v>0</v>
      </c>
      <c r="M12948">
        <v>18972</v>
      </c>
      <c r="N12948" t="s">
        <v>39</v>
      </c>
      <c r="O12948">
        <v>250312</v>
      </c>
      <c r="P12948">
        <v>48</v>
      </c>
    </row>
    <row r="12949" spans="1:16" x14ac:dyDescent="0.25">
      <c r="A12949" t="s">
        <v>3296</v>
      </c>
      <c r="B12949" t="s">
        <v>2931</v>
      </c>
      <c r="C12949">
        <v>4389</v>
      </c>
      <c r="D12949" t="str">
        <f>"70067797    "</f>
        <v xml:space="preserve">70067797    </v>
      </c>
      <c r="E12949" t="s">
        <v>222</v>
      </c>
      <c r="F12949" t="s">
        <v>224</v>
      </c>
      <c r="G12949">
        <v>197</v>
      </c>
      <c r="H12949">
        <v>250331</v>
      </c>
      <c r="I12949">
        <v>4380</v>
      </c>
      <c r="J12949" t="s">
        <v>211</v>
      </c>
      <c r="K12949">
        <v>520.01</v>
      </c>
      <c r="L12949">
        <v>0</v>
      </c>
      <c r="M12949">
        <v>11001</v>
      </c>
      <c r="N12949" t="s">
        <v>93</v>
      </c>
      <c r="O12949">
        <v>250411</v>
      </c>
      <c r="P12949">
        <v>197</v>
      </c>
    </row>
    <row r="12950" spans="1:16" x14ac:dyDescent="0.25">
      <c r="A12950" t="s">
        <v>3296</v>
      </c>
      <c r="B12950" t="s">
        <v>2931</v>
      </c>
      <c r="C12950">
        <v>4389</v>
      </c>
      <c r="D12950" t="str">
        <f>"70067797    "</f>
        <v xml:space="preserve">70067797    </v>
      </c>
      <c r="E12950" t="s">
        <v>222</v>
      </c>
      <c r="F12950" t="s">
        <v>224</v>
      </c>
      <c r="G12950">
        <v>22</v>
      </c>
      <c r="H12950">
        <v>250331</v>
      </c>
      <c r="I12950">
        <v>4380</v>
      </c>
      <c r="J12950" t="s">
        <v>211</v>
      </c>
      <c r="K12950">
        <v>520.01</v>
      </c>
      <c r="L12950">
        <v>0</v>
      </c>
      <c r="M12950">
        <v>18972</v>
      </c>
      <c r="N12950" t="s">
        <v>39</v>
      </c>
      <c r="O12950">
        <v>250411</v>
      </c>
      <c r="P12950">
        <v>22</v>
      </c>
    </row>
    <row r="12951" spans="1:16" x14ac:dyDescent="0.25">
      <c r="A12951" t="s">
        <v>3296</v>
      </c>
      <c r="B12951" t="s">
        <v>2931</v>
      </c>
      <c r="C12951">
        <v>6229</v>
      </c>
      <c r="D12951" t="str">
        <f>"70127565    "</f>
        <v xml:space="preserve">70127565    </v>
      </c>
      <c r="E12951" t="s">
        <v>222</v>
      </c>
      <c r="F12951" t="s">
        <v>224</v>
      </c>
      <c r="G12951">
        <v>105.2</v>
      </c>
      <c r="H12951">
        <v>250430</v>
      </c>
      <c r="I12951">
        <v>4380</v>
      </c>
      <c r="J12951" t="s">
        <v>211</v>
      </c>
      <c r="K12951">
        <v>414.01</v>
      </c>
      <c r="L12951">
        <v>0</v>
      </c>
      <c r="M12951">
        <v>11001</v>
      </c>
      <c r="N12951" t="s">
        <v>93</v>
      </c>
      <c r="O12951">
        <v>250512</v>
      </c>
      <c r="P12951">
        <v>105.2</v>
      </c>
    </row>
    <row r="12952" spans="1:16" x14ac:dyDescent="0.25">
      <c r="A12952" t="s">
        <v>3296</v>
      </c>
      <c r="B12952" t="s">
        <v>2931</v>
      </c>
      <c r="C12952">
        <v>6229</v>
      </c>
      <c r="D12952" t="str">
        <f>"70127565    "</f>
        <v xml:space="preserve">70127565    </v>
      </c>
      <c r="E12952" t="s">
        <v>222</v>
      </c>
      <c r="F12952" t="s">
        <v>224</v>
      </c>
      <c r="G12952">
        <v>112.29</v>
      </c>
      <c r="H12952">
        <v>250430</v>
      </c>
      <c r="I12952">
        <v>4380</v>
      </c>
      <c r="J12952" t="s">
        <v>211</v>
      </c>
      <c r="K12952">
        <v>414.01</v>
      </c>
      <c r="L12952">
        <v>0</v>
      </c>
      <c r="M12952">
        <v>18972</v>
      </c>
      <c r="N12952" t="s">
        <v>39</v>
      </c>
      <c r="O12952">
        <v>250512</v>
      </c>
      <c r="P12952">
        <v>112.29</v>
      </c>
    </row>
    <row r="12953" spans="1:16" x14ac:dyDescent="0.25">
      <c r="A12953" t="s">
        <v>3296</v>
      </c>
      <c r="B12953" t="s">
        <v>2931</v>
      </c>
      <c r="C12953">
        <v>8161</v>
      </c>
      <c r="D12953" t="str">
        <f>"70188355    "</f>
        <v xml:space="preserve">70188355    </v>
      </c>
      <c r="E12953" t="s">
        <v>222</v>
      </c>
      <c r="F12953" t="s">
        <v>224</v>
      </c>
      <c r="G12953">
        <v>196.4</v>
      </c>
      <c r="H12953">
        <v>250531</v>
      </c>
      <c r="I12953">
        <v>4380</v>
      </c>
      <c r="J12953" t="s">
        <v>211</v>
      </c>
      <c r="K12953">
        <v>529.11</v>
      </c>
      <c r="L12953">
        <v>0</v>
      </c>
      <c r="M12953">
        <v>11001</v>
      </c>
      <c r="N12953" t="s">
        <v>93</v>
      </c>
      <c r="O12953">
        <v>250611</v>
      </c>
      <c r="P12953">
        <v>196.4</v>
      </c>
    </row>
    <row r="12954" spans="1:16" x14ac:dyDescent="0.25">
      <c r="A12954" t="s">
        <v>3296</v>
      </c>
      <c r="B12954" t="s">
        <v>2931</v>
      </c>
      <c r="C12954">
        <v>8161</v>
      </c>
      <c r="D12954" t="str">
        <f>"70188355    "</f>
        <v xml:space="preserve">70188355    </v>
      </c>
      <c r="E12954" t="s">
        <v>222</v>
      </c>
      <c r="F12954" t="s">
        <v>224</v>
      </c>
      <c r="G12954">
        <v>50</v>
      </c>
      <c r="H12954">
        <v>250531</v>
      </c>
      <c r="I12954">
        <v>4380</v>
      </c>
      <c r="J12954" t="s">
        <v>211</v>
      </c>
      <c r="K12954">
        <v>529.11</v>
      </c>
      <c r="L12954">
        <v>0</v>
      </c>
      <c r="M12954">
        <v>18972</v>
      </c>
      <c r="N12954" t="s">
        <v>39</v>
      </c>
      <c r="O12954">
        <v>250611</v>
      </c>
      <c r="P12954">
        <v>50</v>
      </c>
    </row>
    <row r="12955" spans="1:16" x14ac:dyDescent="0.25">
      <c r="A12955" t="s">
        <v>3296</v>
      </c>
      <c r="B12955" t="s">
        <v>2931</v>
      </c>
      <c r="C12955">
        <v>9461</v>
      </c>
      <c r="D12955" t="str">
        <f>"70249448    "</f>
        <v xml:space="preserve">70249448    </v>
      </c>
      <c r="E12955" t="s">
        <v>222</v>
      </c>
      <c r="F12955" t="s">
        <v>224</v>
      </c>
      <c r="G12955">
        <v>252.2</v>
      </c>
      <c r="H12955">
        <v>250630</v>
      </c>
      <c r="I12955">
        <v>4380</v>
      </c>
      <c r="J12955" t="s">
        <v>211</v>
      </c>
      <c r="K12955">
        <v>504.41</v>
      </c>
      <c r="L12955">
        <v>0</v>
      </c>
      <c r="M12955">
        <v>11001</v>
      </c>
      <c r="N12955" t="s">
        <v>93</v>
      </c>
      <c r="O12955">
        <v>250708</v>
      </c>
      <c r="P12955">
        <v>252.2</v>
      </c>
    </row>
    <row r="12956" spans="1:16" x14ac:dyDescent="0.25">
      <c r="A12956" t="s">
        <v>3296</v>
      </c>
      <c r="B12956" t="s">
        <v>2931</v>
      </c>
      <c r="C12956">
        <v>10299</v>
      </c>
      <c r="D12956" t="str">
        <f>"70309494    "</f>
        <v xml:space="preserve">70309494    </v>
      </c>
      <c r="E12956" t="s">
        <v>222</v>
      </c>
      <c r="F12956" t="s">
        <v>224</v>
      </c>
      <c r="G12956">
        <v>156.5</v>
      </c>
      <c r="H12956">
        <v>250731</v>
      </c>
      <c r="I12956">
        <v>4380</v>
      </c>
      <c r="J12956" t="s">
        <v>211</v>
      </c>
      <c r="K12956">
        <v>497.79</v>
      </c>
      <c r="L12956">
        <v>0</v>
      </c>
      <c r="M12956">
        <v>11001</v>
      </c>
      <c r="N12956" t="s">
        <v>93</v>
      </c>
      <c r="O12956">
        <v>250814</v>
      </c>
      <c r="P12956">
        <v>156.5</v>
      </c>
    </row>
    <row r="12957" spans="1:16" x14ac:dyDescent="0.25">
      <c r="A12957" t="s">
        <v>3296</v>
      </c>
      <c r="B12957" t="s">
        <v>2931</v>
      </c>
      <c r="C12957">
        <v>10299</v>
      </c>
      <c r="D12957" t="str">
        <f>"70309494    "</f>
        <v xml:space="preserve">70309494    </v>
      </c>
      <c r="E12957" t="s">
        <v>222</v>
      </c>
      <c r="F12957" t="s">
        <v>224</v>
      </c>
      <c r="G12957">
        <v>25</v>
      </c>
      <c r="H12957">
        <v>250731</v>
      </c>
      <c r="I12957">
        <v>4380</v>
      </c>
      <c r="J12957" t="s">
        <v>211</v>
      </c>
      <c r="K12957">
        <v>497.79</v>
      </c>
      <c r="L12957">
        <v>0</v>
      </c>
      <c r="M12957">
        <v>18972</v>
      </c>
      <c r="N12957" t="s">
        <v>39</v>
      </c>
      <c r="O12957">
        <v>250814</v>
      </c>
      <c r="P12957">
        <v>25</v>
      </c>
    </row>
    <row r="12958" spans="1:16" x14ac:dyDescent="0.25">
      <c r="A12958" t="s">
        <v>3296</v>
      </c>
      <c r="B12958" t="s">
        <v>2931</v>
      </c>
      <c r="C12958">
        <v>11578</v>
      </c>
      <c r="D12958" t="str">
        <f>"70369316    "</f>
        <v xml:space="preserve">70369316    </v>
      </c>
      <c r="E12958" t="s">
        <v>222</v>
      </c>
      <c r="F12958" t="s">
        <v>224</v>
      </c>
      <c r="G12958">
        <v>98.7</v>
      </c>
      <c r="H12958">
        <v>250831</v>
      </c>
      <c r="I12958">
        <v>4380</v>
      </c>
      <c r="J12958" t="s">
        <v>211</v>
      </c>
      <c r="K12958">
        <v>349.56</v>
      </c>
      <c r="L12958">
        <v>0</v>
      </c>
      <c r="M12958">
        <v>11001</v>
      </c>
      <c r="N12958" t="s">
        <v>93</v>
      </c>
      <c r="O12958">
        <v>250909</v>
      </c>
      <c r="P12958">
        <v>98.7</v>
      </c>
    </row>
    <row r="12959" spans="1:16" x14ac:dyDescent="0.25">
      <c r="A12959" t="s">
        <v>3296</v>
      </c>
      <c r="B12959" t="s">
        <v>2931</v>
      </c>
      <c r="C12959">
        <v>13194</v>
      </c>
      <c r="D12959" t="str">
        <f>"70429801    "</f>
        <v xml:space="preserve">70429801    </v>
      </c>
      <c r="E12959" t="s">
        <v>222</v>
      </c>
      <c r="F12959" t="s">
        <v>224</v>
      </c>
      <c r="G12959">
        <v>65.8</v>
      </c>
      <c r="H12959">
        <v>250930</v>
      </c>
      <c r="I12959">
        <v>4380</v>
      </c>
      <c r="J12959" t="s">
        <v>211</v>
      </c>
      <c r="K12959">
        <v>513.51</v>
      </c>
      <c r="L12959">
        <v>0</v>
      </c>
      <c r="M12959">
        <v>11001</v>
      </c>
      <c r="N12959" t="s">
        <v>93</v>
      </c>
      <c r="O12959">
        <v>251006</v>
      </c>
      <c r="P12959">
        <v>65.8</v>
      </c>
    </row>
    <row r="12960" spans="1:16" x14ac:dyDescent="0.25">
      <c r="A12960" t="s">
        <v>3296</v>
      </c>
      <c r="B12960" t="s">
        <v>2931</v>
      </c>
      <c r="C12960">
        <v>14739</v>
      </c>
      <c r="D12960" t="str">
        <f>"70489705    "</f>
        <v xml:space="preserve">70489705    </v>
      </c>
      <c r="E12960" t="s">
        <v>222</v>
      </c>
      <c r="F12960" t="s">
        <v>224</v>
      </c>
      <c r="G12960">
        <v>120.4</v>
      </c>
      <c r="H12960">
        <v>251031</v>
      </c>
      <c r="I12960">
        <v>4380</v>
      </c>
      <c r="J12960" t="s">
        <v>211</v>
      </c>
      <c r="K12960">
        <v>522.41999999999996</v>
      </c>
      <c r="L12960">
        <v>0</v>
      </c>
      <c r="M12960">
        <v>11001</v>
      </c>
      <c r="N12960" t="s">
        <v>93</v>
      </c>
      <c r="O12960">
        <v>251106</v>
      </c>
      <c r="P12960">
        <v>120.4</v>
      </c>
    </row>
    <row r="12961" spans="1:16" x14ac:dyDescent="0.25">
      <c r="A12961" t="s">
        <v>3296</v>
      </c>
      <c r="B12961" t="s">
        <v>2931</v>
      </c>
      <c r="C12961">
        <v>15492</v>
      </c>
      <c r="D12961" t="str">
        <f>"70534771    "</f>
        <v xml:space="preserve">70534771    </v>
      </c>
      <c r="E12961" t="s">
        <v>222</v>
      </c>
      <c r="F12961" t="s">
        <v>224</v>
      </c>
      <c r="G12961">
        <v>52.5</v>
      </c>
      <c r="H12961">
        <v>251115</v>
      </c>
      <c r="I12961">
        <v>4380</v>
      </c>
      <c r="J12961" t="s">
        <v>211</v>
      </c>
      <c r="K12961">
        <v>129.27000000000001</v>
      </c>
      <c r="L12961">
        <v>0</v>
      </c>
      <c r="M12961">
        <v>11001</v>
      </c>
      <c r="N12961" t="s">
        <v>93</v>
      </c>
      <c r="O12961">
        <v>251121</v>
      </c>
      <c r="P12961">
        <v>52.5</v>
      </c>
    </row>
    <row r="12962" spans="1:16" x14ac:dyDescent="0.25">
      <c r="A12962" t="s">
        <v>3296</v>
      </c>
      <c r="B12962" t="s">
        <v>2931</v>
      </c>
      <c r="C12962">
        <v>16189</v>
      </c>
      <c r="D12962" t="str">
        <f>"70565143    "</f>
        <v xml:space="preserve">70565143    </v>
      </c>
      <c r="E12962" t="s">
        <v>222</v>
      </c>
      <c r="F12962" t="s">
        <v>224</v>
      </c>
      <c r="G12962">
        <v>70</v>
      </c>
      <c r="H12962">
        <v>251130</v>
      </c>
      <c r="I12962">
        <v>4380</v>
      </c>
      <c r="J12962" t="s">
        <v>211</v>
      </c>
      <c r="K12962">
        <v>193.07</v>
      </c>
      <c r="L12962">
        <v>0</v>
      </c>
      <c r="M12962">
        <v>11001</v>
      </c>
      <c r="N12962" t="s">
        <v>93</v>
      </c>
      <c r="O12962">
        <v>251204</v>
      </c>
      <c r="P12962">
        <v>70</v>
      </c>
    </row>
    <row r="12963" spans="1:16" x14ac:dyDescent="0.25">
      <c r="A12963" t="s">
        <v>3296</v>
      </c>
      <c r="B12963" t="s">
        <v>2931</v>
      </c>
      <c r="C12963">
        <v>17352</v>
      </c>
      <c r="D12963" t="str">
        <f>"70611047    "</f>
        <v xml:space="preserve">70611047    </v>
      </c>
      <c r="E12963" t="s">
        <v>222</v>
      </c>
      <c r="F12963" t="s">
        <v>224</v>
      </c>
      <c r="G12963">
        <v>52.5</v>
      </c>
      <c r="H12963">
        <v>251215</v>
      </c>
      <c r="I12963">
        <v>4380</v>
      </c>
      <c r="J12963" t="s">
        <v>211</v>
      </c>
      <c r="K12963">
        <v>127.18</v>
      </c>
      <c r="L12963">
        <v>0</v>
      </c>
      <c r="M12963">
        <v>11001</v>
      </c>
      <c r="N12963" t="s">
        <v>93</v>
      </c>
      <c r="O12963">
        <v>251219</v>
      </c>
      <c r="P12963">
        <v>52.5</v>
      </c>
    </row>
    <row r="12964" spans="1:16" x14ac:dyDescent="0.25">
      <c r="A12964" t="s">
        <v>3296</v>
      </c>
      <c r="B12964" t="s">
        <v>2931</v>
      </c>
      <c r="C12964">
        <v>17352</v>
      </c>
      <c r="D12964" t="str">
        <f>"70611047    "</f>
        <v xml:space="preserve">70611047    </v>
      </c>
      <c r="E12964" t="s">
        <v>222</v>
      </c>
      <c r="F12964" t="s">
        <v>224</v>
      </c>
      <c r="G12964">
        <v>29</v>
      </c>
      <c r="H12964">
        <v>251215</v>
      </c>
      <c r="I12964">
        <v>4380</v>
      </c>
      <c r="J12964" t="s">
        <v>211</v>
      </c>
      <c r="K12964">
        <v>127.18</v>
      </c>
      <c r="L12964">
        <v>0</v>
      </c>
      <c r="M12964">
        <v>18972</v>
      </c>
      <c r="N12964" t="s">
        <v>39</v>
      </c>
      <c r="O12964">
        <v>251219</v>
      </c>
      <c r="P12964">
        <v>29</v>
      </c>
    </row>
    <row r="12965" spans="1:16" x14ac:dyDescent="0.25">
      <c r="A12965" t="s">
        <v>3296</v>
      </c>
      <c r="B12965" t="s">
        <v>2931</v>
      </c>
      <c r="C12965">
        <v>18476</v>
      </c>
      <c r="D12965" t="str">
        <f>"70642730    "</f>
        <v xml:space="preserve">70642730    </v>
      </c>
      <c r="E12965" t="s">
        <v>222</v>
      </c>
      <c r="F12965" t="s">
        <v>224</v>
      </c>
      <c r="G12965">
        <v>35</v>
      </c>
      <c r="H12965">
        <v>251231</v>
      </c>
      <c r="I12965">
        <v>4380</v>
      </c>
      <c r="J12965" t="s">
        <v>211</v>
      </c>
      <c r="K12965">
        <v>137.12</v>
      </c>
      <c r="L12965">
        <v>0</v>
      </c>
      <c r="M12965">
        <v>11001</v>
      </c>
      <c r="N12965" t="s">
        <v>93</v>
      </c>
      <c r="O12965">
        <v>260114</v>
      </c>
      <c r="P12965">
        <v>35</v>
      </c>
    </row>
    <row r="12966" spans="1:16" x14ac:dyDescent="0.25">
      <c r="A12966" t="s">
        <v>3296</v>
      </c>
      <c r="B12966" t="s">
        <v>2931</v>
      </c>
      <c r="C12966">
        <v>18476</v>
      </c>
      <c r="D12966" t="str">
        <f>"70642730    "</f>
        <v xml:space="preserve">70642730    </v>
      </c>
      <c r="E12966" t="s">
        <v>222</v>
      </c>
      <c r="F12966" t="s">
        <v>224</v>
      </c>
      <c r="G12966">
        <v>28</v>
      </c>
      <c r="H12966">
        <v>251231</v>
      </c>
      <c r="I12966">
        <v>4380</v>
      </c>
      <c r="J12966" t="s">
        <v>211</v>
      </c>
      <c r="K12966">
        <v>137.12</v>
      </c>
      <c r="L12966">
        <v>0</v>
      </c>
      <c r="M12966">
        <v>18972</v>
      </c>
      <c r="N12966" t="s">
        <v>39</v>
      </c>
      <c r="O12966">
        <v>260114</v>
      </c>
      <c r="P12966">
        <v>28</v>
      </c>
    </row>
    <row r="12967" spans="1:16" x14ac:dyDescent="0.25">
      <c r="A12967" t="s">
        <v>3296</v>
      </c>
      <c r="B12967" t="s">
        <v>2931</v>
      </c>
      <c r="C12967">
        <v>2792</v>
      </c>
      <c r="D12967" t="str">
        <f>"70008475    "</f>
        <v xml:space="preserve">70008475    </v>
      </c>
      <c r="E12967" t="s">
        <v>222</v>
      </c>
      <c r="F12967" t="s">
        <v>224</v>
      </c>
      <c r="G12967">
        <v>9.9</v>
      </c>
      <c r="H12967">
        <v>250228</v>
      </c>
      <c r="I12967">
        <v>4550</v>
      </c>
      <c r="J12967" t="s">
        <v>226</v>
      </c>
      <c r="K12967">
        <v>514.84</v>
      </c>
      <c r="L12967">
        <v>0</v>
      </c>
      <c r="M12967">
        <v>11001</v>
      </c>
      <c r="N12967" t="s">
        <v>93</v>
      </c>
      <c r="O12967">
        <v>250312</v>
      </c>
      <c r="P12967">
        <v>9.9</v>
      </c>
    </row>
    <row r="12968" spans="1:16" x14ac:dyDescent="0.25">
      <c r="A12968" t="s">
        <v>3296</v>
      </c>
      <c r="B12968" t="s">
        <v>2931</v>
      </c>
      <c r="C12968">
        <v>4389</v>
      </c>
      <c r="D12968" t="str">
        <f>"70067797    "</f>
        <v xml:space="preserve">70067797    </v>
      </c>
      <c r="E12968" t="s">
        <v>222</v>
      </c>
      <c r="F12968" t="s">
        <v>224</v>
      </c>
      <c r="G12968">
        <v>20.8</v>
      </c>
      <c r="H12968">
        <v>250331</v>
      </c>
      <c r="I12968">
        <v>4550</v>
      </c>
      <c r="J12968" t="s">
        <v>226</v>
      </c>
      <c r="K12968">
        <v>520.01</v>
      </c>
      <c r="L12968">
        <v>0</v>
      </c>
      <c r="M12968">
        <v>11001</v>
      </c>
      <c r="N12968" t="s">
        <v>93</v>
      </c>
      <c r="O12968">
        <v>250411</v>
      </c>
      <c r="P12968">
        <v>20.8</v>
      </c>
    </row>
    <row r="12969" spans="1:16" x14ac:dyDescent="0.25">
      <c r="A12969" t="s">
        <v>3296</v>
      </c>
      <c r="B12969" t="s">
        <v>2931</v>
      </c>
      <c r="C12969">
        <v>8161</v>
      </c>
      <c r="D12969" t="str">
        <f>"70188355    "</f>
        <v xml:space="preserve">70188355    </v>
      </c>
      <c r="E12969" t="s">
        <v>222</v>
      </c>
      <c r="F12969" t="s">
        <v>224</v>
      </c>
      <c r="G12969">
        <v>28.79</v>
      </c>
      <c r="H12969">
        <v>250531</v>
      </c>
      <c r="I12969">
        <v>4550</v>
      </c>
      <c r="J12969" t="s">
        <v>226</v>
      </c>
      <c r="K12969">
        <v>529.11</v>
      </c>
      <c r="L12969">
        <v>0</v>
      </c>
      <c r="M12969">
        <v>11001</v>
      </c>
      <c r="N12969" t="s">
        <v>93</v>
      </c>
      <c r="O12969">
        <v>250611</v>
      </c>
      <c r="P12969">
        <v>28.79</v>
      </c>
    </row>
    <row r="12970" spans="1:16" x14ac:dyDescent="0.25">
      <c r="A12970" t="s">
        <v>3296</v>
      </c>
      <c r="B12970" t="s">
        <v>2931</v>
      </c>
      <c r="C12970">
        <v>9461</v>
      </c>
      <c r="D12970" t="str">
        <f>"70249448    "</f>
        <v xml:space="preserve">70249448    </v>
      </c>
      <c r="E12970" t="s">
        <v>222</v>
      </c>
      <c r="F12970" t="s">
        <v>224</v>
      </c>
      <c r="G12970">
        <v>44.29</v>
      </c>
      <c r="H12970">
        <v>250630</v>
      </c>
      <c r="I12970">
        <v>4550</v>
      </c>
      <c r="J12970" t="s">
        <v>226</v>
      </c>
      <c r="K12970">
        <v>504.41</v>
      </c>
      <c r="L12970">
        <v>0</v>
      </c>
      <c r="M12970">
        <v>11001</v>
      </c>
      <c r="N12970" t="s">
        <v>93</v>
      </c>
      <c r="O12970">
        <v>250708</v>
      </c>
      <c r="P12970">
        <v>44.29</v>
      </c>
    </row>
    <row r="12971" spans="1:16" x14ac:dyDescent="0.25">
      <c r="A12971" t="s">
        <v>3296</v>
      </c>
      <c r="B12971" t="s">
        <v>2931</v>
      </c>
      <c r="C12971">
        <v>10299</v>
      </c>
      <c r="D12971" t="str">
        <f>"70309494    "</f>
        <v xml:space="preserve">70309494    </v>
      </c>
      <c r="E12971" t="s">
        <v>222</v>
      </c>
      <c r="F12971" t="s">
        <v>224</v>
      </c>
      <c r="G12971">
        <v>16.190000000000001</v>
      </c>
      <c r="H12971">
        <v>250731</v>
      </c>
      <c r="I12971">
        <v>4550</v>
      </c>
      <c r="J12971" t="s">
        <v>226</v>
      </c>
      <c r="K12971">
        <v>497.79</v>
      </c>
      <c r="L12971">
        <v>0</v>
      </c>
      <c r="M12971">
        <v>11001</v>
      </c>
      <c r="N12971" t="s">
        <v>93</v>
      </c>
      <c r="O12971">
        <v>250814</v>
      </c>
      <c r="P12971">
        <v>16.190000000000001</v>
      </c>
    </row>
    <row r="12972" spans="1:16" x14ac:dyDescent="0.25">
      <c r="A12972" t="s">
        <v>3296</v>
      </c>
      <c r="B12972" t="s">
        <v>2931</v>
      </c>
      <c r="C12972">
        <v>11578</v>
      </c>
      <c r="D12972" t="str">
        <f>"70369316    "</f>
        <v xml:space="preserve">70369316    </v>
      </c>
      <c r="E12972" t="s">
        <v>222</v>
      </c>
      <c r="F12972" t="s">
        <v>224</v>
      </c>
      <c r="G12972">
        <v>9.9</v>
      </c>
      <c r="H12972">
        <v>250831</v>
      </c>
      <c r="I12972">
        <v>4550</v>
      </c>
      <c r="J12972" t="s">
        <v>226</v>
      </c>
      <c r="K12972">
        <v>349.56</v>
      </c>
      <c r="L12972">
        <v>0</v>
      </c>
      <c r="M12972">
        <v>11001</v>
      </c>
      <c r="N12972" t="s">
        <v>93</v>
      </c>
      <c r="O12972">
        <v>250909</v>
      </c>
      <c r="P12972">
        <v>9.9</v>
      </c>
    </row>
    <row r="12973" spans="1:16" x14ac:dyDescent="0.25">
      <c r="A12973" t="s">
        <v>3296</v>
      </c>
      <c r="B12973" t="s">
        <v>2931</v>
      </c>
      <c r="C12973">
        <v>14739</v>
      </c>
      <c r="D12973" t="str">
        <f>"70489705    "</f>
        <v xml:space="preserve">70489705    </v>
      </c>
      <c r="E12973" t="s">
        <v>222</v>
      </c>
      <c r="F12973" t="s">
        <v>224</v>
      </c>
      <c r="G12973">
        <v>38.799999999999997</v>
      </c>
      <c r="H12973">
        <v>251031</v>
      </c>
      <c r="I12973">
        <v>4550</v>
      </c>
      <c r="J12973" t="s">
        <v>226</v>
      </c>
      <c r="K12973">
        <v>522.41999999999996</v>
      </c>
      <c r="L12973">
        <v>0</v>
      </c>
      <c r="M12973">
        <v>11001</v>
      </c>
      <c r="N12973" t="s">
        <v>93</v>
      </c>
      <c r="O12973">
        <v>251106</v>
      </c>
      <c r="P12973">
        <v>38.799999999999997</v>
      </c>
    </row>
    <row r="12974" spans="1:16" x14ac:dyDescent="0.25">
      <c r="A12974" t="s">
        <v>3296</v>
      </c>
      <c r="B12974" t="s">
        <v>2931</v>
      </c>
      <c r="C12974">
        <v>1537</v>
      </c>
      <c r="D12974" t="str">
        <f>"36979647    "</f>
        <v xml:space="preserve">36979647    </v>
      </c>
      <c r="E12974" t="s">
        <v>222</v>
      </c>
      <c r="F12974" t="s">
        <v>224</v>
      </c>
      <c r="G12974">
        <v>106.93</v>
      </c>
      <c r="H12974">
        <v>250131</v>
      </c>
      <c r="I12974">
        <v>4560</v>
      </c>
      <c r="J12974" t="s">
        <v>390</v>
      </c>
      <c r="K12974">
        <v>624.79999999999995</v>
      </c>
      <c r="L12974">
        <v>21.73</v>
      </c>
      <c r="M12974">
        <v>67522</v>
      </c>
      <c r="N12974" t="s">
        <v>121</v>
      </c>
      <c r="O12974">
        <v>250211</v>
      </c>
      <c r="P12974">
        <v>85.2</v>
      </c>
    </row>
    <row r="12975" spans="1:16" x14ac:dyDescent="0.25">
      <c r="A12975" t="s">
        <v>3296</v>
      </c>
      <c r="B12975" t="s">
        <v>2931</v>
      </c>
      <c r="C12975">
        <v>1537</v>
      </c>
      <c r="D12975" t="str">
        <f>"36979647    "</f>
        <v xml:space="preserve">36979647    </v>
      </c>
      <c r="E12975" t="s">
        <v>222</v>
      </c>
      <c r="F12975" t="s">
        <v>224</v>
      </c>
      <c r="G12975">
        <v>148.66999999999999</v>
      </c>
      <c r="H12975">
        <v>250131</v>
      </c>
      <c r="I12975">
        <v>4560</v>
      </c>
      <c r="J12975" t="s">
        <v>390</v>
      </c>
      <c r="K12975">
        <v>624.79999999999995</v>
      </c>
      <c r="L12975">
        <v>30.21</v>
      </c>
      <c r="M12975">
        <v>67554</v>
      </c>
      <c r="N12975" t="s">
        <v>317</v>
      </c>
      <c r="O12975">
        <v>250211</v>
      </c>
      <c r="P12975">
        <v>118.46</v>
      </c>
    </row>
    <row r="12976" spans="1:16" x14ac:dyDescent="0.25">
      <c r="A12976" t="s">
        <v>3296</v>
      </c>
      <c r="B12976" t="s">
        <v>2931</v>
      </c>
      <c r="C12976">
        <v>1537</v>
      </c>
      <c r="D12976" t="str">
        <f>"36979647    "</f>
        <v xml:space="preserve">36979647    </v>
      </c>
      <c r="E12976" t="s">
        <v>222</v>
      </c>
      <c r="F12976" t="s">
        <v>224</v>
      </c>
      <c r="G12976">
        <v>47.67</v>
      </c>
      <c r="H12976">
        <v>250131</v>
      </c>
      <c r="I12976">
        <v>4560</v>
      </c>
      <c r="J12976" t="s">
        <v>390</v>
      </c>
      <c r="K12976">
        <v>624.79999999999995</v>
      </c>
      <c r="L12976">
        <v>9.69</v>
      </c>
      <c r="M12976">
        <v>68601</v>
      </c>
      <c r="N12976" t="s">
        <v>1031</v>
      </c>
      <c r="O12976">
        <v>250211</v>
      </c>
      <c r="P12976">
        <v>37.979999999999997</v>
      </c>
    </row>
    <row r="12977" spans="1:16" x14ac:dyDescent="0.25">
      <c r="A12977" t="s">
        <v>3296</v>
      </c>
      <c r="B12977" t="s">
        <v>2931</v>
      </c>
      <c r="C12977">
        <v>1537</v>
      </c>
      <c r="D12977" t="str">
        <f>"36979647    "</f>
        <v xml:space="preserve">36979647    </v>
      </c>
      <c r="E12977" t="s">
        <v>222</v>
      </c>
      <c r="F12977" t="s">
        <v>224</v>
      </c>
      <c r="G12977">
        <v>235.16</v>
      </c>
      <c r="H12977">
        <v>250131</v>
      </c>
      <c r="I12977">
        <v>4560</v>
      </c>
      <c r="J12977" t="s">
        <v>390</v>
      </c>
      <c r="K12977">
        <v>624.79999999999995</v>
      </c>
      <c r="L12977">
        <v>47.78</v>
      </c>
      <c r="M12977">
        <v>69501</v>
      </c>
      <c r="N12977" t="s">
        <v>123</v>
      </c>
      <c r="O12977">
        <v>250211</v>
      </c>
      <c r="P12977">
        <v>187.38</v>
      </c>
    </row>
    <row r="12978" spans="1:16" x14ac:dyDescent="0.25">
      <c r="A12978" t="s">
        <v>3296</v>
      </c>
      <c r="B12978" t="s">
        <v>2931</v>
      </c>
      <c r="C12978">
        <v>1537</v>
      </c>
      <c r="D12978" t="str">
        <f>"36979647    "</f>
        <v xml:space="preserve">36979647    </v>
      </c>
      <c r="E12978" t="s">
        <v>222</v>
      </c>
      <c r="F12978" t="s">
        <v>224</v>
      </c>
      <c r="G12978">
        <v>86.24</v>
      </c>
      <c r="H12978">
        <v>250131</v>
      </c>
      <c r="I12978">
        <v>4560</v>
      </c>
      <c r="J12978" t="s">
        <v>390</v>
      </c>
      <c r="K12978">
        <v>624.79999999999995</v>
      </c>
      <c r="L12978">
        <v>17.52</v>
      </c>
      <c r="M12978">
        <v>69702</v>
      </c>
      <c r="N12978" t="s">
        <v>124</v>
      </c>
      <c r="O12978">
        <v>250211</v>
      </c>
      <c r="P12978">
        <v>68.72</v>
      </c>
    </row>
    <row r="12979" spans="1:16" x14ac:dyDescent="0.25">
      <c r="A12979" t="s">
        <v>3296</v>
      </c>
      <c r="B12979" t="s">
        <v>2931</v>
      </c>
      <c r="C12979">
        <v>1568</v>
      </c>
      <c r="D12979" t="str">
        <f>"36948505    "</f>
        <v xml:space="preserve">36948505    </v>
      </c>
      <c r="E12979" t="s">
        <v>222</v>
      </c>
      <c r="F12979" t="s">
        <v>224</v>
      </c>
      <c r="G12979">
        <v>183.36</v>
      </c>
      <c r="H12979">
        <v>250131</v>
      </c>
      <c r="I12979">
        <v>4560</v>
      </c>
      <c r="J12979" t="s">
        <v>390</v>
      </c>
      <c r="K12979">
        <v>415.8</v>
      </c>
      <c r="L12979">
        <v>0</v>
      </c>
      <c r="M12979">
        <v>11001</v>
      </c>
      <c r="N12979" t="s">
        <v>93</v>
      </c>
      <c r="O12979">
        <v>250211</v>
      </c>
      <c r="P12979">
        <v>183.36</v>
      </c>
    </row>
    <row r="12980" spans="1:16" x14ac:dyDescent="0.25">
      <c r="A12980" t="s">
        <v>3296</v>
      </c>
      <c r="B12980" t="s">
        <v>2931</v>
      </c>
      <c r="C12980">
        <v>1568</v>
      </c>
      <c r="D12980" t="str">
        <f>"36948505    "</f>
        <v xml:space="preserve">36948505    </v>
      </c>
      <c r="E12980" t="s">
        <v>222</v>
      </c>
      <c r="F12980" t="s">
        <v>224</v>
      </c>
      <c r="G12980">
        <v>103.55</v>
      </c>
      <c r="H12980">
        <v>250131</v>
      </c>
      <c r="I12980">
        <v>4560</v>
      </c>
      <c r="J12980" t="s">
        <v>390</v>
      </c>
      <c r="K12980">
        <v>415.8</v>
      </c>
      <c r="L12980">
        <v>21.04</v>
      </c>
      <c r="M12980">
        <v>59504</v>
      </c>
      <c r="N12980" t="s">
        <v>193</v>
      </c>
      <c r="O12980">
        <v>250211</v>
      </c>
      <c r="P12980">
        <v>82.51</v>
      </c>
    </row>
    <row r="12981" spans="1:16" x14ac:dyDescent="0.25">
      <c r="A12981" t="s">
        <v>3296</v>
      </c>
      <c r="B12981" t="s">
        <v>2931</v>
      </c>
      <c r="C12981">
        <v>2790</v>
      </c>
      <c r="D12981" t="str">
        <f>"70039246    "</f>
        <v xml:space="preserve">70039246    </v>
      </c>
      <c r="E12981" t="s">
        <v>222</v>
      </c>
      <c r="F12981" t="s">
        <v>224</v>
      </c>
      <c r="G12981">
        <v>249.19</v>
      </c>
      <c r="H12981">
        <v>250228</v>
      </c>
      <c r="I12981">
        <v>4560</v>
      </c>
      <c r="J12981" t="s">
        <v>390</v>
      </c>
      <c r="K12981">
        <v>355.99</v>
      </c>
      <c r="L12981">
        <v>50.63</v>
      </c>
      <c r="M12981">
        <v>67554</v>
      </c>
      <c r="N12981" t="s">
        <v>317</v>
      </c>
      <c r="O12981">
        <v>250312</v>
      </c>
      <c r="P12981">
        <v>198.56</v>
      </c>
    </row>
    <row r="12982" spans="1:16" x14ac:dyDescent="0.25">
      <c r="A12982" t="s">
        <v>3296</v>
      </c>
      <c r="B12982" t="s">
        <v>2931</v>
      </c>
      <c r="C12982">
        <v>2790</v>
      </c>
      <c r="D12982" t="str">
        <f>"70039246    "</f>
        <v xml:space="preserve">70039246    </v>
      </c>
      <c r="E12982" t="s">
        <v>222</v>
      </c>
      <c r="F12982" t="s">
        <v>224</v>
      </c>
      <c r="G12982">
        <v>106.8</v>
      </c>
      <c r="H12982">
        <v>250228</v>
      </c>
      <c r="I12982">
        <v>4560</v>
      </c>
      <c r="J12982" t="s">
        <v>390</v>
      </c>
      <c r="K12982">
        <v>355.99</v>
      </c>
      <c r="L12982">
        <v>21.7</v>
      </c>
      <c r="M12982">
        <v>67554</v>
      </c>
      <c r="N12982" t="s">
        <v>317</v>
      </c>
      <c r="O12982">
        <v>250312</v>
      </c>
      <c r="P12982">
        <v>85.1</v>
      </c>
    </row>
    <row r="12983" spans="1:16" x14ac:dyDescent="0.25">
      <c r="A12983" t="s">
        <v>3296</v>
      </c>
      <c r="B12983" t="s">
        <v>2931</v>
      </c>
      <c r="C12983">
        <v>2792</v>
      </c>
      <c r="D12983" t="str">
        <f>"70008475    "</f>
        <v xml:space="preserve">70008475    </v>
      </c>
      <c r="E12983" t="s">
        <v>222</v>
      </c>
      <c r="F12983" t="s">
        <v>224</v>
      </c>
      <c r="G12983">
        <v>368.85</v>
      </c>
      <c r="H12983">
        <v>250228</v>
      </c>
      <c r="I12983">
        <v>4560</v>
      </c>
      <c r="J12983" t="s">
        <v>390</v>
      </c>
      <c r="K12983">
        <v>514.84</v>
      </c>
      <c r="L12983">
        <v>0</v>
      </c>
      <c r="M12983">
        <v>11001</v>
      </c>
      <c r="N12983" t="s">
        <v>93</v>
      </c>
      <c r="O12983">
        <v>250312</v>
      </c>
      <c r="P12983">
        <v>368.85</v>
      </c>
    </row>
    <row r="12984" spans="1:16" x14ac:dyDescent="0.25">
      <c r="A12984" t="s">
        <v>3296</v>
      </c>
      <c r="B12984" t="s">
        <v>2931</v>
      </c>
      <c r="C12984">
        <v>4389</v>
      </c>
      <c r="D12984" t="str">
        <f>"70067797    "</f>
        <v xml:space="preserve">70067797    </v>
      </c>
      <c r="E12984" t="s">
        <v>222</v>
      </c>
      <c r="F12984" t="s">
        <v>224</v>
      </c>
      <c r="G12984">
        <v>247.34</v>
      </c>
      <c r="H12984">
        <v>250331</v>
      </c>
      <c r="I12984">
        <v>4560</v>
      </c>
      <c r="J12984" t="s">
        <v>390</v>
      </c>
      <c r="K12984">
        <v>520.01</v>
      </c>
      <c r="L12984">
        <v>0</v>
      </c>
      <c r="M12984">
        <v>11001</v>
      </c>
      <c r="N12984" t="s">
        <v>93</v>
      </c>
      <c r="O12984">
        <v>250411</v>
      </c>
      <c r="P12984">
        <v>247.34</v>
      </c>
    </row>
    <row r="12985" spans="1:16" x14ac:dyDescent="0.25">
      <c r="A12985" t="s">
        <v>3296</v>
      </c>
      <c r="B12985" t="s">
        <v>2931</v>
      </c>
      <c r="C12985">
        <v>4400</v>
      </c>
      <c r="D12985" t="str">
        <f>"70099083    "</f>
        <v xml:space="preserve">70099083    </v>
      </c>
      <c r="E12985" t="s">
        <v>222</v>
      </c>
      <c r="F12985" t="s">
        <v>224</v>
      </c>
      <c r="G12985">
        <v>104.58</v>
      </c>
      <c r="H12985">
        <v>250331</v>
      </c>
      <c r="I12985">
        <v>4560</v>
      </c>
      <c r="J12985" t="s">
        <v>390</v>
      </c>
      <c r="K12985">
        <v>551.04</v>
      </c>
      <c r="L12985">
        <v>21.25</v>
      </c>
      <c r="M12985">
        <v>67522</v>
      </c>
      <c r="N12985" t="s">
        <v>121</v>
      </c>
      <c r="O12985">
        <v>250411</v>
      </c>
      <c r="P12985">
        <v>83.33</v>
      </c>
    </row>
    <row r="12986" spans="1:16" x14ac:dyDescent="0.25">
      <c r="A12986" t="s">
        <v>3296</v>
      </c>
      <c r="B12986" t="s">
        <v>2931</v>
      </c>
      <c r="C12986">
        <v>4400</v>
      </c>
      <c r="D12986" t="str">
        <f>"70099083    "</f>
        <v xml:space="preserve">70099083    </v>
      </c>
      <c r="E12986" t="s">
        <v>222</v>
      </c>
      <c r="F12986" t="s">
        <v>224</v>
      </c>
      <c r="G12986">
        <v>106.14</v>
      </c>
      <c r="H12986">
        <v>250331</v>
      </c>
      <c r="I12986">
        <v>4560</v>
      </c>
      <c r="J12986" t="s">
        <v>390</v>
      </c>
      <c r="K12986">
        <v>551.04</v>
      </c>
      <c r="L12986">
        <v>21.57</v>
      </c>
      <c r="M12986">
        <v>67522</v>
      </c>
      <c r="N12986" t="s">
        <v>121</v>
      </c>
      <c r="O12986">
        <v>250411</v>
      </c>
      <c r="P12986">
        <v>84.57</v>
      </c>
    </row>
    <row r="12987" spans="1:16" x14ac:dyDescent="0.25">
      <c r="A12987" t="s">
        <v>3296</v>
      </c>
      <c r="B12987" t="s">
        <v>2931</v>
      </c>
      <c r="C12987">
        <v>4400</v>
      </c>
      <c r="D12987" t="str">
        <f>"70099083    "</f>
        <v xml:space="preserve">70099083    </v>
      </c>
      <c r="E12987" t="s">
        <v>222</v>
      </c>
      <c r="F12987" t="s">
        <v>224</v>
      </c>
      <c r="G12987">
        <v>267.05</v>
      </c>
      <c r="H12987">
        <v>250331</v>
      </c>
      <c r="I12987">
        <v>4560</v>
      </c>
      <c r="J12987" t="s">
        <v>390</v>
      </c>
      <c r="K12987">
        <v>551.04</v>
      </c>
      <c r="L12987">
        <v>54.26</v>
      </c>
      <c r="M12987">
        <v>67554</v>
      </c>
      <c r="N12987" t="s">
        <v>317</v>
      </c>
      <c r="O12987">
        <v>250411</v>
      </c>
      <c r="P12987">
        <v>212.79</v>
      </c>
    </row>
    <row r="12988" spans="1:16" x14ac:dyDescent="0.25">
      <c r="A12988" t="s">
        <v>3296</v>
      </c>
      <c r="B12988" t="s">
        <v>2931</v>
      </c>
      <c r="C12988">
        <v>4400</v>
      </c>
      <c r="D12988" t="str">
        <f>"70099083    "</f>
        <v xml:space="preserve">70099083    </v>
      </c>
      <c r="E12988" t="s">
        <v>222</v>
      </c>
      <c r="F12988" t="s">
        <v>224</v>
      </c>
      <c r="G12988">
        <v>73.27</v>
      </c>
      <c r="H12988">
        <v>250331</v>
      </c>
      <c r="I12988">
        <v>4560</v>
      </c>
      <c r="J12988" t="s">
        <v>390</v>
      </c>
      <c r="K12988">
        <v>551.04</v>
      </c>
      <c r="L12988">
        <v>14.89</v>
      </c>
      <c r="M12988">
        <v>69702</v>
      </c>
      <c r="N12988" t="s">
        <v>124</v>
      </c>
      <c r="O12988">
        <v>250411</v>
      </c>
      <c r="P12988">
        <v>58.38</v>
      </c>
    </row>
    <row r="12989" spans="1:16" x14ac:dyDescent="0.25">
      <c r="A12989" t="s">
        <v>3296</v>
      </c>
      <c r="B12989" t="s">
        <v>2931</v>
      </c>
      <c r="C12989">
        <v>6038</v>
      </c>
      <c r="D12989" t="str">
        <f>"70158767    "</f>
        <v xml:space="preserve">70158767    </v>
      </c>
      <c r="E12989" t="s">
        <v>222</v>
      </c>
      <c r="F12989" t="s">
        <v>224</v>
      </c>
      <c r="G12989">
        <v>107.7</v>
      </c>
      <c r="H12989">
        <v>250430</v>
      </c>
      <c r="I12989">
        <v>4560</v>
      </c>
      <c r="J12989" t="s">
        <v>390</v>
      </c>
      <c r="K12989">
        <v>502.06</v>
      </c>
      <c r="L12989">
        <v>21.88</v>
      </c>
      <c r="M12989">
        <v>66756</v>
      </c>
      <c r="N12989" t="s">
        <v>120</v>
      </c>
      <c r="O12989">
        <v>250508</v>
      </c>
      <c r="P12989">
        <v>85.82</v>
      </c>
    </row>
    <row r="12990" spans="1:16" x14ac:dyDescent="0.25">
      <c r="A12990" t="s">
        <v>3296</v>
      </c>
      <c r="B12990" t="s">
        <v>2931</v>
      </c>
      <c r="C12990">
        <v>6038</v>
      </c>
      <c r="D12990" t="str">
        <f>"70158767    "</f>
        <v xml:space="preserve">70158767    </v>
      </c>
      <c r="E12990" t="s">
        <v>222</v>
      </c>
      <c r="F12990" t="s">
        <v>224</v>
      </c>
      <c r="G12990">
        <v>83.22</v>
      </c>
      <c r="H12990">
        <v>250430</v>
      </c>
      <c r="I12990">
        <v>4560</v>
      </c>
      <c r="J12990" t="s">
        <v>390</v>
      </c>
      <c r="K12990">
        <v>502.06</v>
      </c>
      <c r="L12990">
        <v>16.91</v>
      </c>
      <c r="M12990">
        <v>67522</v>
      </c>
      <c r="N12990" t="s">
        <v>121</v>
      </c>
      <c r="O12990">
        <v>250508</v>
      </c>
      <c r="P12990">
        <v>66.31</v>
      </c>
    </row>
    <row r="12991" spans="1:16" x14ac:dyDescent="0.25">
      <c r="A12991" t="s">
        <v>3296</v>
      </c>
      <c r="B12991" t="s">
        <v>2931</v>
      </c>
      <c r="C12991">
        <v>6038</v>
      </c>
      <c r="D12991" t="str">
        <f>"70158767    "</f>
        <v xml:space="preserve">70158767    </v>
      </c>
      <c r="E12991" t="s">
        <v>222</v>
      </c>
      <c r="F12991" t="s">
        <v>224</v>
      </c>
      <c r="G12991">
        <v>116.66</v>
      </c>
      <c r="H12991">
        <v>250430</v>
      </c>
      <c r="I12991">
        <v>4560</v>
      </c>
      <c r="J12991" t="s">
        <v>390</v>
      </c>
      <c r="K12991">
        <v>502.06</v>
      </c>
      <c r="L12991">
        <v>23.7</v>
      </c>
      <c r="M12991">
        <v>67554</v>
      </c>
      <c r="N12991" t="s">
        <v>317</v>
      </c>
      <c r="O12991">
        <v>250508</v>
      </c>
      <c r="P12991">
        <v>92.96</v>
      </c>
    </row>
    <row r="12992" spans="1:16" x14ac:dyDescent="0.25">
      <c r="A12992" t="s">
        <v>3296</v>
      </c>
      <c r="B12992" t="s">
        <v>2931</v>
      </c>
      <c r="C12992">
        <v>6038</v>
      </c>
      <c r="D12992" t="str">
        <f>"70158767    "</f>
        <v xml:space="preserve">70158767    </v>
      </c>
      <c r="E12992" t="s">
        <v>222</v>
      </c>
      <c r="F12992" t="s">
        <v>224</v>
      </c>
      <c r="G12992">
        <v>73.14</v>
      </c>
      <c r="H12992">
        <v>250430</v>
      </c>
      <c r="I12992">
        <v>4560</v>
      </c>
      <c r="J12992" t="s">
        <v>390</v>
      </c>
      <c r="K12992">
        <v>502.06</v>
      </c>
      <c r="L12992">
        <v>14.86</v>
      </c>
      <c r="M12992">
        <v>69501</v>
      </c>
      <c r="N12992" t="s">
        <v>123</v>
      </c>
      <c r="O12992">
        <v>250508</v>
      </c>
      <c r="P12992">
        <v>58.28</v>
      </c>
    </row>
    <row r="12993" spans="1:16" x14ac:dyDescent="0.25">
      <c r="A12993" t="s">
        <v>3296</v>
      </c>
      <c r="B12993" t="s">
        <v>2931</v>
      </c>
      <c r="C12993">
        <v>6038</v>
      </c>
      <c r="D12993" t="str">
        <f>"70158767    "</f>
        <v xml:space="preserve">70158767    </v>
      </c>
      <c r="E12993" t="s">
        <v>222</v>
      </c>
      <c r="F12993" t="s">
        <v>224</v>
      </c>
      <c r="G12993">
        <v>121.34</v>
      </c>
      <c r="H12993">
        <v>250430</v>
      </c>
      <c r="I12993">
        <v>4560</v>
      </c>
      <c r="J12993" t="s">
        <v>390</v>
      </c>
      <c r="K12993">
        <v>502.06</v>
      </c>
      <c r="L12993">
        <v>24.65</v>
      </c>
      <c r="M12993">
        <v>69702</v>
      </c>
      <c r="N12993" t="s">
        <v>124</v>
      </c>
      <c r="O12993">
        <v>250508</v>
      </c>
      <c r="P12993">
        <v>96.69</v>
      </c>
    </row>
    <row r="12994" spans="1:16" x14ac:dyDescent="0.25">
      <c r="A12994" t="s">
        <v>3296</v>
      </c>
      <c r="B12994" t="s">
        <v>2931</v>
      </c>
      <c r="C12994">
        <v>6229</v>
      </c>
      <c r="D12994" t="str">
        <f>"70127565    "</f>
        <v xml:space="preserve">70127565    </v>
      </c>
      <c r="E12994" t="s">
        <v>222</v>
      </c>
      <c r="F12994" t="s">
        <v>224</v>
      </c>
      <c r="G12994">
        <v>180.11</v>
      </c>
      <c r="H12994">
        <v>250430</v>
      </c>
      <c r="I12994">
        <v>4560</v>
      </c>
      <c r="J12994" t="s">
        <v>390</v>
      </c>
      <c r="K12994">
        <v>414.01</v>
      </c>
      <c r="L12994">
        <v>0</v>
      </c>
      <c r="M12994">
        <v>11001</v>
      </c>
      <c r="N12994" t="s">
        <v>93</v>
      </c>
      <c r="O12994">
        <v>250512</v>
      </c>
      <c r="P12994">
        <v>180.11</v>
      </c>
    </row>
    <row r="12995" spans="1:16" x14ac:dyDescent="0.25">
      <c r="A12995" t="s">
        <v>3296</v>
      </c>
      <c r="B12995" t="s">
        <v>2931</v>
      </c>
      <c r="C12995">
        <v>8138</v>
      </c>
      <c r="D12995" t="str">
        <f>"70220217    "</f>
        <v xml:space="preserve">70220217    </v>
      </c>
      <c r="E12995" t="s">
        <v>222</v>
      </c>
      <c r="F12995" t="s">
        <v>224</v>
      </c>
      <c r="G12995">
        <v>247.05</v>
      </c>
      <c r="H12995">
        <v>250531</v>
      </c>
      <c r="I12995">
        <v>4560</v>
      </c>
      <c r="J12995" t="s">
        <v>390</v>
      </c>
      <c r="K12995">
        <v>364.73</v>
      </c>
      <c r="L12995">
        <v>50.2</v>
      </c>
      <c r="M12995">
        <v>67554</v>
      </c>
      <c r="N12995" t="s">
        <v>317</v>
      </c>
      <c r="O12995">
        <v>250611</v>
      </c>
      <c r="P12995">
        <v>196.85</v>
      </c>
    </row>
    <row r="12996" spans="1:16" x14ac:dyDescent="0.25">
      <c r="A12996" t="s">
        <v>3296</v>
      </c>
      <c r="B12996" t="s">
        <v>2931</v>
      </c>
      <c r="C12996">
        <v>8138</v>
      </c>
      <c r="D12996" t="str">
        <f>"70220217    "</f>
        <v xml:space="preserve">70220217    </v>
      </c>
      <c r="E12996" t="s">
        <v>222</v>
      </c>
      <c r="F12996" t="s">
        <v>224</v>
      </c>
      <c r="G12996">
        <v>117.68</v>
      </c>
      <c r="H12996">
        <v>250531</v>
      </c>
      <c r="I12996">
        <v>4560</v>
      </c>
      <c r="J12996" t="s">
        <v>390</v>
      </c>
      <c r="K12996">
        <v>364.73</v>
      </c>
      <c r="L12996">
        <v>23.91</v>
      </c>
      <c r="M12996">
        <v>69501</v>
      </c>
      <c r="N12996" t="s">
        <v>123</v>
      </c>
      <c r="O12996">
        <v>250611</v>
      </c>
      <c r="P12996">
        <v>93.77</v>
      </c>
    </row>
    <row r="12997" spans="1:16" x14ac:dyDescent="0.25">
      <c r="A12997" t="s">
        <v>3296</v>
      </c>
      <c r="B12997" t="s">
        <v>2931</v>
      </c>
      <c r="C12997">
        <v>8161</v>
      </c>
      <c r="D12997" t="str">
        <f>"70188355    "</f>
        <v xml:space="preserve">70188355    </v>
      </c>
      <c r="E12997" t="s">
        <v>222</v>
      </c>
      <c r="F12997" t="s">
        <v>224</v>
      </c>
      <c r="G12997">
        <v>175.63</v>
      </c>
      <c r="H12997">
        <v>250531</v>
      </c>
      <c r="I12997">
        <v>4560</v>
      </c>
      <c r="J12997" t="s">
        <v>390</v>
      </c>
      <c r="K12997">
        <v>529.11</v>
      </c>
      <c r="L12997">
        <v>0</v>
      </c>
      <c r="M12997">
        <v>11001</v>
      </c>
      <c r="N12997" t="s">
        <v>93</v>
      </c>
      <c r="O12997">
        <v>250611</v>
      </c>
      <c r="P12997">
        <v>175.63</v>
      </c>
    </row>
    <row r="12998" spans="1:16" x14ac:dyDescent="0.25">
      <c r="A12998" t="s">
        <v>3296</v>
      </c>
      <c r="B12998" t="s">
        <v>2931</v>
      </c>
      <c r="C12998">
        <v>8161</v>
      </c>
      <c r="D12998" t="str">
        <f>"70188355    "</f>
        <v xml:space="preserve">70188355    </v>
      </c>
      <c r="E12998" t="s">
        <v>222</v>
      </c>
      <c r="F12998" t="s">
        <v>224</v>
      </c>
      <c r="G12998">
        <v>51.16</v>
      </c>
      <c r="H12998">
        <v>250531</v>
      </c>
      <c r="I12998">
        <v>4560</v>
      </c>
      <c r="J12998" t="s">
        <v>390</v>
      </c>
      <c r="K12998">
        <v>529.11</v>
      </c>
      <c r="L12998">
        <v>10.4</v>
      </c>
      <c r="M12998">
        <v>59504</v>
      </c>
      <c r="N12998" t="s">
        <v>193</v>
      </c>
      <c r="O12998">
        <v>250611</v>
      </c>
      <c r="P12998">
        <v>40.76</v>
      </c>
    </row>
    <row r="12999" spans="1:16" x14ac:dyDescent="0.25">
      <c r="A12999" t="s">
        <v>3296</v>
      </c>
      <c r="B12999" t="s">
        <v>2931</v>
      </c>
      <c r="C12999">
        <v>9316</v>
      </c>
      <c r="D12999" t="str">
        <f>"70280557    "</f>
        <v xml:space="preserve">70280557    </v>
      </c>
      <c r="E12999" t="s">
        <v>222</v>
      </c>
      <c r="F12999" t="s">
        <v>224</v>
      </c>
      <c r="G12999">
        <v>109.6</v>
      </c>
      <c r="H12999">
        <v>250630</v>
      </c>
      <c r="I12999">
        <v>4560</v>
      </c>
      <c r="J12999" t="s">
        <v>390</v>
      </c>
      <c r="K12999">
        <v>190.11</v>
      </c>
      <c r="L12999">
        <v>22.27</v>
      </c>
      <c r="M12999">
        <v>67554</v>
      </c>
      <c r="N12999" t="s">
        <v>317</v>
      </c>
      <c r="O12999">
        <v>250703</v>
      </c>
      <c r="P12999">
        <v>87.33</v>
      </c>
    </row>
    <row r="13000" spans="1:16" x14ac:dyDescent="0.25">
      <c r="A13000" t="s">
        <v>3296</v>
      </c>
      <c r="B13000" t="s">
        <v>2931</v>
      </c>
      <c r="C13000">
        <v>9316</v>
      </c>
      <c r="D13000" t="str">
        <f>"70280557    "</f>
        <v xml:space="preserve">70280557    </v>
      </c>
      <c r="E13000" t="s">
        <v>222</v>
      </c>
      <c r="F13000" t="s">
        <v>224</v>
      </c>
      <c r="G13000">
        <v>80.510000000000005</v>
      </c>
      <c r="H13000">
        <v>250630</v>
      </c>
      <c r="I13000">
        <v>4560</v>
      </c>
      <c r="J13000" t="s">
        <v>390</v>
      </c>
      <c r="K13000">
        <v>190.11</v>
      </c>
      <c r="L13000">
        <v>16.36</v>
      </c>
      <c r="M13000">
        <v>69501</v>
      </c>
      <c r="N13000" t="s">
        <v>123</v>
      </c>
      <c r="O13000">
        <v>250703</v>
      </c>
      <c r="P13000">
        <v>64.150000000000006</v>
      </c>
    </row>
    <row r="13001" spans="1:16" x14ac:dyDescent="0.25">
      <c r="A13001" t="s">
        <v>3296</v>
      </c>
      <c r="B13001" t="s">
        <v>2931</v>
      </c>
      <c r="C13001">
        <v>9461</v>
      </c>
      <c r="D13001" t="str">
        <f>"70249448    "</f>
        <v xml:space="preserve">70249448    </v>
      </c>
      <c r="E13001" t="s">
        <v>222</v>
      </c>
      <c r="F13001" t="s">
        <v>224</v>
      </c>
      <c r="G13001">
        <v>186.34</v>
      </c>
      <c r="H13001">
        <v>250630</v>
      </c>
      <c r="I13001">
        <v>4560</v>
      </c>
      <c r="J13001" t="s">
        <v>390</v>
      </c>
      <c r="K13001">
        <v>504.41</v>
      </c>
      <c r="L13001">
        <v>0</v>
      </c>
      <c r="M13001">
        <v>11001</v>
      </c>
      <c r="N13001" t="s">
        <v>93</v>
      </c>
      <c r="O13001">
        <v>250708</v>
      </c>
      <c r="P13001">
        <v>186.34</v>
      </c>
    </row>
    <row r="13002" spans="1:16" x14ac:dyDescent="0.25">
      <c r="A13002" t="s">
        <v>3296</v>
      </c>
      <c r="B13002" t="s">
        <v>2931</v>
      </c>
      <c r="C13002">
        <v>9493</v>
      </c>
      <c r="D13002" t="str">
        <f>"70281203    "</f>
        <v xml:space="preserve">70281203    </v>
      </c>
      <c r="E13002" t="s">
        <v>222</v>
      </c>
      <c r="F13002" t="s">
        <v>224</v>
      </c>
      <c r="G13002">
        <v>90.37</v>
      </c>
      <c r="H13002">
        <v>250630</v>
      </c>
      <c r="I13002">
        <v>4560</v>
      </c>
      <c r="J13002" t="s">
        <v>390</v>
      </c>
      <c r="K13002">
        <v>90.37</v>
      </c>
      <c r="L13002">
        <v>18.36</v>
      </c>
      <c r="M13002">
        <v>49501</v>
      </c>
      <c r="N13002" t="s">
        <v>110</v>
      </c>
      <c r="O13002">
        <v>250709</v>
      </c>
      <c r="P13002">
        <v>72.010000000000005</v>
      </c>
    </row>
    <row r="13003" spans="1:16" x14ac:dyDescent="0.25">
      <c r="A13003" t="s">
        <v>3296</v>
      </c>
      <c r="B13003" t="s">
        <v>2931</v>
      </c>
      <c r="C13003">
        <v>9987</v>
      </c>
      <c r="D13003" t="str">
        <f>"70340450    "</f>
        <v xml:space="preserve">70340450    </v>
      </c>
      <c r="E13003" t="s">
        <v>222</v>
      </c>
      <c r="F13003" t="s">
        <v>224</v>
      </c>
      <c r="G13003">
        <v>252.49</v>
      </c>
      <c r="H13003">
        <v>250731</v>
      </c>
      <c r="I13003">
        <v>4560</v>
      </c>
      <c r="J13003" t="s">
        <v>390</v>
      </c>
      <c r="K13003">
        <v>252.49</v>
      </c>
      <c r="L13003">
        <v>51.3</v>
      </c>
      <c r="M13003">
        <v>67554</v>
      </c>
      <c r="N13003" t="s">
        <v>317</v>
      </c>
      <c r="O13003">
        <v>250806</v>
      </c>
      <c r="P13003">
        <v>201.19</v>
      </c>
    </row>
    <row r="13004" spans="1:16" x14ac:dyDescent="0.25">
      <c r="A13004" t="s">
        <v>3296</v>
      </c>
      <c r="B13004" t="s">
        <v>2931</v>
      </c>
      <c r="C13004">
        <v>9989</v>
      </c>
      <c r="D13004" t="str">
        <f>"70341092    "</f>
        <v xml:space="preserve">70341092    </v>
      </c>
      <c r="E13004" t="s">
        <v>222</v>
      </c>
      <c r="F13004" t="s">
        <v>224</v>
      </c>
      <c r="G13004">
        <v>135.12</v>
      </c>
      <c r="H13004">
        <v>250731</v>
      </c>
      <c r="I13004">
        <v>4560</v>
      </c>
      <c r="J13004" t="s">
        <v>390</v>
      </c>
      <c r="K13004">
        <v>135.12</v>
      </c>
      <c r="L13004">
        <v>27.45</v>
      </c>
      <c r="M13004">
        <v>49501</v>
      </c>
      <c r="N13004" t="s">
        <v>110</v>
      </c>
      <c r="O13004">
        <v>250806</v>
      </c>
      <c r="P13004">
        <v>107.67</v>
      </c>
    </row>
    <row r="13005" spans="1:16" x14ac:dyDescent="0.25">
      <c r="A13005" t="s">
        <v>3296</v>
      </c>
      <c r="B13005" t="s">
        <v>2931</v>
      </c>
      <c r="C13005">
        <v>10299</v>
      </c>
      <c r="D13005" t="str">
        <f>"70309494    "</f>
        <v xml:space="preserve">70309494    </v>
      </c>
      <c r="E13005" t="s">
        <v>222</v>
      </c>
      <c r="F13005" t="s">
        <v>224</v>
      </c>
      <c r="G13005">
        <v>278.48</v>
      </c>
      <c r="H13005">
        <v>250731</v>
      </c>
      <c r="I13005">
        <v>4560</v>
      </c>
      <c r="J13005" t="s">
        <v>390</v>
      </c>
      <c r="K13005">
        <v>497.79</v>
      </c>
      <c r="L13005">
        <v>0</v>
      </c>
      <c r="M13005">
        <v>11001</v>
      </c>
      <c r="N13005" t="s">
        <v>93</v>
      </c>
      <c r="O13005">
        <v>250814</v>
      </c>
      <c r="P13005">
        <v>278.48</v>
      </c>
    </row>
    <row r="13006" spans="1:16" x14ac:dyDescent="0.25">
      <c r="A13006" t="s">
        <v>3296</v>
      </c>
      <c r="B13006" t="s">
        <v>2931</v>
      </c>
      <c r="C13006">
        <v>11524</v>
      </c>
      <c r="D13006" t="str">
        <f>"70400450    "</f>
        <v xml:space="preserve">70400450    </v>
      </c>
      <c r="E13006" t="s">
        <v>222</v>
      </c>
      <c r="F13006" t="s">
        <v>224</v>
      </c>
      <c r="G13006">
        <v>64.040000000000006</v>
      </c>
      <c r="H13006">
        <v>250831</v>
      </c>
      <c r="I13006">
        <v>4560</v>
      </c>
      <c r="J13006" t="s">
        <v>390</v>
      </c>
      <c r="K13006">
        <v>421.1</v>
      </c>
      <c r="L13006">
        <v>13.01</v>
      </c>
      <c r="M13006">
        <v>67522</v>
      </c>
      <c r="N13006" t="s">
        <v>121</v>
      </c>
      <c r="O13006">
        <v>250908</v>
      </c>
      <c r="P13006">
        <v>51.03</v>
      </c>
    </row>
    <row r="13007" spans="1:16" x14ac:dyDescent="0.25">
      <c r="A13007" t="s">
        <v>3296</v>
      </c>
      <c r="B13007" t="s">
        <v>2931</v>
      </c>
      <c r="C13007">
        <v>11524</v>
      </c>
      <c r="D13007" t="str">
        <f>"70400450    "</f>
        <v xml:space="preserve">70400450    </v>
      </c>
      <c r="E13007" t="s">
        <v>222</v>
      </c>
      <c r="F13007" t="s">
        <v>224</v>
      </c>
      <c r="G13007">
        <v>117.6</v>
      </c>
      <c r="H13007">
        <v>250831</v>
      </c>
      <c r="I13007">
        <v>4560</v>
      </c>
      <c r="J13007" t="s">
        <v>390</v>
      </c>
      <c r="K13007">
        <v>421.1</v>
      </c>
      <c r="L13007">
        <v>23.89</v>
      </c>
      <c r="M13007">
        <v>67554</v>
      </c>
      <c r="N13007" t="s">
        <v>317</v>
      </c>
      <c r="O13007">
        <v>250908</v>
      </c>
      <c r="P13007">
        <v>93.71</v>
      </c>
    </row>
    <row r="13008" spans="1:16" x14ac:dyDescent="0.25">
      <c r="A13008" t="s">
        <v>3296</v>
      </c>
      <c r="B13008" t="s">
        <v>2931</v>
      </c>
      <c r="C13008">
        <v>11524</v>
      </c>
      <c r="D13008" t="str">
        <f>"70400450    "</f>
        <v xml:space="preserve">70400450    </v>
      </c>
      <c r="E13008" t="s">
        <v>222</v>
      </c>
      <c r="F13008" t="s">
        <v>224</v>
      </c>
      <c r="G13008">
        <v>58.59</v>
      </c>
      <c r="H13008">
        <v>250831</v>
      </c>
      <c r="I13008">
        <v>4560</v>
      </c>
      <c r="J13008" t="s">
        <v>390</v>
      </c>
      <c r="K13008">
        <v>421.1</v>
      </c>
      <c r="L13008">
        <v>11.9</v>
      </c>
      <c r="M13008">
        <v>69112</v>
      </c>
      <c r="N13008" t="s">
        <v>227</v>
      </c>
      <c r="O13008">
        <v>250908</v>
      </c>
      <c r="P13008">
        <v>46.69</v>
      </c>
    </row>
    <row r="13009" spans="1:16" x14ac:dyDescent="0.25">
      <c r="A13009" t="s">
        <v>3296</v>
      </c>
      <c r="B13009" t="s">
        <v>2931</v>
      </c>
      <c r="C13009">
        <v>11524</v>
      </c>
      <c r="D13009" t="str">
        <f>"70400450    "</f>
        <v xml:space="preserve">70400450    </v>
      </c>
      <c r="E13009" t="s">
        <v>222</v>
      </c>
      <c r="F13009" t="s">
        <v>224</v>
      </c>
      <c r="G13009">
        <v>114.8</v>
      </c>
      <c r="H13009">
        <v>250831</v>
      </c>
      <c r="I13009">
        <v>4560</v>
      </c>
      <c r="J13009" t="s">
        <v>390</v>
      </c>
      <c r="K13009">
        <v>421.1</v>
      </c>
      <c r="L13009">
        <v>23.33</v>
      </c>
      <c r="M13009">
        <v>69501</v>
      </c>
      <c r="N13009" t="s">
        <v>123</v>
      </c>
      <c r="O13009">
        <v>250908</v>
      </c>
      <c r="P13009">
        <v>91.47</v>
      </c>
    </row>
    <row r="13010" spans="1:16" x14ac:dyDescent="0.25">
      <c r="A13010" t="s">
        <v>3296</v>
      </c>
      <c r="B13010" t="s">
        <v>2931</v>
      </c>
      <c r="C13010">
        <v>11524</v>
      </c>
      <c r="D13010" t="str">
        <f>"70400450    "</f>
        <v xml:space="preserve">70400450    </v>
      </c>
      <c r="E13010" t="s">
        <v>222</v>
      </c>
      <c r="F13010" t="s">
        <v>224</v>
      </c>
      <c r="G13010">
        <v>66.069999999999993</v>
      </c>
      <c r="H13010">
        <v>250831</v>
      </c>
      <c r="I13010">
        <v>4560</v>
      </c>
      <c r="J13010" t="s">
        <v>390</v>
      </c>
      <c r="K13010">
        <v>421.1</v>
      </c>
      <c r="L13010">
        <v>13.42</v>
      </c>
      <c r="M13010">
        <v>69702</v>
      </c>
      <c r="N13010" t="s">
        <v>124</v>
      </c>
      <c r="O13010">
        <v>250908</v>
      </c>
      <c r="P13010">
        <v>52.65</v>
      </c>
    </row>
    <row r="13011" spans="1:16" x14ac:dyDescent="0.25">
      <c r="A13011" t="s">
        <v>3296</v>
      </c>
      <c r="B13011" t="s">
        <v>2931</v>
      </c>
      <c r="C13011">
        <v>11578</v>
      </c>
      <c r="D13011" t="str">
        <f>"70369316    "</f>
        <v xml:space="preserve">70369316    </v>
      </c>
      <c r="E13011" t="s">
        <v>222</v>
      </c>
      <c r="F13011" t="s">
        <v>224</v>
      </c>
      <c r="G13011">
        <v>172.81</v>
      </c>
      <c r="H13011">
        <v>250831</v>
      </c>
      <c r="I13011">
        <v>4560</v>
      </c>
      <c r="J13011" t="s">
        <v>390</v>
      </c>
      <c r="K13011">
        <v>349.56</v>
      </c>
      <c r="L13011">
        <v>0</v>
      </c>
      <c r="M13011">
        <v>11001</v>
      </c>
      <c r="N13011" t="s">
        <v>93</v>
      </c>
      <c r="O13011">
        <v>250909</v>
      </c>
      <c r="P13011">
        <v>172.81</v>
      </c>
    </row>
    <row r="13012" spans="1:16" x14ac:dyDescent="0.25">
      <c r="A13012" t="s">
        <v>3296</v>
      </c>
      <c r="B13012" t="s">
        <v>2931</v>
      </c>
      <c r="C13012">
        <v>11578</v>
      </c>
      <c r="D13012" t="str">
        <f>"70369316    "</f>
        <v xml:space="preserve">70369316    </v>
      </c>
      <c r="E13012" t="s">
        <v>222</v>
      </c>
      <c r="F13012" t="s">
        <v>224</v>
      </c>
      <c r="G13012">
        <v>53.12</v>
      </c>
      <c r="H13012">
        <v>250831</v>
      </c>
      <c r="I13012">
        <v>4560</v>
      </c>
      <c r="J13012" t="s">
        <v>390</v>
      </c>
      <c r="K13012">
        <v>349.56</v>
      </c>
      <c r="L13012">
        <v>10.79</v>
      </c>
      <c r="M13012">
        <v>59504</v>
      </c>
      <c r="N13012" t="s">
        <v>193</v>
      </c>
      <c r="O13012">
        <v>250909</v>
      </c>
      <c r="P13012">
        <v>42.33</v>
      </c>
    </row>
    <row r="13013" spans="1:16" x14ac:dyDescent="0.25">
      <c r="A13013" t="s">
        <v>3296</v>
      </c>
      <c r="B13013" t="s">
        <v>2931</v>
      </c>
      <c r="C13013">
        <v>13194</v>
      </c>
      <c r="D13013" t="str">
        <f>"70429801    "</f>
        <v xml:space="preserve">70429801    </v>
      </c>
      <c r="E13013" t="s">
        <v>222</v>
      </c>
      <c r="F13013" t="s">
        <v>224</v>
      </c>
      <c r="G13013">
        <v>265.20999999999998</v>
      </c>
      <c r="H13013">
        <v>250930</v>
      </c>
      <c r="I13013">
        <v>4560</v>
      </c>
      <c r="J13013" t="s">
        <v>390</v>
      </c>
      <c r="K13013">
        <v>513.51</v>
      </c>
      <c r="L13013">
        <v>0</v>
      </c>
      <c r="M13013">
        <v>11001</v>
      </c>
      <c r="N13013" t="s">
        <v>93</v>
      </c>
      <c r="O13013">
        <v>251006</v>
      </c>
      <c r="P13013">
        <v>265.20999999999998</v>
      </c>
    </row>
    <row r="13014" spans="1:16" x14ac:dyDescent="0.25">
      <c r="A13014" t="s">
        <v>3296</v>
      </c>
      <c r="B13014" t="s">
        <v>2931</v>
      </c>
      <c r="C13014">
        <v>13194</v>
      </c>
      <c r="D13014" t="str">
        <f>"70429801    "</f>
        <v xml:space="preserve">70429801    </v>
      </c>
      <c r="E13014" t="s">
        <v>222</v>
      </c>
      <c r="F13014" t="s">
        <v>224</v>
      </c>
      <c r="G13014">
        <v>172.48</v>
      </c>
      <c r="H13014">
        <v>250930</v>
      </c>
      <c r="I13014">
        <v>4560</v>
      </c>
      <c r="J13014" t="s">
        <v>390</v>
      </c>
      <c r="K13014">
        <v>513.51</v>
      </c>
      <c r="L13014">
        <v>35.049999999999997</v>
      </c>
      <c r="M13014">
        <v>59504</v>
      </c>
      <c r="N13014" t="s">
        <v>193</v>
      </c>
      <c r="O13014">
        <v>251006</v>
      </c>
      <c r="P13014">
        <v>137.43</v>
      </c>
    </row>
    <row r="13015" spans="1:16" x14ac:dyDescent="0.25">
      <c r="A13015" t="s">
        <v>3296</v>
      </c>
      <c r="B13015" t="s">
        <v>2931</v>
      </c>
      <c r="C13015">
        <v>13374</v>
      </c>
      <c r="D13015" t="str">
        <f>"70460641    "</f>
        <v xml:space="preserve">70460641    </v>
      </c>
      <c r="E13015" t="s">
        <v>222</v>
      </c>
      <c r="F13015" t="s">
        <v>224</v>
      </c>
      <c r="G13015">
        <v>93.02</v>
      </c>
      <c r="H13015">
        <v>250930</v>
      </c>
      <c r="I13015">
        <v>4560</v>
      </c>
      <c r="J13015" t="s">
        <v>390</v>
      </c>
      <c r="K13015">
        <v>331.87</v>
      </c>
      <c r="L13015">
        <v>18.899999999999999</v>
      </c>
      <c r="M13015">
        <v>67522</v>
      </c>
      <c r="N13015" t="s">
        <v>121</v>
      </c>
      <c r="O13015">
        <v>251008</v>
      </c>
      <c r="P13015">
        <v>74.12</v>
      </c>
    </row>
    <row r="13016" spans="1:16" x14ac:dyDescent="0.25">
      <c r="A13016" t="s">
        <v>3296</v>
      </c>
      <c r="B13016" t="s">
        <v>2931</v>
      </c>
      <c r="C13016">
        <v>13374</v>
      </c>
      <c r="D13016" t="str">
        <f>"70460641    "</f>
        <v xml:space="preserve">70460641    </v>
      </c>
      <c r="E13016" t="s">
        <v>222</v>
      </c>
      <c r="F13016" t="s">
        <v>224</v>
      </c>
      <c r="G13016">
        <v>122.87</v>
      </c>
      <c r="H13016">
        <v>250930</v>
      </c>
      <c r="I13016">
        <v>4560</v>
      </c>
      <c r="J13016" t="s">
        <v>390</v>
      </c>
      <c r="K13016">
        <v>331.87</v>
      </c>
      <c r="L13016">
        <v>24.97</v>
      </c>
      <c r="M13016">
        <v>67554</v>
      </c>
      <c r="N13016" t="s">
        <v>317</v>
      </c>
      <c r="O13016">
        <v>251008</v>
      </c>
      <c r="P13016">
        <v>97.9</v>
      </c>
    </row>
    <row r="13017" spans="1:16" x14ac:dyDescent="0.25">
      <c r="A13017" t="s">
        <v>3296</v>
      </c>
      <c r="B13017" t="s">
        <v>2931</v>
      </c>
      <c r="C13017">
        <v>13374</v>
      </c>
      <c r="D13017" t="str">
        <f>"70460641    "</f>
        <v xml:space="preserve">70460641    </v>
      </c>
      <c r="E13017" t="s">
        <v>222</v>
      </c>
      <c r="F13017" t="s">
        <v>224</v>
      </c>
      <c r="G13017">
        <v>54.81</v>
      </c>
      <c r="H13017">
        <v>250930</v>
      </c>
      <c r="I13017">
        <v>4560</v>
      </c>
      <c r="J13017" t="s">
        <v>390</v>
      </c>
      <c r="K13017">
        <v>331.87</v>
      </c>
      <c r="L13017">
        <v>11.14</v>
      </c>
      <c r="M13017">
        <v>69702</v>
      </c>
      <c r="N13017" t="s">
        <v>124</v>
      </c>
      <c r="O13017">
        <v>251008</v>
      </c>
      <c r="P13017">
        <v>43.67</v>
      </c>
    </row>
    <row r="13018" spans="1:16" x14ac:dyDescent="0.25">
      <c r="A13018" t="s">
        <v>3296</v>
      </c>
      <c r="B13018" t="s">
        <v>2931</v>
      </c>
      <c r="C13018">
        <v>13374</v>
      </c>
      <c r="D13018" t="str">
        <f>"70460641    "</f>
        <v xml:space="preserve">70460641    </v>
      </c>
      <c r="E13018" t="s">
        <v>222</v>
      </c>
      <c r="F13018" t="s">
        <v>224</v>
      </c>
      <c r="G13018">
        <v>61.17</v>
      </c>
      <c r="H13018">
        <v>250930</v>
      </c>
      <c r="I13018">
        <v>4560</v>
      </c>
      <c r="J13018" t="s">
        <v>390</v>
      </c>
      <c r="K13018">
        <v>331.87</v>
      </c>
      <c r="L13018">
        <v>12.43</v>
      </c>
      <c r="M13018">
        <v>69704</v>
      </c>
      <c r="N13018" t="s">
        <v>89</v>
      </c>
      <c r="O13018">
        <v>251008</v>
      </c>
      <c r="P13018">
        <v>48.74</v>
      </c>
    </row>
    <row r="13019" spans="1:16" x14ac:dyDescent="0.25">
      <c r="A13019" t="s">
        <v>3296</v>
      </c>
      <c r="B13019" t="s">
        <v>2931</v>
      </c>
      <c r="C13019">
        <v>14708</v>
      </c>
      <c r="D13019" t="str">
        <f>"70520973    "</f>
        <v xml:space="preserve">70520973    </v>
      </c>
      <c r="E13019" t="s">
        <v>222</v>
      </c>
      <c r="F13019" t="s">
        <v>224</v>
      </c>
      <c r="G13019">
        <v>56.19</v>
      </c>
      <c r="H13019">
        <v>251031</v>
      </c>
      <c r="I13019">
        <v>4560</v>
      </c>
      <c r="J13019" t="s">
        <v>390</v>
      </c>
      <c r="K13019">
        <v>576.19000000000005</v>
      </c>
      <c r="L13019">
        <v>11.42</v>
      </c>
      <c r="M13019">
        <v>66756</v>
      </c>
      <c r="N13019" t="s">
        <v>120</v>
      </c>
      <c r="O13019">
        <v>251106</v>
      </c>
      <c r="P13019">
        <v>44.77</v>
      </c>
    </row>
    <row r="13020" spans="1:16" x14ac:dyDescent="0.25">
      <c r="A13020" t="s">
        <v>3296</v>
      </c>
      <c r="B13020" t="s">
        <v>2931</v>
      </c>
      <c r="C13020">
        <v>14708</v>
      </c>
      <c r="D13020" t="str">
        <f>"70520973    "</f>
        <v xml:space="preserve">70520973    </v>
      </c>
      <c r="E13020" t="s">
        <v>222</v>
      </c>
      <c r="F13020" t="s">
        <v>224</v>
      </c>
      <c r="G13020">
        <v>95.26</v>
      </c>
      <c r="H13020">
        <v>251031</v>
      </c>
      <c r="I13020">
        <v>4560</v>
      </c>
      <c r="J13020" t="s">
        <v>390</v>
      </c>
      <c r="K13020">
        <v>576.19000000000005</v>
      </c>
      <c r="L13020">
        <v>19.36</v>
      </c>
      <c r="M13020">
        <v>67522</v>
      </c>
      <c r="N13020" t="s">
        <v>121</v>
      </c>
      <c r="O13020">
        <v>251106</v>
      </c>
      <c r="P13020">
        <v>75.900000000000006</v>
      </c>
    </row>
    <row r="13021" spans="1:16" x14ac:dyDescent="0.25">
      <c r="A13021" t="s">
        <v>3296</v>
      </c>
      <c r="B13021" t="s">
        <v>2931</v>
      </c>
      <c r="C13021">
        <v>14708</v>
      </c>
      <c r="D13021" t="str">
        <f>"70520973    "</f>
        <v xml:space="preserve">70520973    </v>
      </c>
      <c r="E13021" t="s">
        <v>222</v>
      </c>
      <c r="F13021" t="s">
        <v>224</v>
      </c>
      <c r="G13021">
        <v>234.85</v>
      </c>
      <c r="H13021">
        <v>251031</v>
      </c>
      <c r="I13021">
        <v>4560</v>
      </c>
      <c r="J13021" t="s">
        <v>390</v>
      </c>
      <c r="K13021">
        <v>576.19000000000005</v>
      </c>
      <c r="L13021">
        <v>47.72</v>
      </c>
      <c r="M13021">
        <v>67554</v>
      </c>
      <c r="N13021" t="s">
        <v>317</v>
      </c>
      <c r="O13021">
        <v>251106</v>
      </c>
      <c r="P13021">
        <v>187.13</v>
      </c>
    </row>
    <row r="13022" spans="1:16" x14ac:dyDescent="0.25">
      <c r="A13022" t="s">
        <v>3296</v>
      </c>
      <c r="B13022" t="s">
        <v>2931</v>
      </c>
      <c r="C13022">
        <v>14708</v>
      </c>
      <c r="D13022" t="str">
        <f>"70520973    "</f>
        <v xml:space="preserve">70520973    </v>
      </c>
      <c r="E13022" t="s">
        <v>222</v>
      </c>
      <c r="F13022" t="s">
        <v>224</v>
      </c>
      <c r="G13022">
        <v>109.53</v>
      </c>
      <c r="H13022">
        <v>251031</v>
      </c>
      <c r="I13022">
        <v>4560</v>
      </c>
      <c r="J13022" t="s">
        <v>390</v>
      </c>
      <c r="K13022">
        <v>576.19000000000005</v>
      </c>
      <c r="L13022">
        <v>22.26</v>
      </c>
      <c r="M13022">
        <v>69501</v>
      </c>
      <c r="N13022" t="s">
        <v>123</v>
      </c>
      <c r="O13022">
        <v>251106</v>
      </c>
      <c r="P13022">
        <v>87.27</v>
      </c>
    </row>
    <row r="13023" spans="1:16" x14ac:dyDescent="0.25">
      <c r="A13023" t="s">
        <v>3296</v>
      </c>
      <c r="B13023" t="s">
        <v>2931</v>
      </c>
      <c r="C13023">
        <v>14708</v>
      </c>
      <c r="D13023" t="str">
        <f>"70520973    "</f>
        <v xml:space="preserve">70520973    </v>
      </c>
      <c r="E13023" t="s">
        <v>222</v>
      </c>
      <c r="F13023" t="s">
        <v>224</v>
      </c>
      <c r="G13023">
        <v>80.36</v>
      </c>
      <c r="H13023">
        <v>251031</v>
      </c>
      <c r="I13023">
        <v>4560</v>
      </c>
      <c r="J13023" t="s">
        <v>390</v>
      </c>
      <c r="K13023">
        <v>576.19000000000005</v>
      </c>
      <c r="L13023">
        <v>16.329999999999998</v>
      </c>
      <c r="M13023">
        <v>69702</v>
      </c>
      <c r="N13023" t="s">
        <v>124</v>
      </c>
      <c r="O13023">
        <v>251106</v>
      </c>
      <c r="P13023">
        <v>64.03</v>
      </c>
    </row>
    <row r="13024" spans="1:16" x14ac:dyDescent="0.25">
      <c r="A13024" t="s">
        <v>3296</v>
      </c>
      <c r="B13024" t="s">
        <v>2931</v>
      </c>
      <c r="C13024">
        <v>14739</v>
      </c>
      <c r="D13024" t="str">
        <f>"70489705    "</f>
        <v xml:space="preserve">70489705    </v>
      </c>
      <c r="E13024" t="s">
        <v>222</v>
      </c>
      <c r="F13024" t="s">
        <v>224</v>
      </c>
      <c r="G13024">
        <v>244.41</v>
      </c>
      <c r="H13024">
        <v>251031</v>
      </c>
      <c r="I13024">
        <v>4560</v>
      </c>
      <c r="J13024" t="s">
        <v>390</v>
      </c>
      <c r="K13024">
        <v>522.41999999999996</v>
      </c>
      <c r="L13024">
        <v>0</v>
      </c>
      <c r="M13024">
        <v>11001</v>
      </c>
      <c r="N13024" t="s">
        <v>93</v>
      </c>
      <c r="O13024">
        <v>251106</v>
      </c>
      <c r="P13024">
        <v>244.41</v>
      </c>
    </row>
    <row r="13025" spans="1:16" x14ac:dyDescent="0.25">
      <c r="A13025" t="s">
        <v>3296</v>
      </c>
      <c r="B13025" t="s">
        <v>2931</v>
      </c>
      <c r="C13025">
        <v>14739</v>
      </c>
      <c r="D13025" t="str">
        <f>"70489705    "</f>
        <v xml:space="preserve">70489705    </v>
      </c>
      <c r="E13025" t="s">
        <v>222</v>
      </c>
      <c r="F13025" t="s">
        <v>224</v>
      </c>
      <c r="G13025">
        <v>91.1</v>
      </c>
      <c r="H13025">
        <v>251031</v>
      </c>
      <c r="I13025">
        <v>4560</v>
      </c>
      <c r="J13025" t="s">
        <v>390</v>
      </c>
      <c r="K13025">
        <v>522.41999999999996</v>
      </c>
      <c r="L13025">
        <v>18.510000000000002</v>
      </c>
      <c r="M13025">
        <v>59504</v>
      </c>
      <c r="N13025" t="s">
        <v>193</v>
      </c>
      <c r="O13025">
        <v>251106</v>
      </c>
      <c r="P13025">
        <v>72.59</v>
      </c>
    </row>
    <row r="13026" spans="1:16" x14ac:dyDescent="0.25">
      <c r="A13026" t="s">
        <v>3296</v>
      </c>
      <c r="B13026" t="s">
        <v>2931</v>
      </c>
      <c r="C13026">
        <v>15452</v>
      </c>
      <c r="D13026" t="str">
        <f>"70555072    "</f>
        <v xml:space="preserve">70555072    </v>
      </c>
      <c r="E13026" t="s">
        <v>222</v>
      </c>
      <c r="F13026" t="s">
        <v>224</v>
      </c>
      <c r="G13026">
        <v>101.05</v>
      </c>
      <c r="H13026">
        <v>251115</v>
      </c>
      <c r="I13026">
        <v>4560</v>
      </c>
      <c r="J13026" t="s">
        <v>390</v>
      </c>
      <c r="K13026">
        <v>280.54000000000002</v>
      </c>
      <c r="L13026">
        <v>20.53</v>
      </c>
      <c r="M13026">
        <v>67522</v>
      </c>
      <c r="N13026" t="s">
        <v>121</v>
      </c>
      <c r="O13026">
        <v>251120</v>
      </c>
      <c r="P13026">
        <v>80.52</v>
      </c>
    </row>
    <row r="13027" spans="1:16" x14ac:dyDescent="0.25">
      <c r="A13027" t="s">
        <v>3296</v>
      </c>
      <c r="B13027" t="s">
        <v>2931</v>
      </c>
      <c r="C13027">
        <v>15452</v>
      </c>
      <c r="D13027" t="str">
        <f>"70555072    "</f>
        <v xml:space="preserve">70555072    </v>
      </c>
      <c r="E13027" t="s">
        <v>222</v>
      </c>
      <c r="F13027" t="s">
        <v>224</v>
      </c>
      <c r="G13027">
        <v>179.49</v>
      </c>
      <c r="H13027">
        <v>251115</v>
      </c>
      <c r="I13027">
        <v>4560</v>
      </c>
      <c r="J13027" t="s">
        <v>390</v>
      </c>
      <c r="K13027">
        <v>280.54000000000002</v>
      </c>
      <c r="L13027">
        <v>36.47</v>
      </c>
      <c r="M13027">
        <v>69501</v>
      </c>
      <c r="N13027" t="s">
        <v>123</v>
      </c>
      <c r="O13027">
        <v>251120</v>
      </c>
      <c r="P13027">
        <v>143.02000000000001</v>
      </c>
    </row>
    <row r="13028" spans="1:16" x14ac:dyDescent="0.25">
      <c r="A13028" t="s">
        <v>3296</v>
      </c>
      <c r="B13028" t="s">
        <v>2931</v>
      </c>
      <c r="C13028">
        <v>15492</v>
      </c>
      <c r="D13028" t="str">
        <f>"70534771    "</f>
        <v xml:space="preserve">70534771    </v>
      </c>
      <c r="E13028" t="s">
        <v>222</v>
      </c>
      <c r="F13028" t="s">
        <v>224</v>
      </c>
      <c r="G13028">
        <v>63.37</v>
      </c>
      <c r="H13028">
        <v>251115</v>
      </c>
      <c r="I13028">
        <v>4560</v>
      </c>
      <c r="J13028" t="s">
        <v>390</v>
      </c>
      <c r="K13028">
        <v>129.27000000000001</v>
      </c>
      <c r="L13028">
        <v>0</v>
      </c>
      <c r="M13028">
        <v>11001</v>
      </c>
      <c r="N13028" t="s">
        <v>93</v>
      </c>
      <c r="O13028">
        <v>251121</v>
      </c>
      <c r="P13028">
        <v>63.37</v>
      </c>
    </row>
    <row r="13029" spans="1:16" x14ac:dyDescent="0.25">
      <c r="A13029" t="s">
        <v>3296</v>
      </c>
      <c r="B13029" t="s">
        <v>2931</v>
      </c>
      <c r="C13029">
        <v>16189</v>
      </c>
      <c r="D13029" t="str">
        <f>"70565143    "</f>
        <v xml:space="preserve">70565143    </v>
      </c>
      <c r="E13029" t="s">
        <v>222</v>
      </c>
      <c r="F13029" t="s">
        <v>224</v>
      </c>
      <c r="G13029">
        <v>109.39</v>
      </c>
      <c r="H13029">
        <v>251130</v>
      </c>
      <c r="I13029">
        <v>4560</v>
      </c>
      <c r="J13029" t="s">
        <v>390</v>
      </c>
      <c r="K13029">
        <v>193.07</v>
      </c>
      <c r="L13029">
        <v>0</v>
      </c>
      <c r="M13029">
        <v>11001</v>
      </c>
      <c r="N13029" t="s">
        <v>93</v>
      </c>
      <c r="O13029">
        <v>251204</v>
      </c>
      <c r="P13029">
        <v>109.39</v>
      </c>
    </row>
    <row r="13030" spans="1:16" x14ac:dyDescent="0.25">
      <c r="A13030" t="s">
        <v>3296</v>
      </c>
      <c r="B13030" t="s">
        <v>2931</v>
      </c>
      <c r="C13030">
        <v>16491</v>
      </c>
      <c r="D13030" t="str">
        <f>"70597360    "</f>
        <v xml:space="preserve">70597360    </v>
      </c>
      <c r="E13030" t="s">
        <v>222</v>
      </c>
      <c r="F13030" t="s">
        <v>224</v>
      </c>
      <c r="G13030">
        <v>17.25</v>
      </c>
      <c r="H13030">
        <v>251130</v>
      </c>
      <c r="I13030">
        <v>4560</v>
      </c>
      <c r="J13030" t="s">
        <v>390</v>
      </c>
      <c r="K13030">
        <v>190.32</v>
      </c>
      <c r="L13030">
        <v>3.5</v>
      </c>
      <c r="M13030">
        <v>69112</v>
      </c>
      <c r="N13030" t="s">
        <v>227</v>
      </c>
      <c r="O13030">
        <v>251209</v>
      </c>
      <c r="P13030">
        <v>13.75</v>
      </c>
    </row>
    <row r="13031" spans="1:16" x14ac:dyDescent="0.25">
      <c r="A13031" t="s">
        <v>3296</v>
      </c>
      <c r="B13031" t="s">
        <v>2931</v>
      </c>
      <c r="C13031">
        <v>16491</v>
      </c>
      <c r="D13031" t="str">
        <f>"70597360    "</f>
        <v xml:space="preserve">70597360    </v>
      </c>
      <c r="E13031" t="s">
        <v>222</v>
      </c>
      <c r="F13031" t="s">
        <v>224</v>
      </c>
      <c r="G13031">
        <v>104.07</v>
      </c>
      <c r="H13031">
        <v>251130</v>
      </c>
      <c r="I13031">
        <v>4560</v>
      </c>
      <c r="J13031" t="s">
        <v>390</v>
      </c>
      <c r="K13031">
        <v>190.32</v>
      </c>
      <c r="L13031">
        <v>21.15</v>
      </c>
      <c r="M13031">
        <v>69501</v>
      </c>
      <c r="N13031" t="s">
        <v>123</v>
      </c>
      <c r="O13031">
        <v>251209</v>
      </c>
      <c r="P13031">
        <v>82.92</v>
      </c>
    </row>
    <row r="13032" spans="1:16" x14ac:dyDescent="0.25">
      <c r="A13032" t="s">
        <v>3296</v>
      </c>
      <c r="B13032" t="s">
        <v>2931</v>
      </c>
      <c r="C13032">
        <v>16491</v>
      </c>
      <c r="D13032" t="str">
        <f>"70597360    "</f>
        <v xml:space="preserve">70597360    </v>
      </c>
      <c r="E13032" t="s">
        <v>222</v>
      </c>
      <c r="F13032" t="s">
        <v>224</v>
      </c>
      <c r="G13032">
        <v>69</v>
      </c>
      <c r="H13032">
        <v>251130</v>
      </c>
      <c r="I13032">
        <v>4560</v>
      </c>
      <c r="J13032" t="s">
        <v>390</v>
      </c>
      <c r="K13032">
        <v>190.32</v>
      </c>
      <c r="L13032">
        <v>14.02</v>
      </c>
      <c r="M13032">
        <v>69702</v>
      </c>
      <c r="N13032" t="s">
        <v>124</v>
      </c>
      <c r="O13032">
        <v>251209</v>
      </c>
      <c r="P13032">
        <v>54.98</v>
      </c>
    </row>
    <row r="13033" spans="1:16" x14ac:dyDescent="0.25">
      <c r="A13033" t="s">
        <v>3296</v>
      </c>
      <c r="B13033" t="s">
        <v>2931</v>
      </c>
      <c r="C13033">
        <v>17283</v>
      </c>
      <c r="D13033" t="str">
        <f>"70632729    "</f>
        <v xml:space="preserve">70632729    </v>
      </c>
      <c r="E13033" t="s">
        <v>222</v>
      </c>
      <c r="F13033" t="s">
        <v>224</v>
      </c>
      <c r="G13033">
        <v>100</v>
      </c>
      <c r="H13033">
        <v>251215</v>
      </c>
      <c r="I13033">
        <v>4560</v>
      </c>
      <c r="J13033" t="s">
        <v>390</v>
      </c>
      <c r="K13033">
        <v>479.34</v>
      </c>
      <c r="L13033">
        <v>20.32</v>
      </c>
      <c r="M13033">
        <v>66754</v>
      </c>
      <c r="N13033" t="s">
        <v>119</v>
      </c>
      <c r="O13033">
        <v>251219</v>
      </c>
      <c r="P13033">
        <v>79.680000000000007</v>
      </c>
    </row>
    <row r="13034" spans="1:16" x14ac:dyDescent="0.25">
      <c r="A13034" t="s">
        <v>3296</v>
      </c>
      <c r="B13034" t="s">
        <v>2931</v>
      </c>
      <c r="C13034">
        <v>17283</v>
      </c>
      <c r="D13034" t="str">
        <f>"70632729    "</f>
        <v xml:space="preserve">70632729    </v>
      </c>
      <c r="E13034" t="s">
        <v>222</v>
      </c>
      <c r="F13034" t="s">
        <v>224</v>
      </c>
      <c r="G13034">
        <v>293</v>
      </c>
      <c r="H13034">
        <v>251215</v>
      </c>
      <c r="I13034">
        <v>4560</v>
      </c>
      <c r="J13034" t="s">
        <v>390</v>
      </c>
      <c r="K13034">
        <v>479.34</v>
      </c>
      <c r="L13034">
        <v>59.53</v>
      </c>
      <c r="M13034">
        <v>67554</v>
      </c>
      <c r="N13034" t="s">
        <v>317</v>
      </c>
      <c r="O13034">
        <v>251219</v>
      </c>
      <c r="P13034">
        <v>233.47</v>
      </c>
    </row>
    <row r="13035" spans="1:16" x14ac:dyDescent="0.25">
      <c r="A13035" t="s">
        <v>3296</v>
      </c>
      <c r="B13035" t="s">
        <v>2931</v>
      </c>
      <c r="C13035">
        <v>17283</v>
      </c>
      <c r="D13035" t="str">
        <f>"70632729    "</f>
        <v xml:space="preserve">70632729    </v>
      </c>
      <c r="E13035" t="s">
        <v>222</v>
      </c>
      <c r="F13035" t="s">
        <v>224</v>
      </c>
      <c r="G13035">
        <v>58.79</v>
      </c>
      <c r="H13035">
        <v>251215</v>
      </c>
      <c r="I13035">
        <v>4560</v>
      </c>
      <c r="J13035" t="s">
        <v>390</v>
      </c>
      <c r="K13035">
        <v>479.34</v>
      </c>
      <c r="L13035">
        <v>11.95</v>
      </c>
      <c r="M13035">
        <v>69501</v>
      </c>
      <c r="N13035" t="s">
        <v>123</v>
      </c>
      <c r="O13035">
        <v>251219</v>
      </c>
      <c r="P13035">
        <v>46.84</v>
      </c>
    </row>
    <row r="13036" spans="1:16" x14ac:dyDescent="0.25">
      <c r="A13036" t="s">
        <v>3296</v>
      </c>
      <c r="B13036" t="s">
        <v>2931</v>
      </c>
      <c r="C13036">
        <v>17283</v>
      </c>
      <c r="D13036" t="str">
        <f>"70632729    "</f>
        <v xml:space="preserve">70632729    </v>
      </c>
      <c r="E13036" t="s">
        <v>222</v>
      </c>
      <c r="F13036" t="s">
        <v>224</v>
      </c>
      <c r="G13036">
        <v>27.55</v>
      </c>
      <c r="H13036">
        <v>251215</v>
      </c>
      <c r="I13036">
        <v>4560</v>
      </c>
      <c r="J13036" t="s">
        <v>390</v>
      </c>
      <c r="K13036">
        <v>479.34</v>
      </c>
      <c r="L13036">
        <v>5.6</v>
      </c>
      <c r="M13036">
        <v>69702</v>
      </c>
      <c r="N13036" t="s">
        <v>124</v>
      </c>
      <c r="O13036">
        <v>251219</v>
      </c>
      <c r="P13036">
        <v>21.95</v>
      </c>
    </row>
    <row r="13037" spans="1:16" x14ac:dyDescent="0.25">
      <c r="A13037" t="s">
        <v>3296</v>
      </c>
      <c r="B13037" t="s">
        <v>2931</v>
      </c>
      <c r="C13037">
        <v>17352</v>
      </c>
      <c r="D13037" t="str">
        <f>"70611047    "</f>
        <v xml:space="preserve">70611047    </v>
      </c>
      <c r="E13037" t="s">
        <v>222</v>
      </c>
      <c r="F13037" t="s">
        <v>224</v>
      </c>
      <c r="G13037">
        <v>33.880000000000003</v>
      </c>
      <c r="H13037">
        <v>251215</v>
      </c>
      <c r="I13037">
        <v>4560</v>
      </c>
      <c r="J13037" t="s">
        <v>390</v>
      </c>
      <c r="K13037">
        <v>127.18</v>
      </c>
      <c r="L13037">
        <v>0</v>
      </c>
      <c r="M13037">
        <v>11001</v>
      </c>
      <c r="N13037" t="s">
        <v>93</v>
      </c>
      <c r="O13037">
        <v>251219</v>
      </c>
      <c r="P13037">
        <v>33.880000000000003</v>
      </c>
    </row>
    <row r="13038" spans="1:16" x14ac:dyDescent="0.25">
      <c r="A13038" t="s">
        <v>3296</v>
      </c>
      <c r="B13038" t="s">
        <v>2931</v>
      </c>
      <c r="C13038">
        <v>18099</v>
      </c>
      <c r="D13038" t="str">
        <f>"70674682    "</f>
        <v xml:space="preserve">70674682    </v>
      </c>
      <c r="E13038" t="s">
        <v>222</v>
      </c>
      <c r="F13038" t="s">
        <v>224</v>
      </c>
      <c r="G13038">
        <v>120.64</v>
      </c>
      <c r="H13038">
        <v>251231</v>
      </c>
      <c r="I13038">
        <v>4560</v>
      </c>
      <c r="J13038" t="s">
        <v>390</v>
      </c>
      <c r="K13038">
        <v>176.44</v>
      </c>
      <c r="L13038">
        <v>24.51</v>
      </c>
      <c r="M13038">
        <v>67554</v>
      </c>
      <c r="N13038" t="s">
        <v>317</v>
      </c>
      <c r="O13038">
        <v>260109</v>
      </c>
      <c r="P13038">
        <v>96.13</v>
      </c>
    </row>
    <row r="13039" spans="1:16" x14ac:dyDescent="0.25">
      <c r="A13039" t="s">
        <v>3296</v>
      </c>
      <c r="B13039" t="s">
        <v>2931</v>
      </c>
      <c r="C13039">
        <v>18099</v>
      </c>
      <c r="D13039" t="str">
        <f>"70674682    "</f>
        <v xml:space="preserve">70674682    </v>
      </c>
      <c r="E13039" t="s">
        <v>222</v>
      </c>
      <c r="F13039" t="s">
        <v>224</v>
      </c>
      <c r="G13039">
        <v>55.8</v>
      </c>
      <c r="H13039">
        <v>251231</v>
      </c>
      <c r="I13039">
        <v>4560</v>
      </c>
      <c r="J13039" t="s">
        <v>390</v>
      </c>
      <c r="K13039">
        <v>176.44</v>
      </c>
      <c r="L13039">
        <v>11.34</v>
      </c>
      <c r="M13039">
        <v>69702</v>
      </c>
      <c r="N13039" t="s">
        <v>124</v>
      </c>
      <c r="O13039">
        <v>260109</v>
      </c>
      <c r="P13039">
        <v>44.46</v>
      </c>
    </row>
    <row r="13040" spans="1:16" x14ac:dyDescent="0.25">
      <c r="A13040" t="s">
        <v>3296</v>
      </c>
      <c r="B13040" t="s">
        <v>2931</v>
      </c>
      <c r="C13040">
        <v>18476</v>
      </c>
      <c r="D13040" t="str">
        <f>"70642730    "</f>
        <v xml:space="preserve">70642730    </v>
      </c>
      <c r="E13040" t="s">
        <v>222</v>
      </c>
      <c r="F13040" t="s">
        <v>224</v>
      </c>
      <c r="G13040">
        <v>57.02</v>
      </c>
      <c r="H13040">
        <v>251231</v>
      </c>
      <c r="I13040">
        <v>4560</v>
      </c>
      <c r="J13040" t="s">
        <v>390</v>
      </c>
      <c r="K13040">
        <v>137.12</v>
      </c>
      <c r="L13040">
        <v>0</v>
      </c>
      <c r="M13040">
        <v>11001</v>
      </c>
      <c r="N13040" t="s">
        <v>93</v>
      </c>
      <c r="O13040">
        <v>260114</v>
      </c>
      <c r="P13040">
        <v>57.02</v>
      </c>
    </row>
    <row r="13041" spans="1:16" x14ac:dyDescent="0.25">
      <c r="A13041" t="s">
        <v>3296</v>
      </c>
      <c r="B13041" t="s">
        <v>2931</v>
      </c>
      <c r="C13041">
        <v>120</v>
      </c>
      <c r="D13041" t="str">
        <f>"06313452    "</f>
        <v xml:space="preserve">06313452    </v>
      </c>
      <c r="E13041" t="s">
        <v>222</v>
      </c>
      <c r="F13041" t="s">
        <v>224</v>
      </c>
      <c r="G13041">
        <v>1154.9100000000001</v>
      </c>
      <c r="H13041">
        <v>250108</v>
      </c>
      <c r="I13041">
        <v>4571</v>
      </c>
      <c r="J13041" t="s">
        <v>223</v>
      </c>
      <c r="K13041">
        <v>4277.4399999999996</v>
      </c>
      <c r="L13041">
        <v>234.66</v>
      </c>
      <c r="M13041">
        <v>59112</v>
      </c>
      <c r="N13041" t="s">
        <v>44</v>
      </c>
      <c r="O13041">
        <v>250113</v>
      </c>
      <c r="P13041">
        <v>920.25</v>
      </c>
    </row>
    <row r="13042" spans="1:16" x14ac:dyDescent="0.25">
      <c r="A13042" t="s">
        <v>3296</v>
      </c>
      <c r="B13042" t="s">
        <v>2931</v>
      </c>
      <c r="C13042">
        <v>120</v>
      </c>
      <c r="D13042" t="str">
        <f>"06313452    "</f>
        <v xml:space="preserve">06313452    </v>
      </c>
      <c r="E13042" t="s">
        <v>222</v>
      </c>
      <c r="F13042" t="s">
        <v>224</v>
      </c>
      <c r="G13042">
        <v>3122.53</v>
      </c>
      <c r="H13042">
        <v>250108</v>
      </c>
      <c r="I13042">
        <v>4571</v>
      </c>
      <c r="J13042" t="s">
        <v>223</v>
      </c>
      <c r="K13042">
        <v>4277.4399999999996</v>
      </c>
      <c r="L13042">
        <v>634.46</v>
      </c>
      <c r="M13042">
        <v>59504</v>
      </c>
      <c r="N13042" t="s">
        <v>193</v>
      </c>
      <c r="O13042">
        <v>250113</v>
      </c>
      <c r="P13042">
        <v>2488.0700000000002</v>
      </c>
    </row>
    <row r="13043" spans="1:16" x14ac:dyDescent="0.25">
      <c r="A13043" t="s">
        <v>3296</v>
      </c>
      <c r="B13043" t="s">
        <v>2931</v>
      </c>
      <c r="C13043">
        <v>358</v>
      </c>
      <c r="D13043" t="str">
        <f>"06320362    "</f>
        <v xml:space="preserve">06320362    </v>
      </c>
      <c r="E13043" t="s">
        <v>222</v>
      </c>
      <c r="F13043" t="s">
        <v>224</v>
      </c>
      <c r="G13043">
        <v>2899</v>
      </c>
      <c r="H13043">
        <v>250115</v>
      </c>
      <c r="I13043">
        <v>4571</v>
      </c>
      <c r="J13043" t="s">
        <v>223</v>
      </c>
      <c r="K13043">
        <v>10737.03</v>
      </c>
      <c r="L13043">
        <v>589.04</v>
      </c>
      <c r="M13043">
        <v>59112</v>
      </c>
      <c r="N13043" t="s">
        <v>44</v>
      </c>
      <c r="O13043">
        <v>250122</v>
      </c>
      <c r="P13043">
        <v>2309.96</v>
      </c>
    </row>
    <row r="13044" spans="1:16" x14ac:dyDescent="0.25">
      <c r="A13044" t="s">
        <v>3296</v>
      </c>
      <c r="B13044" t="s">
        <v>2931</v>
      </c>
      <c r="C13044">
        <v>358</v>
      </c>
      <c r="D13044" t="str">
        <f>"06320362    "</f>
        <v xml:space="preserve">06320362    </v>
      </c>
      <c r="E13044" t="s">
        <v>222</v>
      </c>
      <c r="F13044" t="s">
        <v>224</v>
      </c>
      <c r="G13044">
        <v>7838.03</v>
      </c>
      <c r="H13044">
        <v>250115</v>
      </c>
      <c r="I13044">
        <v>4571</v>
      </c>
      <c r="J13044" t="s">
        <v>223</v>
      </c>
      <c r="K13044">
        <v>10737.03</v>
      </c>
      <c r="L13044">
        <v>1592.59</v>
      </c>
      <c r="M13044">
        <v>59504</v>
      </c>
      <c r="N13044" t="s">
        <v>193</v>
      </c>
      <c r="O13044">
        <v>250122</v>
      </c>
      <c r="P13044">
        <v>6245.44</v>
      </c>
    </row>
    <row r="13045" spans="1:16" x14ac:dyDescent="0.25">
      <c r="A13045" t="s">
        <v>3296</v>
      </c>
      <c r="B13045" t="s">
        <v>2931</v>
      </c>
      <c r="C13045">
        <v>739</v>
      </c>
      <c r="D13045" t="str">
        <f>"06329288    "</f>
        <v xml:space="preserve">06329288    </v>
      </c>
      <c r="E13045" t="s">
        <v>222</v>
      </c>
      <c r="F13045" t="s">
        <v>224</v>
      </c>
      <c r="G13045">
        <v>1284.48</v>
      </c>
      <c r="H13045">
        <v>250127</v>
      </c>
      <c r="I13045">
        <v>4571</v>
      </c>
      <c r="J13045" t="s">
        <v>223</v>
      </c>
      <c r="K13045">
        <v>4757.3500000000004</v>
      </c>
      <c r="L13045">
        <v>260.99</v>
      </c>
      <c r="M13045">
        <v>59112</v>
      </c>
      <c r="N13045" t="s">
        <v>44</v>
      </c>
      <c r="O13045">
        <v>250128</v>
      </c>
      <c r="P13045">
        <v>1023.49</v>
      </c>
    </row>
    <row r="13046" spans="1:16" x14ac:dyDescent="0.25">
      <c r="A13046" t="s">
        <v>3296</v>
      </c>
      <c r="B13046" t="s">
        <v>2931</v>
      </c>
      <c r="C13046">
        <v>739</v>
      </c>
      <c r="D13046" t="str">
        <f>"06329288    "</f>
        <v xml:space="preserve">06329288    </v>
      </c>
      <c r="E13046" t="s">
        <v>222</v>
      </c>
      <c r="F13046" t="s">
        <v>224</v>
      </c>
      <c r="G13046">
        <v>3472.87</v>
      </c>
      <c r="H13046">
        <v>250127</v>
      </c>
      <c r="I13046">
        <v>4571</v>
      </c>
      <c r="J13046" t="s">
        <v>223</v>
      </c>
      <c r="K13046">
        <v>4757.3500000000004</v>
      </c>
      <c r="L13046">
        <v>705.64</v>
      </c>
      <c r="M13046">
        <v>59504</v>
      </c>
      <c r="N13046" t="s">
        <v>193</v>
      </c>
      <c r="O13046">
        <v>250128</v>
      </c>
      <c r="P13046">
        <v>2767.23</v>
      </c>
    </row>
    <row r="13047" spans="1:16" x14ac:dyDescent="0.25">
      <c r="A13047" t="s">
        <v>3296</v>
      </c>
      <c r="B13047" t="s">
        <v>2931</v>
      </c>
      <c r="C13047">
        <v>1824</v>
      </c>
      <c r="D13047" t="str">
        <f>"06342940    "</f>
        <v xml:space="preserve">06342940    </v>
      </c>
      <c r="E13047" t="s">
        <v>222</v>
      </c>
      <c r="F13047" t="s">
        <v>224</v>
      </c>
      <c r="G13047">
        <v>769.89</v>
      </c>
      <c r="H13047">
        <v>250212</v>
      </c>
      <c r="I13047">
        <v>4571</v>
      </c>
      <c r="J13047" t="s">
        <v>223</v>
      </c>
      <c r="K13047">
        <v>2851.46</v>
      </c>
      <c r="L13047">
        <v>156.43</v>
      </c>
      <c r="M13047">
        <v>59112</v>
      </c>
      <c r="N13047" t="s">
        <v>44</v>
      </c>
      <c r="O13047">
        <v>250214</v>
      </c>
      <c r="P13047">
        <v>613.46</v>
      </c>
    </row>
    <row r="13048" spans="1:16" x14ac:dyDescent="0.25">
      <c r="A13048" t="s">
        <v>3296</v>
      </c>
      <c r="B13048" t="s">
        <v>2931</v>
      </c>
      <c r="C13048">
        <v>1824</v>
      </c>
      <c r="D13048" t="str">
        <f>"06342940    "</f>
        <v xml:space="preserve">06342940    </v>
      </c>
      <c r="E13048" t="s">
        <v>222</v>
      </c>
      <c r="F13048" t="s">
        <v>224</v>
      </c>
      <c r="G13048">
        <v>2081.5700000000002</v>
      </c>
      <c r="H13048">
        <v>250212</v>
      </c>
      <c r="I13048">
        <v>4571</v>
      </c>
      <c r="J13048" t="s">
        <v>223</v>
      </c>
      <c r="K13048">
        <v>2851.46</v>
      </c>
      <c r="L13048">
        <v>422.95</v>
      </c>
      <c r="M13048">
        <v>59504</v>
      </c>
      <c r="N13048" t="s">
        <v>193</v>
      </c>
      <c r="O13048">
        <v>250214</v>
      </c>
      <c r="P13048">
        <v>1658.62</v>
      </c>
    </row>
    <row r="13049" spans="1:16" x14ac:dyDescent="0.25">
      <c r="A13049" t="s">
        <v>3296</v>
      </c>
      <c r="B13049" t="s">
        <v>2931</v>
      </c>
      <c r="C13049">
        <v>2165</v>
      </c>
      <c r="D13049" t="str">
        <f>"06346087    "</f>
        <v xml:space="preserve">06346087    </v>
      </c>
      <c r="E13049" t="s">
        <v>222</v>
      </c>
      <c r="F13049" t="s">
        <v>224</v>
      </c>
      <c r="G13049">
        <v>1227.06</v>
      </c>
      <c r="H13049">
        <v>250217</v>
      </c>
      <c r="I13049">
        <v>4571</v>
      </c>
      <c r="J13049" t="s">
        <v>223</v>
      </c>
      <c r="K13049">
        <v>4544.66</v>
      </c>
      <c r="L13049">
        <v>249.32</v>
      </c>
      <c r="M13049">
        <v>59112</v>
      </c>
      <c r="N13049" t="s">
        <v>44</v>
      </c>
      <c r="O13049">
        <v>250220</v>
      </c>
      <c r="P13049">
        <v>977.74</v>
      </c>
    </row>
    <row r="13050" spans="1:16" x14ac:dyDescent="0.25">
      <c r="A13050" t="s">
        <v>3296</v>
      </c>
      <c r="B13050" t="s">
        <v>2931</v>
      </c>
      <c r="C13050">
        <v>2165</v>
      </c>
      <c r="D13050" t="str">
        <f>"06346087    "</f>
        <v xml:space="preserve">06346087    </v>
      </c>
      <c r="E13050" t="s">
        <v>222</v>
      </c>
      <c r="F13050" t="s">
        <v>224</v>
      </c>
      <c r="G13050">
        <v>3317.6</v>
      </c>
      <c r="H13050">
        <v>250217</v>
      </c>
      <c r="I13050">
        <v>4571</v>
      </c>
      <c r="J13050" t="s">
        <v>223</v>
      </c>
      <c r="K13050">
        <v>4544.66</v>
      </c>
      <c r="L13050">
        <v>674.09</v>
      </c>
      <c r="M13050">
        <v>59504</v>
      </c>
      <c r="N13050" t="s">
        <v>193</v>
      </c>
      <c r="O13050">
        <v>250220</v>
      </c>
      <c r="P13050">
        <v>2643.51</v>
      </c>
    </row>
    <row r="13051" spans="1:16" x14ac:dyDescent="0.25">
      <c r="A13051" t="s">
        <v>3296</v>
      </c>
      <c r="B13051" t="s">
        <v>2931</v>
      </c>
      <c r="C13051">
        <v>2650</v>
      </c>
      <c r="D13051" t="str">
        <f>"06354039    "</f>
        <v xml:space="preserve">06354039    </v>
      </c>
      <c r="E13051" t="s">
        <v>222</v>
      </c>
      <c r="F13051" t="s">
        <v>224</v>
      </c>
      <c r="G13051">
        <v>578.34</v>
      </c>
      <c r="H13051">
        <v>250225</v>
      </c>
      <c r="I13051">
        <v>4571</v>
      </c>
      <c r="J13051" t="s">
        <v>223</v>
      </c>
      <c r="K13051">
        <v>2142</v>
      </c>
      <c r="L13051">
        <v>117.51</v>
      </c>
      <c r="M13051">
        <v>59112</v>
      </c>
      <c r="N13051" t="s">
        <v>44</v>
      </c>
      <c r="O13051">
        <v>250310</v>
      </c>
      <c r="P13051">
        <v>460.83</v>
      </c>
    </row>
    <row r="13052" spans="1:16" x14ac:dyDescent="0.25">
      <c r="A13052" t="s">
        <v>3296</v>
      </c>
      <c r="B13052" t="s">
        <v>2931</v>
      </c>
      <c r="C13052">
        <v>2650</v>
      </c>
      <c r="D13052" t="str">
        <f>"06354039    "</f>
        <v xml:space="preserve">06354039    </v>
      </c>
      <c r="E13052" t="s">
        <v>222</v>
      </c>
      <c r="F13052" t="s">
        <v>224</v>
      </c>
      <c r="G13052">
        <v>1563.66</v>
      </c>
      <c r="H13052">
        <v>250225</v>
      </c>
      <c r="I13052">
        <v>4571</v>
      </c>
      <c r="J13052" t="s">
        <v>223</v>
      </c>
      <c r="K13052">
        <v>2142</v>
      </c>
      <c r="L13052">
        <v>317.72000000000003</v>
      </c>
      <c r="M13052">
        <v>59504</v>
      </c>
      <c r="N13052" t="s">
        <v>193</v>
      </c>
      <c r="O13052">
        <v>250310</v>
      </c>
      <c r="P13052">
        <v>1245.94</v>
      </c>
    </row>
    <row r="13053" spans="1:16" x14ac:dyDescent="0.25">
      <c r="A13053" t="s">
        <v>3296</v>
      </c>
      <c r="B13053" t="s">
        <v>2931</v>
      </c>
      <c r="C13053">
        <v>2701</v>
      </c>
      <c r="D13053" t="str">
        <f>"06355549    "</f>
        <v xml:space="preserve">06355549    </v>
      </c>
      <c r="E13053" t="s">
        <v>222</v>
      </c>
      <c r="F13053" t="s">
        <v>224</v>
      </c>
      <c r="G13053">
        <v>2086.1</v>
      </c>
      <c r="H13053">
        <v>250226</v>
      </c>
      <c r="I13053">
        <v>4571</v>
      </c>
      <c r="J13053" t="s">
        <v>223</v>
      </c>
      <c r="K13053">
        <v>7726.29</v>
      </c>
      <c r="L13053">
        <v>423.87</v>
      </c>
      <c r="M13053">
        <v>59112</v>
      </c>
      <c r="N13053" t="s">
        <v>44</v>
      </c>
      <c r="O13053">
        <v>250311</v>
      </c>
      <c r="P13053">
        <v>1662.23</v>
      </c>
    </row>
    <row r="13054" spans="1:16" x14ac:dyDescent="0.25">
      <c r="A13054" t="s">
        <v>3296</v>
      </c>
      <c r="B13054" t="s">
        <v>2931</v>
      </c>
      <c r="C13054">
        <v>2701</v>
      </c>
      <c r="D13054" t="str">
        <f>"06355549    "</f>
        <v xml:space="preserve">06355549    </v>
      </c>
      <c r="E13054" t="s">
        <v>222</v>
      </c>
      <c r="F13054" t="s">
        <v>224</v>
      </c>
      <c r="G13054">
        <v>5640.19</v>
      </c>
      <c r="H13054">
        <v>250226</v>
      </c>
      <c r="I13054">
        <v>4571</v>
      </c>
      <c r="J13054" t="s">
        <v>223</v>
      </c>
      <c r="K13054">
        <v>7726.29</v>
      </c>
      <c r="L13054">
        <v>1146.01</v>
      </c>
      <c r="M13054">
        <v>59504</v>
      </c>
      <c r="N13054" t="s">
        <v>193</v>
      </c>
      <c r="O13054">
        <v>250311</v>
      </c>
      <c r="P13054">
        <v>4494.18</v>
      </c>
    </row>
    <row r="13055" spans="1:16" x14ac:dyDescent="0.25">
      <c r="A13055" t="s">
        <v>3296</v>
      </c>
      <c r="B13055" t="s">
        <v>2931</v>
      </c>
      <c r="C13055">
        <v>3746</v>
      </c>
      <c r="D13055" t="str">
        <f>"06370402    "</f>
        <v xml:space="preserve">06370402    </v>
      </c>
      <c r="E13055" t="s">
        <v>222</v>
      </c>
      <c r="F13055" t="s">
        <v>224</v>
      </c>
      <c r="G13055">
        <v>2058.87</v>
      </c>
      <c r="H13055">
        <v>250318</v>
      </c>
      <c r="I13055">
        <v>4571</v>
      </c>
      <c r="J13055" t="s">
        <v>223</v>
      </c>
      <c r="K13055">
        <v>7625.43</v>
      </c>
      <c r="L13055">
        <v>418.34</v>
      </c>
      <c r="M13055">
        <v>59112</v>
      </c>
      <c r="N13055" t="s">
        <v>44</v>
      </c>
      <c r="O13055">
        <v>250401</v>
      </c>
      <c r="P13055">
        <v>1640.53</v>
      </c>
    </row>
    <row r="13056" spans="1:16" x14ac:dyDescent="0.25">
      <c r="A13056" t="s">
        <v>3296</v>
      </c>
      <c r="B13056" t="s">
        <v>2931</v>
      </c>
      <c r="C13056">
        <v>3746</v>
      </c>
      <c r="D13056" t="str">
        <f>"06370402    "</f>
        <v xml:space="preserve">06370402    </v>
      </c>
      <c r="E13056" t="s">
        <v>222</v>
      </c>
      <c r="F13056" t="s">
        <v>224</v>
      </c>
      <c r="G13056">
        <v>5566.56</v>
      </c>
      <c r="H13056">
        <v>250318</v>
      </c>
      <c r="I13056">
        <v>4571</v>
      </c>
      <c r="J13056" t="s">
        <v>223</v>
      </c>
      <c r="K13056">
        <v>7625.43</v>
      </c>
      <c r="L13056">
        <v>1131.05</v>
      </c>
      <c r="M13056">
        <v>59504</v>
      </c>
      <c r="N13056" t="s">
        <v>193</v>
      </c>
      <c r="O13056">
        <v>250401</v>
      </c>
      <c r="P13056">
        <v>4435.51</v>
      </c>
    </row>
    <row r="13057" spans="1:16" x14ac:dyDescent="0.25">
      <c r="A13057" t="s">
        <v>3296</v>
      </c>
      <c r="B13057" t="s">
        <v>2931</v>
      </c>
      <c r="C13057">
        <v>4226</v>
      </c>
      <c r="D13057" t="str">
        <f>"06385172    "</f>
        <v xml:space="preserve">06385172    </v>
      </c>
      <c r="E13057" t="s">
        <v>222</v>
      </c>
      <c r="F13057" t="s">
        <v>224</v>
      </c>
      <c r="G13057">
        <v>2139.52</v>
      </c>
      <c r="H13057">
        <v>250404</v>
      </c>
      <c r="I13057">
        <v>4571</v>
      </c>
      <c r="J13057" t="s">
        <v>223</v>
      </c>
      <c r="K13057">
        <v>7924.13</v>
      </c>
      <c r="L13057">
        <v>434.72</v>
      </c>
      <c r="M13057">
        <v>59112</v>
      </c>
      <c r="N13057" t="s">
        <v>44</v>
      </c>
      <c r="O13057">
        <v>250409</v>
      </c>
      <c r="P13057">
        <v>1704.8</v>
      </c>
    </row>
    <row r="13058" spans="1:16" x14ac:dyDescent="0.25">
      <c r="A13058" t="s">
        <v>3296</v>
      </c>
      <c r="B13058" t="s">
        <v>2931</v>
      </c>
      <c r="C13058">
        <v>4226</v>
      </c>
      <c r="D13058" t="str">
        <f>"06385172    "</f>
        <v xml:space="preserve">06385172    </v>
      </c>
      <c r="E13058" t="s">
        <v>222</v>
      </c>
      <c r="F13058" t="s">
        <v>224</v>
      </c>
      <c r="G13058">
        <v>5784.61</v>
      </c>
      <c r="H13058">
        <v>250404</v>
      </c>
      <c r="I13058">
        <v>4571</v>
      </c>
      <c r="J13058" t="s">
        <v>223</v>
      </c>
      <c r="K13058">
        <v>7924.13</v>
      </c>
      <c r="L13058">
        <v>1175.3599999999999</v>
      </c>
      <c r="M13058">
        <v>59504</v>
      </c>
      <c r="N13058" t="s">
        <v>193</v>
      </c>
      <c r="O13058">
        <v>250409</v>
      </c>
      <c r="P13058">
        <v>4609.25</v>
      </c>
    </row>
    <row r="13059" spans="1:16" x14ac:dyDescent="0.25">
      <c r="A13059" t="s">
        <v>3296</v>
      </c>
      <c r="B13059" t="s">
        <v>2931</v>
      </c>
      <c r="C13059">
        <v>4363</v>
      </c>
      <c r="D13059" t="str">
        <f>"06381801    "</f>
        <v xml:space="preserve">06381801    </v>
      </c>
      <c r="E13059" t="s">
        <v>222</v>
      </c>
      <c r="F13059" t="s">
        <v>224</v>
      </c>
      <c r="G13059">
        <v>50.72</v>
      </c>
      <c r="H13059">
        <v>250331</v>
      </c>
      <c r="I13059">
        <v>4571</v>
      </c>
      <c r="J13059" t="s">
        <v>223</v>
      </c>
      <c r="K13059">
        <v>187.87</v>
      </c>
      <c r="L13059">
        <v>10.31</v>
      </c>
      <c r="M13059">
        <v>59112</v>
      </c>
      <c r="N13059" t="s">
        <v>44</v>
      </c>
      <c r="O13059">
        <v>250411</v>
      </c>
      <c r="P13059">
        <v>40.409999999999997</v>
      </c>
    </row>
    <row r="13060" spans="1:16" x14ac:dyDescent="0.25">
      <c r="A13060" t="s">
        <v>3296</v>
      </c>
      <c r="B13060" t="s">
        <v>2931</v>
      </c>
      <c r="C13060">
        <v>4363</v>
      </c>
      <c r="D13060" t="str">
        <f>"06381801    "</f>
        <v xml:space="preserve">06381801    </v>
      </c>
      <c r="E13060" t="s">
        <v>222</v>
      </c>
      <c r="F13060" t="s">
        <v>224</v>
      </c>
      <c r="G13060">
        <v>137.15</v>
      </c>
      <c r="H13060">
        <v>250331</v>
      </c>
      <c r="I13060">
        <v>4571</v>
      </c>
      <c r="J13060" t="s">
        <v>223</v>
      </c>
      <c r="K13060">
        <v>187.87</v>
      </c>
      <c r="L13060">
        <v>27.87</v>
      </c>
      <c r="M13060">
        <v>59504</v>
      </c>
      <c r="N13060" t="s">
        <v>193</v>
      </c>
      <c r="O13060">
        <v>250411</v>
      </c>
      <c r="P13060">
        <v>109.28</v>
      </c>
    </row>
    <row r="13061" spans="1:16" x14ac:dyDescent="0.25">
      <c r="A13061" t="s">
        <v>3296</v>
      </c>
      <c r="B13061" t="s">
        <v>2931</v>
      </c>
      <c r="C13061">
        <v>5787</v>
      </c>
      <c r="D13061" t="str">
        <f>"06396265    "</f>
        <v xml:space="preserve">06396265    </v>
      </c>
      <c r="E13061" t="s">
        <v>222</v>
      </c>
      <c r="F13061" t="s">
        <v>224</v>
      </c>
      <c r="G13061">
        <v>1372.45</v>
      </c>
      <c r="H13061">
        <v>250422</v>
      </c>
      <c r="I13061">
        <v>4571</v>
      </c>
      <c r="J13061" t="s">
        <v>223</v>
      </c>
      <c r="K13061">
        <v>5083.16</v>
      </c>
      <c r="L13061">
        <v>278.86</v>
      </c>
      <c r="M13061">
        <v>59112</v>
      </c>
      <c r="N13061" t="s">
        <v>44</v>
      </c>
      <c r="O13061">
        <v>250505</v>
      </c>
      <c r="P13061">
        <v>1093.5899999999999</v>
      </c>
    </row>
    <row r="13062" spans="1:16" x14ac:dyDescent="0.25">
      <c r="A13062" t="s">
        <v>3296</v>
      </c>
      <c r="B13062" t="s">
        <v>2931</v>
      </c>
      <c r="C13062">
        <v>5787</v>
      </c>
      <c r="D13062" t="str">
        <f>"06396265    "</f>
        <v xml:space="preserve">06396265    </v>
      </c>
      <c r="E13062" t="s">
        <v>222</v>
      </c>
      <c r="F13062" t="s">
        <v>224</v>
      </c>
      <c r="G13062">
        <v>3710.71</v>
      </c>
      <c r="H13062">
        <v>250422</v>
      </c>
      <c r="I13062">
        <v>4571</v>
      </c>
      <c r="J13062" t="s">
        <v>223</v>
      </c>
      <c r="K13062">
        <v>5083.16</v>
      </c>
      <c r="L13062">
        <v>753.97</v>
      </c>
      <c r="M13062">
        <v>59504</v>
      </c>
      <c r="N13062" t="s">
        <v>193</v>
      </c>
      <c r="O13062">
        <v>250505</v>
      </c>
      <c r="P13062">
        <v>2956.74</v>
      </c>
    </row>
    <row r="13063" spans="1:16" x14ac:dyDescent="0.25">
      <c r="A13063" t="s">
        <v>3296</v>
      </c>
      <c r="B13063" t="s">
        <v>2931</v>
      </c>
      <c r="C13063">
        <v>6269</v>
      </c>
      <c r="D13063" t="str">
        <f>"06407763    "</f>
        <v xml:space="preserve">06407763    </v>
      </c>
      <c r="E13063" t="s">
        <v>222</v>
      </c>
      <c r="F13063" t="s">
        <v>224</v>
      </c>
      <c r="G13063">
        <v>2336.67</v>
      </c>
      <c r="H13063">
        <v>250506</v>
      </c>
      <c r="I13063">
        <v>4571</v>
      </c>
      <c r="J13063" t="s">
        <v>223</v>
      </c>
      <c r="K13063">
        <v>8654.35</v>
      </c>
      <c r="L13063">
        <v>474.78</v>
      </c>
      <c r="M13063">
        <v>59112</v>
      </c>
      <c r="N13063" t="s">
        <v>44</v>
      </c>
      <c r="O13063">
        <v>250512</v>
      </c>
      <c r="P13063">
        <v>1861.89</v>
      </c>
    </row>
    <row r="13064" spans="1:16" x14ac:dyDescent="0.25">
      <c r="A13064" t="s">
        <v>3296</v>
      </c>
      <c r="B13064" t="s">
        <v>2931</v>
      </c>
      <c r="C13064">
        <v>6269</v>
      </c>
      <c r="D13064" t="str">
        <f>"06407763    "</f>
        <v xml:space="preserve">06407763    </v>
      </c>
      <c r="E13064" t="s">
        <v>222</v>
      </c>
      <c r="F13064" t="s">
        <v>224</v>
      </c>
      <c r="G13064">
        <v>6317.68</v>
      </c>
      <c r="H13064">
        <v>250506</v>
      </c>
      <c r="I13064">
        <v>4571</v>
      </c>
      <c r="J13064" t="s">
        <v>223</v>
      </c>
      <c r="K13064">
        <v>8654.35</v>
      </c>
      <c r="L13064">
        <v>1283.67</v>
      </c>
      <c r="M13064">
        <v>59504</v>
      </c>
      <c r="N13064" t="s">
        <v>193</v>
      </c>
      <c r="O13064">
        <v>250512</v>
      </c>
      <c r="P13064">
        <v>5034.01</v>
      </c>
    </row>
    <row r="13065" spans="1:16" x14ac:dyDescent="0.25">
      <c r="A13065" t="s">
        <v>3296</v>
      </c>
      <c r="B13065" t="s">
        <v>2931</v>
      </c>
      <c r="C13065">
        <v>6797</v>
      </c>
      <c r="D13065" t="str">
        <f>"06413825    "</f>
        <v xml:space="preserve">06413825    </v>
      </c>
      <c r="E13065" t="s">
        <v>222</v>
      </c>
      <c r="F13065" t="s">
        <v>224</v>
      </c>
      <c r="G13065">
        <v>2230.81</v>
      </c>
      <c r="H13065">
        <v>250513</v>
      </c>
      <c r="I13065">
        <v>4571</v>
      </c>
      <c r="J13065" t="s">
        <v>223</v>
      </c>
      <c r="K13065">
        <v>2230.81</v>
      </c>
      <c r="L13065">
        <v>453.27</v>
      </c>
      <c r="M13065">
        <v>17950</v>
      </c>
      <c r="N13065" t="s">
        <v>132</v>
      </c>
      <c r="O13065">
        <v>250516</v>
      </c>
      <c r="P13065">
        <v>1777.54</v>
      </c>
    </row>
    <row r="13066" spans="1:16" x14ac:dyDescent="0.25">
      <c r="A13066" t="s">
        <v>3296</v>
      </c>
      <c r="B13066" t="s">
        <v>2931</v>
      </c>
      <c r="C13066">
        <v>7925</v>
      </c>
      <c r="D13066" t="str">
        <f>"06427423    "</f>
        <v xml:space="preserve">06427423    </v>
      </c>
      <c r="E13066" t="s">
        <v>222</v>
      </c>
      <c r="F13066" t="s">
        <v>224</v>
      </c>
      <c r="G13066">
        <v>815.77</v>
      </c>
      <c r="H13066">
        <v>250530</v>
      </c>
      <c r="I13066">
        <v>4571</v>
      </c>
      <c r="J13066" t="s">
        <v>223</v>
      </c>
      <c r="K13066">
        <v>3021.36</v>
      </c>
      <c r="L13066">
        <v>165.75</v>
      </c>
      <c r="M13066">
        <v>59112</v>
      </c>
      <c r="N13066" t="s">
        <v>44</v>
      </c>
      <c r="O13066">
        <v>250610</v>
      </c>
      <c r="P13066">
        <v>650.02</v>
      </c>
    </row>
    <row r="13067" spans="1:16" x14ac:dyDescent="0.25">
      <c r="A13067" t="s">
        <v>3296</v>
      </c>
      <c r="B13067" t="s">
        <v>2931</v>
      </c>
      <c r="C13067">
        <v>7925</v>
      </c>
      <c r="D13067" t="str">
        <f>"06427423    "</f>
        <v xml:space="preserve">06427423    </v>
      </c>
      <c r="E13067" t="s">
        <v>222</v>
      </c>
      <c r="F13067" t="s">
        <v>224</v>
      </c>
      <c r="G13067">
        <v>2205.59</v>
      </c>
      <c r="H13067">
        <v>250530</v>
      </c>
      <c r="I13067">
        <v>4571</v>
      </c>
      <c r="J13067" t="s">
        <v>223</v>
      </c>
      <c r="K13067">
        <v>3021.36</v>
      </c>
      <c r="L13067">
        <v>448.15</v>
      </c>
      <c r="M13067">
        <v>59504</v>
      </c>
      <c r="N13067" t="s">
        <v>193</v>
      </c>
      <c r="O13067">
        <v>250610</v>
      </c>
      <c r="P13067">
        <v>1757.44</v>
      </c>
    </row>
    <row r="13068" spans="1:16" x14ac:dyDescent="0.25">
      <c r="A13068" t="s">
        <v>3296</v>
      </c>
      <c r="B13068" t="s">
        <v>2931</v>
      </c>
      <c r="C13068">
        <v>9190</v>
      </c>
      <c r="D13068" t="str">
        <f>"06444360    "</f>
        <v xml:space="preserve">06444360    </v>
      </c>
      <c r="E13068" t="s">
        <v>222</v>
      </c>
      <c r="F13068" t="s">
        <v>224</v>
      </c>
      <c r="G13068">
        <v>50.72</v>
      </c>
      <c r="H13068">
        <v>250624</v>
      </c>
      <c r="I13068">
        <v>4571</v>
      </c>
      <c r="J13068" t="s">
        <v>223</v>
      </c>
      <c r="K13068">
        <v>187.87</v>
      </c>
      <c r="L13068">
        <v>10.31</v>
      </c>
      <c r="M13068">
        <v>59112</v>
      </c>
      <c r="N13068" t="s">
        <v>44</v>
      </c>
      <c r="O13068">
        <v>250627</v>
      </c>
      <c r="P13068">
        <v>40.409999999999997</v>
      </c>
    </row>
    <row r="13069" spans="1:16" x14ac:dyDescent="0.25">
      <c r="A13069" t="s">
        <v>3296</v>
      </c>
      <c r="B13069" t="s">
        <v>2931</v>
      </c>
      <c r="C13069">
        <v>9190</v>
      </c>
      <c r="D13069" t="str">
        <f>"06444360    "</f>
        <v xml:space="preserve">06444360    </v>
      </c>
      <c r="E13069" t="s">
        <v>222</v>
      </c>
      <c r="F13069" t="s">
        <v>224</v>
      </c>
      <c r="G13069">
        <v>137.15</v>
      </c>
      <c r="H13069">
        <v>250624</v>
      </c>
      <c r="I13069">
        <v>4571</v>
      </c>
      <c r="J13069" t="s">
        <v>223</v>
      </c>
      <c r="K13069">
        <v>187.87</v>
      </c>
      <c r="L13069">
        <v>27.87</v>
      </c>
      <c r="M13069">
        <v>59504</v>
      </c>
      <c r="N13069" t="s">
        <v>193</v>
      </c>
      <c r="O13069">
        <v>250627</v>
      </c>
      <c r="P13069">
        <v>109.28</v>
      </c>
    </row>
    <row r="13070" spans="1:16" x14ac:dyDescent="0.25">
      <c r="A13070" t="s">
        <v>3296</v>
      </c>
      <c r="B13070" t="s">
        <v>2931</v>
      </c>
      <c r="C13070">
        <v>9596</v>
      </c>
      <c r="D13070" t="str">
        <f>"06453410    "</f>
        <v xml:space="preserve">06453410    </v>
      </c>
      <c r="E13070" t="s">
        <v>222</v>
      </c>
      <c r="F13070" t="s">
        <v>224</v>
      </c>
      <c r="G13070">
        <v>1101.9000000000001</v>
      </c>
      <c r="H13070">
        <v>250702</v>
      </c>
      <c r="I13070">
        <v>4571</v>
      </c>
      <c r="J13070" t="s">
        <v>223</v>
      </c>
      <c r="K13070">
        <v>4081.11</v>
      </c>
      <c r="L13070">
        <v>223.89</v>
      </c>
      <c r="M13070">
        <v>59112</v>
      </c>
      <c r="N13070" t="s">
        <v>44</v>
      </c>
      <c r="O13070">
        <v>250721</v>
      </c>
      <c r="P13070">
        <v>878.01</v>
      </c>
    </row>
    <row r="13071" spans="1:16" x14ac:dyDescent="0.25">
      <c r="A13071" t="s">
        <v>3296</v>
      </c>
      <c r="B13071" t="s">
        <v>2931</v>
      </c>
      <c r="C13071">
        <v>9596</v>
      </c>
      <c r="D13071" t="str">
        <f>"06453410    "</f>
        <v xml:space="preserve">06453410    </v>
      </c>
      <c r="E13071" t="s">
        <v>222</v>
      </c>
      <c r="F13071" t="s">
        <v>224</v>
      </c>
      <c r="G13071">
        <v>2979.21</v>
      </c>
      <c r="H13071">
        <v>250702</v>
      </c>
      <c r="I13071">
        <v>4571</v>
      </c>
      <c r="J13071" t="s">
        <v>223</v>
      </c>
      <c r="K13071">
        <v>4081.11</v>
      </c>
      <c r="L13071">
        <v>605.34</v>
      </c>
      <c r="M13071">
        <v>59504</v>
      </c>
      <c r="N13071" t="s">
        <v>193</v>
      </c>
      <c r="O13071">
        <v>250721</v>
      </c>
      <c r="P13071">
        <v>2373.87</v>
      </c>
    </row>
    <row r="13072" spans="1:16" x14ac:dyDescent="0.25">
      <c r="A13072" t="s">
        <v>3296</v>
      </c>
      <c r="B13072" t="s">
        <v>2931</v>
      </c>
      <c r="C13072">
        <v>11157</v>
      </c>
      <c r="D13072" t="str">
        <f>"06488905    "</f>
        <v xml:space="preserve">06488905    </v>
      </c>
      <c r="E13072" t="s">
        <v>222</v>
      </c>
      <c r="F13072" t="s">
        <v>224</v>
      </c>
      <c r="G13072">
        <v>1756.07</v>
      </c>
      <c r="H13072">
        <v>250827</v>
      </c>
      <c r="I13072">
        <v>4571</v>
      </c>
      <c r="J13072" t="s">
        <v>223</v>
      </c>
      <c r="K13072">
        <v>6503.97</v>
      </c>
      <c r="L13072">
        <v>356.81</v>
      </c>
      <c r="M13072">
        <v>59112</v>
      </c>
      <c r="N13072" t="s">
        <v>44</v>
      </c>
      <c r="O13072">
        <v>250901</v>
      </c>
      <c r="P13072">
        <v>1399.26</v>
      </c>
    </row>
    <row r="13073" spans="1:16" x14ac:dyDescent="0.25">
      <c r="A13073" t="s">
        <v>3296</v>
      </c>
      <c r="B13073" t="s">
        <v>2931</v>
      </c>
      <c r="C13073">
        <v>11157</v>
      </c>
      <c r="D13073" t="str">
        <f>"06488905    "</f>
        <v xml:space="preserve">06488905    </v>
      </c>
      <c r="E13073" t="s">
        <v>222</v>
      </c>
      <c r="F13073" t="s">
        <v>224</v>
      </c>
      <c r="G13073">
        <v>4747.8999999999996</v>
      </c>
      <c r="H13073">
        <v>250827</v>
      </c>
      <c r="I13073">
        <v>4571</v>
      </c>
      <c r="J13073" t="s">
        <v>223</v>
      </c>
      <c r="K13073">
        <v>6503.97</v>
      </c>
      <c r="L13073">
        <v>964.71</v>
      </c>
      <c r="M13073">
        <v>59504</v>
      </c>
      <c r="N13073" t="s">
        <v>193</v>
      </c>
      <c r="O13073">
        <v>250901</v>
      </c>
      <c r="P13073">
        <v>3783.19</v>
      </c>
    </row>
    <row r="13074" spans="1:16" x14ac:dyDescent="0.25">
      <c r="A13074" t="s">
        <v>3296</v>
      </c>
      <c r="B13074" t="s">
        <v>2931</v>
      </c>
      <c r="C13074">
        <v>12766</v>
      </c>
      <c r="D13074" t="str">
        <f>"06511292    "</f>
        <v xml:space="preserve">06511292    </v>
      </c>
      <c r="E13074" t="s">
        <v>222</v>
      </c>
      <c r="F13074" t="s">
        <v>224</v>
      </c>
      <c r="G13074">
        <v>50.72</v>
      </c>
      <c r="H13074">
        <v>250924</v>
      </c>
      <c r="I13074">
        <v>4571</v>
      </c>
      <c r="J13074" t="s">
        <v>223</v>
      </c>
      <c r="K13074">
        <v>187.87</v>
      </c>
      <c r="L13074">
        <v>10.31</v>
      </c>
      <c r="M13074">
        <v>59112</v>
      </c>
      <c r="N13074" t="s">
        <v>44</v>
      </c>
      <c r="O13074">
        <v>250930</v>
      </c>
      <c r="P13074">
        <v>40.409999999999997</v>
      </c>
    </row>
    <row r="13075" spans="1:16" x14ac:dyDescent="0.25">
      <c r="A13075" t="s">
        <v>3296</v>
      </c>
      <c r="B13075" t="s">
        <v>2931</v>
      </c>
      <c r="C13075">
        <v>12766</v>
      </c>
      <c r="D13075" t="str">
        <f>"06511292    "</f>
        <v xml:space="preserve">06511292    </v>
      </c>
      <c r="E13075" t="s">
        <v>222</v>
      </c>
      <c r="F13075" t="s">
        <v>224</v>
      </c>
      <c r="G13075">
        <v>137.15</v>
      </c>
      <c r="H13075">
        <v>250924</v>
      </c>
      <c r="I13075">
        <v>4571</v>
      </c>
      <c r="J13075" t="s">
        <v>223</v>
      </c>
      <c r="K13075">
        <v>187.87</v>
      </c>
      <c r="L13075">
        <v>27.87</v>
      </c>
      <c r="M13075">
        <v>59504</v>
      </c>
      <c r="N13075" t="s">
        <v>193</v>
      </c>
      <c r="O13075">
        <v>250930</v>
      </c>
      <c r="P13075">
        <v>109.28</v>
      </c>
    </row>
    <row r="13076" spans="1:16" x14ac:dyDescent="0.25">
      <c r="A13076" t="s">
        <v>3296</v>
      </c>
      <c r="B13076" t="s">
        <v>2931</v>
      </c>
      <c r="C13076">
        <v>13778</v>
      </c>
      <c r="D13076" t="str">
        <f>"06525278    "</f>
        <v xml:space="preserve">06525278    </v>
      </c>
      <c r="E13076" t="s">
        <v>222</v>
      </c>
      <c r="F13076" t="s">
        <v>224</v>
      </c>
      <c r="G13076">
        <v>112.08</v>
      </c>
      <c r="H13076">
        <v>251009</v>
      </c>
      <c r="I13076">
        <v>4571</v>
      </c>
      <c r="J13076" t="s">
        <v>223</v>
      </c>
      <c r="K13076">
        <v>415.12</v>
      </c>
      <c r="L13076">
        <v>22.77</v>
      </c>
      <c r="M13076">
        <v>59112</v>
      </c>
      <c r="N13076" t="s">
        <v>44</v>
      </c>
      <c r="O13076">
        <v>251020</v>
      </c>
      <c r="P13076">
        <v>89.31</v>
      </c>
    </row>
    <row r="13077" spans="1:16" x14ac:dyDescent="0.25">
      <c r="A13077" t="s">
        <v>3296</v>
      </c>
      <c r="B13077" t="s">
        <v>2931</v>
      </c>
      <c r="C13077">
        <v>13778</v>
      </c>
      <c r="D13077" t="str">
        <f>"06525278    "</f>
        <v xml:space="preserve">06525278    </v>
      </c>
      <c r="E13077" t="s">
        <v>222</v>
      </c>
      <c r="F13077" t="s">
        <v>224</v>
      </c>
      <c r="G13077">
        <v>303.04000000000002</v>
      </c>
      <c r="H13077">
        <v>251009</v>
      </c>
      <c r="I13077">
        <v>4571</v>
      </c>
      <c r="J13077" t="s">
        <v>223</v>
      </c>
      <c r="K13077">
        <v>415.12</v>
      </c>
      <c r="L13077">
        <v>61.57</v>
      </c>
      <c r="M13077">
        <v>59504</v>
      </c>
      <c r="N13077" t="s">
        <v>193</v>
      </c>
      <c r="O13077">
        <v>251020</v>
      </c>
      <c r="P13077">
        <v>241.47</v>
      </c>
    </row>
    <row r="13078" spans="1:16" x14ac:dyDescent="0.25">
      <c r="A13078" t="s">
        <v>3296</v>
      </c>
      <c r="B13078" t="s">
        <v>2931</v>
      </c>
      <c r="C13078">
        <v>13800</v>
      </c>
      <c r="D13078" t="str">
        <f>"06527350    "</f>
        <v xml:space="preserve">06527350    </v>
      </c>
      <c r="E13078" t="s">
        <v>222</v>
      </c>
      <c r="F13078" t="s">
        <v>224</v>
      </c>
      <c r="G13078">
        <v>291.73</v>
      </c>
      <c r="H13078">
        <v>251013</v>
      </c>
      <c r="I13078">
        <v>4571</v>
      </c>
      <c r="J13078" t="s">
        <v>223</v>
      </c>
      <c r="K13078">
        <v>1080.49</v>
      </c>
      <c r="L13078">
        <v>59.28</v>
      </c>
      <c r="M13078">
        <v>59112</v>
      </c>
      <c r="N13078" t="s">
        <v>44</v>
      </c>
      <c r="O13078">
        <v>251020</v>
      </c>
      <c r="P13078">
        <v>232.45</v>
      </c>
    </row>
    <row r="13079" spans="1:16" x14ac:dyDescent="0.25">
      <c r="A13079" t="s">
        <v>3296</v>
      </c>
      <c r="B13079" t="s">
        <v>2931</v>
      </c>
      <c r="C13079">
        <v>13800</v>
      </c>
      <c r="D13079" t="str">
        <f>"06527350    "</f>
        <v xml:space="preserve">06527350    </v>
      </c>
      <c r="E13079" t="s">
        <v>222</v>
      </c>
      <c r="F13079" t="s">
        <v>224</v>
      </c>
      <c r="G13079">
        <v>788.76</v>
      </c>
      <c r="H13079">
        <v>251013</v>
      </c>
      <c r="I13079">
        <v>4571</v>
      </c>
      <c r="J13079" t="s">
        <v>223</v>
      </c>
      <c r="K13079">
        <v>1080.49</v>
      </c>
      <c r="L13079">
        <v>160.27000000000001</v>
      </c>
      <c r="M13079">
        <v>59504</v>
      </c>
      <c r="N13079" t="s">
        <v>193</v>
      </c>
      <c r="O13079">
        <v>251020</v>
      </c>
      <c r="P13079">
        <v>628.49</v>
      </c>
    </row>
    <row r="13080" spans="1:16" x14ac:dyDescent="0.25">
      <c r="A13080" t="s">
        <v>3296</v>
      </c>
      <c r="B13080" t="s">
        <v>2931</v>
      </c>
      <c r="C13080">
        <v>14264</v>
      </c>
      <c r="D13080" t="str">
        <f>"06535648    "</f>
        <v xml:space="preserve">06535648    </v>
      </c>
      <c r="E13080" t="s">
        <v>222</v>
      </c>
      <c r="F13080" t="s">
        <v>224</v>
      </c>
      <c r="G13080">
        <v>141.05000000000001</v>
      </c>
      <c r="H13080">
        <v>251022</v>
      </c>
      <c r="I13080">
        <v>4571</v>
      </c>
      <c r="J13080" t="s">
        <v>223</v>
      </c>
      <c r="K13080">
        <v>522.41</v>
      </c>
      <c r="L13080">
        <v>28.66</v>
      </c>
      <c r="M13080">
        <v>59112</v>
      </c>
      <c r="N13080" t="s">
        <v>44</v>
      </c>
      <c r="O13080">
        <v>251028</v>
      </c>
      <c r="P13080">
        <v>112.39</v>
      </c>
    </row>
    <row r="13081" spans="1:16" x14ac:dyDescent="0.25">
      <c r="A13081" t="s">
        <v>3296</v>
      </c>
      <c r="B13081" t="s">
        <v>2931</v>
      </c>
      <c r="C13081">
        <v>14264</v>
      </c>
      <c r="D13081" t="str">
        <f>"06535648    "</f>
        <v xml:space="preserve">06535648    </v>
      </c>
      <c r="E13081" t="s">
        <v>222</v>
      </c>
      <c r="F13081" t="s">
        <v>224</v>
      </c>
      <c r="G13081">
        <v>381.36</v>
      </c>
      <c r="H13081">
        <v>251022</v>
      </c>
      <c r="I13081">
        <v>4571</v>
      </c>
      <c r="J13081" t="s">
        <v>223</v>
      </c>
      <c r="K13081">
        <v>522.41</v>
      </c>
      <c r="L13081">
        <v>77.489999999999995</v>
      </c>
      <c r="M13081">
        <v>59504</v>
      </c>
      <c r="N13081" t="s">
        <v>193</v>
      </c>
      <c r="O13081">
        <v>251028</v>
      </c>
      <c r="P13081">
        <v>303.87</v>
      </c>
    </row>
    <row r="13082" spans="1:16" x14ac:dyDescent="0.25">
      <c r="A13082" t="s">
        <v>3296</v>
      </c>
      <c r="B13082" t="s">
        <v>2931</v>
      </c>
      <c r="C13082">
        <v>14535</v>
      </c>
      <c r="D13082" t="str">
        <f>"06547066    "</f>
        <v xml:space="preserve">06547066    </v>
      </c>
      <c r="E13082" t="s">
        <v>222</v>
      </c>
      <c r="F13082" t="s">
        <v>224</v>
      </c>
      <c r="G13082">
        <v>1117.47</v>
      </c>
      <c r="H13082">
        <v>251031</v>
      </c>
      <c r="I13082">
        <v>4571</v>
      </c>
      <c r="J13082" t="s">
        <v>223</v>
      </c>
      <c r="K13082">
        <v>4138.78</v>
      </c>
      <c r="L13082">
        <v>227.06</v>
      </c>
      <c r="M13082">
        <v>59112</v>
      </c>
      <c r="N13082" t="s">
        <v>44</v>
      </c>
      <c r="O13082">
        <v>251104</v>
      </c>
      <c r="P13082">
        <v>890.41</v>
      </c>
    </row>
    <row r="13083" spans="1:16" x14ac:dyDescent="0.25">
      <c r="A13083" t="s">
        <v>3296</v>
      </c>
      <c r="B13083" t="s">
        <v>2931</v>
      </c>
      <c r="C13083">
        <v>14535</v>
      </c>
      <c r="D13083" t="str">
        <f>"06547066    "</f>
        <v xml:space="preserve">06547066    </v>
      </c>
      <c r="E13083" t="s">
        <v>222</v>
      </c>
      <c r="F13083" t="s">
        <v>224</v>
      </c>
      <c r="G13083">
        <v>3021.31</v>
      </c>
      <c r="H13083">
        <v>251031</v>
      </c>
      <c r="I13083">
        <v>4571</v>
      </c>
      <c r="J13083" t="s">
        <v>223</v>
      </c>
      <c r="K13083">
        <v>4138.78</v>
      </c>
      <c r="L13083">
        <v>613.89</v>
      </c>
      <c r="M13083">
        <v>59504</v>
      </c>
      <c r="N13083" t="s">
        <v>193</v>
      </c>
      <c r="O13083">
        <v>251104</v>
      </c>
      <c r="P13083">
        <v>2407.42</v>
      </c>
    </row>
    <row r="13084" spans="1:16" x14ac:dyDescent="0.25">
      <c r="A13084" t="s">
        <v>3296</v>
      </c>
      <c r="B13084" t="s">
        <v>2931</v>
      </c>
      <c r="C13084">
        <v>15096</v>
      </c>
      <c r="D13084" t="str">
        <f>"06552408    "</f>
        <v xml:space="preserve">06552408    </v>
      </c>
      <c r="E13084" t="s">
        <v>222</v>
      </c>
      <c r="F13084" t="s">
        <v>224</v>
      </c>
      <c r="G13084">
        <v>95.88</v>
      </c>
      <c r="H13084">
        <v>251106</v>
      </c>
      <c r="I13084">
        <v>4571</v>
      </c>
      <c r="J13084" t="s">
        <v>223</v>
      </c>
      <c r="K13084">
        <v>355.11</v>
      </c>
      <c r="L13084">
        <v>19.48</v>
      </c>
      <c r="M13084">
        <v>59112</v>
      </c>
      <c r="N13084" t="s">
        <v>44</v>
      </c>
      <c r="O13084">
        <v>251111</v>
      </c>
      <c r="P13084">
        <v>76.400000000000006</v>
      </c>
    </row>
    <row r="13085" spans="1:16" x14ac:dyDescent="0.25">
      <c r="A13085" t="s">
        <v>3296</v>
      </c>
      <c r="B13085" t="s">
        <v>2931</v>
      </c>
      <c r="C13085">
        <v>15096</v>
      </c>
      <c r="D13085" t="str">
        <f>"06552408    "</f>
        <v xml:space="preserve">06552408    </v>
      </c>
      <c r="E13085" t="s">
        <v>222</v>
      </c>
      <c r="F13085" t="s">
        <v>224</v>
      </c>
      <c r="G13085">
        <v>259.23</v>
      </c>
      <c r="H13085">
        <v>251106</v>
      </c>
      <c r="I13085">
        <v>4571</v>
      </c>
      <c r="J13085" t="s">
        <v>223</v>
      </c>
      <c r="K13085">
        <v>355.11</v>
      </c>
      <c r="L13085">
        <v>52.67</v>
      </c>
      <c r="M13085">
        <v>59504</v>
      </c>
      <c r="N13085" t="s">
        <v>193</v>
      </c>
      <c r="O13085">
        <v>251111</v>
      </c>
      <c r="P13085">
        <v>206.56</v>
      </c>
    </row>
    <row r="13086" spans="1:16" x14ac:dyDescent="0.25">
      <c r="A13086" t="s">
        <v>3296</v>
      </c>
      <c r="B13086" t="s">
        <v>2931</v>
      </c>
      <c r="C13086">
        <v>15192</v>
      </c>
      <c r="D13086" t="str">
        <f>"06556934    "</f>
        <v xml:space="preserve">06556934    </v>
      </c>
      <c r="E13086" t="s">
        <v>222</v>
      </c>
      <c r="F13086" t="s">
        <v>224</v>
      </c>
      <c r="G13086">
        <v>1230.97</v>
      </c>
      <c r="H13086">
        <v>251113</v>
      </c>
      <c r="I13086">
        <v>4571</v>
      </c>
      <c r="J13086" t="s">
        <v>223</v>
      </c>
      <c r="K13086">
        <v>4559.16</v>
      </c>
      <c r="L13086">
        <v>250.12</v>
      </c>
      <c r="M13086">
        <v>59112</v>
      </c>
      <c r="N13086" t="s">
        <v>44</v>
      </c>
      <c r="O13086">
        <v>251113</v>
      </c>
      <c r="P13086">
        <v>980.85</v>
      </c>
    </row>
    <row r="13087" spans="1:16" x14ac:dyDescent="0.25">
      <c r="A13087" t="s">
        <v>3296</v>
      </c>
      <c r="B13087" t="s">
        <v>2931</v>
      </c>
      <c r="C13087">
        <v>15192</v>
      </c>
      <c r="D13087" t="str">
        <f>"06556934    "</f>
        <v xml:space="preserve">06556934    </v>
      </c>
      <c r="E13087" t="s">
        <v>222</v>
      </c>
      <c r="F13087" t="s">
        <v>224</v>
      </c>
      <c r="G13087">
        <v>3328.19</v>
      </c>
      <c r="H13087">
        <v>251113</v>
      </c>
      <c r="I13087">
        <v>4571</v>
      </c>
      <c r="J13087" t="s">
        <v>223</v>
      </c>
      <c r="K13087">
        <v>4559.16</v>
      </c>
      <c r="L13087">
        <v>676.25</v>
      </c>
      <c r="M13087">
        <v>59504</v>
      </c>
      <c r="N13087" t="s">
        <v>193</v>
      </c>
      <c r="O13087">
        <v>251113</v>
      </c>
      <c r="P13087">
        <v>2651.94</v>
      </c>
    </row>
    <row r="13088" spans="1:16" x14ac:dyDescent="0.25">
      <c r="A13088" t="s">
        <v>3296</v>
      </c>
      <c r="B13088" t="s">
        <v>2931</v>
      </c>
      <c r="C13088">
        <v>15672</v>
      </c>
      <c r="D13088" t="str">
        <f>"06564228    "</f>
        <v xml:space="preserve">06564228    </v>
      </c>
      <c r="E13088" t="s">
        <v>222</v>
      </c>
      <c r="F13088" t="s">
        <v>224</v>
      </c>
      <c r="G13088">
        <v>1977.33</v>
      </c>
      <c r="H13088">
        <v>251119</v>
      </c>
      <c r="I13088">
        <v>4571</v>
      </c>
      <c r="J13088" t="s">
        <v>223</v>
      </c>
      <c r="K13088">
        <v>7323.45</v>
      </c>
      <c r="L13088">
        <v>401.77</v>
      </c>
      <c r="M13088">
        <v>59112</v>
      </c>
      <c r="N13088" t="s">
        <v>44</v>
      </c>
      <c r="O13088">
        <v>251124</v>
      </c>
      <c r="P13088">
        <v>1575.56</v>
      </c>
    </row>
    <row r="13089" spans="1:16" x14ac:dyDescent="0.25">
      <c r="A13089" t="s">
        <v>3296</v>
      </c>
      <c r="B13089" t="s">
        <v>2931</v>
      </c>
      <c r="C13089">
        <v>15672</v>
      </c>
      <c r="D13089" t="str">
        <f>"06564228    "</f>
        <v xml:space="preserve">06564228    </v>
      </c>
      <c r="E13089" t="s">
        <v>222</v>
      </c>
      <c r="F13089" t="s">
        <v>224</v>
      </c>
      <c r="G13089">
        <v>5346.12</v>
      </c>
      <c r="H13089">
        <v>251119</v>
      </c>
      <c r="I13089">
        <v>4571</v>
      </c>
      <c r="J13089" t="s">
        <v>223</v>
      </c>
      <c r="K13089">
        <v>7323.45</v>
      </c>
      <c r="L13089">
        <v>1086.26</v>
      </c>
      <c r="M13089">
        <v>59504</v>
      </c>
      <c r="N13089" t="s">
        <v>193</v>
      </c>
      <c r="O13089">
        <v>251124</v>
      </c>
      <c r="P13089">
        <v>4259.8599999999997</v>
      </c>
    </row>
    <row r="13090" spans="1:16" x14ac:dyDescent="0.25">
      <c r="A13090" t="s">
        <v>3296</v>
      </c>
      <c r="B13090" t="s">
        <v>2931</v>
      </c>
      <c r="C13090">
        <v>16228</v>
      </c>
      <c r="D13090" t="str">
        <f>"06578106    "</f>
        <v xml:space="preserve">06578106    </v>
      </c>
      <c r="E13090" t="s">
        <v>222</v>
      </c>
      <c r="F13090" t="s">
        <v>224</v>
      </c>
      <c r="G13090">
        <v>1769.94</v>
      </c>
      <c r="H13090">
        <v>251203</v>
      </c>
      <c r="I13090">
        <v>4571</v>
      </c>
      <c r="J13090" t="s">
        <v>223</v>
      </c>
      <c r="K13090">
        <v>6555.35</v>
      </c>
      <c r="L13090">
        <v>359.63</v>
      </c>
      <c r="M13090">
        <v>59112</v>
      </c>
      <c r="N13090" t="s">
        <v>44</v>
      </c>
      <c r="O13090">
        <v>251204</v>
      </c>
      <c r="P13090">
        <v>1410.31</v>
      </c>
    </row>
    <row r="13091" spans="1:16" x14ac:dyDescent="0.25">
      <c r="A13091" t="s">
        <v>3296</v>
      </c>
      <c r="B13091" t="s">
        <v>2931</v>
      </c>
      <c r="C13091">
        <v>16228</v>
      </c>
      <c r="D13091" t="str">
        <f>"06578106    "</f>
        <v xml:space="preserve">06578106    </v>
      </c>
      <c r="E13091" t="s">
        <v>222</v>
      </c>
      <c r="F13091" t="s">
        <v>224</v>
      </c>
      <c r="G13091">
        <v>4785.41</v>
      </c>
      <c r="H13091">
        <v>251203</v>
      </c>
      <c r="I13091">
        <v>4571</v>
      </c>
      <c r="J13091" t="s">
        <v>223</v>
      </c>
      <c r="K13091">
        <v>6555.35</v>
      </c>
      <c r="L13091">
        <v>972.33</v>
      </c>
      <c r="M13091">
        <v>59504</v>
      </c>
      <c r="N13091" t="s">
        <v>193</v>
      </c>
      <c r="O13091">
        <v>251204</v>
      </c>
      <c r="P13091">
        <v>3813.08</v>
      </c>
    </row>
    <row r="13092" spans="1:16" x14ac:dyDescent="0.25">
      <c r="A13092" t="s">
        <v>3296</v>
      </c>
      <c r="B13092" t="s">
        <v>2931</v>
      </c>
      <c r="C13092">
        <v>17926</v>
      </c>
      <c r="D13092" t="str">
        <f>"06600422    "</f>
        <v xml:space="preserve">06600422    </v>
      </c>
      <c r="E13092" t="s">
        <v>222</v>
      </c>
      <c r="F13092" t="s">
        <v>224</v>
      </c>
      <c r="G13092">
        <v>50.72</v>
      </c>
      <c r="H13092">
        <v>251224</v>
      </c>
      <c r="I13092">
        <v>4571</v>
      </c>
      <c r="J13092" t="s">
        <v>223</v>
      </c>
      <c r="K13092">
        <v>187.87</v>
      </c>
      <c r="L13092">
        <v>10.31</v>
      </c>
      <c r="M13092">
        <v>59112</v>
      </c>
      <c r="N13092" t="s">
        <v>44</v>
      </c>
      <c r="O13092">
        <v>260107</v>
      </c>
      <c r="P13092">
        <v>40.409999999999997</v>
      </c>
    </row>
    <row r="13093" spans="1:16" x14ac:dyDescent="0.25">
      <c r="A13093" t="s">
        <v>3296</v>
      </c>
      <c r="B13093" t="s">
        <v>2931</v>
      </c>
      <c r="C13093">
        <v>17926</v>
      </c>
      <c r="D13093" t="str">
        <f>"06600422    "</f>
        <v xml:space="preserve">06600422    </v>
      </c>
      <c r="E13093" t="s">
        <v>222</v>
      </c>
      <c r="F13093" t="s">
        <v>224</v>
      </c>
      <c r="G13093">
        <v>137.15</v>
      </c>
      <c r="H13093">
        <v>251224</v>
      </c>
      <c r="I13093">
        <v>4571</v>
      </c>
      <c r="J13093" t="s">
        <v>223</v>
      </c>
      <c r="K13093">
        <v>187.87</v>
      </c>
      <c r="L13093">
        <v>27.87</v>
      </c>
      <c r="M13093">
        <v>59504</v>
      </c>
      <c r="N13093" t="s">
        <v>193</v>
      </c>
      <c r="O13093">
        <v>260107</v>
      </c>
      <c r="P13093">
        <v>109.28</v>
      </c>
    </row>
    <row r="13094" spans="1:16" x14ac:dyDescent="0.25">
      <c r="A13094" t="s">
        <v>3296</v>
      </c>
      <c r="B13094" t="s">
        <v>2931</v>
      </c>
      <c r="C13094">
        <v>17946</v>
      </c>
      <c r="D13094" t="str">
        <f>"06602279    "</f>
        <v xml:space="preserve">06602279    </v>
      </c>
      <c r="E13094" t="s">
        <v>222</v>
      </c>
      <c r="F13094" t="s">
        <v>224</v>
      </c>
      <c r="G13094">
        <v>1441.23</v>
      </c>
      <c r="H13094">
        <v>251229</v>
      </c>
      <c r="I13094">
        <v>4571</v>
      </c>
      <c r="J13094" t="s">
        <v>223</v>
      </c>
      <c r="K13094">
        <v>5337.89</v>
      </c>
      <c r="L13094">
        <v>292.83999999999997</v>
      </c>
      <c r="M13094">
        <v>59112</v>
      </c>
      <c r="N13094" t="s">
        <v>44</v>
      </c>
      <c r="O13094">
        <v>260107</v>
      </c>
      <c r="P13094">
        <v>1148.3900000000001</v>
      </c>
    </row>
    <row r="13095" spans="1:16" x14ac:dyDescent="0.25">
      <c r="A13095" t="s">
        <v>3296</v>
      </c>
      <c r="B13095" t="s">
        <v>2931</v>
      </c>
      <c r="C13095">
        <v>17946</v>
      </c>
      <c r="D13095" t="str">
        <f>"06602279    "</f>
        <v xml:space="preserve">06602279    </v>
      </c>
      <c r="E13095" t="s">
        <v>222</v>
      </c>
      <c r="F13095" t="s">
        <v>224</v>
      </c>
      <c r="G13095">
        <v>3896.66</v>
      </c>
      <c r="H13095">
        <v>251229</v>
      </c>
      <c r="I13095">
        <v>4571</v>
      </c>
      <c r="J13095" t="s">
        <v>223</v>
      </c>
      <c r="K13095">
        <v>5337.89</v>
      </c>
      <c r="L13095">
        <v>791.75</v>
      </c>
      <c r="M13095">
        <v>59504</v>
      </c>
      <c r="N13095" t="s">
        <v>193</v>
      </c>
      <c r="O13095">
        <v>260107</v>
      </c>
      <c r="P13095">
        <v>3104.91</v>
      </c>
    </row>
    <row r="13096" spans="1:16" x14ac:dyDescent="0.25">
      <c r="A13096" t="s">
        <v>3296</v>
      </c>
      <c r="B13096" t="s">
        <v>2931</v>
      </c>
      <c r="C13096">
        <v>18057</v>
      </c>
      <c r="D13096" t="str">
        <f>"06606521    "</f>
        <v xml:space="preserve">06606521    </v>
      </c>
      <c r="E13096" t="s">
        <v>222</v>
      </c>
      <c r="F13096" t="s">
        <v>224</v>
      </c>
      <c r="G13096">
        <v>468.05</v>
      </c>
      <c r="H13096">
        <v>251231</v>
      </c>
      <c r="I13096">
        <v>4571</v>
      </c>
      <c r="J13096" t="s">
        <v>223</v>
      </c>
      <c r="K13096">
        <v>1733.51</v>
      </c>
      <c r="L13096">
        <v>95.1</v>
      </c>
      <c r="M13096">
        <v>59112</v>
      </c>
      <c r="N13096" t="s">
        <v>44</v>
      </c>
      <c r="O13096">
        <v>260108</v>
      </c>
      <c r="P13096">
        <v>372.95</v>
      </c>
    </row>
    <row r="13097" spans="1:16" x14ac:dyDescent="0.25">
      <c r="A13097" t="s">
        <v>3296</v>
      </c>
      <c r="B13097" t="s">
        <v>2931</v>
      </c>
      <c r="C13097">
        <v>18057</v>
      </c>
      <c r="D13097" t="str">
        <f>"06606521    "</f>
        <v xml:space="preserve">06606521    </v>
      </c>
      <c r="E13097" t="s">
        <v>222</v>
      </c>
      <c r="F13097" t="s">
        <v>224</v>
      </c>
      <c r="G13097">
        <v>1265.46</v>
      </c>
      <c r="H13097">
        <v>251231</v>
      </c>
      <c r="I13097">
        <v>4571</v>
      </c>
      <c r="J13097" t="s">
        <v>223</v>
      </c>
      <c r="K13097">
        <v>1733.51</v>
      </c>
      <c r="L13097">
        <v>257.13</v>
      </c>
      <c r="M13097">
        <v>59504</v>
      </c>
      <c r="N13097" t="s">
        <v>193</v>
      </c>
      <c r="O13097">
        <v>260108</v>
      </c>
      <c r="P13097">
        <v>1008.33</v>
      </c>
    </row>
    <row r="13098" spans="1:16" x14ac:dyDescent="0.25">
      <c r="A13098" t="s">
        <v>3296</v>
      </c>
      <c r="B13098" t="s">
        <v>2931</v>
      </c>
      <c r="C13098">
        <v>6229</v>
      </c>
      <c r="D13098" t="str">
        <f>"70127565    "</f>
        <v xml:space="preserve">70127565    </v>
      </c>
      <c r="E13098" t="s">
        <v>222</v>
      </c>
      <c r="F13098" t="s">
        <v>224</v>
      </c>
      <c r="G13098">
        <v>5.62</v>
      </c>
      <c r="H13098">
        <v>250430</v>
      </c>
      <c r="I13098">
        <v>4572</v>
      </c>
      <c r="J13098" t="s">
        <v>173</v>
      </c>
      <c r="K13098">
        <v>414.01</v>
      </c>
      <c r="L13098">
        <v>0</v>
      </c>
      <c r="M13098">
        <v>18972</v>
      </c>
      <c r="N13098" t="s">
        <v>39</v>
      </c>
      <c r="O13098">
        <v>250512</v>
      </c>
      <c r="P13098">
        <v>5.62</v>
      </c>
    </row>
    <row r="13099" spans="1:16" x14ac:dyDescent="0.25">
      <c r="A13099" t="s">
        <v>3296</v>
      </c>
      <c r="B13099" t="s">
        <v>2931</v>
      </c>
      <c r="C13099">
        <v>8161</v>
      </c>
      <c r="D13099" t="str">
        <f>"70188355    "</f>
        <v xml:space="preserve">70188355    </v>
      </c>
      <c r="E13099" t="s">
        <v>222</v>
      </c>
      <c r="F13099" t="s">
        <v>224</v>
      </c>
      <c r="G13099">
        <v>7.2</v>
      </c>
      <c r="H13099">
        <v>250531</v>
      </c>
      <c r="I13099">
        <v>4572</v>
      </c>
      <c r="J13099" t="s">
        <v>173</v>
      </c>
      <c r="K13099">
        <v>529.11</v>
      </c>
      <c r="L13099">
        <v>0</v>
      </c>
      <c r="M13099">
        <v>18972</v>
      </c>
      <c r="N13099" t="s">
        <v>39</v>
      </c>
      <c r="O13099">
        <v>250611</v>
      </c>
      <c r="P13099">
        <v>7.2</v>
      </c>
    </row>
    <row r="13100" spans="1:16" x14ac:dyDescent="0.25">
      <c r="A13100" t="s">
        <v>3296</v>
      </c>
      <c r="B13100" t="s">
        <v>2931</v>
      </c>
      <c r="C13100">
        <v>10299</v>
      </c>
      <c r="D13100" t="str">
        <f>"70309494    "</f>
        <v xml:space="preserve">70309494    </v>
      </c>
      <c r="E13100" t="s">
        <v>222</v>
      </c>
      <c r="F13100" t="s">
        <v>224</v>
      </c>
      <c r="G13100">
        <v>7.07</v>
      </c>
      <c r="H13100">
        <v>250731</v>
      </c>
      <c r="I13100">
        <v>4572</v>
      </c>
      <c r="J13100" t="s">
        <v>173</v>
      </c>
      <c r="K13100">
        <v>497.79</v>
      </c>
      <c r="L13100">
        <v>0</v>
      </c>
      <c r="M13100">
        <v>18972</v>
      </c>
      <c r="N13100" t="s">
        <v>39</v>
      </c>
      <c r="O13100">
        <v>250814</v>
      </c>
      <c r="P13100">
        <v>7.07</v>
      </c>
    </row>
    <row r="13101" spans="1:16" x14ac:dyDescent="0.25">
      <c r="A13101" t="s">
        <v>3296</v>
      </c>
      <c r="B13101" t="s">
        <v>2931</v>
      </c>
      <c r="C13101">
        <v>14739</v>
      </c>
      <c r="D13101" t="str">
        <f>"70489705    "</f>
        <v xml:space="preserve">70489705    </v>
      </c>
      <c r="E13101" t="s">
        <v>222</v>
      </c>
      <c r="F13101" t="s">
        <v>224</v>
      </c>
      <c r="G13101">
        <v>4.26</v>
      </c>
      <c r="H13101">
        <v>251031</v>
      </c>
      <c r="I13101">
        <v>4572</v>
      </c>
      <c r="J13101" t="s">
        <v>173</v>
      </c>
      <c r="K13101">
        <v>522.41999999999996</v>
      </c>
      <c r="L13101">
        <v>0.87</v>
      </c>
      <c r="M13101">
        <v>18972</v>
      </c>
      <c r="N13101" t="s">
        <v>39</v>
      </c>
      <c r="O13101">
        <v>251106</v>
      </c>
      <c r="P13101">
        <v>3.39</v>
      </c>
    </row>
    <row r="13102" spans="1:16" x14ac:dyDescent="0.25">
      <c r="A13102" t="s">
        <v>3296</v>
      </c>
      <c r="B13102" t="s">
        <v>2931</v>
      </c>
      <c r="C13102">
        <v>1568</v>
      </c>
      <c r="D13102" t="str">
        <f>"36948505    "</f>
        <v xml:space="preserve">36948505    </v>
      </c>
      <c r="E13102" t="s">
        <v>222</v>
      </c>
      <c r="F13102" t="s">
        <v>224</v>
      </c>
      <c r="G13102">
        <v>9.9</v>
      </c>
      <c r="H13102">
        <v>250131</v>
      </c>
      <c r="I13102">
        <v>4600</v>
      </c>
      <c r="J13102" t="s">
        <v>278</v>
      </c>
      <c r="K13102">
        <v>415.8</v>
      </c>
      <c r="L13102">
        <v>0</v>
      </c>
      <c r="M13102">
        <v>11001</v>
      </c>
      <c r="N13102" t="s">
        <v>93</v>
      </c>
      <c r="O13102">
        <v>250211</v>
      </c>
      <c r="P13102">
        <v>9.9</v>
      </c>
    </row>
    <row r="13103" spans="1:16" x14ac:dyDescent="0.25">
      <c r="A13103" t="s">
        <v>3296</v>
      </c>
      <c r="B13103" t="s">
        <v>2931</v>
      </c>
      <c r="C13103">
        <v>2792</v>
      </c>
      <c r="D13103" t="str">
        <f>"70008475    "</f>
        <v xml:space="preserve">70008475    </v>
      </c>
      <c r="E13103" t="s">
        <v>222</v>
      </c>
      <c r="F13103" t="s">
        <v>224</v>
      </c>
      <c r="G13103">
        <v>4.6900000000000004</v>
      </c>
      <c r="H13103">
        <v>250228</v>
      </c>
      <c r="I13103">
        <v>4600</v>
      </c>
      <c r="J13103" t="s">
        <v>278</v>
      </c>
      <c r="K13103">
        <v>514.84</v>
      </c>
      <c r="L13103">
        <v>0</v>
      </c>
      <c r="M13103">
        <v>11001</v>
      </c>
      <c r="N13103" t="s">
        <v>93</v>
      </c>
      <c r="O13103">
        <v>250312</v>
      </c>
      <c r="P13103">
        <v>4.6900000000000004</v>
      </c>
    </row>
    <row r="13104" spans="1:16" x14ac:dyDescent="0.25">
      <c r="A13104" t="s">
        <v>3296</v>
      </c>
      <c r="B13104" t="s">
        <v>2931</v>
      </c>
      <c r="C13104">
        <v>4389</v>
      </c>
      <c r="D13104" t="str">
        <f>"70067797    "</f>
        <v xml:space="preserve">70067797    </v>
      </c>
      <c r="E13104" t="s">
        <v>222</v>
      </c>
      <c r="F13104" t="s">
        <v>224</v>
      </c>
      <c r="G13104">
        <v>32.869999999999997</v>
      </c>
      <c r="H13104">
        <v>250331</v>
      </c>
      <c r="I13104">
        <v>4600</v>
      </c>
      <c r="J13104" t="s">
        <v>278</v>
      </c>
      <c r="K13104">
        <v>520.01</v>
      </c>
      <c r="L13104">
        <v>0</v>
      </c>
      <c r="M13104">
        <v>11001</v>
      </c>
      <c r="N13104" t="s">
        <v>93</v>
      </c>
      <c r="O13104">
        <v>250411</v>
      </c>
      <c r="P13104">
        <v>32.869999999999997</v>
      </c>
    </row>
    <row r="13105" spans="1:16" x14ac:dyDescent="0.25">
      <c r="A13105" t="s">
        <v>3296</v>
      </c>
      <c r="B13105" t="s">
        <v>2931</v>
      </c>
      <c r="C13105">
        <v>6229</v>
      </c>
      <c r="D13105" t="str">
        <f>"70127565    "</f>
        <v xml:space="preserve">70127565    </v>
      </c>
      <c r="E13105" t="s">
        <v>222</v>
      </c>
      <c r="F13105" t="s">
        <v>224</v>
      </c>
      <c r="G13105">
        <v>10.79</v>
      </c>
      <c r="H13105">
        <v>250430</v>
      </c>
      <c r="I13105">
        <v>4600</v>
      </c>
      <c r="J13105" t="s">
        <v>278</v>
      </c>
      <c r="K13105">
        <v>414.01</v>
      </c>
      <c r="L13105">
        <v>0</v>
      </c>
      <c r="M13105">
        <v>11001</v>
      </c>
      <c r="N13105" t="s">
        <v>93</v>
      </c>
      <c r="O13105">
        <v>250512</v>
      </c>
      <c r="P13105">
        <v>10.79</v>
      </c>
    </row>
    <row r="13106" spans="1:16" x14ac:dyDescent="0.25">
      <c r="A13106" t="s">
        <v>3296</v>
      </c>
      <c r="B13106" t="s">
        <v>2931</v>
      </c>
      <c r="C13106">
        <v>8161</v>
      </c>
      <c r="D13106" t="str">
        <f>"70188355    "</f>
        <v xml:space="preserve">70188355    </v>
      </c>
      <c r="E13106" t="s">
        <v>222</v>
      </c>
      <c r="F13106" t="s">
        <v>224</v>
      </c>
      <c r="G13106">
        <v>19.93</v>
      </c>
      <c r="H13106">
        <v>250531</v>
      </c>
      <c r="I13106">
        <v>4600</v>
      </c>
      <c r="J13106" t="s">
        <v>278</v>
      </c>
      <c r="K13106">
        <v>529.11</v>
      </c>
      <c r="L13106">
        <v>0</v>
      </c>
      <c r="M13106">
        <v>11001</v>
      </c>
      <c r="N13106" t="s">
        <v>93</v>
      </c>
      <c r="O13106">
        <v>250611</v>
      </c>
      <c r="P13106">
        <v>19.93</v>
      </c>
    </row>
    <row r="13107" spans="1:16" x14ac:dyDescent="0.25">
      <c r="A13107" t="s">
        <v>3296</v>
      </c>
      <c r="B13107" t="s">
        <v>2931</v>
      </c>
      <c r="C13107">
        <v>9461</v>
      </c>
      <c r="D13107" t="str">
        <f>"70249448    "</f>
        <v xml:space="preserve">70249448    </v>
      </c>
      <c r="E13107" t="s">
        <v>222</v>
      </c>
      <c r="F13107" t="s">
        <v>224</v>
      </c>
      <c r="G13107">
        <v>21.58</v>
      </c>
      <c r="H13107">
        <v>250630</v>
      </c>
      <c r="I13107">
        <v>4600</v>
      </c>
      <c r="J13107" t="s">
        <v>278</v>
      </c>
      <c r="K13107">
        <v>504.41</v>
      </c>
      <c r="L13107">
        <v>0</v>
      </c>
      <c r="M13107">
        <v>11001</v>
      </c>
      <c r="N13107" t="s">
        <v>93</v>
      </c>
      <c r="O13107">
        <v>250708</v>
      </c>
      <c r="P13107">
        <v>21.58</v>
      </c>
    </row>
    <row r="13108" spans="1:16" x14ac:dyDescent="0.25">
      <c r="A13108" t="s">
        <v>3296</v>
      </c>
      <c r="B13108" t="s">
        <v>2931</v>
      </c>
      <c r="C13108">
        <v>10299</v>
      </c>
      <c r="D13108" t="str">
        <f>"70309494    "</f>
        <v xml:space="preserve">70309494    </v>
      </c>
      <c r="E13108" t="s">
        <v>222</v>
      </c>
      <c r="F13108" t="s">
        <v>224</v>
      </c>
      <c r="G13108">
        <v>10.02</v>
      </c>
      <c r="H13108">
        <v>250731</v>
      </c>
      <c r="I13108">
        <v>4600</v>
      </c>
      <c r="J13108" t="s">
        <v>278</v>
      </c>
      <c r="K13108">
        <v>497.79</v>
      </c>
      <c r="L13108">
        <v>0</v>
      </c>
      <c r="M13108">
        <v>11001</v>
      </c>
      <c r="N13108" t="s">
        <v>93</v>
      </c>
      <c r="O13108">
        <v>250814</v>
      </c>
      <c r="P13108">
        <v>10.02</v>
      </c>
    </row>
    <row r="13109" spans="1:16" x14ac:dyDescent="0.25">
      <c r="A13109" t="s">
        <v>3296</v>
      </c>
      <c r="B13109" t="s">
        <v>2931</v>
      </c>
      <c r="C13109">
        <v>11578</v>
      </c>
      <c r="D13109" t="str">
        <f>"70369316    "</f>
        <v xml:space="preserve">70369316    </v>
      </c>
      <c r="E13109" t="s">
        <v>222</v>
      </c>
      <c r="F13109" t="s">
        <v>224</v>
      </c>
      <c r="G13109">
        <v>15.03</v>
      </c>
      <c r="H13109">
        <v>250831</v>
      </c>
      <c r="I13109">
        <v>4600</v>
      </c>
      <c r="J13109" t="s">
        <v>278</v>
      </c>
      <c r="K13109">
        <v>349.56</v>
      </c>
      <c r="L13109">
        <v>0</v>
      </c>
      <c r="M13109">
        <v>11001</v>
      </c>
      <c r="N13109" t="s">
        <v>93</v>
      </c>
      <c r="O13109">
        <v>250909</v>
      </c>
      <c r="P13109">
        <v>15.03</v>
      </c>
    </row>
    <row r="13110" spans="1:16" x14ac:dyDescent="0.25">
      <c r="A13110" t="s">
        <v>3296</v>
      </c>
      <c r="B13110" t="s">
        <v>2931</v>
      </c>
      <c r="C13110">
        <v>13194</v>
      </c>
      <c r="D13110" t="str">
        <f>"70429801    "</f>
        <v xml:space="preserve">70429801    </v>
      </c>
      <c r="E13110" t="s">
        <v>222</v>
      </c>
      <c r="F13110" t="s">
        <v>224</v>
      </c>
      <c r="G13110">
        <v>10.02</v>
      </c>
      <c r="H13110">
        <v>250930</v>
      </c>
      <c r="I13110">
        <v>4600</v>
      </c>
      <c r="J13110" t="s">
        <v>278</v>
      </c>
      <c r="K13110">
        <v>513.51</v>
      </c>
      <c r="L13110">
        <v>0</v>
      </c>
      <c r="M13110">
        <v>11001</v>
      </c>
      <c r="N13110" t="s">
        <v>93</v>
      </c>
      <c r="O13110">
        <v>251006</v>
      </c>
      <c r="P13110">
        <v>10.02</v>
      </c>
    </row>
    <row r="13111" spans="1:16" x14ac:dyDescent="0.25">
      <c r="A13111" t="s">
        <v>3296</v>
      </c>
      <c r="B13111" t="s">
        <v>2931</v>
      </c>
      <c r="C13111">
        <v>14739</v>
      </c>
      <c r="D13111" t="str">
        <f>"70489705    "</f>
        <v xml:space="preserve">70489705    </v>
      </c>
      <c r="E13111" t="s">
        <v>222</v>
      </c>
      <c r="F13111" t="s">
        <v>224</v>
      </c>
      <c r="G13111">
        <v>23.45</v>
      </c>
      <c r="H13111">
        <v>251031</v>
      </c>
      <c r="I13111">
        <v>4600</v>
      </c>
      <c r="J13111" t="s">
        <v>278</v>
      </c>
      <c r="K13111">
        <v>522.41999999999996</v>
      </c>
      <c r="L13111">
        <v>0</v>
      </c>
      <c r="M13111">
        <v>11001</v>
      </c>
      <c r="N13111" t="s">
        <v>93</v>
      </c>
      <c r="O13111">
        <v>251106</v>
      </c>
      <c r="P13111">
        <v>23.45</v>
      </c>
    </row>
    <row r="13112" spans="1:16" x14ac:dyDescent="0.25">
      <c r="A13112" t="s">
        <v>3296</v>
      </c>
      <c r="B13112" t="s">
        <v>2931</v>
      </c>
      <c r="C13112">
        <v>15492</v>
      </c>
      <c r="D13112" t="str">
        <f>"70534771    "</f>
        <v xml:space="preserve">70534771    </v>
      </c>
      <c r="E13112" t="s">
        <v>222</v>
      </c>
      <c r="F13112" t="s">
        <v>224</v>
      </c>
      <c r="G13112">
        <v>13.4</v>
      </c>
      <c r="H13112">
        <v>251115</v>
      </c>
      <c r="I13112">
        <v>4600</v>
      </c>
      <c r="J13112" t="s">
        <v>278</v>
      </c>
      <c r="K13112">
        <v>129.27000000000001</v>
      </c>
      <c r="L13112">
        <v>0</v>
      </c>
      <c r="M13112">
        <v>11001</v>
      </c>
      <c r="N13112" t="s">
        <v>93</v>
      </c>
      <c r="O13112">
        <v>251121</v>
      </c>
      <c r="P13112">
        <v>13.4</v>
      </c>
    </row>
    <row r="13113" spans="1:16" x14ac:dyDescent="0.25">
      <c r="A13113" t="s">
        <v>3296</v>
      </c>
      <c r="B13113" t="s">
        <v>2931</v>
      </c>
      <c r="C13113">
        <v>16189</v>
      </c>
      <c r="D13113" t="str">
        <f>"70565143    "</f>
        <v xml:space="preserve">70565143    </v>
      </c>
      <c r="E13113" t="s">
        <v>222</v>
      </c>
      <c r="F13113" t="s">
        <v>224</v>
      </c>
      <c r="G13113">
        <v>13.68</v>
      </c>
      <c r="H13113">
        <v>251130</v>
      </c>
      <c r="I13113">
        <v>4600</v>
      </c>
      <c r="J13113" t="s">
        <v>278</v>
      </c>
      <c r="K13113">
        <v>193.07</v>
      </c>
      <c r="L13113">
        <v>0</v>
      </c>
      <c r="M13113">
        <v>11001</v>
      </c>
      <c r="N13113" t="s">
        <v>93</v>
      </c>
      <c r="O13113">
        <v>251204</v>
      </c>
      <c r="P13113">
        <v>13.68</v>
      </c>
    </row>
    <row r="13114" spans="1:16" x14ac:dyDescent="0.25">
      <c r="A13114" t="s">
        <v>3296</v>
      </c>
      <c r="B13114" t="s">
        <v>2931</v>
      </c>
      <c r="C13114">
        <v>17352</v>
      </c>
      <c r="D13114" t="str">
        <f>"70611047    "</f>
        <v xml:space="preserve">70611047    </v>
      </c>
      <c r="E13114" t="s">
        <v>222</v>
      </c>
      <c r="F13114" t="s">
        <v>224</v>
      </c>
      <c r="G13114">
        <v>11.8</v>
      </c>
      <c r="H13114">
        <v>251215</v>
      </c>
      <c r="I13114">
        <v>4600</v>
      </c>
      <c r="J13114" t="s">
        <v>278</v>
      </c>
      <c r="K13114">
        <v>127.18</v>
      </c>
      <c r="L13114">
        <v>0</v>
      </c>
      <c r="M13114">
        <v>11001</v>
      </c>
      <c r="N13114" t="s">
        <v>93</v>
      </c>
      <c r="O13114">
        <v>251219</v>
      </c>
      <c r="P13114">
        <v>11.8</v>
      </c>
    </row>
    <row r="13115" spans="1:16" x14ac:dyDescent="0.25">
      <c r="A13115" t="s">
        <v>3296</v>
      </c>
      <c r="B13115" t="s">
        <v>2931</v>
      </c>
      <c r="C13115">
        <v>18476</v>
      </c>
      <c r="D13115" t="str">
        <f>"70642730    "</f>
        <v xml:space="preserve">70642730    </v>
      </c>
      <c r="E13115" t="s">
        <v>222</v>
      </c>
      <c r="F13115" t="s">
        <v>224</v>
      </c>
      <c r="G13115">
        <v>17.100000000000001</v>
      </c>
      <c r="H13115">
        <v>251231</v>
      </c>
      <c r="I13115">
        <v>4600</v>
      </c>
      <c r="J13115" t="s">
        <v>278</v>
      </c>
      <c r="K13115">
        <v>137.12</v>
      </c>
      <c r="L13115">
        <v>0</v>
      </c>
      <c r="M13115">
        <v>11001</v>
      </c>
      <c r="N13115" t="s">
        <v>93</v>
      </c>
      <c r="O13115">
        <v>260114</v>
      </c>
      <c r="P13115">
        <v>17.100000000000001</v>
      </c>
    </row>
    <row r="13116" spans="1:16" x14ac:dyDescent="0.25">
      <c r="A13116" t="s">
        <v>3296</v>
      </c>
      <c r="B13116" t="s">
        <v>2931</v>
      </c>
      <c r="C13116">
        <v>4754</v>
      </c>
      <c r="D13116" t="str">
        <f>"FI-0005     "</f>
        <v xml:space="preserve">FI-0005     </v>
      </c>
      <c r="E13116" t="s">
        <v>3232</v>
      </c>
      <c r="G13116">
        <v>550</v>
      </c>
      <c r="H13116">
        <v>250331</v>
      </c>
      <c r="I13116">
        <v>4440</v>
      </c>
      <c r="J13116" t="s">
        <v>346</v>
      </c>
      <c r="K13116">
        <v>550</v>
      </c>
      <c r="L13116">
        <v>0</v>
      </c>
      <c r="M13116">
        <v>11900</v>
      </c>
      <c r="N13116" t="s">
        <v>30</v>
      </c>
      <c r="O13116">
        <v>250415</v>
      </c>
      <c r="P13116">
        <v>550</v>
      </c>
    </row>
    <row r="13117" spans="1:16" x14ac:dyDescent="0.25">
      <c r="A13117" t="s">
        <v>3296</v>
      </c>
      <c r="B13117" t="s">
        <v>2931</v>
      </c>
      <c r="C13117">
        <v>4278</v>
      </c>
      <c r="D13117" t="str">
        <f>"6888        "</f>
        <v xml:space="preserve">6888        </v>
      </c>
      <c r="E13117" t="s">
        <v>1612</v>
      </c>
      <c r="F13117" t="s">
        <v>1613</v>
      </c>
      <c r="G13117">
        <v>803.2</v>
      </c>
      <c r="H13117">
        <v>250328</v>
      </c>
      <c r="I13117">
        <v>4366</v>
      </c>
      <c r="J13117" t="s">
        <v>65</v>
      </c>
      <c r="K13117">
        <v>803.2</v>
      </c>
      <c r="L13117">
        <v>163.19999999999999</v>
      </c>
      <c r="M13117">
        <v>11801</v>
      </c>
      <c r="N13117" t="s">
        <v>40</v>
      </c>
      <c r="O13117">
        <v>250410</v>
      </c>
      <c r="P13117">
        <v>640</v>
      </c>
    </row>
    <row r="13118" spans="1:16" x14ac:dyDescent="0.25">
      <c r="A13118" t="s">
        <v>3296</v>
      </c>
      <c r="B13118" t="s">
        <v>2931</v>
      </c>
      <c r="C13118">
        <v>10063</v>
      </c>
      <c r="D13118" t="str">
        <f>"6982        "</f>
        <v xml:space="preserve">6982        </v>
      </c>
      <c r="E13118" t="s">
        <v>1612</v>
      </c>
      <c r="F13118" t="s">
        <v>1613</v>
      </c>
      <c r="G13118">
        <v>69.03</v>
      </c>
      <c r="H13118">
        <v>250731</v>
      </c>
      <c r="I13118">
        <v>4369</v>
      </c>
      <c r="J13118" t="s">
        <v>188</v>
      </c>
      <c r="K13118">
        <v>273.63</v>
      </c>
      <c r="L13118">
        <v>14.03</v>
      </c>
      <c r="M13118">
        <v>11801</v>
      </c>
      <c r="N13118" t="s">
        <v>40</v>
      </c>
      <c r="O13118">
        <v>250811</v>
      </c>
      <c r="P13118">
        <v>55</v>
      </c>
    </row>
    <row r="13119" spans="1:16" x14ac:dyDescent="0.25">
      <c r="A13119" t="s">
        <v>3296</v>
      </c>
      <c r="B13119" t="s">
        <v>2931</v>
      </c>
      <c r="C13119">
        <v>10063</v>
      </c>
      <c r="D13119" t="str">
        <f>"6982        "</f>
        <v xml:space="preserve">6982        </v>
      </c>
      <c r="E13119" t="s">
        <v>1612</v>
      </c>
      <c r="F13119" t="s">
        <v>1613</v>
      </c>
      <c r="G13119">
        <v>204.6</v>
      </c>
      <c r="H13119">
        <v>250731</v>
      </c>
      <c r="I13119">
        <v>4369</v>
      </c>
      <c r="J13119" t="s">
        <v>188</v>
      </c>
      <c r="K13119">
        <v>273.63</v>
      </c>
      <c r="L13119">
        <v>39.6</v>
      </c>
      <c r="M13119">
        <v>11801</v>
      </c>
      <c r="N13119" t="s">
        <v>40</v>
      </c>
      <c r="O13119">
        <v>250811</v>
      </c>
      <c r="P13119">
        <v>165</v>
      </c>
    </row>
    <row r="13120" spans="1:16" x14ac:dyDescent="0.25">
      <c r="A13120" t="s">
        <v>3296</v>
      </c>
      <c r="B13120" t="s">
        <v>2931</v>
      </c>
      <c r="C13120">
        <v>2590</v>
      </c>
      <c r="D13120" t="str">
        <f>"572281297   "</f>
        <v xml:space="preserve">572281297   </v>
      </c>
      <c r="E13120" t="s">
        <v>2832</v>
      </c>
      <c r="F13120" t="s">
        <v>2833</v>
      </c>
      <c r="G13120">
        <v>48.32</v>
      </c>
      <c r="H13120">
        <v>250217</v>
      </c>
      <c r="I13120">
        <v>4842</v>
      </c>
      <c r="J13120" t="s">
        <v>15</v>
      </c>
      <c r="K13120">
        <v>48.32</v>
      </c>
      <c r="L13120">
        <v>9.82</v>
      </c>
      <c r="M13120">
        <v>14642</v>
      </c>
      <c r="N13120" t="s">
        <v>283</v>
      </c>
      <c r="O13120">
        <v>250306</v>
      </c>
      <c r="P13120">
        <v>38.5</v>
      </c>
    </row>
    <row r="13121" spans="1:16" x14ac:dyDescent="0.25">
      <c r="A13121" t="s">
        <v>3296</v>
      </c>
      <c r="B13121" t="s">
        <v>2931</v>
      </c>
      <c r="C13121">
        <v>8735</v>
      </c>
      <c r="D13121" t="str">
        <f>"5608        "</f>
        <v xml:space="preserve">5608        </v>
      </c>
      <c r="E13121" t="s">
        <v>1999</v>
      </c>
      <c r="F13121" t="s">
        <v>2000</v>
      </c>
      <c r="G13121">
        <v>158.13</v>
      </c>
      <c r="H13121">
        <v>250603</v>
      </c>
      <c r="I13121">
        <v>4367</v>
      </c>
      <c r="J13121" t="s">
        <v>159</v>
      </c>
      <c r="K13121">
        <v>316.26</v>
      </c>
      <c r="L13121">
        <v>32.130000000000003</v>
      </c>
      <c r="M13121">
        <v>13501</v>
      </c>
      <c r="N13121" t="s">
        <v>66</v>
      </c>
      <c r="O13121">
        <v>250617</v>
      </c>
      <c r="P13121">
        <v>126</v>
      </c>
    </row>
    <row r="13122" spans="1:16" x14ac:dyDescent="0.25">
      <c r="A13122" t="s">
        <v>3296</v>
      </c>
      <c r="B13122" t="s">
        <v>2931</v>
      </c>
      <c r="C13122">
        <v>12231</v>
      </c>
      <c r="D13122" t="str">
        <f>"5774        "</f>
        <v xml:space="preserve">5774        </v>
      </c>
      <c r="E13122" t="s">
        <v>1999</v>
      </c>
      <c r="F13122" t="s">
        <v>2000</v>
      </c>
      <c r="G13122">
        <v>105.42</v>
      </c>
      <c r="H13122">
        <v>250911</v>
      </c>
      <c r="I13122">
        <v>4367</v>
      </c>
      <c r="J13122" t="s">
        <v>159</v>
      </c>
      <c r="K13122">
        <v>105.42</v>
      </c>
      <c r="L13122">
        <v>21.42</v>
      </c>
      <c r="M13122">
        <v>13501</v>
      </c>
      <c r="N13122" t="s">
        <v>66</v>
      </c>
      <c r="O13122">
        <v>250917</v>
      </c>
      <c r="P13122">
        <v>84</v>
      </c>
    </row>
    <row r="13123" spans="1:16" x14ac:dyDescent="0.25">
      <c r="A13123" t="s">
        <v>3296</v>
      </c>
      <c r="B13123" t="s">
        <v>2931</v>
      </c>
      <c r="C13123">
        <v>7850</v>
      </c>
      <c r="D13123" t="str">
        <f>"5561        "</f>
        <v xml:space="preserve">5561        </v>
      </c>
      <c r="E13123" t="s">
        <v>1999</v>
      </c>
      <c r="F13123" t="s">
        <v>2000</v>
      </c>
      <c r="G13123">
        <v>289.89999999999998</v>
      </c>
      <c r="H13123">
        <v>250522</v>
      </c>
      <c r="I13123">
        <v>4369</v>
      </c>
      <c r="J13123" t="s">
        <v>188</v>
      </c>
      <c r="K13123">
        <v>579.80999999999995</v>
      </c>
      <c r="L13123">
        <v>58.9</v>
      </c>
      <c r="M13123">
        <v>13401</v>
      </c>
      <c r="N13123" t="s">
        <v>10</v>
      </c>
      <c r="O13123">
        <v>250609</v>
      </c>
      <c r="P13123">
        <v>231</v>
      </c>
    </row>
    <row r="13124" spans="1:16" x14ac:dyDescent="0.25">
      <c r="A13124" t="s">
        <v>3296</v>
      </c>
      <c r="B13124" t="s">
        <v>2931</v>
      </c>
      <c r="C13124">
        <v>15252</v>
      </c>
      <c r="D13124" t="str">
        <f>"7390        "</f>
        <v xml:space="preserve">7390        </v>
      </c>
      <c r="E13124" t="s">
        <v>2564</v>
      </c>
      <c r="F13124" t="s">
        <v>2565</v>
      </c>
      <c r="G13124">
        <v>2142.17</v>
      </c>
      <c r="H13124">
        <v>251110</v>
      </c>
      <c r="I13124">
        <v>4580</v>
      </c>
      <c r="J13124" t="s">
        <v>126</v>
      </c>
      <c r="K13124">
        <v>2142.17</v>
      </c>
      <c r="L13124">
        <v>435.26</v>
      </c>
      <c r="M13124">
        <v>17971</v>
      </c>
      <c r="N13124" t="s">
        <v>27</v>
      </c>
      <c r="O13124">
        <v>251117</v>
      </c>
      <c r="P13124">
        <v>1706.91</v>
      </c>
    </row>
    <row r="13125" spans="1:16" x14ac:dyDescent="0.25">
      <c r="A13125" t="s">
        <v>3296</v>
      </c>
      <c r="B13125" t="s">
        <v>2931</v>
      </c>
      <c r="C13125">
        <v>5501</v>
      </c>
      <c r="D13125" t="str">
        <f>"ennakkomaksu"</f>
        <v>ennakkomaksu</v>
      </c>
      <c r="E13125" t="s">
        <v>1748</v>
      </c>
      <c r="F13125" t="s">
        <v>1749</v>
      </c>
      <c r="G13125">
        <v>49.39</v>
      </c>
      <c r="H13125">
        <v>250424</v>
      </c>
      <c r="I13125">
        <v>4369</v>
      </c>
      <c r="J13125" t="s">
        <v>188</v>
      </c>
      <c r="K13125">
        <v>71.540000000000006</v>
      </c>
      <c r="L13125">
        <v>10.039999999999999</v>
      </c>
      <c r="M13125">
        <v>66756</v>
      </c>
      <c r="N13125" t="s">
        <v>120</v>
      </c>
      <c r="O13125">
        <v>250425</v>
      </c>
      <c r="P13125">
        <v>39.35</v>
      </c>
    </row>
    <row r="13126" spans="1:16" x14ac:dyDescent="0.25">
      <c r="A13126" t="s">
        <v>3296</v>
      </c>
      <c r="B13126" t="s">
        <v>2931</v>
      </c>
      <c r="C13126">
        <v>8814</v>
      </c>
      <c r="D13126" t="str">
        <f>"KT28750     "</f>
        <v xml:space="preserve">KT28750     </v>
      </c>
      <c r="E13126" t="s">
        <v>2057</v>
      </c>
      <c r="F13126" t="s">
        <v>2058</v>
      </c>
      <c r="G13126">
        <v>2424.66</v>
      </c>
      <c r="H13126">
        <v>250605</v>
      </c>
      <c r="I13126">
        <v>4580</v>
      </c>
      <c r="J13126" t="s">
        <v>126</v>
      </c>
      <c r="K13126">
        <v>2424.66</v>
      </c>
      <c r="L13126">
        <v>492.66</v>
      </c>
      <c r="M13126">
        <v>13931</v>
      </c>
      <c r="N13126" t="s">
        <v>662</v>
      </c>
      <c r="O13126">
        <v>250618</v>
      </c>
      <c r="P13126">
        <v>1932</v>
      </c>
    </row>
    <row r="13127" spans="1:16" x14ac:dyDescent="0.25">
      <c r="A13127" t="s">
        <v>3296</v>
      </c>
      <c r="B13127" t="s">
        <v>2931</v>
      </c>
      <c r="C13127">
        <v>9164</v>
      </c>
      <c r="D13127" t="str">
        <f>"KT28803     "</f>
        <v xml:space="preserve">KT28803     </v>
      </c>
      <c r="E13127" t="s">
        <v>2057</v>
      </c>
      <c r="F13127" t="s">
        <v>2058</v>
      </c>
      <c r="G13127">
        <v>545.92999999999995</v>
      </c>
      <c r="H13127">
        <v>250613</v>
      </c>
      <c r="I13127">
        <v>4580</v>
      </c>
      <c r="J13127" t="s">
        <v>126</v>
      </c>
      <c r="K13127">
        <v>545.92999999999995</v>
      </c>
      <c r="L13127">
        <v>110.93</v>
      </c>
      <c r="M13127">
        <v>46222</v>
      </c>
      <c r="N13127" t="s">
        <v>101</v>
      </c>
      <c r="O13127">
        <v>250627</v>
      </c>
      <c r="P13127">
        <v>435</v>
      </c>
    </row>
    <row r="13128" spans="1:16" x14ac:dyDescent="0.25">
      <c r="A13128" t="s">
        <v>3296</v>
      </c>
      <c r="B13128" t="s">
        <v>2931</v>
      </c>
      <c r="C13128">
        <v>8363</v>
      </c>
      <c r="D13128" t="str">
        <f>"2000296547  "</f>
        <v xml:space="preserve">2000296547  </v>
      </c>
      <c r="E13128" t="s">
        <v>1039</v>
      </c>
      <c r="F13128" t="s">
        <v>1040</v>
      </c>
      <c r="G13128">
        <v>1066.75</v>
      </c>
      <c r="H13128">
        <v>250606</v>
      </c>
      <c r="I13128">
        <v>4420</v>
      </c>
      <c r="J13128" t="s">
        <v>330</v>
      </c>
      <c r="K13128">
        <v>1066.75</v>
      </c>
      <c r="L13128">
        <v>216.75</v>
      </c>
      <c r="M13128">
        <v>18972</v>
      </c>
      <c r="N13128" t="s">
        <v>39</v>
      </c>
      <c r="O13128">
        <v>250613</v>
      </c>
      <c r="P13128">
        <v>850</v>
      </c>
    </row>
    <row r="13129" spans="1:16" x14ac:dyDescent="0.25">
      <c r="A13129" t="s">
        <v>3296</v>
      </c>
      <c r="B13129" t="s">
        <v>2931</v>
      </c>
      <c r="C13129">
        <v>1578</v>
      </c>
      <c r="D13129" t="str">
        <f>"2000274524  "</f>
        <v xml:space="preserve">2000274524  </v>
      </c>
      <c r="E13129" t="s">
        <v>1039</v>
      </c>
      <c r="F13129" t="s">
        <v>1040</v>
      </c>
      <c r="G13129">
        <v>99.21</v>
      </c>
      <c r="H13129">
        <v>250131</v>
      </c>
      <c r="I13129">
        <v>4860</v>
      </c>
      <c r="J13129" t="s">
        <v>286</v>
      </c>
      <c r="K13129">
        <v>99.21</v>
      </c>
      <c r="L13129">
        <v>20.16</v>
      </c>
      <c r="M13129">
        <v>17523</v>
      </c>
      <c r="N13129" t="s">
        <v>138</v>
      </c>
      <c r="O13129">
        <v>250211</v>
      </c>
      <c r="P13129">
        <v>79.05</v>
      </c>
    </row>
    <row r="13130" spans="1:16" x14ac:dyDescent="0.25">
      <c r="A13130" t="s">
        <v>3296</v>
      </c>
      <c r="B13130" t="s">
        <v>2931</v>
      </c>
      <c r="C13130">
        <v>3189</v>
      </c>
      <c r="D13130" t="str">
        <f>"2000279001  "</f>
        <v xml:space="preserve">2000279001  </v>
      </c>
      <c r="E13130" t="s">
        <v>1039</v>
      </c>
      <c r="F13130" t="s">
        <v>1040</v>
      </c>
      <c r="G13130">
        <v>89.61</v>
      </c>
      <c r="H13130">
        <v>250228</v>
      </c>
      <c r="I13130">
        <v>4860</v>
      </c>
      <c r="J13130" t="s">
        <v>286</v>
      </c>
      <c r="K13130">
        <v>89.61</v>
      </c>
      <c r="L13130">
        <v>18.21</v>
      </c>
      <c r="M13130">
        <v>17523</v>
      </c>
      <c r="N13130" t="s">
        <v>138</v>
      </c>
      <c r="O13130">
        <v>250314</v>
      </c>
      <c r="P13130">
        <v>71.400000000000006</v>
      </c>
    </row>
    <row r="13131" spans="1:16" x14ac:dyDescent="0.25">
      <c r="A13131" t="s">
        <v>3296</v>
      </c>
      <c r="B13131" t="s">
        <v>2931</v>
      </c>
      <c r="C13131">
        <v>4755</v>
      </c>
      <c r="D13131" t="str">
        <f>"2000284263  "</f>
        <v xml:space="preserve">2000284263  </v>
      </c>
      <c r="E13131" t="s">
        <v>1039</v>
      </c>
      <c r="F13131" t="s">
        <v>1040</v>
      </c>
      <c r="G13131">
        <v>99.21</v>
      </c>
      <c r="H13131">
        <v>250331</v>
      </c>
      <c r="I13131">
        <v>4860</v>
      </c>
      <c r="J13131" t="s">
        <v>286</v>
      </c>
      <c r="K13131">
        <v>99.21</v>
      </c>
      <c r="L13131">
        <v>20.16</v>
      </c>
      <c r="M13131">
        <v>17523</v>
      </c>
      <c r="N13131" t="s">
        <v>138</v>
      </c>
      <c r="O13131">
        <v>250415</v>
      </c>
      <c r="P13131">
        <v>79.05</v>
      </c>
    </row>
    <row r="13132" spans="1:16" x14ac:dyDescent="0.25">
      <c r="A13132" t="s">
        <v>3296</v>
      </c>
      <c r="B13132" t="s">
        <v>2931</v>
      </c>
      <c r="C13132">
        <v>5622</v>
      </c>
      <c r="D13132" t="str">
        <f>"2000287153  "</f>
        <v xml:space="preserve">2000287153  </v>
      </c>
      <c r="E13132" t="s">
        <v>1039</v>
      </c>
      <c r="F13132" t="s">
        <v>1040</v>
      </c>
      <c r="G13132">
        <v>95.92</v>
      </c>
      <c r="H13132">
        <v>250422</v>
      </c>
      <c r="I13132">
        <v>4860</v>
      </c>
      <c r="J13132" t="s">
        <v>286</v>
      </c>
      <c r="K13132">
        <v>95.92</v>
      </c>
      <c r="L13132">
        <v>19.489999999999998</v>
      </c>
      <c r="M13132">
        <v>17523</v>
      </c>
      <c r="N13132" t="s">
        <v>138</v>
      </c>
      <c r="O13132">
        <v>250425</v>
      </c>
      <c r="P13132">
        <v>76.430000000000007</v>
      </c>
    </row>
    <row r="13133" spans="1:16" x14ac:dyDescent="0.25">
      <c r="A13133" t="s">
        <v>3296</v>
      </c>
      <c r="B13133" t="s">
        <v>2931</v>
      </c>
      <c r="C13133">
        <v>10827</v>
      </c>
      <c r="D13133" t="str">
        <f>"30251141    "</f>
        <v xml:space="preserve">30251141    </v>
      </c>
      <c r="E13133" t="s">
        <v>3132</v>
      </c>
      <c r="F13133" t="s">
        <v>3133</v>
      </c>
      <c r="G13133">
        <v>800</v>
      </c>
      <c r="H13133">
        <v>250808</v>
      </c>
      <c r="I13133">
        <v>4510</v>
      </c>
      <c r="J13133" t="s">
        <v>240</v>
      </c>
      <c r="K13133">
        <v>800</v>
      </c>
      <c r="L13133">
        <v>0</v>
      </c>
      <c r="M13133">
        <v>18972</v>
      </c>
      <c r="N13133" t="s">
        <v>39</v>
      </c>
      <c r="O13133">
        <v>250825</v>
      </c>
      <c r="P13133">
        <v>800</v>
      </c>
    </row>
    <row r="13134" spans="1:16" x14ac:dyDescent="0.25">
      <c r="A13134" t="s">
        <v>3296</v>
      </c>
      <c r="B13134" t="s">
        <v>2931</v>
      </c>
      <c r="C13134">
        <v>15997</v>
      </c>
      <c r="D13134" t="str">
        <f>"2025/11/0080"</f>
        <v>2025/11/0080</v>
      </c>
      <c r="E13134" t="s">
        <v>2646</v>
      </c>
      <c r="F13134" t="s">
        <v>2647</v>
      </c>
      <c r="G13134">
        <v>101.94</v>
      </c>
      <c r="H13134">
        <v>251127</v>
      </c>
      <c r="I13134">
        <v>4600</v>
      </c>
      <c r="J13134" t="s">
        <v>278</v>
      </c>
      <c r="K13134">
        <v>101.94</v>
      </c>
      <c r="L13134">
        <v>20.71</v>
      </c>
      <c r="M13134">
        <v>17737</v>
      </c>
      <c r="N13134" t="s">
        <v>156</v>
      </c>
      <c r="O13134">
        <v>251201</v>
      </c>
      <c r="P13134">
        <v>81.23</v>
      </c>
    </row>
    <row r="13135" spans="1:16" x14ac:dyDescent="0.25">
      <c r="A13135" t="s">
        <v>3296</v>
      </c>
      <c r="B13135" t="s">
        <v>2931</v>
      </c>
      <c r="C13135">
        <v>5403</v>
      </c>
      <c r="D13135" t="str">
        <f>"2025/04/0001"</f>
        <v>2025/04/0001</v>
      </c>
      <c r="E13135" t="s">
        <v>1732</v>
      </c>
      <c r="F13135" t="s">
        <v>1733</v>
      </c>
      <c r="G13135">
        <v>341.36</v>
      </c>
      <c r="H13135">
        <v>250415</v>
      </c>
      <c r="I13135">
        <v>4600</v>
      </c>
      <c r="J13135" t="s">
        <v>278</v>
      </c>
      <c r="K13135">
        <v>341.36</v>
      </c>
      <c r="L13135">
        <v>69.36</v>
      </c>
      <c r="M13135">
        <v>17635</v>
      </c>
      <c r="N13135" t="s">
        <v>1264</v>
      </c>
      <c r="O13135">
        <v>250424</v>
      </c>
      <c r="P13135">
        <v>272</v>
      </c>
    </row>
    <row r="13136" spans="1:16" x14ac:dyDescent="0.25">
      <c r="A13136" t="s">
        <v>3296</v>
      </c>
      <c r="B13136" t="s">
        <v>2931</v>
      </c>
      <c r="C13136">
        <v>17196</v>
      </c>
      <c r="D13136" t="str">
        <f>"90542       "</f>
        <v xml:space="preserve">90542       </v>
      </c>
      <c r="E13136" t="s">
        <v>2742</v>
      </c>
      <c r="F13136" t="s">
        <v>2743</v>
      </c>
      <c r="G13136">
        <v>710</v>
      </c>
      <c r="H13136">
        <v>251215</v>
      </c>
      <c r="I13136">
        <v>4420</v>
      </c>
      <c r="J13136" t="s">
        <v>330</v>
      </c>
      <c r="K13136">
        <v>710</v>
      </c>
      <c r="L13136">
        <v>0</v>
      </c>
      <c r="M13136">
        <v>11902</v>
      </c>
      <c r="N13136" t="s">
        <v>329</v>
      </c>
      <c r="O13136">
        <v>251218</v>
      </c>
      <c r="P13136">
        <v>710</v>
      </c>
    </row>
    <row r="13137" spans="1:16" x14ac:dyDescent="0.25">
      <c r="A13137" t="s">
        <v>3296</v>
      </c>
      <c r="B13137" t="s">
        <v>2931</v>
      </c>
      <c r="C13137">
        <v>17625</v>
      </c>
      <c r="D13137" t="str">
        <f>"90648       "</f>
        <v xml:space="preserve">90648       </v>
      </c>
      <c r="E13137" t="s">
        <v>2742</v>
      </c>
      <c r="F13137" t="s">
        <v>2743</v>
      </c>
      <c r="G13137">
        <v>690</v>
      </c>
      <c r="H13137">
        <v>251217</v>
      </c>
      <c r="I13137">
        <v>4420</v>
      </c>
      <c r="J13137" t="s">
        <v>330</v>
      </c>
      <c r="K13137">
        <v>690</v>
      </c>
      <c r="L13137">
        <v>0</v>
      </c>
      <c r="M13137">
        <v>11902</v>
      </c>
      <c r="N13137" t="s">
        <v>329</v>
      </c>
      <c r="O13137">
        <v>251223</v>
      </c>
      <c r="P13137">
        <v>690</v>
      </c>
    </row>
    <row r="13138" spans="1:16" x14ac:dyDescent="0.25">
      <c r="A13138" t="s">
        <v>3296</v>
      </c>
      <c r="B13138" t="s">
        <v>2931</v>
      </c>
      <c r="C13138">
        <v>15128</v>
      </c>
      <c r="D13138" t="str">
        <f>"20084061    "</f>
        <v xml:space="preserve">20084061    </v>
      </c>
      <c r="E13138" t="s">
        <v>2547</v>
      </c>
      <c r="F13138" t="s">
        <v>2548</v>
      </c>
      <c r="G13138">
        <v>416.6</v>
      </c>
      <c r="H13138">
        <v>251031</v>
      </c>
      <c r="I13138">
        <v>4347</v>
      </c>
      <c r="J13138" t="s">
        <v>328</v>
      </c>
      <c r="K13138">
        <v>416.6</v>
      </c>
      <c r="L13138">
        <v>84.65</v>
      </c>
      <c r="M13138">
        <v>11905</v>
      </c>
      <c r="N13138" t="s">
        <v>643</v>
      </c>
      <c r="O13138">
        <v>251112</v>
      </c>
      <c r="P13138">
        <v>331.95</v>
      </c>
    </row>
    <row r="13139" spans="1:16" x14ac:dyDescent="0.25">
      <c r="A13139" t="s">
        <v>3296</v>
      </c>
      <c r="B13139" t="s">
        <v>2931</v>
      </c>
      <c r="C13139">
        <v>69</v>
      </c>
      <c r="D13139" t="str">
        <f>"199876      "</f>
        <v xml:space="preserve">199876      </v>
      </c>
      <c r="E13139" t="s">
        <v>164</v>
      </c>
      <c r="F13139" t="s">
        <v>166</v>
      </c>
      <c r="G13139">
        <v>317</v>
      </c>
      <c r="H13139">
        <v>250101</v>
      </c>
      <c r="I13139">
        <v>4410</v>
      </c>
      <c r="J13139" t="s">
        <v>165</v>
      </c>
      <c r="K13139">
        <v>317</v>
      </c>
      <c r="L13139">
        <v>38.93</v>
      </c>
      <c r="M13139">
        <v>41126</v>
      </c>
      <c r="N13139" t="s">
        <v>94</v>
      </c>
      <c r="O13139">
        <v>250102</v>
      </c>
      <c r="P13139">
        <v>278.07</v>
      </c>
    </row>
    <row r="13140" spans="1:16" x14ac:dyDescent="0.25">
      <c r="A13140" t="s">
        <v>3296</v>
      </c>
      <c r="B13140" t="s">
        <v>2931</v>
      </c>
      <c r="C13140">
        <v>113</v>
      </c>
      <c r="D13140" t="str">
        <f>"49085       "</f>
        <v xml:space="preserve">49085       </v>
      </c>
      <c r="E13140" t="s">
        <v>208</v>
      </c>
      <c r="F13140" t="s">
        <v>209</v>
      </c>
      <c r="G13140">
        <v>935.05</v>
      </c>
      <c r="H13140">
        <v>250101</v>
      </c>
      <c r="I13140">
        <v>4366</v>
      </c>
      <c r="J13140" t="s">
        <v>65</v>
      </c>
      <c r="K13140">
        <v>935.05</v>
      </c>
      <c r="L13140">
        <v>189.99</v>
      </c>
      <c r="M13140">
        <v>11801</v>
      </c>
      <c r="N13140" t="s">
        <v>40</v>
      </c>
      <c r="O13140">
        <v>250110</v>
      </c>
      <c r="P13140">
        <v>745.06</v>
      </c>
    </row>
    <row r="13141" spans="1:16" x14ac:dyDescent="0.25">
      <c r="A13141" t="s">
        <v>3296</v>
      </c>
      <c r="B13141" t="s">
        <v>2931</v>
      </c>
      <c r="C13141">
        <v>1407</v>
      </c>
      <c r="D13141" t="str">
        <f>"49831       "</f>
        <v xml:space="preserve">49831       </v>
      </c>
      <c r="E13141" t="s">
        <v>208</v>
      </c>
      <c r="F13141" t="s">
        <v>209</v>
      </c>
      <c r="G13141">
        <v>935.05</v>
      </c>
      <c r="H13141">
        <v>250201</v>
      </c>
      <c r="I13141">
        <v>4367</v>
      </c>
      <c r="J13141" t="s">
        <v>159</v>
      </c>
      <c r="K13141">
        <v>935.05</v>
      </c>
      <c r="L13141">
        <v>189.99</v>
      </c>
      <c r="M13141">
        <v>11801</v>
      </c>
      <c r="N13141" t="s">
        <v>40</v>
      </c>
      <c r="O13141">
        <v>250210</v>
      </c>
      <c r="P13141">
        <v>745.06</v>
      </c>
    </row>
    <row r="13142" spans="1:16" x14ac:dyDescent="0.25">
      <c r="A13142" t="s">
        <v>3296</v>
      </c>
      <c r="B13142" t="s">
        <v>2931</v>
      </c>
      <c r="C13142">
        <v>2904</v>
      </c>
      <c r="D13142" t="str">
        <f>"50491       "</f>
        <v xml:space="preserve">50491       </v>
      </c>
      <c r="E13142" t="s">
        <v>208</v>
      </c>
      <c r="F13142" t="s">
        <v>209</v>
      </c>
      <c r="G13142">
        <v>935.05</v>
      </c>
      <c r="H13142">
        <v>250301</v>
      </c>
      <c r="I13142">
        <v>4367</v>
      </c>
      <c r="J13142" t="s">
        <v>159</v>
      </c>
      <c r="K13142">
        <v>935.05</v>
      </c>
      <c r="L13142">
        <v>189.99</v>
      </c>
      <c r="M13142">
        <v>11801</v>
      </c>
      <c r="N13142" t="s">
        <v>40</v>
      </c>
      <c r="O13142">
        <v>250313</v>
      </c>
      <c r="P13142">
        <v>745.06</v>
      </c>
    </row>
    <row r="13143" spans="1:16" x14ac:dyDescent="0.25">
      <c r="A13143" t="s">
        <v>3296</v>
      </c>
      <c r="B13143" t="s">
        <v>2931</v>
      </c>
      <c r="C13143">
        <v>4520</v>
      </c>
      <c r="D13143" t="str">
        <f>"50953       "</f>
        <v xml:space="preserve">50953       </v>
      </c>
      <c r="E13143" t="s">
        <v>208</v>
      </c>
      <c r="F13143" t="s">
        <v>209</v>
      </c>
      <c r="G13143">
        <v>935.05</v>
      </c>
      <c r="H13143">
        <v>250401</v>
      </c>
      <c r="I13143">
        <v>4367</v>
      </c>
      <c r="J13143" t="s">
        <v>159</v>
      </c>
      <c r="K13143">
        <v>935.05</v>
      </c>
      <c r="L13143">
        <v>189.99</v>
      </c>
      <c r="M13143">
        <v>11801</v>
      </c>
      <c r="N13143" t="s">
        <v>40</v>
      </c>
      <c r="O13143">
        <v>250414</v>
      </c>
      <c r="P13143">
        <v>745.06</v>
      </c>
    </row>
    <row r="13144" spans="1:16" x14ac:dyDescent="0.25">
      <c r="A13144" t="s">
        <v>3296</v>
      </c>
      <c r="B13144" t="s">
        <v>2931</v>
      </c>
      <c r="C13144">
        <v>6083</v>
      </c>
      <c r="D13144" t="str">
        <f>"51893       "</f>
        <v xml:space="preserve">51893       </v>
      </c>
      <c r="E13144" t="s">
        <v>208</v>
      </c>
      <c r="F13144" t="s">
        <v>209</v>
      </c>
      <c r="G13144">
        <v>935.05</v>
      </c>
      <c r="H13144">
        <v>250501</v>
      </c>
      <c r="I13144">
        <v>4367</v>
      </c>
      <c r="J13144" t="s">
        <v>159</v>
      </c>
      <c r="K13144">
        <v>935.05</v>
      </c>
      <c r="L13144">
        <v>189.99</v>
      </c>
      <c r="M13144">
        <v>11801</v>
      </c>
      <c r="N13144" t="s">
        <v>40</v>
      </c>
      <c r="O13144">
        <v>250508</v>
      </c>
      <c r="P13144">
        <v>745.06</v>
      </c>
    </row>
    <row r="13145" spans="1:16" x14ac:dyDescent="0.25">
      <c r="A13145" t="s">
        <v>3296</v>
      </c>
      <c r="B13145" t="s">
        <v>2931</v>
      </c>
      <c r="C13145">
        <v>8036</v>
      </c>
      <c r="D13145" t="str">
        <f>"52540       "</f>
        <v xml:space="preserve">52540       </v>
      </c>
      <c r="E13145" t="s">
        <v>208</v>
      </c>
      <c r="F13145" t="s">
        <v>209</v>
      </c>
      <c r="G13145">
        <v>935.05</v>
      </c>
      <c r="H13145">
        <v>250601</v>
      </c>
      <c r="I13145">
        <v>4367</v>
      </c>
      <c r="J13145" t="s">
        <v>159</v>
      </c>
      <c r="K13145">
        <v>935.05</v>
      </c>
      <c r="L13145">
        <v>189.99</v>
      </c>
      <c r="M13145">
        <v>11801</v>
      </c>
      <c r="N13145" t="s">
        <v>40</v>
      </c>
      <c r="O13145">
        <v>250611</v>
      </c>
      <c r="P13145">
        <v>745.06</v>
      </c>
    </row>
    <row r="13146" spans="1:16" x14ac:dyDescent="0.25">
      <c r="A13146" t="s">
        <v>3296</v>
      </c>
      <c r="B13146" t="s">
        <v>2931</v>
      </c>
      <c r="C13146">
        <v>9350</v>
      </c>
      <c r="D13146" t="str">
        <f>"53271       "</f>
        <v xml:space="preserve">53271       </v>
      </c>
      <c r="E13146" t="s">
        <v>208</v>
      </c>
      <c r="F13146" t="s">
        <v>209</v>
      </c>
      <c r="G13146">
        <v>935.05</v>
      </c>
      <c r="H13146">
        <v>250701</v>
      </c>
      <c r="I13146">
        <v>4367</v>
      </c>
      <c r="J13146" t="s">
        <v>159</v>
      </c>
      <c r="K13146">
        <v>935.05</v>
      </c>
      <c r="L13146">
        <v>189.99</v>
      </c>
      <c r="M13146">
        <v>11801</v>
      </c>
      <c r="N13146" t="s">
        <v>40</v>
      </c>
      <c r="O13146">
        <v>250704</v>
      </c>
      <c r="P13146">
        <v>745.06</v>
      </c>
    </row>
    <row r="13147" spans="1:16" x14ac:dyDescent="0.25">
      <c r="A13147" t="s">
        <v>3296</v>
      </c>
      <c r="B13147" t="s">
        <v>2931</v>
      </c>
      <c r="C13147">
        <v>9992</v>
      </c>
      <c r="D13147" t="str">
        <f>"53841       "</f>
        <v xml:space="preserve">53841       </v>
      </c>
      <c r="E13147" t="s">
        <v>208</v>
      </c>
      <c r="F13147" t="s">
        <v>209</v>
      </c>
      <c r="G13147">
        <v>935.05</v>
      </c>
      <c r="H13147">
        <v>250801</v>
      </c>
      <c r="I13147">
        <v>4367</v>
      </c>
      <c r="J13147" t="s">
        <v>159</v>
      </c>
      <c r="K13147">
        <v>935.05</v>
      </c>
      <c r="L13147">
        <v>189.99</v>
      </c>
      <c r="M13147">
        <v>11801</v>
      </c>
      <c r="N13147" t="s">
        <v>40</v>
      </c>
      <c r="O13147">
        <v>250806</v>
      </c>
      <c r="P13147">
        <v>745.06</v>
      </c>
    </row>
    <row r="13148" spans="1:16" x14ac:dyDescent="0.25">
      <c r="A13148" t="s">
        <v>3296</v>
      </c>
      <c r="B13148" t="s">
        <v>2931</v>
      </c>
      <c r="C13148">
        <v>11382</v>
      </c>
      <c r="D13148" t="str">
        <f>"54422       "</f>
        <v xml:space="preserve">54422       </v>
      </c>
      <c r="E13148" t="s">
        <v>208</v>
      </c>
      <c r="F13148" t="s">
        <v>209</v>
      </c>
      <c r="G13148">
        <v>935.05</v>
      </c>
      <c r="H13148">
        <v>250901</v>
      </c>
      <c r="I13148">
        <v>4367</v>
      </c>
      <c r="J13148" t="s">
        <v>159</v>
      </c>
      <c r="K13148">
        <v>935.05</v>
      </c>
      <c r="L13148">
        <v>189.99</v>
      </c>
      <c r="M13148">
        <v>11801</v>
      </c>
      <c r="N13148" t="s">
        <v>40</v>
      </c>
      <c r="O13148">
        <v>250904</v>
      </c>
      <c r="P13148">
        <v>745.06</v>
      </c>
    </row>
    <row r="13149" spans="1:16" x14ac:dyDescent="0.25">
      <c r="A13149" t="s">
        <v>3296</v>
      </c>
      <c r="B13149" t="s">
        <v>2931</v>
      </c>
      <c r="C13149">
        <v>13085</v>
      </c>
      <c r="D13149" t="str">
        <f>"55170       "</f>
        <v xml:space="preserve">55170       </v>
      </c>
      <c r="E13149" t="s">
        <v>208</v>
      </c>
      <c r="F13149" t="s">
        <v>209</v>
      </c>
      <c r="G13149">
        <v>935.05</v>
      </c>
      <c r="H13149">
        <v>251001</v>
      </c>
      <c r="I13149">
        <v>4367</v>
      </c>
      <c r="J13149" t="s">
        <v>159</v>
      </c>
      <c r="K13149">
        <v>935.05</v>
      </c>
      <c r="L13149">
        <v>189.99</v>
      </c>
      <c r="M13149">
        <v>11801</v>
      </c>
      <c r="N13149" t="s">
        <v>40</v>
      </c>
      <c r="O13149">
        <v>251003</v>
      </c>
      <c r="P13149">
        <v>745.06</v>
      </c>
    </row>
    <row r="13150" spans="1:16" x14ac:dyDescent="0.25">
      <c r="A13150" t="s">
        <v>3296</v>
      </c>
      <c r="B13150" t="s">
        <v>2931</v>
      </c>
      <c r="C13150">
        <v>14568</v>
      </c>
      <c r="D13150" t="str">
        <f>"55843       "</f>
        <v xml:space="preserve">55843       </v>
      </c>
      <c r="E13150" t="s">
        <v>208</v>
      </c>
      <c r="F13150" t="s">
        <v>209</v>
      </c>
      <c r="G13150">
        <v>935.05</v>
      </c>
      <c r="H13150">
        <v>251101</v>
      </c>
      <c r="I13150">
        <v>4367</v>
      </c>
      <c r="J13150" t="s">
        <v>159</v>
      </c>
      <c r="K13150">
        <v>935.05</v>
      </c>
      <c r="L13150">
        <v>189.99</v>
      </c>
      <c r="M13150">
        <v>11801</v>
      </c>
      <c r="N13150" t="s">
        <v>40</v>
      </c>
      <c r="O13150">
        <v>251104</v>
      </c>
      <c r="P13150">
        <v>745.06</v>
      </c>
    </row>
    <row r="13151" spans="1:16" x14ac:dyDescent="0.25">
      <c r="A13151" t="s">
        <v>3296</v>
      </c>
      <c r="B13151" t="s">
        <v>2931</v>
      </c>
      <c r="C13151">
        <v>16266</v>
      </c>
      <c r="D13151" t="str">
        <f>"56313       "</f>
        <v xml:space="preserve">56313       </v>
      </c>
      <c r="E13151" t="s">
        <v>208</v>
      </c>
      <c r="F13151" t="s">
        <v>209</v>
      </c>
      <c r="G13151">
        <v>935.05</v>
      </c>
      <c r="H13151">
        <v>251201</v>
      </c>
      <c r="I13151">
        <v>4367</v>
      </c>
      <c r="J13151" t="s">
        <v>159</v>
      </c>
      <c r="K13151">
        <v>935.05</v>
      </c>
      <c r="L13151">
        <v>189.99</v>
      </c>
      <c r="M13151">
        <v>11801</v>
      </c>
      <c r="N13151" t="s">
        <v>40</v>
      </c>
      <c r="O13151">
        <v>251205</v>
      </c>
      <c r="P13151">
        <v>745.06</v>
      </c>
    </row>
    <row r="13152" spans="1:16" x14ac:dyDescent="0.25">
      <c r="A13152" t="s">
        <v>3296</v>
      </c>
      <c r="B13152" t="s">
        <v>2931</v>
      </c>
      <c r="C13152">
        <v>12460</v>
      </c>
      <c r="D13152" t="str">
        <f>"90308189    "</f>
        <v xml:space="preserve">90308189    </v>
      </c>
      <c r="E13152" t="s">
        <v>2352</v>
      </c>
      <c r="F13152" t="s">
        <v>2353</v>
      </c>
      <c r="G13152">
        <v>352.98</v>
      </c>
      <c r="H13152">
        <v>250905</v>
      </c>
      <c r="I13152">
        <v>4367</v>
      </c>
      <c r="J13152" t="s">
        <v>159</v>
      </c>
      <c r="K13152">
        <v>2983.14</v>
      </c>
      <c r="L13152">
        <v>71.72</v>
      </c>
      <c r="M13152">
        <v>17537</v>
      </c>
      <c r="N13152" t="s">
        <v>151</v>
      </c>
      <c r="O13152">
        <v>250923</v>
      </c>
      <c r="P13152">
        <v>281.26</v>
      </c>
    </row>
    <row r="13153" spans="1:16" x14ac:dyDescent="0.25">
      <c r="A13153" t="s">
        <v>3296</v>
      </c>
      <c r="B13153" t="s">
        <v>2931</v>
      </c>
      <c r="C13153">
        <v>12460</v>
      </c>
      <c r="D13153" t="str">
        <f>"90308189    "</f>
        <v xml:space="preserve">90308189    </v>
      </c>
      <c r="E13153" t="s">
        <v>2352</v>
      </c>
      <c r="F13153" t="s">
        <v>2353</v>
      </c>
      <c r="G13153">
        <v>630.42999999999995</v>
      </c>
      <c r="H13153">
        <v>250905</v>
      </c>
      <c r="I13153">
        <v>4367</v>
      </c>
      <c r="J13153" t="s">
        <v>159</v>
      </c>
      <c r="K13153">
        <v>2983.14</v>
      </c>
      <c r="L13153">
        <v>128.1</v>
      </c>
      <c r="M13153">
        <v>56524</v>
      </c>
      <c r="N13153" t="s">
        <v>69</v>
      </c>
      <c r="O13153">
        <v>250923</v>
      </c>
      <c r="P13153">
        <v>502.33</v>
      </c>
    </row>
    <row r="13154" spans="1:16" x14ac:dyDescent="0.25">
      <c r="A13154" t="s">
        <v>3296</v>
      </c>
      <c r="B13154" t="s">
        <v>2931</v>
      </c>
      <c r="C13154">
        <v>13439</v>
      </c>
      <c r="D13154" t="str">
        <f>"90308819    "</f>
        <v xml:space="preserve">90308819    </v>
      </c>
      <c r="E13154" t="s">
        <v>2352</v>
      </c>
      <c r="F13154" t="s">
        <v>2353</v>
      </c>
      <c r="G13154">
        <v>66.52</v>
      </c>
      <c r="H13154">
        <v>250930</v>
      </c>
      <c r="I13154">
        <v>4367</v>
      </c>
      <c r="J13154" t="s">
        <v>159</v>
      </c>
      <c r="K13154">
        <v>66.52</v>
      </c>
      <c r="L13154">
        <v>13.52</v>
      </c>
      <c r="M13154">
        <v>56526</v>
      </c>
      <c r="N13154" t="s">
        <v>506</v>
      </c>
      <c r="O13154">
        <v>251010</v>
      </c>
      <c r="P13154">
        <v>53</v>
      </c>
    </row>
    <row r="13155" spans="1:16" x14ac:dyDescent="0.25">
      <c r="A13155" t="s">
        <v>3296</v>
      </c>
      <c r="B13155" t="s">
        <v>2931</v>
      </c>
      <c r="C13155">
        <v>2844</v>
      </c>
      <c r="D13155" t="str">
        <f>"785         "</f>
        <v xml:space="preserve">785         </v>
      </c>
      <c r="E13155" t="s">
        <v>1370</v>
      </c>
      <c r="F13155" t="s">
        <v>1371</v>
      </c>
      <c r="G13155">
        <v>8659.5</v>
      </c>
      <c r="H13155">
        <v>250301</v>
      </c>
      <c r="I13155">
        <v>4440</v>
      </c>
      <c r="J13155" t="s">
        <v>346</v>
      </c>
      <c r="K13155">
        <v>8659.5</v>
      </c>
      <c r="L13155">
        <v>1759.5</v>
      </c>
      <c r="M13155">
        <v>18120</v>
      </c>
      <c r="N13155" t="s">
        <v>37</v>
      </c>
      <c r="O13155">
        <v>250312</v>
      </c>
      <c r="P13155">
        <v>6900</v>
      </c>
    </row>
    <row r="13156" spans="1:16" x14ac:dyDescent="0.25">
      <c r="A13156" t="s">
        <v>3296</v>
      </c>
      <c r="B13156" t="s">
        <v>2931</v>
      </c>
      <c r="C13156">
        <v>3327</v>
      </c>
      <c r="D13156" t="str">
        <f>"782         "</f>
        <v xml:space="preserve">782         </v>
      </c>
      <c r="E13156" t="s">
        <v>1370</v>
      </c>
      <c r="F13156" t="s">
        <v>1371</v>
      </c>
      <c r="G13156">
        <v>7868.85</v>
      </c>
      <c r="H13156">
        <v>250228</v>
      </c>
      <c r="I13156">
        <v>4440</v>
      </c>
      <c r="J13156" t="s">
        <v>346</v>
      </c>
      <c r="K13156">
        <v>7868.85</v>
      </c>
      <c r="L13156">
        <v>1598.85</v>
      </c>
      <c r="M13156">
        <v>18120</v>
      </c>
      <c r="N13156" t="s">
        <v>37</v>
      </c>
      <c r="O13156">
        <v>250318</v>
      </c>
      <c r="P13156">
        <v>6270</v>
      </c>
    </row>
    <row r="13157" spans="1:16" x14ac:dyDescent="0.25">
      <c r="A13157" t="s">
        <v>3296</v>
      </c>
      <c r="B13157" t="s">
        <v>2931</v>
      </c>
      <c r="C13157">
        <v>3633</v>
      </c>
      <c r="D13157" t="str">
        <f>"787         "</f>
        <v xml:space="preserve">787         </v>
      </c>
      <c r="E13157" t="s">
        <v>1370</v>
      </c>
      <c r="F13157" t="s">
        <v>1371</v>
      </c>
      <c r="G13157">
        <v>9036</v>
      </c>
      <c r="H13157">
        <v>250310</v>
      </c>
      <c r="I13157">
        <v>4440</v>
      </c>
      <c r="J13157" t="s">
        <v>346</v>
      </c>
      <c r="K13157">
        <v>9036</v>
      </c>
      <c r="L13157">
        <v>1836</v>
      </c>
      <c r="M13157">
        <v>18122</v>
      </c>
      <c r="N13157" t="s">
        <v>176</v>
      </c>
      <c r="O13157">
        <v>250327</v>
      </c>
      <c r="P13157">
        <v>7200</v>
      </c>
    </row>
    <row r="13158" spans="1:16" x14ac:dyDescent="0.25">
      <c r="A13158" t="s">
        <v>3296</v>
      </c>
      <c r="B13158" t="s">
        <v>2931</v>
      </c>
      <c r="C13158">
        <v>3690</v>
      </c>
      <c r="D13158" t="str">
        <f>"788         "</f>
        <v xml:space="preserve">788         </v>
      </c>
      <c r="E13158" t="s">
        <v>1370</v>
      </c>
      <c r="F13158" t="s">
        <v>1371</v>
      </c>
      <c r="G13158">
        <v>10353.75</v>
      </c>
      <c r="H13158">
        <v>250310</v>
      </c>
      <c r="I13158">
        <v>4440</v>
      </c>
      <c r="J13158" t="s">
        <v>346</v>
      </c>
      <c r="K13158">
        <v>10353.75</v>
      </c>
      <c r="L13158">
        <v>2103.75</v>
      </c>
      <c r="M13158">
        <v>18120</v>
      </c>
      <c r="N13158" t="s">
        <v>37</v>
      </c>
      <c r="O13158">
        <v>250328</v>
      </c>
      <c r="P13158">
        <v>8250</v>
      </c>
    </row>
    <row r="13159" spans="1:16" x14ac:dyDescent="0.25">
      <c r="A13159" t="s">
        <v>3296</v>
      </c>
      <c r="B13159" t="s">
        <v>2931</v>
      </c>
      <c r="C13159">
        <v>3700</v>
      </c>
      <c r="D13159" t="str">
        <f>"786         "</f>
        <v xml:space="preserve">786         </v>
      </c>
      <c r="E13159" t="s">
        <v>1370</v>
      </c>
      <c r="F13159" t="s">
        <v>1371</v>
      </c>
      <c r="G13159">
        <v>12299</v>
      </c>
      <c r="H13159">
        <v>250312</v>
      </c>
      <c r="I13159">
        <v>4440</v>
      </c>
      <c r="J13159" t="s">
        <v>346</v>
      </c>
      <c r="K13159">
        <v>12299</v>
      </c>
      <c r="L13159">
        <v>2499</v>
      </c>
      <c r="M13159">
        <v>18120</v>
      </c>
      <c r="N13159" t="s">
        <v>37</v>
      </c>
      <c r="O13159">
        <v>250328</v>
      </c>
      <c r="P13159">
        <v>9800</v>
      </c>
    </row>
    <row r="13160" spans="1:16" x14ac:dyDescent="0.25">
      <c r="A13160" t="s">
        <v>3296</v>
      </c>
      <c r="B13160" t="s">
        <v>2931</v>
      </c>
      <c r="C13160">
        <v>3707</v>
      </c>
      <c r="D13160" t="str">
        <f>"783         "</f>
        <v xml:space="preserve">783         </v>
      </c>
      <c r="E13160" t="s">
        <v>1370</v>
      </c>
      <c r="F13160" t="s">
        <v>1371</v>
      </c>
      <c r="G13160">
        <v>5798.1</v>
      </c>
      <c r="H13160">
        <v>250312</v>
      </c>
      <c r="I13160">
        <v>4440</v>
      </c>
      <c r="J13160" t="s">
        <v>346</v>
      </c>
      <c r="K13160">
        <v>5798.1</v>
      </c>
      <c r="L13160">
        <v>1178.0999999999999</v>
      </c>
      <c r="M13160">
        <v>18120</v>
      </c>
      <c r="N13160" t="s">
        <v>37</v>
      </c>
      <c r="O13160">
        <v>250328</v>
      </c>
      <c r="P13160">
        <v>4620</v>
      </c>
    </row>
    <row r="13161" spans="1:16" x14ac:dyDescent="0.25">
      <c r="A13161" t="s">
        <v>3296</v>
      </c>
      <c r="B13161" t="s">
        <v>2931</v>
      </c>
      <c r="C13161">
        <v>3708</v>
      </c>
      <c r="D13161" t="str">
        <f>"784         "</f>
        <v xml:space="preserve">784         </v>
      </c>
      <c r="E13161" t="s">
        <v>1370</v>
      </c>
      <c r="F13161" t="s">
        <v>1371</v>
      </c>
      <c r="G13161">
        <v>7454.7</v>
      </c>
      <c r="H13161">
        <v>250314</v>
      </c>
      <c r="I13161">
        <v>4440</v>
      </c>
      <c r="J13161" t="s">
        <v>346</v>
      </c>
      <c r="K13161">
        <v>7454.7</v>
      </c>
      <c r="L13161">
        <v>1514.7</v>
      </c>
      <c r="M13161">
        <v>18120</v>
      </c>
      <c r="N13161" t="s">
        <v>37</v>
      </c>
      <c r="O13161">
        <v>250328</v>
      </c>
      <c r="P13161">
        <v>5940</v>
      </c>
    </row>
    <row r="13162" spans="1:16" x14ac:dyDescent="0.25">
      <c r="A13162" t="s">
        <v>3296</v>
      </c>
      <c r="B13162" t="s">
        <v>2931</v>
      </c>
      <c r="C13162">
        <v>8832</v>
      </c>
      <c r="D13162" t="str">
        <f>"820         "</f>
        <v xml:space="preserve">820         </v>
      </c>
      <c r="E13162" t="s">
        <v>1370</v>
      </c>
      <c r="F13162" t="s">
        <v>1371</v>
      </c>
      <c r="G13162">
        <v>8157.5</v>
      </c>
      <c r="H13162">
        <v>250609</v>
      </c>
      <c r="I13162">
        <v>4440</v>
      </c>
      <c r="J13162" t="s">
        <v>346</v>
      </c>
      <c r="K13162">
        <v>8157.5</v>
      </c>
      <c r="L13162">
        <v>1657.5</v>
      </c>
      <c r="M13162">
        <v>18120</v>
      </c>
      <c r="N13162" t="s">
        <v>37</v>
      </c>
      <c r="O13162">
        <v>250618</v>
      </c>
      <c r="P13162">
        <v>6500</v>
      </c>
    </row>
    <row r="13163" spans="1:16" x14ac:dyDescent="0.25">
      <c r="A13163" t="s">
        <v>3296</v>
      </c>
      <c r="B13163" t="s">
        <v>2931</v>
      </c>
      <c r="C13163">
        <v>8844</v>
      </c>
      <c r="D13163" t="str">
        <f>"816         "</f>
        <v xml:space="preserve">816         </v>
      </c>
      <c r="E13163" t="s">
        <v>1370</v>
      </c>
      <c r="F13163" t="s">
        <v>1371</v>
      </c>
      <c r="G13163">
        <v>9525.4500000000007</v>
      </c>
      <c r="H13163">
        <v>250609</v>
      </c>
      <c r="I13163">
        <v>4440</v>
      </c>
      <c r="J13163" t="s">
        <v>346</v>
      </c>
      <c r="K13163">
        <v>9525.4500000000007</v>
      </c>
      <c r="L13163">
        <v>1935.45</v>
      </c>
      <c r="M13163">
        <v>18120</v>
      </c>
      <c r="N13163" t="s">
        <v>37</v>
      </c>
      <c r="O13163">
        <v>250618</v>
      </c>
      <c r="P13163">
        <v>7590</v>
      </c>
    </row>
    <row r="13164" spans="1:16" x14ac:dyDescent="0.25">
      <c r="A13164" t="s">
        <v>3296</v>
      </c>
      <c r="B13164" t="s">
        <v>2931</v>
      </c>
      <c r="C13164">
        <v>8849</v>
      </c>
      <c r="D13164" t="str">
        <f>"818         "</f>
        <v xml:space="preserve">818         </v>
      </c>
      <c r="E13164" t="s">
        <v>1370</v>
      </c>
      <c r="F13164" t="s">
        <v>1371</v>
      </c>
      <c r="G13164">
        <v>8659.5</v>
      </c>
      <c r="H13164">
        <v>250609</v>
      </c>
      <c r="I13164">
        <v>4440</v>
      </c>
      <c r="J13164" t="s">
        <v>346</v>
      </c>
      <c r="K13164">
        <v>8659.5</v>
      </c>
      <c r="L13164">
        <v>1759.5</v>
      </c>
      <c r="M13164">
        <v>18120</v>
      </c>
      <c r="N13164" t="s">
        <v>37</v>
      </c>
      <c r="O13164">
        <v>250618</v>
      </c>
      <c r="P13164">
        <v>6900</v>
      </c>
    </row>
    <row r="13165" spans="1:16" x14ac:dyDescent="0.25">
      <c r="A13165" t="s">
        <v>3296</v>
      </c>
      <c r="B13165" t="s">
        <v>2931</v>
      </c>
      <c r="C13165">
        <v>9058</v>
      </c>
      <c r="D13165" t="str">
        <f>"819         "</f>
        <v xml:space="preserve">819         </v>
      </c>
      <c r="E13165" t="s">
        <v>1370</v>
      </c>
      <c r="F13165" t="s">
        <v>1371</v>
      </c>
      <c r="G13165">
        <v>11269.9</v>
      </c>
      <c r="H13165">
        <v>250609</v>
      </c>
      <c r="I13165">
        <v>4440</v>
      </c>
      <c r="J13165" t="s">
        <v>346</v>
      </c>
      <c r="K13165">
        <v>11269.9</v>
      </c>
      <c r="L13165">
        <v>2289.9</v>
      </c>
      <c r="M13165">
        <v>18120</v>
      </c>
      <c r="N13165" t="s">
        <v>37</v>
      </c>
      <c r="O13165">
        <v>250626</v>
      </c>
      <c r="P13165">
        <v>8980</v>
      </c>
    </row>
    <row r="13166" spans="1:16" x14ac:dyDescent="0.25">
      <c r="A13166" t="s">
        <v>3296</v>
      </c>
      <c r="B13166" t="s">
        <v>2931</v>
      </c>
      <c r="C13166">
        <v>9060</v>
      </c>
      <c r="D13166" t="str">
        <f>"821         "</f>
        <v xml:space="preserve">821         </v>
      </c>
      <c r="E13166" t="s">
        <v>1370</v>
      </c>
      <c r="F13166" t="s">
        <v>1371</v>
      </c>
      <c r="G13166">
        <v>6212.25</v>
      </c>
      <c r="H13166">
        <v>250609</v>
      </c>
      <c r="I13166">
        <v>4440</v>
      </c>
      <c r="J13166" t="s">
        <v>346</v>
      </c>
      <c r="K13166">
        <v>6212.25</v>
      </c>
      <c r="L13166">
        <v>1262.25</v>
      </c>
      <c r="M13166">
        <v>18120</v>
      </c>
      <c r="N13166" t="s">
        <v>37</v>
      </c>
      <c r="O13166">
        <v>250626</v>
      </c>
      <c r="P13166">
        <v>4950</v>
      </c>
    </row>
    <row r="13167" spans="1:16" x14ac:dyDescent="0.25">
      <c r="A13167" t="s">
        <v>3296</v>
      </c>
      <c r="B13167" t="s">
        <v>2931</v>
      </c>
      <c r="C13167">
        <v>9074</v>
      </c>
      <c r="D13167" t="str">
        <f>"832         "</f>
        <v xml:space="preserve">832         </v>
      </c>
      <c r="E13167" t="s">
        <v>1370</v>
      </c>
      <c r="F13167" t="s">
        <v>1371</v>
      </c>
      <c r="G13167">
        <v>414.15</v>
      </c>
      <c r="H13167">
        <v>250616</v>
      </c>
      <c r="I13167">
        <v>4440</v>
      </c>
      <c r="J13167" t="s">
        <v>346</v>
      </c>
      <c r="K13167">
        <v>414.15</v>
      </c>
      <c r="L13167">
        <v>84.15</v>
      </c>
      <c r="M13167">
        <v>18120</v>
      </c>
      <c r="N13167" t="s">
        <v>37</v>
      </c>
      <c r="O13167">
        <v>250626</v>
      </c>
      <c r="P13167">
        <v>330</v>
      </c>
    </row>
    <row r="13168" spans="1:16" x14ac:dyDescent="0.25">
      <c r="A13168" t="s">
        <v>3296</v>
      </c>
      <c r="B13168" t="s">
        <v>2931</v>
      </c>
      <c r="C13168">
        <v>9078</v>
      </c>
      <c r="D13168" t="str">
        <f>"831         "</f>
        <v xml:space="preserve">831         </v>
      </c>
      <c r="E13168" t="s">
        <v>1370</v>
      </c>
      <c r="F13168" t="s">
        <v>1371</v>
      </c>
      <c r="G13168">
        <v>407.88</v>
      </c>
      <c r="H13168">
        <v>250616</v>
      </c>
      <c r="I13168">
        <v>4440</v>
      </c>
      <c r="J13168" t="s">
        <v>346</v>
      </c>
      <c r="K13168">
        <v>407.88</v>
      </c>
      <c r="L13168">
        <v>82.88</v>
      </c>
      <c r="M13168">
        <v>18120</v>
      </c>
      <c r="N13168" t="s">
        <v>37</v>
      </c>
      <c r="O13168">
        <v>250626</v>
      </c>
      <c r="P13168">
        <v>325</v>
      </c>
    </row>
    <row r="13169" spans="1:16" x14ac:dyDescent="0.25">
      <c r="A13169" t="s">
        <v>3296</v>
      </c>
      <c r="B13169" t="s">
        <v>2931</v>
      </c>
      <c r="C13169">
        <v>9104</v>
      </c>
      <c r="D13169" t="str">
        <f>"830         "</f>
        <v xml:space="preserve">830         </v>
      </c>
      <c r="E13169" t="s">
        <v>1370</v>
      </c>
      <c r="F13169" t="s">
        <v>1371</v>
      </c>
      <c r="G13169">
        <v>614.95000000000005</v>
      </c>
      <c r="H13169">
        <v>250616</v>
      </c>
      <c r="I13169">
        <v>4440</v>
      </c>
      <c r="J13169" t="s">
        <v>346</v>
      </c>
      <c r="K13169">
        <v>614.95000000000005</v>
      </c>
      <c r="L13169">
        <v>124.95</v>
      </c>
      <c r="M13169">
        <v>18120</v>
      </c>
      <c r="N13169" t="s">
        <v>37</v>
      </c>
      <c r="O13169">
        <v>250626</v>
      </c>
      <c r="P13169">
        <v>490</v>
      </c>
    </row>
    <row r="13170" spans="1:16" x14ac:dyDescent="0.25">
      <c r="A13170" t="s">
        <v>3296</v>
      </c>
      <c r="B13170" t="s">
        <v>2931</v>
      </c>
      <c r="C13170">
        <v>9110</v>
      </c>
      <c r="D13170" t="str">
        <f>"817         "</f>
        <v xml:space="preserve">817         </v>
      </c>
      <c r="E13170" t="s">
        <v>1370</v>
      </c>
      <c r="F13170" t="s">
        <v>1371</v>
      </c>
      <c r="G13170">
        <v>9036</v>
      </c>
      <c r="H13170">
        <v>250609</v>
      </c>
      <c r="I13170">
        <v>4440</v>
      </c>
      <c r="J13170" t="s">
        <v>346</v>
      </c>
      <c r="K13170">
        <v>9036</v>
      </c>
      <c r="L13170">
        <v>1836</v>
      </c>
      <c r="M13170">
        <v>18122</v>
      </c>
      <c r="N13170" t="s">
        <v>176</v>
      </c>
      <c r="O13170">
        <v>250626</v>
      </c>
      <c r="P13170">
        <v>7200</v>
      </c>
    </row>
    <row r="13171" spans="1:16" x14ac:dyDescent="0.25">
      <c r="A13171" t="s">
        <v>3296</v>
      </c>
      <c r="B13171" t="s">
        <v>2931</v>
      </c>
      <c r="C13171">
        <v>12026</v>
      </c>
      <c r="D13171" t="str">
        <f>"845         "</f>
        <v xml:space="preserve">845         </v>
      </c>
      <c r="E13171" t="s">
        <v>1370</v>
      </c>
      <c r="F13171" t="s">
        <v>1371</v>
      </c>
      <c r="G13171">
        <v>9525.4500000000007</v>
      </c>
      <c r="H13171">
        <v>250910</v>
      </c>
      <c r="I13171">
        <v>4440</v>
      </c>
      <c r="J13171" t="s">
        <v>346</v>
      </c>
      <c r="K13171">
        <v>9525.4500000000007</v>
      </c>
      <c r="L13171">
        <v>1935.45</v>
      </c>
      <c r="M13171">
        <v>18120</v>
      </c>
      <c r="N13171" t="s">
        <v>37</v>
      </c>
      <c r="O13171">
        <v>250915</v>
      </c>
      <c r="P13171">
        <v>7590</v>
      </c>
    </row>
    <row r="13172" spans="1:16" x14ac:dyDescent="0.25">
      <c r="A13172" t="s">
        <v>3296</v>
      </c>
      <c r="B13172" t="s">
        <v>2931</v>
      </c>
      <c r="C13172">
        <v>12028</v>
      </c>
      <c r="D13172" t="str">
        <f>"846         "</f>
        <v xml:space="preserve">846         </v>
      </c>
      <c r="E13172" t="s">
        <v>1370</v>
      </c>
      <c r="F13172" t="s">
        <v>1371</v>
      </c>
      <c r="G13172">
        <v>9036</v>
      </c>
      <c r="H13172">
        <v>250910</v>
      </c>
      <c r="I13172">
        <v>4440</v>
      </c>
      <c r="J13172" t="s">
        <v>346</v>
      </c>
      <c r="K13172">
        <v>9036</v>
      </c>
      <c r="L13172">
        <v>1836</v>
      </c>
      <c r="M13172">
        <v>18122</v>
      </c>
      <c r="N13172" t="s">
        <v>176</v>
      </c>
      <c r="O13172">
        <v>250915</v>
      </c>
      <c r="P13172">
        <v>7200</v>
      </c>
    </row>
    <row r="13173" spans="1:16" x14ac:dyDescent="0.25">
      <c r="A13173" t="s">
        <v>3296</v>
      </c>
      <c r="B13173" t="s">
        <v>2931</v>
      </c>
      <c r="C13173">
        <v>12043</v>
      </c>
      <c r="D13173" t="str">
        <f>"849         "</f>
        <v xml:space="preserve">849         </v>
      </c>
      <c r="E13173" t="s">
        <v>1370</v>
      </c>
      <c r="F13173" t="s">
        <v>1371</v>
      </c>
      <c r="G13173">
        <v>5911.05</v>
      </c>
      <c r="H13173">
        <v>250910</v>
      </c>
      <c r="I13173">
        <v>4440</v>
      </c>
      <c r="J13173" t="s">
        <v>346</v>
      </c>
      <c r="K13173">
        <v>5911.05</v>
      </c>
      <c r="L13173">
        <v>1201.05</v>
      </c>
      <c r="M13173">
        <v>18120</v>
      </c>
      <c r="N13173" t="s">
        <v>37</v>
      </c>
      <c r="O13173">
        <v>250915</v>
      </c>
      <c r="P13173">
        <v>4710</v>
      </c>
    </row>
    <row r="13174" spans="1:16" x14ac:dyDescent="0.25">
      <c r="A13174" t="s">
        <v>3296</v>
      </c>
      <c r="B13174" t="s">
        <v>2931</v>
      </c>
      <c r="C13174">
        <v>12044</v>
      </c>
      <c r="D13174" t="str">
        <f>"847         "</f>
        <v xml:space="preserve">847         </v>
      </c>
      <c r="E13174" t="s">
        <v>1370</v>
      </c>
      <c r="F13174" t="s">
        <v>1371</v>
      </c>
      <c r="G13174">
        <v>8659.5</v>
      </c>
      <c r="H13174">
        <v>250910</v>
      </c>
      <c r="I13174">
        <v>4440</v>
      </c>
      <c r="J13174" t="s">
        <v>346</v>
      </c>
      <c r="K13174">
        <v>8659.5</v>
      </c>
      <c r="L13174">
        <v>1759.5</v>
      </c>
      <c r="M13174">
        <v>18120</v>
      </c>
      <c r="N13174" t="s">
        <v>37</v>
      </c>
      <c r="O13174">
        <v>250915</v>
      </c>
      <c r="P13174">
        <v>6900</v>
      </c>
    </row>
    <row r="13175" spans="1:16" x14ac:dyDescent="0.25">
      <c r="A13175" t="s">
        <v>3296</v>
      </c>
      <c r="B13175" t="s">
        <v>2931</v>
      </c>
      <c r="C13175">
        <v>12046</v>
      </c>
      <c r="D13175" t="str">
        <f>"848         "</f>
        <v xml:space="preserve">848         </v>
      </c>
      <c r="E13175" t="s">
        <v>1370</v>
      </c>
      <c r="F13175" t="s">
        <v>1371</v>
      </c>
      <c r="G13175">
        <v>7341.75</v>
      </c>
      <c r="H13175">
        <v>250910</v>
      </c>
      <c r="I13175">
        <v>4440</v>
      </c>
      <c r="J13175" t="s">
        <v>346</v>
      </c>
      <c r="K13175">
        <v>7341.75</v>
      </c>
      <c r="L13175">
        <v>1491.75</v>
      </c>
      <c r="M13175">
        <v>18120</v>
      </c>
      <c r="N13175" t="s">
        <v>37</v>
      </c>
      <c r="O13175">
        <v>250915</v>
      </c>
      <c r="P13175">
        <v>5850</v>
      </c>
    </row>
    <row r="13176" spans="1:16" x14ac:dyDescent="0.25">
      <c r="A13176" t="s">
        <v>3296</v>
      </c>
      <c r="B13176" t="s">
        <v>2931</v>
      </c>
      <c r="C13176">
        <v>12140</v>
      </c>
      <c r="D13176" t="str">
        <f>"851         "</f>
        <v xml:space="preserve">851         </v>
      </c>
      <c r="E13176" t="s">
        <v>1370</v>
      </c>
      <c r="F13176" t="s">
        <v>1371</v>
      </c>
      <c r="G13176">
        <v>6212.25</v>
      </c>
      <c r="H13176">
        <v>250910</v>
      </c>
      <c r="I13176">
        <v>4440</v>
      </c>
      <c r="J13176" t="s">
        <v>346</v>
      </c>
      <c r="K13176">
        <v>6212.25</v>
      </c>
      <c r="L13176">
        <v>1262.25</v>
      </c>
      <c r="M13176">
        <v>18120</v>
      </c>
      <c r="N13176" t="s">
        <v>37</v>
      </c>
      <c r="O13176">
        <v>250916</v>
      </c>
      <c r="P13176">
        <v>4950</v>
      </c>
    </row>
    <row r="13177" spans="1:16" x14ac:dyDescent="0.25">
      <c r="A13177" t="s">
        <v>3296</v>
      </c>
      <c r="B13177" t="s">
        <v>2931</v>
      </c>
      <c r="C13177">
        <v>12141</v>
      </c>
      <c r="D13177" t="str">
        <f>"850         "</f>
        <v xml:space="preserve">850         </v>
      </c>
      <c r="E13177" t="s">
        <v>1370</v>
      </c>
      <c r="F13177" t="s">
        <v>1371</v>
      </c>
      <c r="G13177">
        <v>6212.25</v>
      </c>
      <c r="H13177">
        <v>250910</v>
      </c>
      <c r="I13177">
        <v>4440</v>
      </c>
      <c r="J13177" t="s">
        <v>346</v>
      </c>
      <c r="K13177">
        <v>6212.25</v>
      </c>
      <c r="L13177">
        <v>1262.25</v>
      </c>
      <c r="M13177">
        <v>18120</v>
      </c>
      <c r="N13177" t="s">
        <v>37</v>
      </c>
      <c r="O13177">
        <v>250916</v>
      </c>
      <c r="P13177">
        <v>4950</v>
      </c>
    </row>
    <row r="13178" spans="1:16" x14ac:dyDescent="0.25">
      <c r="A13178" t="s">
        <v>3296</v>
      </c>
      <c r="B13178" t="s">
        <v>2931</v>
      </c>
      <c r="C13178">
        <v>17286</v>
      </c>
      <c r="D13178" t="str">
        <f>"874         "</f>
        <v xml:space="preserve">874         </v>
      </c>
      <c r="E13178" t="s">
        <v>1370</v>
      </c>
      <c r="F13178" t="s">
        <v>1371</v>
      </c>
      <c r="G13178">
        <v>6212.25</v>
      </c>
      <c r="H13178">
        <v>251209</v>
      </c>
      <c r="I13178">
        <v>4440</v>
      </c>
      <c r="J13178" t="s">
        <v>346</v>
      </c>
      <c r="K13178">
        <v>6212.25</v>
      </c>
      <c r="L13178">
        <v>1262.25</v>
      </c>
      <c r="M13178">
        <v>18120</v>
      </c>
      <c r="N13178" t="s">
        <v>37</v>
      </c>
      <c r="O13178">
        <v>251219</v>
      </c>
      <c r="P13178">
        <v>4950</v>
      </c>
    </row>
    <row r="13179" spans="1:16" x14ac:dyDescent="0.25">
      <c r="A13179" t="s">
        <v>3296</v>
      </c>
      <c r="B13179" t="s">
        <v>2931</v>
      </c>
      <c r="C13179">
        <v>17348</v>
      </c>
      <c r="D13179" t="str">
        <f>"869         "</f>
        <v xml:space="preserve">869         </v>
      </c>
      <c r="E13179" t="s">
        <v>1370</v>
      </c>
      <c r="F13179" t="s">
        <v>1371</v>
      </c>
      <c r="G13179">
        <v>9111.2999999999993</v>
      </c>
      <c r="H13179">
        <v>251212</v>
      </c>
      <c r="I13179">
        <v>4440</v>
      </c>
      <c r="J13179" t="s">
        <v>346</v>
      </c>
      <c r="K13179">
        <v>9111.2999999999993</v>
      </c>
      <c r="L13179">
        <v>1851.3</v>
      </c>
      <c r="M13179">
        <v>18120</v>
      </c>
      <c r="N13179" t="s">
        <v>37</v>
      </c>
      <c r="O13179">
        <v>251219</v>
      </c>
      <c r="P13179">
        <v>7260</v>
      </c>
    </row>
    <row r="13180" spans="1:16" x14ac:dyDescent="0.25">
      <c r="A13180" t="s">
        <v>3296</v>
      </c>
      <c r="B13180" t="s">
        <v>2931</v>
      </c>
      <c r="C13180">
        <v>17368</v>
      </c>
      <c r="D13180" t="str">
        <f>"870         "</f>
        <v xml:space="preserve">870         </v>
      </c>
      <c r="E13180" t="s">
        <v>1370</v>
      </c>
      <c r="F13180" t="s">
        <v>1371</v>
      </c>
      <c r="G13180">
        <v>9036</v>
      </c>
      <c r="H13180">
        <v>251209</v>
      </c>
      <c r="I13180">
        <v>4440</v>
      </c>
      <c r="J13180" t="s">
        <v>346</v>
      </c>
      <c r="K13180">
        <v>9036</v>
      </c>
      <c r="L13180">
        <v>1836</v>
      </c>
      <c r="M13180">
        <v>18122</v>
      </c>
      <c r="N13180" t="s">
        <v>176</v>
      </c>
      <c r="O13180">
        <v>251219</v>
      </c>
      <c r="P13180">
        <v>7200</v>
      </c>
    </row>
    <row r="13181" spans="1:16" x14ac:dyDescent="0.25">
      <c r="A13181" t="s">
        <v>3296</v>
      </c>
      <c r="B13181" t="s">
        <v>2931</v>
      </c>
      <c r="C13181">
        <v>17527</v>
      </c>
      <c r="D13181" t="str">
        <f>"872         "</f>
        <v xml:space="preserve">872         </v>
      </c>
      <c r="E13181" t="s">
        <v>1370</v>
      </c>
      <c r="F13181" t="s">
        <v>1371</v>
      </c>
      <c r="G13181">
        <v>6933.88</v>
      </c>
      <c r="H13181">
        <v>251209</v>
      </c>
      <c r="I13181">
        <v>4440</v>
      </c>
      <c r="J13181" t="s">
        <v>346</v>
      </c>
      <c r="K13181">
        <v>6933.88</v>
      </c>
      <c r="L13181">
        <v>1408.88</v>
      </c>
      <c r="M13181">
        <v>18120</v>
      </c>
      <c r="N13181" t="s">
        <v>37</v>
      </c>
      <c r="O13181">
        <v>251222</v>
      </c>
      <c r="P13181">
        <v>5525</v>
      </c>
    </row>
    <row r="13182" spans="1:16" x14ac:dyDescent="0.25">
      <c r="A13182" t="s">
        <v>3296</v>
      </c>
      <c r="B13182" t="s">
        <v>2931</v>
      </c>
      <c r="C13182">
        <v>17533</v>
      </c>
      <c r="D13182" t="str">
        <f>"876         "</f>
        <v xml:space="preserve">876         </v>
      </c>
      <c r="E13182" t="s">
        <v>1370</v>
      </c>
      <c r="F13182" t="s">
        <v>1371</v>
      </c>
      <c r="G13182">
        <v>9939.6</v>
      </c>
      <c r="H13182">
        <v>251210</v>
      </c>
      <c r="I13182">
        <v>4440</v>
      </c>
      <c r="J13182" t="s">
        <v>346</v>
      </c>
      <c r="K13182">
        <v>9939.6</v>
      </c>
      <c r="L13182">
        <v>2019.6</v>
      </c>
      <c r="M13182">
        <v>18120</v>
      </c>
      <c r="N13182" t="s">
        <v>37</v>
      </c>
      <c r="O13182">
        <v>251222</v>
      </c>
      <c r="P13182">
        <v>7920</v>
      </c>
    </row>
    <row r="13183" spans="1:16" x14ac:dyDescent="0.25">
      <c r="A13183" t="s">
        <v>3296</v>
      </c>
      <c r="B13183" t="s">
        <v>2931</v>
      </c>
      <c r="C13183">
        <v>17535</v>
      </c>
      <c r="D13183" t="str">
        <f>"873         "</f>
        <v xml:space="preserve">873         </v>
      </c>
      <c r="E13183" t="s">
        <v>1370</v>
      </c>
      <c r="F13183" t="s">
        <v>1371</v>
      </c>
      <c r="G13183">
        <v>4279.55</v>
      </c>
      <c r="H13183">
        <v>251210</v>
      </c>
      <c r="I13183">
        <v>4440</v>
      </c>
      <c r="J13183" t="s">
        <v>346</v>
      </c>
      <c r="K13183">
        <v>4279.55</v>
      </c>
      <c r="L13183">
        <v>869.55</v>
      </c>
      <c r="M13183">
        <v>18120</v>
      </c>
      <c r="N13183" t="s">
        <v>37</v>
      </c>
      <c r="O13183">
        <v>251222</v>
      </c>
      <c r="P13183">
        <v>3410</v>
      </c>
    </row>
    <row r="13184" spans="1:16" x14ac:dyDescent="0.25">
      <c r="A13184" t="s">
        <v>3296</v>
      </c>
      <c r="B13184" t="s">
        <v>2931</v>
      </c>
      <c r="C13184">
        <v>17536</v>
      </c>
      <c r="D13184" t="str">
        <f>"871         "</f>
        <v xml:space="preserve">871         </v>
      </c>
      <c r="E13184" t="s">
        <v>1370</v>
      </c>
      <c r="F13184" t="s">
        <v>1371</v>
      </c>
      <c r="G13184">
        <v>2886.5</v>
      </c>
      <c r="H13184">
        <v>251209</v>
      </c>
      <c r="I13184">
        <v>4440</v>
      </c>
      <c r="J13184" t="s">
        <v>346</v>
      </c>
      <c r="K13184">
        <v>2886.5</v>
      </c>
      <c r="L13184">
        <v>586.5</v>
      </c>
      <c r="M13184">
        <v>18120</v>
      </c>
      <c r="N13184" t="s">
        <v>37</v>
      </c>
      <c r="O13184">
        <v>251222</v>
      </c>
      <c r="P13184">
        <v>2300</v>
      </c>
    </row>
    <row r="13185" spans="1:16" x14ac:dyDescent="0.25">
      <c r="A13185" t="s">
        <v>3296</v>
      </c>
      <c r="B13185" t="s">
        <v>2931</v>
      </c>
      <c r="C13185">
        <v>17581</v>
      </c>
      <c r="D13185" t="str">
        <f>"877         "</f>
        <v xml:space="preserve">877         </v>
      </c>
      <c r="E13185" t="s">
        <v>1370</v>
      </c>
      <c r="F13185" t="s">
        <v>1371</v>
      </c>
      <c r="G13185">
        <v>12123.3</v>
      </c>
      <c r="H13185">
        <v>251212</v>
      </c>
      <c r="I13185">
        <v>4440</v>
      </c>
      <c r="J13185" t="s">
        <v>346</v>
      </c>
      <c r="K13185">
        <v>12123.3</v>
      </c>
      <c r="L13185">
        <v>2463.3000000000002</v>
      </c>
      <c r="M13185">
        <v>18122</v>
      </c>
      <c r="N13185" t="s">
        <v>176</v>
      </c>
      <c r="O13185">
        <v>251222</v>
      </c>
      <c r="P13185">
        <v>9660</v>
      </c>
    </row>
    <row r="13186" spans="1:16" x14ac:dyDescent="0.25">
      <c r="A13186" t="s">
        <v>3296</v>
      </c>
      <c r="B13186" t="s">
        <v>2931</v>
      </c>
      <c r="C13186">
        <v>17614</v>
      </c>
      <c r="D13186" t="str">
        <f>"875         "</f>
        <v xml:space="preserve">875         </v>
      </c>
      <c r="E13186" t="s">
        <v>1370</v>
      </c>
      <c r="F13186" t="s">
        <v>1371</v>
      </c>
      <c r="G13186">
        <v>5176.88</v>
      </c>
      <c r="H13186">
        <v>251209</v>
      </c>
      <c r="I13186">
        <v>4440</v>
      </c>
      <c r="J13186" t="s">
        <v>346</v>
      </c>
      <c r="K13186">
        <v>5176.88</v>
      </c>
      <c r="L13186">
        <v>1051.8800000000001</v>
      </c>
      <c r="M13186">
        <v>18120</v>
      </c>
      <c r="N13186" t="s">
        <v>37</v>
      </c>
      <c r="O13186">
        <v>251223</v>
      </c>
      <c r="P13186">
        <v>4125</v>
      </c>
    </row>
    <row r="13187" spans="1:16" x14ac:dyDescent="0.25">
      <c r="A13187" t="s">
        <v>3296</v>
      </c>
      <c r="B13187" t="s">
        <v>2931</v>
      </c>
      <c r="C13187">
        <v>1820</v>
      </c>
      <c r="D13187" t="str">
        <f>"9570        "</f>
        <v xml:space="preserve">9570        </v>
      </c>
      <c r="E13187" t="s">
        <v>1133</v>
      </c>
      <c r="F13187" t="s">
        <v>1134</v>
      </c>
      <c r="G13187">
        <v>549.69000000000005</v>
      </c>
      <c r="H13187">
        <v>250211</v>
      </c>
      <c r="I13187">
        <v>4580</v>
      </c>
      <c r="J13187" t="s">
        <v>126</v>
      </c>
      <c r="K13187">
        <v>549.69000000000005</v>
      </c>
      <c r="L13187">
        <v>111.69</v>
      </c>
      <c r="M13187">
        <v>13801</v>
      </c>
      <c r="N13187" t="s">
        <v>33</v>
      </c>
      <c r="O13187">
        <v>250214</v>
      </c>
      <c r="P13187">
        <v>438</v>
      </c>
    </row>
    <row r="13188" spans="1:16" x14ac:dyDescent="0.25">
      <c r="A13188" t="s">
        <v>3296</v>
      </c>
      <c r="B13188" t="s">
        <v>2931</v>
      </c>
      <c r="C13188">
        <v>2875</v>
      </c>
      <c r="D13188" t="str">
        <f>"86442       "</f>
        <v xml:space="preserve">86442       </v>
      </c>
      <c r="E13188" t="s">
        <v>1376</v>
      </c>
      <c r="F13188" t="s">
        <v>1377</v>
      </c>
      <c r="G13188">
        <v>334.4</v>
      </c>
      <c r="H13188">
        <v>250225</v>
      </c>
      <c r="I13188">
        <v>4555</v>
      </c>
      <c r="J13188" t="s">
        <v>352</v>
      </c>
      <c r="K13188">
        <v>334.4</v>
      </c>
      <c r="L13188">
        <v>67.95</v>
      </c>
      <c r="M13188">
        <v>44453</v>
      </c>
      <c r="N13188" t="s">
        <v>100</v>
      </c>
      <c r="O13188">
        <v>250312</v>
      </c>
      <c r="P13188">
        <v>266.45</v>
      </c>
    </row>
    <row r="13189" spans="1:16" x14ac:dyDescent="0.25">
      <c r="A13189" t="s">
        <v>3296</v>
      </c>
      <c r="B13189" t="s">
        <v>2931</v>
      </c>
      <c r="C13189">
        <v>9294</v>
      </c>
      <c r="D13189" t="str">
        <f>"431895      "</f>
        <v xml:space="preserve">431895      </v>
      </c>
      <c r="E13189" t="s">
        <v>2116</v>
      </c>
      <c r="F13189" t="s">
        <v>2117</v>
      </c>
      <c r="G13189">
        <v>373.36</v>
      </c>
      <c r="H13189">
        <v>250624</v>
      </c>
      <c r="I13189">
        <v>4557</v>
      </c>
      <c r="J13189" t="s">
        <v>1152</v>
      </c>
      <c r="K13189">
        <v>373.36</v>
      </c>
      <c r="L13189">
        <v>75.86</v>
      </c>
      <c r="M13189">
        <v>66754</v>
      </c>
      <c r="N13189" t="s">
        <v>119</v>
      </c>
      <c r="O13189">
        <v>250702</v>
      </c>
      <c r="P13189">
        <v>297.5</v>
      </c>
    </row>
    <row r="13190" spans="1:16" x14ac:dyDescent="0.25">
      <c r="A13190" t="s">
        <v>3296</v>
      </c>
      <c r="B13190" t="s">
        <v>2931</v>
      </c>
      <c r="C13190">
        <v>13929</v>
      </c>
      <c r="D13190" t="str">
        <f>"432498      "</f>
        <v xml:space="preserve">432498      </v>
      </c>
      <c r="E13190" t="s">
        <v>2116</v>
      </c>
      <c r="F13190" t="s">
        <v>2117</v>
      </c>
      <c r="G13190">
        <v>1718.72</v>
      </c>
      <c r="H13190">
        <v>251014</v>
      </c>
      <c r="I13190">
        <v>4557</v>
      </c>
      <c r="J13190" t="s">
        <v>1152</v>
      </c>
      <c r="K13190">
        <v>4282.5600000000004</v>
      </c>
      <c r="L13190">
        <v>349.22</v>
      </c>
      <c r="M13190">
        <v>66754</v>
      </c>
      <c r="N13190" t="s">
        <v>119</v>
      </c>
      <c r="O13190">
        <v>251020</v>
      </c>
      <c r="P13190">
        <v>1369.5</v>
      </c>
    </row>
    <row r="13191" spans="1:16" x14ac:dyDescent="0.25">
      <c r="A13191" t="s">
        <v>3296</v>
      </c>
      <c r="B13191" t="s">
        <v>2931</v>
      </c>
      <c r="C13191">
        <v>13929</v>
      </c>
      <c r="D13191" t="str">
        <f>"432498      "</f>
        <v xml:space="preserve">432498      </v>
      </c>
      <c r="E13191" t="s">
        <v>2116</v>
      </c>
      <c r="F13191" t="s">
        <v>2117</v>
      </c>
      <c r="G13191">
        <v>2068.87</v>
      </c>
      <c r="H13191">
        <v>251014</v>
      </c>
      <c r="I13191">
        <v>4557</v>
      </c>
      <c r="J13191" t="s">
        <v>1152</v>
      </c>
      <c r="K13191">
        <v>4282.5600000000004</v>
      </c>
      <c r="L13191">
        <v>420.37</v>
      </c>
      <c r="M13191">
        <v>66754</v>
      </c>
      <c r="N13191" t="s">
        <v>119</v>
      </c>
      <c r="O13191">
        <v>251020</v>
      </c>
      <c r="P13191">
        <v>1648.5</v>
      </c>
    </row>
    <row r="13192" spans="1:16" x14ac:dyDescent="0.25">
      <c r="A13192" t="s">
        <v>3296</v>
      </c>
      <c r="B13192" t="s">
        <v>2931</v>
      </c>
      <c r="C13192">
        <v>13929</v>
      </c>
      <c r="D13192" t="str">
        <f>"432498      "</f>
        <v xml:space="preserve">432498      </v>
      </c>
      <c r="E13192" t="s">
        <v>2116</v>
      </c>
      <c r="F13192" t="s">
        <v>2117</v>
      </c>
      <c r="G13192">
        <v>494.97</v>
      </c>
      <c r="H13192">
        <v>251014</v>
      </c>
      <c r="I13192">
        <v>4600</v>
      </c>
      <c r="J13192" t="s">
        <v>278</v>
      </c>
      <c r="K13192">
        <v>4282.5600000000004</v>
      </c>
      <c r="L13192">
        <v>100.57</v>
      </c>
      <c r="M13192">
        <v>69501</v>
      </c>
      <c r="N13192" t="s">
        <v>123</v>
      </c>
      <c r="O13192">
        <v>251020</v>
      </c>
      <c r="P13192">
        <v>394.4</v>
      </c>
    </row>
    <row r="13193" spans="1:16" x14ac:dyDescent="0.25">
      <c r="A13193" t="s">
        <v>3296</v>
      </c>
      <c r="B13193" t="s">
        <v>2931</v>
      </c>
      <c r="C13193">
        <v>73</v>
      </c>
      <c r="D13193" t="str">
        <f>"14778       "</f>
        <v xml:space="preserve">14778       </v>
      </c>
      <c r="E13193" t="s">
        <v>2824</v>
      </c>
      <c r="F13193" t="s">
        <v>2825</v>
      </c>
      <c r="G13193">
        <v>941.25</v>
      </c>
      <c r="H13193">
        <v>250101</v>
      </c>
      <c r="I13193">
        <v>4346</v>
      </c>
      <c r="J13193" t="s">
        <v>334</v>
      </c>
      <c r="K13193">
        <v>9411.25</v>
      </c>
      <c r="L13193">
        <v>191.25</v>
      </c>
      <c r="M13193">
        <v>11501</v>
      </c>
      <c r="N13193" t="s">
        <v>13</v>
      </c>
      <c r="O13193">
        <v>250103</v>
      </c>
      <c r="P13193">
        <v>750</v>
      </c>
    </row>
    <row r="13194" spans="1:16" x14ac:dyDescent="0.25">
      <c r="A13194" t="s">
        <v>3296</v>
      </c>
      <c r="B13194" t="s">
        <v>2931</v>
      </c>
      <c r="C13194">
        <v>12229</v>
      </c>
      <c r="D13194" t="str">
        <f>"15250       "</f>
        <v xml:space="preserve">15250       </v>
      </c>
      <c r="E13194" t="s">
        <v>2824</v>
      </c>
      <c r="F13194" t="s">
        <v>2825</v>
      </c>
      <c r="G13194">
        <v>13070</v>
      </c>
      <c r="H13194">
        <v>250915</v>
      </c>
      <c r="I13194">
        <v>4346</v>
      </c>
      <c r="J13194" t="s">
        <v>334</v>
      </c>
      <c r="K13194">
        <v>13070</v>
      </c>
      <c r="L13194">
        <v>0</v>
      </c>
      <c r="M13194">
        <v>11101</v>
      </c>
      <c r="N13194" t="s">
        <v>67</v>
      </c>
      <c r="O13194">
        <v>250917</v>
      </c>
      <c r="P13194">
        <v>13070</v>
      </c>
    </row>
    <row r="13195" spans="1:16" x14ac:dyDescent="0.25">
      <c r="A13195" t="s">
        <v>3296</v>
      </c>
      <c r="B13195" t="s">
        <v>2931</v>
      </c>
      <c r="C13195">
        <v>17607</v>
      </c>
      <c r="D13195" t="str">
        <f>"15387       "</f>
        <v xml:space="preserve">15387       </v>
      </c>
      <c r="E13195" t="s">
        <v>2824</v>
      </c>
      <c r="F13195" t="s">
        <v>2825</v>
      </c>
      <c r="G13195">
        <v>15186.13</v>
      </c>
      <c r="H13195">
        <v>251217</v>
      </c>
      <c r="I13195">
        <v>4346</v>
      </c>
      <c r="J13195" t="s">
        <v>334</v>
      </c>
      <c r="K13195">
        <v>15186.13</v>
      </c>
      <c r="L13195">
        <v>3085.63</v>
      </c>
      <c r="M13195">
        <v>11101</v>
      </c>
      <c r="N13195" t="s">
        <v>67</v>
      </c>
      <c r="O13195">
        <v>251223</v>
      </c>
      <c r="P13195">
        <v>12100.5</v>
      </c>
    </row>
    <row r="13196" spans="1:16" x14ac:dyDescent="0.25">
      <c r="A13196" t="s">
        <v>3296</v>
      </c>
      <c r="B13196" t="s">
        <v>2931</v>
      </c>
      <c r="C13196">
        <v>73</v>
      </c>
      <c r="D13196" t="str">
        <f>"14778       "</f>
        <v xml:space="preserve">14778       </v>
      </c>
      <c r="E13196" t="s">
        <v>2824</v>
      </c>
      <c r="F13196" t="s">
        <v>2825</v>
      </c>
      <c r="G13196">
        <v>1411.57</v>
      </c>
      <c r="H13196">
        <v>250101</v>
      </c>
      <c r="I13196">
        <v>4370</v>
      </c>
      <c r="J13196" t="s">
        <v>198</v>
      </c>
      <c r="K13196">
        <v>9411.25</v>
      </c>
      <c r="L13196">
        <v>0</v>
      </c>
      <c r="M13196">
        <v>11501</v>
      </c>
      <c r="N13196" t="s">
        <v>13</v>
      </c>
      <c r="O13196">
        <v>250103</v>
      </c>
      <c r="P13196">
        <v>1411.57</v>
      </c>
    </row>
    <row r="13197" spans="1:16" x14ac:dyDescent="0.25">
      <c r="A13197" t="s">
        <v>3296</v>
      </c>
      <c r="B13197" t="s">
        <v>2931</v>
      </c>
      <c r="C13197">
        <v>2450</v>
      </c>
      <c r="D13197" t="str">
        <f>"1001001283  "</f>
        <v xml:space="preserve">1001001283  </v>
      </c>
      <c r="E13197" t="s">
        <v>1282</v>
      </c>
      <c r="F13197" t="s">
        <v>1283</v>
      </c>
      <c r="G13197">
        <v>549.51</v>
      </c>
      <c r="H13197">
        <v>250225</v>
      </c>
      <c r="I13197">
        <v>4400</v>
      </c>
      <c r="J13197" t="s">
        <v>162</v>
      </c>
      <c r="K13197">
        <v>549.51</v>
      </c>
      <c r="L13197">
        <v>111.65</v>
      </c>
      <c r="M13197">
        <v>17803</v>
      </c>
      <c r="N13197" t="s">
        <v>19</v>
      </c>
      <c r="O13197">
        <v>250227</v>
      </c>
      <c r="P13197">
        <v>437.86</v>
      </c>
    </row>
    <row r="13198" spans="1:16" x14ac:dyDescent="0.25">
      <c r="A13198" t="s">
        <v>3296</v>
      </c>
      <c r="B13198" t="s">
        <v>2931</v>
      </c>
      <c r="C13198">
        <v>6897</v>
      </c>
      <c r="D13198" t="str">
        <f>"250009      "</f>
        <v xml:space="preserve">250009      </v>
      </c>
      <c r="E13198" t="s">
        <v>1902</v>
      </c>
      <c r="F13198" t="s">
        <v>1903</v>
      </c>
      <c r="G13198">
        <v>502</v>
      </c>
      <c r="H13198">
        <v>250514</v>
      </c>
      <c r="I13198">
        <v>4842</v>
      </c>
      <c r="J13198" t="s">
        <v>15</v>
      </c>
      <c r="K13198">
        <v>502</v>
      </c>
      <c r="L13198">
        <v>102</v>
      </c>
      <c r="M13198">
        <v>13901</v>
      </c>
      <c r="N13198" t="s">
        <v>116</v>
      </c>
      <c r="O13198">
        <v>250520</v>
      </c>
      <c r="P13198">
        <v>400</v>
      </c>
    </row>
    <row r="13199" spans="1:16" x14ac:dyDescent="0.25">
      <c r="A13199" t="s">
        <v>3296</v>
      </c>
      <c r="B13199" t="s">
        <v>2931</v>
      </c>
      <c r="C13199">
        <v>4153</v>
      </c>
      <c r="D13199" t="str">
        <f>"1225        "</f>
        <v xml:space="preserve">1225        </v>
      </c>
      <c r="E13199" t="s">
        <v>1584</v>
      </c>
      <c r="F13199" t="s">
        <v>1585</v>
      </c>
      <c r="G13199">
        <v>175</v>
      </c>
      <c r="H13199">
        <v>250331</v>
      </c>
      <c r="I13199">
        <v>4412</v>
      </c>
      <c r="J13199" t="s">
        <v>884</v>
      </c>
      <c r="K13199">
        <v>350</v>
      </c>
      <c r="L13199">
        <v>21.49</v>
      </c>
      <c r="M13199">
        <v>41126</v>
      </c>
      <c r="N13199" t="s">
        <v>94</v>
      </c>
      <c r="O13199">
        <v>250408</v>
      </c>
      <c r="P13199">
        <v>153.51</v>
      </c>
    </row>
    <row r="13200" spans="1:16" x14ac:dyDescent="0.25">
      <c r="A13200" t="s">
        <v>3296</v>
      </c>
      <c r="B13200" t="s">
        <v>2931</v>
      </c>
      <c r="C13200">
        <v>4153</v>
      </c>
      <c r="D13200" t="str">
        <f>"1225        "</f>
        <v xml:space="preserve">1225        </v>
      </c>
      <c r="E13200" t="s">
        <v>1584</v>
      </c>
      <c r="F13200" t="s">
        <v>1585</v>
      </c>
      <c r="G13200">
        <v>175</v>
      </c>
      <c r="H13200">
        <v>250331</v>
      </c>
      <c r="I13200">
        <v>4412</v>
      </c>
      <c r="J13200" t="s">
        <v>884</v>
      </c>
      <c r="K13200">
        <v>350</v>
      </c>
      <c r="L13200">
        <v>21.49</v>
      </c>
      <c r="M13200">
        <v>46222</v>
      </c>
      <c r="N13200" t="s">
        <v>101</v>
      </c>
      <c r="O13200">
        <v>250408</v>
      </c>
      <c r="P13200">
        <v>153.51</v>
      </c>
    </row>
    <row r="13201" spans="1:16" x14ac:dyDescent="0.25">
      <c r="A13201" t="s">
        <v>3296</v>
      </c>
      <c r="B13201" t="s">
        <v>2931</v>
      </c>
      <c r="C13201">
        <v>3485</v>
      </c>
      <c r="D13201" t="str">
        <f>"6125030010  "</f>
        <v xml:space="preserve">6125030010  </v>
      </c>
      <c r="E13201" t="s">
        <v>1439</v>
      </c>
      <c r="F13201" t="s">
        <v>1440</v>
      </c>
      <c r="G13201">
        <v>490</v>
      </c>
      <c r="H13201">
        <v>250310</v>
      </c>
      <c r="I13201">
        <v>4420</v>
      </c>
      <c r="J13201" t="s">
        <v>330</v>
      </c>
      <c r="K13201">
        <v>490</v>
      </c>
      <c r="L13201">
        <v>60.18</v>
      </c>
      <c r="M13201">
        <v>67522</v>
      </c>
      <c r="N13201" t="s">
        <v>121</v>
      </c>
      <c r="O13201">
        <v>250324</v>
      </c>
      <c r="P13201">
        <v>429.82</v>
      </c>
    </row>
    <row r="13202" spans="1:16" x14ac:dyDescent="0.25">
      <c r="A13202" t="s">
        <v>3296</v>
      </c>
      <c r="B13202" t="s">
        <v>2931</v>
      </c>
      <c r="C13202">
        <v>6802</v>
      </c>
      <c r="D13202" t="str">
        <f>"6125050005  "</f>
        <v xml:space="preserve">6125050005  </v>
      </c>
      <c r="E13202" t="s">
        <v>1439</v>
      </c>
      <c r="F13202" t="s">
        <v>1440</v>
      </c>
      <c r="G13202">
        <v>98</v>
      </c>
      <c r="H13202">
        <v>250513</v>
      </c>
      <c r="I13202">
        <v>4420</v>
      </c>
      <c r="J13202" t="s">
        <v>330</v>
      </c>
      <c r="K13202">
        <v>490</v>
      </c>
      <c r="L13202">
        <v>12.04</v>
      </c>
      <c r="M13202">
        <v>66722</v>
      </c>
      <c r="N13202" t="s">
        <v>118</v>
      </c>
      <c r="O13202">
        <v>250516</v>
      </c>
      <c r="P13202">
        <v>85.96</v>
      </c>
    </row>
    <row r="13203" spans="1:16" x14ac:dyDescent="0.25">
      <c r="A13203" t="s">
        <v>3296</v>
      </c>
      <c r="B13203" t="s">
        <v>2931</v>
      </c>
      <c r="C13203">
        <v>6802</v>
      </c>
      <c r="D13203" t="str">
        <f>"6125050005  "</f>
        <v xml:space="preserve">6125050005  </v>
      </c>
      <c r="E13203" t="s">
        <v>1439</v>
      </c>
      <c r="F13203" t="s">
        <v>1440</v>
      </c>
      <c r="G13203">
        <v>196</v>
      </c>
      <c r="H13203">
        <v>250513</v>
      </c>
      <c r="I13203">
        <v>4420</v>
      </c>
      <c r="J13203" t="s">
        <v>330</v>
      </c>
      <c r="K13203">
        <v>490</v>
      </c>
      <c r="L13203">
        <v>24.07</v>
      </c>
      <c r="M13203">
        <v>66756</v>
      </c>
      <c r="N13203" t="s">
        <v>120</v>
      </c>
      <c r="O13203">
        <v>250516</v>
      </c>
      <c r="P13203">
        <v>171.93</v>
      </c>
    </row>
    <row r="13204" spans="1:16" x14ac:dyDescent="0.25">
      <c r="A13204" t="s">
        <v>3296</v>
      </c>
      <c r="B13204" t="s">
        <v>2931</v>
      </c>
      <c r="C13204">
        <v>6802</v>
      </c>
      <c r="D13204" t="str">
        <f>"6125050005  "</f>
        <v xml:space="preserve">6125050005  </v>
      </c>
      <c r="E13204" t="s">
        <v>1439</v>
      </c>
      <c r="F13204" t="s">
        <v>1440</v>
      </c>
      <c r="G13204">
        <v>196</v>
      </c>
      <c r="H13204">
        <v>250513</v>
      </c>
      <c r="I13204">
        <v>4420</v>
      </c>
      <c r="J13204" t="s">
        <v>330</v>
      </c>
      <c r="K13204">
        <v>490</v>
      </c>
      <c r="L13204">
        <v>24.07</v>
      </c>
      <c r="M13204">
        <v>67522</v>
      </c>
      <c r="N13204" t="s">
        <v>121</v>
      </c>
      <c r="O13204">
        <v>250516</v>
      </c>
      <c r="P13204">
        <v>171.93</v>
      </c>
    </row>
    <row r="13205" spans="1:16" x14ac:dyDescent="0.25">
      <c r="A13205" t="s">
        <v>3296</v>
      </c>
      <c r="B13205" t="s">
        <v>2931</v>
      </c>
      <c r="C13205">
        <v>11405</v>
      </c>
      <c r="D13205" t="str">
        <f>"6125090011  "</f>
        <v xml:space="preserve">6125090011  </v>
      </c>
      <c r="E13205" t="s">
        <v>1439</v>
      </c>
      <c r="F13205" t="s">
        <v>1440</v>
      </c>
      <c r="G13205">
        <v>460</v>
      </c>
      <c r="H13205">
        <v>250830</v>
      </c>
      <c r="I13205">
        <v>4420</v>
      </c>
      <c r="J13205" t="s">
        <v>330</v>
      </c>
      <c r="K13205">
        <v>460</v>
      </c>
      <c r="L13205">
        <v>56.49</v>
      </c>
      <c r="M13205">
        <v>11605</v>
      </c>
      <c r="N13205" t="s">
        <v>1066</v>
      </c>
      <c r="O13205">
        <v>250904</v>
      </c>
      <c r="P13205">
        <v>403.51</v>
      </c>
    </row>
    <row r="13206" spans="1:16" x14ac:dyDescent="0.25">
      <c r="A13206" t="s">
        <v>3296</v>
      </c>
      <c r="B13206" t="s">
        <v>2931</v>
      </c>
      <c r="C13206">
        <v>14199</v>
      </c>
      <c r="D13206" t="str">
        <f>"6125100020  "</f>
        <v xml:space="preserve">6125100020  </v>
      </c>
      <c r="E13206" t="s">
        <v>1439</v>
      </c>
      <c r="F13206" t="s">
        <v>1440</v>
      </c>
      <c r="G13206">
        <v>480</v>
      </c>
      <c r="H13206">
        <v>251016</v>
      </c>
      <c r="I13206">
        <v>4420</v>
      </c>
      <c r="J13206" t="s">
        <v>330</v>
      </c>
      <c r="K13206">
        <v>480</v>
      </c>
      <c r="L13206">
        <v>58.95</v>
      </c>
      <c r="M13206">
        <v>66756</v>
      </c>
      <c r="N13206" t="s">
        <v>120</v>
      </c>
      <c r="O13206">
        <v>251027</v>
      </c>
      <c r="P13206">
        <v>421.05</v>
      </c>
    </row>
    <row r="13207" spans="1:16" x14ac:dyDescent="0.25">
      <c r="A13207" t="s">
        <v>3296</v>
      </c>
      <c r="B13207" t="s">
        <v>2931</v>
      </c>
      <c r="C13207">
        <v>4846</v>
      </c>
      <c r="D13207" t="str">
        <f>"953         "</f>
        <v xml:space="preserve">953         </v>
      </c>
      <c r="E13207" t="s">
        <v>3061</v>
      </c>
      <c r="F13207" t="s">
        <v>3062</v>
      </c>
      <c r="G13207">
        <v>30</v>
      </c>
      <c r="H13207">
        <v>250407</v>
      </c>
      <c r="I13207">
        <v>4510</v>
      </c>
      <c r="J13207" t="s">
        <v>240</v>
      </c>
      <c r="K13207">
        <v>30</v>
      </c>
      <c r="L13207">
        <v>0</v>
      </c>
      <c r="M13207">
        <v>53222</v>
      </c>
      <c r="N13207" t="s">
        <v>41</v>
      </c>
      <c r="O13207">
        <v>250415</v>
      </c>
      <c r="P13207">
        <v>30</v>
      </c>
    </row>
    <row r="13208" spans="1:16" x14ac:dyDescent="0.25">
      <c r="A13208" t="s">
        <v>3296</v>
      </c>
      <c r="B13208" t="s">
        <v>2931</v>
      </c>
      <c r="C13208">
        <v>137</v>
      </c>
      <c r="D13208" t="str">
        <f>"52805       "</f>
        <v xml:space="preserve">52805       </v>
      </c>
      <c r="E13208" t="s">
        <v>253</v>
      </c>
      <c r="F13208" t="s">
        <v>254</v>
      </c>
      <c r="G13208">
        <v>1259.02</v>
      </c>
      <c r="H13208">
        <v>250101</v>
      </c>
      <c r="I13208">
        <v>4367</v>
      </c>
      <c r="J13208" t="s">
        <v>159</v>
      </c>
      <c r="K13208">
        <v>1259.02</v>
      </c>
      <c r="L13208">
        <v>255.82</v>
      </c>
      <c r="M13208">
        <v>13601</v>
      </c>
      <c r="N13208" t="s">
        <v>115</v>
      </c>
      <c r="O13208">
        <v>250113</v>
      </c>
      <c r="P13208">
        <v>1003.2</v>
      </c>
    </row>
    <row r="13209" spans="1:16" x14ac:dyDescent="0.25">
      <c r="A13209" t="s">
        <v>3296</v>
      </c>
      <c r="B13209" t="s">
        <v>2931</v>
      </c>
      <c r="C13209">
        <v>7531</v>
      </c>
      <c r="D13209" t="str">
        <f>"53043       "</f>
        <v xml:space="preserve">53043       </v>
      </c>
      <c r="E13209" t="s">
        <v>253</v>
      </c>
      <c r="F13209" t="s">
        <v>254</v>
      </c>
      <c r="G13209">
        <v>1215.5</v>
      </c>
      <c r="H13209">
        <v>250601</v>
      </c>
      <c r="I13209">
        <v>4367</v>
      </c>
      <c r="J13209" t="s">
        <v>159</v>
      </c>
      <c r="K13209">
        <v>1215.5</v>
      </c>
      <c r="L13209">
        <v>246.97</v>
      </c>
      <c r="M13209">
        <v>13601</v>
      </c>
      <c r="N13209" t="s">
        <v>115</v>
      </c>
      <c r="O13209">
        <v>250604</v>
      </c>
      <c r="P13209">
        <v>968.53</v>
      </c>
    </row>
    <row r="13210" spans="1:16" x14ac:dyDescent="0.25">
      <c r="A13210" t="s">
        <v>3296</v>
      </c>
      <c r="B13210" t="s">
        <v>2931</v>
      </c>
      <c r="C13210">
        <v>4319</v>
      </c>
      <c r="D13210" t="str">
        <f>"2025326     "</f>
        <v xml:space="preserve">2025326     </v>
      </c>
      <c r="E13210" t="s">
        <v>1616</v>
      </c>
      <c r="F13210" t="s">
        <v>1617</v>
      </c>
      <c r="G13210">
        <v>586.09</v>
      </c>
      <c r="H13210">
        <v>250403</v>
      </c>
      <c r="I13210">
        <v>4600</v>
      </c>
      <c r="J13210" t="s">
        <v>278</v>
      </c>
      <c r="K13210">
        <v>586.09</v>
      </c>
      <c r="L13210">
        <v>119.09</v>
      </c>
      <c r="M13210">
        <v>13801</v>
      </c>
      <c r="N13210" t="s">
        <v>33</v>
      </c>
      <c r="O13210">
        <v>250410</v>
      </c>
      <c r="P13210">
        <v>467</v>
      </c>
    </row>
    <row r="13211" spans="1:16" x14ac:dyDescent="0.25">
      <c r="A13211" t="s">
        <v>3296</v>
      </c>
      <c r="B13211" t="s">
        <v>2931</v>
      </c>
      <c r="C13211">
        <v>14138</v>
      </c>
      <c r="D13211" t="str">
        <f>"50320276    "</f>
        <v xml:space="preserve">50320276    </v>
      </c>
      <c r="E13211" t="s">
        <v>2483</v>
      </c>
      <c r="F13211" t="s">
        <v>2484</v>
      </c>
      <c r="G13211">
        <v>55</v>
      </c>
      <c r="H13211">
        <v>251022</v>
      </c>
      <c r="I13211">
        <v>4580</v>
      </c>
      <c r="J13211" t="s">
        <v>126</v>
      </c>
      <c r="K13211">
        <v>55</v>
      </c>
      <c r="L13211">
        <v>11.18</v>
      </c>
      <c r="M13211">
        <v>17531</v>
      </c>
      <c r="N13211" t="s">
        <v>145</v>
      </c>
      <c r="O13211">
        <v>251024</v>
      </c>
      <c r="P13211">
        <v>43.82</v>
      </c>
    </row>
    <row r="13212" spans="1:16" x14ac:dyDescent="0.25">
      <c r="A13212" t="s">
        <v>3296</v>
      </c>
      <c r="B13212" t="s">
        <v>2931</v>
      </c>
      <c r="C13212">
        <v>5817</v>
      </c>
      <c r="D13212" t="str">
        <f>"1001000713  "</f>
        <v xml:space="preserve">1001000713  </v>
      </c>
      <c r="E13212" t="s">
        <v>1801</v>
      </c>
      <c r="F13212" t="s">
        <v>1802</v>
      </c>
      <c r="G13212">
        <v>500</v>
      </c>
      <c r="H13212">
        <v>250427</v>
      </c>
      <c r="I13212">
        <v>4440</v>
      </c>
      <c r="J13212" t="s">
        <v>346</v>
      </c>
      <c r="K13212">
        <v>500</v>
      </c>
      <c r="L13212">
        <v>101.59</v>
      </c>
      <c r="M13212">
        <v>46555</v>
      </c>
      <c r="N13212" t="s">
        <v>103</v>
      </c>
      <c r="O13212">
        <v>250505</v>
      </c>
      <c r="P13212">
        <v>398.41</v>
      </c>
    </row>
    <row r="13213" spans="1:16" x14ac:dyDescent="0.25">
      <c r="A13213" t="s">
        <v>3296</v>
      </c>
      <c r="B13213" t="s">
        <v>2931</v>
      </c>
      <c r="C13213">
        <v>2240</v>
      </c>
      <c r="D13213" t="str">
        <f>"39458       "</f>
        <v xml:space="preserve">39458       </v>
      </c>
      <c r="E13213" t="s">
        <v>1228</v>
      </c>
      <c r="F13213" t="s">
        <v>1229</v>
      </c>
      <c r="G13213">
        <v>118.2</v>
      </c>
      <c r="H13213">
        <v>250219</v>
      </c>
      <c r="I13213">
        <v>4500</v>
      </c>
      <c r="J13213" t="s">
        <v>312</v>
      </c>
      <c r="K13213">
        <v>118.2</v>
      </c>
      <c r="L13213">
        <v>24.02</v>
      </c>
      <c r="M13213">
        <v>11903</v>
      </c>
      <c r="N13213" t="s">
        <v>32</v>
      </c>
      <c r="O13213">
        <v>250221</v>
      </c>
      <c r="P13213">
        <v>94.18</v>
      </c>
    </row>
    <row r="13214" spans="1:16" x14ac:dyDescent="0.25">
      <c r="A13214" t="s">
        <v>3296</v>
      </c>
      <c r="B13214" t="s">
        <v>2931</v>
      </c>
      <c r="C13214">
        <v>13139</v>
      </c>
      <c r="D13214" t="str">
        <f>"41831       "</f>
        <v xml:space="preserve">41831       </v>
      </c>
      <c r="E13214" t="s">
        <v>1228</v>
      </c>
      <c r="F13214" t="s">
        <v>1229</v>
      </c>
      <c r="G13214">
        <v>89.6</v>
      </c>
      <c r="H13214">
        <v>251004</v>
      </c>
      <c r="I13214">
        <v>4580</v>
      </c>
      <c r="J13214" t="s">
        <v>126</v>
      </c>
      <c r="K13214">
        <v>89.6</v>
      </c>
      <c r="L13214">
        <v>18.21</v>
      </c>
      <c r="M13214">
        <v>17531</v>
      </c>
      <c r="N13214" t="s">
        <v>145</v>
      </c>
      <c r="O13214">
        <v>251006</v>
      </c>
      <c r="P13214">
        <v>71.39</v>
      </c>
    </row>
    <row r="13215" spans="1:16" x14ac:dyDescent="0.25">
      <c r="A13215" t="s">
        <v>3296</v>
      </c>
      <c r="B13215" t="s">
        <v>2931</v>
      </c>
      <c r="C13215">
        <v>13142</v>
      </c>
      <c r="D13215" t="str">
        <f>"41830       "</f>
        <v xml:space="preserve">41830       </v>
      </c>
      <c r="E13215" t="s">
        <v>1228</v>
      </c>
      <c r="F13215" t="s">
        <v>1229</v>
      </c>
      <c r="G13215">
        <v>45</v>
      </c>
      <c r="H13215">
        <v>251004</v>
      </c>
      <c r="I13215">
        <v>4580</v>
      </c>
      <c r="J13215" t="s">
        <v>126</v>
      </c>
      <c r="K13215">
        <v>224.71</v>
      </c>
      <c r="L13215">
        <v>9.14</v>
      </c>
      <c r="M13215">
        <v>11903</v>
      </c>
      <c r="N13215" t="s">
        <v>32</v>
      </c>
      <c r="O13215">
        <v>251006</v>
      </c>
      <c r="P13215">
        <v>35.86</v>
      </c>
    </row>
    <row r="13216" spans="1:16" x14ac:dyDescent="0.25">
      <c r="A13216" t="s">
        <v>3296</v>
      </c>
      <c r="B13216" t="s">
        <v>2931</v>
      </c>
      <c r="C13216">
        <v>13142</v>
      </c>
      <c r="D13216" t="str">
        <f>"41830       "</f>
        <v xml:space="preserve">41830       </v>
      </c>
      <c r="E13216" t="s">
        <v>1228</v>
      </c>
      <c r="F13216" t="s">
        <v>1229</v>
      </c>
      <c r="G13216">
        <v>179.71</v>
      </c>
      <c r="H13216">
        <v>251004</v>
      </c>
      <c r="I13216">
        <v>4580</v>
      </c>
      <c r="J13216" t="s">
        <v>126</v>
      </c>
      <c r="K13216">
        <v>224.71</v>
      </c>
      <c r="L13216">
        <v>36.51</v>
      </c>
      <c r="M13216">
        <v>17532</v>
      </c>
      <c r="N13216" t="s">
        <v>146</v>
      </c>
      <c r="O13216">
        <v>251006</v>
      </c>
      <c r="P13216">
        <v>143.19999999999999</v>
      </c>
    </row>
    <row r="13217" spans="1:16" x14ac:dyDescent="0.25">
      <c r="A13217" t="s">
        <v>3296</v>
      </c>
      <c r="B13217" t="s">
        <v>2931</v>
      </c>
      <c r="C13217">
        <v>13388</v>
      </c>
      <c r="D13217" t="str">
        <f>"41814       "</f>
        <v xml:space="preserve">41814       </v>
      </c>
      <c r="E13217" t="s">
        <v>1228</v>
      </c>
      <c r="F13217" t="s">
        <v>1229</v>
      </c>
      <c r="G13217">
        <v>62</v>
      </c>
      <c r="H13217">
        <v>251004</v>
      </c>
      <c r="I13217">
        <v>4580</v>
      </c>
      <c r="J13217" t="s">
        <v>126</v>
      </c>
      <c r="K13217">
        <v>443.3</v>
      </c>
      <c r="L13217">
        <v>12.6</v>
      </c>
      <c r="M13217">
        <v>17533</v>
      </c>
      <c r="N13217" t="s">
        <v>147</v>
      </c>
      <c r="O13217">
        <v>251008</v>
      </c>
      <c r="P13217">
        <v>49.4</v>
      </c>
    </row>
    <row r="13218" spans="1:16" x14ac:dyDescent="0.25">
      <c r="A13218" t="s">
        <v>3296</v>
      </c>
      <c r="B13218" t="s">
        <v>2931</v>
      </c>
      <c r="C13218">
        <v>16944</v>
      </c>
      <c r="D13218" t="str">
        <f>"42688       "</f>
        <v xml:space="preserve">42688       </v>
      </c>
      <c r="E13218" t="s">
        <v>1228</v>
      </c>
      <c r="F13218" t="s">
        <v>1229</v>
      </c>
      <c r="G13218">
        <v>1596</v>
      </c>
      <c r="H13218">
        <v>251208</v>
      </c>
      <c r="I13218">
        <v>4580</v>
      </c>
      <c r="J13218" t="s">
        <v>126</v>
      </c>
      <c r="K13218">
        <v>1596</v>
      </c>
      <c r="L13218">
        <v>324.29000000000002</v>
      </c>
      <c r="M13218">
        <v>17533</v>
      </c>
      <c r="N13218" t="s">
        <v>147</v>
      </c>
      <c r="O13218">
        <v>251216</v>
      </c>
      <c r="P13218">
        <v>1271.71</v>
      </c>
    </row>
    <row r="13219" spans="1:16" x14ac:dyDescent="0.25">
      <c r="A13219" t="s">
        <v>3296</v>
      </c>
      <c r="B13219" t="s">
        <v>2931</v>
      </c>
      <c r="C13219">
        <v>15008</v>
      </c>
      <c r="D13219" t="str">
        <f>"42241       "</f>
        <v xml:space="preserve">42241       </v>
      </c>
      <c r="E13219" t="s">
        <v>1228</v>
      </c>
      <c r="F13219" t="s">
        <v>1229</v>
      </c>
      <c r="G13219">
        <v>15.8</v>
      </c>
      <c r="H13219">
        <v>251106</v>
      </c>
      <c r="I13219">
        <v>4590</v>
      </c>
      <c r="J13219" t="s">
        <v>388</v>
      </c>
      <c r="K13219">
        <v>15.8</v>
      </c>
      <c r="L13219">
        <v>3.21</v>
      </c>
      <c r="M13219">
        <v>56551</v>
      </c>
      <c r="N13219" t="s">
        <v>551</v>
      </c>
      <c r="O13219">
        <v>251110</v>
      </c>
      <c r="P13219">
        <v>12.59</v>
      </c>
    </row>
    <row r="13220" spans="1:16" x14ac:dyDescent="0.25">
      <c r="A13220" t="s">
        <v>3296</v>
      </c>
      <c r="B13220" t="s">
        <v>2931</v>
      </c>
      <c r="C13220">
        <v>17470</v>
      </c>
      <c r="D13220" t="str">
        <f>"42647       "</f>
        <v xml:space="preserve">42647       </v>
      </c>
      <c r="E13220" t="s">
        <v>1228</v>
      </c>
      <c r="F13220" t="s">
        <v>1229</v>
      </c>
      <c r="G13220">
        <v>45.4</v>
      </c>
      <c r="H13220">
        <v>251208</v>
      </c>
      <c r="I13220">
        <v>4590</v>
      </c>
      <c r="J13220" t="s">
        <v>388</v>
      </c>
      <c r="K13220">
        <v>45.4</v>
      </c>
      <c r="L13220">
        <v>9.2200000000000006</v>
      </c>
      <c r="M13220">
        <v>56551</v>
      </c>
      <c r="N13220" t="s">
        <v>551</v>
      </c>
      <c r="O13220">
        <v>251222</v>
      </c>
      <c r="P13220">
        <v>36.18</v>
      </c>
    </row>
    <row r="13221" spans="1:16" x14ac:dyDescent="0.25">
      <c r="A13221" t="s">
        <v>3296</v>
      </c>
      <c r="B13221" t="s">
        <v>2931</v>
      </c>
      <c r="C13221">
        <v>2330</v>
      </c>
      <c r="D13221" t="str">
        <f>"39443       "</f>
        <v xml:space="preserve">39443       </v>
      </c>
      <c r="E13221" t="s">
        <v>1228</v>
      </c>
      <c r="F13221" t="s">
        <v>1229</v>
      </c>
      <c r="G13221">
        <v>33.1</v>
      </c>
      <c r="H13221">
        <v>250219</v>
      </c>
      <c r="I13221">
        <v>4600</v>
      </c>
      <c r="J13221" t="s">
        <v>278</v>
      </c>
      <c r="K13221">
        <v>33.1</v>
      </c>
      <c r="L13221">
        <v>6.73</v>
      </c>
      <c r="M13221">
        <v>17647</v>
      </c>
      <c r="N13221" t="s">
        <v>907</v>
      </c>
      <c r="O13221">
        <v>250224</v>
      </c>
      <c r="P13221">
        <v>26.37</v>
      </c>
    </row>
    <row r="13222" spans="1:16" x14ac:dyDescent="0.25">
      <c r="A13222" t="s">
        <v>3296</v>
      </c>
      <c r="B13222" t="s">
        <v>2931</v>
      </c>
      <c r="C13222">
        <v>6069</v>
      </c>
      <c r="D13222" t="str">
        <f>"40322       "</f>
        <v xml:space="preserve">40322       </v>
      </c>
      <c r="E13222" t="s">
        <v>1228</v>
      </c>
      <c r="F13222" t="s">
        <v>1229</v>
      </c>
      <c r="G13222">
        <v>10</v>
      </c>
      <c r="H13222">
        <v>250430</v>
      </c>
      <c r="I13222">
        <v>4600</v>
      </c>
      <c r="J13222" t="s">
        <v>278</v>
      </c>
      <c r="K13222">
        <v>10</v>
      </c>
      <c r="L13222">
        <v>2.0299999999999998</v>
      </c>
      <c r="M13222">
        <v>17647</v>
      </c>
      <c r="N13222" t="s">
        <v>907</v>
      </c>
      <c r="O13222">
        <v>250508</v>
      </c>
      <c r="P13222">
        <v>7.97</v>
      </c>
    </row>
    <row r="13223" spans="1:16" x14ac:dyDescent="0.25">
      <c r="A13223" t="s">
        <v>3296</v>
      </c>
      <c r="B13223" t="s">
        <v>2931</v>
      </c>
      <c r="C13223">
        <v>13140</v>
      </c>
      <c r="D13223" t="str">
        <f>"41812       "</f>
        <v xml:space="preserve">41812       </v>
      </c>
      <c r="E13223" t="s">
        <v>1228</v>
      </c>
      <c r="F13223" t="s">
        <v>1229</v>
      </c>
      <c r="G13223">
        <v>35.299999999999997</v>
      </c>
      <c r="H13223">
        <v>251004</v>
      </c>
      <c r="I13223">
        <v>4600</v>
      </c>
      <c r="J13223" t="s">
        <v>278</v>
      </c>
      <c r="K13223">
        <v>35.299999999999997</v>
      </c>
      <c r="L13223">
        <v>7.17</v>
      </c>
      <c r="M13223">
        <v>17645</v>
      </c>
      <c r="N13223" t="s">
        <v>1561</v>
      </c>
      <c r="O13223">
        <v>251006</v>
      </c>
      <c r="P13223">
        <v>28.13</v>
      </c>
    </row>
    <row r="13224" spans="1:16" x14ac:dyDescent="0.25">
      <c r="A13224" t="s">
        <v>3296</v>
      </c>
      <c r="B13224" t="s">
        <v>2931</v>
      </c>
      <c r="C13224">
        <v>13141</v>
      </c>
      <c r="D13224" t="str">
        <f>"41810       "</f>
        <v xml:space="preserve">41810       </v>
      </c>
      <c r="E13224" t="s">
        <v>1228</v>
      </c>
      <c r="F13224" t="s">
        <v>1229</v>
      </c>
      <c r="G13224">
        <v>24.2</v>
      </c>
      <c r="H13224">
        <v>251004</v>
      </c>
      <c r="I13224">
        <v>4600</v>
      </c>
      <c r="J13224" t="s">
        <v>278</v>
      </c>
      <c r="K13224">
        <v>24.2</v>
      </c>
      <c r="L13224">
        <v>4.92</v>
      </c>
      <c r="M13224">
        <v>17646</v>
      </c>
      <c r="N13224" t="s">
        <v>848</v>
      </c>
      <c r="O13224">
        <v>251006</v>
      </c>
      <c r="P13224">
        <v>19.28</v>
      </c>
    </row>
    <row r="13225" spans="1:16" x14ac:dyDescent="0.25">
      <c r="A13225" t="s">
        <v>3296</v>
      </c>
      <c r="B13225" t="s">
        <v>2931</v>
      </c>
      <c r="C13225">
        <v>13388</v>
      </c>
      <c r="D13225" t="str">
        <f>"41814       "</f>
        <v xml:space="preserve">41814       </v>
      </c>
      <c r="E13225" t="s">
        <v>1228</v>
      </c>
      <c r="F13225" t="s">
        <v>1229</v>
      </c>
      <c r="G13225">
        <v>289.2</v>
      </c>
      <c r="H13225">
        <v>251004</v>
      </c>
      <c r="I13225">
        <v>4600</v>
      </c>
      <c r="J13225" t="s">
        <v>278</v>
      </c>
      <c r="K13225">
        <v>443.3</v>
      </c>
      <c r="L13225">
        <v>58.76</v>
      </c>
      <c r="M13225">
        <v>17533</v>
      </c>
      <c r="N13225" t="s">
        <v>147</v>
      </c>
      <c r="O13225">
        <v>251008</v>
      </c>
      <c r="P13225">
        <v>230.44</v>
      </c>
    </row>
    <row r="13226" spans="1:16" x14ac:dyDescent="0.25">
      <c r="A13226" t="s">
        <v>3296</v>
      </c>
      <c r="B13226" t="s">
        <v>2931</v>
      </c>
      <c r="C13226">
        <v>13388</v>
      </c>
      <c r="D13226" t="str">
        <f>"41814       "</f>
        <v xml:space="preserve">41814       </v>
      </c>
      <c r="E13226" t="s">
        <v>1228</v>
      </c>
      <c r="F13226" t="s">
        <v>1229</v>
      </c>
      <c r="G13226">
        <v>92.1</v>
      </c>
      <c r="H13226">
        <v>251004</v>
      </c>
      <c r="I13226">
        <v>4600</v>
      </c>
      <c r="J13226" t="s">
        <v>278</v>
      </c>
      <c r="K13226">
        <v>443.3</v>
      </c>
      <c r="L13226">
        <v>18.71</v>
      </c>
      <c r="M13226">
        <v>17649</v>
      </c>
      <c r="N13226" t="s">
        <v>2329</v>
      </c>
      <c r="O13226">
        <v>251008</v>
      </c>
      <c r="P13226">
        <v>73.39</v>
      </c>
    </row>
    <row r="13227" spans="1:16" x14ac:dyDescent="0.25">
      <c r="A13227" t="s">
        <v>3296</v>
      </c>
      <c r="B13227" t="s">
        <v>2931</v>
      </c>
      <c r="C13227">
        <v>13810</v>
      </c>
      <c r="D13227" t="str">
        <f>"41811       "</f>
        <v xml:space="preserve">41811       </v>
      </c>
      <c r="E13227" t="s">
        <v>1228</v>
      </c>
      <c r="F13227" t="s">
        <v>1229</v>
      </c>
      <c r="G13227">
        <v>164.8</v>
      </c>
      <c r="H13227">
        <v>251004</v>
      </c>
      <c r="I13227">
        <v>4600</v>
      </c>
      <c r="J13227" t="s">
        <v>278</v>
      </c>
      <c r="K13227">
        <v>524.70000000000005</v>
      </c>
      <c r="L13227">
        <v>33.49</v>
      </c>
      <c r="M13227">
        <v>17533</v>
      </c>
      <c r="N13227" t="s">
        <v>147</v>
      </c>
      <c r="O13227">
        <v>251020</v>
      </c>
      <c r="P13227">
        <v>131.31</v>
      </c>
    </row>
    <row r="13228" spans="1:16" x14ac:dyDescent="0.25">
      <c r="A13228" t="s">
        <v>3296</v>
      </c>
      <c r="B13228" t="s">
        <v>2931</v>
      </c>
      <c r="C13228">
        <v>13810</v>
      </c>
      <c r="D13228" t="str">
        <f>"41811       "</f>
        <v xml:space="preserve">41811       </v>
      </c>
      <c r="E13228" t="s">
        <v>1228</v>
      </c>
      <c r="F13228" t="s">
        <v>1229</v>
      </c>
      <c r="G13228">
        <v>359.9</v>
      </c>
      <c r="H13228">
        <v>251004</v>
      </c>
      <c r="I13228">
        <v>4600</v>
      </c>
      <c r="J13228" t="s">
        <v>278</v>
      </c>
      <c r="K13228">
        <v>524.70000000000005</v>
      </c>
      <c r="L13228">
        <v>73.13</v>
      </c>
      <c r="M13228">
        <v>17647</v>
      </c>
      <c r="N13228" t="s">
        <v>907</v>
      </c>
      <c r="O13228">
        <v>251020</v>
      </c>
      <c r="P13228">
        <v>286.77</v>
      </c>
    </row>
    <row r="13229" spans="1:16" x14ac:dyDescent="0.25">
      <c r="A13229" t="s">
        <v>3296</v>
      </c>
      <c r="B13229" t="s">
        <v>2931</v>
      </c>
      <c r="C13229">
        <v>15178</v>
      </c>
      <c r="D13229" t="str">
        <f>"42208       "</f>
        <v xml:space="preserve">42208       </v>
      </c>
      <c r="E13229" t="s">
        <v>1228</v>
      </c>
      <c r="F13229" t="s">
        <v>1229</v>
      </c>
      <c r="G13229">
        <v>25.48</v>
      </c>
      <c r="H13229">
        <v>251106</v>
      </c>
      <c r="I13229">
        <v>4600</v>
      </c>
      <c r="J13229" t="s">
        <v>278</v>
      </c>
      <c r="K13229">
        <v>25.48</v>
      </c>
      <c r="L13229">
        <v>5.18</v>
      </c>
      <c r="M13229">
        <v>17647</v>
      </c>
      <c r="N13229" t="s">
        <v>907</v>
      </c>
      <c r="O13229">
        <v>251113</v>
      </c>
      <c r="P13229">
        <v>20.3</v>
      </c>
    </row>
    <row r="13230" spans="1:16" x14ac:dyDescent="0.25">
      <c r="A13230" t="s">
        <v>3296</v>
      </c>
      <c r="B13230" t="s">
        <v>2931</v>
      </c>
      <c r="C13230">
        <v>17294</v>
      </c>
      <c r="D13230" t="str">
        <f>"42654       "</f>
        <v xml:space="preserve">42654       </v>
      </c>
      <c r="E13230" t="s">
        <v>1228</v>
      </c>
      <c r="F13230" t="s">
        <v>1229</v>
      </c>
      <c r="G13230">
        <v>73.87</v>
      </c>
      <c r="H13230">
        <v>251208</v>
      </c>
      <c r="I13230">
        <v>4600</v>
      </c>
      <c r="J13230" t="s">
        <v>278</v>
      </c>
      <c r="K13230">
        <v>73.87</v>
      </c>
      <c r="L13230">
        <v>15.01</v>
      </c>
      <c r="M13230">
        <v>56524</v>
      </c>
      <c r="N13230" t="s">
        <v>69</v>
      </c>
      <c r="O13230">
        <v>251219</v>
      </c>
      <c r="P13230">
        <v>58.86</v>
      </c>
    </row>
    <row r="13231" spans="1:16" x14ac:dyDescent="0.25">
      <c r="A13231" t="s">
        <v>3296</v>
      </c>
      <c r="B13231" t="s">
        <v>2931</v>
      </c>
      <c r="C13231">
        <v>17298</v>
      </c>
      <c r="D13231" t="str">
        <f>"42730       "</f>
        <v xml:space="preserve">42730       </v>
      </c>
      <c r="E13231" t="s">
        <v>1228</v>
      </c>
      <c r="F13231" t="s">
        <v>1229</v>
      </c>
      <c r="G13231">
        <v>67.7</v>
      </c>
      <c r="H13231">
        <v>251209</v>
      </c>
      <c r="I13231">
        <v>4600</v>
      </c>
      <c r="J13231" t="s">
        <v>278</v>
      </c>
      <c r="K13231">
        <v>67.7</v>
      </c>
      <c r="L13231">
        <v>13.76</v>
      </c>
      <c r="M13231">
        <v>56524</v>
      </c>
      <c r="N13231" t="s">
        <v>69</v>
      </c>
      <c r="O13231">
        <v>251219</v>
      </c>
      <c r="P13231">
        <v>53.94</v>
      </c>
    </row>
    <row r="13232" spans="1:16" x14ac:dyDescent="0.25">
      <c r="A13232" t="s">
        <v>3296</v>
      </c>
      <c r="B13232" t="s">
        <v>2931</v>
      </c>
      <c r="C13232">
        <v>9027</v>
      </c>
      <c r="D13232" t="str">
        <f>"380552      "</f>
        <v xml:space="preserve">380552      </v>
      </c>
      <c r="E13232" t="s">
        <v>2086</v>
      </c>
      <c r="F13232" t="s">
        <v>2087</v>
      </c>
      <c r="G13232">
        <v>125.02</v>
      </c>
      <c r="H13232">
        <v>250613</v>
      </c>
      <c r="I13232">
        <v>4367</v>
      </c>
      <c r="J13232" t="s">
        <v>159</v>
      </c>
      <c r="K13232">
        <v>225.9</v>
      </c>
      <c r="L13232">
        <v>25.4</v>
      </c>
      <c r="M13232">
        <v>17131</v>
      </c>
      <c r="N13232" t="s">
        <v>154</v>
      </c>
      <c r="O13232">
        <v>250626</v>
      </c>
      <c r="P13232">
        <v>99.62</v>
      </c>
    </row>
    <row r="13233" spans="1:16" x14ac:dyDescent="0.25">
      <c r="A13233" t="s">
        <v>3296</v>
      </c>
      <c r="B13233" t="s">
        <v>2931</v>
      </c>
      <c r="C13233">
        <v>1970</v>
      </c>
      <c r="D13233" t="str">
        <f>"144337706   "</f>
        <v xml:space="preserve">144337706   </v>
      </c>
      <c r="E13233" t="s">
        <v>575</v>
      </c>
      <c r="F13233" t="s">
        <v>576</v>
      </c>
      <c r="G13233">
        <v>59.4</v>
      </c>
      <c r="H13233">
        <v>250128</v>
      </c>
      <c r="I13233">
        <v>4400</v>
      </c>
      <c r="J13233" t="s">
        <v>162</v>
      </c>
      <c r="K13233">
        <v>59.4</v>
      </c>
      <c r="L13233">
        <v>12.07</v>
      </c>
      <c r="M13233">
        <v>49501</v>
      </c>
      <c r="N13233" t="s">
        <v>110</v>
      </c>
      <c r="O13233">
        <v>250218</v>
      </c>
      <c r="P13233">
        <v>47.33</v>
      </c>
    </row>
    <row r="13234" spans="1:16" x14ac:dyDescent="0.25">
      <c r="A13234" t="s">
        <v>3296</v>
      </c>
      <c r="B13234" t="s">
        <v>2931</v>
      </c>
      <c r="C13234">
        <v>2929</v>
      </c>
      <c r="D13234" t="str">
        <f>"144467316   "</f>
        <v xml:space="preserve">144467316   </v>
      </c>
      <c r="E13234" t="s">
        <v>575</v>
      </c>
      <c r="F13234" t="s">
        <v>576</v>
      </c>
      <c r="G13234">
        <v>142.72999999999999</v>
      </c>
      <c r="H13234">
        <v>250212</v>
      </c>
      <c r="I13234">
        <v>4400</v>
      </c>
      <c r="J13234" t="s">
        <v>162</v>
      </c>
      <c r="K13234">
        <v>142.72999999999999</v>
      </c>
      <c r="L13234">
        <v>29</v>
      </c>
      <c r="M13234">
        <v>49501</v>
      </c>
      <c r="N13234" t="s">
        <v>110</v>
      </c>
      <c r="O13234">
        <v>250313</v>
      </c>
      <c r="P13234">
        <v>113.73</v>
      </c>
    </row>
    <row r="13235" spans="1:16" x14ac:dyDescent="0.25">
      <c r="A13235" t="s">
        <v>3296</v>
      </c>
      <c r="B13235" t="s">
        <v>2931</v>
      </c>
      <c r="C13235">
        <v>6831</v>
      </c>
      <c r="D13235" t="str">
        <f>"145053249   "</f>
        <v xml:space="preserve">145053249   </v>
      </c>
      <c r="E13235" t="s">
        <v>575</v>
      </c>
      <c r="F13235" t="s">
        <v>576</v>
      </c>
      <c r="G13235">
        <v>54.28</v>
      </c>
      <c r="H13235">
        <v>250428</v>
      </c>
      <c r="I13235">
        <v>4400</v>
      </c>
      <c r="J13235" t="s">
        <v>162</v>
      </c>
      <c r="K13235">
        <v>414.09</v>
      </c>
      <c r="L13235">
        <v>11.03</v>
      </c>
      <c r="M13235">
        <v>17803</v>
      </c>
      <c r="N13235" t="s">
        <v>19</v>
      </c>
      <c r="O13235">
        <v>250519</v>
      </c>
      <c r="P13235">
        <v>43.25</v>
      </c>
    </row>
    <row r="13236" spans="1:16" x14ac:dyDescent="0.25">
      <c r="A13236" t="s">
        <v>3296</v>
      </c>
      <c r="B13236" t="s">
        <v>2931</v>
      </c>
      <c r="C13236">
        <v>2591</v>
      </c>
      <c r="D13236" t="str">
        <f>"144384416   "</f>
        <v xml:space="preserve">144384416   </v>
      </c>
      <c r="E13236" t="s">
        <v>575</v>
      </c>
      <c r="F13236" t="s">
        <v>576</v>
      </c>
      <c r="G13236">
        <v>284.43</v>
      </c>
      <c r="H13236">
        <v>250203</v>
      </c>
      <c r="I13236">
        <v>4580</v>
      </c>
      <c r="J13236" t="s">
        <v>126</v>
      </c>
      <c r="K13236">
        <v>284.43</v>
      </c>
      <c r="L13236">
        <v>57.79</v>
      </c>
      <c r="M13236">
        <v>49501</v>
      </c>
      <c r="N13236" t="s">
        <v>110</v>
      </c>
      <c r="O13236">
        <v>250306</v>
      </c>
      <c r="P13236">
        <v>226.64</v>
      </c>
    </row>
    <row r="13237" spans="1:16" x14ac:dyDescent="0.25">
      <c r="A13237" t="s">
        <v>3296</v>
      </c>
      <c r="B13237" t="s">
        <v>2931</v>
      </c>
      <c r="C13237">
        <v>13151</v>
      </c>
      <c r="D13237" t="str">
        <f>"146300323   "</f>
        <v xml:space="preserve">146300323   </v>
      </c>
      <c r="E13237" t="s">
        <v>575</v>
      </c>
      <c r="F13237" t="s">
        <v>576</v>
      </c>
      <c r="G13237">
        <v>391.77</v>
      </c>
      <c r="H13237">
        <v>250924</v>
      </c>
      <c r="I13237">
        <v>4580</v>
      </c>
      <c r="J13237" t="s">
        <v>126</v>
      </c>
      <c r="K13237">
        <v>391.77</v>
      </c>
      <c r="L13237">
        <v>79.599999999999994</v>
      </c>
      <c r="M13237">
        <v>17805</v>
      </c>
      <c r="N13237" t="s">
        <v>21</v>
      </c>
      <c r="O13237">
        <v>251006</v>
      </c>
      <c r="P13237">
        <v>312.17</v>
      </c>
    </row>
    <row r="13238" spans="1:16" x14ac:dyDescent="0.25">
      <c r="A13238" t="s">
        <v>3296</v>
      </c>
      <c r="B13238" t="s">
        <v>2931</v>
      </c>
      <c r="C13238">
        <v>16733</v>
      </c>
      <c r="D13238" t="str">
        <f>"146913953   "</f>
        <v xml:space="preserve">146913953   </v>
      </c>
      <c r="E13238" t="s">
        <v>575</v>
      </c>
      <c r="F13238" t="s">
        <v>576</v>
      </c>
      <c r="G13238">
        <v>117.03</v>
      </c>
      <c r="H13238">
        <v>251125</v>
      </c>
      <c r="I13238">
        <v>4580</v>
      </c>
      <c r="J13238" t="s">
        <v>126</v>
      </c>
      <c r="K13238">
        <v>117.03</v>
      </c>
      <c r="L13238">
        <v>23.78</v>
      </c>
      <c r="M13238">
        <v>17806</v>
      </c>
      <c r="N13238" t="s">
        <v>22</v>
      </c>
      <c r="O13238">
        <v>251211</v>
      </c>
      <c r="P13238">
        <v>93.25</v>
      </c>
    </row>
    <row r="13239" spans="1:16" x14ac:dyDescent="0.25">
      <c r="A13239" t="s">
        <v>3296</v>
      </c>
      <c r="B13239" t="s">
        <v>2931</v>
      </c>
      <c r="C13239">
        <v>16805</v>
      </c>
      <c r="D13239" t="str">
        <f>"146983726   "</f>
        <v xml:space="preserve">146983726   </v>
      </c>
      <c r="E13239" t="s">
        <v>575</v>
      </c>
      <c r="F13239" t="s">
        <v>576</v>
      </c>
      <c r="G13239">
        <v>259.64999999999998</v>
      </c>
      <c r="H13239">
        <v>251202</v>
      </c>
      <c r="I13239">
        <v>4580</v>
      </c>
      <c r="J13239" t="s">
        <v>126</v>
      </c>
      <c r="K13239">
        <v>259.64999999999998</v>
      </c>
      <c r="L13239">
        <v>52.76</v>
      </c>
      <c r="M13239">
        <v>17805</v>
      </c>
      <c r="N13239" t="s">
        <v>21</v>
      </c>
      <c r="O13239">
        <v>251212</v>
      </c>
      <c r="P13239">
        <v>206.89</v>
      </c>
    </row>
    <row r="13240" spans="1:16" x14ac:dyDescent="0.25">
      <c r="A13240" t="s">
        <v>3296</v>
      </c>
      <c r="B13240" t="s">
        <v>2931</v>
      </c>
      <c r="C13240">
        <v>16807</v>
      </c>
      <c r="D13240" t="str">
        <f>"146998235   "</f>
        <v xml:space="preserve">146998235   </v>
      </c>
      <c r="E13240" t="s">
        <v>575</v>
      </c>
      <c r="F13240" t="s">
        <v>576</v>
      </c>
      <c r="G13240">
        <v>35.1</v>
      </c>
      <c r="H13240">
        <v>251203</v>
      </c>
      <c r="I13240">
        <v>4580</v>
      </c>
      <c r="J13240" t="s">
        <v>126</v>
      </c>
      <c r="K13240">
        <v>35.1</v>
      </c>
      <c r="L13240">
        <v>7.13</v>
      </c>
      <c r="M13240">
        <v>17809</v>
      </c>
      <c r="N13240" t="s">
        <v>25</v>
      </c>
      <c r="O13240">
        <v>251212</v>
      </c>
      <c r="P13240">
        <v>27.97</v>
      </c>
    </row>
    <row r="13241" spans="1:16" x14ac:dyDescent="0.25">
      <c r="A13241" t="s">
        <v>3296</v>
      </c>
      <c r="B13241" t="s">
        <v>2931</v>
      </c>
      <c r="C13241">
        <v>16811</v>
      </c>
      <c r="D13241" t="str">
        <f>"146998234   "</f>
        <v xml:space="preserve">146998234   </v>
      </c>
      <c r="E13241" t="s">
        <v>575</v>
      </c>
      <c r="F13241" t="s">
        <v>576</v>
      </c>
      <c r="G13241">
        <v>1097.3599999999999</v>
      </c>
      <c r="H13241">
        <v>251203</v>
      </c>
      <c r="I13241">
        <v>4580</v>
      </c>
      <c r="J13241" t="s">
        <v>126</v>
      </c>
      <c r="K13241">
        <v>1097.3599999999999</v>
      </c>
      <c r="L13241">
        <v>222.97</v>
      </c>
      <c r="M13241">
        <v>17809</v>
      </c>
      <c r="N13241" t="s">
        <v>25</v>
      </c>
      <c r="O13241">
        <v>251212</v>
      </c>
      <c r="P13241">
        <v>874.39</v>
      </c>
    </row>
    <row r="13242" spans="1:16" x14ac:dyDescent="0.25">
      <c r="A13242" t="s">
        <v>3296</v>
      </c>
      <c r="B13242" t="s">
        <v>2931</v>
      </c>
      <c r="C13242">
        <v>3902</v>
      </c>
      <c r="D13242" t="str">
        <f>"144623851   "</f>
        <v xml:space="preserve">144623851   </v>
      </c>
      <c r="E13242" t="s">
        <v>575</v>
      </c>
      <c r="F13242" t="s">
        <v>576</v>
      </c>
      <c r="G13242">
        <v>124.31</v>
      </c>
      <c r="H13242">
        <v>250304</v>
      </c>
      <c r="I13242">
        <v>4590</v>
      </c>
      <c r="J13242" t="s">
        <v>388</v>
      </c>
      <c r="K13242">
        <v>124.31</v>
      </c>
      <c r="L13242">
        <v>25.26</v>
      </c>
      <c r="M13242">
        <v>49501</v>
      </c>
      <c r="N13242" t="s">
        <v>110</v>
      </c>
      <c r="O13242">
        <v>250403</v>
      </c>
      <c r="P13242">
        <v>99.05</v>
      </c>
    </row>
    <row r="13243" spans="1:16" x14ac:dyDescent="0.25">
      <c r="A13243" t="s">
        <v>3296</v>
      </c>
      <c r="B13243" t="s">
        <v>2931</v>
      </c>
      <c r="C13243">
        <v>5225</v>
      </c>
      <c r="D13243" t="str">
        <f>"144821440   "</f>
        <v xml:space="preserve">144821440   </v>
      </c>
      <c r="E13243" t="s">
        <v>575</v>
      </c>
      <c r="F13243" t="s">
        <v>576</v>
      </c>
      <c r="G13243">
        <v>10.5</v>
      </c>
      <c r="H13243">
        <v>250327</v>
      </c>
      <c r="I13243">
        <v>4590</v>
      </c>
      <c r="J13243" t="s">
        <v>388</v>
      </c>
      <c r="K13243">
        <v>10.5</v>
      </c>
      <c r="L13243">
        <v>2.13</v>
      </c>
      <c r="M13243">
        <v>56561</v>
      </c>
      <c r="N13243" t="s">
        <v>53</v>
      </c>
      <c r="O13243">
        <v>250422</v>
      </c>
      <c r="P13243">
        <v>8.3699999999999992</v>
      </c>
    </row>
    <row r="13244" spans="1:16" x14ac:dyDescent="0.25">
      <c r="A13244" t="s">
        <v>3296</v>
      </c>
      <c r="B13244" t="s">
        <v>2931</v>
      </c>
      <c r="C13244">
        <v>6833</v>
      </c>
      <c r="D13244" t="str">
        <f>"145111182   "</f>
        <v xml:space="preserve">145111182   </v>
      </c>
      <c r="E13244" t="s">
        <v>575</v>
      </c>
      <c r="F13244" t="s">
        <v>576</v>
      </c>
      <c r="G13244">
        <v>698.14</v>
      </c>
      <c r="H13244">
        <v>250506</v>
      </c>
      <c r="I13244">
        <v>4590</v>
      </c>
      <c r="J13244" t="s">
        <v>388</v>
      </c>
      <c r="K13244">
        <v>698.14</v>
      </c>
      <c r="L13244">
        <v>141.85</v>
      </c>
      <c r="M13244">
        <v>66756</v>
      </c>
      <c r="N13244" t="s">
        <v>120</v>
      </c>
      <c r="O13244">
        <v>250519</v>
      </c>
      <c r="P13244">
        <v>556.29</v>
      </c>
    </row>
    <row r="13245" spans="1:16" x14ac:dyDescent="0.25">
      <c r="A13245" t="s">
        <v>3296</v>
      </c>
      <c r="B13245" t="s">
        <v>2931</v>
      </c>
      <c r="C13245">
        <v>8727</v>
      </c>
      <c r="D13245" t="str">
        <f>"145334479   "</f>
        <v xml:space="preserve">145334479   </v>
      </c>
      <c r="E13245" t="s">
        <v>575</v>
      </c>
      <c r="F13245" t="s">
        <v>576</v>
      </c>
      <c r="G13245">
        <v>299.02999999999997</v>
      </c>
      <c r="H13245">
        <v>250602</v>
      </c>
      <c r="I13245">
        <v>4590</v>
      </c>
      <c r="J13245" t="s">
        <v>388</v>
      </c>
      <c r="K13245">
        <v>299.02999999999997</v>
      </c>
      <c r="L13245">
        <v>60.76</v>
      </c>
      <c r="M13245">
        <v>49501</v>
      </c>
      <c r="N13245" t="s">
        <v>110</v>
      </c>
      <c r="O13245">
        <v>250617</v>
      </c>
      <c r="P13245">
        <v>238.27</v>
      </c>
    </row>
    <row r="13246" spans="1:16" x14ac:dyDescent="0.25">
      <c r="A13246" t="s">
        <v>3296</v>
      </c>
      <c r="B13246" t="s">
        <v>2931</v>
      </c>
      <c r="C13246">
        <v>13770</v>
      </c>
      <c r="D13246" t="str">
        <f>"146175156   "</f>
        <v xml:space="preserve">146175156   </v>
      </c>
      <c r="E13246" t="s">
        <v>575</v>
      </c>
      <c r="F13246" t="s">
        <v>576</v>
      </c>
      <c r="G13246">
        <v>240.16</v>
      </c>
      <c r="H13246">
        <v>251001</v>
      </c>
      <c r="I13246">
        <v>4590</v>
      </c>
      <c r="J13246" t="s">
        <v>388</v>
      </c>
      <c r="K13246">
        <v>1060.17</v>
      </c>
      <c r="L13246">
        <v>48.8</v>
      </c>
      <c r="M13246">
        <v>17951</v>
      </c>
      <c r="N13246" t="s">
        <v>207</v>
      </c>
      <c r="O13246">
        <v>251020</v>
      </c>
      <c r="P13246">
        <v>191.36</v>
      </c>
    </row>
    <row r="13247" spans="1:16" x14ac:dyDescent="0.25">
      <c r="A13247" t="s">
        <v>3296</v>
      </c>
      <c r="B13247" t="s">
        <v>2931</v>
      </c>
      <c r="C13247">
        <v>13770</v>
      </c>
      <c r="D13247" t="str">
        <f>"146175156   "</f>
        <v xml:space="preserve">146175156   </v>
      </c>
      <c r="E13247" t="s">
        <v>575</v>
      </c>
      <c r="F13247" t="s">
        <v>576</v>
      </c>
      <c r="G13247">
        <v>420.01</v>
      </c>
      <c r="H13247">
        <v>251001</v>
      </c>
      <c r="I13247">
        <v>4590</v>
      </c>
      <c r="J13247" t="s">
        <v>388</v>
      </c>
      <c r="K13247">
        <v>1060.17</v>
      </c>
      <c r="L13247">
        <v>85.34</v>
      </c>
      <c r="M13247">
        <v>17951</v>
      </c>
      <c r="N13247" t="s">
        <v>207</v>
      </c>
      <c r="O13247">
        <v>251020</v>
      </c>
      <c r="P13247">
        <v>334.67</v>
      </c>
    </row>
    <row r="13248" spans="1:16" x14ac:dyDescent="0.25">
      <c r="A13248" t="s">
        <v>3296</v>
      </c>
      <c r="B13248" t="s">
        <v>2931</v>
      </c>
      <c r="C13248">
        <v>538</v>
      </c>
      <c r="D13248" t="str">
        <f>"144239955   "</f>
        <v xml:space="preserve">144239955   </v>
      </c>
      <c r="E13248" t="s">
        <v>575</v>
      </c>
      <c r="F13248" t="s">
        <v>576</v>
      </c>
      <c r="G13248">
        <v>232.46</v>
      </c>
      <c r="H13248">
        <v>250116</v>
      </c>
      <c r="I13248">
        <v>4600</v>
      </c>
      <c r="J13248" t="s">
        <v>278</v>
      </c>
      <c r="K13248">
        <v>232.46</v>
      </c>
      <c r="L13248">
        <v>47.23</v>
      </c>
      <c r="M13248">
        <v>56560</v>
      </c>
      <c r="N13248" t="s">
        <v>52</v>
      </c>
      <c r="O13248">
        <v>250123</v>
      </c>
      <c r="P13248">
        <v>185.23</v>
      </c>
    </row>
    <row r="13249" spans="1:16" x14ac:dyDescent="0.25">
      <c r="A13249" t="s">
        <v>3296</v>
      </c>
      <c r="B13249" t="s">
        <v>2931</v>
      </c>
      <c r="C13249">
        <v>881</v>
      </c>
      <c r="D13249" t="str">
        <f>"144275833   "</f>
        <v xml:space="preserve">144275833   </v>
      </c>
      <c r="E13249" t="s">
        <v>575</v>
      </c>
      <c r="F13249" t="s">
        <v>576</v>
      </c>
      <c r="G13249">
        <v>19.39</v>
      </c>
      <c r="H13249">
        <v>250121</v>
      </c>
      <c r="I13249">
        <v>4600</v>
      </c>
      <c r="J13249" t="s">
        <v>278</v>
      </c>
      <c r="K13249">
        <v>19.39</v>
      </c>
      <c r="L13249">
        <v>3.94</v>
      </c>
      <c r="M13249">
        <v>17809</v>
      </c>
      <c r="N13249" t="s">
        <v>25</v>
      </c>
      <c r="O13249">
        <v>250130</v>
      </c>
      <c r="P13249">
        <v>15.45</v>
      </c>
    </row>
    <row r="13250" spans="1:16" x14ac:dyDescent="0.25">
      <c r="A13250" t="s">
        <v>3296</v>
      </c>
      <c r="B13250" t="s">
        <v>2931</v>
      </c>
      <c r="C13250">
        <v>882</v>
      </c>
      <c r="D13250" t="str">
        <f>"144275834   "</f>
        <v xml:space="preserve">144275834   </v>
      </c>
      <c r="E13250" t="s">
        <v>575</v>
      </c>
      <c r="F13250" t="s">
        <v>576</v>
      </c>
      <c r="G13250">
        <v>103.8</v>
      </c>
      <c r="H13250">
        <v>250121</v>
      </c>
      <c r="I13250">
        <v>4600</v>
      </c>
      <c r="J13250" t="s">
        <v>278</v>
      </c>
      <c r="K13250">
        <v>103.8</v>
      </c>
      <c r="L13250">
        <v>21.09</v>
      </c>
      <c r="M13250">
        <v>17809</v>
      </c>
      <c r="N13250" t="s">
        <v>25</v>
      </c>
      <c r="O13250">
        <v>250130</v>
      </c>
      <c r="P13250">
        <v>82.71</v>
      </c>
    </row>
    <row r="13251" spans="1:16" x14ac:dyDescent="0.25">
      <c r="A13251" t="s">
        <v>3296</v>
      </c>
      <c r="B13251" t="s">
        <v>2931</v>
      </c>
      <c r="C13251">
        <v>1944</v>
      </c>
      <c r="D13251" t="str">
        <f>"144252261   "</f>
        <v xml:space="preserve">144252261   </v>
      </c>
      <c r="E13251" t="s">
        <v>575</v>
      </c>
      <c r="F13251" t="s">
        <v>576</v>
      </c>
      <c r="G13251">
        <v>642.41999999999996</v>
      </c>
      <c r="H13251">
        <v>250117</v>
      </c>
      <c r="I13251">
        <v>4600</v>
      </c>
      <c r="J13251" t="s">
        <v>278</v>
      </c>
      <c r="K13251">
        <v>642.41999999999996</v>
      </c>
      <c r="L13251">
        <v>130.53</v>
      </c>
      <c r="M13251">
        <v>56560</v>
      </c>
      <c r="N13251" t="s">
        <v>52</v>
      </c>
      <c r="O13251">
        <v>250218</v>
      </c>
      <c r="P13251">
        <v>511.89</v>
      </c>
    </row>
    <row r="13252" spans="1:16" x14ac:dyDescent="0.25">
      <c r="A13252" t="s">
        <v>3296</v>
      </c>
      <c r="B13252" t="s">
        <v>2931</v>
      </c>
      <c r="C13252">
        <v>2405</v>
      </c>
      <c r="D13252" t="str">
        <f>"144443098   "</f>
        <v xml:space="preserve">144443098   </v>
      </c>
      <c r="E13252" t="s">
        <v>575</v>
      </c>
      <c r="F13252" t="s">
        <v>576</v>
      </c>
      <c r="G13252">
        <v>1238.32</v>
      </c>
      <c r="H13252">
        <v>250210</v>
      </c>
      <c r="I13252">
        <v>4600</v>
      </c>
      <c r="J13252" t="s">
        <v>278</v>
      </c>
      <c r="K13252">
        <v>1238.32</v>
      </c>
      <c r="L13252">
        <v>251.61</v>
      </c>
      <c r="M13252">
        <v>56560</v>
      </c>
      <c r="N13252" t="s">
        <v>52</v>
      </c>
      <c r="O13252">
        <v>250225</v>
      </c>
      <c r="P13252">
        <v>986.71</v>
      </c>
    </row>
    <row r="13253" spans="1:16" x14ac:dyDescent="0.25">
      <c r="A13253" t="s">
        <v>3296</v>
      </c>
      <c r="B13253" t="s">
        <v>2931</v>
      </c>
      <c r="C13253">
        <v>2419</v>
      </c>
      <c r="D13253" t="str">
        <f>"144479009   "</f>
        <v xml:space="preserve">144479009   </v>
      </c>
      <c r="E13253" t="s">
        <v>575</v>
      </c>
      <c r="F13253" t="s">
        <v>576</v>
      </c>
      <c r="G13253">
        <v>260.36</v>
      </c>
      <c r="H13253">
        <v>250213</v>
      </c>
      <c r="I13253">
        <v>4600</v>
      </c>
      <c r="J13253" t="s">
        <v>278</v>
      </c>
      <c r="K13253">
        <v>260.36</v>
      </c>
      <c r="L13253">
        <v>52.9</v>
      </c>
      <c r="M13253">
        <v>59501</v>
      </c>
      <c r="N13253" t="s">
        <v>62</v>
      </c>
      <c r="O13253">
        <v>250225</v>
      </c>
      <c r="P13253">
        <v>207.46</v>
      </c>
    </row>
    <row r="13254" spans="1:16" x14ac:dyDescent="0.25">
      <c r="A13254" t="s">
        <v>3296</v>
      </c>
      <c r="B13254" t="s">
        <v>2931</v>
      </c>
      <c r="C13254">
        <v>2424</v>
      </c>
      <c r="D13254" t="str">
        <f>"144523036   "</f>
        <v xml:space="preserve">144523036   </v>
      </c>
      <c r="E13254" t="s">
        <v>575</v>
      </c>
      <c r="F13254" t="s">
        <v>576</v>
      </c>
      <c r="G13254">
        <v>10.99</v>
      </c>
      <c r="H13254">
        <v>250219</v>
      </c>
      <c r="I13254">
        <v>4600</v>
      </c>
      <c r="J13254" t="s">
        <v>278</v>
      </c>
      <c r="K13254">
        <v>10.99</v>
      </c>
      <c r="L13254">
        <v>2.23</v>
      </c>
      <c r="M13254">
        <v>56560</v>
      </c>
      <c r="N13254" t="s">
        <v>52</v>
      </c>
      <c r="O13254">
        <v>250225</v>
      </c>
      <c r="P13254">
        <v>8.76</v>
      </c>
    </row>
    <row r="13255" spans="1:16" x14ac:dyDescent="0.25">
      <c r="A13255" t="s">
        <v>3296</v>
      </c>
      <c r="B13255" t="s">
        <v>2931</v>
      </c>
      <c r="C13255">
        <v>3906</v>
      </c>
      <c r="D13255" t="str">
        <f>"144623850   "</f>
        <v xml:space="preserve">144623850   </v>
      </c>
      <c r="E13255" t="s">
        <v>575</v>
      </c>
      <c r="F13255" t="s">
        <v>576</v>
      </c>
      <c r="G13255">
        <v>4.18</v>
      </c>
      <c r="H13255">
        <v>250304</v>
      </c>
      <c r="I13255">
        <v>4600</v>
      </c>
      <c r="J13255" t="s">
        <v>278</v>
      </c>
      <c r="K13255">
        <v>4.18</v>
      </c>
      <c r="L13255">
        <v>0.85</v>
      </c>
      <c r="M13255">
        <v>55222</v>
      </c>
      <c r="N13255" t="s">
        <v>43</v>
      </c>
      <c r="O13255">
        <v>250403</v>
      </c>
      <c r="P13255">
        <v>3.33</v>
      </c>
    </row>
    <row r="13256" spans="1:16" x14ac:dyDescent="0.25">
      <c r="A13256" t="s">
        <v>3296</v>
      </c>
      <c r="B13256" t="s">
        <v>2931</v>
      </c>
      <c r="C13256">
        <v>3962</v>
      </c>
      <c r="D13256" t="str">
        <f>"144635270   "</f>
        <v xml:space="preserve">144635270   </v>
      </c>
      <c r="E13256" t="s">
        <v>575</v>
      </c>
      <c r="F13256" t="s">
        <v>576</v>
      </c>
      <c r="G13256">
        <v>191.81</v>
      </c>
      <c r="H13256">
        <v>250305</v>
      </c>
      <c r="I13256">
        <v>4600</v>
      </c>
      <c r="J13256" t="s">
        <v>278</v>
      </c>
      <c r="K13256">
        <v>191.81</v>
      </c>
      <c r="L13256">
        <v>38.97</v>
      </c>
      <c r="M13256">
        <v>17809</v>
      </c>
      <c r="N13256" t="s">
        <v>25</v>
      </c>
      <c r="O13256">
        <v>250404</v>
      </c>
      <c r="P13256">
        <v>152.84</v>
      </c>
    </row>
    <row r="13257" spans="1:16" x14ac:dyDescent="0.25">
      <c r="A13257" t="s">
        <v>3296</v>
      </c>
      <c r="B13257" t="s">
        <v>2931</v>
      </c>
      <c r="C13257">
        <v>3984</v>
      </c>
      <c r="D13257" t="str">
        <f>"144635271   "</f>
        <v xml:space="preserve">144635271   </v>
      </c>
      <c r="E13257" t="s">
        <v>575</v>
      </c>
      <c r="F13257" t="s">
        <v>576</v>
      </c>
      <c r="G13257">
        <v>30.73</v>
      </c>
      <c r="H13257">
        <v>250305</v>
      </c>
      <c r="I13257">
        <v>4600</v>
      </c>
      <c r="J13257" t="s">
        <v>278</v>
      </c>
      <c r="K13257">
        <v>30.73</v>
      </c>
      <c r="L13257">
        <v>6.24</v>
      </c>
      <c r="M13257">
        <v>66756</v>
      </c>
      <c r="N13257" t="s">
        <v>120</v>
      </c>
      <c r="O13257">
        <v>250404</v>
      </c>
      <c r="P13257">
        <v>24.49</v>
      </c>
    </row>
    <row r="13258" spans="1:16" x14ac:dyDescent="0.25">
      <c r="A13258" t="s">
        <v>3296</v>
      </c>
      <c r="B13258" t="s">
        <v>2931</v>
      </c>
      <c r="C13258">
        <v>4012</v>
      </c>
      <c r="D13258" t="str">
        <f>"144646317   "</f>
        <v xml:space="preserve">144646317   </v>
      </c>
      <c r="E13258" t="s">
        <v>575</v>
      </c>
      <c r="F13258" t="s">
        <v>576</v>
      </c>
      <c r="G13258">
        <v>125.9</v>
      </c>
      <c r="H13258">
        <v>250306</v>
      </c>
      <c r="I13258">
        <v>4600</v>
      </c>
      <c r="J13258" t="s">
        <v>278</v>
      </c>
      <c r="K13258">
        <v>125.9</v>
      </c>
      <c r="L13258">
        <v>25.58</v>
      </c>
      <c r="M13258">
        <v>59501</v>
      </c>
      <c r="N13258" t="s">
        <v>62</v>
      </c>
      <c r="O13258">
        <v>250407</v>
      </c>
      <c r="P13258">
        <v>100.32</v>
      </c>
    </row>
    <row r="13259" spans="1:16" x14ac:dyDescent="0.25">
      <c r="A13259" t="s">
        <v>3296</v>
      </c>
      <c r="B13259" t="s">
        <v>2931</v>
      </c>
      <c r="C13259">
        <v>4760</v>
      </c>
      <c r="D13259" t="str">
        <f>"144751313   "</f>
        <v xml:space="preserve">144751313   </v>
      </c>
      <c r="E13259" t="s">
        <v>575</v>
      </c>
      <c r="F13259" t="s">
        <v>576</v>
      </c>
      <c r="G13259">
        <v>202.76</v>
      </c>
      <c r="H13259">
        <v>250319</v>
      </c>
      <c r="I13259">
        <v>4600</v>
      </c>
      <c r="J13259" t="s">
        <v>278</v>
      </c>
      <c r="K13259">
        <v>202.76</v>
      </c>
      <c r="L13259">
        <v>41.2</v>
      </c>
      <c r="M13259">
        <v>56560</v>
      </c>
      <c r="N13259" t="s">
        <v>52</v>
      </c>
      <c r="O13259">
        <v>250415</v>
      </c>
      <c r="P13259">
        <v>161.56</v>
      </c>
    </row>
    <row r="13260" spans="1:16" x14ac:dyDescent="0.25">
      <c r="A13260" t="s">
        <v>3296</v>
      </c>
      <c r="B13260" t="s">
        <v>2931</v>
      </c>
      <c r="C13260">
        <v>4804</v>
      </c>
      <c r="D13260" t="str">
        <f>"144763001   "</f>
        <v xml:space="preserve">144763001   </v>
      </c>
      <c r="E13260" t="s">
        <v>575</v>
      </c>
      <c r="F13260" t="s">
        <v>576</v>
      </c>
      <c r="G13260">
        <v>1160.6600000000001</v>
      </c>
      <c r="H13260">
        <v>250320</v>
      </c>
      <c r="I13260">
        <v>4600</v>
      </c>
      <c r="J13260" t="s">
        <v>278</v>
      </c>
      <c r="K13260">
        <v>1160.6600000000001</v>
      </c>
      <c r="L13260">
        <v>235.83</v>
      </c>
      <c r="M13260">
        <v>56560</v>
      </c>
      <c r="N13260" t="s">
        <v>52</v>
      </c>
      <c r="O13260">
        <v>250415</v>
      </c>
      <c r="P13260">
        <v>924.83</v>
      </c>
    </row>
    <row r="13261" spans="1:16" x14ac:dyDescent="0.25">
      <c r="A13261" t="s">
        <v>3296</v>
      </c>
      <c r="B13261" t="s">
        <v>2931</v>
      </c>
      <c r="C13261">
        <v>5005</v>
      </c>
      <c r="D13261" t="str">
        <f>"144785176   "</f>
        <v xml:space="preserve">144785176   </v>
      </c>
      <c r="E13261" t="s">
        <v>575</v>
      </c>
      <c r="F13261" t="s">
        <v>576</v>
      </c>
      <c r="G13261">
        <v>2039.12</v>
      </c>
      <c r="H13261">
        <v>250324</v>
      </c>
      <c r="I13261">
        <v>4600</v>
      </c>
      <c r="J13261" t="s">
        <v>278</v>
      </c>
      <c r="K13261">
        <v>2039.12</v>
      </c>
      <c r="L13261">
        <v>414.32</v>
      </c>
      <c r="M13261">
        <v>66756</v>
      </c>
      <c r="N13261" t="s">
        <v>120</v>
      </c>
      <c r="O13261">
        <v>250416</v>
      </c>
      <c r="P13261">
        <v>1624.8</v>
      </c>
    </row>
    <row r="13262" spans="1:16" x14ac:dyDescent="0.25">
      <c r="A13262" t="s">
        <v>3296</v>
      </c>
      <c r="B13262" t="s">
        <v>2931</v>
      </c>
      <c r="C13262">
        <v>5557</v>
      </c>
      <c r="D13262" t="str">
        <f>"144890313   "</f>
        <v xml:space="preserve">144890313   </v>
      </c>
      <c r="E13262" t="s">
        <v>575</v>
      </c>
      <c r="F13262" t="s">
        <v>576</v>
      </c>
      <c r="G13262">
        <v>599.88</v>
      </c>
      <c r="H13262">
        <v>250404</v>
      </c>
      <c r="I13262">
        <v>4600</v>
      </c>
      <c r="J13262" t="s">
        <v>278</v>
      </c>
      <c r="K13262">
        <v>599.88</v>
      </c>
      <c r="L13262">
        <v>121.89</v>
      </c>
      <c r="M13262">
        <v>59501</v>
      </c>
      <c r="N13262" t="s">
        <v>62</v>
      </c>
      <c r="O13262">
        <v>250425</v>
      </c>
      <c r="P13262">
        <v>477.99</v>
      </c>
    </row>
    <row r="13263" spans="1:16" x14ac:dyDescent="0.25">
      <c r="A13263" t="s">
        <v>3296</v>
      </c>
      <c r="B13263" t="s">
        <v>2931</v>
      </c>
      <c r="C13263">
        <v>5640</v>
      </c>
      <c r="D13263" t="str">
        <f>"144912591   "</f>
        <v xml:space="preserve">144912591   </v>
      </c>
      <c r="E13263" t="s">
        <v>575</v>
      </c>
      <c r="F13263" t="s">
        <v>576</v>
      </c>
      <c r="G13263">
        <v>569.02</v>
      </c>
      <c r="H13263">
        <v>250408</v>
      </c>
      <c r="I13263">
        <v>4600</v>
      </c>
      <c r="J13263" t="s">
        <v>278</v>
      </c>
      <c r="K13263">
        <v>569.02</v>
      </c>
      <c r="L13263">
        <v>115.62</v>
      </c>
      <c r="M13263">
        <v>56560</v>
      </c>
      <c r="N13263" t="s">
        <v>52</v>
      </c>
      <c r="O13263">
        <v>250428</v>
      </c>
      <c r="P13263">
        <v>453.4</v>
      </c>
    </row>
    <row r="13264" spans="1:16" x14ac:dyDescent="0.25">
      <c r="A13264" t="s">
        <v>3296</v>
      </c>
      <c r="B13264" t="s">
        <v>2931</v>
      </c>
      <c r="C13264">
        <v>6831</v>
      </c>
      <c r="D13264" t="str">
        <f>"145053249   "</f>
        <v xml:space="preserve">145053249   </v>
      </c>
      <c r="E13264" t="s">
        <v>575</v>
      </c>
      <c r="F13264" t="s">
        <v>576</v>
      </c>
      <c r="G13264">
        <v>359.81</v>
      </c>
      <c r="H13264">
        <v>250428</v>
      </c>
      <c r="I13264">
        <v>4600</v>
      </c>
      <c r="J13264" t="s">
        <v>278</v>
      </c>
      <c r="K13264">
        <v>414.09</v>
      </c>
      <c r="L13264">
        <v>73.11</v>
      </c>
      <c r="M13264">
        <v>17807</v>
      </c>
      <c r="N13264" t="s">
        <v>23</v>
      </c>
      <c r="O13264">
        <v>250519</v>
      </c>
      <c r="P13264">
        <v>286.7</v>
      </c>
    </row>
    <row r="13265" spans="1:16" x14ac:dyDescent="0.25">
      <c r="A13265" t="s">
        <v>3296</v>
      </c>
      <c r="B13265" t="s">
        <v>2931</v>
      </c>
      <c r="C13265">
        <v>7510</v>
      </c>
      <c r="D13265" t="str">
        <f>"145149932   "</f>
        <v xml:space="preserve">145149932   </v>
      </c>
      <c r="E13265" t="s">
        <v>575</v>
      </c>
      <c r="F13265" t="s">
        <v>576</v>
      </c>
      <c r="G13265">
        <v>17.52</v>
      </c>
      <c r="H13265">
        <v>250509</v>
      </c>
      <c r="I13265">
        <v>4600</v>
      </c>
      <c r="J13265" t="s">
        <v>278</v>
      </c>
      <c r="K13265">
        <v>17.52</v>
      </c>
      <c r="L13265">
        <v>3.56</v>
      </c>
      <c r="M13265">
        <v>56560</v>
      </c>
      <c r="N13265" t="s">
        <v>52</v>
      </c>
      <c r="O13265">
        <v>250604</v>
      </c>
      <c r="P13265">
        <v>13.96</v>
      </c>
    </row>
    <row r="13266" spans="1:16" x14ac:dyDescent="0.25">
      <c r="A13266" t="s">
        <v>3296</v>
      </c>
      <c r="B13266" t="s">
        <v>2931</v>
      </c>
      <c r="C13266">
        <v>8440</v>
      </c>
      <c r="D13266" t="str">
        <f>"145261821   "</f>
        <v xml:space="preserve">145261821   </v>
      </c>
      <c r="E13266" t="s">
        <v>575</v>
      </c>
      <c r="F13266" t="s">
        <v>576</v>
      </c>
      <c r="G13266">
        <v>631.32000000000005</v>
      </c>
      <c r="H13266">
        <v>250522</v>
      </c>
      <c r="I13266">
        <v>4600</v>
      </c>
      <c r="J13266" t="s">
        <v>278</v>
      </c>
      <c r="K13266">
        <v>631.32000000000005</v>
      </c>
      <c r="L13266">
        <v>128.28</v>
      </c>
      <c r="M13266">
        <v>17809</v>
      </c>
      <c r="N13266" t="s">
        <v>25</v>
      </c>
      <c r="O13266">
        <v>250613</v>
      </c>
      <c r="P13266">
        <v>503.04</v>
      </c>
    </row>
    <row r="13267" spans="1:16" x14ac:dyDescent="0.25">
      <c r="A13267" t="s">
        <v>3296</v>
      </c>
      <c r="B13267" t="s">
        <v>2931</v>
      </c>
      <c r="C13267">
        <v>10705</v>
      </c>
      <c r="D13267" t="str">
        <f>"145913760   "</f>
        <v xml:space="preserve">145913760   </v>
      </c>
      <c r="E13267" t="s">
        <v>575</v>
      </c>
      <c r="F13267" t="s">
        <v>576</v>
      </c>
      <c r="G13267">
        <v>52.3</v>
      </c>
      <c r="H13267">
        <v>250814</v>
      </c>
      <c r="I13267">
        <v>4600</v>
      </c>
      <c r="J13267" t="s">
        <v>278</v>
      </c>
      <c r="K13267">
        <v>52.3</v>
      </c>
      <c r="L13267">
        <v>10.63</v>
      </c>
      <c r="M13267">
        <v>55222</v>
      </c>
      <c r="N13267" t="s">
        <v>43</v>
      </c>
      <c r="O13267">
        <v>250821</v>
      </c>
      <c r="P13267">
        <v>41.67</v>
      </c>
    </row>
    <row r="13268" spans="1:16" x14ac:dyDescent="0.25">
      <c r="A13268" t="s">
        <v>3296</v>
      </c>
      <c r="B13268" t="s">
        <v>2931</v>
      </c>
      <c r="C13268">
        <v>10888</v>
      </c>
      <c r="D13268" t="str">
        <f>"145976905   "</f>
        <v xml:space="preserve">145976905   </v>
      </c>
      <c r="E13268" t="s">
        <v>575</v>
      </c>
      <c r="F13268" t="s">
        <v>576</v>
      </c>
      <c r="G13268">
        <v>146.78</v>
      </c>
      <c r="H13268">
        <v>250821</v>
      </c>
      <c r="I13268">
        <v>4600</v>
      </c>
      <c r="J13268" t="s">
        <v>278</v>
      </c>
      <c r="K13268">
        <v>146.78</v>
      </c>
      <c r="L13268">
        <v>29.82</v>
      </c>
      <c r="M13268">
        <v>56560</v>
      </c>
      <c r="N13268" t="s">
        <v>52</v>
      </c>
      <c r="O13268">
        <v>250826</v>
      </c>
      <c r="P13268">
        <v>116.96</v>
      </c>
    </row>
    <row r="13269" spans="1:16" x14ac:dyDescent="0.25">
      <c r="A13269" t="s">
        <v>3296</v>
      </c>
      <c r="B13269" t="s">
        <v>2931</v>
      </c>
      <c r="C13269">
        <v>10907</v>
      </c>
      <c r="D13269" t="str">
        <f>"145963872   "</f>
        <v xml:space="preserve">145963872   </v>
      </c>
      <c r="E13269" t="s">
        <v>575</v>
      </c>
      <c r="F13269" t="s">
        <v>576</v>
      </c>
      <c r="G13269">
        <v>944.32</v>
      </c>
      <c r="H13269">
        <v>250820</v>
      </c>
      <c r="I13269">
        <v>4600</v>
      </c>
      <c r="J13269" t="s">
        <v>278</v>
      </c>
      <c r="K13269">
        <v>944.32</v>
      </c>
      <c r="L13269">
        <v>191.87</v>
      </c>
      <c r="M13269">
        <v>17807</v>
      </c>
      <c r="N13269" t="s">
        <v>23</v>
      </c>
      <c r="O13269">
        <v>250827</v>
      </c>
      <c r="P13269">
        <v>752.45</v>
      </c>
    </row>
    <row r="13270" spans="1:16" x14ac:dyDescent="0.25">
      <c r="A13270" t="s">
        <v>3296</v>
      </c>
      <c r="B13270" t="s">
        <v>2931</v>
      </c>
      <c r="C13270">
        <v>11090</v>
      </c>
      <c r="D13270" t="str">
        <f>"146001072   "</f>
        <v xml:space="preserve">146001072   </v>
      </c>
      <c r="E13270" t="s">
        <v>575</v>
      </c>
      <c r="F13270" t="s">
        <v>576</v>
      </c>
      <c r="G13270">
        <v>283.5</v>
      </c>
      <c r="H13270">
        <v>250825</v>
      </c>
      <c r="I13270">
        <v>4600</v>
      </c>
      <c r="J13270" t="s">
        <v>278</v>
      </c>
      <c r="K13270">
        <v>283.5</v>
      </c>
      <c r="L13270">
        <v>57.6</v>
      </c>
      <c r="M13270">
        <v>56560</v>
      </c>
      <c r="N13270" t="s">
        <v>52</v>
      </c>
      <c r="O13270">
        <v>250829</v>
      </c>
      <c r="P13270">
        <v>225.9</v>
      </c>
    </row>
    <row r="13271" spans="1:16" x14ac:dyDescent="0.25">
      <c r="A13271" t="s">
        <v>3296</v>
      </c>
      <c r="B13271" t="s">
        <v>2931</v>
      </c>
      <c r="C13271">
        <v>11105</v>
      </c>
      <c r="D13271" t="str">
        <f>"146028826   "</f>
        <v xml:space="preserve">146028826   </v>
      </c>
      <c r="E13271" t="s">
        <v>575</v>
      </c>
      <c r="F13271" t="s">
        <v>576</v>
      </c>
      <c r="G13271">
        <v>864.14</v>
      </c>
      <c r="H13271">
        <v>250827</v>
      </c>
      <c r="I13271">
        <v>4600</v>
      </c>
      <c r="J13271" t="s">
        <v>278</v>
      </c>
      <c r="K13271">
        <v>864.14</v>
      </c>
      <c r="L13271">
        <v>175.58</v>
      </c>
      <c r="M13271">
        <v>59501</v>
      </c>
      <c r="N13271" t="s">
        <v>62</v>
      </c>
      <c r="O13271">
        <v>250829</v>
      </c>
      <c r="P13271">
        <v>688.56</v>
      </c>
    </row>
    <row r="13272" spans="1:16" x14ac:dyDescent="0.25">
      <c r="A13272" t="s">
        <v>3296</v>
      </c>
      <c r="B13272" t="s">
        <v>2931</v>
      </c>
      <c r="C13272">
        <v>11947</v>
      </c>
      <c r="D13272" t="str">
        <f>"146067420   "</f>
        <v xml:space="preserve">146067420   </v>
      </c>
      <c r="E13272" t="s">
        <v>575</v>
      </c>
      <c r="F13272" t="s">
        <v>576</v>
      </c>
      <c r="G13272">
        <v>1460.17</v>
      </c>
      <c r="H13272">
        <v>250901</v>
      </c>
      <c r="I13272">
        <v>4600</v>
      </c>
      <c r="J13272" t="s">
        <v>278</v>
      </c>
      <c r="K13272">
        <v>1460.17</v>
      </c>
      <c r="L13272">
        <v>296.69</v>
      </c>
      <c r="M13272">
        <v>17819</v>
      </c>
      <c r="N13272" t="s">
        <v>1776</v>
      </c>
      <c r="O13272">
        <v>250912</v>
      </c>
      <c r="P13272">
        <v>1163.48</v>
      </c>
    </row>
    <row r="13273" spans="1:16" x14ac:dyDescent="0.25">
      <c r="A13273" t="s">
        <v>3296</v>
      </c>
      <c r="B13273" t="s">
        <v>2931</v>
      </c>
      <c r="C13273">
        <v>12110</v>
      </c>
      <c r="D13273" t="str">
        <f>"146081475   "</f>
        <v xml:space="preserve">146081475   </v>
      </c>
      <c r="E13273" t="s">
        <v>575</v>
      </c>
      <c r="F13273" t="s">
        <v>576</v>
      </c>
      <c r="G13273">
        <v>256.06</v>
      </c>
      <c r="H13273">
        <v>250902</v>
      </c>
      <c r="I13273">
        <v>4600</v>
      </c>
      <c r="J13273" t="s">
        <v>278</v>
      </c>
      <c r="K13273">
        <v>256.06</v>
      </c>
      <c r="L13273">
        <v>52.03</v>
      </c>
      <c r="M13273">
        <v>17809</v>
      </c>
      <c r="N13273" t="s">
        <v>25</v>
      </c>
      <c r="O13273">
        <v>250916</v>
      </c>
      <c r="P13273">
        <v>204.03</v>
      </c>
    </row>
    <row r="13274" spans="1:16" x14ac:dyDescent="0.25">
      <c r="A13274" t="s">
        <v>3296</v>
      </c>
      <c r="B13274" t="s">
        <v>2931</v>
      </c>
      <c r="C13274">
        <v>12372</v>
      </c>
      <c r="D13274" t="str">
        <f>"146148103   "</f>
        <v xml:space="preserve">146148103   </v>
      </c>
      <c r="E13274" t="s">
        <v>575</v>
      </c>
      <c r="F13274" t="s">
        <v>576</v>
      </c>
      <c r="G13274">
        <v>117.96</v>
      </c>
      <c r="H13274">
        <v>250909</v>
      </c>
      <c r="I13274">
        <v>4600</v>
      </c>
      <c r="J13274" t="s">
        <v>278</v>
      </c>
      <c r="K13274">
        <v>117.96</v>
      </c>
      <c r="L13274">
        <v>23.97</v>
      </c>
      <c r="M13274">
        <v>17809</v>
      </c>
      <c r="N13274" t="s">
        <v>25</v>
      </c>
      <c r="O13274">
        <v>250919</v>
      </c>
      <c r="P13274">
        <v>93.99</v>
      </c>
    </row>
    <row r="13275" spans="1:16" x14ac:dyDescent="0.25">
      <c r="A13275" t="s">
        <v>3296</v>
      </c>
      <c r="B13275" t="s">
        <v>2931</v>
      </c>
      <c r="C13275">
        <v>12396</v>
      </c>
      <c r="D13275" t="str">
        <f>"146175157   "</f>
        <v xml:space="preserve">146175157   </v>
      </c>
      <c r="E13275" t="s">
        <v>575</v>
      </c>
      <c r="F13275" t="s">
        <v>576</v>
      </c>
      <c r="G13275">
        <v>1582.12</v>
      </c>
      <c r="H13275">
        <v>250911</v>
      </c>
      <c r="I13275">
        <v>4600</v>
      </c>
      <c r="J13275" t="s">
        <v>278</v>
      </c>
      <c r="K13275">
        <v>1582.12</v>
      </c>
      <c r="L13275">
        <v>321.47000000000003</v>
      </c>
      <c r="M13275">
        <v>56560</v>
      </c>
      <c r="N13275" t="s">
        <v>52</v>
      </c>
      <c r="O13275">
        <v>250919</v>
      </c>
      <c r="P13275">
        <v>1260.6500000000001</v>
      </c>
    </row>
    <row r="13276" spans="1:16" x14ac:dyDescent="0.25">
      <c r="A13276" t="s">
        <v>3296</v>
      </c>
      <c r="B13276" t="s">
        <v>2931</v>
      </c>
      <c r="C13276">
        <v>12425</v>
      </c>
      <c r="D13276" t="str">
        <f>"146215163   "</f>
        <v xml:space="preserve">146215163   </v>
      </c>
      <c r="E13276" t="s">
        <v>575</v>
      </c>
      <c r="F13276" t="s">
        <v>576</v>
      </c>
      <c r="G13276">
        <v>93.57</v>
      </c>
      <c r="H13276">
        <v>250916</v>
      </c>
      <c r="I13276">
        <v>4600</v>
      </c>
      <c r="J13276" t="s">
        <v>278</v>
      </c>
      <c r="K13276">
        <v>93.57</v>
      </c>
      <c r="L13276">
        <v>19.010000000000002</v>
      </c>
      <c r="M13276">
        <v>17807</v>
      </c>
      <c r="N13276" t="s">
        <v>23</v>
      </c>
      <c r="O13276">
        <v>250919</v>
      </c>
      <c r="P13276">
        <v>74.56</v>
      </c>
    </row>
    <row r="13277" spans="1:16" x14ac:dyDescent="0.25">
      <c r="A13277" t="s">
        <v>3296</v>
      </c>
      <c r="B13277" t="s">
        <v>2931</v>
      </c>
      <c r="C13277">
        <v>12782</v>
      </c>
      <c r="D13277" t="str">
        <f>"146215162   "</f>
        <v xml:space="preserve">146215162   </v>
      </c>
      <c r="E13277" t="s">
        <v>575</v>
      </c>
      <c r="F13277" t="s">
        <v>576</v>
      </c>
      <c r="G13277">
        <v>302.70999999999998</v>
      </c>
      <c r="H13277">
        <v>250916</v>
      </c>
      <c r="I13277">
        <v>4600</v>
      </c>
      <c r="J13277" t="s">
        <v>278</v>
      </c>
      <c r="K13277">
        <v>302.70999999999998</v>
      </c>
      <c r="L13277">
        <v>61.51</v>
      </c>
      <c r="M13277">
        <v>56560</v>
      </c>
      <c r="N13277" t="s">
        <v>52</v>
      </c>
      <c r="O13277">
        <v>250930</v>
      </c>
      <c r="P13277">
        <v>241.2</v>
      </c>
    </row>
    <row r="13278" spans="1:16" x14ac:dyDescent="0.25">
      <c r="A13278" t="s">
        <v>3296</v>
      </c>
      <c r="B13278" t="s">
        <v>2931</v>
      </c>
      <c r="C13278">
        <v>12796</v>
      </c>
      <c r="D13278" t="str">
        <f>"146244155   "</f>
        <v xml:space="preserve">146244155   </v>
      </c>
      <c r="E13278" t="s">
        <v>575</v>
      </c>
      <c r="F13278" t="s">
        <v>576</v>
      </c>
      <c r="G13278">
        <v>46.8</v>
      </c>
      <c r="H13278">
        <v>250918</v>
      </c>
      <c r="I13278">
        <v>4600</v>
      </c>
      <c r="J13278" t="s">
        <v>278</v>
      </c>
      <c r="K13278">
        <v>46.8</v>
      </c>
      <c r="L13278">
        <v>9.51</v>
      </c>
      <c r="M13278">
        <v>59501</v>
      </c>
      <c r="N13278" t="s">
        <v>62</v>
      </c>
      <c r="O13278">
        <v>250930</v>
      </c>
      <c r="P13278">
        <v>37.29</v>
      </c>
    </row>
    <row r="13279" spans="1:16" x14ac:dyDescent="0.25">
      <c r="A13279" t="s">
        <v>3296</v>
      </c>
      <c r="B13279" t="s">
        <v>2931</v>
      </c>
      <c r="C13279">
        <v>12857</v>
      </c>
      <c r="D13279" t="str">
        <f>"146300322   "</f>
        <v xml:space="preserve">146300322   </v>
      </c>
      <c r="E13279" t="s">
        <v>575</v>
      </c>
      <c r="F13279" t="s">
        <v>576</v>
      </c>
      <c r="G13279">
        <v>89.96</v>
      </c>
      <c r="H13279">
        <v>250924</v>
      </c>
      <c r="I13279">
        <v>4600</v>
      </c>
      <c r="J13279" t="s">
        <v>278</v>
      </c>
      <c r="K13279">
        <v>89.96</v>
      </c>
      <c r="L13279">
        <v>18.28</v>
      </c>
      <c r="M13279">
        <v>55222</v>
      </c>
      <c r="N13279" t="s">
        <v>43</v>
      </c>
      <c r="O13279">
        <v>250930</v>
      </c>
      <c r="P13279">
        <v>71.680000000000007</v>
      </c>
    </row>
    <row r="13280" spans="1:16" x14ac:dyDescent="0.25">
      <c r="A13280" t="s">
        <v>3296</v>
      </c>
      <c r="B13280" t="s">
        <v>2931</v>
      </c>
      <c r="C13280">
        <v>13558</v>
      </c>
      <c r="D13280" t="str">
        <f>"146162067   "</f>
        <v xml:space="preserve">146162067   </v>
      </c>
      <c r="E13280" t="s">
        <v>575</v>
      </c>
      <c r="F13280" t="s">
        <v>576</v>
      </c>
      <c r="G13280">
        <v>660.92</v>
      </c>
      <c r="H13280">
        <v>250910</v>
      </c>
      <c r="I13280">
        <v>4600</v>
      </c>
      <c r="J13280" t="s">
        <v>278</v>
      </c>
      <c r="K13280">
        <v>660.92</v>
      </c>
      <c r="L13280">
        <v>134.29</v>
      </c>
      <c r="M13280">
        <v>56560</v>
      </c>
      <c r="N13280" t="s">
        <v>52</v>
      </c>
      <c r="O13280">
        <v>251013</v>
      </c>
      <c r="P13280">
        <v>526.63</v>
      </c>
    </row>
    <row r="13281" spans="1:16" x14ac:dyDescent="0.25">
      <c r="A13281" t="s">
        <v>3296</v>
      </c>
      <c r="B13281" t="s">
        <v>2931</v>
      </c>
      <c r="C13281">
        <v>13567</v>
      </c>
      <c r="D13281" t="str">
        <f>"146200358   "</f>
        <v xml:space="preserve">146200358   </v>
      </c>
      <c r="E13281" t="s">
        <v>575</v>
      </c>
      <c r="F13281" t="s">
        <v>576</v>
      </c>
      <c r="G13281">
        <v>175.59</v>
      </c>
      <c r="H13281">
        <v>250915</v>
      </c>
      <c r="I13281">
        <v>4600</v>
      </c>
      <c r="J13281" t="s">
        <v>278</v>
      </c>
      <c r="K13281">
        <v>175.59</v>
      </c>
      <c r="L13281">
        <v>35.68</v>
      </c>
      <c r="M13281">
        <v>56560</v>
      </c>
      <c r="N13281" t="s">
        <v>52</v>
      </c>
      <c r="O13281">
        <v>251013</v>
      </c>
      <c r="P13281">
        <v>139.91</v>
      </c>
    </row>
    <row r="13282" spans="1:16" x14ac:dyDescent="0.25">
      <c r="A13282" t="s">
        <v>3296</v>
      </c>
      <c r="B13282" t="s">
        <v>2931</v>
      </c>
      <c r="C13282">
        <v>13770</v>
      </c>
      <c r="D13282" t="str">
        <f>"146175156   "</f>
        <v xml:space="preserve">146175156   </v>
      </c>
      <c r="E13282" t="s">
        <v>575</v>
      </c>
      <c r="F13282" t="s">
        <v>576</v>
      </c>
      <c r="G13282">
        <v>400</v>
      </c>
      <c r="H13282">
        <v>251001</v>
      </c>
      <c r="I13282">
        <v>4600</v>
      </c>
      <c r="J13282" t="s">
        <v>278</v>
      </c>
      <c r="K13282">
        <v>1060.17</v>
      </c>
      <c r="L13282">
        <v>81.27</v>
      </c>
      <c r="M13282">
        <v>17807</v>
      </c>
      <c r="N13282" t="s">
        <v>23</v>
      </c>
      <c r="O13282">
        <v>251020</v>
      </c>
      <c r="P13282">
        <v>318.73</v>
      </c>
    </row>
    <row r="13283" spans="1:16" x14ac:dyDescent="0.25">
      <c r="A13283" t="s">
        <v>3296</v>
      </c>
      <c r="B13283" t="s">
        <v>2931</v>
      </c>
      <c r="C13283">
        <v>13825</v>
      </c>
      <c r="D13283" t="str">
        <f>"146411949   "</f>
        <v xml:space="preserve">146411949   </v>
      </c>
      <c r="E13283" t="s">
        <v>575</v>
      </c>
      <c r="F13283" t="s">
        <v>576</v>
      </c>
      <c r="G13283">
        <v>144.07</v>
      </c>
      <c r="H13283">
        <v>251006</v>
      </c>
      <c r="I13283">
        <v>4600</v>
      </c>
      <c r="J13283" t="s">
        <v>278</v>
      </c>
      <c r="K13283">
        <v>144.07</v>
      </c>
      <c r="L13283">
        <v>29.27</v>
      </c>
      <c r="M13283">
        <v>56560</v>
      </c>
      <c r="N13283" t="s">
        <v>52</v>
      </c>
      <c r="O13283">
        <v>251020</v>
      </c>
      <c r="P13283">
        <v>114.8</v>
      </c>
    </row>
    <row r="13284" spans="1:16" x14ac:dyDescent="0.25">
      <c r="A13284" t="s">
        <v>3296</v>
      </c>
      <c r="B13284" t="s">
        <v>2931</v>
      </c>
      <c r="C13284">
        <v>14014</v>
      </c>
      <c r="D13284" t="str">
        <f>"146270853   "</f>
        <v xml:space="preserve">146270853   </v>
      </c>
      <c r="E13284" t="s">
        <v>575</v>
      </c>
      <c r="F13284" t="s">
        <v>576</v>
      </c>
      <c r="G13284">
        <v>162.25</v>
      </c>
      <c r="H13284">
        <v>251001</v>
      </c>
      <c r="I13284">
        <v>4600</v>
      </c>
      <c r="J13284" t="s">
        <v>278</v>
      </c>
      <c r="K13284">
        <v>162.25</v>
      </c>
      <c r="L13284">
        <v>32.97</v>
      </c>
      <c r="M13284">
        <v>56560</v>
      </c>
      <c r="N13284" t="s">
        <v>52</v>
      </c>
      <c r="O13284">
        <v>251022</v>
      </c>
      <c r="P13284">
        <v>129.28</v>
      </c>
    </row>
    <row r="13285" spans="1:16" x14ac:dyDescent="0.25">
      <c r="A13285" t="s">
        <v>3296</v>
      </c>
      <c r="B13285" t="s">
        <v>2931</v>
      </c>
      <c r="C13285">
        <v>14015</v>
      </c>
      <c r="D13285" t="str">
        <f>"146314669   "</f>
        <v xml:space="preserve">146314669   </v>
      </c>
      <c r="E13285" t="s">
        <v>575</v>
      </c>
      <c r="F13285" t="s">
        <v>576</v>
      </c>
      <c r="G13285">
        <v>521.63</v>
      </c>
      <c r="H13285">
        <v>251001</v>
      </c>
      <c r="I13285">
        <v>4600</v>
      </c>
      <c r="J13285" t="s">
        <v>278</v>
      </c>
      <c r="K13285">
        <v>521.63</v>
      </c>
      <c r="L13285">
        <v>105.99</v>
      </c>
      <c r="M13285">
        <v>56560</v>
      </c>
      <c r="N13285" t="s">
        <v>52</v>
      </c>
      <c r="O13285">
        <v>251022</v>
      </c>
      <c r="P13285">
        <v>415.64</v>
      </c>
    </row>
    <row r="13286" spans="1:16" x14ac:dyDescent="0.25">
      <c r="A13286" t="s">
        <v>3296</v>
      </c>
      <c r="B13286" t="s">
        <v>2931</v>
      </c>
      <c r="C13286">
        <v>14397</v>
      </c>
      <c r="D13286" t="str">
        <f>"146577996   "</f>
        <v xml:space="preserve">146577996   </v>
      </c>
      <c r="E13286" t="s">
        <v>575</v>
      </c>
      <c r="F13286" t="s">
        <v>576</v>
      </c>
      <c r="G13286">
        <v>556.4</v>
      </c>
      <c r="H13286">
        <v>251022</v>
      </c>
      <c r="I13286">
        <v>4600</v>
      </c>
      <c r="J13286" t="s">
        <v>278</v>
      </c>
      <c r="K13286">
        <v>556.4</v>
      </c>
      <c r="L13286">
        <v>113.05</v>
      </c>
      <c r="M13286">
        <v>59501</v>
      </c>
      <c r="N13286" t="s">
        <v>62</v>
      </c>
      <c r="O13286">
        <v>251031</v>
      </c>
      <c r="P13286">
        <v>443.35</v>
      </c>
    </row>
    <row r="13287" spans="1:16" x14ac:dyDescent="0.25">
      <c r="A13287" t="s">
        <v>3296</v>
      </c>
      <c r="B13287" t="s">
        <v>2931</v>
      </c>
      <c r="C13287">
        <v>14465</v>
      </c>
      <c r="D13287" t="str">
        <f>"146356230   "</f>
        <v xml:space="preserve">146356230   </v>
      </c>
      <c r="E13287" t="s">
        <v>575</v>
      </c>
      <c r="F13287" t="s">
        <v>576</v>
      </c>
      <c r="G13287">
        <v>263.91000000000003</v>
      </c>
      <c r="H13287">
        <v>251001</v>
      </c>
      <c r="I13287">
        <v>4600</v>
      </c>
      <c r="J13287" t="s">
        <v>278</v>
      </c>
      <c r="K13287">
        <v>263.91000000000003</v>
      </c>
      <c r="L13287">
        <v>53.62</v>
      </c>
      <c r="M13287">
        <v>56560</v>
      </c>
      <c r="N13287" t="s">
        <v>52</v>
      </c>
      <c r="O13287">
        <v>251103</v>
      </c>
      <c r="P13287">
        <v>210.29</v>
      </c>
    </row>
    <row r="13288" spans="1:16" x14ac:dyDescent="0.25">
      <c r="A13288" t="s">
        <v>3296</v>
      </c>
      <c r="B13288" t="s">
        <v>2931</v>
      </c>
      <c r="C13288">
        <v>14496</v>
      </c>
      <c r="D13288" t="str">
        <f>"146618370   "</f>
        <v xml:space="preserve">146618370   </v>
      </c>
      <c r="E13288" t="s">
        <v>575</v>
      </c>
      <c r="F13288" t="s">
        <v>576</v>
      </c>
      <c r="G13288">
        <v>679.86</v>
      </c>
      <c r="H13288">
        <v>251027</v>
      </c>
      <c r="I13288">
        <v>4600</v>
      </c>
      <c r="J13288" t="s">
        <v>278</v>
      </c>
      <c r="K13288">
        <v>679.86</v>
      </c>
      <c r="L13288">
        <v>138.13999999999999</v>
      </c>
      <c r="M13288">
        <v>56560</v>
      </c>
      <c r="N13288" t="s">
        <v>52</v>
      </c>
      <c r="O13288">
        <v>251103</v>
      </c>
      <c r="P13288">
        <v>541.72</v>
      </c>
    </row>
    <row r="13289" spans="1:16" x14ac:dyDescent="0.25">
      <c r="A13289" t="s">
        <v>3296</v>
      </c>
      <c r="B13289" t="s">
        <v>2931</v>
      </c>
      <c r="C13289">
        <v>14497</v>
      </c>
      <c r="D13289" t="str">
        <f>"146632623   "</f>
        <v xml:space="preserve">146632623   </v>
      </c>
      <c r="E13289" t="s">
        <v>575</v>
      </c>
      <c r="F13289" t="s">
        <v>576</v>
      </c>
      <c r="G13289">
        <v>233.79</v>
      </c>
      <c r="H13289">
        <v>251028</v>
      </c>
      <c r="I13289">
        <v>4600</v>
      </c>
      <c r="J13289" t="s">
        <v>278</v>
      </c>
      <c r="K13289">
        <v>233.79</v>
      </c>
      <c r="L13289">
        <v>47.5</v>
      </c>
      <c r="M13289">
        <v>59501</v>
      </c>
      <c r="N13289" t="s">
        <v>62</v>
      </c>
      <c r="O13289">
        <v>251103</v>
      </c>
      <c r="P13289">
        <v>186.29</v>
      </c>
    </row>
    <row r="13290" spans="1:16" x14ac:dyDescent="0.25">
      <c r="A13290" t="s">
        <v>3296</v>
      </c>
      <c r="B13290" t="s">
        <v>2931</v>
      </c>
      <c r="C13290">
        <v>14502</v>
      </c>
      <c r="D13290" t="str">
        <f>"146662829   "</f>
        <v xml:space="preserve">146662829   </v>
      </c>
      <c r="E13290" t="s">
        <v>575</v>
      </c>
      <c r="F13290" t="s">
        <v>576</v>
      </c>
      <c r="G13290">
        <v>814.68</v>
      </c>
      <c r="H13290">
        <v>251030</v>
      </c>
      <c r="I13290">
        <v>4600</v>
      </c>
      <c r="J13290" t="s">
        <v>278</v>
      </c>
      <c r="K13290">
        <v>814.68</v>
      </c>
      <c r="L13290">
        <v>165.53</v>
      </c>
      <c r="M13290">
        <v>56560</v>
      </c>
      <c r="N13290" t="s">
        <v>52</v>
      </c>
      <c r="O13290">
        <v>251103</v>
      </c>
      <c r="P13290">
        <v>649.15</v>
      </c>
    </row>
    <row r="13291" spans="1:16" x14ac:dyDescent="0.25">
      <c r="A13291" t="s">
        <v>3296</v>
      </c>
      <c r="B13291" t="s">
        <v>2931</v>
      </c>
      <c r="C13291">
        <v>15532</v>
      </c>
      <c r="D13291" t="str">
        <f>"146703519   "</f>
        <v xml:space="preserve">146703519   </v>
      </c>
      <c r="E13291" t="s">
        <v>575</v>
      </c>
      <c r="F13291" t="s">
        <v>576</v>
      </c>
      <c r="G13291">
        <v>318.13</v>
      </c>
      <c r="H13291">
        <v>251104</v>
      </c>
      <c r="I13291">
        <v>4600</v>
      </c>
      <c r="J13291" t="s">
        <v>278</v>
      </c>
      <c r="K13291">
        <v>318.13</v>
      </c>
      <c r="L13291">
        <v>64.64</v>
      </c>
      <c r="M13291">
        <v>56560</v>
      </c>
      <c r="N13291" t="s">
        <v>52</v>
      </c>
      <c r="O13291">
        <v>251121</v>
      </c>
      <c r="P13291">
        <v>253.49</v>
      </c>
    </row>
    <row r="13292" spans="1:16" x14ac:dyDescent="0.25">
      <c r="A13292" t="s">
        <v>3296</v>
      </c>
      <c r="B13292" t="s">
        <v>2931</v>
      </c>
      <c r="C13292">
        <v>15724</v>
      </c>
      <c r="D13292" t="str">
        <f>"146802323   "</f>
        <v xml:space="preserve">146802323   </v>
      </c>
      <c r="E13292" t="s">
        <v>575</v>
      </c>
      <c r="F13292" t="s">
        <v>576</v>
      </c>
      <c r="G13292">
        <v>227.52</v>
      </c>
      <c r="H13292">
        <v>251113</v>
      </c>
      <c r="I13292">
        <v>4600</v>
      </c>
      <c r="J13292" t="s">
        <v>278</v>
      </c>
      <c r="K13292">
        <v>227.52</v>
      </c>
      <c r="L13292">
        <v>46.23</v>
      </c>
      <c r="M13292">
        <v>59501</v>
      </c>
      <c r="N13292" t="s">
        <v>62</v>
      </c>
      <c r="O13292">
        <v>251125</v>
      </c>
      <c r="P13292">
        <v>181.29</v>
      </c>
    </row>
    <row r="13293" spans="1:16" x14ac:dyDescent="0.25">
      <c r="A13293" t="s">
        <v>3296</v>
      </c>
      <c r="B13293" t="s">
        <v>2931</v>
      </c>
      <c r="C13293">
        <v>15983</v>
      </c>
      <c r="D13293" t="str">
        <f>"146928839   "</f>
        <v xml:space="preserve">146928839   </v>
      </c>
      <c r="E13293" t="s">
        <v>575</v>
      </c>
      <c r="F13293" t="s">
        <v>576</v>
      </c>
      <c r="G13293">
        <v>346.77</v>
      </c>
      <c r="H13293">
        <v>251126</v>
      </c>
      <c r="I13293">
        <v>4600</v>
      </c>
      <c r="J13293" t="s">
        <v>278</v>
      </c>
      <c r="K13293">
        <v>346.77</v>
      </c>
      <c r="L13293">
        <v>70.459999999999994</v>
      </c>
      <c r="M13293">
        <v>56560</v>
      </c>
      <c r="N13293" t="s">
        <v>52</v>
      </c>
      <c r="O13293">
        <v>251201</v>
      </c>
      <c r="P13293">
        <v>276.31</v>
      </c>
    </row>
    <row r="13294" spans="1:16" x14ac:dyDescent="0.25">
      <c r="A13294" t="s">
        <v>3296</v>
      </c>
      <c r="B13294" t="s">
        <v>2931</v>
      </c>
      <c r="C13294">
        <v>15991</v>
      </c>
      <c r="D13294" t="str">
        <f>"146943226   "</f>
        <v xml:space="preserve">146943226   </v>
      </c>
      <c r="E13294" t="s">
        <v>575</v>
      </c>
      <c r="F13294" t="s">
        <v>576</v>
      </c>
      <c r="G13294">
        <v>42.27</v>
      </c>
      <c r="H13294">
        <v>251127</v>
      </c>
      <c r="I13294">
        <v>4600</v>
      </c>
      <c r="J13294" t="s">
        <v>278</v>
      </c>
      <c r="K13294">
        <v>42.27</v>
      </c>
      <c r="L13294">
        <v>8.59</v>
      </c>
      <c r="M13294">
        <v>56560</v>
      </c>
      <c r="N13294" t="s">
        <v>52</v>
      </c>
      <c r="O13294">
        <v>251201</v>
      </c>
      <c r="P13294">
        <v>33.68</v>
      </c>
    </row>
    <row r="13295" spans="1:16" x14ac:dyDescent="0.25">
      <c r="A13295" t="s">
        <v>3296</v>
      </c>
      <c r="B13295" t="s">
        <v>2931</v>
      </c>
      <c r="C13295">
        <v>16450</v>
      </c>
      <c r="D13295" t="str">
        <f>"146969364   "</f>
        <v xml:space="preserve">146969364   </v>
      </c>
      <c r="E13295" t="s">
        <v>575</v>
      </c>
      <c r="F13295" t="s">
        <v>576</v>
      </c>
      <c r="G13295">
        <v>712.79</v>
      </c>
      <c r="H13295">
        <v>251201</v>
      </c>
      <c r="I13295">
        <v>4600</v>
      </c>
      <c r="J13295" t="s">
        <v>278</v>
      </c>
      <c r="K13295">
        <v>712.79</v>
      </c>
      <c r="L13295">
        <v>144.83000000000001</v>
      </c>
      <c r="M13295">
        <v>56560</v>
      </c>
      <c r="N13295" t="s">
        <v>52</v>
      </c>
      <c r="O13295">
        <v>251208</v>
      </c>
      <c r="P13295">
        <v>567.96</v>
      </c>
    </row>
    <row r="13296" spans="1:16" x14ac:dyDescent="0.25">
      <c r="A13296" t="s">
        <v>3296</v>
      </c>
      <c r="B13296" t="s">
        <v>2931</v>
      </c>
      <c r="C13296">
        <v>16820</v>
      </c>
      <c r="D13296" t="str">
        <f>"147012136   "</f>
        <v xml:space="preserve">147012136   </v>
      </c>
      <c r="E13296" t="s">
        <v>575</v>
      </c>
      <c r="F13296" t="s">
        <v>576</v>
      </c>
      <c r="G13296">
        <v>24.76</v>
      </c>
      <c r="H13296">
        <v>251204</v>
      </c>
      <c r="I13296">
        <v>4600</v>
      </c>
      <c r="J13296" t="s">
        <v>278</v>
      </c>
      <c r="K13296">
        <v>24.76</v>
      </c>
      <c r="L13296">
        <v>5.03</v>
      </c>
      <c r="M13296">
        <v>55222</v>
      </c>
      <c r="N13296" t="s">
        <v>43</v>
      </c>
      <c r="O13296">
        <v>251212</v>
      </c>
      <c r="P13296">
        <v>19.73</v>
      </c>
    </row>
    <row r="13297" spans="1:16" x14ac:dyDescent="0.25">
      <c r="A13297" t="s">
        <v>3296</v>
      </c>
      <c r="B13297" t="s">
        <v>2931</v>
      </c>
      <c r="C13297">
        <v>35</v>
      </c>
      <c r="D13297" t="str">
        <f>"8412608-5/19"</f>
        <v>8412608-5/19</v>
      </c>
      <c r="E13297" t="s">
        <v>2814</v>
      </c>
      <c r="F13297" t="s">
        <v>2815</v>
      </c>
      <c r="G13297">
        <v>1483.87</v>
      </c>
      <c r="H13297">
        <v>250101</v>
      </c>
      <c r="I13297">
        <v>4366</v>
      </c>
      <c r="J13297" t="s">
        <v>65</v>
      </c>
      <c r="K13297">
        <v>1483.87</v>
      </c>
      <c r="L13297">
        <v>301.5</v>
      </c>
      <c r="M13297">
        <v>13501</v>
      </c>
      <c r="N13297" t="s">
        <v>66</v>
      </c>
      <c r="O13297">
        <v>241231</v>
      </c>
      <c r="P13297">
        <v>1182.3699999999999</v>
      </c>
    </row>
    <row r="13298" spans="1:16" x14ac:dyDescent="0.25">
      <c r="A13298" t="s">
        <v>3296</v>
      </c>
      <c r="B13298" t="s">
        <v>2931</v>
      </c>
      <c r="C13298">
        <v>3790</v>
      </c>
      <c r="D13298" t="str">
        <f>"9687194-5/19"</f>
        <v>9687194-5/19</v>
      </c>
      <c r="E13298" t="s">
        <v>2814</v>
      </c>
      <c r="F13298" t="s">
        <v>2815</v>
      </c>
      <c r="G13298">
        <v>1089.3499999999999</v>
      </c>
      <c r="H13298">
        <v>250401</v>
      </c>
      <c r="I13298">
        <v>4366</v>
      </c>
      <c r="J13298" t="s">
        <v>65</v>
      </c>
      <c r="K13298">
        <v>1089.3499999999999</v>
      </c>
      <c r="L13298">
        <v>221.34</v>
      </c>
      <c r="M13298">
        <v>13501</v>
      </c>
      <c r="N13298" t="s">
        <v>66</v>
      </c>
      <c r="O13298">
        <v>250401</v>
      </c>
      <c r="P13298">
        <v>868.01</v>
      </c>
    </row>
    <row r="13299" spans="1:16" x14ac:dyDescent="0.25">
      <c r="A13299" t="s">
        <v>3296</v>
      </c>
      <c r="B13299" t="s">
        <v>2931</v>
      </c>
      <c r="C13299">
        <v>3782</v>
      </c>
      <c r="D13299" t="str">
        <f t="shared" ref="D13299:D13311" si="184">"9687194-4/19"</f>
        <v>9687194-4/19</v>
      </c>
      <c r="E13299" t="s">
        <v>2814</v>
      </c>
      <c r="F13299" t="s">
        <v>2815</v>
      </c>
      <c r="G13299">
        <v>57.69</v>
      </c>
      <c r="H13299">
        <v>250401</v>
      </c>
      <c r="I13299">
        <v>4381</v>
      </c>
      <c r="J13299" t="s">
        <v>1680</v>
      </c>
      <c r="K13299">
        <v>3190.64</v>
      </c>
      <c r="L13299">
        <v>11.72</v>
      </c>
      <c r="M13299">
        <v>16321</v>
      </c>
      <c r="N13299" t="s">
        <v>16</v>
      </c>
      <c r="O13299">
        <v>250401</v>
      </c>
      <c r="P13299">
        <v>45.97</v>
      </c>
    </row>
    <row r="13300" spans="1:16" x14ac:dyDescent="0.25">
      <c r="A13300" t="s">
        <v>3296</v>
      </c>
      <c r="B13300" t="s">
        <v>2931</v>
      </c>
      <c r="C13300">
        <v>3782</v>
      </c>
      <c r="D13300" t="str">
        <f t="shared" si="184"/>
        <v>9687194-4/19</v>
      </c>
      <c r="E13300" t="s">
        <v>2814</v>
      </c>
      <c r="F13300" t="s">
        <v>2815</v>
      </c>
      <c r="G13300">
        <v>115.38</v>
      </c>
      <c r="H13300">
        <v>250401</v>
      </c>
      <c r="I13300">
        <v>4381</v>
      </c>
      <c r="J13300" t="s">
        <v>1680</v>
      </c>
      <c r="K13300">
        <v>3190.64</v>
      </c>
      <c r="L13300">
        <v>23.44</v>
      </c>
      <c r="M13300">
        <v>16431</v>
      </c>
      <c r="N13300" t="s">
        <v>17</v>
      </c>
      <c r="O13300">
        <v>250401</v>
      </c>
      <c r="P13300">
        <v>91.94</v>
      </c>
    </row>
    <row r="13301" spans="1:16" x14ac:dyDescent="0.25">
      <c r="A13301" t="s">
        <v>3296</v>
      </c>
      <c r="B13301" t="s">
        <v>2931</v>
      </c>
      <c r="C13301">
        <v>3782</v>
      </c>
      <c r="D13301" t="str">
        <f t="shared" si="184"/>
        <v>9687194-4/19</v>
      </c>
      <c r="E13301" t="s">
        <v>2814</v>
      </c>
      <c r="F13301" t="s">
        <v>2815</v>
      </c>
      <c r="G13301">
        <v>413.57</v>
      </c>
      <c r="H13301">
        <v>250401</v>
      </c>
      <c r="I13301">
        <v>4381</v>
      </c>
      <c r="J13301" t="s">
        <v>1680</v>
      </c>
      <c r="K13301">
        <v>3190.64</v>
      </c>
      <c r="L13301">
        <v>84.03</v>
      </c>
      <c r="M13301">
        <v>17802</v>
      </c>
      <c r="N13301" t="s">
        <v>18</v>
      </c>
      <c r="O13301">
        <v>250401</v>
      </c>
      <c r="P13301">
        <v>329.54</v>
      </c>
    </row>
    <row r="13302" spans="1:16" x14ac:dyDescent="0.25">
      <c r="A13302" t="s">
        <v>3296</v>
      </c>
      <c r="B13302" t="s">
        <v>2931</v>
      </c>
      <c r="C13302">
        <v>3782</v>
      </c>
      <c r="D13302" t="str">
        <f t="shared" si="184"/>
        <v>9687194-4/19</v>
      </c>
      <c r="E13302" t="s">
        <v>2814</v>
      </c>
      <c r="F13302" t="s">
        <v>2815</v>
      </c>
      <c r="G13302">
        <v>698.87</v>
      </c>
      <c r="H13302">
        <v>250401</v>
      </c>
      <c r="I13302">
        <v>4381</v>
      </c>
      <c r="J13302" t="s">
        <v>1680</v>
      </c>
      <c r="K13302">
        <v>3190.64</v>
      </c>
      <c r="L13302">
        <v>142</v>
      </c>
      <c r="M13302">
        <v>17803</v>
      </c>
      <c r="N13302" t="s">
        <v>19</v>
      </c>
      <c r="O13302">
        <v>250401</v>
      </c>
      <c r="P13302">
        <v>556.87</v>
      </c>
    </row>
    <row r="13303" spans="1:16" x14ac:dyDescent="0.25">
      <c r="A13303" t="s">
        <v>3296</v>
      </c>
      <c r="B13303" t="s">
        <v>2931</v>
      </c>
      <c r="C13303">
        <v>3782</v>
      </c>
      <c r="D13303" t="str">
        <f t="shared" si="184"/>
        <v>9687194-4/19</v>
      </c>
      <c r="E13303" t="s">
        <v>2814</v>
      </c>
      <c r="F13303" t="s">
        <v>2815</v>
      </c>
      <c r="G13303">
        <v>355.88</v>
      </c>
      <c r="H13303">
        <v>250401</v>
      </c>
      <c r="I13303">
        <v>4381</v>
      </c>
      <c r="J13303" t="s">
        <v>1680</v>
      </c>
      <c r="K13303">
        <v>3190.64</v>
      </c>
      <c r="L13303">
        <v>72.31</v>
      </c>
      <c r="M13303">
        <v>17805</v>
      </c>
      <c r="N13303" t="s">
        <v>21</v>
      </c>
      <c r="O13303">
        <v>250401</v>
      </c>
      <c r="P13303">
        <v>283.57</v>
      </c>
    </row>
    <row r="13304" spans="1:16" x14ac:dyDescent="0.25">
      <c r="A13304" t="s">
        <v>3296</v>
      </c>
      <c r="B13304" t="s">
        <v>2931</v>
      </c>
      <c r="C13304">
        <v>3782</v>
      </c>
      <c r="D13304" t="str">
        <f t="shared" si="184"/>
        <v>9687194-4/19</v>
      </c>
      <c r="E13304" t="s">
        <v>2814</v>
      </c>
      <c r="F13304" t="s">
        <v>2815</v>
      </c>
      <c r="G13304">
        <v>57.69</v>
      </c>
      <c r="H13304">
        <v>250401</v>
      </c>
      <c r="I13304">
        <v>4381</v>
      </c>
      <c r="J13304" t="s">
        <v>1680</v>
      </c>
      <c r="K13304">
        <v>3190.64</v>
      </c>
      <c r="L13304">
        <v>11.72</v>
      </c>
      <c r="M13304">
        <v>17806</v>
      </c>
      <c r="N13304" t="s">
        <v>22</v>
      </c>
      <c r="O13304">
        <v>250401</v>
      </c>
      <c r="P13304">
        <v>45.97</v>
      </c>
    </row>
    <row r="13305" spans="1:16" x14ac:dyDescent="0.25">
      <c r="A13305" t="s">
        <v>3296</v>
      </c>
      <c r="B13305" t="s">
        <v>2931</v>
      </c>
      <c r="C13305">
        <v>3782</v>
      </c>
      <c r="D13305" t="str">
        <f t="shared" si="184"/>
        <v>9687194-4/19</v>
      </c>
      <c r="E13305" t="s">
        <v>2814</v>
      </c>
      <c r="F13305" t="s">
        <v>2815</v>
      </c>
      <c r="G13305">
        <v>235.8</v>
      </c>
      <c r="H13305">
        <v>250401</v>
      </c>
      <c r="I13305">
        <v>4381</v>
      </c>
      <c r="J13305" t="s">
        <v>1680</v>
      </c>
      <c r="K13305">
        <v>3190.64</v>
      </c>
      <c r="L13305">
        <v>47.91</v>
      </c>
      <c r="M13305">
        <v>17807</v>
      </c>
      <c r="N13305" t="s">
        <v>23</v>
      </c>
      <c r="O13305">
        <v>250401</v>
      </c>
      <c r="P13305">
        <v>187.89</v>
      </c>
    </row>
    <row r="13306" spans="1:16" x14ac:dyDescent="0.25">
      <c r="A13306" t="s">
        <v>3296</v>
      </c>
      <c r="B13306" t="s">
        <v>2931</v>
      </c>
      <c r="C13306">
        <v>3782</v>
      </c>
      <c r="D13306" t="str">
        <f t="shared" si="184"/>
        <v>9687194-4/19</v>
      </c>
      <c r="E13306" t="s">
        <v>2814</v>
      </c>
      <c r="F13306" t="s">
        <v>2815</v>
      </c>
      <c r="G13306">
        <v>617.61</v>
      </c>
      <c r="H13306">
        <v>250401</v>
      </c>
      <c r="I13306">
        <v>4381</v>
      </c>
      <c r="J13306" t="s">
        <v>1680</v>
      </c>
      <c r="K13306">
        <v>3190.64</v>
      </c>
      <c r="L13306">
        <v>125.49</v>
      </c>
      <c r="M13306">
        <v>17808</v>
      </c>
      <c r="N13306" t="s">
        <v>24</v>
      </c>
      <c r="O13306">
        <v>250401</v>
      </c>
      <c r="P13306">
        <v>492.12</v>
      </c>
    </row>
    <row r="13307" spans="1:16" x14ac:dyDescent="0.25">
      <c r="A13307" t="s">
        <v>3296</v>
      </c>
      <c r="B13307" t="s">
        <v>2931</v>
      </c>
      <c r="C13307">
        <v>3782</v>
      </c>
      <c r="D13307" t="str">
        <f t="shared" si="184"/>
        <v>9687194-4/19</v>
      </c>
      <c r="E13307" t="s">
        <v>2814</v>
      </c>
      <c r="F13307" t="s">
        <v>2815</v>
      </c>
      <c r="G13307">
        <v>63.78</v>
      </c>
      <c r="H13307">
        <v>250401</v>
      </c>
      <c r="I13307">
        <v>4381</v>
      </c>
      <c r="J13307" t="s">
        <v>1680</v>
      </c>
      <c r="K13307">
        <v>3190.64</v>
      </c>
      <c r="L13307">
        <v>12.96</v>
      </c>
      <c r="M13307">
        <v>17913</v>
      </c>
      <c r="N13307" t="s">
        <v>26</v>
      </c>
      <c r="O13307">
        <v>250401</v>
      </c>
      <c r="P13307">
        <v>50.82</v>
      </c>
    </row>
    <row r="13308" spans="1:16" x14ac:dyDescent="0.25">
      <c r="A13308" t="s">
        <v>3296</v>
      </c>
      <c r="B13308" t="s">
        <v>2931</v>
      </c>
      <c r="C13308">
        <v>3782</v>
      </c>
      <c r="D13308" t="str">
        <f t="shared" si="184"/>
        <v>9687194-4/19</v>
      </c>
      <c r="E13308" t="s">
        <v>2814</v>
      </c>
      <c r="F13308" t="s">
        <v>2815</v>
      </c>
      <c r="G13308">
        <v>392.97</v>
      </c>
      <c r="H13308">
        <v>250401</v>
      </c>
      <c r="I13308">
        <v>4381</v>
      </c>
      <c r="J13308" t="s">
        <v>1680</v>
      </c>
      <c r="K13308">
        <v>3190.64</v>
      </c>
      <c r="L13308">
        <v>79.849999999999994</v>
      </c>
      <c r="M13308">
        <v>17951</v>
      </c>
      <c r="N13308" t="s">
        <v>207</v>
      </c>
      <c r="O13308">
        <v>250401</v>
      </c>
      <c r="P13308">
        <v>313.12</v>
      </c>
    </row>
    <row r="13309" spans="1:16" x14ac:dyDescent="0.25">
      <c r="A13309" t="s">
        <v>3296</v>
      </c>
      <c r="B13309" t="s">
        <v>2931</v>
      </c>
      <c r="C13309">
        <v>3782</v>
      </c>
      <c r="D13309" t="str">
        <f t="shared" si="184"/>
        <v>9687194-4/19</v>
      </c>
      <c r="E13309" t="s">
        <v>2814</v>
      </c>
      <c r="F13309" t="s">
        <v>2815</v>
      </c>
      <c r="G13309">
        <v>78.83</v>
      </c>
      <c r="H13309">
        <v>250401</v>
      </c>
      <c r="I13309">
        <v>4381</v>
      </c>
      <c r="J13309" t="s">
        <v>1680</v>
      </c>
      <c r="K13309">
        <v>3190.64</v>
      </c>
      <c r="L13309">
        <v>16.02</v>
      </c>
      <c r="M13309">
        <v>17971</v>
      </c>
      <c r="N13309" t="s">
        <v>27</v>
      </c>
      <c r="O13309">
        <v>250401</v>
      </c>
      <c r="P13309">
        <v>62.81</v>
      </c>
    </row>
    <row r="13310" spans="1:16" x14ac:dyDescent="0.25">
      <c r="A13310" t="s">
        <v>3296</v>
      </c>
      <c r="B13310" t="s">
        <v>2931</v>
      </c>
      <c r="C13310">
        <v>3782</v>
      </c>
      <c r="D13310" t="str">
        <f t="shared" si="184"/>
        <v>9687194-4/19</v>
      </c>
      <c r="E13310" t="s">
        <v>2814</v>
      </c>
      <c r="F13310" t="s">
        <v>2815</v>
      </c>
      <c r="G13310">
        <v>23.74</v>
      </c>
      <c r="H13310">
        <v>250401</v>
      </c>
      <c r="I13310">
        <v>4381</v>
      </c>
      <c r="J13310" t="s">
        <v>1680</v>
      </c>
      <c r="K13310">
        <v>3190.64</v>
      </c>
      <c r="L13310">
        <v>4.82</v>
      </c>
      <c r="M13310">
        <v>17972</v>
      </c>
      <c r="N13310" t="s">
        <v>28</v>
      </c>
      <c r="O13310">
        <v>250401</v>
      </c>
      <c r="P13310">
        <v>18.920000000000002</v>
      </c>
    </row>
    <row r="13311" spans="1:16" x14ac:dyDescent="0.25">
      <c r="A13311" t="s">
        <v>3296</v>
      </c>
      <c r="B13311" t="s">
        <v>2931</v>
      </c>
      <c r="C13311">
        <v>3782</v>
      </c>
      <c r="D13311" t="str">
        <f t="shared" si="184"/>
        <v>9687194-4/19</v>
      </c>
      <c r="E13311" t="s">
        <v>2814</v>
      </c>
      <c r="F13311" t="s">
        <v>2815</v>
      </c>
      <c r="G13311">
        <v>78.83</v>
      </c>
      <c r="H13311">
        <v>250401</v>
      </c>
      <c r="I13311">
        <v>4381</v>
      </c>
      <c r="J13311" t="s">
        <v>1680</v>
      </c>
      <c r="K13311">
        <v>3190.64</v>
      </c>
      <c r="L13311">
        <v>16.02</v>
      </c>
      <c r="M13311">
        <v>17972</v>
      </c>
      <c r="N13311" t="s">
        <v>28</v>
      </c>
      <c r="O13311">
        <v>250401</v>
      </c>
      <c r="P13311">
        <v>62.81</v>
      </c>
    </row>
    <row r="13312" spans="1:16" x14ac:dyDescent="0.25">
      <c r="A13312" t="s">
        <v>3296</v>
      </c>
      <c r="B13312" t="s">
        <v>2931</v>
      </c>
      <c r="C13312">
        <v>8888</v>
      </c>
      <c r="D13312" t="str">
        <f>"0707522-7/19"</f>
        <v>0707522-7/19</v>
      </c>
      <c r="E13312" t="s">
        <v>2814</v>
      </c>
      <c r="F13312" t="s">
        <v>2815</v>
      </c>
      <c r="G13312">
        <v>204.95</v>
      </c>
      <c r="H13312">
        <v>250701</v>
      </c>
      <c r="I13312">
        <v>4580</v>
      </c>
      <c r="J13312" t="s">
        <v>126</v>
      </c>
      <c r="K13312">
        <v>1002.18</v>
      </c>
      <c r="L13312">
        <v>41.64</v>
      </c>
      <c r="M13312">
        <v>16121</v>
      </c>
      <c r="N13312" t="s">
        <v>127</v>
      </c>
      <c r="O13312">
        <v>250618</v>
      </c>
      <c r="P13312">
        <v>163.31</v>
      </c>
    </row>
    <row r="13313" spans="1:16" x14ac:dyDescent="0.25">
      <c r="A13313" t="s">
        <v>3296</v>
      </c>
      <c r="B13313" t="s">
        <v>2931</v>
      </c>
      <c r="C13313">
        <v>7</v>
      </c>
      <c r="D13313" t="str">
        <f t="shared" ref="D13313:D13332" si="185">"412608-18/19"</f>
        <v>412608-18/19</v>
      </c>
      <c r="E13313" t="s">
        <v>2814</v>
      </c>
      <c r="F13313" t="s">
        <v>2815</v>
      </c>
      <c r="G13313">
        <v>591.47</v>
      </c>
      <c r="H13313">
        <v>250101</v>
      </c>
      <c r="I13313">
        <v>4841</v>
      </c>
      <c r="J13313" t="s">
        <v>9</v>
      </c>
      <c r="K13313">
        <v>8925.9599999999991</v>
      </c>
      <c r="L13313">
        <v>120.18</v>
      </c>
      <c r="M13313">
        <v>11301</v>
      </c>
      <c r="N13313" t="s">
        <v>92</v>
      </c>
      <c r="O13313">
        <v>241231</v>
      </c>
      <c r="P13313">
        <v>471.29</v>
      </c>
    </row>
    <row r="13314" spans="1:16" x14ac:dyDescent="0.25">
      <c r="A13314" t="s">
        <v>3296</v>
      </c>
      <c r="B13314" t="s">
        <v>2931</v>
      </c>
      <c r="C13314">
        <v>7</v>
      </c>
      <c r="D13314" t="str">
        <f t="shared" si="185"/>
        <v>412608-18/19</v>
      </c>
      <c r="E13314" t="s">
        <v>2814</v>
      </c>
      <c r="F13314" t="s">
        <v>2815</v>
      </c>
      <c r="G13314">
        <v>181.23</v>
      </c>
      <c r="H13314">
        <v>250101</v>
      </c>
      <c r="I13314">
        <v>4841</v>
      </c>
      <c r="J13314" t="s">
        <v>9</v>
      </c>
      <c r="K13314">
        <v>8925.9599999999991</v>
      </c>
      <c r="L13314">
        <v>36.82</v>
      </c>
      <c r="M13314">
        <v>11901</v>
      </c>
      <c r="N13314" t="s">
        <v>31</v>
      </c>
      <c r="O13314">
        <v>241231</v>
      </c>
      <c r="P13314">
        <v>144.41</v>
      </c>
    </row>
    <row r="13315" spans="1:16" x14ac:dyDescent="0.25">
      <c r="A13315" t="s">
        <v>3296</v>
      </c>
      <c r="B13315" t="s">
        <v>2931</v>
      </c>
      <c r="C13315">
        <v>7</v>
      </c>
      <c r="D13315" t="str">
        <f t="shared" si="185"/>
        <v>412608-18/19</v>
      </c>
      <c r="E13315" t="s">
        <v>2814</v>
      </c>
      <c r="F13315" t="s">
        <v>2815</v>
      </c>
      <c r="G13315">
        <v>1081.95</v>
      </c>
      <c r="H13315">
        <v>250101</v>
      </c>
      <c r="I13315">
        <v>4841</v>
      </c>
      <c r="J13315" t="s">
        <v>9</v>
      </c>
      <c r="K13315">
        <v>8925.9599999999991</v>
      </c>
      <c r="L13315">
        <v>219.84</v>
      </c>
      <c r="M13315">
        <v>14121</v>
      </c>
      <c r="N13315" t="s">
        <v>71</v>
      </c>
      <c r="O13315">
        <v>241231</v>
      </c>
      <c r="P13315">
        <v>862.11</v>
      </c>
    </row>
    <row r="13316" spans="1:16" x14ac:dyDescent="0.25">
      <c r="A13316" t="s">
        <v>3296</v>
      </c>
      <c r="B13316" t="s">
        <v>2931</v>
      </c>
      <c r="C13316">
        <v>7</v>
      </c>
      <c r="D13316" t="str">
        <f t="shared" si="185"/>
        <v>412608-18/19</v>
      </c>
      <c r="E13316" t="s">
        <v>2814</v>
      </c>
      <c r="F13316" t="s">
        <v>2815</v>
      </c>
      <c r="G13316">
        <v>1337.08</v>
      </c>
      <c r="H13316">
        <v>250101</v>
      </c>
      <c r="I13316">
        <v>4841</v>
      </c>
      <c r="J13316" t="s">
        <v>9</v>
      </c>
      <c r="K13316">
        <v>8925.9599999999991</v>
      </c>
      <c r="L13316">
        <v>271.68</v>
      </c>
      <c r="M13316">
        <v>14121</v>
      </c>
      <c r="N13316" t="s">
        <v>71</v>
      </c>
      <c r="O13316">
        <v>241231</v>
      </c>
      <c r="P13316">
        <v>1065.4000000000001</v>
      </c>
    </row>
    <row r="13317" spans="1:16" x14ac:dyDescent="0.25">
      <c r="A13317" t="s">
        <v>3296</v>
      </c>
      <c r="B13317" t="s">
        <v>2931</v>
      </c>
      <c r="C13317">
        <v>7</v>
      </c>
      <c r="D13317" t="str">
        <f t="shared" si="185"/>
        <v>412608-18/19</v>
      </c>
      <c r="E13317" t="s">
        <v>2814</v>
      </c>
      <c r="F13317" t="s">
        <v>2815</v>
      </c>
      <c r="G13317">
        <v>571.89</v>
      </c>
      <c r="H13317">
        <v>250101</v>
      </c>
      <c r="I13317">
        <v>4841</v>
      </c>
      <c r="J13317" t="s">
        <v>9</v>
      </c>
      <c r="K13317">
        <v>8925.9599999999991</v>
      </c>
      <c r="L13317">
        <v>116.2</v>
      </c>
      <c r="M13317">
        <v>14321</v>
      </c>
      <c r="N13317" t="s">
        <v>72</v>
      </c>
      <c r="O13317">
        <v>241231</v>
      </c>
      <c r="P13317">
        <v>455.69</v>
      </c>
    </row>
    <row r="13318" spans="1:16" x14ac:dyDescent="0.25">
      <c r="A13318" t="s">
        <v>3296</v>
      </c>
      <c r="B13318" t="s">
        <v>2931</v>
      </c>
      <c r="C13318">
        <v>7</v>
      </c>
      <c r="D13318" t="str">
        <f t="shared" si="185"/>
        <v>412608-18/19</v>
      </c>
      <c r="E13318" t="s">
        <v>2814</v>
      </c>
      <c r="F13318" t="s">
        <v>2815</v>
      </c>
      <c r="G13318">
        <v>605.86</v>
      </c>
      <c r="H13318">
        <v>250101</v>
      </c>
      <c r="I13318">
        <v>4841</v>
      </c>
      <c r="J13318" t="s">
        <v>9</v>
      </c>
      <c r="K13318">
        <v>8925.9599999999991</v>
      </c>
      <c r="L13318">
        <v>123.1</v>
      </c>
      <c r="M13318">
        <v>14321</v>
      </c>
      <c r="N13318" t="s">
        <v>72</v>
      </c>
      <c r="O13318">
        <v>241231</v>
      </c>
      <c r="P13318">
        <v>482.76</v>
      </c>
    </row>
    <row r="13319" spans="1:16" x14ac:dyDescent="0.25">
      <c r="A13319" t="s">
        <v>3296</v>
      </c>
      <c r="B13319" t="s">
        <v>2931</v>
      </c>
      <c r="C13319">
        <v>7</v>
      </c>
      <c r="D13319" t="str">
        <f t="shared" si="185"/>
        <v>412608-18/19</v>
      </c>
      <c r="E13319" t="s">
        <v>2814</v>
      </c>
      <c r="F13319" t="s">
        <v>2815</v>
      </c>
      <c r="G13319">
        <v>210.28</v>
      </c>
      <c r="H13319">
        <v>250101</v>
      </c>
      <c r="I13319">
        <v>4841</v>
      </c>
      <c r="J13319" t="s">
        <v>9</v>
      </c>
      <c r="K13319">
        <v>8925.9599999999991</v>
      </c>
      <c r="L13319">
        <v>42.73</v>
      </c>
      <c r="M13319">
        <v>14422</v>
      </c>
      <c r="N13319" t="s">
        <v>73</v>
      </c>
      <c r="O13319">
        <v>241231</v>
      </c>
      <c r="P13319">
        <v>167.55</v>
      </c>
    </row>
    <row r="13320" spans="1:16" x14ac:dyDescent="0.25">
      <c r="A13320" t="s">
        <v>3296</v>
      </c>
      <c r="B13320" t="s">
        <v>2931</v>
      </c>
      <c r="C13320">
        <v>7</v>
      </c>
      <c r="D13320" t="str">
        <f t="shared" si="185"/>
        <v>412608-18/19</v>
      </c>
      <c r="E13320" t="s">
        <v>2814</v>
      </c>
      <c r="F13320" t="s">
        <v>2815</v>
      </c>
      <c r="G13320">
        <v>210.28</v>
      </c>
      <c r="H13320">
        <v>250101</v>
      </c>
      <c r="I13320">
        <v>4841</v>
      </c>
      <c r="J13320" t="s">
        <v>9</v>
      </c>
      <c r="K13320">
        <v>8925.9599999999991</v>
      </c>
      <c r="L13320">
        <v>42.73</v>
      </c>
      <c r="M13320">
        <v>14541</v>
      </c>
      <c r="N13320" t="s">
        <v>76</v>
      </c>
      <c r="O13320">
        <v>241231</v>
      </c>
      <c r="P13320">
        <v>167.55</v>
      </c>
    </row>
    <row r="13321" spans="1:16" x14ac:dyDescent="0.25">
      <c r="A13321" t="s">
        <v>3296</v>
      </c>
      <c r="B13321" t="s">
        <v>2931</v>
      </c>
      <c r="C13321">
        <v>7</v>
      </c>
      <c r="D13321" t="str">
        <f t="shared" si="185"/>
        <v>412608-18/19</v>
      </c>
      <c r="E13321" t="s">
        <v>2814</v>
      </c>
      <c r="F13321" t="s">
        <v>2815</v>
      </c>
      <c r="G13321">
        <v>1803.23</v>
      </c>
      <c r="H13321">
        <v>250101</v>
      </c>
      <c r="I13321">
        <v>4841</v>
      </c>
      <c r="J13321" t="s">
        <v>9</v>
      </c>
      <c r="K13321">
        <v>8925.9599999999991</v>
      </c>
      <c r="L13321">
        <v>366.39</v>
      </c>
      <c r="M13321">
        <v>14622</v>
      </c>
      <c r="N13321" t="s">
        <v>77</v>
      </c>
      <c r="O13321">
        <v>241231</v>
      </c>
      <c r="P13321">
        <v>1436.84</v>
      </c>
    </row>
    <row r="13322" spans="1:16" x14ac:dyDescent="0.25">
      <c r="A13322" t="s">
        <v>3296</v>
      </c>
      <c r="B13322" t="s">
        <v>2931</v>
      </c>
      <c r="C13322">
        <v>7</v>
      </c>
      <c r="D13322" t="str">
        <f t="shared" si="185"/>
        <v>412608-18/19</v>
      </c>
      <c r="E13322" t="s">
        <v>2814</v>
      </c>
      <c r="F13322" t="s">
        <v>2815</v>
      </c>
      <c r="G13322">
        <v>624.67999999999995</v>
      </c>
      <c r="H13322">
        <v>250101</v>
      </c>
      <c r="I13322">
        <v>4841</v>
      </c>
      <c r="J13322" t="s">
        <v>9</v>
      </c>
      <c r="K13322">
        <v>8925.9599999999991</v>
      </c>
      <c r="L13322">
        <v>126.93</v>
      </c>
      <c r="M13322">
        <v>14622</v>
      </c>
      <c r="N13322" t="s">
        <v>77</v>
      </c>
      <c r="O13322">
        <v>241231</v>
      </c>
      <c r="P13322">
        <v>497.75</v>
      </c>
    </row>
    <row r="13323" spans="1:16" x14ac:dyDescent="0.25">
      <c r="A13323" t="s">
        <v>3296</v>
      </c>
      <c r="B13323" t="s">
        <v>2931</v>
      </c>
      <c r="C13323">
        <v>7</v>
      </c>
      <c r="D13323" t="str">
        <f t="shared" si="185"/>
        <v>412608-18/19</v>
      </c>
      <c r="E13323" t="s">
        <v>2814</v>
      </c>
      <c r="F13323" t="s">
        <v>2815</v>
      </c>
      <c r="G13323">
        <v>210.28</v>
      </c>
      <c r="H13323">
        <v>250101</v>
      </c>
      <c r="I13323">
        <v>4841</v>
      </c>
      <c r="J13323" t="s">
        <v>9</v>
      </c>
      <c r="K13323">
        <v>8925.9599999999991</v>
      </c>
      <c r="L13323">
        <v>42.73</v>
      </c>
      <c r="M13323">
        <v>14640</v>
      </c>
      <c r="N13323" t="s">
        <v>78</v>
      </c>
      <c r="O13323">
        <v>241231</v>
      </c>
      <c r="P13323">
        <v>167.55</v>
      </c>
    </row>
    <row r="13324" spans="1:16" x14ac:dyDescent="0.25">
      <c r="A13324" t="s">
        <v>3296</v>
      </c>
      <c r="B13324" t="s">
        <v>2931</v>
      </c>
      <c r="C13324">
        <v>7</v>
      </c>
      <c r="D13324" t="str">
        <f t="shared" si="185"/>
        <v>412608-18/19</v>
      </c>
      <c r="E13324" t="s">
        <v>2814</v>
      </c>
      <c r="F13324" t="s">
        <v>2815</v>
      </c>
      <c r="G13324">
        <v>75.84</v>
      </c>
      <c r="H13324">
        <v>250101</v>
      </c>
      <c r="I13324">
        <v>4841</v>
      </c>
      <c r="J13324" t="s">
        <v>9</v>
      </c>
      <c r="K13324">
        <v>8925.9599999999991</v>
      </c>
      <c r="L13324">
        <v>15.41</v>
      </c>
      <c r="M13324">
        <v>14912</v>
      </c>
      <c r="N13324" t="s">
        <v>80</v>
      </c>
      <c r="O13324">
        <v>241231</v>
      </c>
      <c r="P13324">
        <v>60.43</v>
      </c>
    </row>
    <row r="13325" spans="1:16" x14ac:dyDescent="0.25">
      <c r="A13325" t="s">
        <v>3296</v>
      </c>
      <c r="B13325" t="s">
        <v>2931</v>
      </c>
      <c r="C13325">
        <v>7</v>
      </c>
      <c r="D13325" t="str">
        <f t="shared" si="185"/>
        <v>412608-18/19</v>
      </c>
      <c r="E13325" t="s">
        <v>2814</v>
      </c>
      <c r="F13325" t="s">
        <v>2815</v>
      </c>
      <c r="G13325">
        <v>42.31</v>
      </c>
      <c r="H13325">
        <v>250101</v>
      </c>
      <c r="I13325">
        <v>4841</v>
      </c>
      <c r="J13325" t="s">
        <v>9</v>
      </c>
      <c r="K13325">
        <v>8925.9599999999991</v>
      </c>
      <c r="L13325">
        <v>8.6</v>
      </c>
      <c r="M13325">
        <v>14952</v>
      </c>
      <c r="N13325" t="s">
        <v>213</v>
      </c>
      <c r="O13325">
        <v>241231</v>
      </c>
      <c r="P13325">
        <v>33.71</v>
      </c>
    </row>
    <row r="13326" spans="1:16" x14ac:dyDescent="0.25">
      <c r="A13326" t="s">
        <v>3296</v>
      </c>
      <c r="B13326" t="s">
        <v>2931</v>
      </c>
      <c r="C13326">
        <v>7</v>
      </c>
      <c r="D13326" t="str">
        <f t="shared" si="185"/>
        <v>412608-18/19</v>
      </c>
      <c r="E13326" t="s">
        <v>2814</v>
      </c>
      <c r="F13326" t="s">
        <v>2815</v>
      </c>
      <c r="G13326">
        <v>144.31</v>
      </c>
      <c r="H13326">
        <v>250101</v>
      </c>
      <c r="I13326">
        <v>4841</v>
      </c>
      <c r="J13326" t="s">
        <v>9</v>
      </c>
      <c r="K13326">
        <v>8925.9599999999991</v>
      </c>
      <c r="L13326">
        <v>29.32</v>
      </c>
      <c r="M13326">
        <v>14971</v>
      </c>
      <c r="N13326" t="s">
        <v>81</v>
      </c>
      <c r="O13326">
        <v>241231</v>
      </c>
      <c r="P13326">
        <v>114.99</v>
      </c>
    </row>
    <row r="13327" spans="1:16" x14ac:dyDescent="0.25">
      <c r="A13327" t="s">
        <v>3296</v>
      </c>
      <c r="B13327" t="s">
        <v>2931</v>
      </c>
      <c r="C13327">
        <v>7</v>
      </c>
      <c r="D13327" t="str">
        <f t="shared" si="185"/>
        <v>412608-18/19</v>
      </c>
      <c r="E13327" t="s">
        <v>2814</v>
      </c>
      <c r="F13327" t="s">
        <v>2815</v>
      </c>
      <c r="G13327">
        <v>913.98</v>
      </c>
      <c r="H13327">
        <v>250101</v>
      </c>
      <c r="I13327">
        <v>4841</v>
      </c>
      <c r="J13327" t="s">
        <v>9</v>
      </c>
      <c r="K13327">
        <v>8925.9599999999991</v>
      </c>
      <c r="L13327">
        <v>185.71</v>
      </c>
      <c r="M13327">
        <v>14972</v>
      </c>
      <c r="N13327" t="s">
        <v>82</v>
      </c>
      <c r="O13327">
        <v>241231</v>
      </c>
      <c r="P13327">
        <v>728.27</v>
      </c>
    </row>
    <row r="13328" spans="1:16" x14ac:dyDescent="0.25">
      <c r="A13328" t="s">
        <v>3296</v>
      </c>
      <c r="B13328" t="s">
        <v>2931</v>
      </c>
      <c r="C13328">
        <v>7</v>
      </c>
      <c r="D13328" t="str">
        <f t="shared" si="185"/>
        <v>412608-18/19</v>
      </c>
      <c r="E13328" t="s">
        <v>2814</v>
      </c>
      <c r="F13328" t="s">
        <v>2815</v>
      </c>
      <c r="G13328">
        <v>99.57</v>
      </c>
      <c r="H13328">
        <v>250101</v>
      </c>
      <c r="I13328">
        <v>4841</v>
      </c>
      <c r="J13328" t="s">
        <v>9</v>
      </c>
      <c r="K13328">
        <v>8925.9599999999991</v>
      </c>
      <c r="L13328">
        <v>20.23</v>
      </c>
      <c r="M13328">
        <v>14974</v>
      </c>
      <c r="N13328" t="s">
        <v>83</v>
      </c>
      <c r="O13328">
        <v>241231</v>
      </c>
      <c r="P13328">
        <v>79.34</v>
      </c>
    </row>
    <row r="13329" spans="1:16" x14ac:dyDescent="0.25">
      <c r="A13329" t="s">
        <v>3296</v>
      </c>
      <c r="B13329" t="s">
        <v>2931</v>
      </c>
      <c r="C13329">
        <v>7</v>
      </c>
      <c r="D13329" t="str">
        <f t="shared" si="185"/>
        <v>412608-18/19</v>
      </c>
      <c r="E13329" t="s">
        <v>2814</v>
      </c>
      <c r="F13329" t="s">
        <v>2815</v>
      </c>
      <c r="G13329">
        <v>41.68</v>
      </c>
      <c r="H13329">
        <v>250101</v>
      </c>
      <c r="I13329">
        <v>4841</v>
      </c>
      <c r="J13329" t="s">
        <v>9</v>
      </c>
      <c r="K13329">
        <v>8925.9599999999991</v>
      </c>
      <c r="L13329">
        <v>8.4700000000000006</v>
      </c>
      <c r="M13329">
        <v>14975</v>
      </c>
      <c r="N13329" t="s">
        <v>84</v>
      </c>
      <c r="O13329">
        <v>241231</v>
      </c>
      <c r="P13329">
        <v>33.21</v>
      </c>
    </row>
    <row r="13330" spans="1:16" x14ac:dyDescent="0.25">
      <c r="A13330" t="s">
        <v>3296</v>
      </c>
      <c r="B13330" t="s">
        <v>2931</v>
      </c>
      <c r="C13330">
        <v>7</v>
      </c>
      <c r="D13330" t="str">
        <f t="shared" si="185"/>
        <v>412608-18/19</v>
      </c>
      <c r="E13330" t="s">
        <v>2814</v>
      </c>
      <c r="F13330" t="s">
        <v>2815</v>
      </c>
      <c r="G13330">
        <v>33.53</v>
      </c>
      <c r="H13330">
        <v>250101</v>
      </c>
      <c r="I13330">
        <v>4841</v>
      </c>
      <c r="J13330" t="s">
        <v>9</v>
      </c>
      <c r="K13330">
        <v>8925.9599999999991</v>
      </c>
      <c r="L13330">
        <v>6.81</v>
      </c>
      <c r="M13330">
        <v>14990</v>
      </c>
      <c r="N13330" t="s">
        <v>85</v>
      </c>
      <c r="O13330">
        <v>241231</v>
      </c>
      <c r="P13330">
        <v>26.72</v>
      </c>
    </row>
    <row r="13331" spans="1:16" x14ac:dyDescent="0.25">
      <c r="A13331" t="s">
        <v>3296</v>
      </c>
      <c r="B13331" t="s">
        <v>2931</v>
      </c>
      <c r="C13331">
        <v>7</v>
      </c>
      <c r="D13331" t="str">
        <f t="shared" si="185"/>
        <v>412608-18/19</v>
      </c>
      <c r="E13331" t="s">
        <v>2814</v>
      </c>
      <c r="F13331" t="s">
        <v>2815</v>
      </c>
      <c r="G13331">
        <v>48.32</v>
      </c>
      <c r="H13331">
        <v>250101</v>
      </c>
      <c r="I13331">
        <v>4841</v>
      </c>
      <c r="J13331" t="s">
        <v>9</v>
      </c>
      <c r="K13331">
        <v>8925.9599999999991</v>
      </c>
      <c r="L13331">
        <v>9.82</v>
      </c>
      <c r="M13331">
        <v>14990</v>
      </c>
      <c r="N13331" t="s">
        <v>85</v>
      </c>
      <c r="O13331">
        <v>241231</v>
      </c>
      <c r="P13331">
        <v>38.5</v>
      </c>
    </row>
    <row r="13332" spans="1:16" x14ac:dyDescent="0.25">
      <c r="A13332" t="s">
        <v>3296</v>
      </c>
      <c r="B13332" t="s">
        <v>2931</v>
      </c>
      <c r="C13332">
        <v>7</v>
      </c>
      <c r="D13332" t="str">
        <f t="shared" si="185"/>
        <v>412608-18/19</v>
      </c>
      <c r="E13332" t="s">
        <v>2814</v>
      </c>
      <c r="F13332" t="s">
        <v>2815</v>
      </c>
      <c r="G13332">
        <v>98.19</v>
      </c>
      <c r="H13332">
        <v>250101</v>
      </c>
      <c r="I13332">
        <v>4841</v>
      </c>
      <c r="J13332" t="s">
        <v>9</v>
      </c>
      <c r="K13332">
        <v>8925.9599999999991</v>
      </c>
      <c r="L13332">
        <v>19.95</v>
      </c>
      <c r="M13332">
        <v>18972</v>
      </c>
      <c r="N13332" t="s">
        <v>39</v>
      </c>
      <c r="O13332">
        <v>241231</v>
      </c>
      <c r="P13332">
        <v>78.239999999999995</v>
      </c>
    </row>
    <row r="13333" spans="1:16" x14ac:dyDescent="0.25">
      <c r="A13333" t="s">
        <v>3296</v>
      </c>
      <c r="B13333" t="s">
        <v>2931</v>
      </c>
      <c r="C13333">
        <v>8</v>
      </c>
      <c r="D13333" t="str">
        <f t="shared" ref="D13333:D13357" si="186">"412608-19/19"</f>
        <v>412608-19/19</v>
      </c>
      <c r="E13333" t="s">
        <v>2814</v>
      </c>
      <c r="F13333" t="s">
        <v>2815</v>
      </c>
      <c r="G13333">
        <v>131.83000000000001</v>
      </c>
      <c r="H13333">
        <v>250101</v>
      </c>
      <c r="I13333">
        <v>4841</v>
      </c>
      <c r="J13333" t="s">
        <v>9</v>
      </c>
      <c r="K13333">
        <v>11094.65</v>
      </c>
      <c r="L13333">
        <v>26.79</v>
      </c>
      <c r="M13333">
        <v>54222</v>
      </c>
      <c r="N13333" t="s">
        <v>48</v>
      </c>
      <c r="O13333">
        <v>241231</v>
      </c>
      <c r="P13333">
        <v>105.04</v>
      </c>
    </row>
    <row r="13334" spans="1:16" x14ac:dyDescent="0.25">
      <c r="A13334" t="s">
        <v>3296</v>
      </c>
      <c r="B13334" t="s">
        <v>2931</v>
      </c>
      <c r="C13334">
        <v>8</v>
      </c>
      <c r="D13334" t="str">
        <f t="shared" si="186"/>
        <v>412608-19/19</v>
      </c>
      <c r="E13334" t="s">
        <v>2814</v>
      </c>
      <c r="F13334" t="s">
        <v>2815</v>
      </c>
      <c r="G13334">
        <v>582.62</v>
      </c>
      <c r="H13334">
        <v>250101</v>
      </c>
      <c r="I13334">
        <v>4841</v>
      </c>
      <c r="J13334" t="s">
        <v>9</v>
      </c>
      <c r="K13334">
        <v>11094.65</v>
      </c>
      <c r="L13334">
        <v>118.38</v>
      </c>
      <c r="M13334">
        <v>54222</v>
      </c>
      <c r="N13334" t="s">
        <v>48</v>
      </c>
      <c r="O13334">
        <v>241231</v>
      </c>
      <c r="P13334">
        <v>464.24</v>
      </c>
    </row>
    <row r="13335" spans="1:16" x14ac:dyDescent="0.25">
      <c r="A13335" t="s">
        <v>3296</v>
      </c>
      <c r="B13335" t="s">
        <v>2931</v>
      </c>
      <c r="C13335">
        <v>8</v>
      </c>
      <c r="D13335" t="str">
        <f t="shared" si="186"/>
        <v>412608-19/19</v>
      </c>
      <c r="E13335" t="s">
        <v>2814</v>
      </c>
      <c r="F13335" t="s">
        <v>2815</v>
      </c>
      <c r="G13335">
        <v>42.31</v>
      </c>
      <c r="H13335">
        <v>250101</v>
      </c>
      <c r="I13335">
        <v>4841</v>
      </c>
      <c r="J13335" t="s">
        <v>9</v>
      </c>
      <c r="K13335">
        <v>11094.65</v>
      </c>
      <c r="L13335">
        <v>8.6</v>
      </c>
      <c r="M13335">
        <v>54222</v>
      </c>
      <c r="N13335" t="s">
        <v>48</v>
      </c>
      <c r="O13335">
        <v>241231</v>
      </c>
      <c r="P13335">
        <v>33.71</v>
      </c>
    </row>
    <row r="13336" spans="1:16" x14ac:dyDescent="0.25">
      <c r="A13336" t="s">
        <v>3296</v>
      </c>
      <c r="B13336" t="s">
        <v>2931</v>
      </c>
      <c r="C13336">
        <v>8</v>
      </c>
      <c r="D13336" t="str">
        <f t="shared" si="186"/>
        <v>412608-19/19</v>
      </c>
      <c r="E13336" t="s">
        <v>2814</v>
      </c>
      <c r="F13336" t="s">
        <v>2815</v>
      </c>
      <c r="G13336">
        <v>32.64</v>
      </c>
      <c r="H13336">
        <v>250101</v>
      </c>
      <c r="I13336">
        <v>4841</v>
      </c>
      <c r="J13336" t="s">
        <v>9</v>
      </c>
      <c r="K13336">
        <v>11094.65</v>
      </c>
      <c r="L13336">
        <v>6.63</v>
      </c>
      <c r="M13336">
        <v>54252</v>
      </c>
      <c r="N13336" t="s">
        <v>742</v>
      </c>
      <c r="O13336">
        <v>241231</v>
      </c>
      <c r="P13336">
        <v>26.01</v>
      </c>
    </row>
    <row r="13337" spans="1:16" x14ac:dyDescent="0.25">
      <c r="A13337" t="s">
        <v>3296</v>
      </c>
      <c r="B13337" t="s">
        <v>2931</v>
      </c>
      <c r="C13337">
        <v>8</v>
      </c>
      <c r="D13337" t="str">
        <f t="shared" si="186"/>
        <v>412608-19/19</v>
      </c>
      <c r="E13337" t="s">
        <v>2814</v>
      </c>
      <c r="F13337" t="s">
        <v>2815</v>
      </c>
      <c r="G13337">
        <v>108.73</v>
      </c>
      <c r="H13337">
        <v>250101</v>
      </c>
      <c r="I13337">
        <v>4841</v>
      </c>
      <c r="J13337" t="s">
        <v>9</v>
      </c>
      <c r="K13337">
        <v>11094.65</v>
      </c>
      <c r="L13337">
        <v>22.09</v>
      </c>
      <c r="M13337">
        <v>54422</v>
      </c>
      <c r="N13337" t="s">
        <v>49</v>
      </c>
      <c r="O13337">
        <v>241231</v>
      </c>
      <c r="P13337">
        <v>86.64</v>
      </c>
    </row>
    <row r="13338" spans="1:16" x14ac:dyDescent="0.25">
      <c r="A13338" t="s">
        <v>3296</v>
      </c>
      <c r="B13338" t="s">
        <v>2931</v>
      </c>
      <c r="C13338">
        <v>8</v>
      </c>
      <c r="D13338" t="str">
        <f t="shared" si="186"/>
        <v>412608-19/19</v>
      </c>
      <c r="E13338" t="s">
        <v>2814</v>
      </c>
      <c r="F13338" t="s">
        <v>2815</v>
      </c>
      <c r="G13338">
        <v>892.47</v>
      </c>
      <c r="H13338">
        <v>250101</v>
      </c>
      <c r="I13338">
        <v>4841</v>
      </c>
      <c r="J13338" t="s">
        <v>9</v>
      </c>
      <c r="K13338">
        <v>11094.65</v>
      </c>
      <c r="L13338">
        <v>181.34</v>
      </c>
      <c r="M13338">
        <v>54422</v>
      </c>
      <c r="N13338" t="s">
        <v>49</v>
      </c>
      <c r="O13338">
        <v>241231</v>
      </c>
      <c r="P13338">
        <v>711.13</v>
      </c>
    </row>
    <row r="13339" spans="1:16" x14ac:dyDescent="0.25">
      <c r="A13339" t="s">
        <v>3296</v>
      </c>
      <c r="B13339" t="s">
        <v>2931</v>
      </c>
      <c r="C13339">
        <v>8</v>
      </c>
      <c r="D13339" t="str">
        <f t="shared" si="186"/>
        <v>412608-19/19</v>
      </c>
      <c r="E13339" t="s">
        <v>2814</v>
      </c>
      <c r="F13339" t="s">
        <v>2815</v>
      </c>
      <c r="G13339">
        <v>84.61</v>
      </c>
      <c r="H13339">
        <v>250101</v>
      </c>
      <c r="I13339">
        <v>4841</v>
      </c>
      <c r="J13339" t="s">
        <v>9</v>
      </c>
      <c r="K13339">
        <v>11094.65</v>
      </c>
      <c r="L13339">
        <v>17.190000000000001</v>
      </c>
      <c r="M13339">
        <v>54422</v>
      </c>
      <c r="N13339" t="s">
        <v>49</v>
      </c>
      <c r="O13339">
        <v>241231</v>
      </c>
      <c r="P13339">
        <v>67.42</v>
      </c>
    </row>
    <row r="13340" spans="1:16" x14ac:dyDescent="0.25">
      <c r="A13340" t="s">
        <v>3296</v>
      </c>
      <c r="B13340" t="s">
        <v>2931</v>
      </c>
      <c r="C13340">
        <v>8</v>
      </c>
      <c r="D13340" t="str">
        <f t="shared" si="186"/>
        <v>412608-19/19</v>
      </c>
      <c r="E13340" t="s">
        <v>2814</v>
      </c>
      <c r="F13340" t="s">
        <v>2815</v>
      </c>
      <c r="G13340">
        <v>1203.8499999999999</v>
      </c>
      <c r="H13340">
        <v>250101</v>
      </c>
      <c r="I13340">
        <v>4841</v>
      </c>
      <c r="J13340" t="s">
        <v>9</v>
      </c>
      <c r="K13340">
        <v>11094.65</v>
      </c>
      <c r="L13340">
        <v>244.61</v>
      </c>
      <c r="M13340">
        <v>56558</v>
      </c>
      <c r="N13340" t="s">
        <v>50</v>
      </c>
      <c r="O13340">
        <v>241231</v>
      </c>
      <c r="P13340">
        <v>959.24</v>
      </c>
    </row>
    <row r="13341" spans="1:16" x14ac:dyDescent="0.25">
      <c r="A13341" t="s">
        <v>3296</v>
      </c>
      <c r="B13341" t="s">
        <v>2931</v>
      </c>
      <c r="C13341">
        <v>8</v>
      </c>
      <c r="D13341" t="str">
        <f t="shared" si="186"/>
        <v>412608-19/19</v>
      </c>
      <c r="E13341" t="s">
        <v>2814</v>
      </c>
      <c r="F13341" t="s">
        <v>2815</v>
      </c>
      <c r="G13341">
        <v>1143.78</v>
      </c>
      <c r="H13341">
        <v>250101</v>
      </c>
      <c r="I13341">
        <v>4841</v>
      </c>
      <c r="J13341" t="s">
        <v>9</v>
      </c>
      <c r="K13341">
        <v>11094.65</v>
      </c>
      <c r="L13341">
        <v>232.4</v>
      </c>
      <c r="M13341">
        <v>56559</v>
      </c>
      <c r="N13341" t="s">
        <v>51</v>
      </c>
      <c r="O13341">
        <v>241231</v>
      </c>
      <c r="P13341">
        <v>911.38</v>
      </c>
    </row>
    <row r="13342" spans="1:16" x14ac:dyDescent="0.25">
      <c r="A13342" t="s">
        <v>3296</v>
      </c>
      <c r="B13342" t="s">
        <v>2931</v>
      </c>
      <c r="C13342">
        <v>8</v>
      </c>
      <c r="D13342" t="str">
        <f t="shared" si="186"/>
        <v>412608-19/19</v>
      </c>
      <c r="E13342" t="s">
        <v>2814</v>
      </c>
      <c r="F13342" t="s">
        <v>2815</v>
      </c>
      <c r="G13342">
        <v>1353.05</v>
      </c>
      <c r="H13342">
        <v>250101</v>
      </c>
      <c r="I13342">
        <v>4841</v>
      </c>
      <c r="J13342" t="s">
        <v>9</v>
      </c>
      <c r="K13342">
        <v>11094.65</v>
      </c>
      <c r="L13342">
        <v>274.92</v>
      </c>
      <c r="M13342">
        <v>56560</v>
      </c>
      <c r="N13342" t="s">
        <v>52</v>
      </c>
      <c r="O13342">
        <v>241231</v>
      </c>
      <c r="P13342">
        <v>1078.1300000000001</v>
      </c>
    </row>
    <row r="13343" spans="1:16" x14ac:dyDescent="0.25">
      <c r="A13343" t="s">
        <v>3296</v>
      </c>
      <c r="B13343" t="s">
        <v>2931</v>
      </c>
      <c r="C13343">
        <v>8</v>
      </c>
      <c r="D13343" t="str">
        <f t="shared" si="186"/>
        <v>412608-19/19</v>
      </c>
      <c r="E13343" t="s">
        <v>2814</v>
      </c>
      <c r="F13343" t="s">
        <v>2815</v>
      </c>
      <c r="G13343">
        <v>144.38</v>
      </c>
      <c r="H13343">
        <v>250101</v>
      </c>
      <c r="I13343">
        <v>4841</v>
      </c>
      <c r="J13343" t="s">
        <v>9</v>
      </c>
      <c r="K13343">
        <v>11094.65</v>
      </c>
      <c r="L13343">
        <v>29.34</v>
      </c>
      <c r="M13343">
        <v>56561</v>
      </c>
      <c r="N13343" t="s">
        <v>53</v>
      </c>
      <c r="O13343">
        <v>241231</v>
      </c>
      <c r="P13343">
        <v>115.04</v>
      </c>
    </row>
    <row r="13344" spans="1:16" x14ac:dyDescent="0.25">
      <c r="A13344" t="s">
        <v>3296</v>
      </c>
      <c r="B13344" t="s">
        <v>2931</v>
      </c>
      <c r="C13344">
        <v>8</v>
      </c>
      <c r="D13344" t="str">
        <f t="shared" si="186"/>
        <v>412608-19/19</v>
      </c>
      <c r="E13344" t="s">
        <v>2814</v>
      </c>
      <c r="F13344" t="s">
        <v>2815</v>
      </c>
      <c r="G13344">
        <v>684.14</v>
      </c>
      <c r="H13344">
        <v>250101</v>
      </c>
      <c r="I13344">
        <v>4841</v>
      </c>
      <c r="J13344" t="s">
        <v>9</v>
      </c>
      <c r="K13344">
        <v>11094.65</v>
      </c>
      <c r="L13344">
        <v>139.01</v>
      </c>
      <c r="M13344">
        <v>56562</v>
      </c>
      <c r="N13344" t="s">
        <v>54</v>
      </c>
      <c r="O13344">
        <v>241231</v>
      </c>
      <c r="P13344">
        <v>545.13</v>
      </c>
    </row>
    <row r="13345" spans="1:16" x14ac:dyDescent="0.25">
      <c r="A13345" t="s">
        <v>3296</v>
      </c>
      <c r="B13345" t="s">
        <v>2931</v>
      </c>
      <c r="C13345">
        <v>8</v>
      </c>
      <c r="D13345" t="str">
        <f t="shared" si="186"/>
        <v>412608-19/19</v>
      </c>
      <c r="E13345" t="s">
        <v>2814</v>
      </c>
      <c r="F13345" t="s">
        <v>2815</v>
      </c>
      <c r="G13345">
        <v>81.12</v>
      </c>
      <c r="H13345">
        <v>250101</v>
      </c>
      <c r="I13345">
        <v>4841</v>
      </c>
      <c r="J13345" t="s">
        <v>9</v>
      </c>
      <c r="K13345">
        <v>11094.65</v>
      </c>
      <c r="L13345">
        <v>16.48</v>
      </c>
      <c r="M13345">
        <v>56564</v>
      </c>
      <c r="N13345" t="s">
        <v>56</v>
      </c>
      <c r="O13345">
        <v>241231</v>
      </c>
      <c r="P13345">
        <v>64.64</v>
      </c>
    </row>
    <row r="13346" spans="1:16" x14ac:dyDescent="0.25">
      <c r="A13346" t="s">
        <v>3296</v>
      </c>
      <c r="B13346" t="s">
        <v>2931</v>
      </c>
      <c r="C13346">
        <v>8</v>
      </c>
      <c r="D13346" t="str">
        <f t="shared" si="186"/>
        <v>412608-19/19</v>
      </c>
      <c r="E13346" t="s">
        <v>2814</v>
      </c>
      <c r="F13346" t="s">
        <v>2815</v>
      </c>
      <c r="G13346">
        <v>92.91</v>
      </c>
      <c r="H13346">
        <v>250101</v>
      </c>
      <c r="I13346">
        <v>4841</v>
      </c>
      <c r="J13346" t="s">
        <v>9</v>
      </c>
      <c r="K13346">
        <v>11094.65</v>
      </c>
      <c r="L13346">
        <v>18.88</v>
      </c>
      <c r="M13346">
        <v>56565</v>
      </c>
      <c r="N13346" t="s">
        <v>57</v>
      </c>
      <c r="O13346">
        <v>241231</v>
      </c>
      <c r="P13346">
        <v>74.03</v>
      </c>
    </row>
    <row r="13347" spans="1:16" x14ac:dyDescent="0.25">
      <c r="A13347" t="s">
        <v>3296</v>
      </c>
      <c r="B13347" t="s">
        <v>2931</v>
      </c>
      <c r="C13347">
        <v>8</v>
      </c>
      <c r="D13347" t="str">
        <f t="shared" si="186"/>
        <v>412608-19/19</v>
      </c>
      <c r="E13347" t="s">
        <v>2814</v>
      </c>
      <c r="F13347" t="s">
        <v>2815</v>
      </c>
      <c r="G13347">
        <v>2035.3</v>
      </c>
      <c r="H13347">
        <v>250101</v>
      </c>
      <c r="I13347">
        <v>4841</v>
      </c>
      <c r="J13347" t="s">
        <v>9</v>
      </c>
      <c r="K13347">
        <v>11094.65</v>
      </c>
      <c r="L13347">
        <v>413.55</v>
      </c>
      <c r="M13347">
        <v>56566</v>
      </c>
      <c r="N13347" t="s">
        <v>58</v>
      </c>
      <c r="O13347">
        <v>241231</v>
      </c>
      <c r="P13347">
        <v>1621.75</v>
      </c>
    </row>
    <row r="13348" spans="1:16" x14ac:dyDescent="0.25">
      <c r="A13348" t="s">
        <v>3296</v>
      </c>
      <c r="B13348" t="s">
        <v>2931</v>
      </c>
      <c r="C13348">
        <v>8</v>
      </c>
      <c r="D13348" t="str">
        <f t="shared" si="186"/>
        <v>412608-19/19</v>
      </c>
      <c r="E13348" t="s">
        <v>2814</v>
      </c>
      <c r="F13348" t="s">
        <v>2815</v>
      </c>
      <c r="G13348">
        <v>507.67</v>
      </c>
      <c r="H13348">
        <v>250101</v>
      </c>
      <c r="I13348">
        <v>4841</v>
      </c>
      <c r="J13348" t="s">
        <v>9</v>
      </c>
      <c r="K13348">
        <v>11094.65</v>
      </c>
      <c r="L13348">
        <v>103.15</v>
      </c>
      <c r="M13348">
        <v>56566</v>
      </c>
      <c r="N13348" t="s">
        <v>58</v>
      </c>
      <c r="O13348">
        <v>241231</v>
      </c>
      <c r="P13348">
        <v>404.52</v>
      </c>
    </row>
    <row r="13349" spans="1:16" x14ac:dyDescent="0.25">
      <c r="A13349" t="s">
        <v>3296</v>
      </c>
      <c r="B13349" t="s">
        <v>2931</v>
      </c>
      <c r="C13349">
        <v>8</v>
      </c>
      <c r="D13349" t="str">
        <f t="shared" si="186"/>
        <v>412608-19/19</v>
      </c>
      <c r="E13349" t="s">
        <v>2814</v>
      </c>
      <c r="F13349" t="s">
        <v>2815</v>
      </c>
      <c r="G13349">
        <v>778.71</v>
      </c>
      <c r="H13349">
        <v>250101</v>
      </c>
      <c r="I13349">
        <v>4841</v>
      </c>
      <c r="J13349" t="s">
        <v>9</v>
      </c>
      <c r="K13349">
        <v>11094.65</v>
      </c>
      <c r="L13349">
        <v>158.22</v>
      </c>
      <c r="M13349">
        <v>58601</v>
      </c>
      <c r="N13349" t="s">
        <v>59</v>
      </c>
      <c r="O13349">
        <v>241231</v>
      </c>
      <c r="P13349">
        <v>620.49</v>
      </c>
    </row>
    <row r="13350" spans="1:16" x14ac:dyDescent="0.25">
      <c r="A13350" t="s">
        <v>3296</v>
      </c>
      <c r="B13350" t="s">
        <v>2931</v>
      </c>
      <c r="C13350">
        <v>8</v>
      </c>
      <c r="D13350" t="str">
        <f t="shared" si="186"/>
        <v>412608-19/19</v>
      </c>
      <c r="E13350" t="s">
        <v>2814</v>
      </c>
      <c r="F13350" t="s">
        <v>2815</v>
      </c>
      <c r="G13350">
        <v>32.64</v>
      </c>
      <c r="H13350">
        <v>250101</v>
      </c>
      <c r="I13350">
        <v>4841</v>
      </c>
      <c r="J13350" t="s">
        <v>9</v>
      </c>
      <c r="K13350">
        <v>11094.65</v>
      </c>
      <c r="L13350">
        <v>6.63</v>
      </c>
      <c r="M13350">
        <v>59111</v>
      </c>
      <c r="N13350" t="s">
        <v>60</v>
      </c>
      <c r="O13350">
        <v>241231</v>
      </c>
      <c r="P13350">
        <v>26.01</v>
      </c>
    </row>
    <row r="13351" spans="1:16" x14ac:dyDescent="0.25">
      <c r="A13351" t="s">
        <v>3296</v>
      </c>
      <c r="B13351" t="s">
        <v>2931</v>
      </c>
      <c r="C13351">
        <v>8</v>
      </c>
      <c r="D13351" t="str">
        <f t="shared" si="186"/>
        <v>412608-19/19</v>
      </c>
      <c r="E13351" t="s">
        <v>2814</v>
      </c>
      <c r="F13351" t="s">
        <v>2815</v>
      </c>
      <c r="G13351">
        <v>40.56</v>
      </c>
      <c r="H13351">
        <v>250101</v>
      </c>
      <c r="I13351">
        <v>4841</v>
      </c>
      <c r="J13351" t="s">
        <v>9</v>
      </c>
      <c r="K13351">
        <v>11094.65</v>
      </c>
      <c r="L13351">
        <v>8.24</v>
      </c>
      <c r="M13351">
        <v>59501</v>
      </c>
      <c r="N13351" t="s">
        <v>62</v>
      </c>
      <c r="O13351">
        <v>241231</v>
      </c>
      <c r="P13351">
        <v>32.32</v>
      </c>
    </row>
    <row r="13352" spans="1:16" x14ac:dyDescent="0.25">
      <c r="A13352" t="s">
        <v>3296</v>
      </c>
      <c r="B13352" t="s">
        <v>2931</v>
      </c>
      <c r="C13352">
        <v>8</v>
      </c>
      <c r="D13352" t="str">
        <f t="shared" si="186"/>
        <v>412608-19/19</v>
      </c>
      <c r="E13352" t="s">
        <v>2814</v>
      </c>
      <c r="F13352" t="s">
        <v>2815</v>
      </c>
      <c r="G13352">
        <v>207.61</v>
      </c>
      <c r="H13352">
        <v>250101</v>
      </c>
      <c r="I13352">
        <v>4841</v>
      </c>
      <c r="J13352" t="s">
        <v>9</v>
      </c>
      <c r="K13352">
        <v>11094.65</v>
      </c>
      <c r="L13352">
        <v>42.18</v>
      </c>
      <c r="M13352">
        <v>59502</v>
      </c>
      <c r="N13352" t="s">
        <v>63</v>
      </c>
      <c r="O13352">
        <v>241231</v>
      </c>
      <c r="P13352">
        <v>165.43</v>
      </c>
    </row>
    <row r="13353" spans="1:16" x14ac:dyDescent="0.25">
      <c r="A13353" t="s">
        <v>3296</v>
      </c>
      <c r="B13353" t="s">
        <v>2931</v>
      </c>
      <c r="C13353">
        <v>8</v>
      </c>
      <c r="D13353" t="str">
        <f t="shared" si="186"/>
        <v>412608-19/19</v>
      </c>
      <c r="E13353" t="s">
        <v>2814</v>
      </c>
      <c r="F13353" t="s">
        <v>2815</v>
      </c>
      <c r="G13353">
        <v>245.95</v>
      </c>
      <c r="H13353">
        <v>250101</v>
      </c>
      <c r="I13353">
        <v>4841</v>
      </c>
      <c r="J13353" t="s">
        <v>9</v>
      </c>
      <c r="K13353">
        <v>11094.65</v>
      </c>
      <c r="L13353">
        <v>49.97</v>
      </c>
      <c r="M13353">
        <v>59701</v>
      </c>
      <c r="N13353" t="s">
        <v>64</v>
      </c>
      <c r="O13353">
        <v>241231</v>
      </c>
      <c r="P13353">
        <v>195.98</v>
      </c>
    </row>
    <row r="13354" spans="1:16" x14ac:dyDescent="0.25">
      <c r="A13354" t="s">
        <v>3296</v>
      </c>
      <c r="B13354" t="s">
        <v>2931</v>
      </c>
      <c r="C13354">
        <v>8</v>
      </c>
      <c r="D13354" t="str">
        <f t="shared" si="186"/>
        <v>412608-19/19</v>
      </c>
      <c r="E13354" t="s">
        <v>2814</v>
      </c>
      <c r="F13354" t="s">
        <v>2815</v>
      </c>
      <c r="G13354">
        <v>57.13</v>
      </c>
      <c r="H13354">
        <v>250101</v>
      </c>
      <c r="I13354">
        <v>4841</v>
      </c>
      <c r="J13354" t="s">
        <v>9</v>
      </c>
      <c r="K13354">
        <v>11094.65</v>
      </c>
      <c r="L13354">
        <v>11.61</v>
      </c>
      <c r="M13354">
        <v>59702</v>
      </c>
      <c r="N13354" t="s">
        <v>45</v>
      </c>
      <c r="O13354">
        <v>241231</v>
      </c>
      <c r="P13354">
        <v>45.52</v>
      </c>
    </row>
    <row r="13355" spans="1:16" x14ac:dyDescent="0.25">
      <c r="A13355" t="s">
        <v>3296</v>
      </c>
      <c r="B13355" t="s">
        <v>2931</v>
      </c>
      <c r="C13355">
        <v>8</v>
      </c>
      <c r="D13355" t="str">
        <f t="shared" si="186"/>
        <v>412608-19/19</v>
      </c>
      <c r="E13355" t="s">
        <v>2814</v>
      </c>
      <c r="F13355" t="s">
        <v>2815</v>
      </c>
      <c r="G13355">
        <v>517.9</v>
      </c>
      <c r="H13355">
        <v>250101</v>
      </c>
      <c r="I13355">
        <v>4841</v>
      </c>
      <c r="J13355" t="s">
        <v>9</v>
      </c>
      <c r="K13355">
        <v>11094.65</v>
      </c>
      <c r="L13355">
        <v>105.23</v>
      </c>
      <c r="M13355">
        <v>59702</v>
      </c>
      <c r="N13355" t="s">
        <v>45</v>
      </c>
      <c r="O13355">
        <v>241231</v>
      </c>
      <c r="P13355">
        <v>412.67</v>
      </c>
    </row>
    <row r="13356" spans="1:16" x14ac:dyDescent="0.25">
      <c r="A13356" t="s">
        <v>3296</v>
      </c>
      <c r="B13356" t="s">
        <v>2931</v>
      </c>
      <c r="C13356">
        <v>8</v>
      </c>
      <c r="D13356" t="str">
        <f t="shared" si="186"/>
        <v>412608-19/19</v>
      </c>
      <c r="E13356" t="s">
        <v>2814</v>
      </c>
      <c r="F13356" t="s">
        <v>2815</v>
      </c>
      <c r="G13356">
        <v>60.85</v>
      </c>
      <c r="H13356">
        <v>250101</v>
      </c>
      <c r="I13356">
        <v>4841</v>
      </c>
      <c r="J13356" t="s">
        <v>9</v>
      </c>
      <c r="K13356">
        <v>11094.65</v>
      </c>
      <c r="L13356">
        <v>12.36</v>
      </c>
      <c r="M13356">
        <v>59704</v>
      </c>
      <c r="N13356" t="s">
        <v>46</v>
      </c>
      <c r="O13356">
        <v>241231</v>
      </c>
      <c r="P13356">
        <v>48.49</v>
      </c>
    </row>
    <row r="13357" spans="1:16" x14ac:dyDescent="0.25">
      <c r="A13357" t="s">
        <v>3296</v>
      </c>
      <c r="B13357" t="s">
        <v>2931</v>
      </c>
      <c r="C13357">
        <v>8</v>
      </c>
      <c r="D13357" t="str">
        <f t="shared" si="186"/>
        <v>412608-19/19</v>
      </c>
      <c r="E13357" t="s">
        <v>2814</v>
      </c>
      <c r="F13357" t="s">
        <v>2815</v>
      </c>
      <c r="G13357">
        <v>31.89</v>
      </c>
      <c r="H13357">
        <v>250101</v>
      </c>
      <c r="I13357">
        <v>4841</v>
      </c>
      <c r="J13357" t="s">
        <v>9</v>
      </c>
      <c r="K13357">
        <v>11094.65</v>
      </c>
      <c r="L13357">
        <v>6.48</v>
      </c>
      <c r="M13357">
        <v>59815</v>
      </c>
      <c r="N13357" t="s">
        <v>1001</v>
      </c>
      <c r="O13357">
        <v>241231</v>
      </c>
      <c r="P13357">
        <v>25.41</v>
      </c>
    </row>
    <row r="13358" spans="1:16" x14ac:dyDescent="0.25">
      <c r="A13358" t="s">
        <v>3296</v>
      </c>
      <c r="B13358" t="s">
        <v>2931</v>
      </c>
      <c r="C13358">
        <v>15</v>
      </c>
      <c r="D13358" t="str">
        <f t="shared" ref="D13358:D13377" si="187">"412608-11/19"</f>
        <v>412608-11/19</v>
      </c>
      <c r="E13358" t="s">
        <v>2814</v>
      </c>
      <c r="F13358" t="s">
        <v>2815</v>
      </c>
      <c r="G13358">
        <v>416.15</v>
      </c>
      <c r="H13358">
        <v>250101</v>
      </c>
      <c r="I13358">
        <v>4841</v>
      </c>
      <c r="J13358" t="s">
        <v>9</v>
      </c>
      <c r="K13358">
        <v>9363.2099999999991</v>
      </c>
      <c r="L13358">
        <v>84.56</v>
      </c>
      <c r="M13358">
        <v>41126</v>
      </c>
      <c r="N13358" t="s">
        <v>94</v>
      </c>
      <c r="O13358">
        <v>241231</v>
      </c>
      <c r="P13358">
        <v>331.59</v>
      </c>
    </row>
    <row r="13359" spans="1:16" x14ac:dyDescent="0.25">
      <c r="A13359" t="s">
        <v>3296</v>
      </c>
      <c r="B13359" t="s">
        <v>2931</v>
      </c>
      <c r="C13359">
        <v>15</v>
      </c>
      <c r="D13359" t="str">
        <f t="shared" si="187"/>
        <v>412608-11/19</v>
      </c>
      <c r="E13359" t="s">
        <v>2814</v>
      </c>
      <c r="F13359" t="s">
        <v>2815</v>
      </c>
      <c r="G13359">
        <v>550.27</v>
      </c>
      <c r="H13359">
        <v>250101</v>
      </c>
      <c r="I13359">
        <v>4841</v>
      </c>
      <c r="J13359" t="s">
        <v>9</v>
      </c>
      <c r="K13359">
        <v>9363.2099999999991</v>
      </c>
      <c r="L13359">
        <v>111.81</v>
      </c>
      <c r="M13359">
        <v>43222</v>
      </c>
      <c r="N13359" t="s">
        <v>95</v>
      </c>
      <c r="O13359">
        <v>241231</v>
      </c>
      <c r="P13359">
        <v>438.46</v>
      </c>
    </row>
    <row r="13360" spans="1:16" x14ac:dyDescent="0.25">
      <c r="A13360" t="s">
        <v>3296</v>
      </c>
      <c r="B13360" t="s">
        <v>2931</v>
      </c>
      <c r="C13360">
        <v>15</v>
      </c>
      <c r="D13360" t="str">
        <f t="shared" si="187"/>
        <v>412608-11/19</v>
      </c>
      <c r="E13360" t="s">
        <v>2814</v>
      </c>
      <c r="F13360" t="s">
        <v>2815</v>
      </c>
      <c r="G13360">
        <v>1244.28</v>
      </c>
      <c r="H13360">
        <v>250101</v>
      </c>
      <c r="I13360">
        <v>4841</v>
      </c>
      <c r="J13360" t="s">
        <v>9</v>
      </c>
      <c r="K13360">
        <v>9363.2099999999991</v>
      </c>
      <c r="L13360">
        <v>252.82</v>
      </c>
      <c r="M13360">
        <v>44222</v>
      </c>
      <c r="N13360" t="s">
        <v>96</v>
      </c>
      <c r="O13360">
        <v>241231</v>
      </c>
      <c r="P13360">
        <v>991.46</v>
      </c>
    </row>
    <row r="13361" spans="1:16" x14ac:dyDescent="0.25">
      <c r="A13361" t="s">
        <v>3296</v>
      </c>
      <c r="B13361" t="s">
        <v>2931</v>
      </c>
      <c r="C13361">
        <v>15</v>
      </c>
      <c r="D13361" t="str">
        <f t="shared" si="187"/>
        <v>412608-11/19</v>
      </c>
      <c r="E13361" t="s">
        <v>2814</v>
      </c>
      <c r="F13361" t="s">
        <v>2815</v>
      </c>
      <c r="G13361">
        <v>1336.39</v>
      </c>
      <c r="H13361">
        <v>250101</v>
      </c>
      <c r="I13361">
        <v>4841</v>
      </c>
      <c r="J13361" t="s">
        <v>9</v>
      </c>
      <c r="K13361">
        <v>9363.2099999999991</v>
      </c>
      <c r="L13361">
        <v>271.54000000000002</v>
      </c>
      <c r="M13361">
        <v>44424</v>
      </c>
      <c r="N13361" t="s">
        <v>99</v>
      </c>
      <c r="O13361">
        <v>241231</v>
      </c>
      <c r="P13361">
        <v>1064.8499999999999</v>
      </c>
    </row>
    <row r="13362" spans="1:16" x14ac:dyDescent="0.25">
      <c r="A13362" t="s">
        <v>3296</v>
      </c>
      <c r="B13362" t="s">
        <v>2931</v>
      </c>
      <c r="C13362">
        <v>15</v>
      </c>
      <c r="D13362" t="str">
        <f t="shared" si="187"/>
        <v>412608-11/19</v>
      </c>
      <c r="E13362" t="s">
        <v>2814</v>
      </c>
      <c r="F13362" t="s">
        <v>2815</v>
      </c>
      <c r="G13362">
        <v>34.659999999999997</v>
      </c>
      <c r="H13362">
        <v>250101</v>
      </c>
      <c r="I13362">
        <v>4841</v>
      </c>
      <c r="J13362" t="s">
        <v>9</v>
      </c>
      <c r="K13362">
        <v>9363.2099999999991</v>
      </c>
      <c r="L13362">
        <v>7.04</v>
      </c>
      <c r="M13362">
        <v>44453</v>
      </c>
      <c r="N13362" t="s">
        <v>100</v>
      </c>
      <c r="O13362">
        <v>241231</v>
      </c>
      <c r="P13362">
        <v>27.62</v>
      </c>
    </row>
    <row r="13363" spans="1:16" x14ac:dyDescent="0.25">
      <c r="A13363" t="s">
        <v>3296</v>
      </c>
      <c r="B13363" t="s">
        <v>2931</v>
      </c>
      <c r="C13363">
        <v>15</v>
      </c>
      <c r="D13363" t="str">
        <f t="shared" si="187"/>
        <v>412608-11/19</v>
      </c>
      <c r="E13363" t="s">
        <v>2814</v>
      </c>
      <c r="F13363" t="s">
        <v>2815</v>
      </c>
      <c r="G13363">
        <v>289.67</v>
      </c>
      <c r="H13363">
        <v>250101</v>
      </c>
      <c r="I13363">
        <v>4841</v>
      </c>
      <c r="J13363" t="s">
        <v>9</v>
      </c>
      <c r="K13363">
        <v>9363.2099999999991</v>
      </c>
      <c r="L13363">
        <v>58.86</v>
      </c>
      <c r="M13363">
        <v>46222</v>
      </c>
      <c r="N13363" t="s">
        <v>101</v>
      </c>
      <c r="O13363">
        <v>241231</v>
      </c>
      <c r="P13363">
        <v>230.81</v>
      </c>
    </row>
    <row r="13364" spans="1:16" x14ac:dyDescent="0.25">
      <c r="A13364" t="s">
        <v>3296</v>
      </c>
      <c r="B13364" t="s">
        <v>2931</v>
      </c>
      <c r="C13364">
        <v>15</v>
      </c>
      <c r="D13364" t="str">
        <f t="shared" si="187"/>
        <v>412608-11/19</v>
      </c>
      <c r="E13364" t="s">
        <v>2814</v>
      </c>
      <c r="F13364" t="s">
        <v>2815</v>
      </c>
      <c r="G13364">
        <v>1337.62</v>
      </c>
      <c r="H13364">
        <v>250101</v>
      </c>
      <c r="I13364">
        <v>4841</v>
      </c>
      <c r="J13364" t="s">
        <v>9</v>
      </c>
      <c r="K13364">
        <v>9363.2099999999991</v>
      </c>
      <c r="L13364">
        <v>271.79000000000002</v>
      </c>
      <c r="M13364">
        <v>46554</v>
      </c>
      <c r="N13364" t="s">
        <v>102</v>
      </c>
      <c r="O13364">
        <v>241231</v>
      </c>
      <c r="P13364">
        <v>1065.83</v>
      </c>
    </row>
    <row r="13365" spans="1:16" x14ac:dyDescent="0.25">
      <c r="A13365" t="s">
        <v>3296</v>
      </c>
      <c r="B13365" t="s">
        <v>2931</v>
      </c>
      <c r="C13365">
        <v>15</v>
      </c>
      <c r="D13365" t="str">
        <f t="shared" si="187"/>
        <v>412608-11/19</v>
      </c>
      <c r="E13365" t="s">
        <v>2814</v>
      </c>
      <c r="F13365" t="s">
        <v>2815</v>
      </c>
      <c r="G13365">
        <v>282.54000000000002</v>
      </c>
      <c r="H13365">
        <v>250101</v>
      </c>
      <c r="I13365">
        <v>4841</v>
      </c>
      <c r="J13365" t="s">
        <v>9</v>
      </c>
      <c r="K13365">
        <v>9363.2099999999991</v>
      </c>
      <c r="L13365">
        <v>57.41</v>
      </c>
      <c r="M13365">
        <v>46555</v>
      </c>
      <c r="N13365" t="s">
        <v>103</v>
      </c>
      <c r="O13365">
        <v>241231</v>
      </c>
      <c r="P13365">
        <v>225.13</v>
      </c>
    </row>
    <row r="13366" spans="1:16" x14ac:dyDescent="0.25">
      <c r="A13366" t="s">
        <v>3296</v>
      </c>
      <c r="B13366" t="s">
        <v>2931</v>
      </c>
      <c r="C13366">
        <v>15</v>
      </c>
      <c r="D13366" t="str">
        <f t="shared" si="187"/>
        <v>412608-11/19</v>
      </c>
      <c r="E13366" t="s">
        <v>2814</v>
      </c>
      <c r="F13366" t="s">
        <v>2815</v>
      </c>
      <c r="G13366">
        <v>450.22</v>
      </c>
      <c r="H13366">
        <v>250101</v>
      </c>
      <c r="I13366">
        <v>4841</v>
      </c>
      <c r="J13366" t="s">
        <v>9</v>
      </c>
      <c r="K13366">
        <v>9363.2099999999991</v>
      </c>
      <c r="L13366">
        <v>91.48</v>
      </c>
      <c r="M13366">
        <v>46556</v>
      </c>
      <c r="N13366" t="s">
        <v>458</v>
      </c>
      <c r="O13366">
        <v>241231</v>
      </c>
      <c r="P13366">
        <v>358.74</v>
      </c>
    </row>
    <row r="13367" spans="1:16" x14ac:dyDescent="0.25">
      <c r="A13367" t="s">
        <v>3296</v>
      </c>
      <c r="B13367" t="s">
        <v>2931</v>
      </c>
      <c r="C13367">
        <v>15</v>
      </c>
      <c r="D13367" t="str">
        <f t="shared" si="187"/>
        <v>412608-11/19</v>
      </c>
      <c r="E13367" t="s">
        <v>2814</v>
      </c>
      <c r="F13367" t="s">
        <v>2815</v>
      </c>
      <c r="G13367">
        <v>78.709999999999994</v>
      </c>
      <c r="H13367">
        <v>250101</v>
      </c>
      <c r="I13367">
        <v>4841</v>
      </c>
      <c r="J13367" t="s">
        <v>9</v>
      </c>
      <c r="K13367">
        <v>9363.2099999999991</v>
      </c>
      <c r="L13367">
        <v>15.99</v>
      </c>
      <c r="M13367">
        <v>46557</v>
      </c>
      <c r="N13367" t="s">
        <v>104</v>
      </c>
      <c r="O13367">
        <v>241231</v>
      </c>
      <c r="P13367">
        <v>62.72</v>
      </c>
    </row>
    <row r="13368" spans="1:16" x14ac:dyDescent="0.25">
      <c r="A13368" t="s">
        <v>3296</v>
      </c>
      <c r="B13368" t="s">
        <v>2931</v>
      </c>
      <c r="C13368">
        <v>15</v>
      </c>
      <c r="D13368" t="str">
        <f t="shared" si="187"/>
        <v>412608-11/19</v>
      </c>
      <c r="E13368" t="s">
        <v>2814</v>
      </c>
      <c r="F13368" t="s">
        <v>2815</v>
      </c>
      <c r="G13368">
        <v>839.78</v>
      </c>
      <c r="H13368">
        <v>250101</v>
      </c>
      <c r="I13368">
        <v>4841</v>
      </c>
      <c r="J13368" t="s">
        <v>9</v>
      </c>
      <c r="K13368">
        <v>9363.2099999999991</v>
      </c>
      <c r="L13368">
        <v>170.63</v>
      </c>
      <c r="M13368">
        <v>46559</v>
      </c>
      <c r="N13368" t="s">
        <v>105</v>
      </c>
      <c r="O13368">
        <v>241231</v>
      </c>
      <c r="P13368">
        <v>669.15</v>
      </c>
    </row>
    <row r="13369" spans="1:16" x14ac:dyDescent="0.25">
      <c r="A13369" t="s">
        <v>3296</v>
      </c>
      <c r="B13369" t="s">
        <v>2931</v>
      </c>
      <c r="C13369">
        <v>15</v>
      </c>
      <c r="D13369" t="str">
        <f t="shared" si="187"/>
        <v>412608-11/19</v>
      </c>
      <c r="E13369" t="s">
        <v>2814</v>
      </c>
      <c r="F13369" t="s">
        <v>2815</v>
      </c>
      <c r="G13369">
        <v>757.07</v>
      </c>
      <c r="H13369">
        <v>250101</v>
      </c>
      <c r="I13369">
        <v>4841</v>
      </c>
      <c r="J13369" t="s">
        <v>9</v>
      </c>
      <c r="K13369">
        <v>9363.2099999999991</v>
      </c>
      <c r="L13369">
        <v>153.83000000000001</v>
      </c>
      <c r="M13369">
        <v>47522</v>
      </c>
      <c r="N13369" t="s">
        <v>106</v>
      </c>
      <c r="O13369">
        <v>241231</v>
      </c>
      <c r="P13369">
        <v>603.24</v>
      </c>
    </row>
    <row r="13370" spans="1:16" x14ac:dyDescent="0.25">
      <c r="A13370" t="s">
        <v>3296</v>
      </c>
      <c r="B13370" t="s">
        <v>2931</v>
      </c>
      <c r="C13370">
        <v>15</v>
      </c>
      <c r="D13370" t="str">
        <f t="shared" si="187"/>
        <v>412608-11/19</v>
      </c>
      <c r="E13370" t="s">
        <v>2814</v>
      </c>
      <c r="F13370" t="s">
        <v>2815</v>
      </c>
      <c r="G13370">
        <v>51.74</v>
      </c>
      <c r="H13370">
        <v>250101</v>
      </c>
      <c r="I13370">
        <v>4841</v>
      </c>
      <c r="J13370" t="s">
        <v>9</v>
      </c>
      <c r="K13370">
        <v>9363.2099999999991</v>
      </c>
      <c r="L13370">
        <v>10.51</v>
      </c>
      <c r="M13370">
        <v>48601</v>
      </c>
      <c r="N13370" t="s">
        <v>107</v>
      </c>
      <c r="O13370">
        <v>241231</v>
      </c>
      <c r="P13370">
        <v>41.23</v>
      </c>
    </row>
    <row r="13371" spans="1:16" x14ac:dyDescent="0.25">
      <c r="A13371" t="s">
        <v>3296</v>
      </c>
      <c r="B13371" t="s">
        <v>2931</v>
      </c>
      <c r="C13371">
        <v>15</v>
      </c>
      <c r="D13371" t="str">
        <f t="shared" si="187"/>
        <v>412608-11/19</v>
      </c>
      <c r="E13371" t="s">
        <v>2814</v>
      </c>
      <c r="F13371" t="s">
        <v>2815</v>
      </c>
      <c r="G13371">
        <v>433.38</v>
      </c>
      <c r="H13371">
        <v>250101</v>
      </c>
      <c r="I13371">
        <v>4841</v>
      </c>
      <c r="J13371" t="s">
        <v>9</v>
      </c>
      <c r="K13371">
        <v>9363.2099999999991</v>
      </c>
      <c r="L13371">
        <v>88.06</v>
      </c>
      <c r="M13371">
        <v>48601</v>
      </c>
      <c r="N13371" t="s">
        <v>107</v>
      </c>
      <c r="O13371">
        <v>241231</v>
      </c>
      <c r="P13371">
        <v>345.32</v>
      </c>
    </row>
    <row r="13372" spans="1:16" x14ac:dyDescent="0.25">
      <c r="A13372" t="s">
        <v>3296</v>
      </c>
      <c r="B13372" t="s">
        <v>2931</v>
      </c>
      <c r="C13372">
        <v>15</v>
      </c>
      <c r="D13372" t="str">
        <f t="shared" si="187"/>
        <v>412608-11/19</v>
      </c>
      <c r="E13372" t="s">
        <v>2814</v>
      </c>
      <c r="F13372" t="s">
        <v>2815</v>
      </c>
      <c r="G13372">
        <v>66.05</v>
      </c>
      <c r="H13372">
        <v>250101</v>
      </c>
      <c r="I13372">
        <v>4841</v>
      </c>
      <c r="J13372" t="s">
        <v>9</v>
      </c>
      <c r="K13372">
        <v>9363.2099999999991</v>
      </c>
      <c r="L13372">
        <v>13.42</v>
      </c>
      <c r="M13372">
        <v>49112</v>
      </c>
      <c r="N13372" t="s">
        <v>109</v>
      </c>
      <c r="O13372">
        <v>241231</v>
      </c>
      <c r="P13372">
        <v>52.63</v>
      </c>
    </row>
    <row r="13373" spans="1:16" x14ac:dyDescent="0.25">
      <c r="A13373" t="s">
        <v>3296</v>
      </c>
      <c r="B13373" t="s">
        <v>2931</v>
      </c>
      <c r="C13373">
        <v>15</v>
      </c>
      <c r="D13373" t="str">
        <f t="shared" si="187"/>
        <v>412608-11/19</v>
      </c>
      <c r="E13373" t="s">
        <v>2814</v>
      </c>
      <c r="F13373" t="s">
        <v>2815</v>
      </c>
      <c r="G13373">
        <v>870.73</v>
      </c>
      <c r="H13373">
        <v>250101</v>
      </c>
      <c r="I13373">
        <v>4841</v>
      </c>
      <c r="J13373" t="s">
        <v>9</v>
      </c>
      <c r="K13373">
        <v>9363.2099999999991</v>
      </c>
      <c r="L13373">
        <v>176.92</v>
      </c>
      <c r="M13373">
        <v>49501</v>
      </c>
      <c r="N13373" t="s">
        <v>110</v>
      </c>
      <c r="O13373">
        <v>241231</v>
      </c>
      <c r="P13373">
        <v>693.81</v>
      </c>
    </row>
    <row r="13374" spans="1:16" x14ac:dyDescent="0.25">
      <c r="A13374" t="s">
        <v>3296</v>
      </c>
      <c r="B13374" t="s">
        <v>2931</v>
      </c>
      <c r="C13374">
        <v>15</v>
      </c>
      <c r="D13374" t="str">
        <f t="shared" si="187"/>
        <v>412608-11/19</v>
      </c>
      <c r="E13374" t="s">
        <v>2814</v>
      </c>
      <c r="F13374" t="s">
        <v>2815</v>
      </c>
      <c r="G13374">
        <v>67.17</v>
      </c>
      <c r="H13374">
        <v>250101</v>
      </c>
      <c r="I13374">
        <v>4841</v>
      </c>
      <c r="J13374" t="s">
        <v>9</v>
      </c>
      <c r="K13374">
        <v>9363.2099999999991</v>
      </c>
      <c r="L13374">
        <v>13.65</v>
      </c>
      <c r="M13374">
        <v>49701</v>
      </c>
      <c r="N13374" t="s">
        <v>111</v>
      </c>
      <c r="O13374">
        <v>241231</v>
      </c>
      <c r="P13374">
        <v>53.52</v>
      </c>
    </row>
    <row r="13375" spans="1:16" x14ac:dyDescent="0.25">
      <c r="A13375" t="s">
        <v>3296</v>
      </c>
      <c r="B13375" t="s">
        <v>2931</v>
      </c>
      <c r="C13375">
        <v>15</v>
      </c>
      <c r="D13375" t="str">
        <f t="shared" si="187"/>
        <v>412608-11/19</v>
      </c>
      <c r="E13375" t="s">
        <v>2814</v>
      </c>
      <c r="F13375" t="s">
        <v>2815</v>
      </c>
      <c r="G13375">
        <v>173.8</v>
      </c>
      <c r="H13375">
        <v>250101</v>
      </c>
      <c r="I13375">
        <v>4841</v>
      </c>
      <c r="J13375" t="s">
        <v>9</v>
      </c>
      <c r="K13375">
        <v>9363.2099999999991</v>
      </c>
      <c r="L13375">
        <v>35.31</v>
      </c>
      <c r="M13375">
        <v>49702</v>
      </c>
      <c r="N13375" t="s">
        <v>112</v>
      </c>
      <c r="O13375">
        <v>241231</v>
      </c>
      <c r="P13375">
        <v>138.49</v>
      </c>
    </row>
    <row r="13376" spans="1:16" x14ac:dyDescent="0.25">
      <c r="A13376" t="s">
        <v>3296</v>
      </c>
      <c r="B13376" t="s">
        <v>2931</v>
      </c>
      <c r="C13376">
        <v>15</v>
      </c>
      <c r="D13376" t="str">
        <f t="shared" si="187"/>
        <v>412608-11/19</v>
      </c>
      <c r="E13376" t="s">
        <v>2814</v>
      </c>
      <c r="F13376" t="s">
        <v>2815</v>
      </c>
      <c r="G13376">
        <v>41.49</v>
      </c>
      <c r="H13376">
        <v>250101</v>
      </c>
      <c r="I13376">
        <v>4841</v>
      </c>
      <c r="J13376" t="s">
        <v>9</v>
      </c>
      <c r="K13376">
        <v>9363.2099999999991</v>
      </c>
      <c r="L13376">
        <v>8.43</v>
      </c>
      <c r="M13376">
        <v>49704</v>
      </c>
      <c r="N13376" t="s">
        <v>113</v>
      </c>
      <c r="O13376">
        <v>241231</v>
      </c>
      <c r="P13376">
        <v>33.06</v>
      </c>
    </row>
    <row r="13377" spans="1:16" x14ac:dyDescent="0.25">
      <c r="A13377" t="s">
        <v>3296</v>
      </c>
      <c r="B13377" t="s">
        <v>2931</v>
      </c>
      <c r="C13377">
        <v>15</v>
      </c>
      <c r="D13377" t="str">
        <f t="shared" si="187"/>
        <v>412608-11/19</v>
      </c>
      <c r="E13377" t="s">
        <v>2814</v>
      </c>
      <c r="F13377" t="s">
        <v>2815</v>
      </c>
      <c r="G13377">
        <v>41.49</v>
      </c>
      <c r="H13377">
        <v>250101</v>
      </c>
      <c r="I13377">
        <v>4841</v>
      </c>
      <c r="J13377" t="s">
        <v>9</v>
      </c>
      <c r="K13377">
        <v>9363.2099999999991</v>
      </c>
      <c r="L13377">
        <v>8.43</v>
      </c>
      <c r="M13377">
        <v>49705</v>
      </c>
      <c r="N13377" t="s">
        <v>114</v>
      </c>
      <c r="O13377">
        <v>241231</v>
      </c>
      <c r="P13377">
        <v>33.06</v>
      </c>
    </row>
    <row r="13378" spans="1:16" x14ac:dyDescent="0.25">
      <c r="A13378" t="s">
        <v>3296</v>
      </c>
      <c r="B13378" t="s">
        <v>2931</v>
      </c>
      <c r="C13378">
        <v>18</v>
      </c>
      <c r="D13378" t="str">
        <f>"412608-14/19"</f>
        <v>412608-14/19</v>
      </c>
      <c r="E13378" t="s">
        <v>2814</v>
      </c>
      <c r="F13378" t="s">
        <v>2815</v>
      </c>
      <c r="G13378">
        <v>949.02</v>
      </c>
      <c r="H13378">
        <v>250101</v>
      </c>
      <c r="I13378">
        <v>4841</v>
      </c>
      <c r="J13378" t="s">
        <v>9</v>
      </c>
      <c r="K13378">
        <v>1099.8599999999999</v>
      </c>
      <c r="L13378">
        <v>192.83</v>
      </c>
      <c r="M13378">
        <v>13801</v>
      </c>
      <c r="N13378" t="s">
        <v>33</v>
      </c>
      <c r="O13378">
        <v>241231</v>
      </c>
      <c r="P13378">
        <v>756.19</v>
      </c>
    </row>
    <row r="13379" spans="1:16" x14ac:dyDescent="0.25">
      <c r="A13379" t="s">
        <v>3296</v>
      </c>
      <c r="B13379" t="s">
        <v>2931</v>
      </c>
      <c r="C13379">
        <v>18</v>
      </c>
      <c r="D13379" t="str">
        <f>"412608-14/19"</f>
        <v>412608-14/19</v>
      </c>
      <c r="E13379" t="s">
        <v>2814</v>
      </c>
      <c r="F13379" t="s">
        <v>2815</v>
      </c>
      <c r="G13379">
        <v>150.84</v>
      </c>
      <c r="H13379">
        <v>250101</v>
      </c>
      <c r="I13379">
        <v>4841</v>
      </c>
      <c r="J13379" t="s">
        <v>9</v>
      </c>
      <c r="K13379">
        <v>1099.8599999999999</v>
      </c>
      <c r="L13379">
        <v>30.65</v>
      </c>
      <c r="M13379">
        <v>13802</v>
      </c>
      <c r="N13379" t="s">
        <v>34</v>
      </c>
      <c r="O13379">
        <v>241231</v>
      </c>
      <c r="P13379">
        <v>120.19</v>
      </c>
    </row>
    <row r="13380" spans="1:16" x14ac:dyDescent="0.25">
      <c r="A13380" t="s">
        <v>3296</v>
      </c>
      <c r="B13380" t="s">
        <v>2931</v>
      </c>
      <c r="C13380">
        <v>19</v>
      </c>
      <c r="D13380" t="str">
        <f>"412608-16/19"</f>
        <v>412608-16/19</v>
      </c>
      <c r="E13380" t="s">
        <v>2814</v>
      </c>
      <c r="F13380" t="s">
        <v>2815</v>
      </c>
      <c r="G13380">
        <v>113.58</v>
      </c>
      <c r="H13380">
        <v>250101</v>
      </c>
      <c r="I13380">
        <v>4841</v>
      </c>
      <c r="J13380" t="s">
        <v>9</v>
      </c>
      <c r="K13380">
        <v>500.05</v>
      </c>
      <c r="L13380">
        <v>23.08</v>
      </c>
      <c r="M13380">
        <v>18010</v>
      </c>
      <c r="N13380" t="s">
        <v>36</v>
      </c>
      <c r="O13380">
        <v>241231</v>
      </c>
      <c r="P13380">
        <v>90.5</v>
      </c>
    </row>
    <row r="13381" spans="1:16" x14ac:dyDescent="0.25">
      <c r="A13381" t="s">
        <v>3296</v>
      </c>
      <c r="B13381" t="s">
        <v>2931</v>
      </c>
      <c r="C13381">
        <v>19</v>
      </c>
      <c r="D13381" t="str">
        <f>"412608-16/19"</f>
        <v>412608-16/19</v>
      </c>
      <c r="E13381" t="s">
        <v>2814</v>
      </c>
      <c r="F13381" t="s">
        <v>2815</v>
      </c>
      <c r="G13381">
        <v>33.53</v>
      </c>
      <c r="H13381">
        <v>250101</v>
      </c>
      <c r="I13381">
        <v>4841</v>
      </c>
      <c r="J13381" t="s">
        <v>9</v>
      </c>
      <c r="K13381">
        <v>500.05</v>
      </c>
      <c r="L13381">
        <v>6.81</v>
      </c>
      <c r="M13381">
        <v>18120</v>
      </c>
      <c r="N13381" t="s">
        <v>37</v>
      </c>
      <c r="O13381">
        <v>241231</v>
      </c>
      <c r="P13381">
        <v>26.72</v>
      </c>
    </row>
    <row r="13382" spans="1:16" x14ac:dyDescent="0.25">
      <c r="A13382" t="s">
        <v>3296</v>
      </c>
      <c r="B13382" t="s">
        <v>2931</v>
      </c>
      <c r="C13382">
        <v>19</v>
      </c>
      <c r="D13382" t="str">
        <f>"412608-16/19"</f>
        <v>412608-16/19</v>
      </c>
      <c r="E13382" t="s">
        <v>2814</v>
      </c>
      <c r="F13382" t="s">
        <v>2815</v>
      </c>
      <c r="G13382">
        <v>352.94</v>
      </c>
      <c r="H13382">
        <v>250101</v>
      </c>
      <c r="I13382">
        <v>4841</v>
      </c>
      <c r="J13382" t="s">
        <v>9</v>
      </c>
      <c r="K13382">
        <v>500.05</v>
      </c>
      <c r="L13382">
        <v>71.709999999999994</v>
      </c>
      <c r="M13382">
        <v>18972</v>
      </c>
      <c r="N13382" t="s">
        <v>39</v>
      </c>
      <c r="O13382">
        <v>241231</v>
      </c>
      <c r="P13382">
        <v>281.23</v>
      </c>
    </row>
    <row r="13383" spans="1:16" x14ac:dyDescent="0.25">
      <c r="A13383" t="s">
        <v>3296</v>
      </c>
      <c r="B13383" t="s">
        <v>2931</v>
      </c>
      <c r="C13383">
        <v>23</v>
      </c>
      <c r="D13383" t="str">
        <f>"412608-15/19"</f>
        <v>412608-15/19</v>
      </c>
      <c r="E13383" t="s">
        <v>2814</v>
      </c>
      <c r="F13383" t="s">
        <v>2815</v>
      </c>
      <c r="G13383">
        <v>3730.2</v>
      </c>
      <c r="H13383">
        <v>250101</v>
      </c>
      <c r="I13383">
        <v>4841</v>
      </c>
      <c r="J13383" t="s">
        <v>9</v>
      </c>
      <c r="K13383">
        <v>3808.79</v>
      </c>
      <c r="L13383">
        <v>757.93</v>
      </c>
      <c r="M13383">
        <v>13401</v>
      </c>
      <c r="N13383" t="s">
        <v>10</v>
      </c>
      <c r="O13383">
        <v>241231</v>
      </c>
      <c r="P13383">
        <v>2972.27</v>
      </c>
    </row>
    <row r="13384" spans="1:16" x14ac:dyDescent="0.25">
      <c r="A13384" t="s">
        <v>3296</v>
      </c>
      <c r="B13384" t="s">
        <v>2931</v>
      </c>
      <c r="C13384">
        <v>23</v>
      </c>
      <c r="D13384" t="str">
        <f>"412608-15/19"</f>
        <v>412608-15/19</v>
      </c>
      <c r="E13384" t="s">
        <v>2814</v>
      </c>
      <c r="F13384" t="s">
        <v>2815</v>
      </c>
      <c r="G13384">
        <v>78.59</v>
      </c>
      <c r="H13384">
        <v>250101</v>
      </c>
      <c r="I13384">
        <v>4841</v>
      </c>
      <c r="J13384" t="s">
        <v>9</v>
      </c>
      <c r="K13384">
        <v>3808.79</v>
      </c>
      <c r="L13384">
        <v>15.97</v>
      </c>
      <c r="M13384">
        <v>13401</v>
      </c>
      <c r="N13384" t="s">
        <v>10</v>
      </c>
      <c r="O13384">
        <v>241231</v>
      </c>
      <c r="P13384">
        <v>62.62</v>
      </c>
    </row>
    <row r="13385" spans="1:16" x14ac:dyDescent="0.25">
      <c r="A13385" t="s">
        <v>3296</v>
      </c>
      <c r="B13385" t="s">
        <v>2931</v>
      </c>
      <c r="C13385">
        <v>24</v>
      </c>
      <c r="D13385" t="str">
        <f t="shared" ref="D13385:D13390" si="188">"412608-17/19"</f>
        <v>412608-17/19</v>
      </c>
      <c r="E13385" t="s">
        <v>2814</v>
      </c>
      <c r="F13385" t="s">
        <v>2815</v>
      </c>
      <c r="G13385">
        <v>65.84</v>
      </c>
      <c r="H13385">
        <v>250101</v>
      </c>
      <c r="I13385">
        <v>4841</v>
      </c>
      <c r="J13385" t="s">
        <v>9</v>
      </c>
      <c r="K13385">
        <v>850.64</v>
      </c>
      <c r="L13385">
        <v>13.38</v>
      </c>
      <c r="M13385">
        <v>56522</v>
      </c>
      <c r="N13385" t="s">
        <v>68</v>
      </c>
      <c r="O13385">
        <v>241231</v>
      </c>
      <c r="P13385">
        <v>52.46</v>
      </c>
    </row>
    <row r="13386" spans="1:16" x14ac:dyDescent="0.25">
      <c r="A13386" t="s">
        <v>3296</v>
      </c>
      <c r="B13386" t="s">
        <v>2931</v>
      </c>
      <c r="C13386">
        <v>24</v>
      </c>
      <c r="D13386" t="str">
        <f t="shared" si="188"/>
        <v>412608-17/19</v>
      </c>
      <c r="E13386" t="s">
        <v>2814</v>
      </c>
      <c r="F13386" t="s">
        <v>2815</v>
      </c>
      <c r="G13386">
        <v>446.69</v>
      </c>
      <c r="H13386">
        <v>250101</v>
      </c>
      <c r="I13386">
        <v>4841</v>
      </c>
      <c r="J13386" t="s">
        <v>9</v>
      </c>
      <c r="K13386">
        <v>850.64</v>
      </c>
      <c r="L13386">
        <v>90.76</v>
      </c>
      <c r="M13386">
        <v>56524</v>
      </c>
      <c r="N13386" t="s">
        <v>69</v>
      </c>
      <c r="O13386">
        <v>241231</v>
      </c>
      <c r="P13386">
        <v>355.93</v>
      </c>
    </row>
    <row r="13387" spans="1:16" x14ac:dyDescent="0.25">
      <c r="A13387" t="s">
        <v>3296</v>
      </c>
      <c r="B13387" t="s">
        <v>2931</v>
      </c>
      <c r="C13387">
        <v>24</v>
      </c>
      <c r="D13387" t="str">
        <f t="shared" si="188"/>
        <v>412608-17/19</v>
      </c>
      <c r="E13387" t="s">
        <v>2814</v>
      </c>
      <c r="F13387" t="s">
        <v>2815</v>
      </c>
      <c r="G13387">
        <v>212.57</v>
      </c>
      <c r="H13387">
        <v>250101</v>
      </c>
      <c r="I13387">
        <v>4841</v>
      </c>
      <c r="J13387" t="s">
        <v>9</v>
      </c>
      <c r="K13387">
        <v>850.64</v>
      </c>
      <c r="L13387">
        <v>43.19</v>
      </c>
      <c r="M13387">
        <v>56526</v>
      </c>
      <c r="N13387" t="s">
        <v>506</v>
      </c>
      <c r="O13387">
        <v>241231</v>
      </c>
      <c r="P13387">
        <v>169.38</v>
      </c>
    </row>
    <row r="13388" spans="1:16" x14ac:dyDescent="0.25">
      <c r="A13388" t="s">
        <v>3296</v>
      </c>
      <c r="B13388" t="s">
        <v>2931</v>
      </c>
      <c r="C13388">
        <v>24</v>
      </c>
      <c r="D13388" t="str">
        <f t="shared" si="188"/>
        <v>412608-17/19</v>
      </c>
      <c r="E13388" t="s">
        <v>2814</v>
      </c>
      <c r="F13388" t="s">
        <v>2815</v>
      </c>
      <c r="G13388">
        <v>32.64</v>
      </c>
      <c r="H13388">
        <v>250101</v>
      </c>
      <c r="I13388">
        <v>4841</v>
      </c>
      <c r="J13388" t="s">
        <v>9</v>
      </c>
      <c r="K13388">
        <v>850.64</v>
      </c>
      <c r="L13388">
        <v>6.63</v>
      </c>
      <c r="M13388">
        <v>56528</v>
      </c>
      <c r="N13388" t="s">
        <v>70</v>
      </c>
      <c r="O13388">
        <v>241231</v>
      </c>
      <c r="P13388">
        <v>26.01</v>
      </c>
    </row>
    <row r="13389" spans="1:16" x14ac:dyDescent="0.25">
      <c r="A13389" t="s">
        <v>3296</v>
      </c>
      <c r="B13389" t="s">
        <v>2931</v>
      </c>
      <c r="C13389">
        <v>24</v>
      </c>
      <c r="D13389" t="str">
        <f t="shared" si="188"/>
        <v>412608-17/19</v>
      </c>
      <c r="E13389" t="s">
        <v>2814</v>
      </c>
      <c r="F13389" t="s">
        <v>2815</v>
      </c>
      <c r="G13389">
        <v>84.76</v>
      </c>
      <c r="H13389">
        <v>250101</v>
      </c>
      <c r="I13389">
        <v>4841</v>
      </c>
      <c r="J13389" t="s">
        <v>9</v>
      </c>
      <c r="K13389">
        <v>850.64</v>
      </c>
      <c r="L13389">
        <v>17.22</v>
      </c>
      <c r="M13389">
        <v>56528</v>
      </c>
      <c r="N13389" t="s">
        <v>70</v>
      </c>
      <c r="O13389">
        <v>241231</v>
      </c>
      <c r="P13389">
        <v>67.540000000000006</v>
      </c>
    </row>
    <row r="13390" spans="1:16" x14ac:dyDescent="0.25">
      <c r="A13390" t="s">
        <v>3296</v>
      </c>
      <c r="B13390" t="s">
        <v>2931</v>
      </c>
      <c r="C13390">
        <v>24</v>
      </c>
      <c r="D13390" t="str">
        <f t="shared" si="188"/>
        <v>412608-17/19</v>
      </c>
      <c r="E13390" t="s">
        <v>2814</v>
      </c>
      <c r="F13390" t="s">
        <v>2815</v>
      </c>
      <c r="G13390">
        <v>8.14</v>
      </c>
      <c r="H13390">
        <v>250101</v>
      </c>
      <c r="I13390">
        <v>4841</v>
      </c>
      <c r="J13390" t="s">
        <v>9</v>
      </c>
      <c r="K13390">
        <v>850.64</v>
      </c>
      <c r="L13390">
        <v>1.65</v>
      </c>
      <c r="M13390">
        <v>59704</v>
      </c>
      <c r="N13390" t="s">
        <v>46</v>
      </c>
      <c r="O13390">
        <v>241231</v>
      </c>
      <c r="P13390">
        <v>6.49</v>
      </c>
    </row>
    <row r="13391" spans="1:16" x14ac:dyDescent="0.25">
      <c r="A13391" t="s">
        <v>3296</v>
      </c>
      <c r="B13391" t="s">
        <v>2931</v>
      </c>
      <c r="C13391">
        <v>27</v>
      </c>
      <c r="D13391" t="str">
        <f>"412608-13/19"</f>
        <v>412608-13/19</v>
      </c>
      <c r="E13391" t="s">
        <v>2814</v>
      </c>
      <c r="F13391" t="s">
        <v>2815</v>
      </c>
      <c r="G13391">
        <v>70.52</v>
      </c>
      <c r="H13391">
        <v>250101</v>
      </c>
      <c r="I13391">
        <v>4841</v>
      </c>
      <c r="J13391" t="s">
        <v>9</v>
      </c>
      <c r="K13391">
        <v>915.33</v>
      </c>
      <c r="L13391">
        <v>14.33</v>
      </c>
      <c r="M13391">
        <v>17131</v>
      </c>
      <c r="N13391" t="s">
        <v>154</v>
      </c>
      <c r="O13391">
        <v>241231</v>
      </c>
      <c r="P13391">
        <v>56.19</v>
      </c>
    </row>
    <row r="13392" spans="1:16" x14ac:dyDescent="0.25">
      <c r="A13392" t="s">
        <v>3296</v>
      </c>
      <c r="B13392" t="s">
        <v>2931</v>
      </c>
      <c r="C13392">
        <v>27</v>
      </c>
      <c r="D13392" t="str">
        <f>"412608-13/19"</f>
        <v>412608-13/19</v>
      </c>
      <c r="E13392" t="s">
        <v>2814</v>
      </c>
      <c r="F13392" t="s">
        <v>2815</v>
      </c>
      <c r="G13392">
        <v>136.02000000000001</v>
      </c>
      <c r="H13392">
        <v>250101</v>
      </c>
      <c r="I13392">
        <v>4841</v>
      </c>
      <c r="J13392" t="s">
        <v>9</v>
      </c>
      <c r="K13392">
        <v>915.33</v>
      </c>
      <c r="L13392">
        <v>27.64</v>
      </c>
      <c r="M13392">
        <v>17711</v>
      </c>
      <c r="N13392" t="s">
        <v>155</v>
      </c>
      <c r="O13392">
        <v>241231</v>
      </c>
      <c r="P13392">
        <v>108.38</v>
      </c>
    </row>
    <row r="13393" spans="1:16" x14ac:dyDescent="0.25">
      <c r="A13393" t="s">
        <v>3296</v>
      </c>
      <c r="B13393" t="s">
        <v>2931</v>
      </c>
      <c r="C13393">
        <v>27</v>
      </c>
      <c r="D13393" t="str">
        <f>"412608-13/19"</f>
        <v>412608-13/19</v>
      </c>
      <c r="E13393" t="s">
        <v>2814</v>
      </c>
      <c r="F13393" t="s">
        <v>2815</v>
      </c>
      <c r="G13393">
        <v>676.9</v>
      </c>
      <c r="H13393">
        <v>250101</v>
      </c>
      <c r="I13393">
        <v>4841</v>
      </c>
      <c r="J13393" t="s">
        <v>9</v>
      </c>
      <c r="K13393">
        <v>915.33</v>
      </c>
      <c r="L13393">
        <v>137.54</v>
      </c>
      <c r="M13393">
        <v>17711</v>
      </c>
      <c r="N13393" t="s">
        <v>155</v>
      </c>
      <c r="O13393">
        <v>241231</v>
      </c>
      <c r="P13393">
        <v>539.36</v>
      </c>
    </row>
    <row r="13394" spans="1:16" x14ac:dyDescent="0.25">
      <c r="A13394" t="s">
        <v>3296</v>
      </c>
      <c r="B13394" t="s">
        <v>2931</v>
      </c>
      <c r="C13394">
        <v>27</v>
      </c>
      <c r="D13394" t="str">
        <f>"412608-13/19"</f>
        <v>412608-13/19</v>
      </c>
      <c r="E13394" t="s">
        <v>2814</v>
      </c>
      <c r="F13394" t="s">
        <v>2815</v>
      </c>
      <c r="G13394">
        <v>31.89</v>
      </c>
      <c r="H13394">
        <v>250101</v>
      </c>
      <c r="I13394">
        <v>4841</v>
      </c>
      <c r="J13394" t="s">
        <v>9</v>
      </c>
      <c r="K13394">
        <v>915.33</v>
      </c>
      <c r="L13394">
        <v>6.48</v>
      </c>
      <c r="M13394">
        <v>17737</v>
      </c>
      <c r="N13394" t="s">
        <v>156</v>
      </c>
      <c r="O13394">
        <v>241231</v>
      </c>
      <c r="P13394">
        <v>25.41</v>
      </c>
    </row>
    <row r="13395" spans="1:16" x14ac:dyDescent="0.25">
      <c r="A13395" t="s">
        <v>3296</v>
      </c>
      <c r="B13395" t="s">
        <v>2931</v>
      </c>
      <c r="C13395">
        <v>28</v>
      </c>
      <c r="D13395" t="str">
        <f t="shared" ref="D13395:D13407" si="189">"8412608-8/19"</f>
        <v>8412608-8/19</v>
      </c>
      <c r="E13395" t="s">
        <v>2814</v>
      </c>
      <c r="F13395" t="s">
        <v>2815</v>
      </c>
      <c r="G13395">
        <v>207.68</v>
      </c>
      <c r="H13395">
        <v>250101</v>
      </c>
      <c r="I13395">
        <v>4841</v>
      </c>
      <c r="J13395" t="s">
        <v>9</v>
      </c>
      <c r="K13395">
        <v>4369.0600000000004</v>
      </c>
      <c r="L13395">
        <v>42.2</v>
      </c>
      <c r="M13395">
        <v>11001</v>
      </c>
      <c r="N13395" t="s">
        <v>93</v>
      </c>
      <c r="O13395">
        <v>241231</v>
      </c>
      <c r="P13395">
        <v>165.48</v>
      </c>
    </row>
    <row r="13396" spans="1:16" x14ac:dyDescent="0.25">
      <c r="A13396" t="s">
        <v>3296</v>
      </c>
      <c r="B13396" t="s">
        <v>2931</v>
      </c>
      <c r="C13396">
        <v>28</v>
      </c>
      <c r="D13396" t="str">
        <f t="shared" si="189"/>
        <v>8412608-8/19</v>
      </c>
      <c r="E13396" t="s">
        <v>2814</v>
      </c>
      <c r="F13396" t="s">
        <v>2815</v>
      </c>
      <c r="G13396">
        <v>83.46</v>
      </c>
      <c r="H13396">
        <v>250101</v>
      </c>
      <c r="I13396">
        <v>4841</v>
      </c>
      <c r="J13396" t="s">
        <v>9</v>
      </c>
      <c r="K13396">
        <v>4369.0600000000004</v>
      </c>
      <c r="L13396">
        <v>16.96</v>
      </c>
      <c r="M13396">
        <v>11101</v>
      </c>
      <c r="N13396" t="s">
        <v>67</v>
      </c>
      <c r="O13396">
        <v>241231</v>
      </c>
      <c r="P13396">
        <v>66.5</v>
      </c>
    </row>
    <row r="13397" spans="1:16" x14ac:dyDescent="0.25">
      <c r="A13397" t="s">
        <v>3296</v>
      </c>
      <c r="B13397" t="s">
        <v>2931</v>
      </c>
      <c r="C13397">
        <v>28</v>
      </c>
      <c r="D13397" t="str">
        <f t="shared" si="189"/>
        <v>8412608-8/19</v>
      </c>
      <c r="E13397" t="s">
        <v>2814</v>
      </c>
      <c r="F13397" t="s">
        <v>2815</v>
      </c>
      <c r="G13397">
        <v>52.35</v>
      </c>
      <c r="H13397">
        <v>250101</v>
      </c>
      <c r="I13397">
        <v>4841</v>
      </c>
      <c r="J13397" t="s">
        <v>9</v>
      </c>
      <c r="K13397">
        <v>4369.0600000000004</v>
      </c>
      <c r="L13397">
        <v>10.64</v>
      </c>
      <c r="M13397">
        <v>11201</v>
      </c>
      <c r="N13397" t="s">
        <v>35</v>
      </c>
      <c r="O13397">
        <v>241231</v>
      </c>
      <c r="P13397">
        <v>41.71</v>
      </c>
    </row>
    <row r="13398" spans="1:16" x14ac:dyDescent="0.25">
      <c r="A13398" t="s">
        <v>3296</v>
      </c>
      <c r="B13398" t="s">
        <v>2931</v>
      </c>
      <c r="C13398">
        <v>28</v>
      </c>
      <c r="D13398" t="str">
        <f t="shared" si="189"/>
        <v>8412608-8/19</v>
      </c>
      <c r="E13398" t="s">
        <v>2814</v>
      </c>
      <c r="F13398" t="s">
        <v>2815</v>
      </c>
      <c r="G13398">
        <v>16.690000000000001</v>
      </c>
      <c r="H13398">
        <v>250101</v>
      </c>
      <c r="I13398">
        <v>4841</v>
      </c>
      <c r="J13398" t="s">
        <v>9</v>
      </c>
      <c r="K13398">
        <v>4369.0600000000004</v>
      </c>
      <c r="L13398">
        <v>3.39</v>
      </c>
      <c r="M13398">
        <v>11301</v>
      </c>
      <c r="N13398" t="s">
        <v>92</v>
      </c>
      <c r="O13398">
        <v>241231</v>
      </c>
      <c r="P13398">
        <v>13.3</v>
      </c>
    </row>
    <row r="13399" spans="1:16" x14ac:dyDescent="0.25">
      <c r="A13399" t="s">
        <v>3296</v>
      </c>
      <c r="B13399" t="s">
        <v>2931</v>
      </c>
      <c r="C13399">
        <v>28</v>
      </c>
      <c r="D13399" t="str">
        <f t="shared" si="189"/>
        <v>8412608-8/19</v>
      </c>
      <c r="E13399" t="s">
        <v>2814</v>
      </c>
      <c r="F13399" t="s">
        <v>2815</v>
      </c>
      <c r="G13399">
        <v>363.76</v>
      </c>
      <c r="H13399">
        <v>250101</v>
      </c>
      <c r="I13399">
        <v>4841</v>
      </c>
      <c r="J13399" t="s">
        <v>9</v>
      </c>
      <c r="K13399">
        <v>4369.0600000000004</v>
      </c>
      <c r="L13399">
        <v>73.91</v>
      </c>
      <c r="M13399">
        <v>11401</v>
      </c>
      <c r="N13399" t="s">
        <v>91</v>
      </c>
      <c r="O13399">
        <v>241231</v>
      </c>
      <c r="P13399">
        <v>289.85000000000002</v>
      </c>
    </row>
    <row r="13400" spans="1:16" x14ac:dyDescent="0.25">
      <c r="A13400" t="s">
        <v>3296</v>
      </c>
      <c r="B13400" t="s">
        <v>2931</v>
      </c>
      <c r="C13400">
        <v>28</v>
      </c>
      <c r="D13400" t="str">
        <f t="shared" si="189"/>
        <v>8412608-8/19</v>
      </c>
      <c r="E13400" t="s">
        <v>2814</v>
      </c>
      <c r="F13400" t="s">
        <v>2815</v>
      </c>
      <c r="G13400">
        <v>315.33999999999997</v>
      </c>
      <c r="H13400">
        <v>250101</v>
      </c>
      <c r="I13400">
        <v>4841</v>
      </c>
      <c r="J13400" t="s">
        <v>9</v>
      </c>
      <c r="K13400">
        <v>4369.0600000000004</v>
      </c>
      <c r="L13400">
        <v>64.069999999999993</v>
      </c>
      <c r="M13400">
        <v>11501</v>
      </c>
      <c r="N13400" t="s">
        <v>13</v>
      </c>
      <c r="O13400">
        <v>241231</v>
      </c>
      <c r="P13400">
        <v>251.27</v>
      </c>
    </row>
    <row r="13401" spans="1:16" x14ac:dyDescent="0.25">
      <c r="A13401" t="s">
        <v>3296</v>
      </c>
      <c r="B13401" t="s">
        <v>2931</v>
      </c>
      <c r="C13401">
        <v>28</v>
      </c>
      <c r="D13401" t="str">
        <f t="shared" si="189"/>
        <v>8412608-8/19</v>
      </c>
      <c r="E13401" t="s">
        <v>2814</v>
      </c>
      <c r="F13401" t="s">
        <v>2815</v>
      </c>
      <c r="G13401">
        <v>133.29</v>
      </c>
      <c r="H13401">
        <v>250101</v>
      </c>
      <c r="I13401">
        <v>4841</v>
      </c>
      <c r="J13401" t="s">
        <v>9</v>
      </c>
      <c r="K13401">
        <v>4369.0600000000004</v>
      </c>
      <c r="L13401">
        <v>27.08</v>
      </c>
      <c r="M13401">
        <v>11601</v>
      </c>
      <c r="N13401" t="s">
        <v>12</v>
      </c>
      <c r="O13401">
        <v>241231</v>
      </c>
      <c r="P13401">
        <v>106.21</v>
      </c>
    </row>
    <row r="13402" spans="1:16" x14ac:dyDescent="0.25">
      <c r="A13402" t="s">
        <v>3296</v>
      </c>
      <c r="B13402" t="s">
        <v>2931</v>
      </c>
      <c r="C13402">
        <v>28</v>
      </c>
      <c r="D13402" t="str">
        <f t="shared" si="189"/>
        <v>8412608-8/19</v>
      </c>
      <c r="E13402" t="s">
        <v>2814</v>
      </c>
      <c r="F13402" t="s">
        <v>2815</v>
      </c>
      <c r="G13402">
        <v>90.1</v>
      </c>
      <c r="H13402">
        <v>250101</v>
      </c>
      <c r="I13402">
        <v>4841</v>
      </c>
      <c r="J13402" t="s">
        <v>9</v>
      </c>
      <c r="K13402">
        <v>4369.0600000000004</v>
      </c>
      <c r="L13402">
        <v>18.309999999999999</v>
      </c>
      <c r="M13402">
        <v>11701</v>
      </c>
      <c r="N13402" t="s">
        <v>973</v>
      </c>
      <c r="O13402">
        <v>241231</v>
      </c>
      <c r="P13402">
        <v>71.790000000000006</v>
      </c>
    </row>
    <row r="13403" spans="1:16" x14ac:dyDescent="0.25">
      <c r="A13403" t="s">
        <v>3296</v>
      </c>
      <c r="B13403" t="s">
        <v>2931</v>
      </c>
      <c r="C13403">
        <v>28</v>
      </c>
      <c r="D13403" t="str">
        <f t="shared" si="189"/>
        <v>8412608-8/19</v>
      </c>
      <c r="E13403" t="s">
        <v>2814</v>
      </c>
      <c r="F13403" t="s">
        <v>2815</v>
      </c>
      <c r="G13403">
        <v>41.49</v>
      </c>
      <c r="H13403">
        <v>250101</v>
      </c>
      <c r="I13403">
        <v>4841</v>
      </c>
      <c r="J13403" t="s">
        <v>9</v>
      </c>
      <c r="K13403">
        <v>4369.0600000000004</v>
      </c>
      <c r="L13403">
        <v>8.43</v>
      </c>
      <c r="M13403">
        <v>11751</v>
      </c>
      <c r="N13403" t="s">
        <v>167</v>
      </c>
      <c r="O13403">
        <v>241231</v>
      </c>
      <c r="P13403">
        <v>33.06</v>
      </c>
    </row>
    <row r="13404" spans="1:16" x14ac:dyDescent="0.25">
      <c r="A13404" t="s">
        <v>3296</v>
      </c>
      <c r="B13404" t="s">
        <v>2931</v>
      </c>
      <c r="C13404">
        <v>28</v>
      </c>
      <c r="D13404" t="str">
        <f t="shared" si="189"/>
        <v>8412608-8/19</v>
      </c>
      <c r="E13404" t="s">
        <v>2814</v>
      </c>
      <c r="F13404" t="s">
        <v>2815</v>
      </c>
      <c r="G13404">
        <v>2547.56</v>
      </c>
      <c r="H13404">
        <v>250101</v>
      </c>
      <c r="I13404">
        <v>4841</v>
      </c>
      <c r="J13404" t="s">
        <v>9</v>
      </c>
      <c r="K13404">
        <v>4369.0600000000004</v>
      </c>
      <c r="L13404">
        <v>517.63</v>
      </c>
      <c r="M13404">
        <v>11801</v>
      </c>
      <c r="N13404" t="s">
        <v>40</v>
      </c>
      <c r="O13404">
        <v>241231</v>
      </c>
      <c r="P13404">
        <v>2029.93</v>
      </c>
    </row>
    <row r="13405" spans="1:16" x14ac:dyDescent="0.25">
      <c r="A13405" t="s">
        <v>3296</v>
      </c>
      <c r="B13405" t="s">
        <v>2931</v>
      </c>
      <c r="C13405">
        <v>28</v>
      </c>
      <c r="D13405" t="str">
        <f t="shared" si="189"/>
        <v>8412608-8/19</v>
      </c>
      <c r="E13405" t="s">
        <v>2814</v>
      </c>
      <c r="F13405" t="s">
        <v>2815</v>
      </c>
      <c r="G13405">
        <v>214.34</v>
      </c>
      <c r="H13405">
        <v>250101</v>
      </c>
      <c r="I13405">
        <v>4841</v>
      </c>
      <c r="J13405" t="s">
        <v>9</v>
      </c>
      <c r="K13405">
        <v>4369.0600000000004</v>
      </c>
      <c r="L13405">
        <v>43.55</v>
      </c>
      <c r="M13405">
        <v>13801</v>
      </c>
      <c r="N13405" t="s">
        <v>33</v>
      </c>
      <c r="O13405">
        <v>241231</v>
      </c>
      <c r="P13405">
        <v>170.79</v>
      </c>
    </row>
    <row r="13406" spans="1:16" x14ac:dyDescent="0.25">
      <c r="A13406" t="s">
        <v>3296</v>
      </c>
      <c r="B13406" t="s">
        <v>2931</v>
      </c>
      <c r="C13406">
        <v>28</v>
      </c>
      <c r="D13406" t="str">
        <f t="shared" si="189"/>
        <v>8412608-8/19</v>
      </c>
      <c r="E13406" t="s">
        <v>2814</v>
      </c>
      <c r="F13406" t="s">
        <v>2815</v>
      </c>
      <c r="G13406">
        <v>33.53</v>
      </c>
      <c r="H13406">
        <v>250101</v>
      </c>
      <c r="I13406">
        <v>4841</v>
      </c>
      <c r="J13406" t="s">
        <v>9</v>
      </c>
      <c r="K13406">
        <v>4369.0600000000004</v>
      </c>
      <c r="L13406">
        <v>6.81</v>
      </c>
      <c r="M13406">
        <v>14971</v>
      </c>
      <c r="N13406" t="s">
        <v>81</v>
      </c>
      <c r="O13406">
        <v>241231</v>
      </c>
      <c r="P13406">
        <v>26.72</v>
      </c>
    </row>
    <row r="13407" spans="1:16" x14ac:dyDescent="0.25">
      <c r="A13407" t="s">
        <v>3296</v>
      </c>
      <c r="B13407" t="s">
        <v>2931</v>
      </c>
      <c r="C13407">
        <v>28</v>
      </c>
      <c r="D13407" t="str">
        <f t="shared" si="189"/>
        <v>8412608-8/19</v>
      </c>
      <c r="E13407" t="s">
        <v>2814</v>
      </c>
      <c r="F13407" t="s">
        <v>2815</v>
      </c>
      <c r="G13407">
        <v>269.47000000000003</v>
      </c>
      <c r="H13407">
        <v>250101</v>
      </c>
      <c r="I13407">
        <v>4841</v>
      </c>
      <c r="J13407" t="s">
        <v>9</v>
      </c>
      <c r="K13407">
        <v>4369.0600000000004</v>
      </c>
      <c r="L13407">
        <v>54.75</v>
      </c>
      <c r="M13407">
        <v>18971</v>
      </c>
      <c r="N13407" t="s">
        <v>38</v>
      </c>
      <c r="O13407">
        <v>241231</v>
      </c>
      <c r="P13407">
        <v>214.72</v>
      </c>
    </row>
    <row r="13408" spans="1:16" x14ac:dyDescent="0.25">
      <c r="A13408" t="s">
        <v>3296</v>
      </c>
      <c r="B13408" t="s">
        <v>2931</v>
      </c>
      <c r="C13408">
        <v>29</v>
      </c>
      <c r="D13408" t="str">
        <f t="shared" ref="D13408:D13413" si="190">"8412608-2/19"</f>
        <v>8412608-2/19</v>
      </c>
      <c r="E13408" t="s">
        <v>2814</v>
      </c>
      <c r="F13408" t="s">
        <v>2815</v>
      </c>
      <c r="G13408">
        <v>16.55</v>
      </c>
      <c r="H13408">
        <v>250101</v>
      </c>
      <c r="I13408">
        <v>4841</v>
      </c>
      <c r="J13408" t="s">
        <v>9</v>
      </c>
      <c r="K13408">
        <v>878.75</v>
      </c>
      <c r="L13408">
        <v>3.36</v>
      </c>
      <c r="M13408">
        <v>11900</v>
      </c>
      <c r="N13408" t="s">
        <v>30</v>
      </c>
      <c r="O13408">
        <v>241231</v>
      </c>
      <c r="P13408">
        <v>13.19</v>
      </c>
    </row>
    <row r="13409" spans="1:16" x14ac:dyDescent="0.25">
      <c r="A13409" t="s">
        <v>3296</v>
      </c>
      <c r="B13409" t="s">
        <v>2931</v>
      </c>
      <c r="C13409">
        <v>29</v>
      </c>
      <c r="D13409" t="str">
        <f t="shared" si="190"/>
        <v>8412608-2/19</v>
      </c>
      <c r="E13409" t="s">
        <v>2814</v>
      </c>
      <c r="F13409" t="s">
        <v>2815</v>
      </c>
      <c r="G13409">
        <v>564.9</v>
      </c>
      <c r="H13409">
        <v>250101</v>
      </c>
      <c r="I13409">
        <v>4841</v>
      </c>
      <c r="J13409" t="s">
        <v>9</v>
      </c>
      <c r="K13409">
        <v>878.75</v>
      </c>
      <c r="L13409">
        <v>114.78</v>
      </c>
      <c r="M13409">
        <v>11901</v>
      </c>
      <c r="N13409" t="s">
        <v>31</v>
      </c>
      <c r="O13409">
        <v>241231</v>
      </c>
      <c r="P13409">
        <v>450.12</v>
      </c>
    </row>
    <row r="13410" spans="1:16" x14ac:dyDescent="0.25">
      <c r="A13410" t="s">
        <v>3296</v>
      </c>
      <c r="B13410" t="s">
        <v>2931</v>
      </c>
      <c r="C13410">
        <v>29</v>
      </c>
      <c r="D13410" t="str">
        <f t="shared" si="190"/>
        <v>8412608-2/19</v>
      </c>
      <c r="E13410" t="s">
        <v>2814</v>
      </c>
      <c r="F13410" t="s">
        <v>2815</v>
      </c>
      <c r="G13410">
        <v>42.31</v>
      </c>
      <c r="H13410">
        <v>250101</v>
      </c>
      <c r="I13410">
        <v>4841</v>
      </c>
      <c r="J13410" t="s">
        <v>9</v>
      </c>
      <c r="K13410">
        <v>878.75</v>
      </c>
      <c r="L13410">
        <v>8.6</v>
      </c>
      <c r="M13410">
        <v>11903</v>
      </c>
      <c r="N13410" t="s">
        <v>32</v>
      </c>
      <c r="O13410">
        <v>241231</v>
      </c>
      <c r="P13410">
        <v>33.71</v>
      </c>
    </row>
    <row r="13411" spans="1:16" x14ac:dyDescent="0.25">
      <c r="A13411" t="s">
        <v>3296</v>
      </c>
      <c r="B13411" t="s">
        <v>2931</v>
      </c>
      <c r="C13411">
        <v>29</v>
      </c>
      <c r="D13411" t="str">
        <f t="shared" si="190"/>
        <v>8412608-2/19</v>
      </c>
      <c r="E13411" t="s">
        <v>2814</v>
      </c>
      <c r="F13411" t="s">
        <v>2815</v>
      </c>
      <c r="G13411">
        <v>84.62</v>
      </c>
      <c r="H13411">
        <v>250101</v>
      </c>
      <c r="I13411">
        <v>4841</v>
      </c>
      <c r="J13411" t="s">
        <v>9</v>
      </c>
      <c r="K13411">
        <v>878.75</v>
      </c>
      <c r="L13411">
        <v>17.190000000000001</v>
      </c>
      <c r="M13411">
        <v>11903</v>
      </c>
      <c r="N13411" t="s">
        <v>32</v>
      </c>
      <c r="O13411">
        <v>241231</v>
      </c>
      <c r="P13411">
        <v>67.430000000000007</v>
      </c>
    </row>
    <row r="13412" spans="1:16" x14ac:dyDescent="0.25">
      <c r="A13412" t="s">
        <v>3296</v>
      </c>
      <c r="B13412" t="s">
        <v>2931</v>
      </c>
      <c r="C13412">
        <v>29</v>
      </c>
      <c r="D13412" t="str">
        <f t="shared" si="190"/>
        <v>8412608-2/19</v>
      </c>
      <c r="E13412" t="s">
        <v>2814</v>
      </c>
      <c r="F13412" t="s">
        <v>2815</v>
      </c>
      <c r="G13412">
        <v>118.37</v>
      </c>
      <c r="H13412">
        <v>250101</v>
      </c>
      <c r="I13412">
        <v>4841</v>
      </c>
      <c r="J13412" t="s">
        <v>9</v>
      </c>
      <c r="K13412">
        <v>878.75</v>
      </c>
      <c r="L13412">
        <v>24.05</v>
      </c>
      <c r="M13412">
        <v>11903</v>
      </c>
      <c r="N13412" t="s">
        <v>32</v>
      </c>
      <c r="O13412">
        <v>241231</v>
      </c>
      <c r="P13412">
        <v>94.32</v>
      </c>
    </row>
    <row r="13413" spans="1:16" x14ac:dyDescent="0.25">
      <c r="A13413" t="s">
        <v>3296</v>
      </c>
      <c r="B13413" t="s">
        <v>2931</v>
      </c>
      <c r="C13413">
        <v>29</v>
      </c>
      <c r="D13413" t="str">
        <f t="shared" si="190"/>
        <v>8412608-2/19</v>
      </c>
      <c r="E13413" t="s">
        <v>2814</v>
      </c>
      <c r="F13413" t="s">
        <v>2815</v>
      </c>
      <c r="G13413">
        <v>52</v>
      </c>
      <c r="H13413">
        <v>250101</v>
      </c>
      <c r="I13413">
        <v>4841</v>
      </c>
      <c r="J13413" t="s">
        <v>9</v>
      </c>
      <c r="K13413">
        <v>878.75</v>
      </c>
      <c r="L13413">
        <v>10.57</v>
      </c>
      <c r="M13413">
        <v>11905</v>
      </c>
      <c r="N13413" t="s">
        <v>643</v>
      </c>
      <c r="O13413">
        <v>241231</v>
      </c>
      <c r="P13413">
        <v>41.43</v>
      </c>
    </row>
    <row r="13414" spans="1:16" x14ac:dyDescent="0.25">
      <c r="A13414" t="s">
        <v>3296</v>
      </c>
      <c r="B13414" t="s">
        <v>2931</v>
      </c>
      <c r="C13414">
        <v>45</v>
      </c>
      <c r="D13414" t="str">
        <f t="shared" ref="D13414:D13422" si="191">"8412608-9/19"</f>
        <v>8412608-9/19</v>
      </c>
      <c r="E13414" t="s">
        <v>2814</v>
      </c>
      <c r="F13414" t="s">
        <v>2815</v>
      </c>
      <c r="G13414">
        <v>31.89</v>
      </c>
      <c r="H13414">
        <v>250101</v>
      </c>
      <c r="I13414">
        <v>4841</v>
      </c>
      <c r="J13414" t="s">
        <v>9</v>
      </c>
      <c r="K13414">
        <v>1461.61</v>
      </c>
      <c r="L13414">
        <v>6.48</v>
      </c>
      <c r="M13414">
        <v>53222</v>
      </c>
      <c r="N13414" t="s">
        <v>41</v>
      </c>
      <c r="O13414">
        <v>241231</v>
      </c>
      <c r="P13414">
        <v>25.41</v>
      </c>
    </row>
    <row r="13415" spans="1:16" x14ac:dyDescent="0.25">
      <c r="A13415" t="s">
        <v>3296</v>
      </c>
      <c r="B13415" t="s">
        <v>2931</v>
      </c>
      <c r="C13415">
        <v>45</v>
      </c>
      <c r="D13415" t="str">
        <f t="shared" si="191"/>
        <v>8412608-9/19</v>
      </c>
      <c r="E13415" t="s">
        <v>2814</v>
      </c>
      <c r="F13415" t="s">
        <v>2815</v>
      </c>
      <c r="G13415">
        <v>407.3</v>
      </c>
      <c r="H13415">
        <v>250101</v>
      </c>
      <c r="I13415">
        <v>4841</v>
      </c>
      <c r="J13415" t="s">
        <v>9</v>
      </c>
      <c r="K13415">
        <v>1461.61</v>
      </c>
      <c r="L13415">
        <v>82.76</v>
      </c>
      <c r="M13415">
        <v>53222</v>
      </c>
      <c r="N13415" t="s">
        <v>41</v>
      </c>
      <c r="O13415">
        <v>241231</v>
      </c>
      <c r="P13415">
        <v>324.54000000000002</v>
      </c>
    </row>
    <row r="13416" spans="1:16" x14ac:dyDescent="0.25">
      <c r="A13416" t="s">
        <v>3296</v>
      </c>
      <c r="B13416" t="s">
        <v>2931</v>
      </c>
      <c r="C13416">
        <v>45</v>
      </c>
      <c r="D13416" t="str">
        <f t="shared" si="191"/>
        <v>8412608-9/19</v>
      </c>
      <c r="E13416" t="s">
        <v>2814</v>
      </c>
      <c r="F13416" t="s">
        <v>2815</v>
      </c>
      <c r="G13416">
        <v>634.59</v>
      </c>
      <c r="H13416">
        <v>250101</v>
      </c>
      <c r="I13416">
        <v>4841</v>
      </c>
      <c r="J13416" t="s">
        <v>9</v>
      </c>
      <c r="K13416">
        <v>1461.61</v>
      </c>
      <c r="L13416">
        <v>128.94</v>
      </c>
      <c r="M13416">
        <v>53222</v>
      </c>
      <c r="N13416" t="s">
        <v>41</v>
      </c>
      <c r="O13416">
        <v>241231</v>
      </c>
      <c r="P13416">
        <v>505.65</v>
      </c>
    </row>
    <row r="13417" spans="1:16" x14ac:dyDescent="0.25">
      <c r="A13417" t="s">
        <v>3296</v>
      </c>
      <c r="B13417" t="s">
        <v>2931</v>
      </c>
      <c r="C13417">
        <v>45</v>
      </c>
      <c r="D13417" t="str">
        <f t="shared" si="191"/>
        <v>8412608-9/19</v>
      </c>
      <c r="E13417" t="s">
        <v>2814</v>
      </c>
      <c r="F13417" t="s">
        <v>2815</v>
      </c>
      <c r="G13417">
        <v>146.58000000000001</v>
      </c>
      <c r="H13417">
        <v>250101</v>
      </c>
      <c r="I13417">
        <v>4841</v>
      </c>
      <c r="J13417" t="s">
        <v>9</v>
      </c>
      <c r="K13417">
        <v>1461.61</v>
      </c>
      <c r="L13417">
        <v>29.78</v>
      </c>
      <c r="M13417">
        <v>54622</v>
      </c>
      <c r="N13417" t="s">
        <v>42</v>
      </c>
      <c r="O13417">
        <v>241231</v>
      </c>
      <c r="P13417">
        <v>116.8</v>
      </c>
    </row>
    <row r="13418" spans="1:16" x14ac:dyDescent="0.25">
      <c r="A13418" t="s">
        <v>3296</v>
      </c>
      <c r="B13418" t="s">
        <v>2931</v>
      </c>
      <c r="C13418">
        <v>45</v>
      </c>
      <c r="D13418" t="str">
        <f t="shared" si="191"/>
        <v>8412608-9/19</v>
      </c>
      <c r="E13418" t="s">
        <v>2814</v>
      </c>
      <c r="F13418" t="s">
        <v>2815</v>
      </c>
      <c r="G13418">
        <v>66.180000000000007</v>
      </c>
      <c r="H13418">
        <v>250101</v>
      </c>
      <c r="I13418">
        <v>4841</v>
      </c>
      <c r="J13418" t="s">
        <v>9</v>
      </c>
      <c r="K13418">
        <v>1461.61</v>
      </c>
      <c r="L13418">
        <v>13.45</v>
      </c>
      <c r="M13418">
        <v>55222</v>
      </c>
      <c r="N13418" t="s">
        <v>43</v>
      </c>
      <c r="O13418">
        <v>241231</v>
      </c>
      <c r="P13418">
        <v>52.73</v>
      </c>
    </row>
    <row r="13419" spans="1:16" x14ac:dyDescent="0.25">
      <c r="A13419" t="s">
        <v>3296</v>
      </c>
      <c r="B13419" t="s">
        <v>2931</v>
      </c>
      <c r="C13419">
        <v>45</v>
      </c>
      <c r="D13419" t="str">
        <f t="shared" si="191"/>
        <v>8412608-9/19</v>
      </c>
      <c r="E13419" t="s">
        <v>2814</v>
      </c>
      <c r="F13419" t="s">
        <v>2815</v>
      </c>
      <c r="G13419">
        <v>31.99</v>
      </c>
      <c r="H13419">
        <v>250101</v>
      </c>
      <c r="I13419">
        <v>4841</v>
      </c>
      <c r="J13419" t="s">
        <v>9</v>
      </c>
      <c r="K13419">
        <v>1461.61</v>
      </c>
      <c r="L13419">
        <v>6.5</v>
      </c>
      <c r="M13419">
        <v>59114</v>
      </c>
      <c r="N13419" t="s">
        <v>299</v>
      </c>
      <c r="O13419">
        <v>241231</v>
      </c>
      <c r="P13419">
        <v>25.49</v>
      </c>
    </row>
    <row r="13420" spans="1:16" x14ac:dyDescent="0.25">
      <c r="A13420" t="s">
        <v>3296</v>
      </c>
      <c r="B13420" t="s">
        <v>2931</v>
      </c>
      <c r="C13420">
        <v>45</v>
      </c>
      <c r="D13420" t="str">
        <f t="shared" si="191"/>
        <v>8412608-9/19</v>
      </c>
      <c r="E13420" t="s">
        <v>2814</v>
      </c>
      <c r="F13420" t="s">
        <v>2815</v>
      </c>
      <c r="G13420">
        <v>76.19</v>
      </c>
      <c r="H13420">
        <v>250101</v>
      </c>
      <c r="I13420">
        <v>4841</v>
      </c>
      <c r="J13420" t="s">
        <v>9</v>
      </c>
      <c r="K13420">
        <v>1461.61</v>
      </c>
      <c r="L13420">
        <v>15.48</v>
      </c>
      <c r="M13420">
        <v>59504</v>
      </c>
      <c r="N13420" t="s">
        <v>193</v>
      </c>
      <c r="O13420">
        <v>241231</v>
      </c>
      <c r="P13420">
        <v>60.71</v>
      </c>
    </row>
    <row r="13421" spans="1:16" x14ac:dyDescent="0.25">
      <c r="A13421" t="s">
        <v>3296</v>
      </c>
      <c r="B13421" t="s">
        <v>2931</v>
      </c>
      <c r="C13421">
        <v>45</v>
      </c>
      <c r="D13421" t="str">
        <f t="shared" si="191"/>
        <v>8412608-9/19</v>
      </c>
      <c r="E13421" t="s">
        <v>2814</v>
      </c>
      <c r="F13421" t="s">
        <v>2815</v>
      </c>
      <c r="G13421">
        <v>40.03</v>
      </c>
      <c r="H13421">
        <v>250101</v>
      </c>
      <c r="I13421">
        <v>4841</v>
      </c>
      <c r="J13421" t="s">
        <v>9</v>
      </c>
      <c r="K13421">
        <v>1461.61</v>
      </c>
      <c r="L13421">
        <v>8.1300000000000008</v>
      </c>
      <c r="M13421">
        <v>59701</v>
      </c>
      <c r="N13421" t="s">
        <v>64</v>
      </c>
      <c r="O13421">
        <v>241231</v>
      </c>
      <c r="P13421">
        <v>31.9</v>
      </c>
    </row>
    <row r="13422" spans="1:16" x14ac:dyDescent="0.25">
      <c r="A13422" t="s">
        <v>3296</v>
      </c>
      <c r="B13422" t="s">
        <v>2931</v>
      </c>
      <c r="C13422">
        <v>45</v>
      </c>
      <c r="D13422" t="str">
        <f t="shared" si="191"/>
        <v>8412608-9/19</v>
      </c>
      <c r="E13422" t="s">
        <v>2814</v>
      </c>
      <c r="F13422" t="s">
        <v>2815</v>
      </c>
      <c r="G13422">
        <v>26.86</v>
      </c>
      <c r="H13422">
        <v>250101</v>
      </c>
      <c r="I13422">
        <v>4841</v>
      </c>
      <c r="J13422" t="s">
        <v>9</v>
      </c>
      <c r="K13422">
        <v>1461.61</v>
      </c>
      <c r="L13422">
        <v>5.46</v>
      </c>
      <c r="M13422">
        <v>59704</v>
      </c>
      <c r="N13422" t="s">
        <v>46</v>
      </c>
      <c r="O13422">
        <v>241231</v>
      </c>
      <c r="P13422">
        <v>21.4</v>
      </c>
    </row>
    <row r="13423" spans="1:16" x14ac:dyDescent="0.25">
      <c r="A13423" t="s">
        <v>3296</v>
      </c>
      <c r="B13423" t="s">
        <v>2931</v>
      </c>
      <c r="C13423">
        <v>46</v>
      </c>
      <c r="D13423" t="str">
        <f t="shared" ref="D13423:D13441" si="192">"8412608-4/19"</f>
        <v>8412608-4/19</v>
      </c>
      <c r="E13423" t="s">
        <v>2814</v>
      </c>
      <c r="F13423" t="s">
        <v>2815</v>
      </c>
      <c r="G13423">
        <v>51.24</v>
      </c>
      <c r="H13423">
        <v>250101</v>
      </c>
      <c r="I13423">
        <v>4841</v>
      </c>
      <c r="J13423" t="s">
        <v>9</v>
      </c>
      <c r="K13423">
        <v>5128.49</v>
      </c>
      <c r="L13423">
        <v>10.41</v>
      </c>
      <c r="M13423">
        <v>11900</v>
      </c>
      <c r="N13423" t="s">
        <v>30</v>
      </c>
      <c r="O13423">
        <v>241231</v>
      </c>
      <c r="P13423">
        <v>40.83</v>
      </c>
    </row>
    <row r="13424" spans="1:16" x14ac:dyDescent="0.25">
      <c r="A13424" t="s">
        <v>3296</v>
      </c>
      <c r="B13424" t="s">
        <v>2931</v>
      </c>
      <c r="C13424">
        <v>46</v>
      </c>
      <c r="D13424" t="str">
        <f t="shared" si="192"/>
        <v>8412608-4/19</v>
      </c>
      <c r="E13424" t="s">
        <v>2814</v>
      </c>
      <c r="F13424" t="s">
        <v>2815</v>
      </c>
      <c r="G13424">
        <v>122.64</v>
      </c>
      <c r="H13424">
        <v>250101</v>
      </c>
      <c r="I13424">
        <v>4841</v>
      </c>
      <c r="J13424" t="s">
        <v>9</v>
      </c>
      <c r="K13424">
        <v>5128.49</v>
      </c>
      <c r="L13424">
        <v>24.92</v>
      </c>
      <c r="M13424">
        <v>13201</v>
      </c>
      <c r="N13424" t="s">
        <v>269</v>
      </c>
      <c r="O13424">
        <v>241231</v>
      </c>
      <c r="P13424">
        <v>97.72</v>
      </c>
    </row>
    <row r="13425" spans="1:16" x14ac:dyDescent="0.25">
      <c r="A13425" t="s">
        <v>3296</v>
      </c>
      <c r="B13425" t="s">
        <v>2931</v>
      </c>
      <c r="C13425">
        <v>46</v>
      </c>
      <c r="D13425" t="str">
        <f t="shared" si="192"/>
        <v>8412608-4/19</v>
      </c>
      <c r="E13425" t="s">
        <v>2814</v>
      </c>
      <c r="F13425" t="s">
        <v>2815</v>
      </c>
      <c r="G13425">
        <v>57.69</v>
      </c>
      <c r="H13425">
        <v>250101</v>
      </c>
      <c r="I13425">
        <v>4841</v>
      </c>
      <c r="J13425" t="s">
        <v>9</v>
      </c>
      <c r="K13425">
        <v>5128.49</v>
      </c>
      <c r="L13425">
        <v>11.72</v>
      </c>
      <c r="M13425">
        <v>16321</v>
      </c>
      <c r="N13425" t="s">
        <v>16</v>
      </c>
      <c r="O13425">
        <v>241231</v>
      </c>
      <c r="P13425">
        <v>45.97</v>
      </c>
    </row>
    <row r="13426" spans="1:16" x14ac:dyDescent="0.25">
      <c r="A13426" t="s">
        <v>3296</v>
      </c>
      <c r="B13426" t="s">
        <v>2931</v>
      </c>
      <c r="C13426">
        <v>46</v>
      </c>
      <c r="D13426" t="str">
        <f t="shared" si="192"/>
        <v>8412608-4/19</v>
      </c>
      <c r="E13426" t="s">
        <v>2814</v>
      </c>
      <c r="F13426" t="s">
        <v>2815</v>
      </c>
      <c r="G13426">
        <v>761.73</v>
      </c>
      <c r="H13426">
        <v>250101</v>
      </c>
      <c r="I13426">
        <v>4841</v>
      </c>
      <c r="J13426" t="s">
        <v>9</v>
      </c>
      <c r="K13426">
        <v>5128.49</v>
      </c>
      <c r="L13426">
        <v>154.77000000000001</v>
      </c>
      <c r="M13426">
        <v>16321</v>
      </c>
      <c r="N13426" t="s">
        <v>16</v>
      </c>
      <c r="O13426">
        <v>241231</v>
      </c>
      <c r="P13426">
        <v>606.96</v>
      </c>
    </row>
    <row r="13427" spans="1:16" x14ac:dyDescent="0.25">
      <c r="A13427" t="s">
        <v>3296</v>
      </c>
      <c r="B13427" t="s">
        <v>2931</v>
      </c>
      <c r="C13427">
        <v>46</v>
      </c>
      <c r="D13427" t="str">
        <f t="shared" si="192"/>
        <v>8412608-4/19</v>
      </c>
      <c r="E13427" t="s">
        <v>2814</v>
      </c>
      <c r="F13427" t="s">
        <v>2815</v>
      </c>
      <c r="G13427">
        <v>115.38</v>
      </c>
      <c r="H13427">
        <v>250101</v>
      </c>
      <c r="I13427">
        <v>4841</v>
      </c>
      <c r="J13427" t="s">
        <v>9</v>
      </c>
      <c r="K13427">
        <v>5128.49</v>
      </c>
      <c r="L13427">
        <v>23.44</v>
      </c>
      <c r="M13427">
        <v>16431</v>
      </c>
      <c r="N13427" t="s">
        <v>17</v>
      </c>
      <c r="O13427">
        <v>241231</v>
      </c>
      <c r="P13427">
        <v>91.94</v>
      </c>
    </row>
    <row r="13428" spans="1:16" x14ac:dyDescent="0.25">
      <c r="A13428" t="s">
        <v>3296</v>
      </c>
      <c r="B13428" t="s">
        <v>2931</v>
      </c>
      <c r="C13428">
        <v>46</v>
      </c>
      <c r="D13428" t="str">
        <f t="shared" si="192"/>
        <v>8412608-4/19</v>
      </c>
      <c r="E13428" t="s">
        <v>2814</v>
      </c>
      <c r="F13428" t="s">
        <v>2815</v>
      </c>
      <c r="G13428">
        <v>78.83</v>
      </c>
      <c r="H13428">
        <v>250101</v>
      </c>
      <c r="I13428">
        <v>4841</v>
      </c>
      <c r="J13428" t="s">
        <v>9</v>
      </c>
      <c r="K13428">
        <v>5128.49</v>
      </c>
      <c r="L13428">
        <v>16.02</v>
      </c>
      <c r="M13428">
        <v>17802</v>
      </c>
      <c r="N13428" t="s">
        <v>18</v>
      </c>
      <c r="O13428">
        <v>241231</v>
      </c>
      <c r="P13428">
        <v>62.81</v>
      </c>
    </row>
    <row r="13429" spans="1:16" x14ac:dyDescent="0.25">
      <c r="A13429" t="s">
        <v>3296</v>
      </c>
      <c r="B13429" t="s">
        <v>2931</v>
      </c>
      <c r="C13429">
        <v>46</v>
      </c>
      <c r="D13429" t="str">
        <f t="shared" si="192"/>
        <v>8412608-4/19</v>
      </c>
      <c r="E13429" t="s">
        <v>2814</v>
      </c>
      <c r="F13429" t="s">
        <v>2815</v>
      </c>
      <c r="G13429">
        <v>413.57</v>
      </c>
      <c r="H13429">
        <v>250101</v>
      </c>
      <c r="I13429">
        <v>4841</v>
      </c>
      <c r="J13429" t="s">
        <v>9</v>
      </c>
      <c r="K13429">
        <v>5128.49</v>
      </c>
      <c r="L13429">
        <v>84.03</v>
      </c>
      <c r="M13429">
        <v>17802</v>
      </c>
      <c r="N13429" t="s">
        <v>18</v>
      </c>
      <c r="O13429">
        <v>241231</v>
      </c>
      <c r="P13429">
        <v>329.54</v>
      </c>
    </row>
    <row r="13430" spans="1:16" x14ac:dyDescent="0.25">
      <c r="A13430" t="s">
        <v>3296</v>
      </c>
      <c r="B13430" t="s">
        <v>2931</v>
      </c>
      <c r="C13430">
        <v>46</v>
      </c>
      <c r="D13430" t="str">
        <f t="shared" si="192"/>
        <v>8412608-4/19</v>
      </c>
      <c r="E13430" t="s">
        <v>2814</v>
      </c>
      <c r="F13430" t="s">
        <v>2815</v>
      </c>
      <c r="G13430">
        <v>698.88</v>
      </c>
      <c r="H13430">
        <v>250101</v>
      </c>
      <c r="I13430">
        <v>4841</v>
      </c>
      <c r="J13430" t="s">
        <v>9</v>
      </c>
      <c r="K13430">
        <v>5128.49</v>
      </c>
      <c r="L13430">
        <v>142</v>
      </c>
      <c r="M13430">
        <v>17803</v>
      </c>
      <c r="N13430" t="s">
        <v>19</v>
      </c>
      <c r="O13430">
        <v>241231</v>
      </c>
      <c r="P13430">
        <v>556.88</v>
      </c>
    </row>
    <row r="13431" spans="1:16" x14ac:dyDescent="0.25">
      <c r="A13431" t="s">
        <v>3296</v>
      </c>
      <c r="B13431" t="s">
        <v>2931</v>
      </c>
      <c r="C13431">
        <v>46</v>
      </c>
      <c r="D13431" t="str">
        <f t="shared" si="192"/>
        <v>8412608-4/19</v>
      </c>
      <c r="E13431" t="s">
        <v>2814</v>
      </c>
      <c r="F13431" t="s">
        <v>2815</v>
      </c>
      <c r="G13431">
        <v>211.53</v>
      </c>
      <c r="H13431">
        <v>250101</v>
      </c>
      <c r="I13431">
        <v>4841</v>
      </c>
      <c r="J13431" t="s">
        <v>9</v>
      </c>
      <c r="K13431">
        <v>5128.49</v>
      </c>
      <c r="L13431">
        <v>42.98</v>
      </c>
      <c r="M13431">
        <v>17804</v>
      </c>
      <c r="N13431" t="s">
        <v>20</v>
      </c>
      <c r="O13431">
        <v>241231</v>
      </c>
      <c r="P13431">
        <v>168.55</v>
      </c>
    </row>
    <row r="13432" spans="1:16" x14ac:dyDescent="0.25">
      <c r="A13432" t="s">
        <v>3296</v>
      </c>
      <c r="B13432" t="s">
        <v>2931</v>
      </c>
      <c r="C13432">
        <v>46</v>
      </c>
      <c r="D13432" t="str">
        <f t="shared" si="192"/>
        <v>8412608-4/19</v>
      </c>
      <c r="E13432" t="s">
        <v>2814</v>
      </c>
      <c r="F13432" t="s">
        <v>2815</v>
      </c>
      <c r="G13432">
        <v>355.88</v>
      </c>
      <c r="H13432">
        <v>250101</v>
      </c>
      <c r="I13432">
        <v>4841</v>
      </c>
      <c r="J13432" t="s">
        <v>9</v>
      </c>
      <c r="K13432">
        <v>5128.49</v>
      </c>
      <c r="L13432">
        <v>72.31</v>
      </c>
      <c r="M13432">
        <v>17805</v>
      </c>
      <c r="N13432" t="s">
        <v>21</v>
      </c>
      <c r="O13432">
        <v>241231</v>
      </c>
      <c r="P13432">
        <v>283.57</v>
      </c>
    </row>
    <row r="13433" spans="1:16" x14ac:dyDescent="0.25">
      <c r="A13433" t="s">
        <v>3296</v>
      </c>
      <c r="B13433" t="s">
        <v>2931</v>
      </c>
      <c r="C13433">
        <v>46</v>
      </c>
      <c r="D13433" t="str">
        <f t="shared" si="192"/>
        <v>8412608-4/19</v>
      </c>
      <c r="E13433" t="s">
        <v>2814</v>
      </c>
      <c r="F13433" t="s">
        <v>2815</v>
      </c>
      <c r="G13433">
        <v>57.69</v>
      </c>
      <c r="H13433">
        <v>250101</v>
      </c>
      <c r="I13433">
        <v>4841</v>
      </c>
      <c r="J13433" t="s">
        <v>9</v>
      </c>
      <c r="K13433">
        <v>5128.49</v>
      </c>
      <c r="L13433">
        <v>11.72</v>
      </c>
      <c r="M13433">
        <v>17806</v>
      </c>
      <c r="N13433" t="s">
        <v>22</v>
      </c>
      <c r="O13433">
        <v>241231</v>
      </c>
      <c r="P13433">
        <v>45.97</v>
      </c>
    </row>
    <row r="13434" spans="1:16" x14ac:dyDescent="0.25">
      <c r="A13434" t="s">
        <v>3296</v>
      </c>
      <c r="B13434" t="s">
        <v>2931</v>
      </c>
      <c r="C13434">
        <v>46</v>
      </c>
      <c r="D13434" t="str">
        <f t="shared" si="192"/>
        <v>8412608-4/19</v>
      </c>
      <c r="E13434" t="s">
        <v>2814</v>
      </c>
      <c r="F13434" t="s">
        <v>2815</v>
      </c>
      <c r="G13434">
        <v>235.8</v>
      </c>
      <c r="H13434">
        <v>250101</v>
      </c>
      <c r="I13434">
        <v>4841</v>
      </c>
      <c r="J13434" t="s">
        <v>9</v>
      </c>
      <c r="K13434">
        <v>5128.49</v>
      </c>
      <c r="L13434">
        <v>47.91</v>
      </c>
      <c r="M13434">
        <v>17807</v>
      </c>
      <c r="N13434" t="s">
        <v>23</v>
      </c>
      <c r="O13434">
        <v>241231</v>
      </c>
      <c r="P13434">
        <v>187.89</v>
      </c>
    </row>
    <row r="13435" spans="1:16" x14ac:dyDescent="0.25">
      <c r="A13435" t="s">
        <v>3296</v>
      </c>
      <c r="B13435" t="s">
        <v>2931</v>
      </c>
      <c r="C13435">
        <v>46</v>
      </c>
      <c r="D13435" t="str">
        <f t="shared" si="192"/>
        <v>8412608-4/19</v>
      </c>
      <c r="E13435" t="s">
        <v>2814</v>
      </c>
      <c r="F13435" t="s">
        <v>2815</v>
      </c>
      <c r="G13435">
        <v>617.62</v>
      </c>
      <c r="H13435">
        <v>250101</v>
      </c>
      <c r="I13435">
        <v>4841</v>
      </c>
      <c r="J13435" t="s">
        <v>9</v>
      </c>
      <c r="K13435">
        <v>5128.49</v>
      </c>
      <c r="L13435">
        <v>125.49</v>
      </c>
      <c r="M13435">
        <v>17808</v>
      </c>
      <c r="N13435" t="s">
        <v>24</v>
      </c>
      <c r="O13435">
        <v>241231</v>
      </c>
      <c r="P13435">
        <v>492.13</v>
      </c>
    </row>
    <row r="13436" spans="1:16" x14ac:dyDescent="0.25">
      <c r="A13436" t="s">
        <v>3296</v>
      </c>
      <c r="B13436" t="s">
        <v>2931</v>
      </c>
      <c r="C13436">
        <v>46</v>
      </c>
      <c r="D13436" t="str">
        <f t="shared" si="192"/>
        <v>8412608-4/19</v>
      </c>
      <c r="E13436" t="s">
        <v>2814</v>
      </c>
      <c r="F13436" t="s">
        <v>2815</v>
      </c>
      <c r="G13436">
        <v>677.1</v>
      </c>
      <c r="H13436">
        <v>250101</v>
      </c>
      <c r="I13436">
        <v>4841</v>
      </c>
      <c r="J13436" t="s">
        <v>9</v>
      </c>
      <c r="K13436">
        <v>5128.49</v>
      </c>
      <c r="L13436">
        <v>137.58000000000001</v>
      </c>
      <c r="M13436">
        <v>17808</v>
      </c>
      <c r="N13436" t="s">
        <v>24</v>
      </c>
      <c r="O13436">
        <v>241231</v>
      </c>
      <c r="P13436">
        <v>539.52</v>
      </c>
    </row>
    <row r="13437" spans="1:16" x14ac:dyDescent="0.25">
      <c r="A13437" t="s">
        <v>3296</v>
      </c>
      <c r="B13437" t="s">
        <v>2931</v>
      </c>
      <c r="C13437">
        <v>46</v>
      </c>
      <c r="D13437" t="str">
        <f t="shared" si="192"/>
        <v>8412608-4/19</v>
      </c>
      <c r="E13437" t="s">
        <v>2814</v>
      </c>
      <c r="F13437" t="s">
        <v>2815</v>
      </c>
      <c r="G13437">
        <v>63.78</v>
      </c>
      <c r="H13437">
        <v>250101</v>
      </c>
      <c r="I13437">
        <v>4841</v>
      </c>
      <c r="J13437" t="s">
        <v>9</v>
      </c>
      <c r="K13437">
        <v>5128.49</v>
      </c>
      <c r="L13437">
        <v>12.96</v>
      </c>
      <c r="M13437">
        <v>17913</v>
      </c>
      <c r="N13437" t="s">
        <v>26</v>
      </c>
      <c r="O13437">
        <v>241231</v>
      </c>
      <c r="P13437">
        <v>50.82</v>
      </c>
    </row>
    <row r="13438" spans="1:16" x14ac:dyDescent="0.25">
      <c r="A13438" t="s">
        <v>3296</v>
      </c>
      <c r="B13438" t="s">
        <v>2931</v>
      </c>
      <c r="C13438">
        <v>46</v>
      </c>
      <c r="D13438" t="str">
        <f t="shared" si="192"/>
        <v>8412608-4/19</v>
      </c>
      <c r="E13438" t="s">
        <v>2814</v>
      </c>
      <c r="F13438" t="s">
        <v>2815</v>
      </c>
      <c r="G13438">
        <v>392.97</v>
      </c>
      <c r="H13438">
        <v>250101</v>
      </c>
      <c r="I13438">
        <v>4841</v>
      </c>
      <c r="J13438" t="s">
        <v>9</v>
      </c>
      <c r="K13438">
        <v>5128.49</v>
      </c>
      <c r="L13438">
        <v>79.849999999999994</v>
      </c>
      <c r="M13438">
        <v>17951</v>
      </c>
      <c r="N13438" t="s">
        <v>207</v>
      </c>
      <c r="O13438">
        <v>241231</v>
      </c>
      <c r="P13438">
        <v>313.12</v>
      </c>
    </row>
    <row r="13439" spans="1:16" x14ac:dyDescent="0.25">
      <c r="A13439" t="s">
        <v>3296</v>
      </c>
      <c r="B13439" t="s">
        <v>2931</v>
      </c>
      <c r="C13439">
        <v>46</v>
      </c>
      <c r="D13439" t="str">
        <f t="shared" si="192"/>
        <v>8412608-4/19</v>
      </c>
      <c r="E13439" t="s">
        <v>2814</v>
      </c>
      <c r="F13439" t="s">
        <v>2815</v>
      </c>
      <c r="G13439">
        <v>78.83</v>
      </c>
      <c r="H13439">
        <v>250101</v>
      </c>
      <c r="I13439">
        <v>4841</v>
      </c>
      <c r="J13439" t="s">
        <v>9</v>
      </c>
      <c r="K13439">
        <v>5128.49</v>
      </c>
      <c r="L13439">
        <v>16.02</v>
      </c>
      <c r="M13439">
        <v>17971</v>
      </c>
      <c r="N13439" t="s">
        <v>27</v>
      </c>
      <c r="O13439">
        <v>241231</v>
      </c>
      <c r="P13439">
        <v>62.81</v>
      </c>
    </row>
    <row r="13440" spans="1:16" x14ac:dyDescent="0.25">
      <c r="A13440" t="s">
        <v>3296</v>
      </c>
      <c r="B13440" t="s">
        <v>2931</v>
      </c>
      <c r="C13440">
        <v>46</v>
      </c>
      <c r="D13440" t="str">
        <f t="shared" si="192"/>
        <v>8412608-4/19</v>
      </c>
      <c r="E13440" t="s">
        <v>2814</v>
      </c>
      <c r="F13440" t="s">
        <v>2815</v>
      </c>
      <c r="G13440">
        <v>129.16</v>
      </c>
      <c r="H13440">
        <v>250101</v>
      </c>
      <c r="I13440">
        <v>4841</v>
      </c>
      <c r="J13440" t="s">
        <v>9</v>
      </c>
      <c r="K13440">
        <v>5128.49</v>
      </c>
      <c r="L13440">
        <v>26.24</v>
      </c>
      <c r="M13440">
        <v>17972</v>
      </c>
      <c r="N13440" t="s">
        <v>28</v>
      </c>
      <c r="O13440">
        <v>241231</v>
      </c>
      <c r="P13440">
        <v>102.92</v>
      </c>
    </row>
    <row r="13441" spans="1:16" x14ac:dyDescent="0.25">
      <c r="A13441" t="s">
        <v>3296</v>
      </c>
      <c r="B13441" t="s">
        <v>2931</v>
      </c>
      <c r="C13441">
        <v>46</v>
      </c>
      <c r="D13441" t="str">
        <f t="shared" si="192"/>
        <v>8412608-4/19</v>
      </c>
      <c r="E13441" t="s">
        <v>2814</v>
      </c>
      <c r="F13441" t="s">
        <v>2815</v>
      </c>
      <c r="G13441">
        <v>8.17</v>
      </c>
      <c r="H13441">
        <v>250101</v>
      </c>
      <c r="I13441">
        <v>4841</v>
      </c>
      <c r="J13441" t="s">
        <v>9</v>
      </c>
      <c r="K13441">
        <v>5128.49</v>
      </c>
      <c r="L13441">
        <v>1.66</v>
      </c>
      <c r="M13441">
        <v>17975</v>
      </c>
      <c r="N13441" t="s">
        <v>29</v>
      </c>
      <c r="O13441">
        <v>241231</v>
      </c>
      <c r="P13441">
        <v>6.51</v>
      </c>
    </row>
    <row r="13442" spans="1:16" x14ac:dyDescent="0.25">
      <c r="A13442" t="s">
        <v>3296</v>
      </c>
      <c r="B13442" t="s">
        <v>2931</v>
      </c>
      <c r="C13442">
        <v>48</v>
      </c>
      <c r="D13442" t="str">
        <f t="shared" ref="D13442:D13447" si="193">"8412608-7/19"</f>
        <v>8412608-7/19</v>
      </c>
      <c r="E13442" t="s">
        <v>2814</v>
      </c>
      <c r="F13442" t="s">
        <v>2815</v>
      </c>
      <c r="G13442">
        <v>204.95</v>
      </c>
      <c r="H13442">
        <v>250101</v>
      </c>
      <c r="I13442">
        <v>4841</v>
      </c>
      <c r="J13442" t="s">
        <v>9</v>
      </c>
      <c r="K13442">
        <v>1727.94</v>
      </c>
      <c r="L13442">
        <v>41.64</v>
      </c>
      <c r="M13442">
        <v>16121</v>
      </c>
      <c r="N13442" t="s">
        <v>127</v>
      </c>
      <c r="O13442">
        <v>241231</v>
      </c>
      <c r="P13442">
        <v>163.31</v>
      </c>
    </row>
    <row r="13443" spans="1:16" x14ac:dyDescent="0.25">
      <c r="A13443" t="s">
        <v>3296</v>
      </c>
      <c r="B13443" t="s">
        <v>2931</v>
      </c>
      <c r="C13443">
        <v>48</v>
      </c>
      <c r="D13443" t="str">
        <f t="shared" si="193"/>
        <v>8412608-7/19</v>
      </c>
      <c r="E13443" t="s">
        <v>2814</v>
      </c>
      <c r="F13443" t="s">
        <v>2815</v>
      </c>
      <c r="G13443">
        <v>791.75</v>
      </c>
      <c r="H13443">
        <v>250101</v>
      </c>
      <c r="I13443">
        <v>4841</v>
      </c>
      <c r="J13443" t="s">
        <v>9</v>
      </c>
      <c r="K13443">
        <v>1727.94</v>
      </c>
      <c r="L13443">
        <v>160.87</v>
      </c>
      <c r="M13443">
        <v>16121</v>
      </c>
      <c r="N13443" t="s">
        <v>127</v>
      </c>
      <c r="O13443">
        <v>241231</v>
      </c>
      <c r="P13443">
        <v>630.88</v>
      </c>
    </row>
    <row r="13444" spans="1:16" x14ac:dyDescent="0.25">
      <c r="A13444" t="s">
        <v>3296</v>
      </c>
      <c r="B13444" t="s">
        <v>2931</v>
      </c>
      <c r="C13444">
        <v>48</v>
      </c>
      <c r="D13444" t="str">
        <f t="shared" si="193"/>
        <v>8412608-7/19</v>
      </c>
      <c r="E13444" t="s">
        <v>2814</v>
      </c>
      <c r="F13444" t="s">
        <v>2815</v>
      </c>
      <c r="G13444">
        <v>462.43</v>
      </c>
      <c r="H13444">
        <v>250101</v>
      </c>
      <c r="I13444">
        <v>4841</v>
      </c>
      <c r="J13444" t="s">
        <v>9</v>
      </c>
      <c r="K13444">
        <v>1727.94</v>
      </c>
      <c r="L13444">
        <v>93.96</v>
      </c>
      <c r="M13444">
        <v>16121</v>
      </c>
      <c r="N13444" t="s">
        <v>127</v>
      </c>
      <c r="O13444">
        <v>241231</v>
      </c>
      <c r="P13444">
        <v>368.47</v>
      </c>
    </row>
    <row r="13445" spans="1:16" x14ac:dyDescent="0.25">
      <c r="A13445" t="s">
        <v>3296</v>
      </c>
      <c r="B13445" t="s">
        <v>2931</v>
      </c>
      <c r="C13445">
        <v>48</v>
      </c>
      <c r="D13445" t="str">
        <f t="shared" si="193"/>
        <v>8412608-7/19</v>
      </c>
      <c r="E13445" t="s">
        <v>2814</v>
      </c>
      <c r="F13445" t="s">
        <v>2815</v>
      </c>
      <c r="G13445">
        <v>63.78</v>
      </c>
      <c r="H13445">
        <v>250101</v>
      </c>
      <c r="I13445">
        <v>4841</v>
      </c>
      <c r="J13445" t="s">
        <v>9</v>
      </c>
      <c r="K13445">
        <v>1727.94</v>
      </c>
      <c r="L13445">
        <v>12.96</v>
      </c>
      <c r="M13445">
        <v>16322</v>
      </c>
      <c r="N13445" t="s">
        <v>331</v>
      </c>
      <c r="O13445">
        <v>241231</v>
      </c>
      <c r="P13445">
        <v>50.82</v>
      </c>
    </row>
    <row r="13446" spans="1:16" x14ac:dyDescent="0.25">
      <c r="A13446" t="s">
        <v>3296</v>
      </c>
      <c r="B13446" t="s">
        <v>2931</v>
      </c>
      <c r="C13446">
        <v>48</v>
      </c>
      <c r="D13446" t="str">
        <f t="shared" si="193"/>
        <v>8412608-7/19</v>
      </c>
      <c r="E13446" t="s">
        <v>2814</v>
      </c>
      <c r="F13446" t="s">
        <v>2815</v>
      </c>
      <c r="G13446">
        <v>52.84</v>
      </c>
      <c r="H13446">
        <v>250101</v>
      </c>
      <c r="I13446">
        <v>4841</v>
      </c>
      <c r="J13446" t="s">
        <v>9</v>
      </c>
      <c r="K13446">
        <v>1727.94</v>
      </c>
      <c r="L13446">
        <v>10.74</v>
      </c>
      <c r="M13446">
        <v>16820</v>
      </c>
      <c r="N13446" t="s">
        <v>128</v>
      </c>
      <c r="O13446">
        <v>241231</v>
      </c>
      <c r="P13446">
        <v>42.1</v>
      </c>
    </row>
    <row r="13447" spans="1:16" x14ac:dyDescent="0.25">
      <c r="A13447" t="s">
        <v>3296</v>
      </c>
      <c r="B13447" t="s">
        <v>2931</v>
      </c>
      <c r="C13447">
        <v>48</v>
      </c>
      <c r="D13447" t="str">
        <f t="shared" si="193"/>
        <v>8412608-7/19</v>
      </c>
      <c r="E13447" t="s">
        <v>2814</v>
      </c>
      <c r="F13447" t="s">
        <v>2815</v>
      </c>
      <c r="G13447">
        <v>152.19</v>
      </c>
      <c r="H13447">
        <v>250101</v>
      </c>
      <c r="I13447">
        <v>4841</v>
      </c>
      <c r="J13447" t="s">
        <v>9</v>
      </c>
      <c r="K13447">
        <v>1727.94</v>
      </c>
      <c r="L13447">
        <v>30.92</v>
      </c>
      <c r="M13447">
        <v>17974</v>
      </c>
      <c r="N13447" t="s">
        <v>153</v>
      </c>
      <c r="O13447">
        <v>241231</v>
      </c>
      <c r="P13447">
        <v>121.27</v>
      </c>
    </row>
    <row r="13448" spans="1:16" x14ac:dyDescent="0.25">
      <c r="A13448" t="s">
        <v>3296</v>
      </c>
      <c r="B13448" t="s">
        <v>2931</v>
      </c>
      <c r="C13448">
        <v>59</v>
      </c>
      <c r="D13448" t="str">
        <f t="shared" ref="D13448:D13467" si="194">"8412608-3/19"</f>
        <v>8412608-3/19</v>
      </c>
      <c r="E13448" t="s">
        <v>2814</v>
      </c>
      <c r="F13448" t="s">
        <v>2815</v>
      </c>
      <c r="G13448">
        <v>25.04</v>
      </c>
      <c r="H13448">
        <v>250101</v>
      </c>
      <c r="I13448">
        <v>4841</v>
      </c>
      <c r="J13448" t="s">
        <v>9</v>
      </c>
      <c r="K13448">
        <v>8742.81</v>
      </c>
      <c r="L13448">
        <v>5.09</v>
      </c>
      <c r="M13448">
        <v>11301</v>
      </c>
      <c r="N13448" t="s">
        <v>92</v>
      </c>
      <c r="O13448">
        <v>250102</v>
      </c>
      <c r="P13448">
        <v>19.95</v>
      </c>
    </row>
    <row r="13449" spans="1:16" x14ac:dyDescent="0.25">
      <c r="A13449" t="s">
        <v>3296</v>
      </c>
      <c r="B13449" t="s">
        <v>2931</v>
      </c>
      <c r="C13449">
        <v>59</v>
      </c>
      <c r="D13449" t="str">
        <f t="shared" si="194"/>
        <v>8412608-3/19</v>
      </c>
      <c r="E13449" t="s">
        <v>2814</v>
      </c>
      <c r="F13449" t="s">
        <v>2815</v>
      </c>
      <c r="G13449">
        <v>1979.07</v>
      </c>
      <c r="H13449">
        <v>250101</v>
      </c>
      <c r="I13449">
        <v>4841</v>
      </c>
      <c r="J13449" t="s">
        <v>9</v>
      </c>
      <c r="K13449">
        <v>8742.81</v>
      </c>
      <c r="L13449">
        <v>402.12</v>
      </c>
      <c r="M13449">
        <v>61122</v>
      </c>
      <c r="N13449" t="s">
        <v>86</v>
      </c>
      <c r="O13449">
        <v>250102</v>
      </c>
      <c r="P13449">
        <v>1576.95</v>
      </c>
    </row>
    <row r="13450" spans="1:16" x14ac:dyDescent="0.25">
      <c r="A13450" t="s">
        <v>3296</v>
      </c>
      <c r="B13450" t="s">
        <v>2931</v>
      </c>
      <c r="C13450">
        <v>59</v>
      </c>
      <c r="D13450" t="str">
        <f t="shared" si="194"/>
        <v>8412608-3/19</v>
      </c>
      <c r="E13450" t="s">
        <v>2814</v>
      </c>
      <c r="F13450" t="s">
        <v>2815</v>
      </c>
      <c r="G13450">
        <v>2900.47</v>
      </c>
      <c r="H13450">
        <v>250101</v>
      </c>
      <c r="I13450">
        <v>4841</v>
      </c>
      <c r="J13450" t="s">
        <v>9</v>
      </c>
      <c r="K13450">
        <v>8742.81</v>
      </c>
      <c r="L13450">
        <v>589.34</v>
      </c>
      <c r="M13450">
        <v>65222</v>
      </c>
      <c r="N13450" t="s">
        <v>87</v>
      </c>
      <c r="O13450">
        <v>250102</v>
      </c>
      <c r="P13450">
        <v>2311.13</v>
      </c>
    </row>
    <row r="13451" spans="1:16" x14ac:dyDescent="0.25">
      <c r="A13451" t="s">
        <v>3296</v>
      </c>
      <c r="B13451" t="s">
        <v>2931</v>
      </c>
      <c r="C13451">
        <v>59</v>
      </c>
      <c r="D13451" t="str">
        <f t="shared" si="194"/>
        <v>8412608-3/19</v>
      </c>
      <c r="E13451" t="s">
        <v>2814</v>
      </c>
      <c r="F13451" t="s">
        <v>2815</v>
      </c>
      <c r="G13451">
        <v>8.14</v>
      </c>
      <c r="H13451">
        <v>250101</v>
      </c>
      <c r="I13451">
        <v>4841</v>
      </c>
      <c r="J13451" t="s">
        <v>9</v>
      </c>
      <c r="K13451">
        <v>8742.81</v>
      </c>
      <c r="L13451">
        <v>1.65</v>
      </c>
      <c r="M13451">
        <v>65422</v>
      </c>
      <c r="N13451" t="s">
        <v>117</v>
      </c>
      <c r="O13451">
        <v>250102</v>
      </c>
      <c r="P13451">
        <v>6.49</v>
      </c>
    </row>
    <row r="13452" spans="1:16" x14ac:dyDescent="0.25">
      <c r="A13452" t="s">
        <v>3296</v>
      </c>
      <c r="B13452" t="s">
        <v>2931</v>
      </c>
      <c r="C13452">
        <v>59</v>
      </c>
      <c r="D13452" t="str">
        <f t="shared" si="194"/>
        <v>8412608-3/19</v>
      </c>
      <c r="E13452" t="s">
        <v>2814</v>
      </c>
      <c r="F13452" t="s">
        <v>2815</v>
      </c>
      <c r="G13452">
        <v>144.4</v>
      </c>
      <c r="H13452">
        <v>250101</v>
      </c>
      <c r="I13452">
        <v>4841</v>
      </c>
      <c r="J13452" t="s">
        <v>9</v>
      </c>
      <c r="K13452">
        <v>8742.81</v>
      </c>
      <c r="L13452">
        <v>29.34</v>
      </c>
      <c r="M13452">
        <v>66722</v>
      </c>
      <c r="N13452" t="s">
        <v>118</v>
      </c>
      <c r="O13452">
        <v>250102</v>
      </c>
      <c r="P13452">
        <v>115.06</v>
      </c>
    </row>
    <row r="13453" spans="1:16" x14ac:dyDescent="0.25">
      <c r="A13453" t="s">
        <v>3296</v>
      </c>
      <c r="B13453" t="s">
        <v>2931</v>
      </c>
      <c r="C13453">
        <v>59</v>
      </c>
      <c r="D13453" t="str">
        <f t="shared" si="194"/>
        <v>8412608-3/19</v>
      </c>
      <c r="E13453" t="s">
        <v>2814</v>
      </c>
      <c r="F13453" t="s">
        <v>2815</v>
      </c>
      <c r="G13453">
        <v>71.349999999999994</v>
      </c>
      <c r="H13453">
        <v>250101</v>
      </c>
      <c r="I13453">
        <v>4841</v>
      </c>
      <c r="J13453" t="s">
        <v>9</v>
      </c>
      <c r="K13453">
        <v>8742.81</v>
      </c>
      <c r="L13453">
        <v>14.5</v>
      </c>
      <c r="M13453">
        <v>66754</v>
      </c>
      <c r="N13453" t="s">
        <v>119</v>
      </c>
      <c r="O13453">
        <v>250102</v>
      </c>
      <c r="P13453">
        <v>56.85</v>
      </c>
    </row>
    <row r="13454" spans="1:16" x14ac:dyDescent="0.25">
      <c r="A13454" t="s">
        <v>3296</v>
      </c>
      <c r="B13454" t="s">
        <v>2931</v>
      </c>
      <c r="C13454">
        <v>59</v>
      </c>
      <c r="D13454" t="str">
        <f t="shared" si="194"/>
        <v>8412608-3/19</v>
      </c>
      <c r="E13454" t="s">
        <v>2814</v>
      </c>
      <c r="F13454" t="s">
        <v>2815</v>
      </c>
      <c r="G13454">
        <v>461.16</v>
      </c>
      <c r="H13454">
        <v>250101</v>
      </c>
      <c r="I13454">
        <v>4841</v>
      </c>
      <c r="J13454" t="s">
        <v>9</v>
      </c>
      <c r="K13454">
        <v>8742.81</v>
      </c>
      <c r="L13454">
        <v>93.7</v>
      </c>
      <c r="M13454">
        <v>66756</v>
      </c>
      <c r="N13454" t="s">
        <v>120</v>
      </c>
      <c r="O13454">
        <v>250102</v>
      </c>
      <c r="P13454">
        <v>367.46</v>
      </c>
    </row>
    <row r="13455" spans="1:16" x14ac:dyDescent="0.25">
      <c r="A13455" t="s">
        <v>3296</v>
      </c>
      <c r="B13455" t="s">
        <v>2931</v>
      </c>
      <c r="C13455">
        <v>59</v>
      </c>
      <c r="D13455" t="str">
        <f t="shared" si="194"/>
        <v>8412608-3/19</v>
      </c>
      <c r="E13455" t="s">
        <v>2814</v>
      </c>
      <c r="F13455" t="s">
        <v>2815</v>
      </c>
      <c r="G13455">
        <v>205.87</v>
      </c>
      <c r="H13455">
        <v>250101</v>
      </c>
      <c r="I13455">
        <v>4841</v>
      </c>
      <c r="J13455" t="s">
        <v>9</v>
      </c>
      <c r="K13455">
        <v>8742.81</v>
      </c>
      <c r="L13455">
        <v>41.83</v>
      </c>
      <c r="M13455">
        <v>67522</v>
      </c>
      <c r="N13455" t="s">
        <v>121</v>
      </c>
      <c r="O13455">
        <v>250102</v>
      </c>
      <c r="P13455">
        <v>164.04</v>
      </c>
    </row>
    <row r="13456" spans="1:16" x14ac:dyDescent="0.25">
      <c r="A13456" t="s">
        <v>3296</v>
      </c>
      <c r="B13456" t="s">
        <v>2931</v>
      </c>
      <c r="C13456">
        <v>59</v>
      </c>
      <c r="D13456" t="str">
        <f t="shared" si="194"/>
        <v>8412608-3/19</v>
      </c>
      <c r="E13456" t="s">
        <v>2814</v>
      </c>
      <c r="F13456" t="s">
        <v>2815</v>
      </c>
      <c r="G13456">
        <v>71.349999999999994</v>
      </c>
      <c r="H13456">
        <v>250101</v>
      </c>
      <c r="I13456">
        <v>4841</v>
      </c>
      <c r="J13456" t="s">
        <v>9</v>
      </c>
      <c r="K13456">
        <v>8742.81</v>
      </c>
      <c r="L13456">
        <v>14.5</v>
      </c>
      <c r="M13456">
        <v>67522</v>
      </c>
      <c r="N13456" t="s">
        <v>121</v>
      </c>
      <c r="O13456">
        <v>250102</v>
      </c>
      <c r="P13456">
        <v>56.85</v>
      </c>
    </row>
    <row r="13457" spans="1:16" x14ac:dyDescent="0.25">
      <c r="A13457" t="s">
        <v>3296</v>
      </c>
      <c r="B13457" t="s">
        <v>2931</v>
      </c>
      <c r="C13457">
        <v>59</v>
      </c>
      <c r="D13457" t="str">
        <f t="shared" si="194"/>
        <v>8412608-3/19</v>
      </c>
      <c r="E13457" t="s">
        <v>2814</v>
      </c>
      <c r="F13457" t="s">
        <v>2815</v>
      </c>
      <c r="G13457">
        <v>52.22</v>
      </c>
      <c r="H13457">
        <v>250101</v>
      </c>
      <c r="I13457">
        <v>4841</v>
      </c>
      <c r="J13457" t="s">
        <v>9</v>
      </c>
      <c r="K13457">
        <v>8742.81</v>
      </c>
      <c r="L13457">
        <v>10.61</v>
      </c>
      <c r="M13457">
        <v>67554</v>
      </c>
      <c r="N13457" t="s">
        <v>317</v>
      </c>
      <c r="O13457">
        <v>250102</v>
      </c>
      <c r="P13457">
        <v>41.61</v>
      </c>
    </row>
    <row r="13458" spans="1:16" x14ac:dyDescent="0.25">
      <c r="A13458" t="s">
        <v>3296</v>
      </c>
      <c r="B13458" t="s">
        <v>2931</v>
      </c>
      <c r="C13458">
        <v>59</v>
      </c>
      <c r="D13458" t="str">
        <f t="shared" si="194"/>
        <v>8412608-3/19</v>
      </c>
      <c r="E13458" t="s">
        <v>2814</v>
      </c>
      <c r="F13458" t="s">
        <v>2815</v>
      </c>
      <c r="G13458">
        <v>32.450000000000003</v>
      </c>
      <c r="H13458">
        <v>250101</v>
      </c>
      <c r="I13458">
        <v>4841</v>
      </c>
      <c r="J13458" t="s">
        <v>9</v>
      </c>
      <c r="K13458">
        <v>8742.81</v>
      </c>
      <c r="L13458">
        <v>6.59</v>
      </c>
      <c r="M13458">
        <v>67554</v>
      </c>
      <c r="N13458" t="s">
        <v>317</v>
      </c>
      <c r="O13458">
        <v>250102</v>
      </c>
      <c r="P13458">
        <v>25.86</v>
      </c>
    </row>
    <row r="13459" spans="1:16" x14ac:dyDescent="0.25">
      <c r="A13459" t="s">
        <v>3296</v>
      </c>
      <c r="B13459" t="s">
        <v>2931</v>
      </c>
      <c r="C13459">
        <v>59</v>
      </c>
      <c r="D13459" t="str">
        <f t="shared" si="194"/>
        <v>8412608-3/19</v>
      </c>
      <c r="E13459" t="s">
        <v>2814</v>
      </c>
      <c r="F13459" t="s">
        <v>2815</v>
      </c>
      <c r="G13459">
        <v>32.450000000000003</v>
      </c>
      <c r="H13459">
        <v>250101</v>
      </c>
      <c r="I13459">
        <v>4841</v>
      </c>
      <c r="J13459" t="s">
        <v>9</v>
      </c>
      <c r="K13459">
        <v>8742.81</v>
      </c>
      <c r="L13459">
        <v>6.59</v>
      </c>
      <c r="M13459">
        <v>67554</v>
      </c>
      <c r="N13459" t="s">
        <v>317</v>
      </c>
      <c r="O13459">
        <v>250102</v>
      </c>
      <c r="P13459">
        <v>25.86</v>
      </c>
    </row>
    <row r="13460" spans="1:16" x14ac:dyDescent="0.25">
      <c r="A13460" t="s">
        <v>3296</v>
      </c>
      <c r="B13460" t="s">
        <v>2931</v>
      </c>
      <c r="C13460">
        <v>59</v>
      </c>
      <c r="D13460" t="str">
        <f t="shared" si="194"/>
        <v>8412608-3/19</v>
      </c>
      <c r="E13460" t="s">
        <v>2814</v>
      </c>
      <c r="F13460" t="s">
        <v>2815</v>
      </c>
      <c r="G13460">
        <v>8.14</v>
      </c>
      <c r="H13460">
        <v>250101</v>
      </c>
      <c r="I13460">
        <v>4841</v>
      </c>
      <c r="J13460" t="s">
        <v>9</v>
      </c>
      <c r="K13460">
        <v>8742.81</v>
      </c>
      <c r="L13460">
        <v>1.65</v>
      </c>
      <c r="M13460">
        <v>69111</v>
      </c>
      <c r="N13460" t="s">
        <v>657</v>
      </c>
      <c r="O13460">
        <v>250102</v>
      </c>
      <c r="P13460">
        <v>6.49</v>
      </c>
    </row>
    <row r="13461" spans="1:16" x14ac:dyDescent="0.25">
      <c r="A13461" t="s">
        <v>3296</v>
      </c>
      <c r="B13461" t="s">
        <v>2931</v>
      </c>
      <c r="C13461">
        <v>59</v>
      </c>
      <c r="D13461" t="str">
        <f t="shared" si="194"/>
        <v>8412608-3/19</v>
      </c>
      <c r="E13461" t="s">
        <v>2814</v>
      </c>
      <c r="F13461" t="s">
        <v>2815</v>
      </c>
      <c r="G13461">
        <v>60.7</v>
      </c>
      <c r="H13461">
        <v>250101</v>
      </c>
      <c r="I13461">
        <v>4841</v>
      </c>
      <c r="J13461" t="s">
        <v>9</v>
      </c>
      <c r="K13461">
        <v>8742.81</v>
      </c>
      <c r="L13461">
        <v>12.33</v>
      </c>
      <c r="M13461">
        <v>69112</v>
      </c>
      <c r="N13461" t="s">
        <v>227</v>
      </c>
      <c r="O13461">
        <v>250102</v>
      </c>
      <c r="P13461">
        <v>48.37</v>
      </c>
    </row>
    <row r="13462" spans="1:16" x14ac:dyDescent="0.25">
      <c r="A13462" t="s">
        <v>3296</v>
      </c>
      <c r="B13462" t="s">
        <v>2931</v>
      </c>
      <c r="C13462">
        <v>59</v>
      </c>
      <c r="D13462" t="str">
        <f t="shared" si="194"/>
        <v>8412608-3/19</v>
      </c>
      <c r="E13462" t="s">
        <v>2814</v>
      </c>
      <c r="F13462" t="s">
        <v>2815</v>
      </c>
      <c r="G13462">
        <v>88.09</v>
      </c>
      <c r="H13462">
        <v>250101</v>
      </c>
      <c r="I13462">
        <v>4841</v>
      </c>
      <c r="J13462" t="s">
        <v>9</v>
      </c>
      <c r="K13462">
        <v>8742.81</v>
      </c>
      <c r="L13462">
        <v>17.899999999999999</v>
      </c>
      <c r="M13462">
        <v>69501</v>
      </c>
      <c r="N13462" t="s">
        <v>123</v>
      </c>
      <c r="O13462">
        <v>250102</v>
      </c>
      <c r="P13462">
        <v>70.19</v>
      </c>
    </row>
    <row r="13463" spans="1:16" x14ac:dyDescent="0.25">
      <c r="A13463" t="s">
        <v>3296</v>
      </c>
      <c r="B13463" t="s">
        <v>2931</v>
      </c>
      <c r="C13463">
        <v>59</v>
      </c>
      <c r="D13463" t="str">
        <f t="shared" si="194"/>
        <v>8412608-3/19</v>
      </c>
      <c r="E13463" t="s">
        <v>2814</v>
      </c>
      <c r="F13463" t="s">
        <v>2815</v>
      </c>
      <c r="G13463">
        <v>41</v>
      </c>
      <c r="H13463">
        <v>250101</v>
      </c>
      <c r="I13463">
        <v>4841</v>
      </c>
      <c r="J13463" t="s">
        <v>9</v>
      </c>
      <c r="K13463">
        <v>8742.81</v>
      </c>
      <c r="L13463">
        <v>8.33</v>
      </c>
      <c r="M13463">
        <v>69701</v>
      </c>
      <c r="N13463" t="s">
        <v>1030</v>
      </c>
      <c r="O13463">
        <v>250102</v>
      </c>
      <c r="P13463">
        <v>32.67</v>
      </c>
    </row>
    <row r="13464" spans="1:16" x14ac:dyDescent="0.25">
      <c r="A13464" t="s">
        <v>3296</v>
      </c>
      <c r="B13464" t="s">
        <v>2931</v>
      </c>
      <c r="C13464">
        <v>59</v>
      </c>
      <c r="D13464" t="str">
        <f t="shared" si="194"/>
        <v>8412608-3/19</v>
      </c>
      <c r="E13464" t="s">
        <v>2814</v>
      </c>
      <c r="F13464" t="s">
        <v>2815</v>
      </c>
      <c r="G13464">
        <v>2346.12</v>
      </c>
      <c r="H13464">
        <v>250101</v>
      </c>
      <c r="I13464">
        <v>4841</v>
      </c>
      <c r="J13464" t="s">
        <v>9</v>
      </c>
      <c r="K13464">
        <v>8742.81</v>
      </c>
      <c r="L13464">
        <v>476.7</v>
      </c>
      <c r="M13464">
        <v>69702</v>
      </c>
      <c r="N13464" t="s">
        <v>124</v>
      </c>
      <c r="O13464">
        <v>250102</v>
      </c>
      <c r="P13464">
        <v>1869.42</v>
      </c>
    </row>
    <row r="13465" spans="1:16" x14ac:dyDescent="0.25">
      <c r="A13465" t="s">
        <v>3296</v>
      </c>
      <c r="B13465" t="s">
        <v>2931</v>
      </c>
      <c r="C13465">
        <v>59</v>
      </c>
      <c r="D13465" t="str">
        <f t="shared" si="194"/>
        <v>8412608-3/19</v>
      </c>
      <c r="E13465" t="s">
        <v>2814</v>
      </c>
      <c r="F13465" t="s">
        <v>2815</v>
      </c>
      <c r="G13465">
        <v>88.04</v>
      </c>
      <c r="H13465">
        <v>250101</v>
      </c>
      <c r="I13465">
        <v>4841</v>
      </c>
      <c r="J13465" t="s">
        <v>9</v>
      </c>
      <c r="K13465">
        <v>8742.81</v>
      </c>
      <c r="L13465">
        <v>17.89</v>
      </c>
      <c r="M13465">
        <v>69703</v>
      </c>
      <c r="N13465" t="s">
        <v>88</v>
      </c>
      <c r="O13465">
        <v>250102</v>
      </c>
      <c r="P13465">
        <v>70.150000000000006</v>
      </c>
    </row>
    <row r="13466" spans="1:16" x14ac:dyDescent="0.25">
      <c r="A13466" t="s">
        <v>3296</v>
      </c>
      <c r="B13466" t="s">
        <v>2931</v>
      </c>
      <c r="C13466">
        <v>59</v>
      </c>
      <c r="D13466" t="str">
        <f t="shared" si="194"/>
        <v>8412608-3/19</v>
      </c>
      <c r="E13466" t="s">
        <v>2814</v>
      </c>
      <c r="F13466" t="s">
        <v>2815</v>
      </c>
      <c r="G13466">
        <v>74.53</v>
      </c>
      <c r="H13466">
        <v>250101</v>
      </c>
      <c r="I13466">
        <v>4841</v>
      </c>
      <c r="J13466" t="s">
        <v>9</v>
      </c>
      <c r="K13466">
        <v>8742.81</v>
      </c>
      <c r="L13466">
        <v>15.14</v>
      </c>
      <c r="M13466">
        <v>69704</v>
      </c>
      <c r="N13466" t="s">
        <v>89</v>
      </c>
      <c r="O13466">
        <v>250102</v>
      </c>
      <c r="P13466">
        <v>59.39</v>
      </c>
    </row>
    <row r="13467" spans="1:16" x14ac:dyDescent="0.25">
      <c r="A13467" t="s">
        <v>3296</v>
      </c>
      <c r="B13467" t="s">
        <v>2931</v>
      </c>
      <c r="C13467">
        <v>59</v>
      </c>
      <c r="D13467" t="str">
        <f t="shared" si="194"/>
        <v>8412608-3/19</v>
      </c>
      <c r="E13467" t="s">
        <v>2814</v>
      </c>
      <c r="F13467" t="s">
        <v>2815</v>
      </c>
      <c r="G13467">
        <v>52.22</v>
      </c>
      <c r="H13467">
        <v>250101</v>
      </c>
      <c r="I13467">
        <v>4841</v>
      </c>
      <c r="J13467" t="s">
        <v>9</v>
      </c>
      <c r="K13467">
        <v>8742.81</v>
      </c>
      <c r="L13467">
        <v>10.61</v>
      </c>
      <c r="M13467">
        <v>69708</v>
      </c>
      <c r="N13467" t="s">
        <v>125</v>
      </c>
      <c r="O13467">
        <v>250102</v>
      </c>
      <c r="P13467">
        <v>41.61</v>
      </c>
    </row>
    <row r="13468" spans="1:16" x14ac:dyDescent="0.25">
      <c r="A13468" t="s">
        <v>3296</v>
      </c>
      <c r="B13468" t="s">
        <v>2931</v>
      </c>
      <c r="C13468">
        <v>3715</v>
      </c>
      <c r="D13468" t="str">
        <f>"687194-15/19"</f>
        <v>687194-15/19</v>
      </c>
      <c r="E13468" t="s">
        <v>2814</v>
      </c>
      <c r="F13468" t="s">
        <v>2815</v>
      </c>
      <c r="G13468">
        <v>3519.48</v>
      </c>
      <c r="H13468">
        <v>250401</v>
      </c>
      <c r="I13468">
        <v>4841</v>
      </c>
      <c r="J13468" t="s">
        <v>9</v>
      </c>
      <c r="K13468">
        <v>3556.58</v>
      </c>
      <c r="L13468">
        <v>715.11</v>
      </c>
      <c r="M13468">
        <v>13401</v>
      </c>
      <c r="N13468" t="s">
        <v>10</v>
      </c>
      <c r="O13468">
        <v>250328</v>
      </c>
      <c r="P13468">
        <v>2804.37</v>
      </c>
    </row>
    <row r="13469" spans="1:16" x14ac:dyDescent="0.25">
      <c r="A13469" t="s">
        <v>3296</v>
      </c>
      <c r="B13469" t="s">
        <v>2931</v>
      </c>
      <c r="C13469">
        <v>3715</v>
      </c>
      <c r="D13469" t="str">
        <f>"687194-15/19"</f>
        <v>687194-15/19</v>
      </c>
      <c r="E13469" t="s">
        <v>2814</v>
      </c>
      <c r="F13469" t="s">
        <v>2815</v>
      </c>
      <c r="G13469">
        <v>37.1</v>
      </c>
      <c r="H13469">
        <v>250401</v>
      </c>
      <c r="I13469">
        <v>4841</v>
      </c>
      <c r="J13469" t="s">
        <v>9</v>
      </c>
      <c r="K13469">
        <v>3556.58</v>
      </c>
      <c r="L13469">
        <v>7.54</v>
      </c>
      <c r="M13469">
        <v>13401</v>
      </c>
      <c r="N13469" t="s">
        <v>10</v>
      </c>
      <c r="O13469">
        <v>250328</v>
      </c>
      <c r="P13469">
        <v>29.56</v>
      </c>
    </row>
    <row r="13470" spans="1:16" x14ac:dyDescent="0.25">
      <c r="A13470" t="s">
        <v>3296</v>
      </c>
      <c r="B13470" t="s">
        <v>2931</v>
      </c>
      <c r="C13470">
        <v>3721</v>
      </c>
      <c r="D13470" t="str">
        <f>"687194-12/19"</f>
        <v>687194-12/19</v>
      </c>
      <c r="E13470" t="s">
        <v>2814</v>
      </c>
      <c r="F13470" t="s">
        <v>2815</v>
      </c>
      <c r="G13470">
        <v>64.13</v>
      </c>
      <c r="H13470">
        <v>250401</v>
      </c>
      <c r="I13470">
        <v>4841</v>
      </c>
      <c r="J13470" t="s">
        <v>9</v>
      </c>
      <c r="K13470">
        <v>77.12</v>
      </c>
      <c r="L13470">
        <v>13.03</v>
      </c>
      <c r="M13470">
        <v>13661</v>
      </c>
      <c r="N13470" t="s">
        <v>243</v>
      </c>
      <c r="O13470">
        <v>250328</v>
      </c>
      <c r="P13470">
        <v>51.1</v>
      </c>
    </row>
    <row r="13471" spans="1:16" x14ac:dyDescent="0.25">
      <c r="A13471" t="s">
        <v>3296</v>
      </c>
      <c r="B13471" t="s">
        <v>2931</v>
      </c>
      <c r="C13471">
        <v>3721</v>
      </c>
      <c r="D13471" t="str">
        <f>"687194-12/19"</f>
        <v>687194-12/19</v>
      </c>
      <c r="E13471" t="s">
        <v>2814</v>
      </c>
      <c r="F13471" t="s">
        <v>2815</v>
      </c>
      <c r="G13471">
        <v>12.99</v>
      </c>
      <c r="H13471">
        <v>250401</v>
      </c>
      <c r="I13471">
        <v>4841</v>
      </c>
      <c r="J13471" t="s">
        <v>9</v>
      </c>
      <c r="K13471">
        <v>77.12</v>
      </c>
      <c r="L13471">
        <v>2.64</v>
      </c>
      <c r="M13471">
        <v>13801</v>
      </c>
      <c r="N13471" t="s">
        <v>33</v>
      </c>
      <c r="O13471">
        <v>250328</v>
      </c>
      <c r="P13471">
        <v>10.35</v>
      </c>
    </row>
    <row r="13472" spans="1:16" x14ac:dyDescent="0.25">
      <c r="A13472" t="s">
        <v>3296</v>
      </c>
      <c r="B13472" t="s">
        <v>2931</v>
      </c>
      <c r="C13472">
        <v>3753</v>
      </c>
      <c r="D13472" t="str">
        <f t="shared" ref="D13472:D13485" si="195">"687194-18/19"</f>
        <v>687194-18/19</v>
      </c>
      <c r="E13472" t="s">
        <v>2814</v>
      </c>
      <c r="F13472" t="s">
        <v>2815</v>
      </c>
      <c r="G13472">
        <v>425.57</v>
      </c>
      <c r="H13472">
        <v>250401</v>
      </c>
      <c r="I13472">
        <v>4841</v>
      </c>
      <c r="J13472" t="s">
        <v>9</v>
      </c>
      <c r="K13472">
        <v>5335.28</v>
      </c>
      <c r="L13472">
        <v>86.47</v>
      </c>
      <c r="M13472">
        <v>11301</v>
      </c>
      <c r="N13472" t="s">
        <v>92</v>
      </c>
      <c r="O13472">
        <v>250401</v>
      </c>
      <c r="P13472">
        <v>339.1</v>
      </c>
    </row>
    <row r="13473" spans="1:16" x14ac:dyDescent="0.25">
      <c r="A13473" t="s">
        <v>3296</v>
      </c>
      <c r="B13473" t="s">
        <v>2931</v>
      </c>
      <c r="C13473">
        <v>3753</v>
      </c>
      <c r="D13473" t="str">
        <f t="shared" si="195"/>
        <v>687194-18/19</v>
      </c>
      <c r="E13473" t="s">
        <v>2814</v>
      </c>
      <c r="F13473" t="s">
        <v>2815</v>
      </c>
      <c r="G13473">
        <v>8.14</v>
      </c>
      <c r="H13473">
        <v>250401</v>
      </c>
      <c r="I13473">
        <v>4841</v>
      </c>
      <c r="J13473" t="s">
        <v>9</v>
      </c>
      <c r="K13473">
        <v>5335.28</v>
      </c>
      <c r="L13473">
        <v>1.65</v>
      </c>
      <c r="M13473">
        <v>11901</v>
      </c>
      <c r="N13473" t="s">
        <v>31</v>
      </c>
      <c r="O13473">
        <v>250401</v>
      </c>
      <c r="P13473">
        <v>6.49</v>
      </c>
    </row>
    <row r="13474" spans="1:16" x14ac:dyDescent="0.25">
      <c r="A13474" t="s">
        <v>3296</v>
      </c>
      <c r="B13474" t="s">
        <v>2931</v>
      </c>
      <c r="C13474">
        <v>3753</v>
      </c>
      <c r="D13474" t="str">
        <f t="shared" si="195"/>
        <v>687194-18/19</v>
      </c>
      <c r="E13474" t="s">
        <v>2814</v>
      </c>
      <c r="F13474" t="s">
        <v>2815</v>
      </c>
      <c r="G13474">
        <v>1032.1099999999999</v>
      </c>
      <c r="H13474">
        <v>250401</v>
      </c>
      <c r="I13474">
        <v>4841</v>
      </c>
      <c r="J13474" t="s">
        <v>9</v>
      </c>
      <c r="K13474">
        <v>5335.28</v>
      </c>
      <c r="L13474">
        <v>209.71</v>
      </c>
      <c r="M13474">
        <v>14121</v>
      </c>
      <c r="N13474" t="s">
        <v>71</v>
      </c>
      <c r="O13474">
        <v>250401</v>
      </c>
      <c r="P13474">
        <v>822.4</v>
      </c>
    </row>
    <row r="13475" spans="1:16" x14ac:dyDescent="0.25">
      <c r="A13475" t="s">
        <v>3296</v>
      </c>
      <c r="B13475" t="s">
        <v>2931</v>
      </c>
      <c r="C13475">
        <v>3753</v>
      </c>
      <c r="D13475" t="str">
        <f t="shared" si="195"/>
        <v>687194-18/19</v>
      </c>
      <c r="E13475" t="s">
        <v>2814</v>
      </c>
      <c r="F13475" t="s">
        <v>2815</v>
      </c>
      <c r="G13475">
        <v>505.31</v>
      </c>
      <c r="H13475">
        <v>250401</v>
      </c>
      <c r="I13475">
        <v>4841</v>
      </c>
      <c r="J13475" t="s">
        <v>9</v>
      </c>
      <c r="K13475">
        <v>5335.28</v>
      </c>
      <c r="L13475">
        <v>102.67</v>
      </c>
      <c r="M13475">
        <v>14321</v>
      </c>
      <c r="N13475" t="s">
        <v>72</v>
      </c>
      <c r="O13475">
        <v>250401</v>
      </c>
      <c r="P13475">
        <v>402.64</v>
      </c>
    </row>
    <row r="13476" spans="1:16" x14ac:dyDescent="0.25">
      <c r="A13476" t="s">
        <v>3296</v>
      </c>
      <c r="B13476" t="s">
        <v>2931</v>
      </c>
      <c r="C13476">
        <v>3753</v>
      </c>
      <c r="D13476" t="str">
        <f t="shared" si="195"/>
        <v>687194-18/19</v>
      </c>
      <c r="E13476" t="s">
        <v>2814</v>
      </c>
      <c r="F13476" t="s">
        <v>2815</v>
      </c>
      <c r="G13476">
        <v>210.28</v>
      </c>
      <c r="H13476">
        <v>250401</v>
      </c>
      <c r="I13476">
        <v>4841</v>
      </c>
      <c r="J13476" t="s">
        <v>9</v>
      </c>
      <c r="K13476">
        <v>5335.28</v>
      </c>
      <c r="L13476">
        <v>42.73</v>
      </c>
      <c r="M13476">
        <v>14422</v>
      </c>
      <c r="N13476" t="s">
        <v>73</v>
      </c>
      <c r="O13476">
        <v>250401</v>
      </c>
      <c r="P13476">
        <v>167.55</v>
      </c>
    </row>
    <row r="13477" spans="1:16" x14ac:dyDescent="0.25">
      <c r="A13477" t="s">
        <v>3296</v>
      </c>
      <c r="B13477" t="s">
        <v>2931</v>
      </c>
      <c r="C13477">
        <v>3753</v>
      </c>
      <c r="D13477" t="str">
        <f t="shared" si="195"/>
        <v>687194-18/19</v>
      </c>
      <c r="E13477" t="s">
        <v>2814</v>
      </c>
      <c r="F13477" t="s">
        <v>2815</v>
      </c>
      <c r="G13477">
        <v>210.28</v>
      </c>
      <c r="H13477">
        <v>250401</v>
      </c>
      <c r="I13477">
        <v>4841</v>
      </c>
      <c r="J13477" t="s">
        <v>9</v>
      </c>
      <c r="K13477">
        <v>5335.28</v>
      </c>
      <c r="L13477">
        <v>42.73</v>
      </c>
      <c r="M13477">
        <v>14541</v>
      </c>
      <c r="N13477" t="s">
        <v>76</v>
      </c>
      <c r="O13477">
        <v>250401</v>
      </c>
      <c r="P13477">
        <v>167.55</v>
      </c>
    </row>
    <row r="13478" spans="1:16" x14ac:dyDescent="0.25">
      <c r="A13478" t="s">
        <v>3296</v>
      </c>
      <c r="B13478" t="s">
        <v>2931</v>
      </c>
      <c r="C13478">
        <v>3753</v>
      </c>
      <c r="D13478" t="str">
        <f t="shared" si="195"/>
        <v>687194-18/19</v>
      </c>
      <c r="E13478" t="s">
        <v>2814</v>
      </c>
      <c r="F13478" t="s">
        <v>2815</v>
      </c>
      <c r="G13478">
        <v>1643.6</v>
      </c>
      <c r="H13478">
        <v>250401</v>
      </c>
      <c r="I13478">
        <v>4841</v>
      </c>
      <c r="J13478" t="s">
        <v>9</v>
      </c>
      <c r="K13478">
        <v>5335.28</v>
      </c>
      <c r="L13478">
        <v>333.96</v>
      </c>
      <c r="M13478">
        <v>14622</v>
      </c>
      <c r="N13478" t="s">
        <v>77</v>
      </c>
      <c r="O13478">
        <v>250401</v>
      </c>
      <c r="P13478">
        <v>1309.6400000000001</v>
      </c>
    </row>
    <row r="13479" spans="1:16" x14ac:dyDescent="0.25">
      <c r="A13479" t="s">
        <v>3296</v>
      </c>
      <c r="B13479" t="s">
        <v>2931</v>
      </c>
      <c r="C13479">
        <v>3753</v>
      </c>
      <c r="D13479" t="str">
        <f t="shared" si="195"/>
        <v>687194-18/19</v>
      </c>
      <c r="E13479" t="s">
        <v>2814</v>
      </c>
      <c r="F13479" t="s">
        <v>2815</v>
      </c>
      <c r="G13479">
        <v>201.2</v>
      </c>
      <c r="H13479">
        <v>250401</v>
      </c>
      <c r="I13479">
        <v>4841</v>
      </c>
      <c r="J13479" t="s">
        <v>9</v>
      </c>
      <c r="K13479">
        <v>5335.28</v>
      </c>
      <c r="L13479">
        <v>40.880000000000003</v>
      </c>
      <c r="M13479">
        <v>14622</v>
      </c>
      <c r="N13479" t="s">
        <v>77</v>
      </c>
      <c r="O13479">
        <v>250401</v>
      </c>
      <c r="P13479">
        <v>160.32</v>
      </c>
    </row>
    <row r="13480" spans="1:16" x14ac:dyDescent="0.25">
      <c r="A13480" t="s">
        <v>3296</v>
      </c>
      <c r="B13480" t="s">
        <v>2931</v>
      </c>
      <c r="C13480">
        <v>3753</v>
      </c>
      <c r="D13480" t="str">
        <f t="shared" si="195"/>
        <v>687194-18/19</v>
      </c>
      <c r="E13480" t="s">
        <v>2814</v>
      </c>
      <c r="F13480" t="s">
        <v>2815</v>
      </c>
      <c r="G13480">
        <v>210.28</v>
      </c>
      <c r="H13480">
        <v>250401</v>
      </c>
      <c r="I13480">
        <v>4841</v>
      </c>
      <c r="J13480" t="s">
        <v>9</v>
      </c>
      <c r="K13480">
        <v>5335.28</v>
      </c>
      <c r="L13480">
        <v>42.73</v>
      </c>
      <c r="M13480">
        <v>14640</v>
      </c>
      <c r="N13480" t="s">
        <v>78</v>
      </c>
      <c r="O13480">
        <v>250401</v>
      </c>
      <c r="P13480">
        <v>167.55</v>
      </c>
    </row>
    <row r="13481" spans="1:16" x14ac:dyDescent="0.25">
      <c r="A13481" t="s">
        <v>3296</v>
      </c>
      <c r="B13481" t="s">
        <v>2931</v>
      </c>
      <c r="C13481">
        <v>3753</v>
      </c>
      <c r="D13481" t="str">
        <f t="shared" si="195"/>
        <v>687194-18/19</v>
      </c>
      <c r="E13481" t="s">
        <v>2814</v>
      </c>
      <c r="F13481" t="s">
        <v>2815</v>
      </c>
      <c r="G13481">
        <v>33.53</v>
      </c>
      <c r="H13481">
        <v>250401</v>
      </c>
      <c r="I13481">
        <v>4841</v>
      </c>
      <c r="J13481" t="s">
        <v>9</v>
      </c>
      <c r="K13481">
        <v>5335.28</v>
      </c>
      <c r="L13481">
        <v>6.81</v>
      </c>
      <c r="M13481">
        <v>14912</v>
      </c>
      <c r="N13481" t="s">
        <v>80</v>
      </c>
      <c r="O13481">
        <v>250401</v>
      </c>
      <c r="P13481">
        <v>26.72</v>
      </c>
    </row>
    <row r="13482" spans="1:16" x14ac:dyDescent="0.25">
      <c r="A13482" t="s">
        <v>3296</v>
      </c>
      <c r="B13482" t="s">
        <v>2931</v>
      </c>
      <c r="C13482">
        <v>3753</v>
      </c>
      <c r="D13482" t="str">
        <f t="shared" si="195"/>
        <v>687194-18/19</v>
      </c>
      <c r="E13482" t="s">
        <v>2814</v>
      </c>
      <c r="F13482" t="s">
        <v>2815</v>
      </c>
      <c r="G13482">
        <v>144.31</v>
      </c>
      <c r="H13482">
        <v>250401</v>
      </c>
      <c r="I13482">
        <v>4841</v>
      </c>
      <c r="J13482" t="s">
        <v>9</v>
      </c>
      <c r="K13482">
        <v>5335.28</v>
      </c>
      <c r="L13482">
        <v>29.32</v>
      </c>
      <c r="M13482">
        <v>14971</v>
      </c>
      <c r="N13482" t="s">
        <v>81</v>
      </c>
      <c r="O13482">
        <v>250401</v>
      </c>
      <c r="P13482">
        <v>114.99</v>
      </c>
    </row>
    <row r="13483" spans="1:16" x14ac:dyDescent="0.25">
      <c r="A13483" t="s">
        <v>3296</v>
      </c>
      <c r="B13483" t="s">
        <v>2931</v>
      </c>
      <c r="C13483">
        <v>3753</v>
      </c>
      <c r="D13483" t="str">
        <f t="shared" si="195"/>
        <v>687194-18/19</v>
      </c>
      <c r="E13483" t="s">
        <v>2814</v>
      </c>
      <c r="F13483" t="s">
        <v>2815</v>
      </c>
      <c r="G13483">
        <v>635.46</v>
      </c>
      <c r="H13483">
        <v>250401</v>
      </c>
      <c r="I13483">
        <v>4841</v>
      </c>
      <c r="J13483" t="s">
        <v>9</v>
      </c>
      <c r="K13483">
        <v>5335.28</v>
      </c>
      <c r="L13483">
        <v>129.12</v>
      </c>
      <c r="M13483">
        <v>14972</v>
      </c>
      <c r="N13483" t="s">
        <v>82</v>
      </c>
      <c r="O13483">
        <v>250401</v>
      </c>
      <c r="P13483">
        <v>506.34</v>
      </c>
    </row>
    <row r="13484" spans="1:16" x14ac:dyDescent="0.25">
      <c r="A13484" t="s">
        <v>3296</v>
      </c>
      <c r="B13484" t="s">
        <v>2931</v>
      </c>
      <c r="C13484">
        <v>3753</v>
      </c>
      <c r="D13484" t="str">
        <f t="shared" si="195"/>
        <v>687194-18/19</v>
      </c>
      <c r="E13484" t="s">
        <v>2814</v>
      </c>
      <c r="F13484" t="s">
        <v>2815</v>
      </c>
      <c r="G13484">
        <v>41.68</v>
      </c>
      <c r="H13484">
        <v>250401</v>
      </c>
      <c r="I13484">
        <v>4841</v>
      </c>
      <c r="J13484" t="s">
        <v>9</v>
      </c>
      <c r="K13484">
        <v>5335.28</v>
      </c>
      <c r="L13484">
        <v>8.4700000000000006</v>
      </c>
      <c r="M13484">
        <v>14975</v>
      </c>
      <c r="N13484" t="s">
        <v>84</v>
      </c>
      <c r="O13484">
        <v>250401</v>
      </c>
      <c r="P13484">
        <v>33.21</v>
      </c>
    </row>
    <row r="13485" spans="1:16" x14ac:dyDescent="0.25">
      <c r="A13485" t="s">
        <v>3296</v>
      </c>
      <c r="B13485" t="s">
        <v>2931</v>
      </c>
      <c r="C13485">
        <v>3753</v>
      </c>
      <c r="D13485" t="str">
        <f t="shared" si="195"/>
        <v>687194-18/19</v>
      </c>
      <c r="E13485" t="s">
        <v>2814</v>
      </c>
      <c r="F13485" t="s">
        <v>2815</v>
      </c>
      <c r="G13485">
        <v>33.53</v>
      </c>
      <c r="H13485">
        <v>250401</v>
      </c>
      <c r="I13485">
        <v>4841</v>
      </c>
      <c r="J13485" t="s">
        <v>9</v>
      </c>
      <c r="K13485">
        <v>5335.28</v>
      </c>
      <c r="L13485">
        <v>6.81</v>
      </c>
      <c r="M13485">
        <v>14990</v>
      </c>
      <c r="N13485" t="s">
        <v>85</v>
      </c>
      <c r="O13485">
        <v>250401</v>
      </c>
      <c r="P13485">
        <v>26.72</v>
      </c>
    </row>
    <row r="13486" spans="1:16" x14ac:dyDescent="0.25">
      <c r="A13486" t="s">
        <v>3296</v>
      </c>
      <c r="B13486" t="s">
        <v>2931</v>
      </c>
      <c r="C13486">
        <v>3754</v>
      </c>
      <c r="D13486" t="str">
        <f>"687194-16/19"</f>
        <v>687194-16/19</v>
      </c>
      <c r="E13486" t="s">
        <v>2814</v>
      </c>
      <c r="F13486" t="s">
        <v>2815</v>
      </c>
      <c r="G13486">
        <v>72.09</v>
      </c>
      <c r="H13486">
        <v>250401</v>
      </c>
      <c r="I13486">
        <v>4841</v>
      </c>
      <c r="J13486" t="s">
        <v>9</v>
      </c>
      <c r="K13486">
        <v>283.07</v>
      </c>
      <c r="L13486">
        <v>14.65</v>
      </c>
      <c r="M13486">
        <v>18010</v>
      </c>
      <c r="N13486" t="s">
        <v>36</v>
      </c>
      <c r="O13486">
        <v>250401</v>
      </c>
      <c r="P13486">
        <v>57.44</v>
      </c>
    </row>
    <row r="13487" spans="1:16" x14ac:dyDescent="0.25">
      <c r="A13487" t="s">
        <v>3296</v>
      </c>
      <c r="B13487" t="s">
        <v>2931</v>
      </c>
      <c r="C13487">
        <v>3754</v>
      </c>
      <c r="D13487" t="str">
        <f>"687194-16/19"</f>
        <v>687194-16/19</v>
      </c>
      <c r="E13487" t="s">
        <v>2814</v>
      </c>
      <c r="F13487" t="s">
        <v>2815</v>
      </c>
      <c r="G13487">
        <v>33.53</v>
      </c>
      <c r="H13487">
        <v>250401</v>
      </c>
      <c r="I13487">
        <v>4841</v>
      </c>
      <c r="J13487" t="s">
        <v>9</v>
      </c>
      <c r="K13487">
        <v>283.07</v>
      </c>
      <c r="L13487">
        <v>6.81</v>
      </c>
      <c r="M13487">
        <v>18120</v>
      </c>
      <c r="N13487" t="s">
        <v>37</v>
      </c>
      <c r="O13487">
        <v>250401</v>
      </c>
      <c r="P13487">
        <v>26.72</v>
      </c>
    </row>
    <row r="13488" spans="1:16" x14ac:dyDescent="0.25">
      <c r="A13488" t="s">
        <v>3296</v>
      </c>
      <c r="B13488" t="s">
        <v>2931</v>
      </c>
      <c r="C13488">
        <v>3754</v>
      </c>
      <c r="D13488" t="str">
        <f>"687194-16/19"</f>
        <v>687194-16/19</v>
      </c>
      <c r="E13488" t="s">
        <v>2814</v>
      </c>
      <c r="F13488" t="s">
        <v>2815</v>
      </c>
      <c r="G13488">
        <v>177.45</v>
      </c>
      <c r="H13488">
        <v>250401</v>
      </c>
      <c r="I13488">
        <v>4841</v>
      </c>
      <c r="J13488" t="s">
        <v>9</v>
      </c>
      <c r="K13488">
        <v>283.07</v>
      </c>
      <c r="L13488">
        <v>36.06</v>
      </c>
      <c r="M13488">
        <v>18972</v>
      </c>
      <c r="N13488" t="s">
        <v>39</v>
      </c>
      <c r="O13488">
        <v>250401</v>
      </c>
      <c r="P13488">
        <v>141.38999999999999</v>
      </c>
    </row>
    <row r="13489" spans="1:16" x14ac:dyDescent="0.25">
      <c r="A13489" t="s">
        <v>3296</v>
      </c>
      <c r="B13489" t="s">
        <v>2931</v>
      </c>
      <c r="C13489">
        <v>3755</v>
      </c>
      <c r="D13489" t="str">
        <f t="shared" ref="D13489:D13495" si="196">"9687194-2/19"</f>
        <v>9687194-2/19</v>
      </c>
      <c r="E13489" t="s">
        <v>2814</v>
      </c>
      <c r="F13489" t="s">
        <v>2815</v>
      </c>
      <c r="G13489">
        <v>50.09</v>
      </c>
      <c r="H13489">
        <v>250401</v>
      </c>
      <c r="I13489">
        <v>4841</v>
      </c>
      <c r="J13489" t="s">
        <v>9</v>
      </c>
      <c r="K13489">
        <v>511.74</v>
      </c>
      <c r="L13489">
        <v>10.18</v>
      </c>
      <c r="M13489">
        <v>11901</v>
      </c>
      <c r="N13489" t="s">
        <v>31</v>
      </c>
      <c r="O13489">
        <v>250401</v>
      </c>
      <c r="P13489">
        <v>39.909999999999997</v>
      </c>
    </row>
    <row r="13490" spans="1:16" x14ac:dyDescent="0.25">
      <c r="A13490" t="s">
        <v>3296</v>
      </c>
      <c r="B13490" t="s">
        <v>2931</v>
      </c>
      <c r="C13490">
        <v>3755</v>
      </c>
      <c r="D13490" t="str">
        <f t="shared" si="196"/>
        <v>9687194-2/19</v>
      </c>
      <c r="E13490" t="s">
        <v>2814</v>
      </c>
      <c r="F13490" t="s">
        <v>2815</v>
      </c>
      <c r="G13490">
        <v>388.17</v>
      </c>
      <c r="H13490">
        <v>250401</v>
      </c>
      <c r="I13490">
        <v>4841</v>
      </c>
      <c r="J13490" t="s">
        <v>9</v>
      </c>
      <c r="K13490">
        <v>511.74</v>
      </c>
      <c r="L13490">
        <v>78.87</v>
      </c>
      <c r="M13490">
        <v>11901</v>
      </c>
      <c r="N13490" t="s">
        <v>31</v>
      </c>
      <c r="O13490">
        <v>250401</v>
      </c>
      <c r="P13490">
        <v>309.3</v>
      </c>
    </row>
    <row r="13491" spans="1:16" x14ac:dyDescent="0.25">
      <c r="A13491" t="s">
        <v>3296</v>
      </c>
      <c r="B13491" t="s">
        <v>2931</v>
      </c>
      <c r="C13491">
        <v>3755</v>
      </c>
      <c r="D13491" t="str">
        <f t="shared" si="196"/>
        <v>9687194-2/19</v>
      </c>
      <c r="E13491" t="s">
        <v>2814</v>
      </c>
      <c r="F13491" t="s">
        <v>2815</v>
      </c>
      <c r="G13491">
        <v>9.81</v>
      </c>
      <c r="H13491">
        <v>250401</v>
      </c>
      <c r="I13491">
        <v>4841</v>
      </c>
      <c r="J13491" t="s">
        <v>9</v>
      </c>
      <c r="K13491">
        <v>511.74</v>
      </c>
      <c r="L13491">
        <v>1.99</v>
      </c>
      <c r="M13491">
        <v>11903</v>
      </c>
      <c r="N13491" t="s">
        <v>32</v>
      </c>
      <c r="O13491">
        <v>250401</v>
      </c>
      <c r="P13491">
        <v>7.82</v>
      </c>
    </row>
    <row r="13492" spans="1:16" x14ac:dyDescent="0.25">
      <c r="A13492" t="s">
        <v>3296</v>
      </c>
      <c r="B13492" t="s">
        <v>2931</v>
      </c>
      <c r="C13492">
        <v>3755</v>
      </c>
      <c r="D13492" t="str">
        <f t="shared" si="196"/>
        <v>9687194-2/19</v>
      </c>
      <c r="E13492" t="s">
        <v>2814</v>
      </c>
      <c r="F13492" t="s">
        <v>2815</v>
      </c>
      <c r="G13492">
        <v>9.81</v>
      </c>
      <c r="H13492">
        <v>250401</v>
      </c>
      <c r="I13492">
        <v>4841</v>
      </c>
      <c r="J13492" t="s">
        <v>9</v>
      </c>
      <c r="K13492">
        <v>511.74</v>
      </c>
      <c r="L13492">
        <v>1.99</v>
      </c>
      <c r="M13492">
        <v>11903</v>
      </c>
      <c r="N13492" t="s">
        <v>32</v>
      </c>
      <c r="O13492">
        <v>250401</v>
      </c>
      <c r="P13492">
        <v>7.82</v>
      </c>
    </row>
    <row r="13493" spans="1:16" x14ac:dyDescent="0.25">
      <c r="A13493" t="s">
        <v>3296</v>
      </c>
      <c r="B13493" t="s">
        <v>2931</v>
      </c>
      <c r="C13493">
        <v>3755</v>
      </c>
      <c r="D13493" t="str">
        <f t="shared" si="196"/>
        <v>9687194-2/19</v>
      </c>
      <c r="E13493" t="s">
        <v>2814</v>
      </c>
      <c r="F13493" t="s">
        <v>2815</v>
      </c>
      <c r="G13493">
        <v>9.81</v>
      </c>
      <c r="H13493">
        <v>250401</v>
      </c>
      <c r="I13493">
        <v>4841</v>
      </c>
      <c r="J13493" t="s">
        <v>9</v>
      </c>
      <c r="K13493">
        <v>511.74</v>
      </c>
      <c r="L13493">
        <v>1.99</v>
      </c>
      <c r="M13493">
        <v>11903</v>
      </c>
      <c r="N13493" t="s">
        <v>32</v>
      </c>
      <c r="O13493">
        <v>250401</v>
      </c>
      <c r="P13493">
        <v>7.82</v>
      </c>
    </row>
    <row r="13494" spans="1:16" x14ac:dyDescent="0.25">
      <c r="A13494" t="s">
        <v>3296</v>
      </c>
      <c r="B13494" t="s">
        <v>2931</v>
      </c>
      <c r="C13494">
        <v>3755</v>
      </c>
      <c r="D13494" t="str">
        <f t="shared" si="196"/>
        <v>9687194-2/19</v>
      </c>
      <c r="E13494" t="s">
        <v>2814</v>
      </c>
      <c r="F13494" t="s">
        <v>2815</v>
      </c>
      <c r="G13494">
        <v>33.53</v>
      </c>
      <c r="H13494">
        <v>250401</v>
      </c>
      <c r="I13494">
        <v>4841</v>
      </c>
      <c r="J13494" t="s">
        <v>9</v>
      </c>
      <c r="K13494">
        <v>511.74</v>
      </c>
      <c r="L13494">
        <v>6.81</v>
      </c>
      <c r="M13494">
        <v>11903</v>
      </c>
      <c r="N13494" t="s">
        <v>32</v>
      </c>
      <c r="O13494">
        <v>250401</v>
      </c>
      <c r="P13494">
        <v>26.72</v>
      </c>
    </row>
    <row r="13495" spans="1:16" x14ac:dyDescent="0.25">
      <c r="A13495" t="s">
        <v>3296</v>
      </c>
      <c r="B13495" t="s">
        <v>2931</v>
      </c>
      <c r="C13495">
        <v>3755</v>
      </c>
      <c r="D13495" t="str">
        <f t="shared" si="196"/>
        <v>9687194-2/19</v>
      </c>
      <c r="E13495" t="s">
        <v>2814</v>
      </c>
      <c r="F13495" t="s">
        <v>2815</v>
      </c>
      <c r="G13495">
        <v>10.52</v>
      </c>
      <c r="H13495">
        <v>250401</v>
      </c>
      <c r="I13495">
        <v>4841</v>
      </c>
      <c r="J13495" t="s">
        <v>9</v>
      </c>
      <c r="K13495">
        <v>511.74</v>
      </c>
      <c r="L13495">
        <v>2.14</v>
      </c>
      <c r="M13495">
        <v>11905</v>
      </c>
      <c r="N13495" t="s">
        <v>643</v>
      </c>
      <c r="O13495">
        <v>250401</v>
      </c>
      <c r="P13495">
        <v>8.3800000000000008</v>
      </c>
    </row>
    <row r="13496" spans="1:16" x14ac:dyDescent="0.25">
      <c r="A13496" t="s">
        <v>3296</v>
      </c>
      <c r="B13496" t="s">
        <v>2931</v>
      </c>
      <c r="C13496">
        <v>3757</v>
      </c>
      <c r="D13496" t="str">
        <f t="shared" ref="D13496:D13514" si="197">"9687194-3/19"</f>
        <v>9687194-3/19</v>
      </c>
      <c r="E13496" t="s">
        <v>2814</v>
      </c>
      <c r="F13496" t="s">
        <v>2815</v>
      </c>
      <c r="G13496">
        <v>25.04</v>
      </c>
      <c r="H13496">
        <v>250401</v>
      </c>
      <c r="I13496">
        <v>4841</v>
      </c>
      <c r="J13496" t="s">
        <v>9</v>
      </c>
      <c r="K13496">
        <v>4352.7</v>
      </c>
      <c r="L13496">
        <v>5.09</v>
      </c>
      <c r="M13496">
        <v>11301</v>
      </c>
      <c r="N13496" t="s">
        <v>92</v>
      </c>
      <c r="O13496">
        <v>250401</v>
      </c>
      <c r="P13496">
        <v>19.95</v>
      </c>
    </row>
    <row r="13497" spans="1:16" x14ac:dyDescent="0.25">
      <c r="A13497" t="s">
        <v>3296</v>
      </c>
      <c r="B13497" t="s">
        <v>2931</v>
      </c>
      <c r="C13497">
        <v>3757</v>
      </c>
      <c r="D13497" t="str">
        <f t="shared" si="197"/>
        <v>9687194-3/19</v>
      </c>
      <c r="E13497" t="s">
        <v>2814</v>
      </c>
      <c r="F13497" t="s">
        <v>2815</v>
      </c>
      <c r="G13497">
        <v>1505.37</v>
      </c>
      <c r="H13497">
        <v>250401</v>
      </c>
      <c r="I13497">
        <v>4841</v>
      </c>
      <c r="J13497" t="s">
        <v>9</v>
      </c>
      <c r="K13497">
        <v>4352.7</v>
      </c>
      <c r="L13497">
        <v>305.87</v>
      </c>
      <c r="M13497">
        <v>61122</v>
      </c>
      <c r="N13497" t="s">
        <v>86</v>
      </c>
      <c r="O13497">
        <v>250401</v>
      </c>
      <c r="P13497">
        <v>1199.5</v>
      </c>
    </row>
    <row r="13498" spans="1:16" x14ac:dyDescent="0.25">
      <c r="A13498" t="s">
        <v>3296</v>
      </c>
      <c r="B13498" t="s">
        <v>2931</v>
      </c>
      <c r="C13498">
        <v>3757</v>
      </c>
      <c r="D13498" t="str">
        <f t="shared" si="197"/>
        <v>9687194-3/19</v>
      </c>
      <c r="E13498" t="s">
        <v>2814</v>
      </c>
      <c r="F13498" t="s">
        <v>2815</v>
      </c>
      <c r="G13498">
        <v>1129.8499999999999</v>
      </c>
      <c r="H13498">
        <v>250401</v>
      </c>
      <c r="I13498">
        <v>4841</v>
      </c>
      <c r="J13498" t="s">
        <v>9</v>
      </c>
      <c r="K13498">
        <v>4352.7</v>
      </c>
      <c r="L13498">
        <v>229.57</v>
      </c>
      <c r="M13498">
        <v>65222</v>
      </c>
      <c r="N13498" t="s">
        <v>87</v>
      </c>
      <c r="O13498">
        <v>250401</v>
      </c>
      <c r="P13498">
        <v>900.28</v>
      </c>
    </row>
    <row r="13499" spans="1:16" x14ac:dyDescent="0.25">
      <c r="A13499" t="s">
        <v>3296</v>
      </c>
      <c r="B13499" t="s">
        <v>2931</v>
      </c>
      <c r="C13499">
        <v>3757</v>
      </c>
      <c r="D13499" t="str">
        <f t="shared" si="197"/>
        <v>9687194-3/19</v>
      </c>
      <c r="E13499" t="s">
        <v>2814</v>
      </c>
      <c r="F13499" t="s">
        <v>2815</v>
      </c>
      <c r="G13499">
        <v>8.14</v>
      </c>
      <c r="H13499">
        <v>250401</v>
      </c>
      <c r="I13499">
        <v>4841</v>
      </c>
      <c r="J13499" t="s">
        <v>9</v>
      </c>
      <c r="K13499">
        <v>4352.7</v>
      </c>
      <c r="L13499">
        <v>1.65</v>
      </c>
      <c r="M13499">
        <v>65422</v>
      </c>
      <c r="N13499" t="s">
        <v>117</v>
      </c>
      <c r="O13499">
        <v>250401</v>
      </c>
      <c r="P13499">
        <v>6.49</v>
      </c>
    </row>
    <row r="13500" spans="1:16" x14ac:dyDescent="0.25">
      <c r="A13500" t="s">
        <v>3296</v>
      </c>
      <c r="B13500" t="s">
        <v>2931</v>
      </c>
      <c r="C13500">
        <v>3757</v>
      </c>
      <c r="D13500" t="str">
        <f t="shared" si="197"/>
        <v>9687194-3/19</v>
      </c>
      <c r="E13500" t="s">
        <v>2814</v>
      </c>
      <c r="F13500" t="s">
        <v>2815</v>
      </c>
      <c r="G13500">
        <v>144.4</v>
      </c>
      <c r="H13500">
        <v>250401</v>
      </c>
      <c r="I13500">
        <v>4841</v>
      </c>
      <c r="J13500" t="s">
        <v>9</v>
      </c>
      <c r="K13500">
        <v>4352.7</v>
      </c>
      <c r="L13500">
        <v>29.34</v>
      </c>
      <c r="M13500">
        <v>66722</v>
      </c>
      <c r="N13500" t="s">
        <v>118</v>
      </c>
      <c r="O13500">
        <v>250401</v>
      </c>
      <c r="P13500">
        <v>115.06</v>
      </c>
    </row>
    <row r="13501" spans="1:16" x14ac:dyDescent="0.25">
      <c r="A13501" t="s">
        <v>3296</v>
      </c>
      <c r="B13501" t="s">
        <v>2931</v>
      </c>
      <c r="C13501">
        <v>3757</v>
      </c>
      <c r="D13501" t="str">
        <f t="shared" si="197"/>
        <v>9687194-3/19</v>
      </c>
      <c r="E13501" t="s">
        <v>2814</v>
      </c>
      <c r="F13501" t="s">
        <v>2815</v>
      </c>
      <c r="G13501">
        <v>71.349999999999994</v>
      </c>
      <c r="H13501">
        <v>250401</v>
      </c>
      <c r="I13501">
        <v>4841</v>
      </c>
      <c r="J13501" t="s">
        <v>9</v>
      </c>
      <c r="K13501">
        <v>4352.7</v>
      </c>
      <c r="L13501">
        <v>14.5</v>
      </c>
      <c r="M13501">
        <v>66754</v>
      </c>
      <c r="N13501" t="s">
        <v>119</v>
      </c>
      <c r="O13501">
        <v>250401</v>
      </c>
      <c r="P13501">
        <v>56.85</v>
      </c>
    </row>
    <row r="13502" spans="1:16" x14ac:dyDescent="0.25">
      <c r="A13502" t="s">
        <v>3296</v>
      </c>
      <c r="B13502" t="s">
        <v>2931</v>
      </c>
      <c r="C13502">
        <v>3757</v>
      </c>
      <c r="D13502" t="str">
        <f t="shared" si="197"/>
        <v>9687194-3/19</v>
      </c>
      <c r="E13502" t="s">
        <v>2814</v>
      </c>
      <c r="F13502" t="s">
        <v>2815</v>
      </c>
      <c r="G13502">
        <v>394.94</v>
      </c>
      <c r="H13502">
        <v>250401</v>
      </c>
      <c r="I13502">
        <v>4841</v>
      </c>
      <c r="J13502" t="s">
        <v>9</v>
      </c>
      <c r="K13502">
        <v>4352.7</v>
      </c>
      <c r="L13502">
        <v>80.25</v>
      </c>
      <c r="M13502">
        <v>66756</v>
      </c>
      <c r="N13502" t="s">
        <v>120</v>
      </c>
      <c r="O13502">
        <v>250401</v>
      </c>
      <c r="P13502">
        <v>314.69</v>
      </c>
    </row>
    <row r="13503" spans="1:16" x14ac:dyDescent="0.25">
      <c r="A13503" t="s">
        <v>3296</v>
      </c>
      <c r="B13503" t="s">
        <v>2931</v>
      </c>
      <c r="C13503">
        <v>3757</v>
      </c>
      <c r="D13503" t="str">
        <f t="shared" si="197"/>
        <v>9687194-3/19</v>
      </c>
      <c r="E13503" t="s">
        <v>2814</v>
      </c>
      <c r="F13503" t="s">
        <v>2815</v>
      </c>
      <c r="G13503">
        <v>205.87</v>
      </c>
      <c r="H13503">
        <v>250401</v>
      </c>
      <c r="I13503">
        <v>4841</v>
      </c>
      <c r="J13503" t="s">
        <v>9</v>
      </c>
      <c r="K13503">
        <v>4352.7</v>
      </c>
      <c r="L13503">
        <v>41.83</v>
      </c>
      <c r="M13503">
        <v>67522</v>
      </c>
      <c r="N13503" t="s">
        <v>121</v>
      </c>
      <c r="O13503">
        <v>250401</v>
      </c>
      <c r="P13503">
        <v>164.04</v>
      </c>
    </row>
    <row r="13504" spans="1:16" x14ac:dyDescent="0.25">
      <c r="A13504" t="s">
        <v>3296</v>
      </c>
      <c r="B13504" t="s">
        <v>2931</v>
      </c>
      <c r="C13504">
        <v>3757</v>
      </c>
      <c r="D13504" t="str">
        <f t="shared" si="197"/>
        <v>9687194-3/19</v>
      </c>
      <c r="E13504" t="s">
        <v>2814</v>
      </c>
      <c r="F13504" t="s">
        <v>2815</v>
      </c>
      <c r="G13504">
        <v>71.349999999999994</v>
      </c>
      <c r="H13504">
        <v>250401</v>
      </c>
      <c r="I13504">
        <v>4841</v>
      </c>
      <c r="J13504" t="s">
        <v>9</v>
      </c>
      <c r="K13504">
        <v>4352.7</v>
      </c>
      <c r="L13504">
        <v>14.5</v>
      </c>
      <c r="M13504">
        <v>67522</v>
      </c>
      <c r="N13504" t="s">
        <v>121</v>
      </c>
      <c r="O13504">
        <v>250401</v>
      </c>
      <c r="P13504">
        <v>56.85</v>
      </c>
    </row>
    <row r="13505" spans="1:16" x14ac:dyDescent="0.25">
      <c r="A13505" t="s">
        <v>3296</v>
      </c>
      <c r="B13505" t="s">
        <v>2931</v>
      </c>
      <c r="C13505">
        <v>3757</v>
      </c>
      <c r="D13505" t="str">
        <f t="shared" si="197"/>
        <v>9687194-3/19</v>
      </c>
      <c r="E13505" t="s">
        <v>2814</v>
      </c>
      <c r="F13505" t="s">
        <v>2815</v>
      </c>
      <c r="G13505">
        <v>52.22</v>
      </c>
      <c r="H13505">
        <v>250401</v>
      </c>
      <c r="I13505">
        <v>4841</v>
      </c>
      <c r="J13505" t="s">
        <v>9</v>
      </c>
      <c r="K13505">
        <v>4352.7</v>
      </c>
      <c r="L13505">
        <v>10.61</v>
      </c>
      <c r="M13505">
        <v>67554</v>
      </c>
      <c r="N13505" t="s">
        <v>317</v>
      </c>
      <c r="O13505">
        <v>250401</v>
      </c>
      <c r="P13505">
        <v>41.61</v>
      </c>
    </row>
    <row r="13506" spans="1:16" x14ac:dyDescent="0.25">
      <c r="A13506" t="s">
        <v>3296</v>
      </c>
      <c r="B13506" t="s">
        <v>2931</v>
      </c>
      <c r="C13506">
        <v>3757</v>
      </c>
      <c r="D13506" t="str">
        <f t="shared" si="197"/>
        <v>9687194-3/19</v>
      </c>
      <c r="E13506" t="s">
        <v>2814</v>
      </c>
      <c r="F13506" t="s">
        <v>2815</v>
      </c>
      <c r="G13506">
        <v>32.450000000000003</v>
      </c>
      <c r="H13506">
        <v>250401</v>
      </c>
      <c r="I13506">
        <v>4841</v>
      </c>
      <c r="J13506" t="s">
        <v>9</v>
      </c>
      <c r="K13506">
        <v>4352.7</v>
      </c>
      <c r="L13506">
        <v>6.59</v>
      </c>
      <c r="M13506">
        <v>67554</v>
      </c>
      <c r="N13506" t="s">
        <v>317</v>
      </c>
      <c r="O13506">
        <v>250401</v>
      </c>
      <c r="P13506">
        <v>25.86</v>
      </c>
    </row>
    <row r="13507" spans="1:16" x14ac:dyDescent="0.25">
      <c r="A13507" t="s">
        <v>3296</v>
      </c>
      <c r="B13507" t="s">
        <v>2931</v>
      </c>
      <c r="C13507">
        <v>3757</v>
      </c>
      <c r="D13507" t="str">
        <f t="shared" si="197"/>
        <v>9687194-3/19</v>
      </c>
      <c r="E13507" t="s">
        <v>2814</v>
      </c>
      <c r="F13507" t="s">
        <v>2815</v>
      </c>
      <c r="G13507">
        <v>32.450000000000003</v>
      </c>
      <c r="H13507">
        <v>250401</v>
      </c>
      <c r="I13507">
        <v>4841</v>
      </c>
      <c r="J13507" t="s">
        <v>9</v>
      </c>
      <c r="K13507">
        <v>4352.7</v>
      </c>
      <c r="L13507">
        <v>6.59</v>
      </c>
      <c r="M13507">
        <v>67554</v>
      </c>
      <c r="N13507" t="s">
        <v>317</v>
      </c>
      <c r="O13507">
        <v>250401</v>
      </c>
      <c r="P13507">
        <v>25.86</v>
      </c>
    </row>
    <row r="13508" spans="1:16" x14ac:dyDescent="0.25">
      <c r="A13508" t="s">
        <v>3296</v>
      </c>
      <c r="B13508" t="s">
        <v>2931</v>
      </c>
      <c r="C13508">
        <v>3757</v>
      </c>
      <c r="D13508" t="str">
        <f t="shared" si="197"/>
        <v>9687194-3/19</v>
      </c>
      <c r="E13508" t="s">
        <v>2814</v>
      </c>
      <c r="F13508" t="s">
        <v>2815</v>
      </c>
      <c r="G13508">
        <v>60.7</v>
      </c>
      <c r="H13508">
        <v>250401</v>
      </c>
      <c r="I13508">
        <v>4841</v>
      </c>
      <c r="J13508" t="s">
        <v>9</v>
      </c>
      <c r="K13508">
        <v>4352.7</v>
      </c>
      <c r="L13508">
        <v>12.33</v>
      </c>
      <c r="M13508">
        <v>69112</v>
      </c>
      <c r="N13508" t="s">
        <v>227</v>
      </c>
      <c r="O13508">
        <v>250401</v>
      </c>
      <c r="P13508">
        <v>48.37</v>
      </c>
    </row>
    <row r="13509" spans="1:16" x14ac:dyDescent="0.25">
      <c r="A13509" t="s">
        <v>3296</v>
      </c>
      <c r="B13509" t="s">
        <v>2931</v>
      </c>
      <c r="C13509">
        <v>3757</v>
      </c>
      <c r="D13509" t="str">
        <f t="shared" si="197"/>
        <v>9687194-3/19</v>
      </c>
      <c r="E13509" t="s">
        <v>2814</v>
      </c>
      <c r="F13509" t="s">
        <v>2815</v>
      </c>
      <c r="G13509">
        <v>56.2</v>
      </c>
      <c r="H13509">
        <v>250401</v>
      </c>
      <c r="I13509">
        <v>4841</v>
      </c>
      <c r="J13509" t="s">
        <v>9</v>
      </c>
      <c r="K13509">
        <v>4352.7</v>
      </c>
      <c r="L13509">
        <v>11.42</v>
      </c>
      <c r="M13509">
        <v>69501</v>
      </c>
      <c r="N13509" t="s">
        <v>123</v>
      </c>
      <c r="O13509">
        <v>250401</v>
      </c>
      <c r="P13509">
        <v>44.78</v>
      </c>
    </row>
    <row r="13510" spans="1:16" x14ac:dyDescent="0.25">
      <c r="A13510" t="s">
        <v>3296</v>
      </c>
      <c r="B13510" t="s">
        <v>2931</v>
      </c>
      <c r="C13510">
        <v>3757</v>
      </c>
      <c r="D13510" t="str">
        <f t="shared" si="197"/>
        <v>9687194-3/19</v>
      </c>
      <c r="E13510" t="s">
        <v>2814</v>
      </c>
      <c r="F13510" t="s">
        <v>2815</v>
      </c>
      <c r="G13510">
        <v>41</v>
      </c>
      <c r="H13510">
        <v>250401</v>
      </c>
      <c r="I13510">
        <v>4841</v>
      </c>
      <c r="J13510" t="s">
        <v>9</v>
      </c>
      <c r="K13510">
        <v>4352.7</v>
      </c>
      <c r="L13510">
        <v>8.33</v>
      </c>
      <c r="M13510">
        <v>69701</v>
      </c>
      <c r="N13510" t="s">
        <v>1030</v>
      </c>
      <c r="O13510">
        <v>250401</v>
      </c>
      <c r="P13510">
        <v>32.67</v>
      </c>
    </row>
    <row r="13511" spans="1:16" x14ac:dyDescent="0.25">
      <c r="A13511" t="s">
        <v>3296</v>
      </c>
      <c r="B13511" t="s">
        <v>2931</v>
      </c>
      <c r="C13511">
        <v>3757</v>
      </c>
      <c r="D13511" t="str">
        <f t="shared" si="197"/>
        <v>9687194-3/19</v>
      </c>
      <c r="E13511" t="s">
        <v>2814</v>
      </c>
      <c r="F13511" t="s">
        <v>2815</v>
      </c>
      <c r="G13511">
        <v>340.11</v>
      </c>
      <c r="H13511">
        <v>250401</v>
      </c>
      <c r="I13511">
        <v>4841</v>
      </c>
      <c r="J13511" t="s">
        <v>9</v>
      </c>
      <c r="K13511">
        <v>4352.7</v>
      </c>
      <c r="L13511">
        <v>69.11</v>
      </c>
      <c r="M13511">
        <v>69702</v>
      </c>
      <c r="N13511" t="s">
        <v>124</v>
      </c>
      <c r="O13511">
        <v>250401</v>
      </c>
      <c r="P13511">
        <v>271</v>
      </c>
    </row>
    <row r="13512" spans="1:16" x14ac:dyDescent="0.25">
      <c r="A13512" t="s">
        <v>3296</v>
      </c>
      <c r="B13512" t="s">
        <v>2931</v>
      </c>
      <c r="C13512">
        <v>3757</v>
      </c>
      <c r="D13512" t="str">
        <f t="shared" si="197"/>
        <v>9687194-3/19</v>
      </c>
      <c r="E13512" t="s">
        <v>2814</v>
      </c>
      <c r="F13512" t="s">
        <v>2815</v>
      </c>
      <c r="G13512">
        <v>88.04</v>
      </c>
      <c r="H13512">
        <v>250401</v>
      </c>
      <c r="I13512">
        <v>4841</v>
      </c>
      <c r="J13512" t="s">
        <v>9</v>
      </c>
      <c r="K13512">
        <v>4352.7</v>
      </c>
      <c r="L13512">
        <v>17.89</v>
      </c>
      <c r="M13512">
        <v>69703</v>
      </c>
      <c r="N13512" t="s">
        <v>88</v>
      </c>
      <c r="O13512">
        <v>250401</v>
      </c>
      <c r="P13512">
        <v>70.150000000000006</v>
      </c>
    </row>
    <row r="13513" spans="1:16" x14ac:dyDescent="0.25">
      <c r="A13513" t="s">
        <v>3296</v>
      </c>
      <c r="B13513" t="s">
        <v>2931</v>
      </c>
      <c r="C13513">
        <v>3757</v>
      </c>
      <c r="D13513" t="str">
        <f t="shared" si="197"/>
        <v>9687194-3/19</v>
      </c>
      <c r="E13513" t="s">
        <v>2814</v>
      </c>
      <c r="F13513" t="s">
        <v>2815</v>
      </c>
      <c r="G13513">
        <v>41</v>
      </c>
      <c r="H13513">
        <v>250401</v>
      </c>
      <c r="I13513">
        <v>4841</v>
      </c>
      <c r="J13513" t="s">
        <v>9</v>
      </c>
      <c r="K13513">
        <v>4352.7</v>
      </c>
      <c r="L13513">
        <v>8.33</v>
      </c>
      <c r="M13513">
        <v>69704</v>
      </c>
      <c r="N13513" t="s">
        <v>89</v>
      </c>
      <c r="O13513">
        <v>250401</v>
      </c>
      <c r="P13513">
        <v>32.67</v>
      </c>
    </row>
    <row r="13514" spans="1:16" x14ac:dyDescent="0.25">
      <c r="A13514" t="s">
        <v>3296</v>
      </c>
      <c r="B13514" t="s">
        <v>2931</v>
      </c>
      <c r="C13514">
        <v>3757</v>
      </c>
      <c r="D13514" t="str">
        <f t="shared" si="197"/>
        <v>9687194-3/19</v>
      </c>
      <c r="E13514" t="s">
        <v>2814</v>
      </c>
      <c r="F13514" t="s">
        <v>2815</v>
      </c>
      <c r="G13514">
        <v>52.22</v>
      </c>
      <c r="H13514">
        <v>250401</v>
      </c>
      <c r="I13514">
        <v>4841</v>
      </c>
      <c r="J13514" t="s">
        <v>9</v>
      </c>
      <c r="K13514">
        <v>4352.7</v>
      </c>
      <c r="L13514">
        <v>10.61</v>
      </c>
      <c r="M13514">
        <v>69708</v>
      </c>
      <c r="N13514" t="s">
        <v>125</v>
      </c>
      <c r="O13514">
        <v>250401</v>
      </c>
      <c r="P13514">
        <v>41.61</v>
      </c>
    </row>
    <row r="13515" spans="1:16" x14ac:dyDescent="0.25">
      <c r="A13515" t="s">
        <v>3296</v>
      </c>
      <c r="B13515" t="s">
        <v>2931</v>
      </c>
      <c r="C13515">
        <v>3764</v>
      </c>
      <c r="D13515" t="str">
        <f>"9687194-7/19"</f>
        <v>9687194-7/19</v>
      </c>
      <c r="E13515" t="s">
        <v>2814</v>
      </c>
      <c r="F13515" t="s">
        <v>2815</v>
      </c>
      <c r="G13515">
        <v>204.95</v>
      </c>
      <c r="H13515">
        <v>250401</v>
      </c>
      <c r="I13515">
        <v>4841</v>
      </c>
      <c r="J13515" t="s">
        <v>9</v>
      </c>
      <c r="K13515">
        <v>1107.24</v>
      </c>
      <c r="L13515">
        <v>41.64</v>
      </c>
      <c r="M13515">
        <v>16121</v>
      </c>
      <c r="N13515" t="s">
        <v>127</v>
      </c>
      <c r="O13515">
        <v>250401</v>
      </c>
      <c r="P13515">
        <v>163.31</v>
      </c>
    </row>
    <row r="13516" spans="1:16" x14ac:dyDescent="0.25">
      <c r="A13516" t="s">
        <v>3296</v>
      </c>
      <c r="B13516" t="s">
        <v>2931</v>
      </c>
      <c r="C13516">
        <v>3764</v>
      </c>
      <c r="D13516" t="str">
        <f>"9687194-7/19"</f>
        <v>9687194-7/19</v>
      </c>
      <c r="E13516" t="s">
        <v>2814</v>
      </c>
      <c r="F13516" t="s">
        <v>2815</v>
      </c>
      <c r="G13516">
        <v>733.45</v>
      </c>
      <c r="H13516">
        <v>250401</v>
      </c>
      <c r="I13516">
        <v>4841</v>
      </c>
      <c r="J13516" t="s">
        <v>9</v>
      </c>
      <c r="K13516">
        <v>1107.24</v>
      </c>
      <c r="L13516">
        <v>149.03</v>
      </c>
      <c r="M13516">
        <v>16121</v>
      </c>
      <c r="N13516" t="s">
        <v>127</v>
      </c>
      <c r="O13516">
        <v>250401</v>
      </c>
      <c r="P13516">
        <v>584.41999999999996</v>
      </c>
    </row>
    <row r="13517" spans="1:16" x14ac:dyDescent="0.25">
      <c r="A13517" t="s">
        <v>3296</v>
      </c>
      <c r="B13517" t="s">
        <v>2931</v>
      </c>
      <c r="C13517">
        <v>3764</v>
      </c>
      <c r="D13517" t="str">
        <f>"9687194-7/19"</f>
        <v>9687194-7/19</v>
      </c>
      <c r="E13517" t="s">
        <v>2814</v>
      </c>
      <c r="F13517" t="s">
        <v>2815</v>
      </c>
      <c r="G13517">
        <v>63.78</v>
      </c>
      <c r="H13517">
        <v>250401</v>
      </c>
      <c r="I13517">
        <v>4841</v>
      </c>
      <c r="J13517" t="s">
        <v>9</v>
      </c>
      <c r="K13517">
        <v>1107.24</v>
      </c>
      <c r="L13517">
        <v>12.96</v>
      </c>
      <c r="M13517">
        <v>16322</v>
      </c>
      <c r="N13517" t="s">
        <v>331</v>
      </c>
      <c r="O13517">
        <v>250401</v>
      </c>
      <c r="P13517">
        <v>50.82</v>
      </c>
    </row>
    <row r="13518" spans="1:16" x14ac:dyDescent="0.25">
      <c r="A13518" t="s">
        <v>3296</v>
      </c>
      <c r="B13518" t="s">
        <v>2931</v>
      </c>
      <c r="C13518">
        <v>3764</v>
      </c>
      <c r="D13518" t="str">
        <f>"9687194-7/19"</f>
        <v>9687194-7/19</v>
      </c>
      <c r="E13518" t="s">
        <v>2814</v>
      </c>
      <c r="F13518" t="s">
        <v>2815</v>
      </c>
      <c r="G13518">
        <v>52.84</v>
      </c>
      <c r="H13518">
        <v>250401</v>
      </c>
      <c r="I13518">
        <v>4841</v>
      </c>
      <c r="J13518" t="s">
        <v>9</v>
      </c>
      <c r="K13518">
        <v>1107.24</v>
      </c>
      <c r="L13518">
        <v>10.74</v>
      </c>
      <c r="M13518">
        <v>16820</v>
      </c>
      <c r="N13518" t="s">
        <v>128</v>
      </c>
      <c r="O13518">
        <v>250401</v>
      </c>
      <c r="P13518">
        <v>42.1</v>
      </c>
    </row>
    <row r="13519" spans="1:16" x14ac:dyDescent="0.25">
      <c r="A13519" t="s">
        <v>3296</v>
      </c>
      <c r="B13519" t="s">
        <v>2931</v>
      </c>
      <c r="C13519">
        <v>3764</v>
      </c>
      <c r="D13519" t="str">
        <f>"9687194-7/19"</f>
        <v>9687194-7/19</v>
      </c>
      <c r="E13519" t="s">
        <v>2814</v>
      </c>
      <c r="F13519" t="s">
        <v>2815</v>
      </c>
      <c r="G13519">
        <v>52.22</v>
      </c>
      <c r="H13519">
        <v>250401</v>
      </c>
      <c r="I13519">
        <v>4841</v>
      </c>
      <c r="J13519" t="s">
        <v>9</v>
      </c>
      <c r="K13519">
        <v>1107.24</v>
      </c>
      <c r="L13519">
        <v>10.61</v>
      </c>
      <c r="M13519">
        <v>17974</v>
      </c>
      <c r="N13519" t="s">
        <v>153</v>
      </c>
      <c r="O13519">
        <v>250401</v>
      </c>
      <c r="P13519">
        <v>41.61</v>
      </c>
    </row>
    <row r="13520" spans="1:16" x14ac:dyDescent="0.25">
      <c r="A13520" t="s">
        <v>3296</v>
      </c>
      <c r="B13520" t="s">
        <v>2931</v>
      </c>
      <c r="C13520">
        <v>3767</v>
      </c>
      <c r="D13520" t="str">
        <f>"687194-13/19"</f>
        <v>687194-13/19</v>
      </c>
      <c r="E13520" t="s">
        <v>2814</v>
      </c>
      <c r="F13520" t="s">
        <v>2815</v>
      </c>
      <c r="G13520">
        <v>70.52</v>
      </c>
      <c r="H13520">
        <v>250401</v>
      </c>
      <c r="I13520">
        <v>4841</v>
      </c>
      <c r="J13520" t="s">
        <v>9</v>
      </c>
      <c r="K13520">
        <v>238.43</v>
      </c>
      <c r="L13520">
        <v>14.33</v>
      </c>
      <c r="M13520">
        <v>17131</v>
      </c>
      <c r="N13520" t="s">
        <v>154</v>
      </c>
      <c r="O13520">
        <v>250401</v>
      </c>
      <c r="P13520">
        <v>56.19</v>
      </c>
    </row>
    <row r="13521" spans="1:16" x14ac:dyDescent="0.25">
      <c r="A13521" t="s">
        <v>3296</v>
      </c>
      <c r="B13521" t="s">
        <v>2931</v>
      </c>
      <c r="C13521">
        <v>3767</v>
      </c>
      <c r="D13521" t="str">
        <f>"687194-13/19"</f>
        <v>687194-13/19</v>
      </c>
      <c r="E13521" t="s">
        <v>2814</v>
      </c>
      <c r="F13521" t="s">
        <v>2815</v>
      </c>
      <c r="G13521">
        <v>136.02000000000001</v>
      </c>
      <c r="H13521">
        <v>250401</v>
      </c>
      <c r="I13521">
        <v>4841</v>
      </c>
      <c r="J13521" t="s">
        <v>9</v>
      </c>
      <c r="K13521">
        <v>238.43</v>
      </c>
      <c r="L13521">
        <v>27.64</v>
      </c>
      <c r="M13521">
        <v>17711</v>
      </c>
      <c r="N13521" t="s">
        <v>155</v>
      </c>
      <c r="O13521">
        <v>250401</v>
      </c>
      <c r="P13521">
        <v>108.38</v>
      </c>
    </row>
    <row r="13522" spans="1:16" x14ac:dyDescent="0.25">
      <c r="A13522" t="s">
        <v>3296</v>
      </c>
      <c r="B13522" t="s">
        <v>2931</v>
      </c>
      <c r="C13522">
        <v>3767</v>
      </c>
      <c r="D13522" t="str">
        <f>"687194-13/19"</f>
        <v>687194-13/19</v>
      </c>
      <c r="E13522" t="s">
        <v>2814</v>
      </c>
      <c r="F13522" t="s">
        <v>2815</v>
      </c>
      <c r="G13522">
        <v>31.89</v>
      </c>
      <c r="H13522">
        <v>250401</v>
      </c>
      <c r="I13522">
        <v>4841</v>
      </c>
      <c r="J13522" t="s">
        <v>9</v>
      </c>
      <c r="K13522">
        <v>238.43</v>
      </c>
      <c r="L13522">
        <v>6.48</v>
      </c>
      <c r="M13522">
        <v>17737</v>
      </c>
      <c r="N13522" t="s">
        <v>156</v>
      </c>
      <c r="O13522">
        <v>250401</v>
      </c>
      <c r="P13522">
        <v>25.41</v>
      </c>
    </row>
    <row r="13523" spans="1:16" x14ac:dyDescent="0.25">
      <c r="A13523" t="s">
        <v>3296</v>
      </c>
      <c r="B13523" t="s">
        <v>2931</v>
      </c>
      <c r="C13523">
        <v>3769</v>
      </c>
      <c r="D13523" t="str">
        <f t="shared" ref="D13523:D13540" si="198">"687194-11/19"</f>
        <v>687194-11/19</v>
      </c>
      <c r="E13523" t="s">
        <v>2814</v>
      </c>
      <c r="F13523" t="s">
        <v>2815</v>
      </c>
      <c r="G13523">
        <v>83.12</v>
      </c>
      <c r="H13523">
        <v>250401</v>
      </c>
      <c r="I13523">
        <v>4841</v>
      </c>
      <c r="J13523" t="s">
        <v>9</v>
      </c>
      <c r="K13523">
        <v>4404.6499999999996</v>
      </c>
      <c r="L13523">
        <v>16.89</v>
      </c>
      <c r="M13523">
        <v>43222</v>
      </c>
      <c r="N13523" t="s">
        <v>95</v>
      </c>
      <c r="O13523">
        <v>250401</v>
      </c>
      <c r="P13523">
        <v>66.23</v>
      </c>
    </row>
    <row r="13524" spans="1:16" x14ac:dyDescent="0.25">
      <c r="A13524" t="s">
        <v>3296</v>
      </c>
      <c r="B13524" t="s">
        <v>2931</v>
      </c>
      <c r="C13524">
        <v>3769</v>
      </c>
      <c r="D13524" t="str">
        <f t="shared" si="198"/>
        <v>687194-11/19</v>
      </c>
      <c r="E13524" t="s">
        <v>2814</v>
      </c>
      <c r="F13524" t="s">
        <v>2815</v>
      </c>
      <c r="G13524">
        <v>774.06</v>
      </c>
      <c r="H13524">
        <v>250401</v>
      </c>
      <c r="I13524">
        <v>4841</v>
      </c>
      <c r="J13524" t="s">
        <v>9</v>
      </c>
      <c r="K13524">
        <v>4404.6499999999996</v>
      </c>
      <c r="L13524">
        <v>157.28</v>
      </c>
      <c r="M13524">
        <v>44222</v>
      </c>
      <c r="N13524" t="s">
        <v>96</v>
      </c>
      <c r="O13524">
        <v>250401</v>
      </c>
      <c r="P13524">
        <v>616.78</v>
      </c>
    </row>
    <row r="13525" spans="1:16" x14ac:dyDescent="0.25">
      <c r="A13525" t="s">
        <v>3296</v>
      </c>
      <c r="B13525" t="s">
        <v>2931</v>
      </c>
      <c r="C13525">
        <v>3769</v>
      </c>
      <c r="D13525" t="str">
        <f t="shared" si="198"/>
        <v>687194-11/19</v>
      </c>
      <c r="E13525" t="s">
        <v>2814</v>
      </c>
      <c r="F13525" t="s">
        <v>2815</v>
      </c>
      <c r="G13525">
        <v>845.36</v>
      </c>
      <c r="H13525">
        <v>250401</v>
      </c>
      <c r="I13525">
        <v>4841</v>
      </c>
      <c r="J13525" t="s">
        <v>9</v>
      </c>
      <c r="K13525">
        <v>4404.6499999999996</v>
      </c>
      <c r="L13525">
        <v>171.77</v>
      </c>
      <c r="M13525">
        <v>44424</v>
      </c>
      <c r="N13525" t="s">
        <v>99</v>
      </c>
      <c r="O13525">
        <v>250401</v>
      </c>
      <c r="P13525">
        <v>673.59</v>
      </c>
    </row>
    <row r="13526" spans="1:16" x14ac:dyDescent="0.25">
      <c r="A13526" t="s">
        <v>3296</v>
      </c>
      <c r="B13526" t="s">
        <v>2931</v>
      </c>
      <c r="C13526">
        <v>3769</v>
      </c>
      <c r="D13526" t="str">
        <f t="shared" si="198"/>
        <v>687194-11/19</v>
      </c>
      <c r="E13526" t="s">
        <v>2814</v>
      </c>
      <c r="F13526" t="s">
        <v>2815</v>
      </c>
      <c r="G13526">
        <v>34.67</v>
      </c>
      <c r="H13526">
        <v>250401</v>
      </c>
      <c r="I13526">
        <v>4841</v>
      </c>
      <c r="J13526" t="s">
        <v>9</v>
      </c>
      <c r="K13526">
        <v>4404.6499999999996</v>
      </c>
      <c r="L13526">
        <v>7.04</v>
      </c>
      <c r="M13526">
        <v>44453</v>
      </c>
      <c r="N13526" t="s">
        <v>100</v>
      </c>
      <c r="O13526">
        <v>250401</v>
      </c>
      <c r="P13526">
        <v>27.63</v>
      </c>
    </row>
    <row r="13527" spans="1:16" x14ac:dyDescent="0.25">
      <c r="A13527" t="s">
        <v>3296</v>
      </c>
      <c r="B13527" t="s">
        <v>2931</v>
      </c>
      <c r="C13527">
        <v>3769</v>
      </c>
      <c r="D13527" t="str">
        <f t="shared" si="198"/>
        <v>687194-11/19</v>
      </c>
      <c r="E13527" t="s">
        <v>2814</v>
      </c>
      <c r="F13527" t="s">
        <v>2815</v>
      </c>
      <c r="G13527">
        <v>130.08000000000001</v>
      </c>
      <c r="H13527">
        <v>250401</v>
      </c>
      <c r="I13527">
        <v>4841</v>
      </c>
      <c r="J13527" t="s">
        <v>9</v>
      </c>
      <c r="K13527">
        <v>4404.6499999999996</v>
      </c>
      <c r="L13527">
        <v>26.43</v>
      </c>
      <c r="M13527">
        <v>46222</v>
      </c>
      <c r="N13527" t="s">
        <v>101</v>
      </c>
      <c r="O13527">
        <v>250401</v>
      </c>
      <c r="P13527">
        <v>103.65</v>
      </c>
    </row>
    <row r="13528" spans="1:16" x14ac:dyDescent="0.25">
      <c r="A13528" t="s">
        <v>3296</v>
      </c>
      <c r="B13528" t="s">
        <v>2931</v>
      </c>
      <c r="C13528">
        <v>3769</v>
      </c>
      <c r="D13528" t="str">
        <f t="shared" si="198"/>
        <v>687194-11/19</v>
      </c>
      <c r="E13528" t="s">
        <v>2814</v>
      </c>
      <c r="F13528" t="s">
        <v>2815</v>
      </c>
      <c r="G13528">
        <v>48.1</v>
      </c>
      <c r="H13528">
        <v>250401</v>
      </c>
      <c r="I13528">
        <v>4841</v>
      </c>
      <c r="J13528" t="s">
        <v>9</v>
      </c>
      <c r="K13528">
        <v>4404.6499999999996</v>
      </c>
      <c r="L13528">
        <v>9.77</v>
      </c>
      <c r="M13528">
        <v>46554</v>
      </c>
      <c r="N13528" t="s">
        <v>102</v>
      </c>
      <c r="O13528">
        <v>250401</v>
      </c>
      <c r="P13528">
        <v>38.33</v>
      </c>
    </row>
    <row r="13529" spans="1:16" x14ac:dyDescent="0.25">
      <c r="A13529" t="s">
        <v>3296</v>
      </c>
      <c r="B13529" t="s">
        <v>2931</v>
      </c>
      <c r="C13529">
        <v>3769</v>
      </c>
      <c r="D13529" t="str">
        <f t="shared" si="198"/>
        <v>687194-11/19</v>
      </c>
      <c r="E13529" t="s">
        <v>2814</v>
      </c>
      <c r="F13529" t="s">
        <v>2815</v>
      </c>
      <c r="G13529">
        <v>1205.7</v>
      </c>
      <c r="H13529">
        <v>250401</v>
      </c>
      <c r="I13529">
        <v>4841</v>
      </c>
      <c r="J13529" t="s">
        <v>9</v>
      </c>
      <c r="K13529">
        <v>4404.6499999999996</v>
      </c>
      <c r="L13529">
        <v>244.98</v>
      </c>
      <c r="M13529">
        <v>46554</v>
      </c>
      <c r="N13529" t="s">
        <v>102</v>
      </c>
      <c r="O13529">
        <v>250401</v>
      </c>
      <c r="P13529">
        <v>960.72</v>
      </c>
    </row>
    <row r="13530" spans="1:16" x14ac:dyDescent="0.25">
      <c r="A13530" t="s">
        <v>3296</v>
      </c>
      <c r="B13530" t="s">
        <v>2931</v>
      </c>
      <c r="C13530">
        <v>3769</v>
      </c>
      <c r="D13530" t="str">
        <f t="shared" si="198"/>
        <v>687194-11/19</v>
      </c>
      <c r="E13530" t="s">
        <v>2814</v>
      </c>
      <c r="F13530" t="s">
        <v>2815</v>
      </c>
      <c r="G13530">
        <v>120.51</v>
      </c>
      <c r="H13530">
        <v>250401</v>
      </c>
      <c r="I13530">
        <v>4841</v>
      </c>
      <c r="J13530" t="s">
        <v>9</v>
      </c>
      <c r="K13530">
        <v>4404.6499999999996</v>
      </c>
      <c r="L13530">
        <v>24.49</v>
      </c>
      <c r="M13530">
        <v>46555</v>
      </c>
      <c r="N13530" t="s">
        <v>103</v>
      </c>
      <c r="O13530">
        <v>250401</v>
      </c>
      <c r="P13530">
        <v>96.02</v>
      </c>
    </row>
    <row r="13531" spans="1:16" x14ac:dyDescent="0.25">
      <c r="A13531" t="s">
        <v>3296</v>
      </c>
      <c r="B13531" t="s">
        <v>2931</v>
      </c>
      <c r="C13531">
        <v>3769</v>
      </c>
      <c r="D13531" t="str">
        <f t="shared" si="198"/>
        <v>687194-11/19</v>
      </c>
      <c r="E13531" t="s">
        <v>2814</v>
      </c>
      <c r="F13531" t="s">
        <v>2815</v>
      </c>
      <c r="G13531">
        <v>33.53</v>
      </c>
      <c r="H13531">
        <v>250401</v>
      </c>
      <c r="I13531">
        <v>4841</v>
      </c>
      <c r="J13531" t="s">
        <v>9</v>
      </c>
      <c r="K13531">
        <v>4404.6499999999996</v>
      </c>
      <c r="L13531">
        <v>6.81</v>
      </c>
      <c r="M13531">
        <v>46556</v>
      </c>
      <c r="N13531" t="s">
        <v>458</v>
      </c>
      <c r="O13531">
        <v>250401</v>
      </c>
      <c r="P13531">
        <v>26.72</v>
      </c>
    </row>
    <row r="13532" spans="1:16" x14ac:dyDescent="0.25">
      <c r="A13532" t="s">
        <v>3296</v>
      </c>
      <c r="B13532" t="s">
        <v>2931</v>
      </c>
      <c r="C13532">
        <v>3769</v>
      </c>
      <c r="D13532" t="str">
        <f t="shared" si="198"/>
        <v>687194-11/19</v>
      </c>
      <c r="E13532" t="s">
        <v>2814</v>
      </c>
      <c r="F13532" t="s">
        <v>2815</v>
      </c>
      <c r="G13532">
        <v>27.47</v>
      </c>
      <c r="H13532">
        <v>250401</v>
      </c>
      <c r="I13532">
        <v>4841</v>
      </c>
      <c r="J13532" t="s">
        <v>9</v>
      </c>
      <c r="K13532">
        <v>4404.6499999999996</v>
      </c>
      <c r="L13532">
        <v>5.58</v>
      </c>
      <c r="M13532">
        <v>46557</v>
      </c>
      <c r="N13532" t="s">
        <v>104</v>
      </c>
      <c r="O13532">
        <v>250401</v>
      </c>
      <c r="P13532">
        <v>21.89</v>
      </c>
    </row>
    <row r="13533" spans="1:16" x14ac:dyDescent="0.25">
      <c r="A13533" t="s">
        <v>3296</v>
      </c>
      <c r="B13533" t="s">
        <v>2931</v>
      </c>
      <c r="C13533">
        <v>3769</v>
      </c>
      <c r="D13533" t="str">
        <f t="shared" si="198"/>
        <v>687194-11/19</v>
      </c>
      <c r="E13533" t="s">
        <v>2814</v>
      </c>
      <c r="F13533" t="s">
        <v>2815</v>
      </c>
      <c r="G13533">
        <v>68.47</v>
      </c>
      <c r="H13533">
        <v>250401</v>
      </c>
      <c r="I13533">
        <v>4841</v>
      </c>
      <c r="J13533" t="s">
        <v>9</v>
      </c>
      <c r="K13533">
        <v>4404.6499999999996</v>
      </c>
      <c r="L13533">
        <v>13.91</v>
      </c>
      <c r="M13533">
        <v>46559</v>
      </c>
      <c r="N13533" t="s">
        <v>105</v>
      </c>
      <c r="O13533">
        <v>250401</v>
      </c>
      <c r="P13533">
        <v>54.56</v>
      </c>
    </row>
    <row r="13534" spans="1:16" x14ac:dyDescent="0.25">
      <c r="A13534" t="s">
        <v>3296</v>
      </c>
      <c r="B13534" t="s">
        <v>2931</v>
      </c>
      <c r="C13534">
        <v>3769</v>
      </c>
      <c r="D13534" t="str">
        <f t="shared" si="198"/>
        <v>687194-11/19</v>
      </c>
      <c r="E13534" t="s">
        <v>2814</v>
      </c>
      <c r="F13534" t="s">
        <v>2815</v>
      </c>
      <c r="G13534">
        <v>54.66</v>
      </c>
      <c r="H13534">
        <v>250401</v>
      </c>
      <c r="I13534">
        <v>4841</v>
      </c>
      <c r="J13534" t="s">
        <v>9</v>
      </c>
      <c r="K13534">
        <v>4404.6499999999996</v>
      </c>
      <c r="L13534">
        <v>11.11</v>
      </c>
      <c r="M13534">
        <v>47522</v>
      </c>
      <c r="N13534" t="s">
        <v>106</v>
      </c>
      <c r="O13534">
        <v>250401</v>
      </c>
      <c r="P13534">
        <v>43.55</v>
      </c>
    </row>
    <row r="13535" spans="1:16" x14ac:dyDescent="0.25">
      <c r="A13535" t="s">
        <v>3296</v>
      </c>
      <c r="B13535" t="s">
        <v>2931</v>
      </c>
      <c r="C13535">
        <v>3769</v>
      </c>
      <c r="D13535" t="str">
        <f t="shared" si="198"/>
        <v>687194-11/19</v>
      </c>
      <c r="E13535" t="s">
        <v>2814</v>
      </c>
      <c r="F13535" t="s">
        <v>2815</v>
      </c>
      <c r="G13535">
        <v>51.74</v>
      </c>
      <c r="H13535">
        <v>250401</v>
      </c>
      <c r="I13535">
        <v>4841</v>
      </c>
      <c r="J13535" t="s">
        <v>9</v>
      </c>
      <c r="K13535">
        <v>4404.6499999999996</v>
      </c>
      <c r="L13535">
        <v>10.51</v>
      </c>
      <c r="M13535">
        <v>48601</v>
      </c>
      <c r="N13535" t="s">
        <v>107</v>
      </c>
      <c r="O13535">
        <v>250401</v>
      </c>
      <c r="P13535">
        <v>41.23</v>
      </c>
    </row>
    <row r="13536" spans="1:16" x14ac:dyDescent="0.25">
      <c r="A13536" t="s">
        <v>3296</v>
      </c>
      <c r="B13536" t="s">
        <v>2931</v>
      </c>
      <c r="C13536">
        <v>3769</v>
      </c>
      <c r="D13536" t="str">
        <f t="shared" si="198"/>
        <v>687194-11/19</v>
      </c>
      <c r="E13536" t="s">
        <v>2814</v>
      </c>
      <c r="F13536" t="s">
        <v>2815</v>
      </c>
      <c r="G13536">
        <v>16.690000000000001</v>
      </c>
      <c r="H13536">
        <v>250401</v>
      </c>
      <c r="I13536">
        <v>4841</v>
      </c>
      <c r="J13536" t="s">
        <v>9</v>
      </c>
      <c r="K13536">
        <v>4404.6499999999996</v>
      </c>
      <c r="L13536">
        <v>3.39</v>
      </c>
      <c r="M13536">
        <v>48601</v>
      </c>
      <c r="N13536" t="s">
        <v>107</v>
      </c>
      <c r="O13536">
        <v>250401</v>
      </c>
      <c r="P13536">
        <v>13.3</v>
      </c>
    </row>
    <row r="13537" spans="1:16" x14ac:dyDescent="0.25">
      <c r="A13537" t="s">
        <v>3296</v>
      </c>
      <c r="B13537" t="s">
        <v>2931</v>
      </c>
      <c r="C13537">
        <v>3769</v>
      </c>
      <c r="D13537" t="str">
        <f t="shared" si="198"/>
        <v>687194-11/19</v>
      </c>
      <c r="E13537" t="s">
        <v>2814</v>
      </c>
      <c r="F13537" t="s">
        <v>2815</v>
      </c>
      <c r="G13537">
        <v>23.74</v>
      </c>
      <c r="H13537">
        <v>250401</v>
      </c>
      <c r="I13537">
        <v>4841</v>
      </c>
      <c r="J13537" t="s">
        <v>9</v>
      </c>
      <c r="K13537">
        <v>4404.6499999999996</v>
      </c>
      <c r="L13537">
        <v>4.82</v>
      </c>
      <c r="M13537">
        <v>49112</v>
      </c>
      <c r="N13537" t="s">
        <v>109</v>
      </c>
      <c r="O13537">
        <v>250401</v>
      </c>
      <c r="P13537">
        <v>18.920000000000002</v>
      </c>
    </row>
    <row r="13538" spans="1:16" x14ac:dyDescent="0.25">
      <c r="A13538" t="s">
        <v>3296</v>
      </c>
      <c r="B13538" t="s">
        <v>2931</v>
      </c>
      <c r="C13538">
        <v>3769</v>
      </c>
      <c r="D13538" t="str">
        <f t="shared" si="198"/>
        <v>687194-11/19</v>
      </c>
      <c r="E13538" t="s">
        <v>2814</v>
      </c>
      <c r="F13538" t="s">
        <v>2815</v>
      </c>
      <c r="G13538">
        <v>745.43</v>
      </c>
      <c r="H13538">
        <v>250401</v>
      </c>
      <c r="I13538">
        <v>4841</v>
      </c>
      <c r="J13538" t="s">
        <v>9</v>
      </c>
      <c r="K13538">
        <v>4404.6499999999996</v>
      </c>
      <c r="L13538">
        <v>151.46</v>
      </c>
      <c r="M13538">
        <v>49501</v>
      </c>
      <c r="N13538" t="s">
        <v>110</v>
      </c>
      <c r="O13538">
        <v>250401</v>
      </c>
      <c r="P13538">
        <v>593.97</v>
      </c>
    </row>
    <row r="13539" spans="1:16" x14ac:dyDescent="0.25">
      <c r="A13539" t="s">
        <v>3296</v>
      </c>
      <c r="B13539" t="s">
        <v>2931</v>
      </c>
      <c r="C13539">
        <v>3769</v>
      </c>
      <c r="D13539" t="str">
        <f t="shared" si="198"/>
        <v>687194-11/19</v>
      </c>
      <c r="E13539" t="s">
        <v>2814</v>
      </c>
      <c r="F13539" t="s">
        <v>2815</v>
      </c>
      <c r="G13539">
        <v>67.17</v>
      </c>
      <c r="H13539">
        <v>250401</v>
      </c>
      <c r="I13539">
        <v>4841</v>
      </c>
      <c r="J13539" t="s">
        <v>9</v>
      </c>
      <c r="K13539">
        <v>4404.6499999999996</v>
      </c>
      <c r="L13539">
        <v>13.65</v>
      </c>
      <c r="M13539">
        <v>49701</v>
      </c>
      <c r="N13539" t="s">
        <v>111</v>
      </c>
      <c r="O13539">
        <v>250401</v>
      </c>
      <c r="P13539">
        <v>53.52</v>
      </c>
    </row>
    <row r="13540" spans="1:16" x14ac:dyDescent="0.25">
      <c r="A13540" t="s">
        <v>3296</v>
      </c>
      <c r="B13540" t="s">
        <v>2931</v>
      </c>
      <c r="C13540">
        <v>3769</v>
      </c>
      <c r="D13540" t="str">
        <f t="shared" si="198"/>
        <v>687194-11/19</v>
      </c>
      <c r="E13540" t="s">
        <v>2814</v>
      </c>
      <c r="F13540" t="s">
        <v>2815</v>
      </c>
      <c r="G13540">
        <v>74.150000000000006</v>
      </c>
      <c r="H13540">
        <v>250401</v>
      </c>
      <c r="I13540">
        <v>4841</v>
      </c>
      <c r="J13540" t="s">
        <v>9</v>
      </c>
      <c r="K13540">
        <v>4404.6499999999996</v>
      </c>
      <c r="L13540">
        <v>15.07</v>
      </c>
      <c r="M13540">
        <v>49702</v>
      </c>
      <c r="N13540" t="s">
        <v>112</v>
      </c>
      <c r="O13540">
        <v>250401</v>
      </c>
      <c r="P13540">
        <v>59.08</v>
      </c>
    </row>
    <row r="13541" spans="1:16" x14ac:dyDescent="0.25">
      <c r="A13541" t="s">
        <v>3296</v>
      </c>
      <c r="B13541" t="s">
        <v>2931</v>
      </c>
      <c r="C13541">
        <v>3774</v>
      </c>
      <c r="D13541" t="str">
        <f t="shared" ref="D13541:D13551" si="199">"9687194-8/19"</f>
        <v>9687194-8/19</v>
      </c>
      <c r="E13541" t="s">
        <v>2814</v>
      </c>
      <c r="F13541" t="s">
        <v>2815</v>
      </c>
      <c r="G13541">
        <v>158.58000000000001</v>
      </c>
      <c r="H13541">
        <v>250401</v>
      </c>
      <c r="I13541">
        <v>4841</v>
      </c>
      <c r="J13541" t="s">
        <v>9</v>
      </c>
      <c r="K13541">
        <v>3659.38</v>
      </c>
      <c r="L13541">
        <v>32.22</v>
      </c>
      <c r="M13541">
        <v>11001</v>
      </c>
      <c r="N13541" t="s">
        <v>93</v>
      </c>
      <c r="O13541">
        <v>250401</v>
      </c>
      <c r="P13541">
        <v>126.36</v>
      </c>
    </row>
    <row r="13542" spans="1:16" x14ac:dyDescent="0.25">
      <c r="A13542" t="s">
        <v>3296</v>
      </c>
      <c r="B13542" t="s">
        <v>2931</v>
      </c>
      <c r="C13542">
        <v>3774</v>
      </c>
      <c r="D13542" t="str">
        <f t="shared" si="199"/>
        <v>9687194-8/19</v>
      </c>
      <c r="E13542" t="s">
        <v>2814</v>
      </c>
      <c r="F13542" t="s">
        <v>2815</v>
      </c>
      <c r="G13542">
        <v>83.46</v>
      </c>
      <c r="H13542">
        <v>250401</v>
      </c>
      <c r="I13542">
        <v>4841</v>
      </c>
      <c r="J13542" t="s">
        <v>9</v>
      </c>
      <c r="K13542">
        <v>3659.38</v>
      </c>
      <c r="L13542">
        <v>16.96</v>
      </c>
      <c r="M13542">
        <v>11101</v>
      </c>
      <c r="N13542" t="s">
        <v>67</v>
      </c>
      <c r="O13542">
        <v>250401</v>
      </c>
      <c r="P13542">
        <v>66.5</v>
      </c>
    </row>
    <row r="13543" spans="1:16" x14ac:dyDescent="0.25">
      <c r="A13543" t="s">
        <v>3296</v>
      </c>
      <c r="B13543" t="s">
        <v>2931</v>
      </c>
      <c r="C13543">
        <v>3774</v>
      </c>
      <c r="D13543" t="str">
        <f t="shared" si="199"/>
        <v>9687194-8/19</v>
      </c>
      <c r="E13543" t="s">
        <v>2814</v>
      </c>
      <c r="F13543" t="s">
        <v>2815</v>
      </c>
      <c r="G13543">
        <v>52.35</v>
      </c>
      <c r="H13543">
        <v>250401</v>
      </c>
      <c r="I13543">
        <v>4841</v>
      </c>
      <c r="J13543" t="s">
        <v>9</v>
      </c>
      <c r="K13543">
        <v>3659.38</v>
      </c>
      <c r="L13543">
        <v>10.64</v>
      </c>
      <c r="M13543">
        <v>11201</v>
      </c>
      <c r="N13543" t="s">
        <v>35</v>
      </c>
      <c r="O13543">
        <v>250401</v>
      </c>
      <c r="P13543">
        <v>41.71</v>
      </c>
    </row>
    <row r="13544" spans="1:16" x14ac:dyDescent="0.25">
      <c r="A13544" t="s">
        <v>3296</v>
      </c>
      <c r="B13544" t="s">
        <v>2931</v>
      </c>
      <c r="C13544">
        <v>3774</v>
      </c>
      <c r="D13544" t="str">
        <f t="shared" si="199"/>
        <v>9687194-8/19</v>
      </c>
      <c r="E13544" t="s">
        <v>2814</v>
      </c>
      <c r="F13544" t="s">
        <v>2815</v>
      </c>
      <c r="G13544">
        <v>16.690000000000001</v>
      </c>
      <c r="H13544">
        <v>250401</v>
      </c>
      <c r="I13544">
        <v>4841</v>
      </c>
      <c r="J13544" t="s">
        <v>9</v>
      </c>
      <c r="K13544">
        <v>3659.38</v>
      </c>
      <c r="L13544">
        <v>3.39</v>
      </c>
      <c r="M13544">
        <v>11301</v>
      </c>
      <c r="N13544" t="s">
        <v>92</v>
      </c>
      <c r="O13544">
        <v>250401</v>
      </c>
      <c r="P13544">
        <v>13.3</v>
      </c>
    </row>
    <row r="13545" spans="1:16" x14ac:dyDescent="0.25">
      <c r="A13545" t="s">
        <v>3296</v>
      </c>
      <c r="B13545" t="s">
        <v>2931</v>
      </c>
      <c r="C13545">
        <v>3774</v>
      </c>
      <c r="D13545" t="str">
        <f t="shared" si="199"/>
        <v>9687194-8/19</v>
      </c>
      <c r="E13545" t="s">
        <v>2814</v>
      </c>
      <c r="F13545" t="s">
        <v>2815</v>
      </c>
      <c r="G13545">
        <v>312.52</v>
      </c>
      <c r="H13545">
        <v>250401</v>
      </c>
      <c r="I13545">
        <v>4841</v>
      </c>
      <c r="J13545" t="s">
        <v>9</v>
      </c>
      <c r="K13545">
        <v>3659.38</v>
      </c>
      <c r="L13545">
        <v>63.5</v>
      </c>
      <c r="M13545">
        <v>11401</v>
      </c>
      <c r="N13545" t="s">
        <v>91</v>
      </c>
      <c r="O13545">
        <v>250401</v>
      </c>
      <c r="P13545">
        <v>249.02</v>
      </c>
    </row>
    <row r="13546" spans="1:16" x14ac:dyDescent="0.25">
      <c r="A13546" t="s">
        <v>3296</v>
      </c>
      <c r="B13546" t="s">
        <v>2931</v>
      </c>
      <c r="C13546">
        <v>3774</v>
      </c>
      <c r="D13546" t="str">
        <f t="shared" si="199"/>
        <v>9687194-8/19</v>
      </c>
      <c r="E13546" t="s">
        <v>2814</v>
      </c>
      <c r="F13546" t="s">
        <v>2815</v>
      </c>
      <c r="G13546">
        <v>41.53</v>
      </c>
      <c r="H13546">
        <v>250401</v>
      </c>
      <c r="I13546">
        <v>4841</v>
      </c>
      <c r="J13546" t="s">
        <v>9</v>
      </c>
      <c r="K13546">
        <v>3659.38</v>
      </c>
      <c r="L13546">
        <v>8.44</v>
      </c>
      <c r="M13546">
        <v>11501</v>
      </c>
      <c r="N13546" t="s">
        <v>13</v>
      </c>
      <c r="O13546">
        <v>250401</v>
      </c>
      <c r="P13546">
        <v>33.090000000000003</v>
      </c>
    </row>
    <row r="13547" spans="1:16" x14ac:dyDescent="0.25">
      <c r="A13547" t="s">
        <v>3296</v>
      </c>
      <c r="B13547" t="s">
        <v>2931</v>
      </c>
      <c r="C13547">
        <v>3774</v>
      </c>
      <c r="D13547" t="str">
        <f t="shared" si="199"/>
        <v>9687194-8/19</v>
      </c>
      <c r="E13547" t="s">
        <v>2814</v>
      </c>
      <c r="F13547" t="s">
        <v>2815</v>
      </c>
      <c r="G13547">
        <v>75.209999999999994</v>
      </c>
      <c r="H13547">
        <v>250401</v>
      </c>
      <c r="I13547">
        <v>4841</v>
      </c>
      <c r="J13547" t="s">
        <v>9</v>
      </c>
      <c r="K13547">
        <v>3659.38</v>
      </c>
      <c r="L13547">
        <v>15.28</v>
      </c>
      <c r="M13547">
        <v>11601</v>
      </c>
      <c r="N13547" t="s">
        <v>12</v>
      </c>
      <c r="O13547">
        <v>250401</v>
      </c>
      <c r="P13547">
        <v>59.93</v>
      </c>
    </row>
    <row r="13548" spans="1:16" x14ac:dyDescent="0.25">
      <c r="A13548" t="s">
        <v>3296</v>
      </c>
      <c r="B13548" t="s">
        <v>2931</v>
      </c>
      <c r="C13548">
        <v>3774</v>
      </c>
      <c r="D13548" t="str">
        <f t="shared" si="199"/>
        <v>9687194-8/19</v>
      </c>
      <c r="E13548" t="s">
        <v>2814</v>
      </c>
      <c r="F13548" t="s">
        <v>2815</v>
      </c>
      <c r="G13548">
        <v>90.1</v>
      </c>
      <c r="H13548">
        <v>250401</v>
      </c>
      <c r="I13548">
        <v>4841</v>
      </c>
      <c r="J13548" t="s">
        <v>9</v>
      </c>
      <c r="K13548">
        <v>3659.38</v>
      </c>
      <c r="L13548">
        <v>18.309999999999999</v>
      </c>
      <c r="M13548">
        <v>11701</v>
      </c>
      <c r="N13548" t="s">
        <v>973</v>
      </c>
      <c r="O13548">
        <v>250401</v>
      </c>
      <c r="P13548">
        <v>71.790000000000006</v>
      </c>
    </row>
    <row r="13549" spans="1:16" x14ac:dyDescent="0.25">
      <c r="A13549" t="s">
        <v>3296</v>
      </c>
      <c r="B13549" t="s">
        <v>2931</v>
      </c>
      <c r="C13549">
        <v>3774</v>
      </c>
      <c r="D13549" t="str">
        <f t="shared" si="199"/>
        <v>9687194-8/19</v>
      </c>
      <c r="E13549" t="s">
        <v>2814</v>
      </c>
      <c r="F13549" t="s">
        <v>2815</v>
      </c>
      <c r="G13549">
        <v>2581.1</v>
      </c>
      <c r="H13549">
        <v>250401</v>
      </c>
      <c r="I13549">
        <v>4841</v>
      </c>
      <c r="J13549" t="s">
        <v>9</v>
      </c>
      <c r="K13549">
        <v>3659.38</v>
      </c>
      <c r="L13549">
        <v>524.45000000000005</v>
      </c>
      <c r="M13549">
        <v>11801</v>
      </c>
      <c r="N13549" t="s">
        <v>40</v>
      </c>
      <c r="O13549">
        <v>250401</v>
      </c>
      <c r="P13549">
        <v>2056.65</v>
      </c>
    </row>
    <row r="13550" spans="1:16" x14ac:dyDescent="0.25">
      <c r="A13550" t="s">
        <v>3296</v>
      </c>
      <c r="B13550" t="s">
        <v>2931</v>
      </c>
      <c r="C13550">
        <v>3774</v>
      </c>
      <c r="D13550" t="str">
        <f t="shared" si="199"/>
        <v>9687194-8/19</v>
      </c>
      <c r="E13550" t="s">
        <v>2814</v>
      </c>
      <c r="F13550" t="s">
        <v>2815</v>
      </c>
      <c r="G13550">
        <v>214.34</v>
      </c>
      <c r="H13550">
        <v>250401</v>
      </c>
      <c r="I13550">
        <v>4841</v>
      </c>
      <c r="J13550" t="s">
        <v>9</v>
      </c>
      <c r="K13550">
        <v>3659.38</v>
      </c>
      <c r="L13550">
        <v>43.55</v>
      </c>
      <c r="M13550">
        <v>13801</v>
      </c>
      <c r="N13550" t="s">
        <v>33</v>
      </c>
      <c r="O13550">
        <v>250401</v>
      </c>
      <c r="P13550">
        <v>170.79</v>
      </c>
    </row>
    <row r="13551" spans="1:16" x14ac:dyDescent="0.25">
      <c r="A13551" t="s">
        <v>3296</v>
      </c>
      <c r="B13551" t="s">
        <v>2931</v>
      </c>
      <c r="C13551">
        <v>3774</v>
      </c>
      <c r="D13551" t="str">
        <f t="shared" si="199"/>
        <v>9687194-8/19</v>
      </c>
      <c r="E13551" t="s">
        <v>2814</v>
      </c>
      <c r="F13551" t="s">
        <v>2815</v>
      </c>
      <c r="G13551">
        <v>33.5</v>
      </c>
      <c r="H13551">
        <v>250401</v>
      </c>
      <c r="I13551">
        <v>4841</v>
      </c>
      <c r="J13551" t="s">
        <v>9</v>
      </c>
      <c r="K13551">
        <v>3659.38</v>
      </c>
      <c r="L13551">
        <v>6.81</v>
      </c>
      <c r="M13551">
        <v>14971</v>
      </c>
      <c r="N13551" t="s">
        <v>81</v>
      </c>
      <c r="O13551">
        <v>250401</v>
      </c>
      <c r="P13551">
        <v>26.69</v>
      </c>
    </row>
    <row r="13552" spans="1:16" x14ac:dyDescent="0.25">
      <c r="A13552" t="s">
        <v>3296</v>
      </c>
      <c r="B13552" t="s">
        <v>2931</v>
      </c>
      <c r="C13552">
        <v>3780</v>
      </c>
      <c r="D13552" t="str">
        <f t="shared" ref="D13552:D13558" si="200">"9687194-9/19"</f>
        <v>9687194-9/19</v>
      </c>
      <c r="E13552" t="s">
        <v>2814</v>
      </c>
      <c r="F13552" t="s">
        <v>2815</v>
      </c>
      <c r="G13552">
        <v>31.89</v>
      </c>
      <c r="H13552">
        <v>250401</v>
      </c>
      <c r="I13552">
        <v>4841</v>
      </c>
      <c r="J13552" t="s">
        <v>9</v>
      </c>
      <c r="K13552">
        <v>612.01</v>
      </c>
      <c r="L13552">
        <v>6.48</v>
      </c>
      <c r="M13552">
        <v>53222</v>
      </c>
      <c r="N13552" t="s">
        <v>41</v>
      </c>
      <c r="O13552">
        <v>250401</v>
      </c>
      <c r="P13552">
        <v>25.41</v>
      </c>
    </row>
    <row r="13553" spans="1:16" x14ac:dyDescent="0.25">
      <c r="A13553" t="s">
        <v>3296</v>
      </c>
      <c r="B13553" t="s">
        <v>2931</v>
      </c>
      <c r="C13553">
        <v>3780</v>
      </c>
      <c r="D13553" t="str">
        <f t="shared" si="200"/>
        <v>9687194-9/19</v>
      </c>
      <c r="E13553" t="s">
        <v>2814</v>
      </c>
      <c r="F13553" t="s">
        <v>2815</v>
      </c>
      <c r="G13553">
        <v>194.73</v>
      </c>
      <c r="H13553">
        <v>250401</v>
      </c>
      <c r="I13553">
        <v>4841</v>
      </c>
      <c r="J13553" t="s">
        <v>9</v>
      </c>
      <c r="K13553">
        <v>612.01</v>
      </c>
      <c r="L13553">
        <v>39.57</v>
      </c>
      <c r="M13553">
        <v>53222</v>
      </c>
      <c r="N13553" t="s">
        <v>41</v>
      </c>
      <c r="O13553">
        <v>250401</v>
      </c>
      <c r="P13553">
        <v>155.16</v>
      </c>
    </row>
    <row r="13554" spans="1:16" x14ac:dyDescent="0.25">
      <c r="A13554" t="s">
        <v>3296</v>
      </c>
      <c r="B13554" t="s">
        <v>2931</v>
      </c>
      <c r="C13554">
        <v>3780</v>
      </c>
      <c r="D13554" t="str">
        <f t="shared" si="200"/>
        <v>9687194-9/19</v>
      </c>
      <c r="E13554" t="s">
        <v>2814</v>
      </c>
      <c r="F13554" t="s">
        <v>2815</v>
      </c>
      <c r="G13554">
        <v>146.58000000000001</v>
      </c>
      <c r="H13554">
        <v>250401</v>
      </c>
      <c r="I13554">
        <v>4841</v>
      </c>
      <c r="J13554" t="s">
        <v>9</v>
      </c>
      <c r="K13554">
        <v>612.01</v>
      </c>
      <c r="L13554">
        <v>29.78</v>
      </c>
      <c r="M13554">
        <v>54622</v>
      </c>
      <c r="N13554" t="s">
        <v>42</v>
      </c>
      <c r="O13554">
        <v>250401</v>
      </c>
      <c r="P13554">
        <v>116.8</v>
      </c>
    </row>
    <row r="13555" spans="1:16" x14ac:dyDescent="0.25">
      <c r="A13555" t="s">
        <v>3296</v>
      </c>
      <c r="B13555" t="s">
        <v>2931</v>
      </c>
      <c r="C13555">
        <v>3780</v>
      </c>
      <c r="D13555" t="str">
        <f t="shared" si="200"/>
        <v>9687194-9/19</v>
      </c>
      <c r="E13555" t="s">
        <v>2814</v>
      </c>
      <c r="F13555" t="s">
        <v>2815</v>
      </c>
      <c r="G13555">
        <v>66.180000000000007</v>
      </c>
      <c r="H13555">
        <v>250401</v>
      </c>
      <c r="I13555">
        <v>4841</v>
      </c>
      <c r="J13555" t="s">
        <v>9</v>
      </c>
      <c r="K13555">
        <v>612.01</v>
      </c>
      <c r="L13555">
        <v>13.45</v>
      </c>
      <c r="M13555">
        <v>55222</v>
      </c>
      <c r="N13555" t="s">
        <v>43</v>
      </c>
      <c r="O13555">
        <v>250401</v>
      </c>
      <c r="P13555">
        <v>52.73</v>
      </c>
    </row>
    <row r="13556" spans="1:16" x14ac:dyDescent="0.25">
      <c r="A13556" t="s">
        <v>3296</v>
      </c>
      <c r="B13556" t="s">
        <v>2931</v>
      </c>
      <c r="C13556">
        <v>3780</v>
      </c>
      <c r="D13556" t="str">
        <f t="shared" si="200"/>
        <v>9687194-9/19</v>
      </c>
      <c r="E13556" t="s">
        <v>2814</v>
      </c>
      <c r="F13556" t="s">
        <v>2815</v>
      </c>
      <c r="G13556">
        <v>44.2</v>
      </c>
      <c r="H13556">
        <v>250401</v>
      </c>
      <c r="I13556">
        <v>4841</v>
      </c>
      <c r="J13556" t="s">
        <v>9</v>
      </c>
      <c r="K13556">
        <v>612.01</v>
      </c>
      <c r="L13556">
        <v>8.98</v>
      </c>
      <c r="M13556">
        <v>59114</v>
      </c>
      <c r="N13556" t="s">
        <v>299</v>
      </c>
      <c r="O13556">
        <v>250401</v>
      </c>
      <c r="P13556">
        <v>35.22</v>
      </c>
    </row>
    <row r="13557" spans="1:16" x14ac:dyDescent="0.25">
      <c r="A13557" t="s">
        <v>3296</v>
      </c>
      <c r="B13557" t="s">
        <v>2931</v>
      </c>
      <c r="C13557">
        <v>3780</v>
      </c>
      <c r="D13557" t="str">
        <f t="shared" si="200"/>
        <v>9687194-9/19</v>
      </c>
      <c r="E13557" t="s">
        <v>2814</v>
      </c>
      <c r="F13557" t="s">
        <v>2815</v>
      </c>
      <c r="G13557">
        <v>88.4</v>
      </c>
      <c r="H13557">
        <v>250401</v>
      </c>
      <c r="I13557">
        <v>4841</v>
      </c>
      <c r="J13557" t="s">
        <v>9</v>
      </c>
      <c r="K13557">
        <v>612.01</v>
      </c>
      <c r="L13557">
        <v>17.96</v>
      </c>
      <c r="M13557">
        <v>59504</v>
      </c>
      <c r="N13557" t="s">
        <v>193</v>
      </c>
      <c r="O13557">
        <v>250401</v>
      </c>
      <c r="P13557">
        <v>70.44</v>
      </c>
    </row>
    <row r="13558" spans="1:16" x14ac:dyDescent="0.25">
      <c r="A13558" t="s">
        <v>3296</v>
      </c>
      <c r="B13558" t="s">
        <v>2931</v>
      </c>
      <c r="C13558">
        <v>3780</v>
      </c>
      <c r="D13558" t="str">
        <f t="shared" si="200"/>
        <v>9687194-9/19</v>
      </c>
      <c r="E13558" t="s">
        <v>2814</v>
      </c>
      <c r="F13558" t="s">
        <v>2815</v>
      </c>
      <c r="G13558">
        <v>40.03</v>
      </c>
      <c r="H13558">
        <v>250401</v>
      </c>
      <c r="I13558">
        <v>4841</v>
      </c>
      <c r="J13558" t="s">
        <v>9</v>
      </c>
      <c r="K13558">
        <v>612.01</v>
      </c>
      <c r="L13558">
        <v>8.1300000000000008</v>
      </c>
      <c r="M13558">
        <v>59701</v>
      </c>
      <c r="N13558" t="s">
        <v>64</v>
      </c>
      <c r="O13558">
        <v>250401</v>
      </c>
      <c r="P13558">
        <v>31.9</v>
      </c>
    </row>
    <row r="13559" spans="1:16" x14ac:dyDescent="0.25">
      <c r="A13559" t="s">
        <v>3296</v>
      </c>
      <c r="B13559" t="s">
        <v>2931</v>
      </c>
      <c r="C13559">
        <v>3783</v>
      </c>
      <c r="D13559" t="str">
        <f t="shared" ref="D13559:D13577" si="201">"9687194-6/19"</f>
        <v>9687194-6/19</v>
      </c>
      <c r="E13559" t="s">
        <v>2814</v>
      </c>
      <c r="F13559" t="s">
        <v>2815</v>
      </c>
      <c r="G13559">
        <v>16.489999999999998</v>
      </c>
      <c r="H13559">
        <v>250401</v>
      </c>
      <c r="I13559">
        <v>4841</v>
      </c>
      <c r="J13559" t="s">
        <v>9</v>
      </c>
      <c r="K13559">
        <v>3731.01</v>
      </c>
      <c r="L13559">
        <v>3.35</v>
      </c>
      <c r="M13559">
        <v>13540</v>
      </c>
      <c r="N13559" t="s">
        <v>131</v>
      </c>
      <c r="O13559">
        <v>250401</v>
      </c>
      <c r="P13559">
        <v>13.14</v>
      </c>
    </row>
    <row r="13560" spans="1:16" x14ac:dyDescent="0.25">
      <c r="A13560" t="s">
        <v>3296</v>
      </c>
      <c r="B13560" t="s">
        <v>2931</v>
      </c>
      <c r="C13560">
        <v>3783</v>
      </c>
      <c r="D13560" t="str">
        <f t="shared" si="201"/>
        <v>9687194-6/19</v>
      </c>
      <c r="E13560" t="s">
        <v>2814</v>
      </c>
      <c r="F13560" t="s">
        <v>2815</v>
      </c>
      <c r="G13560">
        <v>8.14</v>
      </c>
      <c r="H13560">
        <v>250401</v>
      </c>
      <c r="I13560">
        <v>4841</v>
      </c>
      <c r="J13560" t="s">
        <v>9</v>
      </c>
      <c r="K13560">
        <v>3731.01</v>
      </c>
      <c r="L13560">
        <v>1.65</v>
      </c>
      <c r="M13560">
        <v>16930</v>
      </c>
      <c r="N13560" t="s">
        <v>135</v>
      </c>
      <c r="O13560">
        <v>250401</v>
      </c>
      <c r="P13560">
        <v>6.49</v>
      </c>
    </row>
    <row r="13561" spans="1:16" x14ac:dyDescent="0.25">
      <c r="A13561" t="s">
        <v>3296</v>
      </c>
      <c r="B13561" t="s">
        <v>2931</v>
      </c>
      <c r="C13561">
        <v>3783</v>
      </c>
      <c r="D13561" t="str">
        <f t="shared" si="201"/>
        <v>9687194-6/19</v>
      </c>
      <c r="E13561" t="s">
        <v>2814</v>
      </c>
      <c r="F13561" t="s">
        <v>2815</v>
      </c>
      <c r="G13561">
        <v>216.75</v>
      </c>
      <c r="H13561">
        <v>250401</v>
      </c>
      <c r="I13561">
        <v>4841</v>
      </c>
      <c r="J13561" t="s">
        <v>9</v>
      </c>
      <c r="K13561">
        <v>3731.01</v>
      </c>
      <c r="L13561">
        <v>44.04</v>
      </c>
      <c r="M13561">
        <v>17521</v>
      </c>
      <c r="N13561" t="s">
        <v>136</v>
      </c>
      <c r="O13561">
        <v>250401</v>
      </c>
      <c r="P13561">
        <v>172.71</v>
      </c>
    </row>
    <row r="13562" spans="1:16" x14ac:dyDescent="0.25">
      <c r="A13562" t="s">
        <v>3296</v>
      </c>
      <c r="B13562" t="s">
        <v>2931</v>
      </c>
      <c r="C13562">
        <v>3783</v>
      </c>
      <c r="D13562" t="str">
        <f t="shared" si="201"/>
        <v>9687194-6/19</v>
      </c>
      <c r="E13562" t="s">
        <v>2814</v>
      </c>
      <c r="F13562" t="s">
        <v>2815</v>
      </c>
      <c r="G13562">
        <v>189.71</v>
      </c>
      <c r="H13562">
        <v>250401</v>
      </c>
      <c r="I13562">
        <v>4841</v>
      </c>
      <c r="J13562" t="s">
        <v>9</v>
      </c>
      <c r="K13562">
        <v>3731.01</v>
      </c>
      <c r="L13562">
        <v>38.549999999999997</v>
      </c>
      <c r="M13562">
        <v>17523</v>
      </c>
      <c r="N13562" t="s">
        <v>138</v>
      </c>
      <c r="O13562">
        <v>250401</v>
      </c>
      <c r="P13562">
        <v>151.16</v>
      </c>
    </row>
    <row r="13563" spans="1:16" x14ac:dyDescent="0.25">
      <c r="A13563" t="s">
        <v>3296</v>
      </c>
      <c r="B13563" t="s">
        <v>2931</v>
      </c>
      <c r="C13563">
        <v>3783</v>
      </c>
      <c r="D13563" t="str">
        <f t="shared" si="201"/>
        <v>9687194-6/19</v>
      </c>
      <c r="E13563" t="s">
        <v>2814</v>
      </c>
      <c r="F13563" t="s">
        <v>2815</v>
      </c>
      <c r="G13563">
        <v>78.239999999999995</v>
      </c>
      <c r="H13563">
        <v>250401</v>
      </c>
      <c r="I13563">
        <v>4841</v>
      </c>
      <c r="J13563" t="s">
        <v>9</v>
      </c>
      <c r="K13563">
        <v>3731.01</v>
      </c>
      <c r="L13563">
        <v>15.9</v>
      </c>
      <c r="M13563">
        <v>17524</v>
      </c>
      <c r="N13563" t="s">
        <v>139</v>
      </c>
      <c r="O13563">
        <v>250401</v>
      </c>
      <c r="P13563">
        <v>62.34</v>
      </c>
    </row>
    <row r="13564" spans="1:16" x14ac:dyDescent="0.25">
      <c r="A13564" t="s">
        <v>3296</v>
      </c>
      <c r="B13564" t="s">
        <v>2931</v>
      </c>
      <c r="C13564">
        <v>3783</v>
      </c>
      <c r="D13564" t="str">
        <f t="shared" si="201"/>
        <v>9687194-6/19</v>
      </c>
      <c r="E13564" t="s">
        <v>2814</v>
      </c>
      <c r="F13564" t="s">
        <v>2815</v>
      </c>
      <c r="G13564">
        <v>139.58000000000001</v>
      </c>
      <c r="H13564">
        <v>250401</v>
      </c>
      <c r="I13564">
        <v>4841</v>
      </c>
      <c r="J13564" t="s">
        <v>9</v>
      </c>
      <c r="K13564">
        <v>3731.01</v>
      </c>
      <c r="L13564">
        <v>28.36</v>
      </c>
      <c r="M13564">
        <v>17525</v>
      </c>
      <c r="N13564" t="s">
        <v>140</v>
      </c>
      <c r="O13564">
        <v>250401</v>
      </c>
      <c r="P13564">
        <v>111.22</v>
      </c>
    </row>
    <row r="13565" spans="1:16" x14ac:dyDescent="0.25">
      <c r="A13565" t="s">
        <v>3296</v>
      </c>
      <c r="B13565" t="s">
        <v>2931</v>
      </c>
      <c r="C13565">
        <v>3783</v>
      </c>
      <c r="D13565" t="str">
        <f t="shared" si="201"/>
        <v>9687194-6/19</v>
      </c>
      <c r="E13565" t="s">
        <v>2814</v>
      </c>
      <c r="F13565" t="s">
        <v>2815</v>
      </c>
      <c r="G13565">
        <v>78.239999999999995</v>
      </c>
      <c r="H13565">
        <v>250401</v>
      </c>
      <c r="I13565">
        <v>4841</v>
      </c>
      <c r="J13565" t="s">
        <v>9</v>
      </c>
      <c r="K13565">
        <v>3731.01</v>
      </c>
      <c r="L13565">
        <v>15.9</v>
      </c>
      <c r="M13565">
        <v>17526</v>
      </c>
      <c r="N13565" t="s">
        <v>141</v>
      </c>
      <c r="O13565">
        <v>250401</v>
      </c>
      <c r="P13565">
        <v>62.34</v>
      </c>
    </row>
    <row r="13566" spans="1:16" x14ac:dyDescent="0.25">
      <c r="A13566" t="s">
        <v>3296</v>
      </c>
      <c r="B13566" t="s">
        <v>2931</v>
      </c>
      <c r="C13566">
        <v>3783</v>
      </c>
      <c r="D13566" t="str">
        <f t="shared" si="201"/>
        <v>9687194-6/19</v>
      </c>
      <c r="E13566" t="s">
        <v>2814</v>
      </c>
      <c r="F13566" t="s">
        <v>2815</v>
      </c>
      <c r="G13566">
        <v>78.239999999999995</v>
      </c>
      <c r="H13566">
        <v>250401</v>
      </c>
      <c r="I13566">
        <v>4841</v>
      </c>
      <c r="J13566" t="s">
        <v>9</v>
      </c>
      <c r="K13566">
        <v>3731.01</v>
      </c>
      <c r="L13566">
        <v>15.9</v>
      </c>
      <c r="M13566">
        <v>17527</v>
      </c>
      <c r="N13566" t="s">
        <v>142</v>
      </c>
      <c r="O13566">
        <v>250401</v>
      </c>
      <c r="P13566">
        <v>62.34</v>
      </c>
    </row>
    <row r="13567" spans="1:16" x14ac:dyDescent="0.25">
      <c r="A13567" t="s">
        <v>3296</v>
      </c>
      <c r="B13567" t="s">
        <v>2931</v>
      </c>
      <c r="C13567">
        <v>3783</v>
      </c>
      <c r="D13567" t="str">
        <f t="shared" si="201"/>
        <v>9687194-6/19</v>
      </c>
      <c r="E13567" t="s">
        <v>2814</v>
      </c>
      <c r="F13567" t="s">
        <v>2815</v>
      </c>
      <c r="G13567">
        <v>33.83</v>
      </c>
      <c r="H13567">
        <v>250401</v>
      </c>
      <c r="I13567">
        <v>4841</v>
      </c>
      <c r="J13567" t="s">
        <v>9</v>
      </c>
      <c r="K13567">
        <v>3731.01</v>
      </c>
      <c r="L13567">
        <v>6.87</v>
      </c>
      <c r="M13567">
        <v>17529</v>
      </c>
      <c r="N13567" t="s">
        <v>143</v>
      </c>
      <c r="O13567">
        <v>250401</v>
      </c>
      <c r="P13567">
        <v>26.96</v>
      </c>
    </row>
    <row r="13568" spans="1:16" x14ac:dyDescent="0.25">
      <c r="A13568" t="s">
        <v>3296</v>
      </c>
      <c r="B13568" t="s">
        <v>2931</v>
      </c>
      <c r="C13568">
        <v>3783</v>
      </c>
      <c r="D13568" t="str">
        <f t="shared" si="201"/>
        <v>9687194-6/19</v>
      </c>
      <c r="E13568" t="s">
        <v>2814</v>
      </c>
      <c r="F13568" t="s">
        <v>2815</v>
      </c>
      <c r="G13568">
        <v>944.5</v>
      </c>
      <c r="H13568">
        <v>250401</v>
      </c>
      <c r="I13568">
        <v>4841</v>
      </c>
      <c r="J13568" t="s">
        <v>9</v>
      </c>
      <c r="K13568">
        <v>3731.01</v>
      </c>
      <c r="L13568">
        <v>191.91</v>
      </c>
      <c r="M13568">
        <v>17530</v>
      </c>
      <c r="N13568" t="s">
        <v>144</v>
      </c>
      <c r="O13568">
        <v>250401</v>
      </c>
      <c r="P13568">
        <v>752.59</v>
      </c>
    </row>
    <row r="13569" spans="1:16" x14ac:dyDescent="0.25">
      <c r="A13569" t="s">
        <v>3296</v>
      </c>
      <c r="B13569" t="s">
        <v>2931</v>
      </c>
      <c r="C13569">
        <v>3783</v>
      </c>
      <c r="D13569" t="str">
        <f t="shared" si="201"/>
        <v>9687194-6/19</v>
      </c>
      <c r="E13569" t="s">
        <v>2814</v>
      </c>
      <c r="F13569" t="s">
        <v>2815</v>
      </c>
      <c r="G13569">
        <v>105.45</v>
      </c>
      <c r="H13569">
        <v>250401</v>
      </c>
      <c r="I13569">
        <v>4841</v>
      </c>
      <c r="J13569" t="s">
        <v>9</v>
      </c>
      <c r="K13569">
        <v>3731.01</v>
      </c>
      <c r="L13569">
        <v>21.43</v>
      </c>
      <c r="M13569">
        <v>17531</v>
      </c>
      <c r="N13569" t="s">
        <v>145</v>
      </c>
      <c r="O13569">
        <v>250401</v>
      </c>
      <c r="P13569">
        <v>84.02</v>
      </c>
    </row>
    <row r="13570" spans="1:16" x14ac:dyDescent="0.25">
      <c r="A13570" t="s">
        <v>3296</v>
      </c>
      <c r="B13570" t="s">
        <v>2931</v>
      </c>
      <c r="C13570">
        <v>3783</v>
      </c>
      <c r="D13570" t="str">
        <f t="shared" si="201"/>
        <v>9687194-6/19</v>
      </c>
      <c r="E13570" t="s">
        <v>2814</v>
      </c>
      <c r="F13570" t="s">
        <v>2815</v>
      </c>
      <c r="G13570">
        <v>93.27</v>
      </c>
      <c r="H13570">
        <v>250401</v>
      </c>
      <c r="I13570">
        <v>4841</v>
      </c>
      <c r="J13570" t="s">
        <v>9</v>
      </c>
      <c r="K13570">
        <v>3731.01</v>
      </c>
      <c r="L13570">
        <v>18.95</v>
      </c>
      <c r="M13570">
        <v>17532</v>
      </c>
      <c r="N13570" t="s">
        <v>146</v>
      </c>
      <c r="O13570">
        <v>250401</v>
      </c>
      <c r="P13570">
        <v>74.319999999999993</v>
      </c>
    </row>
    <row r="13571" spans="1:16" x14ac:dyDescent="0.25">
      <c r="A13571" t="s">
        <v>3296</v>
      </c>
      <c r="B13571" t="s">
        <v>2931</v>
      </c>
      <c r="C13571">
        <v>3783</v>
      </c>
      <c r="D13571" t="str">
        <f t="shared" si="201"/>
        <v>9687194-6/19</v>
      </c>
      <c r="E13571" t="s">
        <v>2814</v>
      </c>
      <c r="F13571" t="s">
        <v>2815</v>
      </c>
      <c r="G13571">
        <v>183.68</v>
      </c>
      <c r="H13571">
        <v>250401</v>
      </c>
      <c r="I13571">
        <v>4841</v>
      </c>
      <c r="J13571" t="s">
        <v>9</v>
      </c>
      <c r="K13571">
        <v>3731.01</v>
      </c>
      <c r="L13571">
        <v>37.32</v>
      </c>
      <c r="M13571">
        <v>17533</v>
      </c>
      <c r="N13571" t="s">
        <v>147</v>
      </c>
      <c r="O13571">
        <v>250401</v>
      </c>
      <c r="P13571">
        <v>146.36000000000001</v>
      </c>
    </row>
    <row r="13572" spans="1:16" x14ac:dyDescent="0.25">
      <c r="A13572" t="s">
        <v>3296</v>
      </c>
      <c r="B13572" t="s">
        <v>2931</v>
      </c>
      <c r="C13572">
        <v>3783</v>
      </c>
      <c r="D13572" t="str">
        <f t="shared" si="201"/>
        <v>9687194-6/19</v>
      </c>
      <c r="E13572" t="s">
        <v>2814</v>
      </c>
      <c r="F13572" t="s">
        <v>2815</v>
      </c>
      <c r="G13572">
        <v>347.44</v>
      </c>
      <c r="H13572">
        <v>250401</v>
      </c>
      <c r="I13572">
        <v>4841</v>
      </c>
      <c r="J13572" t="s">
        <v>9</v>
      </c>
      <c r="K13572">
        <v>3731.01</v>
      </c>
      <c r="L13572">
        <v>70.599999999999994</v>
      </c>
      <c r="M13572">
        <v>17537</v>
      </c>
      <c r="N13572" t="s">
        <v>151</v>
      </c>
      <c r="O13572">
        <v>250401</v>
      </c>
      <c r="P13572">
        <v>276.83999999999997</v>
      </c>
    </row>
    <row r="13573" spans="1:16" x14ac:dyDescent="0.25">
      <c r="A13573" t="s">
        <v>3296</v>
      </c>
      <c r="B13573" t="s">
        <v>2931</v>
      </c>
      <c r="C13573">
        <v>3783</v>
      </c>
      <c r="D13573" t="str">
        <f t="shared" si="201"/>
        <v>9687194-6/19</v>
      </c>
      <c r="E13573" t="s">
        <v>2814</v>
      </c>
      <c r="F13573" t="s">
        <v>2815</v>
      </c>
      <c r="G13573">
        <v>833.28</v>
      </c>
      <c r="H13573">
        <v>250401</v>
      </c>
      <c r="I13573">
        <v>4841</v>
      </c>
      <c r="J13573" t="s">
        <v>9</v>
      </c>
      <c r="K13573">
        <v>3731.01</v>
      </c>
      <c r="L13573">
        <v>169.31</v>
      </c>
      <c r="M13573">
        <v>17538</v>
      </c>
      <c r="N13573" t="s">
        <v>129</v>
      </c>
      <c r="O13573">
        <v>250401</v>
      </c>
      <c r="P13573">
        <v>663.97</v>
      </c>
    </row>
    <row r="13574" spans="1:16" x14ac:dyDescent="0.25">
      <c r="A13574" t="s">
        <v>3296</v>
      </c>
      <c r="B13574" t="s">
        <v>2931</v>
      </c>
      <c r="C13574">
        <v>3783</v>
      </c>
      <c r="D13574" t="str">
        <f t="shared" si="201"/>
        <v>9687194-6/19</v>
      </c>
      <c r="E13574" t="s">
        <v>2814</v>
      </c>
      <c r="F13574" t="s">
        <v>2815</v>
      </c>
      <c r="G13574">
        <v>133.41999999999999</v>
      </c>
      <c r="H13574">
        <v>250401</v>
      </c>
      <c r="I13574">
        <v>4841</v>
      </c>
      <c r="J13574" t="s">
        <v>9</v>
      </c>
      <c r="K13574">
        <v>3731.01</v>
      </c>
      <c r="L13574">
        <v>27.11</v>
      </c>
      <c r="M13574">
        <v>17950</v>
      </c>
      <c r="N13574" t="s">
        <v>132</v>
      </c>
      <c r="O13574">
        <v>250401</v>
      </c>
      <c r="P13574">
        <v>106.31</v>
      </c>
    </row>
    <row r="13575" spans="1:16" x14ac:dyDescent="0.25">
      <c r="A13575" t="s">
        <v>3296</v>
      </c>
      <c r="B13575" t="s">
        <v>2931</v>
      </c>
      <c r="C13575">
        <v>3783</v>
      </c>
      <c r="D13575" t="str">
        <f t="shared" si="201"/>
        <v>9687194-6/19</v>
      </c>
      <c r="E13575" t="s">
        <v>2814</v>
      </c>
      <c r="F13575" t="s">
        <v>2815</v>
      </c>
      <c r="G13575">
        <v>118.66</v>
      </c>
      <c r="H13575">
        <v>250401</v>
      </c>
      <c r="I13575">
        <v>4841</v>
      </c>
      <c r="J13575" t="s">
        <v>9</v>
      </c>
      <c r="K13575">
        <v>3731.01</v>
      </c>
      <c r="L13575">
        <v>24.11</v>
      </c>
      <c r="M13575">
        <v>17971</v>
      </c>
      <c r="N13575" t="s">
        <v>27</v>
      </c>
      <c r="O13575">
        <v>250401</v>
      </c>
      <c r="P13575">
        <v>94.55</v>
      </c>
    </row>
    <row r="13576" spans="1:16" x14ac:dyDescent="0.25">
      <c r="A13576" t="s">
        <v>3296</v>
      </c>
      <c r="B13576" t="s">
        <v>2931</v>
      </c>
      <c r="C13576">
        <v>3783</v>
      </c>
      <c r="D13576" t="str">
        <f t="shared" si="201"/>
        <v>9687194-6/19</v>
      </c>
      <c r="E13576" t="s">
        <v>2814</v>
      </c>
      <c r="F13576" t="s">
        <v>2815</v>
      </c>
      <c r="G13576">
        <v>17.14</v>
      </c>
      <c r="H13576">
        <v>250401</v>
      </c>
      <c r="I13576">
        <v>4841</v>
      </c>
      <c r="J13576" t="s">
        <v>9</v>
      </c>
      <c r="K13576">
        <v>3731.01</v>
      </c>
      <c r="L13576">
        <v>3.48</v>
      </c>
      <c r="M13576">
        <v>17972</v>
      </c>
      <c r="N13576" t="s">
        <v>28</v>
      </c>
      <c r="O13576">
        <v>250401</v>
      </c>
      <c r="P13576">
        <v>13.66</v>
      </c>
    </row>
    <row r="13577" spans="1:16" x14ac:dyDescent="0.25">
      <c r="A13577" t="s">
        <v>3296</v>
      </c>
      <c r="B13577" t="s">
        <v>2931</v>
      </c>
      <c r="C13577">
        <v>3783</v>
      </c>
      <c r="D13577" t="str">
        <f t="shared" si="201"/>
        <v>9687194-6/19</v>
      </c>
      <c r="E13577" t="s">
        <v>2814</v>
      </c>
      <c r="F13577" t="s">
        <v>2815</v>
      </c>
      <c r="G13577">
        <v>114.95</v>
      </c>
      <c r="H13577">
        <v>250401</v>
      </c>
      <c r="I13577">
        <v>4841</v>
      </c>
      <c r="J13577" t="s">
        <v>9</v>
      </c>
      <c r="K13577">
        <v>3731.01</v>
      </c>
      <c r="L13577">
        <v>23.36</v>
      </c>
      <c r="M13577">
        <v>17975</v>
      </c>
      <c r="N13577" t="s">
        <v>29</v>
      </c>
      <c r="O13577">
        <v>250401</v>
      </c>
      <c r="P13577">
        <v>91.59</v>
      </c>
    </row>
    <row r="13578" spans="1:16" x14ac:dyDescent="0.25">
      <c r="A13578" t="s">
        <v>3296</v>
      </c>
      <c r="B13578" t="s">
        <v>2931</v>
      </c>
      <c r="C13578">
        <v>3787</v>
      </c>
      <c r="D13578" t="str">
        <f t="shared" ref="D13578:D13597" si="202">"687194-19/19"</f>
        <v>687194-19/19</v>
      </c>
      <c r="E13578" t="s">
        <v>2814</v>
      </c>
      <c r="F13578" t="s">
        <v>2815</v>
      </c>
      <c r="G13578">
        <v>90.33</v>
      </c>
      <c r="H13578">
        <v>250401</v>
      </c>
      <c r="I13578">
        <v>4841</v>
      </c>
      <c r="J13578" t="s">
        <v>9</v>
      </c>
      <c r="K13578">
        <v>4057.61</v>
      </c>
      <c r="L13578">
        <v>18.350000000000001</v>
      </c>
      <c r="M13578">
        <v>54222</v>
      </c>
      <c r="N13578" t="s">
        <v>48</v>
      </c>
      <c r="O13578">
        <v>250401</v>
      </c>
      <c r="P13578">
        <v>71.98</v>
      </c>
    </row>
    <row r="13579" spans="1:16" x14ac:dyDescent="0.25">
      <c r="A13579" t="s">
        <v>3296</v>
      </c>
      <c r="B13579" t="s">
        <v>2931</v>
      </c>
      <c r="C13579">
        <v>3787</v>
      </c>
      <c r="D13579" t="str">
        <f t="shared" si="202"/>
        <v>687194-19/19</v>
      </c>
      <c r="E13579" t="s">
        <v>2814</v>
      </c>
      <c r="F13579" t="s">
        <v>2815</v>
      </c>
      <c r="G13579">
        <v>162.30000000000001</v>
      </c>
      <c r="H13579">
        <v>250401</v>
      </c>
      <c r="I13579">
        <v>4841</v>
      </c>
      <c r="J13579" t="s">
        <v>9</v>
      </c>
      <c r="K13579">
        <v>4057.61</v>
      </c>
      <c r="L13579">
        <v>32.979999999999997</v>
      </c>
      <c r="M13579">
        <v>54222</v>
      </c>
      <c r="N13579" t="s">
        <v>48</v>
      </c>
      <c r="O13579">
        <v>250401</v>
      </c>
      <c r="P13579">
        <v>129.32</v>
      </c>
    </row>
    <row r="13580" spans="1:16" x14ac:dyDescent="0.25">
      <c r="A13580" t="s">
        <v>3296</v>
      </c>
      <c r="B13580" t="s">
        <v>2931</v>
      </c>
      <c r="C13580">
        <v>3787</v>
      </c>
      <c r="D13580" t="str">
        <f t="shared" si="202"/>
        <v>687194-19/19</v>
      </c>
      <c r="E13580" t="s">
        <v>2814</v>
      </c>
      <c r="F13580" t="s">
        <v>2815</v>
      </c>
      <c r="G13580">
        <v>302.12</v>
      </c>
      <c r="H13580">
        <v>250401</v>
      </c>
      <c r="I13580">
        <v>4841</v>
      </c>
      <c r="J13580" t="s">
        <v>9</v>
      </c>
      <c r="K13580">
        <v>4057.61</v>
      </c>
      <c r="L13580">
        <v>61.39</v>
      </c>
      <c r="M13580">
        <v>54252</v>
      </c>
      <c r="N13580" t="s">
        <v>742</v>
      </c>
      <c r="O13580">
        <v>250401</v>
      </c>
      <c r="P13580">
        <v>240.73</v>
      </c>
    </row>
    <row r="13581" spans="1:16" x14ac:dyDescent="0.25">
      <c r="A13581" t="s">
        <v>3296</v>
      </c>
      <c r="B13581" t="s">
        <v>2931</v>
      </c>
      <c r="C13581">
        <v>3787</v>
      </c>
      <c r="D13581" t="str">
        <f t="shared" si="202"/>
        <v>687194-19/19</v>
      </c>
      <c r="E13581" t="s">
        <v>2814</v>
      </c>
      <c r="F13581" t="s">
        <v>2815</v>
      </c>
      <c r="G13581">
        <v>32.64</v>
      </c>
      <c r="H13581">
        <v>250401</v>
      </c>
      <c r="I13581">
        <v>4841</v>
      </c>
      <c r="J13581" t="s">
        <v>9</v>
      </c>
      <c r="K13581">
        <v>4057.61</v>
      </c>
      <c r="L13581">
        <v>6.63</v>
      </c>
      <c r="M13581">
        <v>54422</v>
      </c>
      <c r="N13581" t="s">
        <v>49</v>
      </c>
      <c r="O13581">
        <v>250401</v>
      </c>
      <c r="P13581">
        <v>26.01</v>
      </c>
    </row>
    <row r="13582" spans="1:16" x14ac:dyDescent="0.25">
      <c r="A13582" t="s">
        <v>3296</v>
      </c>
      <c r="B13582" t="s">
        <v>2931</v>
      </c>
      <c r="C13582">
        <v>3787</v>
      </c>
      <c r="D13582" t="str">
        <f t="shared" si="202"/>
        <v>687194-19/19</v>
      </c>
      <c r="E13582" t="s">
        <v>2814</v>
      </c>
      <c r="F13582" t="s">
        <v>2815</v>
      </c>
      <c r="G13582">
        <v>108.73</v>
      </c>
      <c r="H13582">
        <v>250401</v>
      </c>
      <c r="I13582">
        <v>4841</v>
      </c>
      <c r="J13582" t="s">
        <v>9</v>
      </c>
      <c r="K13582">
        <v>4057.61</v>
      </c>
      <c r="L13582">
        <v>22.09</v>
      </c>
      <c r="M13582">
        <v>54422</v>
      </c>
      <c r="N13582" t="s">
        <v>49</v>
      </c>
      <c r="O13582">
        <v>250401</v>
      </c>
      <c r="P13582">
        <v>86.64</v>
      </c>
    </row>
    <row r="13583" spans="1:16" x14ac:dyDescent="0.25">
      <c r="A13583" t="s">
        <v>3296</v>
      </c>
      <c r="B13583" t="s">
        <v>2931</v>
      </c>
      <c r="C13583">
        <v>3787</v>
      </c>
      <c r="D13583" t="str">
        <f t="shared" si="202"/>
        <v>687194-19/19</v>
      </c>
      <c r="E13583" t="s">
        <v>2814</v>
      </c>
      <c r="F13583" t="s">
        <v>2815</v>
      </c>
      <c r="G13583">
        <v>1022.93</v>
      </c>
      <c r="H13583">
        <v>250401</v>
      </c>
      <c r="I13583">
        <v>4841</v>
      </c>
      <c r="J13583" t="s">
        <v>9</v>
      </c>
      <c r="K13583">
        <v>4057.61</v>
      </c>
      <c r="L13583">
        <v>207.85</v>
      </c>
      <c r="M13583">
        <v>56558</v>
      </c>
      <c r="N13583" t="s">
        <v>50</v>
      </c>
      <c r="O13583">
        <v>250401</v>
      </c>
      <c r="P13583">
        <v>815.08</v>
      </c>
    </row>
    <row r="13584" spans="1:16" x14ac:dyDescent="0.25">
      <c r="A13584" t="s">
        <v>3296</v>
      </c>
      <c r="B13584" t="s">
        <v>2931</v>
      </c>
      <c r="C13584">
        <v>3787</v>
      </c>
      <c r="D13584" t="str">
        <f t="shared" si="202"/>
        <v>687194-19/19</v>
      </c>
      <c r="E13584" t="s">
        <v>2814</v>
      </c>
      <c r="F13584" t="s">
        <v>2815</v>
      </c>
      <c r="G13584">
        <v>97.93</v>
      </c>
      <c r="H13584">
        <v>250401</v>
      </c>
      <c r="I13584">
        <v>4841</v>
      </c>
      <c r="J13584" t="s">
        <v>9</v>
      </c>
      <c r="K13584">
        <v>4057.61</v>
      </c>
      <c r="L13584">
        <v>19.899999999999999</v>
      </c>
      <c r="M13584">
        <v>56559</v>
      </c>
      <c r="N13584" t="s">
        <v>51</v>
      </c>
      <c r="O13584">
        <v>250401</v>
      </c>
      <c r="P13584">
        <v>78.03</v>
      </c>
    </row>
    <row r="13585" spans="1:16" x14ac:dyDescent="0.25">
      <c r="A13585" t="s">
        <v>3296</v>
      </c>
      <c r="B13585" t="s">
        <v>2931</v>
      </c>
      <c r="C13585">
        <v>3787</v>
      </c>
      <c r="D13585" t="str">
        <f t="shared" si="202"/>
        <v>687194-19/19</v>
      </c>
      <c r="E13585" t="s">
        <v>2814</v>
      </c>
      <c r="F13585" t="s">
        <v>2815</v>
      </c>
      <c r="G13585">
        <v>506.96</v>
      </c>
      <c r="H13585">
        <v>250401</v>
      </c>
      <c r="I13585">
        <v>4841</v>
      </c>
      <c r="J13585" t="s">
        <v>9</v>
      </c>
      <c r="K13585">
        <v>4057.61</v>
      </c>
      <c r="L13585">
        <v>103.01</v>
      </c>
      <c r="M13585">
        <v>56560</v>
      </c>
      <c r="N13585" t="s">
        <v>52</v>
      </c>
      <c r="O13585">
        <v>250401</v>
      </c>
      <c r="P13585">
        <v>403.95</v>
      </c>
    </row>
    <row r="13586" spans="1:16" x14ac:dyDescent="0.25">
      <c r="A13586" t="s">
        <v>3296</v>
      </c>
      <c r="B13586" t="s">
        <v>2931</v>
      </c>
      <c r="C13586">
        <v>3787</v>
      </c>
      <c r="D13586" t="str">
        <f t="shared" si="202"/>
        <v>687194-19/19</v>
      </c>
      <c r="E13586" t="s">
        <v>2814</v>
      </c>
      <c r="F13586" t="s">
        <v>2815</v>
      </c>
      <c r="G13586">
        <v>64.83</v>
      </c>
      <c r="H13586">
        <v>250401</v>
      </c>
      <c r="I13586">
        <v>4841</v>
      </c>
      <c r="J13586" t="s">
        <v>9</v>
      </c>
      <c r="K13586">
        <v>4057.61</v>
      </c>
      <c r="L13586">
        <v>13.17</v>
      </c>
      <c r="M13586">
        <v>56564</v>
      </c>
      <c r="N13586" t="s">
        <v>56</v>
      </c>
      <c r="O13586">
        <v>250401</v>
      </c>
      <c r="P13586">
        <v>51.66</v>
      </c>
    </row>
    <row r="13587" spans="1:16" x14ac:dyDescent="0.25">
      <c r="A13587" t="s">
        <v>3296</v>
      </c>
      <c r="B13587" t="s">
        <v>2931</v>
      </c>
      <c r="C13587">
        <v>3787</v>
      </c>
      <c r="D13587" t="str">
        <f t="shared" si="202"/>
        <v>687194-19/19</v>
      </c>
      <c r="E13587" t="s">
        <v>2814</v>
      </c>
      <c r="F13587" t="s">
        <v>2815</v>
      </c>
      <c r="G13587">
        <v>52.35</v>
      </c>
      <c r="H13587">
        <v>250401</v>
      </c>
      <c r="I13587">
        <v>4841</v>
      </c>
      <c r="J13587" t="s">
        <v>9</v>
      </c>
      <c r="K13587">
        <v>4057.61</v>
      </c>
      <c r="L13587">
        <v>10.64</v>
      </c>
      <c r="M13587">
        <v>56565</v>
      </c>
      <c r="N13587" t="s">
        <v>57</v>
      </c>
      <c r="O13587">
        <v>250401</v>
      </c>
      <c r="P13587">
        <v>41.71</v>
      </c>
    </row>
    <row r="13588" spans="1:16" x14ac:dyDescent="0.25">
      <c r="A13588" t="s">
        <v>3296</v>
      </c>
      <c r="B13588" t="s">
        <v>2931</v>
      </c>
      <c r="C13588">
        <v>3787</v>
      </c>
      <c r="D13588" t="str">
        <f t="shared" si="202"/>
        <v>687194-19/19</v>
      </c>
      <c r="E13588" t="s">
        <v>2814</v>
      </c>
      <c r="F13588" t="s">
        <v>2815</v>
      </c>
      <c r="G13588">
        <v>950.6</v>
      </c>
      <c r="H13588">
        <v>250401</v>
      </c>
      <c r="I13588">
        <v>4841</v>
      </c>
      <c r="J13588" t="s">
        <v>9</v>
      </c>
      <c r="K13588">
        <v>4057.61</v>
      </c>
      <c r="L13588">
        <v>193.15</v>
      </c>
      <c r="M13588">
        <v>56566</v>
      </c>
      <c r="N13588" t="s">
        <v>58</v>
      </c>
      <c r="O13588">
        <v>250401</v>
      </c>
      <c r="P13588">
        <v>757.45</v>
      </c>
    </row>
    <row r="13589" spans="1:16" x14ac:dyDescent="0.25">
      <c r="A13589" t="s">
        <v>3296</v>
      </c>
      <c r="B13589" t="s">
        <v>2931</v>
      </c>
      <c r="C13589">
        <v>3787</v>
      </c>
      <c r="D13589" t="str">
        <f t="shared" si="202"/>
        <v>687194-19/19</v>
      </c>
      <c r="E13589" t="s">
        <v>2814</v>
      </c>
      <c r="F13589" t="s">
        <v>2815</v>
      </c>
      <c r="G13589">
        <v>31.89</v>
      </c>
      <c r="H13589">
        <v>250401</v>
      </c>
      <c r="I13589">
        <v>4841</v>
      </c>
      <c r="J13589" t="s">
        <v>9</v>
      </c>
      <c r="K13589">
        <v>4057.61</v>
      </c>
      <c r="L13589">
        <v>6.48</v>
      </c>
      <c r="M13589">
        <v>58601</v>
      </c>
      <c r="N13589" t="s">
        <v>59</v>
      </c>
      <c r="O13589">
        <v>250401</v>
      </c>
      <c r="P13589">
        <v>25.41</v>
      </c>
    </row>
    <row r="13590" spans="1:16" x14ac:dyDescent="0.25">
      <c r="A13590" t="s">
        <v>3296</v>
      </c>
      <c r="B13590" t="s">
        <v>2931</v>
      </c>
      <c r="C13590">
        <v>3787</v>
      </c>
      <c r="D13590" t="str">
        <f t="shared" si="202"/>
        <v>687194-19/19</v>
      </c>
      <c r="E13590" t="s">
        <v>2814</v>
      </c>
      <c r="F13590" t="s">
        <v>2815</v>
      </c>
      <c r="G13590">
        <v>32.64</v>
      </c>
      <c r="H13590">
        <v>250401</v>
      </c>
      <c r="I13590">
        <v>4841</v>
      </c>
      <c r="J13590" t="s">
        <v>9</v>
      </c>
      <c r="K13590">
        <v>4057.61</v>
      </c>
      <c r="L13590">
        <v>6.63</v>
      </c>
      <c r="M13590">
        <v>59111</v>
      </c>
      <c r="N13590" t="s">
        <v>60</v>
      </c>
      <c r="O13590">
        <v>250401</v>
      </c>
      <c r="P13590">
        <v>26.01</v>
      </c>
    </row>
    <row r="13591" spans="1:16" x14ac:dyDescent="0.25">
      <c r="A13591" t="s">
        <v>3296</v>
      </c>
      <c r="B13591" t="s">
        <v>2931</v>
      </c>
      <c r="C13591">
        <v>3787</v>
      </c>
      <c r="D13591" t="str">
        <f t="shared" si="202"/>
        <v>687194-19/19</v>
      </c>
      <c r="E13591" t="s">
        <v>2814</v>
      </c>
      <c r="F13591" t="s">
        <v>2815</v>
      </c>
      <c r="G13591">
        <v>32.64</v>
      </c>
      <c r="H13591">
        <v>250401</v>
      </c>
      <c r="I13591">
        <v>4841</v>
      </c>
      <c r="J13591" t="s">
        <v>9</v>
      </c>
      <c r="K13591">
        <v>4057.61</v>
      </c>
      <c r="L13591">
        <v>6.63</v>
      </c>
      <c r="M13591">
        <v>59501</v>
      </c>
      <c r="N13591" t="s">
        <v>62</v>
      </c>
      <c r="O13591">
        <v>250401</v>
      </c>
      <c r="P13591">
        <v>26.01</v>
      </c>
    </row>
    <row r="13592" spans="1:16" x14ac:dyDescent="0.25">
      <c r="A13592" t="s">
        <v>3296</v>
      </c>
      <c r="B13592" t="s">
        <v>2931</v>
      </c>
      <c r="C13592">
        <v>3787</v>
      </c>
      <c r="D13592" t="str">
        <f t="shared" si="202"/>
        <v>687194-19/19</v>
      </c>
      <c r="E13592" t="s">
        <v>2814</v>
      </c>
      <c r="F13592" t="s">
        <v>2815</v>
      </c>
      <c r="G13592">
        <v>207.61</v>
      </c>
      <c r="H13592">
        <v>250401</v>
      </c>
      <c r="I13592">
        <v>4841</v>
      </c>
      <c r="J13592" t="s">
        <v>9</v>
      </c>
      <c r="K13592">
        <v>4057.61</v>
      </c>
      <c r="L13592">
        <v>42.18</v>
      </c>
      <c r="M13592">
        <v>59502</v>
      </c>
      <c r="N13592" t="s">
        <v>63</v>
      </c>
      <c r="O13592">
        <v>250401</v>
      </c>
      <c r="P13592">
        <v>165.43</v>
      </c>
    </row>
    <row r="13593" spans="1:16" x14ac:dyDescent="0.25">
      <c r="A13593" t="s">
        <v>3296</v>
      </c>
      <c r="B13593" t="s">
        <v>2931</v>
      </c>
      <c r="C13593">
        <v>3787</v>
      </c>
      <c r="D13593" t="str">
        <f t="shared" si="202"/>
        <v>687194-19/19</v>
      </c>
      <c r="E13593" t="s">
        <v>2814</v>
      </c>
      <c r="F13593" t="s">
        <v>2815</v>
      </c>
      <c r="G13593">
        <v>66.92</v>
      </c>
      <c r="H13593">
        <v>250401</v>
      </c>
      <c r="I13593">
        <v>4841</v>
      </c>
      <c r="J13593" t="s">
        <v>9</v>
      </c>
      <c r="K13593">
        <v>4057.61</v>
      </c>
      <c r="L13593">
        <v>13.6</v>
      </c>
      <c r="M13593">
        <v>59701</v>
      </c>
      <c r="N13593" t="s">
        <v>64</v>
      </c>
      <c r="O13593">
        <v>250401</v>
      </c>
      <c r="P13593">
        <v>53.32</v>
      </c>
    </row>
    <row r="13594" spans="1:16" x14ac:dyDescent="0.25">
      <c r="A13594" t="s">
        <v>3296</v>
      </c>
      <c r="B13594" t="s">
        <v>2931</v>
      </c>
      <c r="C13594">
        <v>3787</v>
      </c>
      <c r="D13594" t="str">
        <f t="shared" si="202"/>
        <v>687194-19/19</v>
      </c>
      <c r="E13594" t="s">
        <v>2814</v>
      </c>
      <c r="F13594" t="s">
        <v>2815</v>
      </c>
      <c r="G13594">
        <v>57.13</v>
      </c>
      <c r="H13594">
        <v>250401</v>
      </c>
      <c r="I13594">
        <v>4841</v>
      </c>
      <c r="J13594" t="s">
        <v>9</v>
      </c>
      <c r="K13594">
        <v>4057.61</v>
      </c>
      <c r="L13594">
        <v>11.61</v>
      </c>
      <c r="M13594">
        <v>59702</v>
      </c>
      <c r="N13594" t="s">
        <v>45</v>
      </c>
      <c r="O13594">
        <v>250401</v>
      </c>
      <c r="P13594">
        <v>45.52</v>
      </c>
    </row>
    <row r="13595" spans="1:16" x14ac:dyDescent="0.25">
      <c r="A13595" t="s">
        <v>3296</v>
      </c>
      <c r="B13595" t="s">
        <v>2931</v>
      </c>
      <c r="C13595">
        <v>3787</v>
      </c>
      <c r="D13595" t="str">
        <f t="shared" si="202"/>
        <v>687194-19/19</v>
      </c>
      <c r="E13595" t="s">
        <v>2814</v>
      </c>
      <c r="F13595" t="s">
        <v>2815</v>
      </c>
      <c r="G13595">
        <v>132.01</v>
      </c>
      <c r="H13595">
        <v>250401</v>
      </c>
      <c r="I13595">
        <v>4841</v>
      </c>
      <c r="J13595" t="s">
        <v>9</v>
      </c>
      <c r="K13595">
        <v>4057.61</v>
      </c>
      <c r="L13595">
        <v>26.82</v>
      </c>
      <c r="M13595">
        <v>59702</v>
      </c>
      <c r="N13595" t="s">
        <v>45</v>
      </c>
      <c r="O13595">
        <v>250401</v>
      </c>
      <c r="P13595">
        <v>105.19</v>
      </c>
    </row>
    <row r="13596" spans="1:16" x14ac:dyDescent="0.25">
      <c r="A13596" t="s">
        <v>3296</v>
      </c>
      <c r="B13596" t="s">
        <v>2931</v>
      </c>
      <c r="C13596">
        <v>3787</v>
      </c>
      <c r="D13596" t="str">
        <f t="shared" si="202"/>
        <v>687194-19/19</v>
      </c>
      <c r="E13596" t="s">
        <v>2814</v>
      </c>
      <c r="F13596" t="s">
        <v>2815</v>
      </c>
      <c r="G13596">
        <v>60.85</v>
      </c>
      <c r="H13596">
        <v>250401</v>
      </c>
      <c r="I13596">
        <v>4841</v>
      </c>
      <c r="J13596" t="s">
        <v>9</v>
      </c>
      <c r="K13596">
        <v>4057.61</v>
      </c>
      <c r="L13596">
        <v>12.36</v>
      </c>
      <c r="M13596">
        <v>59704</v>
      </c>
      <c r="N13596" t="s">
        <v>46</v>
      </c>
      <c r="O13596">
        <v>250401</v>
      </c>
      <c r="P13596">
        <v>48.49</v>
      </c>
    </row>
    <row r="13597" spans="1:16" x14ac:dyDescent="0.25">
      <c r="A13597" t="s">
        <v>3296</v>
      </c>
      <c r="B13597" t="s">
        <v>2931</v>
      </c>
      <c r="C13597">
        <v>3787</v>
      </c>
      <c r="D13597" t="str">
        <f t="shared" si="202"/>
        <v>687194-19/19</v>
      </c>
      <c r="E13597" t="s">
        <v>2814</v>
      </c>
      <c r="F13597" t="s">
        <v>2815</v>
      </c>
      <c r="G13597">
        <v>44.2</v>
      </c>
      <c r="H13597">
        <v>250401</v>
      </c>
      <c r="I13597">
        <v>4841</v>
      </c>
      <c r="J13597" t="s">
        <v>9</v>
      </c>
      <c r="K13597">
        <v>4057.61</v>
      </c>
      <c r="L13597">
        <v>8.98</v>
      </c>
      <c r="M13597">
        <v>59815</v>
      </c>
      <c r="N13597" t="s">
        <v>1001</v>
      </c>
      <c r="O13597">
        <v>250401</v>
      </c>
      <c r="P13597">
        <v>35.22</v>
      </c>
    </row>
    <row r="13598" spans="1:16" x14ac:dyDescent="0.25">
      <c r="A13598" t="s">
        <v>3296</v>
      </c>
      <c r="B13598" t="s">
        <v>2931</v>
      </c>
      <c r="C13598">
        <v>3794</v>
      </c>
      <c r="D13598" t="str">
        <f>"687194-17/19"</f>
        <v>687194-17/19</v>
      </c>
      <c r="E13598" t="s">
        <v>2814</v>
      </c>
      <c r="F13598" t="s">
        <v>2815</v>
      </c>
      <c r="G13598">
        <v>65.84</v>
      </c>
      <c r="H13598">
        <v>250401</v>
      </c>
      <c r="I13598">
        <v>4841</v>
      </c>
      <c r="J13598" t="s">
        <v>9</v>
      </c>
      <c r="K13598">
        <v>383.76</v>
      </c>
      <c r="L13598">
        <v>13.38</v>
      </c>
      <c r="M13598">
        <v>56522</v>
      </c>
      <c r="N13598" t="s">
        <v>68</v>
      </c>
      <c r="O13598">
        <v>250401</v>
      </c>
      <c r="P13598">
        <v>52.46</v>
      </c>
    </row>
    <row r="13599" spans="1:16" x14ac:dyDescent="0.25">
      <c r="A13599" t="s">
        <v>3296</v>
      </c>
      <c r="B13599" t="s">
        <v>2931</v>
      </c>
      <c r="C13599">
        <v>3794</v>
      </c>
      <c r="D13599" t="str">
        <f>"687194-17/19"</f>
        <v>687194-17/19</v>
      </c>
      <c r="E13599" t="s">
        <v>2814</v>
      </c>
      <c r="F13599" t="s">
        <v>2815</v>
      </c>
      <c r="G13599">
        <v>188.74</v>
      </c>
      <c r="H13599">
        <v>250401</v>
      </c>
      <c r="I13599">
        <v>4841</v>
      </c>
      <c r="J13599" t="s">
        <v>9</v>
      </c>
      <c r="K13599">
        <v>383.76</v>
      </c>
      <c r="L13599">
        <v>38.35</v>
      </c>
      <c r="M13599">
        <v>56524</v>
      </c>
      <c r="N13599" t="s">
        <v>69</v>
      </c>
      <c r="O13599">
        <v>250401</v>
      </c>
      <c r="P13599">
        <v>150.38999999999999</v>
      </c>
    </row>
    <row r="13600" spans="1:16" x14ac:dyDescent="0.25">
      <c r="A13600" t="s">
        <v>3296</v>
      </c>
      <c r="B13600" t="s">
        <v>2931</v>
      </c>
      <c r="C13600">
        <v>3794</v>
      </c>
      <c r="D13600" t="str">
        <f>"687194-17/19"</f>
        <v>687194-17/19</v>
      </c>
      <c r="E13600" t="s">
        <v>2814</v>
      </c>
      <c r="F13600" t="s">
        <v>2815</v>
      </c>
      <c r="G13600">
        <v>32.64</v>
      </c>
      <c r="H13600">
        <v>250401</v>
      </c>
      <c r="I13600">
        <v>4841</v>
      </c>
      <c r="J13600" t="s">
        <v>9</v>
      </c>
      <c r="K13600">
        <v>383.76</v>
      </c>
      <c r="L13600">
        <v>6.63</v>
      </c>
      <c r="M13600">
        <v>56528</v>
      </c>
      <c r="N13600" t="s">
        <v>70</v>
      </c>
      <c r="O13600">
        <v>250401</v>
      </c>
      <c r="P13600">
        <v>26.01</v>
      </c>
    </row>
    <row r="13601" spans="1:16" x14ac:dyDescent="0.25">
      <c r="A13601" t="s">
        <v>3296</v>
      </c>
      <c r="B13601" t="s">
        <v>2931</v>
      </c>
      <c r="C13601">
        <v>3794</v>
      </c>
      <c r="D13601" t="str">
        <f>"687194-17/19"</f>
        <v>687194-17/19</v>
      </c>
      <c r="E13601" t="s">
        <v>2814</v>
      </c>
      <c r="F13601" t="s">
        <v>2815</v>
      </c>
      <c r="G13601">
        <v>88.4</v>
      </c>
      <c r="H13601">
        <v>250401</v>
      </c>
      <c r="I13601">
        <v>4841</v>
      </c>
      <c r="J13601" t="s">
        <v>9</v>
      </c>
      <c r="K13601">
        <v>383.76</v>
      </c>
      <c r="L13601">
        <v>17.96</v>
      </c>
      <c r="M13601">
        <v>56528</v>
      </c>
      <c r="N13601" t="s">
        <v>70</v>
      </c>
      <c r="O13601">
        <v>250401</v>
      </c>
      <c r="P13601">
        <v>70.44</v>
      </c>
    </row>
    <row r="13602" spans="1:16" x14ac:dyDescent="0.25">
      <c r="A13602" t="s">
        <v>3296</v>
      </c>
      <c r="B13602" t="s">
        <v>2931</v>
      </c>
      <c r="C13602">
        <v>3794</v>
      </c>
      <c r="D13602" t="str">
        <f>"687194-17/19"</f>
        <v>687194-17/19</v>
      </c>
      <c r="E13602" t="s">
        <v>2814</v>
      </c>
      <c r="F13602" t="s">
        <v>2815</v>
      </c>
      <c r="G13602">
        <v>8.14</v>
      </c>
      <c r="H13602">
        <v>250401</v>
      </c>
      <c r="I13602">
        <v>4841</v>
      </c>
      <c r="J13602" t="s">
        <v>9</v>
      </c>
      <c r="K13602">
        <v>383.76</v>
      </c>
      <c r="L13602">
        <v>1.65</v>
      </c>
      <c r="M13602">
        <v>59704</v>
      </c>
      <c r="N13602" t="s">
        <v>46</v>
      </c>
      <c r="O13602">
        <v>250401</v>
      </c>
      <c r="P13602">
        <v>6.49</v>
      </c>
    </row>
    <row r="13603" spans="1:16" x14ac:dyDescent="0.25">
      <c r="A13603" t="s">
        <v>3296</v>
      </c>
      <c r="B13603" t="s">
        <v>2931</v>
      </c>
      <c r="C13603">
        <v>3796</v>
      </c>
      <c r="D13603" t="str">
        <f>"687194-14/19"</f>
        <v>687194-14/19</v>
      </c>
      <c r="E13603" t="s">
        <v>2814</v>
      </c>
      <c r="F13603" t="s">
        <v>2815</v>
      </c>
      <c r="G13603">
        <v>779.78</v>
      </c>
      <c r="H13603">
        <v>250401</v>
      </c>
      <c r="I13603">
        <v>4841</v>
      </c>
      <c r="J13603" t="s">
        <v>9</v>
      </c>
      <c r="K13603">
        <v>930.84</v>
      </c>
      <c r="L13603">
        <v>158.44</v>
      </c>
      <c r="M13603">
        <v>13801</v>
      </c>
      <c r="N13603" t="s">
        <v>33</v>
      </c>
      <c r="O13603">
        <v>250401</v>
      </c>
      <c r="P13603">
        <v>621.34</v>
      </c>
    </row>
    <row r="13604" spans="1:16" x14ac:dyDescent="0.25">
      <c r="A13604" t="s">
        <v>3296</v>
      </c>
      <c r="B13604" t="s">
        <v>2931</v>
      </c>
      <c r="C13604">
        <v>3796</v>
      </c>
      <c r="D13604" t="str">
        <f>"687194-14/19"</f>
        <v>687194-14/19</v>
      </c>
      <c r="E13604" t="s">
        <v>2814</v>
      </c>
      <c r="F13604" t="s">
        <v>2815</v>
      </c>
      <c r="G13604">
        <v>150.84</v>
      </c>
      <c r="H13604">
        <v>250401</v>
      </c>
      <c r="I13604">
        <v>4841</v>
      </c>
      <c r="J13604" t="s">
        <v>9</v>
      </c>
      <c r="K13604">
        <v>930.84</v>
      </c>
      <c r="L13604">
        <v>30.65</v>
      </c>
      <c r="M13604">
        <v>13802</v>
      </c>
      <c r="N13604" t="s">
        <v>34</v>
      </c>
      <c r="O13604">
        <v>250401</v>
      </c>
      <c r="P13604">
        <v>120.19</v>
      </c>
    </row>
    <row r="13605" spans="1:16" x14ac:dyDescent="0.25">
      <c r="A13605" t="s">
        <v>3296</v>
      </c>
      <c r="B13605" t="s">
        <v>2931</v>
      </c>
      <c r="C13605">
        <v>3798</v>
      </c>
      <c r="D13605" t="str">
        <f>"687194-10/19"</f>
        <v>687194-10/19</v>
      </c>
      <c r="E13605" t="s">
        <v>2814</v>
      </c>
      <c r="F13605" t="s">
        <v>2815</v>
      </c>
      <c r="G13605">
        <v>21.07</v>
      </c>
      <c r="H13605">
        <v>250401</v>
      </c>
      <c r="I13605">
        <v>4841</v>
      </c>
      <c r="J13605" t="s">
        <v>9</v>
      </c>
      <c r="K13605">
        <v>331.27</v>
      </c>
      <c r="L13605">
        <v>4.28</v>
      </c>
      <c r="M13605">
        <v>11301</v>
      </c>
      <c r="N13605" t="s">
        <v>92</v>
      </c>
      <c r="O13605">
        <v>250401</v>
      </c>
      <c r="P13605">
        <v>16.79</v>
      </c>
    </row>
    <row r="13606" spans="1:16" x14ac:dyDescent="0.25">
      <c r="A13606" t="s">
        <v>3296</v>
      </c>
      <c r="B13606" t="s">
        <v>2931</v>
      </c>
      <c r="C13606">
        <v>3798</v>
      </c>
      <c r="D13606" t="str">
        <f>"687194-10/19"</f>
        <v>687194-10/19</v>
      </c>
      <c r="E13606" t="s">
        <v>2814</v>
      </c>
      <c r="F13606" t="s">
        <v>2815</v>
      </c>
      <c r="G13606">
        <v>8.14</v>
      </c>
      <c r="H13606">
        <v>250401</v>
      </c>
      <c r="I13606">
        <v>4841</v>
      </c>
      <c r="J13606" t="s">
        <v>9</v>
      </c>
      <c r="K13606">
        <v>331.27</v>
      </c>
      <c r="L13606">
        <v>1.65</v>
      </c>
      <c r="M13606">
        <v>11900</v>
      </c>
      <c r="N13606" t="s">
        <v>30</v>
      </c>
      <c r="O13606">
        <v>250401</v>
      </c>
      <c r="P13606">
        <v>6.49</v>
      </c>
    </row>
    <row r="13607" spans="1:16" x14ac:dyDescent="0.25">
      <c r="A13607" t="s">
        <v>3296</v>
      </c>
      <c r="B13607" t="s">
        <v>2931</v>
      </c>
      <c r="C13607">
        <v>3798</v>
      </c>
      <c r="D13607" t="str">
        <f>"687194-10/19"</f>
        <v>687194-10/19</v>
      </c>
      <c r="E13607" t="s">
        <v>2814</v>
      </c>
      <c r="F13607" t="s">
        <v>2815</v>
      </c>
      <c r="G13607">
        <v>8.14</v>
      </c>
      <c r="H13607">
        <v>250401</v>
      </c>
      <c r="I13607">
        <v>4841</v>
      </c>
      <c r="J13607" t="s">
        <v>9</v>
      </c>
      <c r="K13607">
        <v>331.27</v>
      </c>
      <c r="L13607">
        <v>1.65</v>
      </c>
      <c r="M13607">
        <v>17538</v>
      </c>
      <c r="N13607" t="s">
        <v>129</v>
      </c>
      <c r="O13607">
        <v>250401</v>
      </c>
      <c r="P13607">
        <v>6.49</v>
      </c>
    </row>
    <row r="13608" spans="1:16" x14ac:dyDescent="0.25">
      <c r="A13608" t="s">
        <v>3296</v>
      </c>
      <c r="B13608" t="s">
        <v>2931</v>
      </c>
      <c r="C13608">
        <v>3798</v>
      </c>
      <c r="D13608" t="str">
        <f>"687194-10/19"</f>
        <v>687194-10/19</v>
      </c>
      <c r="E13608" t="s">
        <v>2814</v>
      </c>
      <c r="F13608" t="s">
        <v>2815</v>
      </c>
      <c r="G13608">
        <v>272.39999999999998</v>
      </c>
      <c r="H13608">
        <v>250401</v>
      </c>
      <c r="I13608">
        <v>4841</v>
      </c>
      <c r="J13608" t="s">
        <v>9</v>
      </c>
      <c r="K13608">
        <v>331.27</v>
      </c>
      <c r="L13608">
        <v>55.35</v>
      </c>
      <c r="M13608">
        <v>17950</v>
      </c>
      <c r="N13608" t="s">
        <v>132</v>
      </c>
      <c r="O13608">
        <v>250401</v>
      </c>
      <c r="P13608">
        <v>217.05</v>
      </c>
    </row>
    <row r="13609" spans="1:16" x14ac:dyDescent="0.25">
      <c r="A13609" t="s">
        <v>3296</v>
      </c>
      <c r="B13609" t="s">
        <v>2931</v>
      </c>
      <c r="C13609">
        <v>3798</v>
      </c>
      <c r="D13609" t="str">
        <f>"687194-10/19"</f>
        <v>687194-10/19</v>
      </c>
      <c r="E13609" t="s">
        <v>2814</v>
      </c>
      <c r="F13609" t="s">
        <v>2815</v>
      </c>
      <c r="G13609">
        <v>21.52</v>
      </c>
      <c r="H13609">
        <v>250401</v>
      </c>
      <c r="I13609">
        <v>4841</v>
      </c>
      <c r="J13609" t="s">
        <v>9</v>
      </c>
      <c r="K13609">
        <v>331.27</v>
      </c>
      <c r="L13609">
        <v>4.37</v>
      </c>
      <c r="M13609">
        <v>17972</v>
      </c>
      <c r="N13609" t="s">
        <v>28</v>
      </c>
      <c r="O13609">
        <v>250401</v>
      </c>
      <c r="P13609">
        <v>17.149999999999999</v>
      </c>
    </row>
    <row r="13610" spans="1:16" x14ac:dyDescent="0.25">
      <c r="A13610" t="s">
        <v>3296</v>
      </c>
      <c r="B13610" t="s">
        <v>2931</v>
      </c>
      <c r="C13610">
        <v>8853</v>
      </c>
      <c r="D13610" t="str">
        <f>"707522-14/19"</f>
        <v>707522-14/19</v>
      </c>
      <c r="E13610" t="s">
        <v>2814</v>
      </c>
      <c r="F13610" t="s">
        <v>2815</v>
      </c>
      <c r="G13610">
        <v>756.04</v>
      </c>
      <c r="H13610">
        <v>250701</v>
      </c>
      <c r="I13610">
        <v>4841</v>
      </c>
      <c r="J13610" t="s">
        <v>9</v>
      </c>
      <c r="K13610">
        <v>906.88</v>
      </c>
      <c r="L13610">
        <v>153.62</v>
      </c>
      <c r="M13610">
        <v>13801</v>
      </c>
      <c r="N13610" t="s">
        <v>33</v>
      </c>
      <c r="O13610">
        <v>250618</v>
      </c>
      <c r="P13610">
        <v>602.41999999999996</v>
      </c>
    </row>
    <row r="13611" spans="1:16" x14ac:dyDescent="0.25">
      <c r="A13611" t="s">
        <v>3296</v>
      </c>
      <c r="B13611" t="s">
        <v>2931</v>
      </c>
      <c r="C13611">
        <v>8853</v>
      </c>
      <c r="D13611" t="str">
        <f>"707522-14/19"</f>
        <v>707522-14/19</v>
      </c>
      <c r="E13611" t="s">
        <v>2814</v>
      </c>
      <c r="F13611" t="s">
        <v>2815</v>
      </c>
      <c r="G13611">
        <v>150.84</v>
      </c>
      <c r="H13611">
        <v>250701</v>
      </c>
      <c r="I13611">
        <v>4841</v>
      </c>
      <c r="J13611" t="s">
        <v>9</v>
      </c>
      <c r="K13611">
        <v>906.88</v>
      </c>
      <c r="L13611">
        <v>30.65</v>
      </c>
      <c r="M13611">
        <v>13802</v>
      </c>
      <c r="N13611" t="s">
        <v>34</v>
      </c>
      <c r="O13611">
        <v>250618</v>
      </c>
      <c r="P13611">
        <v>120.19</v>
      </c>
    </row>
    <row r="13612" spans="1:16" x14ac:dyDescent="0.25">
      <c r="A13612" t="s">
        <v>3296</v>
      </c>
      <c r="B13612" t="s">
        <v>2931</v>
      </c>
      <c r="C13612">
        <v>8856</v>
      </c>
      <c r="D13612" t="str">
        <f t="shared" ref="D13612:D13620" si="203">"0707522-6/19"</f>
        <v>0707522-6/19</v>
      </c>
      <c r="E13612" t="s">
        <v>2814</v>
      </c>
      <c r="F13612" t="s">
        <v>2815</v>
      </c>
      <c r="G13612">
        <v>8.14</v>
      </c>
      <c r="H13612">
        <v>250701</v>
      </c>
      <c r="I13612">
        <v>4841</v>
      </c>
      <c r="J13612" t="s">
        <v>9</v>
      </c>
      <c r="K13612">
        <v>1494.41</v>
      </c>
      <c r="L13612">
        <v>1.65</v>
      </c>
      <c r="M13612">
        <v>16930</v>
      </c>
      <c r="N13612" t="s">
        <v>135</v>
      </c>
      <c r="O13612">
        <v>250618</v>
      </c>
      <c r="P13612">
        <v>6.49</v>
      </c>
    </row>
    <row r="13613" spans="1:16" x14ac:dyDescent="0.25">
      <c r="A13613" t="s">
        <v>3296</v>
      </c>
      <c r="B13613" t="s">
        <v>2931</v>
      </c>
      <c r="C13613">
        <v>8856</v>
      </c>
      <c r="D13613" t="str">
        <f t="shared" si="203"/>
        <v>0707522-6/19</v>
      </c>
      <c r="E13613" t="s">
        <v>2814</v>
      </c>
      <c r="F13613" t="s">
        <v>2815</v>
      </c>
      <c r="G13613">
        <v>58.63</v>
      </c>
      <c r="H13613">
        <v>250701</v>
      </c>
      <c r="I13613">
        <v>4841</v>
      </c>
      <c r="J13613" t="s">
        <v>9</v>
      </c>
      <c r="K13613">
        <v>1494.41</v>
      </c>
      <c r="L13613">
        <v>11.91</v>
      </c>
      <c r="M13613">
        <v>17523</v>
      </c>
      <c r="N13613" t="s">
        <v>138</v>
      </c>
      <c r="O13613">
        <v>250618</v>
      </c>
      <c r="P13613">
        <v>46.72</v>
      </c>
    </row>
    <row r="13614" spans="1:16" x14ac:dyDescent="0.25">
      <c r="A13614" t="s">
        <v>3296</v>
      </c>
      <c r="B13614" t="s">
        <v>2931</v>
      </c>
      <c r="C13614">
        <v>8856</v>
      </c>
      <c r="D13614" t="str">
        <f t="shared" si="203"/>
        <v>0707522-6/19</v>
      </c>
      <c r="E13614" t="s">
        <v>2814</v>
      </c>
      <c r="F13614" t="s">
        <v>2815</v>
      </c>
      <c r="G13614">
        <v>139.58000000000001</v>
      </c>
      <c r="H13614">
        <v>250701</v>
      </c>
      <c r="I13614">
        <v>4841</v>
      </c>
      <c r="J13614" t="s">
        <v>9</v>
      </c>
      <c r="K13614">
        <v>1494.41</v>
      </c>
      <c r="L13614">
        <v>28.36</v>
      </c>
      <c r="M13614">
        <v>17525</v>
      </c>
      <c r="N13614" t="s">
        <v>140</v>
      </c>
      <c r="O13614">
        <v>250618</v>
      </c>
      <c r="P13614">
        <v>111.22</v>
      </c>
    </row>
    <row r="13615" spans="1:16" x14ac:dyDescent="0.25">
      <c r="A13615" t="s">
        <v>3296</v>
      </c>
      <c r="B13615" t="s">
        <v>2931</v>
      </c>
      <c r="C13615">
        <v>8856</v>
      </c>
      <c r="D13615" t="str">
        <f t="shared" si="203"/>
        <v>0707522-6/19</v>
      </c>
      <c r="E13615" t="s">
        <v>2814</v>
      </c>
      <c r="F13615" t="s">
        <v>2815</v>
      </c>
      <c r="G13615">
        <v>33.83</v>
      </c>
      <c r="H13615">
        <v>250701</v>
      </c>
      <c r="I13615">
        <v>4841</v>
      </c>
      <c r="J13615" t="s">
        <v>9</v>
      </c>
      <c r="K13615">
        <v>1494.41</v>
      </c>
      <c r="L13615">
        <v>6.87</v>
      </c>
      <c r="M13615">
        <v>17529</v>
      </c>
      <c r="N13615" t="s">
        <v>143</v>
      </c>
      <c r="O13615">
        <v>250618</v>
      </c>
      <c r="P13615">
        <v>26.96</v>
      </c>
    </row>
    <row r="13616" spans="1:16" x14ac:dyDescent="0.25">
      <c r="A13616" t="s">
        <v>3296</v>
      </c>
      <c r="B13616" t="s">
        <v>2931</v>
      </c>
      <c r="C13616">
        <v>8856</v>
      </c>
      <c r="D13616" t="str">
        <f t="shared" si="203"/>
        <v>0707522-6/19</v>
      </c>
      <c r="E13616" t="s">
        <v>2814</v>
      </c>
      <c r="F13616" t="s">
        <v>2815</v>
      </c>
      <c r="G13616">
        <v>944.5</v>
      </c>
      <c r="H13616">
        <v>250701</v>
      </c>
      <c r="I13616">
        <v>4841</v>
      </c>
      <c r="J13616" t="s">
        <v>9</v>
      </c>
      <c r="K13616">
        <v>1494.41</v>
      </c>
      <c r="L13616">
        <v>191.91</v>
      </c>
      <c r="M13616">
        <v>17530</v>
      </c>
      <c r="N13616" t="s">
        <v>144</v>
      </c>
      <c r="O13616">
        <v>250618</v>
      </c>
      <c r="P13616">
        <v>752.59</v>
      </c>
    </row>
    <row r="13617" spans="1:16" x14ac:dyDescent="0.25">
      <c r="A13617" t="s">
        <v>3296</v>
      </c>
      <c r="B13617" t="s">
        <v>2931</v>
      </c>
      <c r="C13617">
        <v>8856</v>
      </c>
      <c r="D13617" t="str">
        <f t="shared" si="203"/>
        <v>0707522-6/19</v>
      </c>
      <c r="E13617" t="s">
        <v>2814</v>
      </c>
      <c r="F13617" t="s">
        <v>2815</v>
      </c>
      <c r="G13617">
        <v>271.45999999999998</v>
      </c>
      <c r="H13617">
        <v>250701</v>
      </c>
      <c r="I13617">
        <v>4841</v>
      </c>
      <c r="J13617" t="s">
        <v>9</v>
      </c>
      <c r="K13617">
        <v>1494.41</v>
      </c>
      <c r="L13617">
        <v>55.16</v>
      </c>
      <c r="M13617">
        <v>17537</v>
      </c>
      <c r="N13617" t="s">
        <v>151</v>
      </c>
      <c r="O13617">
        <v>250618</v>
      </c>
      <c r="P13617">
        <v>216.3</v>
      </c>
    </row>
    <row r="13618" spans="1:16" x14ac:dyDescent="0.25">
      <c r="A13618" t="s">
        <v>3296</v>
      </c>
      <c r="B13618" t="s">
        <v>2931</v>
      </c>
      <c r="C13618">
        <v>8856</v>
      </c>
      <c r="D13618" t="str">
        <f t="shared" si="203"/>
        <v>0707522-6/19</v>
      </c>
      <c r="E13618" t="s">
        <v>2814</v>
      </c>
      <c r="F13618" t="s">
        <v>2815</v>
      </c>
      <c r="G13618">
        <v>8.14</v>
      </c>
      <c r="H13618">
        <v>250701</v>
      </c>
      <c r="I13618">
        <v>4841</v>
      </c>
      <c r="J13618" t="s">
        <v>9</v>
      </c>
      <c r="K13618">
        <v>1494.41</v>
      </c>
      <c r="L13618">
        <v>1.65</v>
      </c>
      <c r="M13618">
        <v>17538</v>
      </c>
      <c r="N13618" t="s">
        <v>129</v>
      </c>
      <c r="O13618">
        <v>250618</v>
      </c>
      <c r="P13618">
        <v>6.49</v>
      </c>
    </row>
    <row r="13619" spans="1:16" x14ac:dyDescent="0.25">
      <c r="A13619" t="s">
        <v>3296</v>
      </c>
      <c r="B13619" t="s">
        <v>2931</v>
      </c>
      <c r="C13619">
        <v>8856</v>
      </c>
      <c r="D13619" t="str">
        <f t="shared" si="203"/>
        <v>0707522-6/19</v>
      </c>
      <c r="E13619" t="s">
        <v>2814</v>
      </c>
      <c r="F13619" t="s">
        <v>2815</v>
      </c>
      <c r="G13619">
        <v>12.99</v>
      </c>
      <c r="H13619">
        <v>250701</v>
      </c>
      <c r="I13619">
        <v>4841</v>
      </c>
      <c r="J13619" t="s">
        <v>9</v>
      </c>
      <c r="K13619">
        <v>1494.41</v>
      </c>
      <c r="L13619">
        <v>2.64</v>
      </c>
      <c r="M13619">
        <v>17971</v>
      </c>
      <c r="N13619" t="s">
        <v>27</v>
      </c>
      <c r="O13619">
        <v>250618</v>
      </c>
      <c r="P13619">
        <v>10.35</v>
      </c>
    </row>
    <row r="13620" spans="1:16" x14ac:dyDescent="0.25">
      <c r="A13620" t="s">
        <v>3296</v>
      </c>
      <c r="B13620" t="s">
        <v>2931</v>
      </c>
      <c r="C13620">
        <v>8856</v>
      </c>
      <c r="D13620" t="str">
        <f t="shared" si="203"/>
        <v>0707522-6/19</v>
      </c>
      <c r="E13620" t="s">
        <v>2814</v>
      </c>
      <c r="F13620" t="s">
        <v>2815</v>
      </c>
      <c r="G13620">
        <v>17.14</v>
      </c>
      <c r="H13620">
        <v>250701</v>
      </c>
      <c r="I13620">
        <v>4841</v>
      </c>
      <c r="J13620" t="s">
        <v>9</v>
      </c>
      <c r="K13620">
        <v>1494.41</v>
      </c>
      <c r="L13620">
        <v>3.48</v>
      </c>
      <c r="M13620">
        <v>17972</v>
      </c>
      <c r="N13620" t="s">
        <v>28</v>
      </c>
      <c r="O13620">
        <v>250618</v>
      </c>
      <c r="P13620">
        <v>13.66</v>
      </c>
    </row>
    <row r="13621" spans="1:16" x14ac:dyDescent="0.25">
      <c r="A13621" t="s">
        <v>3296</v>
      </c>
      <c r="B13621" t="s">
        <v>2931</v>
      </c>
      <c r="C13621">
        <v>8858</v>
      </c>
      <c r="D13621" t="str">
        <f t="shared" ref="D13621:D13635" si="204">"707522-11/19"</f>
        <v>707522-11/19</v>
      </c>
      <c r="E13621" t="s">
        <v>2814</v>
      </c>
      <c r="F13621" t="s">
        <v>2815</v>
      </c>
      <c r="G13621">
        <v>83.12</v>
      </c>
      <c r="H13621">
        <v>250701</v>
      </c>
      <c r="I13621">
        <v>4841</v>
      </c>
      <c r="J13621" t="s">
        <v>9</v>
      </c>
      <c r="K13621">
        <v>3405.14</v>
      </c>
      <c r="L13621">
        <v>16.89</v>
      </c>
      <c r="M13621">
        <v>43222</v>
      </c>
      <c r="N13621" t="s">
        <v>95</v>
      </c>
      <c r="O13621">
        <v>250618</v>
      </c>
      <c r="P13621">
        <v>66.23</v>
      </c>
    </row>
    <row r="13622" spans="1:16" x14ac:dyDescent="0.25">
      <c r="A13622" t="s">
        <v>3296</v>
      </c>
      <c r="B13622" t="s">
        <v>2931</v>
      </c>
      <c r="C13622">
        <v>8858</v>
      </c>
      <c r="D13622" t="str">
        <f t="shared" si="204"/>
        <v>707522-11/19</v>
      </c>
      <c r="E13622" t="s">
        <v>2814</v>
      </c>
      <c r="F13622" t="s">
        <v>2815</v>
      </c>
      <c r="G13622">
        <v>774.06</v>
      </c>
      <c r="H13622">
        <v>250701</v>
      </c>
      <c r="I13622">
        <v>4841</v>
      </c>
      <c r="J13622" t="s">
        <v>9</v>
      </c>
      <c r="K13622">
        <v>3405.14</v>
      </c>
      <c r="L13622">
        <v>157.28</v>
      </c>
      <c r="M13622">
        <v>44222</v>
      </c>
      <c r="N13622" t="s">
        <v>96</v>
      </c>
      <c r="O13622">
        <v>250618</v>
      </c>
      <c r="P13622">
        <v>616.78</v>
      </c>
    </row>
    <row r="13623" spans="1:16" x14ac:dyDescent="0.25">
      <c r="A13623" t="s">
        <v>3296</v>
      </c>
      <c r="B13623" t="s">
        <v>2931</v>
      </c>
      <c r="C13623">
        <v>8858</v>
      </c>
      <c r="D13623" t="str">
        <f t="shared" si="204"/>
        <v>707522-11/19</v>
      </c>
      <c r="E13623" t="s">
        <v>2814</v>
      </c>
      <c r="F13623" t="s">
        <v>2815</v>
      </c>
      <c r="G13623">
        <v>34.68</v>
      </c>
      <c r="H13623">
        <v>250701</v>
      </c>
      <c r="I13623">
        <v>4841</v>
      </c>
      <c r="J13623" t="s">
        <v>9</v>
      </c>
      <c r="K13623">
        <v>3405.14</v>
      </c>
      <c r="L13623">
        <v>7.05</v>
      </c>
      <c r="M13623">
        <v>44453</v>
      </c>
      <c r="N13623" t="s">
        <v>100</v>
      </c>
      <c r="O13623">
        <v>250618</v>
      </c>
      <c r="P13623">
        <v>27.63</v>
      </c>
    </row>
    <row r="13624" spans="1:16" x14ac:dyDescent="0.25">
      <c r="A13624" t="s">
        <v>3296</v>
      </c>
      <c r="B13624" t="s">
        <v>2931</v>
      </c>
      <c r="C13624">
        <v>8858</v>
      </c>
      <c r="D13624" t="str">
        <f t="shared" si="204"/>
        <v>707522-11/19</v>
      </c>
      <c r="E13624" t="s">
        <v>2814</v>
      </c>
      <c r="F13624" t="s">
        <v>2815</v>
      </c>
      <c r="G13624">
        <v>130.08000000000001</v>
      </c>
      <c r="H13624">
        <v>250701</v>
      </c>
      <c r="I13624">
        <v>4841</v>
      </c>
      <c r="J13624" t="s">
        <v>9</v>
      </c>
      <c r="K13624">
        <v>3405.14</v>
      </c>
      <c r="L13624">
        <v>26.43</v>
      </c>
      <c r="M13624">
        <v>46222</v>
      </c>
      <c r="N13624" t="s">
        <v>101</v>
      </c>
      <c r="O13624">
        <v>250618</v>
      </c>
      <c r="P13624">
        <v>103.65</v>
      </c>
    </row>
    <row r="13625" spans="1:16" x14ac:dyDescent="0.25">
      <c r="A13625" t="s">
        <v>3296</v>
      </c>
      <c r="B13625" t="s">
        <v>2931</v>
      </c>
      <c r="C13625">
        <v>8858</v>
      </c>
      <c r="D13625" t="str">
        <f t="shared" si="204"/>
        <v>707522-11/19</v>
      </c>
      <c r="E13625" t="s">
        <v>2814</v>
      </c>
      <c r="F13625" t="s">
        <v>2815</v>
      </c>
      <c r="G13625">
        <v>48.1</v>
      </c>
      <c r="H13625">
        <v>250701</v>
      </c>
      <c r="I13625">
        <v>4841</v>
      </c>
      <c r="J13625" t="s">
        <v>9</v>
      </c>
      <c r="K13625">
        <v>3405.14</v>
      </c>
      <c r="L13625">
        <v>9.77</v>
      </c>
      <c r="M13625">
        <v>46554</v>
      </c>
      <c r="N13625" t="s">
        <v>102</v>
      </c>
      <c r="O13625">
        <v>250618</v>
      </c>
      <c r="P13625">
        <v>38.33</v>
      </c>
    </row>
    <row r="13626" spans="1:16" x14ac:dyDescent="0.25">
      <c r="A13626" t="s">
        <v>3296</v>
      </c>
      <c r="B13626" t="s">
        <v>2931</v>
      </c>
      <c r="C13626">
        <v>8858</v>
      </c>
      <c r="D13626" t="str">
        <f t="shared" si="204"/>
        <v>707522-11/19</v>
      </c>
      <c r="E13626" t="s">
        <v>2814</v>
      </c>
      <c r="F13626" t="s">
        <v>2815</v>
      </c>
      <c r="G13626">
        <v>1188.45</v>
      </c>
      <c r="H13626">
        <v>250701</v>
      </c>
      <c r="I13626">
        <v>4841</v>
      </c>
      <c r="J13626" t="s">
        <v>9</v>
      </c>
      <c r="K13626">
        <v>3405.14</v>
      </c>
      <c r="L13626">
        <v>241.48</v>
      </c>
      <c r="M13626">
        <v>46554</v>
      </c>
      <c r="N13626" t="s">
        <v>102</v>
      </c>
      <c r="O13626">
        <v>250618</v>
      </c>
      <c r="P13626">
        <v>946.97</v>
      </c>
    </row>
    <row r="13627" spans="1:16" x14ac:dyDescent="0.25">
      <c r="A13627" t="s">
        <v>3296</v>
      </c>
      <c r="B13627" t="s">
        <v>2931</v>
      </c>
      <c r="C13627">
        <v>8858</v>
      </c>
      <c r="D13627" t="str">
        <f t="shared" si="204"/>
        <v>707522-11/19</v>
      </c>
      <c r="E13627" t="s">
        <v>2814</v>
      </c>
      <c r="F13627" t="s">
        <v>2815</v>
      </c>
      <c r="G13627">
        <v>120.51</v>
      </c>
      <c r="H13627">
        <v>250701</v>
      </c>
      <c r="I13627">
        <v>4841</v>
      </c>
      <c r="J13627" t="s">
        <v>9</v>
      </c>
      <c r="K13627">
        <v>3405.14</v>
      </c>
      <c r="L13627">
        <v>24.49</v>
      </c>
      <c r="M13627">
        <v>46555</v>
      </c>
      <c r="N13627" t="s">
        <v>103</v>
      </c>
      <c r="O13627">
        <v>250618</v>
      </c>
      <c r="P13627">
        <v>96.02</v>
      </c>
    </row>
    <row r="13628" spans="1:16" x14ac:dyDescent="0.25">
      <c r="A13628" t="s">
        <v>3296</v>
      </c>
      <c r="B13628" t="s">
        <v>2931</v>
      </c>
      <c r="C13628">
        <v>8858</v>
      </c>
      <c r="D13628" t="str">
        <f t="shared" si="204"/>
        <v>707522-11/19</v>
      </c>
      <c r="E13628" t="s">
        <v>2814</v>
      </c>
      <c r="F13628" t="s">
        <v>2815</v>
      </c>
      <c r="G13628">
        <v>33.53</v>
      </c>
      <c r="H13628">
        <v>250701</v>
      </c>
      <c r="I13628">
        <v>4841</v>
      </c>
      <c r="J13628" t="s">
        <v>9</v>
      </c>
      <c r="K13628">
        <v>3405.14</v>
      </c>
      <c r="L13628">
        <v>6.81</v>
      </c>
      <c r="M13628">
        <v>46556</v>
      </c>
      <c r="N13628" t="s">
        <v>458</v>
      </c>
      <c r="O13628">
        <v>250618</v>
      </c>
      <c r="P13628">
        <v>26.72</v>
      </c>
    </row>
    <row r="13629" spans="1:16" x14ac:dyDescent="0.25">
      <c r="A13629" t="s">
        <v>3296</v>
      </c>
      <c r="B13629" t="s">
        <v>2931</v>
      </c>
      <c r="C13629">
        <v>8858</v>
      </c>
      <c r="D13629" t="str">
        <f t="shared" si="204"/>
        <v>707522-11/19</v>
      </c>
      <c r="E13629" t="s">
        <v>2814</v>
      </c>
      <c r="F13629" t="s">
        <v>2815</v>
      </c>
      <c r="G13629">
        <v>27.47</v>
      </c>
      <c r="H13629">
        <v>250701</v>
      </c>
      <c r="I13629">
        <v>4841</v>
      </c>
      <c r="J13629" t="s">
        <v>9</v>
      </c>
      <c r="K13629">
        <v>3405.14</v>
      </c>
      <c r="L13629">
        <v>5.58</v>
      </c>
      <c r="M13629">
        <v>46557</v>
      </c>
      <c r="N13629" t="s">
        <v>104</v>
      </c>
      <c r="O13629">
        <v>250618</v>
      </c>
      <c r="P13629">
        <v>21.89</v>
      </c>
    </row>
    <row r="13630" spans="1:16" x14ac:dyDescent="0.25">
      <c r="A13630" t="s">
        <v>3296</v>
      </c>
      <c r="B13630" t="s">
        <v>2931</v>
      </c>
      <c r="C13630">
        <v>8858</v>
      </c>
      <c r="D13630" t="str">
        <f t="shared" si="204"/>
        <v>707522-11/19</v>
      </c>
      <c r="E13630" t="s">
        <v>2814</v>
      </c>
      <c r="F13630" t="s">
        <v>2815</v>
      </c>
      <c r="G13630">
        <v>54.66</v>
      </c>
      <c r="H13630">
        <v>250701</v>
      </c>
      <c r="I13630">
        <v>4841</v>
      </c>
      <c r="J13630" t="s">
        <v>9</v>
      </c>
      <c r="K13630">
        <v>3405.14</v>
      </c>
      <c r="L13630">
        <v>11.11</v>
      </c>
      <c r="M13630">
        <v>47522</v>
      </c>
      <c r="N13630" t="s">
        <v>106</v>
      </c>
      <c r="O13630">
        <v>250618</v>
      </c>
      <c r="P13630">
        <v>43.55</v>
      </c>
    </row>
    <row r="13631" spans="1:16" x14ac:dyDescent="0.25">
      <c r="A13631" t="s">
        <v>3296</v>
      </c>
      <c r="B13631" t="s">
        <v>2931</v>
      </c>
      <c r="C13631">
        <v>8858</v>
      </c>
      <c r="D13631" t="str">
        <f t="shared" si="204"/>
        <v>707522-11/19</v>
      </c>
      <c r="E13631" t="s">
        <v>2814</v>
      </c>
      <c r="F13631" t="s">
        <v>2815</v>
      </c>
      <c r="G13631">
        <v>16.690000000000001</v>
      </c>
      <c r="H13631">
        <v>250701</v>
      </c>
      <c r="I13631">
        <v>4841</v>
      </c>
      <c r="J13631" t="s">
        <v>9</v>
      </c>
      <c r="K13631">
        <v>3405.14</v>
      </c>
      <c r="L13631">
        <v>3.39</v>
      </c>
      <c r="M13631">
        <v>48601</v>
      </c>
      <c r="N13631" t="s">
        <v>107</v>
      </c>
      <c r="O13631">
        <v>250618</v>
      </c>
      <c r="P13631">
        <v>13.3</v>
      </c>
    </row>
    <row r="13632" spans="1:16" x14ac:dyDescent="0.25">
      <c r="A13632" t="s">
        <v>3296</v>
      </c>
      <c r="B13632" t="s">
        <v>2931</v>
      </c>
      <c r="C13632">
        <v>8858</v>
      </c>
      <c r="D13632" t="str">
        <f t="shared" si="204"/>
        <v>707522-11/19</v>
      </c>
      <c r="E13632" t="s">
        <v>2814</v>
      </c>
      <c r="F13632" t="s">
        <v>2815</v>
      </c>
      <c r="G13632">
        <v>23.74</v>
      </c>
      <c r="H13632">
        <v>250701</v>
      </c>
      <c r="I13632">
        <v>4841</v>
      </c>
      <c r="J13632" t="s">
        <v>9</v>
      </c>
      <c r="K13632">
        <v>3405.14</v>
      </c>
      <c r="L13632">
        <v>4.82</v>
      </c>
      <c r="M13632">
        <v>49112</v>
      </c>
      <c r="N13632" t="s">
        <v>109</v>
      </c>
      <c r="O13632">
        <v>250618</v>
      </c>
      <c r="P13632">
        <v>18.920000000000002</v>
      </c>
    </row>
    <row r="13633" spans="1:16" x14ac:dyDescent="0.25">
      <c r="A13633" t="s">
        <v>3296</v>
      </c>
      <c r="B13633" t="s">
        <v>2931</v>
      </c>
      <c r="C13633">
        <v>8858</v>
      </c>
      <c r="D13633" t="str">
        <f t="shared" si="204"/>
        <v>707522-11/19</v>
      </c>
      <c r="E13633" t="s">
        <v>2814</v>
      </c>
      <c r="F13633" t="s">
        <v>2815</v>
      </c>
      <c r="G13633">
        <v>745.43</v>
      </c>
      <c r="H13633">
        <v>250701</v>
      </c>
      <c r="I13633">
        <v>4841</v>
      </c>
      <c r="J13633" t="s">
        <v>9</v>
      </c>
      <c r="K13633">
        <v>3405.14</v>
      </c>
      <c r="L13633">
        <v>151.46</v>
      </c>
      <c r="M13633">
        <v>49501</v>
      </c>
      <c r="N13633" t="s">
        <v>110</v>
      </c>
      <c r="O13633">
        <v>250618</v>
      </c>
      <c r="P13633">
        <v>593.97</v>
      </c>
    </row>
    <row r="13634" spans="1:16" x14ac:dyDescent="0.25">
      <c r="A13634" t="s">
        <v>3296</v>
      </c>
      <c r="B13634" t="s">
        <v>2931</v>
      </c>
      <c r="C13634">
        <v>8858</v>
      </c>
      <c r="D13634" t="str">
        <f t="shared" si="204"/>
        <v>707522-11/19</v>
      </c>
      <c r="E13634" t="s">
        <v>2814</v>
      </c>
      <c r="F13634" t="s">
        <v>2815</v>
      </c>
      <c r="G13634">
        <v>67.17</v>
      </c>
      <c r="H13634">
        <v>250701</v>
      </c>
      <c r="I13634">
        <v>4841</v>
      </c>
      <c r="J13634" t="s">
        <v>9</v>
      </c>
      <c r="K13634">
        <v>3405.14</v>
      </c>
      <c r="L13634">
        <v>13.65</v>
      </c>
      <c r="M13634">
        <v>49701</v>
      </c>
      <c r="N13634" t="s">
        <v>111</v>
      </c>
      <c r="O13634">
        <v>250618</v>
      </c>
      <c r="P13634">
        <v>53.52</v>
      </c>
    </row>
    <row r="13635" spans="1:16" x14ac:dyDescent="0.25">
      <c r="A13635" t="s">
        <v>3296</v>
      </c>
      <c r="B13635" t="s">
        <v>2931</v>
      </c>
      <c r="C13635">
        <v>8858</v>
      </c>
      <c r="D13635" t="str">
        <f t="shared" si="204"/>
        <v>707522-11/19</v>
      </c>
      <c r="E13635" t="s">
        <v>2814</v>
      </c>
      <c r="F13635" t="s">
        <v>2815</v>
      </c>
      <c r="G13635">
        <v>57.45</v>
      </c>
      <c r="H13635">
        <v>250701</v>
      </c>
      <c r="I13635">
        <v>4841</v>
      </c>
      <c r="J13635" t="s">
        <v>9</v>
      </c>
      <c r="K13635">
        <v>3405.14</v>
      </c>
      <c r="L13635">
        <v>11.67</v>
      </c>
      <c r="M13635">
        <v>49702</v>
      </c>
      <c r="N13635" t="s">
        <v>112</v>
      </c>
      <c r="O13635">
        <v>250618</v>
      </c>
      <c r="P13635">
        <v>45.78</v>
      </c>
    </row>
    <row r="13636" spans="1:16" x14ac:dyDescent="0.25">
      <c r="A13636" t="s">
        <v>3296</v>
      </c>
      <c r="B13636" t="s">
        <v>2931</v>
      </c>
      <c r="C13636">
        <v>8868</v>
      </c>
      <c r="D13636" t="str">
        <f>"707522-12/19"</f>
        <v>707522-12/19</v>
      </c>
      <c r="E13636" t="s">
        <v>2814</v>
      </c>
      <c r="F13636" t="s">
        <v>2815</v>
      </c>
      <c r="G13636">
        <v>64.13</v>
      </c>
      <c r="H13636">
        <v>250701</v>
      </c>
      <c r="I13636">
        <v>4841</v>
      </c>
      <c r="J13636" t="s">
        <v>9</v>
      </c>
      <c r="K13636">
        <v>77.12</v>
      </c>
      <c r="L13636">
        <v>13.03</v>
      </c>
      <c r="M13636">
        <v>13661</v>
      </c>
      <c r="N13636" t="s">
        <v>243</v>
      </c>
      <c r="O13636">
        <v>250618</v>
      </c>
      <c r="P13636">
        <v>51.1</v>
      </c>
    </row>
    <row r="13637" spans="1:16" x14ac:dyDescent="0.25">
      <c r="A13637" t="s">
        <v>3296</v>
      </c>
      <c r="B13637" t="s">
        <v>2931</v>
      </c>
      <c r="C13637">
        <v>8868</v>
      </c>
      <c r="D13637" t="str">
        <f>"707522-12/19"</f>
        <v>707522-12/19</v>
      </c>
      <c r="E13637" t="s">
        <v>2814</v>
      </c>
      <c r="F13637" t="s">
        <v>2815</v>
      </c>
      <c r="G13637">
        <v>12.99</v>
      </c>
      <c r="H13637">
        <v>250701</v>
      </c>
      <c r="I13637">
        <v>4841</v>
      </c>
      <c r="J13637" t="s">
        <v>9</v>
      </c>
      <c r="K13637">
        <v>77.12</v>
      </c>
      <c r="L13637">
        <v>2.64</v>
      </c>
      <c r="M13637">
        <v>13801</v>
      </c>
      <c r="N13637" t="s">
        <v>33</v>
      </c>
      <c r="O13637">
        <v>250618</v>
      </c>
      <c r="P13637">
        <v>10.35</v>
      </c>
    </row>
    <row r="13638" spans="1:16" x14ac:dyDescent="0.25">
      <c r="A13638" t="s">
        <v>3296</v>
      </c>
      <c r="B13638" t="s">
        <v>2931</v>
      </c>
      <c r="C13638">
        <v>8870</v>
      </c>
      <c r="D13638" t="str">
        <f t="shared" ref="D13638:D13643" si="205">"0707522-2/19"</f>
        <v>0707522-2/19</v>
      </c>
      <c r="E13638" t="s">
        <v>2814</v>
      </c>
      <c r="F13638" t="s">
        <v>2815</v>
      </c>
      <c r="G13638">
        <v>16.55</v>
      </c>
      <c r="H13638">
        <v>250701</v>
      </c>
      <c r="I13638">
        <v>4841</v>
      </c>
      <c r="J13638" t="s">
        <v>9</v>
      </c>
      <c r="K13638">
        <v>511.74</v>
      </c>
      <c r="L13638">
        <v>3.36</v>
      </c>
      <c r="M13638">
        <v>11901</v>
      </c>
      <c r="N13638" t="s">
        <v>31</v>
      </c>
      <c r="O13638">
        <v>250618</v>
      </c>
      <c r="P13638">
        <v>13.19</v>
      </c>
    </row>
    <row r="13639" spans="1:16" x14ac:dyDescent="0.25">
      <c r="A13639" t="s">
        <v>3296</v>
      </c>
      <c r="B13639" t="s">
        <v>2931</v>
      </c>
      <c r="C13639">
        <v>8870</v>
      </c>
      <c r="D13639" t="str">
        <f t="shared" si="205"/>
        <v>0707522-2/19</v>
      </c>
      <c r="E13639" t="s">
        <v>2814</v>
      </c>
      <c r="F13639" t="s">
        <v>2815</v>
      </c>
      <c r="G13639">
        <v>33.53</v>
      </c>
      <c r="H13639">
        <v>250701</v>
      </c>
      <c r="I13639">
        <v>4841</v>
      </c>
      <c r="J13639" t="s">
        <v>9</v>
      </c>
      <c r="K13639">
        <v>511.74</v>
      </c>
      <c r="L13639">
        <v>6.81</v>
      </c>
      <c r="M13639">
        <v>11901</v>
      </c>
      <c r="N13639" t="s">
        <v>31</v>
      </c>
      <c r="O13639">
        <v>250618</v>
      </c>
      <c r="P13639">
        <v>26.72</v>
      </c>
    </row>
    <row r="13640" spans="1:16" x14ac:dyDescent="0.25">
      <c r="A13640" t="s">
        <v>3296</v>
      </c>
      <c r="B13640" t="s">
        <v>2931</v>
      </c>
      <c r="C13640">
        <v>8870</v>
      </c>
      <c r="D13640" t="str">
        <f t="shared" si="205"/>
        <v>0707522-2/19</v>
      </c>
      <c r="E13640" t="s">
        <v>2814</v>
      </c>
      <c r="F13640" t="s">
        <v>2815</v>
      </c>
      <c r="G13640">
        <v>39.96</v>
      </c>
      <c r="H13640">
        <v>250701</v>
      </c>
      <c r="I13640">
        <v>4841</v>
      </c>
      <c r="J13640" t="s">
        <v>9</v>
      </c>
      <c r="K13640">
        <v>511.74</v>
      </c>
      <c r="L13640">
        <v>8.1199999999999992</v>
      </c>
      <c r="M13640">
        <v>11901</v>
      </c>
      <c r="N13640" t="s">
        <v>31</v>
      </c>
      <c r="O13640">
        <v>250618</v>
      </c>
      <c r="P13640">
        <v>31.84</v>
      </c>
    </row>
    <row r="13641" spans="1:16" x14ac:dyDescent="0.25">
      <c r="A13641" t="s">
        <v>3296</v>
      </c>
      <c r="B13641" t="s">
        <v>2931</v>
      </c>
      <c r="C13641">
        <v>8870</v>
      </c>
      <c r="D13641" t="str">
        <f t="shared" si="205"/>
        <v>0707522-2/19</v>
      </c>
      <c r="E13641" t="s">
        <v>2814</v>
      </c>
      <c r="F13641" t="s">
        <v>2815</v>
      </c>
      <c r="G13641">
        <v>388.16</v>
      </c>
      <c r="H13641">
        <v>250701</v>
      </c>
      <c r="I13641">
        <v>4841</v>
      </c>
      <c r="J13641" t="s">
        <v>9</v>
      </c>
      <c r="K13641">
        <v>511.74</v>
      </c>
      <c r="L13641">
        <v>78.87</v>
      </c>
      <c r="M13641">
        <v>11901</v>
      </c>
      <c r="N13641" t="s">
        <v>31</v>
      </c>
      <c r="O13641">
        <v>250618</v>
      </c>
      <c r="P13641">
        <v>309.29000000000002</v>
      </c>
    </row>
    <row r="13642" spans="1:16" x14ac:dyDescent="0.25">
      <c r="A13642" t="s">
        <v>3296</v>
      </c>
      <c r="B13642" t="s">
        <v>2931</v>
      </c>
      <c r="C13642">
        <v>8870</v>
      </c>
      <c r="D13642" t="str">
        <f t="shared" si="205"/>
        <v>0707522-2/19</v>
      </c>
      <c r="E13642" t="s">
        <v>2814</v>
      </c>
      <c r="F13642" t="s">
        <v>2815</v>
      </c>
      <c r="G13642">
        <v>11.18</v>
      </c>
      <c r="H13642">
        <v>250701</v>
      </c>
      <c r="I13642">
        <v>4841</v>
      </c>
      <c r="J13642" t="s">
        <v>9</v>
      </c>
      <c r="K13642">
        <v>511.74</v>
      </c>
      <c r="L13642">
        <v>2.27</v>
      </c>
      <c r="M13642">
        <v>11903</v>
      </c>
      <c r="N13642" t="s">
        <v>32</v>
      </c>
      <c r="O13642">
        <v>250618</v>
      </c>
      <c r="P13642">
        <v>8.91</v>
      </c>
    </row>
    <row r="13643" spans="1:16" x14ac:dyDescent="0.25">
      <c r="A13643" t="s">
        <v>3296</v>
      </c>
      <c r="B13643" t="s">
        <v>2931</v>
      </c>
      <c r="C13643">
        <v>8870</v>
      </c>
      <c r="D13643" t="str">
        <f t="shared" si="205"/>
        <v>0707522-2/19</v>
      </c>
      <c r="E13643" t="s">
        <v>2814</v>
      </c>
      <c r="F13643" t="s">
        <v>2815</v>
      </c>
      <c r="G13643">
        <v>22.36</v>
      </c>
      <c r="H13643">
        <v>250701</v>
      </c>
      <c r="I13643">
        <v>4841</v>
      </c>
      <c r="J13643" t="s">
        <v>9</v>
      </c>
      <c r="K13643">
        <v>511.74</v>
      </c>
      <c r="L13643">
        <v>4.54</v>
      </c>
      <c r="M13643">
        <v>59705</v>
      </c>
      <c r="N13643" t="s">
        <v>47</v>
      </c>
      <c r="O13643">
        <v>250618</v>
      </c>
      <c r="P13643">
        <v>17.82</v>
      </c>
    </row>
    <row r="13644" spans="1:16" x14ac:dyDescent="0.25">
      <c r="A13644" t="s">
        <v>3296</v>
      </c>
      <c r="B13644" t="s">
        <v>2931</v>
      </c>
      <c r="C13644">
        <v>8871</v>
      </c>
      <c r="D13644" t="str">
        <f t="shared" ref="D13644:D13653" si="206">"0707522-4/19"</f>
        <v>0707522-4/19</v>
      </c>
      <c r="E13644" t="s">
        <v>2814</v>
      </c>
      <c r="F13644" t="s">
        <v>2815</v>
      </c>
      <c r="G13644">
        <v>57.69</v>
      </c>
      <c r="H13644">
        <v>250701</v>
      </c>
      <c r="I13644">
        <v>4841</v>
      </c>
      <c r="J13644" t="s">
        <v>9</v>
      </c>
      <c r="K13644">
        <v>2624.13</v>
      </c>
      <c r="L13644">
        <v>11.72</v>
      </c>
      <c r="M13644">
        <v>16321</v>
      </c>
      <c r="N13644" t="s">
        <v>16</v>
      </c>
      <c r="O13644">
        <v>250618</v>
      </c>
      <c r="P13644">
        <v>45.97</v>
      </c>
    </row>
    <row r="13645" spans="1:16" x14ac:dyDescent="0.25">
      <c r="A13645" t="s">
        <v>3296</v>
      </c>
      <c r="B13645" t="s">
        <v>2931</v>
      </c>
      <c r="C13645">
        <v>8871</v>
      </c>
      <c r="D13645" t="str">
        <f t="shared" si="206"/>
        <v>0707522-4/19</v>
      </c>
      <c r="E13645" t="s">
        <v>2814</v>
      </c>
      <c r="F13645" t="s">
        <v>2815</v>
      </c>
      <c r="G13645">
        <v>115.38</v>
      </c>
      <c r="H13645">
        <v>250701</v>
      </c>
      <c r="I13645">
        <v>4841</v>
      </c>
      <c r="J13645" t="s">
        <v>9</v>
      </c>
      <c r="K13645">
        <v>2624.13</v>
      </c>
      <c r="L13645">
        <v>23.44</v>
      </c>
      <c r="M13645">
        <v>16431</v>
      </c>
      <c r="N13645" t="s">
        <v>17</v>
      </c>
      <c r="O13645">
        <v>250618</v>
      </c>
      <c r="P13645">
        <v>91.94</v>
      </c>
    </row>
    <row r="13646" spans="1:16" x14ac:dyDescent="0.25">
      <c r="A13646" t="s">
        <v>3296</v>
      </c>
      <c r="B13646" t="s">
        <v>2931</v>
      </c>
      <c r="C13646">
        <v>8871</v>
      </c>
      <c r="D13646" t="str">
        <f t="shared" si="206"/>
        <v>0707522-4/19</v>
      </c>
      <c r="E13646" t="s">
        <v>2814</v>
      </c>
      <c r="F13646" t="s">
        <v>2815</v>
      </c>
      <c r="G13646">
        <v>413.57</v>
      </c>
      <c r="H13646">
        <v>250701</v>
      </c>
      <c r="I13646">
        <v>4841</v>
      </c>
      <c r="J13646" t="s">
        <v>9</v>
      </c>
      <c r="K13646">
        <v>2624.13</v>
      </c>
      <c r="L13646">
        <v>84.03</v>
      </c>
      <c r="M13646">
        <v>17802</v>
      </c>
      <c r="N13646" t="s">
        <v>18</v>
      </c>
      <c r="O13646">
        <v>250618</v>
      </c>
      <c r="P13646">
        <v>329.54</v>
      </c>
    </row>
    <row r="13647" spans="1:16" x14ac:dyDescent="0.25">
      <c r="A13647" t="s">
        <v>3296</v>
      </c>
      <c r="B13647" t="s">
        <v>2931</v>
      </c>
      <c r="C13647">
        <v>8871</v>
      </c>
      <c r="D13647" t="str">
        <f t="shared" si="206"/>
        <v>0707522-4/19</v>
      </c>
      <c r="E13647" t="s">
        <v>2814</v>
      </c>
      <c r="F13647" t="s">
        <v>2815</v>
      </c>
      <c r="G13647">
        <v>698.88</v>
      </c>
      <c r="H13647">
        <v>250701</v>
      </c>
      <c r="I13647">
        <v>4841</v>
      </c>
      <c r="J13647" t="s">
        <v>9</v>
      </c>
      <c r="K13647">
        <v>2624.13</v>
      </c>
      <c r="L13647">
        <v>142</v>
      </c>
      <c r="M13647">
        <v>17803</v>
      </c>
      <c r="N13647" t="s">
        <v>19</v>
      </c>
      <c r="O13647">
        <v>250618</v>
      </c>
      <c r="P13647">
        <v>556.88</v>
      </c>
    </row>
    <row r="13648" spans="1:16" x14ac:dyDescent="0.25">
      <c r="A13648" t="s">
        <v>3296</v>
      </c>
      <c r="B13648" t="s">
        <v>2931</v>
      </c>
      <c r="C13648">
        <v>8871</v>
      </c>
      <c r="D13648" t="str">
        <f t="shared" si="206"/>
        <v>0707522-4/19</v>
      </c>
      <c r="E13648" t="s">
        <v>2814</v>
      </c>
      <c r="F13648" t="s">
        <v>2815</v>
      </c>
      <c r="G13648">
        <v>355.88</v>
      </c>
      <c r="H13648">
        <v>250701</v>
      </c>
      <c r="I13648">
        <v>4841</v>
      </c>
      <c r="J13648" t="s">
        <v>9</v>
      </c>
      <c r="K13648">
        <v>2624.13</v>
      </c>
      <c r="L13648">
        <v>72.31</v>
      </c>
      <c r="M13648">
        <v>17805</v>
      </c>
      <c r="N13648" t="s">
        <v>21</v>
      </c>
      <c r="O13648">
        <v>250618</v>
      </c>
      <c r="P13648">
        <v>283.57</v>
      </c>
    </row>
    <row r="13649" spans="1:16" x14ac:dyDescent="0.25">
      <c r="A13649" t="s">
        <v>3296</v>
      </c>
      <c r="B13649" t="s">
        <v>2931</v>
      </c>
      <c r="C13649">
        <v>8871</v>
      </c>
      <c r="D13649" t="str">
        <f t="shared" si="206"/>
        <v>0707522-4/19</v>
      </c>
      <c r="E13649" t="s">
        <v>2814</v>
      </c>
      <c r="F13649" t="s">
        <v>2815</v>
      </c>
      <c r="G13649">
        <v>235.8</v>
      </c>
      <c r="H13649">
        <v>250701</v>
      </c>
      <c r="I13649">
        <v>4841</v>
      </c>
      <c r="J13649" t="s">
        <v>9</v>
      </c>
      <c r="K13649">
        <v>2624.13</v>
      </c>
      <c r="L13649">
        <v>47.91</v>
      </c>
      <c r="M13649">
        <v>17807</v>
      </c>
      <c r="N13649" t="s">
        <v>23</v>
      </c>
      <c r="O13649">
        <v>250618</v>
      </c>
      <c r="P13649">
        <v>187.89</v>
      </c>
    </row>
    <row r="13650" spans="1:16" x14ac:dyDescent="0.25">
      <c r="A13650" t="s">
        <v>3296</v>
      </c>
      <c r="B13650" t="s">
        <v>2931</v>
      </c>
      <c r="C13650">
        <v>8871</v>
      </c>
      <c r="D13650" t="str">
        <f t="shared" si="206"/>
        <v>0707522-4/19</v>
      </c>
      <c r="E13650" t="s">
        <v>2814</v>
      </c>
      <c r="F13650" t="s">
        <v>2815</v>
      </c>
      <c r="G13650">
        <v>354.36</v>
      </c>
      <c r="H13650">
        <v>250701</v>
      </c>
      <c r="I13650">
        <v>4841</v>
      </c>
      <c r="J13650" t="s">
        <v>9</v>
      </c>
      <c r="K13650">
        <v>2624.13</v>
      </c>
      <c r="L13650">
        <v>72</v>
      </c>
      <c r="M13650">
        <v>17808</v>
      </c>
      <c r="N13650" t="s">
        <v>24</v>
      </c>
      <c r="O13650">
        <v>250618</v>
      </c>
      <c r="P13650">
        <v>282.36</v>
      </c>
    </row>
    <row r="13651" spans="1:16" x14ac:dyDescent="0.25">
      <c r="A13651" t="s">
        <v>3296</v>
      </c>
      <c r="B13651" t="s">
        <v>2931</v>
      </c>
      <c r="C13651">
        <v>8871</v>
      </c>
      <c r="D13651" t="str">
        <f t="shared" si="206"/>
        <v>0707522-4/19</v>
      </c>
      <c r="E13651" t="s">
        <v>2814</v>
      </c>
      <c r="F13651" t="s">
        <v>2815</v>
      </c>
      <c r="G13651">
        <v>234.91</v>
      </c>
      <c r="H13651">
        <v>250701</v>
      </c>
      <c r="I13651">
        <v>4841</v>
      </c>
      <c r="J13651" t="s">
        <v>9</v>
      </c>
      <c r="K13651">
        <v>2624.13</v>
      </c>
      <c r="L13651">
        <v>47.73</v>
      </c>
      <c r="M13651">
        <v>17951</v>
      </c>
      <c r="N13651" t="s">
        <v>207</v>
      </c>
      <c r="O13651">
        <v>250618</v>
      </c>
      <c r="P13651">
        <v>187.18</v>
      </c>
    </row>
    <row r="13652" spans="1:16" x14ac:dyDescent="0.25">
      <c r="A13652" t="s">
        <v>3296</v>
      </c>
      <c r="B13652" t="s">
        <v>2931</v>
      </c>
      <c r="C13652">
        <v>8871</v>
      </c>
      <c r="D13652" t="str">
        <f t="shared" si="206"/>
        <v>0707522-4/19</v>
      </c>
      <c r="E13652" t="s">
        <v>2814</v>
      </c>
      <c r="F13652" t="s">
        <v>2815</v>
      </c>
      <c r="G13652">
        <v>78.83</v>
      </c>
      <c r="H13652">
        <v>250701</v>
      </c>
      <c r="I13652">
        <v>4841</v>
      </c>
      <c r="J13652" t="s">
        <v>9</v>
      </c>
      <c r="K13652">
        <v>2624.13</v>
      </c>
      <c r="L13652">
        <v>16.02</v>
      </c>
      <c r="M13652">
        <v>17971</v>
      </c>
      <c r="N13652" t="s">
        <v>27</v>
      </c>
      <c r="O13652">
        <v>250618</v>
      </c>
      <c r="P13652">
        <v>62.81</v>
      </c>
    </row>
    <row r="13653" spans="1:16" x14ac:dyDescent="0.25">
      <c r="A13653" t="s">
        <v>3296</v>
      </c>
      <c r="B13653" t="s">
        <v>2931</v>
      </c>
      <c r="C13653">
        <v>8871</v>
      </c>
      <c r="D13653" t="str">
        <f t="shared" si="206"/>
        <v>0707522-4/19</v>
      </c>
      <c r="E13653" t="s">
        <v>2814</v>
      </c>
      <c r="F13653" t="s">
        <v>2815</v>
      </c>
      <c r="G13653">
        <v>78.83</v>
      </c>
      <c r="H13653">
        <v>250701</v>
      </c>
      <c r="I13653">
        <v>4841</v>
      </c>
      <c r="J13653" t="s">
        <v>9</v>
      </c>
      <c r="K13653">
        <v>2624.13</v>
      </c>
      <c r="L13653">
        <v>16.02</v>
      </c>
      <c r="M13653">
        <v>17972</v>
      </c>
      <c r="N13653" t="s">
        <v>28</v>
      </c>
      <c r="O13653">
        <v>250618</v>
      </c>
      <c r="P13653">
        <v>62.81</v>
      </c>
    </row>
    <row r="13654" spans="1:16" x14ac:dyDescent="0.25">
      <c r="A13654" t="s">
        <v>3296</v>
      </c>
      <c r="B13654" t="s">
        <v>2931</v>
      </c>
      <c r="C13654">
        <v>8880</v>
      </c>
      <c r="D13654" t="str">
        <f>"0707522-5/19"</f>
        <v>0707522-5/19</v>
      </c>
      <c r="E13654" t="s">
        <v>2814</v>
      </c>
      <c r="F13654" t="s">
        <v>2815</v>
      </c>
      <c r="G13654">
        <v>1089.3499999999999</v>
      </c>
      <c r="H13654">
        <v>250701</v>
      </c>
      <c r="I13654">
        <v>4841</v>
      </c>
      <c r="J13654" t="s">
        <v>9</v>
      </c>
      <c r="K13654">
        <v>1089.3499999999999</v>
      </c>
      <c r="L13654">
        <v>221.34</v>
      </c>
      <c r="M13654">
        <v>13501</v>
      </c>
      <c r="N13654" t="s">
        <v>66</v>
      </c>
      <c r="O13654">
        <v>250618</v>
      </c>
      <c r="P13654">
        <v>868.01</v>
      </c>
    </row>
    <row r="13655" spans="1:16" x14ac:dyDescent="0.25">
      <c r="A13655" t="s">
        <v>3296</v>
      </c>
      <c r="B13655" t="s">
        <v>2931</v>
      </c>
      <c r="C13655">
        <v>8885</v>
      </c>
      <c r="D13655" t="str">
        <f>"707522-16/19"</f>
        <v>707522-16/19</v>
      </c>
      <c r="E13655" t="s">
        <v>2814</v>
      </c>
      <c r="F13655" t="s">
        <v>2815</v>
      </c>
      <c r="G13655">
        <v>198.9</v>
      </c>
      <c r="H13655">
        <v>250701</v>
      </c>
      <c r="I13655">
        <v>4841</v>
      </c>
      <c r="J13655" t="s">
        <v>9</v>
      </c>
      <c r="K13655">
        <v>198.9</v>
      </c>
      <c r="L13655">
        <v>40.409999999999997</v>
      </c>
      <c r="M13655">
        <v>18972</v>
      </c>
      <c r="N13655" t="s">
        <v>39</v>
      </c>
      <c r="O13655">
        <v>250618</v>
      </c>
      <c r="P13655">
        <v>158.49</v>
      </c>
    </row>
    <row r="13656" spans="1:16" x14ac:dyDescent="0.25">
      <c r="A13656" t="s">
        <v>3296</v>
      </c>
      <c r="B13656" t="s">
        <v>2931</v>
      </c>
      <c r="C13656">
        <v>8888</v>
      </c>
      <c r="D13656" t="str">
        <f>"0707522-7/19"</f>
        <v>0707522-7/19</v>
      </c>
      <c r="E13656" t="s">
        <v>2814</v>
      </c>
      <c r="F13656" t="s">
        <v>2815</v>
      </c>
      <c r="G13656">
        <v>733.45</v>
      </c>
      <c r="H13656">
        <v>250701</v>
      </c>
      <c r="I13656">
        <v>4841</v>
      </c>
      <c r="J13656" t="s">
        <v>9</v>
      </c>
      <c r="K13656">
        <v>1002.18</v>
      </c>
      <c r="L13656">
        <v>149.03</v>
      </c>
      <c r="M13656">
        <v>16121</v>
      </c>
      <c r="N13656" t="s">
        <v>127</v>
      </c>
      <c r="O13656">
        <v>250618</v>
      </c>
      <c r="P13656">
        <v>584.41999999999996</v>
      </c>
    </row>
    <row r="13657" spans="1:16" x14ac:dyDescent="0.25">
      <c r="A13657" t="s">
        <v>3296</v>
      </c>
      <c r="B13657" t="s">
        <v>2931</v>
      </c>
      <c r="C13657">
        <v>8888</v>
      </c>
      <c r="D13657" t="str">
        <f>"0707522-7/19"</f>
        <v>0707522-7/19</v>
      </c>
      <c r="E13657" t="s">
        <v>2814</v>
      </c>
      <c r="F13657" t="s">
        <v>2815</v>
      </c>
      <c r="G13657">
        <v>63.78</v>
      </c>
      <c r="H13657">
        <v>250701</v>
      </c>
      <c r="I13657">
        <v>4841</v>
      </c>
      <c r="J13657" t="s">
        <v>9</v>
      </c>
      <c r="K13657">
        <v>1002.18</v>
      </c>
      <c r="L13657">
        <v>12.96</v>
      </c>
      <c r="M13657">
        <v>16322</v>
      </c>
      <c r="N13657" t="s">
        <v>331</v>
      </c>
      <c r="O13657">
        <v>250618</v>
      </c>
      <c r="P13657">
        <v>50.82</v>
      </c>
    </row>
    <row r="13658" spans="1:16" x14ac:dyDescent="0.25">
      <c r="A13658" t="s">
        <v>3296</v>
      </c>
      <c r="B13658" t="s">
        <v>2931</v>
      </c>
      <c r="C13658">
        <v>8895</v>
      </c>
      <c r="D13658" t="str">
        <f t="shared" ref="D13658:D13674" si="207">"0707522-3/19"</f>
        <v>0707522-3/19</v>
      </c>
      <c r="E13658" t="s">
        <v>2814</v>
      </c>
      <c r="F13658" t="s">
        <v>2815</v>
      </c>
      <c r="G13658">
        <v>25.04</v>
      </c>
      <c r="H13658">
        <v>250701</v>
      </c>
      <c r="I13658">
        <v>4841</v>
      </c>
      <c r="J13658" t="s">
        <v>9</v>
      </c>
      <c r="K13658">
        <v>3583.98</v>
      </c>
      <c r="L13658">
        <v>5.09</v>
      </c>
      <c r="M13658">
        <v>11301</v>
      </c>
      <c r="N13658" t="s">
        <v>92</v>
      </c>
      <c r="O13658">
        <v>250618</v>
      </c>
      <c r="P13658">
        <v>19.95</v>
      </c>
    </row>
    <row r="13659" spans="1:16" x14ac:dyDescent="0.25">
      <c r="A13659" t="s">
        <v>3296</v>
      </c>
      <c r="B13659" t="s">
        <v>2931</v>
      </c>
      <c r="C13659">
        <v>8895</v>
      </c>
      <c r="D13659" t="str">
        <f t="shared" si="207"/>
        <v>0707522-3/19</v>
      </c>
      <c r="E13659" t="s">
        <v>2814</v>
      </c>
      <c r="F13659" t="s">
        <v>2815</v>
      </c>
      <c r="G13659">
        <v>1253.8499999999999</v>
      </c>
      <c r="H13659">
        <v>250701</v>
      </c>
      <c r="I13659">
        <v>4841</v>
      </c>
      <c r="J13659" t="s">
        <v>9</v>
      </c>
      <c r="K13659">
        <v>3583.98</v>
      </c>
      <c r="L13659">
        <v>254.77</v>
      </c>
      <c r="M13659">
        <v>61122</v>
      </c>
      <c r="N13659" t="s">
        <v>86</v>
      </c>
      <c r="O13659">
        <v>250618</v>
      </c>
      <c r="P13659">
        <v>999.08</v>
      </c>
    </row>
    <row r="13660" spans="1:16" x14ac:dyDescent="0.25">
      <c r="A13660" t="s">
        <v>3296</v>
      </c>
      <c r="B13660" t="s">
        <v>2931</v>
      </c>
      <c r="C13660">
        <v>8895</v>
      </c>
      <c r="D13660" t="str">
        <f t="shared" si="207"/>
        <v>0707522-3/19</v>
      </c>
      <c r="E13660" t="s">
        <v>2814</v>
      </c>
      <c r="F13660" t="s">
        <v>2815</v>
      </c>
      <c r="G13660">
        <v>1129.8499999999999</v>
      </c>
      <c r="H13660">
        <v>250701</v>
      </c>
      <c r="I13660">
        <v>4841</v>
      </c>
      <c r="J13660" t="s">
        <v>9</v>
      </c>
      <c r="K13660">
        <v>3583.98</v>
      </c>
      <c r="L13660">
        <v>229.57</v>
      </c>
      <c r="M13660">
        <v>65222</v>
      </c>
      <c r="N13660" t="s">
        <v>87</v>
      </c>
      <c r="O13660">
        <v>250618</v>
      </c>
      <c r="P13660">
        <v>900.28</v>
      </c>
    </row>
    <row r="13661" spans="1:16" x14ac:dyDescent="0.25">
      <c r="A13661" t="s">
        <v>3296</v>
      </c>
      <c r="B13661" t="s">
        <v>2931</v>
      </c>
      <c r="C13661">
        <v>8895</v>
      </c>
      <c r="D13661" t="str">
        <f t="shared" si="207"/>
        <v>0707522-3/19</v>
      </c>
      <c r="E13661" t="s">
        <v>2814</v>
      </c>
      <c r="F13661" t="s">
        <v>2815</v>
      </c>
      <c r="G13661">
        <v>8.14</v>
      </c>
      <c r="H13661">
        <v>250701</v>
      </c>
      <c r="I13661">
        <v>4841</v>
      </c>
      <c r="J13661" t="s">
        <v>9</v>
      </c>
      <c r="K13661">
        <v>3583.98</v>
      </c>
      <c r="L13661">
        <v>1.65</v>
      </c>
      <c r="M13661">
        <v>65422</v>
      </c>
      <c r="N13661" t="s">
        <v>117</v>
      </c>
      <c r="O13661">
        <v>250618</v>
      </c>
      <c r="P13661">
        <v>6.49</v>
      </c>
    </row>
    <row r="13662" spans="1:16" x14ac:dyDescent="0.25">
      <c r="A13662" t="s">
        <v>3296</v>
      </c>
      <c r="B13662" t="s">
        <v>2931</v>
      </c>
      <c r="C13662">
        <v>8895</v>
      </c>
      <c r="D13662" t="str">
        <f t="shared" si="207"/>
        <v>0707522-3/19</v>
      </c>
      <c r="E13662" t="s">
        <v>2814</v>
      </c>
      <c r="F13662" t="s">
        <v>2815</v>
      </c>
      <c r="G13662">
        <v>144.4</v>
      </c>
      <c r="H13662">
        <v>250701</v>
      </c>
      <c r="I13662">
        <v>4841</v>
      </c>
      <c r="J13662" t="s">
        <v>9</v>
      </c>
      <c r="K13662">
        <v>3583.98</v>
      </c>
      <c r="L13662">
        <v>29.34</v>
      </c>
      <c r="M13662">
        <v>66722</v>
      </c>
      <c r="N13662" t="s">
        <v>118</v>
      </c>
      <c r="O13662">
        <v>250618</v>
      </c>
      <c r="P13662">
        <v>115.06</v>
      </c>
    </row>
    <row r="13663" spans="1:16" x14ac:dyDescent="0.25">
      <c r="A13663" t="s">
        <v>3296</v>
      </c>
      <c r="B13663" t="s">
        <v>2931</v>
      </c>
      <c r="C13663">
        <v>8895</v>
      </c>
      <c r="D13663" t="str">
        <f t="shared" si="207"/>
        <v>0707522-3/19</v>
      </c>
      <c r="E13663" t="s">
        <v>2814</v>
      </c>
      <c r="F13663" t="s">
        <v>2815</v>
      </c>
      <c r="G13663">
        <v>71.349999999999994</v>
      </c>
      <c r="H13663">
        <v>250701</v>
      </c>
      <c r="I13663">
        <v>4841</v>
      </c>
      <c r="J13663" t="s">
        <v>9</v>
      </c>
      <c r="K13663">
        <v>3583.98</v>
      </c>
      <c r="L13663">
        <v>14.5</v>
      </c>
      <c r="M13663">
        <v>66754</v>
      </c>
      <c r="N13663" t="s">
        <v>119</v>
      </c>
      <c r="O13663">
        <v>250618</v>
      </c>
      <c r="P13663">
        <v>56.85</v>
      </c>
    </row>
    <row r="13664" spans="1:16" x14ac:dyDescent="0.25">
      <c r="A13664" t="s">
        <v>3296</v>
      </c>
      <c r="B13664" t="s">
        <v>2931</v>
      </c>
      <c r="C13664">
        <v>8895</v>
      </c>
      <c r="D13664" t="str">
        <f t="shared" si="207"/>
        <v>0707522-3/19</v>
      </c>
      <c r="E13664" t="s">
        <v>2814</v>
      </c>
      <c r="F13664" t="s">
        <v>2815</v>
      </c>
      <c r="G13664">
        <v>290.37</v>
      </c>
      <c r="H13664">
        <v>250701</v>
      </c>
      <c r="I13664">
        <v>4841</v>
      </c>
      <c r="J13664" t="s">
        <v>9</v>
      </c>
      <c r="K13664">
        <v>3583.98</v>
      </c>
      <c r="L13664">
        <v>59</v>
      </c>
      <c r="M13664">
        <v>66756</v>
      </c>
      <c r="N13664" t="s">
        <v>120</v>
      </c>
      <c r="O13664">
        <v>250618</v>
      </c>
      <c r="P13664">
        <v>231.37</v>
      </c>
    </row>
    <row r="13665" spans="1:16" x14ac:dyDescent="0.25">
      <c r="A13665" t="s">
        <v>3296</v>
      </c>
      <c r="B13665" t="s">
        <v>2931</v>
      </c>
      <c r="C13665">
        <v>8895</v>
      </c>
      <c r="D13665" t="str">
        <f t="shared" si="207"/>
        <v>0707522-3/19</v>
      </c>
      <c r="E13665" t="s">
        <v>2814</v>
      </c>
      <c r="F13665" t="s">
        <v>2815</v>
      </c>
      <c r="G13665">
        <v>48.96</v>
      </c>
      <c r="H13665">
        <v>250701</v>
      </c>
      <c r="I13665">
        <v>4841</v>
      </c>
      <c r="J13665" t="s">
        <v>9</v>
      </c>
      <c r="K13665">
        <v>3583.98</v>
      </c>
      <c r="L13665">
        <v>9.9499999999999993</v>
      </c>
      <c r="M13665">
        <v>67522</v>
      </c>
      <c r="N13665" t="s">
        <v>121</v>
      </c>
      <c r="O13665">
        <v>250618</v>
      </c>
      <c r="P13665">
        <v>39.01</v>
      </c>
    </row>
    <row r="13666" spans="1:16" x14ac:dyDescent="0.25">
      <c r="A13666" t="s">
        <v>3296</v>
      </c>
      <c r="B13666" t="s">
        <v>2931</v>
      </c>
      <c r="C13666">
        <v>8895</v>
      </c>
      <c r="D13666" t="str">
        <f t="shared" si="207"/>
        <v>0707522-3/19</v>
      </c>
      <c r="E13666" t="s">
        <v>2814</v>
      </c>
      <c r="F13666" t="s">
        <v>2815</v>
      </c>
      <c r="G13666">
        <v>71.349999999999994</v>
      </c>
      <c r="H13666">
        <v>250701</v>
      </c>
      <c r="I13666">
        <v>4841</v>
      </c>
      <c r="J13666" t="s">
        <v>9</v>
      </c>
      <c r="K13666">
        <v>3583.98</v>
      </c>
      <c r="L13666">
        <v>14.5</v>
      </c>
      <c r="M13666">
        <v>67522</v>
      </c>
      <c r="N13666" t="s">
        <v>121</v>
      </c>
      <c r="O13666">
        <v>250618</v>
      </c>
      <c r="P13666">
        <v>56.85</v>
      </c>
    </row>
    <row r="13667" spans="1:16" x14ac:dyDescent="0.25">
      <c r="A13667" t="s">
        <v>3296</v>
      </c>
      <c r="B13667" t="s">
        <v>2931</v>
      </c>
      <c r="C13667">
        <v>8895</v>
      </c>
      <c r="D13667" t="str">
        <f t="shared" si="207"/>
        <v>0707522-3/19</v>
      </c>
      <c r="E13667" t="s">
        <v>2814</v>
      </c>
      <c r="F13667" t="s">
        <v>2815</v>
      </c>
      <c r="G13667">
        <v>32.450000000000003</v>
      </c>
      <c r="H13667">
        <v>250701</v>
      </c>
      <c r="I13667">
        <v>4841</v>
      </c>
      <c r="J13667" t="s">
        <v>9</v>
      </c>
      <c r="K13667">
        <v>3583.98</v>
      </c>
      <c r="L13667">
        <v>6.59</v>
      </c>
      <c r="M13667">
        <v>67554</v>
      </c>
      <c r="N13667" t="s">
        <v>317</v>
      </c>
      <c r="O13667">
        <v>250618</v>
      </c>
      <c r="P13667">
        <v>25.86</v>
      </c>
    </row>
    <row r="13668" spans="1:16" x14ac:dyDescent="0.25">
      <c r="A13668" t="s">
        <v>3296</v>
      </c>
      <c r="B13668" t="s">
        <v>2931</v>
      </c>
      <c r="C13668">
        <v>8895</v>
      </c>
      <c r="D13668" t="str">
        <f t="shared" si="207"/>
        <v>0707522-3/19</v>
      </c>
      <c r="E13668" t="s">
        <v>2814</v>
      </c>
      <c r="F13668" t="s">
        <v>2815</v>
      </c>
      <c r="G13668">
        <v>32.450000000000003</v>
      </c>
      <c r="H13668">
        <v>250701</v>
      </c>
      <c r="I13668">
        <v>4841</v>
      </c>
      <c r="J13668" t="s">
        <v>9</v>
      </c>
      <c r="K13668">
        <v>3583.98</v>
      </c>
      <c r="L13668">
        <v>6.59</v>
      </c>
      <c r="M13668">
        <v>67554</v>
      </c>
      <c r="N13668" t="s">
        <v>317</v>
      </c>
      <c r="O13668">
        <v>250618</v>
      </c>
      <c r="P13668">
        <v>25.86</v>
      </c>
    </row>
    <row r="13669" spans="1:16" x14ac:dyDescent="0.25">
      <c r="A13669" t="s">
        <v>3296</v>
      </c>
      <c r="B13669" t="s">
        <v>2931</v>
      </c>
      <c r="C13669">
        <v>8895</v>
      </c>
      <c r="D13669" t="str">
        <f t="shared" si="207"/>
        <v>0707522-3/19</v>
      </c>
      <c r="E13669" t="s">
        <v>2814</v>
      </c>
      <c r="F13669" t="s">
        <v>2815</v>
      </c>
      <c r="G13669">
        <v>8.36</v>
      </c>
      <c r="H13669">
        <v>250701</v>
      </c>
      <c r="I13669">
        <v>4841</v>
      </c>
      <c r="J13669" t="s">
        <v>9</v>
      </c>
      <c r="K13669">
        <v>3583.98</v>
      </c>
      <c r="L13669">
        <v>1.7</v>
      </c>
      <c r="M13669">
        <v>69112</v>
      </c>
      <c r="N13669" t="s">
        <v>227</v>
      </c>
      <c r="O13669">
        <v>250618</v>
      </c>
      <c r="P13669">
        <v>6.66</v>
      </c>
    </row>
    <row r="13670" spans="1:16" x14ac:dyDescent="0.25">
      <c r="A13670" t="s">
        <v>3296</v>
      </c>
      <c r="B13670" t="s">
        <v>2931</v>
      </c>
      <c r="C13670">
        <v>8895</v>
      </c>
      <c r="D13670" t="str">
        <f t="shared" si="207"/>
        <v>0707522-3/19</v>
      </c>
      <c r="E13670" t="s">
        <v>2814</v>
      </c>
      <c r="F13670" t="s">
        <v>2815</v>
      </c>
      <c r="G13670">
        <v>56.2</v>
      </c>
      <c r="H13670">
        <v>250701</v>
      </c>
      <c r="I13670">
        <v>4841</v>
      </c>
      <c r="J13670" t="s">
        <v>9</v>
      </c>
      <c r="K13670">
        <v>3583.98</v>
      </c>
      <c r="L13670">
        <v>11.42</v>
      </c>
      <c r="M13670">
        <v>69501</v>
      </c>
      <c r="N13670" t="s">
        <v>123</v>
      </c>
      <c r="O13670">
        <v>250618</v>
      </c>
      <c r="P13670">
        <v>44.78</v>
      </c>
    </row>
    <row r="13671" spans="1:16" x14ac:dyDescent="0.25">
      <c r="A13671" t="s">
        <v>3296</v>
      </c>
      <c r="B13671" t="s">
        <v>2931</v>
      </c>
      <c r="C13671">
        <v>8895</v>
      </c>
      <c r="D13671" t="str">
        <f t="shared" si="207"/>
        <v>0707522-3/19</v>
      </c>
      <c r="E13671" t="s">
        <v>2814</v>
      </c>
      <c r="F13671" t="s">
        <v>2815</v>
      </c>
      <c r="G13671">
        <v>24.31</v>
      </c>
      <c r="H13671">
        <v>250701</v>
      </c>
      <c r="I13671">
        <v>4841</v>
      </c>
      <c r="J13671" t="s">
        <v>9</v>
      </c>
      <c r="K13671">
        <v>3583.98</v>
      </c>
      <c r="L13671">
        <v>4.9400000000000004</v>
      </c>
      <c r="M13671">
        <v>69701</v>
      </c>
      <c r="N13671" t="s">
        <v>1030</v>
      </c>
      <c r="O13671">
        <v>250618</v>
      </c>
      <c r="P13671">
        <v>19.37</v>
      </c>
    </row>
    <row r="13672" spans="1:16" x14ac:dyDescent="0.25">
      <c r="A13672" t="s">
        <v>3296</v>
      </c>
      <c r="B13672" t="s">
        <v>2931</v>
      </c>
      <c r="C13672">
        <v>8895</v>
      </c>
      <c r="D13672" t="str">
        <f t="shared" si="207"/>
        <v>0707522-3/19</v>
      </c>
      <c r="E13672" t="s">
        <v>2814</v>
      </c>
      <c r="F13672" t="s">
        <v>2815</v>
      </c>
      <c r="G13672">
        <v>291.24</v>
      </c>
      <c r="H13672">
        <v>250701</v>
      </c>
      <c r="I13672">
        <v>4841</v>
      </c>
      <c r="J13672" t="s">
        <v>9</v>
      </c>
      <c r="K13672">
        <v>3583.98</v>
      </c>
      <c r="L13672">
        <v>59.18</v>
      </c>
      <c r="M13672">
        <v>69702</v>
      </c>
      <c r="N13672" t="s">
        <v>124</v>
      </c>
      <c r="O13672">
        <v>250618</v>
      </c>
      <c r="P13672">
        <v>232.06</v>
      </c>
    </row>
    <row r="13673" spans="1:16" x14ac:dyDescent="0.25">
      <c r="A13673" t="s">
        <v>3296</v>
      </c>
      <c r="B13673" t="s">
        <v>2931</v>
      </c>
      <c r="C13673">
        <v>8895</v>
      </c>
      <c r="D13673" t="str">
        <f t="shared" si="207"/>
        <v>0707522-3/19</v>
      </c>
      <c r="E13673" t="s">
        <v>2814</v>
      </c>
      <c r="F13673" t="s">
        <v>2815</v>
      </c>
      <c r="G13673">
        <v>71.349999999999994</v>
      </c>
      <c r="H13673">
        <v>250701</v>
      </c>
      <c r="I13673">
        <v>4841</v>
      </c>
      <c r="J13673" t="s">
        <v>9</v>
      </c>
      <c r="K13673">
        <v>3583.98</v>
      </c>
      <c r="L13673">
        <v>14.5</v>
      </c>
      <c r="M13673">
        <v>69703</v>
      </c>
      <c r="N13673" t="s">
        <v>88</v>
      </c>
      <c r="O13673">
        <v>250618</v>
      </c>
      <c r="P13673">
        <v>56.85</v>
      </c>
    </row>
    <row r="13674" spans="1:16" x14ac:dyDescent="0.25">
      <c r="A13674" t="s">
        <v>3296</v>
      </c>
      <c r="B13674" t="s">
        <v>2931</v>
      </c>
      <c r="C13674">
        <v>8895</v>
      </c>
      <c r="D13674" t="str">
        <f t="shared" si="207"/>
        <v>0707522-3/19</v>
      </c>
      <c r="E13674" t="s">
        <v>2814</v>
      </c>
      <c r="F13674" t="s">
        <v>2815</v>
      </c>
      <c r="G13674">
        <v>24.31</v>
      </c>
      <c r="H13674">
        <v>250701</v>
      </c>
      <c r="I13674">
        <v>4841</v>
      </c>
      <c r="J13674" t="s">
        <v>9</v>
      </c>
      <c r="K13674">
        <v>3583.98</v>
      </c>
      <c r="L13674">
        <v>4.9400000000000004</v>
      </c>
      <c r="M13674">
        <v>69704</v>
      </c>
      <c r="N13674" t="s">
        <v>89</v>
      </c>
      <c r="O13674">
        <v>250618</v>
      </c>
      <c r="P13674">
        <v>19.37</v>
      </c>
    </row>
    <row r="13675" spans="1:16" x14ac:dyDescent="0.25">
      <c r="A13675" t="s">
        <v>3296</v>
      </c>
      <c r="B13675" t="s">
        <v>2931</v>
      </c>
      <c r="C13675">
        <v>8898</v>
      </c>
      <c r="D13675" t="str">
        <f>"707522-13/19"</f>
        <v>707522-13/19</v>
      </c>
      <c r="E13675" t="s">
        <v>2814</v>
      </c>
      <c r="F13675" t="s">
        <v>2815</v>
      </c>
      <c r="G13675">
        <v>70.52</v>
      </c>
      <c r="H13675">
        <v>250701</v>
      </c>
      <c r="I13675">
        <v>4841</v>
      </c>
      <c r="J13675" t="s">
        <v>9</v>
      </c>
      <c r="K13675">
        <v>206.54</v>
      </c>
      <c r="L13675">
        <v>14.33</v>
      </c>
      <c r="M13675">
        <v>17131</v>
      </c>
      <c r="N13675" t="s">
        <v>154</v>
      </c>
      <c r="O13675">
        <v>250618</v>
      </c>
      <c r="P13675">
        <v>56.19</v>
      </c>
    </row>
    <row r="13676" spans="1:16" x14ac:dyDescent="0.25">
      <c r="A13676" t="s">
        <v>3296</v>
      </c>
      <c r="B13676" t="s">
        <v>2931</v>
      </c>
      <c r="C13676">
        <v>8898</v>
      </c>
      <c r="D13676" t="str">
        <f>"707522-13/19"</f>
        <v>707522-13/19</v>
      </c>
      <c r="E13676" t="s">
        <v>2814</v>
      </c>
      <c r="F13676" t="s">
        <v>2815</v>
      </c>
      <c r="G13676">
        <v>136.02000000000001</v>
      </c>
      <c r="H13676">
        <v>250701</v>
      </c>
      <c r="I13676">
        <v>4841</v>
      </c>
      <c r="J13676" t="s">
        <v>9</v>
      </c>
      <c r="K13676">
        <v>206.54</v>
      </c>
      <c r="L13676">
        <v>27.64</v>
      </c>
      <c r="M13676">
        <v>17711</v>
      </c>
      <c r="N13676" t="s">
        <v>155</v>
      </c>
      <c r="O13676">
        <v>250618</v>
      </c>
      <c r="P13676">
        <v>108.38</v>
      </c>
    </row>
    <row r="13677" spans="1:16" x14ac:dyDescent="0.25">
      <c r="A13677" t="s">
        <v>3296</v>
      </c>
      <c r="B13677" t="s">
        <v>2931</v>
      </c>
      <c r="C13677">
        <v>8900</v>
      </c>
      <c r="D13677" t="str">
        <f t="shared" ref="D13677:D13685" si="208">"0707522-8/19"</f>
        <v>0707522-8/19</v>
      </c>
      <c r="E13677" t="s">
        <v>2814</v>
      </c>
      <c r="F13677" t="s">
        <v>2815</v>
      </c>
      <c r="G13677">
        <v>83.46</v>
      </c>
      <c r="H13677">
        <v>250701</v>
      </c>
      <c r="I13677">
        <v>4841</v>
      </c>
      <c r="J13677" t="s">
        <v>9</v>
      </c>
      <c r="K13677">
        <v>3094.4</v>
      </c>
      <c r="L13677">
        <v>16.96</v>
      </c>
      <c r="M13677">
        <v>11101</v>
      </c>
      <c r="N13677" t="s">
        <v>67</v>
      </c>
      <c r="O13677">
        <v>250618</v>
      </c>
      <c r="P13677">
        <v>66.5</v>
      </c>
    </row>
    <row r="13678" spans="1:16" x14ac:dyDescent="0.25">
      <c r="A13678" t="s">
        <v>3296</v>
      </c>
      <c r="B13678" t="s">
        <v>2931</v>
      </c>
      <c r="C13678">
        <v>8900</v>
      </c>
      <c r="D13678" t="str">
        <f t="shared" si="208"/>
        <v>0707522-8/19</v>
      </c>
      <c r="E13678" t="s">
        <v>2814</v>
      </c>
      <c r="F13678" t="s">
        <v>2815</v>
      </c>
      <c r="G13678">
        <v>16.690000000000001</v>
      </c>
      <c r="H13678">
        <v>250701</v>
      </c>
      <c r="I13678">
        <v>4841</v>
      </c>
      <c r="J13678" t="s">
        <v>9</v>
      </c>
      <c r="K13678">
        <v>3094.4</v>
      </c>
      <c r="L13678">
        <v>3.39</v>
      </c>
      <c r="M13678">
        <v>11301</v>
      </c>
      <c r="N13678" t="s">
        <v>92</v>
      </c>
      <c r="O13678">
        <v>250618</v>
      </c>
      <c r="P13678">
        <v>13.3</v>
      </c>
    </row>
    <row r="13679" spans="1:16" x14ac:dyDescent="0.25">
      <c r="A13679" t="s">
        <v>3296</v>
      </c>
      <c r="B13679" t="s">
        <v>2931</v>
      </c>
      <c r="C13679">
        <v>8900</v>
      </c>
      <c r="D13679" t="str">
        <f t="shared" si="208"/>
        <v>0707522-8/19</v>
      </c>
      <c r="E13679" t="s">
        <v>2814</v>
      </c>
      <c r="F13679" t="s">
        <v>2815</v>
      </c>
      <c r="G13679">
        <v>153.72</v>
      </c>
      <c r="H13679">
        <v>250701</v>
      </c>
      <c r="I13679">
        <v>4841</v>
      </c>
      <c r="J13679" t="s">
        <v>9</v>
      </c>
      <c r="K13679">
        <v>3094.4</v>
      </c>
      <c r="L13679">
        <v>31.23</v>
      </c>
      <c r="M13679">
        <v>11401</v>
      </c>
      <c r="N13679" t="s">
        <v>91</v>
      </c>
      <c r="O13679">
        <v>250618</v>
      </c>
      <c r="P13679">
        <v>122.49</v>
      </c>
    </row>
    <row r="13680" spans="1:16" x14ac:dyDescent="0.25">
      <c r="A13680" t="s">
        <v>3296</v>
      </c>
      <c r="B13680" t="s">
        <v>2931</v>
      </c>
      <c r="C13680">
        <v>8900</v>
      </c>
      <c r="D13680" t="str">
        <f t="shared" si="208"/>
        <v>0707522-8/19</v>
      </c>
      <c r="E13680" t="s">
        <v>2814</v>
      </c>
      <c r="F13680" t="s">
        <v>2815</v>
      </c>
      <c r="G13680">
        <v>24.84</v>
      </c>
      <c r="H13680">
        <v>250701</v>
      </c>
      <c r="I13680">
        <v>4841</v>
      </c>
      <c r="J13680" t="s">
        <v>9</v>
      </c>
      <c r="K13680">
        <v>3094.4</v>
      </c>
      <c r="L13680">
        <v>5.05</v>
      </c>
      <c r="M13680">
        <v>11501</v>
      </c>
      <c r="N13680" t="s">
        <v>13</v>
      </c>
      <c r="O13680">
        <v>250618</v>
      </c>
      <c r="P13680">
        <v>19.79</v>
      </c>
    </row>
    <row r="13681" spans="1:16" x14ac:dyDescent="0.25">
      <c r="A13681" t="s">
        <v>3296</v>
      </c>
      <c r="B13681" t="s">
        <v>2931</v>
      </c>
      <c r="C13681">
        <v>8900</v>
      </c>
      <c r="D13681" t="str">
        <f t="shared" si="208"/>
        <v>0707522-8/19</v>
      </c>
      <c r="E13681" t="s">
        <v>2814</v>
      </c>
      <c r="F13681" t="s">
        <v>2815</v>
      </c>
      <c r="G13681">
        <v>75.209999999999994</v>
      </c>
      <c r="H13681">
        <v>250701</v>
      </c>
      <c r="I13681">
        <v>4841</v>
      </c>
      <c r="J13681" t="s">
        <v>9</v>
      </c>
      <c r="K13681">
        <v>3094.4</v>
      </c>
      <c r="L13681">
        <v>15.28</v>
      </c>
      <c r="M13681">
        <v>11601</v>
      </c>
      <c r="N13681" t="s">
        <v>12</v>
      </c>
      <c r="O13681">
        <v>250618</v>
      </c>
      <c r="P13681">
        <v>59.93</v>
      </c>
    </row>
    <row r="13682" spans="1:16" x14ac:dyDescent="0.25">
      <c r="A13682" t="s">
        <v>3296</v>
      </c>
      <c r="B13682" t="s">
        <v>2931</v>
      </c>
      <c r="C13682">
        <v>8900</v>
      </c>
      <c r="D13682" t="str">
        <f t="shared" si="208"/>
        <v>0707522-8/19</v>
      </c>
      <c r="E13682" t="s">
        <v>2814</v>
      </c>
      <c r="F13682" t="s">
        <v>2815</v>
      </c>
      <c r="G13682">
        <v>90.1</v>
      </c>
      <c r="H13682">
        <v>250701</v>
      </c>
      <c r="I13682">
        <v>4841</v>
      </c>
      <c r="J13682" t="s">
        <v>9</v>
      </c>
      <c r="K13682">
        <v>3094.4</v>
      </c>
      <c r="L13682">
        <v>18.309999999999999</v>
      </c>
      <c r="M13682">
        <v>11701</v>
      </c>
      <c r="N13682" t="s">
        <v>973</v>
      </c>
      <c r="O13682">
        <v>250618</v>
      </c>
      <c r="P13682">
        <v>71.790000000000006</v>
      </c>
    </row>
    <row r="13683" spans="1:16" x14ac:dyDescent="0.25">
      <c r="A13683" t="s">
        <v>3296</v>
      </c>
      <c r="B13683" t="s">
        <v>2931</v>
      </c>
      <c r="C13683">
        <v>8900</v>
      </c>
      <c r="D13683" t="str">
        <f t="shared" si="208"/>
        <v>0707522-8/19</v>
      </c>
      <c r="E13683" t="s">
        <v>2814</v>
      </c>
      <c r="F13683" t="s">
        <v>2815</v>
      </c>
      <c r="G13683">
        <v>2402.5300000000002</v>
      </c>
      <c r="H13683">
        <v>250701</v>
      </c>
      <c r="I13683">
        <v>4841</v>
      </c>
      <c r="J13683" t="s">
        <v>9</v>
      </c>
      <c r="K13683">
        <v>3094.4</v>
      </c>
      <c r="L13683">
        <v>488.16</v>
      </c>
      <c r="M13683">
        <v>11801</v>
      </c>
      <c r="N13683" t="s">
        <v>40</v>
      </c>
      <c r="O13683">
        <v>250618</v>
      </c>
      <c r="P13683">
        <v>1914.37</v>
      </c>
    </row>
    <row r="13684" spans="1:16" x14ac:dyDescent="0.25">
      <c r="A13684" t="s">
        <v>3296</v>
      </c>
      <c r="B13684" t="s">
        <v>2931</v>
      </c>
      <c r="C13684">
        <v>8900</v>
      </c>
      <c r="D13684" t="str">
        <f t="shared" si="208"/>
        <v>0707522-8/19</v>
      </c>
      <c r="E13684" t="s">
        <v>2814</v>
      </c>
      <c r="F13684" t="s">
        <v>2815</v>
      </c>
      <c r="G13684">
        <v>214.34</v>
      </c>
      <c r="H13684">
        <v>250701</v>
      </c>
      <c r="I13684">
        <v>4841</v>
      </c>
      <c r="J13684" t="s">
        <v>9</v>
      </c>
      <c r="K13684">
        <v>3094.4</v>
      </c>
      <c r="L13684">
        <v>43.55</v>
      </c>
      <c r="M13684">
        <v>13801</v>
      </c>
      <c r="N13684" t="s">
        <v>33</v>
      </c>
      <c r="O13684">
        <v>250618</v>
      </c>
      <c r="P13684">
        <v>170.79</v>
      </c>
    </row>
    <row r="13685" spans="1:16" x14ac:dyDescent="0.25">
      <c r="A13685" t="s">
        <v>3296</v>
      </c>
      <c r="B13685" t="s">
        <v>2931</v>
      </c>
      <c r="C13685">
        <v>8900</v>
      </c>
      <c r="D13685" t="str">
        <f t="shared" si="208"/>
        <v>0707522-8/19</v>
      </c>
      <c r="E13685" t="s">
        <v>2814</v>
      </c>
      <c r="F13685" t="s">
        <v>2815</v>
      </c>
      <c r="G13685">
        <v>33.51</v>
      </c>
      <c r="H13685">
        <v>250701</v>
      </c>
      <c r="I13685">
        <v>4841</v>
      </c>
      <c r="J13685" t="s">
        <v>9</v>
      </c>
      <c r="K13685">
        <v>3094.4</v>
      </c>
      <c r="L13685">
        <v>6.81</v>
      </c>
      <c r="M13685">
        <v>14971</v>
      </c>
      <c r="N13685" t="s">
        <v>81</v>
      </c>
      <c r="O13685">
        <v>250618</v>
      </c>
      <c r="P13685">
        <v>26.7</v>
      </c>
    </row>
    <row r="13686" spans="1:16" x14ac:dyDescent="0.25">
      <c r="A13686" t="s">
        <v>3296</v>
      </c>
      <c r="B13686" t="s">
        <v>2931</v>
      </c>
      <c r="C13686">
        <v>8905</v>
      </c>
      <c r="D13686" t="str">
        <f t="shared" ref="D13686:D13691" si="209">"707522-10/19"</f>
        <v>707522-10/19</v>
      </c>
      <c r="E13686" t="s">
        <v>2814</v>
      </c>
      <c r="F13686" t="s">
        <v>2815</v>
      </c>
      <c r="G13686">
        <v>21.07</v>
      </c>
      <c r="H13686">
        <v>250701</v>
      </c>
      <c r="I13686">
        <v>4841</v>
      </c>
      <c r="J13686" t="s">
        <v>9</v>
      </c>
      <c r="K13686">
        <v>331.27</v>
      </c>
      <c r="L13686">
        <v>4.28</v>
      </c>
      <c r="M13686">
        <v>11301</v>
      </c>
      <c r="N13686" t="s">
        <v>92</v>
      </c>
      <c r="O13686">
        <v>250618</v>
      </c>
      <c r="P13686">
        <v>16.79</v>
      </c>
    </row>
    <row r="13687" spans="1:16" x14ac:dyDescent="0.25">
      <c r="A13687" t="s">
        <v>3296</v>
      </c>
      <c r="B13687" t="s">
        <v>2931</v>
      </c>
      <c r="C13687">
        <v>8905</v>
      </c>
      <c r="D13687" t="str">
        <f t="shared" si="209"/>
        <v>707522-10/19</v>
      </c>
      <c r="E13687" t="s">
        <v>2814</v>
      </c>
      <c r="F13687" t="s">
        <v>2815</v>
      </c>
      <c r="G13687">
        <v>8.14</v>
      </c>
      <c r="H13687">
        <v>250701</v>
      </c>
      <c r="I13687">
        <v>4841</v>
      </c>
      <c r="J13687" t="s">
        <v>9</v>
      </c>
      <c r="K13687">
        <v>331.27</v>
      </c>
      <c r="L13687">
        <v>1.65</v>
      </c>
      <c r="M13687">
        <v>11900</v>
      </c>
      <c r="N13687" t="s">
        <v>30</v>
      </c>
      <c r="O13687">
        <v>250618</v>
      </c>
      <c r="P13687">
        <v>6.49</v>
      </c>
    </row>
    <row r="13688" spans="1:16" x14ac:dyDescent="0.25">
      <c r="A13688" t="s">
        <v>3296</v>
      </c>
      <c r="B13688" t="s">
        <v>2931</v>
      </c>
      <c r="C13688">
        <v>8905</v>
      </c>
      <c r="D13688" t="str">
        <f t="shared" si="209"/>
        <v>707522-10/19</v>
      </c>
      <c r="E13688" t="s">
        <v>2814</v>
      </c>
      <c r="F13688" t="s">
        <v>2815</v>
      </c>
      <c r="G13688">
        <v>29.96</v>
      </c>
      <c r="H13688">
        <v>250701</v>
      </c>
      <c r="I13688">
        <v>4841</v>
      </c>
      <c r="J13688" t="s">
        <v>9</v>
      </c>
      <c r="K13688">
        <v>331.27</v>
      </c>
      <c r="L13688">
        <v>6.09</v>
      </c>
      <c r="M13688">
        <v>13540</v>
      </c>
      <c r="N13688" t="s">
        <v>131</v>
      </c>
      <c r="O13688">
        <v>250618</v>
      </c>
      <c r="P13688">
        <v>23.87</v>
      </c>
    </row>
    <row r="13689" spans="1:16" x14ac:dyDescent="0.25">
      <c r="A13689" t="s">
        <v>3296</v>
      </c>
      <c r="B13689" t="s">
        <v>2931</v>
      </c>
      <c r="C13689">
        <v>8905</v>
      </c>
      <c r="D13689" t="str">
        <f t="shared" si="209"/>
        <v>707522-10/19</v>
      </c>
      <c r="E13689" t="s">
        <v>2814</v>
      </c>
      <c r="F13689" t="s">
        <v>2815</v>
      </c>
      <c r="G13689">
        <v>8.14</v>
      </c>
      <c r="H13689">
        <v>250701</v>
      </c>
      <c r="I13689">
        <v>4841</v>
      </c>
      <c r="J13689" t="s">
        <v>9</v>
      </c>
      <c r="K13689">
        <v>331.27</v>
      </c>
      <c r="L13689">
        <v>1.65</v>
      </c>
      <c r="M13689">
        <v>17538</v>
      </c>
      <c r="N13689" t="s">
        <v>129</v>
      </c>
      <c r="O13689">
        <v>250618</v>
      </c>
      <c r="P13689">
        <v>6.49</v>
      </c>
    </row>
    <row r="13690" spans="1:16" x14ac:dyDescent="0.25">
      <c r="A13690" t="s">
        <v>3296</v>
      </c>
      <c r="B13690" t="s">
        <v>2931</v>
      </c>
      <c r="C13690">
        <v>8905</v>
      </c>
      <c r="D13690" t="str">
        <f t="shared" si="209"/>
        <v>707522-10/19</v>
      </c>
      <c r="E13690" t="s">
        <v>2814</v>
      </c>
      <c r="F13690" t="s">
        <v>2815</v>
      </c>
      <c r="G13690">
        <v>242.44</v>
      </c>
      <c r="H13690">
        <v>250701</v>
      </c>
      <c r="I13690">
        <v>4841</v>
      </c>
      <c r="J13690" t="s">
        <v>9</v>
      </c>
      <c r="K13690">
        <v>331.27</v>
      </c>
      <c r="L13690">
        <v>49.26</v>
      </c>
      <c r="M13690">
        <v>17950</v>
      </c>
      <c r="N13690" t="s">
        <v>132</v>
      </c>
      <c r="O13690">
        <v>250618</v>
      </c>
      <c r="P13690">
        <v>193.18</v>
      </c>
    </row>
    <row r="13691" spans="1:16" x14ac:dyDescent="0.25">
      <c r="A13691" t="s">
        <v>3296</v>
      </c>
      <c r="B13691" t="s">
        <v>2931</v>
      </c>
      <c r="C13691">
        <v>8905</v>
      </c>
      <c r="D13691" t="str">
        <f t="shared" si="209"/>
        <v>707522-10/19</v>
      </c>
      <c r="E13691" t="s">
        <v>2814</v>
      </c>
      <c r="F13691" t="s">
        <v>2815</v>
      </c>
      <c r="G13691">
        <v>21.52</v>
      </c>
      <c r="H13691">
        <v>250701</v>
      </c>
      <c r="I13691">
        <v>4841</v>
      </c>
      <c r="J13691" t="s">
        <v>9</v>
      </c>
      <c r="K13691">
        <v>331.27</v>
      </c>
      <c r="L13691">
        <v>4.37</v>
      </c>
      <c r="M13691">
        <v>17972</v>
      </c>
      <c r="N13691" t="s">
        <v>28</v>
      </c>
      <c r="O13691">
        <v>250618</v>
      </c>
      <c r="P13691">
        <v>17.149999999999999</v>
      </c>
    </row>
    <row r="13692" spans="1:16" x14ac:dyDescent="0.25">
      <c r="A13692" t="s">
        <v>3296</v>
      </c>
      <c r="B13692" t="s">
        <v>2931</v>
      </c>
      <c r="C13692">
        <v>8908</v>
      </c>
      <c r="D13692" t="str">
        <f>"707522-17/19"</f>
        <v>707522-17/19</v>
      </c>
      <c r="E13692" t="s">
        <v>2814</v>
      </c>
      <c r="F13692" t="s">
        <v>2815</v>
      </c>
      <c r="G13692">
        <v>57.69</v>
      </c>
      <c r="H13692">
        <v>250701</v>
      </c>
      <c r="I13692">
        <v>4841</v>
      </c>
      <c r="J13692" t="s">
        <v>9</v>
      </c>
      <c r="K13692">
        <v>236.42</v>
      </c>
      <c r="L13692">
        <v>11.72</v>
      </c>
      <c r="M13692">
        <v>56522</v>
      </c>
      <c r="N13692" t="s">
        <v>68</v>
      </c>
      <c r="O13692">
        <v>250618</v>
      </c>
      <c r="P13692">
        <v>45.97</v>
      </c>
    </row>
    <row r="13693" spans="1:16" x14ac:dyDescent="0.25">
      <c r="A13693" t="s">
        <v>3296</v>
      </c>
      <c r="B13693" t="s">
        <v>2931</v>
      </c>
      <c r="C13693">
        <v>8908</v>
      </c>
      <c r="D13693" t="str">
        <f>"707522-17/19"</f>
        <v>707522-17/19</v>
      </c>
      <c r="E13693" t="s">
        <v>2814</v>
      </c>
      <c r="F13693" t="s">
        <v>2815</v>
      </c>
      <c r="G13693">
        <v>57.69</v>
      </c>
      <c r="H13693">
        <v>250701</v>
      </c>
      <c r="I13693">
        <v>4841</v>
      </c>
      <c r="J13693" t="s">
        <v>9</v>
      </c>
      <c r="K13693">
        <v>236.42</v>
      </c>
      <c r="L13693">
        <v>11.72</v>
      </c>
      <c r="M13693">
        <v>56524</v>
      </c>
      <c r="N13693" t="s">
        <v>69</v>
      </c>
      <c r="O13693">
        <v>250618</v>
      </c>
      <c r="P13693">
        <v>45.97</v>
      </c>
    </row>
    <row r="13694" spans="1:16" x14ac:dyDescent="0.25">
      <c r="A13694" t="s">
        <v>3296</v>
      </c>
      <c r="B13694" t="s">
        <v>2931</v>
      </c>
      <c r="C13694">
        <v>8908</v>
      </c>
      <c r="D13694" t="str">
        <f>"707522-17/19"</f>
        <v>707522-17/19</v>
      </c>
      <c r="E13694" t="s">
        <v>2814</v>
      </c>
      <c r="F13694" t="s">
        <v>2815</v>
      </c>
      <c r="G13694">
        <v>32.64</v>
      </c>
      <c r="H13694">
        <v>250701</v>
      </c>
      <c r="I13694">
        <v>4841</v>
      </c>
      <c r="J13694" t="s">
        <v>9</v>
      </c>
      <c r="K13694">
        <v>236.42</v>
      </c>
      <c r="L13694">
        <v>6.63</v>
      </c>
      <c r="M13694">
        <v>56528</v>
      </c>
      <c r="N13694" t="s">
        <v>70</v>
      </c>
      <c r="O13694">
        <v>250618</v>
      </c>
      <c r="P13694">
        <v>26.01</v>
      </c>
    </row>
    <row r="13695" spans="1:16" x14ac:dyDescent="0.25">
      <c r="A13695" t="s">
        <v>3296</v>
      </c>
      <c r="B13695" t="s">
        <v>2931</v>
      </c>
      <c r="C13695">
        <v>8908</v>
      </c>
      <c r="D13695" t="str">
        <f>"707522-17/19"</f>
        <v>707522-17/19</v>
      </c>
      <c r="E13695" t="s">
        <v>2814</v>
      </c>
      <c r="F13695" t="s">
        <v>2815</v>
      </c>
      <c r="G13695">
        <v>88.4</v>
      </c>
      <c r="H13695">
        <v>250701</v>
      </c>
      <c r="I13695">
        <v>4841</v>
      </c>
      <c r="J13695" t="s">
        <v>9</v>
      </c>
      <c r="K13695">
        <v>236.42</v>
      </c>
      <c r="L13695">
        <v>17.96</v>
      </c>
      <c r="M13695">
        <v>56528</v>
      </c>
      <c r="N13695" t="s">
        <v>70</v>
      </c>
      <c r="O13695">
        <v>250618</v>
      </c>
      <c r="P13695">
        <v>70.44</v>
      </c>
    </row>
    <row r="13696" spans="1:16" x14ac:dyDescent="0.25">
      <c r="A13696" t="s">
        <v>3296</v>
      </c>
      <c r="B13696" t="s">
        <v>2931</v>
      </c>
      <c r="C13696">
        <v>8912</v>
      </c>
      <c r="D13696" t="str">
        <f t="shared" ref="D13696:D13709" si="210">"707522-18/19"</f>
        <v>707522-18/19</v>
      </c>
      <c r="E13696" t="s">
        <v>2814</v>
      </c>
      <c r="F13696" t="s">
        <v>2815</v>
      </c>
      <c r="G13696">
        <v>268.12</v>
      </c>
      <c r="H13696">
        <v>250701</v>
      </c>
      <c r="I13696">
        <v>4841</v>
      </c>
      <c r="J13696" t="s">
        <v>9</v>
      </c>
      <c r="K13696">
        <v>4399.1499999999996</v>
      </c>
      <c r="L13696">
        <v>54.48</v>
      </c>
      <c r="M13696">
        <v>11301</v>
      </c>
      <c r="N13696" t="s">
        <v>92</v>
      </c>
      <c r="O13696">
        <v>250618</v>
      </c>
      <c r="P13696">
        <v>213.64</v>
      </c>
    </row>
    <row r="13697" spans="1:16" x14ac:dyDescent="0.25">
      <c r="A13697" t="s">
        <v>3296</v>
      </c>
      <c r="B13697" t="s">
        <v>2931</v>
      </c>
      <c r="C13697">
        <v>8912</v>
      </c>
      <c r="D13697" t="str">
        <f t="shared" si="210"/>
        <v>707522-18/19</v>
      </c>
      <c r="E13697" t="s">
        <v>2814</v>
      </c>
      <c r="F13697" t="s">
        <v>2815</v>
      </c>
      <c r="G13697">
        <v>8.14</v>
      </c>
      <c r="H13697">
        <v>250701</v>
      </c>
      <c r="I13697">
        <v>4841</v>
      </c>
      <c r="J13697" t="s">
        <v>9</v>
      </c>
      <c r="K13697">
        <v>4399.1499999999996</v>
      </c>
      <c r="L13697">
        <v>1.65</v>
      </c>
      <c r="M13697">
        <v>11901</v>
      </c>
      <c r="N13697" t="s">
        <v>31</v>
      </c>
      <c r="O13697">
        <v>250618</v>
      </c>
      <c r="P13697">
        <v>6.49</v>
      </c>
    </row>
    <row r="13698" spans="1:16" x14ac:dyDescent="0.25">
      <c r="A13698" t="s">
        <v>3296</v>
      </c>
      <c r="B13698" t="s">
        <v>2931</v>
      </c>
      <c r="C13698">
        <v>8912</v>
      </c>
      <c r="D13698" t="str">
        <f t="shared" si="210"/>
        <v>707522-18/19</v>
      </c>
      <c r="E13698" t="s">
        <v>2814</v>
      </c>
      <c r="F13698" t="s">
        <v>2815</v>
      </c>
      <c r="G13698">
        <v>998.58</v>
      </c>
      <c r="H13698">
        <v>250701</v>
      </c>
      <c r="I13698">
        <v>4841</v>
      </c>
      <c r="J13698" t="s">
        <v>9</v>
      </c>
      <c r="K13698">
        <v>4399.1499999999996</v>
      </c>
      <c r="L13698">
        <v>202.9</v>
      </c>
      <c r="M13698">
        <v>14121</v>
      </c>
      <c r="N13698" t="s">
        <v>71</v>
      </c>
      <c r="O13698">
        <v>250618</v>
      </c>
      <c r="P13698">
        <v>795.68</v>
      </c>
    </row>
    <row r="13699" spans="1:16" x14ac:dyDescent="0.25">
      <c r="A13699" t="s">
        <v>3296</v>
      </c>
      <c r="B13699" t="s">
        <v>2931</v>
      </c>
      <c r="C13699">
        <v>8912</v>
      </c>
      <c r="D13699" t="str">
        <f t="shared" si="210"/>
        <v>707522-18/19</v>
      </c>
      <c r="E13699" t="s">
        <v>2814</v>
      </c>
      <c r="F13699" t="s">
        <v>2815</v>
      </c>
      <c r="G13699">
        <v>434.15</v>
      </c>
      <c r="H13699">
        <v>250701</v>
      </c>
      <c r="I13699">
        <v>4841</v>
      </c>
      <c r="J13699" t="s">
        <v>9</v>
      </c>
      <c r="K13699">
        <v>4399.1499999999996</v>
      </c>
      <c r="L13699">
        <v>88.21</v>
      </c>
      <c r="M13699">
        <v>14321</v>
      </c>
      <c r="N13699" t="s">
        <v>72</v>
      </c>
      <c r="O13699">
        <v>250618</v>
      </c>
      <c r="P13699">
        <v>345.94</v>
      </c>
    </row>
    <row r="13700" spans="1:16" x14ac:dyDescent="0.25">
      <c r="A13700" t="s">
        <v>3296</v>
      </c>
      <c r="B13700" t="s">
        <v>2931</v>
      </c>
      <c r="C13700">
        <v>8912</v>
      </c>
      <c r="D13700" t="str">
        <f t="shared" si="210"/>
        <v>707522-18/19</v>
      </c>
      <c r="E13700" t="s">
        <v>2814</v>
      </c>
      <c r="F13700" t="s">
        <v>2815</v>
      </c>
      <c r="G13700">
        <v>218.42</v>
      </c>
      <c r="H13700">
        <v>250701</v>
      </c>
      <c r="I13700">
        <v>4841</v>
      </c>
      <c r="J13700" t="s">
        <v>9</v>
      </c>
      <c r="K13700">
        <v>4399.1499999999996</v>
      </c>
      <c r="L13700">
        <v>44.38</v>
      </c>
      <c r="M13700">
        <v>14422</v>
      </c>
      <c r="N13700" t="s">
        <v>73</v>
      </c>
      <c r="O13700">
        <v>250618</v>
      </c>
      <c r="P13700">
        <v>174.04</v>
      </c>
    </row>
    <row r="13701" spans="1:16" x14ac:dyDescent="0.25">
      <c r="A13701" t="s">
        <v>3296</v>
      </c>
      <c r="B13701" t="s">
        <v>2931</v>
      </c>
      <c r="C13701">
        <v>8912</v>
      </c>
      <c r="D13701" t="str">
        <f t="shared" si="210"/>
        <v>707522-18/19</v>
      </c>
      <c r="E13701" t="s">
        <v>2814</v>
      </c>
      <c r="F13701" t="s">
        <v>2815</v>
      </c>
      <c r="G13701">
        <v>210.28</v>
      </c>
      <c r="H13701">
        <v>250701</v>
      </c>
      <c r="I13701">
        <v>4841</v>
      </c>
      <c r="J13701" t="s">
        <v>9</v>
      </c>
      <c r="K13701">
        <v>4399.1499999999996</v>
      </c>
      <c r="L13701">
        <v>42.73</v>
      </c>
      <c r="M13701">
        <v>14541</v>
      </c>
      <c r="N13701" t="s">
        <v>76</v>
      </c>
      <c r="O13701">
        <v>250618</v>
      </c>
      <c r="P13701">
        <v>167.55</v>
      </c>
    </row>
    <row r="13702" spans="1:16" x14ac:dyDescent="0.25">
      <c r="A13702" t="s">
        <v>3296</v>
      </c>
      <c r="B13702" t="s">
        <v>2931</v>
      </c>
      <c r="C13702">
        <v>8912</v>
      </c>
      <c r="D13702" t="str">
        <f t="shared" si="210"/>
        <v>707522-18/19</v>
      </c>
      <c r="E13702" t="s">
        <v>2814</v>
      </c>
      <c r="F13702" t="s">
        <v>2815</v>
      </c>
      <c r="G13702">
        <v>1588.57</v>
      </c>
      <c r="H13702">
        <v>250701</v>
      </c>
      <c r="I13702">
        <v>4841</v>
      </c>
      <c r="J13702" t="s">
        <v>9</v>
      </c>
      <c r="K13702">
        <v>4399.1499999999996</v>
      </c>
      <c r="L13702">
        <v>322.77999999999997</v>
      </c>
      <c r="M13702">
        <v>14622</v>
      </c>
      <c r="N13702" t="s">
        <v>77</v>
      </c>
      <c r="O13702">
        <v>250618</v>
      </c>
      <c r="P13702">
        <v>1265.79</v>
      </c>
    </row>
    <row r="13703" spans="1:16" x14ac:dyDescent="0.25">
      <c r="A13703" t="s">
        <v>3296</v>
      </c>
      <c r="B13703" t="s">
        <v>2931</v>
      </c>
      <c r="C13703">
        <v>8912</v>
      </c>
      <c r="D13703" t="str">
        <f t="shared" si="210"/>
        <v>707522-18/19</v>
      </c>
      <c r="E13703" t="s">
        <v>2814</v>
      </c>
      <c r="F13703" t="s">
        <v>2815</v>
      </c>
      <c r="G13703">
        <v>201.2</v>
      </c>
      <c r="H13703">
        <v>250701</v>
      </c>
      <c r="I13703">
        <v>4841</v>
      </c>
      <c r="J13703" t="s">
        <v>9</v>
      </c>
      <c r="K13703">
        <v>4399.1499999999996</v>
      </c>
      <c r="L13703">
        <v>40.880000000000003</v>
      </c>
      <c r="M13703">
        <v>14622</v>
      </c>
      <c r="N13703" t="s">
        <v>77</v>
      </c>
      <c r="O13703">
        <v>250618</v>
      </c>
      <c r="P13703">
        <v>160.32</v>
      </c>
    </row>
    <row r="13704" spans="1:16" x14ac:dyDescent="0.25">
      <c r="A13704" t="s">
        <v>3296</v>
      </c>
      <c r="B13704" t="s">
        <v>2931</v>
      </c>
      <c r="C13704">
        <v>8912</v>
      </c>
      <c r="D13704" t="str">
        <f t="shared" si="210"/>
        <v>707522-18/19</v>
      </c>
      <c r="E13704" t="s">
        <v>2814</v>
      </c>
      <c r="F13704" t="s">
        <v>2815</v>
      </c>
      <c r="G13704">
        <v>210.28</v>
      </c>
      <c r="H13704">
        <v>250701</v>
      </c>
      <c r="I13704">
        <v>4841</v>
      </c>
      <c r="J13704" t="s">
        <v>9</v>
      </c>
      <c r="K13704">
        <v>4399.1499999999996</v>
      </c>
      <c r="L13704">
        <v>42.73</v>
      </c>
      <c r="M13704">
        <v>14640</v>
      </c>
      <c r="N13704" t="s">
        <v>78</v>
      </c>
      <c r="O13704">
        <v>250618</v>
      </c>
      <c r="P13704">
        <v>167.55</v>
      </c>
    </row>
    <row r="13705" spans="1:16" x14ac:dyDescent="0.25">
      <c r="A13705" t="s">
        <v>3296</v>
      </c>
      <c r="B13705" t="s">
        <v>2931</v>
      </c>
      <c r="C13705">
        <v>8912</v>
      </c>
      <c r="D13705" t="str">
        <f t="shared" si="210"/>
        <v>707522-18/19</v>
      </c>
      <c r="E13705" t="s">
        <v>2814</v>
      </c>
      <c r="F13705" t="s">
        <v>2815</v>
      </c>
      <c r="G13705">
        <v>33.53</v>
      </c>
      <c r="H13705">
        <v>250701</v>
      </c>
      <c r="I13705">
        <v>4841</v>
      </c>
      <c r="J13705" t="s">
        <v>9</v>
      </c>
      <c r="K13705">
        <v>4399.1499999999996</v>
      </c>
      <c r="L13705">
        <v>6.81</v>
      </c>
      <c r="M13705">
        <v>14912</v>
      </c>
      <c r="N13705" t="s">
        <v>80</v>
      </c>
      <c r="O13705">
        <v>250618</v>
      </c>
      <c r="P13705">
        <v>26.72</v>
      </c>
    </row>
    <row r="13706" spans="1:16" x14ac:dyDescent="0.25">
      <c r="A13706" t="s">
        <v>3296</v>
      </c>
      <c r="B13706" t="s">
        <v>2931</v>
      </c>
      <c r="C13706">
        <v>8912</v>
      </c>
      <c r="D13706" t="str">
        <f t="shared" si="210"/>
        <v>707522-18/19</v>
      </c>
      <c r="E13706" t="s">
        <v>2814</v>
      </c>
      <c r="F13706" t="s">
        <v>2815</v>
      </c>
      <c r="G13706">
        <v>144.31</v>
      </c>
      <c r="H13706">
        <v>250701</v>
      </c>
      <c r="I13706">
        <v>4841</v>
      </c>
      <c r="J13706" t="s">
        <v>9</v>
      </c>
      <c r="K13706">
        <v>4399.1499999999996</v>
      </c>
      <c r="L13706">
        <v>29.32</v>
      </c>
      <c r="M13706">
        <v>14971</v>
      </c>
      <c r="N13706" t="s">
        <v>81</v>
      </c>
      <c r="O13706">
        <v>250618</v>
      </c>
      <c r="P13706">
        <v>114.99</v>
      </c>
    </row>
    <row r="13707" spans="1:16" x14ac:dyDescent="0.25">
      <c r="A13707" t="s">
        <v>3296</v>
      </c>
      <c r="B13707" t="s">
        <v>2931</v>
      </c>
      <c r="C13707">
        <v>8912</v>
      </c>
      <c r="D13707" t="str">
        <f t="shared" si="210"/>
        <v>707522-18/19</v>
      </c>
      <c r="E13707" t="s">
        <v>2814</v>
      </c>
      <c r="F13707" t="s">
        <v>2815</v>
      </c>
      <c r="G13707">
        <v>8.36</v>
      </c>
      <c r="H13707">
        <v>250701</v>
      </c>
      <c r="I13707">
        <v>4841</v>
      </c>
      <c r="J13707" t="s">
        <v>9</v>
      </c>
      <c r="K13707">
        <v>4399.1499999999996</v>
      </c>
      <c r="L13707">
        <v>1.7</v>
      </c>
      <c r="M13707">
        <v>14972</v>
      </c>
      <c r="N13707" t="s">
        <v>82</v>
      </c>
      <c r="O13707">
        <v>250618</v>
      </c>
      <c r="P13707">
        <v>6.66</v>
      </c>
    </row>
    <row r="13708" spans="1:16" x14ac:dyDescent="0.25">
      <c r="A13708" t="s">
        <v>3296</v>
      </c>
      <c r="B13708" t="s">
        <v>2931</v>
      </c>
      <c r="C13708">
        <v>8912</v>
      </c>
      <c r="D13708" t="str">
        <f t="shared" si="210"/>
        <v>707522-18/19</v>
      </c>
      <c r="E13708" t="s">
        <v>2814</v>
      </c>
      <c r="F13708" t="s">
        <v>2815</v>
      </c>
      <c r="G13708">
        <v>41.68</v>
      </c>
      <c r="H13708">
        <v>250701</v>
      </c>
      <c r="I13708">
        <v>4841</v>
      </c>
      <c r="J13708" t="s">
        <v>9</v>
      </c>
      <c r="K13708">
        <v>4399.1499999999996</v>
      </c>
      <c r="L13708">
        <v>8.4700000000000006</v>
      </c>
      <c r="M13708">
        <v>14975</v>
      </c>
      <c r="N13708" t="s">
        <v>84</v>
      </c>
      <c r="O13708">
        <v>250618</v>
      </c>
      <c r="P13708">
        <v>33.21</v>
      </c>
    </row>
    <row r="13709" spans="1:16" x14ac:dyDescent="0.25">
      <c r="A13709" t="s">
        <v>3296</v>
      </c>
      <c r="B13709" t="s">
        <v>2931</v>
      </c>
      <c r="C13709">
        <v>8912</v>
      </c>
      <c r="D13709" t="str">
        <f t="shared" si="210"/>
        <v>707522-18/19</v>
      </c>
      <c r="E13709" t="s">
        <v>2814</v>
      </c>
      <c r="F13709" t="s">
        <v>2815</v>
      </c>
      <c r="G13709">
        <v>33.53</v>
      </c>
      <c r="H13709">
        <v>250701</v>
      </c>
      <c r="I13709">
        <v>4841</v>
      </c>
      <c r="J13709" t="s">
        <v>9</v>
      </c>
      <c r="K13709">
        <v>4399.1499999999996</v>
      </c>
      <c r="L13709">
        <v>6.81</v>
      </c>
      <c r="M13709">
        <v>14990</v>
      </c>
      <c r="N13709" t="s">
        <v>85</v>
      </c>
      <c r="O13709">
        <v>250618</v>
      </c>
      <c r="P13709">
        <v>26.72</v>
      </c>
    </row>
    <row r="13710" spans="1:16" x14ac:dyDescent="0.25">
      <c r="A13710" t="s">
        <v>3296</v>
      </c>
      <c r="B13710" t="s">
        <v>2931</v>
      </c>
      <c r="C13710">
        <v>9130</v>
      </c>
      <c r="D13710" t="str">
        <f t="shared" ref="D13710:D13727" si="211">"707522-19/19"</f>
        <v>707522-19/19</v>
      </c>
      <c r="E13710" t="s">
        <v>2814</v>
      </c>
      <c r="F13710" t="s">
        <v>2815</v>
      </c>
      <c r="G13710">
        <v>88.4</v>
      </c>
      <c r="H13710">
        <v>250701</v>
      </c>
      <c r="I13710">
        <v>4841</v>
      </c>
      <c r="J13710" t="s">
        <v>9</v>
      </c>
      <c r="K13710">
        <v>3518.16</v>
      </c>
      <c r="L13710">
        <v>17.96</v>
      </c>
      <c r="M13710">
        <v>54222</v>
      </c>
      <c r="N13710" t="s">
        <v>48</v>
      </c>
      <c r="O13710">
        <v>250627</v>
      </c>
      <c r="P13710">
        <v>70.44</v>
      </c>
    </row>
    <row r="13711" spans="1:16" x14ac:dyDescent="0.25">
      <c r="A13711" t="s">
        <v>3296</v>
      </c>
      <c r="B13711" t="s">
        <v>2931</v>
      </c>
      <c r="C13711">
        <v>9130</v>
      </c>
      <c r="D13711" t="str">
        <f t="shared" si="211"/>
        <v>707522-19/19</v>
      </c>
      <c r="E13711" t="s">
        <v>2814</v>
      </c>
      <c r="F13711" t="s">
        <v>2815</v>
      </c>
      <c r="G13711">
        <v>90.33</v>
      </c>
      <c r="H13711">
        <v>250701</v>
      </c>
      <c r="I13711">
        <v>4841</v>
      </c>
      <c r="J13711" t="s">
        <v>9</v>
      </c>
      <c r="K13711">
        <v>3518.16</v>
      </c>
      <c r="L13711">
        <v>18.350000000000001</v>
      </c>
      <c r="M13711">
        <v>54222</v>
      </c>
      <c r="N13711" t="s">
        <v>48</v>
      </c>
      <c r="O13711">
        <v>250627</v>
      </c>
      <c r="P13711">
        <v>71.98</v>
      </c>
    </row>
    <row r="13712" spans="1:16" x14ac:dyDescent="0.25">
      <c r="A13712" t="s">
        <v>3296</v>
      </c>
      <c r="B13712" t="s">
        <v>2931</v>
      </c>
      <c r="C13712">
        <v>9130</v>
      </c>
      <c r="D13712" t="str">
        <f t="shared" si="211"/>
        <v>707522-19/19</v>
      </c>
      <c r="E13712" t="s">
        <v>2814</v>
      </c>
      <c r="F13712" t="s">
        <v>2815</v>
      </c>
      <c r="G13712">
        <v>302.12</v>
      </c>
      <c r="H13712">
        <v>250701</v>
      </c>
      <c r="I13712">
        <v>4841</v>
      </c>
      <c r="J13712" t="s">
        <v>9</v>
      </c>
      <c r="K13712">
        <v>3518.16</v>
      </c>
      <c r="L13712">
        <v>61.39</v>
      </c>
      <c r="M13712">
        <v>54252</v>
      </c>
      <c r="N13712" t="s">
        <v>742</v>
      </c>
      <c r="O13712">
        <v>250627</v>
      </c>
      <c r="P13712">
        <v>240.73</v>
      </c>
    </row>
    <row r="13713" spans="1:16" x14ac:dyDescent="0.25">
      <c r="A13713" t="s">
        <v>3296</v>
      </c>
      <c r="B13713" t="s">
        <v>2931</v>
      </c>
      <c r="C13713">
        <v>9130</v>
      </c>
      <c r="D13713" t="str">
        <f t="shared" si="211"/>
        <v>707522-19/19</v>
      </c>
      <c r="E13713" t="s">
        <v>2814</v>
      </c>
      <c r="F13713" t="s">
        <v>2815</v>
      </c>
      <c r="G13713">
        <v>32.64</v>
      </c>
      <c r="H13713">
        <v>250701</v>
      </c>
      <c r="I13713">
        <v>4841</v>
      </c>
      <c r="J13713" t="s">
        <v>9</v>
      </c>
      <c r="K13713">
        <v>3518.16</v>
      </c>
      <c r="L13713">
        <v>6.63</v>
      </c>
      <c r="M13713">
        <v>54422</v>
      </c>
      <c r="N13713" t="s">
        <v>49</v>
      </c>
      <c r="O13713">
        <v>250627</v>
      </c>
      <c r="P13713">
        <v>26.01</v>
      </c>
    </row>
    <row r="13714" spans="1:16" x14ac:dyDescent="0.25">
      <c r="A13714" t="s">
        <v>3296</v>
      </c>
      <c r="B13714" t="s">
        <v>2931</v>
      </c>
      <c r="C13714">
        <v>9130</v>
      </c>
      <c r="D13714" t="str">
        <f t="shared" si="211"/>
        <v>707522-19/19</v>
      </c>
      <c r="E13714" t="s">
        <v>2814</v>
      </c>
      <c r="F13714" t="s">
        <v>2815</v>
      </c>
      <c r="G13714">
        <v>108.73</v>
      </c>
      <c r="H13714">
        <v>250701</v>
      </c>
      <c r="I13714">
        <v>4841</v>
      </c>
      <c r="J13714" t="s">
        <v>9</v>
      </c>
      <c r="K13714">
        <v>3518.16</v>
      </c>
      <c r="L13714">
        <v>22.09</v>
      </c>
      <c r="M13714">
        <v>54422</v>
      </c>
      <c r="N13714" t="s">
        <v>49</v>
      </c>
      <c r="O13714">
        <v>250627</v>
      </c>
      <c r="P13714">
        <v>86.64</v>
      </c>
    </row>
    <row r="13715" spans="1:16" x14ac:dyDescent="0.25">
      <c r="A13715" t="s">
        <v>3296</v>
      </c>
      <c r="B13715" t="s">
        <v>2931</v>
      </c>
      <c r="C13715">
        <v>9130</v>
      </c>
      <c r="D13715" t="str">
        <f t="shared" si="211"/>
        <v>707522-19/19</v>
      </c>
      <c r="E13715" t="s">
        <v>2814</v>
      </c>
      <c r="F13715" t="s">
        <v>2815</v>
      </c>
      <c r="G13715">
        <v>866.01</v>
      </c>
      <c r="H13715">
        <v>250701</v>
      </c>
      <c r="I13715">
        <v>4841</v>
      </c>
      <c r="J13715" t="s">
        <v>9</v>
      </c>
      <c r="K13715">
        <v>3518.16</v>
      </c>
      <c r="L13715">
        <v>175.96</v>
      </c>
      <c r="M13715">
        <v>56558</v>
      </c>
      <c r="N13715" t="s">
        <v>50</v>
      </c>
      <c r="O13715">
        <v>250627</v>
      </c>
      <c r="P13715">
        <v>690.05</v>
      </c>
    </row>
    <row r="13716" spans="1:16" x14ac:dyDescent="0.25">
      <c r="A13716" t="s">
        <v>3296</v>
      </c>
      <c r="B13716" t="s">
        <v>2931</v>
      </c>
      <c r="C13716">
        <v>9130</v>
      </c>
      <c r="D13716" t="str">
        <f t="shared" si="211"/>
        <v>707522-19/19</v>
      </c>
      <c r="E13716" t="s">
        <v>2814</v>
      </c>
      <c r="F13716" t="s">
        <v>2815</v>
      </c>
      <c r="G13716">
        <v>97.93</v>
      </c>
      <c r="H13716">
        <v>250701</v>
      </c>
      <c r="I13716">
        <v>4841</v>
      </c>
      <c r="J13716" t="s">
        <v>9</v>
      </c>
      <c r="K13716">
        <v>3518.16</v>
      </c>
      <c r="L13716">
        <v>19.899999999999999</v>
      </c>
      <c r="M13716">
        <v>56559</v>
      </c>
      <c r="N13716" t="s">
        <v>51</v>
      </c>
      <c r="O13716">
        <v>250627</v>
      </c>
      <c r="P13716">
        <v>78.03</v>
      </c>
    </row>
    <row r="13717" spans="1:16" x14ac:dyDescent="0.25">
      <c r="A13717" t="s">
        <v>3296</v>
      </c>
      <c r="B13717" t="s">
        <v>2931</v>
      </c>
      <c r="C13717">
        <v>9130</v>
      </c>
      <c r="D13717" t="str">
        <f t="shared" si="211"/>
        <v>707522-19/19</v>
      </c>
      <c r="E13717" t="s">
        <v>2814</v>
      </c>
      <c r="F13717" t="s">
        <v>2815</v>
      </c>
      <c r="G13717">
        <v>389.78</v>
      </c>
      <c r="H13717">
        <v>250701</v>
      </c>
      <c r="I13717">
        <v>4841</v>
      </c>
      <c r="J13717" t="s">
        <v>9</v>
      </c>
      <c r="K13717">
        <v>3518.16</v>
      </c>
      <c r="L13717">
        <v>79.2</v>
      </c>
      <c r="M13717">
        <v>56560</v>
      </c>
      <c r="N13717" t="s">
        <v>52</v>
      </c>
      <c r="O13717">
        <v>250627</v>
      </c>
      <c r="P13717">
        <v>310.58</v>
      </c>
    </row>
    <row r="13718" spans="1:16" x14ac:dyDescent="0.25">
      <c r="A13718" t="s">
        <v>3296</v>
      </c>
      <c r="B13718" t="s">
        <v>2931</v>
      </c>
      <c r="C13718">
        <v>9130</v>
      </c>
      <c r="D13718" t="str">
        <f t="shared" si="211"/>
        <v>707522-19/19</v>
      </c>
      <c r="E13718" t="s">
        <v>2814</v>
      </c>
      <c r="F13718" t="s">
        <v>2815</v>
      </c>
      <c r="G13718">
        <v>950.6</v>
      </c>
      <c r="H13718">
        <v>250701</v>
      </c>
      <c r="I13718">
        <v>4841</v>
      </c>
      <c r="J13718" t="s">
        <v>9</v>
      </c>
      <c r="K13718">
        <v>3518.16</v>
      </c>
      <c r="L13718">
        <v>193.15</v>
      </c>
      <c r="M13718">
        <v>56566</v>
      </c>
      <c r="N13718" t="s">
        <v>58</v>
      </c>
      <c r="O13718">
        <v>250627</v>
      </c>
      <c r="P13718">
        <v>757.45</v>
      </c>
    </row>
    <row r="13719" spans="1:16" x14ac:dyDescent="0.25">
      <c r="A13719" t="s">
        <v>3296</v>
      </c>
      <c r="B13719" t="s">
        <v>2931</v>
      </c>
      <c r="C13719">
        <v>9130</v>
      </c>
      <c r="D13719" t="str">
        <f t="shared" si="211"/>
        <v>707522-19/19</v>
      </c>
      <c r="E13719" t="s">
        <v>2814</v>
      </c>
      <c r="F13719" t="s">
        <v>2815</v>
      </c>
      <c r="G13719">
        <v>31.89</v>
      </c>
      <c r="H13719">
        <v>250701</v>
      </c>
      <c r="I13719">
        <v>4841</v>
      </c>
      <c r="J13719" t="s">
        <v>9</v>
      </c>
      <c r="K13719">
        <v>3518.16</v>
      </c>
      <c r="L13719">
        <v>6.48</v>
      </c>
      <c r="M13719">
        <v>58601</v>
      </c>
      <c r="N13719" t="s">
        <v>59</v>
      </c>
      <c r="O13719">
        <v>250627</v>
      </c>
      <c r="P13719">
        <v>25.41</v>
      </c>
    </row>
    <row r="13720" spans="1:16" x14ac:dyDescent="0.25">
      <c r="A13720" t="s">
        <v>3296</v>
      </c>
      <c r="B13720" t="s">
        <v>2931</v>
      </c>
      <c r="C13720">
        <v>9130</v>
      </c>
      <c r="D13720" t="str">
        <f t="shared" si="211"/>
        <v>707522-19/19</v>
      </c>
      <c r="E13720" t="s">
        <v>2814</v>
      </c>
      <c r="F13720" t="s">
        <v>2815</v>
      </c>
      <c r="G13720">
        <v>32.64</v>
      </c>
      <c r="H13720">
        <v>250701</v>
      </c>
      <c r="I13720">
        <v>4841</v>
      </c>
      <c r="J13720" t="s">
        <v>9</v>
      </c>
      <c r="K13720">
        <v>3518.16</v>
      </c>
      <c r="L13720">
        <v>6.63</v>
      </c>
      <c r="M13720">
        <v>59111</v>
      </c>
      <c r="N13720" t="s">
        <v>60</v>
      </c>
      <c r="O13720">
        <v>250627</v>
      </c>
      <c r="P13720">
        <v>26.01</v>
      </c>
    </row>
    <row r="13721" spans="1:16" x14ac:dyDescent="0.25">
      <c r="A13721" t="s">
        <v>3296</v>
      </c>
      <c r="B13721" t="s">
        <v>2931</v>
      </c>
      <c r="C13721">
        <v>9130</v>
      </c>
      <c r="D13721" t="str">
        <f t="shared" si="211"/>
        <v>707522-19/19</v>
      </c>
      <c r="E13721" t="s">
        <v>2814</v>
      </c>
      <c r="F13721" t="s">
        <v>2815</v>
      </c>
      <c r="G13721">
        <v>32.64</v>
      </c>
      <c r="H13721">
        <v>250701</v>
      </c>
      <c r="I13721">
        <v>4841</v>
      </c>
      <c r="J13721" t="s">
        <v>9</v>
      </c>
      <c r="K13721">
        <v>3518.16</v>
      </c>
      <c r="L13721">
        <v>6.63</v>
      </c>
      <c r="M13721">
        <v>59501</v>
      </c>
      <c r="N13721" t="s">
        <v>62</v>
      </c>
      <c r="O13721">
        <v>250627</v>
      </c>
      <c r="P13721">
        <v>26.01</v>
      </c>
    </row>
    <row r="13722" spans="1:16" x14ac:dyDescent="0.25">
      <c r="A13722" t="s">
        <v>3296</v>
      </c>
      <c r="B13722" t="s">
        <v>2931</v>
      </c>
      <c r="C13722">
        <v>9130</v>
      </c>
      <c r="D13722" t="str">
        <f t="shared" si="211"/>
        <v>707522-19/19</v>
      </c>
      <c r="E13722" t="s">
        <v>2814</v>
      </c>
      <c r="F13722" t="s">
        <v>2815</v>
      </c>
      <c r="G13722">
        <v>207.61</v>
      </c>
      <c r="H13722">
        <v>250701</v>
      </c>
      <c r="I13722">
        <v>4841</v>
      </c>
      <c r="J13722" t="s">
        <v>9</v>
      </c>
      <c r="K13722">
        <v>3518.16</v>
      </c>
      <c r="L13722">
        <v>42.18</v>
      </c>
      <c r="M13722">
        <v>59502</v>
      </c>
      <c r="N13722" t="s">
        <v>63</v>
      </c>
      <c r="O13722">
        <v>250627</v>
      </c>
      <c r="P13722">
        <v>165.43</v>
      </c>
    </row>
    <row r="13723" spans="1:16" x14ac:dyDescent="0.25">
      <c r="A13723" t="s">
        <v>3296</v>
      </c>
      <c r="B13723" t="s">
        <v>2931</v>
      </c>
      <c r="C13723">
        <v>9130</v>
      </c>
      <c r="D13723" t="str">
        <f t="shared" si="211"/>
        <v>707522-19/19</v>
      </c>
      <c r="E13723" t="s">
        <v>2814</v>
      </c>
      <c r="F13723" t="s">
        <v>2815</v>
      </c>
      <c r="G13723">
        <v>66.92</v>
      </c>
      <c r="H13723">
        <v>250701</v>
      </c>
      <c r="I13723">
        <v>4841</v>
      </c>
      <c r="J13723" t="s">
        <v>9</v>
      </c>
      <c r="K13723">
        <v>3518.16</v>
      </c>
      <c r="L13723">
        <v>13.6</v>
      </c>
      <c r="M13723">
        <v>59701</v>
      </c>
      <c r="N13723" t="s">
        <v>64</v>
      </c>
      <c r="O13723">
        <v>250627</v>
      </c>
      <c r="P13723">
        <v>53.32</v>
      </c>
    </row>
    <row r="13724" spans="1:16" x14ac:dyDescent="0.25">
      <c r="A13724" t="s">
        <v>3296</v>
      </c>
      <c r="B13724" t="s">
        <v>2931</v>
      </c>
      <c r="C13724">
        <v>9130</v>
      </c>
      <c r="D13724" t="str">
        <f t="shared" si="211"/>
        <v>707522-19/19</v>
      </c>
      <c r="E13724" t="s">
        <v>2814</v>
      </c>
      <c r="F13724" t="s">
        <v>2815</v>
      </c>
      <c r="G13724">
        <v>57.13</v>
      </c>
      <c r="H13724">
        <v>250701</v>
      </c>
      <c r="I13724">
        <v>4841</v>
      </c>
      <c r="J13724" t="s">
        <v>9</v>
      </c>
      <c r="K13724">
        <v>3518.16</v>
      </c>
      <c r="L13724">
        <v>11.61</v>
      </c>
      <c r="M13724">
        <v>59702</v>
      </c>
      <c r="N13724" t="s">
        <v>45</v>
      </c>
      <c r="O13724">
        <v>250627</v>
      </c>
      <c r="P13724">
        <v>45.52</v>
      </c>
    </row>
    <row r="13725" spans="1:16" x14ac:dyDescent="0.25">
      <c r="A13725" t="s">
        <v>3296</v>
      </c>
      <c r="B13725" t="s">
        <v>2931</v>
      </c>
      <c r="C13725">
        <v>9130</v>
      </c>
      <c r="D13725" t="str">
        <f t="shared" si="211"/>
        <v>707522-19/19</v>
      </c>
      <c r="E13725" t="s">
        <v>2814</v>
      </c>
      <c r="F13725" t="s">
        <v>2815</v>
      </c>
      <c r="G13725">
        <v>57.74</v>
      </c>
      <c r="H13725">
        <v>250701</v>
      </c>
      <c r="I13725">
        <v>4841</v>
      </c>
      <c r="J13725" t="s">
        <v>9</v>
      </c>
      <c r="K13725">
        <v>3518.16</v>
      </c>
      <c r="L13725">
        <v>11.73</v>
      </c>
      <c r="M13725">
        <v>59702</v>
      </c>
      <c r="N13725" t="s">
        <v>45</v>
      </c>
      <c r="O13725">
        <v>250627</v>
      </c>
      <c r="P13725">
        <v>46.01</v>
      </c>
    </row>
    <row r="13726" spans="1:16" x14ac:dyDescent="0.25">
      <c r="A13726" t="s">
        <v>3296</v>
      </c>
      <c r="B13726" t="s">
        <v>2931</v>
      </c>
      <c r="C13726">
        <v>9130</v>
      </c>
      <c r="D13726" t="str">
        <f t="shared" si="211"/>
        <v>707522-19/19</v>
      </c>
      <c r="E13726" t="s">
        <v>2814</v>
      </c>
      <c r="F13726" t="s">
        <v>2815</v>
      </c>
      <c r="G13726">
        <v>60.85</v>
      </c>
      <c r="H13726">
        <v>250701</v>
      </c>
      <c r="I13726">
        <v>4841</v>
      </c>
      <c r="J13726" t="s">
        <v>9</v>
      </c>
      <c r="K13726">
        <v>3518.16</v>
      </c>
      <c r="L13726">
        <v>12.36</v>
      </c>
      <c r="M13726">
        <v>59704</v>
      </c>
      <c r="N13726" t="s">
        <v>46</v>
      </c>
      <c r="O13726">
        <v>250627</v>
      </c>
      <c r="P13726">
        <v>48.49</v>
      </c>
    </row>
    <row r="13727" spans="1:16" x14ac:dyDescent="0.25">
      <c r="A13727" t="s">
        <v>3296</v>
      </c>
      <c r="B13727" t="s">
        <v>2931</v>
      </c>
      <c r="C13727">
        <v>9130</v>
      </c>
      <c r="D13727" t="str">
        <f t="shared" si="211"/>
        <v>707522-19/19</v>
      </c>
      <c r="E13727" t="s">
        <v>2814</v>
      </c>
      <c r="F13727" t="s">
        <v>2815</v>
      </c>
      <c r="G13727">
        <v>44.2</v>
      </c>
      <c r="H13727">
        <v>250701</v>
      </c>
      <c r="I13727">
        <v>4841</v>
      </c>
      <c r="J13727" t="s">
        <v>9</v>
      </c>
      <c r="K13727">
        <v>3518.16</v>
      </c>
      <c r="L13727">
        <v>8.98</v>
      </c>
      <c r="M13727">
        <v>59815</v>
      </c>
      <c r="N13727" t="s">
        <v>1001</v>
      </c>
      <c r="O13727">
        <v>250627</v>
      </c>
      <c r="P13727">
        <v>35.22</v>
      </c>
    </row>
    <row r="13728" spans="1:16" x14ac:dyDescent="0.25">
      <c r="A13728" t="s">
        <v>3296</v>
      </c>
      <c r="B13728" t="s">
        <v>2931</v>
      </c>
      <c r="C13728">
        <v>9141</v>
      </c>
      <c r="D13728" t="str">
        <f t="shared" ref="D13728:D13734" si="212">"0707522-9/19"</f>
        <v>0707522-9/19</v>
      </c>
      <c r="E13728" t="s">
        <v>2814</v>
      </c>
      <c r="F13728" t="s">
        <v>2815</v>
      </c>
      <c r="G13728">
        <v>31.89</v>
      </c>
      <c r="H13728">
        <v>250701</v>
      </c>
      <c r="I13728">
        <v>4841</v>
      </c>
      <c r="J13728" t="s">
        <v>9</v>
      </c>
      <c r="K13728">
        <v>612.01</v>
      </c>
      <c r="L13728">
        <v>6.48</v>
      </c>
      <c r="M13728">
        <v>53222</v>
      </c>
      <c r="N13728" t="s">
        <v>41</v>
      </c>
      <c r="O13728">
        <v>250627</v>
      </c>
      <c r="P13728">
        <v>25.41</v>
      </c>
    </row>
    <row r="13729" spans="1:16" x14ac:dyDescent="0.25">
      <c r="A13729" t="s">
        <v>3296</v>
      </c>
      <c r="B13729" t="s">
        <v>2931</v>
      </c>
      <c r="C13729">
        <v>9141</v>
      </c>
      <c r="D13729" t="str">
        <f t="shared" si="212"/>
        <v>0707522-9/19</v>
      </c>
      <c r="E13729" t="s">
        <v>2814</v>
      </c>
      <c r="F13729" t="s">
        <v>2815</v>
      </c>
      <c r="G13729">
        <v>194.73</v>
      </c>
      <c r="H13729">
        <v>250701</v>
      </c>
      <c r="I13729">
        <v>4841</v>
      </c>
      <c r="J13729" t="s">
        <v>9</v>
      </c>
      <c r="K13729">
        <v>612.01</v>
      </c>
      <c r="L13729">
        <v>39.57</v>
      </c>
      <c r="M13729">
        <v>53222</v>
      </c>
      <c r="N13729" t="s">
        <v>41</v>
      </c>
      <c r="O13729">
        <v>250627</v>
      </c>
      <c r="P13729">
        <v>155.16</v>
      </c>
    </row>
    <row r="13730" spans="1:16" x14ac:dyDescent="0.25">
      <c r="A13730" t="s">
        <v>3296</v>
      </c>
      <c r="B13730" t="s">
        <v>2931</v>
      </c>
      <c r="C13730">
        <v>9141</v>
      </c>
      <c r="D13730" t="str">
        <f t="shared" si="212"/>
        <v>0707522-9/19</v>
      </c>
      <c r="E13730" t="s">
        <v>2814</v>
      </c>
      <c r="F13730" t="s">
        <v>2815</v>
      </c>
      <c r="G13730">
        <v>146.58000000000001</v>
      </c>
      <c r="H13730">
        <v>250701</v>
      </c>
      <c r="I13730">
        <v>4841</v>
      </c>
      <c r="J13730" t="s">
        <v>9</v>
      </c>
      <c r="K13730">
        <v>612.01</v>
      </c>
      <c r="L13730">
        <v>29.78</v>
      </c>
      <c r="M13730">
        <v>54622</v>
      </c>
      <c r="N13730" t="s">
        <v>42</v>
      </c>
      <c r="O13730">
        <v>250627</v>
      </c>
      <c r="P13730">
        <v>116.8</v>
      </c>
    </row>
    <row r="13731" spans="1:16" x14ac:dyDescent="0.25">
      <c r="A13731" t="s">
        <v>3296</v>
      </c>
      <c r="B13731" t="s">
        <v>2931</v>
      </c>
      <c r="C13731">
        <v>9141</v>
      </c>
      <c r="D13731" t="str">
        <f t="shared" si="212"/>
        <v>0707522-9/19</v>
      </c>
      <c r="E13731" t="s">
        <v>2814</v>
      </c>
      <c r="F13731" t="s">
        <v>2815</v>
      </c>
      <c r="G13731">
        <v>66.180000000000007</v>
      </c>
      <c r="H13731">
        <v>250701</v>
      </c>
      <c r="I13731">
        <v>4841</v>
      </c>
      <c r="J13731" t="s">
        <v>9</v>
      </c>
      <c r="K13731">
        <v>612.01</v>
      </c>
      <c r="L13731">
        <v>13.45</v>
      </c>
      <c r="M13731">
        <v>55222</v>
      </c>
      <c r="N13731" t="s">
        <v>43</v>
      </c>
      <c r="O13731">
        <v>250627</v>
      </c>
      <c r="P13731">
        <v>52.73</v>
      </c>
    </row>
    <row r="13732" spans="1:16" x14ac:dyDescent="0.25">
      <c r="A13732" t="s">
        <v>3296</v>
      </c>
      <c r="B13732" t="s">
        <v>2931</v>
      </c>
      <c r="C13732">
        <v>9141</v>
      </c>
      <c r="D13732" t="str">
        <f t="shared" si="212"/>
        <v>0707522-9/19</v>
      </c>
      <c r="E13732" t="s">
        <v>2814</v>
      </c>
      <c r="F13732" t="s">
        <v>2815</v>
      </c>
      <c r="G13732">
        <v>44.2</v>
      </c>
      <c r="H13732">
        <v>250701</v>
      </c>
      <c r="I13732">
        <v>4841</v>
      </c>
      <c r="J13732" t="s">
        <v>9</v>
      </c>
      <c r="K13732">
        <v>612.01</v>
      </c>
      <c r="L13732">
        <v>8.98</v>
      </c>
      <c r="M13732">
        <v>59114</v>
      </c>
      <c r="N13732" t="s">
        <v>299</v>
      </c>
      <c r="O13732">
        <v>250627</v>
      </c>
      <c r="P13732">
        <v>35.22</v>
      </c>
    </row>
    <row r="13733" spans="1:16" x14ac:dyDescent="0.25">
      <c r="A13733" t="s">
        <v>3296</v>
      </c>
      <c r="B13733" t="s">
        <v>2931</v>
      </c>
      <c r="C13733">
        <v>9141</v>
      </c>
      <c r="D13733" t="str">
        <f t="shared" si="212"/>
        <v>0707522-9/19</v>
      </c>
      <c r="E13733" t="s">
        <v>2814</v>
      </c>
      <c r="F13733" t="s">
        <v>2815</v>
      </c>
      <c r="G13733">
        <v>88.4</v>
      </c>
      <c r="H13733">
        <v>250701</v>
      </c>
      <c r="I13733">
        <v>4841</v>
      </c>
      <c r="J13733" t="s">
        <v>9</v>
      </c>
      <c r="K13733">
        <v>612.01</v>
      </c>
      <c r="L13733">
        <v>17.96</v>
      </c>
      <c r="M13733">
        <v>59504</v>
      </c>
      <c r="N13733" t="s">
        <v>193</v>
      </c>
      <c r="O13733">
        <v>250627</v>
      </c>
      <c r="P13733">
        <v>70.44</v>
      </c>
    </row>
    <row r="13734" spans="1:16" x14ac:dyDescent="0.25">
      <c r="A13734" t="s">
        <v>3296</v>
      </c>
      <c r="B13734" t="s">
        <v>2931</v>
      </c>
      <c r="C13734">
        <v>9141</v>
      </c>
      <c r="D13734" t="str">
        <f t="shared" si="212"/>
        <v>0707522-9/19</v>
      </c>
      <c r="E13734" t="s">
        <v>2814</v>
      </c>
      <c r="F13734" t="s">
        <v>2815</v>
      </c>
      <c r="G13734">
        <v>40.03</v>
      </c>
      <c r="H13734">
        <v>250701</v>
      </c>
      <c r="I13734">
        <v>4841</v>
      </c>
      <c r="J13734" t="s">
        <v>9</v>
      </c>
      <c r="K13734">
        <v>612.01</v>
      </c>
      <c r="L13734">
        <v>8.1300000000000008</v>
      </c>
      <c r="M13734">
        <v>59701</v>
      </c>
      <c r="N13734" t="s">
        <v>64</v>
      </c>
      <c r="O13734">
        <v>250627</v>
      </c>
      <c r="P13734">
        <v>31.9</v>
      </c>
    </row>
    <row r="13735" spans="1:16" x14ac:dyDescent="0.25">
      <c r="A13735" t="s">
        <v>3296</v>
      </c>
      <c r="B13735" t="s">
        <v>2931</v>
      </c>
      <c r="C13735">
        <v>9345</v>
      </c>
      <c r="D13735" t="str">
        <f>"707522-15/19"</f>
        <v>707522-15/19</v>
      </c>
      <c r="E13735" t="s">
        <v>2814</v>
      </c>
      <c r="F13735" t="s">
        <v>2815</v>
      </c>
      <c r="G13735">
        <v>3511.34</v>
      </c>
      <c r="H13735">
        <v>250701</v>
      </c>
      <c r="I13735">
        <v>4841</v>
      </c>
      <c r="J13735" t="s">
        <v>9</v>
      </c>
      <c r="K13735">
        <v>3548.44</v>
      </c>
      <c r="L13735">
        <v>713.46</v>
      </c>
      <c r="M13735">
        <v>13401</v>
      </c>
      <c r="N13735" t="s">
        <v>10</v>
      </c>
      <c r="O13735">
        <v>250704</v>
      </c>
      <c r="P13735">
        <v>2797.88</v>
      </c>
    </row>
    <row r="13736" spans="1:16" x14ac:dyDescent="0.25">
      <c r="A13736" t="s">
        <v>3296</v>
      </c>
      <c r="B13736" t="s">
        <v>2931</v>
      </c>
      <c r="C13736">
        <v>9345</v>
      </c>
      <c r="D13736" t="str">
        <f>"707522-15/19"</f>
        <v>707522-15/19</v>
      </c>
      <c r="E13736" t="s">
        <v>2814</v>
      </c>
      <c r="F13736" t="s">
        <v>2815</v>
      </c>
      <c r="G13736">
        <v>37.1</v>
      </c>
      <c r="H13736">
        <v>250701</v>
      </c>
      <c r="I13736">
        <v>4841</v>
      </c>
      <c r="J13736" t="s">
        <v>9</v>
      </c>
      <c r="K13736">
        <v>3548.44</v>
      </c>
      <c r="L13736">
        <v>7.54</v>
      </c>
      <c r="M13736">
        <v>13401</v>
      </c>
      <c r="N13736" t="s">
        <v>10</v>
      </c>
      <c r="O13736">
        <v>250704</v>
      </c>
      <c r="P13736">
        <v>29.56</v>
      </c>
    </row>
    <row r="13737" spans="1:16" x14ac:dyDescent="0.25">
      <c r="A13737" t="s">
        <v>3296</v>
      </c>
      <c r="B13737" t="s">
        <v>2931</v>
      </c>
      <c r="C13737">
        <v>12142</v>
      </c>
      <c r="D13737" t="str">
        <f>"1977214-2/19"</f>
        <v>1977214-2/19</v>
      </c>
      <c r="E13737" t="s">
        <v>2814</v>
      </c>
      <c r="F13737" t="s">
        <v>2815</v>
      </c>
      <c r="G13737">
        <v>467.68</v>
      </c>
      <c r="H13737">
        <v>251001</v>
      </c>
      <c r="I13737">
        <v>4841</v>
      </c>
      <c r="J13737" t="s">
        <v>9</v>
      </c>
      <c r="K13737">
        <v>478.2</v>
      </c>
      <c r="L13737">
        <v>95.03</v>
      </c>
      <c r="M13737">
        <v>11901</v>
      </c>
      <c r="N13737" t="s">
        <v>31</v>
      </c>
      <c r="O13737">
        <v>250916</v>
      </c>
      <c r="P13737">
        <v>372.65</v>
      </c>
    </row>
    <row r="13738" spans="1:16" x14ac:dyDescent="0.25">
      <c r="A13738" t="s">
        <v>3296</v>
      </c>
      <c r="B13738" t="s">
        <v>2931</v>
      </c>
      <c r="C13738">
        <v>12142</v>
      </c>
      <c r="D13738" t="str">
        <f>"1977214-2/19"</f>
        <v>1977214-2/19</v>
      </c>
      <c r="E13738" t="s">
        <v>2814</v>
      </c>
      <c r="F13738" t="s">
        <v>2815</v>
      </c>
      <c r="G13738">
        <v>10.52</v>
      </c>
      <c r="H13738">
        <v>251001</v>
      </c>
      <c r="I13738">
        <v>4841</v>
      </c>
      <c r="J13738" t="s">
        <v>9</v>
      </c>
      <c r="K13738">
        <v>478.2</v>
      </c>
      <c r="L13738">
        <v>2.14</v>
      </c>
      <c r="M13738">
        <v>11905</v>
      </c>
      <c r="N13738" t="s">
        <v>643</v>
      </c>
      <c r="O13738">
        <v>250916</v>
      </c>
      <c r="P13738">
        <v>8.3800000000000008</v>
      </c>
    </row>
    <row r="13739" spans="1:16" x14ac:dyDescent="0.25">
      <c r="A13739" t="s">
        <v>3296</v>
      </c>
      <c r="B13739" t="s">
        <v>2931</v>
      </c>
      <c r="C13739">
        <v>12144</v>
      </c>
      <c r="D13739" t="str">
        <f>"977214-17/19"</f>
        <v>977214-17/19</v>
      </c>
      <c r="E13739" t="s">
        <v>2814</v>
      </c>
      <c r="F13739" t="s">
        <v>2815</v>
      </c>
      <c r="G13739">
        <v>57.69</v>
      </c>
      <c r="H13739">
        <v>251001</v>
      </c>
      <c r="I13739">
        <v>4841</v>
      </c>
      <c r="J13739" t="s">
        <v>9</v>
      </c>
      <c r="K13739">
        <v>236.42</v>
      </c>
      <c r="L13739">
        <v>11.72</v>
      </c>
      <c r="M13739">
        <v>56522</v>
      </c>
      <c r="N13739" t="s">
        <v>68</v>
      </c>
      <c r="O13739">
        <v>250916</v>
      </c>
      <c r="P13739">
        <v>45.97</v>
      </c>
    </row>
    <row r="13740" spans="1:16" x14ac:dyDescent="0.25">
      <c r="A13740" t="s">
        <v>3296</v>
      </c>
      <c r="B13740" t="s">
        <v>2931</v>
      </c>
      <c r="C13740">
        <v>12144</v>
      </c>
      <c r="D13740" t="str">
        <f>"977214-17/19"</f>
        <v>977214-17/19</v>
      </c>
      <c r="E13740" t="s">
        <v>2814</v>
      </c>
      <c r="F13740" t="s">
        <v>2815</v>
      </c>
      <c r="G13740">
        <v>57.69</v>
      </c>
      <c r="H13740">
        <v>251001</v>
      </c>
      <c r="I13740">
        <v>4841</v>
      </c>
      <c r="J13740" t="s">
        <v>9</v>
      </c>
      <c r="K13740">
        <v>236.42</v>
      </c>
      <c r="L13740">
        <v>11.72</v>
      </c>
      <c r="M13740">
        <v>56524</v>
      </c>
      <c r="N13740" t="s">
        <v>69</v>
      </c>
      <c r="O13740">
        <v>250916</v>
      </c>
      <c r="P13740">
        <v>45.97</v>
      </c>
    </row>
    <row r="13741" spans="1:16" x14ac:dyDescent="0.25">
      <c r="A13741" t="s">
        <v>3296</v>
      </c>
      <c r="B13741" t="s">
        <v>2931</v>
      </c>
      <c r="C13741">
        <v>12144</v>
      </c>
      <c r="D13741" t="str">
        <f>"977214-17/19"</f>
        <v>977214-17/19</v>
      </c>
      <c r="E13741" t="s">
        <v>2814</v>
      </c>
      <c r="F13741" t="s">
        <v>2815</v>
      </c>
      <c r="G13741">
        <v>32.64</v>
      </c>
      <c r="H13741">
        <v>251001</v>
      </c>
      <c r="I13741">
        <v>4841</v>
      </c>
      <c r="J13741" t="s">
        <v>9</v>
      </c>
      <c r="K13741">
        <v>236.42</v>
      </c>
      <c r="L13741">
        <v>6.63</v>
      </c>
      <c r="M13741">
        <v>56528</v>
      </c>
      <c r="N13741" t="s">
        <v>70</v>
      </c>
      <c r="O13741">
        <v>250916</v>
      </c>
      <c r="P13741">
        <v>26.01</v>
      </c>
    </row>
    <row r="13742" spans="1:16" x14ac:dyDescent="0.25">
      <c r="A13742" t="s">
        <v>3296</v>
      </c>
      <c r="B13742" t="s">
        <v>2931</v>
      </c>
      <c r="C13742">
        <v>12144</v>
      </c>
      <c r="D13742" t="str">
        <f>"977214-17/19"</f>
        <v>977214-17/19</v>
      </c>
      <c r="E13742" t="s">
        <v>2814</v>
      </c>
      <c r="F13742" t="s">
        <v>2815</v>
      </c>
      <c r="G13742">
        <v>88.4</v>
      </c>
      <c r="H13742">
        <v>251001</v>
      </c>
      <c r="I13742">
        <v>4841</v>
      </c>
      <c r="J13742" t="s">
        <v>9</v>
      </c>
      <c r="K13742">
        <v>236.42</v>
      </c>
      <c r="L13742">
        <v>17.96</v>
      </c>
      <c r="M13742">
        <v>56528</v>
      </c>
      <c r="N13742" t="s">
        <v>70</v>
      </c>
      <c r="O13742">
        <v>250916</v>
      </c>
      <c r="P13742">
        <v>70.44</v>
      </c>
    </row>
    <row r="13743" spans="1:16" x14ac:dyDescent="0.25">
      <c r="A13743" t="s">
        <v>3296</v>
      </c>
      <c r="B13743" t="s">
        <v>2931</v>
      </c>
      <c r="C13743">
        <v>12145</v>
      </c>
      <c r="D13743" t="str">
        <f t="shared" ref="D13743:D13756" si="213">"977214-11/19"</f>
        <v>977214-11/19</v>
      </c>
      <c r="E13743" t="s">
        <v>2814</v>
      </c>
      <c r="F13743" t="s">
        <v>2815</v>
      </c>
      <c r="G13743">
        <v>83.12</v>
      </c>
      <c r="H13743">
        <v>251001</v>
      </c>
      <c r="I13743">
        <v>4841</v>
      </c>
      <c r="J13743" t="s">
        <v>9</v>
      </c>
      <c r="K13743">
        <v>3058.38</v>
      </c>
      <c r="L13743">
        <v>16.89</v>
      </c>
      <c r="M13743">
        <v>43222</v>
      </c>
      <c r="N13743" t="s">
        <v>95</v>
      </c>
      <c r="O13743">
        <v>250916</v>
      </c>
      <c r="P13743">
        <v>66.23</v>
      </c>
    </row>
    <row r="13744" spans="1:16" x14ac:dyDescent="0.25">
      <c r="A13744" t="s">
        <v>3296</v>
      </c>
      <c r="B13744" t="s">
        <v>2931</v>
      </c>
      <c r="C13744">
        <v>12145</v>
      </c>
      <c r="D13744" t="str">
        <f t="shared" si="213"/>
        <v>977214-11/19</v>
      </c>
      <c r="E13744" t="s">
        <v>2814</v>
      </c>
      <c r="F13744" t="s">
        <v>2815</v>
      </c>
      <c r="G13744">
        <v>774.06</v>
      </c>
      <c r="H13744">
        <v>251001</v>
      </c>
      <c r="I13744">
        <v>4841</v>
      </c>
      <c r="J13744" t="s">
        <v>9</v>
      </c>
      <c r="K13744">
        <v>3058.38</v>
      </c>
      <c r="L13744">
        <v>157.28</v>
      </c>
      <c r="M13744">
        <v>44222</v>
      </c>
      <c r="N13744" t="s">
        <v>96</v>
      </c>
      <c r="O13744">
        <v>250916</v>
      </c>
      <c r="P13744">
        <v>616.78</v>
      </c>
    </row>
    <row r="13745" spans="1:16" x14ac:dyDescent="0.25">
      <c r="A13745" t="s">
        <v>3296</v>
      </c>
      <c r="B13745" t="s">
        <v>2931</v>
      </c>
      <c r="C13745">
        <v>12145</v>
      </c>
      <c r="D13745" t="str">
        <f t="shared" si="213"/>
        <v>977214-11/19</v>
      </c>
      <c r="E13745" t="s">
        <v>2814</v>
      </c>
      <c r="F13745" t="s">
        <v>2815</v>
      </c>
      <c r="G13745">
        <v>130.08000000000001</v>
      </c>
      <c r="H13745">
        <v>251001</v>
      </c>
      <c r="I13745">
        <v>4841</v>
      </c>
      <c r="J13745" t="s">
        <v>9</v>
      </c>
      <c r="K13745">
        <v>3058.38</v>
      </c>
      <c r="L13745">
        <v>26.43</v>
      </c>
      <c r="M13745">
        <v>46222</v>
      </c>
      <c r="N13745" t="s">
        <v>101</v>
      </c>
      <c r="O13745">
        <v>250916</v>
      </c>
      <c r="P13745">
        <v>103.65</v>
      </c>
    </row>
    <row r="13746" spans="1:16" x14ac:dyDescent="0.25">
      <c r="A13746" t="s">
        <v>3296</v>
      </c>
      <c r="B13746" t="s">
        <v>2931</v>
      </c>
      <c r="C13746">
        <v>12145</v>
      </c>
      <c r="D13746" t="str">
        <f t="shared" si="213"/>
        <v>977214-11/19</v>
      </c>
      <c r="E13746" t="s">
        <v>2814</v>
      </c>
      <c r="F13746" t="s">
        <v>2815</v>
      </c>
      <c r="G13746">
        <v>48.1</v>
      </c>
      <c r="H13746">
        <v>251001</v>
      </c>
      <c r="I13746">
        <v>4841</v>
      </c>
      <c r="J13746" t="s">
        <v>9</v>
      </c>
      <c r="K13746">
        <v>3058.38</v>
      </c>
      <c r="L13746">
        <v>9.77</v>
      </c>
      <c r="M13746">
        <v>46554</v>
      </c>
      <c r="N13746" t="s">
        <v>102</v>
      </c>
      <c r="O13746">
        <v>250916</v>
      </c>
      <c r="P13746">
        <v>38.33</v>
      </c>
    </row>
    <row r="13747" spans="1:16" x14ac:dyDescent="0.25">
      <c r="A13747" t="s">
        <v>3296</v>
      </c>
      <c r="B13747" t="s">
        <v>2931</v>
      </c>
      <c r="C13747">
        <v>12145</v>
      </c>
      <c r="D13747" t="str">
        <f t="shared" si="213"/>
        <v>977214-11/19</v>
      </c>
      <c r="E13747" t="s">
        <v>2814</v>
      </c>
      <c r="F13747" t="s">
        <v>2815</v>
      </c>
      <c r="G13747">
        <v>876.37</v>
      </c>
      <c r="H13747">
        <v>251001</v>
      </c>
      <c r="I13747">
        <v>4841</v>
      </c>
      <c r="J13747" t="s">
        <v>9</v>
      </c>
      <c r="K13747">
        <v>3058.38</v>
      </c>
      <c r="L13747">
        <v>178.07</v>
      </c>
      <c r="M13747">
        <v>46554</v>
      </c>
      <c r="N13747" t="s">
        <v>102</v>
      </c>
      <c r="O13747">
        <v>250916</v>
      </c>
      <c r="P13747">
        <v>698.3</v>
      </c>
    </row>
    <row r="13748" spans="1:16" x14ac:dyDescent="0.25">
      <c r="A13748" t="s">
        <v>3296</v>
      </c>
      <c r="B13748" t="s">
        <v>2931</v>
      </c>
      <c r="C13748">
        <v>12145</v>
      </c>
      <c r="D13748" t="str">
        <f t="shared" si="213"/>
        <v>977214-11/19</v>
      </c>
      <c r="E13748" t="s">
        <v>2814</v>
      </c>
      <c r="F13748" t="s">
        <v>2815</v>
      </c>
      <c r="G13748">
        <v>120.51</v>
      </c>
      <c r="H13748">
        <v>251001</v>
      </c>
      <c r="I13748">
        <v>4841</v>
      </c>
      <c r="J13748" t="s">
        <v>9</v>
      </c>
      <c r="K13748">
        <v>3058.38</v>
      </c>
      <c r="L13748">
        <v>24.49</v>
      </c>
      <c r="M13748">
        <v>46555</v>
      </c>
      <c r="N13748" t="s">
        <v>103</v>
      </c>
      <c r="O13748">
        <v>250916</v>
      </c>
      <c r="P13748">
        <v>96.02</v>
      </c>
    </row>
    <row r="13749" spans="1:16" x14ac:dyDescent="0.25">
      <c r="A13749" t="s">
        <v>3296</v>
      </c>
      <c r="B13749" t="s">
        <v>2931</v>
      </c>
      <c r="C13749">
        <v>12145</v>
      </c>
      <c r="D13749" t="str">
        <f t="shared" si="213"/>
        <v>977214-11/19</v>
      </c>
      <c r="E13749" t="s">
        <v>2814</v>
      </c>
      <c r="F13749" t="s">
        <v>2815</v>
      </c>
      <c r="G13749">
        <v>33.53</v>
      </c>
      <c r="H13749">
        <v>251001</v>
      </c>
      <c r="I13749">
        <v>4841</v>
      </c>
      <c r="J13749" t="s">
        <v>9</v>
      </c>
      <c r="K13749">
        <v>3058.38</v>
      </c>
      <c r="L13749">
        <v>6.81</v>
      </c>
      <c r="M13749">
        <v>46556</v>
      </c>
      <c r="N13749" t="s">
        <v>458</v>
      </c>
      <c r="O13749">
        <v>250916</v>
      </c>
      <c r="P13749">
        <v>26.72</v>
      </c>
    </row>
    <row r="13750" spans="1:16" x14ac:dyDescent="0.25">
      <c r="A13750" t="s">
        <v>3296</v>
      </c>
      <c r="B13750" t="s">
        <v>2931</v>
      </c>
      <c r="C13750">
        <v>12145</v>
      </c>
      <c r="D13750" t="str">
        <f t="shared" si="213"/>
        <v>977214-11/19</v>
      </c>
      <c r="E13750" t="s">
        <v>2814</v>
      </c>
      <c r="F13750" t="s">
        <v>2815</v>
      </c>
      <c r="G13750">
        <v>27.47</v>
      </c>
      <c r="H13750">
        <v>251001</v>
      </c>
      <c r="I13750">
        <v>4841</v>
      </c>
      <c r="J13750" t="s">
        <v>9</v>
      </c>
      <c r="K13750">
        <v>3058.38</v>
      </c>
      <c r="L13750">
        <v>5.58</v>
      </c>
      <c r="M13750">
        <v>46557</v>
      </c>
      <c r="N13750" t="s">
        <v>104</v>
      </c>
      <c r="O13750">
        <v>250916</v>
      </c>
      <c r="P13750">
        <v>21.89</v>
      </c>
    </row>
    <row r="13751" spans="1:16" x14ac:dyDescent="0.25">
      <c r="A13751" t="s">
        <v>3296</v>
      </c>
      <c r="B13751" t="s">
        <v>2931</v>
      </c>
      <c r="C13751">
        <v>12145</v>
      </c>
      <c r="D13751" t="str">
        <f t="shared" si="213"/>
        <v>977214-11/19</v>
      </c>
      <c r="E13751" t="s">
        <v>2814</v>
      </c>
      <c r="F13751" t="s">
        <v>2815</v>
      </c>
      <c r="G13751">
        <v>54.66</v>
      </c>
      <c r="H13751">
        <v>251001</v>
      </c>
      <c r="I13751">
        <v>4841</v>
      </c>
      <c r="J13751" t="s">
        <v>9</v>
      </c>
      <c r="K13751">
        <v>3058.38</v>
      </c>
      <c r="L13751">
        <v>11.11</v>
      </c>
      <c r="M13751">
        <v>47522</v>
      </c>
      <c r="N13751" t="s">
        <v>106</v>
      </c>
      <c r="O13751">
        <v>250916</v>
      </c>
      <c r="P13751">
        <v>43.55</v>
      </c>
    </row>
    <row r="13752" spans="1:16" x14ac:dyDescent="0.25">
      <c r="A13752" t="s">
        <v>3296</v>
      </c>
      <c r="B13752" t="s">
        <v>2931</v>
      </c>
      <c r="C13752">
        <v>12145</v>
      </c>
      <c r="D13752" t="str">
        <f t="shared" si="213"/>
        <v>977214-11/19</v>
      </c>
      <c r="E13752" t="s">
        <v>2814</v>
      </c>
      <c r="F13752" t="s">
        <v>2815</v>
      </c>
      <c r="G13752">
        <v>23.74</v>
      </c>
      <c r="H13752">
        <v>251001</v>
      </c>
      <c r="I13752">
        <v>4841</v>
      </c>
      <c r="J13752" t="s">
        <v>9</v>
      </c>
      <c r="K13752">
        <v>3058.38</v>
      </c>
      <c r="L13752">
        <v>4.82</v>
      </c>
      <c r="M13752">
        <v>49112</v>
      </c>
      <c r="N13752" t="s">
        <v>109</v>
      </c>
      <c r="O13752">
        <v>250916</v>
      </c>
      <c r="P13752">
        <v>18.920000000000002</v>
      </c>
    </row>
    <row r="13753" spans="1:16" x14ac:dyDescent="0.25">
      <c r="A13753" t="s">
        <v>3296</v>
      </c>
      <c r="B13753" t="s">
        <v>2931</v>
      </c>
      <c r="C13753">
        <v>12145</v>
      </c>
      <c r="D13753" t="str">
        <f t="shared" si="213"/>
        <v>977214-11/19</v>
      </c>
      <c r="E13753" t="s">
        <v>2814</v>
      </c>
      <c r="F13753" t="s">
        <v>2815</v>
      </c>
      <c r="G13753">
        <v>745.43</v>
      </c>
      <c r="H13753">
        <v>251001</v>
      </c>
      <c r="I13753">
        <v>4841</v>
      </c>
      <c r="J13753" t="s">
        <v>9</v>
      </c>
      <c r="K13753">
        <v>3058.38</v>
      </c>
      <c r="L13753">
        <v>151.46</v>
      </c>
      <c r="M13753">
        <v>49501</v>
      </c>
      <c r="N13753" t="s">
        <v>110</v>
      </c>
      <c r="O13753">
        <v>250916</v>
      </c>
      <c r="P13753">
        <v>593.97</v>
      </c>
    </row>
    <row r="13754" spans="1:16" x14ac:dyDescent="0.25">
      <c r="A13754" t="s">
        <v>3296</v>
      </c>
      <c r="B13754" t="s">
        <v>2931</v>
      </c>
      <c r="C13754">
        <v>12145</v>
      </c>
      <c r="D13754" t="str">
        <f t="shared" si="213"/>
        <v>977214-11/19</v>
      </c>
      <c r="E13754" t="s">
        <v>2814</v>
      </c>
      <c r="F13754" t="s">
        <v>2815</v>
      </c>
      <c r="G13754">
        <v>67.17</v>
      </c>
      <c r="H13754">
        <v>251001</v>
      </c>
      <c r="I13754">
        <v>4841</v>
      </c>
      <c r="J13754" t="s">
        <v>9</v>
      </c>
      <c r="K13754">
        <v>3058.38</v>
      </c>
      <c r="L13754">
        <v>13.65</v>
      </c>
      <c r="M13754">
        <v>49701</v>
      </c>
      <c r="N13754" t="s">
        <v>111</v>
      </c>
      <c r="O13754">
        <v>250916</v>
      </c>
      <c r="P13754">
        <v>53.52</v>
      </c>
    </row>
    <row r="13755" spans="1:16" x14ac:dyDescent="0.25">
      <c r="A13755" t="s">
        <v>3296</v>
      </c>
      <c r="B13755" t="s">
        <v>2931</v>
      </c>
      <c r="C13755">
        <v>12145</v>
      </c>
      <c r="D13755" t="str">
        <f t="shared" si="213"/>
        <v>977214-11/19</v>
      </c>
      <c r="E13755" t="s">
        <v>2814</v>
      </c>
      <c r="F13755" t="s">
        <v>2815</v>
      </c>
      <c r="G13755">
        <v>57.45</v>
      </c>
      <c r="H13755">
        <v>251001</v>
      </c>
      <c r="I13755">
        <v>4841</v>
      </c>
      <c r="J13755" t="s">
        <v>9</v>
      </c>
      <c r="K13755">
        <v>3058.38</v>
      </c>
      <c r="L13755">
        <v>11.67</v>
      </c>
      <c r="M13755">
        <v>49702</v>
      </c>
      <c r="N13755" t="s">
        <v>112</v>
      </c>
      <c r="O13755">
        <v>250916</v>
      </c>
      <c r="P13755">
        <v>45.78</v>
      </c>
    </row>
    <row r="13756" spans="1:16" x14ac:dyDescent="0.25">
      <c r="A13756" t="s">
        <v>3296</v>
      </c>
      <c r="B13756" t="s">
        <v>2931</v>
      </c>
      <c r="C13756">
        <v>12145</v>
      </c>
      <c r="D13756" t="str">
        <f t="shared" si="213"/>
        <v>977214-11/19</v>
      </c>
      <c r="E13756" t="s">
        <v>2814</v>
      </c>
      <c r="F13756" t="s">
        <v>2815</v>
      </c>
      <c r="G13756">
        <v>16.690000000000001</v>
      </c>
      <c r="H13756">
        <v>251001</v>
      </c>
      <c r="I13756">
        <v>4841</v>
      </c>
      <c r="J13756" t="s">
        <v>9</v>
      </c>
      <c r="K13756">
        <v>3058.38</v>
      </c>
      <c r="L13756">
        <v>3.39</v>
      </c>
      <c r="M13756">
        <v>49705</v>
      </c>
      <c r="N13756" t="s">
        <v>114</v>
      </c>
      <c r="O13756">
        <v>250916</v>
      </c>
      <c r="P13756">
        <v>13.3</v>
      </c>
    </row>
    <row r="13757" spans="1:16" x14ac:dyDescent="0.25">
      <c r="A13757" t="s">
        <v>3296</v>
      </c>
      <c r="B13757" t="s">
        <v>2931</v>
      </c>
      <c r="C13757">
        <v>12147</v>
      </c>
      <c r="D13757" t="str">
        <f t="shared" ref="D13757:D13763" si="214">"1977214-6/19"</f>
        <v>1977214-6/19</v>
      </c>
      <c r="E13757" t="s">
        <v>2814</v>
      </c>
      <c r="F13757" t="s">
        <v>2815</v>
      </c>
      <c r="G13757">
        <v>58.63</v>
      </c>
      <c r="H13757">
        <v>251001</v>
      </c>
      <c r="I13757">
        <v>4841</v>
      </c>
      <c r="J13757" t="s">
        <v>9</v>
      </c>
      <c r="K13757">
        <v>1214.81</v>
      </c>
      <c r="L13757">
        <v>11.91</v>
      </c>
      <c r="M13757">
        <v>17523</v>
      </c>
      <c r="N13757" t="s">
        <v>138</v>
      </c>
      <c r="O13757">
        <v>250916</v>
      </c>
      <c r="P13757">
        <v>46.72</v>
      </c>
    </row>
    <row r="13758" spans="1:16" x14ac:dyDescent="0.25">
      <c r="A13758" t="s">
        <v>3296</v>
      </c>
      <c r="B13758" t="s">
        <v>2931</v>
      </c>
      <c r="C13758">
        <v>12147</v>
      </c>
      <c r="D13758" t="str">
        <f t="shared" si="214"/>
        <v>1977214-6/19</v>
      </c>
      <c r="E13758" t="s">
        <v>2814</v>
      </c>
      <c r="F13758" t="s">
        <v>2815</v>
      </c>
      <c r="G13758">
        <v>139.58000000000001</v>
      </c>
      <c r="H13758">
        <v>251001</v>
      </c>
      <c r="I13758">
        <v>4841</v>
      </c>
      <c r="J13758" t="s">
        <v>9</v>
      </c>
      <c r="K13758">
        <v>1214.81</v>
      </c>
      <c r="L13758">
        <v>28.36</v>
      </c>
      <c r="M13758">
        <v>17525</v>
      </c>
      <c r="N13758" t="s">
        <v>140</v>
      </c>
      <c r="O13758">
        <v>250916</v>
      </c>
      <c r="P13758">
        <v>111.22</v>
      </c>
    </row>
    <row r="13759" spans="1:16" x14ac:dyDescent="0.25">
      <c r="A13759" t="s">
        <v>3296</v>
      </c>
      <c r="B13759" t="s">
        <v>2931</v>
      </c>
      <c r="C13759">
        <v>12147</v>
      </c>
      <c r="D13759" t="str">
        <f t="shared" si="214"/>
        <v>1977214-6/19</v>
      </c>
      <c r="E13759" t="s">
        <v>2814</v>
      </c>
      <c r="F13759" t="s">
        <v>2815</v>
      </c>
      <c r="G13759">
        <v>33.83</v>
      </c>
      <c r="H13759">
        <v>251001</v>
      </c>
      <c r="I13759">
        <v>4841</v>
      </c>
      <c r="J13759" t="s">
        <v>9</v>
      </c>
      <c r="K13759">
        <v>1214.81</v>
      </c>
      <c r="L13759">
        <v>6.87</v>
      </c>
      <c r="M13759">
        <v>17529</v>
      </c>
      <c r="N13759" t="s">
        <v>143</v>
      </c>
      <c r="O13759">
        <v>250916</v>
      </c>
      <c r="P13759">
        <v>26.96</v>
      </c>
    </row>
    <row r="13760" spans="1:16" x14ac:dyDescent="0.25">
      <c r="A13760" t="s">
        <v>3296</v>
      </c>
      <c r="B13760" t="s">
        <v>2931</v>
      </c>
      <c r="C13760">
        <v>12147</v>
      </c>
      <c r="D13760" t="str">
        <f t="shared" si="214"/>
        <v>1977214-6/19</v>
      </c>
      <c r="E13760" t="s">
        <v>2814</v>
      </c>
      <c r="F13760" t="s">
        <v>2815</v>
      </c>
      <c r="G13760">
        <v>944.5</v>
      </c>
      <c r="H13760">
        <v>251001</v>
      </c>
      <c r="I13760">
        <v>4841</v>
      </c>
      <c r="J13760" t="s">
        <v>9</v>
      </c>
      <c r="K13760">
        <v>1214.81</v>
      </c>
      <c r="L13760">
        <v>191.91</v>
      </c>
      <c r="M13760">
        <v>17530</v>
      </c>
      <c r="N13760" t="s">
        <v>144</v>
      </c>
      <c r="O13760">
        <v>250916</v>
      </c>
      <c r="P13760">
        <v>752.59</v>
      </c>
    </row>
    <row r="13761" spans="1:16" x14ac:dyDescent="0.25">
      <c r="A13761" t="s">
        <v>3296</v>
      </c>
      <c r="B13761" t="s">
        <v>2931</v>
      </c>
      <c r="C13761">
        <v>12147</v>
      </c>
      <c r="D13761" t="str">
        <f t="shared" si="214"/>
        <v>1977214-6/19</v>
      </c>
      <c r="E13761" t="s">
        <v>2814</v>
      </c>
      <c r="F13761" t="s">
        <v>2815</v>
      </c>
      <c r="G13761">
        <v>8.14</v>
      </c>
      <c r="H13761">
        <v>251001</v>
      </c>
      <c r="I13761">
        <v>4841</v>
      </c>
      <c r="J13761" t="s">
        <v>9</v>
      </c>
      <c r="K13761">
        <v>1214.81</v>
      </c>
      <c r="L13761">
        <v>1.65</v>
      </c>
      <c r="M13761">
        <v>17538</v>
      </c>
      <c r="N13761" t="s">
        <v>129</v>
      </c>
      <c r="O13761">
        <v>250916</v>
      </c>
      <c r="P13761">
        <v>6.49</v>
      </c>
    </row>
    <row r="13762" spans="1:16" x14ac:dyDescent="0.25">
      <c r="A13762" t="s">
        <v>3296</v>
      </c>
      <c r="B13762" t="s">
        <v>2931</v>
      </c>
      <c r="C13762">
        <v>12147</v>
      </c>
      <c r="D13762" t="str">
        <f t="shared" si="214"/>
        <v>1977214-6/19</v>
      </c>
      <c r="E13762" t="s">
        <v>2814</v>
      </c>
      <c r="F13762" t="s">
        <v>2815</v>
      </c>
      <c r="G13762">
        <v>12.99</v>
      </c>
      <c r="H13762">
        <v>251001</v>
      </c>
      <c r="I13762">
        <v>4841</v>
      </c>
      <c r="J13762" t="s">
        <v>9</v>
      </c>
      <c r="K13762">
        <v>1214.81</v>
      </c>
      <c r="L13762">
        <v>2.64</v>
      </c>
      <c r="M13762">
        <v>17971</v>
      </c>
      <c r="N13762" t="s">
        <v>27</v>
      </c>
      <c r="O13762">
        <v>250916</v>
      </c>
      <c r="P13762">
        <v>10.35</v>
      </c>
    </row>
    <row r="13763" spans="1:16" x14ac:dyDescent="0.25">
      <c r="A13763" t="s">
        <v>3296</v>
      </c>
      <c r="B13763" t="s">
        <v>2931</v>
      </c>
      <c r="C13763">
        <v>12147</v>
      </c>
      <c r="D13763" t="str">
        <f t="shared" si="214"/>
        <v>1977214-6/19</v>
      </c>
      <c r="E13763" t="s">
        <v>2814</v>
      </c>
      <c r="F13763" t="s">
        <v>2815</v>
      </c>
      <c r="G13763">
        <v>17.14</v>
      </c>
      <c r="H13763">
        <v>251001</v>
      </c>
      <c r="I13763">
        <v>4841</v>
      </c>
      <c r="J13763" t="s">
        <v>9</v>
      </c>
      <c r="K13763">
        <v>1214.81</v>
      </c>
      <c r="L13763">
        <v>3.48</v>
      </c>
      <c r="M13763">
        <v>17972</v>
      </c>
      <c r="N13763" t="s">
        <v>28</v>
      </c>
      <c r="O13763">
        <v>250916</v>
      </c>
      <c r="P13763">
        <v>13.66</v>
      </c>
    </row>
    <row r="13764" spans="1:16" x14ac:dyDescent="0.25">
      <c r="A13764" t="s">
        <v>3296</v>
      </c>
      <c r="B13764" t="s">
        <v>2931</v>
      </c>
      <c r="C13764">
        <v>12149</v>
      </c>
      <c r="D13764" t="str">
        <f>"1977214-7/19"</f>
        <v>1977214-7/19</v>
      </c>
      <c r="E13764" t="s">
        <v>2814</v>
      </c>
      <c r="F13764" t="s">
        <v>2815</v>
      </c>
      <c r="G13764">
        <v>204.95</v>
      </c>
      <c r="H13764">
        <v>251001</v>
      </c>
      <c r="I13764">
        <v>4841</v>
      </c>
      <c r="J13764" t="s">
        <v>9</v>
      </c>
      <c r="K13764">
        <v>874.62</v>
      </c>
      <c r="L13764">
        <v>41.64</v>
      </c>
      <c r="M13764">
        <v>16121</v>
      </c>
      <c r="N13764" t="s">
        <v>127</v>
      </c>
      <c r="O13764">
        <v>250916</v>
      </c>
      <c r="P13764">
        <v>163.31</v>
      </c>
    </row>
    <row r="13765" spans="1:16" x14ac:dyDescent="0.25">
      <c r="A13765" t="s">
        <v>3296</v>
      </c>
      <c r="B13765" t="s">
        <v>2931</v>
      </c>
      <c r="C13765">
        <v>12149</v>
      </c>
      <c r="D13765" t="str">
        <f>"1977214-7/19"</f>
        <v>1977214-7/19</v>
      </c>
      <c r="E13765" t="s">
        <v>2814</v>
      </c>
      <c r="F13765" t="s">
        <v>2815</v>
      </c>
      <c r="G13765">
        <v>669.67</v>
      </c>
      <c r="H13765">
        <v>251001</v>
      </c>
      <c r="I13765">
        <v>4841</v>
      </c>
      <c r="J13765" t="s">
        <v>9</v>
      </c>
      <c r="K13765">
        <v>874.62</v>
      </c>
      <c r="L13765">
        <v>136.07</v>
      </c>
      <c r="M13765">
        <v>16121</v>
      </c>
      <c r="N13765" t="s">
        <v>127</v>
      </c>
      <c r="O13765">
        <v>250916</v>
      </c>
      <c r="P13765">
        <v>533.6</v>
      </c>
    </row>
    <row r="13766" spans="1:16" x14ac:dyDescent="0.25">
      <c r="A13766" t="s">
        <v>3296</v>
      </c>
      <c r="B13766" t="s">
        <v>2931</v>
      </c>
      <c r="C13766">
        <v>12151</v>
      </c>
      <c r="D13766" t="str">
        <f>"977214-15/19"</f>
        <v>977214-15/19</v>
      </c>
      <c r="E13766" t="s">
        <v>2814</v>
      </c>
      <c r="F13766" t="s">
        <v>2815</v>
      </c>
      <c r="G13766">
        <v>1311.81</v>
      </c>
      <c r="H13766">
        <v>251001</v>
      </c>
      <c r="I13766">
        <v>4841</v>
      </c>
      <c r="J13766" t="s">
        <v>9</v>
      </c>
      <c r="K13766">
        <v>1348.91</v>
      </c>
      <c r="L13766">
        <v>266.54000000000002</v>
      </c>
      <c r="M13766">
        <v>13401</v>
      </c>
      <c r="N13766" t="s">
        <v>10</v>
      </c>
      <c r="O13766">
        <v>250916</v>
      </c>
      <c r="P13766">
        <v>1045.27</v>
      </c>
    </row>
    <row r="13767" spans="1:16" x14ac:dyDescent="0.25">
      <c r="A13767" t="s">
        <v>3296</v>
      </c>
      <c r="B13767" t="s">
        <v>2931</v>
      </c>
      <c r="C13767">
        <v>12151</v>
      </c>
      <c r="D13767" t="str">
        <f>"977214-15/19"</f>
        <v>977214-15/19</v>
      </c>
      <c r="E13767" t="s">
        <v>2814</v>
      </c>
      <c r="F13767" t="s">
        <v>2815</v>
      </c>
      <c r="G13767">
        <v>37.1</v>
      </c>
      <c r="H13767">
        <v>251001</v>
      </c>
      <c r="I13767">
        <v>4841</v>
      </c>
      <c r="J13767" t="s">
        <v>9</v>
      </c>
      <c r="K13767">
        <v>1348.91</v>
      </c>
      <c r="L13767">
        <v>7.54</v>
      </c>
      <c r="M13767">
        <v>13401</v>
      </c>
      <c r="N13767" t="s">
        <v>10</v>
      </c>
      <c r="O13767">
        <v>250916</v>
      </c>
      <c r="P13767">
        <v>29.56</v>
      </c>
    </row>
    <row r="13768" spans="1:16" x14ac:dyDescent="0.25">
      <c r="A13768" t="s">
        <v>3296</v>
      </c>
      <c r="B13768" t="s">
        <v>2931</v>
      </c>
      <c r="C13768">
        <v>12152</v>
      </c>
      <c r="D13768" t="str">
        <f t="shared" ref="D13768:D13777" si="215">"1977214-4/19"</f>
        <v>1977214-4/19</v>
      </c>
      <c r="E13768" t="s">
        <v>2814</v>
      </c>
      <c r="F13768" t="s">
        <v>2815</v>
      </c>
      <c r="G13768">
        <v>57.78</v>
      </c>
      <c r="H13768">
        <v>251001</v>
      </c>
      <c r="I13768">
        <v>4841</v>
      </c>
      <c r="J13768" t="s">
        <v>9</v>
      </c>
      <c r="K13768">
        <v>2624.12</v>
      </c>
      <c r="L13768">
        <v>11.74</v>
      </c>
      <c r="M13768">
        <v>16321</v>
      </c>
      <c r="N13768" t="s">
        <v>16</v>
      </c>
      <c r="O13768">
        <v>250916</v>
      </c>
      <c r="P13768">
        <v>46.04</v>
      </c>
    </row>
    <row r="13769" spans="1:16" x14ac:dyDescent="0.25">
      <c r="A13769" t="s">
        <v>3296</v>
      </c>
      <c r="B13769" t="s">
        <v>2931</v>
      </c>
      <c r="C13769">
        <v>12152</v>
      </c>
      <c r="D13769" t="str">
        <f t="shared" si="215"/>
        <v>1977214-4/19</v>
      </c>
      <c r="E13769" t="s">
        <v>2814</v>
      </c>
      <c r="F13769" t="s">
        <v>2815</v>
      </c>
      <c r="G13769">
        <v>115.38</v>
      </c>
      <c r="H13769">
        <v>251001</v>
      </c>
      <c r="I13769">
        <v>4841</v>
      </c>
      <c r="J13769" t="s">
        <v>9</v>
      </c>
      <c r="K13769">
        <v>2624.12</v>
      </c>
      <c r="L13769">
        <v>23.44</v>
      </c>
      <c r="M13769">
        <v>16431</v>
      </c>
      <c r="N13769" t="s">
        <v>17</v>
      </c>
      <c r="O13769">
        <v>250916</v>
      </c>
      <c r="P13769">
        <v>91.94</v>
      </c>
    </row>
    <row r="13770" spans="1:16" x14ac:dyDescent="0.25">
      <c r="A13770" t="s">
        <v>3296</v>
      </c>
      <c r="B13770" t="s">
        <v>2931</v>
      </c>
      <c r="C13770">
        <v>12152</v>
      </c>
      <c r="D13770" t="str">
        <f t="shared" si="215"/>
        <v>1977214-4/19</v>
      </c>
      <c r="E13770" t="s">
        <v>2814</v>
      </c>
      <c r="F13770" t="s">
        <v>2815</v>
      </c>
      <c r="G13770">
        <v>413.57</v>
      </c>
      <c r="H13770">
        <v>251001</v>
      </c>
      <c r="I13770">
        <v>4841</v>
      </c>
      <c r="J13770" t="s">
        <v>9</v>
      </c>
      <c r="K13770">
        <v>2624.12</v>
      </c>
      <c r="L13770">
        <v>84.03</v>
      </c>
      <c r="M13770">
        <v>17802</v>
      </c>
      <c r="N13770" t="s">
        <v>18</v>
      </c>
      <c r="O13770">
        <v>250916</v>
      </c>
      <c r="P13770">
        <v>329.54</v>
      </c>
    </row>
    <row r="13771" spans="1:16" x14ac:dyDescent="0.25">
      <c r="A13771" t="s">
        <v>3296</v>
      </c>
      <c r="B13771" t="s">
        <v>2931</v>
      </c>
      <c r="C13771">
        <v>12152</v>
      </c>
      <c r="D13771" t="str">
        <f t="shared" si="215"/>
        <v>1977214-4/19</v>
      </c>
      <c r="E13771" t="s">
        <v>2814</v>
      </c>
      <c r="F13771" t="s">
        <v>2815</v>
      </c>
      <c r="G13771">
        <v>698.78</v>
      </c>
      <c r="H13771">
        <v>251001</v>
      </c>
      <c r="I13771">
        <v>4841</v>
      </c>
      <c r="J13771" t="s">
        <v>9</v>
      </c>
      <c r="K13771">
        <v>2624.12</v>
      </c>
      <c r="L13771">
        <v>141.97999999999999</v>
      </c>
      <c r="M13771">
        <v>17803</v>
      </c>
      <c r="N13771" t="s">
        <v>19</v>
      </c>
      <c r="O13771">
        <v>250916</v>
      </c>
      <c r="P13771">
        <v>556.79999999999995</v>
      </c>
    </row>
    <row r="13772" spans="1:16" x14ac:dyDescent="0.25">
      <c r="A13772" t="s">
        <v>3296</v>
      </c>
      <c r="B13772" t="s">
        <v>2931</v>
      </c>
      <c r="C13772">
        <v>12152</v>
      </c>
      <c r="D13772" t="str">
        <f t="shared" si="215"/>
        <v>1977214-4/19</v>
      </c>
      <c r="E13772" t="s">
        <v>2814</v>
      </c>
      <c r="F13772" t="s">
        <v>2815</v>
      </c>
      <c r="G13772">
        <v>355.88</v>
      </c>
      <c r="H13772">
        <v>251001</v>
      </c>
      <c r="I13772">
        <v>4841</v>
      </c>
      <c r="J13772" t="s">
        <v>9</v>
      </c>
      <c r="K13772">
        <v>2624.12</v>
      </c>
      <c r="L13772">
        <v>72.31</v>
      </c>
      <c r="M13772">
        <v>17805</v>
      </c>
      <c r="N13772" t="s">
        <v>21</v>
      </c>
      <c r="O13772">
        <v>250916</v>
      </c>
      <c r="P13772">
        <v>283.57</v>
      </c>
    </row>
    <row r="13773" spans="1:16" x14ac:dyDescent="0.25">
      <c r="A13773" t="s">
        <v>3296</v>
      </c>
      <c r="B13773" t="s">
        <v>2931</v>
      </c>
      <c r="C13773">
        <v>12152</v>
      </c>
      <c r="D13773" t="str">
        <f t="shared" si="215"/>
        <v>1977214-4/19</v>
      </c>
      <c r="E13773" t="s">
        <v>2814</v>
      </c>
      <c r="F13773" t="s">
        <v>2815</v>
      </c>
      <c r="G13773">
        <v>235.8</v>
      </c>
      <c r="H13773">
        <v>251001</v>
      </c>
      <c r="I13773">
        <v>4841</v>
      </c>
      <c r="J13773" t="s">
        <v>9</v>
      </c>
      <c r="K13773">
        <v>2624.12</v>
      </c>
      <c r="L13773">
        <v>47.91</v>
      </c>
      <c r="M13773">
        <v>17807</v>
      </c>
      <c r="N13773" t="s">
        <v>23</v>
      </c>
      <c r="O13773">
        <v>250916</v>
      </c>
      <c r="P13773">
        <v>187.89</v>
      </c>
    </row>
    <row r="13774" spans="1:16" x14ac:dyDescent="0.25">
      <c r="A13774" t="s">
        <v>3296</v>
      </c>
      <c r="B13774" t="s">
        <v>2931</v>
      </c>
      <c r="C13774">
        <v>12152</v>
      </c>
      <c r="D13774" t="str">
        <f t="shared" si="215"/>
        <v>1977214-4/19</v>
      </c>
      <c r="E13774" t="s">
        <v>2814</v>
      </c>
      <c r="F13774" t="s">
        <v>2815</v>
      </c>
      <c r="G13774">
        <v>354.36</v>
      </c>
      <c r="H13774">
        <v>251001</v>
      </c>
      <c r="I13774">
        <v>4841</v>
      </c>
      <c r="J13774" t="s">
        <v>9</v>
      </c>
      <c r="K13774">
        <v>2624.12</v>
      </c>
      <c r="L13774">
        <v>72</v>
      </c>
      <c r="M13774">
        <v>17808</v>
      </c>
      <c r="N13774" t="s">
        <v>24</v>
      </c>
      <c r="O13774">
        <v>250916</v>
      </c>
      <c r="P13774">
        <v>282.36</v>
      </c>
    </row>
    <row r="13775" spans="1:16" x14ac:dyDescent="0.25">
      <c r="A13775" t="s">
        <v>3296</v>
      </c>
      <c r="B13775" t="s">
        <v>2931</v>
      </c>
      <c r="C13775">
        <v>12152</v>
      </c>
      <c r="D13775" t="str">
        <f t="shared" si="215"/>
        <v>1977214-4/19</v>
      </c>
      <c r="E13775" t="s">
        <v>2814</v>
      </c>
      <c r="F13775" t="s">
        <v>2815</v>
      </c>
      <c r="G13775">
        <v>234.91</v>
      </c>
      <c r="H13775">
        <v>251001</v>
      </c>
      <c r="I13775">
        <v>4841</v>
      </c>
      <c r="J13775" t="s">
        <v>9</v>
      </c>
      <c r="K13775">
        <v>2624.12</v>
      </c>
      <c r="L13775">
        <v>47.73</v>
      </c>
      <c r="M13775">
        <v>17951</v>
      </c>
      <c r="N13775" t="s">
        <v>207</v>
      </c>
      <c r="O13775">
        <v>250916</v>
      </c>
      <c r="P13775">
        <v>187.18</v>
      </c>
    </row>
    <row r="13776" spans="1:16" x14ac:dyDescent="0.25">
      <c r="A13776" t="s">
        <v>3296</v>
      </c>
      <c r="B13776" t="s">
        <v>2931</v>
      </c>
      <c r="C13776">
        <v>12152</v>
      </c>
      <c r="D13776" t="str">
        <f t="shared" si="215"/>
        <v>1977214-4/19</v>
      </c>
      <c r="E13776" t="s">
        <v>2814</v>
      </c>
      <c r="F13776" t="s">
        <v>2815</v>
      </c>
      <c r="G13776">
        <v>78.83</v>
      </c>
      <c r="H13776">
        <v>251001</v>
      </c>
      <c r="I13776">
        <v>4841</v>
      </c>
      <c r="J13776" t="s">
        <v>9</v>
      </c>
      <c r="K13776">
        <v>2624.12</v>
      </c>
      <c r="L13776">
        <v>16.02</v>
      </c>
      <c r="M13776">
        <v>17971</v>
      </c>
      <c r="N13776" t="s">
        <v>27</v>
      </c>
      <c r="O13776">
        <v>250916</v>
      </c>
      <c r="P13776">
        <v>62.81</v>
      </c>
    </row>
    <row r="13777" spans="1:16" x14ac:dyDescent="0.25">
      <c r="A13777" t="s">
        <v>3296</v>
      </c>
      <c r="B13777" t="s">
        <v>2931</v>
      </c>
      <c r="C13777">
        <v>12152</v>
      </c>
      <c r="D13777" t="str">
        <f t="shared" si="215"/>
        <v>1977214-4/19</v>
      </c>
      <c r="E13777" t="s">
        <v>2814</v>
      </c>
      <c r="F13777" t="s">
        <v>2815</v>
      </c>
      <c r="G13777">
        <v>78.83</v>
      </c>
      <c r="H13777">
        <v>251001</v>
      </c>
      <c r="I13777">
        <v>4841</v>
      </c>
      <c r="J13777" t="s">
        <v>9</v>
      </c>
      <c r="K13777">
        <v>2624.12</v>
      </c>
      <c r="L13777">
        <v>16.02</v>
      </c>
      <c r="M13777">
        <v>17972</v>
      </c>
      <c r="N13777" t="s">
        <v>28</v>
      </c>
      <c r="O13777">
        <v>250916</v>
      </c>
      <c r="P13777">
        <v>62.81</v>
      </c>
    </row>
    <row r="13778" spans="1:16" x14ac:dyDescent="0.25">
      <c r="A13778" t="s">
        <v>3296</v>
      </c>
      <c r="B13778" t="s">
        <v>2931</v>
      </c>
      <c r="C13778">
        <v>12153</v>
      </c>
      <c r="D13778" t="str">
        <f>"977214-12/19"</f>
        <v>977214-12/19</v>
      </c>
      <c r="E13778" t="s">
        <v>2814</v>
      </c>
      <c r="F13778" t="s">
        <v>2815</v>
      </c>
      <c r="G13778">
        <v>64.13</v>
      </c>
      <c r="H13778">
        <v>251001</v>
      </c>
      <c r="I13778">
        <v>4841</v>
      </c>
      <c r="J13778" t="s">
        <v>9</v>
      </c>
      <c r="K13778">
        <v>77.12</v>
      </c>
      <c r="L13778">
        <v>13.03</v>
      </c>
      <c r="M13778">
        <v>13661</v>
      </c>
      <c r="N13778" t="s">
        <v>243</v>
      </c>
      <c r="O13778">
        <v>250916</v>
      </c>
      <c r="P13778">
        <v>51.1</v>
      </c>
    </row>
    <row r="13779" spans="1:16" x14ac:dyDescent="0.25">
      <c r="A13779" t="s">
        <v>3296</v>
      </c>
      <c r="B13779" t="s">
        <v>2931</v>
      </c>
      <c r="C13779">
        <v>12153</v>
      </c>
      <c r="D13779" t="str">
        <f>"977214-12/19"</f>
        <v>977214-12/19</v>
      </c>
      <c r="E13779" t="s">
        <v>2814</v>
      </c>
      <c r="F13779" t="s">
        <v>2815</v>
      </c>
      <c r="G13779">
        <v>12.99</v>
      </c>
      <c r="H13779">
        <v>251001</v>
      </c>
      <c r="I13779">
        <v>4841</v>
      </c>
      <c r="J13779" t="s">
        <v>9</v>
      </c>
      <c r="K13779">
        <v>77.12</v>
      </c>
      <c r="L13779">
        <v>2.64</v>
      </c>
      <c r="M13779">
        <v>13801</v>
      </c>
      <c r="N13779" t="s">
        <v>33</v>
      </c>
      <c r="O13779">
        <v>250916</v>
      </c>
      <c r="P13779">
        <v>10.35</v>
      </c>
    </row>
    <row r="13780" spans="1:16" x14ac:dyDescent="0.25">
      <c r="A13780" t="s">
        <v>3296</v>
      </c>
      <c r="B13780" t="s">
        <v>2931</v>
      </c>
      <c r="C13780">
        <v>12195</v>
      </c>
      <c r="D13780" t="str">
        <f>"977214-13/19"</f>
        <v>977214-13/19</v>
      </c>
      <c r="E13780" t="s">
        <v>2814</v>
      </c>
      <c r="F13780" t="s">
        <v>2815</v>
      </c>
      <c r="G13780">
        <v>70.52</v>
      </c>
      <c r="H13780">
        <v>251001</v>
      </c>
      <c r="I13780">
        <v>4841</v>
      </c>
      <c r="J13780" t="s">
        <v>9</v>
      </c>
      <c r="K13780">
        <v>206.54</v>
      </c>
      <c r="L13780">
        <v>14.33</v>
      </c>
      <c r="M13780">
        <v>17131</v>
      </c>
      <c r="N13780" t="s">
        <v>154</v>
      </c>
      <c r="O13780">
        <v>250917</v>
      </c>
      <c r="P13780">
        <v>56.19</v>
      </c>
    </row>
    <row r="13781" spans="1:16" x14ac:dyDescent="0.25">
      <c r="A13781" t="s">
        <v>3296</v>
      </c>
      <c r="B13781" t="s">
        <v>2931</v>
      </c>
      <c r="C13781">
        <v>12195</v>
      </c>
      <c r="D13781" t="str">
        <f>"977214-13/19"</f>
        <v>977214-13/19</v>
      </c>
      <c r="E13781" t="s">
        <v>2814</v>
      </c>
      <c r="F13781" t="s">
        <v>2815</v>
      </c>
      <c r="G13781">
        <v>136.02000000000001</v>
      </c>
      <c r="H13781">
        <v>251001</v>
      </c>
      <c r="I13781">
        <v>4841</v>
      </c>
      <c r="J13781" t="s">
        <v>9</v>
      </c>
      <c r="K13781">
        <v>206.54</v>
      </c>
      <c r="L13781">
        <v>27.64</v>
      </c>
      <c r="M13781">
        <v>17711</v>
      </c>
      <c r="N13781" t="s">
        <v>155</v>
      </c>
      <c r="O13781">
        <v>250917</v>
      </c>
      <c r="P13781">
        <v>108.38</v>
      </c>
    </row>
    <row r="13782" spans="1:16" x14ac:dyDescent="0.25">
      <c r="A13782" t="s">
        <v>3296</v>
      </c>
      <c r="B13782" t="s">
        <v>2931</v>
      </c>
      <c r="C13782">
        <v>12200</v>
      </c>
      <c r="D13782" t="str">
        <f t="shared" ref="D13782:D13790" si="216">"1977214-8/19"</f>
        <v>1977214-8/19</v>
      </c>
      <c r="E13782" t="s">
        <v>2814</v>
      </c>
      <c r="F13782" t="s">
        <v>2815</v>
      </c>
      <c r="G13782">
        <v>77.62</v>
      </c>
      <c r="H13782">
        <v>251001</v>
      </c>
      <c r="I13782">
        <v>4841</v>
      </c>
      <c r="J13782" t="s">
        <v>9</v>
      </c>
      <c r="K13782">
        <v>2309.6799999999998</v>
      </c>
      <c r="L13782">
        <v>15.77</v>
      </c>
      <c r="M13782">
        <v>11101</v>
      </c>
      <c r="N13782" t="s">
        <v>67</v>
      </c>
      <c r="O13782">
        <v>250917</v>
      </c>
      <c r="P13782">
        <v>61.85</v>
      </c>
    </row>
    <row r="13783" spans="1:16" x14ac:dyDescent="0.25">
      <c r="A13783" t="s">
        <v>3296</v>
      </c>
      <c r="B13783" t="s">
        <v>2931</v>
      </c>
      <c r="C13783">
        <v>12200</v>
      </c>
      <c r="D13783" t="str">
        <f t="shared" si="216"/>
        <v>1977214-8/19</v>
      </c>
      <c r="E13783" t="s">
        <v>2814</v>
      </c>
      <c r="F13783" t="s">
        <v>2815</v>
      </c>
      <c r="G13783">
        <v>50.23</v>
      </c>
      <c r="H13783">
        <v>251001</v>
      </c>
      <c r="I13783">
        <v>4841</v>
      </c>
      <c r="J13783" t="s">
        <v>9</v>
      </c>
      <c r="K13783">
        <v>2309.6799999999998</v>
      </c>
      <c r="L13783">
        <v>10.210000000000001</v>
      </c>
      <c r="M13783">
        <v>11301</v>
      </c>
      <c r="N13783" t="s">
        <v>92</v>
      </c>
      <c r="O13783">
        <v>250917</v>
      </c>
      <c r="P13783">
        <v>40.020000000000003</v>
      </c>
    </row>
    <row r="13784" spans="1:16" x14ac:dyDescent="0.25">
      <c r="A13784" t="s">
        <v>3296</v>
      </c>
      <c r="B13784" t="s">
        <v>2931</v>
      </c>
      <c r="C13784">
        <v>12200</v>
      </c>
      <c r="D13784" t="str">
        <f t="shared" si="216"/>
        <v>1977214-8/19</v>
      </c>
      <c r="E13784" t="s">
        <v>2814</v>
      </c>
      <c r="F13784" t="s">
        <v>2815</v>
      </c>
      <c r="G13784">
        <v>153.72</v>
      </c>
      <c r="H13784">
        <v>251001</v>
      </c>
      <c r="I13784">
        <v>4841</v>
      </c>
      <c r="J13784" t="s">
        <v>9</v>
      </c>
      <c r="K13784">
        <v>2309.6799999999998</v>
      </c>
      <c r="L13784">
        <v>31.23</v>
      </c>
      <c r="M13784">
        <v>11401</v>
      </c>
      <c r="N13784" t="s">
        <v>91</v>
      </c>
      <c r="O13784">
        <v>250917</v>
      </c>
      <c r="P13784">
        <v>122.49</v>
      </c>
    </row>
    <row r="13785" spans="1:16" x14ac:dyDescent="0.25">
      <c r="A13785" t="s">
        <v>3296</v>
      </c>
      <c r="B13785" t="s">
        <v>2931</v>
      </c>
      <c r="C13785">
        <v>12200</v>
      </c>
      <c r="D13785" t="str">
        <f t="shared" si="216"/>
        <v>1977214-8/19</v>
      </c>
      <c r="E13785" t="s">
        <v>2814</v>
      </c>
      <c r="F13785" t="s">
        <v>2815</v>
      </c>
      <c r="G13785">
        <v>24.84</v>
      </c>
      <c r="H13785">
        <v>251001</v>
      </c>
      <c r="I13785">
        <v>4841</v>
      </c>
      <c r="J13785" t="s">
        <v>9</v>
      </c>
      <c r="K13785">
        <v>2309.6799999999998</v>
      </c>
      <c r="L13785">
        <v>5.05</v>
      </c>
      <c r="M13785">
        <v>11501</v>
      </c>
      <c r="N13785" t="s">
        <v>13</v>
      </c>
      <c r="O13785">
        <v>250917</v>
      </c>
      <c r="P13785">
        <v>19.79</v>
      </c>
    </row>
    <row r="13786" spans="1:16" x14ac:dyDescent="0.25">
      <c r="A13786" t="s">
        <v>3296</v>
      </c>
      <c r="B13786" t="s">
        <v>2931</v>
      </c>
      <c r="C13786">
        <v>12200</v>
      </c>
      <c r="D13786" t="str">
        <f t="shared" si="216"/>
        <v>1977214-8/19</v>
      </c>
      <c r="E13786" t="s">
        <v>2814</v>
      </c>
      <c r="F13786" t="s">
        <v>2815</v>
      </c>
      <c r="G13786">
        <v>75.209999999999994</v>
      </c>
      <c r="H13786">
        <v>251001</v>
      </c>
      <c r="I13786">
        <v>4841</v>
      </c>
      <c r="J13786" t="s">
        <v>9</v>
      </c>
      <c r="K13786">
        <v>2309.6799999999998</v>
      </c>
      <c r="L13786">
        <v>15.28</v>
      </c>
      <c r="M13786">
        <v>11601</v>
      </c>
      <c r="N13786" t="s">
        <v>12</v>
      </c>
      <c r="O13786">
        <v>250917</v>
      </c>
      <c r="P13786">
        <v>59.93</v>
      </c>
    </row>
    <row r="13787" spans="1:16" x14ac:dyDescent="0.25">
      <c r="A13787" t="s">
        <v>3296</v>
      </c>
      <c r="B13787" t="s">
        <v>2931</v>
      </c>
      <c r="C13787">
        <v>12200</v>
      </c>
      <c r="D13787" t="str">
        <f t="shared" si="216"/>
        <v>1977214-8/19</v>
      </c>
      <c r="E13787" t="s">
        <v>2814</v>
      </c>
      <c r="F13787" t="s">
        <v>2815</v>
      </c>
      <c r="G13787">
        <v>14.63</v>
      </c>
      <c r="H13787">
        <v>251001</v>
      </c>
      <c r="I13787">
        <v>4841</v>
      </c>
      <c r="J13787" t="s">
        <v>9</v>
      </c>
      <c r="K13787">
        <v>2309.6799999999998</v>
      </c>
      <c r="L13787">
        <v>2.97</v>
      </c>
      <c r="M13787">
        <v>11701</v>
      </c>
      <c r="N13787" t="s">
        <v>973</v>
      </c>
      <c r="O13787">
        <v>250917</v>
      </c>
      <c r="P13787">
        <v>11.66</v>
      </c>
    </row>
    <row r="13788" spans="1:16" x14ac:dyDescent="0.25">
      <c r="A13788" t="s">
        <v>3296</v>
      </c>
      <c r="B13788" t="s">
        <v>2931</v>
      </c>
      <c r="C13788">
        <v>12200</v>
      </c>
      <c r="D13788" t="str">
        <f t="shared" si="216"/>
        <v>1977214-8/19</v>
      </c>
      <c r="E13788" t="s">
        <v>2814</v>
      </c>
      <c r="F13788" t="s">
        <v>2815</v>
      </c>
      <c r="G13788">
        <v>1665.59</v>
      </c>
      <c r="H13788">
        <v>251001</v>
      </c>
      <c r="I13788">
        <v>4841</v>
      </c>
      <c r="J13788" t="s">
        <v>9</v>
      </c>
      <c r="K13788">
        <v>2309.6799999999998</v>
      </c>
      <c r="L13788">
        <v>338.43</v>
      </c>
      <c r="M13788">
        <v>11801</v>
      </c>
      <c r="N13788" t="s">
        <v>40</v>
      </c>
      <c r="O13788">
        <v>250917</v>
      </c>
      <c r="P13788">
        <v>1327.16</v>
      </c>
    </row>
    <row r="13789" spans="1:16" x14ac:dyDescent="0.25">
      <c r="A13789" t="s">
        <v>3296</v>
      </c>
      <c r="B13789" t="s">
        <v>2931</v>
      </c>
      <c r="C13789">
        <v>12200</v>
      </c>
      <c r="D13789" t="str">
        <f t="shared" si="216"/>
        <v>1977214-8/19</v>
      </c>
      <c r="E13789" t="s">
        <v>2814</v>
      </c>
      <c r="F13789" t="s">
        <v>2815</v>
      </c>
      <c r="G13789">
        <v>214.34</v>
      </c>
      <c r="H13789">
        <v>251001</v>
      </c>
      <c r="I13789">
        <v>4841</v>
      </c>
      <c r="J13789" t="s">
        <v>9</v>
      </c>
      <c r="K13789">
        <v>2309.6799999999998</v>
      </c>
      <c r="L13789">
        <v>43.55</v>
      </c>
      <c r="M13789">
        <v>13801</v>
      </c>
      <c r="N13789" t="s">
        <v>33</v>
      </c>
      <c r="O13789">
        <v>250917</v>
      </c>
      <c r="P13789">
        <v>170.79</v>
      </c>
    </row>
    <row r="13790" spans="1:16" x14ac:dyDescent="0.25">
      <c r="A13790" t="s">
        <v>3296</v>
      </c>
      <c r="B13790" t="s">
        <v>2931</v>
      </c>
      <c r="C13790">
        <v>12200</v>
      </c>
      <c r="D13790" t="str">
        <f t="shared" si="216"/>
        <v>1977214-8/19</v>
      </c>
      <c r="E13790" t="s">
        <v>2814</v>
      </c>
      <c r="F13790" t="s">
        <v>2815</v>
      </c>
      <c r="G13790">
        <v>33.5</v>
      </c>
      <c r="H13790">
        <v>251001</v>
      </c>
      <c r="I13790">
        <v>4841</v>
      </c>
      <c r="J13790" t="s">
        <v>9</v>
      </c>
      <c r="K13790">
        <v>2309.6799999999998</v>
      </c>
      <c r="L13790">
        <v>6.81</v>
      </c>
      <c r="M13790">
        <v>14971</v>
      </c>
      <c r="N13790" t="s">
        <v>81</v>
      </c>
      <c r="O13790">
        <v>250917</v>
      </c>
      <c r="P13790">
        <v>26.69</v>
      </c>
    </row>
    <row r="13791" spans="1:16" x14ac:dyDescent="0.25">
      <c r="A13791" t="s">
        <v>3296</v>
      </c>
      <c r="B13791" t="s">
        <v>2931</v>
      </c>
      <c r="C13791">
        <v>12208</v>
      </c>
      <c r="D13791" t="str">
        <f>"1977214-5/19"</f>
        <v>1977214-5/19</v>
      </c>
      <c r="E13791" t="s">
        <v>2814</v>
      </c>
      <c r="F13791" t="s">
        <v>2815</v>
      </c>
      <c r="G13791">
        <v>12.99</v>
      </c>
      <c r="H13791">
        <v>251001</v>
      </c>
      <c r="I13791">
        <v>4841</v>
      </c>
      <c r="J13791" t="s">
        <v>9</v>
      </c>
      <c r="K13791">
        <v>12.99</v>
      </c>
      <c r="L13791">
        <v>2.64</v>
      </c>
      <c r="M13791">
        <v>13501</v>
      </c>
      <c r="N13791" t="s">
        <v>66</v>
      </c>
      <c r="O13791">
        <v>250917</v>
      </c>
      <c r="P13791">
        <v>10.35</v>
      </c>
    </row>
    <row r="13792" spans="1:16" x14ac:dyDescent="0.25">
      <c r="A13792" t="s">
        <v>3296</v>
      </c>
      <c r="B13792" t="s">
        <v>2931</v>
      </c>
      <c r="C13792">
        <v>12211</v>
      </c>
      <c r="D13792" t="str">
        <f t="shared" ref="D13792:D13809" si="217">"977214-19/19"</f>
        <v>977214-19/19</v>
      </c>
      <c r="E13792" t="s">
        <v>2814</v>
      </c>
      <c r="F13792" t="s">
        <v>2815</v>
      </c>
      <c r="G13792">
        <v>88.4</v>
      </c>
      <c r="H13792">
        <v>251001</v>
      </c>
      <c r="I13792">
        <v>4841</v>
      </c>
      <c r="J13792" t="s">
        <v>9</v>
      </c>
      <c r="K13792">
        <v>3499.22</v>
      </c>
      <c r="L13792">
        <v>17.96</v>
      </c>
      <c r="M13792">
        <v>54222</v>
      </c>
      <c r="N13792" t="s">
        <v>48</v>
      </c>
      <c r="O13792">
        <v>250917</v>
      </c>
      <c r="P13792">
        <v>70.44</v>
      </c>
    </row>
    <row r="13793" spans="1:16" x14ac:dyDescent="0.25">
      <c r="A13793" t="s">
        <v>3296</v>
      </c>
      <c r="B13793" t="s">
        <v>2931</v>
      </c>
      <c r="C13793">
        <v>12211</v>
      </c>
      <c r="D13793" t="str">
        <f t="shared" si="217"/>
        <v>977214-19/19</v>
      </c>
      <c r="E13793" t="s">
        <v>2814</v>
      </c>
      <c r="F13793" t="s">
        <v>2815</v>
      </c>
      <c r="G13793">
        <v>90.33</v>
      </c>
      <c r="H13793">
        <v>251001</v>
      </c>
      <c r="I13793">
        <v>4841</v>
      </c>
      <c r="J13793" t="s">
        <v>9</v>
      </c>
      <c r="K13793">
        <v>3499.22</v>
      </c>
      <c r="L13793">
        <v>18.350000000000001</v>
      </c>
      <c r="M13793">
        <v>54222</v>
      </c>
      <c r="N13793" t="s">
        <v>48</v>
      </c>
      <c r="O13793">
        <v>250917</v>
      </c>
      <c r="P13793">
        <v>71.98</v>
      </c>
    </row>
    <row r="13794" spans="1:16" x14ac:dyDescent="0.25">
      <c r="A13794" t="s">
        <v>3296</v>
      </c>
      <c r="B13794" t="s">
        <v>2931</v>
      </c>
      <c r="C13794">
        <v>12211</v>
      </c>
      <c r="D13794" t="str">
        <f t="shared" si="217"/>
        <v>977214-19/19</v>
      </c>
      <c r="E13794" t="s">
        <v>2814</v>
      </c>
      <c r="F13794" t="s">
        <v>2815</v>
      </c>
      <c r="G13794">
        <v>302.12</v>
      </c>
      <c r="H13794">
        <v>251001</v>
      </c>
      <c r="I13794">
        <v>4841</v>
      </c>
      <c r="J13794" t="s">
        <v>9</v>
      </c>
      <c r="K13794">
        <v>3499.22</v>
      </c>
      <c r="L13794">
        <v>61.39</v>
      </c>
      <c r="M13794">
        <v>54252</v>
      </c>
      <c r="N13794" t="s">
        <v>742</v>
      </c>
      <c r="O13794">
        <v>250917</v>
      </c>
      <c r="P13794">
        <v>240.73</v>
      </c>
    </row>
    <row r="13795" spans="1:16" x14ac:dyDescent="0.25">
      <c r="A13795" t="s">
        <v>3296</v>
      </c>
      <c r="B13795" t="s">
        <v>2931</v>
      </c>
      <c r="C13795">
        <v>12211</v>
      </c>
      <c r="D13795" t="str">
        <f t="shared" si="217"/>
        <v>977214-19/19</v>
      </c>
      <c r="E13795" t="s">
        <v>2814</v>
      </c>
      <c r="F13795" t="s">
        <v>2815</v>
      </c>
      <c r="G13795">
        <v>32.64</v>
      </c>
      <c r="H13795">
        <v>251001</v>
      </c>
      <c r="I13795">
        <v>4841</v>
      </c>
      <c r="J13795" t="s">
        <v>9</v>
      </c>
      <c r="K13795">
        <v>3499.22</v>
      </c>
      <c r="L13795">
        <v>6.63</v>
      </c>
      <c r="M13795">
        <v>54422</v>
      </c>
      <c r="N13795" t="s">
        <v>49</v>
      </c>
      <c r="O13795">
        <v>250917</v>
      </c>
      <c r="P13795">
        <v>26.01</v>
      </c>
    </row>
    <row r="13796" spans="1:16" x14ac:dyDescent="0.25">
      <c r="A13796" t="s">
        <v>3296</v>
      </c>
      <c r="B13796" t="s">
        <v>2931</v>
      </c>
      <c r="C13796">
        <v>12211</v>
      </c>
      <c r="D13796" t="str">
        <f t="shared" si="217"/>
        <v>977214-19/19</v>
      </c>
      <c r="E13796" t="s">
        <v>2814</v>
      </c>
      <c r="F13796" t="s">
        <v>2815</v>
      </c>
      <c r="G13796">
        <v>108.73</v>
      </c>
      <c r="H13796">
        <v>251001</v>
      </c>
      <c r="I13796">
        <v>4841</v>
      </c>
      <c r="J13796" t="s">
        <v>9</v>
      </c>
      <c r="K13796">
        <v>3499.22</v>
      </c>
      <c r="L13796">
        <v>22.09</v>
      </c>
      <c r="M13796">
        <v>54422</v>
      </c>
      <c r="N13796" t="s">
        <v>49</v>
      </c>
      <c r="O13796">
        <v>250917</v>
      </c>
      <c r="P13796">
        <v>86.64</v>
      </c>
    </row>
    <row r="13797" spans="1:16" x14ac:dyDescent="0.25">
      <c r="A13797" t="s">
        <v>3296</v>
      </c>
      <c r="B13797" t="s">
        <v>2931</v>
      </c>
      <c r="C13797">
        <v>12211</v>
      </c>
      <c r="D13797" t="str">
        <f t="shared" si="217"/>
        <v>977214-19/19</v>
      </c>
      <c r="E13797" t="s">
        <v>2814</v>
      </c>
      <c r="F13797" t="s">
        <v>2815</v>
      </c>
      <c r="G13797">
        <v>866.01</v>
      </c>
      <c r="H13797">
        <v>251001</v>
      </c>
      <c r="I13797">
        <v>4841</v>
      </c>
      <c r="J13797" t="s">
        <v>9</v>
      </c>
      <c r="K13797">
        <v>3499.22</v>
      </c>
      <c r="L13797">
        <v>175.96</v>
      </c>
      <c r="M13797">
        <v>56558</v>
      </c>
      <c r="N13797" t="s">
        <v>50</v>
      </c>
      <c r="O13797">
        <v>250917</v>
      </c>
      <c r="P13797">
        <v>690.05</v>
      </c>
    </row>
    <row r="13798" spans="1:16" x14ac:dyDescent="0.25">
      <c r="A13798" t="s">
        <v>3296</v>
      </c>
      <c r="B13798" t="s">
        <v>2931</v>
      </c>
      <c r="C13798">
        <v>12211</v>
      </c>
      <c r="D13798" t="str">
        <f t="shared" si="217"/>
        <v>977214-19/19</v>
      </c>
      <c r="E13798" t="s">
        <v>2814</v>
      </c>
      <c r="F13798" t="s">
        <v>2815</v>
      </c>
      <c r="G13798">
        <v>97.93</v>
      </c>
      <c r="H13798">
        <v>251001</v>
      </c>
      <c r="I13798">
        <v>4841</v>
      </c>
      <c r="J13798" t="s">
        <v>9</v>
      </c>
      <c r="K13798">
        <v>3499.22</v>
      </c>
      <c r="L13798">
        <v>19.899999999999999</v>
      </c>
      <c r="M13798">
        <v>56559</v>
      </c>
      <c r="N13798" t="s">
        <v>51</v>
      </c>
      <c r="O13798">
        <v>250917</v>
      </c>
      <c r="P13798">
        <v>78.03</v>
      </c>
    </row>
    <row r="13799" spans="1:16" x14ac:dyDescent="0.25">
      <c r="A13799" t="s">
        <v>3296</v>
      </c>
      <c r="B13799" t="s">
        <v>2931</v>
      </c>
      <c r="C13799">
        <v>12211</v>
      </c>
      <c r="D13799" t="str">
        <f t="shared" si="217"/>
        <v>977214-19/19</v>
      </c>
      <c r="E13799" t="s">
        <v>2814</v>
      </c>
      <c r="F13799" t="s">
        <v>2815</v>
      </c>
      <c r="G13799">
        <v>389.78</v>
      </c>
      <c r="H13799">
        <v>251001</v>
      </c>
      <c r="I13799">
        <v>4841</v>
      </c>
      <c r="J13799" t="s">
        <v>9</v>
      </c>
      <c r="K13799">
        <v>3499.22</v>
      </c>
      <c r="L13799">
        <v>79.2</v>
      </c>
      <c r="M13799">
        <v>56560</v>
      </c>
      <c r="N13799" t="s">
        <v>52</v>
      </c>
      <c r="O13799">
        <v>250917</v>
      </c>
      <c r="P13799">
        <v>310.58</v>
      </c>
    </row>
    <row r="13800" spans="1:16" x14ac:dyDescent="0.25">
      <c r="A13800" t="s">
        <v>3296</v>
      </c>
      <c r="B13800" t="s">
        <v>2931</v>
      </c>
      <c r="C13800">
        <v>12211</v>
      </c>
      <c r="D13800" t="str">
        <f t="shared" si="217"/>
        <v>977214-19/19</v>
      </c>
      <c r="E13800" t="s">
        <v>2814</v>
      </c>
      <c r="F13800" t="s">
        <v>2815</v>
      </c>
      <c r="G13800">
        <v>984.13</v>
      </c>
      <c r="H13800">
        <v>251001</v>
      </c>
      <c r="I13800">
        <v>4841</v>
      </c>
      <c r="J13800" t="s">
        <v>9</v>
      </c>
      <c r="K13800">
        <v>3499.22</v>
      </c>
      <c r="L13800">
        <v>199.96</v>
      </c>
      <c r="M13800">
        <v>56566</v>
      </c>
      <c r="N13800" t="s">
        <v>58</v>
      </c>
      <c r="O13800">
        <v>250917</v>
      </c>
      <c r="P13800">
        <v>784.17</v>
      </c>
    </row>
    <row r="13801" spans="1:16" x14ac:dyDescent="0.25">
      <c r="A13801" t="s">
        <v>3296</v>
      </c>
      <c r="B13801" t="s">
        <v>2931</v>
      </c>
      <c r="C13801">
        <v>12211</v>
      </c>
      <c r="D13801" t="str">
        <f t="shared" si="217"/>
        <v>977214-19/19</v>
      </c>
      <c r="E13801" t="s">
        <v>2814</v>
      </c>
      <c r="F13801" t="s">
        <v>2815</v>
      </c>
      <c r="G13801">
        <v>31.89</v>
      </c>
      <c r="H13801">
        <v>251001</v>
      </c>
      <c r="I13801">
        <v>4841</v>
      </c>
      <c r="J13801" t="s">
        <v>9</v>
      </c>
      <c r="K13801">
        <v>3499.22</v>
      </c>
      <c r="L13801">
        <v>6.48</v>
      </c>
      <c r="M13801">
        <v>58601</v>
      </c>
      <c r="N13801" t="s">
        <v>59</v>
      </c>
      <c r="O13801">
        <v>250917</v>
      </c>
      <c r="P13801">
        <v>25.41</v>
      </c>
    </row>
    <row r="13802" spans="1:16" x14ac:dyDescent="0.25">
      <c r="A13802" t="s">
        <v>3296</v>
      </c>
      <c r="B13802" t="s">
        <v>2931</v>
      </c>
      <c r="C13802">
        <v>12211</v>
      </c>
      <c r="D13802" t="str">
        <f t="shared" si="217"/>
        <v>977214-19/19</v>
      </c>
      <c r="E13802" t="s">
        <v>2814</v>
      </c>
      <c r="F13802" t="s">
        <v>2815</v>
      </c>
      <c r="G13802">
        <v>32.64</v>
      </c>
      <c r="H13802">
        <v>251001</v>
      </c>
      <c r="I13802">
        <v>4841</v>
      </c>
      <c r="J13802" t="s">
        <v>9</v>
      </c>
      <c r="K13802">
        <v>3499.22</v>
      </c>
      <c r="L13802">
        <v>6.63</v>
      </c>
      <c r="M13802">
        <v>59111</v>
      </c>
      <c r="N13802" t="s">
        <v>60</v>
      </c>
      <c r="O13802">
        <v>250917</v>
      </c>
      <c r="P13802">
        <v>26.01</v>
      </c>
    </row>
    <row r="13803" spans="1:16" x14ac:dyDescent="0.25">
      <c r="A13803" t="s">
        <v>3296</v>
      </c>
      <c r="B13803" t="s">
        <v>2931</v>
      </c>
      <c r="C13803">
        <v>12211</v>
      </c>
      <c r="D13803" t="str">
        <f t="shared" si="217"/>
        <v>977214-19/19</v>
      </c>
      <c r="E13803" t="s">
        <v>2814</v>
      </c>
      <c r="F13803" t="s">
        <v>2815</v>
      </c>
      <c r="G13803">
        <v>32.64</v>
      </c>
      <c r="H13803">
        <v>251001</v>
      </c>
      <c r="I13803">
        <v>4841</v>
      </c>
      <c r="J13803" t="s">
        <v>9</v>
      </c>
      <c r="K13803">
        <v>3499.22</v>
      </c>
      <c r="L13803">
        <v>6.63</v>
      </c>
      <c r="M13803">
        <v>59501</v>
      </c>
      <c r="N13803" t="s">
        <v>62</v>
      </c>
      <c r="O13803">
        <v>250917</v>
      </c>
      <c r="P13803">
        <v>26.01</v>
      </c>
    </row>
    <row r="13804" spans="1:16" x14ac:dyDescent="0.25">
      <c r="A13804" t="s">
        <v>3296</v>
      </c>
      <c r="B13804" t="s">
        <v>2931</v>
      </c>
      <c r="C13804">
        <v>12211</v>
      </c>
      <c r="D13804" t="str">
        <f t="shared" si="217"/>
        <v>977214-19/19</v>
      </c>
      <c r="E13804" t="s">
        <v>2814</v>
      </c>
      <c r="F13804" t="s">
        <v>2815</v>
      </c>
      <c r="G13804">
        <v>207.61</v>
      </c>
      <c r="H13804">
        <v>251001</v>
      </c>
      <c r="I13804">
        <v>4841</v>
      </c>
      <c r="J13804" t="s">
        <v>9</v>
      </c>
      <c r="K13804">
        <v>3499.22</v>
      </c>
      <c r="L13804">
        <v>42.18</v>
      </c>
      <c r="M13804">
        <v>59502</v>
      </c>
      <c r="N13804" t="s">
        <v>63</v>
      </c>
      <c r="O13804">
        <v>250917</v>
      </c>
      <c r="P13804">
        <v>165.43</v>
      </c>
    </row>
    <row r="13805" spans="1:16" x14ac:dyDescent="0.25">
      <c r="A13805" t="s">
        <v>3296</v>
      </c>
      <c r="B13805" t="s">
        <v>2931</v>
      </c>
      <c r="C13805">
        <v>12211</v>
      </c>
      <c r="D13805" t="str">
        <f t="shared" si="217"/>
        <v>977214-19/19</v>
      </c>
      <c r="E13805" t="s">
        <v>2814</v>
      </c>
      <c r="F13805" t="s">
        <v>2815</v>
      </c>
      <c r="G13805">
        <v>66.92</v>
      </c>
      <c r="H13805">
        <v>251001</v>
      </c>
      <c r="I13805">
        <v>4841</v>
      </c>
      <c r="J13805" t="s">
        <v>9</v>
      </c>
      <c r="K13805">
        <v>3499.22</v>
      </c>
      <c r="L13805">
        <v>13.6</v>
      </c>
      <c r="M13805">
        <v>59701</v>
      </c>
      <c r="N13805" t="s">
        <v>64</v>
      </c>
      <c r="O13805">
        <v>250917</v>
      </c>
      <c r="P13805">
        <v>53.32</v>
      </c>
    </row>
    <row r="13806" spans="1:16" x14ac:dyDescent="0.25">
      <c r="A13806" t="s">
        <v>3296</v>
      </c>
      <c r="B13806" t="s">
        <v>2931</v>
      </c>
      <c r="C13806">
        <v>12211</v>
      </c>
      <c r="D13806" t="str">
        <f t="shared" si="217"/>
        <v>977214-19/19</v>
      </c>
      <c r="E13806" t="s">
        <v>2814</v>
      </c>
      <c r="F13806" t="s">
        <v>2815</v>
      </c>
      <c r="G13806">
        <v>57.13</v>
      </c>
      <c r="H13806">
        <v>251001</v>
      </c>
      <c r="I13806">
        <v>4841</v>
      </c>
      <c r="J13806" t="s">
        <v>9</v>
      </c>
      <c r="K13806">
        <v>3499.22</v>
      </c>
      <c r="L13806">
        <v>11.61</v>
      </c>
      <c r="M13806">
        <v>59702</v>
      </c>
      <c r="N13806" t="s">
        <v>45</v>
      </c>
      <c r="O13806">
        <v>250917</v>
      </c>
      <c r="P13806">
        <v>45.52</v>
      </c>
    </row>
    <row r="13807" spans="1:16" x14ac:dyDescent="0.25">
      <c r="A13807" t="s">
        <v>3296</v>
      </c>
      <c r="B13807" t="s">
        <v>2931</v>
      </c>
      <c r="C13807">
        <v>12211</v>
      </c>
      <c r="D13807" t="str">
        <f t="shared" si="217"/>
        <v>977214-19/19</v>
      </c>
      <c r="E13807" t="s">
        <v>2814</v>
      </c>
      <c r="F13807" t="s">
        <v>2815</v>
      </c>
      <c r="G13807">
        <v>57.74</v>
      </c>
      <c r="H13807">
        <v>251001</v>
      </c>
      <c r="I13807">
        <v>4841</v>
      </c>
      <c r="J13807" t="s">
        <v>9</v>
      </c>
      <c r="K13807">
        <v>3499.22</v>
      </c>
      <c r="L13807">
        <v>11.73</v>
      </c>
      <c r="M13807">
        <v>59702</v>
      </c>
      <c r="N13807" t="s">
        <v>45</v>
      </c>
      <c r="O13807">
        <v>250917</v>
      </c>
      <c r="P13807">
        <v>46.01</v>
      </c>
    </row>
    <row r="13808" spans="1:16" x14ac:dyDescent="0.25">
      <c r="A13808" t="s">
        <v>3296</v>
      </c>
      <c r="B13808" t="s">
        <v>2931</v>
      </c>
      <c r="C13808">
        <v>12211</v>
      </c>
      <c r="D13808" t="str">
        <f t="shared" si="217"/>
        <v>977214-19/19</v>
      </c>
      <c r="E13808" t="s">
        <v>2814</v>
      </c>
      <c r="F13808" t="s">
        <v>2815</v>
      </c>
      <c r="G13808">
        <v>8.3800000000000008</v>
      </c>
      <c r="H13808">
        <v>251001</v>
      </c>
      <c r="I13808">
        <v>4841</v>
      </c>
      <c r="J13808" t="s">
        <v>9</v>
      </c>
      <c r="K13808">
        <v>3499.22</v>
      </c>
      <c r="L13808">
        <v>1.7</v>
      </c>
      <c r="M13808">
        <v>59704</v>
      </c>
      <c r="N13808" t="s">
        <v>46</v>
      </c>
      <c r="O13808">
        <v>250917</v>
      </c>
      <c r="P13808">
        <v>6.68</v>
      </c>
    </row>
    <row r="13809" spans="1:16" x14ac:dyDescent="0.25">
      <c r="A13809" t="s">
        <v>3296</v>
      </c>
      <c r="B13809" t="s">
        <v>2931</v>
      </c>
      <c r="C13809">
        <v>12211</v>
      </c>
      <c r="D13809" t="str">
        <f t="shared" si="217"/>
        <v>977214-19/19</v>
      </c>
      <c r="E13809" t="s">
        <v>2814</v>
      </c>
      <c r="F13809" t="s">
        <v>2815</v>
      </c>
      <c r="G13809">
        <v>44.2</v>
      </c>
      <c r="H13809">
        <v>251001</v>
      </c>
      <c r="I13809">
        <v>4841</v>
      </c>
      <c r="J13809" t="s">
        <v>9</v>
      </c>
      <c r="K13809">
        <v>3499.22</v>
      </c>
      <c r="L13809">
        <v>8.98</v>
      </c>
      <c r="M13809">
        <v>59815</v>
      </c>
      <c r="N13809" t="s">
        <v>1001</v>
      </c>
      <c r="O13809">
        <v>250917</v>
      </c>
      <c r="P13809">
        <v>35.22</v>
      </c>
    </row>
    <row r="13810" spans="1:16" x14ac:dyDescent="0.25">
      <c r="A13810" t="s">
        <v>3296</v>
      </c>
      <c r="B13810" t="s">
        <v>2931</v>
      </c>
      <c r="C13810">
        <v>12215</v>
      </c>
      <c r="D13810" t="str">
        <f>"977214-10/19"</f>
        <v>977214-10/19</v>
      </c>
      <c r="E13810" t="s">
        <v>2814</v>
      </c>
      <c r="F13810" t="s">
        <v>2815</v>
      </c>
      <c r="G13810">
        <v>21.07</v>
      </c>
      <c r="H13810">
        <v>251001</v>
      </c>
      <c r="I13810">
        <v>4841</v>
      </c>
      <c r="J13810" t="s">
        <v>9</v>
      </c>
      <c r="K13810">
        <v>314.99</v>
      </c>
      <c r="L13810">
        <v>4.28</v>
      </c>
      <c r="M13810">
        <v>11301</v>
      </c>
      <c r="N13810" t="s">
        <v>92</v>
      </c>
      <c r="O13810">
        <v>250917</v>
      </c>
      <c r="P13810">
        <v>16.79</v>
      </c>
    </row>
    <row r="13811" spans="1:16" x14ac:dyDescent="0.25">
      <c r="A13811" t="s">
        <v>3296</v>
      </c>
      <c r="B13811" t="s">
        <v>2931</v>
      </c>
      <c r="C13811">
        <v>12215</v>
      </c>
      <c r="D13811" t="str">
        <f>"977214-10/19"</f>
        <v>977214-10/19</v>
      </c>
      <c r="E13811" t="s">
        <v>2814</v>
      </c>
      <c r="F13811" t="s">
        <v>2815</v>
      </c>
      <c r="G13811">
        <v>29.96</v>
      </c>
      <c r="H13811">
        <v>251001</v>
      </c>
      <c r="I13811">
        <v>4841</v>
      </c>
      <c r="J13811" t="s">
        <v>9</v>
      </c>
      <c r="K13811">
        <v>314.99</v>
      </c>
      <c r="L13811">
        <v>6.09</v>
      </c>
      <c r="M13811">
        <v>13540</v>
      </c>
      <c r="N13811" t="s">
        <v>131</v>
      </c>
      <c r="O13811">
        <v>250917</v>
      </c>
      <c r="P13811">
        <v>23.87</v>
      </c>
    </row>
    <row r="13812" spans="1:16" x14ac:dyDescent="0.25">
      <c r="A13812" t="s">
        <v>3296</v>
      </c>
      <c r="B13812" t="s">
        <v>2931</v>
      </c>
      <c r="C13812">
        <v>12215</v>
      </c>
      <c r="D13812" t="str">
        <f>"977214-10/19"</f>
        <v>977214-10/19</v>
      </c>
      <c r="E13812" t="s">
        <v>2814</v>
      </c>
      <c r="F13812" t="s">
        <v>2815</v>
      </c>
      <c r="G13812">
        <v>242.44</v>
      </c>
      <c r="H13812">
        <v>251001</v>
      </c>
      <c r="I13812">
        <v>4841</v>
      </c>
      <c r="J13812" t="s">
        <v>9</v>
      </c>
      <c r="K13812">
        <v>314.99</v>
      </c>
      <c r="L13812">
        <v>49.26</v>
      </c>
      <c r="M13812">
        <v>17950</v>
      </c>
      <c r="N13812" t="s">
        <v>132</v>
      </c>
      <c r="O13812">
        <v>250917</v>
      </c>
      <c r="P13812">
        <v>193.18</v>
      </c>
    </row>
    <row r="13813" spans="1:16" x14ac:dyDescent="0.25">
      <c r="A13813" t="s">
        <v>3296</v>
      </c>
      <c r="B13813" t="s">
        <v>2931</v>
      </c>
      <c r="C13813">
        <v>12215</v>
      </c>
      <c r="D13813" t="str">
        <f>"977214-10/19"</f>
        <v>977214-10/19</v>
      </c>
      <c r="E13813" t="s">
        <v>2814</v>
      </c>
      <c r="F13813" t="s">
        <v>2815</v>
      </c>
      <c r="G13813">
        <v>21.52</v>
      </c>
      <c r="H13813">
        <v>251001</v>
      </c>
      <c r="I13813">
        <v>4841</v>
      </c>
      <c r="J13813" t="s">
        <v>9</v>
      </c>
      <c r="K13813">
        <v>314.99</v>
      </c>
      <c r="L13813">
        <v>4.37</v>
      </c>
      <c r="M13813">
        <v>17972</v>
      </c>
      <c r="N13813" t="s">
        <v>28</v>
      </c>
      <c r="O13813">
        <v>250917</v>
      </c>
      <c r="P13813">
        <v>17.149999999999999</v>
      </c>
    </row>
    <row r="13814" spans="1:16" x14ac:dyDescent="0.25">
      <c r="A13814" t="s">
        <v>3296</v>
      </c>
      <c r="B13814" t="s">
        <v>2931</v>
      </c>
      <c r="C13814">
        <v>12216</v>
      </c>
      <c r="D13814" t="str">
        <f t="shared" ref="D13814:D13829" si="218">"1977214-3/19"</f>
        <v>1977214-3/19</v>
      </c>
      <c r="E13814" t="s">
        <v>2814</v>
      </c>
      <c r="F13814" t="s">
        <v>2815</v>
      </c>
      <c r="G13814">
        <v>25.04</v>
      </c>
      <c r="H13814">
        <v>251001</v>
      </c>
      <c r="I13814">
        <v>4841</v>
      </c>
      <c r="J13814" t="s">
        <v>9</v>
      </c>
      <c r="K13814">
        <v>3111.57</v>
      </c>
      <c r="L13814">
        <v>5.09</v>
      </c>
      <c r="M13814">
        <v>11301</v>
      </c>
      <c r="N13814" t="s">
        <v>92</v>
      </c>
      <c r="O13814">
        <v>250917</v>
      </c>
      <c r="P13814">
        <v>19.95</v>
      </c>
    </row>
    <row r="13815" spans="1:16" x14ac:dyDescent="0.25">
      <c r="A13815" t="s">
        <v>3296</v>
      </c>
      <c r="B13815" t="s">
        <v>2931</v>
      </c>
      <c r="C13815">
        <v>12216</v>
      </c>
      <c r="D13815" t="str">
        <f t="shared" si="218"/>
        <v>1977214-3/19</v>
      </c>
      <c r="E13815" t="s">
        <v>2814</v>
      </c>
      <c r="F13815" t="s">
        <v>2815</v>
      </c>
      <c r="G13815">
        <v>1074.6600000000001</v>
      </c>
      <c r="H13815">
        <v>251001</v>
      </c>
      <c r="I13815">
        <v>4841</v>
      </c>
      <c r="J13815" t="s">
        <v>9</v>
      </c>
      <c r="K13815">
        <v>3111.57</v>
      </c>
      <c r="L13815">
        <v>218.36</v>
      </c>
      <c r="M13815">
        <v>61122</v>
      </c>
      <c r="N13815" t="s">
        <v>86</v>
      </c>
      <c r="O13815">
        <v>250917</v>
      </c>
      <c r="P13815">
        <v>856.3</v>
      </c>
    </row>
    <row r="13816" spans="1:16" x14ac:dyDescent="0.25">
      <c r="A13816" t="s">
        <v>3296</v>
      </c>
      <c r="B13816" t="s">
        <v>2931</v>
      </c>
      <c r="C13816">
        <v>12216</v>
      </c>
      <c r="D13816" t="str">
        <f t="shared" si="218"/>
        <v>1977214-3/19</v>
      </c>
      <c r="E13816" t="s">
        <v>2814</v>
      </c>
      <c r="F13816" t="s">
        <v>2815</v>
      </c>
      <c r="G13816">
        <v>918.08</v>
      </c>
      <c r="H13816">
        <v>251001</v>
      </c>
      <c r="I13816">
        <v>4841</v>
      </c>
      <c r="J13816" t="s">
        <v>9</v>
      </c>
      <c r="K13816">
        <v>3111.57</v>
      </c>
      <c r="L13816">
        <v>186.54</v>
      </c>
      <c r="M13816">
        <v>65222</v>
      </c>
      <c r="N13816" t="s">
        <v>87</v>
      </c>
      <c r="O13816">
        <v>250917</v>
      </c>
      <c r="P13816">
        <v>731.54</v>
      </c>
    </row>
    <row r="13817" spans="1:16" x14ac:dyDescent="0.25">
      <c r="A13817" t="s">
        <v>3296</v>
      </c>
      <c r="B13817" t="s">
        <v>2931</v>
      </c>
      <c r="C13817">
        <v>12216</v>
      </c>
      <c r="D13817" t="str">
        <f t="shared" si="218"/>
        <v>1977214-3/19</v>
      </c>
      <c r="E13817" t="s">
        <v>2814</v>
      </c>
      <c r="F13817" t="s">
        <v>2815</v>
      </c>
      <c r="G13817">
        <v>128.11000000000001</v>
      </c>
      <c r="H13817">
        <v>251001</v>
      </c>
      <c r="I13817">
        <v>4841</v>
      </c>
      <c r="J13817" t="s">
        <v>9</v>
      </c>
      <c r="K13817">
        <v>3111.57</v>
      </c>
      <c r="L13817">
        <v>26.03</v>
      </c>
      <c r="M13817">
        <v>66722</v>
      </c>
      <c r="N13817" t="s">
        <v>118</v>
      </c>
      <c r="O13817">
        <v>250917</v>
      </c>
      <c r="P13817">
        <v>102.08</v>
      </c>
    </row>
    <row r="13818" spans="1:16" x14ac:dyDescent="0.25">
      <c r="A13818" t="s">
        <v>3296</v>
      </c>
      <c r="B13818" t="s">
        <v>2931</v>
      </c>
      <c r="C13818">
        <v>12216</v>
      </c>
      <c r="D13818" t="str">
        <f t="shared" si="218"/>
        <v>1977214-3/19</v>
      </c>
      <c r="E13818" t="s">
        <v>2814</v>
      </c>
      <c r="F13818" t="s">
        <v>2815</v>
      </c>
      <c r="G13818">
        <v>71.349999999999994</v>
      </c>
      <c r="H13818">
        <v>251001</v>
      </c>
      <c r="I13818">
        <v>4841</v>
      </c>
      <c r="J13818" t="s">
        <v>9</v>
      </c>
      <c r="K13818">
        <v>3111.57</v>
      </c>
      <c r="L13818">
        <v>14.5</v>
      </c>
      <c r="M13818">
        <v>66754</v>
      </c>
      <c r="N13818" t="s">
        <v>119</v>
      </c>
      <c r="O13818">
        <v>250917</v>
      </c>
      <c r="P13818">
        <v>56.85</v>
      </c>
    </row>
    <row r="13819" spans="1:16" x14ac:dyDescent="0.25">
      <c r="A13819" t="s">
        <v>3296</v>
      </c>
      <c r="B13819" t="s">
        <v>2931</v>
      </c>
      <c r="C13819">
        <v>12216</v>
      </c>
      <c r="D13819" t="str">
        <f t="shared" si="218"/>
        <v>1977214-3/19</v>
      </c>
      <c r="E13819" t="s">
        <v>2814</v>
      </c>
      <c r="F13819" t="s">
        <v>2815</v>
      </c>
      <c r="G13819">
        <v>282.22000000000003</v>
      </c>
      <c r="H13819">
        <v>251001</v>
      </c>
      <c r="I13819">
        <v>4841</v>
      </c>
      <c r="J13819" t="s">
        <v>9</v>
      </c>
      <c r="K13819">
        <v>3111.57</v>
      </c>
      <c r="L13819">
        <v>57.34</v>
      </c>
      <c r="M13819">
        <v>66756</v>
      </c>
      <c r="N13819" t="s">
        <v>120</v>
      </c>
      <c r="O13819">
        <v>250917</v>
      </c>
      <c r="P13819">
        <v>224.88</v>
      </c>
    </row>
    <row r="13820" spans="1:16" x14ac:dyDescent="0.25">
      <c r="A13820" t="s">
        <v>3296</v>
      </c>
      <c r="B13820" t="s">
        <v>2931</v>
      </c>
      <c r="C13820">
        <v>12216</v>
      </c>
      <c r="D13820" t="str">
        <f t="shared" si="218"/>
        <v>1977214-3/19</v>
      </c>
      <c r="E13820" t="s">
        <v>2814</v>
      </c>
      <c r="F13820" t="s">
        <v>2815</v>
      </c>
      <c r="G13820">
        <v>32.67</v>
      </c>
      <c r="H13820">
        <v>251001</v>
      </c>
      <c r="I13820">
        <v>4841</v>
      </c>
      <c r="J13820" t="s">
        <v>9</v>
      </c>
      <c r="K13820">
        <v>3111.57</v>
      </c>
      <c r="L13820">
        <v>6.64</v>
      </c>
      <c r="M13820">
        <v>67522</v>
      </c>
      <c r="N13820" t="s">
        <v>121</v>
      </c>
      <c r="O13820">
        <v>250917</v>
      </c>
      <c r="P13820">
        <v>26.03</v>
      </c>
    </row>
    <row r="13821" spans="1:16" x14ac:dyDescent="0.25">
      <c r="A13821" t="s">
        <v>3296</v>
      </c>
      <c r="B13821" t="s">
        <v>2931</v>
      </c>
      <c r="C13821">
        <v>12216</v>
      </c>
      <c r="D13821" t="str">
        <f t="shared" si="218"/>
        <v>1977214-3/19</v>
      </c>
      <c r="E13821" t="s">
        <v>2814</v>
      </c>
      <c r="F13821" t="s">
        <v>2815</v>
      </c>
      <c r="G13821">
        <v>71.349999999999994</v>
      </c>
      <c r="H13821">
        <v>251001</v>
      </c>
      <c r="I13821">
        <v>4841</v>
      </c>
      <c r="J13821" t="s">
        <v>9</v>
      </c>
      <c r="K13821">
        <v>3111.57</v>
      </c>
      <c r="L13821">
        <v>14.5</v>
      </c>
      <c r="M13821">
        <v>67522</v>
      </c>
      <c r="N13821" t="s">
        <v>121</v>
      </c>
      <c r="O13821">
        <v>250917</v>
      </c>
      <c r="P13821">
        <v>56.85</v>
      </c>
    </row>
    <row r="13822" spans="1:16" x14ac:dyDescent="0.25">
      <c r="A13822" t="s">
        <v>3296</v>
      </c>
      <c r="B13822" t="s">
        <v>2931</v>
      </c>
      <c r="C13822">
        <v>12216</v>
      </c>
      <c r="D13822" t="str">
        <f t="shared" si="218"/>
        <v>1977214-3/19</v>
      </c>
      <c r="E13822" t="s">
        <v>2814</v>
      </c>
      <c r="F13822" t="s">
        <v>2815</v>
      </c>
      <c r="G13822">
        <v>24.31</v>
      </c>
      <c r="H13822">
        <v>251001</v>
      </c>
      <c r="I13822">
        <v>4841</v>
      </c>
      <c r="J13822" t="s">
        <v>9</v>
      </c>
      <c r="K13822">
        <v>3111.57</v>
      </c>
      <c r="L13822">
        <v>4.9400000000000004</v>
      </c>
      <c r="M13822">
        <v>67554</v>
      </c>
      <c r="N13822" t="s">
        <v>317</v>
      </c>
      <c r="O13822">
        <v>250917</v>
      </c>
      <c r="P13822">
        <v>19.37</v>
      </c>
    </row>
    <row r="13823" spans="1:16" x14ac:dyDescent="0.25">
      <c r="A13823" t="s">
        <v>3296</v>
      </c>
      <c r="B13823" t="s">
        <v>2931</v>
      </c>
      <c r="C13823">
        <v>12216</v>
      </c>
      <c r="D13823" t="str">
        <f t="shared" si="218"/>
        <v>1977214-3/19</v>
      </c>
      <c r="E13823" t="s">
        <v>2814</v>
      </c>
      <c r="F13823" t="s">
        <v>2815</v>
      </c>
      <c r="G13823">
        <v>24.31</v>
      </c>
      <c r="H13823">
        <v>251001</v>
      </c>
      <c r="I13823">
        <v>4841</v>
      </c>
      <c r="J13823" t="s">
        <v>9</v>
      </c>
      <c r="K13823">
        <v>3111.57</v>
      </c>
      <c r="L13823">
        <v>4.9400000000000004</v>
      </c>
      <c r="M13823">
        <v>67554</v>
      </c>
      <c r="N13823" t="s">
        <v>317</v>
      </c>
      <c r="O13823">
        <v>250917</v>
      </c>
      <c r="P13823">
        <v>19.37</v>
      </c>
    </row>
    <row r="13824" spans="1:16" x14ac:dyDescent="0.25">
      <c r="A13824" t="s">
        <v>3296</v>
      </c>
      <c r="B13824" t="s">
        <v>2931</v>
      </c>
      <c r="C13824">
        <v>12216</v>
      </c>
      <c r="D13824" t="str">
        <f t="shared" si="218"/>
        <v>1977214-3/19</v>
      </c>
      <c r="E13824" t="s">
        <v>2814</v>
      </c>
      <c r="F13824" t="s">
        <v>2815</v>
      </c>
      <c r="G13824">
        <v>8.36</v>
      </c>
      <c r="H13824">
        <v>251001</v>
      </c>
      <c r="I13824">
        <v>4841</v>
      </c>
      <c r="J13824" t="s">
        <v>9</v>
      </c>
      <c r="K13824">
        <v>3111.57</v>
      </c>
      <c r="L13824">
        <v>1.7</v>
      </c>
      <c r="M13824">
        <v>69112</v>
      </c>
      <c r="N13824" t="s">
        <v>227</v>
      </c>
      <c r="O13824">
        <v>250917</v>
      </c>
      <c r="P13824">
        <v>6.66</v>
      </c>
    </row>
    <row r="13825" spans="1:16" x14ac:dyDescent="0.25">
      <c r="A13825" t="s">
        <v>3296</v>
      </c>
      <c r="B13825" t="s">
        <v>2931</v>
      </c>
      <c r="C13825">
        <v>12216</v>
      </c>
      <c r="D13825" t="str">
        <f t="shared" si="218"/>
        <v>1977214-3/19</v>
      </c>
      <c r="E13825" t="s">
        <v>2814</v>
      </c>
      <c r="F13825" t="s">
        <v>2815</v>
      </c>
      <c r="G13825">
        <v>48.05</v>
      </c>
      <c r="H13825">
        <v>251001</v>
      </c>
      <c r="I13825">
        <v>4841</v>
      </c>
      <c r="J13825" t="s">
        <v>9</v>
      </c>
      <c r="K13825">
        <v>3111.57</v>
      </c>
      <c r="L13825">
        <v>9.76</v>
      </c>
      <c r="M13825">
        <v>69501</v>
      </c>
      <c r="N13825" t="s">
        <v>123</v>
      </c>
      <c r="O13825">
        <v>250917</v>
      </c>
      <c r="P13825">
        <v>38.29</v>
      </c>
    </row>
    <row r="13826" spans="1:16" x14ac:dyDescent="0.25">
      <c r="A13826" t="s">
        <v>3296</v>
      </c>
      <c r="B13826" t="s">
        <v>2931</v>
      </c>
      <c r="C13826">
        <v>12216</v>
      </c>
      <c r="D13826" t="str">
        <f t="shared" si="218"/>
        <v>1977214-3/19</v>
      </c>
      <c r="E13826" t="s">
        <v>2814</v>
      </c>
      <c r="F13826" t="s">
        <v>2815</v>
      </c>
      <c r="G13826">
        <v>24.31</v>
      </c>
      <c r="H13826">
        <v>251001</v>
      </c>
      <c r="I13826">
        <v>4841</v>
      </c>
      <c r="J13826" t="s">
        <v>9</v>
      </c>
      <c r="K13826">
        <v>3111.57</v>
      </c>
      <c r="L13826">
        <v>4.9400000000000004</v>
      </c>
      <c r="M13826">
        <v>69701</v>
      </c>
      <c r="N13826" t="s">
        <v>1030</v>
      </c>
      <c r="O13826">
        <v>250917</v>
      </c>
      <c r="P13826">
        <v>19.37</v>
      </c>
    </row>
    <row r="13827" spans="1:16" x14ac:dyDescent="0.25">
      <c r="A13827" t="s">
        <v>3296</v>
      </c>
      <c r="B13827" t="s">
        <v>2931</v>
      </c>
      <c r="C13827">
        <v>12216</v>
      </c>
      <c r="D13827" t="str">
        <f t="shared" si="218"/>
        <v>1977214-3/19</v>
      </c>
      <c r="E13827" t="s">
        <v>2814</v>
      </c>
      <c r="F13827" t="s">
        <v>2815</v>
      </c>
      <c r="G13827">
        <v>283.08999999999997</v>
      </c>
      <c r="H13827">
        <v>251001</v>
      </c>
      <c r="I13827">
        <v>4841</v>
      </c>
      <c r="J13827" t="s">
        <v>9</v>
      </c>
      <c r="K13827">
        <v>3111.57</v>
      </c>
      <c r="L13827">
        <v>57.52</v>
      </c>
      <c r="M13827">
        <v>69702</v>
      </c>
      <c r="N13827" t="s">
        <v>124</v>
      </c>
      <c r="O13827">
        <v>250917</v>
      </c>
      <c r="P13827">
        <v>225.57</v>
      </c>
    </row>
    <row r="13828" spans="1:16" x14ac:dyDescent="0.25">
      <c r="A13828" t="s">
        <v>3296</v>
      </c>
      <c r="B13828" t="s">
        <v>2931</v>
      </c>
      <c r="C13828">
        <v>12216</v>
      </c>
      <c r="D13828" t="str">
        <f t="shared" si="218"/>
        <v>1977214-3/19</v>
      </c>
      <c r="E13828" t="s">
        <v>2814</v>
      </c>
      <c r="F13828" t="s">
        <v>2815</v>
      </c>
      <c r="G13828">
        <v>71.349999999999994</v>
      </c>
      <c r="H13828">
        <v>251001</v>
      </c>
      <c r="I13828">
        <v>4841</v>
      </c>
      <c r="J13828" t="s">
        <v>9</v>
      </c>
      <c r="K13828">
        <v>3111.57</v>
      </c>
      <c r="L13828">
        <v>14.5</v>
      </c>
      <c r="M13828">
        <v>69703</v>
      </c>
      <c r="N13828" t="s">
        <v>88</v>
      </c>
      <c r="O13828">
        <v>250917</v>
      </c>
      <c r="P13828">
        <v>56.85</v>
      </c>
    </row>
    <row r="13829" spans="1:16" x14ac:dyDescent="0.25">
      <c r="A13829" t="s">
        <v>3296</v>
      </c>
      <c r="B13829" t="s">
        <v>2931</v>
      </c>
      <c r="C13829">
        <v>12216</v>
      </c>
      <c r="D13829" t="str">
        <f t="shared" si="218"/>
        <v>1977214-3/19</v>
      </c>
      <c r="E13829" t="s">
        <v>2814</v>
      </c>
      <c r="F13829" t="s">
        <v>2815</v>
      </c>
      <c r="G13829">
        <v>24.31</v>
      </c>
      <c r="H13829">
        <v>251001</v>
      </c>
      <c r="I13829">
        <v>4841</v>
      </c>
      <c r="J13829" t="s">
        <v>9</v>
      </c>
      <c r="K13829">
        <v>3111.57</v>
      </c>
      <c r="L13829">
        <v>4.9400000000000004</v>
      </c>
      <c r="M13829">
        <v>69704</v>
      </c>
      <c r="N13829" t="s">
        <v>89</v>
      </c>
      <c r="O13829">
        <v>250917</v>
      </c>
      <c r="P13829">
        <v>19.37</v>
      </c>
    </row>
    <row r="13830" spans="1:16" x14ac:dyDescent="0.25">
      <c r="A13830" t="s">
        <v>3296</v>
      </c>
      <c r="B13830" t="s">
        <v>2931</v>
      </c>
      <c r="C13830">
        <v>12286</v>
      </c>
      <c r="D13830" t="str">
        <f t="shared" ref="D13830:D13836" si="219">"1977214-9/19"</f>
        <v>1977214-9/19</v>
      </c>
      <c r="E13830" t="s">
        <v>2814</v>
      </c>
      <c r="F13830" t="s">
        <v>2815</v>
      </c>
      <c r="G13830">
        <v>31.89</v>
      </c>
      <c r="H13830">
        <v>251001</v>
      </c>
      <c r="I13830">
        <v>4841</v>
      </c>
      <c r="J13830" t="s">
        <v>9</v>
      </c>
      <c r="K13830">
        <v>612.01</v>
      </c>
      <c r="L13830">
        <v>6.48</v>
      </c>
      <c r="M13830">
        <v>53222</v>
      </c>
      <c r="N13830" t="s">
        <v>41</v>
      </c>
      <c r="O13830">
        <v>250918</v>
      </c>
      <c r="P13830">
        <v>25.41</v>
      </c>
    </row>
    <row r="13831" spans="1:16" x14ac:dyDescent="0.25">
      <c r="A13831" t="s">
        <v>3296</v>
      </c>
      <c r="B13831" t="s">
        <v>2931</v>
      </c>
      <c r="C13831">
        <v>12286</v>
      </c>
      <c r="D13831" t="str">
        <f t="shared" si="219"/>
        <v>1977214-9/19</v>
      </c>
      <c r="E13831" t="s">
        <v>2814</v>
      </c>
      <c r="F13831" t="s">
        <v>2815</v>
      </c>
      <c r="G13831">
        <v>194.73</v>
      </c>
      <c r="H13831">
        <v>251001</v>
      </c>
      <c r="I13831">
        <v>4841</v>
      </c>
      <c r="J13831" t="s">
        <v>9</v>
      </c>
      <c r="K13831">
        <v>612.01</v>
      </c>
      <c r="L13831">
        <v>39.57</v>
      </c>
      <c r="M13831">
        <v>53222</v>
      </c>
      <c r="N13831" t="s">
        <v>41</v>
      </c>
      <c r="O13831">
        <v>250918</v>
      </c>
      <c r="P13831">
        <v>155.16</v>
      </c>
    </row>
    <row r="13832" spans="1:16" x14ac:dyDescent="0.25">
      <c r="A13832" t="s">
        <v>3296</v>
      </c>
      <c r="B13832" t="s">
        <v>2931</v>
      </c>
      <c r="C13832">
        <v>12286</v>
      </c>
      <c r="D13832" t="str">
        <f t="shared" si="219"/>
        <v>1977214-9/19</v>
      </c>
      <c r="E13832" t="s">
        <v>2814</v>
      </c>
      <c r="F13832" t="s">
        <v>2815</v>
      </c>
      <c r="G13832">
        <v>146.58000000000001</v>
      </c>
      <c r="H13832">
        <v>251001</v>
      </c>
      <c r="I13832">
        <v>4841</v>
      </c>
      <c r="J13832" t="s">
        <v>9</v>
      </c>
      <c r="K13832">
        <v>612.01</v>
      </c>
      <c r="L13832">
        <v>29.78</v>
      </c>
      <c r="M13832">
        <v>54622</v>
      </c>
      <c r="N13832" t="s">
        <v>42</v>
      </c>
      <c r="O13832">
        <v>250918</v>
      </c>
      <c r="P13832">
        <v>116.8</v>
      </c>
    </row>
    <row r="13833" spans="1:16" x14ac:dyDescent="0.25">
      <c r="A13833" t="s">
        <v>3296</v>
      </c>
      <c r="B13833" t="s">
        <v>2931</v>
      </c>
      <c r="C13833">
        <v>12286</v>
      </c>
      <c r="D13833" t="str">
        <f t="shared" si="219"/>
        <v>1977214-9/19</v>
      </c>
      <c r="E13833" t="s">
        <v>2814</v>
      </c>
      <c r="F13833" t="s">
        <v>2815</v>
      </c>
      <c r="G13833">
        <v>66.180000000000007</v>
      </c>
      <c r="H13833">
        <v>251001</v>
      </c>
      <c r="I13833">
        <v>4841</v>
      </c>
      <c r="J13833" t="s">
        <v>9</v>
      </c>
      <c r="K13833">
        <v>612.01</v>
      </c>
      <c r="L13833">
        <v>13.45</v>
      </c>
      <c r="M13833">
        <v>55222</v>
      </c>
      <c r="N13833" t="s">
        <v>43</v>
      </c>
      <c r="O13833">
        <v>250918</v>
      </c>
      <c r="P13833">
        <v>52.73</v>
      </c>
    </row>
    <row r="13834" spans="1:16" x14ac:dyDescent="0.25">
      <c r="A13834" t="s">
        <v>3296</v>
      </c>
      <c r="B13834" t="s">
        <v>2931</v>
      </c>
      <c r="C13834">
        <v>12286</v>
      </c>
      <c r="D13834" t="str">
        <f t="shared" si="219"/>
        <v>1977214-9/19</v>
      </c>
      <c r="E13834" t="s">
        <v>2814</v>
      </c>
      <c r="F13834" t="s">
        <v>2815</v>
      </c>
      <c r="G13834">
        <v>44.2</v>
      </c>
      <c r="H13834">
        <v>251001</v>
      </c>
      <c r="I13834">
        <v>4841</v>
      </c>
      <c r="J13834" t="s">
        <v>9</v>
      </c>
      <c r="K13834">
        <v>612.01</v>
      </c>
      <c r="L13834">
        <v>8.98</v>
      </c>
      <c r="M13834">
        <v>59114</v>
      </c>
      <c r="N13834" t="s">
        <v>299</v>
      </c>
      <c r="O13834">
        <v>250918</v>
      </c>
      <c r="P13834">
        <v>35.22</v>
      </c>
    </row>
    <row r="13835" spans="1:16" x14ac:dyDescent="0.25">
      <c r="A13835" t="s">
        <v>3296</v>
      </c>
      <c r="B13835" t="s">
        <v>2931</v>
      </c>
      <c r="C13835">
        <v>12286</v>
      </c>
      <c r="D13835" t="str">
        <f t="shared" si="219"/>
        <v>1977214-9/19</v>
      </c>
      <c r="E13835" t="s">
        <v>2814</v>
      </c>
      <c r="F13835" t="s">
        <v>2815</v>
      </c>
      <c r="G13835">
        <v>88.4</v>
      </c>
      <c r="H13835">
        <v>251001</v>
      </c>
      <c r="I13835">
        <v>4841</v>
      </c>
      <c r="J13835" t="s">
        <v>9</v>
      </c>
      <c r="K13835">
        <v>612.01</v>
      </c>
      <c r="L13835">
        <v>17.96</v>
      </c>
      <c r="M13835">
        <v>59504</v>
      </c>
      <c r="N13835" t="s">
        <v>193</v>
      </c>
      <c r="O13835">
        <v>250918</v>
      </c>
      <c r="P13835">
        <v>70.44</v>
      </c>
    </row>
    <row r="13836" spans="1:16" x14ac:dyDescent="0.25">
      <c r="A13836" t="s">
        <v>3296</v>
      </c>
      <c r="B13836" t="s">
        <v>2931</v>
      </c>
      <c r="C13836">
        <v>12286</v>
      </c>
      <c r="D13836" t="str">
        <f t="shared" si="219"/>
        <v>1977214-9/19</v>
      </c>
      <c r="E13836" t="s">
        <v>2814</v>
      </c>
      <c r="F13836" t="s">
        <v>2815</v>
      </c>
      <c r="G13836">
        <v>40.03</v>
      </c>
      <c r="H13836">
        <v>251001</v>
      </c>
      <c r="I13836">
        <v>4841</v>
      </c>
      <c r="J13836" t="s">
        <v>9</v>
      </c>
      <c r="K13836">
        <v>612.01</v>
      </c>
      <c r="L13836">
        <v>8.1300000000000008</v>
      </c>
      <c r="M13836">
        <v>59701</v>
      </c>
      <c r="N13836" t="s">
        <v>64</v>
      </c>
      <c r="O13836">
        <v>250918</v>
      </c>
      <c r="P13836">
        <v>31.9</v>
      </c>
    </row>
    <row r="13837" spans="1:16" x14ac:dyDescent="0.25">
      <c r="A13837" t="s">
        <v>3296</v>
      </c>
      <c r="B13837" t="s">
        <v>2931</v>
      </c>
      <c r="C13837">
        <v>12347</v>
      </c>
      <c r="D13837" t="str">
        <f>"977214-14/19"</f>
        <v>977214-14/19</v>
      </c>
      <c r="E13837" t="s">
        <v>2814</v>
      </c>
      <c r="F13837" t="s">
        <v>2815</v>
      </c>
      <c r="G13837">
        <v>530.34</v>
      </c>
      <c r="H13837">
        <v>251001</v>
      </c>
      <c r="I13837">
        <v>4841</v>
      </c>
      <c r="J13837" t="s">
        <v>9</v>
      </c>
      <c r="K13837">
        <v>694.51</v>
      </c>
      <c r="L13837">
        <v>107.76</v>
      </c>
      <c r="M13837">
        <v>13801</v>
      </c>
      <c r="N13837" t="s">
        <v>33</v>
      </c>
      <c r="O13837">
        <v>250919</v>
      </c>
      <c r="P13837">
        <v>422.58</v>
      </c>
    </row>
    <row r="13838" spans="1:16" x14ac:dyDescent="0.25">
      <c r="A13838" t="s">
        <v>3296</v>
      </c>
      <c r="B13838" t="s">
        <v>2931</v>
      </c>
      <c r="C13838">
        <v>12347</v>
      </c>
      <c r="D13838" t="str">
        <f>"977214-14/19"</f>
        <v>977214-14/19</v>
      </c>
      <c r="E13838" t="s">
        <v>2814</v>
      </c>
      <c r="F13838" t="s">
        <v>2815</v>
      </c>
      <c r="G13838">
        <v>31.89</v>
      </c>
      <c r="H13838">
        <v>251001</v>
      </c>
      <c r="I13838">
        <v>4841</v>
      </c>
      <c r="J13838" t="s">
        <v>9</v>
      </c>
      <c r="K13838">
        <v>694.51</v>
      </c>
      <c r="L13838">
        <v>6.48</v>
      </c>
      <c r="M13838">
        <v>13802</v>
      </c>
      <c r="N13838" t="s">
        <v>34</v>
      </c>
      <c r="O13838">
        <v>250919</v>
      </c>
      <c r="P13838">
        <v>25.41</v>
      </c>
    </row>
    <row r="13839" spans="1:16" x14ac:dyDescent="0.25">
      <c r="A13839" t="s">
        <v>3296</v>
      </c>
      <c r="B13839" t="s">
        <v>2931</v>
      </c>
      <c r="C13839">
        <v>12347</v>
      </c>
      <c r="D13839" t="str">
        <f>"977214-14/19"</f>
        <v>977214-14/19</v>
      </c>
      <c r="E13839" t="s">
        <v>2814</v>
      </c>
      <c r="F13839" t="s">
        <v>2815</v>
      </c>
      <c r="G13839">
        <v>118.95</v>
      </c>
      <c r="H13839">
        <v>251001</v>
      </c>
      <c r="I13839">
        <v>4841</v>
      </c>
      <c r="J13839" t="s">
        <v>9</v>
      </c>
      <c r="K13839">
        <v>694.51</v>
      </c>
      <c r="L13839">
        <v>24.17</v>
      </c>
      <c r="M13839">
        <v>13802</v>
      </c>
      <c r="N13839" t="s">
        <v>34</v>
      </c>
      <c r="O13839">
        <v>250919</v>
      </c>
      <c r="P13839">
        <v>94.78</v>
      </c>
    </row>
    <row r="13840" spans="1:16" x14ac:dyDescent="0.25">
      <c r="A13840" t="s">
        <v>3296</v>
      </c>
      <c r="B13840" t="s">
        <v>2931</v>
      </c>
      <c r="C13840">
        <v>12347</v>
      </c>
      <c r="D13840" t="str">
        <f>"977214-14/19"</f>
        <v>977214-14/19</v>
      </c>
      <c r="E13840" t="s">
        <v>2814</v>
      </c>
      <c r="F13840" t="s">
        <v>2815</v>
      </c>
      <c r="G13840">
        <v>13.33</v>
      </c>
      <c r="H13840">
        <v>251001</v>
      </c>
      <c r="I13840">
        <v>4841</v>
      </c>
      <c r="J13840" t="s">
        <v>9</v>
      </c>
      <c r="K13840">
        <v>694.51</v>
      </c>
      <c r="L13840">
        <v>2.71</v>
      </c>
      <c r="M13840">
        <v>17975</v>
      </c>
      <c r="N13840" t="s">
        <v>29</v>
      </c>
      <c r="O13840">
        <v>250919</v>
      </c>
      <c r="P13840">
        <v>10.62</v>
      </c>
    </row>
    <row r="13841" spans="1:16" x14ac:dyDescent="0.25">
      <c r="A13841" t="s">
        <v>3296</v>
      </c>
      <c r="B13841" t="s">
        <v>2931</v>
      </c>
      <c r="C13841">
        <v>12624</v>
      </c>
      <c r="D13841" t="str">
        <f>"977214-16/19"</f>
        <v>977214-16/19</v>
      </c>
      <c r="E13841" t="s">
        <v>2814</v>
      </c>
      <c r="F13841" t="s">
        <v>2815</v>
      </c>
      <c r="G13841">
        <v>55.4</v>
      </c>
      <c r="H13841">
        <v>251001</v>
      </c>
      <c r="I13841">
        <v>4841</v>
      </c>
      <c r="J13841" t="s">
        <v>9</v>
      </c>
      <c r="K13841">
        <v>164.7</v>
      </c>
      <c r="L13841">
        <v>11.26</v>
      </c>
      <c r="M13841">
        <v>18010</v>
      </c>
      <c r="N13841" t="s">
        <v>36</v>
      </c>
      <c r="O13841">
        <v>250929</v>
      </c>
      <c r="P13841">
        <v>44.14</v>
      </c>
    </row>
    <row r="13842" spans="1:16" x14ac:dyDescent="0.25">
      <c r="A13842" t="s">
        <v>3296</v>
      </c>
      <c r="B13842" t="s">
        <v>2931</v>
      </c>
      <c r="C13842">
        <v>12624</v>
      </c>
      <c r="D13842" t="str">
        <f>"977214-16/19"</f>
        <v>977214-16/19</v>
      </c>
      <c r="E13842" t="s">
        <v>2814</v>
      </c>
      <c r="F13842" t="s">
        <v>2815</v>
      </c>
      <c r="G13842">
        <v>33.53</v>
      </c>
      <c r="H13842">
        <v>251001</v>
      </c>
      <c r="I13842">
        <v>4841</v>
      </c>
      <c r="J13842" t="s">
        <v>9</v>
      </c>
      <c r="K13842">
        <v>164.7</v>
      </c>
      <c r="L13842">
        <v>6.81</v>
      </c>
      <c r="M13842">
        <v>18120</v>
      </c>
      <c r="N13842" t="s">
        <v>37</v>
      </c>
      <c r="O13842">
        <v>250929</v>
      </c>
      <c r="P13842">
        <v>26.72</v>
      </c>
    </row>
    <row r="13843" spans="1:16" x14ac:dyDescent="0.25">
      <c r="A13843" t="s">
        <v>3296</v>
      </c>
      <c r="B13843" t="s">
        <v>2931</v>
      </c>
      <c r="C13843">
        <v>12624</v>
      </c>
      <c r="D13843" t="str">
        <f>"977214-16/19"</f>
        <v>977214-16/19</v>
      </c>
      <c r="E13843" t="s">
        <v>2814</v>
      </c>
      <c r="F13843" t="s">
        <v>2815</v>
      </c>
      <c r="G13843">
        <v>9.76</v>
      </c>
      <c r="H13843">
        <v>251001</v>
      </c>
      <c r="I13843">
        <v>4841</v>
      </c>
      <c r="J13843" t="s">
        <v>9</v>
      </c>
      <c r="K13843">
        <v>164.7</v>
      </c>
      <c r="L13843">
        <v>1.98</v>
      </c>
      <c r="M13843">
        <v>18972</v>
      </c>
      <c r="N13843" t="s">
        <v>39</v>
      </c>
      <c r="O13843">
        <v>250929</v>
      </c>
      <c r="P13843">
        <v>7.78</v>
      </c>
    </row>
    <row r="13844" spans="1:16" x14ac:dyDescent="0.25">
      <c r="A13844" t="s">
        <v>3296</v>
      </c>
      <c r="B13844" t="s">
        <v>2931</v>
      </c>
      <c r="C13844">
        <v>12624</v>
      </c>
      <c r="D13844" t="str">
        <f>"977214-16/19"</f>
        <v>977214-16/19</v>
      </c>
      <c r="E13844" t="s">
        <v>2814</v>
      </c>
      <c r="F13844" t="s">
        <v>2815</v>
      </c>
      <c r="G13844">
        <v>66.010000000000005</v>
      </c>
      <c r="H13844">
        <v>251001</v>
      </c>
      <c r="I13844">
        <v>4841</v>
      </c>
      <c r="J13844" t="s">
        <v>9</v>
      </c>
      <c r="K13844">
        <v>164.7</v>
      </c>
      <c r="L13844">
        <v>13.41</v>
      </c>
      <c r="M13844">
        <v>18972</v>
      </c>
      <c r="N13844" t="s">
        <v>39</v>
      </c>
      <c r="O13844">
        <v>250929</v>
      </c>
      <c r="P13844">
        <v>52.6</v>
      </c>
    </row>
    <row r="13845" spans="1:16" x14ac:dyDescent="0.25">
      <c r="A13845" t="s">
        <v>3296</v>
      </c>
      <c r="B13845" t="s">
        <v>2931</v>
      </c>
      <c r="C13845">
        <v>12878</v>
      </c>
      <c r="D13845" t="str">
        <f t="shared" ref="D13845:D13857" si="220">"977214-18/19"</f>
        <v>977214-18/19</v>
      </c>
      <c r="E13845" t="s">
        <v>2814</v>
      </c>
      <c r="F13845" t="s">
        <v>2815</v>
      </c>
      <c r="G13845">
        <v>268.12</v>
      </c>
      <c r="H13845">
        <v>251001</v>
      </c>
      <c r="I13845">
        <v>4841</v>
      </c>
      <c r="J13845" t="s">
        <v>9</v>
      </c>
      <c r="K13845">
        <v>4346.59</v>
      </c>
      <c r="L13845">
        <v>54.48</v>
      </c>
      <c r="M13845">
        <v>11301</v>
      </c>
      <c r="N13845" t="s">
        <v>92</v>
      </c>
      <c r="O13845">
        <v>251001</v>
      </c>
      <c r="P13845">
        <v>213.64</v>
      </c>
    </row>
    <row r="13846" spans="1:16" x14ac:dyDescent="0.25">
      <c r="A13846" t="s">
        <v>3296</v>
      </c>
      <c r="B13846" t="s">
        <v>2931</v>
      </c>
      <c r="C13846">
        <v>12878</v>
      </c>
      <c r="D13846" t="str">
        <f t="shared" si="220"/>
        <v>977214-18/19</v>
      </c>
      <c r="E13846" t="s">
        <v>2814</v>
      </c>
      <c r="F13846" t="s">
        <v>2815</v>
      </c>
      <c r="G13846">
        <v>8.14</v>
      </c>
      <c r="H13846">
        <v>251001</v>
      </c>
      <c r="I13846">
        <v>4841</v>
      </c>
      <c r="J13846" t="s">
        <v>9</v>
      </c>
      <c r="K13846">
        <v>4346.59</v>
      </c>
      <c r="L13846">
        <v>1.65</v>
      </c>
      <c r="M13846">
        <v>11901</v>
      </c>
      <c r="N13846" t="s">
        <v>31</v>
      </c>
      <c r="O13846">
        <v>251001</v>
      </c>
      <c r="P13846">
        <v>6.49</v>
      </c>
    </row>
    <row r="13847" spans="1:16" x14ac:dyDescent="0.25">
      <c r="A13847" t="s">
        <v>3296</v>
      </c>
      <c r="B13847" t="s">
        <v>2931</v>
      </c>
      <c r="C13847">
        <v>12878</v>
      </c>
      <c r="D13847" t="str">
        <f t="shared" si="220"/>
        <v>977214-18/19</v>
      </c>
      <c r="E13847" t="s">
        <v>2814</v>
      </c>
      <c r="F13847" t="s">
        <v>2815</v>
      </c>
      <c r="G13847">
        <v>998.58</v>
      </c>
      <c r="H13847">
        <v>251001</v>
      </c>
      <c r="I13847">
        <v>4841</v>
      </c>
      <c r="J13847" t="s">
        <v>9</v>
      </c>
      <c r="K13847">
        <v>4346.59</v>
      </c>
      <c r="L13847">
        <v>202.9</v>
      </c>
      <c r="M13847">
        <v>14121</v>
      </c>
      <c r="N13847" t="s">
        <v>71</v>
      </c>
      <c r="O13847">
        <v>251001</v>
      </c>
      <c r="P13847">
        <v>795.68</v>
      </c>
    </row>
    <row r="13848" spans="1:16" x14ac:dyDescent="0.25">
      <c r="A13848" t="s">
        <v>3296</v>
      </c>
      <c r="B13848" t="s">
        <v>2931</v>
      </c>
      <c r="C13848">
        <v>12878</v>
      </c>
      <c r="D13848" t="str">
        <f t="shared" si="220"/>
        <v>977214-18/19</v>
      </c>
      <c r="E13848" t="s">
        <v>2814</v>
      </c>
      <c r="F13848" t="s">
        <v>2815</v>
      </c>
      <c r="G13848">
        <v>423.3</v>
      </c>
      <c r="H13848">
        <v>251001</v>
      </c>
      <c r="I13848">
        <v>4841</v>
      </c>
      <c r="J13848" t="s">
        <v>9</v>
      </c>
      <c r="K13848">
        <v>4346.59</v>
      </c>
      <c r="L13848">
        <v>86.01</v>
      </c>
      <c r="M13848">
        <v>14321</v>
      </c>
      <c r="N13848" t="s">
        <v>72</v>
      </c>
      <c r="O13848">
        <v>251001</v>
      </c>
      <c r="P13848">
        <v>337.29</v>
      </c>
    </row>
    <row r="13849" spans="1:16" x14ac:dyDescent="0.25">
      <c r="A13849" t="s">
        <v>3296</v>
      </c>
      <c r="B13849" t="s">
        <v>2931</v>
      </c>
      <c r="C13849">
        <v>12878</v>
      </c>
      <c r="D13849" t="str">
        <f t="shared" si="220"/>
        <v>977214-18/19</v>
      </c>
      <c r="E13849" t="s">
        <v>2814</v>
      </c>
      <c r="F13849" t="s">
        <v>2815</v>
      </c>
      <c r="G13849">
        <v>218.42</v>
      </c>
      <c r="H13849">
        <v>251001</v>
      </c>
      <c r="I13849">
        <v>4841</v>
      </c>
      <c r="J13849" t="s">
        <v>9</v>
      </c>
      <c r="K13849">
        <v>4346.59</v>
      </c>
      <c r="L13849">
        <v>44.38</v>
      </c>
      <c r="M13849">
        <v>14422</v>
      </c>
      <c r="N13849" t="s">
        <v>73</v>
      </c>
      <c r="O13849">
        <v>251001</v>
      </c>
      <c r="P13849">
        <v>174.04</v>
      </c>
    </row>
    <row r="13850" spans="1:16" x14ac:dyDescent="0.25">
      <c r="A13850" t="s">
        <v>3296</v>
      </c>
      <c r="B13850" t="s">
        <v>2931</v>
      </c>
      <c r="C13850">
        <v>12878</v>
      </c>
      <c r="D13850" t="str">
        <f t="shared" si="220"/>
        <v>977214-18/19</v>
      </c>
      <c r="E13850" t="s">
        <v>2814</v>
      </c>
      <c r="F13850" t="s">
        <v>2815</v>
      </c>
      <c r="G13850">
        <v>277.33999999999997</v>
      </c>
      <c r="H13850">
        <v>251001</v>
      </c>
      <c r="I13850">
        <v>4841</v>
      </c>
      <c r="J13850" t="s">
        <v>9</v>
      </c>
      <c r="K13850">
        <v>4346.59</v>
      </c>
      <c r="L13850">
        <v>56.35</v>
      </c>
      <c r="M13850">
        <v>14541</v>
      </c>
      <c r="N13850" t="s">
        <v>76</v>
      </c>
      <c r="O13850">
        <v>251001</v>
      </c>
      <c r="P13850">
        <v>220.99</v>
      </c>
    </row>
    <row r="13851" spans="1:16" x14ac:dyDescent="0.25">
      <c r="A13851" t="s">
        <v>3296</v>
      </c>
      <c r="B13851" t="s">
        <v>2931</v>
      </c>
      <c r="C13851">
        <v>12878</v>
      </c>
      <c r="D13851" t="str">
        <f t="shared" si="220"/>
        <v>977214-18/19</v>
      </c>
      <c r="E13851" t="s">
        <v>2814</v>
      </c>
      <c r="F13851" t="s">
        <v>2815</v>
      </c>
      <c r="G13851">
        <v>1588.55</v>
      </c>
      <c r="H13851">
        <v>251001</v>
      </c>
      <c r="I13851">
        <v>4841</v>
      </c>
      <c r="J13851" t="s">
        <v>9</v>
      </c>
      <c r="K13851">
        <v>4346.59</v>
      </c>
      <c r="L13851">
        <v>322.77</v>
      </c>
      <c r="M13851">
        <v>14622</v>
      </c>
      <c r="N13851" t="s">
        <v>77</v>
      </c>
      <c r="O13851">
        <v>251001</v>
      </c>
      <c r="P13851">
        <v>1265.78</v>
      </c>
    </row>
    <row r="13852" spans="1:16" x14ac:dyDescent="0.25">
      <c r="A13852" t="s">
        <v>3296</v>
      </c>
      <c r="B13852" t="s">
        <v>2931</v>
      </c>
      <c r="C13852">
        <v>12878</v>
      </c>
      <c r="D13852" t="str">
        <f t="shared" si="220"/>
        <v>977214-18/19</v>
      </c>
      <c r="E13852" t="s">
        <v>2814</v>
      </c>
      <c r="F13852" t="s">
        <v>2815</v>
      </c>
      <c r="G13852">
        <v>134.13</v>
      </c>
      <c r="H13852">
        <v>251001</v>
      </c>
      <c r="I13852">
        <v>4841</v>
      </c>
      <c r="J13852" t="s">
        <v>9</v>
      </c>
      <c r="K13852">
        <v>4346.59</v>
      </c>
      <c r="L13852">
        <v>27.25</v>
      </c>
      <c r="M13852">
        <v>14622</v>
      </c>
      <c r="N13852" t="s">
        <v>77</v>
      </c>
      <c r="O13852">
        <v>251001</v>
      </c>
      <c r="P13852">
        <v>106.88</v>
      </c>
    </row>
    <row r="13853" spans="1:16" x14ac:dyDescent="0.25">
      <c r="A13853" t="s">
        <v>3296</v>
      </c>
      <c r="B13853" t="s">
        <v>2931</v>
      </c>
      <c r="C13853">
        <v>12878</v>
      </c>
      <c r="D13853" t="str">
        <f t="shared" si="220"/>
        <v>977214-18/19</v>
      </c>
      <c r="E13853" t="s">
        <v>2814</v>
      </c>
      <c r="F13853" t="s">
        <v>2815</v>
      </c>
      <c r="G13853">
        <v>210.28</v>
      </c>
      <c r="H13853">
        <v>251001</v>
      </c>
      <c r="I13853">
        <v>4841</v>
      </c>
      <c r="J13853" t="s">
        <v>9</v>
      </c>
      <c r="K13853">
        <v>4346.59</v>
      </c>
      <c r="L13853">
        <v>42.73</v>
      </c>
      <c r="M13853">
        <v>14640</v>
      </c>
      <c r="N13853" t="s">
        <v>78</v>
      </c>
      <c r="O13853">
        <v>251001</v>
      </c>
      <c r="P13853">
        <v>167.55</v>
      </c>
    </row>
    <row r="13854" spans="1:16" x14ac:dyDescent="0.25">
      <c r="A13854" t="s">
        <v>3296</v>
      </c>
      <c r="B13854" t="s">
        <v>2931</v>
      </c>
      <c r="C13854">
        <v>12878</v>
      </c>
      <c r="D13854" t="str">
        <f t="shared" si="220"/>
        <v>977214-18/19</v>
      </c>
      <c r="E13854" t="s">
        <v>2814</v>
      </c>
      <c r="F13854" t="s">
        <v>2815</v>
      </c>
      <c r="G13854">
        <v>33.53</v>
      </c>
      <c r="H13854">
        <v>251001</v>
      </c>
      <c r="I13854">
        <v>4841</v>
      </c>
      <c r="J13854" t="s">
        <v>9</v>
      </c>
      <c r="K13854">
        <v>4346.59</v>
      </c>
      <c r="L13854">
        <v>6.81</v>
      </c>
      <c r="M13854">
        <v>14912</v>
      </c>
      <c r="N13854" t="s">
        <v>80</v>
      </c>
      <c r="O13854">
        <v>251001</v>
      </c>
      <c r="P13854">
        <v>26.72</v>
      </c>
    </row>
    <row r="13855" spans="1:16" x14ac:dyDescent="0.25">
      <c r="A13855" t="s">
        <v>3296</v>
      </c>
      <c r="B13855" t="s">
        <v>2931</v>
      </c>
      <c r="C13855">
        <v>12878</v>
      </c>
      <c r="D13855" t="str">
        <f t="shared" si="220"/>
        <v>977214-18/19</v>
      </c>
      <c r="E13855" t="s">
        <v>2814</v>
      </c>
      <c r="F13855" t="s">
        <v>2815</v>
      </c>
      <c r="G13855">
        <v>144.31</v>
      </c>
      <c r="H13855">
        <v>251001</v>
      </c>
      <c r="I13855">
        <v>4841</v>
      </c>
      <c r="J13855" t="s">
        <v>9</v>
      </c>
      <c r="K13855">
        <v>4346.59</v>
      </c>
      <c r="L13855">
        <v>29.32</v>
      </c>
      <c r="M13855">
        <v>14971</v>
      </c>
      <c r="N13855" t="s">
        <v>81</v>
      </c>
      <c r="O13855">
        <v>251001</v>
      </c>
      <c r="P13855">
        <v>114.99</v>
      </c>
    </row>
    <row r="13856" spans="1:16" x14ac:dyDescent="0.25">
      <c r="A13856" t="s">
        <v>3296</v>
      </c>
      <c r="B13856" t="s">
        <v>2931</v>
      </c>
      <c r="C13856">
        <v>12878</v>
      </c>
      <c r="D13856" t="str">
        <f t="shared" si="220"/>
        <v>977214-18/19</v>
      </c>
      <c r="E13856" t="s">
        <v>2814</v>
      </c>
      <c r="F13856" t="s">
        <v>2815</v>
      </c>
      <c r="G13856">
        <v>8.36</v>
      </c>
      <c r="H13856">
        <v>251001</v>
      </c>
      <c r="I13856">
        <v>4841</v>
      </c>
      <c r="J13856" t="s">
        <v>9</v>
      </c>
      <c r="K13856">
        <v>4346.59</v>
      </c>
      <c r="L13856">
        <v>1.7</v>
      </c>
      <c r="M13856">
        <v>14972</v>
      </c>
      <c r="N13856" t="s">
        <v>82</v>
      </c>
      <c r="O13856">
        <v>251001</v>
      </c>
      <c r="P13856">
        <v>6.66</v>
      </c>
    </row>
    <row r="13857" spans="1:16" x14ac:dyDescent="0.25">
      <c r="A13857" t="s">
        <v>3296</v>
      </c>
      <c r="B13857" t="s">
        <v>2931</v>
      </c>
      <c r="C13857">
        <v>12878</v>
      </c>
      <c r="D13857" t="str">
        <f t="shared" si="220"/>
        <v>977214-18/19</v>
      </c>
      <c r="E13857" t="s">
        <v>2814</v>
      </c>
      <c r="F13857" t="s">
        <v>2815</v>
      </c>
      <c r="G13857">
        <v>33.53</v>
      </c>
      <c r="H13857">
        <v>251001</v>
      </c>
      <c r="I13857">
        <v>4841</v>
      </c>
      <c r="J13857" t="s">
        <v>9</v>
      </c>
      <c r="K13857">
        <v>4346.59</v>
      </c>
      <c r="L13857">
        <v>6.81</v>
      </c>
      <c r="M13857">
        <v>14990</v>
      </c>
      <c r="N13857" t="s">
        <v>85</v>
      </c>
      <c r="O13857">
        <v>251001</v>
      </c>
      <c r="P13857">
        <v>26.72</v>
      </c>
    </row>
    <row r="13858" spans="1:16" x14ac:dyDescent="0.25">
      <c r="A13858" t="s">
        <v>3296</v>
      </c>
      <c r="B13858" t="s">
        <v>2931</v>
      </c>
      <c r="C13858">
        <v>17</v>
      </c>
      <c r="D13858" t="str">
        <f t="shared" ref="D13858:D13878" si="221">"8412608-6/19"</f>
        <v>8412608-6/19</v>
      </c>
      <c r="E13858" t="s">
        <v>2814</v>
      </c>
      <c r="F13858" t="s">
        <v>2815</v>
      </c>
      <c r="G13858">
        <v>16.489999999999998</v>
      </c>
      <c r="H13858">
        <v>250101</v>
      </c>
      <c r="I13858">
        <v>4842</v>
      </c>
      <c r="J13858" t="s">
        <v>15</v>
      </c>
      <c r="K13858">
        <v>5110.97</v>
      </c>
      <c r="L13858">
        <v>3.35</v>
      </c>
      <c r="M13858">
        <v>13540</v>
      </c>
      <c r="N13858" t="s">
        <v>131</v>
      </c>
      <c r="O13858">
        <v>241231</v>
      </c>
      <c r="P13858">
        <v>13.14</v>
      </c>
    </row>
    <row r="13859" spans="1:16" x14ac:dyDescent="0.25">
      <c r="A13859" t="s">
        <v>3296</v>
      </c>
      <c r="B13859" t="s">
        <v>2931</v>
      </c>
      <c r="C13859">
        <v>17</v>
      </c>
      <c r="D13859" t="str">
        <f t="shared" si="221"/>
        <v>8412608-6/19</v>
      </c>
      <c r="E13859" t="s">
        <v>2814</v>
      </c>
      <c r="F13859" t="s">
        <v>2815</v>
      </c>
      <c r="G13859">
        <v>8.14</v>
      </c>
      <c r="H13859">
        <v>250101</v>
      </c>
      <c r="I13859">
        <v>4842</v>
      </c>
      <c r="J13859" t="s">
        <v>15</v>
      </c>
      <c r="K13859">
        <v>5110.97</v>
      </c>
      <c r="L13859">
        <v>1.65</v>
      </c>
      <c r="M13859">
        <v>16930</v>
      </c>
      <c r="N13859" t="s">
        <v>135</v>
      </c>
      <c r="O13859">
        <v>241231</v>
      </c>
      <c r="P13859">
        <v>6.49</v>
      </c>
    </row>
    <row r="13860" spans="1:16" x14ac:dyDescent="0.25">
      <c r="A13860" t="s">
        <v>3296</v>
      </c>
      <c r="B13860" t="s">
        <v>2931</v>
      </c>
      <c r="C13860">
        <v>17</v>
      </c>
      <c r="D13860" t="str">
        <f t="shared" si="221"/>
        <v>8412608-6/19</v>
      </c>
      <c r="E13860" t="s">
        <v>2814</v>
      </c>
      <c r="F13860" t="s">
        <v>2815</v>
      </c>
      <c r="G13860">
        <v>333.4</v>
      </c>
      <c r="H13860">
        <v>250101</v>
      </c>
      <c r="I13860">
        <v>4842</v>
      </c>
      <c r="J13860" t="s">
        <v>15</v>
      </c>
      <c r="K13860">
        <v>5110.97</v>
      </c>
      <c r="L13860">
        <v>67.739999999999995</v>
      </c>
      <c r="M13860">
        <v>17521</v>
      </c>
      <c r="N13860" t="s">
        <v>136</v>
      </c>
      <c r="O13860">
        <v>241231</v>
      </c>
      <c r="P13860">
        <v>265.66000000000003</v>
      </c>
    </row>
    <row r="13861" spans="1:16" x14ac:dyDescent="0.25">
      <c r="A13861" t="s">
        <v>3296</v>
      </c>
      <c r="B13861" t="s">
        <v>2931</v>
      </c>
      <c r="C13861">
        <v>17</v>
      </c>
      <c r="D13861" t="str">
        <f t="shared" si="221"/>
        <v>8412608-6/19</v>
      </c>
      <c r="E13861" t="s">
        <v>2814</v>
      </c>
      <c r="F13861" t="s">
        <v>2815</v>
      </c>
      <c r="G13861">
        <v>51.73</v>
      </c>
      <c r="H13861">
        <v>250101</v>
      </c>
      <c r="I13861">
        <v>4842</v>
      </c>
      <c r="J13861" t="s">
        <v>15</v>
      </c>
      <c r="K13861">
        <v>5110.97</v>
      </c>
      <c r="L13861">
        <v>10.51</v>
      </c>
      <c r="M13861">
        <v>17522</v>
      </c>
      <c r="N13861" t="s">
        <v>137</v>
      </c>
      <c r="O13861">
        <v>241231</v>
      </c>
      <c r="P13861">
        <v>41.22</v>
      </c>
    </row>
    <row r="13862" spans="1:16" x14ac:dyDescent="0.25">
      <c r="A13862" t="s">
        <v>3296</v>
      </c>
      <c r="B13862" t="s">
        <v>2931</v>
      </c>
      <c r="C13862">
        <v>17</v>
      </c>
      <c r="D13862" t="str">
        <f t="shared" si="221"/>
        <v>8412608-6/19</v>
      </c>
      <c r="E13862" t="s">
        <v>2814</v>
      </c>
      <c r="F13862" t="s">
        <v>2815</v>
      </c>
      <c r="G13862">
        <v>189.71</v>
      </c>
      <c r="H13862">
        <v>250101</v>
      </c>
      <c r="I13862">
        <v>4842</v>
      </c>
      <c r="J13862" t="s">
        <v>15</v>
      </c>
      <c r="K13862">
        <v>5110.97</v>
      </c>
      <c r="L13862">
        <v>38.549999999999997</v>
      </c>
      <c r="M13862">
        <v>17523</v>
      </c>
      <c r="N13862" t="s">
        <v>138</v>
      </c>
      <c r="O13862">
        <v>241231</v>
      </c>
      <c r="P13862">
        <v>151.16</v>
      </c>
    </row>
    <row r="13863" spans="1:16" x14ac:dyDescent="0.25">
      <c r="A13863" t="s">
        <v>3296</v>
      </c>
      <c r="B13863" t="s">
        <v>2931</v>
      </c>
      <c r="C13863">
        <v>17</v>
      </c>
      <c r="D13863" t="str">
        <f t="shared" si="221"/>
        <v>8412608-6/19</v>
      </c>
      <c r="E13863" t="s">
        <v>2814</v>
      </c>
      <c r="F13863" t="s">
        <v>2815</v>
      </c>
      <c r="G13863">
        <v>78.239999999999995</v>
      </c>
      <c r="H13863">
        <v>250101</v>
      </c>
      <c r="I13863">
        <v>4842</v>
      </c>
      <c r="J13863" t="s">
        <v>15</v>
      </c>
      <c r="K13863">
        <v>5110.97</v>
      </c>
      <c r="L13863">
        <v>15.9</v>
      </c>
      <c r="M13863">
        <v>17524</v>
      </c>
      <c r="N13863" t="s">
        <v>139</v>
      </c>
      <c r="O13863">
        <v>241231</v>
      </c>
      <c r="P13863">
        <v>62.34</v>
      </c>
    </row>
    <row r="13864" spans="1:16" x14ac:dyDescent="0.25">
      <c r="A13864" t="s">
        <v>3296</v>
      </c>
      <c r="B13864" t="s">
        <v>2931</v>
      </c>
      <c r="C13864">
        <v>17</v>
      </c>
      <c r="D13864" t="str">
        <f t="shared" si="221"/>
        <v>8412608-6/19</v>
      </c>
      <c r="E13864" t="s">
        <v>2814</v>
      </c>
      <c r="F13864" t="s">
        <v>2815</v>
      </c>
      <c r="G13864">
        <v>139.58000000000001</v>
      </c>
      <c r="H13864">
        <v>250101</v>
      </c>
      <c r="I13864">
        <v>4842</v>
      </c>
      <c r="J13864" t="s">
        <v>15</v>
      </c>
      <c r="K13864">
        <v>5110.97</v>
      </c>
      <c r="L13864">
        <v>28.36</v>
      </c>
      <c r="M13864">
        <v>17525</v>
      </c>
      <c r="N13864" t="s">
        <v>140</v>
      </c>
      <c r="O13864">
        <v>241231</v>
      </c>
      <c r="P13864">
        <v>111.22</v>
      </c>
    </row>
    <row r="13865" spans="1:16" x14ac:dyDescent="0.25">
      <c r="A13865" t="s">
        <v>3296</v>
      </c>
      <c r="B13865" t="s">
        <v>2931</v>
      </c>
      <c r="C13865">
        <v>17</v>
      </c>
      <c r="D13865" t="str">
        <f t="shared" si="221"/>
        <v>8412608-6/19</v>
      </c>
      <c r="E13865" t="s">
        <v>2814</v>
      </c>
      <c r="F13865" t="s">
        <v>2815</v>
      </c>
      <c r="G13865">
        <v>78.239999999999995</v>
      </c>
      <c r="H13865">
        <v>250101</v>
      </c>
      <c r="I13865">
        <v>4842</v>
      </c>
      <c r="J13865" t="s">
        <v>15</v>
      </c>
      <c r="K13865">
        <v>5110.97</v>
      </c>
      <c r="L13865">
        <v>15.9</v>
      </c>
      <c r="M13865">
        <v>17526</v>
      </c>
      <c r="N13865" t="s">
        <v>141</v>
      </c>
      <c r="O13865">
        <v>241231</v>
      </c>
      <c r="P13865">
        <v>62.34</v>
      </c>
    </row>
    <row r="13866" spans="1:16" x14ac:dyDescent="0.25">
      <c r="A13866" t="s">
        <v>3296</v>
      </c>
      <c r="B13866" t="s">
        <v>2931</v>
      </c>
      <c r="C13866">
        <v>17</v>
      </c>
      <c r="D13866" t="str">
        <f t="shared" si="221"/>
        <v>8412608-6/19</v>
      </c>
      <c r="E13866" t="s">
        <v>2814</v>
      </c>
      <c r="F13866" t="s">
        <v>2815</v>
      </c>
      <c r="G13866">
        <v>129.47999999999999</v>
      </c>
      <c r="H13866">
        <v>250101</v>
      </c>
      <c r="I13866">
        <v>4842</v>
      </c>
      <c r="J13866" t="s">
        <v>15</v>
      </c>
      <c r="K13866">
        <v>5110.97</v>
      </c>
      <c r="L13866">
        <v>26.31</v>
      </c>
      <c r="M13866">
        <v>17527</v>
      </c>
      <c r="N13866" t="s">
        <v>142</v>
      </c>
      <c r="O13866">
        <v>241231</v>
      </c>
      <c r="P13866">
        <v>103.17</v>
      </c>
    </row>
    <row r="13867" spans="1:16" x14ac:dyDescent="0.25">
      <c r="A13867" t="s">
        <v>3296</v>
      </c>
      <c r="B13867" t="s">
        <v>2931</v>
      </c>
      <c r="C13867">
        <v>17</v>
      </c>
      <c r="D13867" t="str">
        <f t="shared" si="221"/>
        <v>8412608-6/19</v>
      </c>
      <c r="E13867" t="s">
        <v>2814</v>
      </c>
      <c r="F13867" t="s">
        <v>2815</v>
      </c>
      <c r="G13867">
        <v>33.83</v>
      </c>
      <c r="H13867">
        <v>250101</v>
      </c>
      <c r="I13867">
        <v>4842</v>
      </c>
      <c r="J13867" t="s">
        <v>15</v>
      </c>
      <c r="K13867">
        <v>5110.97</v>
      </c>
      <c r="L13867">
        <v>6.87</v>
      </c>
      <c r="M13867">
        <v>17529</v>
      </c>
      <c r="N13867" t="s">
        <v>143</v>
      </c>
      <c r="O13867">
        <v>241231</v>
      </c>
      <c r="P13867">
        <v>26.96</v>
      </c>
    </row>
    <row r="13868" spans="1:16" x14ac:dyDescent="0.25">
      <c r="A13868" t="s">
        <v>3296</v>
      </c>
      <c r="B13868" t="s">
        <v>2931</v>
      </c>
      <c r="C13868">
        <v>17</v>
      </c>
      <c r="D13868" t="str">
        <f t="shared" si="221"/>
        <v>8412608-6/19</v>
      </c>
      <c r="E13868" t="s">
        <v>2814</v>
      </c>
      <c r="F13868" t="s">
        <v>2815</v>
      </c>
      <c r="G13868">
        <v>1037.1400000000001</v>
      </c>
      <c r="H13868">
        <v>250101</v>
      </c>
      <c r="I13868">
        <v>4842</v>
      </c>
      <c r="J13868" t="s">
        <v>15</v>
      </c>
      <c r="K13868">
        <v>5110.97</v>
      </c>
      <c r="L13868">
        <v>210.73</v>
      </c>
      <c r="M13868">
        <v>17530</v>
      </c>
      <c r="N13868" t="s">
        <v>144</v>
      </c>
      <c r="O13868">
        <v>241231</v>
      </c>
      <c r="P13868">
        <v>826.41</v>
      </c>
    </row>
    <row r="13869" spans="1:16" x14ac:dyDescent="0.25">
      <c r="A13869" t="s">
        <v>3296</v>
      </c>
      <c r="B13869" t="s">
        <v>2931</v>
      </c>
      <c r="C13869">
        <v>17</v>
      </c>
      <c r="D13869" t="str">
        <f t="shared" si="221"/>
        <v>8412608-6/19</v>
      </c>
      <c r="E13869" t="s">
        <v>2814</v>
      </c>
      <c r="F13869" t="s">
        <v>2815</v>
      </c>
      <c r="G13869">
        <v>105.45</v>
      </c>
      <c r="H13869">
        <v>250101</v>
      </c>
      <c r="I13869">
        <v>4842</v>
      </c>
      <c r="J13869" t="s">
        <v>15</v>
      </c>
      <c r="K13869">
        <v>5110.97</v>
      </c>
      <c r="L13869">
        <v>21.43</v>
      </c>
      <c r="M13869">
        <v>17531</v>
      </c>
      <c r="N13869" t="s">
        <v>145</v>
      </c>
      <c r="O13869">
        <v>241231</v>
      </c>
      <c r="P13869">
        <v>84.02</v>
      </c>
    </row>
    <row r="13870" spans="1:16" x14ac:dyDescent="0.25">
      <c r="A13870" t="s">
        <v>3296</v>
      </c>
      <c r="B13870" t="s">
        <v>2931</v>
      </c>
      <c r="C13870">
        <v>17</v>
      </c>
      <c r="D13870" t="str">
        <f t="shared" si="221"/>
        <v>8412608-6/19</v>
      </c>
      <c r="E13870" t="s">
        <v>2814</v>
      </c>
      <c r="F13870" t="s">
        <v>2815</v>
      </c>
      <c r="G13870">
        <v>93.27</v>
      </c>
      <c r="H13870">
        <v>250101</v>
      </c>
      <c r="I13870">
        <v>4842</v>
      </c>
      <c r="J13870" t="s">
        <v>15</v>
      </c>
      <c r="K13870">
        <v>5110.97</v>
      </c>
      <c r="L13870">
        <v>18.95</v>
      </c>
      <c r="M13870">
        <v>17532</v>
      </c>
      <c r="N13870" t="s">
        <v>146</v>
      </c>
      <c r="O13870">
        <v>241231</v>
      </c>
      <c r="P13870">
        <v>74.319999999999993</v>
      </c>
    </row>
    <row r="13871" spans="1:16" x14ac:dyDescent="0.25">
      <c r="A13871" t="s">
        <v>3296</v>
      </c>
      <c r="B13871" t="s">
        <v>2931</v>
      </c>
      <c r="C13871">
        <v>17</v>
      </c>
      <c r="D13871" t="str">
        <f t="shared" si="221"/>
        <v>8412608-6/19</v>
      </c>
      <c r="E13871" t="s">
        <v>2814</v>
      </c>
      <c r="F13871" t="s">
        <v>2815</v>
      </c>
      <c r="G13871">
        <v>183.68</v>
      </c>
      <c r="H13871">
        <v>250101</v>
      </c>
      <c r="I13871">
        <v>4842</v>
      </c>
      <c r="J13871" t="s">
        <v>15</v>
      </c>
      <c r="K13871">
        <v>5110.97</v>
      </c>
      <c r="L13871">
        <v>37.32</v>
      </c>
      <c r="M13871">
        <v>17533</v>
      </c>
      <c r="N13871" t="s">
        <v>147</v>
      </c>
      <c r="O13871">
        <v>241231</v>
      </c>
      <c r="P13871">
        <v>146.36000000000001</v>
      </c>
    </row>
    <row r="13872" spans="1:16" x14ac:dyDescent="0.25">
      <c r="A13872" t="s">
        <v>3296</v>
      </c>
      <c r="B13872" t="s">
        <v>2931</v>
      </c>
      <c r="C13872">
        <v>17</v>
      </c>
      <c r="D13872" t="str">
        <f t="shared" si="221"/>
        <v>8412608-6/19</v>
      </c>
      <c r="E13872" t="s">
        <v>2814</v>
      </c>
      <c r="F13872" t="s">
        <v>2815</v>
      </c>
      <c r="G13872">
        <v>41.98</v>
      </c>
      <c r="H13872">
        <v>250101</v>
      </c>
      <c r="I13872">
        <v>4842</v>
      </c>
      <c r="J13872" t="s">
        <v>15</v>
      </c>
      <c r="K13872">
        <v>5110.97</v>
      </c>
      <c r="L13872">
        <v>8.5299999999999994</v>
      </c>
      <c r="M13872">
        <v>17536</v>
      </c>
      <c r="N13872" t="s">
        <v>150</v>
      </c>
      <c r="O13872">
        <v>241231</v>
      </c>
      <c r="P13872">
        <v>33.450000000000003</v>
      </c>
    </row>
    <row r="13873" spans="1:16" x14ac:dyDescent="0.25">
      <c r="A13873" t="s">
        <v>3296</v>
      </c>
      <c r="B13873" t="s">
        <v>2931</v>
      </c>
      <c r="C13873">
        <v>17</v>
      </c>
      <c r="D13873" t="str">
        <f t="shared" si="221"/>
        <v>8412608-6/19</v>
      </c>
      <c r="E13873" t="s">
        <v>2814</v>
      </c>
      <c r="F13873" t="s">
        <v>2815</v>
      </c>
      <c r="G13873">
        <v>1331.66</v>
      </c>
      <c r="H13873">
        <v>250101</v>
      </c>
      <c r="I13873">
        <v>4842</v>
      </c>
      <c r="J13873" t="s">
        <v>15</v>
      </c>
      <c r="K13873">
        <v>5110.97</v>
      </c>
      <c r="L13873">
        <v>270.58</v>
      </c>
      <c r="M13873">
        <v>17537</v>
      </c>
      <c r="N13873" t="s">
        <v>151</v>
      </c>
      <c r="O13873">
        <v>241231</v>
      </c>
      <c r="P13873">
        <v>1061.08</v>
      </c>
    </row>
    <row r="13874" spans="1:16" x14ac:dyDescent="0.25">
      <c r="A13874" t="s">
        <v>3296</v>
      </c>
      <c r="B13874" t="s">
        <v>2931</v>
      </c>
      <c r="C13874">
        <v>17</v>
      </c>
      <c r="D13874" t="str">
        <f t="shared" si="221"/>
        <v>8412608-6/19</v>
      </c>
      <c r="E13874" t="s">
        <v>2814</v>
      </c>
      <c r="F13874" t="s">
        <v>2815</v>
      </c>
      <c r="G13874">
        <v>833.29</v>
      </c>
      <c r="H13874">
        <v>250101</v>
      </c>
      <c r="I13874">
        <v>4842</v>
      </c>
      <c r="J13874" t="s">
        <v>15</v>
      </c>
      <c r="K13874">
        <v>5110.97</v>
      </c>
      <c r="L13874">
        <v>169.31</v>
      </c>
      <c r="M13874">
        <v>17538</v>
      </c>
      <c r="N13874" t="s">
        <v>129</v>
      </c>
      <c r="O13874">
        <v>241231</v>
      </c>
      <c r="P13874">
        <v>663.98</v>
      </c>
    </row>
    <row r="13875" spans="1:16" x14ac:dyDescent="0.25">
      <c r="A13875" t="s">
        <v>3296</v>
      </c>
      <c r="B13875" t="s">
        <v>2931</v>
      </c>
      <c r="C13875">
        <v>17</v>
      </c>
      <c r="D13875" t="str">
        <f t="shared" si="221"/>
        <v>8412608-6/19</v>
      </c>
      <c r="E13875" t="s">
        <v>2814</v>
      </c>
      <c r="F13875" t="s">
        <v>2815</v>
      </c>
      <c r="G13875">
        <v>133.41999999999999</v>
      </c>
      <c r="H13875">
        <v>250101</v>
      </c>
      <c r="I13875">
        <v>4842</v>
      </c>
      <c r="J13875" t="s">
        <v>15</v>
      </c>
      <c r="K13875">
        <v>5110.97</v>
      </c>
      <c r="L13875">
        <v>27.11</v>
      </c>
      <c r="M13875">
        <v>17950</v>
      </c>
      <c r="N13875" t="s">
        <v>132</v>
      </c>
      <c r="O13875">
        <v>241231</v>
      </c>
      <c r="P13875">
        <v>106.31</v>
      </c>
    </row>
    <row r="13876" spans="1:16" x14ac:dyDescent="0.25">
      <c r="A13876" t="s">
        <v>3296</v>
      </c>
      <c r="B13876" t="s">
        <v>2931</v>
      </c>
      <c r="C13876">
        <v>17</v>
      </c>
      <c r="D13876" t="str">
        <f t="shared" si="221"/>
        <v>8412608-6/19</v>
      </c>
      <c r="E13876" t="s">
        <v>2814</v>
      </c>
      <c r="F13876" t="s">
        <v>2815</v>
      </c>
      <c r="G13876">
        <v>160.15</v>
      </c>
      <c r="H13876">
        <v>250101</v>
      </c>
      <c r="I13876">
        <v>4842</v>
      </c>
      <c r="J13876" t="s">
        <v>15</v>
      </c>
      <c r="K13876">
        <v>5110.97</v>
      </c>
      <c r="L13876">
        <v>32.54</v>
      </c>
      <c r="M13876">
        <v>17971</v>
      </c>
      <c r="N13876" t="s">
        <v>27</v>
      </c>
      <c r="O13876">
        <v>241231</v>
      </c>
      <c r="P13876">
        <v>127.61</v>
      </c>
    </row>
    <row r="13877" spans="1:16" x14ac:dyDescent="0.25">
      <c r="A13877" t="s">
        <v>3296</v>
      </c>
      <c r="B13877" t="s">
        <v>2931</v>
      </c>
      <c r="C13877">
        <v>17</v>
      </c>
      <c r="D13877" t="str">
        <f t="shared" si="221"/>
        <v>8412608-6/19</v>
      </c>
      <c r="E13877" t="s">
        <v>2814</v>
      </c>
      <c r="F13877" t="s">
        <v>2815</v>
      </c>
      <c r="G13877">
        <v>17.14</v>
      </c>
      <c r="H13877">
        <v>250101</v>
      </c>
      <c r="I13877">
        <v>4842</v>
      </c>
      <c r="J13877" t="s">
        <v>15</v>
      </c>
      <c r="K13877">
        <v>5110.97</v>
      </c>
      <c r="L13877">
        <v>3.48</v>
      </c>
      <c r="M13877">
        <v>17972</v>
      </c>
      <c r="N13877" t="s">
        <v>28</v>
      </c>
      <c r="O13877">
        <v>241231</v>
      </c>
      <c r="P13877">
        <v>13.66</v>
      </c>
    </row>
    <row r="13878" spans="1:16" x14ac:dyDescent="0.25">
      <c r="A13878" t="s">
        <v>3296</v>
      </c>
      <c r="B13878" t="s">
        <v>2931</v>
      </c>
      <c r="C13878">
        <v>17</v>
      </c>
      <c r="D13878" t="str">
        <f t="shared" si="221"/>
        <v>8412608-6/19</v>
      </c>
      <c r="E13878" t="s">
        <v>2814</v>
      </c>
      <c r="F13878" t="s">
        <v>2815</v>
      </c>
      <c r="G13878">
        <v>114.95</v>
      </c>
      <c r="H13878">
        <v>250101</v>
      </c>
      <c r="I13878">
        <v>4842</v>
      </c>
      <c r="J13878" t="s">
        <v>15</v>
      </c>
      <c r="K13878">
        <v>5110.97</v>
      </c>
      <c r="L13878">
        <v>23.36</v>
      </c>
      <c r="M13878">
        <v>17975</v>
      </c>
      <c r="N13878" t="s">
        <v>29</v>
      </c>
      <c r="O13878">
        <v>241231</v>
      </c>
      <c r="P13878">
        <v>91.59</v>
      </c>
    </row>
    <row r="13879" spans="1:16" x14ac:dyDescent="0.25">
      <c r="A13879" t="s">
        <v>3296</v>
      </c>
      <c r="B13879" t="s">
        <v>2931</v>
      </c>
      <c r="C13879">
        <v>63</v>
      </c>
      <c r="D13879" t="str">
        <f t="shared" ref="D13879:D13884" si="222">"412608-10/19"</f>
        <v>412608-10/19</v>
      </c>
      <c r="E13879" t="s">
        <v>2814</v>
      </c>
      <c r="F13879" t="s">
        <v>2815</v>
      </c>
      <c r="G13879">
        <v>21.07</v>
      </c>
      <c r="H13879">
        <v>250101</v>
      </c>
      <c r="I13879">
        <v>4842</v>
      </c>
      <c r="J13879" t="s">
        <v>15</v>
      </c>
      <c r="K13879">
        <v>436.69</v>
      </c>
      <c r="L13879">
        <v>4.28</v>
      </c>
      <c r="M13879">
        <v>11301</v>
      </c>
      <c r="N13879" t="s">
        <v>92</v>
      </c>
      <c r="O13879">
        <v>250102</v>
      </c>
      <c r="P13879">
        <v>16.79</v>
      </c>
    </row>
    <row r="13880" spans="1:16" x14ac:dyDescent="0.25">
      <c r="A13880" t="s">
        <v>3296</v>
      </c>
      <c r="B13880" t="s">
        <v>2931</v>
      </c>
      <c r="C13880">
        <v>63</v>
      </c>
      <c r="D13880" t="str">
        <f t="shared" si="222"/>
        <v>412608-10/19</v>
      </c>
      <c r="E13880" t="s">
        <v>2814</v>
      </c>
      <c r="F13880" t="s">
        <v>2815</v>
      </c>
      <c r="G13880">
        <v>8.14</v>
      </c>
      <c r="H13880">
        <v>250101</v>
      </c>
      <c r="I13880">
        <v>4842</v>
      </c>
      <c r="J13880" t="s">
        <v>15</v>
      </c>
      <c r="K13880">
        <v>436.69</v>
      </c>
      <c r="L13880">
        <v>1.65</v>
      </c>
      <c r="M13880">
        <v>11900</v>
      </c>
      <c r="N13880" t="s">
        <v>30</v>
      </c>
      <c r="O13880">
        <v>250102</v>
      </c>
      <c r="P13880">
        <v>6.49</v>
      </c>
    </row>
    <row r="13881" spans="1:16" x14ac:dyDescent="0.25">
      <c r="A13881" t="s">
        <v>3296</v>
      </c>
      <c r="B13881" t="s">
        <v>2931</v>
      </c>
      <c r="C13881">
        <v>63</v>
      </c>
      <c r="D13881" t="str">
        <f t="shared" si="222"/>
        <v>412608-10/19</v>
      </c>
      <c r="E13881" t="s">
        <v>2814</v>
      </c>
      <c r="F13881" t="s">
        <v>2815</v>
      </c>
      <c r="G13881">
        <v>8.14</v>
      </c>
      <c r="H13881">
        <v>250101</v>
      </c>
      <c r="I13881">
        <v>4842</v>
      </c>
      <c r="J13881" t="s">
        <v>15</v>
      </c>
      <c r="K13881">
        <v>436.69</v>
      </c>
      <c r="L13881">
        <v>1.65</v>
      </c>
      <c r="M13881">
        <v>17538</v>
      </c>
      <c r="N13881" t="s">
        <v>129</v>
      </c>
      <c r="O13881">
        <v>250102</v>
      </c>
      <c r="P13881">
        <v>6.49</v>
      </c>
    </row>
    <row r="13882" spans="1:16" x14ac:dyDescent="0.25">
      <c r="A13882" t="s">
        <v>3296</v>
      </c>
      <c r="B13882" t="s">
        <v>2931</v>
      </c>
      <c r="C13882">
        <v>63</v>
      </c>
      <c r="D13882" t="str">
        <f t="shared" si="222"/>
        <v>412608-10/19</v>
      </c>
      <c r="E13882" t="s">
        <v>2814</v>
      </c>
      <c r="F13882" t="s">
        <v>2815</v>
      </c>
      <c r="G13882">
        <v>272.39999999999998</v>
      </c>
      <c r="H13882">
        <v>250101</v>
      </c>
      <c r="I13882">
        <v>4842</v>
      </c>
      <c r="J13882" t="s">
        <v>15</v>
      </c>
      <c r="K13882">
        <v>436.69</v>
      </c>
      <c r="L13882">
        <v>55.35</v>
      </c>
      <c r="M13882">
        <v>17950</v>
      </c>
      <c r="N13882" t="s">
        <v>132</v>
      </c>
      <c r="O13882">
        <v>250102</v>
      </c>
      <c r="P13882">
        <v>217.05</v>
      </c>
    </row>
    <row r="13883" spans="1:16" x14ac:dyDescent="0.25">
      <c r="A13883" t="s">
        <v>3296</v>
      </c>
      <c r="B13883" t="s">
        <v>2931</v>
      </c>
      <c r="C13883">
        <v>63</v>
      </c>
      <c r="D13883" t="str">
        <f t="shared" si="222"/>
        <v>412608-10/19</v>
      </c>
      <c r="E13883" t="s">
        <v>2814</v>
      </c>
      <c r="F13883" t="s">
        <v>2815</v>
      </c>
      <c r="G13883">
        <v>21.52</v>
      </c>
      <c r="H13883">
        <v>250101</v>
      </c>
      <c r="I13883">
        <v>4842</v>
      </c>
      <c r="J13883" t="s">
        <v>15</v>
      </c>
      <c r="K13883">
        <v>436.69</v>
      </c>
      <c r="L13883">
        <v>4.37</v>
      </c>
      <c r="M13883">
        <v>17972</v>
      </c>
      <c r="N13883" t="s">
        <v>28</v>
      </c>
      <c r="O13883">
        <v>250102</v>
      </c>
      <c r="P13883">
        <v>17.149999999999999</v>
      </c>
    </row>
    <row r="13884" spans="1:16" x14ac:dyDescent="0.25">
      <c r="A13884" t="s">
        <v>3296</v>
      </c>
      <c r="B13884" t="s">
        <v>2931</v>
      </c>
      <c r="C13884">
        <v>63</v>
      </c>
      <c r="D13884" t="str">
        <f t="shared" si="222"/>
        <v>412608-10/19</v>
      </c>
      <c r="E13884" t="s">
        <v>2814</v>
      </c>
      <c r="F13884" t="s">
        <v>2815</v>
      </c>
      <c r="G13884">
        <v>105.42</v>
      </c>
      <c r="H13884">
        <v>250101</v>
      </c>
      <c r="I13884">
        <v>4842</v>
      </c>
      <c r="J13884" t="s">
        <v>15</v>
      </c>
      <c r="K13884">
        <v>436.69</v>
      </c>
      <c r="L13884">
        <v>21.42</v>
      </c>
      <c r="M13884">
        <v>17974</v>
      </c>
      <c r="N13884" t="s">
        <v>153</v>
      </c>
      <c r="O13884">
        <v>250102</v>
      </c>
      <c r="P13884">
        <v>84</v>
      </c>
    </row>
    <row r="13885" spans="1:16" x14ac:dyDescent="0.25">
      <c r="A13885" t="s">
        <v>3296</v>
      </c>
      <c r="B13885" t="s">
        <v>2931</v>
      </c>
      <c r="C13885">
        <v>97</v>
      </c>
      <c r="D13885" t="str">
        <f>"412608-12/19"</f>
        <v>412608-12/19</v>
      </c>
      <c r="E13885" t="s">
        <v>2814</v>
      </c>
      <c r="F13885" t="s">
        <v>2815</v>
      </c>
      <c r="G13885">
        <v>12.99</v>
      </c>
      <c r="H13885">
        <v>250101</v>
      </c>
      <c r="I13885">
        <v>4860</v>
      </c>
      <c r="J13885" t="s">
        <v>286</v>
      </c>
      <c r="K13885">
        <v>167.58</v>
      </c>
      <c r="L13885">
        <v>2.64</v>
      </c>
      <c r="M13885">
        <v>13601</v>
      </c>
      <c r="N13885" t="s">
        <v>115</v>
      </c>
      <c r="O13885">
        <v>250108</v>
      </c>
      <c r="P13885">
        <v>10.35</v>
      </c>
    </row>
    <row r="13886" spans="1:16" x14ac:dyDescent="0.25">
      <c r="A13886" t="s">
        <v>3296</v>
      </c>
      <c r="B13886" t="s">
        <v>2931</v>
      </c>
      <c r="C13886">
        <v>97</v>
      </c>
      <c r="D13886" t="str">
        <f>"412608-12/19"</f>
        <v>412608-12/19</v>
      </c>
      <c r="E13886" t="s">
        <v>2814</v>
      </c>
      <c r="F13886" t="s">
        <v>2815</v>
      </c>
      <c r="G13886">
        <v>64.13</v>
      </c>
      <c r="H13886">
        <v>250101</v>
      </c>
      <c r="I13886">
        <v>4860</v>
      </c>
      <c r="J13886" t="s">
        <v>286</v>
      </c>
      <c r="K13886">
        <v>167.58</v>
      </c>
      <c r="L13886">
        <v>13.03</v>
      </c>
      <c r="M13886">
        <v>13601</v>
      </c>
      <c r="N13886" t="s">
        <v>115</v>
      </c>
      <c r="O13886">
        <v>250108</v>
      </c>
      <c r="P13886">
        <v>51.1</v>
      </c>
    </row>
    <row r="13887" spans="1:16" x14ac:dyDescent="0.25">
      <c r="A13887" t="s">
        <v>3296</v>
      </c>
      <c r="B13887" t="s">
        <v>2931</v>
      </c>
      <c r="C13887">
        <v>97</v>
      </c>
      <c r="D13887" t="str">
        <f>"412608-12/19"</f>
        <v>412608-12/19</v>
      </c>
      <c r="E13887" t="s">
        <v>2814</v>
      </c>
      <c r="F13887" t="s">
        <v>2815</v>
      </c>
      <c r="G13887">
        <v>90.46</v>
      </c>
      <c r="H13887">
        <v>250101</v>
      </c>
      <c r="I13887">
        <v>4860</v>
      </c>
      <c r="J13887" t="s">
        <v>286</v>
      </c>
      <c r="K13887">
        <v>167.58</v>
      </c>
      <c r="L13887">
        <v>18.38</v>
      </c>
      <c r="M13887">
        <v>13601</v>
      </c>
      <c r="N13887" t="s">
        <v>115</v>
      </c>
      <c r="O13887">
        <v>250108</v>
      </c>
      <c r="P13887">
        <v>72.08</v>
      </c>
    </row>
    <row r="13888" spans="1:16" x14ac:dyDescent="0.25">
      <c r="A13888" t="s">
        <v>3296</v>
      </c>
      <c r="B13888" t="s">
        <v>2931</v>
      </c>
      <c r="C13888">
        <v>496</v>
      </c>
      <c r="D13888" t="str">
        <f>"2090        "</f>
        <v xml:space="preserve">2090        </v>
      </c>
      <c r="E13888" t="s">
        <v>559</v>
      </c>
      <c r="F13888" t="s">
        <v>560</v>
      </c>
      <c r="G13888">
        <v>414.15</v>
      </c>
      <c r="H13888">
        <v>250113</v>
      </c>
      <c r="I13888">
        <v>4367</v>
      </c>
      <c r="J13888" t="s">
        <v>159</v>
      </c>
      <c r="K13888">
        <v>1656.6</v>
      </c>
      <c r="L13888">
        <v>84.15</v>
      </c>
      <c r="M13888">
        <v>18972</v>
      </c>
      <c r="N13888" t="s">
        <v>39</v>
      </c>
      <c r="O13888">
        <v>250123</v>
      </c>
      <c r="P13888">
        <v>330</v>
      </c>
    </row>
    <row r="13889" spans="1:16" x14ac:dyDescent="0.25">
      <c r="A13889" t="s">
        <v>3296</v>
      </c>
      <c r="B13889" t="s">
        <v>2931</v>
      </c>
      <c r="C13889">
        <v>116</v>
      </c>
      <c r="D13889" t="str">
        <f>"20136006    "</f>
        <v xml:space="preserve">20136006    </v>
      </c>
      <c r="E13889" t="s">
        <v>214</v>
      </c>
      <c r="F13889" t="s">
        <v>216</v>
      </c>
      <c r="G13889">
        <v>162.62</v>
      </c>
      <c r="H13889">
        <v>250101</v>
      </c>
      <c r="I13889">
        <v>4367</v>
      </c>
      <c r="J13889" t="s">
        <v>159</v>
      </c>
      <c r="K13889">
        <v>751.49</v>
      </c>
      <c r="L13889">
        <v>33.04</v>
      </c>
      <c r="M13889">
        <v>44251</v>
      </c>
      <c r="N13889" t="s">
        <v>215</v>
      </c>
      <c r="O13889">
        <v>250110</v>
      </c>
      <c r="P13889">
        <v>129.58000000000001</v>
      </c>
    </row>
    <row r="13890" spans="1:16" x14ac:dyDescent="0.25">
      <c r="A13890" t="s">
        <v>3296</v>
      </c>
      <c r="B13890" t="s">
        <v>2931</v>
      </c>
      <c r="C13890">
        <v>116</v>
      </c>
      <c r="D13890" t="str">
        <f>"20136006    "</f>
        <v xml:space="preserve">20136006    </v>
      </c>
      <c r="E13890" t="s">
        <v>214</v>
      </c>
      <c r="F13890" t="s">
        <v>216</v>
      </c>
      <c r="G13890">
        <v>162.62</v>
      </c>
      <c r="H13890">
        <v>250101</v>
      </c>
      <c r="I13890">
        <v>4367</v>
      </c>
      <c r="J13890" t="s">
        <v>159</v>
      </c>
      <c r="K13890">
        <v>751.49</v>
      </c>
      <c r="L13890">
        <v>33.04</v>
      </c>
      <c r="M13890">
        <v>44252</v>
      </c>
      <c r="N13890" t="s">
        <v>217</v>
      </c>
      <c r="O13890">
        <v>250110</v>
      </c>
      <c r="P13890">
        <v>129.58000000000001</v>
      </c>
    </row>
    <row r="13891" spans="1:16" x14ac:dyDescent="0.25">
      <c r="A13891" t="s">
        <v>3296</v>
      </c>
      <c r="B13891" t="s">
        <v>2931</v>
      </c>
      <c r="C13891">
        <v>116</v>
      </c>
      <c r="D13891" t="str">
        <f>"20136006    "</f>
        <v xml:space="preserve">20136006    </v>
      </c>
      <c r="E13891" t="s">
        <v>214</v>
      </c>
      <c r="F13891" t="s">
        <v>216</v>
      </c>
      <c r="G13891">
        <v>162.62</v>
      </c>
      <c r="H13891">
        <v>250101</v>
      </c>
      <c r="I13891">
        <v>4367</v>
      </c>
      <c r="J13891" t="s">
        <v>159</v>
      </c>
      <c r="K13891">
        <v>751.49</v>
      </c>
      <c r="L13891">
        <v>33.04</v>
      </c>
      <c r="M13891">
        <v>54451</v>
      </c>
      <c r="N13891" t="s">
        <v>218</v>
      </c>
      <c r="O13891">
        <v>250110</v>
      </c>
      <c r="P13891">
        <v>129.58000000000001</v>
      </c>
    </row>
    <row r="13892" spans="1:16" x14ac:dyDescent="0.25">
      <c r="A13892" t="s">
        <v>3296</v>
      </c>
      <c r="B13892" t="s">
        <v>2931</v>
      </c>
      <c r="C13892">
        <v>4545</v>
      </c>
      <c r="D13892" t="str">
        <f>"20136698    "</f>
        <v xml:space="preserve">20136698    </v>
      </c>
      <c r="E13892" t="s">
        <v>214</v>
      </c>
      <c r="F13892" t="s">
        <v>216</v>
      </c>
      <c r="G13892">
        <v>162.62</v>
      </c>
      <c r="H13892">
        <v>250401</v>
      </c>
      <c r="I13892">
        <v>4367</v>
      </c>
      <c r="J13892" t="s">
        <v>159</v>
      </c>
      <c r="K13892">
        <v>751.49</v>
      </c>
      <c r="L13892">
        <v>33.04</v>
      </c>
      <c r="M13892">
        <v>44251</v>
      </c>
      <c r="N13892" t="s">
        <v>215</v>
      </c>
      <c r="O13892">
        <v>250414</v>
      </c>
      <c r="P13892">
        <v>129.58000000000001</v>
      </c>
    </row>
    <row r="13893" spans="1:16" x14ac:dyDescent="0.25">
      <c r="A13893" t="s">
        <v>3296</v>
      </c>
      <c r="B13893" t="s">
        <v>2931</v>
      </c>
      <c r="C13893">
        <v>4545</v>
      </c>
      <c r="D13893" t="str">
        <f>"20136698    "</f>
        <v xml:space="preserve">20136698    </v>
      </c>
      <c r="E13893" t="s">
        <v>214</v>
      </c>
      <c r="F13893" t="s">
        <v>216</v>
      </c>
      <c r="G13893">
        <v>162.62</v>
      </c>
      <c r="H13893">
        <v>250401</v>
      </c>
      <c r="I13893">
        <v>4367</v>
      </c>
      <c r="J13893" t="s">
        <v>159</v>
      </c>
      <c r="K13893">
        <v>751.49</v>
      </c>
      <c r="L13893">
        <v>33.04</v>
      </c>
      <c r="M13893">
        <v>44252</v>
      </c>
      <c r="N13893" t="s">
        <v>217</v>
      </c>
      <c r="O13893">
        <v>250414</v>
      </c>
      <c r="P13893">
        <v>129.58000000000001</v>
      </c>
    </row>
    <row r="13894" spans="1:16" x14ac:dyDescent="0.25">
      <c r="A13894" t="s">
        <v>3296</v>
      </c>
      <c r="B13894" t="s">
        <v>2931</v>
      </c>
      <c r="C13894">
        <v>4545</v>
      </c>
      <c r="D13894" t="str">
        <f>"20136698    "</f>
        <v xml:space="preserve">20136698    </v>
      </c>
      <c r="E13894" t="s">
        <v>214</v>
      </c>
      <c r="F13894" t="s">
        <v>216</v>
      </c>
      <c r="G13894">
        <v>162.62</v>
      </c>
      <c r="H13894">
        <v>250401</v>
      </c>
      <c r="I13894">
        <v>4367</v>
      </c>
      <c r="J13894" t="s">
        <v>159</v>
      </c>
      <c r="K13894">
        <v>751.49</v>
      </c>
      <c r="L13894">
        <v>33.04</v>
      </c>
      <c r="M13894">
        <v>54451</v>
      </c>
      <c r="N13894" t="s">
        <v>218</v>
      </c>
      <c r="O13894">
        <v>250414</v>
      </c>
      <c r="P13894">
        <v>129.58000000000001</v>
      </c>
    </row>
    <row r="13895" spans="1:16" x14ac:dyDescent="0.25">
      <c r="A13895" t="s">
        <v>3296</v>
      </c>
      <c r="B13895" t="s">
        <v>2931</v>
      </c>
      <c r="C13895">
        <v>116</v>
      </c>
      <c r="D13895" t="str">
        <f>"20136006    "</f>
        <v xml:space="preserve">20136006    </v>
      </c>
      <c r="E13895" t="s">
        <v>214</v>
      </c>
      <c r="F13895" t="s">
        <v>216</v>
      </c>
      <c r="G13895">
        <v>131.82</v>
      </c>
      <c r="H13895">
        <v>250101</v>
      </c>
      <c r="I13895">
        <v>4842</v>
      </c>
      <c r="J13895" t="s">
        <v>15</v>
      </c>
      <c r="K13895">
        <v>751.49</v>
      </c>
      <c r="L13895">
        <v>26.78</v>
      </c>
      <c r="M13895">
        <v>44251</v>
      </c>
      <c r="N13895" t="s">
        <v>215</v>
      </c>
      <c r="O13895">
        <v>250110</v>
      </c>
      <c r="P13895">
        <v>105.04</v>
      </c>
    </row>
    <row r="13896" spans="1:16" x14ac:dyDescent="0.25">
      <c r="A13896" t="s">
        <v>3296</v>
      </c>
      <c r="B13896" t="s">
        <v>2931</v>
      </c>
      <c r="C13896">
        <v>116</v>
      </c>
      <c r="D13896" t="str">
        <f>"20136006    "</f>
        <v xml:space="preserve">20136006    </v>
      </c>
      <c r="E13896" t="s">
        <v>214</v>
      </c>
      <c r="F13896" t="s">
        <v>216</v>
      </c>
      <c r="G13896">
        <v>131.81</v>
      </c>
      <c r="H13896">
        <v>250101</v>
      </c>
      <c r="I13896">
        <v>4842</v>
      </c>
      <c r="J13896" t="s">
        <v>15</v>
      </c>
      <c r="K13896">
        <v>751.49</v>
      </c>
      <c r="L13896">
        <v>26.78</v>
      </c>
      <c r="M13896">
        <v>44252</v>
      </c>
      <c r="N13896" t="s">
        <v>217</v>
      </c>
      <c r="O13896">
        <v>250110</v>
      </c>
      <c r="P13896">
        <v>105.03</v>
      </c>
    </row>
    <row r="13897" spans="1:16" x14ac:dyDescent="0.25">
      <c r="A13897" t="s">
        <v>3296</v>
      </c>
      <c r="B13897" t="s">
        <v>2931</v>
      </c>
      <c r="C13897">
        <v>4545</v>
      </c>
      <c r="D13897" t="str">
        <f>"20136698    "</f>
        <v xml:space="preserve">20136698    </v>
      </c>
      <c r="E13897" t="s">
        <v>214</v>
      </c>
      <c r="F13897" t="s">
        <v>216</v>
      </c>
      <c r="G13897">
        <v>131.82</v>
      </c>
      <c r="H13897">
        <v>250401</v>
      </c>
      <c r="I13897">
        <v>4842</v>
      </c>
      <c r="J13897" t="s">
        <v>15</v>
      </c>
      <c r="K13897">
        <v>751.49</v>
      </c>
      <c r="L13897">
        <v>26.78</v>
      </c>
      <c r="M13897">
        <v>44251</v>
      </c>
      <c r="N13897" t="s">
        <v>215</v>
      </c>
      <c r="O13897">
        <v>250414</v>
      </c>
      <c r="P13897">
        <v>105.04</v>
      </c>
    </row>
    <row r="13898" spans="1:16" x14ac:dyDescent="0.25">
      <c r="A13898" t="s">
        <v>3296</v>
      </c>
      <c r="B13898" t="s">
        <v>2931</v>
      </c>
      <c r="C13898">
        <v>4545</v>
      </c>
      <c r="D13898" t="str">
        <f>"20136698    "</f>
        <v xml:space="preserve">20136698    </v>
      </c>
      <c r="E13898" t="s">
        <v>214</v>
      </c>
      <c r="F13898" t="s">
        <v>216</v>
      </c>
      <c r="G13898">
        <v>131.81</v>
      </c>
      <c r="H13898">
        <v>250401</v>
      </c>
      <c r="I13898">
        <v>4842</v>
      </c>
      <c r="J13898" t="s">
        <v>15</v>
      </c>
      <c r="K13898">
        <v>751.49</v>
      </c>
      <c r="L13898">
        <v>26.78</v>
      </c>
      <c r="M13898">
        <v>44252</v>
      </c>
      <c r="N13898" t="s">
        <v>217</v>
      </c>
      <c r="O13898">
        <v>250414</v>
      </c>
      <c r="P13898">
        <v>105.03</v>
      </c>
    </row>
    <row r="13899" spans="1:16" x14ac:dyDescent="0.25">
      <c r="A13899" t="s">
        <v>3296</v>
      </c>
      <c r="B13899" t="s">
        <v>2931</v>
      </c>
      <c r="C13899">
        <v>16622</v>
      </c>
      <c r="D13899" t="str">
        <f>"107768      "</f>
        <v xml:space="preserve">107768      </v>
      </c>
      <c r="E13899" t="s">
        <v>3042</v>
      </c>
      <c r="F13899" t="s">
        <v>3043</v>
      </c>
      <c r="G13899">
        <v>64.52</v>
      </c>
      <c r="H13899">
        <v>251128</v>
      </c>
      <c r="I13899">
        <v>4410</v>
      </c>
      <c r="J13899" t="s">
        <v>165</v>
      </c>
      <c r="K13899">
        <v>64.52</v>
      </c>
      <c r="L13899">
        <v>0</v>
      </c>
      <c r="M13899">
        <v>11603</v>
      </c>
      <c r="N13899" t="s">
        <v>897</v>
      </c>
      <c r="O13899">
        <v>251211</v>
      </c>
      <c r="P13899">
        <v>64.52</v>
      </c>
    </row>
    <row r="13900" spans="1:16" x14ac:dyDescent="0.25">
      <c r="A13900" t="s">
        <v>3296</v>
      </c>
      <c r="B13900" t="s">
        <v>2931</v>
      </c>
      <c r="C13900">
        <v>4415</v>
      </c>
      <c r="D13900" t="str">
        <f>"7004572     "</f>
        <v xml:space="preserve">7004572     </v>
      </c>
      <c r="E13900" t="s">
        <v>3042</v>
      </c>
      <c r="F13900" t="s">
        <v>3043</v>
      </c>
      <c r="G13900">
        <v>64.52</v>
      </c>
      <c r="H13900">
        <v>250331</v>
      </c>
      <c r="I13900">
        <v>4412</v>
      </c>
      <c r="J13900" t="s">
        <v>884</v>
      </c>
      <c r="K13900">
        <v>64.52</v>
      </c>
      <c r="L13900">
        <v>0</v>
      </c>
      <c r="M13900">
        <v>11603</v>
      </c>
      <c r="N13900" t="s">
        <v>897</v>
      </c>
      <c r="O13900">
        <v>250411</v>
      </c>
      <c r="P13900">
        <v>64.52</v>
      </c>
    </row>
    <row r="13901" spans="1:16" x14ac:dyDescent="0.25">
      <c r="A13901" t="s">
        <v>3296</v>
      </c>
      <c r="B13901" t="s">
        <v>2931</v>
      </c>
      <c r="C13901">
        <v>4487</v>
      </c>
      <c r="D13901" t="str">
        <f>"7004604     "</f>
        <v xml:space="preserve">7004604     </v>
      </c>
      <c r="E13901" t="s">
        <v>3042</v>
      </c>
      <c r="F13901" t="s">
        <v>3043</v>
      </c>
      <c r="G13901">
        <v>64.52</v>
      </c>
      <c r="H13901">
        <v>250331</v>
      </c>
      <c r="I13901">
        <v>4441</v>
      </c>
      <c r="J13901" t="s">
        <v>234</v>
      </c>
      <c r="K13901">
        <v>64.52</v>
      </c>
      <c r="L13901">
        <v>0</v>
      </c>
      <c r="M13901">
        <v>11603</v>
      </c>
      <c r="N13901" t="s">
        <v>897</v>
      </c>
      <c r="O13901">
        <v>250411</v>
      </c>
      <c r="P13901">
        <v>64.52</v>
      </c>
    </row>
    <row r="13902" spans="1:16" x14ac:dyDescent="0.25">
      <c r="A13902" t="s">
        <v>3296</v>
      </c>
      <c r="B13902" t="s">
        <v>2931</v>
      </c>
      <c r="C13902">
        <v>13664</v>
      </c>
      <c r="D13902" t="str">
        <f>"7005076     "</f>
        <v xml:space="preserve">7005076     </v>
      </c>
      <c r="E13902" t="s">
        <v>3042</v>
      </c>
      <c r="F13902" t="s">
        <v>3043</v>
      </c>
      <c r="G13902">
        <v>64</v>
      </c>
      <c r="H13902">
        <v>250930</v>
      </c>
      <c r="I13902">
        <v>4441</v>
      </c>
      <c r="J13902" t="s">
        <v>234</v>
      </c>
      <c r="K13902">
        <v>64</v>
      </c>
      <c r="L13902">
        <v>0</v>
      </c>
      <c r="M13902">
        <v>11603</v>
      </c>
      <c r="N13902" t="s">
        <v>897</v>
      </c>
      <c r="O13902">
        <v>251013</v>
      </c>
      <c r="P13902">
        <v>64</v>
      </c>
    </row>
    <row r="13903" spans="1:16" x14ac:dyDescent="0.25">
      <c r="A13903" t="s">
        <v>3296</v>
      </c>
      <c r="B13903" t="s">
        <v>2931</v>
      </c>
      <c r="C13903">
        <v>7871</v>
      </c>
      <c r="D13903" t="str">
        <f>"6601051199  "</f>
        <v xml:space="preserve">6601051199  </v>
      </c>
      <c r="E13903" t="s">
        <v>2852</v>
      </c>
      <c r="F13903" t="s">
        <v>2853</v>
      </c>
      <c r="G13903">
        <v>1065.5</v>
      </c>
      <c r="H13903">
        <v>250522</v>
      </c>
      <c r="I13903">
        <v>4350</v>
      </c>
      <c r="J13903" t="s">
        <v>290</v>
      </c>
      <c r="K13903">
        <v>1065.5</v>
      </c>
      <c r="L13903">
        <v>216.5</v>
      </c>
      <c r="M13903">
        <v>13901</v>
      </c>
      <c r="N13903" t="s">
        <v>116</v>
      </c>
      <c r="O13903">
        <v>250610</v>
      </c>
      <c r="P13903">
        <v>849</v>
      </c>
    </row>
    <row r="13904" spans="1:16" x14ac:dyDescent="0.25">
      <c r="A13904" t="s">
        <v>3296</v>
      </c>
      <c r="B13904" t="s">
        <v>2931</v>
      </c>
      <c r="C13904">
        <v>5536</v>
      </c>
      <c r="D13904" t="str">
        <f>"6601050776  "</f>
        <v xml:space="preserve">6601050776  </v>
      </c>
      <c r="E13904" t="s">
        <v>2852</v>
      </c>
      <c r="F13904" t="s">
        <v>2853</v>
      </c>
      <c r="G13904">
        <v>237.2</v>
      </c>
      <c r="H13904">
        <v>250411</v>
      </c>
      <c r="I13904">
        <v>4440</v>
      </c>
      <c r="J13904" t="s">
        <v>346</v>
      </c>
      <c r="K13904">
        <v>237.2</v>
      </c>
      <c r="L13904">
        <v>48.2</v>
      </c>
      <c r="M13904">
        <v>12500</v>
      </c>
      <c r="N13904" t="s">
        <v>1502</v>
      </c>
      <c r="O13904">
        <v>250425</v>
      </c>
      <c r="P13904">
        <v>189</v>
      </c>
    </row>
    <row r="13905" spans="1:16" x14ac:dyDescent="0.25">
      <c r="A13905" t="s">
        <v>3296</v>
      </c>
      <c r="B13905" t="s">
        <v>2931</v>
      </c>
      <c r="C13905">
        <v>5541</v>
      </c>
      <c r="D13905" t="str">
        <f>"6601050775  "</f>
        <v xml:space="preserve">6601050775  </v>
      </c>
      <c r="E13905" t="s">
        <v>2852</v>
      </c>
      <c r="F13905" t="s">
        <v>2853</v>
      </c>
      <c r="G13905">
        <v>237.2</v>
      </c>
      <c r="H13905">
        <v>250411</v>
      </c>
      <c r="I13905">
        <v>4440</v>
      </c>
      <c r="J13905" t="s">
        <v>346</v>
      </c>
      <c r="K13905">
        <v>237.2</v>
      </c>
      <c r="L13905">
        <v>48.2</v>
      </c>
      <c r="M13905">
        <v>12500</v>
      </c>
      <c r="N13905" t="s">
        <v>1502</v>
      </c>
      <c r="O13905">
        <v>250425</v>
      </c>
      <c r="P13905">
        <v>189</v>
      </c>
    </row>
    <row r="13906" spans="1:16" x14ac:dyDescent="0.25">
      <c r="A13906" t="s">
        <v>3296</v>
      </c>
      <c r="B13906" t="s">
        <v>2931</v>
      </c>
      <c r="C13906">
        <v>14350</v>
      </c>
      <c r="D13906" t="str">
        <f>"6601052196  "</f>
        <v xml:space="preserve">6601052196  </v>
      </c>
      <c r="E13906" t="s">
        <v>2852</v>
      </c>
      <c r="F13906" t="s">
        <v>2853</v>
      </c>
      <c r="G13906">
        <v>277.36</v>
      </c>
      <c r="H13906">
        <v>251014</v>
      </c>
      <c r="I13906">
        <v>4440</v>
      </c>
      <c r="J13906" t="s">
        <v>346</v>
      </c>
      <c r="K13906">
        <v>277.36</v>
      </c>
      <c r="L13906">
        <v>56.36</v>
      </c>
      <c r="M13906">
        <v>14422</v>
      </c>
      <c r="N13906" t="s">
        <v>73</v>
      </c>
      <c r="O13906">
        <v>251030</v>
      </c>
      <c r="P13906">
        <v>221</v>
      </c>
    </row>
    <row r="13907" spans="1:16" x14ac:dyDescent="0.25">
      <c r="A13907" t="s">
        <v>3296</v>
      </c>
      <c r="B13907" t="s">
        <v>2931</v>
      </c>
      <c r="C13907">
        <v>14863</v>
      </c>
      <c r="D13907" t="str">
        <f>"6601052493  "</f>
        <v xml:space="preserve">6601052493  </v>
      </c>
      <c r="E13907" t="s">
        <v>2852</v>
      </c>
      <c r="F13907" t="s">
        <v>2853</v>
      </c>
      <c r="G13907">
        <v>1345.23</v>
      </c>
      <c r="H13907">
        <v>251031</v>
      </c>
      <c r="I13907">
        <v>4440</v>
      </c>
      <c r="J13907" t="s">
        <v>346</v>
      </c>
      <c r="K13907">
        <v>1345.23</v>
      </c>
      <c r="L13907">
        <v>273.33</v>
      </c>
      <c r="M13907">
        <v>13281</v>
      </c>
      <c r="N13907" t="s">
        <v>476</v>
      </c>
      <c r="O13907">
        <v>251107</v>
      </c>
      <c r="P13907">
        <v>1071.9000000000001</v>
      </c>
    </row>
    <row r="13908" spans="1:16" x14ac:dyDescent="0.25">
      <c r="A13908" t="s">
        <v>3296</v>
      </c>
      <c r="B13908" t="s">
        <v>2931</v>
      </c>
      <c r="C13908">
        <v>1893</v>
      </c>
      <c r="D13908" t="str">
        <f>"6601050417  "</f>
        <v xml:space="preserve">6601050417  </v>
      </c>
      <c r="E13908" t="s">
        <v>2852</v>
      </c>
      <c r="F13908" t="s">
        <v>2853</v>
      </c>
      <c r="G13908">
        <v>175.7</v>
      </c>
      <c r="H13908">
        <v>250214</v>
      </c>
      <c r="I13908">
        <v>4441</v>
      </c>
      <c r="J13908" t="s">
        <v>234</v>
      </c>
      <c r="K13908">
        <v>175.7</v>
      </c>
      <c r="L13908">
        <v>35.700000000000003</v>
      </c>
      <c r="M13908">
        <v>11751</v>
      </c>
      <c r="N13908" t="s">
        <v>167</v>
      </c>
      <c r="O13908">
        <v>250214</v>
      </c>
      <c r="P13908">
        <v>140</v>
      </c>
    </row>
    <row r="13909" spans="1:16" x14ac:dyDescent="0.25">
      <c r="A13909" t="s">
        <v>3296</v>
      </c>
      <c r="B13909" t="s">
        <v>2931</v>
      </c>
      <c r="C13909">
        <v>2346</v>
      </c>
      <c r="D13909" t="str">
        <f>"6601050418  "</f>
        <v xml:space="preserve">6601050418  </v>
      </c>
      <c r="E13909" t="s">
        <v>2852</v>
      </c>
      <c r="F13909" t="s">
        <v>2853</v>
      </c>
      <c r="G13909">
        <v>175.7</v>
      </c>
      <c r="H13909">
        <v>250214</v>
      </c>
      <c r="I13909">
        <v>4441</v>
      </c>
      <c r="J13909" t="s">
        <v>234</v>
      </c>
      <c r="K13909">
        <v>175.7</v>
      </c>
      <c r="L13909">
        <v>35.700000000000003</v>
      </c>
      <c r="M13909">
        <v>11501</v>
      </c>
      <c r="N13909" t="s">
        <v>13</v>
      </c>
      <c r="O13909">
        <v>250224</v>
      </c>
      <c r="P13909">
        <v>140</v>
      </c>
    </row>
    <row r="13910" spans="1:16" x14ac:dyDescent="0.25">
      <c r="A13910" t="s">
        <v>3296</v>
      </c>
      <c r="B13910" t="s">
        <v>2931</v>
      </c>
      <c r="C13910">
        <v>2351</v>
      </c>
      <c r="D13910" t="str">
        <f>"6601050419  "</f>
        <v xml:space="preserve">6601050419  </v>
      </c>
      <c r="E13910" t="s">
        <v>2852</v>
      </c>
      <c r="F13910" t="s">
        <v>2853</v>
      </c>
      <c r="G13910">
        <v>175.7</v>
      </c>
      <c r="H13910">
        <v>250214</v>
      </c>
      <c r="I13910">
        <v>4441</v>
      </c>
      <c r="J13910" t="s">
        <v>234</v>
      </c>
      <c r="K13910">
        <v>175.7</v>
      </c>
      <c r="L13910">
        <v>35.700000000000003</v>
      </c>
      <c r="M13910">
        <v>11101</v>
      </c>
      <c r="N13910" t="s">
        <v>67</v>
      </c>
      <c r="O13910">
        <v>250224</v>
      </c>
      <c r="P13910">
        <v>140</v>
      </c>
    </row>
    <row r="13911" spans="1:16" x14ac:dyDescent="0.25">
      <c r="A13911" t="s">
        <v>3296</v>
      </c>
      <c r="B13911" t="s">
        <v>2931</v>
      </c>
      <c r="C13911">
        <v>4088</v>
      </c>
      <c r="D13911" t="str">
        <f>"6601050574  "</f>
        <v xml:space="preserve">6601050574  </v>
      </c>
      <c r="E13911" t="s">
        <v>2852</v>
      </c>
      <c r="F13911" t="s">
        <v>2853</v>
      </c>
      <c r="G13911">
        <v>414.15</v>
      </c>
      <c r="H13911">
        <v>250317</v>
      </c>
      <c r="I13911">
        <v>4441</v>
      </c>
      <c r="J13911" t="s">
        <v>234</v>
      </c>
      <c r="K13911">
        <v>414.15</v>
      </c>
      <c r="L13911">
        <v>84.15</v>
      </c>
      <c r="M13911">
        <v>14321</v>
      </c>
      <c r="N13911" t="s">
        <v>72</v>
      </c>
      <c r="O13911">
        <v>250407</v>
      </c>
      <c r="P13911">
        <v>330</v>
      </c>
    </row>
    <row r="13912" spans="1:16" x14ac:dyDescent="0.25">
      <c r="A13912" t="s">
        <v>3296</v>
      </c>
      <c r="B13912" t="s">
        <v>2931</v>
      </c>
      <c r="C13912">
        <v>12768</v>
      </c>
      <c r="D13912" t="str">
        <f>"6601051896  "</f>
        <v xml:space="preserve">6601051896  </v>
      </c>
      <c r="E13912" t="s">
        <v>2852</v>
      </c>
      <c r="F13912" t="s">
        <v>2853</v>
      </c>
      <c r="G13912">
        <v>1555.32</v>
      </c>
      <c r="H13912">
        <v>250917</v>
      </c>
      <c r="I13912">
        <v>4441</v>
      </c>
      <c r="J13912" t="s">
        <v>234</v>
      </c>
      <c r="K13912">
        <v>1555.32</v>
      </c>
      <c r="L13912">
        <v>316.02</v>
      </c>
      <c r="M13912">
        <v>11905</v>
      </c>
      <c r="N13912" t="s">
        <v>643</v>
      </c>
      <c r="O13912">
        <v>250930</v>
      </c>
      <c r="P13912">
        <v>1239.3</v>
      </c>
    </row>
    <row r="13913" spans="1:16" x14ac:dyDescent="0.25">
      <c r="A13913" t="s">
        <v>3296</v>
      </c>
      <c r="B13913" t="s">
        <v>2931</v>
      </c>
      <c r="C13913">
        <v>14208</v>
      </c>
      <c r="D13913" t="str">
        <f>"6601052197  "</f>
        <v xml:space="preserve">6601052197  </v>
      </c>
      <c r="E13913" t="s">
        <v>2852</v>
      </c>
      <c r="F13913" t="s">
        <v>2853</v>
      </c>
      <c r="G13913">
        <v>552.20000000000005</v>
      </c>
      <c r="H13913">
        <v>251014</v>
      </c>
      <c r="I13913">
        <v>4441</v>
      </c>
      <c r="J13913" t="s">
        <v>234</v>
      </c>
      <c r="K13913">
        <v>552.20000000000005</v>
      </c>
      <c r="L13913">
        <v>112.2</v>
      </c>
      <c r="M13913">
        <v>67522</v>
      </c>
      <c r="N13913" t="s">
        <v>121</v>
      </c>
      <c r="O13913">
        <v>251027</v>
      </c>
      <c r="P13913">
        <v>440</v>
      </c>
    </row>
    <row r="13914" spans="1:16" x14ac:dyDescent="0.25">
      <c r="A13914" t="s">
        <v>3296</v>
      </c>
      <c r="B13914" t="s">
        <v>2931</v>
      </c>
      <c r="C13914">
        <v>7158</v>
      </c>
      <c r="D13914" t="str">
        <f>"50138       "</f>
        <v xml:space="preserve">50138       </v>
      </c>
      <c r="E13914" t="s">
        <v>1923</v>
      </c>
      <c r="F13914" t="s">
        <v>1924</v>
      </c>
      <c r="G13914">
        <v>324.33</v>
      </c>
      <c r="H13914">
        <v>250514</v>
      </c>
      <c r="I13914">
        <v>4600</v>
      </c>
      <c r="J13914" t="s">
        <v>278</v>
      </c>
      <c r="K13914">
        <v>324.33</v>
      </c>
      <c r="L13914">
        <v>39.83</v>
      </c>
      <c r="M13914">
        <v>46555</v>
      </c>
      <c r="N13914" t="s">
        <v>103</v>
      </c>
      <c r="O13914">
        <v>250526</v>
      </c>
      <c r="P13914">
        <v>284.5</v>
      </c>
    </row>
    <row r="13915" spans="1:16" x14ac:dyDescent="0.25">
      <c r="A13915" t="s">
        <v>3296</v>
      </c>
      <c r="B13915" t="s">
        <v>2931</v>
      </c>
      <c r="C13915">
        <v>103</v>
      </c>
      <c r="D13915" t="str">
        <f>"10286       "</f>
        <v xml:space="preserve">10286       </v>
      </c>
      <c r="E13915" t="s">
        <v>200</v>
      </c>
      <c r="F13915" t="s">
        <v>201</v>
      </c>
      <c r="G13915">
        <v>31.38</v>
      </c>
      <c r="H13915">
        <v>250101</v>
      </c>
      <c r="I13915">
        <v>4369</v>
      </c>
      <c r="J13915" t="s">
        <v>188</v>
      </c>
      <c r="K13915">
        <v>31.38</v>
      </c>
      <c r="L13915">
        <v>6.38</v>
      </c>
      <c r="M13915">
        <v>13401</v>
      </c>
      <c r="N13915" t="s">
        <v>10</v>
      </c>
      <c r="O13915">
        <v>250108</v>
      </c>
      <c r="P13915">
        <v>25</v>
      </c>
    </row>
    <row r="13916" spans="1:16" x14ac:dyDescent="0.25">
      <c r="A13916" t="s">
        <v>3296</v>
      </c>
      <c r="B13916" t="s">
        <v>2931</v>
      </c>
      <c r="C13916">
        <v>1174</v>
      </c>
      <c r="D13916" t="str">
        <f>"10465       "</f>
        <v xml:space="preserve">10465       </v>
      </c>
      <c r="E13916" t="s">
        <v>200</v>
      </c>
      <c r="F13916" t="s">
        <v>201</v>
      </c>
      <c r="G13916">
        <v>31.38</v>
      </c>
      <c r="H13916">
        <v>250201</v>
      </c>
      <c r="I13916">
        <v>4369</v>
      </c>
      <c r="J13916" t="s">
        <v>188</v>
      </c>
      <c r="K13916">
        <v>31.38</v>
      </c>
      <c r="L13916">
        <v>6.38</v>
      </c>
      <c r="M13916">
        <v>13401</v>
      </c>
      <c r="N13916" t="s">
        <v>10</v>
      </c>
      <c r="O13916">
        <v>250205</v>
      </c>
      <c r="P13916">
        <v>25</v>
      </c>
    </row>
    <row r="13917" spans="1:16" x14ac:dyDescent="0.25">
      <c r="A13917" t="s">
        <v>3296</v>
      </c>
      <c r="B13917" t="s">
        <v>2931</v>
      </c>
      <c r="C13917">
        <v>2656</v>
      </c>
      <c r="D13917" t="str">
        <f>"10534       "</f>
        <v xml:space="preserve">10534       </v>
      </c>
      <c r="E13917" t="s">
        <v>200</v>
      </c>
      <c r="F13917" t="s">
        <v>201</v>
      </c>
      <c r="G13917">
        <v>31.38</v>
      </c>
      <c r="H13917">
        <v>250301</v>
      </c>
      <c r="I13917">
        <v>4369</v>
      </c>
      <c r="J13917" t="s">
        <v>188</v>
      </c>
      <c r="K13917">
        <v>31.38</v>
      </c>
      <c r="L13917">
        <v>6.38</v>
      </c>
      <c r="M13917">
        <v>13401</v>
      </c>
      <c r="N13917" t="s">
        <v>10</v>
      </c>
      <c r="O13917">
        <v>250310</v>
      </c>
      <c r="P13917">
        <v>25</v>
      </c>
    </row>
    <row r="13918" spans="1:16" x14ac:dyDescent="0.25">
      <c r="A13918" t="s">
        <v>3296</v>
      </c>
      <c r="B13918" t="s">
        <v>2931</v>
      </c>
      <c r="C13918">
        <v>4285</v>
      </c>
      <c r="D13918" t="str">
        <f>"10735       "</f>
        <v xml:space="preserve">10735       </v>
      </c>
      <c r="E13918" t="s">
        <v>200</v>
      </c>
      <c r="F13918" t="s">
        <v>201</v>
      </c>
      <c r="G13918">
        <v>31.38</v>
      </c>
      <c r="H13918">
        <v>250401</v>
      </c>
      <c r="I13918">
        <v>4369</v>
      </c>
      <c r="J13918" t="s">
        <v>188</v>
      </c>
      <c r="K13918">
        <v>31.38</v>
      </c>
      <c r="L13918">
        <v>6.38</v>
      </c>
      <c r="M13918">
        <v>13401</v>
      </c>
      <c r="N13918" t="s">
        <v>10</v>
      </c>
      <c r="O13918">
        <v>250410</v>
      </c>
      <c r="P13918">
        <v>25</v>
      </c>
    </row>
    <row r="13919" spans="1:16" x14ac:dyDescent="0.25">
      <c r="A13919" t="s">
        <v>3296</v>
      </c>
      <c r="B13919" t="s">
        <v>2931</v>
      </c>
      <c r="C13919">
        <v>5897</v>
      </c>
      <c r="D13919" t="str">
        <f>"10853       "</f>
        <v xml:space="preserve">10853       </v>
      </c>
      <c r="E13919" t="s">
        <v>200</v>
      </c>
      <c r="F13919" t="s">
        <v>201</v>
      </c>
      <c r="G13919">
        <v>31.38</v>
      </c>
      <c r="H13919">
        <v>250501</v>
      </c>
      <c r="I13919">
        <v>4369</v>
      </c>
      <c r="J13919" t="s">
        <v>188</v>
      </c>
      <c r="K13919">
        <v>31.38</v>
      </c>
      <c r="L13919">
        <v>6.38</v>
      </c>
      <c r="M13919">
        <v>13401</v>
      </c>
      <c r="N13919" t="s">
        <v>10</v>
      </c>
      <c r="O13919">
        <v>250507</v>
      </c>
      <c r="P13919">
        <v>25</v>
      </c>
    </row>
    <row r="13920" spans="1:16" x14ac:dyDescent="0.25">
      <c r="A13920" t="s">
        <v>3296</v>
      </c>
      <c r="B13920" t="s">
        <v>2931</v>
      </c>
      <c r="C13920">
        <v>7604</v>
      </c>
      <c r="D13920" t="str">
        <f>"11014       "</f>
        <v xml:space="preserve">11014       </v>
      </c>
      <c r="E13920" t="s">
        <v>200</v>
      </c>
      <c r="F13920" t="s">
        <v>201</v>
      </c>
      <c r="G13920">
        <v>31.38</v>
      </c>
      <c r="H13920">
        <v>250601</v>
      </c>
      <c r="I13920">
        <v>4369</v>
      </c>
      <c r="J13920" t="s">
        <v>188</v>
      </c>
      <c r="K13920">
        <v>31.38</v>
      </c>
      <c r="L13920">
        <v>6.38</v>
      </c>
      <c r="M13920">
        <v>13401</v>
      </c>
      <c r="N13920" t="s">
        <v>10</v>
      </c>
      <c r="O13920">
        <v>250605</v>
      </c>
      <c r="P13920">
        <v>25</v>
      </c>
    </row>
    <row r="13921" spans="1:16" x14ac:dyDescent="0.25">
      <c r="A13921" t="s">
        <v>3296</v>
      </c>
      <c r="B13921" t="s">
        <v>2931</v>
      </c>
      <c r="C13921">
        <v>9572</v>
      </c>
      <c r="D13921" t="str">
        <f>"11109       "</f>
        <v xml:space="preserve">11109       </v>
      </c>
      <c r="E13921" t="s">
        <v>200</v>
      </c>
      <c r="F13921" t="s">
        <v>201</v>
      </c>
      <c r="G13921">
        <v>31.38</v>
      </c>
      <c r="H13921">
        <v>250701</v>
      </c>
      <c r="I13921">
        <v>4369</v>
      </c>
      <c r="J13921" t="s">
        <v>188</v>
      </c>
      <c r="K13921">
        <v>31.38</v>
      </c>
      <c r="L13921">
        <v>6.38</v>
      </c>
      <c r="M13921">
        <v>13401</v>
      </c>
      <c r="N13921" t="s">
        <v>10</v>
      </c>
      <c r="O13921">
        <v>250721</v>
      </c>
      <c r="P13921">
        <v>25</v>
      </c>
    </row>
    <row r="13922" spans="1:16" x14ac:dyDescent="0.25">
      <c r="A13922" t="s">
        <v>3296</v>
      </c>
      <c r="B13922" t="s">
        <v>2931</v>
      </c>
      <c r="C13922">
        <v>11512</v>
      </c>
      <c r="D13922" t="str">
        <f>"11292       "</f>
        <v xml:space="preserve">11292       </v>
      </c>
      <c r="E13922" t="s">
        <v>200</v>
      </c>
      <c r="F13922" t="s">
        <v>201</v>
      </c>
      <c r="G13922">
        <v>31.38</v>
      </c>
      <c r="H13922">
        <v>250901</v>
      </c>
      <c r="I13922">
        <v>4369</v>
      </c>
      <c r="J13922" t="s">
        <v>188</v>
      </c>
      <c r="K13922">
        <v>31.38</v>
      </c>
      <c r="L13922">
        <v>6.38</v>
      </c>
      <c r="M13922">
        <v>13401</v>
      </c>
      <c r="N13922" t="s">
        <v>10</v>
      </c>
      <c r="O13922">
        <v>250908</v>
      </c>
      <c r="P13922">
        <v>25</v>
      </c>
    </row>
    <row r="13923" spans="1:16" x14ac:dyDescent="0.25">
      <c r="A13923" t="s">
        <v>3296</v>
      </c>
      <c r="B13923" t="s">
        <v>2931</v>
      </c>
      <c r="C13923">
        <v>14834</v>
      </c>
      <c r="D13923" t="str">
        <f>"11545       "</f>
        <v xml:space="preserve">11545       </v>
      </c>
      <c r="E13923" t="s">
        <v>200</v>
      </c>
      <c r="F13923" t="s">
        <v>201</v>
      </c>
      <c r="G13923">
        <v>31.38</v>
      </c>
      <c r="H13923">
        <v>251101</v>
      </c>
      <c r="I13923">
        <v>4369</v>
      </c>
      <c r="J13923" t="s">
        <v>188</v>
      </c>
      <c r="K13923">
        <v>31.38</v>
      </c>
      <c r="L13923">
        <v>6.38</v>
      </c>
      <c r="M13923">
        <v>13401</v>
      </c>
      <c r="N13923" t="s">
        <v>10</v>
      </c>
      <c r="O13923">
        <v>251107</v>
      </c>
      <c r="P13923">
        <v>25</v>
      </c>
    </row>
    <row r="13924" spans="1:16" x14ac:dyDescent="0.25">
      <c r="A13924" t="s">
        <v>3296</v>
      </c>
      <c r="B13924" t="s">
        <v>2931</v>
      </c>
      <c r="C13924">
        <v>16227</v>
      </c>
      <c r="D13924" t="str">
        <f>"11685       "</f>
        <v xml:space="preserve">11685       </v>
      </c>
      <c r="E13924" t="s">
        <v>200</v>
      </c>
      <c r="F13924" t="s">
        <v>201</v>
      </c>
      <c r="G13924">
        <v>31.38</v>
      </c>
      <c r="H13924">
        <v>251201</v>
      </c>
      <c r="I13924">
        <v>4369</v>
      </c>
      <c r="J13924" t="s">
        <v>188</v>
      </c>
      <c r="K13924">
        <v>31.38</v>
      </c>
      <c r="L13924">
        <v>6.38</v>
      </c>
      <c r="M13924">
        <v>13401</v>
      </c>
      <c r="N13924" t="s">
        <v>10</v>
      </c>
      <c r="O13924">
        <v>251204</v>
      </c>
      <c r="P13924">
        <v>25</v>
      </c>
    </row>
    <row r="13925" spans="1:16" x14ac:dyDescent="0.25">
      <c r="A13925" t="s">
        <v>3296</v>
      </c>
      <c r="B13925" t="s">
        <v>2931</v>
      </c>
      <c r="C13925">
        <v>10054</v>
      </c>
      <c r="D13925" t="str">
        <f>"11184       "</f>
        <v xml:space="preserve">11184       </v>
      </c>
      <c r="E13925" t="s">
        <v>200</v>
      </c>
      <c r="F13925" t="s">
        <v>201</v>
      </c>
      <c r="G13925">
        <v>31.38</v>
      </c>
      <c r="H13925">
        <v>250801</v>
      </c>
      <c r="I13925">
        <v>4841</v>
      </c>
      <c r="J13925" t="s">
        <v>9</v>
      </c>
      <c r="K13925">
        <v>31.38</v>
      </c>
      <c r="L13925">
        <v>6.38</v>
      </c>
      <c r="M13925">
        <v>13401</v>
      </c>
      <c r="N13925" t="s">
        <v>10</v>
      </c>
      <c r="O13925">
        <v>250811</v>
      </c>
      <c r="P13925">
        <v>25</v>
      </c>
    </row>
    <row r="13926" spans="1:16" x14ac:dyDescent="0.25">
      <c r="A13926" t="s">
        <v>3296</v>
      </c>
      <c r="B13926" t="s">
        <v>2931</v>
      </c>
      <c r="C13926">
        <v>13287</v>
      </c>
      <c r="D13926" t="str">
        <f>"11432       "</f>
        <v xml:space="preserve">11432       </v>
      </c>
      <c r="E13926" t="s">
        <v>200</v>
      </c>
      <c r="F13926" t="s">
        <v>201</v>
      </c>
      <c r="G13926">
        <v>31.38</v>
      </c>
      <c r="H13926">
        <v>251001</v>
      </c>
      <c r="I13926">
        <v>4841</v>
      </c>
      <c r="J13926" t="s">
        <v>9</v>
      </c>
      <c r="K13926">
        <v>31.38</v>
      </c>
      <c r="L13926">
        <v>6.38</v>
      </c>
      <c r="M13926">
        <v>13401</v>
      </c>
      <c r="N13926" t="s">
        <v>10</v>
      </c>
      <c r="O13926">
        <v>251007</v>
      </c>
      <c r="P13926">
        <v>25</v>
      </c>
    </row>
    <row r="13927" spans="1:16" x14ac:dyDescent="0.25">
      <c r="A13927" t="s">
        <v>3296</v>
      </c>
      <c r="B13927" t="s">
        <v>2931</v>
      </c>
      <c r="C13927">
        <v>9630</v>
      </c>
      <c r="D13927" t="str">
        <f>"660         "</f>
        <v xml:space="preserve">660         </v>
      </c>
      <c r="E13927" t="s">
        <v>2136</v>
      </c>
      <c r="F13927" t="s">
        <v>2137</v>
      </c>
      <c r="G13927">
        <v>16800</v>
      </c>
      <c r="H13927">
        <v>250708</v>
      </c>
      <c r="I13927">
        <v>1196</v>
      </c>
      <c r="J13927" t="s">
        <v>340</v>
      </c>
      <c r="K13927">
        <v>16800</v>
      </c>
      <c r="L13927">
        <v>0</v>
      </c>
      <c r="M13927">
        <v>96501</v>
      </c>
      <c r="N13927" t="s">
        <v>2066</v>
      </c>
      <c r="O13927">
        <v>250722</v>
      </c>
      <c r="P13927">
        <v>16800</v>
      </c>
    </row>
    <row r="13928" spans="1:16" x14ac:dyDescent="0.25">
      <c r="A13928" t="s">
        <v>3296</v>
      </c>
      <c r="B13928" t="s">
        <v>2931</v>
      </c>
      <c r="C13928">
        <v>13094</v>
      </c>
      <c r="D13928" t="str">
        <f>"678         "</f>
        <v xml:space="preserve">678         </v>
      </c>
      <c r="E13928" t="s">
        <v>2136</v>
      </c>
      <c r="F13928" t="s">
        <v>2137</v>
      </c>
      <c r="G13928">
        <v>7200</v>
      </c>
      <c r="H13928">
        <v>250926</v>
      </c>
      <c r="I13928">
        <v>1196</v>
      </c>
      <c r="J13928" t="s">
        <v>340</v>
      </c>
      <c r="K13928">
        <v>7200</v>
      </c>
      <c r="L13928">
        <v>0</v>
      </c>
      <c r="M13928">
        <v>96501</v>
      </c>
      <c r="N13928" t="s">
        <v>2066</v>
      </c>
      <c r="O13928">
        <v>251006</v>
      </c>
      <c r="P13928">
        <v>7200</v>
      </c>
    </row>
    <row r="13929" spans="1:16" x14ac:dyDescent="0.25">
      <c r="A13929" t="s">
        <v>3296</v>
      </c>
      <c r="B13929" t="s">
        <v>2931</v>
      </c>
      <c r="C13929">
        <v>14255</v>
      </c>
      <c r="D13929" t="str">
        <f>"2075        "</f>
        <v xml:space="preserve">2075        </v>
      </c>
      <c r="E13929" t="s">
        <v>2487</v>
      </c>
      <c r="F13929" t="s">
        <v>2488</v>
      </c>
      <c r="G13929">
        <v>1813.6</v>
      </c>
      <c r="H13929">
        <v>251020</v>
      </c>
      <c r="I13929">
        <v>4400</v>
      </c>
      <c r="J13929" t="s">
        <v>162</v>
      </c>
      <c r="K13929">
        <v>5049.03</v>
      </c>
      <c r="L13929">
        <v>368.5</v>
      </c>
      <c r="M13929">
        <v>49501</v>
      </c>
      <c r="N13929" t="s">
        <v>110</v>
      </c>
      <c r="O13929">
        <v>251028</v>
      </c>
      <c r="P13929">
        <v>1445.1</v>
      </c>
    </row>
    <row r="13930" spans="1:16" x14ac:dyDescent="0.25">
      <c r="A13930" t="s">
        <v>3296</v>
      </c>
      <c r="B13930" t="s">
        <v>2931</v>
      </c>
      <c r="C13930">
        <v>14255</v>
      </c>
      <c r="D13930" t="str">
        <f>"2075        "</f>
        <v xml:space="preserve">2075        </v>
      </c>
      <c r="E13930" t="s">
        <v>2487</v>
      </c>
      <c r="F13930" t="s">
        <v>2488</v>
      </c>
      <c r="G13930">
        <v>3235.43</v>
      </c>
      <c r="H13930">
        <v>251020</v>
      </c>
      <c r="I13930">
        <v>4600</v>
      </c>
      <c r="J13930" t="s">
        <v>278</v>
      </c>
      <c r="K13930">
        <v>5049.03</v>
      </c>
      <c r="L13930">
        <v>657.4</v>
      </c>
      <c r="M13930">
        <v>49501</v>
      </c>
      <c r="N13930" t="s">
        <v>110</v>
      </c>
      <c r="O13930">
        <v>251028</v>
      </c>
      <c r="P13930">
        <v>2578.0300000000002</v>
      </c>
    </row>
    <row r="13931" spans="1:16" x14ac:dyDescent="0.25">
      <c r="A13931" t="s">
        <v>3296</v>
      </c>
      <c r="B13931" t="s">
        <v>2931</v>
      </c>
      <c r="C13931">
        <v>11491</v>
      </c>
      <c r="D13931" t="str">
        <f>"167/04092025"</f>
        <v>167/04092025</v>
      </c>
      <c r="E13931" t="s">
        <v>3136</v>
      </c>
      <c r="G13931">
        <v>307.27</v>
      </c>
      <c r="H13931">
        <v>250830</v>
      </c>
      <c r="I13931">
        <v>4940</v>
      </c>
      <c r="J13931" t="s">
        <v>250</v>
      </c>
      <c r="K13931">
        <v>307.27</v>
      </c>
      <c r="L13931">
        <v>0</v>
      </c>
      <c r="M13931">
        <v>67554</v>
      </c>
      <c r="N13931" t="s">
        <v>317</v>
      </c>
      <c r="O13931">
        <v>250905</v>
      </c>
      <c r="P13931">
        <v>307.27</v>
      </c>
    </row>
    <row r="13932" spans="1:16" x14ac:dyDescent="0.25">
      <c r="A13932" t="s">
        <v>3296</v>
      </c>
      <c r="B13932" t="s">
        <v>2931</v>
      </c>
      <c r="C13932">
        <v>10361</v>
      </c>
      <c r="D13932" t="str">
        <f>"891556      "</f>
        <v xml:space="preserve">891556      </v>
      </c>
      <c r="E13932" t="s">
        <v>3262</v>
      </c>
      <c r="F13932" t="s">
        <v>3263</v>
      </c>
      <c r="G13932">
        <v>13.76</v>
      </c>
      <c r="H13932">
        <v>250729</v>
      </c>
      <c r="I13932">
        <v>4600</v>
      </c>
      <c r="J13932" t="s">
        <v>278</v>
      </c>
      <c r="K13932">
        <v>13.76</v>
      </c>
      <c r="L13932">
        <v>0</v>
      </c>
      <c r="M13932">
        <v>67554</v>
      </c>
      <c r="N13932" t="s">
        <v>317</v>
      </c>
      <c r="O13932">
        <v>250818</v>
      </c>
      <c r="P13932">
        <v>13.76</v>
      </c>
    </row>
    <row r="13933" spans="1:16" x14ac:dyDescent="0.25">
      <c r="A13933" t="s">
        <v>3296</v>
      </c>
      <c r="B13933" t="s">
        <v>2931</v>
      </c>
      <c r="C13933">
        <v>2596</v>
      </c>
      <c r="D13933" t="str">
        <f>"2479        "</f>
        <v xml:space="preserve">2479        </v>
      </c>
      <c r="E13933" t="s">
        <v>1318</v>
      </c>
      <c r="F13933" t="s">
        <v>1319</v>
      </c>
      <c r="G13933">
        <v>1085.83</v>
      </c>
      <c r="H13933">
        <v>250201</v>
      </c>
      <c r="I13933">
        <v>4367</v>
      </c>
      <c r="J13933" t="s">
        <v>159</v>
      </c>
      <c r="K13933">
        <v>1085.83</v>
      </c>
      <c r="L13933">
        <v>220.63</v>
      </c>
      <c r="M13933">
        <v>11001</v>
      </c>
      <c r="N13933" t="s">
        <v>93</v>
      </c>
      <c r="O13933">
        <v>250307</v>
      </c>
      <c r="P13933">
        <v>865.2</v>
      </c>
    </row>
    <row r="13934" spans="1:16" x14ac:dyDescent="0.25">
      <c r="A13934" t="s">
        <v>3296</v>
      </c>
      <c r="B13934" t="s">
        <v>2931</v>
      </c>
      <c r="C13934">
        <v>3358</v>
      </c>
      <c r="D13934" t="str">
        <f>"2551        "</f>
        <v xml:space="preserve">2551        </v>
      </c>
      <c r="E13934" t="s">
        <v>1318</v>
      </c>
      <c r="F13934" t="s">
        <v>1319</v>
      </c>
      <c r="G13934">
        <v>1043.6600000000001</v>
      </c>
      <c r="H13934">
        <v>250228</v>
      </c>
      <c r="I13934">
        <v>4367</v>
      </c>
      <c r="J13934" t="s">
        <v>159</v>
      </c>
      <c r="K13934">
        <v>1043.6600000000001</v>
      </c>
      <c r="L13934">
        <v>212.06</v>
      </c>
      <c r="M13934">
        <v>11001</v>
      </c>
      <c r="N13934" t="s">
        <v>93</v>
      </c>
      <c r="O13934">
        <v>250319</v>
      </c>
      <c r="P13934">
        <v>831.6</v>
      </c>
    </row>
    <row r="13935" spans="1:16" x14ac:dyDescent="0.25">
      <c r="A13935" t="s">
        <v>3296</v>
      </c>
      <c r="B13935" t="s">
        <v>2931</v>
      </c>
      <c r="C13935">
        <v>5073</v>
      </c>
      <c r="D13935" t="str">
        <f>"2623        "</f>
        <v xml:space="preserve">2623        </v>
      </c>
      <c r="E13935" t="s">
        <v>1318</v>
      </c>
      <c r="F13935" t="s">
        <v>1319</v>
      </c>
      <c r="G13935">
        <v>1061.73</v>
      </c>
      <c r="H13935">
        <v>250331</v>
      </c>
      <c r="I13935">
        <v>4367</v>
      </c>
      <c r="J13935" t="s">
        <v>159</v>
      </c>
      <c r="K13935">
        <v>1061.73</v>
      </c>
      <c r="L13935">
        <v>215.73</v>
      </c>
      <c r="M13935">
        <v>11001</v>
      </c>
      <c r="N13935" t="s">
        <v>93</v>
      </c>
      <c r="O13935">
        <v>250416</v>
      </c>
      <c r="P13935">
        <v>846</v>
      </c>
    </row>
    <row r="13936" spans="1:16" x14ac:dyDescent="0.25">
      <c r="A13936" t="s">
        <v>3296</v>
      </c>
      <c r="B13936" t="s">
        <v>2931</v>
      </c>
      <c r="C13936">
        <v>6733</v>
      </c>
      <c r="D13936" t="str">
        <f>"2690        "</f>
        <v xml:space="preserve">2690        </v>
      </c>
      <c r="E13936" t="s">
        <v>1318</v>
      </c>
      <c r="F13936" t="s">
        <v>1319</v>
      </c>
      <c r="G13936">
        <v>1126.6199999999999</v>
      </c>
      <c r="H13936">
        <v>250430</v>
      </c>
      <c r="I13936">
        <v>4367</v>
      </c>
      <c r="J13936" t="s">
        <v>159</v>
      </c>
      <c r="K13936">
        <v>1126.6199999999999</v>
      </c>
      <c r="L13936">
        <v>228.91</v>
      </c>
      <c r="M13936">
        <v>11001</v>
      </c>
      <c r="N13936" t="s">
        <v>93</v>
      </c>
      <c r="O13936">
        <v>250516</v>
      </c>
      <c r="P13936">
        <v>897.71</v>
      </c>
    </row>
    <row r="13937" spans="1:16" x14ac:dyDescent="0.25">
      <c r="A13937" t="s">
        <v>3296</v>
      </c>
      <c r="B13937" t="s">
        <v>2931</v>
      </c>
      <c r="C13937">
        <v>8557</v>
      </c>
      <c r="D13937" t="str">
        <f>"2736        "</f>
        <v xml:space="preserve">2736        </v>
      </c>
      <c r="E13937" t="s">
        <v>1318</v>
      </c>
      <c r="F13937" t="s">
        <v>1319</v>
      </c>
      <c r="G13937">
        <v>1050.69</v>
      </c>
      <c r="H13937">
        <v>250531</v>
      </c>
      <c r="I13937">
        <v>4367</v>
      </c>
      <c r="J13937" t="s">
        <v>159</v>
      </c>
      <c r="K13937">
        <v>1050.69</v>
      </c>
      <c r="L13937">
        <v>213.49</v>
      </c>
      <c r="M13937">
        <v>11001</v>
      </c>
      <c r="N13937" t="s">
        <v>93</v>
      </c>
      <c r="O13937">
        <v>250617</v>
      </c>
      <c r="P13937">
        <v>837.2</v>
      </c>
    </row>
    <row r="13938" spans="1:16" x14ac:dyDescent="0.25">
      <c r="A13938" t="s">
        <v>3296</v>
      </c>
      <c r="B13938" t="s">
        <v>2931</v>
      </c>
      <c r="C13938">
        <v>9340</v>
      </c>
      <c r="D13938" t="str">
        <f>"2791        "</f>
        <v xml:space="preserve">2791        </v>
      </c>
      <c r="E13938" t="s">
        <v>1318</v>
      </c>
      <c r="F13938" t="s">
        <v>1319</v>
      </c>
      <c r="G13938">
        <v>1026.0899999999999</v>
      </c>
      <c r="H13938">
        <v>250630</v>
      </c>
      <c r="I13938">
        <v>4367</v>
      </c>
      <c r="J13938" t="s">
        <v>159</v>
      </c>
      <c r="K13938">
        <v>1026.0899999999999</v>
      </c>
      <c r="L13938">
        <v>208.49</v>
      </c>
      <c r="M13938">
        <v>11001</v>
      </c>
      <c r="N13938" t="s">
        <v>93</v>
      </c>
      <c r="O13938">
        <v>250703</v>
      </c>
      <c r="P13938">
        <v>817.6</v>
      </c>
    </row>
    <row r="13939" spans="1:16" x14ac:dyDescent="0.25">
      <c r="A13939" t="s">
        <v>3296</v>
      </c>
      <c r="B13939" t="s">
        <v>2931</v>
      </c>
      <c r="C13939">
        <v>10367</v>
      </c>
      <c r="D13939" t="str">
        <f>"2861        "</f>
        <v xml:space="preserve">2861        </v>
      </c>
      <c r="E13939" t="s">
        <v>1318</v>
      </c>
      <c r="F13939" t="s">
        <v>1319</v>
      </c>
      <c r="G13939">
        <v>1027.8499999999999</v>
      </c>
      <c r="H13939">
        <v>250731</v>
      </c>
      <c r="I13939">
        <v>4367</v>
      </c>
      <c r="J13939" t="s">
        <v>159</v>
      </c>
      <c r="K13939">
        <v>1027.8499999999999</v>
      </c>
      <c r="L13939">
        <v>208.85</v>
      </c>
      <c r="M13939">
        <v>11001</v>
      </c>
      <c r="N13939" t="s">
        <v>93</v>
      </c>
      <c r="O13939">
        <v>250818</v>
      </c>
      <c r="P13939">
        <v>819</v>
      </c>
    </row>
    <row r="13940" spans="1:16" x14ac:dyDescent="0.25">
      <c r="A13940" t="s">
        <v>3296</v>
      </c>
      <c r="B13940" t="s">
        <v>2931</v>
      </c>
      <c r="C13940">
        <v>11932</v>
      </c>
      <c r="D13940" t="str">
        <f>"2906        "</f>
        <v xml:space="preserve">2906        </v>
      </c>
      <c r="E13940" t="s">
        <v>1318</v>
      </c>
      <c r="F13940" t="s">
        <v>1319</v>
      </c>
      <c r="G13940">
        <v>1036.1400000000001</v>
      </c>
      <c r="H13940">
        <v>250831</v>
      </c>
      <c r="I13940">
        <v>4367</v>
      </c>
      <c r="J13940" t="s">
        <v>159</v>
      </c>
      <c r="K13940">
        <v>1036.1400000000001</v>
      </c>
      <c r="L13940">
        <v>210.53</v>
      </c>
      <c r="M13940">
        <v>11001</v>
      </c>
      <c r="N13940" t="s">
        <v>93</v>
      </c>
      <c r="O13940">
        <v>250912</v>
      </c>
      <c r="P13940">
        <v>825.61</v>
      </c>
    </row>
    <row r="13941" spans="1:16" x14ac:dyDescent="0.25">
      <c r="A13941" t="s">
        <v>3296</v>
      </c>
      <c r="B13941" t="s">
        <v>2931</v>
      </c>
      <c r="C13941">
        <v>13162</v>
      </c>
      <c r="D13941" t="str">
        <f>"2965        "</f>
        <v xml:space="preserve">2965        </v>
      </c>
      <c r="E13941" t="s">
        <v>1318</v>
      </c>
      <c r="F13941" t="s">
        <v>1319</v>
      </c>
      <c r="G13941">
        <v>2072.5100000000002</v>
      </c>
      <c r="H13941">
        <v>250930</v>
      </c>
      <c r="I13941">
        <v>4367</v>
      </c>
      <c r="J13941" t="s">
        <v>159</v>
      </c>
      <c r="K13941">
        <v>2072.5100000000002</v>
      </c>
      <c r="L13941">
        <v>421.11</v>
      </c>
      <c r="M13941">
        <v>11001</v>
      </c>
      <c r="N13941" t="s">
        <v>93</v>
      </c>
      <c r="O13941">
        <v>251006</v>
      </c>
      <c r="P13941">
        <v>1651.4</v>
      </c>
    </row>
    <row r="13942" spans="1:16" x14ac:dyDescent="0.25">
      <c r="A13942" t="s">
        <v>3296</v>
      </c>
      <c r="B13942" t="s">
        <v>2931</v>
      </c>
      <c r="C13942">
        <v>14879</v>
      </c>
      <c r="D13942" t="str">
        <f>"3049        "</f>
        <v xml:space="preserve">3049        </v>
      </c>
      <c r="E13942" t="s">
        <v>1318</v>
      </c>
      <c r="F13942" t="s">
        <v>1319</v>
      </c>
      <c r="G13942">
        <v>1055.46</v>
      </c>
      <c r="H13942">
        <v>251031</v>
      </c>
      <c r="I13942">
        <v>4367</v>
      </c>
      <c r="J13942" t="s">
        <v>159</v>
      </c>
      <c r="K13942">
        <v>1055.46</v>
      </c>
      <c r="L13942">
        <v>214.46</v>
      </c>
      <c r="M13942">
        <v>11001</v>
      </c>
      <c r="N13942" t="s">
        <v>93</v>
      </c>
      <c r="O13942">
        <v>251107</v>
      </c>
      <c r="P13942">
        <v>841</v>
      </c>
    </row>
    <row r="13943" spans="1:16" x14ac:dyDescent="0.25">
      <c r="A13943" t="s">
        <v>3296</v>
      </c>
      <c r="B13943" t="s">
        <v>2931</v>
      </c>
      <c r="C13943">
        <v>16453</v>
      </c>
      <c r="D13943" t="str">
        <f>"3110        "</f>
        <v xml:space="preserve">3110        </v>
      </c>
      <c r="E13943" t="s">
        <v>1318</v>
      </c>
      <c r="F13943" t="s">
        <v>1319</v>
      </c>
      <c r="G13943">
        <v>1179.83</v>
      </c>
      <c r="H13943">
        <v>251130</v>
      </c>
      <c r="I13943">
        <v>4367</v>
      </c>
      <c r="J13943" t="s">
        <v>159</v>
      </c>
      <c r="K13943">
        <v>1179.83</v>
      </c>
      <c r="L13943">
        <v>239.73</v>
      </c>
      <c r="M13943">
        <v>11001</v>
      </c>
      <c r="N13943" t="s">
        <v>93</v>
      </c>
      <c r="O13943">
        <v>251208</v>
      </c>
      <c r="P13943">
        <v>940.1</v>
      </c>
    </row>
    <row r="13944" spans="1:16" x14ac:dyDescent="0.25">
      <c r="A13944" t="s">
        <v>3296</v>
      </c>
      <c r="B13944" t="s">
        <v>2931</v>
      </c>
      <c r="C13944">
        <v>18456</v>
      </c>
      <c r="D13944" t="str">
        <f>"3163        "</f>
        <v xml:space="preserve">3163        </v>
      </c>
      <c r="E13944" t="s">
        <v>1318</v>
      </c>
      <c r="F13944" t="s">
        <v>1319</v>
      </c>
      <c r="G13944">
        <v>1029.3599999999999</v>
      </c>
      <c r="H13944">
        <v>251231</v>
      </c>
      <c r="I13944">
        <v>4367</v>
      </c>
      <c r="J13944" t="s">
        <v>159</v>
      </c>
      <c r="K13944">
        <v>1029.3599999999999</v>
      </c>
      <c r="L13944">
        <v>209.15</v>
      </c>
      <c r="M13944">
        <v>11001</v>
      </c>
      <c r="N13944" t="s">
        <v>93</v>
      </c>
      <c r="O13944">
        <v>260113</v>
      </c>
      <c r="P13944">
        <v>820.21</v>
      </c>
    </row>
    <row r="13945" spans="1:16" x14ac:dyDescent="0.25">
      <c r="A13945" t="s">
        <v>3296</v>
      </c>
      <c r="B13945" t="s">
        <v>2931</v>
      </c>
      <c r="C13945">
        <v>10023</v>
      </c>
      <c r="D13945" t="str">
        <f>"154         "</f>
        <v xml:space="preserve">154         </v>
      </c>
      <c r="E13945" t="s">
        <v>2161</v>
      </c>
      <c r="F13945" t="s">
        <v>2162</v>
      </c>
      <c r="G13945">
        <v>366.52</v>
      </c>
      <c r="H13945">
        <v>250707</v>
      </c>
      <c r="I13945">
        <v>4470</v>
      </c>
      <c r="J13945" t="s">
        <v>203</v>
      </c>
      <c r="K13945">
        <v>366.52</v>
      </c>
      <c r="L13945">
        <v>74.47</v>
      </c>
      <c r="M13945">
        <v>17737</v>
      </c>
      <c r="N13945" t="s">
        <v>156</v>
      </c>
      <c r="O13945">
        <v>250808</v>
      </c>
      <c r="P13945">
        <v>292.05</v>
      </c>
    </row>
    <row r="13946" spans="1:16" x14ac:dyDescent="0.25">
      <c r="A13946" t="s">
        <v>3296</v>
      </c>
      <c r="B13946" t="s">
        <v>2931</v>
      </c>
      <c r="C13946">
        <v>10566</v>
      </c>
      <c r="D13946" t="str">
        <f>"155         "</f>
        <v xml:space="preserve">155         </v>
      </c>
      <c r="E13946" t="s">
        <v>2161</v>
      </c>
      <c r="F13946" t="s">
        <v>2162</v>
      </c>
      <c r="G13946">
        <v>422.43</v>
      </c>
      <c r="H13946">
        <v>250818</v>
      </c>
      <c r="I13946">
        <v>4470</v>
      </c>
      <c r="J13946" t="s">
        <v>203</v>
      </c>
      <c r="K13946">
        <v>422.43</v>
      </c>
      <c r="L13946">
        <v>85.83</v>
      </c>
      <c r="M13946">
        <v>17737</v>
      </c>
      <c r="N13946" t="s">
        <v>156</v>
      </c>
      <c r="O13946">
        <v>250820</v>
      </c>
      <c r="P13946">
        <v>336.6</v>
      </c>
    </row>
    <row r="13947" spans="1:16" x14ac:dyDescent="0.25">
      <c r="A13947" t="s">
        <v>3296</v>
      </c>
      <c r="B13947" t="s">
        <v>2931</v>
      </c>
      <c r="C13947">
        <v>1093</v>
      </c>
      <c r="D13947" t="str">
        <f>"3004519130  "</f>
        <v xml:space="preserve">3004519130  </v>
      </c>
      <c r="E13947" t="s">
        <v>846</v>
      </c>
      <c r="F13947" t="s">
        <v>847</v>
      </c>
      <c r="G13947">
        <v>9</v>
      </c>
      <c r="H13947">
        <v>250129</v>
      </c>
      <c r="I13947">
        <v>4410</v>
      </c>
      <c r="J13947" t="s">
        <v>165</v>
      </c>
      <c r="K13947">
        <v>375.09</v>
      </c>
      <c r="L13947">
        <v>0</v>
      </c>
      <c r="M13947">
        <v>17523</v>
      </c>
      <c r="N13947" t="s">
        <v>138</v>
      </c>
      <c r="O13947">
        <v>250204</v>
      </c>
      <c r="P13947">
        <v>9</v>
      </c>
    </row>
    <row r="13948" spans="1:16" x14ac:dyDescent="0.25">
      <c r="A13948" t="s">
        <v>3296</v>
      </c>
      <c r="B13948" t="s">
        <v>2931</v>
      </c>
      <c r="C13948">
        <v>1093</v>
      </c>
      <c r="D13948" t="str">
        <f>"3004519130  "</f>
        <v xml:space="preserve">3004519130  </v>
      </c>
      <c r="E13948" t="s">
        <v>846</v>
      </c>
      <c r="F13948" t="s">
        <v>847</v>
      </c>
      <c r="G13948">
        <v>27</v>
      </c>
      <c r="H13948">
        <v>250129</v>
      </c>
      <c r="I13948">
        <v>4410</v>
      </c>
      <c r="J13948" t="s">
        <v>165</v>
      </c>
      <c r="K13948">
        <v>375.09</v>
      </c>
      <c r="L13948">
        <v>3.32</v>
      </c>
      <c r="M13948">
        <v>17523</v>
      </c>
      <c r="N13948" t="s">
        <v>138</v>
      </c>
      <c r="O13948">
        <v>250204</v>
      </c>
      <c r="P13948">
        <v>23.68</v>
      </c>
    </row>
    <row r="13949" spans="1:16" x14ac:dyDescent="0.25">
      <c r="A13949" t="s">
        <v>3296</v>
      </c>
      <c r="B13949" t="s">
        <v>2931</v>
      </c>
      <c r="C13949">
        <v>1093</v>
      </c>
      <c r="D13949" t="str">
        <f>"3004519130  "</f>
        <v xml:space="preserve">3004519130  </v>
      </c>
      <c r="E13949" t="s">
        <v>846</v>
      </c>
      <c r="F13949" t="s">
        <v>847</v>
      </c>
      <c r="G13949">
        <v>318.08999999999997</v>
      </c>
      <c r="H13949">
        <v>250129</v>
      </c>
      <c r="I13949">
        <v>4410</v>
      </c>
      <c r="J13949" t="s">
        <v>165</v>
      </c>
      <c r="K13949">
        <v>375.09</v>
      </c>
      <c r="L13949">
        <v>39.06</v>
      </c>
      <c r="M13949">
        <v>17523</v>
      </c>
      <c r="N13949" t="s">
        <v>138</v>
      </c>
      <c r="O13949">
        <v>250204</v>
      </c>
      <c r="P13949">
        <v>279.02999999999997</v>
      </c>
    </row>
    <row r="13950" spans="1:16" x14ac:dyDescent="0.25">
      <c r="A13950" t="s">
        <v>3296</v>
      </c>
      <c r="B13950" t="s">
        <v>2931</v>
      </c>
      <c r="C13950">
        <v>1943</v>
      </c>
      <c r="D13950" t="str">
        <f>"3004519129  "</f>
        <v xml:space="preserve">3004519129  </v>
      </c>
      <c r="E13950" t="s">
        <v>846</v>
      </c>
      <c r="F13950" t="s">
        <v>847</v>
      </c>
      <c r="G13950">
        <v>18</v>
      </c>
      <c r="H13950">
        <v>250129</v>
      </c>
      <c r="I13950">
        <v>4410</v>
      </c>
      <c r="J13950" t="s">
        <v>165</v>
      </c>
      <c r="K13950">
        <v>221.44</v>
      </c>
      <c r="L13950">
        <v>0</v>
      </c>
      <c r="M13950">
        <v>56561</v>
      </c>
      <c r="N13950" t="s">
        <v>53</v>
      </c>
      <c r="O13950">
        <v>250218</v>
      </c>
      <c r="P13950">
        <v>18</v>
      </c>
    </row>
    <row r="13951" spans="1:16" x14ac:dyDescent="0.25">
      <c r="A13951" t="s">
        <v>3296</v>
      </c>
      <c r="B13951" t="s">
        <v>2931</v>
      </c>
      <c r="C13951">
        <v>1943</v>
      </c>
      <c r="D13951" t="str">
        <f>"3004519129  "</f>
        <v xml:space="preserve">3004519129  </v>
      </c>
      <c r="E13951" t="s">
        <v>846</v>
      </c>
      <c r="F13951" t="s">
        <v>847</v>
      </c>
      <c r="G13951">
        <v>203.44</v>
      </c>
      <c r="H13951">
        <v>250129</v>
      </c>
      <c r="I13951">
        <v>4410</v>
      </c>
      <c r="J13951" t="s">
        <v>165</v>
      </c>
      <c r="K13951">
        <v>221.44</v>
      </c>
      <c r="L13951">
        <v>24.98</v>
      </c>
      <c r="M13951">
        <v>56561</v>
      </c>
      <c r="N13951" t="s">
        <v>53</v>
      </c>
      <c r="O13951">
        <v>250218</v>
      </c>
      <c r="P13951">
        <v>178.46</v>
      </c>
    </row>
    <row r="13952" spans="1:16" x14ac:dyDescent="0.25">
      <c r="A13952" t="s">
        <v>3296</v>
      </c>
      <c r="B13952" t="s">
        <v>2931</v>
      </c>
      <c r="C13952">
        <v>1093</v>
      </c>
      <c r="D13952" t="str">
        <f>"3004519130  "</f>
        <v xml:space="preserve">3004519130  </v>
      </c>
      <c r="E13952" t="s">
        <v>846</v>
      </c>
      <c r="F13952" t="s">
        <v>847</v>
      </c>
      <c r="G13952">
        <v>21</v>
      </c>
      <c r="H13952">
        <v>250129</v>
      </c>
      <c r="I13952">
        <v>4470</v>
      </c>
      <c r="J13952" t="s">
        <v>203</v>
      </c>
      <c r="K13952">
        <v>375.09</v>
      </c>
      <c r="L13952">
        <v>4.2699999999999996</v>
      </c>
      <c r="M13952">
        <v>17523</v>
      </c>
      <c r="N13952" t="s">
        <v>138</v>
      </c>
      <c r="O13952">
        <v>250204</v>
      </c>
      <c r="P13952">
        <v>16.73</v>
      </c>
    </row>
    <row r="13953" spans="1:16" x14ac:dyDescent="0.25">
      <c r="A13953" t="s">
        <v>3296</v>
      </c>
      <c r="B13953" t="s">
        <v>2931</v>
      </c>
      <c r="C13953">
        <v>1777</v>
      </c>
      <c r="D13953" t="str">
        <f>"3004560823  "</f>
        <v xml:space="preserve">3004560823  </v>
      </c>
      <c r="E13953" t="s">
        <v>1111</v>
      </c>
      <c r="F13953" t="s">
        <v>1112</v>
      </c>
      <c r="G13953">
        <v>13.6</v>
      </c>
      <c r="H13953">
        <v>250210</v>
      </c>
      <c r="I13953">
        <v>4410</v>
      </c>
      <c r="J13953" t="s">
        <v>165</v>
      </c>
      <c r="K13953">
        <v>225</v>
      </c>
      <c r="L13953">
        <v>0</v>
      </c>
      <c r="M13953">
        <v>17974</v>
      </c>
      <c r="N13953" t="s">
        <v>153</v>
      </c>
      <c r="O13953">
        <v>250213</v>
      </c>
      <c r="P13953">
        <v>13.6</v>
      </c>
    </row>
    <row r="13954" spans="1:16" x14ac:dyDescent="0.25">
      <c r="A13954" t="s">
        <v>3296</v>
      </c>
      <c r="B13954" t="s">
        <v>2931</v>
      </c>
      <c r="C13954">
        <v>1777</v>
      </c>
      <c r="D13954" t="str">
        <f>"3004560823  "</f>
        <v xml:space="preserve">3004560823  </v>
      </c>
      <c r="E13954" t="s">
        <v>1111</v>
      </c>
      <c r="F13954" t="s">
        <v>1112</v>
      </c>
      <c r="G13954">
        <v>211.4</v>
      </c>
      <c r="H13954">
        <v>250210</v>
      </c>
      <c r="I13954">
        <v>4410</v>
      </c>
      <c r="J13954" t="s">
        <v>165</v>
      </c>
      <c r="K13954">
        <v>225</v>
      </c>
      <c r="L13954">
        <v>25.96</v>
      </c>
      <c r="M13954">
        <v>17974</v>
      </c>
      <c r="N13954" t="s">
        <v>153</v>
      </c>
      <c r="O13954">
        <v>250213</v>
      </c>
      <c r="P13954">
        <v>185.44</v>
      </c>
    </row>
    <row r="13955" spans="1:16" x14ac:dyDescent="0.25">
      <c r="A13955" t="s">
        <v>3296</v>
      </c>
      <c r="B13955" t="s">
        <v>2931</v>
      </c>
      <c r="C13955">
        <v>15619</v>
      </c>
      <c r="D13955" t="str">
        <f>"3005152942  "</f>
        <v xml:space="preserve">3005152942  </v>
      </c>
      <c r="E13955" t="s">
        <v>2597</v>
      </c>
      <c r="F13955" t="s">
        <v>2598</v>
      </c>
      <c r="G13955">
        <v>5</v>
      </c>
      <c r="H13955">
        <v>251113</v>
      </c>
      <c r="I13955">
        <v>4410</v>
      </c>
      <c r="J13955" t="s">
        <v>165</v>
      </c>
      <c r="K13955">
        <v>222.14</v>
      </c>
      <c r="L13955">
        <v>1.02</v>
      </c>
      <c r="M13955">
        <v>18971</v>
      </c>
      <c r="N13955" t="s">
        <v>38</v>
      </c>
      <c r="O13955">
        <v>251124</v>
      </c>
      <c r="P13955">
        <v>3.98</v>
      </c>
    </row>
    <row r="13956" spans="1:16" x14ac:dyDescent="0.25">
      <c r="A13956" t="s">
        <v>3296</v>
      </c>
      <c r="B13956" t="s">
        <v>2931</v>
      </c>
      <c r="C13956">
        <v>15619</v>
      </c>
      <c r="D13956" t="str">
        <f>"3005152942  "</f>
        <v xml:space="preserve">3005152942  </v>
      </c>
      <c r="E13956" t="s">
        <v>2597</v>
      </c>
      <c r="F13956" t="s">
        <v>2598</v>
      </c>
      <c r="G13956">
        <v>13.6</v>
      </c>
      <c r="H13956">
        <v>251113</v>
      </c>
      <c r="I13956">
        <v>4410</v>
      </c>
      <c r="J13956" t="s">
        <v>165</v>
      </c>
      <c r="K13956">
        <v>222.14</v>
      </c>
      <c r="L13956">
        <v>0</v>
      </c>
      <c r="M13956">
        <v>18971</v>
      </c>
      <c r="N13956" t="s">
        <v>38</v>
      </c>
      <c r="O13956">
        <v>251124</v>
      </c>
      <c r="P13956">
        <v>13.6</v>
      </c>
    </row>
    <row r="13957" spans="1:16" x14ac:dyDescent="0.25">
      <c r="A13957" t="s">
        <v>3296</v>
      </c>
      <c r="B13957" t="s">
        <v>2931</v>
      </c>
      <c r="C13957">
        <v>15619</v>
      </c>
      <c r="D13957" t="str">
        <f>"3005152942  "</f>
        <v xml:space="preserve">3005152942  </v>
      </c>
      <c r="E13957" t="s">
        <v>2597</v>
      </c>
      <c r="F13957" t="s">
        <v>2598</v>
      </c>
      <c r="G13957">
        <v>203.54</v>
      </c>
      <c r="H13957">
        <v>251113</v>
      </c>
      <c r="I13957">
        <v>4410</v>
      </c>
      <c r="J13957" t="s">
        <v>165</v>
      </c>
      <c r="K13957">
        <v>222.14</v>
      </c>
      <c r="L13957">
        <v>25</v>
      </c>
      <c r="M13957">
        <v>18971</v>
      </c>
      <c r="N13957" t="s">
        <v>38</v>
      </c>
      <c r="O13957">
        <v>251124</v>
      </c>
      <c r="P13957">
        <v>178.54</v>
      </c>
    </row>
    <row r="13958" spans="1:16" x14ac:dyDescent="0.25">
      <c r="A13958" t="s">
        <v>3296</v>
      </c>
      <c r="B13958" t="s">
        <v>2931</v>
      </c>
      <c r="C13958">
        <v>15618</v>
      </c>
      <c r="D13958" t="str">
        <f>"3005152943  "</f>
        <v xml:space="preserve">3005152943  </v>
      </c>
      <c r="E13958" t="s">
        <v>2597</v>
      </c>
      <c r="F13958" t="s">
        <v>2598</v>
      </c>
      <c r="G13958">
        <v>5</v>
      </c>
      <c r="H13958">
        <v>251113</v>
      </c>
      <c r="I13958">
        <v>4412</v>
      </c>
      <c r="J13958" t="s">
        <v>884</v>
      </c>
      <c r="K13958">
        <v>255</v>
      </c>
      <c r="L13958">
        <v>1.02</v>
      </c>
      <c r="M13958">
        <v>18972</v>
      </c>
      <c r="N13958" t="s">
        <v>39</v>
      </c>
      <c r="O13958">
        <v>251124</v>
      </c>
      <c r="P13958">
        <v>3.98</v>
      </c>
    </row>
    <row r="13959" spans="1:16" x14ac:dyDescent="0.25">
      <c r="A13959" t="s">
        <v>3296</v>
      </c>
      <c r="B13959" t="s">
        <v>2931</v>
      </c>
      <c r="C13959">
        <v>15618</v>
      </c>
      <c r="D13959" t="str">
        <f>"3005152943  "</f>
        <v xml:space="preserve">3005152943  </v>
      </c>
      <c r="E13959" t="s">
        <v>2597</v>
      </c>
      <c r="F13959" t="s">
        <v>2598</v>
      </c>
      <c r="G13959">
        <v>13.6</v>
      </c>
      <c r="H13959">
        <v>251113</v>
      </c>
      <c r="I13959">
        <v>4412</v>
      </c>
      <c r="J13959" t="s">
        <v>884</v>
      </c>
      <c r="K13959">
        <v>255</v>
      </c>
      <c r="L13959">
        <v>0</v>
      </c>
      <c r="M13959">
        <v>18972</v>
      </c>
      <c r="N13959" t="s">
        <v>39</v>
      </c>
      <c r="O13959">
        <v>251124</v>
      </c>
      <c r="P13959">
        <v>13.6</v>
      </c>
    </row>
    <row r="13960" spans="1:16" x14ac:dyDescent="0.25">
      <c r="A13960" t="s">
        <v>3296</v>
      </c>
      <c r="B13960" t="s">
        <v>2931</v>
      </c>
      <c r="C13960">
        <v>15618</v>
      </c>
      <c r="D13960" t="str">
        <f>"3005152943  "</f>
        <v xml:space="preserve">3005152943  </v>
      </c>
      <c r="E13960" t="s">
        <v>2597</v>
      </c>
      <c r="F13960" t="s">
        <v>2598</v>
      </c>
      <c r="G13960">
        <v>236.4</v>
      </c>
      <c r="H13960">
        <v>251113</v>
      </c>
      <c r="I13960">
        <v>4412</v>
      </c>
      <c r="J13960" t="s">
        <v>884</v>
      </c>
      <c r="K13960">
        <v>255</v>
      </c>
      <c r="L13960">
        <v>29.03</v>
      </c>
      <c r="M13960">
        <v>18972</v>
      </c>
      <c r="N13960" t="s">
        <v>39</v>
      </c>
      <c r="O13960">
        <v>251124</v>
      </c>
      <c r="P13960">
        <v>207.37</v>
      </c>
    </row>
    <row r="13961" spans="1:16" x14ac:dyDescent="0.25">
      <c r="A13961" t="s">
        <v>3296</v>
      </c>
      <c r="B13961" t="s">
        <v>2931</v>
      </c>
      <c r="C13961">
        <v>5606</v>
      </c>
      <c r="D13961" t="str">
        <f>"6830276     "</f>
        <v xml:space="preserve">6830276     </v>
      </c>
      <c r="E13961" t="s">
        <v>1768</v>
      </c>
      <c r="F13961" t="s">
        <v>1769</v>
      </c>
      <c r="G13961">
        <v>95.4</v>
      </c>
      <c r="H13961">
        <v>250423</v>
      </c>
      <c r="I13961">
        <v>4510</v>
      </c>
      <c r="J13961" t="s">
        <v>240</v>
      </c>
      <c r="K13961">
        <v>95.4</v>
      </c>
      <c r="L13961">
        <v>8.67</v>
      </c>
      <c r="M13961">
        <v>56524</v>
      </c>
      <c r="N13961" t="s">
        <v>69</v>
      </c>
      <c r="O13961">
        <v>250425</v>
      </c>
      <c r="P13961">
        <v>86.73</v>
      </c>
    </row>
    <row r="13962" spans="1:16" x14ac:dyDescent="0.25">
      <c r="A13962" t="s">
        <v>3296</v>
      </c>
      <c r="B13962" t="s">
        <v>2931</v>
      </c>
      <c r="C13962">
        <v>1020</v>
      </c>
      <c r="D13962" t="str">
        <f>"25001682    "</f>
        <v xml:space="preserve">25001682    </v>
      </c>
      <c r="E13962" t="s">
        <v>819</v>
      </c>
      <c r="F13962" t="s">
        <v>820</v>
      </c>
      <c r="G13962">
        <v>857.37</v>
      </c>
      <c r="H13962">
        <v>250121</v>
      </c>
      <c r="I13962">
        <v>4400</v>
      </c>
      <c r="J13962" t="s">
        <v>162</v>
      </c>
      <c r="K13962">
        <v>857.37</v>
      </c>
      <c r="L13962">
        <v>0</v>
      </c>
      <c r="M13962">
        <v>49501</v>
      </c>
      <c r="N13962" t="s">
        <v>110</v>
      </c>
      <c r="O13962">
        <v>250203</v>
      </c>
      <c r="P13962">
        <v>857.37</v>
      </c>
    </row>
    <row r="13963" spans="1:16" x14ac:dyDescent="0.25">
      <c r="A13963" t="s">
        <v>3296</v>
      </c>
      <c r="B13963" t="s">
        <v>2931</v>
      </c>
      <c r="C13963">
        <v>1022</v>
      </c>
      <c r="D13963" t="str">
        <f>"25001672    "</f>
        <v xml:space="preserve">25001672    </v>
      </c>
      <c r="E13963" t="s">
        <v>819</v>
      </c>
      <c r="F13963" t="s">
        <v>820</v>
      </c>
      <c r="G13963">
        <v>978.54</v>
      </c>
      <c r="H13963">
        <v>250121</v>
      </c>
      <c r="I13963">
        <v>4400</v>
      </c>
      <c r="J13963" t="s">
        <v>162</v>
      </c>
      <c r="K13963">
        <v>978.54</v>
      </c>
      <c r="L13963">
        <v>0</v>
      </c>
      <c r="M13963">
        <v>49501</v>
      </c>
      <c r="N13963" t="s">
        <v>110</v>
      </c>
      <c r="O13963">
        <v>250203</v>
      </c>
      <c r="P13963">
        <v>978.54</v>
      </c>
    </row>
    <row r="13964" spans="1:16" x14ac:dyDescent="0.25">
      <c r="A13964" t="s">
        <v>3296</v>
      </c>
      <c r="B13964" t="s">
        <v>2931</v>
      </c>
      <c r="C13964">
        <v>5582</v>
      </c>
      <c r="D13964" t="str">
        <f>"25010793    "</f>
        <v xml:space="preserve">25010793    </v>
      </c>
      <c r="E13964" t="s">
        <v>819</v>
      </c>
      <c r="F13964" t="s">
        <v>820</v>
      </c>
      <c r="G13964">
        <v>978.54</v>
      </c>
      <c r="H13964">
        <v>250422</v>
      </c>
      <c r="I13964">
        <v>4400</v>
      </c>
      <c r="J13964" t="s">
        <v>162</v>
      </c>
      <c r="K13964">
        <v>978.54</v>
      </c>
      <c r="L13964">
        <v>0</v>
      </c>
      <c r="M13964">
        <v>49501</v>
      </c>
      <c r="N13964" t="s">
        <v>110</v>
      </c>
      <c r="O13964">
        <v>250425</v>
      </c>
      <c r="P13964">
        <v>978.54</v>
      </c>
    </row>
    <row r="13965" spans="1:16" x14ac:dyDescent="0.25">
      <c r="A13965" t="s">
        <v>3296</v>
      </c>
      <c r="B13965" t="s">
        <v>2931</v>
      </c>
      <c r="C13965">
        <v>5586</v>
      </c>
      <c r="D13965" t="str">
        <f>"25010803    "</f>
        <v xml:space="preserve">25010803    </v>
      </c>
      <c r="E13965" t="s">
        <v>819</v>
      </c>
      <c r="F13965" t="s">
        <v>820</v>
      </c>
      <c r="G13965">
        <v>857.37</v>
      </c>
      <c r="H13965">
        <v>250422</v>
      </c>
      <c r="I13965">
        <v>4400</v>
      </c>
      <c r="J13965" t="s">
        <v>162</v>
      </c>
      <c r="K13965">
        <v>857.37</v>
      </c>
      <c r="L13965">
        <v>0</v>
      </c>
      <c r="M13965">
        <v>49501</v>
      </c>
      <c r="N13965" t="s">
        <v>110</v>
      </c>
      <c r="O13965">
        <v>250425</v>
      </c>
      <c r="P13965">
        <v>857.37</v>
      </c>
    </row>
    <row r="13966" spans="1:16" x14ac:dyDescent="0.25">
      <c r="A13966" t="s">
        <v>3296</v>
      </c>
      <c r="B13966" t="s">
        <v>2931</v>
      </c>
      <c r="C13966">
        <v>9124</v>
      </c>
      <c r="D13966" t="str">
        <f>"25015348    "</f>
        <v xml:space="preserve">25015348    </v>
      </c>
      <c r="E13966" t="s">
        <v>819</v>
      </c>
      <c r="F13966" t="s">
        <v>820</v>
      </c>
      <c r="G13966">
        <v>276.45999999999998</v>
      </c>
      <c r="H13966">
        <v>250617</v>
      </c>
      <c r="I13966">
        <v>4400</v>
      </c>
      <c r="J13966" t="s">
        <v>162</v>
      </c>
      <c r="K13966">
        <v>276.45999999999998</v>
      </c>
      <c r="L13966">
        <v>0</v>
      </c>
      <c r="M13966">
        <v>49501</v>
      </c>
      <c r="N13966" t="s">
        <v>110</v>
      </c>
      <c r="O13966">
        <v>250626</v>
      </c>
      <c r="P13966">
        <v>276.45999999999998</v>
      </c>
    </row>
    <row r="13967" spans="1:16" x14ac:dyDescent="0.25">
      <c r="A13967" t="s">
        <v>3296</v>
      </c>
      <c r="B13967" t="s">
        <v>2931</v>
      </c>
      <c r="C13967">
        <v>17223</v>
      </c>
      <c r="D13967" t="str">
        <f>"27952       "</f>
        <v xml:space="preserve">27952       </v>
      </c>
      <c r="E13967" t="s">
        <v>2746</v>
      </c>
      <c r="F13967" t="s">
        <v>2747</v>
      </c>
      <c r="G13967">
        <v>5547.1</v>
      </c>
      <c r="H13967">
        <v>251216</v>
      </c>
      <c r="I13967">
        <v>1198</v>
      </c>
      <c r="J13967" t="s">
        <v>610</v>
      </c>
      <c r="K13967">
        <v>5547.1</v>
      </c>
      <c r="L13967">
        <v>1127.0999999999999</v>
      </c>
      <c r="M13967">
        <v>97629</v>
      </c>
      <c r="N13967" t="s">
        <v>1110</v>
      </c>
      <c r="O13967">
        <v>251218</v>
      </c>
      <c r="P13967">
        <v>4420</v>
      </c>
    </row>
    <row r="13968" spans="1:16" x14ac:dyDescent="0.25">
      <c r="A13968" t="s">
        <v>3296</v>
      </c>
      <c r="B13968" t="s">
        <v>2931</v>
      </c>
      <c r="C13968">
        <v>326</v>
      </c>
      <c r="D13968" t="str">
        <f>"526567      "</f>
        <v xml:space="preserve">526567      </v>
      </c>
      <c r="E13968" t="s">
        <v>419</v>
      </c>
      <c r="F13968" t="s">
        <v>420</v>
      </c>
      <c r="G13968">
        <v>308.73</v>
      </c>
      <c r="H13968">
        <v>250115</v>
      </c>
      <c r="I13968">
        <v>4367</v>
      </c>
      <c r="J13968" t="s">
        <v>159</v>
      </c>
      <c r="K13968">
        <v>308.73</v>
      </c>
      <c r="L13968">
        <v>62.73</v>
      </c>
      <c r="M13968">
        <v>66756</v>
      </c>
      <c r="N13968" t="s">
        <v>120</v>
      </c>
      <c r="O13968">
        <v>250121</v>
      </c>
      <c r="P13968">
        <v>246</v>
      </c>
    </row>
    <row r="13969" spans="1:16" x14ac:dyDescent="0.25">
      <c r="A13969" t="s">
        <v>3296</v>
      </c>
      <c r="B13969" t="s">
        <v>2931</v>
      </c>
      <c r="C13969">
        <v>4847</v>
      </c>
      <c r="D13969" t="str">
        <f>"520945      "</f>
        <v xml:space="preserve">520945      </v>
      </c>
      <c r="E13969" t="s">
        <v>1665</v>
      </c>
      <c r="F13969" t="s">
        <v>1666</v>
      </c>
      <c r="G13969">
        <v>124</v>
      </c>
      <c r="H13969">
        <v>250411</v>
      </c>
      <c r="I13969">
        <v>4410</v>
      </c>
      <c r="J13969" t="s">
        <v>165</v>
      </c>
      <c r="K13969">
        <v>124</v>
      </c>
      <c r="L13969">
        <v>25.2</v>
      </c>
      <c r="M13969">
        <v>53222</v>
      </c>
      <c r="N13969" t="s">
        <v>41</v>
      </c>
      <c r="O13969">
        <v>250415</v>
      </c>
      <c r="P13969">
        <v>98.8</v>
      </c>
    </row>
    <row r="13970" spans="1:16" x14ac:dyDescent="0.25">
      <c r="A13970" t="s">
        <v>3296</v>
      </c>
      <c r="B13970" t="s">
        <v>2931</v>
      </c>
      <c r="C13970">
        <v>7788</v>
      </c>
      <c r="D13970" t="str">
        <f>"3018535     "</f>
        <v xml:space="preserve">3018535     </v>
      </c>
      <c r="E13970" t="s">
        <v>573</v>
      </c>
      <c r="F13970" t="s">
        <v>574</v>
      </c>
      <c r="G13970">
        <v>485.94</v>
      </c>
      <c r="H13970">
        <v>250513</v>
      </c>
      <c r="I13970">
        <v>4580</v>
      </c>
      <c r="J13970" t="s">
        <v>126</v>
      </c>
      <c r="K13970">
        <v>485.94</v>
      </c>
      <c r="L13970">
        <v>98.74</v>
      </c>
      <c r="M13970">
        <v>44423</v>
      </c>
      <c r="N13970" t="s">
        <v>98</v>
      </c>
      <c r="O13970">
        <v>250609</v>
      </c>
      <c r="P13970">
        <v>387.2</v>
      </c>
    </row>
    <row r="13971" spans="1:16" x14ac:dyDescent="0.25">
      <c r="A13971" t="s">
        <v>3296</v>
      </c>
      <c r="B13971" t="s">
        <v>2931</v>
      </c>
      <c r="C13971">
        <v>12856</v>
      </c>
      <c r="D13971" t="str">
        <f>"3019400     "</f>
        <v xml:space="preserve">3019400     </v>
      </c>
      <c r="E13971" t="s">
        <v>573</v>
      </c>
      <c r="F13971" t="s">
        <v>574</v>
      </c>
      <c r="G13971">
        <v>367.72</v>
      </c>
      <c r="H13971">
        <v>250924</v>
      </c>
      <c r="I13971">
        <v>4580</v>
      </c>
      <c r="J13971" t="s">
        <v>126</v>
      </c>
      <c r="K13971">
        <v>367.72</v>
      </c>
      <c r="L13971">
        <v>74.72</v>
      </c>
      <c r="M13971">
        <v>44422</v>
      </c>
      <c r="N13971" t="s">
        <v>97</v>
      </c>
      <c r="O13971">
        <v>250930</v>
      </c>
      <c r="P13971">
        <v>293</v>
      </c>
    </row>
    <row r="13972" spans="1:16" x14ac:dyDescent="0.25">
      <c r="A13972" t="s">
        <v>3296</v>
      </c>
      <c r="B13972" t="s">
        <v>2931</v>
      </c>
      <c r="C13972">
        <v>532</v>
      </c>
      <c r="D13972" t="str">
        <f>"3017372     "</f>
        <v xml:space="preserve">3017372     </v>
      </c>
      <c r="E13972" t="s">
        <v>573</v>
      </c>
      <c r="F13972" t="s">
        <v>574</v>
      </c>
      <c r="G13972">
        <v>722.88</v>
      </c>
      <c r="H13972">
        <v>250115</v>
      </c>
      <c r="I13972">
        <v>4600</v>
      </c>
      <c r="J13972" t="s">
        <v>278</v>
      </c>
      <c r="K13972">
        <v>722.88</v>
      </c>
      <c r="L13972">
        <v>146.88</v>
      </c>
      <c r="M13972">
        <v>44423</v>
      </c>
      <c r="N13972" t="s">
        <v>98</v>
      </c>
      <c r="O13972">
        <v>250123</v>
      </c>
      <c r="P13972">
        <v>576</v>
      </c>
    </row>
    <row r="13973" spans="1:16" x14ac:dyDescent="0.25">
      <c r="A13973" t="s">
        <v>3296</v>
      </c>
      <c r="B13973" t="s">
        <v>2931</v>
      </c>
      <c r="C13973">
        <v>15586</v>
      </c>
      <c r="D13973" t="str">
        <f>"3019783     "</f>
        <v xml:space="preserve">3019783     </v>
      </c>
      <c r="E13973" t="s">
        <v>573</v>
      </c>
      <c r="F13973" t="s">
        <v>574</v>
      </c>
      <c r="G13973">
        <v>257.27999999999997</v>
      </c>
      <c r="H13973">
        <v>251117</v>
      </c>
      <c r="I13973">
        <v>4600</v>
      </c>
      <c r="J13973" t="s">
        <v>278</v>
      </c>
      <c r="K13973">
        <v>257.27999999999997</v>
      </c>
      <c r="L13973">
        <v>52.28</v>
      </c>
      <c r="M13973">
        <v>44423</v>
      </c>
      <c r="N13973" t="s">
        <v>98</v>
      </c>
      <c r="O13973">
        <v>251121</v>
      </c>
      <c r="P13973">
        <v>205</v>
      </c>
    </row>
    <row r="13974" spans="1:16" x14ac:dyDescent="0.25">
      <c r="A13974" t="s">
        <v>3296</v>
      </c>
      <c r="B13974" t="s">
        <v>2931</v>
      </c>
      <c r="C13974">
        <v>5332</v>
      </c>
      <c r="D13974" t="str">
        <f>"24727289    "</f>
        <v xml:space="preserve">24727289    </v>
      </c>
      <c r="E13974" t="s">
        <v>1720</v>
      </c>
      <c r="F13974" t="s">
        <v>1721</v>
      </c>
      <c r="G13974">
        <v>314.75</v>
      </c>
      <c r="H13974">
        <v>250413</v>
      </c>
      <c r="I13974">
        <v>4369</v>
      </c>
      <c r="J13974" t="s">
        <v>188</v>
      </c>
      <c r="K13974">
        <v>314.75</v>
      </c>
      <c r="L13974">
        <v>63.95</v>
      </c>
      <c r="M13974">
        <v>13901</v>
      </c>
      <c r="N13974" t="s">
        <v>116</v>
      </c>
      <c r="O13974">
        <v>250423</v>
      </c>
      <c r="P13974">
        <v>250.8</v>
      </c>
    </row>
    <row r="13975" spans="1:16" x14ac:dyDescent="0.25">
      <c r="A13975" t="s">
        <v>3296</v>
      </c>
      <c r="B13975" t="s">
        <v>2931</v>
      </c>
      <c r="C13975">
        <v>9925</v>
      </c>
      <c r="D13975" t="str">
        <f>"24729237    "</f>
        <v xml:space="preserve">24729237    </v>
      </c>
      <c r="E13975" t="s">
        <v>1720</v>
      </c>
      <c r="F13975" t="s">
        <v>1721</v>
      </c>
      <c r="G13975">
        <v>20.079999999999998</v>
      </c>
      <c r="H13975">
        <v>250720</v>
      </c>
      <c r="I13975">
        <v>4369</v>
      </c>
      <c r="J13975" t="s">
        <v>188</v>
      </c>
      <c r="K13975">
        <v>20.079999999999998</v>
      </c>
      <c r="L13975">
        <v>4.08</v>
      </c>
      <c r="M13975">
        <v>13901</v>
      </c>
      <c r="N13975" t="s">
        <v>116</v>
      </c>
      <c r="O13975">
        <v>250805</v>
      </c>
      <c r="P13975">
        <v>16</v>
      </c>
    </row>
    <row r="13976" spans="1:16" x14ac:dyDescent="0.25">
      <c r="A13976" t="s">
        <v>3296</v>
      </c>
      <c r="B13976" t="s">
        <v>2931</v>
      </c>
      <c r="C13976">
        <v>371</v>
      </c>
      <c r="D13976" t="str">
        <f>"91218963    "</f>
        <v xml:space="preserve">91218963    </v>
      </c>
      <c r="E13976" t="s">
        <v>463</v>
      </c>
      <c r="F13976" t="s">
        <v>464</v>
      </c>
      <c r="G13976">
        <v>36.54</v>
      </c>
      <c r="H13976">
        <v>250116</v>
      </c>
      <c r="I13976">
        <v>4400</v>
      </c>
      <c r="J13976" t="s">
        <v>162</v>
      </c>
      <c r="K13976">
        <v>332.2</v>
      </c>
      <c r="L13976">
        <v>7.42</v>
      </c>
      <c r="M13976">
        <v>13552</v>
      </c>
      <c r="N13976" t="s">
        <v>133</v>
      </c>
      <c r="O13976">
        <v>250122</v>
      </c>
      <c r="P13976">
        <v>29.12</v>
      </c>
    </row>
    <row r="13977" spans="1:16" x14ac:dyDescent="0.25">
      <c r="A13977" t="s">
        <v>3296</v>
      </c>
      <c r="B13977" t="s">
        <v>2931</v>
      </c>
      <c r="C13977">
        <v>371</v>
      </c>
      <c r="D13977" t="str">
        <f>"91218963    "</f>
        <v xml:space="preserve">91218963    </v>
      </c>
      <c r="E13977" t="s">
        <v>463</v>
      </c>
      <c r="F13977" t="s">
        <v>464</v>
      </c>
      <c r="G13977">
        <v>295.66000000000003</v>
      </c>
      <c r="H13977">
        <v>250116</v>
      </c>
      <c r="I13977">
        <v>4400</v>
      </c>
      <c r="J13977" t="s">
        <v>162</v>
      </c>
      <c r="K13977">
        <v>332.2</v>
      </c>
      <c r="L13977">
        <v>60.07</v>
      </c>
      <c r="M13977">
        <v>17918</v>
      </c>
      <c r="N13977" t="s">
        <v>152</v>
      </c>
      <c r="O13977">
        <v>250122</v>
      </c>
      <c r="P13977">
        <v>235.59</v>
      </c>
    </row>
    <row r="13978" spans="1:16" x14ac:dyDescent="0.25">
      <c r="A13978" t="s">
        <v>3296</v>
      </c>
      <c r="B13978" t="s">
        <v>2931</v>
      </c>
      <c r="C13978">
        <v>2219</v>
      </c>
      <c r="D13978" t="str">
        <f>"91223619    "</f>
        <v xml:space="preserve">91223619    </v>
      </c>
      <c r="E13978" t="s">
        <v>463</v>
      </c>
      <c r="F13978" t="s">
        <v>464</v>
      </c>
      <c r="G13978">
        <v>188.25</v>
      </c>
      <c r="H13978">
        <v>250218</v>
      </c>
      <c r="I13978">
        <v>4400</v>
      </c>
      <c r="J13978" t="s">
        <v>162</v>
      </c>
      <c r="K13978">
        <v>188.25</v>
      </c>
      <c r="L13978">
        <v>38.25</v>
      </c>
      <c r="M13978">
        <v>44222</v>
      </c>
      <c r="N13978" t="s">
        <v>96</v>
      </c>
      <c r="O13978">
        <v>250221</v>
      </c>
      <c r="P13978">
        <v>150</v>
      </c>
    </row>
    <row r="13979" spans="1:16" x14ac:dyDescent="0.25">
      <c r="A13979" t="s">
        <v>3296</v>
      </c>
      <c r="B13979" t="s">
        <v>2931</v>
      </c>
      <c r="C13979">
        <v>1968</v>
      </c>
      <c r="D13979" t="str">
        <f>"91222479    "</f>
        <v xml:space="preserve">91222479    </v>
      </c>
      <c r="E13979" t="s">
        <v>463</v>
      </c>
      <c r="F13979" t="s">
        <v>464</v>
      </c>
      <c r="G13979">
        <v>1176.55</v>
      </c>
      <c r="H13979">
        <v>250205</v>
      </c>
      <c r="I13979">
        <v>4580</v>
      </c>
      <c r="J13979" t="s">
        <v>126</v>
      </c>
      <c r="K13979">
        <v>4706.22</v>
      </c>
      <c r="L13979">
        <v>239.06</v>
      </c>
      <c r="M13979">
        <v>44222</v>
      </c>
      <c r="N13979" t="s">
        <v>96</v>
      </c>
      <c r="O13979">
        <v>250218</v>
      </c>
      <c r="P13979">
        <v>937.49</v>
      </c>
    </row>
    <row r="13980" spans="1:16" x14ac:dyDescent="0.25">
      <c r="A13980" t="s">
        <v>3296</v>
      </c>
      <c r="B13980" t="s">
        <v>2931</v>
      </c>
      <c r="C13980">
        <v>1244</v>
      </c>
      <c r="D13980" t="str">
        <f>"291783      "</f>
        <v xml:space="preserve">291783      </v>
      </c>
      <c r="E13980" t="s">
        <v>914</v>
      </c>
      <c r="F13980" t="s">
        <v>915</v>
      </c>
      <c r="G13980">
        <v>375.58</v>
      </c>
      <c r="H13980">
        <v>250130</v>
      </c>
      <c r="I13980">
        <v>4600</v>
      </c>
      <c r="J13980" t="s">
        <v>278</v>
      </c>
      <c r="K13980">
        <v>375.58</v>
      </c>
      <c r="L13980">
        <v>76.31</v>
      </c>
      <c r="M13980">
        <v>17526</v>
      </c>
      <c r="N13980" t="s">
        <v>141</v>
      </c>
      <c r="O13980">
        <v>250206</v>
      </c>
      <c r="P13980">
        <v>299.27</v>
      </c>
    </row>
    <row r="13981" spans="1:16" x14ac:dyDescent="0.25">
      <c r="A13981" t="s">
        <v>3296</v>
      </c>
      <c r="B13981" t="s">
        <v>2931</v>
      </c>
      <c r="C13981">
        <v>16409</v>
      </c>
      <c r="D13981" t="str">
        <f>"301132      "</f>
        <v xml:space="preserve">301132      </v>
      </c>
      <c r="E13981" t="s">
        <v>914</v>
      </c>
      <c r="F13981" t="s">
        <v>915</v>
      </c>
      <c r="G13981">
        <v>448.24</v>
      </c>
      <c r="H13981">
        <v>251204</v>
      </c>
      <c r="I13981">
        <v>4600</v>
      </c>
      <c r="J13981" t="s">
        <v>278</v>
      </c>
      <c r="K13981">
        <v>448.24</v>
      </c>
      <c r="L13981">
        <v>91.08</v>
      </c>
      <c r="M13981">
        <v>17637</v>
      </c>
      <c r="N13981" t="s">
        <v>2680</v>
      </c>
      <c r="O13981">
        <v>251208</v>
      </c>
      <c r="P13981">
        <v>357.16</v>
      </c>
    </row>
    <row r="13982" spans="1:16" x14ac:dyDescent="0.25">
      <c r="A13982" t="s">
        <v>3296</v>
      </c>
      <c r="B13982" t="s">
        <v>2931</v>
      </c>
      <c r="C13982">
        <v>16606</v>
      </c>
      <c r="D13982" t="str">
        <f>"259488      "</f>
        <v xml:space="preserve">259488      </v>
      </c>
      <c r="E13982" t="s">
        <v>2692</v>
      </c>
      <c r="F13982" t="s">
        <v>2693</v>
      </c>
      <c r="G13982">
        <v>502</v>
      </c>
      <c r="H13982">
        <v>251204</v>
      </c>
      <c r="I13982">
        <v>4400</v>
      </c>
      <c r="J13982" t="s">
        <v>162</v>
      </c>
      <c r="K13982">
        <v>502</v>
      </c>
      <c r="L13982">
        <v>102</v>
      </c>
      <c r="M13982">
        <v>17951</v>
      </c>
      <c r="N13982" t="s">
        <v>207</v>
      </c>
      <c r="O13982">
        <v>251210</v>
      </c>
      <c r="P13982">
        <v>400</v>
      </c>
    </row>
    <row r="13983" spans="1:16" x14ac:dyDescent="0.25">
      <c r="A13983" t="s">
        <v>3296</v>
      </c>
      <c r="B13983" t="s">
        <v>2931</v>
      </c>
      <c r="C13983">
        <v>8291</v>
      </c>
      <c r="D13983" t="str">
        <f>"19636       "</f>
        <v xml:space="preserve">19636       </v>
      </c>
      <c r="E13983" t="s">
        <v>261</v>
      </c>
      <c r="F13983" t="s">
        <v>262</v>
      </c>
      <c r="G13983">
        <v>4013.49</v>
      </c>
      <c r="H13983">
        <v>250602</v>
      </c>
      <c r="I13983">
        <v>4346</v>
      </c>
      <c r="J13983" t="s">
        <v>334</v>
      </c>
      <c r="K13983">
        <v>4013.49</v>
      </c>
      <c r="L13983">
        <v>815.49</v>
      </c>
      <c r="M13983">
        <v>11901</v>
      </c>
      <c r="N13983" t="s">
        <v>31</v>
      </c>
      <c r="O13983">
        <v>250612</v>
      </c>
      <c r="P13983">
        <v>3198</v>
      </c>
    </row>
    <row r="13984" spans="1:16" x14ac:dyDescent="0.25">
      <c r="A13984" t="s">
        <v>3296</v>
      </c>
      <c r="B13984" t="s">
        <v>2931</v>
      </c>
      <c r="C13984">
        <v>145</v>
      </c>
      <c r="D13984" t="str">
        <f>"19150       "</f>
        <v xml:space="preserve">19150       </v>
      </c>
      <c r="E13984" t="s">
        <v>261</v>
      </c>
      <c r="F13984" t="s">
        <v>262</v>
      </c>
      <c r="G13984">
        <v>1633.75</v>
      </c>
      <c r="H13984">
        <v>250102</v>
      </c>
      <c r="I13984">
        <v>4366</v>
      </c>
      <c r="J13984" t="s">
        <v>65</v>
      </c>
      <c r="K13984">
        <v>1633.75</v>
      </c>
      <c r="L13984">
        <v>331.96</v>
      </c>
      <c r="M13984">
        <v>11801</v>
      </c>
      <c r="N13984" t="s">
        <v>40</v>
      </c>
      <c r="O13984">
        <v>250113</v>
      </c>
      <c r="P13984">
        <v>1301.79</v>
      </c>
    </row>
    <row r="13985" spans="1:16" x14ac:dyDescent="0.25">
      <c r="A13985" t="s">
        <v>3296</v>
      </c>
      <c r="B13985" t="s">
        <v>2931</v>
      </c>
      <c r="C13985">
        <v>3552</v>
      </c>
      <c r="D13985" t="str">
        <f>"19400       "</f>
        <v xml:space="preserve">19400       </v>
      </c>
      <c r="E13985" t="s">
        <v>261</v>
      </c>
      <c r="F13985" t="s">
        <v>262</v>
      </c>
      <c r="G13985">
        <v>1633.76</v>
      </c>
      <c r="H13985">
        <v>250401</v>
      </c>
      <c r="I13985">
        <v>4366</v>
      </c>
      <c r="J13985" t="s">
        <v>65</v>
      </c>
      <c r="K13985">
        <v>1893.16</v>
      </c>
      <c r="L13985">
        <v>331.96</v>
      </c>
      <c r="M13985">
        <v>11801</v>
      </c>
      <c r="N13985" t="s">
        <v>40</v>
      </c>
      <c r="O13985">
        <v>250325</v>
      </c>
      <c r="P13985">
        <v>1301.8</v>
      </c>
    </row>
    <row r="13986" spans="1:16" x14ac:dyDescent="0.25">
      <c r="A13986" t="s">
        <v>3296</v>
      </c>
      <c r="B13986" t="s">
        <v>2931</v>
      </c>
      <c r="C13986">
        <v>8218</v>
      </c>
      <c r="D13986" t="str">
        <f>"19746       "</f>
        <v xml:space="preserve">19746       </v>
      </c>
      <c r="E13986" t="s">
        <v>261</v>
      </c>
      <c r="F13986" t="s">
        <v>262</v>
      </c>
      <c r="G13986">
        <v>146.84</v>
      </c>
      <c r="H13986">
        <v>250602</v>
      </c>
      <c r="I13986">
        <v>4366</v>
      </c>
      <c r="J13986" t="s">
        <v>65</v>
      </c>
      <c r="K13986">
        <v>4048.97</v>
      </c>
      <c r="L13986">
        <v>29.84</v>
      </c>
      <c r="M13986">
        <v>11301</v>
      </c>
      <c r="N13986" t="s">
        <v>92</v>
      </c>
      <c r="O13986">
        <v>250612</v>
      </c>
      <c r="P13986">
        <v>117</v>
      </c>
    </row>
    <row r="13987" spans="1:16" x14ac:dyDescent="0.25">
      <c r="A13987" t="s">
        <v>3296</v>
      </c>
      <c r="B13987" t="s">
        <v>2931</v>
      </c>
      <c r="C13987">
        <v>8218</v>
      </c>
      <c r="D13987" t="str">
        <f>"19746       "</f>
        <v xml:space="preserve">19746       </v>
      </c>
      <c r="E13987" t="s">
        <v>261</v>
      </c>
      <c r="F13987" t="s">
        <v>262</v>
      </c>
      <c r="G13987">
        <v>1661.92</v>
      </c>
      <c r="H13987">
        <v>250602</v>
      </c>
      <c r="I13987">
        <v>4366</v>
      </c>
      <c r="J13987" t="s">
        <v>65</v>
      </c>
      <c r="K13987">
        <v>4048.97</v>
      </c>
      <c r="L13987">
        <v>337.68</v>
      </c>
      <c r="M13987">
        <v>11801</v>
      </c>
      <c r="N13987" t="s">
        <v>40</v>
      </c>
      <c r="O13987">
        <v>250612</v>
      </c>
      <c r="P13987">
        <v>1324.24</v>
      </c>
    </row>
    <row r="13988" spans="1:16" x14ac:dyDescent="0.25">
      <c r="A13988" t="s">
        <v>3296</v>
      </c>
      <c r="B13988" t="s">
        <v>2931</v>
      </c>
      <c r="C13988">
        <v>11018</v>
      </c>
      <c r="D13988" t="str">
        <f>"20003       "</f>
        <v xml:space="preserve">20003       </v>
      </c>
      <c r="E13988" t="s">
        <v>261</v>
      </c>
      <c r="F13988" t="s">
        <v>262</v>
      </c>
      <c r="G13988">
        <v>146.84</v>
      </c>
      <c r="H13988">
        <v>250901</v>
      </c>
      <c r="I13988">
        <v>4366</v>
      </c>
      <c r="J13988" t="s">
        <v>65</v>
      </c>
      <c r="K13988">
        <v>2550.35</v>
      </c>
      <c r="L13988">
        <v>29.84</v>
      </c>
      <c r="M13988">
        <v>11301</v>
      </c>
      <c r="N13988" t="s">
        <v>92</v>
      </c>
      <c r="O13988">
        <v>250829</v>
      </c>
      <c r="P13988">
        <v>117</v>
      </c>
    </row>
    <row r="13989" spans="1:16" x14ac:dyDescent="0.25">
      <c r="A13989" t="s">
        <v>3296</v>
      </c>
      <c r="B13989" t="s">
        <v>2931</v>
      </c>
      <c r="C13989">
        <v>11018</v>
      </c>
      <c r="D13989" t="str">
        <f>"20003       "</f>
        <v xml:space="preserve">20003       </v>
      </c>
      <c r="E13989" t="s">
        <v>261</v>
      </c>
      <c r="F13989" t="s">
        <v>262</v>
      </c>
      <c r="G13989">
        <v>1654.27</v>
      </c>
      <c r="H13989">
        <v>250901</v>
      </c>
      <c r="I13989">
        <v>4366</v>
      </c>
      <c r="J13989" t="s">
        <v>65</v>
      </c>
      <c r="K13989">
        <v>2550.35</v>
      </c>
      <c r="L13989">
        <v>336.13</v>
      </c>
      <c r="M13989">
        <v>11801</v>
      </c>
      <c r="N13989" t="s">
        <v>40</v>
      </c>
      <c r="O13989">
        <v>250829</v>
      </c>
      <c r="P13989">
        <v>1318.14</v>
      </c>
    </row>
    <row r="13990" spans="1:16" x14ac:dyDescent="0.25">
      <c r="A13990" t="s">
        <v>3296</v>
      </c>
      <c r="B13990" t="s">
        <v>2931</v>
      </c>
      <c r="C13990">
        <v>3552</v>
      </c>
      <c r="D13990" t="str">
        <f>"19400       "</f>
        <v xml:space="preserve">19400       </v>
      </c>
      <c r="E13990" t="s">
        <v>261</v>
      </c>
      <c r="F13990" t="s">
        <v>262</v>
      </c>
      <c r="G13990">
        <v>259.39999999999998</v>
      </c>
      <c r="H13990">
        <v>250401</v>
      </c>
      <c r="I13990">
        <v>4367</v>
      </c>
      <c r="J13990" t="s">
        <v>159</v>
      </c>
      <c r="K13990">
        <v>1893.16</v>
      </c>
      <c r="L13990">
        <v>52.71</v>
      </c>
      <c r="M13990">
        <v>11301</v>
      </c>
      <c r="N13990" t="s">
        <v>92</v>
      </c>
      <c r="O13990">
        <v>250325</v>
      </c>
      <c r="P13990">
        <v>206.69</v>
      </c>
    </row>
    <row r="13991" spans="1:16" x14ac:dyDescent="0.25">
      <c r="A13991" t="s">
        <v>3296</v>
      </c>
      <c r="B13991" t="s">
        <v>2931</v>
      </c>
      <c r="C13991">
        <v>4772</v>
      </c>
      <c r="D13991" t="str">
        <f>"19557       "</f>
        <v xml:space="preserve">19557       </v>
      </c>
      <c r="E13991" t="s">
        <v>261</v>
      </c>
      <c r="F13991" t="s">
        <v>262</v>
      </c>
      <c r="G13991">
        <v>3473.23</v>
      </c>
      <c r="H13991">
        <v>250331</v>
      </c>
      <c r="I13991">
        <v>4368</v>
      </c>
      <c r="J13991" t="s">
        <v>1082</v>
      </c>
      <c r="K13991">
        <v>3473.23</v>
      </c>
      <c r="L13991">
        <v>705.72</v>
      </c>
      <c r="M13991">
        <v>11301</v>
      </c>
      <c r="N13991" t="s">
        <v>92</v>
      </c>
      <c r="O13991">
        <v>250415</v>
      </c>
      <c r="P13991">
        <v>2767.51</v>
      </c>
    </row>
    <row r="13992" spans="1:16" x14ac:dyDescent="0.25">
      <c r="A13992" t="s">
        <v>3296</v>
      </c>
      <c r="B13992" t="s">
        <v>2931</v>
      </c>
      <c r="C13992">
        <v>5186</v>
      </c>
      <c r="D13992" t="str">
        <f>"19479       "</f>
        <v xml:space="preserve">19479       </v>
      </c>
      <c r="E13992" t="s">
        <v>261</v>
      </c>
      <c r="F13992" t="s">
        <v>262</v>
      </c>
      <c r="G13992">
        <v>1698.03</v>
      </c>
      <c r="H13992">
        <v>250409</v>
      </c>
      <c r="I13992">
        <v>4368</v>
      </c>
      <c r="J13992" t="s">
        <v>1082</v>
      </c>
      <c r="K13992">
        <v>1698.03</v>
      </c>
      <c r="L13992">
        <v>345.02</v>
      </c>
      <c r="M13992">
        <v>11301</v>
      </c>
      <c r="N13992" t="s">
        <v>92</v>
      </c>
      <c r="O13992">
        <v>250417</v>
      </c>
      <c r="P13992">
        <v>1353.01</v>
      </c>
    </row>
    <row r="13993" spans="1:16" x14ac:dyDescent="0.25">
      <c r="A13993" t="s">
        <v>3296</v>
      </c>
      <c r="B13993" t="s">
        <v>2931</v>
      </c>
      <c r="C13993">
        <v>8218</v>
      </c>
      <c r="D13993" t="str">
        <f>"19746       "</f>
        <v xml:space="preserve">19746       </v>
      </c>
      <c r="E13993" t="s">
        <v>261</v>
      </c>
      <c r="F13993" t="s">
        <v>262</v>
      </c>
      <c r="G13993">
        <v>2240.21</v>
      </c>
      <c r="H13993">
        <v>250602</v>
      </c>
      <c r="I13993">
        <v>4368</v>
      </c>
      <c r="J13993" t="s">
        <v>1082</v>
      </c>
      <c r="K13993">
        <v>4048.97</v>
      </c>
      <c r="L13993">
        <v>455.18</v>
      </c>
      <c r="M13993">
        <v>11301</v>
      </c>
      <c r="N13993" t="s">
        <v>92</v>
      </c>
      <c r="O13993">
        <v>250612</v>
      </c>
      <c r="P13993">
        <v>1785.03</v>
      </c>
    </row>
    <row r="13994" spans="1:16" x14ac:dyDescent="0.25">
      <c r="A13994" t="s">
        <v>3296</v>
      </c>
      <c r="B13994" t="s">
        <v>2931</v>
      </c>
      <c r="C13994">
        <v>9412</v>
      </c>
      <c r="D13994" t="str">
        <f>"19860       "</f>
        <v xml:space="preserve">19860       </v>
      </c>
      <c r="E13994" t="s">
        <v>261</v>
      </c>
      <c r="F13994" t="s">
        <v>262</v>
      </c>
      <c r="G13994">
        <v>1389.28</v>
      </c>
      <c r="H13994">
        <v>250630</v>
      </c>
      <c r="I13994">
        <v>4368</v>
      </c>
      <c r="J13994" t="s">
        <v>1082</v>
      </c>
      <c r="K13994">
        <v>1389.28</v>
      </c>
      <c r="L13994">
        <v>282.27999999999997</v>
      </c>
      <c r="M13994">
        <v>11301</v>
      </c>
      <c r="N13994" t="s">
        <v>92</v>
      </c>
      <c r="O13994">
        <v>250707</v>
      </c>
      <c r="P13994">
        <v>1107</v>
      </c>
    </row>
    <row r="13995" spans="1:16" x14ac:dyDescent="0.25">
      <c r="A13995" t="s">
        <v>3296</v>
      </c>
      <c r="B13995" t="s">
        <v>2931</v>
      </c>
      <c r="C13995">
        <v>11018</v>
      </c>
      <c r="D13995" t="str">
        <f>"20003       "</f>
        <v xml:space="preserve">20003       </v>
      </c>
      <c r="E13995" t="s">
        <v>261</v>
      </c>
      <c r="F13995" t="s">
        <v>262</v>
      </c>
      <c r="G13995">
        <v>749.24</v>
      </c>
      <c r="H13995">
        <v>250901</v>
      </c>
      <c r="I13995">
        <v>4368</v>
      </c>
      <c r="J13995" t="s">
        <v>1082</v>
      </c>
      <c r="K13995">
        <v>2550.35</v>
      </c>
      <c r="L13995">
        <v>152.24</v>
      </c>
      <c r="M13995">
        <v>11301</v>
      </c>
      <c r="N13995" t="s">
        <v>92</v>
      </c>
      <c r="O13995">
        <v>250829</v>
      </c>
      <c r="P13995">
        <v>597</v>
      </c>
    </row>
    <row r="13996" spans="1:16" x14ac:dyDescent="0.25">
      <c r="A13996" t="s">
        <v>3296</v>
      </c>
      <c r="B13996" t="s">
        <v>2931</v>
      </c>
      <c r="C13996">
        <v>13248</v>
      </c>
      <c r="D13996" t="str">
        <f>"20108       "</f>
        <v xml:space="preserve">20108       </v>
      </c>
      <c r="E13996" t="s">
        <v>261</v>
      </c>
      <c r="F13996" t="s">
        <v>262</v>
      </c>
      <c r="G13996">
        <v>192.95</v>
      </c>
      <c r="H13996">
        <v>250930</v>
      </c>
      <c r="I13996">
        <v>4368</v>
      </c>
      <c r="J13996" t="s">
        <v>1082</v>
      </c>
      <c r="K13996">
        <v>192.95</v>
      </c>
      <c r="L13996">
        <v>39.200000000000003</v>
      </c>
      <c r="M13996">
        <v>11301</v>
      </c>
      <c r="N13996" t="s">
        <v>92</v>
      </c>
      <c r="O13996">
        <v>251007</v>
      </c>
      <c r="P13996">
        <v>153.75</v>
      </c>
    </row>
    <row r="13997" spans="1:16" x14ac:dyDescent="0.25">
      <c r="A13997" t="s">
        <v>3296</v>
      </c>
      <c r="B13997" t="s">
        <v>2931</v>
      </c>
      <c r="C13997">
        <v>17974</v>
      </c>
      <c r="D13997" t="str">
        <f>"20286       "</f>
        <v xml:space="preserve">20286       </v>
      </c>
      <c r="E13997" t="s">
        <v>261</v>
      </c>
      <c r="F13997" t="s">
        <v>262</v>
      </c>
      <c r="G13997">
        <v>926.2</v>
      </c>
      <c r="H13997">
        <v>251230</v>
      </c>
      <c r="I13997">
        <v>4368</v>
      </c>
      <c r="J13997" t="s">
        <v>1082</v>
      </c>
      <c r="K13997">
        <v>926.2</v>
      </c>
      <c r="L13997">
        <v>188.19</v>
      </c>
      <c r="M13997">
        <v>11301</v>
      </c>
      <c r="N13997" t="s">
        <v>92</v>
      </c>
      <c r="O13997">
        <v>260107</v>
      </c>
      <c r="P13997">
        <v>738.01</v>
      </c>
    </row>
    <row r="13998" spans="1:16" x14ac:dyDescent="0.25">
      <c r="A13998" t="s">
        <v>3296</v>
      </c>
      <c r="B13998" t="s">
        <v>2931</v>
      </c>
      <c r="C13998">
        <v>3788</v>
      </c>
      <c r="D13998" t="str">
        <f>"19477       "</f>
        <v xml:space="preserve">19477       </v>
      </c>
      <c r="E13998" t="s">
        <v>261</v>
      </c>
      <c r="F13998" t="s">
        <v>262</v>
      </c>
      <c r="G13998">
        <v>1389.29</v>
      </c>
      <c r="H13998">
        <v>250318</v>
      </c>
      <c r="I13998">
        <v>4369</v>
      </c>
      <c r="J13998" t="s">
        <v>188</v>
      </c>
      <c r="K13998">
        <v>1389.29</v>
      </c>
      <c r="L13998">
        <v>282.29000000000002</v>
      </c>
      <c r="M13998">
        <v>11301</v>
      </c>
      <c r="N13998" t="s">
        <v>92</v>
      </c>
      <c r="O13998">
        <v>250401</v>
      </c>
      <c r="P13998">
        <v>1107</v>
      </c>
    </row>
    <row r="13999" spans="1:16" x14ac:dyDescent="0.25">
      <c r="A13999" t="s">
        <v>3296</v>
      </c>
      <c r="B13999" t="s">
        <v>2931</v>
      </c>
      <c r="C13999">
        <v>10565</v>
      </c>
      <c r="D13999" t="str">
        <f>"8001781     "</f>
        <v xml:space="preserve">8001781     </v>
      </c>
      <c r="E13999" t="s">
        <v>2207</v>
      </c>
      <c r="F13999" t="s">
        <v>2208</v>
      </c>
      <c r="G13999">
        <v>1794.65</v>
      </c>
      <c r="H13999">
        <v>250811</v>
      </c>
      <c r="I13999">
        <v>4600</v>
      </c>
      <c r="J13999" t="s">
        <v>278</v>
      </c>
      <c r="K13999">
        <v>1794.65</v>
      </c>
      <c r="L13999">
        <v>364.65</v>
      </c>
      <c r="M13999">
        <v>17523</v>
      </c>
      <c r="N13999" t="s">
        <v>138</v>
      </c>
      <c r="O13999">
        <v>250820</v>
      </c>
      <c r="P13999">
        <v>1430</v>
      </c>
    </row>
    <row r="14000" spans="1:16" x14ac:dyDescent="0.25">
      <c r="A14000" t="s">
        <v>3296</v>
      </c>
      <c r="B14000" t="s">
        <v>2931</v>
      </c>
      <c r="C14000">
        <v>3565</v>
      </c>
      <c r="D14000" t="str">
        <f>"20122528    "</f>
        <v xml:space="preserve">20122528    </v>
      </c>
      <c r="E14000" t="s">
        <v>1462</v>
      </c>
      <c r="F14000" t="s">
        <v>1463</v>
      </c>
      <c r="G14000">
        <v>181.5</v>
      </c>
      <c r="H14000">
        <v>250313</v>
      </c>
      <c r="I14000">
        <v>4510</v>
      </c>
      <c r="J14000" t="s">
        <v>240</v>
      </c>
      <c r="K14000">
        <v>181.5</v>
      </c>
      <c r="L14000">
        <v>16.5</v>
      </c>
      <c r="M14000">
        <v>17533</v>
      </c>
      <c r="N14000" t="s">
        <v>147</v>
      </c>
      <c r="O14000">
        <v>250325</v>
      </c>
      <c r="P14000">
        <v>165</v>
      </c>
    </row>
    <row r="14001" spans="1:16" x14ac:dyDescent="0.25">
      <c r="A14001" t="s">
        <v>3296</v>
      </c>
      <c r="B14001" t="s">
        <v>2931</v>
      </c>
      <c r="C14001">
        <v>2086</v>
      </c>
      <c r="D14001" t="str">
        <f>"36688       "</f>
        <v xml:space="preserve">36688       </v>
      </c>
      <c r="E14001" t="s">
        <v>1197</v>
      </c>
      <c r="F14001" t="s">
        <v>1198</v>
      </c>
      <c r="G14001">
        <v>795.14</v>
      </c>
      <c r="H14001">
        <v>250211</v>
      </c>
      <c r="I14001">
        <v>4600</v>
      </c>
      <c r="J14001" t="s">
        <v>278</v>
      </c>
      <c r="K14001">
        <v>795.14</v>
      </c>
      <c r="L14001">
        <v>161.56</v>
      </c>
      <c r="M14001">
        <v>17634</v>
      </c>
      <c r="N14001" t="s">
        <v>634</v>
      </c>
      <c r="O14001">
        <v>250220</v>
      </c>
      <c r="P14001">
        <v>633.58000000000004</v>
      </c>
    </row>
    <row r="14002" spans="1:16" x14ac:dyDescent="0.25">
      <c r="A14002" t="s">
        <v>3296</v>
      </c>
      <c r="B14002" t="s">
        <v>2931</v>
      </c>
      <c r="C14002">
        <v>3558</v>
      </c>
      <c r="D14002" t="str">
        <f>"36935       "</f>
        <v xml:space="preserve">36935       </v>
      </c>
      <c r="E14002" t="s">
        <v>1197</v>
      </c>
      <c r="F14002" t="s">
        <v>1198</v>
      </c>
      <c r="G14002">
        <v>2105.64</v>
      </c>
      <c r="H14002">
        <v>250313</v>
      </c>
      <c r="I14002">
        <v>4600</v>
      </c>
      <c r="J14002" t="s">
        <v>278</v>
      </c>
      <c r="K14002">
        <v>2105.64</v>
      </c>
      <c r="L14002">
        <v>427.84</v>
      </c>
      <c r="M14002">
        <v>17523</v>
      </c>
      <c r="N14002" t="s">
        <v>138</v>
      </c>
      <c r="O14002">
        <v>250325</v>
      </c>
      <c r="P14002">
        <v>1677.8</v>
      </c>
    </row>
    <row r="14003" spans="1:16" x14ac:dyDescent="0.25">
      <c r="A14003" t="s">
        <v>3296</v>
      </c>
      <c r="B14003" t="s">
        <v>2931</v>
      </c>
      <c r="C14003">
        <v>15467</v>
      </c>
      <c r="D14003" t="str">
        <f>"38752       "</f>
        <v xml:space="preserve">38752       </v>
      </c>
      <c r="E14003" t="s">
        <v>1197</v>
      </c>
      <c r="F14003" t="s">
        <v>1198</v>
      </c>
      <c r="G14003">
        <v>1711.82</v>
      </c>
      <c r="H14003">
        <v>251117</v>
      </c>
      <c r="I14003">
        <v>4600</v>
      </c>
      <c r="J14003" t="s">
        <v>278</v>
      </c>
      <c r="K14003">
        <v>1851.31</v>
      </c>
      <c r="L14003">
        <v>347.82</v>
      </c>
      <c r="M14003">
        <v>17523</v>
      </c>
      <c r="N14003" t="s">
        <v>138</v>
      </c>
      <c r="O14003">
        <v>251121</v>
      </c>
      <c r="P14003">
        <v>1364</v>
      </c>
    </row>
    <row r="14004" spans="1:16" x14ac:dyDescent="0.25">
      <c r="A14004" t="s">
        <v>3296</v>
      </c>
      <c r="B14004" t="s">
        <v>2931</v>
      </c>
      <c r="C14004">
        <v>15467</v>
      </c>
      <c r="D14004" t="str">
        <f>"38752       "</f>
        <v xml:space="preserve">38752       </v>
      </c>
      <c r="E14004" t="s">
        <v>1197</v>
      </c>
      <c r="F14004" t="s">
        <v>1198</v>
      </c>
      <c r="G14004">
        <v>139.49</v>
      </c>
      <c r="H14004">
        <v>251117</v>
      </c>
      <c r="I14004">
        <v>4600</v>
      </c>
      <c r="J14004" t="s">
        <v>278</v>
      </c>
      <c r="K14004">
        <v>1851.31</v>
      </c>
      <c r="L14004">
        <v>28.34</v>
      </c>
      <c r="M14004">
        <v>17634</v>
      </c>
      <c r="N14004" t="s">
        <v>634</v>
      </c>
      <c r="O14004">
        <v>251121</v>
      </c>
      <c r="P14004">
        <v>111.15</v>
      </c>
    </row>
    <row r="14005" spans="1:16" x14ac:dyDescent="0.25">
      <c r="A14005" t="s">
        <v>3296</v>
      </c>
      <c r="B14005" t="s">
        <v>2931</v>
      </c>
      <c r="C14005">
        <v>1455</v>
      </c>
      <c r="D14005" t="str">
        <f>"9598        "</f>
        <v xml:space="preserve">9598        </v>
      </c>
      <c r="E14005" t="s">
        <v>992</v>
      </c>
      <c r="F14005" t="s">
        <v>993</v>
      </c>
      <c r="G14005">
        <v>31.45</v>
      </c>
      <c r="H14005">
        <v>250202</v>
      </c>
      <c r="I14005">
        <v>4364</v>
      </c>
      <c r="J14005" t="s">
        <v>470</v>
      </c>
      <c r="K14005">
        <v>31.45</v>
      </c>
      <c r="L14005">
        <v>6.39</v>
      </c>
      <c r="M14005">
        <v>11001</v>
      </c>
      <c r="N14005" t="s">
        <v>93</v>
      </c>
      <c r="O14005">
        <v>250210</v>
      </c>
      <c r="P14005">
        <v>25.06</v>
      </c>
    </row>
    <row r="14006" spans="1:16" x14ac:dyDescent="0.25">
      <c r="A14006" t="s">
        <v>3296</v>
      </c>
      <c r="B14006" t="s">
        <v>2931</v>
      </c>
      <c r="C14006">
        <v>4840</v>
      </c>
      <c r="D14006" t="str">
        <f>"9659        "</f>
        <v xml:space="preserve">9659        </v>
      </c>
      <c r="E14006" t="s">
        <v>992</v>
      </c>
      <c r="F14006" t="s">
        <v>993</v>
      </c>
      <c r="G14006">
        <v>31.45</v>
      </c>
      <c r="H14006">
        <v>250331</v>
      </c>
      <c r="I14006">
        <v>4364</v>
      </c>
      <c r="J14006" t="s">
        <v>470</v>
      </c>
      <c r="K14006">
        <v>31.45</v>
      </c>
      <c r="L14006">
        <v>6.39</v>
      </c>
      <c r="M14006">
        <v>11001</v>
      </c>
      <c r="N14006" t="s">
        <v>93</v>
      </c>
      <c r="O14006">
        <v>250415</v>
      </c>
      <c r="P14006">
        <v>25.06</v>
      </c>
    </row>
    <row r="14007" spans="1:16" x14ac:dyDescent="0.25">
      <c r="A14007" t="s">
        <v>3296</v>
      </c>
      <c r="B14007" t="s">
        <v>2931</v>
      </c>
      <c r="C14007">
        <v>6349</v>
      </c>
      <c r="D14007" t="str">
        <f>"9705        "</f>
        <v xml:space="preserve">9705        </v>
      </c>
      <c r="E14007" t="s">
        <v>992</v>
      </c>
      <c r="F14007" t="s">
        <v>993</v>
      </c>
      <c r="G14007">
        <v>31.45</v>
      </c>
      <c r="H14007">
        <v>250502</v>
      </c>
      <c r="I14007">
        <v>4364</v>
      </c>
      <c r="J14007" t="s">
        <v>470</v>
      </c>
      <c r="K14007">
        <v>31.45</v>
      </c>
      <c r="L14007">
        <v>6.39</v>
      </c>
      <c r="M14007">
        <v>11001</v>
      </c>
      <c r="N14007" t="s">
        <v>93</v>
      </c>
      <c r="O14007">
        <v>250512</v>
      </c>
      <c r="P14007">
        <v>25.06</v>
      </c>
    </row>
    <row r="14008" spans="1:16" x14ac:dyDescent="0.25">
      <c r="A14008" t="s">
        <v>3296</v>
      </c>
      <c r="B14008" t="s">
        <v>2931</v>
      </c>
      <c r="C14008">
        <v>4129</v>
      </c>
      <c r="D14008" t="str">
        <f>"380         "</f>
        <v xml:space="preserve">380         </v>
      </c>
      <c r="E14008" t="s">
        <v>1576</v>
      </c>
      <c r="F14008" t="s">
        <v>1577</v>
      </c>
      <c r="G14008">
        <v>90</v>
      </c>
      <c r="H14008">
        <v>250326</v>
      </c>
      <c r="I14008">
        <v>4440</v>
      </c>
      <c r="J14008" t="s">
        <v>346</v>
      </c>
      <c r="K14008">
        <v>90</v>
      </c>
      <c r="L14008">
        <v>11.05</v>
      </c>
      <c r="M14008">
        <v>56566</v>
      </c>
      <c r="N14008" t="s">
        <v>58</v>
      </c>
      <c r="O14008">
        <v>250407</v>
      </c>
      <c r="P14008">
        <v>78.95</v>
      </c>
    </row>
    <row r="14009" spans="1:16" x14ac:dyDescent="0.25">
      <c r="A14009" t="s">
        <v>3296</v>
      </c>
      <c r="B14009" t="s">
        <v>2931</v>
      </c>
      <c r="C14009">
        <v>12446</v>
      </c>
      <c r="D14009" t="str">
        <f>"411         "</f>
        <v xml:space="preserve">411         </v>
      </c>
      <c r="E14009" t="s">
        <v>1576</v>
      </c>
      <c r="F14009" t="s">
        <v>1577</v>
      </c>
      <c r="G14009">
        <v>15</v>
      </c>
      <c r="H14009">
        <v>250915</v>
      </c>
      <c r="I14009">
        <v>4440</v>
      </c>
      <c r="J14009" t="s">
        <v>346</v>
      </c>
      <c r="K14009">
        <v>15</v>
      </c>
      <c r="L14009">
        <v>1.84</v>
      </c>
      <c r="M14009">
        <v>54222</v>
      </c>
      <c r="N14009" t="s">
        <v>48</v>
      </c>
      <c r="O14009">
        <v>250922</v>
      </c>
      <c r="P14009">
        <v>13.16</v>
      </c>
    </row>
    <row r="14010" spans="1:16" x14ac:dyDescent="0.25">
      <c r="A14010" t="s">
        <v>3296</v>
      </c>
      <c r="B14010" t="s">
        <v>2931</v>
      </c>
      <c r="C14010">
        <v>7054</v>
      </c>
      <c r="D14010" t="str">
        <f>"250218      "</f>
        <v xml:space="preserve">250218      </v>
      </c>
      <c r="E14010" t="s">
        <v>1911</v>
      </c>
      <c r="F14010" t="s">
        <v>1912</v>
      </c>
      <c r="G14010">
        <v>291.41000000000003</v>
      </c>
      <c r="H14010">
        <v>250519</v>
      </c>
      <c r="I14010">
        <v>4350</v>
      </c>
      <c r="J14010" t="s">
        <v>290</v>
      </c>
      <c r="K14010">
        <v>291.41000000000003</v>
      </c>
      <c r="L14010">
        <v>59.21</v>
      </c>
      <c r="M14010">
        <v>49702</v>
      </c>
      <c r="N14010" t="s">
        <v>112</v>
      </c>
      <c r="O14010">
        <v>250522</v>
      </c>
      <c r="P14010">
        <v>232.2</v>
      </c>
    </row>
    <row r="14011" spans="1:16" x14ac:dyDescent="0.25">
      <c r="A14011" t="s">
        <v>3296</v>
      </c>
      <c r="B14011" t="s">
        <v>2931</v>
      </c>
      <c r="C14011">
        <v>15557</v>
      </c>
      <c r="D14011" t="str">
        <f>"4497        "</f>
        <v xml:space="preserve">4497        </v>
      </c>
      <c r="E14011" t="s">
        <v>1911</v>
      </c>
      <c r="F14011" t="s">
        <v>1912</v>
      </c>
      <c r="G14011">
        <v>291.41000000000003</v>
      </c>
      <c r="H14011">
        <v>251119</v>
      </c>
      <c r="I14011">
        <v>4350</v>
      </c>
      <c r="J14011" t="s">
        <v>290</v>
      </c>
      <c r="K14011">
        <v>291.41000000000003</v>
      </c>
      <c r="L14011">
        <v>59.21</v>
      </c>
      <c r="M14011">
        <v>49702</v>
      </c>
      <c r="N14011" t="s">
        <v>112</v>
      </c>
      <c r="O14011">
        <v>251121</v>
      </c>
      <c r="P14011">
        <v>232.2</v>
      </c>
    </row>
    <row r="14012" spans="1:16" x14ac:dyDescent="0.25">
      <c r="A14012" t="s">
        <v>3296</v>
      </c>
      <c r="B14012" t="s">
        <v>2931</v>
      </c>
      <c r="C14012">
        <v>714</v>
      </c>
      <c r="D14012" t="str">
        <f>"7401        "</f>
        <v xml:space="preserve">7401        </v>
      </c>
      <c r="E14012" t="s">
        <v>682</v>
      </c>
      <c r="F14012" t="s">
        <v>683</v>
      </c>
      <c r="G14012">
        <v>128.94999999999999</v>
      </c>
      <c r="H14012">
        <v>250123</v>
      </c>
      <c r="I14012">
        <v>4350</v>
      </c>
      <c r="J14012" t="s">
        <v>290</v>
      </c>
      <c r="K14012">
        <v>165.67</v>
      </c>
      <c r="L14012">
        <v>26.2</v>
      </c>
      <c r="M14012">
        <v>14990</v>
      </c>
      <c r="N14012" t="s">
        <v>85</v>
      </c>
      <c r="O14012">
        <v>250128</v>
      </c>
      <c r="P14012">
        <v>102.75</v>
      </c>
    </row>
    <row r="14013" spans="1:16" x14ac:dyDescent="0.25">
      <c r="A14013" t="s">
        <v>3296</v>
      </c>
      <c r="B14013" t="s">
        <v>2931</v>
      </c>
      <c r="C14013">
        <v>714</v>
      </c>
      <c r="D14013" t="str">
        <f>"7401        "</f>
        <v xml:space="preserve">7401        </v>
      </c>
      <c r="E14013" t="s">
        <v>682</v>
      </c>
      <c r="F14013" t="s">
        <v>683</v>
      </c>
      <c r="G14013">
        <v>36.72</v>
      </c>
      <c r="H14013">
        <v>250123</v>
      </c>
      <c r="I14013">
        <v>4350</v>
      </c>
      <c r="J14013" t="s">
        <v>290</v>
      </c>
      <c r="K14013">
        <v>165.67</v>
      </c>
      <c r="L14013">
        <v>7.46</v>
      </c>
      <c r="M14013">
        <v>18120</v>
      </c>
      <c r="N14013" t="s">
        <v>37</v>
      </c>
      <c r="O14013">
        <v>250128</v>
      </c>
      <c r="P14013">
        <v>29.26</v>
      </c>
    </row>
    <row r="14014" spans="1:16" x14ac:dyDescent="0.25">
      <c r="A14014" t="s">
        <v>3296</v>
      </c>
      <c r="B14014" t="s">
        <v>2931</v>
      </c>
      <c r="C14014">
        <v>10636</v>
      </c>
      <c r="D14014" t="str">
        <f>"7770        "</f>
        <v xml:space="preserve">7770        </v>
      </c>
      <c r="E14014" t="s">
        <v>682</v>
      </c>
      <c r="F14014" t="s">
        <v>683</v>
      </c>
      <c r="G14014">
        <v>828.31</v>
      </c>
      <c r="H14014">
        <v>250817</v>
      </c>
      <c r="I14014">
        <v>4350</v>
      </c>
      <c r="J14014" t="s">
        <v>290</v>
      </c>
      <c r="K14014">
        <v>828.31</v>
      </c>
      <c r="L14014">
        <v>168.3</v>
      </c>
      <c r="M14014">
        <v>13801</v>
      </c>
      <c r="N14014" t="s">
        <v>33</v>
      </c>
      <c r="O14014">
        <v>250821</v>
      </c>
      <c r="P14014">
        <v>660.01</v>
      </c>
    </row>
    <row r="14015" spans="1:16" x14ac:dyDescent="0.25">
      <c r="A14015" t="s">
        <v>3296</v>
      </c>
      <c r="B14015" t="s">
        <v>2931</v>
      </c>
      <c r="C14015">
        <v>12714</v>
      </c>
      <c r="D14015" t="str">
        <f>"7832        "</f>
        <v xml:space="preserve">7832        </v>
      </c>
      <c r="E14015" t="s">
        <v>682</v>
      </c>
      <c r="F14015" t="s">
        <v>683</v>
      </c>
      <c r="G14015">
        <v>125.5</v>
      </c>
      <c r="H14015">
        <v>250921</v>
      </c>
      <c r="I14015">
        <v>4350</v>
      </c>
      <c r="J14015" t="s">
        <v>290</v>
      </c>
      <c r="K14015">
        <v>125.5</v>
      </c>
      <c r="L14015">
        <v>25.5</v>
      </c>
      <c r="M14015">
        <v>13801</v>
      </c>
      <c r="N14015" t="s">
        <v>33</v>
      </c>
      <c r="O14015">
        <v>250929</v>
      </c>
      <c r="P14015">
        <v>100</v>
      </c>
    </row>
    <row r="14016" spans="1:16" x14ac:dyDescent="0.25">
      <c r="A14016" t="s">
        <v>3296</v>
      </c>
      <c r="B14016" t="s">
        <v>2931</v>
      </c>
      <c r="C14016">
        <v>16501</v>
      </c>
      <c r="D14016" t="str">
        <f t="shared" ref="D14016:D14021" si="223">"7927        "</f>
        <v xml:space="preserve">7927        </v>
      </c>
      <c r="E14016" t="s">
        <v>682</v>
      </c>
      <c r="F14016" t="s">
        <v>683</v>
      </c>
      <c r="G14016">
        <v>107.93</v>
      </c>
      <c r="H14016">
        <v>251130</v>
      </c>
      <c r="I14016">
        <v>4350</v>
      </c>
      <c r="J14016" t="s">
        <v>290</v>
      </c>
      <c r="K14016">
        <v>539.65</v>
      </c>
      <c r="L14016">
        <v>21.93</v>
      </c>
      <c r="M14016">
        <v>14972</v>
      </c>
      <c r="N14016" t="s">
        <v>82</v>
      </c>
      <c r="O14016">
        <v>251209</v>
      </c>
      <c r="P14016">
        <v>86</v>
      </c>
    </row>
    <row r="14017" spans="1:16" x14ac:dyDescent="0.25">
      <c r="A14017" t="s">
        <v>3296</v>
      </c>
      <c r="B14017" t="s">
        <v>2931</v>
      </c>
      <c r="C14017">
        <v>16501</v>
      </c>
      <c r="D14017" t="str">
        <f t="shared" si="223"/>
        <v xml:space="preserve">7927        </v>
      </c>
      <c r="E14017" t="s">
        <v>682</v>
      </c>
      <c r="F14017" t="s">
        <v>683</v>
      </c>
      <c r="G14017">
        <v>107.93</v>
      </c>
      <c r="H14017">
        <v>251130</v>
      </c>
      <c r="I14017">
        <v>4350</v>
      </c>
      <c r="J14017" t="s">
        <v>290</v>
      </c>
      <c r="K14017">
        <v>539.65</v>
      </c>
      <c r="L14017">
        <v>21.93</v>
      </c>
      <c r="M14017">
        <v>17808</v>
      </c>
      <c r="N14017" t="s">
        <v>24</v>
      </c>
      <c r="O14017">
        <v>251209</v>
      </c>
      <c r="P14017">
        <v>86</v>
      </c>
    </row>
    <row r="14018" spans="1:16" x14ac:dyDescent="0.25">
      <c r="A14018" t="s">
        <v>3296</v>
      </c>
      <c r="B14018" t="s">
        <v>2931</v>
      </c>
      <c r="C14018">
        <v>16501</v>
      </c>
      <c r="D14018" t="str">
        <f t="shared" si="223"/>
        <v xml:space="preserve">7927        </v>
      </c>
      <c r="E14018" t="s">
        <v>682</v>
      </c>
      <c r="F14018" t="s">
        <v>683</v>
      </c>
      <c r="G14018">
        <v>107.93</v>
      </c>
      <c r="H14018">
        <v>251130</v>
      </c>
      <c r="I14018">
        <v>4350</v>
      </c>
      <c r="J14018" t="s">
        <v>290</v>
      </c>
      <c r="K14018">
        <v>539.65</v>
      </c>
      <c r="L14018">
        <v>21.93</v>
      </c>
      <c r="M14018">
        <v>49702</v>
      </c>
      <c r="N14018" t="s">
        <v>112</v>
      </c>
      <c r="O14018">
        <v>251209</v>
      </c>
      <c r="P14018">
        <v>86</v>
      </c>
    </row>
    <row r="14019" spans="1:16" x14ac:dyDescent="0.25">
      <c r="A14019" t="s">
        <v>3296</v>
      </c>
      <c r="B14019" t="s">
        <v>2931</v>
      </c>
      <c r="C14019">
        <v>16501</v>
      </c>
      <c r="D14019" t="str">
        <f t="shared" si="223"/>
        <v xml:space="preserve">7927        </v>
      </c>
      <c r="E14019" t="s">
        <v>682</v>
      </c>
      <c r="F14019" t="s">
        <v>683</v>
      </c>
      <c r="G14019">
        <v>107.93</v>
      </c>
      <c r="H14019">
        <v>251130</v>
      </c>
      <c r="I14019">
        <v>4350</v>
      </c>
      <c r="J14019" t="s">
        <v>290</v>
      </c>
      <c r="K14019">
        <v>539.65</v>
      </c>
      <c r="L14019">
        <v>21.93</v>
      </c>
      <c r="M14019">
        <v>59702</v>
      </c>
      <c r="N14019" t="s">
        <v>45</v>
      </c>
      <c r="O14019">
        <v>251209</v>
      </c>
      <c r="P14019">
        <v>86</v>
      </c>
    </row>
    <row r="14020" spans="1:16" x14ac:dyDescent="0.25">
      <c r="A14020" t="s">
        <v>3296</v>
      </c>
      <c r="B14020" t="s">
        <v>2931</v>
      </c>
      <c r="C14020">
        <v>16501</v>
      </c>
      <c r="D14020" t="str">
        <f t="shared" si="223"/>
        <v xml:space="preserve">7927        </v>
      </c>
      <c r="E14020" t="s">
        <v>682</v>
      </c>
      <c r="F14020" t="s">
        <v>683</v>
      </c>
      <c r="G14020">
        <v>53.97</v>
      </c>
      <c r="H14020">
        <v>251130</v>
      </c>
      <c r="I14020">
        <v>4350</v>
      </c>
      <c r="J14020" t="s">
        <v>290</v>
      </c>
      <c r="K14020">
        <v>539.65</v>
      </c>
      <c r="L14020">
        <v>10.97</v>
      </c>
      <c r="M14020">
        <v>69702</v>
      </c>
      <c r="N14020" t="s">
        <v>124</v>
      </c>
      <c r="O14020">
        <v>251209</v>
      </c>
      <c r="P14020">
        <v>43</v>
      </c>
    </row>
    <row r="14021" spans="1:16" x14ac:dyDescent="0.25">
      <c r="A14021" t="s">
        <v>3296</v>
      </c>
      <c r="B14021" t="s">
        <v>2931</v>
      </c>
      <c r="C14021">
        <v>16501</v>
      </c>
      <c r="D14021" t="str">
        <f t="shared" si="223"/>
        <v xml:space="preserve">7927        </v>
      </c>
      <c r="E14021" t="s">
        <v>682</v>
      </c>
      <c r="F14021" t="s">
        <v>683</v>
      </c>
      <c r="G14021">
        <v>53.96</v>
      </c>
      <c r="H14021">
        <v>251130</v>
      </c>
      <c r="I14021">
        <v>4350</v>
      </c>
      <c r="J14021" t="s">
        <v>290</v>
      </c>
      <c r="K14021">
        <v>539.65</v>
      </c>
      <c r="L14021">
        <v>10.96</v>
      </c>
      <c r="M14021">
        <v>69704</v>
      </c>
      <c r="N14021" t="s">
        <v>89</v>
      </c>
      <c r="O14021">
        <v>251209</v>
      </c>
      <c r="P14021">
        <v>43</v>
      </c>
    </row>
    <row r="14022" spans="1:16" x14ac:dyDescent="0.25">
      <c r="A14022" t="s">
        <v>3296</v>
      </c>
      <c r="B14022" t="s">
        <v>2931</v>
      </c>
      <c r="C14022">
        <v>17944</v>
      </c>
      <c r="D14022" t="str">
        <f>"7962        "</f>
        <v xml:space="preserve">7962        </v>
      </c>
      <c r="E14022" t="s">
        <v>682</v>
      </c>
      <c r="F14022" t="s">
        <v>683</v>
      </c>
      <c r="G14022">
        <v>195.78</v>
      </c>
      <c r="H14022">
        <v>251227</v>
      </c>
      <c r="I14022">
        <v>4500</v>
      </c>
      <c r="J14022" t="s">
        <v>312</v>
      </c>
      <c r="K14022">
        <v>195.78</v>
      </c>
      <c r="L14022">
        <v>39.78</v>
      </c>
      <c r="M14022">
        <v>13201</v>
      </c>
      <c r="N14022" t="s">
        <v>269</v>
      </c>
      <c r="O14022">
        <v>260107</v>
      </c>
      <c r="P14022">
        <v>156</v>
      </c>
    </row>
    <row r="14023" spans="1:16" x14ac:dyDescent="0.25">
      <c r="A14023" t="s">
        <v>3296</v>
      </c>
      <c r="B14023" t="s">
        <v>2931</v>
      </c>
      <c r="C14023">
        <v>7805</v>
      </c>
      <c r="D14023" t="str">
        <f>"7609        "</f>
        <v xml:space="preserve">7609        </v>
      </c>
      <c r="E14023" t="s">
        <v>682</v>
      </c>
      <c r="F14023" t="s">
        <v>683</v>
      </c>
      <c r="G14023">
        <v>548.44000000000005</v>
      </c>
      <c r="H14023">
        <v>250529</v>
      </c>
      <c r="I14023">
        <v>4510</v>
      </c>
      <c r="J14023" t="s">
        <v>240</v>
      </c>
      <c r="K14023">
        <v>548.44000000000005</v>
      </c>
      <c r="L14023">
        <v>111.44</v>
      </c>
      <c r="M14023">
        <v>13501</v>
      </c>
      <c r="N14023" t="s">
        <v>66</v>
      </c>
      <c r="O14023">
        <v>250609</v>
      </c>
      <c r="P14023">
        <v>437</v>
      </c>
    </row>
    <row r="14024" spans="1:16" x14ac:dyDescent="0.25">
      <c r="A14024" t="s">
        <v>3296</v>
      </c>
      <c r="B14024" t="s">
        <v>2931</v>
      </c>
      <c r="C14024">
        <v>12539</v>
      </c>
      <c r="D14024" t="str">
        <f>"M71/2025    "</f>
        <v xml:space="preserve">M71/2025    </v>
      </c>
      <c r="E14024" t="s">
        <v>2366</v>
      </c>
      <c r="F14024" t="s">
        <v>2367</v>
      </c>
      <c r="G14024">
        <v>227.78</v>
      </c>
      <c r="H14024">
        <v>250918</v>
      </c>
      <c r="I14024">
        <v>4580</v>
      </c>
      <c r="J14024" t="s">
        <v>126</v>
      </c>
      <c r="K14024">
        <v>303.70999999999998</v>
      </c>
      <c r="L14024">
        <v>46.28</v>
      </c>
      <c r="M14024">
        <v>17522</v>
      </c>
      <c r="N14024" t="s">
        <v>137</v>
      </c>
      <c r="O14024">
        <v>250926</v>
      </c>
      <c r="P14024">
        <v>181.5</v>
      </c>
    </row>
    <row r="14025" spans="1:16" x14ac:dyDescent="0.25">
      <c r="A14025" t="s">
        <v>3296</v>
      </c>
      <c r="B14025" t="s">
        <v>2931</v>
      </c>
      <c r="C14025">
        <v>12539</v>
      </c>
      <c r="D14025" t="str">
        <f>"M71/2025    "</f>
        <v xml:space="preserve">M71/2025    </v>
      </c>
      <c r="E14025" t="s">
        <v>2366</v>
      </c>
      <c r="F14025" t="s">
        <v>2367</v>
      </c>
      <c r="G14025">
        <v>75.930000000000007</v>
      </c>
      <c r="H14025">
        <v>250918</v>
      </c>
      <c r="I14025">
        <v>4600</v>
      </c>
      <c r="J14025" t="s">
        <v>278</v>
      </c>
      <c r="K14025">
        <v>303.70999999999998</v>
      </c>
      <c r="L14025">
        <v>15.43</v>
      </c>
      <c r="M14025">
        <v>17633</v>
      </c>
      <c r="N14025" t="s">
        <v>628</v>
      </c>
      <c r="O14025">
        <v>250926</v>
      </c>
      <c r="P14025">
        <v>60.5</v>
      </c>
    </row>
    <row r="14026" spans="1:16" x14ac:dyDescent="0.25">
      <c r="A14026" t="s">
        <v>3296</v>
      </c>
      <c r="B14026" t="s">
        <v>2931</v>
      </c>
      <c r="C14026">
        <v>13241</v>
      </c>
      <c r="D14026" t="str">
        <f>"M76/2025    "</f>
        <v xml:space="preserve">M76/2025    </v>
      </c>
      <c r="E14026" t="s">
        <v>2366</v>
      </c>
      <c r="F14026" t="s">
        <v>2367</v>
      </c>
      <c r="G14026">
        <v>1706.8</v>
      </c>
      <c r="H14026">
        <v>251004</v>
      </c>
      <c r="I14026">
        <v>4600</v>
      </c>
      <c r="J14026" t="s">
        <v>278</v>
      </c>
      <c r="K14026">
        <v>1706.8</v>
      </c>
      <c r="L14026">
        <v>346.8</v>
      </c>
      <c r="M14026">
        <v>13801</v>
      </c>
      <c r="N14026" t="s">
        <v>33</v>
      </c>
      <c r="O14026">
        <v>251007</v>
      </c>
      <c r="P14026">
        <v>1360</v>
      </c>
    </row>
    <row r="14027" spans="1:16" x14ac:dyDescent="0.25">
      <c r="A14027" t="s">
        <v>3296</v>
      </c>
      <c r="B14027" t="s">
        <v>2931</v>
      </c>
      <c r="C14027">
        <v>3435</v>
      </c>
      <c r="D14027" t="str">
        <f>"1001000824  "</f>
        <v xml:space="preserve">1001000824  </v>
      </c>
      <c r="E14027" t="s">
        <v>1431</v>
      </c>
      <c r="F14027" t="s">
        <v>1432</v>
      </c>
      <c r="G14027">
        <v>13802.3</v>
      </c>
      <c r="H14027">
        <v>250307</v>
      </c>
      <c r="I14027">
        <v>4400</v>
      </c>
      <c r="J14027" t="s">
        <v>162</v>
      </c>
      <c r="K14027">
        <v>13802.3</v>
      </c>
      <c r="L14027">
        <v>2804.45</v>
      </c>
      <c r="M14027">
        <v>46554</v>
      </c>
      <c r="N14027" t="s">
        <v>102</v>
      </c>
      <c r="O14027">
        <v>250321</v>
      </c>
      <c r="P14027">
        <v>10997.85</v>
      </c>
    </row>
    <row r="14028" spans="1:16" x14ac:dyDescent="0.25">
      <c r="A14028" t="s">
        <v>3296</v>
      </c>
      <c r="B14028" t="s">
        <v>2931</v>
      </c>
      <c r="C14028">
        <v>4308</v>
      </c>
      <c r="D14028" t="str">
        <f>"1001000874  "</f>
        <v xml:space="preserve">1001000874  </v>
      </c>
      <c r="E14028" t="s">
        <v>1431</v>
      </c>
      <c r="F14028" t="s">
        <v>1432</v>
      </c>
      <c r="G14028">
        <v>885.21</v>
      </c>
      <c r="H14028">
        <v>250328</v>
      </c>
      <c r="I14028">
        <v>4400</v>
      </c>
      <c r="J14028" t="s">
        <v>162</v>
      </c>
      <c r="K14028">
        <v>885.21</v>
      </c>
      <c r="L14028">
        <v>179.86</v>
      </c>
      <c r="M14028">
        <v>46554</v>
      </c>
      <c r="N14028" t="s">
        <v>102</v>
      </c>
      <c r="O14028">
        <v>250410</v>
      </c>
      <c r="P14028">
        <v>705.35</v>
      </c>
    </row>
    <row r="14029" spans="1:16" x14ac:dyDescent="0.25">
      <c r="A14029" t="s">
        <v>3296</v>
      </c>
      <c r="B14029" t="s">
        <v>2931</v>
      </c>
      <c r="C14029">
        <v>7183</v>
      </c>
      <c r="D14029" t="str">
        <f>"1001000960  "</f>
        <v xml:space="preserve">1001000960  </v>
      </c>
      <c r="E14029" t="s">
        <v>1431</v>
      </c>
      <c r="F14029" t="s">
        <v>1432</v>
      </c>
      <c r="G14029">
        <v>3628.96</v>
      </c>
      <c r="H14029">
        <v>250519</v>
      </c>
      <c r="I14029">
        <v>4400</v>
      </c>
      <c r="J14029" t="s">
        <v>162</v>
      </c>
      <c r="K14029">
        <v>3628.96</v>
      </c>
      <c r="L14029">
        <v>737.36</v>
      </c>
      <c r="M14029">
        <v>46554</v>
      </c>
      <c r="N14029" t="s">
        <v>102</v>
      </c>
      <c r="O14029">
        <v>250526</v>
      </c>
      <c r="P14029">
        <v>2891.6</v>
      </c>
    </row>
    <row r="14030" spans="1:16" x14ac:dyDescent="0.25">
      <c r="A14030" t="s">
        <v>3296</v>
      </c>
      <c r="B14030" t="s">
        <v>2931</v>
      </c>
      <c r="C14030">
        <v>9105</v>
      </c>
      <c r="D14030" t="str">
        <f>"2846        "</f>
        <v xml:space="preserve">2846        </v>
      </c>
      <c r="E14030" t="s">
        <v>2975</v>
      </c>
      <c r="F14030" t="s">
        <v>2976</v>
      </c>
      <c r="G14030">
        <v>334.34</v>
      </c>
      <c r="H14030">
        <v>250601</v>
      </c>
      <c r="I14030">
        <v>4367</v>
      </c>
      <c r="J14030" t="s">
        <v>159</v>
      </c>
      <c r="K14030">
        <v>1176.1600000000001</v>
      </c>
      <c r="L14030">
        <v>67.930000000000007</v>
      </c>
      <c r="M14030">
        <v>18993</v>
      </c>
      <c r="N14030" t="s">
        <v>540</v>
      </c>
      <c r="O14030">
        <v>250626</v>
      </c>
      <c r="P14030">
        <v>266.41000000000003</v>
      </c>
    </row>
    <row r="14031" spans="1:16" x14ac:dyDescent="0.25">
      <c r="A14031" t="s">
        <v>3296</v>
      </c>
      <c r="B14031" t="s">
        <v>2931</v>
      </c>
      <c r="C14031">
        <v>9105</v>
      </c>
      <c r="D14031" t="str">
        <f>"2846        "</f>
        <v xml:space="preserve">2846        </v>
      </c>
      <c r="E14031" t="s">
        <v>2975</v>
      </c>
      <c r="F14031" t="s">
        <v>2976</v>
      </c>
      <c r="G14031">
        <v>841.82</v>
      </c>
      <c r="H14031">
        <v>250601</v>
      </c>
      <c r="I14031">
        <v>4369</v>
      </c>
      <c r="J14031" t="s">
        <v>188</v>
      </c>
      <c r="K14031">
        <v>1176.1600000000001</v>
      </c>
      <c r="L14031">
        <v>171.05</v>
      </c>
      <c r="M14031">
        <v>18993</v>
      </c>
      <c r="N14031" t="s">
        <v>540</v>
      </c>
      <c r="O14031">
        <v>250626</v>
      </c>
      <c r="P14031">
        <v>670.77</v>
      </c>
    </row>
    <row r="14032" spans="1:16" x14ac:dyDescent="0.25">
      <c r="A14032" t="s">
        <v>3296</v>
      </c>
      <c r="B14032" t="s">
        <v>2931</v>
      </c>
      <c r="C14032">
        <v>319</v>
      </c>
      <c r="D14032" t="str">
        <f>"2605        "</f>
        <v xml:space="preserve">2605        </v>
      </c>
      <c r="E14032" t="s">
        <v>2975</v>
      </c>
      <c r="F14032" t="s">
        <v>2976</v>
      </c>
      <c r="G14032">
        <v>1895.05</v>
      </c>
      <c r="H14032">
        <v>250114</v>
      </c>
      <c r="I14032">
        <v>4580</v>
      </c>
      <c r="J14032" t="s">
        <v>126</v>
      </c>
      <c r="K14032">
        <v>1895.05</v>
      </c>
      <c r="L14032">
        <v>385.05</v>
      </c>
      <c r="M14032">
        <v>18993</v>
      </c>
      <c r="N14032" t="s">
        <v>540</v>
      </c>
      <c r="O14032">
        <v>250121</v>
      </c>
      <c r="P14032">
        <v>1510</v>
      </c>
    </row>
    <row r="14033" spans="1:16" x14ac:dyDescent="0.25">
      <c r="A14033" t="s">
        <v>3296</v>
      </c>
      <c r="B14033" t="s">
        <v>2931</v>
      </c>
      <c r="C14033">
        <v>8273</v>
      </c>
      <c r="D14033" t="str">
        <f>"2273960     "</f>
        <v xml:space="preserve">2273960     </v>
      </c>
      <c r="E14033" t="s">
        <v>2024</v>
      </c>
      <c r="F14033" t="s">
        <v>2025</v>
      </c>
      <c r="G14033">
        <v>-18</v>
      </c>
      <c r="H14033">
        <v>250515</v>
      </c>
      <c r="I14033">
        <v>4520</v>
      </c>
      <c r="J14033" t="s">
        <v>280</v>
      </c>
      <c r="K14033">
        <v>-18</v>
      </c>
      <c r="L14033">
        <v>-3.66</v>
      </c>
      <c r="M14033">
        <v>14432</v>
      </c>
      <c r="N14033" t="s">
        <v>75</v>
      </c>
      <c r="O14033">
        <v>250612</v>
      </c>
      <c r="P14033">
        <v>-14.34</v>
      </c>
    </row>
    <row r="14034" spans="1:16" x14ac:dyDescent="0.25">
      <c r="A14034" t="s">
        <v>3296</v>
      </c>
      <c r="B14034" t="s">
        <v>2931</v>
      </c>
      <c r="C14034">
        <v>4627</v>
      </c>
      <c r="D14034" t="str">
        <f>"995         "</f>
        <v xml:space="preserve">995         </v>
      </c>
      <c r="E14034" t="s">
        <v>1641</v>
      </c>
      <c r="F14034" t="s">
        <v>1642</v>
      </c>
      <c r="G14034">
        <v>145.9</v>
      </c>
      <c r="H14034">
        <v>250402</v>
      </c>
      <c r="I14034">
        <v>4510</v>
      </c>
      <c r="J14034" t="s">
        <v>240</v>
      </c>
      <c r="K14034">
        <v>145.9</v>
      </c>
      <c r="L14034">
        <v>17.920000000000002</v>
      </c>
      <c r="M14034">
        <v>11903</v>
      </c>
      <c r="N14034" t="s">
        <v>32</v>
      </c>
      <c r="O14034">
        <v>250414</v>
      </c>
      <c r="P14034">
        <v>127.98</v>
      </c>
    </row>
    <row r="14035" spans="1:16" x14ac:dyDescent="0.25">
      <c r="A14035" t="s">
        <v>3296</v>
      </c>
      <c r="B14035" t="s">
        <v>2931</v>
      </c>
      <c r="C14035">
        <v>6622</v>
      </c>
      <c r="D14035" t="str">
        <f>"851839      "</f>
        <v xml:space="preserve">851839      </v>
      </c>
      <c r="E14035" t="s">
        <v>1726</v>
      </c>
      <c r="F14035" t="s">
        <v>1727</v>
      </c>
      <c r="G14035">
        <v>372.07</v>
      </c>
      <c r="H14035">
        <v>250430</v>
      </c>
      <c r="I14035">
        <v>4534</v>
      </c>
      <c r="J14035" t="s">
        <v>349</v>
      </c>
      <c r="K14035">
        <v>372.07</v>
      </c>
      <c r="L14035">
        <v>75.599999999999994</v>
      </c>
      <c r="M14035">
        <v>43222</v>
      </c>
      <c r="N14035" t="s">
        <v>95</v>
      </c>
      <c r="O14035">
        <v>250514</v>
      </c>
      <c r="P14035">
        <v>296.47000000000003</v>
      </c>
    </row>
    <row r="14036" spans="1:16" x14ac:dyDescent="0.25">
      <c r="A14036" t="s">
        <v>3296</v>
      </c>
      <c r="B14036" t="s">
        <v>2931</v>
      </c>
      <c r="C14036">
        <v>8384</v>
      </c>
      <c r="D14036" t="str">
        <f>"858426      "</f>
        <v xml:space="preserve">858426      </v>
      </c>
      <c r="E14036" t="s">
        <v>1726</v>
      </c>
      <c r="F14036" t="s">
        <v>1727</v>
      </c>
      <c r="G14036">
        <v>6.58</v>
      </c>
      <c r="H14036">
        <v>250521</v>
      </c>
      <c r="I14036">
        <v>4534</v>
      </c>
      <c r="J14036" t="s">
        <v>349</v>
      </c>
      <c r="K14036">
        <v>6.58</v>
      </c>
      <c r="L14036">
        <v>1.34</v>
      </c>
      <c r="M14036">
        <v>43222</v>
      </c>
      <c r="N14036" t="s">
        <v>95</v>
      </c>
      <c r="O14036">
        <v>250613</v>
      </c>
      <c r="P14036">
        <v>5.24</v>
      </c>
    </row>
    <row r="14037" spans="1:16" x14ac:dyDescent="0.25">
      <c r="A14037" t="s">
        <v>3296</v>
      </c>
      <c r="B14037" t="s">
        <v>2931</v>
      </c>
      <c r="C14037">
        <v>11801</v>
      </c>
      <c r="D14037" t="str">
        <f>"891298      "</f>
        <v xml:space="preserve">891298      </v>
      </c>
      <c r="E14037" t="s">
        <v>1726</v>
      </c>
      <c r="F14037" t="s">
        <v>1727</v>
      </c>
      <c r="G14037">
        <v>63.15</v>
      </c>
      <c r="H14037">
        <v>250831</v>
      </c>
      <c r="I14037">
        <v>4534</v>
      </c>
      <c r="J14037" t="s">
        <v>349</v>
      </c>
      <c r="K14037">
        <v>63.15</v>
      </c>
      <c r="L14037">
        <v>12.83</v>
      </c>
      <c r="M14037">
        <v>53222</v>
      </c>
      <c r="N14037" t="s">
        <v>41</v>
      </c>
      <c r="O14037">
        <v>250910</v>
      </c>
      <c r="P14037">
        <v>50.32</v>
      </c>
    </row>
    <row r="14038" spans="1:16" x14ac:dyDescent="0.25">
      <c r="A14038" t="s">
        <v>3296</v>
      </c>
      <c r="B14038" t="s">
        <v>2931</v>
      </c>
      <c r="C14038">
        <v>5389</v>
      </c>
      <c r="D14038" t="str">
        <f>"838312      "</f>
        <v xml:space="preserve">838312      </v>
      </c>
      <c r="E14038" t="s">
        <v>1726</v>
      </c>
      <c r="F14038" t="s">
        <v>1727</v>
      </c>
      <c r="G14038">
        <v>482.01</v>
      </c>
      <c r="H14038">
        <v>250401</v>
      </c>
      <c r="I14038">
        <v>4600</v>
      </c>
      <c r="J14038" t="s">
        <v>278</v>
      </c>
      <c r="K14038">
        <v>482.01</v>
      </c>
      <c r="L14038">
        <v>97.94</v>
      </c>
      <c r="M14038">
        <v>16321</v>
      </c>
      <c r="N14038" t="s">
        <v>16</v>
      </c>
      <c r="O14038">
        <v>250424</v>
      </c>
      <c r="P14038">
        <v>384.07</v>
      </c>
    </row>
    <row r="14039" spans="1:16" x14ac:dyDescent="0.25">
      <c r="A14039" t="s">
        <v>3296</v>
      </c>
      <c r="B14039" t="s">
        <v>2931</v>
      </c>
      <c r="C14039">
        <v>16421</v>
      </c>
      <c r="D14039" t="str">
        <f>"177833      "</f>
        <v xml:space="preserve">177833      </v>
      </c>
      <c r="E14039" t="s">
        <v>1396</v>
      </c>
      <c r="F14039" t="s">
        <v>1397</v>
      </c>
      <c r="G14039">
        <v>13.4</v>
      </c>
      <c r="H14039">
        <v>251120</v>
      </c>
      <c r="I14039">
        <v>4555</v>
      </c>
      <c r="J14039" t="s">
        <v>352</v>
      </c>
      <c r="K14039">
        <v>13.4</v>
      </c>
      <c r="L14039">
        <v>2.72</v>
      </c>
      <c r="M14039">
        <v>44453</v>
      </c>
      <c r="N14039" t="s">
        <v>100</v>
      </c>
      <c r="O14039">
        <v>251208</v>
      </c>
      <c r="P14039">
        <v>10.68</v>
      </c>
    </row>
    <row r="14040" spans="1:16" x14ac:dyDescent="0.25">
      <c r="A14040" t="s">
        <v>3296</v>
      </c>
      <c r="B14040" t="s">
        <v>2931</v>
      </c>
      <c r="C14040">
        <v>3221</v>
      </c>
      <c r="D14040" t="str">
        <f>"168319      "</f>
        <v xml:space="preserve">168319      </v>
      </c>
      <c r="E14040" t="s">
        <v>1396</v>
      </c>
      <c r="F14040" t="s">
        <v>1397</v>
      </c>
      <c r="G14040">
        <v>413.7</v>
      </c>
      <c r="H14040">
        <v>250305</v>
      </c>
      <c r="I14040">
        <v>4600</v>
      </c>
      <c r="J14040" t="s">
        <v>278</v>
      </c>
      <c r="K14040">
        <v>413.7</v>
      </c>
      <c r="L14040">
        <v>84.06</v>
      </c>
      <c r="M14040">
        <v>44453</v>
      </c>
      <c r="N14040" t="s">
        <v>100</v>
      </c>
      <c r="O14040">
        <v>250317</v>
      </c>
      <c r="P14040">
        <v>329.64</v>
      </c>
    </row>
    <row r="14041" spans="1:16" x14ac:dyDescent="0.25">
      <c r="A14041" t="s">
        <v>3296</v>
      </c>
      <c r="B14041" t="s">
        <v>2931</v>
      </c>
      <c r="C14041">
        <v>6075</v>
      </c>
      <c r="D14041" t="str">
        <f>"170480      "</f>
        <v xml:space="preserve">170480      </v>
      </c>
      <c r="E14041" t="s">
        <v>1396</v>
      </c>
      <c r="F14041" t="s">
        <v>1397</v>
      </c>
      <c r="G14041">
        <v>230.08</v>
      </c>
      <c r="H14041">
        <v>250430</v>
      </c>
      <c r="I14041">
        <v>4600</v>
      </c>
      <c r="J14041" t="s">
        <v>278</v>
      </c>
      <c r="K14041">
        <v>230.08</v>
      </c>
      <c r="L14041">
        <v>46.75</v>
      </c>
      <c r="M14041">
        <v>44453</v>
      </c>
      <c r="N14041" t="s">
        <v>100</v>
      </c>
      <c r="O14041">
        <v>250508</v>
      </c>
      <c r="P14041">
        <v>183.33</v>
      </c>
    </row>
    <row r="14042" spans="1:16" x14ac:dyDescent="0.25">
      <c r="A14042" t="s">
        <v>3296</v>
      </c>
      <c r="B14042" t="s">
        <v>2931</v>
      </c>
      <c r="C14042">
        <v>11248</v>
      </c>
      <c r="D14042" t="str">
        <f>"174450      "</f>
        <v xml:space="preserve">174450      </v>
      </c>
      <c r="E14042" t="s">
        <v>1396</v>
      </c>
      <c r="F14042" t="s">
        <v>1397</v>
      </c>
      <c r="G14042">
        <v>98.99</v>
      </c>
      <c r="H14042">
        <v>250827</v>
      </c>
      <c r="I14042">
        <v>4600</v>
      </c>
      <c r="J14042" t="s">
        <v>278</v>
      </c>
      <c r="K14042">
        <v>98.99</v>
      </c>
      <c r="L14042">
        <v>20.11</v>
      </c>
      <c r="M14042">
        <v>44423</v>
      </c>
      <c r="N14042" t="s">
        <v>98</v>
      </c>
      <c r="O14042">
        <v>250902</v>
      </c>
      <c r="P14042">
        <v>78.88</v>
      </c>
    </row>
    <row r="14043" spans="1:16" x14ac:dyDescent="0.25">
      <c r="A14043" t="s">
        <v>3296</v>
      </c>
      <c r="B14043" t="s">
        <v>2931</v>
      </c>
      <c r="C14043">
        <v>15424</v>
      </c>
      <c r="D14043" t="str">
        <f>"177554      "</f>
        <v xml:space="preserve">177554      </v>
      </c>
      <c r="E14043" t="s">
        <v>1396</v>
      </c>
      <c r="F14043" t="s">
        <v>1397</v>
      </c>
      <c r="G14043">
        <v>644.1</v>
      </c>
      <c r="H14043">
        <v>251114</v>
      </c>
      <c r="I14043">
        <v>4600</v>
      </c>
      <c r="J14043" t="s">
        <v>278</v>
      </c>
      <c r="K14043">
        <v>644.1</v>
      </c>
      <c r="L14043">
        <v>130.87</v>
      </c>
      <c r="M14043">
        <v>44453</v>
      </c>
      <c r="N14043" t="s">
        <v>100</v>
      </c>
      <c r="O14043">
        <v>251120</v>
      </c>
      <c r="P14043">
        <v>513.23</v>
      </c>
    </row>
    <row r="14044" spans="1:16" x14ac:dyDescent="0.25">
      <c r="A14044" t="s">
        <v>3296</v>
      </c>
      <c r="B14044" t="s">
        <v>2931</v>
      </c>
      <c r="C14044">
        <v>626</v>
      </c>
      <c r="D14044" t="str">
        <f>"90810       "</f>
        <v xml:space="preserve">90810       </v>
      </c>
      <c r="E14044" t="s">
        <v>623</v>
      </c>
      <c r="F14044" t="s">
        <v>624</v>
      </c>
      <c r="G14044">
        <v>504.64</v>
      </c>
      <c r="H14044">
        <v>250122</v>
      </c>
      <c r="I14044">
        <v>4420</v>
      </c>
      <c r="J14044" t="s">
        <v>330</v>
      </c>
      <c r="K14044">
        <v>1433.34</v>
      </c>
      <c r="L14044">
        <v>102.54</v>
      </c>
      <c r="M14044">
        <v>16930</v>
      </c>
      <c r="N14044" t="s">
        <v>135</v>
      </c>
      <c r="O14044">
        <v>250124</v>
      </c>
      <c r="P14044">
        <v>402.1</v>
      </c>
    </row>
    <row r="14045" spans="1:16" x14ac:dyDescent="0.25">
      <c r="A14045" t="s">
        <v>3296</v>
      </c>
      <c r="B14045" t="s">
        <v>2931</v>
      </c>
      <c r="C14045">
        <v>4792</v>
      </c>
      <c r="D14045" t="str">
        <f>"97342       "</f>
        <v xml:space="preserve">97342       </v>
      </c>
      <c r="E14045" t="s">
        <v>623</v>
      </c>
      <c r="F14045" t="s">
        <v>624</v>
      </c>
      <c r="G14045">
        <v>133.03</v>
      </c>
      <c r="H14045">
        <v>250411</v>
      </c>
      <c r="I14045">
        <v>4420</v>
      </c>
      <c r="J14045" t="s">
        <v>330</v>
      </c>
      <c r="K14045">
        <v>1433.34</v>
      </c>
      <c r="L14045">
        <v>27.03</v>
      </c>
      <c r="M14045">
        <v>16930</v>
      </c>
      <c r="N14045" t="s">
        <v>135</v>
      </c>
      <c r="O14045">
        <v>250415</v>
      </c>
      <c r="P14045">
        <v>106</v>
      </c>
    </row>
    <row r="14046" spans="1:16" x14ac:dyDescent="0.25">
      <c r="A14046" t="s">
        <v>3296</v>
      </c>
      <c r="B14046" t="s">
        <v>2931</v>
      </c>
      <c r="C14046">
        <v>4792</v>
      </c>
      <c r="D14046" t="str">
        <f>"97342       "</f>
        <v xml:space="preserve">97342       </v>
      </c>
      <c r="E14046" t="s">
        <v>623</v>
      </c>
      <c r="F14046" t="s">
        <v>624</v>
      </c>
      <c r="G14046">
        <v>371.61</v>
      </c>
      <c r="H14046">
        <v>250411</v>
      </c>
      <c r="I14046">
        <v>4420</v>
      </c>
      <c r="J14046" t="s">
        <v>330</v>
      </c>
      <c r="K14046">
        <v>1433.34</v>
      </c>
      <c r="L14046">
        <v>75.510000000000005</v>
      </c>
      <c r="M14046">
        <v>16930</v>
      </c>
      <c r="N14046" t="s">
        <v>135</v>
      </c>
      <c r="O14046">
        <v>250415</v>
      </c>
      <c r="P14046">
        <v>296.10000000000002</v>
      </c>
    </row>
    <row r="14047" spans="1:16" x14ac:dyDescent="0.25">
      <c r="A14047" t="s">
        <v>3296</v>
      </c>
      <c r="B14047" t="s">
        <v>2931</v>
      </c>
      <c r="C14047">
        <v>14833</v>
      </c>
      <c r="D14047" t="str">
        <f>"OKL-1427    "</f>
        <v xml:space="preserve">OKL-1427    </v>
      </c>
      <c r="E14047" t="s">
        <v>623</v>
      </c>
      <c r="F14047" t="s">
        <v>624</v>
      </c>
      <c r="G14047">
        <v>504.64</v>
      </c>
      <c r="H14047">
        <v>251031</v>
      </c>
      <c r="I14047">
        <v>4420</v>
      </c>
      <c r="J14047" t="s">
        <v>330</v>
      </c>
      <c r="K14047">
        <v>1433.34</v>
      </c>
      <c r="L14047">
        <v>102.54</v>
      </c>
      <c r="M14047">
        <v>16930</v>
      </c>
      <c r="N14047" t="s">
        <v>135</v>
      </c>
      <c r="O14047">
        <v>251107</v>
      </c>
      <c r="P14047">
        <v>402.1</v>
      </c>
    </row>
    <row r="14048" spans="1:16" x14ac:dyDescent="0.25">
      <c r="A14048" t="s">
        <v>3296</v>
      </c>
      <c r="B14048" t="s">
        <v>2931</v>
      </c>
      <c r="C14048">
        <v>15221</v>
      </c>
      <c r="D14048" t="str">
        <f>"OKL-2592    "</f>
        <v xml:space="preserve">OKL-2592    </v>
      </c>
      <c r="E14048" t="s">
        <v>623</v>
      </c>
      <c r="F14048" t="s">
        <v>624</v>
      </c>
      <c r="G14048">
        <v>1044.03</v>
      </c>
      <c r="H14048">
        <v>251031</v>
      </c>
      <c r="I14048">
        <v>4420</v>
      </c>
      <c r="J14048" t="s">
        <v>330</v>
      </c>
      <c r="K14048">
        <v>3378.33</v>
      </c>
      <c r="L14048">
        <v>212.13</v>
      </c>
      <c r="M14048">
        <v>16930</v>
      </c>
      <c r="N14048" t="s">
        <v>135</v>
      </c>
      <c r="O14048">
        <v>251114</v>
      </c>
      <c r="P14048">
        <v>831.9</v>
      </c>
    </row>
    <row r="14049" spans="1:16" x14ac:dyDescent="0.25">
      <c r="A14049" t="s">
        <v>3296</v>
      </c>
      <c r="B14049" t="s">
        <v>2931</v>
      </c>
      <c r="C14049">
        <v>626</v>
      </c>
      <c r="D14049" t="str">
        <f>"90810       "</f>
        <v xml:space="preserve">90810       </v>
      </c>
      <c r="E14049" t="s">
        <v>623</v>
      </c>
      <c r="F14049" t="s">
        <v>624</v>
      </c>
      <c r="G14049">
        <v>928.7</v>
      </c>
      <c r="H14049">
        <v>250122</v>
      </c>
      <c r="I14049">
        <v>4440</v>
      </c>
      <c r="J14049" t="s">
        <v>346</v>
      </c>
      <c r="K14049">
        <v>1433.34</v>
      </c>
      <c r="L14049">
        <v>188.7</v>
      </c>
      <c r="M14049">
        <v>16930</v>
      </c>
      <c r="N14049" t="s">
        <v>135</v>
      </c>
      <c r="O14049">
        <v>250124</v>
      </c>
      <c r="P14049">
        <v>740</v>
      </c>
    </row>
    <row r="14050" spans="1:16" x14ac:dyDescent="0.25">
      <c r="A14050" t="s">
        <v>3296</v>
      </c>
      <c r="B14050" t="s">
        <v>2931</v>
      </c>
      <c r="C14050">
        <v>4792</v>
      </c>
      <c r="D14050" t="str">
        <f>"97342       "</f>
        <v xml:space="preserve">97342       </v>
      </c>
      <c r="E14050" t="s">
        <v>623</v>
      </c>
      <c r="F14050" t="s">
        <v>624</v>
      </c>
      <c r="G14050">
        <v>928.7</v>
      </c>
      <c r="H14050">
        <v>250411</v>
      </c>
      <c r="I14050">
        <v>4440</v>
      </c>
      <c r="J14050" t="s">
        <v>346</v>
      </c>
      <c r="K14050">
        <v>1433.34</v>
      </c>
      <c r="L14050">
        <v>188.7</v>
      </c>
      <c r="M14050">
        <v>16930</v>
      </c>
      <c r="N14050" t="s">
        <v>135</v>
      </c>
      <c r="O14050">
        <v>250415</v>
      </c>
      <c r="P14050">
        <v>740</v>
      </c>
    </row>
    <row r="14051" spans="1:16" x14ac:dyDescent="0.25">
      <c r="A14051" t="s">
        <v>3296</v>
      </c>
      <c r="B14051" t="s">
        <v>2931</v>
      </c>
      <c r="C14051">
        <v>14833</v>
      </c>
      <c r="D14051" t="str">
        <f>"OKL-1427    "</f>
        <v xml:space="preserve">OKL-1427    </v>
      </c>
      <c r="E14051" t="s">
        <v>623</v>
      </c>
      <c r="F14051" t="s">
        <v>624</v>
      </c>
      <c r="G14051">
        <v>928.7</v>
      </c>
      <c r="H14051">
        <v>251031</v>
      </c>
      <c r="I14051">
        <v>4440</v>
      </c>
      <c r="J14051" t="s">
        <v>346</v>
      </c>
      <c r="K14051">
        <v>1433.34</v>
      </c>
      <c r="L14051">
        <v>188.7</v>
      </c>
      <c r="M14051">
        <v>16930</v>
      </c>
      <c r="N14051" t="s">
        <v>135</v>
      </c>
      <c r="O14051">
        <v>251107</v>
      </c>
      <c r="P14051">
        <v>740</v>
      </c>
    </row>
    <row r="14052" spans="1:16" x14ac:dyDescent="0.25">
      <c r="A14052" t="s">
        <v>3296</v>
      </c>
      <c r="B14052" t="s">
        <v>2931</v>
      </c>
      <c r="C14052">
        <v>15221</v>
      </c>
      <c r="D14052" t="str">
        <f>"OKL-2592    "</f>
        <v xml:space="preserve">OKL-2592    </v>
      </c>
      <c r="E14052" t="s">
        <v>623</v>
      </c>
      <c r="F14052" t="s">
        <v>624</v>
      </c>
      <c r="G14052">
        <v>2334.3000000000002</v>
      </c>
      <c r="H14052">
        <v>251031</v>
      </c>
      <c r="I14052">
        <v>4440</v>
      </c>
      <c r="J14052" t="s">
        <v>346</v>
      </c>
      <c r="K14052">
        <v>3378.33</v>
      </c>
      <c r="L14052">
        <v>474.3</v>
      </c>
      <c r="M14052">
        <v>16930</v>
      </c>
      <c r="N14052" t="s">
        <v>135</v>
      </c>
      <c r="O14052">
        <v>251114</v>
      </c>
      <c r="P14052">
        <v>1860</v>
      </c>
    </row>
    <row r="14053" spans="1:16" x14ac:dyDescent="0.25">
      <c r="A14053" t="s">
        <v>3296</v>
      </c>
      <c r="B14053" t="s">
        <v>2931</v>
      </c>
      <c r="C14053">
        <v>17918</v>
      </c>
      <c r="D14053" t="str">
        <f>"10013101    "</f>
        <v xml:space="preserve">10013101    </v>
      </c>
      <c r="E14053" t="s">
        <v>2880</v>
      </c>
      <c r="F14053" t="s">
        <v>2881</v>
      </c>
      <c r="G14053">
        <v>62</v>
      </c>
      <c r="H14053">
        <v>251222</v>
      </c>
      <c r="I14053">
        <v>4350</v>
      </c>
      <c r="J14053" t="s">
        <v>290</v>
      </c>
      <c r="K14053">
        <v>62</v>
      </c>
      <c r="L14053">
        <v>12.6</v>
      </c>
      <c r="M14053">
        <v>11301</v>
      </c>
      <c r="N14053" t="s">
        <v>92</v>
      </c>
      <c r="O14053">
        <v>260107</v>
      </c>
      <c r="P14053">
        <v>49.4</v>
      </c>
    </row>
    <row r="14054" spans="1:16" x14ac:dyDescent="0.25">
      <c r="A14054" t="s">
        <v>3296</v>
      </c>
      <c r="B14054" t="s">
        <v>2931</v>
      </c>
      <c r="C14054">
        <v>1439</v>
      </c>
      <c r="D14054" t="str">
        <f>"10011321    "</f>
        <v xml:space="preserve">10011321    </v>
      </c>
      <c r="E14054" t="s">
        <v>2880</v>
      </c>
      <c r="F14054" t="s">
        <v>2881</v>
      </c>
      <c r="G14054">
        <v>323.79000000000002</v>
      </c>
      <c r="H14054">
        <v>250131</v>
      </c>
      <c r="I14054">
        <v>4380</v>
      </c>
      <c r="J14054" t="s">
        <v>211</v>
      </c>
      <c r="K14054">
        <v>323.79000000000002</v>
      </c>
      <c r="L14054">
        <v>65.790000000000006</v>
      </c>
      <c r="M14054">
        <v>13841</v>
      </c>
      <c r="N14054" t="s">
        <v>178</v>
      </c>
      <c r="O14054">
        <v>250210</v>
      </c>
      <c r="P14054">
        <v>258</v>
      </c>
    </row>
    <row r="14055" spans="1:16" x14ac:dyDescent="0.25">
      <c r="A14055" t="s">
        <v>3296</v>
      </c>
      <c r="B14055" t="s">
        <v>2931</v>
      </c>
      <c r="C14055">
        <v>8419</v>
      </c>
      <c r="D14055" t="str">
        <f>"10011486    "</f>
        <v xml:space="preserve">10011486    </v>
      </c>
      <c r="E14055" t="s">
        <v>2880</v>
      </c>
      <c r="F14055" t="s">
        <v>2881</v>
      </c>
      <c r="G14055">
        <v>323.79000000000002</v>
      </c>
      <c r="H14055">
        <v>250531</v>
      </c>
      <c r="I14055">
        <v>4380</v>
      </c>
      <c r="J14055" t="s">
        <v>211</v>
      </c>
      <c r="K14055">
        <v>323.79000000000002</v>
      </c>
      <c r="L14055">
        <v>65.790000000000006</v>
      </c>
      <c r="M14055">
        <v>13841</v>
      </c>
      <c r="N14055" t="s">
        <v>178</v>
      </c>
      <c r="O14055">
        <v>250613</v>
      </c>
      <c r="P14055">
        <v>258</v>
      </c>
    </row>
    <row r="14056" spans="1:16" x14ac:dyDescent="0.25">
      <c r="A14056" t="s">
        <v>3296</v>
      </c>
      <c r="B14056" t="s">
        <v>2931</v>
      </c>
      <c r="C14056">
        <v>8619</v>
      </c>
      <c r="D14056" t="str">
        <f>"10011502    "</f>
        <v xml:space="preserve">10011502    </v>
      </c>
      <c r="E14056" t="s">
        <v>2880</v>
      </c>
      <c r="F14056" t="s">
        <v>2881</v>
      </c>
      <c r="G14056">
        <v>647.58000000000004</v>
      </c>
      <c r="H14056">
        <v>250531</v>
      </c>
      <c r="I14056">
        <v>4380</v>
      </c>
      <c r="J14056" t="s">
        <v>211</v>
      </c>
      <c r="K14056">
        <v>647.58000000000004</v>
      </c>
      <c r="L14056">
        <v>131.58000000000001</v>
      </c>
      <c r="M14056">
        <v>13841</v>
      </c>
      <c r="N14056" t="s">
        <v>178</v>
      </c>
      <c r="O14056">
        <v>250617</v>
      </c>
      <c r="P14056">
        <v>516</v>
      </c>
    </row>
    <row r="14057" spans="1:16" x14ac:dyDescent="0.25">
      <c r="A14057" t="s">
        <v>3296</v>
      </c>
      <c r="B14057" t="s">
        <v>2931</v>
      </c>
      <c r="C14057">
        <v>12281</v>
      </c>
      <c r="D14057" t="str">
        <f>"10011652    "</f>
        <v xml:space="preserve">10011652    </v>
      </c>
      <c r="E14057" t="s">
        <v>2880</v>
      </c>
      <c r="F14057" t="s">
        <v>2881</v>
      </c>
      <c r="G14057">
        <v>323.79000000000002</v>
      </c>
      <c r="H14057">
        <v>250916</v>
      </c>
      <c r="I14057">
        <v>4380</v>
      </c>
      <c r="J14057" t="s">
        <v>211</v>
      </c>
      <c r="K14057">
        <v>323.79000000000002</v>
      </c>
      <c r="L14057">
        <v>65.790000000000006</v>
      </c>
      <c r="M14057">
        <v>13841</v>
      </c>
      <c r="N14057" t="s">
        <v>178</v>
      </c>
      <c r="O14057">
        <v>250918</v>
      </c>
      <c r="P14057">
        <v>258</v>
      </c>
    </row>
    <row r="14058" spans="1:16" x14ac:dyDescent="0.25">
      <c r="A14058" t="s">
        <v>3296</v>
      </c>
      <c r="B14058" t="s">
        <v>2931</v>
      </c>
      <c r="C14058">
        <v>15844</v>
      </c>
      <c r="D14058" t="str">
        <f>"10011755    "</f>
        <v xml:space="preserve">10011755    </v>
      </c>
      <c r="E14058" t="s">
        <v>2880</v>
      </c>
      <c r="F14058" t="s">
        <v>2881</v>
      </c>
      <c r="G14058">
        <v>647.58000000000004</v>
      </c>
      <c r="H14058">
        <v>251125</v>
      </c>
      <c r="I14058">
        <v>4380</v>
      </c>
      <c r="J14058" t="s">
        <v>211</v>
      </c>
      <c r="K14058">
        <v>647.58000000000004</v>
      </c>
      <c r="L14058">
        <v>131.58000000000001</v>
      </c>
      <c r="M14058">
        <v>13841</v>
      </c>
      <c r="N14058" t="s">
        <v>178</v>
      </c>
      <c r="O14058">
        <v>251127</v>
      </c>
      <c r="P14058">
        <v>516</v>
      </c>
    </row>
    <row r="14059" spans="1:16" x14ac:dyDescent="0.25">
      <c r="A14059" t="s">
        <v>3296</v>
      </c>
      <c r="B14059" t="s">
        <v>2931</v>
      </c>
      <c r="C14059">
        <v>8791</v>
      </c>
      <c r="D14059" t="str">
        <f>"10011501    "</f>
        <v xml:space="preserve">10011501    </v>
      </c>
      <c r="E14059" t="s">
        <v>2880</v>
      </c>
      <c r="F14059" t="s">
        <v>2881</v>
      </c>
      <c r="G14059">
        <v>224.87</v>
      </c>
      <c r="H14059">
        <v>250610</v>
      </c>
      <c r="I14059">
        <v>4510</v>
      </c>
      <c r="J14059" t="s">
        <v>240</v>
      </c>
      <c r="K14059">
        <v>469.38</v>
      </c>
      <c r="L14059">
        <v>27.62</v>
      </c>
      <c r="M14059">
        <v>16321</v>
      </c>
      <c r="N14059" t="s">
        <v>16</v>
      </c>
      <c r="O14059">
        <v>250618</v>
      </c>
      <c r="P14059">
        <v>197.25</v>
      </c>
    </row>
    <row r="14060" spans="1:16" x14ac:dyDescent="0.25">
      <c r="A14060" t="s">
        <v>3296</v>
      </c>
      <c r="B14060" t="s">
        <v>2931</v>
      </c>
      <c r="C14060">
        <v>8791</v>
      </c>
      <c r="D14060" t="str">
        <f>"10011501    "</f>
        <v xml:space="preserve">10011501    </v>
      </c>
      <c r="E14060" t="s">
        <v>2880</v>
      </c>
      <c r="F14060" t="s">
        <v>2881</v>
      </c>
      <c r="G14060">
        <v>244.51</v>
      </c>
      <c r="H14060">
        <v>250610</v>
      </c>
      <c r="I14060">
        <v>4510</v>
      </c>
      <c r="J14060" t="s">
        <v>240</v>
      </c>
      <c r="K14060">
        <v>469.38</v>
      </c>
      <c r="L14060">
        <v>30.03</v>
      </c>
      <c r="M14060">
        <v>17804</v>
      </c>
      <c r="N14060" t="s">
        <v>20</v>
      </c>
      <c r="O14060">
        <v>250618</v>
      </c>
      <c r="P14060">
        <v>214.48</v>
      </c>
    </row>
    <row r="14061" spans="1:16" x14ac:dyDescent="0.25">
      <c r="A14061" t="s">
        <v>3296</v>
      </c>
      <c r="B14061" t="s">
        <v>2931</v>
      </c>
      <c r="C14061">
        <v>16108</v>
      </c>
      <c r="D14061" t="str">
        <f>"10013033    "</f>
        <v xml:space="preserve">10013033    </v>
      </c>
      <c r="E14061" t="s">
        <v>2880</v>
      </c>
      <c r="F14061" t="s">
        <v>2881</v>
      </c>
      <c r="G14061">
        <v>500.99</v>
      </c>
      <c r="H14061">
        <v>251202</v>
      </c>
      <c r="I14061">
        <v>4510</v>
      </c>
      <c r="J14061" t="s">
        <v>240</v>
      </c>
      <c r="K14061">
        <v>715.7</v>
      </c>
      <c r="L14061">
        <v>61.53</v>
      </c>
      <c r="M14061">
        <v>16321</v>
      </c>
      <c r="N14061" t="s">
        <v>16</v>
      </c>
      <c r="O14061">
        <v>251203</v>
      </c>
      <c r="P14061">
        <v>439.46</v>
      </c>
    </row>
    <row r="14062" spans="1:16" x14ac:dyDescent="0.25">
      <c r="A14062" t="s">
        <v>3296</v>
      </c>
      <c r="B14062" t="s">
        <v>2931</v>
      </c>
      <c r="C14062">
        <v>16108</v>
      </c>
      <c r="D14062" t="str">
        <f>"10013033    "</f>
        <v xml:space="preserve">10013033    </v>
      </c>
      <c r="E14062" t="s">
        <v>2880</v>
      </c>
      <c r="F14062" t="s">
        <v>2881</v>
      </c>
      <c r="G14062">
        <v>214.71</v>
      </c>
      <c r="H14062">
        <v>251202</v>
      </c>
      <c r="I14062">
        <v>4510</v>
      </c>
      <c r="J14062" t="s">
        <v>240</v>
      </c>
      <c r="K14062">
        <v>715.7</v>
      </c>
      <c r="L14062">
        <v>26.37</v>
      </c>
      <c r="M14062">
        <v>17804</v>
      </c>
      <c r="N14062" t="s">
        <v>20</v>
      </c>
      <c r="O14062">
        <v>251203</v>
      </c>
      <c r="P14062">
        <v>188.34</v>
      </c>
    </row>
    <row r="14063" spans="1:16" x14ac:dyDescent="0.25">
      <c r="A14063" t="s">
        <v>3296</v>
      </c>
      <c r="B14063" t="s">
        <v>2931</v>
      </c>
      <c r="C14063">
        <v>76</v>
      </c>
      <c r="D14063" t="str">
        <f>"40003306    "</f>
        <v xml:space="preserve">40003306    </v>
      </c>
      <c r="E14063" t="s">
        <v>2880</v>
      </c>
      <c r="F14063" t="s">
        <v>2881</v>
      </c>
      <c r="G14063">
        <v>994.31</v>
      </c>
      <c r="H14063">
        <v>250101</v>
      </c>
      <c r="I14063">
        <v>4820</v>
      </c>
      <c r="J14063" t="s">
        <v>169</v>
      </c>
      <c r="K14063">
        <v>994.31</v>
      </c>
      <c r="L14063">
        <v>202.03</v>
      </c>
      <c r="M14063">
        <v>17955</v>
      </c>
      <c r="N14063" t="s">
        <v>899</v>
      </c>
      <c r="O14063">
        <v>250107</v>
      </c>
      <c r="P14063">
        <v>792.28</v>
      </c>
    </row>
    <row r="14064" spans="1:16" x14ac:dyDescent="0.25">
      <c r="A14064" t="s">
        <v>3296</v>
      </c>
      <c r="B14064" t="s">
        <v>2931</v>
      </c>
      <c r="C14064">
        <v>81</v>
      </c>
      <c r="D14064" t="str">
        <f>"40003307    "</f>
        <v xml:space="preserve">40003307    </v>
      </c>
      <c r="E14064" t="s">
        <v>2880</v>
      </c>
      <c r="F14064" t="s">
        <v>2881</v>
      </c>
      <c r="G14064">
        <v>3533.35</v>
      </c>
      <c r="H14064">
        <v>250101</v>
      </c>
      <c r="I14064">
        <v>4820</v>
      </c>
      <c r="J14064" t="s">
        <v>169</v>
      </c>
      <c r="K14064">
        <v>3533.35</v>
      </c>
      <c r="L14064">
        <v>717.93</v>
      </c>
      <c r="M14064">
        <v>13641</v>
      </c>
      <c r="N14064" t="s">
        <v>871</v>
      </c>
      <c r="O14064">
        <v>250107</v>
      </c>
      <c r="P14064">
        <v>2815.42</v>
      </c>
    </row>
    <row r="14065" spans="1:16" x14ac:dyDescent="0.25">
      <c r="A14065" t="s">
        <v>3296</v>
      </c>
      <c r="B14065" t="s">
        <v>2931</v>
      </c>
      <c r="C14065">
        <v>83</v>
      </c>
      <c r="D14065" t="str">
        <f>"40003305    "</f>
        <v xml:space="preserve">40003305    </v>
      </c>
      <c r="E14065" t="s">
        <v>2880</v>
      </c>
      <c r="F14065" t="s">
        <v>2881</v>
      </c>
      <c r="G14065">
        <v>2678.38</v>
      </c>
      <c r="H14065">
        <v>250101</v>
      </c>
      <c r="I14065">
        <v>4820</v>
      </c>
      <c r="J14065" t="s">
        <v>169</v>
      </c>
      <c r="K14065">
        <v>2678.38</v>
      </c>
      <c r="L14065">
        <v>544.21</v>
      </c>
      <c r="M14065">
        <v>17955</v>
      </c>
      <c r="N14065" t="s">
        <v>899</v>
      </c>
      <c r="O14065">
        <v>250107</v>
      </c>
      <c r="P14065">
        <v>2134.17</v>
      </c>
    </row>
    <row r="14066" spans="1:16" x14ac:dyDescent="0.25">
      <c r="A14066" t="s">
        <v>3296</v>
      </c>
      <c r="B14066" t="s">
        <v>2931</v>
      </c>
      <c r="C14066">
        <v>84</v>
      </c>
      <c r="D14066" t="str">
        <f>"40003304    "</f>
        <v xml:space="preserve">40003304    </v>
      </c>
      <c r="E14066" t="s">
        <v>2880</v>
      </c>
      <c r="F14066" t="s">
        <v>2881</v>
      </c>
      <c r="G14066">
        <v>2438.9299999999998</v>
      </c>
      <c r="H14066">
        <v>250101</v>
      </c>
      <c r="I14066">
        <v>4820</v>
      </c>
      <c r="J14066" t="s">
        <v>169</v>
      </c>
      <c r="K14066">
        <v>2438.9299999999998</v>
      </c>
      <c r="L14066">
        <v>495.56</v>
      </c>
      <c r="M14066">
        <v>13841</v>
      </c>
      <c r="N14066" t="s">
        <v>178</v>
      </c>
      <c r="O14066">
        <v>250107</v>
      </c>
      <c r="P14066">
        <v>1943.37</v>
      </c>
    </row>
    <row r="14067" spans="1:16" x14ac:dyDescent="0.25">
      <c r="A14067" t="s">
        <v>3296</v>
      </c>
      <c r="B14067" t="s">
        <v>2931</v>
      </c>
      <c r="C14067">
        <v>473</v>
      </c>
      <c r="D14067" t="str">
        <f>"40003371    "</f>
        <v xml:space="preserve">40003371    </v>
      </c>
      <c r="E14067" t="s">
        <v>2880</v>
      </c>
      <c r="F14067" t="s">
        <v>2881</v>
      </c>
      <c r="G14067">
        <v>3533.35</v>
      </c>
      <c r="H14067">
        <v>250201</v>
      </c>
      <c r="I14067">
        <v>4820</v>
      </c>
      <c r="J14067" t="s">
        <v>169</v>
      </c>
      <c r="K14067">
        <v>3533.35</v>
      </c>
      <c r="L14067">
        <v>717.93</v>
      </c>
      <c r="M14067">
        <v>13641</v>
      </c>
      <c r="N14067" t="s">
        <v>871</v>
      </c>
      <c r="O14067">
        <v>250123</v>
      </c>
      <c r="P14067">
        <v>2815.42</v>
      </c>
    </row>
    <row r="14068" spans="1:16" x14ac:dyDescent="0.25">
      <c r="A14068" t="s">
        <v>3296</v>
      </c>
      <c r="B14068" t="s">
        <v>2931</v>
      </c>
      <c r="C14068">
        <v>476</v>
      </c>
      <c r="D14068" t="str">
        <f>"40003369    "</f>
        <v xml:space="preserve">40003369    </v>
      </c>
      <c r="E14068" t="s">
        <v>2880</v>
      </c>
      <c r="F14068" t="s">
        <v>2881</v>
      </c>
      <c r="G14068">
        <v>2678.38</v>
      </c>
      <c r="H14068">
        <v>250201</v>
      </c>
      <c r="I14068">
        <v>4820</v>
      </c>
      <c r="J14068" t="s">
        <v>169</v>
      </c>
      <c r="K14068">
        <v>2678.38</v>
      </c>
      <c r="L14068">
        <v>544.21</v>
      </c>
      <c r="M14068">
        <v>17955</v>
      </c>
      <c r="N14068" t="s">
        <v>899</v>
      </c>
      <c r="O14068">
        <v>250123</v>
      </c>
      <c r="P14068">
        <v>2134.17</v>
      </c>
    </row>
    <row r="14069" spans="1:16" x14ac:dyDescent="0.25">
      <c r="A14069" t="s">
        <v>3296</v>
      </c>
      <c r="B14069" t="s">
        <v>2931</v>
      </c>
      <c r="C14069">
        <v>477</v>
      </c>
      <c r="D14069" t="str">
        <f>"40003370    "</f>
        <v xml:space="preserve">40003370    </v>
      </c>
      <c r="E14069" t="s">
        <v>2880</v>
      </c>
      <c r="F14069" t="s">
        <v>2881</v>
      </c>
      <c r="G14069">
        <v>994.31</v>
      </c>
      <c r="H14069">
        <v>250201</v>
      </c>
      <c r="I14069">
        <v>4820</v>
      </c>
      <c r="J14069" t="s">
        <v>169</v>
      </c>
      <c r="K14069">
        <v>994.31</v>
      </c>
      <c r="L14069">
        <v>202.03</v>
      </c>
      <c r="M14069">
        <v>17955</v>
      </c>
      <c r="N14069" t="s">
        <v>899</v>
      </c>
      <c r="O14069">
        <v>250123</v>
      </c>
      <c r="P14069">
        <v>792.28</v>
      </c>
    </row>
    <row r="14070" spans="1:16" x14ac:dyDescent="0.25">
      <c r="A14070" t="s">
        <v>3296</v>
      </c>
      <c r="B14070" t="s">
        <v>2931</v>
      </c>
      <c r="C14070">
        <v>484</v>
      </c>
      <c r="D14070" t="str">
        <f>"40003368    "</f>
        <v xml:space="preserve">40003368    </v>
      </c>
      <c r="E14070" t="s">
        <v>2880</v>
      </c>
      <c r="F14070" t="s">
        <v>2881</v>
      </c>
      <c r="G14070">
        <v>2438.9299999999998</v>
      </c>
      <c r="H14070">
        <v>250201</v>
      </c>
      <c r="I14070">
        <v>4820</v>
      </c>
      <c r="J14070" t="s">
        <v>169</v>
      </c>
      <c r="K14070">
        <v>2438.9299999999998</v>
      </c>
      <c r="L14070">
        <v>495.56</v>
      </c>
      <c r="M14070">
        <v>13841</v>
      </c>
      <c r="N14070" t="s">
        <v>178</v>
      </c>
      <c r="O14070">
        <v>250123</v>
      </c>
      <c r="P14070">
        <v>1943.37</v>
      </c>
    </row>
    <row r="14071" spans="1:16" x14ac:dyDescent="0.25">
      <c r="A14071" t="s">
        <v>3296</v>
      </c>
      <c r="B14071" t="s">
        <v>2931</v>
      </c>
      <c r="C14071">
        <v>2232</v>
      </c>
      <c r="D14071" t="str">
        <f>"40003438    "</f>
        <v xml:space="preserve">40003438    </v>
      </c>
      <c r="E14071" t="s">
        <v>2880</v>
      </c>
      <c r="F14071" t="s">
        <v>2881</v>
      </c>
      <c r="G14071">
        <v>2678.38</v>
      </c>
      <c r="H14071">
        <v>250301</v>
      </c>
      <c r="I14071">
        <v>4820</v>
      </c>
      <c r="J14071" t="s">
        <v>169</v>
      </c>
      <c r="K14071">
        <v>2678.38</v>
      </c>
      <c r="L14071">
        <v>544.21</v>
      </c>
      <c r="M14071">
        <v>17955</v>
      </c>
      <c r="N14071" t="s">
        <v>899</v>
      </c>
      <c r="O14071">
        <v>250221</v>
      </c>
      <c r="P14071">
        <v>2134.17</v>
      </c>
    </row>
    <row r="14072" spans="1:16" x14ac:dyDescent="0.25">
      <c r="A14072" t="s">
        <v>3296</v>
      </c>
      <c r="B14072" t="s">
        <v>2931</v>
      </c>
      <c r="C14072">
        <v>2315</v>
      </c>
      <c r="D14072" t="str">
        <f>"40003440    "</f>
        <v xml:space="preserve">40003440    </v>
      </c>
      <c r="E14072" t="s">
        <v>2880</v>
      </c>
      <c r="F14072" t="s">
        <v>2881</v>
      </c>
      <c r="G14072">
        <v>3533.35</v>
      </c>
      <c r="H14072">
        <v>250301</v>
      </c>
      <c r="I14072">
        <v>4820</v>
      </c>
      <c r="J14072" t="s">
        <v>169</v>
      </c>
      <c r="K14072">
        <v>3533.35</v>
      </c>
      <c r="L14072">
        <v>717.93</v>
      </c>
      <c r="M14072">
        <v>13641</v>
      </c>
      <c r="N14072" t="s">
        <v>871</v>
      </c>
      <c r="O14072">
        <v>250224</v>
      </c>
      <c r="P14072">
        <v>2815.42</v>
      </c>
    </row>
    <row r="14073" spans="1:16" x14ac:dyDescent="0.25">
      <c r="A14073" t="s">
        <v>3296</v>
      </c>
      <c r="B14073" t="s">
        <v>2931</v>
      </c>
      <c r="C14073">
        <v>2318</v>
      </c>
      <c r="D14073" t="str">
        <f>"40003437    "</f>
        <v xml:space="preserve">40003437    </v>
      </c>
      <c r="E14073" t="s">
        <v>2880</v>
      </c>
      <c r="F14073" t="s">
        <v>2881</v>
      </c>
      <c r="G14073">
        <v>2438.9299999999998</v>
      </c>
      <c r="H14073">
        <v>250301</v>
      </c>
      <c r="I14073">
        <v>4820</v>
      </c>
      <c r="J14073" t="s">
        <v>169</v>
      </c>
      <c r="K14073">
        <v>2438.9299999999998</v>
      </c>
      <c r="L14073">
        <v>495.56</v>
      </c>
      <c r="M14073">
        <v>13841</v>
      </c>
      <c r="N14073" t="s">
        <v>178</v>
      </c>
      <c r="O14073">
        <v>250224</v>
      </c>
      <c r="P14073">
        <v>1943.37</v>
      </c>
    </row>
    <row r="14074" spans="1:16" x14ac:dyDescent="0.25">
      <c r="A14074" t="s">
        <v>3296</v>
      </c>
      <c r="B14074" t="s">
        <v>2931</v>
      </c>
      <c r="C14074">
        <v>2328</v>
      </c>
      <c r="D14074" t="str">
        <f>"40003439    "</f>
        <v xml:space="preserve">40003439    </v>
      </c>
      <c r="E14074" t="s">
        <v>2880</v>
      </c>
      <c r="F14074" t="s">
        <v>2881</v>
      </c>
      <c r="G14074">
        <v>994.31</v>
      </c>
      <c r="H14074">
        <v>250301</v>
      </c>
      <c r="I14074">
        <v>4820</v>
      </c>
      <c r="J14074" t="s">
        <v>169</v>
      </c>
      <c r="K14074">
        <v>994.31</v>
      </c>
      <c r="L14074">
        <v>202.03</v>
      </c>
      <c r="M14074">
        <v>17955</v>
      </c>
      <c r="N14074" t="s">
        <v>899</v>
      </c>
      <c r="O14074">
        <v>250224</v>
      </c>
      <c r="P14074">
        <v>792.28</v>
      </c>
    </row>
    <row r="14075" spans="1:16" x14ac:dyDescent="0.25">
      <c r="A14075" t="s">
        <v>3296</v>
      </c>
      <c r="B14075" t="s">
        <v>2931</v>
      </c>
      <c r="C14075">
        <v>4006</v>
      </c>
      <c r="D14075" t="str">
        <f>"40003503    "</f>
        <v xml:space="preserve">40003503    </v>
      </c>
      <c r="E14075" t="s">
        <v>2880</v>
      </c>
      <c r="F14075" t="s">
        <v>2881</v>
      </c>
      <c r="G14075">
        <v>994.31</v>
      </c>
      <c r="H14075">
        <v>250401</v>
      </c>
      <c r="I14075">
        <v>4820</v>
      </c>
      <c r="J14075" t="s">
        <v>169</v>
      </c>
      <c r="K14075">
        <v>994.31</v>
      </c>
      <c r="L14075">
        <v>202.03</v>
      </c>
      <c r="M14075">
        <v>17955</v>
      </c>
      <c r="N14075" t="s">
        <v>899</v>
      </c>
      <c r="O14075">
        <v>250407</v>
      </c>
      <c r="P14075">
        <v>792.28</v>
      </c>
    </row>
    <row r="14076" spans="1:16" x14ac:dyDescent="0.25">
      <c r="A14076" t="s">
        <v>3296</v>
      </c>
      <c r="B14076" t="s">
        <v>2931</v>
      </c>
      <c r="C14076">
        <v>4007</v>
      </c>
      <c r="D14076" t="str">
        <f>"40003504    "</f>
        <v xml:space="preserve">40003504    </v>
      </c>
      <c r="E14076" t="s">
        <v>2880</v>
      </c>
      <c r="F14076" t="s">
        <v>2881</v>
      </c>
      <c r="G14076">
        <v>3533.35</v>
      </c>
      <c r="H14076">
        <v>250401</v>
      </c>
      <c r="I14076">
        <v>4820</v>
      </c>
      <c r="J14076" t="s">
        <v>169</v>
      </c>
      <c r="K14076">
        <v>3533.35</v>
      </c>
      <c r="L14076">
        <v>717.93</v>
      </c>
      <c r="M14076">
        <v>13641</v>
      </c>
      <c r="N14076" t="s">
        <v>871</v>
      </c>
      <c r="O14076">
        <v>250407</v>
      </c>
      <c r="P14076">
        <v>2815.42</v>
      </c>
    </row>
    <row r="14077" spans="1:16" x14ac:dyDescent="0.25">
      <c r="A14077" t="s">
        <v>3296</v>
      </c>
      <c r="B14077" t="s">
        <v>2931</v>
      </c>
      <c r="C14077">
        <v>4019</v>
      </c>
      <c r="D14077" t="str">
        <f>"40003502    "</f>
        <v xml:space="preserve">40003502    </v>
      </c>
      <c r="E14077" t="s">
        <v>2880</v>
      </c>
      <c r="F14077" t="s">
        <v>2881</v>
      </c>
      <c r="G14077">
        <v>2678.38</v>
      </c>
      <c r="H14077">
        <v>250401</v>
      </c>
      <c r="I14077">
        <v>4820</v>
      </c>
      <c r="J14077" t="s">
        <v>169</v>
      </c>
      <c r="K14077">
        <v>2678.38</v>
      </c>
      <c r="L14077">
        <v>544.21</v>
      </c>
      <c r="M14077">
        <v>17955</v>
      </c>
      <c r="N14077" t="s">
        <v>899</v>
      </c>
      <c r="O14077">
        <v>250407</v>
      </c>
      <c r="P14077">
        <v>2134.17</v>
      </c>
    </row>
    <row r="14078" spans="1:16" x14ac:dyDescent="0.25">
      <c r="A14078" t="s">
        <v>3296</v>
      </c>
      <c r="B14078" t="s">
        <v>2931</v>
      </c>
      <c r="C14078">
        <v>4020</v>
      </c>
      <c r="D14078" t="str">
        <f>"40003501    "</f>
        <v xml:space="preserve">40003501    </v>
      </c>
      <c r="E14078" t="s">
        <v>2880</v>
      </c>
      <c r="F14078" t="s">
        <v>2881</v>
      </c>
      <c r="G14078">
        <v>2438.9299999999998</v>
      </c>
      <c r="H14078">
        <v>250401</v>
      </c>
      <c r="I14078">
        <v>4820</v>
      </c>
      <c r="J14078" t="s">
        <v>169</v>
      </c>
      <c r="K14078">
        <v>2438.9299999999998</v>
      </c>
      <c r="L14078">
        <v>495.56</v>
      </c>
      <c r="M14078">
        <v>13841</v>
      </c>
      <c r="N14078" t="s">
        <v>178</v>
      </c>
      <c r="O14078">
        <v>250407</v>
      </c>
      <c r="P14078">
        <v>1943.37</v>
      </c>
    </row>
    <row r="14079" spans="1:16" x14ac:dyDescent="0.25">
      <c r="A14079" t="s">
        <v>3296</v>
      </c>
      <c r="B14079" t="s">
        <v>2931</v>
      </c>
      <c r="C14079">
        <v>5552</v>
      </c>
      <c r="D14079" t="str">
        <f>"40003583    "</f>
        <v xml:space="preserve">40003583    </v>
      </c>
      <c r="E14079" t="s">
        <v>2880</v>
      </c>
      <c r="F14079" t="s">
        <v>2881</v>
      </c>
      <c r="G14079">
        <v>2438.9299999999998</v>
      </c>
      <c r="H14079">
        <v>250501</v>
      </c>
      <c r="I14079">
        <v>4820</v>
      </c>
      <c r="J14079" t="s">
        <v>169</v>
      </c>
      <c r="K14079">
        <v>2438.9299999999998</v>
      </c>
      <c r="L14079">
        <v>495.56</v>
      </c>
      <c r="M14079">
        <v>13841</v>
      </c>
      <c r="N14079" t="s">
        <v>178</v>
      </c>
      <c r="O14079">
        <v>250425</v>
      </c>
      <c r="P14079">
        <v>1943.37</v>
      </c>
    </row>
    <row r="14080" spans="1:16" x14ac:dyDescent="0.25">
      <c r="A14080" t="s">
        <v>3296</v>
      </c>
      <c r="B14080" t="s">
        <v>2931</v>
      </c>
      <c r="C14080">
        <v>5572</v>
      </c>
      <c r="D14080" t="str">
        <f>"40003584    "</f>
        <v xml:space="preserve">40003584    </v>
      </c>
      <c r="E14080" t="s">
        <v>2880</v>
      </c>
      <c r="F14080" t="s">
        <v>2881</v>
      </c>
      <c r="G14080">
        <v>2678.38</v>
      </c>
      <c r="H14080">
        <v>250501</v>
      </c>
      <c r="I14080">
        <v>4820</v>
      </c>
      <c r="J14080" t="s">
        <v>169</v>
      </c>
      <c r="K14080">
        <v>2678.38</v>
      </c>
      <c r="L14080">
        <v>544.21</v>
      </c>
      <c r="M14080">
        <v>17955</v>
      </c>
      <c r="N14080" t="s">
        <v>899</v>
      </c>
      <c r="O14080">
        <v>250425</v>
      </c>
      <c r="P14080">
        <v>2134.17</v>
      </c>
    </row>
    <row r="14081" spans="1:16" x14ac:dyDescent="0.25">
      <c r="A14081" t="s">
        <v>3296</v>
      </c>
      <c r="B14081" t="s">
        <v>2931</v>
      </c>
      <c r="C14081">
        <v>5621</v>
      </c>
      <c r="D14081" t="str">
        <f>"40003585    "</f>
        <v xml:space="preserve">40003585    </v>
      </c>
      <c r="E14081" t="s">
        <v>2880</v>
      </c>
      <c r="F14081" t="s">
        <v>2881</v>
      </c>
      <c r="G14081">
        <v>994.31</v>
      </c>
      <c r="H14081">
        <v>250501</v>
      </c>
      <c r="I14081">
        <v>4820</v>
      </c>
      <c r="J14081" t="s">
        <v>169</v>
      </c>
      <c r="K14081">
        <v>994.31</v>
      </c>
      <c r="L14081">
        <v>202.03</v>
      </c>
      <c r="M14081">
        <v>17955</v>
      </c>
      <c r="N14081" t="s">
        <v>899</v>
      </c>
      <c r="O14081">
        <v>250425</v>
      </c>
      <c r="P14081">
        <v>792.28</v>
      </c>
    </row>
    <row r="14082" spans="1:16" x14ac:dyDescent="0.25">
      <c r="A14082" t="s">
        <v>3296</v>
      </c>
      <c r="B14082" t="s">
        <v>2931</v>
      </c>
      <c r="C14082">
        <v>5744</v>
      </c>
      <c r="D14082" t="str">
        <f>"40003586    "</f>
        <v xml:space="preserve">40003586    </v>
      </c>
      <c r="E14082" t="s">
        <v>2880</v>
      </c>
      <c r="F14082" t="s">
        <v>2881</v>
      </c>
      <c r="G14082">
        <v>3533.35</v>
      </c>
      <c r="H14082">
        <v>250501</v>
      </c>
      <c r="I14082">
        <v>4820</v>
      </c>
      <c r="J14082" t="s">
        <v>169</v>
      </c>
      <c r="K14082">
        <v>3533.35</v>
      </c>
      <c r="L14082">
        <v>717.93</v>
      </c>
      <c r="M14082">
        <v>13641</v>
      </c>
      <c r="N14082" t="s">
        <v>871</v>
      </c>
      <c r="O14082">
        <v>250430</v>
      </c>
      <c r="P14082">
        <v>2815.42</v>
      </c>
    </row>
    <row r="14083" spans="1:16" x14ac:dyDescent="0.25">
      <c r="A14083" t="s">
        <v>3296</v>
      </c>
      <c r="B14083" t="s">
        <v>2931</v>
      </c>
      <c r="C14083">
        <v>7113</v>
      </c>
      <c r="D14083" t="str">
        <f>"40003646    "</f>
        <v xml:space="preserve">40003646    </v>
      </c>
      <c r="E14083" t="s">
        <v>2880</v>
      </c>
      <c r="F14083" t="s">
        <v>2881</v>
      </c>
      <c r="G14083">
        <v>2438.9299999999998</v>
      </c>
      <c r="H14083">
        <v>250601</v>
      </c>
      <c r="I14083">
        <v>4820</v>
      </c>
      <c r="J14083" t="s">
        <v>169</v>
      </c>
      <c r="K14083">
        <v>2438.9299999999998</v>
      </c>
      <c r="L14083">
        <v>495.56</v>
      </c>
      <c r="M14083">
        <v>13841</v>
      </c>
      <c r="N14083" t="s">
        <v>178</v>
      </c>
      <c r="O14083">
        <v>250522</v>
      </c>
      <c r="P14083">
        <v>1943.37</v>
      </c>
    </row>
    <row r="14084" spans="1:16" x14ac:dyDescent="0.25">
      <c r="A14084" t="s">
        <v>3296</v>
      </c>
      <c r="B14084" t="s">
        <v>2931</v>
      </c>
      <c r="C14084">
        <v>7114</v>
      </c>
      <c r="D14084" t="str">
        <f>"40003648    "</f>
        <v xml:space="preserve">40003648    </v>
      </c>
      <c r="E14084" t="s">
        <v>2880</v>
      </c>
      <c r="F14084" t="s">
        <v>2881</v>
      </c>
      <c r="G14084">
        <v>994.31</v>
      </c>
      <c r="H14084">
        <v>250601</v>
      </c>
      <c r="I14084">
        <v>4820</v>
      </c>
      <c r="J14084" t="s">
        <v>169</v>
      </c>
      <c r="K14084">
        <v>994.31</v>
      </c>
      <c r="L14084">
        <v>202.03</v>
      </c>
      <c r="M14084">
        <v>17955</v>
      </c>
      <c r="N14084" t="s">
        <v>899</v>
      </c>
      <c r="O14084">
        <v>250522</v>
      </c>
      <c r="P14084">
        <v>792.28</v>
      </c>
    </row>
    <row r="14085" spans="1:16" x14ac:dyDescent="0.25">
      <c r="A14085" t="s">
        <v>3296</v>
      </c>
      <c r="B14085" t="s">
        <v>2931</v>
      </c>
      <c r="C14085">
        <v>7385</v>
      </c>
      <c r="D14085" t="str">
        <f>"40003647    "</f>
        <v xml:space="preserve">40003647    </v>
      </c>
      <c r="E14085" t="s">
        <v>2880</v>
      </c>
      <c r="F14085" t="s">
        <v>2881</v>
      </c>
      <c r="G14085">
        <v>2678.38</v>
      </c>
      <c r="H14085">
        <v>250601</v>
      </c>
      <c r="I14085">
        <v>4820</v>
      </c>
      <c r="J14085" t="s">
        <v>169</v>
      </c>
      <c r="K14085">
        <v>2678.38</v>
      </c>
      <c r="L14085">
        <v>544.21</v>
      </c>
      <c r="M14085">
        <v>17955</v>
      </c>
      <c r="N14085" t="s">
        <v>899</v>
      </c>
      <c r="O14085">
        <v>250603</v>
      </c>
      <c r="P14085">
        <v>2134.17</v>
      </c>
    </row>
    <row r="14086" spans="1:16" x14ac:dyDescent="0.25">
      <c r="A14086" t="s">
        <v>3296</v>
      </c>
      <c r="B14086" t="s">
        <v>2931</v>
      </c>
      <c r="C14086">
        <v>7392</v>
      </c>
      <c r="D14086" t="str">
        <f>"40003649    "</f>
        <v xml:space="preserve">40003649    </v>
      </c>
      <c r="E14086" t="s">
        <v>2880</v>
      </c>
      <c r="F14086" t="s">
        <v>2881</v>
      </c>
      <c r="G14086">
        <v>3533.35</v>
      </c>
      <c r="H14086">
        <v>250601</v>
      </c>
      <c r="I14086">
        <v>4820</v>
      </c>
      <c r="J14086" t="s">
        <v>169</v>
      </c>
      <c r="K14086">
        <v>3533.35</v>
      </c>
      <c r="L14086">
        <v>717.93</v>
      </c>
      <c r="M14086">
        <v>13641</v>
      </c>
      <c r="N14086" t="s">
        <v>871</v>
      </c>
      <c r="O14086">
        <v>250603</v>
      </c>
      <c r="P14086">
        <v>2815.42</v>
      </c>
    </row>
    <row r="14087" spans="1:16" x14ac:dyDescent="0.25">
      <c r="A14087" t="s">
        <v>3296</v>
      </c>
      <c r="B14087" t="s">
        <v>2931</v>
      </c>
      <c r="C14087">
        <v>8432</v>
      </c>
      <c r="D14087" t="str">
        <f>"10011487    "</f>
        <v xml:space="preserve">10011487    </v>
      </c>
      <c r="E14087" t="s">
        <v>2880</v>
      </c>
      <c r="F14087" t="s">
        <v>2881</v>
      </c>
      <c r="G14087">
        <v>112.95</v>
      </c>
      <c r="H14087">
        <v>250531</v>
      </c>
      <c r="I14087">
        <v>4820</v>
      </c>
      <c r="J14087" t="s">
        <v>169</v>
      </c>
      <c r="K14087">
        <v>295.35000000000002</v>
      </c>
      <c r="L14087">
        <v>22.95</v>
      </c>
      <c r="M14087">
        <v>13841</v>
      </c>
      <c r="N14087" t="s">
        <v>178</v>
      </c>
      <c r="O14087">
        <v>250613</v>
      </c>
      <c r="P14087">
        <v>90</v>
      </c>
    </row>
    <row r="14088" spans="1:16" x14ac:dyDescent="0.25">
      <c r="A14088" t="s">
        <v>3296</v>
      </c>
      <c r="B14088" t="s">
        <v>2931</v>
      </c>
      <c r="C14088">
        <v>8432</v>
      </c>
      <c r="D14088" t="str">
        <f>"10011487    "</f>
        <v xml:space="preserve">10011487    </v>
      </c>
      <c r="E14088" t="s">
        <v>2880</v>
      </c>
      <c r="F14088" t="s">
        <v>2881</v>
      </c>
      <c r="G14088">
        <v>182.4</v>
      </c>
      <c r="H14088">
        <v>250531</v>
      </c>
      <c r="I14088">
        <v>4820</v>
      </c>
      <c r="J14088" t="s">
        <v>169</v>
      </c>
      <c r="K14088">
        <v>295.35000000000002</v>
      </c>
      <c r="L14088">
        <v>22.4</v>
      </c>
      <c r="M14088">
        <v>13841</v>
      </c>
      <c r="N14088" t="s">
        <v>178</v>
      </c>
      <c r="O14088">
        <v>250613</v>
      </c>
      <c r="P14088">
        <v>160</v>
      </c>
    </row>
    <row r="14089" spans="1:16" x14ac:dyDescent="0.25">
      <c r="A14089" t="s">
        <v>3296</v>
      </c>
      <c r="B14089" t="s">
        <v>2931</v>
      </c>
      <c r="C14089">
        <v>8450</v>
      </c>
      <c r="D14089" t="str">
        <f>"10011489    "</f>
        <v xml:space="preserve">10011489    </v>
      </c>
      <c r="E14089" t="s">
        <v>2880</v>
      </c>
      <c r="F14089" t="s">
        <v>2881</v>
      </c>
      <c r="G14089">
        <v>3617.54</v>
      </c>
      <c r="H14089">
        <v>250531</v>
      </c>
      <c r="I14089">
        <v>4820</v>
      </c>
      <c r="J14089" t="s">
        <v>169</v>
      </c>
      <c r="K14089">
        <v>3617.54</v>
      </c>
      <c r="L14089">
        <v>735.04</v>
      </c>
      <c r="M14089">
        <v>13841</v>
      </c>
      <c r="N14089" t="s">
        <v>178</v>
      </c>
      <c r="O14089">
        <v>250613</v>
      </c>
      <c r="P14089">
        <v>2882.5</v>
      </c>
    </row>
    <row r="14090" spans="1:16" x14ac:dyDescent="0.25">
      <c r="A14090" t="s">
        <v>3296</v>
      </c>
      <c r="B14090" t="s">
        <v>2931</v>
      </c>
      <c r="C14090">
        <v>8931</v>
      </c>
      <c r="D14090" t="str">
        <f>"40003776    "</f>
        <v xml:space="preserve">40003776    </v>
      </c>
      <c r="E14090" t="s">
        <v>2880</v>
      </c>
      <c r="F14090" t="s">
        <v>2881</v>
      </c>
      <c r="G14090">
        <v>3533.35</v>
      </c>
      <c r="H14090">
        <v>250701</v>
      </c>
      <c r="I14090">
        <v>4820</v>
      </c>
      <c r="J14090" t="s">
        <v>169</v>
      </c>
      <c r="K14090">
        <v>3533.35</v>
      </c>
      <c r="L14090">
        <v>717.93</v>
      </c>
      <c r="M14090">
        <v>13641</v>
      </c>
      <c r="N14090" t="s">
        <v>871</v>
      </c>
      <c r="O14090">
        <v>250619</v>
      </c>
      <c r="P14090">
        <v>2815.42</v>
      </c>
    </row>
    <row r="14091" spans="1:16" x14ac:dyDescent="0.25">
      <c r="A14091" t="s">
        <v>3296</v>
      </c>
      <c r="B14091" t="s">
        <v>2931</v>
      </c>
      <c r="C14091">
        <v>8969</v>
      </c>
      <c r="D14091" t="str">
        <f>"10011508    "</f>
        <v xml:space="preserve">10011508    </v>
      </c>
      <c r="E14091" t="s">
        <v>2880</v>
      </c>
      <c r="F14091" t="s">
        <v>2881</v>
      </c>
      <c r="G14091">
        <v>319.2</v>
      </c>
      <c r="H14091">
        <v>250616</v>
      </c>
      <c r="I14091">
        <v>4820</v>
      </c>
      <c r="J14091" t="s">
        <v>169</v>
      </c>
      <c r="K14091">
        <v>319.2</v>
      </c>
      <c r="L14091">
        <v>39.200000000000003</v>
      </c>
      <c r="M14091">
        <v>13841</v>
      </c>
      <c r="N14091" t="s">
        <v>178</v>
      </c>
      <c r="O14091">
        <v>250619</v>
      </c>
      <c r="P14091">
        <v>280</v>
      </c>
    </row>
    <row r="14092" spans="1:16" x14ac:dyDescent="0.25">
      <c r="A14092" t="s">
        <v>3296</v>
      </c>
      <c r="B14092" t="s">
        <v>2931</v>
      </c>
      <c r="C14092">
        <v>9176</v>
      </c>
      <c r="D14092" t="str">
        <f>"40003775    "</f>
        <v xml:space="preserve">40003775    </v>
      </c>
      <c r="E14092" t="s">
        <v>2880</v>
      </c>
      <c r="F14092" t="s">
        <v>2881</v>
      </c>
      <c r="G14092">
        <v>994.31</v>
      </c>
      <c r="H14092">
        <v>250701</v>
      </c>
      <c r="I14092">
        <v>4820</v>
      </c>
      <c r="J14092" t="s">
        <v>169</v>
      </c>
      <c r="K14092">
        <v>994.31</v>
      </c>
      <c r="L14092">
        <v>202.03</v>
      </c>
      <c r="M14092">
        <v>17955</v>
      </c>
      <c r="N14092" t="s">
        <v>899</v>
      </c>
      <c r="O14092">
        <v>250627</v>
      </c>
      <c r="P14092">
        <v>792.28</v>
      </c>
    </row>
    <row r="14093" spans="1:16" x14ac:dyDescent="0.25">
      <c r="A14093" t="s">
        <v>3296</v>
      </c>
      <c r="B14093" t="s">
        <v>2931</v>
      </c>
      <c r="C14093">
        <v>9177</v>
      </c>
      <c r="D14093" t="str">
        <f>"40003774    "</f>
        <v xml:space="preserve">40003774    </v>
      </c>
      <c r="E14093" t="s">
        <v>2880</v>
      </c>
      <c r="F14093" t="s">
        <v>2881</v>
      </c>
      <c r="G14093">
        <v>2678.38</v>
      </c>
      <c r="H14093">
        <v>250701</v>
      </c>
      <c r="I14093">
        <v>4820</v>
      </c>
      <c r="J14093" t="s">
        <v>169</v>
      </c>
      <c r="K14093">
        <v>2678.38</v>
      </c>
      <c r="L14093">
        <v>544.21</v>
      </c>
      <c r="M14093">
        <v>17955</v>
      </c>
      <c r="N14093" t="s">
        <v>899</v>
      </c>
      <c r="O14093">
        <v>250627</v>
      </c>
      <c r="P14093">
        <v>2134.17</v>
      </c>
    </row>
    <row r="14094" spans="1:16" x14ac:dyDescent="0.25">
      <c r="A14094" t="s">
        <v>3296</v>
      </c>
      <c r="B14094" t="s">
        <v>2931</v>
      </c>
      <c r="C14094">
        <v>9179</v>
      </c>
      <c r="D14094" t="str">
        <f>"40003773    "</f>
        <v xml:space="preserve">40003773    </v>
      </c>
      <c r="E14094" t="s">
        <v>2880</v>
      </c>
      <c r="F14094" t="s">
        <v>2881</v>
      </c>
      <c r="G14094">
        <v>2438.9299999999998</v>
      </c>
      <c r="H14094">
        <v>250701</v>
      </c>
      <c r="I14094">
        <v>4820</v>
      </c>
      <c r="J14094" t="s">
        <v>169</v>
      </c>
      <c r="K14094">
        <v>2438.9299999999998</v>
      </c>
      <c r="L14094">
        <v>495.56</v>
      </c>
      <c r="M14094">
        <v>13841</v>
      </c>
      <c r="N14094" t="s">
        <v>178</v>
      </c>
      <c r="O14094">
        <v>250627</v>
      </c>
      <c r="P14094">
        <v>1943.37</v>
      </c>
    </row>
    <row r="14095" spans="1:16" x14ac:dyDescent="0.25">
      <c r="A14095" t="s">
        <v>3296</v>
      </c>
      <c r="B14095" t="s">
        <v>2931</v>
      </c>
      <c r="C14095">
        <v>9796</v>
      </c>
      <c r="D14095" t="str">
        <f>"40003846    "</f>
        <v xml:space="preserve">40003846    </v>
      </c>
      <c r="E14095" t="s">
        <v>2880</v>
      </c>
      <c r="F14095" t="s">
        <v>2881</v>
      </c>
      <c r="G14095">
        <v>3533.35</v>
      </c>
      <c r="H14095">
        <v>250801</v>
      </c>
      <c r="I14095">
        <v>4820</v>
      </c>
      <c r="J14095" t="s">
        <v>169</v>
      </c>
      <c r="K14095">
        <v>3533.35</v>
      </c>
      <c r="L14095">
        <v>717.93</v>
      </c>
      <c r="M14095">
        <v>13641</v>
      </c>
      <c r="N14095" t="s">
        <v>871</v>
      </c>
      <c r="O14095">
        <v>250729</v>
      </c>
      <c r="P14095">
        <v>2815.42</v>
      </c>
    </row>
    <row r="14096" spans="1:16" x14ac:dyDescent="0.25">
      <c r="A14096" t="s">
        <v>3296</v>
      </c>
      <c r="B14096" t="s">
        <v>2931</v>
      </c>
      <c r="C14096">
        <v>9797</v>
      </c>
      <c r="D14096" t="str">
        <f>"40003843    "</f>
        <v xml:space="preserve">40003843    </v>
      </c>
      <c r="E14096" t="s">
        <v>2880</v>
      </c>
      <c r="F14096" t="s">
        <v>2881</v>
      </c>
      <c r="G14096">
        <v>2438.9299999999998</v>
      </c>
      <c r="H14096">
        <v>250801</v>
      </c>
      <c r="I14096">
        <v>4820</v>
      </c>
      <c r="J14096" t="s">
        <v>169</v>
      </c>
      <c r="K14096">
        <v>2438.9299999999998</v>
      </c>
      <c r="L14096">
        <v>495.56</v>
      </c>
      <c r="M14096">
        <v>13841</v>
      </c>
      <c r="N14096" t="s">
        <v>178</v>
      </c>
      <c r="O14096">
        <v>250729</v>
      </c>
      <c r="P14096">
        <v>1943.37</v>
      </c>
    </row>
    <row r="14097" spans="1:16" x14ac:dyDescent="0.25">
      <c r="A14097" t="s">
        <v>3296</v>
      </c>
      <c r="B14097" t="s">
        <v>2931</v>
      </c>
      <c r="C14097">
        <v>9801</v>
      </c>
      <c r="D14097" t="str">
        <f>"40003845    "</f>
        <v xml:space="preserve">40003845    </v>
      </c>
      <c r="E14097" t="s">
        <v>2880</v>
      </c>
      <c r="F14097" t="s">
        <v>2881</v>
      </c>
      <c r="G14097">
        <v>994.31</v>
      </c>
      <c r="H14097">
        <v>250801</v>
      </c>
      <c r="I14097">
        <v>4820</v>
      </c>
      <c r="J14097" t="s">
        <v>169</v>
      </c>
      <c r="K14097">
        <v>994.31</v>
      </c>
      <c r="L14097">
        <v>202.03</v>
      </c>
      <c r="M14097">
        <v>17955</v>
      </c>
      <c r="N14097" t="s">
        <v>899</v>
      </c>
      <c r="O14097">
        <v>250729</v>
      </c>
      <c r="P14097">
        <v>792.28</v>
      </c>
    </row>
    <row r="14098" spans="1:16" x14ac:dyDescent="0.25">
      <c r="A14098" t="s">
        <v>3296</v>
      </c>
      <c r="B14098" t="s">
        <v>2931</v>
      </c>
      <c r="C14098">
        <v>9859</v>
      </c>
      <c r="D14098" t="str">
        <f>"40003844    "</f>
        <v xml:space="preserve">40003844    </v>
      </c>
      <c r="E14098" t="s">
        <v>2880</v>
      </c>
      <c r="F14098" t="s">
        <v>2881</v>
      </c>
      <c r="G14098">
        <v>2678.38</v>
      </c>
      <c r="H14098">
        <v>250801</v>
      </c>
      <c r="I14098">
        <v>4820</v>
      </c>
      <c r="J14098" t="s">
        <v>169</v>
      </c>
      <c r="K14098">
        <v>2678.38</v>
      </c>
      <c r="L14098">
        <v>544.21</v>
      </c>
      <c r="M14098">
        <v>17955</v>
      </c>
      <c r="N14098" t="s">
        <v>899</v>
      </c>
      <c r="O14098">
        <v>250730</v>
      </c>
      <c r="P14098">
        <v>2134.17</v>
      </c>
    </row>
    <row r="14099" spans="1:16" x14ac:dyDescent="0.25">
      <c r="A14099" t="s">
        <v>3296</v>
      </c>
      <c r="B14099" t="s">
        <v>2931</v>
      </c>
      <c r="C14099">
        <v>10852</v>
      </c>
      <c r="D14099" t="str">
        <f>"40003908    "</f>
        <v xml:space="preserve">40003908    </v>
      </c>
      <c r="E14099" t="s">
        <v>2880</v>
      </c>
      <c r="F14099" t="s">
        <v>2881</v>
      </c>
      <c r="G14099">
        <v>2678.38</v>
      </c>
      <c r="H14099">
        <v>250901</v>
      </c>
      <c r="I14099">
        <v>4820</v>
      </c>
      <c r="J14099" t="s">
        <v>169</v>
      </c>
      <c r="K14099">
        <v>2678.38</v>
      </c>
      <c r="L14099">
        <v>544.21</v>
      </c>
      <c r="M14099">
        <v>17955</v>
      </c>
      <c r="N14099" t="s">
        <v>899</v>
      </c>
      <c r="O14099">
        <v>250825</v>
      </c>
      <c r="P14099">
        <v>2134.17</v>
      </c>
    </row>
    <row r="14100" spans="1:16" x14ac:dyDescent="0.25">
      <c r="A14100" t="s">
        <v>3296</v>
      </c>
      <c r="B14100" t="s">
        <v>2931</v>
      </c>
      <c r="C14100">
        <v>10874</v>
      </c>
      <c r="D14100" t="str">
        <f>"40003910    "</f>
        <v xml:space="preserve">40003910    </v>
      </c>
      <c r="E14100" t="s">
        <v>2880</v>
      </c>
      <c r="F14100" t="s">
        <v>2881</v>
      </c>
      <c r="G14100">
        <v>3533.35</v>
      </c>
      <c r="H14100">
        <v>250901</v>
      </c>
      <c r="I14100">
        <v>4820</v>
      </c>
      <c r="J14100" t="s">
        <v>169</v>
      </c>
      <c r="K14100">
        <v>3533.35</v>
      </c>
      <c r="L14100">
        <v>717.93</v>
      </c>
      <c r="M14100">
        <v>13641</v>
      </c>
      <c r="N14100" t="s">
        <v>871</v>
      </c>
      <c r="O14100">
        <v>250826</v>
      </c>
      <c r="P14100">
        <v>2815.42</v>
      </c>
    </row>
    <row r="14101" spans="1:16" x14ac:dyDescent="0.25">
      <c r="A14101" t="s">
        <v>3296</v>
      </c>
      <c r="B14101" t="s">
        <v>2931</v>
      </c>
      <c r="C14101">
        <v>10876</v>
      </c>
      <c r="D14101" t="str">
        <f>"40003909    "</f>
        <v xml:space="preserve">40003909    </v>
      </c>
      <c r="E14101" t="s">
        <v>2880</v>
      </c>
      <c r="F14101" t="s">
        <v>2881</v>
      </c>
      <c r="G14101">
        <v>994.31</v>
      </c>
      <c r="H14101">
        <v>250901</v>
      </c>
      <c r="I14101">
        <v>4820</v>
      </c>
      <c r="J14101" t="s">
        <v>169</v>
      </c>
      <c r="K14101">
        <v>994.31</v>
      </c>
      <c r="L14101">
        <v>202.03</v>
      </c>
      <c r="M14101">
        <v>17955</v>
      </c>
      <c r="N14101" t="s">
        <v>899</v>
      </c>
      <c r="O14101">
        <v>250826</v>
      </c>
      <c r="P14101">
        <v>792.28</v>
      </c>
    </row>
    <row r="14102" spans="1:16" x14ac:dyDescent="0.25">
      <c r="A14102" t="s">
        <v>3296</v>
      </c>
      <c r="B14102" t="s">
        <v>2931</v>
      </c>
      <c r="C14102">
        <v>11142</v>
      </c>
      <c r="D14102" t="str">
        <f>"40003907    "</f>
        <v xml:space="preserve">40003907    </v>
      </c>
      <c r="E14102" t="s">
        <v>2880</v>
      </c>
      <c r="F14102" t="s">
        <v>2881</v>
      </c>
      <c r="G14102">
        <v>2438.9299999999998</v>
      </c>
      <c r="H14102">
        <v>250901</v>
      </c>
      <c r="I14102">
        <v>4820</v>
      </c>
      <c r="J14102" t="s">
        <v>169</v>
      </c>
      <c r="K14102">
        <v>2438.9299999999998</v>
      </c>
      <c r="L14102">
        <v>495.56</v>
      </c>
      <c r="M14102">
        <v>13841</v>
      </c>
      <c r="N14102" t="s">
        <v>178</v>
      </c>
      <c r="O14102">
        <v>250901</v>
      </c>
      <c r="P14102">
        <v>1943.37</v>
      </c>
    </row>
    <row r="14103" spans="1:16" x14ac:dyDescent="0.25">
      <c r="A14103" t="s">
        <v>3296</v>
      </c>
      <c r="B14103" t="s">
        <v>2931</v>
      </c>
      <c r="C14103">
        <v>12713</v>
      </c>
      <c r="D14103" t="str">
        <f>"40003978    "</f>
        <v xml:space="preserve">40003978    </v>
      </c>
      <c r="E14103" t="s">
        <v>2880</v>
      </c>
      <c r="F14103" t="s">
        <v>2881</v>
      </c>
      <c r="G14103">
        <v>3533.35</v>
      </c>
      <c r="H14103">
        <v>251001</v>
      </c>
      <c r="I14103">
        <v>4820</v>
      </c>
      <c r="J14103" t="s">
        <v>169</v>
      </c>
      <c r="K14103">
        <v>3533.35</v>
      </c>
      <c r="L14103">
        <v>717.93</v>
      </c>
      <c r="M14103">
        <v>13641</v>
      </c>
      <c r="N14103" t="s">
        <v>871</v>
      </c>
      <c r="O14103">
        <v>250929</v>
      </c>
      <c r="P14103">
        <v>2815.42</v>
      </c>
    </row>
    <row r="14104" spans="1:16" x14ac:dyDescent="0.25">
      <c r="A14104" t="s">
        <v>3296</v>
      </c>
      <c r="B14104" t="s">
        <v>2931</v>
      </c>
      <c r="C14104">
        <v>12716</v>
      </c>
      <c r="D14104" t="str">
        <f>"40003975    "</f>
        <v xml:space="preserve">40003975    </v>
      </c>
      <c r="E14104" t="s">
        <v>2880</v>
      </c>
      <c r="F14104" t="s">
        <v>2881</v>
      </c>
      <c r="G14104">
        <v>2438.9299999999998</v>
      </c>
      <c r="H14104">
        <v>251001</v>
      </c>
      <c r="I14104">
        <v>4820</v>
      </c>
      <c r="J14104" t="s">
        <v>169</v>
      </c>
      <c r="K14104">
        <v>2438.9299999999998</v>
      </c>
      <c r="L14104">
        <v>495.56</v>
      </c>
      <c r="M14104">
        <v>13841</v>
      </c>
      <c r="N14104" t="s">
        <v>178</v>
      </c>
      <c r="O14104">
        <v>250929</v>
      </c>
      <c r="P14104">
        <v>1943.37</v>
      </c>
    </row>
    <row r="14105" spans="1:16" x14ac:dyDescent="0.25">
      <c r="A14105" t="s">
        <v>3296</v>
      </c>
      <c r="B14105" t="s">
        <v>2931</v>
      </c>
      <c r="C14105">
        <v>12717</v>
      </c>
      <c r="D14105" t="str">
        <f>"40003977    "</f>
        <v xml:space="preserve">40003977    </v>
      </c>
      <c r="E14105" t="s">
        <v>2880</v>
      </c>
      <c r="F14105" t="s">
        <v>2881</v>
      </c>
      <c r="G14105">
        <v>994.31</v>
      </c>
      <c r="H14105">
        <v>251001</v>
      </c>
      <c r="I14105">
        <v>4820</v>
      </c>
      <c r="J14105" t="s">
        <v>169</v>
      </c>
      <c r="K14105">
        <v>994.31</v>
      </c>
      <c r="L14105">
        <v>202.03</v>
      </c>
      <c r="M14105">
        <v>17955</v>
      </c>
      <c r="N14105" t="s">
        <v>899</v>
      </c>
      <c r="O14105">
        <v>250929</v>
      </c>
      <c r="P14105">
        <v>792.28</v>
      </c>
    </row>
    <row r="14106" spans="1:16" x14ac:dyDescent="0.25">
      <c r="A14106" t="s">
        <v>3296</v>
      </c>
      <c r="B14106" t="s">
        <v>2931</v>
      </c>
      <c r="C14106">
        <v>12718</v>
      </c>
      <c r="D14106" t="str">
        <f>"40003976    "</f>
        <v xml:space="preserve">40003976    </v>
      </c>
      <c r="E14106" t="s">
        <v>2880</v>
      </c>
      <c r="F14106" t="s">
        <v>2881</v>
      </c>
      <c r="G14106">
        <v>2678.38</v>
      </c>
      <c r="H14106">
        <v>251001</v>
      </c>
      <c r="I14106">
        <v>4820</v>
      </c>
      <c r="J14106" t="s">
        <v>169</v>
      </c>
      <c r="K14106">
        <v>2678.38</v>
      </c>
      <c r="L14106">
        <v>544.21</v>
      </c>
      <c r="M14106">
        <v>17955</v>
      </c>
      <c r="N14106" t="s">
        <v>899</v>
      </c>
      <c r="O14106">
        <v>250929</v>
      </c>
      <c r="P14106">
        <v>2134.17</v>
      </c>
    </row>
    <row r="14107" spans="1:16" x14ac:dyDescent="0.25">
      <c r="A14107" t="s">
        <v>3296</v>
      </c>
      <c r="B14107" t="s">
        <v>2931</v>
      </c>
      <c r="C14107">
        <v>14125</v>
      </c>
      <c r="D14107" t="str">
        <f>"40004041    "</f>
        <v xml:space="preserve">40004041    </v>
      </c>
      <c r="E14107" t="s">
        <v>2880</v>
      </c>
      <c r="F14107" t="s">
        <v>2881</v>
      </c>
      <c r="G14107">
        <v>3533.35</v>
      </c>
      <c r="H14107">
        <v>251101</v>
      </c>
      <c r="I14107">
        <v>4820</v>
      </c>
      <c r="J14107" t="s">
        <v>169</v>
      </c>
      <c r="K14107">
        <v>3533.35</v>
      </c>
      <c r="L14107">
        <v>717.93</v>
      </c>
      <c r="M14107">
        <v>13641</v>
      </c>
      <c r="N14107" t="s">
        <v>871</v>
      </c>
      <c r="O14107">
        <v>251024</v>
      </c>
      <c r="P14107">
        <v>2815.42</v>
      </c>
    </row>
    <row r="14108" spans="1:16" x14ac:dyDescent="0.25">
      <c r="A14108" t="s">
        <v>3296</v>
      </c>
      <c r="B14108" t="s">
        <v>2931</v>
      </c>
      <c r="C14108">
        <v>14127</v>
      </c>
      <c r="D14108" t="str">
        <f>"40004040    "</f>
        <v xml:space="preserve">40004040    </v>
      </c>
      <c r="E14108" t="s">
        <v>2880</v>
      </c>
      <c r="F14108" t="s">
        <v>2881</v>
      </c>
      <c r="G14108">
        <v>994.31</v>
      </c>
      <c r="H14108">
        <v>251101</v>
      </c>
      <c r="I14108">
        <v>4820</v>
      </c>
      <c r="J14108" t="s">
        <v>169</v>
      </c>
      <c r="K14108">
        <v>994.31</v>
      </c>
      <c r="L14108">
        <v>202.03</v>
      </c>
      <c r="M14108">
        <v>17955</v>
      </c>
      <c r="N14108" t="s">
        <v>899</v>
      </c>
      <c r="O14108">
        <v>251024</v>
      </c>
      <c r="P14108">
        <v>792.28</v>
      </c>
    </row>
    <row r="14109" spans="1:16" x14ac:dyDescent="0.25">
      <c r="A14109" t="s">
        <v>3296</v>
      </c>
      <c r="B14109" t="s">
        <v>2931</v>
      </c>
      <c r="C14109">
        <v>14133</v>
      </c>
      <c r="D14109" t="str">
        <f>"40004039    "</f>
        <v xml:space="preserve">40004039    </v>
      </c>
      <c r="E14109" t="s">
        <v>2880</v>
      </c>
      <c r="F14109" t="s">
        <v>2881</v>
      </c>
      <c r="G14109">
        <v>2678.38</v>
      </c>
      <c r="H14109">
        <v>251101</v>
      </c>
      <c r="I14109">
        <v>4820</v>
      </c>
      <c r="J14109" t="s">
        <v>169</v>
      </c>
      <c r="K14109">
        <v>2678.38</v>
      </c>
      <c r="L14109">
        <v>544.21</v>
      </c>
      <c r="M14109">
        <v>17955</v>
      </c>
      <c r="N14109" t="s">
        <v>899</v>
      </c>
      <c r="O14109">
        <v>251024</v>
      </c>
      <c r="P14109">
        <v>2134.17</v>
      </c>
    </row>
    <row r="14110" spans="1:16" x14ac:dyDescent="0.25">
      <c r="A14110" t="s">
        <v>3296</v>
      </c>
      <c r="B14110" t="s">
        <v>2931</v>
      </c>
      <c r="C14110">
        <v>14262</v>
      </c>
      <c r="D14110" t="str">
        <f>"40004038    "</f>
        <v xml:space="preserve">40004038    </v>
      </c>
      <c r="E14110" t="s">
        <v>2880</v>
      </c>
      <c r="F14110" t="s">
        <v>2881</v>
      </c>
      <c r="G14110">
        <v>2438.9299999999998</v>
      </c>
      <c r="H14110">
        <v>251101</v>
      </c>
      <c r="I14110">
        <v>4820</v>
      </c>
      <c r="J14110" t="s">
        <v>169</v>
      </c>
      <c r="K14110">
        <v>2438.9299999999998</v>
      </c>
      <c r="L14110">
        <v>495.56</v>
      </c>
      <c r="M14110">
        <v>13841</v>
      </c>
      <c r="N14110" t="s">
        <v>178</v>
      </c>
      <c r="O14110">
        <v>251028</v>
      </c>
      <c r="P14110">
        <v>1943.37</v>
      </c>
    </row>
    <row r="14111" spans="1:16" x14ac:dyDescent="0.25">
      <c r="A14111" t="s">
        <v>3296</v>
      </c>
      <c r="B14111" t="s">
        <v>2931</v>
      </c>
      <c r="C14111">
        <v>15608</v>
      </c>
      <c r="D14111" t="str">
        <f>"40004103    "</f>
        <v xml:space="preserve">40004103    </v>
      </c>
      <c r="E14111" t="s">
        <v>2880</v>
      </c>
      <c r="F14111" t="s">
        <v>2881</v>
      </c>
      <c r="G14111">
        <v>2438.9299999999998</v>
      </c>
      <c r="H14111">
        <v>251201</v>
      </c>
      <c r="I14111">
        <v>4820</v>
      </c>
      <c r="J14111" t="s">
        <v>169</v>
      </c>
      <c r="K14111">
        <v>2438.9299999999998</v>
      </c>
      <c r="L14111">
        <v>495.56</v>
      </c>
      <c r="M14111">
        <v>13841</v>
      </c>
      <c r="N14111" t="s">
        <v>178</v>
      </c>
      <c r="O14111">
        <v>251121</v>
      </c>
      <c r="P14111">
        <v>1943.37</v>
      </c>
    </row>
    <row r="14112" spans="1:16" x14ac:dyDescent="0.25">
      <c r="A14112" t="s">
        <v>3296</v>
      </c>
      <c r="B14112" t="s">
        <v>2931</v>
      </c>
      <c r="C14112">
        <v>15625</v>
      </c>
      <c r="D14112" t="str">
        <f>"40004106    "</f>
        <v xml:space="preserve">40004106    </v>
      </c>
      <c r="E14112" t="s">
        <v>2880</v>
      </c>
      <c r="F14112" t="s">
        <v>2881</v>
      </c>
      <c r="G14112">
        <v>3533.35</v>
      </c>
      <c r="H14112">
        <v>251201</v>
      </c>
      <c r="I14112">
        <v>4820</v>
      </c>
      <c r="J14112" t="s">
        <v>169</v>
      </c>
      <c r="K14112">
        <v>3533.35</v>
      </c>
      <c r="L14112">
        <v>717.93</v>
      </c>
      <c r="M14112">
        <v>13641</v>
      </c>
      <c r="N14112" t="s">
        <v>871</v>
      </c>
      <c r="O14112">
        <v>251124</v>
      </c>
      <c r="P14112">
        <v>2815.42</v>
      </c>
    </row>
    <row r="14113" spans="1:16" x14ac:dyDescent="0.25">
      <c r="A14113" t="s">
        <v>3296</v>
      </c>
      <c r="B14113" t="s">
        <v>2931</v>
      </c>
      <c r="C14113">
        <v>15631</v>
      </c>
      <c r="D14113" t="str">
        <f>"40004105    "</f>
        <v xml:space="preserve">40004105    </v>
      </c>
      <c r="E14113" t="s">
        <v>2880</v>
      </c>
      <c r="F14113" t="s">
        <v>2881</v>
      </c>
      <c r="G14113">
        <v>994.31</v>
      </c>
      <c r="H14113">
        <v>251201</v>
      </c>
      <c r="I14113">
        <v>4820</v>
      </c>
      <c r="J14113" t="s">
        <v>169</v>
      </c>
      <c r="K14113">
        <v>994.31</v>
      </c>
      <c r="L14113">
        <v>202.03</v>
      </c>
      <c r="M14113">
        <v>17955</v>
      </c>
      <c r="N14113" t="s">
        <v>899</v>
      </c>
      <c r="O14113">
        <v>251124</v>
      </c>
      <c r="P14113">
        <v>792.28</v>
      </c>
    </row>
    <row r="14114" spans="1:16" x14ac:dyDescent="0.25">
      <c r="A14114" t="s">
        <v>3296</v>
      </c>
      <c r="B14114" t="s">
        <v>2931</v>
      </c>
      <c r="C14114">
        <v>15632</v>
      </c>
      <c r="D14114" t="str">
        <f>"40004104    "</f>
        <v xml:space="preserve">40004104    </v>
      </c>
      <c r="E14114" t="s">
        <v>2880</v>
      </c>
      <c r="F14114" t="s">
        <v>2881</v>
      </c>
      <c r="G14114">
        <v>2678.38</v>
      </c>
      <c r="H14114">
        <v>251201</v>
      </c>
      <c r="I14114">
        <v>4820</v>
      </c>
      <c r="J14114" t="s">
        <v>169</v>
      </c>
      <c r="K14114">
        <v>2678.38</v>
      </c>
      <c r="L14114">
        <v>544.21</v>
      </c>
      <c r="M14114">
        <v>17955</v>
      </c>
      <c r="N14114" t="s">
        <v>899</v>
      </c>
      <c r="O14114">
        <v>251124</v>
      </c>
      <c r="P14114">
        <v>2134.17</v>
      </c>
    </row>
    <row r="14115" spans="1:16" x14ac:dyDescent="0.25">
      <c r="A14115" t="s">
        <v>3296</v>
      </c>
      <c r="B14115" t="s">
        <v>2931</v>
      </c>
      <c r="C14115">
        <v>16670</v>
      </c>
      <c r="D14115" t="str">
        <f>"10013041    "</f>
        <v xml:space="preserve">10013041    </v>
      </c>
      <c r="E14115" t="s">
        <v>2880</v>
      </c>
      <c r="F14115" t="s">
        <v>2881</v>
      </c>
      <c r="G14115">
        <v>444.6</v>
      </c>
      <c r="H14115">
        <v>251205</v>
      </c>
      <c r="I14115">
        <v>4820</v>
      </c>
      <c r="J14115" t="s">
        <v>169</v>
      </c>
      <c r="K14115">
        <v>444.6</v>
      </c>
      <c r="L14115">
        <v>54.6</v>
      </c>
      <c r="M14115">
        <v>13841</v>
      </c>
      <c r="N14115" t="s">
        <v>178</v>
      </c>
      <c r="O14115">
        <v>251211</v>
      </c>
      <c r="P14115">
        <v>390</v>
      </c>
    </row>
    <row r="14116" spans="1:16" x14ac:dyDescent="0.25">
      <c r="A14116" t="s">
        <v>3296</v>
      </c>
      <c r="B14116" t="s">
        <v>2931</v>
      </c>
      <c r="C14116">
        <v>17040</v>
      </c>
      <c r="D14116" t="str">
        <f>"10013053    "</f>
        <v xml:space="preserve">10013053    </v>
      </c>
      <c r="E14116" t="s">
        <v>2880</v>
      </c>
      <c r="F14116" t="s">
        <v>2881</v>
      </c>
      <c r="G14116">
        <v>273.60000000000002</v>
      </c>
      <c r="H14116">
        <v>251211</v>
      </c>
      <c r="I14116">
        <v>4820</v>
      </c>
      <c r="J14116" t="s">
        <v>169</v>
      </c>
      <c r="K14116">
        <v>273.60000000000002</v>
      </c>
      <c r="L14116">
        <v>33.6</v>
      </c>
      <c r="M14116">
        <v>13841</v>
      </c>
      <c r="N14116" t="s">
        <v>178</v>
      </c>
      <c r="O14116">
        <v>251216</v>
      </c>
      <c r="P14116">
        <v>240</v>
      </c>
    </row>
    <row r="14117" spans="1:16" x14ac:dyDescent="0.25">
      <c r="A14117" t="s">
        <v>3296</v>
      </c>
      <c r="B14117" t="s">
        <v>2931</v>
      </c>
      <c r="C14117">
        <v>17479</v>
      </c>
      <c r="D14117" t="str">
        <f>"10013081    "</f>
        <v xml:space="preserve">10013081    </v>
      </c>
      <c r="E14117" t="s">
        <v>2880</v>
      </c>
      <c r="F14117" t="s">
        <v>2881</v>
      </c>
      <c r="G14117">
        <v>-122.36</v>
      </c>
      <c r="H14117">
        <v>251216</v>
      </c>
      <c r="I14117">
        <v>4820</v>
      </c>
      <c r="J14117" t="s">
        <v>169</v>
      </c>
      <c r="K14117">
        <v>-122.36</v>
      </c>
      <c r="L14117">
        <v>-24.86</v>
      </c>
      <c r="M14117">
        <v>13841</v>
      </c>
      <c r="N14117" t="s">
        <v>178</v>
      </c>
      <c r="O14117">
        <v>251222</v>
      </c>
      <c r="P14117">
        <v>-97.5</v>
      </c>
    </row>
    <row r="14118" spans="1:16" x14ac:dyDescent="0.25">
      <c r="A14118" t="s">
        <v>3296</v>
      </c>
      <c r="B14118" t="s">
        <v>2931</v>
      </c>
      <c r="C14118">
        <v>17482</v>
      </c>
      <c r="D14118" t="str">
        <f>"10013075    "</f>
        <v xml:space="preserve">10013075    </v>
      </c>
      <c r="E14118" t="s">
        <v>2880</v>
      </c>
      <c r="F14118" t="s">
        <v>2881</v>
      </c>
      <c r="G14118">
        <v>3435.56</v>
      </c>
      <c r="H14118">
        <v>251215</v>
      </c>
      <c r="I14118">
        <v>4820</v>
      </c>
      <c r="J14118" t="s">
        <v>169</v>
      </c>
      <c r="K14118">
        <v>3435.56</v>
      </c>
      <c r="L14118">
        <v>698.06</v>
      </c>
      <c r="M14118">
        <v>13841</v>
      </c>
      <c r="N14118" t="s">
        <v>178</v>
      </c>
      <c r="O14118">
        <v>251222</v>
      </c>
      <c r="P14118">
        <v>2737.5</v>
      </c>
    </row>
    <row r="14119" spans="1:16" x14ac:dyDescent="0.25">
      <c r="A14119" t="s">
        <v>3296</v>
      </c>
      <c r="B14119" t="s">
        <v>2931</v>
      </c>
      <c r="C14119">
        <v>17889</v>
      </c>
      <c r="D14119" t="str">
        <f>"10013083    "</f>
        <v xml:space="preserve">10013083    </v>
      </c>
      <c r="E14119" t="s">
        <v>2880</v>
      </c>
      <c r="F14119" t="s">
        <v>2881</v>
      </c>
      <c r="G14119">
        <v>182.4</v>
      </c>
      <c r="H14119">
        <v>251218</v>
      </c>
      <c r="I14119">
        <v>4820</v>
      </c>
      <c r="J14119" t="s">
        <v>169</v>
      </c>
      <c r="K14119">
        <v>182.4</v>
      </c>
      <c r="L14119">
        <v>22.4</v>
      </c>
      <c r="M14119">
        <v>13841</v>
      </c>
      <c r="N14119" t="s">
        <v>178</v>
      </c>
      <c r="O14119">
        <v>260102</v>
      </c>
      <c r="P14119">
        <v>160</v>
      </c>
    </row>
    <row r="14120" spans="1:16" x14ac:dyDescent="0.25">
      <c r="A14120" t="s">
        <v>3296</v>
      </c>
      <c r="B14120" t="s">
        <v>2931</v>
      </c>
      <c r="C14120">
        <v>16953</v>
      </c>
      <c r="D14120" t="str">
        <f>"1543        "</f>
        <v xml:space="preserve">1543        </v>
      </c>
      <c r="E14120" t="s">
        <v>2712</v>
      </c>
      <c r="F14120" t="s">
        <v>2713</v>
      </c>
      <c r="G14120">
        <v>200</v>
      </c>
      <c r="H14120">
        <v>251211</v>
      </c>
      <c r="I14120">
        <v>4600</v>
      </c>
      <c r="J14120" t="s">
        <v>278</v>
      </c>
      <c r="K14120">
        <v>200</v>
      </c>
      <c r="L14120">
        <v>0</v>
      </c>
      <c r="M14120">
        <v>13601</v>
      </c>
      <c r="N14120" t="s">
        <v>115</v>
      </c>
      <c r="O14120">
        <v>251216</v>
      </c>
      <c r="P14120">
        <v>200</v>
      </c>
    </row>
    <row r="14121" spans="1:16" x14ac:dyDescent="0.25">
      <c r="A14121" t="s">
        <v>3296</v>
      </c>
      <c r="B14121" t="s">
        <v>2931</v>
      </c>
      <c r="C14121">
        <v>5935</v>
      </c>
      <c r="D14121" t="str">
        <f>"7563        "</f>
        <v xml:space="preserve">7563        </v>
      </c>
      <c r="E14121" t="s">
        <v>1823</v>
      </c>
      <c r="F14121" t="s">
        <v>1824</v>
      </c>
      <c r="G14121">
        <v>131.91</v>
      </c>
      <c r="H14121">
        <v>250430</v>
      </c>
      <c r="I14121">
        <v>4390</v>
      </c>
      <c r="J14121" t="s">
        <v>232</v>
      </c>
      <c r="K14121">
        <v>1199.2</v>
      </c>
      <c r="L14121">
        <v>0</v>
      </c>
      <c r="M14121">
        <v>13540</v>
      </c>
      <c r="N14121" t="s">
        <v>131</v>
      </c>
      <c r="O14121">
        <v>250507</v>
      </c>
      <c r="P14121">
        <v>131.91</v>
      </c>
    </row>
    <row r="14122" spans="1:16" x14ac:dyDescent="0.25">
      <c r="A14122" t="s">
        <v>3296</v>
      </c>
      <c r="B14122" t="s">
        <v>2931</v>
      </c>
      <c r="C14122">
        <v>5935</v>
      </c>
      <c r="D14122" t="str">
        <f>"7563        "</f>
        <v xml:space="preserve">7563        </v>
      </c>
      <c r="E14122" t="s">
        <v>1823</v>
      </c>
      <c r="F14122" t="s">
        <v>1824</v>
      </c>
      <c r="G14122">
        <v>1067.29</v>
      </c>
      <c r="H14122">
        <v>250430</v>
      </c>
      <c r="I14122">
        <v>4390</v>
      </c>
      <c r="J14122" t="s">
        <v>232</v>
      </c>
      <c r="K14122">
        <v>1199.2</v>
      </c>
      <c r="L14122">
        <v>0</v>
      </c>
      <c r="M14122">
        <v>17950</v>
      </c>
      <c r="N14122" t="s">
        <v>132</v>
      </c>
      <c r="O14122">
        <v>250507</v>
      </c>
      <c r="P14122">
        <v>1067.29</v>
      </c>
    </row>
    <row r="14123" spans="1:16" x14ac:dyDescent="0.25">
      <c r="A14123" t="s">
        <v>3296</v>
      </c>
      <c r="B14123" t="s">
        <v>2931</v>
      </c>
      <c r="C14123">
        <v>15065</v>
      </c>
      <c r="D14123" t="str">
        <f>"7720        "</f>
        <v xml:space="preserve">7720        </v>
      </c>
      <c r="E14123" t="s">
        <v>1823</v>
      </c>
      <c r="F14123" t="s">
        <v>1824</v>
      </c>
      <c r="G14123">
        <v>27.88</v>
      </c>
      <c r="H14123">
        <v>251107</v>
      </c>
      <c r="I14123">
        <v>4420</v>
      </c>
      <c r="J14123" t="s">
        <v>330</v>
      </c>
      <c r="K14123">
        <v>829.25</v>
      </c>
      <c r="L14123">
        <v>5.66</v>
      </c>
      <c r="M14123">
        <v>17535</v>
      </c>
      <c r="N14123" t="s">
        <v>149</v>
      </c>
      <c r="O14123">
        <v>251111</v>
      </c>
      <c r="P14123">
        <v>22.22</v>
      </c>
    </row>
    <row r="14124" spans="1:16" x14ac:dyDescent="0.25">
      <c r="A14124" t="s">
        <v>3296</v>
      </c>
      <c r="B14124" t="s">
        <v>2931</v>
      </c>
      <c r="C14124">
        <v>15065</v>
      </c>
      <c r="D14124" t="str">
        <f>"7720        "</f>
        <v xml:space="preserve">7720        </v>
      </c>
      <c r="E14124" t="s">
        <v>1823</v>
      </c>
      <c r="F14124" t="s">
        <v>1824</v>
      </c>
      <c r="G14124">
        <v>801.37</v>
      </c>
      <c r="H14124">
        <v>251107</v>
      </c>
      <c r="I14124">
        <v>4600</v>
      </c>
      <c r="J14124" t="s">
        <v>278</v>
      </c>
      <c r="K14124">
        <v>829.25</v>
      </c>
      <c r="L14124">
        <v>162.83000000000001</v>
      </c>
      <c r="M14124">
        <v>17649</v>
      </c>
      <c r="N14124" t="s">
        <v>2329</v>
      </c>
      <c r="O14124">
        <v>251111</v>
      </c>
      <c r="P14124">
        <v>638.54</v>
      </c>
    </row>
    <row r="14125" spans="1:16" x14ac:dyDescent="0.25">
      <c r="A14125" t="s">
        <v>3296</v>
      </c>
      <c r="B14125" t="s">
        <v>2931</v>
      </c>
      <c r="C14125">
        <v>907</v>
      </c>
      <c r="D14125" t="str">
        <f>"62563       "</f>
        <v xml:space="preserve">62563       </v>
      </c>
      <c r="E14125" t="s">
        <v>772</v>
      </c>
      <c r="F14125" t="s">
        <v>773</v>
      </c>
      <c r="G14125">
        <v>769.47</v>
      </c>
      <c r="H14125">
        <v>250121</v>
      </c>
      <c r="I14125">
        <v>4400</v>
      </c>
      <c r="J14125" t="s">
        <v>162</v>
      </c>
      <c r="K14125">
        <v>769.47</v>
      </c>
      <c r="L14125">
        <v>156.35</v>
      </c>
      <c r="M14125">
        <v>17804</v>
      </c>
      <c r="N14125" t="s">
        <v>20</v>
      </c>
      <c r="O14125">
        <v>250131</v>
      </c>
      <c r="P14125">
        <v>613.12</v>
      </c>
    </row>
    <row r="14126" spans="1:16" x14ac:dyDescent="0.25">
      <c r="A14126" t="s">
        <v>3296</v>
      </c>
      <c r="B14126" t="s">
        <v>2931</v>
      </c>
      <c r="C14126">
        <v>3999</v>
      </c>
      <c r="D14126" t="str">
        <f>"63521       "</f>
        <v xml:space="preserve">63521       </v>
      </c>
      <c r="E14126" t="s">
        <v>772</v>
      </c>
      <c r="F14126" t="s">
        <v>773</v>
      </c>
      <c r="G14126">
        <v>171.4</v>
      </c>
      <c r="H14126">
        <v>250312</v>
      </c>
      <c r="I14126">
        <v>4400</v>
      </c>
      <c r="J14126" t="s">
        <v>162</v>
      </c>
      <c r="K14126">
        <v>293.95</v>
      </c>
      <c r="L14126">
        <v>34.83</v>
      </c>
      <c r="M14126">
        <v>17804</v>
      </c>
      <c r="N14126" t="s">
        <v>20</v>
      </c>
      <c r="O14126">
        <v>250407</v>
      </c>
      <c r="P14126">
        <v>136.57</v>
      </c>
    </row>
    <row r="14127" spans="1:16" x14ac:dyDescent="0.25">
      <c r="A14127" t="s">
        <v>3296</v>
      </c>
      <c r="B14127" t="s">
        <v>2931</v>
      </c>
      <c r="C14127">
        <v>5283</v>
      </c>
      <c r="D14127" t="str">
        <f>"64235       "</f>
        <v xml:space="preserve">64235       </v>
      </c>
      <c r="E14127" t="s">
        <v>772</v>
      </c>
      <c r="F14127" t="s">
        <v>773</v>
      </c>
      <c r="G14127">
        <v>195.97</v>
      </c>
      <c r="H14127">
        <v>250410</v>
      </c>
      <c r="I14127">
        <v>4500</v>
      </c>
      <c r="J14127" t="s">
        <v>312</v>
      </c>
      <c r="K14127">
        <v>195.97</v>
      </c>
      <c r="L14127">
        <v>39.82</v>
      </c>
      <c r="M14127">
        <v>13801</v>
      </c>
      <c r="N14127" t="s">
        <v>33</v>
      </c>
      <c r="O14127">
        <v>250423</v>
      </c>
      <c r="P14127">
        <v>156.15</v>
      </c>
    </row>
    <row r="14128" spans="1:16" x14ac:dyDescent="0.25">
      <c r="A14128" t="s">
        <v>3296</v>
      </c>
      <c r="B14128" t="s">
        <v>2931</v>
      </c>
      <c r="C14128">
        <v>10232</v>
      </c>
      <c r="D14128" t="str">
        <f>"67398       "</f>
        <v xml:space="preserve">67398       </v>
      </c>
      <c r="E14128" t="s">
        <v>772</v>
      </c>
      <c r="F14128" t="s">
        <v>773</v>
      </c>
      <c r="G14128">
        <v>199.3</v>
      </c>
      <c r="H14128">
        <v>250809</v>
      </c>
      <c r="I14128">
        <v>4580</v>
      </c>
      <c r="J14128" t="s">
        <v>126</v>
      </c>
      <c r="K14128">
        <v>199.3</v>
      </c>
      <c r="L14128">
        <v>40.5</v>
      </c>
      <c r="M14128">
        <v>17804</v>
      </c>
      <c r="N14128" t="s">
        <v>20</v>
      </c>
      <c r="O14128">
        <v>250813</v>
      </c>
      <c r="P14128">
        <v>158.80000000000001</v>
      </c>
    </row>
    <row r="14129" spans="1:16" x14ac:dyDescent="0.25">
      <c r="A14129" t="s">
        <v>3296</v>
      </c>
      <c r="B14129" t="s">
        <v>2931</v>
      </c>
      <c r="C14129">
        <v>16133</v>
      </c>
      <c r="D14129" t="str">
        <f>"70373       "</f>
        <v xml:space="preserve">70373       </v>
      </c>
      <c r="E14129" t="s">
        <v>772</v>
      </c>
      <c r="F14129" t="s">
        <v>773</v>
      </c>
      <c r="G14129">
        <v>26.13</v>
      </c>
      <c r="H14129">
        <v>251129</v>
      </c>
      <c r="I14129">
        <v>4580</v>
      </c>
      <c r="J14129" t="s">
        <v>126</v>
      </c>
      <c r="K14129">
        <v>26.13</v>
      </c>
      <c r="L14129">
        <v>5.31</v>
      </c>
      <c r="M14129">
        <v>17803</v>
      </c>
      <c r="N14129" t="s">
        <v>19</v>
      </c>
      <c r="O14129">
        <v>251204</v>
      </c>
      <c r="P14129">
        <v>20.82</v>
      </c>
    </row>
    <row r="14130" spans="1:16" x14ac:dyDescent="0.25">
      <c r="A14130" t="s">
        <v>3296</v>
      </c>
      <c r="B14130" t="s">
        <v>2931</v>
      </c>
      <c r="C14130">
        <v>3281</v>
      </c>
      <c r="D14130" t="str">
        <f>"63403       "</f>
        <v xml:space="preserve">63403       </v>
      </c>
      <c r="E14130" t="s">
        <v>772</v>
      </c>
      <c r="F14130" t="s">
        <v>773</v>
      </c>
      <c r="G14130">
        <v>73.91</v>
      </c>
      <c r="H14130">
        <v>250305</v>
      </c>
      <c r="I14130">
        <v>4600</v>
      </c>
      <c r="J14130" t="s">
        <v>278</v>
      </c>
      <c r="K14130">
        <v>73.91</v>
      </c>
      <c r="L14130">
        <v>15.02</v>
      </c>
      <c r="M14130">
        <v>17804</v>
      </c>
      <c r="N14130" t="s">
        <v>20</v>
      </c>
      <c r="O14130">
        <v>250318</v>
      </c>
      <c r="P14130">
        <v>58.89</v>
      </c>
    </row>
    <row r="14131" spans="1:16" x14ac:dyDescent="0.25">
      <c r="A14131" t="s">
        <v>3296</v>
      </c>
      <c r="B14131" t="s">
        <v>2931</v>
      </c>
      <c r="C14131">
        <v>3960</v>
      </c>
      <c r="D14131" t="str">
        <f>"63723       "</f>
        <v xml:space="preserve">63723       </v>
      </c>
      <c r="E14131" t="s">
        <v>772</v>
      </c>
      <c r="F14131" t="s">
        <v>773</v>
      </c>
      <c r="G14131">
        <v>99.75</v>
      </c>
      <c r="H14131">
        <v>250321</v>
      </c>
      <c r="I14131">
        <v>4600</v>
      </c>
      <c r="J14131" t="s">
        <v>278</v>
      </c>
      <c r="K14131">
        <v>99.75</v>
      </c>
      <c r="L14131">
        <v>20.27</v>
      </c>
      <c r="M14131">
        <v>17814</v>
      </c>
      <c r="N14131" t="s">
        <v>1534</v>
      </c>
      <c r="O14131">
        <v>250404</v>
      </c>
      <c r="P14131">
        <v>79.48</v>
      </c>
    </row>
    <row r="14132" spans="1:16" x14ac:dyDescent="0.25">
      <c r="A14132" t="s">
        <v>3296</v>
      </c>
      <c r="B14132" t="s">
        <v>2931</v>
      </c>
      <c r="C14132">
        <v>3999</v>
      </c>
      <c r="D14132" t="str">
        <f>"63521       "</f>
        <v xml:space="preserve">63521       </v>
      </c>
      <c r="E14132" t="s">
        <v>772</v>
      </c>
      <c r="F14132" t="s">
        <v>773</v>
      </c>
      <c r="G14132">
        <v>122.55</v>
      </c>
      <c r="H14132">
        <v>250312</v>
      </c>
      <c r="I14132">
        <v>4600</v>
      </c>
      <c r="J14132" t="s">
        <v>278</v>
      </c>
      <c r="K14132">
        <v>293.95</v>
      </c>
      <c r="L14132">
        <v>24.9</v>
      </c>
      <c r="M14132">
        <v>17813</v>
      </c>
      <c r="N14132" t="s">
        <v>858</v>
      </c>
      <c r="O14132">
        <v>250407</v>
      </c>
      <c r="P14132">
        <v>97.65</v>
      </c>
    </row>
    <row r="14133" spans="1:16" x14ac:dyDescent="0.25">
      <c r="A14133" t="s">
        <v>3296</v>
      </c>
      <c r="B14133" t="s">
        <v>2931</v>
      </c>
      <c r="C14133">
        <v>7997</v>
      </c>
      <c r="D14133" t="str">
        <f>"65580       "</f>
        <v xml:space="preserve">65580       </v>
      </c>
      <c r="E14133" t="s">
        <v>772</v>
      </c>
      <c r="F14133" t="s">
        <v>773</v>
      </c>
      <c r="G14133">
        <v>4.66</v>
      </c>
      <c r="H14133">
        <v>250531</v>
      </c>
      <c r="I14133">
        <v>4600</v>
      </c>
      <c r="J14133" t="s">
        <v>278</v>
      </c>
      <c r="K14133">
        <v>4.66</v>
      </c>
      <c r="L14133">
        <v>0.95</v>
      </c>
      <c r="M14133">
        <v>17804</v>
      </c>
      <c r="N14133" t="s">
        <v>20</v>
      </c>
      <c r="O14133">
        <v>250610</v>
      </c>
      <c r="P14133">
        <v>3.71</v>
      </c>
    </row>
    <row r="14134" spans="1:16" x14ac:dyDescent="0.25">
      <c r="A14134" t="s">
        <v>3296</v>
      </c>
      <c r="B14134" t="s">
        <v>2931</v>
      </c>
      <c r="C14134">
        <v>9582</v>
      </c>
      <c r="D14134" t="str">
        <f>"66426       "</f>
        <v xml:space="preserve">66426       </v>
      </c>
      <c r="E14134" t="s">
        <v>772</v>
      </c>
      <c r="F14134" t="s">
        <v>773</v>
      </c>
      <c r="G14134">
        <v>93.4</v>
      </c>
      <c r="H14134">
        <v>250630</v>
      </c>
      <c r="I14134">
        <v>4600</v>
      </c>
      <c r="J14134" t="s">
        <v>278</v>
      </c>
      <c r="K14134">
        <v>93.4</v>
      </c>
      <c r="L14134">
        <v>18.98</v>
      </c>
      <c r="M14134">
        <v>17804</v>
      </c>
      <c r="N14134" t="s">
        <v>20</v>
      </c>
      <c r="O14134">
        <v>250721</v>
      </c>
      <c r="P14134">
        <v>74.42</v>
      </c>
    </row>
    <row r="14135" spans="1:16" x14ac:dyDescent="0.25">
      <c r="A14135" t="s">
        <v>3296</v>
      </c>
      <c r="B14135" t="s">
        <v>2931</v>
      </c>
      <c r="C14135">
        <v>12589</v>
      </c>
      <c r="D14135" t="str">
        <f>"68467       "</f>
        <v xml:space="preserve">68467       </v>
      </c>
      <c r="E14135" t="s">
        <v>772</v>
      </c>
      <c r="F14135" t="s">
        <v>773</v>
      </c>
      <c r="G14135">
        <v>50.55</v>
      </c>
      <c r="H14135">
        <v>250917</v>
      </c>
      <c r="I14135">
        <v>4600</v>
      </c>
      <c r="J14135" t="s">
        <v>278</v>
      </c>
      <c r="K14135">
        <v>50.55</v>
      </c>
      <c r="L14135">
        <v>10.27</v>
      </c>
      <c r="M14135">
        <v>17804</v>
      </c>
      <c r="N14135" t="s">
        <v>20</v>
      </c>
      <c r="O14135">
        <v>250926</v>
      </c>
      <c r="P14135">
        <v>40.28</v>
      </c>
    </row>
    <row r="14136" spans="1:16" x14ac:dyDescent="0.25">
      <c r="A14136" t="s">
        <v>3296</v>
      </c>
      <c r="B14136" t="s">
        <v>2931</v>
      </c>
      <c r="C14136">
        <v>13399</v>
      </c>
      <c r="D14136" t="str">
        <f>"68896       "</f>
        <v xml:space="preserve">68896       </v>
      </c>
      <c r="E14136" t="s">
        <v>772</v>
      </c>
      <c r="F14136" t="s">
        <v>773</v>
      </c>
      <c r="G14136">
        <v>27.08</v>
      </c>
      <c r="H14136">
        <v>251007</v>
      </c>
      <c r="I14136">
        <v>4600</v>
      </c>
      <c r="J14136" t="s">
        <v>278</v>
      </c>
      <c r="K14136">
        <v>27.08</v>
      </c>
      <c r="L14136">
        <v>5.5</v>
      </c>
      <c r="M14136">
        <v>13801</v>
      </c>
      <c r="N14136" t="s">
        <v>33</v>
      </c>
      <c r="O14136">
        <v>251008</v>
      </c>
      <c r="P14136">
        <v>21.58</v>
      </c>
    </row>
    <row r="14137" spans="1:16" x14ac:dyDescent="0.25">
      <c r="A14137" t="s">
        <v>3296</v>
      </c>
      <c r="B14137" t="s">
        <v>2931</v>
      </c>
      <c r="C14137">
        <v>14523</v>
      </c>
      <c r="D14137" t="str">
        <f>"69048       "</f>
        <v xml:space="preserve">69048       </v>
      </c>
      <c r="E14137" t="s">
        <v>772</v>
      </c>
      <c r="F14137" t="s">
        <v>773</v>
      </c>
      <c r="G14137">
        <v>110.97</v>
      </c>
      <c r="H14137">
        <v>251031</v>
      </c>
      <c r="I14137">
        <v>4600</v>
      </c>
      <c r="J14137" t="s">
        <v>278</v>
      </c>
      <c r="K14137">
        <v>110.97</v>
      </c>
      <c r="L14137">
        <v>22.55</v>
      </c>
      <c r="M14137">
        <v>17804</v>
      </c>
      <c r="N14137" t="s">
        <v>20</v>
      </c>
      <c r="O14137">
        <v>251104</v>
      </c>
      <c r="P14137">
        <v>88.42</v>
      </c>
    </row>
    <row r="14138" spans="1:16" x14ac:dyDescent="0.25">
      <c r="A14138" t="s">
        <v>3296</v>
      </c>
      <c r="B14138" t="s">
        <v>2931</v>
      </c>
      <c r="C14138">
        <v>17674</v>
      </c>
      <c r="D14138" t="str">
        <f>"70449       "</f>
        <v xml:space="preserve">70449       </v>
      </c>
      <c r="E14138" t="s">
        <v>772</v>
      </c>
      <c r="F14138" t="s">
        <v>773</v>
      </c>
      <c r="G14138">
        <v>4.9400000000000004</v>
      </c>
      <c r="H14138">
        <v>251219</v>
      </c>
      <c r="I14138">
        <v>4600</v>
      </c>
      <c r="J14138" t="s">
        <v>278</v>
      </c>
      <c r="K14138">
        <v>4.9400000000000004</v>
      </c>
      <c r="L14138">
        <v>1</v>
      </c>
      <c r="M14138">
        <v>17804</v>
      </c>
      <c r="N14138" t="s">
        <v>20</v>
      </c>
      <c r="O14138">
        <v>251229</v>
      </c>
      <c r="P14138">
        <v>3.94</v>
      </c>
    </row>
    <row r="14139" spans="1:16" x14ac:dyDescent="0.25">
      <c r="A14139" t="s">
        <v>3296</v>
      </c>
      <c r="B14139" t="s">
        <v>2931</v>
      </c>
      <c r="C14139">
        <v>5752</v>
      </c>
      <c r="D14139" t="str">
        <f>"24120       "</f>
        <v xml:space="preserve">24120       </v>
      </c>
      <c r="E14139" t="s">
        <v>1795</v>
      </c>
      <c r="F14139" t="s">
        <v>1796</v>
      </c>
      <c r="G14139">
        <v>450</v>
      </c>
      <c r="H14139">
        <v>250428</v>
      </c>
      <c r="I14139">
        <v>4820</v>
      </c>
      <c r="J14139" t="s">
        <v>169</v>
      </c>
      <c r="K14139">
        <v>450</v>
      </c>
      <c r="L14139">
        <v>0</v>
      </c>
      <c r="M14139">
        <v>13841</v>
      </c>
      <c r="N14139" t="s">
        <v>178</v>
      </c>
      <c r="O14139">
        <v>250430</v>
      </c>
      <c r="P14139">
        <v>450</v>
      </c>
    </row>
    <row r="14140" spans="1:16" x14ac:dyDescent="0.25">
      <c r="A14140" t="s">
        <v>3296</v>
      </c>
      <c r="B14140" t="s">
        <v>2931</v>
      </c>
      <c r="C14140">
        <v>82</v>
      </c>
      <c r="D14140" t="str">
        <f>"191224      "</f>
        <v xml:space="preserve">191224      </v>
      </c>
      <c r="E14140" t="s">
        <v>177</v>
      </c>
      <c r="F14140" t="s">
        <v>179</v>
      </c>
      <c r="G14140">
        <v>753</v>
      </c>
      <c r="H14140">
        <v>250101</v>
      </c>
      <c r="I14140">
        <v>4820</v>
      </c>
      <c r="J14140" t="s">
        <v>169</v>
      </c>
      <c r="K14140">
        <v>753</v>
      </c>
      <c r="L14140">
        <v>153</v>
      </c>
      <c r="M14140">
        <v>13841</v>
      </c>
      <c r="N14140" t="s">
        <v>178</v>
      </c>
      <c r="O14140">
        <v>250107</v>
      </c>
      <c r="P14140">
        <v>600</v>
      </c>
    </row>
    <row r="14141" spans="1:16" x14ac:dyDescent="0.25">
      <c r="A14141" t="s">
        <v>3296</v>
      </c>
      <c r="B14141" t="s">
        <v>2931</v>
      </c>
      <c r="C14141">
        <v>567</v>
      </c>
      <c r="D14141" t="str">
        <f>"230125      "</f>
        <v xml:space="preserve">230125      </v>
      </c>
      <c r="E14141" t="s">
        <v>177</v>
      </c>
      <c r="F14141" t="s">
        <v>179</v>
      </c>
      <c r="G14141">
        <v>753</v>
      </c>
      <c r="H14141">
        <v>250201</v>
      </c>
      <c r="I14141">
        <v>4820</v>
      </c>
      <c r="J14141" t="s">
        <v>169</v>
      </c>
      <c r="K14141">
        <v>753</v>
      </c>
      <c r="L14141">
        <v>153</v>
      </c>
      <c r="M14141">
        <v>13841</v>
      </c>
      <c r="N14141" t="s">
        <v>178</v>
      </c>
      <c r="O14141">
        <v>250124</v>
      </c>
      <c r="P14141">
        <v>600</v>
      </c>
    </row>
    <row r="14142" spans="1:16" x14ac:dyDescent="0.25">
      <c r="A14142" t="s">
        <v>3296</v>
      </c>
      <c r="B14142" t="s">
        <v>2931</v>
      </c>
      <c r="C14142">
        <v>2640</v>
      </c>
      <c r="D14142" t="str">
        <f>"050325      "</f>
        <v xml:space="preserve">050325      </v>
      </c>
      <c r="E14142" t="s">
        <v>177</v>
      </c>
      <c r="F14142" t="s">
        <v>179</v>
      </c>
      <c r="G14142">
        <v>753</v>
      </c>
      <c r="H14142">
        <v>250301</v>
      </c>
      <c r="I14142">
        <v>4820</v>
      </c>
      <c r="J14142" t="s">
        <v>169</v>
      </c>
      <c r="K14142">
        <v>753</v>
      </c>
      <c r="L14142">
        <v>153</v>
      </c>
      <c r="M14142">
        <v>13841</v>
      </c>
      <c r="N14142" t="s">
        <v>178</v>
      </c>
      <c r="O14142">
        <v>250310</v>
      </c>
      <c r="P14142">
        <v>600</v>
      </c>
    </row>
    <row r="14143" spans="1:16" x14ac:dyDescent="0.25">
      <c r="A14143" t="s">
        <v>3296</v>
      </c>
      <c r="B14143" t="s">
        <v>2931</v>
      </c>
      <c r="C14143">
        <v>4005</v>
      </c>
      <c r="D14143" t="str">
        <f>"4/2025      "</f>
        <v xml:space="preserve">4/2025      </v>
      </c>
      <c r="E14143" t="s">
        <v>177</v>
      </c>
      <c r="F14143" t="s">
        <v>179</v>
      </c>
      <c r="G14143">
        <v>753</v>
      </c>
      <c r="H14143">
        <v>250401</v>
      </c>
      <c r="I14143">
        <v>4820</v>
      </c>
      <c r="J14143" t="s">
        <v>169</v>
      </c>
      <c r="K14143">
        <v>753</v>
      </c>
      <c r="L14143">
        <v>153</v>
      </c>
      <c r="M14143">
        <v>13841</v>
      </c>
      <c r="N14143" t="s">
        <v>178</v>
      </c>
      <c r="O14143">
        <v>250407</v>
      </c>
      <c r="P14143">
        <v>600</v>
      </c>
    </row>
    <row r="14144" spans="1:16" x14ac:dyDescent="0.25">
      <c r="A14144" t="s">
        <v>3296</v>
      </c>
      <c r="B14144" t="s">
        <v>2931</v>
      </c>
      <c r="C14144">
        <v>11860</v>
      </c>
      <c r="D14144" t="str">
        <f>"090925      "</f>
        <v xml:space="preserve">090925      </v>
      </c>
      <c r="E14144" t="s">
        <v>177</v>
      </c>
      <c r="F14144" t="s">
        <v>179</v>
      </c>
      <c r="G14144">
        <v>753</v>
      </c>
      <c r="H14144">
        <v>250901</v>
      </c>
      <c r="I14144">
        <v>4820</v>
      </c>
      <c r="J14144" t="s">
        <v>169</v>
      </c>
      <c r="K14144">
        <v>753</v>
      </c>
      <c r="L14144">
        <v>153</v>
      </c>
      <c r="M14144">
        <v>13841</v>
      </c>
      <c r="N14144" t="s">
        <v>178</v>
      </c>
      <c r="O14144">
        <v>250911</v>
      </c>
      <c r="P14144">
        <v>600</v>
      </c>
    </row>
    <row r="14145" spans="1:16" x14ac:dyDescent="0.25">
      <c r="A14145" t="s">
        <v>3296</v>
      </c>
      <c r="B14145" t="s">
        <v>2931</v>
      </c>
      <c r="C14145">
        <v>13156</v>
      </c>
      <c r="D14145" t="str">
        <f>"011025      "</f>
        <v xml:space="preserve">011025      </v>
      </c>
      <c r="E14145" t="s">
        <v>177</v>
      </c>
      <c r="F14145" t="s">
        <v>179</v>
      </c>
      <c r="G14145">
        <v>753</v>
      </c>
      <c r="H14145">
        <v>251003</v>
      </c>
      <c r="I14145">
        <v>4820</v>
      </c>
      <c r="J14145" t="s">
        <v>169</v>
      </c>
      <c r="K14145">
        <v>753</v>
      </c>
      <c r="L14145">
        <v>153</v>
      </c>
      <c r="M14145">
        <v>13841</v>
      </c>
      <c r="N14145" t="s">
        <v>178</v>
      </c>
      <c r="O14145">
        <v>251006</v>
      </c>
      <c r="P14145">
        <v>600</v>
      </c>
    </row>
    <row r="14146" spans="1:16" x14ac:dyDescent="0.25">
      <c r="A14146" t="s">
        <v>3296</v>
      </c>
      <c r="B14146" t="s">
        <v>2931</v>
      </c>
      <c r="C14146">
        <v>13167</v>
      </c>
      <c r="D14146" t="str">
        <f>"011125      "</f>
        <v xml:space="preserve">011125      </v>
      </c>
      <c r="E14146" t="s">
        <v>177</v>
      </c>
      <c r="F14146" t="s">
        <v>179</v>
      </c>
      <c r="G14146">
        <v>753</v>
      </c>
      <c r="H14146">
        <v>251101</v>
      </c>
      <c r="I14146">
        <v>4820</v>
      </c>
      <c r="J14146" t="s">
        <v>169</v>
      </c>
      <c r="K14146">
        <v>753</v>
      </c>
      <c r="L14146">
        <v>153</v>
      </c>
      <c r="M14146">
        <v>13841</v>
      </c>
      <c r="N14146" t="s">
        <v>178</v>
      </c>
      <c r="O14146">
        <v>251006</v>
      </c>
      <c r="P14146">
        <v>600</v>
      </c>
    </row>
    <row r="14147" spans="1:16" x14ac:dyDescent="0.25">
      <c r="A14147" t="s">
        <v>3296</v>
      </c>
      <c r="B14147" t="s">
        <v>2931</v>
      </c>
      <c r="C14147">
        <v>15820</v>
      </c>
      <c r="D14147" t="str">
        <f>"244         "</f>
        <v xml:space="preserve">244         </v>
      </c>
      <c r="E14147" t="s">
        <v>3169</v>
      </c>
      <c r="F14147" t="s">
        <v>3170</v>
      </c>
      <c r="G14147">
        <v>55</v>
      </c>
      <c r="H14147">
        <v>251124</v>
      </c>
      <c r="I14147">
        <v>4350</v>
      </c>
      <c r="J14147" t="s">
        <v>290</v>
      </c>
      <c r="K14147">
        <v>55</v>
      </c>
      <c r="L14147">
        <v>0</v>
      </c>
      <c r="M14147">
        <v>13861</v>
      </c>
      <c r="N14147" t="s">
        <v>604</v>
      </c>
      <c r="O14147">
        <v>251127</v>
      </c>
      <c r="P14147">
        <v>55</v>
      </c>
    </row>
    <row r="14148" spans="1:16" x14ac:dyDescent="0.25">
      <c r="A14148" t="s">
        <v>3296</v>
      </c>
      <c r="B14148" t="s">
        <v>2931</v>
      </c>
      <c r="C14148">
        <v>5668</v>
      </c>
      <c r="D14148" t="str">
        <f>"277/25      "</f>
        <v xml:space="preserve">277/25      </v>
      </c>
      <c r="E14148" t="s">
        <v>3239</v>
      </c>
      <c r="F14148" t="s">
        <v>3240</v>
      </c>
      <c r="G14148">
        <v>486</v>
      </c>
      <c r="H14148">
        <v>250424</v>
      </c>
      <c r="I14148">
        <v>4410</v>
      </c>
      <c r="J14148" t="s">
        <v>165</v>
      </c>
      <c r="K14148">
        <v>972</v>
      </c>
      <c r="L14148">
        <v>0</v>
      </c>
      <c r="M14148">
        <v>11941</v>
      </c>
      <c r="N14148" t="s">
        <v>426</v>
      </c>
      <c r="O14148">
        <v>250428</v>
      </c>
      <c r="P14148">
        <v>486</v>
      </c>
    </row>
    <row r="14149" spans="1:16" x14ac:dyDescent="0.25">
      <c r="A14149" t="s">
        <v>3296</v>
      </c>
      <c r="B14149" t="s">
        <v>2931</v>
      </c>
      <c r="C14149">
        <v>457</v>
      </c>
      <c r="D14149" t="str">
        <f>"90000475    "</f>
        <v xml:space="preserve">90000475    </v>
      </c>
      <c r="E14149" t="s">
        <v>532</v>
      </c>
      <c r="F14149" t="s">
        <v>533</v>
      </c>
      <c r="G14149">
        <v>180</v>
      </c>
      <c r="H14149">
        <v>250109</v>
      </c>
      <c r="I14149">
        <v>4410</v>
      </c>
      <c r="J14149" t="s">
        <v>165</v>
      </c>
      <c r="K14149">
        <v>180</v>
      </c>
      <c r="L14149">
        <v>22.11</v>
      </c>
      <c r="M14149">
        <v>59702</v>
      </c>
      <c r="N14149" t="s">
        <v>45</v>
      </c>
      <c r="O14149">
        <v>250122</v>
      </c>
      <c r="P14149">
        <v>157.88999999999999</v>
      </c>
    </row>
    <row r="14150" spans="1:16" x14ac:dyDescent="0.25">
      <c r="A14150" t="s">
        <v>3296</v>
      </c>
      <c r="B14150" t="s">
        <v>2931</v>
      </c>
      <c r="C14150">
        <v>8186</v>
      </c>
      <c r="D14150" t="str">
        <f>"180893      "</f>
        <v xml:space="preserve">180893      </v>
      </c>
      <c r="E14150" t="s">
        <v>532</v>
      </c>
      <c r="F14150" t="s">
        <v>533</v>
      </c>
      <c r="G14150">
        <v>183.5</v>
      </c>
      <c r="H14150">
        <v>250603</v>
      </c>
      <c r="I14150">
        <v>4410</v>
      </c>
      <c r="J14150" t="s">
        <v>165</v>
      </c>
      <c r="K14150">
        <v>183.5</v>
      </c>
      <c r="L14150">
        <v>22.54</v>
      </c>
      <c r="M14150">
        <v>59702</v>
      </c>
      <c r="N14150" t="s">
        <v>45</v>
      </c>
      <c r="O14150">
        <v>250612</v>
      </c>
      <c r="P14150">
        <v>160.96</v>
      </c>
    </row>
    <row r="14151" spans="1:16" x14ac:dyDescent="0.25">
      <c r="A14151" t="s">
        <v>3296</v>
      </c>
      <c r="B14151" t="s">
        <v>2931</v>
      </c>
      <c r="C14151">
        <v>10656</v>
      </c>
      <c r="D14151" t="str">
        <f>"5070724169  "</f>
        <v xml:space="preserve">5070724169  </v>
      </c>
      <c r="E14151" t="s">
        <v>2869</v>
      </c>
      <c r="F14151" t="s">
        <v>2870</v>
      </c>
      <c r="G14151">
        <v>37.65</v>
      </c>
      <c r="H14151">
        <v>250820</v>
      </c>
      <c r="I14151">
        <v>4940</v>
      </c>
      <c r="J14151" t="s">
        <v>250</v>
      </c>
      <c r="K14151">
        <v>37.65</v>
      </c>
      <c r="L14151">
        <v>7.65</v>
      </c>
      <c r="M14151">
        <v>11101</v>
      </c>
      <c r="N14151" t="s">
        <v>67</v>
      </c>
      <c r="O14151">
        <v>250821</v>
      </c>
      <c r="P14151">
        <v>30</v>
      </c>
    </row>
    <row r="14152" spans="1:16" x14ac:dyDescent="0.25">
      <c r="A14152" t="s">
        <v>3296</v>
      </c>
      <c r="B14152" t="s">
        <v>2931</v>
      </c>
      <c r="C14152">
        <v>9806</v>
      </c>
      <c r="D14152" t="str">
        <f>"2018978     "</f>
        <v xml:space="preserve">2018978     </v>
      </c>
      <c r="E14152" t="s">
        <v>2146</v>
      </c>
      <c r="F14152" t="s">
        <v>2147</v>
      </c>
      <c r="G14152">
        <v>909.87</v>
      </c>
      <c r="H14152">
        <v>250703</v>
      </c>
      <c r="I14152">
        <v>4367</v>
      </c>
      <c r="J14152" t="s">
        <v>159</v>
      </c>
      <c r="K14152">
        <v>1819.75</v>
      </c>
      <c r="L14152">
        <v>184.87</v>
      </c>
      <c r="M14152">
        <v>56558</v>
      </c>
      <c r="N14152" t="s">
        <v>50</v>
      </c>
      <c r="O14152">
        <v>250729</v>
      </c>
      <c r="P14152">
        <v>725</v>
      </c>
    </row>
    <row r="14153" spans="1:16" x14ac:dyDescent="0.25">
      <c r="A14153" t="s">
        <v>3296</v>
      </c>
      <c r="B14153" t="s">
        <v>2931</v>
      </c>
      <c r="C14153">
        <v>1501</v>
      </c>
      <c r="D14153" t="str">
        <f>"11475       "</f>
        <v xml:space="preserve">11475       </v>
      </c>
      <c r="E14153" t="s">
        <v>1010</v>
      </c>
      <c r="F14153" t="s">
        <v>1011</v>
      </c>
      <c r="G14153">
        <v>226.98</v>
      </c>
      <c r="H14153">
        <v>250209</v>
      </c>
      <c r="I14153">
        <v>4380</v>
      </c>
      <c r="J14153" t="s">
        <v>211</v>
      </c>
      <c r="K14153">
        <v>226.98</v>
      </c>
      <c r="L14153">
        <v>46.12</v>
      </c>
      <c r="M14153">
        <v>17808</v>
      </c>
      <c r="N14153" t="s">
        <v>24</v>
      </c>
      <c r="O14153">
        <v>250210</v>
      </c>
      <c r="P14153">
        <v>180.86</v>
      </c>
    </row>
    <row r="14154" spans="1:16" x14ac:dyDescent="0.25">
      <c r="A14154" t="s">
        <v>3296</v>
      </c>
      <c r="B14154" t="s">
        <v>2931</v>
      </c>
      <c r="C14154">
        <v>1502</v>
      </c>
      <c r="D14154" t="str">
        <f>"11483       "</f>
        <v xml:space="preserve">11483       </v>
      </c>
      <c r="E14154" t="s">
        <v>1010</v>
      </c>
      <c r="F14154" t="s">
        <v>1011</v>
      </c>
      <c r="G14154">
        <v>195.09</v>
      </c>
      <c r="H14154">
        <v>250209</v>
      </c>
      <c r="I14154">
        <v>4380</v>
      </c>
      <c r="J14154" t="s">
        <v>211</v>
      </c>
      <c r="K14154">
        <v>195.09</v>
      </c>
      <c r="L14154">
        <v>39.64</v>
      </c>
      <c r="M14154">
        <v>17808</v>
      </c>
      <c r="N14154" t="s">
        <v>24</v>
      </c>
      <c r="O14154">
        <v>250210</v>
      </c>
      <c r="P14154">
        <v>155.44999999999999</v>
      </c>
    </row>
    <row r="14155" spans="1:16" x14ac:dyDescent="0.25">
      <c r="A14155" t="s">
        <v>3296</v>
      </c>
      <c r="B14155" t="s">
        <v>2931</v>
      </c>
      <c r="C14155">
        <v>2155</v>
      </c>
      <c r="D14155" t="str">
        <f>"11533       "</f>
        <v xml:space="preserve">11533       </v>
      </c>
      <c r="E14155" t="s">
        <v>1010</v>
      </c>
      <c r="F14155" t="s">
        <v>1011</v>
      </c>
      <c r="G14155">
        <v>537.32000000000005</v>
      </c>
      <c r="H14155">
        <v>250218</v>
      </c>
      <c r="I14155">
        <v>4380</v>
      </c>
      <c r="J14155" t="s">
        <v>211</v>
      </c>
      <c r="K14155">
        <v>537.32000000000005</v>
      </c>
      <c r="L14155">
        <v>109.18</v>
      </c>
      <c r="M14155">
        <v>17808</v>
      </c>
      <c r="N14155" t="s">
        <v>24</v>
      </c>
      <c r="O14155">
        <v>250220</v>
      </c>
      <c r="P14155">
        <v>428.14</v>
      </c>
    </row>
    <row r="14156" spans="1:16" x14ac:dyDescent="0.25">
      <c r="A14156" t="s">
        <v>3296</v>
      </c>
      <c r="B14156" t="s">
        <v>2931</v>
      </c>
      <c r="C14156">
        <v>2350</v>
      </c>
      <c r="D14156" t="str">
        <f>"11592       "</f>
        <v xml:space="preserve">11592       </v>
      </c>
      <c r="E14156" t="s">
        <v>1010</v>
      </c>
      <c r="F14156" t="s">
        <v>1011</v>
      </c>
      <c r="G14156">
        <v>142.74</v>
      </c>
      <c r="H14156">
        <v>250223</v>
      </c>
      <c r="I14156">
        <v>4380</v>
      </c>
      <c r="J14156" t="s">
        <v>211</v>
      </c>
      <c r="K14156">
        <v>142.74</v>
      </c>
      <c r="L14156">
        <v>29</v>
      </c>
      <c r="M14156">
        <v>17808</v>
      </c>
      <c r="N14156" t="s">
        <v>24</v>
      </c>
      <c r="O14156">
        <v>250224</v>
      </c>
      <c r="P14156">
        <v>113.74</v>
      </c>
    </row>
    <row r="14157" spans="1:16" x14ac:dyDescent="0.25">
      <c r="A14157" t="s">
        <v>3296</v>
      </c>
      <c r="B14157" t="s">
        <v>2931</v>
      </c>
      <c r="C14157">
        <v>3202</v>
      </c>
      <c r="D14157" t="str">
        <f>"11608       "</f>
        <v xml:space="preserve">11608       </v>
      </c>
      <c r="E14157" t="s">
        <v>1010</v>
      </c>
      <c r="F14157" t="s">
        <v>1011</v>
      </c>
      <c r="G14157">
        <v>142.74</v>
      </c>
      <c r="H14157">
        <v>250306</v>
      </c>
      <c r="I14157">
        <v>4380</v>
      </c>
      <c r="J14157" t="s">
        <v>211</v>
      </c>
      <c r="K14157">
        <v>142.74</v>
      </c>
      <c r="L14157">
        <v>29</v>
      </c>
      <c r="M14157">
        <v>17808</v>
      </c>
      <c r="N14157" t="s">
        <v>24</v>
      </c>
      <c r="O14157">
        <v>250317</v>
      </c>
      <c r="P14157">
        <v>113.74</v>
      </c>
    </row>
    <row r="14158" spans="1:16" x14ac:dyDescent="0.25">
      <c r="A14158" t="s">
        <v>3296</v>
      </c>
      <c r="B14158" t="s">
        <v>2931</v>
      </c>
      <c r="C14158">
        <v>3620</v>
      </c>
      <c r="D14158" t="str">
        <f>"11644       "</f>
        <v xml:space="preserve">11644       </v>
      </c>
      <c r="E14158" t="s">
        <v>1010</v>
      </c>
      <c r="F14158" t="s">
        <v>1011</v>
      </c>
      <c r="G14158">
        <v>98.32</v>
      </c>
      <c r="H14158">
        <v>250318</v>
      </c>
      <c r="I14158">
        <v>4380</v>
      </c>
      <c r="J14158" t="s">
        <v>211</v>
      </c>
      <c r="K14158">
        <v>98.32</v>
      </c>
      <c r="L14158">
        <v>19.98</v>
      </c>
      <c r="M14158">
        <v>17805</v>
      </c>
      <c r="N14158" t="s">
        <v>21</v>
      </c>
      <c r="O14158">
        <v>250326</v>
      </c>
      <c r="P14158">
        <v>78.34</v>
      </c>
    </row>
    <row r="14159" spans="1:16" x14ac:dyDescent="0.25">
      <c r="A14159" t="s">
        <v>3296</v>
      </c>
      <c r="B14159" t="s">
        <v>2931</v>
      </c>
      <c r="C14159">
        <v>4811</v>
      </c>
      <c r="D14159" t="str">
        <f>"11708       "</f>
        <v xml:space="preserve">11708       </v>
      </c>
      <c r="E14159" t="s">
        <v>1010</v>
      </c>
      <c r="F14159" t="s">
        <v>1011</v>
      </c>
      <c r="G14159">
        <v>160.82</v>
      </c>
      <c r="H14159">
        <v>250331</v>
      </c>
      <c r="I14159">
        <v>4380</v>
      </c>
      <c r="J14159" t="s">
        <v>211</v>
      </c>
      <c r="K14159">
        <v>160.82</v>
      </c>
      <c r="L14159">
        <v>32.68</v>
      </c>
      <c r="M14159">
        <v>17808</v>
      </c>
      <c r="N14159" t="s">
        <v>24</v>
      </c>
      <c r="O14159">
        <v>250415</v>
      </c>
      <c r="P14159">
        <v>128.13999999999999</v>
      </c>
    </row>
    <row r="14160" spans="1:16" x14ac:dyDescent="0.25">
      <c r="A14160" t="s">
        <v>3296</v>
      </c>
      <c r="B14160" t="s">
        <v>2931</v>
      </c>
      <c r="C14160">
        <v>5608</v>
      </c>
      <c r="D14160" t="str">
        <f>"11793       "</f>
        <v xml:space="preserve">11793       </v>
      </c>
      <c r="E14160" t="s">
        <v>1010</v>
      </c>
      <c r="F14160" t="s">
        <v>1011</v>
      </c>
      <c r="G14160">
        <v>214.54</v>
      </c>
      <c r="H14160">
        <v>250423</v>
      </c>
      <c r="I14160">
        <v>4380</v>
      </c>
      <c r="J14160" t="s">
        <v>211</v>
      </c>
      <c r="K14160">
        <v>520.94000000000005</v>
      </c>
      <c r="L14160">
        <v>43.59</v>
      </c>
      <c r="M14160">
        <v>17808</v>
      </c>
      <c r="N14160" t="s">
        <v>24</v>
      </c>
      <c r="O14160">
        <v>250425</v>
      </c>
      <c r="P14160">
        <v>170.95</v>
      </c>
    </row>
    <row r="14161" spans="1:16" x14ac:dyDescent="0.25">
      <c r="A14161" t="s">
        <v>3296</v>
      </c>
      <c r="B14161" t="s">
        <v>2931</v>
      </c>
      <c r="C14161">
        <v>5815</v>
      </c>
      <c r="D14161" t="str">
        <f>"11815       "</f>
        <v xml:space="preserve">11815       </v>
      </c>
      <c r="E14161" t="s">
        <v>1010</v>
      </c>
      <c r="F14161" t="s">
        <v>1011</v>
      </c>
      <c r="G14161">
        <v>24.49</v>
      </c>
      <c r="H14161">
        <v>250429</v>
      </c>
      <c r="I14161">
        <v>4380</v>
      </c>
      <c r="J14161" t="s">
        <v>211</v>
      </c>
      <c r="K14161">
        <v>218.47</v>
      </c>
      <c r="L14161">
        <v>4.9800000000000004</v>
      </c>
      <c r="M14161">
        <v>16431</v>
      </c>
      <c r="N14161" t="s">
        <v>17</v>
      </c>
      <c r="O14161">
        <v>250505</v>
      </c>
      <c r="P14161">
        <v>19.510000000000002</v>
      </c>
    </row>
    <row r="14162" spans="1:16" x14ac:dyDescent="0.25">
      <c r="A14162" t="s">
        <v>3296</v>
      </c>
      <c r="B14162" t="s">
        <v>2931</v>
      </c>
      <c r="C14162">
        <v>5815</v>
      </c>
      <c r="D14162" t="str">
        <f>"11815       "</f>
        <v xml:space="preserve">11815       </v>
      </c>
      <c r="E14162" t="s">
        <v>1010</v>
      </c>
      <c r="F14162" t="s">
        <v>1011</v>
      </c>
      <c r="G14162">
        <v>193.98</v>
      </c>
      <c r="H14162">
        <v>250429</v>
      </c>
      <c r="I14162">
        <v>4380</v>
      </c>
      <c r="J14162" t="s">
        <v>211</v>
      </c>
      <c r="K14162">
        <v>218.47</v>
      </c>
      <c r="L14162">
        <v>39.409999999999997</v>
      </c>
      <c r="M14162">
        <v>17808</v>
      </c>
      <c r="N14162" t="s">
        <v>24</v>
      </c>
      <c r="O14162">
        <v>250505</v>
      </c>
      <c r="P14162">
        <v>154.57</v>
      </c>
    </row>
    <row r="14163" spans="1:16" x14ac:dyDescent="0.25">
      <c r="A14163" t="s">
        <v>3296</v>
      </c>
      <c r="B14163" t="s">
        <v>2931</v>
      </c>
      <c r="C14163">
        <v>7032</v>
      </c>
      <c r="D14163" t="str">
        <f>"11849       "</f>
        <v xml:space="preserve">11849       </v>
      </c>
      <c r="E14163" t="s">
        <v>1010</v>
      </c>
      <c r="F14163" t="s">
        <v>1011</v>
      </c>
      <c r="G14163">
        <v>221.13</v>
      </c>
      <c r="H14163">
        <v>250516</v>
      </c>
      <c r="I14163">
        <v>4380</v>
      </c>
      <c r="J14163" t="s">
        <v>211</v>
      </c>
      <c r="K14163">
        <v>221.13</v>
      </c>
      <c r="L14163">
        <v>44.93</v>
      </c>
      <c r="M14163">
        <v>17808</v>
      </c>
      <c r="N14163" t="s">
        <v>24</v>
      </c>
      <c r="O14163">
        <v>250522</v>
      </c>
      <c r="P14163">
        <v>176.2</v>
      </c>
    </row>
    <row r="14164" spans="1:16" x14ac:dyDescent="0.25">
      <c r="A14164" t="s">
        <v>3296</v>
      </c>
      <c r="B14164" t="s">
        <v>2931</v>
      </c>
      <c r="C14164">
        <v>7888</v>
      </c>
      <c r="D14164" t="str">
        <f>"11923       "</f>
        <v xml:space="preserve">11923       </v>
      </c>
      <c r="E14164" t="s">
        <v>1010</v>
      </c>
      <c r="F14164" t="s">
        <v>1011</v>
      </c>
      <c r="G14164">
        <v>525.88</v>
      </c>
      <c r="H14164">
        <v>250531</v>
      </c>
      <c r="I14164">
        <v>4380</v>
      </c>
      <c r="J14164" t="s">
        <v>211</v>
      </c>
      <c r="K14164">
        <v>832.28</v>
      </c>
      <c r="L14164">
        <v>106.85</v>
      </c>
      <c r="M14164">
        <v>17808</v>
      </c>
      <c r="N14164" t="s">
        <v>24</v>
      </c>
      <c r="O14164">
        <v>250610</v>
      </c>
      <c r="P14164">
        <v>419.03</v>
      </c>
    </row>
    <row r="14165" spans="1:16" x14ac:dyDescent="0.25">
      <c r="A14165" t="s">
        <v>3296</v>
      </c>
      <c r="B14165" t="s">
        <v>2931</v>
      </c>
      <c r="C14165">
        <v>9755</v>
      </c>
      <c r="D14165" t="str">
        <f>"12035       "</f>
        <v xml:space="preserve">12035       </v>
      </c>
      <c r="E14165" t="s">
        <v>1010</v>
      </c>
      <c r="F14165" t="s">
        <v>1011</v>
      </c>
      <c r="G14165">
        <v>195.86</v>
      </c>
      <c r="H14165">
        <v>250720</v>
      </c>
      <c r="I14165">
        <v>4380</v>
      </c>
      <c r="J14165" t="s">
        <v>211</v>
      </c>
      <c r="K14165">
        <v>195.86</v>
      </c>
      <c r="L14165">
        <v>39.799999999999997</v>
      </c>
      <c r="M14165">
        <v>13641</v>
      </c>
      <c r="N14165" t="s">
        <v>871</v>
      </c>
      <c r="O14165">
        <v>250728</v>
      </c>
      <c r="P14165">
        <v>156.06</v>
      </c>
    </row>
    <row r="14166" spans="1:16" x14ac:dyDescent="0.25">
      <c r="A14166" t="s">
        <v>3296</v>
      </c>
      <c r="B14166" t="s">
        <v>2931</v>
      </c>
      <c r="C14166">
        <v>10151</v>
      </c>
      <c r="D14166" t="str">
        <f>"12138       "</f>
        <v xml:space="preserve">12138       </v>
      </c>
      <c r="E14166" t="s">
        <v>1010</v>
      </c>
      <c r="F14166" t="s">
        <v>1011</v>
      </c>
      <c r="G14166">
        <v>683.57</v>
      </c>
      <c r="H14166">
        <v>250731</v>
      </c>
      <c r="I14166">
        <v>4380</v>
      </c>
      <c r="J14166" t="s">
        <v>211</v>
      </c>
      <c r="K14166">
        <v>683.57</v>
      </c>
      <c r="L14166">
        <v>138.88999999999999</v>
      </c>
      <c r="M14166">
        <v>17808</v>
      </c>
      <c r="N14166" t="s">
        <v>24</v>
      </c>
      <c r="O14166">
        <v>250812</v>
      </c>
      <c r="P14166">
        <v>544.67999999999995</v>
      </c>
    </row>
    <row r="14167" spans="1:16" x14ac:dyDescent="0.25">
      <c r="A14167" t="s">
        <v>3296</v>
      </c>
      <c r="B14167" t="s">
        <v>2931</v>
      </c>
      <c r="C14167">
        <v>10537</v>
      </c>
      <c r="D14167" t="str">
        <f>"12151       "</f>
        <v xml:space="preserve">12151       </v>
      </c>
      <c r="E14167" t="s">
        <v>1010</v>
      </c>
      <c r="F14167" t="s">
        <v>1011</v>
      </c>
      <c r="G14167">
        <v>283.04000000000002</v>
      </c>
      <c r="H14167">
        <v>250819</v>
      </c>
      <c r="I14167">
        <v>4380</v>
      </c>
      <c r="J14167" t="s">
        <v>211</v>
      </c>
      <c r="K14167">
        <v>283.04000000000002</v>
      </c>
      <c r="L14167">
        <v>57.51</v>
      </c>
      <c r="M14167">
        <v>17808</v>
      </c>
      <c r="N14167" t="s">
        <v>24</v>
      </c>
      <c r="O14167">
        <v>250820</v>
      </c>
      <c r="P14167">
        <v>225.53</v>
      </c>
    </row>
    <row r="14168" spans="1:16" x14ac:dyDescent="0.25">
      <c r="A14168" t="s">
        <v>3296</v>
      </c>
      <c r="B14168" t="s">
        <v>2931</v>
      </c>
      <c r="C14168">
        <v>12183</v>
      </c>
      <c r="D14168" t="str">
        <f>"12311       "</f>
        <v xml:space="preserve">12311       </v>
      </c>
      <c r="E14168" t="s">
        <v>1010</v>
      </c>
      <c r="F14168" t="s">
        <v>1011</v>
      </c>
      <c r="G14168">
        <v>191.21</v>
      </c>
      <c r="H14168">
        <v>250916</v>
      </c>
      <c r="I14168">
        <v>4380</v>
      </c>
      <c r="J14168" t="s">
        <v>211</v>
      </c>
      <c r="K14168">
        <v>191.21</v>
      </c>
      <c r="L14168">
        <v>38.85</v>
      </c>
      <c r="M14168">
        <v>17808</v>
      </c>
      <c r="N14168" t="s">
        <v>24</v>
      </c>
      <c r="O14168">
        <v>250917</v>
      </c>
      <c r="P14168">
        <v>152.36000000000001</v>
      </c>
    </row>
    <row r="14169" spans="1:16" x14ac:dyDescent="0.25">
      <c r="A14169" t="s">
        <v>3296</v>
      </c>
      <c r="B14169" t="s">
        <v>2931</v>
      </c>
      <c r="C14169">
        <v>13378</v>
      </c>
      <c r="D14169" t="str">
        <f>"12334       "</f>
        <v xml:space="preserve">12334       </v>
      </c>
      <c r="E14169" t="s">
        <v>1010</v>
      </c>
      <c r="F14169" t="s">
        <v>1011</v>
      </c>
      <c r="G14169">
        <v>242.32</v>
      </c>
      <c r="H14169">
        <v>250930</v>
      </c>
      <c r="I14169">
        <v>4380</v>
      </c>
      <c r="J14169" t="s">
        <v>211</v>
      </c>
      <c r="K14169">
        <v>242.32</v>
      </c>
      <c r="L14169">
        <v>49.24</v>
      </c>
      <c r="M14169">
        <v>17808</v>
      </c>
      <c r="N14169" t="s">
        <v>24</v>
      </c>
      <c r="O14169">
        <v>251008</v>
      </c>
      <c r="P14169">
        <v>193.08</v>
      </c>
    </row>
    <row r="14170" spans="1:16" x14ac:dyDescent="0.25">
      <c r="A14170" t="s">
        <v>3296</v>
      </c>
      <c r="B14170" t="s">
        <v>2931</v>
      </c>
      <c r="C14170">
        <v>14071</v>
      </c>
      <c r="D14170" t="str">
        <f>"12424       "</f>
        <v xml:space="preserve">12424       </v>
      </c>
      <c r="E14170" t="s">
        <v>1010</v>
      </c>
      <c r="F14170" t="s">
        <v>1011</v>
      </c>
      <c r="G14170">
        <v>248.28</v>
      </c>
      <c r="H14170">
        <v>251021</v>
      </c>
      <c r="I14170">
        <v>4380</v>
      </c>
      <c r="J14170" t="s">
        <v>211</v>
      </c>
      <c r="K14170">
        <v>248.28</v>
      </c>
      <c r="L14170">
        <v>50.45</v>
      </c>
      <c r="M14170">
        <v>17808</v>
      </c>
      <c r="N14170" t="s">
        <v>24</v>
      </c>
      <c r="O14170">
        <v>251023</v>
      </c>
      <c r="P14170">
        <v>197.83</v>
      </c>
    </row>
    <row r="14171" spans="1:16" x14ac:dyDescent="0.25">
      <c r="A14171" t="s">
        <v>3296</v>
      </c>
      <c r="B14171" t="s">
        <v>2931</v>
      </c>
      <c r="C14171">
        <v>14954</v>
      </c>
      <c r="D14171" t="str">
        <f>"12446       "</f>
        <v xml:space="preserve">12446       </v>
      </c>
      <c r="E14171" t="s">
        <v>1010</v>
      </c>
      <c r="F14171" t="s">
        <v>1011</v>
      </c>
      <c r="G14171">
        <v>286.29000000000002</v>
      </c>
      <c r="H14171">
        <v>251030</v>
      </c>
      <c r="I14171">
        <v>4380</v>
      </c>
      <c r="J14171" t="s">
        <v>211</v>
      </c>
      <c r="K14171">
        <v>286.29000000000002</v>
      </c>
      <c r="L14171">
        <v>58.17</v>
      </c>
      <c r="M14171">
        <v>17808</v>
      </c>
      <c r="N14171" t="s">
        <v>24</v>
      </c>
      <c r="O14171">
        <v>251110</v>
      </c>
      <c r="P14171">
        <v>228.12</v>
      </c>
    </row>
    <row r="14172" spans="1:16" x14ac:dyDescent="0.25">
      <c r="A14172" t="s">
        <v>3296</v>
      </c>
      <c r="B14172" t="s">
        <v>2931</v>
      </c>
      <c r="C14172">
        <v>15205</v>
      </c>
      <c r="D14172" t="str">
        <f>"12455       "</f>
        <v xml:space="preserve">12455       </v>
      </c>
      <c r="E14172" t="s">
        <v>1010</v>
      </c>
      <c r="F14172" t="s">
        <v>1011</v>
      </c>
      <c r="G14172">
        <v>58.91</v>
      </c>
      <c r="H14172">
        <v>251031</v>
      </c>
      <c r="I14172">
        <v>4380</v>
      </c>
      <c r="J14172" t="s">
        <v>211</v>
      </c>
      <c r="K14172">
        <v>58.91</v>
      </c>
      <c r="L14172">
        <v>11.97</v>
      </c>
      <c r="M14172">
        <v>13641</v>
      </c>
      <c r="N14172" t="s">
        <v>871</v>
      </c>
      <c r="O14172">
        <v>251114</v>
      </c>
      <c r="P14172">
        <v>46.94</v>
      </c>
    </row>
    <row r="14173" spans="1:16" x14ac:dyDescent="0.25">
      <c r="A14173" t="s">
        <v>3296</v>
      </c>
      <c r="B14173" t="s">
        <v>2931</v>
      </c>
      <c r="C14173">
        <v>15446</v>
      </c>
      <c r="D14173" t="str">
        <f>"12463       "</f>
        <v xml:space="preserve">12463       </v>
      </c>
      <c r="E14173" t="s">
        <v>1010</v>
      </c>
      <c r="F14173" t="s">
        <v>1011</v>
      </c>
      <c r="G14173">
        <v>259.14</v>
      </c>
      <c r="H14173">
        <v>251118</v>
      </c>
      <c r="I14173">
        <v>4380</v>
      </c>
      <c r="J14173" t="s">
        <v>211</v>
      </c>
      <c r="K14173">
        <v>259.14</v>
      </c>
      <c r="L14173">
        <v>52.65</v>
      </c>
      <c r="M14173">
        <v>17808</v>
      </c>
      <c r="N14173" t="s">
        <v>24</v>
      </c>
      <c r="O14173">
        <v>251120</v>
      </c>
      <c r="P14173">
        <v>206.49</v>
      </c>
    </row>
    <row r="14174" spans="1:16" x14ac:dyDescent="0.25">
      <c r="A14174" t="s">
        <v>3296</v>
      </c>
      <c r="B14174" t="s">
        <v>2931</v>
      </c>
      <c r="C14174">
        <v>16654</v>
      </c>
      <c r="D14174" t="str">
        <f>"12520       "</f>
        <v xml:space="preserve">12520       </v>
      </c>
      <c r="E14174" t="s">
        <v>1010</v>
      </c>
      <c r="F14174" t="s">
        <v>1011</v>
      </c>
      <c r="G14174">
        <v>226.56</v>
      </c>
      <c r="H14174">
        <v>251210</v>
      </c>
      <c r="I14174">
        <v>4380</v>
      </c>
      <c r="J14174" t="s">
        <v>211</v>
      </c>
      <c r="K14174">
        <v>226.56</v>
      </c>
      <c r="L14174">
        <v>46.03</v>
      </c>
      <c r="M14174">
        <v>17808</v>
      </c>
      <c r="N14174" t="s">
        <v>24</v>
      </c>
      <c r="O14174">
        <v>251211</v>
      </c>
      <c r="P14174">
        <v>180.53</v>
      </c>
    </row>
    <row r="14175" spans="1:16" x14ac:dyDescent="0.25">
      <c r="A14175" t="s">
        <v>3296</v>
      </c>
      <c r="B14175" t="s">
        <v>2931</v>
      </c>
      <c r="C14175">
        <v>17763</v>
      </c>
      <c r="D14175" t="str">
        <f>"12533       "</f>
        <v xml:space="preserve">12533       </v>
      </c>
      <c r="E14175" t="s">
        <v>1010</v>
      </c>
      <c r="F14175" t="s">
        <v>1011</v>
      </c>
      <c r="G14175">
        <v>718.53</v>
      </c>
      <c r="H14175">
        <v>251229</v>
      </c>
      <c r="I14175">
        <v>4390</v>
      </c>
      <c r="J14175" t="s">
        <v>232</v>
      </c>
      <c r="K14175">
        <v>718.53</v>
      </c>
      <c r="L14175">
        <v>146</v>
      </c>
      <c r="M14175">
        <v>17808</v>
      </c>
      <c r="N14175" t="s">
        <v>24</v>
      </c>
      <c r="O14175">
        <v>251230</v>
      </c>
      <c r="P14175">
        <v>572.53</v>
      </c>
    </row>
    <row r="14176" spans="1:16" x14ac:dyDescent="0.25">
      <c r="A14176" t="s">
        <v>3296</v>
      </c>
      <c r="B14176" t="s">
        <v>2931</v>
      </c>
      <c r="C14176">
        <v>5608</v>
      </c>
      <c r="D14176" t="str">
        <f>"11793       "</f>
        <v xml:space="preserve">11793       </v>
      </c>
      <c r="E14176" t="s">
        <v>1010</v>
      </c>
      <c r="F14176" t="s">
        <v>1011</v>
      </c>
      <c r="G14176">
        <v>306.39999999999998</v>
      </c>
      <c r="H14176">
        <v>250423</v>
      </c>
      <c r="I14176">
        <v>4420</v>
      </c>
      <c r="J14176" t="s">
        <v>330</v>
      </c>
      <c r="K14176">
        <v>520.94000000000005</v>
      </c>
      <c r="L14176">
        <v>62.26</v>
      </c>
      <c r="M14176">
        <v>17808</v>
      </c>
      <c r="N14176" t="s">
        <v>24</v>
      </c>
      <c r="O14176">
        <v>250425</v>
      </c>
      <c r="P14176">
        <v>244.14</v>
      </c>
    </row>
    <row r="14177" spans="1:16" x14ac:dyDescent="0.25">
      <c r="A14177" t="s">
        <v>3296</v>
      </c>
      <c r="B14177" t="s">
        <v>2931</v>
      </c>
      <c r="C14177">
        <v>7888</v>
      </c>
      <c r="D14177" t="str">
        <f>"11923       "</f>
        <v xml:space="preserve">11923       </v>
      </c>
      <c r="E14177" t="s">
        <v>1010</v>
      </c>
      <c r="F14177" t="s">
        <v>1011</v>
      </c>
      <c r="G14177">
        <v>306.39999999999998</v>
      </c>
      <c r="H14177">
        <v>250531</v>
      </c>
      <c r="I14177">
        <v>4420</v>
      </c>
      <c r="J14177" t="s">
        <v>330</v>
      </c>
      <c r="K14177">
        <v>832.28</v>
      </c>
      <c r="L14177">
        <v>62.26</v>
      </c>
      <c r="M14177">
        <v>17808</v>
      </c>
      <c r="N14177" t="s">
        <v>24</v>
      </c>
      <c r="O14177">
        <v>250610</v>
      </c>
      <c r="P14177">
        <v>244.14</v>
      </c>
    </row>
    <row r="14178" spans="1:16" x14ac:dyDescent="0.25">
      <c r="A14178" t="s">
        <v>3296</v>
      </c>
      <c r="B14178" t="s">
        <v>2931</v>
      </c>
      <c r="C14178">
        <v>12947</v>
      </c>
      <c r="D14178" t="str">
        <f>"198607054   "</f>
        <v xml:space="preserve">198607054   </v>
      </c>
      <c r="E14178" t="s">
        <v>2841</v>
      </c>
      <c r="F14178" t="s">
        <v>2842</v>
      </c>
      <c r="G14178">
        <v>4.95</v>
      </c>
      <c r="H14178">
        <v>250917</v>
      </c>
      <c r="I14178">
        <v>4347</v>
      </c>
      <c r="J14178" t="s">
        <v>328</v>
      </c>
      <c r="K14178">
        <v>31.93</v>
      </c>
      <c r="L14178">
        <v>0</v>
      </c>
      <c r="M14178">
        <v>17913</v>
      </c>
      <c r="N14178" t="s">
        <v>26</v>
      </c>
      <c r="O14178">
        <v>251002</v>
      </c>
      <c r="P14178">
        <v>4.95</v>
      </c>
    </row>
    <row r="14179" spans="1:16" x14ac:dyDescent="0.25">
      <c r="A14179" t="s">
        <v>3296</v>
      </c>
      <c r="B14179" t="s">
        <v>2931</v>
      </c>
      <c r="C14179">
        <v>12947</v>
      </c>
      <c r="D14179" t="str">
        <f>"198607054   "</f>
        <v xml:space="preserve">198607054   </v>
      </c>
      <c r="E14179" t="s">
        <v>2841</v>
      </c>
      <c r="F14179" t="s">
        <v>2842</v>
      </c>
      <c r="G14179">
        <v>26.98</v>
      </c>
      <c r="H14179">
        <v>250917</v>
      </c>
      <c r="I14179">
        <v>4600</v>
      </c>
      <c r="J14179" t="s">
        <v>278</v>
      </c>
      <c r="K14179">
        <v>31.93</v>
      </c>
      <c r="L14179">
        <v>5.48</v>
      </c>
      <c r="M14179">
        <v>17913</v>
      </c>
      <c r="N14179" t="s">
        <v>26</v>
      </c>
      <c r="O14179">
        <v>251002</v>
      </c>
      <c r="P14179">
        <v>21.5</v>
      </c>
    </row>
    <row r="14180" spans="1:16" x14ac:dyDescent="0.25">
      <c r="A14180" t="s">
        <v>3296</v>
      </c>
      <c r="B14180" t="s">
        <v>2931</v>
      </c>
      <c r="C14180">
        <v>9928</v>
      </c>
      <c r="D14180" t="str">
        <f>"1233        "</f>
        <v xml:space="preserve">1233        </v>
      </c>
      <c r="E14180" t="s">
        <v>2157</v>
      </c>
      <c r="F14180" t="s">
        <v>2158</v>
      </c>
      <c r="G14180">
        <v>1917.48</v>
      </c>
      <c r="H14180">
        <v>250730</v>
      </c>
      <c r="I14180">
        <v>4510</v>
      </c>
      <c r="J14180" t="s">
        <v>240</v>
      </c>
      <c r="K14180">
        <v>1917.48</v>
      </c>
      <c r="L14180">
        <v>235.48</v>
      </c>
      <c r="M14180">
        <v>16431</v>
      </c>
      <c r="N14180" t="s">
        <v>17</v>
      </c>
      <c r="O14180">
        <v>250805</v>
      </c>
      <c r="P14180">
        <v>1682</v>
      </c>
    </row>
    <row r="14181" spans="1:16" x14ac:dyDescent="0.25">
      <c r="A14181" t="s">
        <v>3296</v>
      </c>
      <c r="B14181" t="s">
        <v>2931</v>
      </c>
      <c r="C14181">
        <v>10221</v>
      </c>
      <c r="D14181" t="str">
        <f>"1257        "</f>
        <v xml:space="preserve">1257        </v>
      </c>
      <c r="E14181" t="s">
        <v>2157</v>
      </c>
      <c r="F14181" t="s">
        <v>2158</v>
      </c>
      <c r="G14181">
        <v>528.96</v>
      </c>
      <c r="H14181">
        <v>250808</v>
      </c>
      <c r="I14181">
        <v>4510</v>
      </c>
      <c r="J14181" t="s">
        <v>240</v>
      </c>
      <c r="K14181">
        <v>661.2</v>
      </c>
      <c r="L14181">
        <v>64.959999999999994</v>
      </c>
      <c r="M14181">
        <v>14422</v>
      </c>
      <c r="N14181" t="s">
        <v>73</v>
      </c>
      <c r="O14181">
        <v>250813</v>
      </c>
      <c r="P14181">
        <v>464</v>
      </c>
    </row>
    <row r="14182" spans="1:16" x14ac:dyDescent="0.25">
      <c r="A14182" t="s">
        <v>3296</v>
      </c>
      <c r="B14182" t="s">
        <v>2931</v>
      </c>
      <c r="C14182">
        <v>10221</v>
      </c>
      <c r="D14182" t="str">
        <f>"1257        "</f>
        <v xml:space="preserve">1257        </v>
      </c>
      <c r="E14182" t="s">
        <v>2157</v>
      </c>
      <c r="F14182" t="s">
        <v>2158</v>
      </c>
      <c r="G14182">
        <v>132.24</v>
      </c>
      <c r="H14182">
        <v>250808</v>
      </c>
      <c r="I14182">
        <v>4510</v>
      </c>
      <c r="J14182" t="s">
        <v>240</v>
      </c>
      <c r="K14182">
        <v>661.2</v>
      </c>
      <c r="L14182">
        <v>16.239999999999998</v>
      </c>
      <c r="M14182">
        <v>14541</v>
      </c>
      <c r="N14182" t="s">
        <v>76</v>
      </c>
      <c r="O14182">
        <v>250813</v>
      </c>
      <c r="P14182">
        <v>116</v>
      </c>
    </row>
    <row r="14183" spans="1:16" x14ac:dyDescent="0.25">
      <c r="A14183" t="s">
        <v>3296</v>
      </c>
      <c r="B14183" t="s">
        <v>2931</v>
      </c>
      <c r="C14183">
        <v>10969</v>
      </c>
      <c r="D14183" t="str">
        <f>"1281        "</f>
        <v xml:space="preserve">1281        </v>
      </c>
      <c r="E14183" t="s">
        <v>2157</v>
      </c>
      <c r="F14183" t="s">
        <v>2158</v>
      </c>
      <c r="G14183">
        <v>1917.48</v>
      </c>
      <c r="H14183">
        <v>250819</v>
      </c>
      <c r="I14183">
        <v>4510</v>
      </c>
      <c r="J14183" t="s">
        <v>240</v>
      </c>
      <c r="K14183">
        <v>1917.48</v>
      </c>
      <c r="L14183">
        <v>235.48</v>
      </c>
      <c r="M14183">
        <v>44222</v>
      </c>
      <c r="N14183" t="s">
        <v>96</v>
      </c>
      <c r="O14183">
        <v>250828</v>
      </c>
      <c r="P14183">
        <v>1682</v>
      </c>
    </row>
    <row r="14184" spans="1:16" x14ac:dyDescent="0.25">
      <c r="A14184" t="s">
        <v>3296</v>
      </c>
      <c r="B14184" t="s">
        <v>2931</v>
      </c>
      <c r="C14184">
        <v>10974</v>
      </c>
      <c r="D14184" t="str">
        <f>"1287        "</f>
        <v xml:space="preserve">1287        </v>
      </c>
      <c r="E14184" t="s">
        <v>2157</v>
      </c>
      <c r="F14184" t="s">
        <v>2158</v>
      </c>
      <c r="G14184">
        <v>105.06</v>
      </c>
      <c r="H14184">
        <v>250822</v>
      </c>
      <c r="I14184">
        <v>4510</v>
      </c>
      <c r="J14184" t="s">
        <v>240</v>
      </c>
      <c r="K14184">
        <v>105.06</v>
      </c>
      <c r="L14184">
        <v>12.9</v>
      </c>
      <c r="M14184">
        <v>54422</v>
      </c>
      <c r="N14184" t="s">
        <v>49</v>
      </c>
      <c r="O14184">
        <v>250828</v>
      </c>
      <c r="P14184">
        <v>92.16</v>
      </c>
    </row>
    <row r="14185" spans="1:16" x14ac:dyDescent="0.25">
      <c r="A14185" t="s">
        <v>3296</v>
      </c>
      <c r="B14185" t="s">
        <v>2931</v>
      </c>
      <c r="C14185">
        <v>14205</v>
      </c>
      <c r="D14185" t="str">
        <f>"1308        "</f>
        <v xml:space="preserve">1308        </v>
      </c>
      <c r="E14185" t="s">
        <v>2157</v>
      </c>
      <c r="F14185" t="s">
        <v>2158</v>
      </c>
      <c r="G14185">
        <v>2314.1999999999998</v>
      </c>
      <c r="H14185">
        <v>251021</v>
      </c>
      <c r="I14185">
        <v>4510</v>
      </c>
      <c r="J14185" t="s">
        <v>240</v>
      </c>
      <c r="K14185">
        <v>2314.1999999999998</v>
      </c>
      <c r="L14185">
        <v>284.2</v>
      </c>
      <c r="M14185">
        <v>14990</v>
      </c>
      <c r="N14185" t="s">
        <v>85</v>
      </c>
      <c r="O14185">
        <v>251027</v>
      </c>
      <c r="P14185">
        <v>2030</v>
      </c>
    </row>
    <row r="14186" spans="1:16" x14ac:dyDescent="0.25">
      <c r="A14186" t="s">
        <v>3296</v>
      </c>
      <c r="B14186" t="s">
        <v>2931</v>
      </c>
      <c r="C14186">
        <v>15960</v>
      </c>
      <c r="D14186" t="str">
        <f>"1315        "</f>
        <v xml:space="preserve">1315        </v>
      </c>
      <c r="E14186" t="s">
        <v>2157</v>
      </c>
      <c r="F14186" t="s">
        <v>2158</v>
      </c>
      <c r="G14186">
        <v>1103.1600000000001</v>
      </c>
      <c r="H14186">
        <v>251121</v>
      </c>
      <c r="I14186">
        <v>4510</v>
      </c>
      <c r="J14186" t="s">
        <v>240</v>
      </c>
      <c r="K14186">
        <v>1103.1600000000001</v>
      </c>
      <c r="L14186">
        <v>135.47999999999999</v>
      </c>
      <c r="M14186">
        <v>14990</v>
      </c>
      <c r="N14186" t="s">
        <v>85</v>
      </c>
      <c r="O14186">
        <v>251201</v>
      </c>
      <c r="P14186">
        <v>967.68</v>
      </c>
    </row>
    <row r="14187" spans="1:16" x14ac:dyDescent="0.25">
      <c r="A14187" t="s">
        <v>3296</v>
      </c>
      <c r="B14187" t="s">
        <v>2931</v>
      </c>
      <c r="C14187">
        <v>16799</v>
      </c>
      <c r="D14187" t="str">
        <f>"1317        "</f>
        <v xml:space="preserve">1317        </v>
      </c>
      <c r="E14187" t="s">
        <v>2157</v>
      </c>
      <c r="F14187" t="s">
        <v>2158</v>
      </c>
      <c r="G14187">
        <v>1586.88</v>
      </c>
      <c r="H14187">
        <v>251125</v>
      </c>
      <c r="I14187">
        <v>4510</v>
      </c>
      <c r="J14187" t="s">
        <v>240</v>
      </c>
      <c r="K14187">
        <v>1586.88</v>
      </c>
      <c r="L14187">
        <v>194.88</v>
      </c>
      <c r="M14187">
        <v>54422</v>
      </c>
      <c r="N14187" t="s">
        <v>49</v>
      </c>
      <c r="O14187">
        <v>251212</v>
      </c>
      <c r="P14187">
        <v>1392</v>
      </c>
    </row>
    <row r="14188" spans="1:16" x14ac:dyDescent="0.25">
      <c r="A14188" t="s">
        <v>3296</v>
      </c>
      <c r="B14188" t="s">
        <v>2931</v>
      </c>
      <c r="C14188">
        <v>15132</v>
      </c>
      <c r="D14188" t="str">
        <f>"19682       "</f>
        <v xml:space="preserve">19682       </v>
      </c>
      <c r="E14188" t="s">
        <v>2549</v>
      </c>
      <c r="F14188" t="s">
        <v>2550</v>
      </c>
      <c r="G14188">
        <v>150.6</v>
      </c>
      <c r="H14188">
        <v>251031</v>
      </c>
      <c r="I14188">
        <v>4346</v>
      </c>
      <c r="J14188" t="s">
        <v>334</v>
      </c>
      <c r="K14188">
        <v>150.6</v>
      </c>
      <c r="L14188">
        <v>30.6</v>
      </c>
      <c r="M14188">
        <v>11903</v>
      </c>
      <c r="N14188" t="s">
        <v>32</v>
      </c>
      <c r="O14188">
        <v>251112</v>
      </c>
      <c r="P14188">
        <v>120</v>
      </c>
    </row>
    <row r="14189" spans="1:16" x14ac:dyDescent="0.25">
      <c r="A14189" t="s">
        <v>3296</v>
      </c>
      <c r="B14189" t="s">
        <v>2931</v>
      </c>
      <c r="C14189">
        <v>5592</v>
      </c>
      <c r="D14189" t="str">
        <f>"3378414     "</f>
        <v xml:space="preserve">3378414     </v>
      </c>
      <c r="E14189" t="s">
        <v>1764</v>
      </c>
      <c r="F14189" t="s">
        <v>1765</v>
      </c>
      <c r="G14189">
        <v>18</v>
      </c>
      <c r="H14189">
        <v>250423</v>
      </c>
      <c r="I14189">
        <v>4600</v>
      </c>
      <c r="J14189" t="s">
        <v>278</v>
      </c>
      <c r="K14189">
        <v>58</v>
      </c>
      <c r="L14189">
        <v>3.66</v>
      </c>
      <c r="M14189">
        <v>17812</v>
      </c>
      <c r="N14189" t="s">
        <v>816</v>
      </c>
      <c r="O14189">
        <v>250425</v>
      </c>
      <c r="P14189">
        <v>14.34</v>
      </c>
    </row>
    <row r="14190" spans="1:16" x14ac:dyDescent="0.25">
      <c r="A14190" t="s">
        <v>3296</v>
      </c>
      <c r="B14190" t="s">
        <v>2931</v>
      </c>
      <c r="C14190">
        <v>5592</v>
      </c>
      <c r="D14190" t="str">
        <f>"3378414     "</f>
        <v xml:space="preserve">3378414     </v>
      </c>
      <c r="E14190" t="s">
        <v>1764</v>
      </c>
      <c r="F14190" t="s">
        <v>1765</v>
      </c>
      <c r="G14190">
        <v>40</v>
      </c>
      <c r="H14190">
        <v>250423</v>
      </c>
      <c r="I14190">
        <v>4600</v>
      </c>
      <c r="J14190" t="s">
        <v>278</v>
      </c>
      <c r="K14190">
        <v>58</v>
      </c>
      <c r="L14190">
        <v>0</v>
      </c>
      <c r="M14190">
        <v>17812</v>
      </c>
      <c r="N14190" t="s">
        <v>816</v>
      </c>
      <c r="O14190">
        <v>250425</v>
      </c>
      <c r="P14190">
        <v>40</v>
      </c>
    </row>
    <row r="14191" spans="1:16" x14ac:dyDescent="0.25">
      <c r="A14191" t="s">
        <v>3296</v>
      </c>
      <c r="B14191" t="s">
        <v>2931</v>
      </c>
      <c r="C14191">
        <v>1335</v>
      </c>
      <c r="D14191" t="str">
        <f>"551         "</f>
        <v xml:space="preserve">551         </v>
      </c>
      <c r="E14191" t="s">
        <v>949</v>
      </c>
      <c r="F14191" t="s">
        <v>950</v>
      </c>
      <c r="G14191">
        <v>400</v>
      </c>
      <c r="H14191">
        <v>250203</v>
      </c>
      <c r="I14191">
        <v>4390</v>
      </c>
      <c r="J14191" t="s">
        <v>232</v>
      </c>
      <c r="K14191">
        <v>400</v>
      </c>
      <c r="L14191">
        <v>0</v>
      </c>
      <c r="M14191">
        <v>59502</v>
      </c>
      <c r="N14191" t="s">
        <v>63</v>
      </c>
      <c r="O14191">
        <v>250207</v>
      </c>
      <c r="P14191">
        <v>400</v>
      </c>
    </row>
    <row r="14192" spans="1:16" x14ac:dyDescent="0.25">
      <c r="A14192" t="s">
        <v>3296</v>
      </c>
      <c r="B14192" t="s">
        <v>2931</v>
      </c>
      <c r="C14192">
        <v>2114</v>
      </c>
      <c r="D14192" t="str">
        <f>"556         "</f>
        <v xml:space="preserve">556         </v>
      </c>
      <c r="E14192" t="s">
        <v>949</v>
      </c>
      <c r="F14192" t="s">
        <v>950</v>
      </c>
      <c r="G14192">
        <v>430</v>
      </c>
      <c r="H14192">
        <v>250213</v>
      </c>
      <c r="I14192">
        <v>4390</v>
      </c>
      <c r="J14192" t="s">
        <v>232</v>
      </c>
      <c r="K14192">
        <v>430</v>
      </c>
      <c r="L14192">
        <v>0</v>
      </c>
      <c r="M14192">
        <v>59501</v>
      </c>
      <c r="N14192" t="s">
        <v>62</v>
      </c>
      <c r="O14192">
        <v>250220</v>
      </c>
      <c r="P14192">
        <v>430</v>
      </c>
    </row>
    <row r="14193" spans="1:16" x14ac:dyDescent="0.25">
      <c r="A14193" t="s">
        <v>3296</v>
      </c>
      <c r="B14193" t="s">
        <v>2931</v>
      </c>
      <c r="C14193">
        <v>14037</v>
      </c>
      <c r="D14193" t="str">
        <f>"663         "</f>
        <v xml:space="preserve">663         </v>
      </c>
      <c r="E14193" t="s">
        <v>949</v>
      </c>
      <c r="F14193" t="s">
        <v>950</v>
      </c>
      <c r="G14193">
        <v>150.6</v>
      </c>
      <c r="H14193">
        <v>251020</v>
      </c>
      <c r="I14193">
        <v>4580</v>
      </c>
      <c r="J14193" t="s">
        <v>126</v>
      </c>
      <c r="K14193">
        <v>150.6</v>
      </c>
      <c r="L14193">
        <v>30.6</v>
      </c>
      <c r="M14193">
        <v>56559</v>
      </c>
      <c r="N14193" t="s">
        <v>51</v>
      </c>
      <c r="O14193">
        <v>251022</v>
      </c>
      <c r="P14193">
        <v>120</v>
      </c>
    </row>
    <row r="14194" spans="1:16" x14ac:dyDescent="0.25">
      <c r="A14194" t="s">
        <v>3296</v>
      </c>
      <c r="B14194" t="s">
        <v>2931</v>
      </c>
      <c r="C14194">
        <v>13962</v>
      </c>
      <c r="D14194" t="str">
        <f>"1001004257  "</f>
        <v xml:space="preserve">1001004257  </v>
      </c>
      <c r="E14194" t="s">
        <v>2466</v>
      </c>
      <c r="F14194" t="s">
        <v>2467</v>
      </c>
      <c r="G14194">
        <v>486.4</v>
      </c>
      <c r="H14194">
        <v>251001</v>
      </c>
      <c r="I14194">
        <v>4390</v>
      </c>
      <c r="J14194" t="s">
        <v>232</v>
      </c>
      <c r="K14194">
        <v>486.4</v>
      </c>
      <c r="L14194">
        <v>0</v>
      </c>
      <c r="M14194">
        <v>59503</v>
      </c>
      <c r="N14194" t="s">
        <v>766</v>
      </c>
      <c r="O14194">
        <v>251021</v>
      </c>
      <c r="P14194">
        <v>486.4</v>
      </c>
    </row>
    <row r="14195" spans="1:16" x14ac:dyDescent="0.25">
      <c r="A14195" t="s">
        <v>3296</v>
      </c>
      <c r="B14195" t="s">
        <v>2931</v>
      </c>
      <c r="C14195">
        <v>15839</v>
      </c>
      <c r="D14195" t="str">
        <f>"19839       "</f>
        <v xml:space="preserve">19839       </v>
      </c>
      <c r="E14195" t="s">
        <v>2622</v>
      </c>
      <c r="F14195" t="s">
        <v>2623</v>
      </c>
      <c r="G14195">
        <v>1029.5</v>
      </c>
      <c r="H14195">
        <v>251117</v>
      </c>
      <c r="I14195">
        <v>4410</v>
      </c>
      <c r="J14195" t="s">
        <v>165</v>
      </c>
      <c r="K14195">
        <v>1029.5</v>
      </c>
      <c r="L14195">
        <v>126.43</v>
      </c>
      <c r="M14195">
        <v>11605</v>
      </c>
      <c r="N14195" t="s">
        <v>1066</v>
      </c>
      <c r="O14195">
        <v>251127</v>
      </c>
      <c r="P14195">
        <v>903.07</v>
      </c>
    </row>
    <row r="14196" spans="1:16" x14ac:dyDescent="0.25">
      <c r="A14196" t="s">
        <v>3296</v>
      </c>
      <c r="B14196" t="s">
        <v>2931</v>
      </c>
      <c r="C14196">
        <v>13734</v>
      </c>
      <c r="D14196" t="str">
        <f>"6025100001  "</f>
        <v xml:space="preserve">6025100001  </v>
      </c>
      <c r="E14196" t="s">
        <v>2439</v>
      </c>
      <c r="F14196" t="s">
        <v>2440</v>
      </c>
      <c r="G14196">
        <v>978.9</v>
      </c>
      <c r="H14196">
        <v>251008</v>
      </c>
      <c r="I14196">
        <v>4440</v>
      </c>
      <c r="J14196" t="s">
        <v>346</v>
      </c>
      <c r="K14196">
        <v>978.9</v>
      </c>
      <c r="L14196">
        <v>198.9</v>
      </c>
      <c r="M14196">
        <v>16930</v>
      </c>
      <c r="N14196" t="s">
        <v>135</v>
      </c>
      <c r="O14196">
        <v>251017</v>
      </c>
      <c r="P14196">
        <v>780</v>
      </c>
    </row>
    <row r="14197" spans="1:16" x14ac:dyDescent="0.25">
      <c r="A14197" t="s">
        <v>3296</v>
      </c>
      <c r="B14197" t="s">
        <v>2931</v>
      </c>
      <c r="C14197">
        <v>651</v>
      </c>
      <c r="D14197" t="str">
        <f>"2631        "</f>
        <v xml:space="preserve">2631        </v>
      </c>
      <c r="E14197" t="s">
        <v>647</v>
      </c>
      <c r="F14197" t="s">
        <v>648</v>
      </c>
      <c r="G14197">
        <v>1055.54</v>
      </c>
      <c r="H14197">
        <v>250120</v>
      </c>
      <c r="I14197">
        <v>4400</v>
      </c>
      <c r="J14197" t="s">
        <v>162</v>
      </c>
      <c r="K14197">
        <v>1055.54</v>
      </c>
      <c r="L14197">
        <v>214.47</v>
      </c>
      <c r="M14197">
        <v>13601</v>
      </c>
      <c r="N14197" t="s">
        <v>115</v>
      </c>
      <c r="O14197">
        <v>250127</v>
      </c>
      <c r="P14197">
        <v>841.07</v>
      </c>
    </row>
    <row r="14198" spans="1:16" x14ac:dyDescent="0.25">
      <c r="A14198" t="s">
        <v>3296</v>
      </c>
      <c r="B14198" t="s">
        <v>2931</v>
      </c>
      <c r="C14198">
        <v>12477</v>
      </c>
      <c r="D14198" t="str">
        <f>"4034        "</f>
        <v xml:space="preserve">4034        </v>
      </c>
      <c r="E14198" t="s">
        <v>2356</v>
      </c>
      <c r="F14198" t="s">
        <v>2357</v>
      </c>
      <c r="G14198">
        <v>4392.5</v>
      </c>
      <c r="H14198">
        <v>250918</v>
      </c>
      <c r="I14198">
        <v>4350</v>
      </c>
      <c r="J14198" t="s">
        <v>290</v>
      </c>
      <c r="K14198">
        <v>4392.5</v>
      </c>
      <c r="L14198">
        <v>892.5</v>
      </c>
      <c r="M14198">
        <v>11301</v>
      </c>
      <c r="N14198" t="s">
        <v>92</v>
      </c>
      <c r="O14198">
        <v>250925</v>
      </c>
      <c r="P14198">
        <v>3500</v>
      </c>
    </row>
    <row r="14199" spans="1:16" x14ac:dyDescent="0.25">
      <c r="A14199" t="s">
        <v>3296</v>
      </c>
      <c r="B14199" t="s">
        <v>2931</v>
      </c>
      <c r="C14199">
        <v>444</v>
      </c>
      <c r="D14199" t="str">
        <f>"9015523879  "</f>
        <v xml:space="preserve">9015523879  </v>
      </c>
      <c r="E14199" t="s">
        <v>518</v>
      </c>
      <c r="F14199" t="s">
        <v>519</v>
      </c>
      <c r="G14199">
        <v>613.47</v>
      </c>
      <c r="H14199">
        <v>250114</v>
      </c>
      <c r="I14199">
        <v>4600</v>
      </c>
      <c r="J14199" t="s">
        <v>278</v>
      </c>
      <c r="K14199">
        <v>613.47</v>
      </c>
      <c r="L14199">
        <v>124.65</v>
      </c>
      <c r="M14199">
        <v>17807</v>
      </c>
      <c r="N14199" t="s">
        <v>23</v>
      </c>
      <c r="O14199">
        <v>250122</v>
      </c>
      <c r="P14199">
        <v>488.82</v>
      </c>
    </row>
    <row r="14200" spans="1:16" x14ac:dyDescent="0.25">
      <c r="A14200" t="s">
        <v>3296</v>
      </c>
      <c r="B14200" t="s">
        <v>2931</v>
      </c>
      <c r="C14200">
        <v>14192</v>
      </c>
      <c r="D14200" t="str">
        <f>"9015564013  "</f>
        <v xml:space="preserve">9015564013  </v>
      </c>
      <c r="E14200" t="s">
        <v>518</v>
      </c>
      <c r="F14200" t="s">
        <v>519</v>
      </c>
      <c r="G14200">
        <v>422.29</v>
      </c>
      <c r="H14200">
        <v>251017</v>
      </c>
      <c r="I14200">
        <v>4600</v>
      </c>
      <c r="J14200" t="s">
        <v>278</v>
      </c>
      <c r="K14200">
        <v>422.29</v>
      </c>
      <c r="L14200">
        <v>85.8</v>
      </c>
      <c r="M14200">
        <v>17807</v>
      </c>
      <c r="N14200" t="s">
        <v>23</v>
      </c>
      <c r="O14200">
        <v>251024</v>
      </c>
      <c r="P14200">
        <v>336.49</v>
      </c>
    </row>
    <row r="14201" spans="1:16" x14ac:dyDescent="0.25">
      <c r="A14201" t="s">
        <v>3296</v>
      </c>
      <c r="B14201" t="s">
        <v>2931</v>
      </c>
      <c r="C14201">
        <v>5129</v>
      </c>
      <c r="D14201" t="str">
        <f>"11335       "</f>
        <v xml:space="preserve">11335       </v>
      </c>
      <c r="E14201" t="s">
        <v>1023</v>
      </c>
      <c r="F14201" t="s">
        <v>1024</v>
      </c>
      <c r="G14201">
        <v>19.989999999999998</v>
      </c>
      <c r="H14201">
        <v>250415</v>
      </c>
      <c r="I14201">
        <v>4470</v>
      </c>
      <c r="J14201" t="s">
        <v>203</v>
      </c>
      <c r="K14201">
        <v>19.989999999999998</v>
      </c>
      <c r="L14201">
        <v>4.0599999999999996</v>
      </c>
      <c r="M14201">
        <v>13901</v>
      </c>
      <c r="N14201" t="s">
        <v>116</v>
      </c>
      <c r="O14201">
        <v>250417</v>
      </c>
      <c r="P14201">
        <v>15.93</v>
      </c>
    </row>
    <row r="14202" spans="1:16" x14ac:dyDescent="0.25">
      <c r="A14202" t="s">
        <v>3296</v>
      </c>
      <c r="B14202" t="s">
        <v>2931</v>
      </c>
      <c r="C14202">
        <v>1528</v>
      </c>
      <c r="D14202" t="str">
        <f>"10945       "</f>
        <v xml:space="preserve">10945       </v>
      </c>
      <c r="E14202" t="s">
        <v>1023</v>
      </c>
      <c r="F14202" t="s">
        <v>1024</v>
      </c>
      <c r="G14202">
        <v>53.93</v>
      </c>
      <c r="H14202">
        <v>250206</v>
      </c>
      <c r="I14202">
        <v>4500</v>
      </c>
      <c r="J14202" t="s">
        <v>312</v>
      </c>
      <c r="K14202">
        <v>53.93</v>
      </c>
      <c r="L14202">
        <v>10.96</v>
      </c>
      <c r="M14202">
        <v>13901</v>
      </c>
      <c r="N14202" t="s">
        <v>116</v>
      </c>
      <c r="O14202">
        <v>250211</v>
      </c>
      <c r="P14202">
        <v>42.97</v>
      </c>
    </row>
    <row r="14203" spans="1:16" x14ac:dyDescent="0.25">
      <c r="A14203" t="s">
        <v>3296</v>
      </c>
      <c r="B14203" t="s">
        <v>2931</v>
      </c>
      <c r="C14203">
        <v>4438</v>
      </c>
      <c r="D14203" t="str">
        <f>"11283       "</f>
        <v xml:space="preserve">11283       </v>
      </c>
      <c r="E14203" t="s">
        <v>1023</v>
      </c>
      <c r="F14203" t="s">
        <v>1024</v>
      </c>
      <c r="G14203">
        <v>47.98</v>
      </c>
      <c r="H14203">
        <v>250407</v>
      </c>
      <c r="I14203">
        <v>4500</v>
      </c>
      <c r="J14203" t="s">
        <v>312</v>
      </c>
      <c r="K14203">
        <v>47.98</v>
      </c>
      <c r="L14203">
        <v>9.75</v>
      </c>
      <c r="M14203">
        <v>13901</v>
      </c>
      <c r="N14203" t="s">
        <v>116</v>
      </c>
      <c r="O14203">
        <v>250411</v>
      </c>
      <c r="P14203">
        <v>38.229999999999997</v>
      </c>
    </row>
    <row r="14204" spans="1:16" x14ac:dyDescent="0.25">
      <c r="A14204" t="s">
        <v>3296</v>
      </c>
      <c r="B14204" t="s">
        <v>2931</v>
      </c>
      <c r="C14204">
        <v>13234</v>
      </c>
      <c r="D14204" t="str">
        <f>"12450       "</f>
        <v xml:space="preserve">12450       </v>
      </c>
      <c r="E14204" t="s">
        <v>1023</v>
      </c>
      <c r="F14204" t="s">
        <v>1024</v>
      </c>
      <c r="G14204">
        <v>176.83</v>
      </c>
      <c r="H14204">
        <v>250930</v>
      </c>
      <c r="I14204">
        <v>4500</v>
      </c>
      <c r="J14204" t="s">
        <v>312</v>
      </c>
      <c r="K14204">
        <v>176.83</v>
      </c>
      <c r="L14204">
        <v>35.93</v>
      </c>
      <c r="M14204">
        <v>13901</v>
      </c>
      <c r="N14204" t="s">
        <v>116</v>
      </c>
      <c r="O14204">
        <v>251007</v>
      </c>
      <c r="P14204">
        <v>140.9</v>
      </c>
    </row>
    <row r="14205" spans="1:16" x14ac:dyDescent="0.25">
      <c r="A14205" t="s">
        <v>3296</v>
      </c>
      <c r="B14205" t="s">
        <v>2931</v>
      </c>
      <c r="C14205">
        <v>15158</v>
      </c>
      <c r="D14205" t="str">
        <f>"10437       "</f>
        <v xml:space="preserve">10437       </v>
      </c>
      <c r="E14205" t="s">
        <v>2017</v>
      </c>
      <c r="F14205" t="s">
        <v>2018</v>
      </c>
      <c r="G14205">
        <v>5</v>
      </c>
      <c r="H14205">
        <v>251104</v>
      </c>
      <c r="I14205">
        <v>4470</v>
      </c>
      <c r="J14205" t="s">
        <v>203</v>
      </c>
      <c r="K14205">
        <v>155</v>
      </c>
      <c r="L14205">
        <v>1.02</v>
      </c>
      <c r="M14205">
        <v>13901</v>
      </c>
      <c r="N14205" t="s">
        <v>116</v>
      </c>
      <c r="O14205">
        <v>251113</v>
      </c>
      <c r="P14205">
        <v>3.98</v>
      </c>
    </row>
    <row r="14206" spans="1:16" x14ac:dyDescent="0.25">
      <c r="A14206" t="s">
        <v>3296</v>
      </c>
      <c r="B14206" t="s">
        <v>2931</v>
      </c>
      <c r="C14206">
        <v>15158</v>
      </c>
      <c r="D14206" t="str">
        <f>"10437       "</f>
        <v xml:space="preserve">10437       </v>
      </c>
      <c r="E14206" t="s">
        <v>2017</v>
      </c>
      <c r="F14206" t="s">
        <v>2018</v>
      </c>
      <c r="G14206">
        <v>150</v>
      </c>
      <c r="H14206">
        <v>251104</v>
      </c>
      <c r="I14206">
        <v>4557</v>
      </c>
      <c r="J14206" t="s">
        <v>1152</v>
      </c>
      <c r="K14206">
        <v>155</v>
      </c>
      <c r="L14206">
        <v>0</v>
      </c>
      <c r="M14206">
        <v>13901</v>
      </c>
      <c r="N14206" t="s">
        <v>116</v>
      </c>
      <c r="O14206">
        <v>251113</v>
      </c>
      <c r="P14206">
        <v>150</v>
      </c>
    </row>
    <row r="14207" spans="1:16" x14ac:dyDescent="0.25">
      <c r="A14207" t="s">
        <v>3296</v>
      </c>
      <c r="B14207" t="s">
        <v>2931</v>
      </c>
      <c r="C14207">
        <v>8154</v>
      </c>
      <c r="D14207" t="str">
        <f>"9697        "</f>
        <v xml:space="preserve">9697        </v>
      </c>
      <c r="E14207" t="s">
        <v>2017</v>
      </c>
      <c r="F14207" t="s">
        <v>2018</v>
      </c>
      <c r="G14207">
        <v>313.75</v>
      </c>
      <c r="H14207">
        <v>250602</v>
      </c>
      <c r="I14207">
        <v>4600</v>
      </c>
      <c r="J14207" t="s">
        <v>278</v>
      </c>
      <c r="K14207">
        <v>313.75</v>
      </c>
      <c r="L14207">
        <v>63.75</v>
      </c>
      <c r="M14207">
        <v>17952</v>
      </c>
      <c r="N14207" t="s">
        <v>157</v>
      </c>
      <c r="O14207">
        <v>250611</v>
      </c>
      <c r="P14207">
        <v>250</v>
      </c>
    </row>
    <row r="14208" spans="1:16" x14ac:dyDescent="0.25">
      <c r="A14208" t="s">
        <v>3296</v>
      </c>
      <c r="B14208" t="s">
        <v>2931</v>
      </c>
      <c r="C14208">
        <v>10782</v>
      </c>
      <c r="D14208" t="str">
        <f>"10101       "</f>
        <v xml:space="preserve">10101       </v>
      </c>
      <c r="E14208" t="s">
        <v>2017</v>
      </c>
      <c r="F14208" t="s">
        <v>2018</v>
      </c>
      <c r="G14208">
        <v>70</v>
      </c>
      <c r="H14208">
        <v>250821</v>
      </c>
      <c r="I14208">
        <v>4600</v>
      </c>
      <c r="J14208" t="s">
        <v>278</v>
      </c>
      <c r="K14208">
        <v>70</v>
      </c>
      <c r="L14208">
        <v>14.22</v>
      </c>
      <c r="M14208">
        <v>17952</v>
      </c>
      <c r="N14208" t="s">
        <v>157</v>
      </c>
      <c r="O14208">
        <v>250822</v>
      </c>
      <c r="P14208">
        <v>55.78</v>
      </c>
    </row>
    <row r="14209" spans="1:16" x14ac:dyDescent="0.25">
      <c r="A14209" t="s">
        <v>3296</v>
      </c>
      <c r="B14209" t="s">
        <v>2931</v>
      </c>
      <c r="C14209">
        <v>2023</v>
      </c>
      <c r="D14209" t="str">
        <f t="shared" ref="D14209:D14221" si="224">"58941474    "</f>
        <v xml:space="preserve">58941474    </v>
      </c>
      <c r="E14209" t="s">
        <v>1189</v>
      </c>
      <c r="F14209" t="s">
        <v>1192</v>
      </c>
      <c r="G14209">
        <v>1636.77</v>
      </c>
      <c r="H14209">
        <v>250129</v>
      </c>
      <c r="I14209">
        <v>4430</v>
      </c>
      <c r="J14209" t="s">
        <v>1190</v>
      </c>
      <c r="K14209">
        <v>37008.269999999997</v>
      </c>
      <c r="L14209">
        <v>81.84</v>
      </c>
      <c r="M14209">
        <v>11604</v>
      </c>
      <c r="N14209" t="s">
        <v>1191</v>
      </c>
      <c r="O14209">
        <v>250219</v>
      </c>
      <c r="P14209">
        <v>1554.93</v>
      </c>
    </row>
    <row r="14210" spans="1:16" x14ac:dyDescent="0.25">
      <c r="A14210" t="s">
        <v>3296</v>
      </c>
      <c r="B14210" t="s">
        <v>2931</v>
      </c>
      <c r="C14210">
        <v>2023</v>
      </c>
      <c r="D14210" t="str">
        <f t="shared" si="224"/>
        <v xml:space="preserve">58941474    </v>
      </c>
      <c r="E14210" t="s">
        <v>1189</v>
      </c>
      <c r="F14210" t="s">
        <v>1192</v>
      </c>
      <c r="G14210">
        <v>2342.0500000000002</v>
      </c>
      <c r="H14210">
        <v>250129</v>
      </c>
      <c r="I14210">
        <v>4430</v>
      </c>
      <c r="J14210" t="s">
        <v>1190</v>
      </c>
      <c r="K14210">
        <v>37008.269999999997</v>
      </c>
      <c r="L14210">
        <v>117.1</v>
      </c>
      <c r="M14210">
        <v>11604</v>
      </c>
      <c r="N14210" t="s">
        <v>1191</v>
      </c>
      <c r="O14210">
        <v>250219</v>
      </c>
      <c r="P14210">
        <v>2224.9499999999998</v>
      </c>
    </row>
    <row r="14211" spans="1:16" x14ac:dyDescent="0.25">
      <c r="A14211" t="s">
        <v>3296</v>
      </c>
      <c r="B14211" t="s">
        <v>2931</v>
      </c>
      <c r="C14211">
        <v>2023</v>
      </c>
      <c r="D14211" t="str">
        <f t="shared" si="224"/>
        <v xml:space="preserve">58941474    </v>
      </c>
      <c r="E14211" t="s">
        <v>1189</v>
      </c>
      <c r="F14211" t="s">
        <v>1192</v>
      </c>
      <c r="G14211">
        <v>4205.43</v>
      </c>
      <c r="H14211">
        <v>250129</v>
      </c>
      <c r="I14211">
        <v>4430</v>
      </c>
      <c r="J14211" t="s">
        <v>1190</v>
      </c>
      <c r="K14211">
        <v>37008.269999999997</v>
      </c>
      <c r="L14211">
        <v>210.27</v>
      </c>
      <c r="M14211">
        <v>11604</v>
      </c>
      <c r="N14211" t="s">
        <v>1191</v>
      </c>
      <c r="O14211">
        <v>250219</v>
      </c>
      <c r="P14211">
        <v>3995.16</v>
      </c>
    </row>
    <row r="14212" spans="1:16" x14ac:dyDescent="0.25">
      <c r="A14212" t="s">
        <v>3296</v>
      </c>
      <c r="B14212" t="s">
        <v>2931</v>
      </c>
      <c r="C14212">
        <v>2023</v>
      </c>
      <c r="D14212" t="str">
        <f t="shared" si="224"/>
        <v xml:space="preserve">58941474    </v>
      </c>
      <c r="E14212" t="s">
        <v>1189</v>
      </c>
      <c r="F14212" t="s">
        <v>1192</v>
      </c>
      <c r="G14212">
        <v>20</v>
      </c>
      <c r="H14212">
        <v>250129</v>
      </c>
      <c r="I14212">
        <v>4430</v>
      </c>
      <c r="J14212" t="s">
        <v>1190</v>
      </c>
      <c r="K14212">
        <v>37008.269999999997</v>
      </c>
      <c r="L14212">
        <v>4.0599999999999996</v>
      </c>
      <c r="M14212">
        <v>11604</v>
      </c>
      <c r="N14212" t="s">
        <v>1191</v>
      </c>
      <c r="O14212">
        <v>250219</v>
      </c>
      <c r="P14212">
        <v>15.94</v>
      </c>
    </row>
    <row r="14213" spans="1:16" x14ac:dyDescent="0.25">
      <c r="A14213" t="s">
        <v>3296</v>
      </c>
      <c r="B14213" t="s">
        <v>2931</v>
      </c>
      <c r="C14213">
        <v>2023</v>
      </c>
      <c r="D14213" t="str">
        <f t="shared" si="224"/>
        <v xml:space="preserve">58941474    </v>
      </c>
      <c r="E14213" t="s">
        <v>1189</v>
      </c>
      <c r="F14213" t="s">
        <v>1192</v>
      </c>
      <c r="G14213">
        <v>4176.3999999999996</v>
      </c>
      <c r="H14213">
        <v>250129</v>
      </c>
      <c r="I14213">
        <v>4430</v>
      </c>
      <c r="J14213" t="s">
        <v>1190</v>
      </c>
      <c r="K14213">
        <v>37008.269999999997</v>
      </c>
      <c r="L14213">
        <v>208.82</v>
      </c>
      <c r="M14213">
        <v>11604</v>
      </c>
      <c r="N14213" t="s">
        <v>1191</v>
      </c>
      <c r="O14213">
        <v>250219</v>
      </c>
      <c r="P14213">
        <v>3967.58</v>
      </c>
    </row>
    <row r="14214" spans="1:16" x14ac:dyDescent="0.25">
      <c r="A14214" t="s">
        <v>3296</v>
      </c>
      <c r="B14214" t="s">
        <v>2931</v>
      </c>
      <c r="C14214">
        <v>2023</v>
      </c>
      <c r="D14214" t="str">
        <f t="shared" si="224"/>
        <v xml:space="preserve">58941474    </v>
      </c>
      <c r="E14214" t="s">
        <v>1189</v>
      </c>
      <c r="F14214" t="s">
        <v>1192</v>
      </c>
      <c r="G14214">
        <v>9448.7800000000007</v>
      </c>
      <c r="H14214">
        <v>250129</v>
      </c>
      <c r="I14214">
        <v>4430</v>
      </c>
      <c r="J14214" t="s">
        <v>1190</v>
      </c>
      <c r="K14214">
        <v>37008.269999999997</v>
      </c>
      <c r="L14214">
        <v>472.44</v>
      </c>
      <c r="M14214">
        <v>11604</v>
      </c>
      <c r="N14214" t="s">
        <v>1191</v>
      </c>
      <c r="O14214">
        <v>250219</v>
      </c>
      <c r="P14214">
        <v>8976.34</v>
      </c>
    </row>
    <row r="14215" spans="1:16" x14ac:dyDescent="0.25">
      <c r="A14215" t="s">
        <v>3296</v>
      </c>
      <c r="B14215" t="s">
        <v>2931</v>
      </c>
      <c r="C14215">
        <v>2023</v>
      </c>
      <c r="D14215" t="str">
        <f t="shared" si="224"/>
        <v xml:space="preserve">58941474    </v>
      </c>
      <c r="E14215" t="s">
        <v>1189</v>
      </c>
      <c r="F14215" t="s">
        <v>1192</v>
      </c>
      <c r="G14215">
        <v>3498.97</v>
      </c>
      <c r="H14215">
        <v>250129</v>
      </c>
      <c r="I14215">
        <v>4430</v>
      </c>
      <c r="J14215" t="s">
        <v>1190</v>
      </c>
      <c r="K14215">
        <v>37008.269999999997</v>
      </c>
      <c r="L14215">
        <v>174.95</v>
      </c>
      <c r="M14215">
        <v>11604</v>
      </c>
      <c r="N14215" t="s">
        <v>1191</v>
      </c>
      <c r="O14215">
        <v>250219</v>
      </c>
      <c r="P14215">
        <v>3324.02</v>
      </c>
    </row>
    <row r="14216" spans="1:16" x14ac:dyDescent="0.25">
      <c r="A14216" t="s">
        <v>3296</v>
      </c>
      <c r="B14216" t="s">
        <v>2931</v>
      </c>
      <c r="C14216">
        <v>2023</v>
      </c>
      <c r="D14216" t="str">
        <f t="shared" si="224"/>
        <v xml:space="preserve">58941474    </v>
      </c>
      <c r="E14216" t="s">
        <v>1189</v>
      </c>
      <c r="F14216" t="s">
        <v>1192</v>
      </c>
      <c r="G14216">
        <v>137.66999999999999</v>
      </c>
      <c r="H14216">
        <v>250129</v>
      </c>
      <c r="I14216">
        <v>4430</v>
      </c>
      <c r="J14216" t="s">
        <v>1190</v>
      </c>
      <c r="K14216">
        <v>37008.269999999997</v>
      </c>
      <c r="L14216">
        <v>6.88</v>
      </c>
      <c r="M14216">
        <v>11604</v>
      </c>
      <c r="N14216" t="s">
        <v>1191</v>
      </c>
      <c r="O14216">
        <v>250219</v>
      </c>
      <c r="P14216">
        <v>130.79</v>
      </c>
    </row>
    <row r="14217" spans="1:16" x14ac:dyDescent="0.25">
      <c r="A14217" t="s">
        <v>3296</v>
      </c>
      <c r="B14217" t="s">
        <v>2931</v>
      </c>
      <c r="C14217">
        <v>2023</v>
      </c>
      <c r="D14217" t="str">
        <f t="shared" si="224"/>
        <v xml:space="preserve">58941474    </v>
      </c>
      <c r="E14217" t="s">
        <v>1189</v>
      </c>
      <c r="F14217" t="s">
        <v>1192</v>
      </c>
      <c r="G14217">
        <v>201.6</v>
      </c>
      <c r="H14217">
        <v>250129</v>
      </c>
      <c r="I14217">
        <v>4430</v>
      </c>
      <c r="J14217" t="s">
        <v>1190</v>
      </c>
      <c r="K14217">
        <v>37008.269999999997</v>
      </c>
      <c r="L14217">
        <v>40.96</v>
      </c>
      <c r="M14217">
        <v>11604</v>
      </c>
      <c r="N14217" t="s">
        <v>1191</v>
      </c>
      <c r="O14217">
        <v>250219</v>
      </c>
      <c r="P14217">
        <v>160.63999999999999</v>
      </c>
    </row>
    <row r="14218" spans="1:16" x14ac:dyDescent="0.25">
      <c r="A14218" t="s">
        <v>3296</v>
      </c>
      <c r="B14218" t="s">
        <v>2931</v>
      </c>
      <c r="C14218">
        <v>2023</v>
      </c>
      <c r="D14218" t="str">
        <f t="shared" si="224"/>
        <v xml:space="preserve">58941474    </v>
      </c>
      <c r="E14218" t="s">
        <v>1189</v>
      </c>
      <c r="F14218" t="s">
        <v>1192</v>
      </c>
      <c r="G14218">
        <v>7575.49</v>
      </c>
      <c r="H14218">
        <v>250129</v>
      </c>
      <c r="I14218">
        <v>4430</v>
      </c>
      <c r="J14218" t="s">
        <v>1190</v>
      </c>
      <c r="K14218">
        <v>37008.269999999997</v>
      </c>
      <c r="L14218">
        <v>378.77</v>
      </c>
      <c r="M14218">
        <v>11604</v>
      </c>
      <c r="N14218" t="s">
        <v>1191</v>
      </c>
      <c r="O14218">
        <v>250219</v>
      </c>
      <c r="P14218">
        <v>7196.72</v>
      </c>
    </row>
    <row r="14219" spans="1:16" x14ac:dyDescent="0.25">
      <c r="A14219" t="s">
        <v>3296</v>
      </c>
      <c r="B14219" t="s">
        <v>2931</v>
      </c>
      <c r="C14219">
        <v>2023</v>
      </c>
      <c r="D14219" t="str">
        <f t="shared" si="224"/>
        <v xml:space="preserve">58941474    </v>
      </c>
      <c r="E14219" t="s">
        <v>1189</v>
      </c>
      <c r="F14219" t="s">
        <v>1192</v>
      </c>
      <c r="G14219">
        <v>2896.62</v>
      </c>
      <c r="H14219">
        <v>250129</v>
      </c>
      <c r="I14219">
        <v>4430</v>
      </c>
      <c r="J14219" t="s">
        <v>1190</v>
      </c>
      <c r="K14219">
        <v>37008.269999999997</v>
      </c>
      <c r="L14219">
        <v>144.83000000000001</v>
      </c>
      <c r="M14219">
        <v>11604</v>
      </c>
      <c r="N14219" t="s">
        <v>1191</v>
      </c>
      <c r="O14219">
        <v>250219</v>
      </c>
      <c r="P14219">
        <v>2751.79</v>
      </c>
    </row>
    <row r="14220" spans="1:16" x14ac:dyDescent="0.25">
      <c r="A14220" t="s">
        <v>3296</v>
      </c>
      <c r="B14220" t="s">
        <v>2931</v>
      </c>
      <c r="C14220">
        <v>2023</v>
      </c>
      <c r="D14220" t="str">
        <f t="shared" si="224"/>
        <v xml:space="preserve">58941474    </v>
      </c>
      <c r="E14220" t="s">
        <v>1189</v>
      </c>
      <c r="F14220" t="s">
        <v>1192</v>
      </c>
      <c r="G14220">
        <v>30.36</v>
      </c>
      <c r="H14220">
        <v>250129</v>
      </c>
      <c r="I14220">
        <v>4430</v>
      </c>
      <c r="J14220" t="s">
        <v>1190</v>
      </c>
      <c r="K14220">
        <v>37008.269999999997</v>
      </c>
      <c r="L14220">
        <v>6.17</v>
      </c>
      <c r="M14220">
        <v>11604</v>
      </c>
      <c r="N14220" t="s">
        <v>1191</v>
      </c>
      <c r="O14220">
        <v>250219</v>
      </c>
      <c r="P14220">
        <v>24.19</v>
      </c>
    </row>
    <row r="14221" spans="1:16" x14ac:dyDescent="0.25">
      <c r="A14221" t="s">
        <v>3296</v>
      </c>
      <c r="B14221" t="s">
        <v>2931</v>
      </c>
      <c r="C14221">
        <v>2023</v>
      </c>
      <c r="D14221" t="str">
        <f t="shared" si="224"/>
        <v xml:space="preserve">58941474    </v>
      </c>
      <c r="E14221" t="s">
        <v>1189</v>
      </c>
      <c r="F14221" t="s">
        <v>1192</v>
      </c>
      <c r="G14221">
        <v>838.13</v>
      </c>
      <c r="H14221">
        <v>250129</v>
      </c>
      <c r="I14221">
        <v>4430</v>
      </c>
      <c r="J14221" t="s">
        <v>1190</v>
      </c>
      <c r="K14221">
        <v>37008.269999999997</v>
      </c>
      <c r="L14221">
        <v>41.91</v>
      </c>
      <c r="M14221">
        <v>11604</v>
      </c>
      <c r="N14221" t="s">
        <v>1191</v>
      </c>
      <c r="O14221">
        <v>250219</v>
      </c>
      <c r="P14221">
        <v>796.22</v>
      </c>
    </row>
    <row r="14222" spans="1:16" x14ac:dyDescent="0.25">
      <c r="A14222" t="s">
        <v>3296</v>
      </c>
      <c r="B14222" t="s">
        <v>2931</v>
      </c>
      <c r="C14222">
        <v>2026</v>
      </c>
      <c r="D14222" t="str">
        <f>"58935936    "</f>
        <v xml:space="preserve">58935936    </v>
      </c>
      <c r="E14222" t="s">
        <v>1189</v>
      </c>
      <c r="F14222" t="s">
        <v>1192</v>
      </c>
      <c r="G14222">
        <v>276.82</v>
      </c>
      <c r="H14222">
        <v>250129</v>
      </c>
      <c r="I14222">
        <v>4430</v>
      </c>
      <c r="J14222" t="s">
        <v>1190</v>
      </c>
      <c r="K14222">
        <v>1246.78</v>
      </c>
      <c r="L14222">
        <v>13.84</v>
      </c>
      <c r="M14222">
        <v>11604</v>
      </c>
      <c r="N14222" t="s">
        <v>1191</v>
      </c>
      <c r="O14222">
        <v>250219</v>
      </c>
      <c r="P14222">
        <v>262.98</v>
      </c>
    </row>
    <row r="14223" spans="1:16" x14ac:dyDescent="0.25">
      <c r="A14223" t="s">
        <v>3296</v>
      </c>
      <c r="B14223" t="s">
        <v>2931</v>
      </c>
      <c r="C14223">
        <v>2026</v>
      </c>
      <c r="D14223" t="str">
        <f>"58935936    "</f>
        <v xml:space="preserve">58935936    </v>
      </c>
      <c r="E14223" t="s">
        <v>1189</v>
      </c>
      <c r="F14223" t="s">
        <v>1192</v>
      </c>
      <c r="G14223">
        <v>459</v>
      </c>
      <c r="H14223">
        <v>250129</v>
      </c>
      <c r="I14223">
        <v>4430</v>
      </c>
      <c r="J14223" t="s">
        <v>1190</v>
      </c>
      <c r="K14223">
        <v>1246.78</v>
      </c>
      <c r="L14223">
        <v>22.95</v>
      </c>
      <c r="M14223">
        <v>11604</v>
      </c>
      <c r="N14223" t="s">
        <v>1191</v>
      </c>
      <c r="O14223">
        <v>250219</v>
      </c>
      <c r="P14223">
        <v>436.05</v>
      </c>
    </row>
    <row r="14224" spans="1:16" x14ac:dyDescent="0.25">
      <c r="A14224" t="s">
        <v>3296</v>
      </c>
      <c r="B14224" t="s">
        <v>2931</v>
      </c>
      <c r="C14224">
        <v>2026</v>
      </c>
      <c r="D14224" t="str">
        <f>"58935936    "</f>
        <v xml:space="preserve">58935936    </v>
      </c>
      <c r="E14224" t="s">
        <v>1189</v>
      </c>
      <c r="F14224" t="s">
        <v>1192</v>
      </c>
      <c r="G14224">
        <v>135.36000000000001</v>
      </c>
      <c r="H14224">
        <v>250129</v>
      </c>
      <c r="I14224">
        <v>4430</v>
      </c>
      <c r="J14224" t="s">
        <v>1190</v>
      </c>
      <c r="K14224">
        <v>1246.78</v>
      </c>
      <c r="L14224">
        <v>6.77</v>
      </c>
      <c r="M14224">
        <v>11604</v>
      </c>
      <c r="N14224" t="s">
        <v>1191</v>
      </c>
      <c r="O14224">
        <v>250219</v>
      </c>
      <c r="P14224">
        <v>128.59</v>
      </c>
    </row>
    <row r="14225" spans="1:16" x14ac:dyDescent="0.25">
      <c r="A14225" t="s">
        <v>3296</v>
      </c>
      <c r="B14225" t="s">
        <v>2931</v>
      </c>
      <c r="C14225">
        <v>2026</v>
      </c>
      <c r="D14225" t="str">
        <f>"58935936    "</f>
        <v xml:space="preserve">58935936    </v>
      </c>
      <c r="E14225" t="s">
        <v>1189</v>
      </c>
      <c r="F14225" t="s">
        <v>1192</v>
      </c>
      <c r="G14225">
        <v>106</v>
      </c>
      <c r="H14225">
        <v>250129</v>
      </c>
      <c r="I14225">
        <v>4430</v>
      </c>
      <c r="J14225" t="s">
        <v>1190</v>
      </c>
      <c r="K14225">
        <v>1246.78</v>
      </c>
      <c r="L14225">
        <v>5.3</v>
      </c>
      <c r="M14225">
        <v>11604</v>
      </c>
      <c r="N14225" t="s">
        <v>1191</v>
      </c>
      <c r="O14225">
        <v>250219</v>
      </c>
      <c r="P14225">
        <v>100.7</v>
      </c>
    </row>
    <row r="14226" spans="1:16" x14ac:dyDescent="0.25">
      <c r="A14226" t="s">
        <v>3296</v>
      </c>
      <c r="B14226" t="s">
        <v>2931</v>
      </c>
      <c r="C14226">
        <v>2026</v>
      </c>
      <c r="D14226" t="str">
        <f>"58935936    "</f>
        <v xml:space="preserve">58935936    </v>
      </c>
      <c r="E14226" t="s">
        <v>1189</v>
      </c>
      <c r="F14226" t="s">
        <v>1192</v>
      </c>
      <c r="G14226">
        <v>269.60000000000002</v>
      </c>
      <c r="H14226">
        <v>250129</v>
      </c>
      <c r="I14226">
        <v>4430</v>
      </c>
      <c r="J14226" t="s">
        <v>1190</v>
      </c>
      <c r="K14226">
        <v>1246.78</v>
      </c>
      <c r="L14226">
        <v>13.48</v>
      </c>
      <c r="M14226">
        <v>11604</v>
      </c>
      <c r="N14226" t="s">
        <v>1191</v>
      </c>
      <c r="O14226">
        <v>250219</v>
      </c>
      <c r="P14226">
        <v>256.12</v>
      </c>
    </row>
    <row r="14227" spans="1:16" x14ac:dyDescent="0.25">
      <c r="A14227" t="s">
        <v>3296</v>
      </c>
      <c r="B14227" t="s">
        <v>2931</v>
      </c>
      <c r="C14227">
        <v>2882</v>
      </c>
      <c r="D14227" t="str">
        <f t="shared" ref="D14227:D14238" si="225">"59044494    "</f>
        <v xml:space="preserve">59044494    </v>
      </c>
      <c r="E14227" t="s">
        <v>1189</v>
      </c>
      <c r="F14227" t="s">
        <v>1192</v>
      </c>
      <c r="G14227">
        <v>850.04</v>
      </c>
      <c r="H14227">
        <v>250226</v>
      </c>
      <c r="I14227">
        <v>4430</v>
      </c>
      <c r="J14227" t="s">
        <v>1190</v>
      </c>
      <c r="K14227">
        <v>35987</v>
      </c>
      <c r="L14227">
        <v>42.5</v>
      </c>
      <c r="M14227">
        <v>11604</v>
      </c>
      <c r="N14227" t="s">
        <v>1191</v>
      </c>
      <c r="O14227">
        <v>250312</v>
      </c>
      <c r="P14227">
        <v>807.54</v>
      </c>
    </row>
    <row r="14228" spans="1:16" x14ac:dyDescent="0.25">
      <c r="A14228" t="s">
        <v>3296</v>
      </c>
      <c r="B14228" t="s">
        <v>2931</v>
      </c>
      <c r="C14228">
        <v>2882</v>
      </c>
      <c r="D14228" t="str">
        <f t="shared" si="225"/>
        <v xml:space="preserve">59044494    </v>
      </c>
      <c r="E14228" t="s">
        <v>1189</v>
      </c>
      <c r="F14228" t="s">
        <v>1192</v>
      </c>
      <c r="G14228">
        <v>2207.8000000000002</v>
      </c>
      <c r="H14228">
        <v>250226</v>
      </c>
      <c r="I14228">
        <v>4430</v>
      </c>
      <c r="J14228" t="s">
        <v>1190</v>
      </c>
      <c r="K14228">
        <v>35987</v>
      </c>
      <c r="L14228">
        <v>110.39</v>
      </c>
      <c r="M14228">
        <v>11604</v>
      </c>
      <c r="N14228" t="s">
        <v>1191</v>
      </c>
      <c r="O14228">
        <v>250312</v>
      </c>
      <c r="P14228">
        <v>2097.41</v>
      </c>
    </row>
    <row r="14229" spans="1:16" x14ac:dyDescent="0.25">
      <c r="A14229" t="s">
        <v>3296</v>
      </c>
      <c r="B14229" t="s">
        <v>2931</v>
      </c>
      <c r="C14229">
        <v>2882</v>
      </c>
      <c r="D14229" t="str">
        <f t="shared" si="225"/>
        <v xml:space="preserve">59044494    </v>
      </c>
      <c r="E14229" t="s">
        <v>1189</v>
      </c>
      <c r="F14229" t="s">
        <v>1192</v>
      </c>
      <c r="G14229">
        <v>4172.47</v>
      </c>
      <c r="H14229">
        <v>250226</v>
      </c>
      <c r="I14229">
        <v>4430</v>
      </c>
      <c r="J14229" t="s">
        <v>1190</v>
      </c>
      <c r="K14229">
        <v>35987</v>
      </c>
      <c r="L14229">
        <v>208.62</v>
      </c>
      <c r="M14229">
        <v>11604</v>
      </c>
      <c r="N14229" t="s">
        <v>1191</v>
      </c>
      <c r="O14229">
        <v>250312</v>
      </c>
      <c r="P14229">
        <v>3963.85</v>
      </c>
    </row>
    <row r="14230" spans="1:16" x14ac:dyDescent="0.25">
      <c r="A14230" t="s">
        <v>3296</v>
      </c>
      <c r="B14230" t="s">
        <v>2931</v>
      </c>
      <c r="C14230">
        <v>2882</v>
      </c>
      <c r="D14230" t="str">
        <f t="shared" si="225"/>
        <v xml:space="preserve">59044494    </v>
      </c>
      <c r="E14230" t="s">
        <v>1189</v>
      </c>
      <c r="F14230" t="s">
        <v>1192</v>
      </c>
      <c r="G14230">
        <v>30.36</v>
      </c>
      <c r="H14230">
        <v>250226</v>
      </c>
      <c r="I14230">
        <v>4430</v>
      </c>
      <c r="J14230" t="s">
        <v>1190</v>
      </c>
      <c r="K14230">
        <v>35987</v>
      </c>
      <c r="L14230">
        <v>6.17</v>
      </c>
      <c r="M14230">
        <v>11604</v>
      </c>
      <c r="N14230" t="s">
        <v>1191</v>
      </c>
      <c r="O14230">
        <v>250312</v>
      </c>
      <c r="P14230">
        <v>24.19</v>
      </c>
    </row>
    <row r="14231" spans="1:16" x14ac:dyDescent="0.25">
      <c r="A14231" t="s">
        <v>3296</v>
      </c>
      <c r="B14231" t="s">
        <v>2931</v>
      </c>
      <c r="C14231">
        <v>2882</v>
      </c>
      <c r="D14231" t="str">
        <f t="shared" si="225"/>
        <v xml:space="preserve">59044494    </v>
      </c>
      <c r="E14231" t="s">
        <v>1189</v>
      </c>
      <c r="F14231" t="s">
        <v>1192</v>
      </c>
      <c r="G14231">
        <v>4585.76</v>
      </c>
      <c r="H14231">
        <v>250226</v>
      </c>
      <c r="I14231">
        <v>4430</v>
      </c>
      <c r="J14231" t="s">
        <v>1190</v>
      </c>
      <c r="K14231">
        <v>35987</v>
      </c>
      <c r="L14231">
        <v>229.29</v>
      </c>
      <c r="M14231">
        <v>11604</v>
      </c>
      <c r="N14231" t="s">
        <v>1191</v>
      </c>
      <c r="O14231">
        <v>250312</v>
      </c>
      <c r="P14231">
        <v>4356.47</v>
      </c>
    </row>
    <row r="14232" spans="1:16" x14ac:dyDescent="0.25">
      <c r="A14232" t="s">
        <v>3296</v>
      </c>
      <c r="B14232" t="s">
        <v>2931</v>
      </c>
      <c r="C14232">
        <v>2882</v>
      </c>
      <c r="D14232" t="str">
        <f t="shared" si="225"/>
        <v xml:space="preserve">59044494    </v>
      </c>
      <c r="E14232" t="s">
        <v>1189</v>
      </c>
      <c r="F14232" t="s">
        <v>1192</v>
      </c>
      <c r="G14232">
        <v>5160.3500000000004</v>
      </c>
      <c r="H14232">
        <v>250226</v>
      </c>
      <c r="I14232">
        <v>4430</v>
      </c>
      <c r="J14232" t="s">
        <v>1190</v>
      </c>
      <c r="K14232">
        <v>35987</v>
      </c>
      <c r="L14232">
        <v>258.02</v>
      </c>
      <c r="M14232">
        <v>11604</v>
      </c>
      <c r="N14232" t="s">
        <v>1191</v>
      </c>
      <c r="O14232">
        <v>250312</v>
      </c>
      <c r="P14232">
        <v>4902.33</v>
      </c>
    </row>
    <row r="14233" spans="1:16" x14ac:dyDescent="0.25">
      <c r="A14233" t="s">
        <v>3296</v>
      </c>
      <c r="B14233" t="s">
        <v>2931</v>
      </c>
      <c r="C14233">
        <v>2882</v>
      </c>
      <c r="D14233" t="str">
        <f t="shared" si="225"/>
        <v xml:space="preserve">59044494    </v>
      </c>
      <c r="E14233" t="s">
        <v>1189</v>
      </c>
      <c r="F14233" t="s">
        <v>1192</v>
      </c>
      <c r="G14233">
        <v>3286.97</v>
      </c>
      <c r="H14233">
        <v>250226</v>
      </c>
      <c r="I14233">
        <v>4430</v>
      </c>
      <c r="J14233" t="s">
        <v>1190</v>
      </c>
      <c r="K14233">
        <v>35987</v>
      </c>
      <c r="L14233">
        <v>164.35</v>
      </c>
      <c r="M14233">
        <v>11604</v>
      </c>
      <c r="N14233" t="s">
        <v>1191</v>
      </c>
      <c r="O14233">
        <v>250312</v>
      </c>
      <c r="P14233">
        <v>3122.62</v>
      </c>
    </row>
    <row r="14234" spans="1:16" x14ac:dyDescent="0.25">
      <c r="A14234" t="s">
        <v>3296</v>
      </c>
      <c r="B14234" t="s">
        <v>2931</v>
      </c>
      <c r="C14234">
        <v>2882</v>
      </c>
      <c r="D14234" t="str">
        <f t="shared" si="225"/>
        <v xml:space="preserve">59044494    </v>
      </c>
      <c r="E14234" t="s">
        <v>1189</v>
      </c>
      <c r="F14234" t="s">
        <v>1192</v>
      </c>
      <c r="G14234">
        <v>463.26</v>
      </c>
      <c r="H14234">
        <v>250226</v>
      </c>
      <c r="I14234">
        <v>4430</v>
      </c>
      <c r="J14234" t="s">
        <v>1190</v>
      </c>
      <c r="K14234">
        <v>35987</v>
      </c>
      <c r="L14234">
        <v>94.13</v>
      </c>
      <c r="M14234">
        <v>11604</v>
      </c>
      <c r="N14234" t="s">
        <v>1191</v>
      </c>
      <c r="O14234">
        <v>250312</v>
      </c>
      <c r="P14234">
        <v>369.13</v>
      </c>
    </row>
    <row r="14235" spans="1:16" x14ac:dyDescent="0.25">
      <c r="A14235" t="s">
        <v>3296</v>
      </c>
      <c r="B14235" t="s">
        <v>2931</v>
      </c>
      <c r="C14235">
        <v>2882</v>
      </c>
      <c r="D14235" t="str">
        <f t="shared" si="225"/>
        <v xml:space="preserve">59044494    </v>
      </c>
      <c r="E14235" t="s">
        <v>1189</v>
      </c>
      <c r="F14235" t="s">
        <v>1192</v>
      </c>
      <c r="G14235">
        <v>7048.37</v>
      </c>
      <c r="H14235">
        <v>250226</v>
      </c>
      <c r="I14235">
        <v>4430</v>
      </c>
      <c r="J14235" t="s">
        <v>1190</v>
      </c>
      <c r="K14235">
        <v>35987</v>
      </c>
      <c r="L14235">
        <v>352.42</v>
      </c>
      <c r="M14235">
        <v>11604</v>
      </c>
      <c r="N14235" t="s">
        <v>1191</v>
      </c>
      <c r="O14235">
        <v>250312</v>
      </c>
      <c r="P14235">
        <v>6695.95</v>
      </c>
    </row>
    <row r="14236" spans="1:16" x14ac:dyDescent="0.25">
      <c r="A14236" t="s">
        <v>3296</v>
      </c>
      <c r="B14236" t="s">
        <v>2931</v>
      </c>
      <c r="C14236">
        <v>2882</v>
      </c>
      <c r="D14236" t="str">
        <f t="shared" si="225"/>
        <v xml:space="preserve">59044494    </v>
      </c>
      <c r="E14236" t="s">
        <v>1189</v>
      </c>
      <c r="F14236" t="s">
        <v>1192</v>
      </c>
      <c r="G14236">
        <v>221.76</v>
      </c>
      <c r="H14236">
        <v>250226</v>
      </c>
      <c r="I14236">
        <v>4430</v>
      </c>
      <c r="J14236" t="s">
        <v>1190</v>
      </c>
      <c r="K14236">
        <v>35987</v>
      </c>
      <c r="L14236">
        <v>45.06</v>
      </c>
      <c r="M14236">
        <v>11604</v>
      </c>
      <c r="N14236" t="s">
        <v>1191</v>
      </c>
      <c r="O14236">
        <v>250312</v>
      </c>
      <c r="P14236">
        <v>176.7</v>
      </c>
    </row>
    <row r="14237" spans="1:16" x14ac:dyDescent="0.25">
      <c r="A14237" t="s">
        <v>3296</v>
      </c>
      <c r="B14237" t="s">
        <v>2931</v>
      </c>
      <c r="C14237">
        <v>2882</v>
      </c>
      <c r="D14237" t="str">
        <f t="shared" si="225"/>
        <v xml:space="preserve">59044494    </v>
      </c>
      <c r="E14237" t="s">
        <v>1189</v>
      </c>
      <c r="F14237" t="s">
        <v>1192</v>
      </c>
      <c r="G14237">
        <v>7108.69</v>
      </c>
      <c r="H14237">
        <v>250226</v>
      </c>
      <c r="I14237">
        <v>4430</v>
      </c>
      <c r="J14237" t="s">
        <v>1190</v>
      </c>
      <c r="K14237">
        <v>35987</v>
      </c>
      <c r="L14237">
        <v>355.43</v>
      </c>
      <c r="M14237">
        <v>11604</v>
      </c>
      <c r="N14237" t="s">
        <v>1191</v>
      </c>
      <c r="O14237">
        <v>250312</v>
      </c>
      <c r="P14237">
        <v>6753.26</v>
      </c>
    </row>
    <row r="14238" spans="1:16" x14ac:dyDescent="0.25">
      <c r="A14238" t="s">
        <v>3296</v>
      </c>
      <c r="B14238" t="s">
        <v>2931</v>
      </c>
      <c r="C14238">
        <v>2882</v>
      </c>
      <c r="D14238" t="str">
        <f t="shared" si="225"/>
        <v xml:space="preserve">59044494    </v>
      </c>
      <c r="E14238" t="s">
        <v>1189</v>
      </c>
      <c r="F14238" t="s">
        <v>1192</v>
      </c>
      <c r="G14238">
        <v>851.17</v>
      </c>
      <c r="H14238">
        <v>250226</v>
      </c>
      <c r="I14238">
        <v>4430</v>
      </c>
      <c r="J14238" t="s">
        <v>1190</v>
      </c>
      <c r="K14238">
        <v>35987</v>
      </c>
      <c r="L14238">
        <v>42.56</v>
      </c>
      <c r="M14238">
        <v>11604</v>
      </c>
      <c r="N14238" t="s">
        <v>1191</v>
      </c>
      <c r="O14238">
        <v>250312</v>
      </c>
      <c r="P14238">
        <v>808.61</v>
      </c>
    </row>
    <row r="14239" spans="1:16" x14ac:dyDescent="0.25">
      <c r="A14239" t="s">
        <v>3296</v>
      </c>
      <c r="B14239" t="s">
        <v>2931</v>
      </c>
      <c r="C14239">
        <v>3306</v>
      </c>
      <c r="D14239" t="str">
        <f>"59038347    "</f>
        <v xml:space="preserve">59038347    </v>
      </c>
      <c r="E14239" t="s">
        <v>1189</v>
      </c>
      <c r="F14239" t="s">
        <v>1192</v>
      </c>
      <c r="G14239">
        <v>47.5</v>
      </c>
      <c r="H14239">
        <v>250226</v>
      </c>
      <c r="I14239">
        <v>4430</v>
      </c>
      <c r="J14239" t="s">
        <v>1190</v>
      </c>
      <c r="K14239">
        <v>1352.25</v>
      </c>
      <c r="L14239">
        <v>2.37</v>
      </c>
      <c r="M14239">
        <v>11604</v>
      </c>
      <c r="N14239" t="s">
        <v>1191</v>
      </c>
      <c r="O14239">
        <v>250318</v>
      </c>
      <c r="P14239">
        <v>45.13</v>
      </c>
    </row>
    <row r="14240" spans="1:16" x14ac:dyDescent="0.25">
      <c r="A14240" t="s">
        <v>3296</v>
      </c>
      <c r="B14240" t="s">
        <v>2931</v>
      </c>
      <c r="C14240">
        <v>3306</v>
      </c>
      <c r="D14240" t="str">
        <f>"59038347    "</f>
        <v xml:space="preserve">59038347    </v>
      </c>
      <c r="E14240" t="s">
        <v>1189</v>
      </c>
      <c r="F14240" t="s">
        <v>1192</v>
      </c>
      <c r="G14240">
        <v>837.52</v>
      </c>
      <c r="H14240">
        <v>250226</v>
      </c>
      <c r="I14240">
        <v>4430</v>
      </c>
      <c r="J14240" t="s">
        <v>1190</v>
      </c>
      <c r="K14240">
        <v>1352.25</v>
      </c>
      <c r="L14240">
        <v>41.88</v>
      </c>
      <c r="M14240">
        <v>11604</v>
      </c>
      <c r="N14240" t="s">
        <v>1191</v>
      </c>
      <c r="O14240">
        <v>250318</v>
      </c>
      <c r="P14240">
        <v>795.64</v>
      </c>
    </row>
    <row r="14241" spans="1:16" x14ac:dyDescent="0.25">
      <c r="A14241" t="s">
        <v>3296</v>
      </c>
      <c r="B14241" t="s">
        <v>2931</v>
      </c>
      <c r="C14241">
        <v>3306</v>
      </c>
      <c r="D14241" t="str">
        <f>"59038347    "</f>
        <v xml:space="preserve">59038347    </v>
      </c>
      <c r="E14241" t="s">
        <v>1189</v>
      </c>
      <c r="F14241" t="s">
        <v>1192</v>
      </c>
      <c r="G14241">
        <v>388.56</v>
      </c>
      <c r="H14241">
        <v>250226</v>
      </c>
      <c r="I14241">
        <v>4430</v>
      </c>
      <c r="J14241" t="s">
        <v>1190</v>
      </c>
      <c r="K14241">
        <v>1352.25</v>
      </c>
      <c r="L14241">
        <v>19.43</v>
      </c>
      <c r="M14241">
        <v>11604</v>
      </c>
      <c r="N14241" t="s">
        <v>1191</v>
      </c>
      <c r="O14241">
        <v>250318</v>
      </c>
      <c r="P14241">
        <v>369.13</v>
      </c>
    </row>
    <row r="14242" spans="1:16" x14ac:dyDescent="0.25">
      <c r="A14242" t="s">
        <v>3296</v>
      </c>
      <c r="B14242" t="s">
        <v>2931</v>
      </c>
      <c r="C14242">
        <v>3306</v>
      </c>
      <c r="D14242" t="str">
        <f>"59038347    "</f>
        <v xml:space="preserve">59038347    </v>
      </c>
      <c r="E14242" t="s">
        <v>1189</v>
      </c>
      <c r="F14242" t="s">
        <v>1192</v>
      </c>
      <c r="G14242">
        <v>78.67</v>
      </c>
      <c r="H14242">
        <v>250226</v>
      </c>
      <c r="I14242">
        <v>4430</v>
      </c>
      <c r="J14242" t="s">
        <v>1190</v>
      </c>
      <c r="K14242">
        <v>1352.25</v>
      </c>
      <c r="L14242">
        <v>3.93</v>
      </c>
      <c r="M14242">
        <v>11604</v>
      </c>
      <c r="N14242" t="s">
        <v>1191</v>
      </c>
      <c r="O14242">
        <v>250318</v>
      </c>
      <c r="P14242">
        <v>74.739999999999995</v>
      </c>
    </row>
    <row r="14243" spans="1:16" x14ac:dyDescent="0.25">
      <c r="A14243" t="s">
        <v>3296</v>
      </c>
      <c r="B14243" t="s">
        <v>2931</v>
      </c>
      <c r="C14243">
        <v>5167</v>
      </c>
      <c r="D14243" t="str">
        <f t="shared" ref="D14243:D14257" si="226">"59153428    "</f>
        <v xml:space="preserve">59153428    </v>
      </c>
      <c r="E14243" t="s">
        <v>1189</v>
      </c>
      <c r="F14243" t="s">
        <v>1192</v>
      </c>
      <c r="G14243">
        <v>358.66</v>
      </c>
      <c r="H14243">
        <v>250327</v>
      </c>
      <c r="I14243">
        <v>4430</v>
      </c>
      <c r="J14243" t="s">
        <v>1190</v>
      </c>
      <c r="K14243">
        <v>35666.35</v>
      </c>
      <c r="L14243">
        <v>17.93</v>
      </c>
      <c r="M14243">
        <v>11604</v>
      </c>
      <c r="N14243" t="s">
        <v>1191</v>
      </c>
      <c r="O14243">
        <v>250417</v>
      </c>
      <c r="P14243">
        <v>340.73</v>
      </c>
    </row>
    <row r="14244" spans="1:16" x14ac:dyDescent="0.25">
      <c r="A14244" t="s">
        <v>3296</v>
      </c>
      <c r="B14244" t="s">
        <v>2931</v>
      </c>
      <c r="C14244">
        <v>5167</v>
      </c>
      <c r="D14244" t="str">
        <f t="shared" si="226"/>
        <v xml:space="preserve">59153428    </v>
      </c>
      <c r="E14244" t="s">
        <v>1189</v>
      </c>
      <c r="F14244" t="s">
        <v>1192</v>
      </c>
      <c r="G14244">
        <v>1497.01</v>
      </c>
      <c r="H14244">
        <v>250327</v>
      </c>
      <c r="I14244">
        <v>4430</v>
      </c>
      <c r="J14244" t="s">
        <v>1190</v>
      </c>
      <c r="K14244">
        <v>35666.35</v>
      </c>
      <c r="L14244">
        <v>74.849999999999994</v>
      </c>
      <c r="M14244">
        <v>11604</v>
      </c>
      <c r="N14244" t="s">
        <v>1191</v>
      </c>
      <c r="O14244">
        <v>250417</v>
      </c>
      <c r="P14244">
        <v>1422.16</v>
      </c>
    </row>
    <row r="14245" spans="1:16" x14ac:dyDescent="0.25">
      <c r="A14245" t="s">
        <v>3296</v>
      </c>
      <c r="B14245" t="s">
        <v>2931</v>
      </c>
      <c r="C14245">
        <v>5167</v>
      </c>
      <c r="D14245" t="str">
        <f t="shared" si="226"/>
        <v xml:space="preserve">59153428    </v>
      </c>
      <c r="E14245" t="s">
        <v>1189</v>
      </c>
      <c r="F14245" t="s">
        <v>1192</v>
      </c>
      <c r="G14245">
        <v>2418.83</v>
      </c>
      <c r="H14245">
        <v>250327</v>
      </c>
      <c r="I14245">
        <v>4430</v>
      </c>
      <c r="J14245" t="s">
        <v>1190</v>
      </c>
      <c r="K14245">
        <v>35666.35</v>
      </c>
      <c r="L14245">
        <v>120.94</v>
      </c>
      <c r="M14245">
        <v>11604</v>
      </c>
      <c r="N14245" t="s">
        <v>1191</v>
      </c>
      <c r="O14245">
        <v>250417</v>
      </c>
      <c r="P14245">
        <v>2297.89</v>
      </c>
    </row>
    <row r="14246" spans="1:16" x14ac:dyDescent="0.25">
      <c r="A14246" t="s">
        <v>3296</v>
      </c>
      <c r="B14246" t="s">
        <v>2931</v>
      </c>
      <c r="C14246">
        <v>5167</v>
      </c>
      <c r="D14246" t="str">
        <f t="shared" si="226"/>
        <v xml:space="preserve">59153428    </v>
      </c>
      <c r="E14246" t="s">
        <v>1189</v>
      </c>
      <c r="F14246" t="s">
        <v>1192</v>
      </c>
      <c r="G14246">
        <v>20</v>
      </c>
      <c r="H14246">
        <v>250327</v>
      </c>
      <c r="I14246">
        <v>4430</v>
      </c>
      <c r="J14246" t="s">
        <v>1190</v>
      </c>
      <c r="K14246">
        <v>35666.35</v>
      </c>
      <c r="L14246">
        <v>4.0599999999999996</v>
      </c>
      <c r="M14246">
        <v>11604</v>
      </c>
      <c r="N14246" t="s">
        <v>1191</v>
      </c>
      <c r="O14246">
        <v>250417</v>
      </c>
      <c r="P14246">
        <v>15.94</v>
      </c>
    </row>
    <row r="14247" spans="1:16" x14ac:dyDescent="0.25">
      <c r="A14247" t="s">
        <v>3296</v>
      </c>
      <c r="B14247" t="s">
        <v>2931</v>
      </c>
      <c r="C14247">
        <v>5167</v>
      </c>
      <c r="D14247" t="str">
        <f t="shared" si="226"/>
        <v xml:space="preserve">59153428    </v>
      </c>
      <c r="E14247" t="s">
        <v>1189</v>
      </c>
      <c r="F14247" t="s">
        <v>1192</v>
      </c>
      <c r="G14247">
        <v>5049.46</v>
      </c>
      <c r="H14247">
        <v>250327</v>
      </c>
      <c r="I14247">
        <v>4430</v>
      </c>
      <c r="J14247" t="s">
        <v>1190</v>
      </c>
      <c r="K14247">
        <v>35666.35</v>
      </c>
      <c r="L14247">
        <v>252.47</v>
      </c>
      <c r="M14247">
        <v>11604</v>
      </c>
      <c r="N14247" t="s">
        <v>1191</v>
      </c>
      <c r="O14247">
        <v>250417</v>
      </c>
      <c r="P14247">
        <v>4796.99</v>
      </c>
    </row>
    <row r="14248" spans="1:16" x14ac:dyDescent="0.25">
      <c r="A14248" t="s">
        <v>3296</v>
      </c>
      <c r="B14248" t="s">
        <v>2931</v>
      </c>
      <c r="C14248">
        <v>5167</v>
      </c>
      <c r="D14248" t="str">
        <f t="shared" si="226"/>
        <v xml:space="preserve">59153428    </v>
      </c>
      <c r="E14248" t="s">
        <v>1189</v>
      </c>
      <c r="F14248" t="s">
        <v>1192</v>
      </c>
      <c r="G14248">
        <v>11827.69</v>
      </c>
      <c r="H14248">
        <v>250327</v>
      </c>
      <c r="I14248">
        <v>4430</v>
      </c>
      <c r="J14248" t="s">
        <v>1190</v>
      </c>
      <c r="K14248">
        <v>35666.35</v>
      </c>
      <c r="L14248">
        <v>591.38</v>
      </c>
      <c r="M14248">
        <v>11604</v>
      </c>
      <c r="N14248" t="s">
        <v>1191</v>
      </c>
      <c r="O14248">
        <v>250417</v>
      </c>
      <c r="P14248">
        <v>11236.31</v>
      </c>
    </row>
    <row r="14249" spans="1:16" x14ac:dyDescent="0.25">
      <c r="A14249" t="s">
        <v>3296</v>
      </c>
      <c r="B14249" t="s">
        <v>2931</v>
      </c>
      <c r="C14249">
        <v>5167</v>
      </c>
      <c r="D14249" t="str">
        <f t="shared" si="226"/>
        <v xml:space="preserve">59153428    </v>
      </c>
      <c r="E14249" t="s">
        <v>1189</v>
      </c>
      <c r="F14249" t="s">
        <v>1192</v>
      </c>
      <c r="G14249">
        <v>2105.6799999999998</v>
      </c>
      <c r="H14249">
        <v>250327</v>
      </c>
      <c r="I14249">
        <v>4430</v>
      </c>
      <c r="J14249" t="s">
        <v>1190</v>
      </c>
      <c r="K14249">
        <v>35666.35</v>
      </c>
      <c r="L14249">
        <v>105.28</v>
      </c>
      <c r="M14249">
        <v>11604</v>
      </c>
      <c r="N14249" t="s">
        <v>1191</v>
      </c>
      <c r="O14249">
        <v>250417</v>
      </c>
      <c r="P14249">
        <v>2000.4</v>
      </c>
    </row>
    <row r="14250" spans="1:16" x14ac:dyDescent="0.25">
      <c r="A14250" t="s">
        <v>3296</v>
      </c>
      <c r="B14250" t="s">
        <v>2931</v>
      </c>
      <c r="C14250">
        <v>5167</v>
      </c>
      <c r="D14250" t="str">
        <f t="shared" si="226"/>
        <v xml:space="preserve">59153428    </v>
      </c>
      <c r="E14250" t="s">
        <v>1189</v>
      </c>
      <c r="F14250" t="s">
        <v>1192</v>
      </c>
      <c r="G14250">
        <v>84.37</v>
      </c>
      <c r="H14250">
        <v>250327</v>
      </c>
      <c r="I14250">
        <v>4430</v>
      </c>
      <c r="J14250" t="s">
        <v>1190</v>
      </c>
      <c r="K14250">
        <v>35666.35</v>
      </c>
      <c r="L14250">
        <v>4.22</v>
      </c>
      <c r="M14250">
        <v>11604</v>
      </c>
      <c r="N14250" t="s">
        <v>1191</v>
      </c>
      <c r="O14250">
        <v>250417</v>
      </c>
      <c r="P14250">
        <v>80.150000000000006</v>
      </c>
    </row>
    <row r="14251" spans="1:16" x14ac:dyDescent="0.25">
      <c r="A14251" t="s">
        <v>3296</v>
      </c>
      <c r="B14251" t="s">
        <v>2931</v>
      </c>
      <c r="C14251">
        <v>5167</v>
      </c>
      <c r="D14251" t="str">
        <f t="shared" si="226"/>
        <v xml:space="preserve">59153428    </v>
      </c>
      <c r="E14251" t="s">
        <v>1189</v>
      </c>
      <c r="F14251" t="s">
        <v>1192</v>
      </c>
      <c r="G14251">
        <v>225.45</v>
      </c>
      <c r="H14251">
        <v>250327</v>
      </c>
      <c r="I14251">
        <v>4430</v>
      </c>
      <c r="J14251" t="s">
        <v>1190</v>
      </c>
      <c r="K14251">
        <v>35666.35</v>
      </c>
      <c r="L14251">
        <v>45.81</v>
      </c>
      <c r="M14251">
        <v>11604</v>
      </c>
      <c r="N14251" t="s">
        <v>1191</v>
      </c>
      <c r="O14251">
        <v>250417</v>
      </c>
      <c r="P14251">
        <v>179.64</v>
      </c>
    </row>
    <row r="14252" spans="1:16" x14ac:dyDescent="0.25">
      <c r="A14252" t="s">
        <v>3296</v>
      </c>
      <c r="B14252" t="s">
        <v>2931</v>
      </c>
      <c r="C14252">
        <v>5167</v>
      </c>
      <c r="D14252" t="str">
        <f t="shared" si="226"/>
        <v xml:space="preserve">59153428    </v>
      </c>
      <c r="E14252" t="s">
        <v>1189</v>
      </c>
      <c r="F14252" t="s">
        <v>1192</v>
      </c>
      <c r="G14252">
        <v>5291.48</v>
      </c>
      <c r="H14252">
        <v>250327</v>
      </c>
      <c r="I14252">
        <v>4430</v>
      </c>
      <c r="J14252" t="s">
        <v>1190</v>
      </c>
      <c r="K14252">
        <v>35666.35</v>
      </c>
      <c r="L14252">
        <v>264.57</v>
      </c>
      <c r="M14252">
        <v>11604</v>
      </c>
      <c r="N14252" t="s">
        <v>1191</v>
      </c>
      <c r="O14252">
        <v>250417</v>
      </c>
      <c r="P14252">
        <v>5026.91</v>
      </c>
    </row>
    <row r="14253" spans="1:16" x14ac:dyDescent="0.25">
      <c r="A14253" t="s">
        <v>3296</v>
      </c>
      <c r="B14253" t="s">
        <v>2931</v>
      </c>
      <c r="C14253">
        <v>5167</v>
      </c>
      <c r="D14253" t="str">
        <f t="shared" si="226"/>
        <v xml:space="preserve">59153428    </v>
      </c>
      <c r="E14253" t="s">
        <v>1189</v>
      </c>
      <c r="F14253" t="s">
        <v>1192</v>
      </c>
      <c r="G14253">
        <v>5360.6</v>
      </c>
      <c r="H14253">
        <v>250327</v>
      </c>
      <c r="I14253">
        <v>4430</v>
      </c>
      <c r="J14253" t="s">
        <v>1190</v>
      </c>
      <c r="K14253">
        <v>35666.35</v>
      </c>
      <c r="L14253">
        <v>268.02999999999997</v>
      </c>
      <c r="M14253">
        <v>11604</v>
      </c>
      <c r="N14253" t="s">
        <v>1191</v>
      </c>
      <c r="O14253">
        <v>250417</v>
      </c>
      <c r="P14253">
        <v>5092.57</v>
      </c>
    </row>
    <row r="14254" spans="1:16" x14ac:dyDescent="0.25">
      <c r="A14254" t="s">
        <v>3296</v>
      </c>
      <c r="B14254" t="s">
        <v>2931</v>
      </c>
      <c r="C14254">
        <v>5167</v>
      </c>
      <c r="D14254" t="str">
        <f t="shared" si="226"/>
        <v xml:space="preserve">59153428    </v>
      </c>
      <c r="E14254" t="s">
        <v>1189</v>
      </c>
      <c r="F14254" t="s">
        <v>1192</v>
      </c>
      <c r="G14254">
        <v>845.55</v>
      </c>
      <c r="H14254">
        <v>250327</v>
      </c>
      <c r="I14254">
        <v>4430</v>
      </c>
      <c r="J14254" t="s">
        <v>1190</v>
      </c>
      <c r="K14254">
        <v>35666.35</v>
      </c>
      <c r="L14254">
        <v>42.28</v>
      </c>
      <c r="M14254">
        <v>11604</v>
      </c>
      <c r="N14254" t="s">
        <v>1191</v>
      </c>
      <c r="O14254">
        <v>250417</v>
      </c>
      <c r="P14254">
        <v>803.27</v>
      </c>
    </row>
    <row r="14255" spans="1:16" x14ac:dyDescent="0.25">
      <c r="A14255" t="s">
        <v>3296</v>
      </c>
      <c r="B14255" t="s">
        <v>2931</v>
      </c>
      <c r="C14255">
        <v>5167</v>
      </c>
      <c r="D14255" t="str">
        <f t="shared" si="226"/>
        <v xml:space="preserve">59153428    </v>
      </c>
      <c r="E14255" t="s">
        <v>1189</v>
      </c>
      <c r="F14255" t="s">
        <v>1192</v>
      </c>
      <c r="G14255">
        <v>193.86</v>
      </c>
      <c r="H14255">
        <v>250327</v>
      </c>
      <c r="I14255">
        <v>4430</v>
      </c>
      <c r="J14255" t="s">
        <v>1190</v>
      </c>
      <c r="K14255">
        <v>35666.35</v>
      </c>
      <c r="L14255">
        <v>39.39</v>
      </c>
      <c r="M14255">
        <v>44222</v>
      </c>
      <c r="N14255" t="s">
        <v>96</v>
      </c>
      <c r="O14255">
        <v>250417</v>
      </c>
      <c r="P14255">
        <v>154.47</v>
      </c>
    </row>
    <row r="14256" spans="1:16" x14ac:dyDescent="0.25">
      <c r="A14256" t="s">
        <v>3296</v>
      </c>
      <c r="B14256" t="s">
        <v>2931</v>
      </c>
      <c r="C14256">
        <v>5167</v>
      </c>
      <c r="D14256" t="str">
        <f t="shared" si="226"/>
        <v xml:space="preserve">59153428    </v>
      </c>
      <c r="E14256" t="s">
        <v>1189</v>
      </c>
      <c r="F14256" t="s">
        <v>1192</v>
      </c>
      <c r="G14256">
        <v>193.85</v>
      </c>
      <c r="H14256">
        <v>250327</v>
      </c>
      <c r="I14256">
        <v>4430</v>
      </c>
      <c r="J14256" t="s">
        <v>1190</v>
      </c>
      <c r="K14256">
        <v>35666.35</v>
      </c>
      <c r="L14256">
        <v>39.39</v>
      </c>
      <c r="M14256">
        <v>46554</v>
      </c>
      <c r="N14256" t="s">
        <v>102</v>
      </c>
      <c r="O14256">
        <v>250417</v>
      </c>
      <c r="P14256">
        <v>154.46</v>
      </c>
    </row>
    <row r="14257" spans="1:16" x14ac:dyDescent="0.25">
      <c r="A14257" t="s">
        <v>3296</v>
      </c>
      <c r="B14257" t="s">
        <v>2931</v>
      </c>
      <c r="C14257">
        <v>5167</v>
      </c>
      <c r="D14257" t="str">
        <f t="shared" si="226"/>
        <v xml:space="preserve">59153428    </v>
      </c>
      <c r="E14257" t="s">
        <v>1189</v>
      </c>
      <c r="F14257" t="s">
        <v>1192</v>
      </c>
      <c r="G14257">
        <v>193.86</v>
      </c>
      <c r="H14257">
        <v>250327</v>
      </c>
      <c r="I14257">
        <v>4430</v>
      </c>
      <c r="J14257" t="s">
        <v>1190</v>
      </c>
      <c r="K14257">
        <v>35666.35</v>
      </c>
      <c r="L14257">
        <v>39.39</v>
      </c>
      <c r="M14257">
        <v>48601</v>
      </c>
      <c r="N14257" t="s">
        <v>107</v>
      </c>
      <c r="O14257">
        <v>250417</v>
      </c>
      <c r="P14257">
        <v>154.47</v>
      </c>
    </row>
    <row r="14258" spans="1:16" x14ac:dyDescent="0.25">
      <c r="A14258" t="s">
        <v>3296</v>
      </c>
      <c r="B14258" t="s">
        <v>2931</v>
      </c>
      <c r="C14258">
        <v>5385</v>
      </c>
      <c r="D14258" t="str">
        <f>"59146552    "</f>
        <v xml:space="preserve">59146552    </v>
      </c>
      <c r="E14258" t="s">
        <v>1189</v>
      </c>
      <c r="F14258" t="s">
        <v>1192</v>
      </c>
      <c r="G14258">
        <v>169</v>
      </c>
      <c r="H14258">
        <v>250401</v>
      </c>
      <c r="I14258">
        <v>4430</v>
      </c>
      <c r="J14258" t="s">
        <v>1190</v>
      </c>
      <c r="K14258">
        <v>887.36</v>
      </c>
      <c r="L14258">
        <v>8.4499999999999993</v>
      </c>
      <c r="M14258">
        <v>11604</v>
      </c>
      <c r="N14258" t="s">
        <v>1191</v>
      </c>
      <c r="O14258">
        <v>250424</v>
      </c>
      <c r="P14258">
        <v>160.55000000000001</v>
      </c>
    </row>
    <row r="14259" spans="1:16" x14ac:dyDescent="0.25">
      <c r="A14259" t="s">
        <v>3296</v>
      </c>
      <c r="B14259" t="s">
        <v>2931</v>
      </c>
      <c r="C14259">
        <v>5385</v>
      </c>
      <c r="D14259" t="str">
        <f>"59146552    "</f>
        <v xml:space="preserve">59146552    </v>
      </c>
      <c r="E14259" t="s">
        <v>1189</v>
      </c>
      <c r="F14259" t="s">
        <v>1192</v>
      </c>
      <c r="G14259">
        <v>517.08000000000004</v>
      </c>
      <c r="H14259">
        <v>250401</v>
      </c>
      <c r="I14259">
        <v>4430</v>
      </c>
      <c r="J14259" t="s">
        <v>1190</v>
      </c>
      <c r="K14259">
        <v>887.36</v>
      </c>
      <c r="L14259">
        <v>25.85</v>
      </c>
      <c r="M14259">
        <v>11604</v>
      </c>
      <c r="N14259" t="s">
        <v>1191</v>
      </c>
      <c r="O14259">
        <v>250424</v>
      </c>
      <c r="P14259">
        <v>491.23</v>
      </c>
    </row>
    <row r="14260" spans="1:16" x14ac:dyDescent="0.25">
      <c r="A14260" t="s">
        <v>3296</v>
      </c>
      <c r="B14260" t="s">
        <v>2931</v>
      </c>
      <c r="C14260">
        <v>5385</v>
      </c>
      <c r="D14260" t="str">
        <f>"59146552    "</f>
        <v xml:space="preserve">59146552    </v>
      </c>
      <c r="E14260" t="s">
        <v>1189</v>
      </c>
      <c r="F14260" t="s">
        <v>1192</v>
      </c>
      <c r="G14260">
        <v>127.95</v>
      </c>
      <c r="H14260">
        <v>250401</v>
      </c>
      <c r="I14260">
        <v>4430</v>
      </c>
      <c r="J14260" t="s">
        <v>1190</v>
      </c>
      <c r="K14260">
        <v>887.36</v>
      </c>
      <c r="L14260">
        <v>6.4</v>
      </c>
      <c r="M14260">
        <v>11604</v>
      </c>
      <c r="N14260" t="s">
        <v>1191</v>
      </c>
      <c r="O14260">
        <v>250424</v>
      </c>
      <c r="P14260">
        <v>121.55</v>
      </c>
    </row>
    <row r="14261" spans="1:16" x14ac:dyDescent="0.25">
      <c r="A14261" t="s">
        <v>3296</v>
      </c>
      <c r="B14261" t="s">
        <v>2931</v>
      </c>
      <c r="C14261">
        <v>5385</v>
      </c>
      <c r="D14261" t="str">
        <f>"59146552    "</f>
        <v xml:space="preserve">59146552    </v>
      </c>
      <c r="E14261" t="s">
        <v>1189</v>
      </c>
      <c r="F14261" t="s">
        <v>1192</v>
      </c>
      <c r="G14261">
        <v>73.33</v>
      </c>
      <c r="H14261">
        <v>250401</v>
      </c>
      <c r="I14261">
        <v>4430</v>
      </c>
      <c r="J14261" t="s">
        <v>1190</v>
      </c>
      <c r="K14261">
        <v>887.36</v>
      </c>
      <c r="L14261">
        <v>3.67</v>
      </c>
      <c r="M14261">
        <v>11604</v>
      </c>
      <c r="N14261" t="s">
        <v>1191</v>
      </c>
      <c r="O14261">
        <v>250424</v>
      </c>
      <c r="P14261">
        <v>69.66</v>
      </c>
    </row>
    <row r="14262" spans="1:16" x14ac:dyDescent="0.25">
      <c r="A14262" t="s">
        <v>3296</v>
      </c>
      <c r="B14262" t="s">
        <v>2931</v>
      </c>
      <c r="C14262">
        <v>5386</v>
      </c>
      <c r="D14262" t="str">
        <f>"59221267    "</f>
        <v xml:space="preserve">59221267    </v>
      </c>
      <c r="E14262" t="s">
        <v>1189</v>
      </c>
      <c r="F14262" t="s">
        <v>1192</v>
      </c>
      <c r="G14262">
        <v>-127.95</v>
      </c>
      <c r="H14262">
        <v>250422</v>
      </c>
      <c r="I14262">
        <v>4430</v>
      </c>
      <c r="J14262" t="s">
        <v>1190</v>
      </c>
      <c r="K14262">
        <v>-127.95</v>
      </c>
      <c r="L14262">
        <v>-6.4</v>
      </c>
      <c r="M14262">
        <v>11604</v>
      </c>
      <c r="N14262" t="s">
        <v>1191</v>
      </c>
      <c r="O14262">
        <v>250424</v>
      </c>
      <c r="P14262">
        <v>-121.55</v>
      </c>
    </row>
    <row r="14263" spans="1:16" x14ac:dyDescent="0.25">
      <c r="A14263" t="s">
        <v>3296</v>
      </c>
      <c r="B14263" t="s">
        <v>2931</v>
      </c>
      <c r="C14263">
        <v>6309</v>
      </c>
      <c r="D14263" t="str">
        <f t="shared" ref="D14263:D14272" si="227">"59258492    "</f>
        <v xml:space="preserve">59258492    </v>
      </c>
      <c r="E14263" t="s">
        <v>1189</v>
      </c>
      <c r="F14263" t="s">
        <v>1192</v>
      </c>
      <c r="G14263">
        <v>1295.24</v>
      </c>
      <c r="H14263">
        <v>250428</v>
      </c>
      <c r="I14263">
        <v>4430</v>
      </c>
      <c r="J14263" t="s">
        <v>1190</v>
      </c>
      <c r="K14263">
        <v>32627.19</v>
      </c>
      <c r="L14263">
        <v>64.760000000000005</v>
      </c>
      <c r="M14263">
        <v>11604</v>
      </c>
      <c r="N14263" t="s">
        <v>1191</v>
      </c>
      <c r="O14263">
        <v>250512</v>
      </c>
      <c r="P14263">
        <v>1230.48</v>
      </c>
    </row>
    <row r="14264" spans="1:16" x14ac:dyDescent="0.25">
      <c r="A14264" t="s">
        <v>3296</v>
      </c>
      <c r="B14264" t="s">
        <v>2931</v>
      </c>
      <c r="C14264">
        <v>6309</v>
      </c>
      <c r="D14264" t="str">
        <f t="shared" si="227"/>
        <v xml:space="preserve">59258492    </v>
      </c>
      <c r="E14264" t="s">
        <v>1189</v>
      </c>
      <c r="F14264" t="s">
        <v>1192</v>
      </c>
      <c r="G14264">
        <v>858.85</v>
      </c>
      <c r="H14264">
        <v>250428</v>
      </c>
      <c r="I14264">
        <v>4430</v>
      </c>
      <c r="J14264" t="s">
        <v>1190</v>
      </c>
      <c r="K14264">
        <v>32627.19</v>
      </c>
      <c r="L14264">
        <v>42.94</v>
      </c>
      <c r="M14264">
        <v>11604</v>
      </c>
      <c r="N14264" t="s">
        <v>1191</v>
      </c>
      <c r="O14264">
        <v>250512</v>
      </c>
      <c r="P14264">
        <v>815.91</v>
      </c>
    </row>
    <row r="14265" spans="1:16" x14ac:dyDescent="0.25">
      <c r="A14265" t="s">
        <v>3296</v>
      </c>
      <c r="B14265" t="s">
        <v>2931</v>
      </c>
      <c r="C14265">
        <v>6309</v>
      </c>
      <c r="D14265" t="str">
        <f t="shared" si="227"/>
        <v xml:space="preserve">59258492    </v>
      </c>
      <c r="E14265" t="s">
        <v>1189</v>
      </c>
      <c r="F14265" t="s">
        <v>1192</v>
      </c>
      <c r="G14265">
        <v>4560.29</v>
      </c>
      <c r="H14265">
        <v>250428</v>
      </c>
      <c r="I14265">
        <v>4430</v>
      </c>
      <c r="J14265" t="s">
        <v>1190</v>
      </c>
      <c r="K14265">
        <v>32627.19</v>
      </c>
      <c r="L14265">
        <v>228.01</v>
      </c>
      <c r="M14265">
        <v>11604</v>
      </c>
      <c r="N14265" t="s">
        <v>1191</v>
      </c>
      <c r="O14265">
        <v>250512</v>
      </c>
      <c r="P14265">
        <v>4332.28</v>
      </c>
    </row>
    <row r="14266" spans="1:16" x14ac:dyDescent="0.25">
      <c r="A14266" t="s">
        <v>3296</v>
      </c>
      <c r="B14266" t="s">
        <v>2931</v>
      </c>
      <c r="C14266">
        <v>6309</v>
      </c>
      <c r="D14266" t="str">
        <f t="shared" si="227"/>
        <v xml:space="preserve">59258492    </v>
      </c>
      <c r="E14266" t="s">
        <v>1189</v>
      </c>
      <c r="F14266" t="s">
        <v>1192</v>
      </c>
      <c r="G14266">
        <v>3400.24</v>
      </c>
      <c r="H14266">
        <v>250428</v>
      </c>
      <c r="I14266">
        <v>4430</v>
      </c>
      <c r="J14266" t="s">
        <v>1190</v>
      </c>
      <c r="K14266">
        <v>32627.19</v>
      </c>
      <c r="L14266">
        <v>170.01</v>
      </c>
      <c r="M14266">
        <v>11604</v>
      </c>
      <c r="N14266" t="s">
        <v>1191</v>
      </c>
      <c r="O14266">
        <v>250512</v>
      </c>
      <c r="P14266">
        <v>3230.23</v>
      </c>
    </row>
    <row r="14267" spans="1:16" x14ac:dyDescent="0.25">
      <c r="A14267" t="s">
        <v>3296</v>
      </c>
      <c r="B14267" t="s">
        <v>2931</v>
      </c>
      <c r="C14267">
        <v>6309</v>
      </c>
      <c r="D14267" t="str">
        <f t="shared" si="227"/>
        <v xml:space="preserve">59258492    </v>
      </c>
      <c r="E14267" t="s">
        <v>1189</v>
      </c>
      <c r="F14267" t="s">
        <v>1192</v>
      </c>
      <c r="G14267">
        <v>9820.56</v>
      </c>
      <c r="H14267">
        <v>250428</v>
      </c>
      <c r="I14267">
        <v>4430</v>
      </c>
      <c r="J14267" t="s">
        <v>1190</v>
      </c>
      <c r="K14267">
        <v>32627.19</v>
      </c>
      <c r="L14267">
        <v>491.03</v>
      </c>
      <c r="M14267">
        <v>11604</v>
      </c>
      <c r="N14267" t="s">
        <v>1191</v>
      </c>
      <c r="O14267">
        <v>250512</v>
      </c>
      <c r="P14267">
        <v>9329.5300000000007</v>
      </c>
    </row>
    <row r="14268" spans="1:16" x14ac:dyDescent="0.25">
      <c r="A14268" t="s">
        <v>3296</v>
      </c>
      <c r="B14268" t="s">
        <v>2931</v>
      </c>
      <c r="C14268">
        <v>6309</v>
      </c>
      <c r="D14268" t="str">
        <f t="shared" si="227"/>
        <v xml:space="preserve">59258492    </v>
      </c>
      <c r="E14268" t="s">
        <v>1189</v>
      </c>
      <c r="F14268" t="s">
        <v>1192</v>
      </c>
      <c r="G14268">
        <v>3506.95</v>
      </c>
      <c r="H14268">
        <v>250428</v>
      </c>
      <c r="I14268">
        <v>4430</v>
      </c>
      <c r="J14268" t="s">
        <v>1190</v>
      </c>
      <c r="K14268">
        <v>32627.19</v>
      </c>
      <c r="L14268">
        <v>175.35</v>
      </c>
      <c r="M14268">
        <v>11604</v>
      </c>
      <c r="N14268" t="s">
        <v>1191</v>
      </c>
      <c r="O14268">
        <v>250512</v>
      </c>
      <c r="P14268">
        <v>3331.6</v>
      </c>
    </row>
    <row r="14269" spans="1:16" x14ac:dyDescent="0.25">
      <c r="A14269" t="s">
        <v>3296</v>
      </c>
      <c r="B14269" t="s">
        <v>2931</v>
      </c>
      <c r="C14269">
        <v>6309</v>
      </c>
      <c r="D14269" t="str">
        <f t="shared" si="227"/>
        <v xml:space="preserve">59258492    </v>
      </c>
      <c r="E14269" t="s">
        <v>1189</v>
      </c>
      <c r="F14269" t="s">
        <v>1192</v>
      </c>
      <c r="G14269">
        <v>255.36</v>
      </c>
      <c r="H14269">
        <v>250428</v>
      </c>
      <c r="I14269">
        <v>4430</v>
      </c>
      <c r="J14269" t="s">
        <v>1190</v>
      </c>
      <c r="K14269">
        <v>32627.19</v>
      </c>
      <c r="L14269">
        <v>51.89</v>
      </c>
      <c r="M14269">
        <v>11604</v>
      </c>
      <c r="N14269" t="s">
        <v>1191</v>
      </c>
      <c r="O14269">
        <v>250512</v>
      </c>
      <c r="P14269">
        <v>203.47</v>
      </c>
    </row>
    <row r="14270" spans="1:16" x14ac:dyDescent="0.25">
      <c r="A14270" t="s">
        <v>3296</v>
      </c>
      <c r="B14270" t="s">
        <v>2931</v>
      </c>
      <c r="C14270">
        <v>6309</v>
      </c>
      <c r="D14270" t="str">
        <f t="shared" si="227"/>
        <v xml:space="preserve">59258492    </v>
      </c>
      <c r="E14270" t="s">
        <v>1189</v>
      </c>
      <c r="F14270" t="s">
        <v>1192</v>
      </c>
      <c r="G14270">
        <v>5867.12</v>
      </c>
      <c r="H14270">
        <v>250428</v>
      </c>
      <c r="I14270">
        <v>4430</v>
      </c>
      <c r="J14270" t="s">
        <v>1190</v>
      </c>
      <c r="K14270">
        <v>32627.19</v>
      </c>
      <c r="L14270">
        <v>293.36</v>
      </c>
      <c r="M14270">
        <v>11604</v>
      </c>
      <c r="N14270" t="s">
        <v>1191</v>
      </c>
      <c r="O14270">
        <v>250512</v>
      </c>
      <c r="P14270">
        <v>5573.76</v>
      </c>
    </row>
    <row r="14271" spans="1:16" x14ac:dyDescent="0.25">
      <c r="A14271" t="s">
        <v>3296</v>
      </c>
      <c r="B14271" t="s">
        <v>2931</v>
      </c>
      <c r="C14271">
        <v>6309</v>
      </c>
      <c r="D14271" t="str">
        <f t="shared" si="227"/>
        <v xml:space="preserve">59258492    </v>
      </c>
      <c r="E14271" t="s">
        <v>1189</v>
      </c>
      <c r="F14271" t="s">
        <v>1192</v>
      </c>
      <c r="G14271">
        <v>2729.71</v>
      </c>
      <c r="H14271">
        <v>250428</v>
      </c>
      <c r="I14271">
        <v>4430</v>
      </c>
      <c r="J14271" t="s">
        <v>1190</v>
      </c>
      <c r="K14271">
        <v>32627.19</v>
      </c>
      <c r="L14271">
        <v>136.49</v>
      </c>
      <c r="M14271">
        <v>11604</v>
      </c>
      <c r="N14271" t="s">
        <v>1191</v>
      </c>
      <c r="O14271">
        <v>250512</v>
      </c>
      <c r="P14271">
        <v>2593.2199999999998</v>
      </c>
    </row>
    <row r="14272" spans="1:16" x14ac:dyDescent="0.25">
      <c r="A14272" t="s">
        <v>3296</v>
      </c>
      <c r="B14272" t="s">
        <v>2931</v>
      </c>
      <c r="C14272">
        <v>6309</v>
      </c>
      <c r="D14272" t="str">
        <f t="shared" si="227"/>
        <v xml:space="preserve">59258492    </v>
      </c>
      <c r="E14272" t="s">
        <v>1189</v>
      </c>
      <c r="F14272" t="s">
        <v>1192</v>
      </c>
      <c r="G14272">
        <v>332.87</v>
      </c>
      <c r="H14272">
        <v>250428</v>
      </c>
      <c r="I14272">
        <v>4430</v>
      </c>
      <c r="J14272" t="s">
        <v>1190</v>
      </c>
      <c r="K14272">
        <v>32627.19</v>
      </c>
      <c r="L14272">
        <v>16.64</v>
      </c>
      <c r="M14272">
        <v>11604</v>
      </c>
      <c r="N14272" t="s">
        <v>1191</v>
      </c>
      <c r="O14272">
        <v>250512</v>
      </c>
      <c r="P14272">
        <v>316.23</v>
      </c>
    </row>
    <row r="14273" spans="1:16" x14ac:dyDescent="0.25">
      <c r="A14273" t="s">
        <v>3296</v>
      </c>
      <c r="B14273" t="s">
        <v>2931</v>
      </c>
      <c r="C14273">
        <v>6325</v>
      </c>
      <c r="D14273" t="str">
        <f>"59248753    "</f>
        <v xml:space="preserve">59248753    </v>
      </c>
      <c r="E14273" t="s">
        <v>1189</v>
      </c>
      <c r="F14273" t="s">
        <v>1192</v>
      </c>
      <c r="G14273">
        <v>908</v>
      </c>
      <c r="H14273">
        <v>250430</v>
      </c>
      <c r="I14273">
        <v>4430</v>
      </c>
      <c r="J14273" t="s">
        <v>1190</v>
      </c>
      <c r="K14273">
        <v>908</v>
      </c>
      <c r="L14273">
        <v>45.4</v>
      </c>
      <c r="M14273">
        <v>11604</v>
      </c>
      <c r="N14273" t="s">
        <v>1191</v>
      </c>
      <c r="O14273">
        <v>250512</v>
      </c>
      <c r="P14273">
        <v>862.6</v>
      </c>
    </row>
    <row r="14274" spans="1:16" x14ac:dyDescent="0.25">
      <c r="A14274" t="s">
        <v>3296</v>
      </c>
      <c r="B14274" t="s">
        <v>2931</v>
      </c>
      <c r="C14274">
        <v>6330</v>
      </c>
      <c r="D14274" t="str">
        <f>"59252656    "</f>
        <v xml:space="preserve">59252656    </v>
      </c>
      <c r="E14274" t="s">
        <v>1189</v>
      </c>
      <c r="F14274" t="s">
        <v>1192</v>
      </c>
      <c r="G14274">
        <v>126.8</v>
      </c>
      <c r="H14274">
        <v>250428</v>
      </c>
      <c r="I14274">
        <v>4430</v>
      </c>
      <c r="J14274" t="s">
        <v>1190</v>
      </c>
      <c r="K14274">
        <v>471.65</v>
      </c>
      <c r="L14274">
        <v>6.34</v>
      </c>
      <c r="M14274">
        <v>11604</v>
      </c>
      <c r="N14274" t="s">
        <v>1191</v>
      </c>
      <c r="O14274">
        <v>250512</v>
      </c>
      <c r="P14274">
        <v>120.46</v>
      </c>
    </row>
    <row r="14275" spans="1:16" x14ac:dyDescent="0.25">
      <c r="A14275" t="s">
        <v>3296</v>
      </c>
      <c r="B14275" t="s">
        <v>2931</v>
      </c>
      <c r="C14275">
        <v>6330</v>
      </c>
      <c r="D14275" t="str">
        <f>"59252656    "</f>
        <v xml:space="preserve">59252656    </v>
      </c>
      <c r="E14275" t="s">
        <v>1189</v>
      </c>
      <c r="F14275" t="s">
        <v>1192</v>
      </c>
      <c r="G14275">
        <v>110.5</v>
      </c>
      <c r="H14275">
        <v>250428</v>
      </c>
      <c r="I14275">
        <v>4430</v>
      </c>
      <c r="J14275" t="s">
        <v>1190</v>
      </c>
      <c r="K14275">
        <v>471.65</v>
      </c>
      <c r="L14275">
        <v>5.52</v>
      </c>
      <c r="M14275">
        <v>11604</v>
      </c>
      <c r="N14275" t="s">
        <v>1191</v>
      </c>
      <c r="O14275">
        <v>250512</v>
      </c>
      <c r="P14275">
        <v>104.98</v>
      </c>
    </row>
    <row r="14276" spans="1:16" x14ac:dyDescent="0.25">
      <c r="A14276" t="s">
        <v>3296</v>
      </c>
      <c r="B14276" t="s">
        <v>2931</v>
      </c>
      <c r="C14276">
        <v>6330</v>
      </c>
      <c r="D14276" t="str">
        <f>"59252656    "</f>
        <v xml:space="preserve">59252656    </v>
      </c>
      <c r="E14276" t="s">
        <v>1189</v>
      </c>
      <c r="F14276" t="s">
        <v>1192</v>
      </c>
      <c r="G14276">
        <v>67.7</v>
      </c>
      <c r="H14276">
        <v>250428</v>
      </c>
      <c r="I14276">
        <v>4430</v>
      </c>
      <c r="J14276" t="s">
        <v>1190</v>
      </c>
      <c r="K14276">
        <v>471.65</v>
      </c>
      <c r="L14276">
        <v>3.38</v>
      </c>
      <c r="M14276">
        <v>11604</v>
      </c>
      <c r="N14276" t="s">
        <v>1191</v>
      </c>
      <c r="O14276">
        <v>250512</v>
      </c>
      <c r="P14276">
        <v>64.319999999999993</v>
      </c>
    </row>
    <row r="14277" spans="1:16" x14ac:dyDescent="0.25">
      <c r="A14277" t="s">
        <v>3296</v>
      </c>
      <c r="B14277" t="s">
        <v>2931</v>
      </c>
      <c r="C14277">
        <v>6330</v>
      </c>
      <c r="D14277" t="str">
        <f>"59252656    "</f>
        <v xml:space="preserve">59252656    </v>
      </c>
      <c r="E14277" t="s">
        <v>1189</v>
      </c>
      <c r="F14277" t="s">
        <v>1192</v>
      </c>
      <c r="G14277">
        <v>70.67</v>
      </c>
      <c r="H14277">
        <v>250428</v>
      </c>
      <c r="I14277">
        <v>4430</v>
      </c>
      <c r="J14277" t="s">
        <v>1190</v>
      </c>
      <c r="K14277">
        <v>471.65</v>
      </c>
      <c r="L14277">
        <v>3.53</v>
      </c>
      <c r="M14277">
        <v>11604</v>
      </c>
      <c r="N14277" t="s">
        <v>1191</v>
      </c>
      <c r="O14277">
        <v>250512</v>
      </c>
      <c r="P14277">
        <v>67.14</v>
      </c>
    </row>
    <row r="14278" spans="1:16" x14ac:dyDescent="0.25">
      <c r="A14278" t="s">
        <v>3296</v>
      </c>
      <c r="B14278" t="s">
        <v>2931</v>
      </c>
      <c r="C14278">
        <v>6330</v>
      </c>
      <c r="D14278" t="str">
        <f>"59252656    "</f>
        <v xml:space="preserve">59252656    </v>
      </c>
      <c r="E14278" t="s">
        <v>1189</v>
      </c>
      <c r="F14278" t="s">
        <v>1192</v>
      </c>
      <c r="G14278">
        <v>95.98</v>
      </c>
      <c r="H14278">
        <v>250428</v>
      </c>
      <c r="I14278">
        <v>4430</v>
      </c>
      <c r="J14278" t="s">
        <v>1190</v>
      </c>
      <c r="K14278">
        <v>471.65</v>
      </c>
      <c r="L14278">
        <v>4.8</v>
      </c>
      <c r="M14278">
        <v>11604</v>
      </c>
      <c r="N14278" t="s">
        <v>1191</v>
      </c>
      <c r="O14278">
        <v>250512</v>
      </c>
      <c r="P14278">
        <v>91.18</v>
      </c>
    </row>
    <row r="14279" spans="1:16" x14ac:dyDescent="0.25">
      <c r="A14279" t="s">
        <v>3296</v>
      </c>
      <c r="B14279" t="s">
        <v>2931</v>
      </c>
      <c r="C14279">
        <v>8747</v>
      </c>
      <c r="D14279" t="str">
        <f t="shared" ref="D14279:D14289" si="228">"59350445    "</f>
        <v xml:space="preserve">59350445    </v>
      </c>
      <c r="E14279" t="s">
        <v>1189</v>
      </c>
      <c r="F14279" t="s">
        <v>1192</v>
      </c>
      <c r="G14279">
        <v>1278.01</v>
      </c>
      <c r="H14279">
        <v>250527</v>
      </c>
      <c r="I14279">
        <v>4430</v>
      </c>
      <c r="J14279" t="s">
        <v>1190</v>
      </c>
      <c r="K14279">
        <v>35728.92</v>
      </c>
      <c r="L14279">
        <v>63.9</v>
      </c>
      <c r="M14279">
        <v>11604</v>
      </c>
      <c r="N14279" t="s">
        <v>1191</v>
      </c>
      <c r="O14279">
        <v>250618</v>
      </c>
      <c r="P14279">
        <v>1214.1099999999999</v>
      </c>
    </row>
    <row r="14280" spans="1:16" x14ac:dyDescent="0.25">
      <c r="A14280" t="s">
        <v>3296</v>
      </c>
      <c r="B14280" t="s">
        <v>2931</v>
      </c>
      <c r="C14280">
        <v>8747</v>
      </c>
      <c r="D14280" t="str">
        <f t="shared" si="228"/>
        <v xml:space="preserve">59350445    </v>
      </c>
      <c r="E14280" t="s">
        <v>1189</v>
      </c>
      <c r="F14280" t="s">
        <v>1192</v>
      </c>
      <c r="G14280">
        <v>555.83000000000004</v>
      </c>
      <c r="H14280">
        <v>250527</v>
      </c>
      <c r="I14280">
        <v>4430</v>
      </c>
      <c r="J14280" t="s">
        <v>1190</v>
      </c>
      <c r="K14280">
        <v>35728.92</v>
      </c>
      <c r="L14280">
        <v>27.79</v>
      </c>
      <c r="M14280">
        <v>11604</v>
      </c>
      <c r="N14280" t="s">
        <v>1191</v>
      </c>
      <c r="O14280">
        <v>250618</v>
      </c>
      <c r="P14280">
        <v>528.04</v>
      </c>
    </row>
    <row r="14281" spans="1:16" x14ac:dyDescent="0.25">
      <c r="A14281" t="s">
        <v>3296</v>
      </c>
      <c r="B14281" t="s">
        <v>2931</v>
      </c>
      <c r="C14281">
        <v>8747</v>
      </c>
      <c r="D14281" t="str">
        <f t="shared" si="228"/>
        <v xml:space="preserve">59350445    </v>
      </c>
      <c r="E14281" t="s">
        <v>1189</v>
      </c>
      <c r="F14281" t="s">
        <v>1192</v>
      </c>
      <c r="G14281">
        <v>4979.8900000000003</v>
      </c>
      <c r="H14281">
        <v>250527</v>
      </c>
      <c r="I14281">
        <v>4430</v>
      </c>
      <c r="J14281" t="s">
        <v>1190</v>
      </c>
      <c r="K14281">
        <v>35728.92</v>
      </c>
      <c r="L14281">
        <v>248.99</v>
      </c>
      <c r="M14281">
        <v>11604</v>
      </c>
      <c r="N14281" t="s">
        <v>1191</v>
      </c>
      <c r="O14281">
        <v>250618</v>
      </c>
      <c r="P14281">
        <v>4730.8999999999996</v>
      </c>
    </row>
    <row r="14282" spans="1:16" x14ac:dyDescent="0.25">
      <c r="A14282" t="s">
        <v>3296</v>
      </c>
      <c r="B14282" t="s">
        <v>2931</v>
      </c>
      <c r="C14282">
        <v>8747</v>
      </c>
      <c r="D14282" t="str">
        <f t="shared" si="228"/>
        <v xml:space="preserve">59350445    </v>
      </c>
      <c r="E14282" t="s">
        <v>1189</v>
      </c>
      <c r="F14282" t="s">
        <v>1192</v>
      </c>
      <c r="G14282">
        <v>7081.88</v>
      </c>
      <c r="H14282">
        <v>250527</v>
      </c>
      <c r="I14282">
        <v>4430</v>
      </c>
      <c r="J14282" t="s">
        <v>1190</v>
      </c>
      <c r="K14282">
        <v>35728.92</v>
      </c>
      <c r="L14282">
        <v>354.09</v>
      </c>
      <c r="M14282">
        <v>11604</v>
      </c>
      <c r="N14282" t="s">
        <v>1191</v>
      </c>
      <c r="O14282">
        <v>250618</v>
      </c>
      <c r="P14282">
        <v>6727.79</v>
      </c>
    </row>
    <row r="14283" spans="1:16" x14ac:dyDescent="0.25">
      <c r="A14283" t="s">
        <v>3296</v>
      </c>
      <c r="B14283" t="s">
        <v>2931</v>
      </c>
      <c r="C14283">
        <v>8747</v>
      </c>
      <c r="D14283" t="str">
        <f t="shared" si="228"/>
        <v xml:space="preserve">59350445    </v>
      </c>
      <c r="E14283" t="s">
        <v>1189</v>
      </c>
      <c r="F14283" t="s">
        <v>1192</v>
      </c>
      <c r="G14283">
        <v>7099.63</v>
      </c>
      <c r="H14283">
        <v>250527</v>
      </c>
      <c r="I14283">
        <v>4430</v>
      </c>
      <c r="J14283" t="s">
        <v>1190</v>
      </c>
      <c r="K14283">
        <v>35728.92</v>
      </c>
      <c r="L14283">
        <v>354.98</v>
      </c>
      <c r="M14283">
        <v>11604</v>
      </c>
      <c r="N14283" t="s">
        <v>1191</v>
      </c>
      <c r="O14283">
        <v>250618</v>
      </c>
      <c r="P14283">
        <v>6744.65</v>
      </c>
    </row>
    <row r="14284" spans="1:16" x14ac:dyDescent="0.25">
      <c r="A14284" t="s">
        <v>3296</v>
      </c>
      <c r="B14284" t="s">
        <v>2931</v>
      </c>
      <c r="C14284">
        <v>8747</v>
      </c>
      <c r="D14284" t="str">
        <f t="shared" si="228"/>
        <v xml:space="preserve">59350445    </v>
      </c>
      <c r="E14284" t="s">
        <v>1189</v>
      </c>
      <c r="F14284" t="s">
        <v>1192</v>
      </c>
      <c r="G14284">
        <v>2226.12</v>
      </c>
      <c r="H14284">
        <v>250527</v>
      </c>
      <c r="I14284">
        <v>4430</v>
      </c>
      <c r="J14284" t="s">
        <v>1190</v>
      </c>
      <c r="K14284">
        <v>35728.92</v>
      </c>
      <c r="L14284">
        <v>111.31</v>
      </c>
      <c r="M14284">
        <v>11604</v>
      </c>
      <c r="N14284" t="s">
        <v>1191</v>
      </c>
      <c r="O14284">
        <v>250618</v>
      </c>
      <c r="P14284">
        <v>2114.81</v>
      </c>
    </row>
    <row r="14285" spans="1:16" x14ac:dyDescent="0.25">
      <c r="A14285" t="s">
        <v>3296</v>
      </c>
      <c r="B14285" t="s">
        <v>2931</v>
      </c>
      <c r="C14285">
        <v>8747</v>
      </c>
      <c r="D14285" t="str">
        <f t="shared" si="228"/>
        <v xml:space="preserve">59350445    </v>
      </c>
      <c r="E14285" t="s">
        <v>1189</v>
      </c>
      <c r="F14285" t="s">
        <v>1192</v>
      </c>
      <c r="G14285">
        <v>221.5</v>
      </c>
      <c r="H14285">
        <v>250527</v>
      </c>
      <c r="I14285">
        <v>4430</v>
      </c>
      <c r="J14285" t="s">
        <v>1190</v>
      </c>
      <c r="K14285">
        <v>35728.92</v>
      </c>
      <c r="L14285">
        <v>11.07</v>
      </c>
      <c r="M14285">
        <v>11604</v>
      </c>
      <c r="N14285" t="s">
        <v>1191</v>
      </c>
      <c r="O14285">
        <v>250618</v>
      </c>
      <c r="P14285">
        <v>210.43</v>
      </c>
    </row>
    <row r="14286" spans="1:16" x14ac:dyDescent="0.25">
      <c r="A14286" t="s">
        <v>3296</v>
      </c>
      <c r="B14286" t="s">
        <v>2931</v>
      </c>
      <c r="C14286">
        <v>8747</v>
      </c>
      <c r="D14286" t="str">
        <f t="shared" si="228"/>
        <v xml:space="preserve">59350445    </v>
      </c>
      <c r="E14286" t="s">
        <v>1189</v>
      </c>
      <c r="F14286" t="s">
        <v>1192</v>
      </c>
      <c r="G14286">
        <v>222.3</v>
      </c>
      <c r="H14286">
        <v>250527</v>
      </c>
      <c r="I14286">
        <v>4430</v>
      </c>
      <c r="J14286" t="s">
        <v>1190</v>
      </c>
      <c r="K14286">
        <v>35728.92</v>
      </c>
      <c r="L14286">
        <v>45.17</v>
      </c>
      <c r="M14286">
        <v>11604</v>
      </c>
      <c r="N14286" t="s">
        <v>1191</v>
      </c>
      <c r="O14286">
        <v>250618</v>
      </c>
      <c r="P14286">
        <v>177.13</v>
      </c>
    </row>
    <row r="14287" spans="1:16" x14ac:dyDescent="0.25">
      <c r="A14287" t="s">
        <v>3296</v>
      </c>
      <c r="B14287" t="s">
        <v>2931</v>
      </c>
      <c r="C14287">
        <v>8747</v>
      </c>
      <c r="D14287" t="str">
        <f t="shared" si="228"/>
        <v xml:space="preserve">59350445    </v>
      </c>
      <c r="E14287" t="s">
        <v>1189</v>
      </c>
      <c r="F14287" t="s">
        <v>1192</v>
      </c>
      <c r="G14287">
        <v>7201.34</v>
      </c>
      <c r="H14287">
        <v>250527</v>
      </c>
      <c r="I14287">
        <v>4430</v>
      </c>
      <c r="J14287" t="s">
        <v>1190</v>
      </c>
      <c r="K14287">
        <v>35728.92</v>
      </c>
      <c r="L14287">
        <v>360.07</v>
      </c>
      <c r="M14287">
        <v>11604</v>
      </c>
      <c r="N14287" t="s">
        <v>1191</v>
      </c>
      <c r="O14287">
        <v>250618</v>
      </c>
      <c r="P14287">
        <v>6841.27</v>
      </c>
    </row>
    <row r="14288" spans="1:16" x14ac:dyDescent="0.25">
      <c r="A14288" t="s">
        <v>3296</v>
      </c>
      <c r="B14288" t="s">
        <v>2931</v>
      </c>
      <c r="C14288">
        <v>8747</v>
      </c>
      <c r="D14288" t="str">
        <f t="shared" si="228"/>
        <v xml:space="preserve">59350445    </v>
      </c>
      <c r="E14288" t="s">
        <v>1189</v>
      </c>
      <c r="F14288" t="s">
        <v>1192</v>
      </c>
      <c r="G14288">
        <v>3995.06</v>
      </c>
      <c r="H14288">
        <v>250527</v>
      </c>
      <c r="I14288">
        <v>4430</v>
      </c>
      <c r="J14288" t="s">
        <v>1190</v>
      </c>
      <c r="K14288">
        <v>35728.92</v>
      </c>
      <c r="L14288">
        <v>199.75</v>
      </c>
      <c r="M14288">
        <v>11604</v>
      </c>
      <c r="N14288" t="s">
        <v>1191</v>
      </c>
      <c r="O14288">
        <v>250618</v>
      </c>
      <c r="P14288">
        <v>3795.31</v>
      </c>
    </row>
    <row r="14289" spans="1:16" x14ac:dyDescent="0.25">
      <c r="A14289" t="s">
        <v>3296</v>
      </c>
      <c r="B14289" t="s">
        <v>2931</v>
      </c>
      <c r="C14289">
        <v>8747</v>
      </c>
      <c r="D14289" t="str">
        <f t="shared" si="228"/>
        <v xml:space="preserve">59350445    </v>
      </c>
      <c r="E14289" t="s">
        <v>1189</v>
      </c>
      <c r="F14289" t="s">
        <v>1192</v>
      </c>
      <c r="G14289">
        <v>867.36</v>
      </c>
      <c r="H14289">
        <v>250527</v>
      </c>
      <c r="I14289">
        <v>4430</v>
      </c>
      <c r="J14289" t="s">
        <v>1190</v>
      </c>
      <c r="K14289">
        <v>35728.92</v>
      </c>
      <c r="L14289">
        <v>43.37</v>
      </c>
      <c r="M14289">
        <v>11604</v>
      </c>
      <c r="N14289" t="s">
        <v>1191</v>
      </c>
      <c r="O14289">
        <v>250618</v>
      </c>
      <c r="P14289">
        <v>823.99</v>
      </c>
    </row>
    <row r="14290" spans="1:16" x14ac:dyDescent="0.25">
      <c r="A14290" t="s">
        <v>3296</v>
      </c>
      <c r="B14290" t="s">
        <v>2931</v>
      </c>
      <c r="C14290">
        <v>8750</v>
      </c>
      <c r="D14290" t="str">
        <f>"59345330    "</f>
        <v xml:space="preserve">59345330    </v>
      </c>
      <c r="E14290" t="s">
        <v>1189</v>
      </c>
      <c r="F14290" t="s">
        <v>1192</v>
      </c>
      <c r="G14290">
        <v>533.41999999999996</v>
      </c>
      <c r="H14290">
        <v>250527</v>
      </c>
      <c r="I14290">
        <v>4430</v>
      </c>
      <c r="J14290" t="s">
        <v>1190</v>
      </c>
      <c r="K14290">
        <v>600.75</v>
      </c>
      <c r="L14290">
        <v>26.67</v>
      </c>
      <c r="M14290">
        <v>11604</v>
      </c>
      <c r="N14290" t="s">
        <v>1191</v>
      </c>
      <c r="O14290">
        <v>250618</v>
      </c>
      <c r="P14290">
        <v>506.75</v>
      </c>
    </row>
    <row r="14291" spans="1:16" x14ac:dyDescent="0.25">
      <c r="A14291" t="s">
        <v>3296</v>
      </c>
      <c r="B14291" t="s">
        <v>2931</v>
      </c>
      <c r="C14291">
        <v>8750</v>
      </c>
      <c r="D14291" t="str">
        <f>"59345330    "</f>
        <v xml:space="preserve">59345330    </v>
      </c>
      <c r="E14291" t="s">
        <v>1189</v>
      </c>
      <c r="F14291" t="s">
        <v>1192</v>
      </c>
      <c r="G14291">
        <v>67.33</v>
      </c>
      <c r="H14291">
        <v>250527</v>
      </c>
      <c r="I14291">
        <v>4430</v>
      </c>
      <c r="J14291" t="s">
        <v>1190</v>
      </c>
      <c r="K14291">
        <v>600.75</v>
      </c>
      <c r="L14291">
        <v>3.37</v>
      </c>
      <c r="M14291">
        <v>11604</v>
      </c>
      <c r="N14291" t="s">
        <v>1191</v>
      </c>
      <c r="O14291">
        <v>250618</v>
      </c>
      <c r="P14291">
        <v>63.96</v>
      </c>
    </row>
    <row r="14292" spans="1:16" x14ac:dyDescent="0.25">
      <c r="A14292" t="s">
        <v>3296</v>
      </c>
      <c r="B14292" t="s">
        <v>2931</v>
      </c>
      <c r="C14292">
        <v>9502</v>
      </c>
      <c r="D14292" t="str">
        <f t="shared" ref="D14292:D14306" si="229">"59447305    "</f>
        <v xml:space="preserve">59447305    </v>
      </c>
      <c r="E14292" t="s">
        <v>1189</v>
      </c>
      <c r="F14292" t="s">
        <v>1192</v>
      </c>
      <c r="G14292">
        <v>33.46</v>
      </c>
      <c r="H14292">
        <v>250626</v>
      </c>
      <c r="I14292">
        <v>4430</v>
      </c>
      <c r="J14292" t="s">
        <v>1190</v>
      </c>
      <c r="K14292">
        <v>37988.019999999997</v>
      </c>
      <c r="L14292">
        <v>6.8</v>
      </c>
      <c r="M14292">
        <v>11604</v>
      </c>
      <c r="N14292" t="s">
        <v>1191</v>
      </c>
      <c r="O14292">
        <v>250709</v>
      </c>
      <c r="P14292">
        <v>26.66</v>
      </c>
    </row>
    <row r="14293" spans="1:16" x14ac:dyDescent="0.25">
      <c r="A14293" t="s">
        <v>3296</v>
      </c>
      <c r="B14293" t="s">
        <v>2931</v>
      </c>
      <c r="C14293">
        <v>9502</v>
      </c>
      <c r="D14293" t="str">
        <f t="shared" si="229"/>
        <v xml:space="preserve">59447305    </v>
      </c>
      <c r="E14293" t="s">
        <v>1189</v>
      </c>
      <c r="F14293" t="s">
        <v>1192</v>
      </c>
      <c r="G14293">
        <v>3530.95</v>
      </c>
      <c r="H14293">
        <v>250626</v>
      </c>
      <c r="I14293">
        <v>4430</v>
      </c>
      <c r="J14293" t="s">
        <v>1190</v>
      </c>
      <c r="K14293">
        <v>37988.019999999997</v>
      </c>
      <c r="L14293">
        <v>176.55</v>
      </c>
      <c r="M14293">
        <v>11604</v>
      </c>
      <c r="N14293" t="s">
        <v>1191</v>
      </c>
      <c r="O14293">
        <v>250709</v>
      </c>
      <c r="P14293">
        <v>3354.4</v>
      </c>
    </row>
    <row r="14294" spans="1:16" x14ac:dyDescent="0.25">
      <c r="A14294" t="s">
        <v>3296</v>
      </c>
      <c r="B14294" t="s">
        <v>2931</v>
      </c>
      <c r="C14294">
        <v>9502</v>
      </c>
      <c r="D14294" t="str">
        <f t="shared" si="229"/>
        <v xml:space="preserve">59447305    </v>
      </c>
      <c r="E14294" t="s">
        <v>1189</v>
      </c>
      <c r="F14294" t="s">
        <v>1192</v>
      </c>
      <c r="G14294">
        <v>33.46</v>
      </c>
      <c r="H14294">
        <v>250626</v>
      </c>
      <c r="I14294">
        <v>4430</v>
      </c>
      <c r="J14294" t="s">
        <v>1190</v>
      </c>
      <c r="K14294">
        <v>37988.019999999997</v>
      </c>
      <c r="L14294">
        <v>6.8</v>
      </c>
      <c r="M14294">
        <v>11604</v>
      </c>
      <c r="N14294" t="s">
        <v>1191</v>
      </c>
      <c r="O14294">
        <v>250709</v>
      </c>
      <c r="P14294">
        <v>26.66</v>
      </c>
    </row>
    <row r="14295" spans="1:16" x14ac:dyDescent="0.25">
      <c r="A14295" t="s">
        <v>3296</v>
      </c>
      <c r="B14295" t="s">
        <v>2931</v>
      </c>
      <c r="C14295">
        <v>9502</v>
      </c>
      <c r="D14295" t="str">
        <f t="shared" si="229"/>
        <v xml:space="preserve">59447305    </v>
      </c>
      <c r="E14295" t="s">
        <v>1189</v>
      </c>
      <c r="F14295" t="s">
        <v>1192</v>
      </c>
      <c r="G14295">
        <v>2131.2399999999998</v>
      </c>
      <c r="H14295">
        <v>250626</v>
      </c>
      <c r="I14295">
        <v>4430</v>
      </c>
      <c r="J14295" t="s">
        <v>1190</v>
      </c>
      <c r="K14295">
        <v>37988.019999999997</v>
      </c>
      <c r="L14295">
        <v>106.56</v>
      </c>
      <c r="M14295">
        <v>11604</v>
      </c>
      <c r="N14295" t="s">
        <v>1191</v>
      </c>
      <c r="O14295">
        <v>250709</v>
      </c>
      <c r="P14295">
        <v>2024.68</v>
      </c>
    </row>
    <row r="14296" spans="1:16" x14ac:dyDescent="0.25">
      <c r="A14296" t="s">
        <v>3296</v>
      </c>
      <c r="B14296" t="s">
        <v>2931</v>
      </c>
      <c r="C14296">
        <v>9502</v>
      </c>
      <c r="D14296" t="str">
        <f t="shared" si="229"/>
        <v xml:space="preserve">59447305    </v>
      </c>
      <c r="E14296" t="s">
        <v>1189</v>
      </c>
      <c r="F14296" t="s">
        <v>1192</v>
      </c>
      <c r="G14296">
        <v>4106.6000000000004</v>
      </c>
      <c r="H14296">
        <v>250626</v>
      </c>
      <c r="I14296">
        <v>4430</v>
      </c>
      <c r="J14296" t="s">
        <v>1190</v>
      </c>
      <c r="K14296">
        <v>37988.019999999997</v>
      </c>
      <c r="L14296">
        <v>205.33</v>
      </c>
      <c r="M14296">
        <v>11604</v>
      </c>
      <c r="N14296" t="s">
        <v>1191</v>
      </c>
      <c r="O14296">
        <v>250709</v>
      </c>
      <c r="P14296">
        <v>3901.27</v>
      </c>
    </row>
    <row r="14297" spans="1:16" x14ac:dyDescent="0.25">
      <c r="A14297" t="s">
        <v>3296</v>
      </c>
      <c r="B14297" t="s">
        <v>2931</v>
      </c>
      <c r="C14297">
        <v>9502</v>
      </c>
      <c r="D14297" t="str">
        <f t="shared" si="229"/>
        <v xml:space="preserve">59447305    </v>
      </c>
      <c r="E14297" t="s">
        <v>1189</v>
      </c>
      <c r="F14297" t="s">
        <v>1192</v>
      </c>
      <c r="G14297">
        <v>50.2</v>
      </c>
      <c r="H14297">
        <v>250626</v>
      </c>
      <c r="I14297">
        <v>4430</v>
      </c>
      <c r="J14297" t="s">
        <v>1190</v>
      </c>
      <c r="K14297">
        <v>37988.019999999997</v>
      </c>
      <c r="L14297">
        <v>10.199999999999999</v>
      </c>
      <c r="M14297">
        <v>11604</v>
      </c>
      <c r="N14297" t="s">
        <v>1191</v>
      </c>
      <c r="O14297">
        <v>250709</v>
      </c>
      <c r="P14297">
        <v>40</v>
      </c>
    </row>
    <row r="14298" spans="1:16" x14ac:dyDescent="0.25">
      <c r="A14298" t="s">
        <v>3296</v>
      </c>
      <c r="B14298" t="s">
        <v>2931</v>
      </c>
      <c r="C14298">
        <v>9502</v>
      </c>
      <c r="D14298" t="str">
        <f t="shared" si="229"/>
        <v xml:space="preserve">59447305    </v>
      </c>
      <c r="E14298" t="s">
        <v>1189</v>
      </c>
      <c r="F14298" t="s">
        <v>1192</v>
      </c>
      <c r="G14298">
        <v>7711.51</v>
      </c>
      <c r="H14298">
        <v>250626</v>
      </c>
      <c r="I14298">
        <v>4430</v>
      </c>
      <c r="J14298" t="s">
        <v>1190</v>
      </c>
      <c r="K14298">
        <v>37988.019999999997</v>
      </c>
      <c r="L14298">
        <v>385.57</v>
      </c>
      <c r="M14298">
        <v>11604</v>
      </c>
      <c r="N14298" t="s">
        <v>1191</v>
      </c>
      <c r="O14298">
        <v>250709</v>
      </c>
      <c r="P14298">
        <v>7325.94</v>
      </c>
    </row>
    <row r="14299" spans="1:16" x14ac:dyDescent="0.25">
      <c r="A14299" t="s">
        <v>3296</v>
      </c>
      <c r="B14299" t="s">
        <v>2931</v>
      </c>
      <c r="C14299">
        <v>9502</v>
      </c>
      <c r="D14299" t="str">
        <f t="shared" si="229"/>
        <v xml:space="preserve">59447305    </v>
      </c>
      <c r="E14299" t="s">
        <v>1189</v>
      </c>
      <c r="F14299" t="s">
        <v>1192</v>
      </c>
      <c r="G14299">
        <v>8564.73</v>
      </c>
      <c r="H14299">
        <v>250626</v>
      </c>
      <c r="I14299">
        <v>4430</v>
      </c>
      <c r="J14299" t="s">
        <v>1190</v>
      </c>
      <c r="K14299">
        <v>37988.019999999997</v>
      </c>
      <c r="L14299">
        <v>428.24</v>
      </c>
      <c r="M14299">
        <v>11604</v>
      </c>
      <c r="N14299" t="s">
        <v>1191</v>
      </c>
      <c r="O14299">
        <v>250709</v>
      </c>
      <c r="P14299">
        <v>8136.49</v>
      </c>
    </row>
    <row r="14300" spans="1:16" x14ac:dyDescent="0.25">
      <c r="A14300" t="s">
        <v>3296</v>
      </c>
      <c r="B14300" t="s">
        <v>2931</v>
      </c>
      <c r="C14300">
        <v>9502</v>
      </c>
      <c r="D14300" t="str">
        <f t="shared" si="229"/>
        <v xml:space="preserve">59447305    </v>
      </c>
      <c r="E14300" t="s">
        <v>1189</v>
      </c>
      <c r="F14300" t="s">
        <v>1192</v>
      </c>
      <c r="G14300">
        <v>16.73</v>
      </c>
      <c r="H14300">
        <v>250626</v>
      </c>
      <c r="I14300">
        <v>4430</v>
      </c>
      <c r="J14300" t="s">
        <v>1190</v>
      </c>
      <c r="K14300">
        <v>37988.019999999997</v>
      </c>
      <c r="L14300">
        <v>3.4</v>
      </c>
      <c r="M14300">
        <v>11604</v>
      </c>
      <c r="N14300" t="s">
        <v>1191</v>
      </c>
      <c r="O14300">
        <v>250709</v>
      </c>
      <c r="P14300">
        <v>13.33</v>
      </c>
    </row>
    <row r="14301" spans="1:16" x14ac:dyDescent="0.25">
      <c r="A14301" t="s">
        <v>3296</v>
      </c>
      <c r="B14301" t="s">
        <v>2931</v>
      </c>
      <c r="C14301">
        <v>9502</v>
      </c>
      <c r="D14301" t="str">
        <f t="shared" si="229"/>
        <v xml:space="preserve">59447305    </v>
      </c>
      <c r="E14301" t="s">
        <v>1189</v>
      </c>
      <c r="F14301" t="s">
        <v>1192</v>
      </c>
      <c r="G14301">
        <v>1889.88</v>
      </c>
      <c r="H14301">
        <v>250626</v>
      </c>
      <c r="I14301">
        <v>4430</v>
      </c>
      <c r="J14301" t="s">
        <v>1190</v>
      </c>
      <c r="K14301">
        <v>37988.019999999997</v>
      </c>
      <c r="L14301">
        <v>94.49</v>
      </c>
      <c r="M14301">
        <v>11604</v>
      </c>
      <c r="N14301" t="s">
        <v>1191</v>
      </c>
      <c r="O14301">
        <v>250709</v>
      </c>
      <c r="P14301">
        <v>1795.39</v>
      </c>
    </row>
    <row r="14302" spans="1:16" x14ac:dyDescent="0.25">
      <c r="A14302" t="s">
        <v>3296</v>
      </c>
      <c r="B14302" t="s">
        <v>2931</v>
      </c>
      <c r="C14302">
        <v>9502</v>
      </c>
      <c r="D14302" t="str">
        <f t="shared" si="229"/>
        <v xml:space="preserve">59447305    </v>
      </c>
      <c r="E14302" t="s">
        <v>1189</v>
      </c>
      <c r="F14302" t="s">
        <v>1192</v>
      </c>
      <c r="G14302">
        <v>161.28</v>
      </c>
      <c r="H14302">
        <v>250626</v>
      </c>
      <c r="I14302">
        <v>4430</v>
      </c>
      <c r="J14302" t="s">
        <v>1190</v>
      </c>
      <c r="K14302">
        <v>37988.019999999997</v>
      </c>
      <c r="L14302">
        <v>8.06</v>
      </c>
      <c r="M14302">
        <v>11604</v>
      </c>
      <c r="N14302" t="s">
        <v>1191</v>
      </c>
      <c r="O14302">
        <v>250709</v>
      </c>
      <c r="P14302">
        <v>153.22</v>
      </c>
    </row>
    <row r="14303" spans="1:16" x14ac:dyDescent="0.25">
      <c r="A14303" t="s">
        <v>3296</v>
      </c>
      <c r="B14303" t="s">
        <v>2931</v>
      </c>
      <c r="C14303">
        <v>9502</v>
      </c>
      <c r="D14303" t="str">
        <f t="shared" si="229"/>
        <v xml:space="preserve">59447305    </v>
      </c>
      <c r="E14303" t="s">
        <v>1189</v>
      </c>
      <c r="F14303" t="s">
        <v>1192</v>
      </c>
      <c r="G14303">
        <v>356.5</v>
      </c>
      <c r="H14303">
        <v>250626</v>
      </c>
      <c r="I14303">
        <v>4430</v>
      </c>
      <c r="J14303" t="s">
        <v>1190</v>
      </c>
      <c r="K14303">
        <v>37988.019999999997</v>
      </c>
      <c r="L14303">
        <v>72.44</v>
      </c>
      <c r="M14303">
        <v>11604</v>
      </c>
      <c r="N14303" t="s">
        <v>1191</v>
      </c>
      <c r="O14303">
        <v>250709</v>
      </c>
      <c r="P14303">
        <v>284.06</v>
      </c>
    </row>
    <row r="14304" spans="1:16" x14ac:dyDescent="0.25">
      <c r="A14304" t="s">
        <v>3296</v>
      </c>
      <c r="B14304" t="s">
        <v>2931</v>
      </c>
      <c r="C14304">
        <v>9502</v>
      </c>
      <c r="D14304" t="str">
        <f t="shared" si="229"/>
        <v xml:space="preserve">59447305    </v>
      </c>
      <c r="E14304" t="s">
        <v>1189</v>
      </c>
      <c r="F14304" t="s">
        <v>1192</v>
      </c>
      <c r="G14304">
        <v>3697.37</v>
      </c>
      <c r="H14304">
        <v>250626</v>
      </c>
      <c r="I14304">
        <v>4430</v>
      </c>
      <c r="J14304" t="s">
        <v>1190</v>
      </c>
      <c r="K14304">
        <v>37988.019999999997</v>
      </c>
      <c r="L14304">
        <v>184.87</v>
      </c>
      <c r="M14304">
        <v>11604</v>
      </c>
      <c r="N14304" t="s">
        <v>1191</v>
      </c>
      <c r="O14304">
        <v>250709</v>
      </c>
      <c r="P14304">
        <v>3512.5</v>
      </c>
    </row>
    <row r="14305" spans="1:16" x14ac:dyDescent="0.25">
      <c r="A14305" t="s">
        <v>3296</v>
      </c>
      <c r="B14305" t="s">
        <v>2931</v>
      </c>
      <c r="C14305">
        <v>9502</v>
      </c>
      <c r="D14305" t="str">
        <f t="shared" si="229"/>
        <v xml:space="preserve">59447305    </v>
      </c>
      <c r="E14305" t="s">
        <v>1189</v>
      </c>
      <c r="F14305" t="s">
        <v>1192</v>
      </c>
      <c r="G14305">
        <v>3710.52</v>
      </c>
      <c r="H14305">
        <v>250626</v>
      </c>
      <c r="I14305">
        <v>4430</v>
      </c>
      <c r="J14305" t="s">
        <v>1190</v>
      </c>
      <c r="K14305">
        <v>37988.019999999997</v>
      </c>
      <c r="L14305">
        <v>185.53</v>
      </c>
      <c r="M14305">
        <v>11604</v>
      </c>
      <c r="N14305" t="s">
        <v>1191</v>
      </c>
      <c r="O14305">
        <v>250709</v>
      </c>
      <c r="P14305">
        <v>3524.99</v>
      </c>
    </row>
    <row r="14306" spans="1:16" x14ac:dyDescent="0.25">
      <c r="A14306" t="s">
        <v>3296</v>
      </c>
      <c r="B14306" t="s">
        <v>2931</v>
      </c>
      <c r="C14306">
        <v>9502</v>
      </c>
      <c r="D14306" t="str">
        <f t="shared" si="229"/>
        <v xml:space="preserve">59447305    </v>
      </c>
      <c r="E14306" t="s">
        <v>1189</v>
      </c>
      <c r="F14306" t="s">
        <v>1192</v>
      </c>
      <c r="G14306">
        <v>1993.59</v>
      </c>
      <c r="H14306">
        <v>250626</v>
      </c>
      <c r="I14306">
        <v>4430</v>
      </c>
      <c r="J14306" t="s">
        <v>1190</v>
      </c>
      <c r="K14306">
        <v>37988.019999999997</v>
      </c>
      <c r="L14306">
        <v>99.68</v>
      </c>
      <c r="M14306">
        <v>11604</v>
      </c>
      <c r="N14306" t="s">
        <v>1191</v>
      </c>
      <c r="O14306">
        <v>250709</v>
      </c>
      <c r="P14306">
        <v>1893.91</v>
      </c>
    </row>
    <row r="14307" spans="1:16" x14ac:dyDescent="0.25">
      <c r="A14307" t="s">
        <v>3296</v>
      </c>
      <c r="B14307" t="s">
        <v>2931</v>
      </c>
      <c r="C14307">
        <v>10201</v>
      </c>
      <c r="D14307" t="str">
        <f>"59517544    "</f>
        <v xml:space="preserve">59517544    </v>
      </c>
      <c r="E14307" t="s">
        <v>1189</v>
      </c>
      <c r="F14307" t="s">
        <v>1192</v>
      </c>
      <c r="G14307">
        <v>158.41999999999999</v>
      </c>
      <c r="H14307">
        <v>250729</v>
      </c>
      <c r="I14307">
        <v>4430</v>
      </c>
      <c r="J14307" t="s">
        <v>1190</v>
      </c>
      <c r="K14307">
        <v>792.08</v>
      </c>
      <c r="L14307">
        <v>7.92</v>
      </c>
      <c r="M14307">
        <v>11604</v>
      </c>
      <c r="N14307" t="s">
        <v>1191</v>
      </c>
      <c r="O14307">
        <v>250813</v>
      </c>
      <c r="P14307">
        <v>150.5</v>
      </c>
    </row>
    <row r="14308" spans="1:16" x14ac:dyDescent="0.25">
      <c r="A14308" t="s">
        <v>3296</v>
      </c>
      <c r="B14308" t="s">
        <v>2931</v>
      </c>
      <c r="C14308">
        <v>10201</v>
      </c>
      <c r="D14308" t="str">
        <f>"59517544    "</f>
        <v xml:space="preserve">59517544    </v>
      </c>
      <c r="E14308" t="s">
        <v>1189</v>
      </c>
      <c r="F14308" t="s">
        <v>1192</v>
      </c>
      <c r="G14308">
        <v>475.24</v>
      </c>
      <c r="H14308">
        <v>250729</v>
      </c>
      <c r="I14308">
        <v>4430</v>
      </c>
      <c r="J14308" t="s">
        <v>1190</v>
      </c>
      <c r="K14308">
        <v>792.08</v>
      </c>
      <c r="L14308">
        <v>23.76</v>
      </c>
      <c r="M14308">
        <v>11604</v>
      </c>
      <c r="N14308" t="s">
        <v>1191</v>
      </c>
      <c r="O14308">
        <v>250813</v>
      </c>
      <c r="P14308">
        <v>451.48</v>
      </c>
    </row>
    <row r="14309" spans="1:16" x14ac:dyDescent="0.25">
      <c r="A14309" t="s">
        <v>3296</v>
      </c>
      <c r="B14309" t="s">
        <v>2931</v>
      </c>
      <c r="C14309">
        <v>10201</v>
      </c>
      <c r="D14309" t="str">
        <f>"59517544    "</f>
        <v xml:space="preserve">59517544    </v>
      </c>
      <c r="E14309" t="s">
        <v>1189</v>
      </c>
      <c r="F14309" t="s">
        <v>1192</v>
      </c>
      <c r="G14309">
        <v>158.41999999999999</v>
      </c>
      <c r="H14309">
        <v>250729</v>
      </c>
      <c r="I14309">
        <v>4430</v>
      </c>
      <c r="J14309" t="s">
        <v>1190</v>
      </c>
      <c r="K14309">
        <v>792.08</v>
      </c>
      <c r="L14309">
        <v>7.92</v>
      </c>
      <c r="M14309">
        <v>11604</v>
      </c>
      <c r="N14309" t="s">
        <v>1191</v>
      </c>
      <c r="O14309">
        <v>250813</v>
      </c>
      <c r="P14309">
        <v>150.5</v>
      </c>
    </row>
    <row r="14310" spans="1:16" x14ac:dyDescent="0.25">
      <c r="A14310" t="s">
        <v>3296</v>
      </c>
      <c r="B14310" t="s">
        <v>2931</v>
      </c>
      <c r="C14310">
        <v>10215</v>
      </c>
      <c r="D14310" t="str">
        <f t="shared" ref="D14310:D14321" si="230">"59521489    "</f>
        <v xml:space="preserve">59521489    </v>
      </c>
      <c r="E14310" t="s">
        <v>1189</v>
      </c>
      <c r="F14310" t="s">
        <v>1192</v>
      </c>
      <c r="G14310">
        <v>50.2</v>
      </c>
      <c r="H14310">
        <v>250729</v>
      </c>
      <c r="I14310">
        <v>4430</v>
      </c>
      <c r="J14310" t="s">
        <v>1190</v>
      </c>
      <c r="K14310">
        <v>19797.12</v>
      </c>
      <c r="L14310">
        <v>10.199999999999999</v>
      </c>
      <c r="M14310">
        <v>11604</v>
      </c>
      <c r="N14310" t="s">
        <v>1191</v>
      </c>
      <c r="O14310">
        <v>250813</v>
      </c>
      <c r="P14310">
        <v>40</v>
      </c>
    </row>
    <row r="14311" spans="1:16" x14ac:dyDescent="0.25">
      <c r="A14311" t="s">
        <v>3296</v>
      </c>
      <c r="B14311" t="s">
        <v>2931</v>
      </c>
      <c r="C14311">
        <v>10215</v>
      </c>
      <c r="D14311" t="str">
        <f t="shared" si="230"/>
        <v xml:space="preserve">59521489    </v>
      </c>
      <c r="E14311" t="s">
        <v>1189</v>
      </c>
      <c r="F14311" t="s">
        <v>1192</v>
      </c>
      <c r="G14311">
        <v>355.34</v>
      </c>
      <c r="H14311">
        <v>250729</v>
      </c>
      <c r="I14311">
        <v>4430</v>
      </c>
      <c r="J14311" t="s">
        <v>1190</v>
      </c>
      <c r="K14311">
        <v>19797.12</v>
      </c>
      <c r="L14311">
        <v>17.77</v>
      </c>
      <c r="M14311">
        <v>11604</v>
      </c>
      <c r="N14311" t="s">
        <v>1191</v>
      </c>
      <c r="O14311">
        <v>250813</v>
      </c>
      <c r="P14311">
        <v>337.57</v>
      </c>
    </row>
    <row r="14312" spans="1:16" x14ac:dyDescent="0.25">
      <c r="A14312" t="s">
        <v>3296</v>
      </c>
      <c r="B14312" t="s">
        <v>2931</v>
      </c>
      <c r="C14312">
        <v>10215</v>
      </c>
      <c r="D14312" t="str">
        <f t="shared" si="230"/>
        <v xml:space="preserve">59521489    </v>
      </c>
      <c r="E14312" t="s">
        <v>1189</v>
      </c>
      <c r="F14312" t="s">
        <v>1192</v>
      </c>
      <c r="G14312">
        <v>2136.1799999999998</v>
      </c>
      <c r="H14312">
        <v>250729</v>
      </c>
      <c r="I14312">
        <v>4430</v>
      </c>
      <c r="J14312" t="s">
        <v>1190</v>
      </c>
      <c r="K14312">
        <v>19797.12</v>
      </c>
      <c r="L14312">
        <v>106.81</v>
      </c>
      <c r="M14312">
        <v>11604</v>
      </c>
      <c r="N14312" t="s">
        <v>1191</v>
      </c>
      <c r="O14312">
        <v>250813</v>
      </c>
      <c r="P14312">
        <v>2029.37</v>
      </c>
    </row>
    <row r="14313" spans="1:16" x14ac:dyDescent="0.25">
      <c r="A14313" t="s">
        <v>3296</v>
      </c>
      <c r="B14313" t="s">
        <v>2931</v>
      </c>
      <c r="C14313">
        <v>10215</v>
      </c>
      <c r="D14313" t="str">
        <f t="shared" si="230"/>
        <v xml:space="preserve">59521489    </v>
      </c>
      <c r="E14313" t="s">
        <v>1189</v>
      </c>
      <c r="F14313" t="s">
        <v>1192</v>
      </c>
      <c r="G14313">
        <v>1878.07</v>
      </c>
      <c r="H14313">
        <v>250729</v>
      </c>
      <c r="I14313">
        <v>4430</v>
      </c>
      <c r="J14313" t="s">
        <v>1190</v>
      </c>
      <c r="K14313">
        <v>19797.12</v>
      </c>
      <c r="L14313">
        <v>93.9</v>
      </c>
      <c r="M14313">
        <v>11604</v>
      </c>
      <c r="N14313" t="s">
        <v>1191</v>
      </c>
      <c r="O14313">
        <v>250813</v>
      </c>
      <c r="P14313">
        <v>1784.17</v>
      </c>
    </row>
    <row r="14314" spans="1:16" x14ac:dyDescent="0.25">
      <c r="A14314" t="s">
        <v>3296</v>
      </c>
      <c r="B14314" t="s">
        <v>2931</v>
      </c>
      <c r="C14314">
        <v>10215</v>
      </c>
      <c r="D14314" t="str">
        <f t="shared" si="230"/>
        <v xml:space="preserve">59521489    </v>
      </c>
      <c r="E14314" t="s">
        <v>1189</v>
      </c>
      <c r="F14314" t="s">
        <v>1192</v>
      </c>
      <c r="G14314">
        <v>50.2</v>
      </c>
      <c r="H14314">
        <v>250729</v>
      </c>
      <c r="I14314">
        <v>4430</v>
      </c>
      <c r="J14314" t="s">
        <v>1190</v>
      </c>
      <c r="K14314">
        <v>19797.12</v>
      </c>
      <c r="L14314">
        <v>10.199999999999999</v>
      </c>
      <c r="M14314">
        <v>11604</v>
      </c>
      <c r="N14314" t="s">
        <v>1191</v>
      </c>
      <c r="O14314">
        <v>250813</v>
      </c>
      <c r="P14314">
        <v>40</v>
      </c>
    </row>
    <row r="14315" spans="1:16" x14ac:dyDescent="0.25">
      <c r="A14315" t="s">
        <v>3296</v>
      </c>
      <c r="B14315" t="s">
        <v>2931</v>
      </c>
      <c r="C14315">
        <v>10215</v>
      </c>
      <c r="D14315" t="str">
        <f t="shared" si="230"/>
        <v xml:space="preserve">59521489    </v>
      </c>
      <c r="E14315" t="s">
        <v>1189</v>
      </c>
      <c r="F14315" t="s">
        <v>1192</v>
      </c>
      <c r="G14315">
        <v>3818.7</v>
      </c>
      <c r="H14315">
        <v>250729</v>
      </c>
      <c r="I14315">
        <v>4430</v>
      </c>
      <c r="J14315" t="s">
        <v>1190</v>
      </c>
      <c r="K14315">
        <v>19797.12</v>
      </c>
      <c r="L14315">
        <v>190.93</v>
      </c>
      <c r="M14315">
        <v>11604</v>
      </c>
      <c r="N14315" t="s">
        <v>1191</v>
      </c>
      <c r="O14315">
        <v>250813</v>
      </c>
      <c r="P14315">
        <v>3627.77</v>
      </c>
    </row>
    <row r="14316" spans="1:16" x14ac:dyDescent="0.25">
      <c r="A14316" t="s">
        <v>3296</v>
      </c>
      <c r="B14316" t="s">
        <v>2931</v>
      </c>
      <c r="C14316">
        <v>10215</v>
      </c>
      <c r="D14316" t="str">
        <f t="shared" si="230"/>
        <v xml:space="preserve">59521489    </v>
      </c>
      <c r="E14316" t="s">
        <v>1189</v>
      </c>
      <c r="F14316" t="s">
        <v>1192</v>
      </c>
      <c r="G14316">
        <v>4227.34</v>
      </c>
      <c r="H14316">
        <v>250729</v>
      </c>
      <c r="I14316">
        <v>4430</v>
      </c>
      <c r="J14316" t="s">
        <v>1190</v>
      </c>
      <c r="K14316">
        <v>19797.12</v>
      </c>
      <c r="L14316">
        <v>211.37</v>
      </c>
      <c r="M14316">
        <v>11604</v>
      </c>
      <c r="N14316" t="s">
        <v>1191</v>
      </c>
      <c r="O14316">
        <v>250813</v>
      </c>
      <c r="P14316">
        <v>4015.97</v>
      </c>
    </row>
    <row r="14317" spans="1:16" x14ac:dyDescent="0.25">
      <c r="A14317" t="s">
        <v>3296</v>
      </c>
      <c r="B14317" t="s">
        <v>2931</v>
      </c>
      <c r="C14317">
        <v>10215</v>
      </c>
      <c r="D14317" t="str">
        <f t="shared" si="230"/>
        <v xml:space="preserve">59521489    </v>
      </c>
      <c r="E14317" t="s">
        <v>1189</v>
      </c>
      <c r="F14317" t="s">
        <v>1192</v>
      </c>
      <c r="G14317">
        <v>868.57</v>
      </c>
      <c r="H14317">
        <v>250729</v>
      </c>
      <c r="I14317">
        <v>4430</v>
      </c>
      <c r="J14317" t="s">
        <v>1190</v>
      </c>
      <c r="K14317">
        <v>19797.12</v>
      </c>
      <c r="L14317">
        <v>43.43</v>
      </c>
      <c r="M14317">
        <v>11604</v>
      </c>
      <c r="N14317" t="s">
        <v>1191</v>
      </c>
      <c r="O14317">
        <v>250813</v>
      </c>
      <c r="P14317">
        <v>825.14</v>
      </c>
    </row>
    <row r="14318" spans="1:16" x14ac:dyDescent="0.25">
      <c r="A14318" t="s">
        <v>3296</v>
      </c>
      <c r="B14318" t="s">
        <v>2931</v>
      </c>
      <c r="C14318">
        <v>10215</v>
      </c>
      <c r="D14318" t="str">
        <f t="shared" si="230"/>
        <v xml:space="preserve">59521489    </v>
      </c>
      <c r="E14318" t="s">
        <v>1189</v>
      </c>
      <c r="F14318" t="s">
        <v>1192</v>
      </c>
      <c r="G14318">
        <v>259.89999999999998</v>
      </c>
      <c r="H14318">
        <v>250729</v>
      </c>
      <c r="I14318">
        <v>4430</v>
      </c>
      <c r="J14318" t="s">
        <v>1190</v>
      </c>
      <c r="K14318">
        <v>19797.12</v>
      </c>
      <c r="L14318">
        <v>52.81</v>
      </c>
      <c r="M14318">
        <v>11604</v>
      </c>
      <c r="N14318" t="s">
        <v>1191</v>
      </c>
      <c r="O14318">
        <v>250813</v>
      </c>
      <c r="P14318">
        <v>207.09</v>
      </c>
    </row>
    <row r="14319" spans="1:16" x14ac:dyDescent="0.25">
      <c r="A14319" t="s">
        <v>3296</v>
      </c>
      <c r="B14319" t="s">
        <v>2931</v>
      </c>
      <c r="C14319">
        <v>10215</v>
      </c>
      <c r="D14319" t="str">
        <f t="shared" si="230"/>
        <v xml:space="preserve">59521489    </v>
      </c>
      <c r="E14319" t="s">
        <v>1189</v>
      </c>
      <c r="F14319" t="s">
        <v>1192</v>
      </c>
      <c r="G14319">
        <v>1623.02</v>
      </c>
      <c r="H14319">
        <v>250729</v>
      </c>
      <c r="I14319">
        <v>4430</v>
      </c>
      <c r="J14319" t="s">
        <v>1190</v>
      </c>
      <c r="K14319">
        <v>19797.12</v>
      </c>
      <c r="L14319">
        <v>81.150000000000006</v>
      </c>
      <c r="M14319">
        <v>11604</v>
      </c>
      <c r="N14319" t="s">
        <v>1191</v>
      </c>
      <c r="O14319">
        <v>250813</v>
      </c>
      <c r="P14319">
        <v>1541.87</v>
      </c>
    </row>
    <row r="14320" spans="1:16" x14ac:dyDescent="0.25">
      <c r="A14320" t="s">
        <v>3296</v>
      </c>
      <c r="B14320" t="s">
        <v>2931</v>
      </c>
      <c r="C14320">
        <v>10215</v>
      </c>
      <c r="D14320" t="str">
        <f t="shared" si="230"/>
        <v xml:space="preserve">59521489    </v>
      </c>
      <c r="E14320" t="s">
        <v>1189</v>
      </c>
      <c r="F14320" t="s">
        <v>1192</v>
      </c>
      <c r="G14320">
        <v>2044.94</v>
      </c>
      <c r="H14320">
        <v>250729</v>
      </c>
      <c r="I14320">
        <v>4430</v>
      </c>
      <c r="J14320" t="s">
        <v>1190</v>
      </c>
      <c r="K14320">
        <v>19797.12</v>
      </c>
      <c r="L14320">
        <v>102.25</v>
      </c>
      <c r="M14320">
        <v>11604</v>
      </c>
      <c r="N14320" t="s">
        <v>1191</v>
      </c>
      <c r="O14320">
        <v>250813</v>
      </c>
      <c r="P14320">
        <v>1942.69</v>
      </c>
    </row>
    <row r="14321" spans="1:16" x14ac:dyDescent="0.25">
      <c r="A14321" t="s">
        <v>3296</v>
      </c>
      <c r="B14321" t="s">
        <v>2931</v>
      </c>
      <c r="C14321">
        <v>10215</v>
      </c>
      <c r="D14321" t="str">
        <f t="shared" si="230"/>
        <v xml:space="preserve">59521489    </v>
      </c>
      <c r="E14321" t="s">
        <v>1189</v>
      </c>
      <c r="F14321" t="s">
        <v>1192</v>
      </c>
      <c r="G14321">
        <v>2484.66</v>
      </c>
      <c r="H14321">
        <v>250729</v>
      </c>
      <c r="I14321">
        <v>4430</v>
      </c>
      <c r="J14321" t="s">
        <v>1190</v>
      </c>
      <c r="K14321">
        <v>19797.12</v>
      </c>
      <c r="L14321">
        <v>124.23</v>
      </c>
      <c r="M14321">
        <v>11604</v>
      </c>
      <c r="N14321" t="s">
        <v>1191</v>
      </c>
      <c r="O14321">
        <v>250813</v>
      </c>
      <c r="P14321">
        <v>2360.4299999999998</v>
      </c>
    </row>
    <row r="14322" spans="1:16" x14ac:dyDescent="0.25">
      <c r="A14322" t="s">
        <v>3296</v>
      </c>
      <c r="B14322" t="s">
        <v>2931</v>
      </c>
      <c r="C14322">
        <v>12032</v>
      </c>
      <c r="D14322" t="str">
        <f t="shared" ref="D14322:D14334" si="231">"59608813    "</f>
        <v xml:space="preserve">59608813    </v>
      </c>
      <c r="E14322" t="s">
        <v>1189</v>
      </c>
      <c r="F14322" t="s">
        <v>1192</v>
      </c>
      <c r="G14322">
        <v>128.99</v>
      </c>
      <c r="H14322">
        <v>250827</v>
      </c>
      <c r="I14322">
        <v>4430</v>
      </c>
      <c r="J14322" t="s">
        <v>1190</v>
      </c>
      <c r="K14322">
        <v>23825.41</v>
      </c>
      <c r="L14322">
        <v>6.45</v>
      </c>
      <c r="M14322">
        <v>11604</v>
      </c>
      <c r="N14322" t="s">
        <v>1191</v>
      </c>
      <c r="O14322">
        <v>250915</v>
      </c>
      <c r="P14322">
        <v>122.54</v>
      </c>
    </row>
    <row r="14323" spans="1:16" x14ac:dyDescent="0.25">
      <c r="A14323" t="s">
        <v>3296</v>
      </c>
      <c r="B14323" t="s">
        <v>2931</v>
      </c>
      <c r="C14323">
        <v>12032</v>
      </c>
      <c r="D14323" t="str">
        <f t="shared" si="231"/>
        <v xml:space="preserve">59608813    </v>
      </c>
      <c r="E14323" t="s">
        <v>1189</v>
      </c>
      <c r="F14323" t="s">
        <v>1192</v>
      </c>
      <c r="G14323">
        <v>1695.82</v>
      </c>
      <c r="H14323">
        <v>250827</v>
      </c>
      <c r="I14323">
        <v>4430</v>
      </c>
      <c r="J14323" t="s">
        <v>1190</v>
      </c>
      <c r="K14323">
        <v>23825.41</v>
      </c>
      <c r="L14323">
        <v>84.79</v>
      </c>
      <c r="M14323">
        <v>11604</v>
      </c>
      <c r="N14323" t="s">
        <v>1191</v>
      </c>
      <c r="O14323">
        <v>250915</v>
      </c>
      <c r="P14323">
        <v>1611.03</v>
      </c>
    </row>
    <row r="14324" spans="1:16" x14ac:dyDescent="0.25">
      <c r="A14324" t="s">
        <v>3296</v>
      </c>
      <c r="B14324" t="s">
        <v>2931</v>
      </c>
      <c r="C14324">
        <v>12032</v>
      </c>
      <c r="D14324" t="str">
        <f t="shared" si="231"/>
        <v xml:space="preserve">59608813    </v>
      </c>
      <c r="E14324" t="s">
        <v>1189</v>
      </c>
      <c r="F14324" t="s">
        <v>1192</v>
      </c>
      <c r="G14324">
        <v>3455.74</v>
      </c>
      <c r="H14324">
        <v>250827</v>
      </c>
      <c r="I14324">
        <v>4430</v>
      </c>
      <c r="J14324" t="s">
        <v>1190</v>
      </c>
      <c r="K14324">
        <v>23825.41</v>
      </c>
      <c r="L14324">
        <v>172.79</v>
      </c>
      <c r="M14324">
        <v>11604</v>
      </c>
      <c r="N14324" t="s">
        <v>1191</v>
      </c>
      <c r="O14324">
        <v>250915</v>
      </c>
      <c r="P14324">
        <v>3282.95</v>
      </c>
    </row>
    <row r="14325" spans="1:16" x14ac:dyDescent="0.25">
      <c r="A14325" t="s">
        <v>3296</v>
      </c>
      <c r="B14325" t="s">
        <v>2931</v>
      </c>
      <c r="C14325">
        <v>12032</v>
      </c>
      <c r="D14325" t="str">
        <f t="shared" si="231"/>
        <v xml:space="preserve">59608813    </v>
      </c>
      <c r="E14325" t="s">
        <v>1189</v>
      </c>
      <c r="F14325" t="s">
        <v>1192</v>
      </c>
      <c r="G14325">
        <v>50.2</v>
      </c>
      <c r="H14325">
        <v>250827</v>
      </c>
      <c r="I14325">
        <v>4430</v>
      </c>
      <c r="J14325" t="s">
        <v>1190</v>
      </c>
      <c r="K14325">
        <v>23825.41</v>
      </c>
      <c r="L14325">
        <v>10.199999999999999</v>
      </c>
      <c r="M14325">
        <v>11604</v>
      </c>
      <c r="N14325" t="s">
        <v>1191</v>
      </c>
      <c r="O14325">
        <v>250915</v>
      </c>
      <c r="P14325">
        <v>40</v>
      </c>
    </row>
    <row r="14326" spans="1:16" x14ac:dyDescent="0.25">
      <c r="A14326" t="s">
        <v>3296</v>
      </c>
      <c r="B14326" t="s">
        <v>2931</v>
      </c>
      <c r="C14326">
        <v>12032</v>
      </c>
      <c r="D14326" t="str">
        <f t="shared" si="231"/>
        <v xml:space="preserve">59608813    </v>
      </c>
      <c r="E14326" t="s">
        <v>1189</v>
      </c>
      <c r="F14326" t="s">
        <v>1192</v>
      </c>
      <c r="G14326">
        <v>3118.78</v>
      </c>
      <c r="H14326">
        <v>250827</v>
      </c>
      <c r="I14326">
        <v>4430</v>
      </c>
      <c r="J14326" t="s">
        <v>1190</v>
      </c>
      <c r="K14326">
        <v>23825.41</v>
      </c>
      <c r="L14326">
        <v>155.94</v>
      </c>
      <c r="M14326">
        <v>11604</v>
      </c>
      <c r="N14326" t="s">
        <v>1191</v>
      </c>
      <c r="O14326">
        <v>250915</v>
      </c>
      <c r="P14326">
        <v>2962.84</v>
      </c>
    </row>
    <row r="14327" spans="1:16" x14ac:dyDescent="0.25">
      <c r="A14327" t="s">
        <v>3296</v>
      </c>
      <c r="B14327" t="s">
        <v>2931</v>
      </c>
      <c r="C14327">
        <v>12032</v>
      </c>
      <c r="D14327" t="str">
        <f t="shared" si="231"/>
        <v xml:space="preserve">59608813    </v>
      </c>
      <c r="E14327" t="s">
        <v>1189</v>
      </c>
      <c r="F14327" t="s">
        <v>1192</v>
      </c>
      <c r="G14327">
        <v>4033.67</v>
      </c>
      <c r="H14327">
        <v>250827</v>
      </c>
      <c r="I14327">
        <v>4430</v>
      </c>
      <c r="J14327" t="s">
        <v>1190</v>
      </c>
      <c r="K14327">
        <v>23825.41</v>
      </c>
      <c r="L14327">
        <v>201.68</v>
      </c>
      <c r="M14327">
        <v>11604</v>
      </c>
      <c r="N14327" t="s">
        <v>1191</v>
      </c>
      <c r="O14327">
        <v>250915</v>
      </c>
      <c r="P14327">
        <v>3831.99</v>
      </c>
    </row>
    <row r="14328" spans="1:16" x14ac:dyDescent="0.25">
      <c r="A14328" t="s">
        <v>3296</v>
      </c>
      <c r="B14328" t="s">
        <v>2931</v>
      </c>
      <c r="C14328">
        <v>12032</v>
      </c>
      <c r="D14328" t="str">
        <f t="shared" si="231"/>
        <v xml:space="preserve">59608813    </v>
      </c>
      <c r="E14328" t="s">
        <v>1189</v>
      </c>
      <c r="F14328" t="s">
        <v>1192</v>
      </c>
      <c r="G14328">
        <v>34.14</v>
      </c>
      <c r="H14328">
        <v>250827</v>
      </c>
      <c r="I14328">
        <v>4430</v>
      </c>
      <c r="J14328" t="s">
        <v>1190</v>
      </c>
      <c r="K14328">
        <v>23825.41</v>
      </c>
      <c r="L14328">
        <v>6.94</v>
      </c>
      <c r="M14328">
        <v>11604</v>
      </c>
      <c r="N14328" t="s">
        <v>1191</v>
      </c>
      <c r="O14328">
        <v>250915</v>
      </c>
      <c r="P14328">
        <v>27.2</v>
      </c>
    </row>
    <row r="14329" spans="1:16" x14ac:dyDescent="0.25">
      <c r="A14329" t="s">
        <v>3296</v>
      </c>
      <c r="B14329" t="s">
        <v>2931</v>
      </c>
      <c r="C14329">
        <v>12032</v>
      </c>
      <c r="D14329" t="str">
        <f t="shared" si="231"/>
        <v xml:space="preserve">59608813    </v>
      </c>
      <c r="E14329" t="s">
        <v>1189</v>
      </c>
      <c r="F14329" t="s">
        <v>1192</v>
      </c>
      <c r="G14329">
        <v>2006.53</v>
      </c>
      <c r="H14329">
        <v>250827</v>
      </c>
      <c r="I14329">
        <v>4430</v>
      </c>
      <c r="J14329" t="s">
        <v>1190</v>
      </c>
      <c r="K14329">
        <v>23825.41</v>
      </c>
      <c r="L14329">
        <v>100.33</v>
      </c>
      <c r="M14329">
        <v>11604</v>
      </c>
      <c r="N14329" t="s">
        <v>1191</v>
      </c>
      <c r="O14329">
        <v>250915</v>
      </c>
      <c r="P14329">
        <v>1906.2</v>
      </c>
    </row>
    <row r="14330" spans="1:16" x14ac:dyDescent="0.25">
      <c r="A14330" t="s">
        <v>3296</v>
      </c>
      <c r="B14330" t="s">
        <v>2931</v>
      </c>
      <c r="C14330">
        <v>12032</v>
      </c>
      <c r="D14330" t="str">
        <f t="shared" si="231"/>
        <v xml:space="preserve">59608813    </v>
      </c>
      <c r="E14330" t="s">
        <v>1189</v>
      </c>
      <c r="F14330" t="s">
        <v>1192</v>
      </c>
      <c r="G14330">
        <v>73.37</v>
      </c>
      <c r="H14330">
        <v>250827</v>
      </c>
      <c r="I14330">
        <v>4430</v>
      </c>
      <c r="J14330" t="s">
        <v>1190</v>
      </c>
      <c r="K14330">
        <v>23825.41</v>
      </c>
      <c r="L14330">
        <v>3.67</v>
      </c>
      <c r="M14330">
        <v>11604</v>
      </c>
      <c r="N14330" t="s">
        <v>1191</v>
      </c>
      <c r="O14330">
        <v>250915</v>
      </c>
      <c r="P14330">
        <v>69.7</v>
      </c>
    </row>
    <row r="14331" spans="1:16" x14ac:dyDescent="0.25">
      <c r="A14331" t="s">
        <v>3296</v>
      </c>
      <c r="B14331" t="s">
        <v>2931</v>
      </c>
      <c r="C14331">
        <v>12032</v>
      </c>
      <c r="D14331" t="str">
        <f t="shared" si="231"/>
        <v xml:space="preserve">59608813    </v>
      </c>
      <c r="E14331" t="s">
        <v>1189</v>
      </c>
      <c r="F14331" t="s">
        <v>1192</v>
      </c>
      <c r="G14331">
        <v>297.05</v>
      </c>
      <c r="H14331">
        <v>250827</v>
      </c>
      <c r="I14331">
        <v>4430</v>
      </c>
      <c r="J14331" t="s">
        <v>1190</v>
      </c>
      <c r="K14331">
        <v>23825.41</v>
      </c>
      <c r="L14331">
        <v>60.36</v>
      </c>
      <c r="M14331">
        <v>11604</v>
      </c>
      <c r="N14331" t="s">
        <v>1191</v>
      </c>
      <c r="O14331">
        <v>250915</v>
      </c>
      <c r="P14331">
        <v>236.69</v>
      </c>
    </row>
    <row r="14332" spans="1:16" x14ac:dyDescent="0.25">
      <c r="A14332" t="s">
        <v>3296</v>
      </c>
      <c r="B14332" t="s">
        <v>2931</v>
      </c>
      <c r="C14332">
        <v>12032</v>
      </c>
      <c r="D14332" t="str">
        <f t="shared" si="231"/>
        <v xml:space="preserve">59608813    </v>
      </c>
      <c r="E14332" t="s">
        <v>1189</v>
      </c>
      <c r="F14332" t="s">
        <v>1192</v>
      </c>
      <c r="G14332">
        <v>5871.21</v>
      </c>
      <c r="H14332">
        <v>250827</v>
      </c>
      <c r="I14332">
        <v>4430</v>
      </c>
      <c r="J14332" t="s">
        <v>1190</v>
      </c>
      <c r="K14332">
        <v>23825.41</v>
      </c>
      <c r="L14332">
        <v>293.56</v>
      </c>
      <c r="M14332">
        <v>11604</v>
      </c>
      <c r="N14332" t="s">
        <v>1191</v>
      </c>
      <c r="O14332">
        <v>250915</v>
      </c>
      <c r="P14332">
        <v>5577.65</v>
      </c>
    </row>
    <row r="14333" spans="1:16" x14ac:dyDescent="0.25">
      <c r="A14333" t="s">
        <v>3296</v>
      </c>
      <c r="B14333" t="s">
        <v>2931</v>
      </c>
      <c r="C14333">
        <v>12032</v>
      </c>
      <c r="D14333" t="str">
        <f t="shared" si="231"/>
        <v xml:space="preserve">59608813    </v>
      </c>
      <c r="E14333" t="s">
        <v>1189</v>
      </c>
      <c r="F14333" t="s">
        <v>1192</v>
      </c>
      <c r="G14333">
        <v>2573.96</v>
      </c>
      <c r="H14333">
        <v>250827</v>
      </c>
      <c r="I14333">
        <v>4430</v>
      </c>
      <c r="J14333" t="s">
        <v>1190</v>
      </c>
      <c r="K14333">
        <v>23825.41</v>
      </c>
      <c r="L14333">
        <v>128.69999999999999</v>
      </c>
      <c r="M14333">
        <v>11604</v>
      </c>
      <c r="N14333" t="s">
        <v>1191</v>
      </c>
      <c r="O14333">
        <v>250915</v>
      </c>
      <c r="P14333">
        <v>2445.2600000000002</v>
      </c>
    </row>
    <row r="14334" spans="1:16" x14ac:dyDescent="0.25">
      <c r="A14334" t="s">
        <v>3296</v>
      </c>
      <c r="B14334" t="s">
        <v>2931</v>
      </c>
      <c r="C14334">
        <v>12032</v>
      </c>
      <c r="D14334" t="str">
        <f t="shared" si="231"/>
        <v xml:space="preserve">59608813    </v>
      </c>
      <c r="E14334" t="s">
        <v>1189</v>
      </c>
      <c r="F14334" t="s">
        <v>1192</v>
      </c>
      <c r="G14334">
        <v>485.95</v>
      </c>
      <c r="H14334">
        <v>250827</v>
      </c>
      <c r="I14334">
        <v>4430</v>
      </c>
      <c r="J14334" t="s">
        <v>1190</v>
      </c>
      <c r="K14334">
        <v>23825.41</v>
      </c>
      <c r="L14334">
        <v>24.3</v>
      </c>
      <c r="M14334">
        <v>11604</v>
      </c>
      <c r="N14334" t="s">
        <v>1191</v>
      </c>
      <c r="O14334">
        <v>250915</v>
      </c>
      <c r="P14334">
        <v>461.65</v>
      </c>
    </row>
    <row r="14335" spans="1:16" x14ac:dyDescent="0.25">
      <c r="A14335" t="s">
        <v>3296</v>
      </c>
      <c r="B14335" t="s">
        <v>2931</v>
      </c>
      <c r="C14335">
        <v>12034</v>
      </c>
      <c r="D14335" t="str">
        <f>"59604492    "</f>
        <v xml:space="preserve">59604492    </v>
      </c>
      <c r="E14335" t="s">
        <v>1189</v>
      </c>
      <c r="F14335" t="s">
        <v>1192</v>
      </c>
      <c r="G14335">
        <v>569.23</v>
      </c>
      <c r="H14335">
        <v>250827</v>
      </c>
      <c r="I14335">
        <v>4430</v>
      </c>
      <c r="J14335" t="s">
        <v>1190</v>
      </c>
      <c r="K14335">
        <v>891.93</v>
      </c>
      <c r="L14335">
        <v>28.46</v>
      </c>
      <c r="M14335">
        <v>11604</v>
      </c>
      <c r="N14335" t="s">
        <v>1191</v>
      </c>
      <c r="O14335">
        <v>250915</v>
      </c>
      <c r="P14335">
        <v>540.77</v>
      </c>
    </row>
    <row r="14336" spans="1:16" x14ac:dyDescent="0.25">
      <c r="A14336" t="s">
        <v>3296</v>
      </c>
      <c r="B14336" t="s">
        <v>2931</v>
      </c>
      <c r="C14336">
        <v>12034</v>
      </c>
      <c r="D14336" t="str">
        <f>"59604492    "</f>
        <v xml:space="preserve">59604492    </v>
      </c>
      <c r="E14336" t="s">
        <v>1189</v>
      </c>
      <c r="F14336" t="s">
        <v>1192</v>
      </c>
      <c r="G14336">
        <v>218.7</v>
      </c>
      <c r="H14336">
        <v>250827</v>
      </c>
      <c r="I14336">
        <v>4430</v>
      </c>
      <c r="J14336" t="s">
        <v>1190</v>
      </c>
      <c r="K14336">
        <v>891.93</v>
      </c>
      <c r="L14336">
        <v>10.93</v>
      </c>
      <c r="M14336">
        <v>11604</v>
      </c>
      <c r="N14336" t="s">
        <v>1191</v>
      </c>
      <c r="O14336">
        <v>250915</v>
      </c>
      <c r="P14336">
        <v>207.77</v>
      </c>
    </row>
    <row r="14337" spans="1:16" x14ac:dyDescent="0.25">
      <c r="A14337" t="s">
        <v>3296</v>
      </c>
      <c r="B14337" t="s">
        <v>2931</v>
      </c>
      <c r="C14337">
        <v>12034</v>
      </c>
      <c r="D14337" t="str">
        <f>"59604492    "</f>
        <v xml:space="preserve">59604492    </v>
      </c>
      <c r="E14337" t="s">
        <v>1189</v>
      </c>
      <c r="F14337" t="s">
        <v>1192</v>
      </c>
      <c r="G14337">
        <v>104</v>
      </c>
      <c r="H14337">
        <v>250827</v>
      </c>
      <c r="I14337">
        <v>4430</v>
      </c>
      <c r="J14337" t="s">
        <v>1190</v>
      </c>
      <c r="K14337">
        <v>891.93</v>
      </c>
      <c r="L14337">
        <v>5.2</v>
      </c>
      <c r="M14337">
        <v>11604</v>
      </c>
      <c r="N14337" t="s">
        <v>1191</v>
      </c>
      <c r="O14337">
        <v>250915</v>
      </c>
      <c r="P14337">
        <v>98.8</v>
      </c>
    </row>
    <row r="14338" spans="1:16" x14ac:dyDescent="0.25">
      <c r="A14338" t="s">
        <v>3296</v>
      </c>
      <c r="B14338" t="s">
        <v>2931</v>
      </c>
      <c r="C14338">
        <v>12035</v>
      </c>
      <c r="D14338" t="str">
        <f>"59604665    "</f>
        <v xml:space="preserve">59604665    </v>
      </c>
      <c r="E14338" t="s">
        <v>1189</v>
      </c>
      <c r="F14338" t="s">
        <v>1192</v>
      </c>
      <c r="G14338">
        <v>78.55</v>
      </c>
      <c r="H14338">
        <v>250827</v>
      </c>
      <c r="I14338">
        <v>4430</v>
      </c>
      <c r="J14338" t="s">
        <v>1190</v>
      </c>
      <c r="K14338">
        <v>392.76</v>
      </c>
      <c r="L14338">
        <v>3.93</v>
      </c>
      <c r="M14338">
        <v>11604</v>
      </c>
      <c r="N14338" t="s">
        <v>1191</v>
      </c>
      <c r="O14338">
        <v>250915</v>
      </c>
      <c r="P14338">
        <v>74.62</v>
      </c>
    </row>
    <row r="14339" spans="1:16" x14ac:dyDescent="0.25">
      <c r="A14339" t="s">
        <v>3296</v>
      </c>
      <c r="B14339" t="s">
        <v>2931</v>
      </c>
      <c r="C14339">
        <v>12035</v>
      </c>
      <c r="D14339" t="str">
        <f>"59604665    "</f>
        <v xml:space="preserve">59604665    </v>
      </c>
      <c r="E14339" t="s">
        <v>1189</v>
      </c>
      <c r="F14339" t="s">
        <v>1192</v>
      </c>
      <c r="G14339">
        <v>235.66</v>
      </c>
      <c r="H14339">
        <v>250827</v>
      </c>
      <c r="I14339">
        <v>4430</v>
      </c>
      <c r="J14339" t="s">
        <v>1190</v>
      </c>
      <c r="K14339">
        <v>392.76</v>
      </c>
      <c r="L14339">
        <v>11.78</v>
      </c>
      <c r="M14339">
        <v>11604</v>
      </c>
      <c r="N14339" t="s">
        <v>1191</v>
      </c>
      <c r="O14339">
        <v>250915</v>
      </c>
      <c r="P14339">
        <v>223.88</v>
      </c>
    </row>
    <row r="14340" spans="1:16" x14ac:dyDescent="0.25">
      <c r="A14340" t="s">
        <v>3296</v>
      </c>
      <c r="B14340" t="s">
        <v>2931</v>
      </c>
      <c r="C14340">
        <v>12035</v>
      </c>
      <c r="D14340" t="str">
        <f>"59604665    "</f>
        <v xml:space="preserve">59604665    </v>
      </c>
      <c r="E14340" t="s">
        <v>1189</v>
      </c>
      <c r="F14340" t="s">
        <v>1192</v>
      </c>
      <c r="G14340">
        <v>78.55</v>
      </c>
      <c r="H14340">
        <v>250827</v>
      </c>
      <c r="I14340">
        <v>4430</v>
      </c>
      <c r="J14340" t="s">
        <v>1190</v>
      </c>
      <c r="K14340">
        <v>392.76</v>
      </c>
      <c r="L14340">
        <v>3.93</v>
      </c>
      <c r="M14340">
        <v>11604</v>
      </c>
      <c r="N14340" t="s">
        <v>1191</v>
      </c>
      <c r="O14340">
        <v>250915</v>
      </c>
      <c r="P14340">
        <v>74.62</v>
      </c>
    </row>
    <row r="14341" spans="1:16" x14ac:dyDescent="0.25">
      <c r="A14341" t="s">
        <v>3296</v>
      </c>
      <c r="B14341" t="s">
        <v>2931</v>
      </c>
      <c r="C14341">
        <v>13670</v>
      </c>
      <c r="D14341" t="str">
        <f t="shared" ref="D14341:D14347" si="232">"59730601    "</f>
        <v xml:space="preserve">59730601    </v>
      </c>
      <c r="E14341" t="s">
        <v>1189</v>
      </c>
      <c r="F14341" t="s">
        <v>1192</v>
      </c>
      <c r="G14341">
        <v>181.35</v>
      </c>
      <c r="H14341">
        <v>250928</v>
      </c>
      <c r="I14341">
        <v>4430</v>
      </c>
      <c r="J14341" t="s">
        <v>1190</v>
      </c>
      <c r="K14341">
        <v>1113.1600000000001</v>
      </c>
      <c r="L14341">
        <v>9.07</v>
      </c>
      <c r="M14341">
        <v>11604</v>
      </c>
      <c r="N14341" t="s">
        <v>1191</v>
      </c>
      <c r="O14341">
        <v>251013</v>
      </c>
      <c r="P14341">
        <v>172.28</v>
      </c>
    </row>
    <row r="14342" spans="1:16" x14ac:dyDescent="0.25">
      <c r="A14342" t="s">
        <v>3296</v>
      </c>
      <c r="B14342" t="s">
        <v>2931</v>
      </c>
      <c r="C14342">
        <v>13670</v>
      </c>
      <c r="D14342" t="str">
        <f t="shared" si="232"/>
        <v xml:space="preserve">59730601    </v>
      </c>
      <c r="E14342" t="s">
        <v>1189</v>
      </c>
      <c r="F14342" t="s">
        <v>1192</v>
      </c>
      <c r="G14342">
        <v>50.2</v>
      </c>
      <c r="H14342">
        <v>250928</v>
      </c>
      <c r="I14342">
        <v>4430</v>
      </c>
      <c r="J14342" t="s">
        <v>1190</v>
      </c>
      <c r="K14342">
        <v>1113.1600000000001</v>
      </c>
      <c r="L14342">
        <v>10.199999999999999</v>
      </c>
      <c r="M14342">
        <v>11604</v>
      </c>
      <c r="N14342" t="s">
        <v>1191</v>
      </c>
      <c r="O14342">
        <v>251013</v>
      </c>
      <c r="P14342">
        <v>40</v>
      </c>
    </row>
    <row r="14343" spans="1:16" x14ac:dyDescent="0.25">
      <c r="A14343" t="s">
        <v>3296</v>
      </c>
      <c r="B14343" t="s">
        <v>2931</v>
      </c>
      <c r="C14343">
        <v>13670</v>
      </c>
      <c r="D14343" t="str">
        <f t="shared" si="232"/>
        <v xml:space="preserve">59730601    </v>
      </c>
      <c r="E14343" t="s">
        <v>1189</v>
      </c>
      <c r="F14343" t="s">
        <v>1192</v>
      </c>
      <c r="G14343">
        <v>440.4</v>
      </c>
      <c r="H14343">
        <v>250928</v>
      </c>
      <c r="I14343">
        <v>4430</v>
      </c>
      <c r="J14343" t="s">
        <v>1190</v>
      </c>
      <c r="K14343">
        <v>1113.1600000000001</v>
      </c>
      <c r="L14343">
        <v>22.02</v>
      </c>
      <c r="M14343">
        <v>11604</v>
      </c>
      <c r="N14343" t="s">
        <v>1191</v>
      </c>
      <c r="O14343">
        <v>251013</v>
      </c>
      <c r="P14343">
        <v>418.38</v>
      </c>
    </row>
    <row r="14344" spans="1:16" x14ac:dyDescent="0.25">
      <c r="A14344" t="s">
        <v>3296</v>
      </c>
      <c r="B14344" t="s">
        <v>2931</v>
      </c>
      <c r="C14344">
        <v>13670</v>
      </c>
      <c r="D14344" t="str">
        <f t="shared" si="232"/>
        <v xml:space="preserve">59730601    </v>
      </c>
      <c r="E14344" t="s">
        <v>1189</v>
      </c>
      <c r="F14344" t="s">
        <v>1192</v>
      </c>
      <c r="G14344">
        <v>181.35</v>
      </c>
      <c r="H14344">
        <v>250928</v>
      </c>
      <c r="I14344">
        <v>4430</v>
      </c>
      <c r="J14344" t="s">
        <v>1190</v>
      </c>
      <c r="K14344">
        <v>1113.1600000000001</v>
      </c>
      <c r="L14344">
        <v>9.07</v>
      </c>
      <c r="M14344">
        <v>11604</v>
      </c>
      <c r="N14344" t="s">
        <v>1191</v>
      </c>
      <c r="O14344">
        <v>251013</v>
      </c>
      <c r="P14344">
        <v>172.28</v>
      </c>
    </row>
    <row r="14345" spans="1:16" x14ac:dyDescent="0.25">
      <c r="A14345" t="s">
        <v>3296</v>
      </c>
      <c r="B14345" t="s">
        <v>2931</v>
      </c>
      <c r="C14345">
        <v>13670</v>
      </c>
      <c r="D14345" t="str">
        <f t="shared" si="232"/>
        <v xml:space="preserve">59730601    </v>
      </c>
      <c r="E14345" t="s">
        <v>1189</v>
      </c>
      <c r="F14345" t="s">
        <v>1192</v>
      </c>
      <c r="G14345">
        <v>77.7</v>
      </c>
      <c r="H14345">
        <v>250928</v>
      </c>
      <c r="I14345">
        <v>4430</v>
      </c>
      <c r="J14345" t="s">
        <v>1190</v>
      </c>
      <c r="K14345">
        <v>1113.1600000000001</v>
      </c>
      <c r="L14345">
        <v>3.88</v>
      </c>
      <c r="M14345">
        <v>11604</v>
      </c>
      <c r="N14345" t="s">
        <v>1191</v>
      </c>
      <c r="O14345">
        <v>251013</v>
      </c>
      <c r="P14345">
        <v>73.819999999999993</v>
      </c>
    </row>
    <row r="14346" spans="1:16" x14ac:dyDescent="0.25">
      <c r="A14346" t="s">
        <v>3296</v>
      </c>
      <c r="B14346" t="s">
        <v>2931</v>
      </c>
      <c r="C14346">
        <v>13670</v>
      </c>
      <c r="D14346" t="str">
        <f t="shared" si="232"/>
        <v xml:space="preserve">59730601    </v>
      </c>
      <c r="E14346" t="s">
        <v>1189</v>
      </c>
      <c r="F14346" t="s">
        <v>1192</v>
      </c>
      <c r="G14346">
        <v>93.33</v>
      </c>
      <c r="H14346">
        <v>250928</v>
      </c>
      <c r="I14346">
        <v>4430</v>
      </c>
      <c r="J14346" t="s">
        <v>1190</v>
      </c>
      <c r="K14346">
        <v>1113.1600000000001</v>
      </c>
      <c r="L14346">
        <v>4.67</v>
      </c>
      <c r="M14346">
        <v>11604</v>
      </c>
      <c r="N14346" t="s">
        <v>1191</v>
      </c>
      <c r="O14346">
        <v>251013</v>
      </c>
      <c r="P14346">
        <v>88.66</v>
      </c>
    </row>
    <row r="14347" spans="1:16" x14ac:dyDescent="0.25">
      <c r="A14347" t="s">
        <v>3296</v>
      </c>
      <c r="B14347" t="s">
        <v>2931</v>
      </c>
      <c r="C14347">
        <v>13670</v>
      </c>
      <c r="D14347" t="str">
        <f t="shared" si="232"/>
        <v xml:space="preserve">59730601    </v>
      </c>
      <c r="E14347" t="s">
        <v>1189</v>
      </c>
      <c r="F14347" t="s">
        <v>1192</v>
      </c>
      <c r="G14347">
        <v>88.83</v>
      </c>
      <c r="H14347">
        <v>250928</v>
      </c>
      <c r="I14347">
        <v>4430</v>
      </c>
      <c r="J14347" t="s">
        <v>1190</v>
      </c>
      <c r="K14347">
        <v>1113.1600000000001</v>
      </c>
      <c r="L14347">
        <v>4.4400000000000004</v>
      </c>
      <c r="M14347">
        <v>11604</v>
      </c>
      <c r="N14347" t="s">
        <v>1191</v>
      </c>
      <c r="O14347">
        <v>251013</v>
      </c>
      <c r="P14347">
        <v>84.39</v>
      </c>
    </row>
    <row r="14348" spans="1:16" x14ac:dyDescent="0.25">
      <c r="A14348" t="s">
        <v>3296</v>
      </c>
      <c r="B14348" t="s">
        <v>2931</v>
      </c>
      <c r="C14348">
        <v>13672</v>
      </c>
      <c r="D14348" t="str">
        <f t="shared" ref="D14348:D14361" si="233">"59736939    "</f>
        <v xml:space="preserve">59736939    </v>
      </c>
      <c r="E14348" t="s">
        <v>1189</v>
      </c>
      <c r="F14348" t="s">
        <v>1192</v>
      </c>
      <c r="G14348">
        <v>79.099999999999994</v>
      </c>
      <c r="H14348">
        <v>250928</v>
      </c>
      <c r="I14348">
        <v>4430</v>
      </c>
      <c r="J14348" t="s">
        <v>1190</v>
      </c>
      <c r="K14348">
        <v>36583.33</v>
      </c>
      <c r="L14348">
        <v>3.95</v>
      </c>
      <c r="M14348">
        <v>11604</v>
      </c>
      <c r="N14348" t="s">
        <v>1191</v>
      </c>
      <c r="O14348">
        <v>251013</v>
      </c>
      <c r="P14348">
        <v>75.150000000000006</v>
      </c>
    </row>
    <row r="14349" spans="1:16" x14ac:dyDescent="0.25">
      <c r="A14349" t="s">
        <v>3296</v>
      </c>
      <c r="B14349" t="s">
        <v>2931</v>
      </c>
      <c r="C14349">
        <v>13672</v>
      </c>
      <c r="D14349" t="str">
        <f t="shared" si="233"/>
        <v xml:space="preserve">59736939    </v>
      </c>
      <c r="E14349" t="s">
        <v>1189</v>
      </c>
      <c r="F14349" t="s">
        <v>1192</v>
      </c>
      <c r="G14349">
        <v>2009.34</v>
      </c>
      <c r="H14349">
        <v>250928</v>
      </c>
      <c r="I14349">
        <v>4430</v>
      </c>
      <c r="J14349" t="s">
        <v>1190</v>
      </c>
      <c r="K14349">
        <v>36583.33</v>
      </c>
      <c r="L14349">
        <v>100.47</v>
      </c>
      <c r="M14349">
        <v>11604</v>
      </c>
      <c r="N14349" t="s">
        <v>1191</v>
      </c>
      <c r="O14349">
        <v>251013</v>
      </c>
      <c r="P14349">
        <v>1908.87</v>
      </c>
    </row>
    <row r="14350" spans="1:16" x14ac:dyDescent="0.25">
      <c r="A14350" t="s">
        <v>3296</v>
      </c>
      <c r="B14350" t="s">
        <v>2931</v>
      </c>
      <c r="C14350">
        <v>13672</v>
      </c>
      <c r="D14350" t="str">
        <f t="shared" si="233"/>
        <v xml:space="preserve">59736939    </v>
      </c>
      <c r="E14350" t="s">
        <v>1189</v>
      </c>
      <c r="F14350" t="s">
        <v>1192</v>
      </c>
      <c r="G14350">
        <v>221.76</v>
      </c>
      <c r="H14350">
        <v>250928</v>
      </c>
      <c r="I14350">
        <v>4430</v>
      </c>
      <c r="J14350" t="s">
        <v>1190</v>
      </c>
      <c r="K14350">
        <v>36583.33</v>
      </c>
      <c r="L14350">
        <v>45.06</v>
      </c>
      <c r="M14350">
        <v>11604</v>
      </c>
      <c r="N14350" t="s">
        <v>1191</v>
      </c>
      <c r="O14350">
        <v>251013</v>
      </c>
      <c r="P14350">
        <v>176.7</v>
      </c>
    </row>
    <row r="14351" spans="1:16" x14ac:dyDescent="0.25">
      <c r="A14351" t="s">
        <v>3296</v>
      </c>
      <c r="B14351" t="s">
        <v>2931</v>
      </c>
      <c r="C14351">
        <v>13672</v>
      </c>
      <c r="D14351" t="str">
        <f t="shared" si="233"/>
        <v xml:space="preserve">59736939    </v>
      </c>
      <c r="E14351" t="s">
        <v>1189</v>
      </c>
      <c r="F14351" t="s">
        <v>1192</v>
      </c>
      <c r="G14351">
        <v>6152.17</v>
      </c>
      <c r="H14351">
        <v>250928</v>
      </c>
      <c r="I14351">
        <v>4430</v>
      </c>
      <c r="J14351" t="s">
        <v>1190</v>
      </c>
      <c r="K14351">
        <v>36583.33</v>
      </c>
      <c r="L14351">
        <v>307.61</v>
      </c>
      <c r="M14351">
        <v>11604</v>
      </c>
      <c r="N14351" t="s">
        <v>1191</v>
      </c>
      <c r="O14351">
        <v>251013</v>
      </c>
      <c r="P14351">
        <v>5844.56</v>
      </c>
    </row>
    <row r="14352" spans="1:16" x14ac:dyDescent="0.25">
      <c r="A14352" t="s">
        <v>3296</v>
      </c>
      <c r="B14352" t="s">
        <v>2931</v>
      </c>
      <c r="C14352">
        <v>13672</v>
      </c>
      <c r="D14352" t="str">
        <f t="shared" si="233"/>
        <v xml:space="preserve">59736939    </v>
      </c>
      <c r="E14352" t="s">
        <v>1189</v>
      </c>
      <c r="F14352" t="s">
        <v>1192</v>
      </c>
      <c r="G14352">
        <v>50.2</v>
      </c>
      <c r="H14352">
        <v>250928</v>
      </c>
      <c r="I14352">
        <v>4430</v>
      </c>
      <c r="J14352" t="s">
        <v>1190</v>
      </c>
      <c r="K14352">
        <v>36583.33</v>
      </c>
      <c r="L14352">
        <v>10.199999999999999</v>
      </c>
      <c r="M14352">
        <v>11604</v>
      </c>
      <c r="N14352" t="s">
        <v>1191</v>
      </c>
      <c r="O14352">
        <v>251013</v>
      </c>
      <c r="P14352">
        <v>40</v>
      </c>
    </row>
    <row r="14353" spans="1:16" x14ac:dyDescent="0.25">
      <c r="A14353" t="s">
        <v>3296</v>
      </c>
      <c r="B14353" t="s">
        <v>2931</v>
      </c>
      <c r="C14353">
        <v>13672</v>
      </c>
      <c r="D14353" t="str">
        <f t="shared" si="233"/>
        <v xml:space="preserve">59736939    </v>
      </c>
      <c r="E14353" t="s">
        <v>1189</v>
      </c>
      <c r="F14353" t="s">
        <v>1192</v>
      </c>
      <c r="G14353">
        <v>2732.3</v>
      </c>
      <c r="H14353">
        <v>250928</v>
      </c>
      <c r="I14353">
        <v>4430</v>
      </c>
      <c r="J14353" t="s">
        <v>1190</v>
      </c>
      <c r="K14353">
        <v>36583.33</v>
      </c>
      <c r="L14353">
        <v>136.61000000000001</v>
      </c>
      <c r="M14353">
        <v>11604</v>
      </c>
      <c r="N14353" t="s">
        <v>1191</v>
      </c>
      <c r="O14353">
        <v>251013</v>
      </c>
      <c r="P14353">
        <v>2595.69</v>
      </c>
    </row>
    <row r="14354" spans="1:16" x14ac:dyDescent="0.25">
      <c r="A14354" t="s">
        <v>3296</v>
      </c>
      <c r="B14354" t="s">
        <v>2931</v>
      </c>
      <c r="C14354">
        <v>13672</v>
      </c>
      <c r="D14354" t="str">
        <f t="shared" si="233"/>
        <v xml:space="preserve">59736939    </v>
      </c>
      <c r="E14354" t="s">
        <v>1189</v>
      </c>
      <c r="F14354" t="s">
        <v>1192</v>
      </c>
      <c r="G14354">
        <v>5806.31</v>
      </c>
      <c r="H14354">
        <v>250928</v>
      </c>
      <c r="I14354">
        <v>4430</v>
      </c>
      <c r="J14354" t="s">
        <v>1190</v>
      </c>
      <c r="K14354">
        <v>36583.33</v>
      </c>
      <c r="L14354">
        <v>290.32</v>
      </c>
      <c r="M14354">
        <v>11604</v>
      </c>
      <c r="N14354" t="s">
        <v>1191</v>
      </c>
      <c r="O14354">
        <v>251013</v>
      </c>
      <c r="P14354">
        <v>5515.99</v>
      </c>
    </row>
    <row r="14355" spans="1:16" x14ac:dyDescent="0.25">
      <c r="A14355" t="s">
        <v>3296</v>
      </c>
      <c r="B14355" t="s">
        <v>2931</v>
      </c>
      <c r="C14355">
        <v>13672</v>
      </c>
      <c r="D14355" t="str">
        <f t="shared" si="233"/>
        <v xml:space="preserve">59736939    </v>
      </c>
      <c r="E14355" t="s">
        <v>1189</v>
      </c>
      <c r="F14355" t="s">
        <v>1192</v>
      </c>
      <c r="G14355">
        <v>100.4</v>
      </c>
      <c r="H14355">
        <v>250928</v>
      </c>
      <c r="I14355">
        <v>4430</v>
      </c>
      <c r="J14355" t="s">
        <v>1190</v>
      </c>
      <c r="K14355">
        <v>36583.33</v>
      </c>
      <c r="L14355">
        <v>20.399999999999999</v>
      </c>
      <c r="M14355">
        <v>11604</v>
      </c>
      <c r="N14355" t="s">
        <v>1191</v>
      </c>
      <c r="O14355">
        <v>251013</v>
      </c>
      <c r="P14355">
        <v>80</v>
      </c>
    </row>
    <row r="14356" spans="1:16" x14ac:dyDescent="0.25">
      <c r="A14356" t="s">
        <v>3296</v>
      </c>
      <c r="B14356" t="s">
        <v>2931</v>
      </c>
      <c r="C14356">
        <v>13672</v>
      </c>
      <c r="D14356" t="str">
        <f t="shared" si="233"/>
        <v xml:space="preserve">59736939    </v>
      </c>
      <c r="E14356" t="s">
        <v>1189</v>
      </c>
      <c r="F14356" t="s">
        <v>1192</v>
      </c>
      <c r="G14356">
        <v>3268.88</v>
      </c>
      <c r="H14356">
        <v>250928</v>
      </c>
      <c r="I14356">
        <v>4430</v>
      </c>
      <c r="J14356" t="s">
        <v>1190</v>
      </c>
      <c r="K14356">
        <v>36583.33</v>
      </c>
      <c r="L14356">
        <v>163.44</v>
      </c>
      <c r="M14356">
        <v>11604</v>
      </c>
      <c r="N14356" t="s">
        <v>1191</v>
      </c>
      <c r="O14356">
        <v>251013</v>
      </c>
      <c r="P14356">
        <v>3105.44</v>
      </c>
    </row>
    <row r="14357" spans="1:16" x14ac:dyDescent="0.25">
      <c r="A14357" t="s">
        <v>3296</v>
      </c>
      <c r="B14357" t="s">
        <v>2931</v>
      </c>
      <c r="C14357">
        <v>13672</v>
      </c>
      <c r="D14357" t="str">
        <f t="shared" si="233"/>
        <v xml:space="preserve">59736939    </v>
      </c>
      <c r="E14357" t="s">
        <v>1189</v>
      </c>
      <c r="F14357" t="s">
        <v>1192</v>
      </c>
      <c r="G14357">
        <v>984.85</v>
      </c>
      <c r="H14357">
        <v>250928</v>
      </c>
      <c r="I14357">
        <v>4430</v>
      </c>
      <c r="J14357" t="s">
        <v>1190</v>
      </c>
      <c r="K14357">
        <v>36583.33</v>
      </c>
      <c r="L14357">
        <v>49.24</v>
      </c>
      <c r="M14357">
        <v>11604</v>
      </c>
      <c r="N14357" t="s">
        <v>1191</v>
      </c>
      <c r="O14357">
        <v>251013</v>
      </c>
      <c r="P14357">
        <v>935.61</v>
      </c>
    </row>
    <row r="14358" spans="1:16" x14ac:dyDescent="0.25">
      <c r="A14358" t="s">
        <v>3296</v>
      </c>
      <c r="B14358" t="s">
        <v>2931</v>
      </c>
      <c r="C14358">
        <v>13672</v>
      </c>
      <c r="D14358" t="str">
        <f t="shared" si="233"/>
        <v xml:space="preserve">59736939    </v>
      </c>
      <c r="E14358" t="s">
        <v>1189</v>
      </c>
      <c r="F14358" t="s">
        <v>1192</v>
      </c>
      <c r="G14358">
        <v>274.27</v>
      </c>
      <c r="H14358">
        <v>250928</v>
      </c>
      <c r="I14358">
        <v>4430</v>
      </c>
      <c r="J14358" t="s">
        <v>1190</v>
      </c>
      <c r="K14358">
        <v>36583.33</v>
      </c>
      <c r="L14358">
        <v>55.73</v>
      </c>
      <c r="M14358">
        <v>11604</v>
      </c>
      <c r="N14358" t="s">
        <v>1191</v>
      </c>
      <c r="O14358">
        <v>251013</v>
      </c>
      <c r="P14358">
        <v>218.54</v>
      </c>
    </row>
    <row r="14359" spans="1:16" x14ac:dyDescent="0.25">
      <c r="A14359" t="s">
        <v>3296</v>
      </c>
      <c r="B14359" t="s">
        <v>2931</v>
      </c>
      <c r="C14359">
        <v>13672</v>
      </c>
      <c r="D14359" t="str">
        <f t="shared" si="233"/>
        <v xml:space="preserve">59736939    </v>
      </c>
      <c r="E14359" t="s">
        <v>1189</v>
      </c>
      <c r="F14359" t="s">
        <v>1192</v>
      </c>
      <c r="G14359">
        <v>7480.18</v>
      </c>
      <c r="H14359">
        <v>250928</v>
      </c>
      <c r="I14359">
        <v>4430</v>
      </c>
      <c r="J14359" t="s">
        <v>1190</v>
      </c>
      <c r="K14359">
        <v>36583.33</v>
      </c>
      <c r="L14359">
        <v>374.01</v>
      </c>
      <c r="M14359">
        <v>11604</v>
      </c>
      <c r="N14359" t="s">
        <v>1191</v>
      </c>
      <c r="O14359">
        <v>251013</v>
      </c>
      <c r="P14359">
        <v>7106.17</v>
      </c>
    </row>
    <row r="14360" spans="1:16" x14ac:dyDescent="0.25">
      <c r="A14360" t="s">
        <v>3296</v>
      </c>
      <c r="B14360" t="s">
        <v>2931</v>
      </c>
      <c r="C14360">
        <v>13672</v>
      </c>
      <c r="D14360" t="str">
        <f t="shared" si="233"/>
        <v xml:space="preserve">59736939    </v>
      </c>
      <c r="E14360" t="s">
        <v>1189</v>
      </c>
      <c r="F14360" t="s">
        <v>1192</v>
      </c>
      <c r="G14360">
        <v>5894.76</v>
      </c>
      <c r="H14360">
        <v>250928</v>
      </c>
      <c r="I14360">
        <v>4430</v>
      </c>
      <c r="J14360" t="s">
        <v>1190</v>
      </c>
      <c r="K14360">
        <v>36583.33</v>
      </c>
      <c r="L14360">
        <v>294.74</v>
      </c>
      <c r="M14360">
        <v>11604</v>
      </c>
      <c r="N14360" t="s">
        <v>1191</v>
      </c>
      <c r="O14360">
        <v>251013</v>
      </c>
      <c r="P14360">
        <v>5600.02</v>
      </c>
    </row>
    <row r="14361" spans="1:16" x14ac:dyDescent="0.25">
      <c r="A14361" t="s">
        <v>3296</v>
      </c>
      <c r="B14361" t="s">
        <v>2931</v>
      </c>
      <c r="C14361">
        <v>13672</v>
      </c>
      <c r="D14361" t="str">
        <f t="shared" si="233"/>
        <v xml:space="preserve">59736939    </v>
      </c>
      <c r="E14361" t="s">
        <v>1189</v>
      </c>
      <c r="F14361" t="s">
        <v>1192</v>
      </c>
      <c r="G14361">
        <v>1528.81</v>
      </c>
      <c r="H14361">
        <v>250928</v>
      </c>
      <c r="I14361">
        <v>4430</v>
      </c>
      <c r="J14361" t="s">
        <v>1190</v>
      </c>
      <c r="K14361">
        <v>36583.33</v>
      </c>
      <c r="L14361">
        <v>76.44</v>
      </c>
      <c r="M14361">
        <v>11604</v>
      </c>
      <c r="N14361" t="s">
        <v>1191</v>
      </c>
      <c r="O14361">
        <v>251013</v>
      </c>
      <c r="P14361">
        <v>1452.37</v>
      </c>
    </row>
    <row r="14362" spans="1:16" x14ac:dyDescent="0.25">
      <c r="A14362" t="s">
        <v>3296</v>
      </c>
      <c r="B14362" t="s">
        <v>2931</v>
      </c>
      <c r="C14362">
        <v>13686</v>
      </c>
      <c r="D14362" t="str">
        <f>"59730785    "</f>
        <v xml:space="preserve">59730785    </v>
      </c>
      <c r="E14362" t="s">
        <v>1189</v>
      </c>
      <c r="F14362" t="s">
        <v>1192</v>
      </c>
      <c r="G14362">
        <v>282.32</v>
      </c>
      <c r="H14362">
        <v>250928</v>
      </c>
      <c r="I14362">
        <v>4430</v>
      </c>
      <c r="J14362" t="s">
        <v>1190</v>
      </c>
      <c r="K14362">
        <v>376.42</v>
      </c>
      <c r="L14362">
        <v>14.12</v>
      </c>
      <c r="M14362">
        <v>11604</v>
      </c>
      <c r="N14362" t="s">
        <v>1191</v>
      </c>
      <c r="O14362">
        <v>251014</v>
      </c>
      <c r="P14362">
        <v>268.2</v>
      </c>
    </row>
    <row r="14363" spans="1:16" x14ac:dyDescent="0.25">
      <c r="A14363" t="s">
        <v>3296</v>
      </c>
      <c r="B14363" t="s">
        <v>2931</v>
      </c>
      <c r="C14363">
        <v>13686</v>
      </c>
      <c r="D14363" t="str">
        <f>"59730785    "</f>
        <v xml:space="preserve">59730785    </v>
      </c>
      <c r="E14363" t="s">
        <v>1189</v>
      </c>
      <c r="F14363" t="s">
        <v>1192</v>
      </c>
      <c r="G14363">
        <v>94.1</v>
      </c>
      <c r="H14363">
        <v>250928</v>
      </c>
      <c r="I14363">
        <v>4430</v>
      </c>
      <c r="J14363" t="s">
        <v>1190</v>
      </c>
      <c r="K14363">
        <v>376.42</v>
      </c>
      <c r="L14363">
        <v>4.7</v>
      </c>
      <c r="M14363">
        <v>11604</v>
      </c>
      <c r="N14363" t="s">
        <v>1191</v>
      </c>
      <c r="O14363">
        <v>251014</v>
      </c>
      <c r="P14363">
        <v>89.4</v>
      </c>
    </row>
    <row r="14364" spans="1:16" x14ac:dyDescent="0.25">
      <c r="A14364" t="s">
        <v>3296</v>
      </c>
      <c r="B14364" t="s">
        <v>2931</v>
      </c>
      <c r="C14364">
        <v>15243</v>
      </c>
      <c r="D14364" t="str">
        <f t="shared" ref="D14364:D14377" si="234">"59850462    "</f>
        <v xml:space="preserve">59850462    </v>
      </c>
      <c r="E14364" t="s">
        <v>1189</v>
      </c>
      <c r="F14364" t="s">
        <v>1192</v>
      </c>
      <c r="G14364">
        <v>944.4</v>
      </c>
      <c r="H14364">
        <v>251029</v>
      </c>
      <c r="I14364">
        <v>4430</v>
      </c>
      <c r="J14364" t="s">
        <v>1190</v>
      </c>
      <c r="K14364">
        <v>47417.95</v>
      </c>
      <c r="L14364">
        <v>47.22</v>
      </c>
      <c r="M14364">
        <v>11604</v>
      </c>
      <c r="N14364" t="s">
        <v>1191</v>
      </c>
      <c r="O14364">
        <v>251117</v>
      </c>
      <c r="P14364">
        <v>897.18</v>
      </c>
    </row>
    <row r="14365" spans="1:16" x14ac:dyDescent="0.25">
      <c r="A14365" t="s">
        <v>3296</v>
      </c>
      <c r="B14365" t="s">
        <v>2931</v>
      </c>
      <c r="C14365">
        <v>15243</v>
      </c>
      <c r="D14365" t="str">
        <f t="shared" si="234"/>
        <v xml:space="preserve">59850462    </v>
      </c>
      <c r="E14365" t="s">
        <v>1189</v>
      </c>
      <c r="F14365" t="s">
        <v>1192</v>
      </c>
      <c r="G14365">
        <v>2660.54</v>
      </c>
      <c r="H14365">
        <v>251029</v>
      </c>
      <c r="I14365">
        <v>4430</v>
      </c>
      <c r="J14365" t="s">
        <v>1190</v>
      </c>
      <c r="K14365">
        <v>47417.95</v>
      </c>
      <c r="L14365">
        <v>133.03</v>
      </c>
      <c r="M14365">
        <v>11604</v>
      </c>
      <c r="N14365" t="s">
        <v>1191</v>
      </c>
      <c r="O14365">
        <v>251117</v>
      </c>
      <c r="P14365">
        <v>2527.5100000000002</v>
      </c>
    </row>
    <row r="14366" spans="1:16" x14ac:dyDescent="0.25">
      <c r="A14366" t="s">
        <v>3296</v>
      </c>
      <c r="B14366" t="s">
        <v>2931</v>
      </c>
      <c r="C14366">
        <v>15243</v>
      </c>
      <c r="D14366" t="str">
        <f t="shared" si="234"/>
        <v xml:space="preserve">59850462    </v>
      </c>
      <c r="E14366" t="s">
        <v>1189</v>
      </c>
      <c r="F14366" t="s">
        <v>1192</v>
      </c>
      <c r="G14366">
        <v>554.4</v>
      </c>
      <c r="H14366">
        <v>251029</v>
      </c>
      <c r="I14366">
        <v>4430</v>
      </c>
      <c r="J14366" t="s">
        <v>1190</v>
      </c>
      <c r="K14366">
        <v>47417.95</v>
      </c>
      <c r="L14366">
        <v>112.65</v>
      </c>
      <c r="M14366">
        <v>11604</v>
      </c>
      <c r="N14366" t="s">
        <v>1191</v>
      </c>
      <c r="O14366">
        <v>251117</v>
      </c>
      <c r="P14366">
        <v>441.75</v>
      </c>
    </row>
    <row r="14367" spans="1:16" x14ac:dyDescent="0.25">
      <c r="A14367" t="s">
        <v>3296</v>
      </c>
      <c r="B14367" t="s">
        <v>2931</v>
      </c>
      <c r="C14367">
        <v>15243</v>
      </c>
      <c r="D14367" t="str">
        <f t="shared" si="234"/>
        <v xml:space="preserve">59850462    </v>
      </c>
      <c r="E14367" t="s">
        <v>1189</v>
      </c>
      <c r="F14367" t="s">
        <v>1192</v>
      </c>
      <c r="G14367">
        <v>7216.41</v>
      </c>
      <c r="H14367">
        <v>251029</v>
      </c>
      <c r="I14367">
        <v>4430</v>
      </c>
      <c r="J14367" t="s">
        <v>1190</v>
      </c>
      <c r="K14367">
        <v>47417.95</v>
      </c>
      <c r="L14367">
        <v>360.82</v>
      </c>
      <c r="M14367">
        <v>11604</v>
      </c>
      <c r="N14367" t="s">
        <v>1191</v>
      </c>
      <c r="O14367">
        <v>251117</v>
      </c>
      <c r="P14367">
        <v>6855.59</v>
      </c>
    </row>
    <row r="14368" spans="1:16" x14ac:dyDescent="0.25">
      <c r="A14368" t="s">
        <v>3296</v>
      </c>
      <c r="B14368" t="s">
        <v>2931</v>
      </c>
      <c r="C14368">
        <v>15243</v>
      </c>
      <c r="D14368" t="str">
        <f t="shared" si="234"/>
        <v xml:space="preserve">59850462    </v>
      </c>
      <c r="E14368" t="s">
        <v>1189</v>
      </c>
      <c r="F14368" t="s">
        <v>1192</v>
      </c>
      <c r="G14368">
        <v>35.450000000000003</v>
      </c>
      <c r="H14368">
        <v>251029</v>
      </c>
      <c r="I14368">
        <v>4430</v>
      </c>
      <c r="J14368" t="s">
        <v>1190</v>
      </c>
      <c r="K14368">
        <v>47417.95</v>
      </c>
      <c r="L14368">
        <v>7.2</v>
      </c>
      <c r="M14368">
        <v>11604</v>
      </c>
      <c r="N14368" t="s">
        <v>1191</v>
      </c>
      <c r="O14368">
        <v>251117</v>
      </c>
      <c r="P14368">
        <v>28.25</v>
      </c>
    </row>
    <row r="14369" spans="1:16" x14ac:dyDescent="0.25">
      <c r="A14369" t="s">
        <v>3296</v>
      </c>
      <c r="B14369" t="s">
        <v>2931</v>
      </c>
      <c r="C14369">
        <v>15243</v>
      </c>
      <c r="D14369" t="str">
        <f t="shared" si="234"/>
        <v xml:space="preserve">59850462    </v>
      </c>
      <c r="E14369" t="s">
        <v>1189</v>
      </c>
      <c r="F14369" t="s">
        <v>1192</v>
      </c>
      <c r="G14369">
        <v>4478.18</v>
      </c>
      <c r="H14369">
        <v>251029</v>
      </c>
      <c r="I14369">
        <v>4430</v>
      </c>
      <c r="J14369" t="s">
        <v>1190</v>
      </c>
      <c r="K14369">
        <v>47417.95</v>
      </c>
      <c r="L14369">
        <v>223.91</v>
      </c>
      <c r="M14369">
        <v>11604</v>
      </c>
      <c r="N14369" t="s">
        <v>1191</v>
      </c>
      <c r="O14369">
        <v>251117</v>
      </c>
      <c r="P14369">
        <v>4254.2700000000004</v>
      </c>
    </row>
    <row r="14370" spans="1:16" x14ac:dyDescent="0.25">
      <c r="A14370" t="s">
        <v>3296</v>
      </c>
      <c r="B14370" t="s">
        <v>2931</v>
      </c>
      <c r="C14370">
        <v>15243</v>
      </c>
      <c r="D14370" t="str">
        <f t="shared" si="234"/>
        <v xml:space="preserve">59850462    </v>
      </c>
      <c r="E14370" t="s">
        <v>1189</v>
      </c>
      <c r="F14370" t="s">
        <v>1192</v>
      </c>
      <c r="G14370">
        <v>11368.5</v>
      </c>
      <c r="H14370">
        <v>251029</v>
      </c>
      <c r="I14370">
        <v>4430</v>
      </c>
      <c r="J14370" t="s">
        <v>1190</v>
      </c>
      <c r="K14370">
        <v>47417.95</v>
      </c>
      <c r="L14370">
        <v>568.41999999999996</v>
      </c>
      <c r="M14370">
        <v>11604</v>
      </c>
      <c r="N14370" t="s">
        <v>1191</v>
      </c>
      <c r="O14370">
        <v>251117</v>
      </c>
      <c r="P14370">
        <v>10800.08</v>
      </c>
    </row>
    <row r="14371" spans="1:16" x14ac:dyDescent="0.25">
      <c r="A14371" t="s">
        <v>3296</v>
      </c>
      <c r="B14371" t="s">
        <v>2931</v>
      </c>
      <c r="C14371">
        <v>15243</v>
      </c>
      <c r="D14371" t="str">
        <f t="shared" si="234"/>
        <v xml:space="preserve">59850462    </v>
      </c>
      <c r="E14371" t="s">
        <v>1189</v>
      </c>
      <c r="F14371" t="s">
        <v>1192</v>
      </c>
      <c r="G14371">
        <v>50.2</v>
      </c>
      <c r="H14371">
        <v>251029</v>
      </c>
      <c r="I14371">
        <v>4430</v>
      </c>
      <c r="J14371" t="s">
        <v>1190</v>
      </c>
      <c r="K14371">
        <v>47417.95</v>
      </c>
      <c r="L14371">
        <v>10.199999999999999</v>
      </c>
      <c r="M14371">
        <v>11604</v>
      </c>
      <c r="N14371" t="s">
        <v>1191</v>
      </c>
      <c r="O14371">
        <v>251117</v>
      </c>
      <c r="P14371">
        <v>40</v>
      </c>
    </row>
    <row r="14372" spans="1:16" x14ac:dyDescent="0.25">
      <c r="A14372" t="s">
        <v>3296</v>
      </c>
      <c r="B14372" t="s">
        <v>2931</v>
      </c>
      <c r="C14372">
        <v>15243</v>
      </c>
      <c r="D14372" t="str">
        <f t="shared" si="234"/>
        <v xml:space="preserve">59850462    </v>
      </c>
      <c r="E14372" t="s">
        <v>1189</v>
      </c>
      <c r="F14372" t="s">
        <v>1192</v>
      </c>
      <c r="G14372">
        <v>4031</v>
      </c>
      <c r="H14372">
        <v>251029</v>
      </c>
      <c r="I14372">
        <v>4430</v>
      </c>
      <c r="J14372" t="s">
        <v>1190</v>
      </c>
      <c r="K14372">
        <v>47417.95</v>
      </c>
      <c r="L14372">
        <v>201.55</v>
      </c>
      <c r="M14372">
        <v>11604</v>
      </c>
      <c r="N14372" t="s">
        <v>1191</v>
      </c>
      <c r="O14372">
        <v>251117</v>
      </c>
      <c r="P14372">
        <v>3829.45</v>
      </c>
    </row>
    <row r="14373" spans="1:16" x14ac:dyDescent="0.25">
      <c r="A14373" t="s">
        <v>3296</v>
      </c>
      <c r="B14373" t="s">
        <v>2931</v>
      </c>
      <c r="C14373">
        <v>15243</v>
      </c>
      <c r="D14373" t="str">
        <f t="shared" si="234"/>
        <v xml:space="preserve">59850462    </v>
      </c>
      <c r="E14373" t="s">
        <v>1189</v>
      </c>
      <c r="F14373" t="s">
        <v>1192</v>
      </c>
      <c r="G14373">
        <v>2152.4499999999998</v>
      </c>
      <c r="H14373">
        <v>251029</v>
      </c>
      <c r="I14373">
        <v>4430</v>
      </c>
      <c r="J14373" t="s">
        <v>1190</v>
      </c>
      <c r="K14373">
        <v>47417.95</v>
      </c>
      <c r="L14373">
        <v>107.62</v>
      </c>
      <c r="M14373">
        <v>11604</v>
      </c>
      <c r="N14373" t="s">
        <v>1191</v>
      </c>
      <c r="O14373">
        <v>251117</v>
      </c>
      <c r="P14373">
        <v>2044.83</v>
      </c>
    </row>
    <row r="14374" spans="1:16" x14ac:dyDescent="0.25">
      <c r="A14374" t="s">
        <v>3296</v>
      </c>
      <c r="B14374" t="s">
        <v>2931</v>
      </c>
      <c r="C14374">
        <v>15243</v>
      </c>
      <c r="D14374" t="str">
        <f t="shared" si="234"/>
        <v xml:space="preserve">59850462    </v>
      </c>
      <c r="E14374" t="s">
        <v>1189</v>
      </c>
      <c r="F14374" t="s">
        <v>1192</v>
      </c>
      <c r="G14374">
        <v>405.69</v>
      </c>
      <c r="H14374">
        <v>251029</v>
      </c>
      <c r="I14374">
        <v>4430</v>
      </c>
      <c r="J14374" t="s">
        <v>1190</v>
      </c>
      <c r="K14374">
        <v>47417.95</v>
      </c>
      <c r="L14374">
        <v>82.43</v>
      </c>
      <c r="M14374">
        <v>11604</v>
      </c>
      <c r="N14374" t="s">
        <v>1191</v>
      </c>
      <c r="O14374">
        <v>251117</v>
      </c>
      <c r="P14374">
        <v>323.26</v>
      </c>
    </row>
    <row r="14375" spans="1:16" x14ac:dyDescent="0.25">
      <c r="A14375" t="s">
        <v>3296</v>
      </c>
      <c r="B14375" t="s">
        <v>2931</v>
      </c>
      <c r="C14375">
        <v>15243</v>
      </c>
      <c r="D14375" t="str">
        <f t="shared" si="234"/>
        <v xml:space="preserve">59850462    </v>
      </c>
      <c r="E14375" t="s">
        <v>1189</v>
      </c>
      <c r="F14375" t="s">
        <v>1192</v>
      </c>
      <c r="G14375">
        <v>4209.7700000000004</v>
      </c>
      <c r="H14375">
        <v>251029</v>
      </c>
      <c r="I14375">
        <v>4430</v>
      </c>
      <c r="J14375" t="s">
        <v>1190</v>
      </c>
      <c r="K14375">
        <v>47417.95</v>
      </c>
      <c r="L14375">
        <v>210.49</v>
      </c>
      <c r="M14375">
        <v>11604</v>
      </c>
      <c r="N14375" t="s">
        <v>1191</v>
      </c>
      <c r="O14375">
        <v>251117</v>
      </c>
      <c r="P14375">
        <v>3999.28</v>
      </c>
    </row>
    <row r="14376" spans="1:16" x14ac:dyDescent="0.25">
      <c r="A14376" t="s">
        <v>3296</v>
      </c>
      <c r="B14376" t="s">
        <v>2931</v>
      </c>
      <c r="C14376">
        <v>15243</v>
      </c>
      <c r="D14376" t="str">
        <f t="shared" si="234"/>
        <v xml:space="preserve">59850462    </v>
      </c>
      <c r="E14376" t="s">
        <v>1189</v>
      </c>
      <c r="F14376" t="s">
        <v>1192</v>
      </c>
      <c r="G14376">
        <v>7098.45</v>
      </c>
      <c r="H14376">
        <v>251029</v>
      </c>
      <c r="I14376">
        <v>4430</v>
      </c>
      <c r="J14376" t="s">
        <v>1190</v>
      </c>
      <c r="K14376">
        <v>47417.95</v>
      </c>
      <c r="L14376">
        <v>354.92</v>
      </c>
      <c r="M14376">
        <v>11604</v>
      </c>
      <c r="N14376" t="s">
        <v>1191</v>
      </c>
      <c r="O14376">
        <v>251117</v>
      </c>
      <c r="P14376">
        <v>6743.53</v>
      </c>
    </row>
    <row r="14377" spans="1:16" x14ac:dyDescent="0.25">
      <c r="A14377" t="s">
        <v>3296</v>
      </c>
      <c r="B14377" t="s">
        <v>2931</v>
      </c>
      <c r="C14377">
        <v>15243</v>
      </c>
      <c r="D14377" t="str">
        <f t="shared" si="234"/>
        <v xml:space="preserve">59850462    </v>
      </c>
      <c r="E14377" t="s">
        <v>1189</v>
      </c>
      <c r="F14377" t="s">
        <v>1192</v>
      </c>
      <c r="G14377">
        <v>2212.5100000000002</v>
      </c>
      <c r="H14377">
        <v>251029</v>
      </c>
      <c r="I14377">
        <v>4430</v>
      </c>
      <c r="J14377" t="s">
        <v>1190</v>
      </c>
      <c r="K14377">
        <v>47417.95</v>
      </c>
      <c r="L14377">
        <v>110.63</v>
      </c>
      <c r="M14377">
        <v>11604</v>
      </c>
      <c r="N14377" t="s">
        <v>1191</v>
      </c>
      <c r="O14377">
        <v>251117</v>
      </c>
      <c r="P14377">
        <v>2101.88</v>
      </c>
    </row>
    <row r="14378" spans="1:16" x14ac:dyDescent="0.25">
      <c r="A14378" t="s">
        <v>3296</v>
      </c>
      <c r="B14378" t="s">
        <v>2931</v>
      </c>
      <c r="C14378">
        <v>15244</v>
      </c>
      <c r="D14378" t="str">
        <f>"59845755    "</f>
        <v xml:space="preserve">59845755    </v>
      </c>
      <c r="E14378" t="s">
        <v>1189</v>
      </c>
      <c r="F14378" t="s">
        <v>1192</v>
      </c>
      <c r="G14378">
        <v>318.62</v>
      </c>
      <c r="H14378">
        <v>251029</v>
      </c>
      <c r="I14378">
        <v>4430</v>
      </c>
      <c r="J14378" t="s">
        <v>1190</v>
      </c>
      <c r="K14378">
        <v>424.82</v>
      </c>
      <c r="L14378">
        <v>15.93</v>
      </c>
      <c r="M14378">
        <v>11604</v>
      </c>
      <c r="N14378" t="s">
        <v>1191</v>
      </c>
      <c r="O14378">
        <v>251117</v>
      </c>
      <c r="P14378">
        <v>302.69</v>
      </c>
    </row>
    <row r="14379" spans="1:16" x14ac:dyDescent="0.25">
      <c r="A14379" t="s">
        <v>3296</v>
      </c>
      <c r="B14379" t="s">
        <v>2931</v>
      </c>
      <c r="C14379">
        <v>15244</v>
      </c>
      <c r="D14379" t="str">
        <f>"59845755    "</f>
        <v xml:space="preserve">59845755    </v>
      </c>
      <c r="E14379" t="s">
        <v>1189</v>
      </c>
      <c r="F14379" t="s">
        <v>1192</v>
      </c>
      <c r="G14379">
        <v>106.2</v>
      </c>
      <c r="H14379">
        <v>251029</v>
      </c>
      <c r="I14379">
        <v>4430</v>
      </c>
      <c r="J14379" t="s">
        <v>1190</v>
      </c>
      <c r="K14379">
        <v>424.82</v>
      </c>
      <c r="L14379">
        <v>5.31</v>
      </c>
      <c r="M14379">
        <v>11604</v>
      </c>
      <c r="N14379" t="s">
        <v>1191</v>
      </c>
      <c r="O14379">
        <v>251117</v>
      </c>
      <c r="P14379">
        <v>100.89</v>
      </c>
    </row>
    <row r="14380" spans="1:16" x14ac:dyDescent="0.25">
      <c r="A14380" t="s">
        <v>3296</v>
      </c>
      <c r="B14380" t="s">
        <v>2931</v>
      </c>
      <c r="C14380">
        <v>15248</v>
      </c>
      <c r="D14380" t="str">
        <f t="shared" ref="D14380:D14385" si="235">"59845589    "</f>
        <v xml:space="preserve">59845589    </v>
      </c>
      <c r="E14380" t="s">
        <v>1189</v>
      </c>
      <c r="F14380" t="s">
        <v>1192</v>
      </c>
      <c r="G14380">
        <v>434.43</v>
      </c>
      <c r="H14380">
        <v>251029</v>
      </c>
      <c r="I14380">
        <v>4430</v>
      </c>
      <c r="J14380" t="s">
        <v>1190</v>
      </c>
      <c r="K14380">
        <v>1306.82</v>
      </c>
      <c r="L14380">
        <v>21.72</v>
      </c>
      <c r="M14380">
        <v>11604</v>
      </c>
      <c r="N14380" t="s">
        <v>1191</v>
      </c>
      <c r="O14380">
        <v>251117</v>
      </c>
      <c r="P14380">
        <v>412.71</v>
      </c>
    </row>
    <row r="14381" spans="1:16" x14ac:dyDescent="0.25">
      <c r="A14381" t="s">
        <v>3296</v>
      </c>
      <c r="B14381" t="s">
        <v>2931</v>
      </c>
      <c r="C14381">
        <v>15248</v>
      </c>
      <c r="D14381" t="str">
        <f t="shared" si="235"/>
        <v xml:space="preserve">59845589    </v>
      </c>
      <c r="E14381" t="s">
        <v>1189</v>
      </c>
      <c r="F14381" t="s">
        <v>1192</v>
      </c>
      <c r="G14381">
        <v>204.73</v>
      </c>
      <c r="H14381">
        <v>251029</v>
      </c>
      <c r="I14381">
        <v>4430</v>
      </c>
      <c r="J14381" t="s">
        <v>1190</v>
      </c>
      <c r="K14381">
        <v>1306.82</v>
      </c>
      <c r="L14381">
        <v>10.24</v>
      </c>
      <c r="M14381">
        <v>11604</v>
      </c>
      <c r="N14381" t="s">
        <v>1191</v>
      </c>
      <c r="O14381">
        <v>251117</v>
      </c>
      <c r="P14381">
        <v>194.49</v>
      </c>
    </row>
    <row r="14382" spans="1:16" x14ac:dyDescent="0.25">
      <c r="A14382" t="s">
        <v>3296</v>
      </c>
      <c r="B14382" t="s">
        <v>2931</v>
      </c>
      <c r="C14382">
        <v>15248</v>
      </c>
      <c r="D14382" t="str">
        <f t="shared" si="235"/>
        <v xml:space="preserve">59845589    </v>
      </c>
      <c r="E14382" t="s">
        <v>1189</v>
      </c>
      <c r="F14382" t="s">
        <v>1192</v>
      </c>
      <c r="G14382">
        <v>320</v>
      </c>
      <c r="H14382">
        <v>251029</v>
      </c>
      <c r="I14382">
        <v>4430</v>
      </c>
      <c r="J14382" t="s">
        <v>1190</v>
      </c>
      <c r="K14382">
        <v>1306.82</v>
      </c>
      <c r="L14382">
        <v>16</v>
      </c>
      <c r="M14382">
        <v>11604</v>
      </c>
      <c r="N14382" t="s">
        <v>1191</v>
      </c>
      <c r="O14382">
        <v>251117</v>
      </c>
      <c r="P14382">
        <v>304</v>
      </c>
    </row>
    <row r="14383" spans="1:16" x14ac:dyDescent="0.25">
      <c r="A14383" t="s">
        <v>3296</v>
      </c>
      <c r="B14383" t="s">
        <v>2931</v>
      </c>
      <c r="C14383">
        <v>15248</v>
      </c>
      <c r="D14383" t="str">
        <f t="shared" si="235"/>
        <v xml:space="preserve">59845589    </v>
      </c>
      <c r="E14383" t="s">
        <v>1189</v>
      </c>
      <c r="F14383" t="s">
        <v>1192</v>
      </c>
      <c r="G14383">
        <v>50.2</v>
      </c>
      <c r="H14383">
        <v>251029</v>
      </c>
      <c r="I14383">
        <v>4430</v>
      </c>
      <c r="J14383" t="s">
        <v>1190</v>
      </c>
      <c r="K14383">
        <v>1306.82</v>
      </c>
      <c r="L14383">
        <v>10.199999999999999</v>
      </c>
      <c r="M14383">
        <v>11604</v>
      </c>
      <c r="N14383" t="s">
        <v>1191</v>
      </c>
      <c r="O14383">
        <v>251117</v>
      </c>
      <c r="P14383">
        <v>40</v>
      </c>
    </row>
    <row r="14384" spans="1:16" x14ac:dyDescent="0.25">
      <c r="A14384" t="s">
        <v>3296</v>
      </c>
      <c r="B14384" t="s">
        <v>2931</v>
      </c>
      <c r="C14384">
        <v>15248</v>
      </c>
      <c r="D14384" t="str">
        <f t="shared" si="235"/>
        <v xml:space="preserve">59845589    </v>
      </c>
      <c r="E14384" t="s">
        <v>1189</v>
      </c>
      <c r="F14384" t="s">
        <v>1192</v>
      </c>
      <c r="G14384">
        <v>203.46</v>
      </c>
      <c r="H14384">
        <v>251029</v>
      </c>
      <c r="I14384">
        <v>4430</v>
      </c>
      <c r="J14384" t="s">
        <v>1190</v>
      </c>
      <c r="K14384">
        <v>1306.82</v>
      </c>
      <c r="L14384">
        <v>10.17</v>
      </c>
      <c r="M14384">
        <v>11604</v>
      </c>
      <c r="N14384" t="s">
        <v>1191</v>
      </c>
      <c r="O14384">
        <v>251117</v>
      </c>
      <c r="P14384">
        <v>193.29</v>
      </c>
    </row>
    <row r="14385" spans="1:16" x14ac:dyDescent="0.25">
      <c r="A14385" t="s">
        <v>3296</v>
      </c>
      <c r="B14385" t="s">
        <v>2931</v>
      </c>
      <c r="C14385">
        <v>15248</v>
      </c>
      <c r="D14385" t="str">
        <f t="shared" si="235"/>
        <v xml:space="preserve">59845589    </v>
      </c>
      <c r="E14385" t="s">
        <v>1189</v>
      </c>
      <c r="F14385" t="s">
        <v>1192</v>
      </c>
      <c r="G14385">
        <v>94</v>
      </c>
      <c r="H14385">
        <v>251029</v>
      </c>
      <c r="I14385">
        <v>4430</v>
      </c>
      <c r="J14385" t="s">
        <v>1190</v>
      </c>
      <c r="K14385">
        <v>1306.82</v>
      </c>
      <c r="L14385">
        <v>4.7</v>
      </c>
      <c r="M14385">
        <v>11604</v>
      </c>
      <c r="N14385" t="s">
        <v>1191</v>
      </c>
      <c r="O14385">
        <v>251117</v>
      </c>
      <c r="P14385">
        <v>89.3</v>
      </c>
    </row>
    <row r="14386" spans="1:16" x14ac:dyDescent="0.25">
      <c r="A14386" t="s">
        <v>3296</v>
      </c>
      <c r="B14386" t="s">
        <v>2931</v>
      </c>
      <c r="C14386">
        <v>16662</v>
      </c>
      <c r="D14386" t="str">
        <f>"59944945    "</f>
        <v xml:space="preserve">59944945    </v>
      </c>
      <c r="E14386" t="s">
        <v>1189</v>
      </c>
      <c r="F14386" t="s">
        <v>1192</v>
      </c>
      <c r="G14386">
        <v>470.51</v>
      </c>
      <c r="H14386">
        <v>251126</v>
      </c>
      <c r="I14386">
        <v>4430</v>
      </c>
      <c r="J14386" t="s">
        <v>1190</v>
      </c>
      <c r="K14386">
        <v>565.84</v>
      </c>
      <c r="L14386">
        <v>23.53</v>
      </c>
      <c r="M14386">
        <v>11604</v>
      </c>
      <c r="N14386" t="s">
        <v>1191</v>
      </c>
      <c r="O14386">
        <v>251211</v>
      </c>
      <c r="P14386">
        <v>446.98</v>
      </c>
    </row>
    <row r="14387" spans="1:16" x14ac:dyDescent="0.25">
      <c r="A14387" t="s">
        <v>3296</v>
      </c>
      <c r="B14387" t="s">
        <v>2931</v>
      </c>
      <c r="C14387">
        <v>16662</v>
      </c>
      <c r="D14387" t="str">
        <f>"59944945    "</f>
        <v xml:space="preserve">59944945    </v>
      </c>
      <c r="E14387" t="s">
        <v>1189</v>
      </c>
      <c r="F14387" t="s">
        <v>1192</v>
      </c>
      <c r="G14387">
        <v>95.33</v>
      </c>
      <c r="H14387">
        <v>251126</v>
      </c>
      <c r="I14387">
        <v>4430</v>
      </c>
      <c r="J14387" t="s">
        <v>1190</v>
      </c>
      <c r="K14387">
        <v>565.84</v>
      </c>
      <c r="L14387">
        <v>4.7699999999999996</v>
      </c>
      <c r="M14387">
        <v>11604</v>
      </c>
      <c r="N14387" t="s">
        <v>1191</v>
      </c>
      <c r="O14387">
        <v>251211</v>
      </c>
      <c r="P14387">
        <v>90.56</v>
      </c>
    </row>
    <row r="14388" spans="1:16" x14ac:dyDescent="0.25">
      <c r="A14388" t="s">
        <v>3296</v>
      </c>
      <c r="B14388" t="s">
        <v>2931</v>
      </c>
      <c r="C14388">
        <v>16666</v>
      </c>
      <c r="D14388" t="str">
        <f>"59945099    "</f>
        <v xml:space="preserve">59945099    </v>
      </c>
      <c r="E14388" t="s">
        <v>1189</v>
      </c>
      <c r="F14388" t="s">
        <v>1192</v>
      </c>
      <c r="G14388">
        <v>312.16000000000003</v>
      </c>
      <c r="H14388">
        <v>251126</v>
      </c>
      <c r="I14388">
        <v>4430</v>
      </c>
      <c r="J14388" t="s">
        <v>1190</v>
      </c>
      <c r="K14388">
        <v>416.22</v>
      </c>
      <c r="L14388">
        <v>15.61</v>
      </c>
      <c r="M14388">
        <v>11604</v>
      </c>
      <c r="N14388" t="s">
        <v>1191</v>
      </c>
      <c r="O14388">
        <v>251211</v>
      </c>
      <c r="P14388">
        <v>296.55</v>
      </c>
    </row>
    <row r="14389" spans="1:16" x14ac:dyDescent="0.25">
      <c r="A14389" t="s">
        <v>3296</v>
      </c>
      <c r="B14389" t="s">
        <v>2931</v>
      </c>
      <c r="C14389">
        <v>16666</v>
      </c>
      <c r="D14389" t="str">
        <f>"59945099    "</f>
        <v xml:space="preserve">59945099    </v>
      </c>
      <c r="E14389" t="s">
        <v>1189</v>
      </c>
      <c r="F14389" t="s">
        <v>1192</v>
      </c>
      <c r="G14389">
        <v>104.06</v>
      </c>
      <c r="H14389">
        <v>251126</v>
      </c>
      <c r="I14389">
        <v>4430</v>
      </c>
      <c r="J14389" t="s">
        <v>1190</v>
      </c>
      <c r="K14389">
        <v>416.22</v>
      </c>
      <c r="L14389">
        <v>5.2</v>
      </c>
      <c r="M14389">
        <v>11604</v>
      </c>
      <c r="N14389" t="s">
        <v>1191</v>
      </c>
      <c r="O14389">
        <v>251211</v>
      </c>
      <c r="P14389">
        <v>98.86</v>
      </c>
    </row>
    <row r="14390" spans="1:16" x14ac:dyDescent="0.25">
      <c r="A14390" t="s">
        <v>3296</v>
      </c>
      <c r="B14390" t="s">
        <v>2931</v>
      </c>
      <c r="C14390">
        <v>16825</v>
      </c>
      <c r="D14390" t="str">
        <f t="shared" ref="D14390:D14403" si="236">"59949468    "</f>
        <v xml:space="preserve">59949468    </v>
      </c>
      <c r="E14390" t="s">
        <v>1189</v>
      </c>
      <c r="F14390" t="s">
        <v>1192</v>
      </c>
      <c r="G14390">
        <v>364.9</v>
      </c>
      <c r="H14390">
        <v>251126</v>
      </c>
      <c r="I14390">
        <v>4430</v>
      </c>
      <c r="J14390" t="s">
        <v>1190</v>
      </c>
      <c r="K14390">
        <v>41199.33</v>
      </c>
      <c r="L14390">
        <v>18.239999999999998</v>
      </c>
      <c r="M14390">
        <v>11604</v>
      </c>
      <c r="N14390" t="s">
        <v>1191</v>
      </c>
      <c r="O14390">
        <v>251212</v>
      </c>
      <c r="P14390">
        <v>346.66</v>
      </c>
    </row>
    <row r="14391" spans="1:16" x14ac:dyDescent="0.25">
      <c r="A14391" t="s">
        <v>3296</v>
      </c>
      <c r="B14391" t="s">
        <v>2931</v>
      </c>
      <c r="C14391">
        <v>16825</v>
      </c>
      <c r="D14391" t="str">
        <f t="shared" si="236"/>
        <v xml:space="preserve">59949468    </v>
      </c>
      <c r="E14391" t="s">
        <v>1189</v>
      </c>
      <c r="F14391" t="s">
        <v>1192</v>
      </c>
      <c r="G14391">
        <v>3512.22</v>
      </c>
      <c r="H14391">
        <v>251126</v>
      </c>
      <c r="I14391">
        <v>4430</v>
      </c>
      <c r="J14391" t="s">
        <v>1190</v>
      </c>
      <c r="K14391">
        <v>41199.33</v>
      </c>
      <c r="L14391">
        <v>175.61</v>
      </c>
      <c r="M14391">
        <v>11604</v>
      </c>
      <c r="N14391" t="s">
        <v>1191</v>
      </c>
      <c r="O14391">
        <v>251212</v>
      </c>
      <c r="P14391">
        <v>3336.61</v>
      </c>
    </row>
    <row r="14392" spans="1:16" x14ac:dyDescent="0.25">
      <c r="A14392" t="s">
        <v>3296</v>
      </c>
      <c r="B14392" t="s">
        <v>2931</v>
      </c>
      <c r="C14392">
        <v>16825</v>
      </c>
      <c r="D14392" t="str">
        <f t="shared" si="236"/>
        <v xml:space="preserve">59949468    </v>
      </c>
      <c r="E14392" t="s">
        <v>1189</v>
      </c>
      <c r="F14392" t="s">
        <v>1192</v>
      </c>
      <c r="G14392">
        <v>4551.68</v>
      </c>
      <c r="H14392">
        <v>251126</v>
      </c>
      <c r="I14392">
        <v>4430</v>
      </c>
      <c r="J14392" t="s">
        <v>1190</v>
      </c>
      <c r="K14392">
        <v>41199.33</v>
      </c>
      <c r="L14392">
        <v>227.58</v>
      </c>
      <c r="M14392">
        <v>11604</v>
      </c>
      <c r="N14392" t="s">
        <v>1191</v>
      </c>
      <c r="O14392">
        <v>251212</v>
      </c>
      <c r="P14392">
        <v>4324.1000000000004</v>
      </c>
    </row>
    <row r="14393" spans="1:16" x14ac:dyDescent="0.25">
      <c r="A14393" t="s">
        <v>3296</v>
      </c>
      <c r="B14393" t="s">
        <v>2931</v>
      </c>
      <c r="C14393">
        <v>16825</v>
      </c>
      <c r="D14393" t="str">
        <f t="shared" si="236"/>
        <v xml:space="preserve">59949468    </v>
      </c>
      <c r="E14393" t="s">
        <v>1189</v>
      </c>
      <c r="F14393" t="s">
        <v>1192</v>
      </c>
      <c r="G14393">
        <v>3898.6</v>
      </c>
      <c r="H14393">
        <v>251126</v>
      </c>
      <c r="I14393">
        <v>4430</v>
      </c>
      <c r="J14393" t="s">
        <v>1190</v>
      </c>
      <c r="K14393">
        <v>41199.33</v>
      </c>
      <c r="L14393">
        <v>194.93</v>
      </c>
      <c r="M14393">
        <v>11604</v>
      </c>
      <c r="N14393" t="s">
        <v>1191</v>
      </c>
      <c r="O14393">
        <v>251212</v>
      </c>
      <c r="P14393">
        <v>3703.67</v>
      </c>
    </row>
    <row r="14394" spans="1:16" x14ac:dyDescent="0.25">
      <c r="A14394" t="s">
        <v>3296</v>
      </c>
      <c r="B14394" t="s">
        <v>2931</v>
      </c>
      <c r="C14394">
        <v>16825</v>
      </c>
      <c r="D14394" t="str">
        <f t="shared" si="236"/>
        <v xml:space="preserve">59949468    </v>
      </c>
      <c r="E14394" t="s">
        <v>1189</v>
      </c>
      <c r="F14394" t="s">
        <v>1192</v>
      </c>
      <c r="G14394">
        <v>10613.26</v>
      </c>
      <c r="H14394">
        <v>251126</v>
      </c>
      <c r="I14394">
        <v>4430</v>
      </c>
      <c r="J14394" t="s">
        <v>1190</v>
      </c>
      <c r="K14394">
        <v>41199.33</v>
      </c>
      <c r="L14394">
        <v>530.66</v>
      </c>
      <c r="M14394">
        <v>11604</v>
      </c>
      <c r="N14394" t="s">
        <v>1191</v>
      </c>
      <c r="O14394">
        <v>251212</v>
      </c>
      <c r="P14394">
        <v>10082.6</v>
      </c>
    </row>
    <row r="14395" spans="1:16" x14ac:dyDescent="0.25">
      <c r="A14395" t="s">
        <v>3296</v>
      </c>
      <c r="B14395" t="s">
        <v>2931</v>
      </c>
      <c r="C14395">
        <v>16825</v>
      </c>
      <c r="D14395" t="str">
        <f t="shared" si="236"/>
        <v xml:space="preserve">59949468    </v>
      </c>
      <c r="E14395" t="s">
        <v>1189</v>
      </c>
      <c r="F14395" t="s">
        <v>1192</v>
      </c>
      <c r="G14395">
        <v>4424.42</v>
      </c>
      <c r="H14395">
        <v>251126</v>
      </c>
      <c r="I14395">
        <v>4430</v>
      </c>
      <c r="J14395" t="s">
        <v>1190</v>
      </c>
      <c r="K14395">
        <v>41199.33</v>
      </c>
      <c r="L14395">
        <v>221.22</v>
      </c>
      <c r="M14395">
        <v>11604</v>
      </c>
      <c r="N14395" t="s">
        <v>1191</v>
      </c>
      <c r="O14395">
        <v>251212</v>
      </c>
      <c r="P14395">
        <v>4203.2</v>
      </c>
    </row>
    <row r="14396" spans="1:16" x14ac:dyDescent="0.25">
      <c r="A14396" t="s">
        <v>3296</v>
      </c>
      <c r="B14396" t="s">
        <v>2931</v>
      </c>
      <c r="C14396">
        <v>16825</v>
      </c>
      <c r="D14396" t="str">
        <f t="shared" si="236"/>
        <v xml:space="preserve">59949468    </v>
      </c>
      <c r="E14396" t="s">
        <v>1189</v>
      </c>
      <c r="F14396" t="s">
        <v>1192</v>
      </c>
      <c r="G14396">
        <v>734.04</v>
      </c>
      <c r="H14396">
        <v>251126</v>
      </c>
      <c r="I14396">
        <v>4430</v>
      </c>
      <c r="J14396" t="s">
        <v>1190</v>
      </c>
      <c r="K14396">
        <v>41199.33</v>
      </c>
      <c r="L14396">
        <v>36.700000000000003</v>
      </c>
      <c r="M14396">
        <v>11604</v>
      </c>
      <c r="N14396" t="s">
        <v>1191</v>
      </c>
      <c r="O14396">
        <v>251212</v>
      </c>
      <c r="P14396">
        <v>697.34</v>
      </c>
    </row>
    <row r="14397" spans="1:16" x14ac:dyDescent="0.25">
      <c r="A14397" t="s">
        <v>3296</v>
      </c>
      <c r="B14397" t="s">
        <v>2931</v>
      </c>
      <c r="C14397">
        <v>16825</v>
      </c>
      <c r="D14397" t="str">
        <f t="shared" si="236"/>
        <v xml:space="preserve">59949468    </v>
      </c>
      <c r="E14397" t="s">
        <v>1189</v>
      </c>
      <c r="F14397" t="s">
        <v>1192</v>
      </c>
      <c r="G14397">
        <v>294.8</v>
      </c>
      <c r="H14397">
        <v>251126</v>
      </c>
      <c r="I14397">
        <v>4430</v>
      </c>
      <c r="J14397" t="s">
        <v>1190</v>
      </c>
      <c r="K14397">
        <v>41199.33</v>
      </c>
      <c r="L14397">
        <v>59.9</v>
      </c>
      <c r="M14397">
        <v>11604</v>
      </c>
      <c r="N14397" t="s">
        <v>1191</v>
      </c>
      <c r="O14397">
        <v>251212</v>
      </c>
      <c r="P14397">
        <v>234.9</v>
      </c>
    </row>
    <row r="14398" spans="1:16" x14ac:dyDescent="0.25">
      <c r="A14398" t="s">
        <v>3296</v>
      </c>
      <c r="B14398" t="s">
        <v>2931</v>
      </c>
      <c r="C14398">
        <v>16825</v>
      </c>
      <c r="D14398" t="str">
        <f t="shared" si="236"/>
        <v xml:space="preserve">59949468    </v>
      </c>
      <c r="E14398" t="s">
        <v>1189</v>
      </c>
      <c r="F14398" t="s">
        <v>1192</v>
      </c>
      <c r="G14398">
        <v>5206.51</v>
      </c>
      <c r="H14398">
        <v>251126</v>
      </c>
      <c r="I14398">
        <v>4430</v>
      </c>
      <c r="J14398" t="s">
        <v>1190</v>
      </c>
      <c r="K14398">
        <v>41199.33</v>
      </c>
      <c r="L14398">
        <v>260.33</v>
      </c>
      <c r="M14398">
        <v>11604</v>
      </c>
      <c r="N14398" t="s">
        <v>1191</v>
      </c>
      <c r="O14398">
        <v>251212</v>
      </c>
      <c r="P14398">
        <v>4946.18</v>
      </c>
    </row>
    <row r="14399" spans="1:16" x14ac:dyDescent="0.25">
      <c r="A14399" t="s">
        <v>3296</v>
      </c>
      <c r="B14399" t="s">
        <v>2931</v>
      </c>
      <c r="C14399">
        <v>16825</v>
      </c>
      <c r="D14399" t="str">
        <f t="shared" si="236"/>
        <v xml:space="preserve">59949468    </v>
      </c>
      <c r="E14399" t="s">
        <v>1189</v>
      </c>
      <c r="F14399" t="s">
        <v>1192</v>
      </c>
      <c r="G14399">
        <v>6719.82</v>
      </c>
      <c r="H14399">
        <v>251126</v>
      </c>
      <c r="I14399">
        <v>4430</v>
      </c>
      <c r="J14399" t="s">
        <v>1190</v>
      </c>
      <c r="K14399">
        <v>41199.33</v>
      </c>
      <c r="L14399">
        <v>335.99</v>
      </c>
      <c r="M14399">
        <v>11604</v>
      </c>
      <c r="N14399" t="s">
        <v>1191</v>
      </c>
      <c r="O14399">
        <v>251212</v>
      </c>
      <c r="P14399">
        <v>6383.83</v>
      </c>
    </row>
    <row r="14400" spans="1:16" x14ac:dyDescent="0.25">
      <c r="A14400" t="s">
        <v>3296</v>
      </c>
      <c r="B14400" t="s">
        <v>2931</v>
      </c>
      <c r="C14400">
        <v>16825</v>
      </c>
      <c r="D14400" t="str">
        <f t="shared" si="236"/>
        <v xml:space="preserve">59949468    </v>
      </c>
      <c r="E14400" t="s">
        <v>1189</v>
      </c>
      <c r="F14400" t="s">
        <v>1192</v>
      </c>
      <c r="G14400">
        <v>471.98</v>
      </c>
      <c r="H14400">
        <v>251126</v>
      </c>
      <c r="I14400">
        <v>4430</v>
      </c>
      <c r="J14400" t="s">
        <v>1190</v>
      </c>
      <c r="K14400">
        <v>41199.33</v>
      </c>
      <c r="L14400">
        <v>23.6</v>
      </c>
      <c r="M14400">
        <v>11604</v>
      </c>
      <c r="N14400" t="s">
        <v>1191</v>
      </c>
      <c r="O14400">
        <v>251212</v>
      </c>
      <c r="P14400">
        <v>448.38</v>
      </c>
    </row>
    <row r="14401" spans="1:16" x14ac:dyDescent="0.25">
      <c r="A14401" t="s">
        <v>3296</v>
      </c>
      <c r="B14401" t="s">
        <v>2931</v>
      </c>
      <c r="C14401">
        <v>16825</v>
      </c>
      <c r="D14401" t="str">
        <f t="shared" si="236"/>
        <v xml:space="preserve">59949468    </v>
      </c>
      <c r="E14401" t="s">
        <v>1189</v>
      </c>
      <c r="F14401" t="s">
        <v>1192</v>
      </c>
      <c r="G14401">
        <v>135.69999999999999</v>
      </c>
      <c r="H14401">
        <v>251126</v>
      </c>
      <c r="I14401">
        <v>4430</v>
      </c>
      <c r="J14401" t="s">
        <v>1190</v>
      </c>
      <c r="K14401">
        <v>41199.33</v>
      </c>
      <c r="L14401">
        <v>27.57</v>
      </c>
      <c r="M14401">
        <v>44222</v>
      </c>
      <c r="N14401" t="s">
        <v>96</v>
      </c>
      <c r="O14401">
        <v>251212</v>
      </c>
      <c r="P14401">
        <v>108.13</v>
      </c>
    </row>
    <row r="14402" spans="1:16" x14ac:dyDescent="0.25">
      <c r="A14402" t="s">
        <v>3296</v>
      </c>
      <c r="B14402" t="s">
        <v>2931</v>
      </c>
      <c r="C14402">
        <v>16825</v>
      </c>
      <c r="D14402" t="str">
        <f t="shared" si="236"/>
        <v xml:space="preserve">59949468    </v>
      </c>
      <c r="E14402" t="s">
        <v>1189</v>
      </c>
      <c r="F14402" t="s">
        <v>1192</v>
      </c>
      <c r="G14402">
        <v>135.69999999999999</v>
      </c>
      <c r="H14402">
        <v>251126</v>
      </c>
      <c r="I14402">
        <v>4430</v>
      </c>
      <c r="J14402" t="s">
        <v>1190</v>
      </c>
      <c r="K14402">
        <v>41199.33</v>
      </c>
      <c r="L14402">
        <v>27.57</v>
      </c>
      <c r="M14402">
        <v>46554</v>
      </c>
      <c r="N14402" t="s">
        <v>102</v>
      </c>
      <c r="O14402">
        <v>251212</v>
      </c>
      <c r="P14402">
        <v>108.13</v>
      </c>
    </row>
    <row r="14403" spans="1:16" x14ac:dyDescent="0.25">
      <c r="A14403" t="s">
        <v>3296</v>
      </c>
      <c r="B14403" t="s">
        <v>2931</v>
      </c>
      <c r="C14403">
        <v>16825</v>
      </c>
      <c r="D14403" t="str">
        <f t="shared" si="236"/>
        <v xml:space="preserve">59949468    </v>
      </c>
      <c r="E14403" t="s">
        <v>1189</v>
      </c>
      <c r="F14403" t="s">
        <v>1192</v>
      </c>
      <c r="G14403">
        <v>135.69999999999999</v>
      </c>
      <c r="H14403">
        <v>251126</v>
      </c>
      <c r="I14403">
        <v>4430</v>
      </c>
      <c r="J14403" t="s">
        <v>1190</v>
      </c>
      <c r="K14403">
        <v>41199.33</v>
      </c>
      <c r="L14403">
        <v>27.57</v>
      </c>
      <c r="M14403">
        <v>48601</v>
      </c>
      <c r="N14403" t="s">
        <v>107</v>
      </c>
      <c r="O14403">
        <v>251212</v>
      </c>
      <c r="P14403">
        <v>108.13</v>
      </c>
    </row>
    <row r="14404" spans="1:16" x14ac:dyDescent="0.25">
      <c r="A14404" t="s">
        <v>3296</v>
      </c>
      <c r="B14404" t="s">
        <v>2931</v>
      </c>
      <c r="C14404">
        <v>18206</v>
      </c>
      <c r="D14404" t="str">
        <f>"60057777    "</f>
        <v xml:space="preserve">60057777    </v>
      </c>
      <c r="E14404" t="s">
        <v>1189</v>
      </c>
      <c r="F14404" t="s">
        <v>1192</v>
      </c>
      <c r="G14404">
        <v>2</v>
      </c>
      <c r="H14404">
        <v>251229</v>
      </c>
      <c r="I14404">
        <v>4430</v>
      </c>
      <c r="J14404" t="s">
        <v>1190</v>
      </c>
      <c r="K14404">
        <v>2</v>
      </c>
      <c r="L14404">
        <v>0.1</v>
      </c>
      <c r="M14404">
        <v>11604</v>
      </c>
      <c r="N14404" t="s">
        <v>1191</v>
      </c>
      <c r="O14404">
        <v>260112</v>
      </c>
      <c r="P14404">
        <v>1.9</v>
      </c>
    </row>
    <row r="14405" spans="1:16" x14ac:dyDescent="0.25">
      <c r="A14405" t="s">
        <v>3296</v>
      </c>
      <c r="B14405" t="s">
        <v>2931</v>
      </c>
      <c r="C14405">
        <v>18233</v>
      </c>
      <c r="D14405" t="str">
        <f t="shared" ref="D14405:D14411" si="237">"60050180    "</f>
        <v xml:space="preserve">60050180    </v>
      </c>
      <c r="E14405" t="s">
        <v>1189</v>
      </c>
      <c r="F14405" t="s">
        <v>1192</v>
      </c>
      <c r="G14405">
        <v>50.2</v>
      </c>
      <c r="H14405">
        <v>251229</v>
      </c>
      <c r="I14405">
        <v>4430</v>
      </c>
      <c r="J14405" t="s">
        <v>1190</v>
      </c>
      <c r="K14405">
        <v>910.69</v>
      </c>
      <c r="L14405">
        <v>10.199999999999999</v>
      </c>
      <c r="M14405">
        <v>11604</v>
      </c>
      <c r="N14405" t="s">
        <v>1191</v>
      </c>
      <c r="O14405">
        <v>260112</v>
      </c>
      <c r="P14405">
        <v>40</v>
      </c>
    </row>
    <row r="14406" spans="1:16" x14ac:dyDescent="0.25">
      <c r="A14406" t="s">
        <v>3296</v>
      </c>
      <c r="B14406" t="s">
        <v>2931</v>
      </c>
      <c r="C14406">
        <v>18233</v>
      </c>
      <c r="D14406" t="str">
        <f t="shared" si="237"/>
        <v xml:space="preserve">60050180    </v>
      </c>
      <c r="E14406" t="s">
        <v>1189</v>
      </c>
      <c r="F14406" t="s">
        <v>1192</v>
      </c>
      <c r="G14406">
        <v>32</v>
      </c>
      <c r="H14406">
        <v>251229</v>
      </c>
      <c r="I14406">
        <v>4430</v>
      </c>
      <c r="J14406" t="s">
        <v>1190</v>
      </c>
      <c r="K14406">
        <v>910.69</v>
      </c>
      <c r="L14406">
        <v>1.6</v>
      </c>
      <c r="M14406">
        <v>11604</v>
      </c>
      <c r="N14406" t="s">
        <v>1191</v>
      </c>
      <c r="O14406">
        <v>260112</v>
      </c>
      <c r="P14406">
        <v>30.4</v>
      </c>
    </row>
    <row r="14407" spans="1:16" x14ac:dyDescent="0.25">
      <c r="A14407" t="s">
        <v>3296</v>
      </c>
      <c r="B14407" t="s">
        <v>2931</v>
      </c>
      <c r="C14407">
        <v>18233</v>
      </c>
      <c r="D14407" t="str">
        <f t="shared" si="237"/>
        <v xml:space="preserve">60050180    </v>
      </c>
      <c r="E14407" t="s">
        <v>1189</v>
      </c>
      <c r="F14407" t="s">
        <v>1192</v>
      </c>
      <c r="G14407">
        <v>53</v>
      </c>
      <c r="H14407">
        <v>251229</v>
      </c>
      <c r="I14407">
        <v>4430</v>
      </c>
      <c r="J14407" t="s">
        <v>1190</v>
      </c>
      <c r="K14407">
        <v>910.69</v>
      </c>
      <c r="L14407">
        <v>2.65</v>
      </c>
      <c r="M14407">
        <v>11604</v>
      </c>
      <c r="N14407" t="s">
        <v>1191</v>
      </c>
      <c r="O14407">
        <v>260112</v>
      </c>
      <c r="P14407">
        <v>50.35</v>
      </c>
    </row>
    <row r="14408" spans="1:16" x14ac:dyDescent="0.25">
      <c r="A14408" t="s">
        <v>3296</v>
      </c>
      <c r="B14408" t="s">
        <v>2931</v>
      </c>
      <c r="C14408">
        <v>18233</v>
      </c>
      <c r="D14408" t="str">
        <f t="shared" si="237"/>
        <v xml:space="preserve">60050180    </v>
      </c>
      <c r="E14408" t="s">
        <v>1189</v>
      </c>
      <c r="F14408" t="s">
        <v>1192</v>
      </c>
      <c r="G14408">
        <v>110.7</v>
      </c>
      <c r="H14408">
        <v>251229</v>
      </c>
      <c r="I14408">
        <v>4430</v>
      </c>
      <c r="J14408" t="s">
        <v>1190</v>
      </c>
      <c r="K14408">
        <v>910.69</v>
      </c>
      <c r="L14408">
        <v>5.53</v>
      </c>
      <c r="M14408">
        <v>11604</v>
      </c>
      <c r="N14408" t="s">
        <v>1191</v>
      </c>
      <c r="O14408">
        <v>260112</v>
      </c>
      <c r="P14408">
        <v>105.17</v>
      </c>
    </row>
    <row r="14409" spans="1:16" x14ac:dyDescent="0.25">
      <c r="A14409" t="s">
        <v>3296</v>
      </c>
      <c r="B14409" t="s">
        <v>2931</v>
      </c>
      <c r="C14409">
        <v>18233</v>
      </c>
      <c r="D14409" t="str">
        <f t="shared" si="237"/>
        <v xml:space="preserve">60050180    </v>
      </c>
      <c r="E14409" t="s">
        <v>1189</v>
      </c>
      <c r="F14409" t="s">
        <v>1192</v>
      </c>
      <c r="G14409">
        <v>545.12</v>
      </c>
      <c r="H14409">
        <v>251229</v>
      </c>
      <c r="I14409">
        <v>4430</v>
      </c>
      <c r="J14409" t="s">
        <v>1190</v>
      </c>
      <c r="K14409">
        <v>910.69</v>
      </c>
      <c r="L14409">
        <v>27.26</v>
      </c>
      <c r="M14409">
        <v>11604</v>
      </c>
      <c r="N14409" t="s">
        <v>1191</v>
      </c>
      <c r="O14409">
        <v>260112</v>
      </c>
      <c r="P14409">
        <v>517.86</v>
      </c>
    </row>
    <row r="14410" spans="1:16" x14ac:dyDescent="0.25">
      <c r="A14410" t="s">
        <v>3296</v>
      </c>
      <c r="B14410" t="s">
        <v>2931</v>
      </c>
      <c r="C14410">
        <v>18233</v>
      </c>
      <c r="D14410" t="str">
        <f t="shared" si="237"/>
        <v xml:space="preserve">60050180    </v>
      </c>
      <c r="E14410" t="s">
        <v>1189</v>
      </c>
      <c r="F14410" t="s">
        <v>1192</v>
      </c>
      <c r="G14410">
        <v>34.67</v>
      </c>
      <c r="H14410">
        <v>251229</v>
      </c>
      <c r="I14410">
        <v>4430</v>
      </c>
      <c r="J14410" t="s">
        <v>1190</v>
      </c>
      <c r="K14410">
        <v>910.69</v>
      </c>
      <c r="L14410">
        <v>1.73</v>
      </c>
      <c r="M14410">
        <v>11604</v>
      </c>
      <c r="N14410" t="s">
        <v>1191</v>
      </c>
      <c r="O14410">
        <v>260112</v>
      </c>
      <c r="P14410">
        <v>32.94</v>
      </c>
    </row>
    <row r="14411" spans="1:16" x14ac:dyDescent="0.25">
      <c r="A14411" t="s">
        <v>3296</v>
      </c>
      <c r="B14411" t="s">
        <v>2931</v>
      </c>
      <c r="C14411">
        <v>18233</v>
      </c>
      <c r="D14411" t="str">
        <f t="shared" si="237"/>
        <v xml:space="preserve">60050180    </v>
      </c>
      <c r="E14411" t="s">
        <v>1189</v>
      </c>
      <c r="F14411" t="s">
        <v>1192</v>
      </c>
      <c r="G14411">
        <v>85</v>
      </c>
      <c r="H14411">
        <v>251229</v>
      </c>
      <c r="I14411">
        <v>4430</v>
      </c>
      <c r="J14411" t="s">
        <v>1190</v>
      </c>
      <c r="K14411">
        <v>910.69</v>
      </c>
      <c r="L14411">
        <v>4.25</v>
      </c>
      <c r="M14411">
        <v>11604</v>
      </c>
      <c r="N14411" t="s">
        <v>1191</v>
      </c>
      <c r="O14411">
        <v>260112</v>
      </c>
      <c r="P14411">
        <v>80.75</v>
      </c>
    </row>
    <row r="14412" spans="1:16" x14ac:dyDescent="0.25">
      <c r="A14412" t="s">
        <v>3296</v>
      </c>
      <c r="B14412" t="s">
        <v>2931</v>
      </c>
      <c r="C14412">
        <v>18300</v>
      </c>
      <c r="D14412" t="str">
        <f t="shared" ref="D14412:D14424" si="238">"60060448    "</f>
        <v xml:space="preserve">60060448    </v>
      </c>
      <c r="E14412" t="s">
        <v>1189</v>
      </c>
      <c r="F14412" t="s">
        <v>1192</v>
      </c>
      <c r="G14412">
        <v>474.93</v>
      </c>
      <c r="H14412">
        <v>251229</v>
      </c>
      <c r="I14412">
        <v>4430</v>
      </c>
      <c r="J14412" t="s">
        <v>1190</v>
      </c>
      <c r="K14412">
        <v>32056.65</v>
      </c>
      <c r="L14412">
        <v>23.75</v>
      </c>
      <c r="M14412">
        <v>11604</v>
      </c>
      <c r="N14412" t="s">
        <v>1191</v>
      </c>
      <c r="O14412">
        <v>260113</v>
      </c>
      <c r="P14412">
        <v>451.18</v>
      </c>
    </row>
    <row r="14413" spans="1:16" x14ac:dyDescent="0.25">
      <c r="A14413" t="s">
        <v>3296</v>
      </c>
      <c r="B14413" t="s">
        <v>2931</v>
      </c>
      <c r="C14413">
        <v>18300</v>
      </c>
      <c r="D14413" t="str">
        <f t="shared" si="238"/>
        <v xml:space="preserve">60060448    </v>
      </c>
      <c r="E14413" t="s">
        <v>1189</v>
      </c>
      <c r="F14413" t="s">
        <v>1192</v>
      </c>
      <c r="G14413">
        <v>1191.55</v>
      </c>
      <c r="H14413">
        <v>251229</v>
      </c>
      <c r="I14413">
        <v>4430</v>
      </c>
      <c r="J14413" t="s">
        <v>1190</v>
      </c>
      <c r="K14413">
        <v>32056.65</v>
      </c>
      <c r="L14413">
        <v>59.58</v>
      </c>
      <c r="M14413">
        <v>11604</v>
      </c>
      <c r="N14413" t="s">
        <v>1191</v>
      </c>
      <c r="O14413">
        <v>260113</v>
      </c>
      <c r="P14413">
        <v>1131.97</v>
      </c>
    </row>
    <row r="14414" spans="1:16" x14ac:dyDescent="0.25">
      <c r="A14414" t="s">
        <v>3296</v>
      </c>
      <c r="B14414" t="s">
        <v>2931</v>
      </c>
      <c r="C14414">
        <v>18300</v>
      </c>
      <c r="D14414" t="str">
        <f t="shared" si="238"/>
        <v xml:space="preserve">60060448    </v>
      </c>
      <c r="E14414" t="s">
        <v>1189</v>
      </c>
      <c r="F14414" t="s">
        <v>1192</v>
      </c>
      <c r="G14414">
        <v>6212.09</v>
      </c>
      <c r="H14414">
        <v>251229</v>
      </c>
      <c r="I14414">
        <v>4430</v>
      </c>
      <c r="J14414" t="s">
        <v>1190</v>
      </c>
      <c r="K14414">
        <v>32056.65</v>
      </c>
      <c r="L14414">
        <v>310.60000000000002</v>
      </c>
      <c r="M14414">
        <v>11604</v>
      </c>
      <c r="N14414" t="s">
        <v>1191</v>
      </c>
      <c r="O14414">
        <v>260113</v>
      </c>
      <c r="P14414">
        <v>5901.49</v>
      </c>
    </row>
    <row r="14415" spans="1:16" x14ac:dyDescent="0.25">
      <c r="A14415" t="s">
        <v>3296</v>
      </c>
      <c r="B14415" t="s">
        <v>2931</v>
      </c>
      <c r="C14415">
        <v>18300</v>
      </c>
      <c r="D14415" t="str">
        <f t="shared" si="238"/>
        <v xml:space="preserve">60060448    </v>
      </c>
      <c r="E14415" t="s">
        <v>1189</v>
      </c>
      <c r="F14415" t="s">
        <v>1192</v>
      </c>
      <c r="G14415">
        <v>3419.5</v>
      </c>
      <c r="H14415">
        <v>251229</v>
      </c>
      <c r="I14415">
        <v>4430</v>
      </c>
      <c r="J14415" t="s">
        <v>1190</v>
      </c>
      <c r="K14415">
        <v>32056.65</v>
      </c>
      <c r="L14415">
        <v>170.97</v>
      </c>
      <c r="M14415">
        <v>11604</v>
      </c>
      <c r="N14415" t="s">
        <v>1191</v>
      </c>
      <c r="O14415">
        <v>260113</v>
      </c>
      <c r="P14415">
        <v>3248.53</v>
      </c>
    </row>
    <row r="14416" spans="1:16" x14ac:dyDescent="0.25">
      <c r="A14416" t="s">
        <v>3296</v>
      </c>
      <c r="B14416" t="s">
        <v>2931</v>
      </c>
      <c r="C14416">
        <v>18300</v>
      </c>
      <c r="D14416" t="str">
        <f t="shared" si="238"/>
        <v xml:space="preserve">60060448    </v>
      </c>
      <c r="E14416" t="s">
        <v>1189</v>
      </c>
      <c r="F14416" t="s">
        <v>1192</v>
      </c>
      <c r="G14416">
        <v>102.42</v>
      </c>
      <c r="H14416">
        <v>251229</v>
      </c>
      <c r="I14416">
        <v>4430</v>
      </c>
      <c r="J14416" t="s">
        <v>1190</v>
      </c>
      <c r="K14416">
        <v>32056.65</v>
      </c>
      <c r="L14416">
        <v>20.81</v>
      </c>
      <c r="M14416">
        <v>11604</v>
      </c>
      <c r="N14416" t="s">
        <v>1191</v>
      </c>
      <c r="O14416">
        <v>260113</v>
      </c>
      <c r="P14416">
        <v>81.61</v>
      </c>
    </row>
    <row r="14417" spans="1:16" x14ac:dyDescent="0.25">
      <c r="A14417" t="s">
        <v>3296</v>
      </c>
      <c r="B14417" t="s">
        <v>2931</v>
      </c>
      <c r="C14417">
        <v>18300</v>
      </c>
      <c r="D14417" t="str">
        <f t="shared" si="238"/>
        <v xml:space="preserve">60060448    </v>
      </c>
      <c r="E14417" t="s">
        <v>1189</v>
      </c>
      <c r="F14417" t="s">
        <v>1192</v>
      </c>
      <c r="G14417">
        <v>6437.67</v>
      </c>
      <c r="H14417">
        <v>251229</v>
      </c>
      <c r="I14417">
        <v>4430</v>
      </c>
      <c r="J14417" t="s">
        <v>1190</v>
      </c>
      <c r="K14417">
        <v>32056.65</v>
      </c>
      <c r="L14417">
        <v>321.88</v>
      </c>
      <c r="M14417">
        <v>11604</v>
      </c>
      <c r="N14417" t="s">
        <v>1191</v>
      </c>
      <c r="O14417">
        <v>260113</v>
      </c>
      <c r="P14417">
        <v>6115.79</v>
      </c>
    </row>
    <row r="14418" spans="1:16" x14ac:dyDescent="0.25">
      <c r="A14418" t="s">
        <v>3296</v>
      </c>
      <c r="B14418" t="s">
        <v>2931</v>
      </c>
      <c r="C14418">
        <v>18300</v>
      </c>
      <c r="D14418" t="str">
        <f t="shared" si="238"/>
        <v xml:space="preserve">60060448    </v>
      </c>
      <c r="E14418" t="s">
        <v>1189</v>
      </c>
      <c r="F14418" t="s">
        <v>1192</v>
      </c>
      <c r="G14418">
        <v>221.76</v>
      </c>
      <c r="H14418">
        <v>251229</v>
      </c>
      <c r="I14418">
        <v>4430</v>
      </c>
      <c r="J14418" t="s">
        <v>1190</v>
      </c>
      <c r="K14418">
        <v>32056.65</v>
      </c>
      <c r="L14418">
        <v>45.06</v>
      </c>
      <c r="M14418">
        <v>11604</v>
      </c>
      <c r="N14418" t="s">
        <v>1191</v>
      </c>
      <c r="O14418">
        <v>260113</v>
      </c>
      <c r="P14418">
        <v>176.7</v>
      </c>
    </row>
    <row r="14419" spans="1:16" x14ac:dyDescent="0.25">
      <c r="A14419" t="s">
        <v>3296</v>
      </c>
      <c r="B14419" t="s">
        <v>2931</v>
      </c>
      <c r="C14419">
        <v>18300</v>
      </c>
      <c r="D14419" t="str">
        <f t="shared" si="238"/>
        <v xml:space="preserve">60060448    </v>
      </c>
      <c r="E14419" t="s">
        <v>1189</v>
      </c>
      <c r="F14419" t="s">
        <v>1192</v>
      </c>
      <c r="G14419">
        <v>2643.02</v>
      </c>
      <c r="H14419">
        <v>251229</v>
      </c>
      <c r="I14419">
        <v>4430</v>
      </c>
      <c r="J14419" t="s">
        <v>1190</v>
      </c>
      <c r="K14419">
        <v>32056.65</v>
      </c>
      <c r="L14419">
        <v>132.15</v>
      </c>
      <c r="M14419">
        <v>11604</v>
      </c>
      <c r="N14419" t="s">
        <v>1191</v>
      </c>
      <c r="O14419">
        <v>260113</v>
      </c>
      <c r="P14419">
        <v>2510.87</v>
      </c>
    </row>
    <row r="14420" spans="1:16" x14ac:dyDescent="0.25">
      <c r="A14420" t="s">
        <v>3296</v>
      </c>
      <c r="B14420" t="s">
        <v>2931</v>
      </c>
      <c r="C14420">
        <v>18300</v>
      </c>
      <c r="D14420" t="str">
        <f t="shared" si="238"/>
        <v xml:space="preserve">60060448    </v>
      </c>
      <c r="E14420" t="s">
        <v>1189</v>
      </c>
      <c r="F14420" t="s">
        <v>1192</v>
      </c>
      <c r="G14420">
        <v>2058.64</v>
      </c>
      <c r="H14420">
        <v>251229</v>
      </c>
      <c r="I14420">
        <v>4430</v>
      </c>
      <c r="J14420" t="s">
        <v>1190</v>
      </c>
      <c r="K14420">
        <v>32056.65</v>
      </c>
      <c r="L14420">
        <v>102.93</v>
      </c>
      <c r="M14420">
        <v>11604</v>
      </c>
      <c r="N14420" t="s">
        <v>1191</v>
      </c>
      <c r="O14420">
        <v>260113</v>
      </c>
      <c r="P14420">
        <v>1955.71</v>
      </c>
    </row>
    <row r="14421" spans="1:16" x14ac:dyDescent="0.25">
      <c r="A14421" t="s">
        <v>3296</v>
      </c>
      <c r="B14421" t="s">
        <v>2931</v>
      </c>
      <c r="C14421">
        <v>18300</v>
      </c>
      <c r="D14421" t="str">
        <f t="shared" si="238"/>
        <v xml:space="preserve">60060448    </v>
      </c>
      <c r="E14421" t="s">
        <v>1189</v>
      </c>
      <c r="F14421" t="s">
        <v>1192</v>
      </c>
      <c r="G14421">
        <v>294.35000000000002</v>
      </c>
      <c r="H14421">
        <v>251229</v>
      </c>
      <c r="I14421">
        <v>4430</v>
      </c>
      <c r="J14421" t="s">
        <v>1190</v>
      </c>
      <c r="K14421">
        <v>32056.65</v>
      </c>
      <c r="L14421">
        <v>59.81</v>
      </c>
      <c r="M14421">
        <v>11604</v>
      </c>
      <c r="N14421" t="s">
        <v>1191</v>
      </c>
      <c r="O14421">
        <v>260113</v>
      </c>
      <c r="P14421">
        <v>234.54</v>
      </c>
    </row>
    <row r="14422" spans="1:16" x14ac:dyDescent="0.25">
      <c r="A14422" t="s">
        <v>3296</v>
      </c>
      <c r="B14422" t="s">
        <v>2931</v>
      </c>
      <c r="C14422">
        <v>18300</v>
      </c>
      <c r="D14422" t="str">
        <f t="shared" si="238"/>
        <v xml:space="preserve">60060448    </v>
      </c>
      <c r="E14422" t="s">
        <v>1189</v>
      </c>
      <c r="F14422" t="s">
        <v>1192</v>
      </c>
      <c r="G14422">
        <v>3457.59</v>
      </c>
      <c r="H14422">
        <v>251229</v>
      </c>
      <c r="I14422">
        <v>4430</v>
      </c>
      <c r="J14422" t="s">
        <v>1190</v>
      </c>
      <c r="K14422">
        <v>32056.65</v>
      </c>
      <c r="L14422">
        <v>172.88</v>
      </c>
      <c r="M14422">
        <v>11604</v>
      </c>
      <c r="N14422" t="s">
        <v>1191</v>
      </c>
      <c r="O14422">
        <v>260113</v>
      </c>
      <c r="P14422">
        <v>3284.71</v>
      </c>
    </row>
    <row r="14423" spans="1:16" x14ac:dyDescent="0.25">
      <c r="A14423" t="s">
        <v>3296</v>
      </c>
      <c r="B14423" t="s">
        <v>2931</v>
      </c>
      <c r="C14423">
        <v>18300</v>
      </c>
      <c r="D14423" t="str">
        <f t="shared" si="238"/>
        <v xml:space="preserve">60060448    </v>
      </c>
      <c r="E14423" t="s">
        <v>1189</v>
      </c>
      <c r="F14423" t="s">
        <v>1192</v>
      </c>
      <c r="G14423">
        <v>4176.16</v>
      </c>
      <c r="H14423">
        <v>251229</v>
      </c>
      <c r="I14423">
        <v>4430</v>
      </c>
      <c r="J14423" t="s">
        <v>1190</v>
      </c>
      <c r="K14423">
        <v>32056.65</v>
      </c>
      <c r="L14423">
        <v>208.81</v>
      </c>
      <c r="M14423">
        <v>11604</v>
      </c>
      <c r="N14423" t="s">
        <v>1191</v>
      </c>
      <c r="O14423">
        <v>260113</v>
      </c>
      <c r="P14423">
        <v>3967.35</v>
      </c>
    </row>
    <row r="14424" spans="1:16" x14ac:dyDescent="0.25">
      <c r="A14424" t="s">
        <v>3296</v>
      </c>
      <c r="B14424" t="s">
        <v>2931</v>
      </c>
      <c r="C14424">
        <v>18300</v>
      </c>
      <c r="D14424" t="str">
        <f t="shared" si="238"/>
        <v xml:space="preserve">60060448    </v>
      </c>
      <c r="E14424" t="s">
        <v>1189</v>
      </c>
      <c r="F14424" t="s">
        <v>1192</v>
      </c>
      <c r="G14424">
        <v>1366.97</v>
      </c>
      <c r="H14424">
        <v>251229</v>
      </c>
      <c r="I14424">
        <v>4430</v>
      </c>
      <c r="J14424" t="s">
        <v>1190</v>
      </c>
      <c r="K14424">
        <v>32056.65</v>
      </c>
      <c r="L14424">
        <v>68.349999999999994</v>
      </c>
      <c r="M14424">
        <v>11604</v>
      </c>
      <c r="N14424" t="s">
        <v>1191</v>
      </c>
      <c r="O14424">
        <v>260113</v>
      </c>
      <c r="P14424">
        <v>1298.6199999999999</v>
      </c>
    </row>
    <row r="14425" spans="1:16" x14ac:dyDescent="0.25">
      <c r="A14425" t="s">
        <v>3296</v>
      </c>
      <c r="B14425" t="s">
        <v>2931</v>
      </c>
      <c r="C14425">
        <v>18301</v>
      </c>
      <c r="D14425" t="str">
        <f>"60050471    "</f>
        <v xml:space="preserve">60050471    </v>
      </c>
      <c r="E14425" t="s">
        <v>1189</v>
      </c>
      <c r="F14425" t="s">
        <v>1192</v>
      </c>
      <c r="G14425">
        <v>87.07</v>
      </c>
      <c r="H14425">
        <v>251229</v>
      </c>
      <c r="I14425">
        <v>4430</v>
      </c>
      <c r="J14425" t="s">
        <v>1190</v>
      </c>
      <c r="K14425">
        <v>116.09</v>
      </c>
      <c r="L14425">
        <v>4.3499999999999996</v>
      </c>
      <c r="M14425">
        <v>11604</v>
      </c>
      <c r="N14425" t="s">
        <v>1191</v>
      </c>
      <c r="O14425">
        <v>260113</v>
      </c>
      <c r="P14425">
        <v>82.72</v>
      </c>
    </row>
    <row r="14426" spans="1:16" x14ac:dyDescent="0.25">
      <c r="A14426" t="s">
        <v>3296</v>
      </c>
      <c r="B14426" t="s">
        <v>2931</v>
      </c>
      <c r="C14426">
        <v>18301</v>
      </c>
      <c r="D14426" t="str">
        <f>"60050471    "</f>
        <v xml:space="preserve">60050471    </v>
      </c>
      <c r="E14426" t="s">
        <v>1189</v>
      </c>
      <c r="F14426" t="s">
        <v>1192</v>
      </c>
      <c r="G14426">
        <v>29.02</v>
      </c>
      <c r="H14426">
        <v>251229</v>
      </c>
      <c r="I14426">
        <v>4430</v>
      </c>
      <c r="J14426" t="s">
        <v>1190</v>
      </c>
      <c r="K14426">
        <v>116.09</v>
      </c>
      <c r="L14426">
        <v>1.45</v>
      </c>
      <c r="M14426">
        <v>11604</v>
      </c>
      <c r="N14426" t="s">
        <v>1191</v>
      </c>
      <c r="O14426">
        <v>260113</v>
      </c>
      <c r="P14426">
        <v>27.57</v>
      </c>
    </row>
    <row r="14427" spans="1:16" x14ac:dyDescent="0.25">
      <c r="A14427" t="s">
        <v>3296</v>
      </c>
      <c r="B14427" t="s">
        <v>2931</v>
      </c>
      <c r="C14427">
        <v>2024</v>
      </c>
      <c r="D14427" t="str">
        <f>"58935943    "</f>
        <v xml:space="preserve">58935943    </v>
      </c>
      <c r="E14427" t="s">
        <v>1189</v>
      </c>
      <c r="F14427" t="s">
        <v>1192</v>
      </c>
      <c r="G14427">
        <v>15.8</v>
      </c>
      <c r="H14427">
        <v>250129</v>
      </c>
      <c r="I14427">
        <v>4470</v>
      </c>
      <c r="J14427" t="s">
        <v>203</v>
      </c>
      <c r="K14427">
        <v>15.8</v>
      </c>
      <c r="L14427">
        <v>3.21</v>
      </c>
      <c r="M14427">
        <v>11604</v>
      </c>
      <c r="N14427" t="s">
        <v>1191</v>
      </c>
      <c r="O14427">
        <v>250219</v>
      </c>
      <c r="P14427">
        <v>12.59</v>
      </c>
    </row>
    <row r="14428" spans="1:16" x14ac:dyDescent="0.25">
      <c r="A14428" t="s">
        <v>3296</v>
      </c>
      <c r="B14428" t="s">
        <v>2931</v>
      </c>
      <c r="C14428">
        <v>2025</v>
      </c>
      <c r="D14428" t="str">
        <f>"58941478    "</f>
        <v xml:space="preserve">58941478    </v>
      </c>
      <c r="E14428" t="s">
        <v>1189</v>
      </c>
      <c r="F14428" t="s">
        <v>1192</v>
      </c>
      <c r="G14428">
        <v>468.43</v>
      </c>
      <c r="H14428">
        <v>250129</v>
      </c>
      <c r="I14428">
        <v>4470</v>
      </c>
      <c r="J14428" t="s">
        <v>203</v>
      </c>
      <c r="K14428">
        <v>468.43</v>
      </c>
      <c r="L14428">
        <v>95.18</v>
      </c>
      <c r="M14428">
        <v>11604</v>
      </c>
      <c r="N14428" t="s">
        <v>1191</v>
      </c>
      <c r="O14428">
        <v>250219</v>
      </c>
      <c r="P14428">
        <v>373.25</v>
      </c>
    </row>
    <row r="14429" spans="1:16" x14ac:dyDescent="0.25">
      <c r="A14429" t="s">
        <v>3296</v>
      </c>
      <c r="B14429" t="s">
        <v>2931</v>
      </c>
      <c r="C14429">
        <v>2884</v>
      </c>
      <c r="D14429" t="str">
        <f>"59038352    "</f>
        <v xml:space="preserve">59038352    </v>
      </c>
      <c r="E14429" t="s">
        <v>1189</v>
      </c>
      <c r="F14429" t="s">
        <v>1192</v>
      </c>
      <c r="G14429">
        <v>17.14</v>
      </c>
      <c r="H14429">
        <v>250226</v>
      </c>
      <c r="I14429">
        <v>4470</v>
      </c>
      <c r="J14429" t="s">
        <v>203</v>
      </c>
      <c r="K14429">
        <v>17.14</v>
      </c>
      <c r="L14429">
        <v>3.48</v>
      </c>
      <c r="M14429">
        <v>11604</v>
      </c>
      <c r="N14429" t="s">
        <v>1191</v>
      </c>
      <c r="O14429">
        <v>250312</v>
      </c>
      <c r="P14429">
        <v>13.66</v>
      </c>
    </row>
    <row r="14430" spans="1:16" x14ac:dyDescent="0.25">
      <c r="A14430" t="s">
        <v>3296</v>
      </c>
      <c r="B14430" t="s">
        <v>2931</v>
      </c>
      <c r="C14430">
        <v>2954</v>
      </c>
      <c r="D14430" t="str">
        <f>"59044501    "</f>
        <v xml:space="preserve">59044501    </v>
      </c>
      <c r="E14430" t="s">
        <v>1189</v>
      </c>
      <c r="F14430" t="s">
        <v>1192</v>
      </c>
      <c r="G14430">
        <v>454.36</v>
      </c>
      <c r="H14430">
        <v>250226</v>
      </c>
      <c r="I14430">
        <v>4470</v>
      </c>
      <c r="J14430" t="s">
        <v>203</v>
      </c>
      <c r="K14430">
        <v>454.36</v>
      </c>
      <c r="L14430">
        <v>92.32</v>
      </c>
      <c r="M14430">
        <v>11604</v>
      </c>
      <c r="N14430" t="s">
        <v>1191</v>
      </c>
      <c r="O14430">
        <v>250313</v>
      </c>
      <c r="P14430">
        <v>362.04</v>
      </c>
    </row>
    <row r="14431" spans="1:16" x14ac:dyDescent="0.25">
      <c r="A14431" t="s">
        <v>3296</v>
      </c>
      <c r="B14431" t="s">
        <v>2931</v>
      </c>
      <c r="C14431">
        <v>5165</v>
      </c>
      <c r="D14431" t="str">
        <f>"59153438    "</f>
        <v xml:space="preserve">59153438    </v>
      </c>
      <c r="E14431" t="s">
        <v>1189</v>
      </c>
      <c r="F14431" t="s">
        <v>1192</v>
      </c>
      <c r="G14431">
        <v>450.01</v>
      </c>
      <c r="H14431">
        <v>250327</v>
      </c>
      <c r="I14431">
        <v>4470</v>
      </c>
      <c r="J14431" t="s">
        <v>203</v>
      </c>
      <c r="K14431">
        <v>450.01</v>
      </c>
      <c r="L14431">
        <v>91.44</v>
      </c>
      <c r="M14431">
        <v>11604</v>
      </c>
      <c r="N14431" t="s">
        <v>1191</v>
      </c>
      <c r="O14431">
        <v>250417</v>
      </c>
      <c r="P14431">
        <v>358.57</v>
      </c>
    </row>
    <row r="14432" spans="1:16" x14ac:dyDescent="0.25">
      <c r="A14432" t="s">
        <v>3296</v>
      </c>
      <c r="B14432" t="s">
        <v>2931</v>
      </c>
      <c r="C14432">
        <v>5166</v>
      </c>
      <c r="D14432" t="str">
        <f>"59146559    "</f>
        <v xml:space="preserve">59146559    </v>
      </c>
      <c r="E14432" t="s">
        <v>1189</v>
      </c>
      <c r="F14432" t="s">
        <v>1192</v>
      </c>
      <c r="G14432">
        <v>11.25</v>
      </c>
      <c r="H14432">
        <v>250327</v>
      </c>
      <c r="I14432">
        <v>4470</v>
      </c>
      <c r="J14432" t="s">
        <v>203</v>
      </c>
      <c r="K14432">
        <v>11.25</v>
      </c>
      <c r="L14432">
        <v>2.29</v>
      </c>
      <c r="M14432">
        <v>11604</v>
      </c>
      <c r="N14432" t="s">
        <v>1191</v>
      </c>
      <c r="O14432">
        <v>250417</v>
      </c>
      <c r="P14432">
        <v>8.9600000000000009</v>
      </c>
    </row>
    <row r="14433" spans="1:16" x14ac:dyDescent="0.25">
      <c r="A14433" t="s">
        <v>3296</v>
      </c>
      <c r="B14433" t="s">
        <v>2931</v>
      </c>
      <c r="C14433">
        <v>5387</v>
      </c>
      <c r="D14433" t="str">
        <f>"59221271    "</f>
        <v xml:space="preserve">59221271    </v>
      </c>
      <c r="E14433" t="s">
        <v>1189</v>
      </c>
      <c r="F14433" t="s">
        <v>1192</v>
      </c>
      <c r="G14433">
        <v>-1.62</v>
      </c>
      <c r="H14433">
        <v>250422</v>
      </c>
      <c r="I14433">
        <v>4470</v>
      </c>
      <c r="J14433" t="s">
        <v>203</v>
      </c>
      <c r="K14433">
        <v>-1.62</v>
      </c>
      <c r="L14433">
        <v>-0.33</v>
      </c>
      <c r="M14433">
        <v>11604</v>
      </c>
      <c r="N14433" t="s">
        <v>1191</v>
      </c>
      <c r="O14433">
        <v>250424</v>
      </c>
      <c r="P14433">
        <v>-1.29</v>
      </c>
    </row>
    <row r="14434" spans="1:16" x14ac:dyDescent="0.25">
      <c r="A14434" t="s">
        <v>3296</v>
      </c>
      <c r="B14434" t="s">
        <v>2931</v>
      </c>
      <c r="C14434">
        <v>6317</v>
      </c>
      <c r="D14434" t="str">
        <f>"59252661    "</f>
        <v xml:space="preserve">59252661    </v>
      </c>
      <c r="E14434" t="s">
        <v>1189</v>
      </c>
      <c r="F14434" t="s">
        <v>1192</v>
      </c>
      <c r="G14434">
        <v>5.97</v>
      </c>
      <c r="H14434">
        <v>250428</v>
      </c>
      <c r="I14434">
        <v>4470</v>
      </c>
      <c r="J14434" t="s">
        <v>203</v>
      </c>
      <c r="K14434">
        <v>5.97</v>
      </c>
      <c r="L14434">
        <v>1.21</v>
      </c>
      <c r="M14434">
        <v>11604</v>
      </c>
      <c r="N14434" t="s">
        <v>1191</v>
      </c>
      <c r="O14434">
        <v>250512</v>
      </c>
      <c r="P14434">
        <v>4.76</v>
      </c>
    </row>
    <row r="14435" spans="1:16" x14ac:dyDescent="0.25">
      <c r="A14435" t="s">
        <v>3296</v>
      </c>
      <c r="B14435" t="s">
        <v>2931</v>
      </c>
      <c r="C14435">
        <v>6329</v>
      </c>
      <c r="D14435" t="str">
        <f>"59258504    "</f>
        <v xml:space="preserve">59258504    </v>
      </c>
      <c r="E14435" t="s">
        <v>1189</v>
      </c>
      <c r="F14435" t="s">
        <v>1192</v>
      </c>
      <c r="G14435">
        <v>412.95</v>
      </c>
      <c r="H14435">
        <v>250428</v>
      </c>
      <c r="I14435">
        <v>4470</v>
      </c>
      <c r="J14435" t="s">
        <v>203</v>
      </c>
      <c r="K14435">
        <v>412.95</v>
      </c>
      <c r="L14435">
        <v>83.91</v>
      </c>
      <c r="M14435">
        <v>11604</v>
      </c>
      <c r="N14435" t="s">
        <v>1191</v>
      </c>
      <c r="O14435">
        <v>250512</v>
      </c>
      <c r="P14435">
        <v>329.04</v>
      </c>
    </row>
    <row r="14436" spans="1:16" x14ac:dyDescent="0.25">
      <c r="A14436" t="s">
        <v>3296</v>
      </c>
      <c r="B14436" t="s">
        <v>2931</v>
      </c>
      <c r="C14436">
        <v>8748</v>
      </c>
      <c r="D14436" t="str">
        <f>"59345333    "</f>
        <v xml:space="preserve">59345333    </v>
      </c>
      <c r="E14436" t="s">
        <v>1189</v>
      </c>
      <c r="F14436" t="s">
        <v>1192</v>
      </c>
      <c r="G14436">
        <v>7.62</v>
      </c>
      <c r="H14436">
        <v>250527</v>
      </c>
      <c r="I14436">
        <v>4470</v>
      </c>
      <c r="J14436" t="s">
        <v>203</v>
      </c>
      <c r="K14436">
        <v>7.62</v>
      </c>
      <c r="L14436">
        <v>1.55</v>
      </c>
      <c r="M14436">
        <v>11604</v>
      </c>
      <c r="N14436" t="s">
        <v>1191</v>
      </c>
      <c r="O14436">
        <v>250618</v>
      </c>
      <c r="P14436">
        <v>6.07</v>
      </c>
    </row>
    <row r="14437" spans="1:16" x14ac:dyDescent="0.25">
      <c r="A14437" t="s">
        <v>3296</v>
      </c>
      <c r="B14437" t="s">
        <v>2931</v>
      </c>
      <c r="C14437">
        <v>8749</v>
      </c>
      <c r="D14437" t="str">
        <f>"59350456    "</f>
        <v xml:space="preserve">59350456    </v>
      </c>
      <c r="E14437" t="s">
        <v>1189</v>
      </c>
      <c r="F14437" t="s">
        <v>1192</v>
      </c>
      <c r="G14437">
        <v>452.35</v>
      </c>
      <c r="H14437">
        <v>250527</v>
      </c>
      <c r="I14437">
        <v>4470</v>
      </c>
      <c r="J14437" t="s">
        <v>203</v>
      </c>
      <c r="K14437">
        <v>452.35</v>
      </c>
      <c r="L14437">
        <v>91.91</v>
      </c>
      <c r="M14437">
        <v>11604</v>
      </c>
      <c r="N14437" t="s">
        <v>1191</v>
      </c>
      <c r="O14437">
        <v>250618</v>
      </c>
      <c r="P14437">
        <v>360.44</v>
      </c>
    </row>
    <row r="14438" spans="1:16" x14ac:dyDescent="0.25">
      <c r="A14438" t="s">
        <v>3296</v>
      </c>
      <c r="B14438" t="s">
        <v>2931</v>
      </c>
      <c r="C14438">
        <v>9501</v>
      </c>
      <c r="D14438" t="str">
        <f>"59447317    "</f>
        <v xml:space="preserve">59447317    </v>
      </c>
      <c r="E14438" t="s">
        <v>1189</v>
      </c>
      <c r="F14438" t="s">
        <v>1192</v>
      </c>
      <c r="G14438">
        <v>480.3</v>
      </c>
      <c r="H14438">
        <v>250626</v>
      </c>
      <c r="I14438">
        <v>4470</v>
      </c>
      <c r="J14438" t="s">
        <v>203</v>
      </c>
      <c r="K14438">
        <v>480.3</v>
      </c>
      <c r="L14438">
        <v>97.59</v>
      </c>
      <c r="M14438">
        <v>11604</v>
      </c>
      <c r="N14438" t="s">
        <v>1191</v>
      </c>
      <c r="O14438">
        <v>250709</v>
      </c>
      <c r="P14438">
        <v>382.71</v>
      </c>
    </row>
    <row r="14439" spans="1:16" x14ac:dyDescent="0.25">
      <c r="A14439" t="s">
        <v>3296</v>
      </c>
      <c r="B14439" t="s">
        <v>2931</v>
      </c>
      <c r="C14439">
        <v>10197</v>
      </c>
      <c r="D14439" t="str">
        <f>"59517547    "</f>
        <v xml:space="preserve">59517547    </v>
      </c>
      <c r="E14439" t="s">
        <v>1189</v>
      </c>
      <c r="F14439" t="s">
        <v>1192</v>
      </c>
      <c r="G14439">
        <v>10.039999999999999</v>
      </c>
      <c r="H14439">
        <v>250729</v>
      </c>
      <c r="I14439">
        <v>4470</v>
      </c>
      <c r="J14439" t="s">
        <v>203</v>
      </c>
      <c r="K14439">
        <v>10.039999999999999</v>
      </c>
      <c r="L14439">
        <v>2.04</v>
      </c>
      <c r="M14439">
        <v>11604</v>
      </c>
      <c r="N14439" t="s">
        <v>1191</v>
      </c>
      <c r="O14439">
        <v>250813</v>
      </c>
      <c r="P14439">
        <v>8</v>
      </c>
    </row>
    <row r="14440" spans="1:16" x14ac:dyDescent="0.25">
      <c r="A14440" t="s">
        <v>3296</v>
      </c>
      <c r="B14440" t="s">
        <v>2931</v>
      </c>
      <c r="C14440">
        <v>10212</v>
      </c>
      <c r="D14440" t="str">
        <f>"59521494    "</f>
        <v xml:space="preserve">59521494    </v>
      </c>
      <c r="E14440" t="s">
        <v>1189</v>
      </c>
      <c r="F14440" t="s">
        <v>1192</v>
      </c>
      <c r="G14440">
        <v>250.03</v>
      </c>
      <c r="H14440">
        <v>250729</v>
      </c>
      <c r="I14440">
        <v>4470</v>
      </c>
      <c r="J14440" t="s">
        <v>203</v>
      </c>
      <c r="K14440">
        <v>250.03</v>
      </c>
      <c r="L14440">
        <v>50.8</v>
      </c>
      <c r="M14440">
        <v>11604</v>
      </c>
      <c r="N14440" t="s">
        <v>1191</v>
      </c>
      <c r="O14440">
        <v>250813</v>
      </c>
      <c r="P14440">
        <v>199.23</v>
      </c>
    </row>
    <row r="14441" spans="1:16" x14ac:dyDescent="0.25">
      <c r="A14441" t="s">
        <v>3296</v>
      </c>
      <c r="B14441" t="s">
        <v>2931</v>
      </c>
      <c r="C14441">
        <v>12033</v>
      </c>
      <c r="D14441" t="str">
        <f>"59608823    "</f>
        <v xml:space="preserve">59608823    </v>
      </c>
      <c r="E14441" t="s">
        <v>1189</v>
      </c>
      <c r="F14441" t="s">
        <v>1192</v>
      </c>
      <c r="G14441">
        <v>301.05</v>
      </c>
      <c r="H14441">
        <v>250827</v>
      </c>
      <c r="I14441">
        <v>4470</v>
      </c>
      <c r="J14441" t="s">
        <v>203</v>
      </c>
      <c r="K14441">
        <v>301.05</v>
      </c>
      <c r="L14441">
        <v>61.17</v>
      </c>
      <c r="M14441">
        <v>11604</v>
      </c>
      <c r="N14441" t="s">
        <v>1191</v>
      </c>
      <c r="O14441">
        <v>250915</v>
      </c>
      <c r="P14441">
        <v>239.88</v>
      </c>
    </row>
    <row r="14442" spans="1:16" x14ac:dyDescent="0.25">
      <c r="A14442" t="s">
        <v>3296</v>
      </c>
      <c r="B14442" t="s">
        <v>2931</v>
      </c>
      <c r="C14442">
        <v>12036</v>
      </c>
      <c r="D14442" t="str">
        <f>"59604496    "</f>
        <v xml:space="preserve">59604496    </v>
      </c>
      <c r="E14442" t="s">
        <v>1189</v>
      </c>
      <c r="F14442" t="s">
        <v>1192</v>
      </c>
      <c r="G14442">
        <v>11.31</v>
      </c>
      <c r="H14442">
        <v>250827</v>
      </c>
      <c r="I14442">
        <v>4470</v>
      </c>
      <c r="J14442" t="s">
        <v>203</v>
      </c>
      <c r="K14442">
        <v>11.31</v>
      </c>
      <c r="L14442">
        <v>2.2999999999999998</v>
      </c>
      <c r="M14442">
        <v>11604</v>
      </c>
      <c r="N14442" t="s">
        <v>1191</v>
      </c>
      <c r="O14442">
        <v>250915</v>
      </c>
      <c r="P14442">
        <v>9.01</v>
      </c>
    </row>
    <row r="14443" spans="1:16" x14ac:dyDescent="0.25">
      <c r="A14443" t="s">
        <v>3296</v>
      </c>
      <c r="B14443" t="s">
        <v>2931</v>
      </c>
      <c r="C14443">
        <v>12037</v>
      </c>
      <c r="D14443" t="str">
        <f>"59604668    "</f>
        <v xml:space="preserve">59604668    </v>
      </c>
      <c r="E14443" t="s">
        <v>1189</v>
      </c>
      <c r="F14443" t="s">
        <v>1192</v>
      </c>
      <c r="G14443">
        <v>4.9800000000000004</v>
      </c>
      <c r="H14443">
        <v>250827</v>
      </c>
      <c r="I14443">
        <v>4470</v>
      </c>
      <c r="J14443" t="s">
        <v>203</v>
      </c>
      <c r="K14443">
        <v>4.9800000000000004</v>
      </c>
      <c r="L14443">
        <v>1.01</v>
      </c>
      <c r="M14443">
        <v>11604</v>
      </c>
      <c r="N14443" t="s">
        <v>1191</v>
      </c>
      <c r="O14443">
        <v>250915</v>
      </c>
      <c r="P14443">
        <v>3.97</v>
      </c>
    </row>
    <row r="14444" spans="1:16" x14ac:dyDescent="0.25">
      <c r="A14444" t="s">
        <v>3296</v>
      </c>
      <c r="B14444" t="s">
        <v>2931</v>
      </c>
      <c r="C14444">
        <v>13669</v>
      </c>
      <c r="D14444" t="str">
        <f>"59730603    "</f>
        <v xml:space="preserve">59730603    </v>
      </c>
      <c r="E14444" t="s">
        <v>1189</v>
      </c>
      <c r="F14444" t="s">
        <v>1192</v>
      </c>
      <c r="G14444">
        <v>13.98</v>
      </c>
      <c r="H14444">
        <v>250928</v>
      </c>
      <c r="I14444">
        <v>4470</v>
      </c>
      <c r="J14444" t="s">
        <v>203</v>
      </c>
      <c r="K14444">
        <v>13.98</v>
      </c>
      <c r="L14444">
        <v>2.84</v>
      </c>
      <c r="M14444">
        <v>11604</v>
      </c>
      <c r="N14444" t="s">
        <v>1191</v>
      </c>
      <c r="O14444">
        <v>251013</v>
      </c>
      <c r="P14444">
        <v>11.14</v>
      </c>
    </row>
    <row r="14445" spans="1:16" x14ac:dyDescent="0.25">
      <c r="A14445" t="s">
        <v>3296</v>
      </c>
      <c r="B14445" t="s">
        <v>2931</v>
      </c>
      <c r="C14445">
        <v>13671</v>
      </c>
      <c r="D14445" t="str">
        <f>"59736942    "</f>
        <v xml:space="preserve">59736942    </v>
      </c>
      <c r="E14445" t="s">
        <v>1189</v>
      </c>
      <c r="F14445" t="s">
        <v>1192</v>
      </c>
      <c r="G14445">
        <v>462.09</v>
      </c>
      <c r="H14445">
        <v>250928</v>
      </c>
      <c r="I14445">
        <v>4470</v>
      </c>
      <c r="J14445" t="s">
        <v>203</v>
      </c>
      <c r="K14445">
        <v>462.09</v>
      </c>
      <c r="L14445">
        <v>93.89</v>
      </c>
      <c r="M14445">
        <v>11604</v>
      </c>
      <c r="N14445" t="s">
        <v>1191</v>
      </c>
      <c r="O14445">
        <v>251013</v>
      </c>
      <c r="P14445">
        <v>368.2</v>
      </c>
    </row>
    <row r="14446" spans="1:16" x14ac:dyDescent="0.25">
      <c r="A14446" t="s">
        <v>3296</v>
      </c>
      <c r="B14446" t="s">
        <v>2931</v>
      </c>
      <c r="C14446">
        <v>13685</v>
      </c>
      <c r="D14446" t="str">
        <f>"59730791    "</f>
        <v xml:space="preserve">59730791    </v>
      </c>
      <c r="E14446" t="s">
        <v>1189</v>
      </c>
      <c r="F14446" t="s">
        <v>1192</v>
      </c>
      <c r="G14446">
        <v>4.7699999999999996</v>
      </c>
      <c r="H14446">
        <v>250928</v>
      </c>
      <c r="I14446">
        <v>4470</v>
      </c>
      <c r="J14446" t="s">
        <v>203</v>
      </c>
      <c r="K14446">
        <v>4.7699999999999996</v>
      </c>
      <c r="L14446">
        <v>0.97</v>
      </c>
      <c r="M14446">
        <v>11604</v>
      </c>
      <c r="N14446" t="s">
        <v>1191</v>
      </c>
      <c r="O14446">
        <v>251014</v>
      </c>
      <c r="P14446">
        <v>3.8</v>
      </c>
    </row>
    <row r="14447" spans="1:16" x14ac:dyDescent="0.25">
      <c r="A14447" t="s">
        <v>3296</v>
      </c>
      <c r="B14447" t="s">
        <v>2931</v>
      </c>
      <c r="C14447">
        <v>15242</v>
      </c>
      <c r="D14447" t="str">
        <f>"59845592    "</f>
        <v xml:space="preserve">59845592    </v>
      </c>
      <c r="E14447" t="s">
        <v>1189</v>
      </c>
      <c r="F14447" t="s">
        <v>1192</v>
      </c>
      <c r="G14447">
        <v>16.440000000000001</v>
      </c>
      <c r="H14447">
        <v>251029</v>
      </c>
      <c r="I14447">
        <v>4470</v>
      </c>
      <c r="J14447" t="s">
        <v>203</v>
      </c>
      <c r="K14447">
        <v>16.440000000000001</v>
      </c>
      <c r="L14447">
        <v>3.34</v>
      </c>
      <c r="M14447">
        <v>11604</v>
      </c>
      <c r="N14447" t="s">
        <v>1191</v>
      </c>
      <c r="O14447">
        <v>251117</v>
      </c>
      <c r="P14447">
        <v>13.1</v>
      </c>
    </row>
    <row r="14448" spans="1:16" x14ac:dyDescent="0.25">
      <c r="A14448" t="s">
        <v>3296</v>
      </c>
      <c r="B14448" t="s">
        <v>2931</v>
      </c>
      <c r="C14448">
        <v>15245</v>
      </c>
      <c r="D14448" t="str">
        <f>"59850481    "</f>
        <v xml:space="preserve">59850481    </v>
      </c>
      <c r="E14448" t="s">
        <v>1189</v>
      </c>
      <c r="F14448" t="s">
        <v>1192</v>
      </c>
      <c r="G14448">
        <v>598.41</v>
      </c>
      <c r="H14448">
        <v>251029</v>
      </c>
      <c r="I14448">
        <v>4470</v>
      </c>
      <c r="J14448" t="s">
        <v>203</v>
      </c>
      <c r="K14448">
        <v>598.41</v>
      </c>
      <c r="L14448">
        <v>121.59</v>
      </c>
      <c r="M14448">
        <v>11604</v>
      </c>
      <c r="N14448" t="s">
        <v>1191</v>
      </c>
      <c r="O14448">
        <v>251117</v>
      </c>
      <c r="P14448">
        <v>476.82</v>
      </c>
    </row>
    <row r="14449" spans="1:16" x14ac:dyDescent="0.25">
      <c r="A14449" t="s">
        <v>3296</v>
      </c>
      <c r="B14449" t="s">
        <v>2931</v>
      </c>
      <c r="C14449">
        <v>15246</v>
      </c>
      <c r="D14449" t="str">
        <f>"59845757    "</f>
        <v xml:space="preserve">59845757    </v>
      </c>
      <c r="E14449" t="s">
        <v>1189</v>
      </c>
      <c r="F14449" t="s">
        <v>1192</v>
      </c>
      <c r="G14449">
        <v>5.38</v>
      </c>
      <c r="H14449">
        <v>251029</v>
      </c>
      <c r="I14449">
        <v>4470</v>
      </c>
      <c r="J14449" t="s">
        <v>203</v>
      </c>
      <c r="K14449">
        <v>5.38</v>
      </c>
      <c r="L14449">
        <v>1.0900000000000001</v>
      </c>
      <c r="M14449">
        <v>11604</v>
      </c>
      <c r="N14449" t="s">
        <v>1191</v>
      </c>
      <c r="O14449">
        <v>251117</v>
      </c>
      <c r="P14449">
        <v>4.29</v>
      </c>
    </row>
    <row r="14450" spans="1:16" x14ac:dyDescent="0.25">
      <c r="A14450" t="s">
        <v>3296</v>
      </c>
      <c r="B14450" t="s">
        <v>2931</v>
      </c>
      <c r="C14450">
        <v>16656</v>
      </c>
      <c r="D14450" t="str">
        <f>"59949480    "</f>
        <v xml:space="preserve">59949480    </v>
      </c>
      <c r="E14450" t="s">
        <v>1189</v>
      </c>
      <c r="F14450" t="s">
        <v>1192</v>
      </c>
      <c r="G14450">
        <v>520.46</v>
      </c>
      <c r="H14450">
        <v>251126</v>
      </c>
      <c r="I14450">
        <v>4470</v>
      </c>
      <c r="J14450" t="s">
        <v>203</v>
      </c>
      <c r="K14450">
        <v>520.46</v>
      </c>
      <c r="L14450">
        <v>105.75</v>
      </c>
      <c r="M14450">
        <v>11604</v>
      </c>
      <c r="N14450" t="s">
        <v>1191</v>
      </c>
      <c r="O14450">
        <v>251211</v>
      </c>
      <c r="P14450">
        <v>414.71</v>
      </c>
    </row>
    <row r="14451" spans="1:16" x14ac:dyDescent="0.25">
      <c r="A14451" t="s">
        <v>3296</v>
      </c>
      <c r="B14451" t="s">
        <v>2931</v>
      </c>
      <c r="C14451">
        <v>16661</v>
      </c>
      <c r="D14451" t="str">
        <f>"59944947    "</f>
        <v xml:space="preserve">59944947    </v>
      </c>
      <c r="E14451" t="s">
        <v>1189</v>
      </c>
      <c r="F14451" t="s">
        <v>1192</v>
      </c>
      <c r="G14451">
        <v>7.18</v>
      </c>
      <c r="H14451">
        <v>251126</v>
      </c>
      <c r="I14451">
        <v>4470</v>
      </c>
      <c r="J14451" t="s">
        <v>203</v>
      </c>
      <c r="K14451">
        <v>7.18</v>
      </c>
      <c r="L14451">
        <v>1.46</v>
      </c>
      <c r="M14451">
        <v>11604</v>
      </c>
      <c r="N14451" t="s">
        <v>1191</v>
      </c>
      <c r="O14451">
        <v>251211</v>
      </c>
      <c r="P14451">
        <v>5.72</v>
      </c>
    </row>
    <row r="14452" spans="1:16" x14ac:dyDescent="0.25">
      <c r="A14452" t="s">
        <v>3296</v>
      </c>
      <c r="B14452" t="s">
        <v>2931</v>
      </c>
      <c r="C14452">
        <v>16669</v>
      </c>
      <c r="D14452" t="str">
        <f>"59945103    "</f>
        <v xml:space="preserve">59945103    </v>
      </c>
      <c r="E14452" t="s">
        <v>1189</v>
      </c>
      <c r="F14452" t="s">
        <v>1192</v>
      </c>
      <c r="G14452">
        <v>5.27</v>
      </c>
      <c r="H14452">
        <v>251126</v>
      </c>
      <c r="I14452">
        <v>4470</v>
      </c>
      <c r="J14452" t="s">
        <v>203</v>
      </c>
      <c r="K14452">
        <v>5.27</v>
      </c>
      <c r="L14452">
        <v>1.07</v>
      </c>
      <c r="M14452">
        <v>11604</v>
      </c>
      <c r="N14452" t="s">
        <v>1191</v>
      </c>
      <c r="O14452">
        <v>251211</v>
      </c>
      <c r="P14452">
        <v>4.2</v>
      </c>
    </row>
    <row r="14453" spans="1:16" x14ac:dyDescent="0.25">
      <c r="A14453" t="s">
        <v>3296</v>
      </c>
      <c r="B14453" t="s">
        <v>2931</v>
      </c>
      <c r="C14453">
        <v>18214</v>
      </c>
      <c r="D14453" t="str">
        <f>"60050477    "</f>
        <v xml:space="preserve">60050477    </v>
      </c>
      <c r="E14453" t="s">
        <v>1189</v>
      </c>
      <c r="F14453" t="s">
        <v>1192</v>
      </c>
      <c r="G14453">
        <v>1.47</v>
      </c>
      <c r="H14453">
        <v>251229</v>
      </c>
      <c r="I14453">
        <v>4470</v>
      </c>
      <c r="J14453" t="s">
        <v>203</v>
      </c>
      <c r="K14453">
        <v>1.47</v>
      </c>
      <c r="L14453">
        <v>0.3</v>
      </c>
      <c r="M14453">
        <v>11604</v>
      </c>
      <c r="N14453" t="s">
        <v>1191</v>
      </c>
      <c r="O14453">
        <v>260112</v>
      </c>
      <c r="P14453">
        <v>1.17</v>
      </c>
    </row>
    <row r="14454" spans="1:16" x14ac:dyDescent="0.25">
      <c r="A14454" t="s">
        <v>3296</v>
      </c>
      <c r="B14454" t="s">
        <v>2931</v>
      </c>
      <c r="C14454">
        <v>18230</v>
      </c>
      <c r="D14454" t="str">
        <f>"60050186    "</f>
        <v xml:space="preserve">60050186    </v>
      </c>
      <c r="E14454" t="s">
        <v>1189</v>
      </c>
      <c r="F14454" t="s">
        <v>1192</v>
      </c>
      <c r="G14454">
        <v>11.42</v>
      </c>
      <c r="H14454">
        <v>251229</v>
      </c>
      <c r="I14454">
        <v>4470</v>
      </c>
      <c r="J14454" t="s">
        <v>203</v>
      </c>
      <c r="K14454">
        <v>11.42</v>
      </c>
      <c r="L14454">
        <v>2.3199999999999998</v>
      </c>
      <c r="M14454">
        <v>11604</v>
      </c>
      <c r="N14454" t="s">
        <v>1191</v>
      </c>
      <c r="O14454">
        <v>260112</v>
      </c>
      <c r="P14454">
        <v>9.1</v>
      </c>
    </row>
    <row r="14455" spans="1:16" x14ac:dyDescent="0.25">
      <c r="A14455" t="s">
        <v>3296</v>
      </c>
      <c r="B14455" t="s">
        <v>2931</v>
      </c>
      <c r="C14455">
        <v>18303</v>
      </c>
      <c r="D14455" t="str">
        <f>"60060464    "</f>
        <v xml:space="preserve">60060464    </v>
      </c>
      <c r="E14455" t="s">
        <v>1189</v>
      </c>
      <c r="F14455" t="s">
        <v>1192</v>
      </c>
      <c r="G14455">
        <v>404.78</v>
      </c>
      <c r="H14455">
        <v>251229</v>
      </c>
      <c r="I14455">
        <v>4470</v>
      </c>
      <c r="J14455" t="s">
        <v>203</v>
      </c>
      <c r="K14455">
        <v>404.78</v>
      </c>
      <c r="L14455">
        <v>82.25</v>
      </c>
      <c r="M14455">
        <v>11604</v>
      </c>
      <c r="N14455" t="s">
        <v>1191</v>
      </c>
      <c r="O14455">
        <v>260113</v>
      </c>
      <c r="P14455">
        <v>322.52999999999997</v>
      </c>
    </row>
    <row r="14456" spans="1:16" x14ac:dyDescent="0.25">
      <c r="A14456" t="s">
        <v>3296</v>
      </c>
      <c r="B14456" t="s">
        <v>2931</v>
      </c>
      <c r="C14456">
        <v>7224</v>
      </c>
      <c r="D14456" t="str">
        <f>"125/3720    "</f>
        <v xml:space="preserve">125/3720    </v>
      </c>
      <c r="E14456" t="s">
        <v>1933</v>
      </c>
      <c r="F14456" t="s">
        <v>1934</v>
      </c>
      <c r="G14456">
        <v>300</v>
      </c>
      <c r="H14456">
        <v>250521</v>
      </c>
      <c r="I14456">
        <v>4600</v>
      </c>
      <c r="J14456" t="s">
        <v>278</v>
      </c>
      <c r="K14456">
        <v>300</v>
      </c>
      <c r="L14456">
        <v>0</v>
      </c>
      <c r="M14456">
        <v>18972</v>
      </c>
      <c r="N14456" t="s">
        <v>39</v>
      </c>
      <c r="O14456">
        <v>250527</v>
      </c>
      <c r="P14456">
        <v>300</v>
      </c>
    </row>
    <row r="14457" spans="1:16" x14ac:dyDescent="0.25">
      <c r="A14457" t="s">
        <v>3296</v>
      </c>
      <c r="B14457" t="s">
        <v>2931</v>
      </c>
      <c r="C14457">
        <v>11523</v>
      </c>
      <c r="D14457" t="str">
        <f>"00046491    "</f>
        <v xml:space="preserve">00046491    </v>
      </c>
      <c r="E14457" t="s">
        <v>2144</v>
      </c>
      <c r="F14457" t="s">
        <v>2145</v>
      </c>
      <c r="G14457">
        <v>220.88</v>
      </c>
      <c r="H14457">
        <v>250830</v>
      </c>
      <c r="I14457">
        <v>1196</v>
      </c>
      <c r="J14457" t="s">
        <v>340</v>
      </c>
      <c r="K14457">
        <v>220.88</v>
      </c>
      <c r="L14457">
        <v>44.88</v>
      </c>
      <c r="M14457">
        <v>96501</v>
      </c>
      <c r="N14457" t="s">
        <v>2066</v>
      </c>
      <c r="O14457">
        <v>250908</v>
      </c>
      <c r="P14457">
        <v>176</v>
      </c>
    </row>
    <row r="14458" spans="1:16" x14ac:dyDescent="0.25">
      <c r="A14458" t="s">
        <v>3296</v>
      </c>
      <c r="B14458" t="s">
        <v>2931</v>
      </c>
      <c r="C14458">
        <v>12668</v>
      </c>
      <c r="D14458" t="str">
        <f>"00046577    "</f>
        <v xml:space="preserve">00046577    </v>
      </c>
      <c r="E14458" t="s">
        <v>2144</v>
      </c>
      <c r="F14458" t="s">
        <v>2145</v>
      </c>
      <c r="G14458">
        <v>125.5</v>
      </c>
      <c r="H14458">
        <v>250919</v>
      </c>
      <c r="I14458">
        <v>4364</v>
      </c>
      <c r="J14458" t="s">
        <v>470</v>
      </c>
      <c r="K14458">
        <v>917.03</v>
      </c>
      <c r="L14458">
        <v>25.5</v>
      </c>
      <c r="M14458">
        <v>17711</v>
      </c>
      <c r="N14458" t="s">
        <v>155</v>
      </c>
      <c r="O14458">
        <v>250929</v>
      </c>
      <c r="P14458">
        <v>100</v>
      </c>
    </row>
    <row r="14459" spans="1:16" x14ac:dyDescent="0.25">
      <c r="A14459" t="s">
        <v>3296</v>
      </c>
      <c r="B14459" t="s">
        <v>2931</v>
      </c>
      <c r="C14459">
        <v>9794</v>
      </c>
      <c r="D14459" t="str">
        <f>"00046352    "</f>
        <v xml:space="preserve">00046352    </v>
      </c>
      <c r="E14459" t="s">
        <v>2144</v>
      </c>
      <c r="F14459" t="s">
        <v>2145</v>
      </c>
      <c r="G14459">
        <v>2309.1999999999998</v>
      </c>
      <c r="H14459">
        <v>250715</v>
      </c>
      <c r="I14459">
        <v>4590</v>
      </c>
      <c r="J14459" t="s">
        <v>388</v>
      </c>
      <c r="K14459">
        <v>2309.1999999999998</v>
      </c>
      <c r="L14459">
        <v>469.2</v>
      </c>
      <c r="M14459">
        <v>17952</v>
      </c>
      <c r="N14459" t="s">
        <v>157</v>
      </c>
      <c r="O14459">
        <v>250729</v>
      </c>
      <c r="P14459">
        <v>1840</v>
      </c>
    </row>
    <row r="14460" spans="1:16" x14ac:dyDescent="0.25">
      <c r="A14460" t="s">
        <v>3296</v>
      </c>
      <c r="B14460" t="s">
        <v>2931</v>
      </c>
      <c r="C14460">
        <v>12668</v>
      </c>
      <c r="D14460" t="str">
        <f>"00046577    "</f>
        <v xml:space="preserve">00046577    </v>
      </c>
      <c r="E14460" t="s">
        <v>2144</v>
      </c>
      <c r="F14460" t="s">
        <v>2145</v>
      </c>
      <c r="G14460">
        <v>791.53</v>
      </c>
      <c r="H14460">
        <v>250919</v>
      </c>
      <c r="I14460">
        <v>4590</v>
      </c>
      <c r="J14460" t="s">
        <v>388</v>
      </c>
      <c r="K14460">
        <v>917.03</v>
      </c>
      <c r="L14460">
        <v>160.83000000000001</v>
      </c>
      <c r="M14460">
        <v>17711</v>
      </c>
      <c r="N14460" t="s">
        <v>155</v>
      </c>
      <c r="O14460">
        <v>250929</v>
      </c>
      <c r="P14460">
        <v>630.70000000000005</v>
      </c>
    </row>
    <row r="14461" spans="1:16" x14ac:dyDescent="0.25">
      <c r="A14461" t="s">
        <v>3296</v>
      </c>
      <c r="B14461" t="s">
        <v>2931</v>
      </c>
      <c r="C14461">
        <v>18018</v>
      </c>
      <c r="D14461" t="str">
        <f>"48815       "</f>
        <v xml:space="preserve">48815       </v>
      </c>
      <c r="E14461" t="s">
        <v>2793</v>
      </c>
      <c r="F14461" t="s">
        <v>2794</v>
      </c>
      <c r="G14461">
        <v>251</v>
      </c>
      <c r="H14461">
        <v>251231</v>
      </c>
      <c r="I14461">
        <v>4600</v>
      </c>
      <c r="J14461" t="s">
        <v>278</v>
      </c>
      <c r="K14461">
        <v>251</v>
      </c>
      <c r="L14461">
        <v>51</v>
      </c>
      <c r="M14461">
        <v>17806</v>
      </c>
      <c r="N14461" t="s">
        <v>22</v>
      </c>
      <c r="O14461">
        <v>260108</v>
      </c>
      <c r="P14461">
        <v>200</v>
      </c>
    </row>
    <row r="14462" spans="1:16" x14ac:dyDescent="0.25">
      <c r="A14462" t="s">
        <v>3296</v>
      </c>
      <c r="B14462" t="s">
        <v>2931</v>
      </c>
      <c r="C14462">
        <v>18232</v>
      </c>
      <c r="D14462" t="str">
        <f>"48366       "</f>
        <v xml:space="preserve">48366       </v>
      </c>
      <c r="E14462" t="s">
        <v>2793</v>
      </c>
      <c r="F14462" t="s">
        <v>2794</v>
      </c>
      <c r="G14462">
        <v>147.9</v>
      </c>
      <c r="H14462">
        <v>251231</v>
      </c>
      <c r="I14462">
        <v>4600</v>
      </c>
      <c r="J14462" t="s">
        <v>278</v>
      </c>
      <c r="K14462">
        <v>147.9</v>
      </c>
      <c r="L14462">
        <v>30.05</v>
      </c>
      <c r="M14462">
        <v>17806</v>
      </c>
      <c r="N14462" t="s">
        <v>22</v>
      </c>
      <c r="O14462">
        <v>260112</v>
      </c>
      <c r="P14462">
        <v>117.85</v>
      </c>
    </row>
    <row r="14463" spans="1:16" x14ac:dyDescent="0.25">
      <c r="A14463" t="s">
        <v>3296</v>
      </c>
      <c r="B14463" t="s">
        <v>2931</v>
      </c>
      <c r="C14463">
        <v>8260</v>
      </c>
      <c r="D14463" t="str">
        <f>"1612        "</f>
        <v xml:space="preserve">1612        </v>
      </c>
      <c r="E14463" t="s">
        <v>1119</v>
      </c>
      <c r="F14463" t="s">
        <v>1120</v>
      </c>
      <c r="G14463">
        <v>37.4</v>
      </c>
      <c r="H14463">
        <v>250608</v>
      </c>
      <c r="I14463">
        <v>4500</v>
      </c>
      <c r="J14463" t="s">
        <v>312</v>
      </c>
      <c r="K14463">
        <v>37.4</v>
      </c>
      <c r="L14463">
        <v>7.6</v>
      </c>
      <c r="M14463">
        <v>13801</v>
      </c>
      <c r="N14463" t="s">
        <v>33</v>
      </c>
      <c r="O14463">
        <v>250612</v>
      </c>
      <c r="P14463">
        <v>29.8</v>
      </c>
    </row>
    <row r="14464" spans="1:16" x14ac:dyDescent="0.25">
      <c r="A14464" t="s">
        <v>3296</v>
      </c>
      <c r="B14464" t="s">
        <v>2931</v>
      </c>
      <c r="C14464">
        <v>1786</v>
      </c>
      <c r="D14464" t="str">
        <f>"1541        "</f>
        <v xml:space="preserve">1541        </v>
      </c>
      <c r="E14464" t="s">
        <v>1119</v>
      </c>
      <c r="F14464" t="s">
        <v>1120</v>
      </c>
      <c r="G14464">
        <v>25</v>
      </c>
      <c r="H14464">
        <v>250207</v>
      </c>
      <c r="I14464">
        <v>4600</v>
      </c>
      <c r="J14464" t="s">
        <v>278</v>
      </c>
      <c r="K14464">
        <v>25</v>
      </c>
      <c r="L14464">
        <v>5.08</v>
      </c>
      <c r="M14464">
        <v>17532</v>
      </c>
      <c r="N14464" t="s">
        <v>146</v>
      </c>
      <c r="O14464">
        <v>250214</v>
      </c>
      <c r="P14464">
        <v>19.920000000000002</v>
      </c>
    </row>
    <row r="14465" spans="1:16" x14ac:dyDescent="0.25">
      <c r="A14465" t="s">
        <v>3296</v>
      </c>
      <c r="B14465" t="s">
        <v>2931</v>
      </c>
      <c r="C14465">
        <v>13092</v>
      </c>
      <c r="D14465" t="str">
        <f>"1664        "</f>
        <v xml:space="preserve">1664        </v>
      </c>
      <c r="E14465" t="s">
        <v>1119</v>
      </c>
      <c r="F14465" t="s">
        <v>1120</v>
      </c>
      <c r="G14465">
        <v>70.8</v>
      </c>
      <c r="H14465">
        <v>250926</v>
      </c>
      <c r="I14465">
        <v>4600</v>
      </c>
      <c r="J14465" t="s">
        <v>278</v>
      </c>
      <c r="K14465">
        <v>70.8</v>
      </c>
      <c r="L14465">
        <v>14.39</v>
      </c>
      <c r="M14465">
        <v>13801</v>
      </c>
      <c r="N14465" t="s">
        <v>33</v>
      </c>
      <c r="O14465">
        <v>251006</v>
      </c>
      <c r="P14465">
        <v>56.41</v>
      </c>
    </row>
    <row r="14466" spans="1:16" x14ac:dyDescent="0.25">
      <c r="A14466" t="s">
        <v>3296</v>
      </c>
      <c r="B14466" t="s">
        <v>2931</v>
      </c>
      <c r="C14466">
        <v>14678</v>
      </c>
      <c r="D14466" t="str">
        <f>"1683        "</f>
        <v xml:space="preserve">1683        </v>
      </c>
      <c r="E14466" t="s">
        <v>1119</v>
      </c>
      <c r="F14466" t="s">
        <v>1120</v>
      </c>
      <c r="G14466">
        <v>180</v>
      </c>
      <c r="H14466">
        <v>251031</v>
      </c>
      <c r="I14466">
        <v>4600</v>
      </c>
      <c r="J14466" t="s">
        <v>278</v>
      </c>
      <c r="K14466">
        <v>180</v>
      </c>
      <c r="L14466">
        <v>36.57</v>
      </c>
      <c r="M14466">
        <v>11903</v>
      </c>
      <c r="N14466" t="s">
        <v>32</v>
      </c>
      <c r="O14466">
        <v>251106</v>
      </c>
      <c r="P14466">
        <v>143.43</v>
      </c>
    </row>
    <row r="14467" spans="1:16" x14ac:dyDescent="0.25">
      <c r="A14467" t="s">
        <v>3296</v>
      </c>
      <c r="B14467" t="s">
        <v>2931</v>
      </c>
      <c r="C14467">
        <v>17119</v>
      </c>
      <c r="D14467" t="str">
        <f>"1709        "</f>
        <v xml:space="preserve">1709        </v>
      </c>
      <c r="E14467" t="s">
        <v>1119</v>
      </c>
      <c r="F14467" t="s">
        <v>1120</v>
      </c>
      <c r="G14467">
        <v>36.799999999999997</v>
      </c>
      <c r="H14467">
        <v>251208</v>
      </c>
      <c r="I14467">
        <v>4600</v>
      </c>
      <c r="J14467" t="s">
        <v>278</v>
      </c>
      <c r="K14467">
        <v>36.799999999999997</v>
      </c>
      <c r="L14467">
        <v>7.48</v>
      </c>
      <c r="M14467">
        <v>13821</v>
      </c>
      <c r="N14467" t="s">
        <v>867</v>
      </c>
      <c r="O14467">
        <v>251217</v>
      </c>
      <c r="P14467">
        <v>29.32</v>
      </c>
    </row>
    <row r="14468" spans="1:16" x14ac:dyDescent="0.25">
      <c r="A14468" t="s">
        <v>3296</v>
      </c>
      <c r="B14468" t="s">
        <v>2931</v>
      </c>
      <c r="C14468">
        <v>12114</v>
      </c>
      <c r="D14468" t="str">
        <f>"674         "</f>
        <v xml:space="preserve">674         </v>
      </c>
      <c r="E14468" t="s">
        <v>2320</v>
      </c>
      <c r="F14468" t="s">
        <v>2321</v>
      </c>
      <c r="G14468">
        <v>350</v>
      </c>
      <c r="H14468">
        <v>250902</v>
      </c>
      <c r="I14468">
        <v>4600</v>
      </c>
      <c r="J14468" t="s">
        <v>278</v>
      </c>
      <c r="K14468">
        <v>350</v>
      </c>
      <c r="L14468">
        <v>0</v>
      </c>
      <c r="M14468">
        <v>17522</v>
      </c>
      <c r="N14468" t="s">
        <v>137</v>
      </c>
      <c r="O14468">
        <v>250916</v>
      </c>
      <c r="P14468">
        <v>350</v>
      </c>
    </row>
    <row r="14469" spans="1:16" x14ac:dyDescent="0.25">
      <c r="A14469" t="s">
        <v>3296</v>
      </c>
      <c r="B14469" t="s">
        <v>2931</v>
      </c>
      <c r="C14469">
        <v>673</v>
      </c>
      <c r="D14469" t="str">
        <f>"3008967     "</f>
        <v xml:space="preserve">3008967     </v>
      </c>
      <c r="E14469" t="s">
        <v>661</v>
      </c>
      <c r="F14469" t="s">
        <v>663</v>
      </c>
      <c r="G14469">
        <v>1881</v>
      </c>
      <c r="H14469">
        <v>250201</v>
      </c>
      <c r="I14469">
        <v>4820</v>
      </c>
      <c r="J14469" t="s">
        <v>169</v>
      </c>
      <c r="K14469">
        <v>1881</v>
      </c>
      <c r="L14469">
        <v>0</v>
      </c>
      <c r="M14469">
        <v>13931</v>
      </c>
      <c r="N14469" t="s">
        <v>662</v>
      </c>
      <c r="O14469">
        <v>250127</v>
      </c>
      <c r="P14469">
        <v>1881</v>
      </c>
    </row>
    <row r="14470" spans="1:16" x14ac:dyDescent="0.25">
      <c r="A14470" t="s">
        <v>3296</v>
      </c>
      <c r="B14470" t="s">
        <v>2931</v>
      </c>
      <c r="C14470">
        <v>2529</v>
      </c>
      <c r="D14470" t="str">
        <f>"3014287     "</f>
        <v xml:space="preserve">3014287     </v>
      </c>
      <c r="E14470" t="s">
        <v>661</v>
      </c>
      <c r="F14470" t="s">
        <v>663</v>
      </c>
      <c r="G14470">
        <v>1881</v>
      </c>
      <c r="H14470">
        <v>250301</v>
      </c>
      <c r="I14470">
        <v>4820</v>
      </c>
      <c r="J14470" t="s">
        <v>169</v>
      </c>
      <c r="K14470">
        <v>1881</v>
      </c>
      <c r="L14470">
        <v>0</v>
      </c>
      <c r="M14470">
        <v>13931</v>
      </c>
      <c r="N14470" t="s">
        <v>662</v>
      </c>
      <c r="O14470">
        <v>250303</v>
      </c>
      <c r="P14470">
        <v>1881</v>
      </c>
    </row>
    <row r="14471" spans="1:16" x14ac:dyDescent="0.25">
      <c r="A14471" t="s">
        <v>3296</v>
      </c>
      <c r="B14471" t="s">
        <v>2931</v>
      </c>
      <c r="C14471">
        <v>4074</v>
      </c>
      <c r="D14471" t="str">
        <f>"3017810     "</f>
        <v xml:space="preserve">3017810     </v>
      </c>
      <c r="E14471" t="s">
        <v>661</v>
      </c>
      <c r="F14471" t="s">
        <v>663</v>
      </c>
      <c r="G14471">
        <v>1881</v>
      </c>
      <c r="H14471">
        <v>250401</v>
      </c>
      <c r="I14471">
        <v>4820</v>
      </c>
      <c r="J14471" t="s">
        <v>169</v>
      </c>
      <c r="K14471">
        <v>1881</v>
      </c>
      <c r="L14471">
        <v>0</v>
      </c>
      <c r="M14471">
        <v>13931</v>
      </c>
      <c r="N14471" t="s">
        <v>662</v>
      </c>
      <c r="O14471">
        <v>250407</v>
      </c>
      <c r="P14471">
        <v>1881</v>
      </c>
    </row>
    <row r="14472" spans="1:16" x14ac:dyDescent="0.25">
      <c r="A14472" t="s">
        <v>3296</v>
      </c>
      <c r="B14472" t="s">
        <v>2931</v>
      </c>
      <c r="C14472">
        <v>4599</v>
      </c>
      <c r="D14472" t="str">
        <f>"3018237     "</f>
        <v xml:space="preserve">3018237     </v>
      </c>
      <c r="E14472" t="s">
        <v>661</v>
      </c>
      <c r="F14472" t="s">
        <v>663</v>
      </c>
      <c r="G14472">
        <v>1881</v>
      </c>
      <c r="H14472">
        <v>250331</v>
      </c>
      <c r="I14472">
        <v>4820</v>
      </c>
      <c r="J14472" t="s">
        <v>169</v>
      </c>
      <c r="K14472">
        <v>1881</v>
      </c>
      <c r="L14472">
        <v>0</v>
      </c>
      <c r="M14472">
        <v>13931</v>
      </c>
      <c r="N14472" t="s">
        <v>662</v>
      </c>
      <c r="O14472">
        <v>250414</v>
      </c>
      <c r="P14472">
        <v>1881</v>
      </c>
    </row>
    <row r="14473" spans="1:16" x14ac:dyDescent="0.25">
      <c r="A14473" t="s">
        <v>3296</v>
      </c>
      <c r="B14473" t="s">
        <v>2931</v>
      </c>
      <c r="C14473">
        <v>5721</v>
      </c>
      <c r="D14473" t="str">
        <f>"3022229     "</f>
        <v xml:space="preserve">3022229     </v>
      </c>
      <c r="E14473" t="s">
        <v>661</v>
      </c>
      <c r="F14473" t="s">
        <v>663</v>
      </c>
      <c r="G14473">
        <v>1893</v>
      </c>
      <c r="H14473">
        <v>250501</v>
      </c>
      <c r="I14473">
        <v>4820</v>
      </c>
      <c r="J14473" t="s">
        <v>169</v>
      </c>
      <c r="K14473">
        <v>1893</v>
      </c>
      <c r="L14473">
        <v>0</v>
      </c>
      <c r="M14473">
        <v>13931</v>
      </c>
      <c r="N14473" t="s">
        <v>662</v>
      </c>
      <c r="O14473">
        <v>250429</v>
      </c>
      <c r="P14473">
        <v>1893</v>
      </c>
    </row>
    <row r="14474" spans="1:16" x14ac:dyDescent="0.25">
      <c r="A14474" t="s">
        <v>3296</v>
      </c>
      <c r="B14474" t="s">
        <v>2931</v>
      </c>
      <c r="C14474">
        <v>7393</v>
      </c>
      <c r="D14474" t="str">
        <f>"3026324     "</f>
        <v xml:space="preserve">3026324     </v>
      </c>
      <c r="E14474" t="s">
        <v>661</v>
      </c>
      <c r="F14474" t="s">
        <v>663</v>
      </c>
      <c r="G14474">
        <v>1893</v>
      </c>
      <c r="H14474">
        <v>250601</v>
      </c>
      <c r="I14474">
        <v>4820</v>
      </c>
      <c r="J14474" t="s">
        <v>169</v>
      </c>
      <c r="K14474">
        <v>1893</v>
      </c>
      <c r="L14474">
        <v>0</v>
      </c>
      <c r="M14474">
        <v>13931</v>
      </c>
      <c r="N14474" t="s">
        <v>662</v>
      </c>
      <c r="O14474">
        <v>250603</v>
      </c>
      <c r="P14474">
        <v>1893</v>
      </c>
    </row>
    <row r="14475" spans="1:16" x14ac:dyDescent="0.25">
      <c r="A14475" t="s">
        <v>3296</v>
      </c>
      <c r="B14475" t="s">
        <v>2931</v>
      </c>
      <c r="C14475">
        <v>9185</v>
      </c>
      <c r="D14475" t="str">
        <f>"3029952     "</f>
        <v xml:space="preserve">3029952     </v>
      </c>
      <c r="E14475" t="s">
        <v>661</v>
      </c>
      <c r="F14475" t="s">
        <v>663</v>
      </c>
      <c r="G14475">
        <v>1893</v>
      </c>
      <c r="H14475">
        <v>250701</v>
      </c>
      <c r="I14475">
        <v>4820</v>
      </c>
      <c r="J14475" t="s">
        <v>169</v>
      </c>
      <c r="K14475">
        <v>1893</v>
      </c>
      <c r="L14475">
        <v>0</v>
      </c>
      <c r="M14475">
        <v>13931</v>
      </c>
      <c r="N14475" t="s">
        <v>662</v>
      </c>
      <c r="O14475">
        <v>250627</v>
      </c>
      <c r="P14475">
        <v>1893</v>
      </c>
    </row>
    <row r="14476" spans="1:16" x14ac:dyDescent="0.25">
      <c r="A14476" t="s">
        <v>3296</v>
      </c>
      <c r="B14476" t="s">
        <v>2931</v>
      </c>
      <c r="C14476">
        <v>9858</v>
      </c>
      <c r="D14476" t="str">
        <f>"3033369     "</f>
        <v xml:space="preserve">3033369     </v>
      </c>
      <c r="E14476" t="s">
        <v>661</v>
      </c>
      <c r="F14476" t="s">
        <v>663</v>
      </c>
      <c r="G14476">
        <v>1893</v>
      </c>
      <c r="H14476">
        <v>250801</v>
      </c>
      <c r="I14476">
        <v>4820</v>
      </c>
      <c r="J14476" t="s">
        <v>169</v>
      </c>
      <c r="K14476">
        <v>1893</v>
      </c>
      <c r="L14476">
        <v>0</v>
      </c>
      <c r="M14476">
        <v>13931</v>
      </c>
      <c r="N14476" t="s">
        <v>662</v>
      </c>
      <c r="O14476">
        <v>250730</v>
      </c>
      <c r="P14476">
        <v>1893</v>
      </c>
    </row>
    <row r="14477" spans="1:16" x14ac:dyDescent="0.25">
      <c r="A14477" t="s">
        <v>3296</v>
      </c>
      <c r="B14477" t="s">
        <v>2931</v>
      </c>
      <c r="C14477">
        <v>10875</v>
      </c>
      <c r="D14477" t="str">
        <f>"3036856     "</f>
        <v xml:space="preserve">3036856     </v>
      </c>
      <c r="E14477" t="s">
        <v>661</v>
      </c>
      <c r="F14477" t="s">
        <v>663</v>
      </c>
      <c r="G14477">
        <v>1893</v>
      </c>
      <c r="H14477">
        <v>250901</v>
      </c>
      <c r="I14477">
        <v>4820</v>
      </c>
      <c r="J14477" t="s">
        <v>169</v>
      </c>
      <c r="K14477">
        <v>1893</v>
      </c>
      <c r="L14477">
        <v>0</v>
      </c>
      <c r="M14477">
        <v>13931</v>
      </c>
      <c r="N14477" t="s">
        <v>662</v>
      </c>
      <c r="O14477">
        <v>250826</v>
      </c>
      <c r="P14477">
        <v>1893</v>
      </c>
    </row>
    <row r="14478" spans="1:16" x14ac:dyDescent="0.25">
      <c r="A14478" t="s">
        <v>3296</v>
      </c>
      <c r="B14478" t="s">
        <v>2931</v>
      </c>
      <c r="C14478">
        <v>12882</v>
      </c>
      <c r="D14478" t="str">
        <f>"3039531     "</f>
        <v xml:space="preserve">3039531     </v>
      </c>
      <c r="E14478" t="s">
        <v>661</v>
      </c>
      <c r="F14478" t="s">
        <v>663</v>
      </c>
      <c r="G14478">
        <v>1893</v>
      </c>
      <c r="H14478">
        <v>251001</v>
      </c>
      <c r="I14478">
        <v>4820</v>
      </c>
      <c r="J14478" t="s">
        <v>169</v>
      </c>
      <c r="K14478">
        <v>1893</v>
      </c>
      <c r="L14478">
        <v>0</v>
      </c>
      <c r="M14478">
        <v>13931</v>
      </c>
      <c r="N14478" t="s">
        <v>662</v>
      </c>
      <c r="O14478">
        <v>251001</v>
      </c>
      <c r="P14478">
        <v>1893</v>
      </c>
    </row>
    <row r="14479" spans="1:16" x14ac:dyDescent="0.25">
      <c r="A14479" t="s">
        <v>3296</v>
      </c>
      <c r="B14479" t="s">
        <v>2931</v>
      </c>
      <c r="C14479">
        <v>14263</v>
      </c>
      <c r="D14479" t="str">
        <f>"3041125     "</f>
        <v xml:space="preserve">3041125     </v>
      </c>
      <c r="E14479" t="s">
        <v>661</v>
      </c>
      <c r="F14479" t="s">
        <v>663</v>
      </c>
      <c r="G14479">
        <v>1893</v>
      </c>
      <c r="H14479">
        <v>251101</v>
      </c>
      <c r="I14479">
        <v>4820</v>
      </c>
      <c r="J14479" t="s">
        <v>169</v>
      </c>
      <c r="K14479">
        <v>1893</v>
      </c>
      <c r="L14479">
        <v>0</v>
      </c>
      <c r="M14479">
        <v>13931</v>
      </c>
      <c r="N14479" t="s">
        <v>662</v>
      </c>
      <c r="O14479">
        <v>251028</v>
      </c>
      <c r="P14479">
        <v>1893</v>
      </c>
    </row>
    <row r="14480" spans="1:16" x14ac:dyDescent="0.25">
      <c r="A14480" t="s">
        <v>3296</v>
      </c>
      <c r="B14480" t="s">
        <v>2931</v>
      </c>
      <c r="C14480">
        <v>15744</v>
      </c>
      <c r="D14480" t="str">
        <f>"3043359     "</f>
        <v xml:space="preserve">3043359     </v>
      </c>
      <c r="E14480" t="s">
        <v>661</v>
      </c>
      <c r="F14480" t="s">
        <v>663</v>
      </c>
      <c r="G14480">
        <v>1893</v>
      </c>
      <c r="H14480">
        <v>251201</v>
      </c>
      <c r="I14480">
        <v>4820</v>
      </c>
      <c r="J14480" t="s">
        <v>169</v>
      </c>
      <c r="K14480">
        <v>1893</v>
      </c>
      <c r="L14480">
        <v>0</v>
      </c>
      <c r="M14480">
        <v>13931</v>
      </c>
      <c r="N14480" t="s">
        <v>662</v>
      </c>
      <c r="O14480">
        <v>251126</v>
      </c>
      <c r="P14480">
        <v>1893</v>
      </c>
    </row>
    <row r="14481" spans="1:16" x14ac:dyDescent="0.25">
      <c r="A14481" t="s">
        <v>3296</v>
      </c>
      <c r="B14481" t="s">
        <v>2931</v>
      </c>
      <c r="C14481">
        <v>4219</v>
      </c>
      <c r="D14481" t="str">
        <f>"2024114     "</f>
        <v xml:space="preserve">2024114     </v>
      </c>
      <c r="E14481" t="s">
        <v>3051</v>
      </c>
      <c r="F14481" t="s">
        <v>3052</v>
      </c>
      <c r="G14481">
        <v>72</v>
      </c>
      <c r="H14481">
        <v>250320</v>
      </c>
      <c r="I14481">
        <v>4440</v>
      </c>
      <c r="J14481" t="s">
        <v>346</v>
      </c>
      <c r="K14481">
        <v>450</v>
      </c>
      <c r="L14481">
        <v>8.84</v>
      </c>
      <c r="M14481">
        <v>11903</v>
      </c>
      <c r="N14481" t="s">
        <v>32</v>
      </c>
      <c r="O14481">
        <v>250409</v>
      </c>
      <c r="P14481">
        <v>63.16</v>
      </c>
    </row>
    <row r="14482" spans="1:16" x14ac:dyDescent="0.25">
      <c r="A14482" t="s">
        <v>3296</v>
      </c>
      <c r="B14482" t="s">
        <v>2931</v>
      </c>
      <c r="C14482">
        <v>4219</v>
      </c>
      <c r="D14482" t="str">
        <f>"2024114     "</f>
        <v xml:space="preserve">2024114     </v>
      </c>
      <c r="E14482" t="s">
        <v>3051</v>
      </c>
      <c r="F14482" t="s">
        <v>3052</v>
      </c>
      <c r="G14482">
        <v>378</v>
      </c>
      <c r="H14482">
        <v>250320</v>
      </c>
      <c r="I14482">
        <v>4440</v>
      </c>
      <c r="J14482" t="s">
        <v>346</v>
      </c>
      <c r="K14482">
        <v>450</v>
      </c>
      <c r="L14482">
        <v>46.42</v>
      </c>
      <c r="M14482">
        <v>14986</v>
      </c>
      <c r="N14482" t="s">
        <v>2405</v>
      </c>
      <c r="O14482">
        <v>250409</v>
      </c>
      <c r="P14482">
        <v>331.58</v>
      </c>
    </row>
    <row r="14483" spans="1:16" x14ac:dyDescent="0.25">
      <c r="A14483" t="s">
        <v>3296</v>
      </c>
      <c r="B14483" t="s">
        <v>2931</v>
      </c>
      <c r="C14483">
        <v>7895</v>
      </c>
      <c r="D14483" t="str">
        <f>"2024258     "</f>
        <v xml:space="preserve">2024258     </v>
      </c>
      <c r="E14483" t="s">
        <v>3051</v>
      </c>
      <c r="F14483" t="s">
        <v>3052</v>
      </c>
      <c r="G14483">
        <v>439.25</v>
      </c>
      <c r="H14483">
        <v>250523</v>
      </c>
      <c r="I14483">
        <v>4820</v>
      </c>
      <c r="J14483" t="s">
        <v>169</v>
      </c>
      <c r="K14483">
        <v>439.25</v>
      </c>
      <c r="L14483">
        <v>89.25</v>
      </c>
      <c r="M14483">
        <v>13901</v>
      </c>
      <c r="N14483" t="s">
        <v>116</v>
      </c>
      <c r="O14483">
        <v>250610</v>
      </c>
      <c r="P14483">
        <v>350</v>
      </c>
    </row>
    <row r="14484" spans="1:16" x14ac:dyDescent="0.25">
      <c r="A14484" t="s">
        <v>3296</v>
      </c>
      <c r="B14484" t="s">
        <v>2931</v>
      </c>
      <c r="C14484">
        <v>9485</v>
      </c>
      <c r="D14484" t="str">
        <f>"17887       "</f>
        <v xml:space="preserve">17887       </v>
      </c>
      <c r="E14484" t="s">
        <v>2120</v>
      </c>
      <c r="F14484" t="s">
        <v>2121</v>
      </c>
      <c r="G14484">
        <v>262</v>
      </c>
      <c r="H14484">
        <v>250627</v>
      </c>
      <c r="I14484">
        <v>1196</v>
      </c>
      <c r="J14484" t="s">
        <v>340</v>
      </c>
      <c r="K14484">
        <v>524</v>
      </c>
      <c r="L14484">
        <v>0</v>
      </c>
      <c r="M14484">
        <v>96501</v>
      </c>
      <c r="N14484" t="s">
        <v>2066</v>
      </c>
      <c r="O14484">
        <v>250709</v>
      </c>
      <c r="P14484">
        <v>262</v>
      </c>
    </row>
    <row r="14485" spans="1:16" x14ac:dyDescent="0.25">
      <c r="A14485" t="s">
        <v>3296</v>
      </c>
      <c r="B14485" t="s">
        <v>2931</v>
      </c>
      <c r="C14485">
        <v>9485</v>
      </c>
      <c r="D14485" t="str">
        <f>"17887       "</f>
        <v xml:space="preserve">17887       </v>
      </c>
      <c r="E14485" t="s">
        <v>2120</v>
      </c>
      <c r="F14485" t="s">
        <v>2121</v>
      </c>
      <c r="G14485">
        <v>262</v>
      </c>
      <c r="H14485">
        <v>250627</v>
      </c>
      <c r="I14485">
        <v>1196</v>
      </c>
      <c r="J14485" t="s">
        <v>340</v>
      </c>
      <c r="K14485">
        <v>524</v>
      </c>
      <c r="L14485">
        <v>0</v>
      </c>
      <c r="M14485">
        <v>96501</v>
      </c>
      <c r="N14485" t="s">
        <v>2066</v>
      </c>
      <c r="O14485">
        <v>250709</v>
      </c>
      <c r="P14485">
        <v>262</v>
      </c>
    </row>
    <row r="14486" spans="1:16" x14ac:dyDescent="0.25">
      <c r="A14486" t="s">
        <v>3296</v>
      </c>
      <c r="B14486" t="s">
        <v>2931</v>
      </c>
      <c r="C14486">
        <v>9307</v>
      </c>
      <c r="D14486" t="str">
        <f>"17892       "</f>
        <v xml:space="preserve">17892       </v>
      </c>
      <c r="E14486" t="s">
        <v>2120</v>
      </c>
      <c r="F14486" t="s">
        <v>2121</v>
      </c>
      <c r="G14486">
        <v>161.6</v>
      </c>
      <c r="H14486">
        <v>250627</v>
      </c>
      <c r="I14486">
        <v>4390</v>
      </c>
      <c r="J14486" t="s">
        <v>232</v>
      </c>
      <c r="K14486">
        <v>484.8</v>
      </c>
      <c r="L14486">
        <v>0</v>
      </c>
      <c r="M14486">
        <v>11401</v>
      </c>
      <c r="N14486" t="s">
        <v>91</v>
      </c>
      <c r="O14486">
        <v>250703</v>
      </c>
      <c r="P14486">
        <v>161.6</v>
      </c>
    </row>
    <row r="14487" spans="1:16" x14ac:dyDescent="0.25">
      <c r="A14487" t="s">
        <v>3296</v>
      </c>
      <c r="B14487" t="s">
        <v>2931</v>
      </c>
      <c r="C14487">
        <v>9307</v>
      </c>
      <c r="D14487" t="str">
        <f>"17892       "</f>
        <v xml:space="preserve">17892       </v>
      </c>
      <c r="E14487" t="s">
        <v>2120</v>
      </c>
      <c r="F14487" t="s">
        <v>2121</v>
      </c>
      <c r="G14487">
        <v>323.2</v>
      </c>
      <c r="H14487">
        <v>250627</v>
      </c>
      <c r="I14487">
        <v>4390</v>
      </c>
      <c r="J14487" t="s">
        <v>232</v>
      </c>
      <c r="K14487">
        <v>484.8</v>
      </c>
      <c r="L14487">
        <v>0</v>
      </c>
      <c r="M14487">
        <v>14952</v>
      </c>
      <c r="N14487" t="s">
        <v>213</v>
      </c>
      <c r="O14487">
        <v>250703</v>
      </c>
      <c r="P14487">
        <v>323.2</v>
      </c>
    </row>
    <row r="14488" spans="1:16" x14ac:dyDescent="0.25">
      <c r="A14488" t="s">
        <v>3296</v>
      </c>
      <c r="B14488" t="s">
        <v>2931</v>
      </c>
      <c r="C14488">
        <v>12617</v>
      </c>
      <c r="D14488" t="str">
        <f>"18114       "</f>
        <v xml:space="preserve">18114       </v>
      </c>
      <c r="E14488" t="s">
        <v>2120</v>
      </c>
      <c r="F14488" t="s">
        <v>2121</v>
      </c>
      <c r="G14488">
        <v>48</v>
      </c>
      <c r="H14488">
        <v>250916</v>
      </c>
      <c r="I14488">
        <v>4400</v>
      </c>
      <c r="J14488" t="s">
        <v>162</v>
      </c>
      <c r="K14488">
        <v>160</v>
      </c>
      <c r="L14488">
        <v>0</v>
      </c>
      <c r="M14488">
        <v>11401</v>
      </c>
      <c r="N14488" t="s">
        <v>91</v>
      </c>
      <c r="O14488">
        <v>250929</v>
      </c>
      <c r="P14488">
        <v>48</v>
      </c>
    </row>
    <row r="14489" spans="1:16" x14ac:dyDescent="0.25">
      <c r="A14489" t="s">
        <v>3296</v>
      </c>
      <c r="B14489" t="s">
        <v>2931</v>
      </c>
      <c r="C14489">
        <v>12617</v>
      </c>
      <c r="D14489" t="str">
        <f>"18114       "</f>
        <v xml:space="preserve">18114       </v>
      </c>
      <c r="E14489" t="s">
        <v>2120</v>
      </c>
      <c r="F14489" t="s">
        <v>2121</v>
      </c>
      <c r="G14489">
        <v>112</v>
      </c>
      <c r="H14489">
        <v>250916</v>
      </c>
      <c r="I14489">
        <v>4400</v>
      </c>
      <c r="J14489" t="s">
        <v>162</v>
      </c>
      <c r="K14489">
        <v>160</v>
      </c>
      <c r="L14489">
        <v>0</v>
      </c>
      <c r="M14489">
        <v>14952</v>
      </c>
      <c r="N14489" t="s">
        <v>213</v>
      </c>
      <c r="O14489">
        <v>250929</v>
      </c>
      <c r="P14489">
        <v>112</v>
      </c>
    </row>
    <row r="14490" spans="1:16" x14ac:dyDescent="0.25">
      <c r="A14490" t="s">
        <v>3296</v>
      </c>
      <c r="B14490" t="s">
        <v>2931</v>
      </c>
      <c r="C14490">
        <v>2452</v>
      </c>
      <c r="D14490" t="str">
        <f>"15505745    "</f>
        <v xml:space="preserve">15505745    </v>
      </c>
      <c r="E14490" t="s">
        <v>2961</v>
      </c>
      <c r="F14490" t="s">
        <v>2962</v>
      </c>
      <c r="G14490">
        <v>237</v>
      </c>
      <c r="H14490">
        <v>250225</v>
      </c>
      <c r="I14490">
        <v>1196</v>
      </c>
      <c r="J14490" t="s">
        <v>340</v>
      </c>
      <c r="K14490">
        <v>237</v>
      </c>
      <c r="L14490">
        <v>0</v>
      </c>
      <c r="M14490">
        <v>97604</v>
      </c>
      <c r="N14490" t="s">
        <v>341</v>
      </c>
      <c r="O14490">
        <v>250227</v>
      </c>
      <c r="P14490">
        <v>237</v>
      </c>
    </row>
    <row r="14491" spans="1:16" x14ac:dyDescent="0.25">
      <c r="A14491" t="s">
        <v>3296</v>
      </c>
      <c r="B14491" t="s">
        <v>2931</v>
      </c>
      <c r="C14491">
        <v>5800</v>
      </c>
      <c r="D14491" t="str">
        <f>"10542291    "</f>
        <v xml:space="preserve">10542291    </v>
      </c>
      <c r="E14491" t="s">
        <v>2961</v>
      </c>
      <c r="F14491" t="s">
        <v>2962</v>
      </c>
      <c r="G14491">
        <v>66.7</v>
      </c>
      <c r="H14491">
        <v>250417</v>
      </c>
      <c r="I14491">
        <v>4470</v>
      </c>
      <c r="J14491" t="s">
        <v>203</v>
      </c>
      <c r="K14491">
        <v>66.7</v>
      </c>
      <c r="L14491">
        <v>0</v>
      </c>
      <c r="M14491">
        <v>13501</v>
      </c>
      <c r="N14491" t="s">
        <v>66</v>
      </c>
      <c r="O14491">
        <v>250505</v>
      </c>
      <c r="P14491">
        <v>66.7</v>
      </c>
    </row>
    <row r="14492" spans="1:16" x14ac:dyDescent="0.25">
      <c r="A14492" t="s">
        <v>3296</v>
      </c>
      <c r="B14492" t="s">
        <v>2931</v>
      </c>
      <c r="C14492">
        <v>13896</v>
      </c>
      <c r="D14492" t="str">
        <f>"15507473    "</f>
        <v xml:space="preserve">15507473    </v>
      </c>
      <c r="E14492" t="s">
        <v>2961</v>
      </c>
      <c r="F14492" t="s">
        <v>2962</v>
      </c>
      <c r="G14492">
        <v>309</v>
      </c>
      <c r="H14492">
        <v>251014</v>
      </c>
      <c r="I14492">
        <v>4470</v>
      </c>
      <c r="J14492" t="s">
        <v>203</v>
      </c>
      <c r="K14492">
        <v>309</v>
      </c>
      <c r="L14492">
        <v>0</v>
      </c>
      <c r="M14492">
        <v>17951</v>
      </c>
      <c r="N14492" t="s">
        <v>207</v>
      </c>
      <c r="O14492">
        <v>251020</v>
      </c>
      <c r="P14492">
        <v>309</v>
      </c>
    </row>
    <row r="14493" spans="1:16" x14ac:dyDescent="0.25">
      <c r="A14493" t="s">
        <v>3296</v>
      </c>
      <c r="B14493" t="s">
        <v>2931</v>
      </c>
      <c r="C14493">
        <v>14000</v>
      </c>
      <c r="D14493" t="str">
        <f>"15507467    "</f>
        <v xml:space="preserve">15507467    </v>
      </c>
      <c r="E14493" t="s">
        <v>2961</v>
      </c>
      <c r="F14493" t="s">
        <v>2962</v>
      </c>
      <c r="G14493">
        <v>201</v>
      </c>
      <c r="H14493">
        <v>251014</v>
      </c>
      <c r="I14493">
        <v>4470</v>
      </c>
      <c r="J14493" t="s">
        <v>203</v>
      </c>
      <c r="K14493">
        <v>201</v>
      </c>
      <c r="L14493">
        <v>0</v>
      </c>
      <c r="M14493">
        <v>17956</v>
      </c>
      <c r="N14493" t="s">
        <v>170</v>
      </c>
      <c r="O14493">
        <v>251021</v>
      </c>
      <c r="P14493">
        <v>201</v>
      </c>
    </row>
    <row r="14494" spans="1:16" x14ac:dyDescent="0.25">
      <c r="A14494" t="s">
        <v>3296</v>
      </c>
      <c r="B14494" t="s">
        <v>2931</v>
      </c>
      <c r="C14494">
        <v>15305</v>
      </c>
      <c r="D14494" t="str">
        <f>"15507534    "</f>
        <v xml:space="preserve">15507534    </v>
      </c>
      <c r="E14494" t="s">
        <v>2961</v>
      </c>
      <c r="F14494" t="s">
        <v>2962</v>
      </c>
      <c r="G14494">
        <v>91</v>
      </c>
      <c r="H14494">
        <v>251029</v>
      </c>
      <c r="I14494">
        <v>4470</v>
      </c>
      <c r="J14494" t="s">
        <v>203</v>
      </c>
      <c r="K14494">
        <v>273</v>
      </c>
      <c r="L14494">
        <v>0</v>
      </c>
      <c r="M14494">
        <v>59501</v>
      </c>
      <c r="N14494" t="s">
        <v>62</v>
      </c>
      <c r="O14494">
        <v>251118</v>
      </c>
      <c r="P14494">
        <v>91</v>
      </c>
    </row>
    <row r="14495" spans="1:16" x14ac:dyDescent="0.25">
      <c r="A14495" t="s">
        <v>3296</v>
      </c>
      <c r="B14495" t="s">
        <v>2931</v>
      </c>
      <c r="C14495">
        <v>15305</v>
      </c>
      <c r="D14495" t="str">
        <f>"15507534    "</f>
        <v xml:space="preserve">15507534    </v>
      </c>
      <c r="E14495" t="s">
        <v>2961</v>
      </c>
      <c r="F14495" t="s">
        <v>2962</v>
      </c>
      <c r="G14495">
        <v>55.51</v>
      </c>
      <c r="H14495">
        <v>251029</v>
      </c>
      <c r="I14495">
        <v>4470</v>
      </c>
      <c r="J14495" t="s">
        <v>203</v>
      </c>
      <c r="K14495">
        <v>273</v>
      </c>
      <c r="L14495">
        <v>0</v>
      </c>
      <c r="M14495">
        <v>59502</v>
      </c>
      <c r="N14495" t="s">
        <v>63</v>
      </c>
      <c r="O14495">
        <v>251118</v>
      </c>
      <c r="P14495">
        <v>55.51</v>
      </c>
    </row>
    <row r="14496" spans="1:16" x14ac:dyDescent="0.25">
      <c r="A14496" t="s">
        <v>3296</v>
      </c>
      <c r="B14496" t="s">
        <v>2931</v>
      </c>
      <c r="C14496">
        <v>15305</v>
      </c>
      <c r="D14496" t="str">
        <f>"15507534    "</f>
        <v xml:space="preserve">15507534    </v>
      </c>
      <c r="E14496" t="s">
        <v>2961</v>
      </c>
      <c r="F14496" t="s">
        <v>2962</v>
      </c>
      <c r="G14496">
        <v>91</v>
      </c>
      <c r="H14496">
        <v>251029</v>
      </c>
      <c r="I14496">
        <v>4470</v>
      </c>
      <c r="J14496" t="s">
        <v>203</v>
      </c>
      <c r="K14496">
        <v>273</v>
      </c>
      <c r="L14496">
        <v>0</v>
      </c>
      <c r="M14496">
        <v>59504</v>
      </c>
      <c r="N14496" t="s">
        <v>193</v>
      </c>
      <c r="O14496">
        <v>251118</v>
      </c>
      <c r="P14496">
        <v>91</v>
      </c>
    </row>
    <row r="14497" spans="1:16" x14ac:dyDescent="0.25">
      <c r="A14497" t="s">
        <v>3296</v>
      </c>
      <c r="B14497" t="s">
        <v>2931</v>
      </c>
      <c r="C14497">
        <v>15305</v>
      </c>
      <c r="D14497" t="str">
        <f>"15507534    "</f>
        <v xml:space="preserve">15507534    </v>
      </c>
      <c r="E14497" t="s">
        <v>2961</v>
      </c>
      <c r="F14497" t="s">
        <v>2962</v>
      </c>
      <c r="G14497">
        <v>35.49</v>
      </c>
      <c r="H14497">
        <v>251029</v>
      </c>
      <c r="I14497">
        <v>4470</v>
      </c>
      <c r="J14497" t="s">
        <v>203</v>
      </c>
      <c r="K14497">
        <v>273</v>
      </c>
      <c r="L14497">
        <v>0</v>
      </c>
      <c r="M14497">
        <v>59802</v>
      </c>
      <c r="N14497" t="s">
        <v>195</v>
      </c>
      <c r="O14497">
        <v>251118</v>
      </c>
      <c r="P14497">
        <v>35.49</v>
      </c>
    </row>
    <row r="14498" spans="1:16" x14ac:dyDescent="0.25">
      <c r="A14498" t="s">
        <v>3296</v>
      </c>
      <c r="B14498" t="s">
        <v>2931</v>
      </c>
      <c r="C14498">
        <v>6516</v>
      </c>
      <c r="D14498" t="str">
        <f>"15506359    "</f>
        <v xml:space="preserve">15506359    </v>
      </c>
      <c r="E14498" t="s">
        <v>2961</v>
      </c>
      <c r="F14498" t="s">
        <v>2962</v>
      </c>
      <c r="G14498">
        <v>1947</v>
      </c>
      <c r="H14498">
        <v>250430</v>
      </c>
      <c r="I14498">
        <v>4471</v>
      </c>
      <c r="J14498" t="s">
        <v>191</v>
      </c>
      <c r="K14498">
        <v>1947</v>
      </c>
      <c r="L14498">
        <v>0</v>
      </c>
      <c r="M14498">
        <v>49501</v>
      </c>
      <c r="N14498" t="s">
        <v>110</v>
      </c>
      <c r="O14498">
        <v>250513</v>
      </c>
      <c r="P14498">
        <v>1947</v>
      </c>
    </row>
    <row r="14499" spans="1:16" x14ac:dyDescent="0.25">
      <c r="A14499" t="s">
        <v>3296</v>
      </c>
      <c r="B14499" t="s">
        <v>2931</v>
      </c>
      <c r="C14499">
        <v>17713</v>
      </c>
      <c r="D14499" t="str">
        <f>"15508136    "</f>
        <v xml:space="preserve">15508136    </v>
      </c>
      <c r="E14499" t="s">
        <v>2961</v>
      </c>
      <c r="F14499" t="s">
        <v>2962</v>
      </c>
      <c r="G14499">
        <v>987</v>
      </c>
      <c r="H14499">
        <v>251215</v>
      </c>
      <c r="I14499">
        <v>4471</v>
      </c>
      <c r="J14499" t="s">
        <v>191</v>
      </c>
      <c r="K14499">
        <v>987</v>
      </c>
      <c r="L14499">
        <v>0</v>
      </c>
      <c r="M14499">
        <v>49501</v>
      </c>
      <c r="N14499" t="s">
        <v>110</v>
      </c>
      <c r="O14499">
        <v>251229</v>
      </c>
      <c r="P14499">
        <v>987</v>
      </c>
    </row>
    <row r="14500" spans="1:16" x14ac:dyDescent="0.25">
      <c r="A14500" t="s">
        <v>3296</v>
      </c>
      <c r="B14500" t="s">
        <v>2931</v>
      </c>
      <c r="C14500">
        <v>2733</v>
      </c>
      <c r="D14500" t="str">
        <f>"1501193     "</f>
        <v xml:space="preserve">1501193     </v>
      </c>
      <c r="E14500" t="s">
        <v>1340</v>
      </c>
      <c r="F14500" t="s">
        <v>1341</v>
      </c>
      <c r="G14500">
        <v>552.6</v>
      </c>
      <c r="H14500">
        <v>250221</v>
      </c>
      <c r="I14500">
        <v>4380</v>
      </c>
      <c r="J14500" t="s">
        <v>211</v>
      </c>
      <c r="K14500">
        <v>552.6</v>
      </c>
      <c r="L14500">
        <v>112.28</v>
      </c>
      <c r="M14500">
        <v>49501</v>
      </c>
      <c r="N14500" t="s">
        <v>110</v>
      </c>
      <c r="O14500">
        <v>250311</v>
      </c>
      <c r="P14500">
        <v>440.32</v>
      </c>
    </row>
    <row r="14501" spans="1:16" x14ac:dyDescent="0.25">
      <c r="A14501" t="s">
        <v>3296</v>
      </c>
      <c r="B14501" t="s">
        <v>2931</v>
      </c>
      <c r="C14501">
        <v>5103</v>
      </c>
      <c r="D14501" t="str">
        <f>"55019695    "</f>
        <v xml:space="preserve">55019695    </v>
      </c>
      <c r="E14501" t="s">
        <v>1340</v>
      </c>
      <c r="F14501" t="s">
        <v>1341</v>
      </c>
      <c r="G14501">
        <v>36.86</v>
      </c>
      <c r="H14501">
        <v>250331</v>
      </c>
      <c r="I14501">
        <v>4380</v>
      </c>
      <c r="J14501" t="s">
        <v>211</v>
      </c>
      <c r="K14501">
        <v>36.86</v>
      </c>
      <c r="L14501">
        <v>7.49</v>
      </c>
      <c r="M14501">
        <v>13940</v>
      </c>
      <c r="N14501" t="s">
        <v>14</v>
      </c>
      <c r="O14501">
        <v>250416</v>
      </c>
      <c r="P14501">
        <v>29.37</v>
      </c>
    </row>
    <row r="14502" spans="1:16" x14ac:dyDescent="0.25">
      <c r="A14502" t="s">
        <v>3296</v>
      </c>
      <c r="B14502" t="s">
        <v>2931</v>
      </c>
      <c r="C14502">
        <v>5157</v>
      </c>
      <c r="D14502" t="str">
        <f>"55026792    "</f>
        <v xml:space="preserve">55026792    </v>
      </c>
      <c r="E14502" t="s">
        <v>1340</v>
      </c>
      <c r="F14502" t="s">
        <v>1341</v>
      </c>
      <c r="G14502">
        <v>93.18</v>
      </c>
      <c r="H14502">
        <v>250331</v>
      </c>
      <c r="I14502">
        <v>4380</v>
      </c>
      <c r="J14502" t="s">
        <v>211</v>
      </c>
      <c r="K14502">
        <v>279.55</v>
      </c>
      <c r="L14502">
        <v>18.93</v>
      </c>
      <c r="M14502">
        <v>11401</v>
      </c>
      <c r="N14502" t="s">
        <v>91</v>
      </c>
      <c r="O14502">
        <v>250417</v>
      </c>
      <c r="P14502">
        <v>74.25</v>
      </c>
    </row>
    <row r="14503" spans="1:16" x14ac:dyDescent="0.25">
      <c r="A14503" t="s">
        <v>3296</v>
      </c>
      <c r="B14503" t="s">
        <v>2931</v>
      </c>
      <c r="C14503">
        <v>5157</v>
      </c>
      <c r="D14503" t="str">
        <f>"55026792    "</f>
        <v xml:space="preserve">55026792    </v>
      </c>
      <c r="E14503" t="s">
        <v>1340</v>
      </c>
      <c r="F14503" t="s">
        <v>1341</v>
      </c>
      <c r="G14503">
        <v>186.37</v>
      </c>
      <c r="H14503">
        <v>250331</v>
      </c>
      <c r="I14503">
        <v>4380</v>
      </c>
      <c r="J14503" t="s">
        <v>211</v>
      </c>
      <c r="K14503">
        <v>279.55</v>
      </c>
      <c r="L14503">
        <v>37.869999999999997</v>
      </c>
      <c r="M14503">
        <v>14952</v>
      </c>
      <c r="N14503" t="s">
        <v>213</v>
      </c>
      <c r="O14503">
        <v>250417</v>
      </c>
      <c r="P14503">
        <v>148.5</v>
      </c>
    </row>
    <row r="14504" spans="1:16" x14ac:dyDescent="0.25">
      <c r="A14504" t="s">
        <v>3296</v>
      </c>
      <c r="B14504" t="s">
        <v>2931</v>
      </c>
      <c r="C14504">
        <v>5524</v>
      </c>
      <c r="D14504" t="str">
        <f>"55026718    "</f>
        <v xml:space="preserve">55026718    </v>
      </c>
      <c r="E14504" t="s">
        <v>1340</v>
      </c>
      <c r="F14504" t="s">
        <v>1341</v>
      </c>
      <c r="G14504">
        <v>1817.25</v>
      </c>
      <c r="H14504">
        <v>250411</v>
      </c>
      <c r="I14504">
        <v>4380</v>
      </c>
      <c r="J14504" t="s">
        <v>211</v>
      </c>
      <c r="K14504">
        <v>1817.25</v>
      </c>
      <c r="L14504">
        <v>369.24</v>
      </c>
      <c r="M14504">
        <v>14951</v>
      </c>
      <c r="N14504" t="s">
        <v>186</v>
      </c>
      <c r="O14504">
        <v>250425</v>
      </c>
      <c r="P14504">
        <v>1448.01</v>
      </c>
    </row>
    <row r="14505" spans="1:16" x14ac:dyDescent="0.25">
      <c r="A14505" t="s">
        <v>3296</v>
      </c>
      <c r="B14505" t="s">
        <v>2931</v>
      </c>
      <c r="C14505">
        <v>5699</v>
      </c>
      <c r="D14505" t="str">
        <f>"55044075    "</f>
        <v xml:space="preserve">55044075    </v>
      </c>
      <c r="E14505" t="s">
        <v>1340</v>
      </c>
      <c r="F14505" t="s">
        <v>1341</v>
      </c>
      <c r="G14505">
        <v>2146.54</v>
      </c>
      <c r="H14505">
        <v>250422</v>
      </c>
      <c r="I14505">
        <v>4380</v>
      </c>
      <c r="J14505" t="s">
        <v>211</v>
      </c>
      <c r="K14505">
        <v>2146.54</v>
      </c>
      <c r="L14505">
        <v>436.15</v>
      </c>
      <c r="M14505">
        <v>17951</v>
      </c>
      <c r="N14505" t="s">
        <v>207</v>
      </c>
      <c r="O14505">
        <v>250429</v>
      </c>
      <c r="P14505">
        <v>1710.39</v>
      </c>
    </row>
    <row r="14506" spans="1:16" x14ac:dyDescent="0.25">
      <c r="A14506" t="s">
        <v>3296</v>
      </c>
      <c r="B14506" t="s">
        <v>2931</v>
      </c>
      <c r="C14506">
        <v>5700</v>
      </c>
      <c r="D14506" t="str">
        <f>"55043892    "</f>
        <v xml:space="preserve">55043892    </v>
      </c>
      <c r="E14506" t="s">
        <v>1340</v>
      </c>
      <c r="F14506" t="s">
        <v>1341</v>
      </c>
      <c r="G14506">
        <v>1223.1099999999999</v>
      </c>
      <c r="H14506">
        <v>250422</v>
      </c>
      <c r="I14506">
        <v>4380</v>
      </c>
      <c r="J14506" t="s">
        <v>211</v>
      </c>
      <c r="K14506">
        <v>1223.1099999999999</v>
      </c>
      <c r="L14506">
        <v>248.52</v>
      </c>
      <c r="M14506">
        <v>17952</v>
      </c>
      <c r="N14506" t="s">
        <v>157</v>
      </c>
      <c r="O14506">
        <v>250429</v>
      </c>
      <c r="P14506">
        <v>974.59</v>
      </c>
    </row>
    <row r="14507" spans="1:16" x14ac:dyDescent="0.25">
      <c r="A14507" t="s">
        <v>3296</v>
      </c>
      <c r="B14507" t="s">
        <v>2931</v>
      </c>
      <c r="C14507">
        <v>7112</v>
      </c>
      <c r="D14507" t="str">
        <f>"55063829    "</f>
        <v xml:space="preserve">55063829    </v>
      </c>
      <c r="E14507" t="s">
        <v>1340</v>
      </c>
      <c r="F14507" t="s">
        <v>1341</v>
      </c>
      <c r="G14507">
        <v>256.52</v>
      </c>
      <c r="H14507">
        <v>250515</v>
      </c>
      <c r="I14507">
        <v>4380</v>
      </c>
      <c r="J14507" t="s">
        <v>211</v>
      </c>
      <c r="K14507">
        <v>256.52</v>
      </c>
      <c r="L14507">
        <v>52.12</v>
      </c>
      <c r="M14507">
        <v>49503</v>
      </c>
      <c r="N14507" t="s">
        <v>267</v>
      </c>
      <c r="O14507">
        <v>250522</v>
      </c>
      <c r="P14507">
        <v>204.4</v>
      </c>
    </row>
    <row r="14508" spans="1:16" x14ac:dyDescent="0.25">
      <c r="A14508" t="s">
        <v>3296</v>
      </c>
      <c r="B14508" t="s">
        <v>2931</v>
      </c>
      <c r="C14508">
        <v>7382</v>
      </c>
      <c r="D14508" t="str">
        <f>"55063046    "</f>
        <v xml:space="preserve">55063046    </v>
      </c>
      <c r="E14508" t="s">
        <v>1340</v>
      </c>
      <c r="F14508" t="s">
        <v>1341</v>
      </c>
      <c r="G14508">
        <v>496.01</v>
      </c>
      <c r="H14508">
        <v>250515</v>
      </c>
      <c r="I14508">
        <v>4380</v>
      </c>
      <c r="J14508" t="s">
        <v>211</v>
      </c>
      <c r="K14508">
        <v>496.01</v>
      </c>
      <c r="L14508">
        <v>100.78</v>
      </c>
      <c r="M14508">
        <v>49501</v>
      </c>
      <c r="N14508" t="s">
        <v>110</v>
      </c>
      <c r="O14508">
        <v>250603</v>
      </c>
      <c r="P14508">
        <v>395.23</v>
      </c>
    </row>
    <row r="14509" spans="1:16" x14ac:dyDescent="0.25">
      <c r="A14509" t="s">
        <v>3296</v>
      </c>
      <c r="B14509" t="s">
        <v>2931</v>
      </c>
      <c r="C14509">
        <v>7398</v>
      </c>
      <c r="D14509" t="str">
        <f>"55063048    "</f>
        <v xml:space="preserve">55063048    </v>
      </c>
      <c r="E14509" t="s">
        <v>1340</v>
      </c>
      <c r="F14509" t="s">
        <v>1341</v>
      </c>
      <c r="G14509">
        <v>1555.5</v>
      </c>
      <c r="H14509">
        <v>250515</v>
      </c>
      <c r="I14509">
        <v>4380</v>
      </c>
      <c r="J14509" t="s">
        <v>211</v>
      </c>
      <c r="K14509">
        <v>1555.5</v>
      </c>
      <c r="L14509">
        <v>316.06</v>
      </c>
      <c r="M14509">
        <v>49501</v>
      </c>
      <c r="N14509" t="s">
        <v>110</v>
      </c>
      <c r="O14509">
        <v>250603</v>
      </c>
      <c r="P14509">
        <v>1239.44</v>
      </c>
    </row>
    <row r="14510" spans="1:16" x14ac:dyDescent="0.25">
      <c r="A14510" t="s">
        <v>3296</v>
      </c>
      <c r="B14510" t="s">
        <v>2931</v>
      </c>
      <c r="C14510">
        <v>7685</v>
      </c>
      <c r="D14510" t="str">
        <f>"1503633     "</f>
        <v xml:space="preserve">1503633     </v>
      </c>
      <c r="E14510" t="s">
        <v>1340</v>
      </c>
      <c r="F14510" t="s">
        <v>1341</v>
      </c>
      <c r="G14510">
        <v>27</v>
      </c>
      <c r="H14510">
        <v>250501</v>
      </c>
      <c r="I14510">
        <v>4380</v>
      </c>
      <c r="J14510" t="s">
        <v>211</v>
      </c>
      <c r="K14510">
        <v>27</v>
      </c>
      <c r="L14510">
        <v>5.49</v>
      </c>
      <c r="M14510">
        <v>17950</v>
      </c>
      <c r="N14510" t="s">
        <v>132</v>
      </c>
      <c r="O14510">
        <v>250609</v>
      </c>
      <c r="P14510">
        <v>21.51</v>
      </c>
    </row>
    <row r="14511" spans="1:16" x14ac:dyDescent="0.25">
      <c r="A14511" t="s">
        <v>3296</v>
      </c>
      <c r="B14511" t="s">
        <v>2931</v>
      </c>
      <c r="C14511">
        <v>9775</v>
      </c>
      <c r="D14511" t="str">
        <f>"55078191    "</f>
        <v xml:space="preserve">55078191    </v>
      </c>
      <c r="E14511" t="s">
        <v>1340</v>
      </c>
      <c r="F14511" t="s">
        <v>1341</v>
      </c>
      <c r="G14511">
        <v>36.86</v>
      </c>
      <c r="H14511">
        <v>250630</v>
      </c>
      <c r="I14511">
        <v>4380</v>
      </c>
      <c r="J14511" t="s">
        <v>211</v>
      </c>
      <c r="K14511">
        <v>36.86</v>
      </c>
      <c r="L14511">
        <v>7.49</v>
      </c>
      <c r="M14511">
        <v>13901</v>
      </c>
      <c r="N14511" t="s">
        <v>116</v>
      </c>
      <c r="O14511">
        <v>250728</v>
      </c>
      <c r="P14511">
        <v>29.37</v>
      </c>
    </row>
    <row r="14512" spans="1:16" x14ac:dyDescent="0.25">
      <c r="A14512" t="s">
        <v>3296</v>
      </c>
      <c r="B14512" t="s">
        <v>2931</v>
      </c>
      <c r="C14512">
        <v>9813</v>
      </c>
      <c r="D14512" t="str">
        <f>"55105945    "</f>
        <v xml:space="preserve">55105945    </v>
      </c>
      <c r="E14512" t="s">
        <v>1340</v>
      </c>
      <c r="F14512" t="s">
        <v>1341</v>
      </c>
      <c r="G14512">
        <v>296.06</v>
      </c>
      <c r="H14512">
        <v>250630</v>
      </c>
      <c r="I14512">
        <v>4380</v>
      </c>
      <c r="J14512" t="s">
        <v>211</v>
      </c>
      <c r="K14512">
        <v>3637.03</v>
      </c>
      <c r="L14512">
        <v>60.16</v>
      </c>
      <c r="M14512">
        <v>17803</v>
      </c>
      <c r="N14512" t="s">
        <v>19</v>
      </c>
      <c r="O14512">
        <v>250729</v>
      </c>
      <c r="P14512">
        <v>235.9</v>
      </c>
    </row>
    <row r="14513" spans="1:16" x14ac:dyDescent="0.25">
      <c r="A14513" t="s">
        <v>3296</v>
      </c>
      <c r="B14513" t="s">
        <v>2931</v>
      </c>
      <c r="C14513">
        <v>9813</v>
      </c>
      <c r="D14513" t="str">
        <f>"55105945    "</f>
        <v xml:space="preserve">55105945    </v>
      </c>
      <c r="E14513" t="s">
        <v>1340</v>
      </c>
      <c r="F14513" t="s">
        <v>1341</v>
      </c>
      <c r="G14513">
        <v>258.5</v>
      </c>
      <c r="H14513">
        <v>250630</v>
      </c>
      <c r="I14513">
        <v>4380</v>
      </c>
      <c r="J14513" t="s">
        <v>211</v>
      </c>
      <c r="K14513">
        <v>3637.03</v>
      </c>
      <c r="L14513">
        <v>52.52</v>
      </c>
      <c r="M14513">
        <v>17913</v>
      </c>
      <c r="N14513" t="s">
        <v>26</v>
      </c>
      <c r="O14513">
        <v>250729</v>
      </c>
      <c r="P14513">
        <v>205.98</v>
      </c>
    </row>
    <row r="14514" spans="1:16" x14ac:dyDescent="0.25">
      <c r="A14514" t="s">
        <v>3296</v>
      </c>
      <c r="B14514" t="s">
        <v>2931</v>
      </c>
      <c r="C14514">
        <v>9813</v>
      </c>
      <c r="D14514" t="str">
        <f>"55105945    "</f>
        <v xml:space="preserve">55105945    </v>
      </c>
      <c r="E14514" t="s">
        <v>1340</v>
      </c>
      <c r="F14514" t="s">
        <v>1341</v>
      </c>
      <c r="G14514">
        <v>516</v>
      </c>
      <c r="H14514">
        <v>250630</v>
      </c>
      <c r="I14514">
        <v>4380</v>
      </c>
      <c r="J14514" t="s">
        <v>211</v>
      </c>
      <c r="K14514">
        <v>3637.03</v>
      </c>
      <c r="L14514">
        <v>104.84</v>
      </c>
      <c r="M14514">
        <v>17913</v>
      </c>
      <c r="N14514" t="s">
        <v>26</v>
      </c>
      <c r="O14514">
        <v>250729</v>
      </c>
      <c r="P14514">
        <v>411.16</v>
      </c>
    </row>
    <row r="14515" spans="1:16" x14ac:dyDescent="0.25">
      <c r="A14515" t="s">
        <v>3296</v>
      </c>
      <c r="B14515" t="s">
        <v>2931</v>
      </c>
      <c r="C14515">
        <v>9813</v>
      </c>
      <c r="D14515" t="str">
        <f>"55105945    "</f>
        <v xml:space="preserve">55105945    </v>
      </c>
      <c r="E14515" t="s">
        <v>1340</v>
      </c>
      <c r="F14515" t="s">
        <v>1341</v>
      </c>
      <c r="G14515">
        <v>2566.4699999999998</v>
      </c>
      <c r="H14515">
        <v>250630</v>
      </c>
      <c r="I14515">
        <v>4380</v>
      </c>
      <c r="J14515" t="s">
        <v>211</v>
      </c>
      <c r="K14515">
        <v>3637.03</v>
      </c>
      <c r="L14515">
        <v>521.47</v>
      </c>
      <c r="M14515">
        <v>17951</v>
      </c>
      <c r="N14515" t="s">
        <v>207</v>
      </c>
      <c r="O14515">
        <v>250729</v>
      </c>
      <c r="P14515">
        <v>2045</v>
      </c>
    </row>
    <row r="14516" spans="1:16" x14ac:dyDescent="0.25">
      <c r="A14516" t="s">
        <v>3296</v>
      </c>
      <c r="B14516" t="s">
        <v>2931</v>
      </c>
      <c r="C14516">
        <v>9817</v>
      </c>
      <c r="D14516" t="str">
        <f>"55105577    "</f>
        <v xml:space="preserve">55105577    </v>
      </c>
      <c r="E14516" t="s">
        <v>1340</v>
      </c>
      <c r="F14516" t="s">
        <v>1341</v>
      </c>
      <c r="G14516">
        <v>1345.99</v>
      </c>
      <c r="H14516">
        <v>250630</v>
      </c>
      <c r="I14516">
        <v>4380</v>
      </c>
      <c r="J14516" t="s">
        <v>211</v>
      </c>
      <c r="K14516">
        <v>1345.99</v>
      </c>
      <c r="L14516">
        <v>273.49</v>
      </c>
      <c r="M14516">
        <v>17952</v>
      </c>
      <c r="N14516" t="s">
        <v>157</v>
      </c>
      <c r="O14516">
        <v>250729</v>
      </c>
      <c r="P14516">
        <v>1072.5</v>
      </c>
    </row>
    <row r="14517" spans="1:16" x14ac:dyDescent="0.25">
      <c r="A14517" t="s">
        <v>3296</v>
      </c>
      <c r="B14517" t="s">
        <v>2931</v>
      </c>
      <c r="C14517">
        <v>9854</v>
      </c>
      <c r="D14517" t="str">
        <f>"55085844    "</f>
        <v xml:space="preserve">55085844    </v>
      </c>
      <c r="E14517" t="s">
        <v>1340</v>
      </c>
      <c r="F14517" t="s">
        <v>1341</v>
      </c>
      <c r="G14517">
        <v>1886.05</v>
      </c>
      <c r="H14517">
        <v>250630</v>
      </c>
      <c r="I14517">
        <v>4380</v>
      </c>
      <c r="J14517" t="s">
        <v>211</v>
      </c>
      <c r="K14517">
        <v>1886.05</v>
      </c>
      <c r="L14517">
        <v>383.22</v>
      </c>
      <c r="M14517">
        <v>14951</v>
      </c>
      <c r="N14517" t="s">
        <v>186</v>
      </c>
      <c r="O14517">
        <v>250730</v>
      </c>
      <c r="P14517">
        <v>1502.83</v>
      </c>
    </row>
    <row r="14518" spans="1:16" x14ac:dyDescent="0.25">
      <c r="A14518" t="s">
        <v>3296</v>
      </c>
      <c r="B14518" t="s">
        <v>2931</v>
      </c>
      <c r="C14518">
        <v>9855</v>
      </c>
      <c r="D14518" t="str">
        <f>"55085918    "</f>
        <v xml:space="preserve">55085918    </v>
      </c>
      <c r="E14518" t="s">
        <v>1340</v>
      </c>
      <c r="F14518" t="s">
        <v>1341</v>
      </c>
      <c r="G14518">
        <v>100.21</v>
      </c>
      <c r="H14518">
        <v>250630</v>
      </c>
      <c r="I14518">
        <v>4380</v>
      </c>
      <c r="J14518" t="s">
        <v>211</v>
      </c>
      <c r="K14518">
        <v>300.64999999999998</v>
      </c>
      <c r="L14518">
        <v>20.36</v>
      </c>
      <c r="M14518">
        <v>11401</v>
      </c>
      <c r="N14518" t="s">
        <v>91</v>
      </c>
      <c r="O14518">
        <v>250730</v>
      </c>
      <c r="P14518">
        <v>79.849999999999994</v>
      </c>
    </row>
    <row r="14519" spans="1:16" x14ac:dyDescent="0.25">
      <c r="A14519" t="s">
        <v>3296</v>
      </c>
      <c r="B14519" t="s">
        <v>2931</v>
      </c>
      <c r="C14519">
        <v>9855</v>
      </c>
      <c r="D14519" t="str">
        <f>"55085918    "</f>
        <v xml:space="preserve">55085918    </v>
      </c>
      <c r="E14519" t="s">
        <v>1340</v>
      </c>
      <c r="F14519" t="s">
        <v>1341</v>
      </c>
      <c r="G14519">
        <v>200.44</v>
      </c>
      <c r="H14519">
        <v>250630</v>
      </c>
      <c r="I14519">
        <v>4380</v>
      </c>
      <c r="J14519" t="s">
        <v>211</v>
      </c>
      <c r="K14519">
        <v>300.64999999999998</v>
      </c>
      <c r="L14519">
        <v>40.729999999999997</v>
      </c>
      <c r="M14519">
        <v>14952</v>
      </c>
      <c r="N14519" t="s">
        <v>213</v>
      </c>
      <c r="O14519">
        <v>250730</v>
      </c>
      <c r="P14519">
        <v>159.71</v>
      </c>
    </row>
    <row r="14520" spans="1:16" x14ac:dyDescent="0.25">
      <c r="A14520" t="s">
        <v>3296</v>
      </c>
      <c r="B14520" t="s">
        <v>2931</v>
      </c>
      <c r="C14520">
        <v>10989</v>
      </c>
      <c r="D14520" t="str">
        <f>"1507426     "</f>
        <v xml:space="preserve">1507426     </v>
      </c>
      <c r="E14520" t="s">
        <v>1340</v>
      </c>
      <c r="F14520" t="s">
        <v>1341</v>
      </c>
      <c r="G14520">
        <v>716.66</v>
      </c>
      <c r="H14520">
        <v>250822</v>
      </c>
      <c r="I14520">
        <v>4380</v>
      </c>
      <c r="J14520" t="s">
        <v>211</v>
      </c>
      <c r="K14520">
        <v>716.66</v>
      </c>
      <c r="L14520">
        <v>145.62</v>
      </c>
      <c r="M14520">
        <v>49501</v>
      </c>
      <c r="N14520" t="s">
        <v>110</v>
      </c>
      <c r="O14520">
        <v>250828</v>
      </c>
      <c r="P14520">
        <v>571.04</v>
      </c>
    </row>
    <row r="14521" spans="1:16" x14ac:dyDescent="0.25">
      <c r="A14521" t="s">
        <v>3296</v>
      </c>
      <c r="B14521" t="s">
        <v>2931</v>
      </c>
      <c r="C14521">
        <v>12248</v>
      </c>
      <c r="D14521" t="str">
        <f>"55135651    "</f>
        <v xml:space="preserve">55135651    </v>
      </c>
      <c r="E14521" t="s">
        <v>1340</v>
      </c>
      <c r="F14521" t="s">
        <v>1341</v>
      </c>
      <c r="G14521">
        <v>109.11</v>
      </c>
      <c r="H14521">
        <v>250831</v>
      </c>
      <c r="I14521">
        <v>4380</v>
      </c>
      <c r="J14521" t="s">
        <v>211</v>
      </c>
      <c r="K14521">
        <v>109.11</v>
      </c>
      <c r="L14521">
        <v>22.17</v>
      </c>
      <c r="M14521">
        <v>17950</v>
      </c>
      <c r="N14521" t="s">
        <v>132</v>
      </c>
      <c r="O14521">
        <v>250918</v>
      </c>
      <c r="P14521">
        <v>86.94</v>
      </c>
    </row>
    <row r="14522" spans="1:16" x14ac:dyDescent="0.25">
      <c r="A14522" t="s">
        <v>3296</v>
      </c>
      <c r="B14522" t="s">
        <v>2931</v>
      </c>
      <c r="C14522">
        <v>12249</v>
      </c>
      <c r="D14522" t="str">
        <f>"55136663    "</f>
        <v xml:space="preserve">55136663    </v>
      </c>
      <c r="E14522" t="s">
        <v>1340</v>
      </c>
      <c r="F14522" t="s">
        <v>1341</v>
      </c>
      <c r="G14522">
        <v>420.93</v>
      </c>
      <c r="H14522">
        <v>250831</v>
      </c>
      <c r="I14522">
        <v>4380</v>
      </c>
      <c r="J14522" t="s">
        <v>211</v>
      </c>
      <c r="K14522">
        <v>420.93</v>
      </c>
      <c r="L14522">
        <v>85.53</v>
      </c>
      <c r="M14522">
        <v>17956</v>
      </c>
      <c r="N14522" t="s">
        <v>170</v>
      </c>
      <c r="O14522">
        <v>250918</v>
      </c>
      <c r="P14522">
        <v>335.4</v>
      </c>
    </row>
    <row r="14523" spans="1:16" x14ac:dyDescent="0.25">
      <c r="A14523" t="s">
        <v>3296</v>
      </c>
      <c r="B14523" t="s">
        <v>2931</v>
      </c>
      <c r="C14523">
        <v>12392</v>
      </c>
      <c r="D14523" t="str">
        <f t="shared" ref="D14523:D14528" si="239">"55136258    "</f>
        <v xml:space="preserve">55136258    </v>
      </c>
      <c r="E14523" t="s">
        <v>1340</v>
      </c>
      <c r="F14523" t="s">
        <v>1341</v>
      </c>
      <c r="G14523">
        <v>441.97</v>
      </c>
      <c r="H14523">
        <v>250901</v>
      </c>
      <c r="I14523">
        <v>4380</v>
      </c>
      <c r="J14523" t="s">
        <v>211</v>
      </c>
      <c r="K14523">
        <v>5489.9</v>
      </c>
      <c r="L14523">
        <v>89.8</v>
      </c>
      <c r="M14523">
        <v>13540</v>
      </c>
      <c r="N14523" t="s">
        <v>131</v>
      </c>
      <c r="O14523">
        <v>250919</v>
      </c>
      <c r="P14523">
        <v>352.17</v>
      </c>
    </row>
    <row r="14524" spans="1:16" x14ac:dyDescent="0.25">
      <c r="A14524" t="s">
        <v>3296</v>
      </c>
      <c r="B14524" t="s">
        <v>2931</v>
      </c>
      <c r="C14524">
        <v>12392</v>
      </c>
      <c r="D14524" t="str">
        <f t="shared" si="239"/>
        <v xml:space="preserve">55136258    </v>
      </c>
      <c r="E14524" t="s">
        <v>1340</v>
      </c>
      <c r="F14524" t="s">
        <v>1341</v>
      </c>
      <c r="G14524">
        <v>97.66</v>
      </c>
      <c r="H14524">
        <v>250901</v>
      </c>
      <c r="I14524">
        <v>4380</v>
      </c>
      <c r="J14524" t="s">
        <v>211</v>
      </c>
      <c r="K14524">
        <v>5489.9</v>
      </c>
      <c r="L14524">
        <v>19.84</v>
      </c>
      <c r="M14524">
        <v>13552</v>
      </c>
      <c r="N14524" t="s">
        <v>133</v>
      </c>
      <c r="O14524">
        <v>250919</v>
      </c>
      <c r="P14524">
        <v>77.819999999999993</v>
      </c>
    </row>
    <row r="14525" spans="1:16" x14ac:dyDescent="0.25">
      <c r="A14525" t="s">
        <v>3296</v>
      </c>
      <c r="B14525" t="s">
        <v>2931</v>
      </c>
      <c r="C14525">
        <v>12392</v>
      </c>
      <c r="D14525" t="str">
        <f t="shared" si="239"/>
        <v xml:space="preserve">55136258    </v>
      </c>
      <c r="E14525" t="s">
        <v>1340</v>
      </c>
      <c r="F14525" t="s">
        <v>1341</v>
      </c>
      <c r="G14525">
        <v>790.13</v>
      </c>
      <c r="H14525">
        <v>250901</v>
      </c>
      <c r="I14525">
        <v>4380</v>
      </c>
      <c r="J14525" t="s">
        <v>211</v>
      </c>
      <c r="K14525">
        <v>5489.9</v>
      </c>
      <c r="L14525">
        <v>160.54</v>
      </c>
      <c r="M14525">
        <v>17918</v>
      </c>
      <c r="N14525" t="s">
        <v>152</v>
      </c>
      <c r="O14525">
        <v>250919</v>
      </c>
      <c r="P14525">
        <v>629.59</v>
      </c>
    </row>
    <row r="14526" spans="1:16" x14ac:dyDescent="0.25">
      <c r="A14526" t="s">
        <v>3296</v>
      </c>
      <c r="B14526" t="s">
        <v>2931</v>
      </c>
      <c r="C14526">
        <v>12392</v>
      </c>
      <c r="D14526" t="str">
        <f t="shared" si="239"/>
        <v xml:space="preserve">55136258    </v>
      </c>
      <c r="E14526" t="s">
        <v>1340</v>
      </c>
      <c r="F14526" t="s">
        <v>1341</v>
      </c>
      <c r="G14526">
        <v>267.33</v>
      </c>
      <c r="H14526">
        <v>250901</v>
      </c>
      <c r="I14526">
        <v>4380</v>
      </c>
      <c r="J14526" t="s">
        <v>211</v>
      </c>
      <c r="K14526">
        <v>5489.9</v>
      </c>
      <c r="L14526">
        <v>54.32</v>
      </c>
      <c r="M14526">
        <v>17950</v>
      </c>
      <c r="N14526" t="s">
        <v>132</v>
      </c>
      <c r="O14526">
        <v>250919</v>
      </c>
      <c r="P14526">
        <v>213.01</v>
      </c>
    </row>
    <row r="14527" spans="1:16" x14ac:dyDescent="0.25">
      <c r="A14527" t="s">
        <v>3296</v>
      </c>
      <c r="B14527" t="s">
        <v>2931</v>
      </c>
      <c r="C14527">
        <v>12392</v>
      </c>
      <c r="D14527" t="str">
        <f t="shared" si="239"/>
        <v xml:space="preserve">55136258    </v>
      </c>
      <c r="E14527" t="s">
        <v>1340</v>
      </c>
      <c r="F14527" t="s">
        <v>1341</v>
      </c>
      <c r="G14527">
        <v>3013.44</v>
      </c>
      <c r="H14527">
        <v>250901</v>
      </c>
      <c r="I14527">
        <v>4380</v>
      </c>
      <c r="J14527" t="s">
        <v>211</v>
      </c>
      <c r="K14527">
        <v>5489.9</v>
      </c>
      <c r="L14527">
        <v>612.29</v>
      </c>
      <c r="M14527">
        <v>17950</v>
      </c>
      <c r="N14527" t="s">
        <v>132</v>
      </c>
      <c r="O14527">
        <v>250919</v>
      </c>
      <c r="P14527">
        <v>2401.15</v>
      </c>
    </row>
    <row r="14528" spans="1:16" x14ac:dyDescent="0.25">
      <c r="A14528" t="s">
        <v>3296</v>
      </c>
      <c r="B14528" t="s">
        <v>2931</v>
      </c>
      <c r="C14528">
        <v>12392</v>
      </c>
      <c r="D14528" t="str">
        <f t="shared" si="239"/>
        <v xml:space="preserve">55136258    </v>
      </c>
      <c r="E14528" t="s">
        <v>1340</v>
      </c>
      <c r="F14528" t="s">
        <v>1341</v>
      </c>
      <c r="G14528">
        <v>562.51</v>
      </c>
      <c r="H14528">
        <v>250901</v>
      </c>
      <c r="I14528">
        <v>4380</v>
      </c>
      <c r="J14528" t="s">
        <v>211</v>
      </c>
      <c r="K14528">
        <v>5489.9</v>
      </c>
      <c r="L14528">
        <v>114.29</v>
      </c>
      <c r="M14528">
        <v>17956</v>
      </c>
      <c r="N14528" t="s">
        <v>170</v>
      </c>
      <c r="O14528">
        <v>250919</v>
      </c>
      <c r="P14528">
        <v>448.22</v>
      </c>
    </row>
    <row r="14529" spans="1:16" x14ac:dyDescent="0.25">
      <c r="A14529" t="s">
        <v>3296</v>
      </c>
      <c r="B14529" t="s">
        <v>2931</v>
      </c>
      <c r="C14529">
        <v>12724</v>
      </c>
      <c r="D14529" t="str">
        <f>"55141186    "</f>
        <v xml:space="preserve">55141186    </v>
      </c>
      <c r="E14529" t="s">
        <v>1340</v>
      </c>
      <c r="F14529" t="s">
        <v>1341</v>
      </c>
      <c r="G14529">
        <v>179.57</v>
      </c>
      <c r="H14529">
        <v>250901</v>
      </c>
      <c r="I14529">
        <v>4380</v>
      </c>
      <c r="J14529" t="s">
        <v>211</v>
      </c>
      <c r="K14529">
        <v>179.57</v>
      </c>
      <c r="L14529">
        <v>36.49</v>
      </c>
      <c r="M14529">
        <v>49503</v>
      </c>
      <c r="N14529" t="s">
        <v>267</v>
      </c>
      <c r="O14529">
        <v>250929</v>
      </c>
      <c r="P14529">
        <v>143.08000000000001</v>
      </c>
    </row>
    <row r="14530" spans="1:16" x14ac:dyDescent="0.25">
      <c r="A14530" t="s">
        <v>3296</v>
      </c>
      <c r="B14530" t="s">
        <v>2931</v>
      </c>
      <c r="C14530">
        <v>12748</v>
      </c>
      <c r="D14530" t="str">
        <f>"55140348    "</f>
        <v xml:space="preserve">55140348    </v>
      </c>
      <c r="E14530" t="s">
        <v>1340</v>
      </c>
      <c r="F14530" t="s">
        <v>1341</v>
      </c>
      <c r="G14530">
        <v>1138.6099999999999</v>
      </c>
      <c r="H14530">
        <v>250901</v>
      </c>
      <c r="I14530">
        <v>4380</v>
      </c>
      <c r="J14530" t="s">
        <v>211</v>
      </c>
      <c r="K14530">
        <v>1138.6099999999999</v>
      </c>
      <c r="L14530">
        <v>231.35</v>
      </c>
      <c r="M14530">
        <v>49501</v>
      </c>
      <c r="N14530" t="s">
        <v>110</v>
      </c>
      <c r="O14530">
        <v>250930</v>
      </c>
      <c r="P14530">
        <v>907.26</v>
      </c>
    </row>
    <row r="14531" spans="1:16" x14ac:dyDescent="0.25">
      <c r="A14531" t="s">
        <v>3296</v>
      </c>
      <c r="B14531" t="s">
        <v>2931</v>
      </c>
      <c r="C14531">
        <v>14001</v>
      </c>
      <c r="D14531" t="str">
        <f>"55156066    "</f>
        <v xml:space="preserve">55156066    </v>
      </c>
      <c r="E14531" t="s">
        <v>1340</v>
      </c>
      <c r="F14531" t="s">
        <v>1341</v>
      </c>
      <c r="G14531">
        <v>74.86</v>
      </c>
      <c r="H14531">
        <v>251001</v>
      </c>
      <c r="I14531">
        <v>4380</v>
      </c>
      <c r="J14531" t="s">
        <v>211</v>
      </c>
      <c r="K14531">
        <v>74.86</v>
      </c>
      <c r="L14531">
        <v>15.21</v>
      </c>
      <c r="M14531">
        <v>13940</v>
      </c>
      <c r="N14531" t="s">
        <v>14</v>
      </c>
      <c r="O14531">
        <v>251021</v>
      </c>
      <c r="P14531">
        <v>59.65</v>
      </c>
    </row>
    <row r="14532" spans="1:16" x14ac:dyDescent="0.25">
      <c r="A14532" t="s">
        <v>3296</v>
      </c>
      <c r="B14532" t="s">
        <v>2931</v>
      </c>
      <c r="C14532">
        <v>14213</v>
      </c>
      <c r="D14532" t="str">
        <f>"55163580    "</f>
        <v xml:space="preserve">55163580    </v>
      </c>
      <c r="E14532" t="s">
        <v>1340</v>
      </c>
      <c r="F14532" t="s">
        <v>1341</v>
      </c>
      <c r="G14532">
        <v>1335.32</v>
      </c>
      <c r="H14532">
        <v>251015</v>
      </c>
      <c r="I14532">
        <v>4380</v>
      </c>
      <c r="J14532" t="s">
        <v>211</v>
      </c>
      <c r="K14532">
        <v>1335.32</v>
      </c>
      <c r="L14532">
        <v>271.32</v>
      </c>
      <c r="M14532">
        <v>14951</v>
      </c>
      <c r="N14532" t="s">
        <v>186</v>
      </c>
      <c r="O14532">
        <v>251027</v>
      </c>
      <c r="P14532">
        <v>1064</v>
      </c>
    </row>
    <row r="14533" spans="1:16" x14ac:dyDescent="0.25">
      <c r="A14533" t="s">
        <v>3296</v>
      </c>
      <c r="B14533" t="s">
        <v>2931</v>
      </c>
      <c r="C14533">
        <v>14220</v>
      </c>
      <c r="D14533" t="str">
        <f>"55163653    "</f>
        <v xml:space="preserve">55163653    </v>
      </c>
      <c r="E14533" t="s">
        <v>1340</v>
      </c>
      <c r="F14533" t="s">
        <v>1341</v>
      </c>
      <c r="G14533">
        <v>91.1</v>
      </c>
      <c r="H14533">
        <v>251001</v>
      </c>
      <c r="I14533">
        <v>4380</v>
      </c>
      <c r="J14533" t="s">
        <v>211</v>
      </c>
      <c r="K14533">
        <v>303.67</v>
      </c>
      <c r="L14533">
        <v>18.510000000000002</v>
      </c>
      <c r="M14533">
        <v>11401</v>
      </c>
      <c r="N14533" t="s">
        <v>91</v>
      </c>
      <c r="O14533">
        <v>251027</v>
      </c>
      <c r="P14533">
        <v>72.59</v>
      </c>
    </row>
    <row r="14534" spans="1:16" x14ac:dyDescent="0.25">
      <c r="A14534" t="s">
        <v>3296</v>
      </c>
      <c r="B14534" t="s">
        <v>2931</v>
      </c>
      <c r="C14534">
        <v>14220</v>
      </c>
      <c r="D14534" t="str">
        <f>"55163653    "</f>
        <v xml:space="preserve">55163653    </v>
      </c>
      <c r="E14534" t="s">
        <v>1340</v>
      </c>
      <c r="F14534" t="s">
        <v>1341</v>
      </c>
      <c r="G14534">
        <v>212.57</v>
      </c>
      <c r="H14534">
        <v>251001</v>
      </c>
      <c r="I14534">
        <v>4380</v>
      </c>
      <c r="J14534" t="s">
        <v>211</v>
      </c>
      <c r="K14534">
        <v>303.67</v>
      </c>
      <c r="L14534">
        <v>43.19</v>
      </c>
      <c r="M14534">
        <v>14952</v>
      </c>
      <c r="N14534" t="s">
        <v>213</v>
      </c>
      <c r="O14534">
        <v>251027</v>
      </c>
      <c r="P14534">
        <v>169.38</v>
      </c>
    </row>
    <row r="14535" spans="1:16" x14ac:dyDescent="0.25">
      <c r="A14535" t="s">
        <v>3296</v>
      </c>
      <c r="B14535" t="s">
        <v>2931</v>
      </c>
      <c r="C14535">
        <v>14231</v>
      </c>
      <c r="D14535" t="str">
        <f>"55190096    "</f>
        <v xml:space="preserve">55190096    </v>
      </c>
      <c r="E14535" t="s">
        <v>1340</v>
      </c>
      <c r="F14535" t="s">
        <v>1341</v>
      </c>
      <c r="G14535">
        <v>1137.8699999999999</v>
      </c>
      <c r="H14535">
        <v>251024</v>
      </c>
      <c r="I14535">
        <v>4380</v>
      </c>
      <c r="J14535" t="s">
        <v>211</v>
      </c>
      <c r="K14535">
        <v>1137.8699999999999</v>
      </c>
      <c r="L14535">
        <v>231.2</v>
      </c>
      <c r="M14535">
        <v>17952</v>
      </c>
      <c r="N14535" t="s">
        <v>157</v>
      </c>
      <c r="O14535">
        <v>251027</v>
      </c>
      <c r="P14535">
        <v>906.67</v>
      </c>
    </row>
    <row r="14536" spans="1:16" x14ac:dyDescent="0.25">
      <c r="A14536" t="s">
        <v>3296</v>
      </c>
      <c r="B14536" t="s">
        <v>2931</v>
      </c>
      <c r="C14536">
        <v>14232</v>
      </c>
      <c r="D14536" t="str">
        <f>"55190308    "</f>
        <v xml:space="preserve">55190308    </v>
      </c>
      <c r="E14536" t="s">
        <v>1340</v>
      </c>
      <c r="F14536" t="s">
        <v>1341</v>
      </c>
      <c r="G14536">
        <v>1251.57</v>
      </c>
      <c r="H14536">
        <v>251024</v>
      </c>
      <c r="I14536">
        <v>4380</v>
      </c>
      <c r="J14536" t="s">
        <v>211</v>
      </c>
      <c r="K14536">
        <v>1251.57</v>
      </c>
      <c r="L14536">
        <v>254.3</v>
      </c>
      <c r="M14536">
        <v>17951</v>
      </c>
      <c r="N14536" t="s">
        <v>207</v>
      </c>
      <c r="O14536">
        <v>251027</v>
      </c>
      <c r="P14536">
        <v>997.27</v>
      </c>
    </row>
    <row r="14537" spans="1:16" x14ac:dyDescent="0.25">
      <c r="A14537" t="s">
        <v>3296</v>
      </c>
      <c r="B14537" t="s">
        <v>2931</v>
      </c>
      <c r="C14537">
        <v>18383</v>
      </c>
      <c r="D14537" t="str">
        <f t="shared" ref="D14537:D14544" si="240">"55198030    "</f>
        <v xml:space="preserve">55198030    </v>
      </c>
      <c r="E14537" t="s">
        <v>1340</v>
      </c>
      <c r="F14537" t="s">
        <v>1341</v>
      </c>
      <c r="G14537">
        <v>17.45</v>
      </c>
      <c r="H14537">
        <v>251231</v>
      </c>
      <c r="I14537">
        <v>4380</v>
      </c>
      <c r="J14537" t="s">
        <v>211</v>
      </c>
      <c r="K14537">
        <v>2916.7</v>
      </c>
      <c r="L14537">
        <v>3.55</v>
      </c>
      <c r="M14537">
        <v>13540</v>
      </c>
      <c r="N14537" t="s">
        <v>131</v>
      </c>
      <c r="O14537">
        <v>260113</v>
      </c>
      <c r="P14537">
        <v>13.9</v>
      </c>
    </row>
    <row r="14538" spans="1:16" x14ac:dyDescent="0.25">
      <c r="A14538" t="s">
        <v>3296</v>
      </c>
      <c r="B14538" t="s">
        <v>2931</v>
      </c>
      <c r="C14538">
        <v>18383</v>
      </c>
      <c r="D14538" t="str">
        <f t="shared" si="240"/>
        <v xml:space="preserve">55198030    </v>
      </c>
      <c r="E14538" t="s">
        <v>1340</v>
      </c>
      <c r="F14538" t="s">
        <v>1341</v>
      </c>
      <c r="G14538">
        <v>256.39</v>
      </c>
      <c r="H14538">
        <v>251231</v>
      </c>
      <c r="I14538">
        <v>4380</v>
      </c>
      <c r="J14538" t="s">
        <v>211</v>
      </c>
      <c r="K14538">
        <v>2916.7</v>
      </c>
      <c r="L14538">
        <v>52.1</v>
      </c>
      <c r="M14538">
        <v>13540</v>
      </c>
      <c r="N14538" t="s">
        <v>131</v>
      </c>
      <c r="O14538">
        <v>260113</v>
      </c>
      <c r="P14538">
        <v>204.29</v>
      </c>
    </row>
    <row r="14539" spans="1:16" x14ac:dyDescent="0.25">
      <c r="A14539" t="s">
        <v>3296</v>
      </c>
      <c r="B14539" t="s">
        <v>2931</v>
      </c>
      <c r="C14539">
        <v>18383</v>
      </c>
      <c r="D14539" t="str">
        <f t="shared" si="240"/>
        <v xml:space="preserve">55198030    </v>
      </c>
      <c r="E14539" t="s">
        <v>1340</v>
      </c>
      <c r="F14539" t="s">
        <v>1341</v>
      </c>
      <c r="G14539">
        <v>47.02</v>
      </c>
      <c r="H14539">
        <v>251231</v>
      </c>
      <c r="I14539">
        <v>4380</v>
      </c>
      <c r="J14539" t="s">
        <v>211</v>
      </c>
      <c r="K14539">
        <v>2916.7</v>
      </c>
      <c r="L14539">
        <v>9.5500000000000007</v>
      </c>
      <c r="M14539">
        <v>13552</v>
      </c>
      <c r="N14539" t="s">
        <v>133</v>
      </c>
      <c r="O14539">
        <v>260113</v>
      </c>
      <c r="P14539">
        <v>37.47</v>
      </c>
    </row>
    <row r="14540" spans="1:16" x14ac:dyDescent="0.25">
      <c r="A14540" t="s">
        <v>3296</v>
      </c>
      <c r="B14540" t="s">
        <v>2931</v>
      </c>
      <c r="C14540">
        <v>18383</v>
      </c>
      <c r="D14540" t="str">
        <f t="shared" si="240"/>
        <v xml:space="preserve">55198030    </v>
      </c>
      <c r="E14540" t="s">
        <v>1340</v>
      </c>
      <c r="F14540" t="s">
        <v>1341</v>
      </c>
      <c r="G14540">
        <v>380.42</v>
      </c>
      <c r="H14540">
        <v>251231</v>
      </c>
      <c r="I14540">
        <v>4380</v>
      </c>
      <c r="J14540" t="s">
        <v>211</v>
      </c>
      <c r="K14540">
        <v>2916.7</v>
      </c>
      <c r="L14540">
        <v>77.3</v>
      </c>
      <c r="M14540">
        <v>17918</v>
      </c>
      <c r="N14540" t="s">
        <v>152</v>
      </c>
      <c r="O14540">
        <v>260113</v>
      </c>
      <c r="P14540">
        <v>303.12</v>
      </c>
    </row>
    <row r="14541" spans="1:16" x14ac:dyDescent="0.25">
      <c r="A14541" t="s">
        <v>3296</v>
      </c>
      <c r="B14541" t="s">
        <v>2931</v>
      </c>
      <c r="C14541">
        <v>18383</v>
      </c>
      <c r="D14541" t="str">
        <f t="shared" si="240"/>
        <v xml:space="preserve">55198030    </v>
      </c>
      <c r="E14541" t="s">
        <v>1340</v>
      </c>
      <c r="F14541" t="s">
        <v>1341</v>
      </c>
      <c r="G14541">
        <v>118.82</v>
      </c>
      <c r="H14541">
        <v>251231</v>
      </c>
      <c r="I14541">
        <v>4380</v>
      </c>
      <c r="J14541" t="s">
        <v>211</v>
      </c>
      <c r="K14541">
        <v>2916.7</v>
      </c>
      <c r="L14541">
        <v>24.14</v>
      </c>
      <c r="M14541">
        <v>17950</v>
      </c>
      <c r="N14541" t="s">
        <v>132</v>
      </c>
      <c r="O14541">
        <v>260113</v>
      </c>
      <c r="P14541">
        <v>94.68</v>
      </c>
    </row>
    <row r="14542" spans="1:16" x14ac:dyDescent="0.25">
      <c r="A14542" t="s">
        <v>3296</v>
      </c>
      <c r="B14542" t="s">
        <v>2931</v>
      </c>
      <c r="C14542">
        <v>18383</v>
      </c>
      <c r="D14542" t="str">
        <f t="shared" si="240"/>
        <v xml:space="preserve">55198030    </v>
      </c>
      <c r="E14542" t="s">
        <v>1340</v>
      </c>
      <c r="F14542" t="s">
        <v>1341</v>
      </c>
      <c r="G14542">
        <v>1748.11</v>
      </c>
      <c r="H14542">
        <v>251231</v>
      </c>
      <c r="I14542">
        <v>4380</v>
      </c>
      <c r="J14542" t="s">
        <v>211</v>
      </c>
      <c r="K14542">
        <v>2916.7</v>
      </c>
      <c r="L14542">
        <v>355.19</v>
      </c>
      <c r="M14542">
        <v>17950</v>
      </c>
      <c r="N14542" t="s">
        <v>132</v>
      </c>
      <c r="O14542">
        <v>260113</v>
      </c>
      <c r="P14542">
        <v>1392.92</v>
      </c>
    </row>
    <row r="14543" spans="1:16" x14ac:dyDescent="0.25">
      <c r="A14543" t="s">
        <v>3296</v>
      </c>
      <c r="B14543" t="s">
        <v>2931</v>
      </c>
      <c r="C14543">
        <v>18383</v>
      </c>
      <c r="D14543" t="str">
        <f t="shared" si="240"/>
        <v xml:space="preserve">55198030    </v>
      </c>
      <c r="E14543" t="s">
        <v>1340</v>
      </c>
      <c r="F14543" t="s">
        <v>1341</v>
      </c>
      <c r="G14543">
        <v>22.18</v>
      </c>
      <c r="H14543">
        <v>251231</v>
      </c>
      <c r="I14543">
        <v>4380</v>
      </c>
      <c r="J14543" t="s">
        <v>211</v>
      </c>
      <c r="K14543">
        <v>2916.7</v>
      </c>
      <c r="L14543">
        <v>4.51</v>
      </c>
      <c r="M14543">
        <v>17956</v>
      </c>
      <c r="N14543" t="s">
        <v>170</v>
      </c>
      <c r="O14543">
        <v>260113</v>
      </c>
      <c r="P14543">
        <v>17.670000000000002</v>
      </c>
    </row>
    <row r="14544" spans="1:16" x14ac:dyDescent="0.25">
      <c r="A14544" t="s">
        <v>3296</v>
      </c>
      <c r="B14544" t="s">
        <v>2931</v>
      </c>
      <c r="C14544">
        <v>18383</v>
      </c>
      <c r="D14544" t="str">
        <f t="shared" si="240"/>
        <v xml:space="preserve">55198030    </v>
      </c>
      <c r="E14544" t="s">
        <v>1340</v>
      </c>
      <c r="F14544" t="s">
        <v>1341</v>
      </c>
      <c r="G14544">
        <v>326.31</v>
      </c>
      <c r="H14544">
        <v>251231</v>
      </c>
      <c r="I14544">
        <v>4380</v>
      </c>
      <c r="J14544" t="s">
        <v>211</v>
      </c>
      <c r="K14544">
        <v>2916.7</v>
      </c>
      <c r="L14544">
        <v>66.3</v>
      </c>
      <c r="M14544">
        <v>17956</v>
      </c>
      <c r="N14544" t="s">
        <v>170</v>
      </c>
      <c r="O14544">
        <v>260113</v>
      </c>
      <c r="P14544">
        <v>260.01</v>
      </c>
    </row>
    <row r="14545" spans="1:16" x14ac:dyDescent="0.25">
      <c r="A14545" t="s">
        <v>3296</v>
      </c>
      <c r="B14545" t="s">
        <v>2931</v>
      </c>
      <c r="C14545">
        <v>18406</v>
      </c>
      <c r="D14545" t="str">
        <f>"55198027    "</f>
        <v xml:space="preserve">55198027    </v>
      </c>
      <c r="E14545" t="s">
        <v>1340</v>
      </c>
      <c r="F14545" t="s">
        <v>1341</v>
      </c>
      <c r="G14545">
        <v>1053.97</v>
      </c>
      <c r="H14545">
        <v>251231</v>
      </c>
      <c r="I14545">
        <v>4380</v>
      </c>
      <c r="J14545" t="s">
        <v>211</v>
      </c>
      <c r="K14545">
        <v>1053.97</v>
      </c>
      <c r="L14545">
        <v>214.15</v>
      </c>
      <c r="M14545">
        <v>17952</v>
      </c>
      <c r="N14545" t="s">
        <v>157</v>
      </c>
      <c r="O14545">
        <v>260113</v>
      </c>
      <c r="P14545">
        <v>839.82</v>
      </c>
    </row>
    <row r="14546" spans="1:16" x14ac:dyDescent="0.25">
      <c r="A14546" t="s">
        <v>3296</v>
      </c>
      <c r="B14546" t="s">
        <v>2931</v>
      </c>
      <c r="C14546">
        <v>18419</v>
      </c>
      <c r="D14546" t="str">
        <f>"55198031    "</f>
        <v xml:space="preserve">55198031    </v>
      </c>
      <c r="E14546" t="s">
        <v>1340</v>
      </c>
      <c r="F14546" t="s">
        <v>1341</v>
      </c>
      <c r="G14546">
        <v>210.46</v>
      </c>
      <c r="H14546">
        <v>251231</v>
      </c>
      <c r="I14546">
        <v>4380</v>
      </c>
      <c r="J14546" t="s">
        <v>211</v>
      </c>
      <c r="K14546">
        <v>210.46</v>
      </c>
      <c r="L14546">
        <v>42.76</v>
      </c>
      <c r="M14546">
        <v>17956</v>
      </c>
      <c r="N14546" t="s">
        <v>170</v>
      </c>
      <c r="O14546">
        <v>260113</v>
      </c>
      <c r="P14546">
        <v>167.7</v>
      </c>
    </row>
    <row r="14547" spans="1:16" x14ac:dyDescent="0.25">
      <c r="A14547" t="s">
        <v>3296</v>
      </c>
      <c r="B14547" t="s">
        <v>2931</v>
      </c>
      <c r="C14547">
        <v>18441</v>
      </c>
      <c r="D14547" t="str">
        <f>"55220575    "</f>
        <v xml:space="preserve">55220575    </v>
      </c>
      <c r="E14547" t="s">
        <v>1340</v>
      </c>
      <c r="F14547" t="s">
        <v>1341</v>
      </c>
      <c r="G14547">
        <v>49.15</v>
      </c>
      <c r="H14547">
        <v>251231</v>
      </c>
      <c r="I14547">
        <v>4380</v>
      </c>
      <c r="J14547" t="s">
        <v>211</v>
      </c>
      <c r="K14547">
        <v>49.15</v>
      </c>
      <c r="L14547">
        <v>9.99</v>
      </c>
      <c r="M14547">
        <v>13940</v>
      </c>
      <c r="N14547" t="s">
        <v>14</v>
      </c>
      <c r="O14547">
        <v>260113</v>
      </c>
      <c r="P14547">
        <v>39.159999999999997</v>
      </c>
    </row>
    <row r="14548" spans="1:16" x14ac:dyDescent="0.25">
      <c r="A14548" t="s">
        <v>3296</v>
      </c>
      <c r="B14548" t="s">
        <v>2931</v>
      </c>
      <c r="C14548">
        <v>18478</v>
      </c>
      <c r="D14548" t="str">
        <f>"55198029    "</f>
        <v xml:space="preserve">55198029    </v>
      </c>
      <c r="E14548" t="s">
        <v>1340</v>
      </c>
      <c r="F14548" t="s">
        <v>1341</v>
      </c>
      <c r="G14548">
        <v>56.12</v>
      </c>
      <c r="H14548">
        <v>251231</v>
      </c>
      <c r="I14548">
        <v>4380</v>
      </c>
      <c r="J14548" t="s">
        <v>211</v>
      </c>
      <c r="K14548">
        <v>56.12</v>
      </c>
      <c r="L14548">
        <v>11.4</v>
      </c>
      <c r="M14548">
        <v>17956</v>
      </c>
      <c r="N14548" t="s">
        <v>170</v>
      </c>
      <c r="O14548">
        <v>260114</v>
      </c>
      <c r="P14548">
        <v>44.72</v>
      </c>
    </row>
    <row r="14549" spans="1:16" x14ac:dyDescent="0.25">
      <c r="A14549" t="s">
        <v>3296</v>
      </c>
      <c r="B14549" t="s">
        <v>2931</v>
      </c>
      <c r="C14549">
        <v>18517</v>
      </c>
      <c r="D14549" t="str">
        <f>"55198033    "</f>
        <v xml:space="preserve">55198033    </v>
      </c>
      <c r="E14549" t="s">
        <v>1340</v>
      </c>
      <c r="F14549" t="s">
        <v>1341</v>
      </c>
      <c r="G14549">
        <v>1802.95</v>
      </c>
      <c r="H14549">
        <v>251231</v>
      </c>
      <c r="I14549">
        <v>4380</v>
      </c>
      <c r="J14549" t="s">
        <v>211</v>
      </c>
      <c r="K14549">
        <v>1802.95</v>
      </c>
      <c r="L14549">
        <v>366.34</v>
      </c>
      <c r="M14549">
        <v>49501</v>
      </c>
      <c r="N14549" t="s">
        <v>110</v>
      </c>
      <c r="O14549">
        <v>260114</v>
      </c>
      <c r="P14549">
        <v>1436.61</v>
      </c>
    </row>
    <row r="14550" spans="1:16" x14ac:dyDescent="0.25">
      <c r="A14550" t="s">
        <v>3296</v>
      </c>
      <c r="B14550" t="s">
        <v>2931</v>
      </c>
      <c r="C14550">
        <v>18528</v>
      </c>
      <c r="D14550" t="str">
        <f>"55198034    "</f>
        <v xml:space="preserve">55198034    </v>
      </c>
      <c r="E14550" t="s">
        <v>1340</v>
      </c>
      <c r="F14550" t="s">
        <v>1341</v>
      </c>
      <c r="G14550">
        <v>359.13</v>
      </c>
      <c r="H14550">
        <v>251231</v>
      </c>
      <c r="I14550">
        <v>4380</v>
      </c>
      <c r="J14550" t="s">
        <v>211</v>
      </c>
      <c r="K14550">
        <v>359.13</v>
      </c>
      <c r="L14550">
        <v>72.97</v>
      </c>
      <c r="M14550">
        <v>49503</v>
      </c>
      <c r="N14550" t="s">
        <v>267</v>
      </c>
      <c r="O14550">
        <v>260115</v>
      </c>
      <c r="P14550">
        <v>286.16000000000003</v>
      </c>
    </row>
    <row r="14551" spans="1:16" x14ac:dyDescent="0.25">
      <c r="A14551" t="s">
        <v>3296</v>
      </c>
      <c r="B14551" t="s">
        <v>2931</v>
      </c>
      <c r="C14551">
        <v>18534</v>
      </c>
      <c r="D14551" t="str">
        <f>"55198032    "</f>
        <v xml:space="preserve">55198032    </v>
      </c>
      <c r="E14551" t="s">
        <v>1340</v>
      </c>
      <c r="F14551" t="s">
        <v>1341</v>
      </c>
      <c r="G14551">
        <v>508.84</v>
      </c>
      <c r="H14551">
        <v>251231</v>
      </c>
      <c r="I14551">
        <v>4380</v>
      </c>
      <c r="J14551" t="s">
        <v>211</v>
      </c>
      <c r="K14551">
        <v>508.84</v>
      </c>
      <c r="L14551">
        <v>103.39</v>
      </c>
      <c r="M14551">
        <v>49501</v>
      </c>
      <c r="N14551" t="s">
        <v>110</v>
      </c>
      <c r="O14551">
        <v>260115</v>
      </c>
      <c r="P14551">
        <v>405.45</v>
      </c>
    </row>
    <row r="14552" spans="1:16" x14ac:dyDescent="0.25">
      <c r="A14552" t="s">
        <v>3296</v>
      </c>
      <c r="B14552" t="s">
        <v>2931</v>
      </c>
      <c r="C14552">
        <v>18539</v>
      </c>
      <c r="D14552" t="str">
        <f>"55198026    "</f>
        <v xml:space="preserve">55198026    </v>
      </c>
      <c r="E14552" t="s">
        <v>1340</v>
      </c>
      <c r="F14552" t="s">
        <v>1341</v>
      </c>
      <c r="G14552">
        <v>98.74</v>
      </c>
      <c r="H14552">
        <v>251231</v>
      </c>
      <c r="I14552">
        <v>4380</v>
      </c>
      <c r="J14552" t="s">
        <v>211</v>
      </c>
      <c r="K14552">
        <v>296.23</v>
      </c>
      <c r="L14552">
        <v>20.059999999999999</v>
      </c>
      <c r="M14552">
        <v>11401</v>
      </c>
      <c r="N14552" t="s">
        <v>91</v>
      </c>
      <c r="O14552">
        <v>260115</v>
      </c>
      <c r="P14552">
        <v>78.680000000000007</v>
      </c>
    </row>
    <row r="14553" spans="1:16" x14ac:dyDescent="0.25">
      <c r="A14553" t="s">
        <v>3296</v>
      </c>
      <c r="B14553" t="s">
        <v>2931</v>
      </c>
      <c r="C14553">
        <v>18539</v>
      </c>
      <c r="D14553" t="str">
        <f>"55198026    "</f>
        <v xml:space="preserve">55198026    </v>
      </c>
      <c r="E14553" t="s">
        <v>1340</v>
      </c>
      <c r="F14553" t="s">
        <v>1341</v>
      </c>
      <c r="G14553">
        <v>197.49</v>
      </c>
      <c r="H14553">
        <v>251231</v>
      </c>
      <c r="I14553">
        <v>4380</v>
      </c>
      <c r="J14553" t="s">
        <v>211</v>
      </c>
      <c r="K14553">
        <v>296.23</v>
      </c>
      <c r="L14553">
        <v>40.130000000000003</v>
      </c>
      <c r="M14553">
        <v>14952</v>
      </c>
      <c r="N14553" t="s">
        <v>213</v>
      </c>
      <c r="O14553">
        <v>260115</v>
      </c>
      <c r="P14553">
        <v>157.36000000000001</v>
      </c>
    </row>
    <row r="14554" spans="1:16" x14ac:dyDescent="0.25">
      <c r="A14554" t="s">
        <v>3296</v>
      </c>
      <c r="B14554" t="s">
        <v>2931</v>
      </c>
      <c r="C14554">
        <v>18543</v>
      </c>
      <c r="D14554" t="str">
        <f>"55198028    "</f>
        <v xml:space="preserve">55198028    </v>
      </c>
      <c r="E14554" t="s">
        <v>1340</v>
      </c>
      <c r="F14554" t="s">
        <v>1341</v>
      </c>
      <c r="G14554">
        <v>2032.77</v>
      </c>
      <c r="H14554">
        <v>251231</v>
      </c>
      <c r="I14554">
        <v>4380</v>
      </c>
      <c r="J14554" t="s">
        <v>211</v>
      </c>
      <c r="K14554">
        <v>2032.77</v>
      </c>
      <c r="L14554">
        <v>413.03</v>
      </c>
      <c r="M14554">
        <v>17951</v>
      </c>
      <c r="N14554" t="s">
        <v>207</v>
      </c>
      <c r="O14554">
        <v>260115</v>
      </c>
      <c r="P14554">
        <v>1619.74</v>
      </c>
    </row>
    <row r="14555" spans="1:16" x14ac:dyDescent="0.25">
      <c r="A14555" t="s">
        <v>3296</v>
      </c>
      <c r="B14555" t="s">
        <v>2931</v>
      </c>
      <c r="C14555">
        <v>18546</v>
      </c>
      <c r="D14555" t="str">
        <f>"55198025    "</f>
        <v xml:space="preserve">55198025    </v>
      </c>
      <c r="E14555" t="s">
        <v>1340</v>
      </c>
      <c r="F14555" t="s">
        <v>1341</v>
      </c>
      <c r="G14555">
        <v>2546.71</v>
      </c>
      <c r="H14555">
        <v>251231</v>
      </c>
      <c r="I14555">
        <v>4380</v>
      </c>
      <c r="J14555" t="s">
        <v>211</v>
      </c>
      <c r="K14555">
        <v>2546.71</v>
      </c>
      <c r="L14555">
        <v>517.46</v>
      </c>
      <c r="M14555">
        <v>14951</v>
      </c>
      <c r="N14555" t="s">
        <v>186</v>
      </c>
      <c r="O14555">
        <v>260115</v>
      </c>
      <c r="P14555">
        <v>2029.25</v>
      </c>
    </row>
    <row r="14556" spans="1:16" x14ac:dyDescent="0.25">
      <c r="A14556" t="s">
        <v>3296</v>
      </c>
      <c r="B14556" t="s">
        <v>2931</v>
      </c>
      <c r="C14556">
        <v>12753</v>
      </c>
      <c r="D14556" t="str">
        <f>"55140346    "</f>
        <v xml:space="preserve">55140346    </v>
      </c>
      <c r="E14556" t="s">
        <v>1340</v>
      </c>
      <c r="F14556" t="s">
        <v>1341</v>
      </c>
      <c r="G14556">
        <v>381.42</v>
      </c>
      <c r="H14556">
        <v>250901</v>
      </c>
      <c r="I14556">
        <v>4550</v>
      </c>
      <c r="J14556" t="s">
        <v>226</v>
      </c>
      <c r="K14556">
        <v>381.42</v>
      </c>
      <c r="L14556">
        <v>77.5</v>
      </c>
      <c r="M14556">
        <v>49501</v>
      </c>
      <c r="N14556" t="s">
        <v>110</v>
      </c>
      <c r="O14556">
        <v>250930</v>
      </c>
      <c r="P14556">
        <v>303.92</v>
      </c>
    </row>
    <row r="14557" spans="1:16" x14ac:dyDescent="0.25">
      <c r="A14557" t="s">
        <v>3296</v>
      </c>
      <c r="B14557" t="s">
        <v>2931</v>
      </c>
      <c r="C14557">
        <v>12392</v>
      </c>
      <c r="D14557" t="str">
        <f>"55136258    "</f>
        <v xml:space="preserve">55136258    </v>
      </c>
      <c r="E14557" t="s">
        <v>1340</v>
      </c>
      <c r="F14557" t="s">
        <v>1341</v>
      </c>
      <c r="G14557">
        <v>34.85</v>
      </c>
      <c r="H14557">
        <v>250901</v>
      </c>
      <c r="I14557">
        <v>4842</v>
      </c>
      <c r="J14557" t="s">
        <v>15</v>
      </c>
      <c r="K14557">
        <v>5489.9</v>
      </c>
      <c r="L14557">
        <v>7.08</v>
      </c>
      <c r="M14557">
        <v>13540</v>
      </c>
      <c r="N14557" t="s">
        <v>131</v>
      </c>
      <c r="O14557">
        <v>250919</v>
      </c>
      <c r="P14557">
        <v>27.77</v>
      </c>
    </row>
    <row r="14558" spans="1:16" x14ac:dyDescent="0.25">
      <c r="A14558" t="s">
        <v>3296</v>
      </c>
      <c r="B14558" t="s">
        <v>2931</v>
      </c>
      <c r="C14558">
        <v>12392</v>
      </c>
      <c r="D14558" t="str">
        <f>"55136258    "</f>
        <v xml:space="preserve">55136258    </v>
      </c>
      <c r="E14558" t="s">
        <v>1340</v>
      </c>
      <c r="F14558" t="s">
        <v>1341</v>
      </c>
      <c r="G14558">
        <v>237.65</v>
      </c>
      <c r="H14558">
        <v>250901</v>
      </c>
      <c r="I14558">
        <v>4842</v>
      </c>
      <c r="J14558" t="s">
        <v>15</v>
      </c>
      <c r="K14558">
        <v>5489.9</v>
      </c>
      <c r="L14558">
        <v>48.29</v>
      </c>
      <c r="M14558">
        <v>17950</v>
      </c>
      <c r="N14558" t="s">
        <v>132</v>
      </c>
      <c r="O14558">
        <v>250919</v>
      </c>
      <c r="P14558">
        <v>189.36</v>
      </c>
    </row>
    <row r="14559" spans="1:16" x14ac:dyDescent="0.25">
      <c r="A14559" t="s">
        <v>3296</v>
      </c>
      <c r="B14559" t="s">
        <v>2931</v>
      </c>
      <c r="C14559">
        <v>12392</v>
      </c>
      <c r="D14559" t="str">
        <f>"55136258    "</f>
        <v xml:space="preserve">55136258    </v>
      </c>
      <c r="E14559" t="s">
        <v>1340</v>
      </c>
      <c r="F14559" t="s">
        <v>1341</v>
      </c>
      <c r="G14559">
        <v>44.36</v>
      </c>
      <c r="H14559">
        <v>250901</v>
      </c>
      <c r="I14559">
        <v>4842</v>
      </c>
      <c r="J14559" t="s">
        <v>15</v>
      </c>
      <c r="K14559">
        <v>5489.9</v>
      </c>
      <c r="L14559">
        <v>9.01</v>
      </c>
      <c r="M14559">
        <v>17956</v>
      </c>
      <c r="N14559" t="s">
        <v>170</v>
      </c>
      <c r="O14559">
        <v>250919</v>
      </c>
      <c r="P14559">
        <v>35.35</v>
      </c>
    </row>
    <row r="14560" spans="1:16" x14ac:dyDescent="0.25">
      <c r="A14560" t="s">
        <v>3296</v>
      </c>
      <c r="B14560" t="s">
        <v>2931</v>
      </c>
      <c r="C14560">
        <v>17553</v>
      </c>
      <c r="D14560" t="str">
        <f>"27792       "</f>
        <v xml:space="preserve">27792       </v>
      </c>
      <c r="E14560" t="s">
        <v>3195</v>
      </c>
      <c r="F14560" t="s">
        <v>3196</v>
      </c>
      <c r="G14560">
        <v>2080</v>
      </c>
      <c r="H14560">
        <v>251216</v>
      </c>
      <c r="I14560">
        <v>4410</v>
      </c>
      <c r="J14560" t="s">
        <v>165</v>
      </c>
      <c r="K14560">
        <v>2080</v>
      </c>
      <c r="L14560">
        <v>255.44</v>
      </c>
      <c r="M14560">
        <v>11605</v>
      </c>
      <c r="N14560" t="s">
        <v>1066</v>
      </c>
      <c r="O14560">
        <v>251222</v>
      </c>
      <c r="P14560">
        <v>1824.56</v>
      </c>
    </row>
    <row r="14561" spans="1:16" x14ac:dyDescent="0.25">
      <c r="A14561" t="s">
        <v>3296</v>
      </c>
      <c r="B14561" t="s">
        <v>2931</v>
      </c>
      <c r="C14561">
        <v>9974</v>
      </c>
      <c r="D14561" t="str">
        <f>"935         "</f>
        <v xml:space="preserve">935         </v>
      </c>
      <c r="E14561" t="s">
        <v>1051</v>
      </c>
      <c r="F14561" t="s">
        <v>1052</v>
      </c>
      <c r="G14561">
        <v>13920</v>
      </c>
      <c r="H14561">
        <v>250728</v>
      </c>
      <c r="I14561">
        <v>1196</v>
      </c>
      <c r="J14561" t="s">
        <v>340</v>
      </c>
      <c r="K14561">
        <v>13920</v>
      </c>
      <c r="L14561">
        <v>0</v>
      </c>
      <c r="M14561">
        <v>96501</v>
      </c>
      <c r="N14561" t="s">
        <v>2066</v>
      </c>
      <c r="O14561">
        <v>250806</v>
      </c>
      <c r="P14561">
        <v>13920</v>
      </c>
    </row>
    <row r="14562" spans="1:16" x14ac:dyDescent="0.25">
      <c r="A14562" t="s">
        <v>3296</v>
      </c>
      <c r="B14562" t="s">
        <v>2931</v>
      </c>
      <c r="C14562">
        <v>10187</v>
      </c>
      <c r="D14562" t="str">
        <f>"939         "</f>
        <v xml:space="preserve">939         </v>
      </c>
      <c r="E14562" t="s">
        <v>1051</v>
      </c>
      <c r="F14562" t="s">
        <v>1052</v>
      </c>
      <c r="G14562">
        <v>13920</v>
      </c>
      <c r="H14562">
        <v>250804</v>
      </c>
      <c r="I14562">
        <v>1196</v>
      </c>
      <c r="J14562" t="s">
        <v>340</v>
      </c>
      <c r="K14562">
        <v>13920</v>
      </c>
      <c r="L14562">
        <v>0</v>
      </c>
      <c r="M14562">
        <v>96501</v>
      </c>
      <c r="N14562" t="s">
        <v>2066</v>
      </c>
      <c r="O14562">
        <v>250812</v>
      </c>
      <c r="P14562">
        <v>13920</v>
      </c>
    </row>
    <row r="14563" spans="1:16" x14ac:dyDescent="0.25">
      <c r="A14563" t="s">
        <v>3296</v>
      </c>
      <c r="B14563" t="s">
        <v>2931</v>
      </c>
      <c r="C14563">
        <v>16021</v>
      </c>
      <c r="D14563" t="str">
        <f>"974         "</f>
        <v xml:space="preserve">974         </v>
      </c>
      <c r="E14563" t="s">
        <v>1051</v>
      </c>
      <c r="F14563" t="s">
        <v>1052</v>
      </c>
      <c r="G14563">
        <v>7694</v>
      </c>
      <c r="H14563">
        <v>251125</v>
      </c>
      <c r="I14563">
        <v>1196</v>
      </c>
      <c r="J14563" t="s">
        <v>340</v>
      </c>
      <c r="K14563">
        <v>7694</v>
      </c>
      <c r="L14563">
        <v>0</v>
      </c>
      <c r="M14563">
        <v>96501</v>
      </c>
      <c r="N14563" t="s">
        <v>2066</v>
      </c>
      <c r="O14563">
        <v>251202</v>
      </c>
      <c r="P14563">
        <v>7694</v>
      </c>
    </row>
    <row r="14564" spans="1:16" x14ac:dyDescent="0.25">
      <c r="A14564" t="s">
        <v>3296</v>
      </c>
      <c r="B14564" t="s">
        <v>2931</v>
      </c>
      <c r="C14564">
        <v>17777</v>
      </c>
      <c r="D14564" t="str">
        <f>"994         "</f>
        <v xml:space="preserve">994         </v>
      </c>
      <c r="E14564" t="s">
        <v>1051</v>
      </c>
      <c r="F14564" t="s">
        <v>1052</v>
      </c>
      <c r="G14564">
        <v>2510.44</v>
      </c>
      <c r="H14564">
        <v>251229</v>
      </c>
      <c r="I14564">
        <v>1196</v>
      </c>
      <c r="J14564" t="s">
        <v>340</v>
      </c>
      <c r="K14564">
        <v>2510.44</v>
      </c>
      <c r="L14564">
        <v>0</v>
      </c>
      <c r="M14564">
        <v>96501</v>
      </c>
      <c r="N14564" t="s">
        <v>2066</v>
      </c>
      <c r="O14564">
        <v>251230</v>
      </c>
      <c r="P14564">
        <v>2510.44</v>
      </c>
    </row>
    <row r="14565" spans="1:16" x14ac:dyDescent="0.25">
      <c r="A14565" t="s">
        <v>3296</v>
      </c>
      <c r="B14565" t="s">
        <v>2931</v>
      </c>
      <c r="C14565">
        <v>1606</v>
      </c>
      <c r="D14565" t="str">
        <f>"881         "</f>
        <v xml:space="preserve">881         </v>
      </c>
      <c r="E14565" t="s">
        <v>1051</v>
      </c>
      <c r="F14565" t="s">
        <v>1052</v>
      </c>
      <c r="G14565">
        <v>1064.1600000000001</v>
      </c>
      <c r="H14565">
        <v>250131</v>
      </c>
      <c r="I14565">
        <v>4390</v>
      </c>
      <c r="J14565" t="s">
        <v>232</v>
      </c>
      <c r="K14565">
        <v>1064.1600000000001</v>
      </c>
      <c r="L14565">
        <v>0</v>
      </c>
      <c r="M14565">
        <v>59501</v>
      </c>
      <c r="N14565" t="s">
        <v>62</v>
      </c>
      <c r="O14565">
        <v>250211</v>
      </c>
      <c r="P14565">
        <v>1064.1600000000001</v>
      </c>
    </row>
    <row r="14566" spans="1:16" x14ac:dyDescent="0.25">
      <c r="A14566" t="s">
        <v>3296</v>
      </c>
      <c r="B14566" t="s">
        <v>2931</v>
      </c>
      <c r="C14566">
        <v>7615</v>
      </c>
      <c r="D14566" t="str">
        <f>"040625      "</f>
        <v xml:space="preserve">040625      </v>
      </c>
      <c r="E14566" t="s">
        <v>3097</v>
      </c>
      <c r="G14566">
        <v>150</v>
      </c>
      <c r="H14566">
        <v>250604</v>
      </c>
      <c r="I14566">
        <v>4440</v>
      </c>
      <c r="J14566" t="s">
        <v>346</v>
      </c>
      <c r="K14566">
        <v>150</v>
      </c>
      <c r="L14566">
        <v>0</v>
      </c>
      <c r="M14566">
        <v>17538</v>
      </c>
      <c r="N14566" t="s">
        <v>129</v>
      </c>
      <c r="O14566">
        <v>250606</v>
      </c>
      <c r="P14566">
        <v>150</v>
      </c>
    </row>
    <row r="14567" spans="1:16" x14ac:dyDescent="0.25">
      <c r="A14567" t="s">
        <v>3296</v>
      </c>
      <c r="B14567" t="s">
        <v>2931</v>
      </c>
      <c r="C14567">
        <v>15336</v>
      </c>
      <c r="D14567" t="str">
        <f t="shared" ref="D14567:D14579" si="241">"44          "</f>
        <v xml:space="preserve">44          </v>
      </c>
      <c r="E14567" t="s">
        <v>2574</v>
      </c>
      <c r="F14567" t="s">
        <v>2575</v>
      </c>
      <c r="G14567">
        <v>0.57999999999999996</v>
      </c>
      <c r="H14567">
        <v>251031</v>
      </c>
      <c r="I14567">
        <v>4410</v>
      </c>
      <c r="J14567" t="s">
        <v>165</v>
      </c>
      <c r="K14567">
        <v>515.4</v>
      </c>
      <c r="L14567">
        <v>0.12</v>
      </c>
      <c r="M14567">
        <v>18122</v>
      </c>
      <c r="N14567" t="s">
        <v>176</v>
      </c>
      <c r="O14567">
        <v>251119</v>
      </c>
      <c r="P14567">
        <v>0.46</v>
      </c>
    </row>
    <row r="14568" spans="1:16" x14ac:dyDescent="0.25">
      <c r="A14568" t="s">
        <v>3296</v>
      </c>
      <c r="B14568" t="s">
        <v>2931</v>
      </c>
      <c r="C14568">
        <v>15336</v>
      </c>
      <c r="D14568" t="str">
        <f t="shared" si="241"/>
        <v xml:space="preserve">44          </v>
      </c>
      <c r="E14568" t="s">
        <v>2574</v>
      </c>
      <c r="F14568" t="s">
        <v>2575</v>
      </c>
      <c r="G14568">
        <v>12.5</v>
      </c>
      <c r="H14568">
        <v>251031</v>
      </c>
      <c r="I14568">
        <v>4410</v>
      </c>
      <c r="J14568" t="s">
        <v>165</v>
      </c>
      <c r="K14568">
        <v>515.4</v>
      </c>
      <c r="L14568">
        <v>1.54</v>
      </c>
      <c r="M14568">
        <v>18122</v>
      </c>
      <c r="N14568" t="s">
        <v>176</v>
      </c>
      <c r="O14568">
        <v>251119</v>
      </c>
      <c r="P14568">
        <v>10.96</v>
      </c>
    </row>
    <row r="14569" spans="1:16" x14ac:dyDescent="0.25">
      <c r="A14569" t="s">
        <v>3296</v>
      </c>
      <c r="B14569" t="s">
        <v>2931</v>
      </c>
      <c r="C14569">
        <v>15336</v>
      </c>
      <c r="D14569" t="str">
        <f t="shared" si="241"/>
        <v xml:space="preserve">44          </v>
      </c>
      <c r="E14569" t="s">
        <v>2574</v>
      </c>
      <c r="F14569" t="s">
        <v>2575</v>
      </c>
      <c r="G14569">
        <v>0.57999999999999996</v>
      </c>
      <c r="H14569">
        <v>251031</v>
      </c>
      <c r="I14569">
        <v>4412</v>
      </c>
      <c r="J14569" t="s">
        <v>884</v>
      </c>
      <c r="K14569">
        <v>515.4</v>
      </c>
      <c r="L14569">
        <v>0.12</v>
      </c>
      <c r="M14569">
        <v>17808</v>
      </c>
      <c r="N14569" t="s">
        <v>24</v>
      </c>
      <c r="O14569">
        <v>251119</v>
      </c>
      <c r="P14569">
        <v>0.46</v>
      </c>
    </row>
    <row r="14570" spans="1:16" x14ac:dyDescent="0.25">
      <c r="A14570" t="s">
        <v>3296</v>
      </c>
      <c r="B14570" t="s">
        <v>2931</v>
      </c>
      <c r="C14570">
        <v>15336</v>
      </c>
      <c r="D14570" t="str">
        <f t="shared" si="241"/>
        <v xml:space="preserve">44          </v>
      </c>
      <c r="E14570" t="s">
        <v>2574</v>
      </c>
      <c r="F14570" t="s">
        <v>2575</v>
      </c>
      <c r="G14570">
        <v>150</v>
      </c>
      <c r="H14570">
        <v>251031</v>
      </c>
      <c r="I14570">
        <v>4412</v>
      </c>
      <c r="J14570" t="s">
        <v>884</v>
      </c>
      <c r="K14570">
        <v>515.4</v>
      </c>
      <c r="L14570">
        <v>18.420000000000002</v>
      </c>
      <c r="M14570">
        <v>17808</v>
      </c>
      <c r="N14570" t="s">
        <v>24</v>
      </c>
      <c r="O14570">
        <v>251119</v>
      </c>
      <c r="P14570">
        <v>131.58000000000001</v>
      </c>
    </row>
    <row r="14571" spans="1:16" x14ac:dyDescent="0.25">
      <c r="A14571" t="s">
        <v>3296</v>
      </c>
      <c r="B14571" t="s">
        <v>2931</v>
      </c>
      <c r="C14571">
        <v>15336</v>
      </c>
      <c r="D14571" t="str">
        <f t="shared" si="241"/>
        <v xml:space="preserve">44          </v>
      </c>
      <c r="E14571" t="s">
        <v>2574</v>
      </c>
      <c r="F14571" t="s">
        <v>2575</v>
      </c>
      <c r="G14571">
        <v>112.5</v>
      </c>
      <c r="H14571">
        <v>251031</v>
      </c>
      <c r="I14571">
        <v>4412</v>
      </c>
      <c r="J14571" t="s">
        <v>884</v>
      </c>
      <c r="K14571">
        <v>515.4</v>
      </c>
      <c r="L14571">
        <v>13.82</v>
      </c>
      <c r="M14571">
        <v>46559</v>
      </c>
      <c r="N14571" t="s">
        <v>105</v>
      </c>
      <c r="O14571">
        <v>251119</v>
      </c>
      <c r="P14571">
        <v>98.68</v>
      </c>
    </row>
    <row r="14572" spans="1:16" x14ac:dyDescent="0.25">
      <c r="A14572" t="s">
        <v>3296</v>
      </c>
      <c r="B14572" t="s">
        <v>2931</v>
      </c>
      <c r="C14572">
        <v>15336</v>
      </c>
      <c r="D14572" t="str">
        <f t="shared" si="241"/>
        <v xml:space="preserve">44          </v>
      </c>
      <c r="E14572" t="s">
        <v>2574</v>
      </c>
      <c r="F14572" t="s">
        <v>2575</v>
      </c>
      <c r="G14572">
        <v>0.57999999999999996</v>
      </c>
      <c r="H14572">
        <v>251031</v>
      </c>
      <c r="I14572">
        <v>4412</v>
      </c>
      <c r="J14572" t="s">
        <v>884</v>
      </c>
      <c r="K14572">
        <v>515.4</v>
      </c>
      <c r="L14572">
        <v>0.12</v>
      </c>
      <c r="M14572">
        <v>49702</v>
      </c>
      <c r="N14572" t="s">
        <v>112</v>
      </c>
      <c r="O14572">
        <v>251119</v>
      </c>
      <c r="P14572">
        <v>0.46</v>
      </c>
    </row>
    <row r="14573" spans="1:16" x14ac:dyDescent="0.25">
      <c r="A14573" t="s">
        <v>3296</v>
      </c>
      <c r="B14573" t="s">
        <v>2931</v>
      </c>
      <c r="C14573">
        <v>15336</v>
      </c>
      <c r="D14573" t="str">
        <f t="shared" si="241"/>
        <v xml:space="preserve">44          </v>
      </c>
      <c r="E14573" t="s">
        <v>2574</v>
      </c>
      <c r="F14573" t="s">
        <v>2575</v>
      </c>
      <c r="G14573">
        <v>12.5</v>
      </c>
      <c r="H14573">
        <v>251031</v>
      </c>
      <c r="I14573">
        <v>4412</v>
      </c>
      <c r="J14573" t="s">
        <v>884</v>
      </c>
      <c r="K14573">
        <v>515.4</v>
      </c>
      <c r="L14573">
        <v>1.54</v>
      </c>
      <c r="M14573">
        <v>49702</v>
      </c>
      <c r="N14573" t="s">
        <v>112</v>
      </c>
      <c r="O14573">
        <v>251119</v>
      </c>
      <c r="P14573">
        <v>10.96</v>
      </c>
    </row>
    <row r="14574" spans="1:16" x14ac:dyDescent="0.25">
      <c r="A14574" t="s">
        <v>3296</v>
      </c>
      <c r="B14574" t="s">
        <v>2931</v>
      </c>
      <c r="C14574">
        <v>15336</v>
      </c>
      <c r="D14574" t="str">
        <f t="shared" si="241"/>
        <v xml:space="preserve">44          </v>
      </c>
      <c r="E14574" t="s">
        <v>2574</v>
      </c>
      <c r="F14574" t="s">
        <v>2575</v>
      </c>
      <c r="G14574">
        <v>175</v>
      </c>
      <c r="H14574">
        <v>251031</v>
      </c>
      <c r="I14574">
        <v>4412</v>
      </c>
      <c r="J14574" t="s">
        <v>884</v>
      </c>
      <c r="K14574">
        <v>515.4</v>
      </c>
      <c r="L14574">
        <v>21.49</v>
      </c>
      <c r="M14574">
        <v>56566</v>
      </c>
      <c r="N14574" t="s">
        <v>58</v>
      </c>
      <c r="O14574">
        <v>251119</v>
      </c>
      <c r="P14574">
        <v>153.51</v>
      </c>
    </row>
    <row r="14575" spans="1:16" x14ac:dyDescent="0.25">
      <c r="A14575" t="s">
        <v>3296</v>
      </c>
      <c r="B14575" t="s">
        <v>2931</v>
      </c>
      <c r="C14575">
        <v>15336</v>
      </c>
      <c r="D14575" t="str">
        <f t="shared" si="241"/>
        <v xml:space="preserve">44          </v>
      </c>
      <c r="E14575" t="s">
        <v>2574</v>
      </c>
      <c r="F14575" t="s">
        <v>2575</v>
      </c>
      <c r="G14575">
        <v>0.57999999999999996</v>
      </c>
      <c r="H14575">
        <v>251031</v>
      </c>
      <c r="I14575">
        <v>4412</v>
      </c>
      <c r="J14575" t="s">
        <v>884</v>
      </c>
      <c r="K14575">
        <v>515.4</v>
      </c>
      <c r="L14575">
        <v>0.12</v>
      </c>
      <c r="M14575">
        <v>59702</v>
      </c>
      <c r="N14575" t="s">
        <v>45</v>
      </c>
      <c r="O14575">
        <v>251119</v>
      </c>
      <c r="P14575">
        <v>0.46</v>
      </c>
    </row>
    <row r="14576" spans="1:16" x14ac:dyDescent="0.25">
      <c r="A14576" t="s">
        <v>3296</v>
      </c>
      <c r="B14576" t="s">
        <v>2931</v>
      </c>
      <c r="C14576">
        <v>15336</v>
      </c>
      <c r="D14576" t="str">
        <f t="shared" si="241"/>
        <v xml:space="preserve">44          </v>
      </c>
      <c r="E14576" t="s">
        <v>2574</v>
      </c>
      <c r="F14576" t="s">
        <v>2575</v>
      </c>
      <c r="G14576">
        <v>12.5</v>
      </c>
      <c r="H14576">
        <v>251031</v>
      </c>
      <c r="I14576">
        <v>4412</v>
      </c>
      <c r="J14576" t="s">
        <v>884</v>
      </c>
      <c r="K14576">
        <v>515.4</v>
      </c>
      <c r="L14576">
        <v>1.54</v>
      </c>
      <c r="M14576">
        <v>59702</v>
      </c>
      <c r="N14576" t="s">
        <v>45</v>
      </c>
      <c r="O14576">
        <v>251119</v>
      </c>
      <c r="P14576">
        <v>10.96</v>
      </c>
    </row>
    <row r="14577" spans="1:16" x14ac:dyDescent="0.25">
      <c r="A14577" t="s">
        <v>3296</v>
      </c>
      <c r="B14577" t="s">
        <v>2931</v>
      </c>
      <c r="C14577">
        <v>15336</v>
      </c>
      <c r="D14577" t="str">
        <f t="shared" si="241"/>
        <v xml:space="preserve">44          </v>
      </c>
      <c r="E14577" t="s">
        <v>2574</v>
      </c>
      <c r="F14577" t="s">
        <v>2575</v>
      </c>
      <c r="G14577">
        <v>25</v>
      </c>
      <c r="H14577">
        <v>251031</v>
      </c>
      <c r="I14577">
        <v>4412</v>
      </c>
      <c r="J14577" t="s">
        <v>884</v>
      </c>
      <c r="K14577">
        <v>515.4</v>
      </c>
      <c r="L14577">
        <v>3.07</v>
      </c>
      <c r="M14577">
        <v>66756</v>
      </c>
      <c r="N14577" t="s">
        <v>120</v>
      </c>
      <c r="O14577">
        <v>251119</v>
      </c>
      <c r="P14577">
        <v>21.93</v>
      </c>
    </row>
    <row r="14578" spans="1:16" x14ac:dyDescent="0.25">
      <c r="A14578" t="s">
        <v>3296</v>
      </c>
      <c r="B14578" t="s">
        <v>2931</v>
      </c>
      <c r="C14578">
        <v>15336</v>
      </c>
      <c r="D14578" t="str">
        <f t="shared" si="241"/>
        <v xml:space="preserve">44          </v>
      </c>
      <c r="E14578" t="s">
        <v>2574</v>
      </c>
      <c r="F14578" t="s">
        <v>2575</v>
      </c>
      <c r="G14578">
        <v>0.57999999999999996</v>
      </c>
      <c r="H14578">
        <v>251031</v>
      </c>
      <c r="I14578">
        <v>4412</v>
      </c>
      <c r="J14578" t="s">
        <v>884</v>
      </c>
      <c r="K14578">
        <v>515.4</v>
      </c>
      <c r="L14578">
        <v>0.12</v>
      </c>
      <c r="M14578">
        <v>69702</v>
      </c>
      <c r="N14578" t="s">
        <v>124</v>
      </c>
      <c r="O14578">
        <v>251119</v>
      </c>
      <c r="P14578">
        <v>0.46</v>
      </c>
    </row>
    <row r="14579" spans="1:16" x14ac:dyDescent="0.25">
      <c r="A14579" t="s">
        <v>3296</v>
      </c>
      <c r="B14579" t="s">
        <v>2931</v>
      </c>
      <c r="C14579">
        <v>15336</v>
      </c>
      <c r="D14579" t="str">
        <f t="shared" si="241"/>
        <v xml:space="preserve">44          </v>
      </c>
      <c r="E14579" t="s">
        <v>2574</v>
      </c>
      <c r="F14579" t="s">
        <v>2575</v>
      </c>
      <c r="G14579">
        <v>12.5</v>
      </c>
      <c r="H14579">
        <v>251031</v>
      </c>
      <c r="I14579">
        <v>4412</v>
      </c>
      <c r="J14579" t="s">
        <v>884</v>
      </c>
      <c r="K14579">
        <v>515.4</v>
      </c>
      <c r="L14579">
        <v>1.54</v>
      </c>
      <c r="M14579">
        <v>69702</v>
      </c>
      <c r="N14579" t="s">
        <v>124</v>
      </c>
      <c r="O14579">
        <v>251119</v>
      </c>
      <c r="P14579">
        <v>10.96</v>
      </c>
    </row>
    <row r="14580" spans="1:16" x14ac:dyDescent="0.25">
      <c r="A14580" t="s">
        <v>3296</v>
      </c>
      <c r="B14580" t="s">
        <v>2931</v>
      </c>
      <c r="C14580">
        <v>3516</v>
      </c>
      <c r="D14580" t="str">
        <f>"219286      "</f>
        <v xml:space="preserve">219286      </v>
      </c>
      <c r="E14580" t="s">
        <v>401</v>
      </c>
      <c r="F14580" t="s">
        <v>402</v>
      </c>
      <c r="G14580">
        <v>109.19</v>
      </c>
      <c r="H14580">
        <v>250311</v>
      </c>
      <c r="I14580">
        <v>4364</v>
      </c>
      <c r="J14580" t="s">
        <v>470</v>
      </c>
      <c r="K14580">
        <v>109.19</v>
      </c>
      <c r="L14580">
        <v>22.19</v>
      </c>
      <c r="M14580">
        <v>17711</v>
      </c>
      <c r="N14580" t="s">
        <v>155</v>
      </c>
      <c r="O14580">
        <v>250325</v>
      </c>
      <c r="P14580">
        <v>87</v>
      </c>
    </row>
    <row r="14581" spans="1:16" x14ac:dyDescent="0.25">
      <c r="A14581" t="s">
        <v>3296</v>
      </c>
      <c r="B14581" t="s">
        <v>2931</v>
      </c>
      <c r="C14581">
        <v>3816</v>
      </c>
      <c r="D14581" t="str">
        <f>"219462      "</f>
        <v xml:space="preserve">219462      </v>
      </c>
      <c r="E14581" t="s">
        <v>401</v>
      </c>
      <c r="F14581" t="s">
        <v>402</v>
      </c>
      <c r="G14581">
        <v>109.19</v>
      </c>
      <c r="H14581">
        <v>250319</v>
      </c>
      <c r="I14581">
        <v>4364</v>
      </c>
      <c r="J14581" t="s">
        <v>470</v>
      </c>
      <c r="K14581">
        <v>801.37</v>
      </c>
      <c r="L14581">
        <v>22.19</v>
      </c>
      <c r="M14581">
        <v>17711</v>
      </c>
      <c r="N14581" t="s">
        <v>155</v>
      </c>
      <c r="O14581">
        <v>250402</v>
      </c>
      <c r="P14581">
        <v>87</v>
      </c>
    </row>
    <row r="14582" spans="1:16" x14ac:dyDescent="0.25">
      <c r="A14582" t="s">
        <v>3296</v>
      </c>
      <c r="B14582" t="s">
        <v>2931</v>
      </c>
      <c r="C14582">
        <v>6296</v>
      </c>
      <c r="D14582" t="str">
        <f>"220782      "</f>
        <v xml:space="preserve">220782      </v>
      </c>
      <c r="E14582" t="s">
        <v>401</v>
      </c>
      <c r="F14582" t="s">
        <v>402</v>
      </c>
      <c r="G14582">
        <v>109.19</v>
      </c>
      <c r="H14582">
        <v>250430</v>
      </c>
      <c r="I14582">
        <v>4364</v>
      </c>
      <c r="J14582" t="s">
        <v>470</v>
      </c>
      <c r="K14582">
        <v>1019.6</v>
      </c>
      <c r="L14582">
        <v>22.19</v>
      </c>
      <c r="M14582">
        <v>17711</v>
      </c>
      <c r="N14582" t="s">
        <v>155</v>
      </c>
      <c r="O14582">
        <v>250512</v>
      </c>
      <c r="P14582">
        <v>87</v>
      </c>
    </row>
    <row r="14583" spans="1:16" x14ac:dyDescent="0.25">
      <c r="A14583" t="s">
        <v>3296</v>
      </c>
      <c r="B14583" t="s">
        <v>2931</v>
      </c>
      <c r="C14583">
        <v>11607</v>
      </c>
      <c r="D14583" t="str">
        <f>"225634      "</f>
        <v xml:space="preserve">225634      </v>
      </c>
      <c r="E14583" t="s">
        <v>401</v>
      </c>
      <c r="F14583" t="s">
        <v>402</v>
      </c>
      <c r="G14583">
        <v>109</v>
      </c>
      <c r="H14583">
        <v>250905</v>
      </c>
      <c r="I14583">
        <v>4364</v>
      </c>
      <c r="J14583" t="s">
        <v>470</v>
      </c>
      <c r="K14583">
        <v>971.47</v>
      </c>
      <c r="L14583">
        <v>22.15</v>
      </c>
      <c r="M14583">
        <v>17711</v>
      </c>
      <c r="N14583" t="s">
        <v>155</v>
      </c>
      <c r="O14583">
        <v>250909</v>
      </c>
      <c r="P14583">
        <v>86.85</v>
      </c>
    </row>
    <row r="14584" spans="1:16" x14ac:dyDescent="0.25">
      <c r="A14584" t="s">
        <v>3296</v>
      </c>
      <c r="B14584" t="s">
        <v>2931</v>
      </c>
      <c r="C14584">
        <v>17718</v>
      </c>
      <c r="D14584" t="str">
        <f>"228474      "</f>
        <v xml:space="preserve">228474      </v>
      </c>
      <c r="E14584" t="s">
        <v>401</v>
      </c>
      <c r="F14584" t="s">
        <v>402</v>
      </c>
      <c r="G14584">
        <v>80</v>
      </c>
      <c r="H14584">
        <v>251219</v>
      </c>
      <c r="I14584">
        <v>4364</v>
      </c>
      <c r="J14584" t="s">
        <v>470</v>
      </c>
      <c r="K14584">
        <v>1132.28</v>
      </c>
      <c r="L14584">
        <v>9.82</v>
      </c>
      <c r="M14584">
        <v>17711</v>
      </c>
      <c r="N14584" t="s">
        <v>155</v>
      </c>
      <c r="O14584">
        <v>251229</v>
      </c>
      <c r="P14584">
        <v>70.180000000000007</v>
      </c>
    </row>
    <row r="14585" spans="1:16" x14ac:dyDescent="0.25">
      <c r="A14585" t="s">
        <v>3296</v>
      </c>
      <c r="B14585" t="s">
        <v>2931</v>
      </c>
      <c r="C14585">
        <v>1803</v>
      </c>
      <c r="D14585" t="str">
        <f>"218726      "</f>
        <v xml:space="preserve">218726      </v>
      </c>
      <c r="E14585" t="s">
        <v>401</v>
      </c>
      <c r="F14585" t="s">
        <v>402</v>
      </c>
      <c r="G14585">
        <v>6091.94</v>
      </c>
      <c r="H14585">
        <v>250211</v>
      </c>
      <c r="I14585">
        <v>4551</v>
      </c>
      <c r="J14585" t="s">
        <v>1127</v>
      </c>
      <c r="K14585">
        <v>6091.94</v>
      </c>
      <c r="L14585">
        <v>1237.8</v>
      </c>
      <c r="M14585">
        <v>17737</v>
      </c>
      <c r="N14585" t="s">
        <v>156</v>
      </c>
      <c r="O14585">
        <v>250214</v>
      </c>
      <c r="P14585">
        <v>4854.1400000000003</v>
      </c>
    </row>
    <row r="14586" spans="1:16" x14ac:dyDescent="0.25">
      <c r="A14586" t="s">
        <v>3296</v>
      </c>
      <c r="B14586" t="s">
        <v>2931</v>
      </c>
      <c r="C14586">
        <v>303</v>
      </c>
      <c r="D14586" t="str">
        <f>"218199      "</f>
        <v xml:space="preserve">218199      </v>
      </c>
      <c r="E14586" t="s">
        <v>401</v>
      </c>
      <c r="F14586" t="s">
        <v>402</v>
      </c>
      <c r="G14586">
        <v>83.61</v>
      </c>
      <c r="H14586">
        <v>250113</v>
      </c>
      <c r="I14586">
        <v>4554</v>
      </c>
      <c r="J14586" t="s">
        <v>351</v>
      </c>
      <c r="K14586">
        <v>83.61</v>
      </c>
      <c r="L14586">
        <v>10.27</v>
      </c>
      <c r="M14586">
        <v>17711</v>
      </c>
      <c r="N14586" t="s">
        <v>155</v>
      </c>
      <c r="O14586">
        <v>250121</v>
      </c>
      <c r="P14586">
        <v>73.34</v>
      </c>
    </row>
    <row r="14587" spans="1:16" x14ac:dyDescent="0.25">
      <c r="A14587" t="s">
        <v>3296</v>
      </c>
      <c r="B14587" t="s">
        <v>2931</v>
      </c>
      <c r="C14587">
        <v>1951</v>
      </c>
      <c r="D14587" t="str">
        <f>"218669      "</f>
        <v xml:space="preserve">218669      </v>
      </c>
      <c r="E14587" t="s">
        <v>401</v>
      </c>
      <c r="F14587" t="s">
        <v>402</v>
      </c>
      <c r="G14587">
        <v>1164.0899999999999</v>
      </c>
      <c r="H14587">
        <v>250206</v>
      </c>
      <c r="I14587">
        <v>4554</v>
      </c>
      <c r="J14587" t="s">
        <v>351</v>
      </c>
      <c r="K14587">
        <v>1164.0899999999999</v>
      </c>
      <c r="L14587">
        <v>142.96</v>
      </c>
      <c r="M14587">
        <v>17711</v>
      </c>
      <c r="N14587" t="s">
        <v>155</v>
      </c>
      <c r="O14587">
        <v>250218</v>
      </c>
      <c r="P14587">
        <v>1021.13</v>
      </c>
    </row>
    <row r="14588" spans="1:16" x14ac:dyDescent="0.25">
      <c r="A14588" t="s">
        <v>3296</v>
      </c>
      <c r="B14588" t="s">
        <v>2931</v>
      </c>
      <c r="C14588">
        <v>3816</v>
      </c>
      <c r="D14588" t="str">
        <f>"219462      "</f>
        <v xml:space="preserve">219462      </v>
      </c>
      <c r="E14588" t="s">
        <v>401</v>
      </c>
      <c r="F14588" t="s">
        <v>402</v>
      </c>
      <c r="G14588">
        <v>692.18</v>
      </c>
      <c r="H14588">
        <v>250319</v>
      </c>
      <c r="I14588">
        <v>4554</v>
      </c>
      <c r="J14588" t="s">
        <v>351</v>
      </c>
      <c r="K14588">
        <v>801.37</v>
      </c>
      <c r="L14588">
        <v>85</v>
      </c>
      <c r="M14588">
        <v>17711</v>
      </c>
      <c r="N14588" t="s">
        <v>155</v>
      </c>
      <c r="O14588">
        <v>250402</v>
      </c>
      <c r="P14588">
        <v>607.17999999999995</v>
      </c>
    </row>
    <row r="14589" spans="1:16" x14ac:dyDescent="0.25">
      <c r="A14589" t="s">
        <v>3296</v>
      </c>
      <c r="B14589" t="s">
        <v>2931</v>
      </c>
      <c r="C14589">
        <v>5725</v>
      </c>
      <c r="D14589" t="str">
        <f>"220334      "</f>
        <v xml:space="preserve">220334      </v>
      </c>
      <c r="E14589" t="s">
        <v>401</v>
      </c>
      <c r="F14589" t="s">
        <v>402</v>
      </c>
      <c r="G14589">
        <v>102.21</v>
      </c>
      <c r="H14589">
        <v>250422</v>
      </c>
      <c r="I14589">
        <v>4554</v>
      </c>
      <c r="J14589" t="s">
        <v>351</v>
      </c>
      <c r="K14589">
        <v>102.21</v>
      </c>
      <c r="L14589">
        <v>12.55</v>
      </c>
      <c r="M14589">
        <v>17711</v>
      </c>
      <c r="N14589" t="s">
        <v>155</v>
      </c>
      <c r="O14589">
        <v>250429</v>
      </c>
      <c r="P14589">
        <v>89.66</v>
      </c>
    </row>
    <row r="14590" spans="1:16" x14ac:dyDescent="0.25">
      <c r="A14590" t="s">
        <v>3296</v>
      </c>
      <c r="B14590" t="s">
        <v>2931</v>
      </c>
      <c r="C14590">
        <v>6296</v>
      </c>
      <c r="D14590" t="str">
        <f>"220782      "</f>
        <v xml:space="preserve">220782      </v>
      </c>
      <c r="E14590" t="s">
        <v>401</v>
      </c>
      <c r="F14590" t="s">
        <v>402</v>
      </c>
      <c r="G14590">
        <v>910.41</v>
      </c>
      <c r="H14590">
        <v>250430</v>
      </c>
      <c r="I14590">
        <v>4554</v>
      </c>
      <c r="J14590" t="s">
        <v>351</v>
      </c>
      <c r="K14590">
        <v>1019.6</v>
      </c>
      <c r="L14590">
        <v>111.8</v>
      </c>
      <c r="M14590">
        <v>17711</v>
      </c>
      <c r="N14590" t="s">
        <v>155</v>
      </c>
      <c r="O14590">
        <v>250512</v>
      </c>
      <c r="P14590">
        <v>798.61</v>
      </c>
    </row>
    <row r="14591" spans="1:16" x14ac:dyDescent="0.25">
      <c r="A14591" t="s">
        <v>3296</v>
      </c>
      <c r="B14591" t="s">
        <v>2931</v>
      </c>
      <c r="C14591">
        <v>11607</v>
      </c>
      <c r="D14591" t="str">
        <f>"225634      "</f>
        <v xml:space="preserve">225634      </v>
      </c>
      <c r="E14591" t="s">
        <v>401</v>
      </c>
      <c r="F14591" t="s">
        <v>402</v>
      </c>
      <c r="G14591">
        <v>862.47</v>
      </c>
      <c r="H14591">
        <v>250905</v>
      </c>
      <c r="I14591">
        <v>4554</v>
      </c>
      <c r="J14591" t="s">
        <v>351</v>
      </c>
      <c r="K14591">
        <v>971.47</v>
      </c>
      <c r="L14591">
        <v>105.92</v>
      </c>
      <c r="M14591">
        <v>17711</v>
      </c>
      <c r="N14591" t="s">
        <v>155</v>
      </c>
      <c r="O14591">
        <v>250909</v>
      </c>
      <c r="P14591">
        <v>756.55</v>
      </c>
    </row>
    <row r="14592" spans="1:16" x14ac:dyDescent="0.25">
      <c r="A14592" t="s">
        <v>3296</v>
      </c>
      <c r="B14592" t="s">
        <v>2931</v>
      </c>
      <c r="C14592">
        <v>16373</v>
      </c>
      <c r="D14592" t="str">
        <f>"228039      "</f>
        <v xml:space="preserve">228039      </v>
      </c>
      <c r="E14592" t="s">
        <v>401</v>
      </c>
      <c r="F14592" t="s">
        <v>402</v>
      </c>
      <c r="G14592">
        <v>250.64</v>
      </c>
      <c r="H14592">
        <v>251204</v>
      </c>
      <c r="I14592">
        <v>4554</v>
      </c>
      <c r="J14592" t="s">
        <v>351</v>
      </c>
      <c r="K14592">
        <v>250.64</v>
      </c>
      <c r="L14592">
        <v>30.78</v>
      </c>
      <c r="M14592">
        <v>17711</v>
      </c>
      <c r="N14592" t="s">
        <v>155</v>
      </c>
      <c r="O14592">
        <v>251208</v>
      </c>
      <c r="P14592">
        <v>219.86</v>
      </c>
    </row>
    <row r="14593" spans="1:16" x14ac:dyDescent="0.25">
      <c r="A14593" t="s">
        <v>3296</v>
      </c>
      <c r="B14593" t="s">
        <v>2931</v>
      </c>
      <c r="C14593">
        <v>17718</v>
      </c>
      <c r="D14593" t="str">
        <f>"228474      "</f>
        <v xml:space="preserve">228474      </v>
      </c>
      <c r="E14593" t="s">
        <v>401</v>
      </c>
      <c r="F14593" t="s">
        <v>402</v>
      </c>
      <c r="G14593">
        <v>1052.28</v>
      </c>
      <c r="H14593">
        <v>251219</v>
      </c>
      <c r="I14593">
        <v>4554</v>
      </c>
      <c r="J14593" t="s">
        <v>351</v>
      </c>
      <c r="K14593">
        <v>1132.28</v>
      </c>
      <c r="L14593">
        <v>129.22999999999999</v>
      </c>
      <c r="M14593">
        <v>17711</v>
      </c>
      <c r="N14593" t="s">
        <v>155</v>
      </c>
      <c r="O14593">
        <v>251229</v>
      </c>
      <c r="P14593">
        <v>923.05</v>
      </c>
    </row>
    <row r="14594" spans="1:16" x14ac:dyDescent="0.25">
      <c r="A14594" t="s">
        <v>3296</v>
      </c>
      <c r="B14594" t="s">
        <v>2931</v>
      </c>
      <c r="C14594">
        <v>4488</v>
      </c>
      <c r="D14594" t="str">
        <f>"219763      "</f>
        <v xml:space="preserve">219763      </v>
      </c>
      <c r="E14594" t="s">
        <v>401</v>
      </c>
      <c r="F14594" t="s">
        <v>402</v>
      </c>
      <c r="G14594">
        <v>24.9</v>
      </c>
      <c r="H14594">
        <v>250331</v>
      </c>
      <c r="I14594">
        <v>4560</v>
      </c>
      <c r="J14594" t="s">
        <v>390</v>
      </c>
      <c r="K14594">
        <v>1700.3</v>
      </c>
      <c r="L14594">
        <v>5.0599999999999996</v>
      </c>
      <c r="M14594">
        <v>17711</v>
      </c>
      <c r="N14594" t="s">
        <v>155</v>
      </c>
      <c r="O14594">
        <v>250411</v>
      </c>
      <c r="P14594">
        <v>19.84</v>
      </c>
    </row>
    <row r="14595" spans="1:16" x14ac:dyDescent="0.25">
      <c r="A14595" t="s">
        <v>3296</v>
      </c>
      <c r="B14595" t="s">
        <v>2931</v>
      </c>
      <c r="C14595">
        <v>4488</v>
      </c>
      <c r="D14595" t="str">
        <f>"219763      "</f>
        <v xml:space="preserve">219763      </v>
      </c>
      <c r="E14595" t="s">
        <v>401</v>
      </c>
      <c r="F14595" t="s">
        <v>402</v>
      </c>
      <c r="G14595">
        <v>669</v>
      </c>
      <c r="H14595">
        <v>250331</v>
      </c>
      <c r="I14595">
        <v>4560</v>
      </c>
      <c r="J14595" t="s">
        <v>390</v>
      </c>
      <c r="K14595">
        <v>1700.3</v>
      </c>
      <c r="L14595">
        <v>135.93</v>
      </c>
      <c r="M14595">
        <v>17737</v>
      </c>
      <c r="N14595" t="s">
        <v>156</v>
      </c>
      <c r="O14595">
        <v>250411</v>
      </c>
      <c r="P14595">
        <v>533.07000000000005</v>
      </c>
    </row>
    <row r="14596" spans="1:16" x14ac:dyDescent="0.25">
      <c r="A14596" t="s">
        <v>3296</v>
      </c>
      <c r="B14596" t="s">
        <v>2931</v>
      </c>
      <c r="C14596">
        <v>4488</v>
      </c>
      <c r="D14596" t="str">
        <f>"219763      "</f>
        <v xml:space="preserve">219763      </v>
      </c>
      <c r="E14596" t="s">
        <v>401</v>
      </c>
      <c r="F14596" t="s">
        <v>402</v>
      </c>
      <c r="G14596">
        <v>1006.4</v>
      </c>
      <c r="H14596">
        <v>250331</v>
      </c>
      <c r="I14596">
        <v>4600</v>
      </c>
      <c r="J14596" t="s">
        <v>278</v>
      </c>
      <c r="K14596">
        <v>1700.3</v>
      </c>
      <c r="L14596">
        <v>204.49</v>
      </c>
      <c r="M14596">
        <v>17737</v>
      </c>
      <c r="N14596" t="s">
        <v>156</v>
      </c>
      <c r="O14596">
        <v>250411</v>
      </c>
      <c r="P14596">
        <v>801.91</v>
      </c>
    </row>
    <row r="14597" spans="1:16" x14ac:dyDescent="0.25">
      <c r="A14597" t="s">
        <v>3296</v>
      </c>
      <c r="B14597" t="s">
        <v>2931</v>
      </c>
      <c r="C14597">
        <v>5316</v>
      </c>
      <c r="D14597" t="str">
        <f>"220089      "</f>
        <v xml:space="preserve">220089      </v>
      </c>
      <c r="E14597" t="s">
        <v>401</v>
      </c>
      <c r="F14597" t="s">
        <v>402</v>
      </c>
      <c r="G14597">
        <v>66.05</v>
      </c>
      <c r="H14597">
        <v>250411</v>
      </c>
      <c r="I14597">
        <v>4600</v>
      </c>
      <c r="J14597" t="s">
        <v>278</v>
      </c>
      <c r="K14597">
        <v>66.05</v>
      </c>
      <c r="L14597">
        <v>13.42</v>
      </c>
      <c r="M14597">
        <v>17711</v>
      </c>
      <c r="N14597" t="s">
        <v>155</v>
      </c>
      <c r="O14597">
        <v>250423</v>
      </c>
      <c r="P14597">
        <v>52.63</v>
      </c>
    </row>
    <row r="14598" spans="1:16" x14ac:dyDescent="0.25">
      <c r="A14598" t="s">
        <v>3296</v>
      </c>
      <c r="B14598" t="s">
        <v>2931</v>
      </c>
      <c r="C14598">
        <v>8145</v>
      </c>
      <c r="D14598" t="str">
        <f>"222131      "</f>
        <v xml:space="preserve">222131      </v>
      </c>
      <c r="E14598" t="s">
        <v>401</v>
      </c>
      <c r="F14598" t="s">
        <v>402</v>
      </c>
      <c r="G14598">
        <v>37.950000000000003</v>
      </c>
      <c r="H14598">
        <v>250531</v>
      </c>
      <c r="I14598">
        <v>4600</v>
      </c>
      <c r="J14598" t="s">
        <v>278</v>
      </c>
      <c r="K14598">
        <v>37.950000000000003</v>
      </c>
      <c r="L14598">
        <v>7.71</v>
      </c>
      <c r="M14598">
        <v>17737</v>
      </c>
      <c r="N14598" t="s">
        <v>156</v>
      </c>
      <c r="O14598">
        <v>250611</v>
      </c>
      <c r="P14598">
        <v>30.24</v>
      </c>
    </row>
    <row r="14599" spans="1:16" x14ac:dyDescent="0.25">
      <c r="A14599" t="s">
        <v>3296</v>
      </c>
      <c r="B14599" t="s">
        <v>2931</v>
      </c>
      <c r="C14599">
        <v>8198</v>
      </c>
      <c r="D14599" t="str">
        <f>"222222      "</f>
        <v xml:space="preserve">222222      </v>
      </c>
      <c r="E14599" t="s">
        <v>401</v>
      </c>
      <c r="F14599" t="s">
        <v>402</v>
      </c>
      <c r="G14599">
        <v>194.45</v>
      </c>
      <c r="H14599">
        <v>250531</v>
      </c>
      <c r="I14599">
        <v>4600</v>
      </c>
      <c r="J14599" t="s">
        <v>278</v>
      </c>
      <c r="K14599">
        <v>194.45</v>
      </c>
      <c r="L14599">
        <v>39.51</v>
      </c>
      <c r="M14599">
        <v>17737</v>
      </c>
      <c r="N14599" t="s">
        <v>156</v>
      </c>
      <c r="O14599">
        <v>250612</v>
      </c>
      <c r="P14599">
        <v>154.94</v>
      </c>
    </row>
    <row r="14600" spans="1:16" x14ac:dyDescent="0.25">
      <c r="A14600" t="s">
        <v>3296</v>
      </c>
      <c r="B14600" t="s">
        <v>2931</v>
      </c>
      <c r="C14600">
        <v>14126</v>
      </c>
      <c r="D14600" t="str">
        <f>"226916      "</f>
        <v xml:space="preserve">226916      </v>
      </c>
      <c r="E14600" t="s">
        <v>401</v>
      </c>
      <c r="F14600" t="s">
        <v>402</v>
      </c>
      <c r="G14600">
        <v>117.7</v>
      </c>
      <c r="H14600">
        <v>251022</v>
      </c>
      <c r="I14600">
        <v>4600</v>
      </c>
      <c r="J14600" t="s">
        <v>278</v>
      </c>
      <c r="K14600">
        <v>117.7</v>
      </c>
      <c r="L14600">
        <v>23.92</v>
      </c>
      <c r="M14600">
        <v>17737</v>
      </c>
      <c r="N14600" t="s">
        <v>156</v>
      </c>
      <c r="O14600">
        <v>251024</v>
      </c>
      <c r="P14600">
        <v>93.78</v>
      </c>
    </row>
    <row r="14601" spans="1:16" x14ac:dyDescent="0.25">
      <c r="A14601" t="s">
        <v>3296</v>
      </c>
      <c r="B14601" t="s">
        <v>2931</v>
      </c>
      <c r="C14601">
        <v>2637</v>
      </c>
      <c r="D14601" t="str">
        <f>"767         "</f>
        <v xml:space="preserve">767         </v>
      </c>
      <c r="E14601" t="s">
        <v>1324</v>
      </c>
      <c r="F14601" t="s">
        <v>1325</v>
      </c>
      <c r="G14601">
        <v>357.68</v>
      </c>
      <c r="H14601">
        <v>250224</v>
      </c>
      <c r="I14601">
        <v>4350</v>
      </c>
      <c r="J14601" t="s">
        <v>290</v>
      </c>
      <c r="K14601">
        <v>357.68</v>
      </c>
      <c r="L14601">
        <v>72.680000000000007</v>
      </c>
      <c r="M14601">
        <v>59802</v>
      </c>
      <c r="N14601" t="s">
        <v>195</v>
      </c>
      <c r="O14601">
        <v>250307</v>
      </c>
      <c r="P14601">
        <v>285</v>
      </c>
    </row>
    <row r="14602" spans="1:16" x14ac:dyDescent="0.25">
      <c r="A14602" t="s">
        <v>3296</v>
      </c>
      <c r="B14602" t="s">
        <v>2931</v>
      </c>
      <c r="C14602">
        <v>13735</v>
      </c>
      <c r="D14602" t="str">
        <f>"2000171     "</f>
        <v xml:space="preserve">2000171     </v>
      </c>
      <c r="E14602" t="s">
        <v>3114</v>
      </c>
      <c r="F14602" t="s">
        <v>3115</v>
      </c>
      <c r="G14602">
        <v>52.1</v>
      </c>
      <c r="H14602">
        <v>251008</v>
      </c>
      <c r="I14602">
        <v>4410</v>
      </c>
      <c r="J14602" t="s">
        <v>165</v>
      </c>
      <c r="K14602">
        <v>52.1</v>
      </c>
      <c r="L14602">
        <v>0</v>
      </c>
      <c r="M14602">
        <v>13601</v>
      </c>
      <c r="N14602" t="s">
        <v>115</v>
      </c>
      <c r="O14602">
        <v>251017</v>
      </c>
      <c r="P14602">
        <v>52.1</v>
      </c>
    </row>
    <row r="14603" spans="1:16" x14ac:dyDescent="0.25">
      <c r="A14603" t="s">
        <v>3296</v>
      </c>
      <c r="B14603" t="s">
        <v>2931</v>
      </c>
      <c r="C14603">
        <v>8865</v>
      </c>
      <c r="D14603" t="str">
        <f>"2000153     "</f>
        <v xml:space="preserve">2000153     </v>
      </c>
      <c r="E14603" t="s">
        <v>3114</v>
      </c>
      <c r="F14603" t="s">
        <v>3115</v>
      </c>
      <c r="G14603">
        <v>1960</v>
      </c>
      <c r="H14603">
        <v>250617</v>
      </c>
      <c r="I14603">
        <v>4440</v>
      </c>
      <c r="J14603" t="s">
        <v>346</v>
      </c>
      <c r="K14603">
        <v>1960</v>
      </c>
      <c r="L14603">
        <v>0</v>
      </c>
      <c r="M14603">
        <v>13601</v>
      </c>
      <c r="N14603" t="s">
        <v>115</v>
      </c>
      <c r="O14603">
        <v>250618</v>
      </c>
      <c r="P14603">
        <v>1960</v>
      </c>
    </row>
    <row r="14604" spans="1:16" x14ac:dyDescent="0.25">
      <c r="A14604" t="s">
        <v>3296</v>
      </c>
      <c r="B14604" t="s">
        <v>2931</v>
      </c>
      <c r="C14604">
        <v>16284</v>
      </c>
      <c r="D14604" t="str">
        <f>"2000185     "</f>
        <v xml:space="preserve">2000185     </v>
      </c>
      <c r="E14604" t="s">
        <v>3114</v>
      </c>
      <c r="F14604" t="s">
        <v>3115</v>
      </c>
      <c r="G14604">
        <v>1450</v>
      </c>
      <c r="H14604">
        <v>251203</v>
      </c>
      <c r="I14604">
        <v>4440</v>
      </c>
      <c r="J14604" t="s">
        <v>346</v>
      </c>
      <c r="K14604">
        <v>1450</v>
      </c>
      <c r="L14604">
        <v>0</v>
      </c>
      <c r="M14604">
        <v>13601</v>
      </c>
      <c r="N14604" t="s">
        <v>115</v>
      </c>
      <c r="O14604">
        <v>251205</v>
      </c>
      <c r="P14604">
        <v>1450</v>
      </c>
    </row>
    <row r="14605" spans="1:16" x14ac:dyDescent="0.25">
      <c r="A14605" t="s">
        <v>3296</v>
      </c>
      <c r="B14605" t="s">
        <v>2931</v>
      </c>
      <c r="C14605">
        <v>18228</v>
      </c>
      <c r="D14605" t="str">
        <f>"3005252959  "</f>
        <v xml:space="preserve">3005252959  </v>
      </c>
      <c r="E14605" t="s">
        <v>2001</v>
      </c>
      <c r="F14605" t="s">
        <v>2002</v>
      </c>
      <c r="G14605">
        <v>205</v>
      </c>
      <c r="H14605">
        <v>251231</v>
      </c>
      <c r="I14605">
        <v>4600</v>
      </c>
      <c r="J14605" t="s">
        <v>278</v>
      </c>
      <c r="K14605">
        <v>205</v>
      </c>
      <c r="L14605">
        <v>0</v>
      </c>
      <c r="M14605">
        <v>54222</v>
      </c>
      <c r="N14605" t="s">
        <v>48</v>
      </c>
      <c r="O14605">
        <v>260112</v>
      </c>
      <c r="P14605">
        <v>205</v>
      </c>
    </row>
    <row r="14606" spans="1:16" x14ac:dyDescent="0.25">
      <c r="A14606" t="s">
        <v>3296</v>
      </c>
      <c r="B14606" t="s">
        <v>2931</v>
      </c>
      <c r="C14606">
        <v>5410</v>
      </c>
      <c r="D14606" t="str">
        <f>"0106430972  "</f>
        <v xml:space="preserve">0106430972  </v>
      </c>
      <c r="E14606" t="s">
        <v>1734</v>
      </c>
      <c r="F14606" t="s">
        <v>1735</v>
      </c>
      <c r="G14606">
        <v>148.77000000000001</v>
      </c>
      <c r="H14606">
        <v>250415</v>
      </c>
      <c r="I14606">
        <v>4410</v>
      </c>
      <c r="J14606" t="s">
        <v>165</v>
      </c>
      <c r="K14606">
        <v>148.77000000000001</v>
      </c>
      <c r="L14606">
        <v>18.27</v>
      </c>
      <c r="M14606">
        <v>49112</v>
      </c>
      <c r="N14606" t="s">
        <v>109</v>
      </c>
      <c r="O14606">
        <v>250424</v>
      </c>
      <c r="P14606">
        <v>130.5</v>
      </c>
    </row>
    <row r="14607" spans="1:16" x14ac:dyDescent="0.25">
      <c r="A14607" t="s">
        <v>3296</v>
      </c>
      <c r="B14607" t="s">
        <v>2931</v>
      </c>
      <c r="C14607">
        <v>15778</v>
      </c>
      <c r="D14607" t="str">
        <f t="shared" ref="D14607:D14620" si="242">"0106508031  "</f>
        <v xml:space="preserve">0106508031  </v>
      </c>
      <c r="E14607" t="s">
        <v>1734</v>
      </c>
      <c r="F14607" t="s">
        <v>1735</v>
      </c>
      <c r="G14607">
        <v>29.2</v>
      </c>
      <c r="H14607">
        <v>251111</v>
      </c>
      <c r="I14607">
        <v>4412</v>
      </c>
      <c r="J14607" t="s">
        <v>884</v>
      </c>
      <c r="K14607">
        <v>269.95</v>
      </c>
      <c r="L14607">
        <v>3.59</v>
      </c>
      <c r="M14607">
        <v>14121</v>
      </c>
      <c r="N14607" t="s">
        <v>71</v>
      </c>
      <c r="O14607">
        <v>251127</v>
      </c>
      <c r="P14607">
        <v>25.61</v>
      </c>
    </row>
    <row r="14608" spans="1:16" x14ac:dyDescent="0.25">
      <c r="A14608" t="s">
        <v>3296</v>
      </c>
      <c r="B14608" t="s">
        <v>2931</v>
      </c>
      <c r="C14608">
        <v>15778</v>
      </c>
      <c r="D14608" t="str">
        <f t="shared" si="242"/>
        <v xml:space="preserve">0106508031  </v>
      </c>
      <c r="E14608" t="s">
        <v>1734</v>
      </c>
      <c r="F14608" t="s">
        <v>1735</v>
      </c>
      <c r="G14608">
        <v>36.46</v>
      </c>
      <c r="H14608">
        <v>251111</v>
      </c>
      <c r="I14608">
        <v>4412</v>
      </c>
      <c r="J14608" t="s">
        <v>884</v>
      </c>
      <c r="K14608">
        <v>269.95</v>
      </c>
      <c r="L14608">
        <v>4.4800000000000004</v>
      </c>
      <c r="M14608">
        <v>14622</v>
      </c>
      <c r="N14608" t="s">
        <v>77</v>
      </c>
      <c r="O14608">
        <v>251127</v>
      </c>
      <c r="P14608">
        <v>31.98</v>
      </c>
    </row>
    <row r="14609" spans="1:16" x14ac:dyDescent="0.25">
      <c r="A14609" t="s">
        <v>3296</v>
      </c>
      <c r="B14609" t="s">
        <v>2931</v>
      </c>
      <c r="C14609">
        <v>15778</v>
      </c>
      <c r="D14609" t="str">
        <f t="shared" si="242"/>
        <v xml:space="preserve">0106508031  </v>
      </c>
      <c r="E14609" t="s">
        <v>1734</v>
      </c>
      <c r="F14609" t="s">
        <v>1735</v>
      </c>
      <c r="G14609">
        <v>21.88</v>
      </c>
      <c r="H14609">
        <v>251111</v>
      </c>
      <c r="I14609">
        <v>4412</v>
      </c>
      <c r="J14609" t="s">
        <v>884</v>
      </c>
      <c r="K14609">
        <v>269.95</v>
      </c>
      <c r="L14609">
        <v>2.69</v>
      </c>
      <c r="M14609">
        <v>16121</v>
      </c>
      <c r="N14609" t="s">
        <v>127</v>
      </c>
      <c r="O14609">
        <v>251127</v>
      </c>
      <c r="P14609">
        <v>19.190000000000001</v>
      </c>
    </row>
    <row r="14610" spans="1:16" x14ac:dyDescent="0.25">
      <c r="A14610" t="s">
        <v>3296</v>
      </c>
      <c r="B14610" t="s">
        <v>2931</v>
      </c>
      <c r="C14610">
        <v>15778</v>
      </c>
      <c r="D14610" t="str">
        <f t="shared" si="242"/>
        <v xml:space="preserve">0106508031  </v>
      </c>
      <c r="E14610" t="s">
        <v>1734</v>
      </c>
      <c r="F14610" t="s">
        <v>1735</v>
      </c>
      <c r="G14610">
        <v>14.6</v>
      </c>
      <c r="H14610">
        <v>251111</v>
      </c>
      <c r="I14610">
        <v>4412</v>
      </c>
      <c r="J14610" t="s">
        <v>884</v>
      </c>
      <c r="K14610">
        <v>269.95</v>
      </c>
      <c r="L14610">
        <v>1.79</v>
      </c>
      <c r="M14610">
        <v>16820</v>
      </c>
      <c r="N14610" t="s">
        <v>128</v>
      </c>
      <c r="O14610">
        <v>251127</v>
      </c>
      <c r="P14610">
        <v>12.81</v>
      </c>
    </row>
    <row r="14611" spans="1:16" x14ac:dyDescent="0.25">
      <c r="A14611" t="s">
        <v>3296</v>
      </c>
      <c r="B14611" t="s">
        <v>2931</v>
      </c>
      <c r="C14611">
        <v>15778</v>
      </c>
      <c r="D14611" t="str">
        <f t="shared" si="242"/>
        <v xml:space="preserve">0106508031  </v>
      </c>
      <c r="E14611" t="s">
        <v>1734</v>
      </c>
      <c r="F14611" t="s">
        <v>1735</v>
      </c>
      <c r="G14611">
        <v>7.3</v>
      </c>
      <c r="H14611">
        <v>251111</v>
      </c>
      <c r="I14611">
        <v>4412</v>
      </c>
      <c r="J14611" t="s">
        <v>884</v>
      </c>
      <c r="K14611">
        <v>269.95</v>
      </c>
      <c r="L14611">
        <v>0.9</v>
      </c>
      <c r="M14611">
        <v>17972</v>
      </c>
      <c r="N14611" t="s">
        <v>28</v>
      </c>
      <c r="O14611">
        <v>251127</v>
      </c>
      <c r="P14611">
        <v>6.4</v>
      </c>
    </row>
    <row r="14612" spans="1:16" x14ac:dyDescent="0.25">
      <c r="A14612" t="s">
        <v>3296</v>
      </c>
      <c r="B14612" t="s">
        <v>2931</v>
      </c>
      <c r="C14612">
        <v>15778</v>
      </c>
      <c r="D14612" t="str">
        <f t="shared" si="242"/>
        <v xml:space="preserve">0106508031  </v>
      </c>
      <c r="E14612" t="s">
        <v>1734</v>
      </c>
      <c r="F14612" t="s">
        <v>1735</v>
      </c>
      <c r="G14612">
        <v>29.19</v>
      </c>
      <c r="H14612">
        <v>251111</v>
      </c>
      <c r="I14612">
        <v>4412</v>
      </c>
      <c r="J14612" t="s">
        <v>884</v>
      </c>
      <c r="K14612">
        <v>269.95</v>
      </c>
      <c r="L14612">
        <v>3.58</v>
      </c>
      <c r="M14612">
        <v>18120</v>
      </c>
      <c r="N14612" t="s">
        <v>37</v>
      </c>
      <c r="O14612">
        <v>251127</v>
      </c>
      <c r="P14612">
        <v>25.61</v>
      </c>
    </row>
    <row r="14613" spans="1:16" x14ac:dyDescent="0.25">
      <c r="A14613" t="s">
        <v>3296</v>
      </c>
      <c r="B14613" t="s">
        <v>2931</v>
      </c>
      <c r="C14613">
        <v>15778</v>
      </c>
      <c r="D14613" t="str">
        <f t="shared" si="242"/>
        <v xml:space="preserve">0106508031  </v>
      </c>
      <c r="E14613" t="s">
        <v>1734</v>
      </c>
      <c r="F14613" t="s">
        <v>1735</v>
      </c>
      <c r="G14613">
        <v>14.59</v>
      </c>
      <c r="H14613">
        <v>251111</v>
      </c>
      <c r="I14613">
        <v>4412</v>
      </c>
      <c r="J14613" t="s">
        <v>884</v>
      </c>
      <c r="K14613">
        <v>269.95</v>
      </c>
      <c r="L14613">
        <v>1.79</v>
      </c>
      <c r="M14613">
        <v>41126</v>
      </c>
      <c r="N14613" t="s">
        <v>94</v>
      </c>
      <c r="O14613">
        <v>251127</v>
      </c>
      <c r="P14613">
        <v>12.8</v>
      </c>
    </row>
    <row r="14614" spans="1:16" x14ac:dyDescent="0.25">
      <c r="A14614" t="s">
        <v>3296</v>
      </c>
      <c r="B14614" t="s">
        <v>2931</v>
      </c>
      <c r="C14614">
        <v>15778</v>
      </c>
      <c r="D14614" t="str">
        <f t="shared" si="242"/>
        <v xml:space="preserve">0106508031  </v>
      </c>
      <c r="E14614" t="s">
        <v>1734</v>
      </c>
      <c r="F14614" t="s">
        <v>1735</v>
      </c>
      <c r="G14614">
        <v>14.59</v>
      </c>
      <c r="H14614">
        <v>251111</v>
      </c>
      <c r="I14614">
        <v>4412</v>
      </c>
      <c r="J14614" t="s">
        <v>884</v>
      </c>
      <c r="K14614">
        <v>269.95</v>
      </c>
      <c r="L14614">
        <v>1.79</v>
      </c>
      <c r="M14614">
        <v>41127</v>
      </c>
      <c r="N14614" t="s">
        <v>2273</v>
      </c>
      <c r="O14614">
        <v>251127</v>
      </c>
      <c r="P14614">
        <v>12.8</v>
      </c>
    </row>
    <row r="14615" spans="1:16" x14ac:dyDescent="0.25">
      <c r="A14615" t="s">
        <v>3296</v>
      </c>
      <c r="B14615" t="s">
        <v>2931</v>
      </c>
      <c r="C14615">
        <v>15778</v>
      </c>
      <c r="D14615" t="str">
        <f t="shared" si="242"/>
        <v xml:space="preserve">0106508031  </v>
      </c>
      <c r="E14615" t="s">
        <v>1734</v>
      </c>
      <c r="F14615" t="s">
        <v>1735</v>
      </c>
      <c r="G14615">
        <v>21.89</v>
      </c>
      <c r="H14615">
        <v>251111</v>
      </c>
      <c r="I14615">
        <v>4412</v>
      </c>
      <c r="J14615" t="s">
        <v>884</v>
      </c>
      <c r="K14615">
        <v>269.95</v>
      </c>
      <c r="L14615">
        <v>2.69</v>
      </c>
      <c r="M14615">
        <v>46222</v>
      </c>
      <c r="N14615" t="s">
        <v>101</v>
      </c>
      <c r="O14615">
        <v>251127</v>
      </c>
      <c r="P14615">
        <v>19.2</v>
      </c>
    </row>
    <row r="14616" spans="1:16" x14ac:dyDescent="0.25">
      <c r="A14616" t="s">
        <v>3296</v>
      </c>
      <c r="B14616" t="s">
        <v>2931</v>
      </c>
      <c r="C14616">
        <v>15778</v>
      </c>
      <c r="D14616" t="str">
        <f t="shared" si="242"/>
        <v xml:space="preserve">0106508031  </v>
      </c>
      <c r="E14616" t="s">
        <v>1734</v>
      </c>
      <c r="F14616" t="s">
        <v>1735</v>
      </c>
      <c r="G14616">
        <v>7.3</v>
      </c>
      <c r="H14616">
        <v>251111</v>
      </c>
      <c r="I14616">
        <v>4412</v>
      </c>
      <c r="J14616" t="s">
        <v>884</v>
      </c>
      <c r="K14616">
        <v>269.95</v>
      </c>
      <c r="L14616">
        <v>0.9</v>
      </c>
      <c r="M14616">
        <v>49702</v>
      </c>
      <c r="N14616" t="s">
        <v>112</v>
      </c>
      <c r="O14616">
        <v>251127</v>
      </c>
      <c r="P14616">
        <v>6.4</v>
      </c>
    </row>
    <row r="14617" spans="1:16" x14ac:dyDescent="0.25">
      <c r="A14617" t="s">
        <v>3296</v>
      </c>
      <c r="B14617" t="s">
        <v>2931</v>
      </c>
      <c r="C14617">
        <v>15778</v>
      </c>
      <c r="D14617" t="str">
        <f t="shared" si="242"/>
        <v xml:space="preserve">0106508031  </v>
      </c>
      <c r="E14617" t="s">
        <v>1734</v>
      </c>
      <c r="F14617" t="s">
        <v>1735</v>
      </c>
      <c r="G14617">
        <v>29.18</v>
      </c>
      <c r="H14617">
        <v>251111</v>
      </c>
      <c r="I14617">
        <v>4412</v>
      </c>
      <c r="J14617" t="s">
        <v>884</v>
      </c>
      <c r="K14617">
        <v>269.95</v>
      </c>
      <c r="L14617">
        <v>3.58</v>
      </c>
      <c r="M14617">
        <v>61122</v>
      </c>
      <c r="N14617" t="s">
        <v>86</v>
      </c>
      <c r="O14617">
        <v>251127</v>
      </c>
      <c r="P14617">
        <v>25.6</v>
      </c>
    </row>
    <row r="14618" spans="1:16" x14ac:dyDescent="0.25">
      <c r="A14618" t="s">
        <v>3296</v>
      </c>
      <c r="B14618" t="s">
        <v>2931</v>
      </c>
      <c r="C14618">
        <v>15778</v>
      </c>
      <c r="D14618" t="str">
        <f t="shared" si="242"/>
        <v xml:space="preserve">0106508031  </v>
      </c>
      <c r="E14618" t="s">
        <v>1734</v>
      </c>
      <c r="F14618" t="s">
        <v>1735</v>
      </c>
      <c r="G14618">
        <v>7.29</v>
      </c>
      <c r="H14618">
        <v>251111</v>
      </c>
      <c r="I14618">
        <v>4412</v>
      </c>
      <c r="J14618" t="s">
        <v>884</v>
      </c>
      <c r="K14618">
        <v>269.95</v>
      </c>
      <c r="L14618">
        <v>0.9</v>
      </c>
      <c r="M14618">
        <v>61122</v>
      </c>
      <c r="N14618" t="s">
        <v>86</v>
      </c>
      <c r="O14618">
        <v>251127</v>
      </c>
      <c r="P14618">
        <v>6.39</v>
      </c>
    </row>
    <row r="14619" spans="1:16" x14ac:dyDescent="0.25">
      <c r="A14619" t="s">
        <v>3296</v>
      </c>
      <c r="B14619" t="s">
        <v>2931</v>
      </c>
      <c r="C14619">
        <v>15778</v>
      </c>
      <c r="D14619" t="str">
        <f t="shared" si="242"/>
        <v xml:space="preserve">0106508031  </v>
      </c>
      <c r="E14619" t="s">
        <v>1734</v>
      </c>
      <c r="F14619" t="s">
        <v>1735</v>
      </c>
      <c r="G14619">
        <v>29.18</v>
      </c>
      <c r="H14619">
        <v>251111</v>
      </c>
      <c r="I14619">
        <v>4412</v>
      </c>
      <c r="J14619" t="s">
        <v>884</v>
      </c>
      <c r="K14619">
        <v>269.95</v>
      </c>
      <c r="L14619">
        <v>3.58</v>
      </c>
      <c r="M14619">
        <v>65222</v>
      </c>
      <c r="N14619" t="s">
        <v>87</v>
      </c>
      <c r="O14619">
        <v>251127</v>
      </c>
      <c r="P14619">
        <v>25.6</v>
      </c>
    </row>
    <row r="14620" spans="1:16" x14ac:dyDescent="0.25">
      <c r="A14620" t="s">
        <v>3296</v>
      </c>
      <c r="B14620" t="s">
        <v>2931</v>
      </c>
      <c r="C14620">
        <v>15778</v>
      </c>
      <c r="D14620" t="str">
        <f t="shared" si="242"/>
        <v xml:space="preserve">0106508031  </v>
      </c>
      <c r="E14620" t="s">
        <v>1734</v>
      </c>
      <c r="F14620" t="s">
        <v>1735</v>
      </c>
      <c r="G14620">
        <v>7.3</v>
      </c>
      <c r="H14620">
        <v>251111</v>
      </c>
      <c r="I14620">
        <v>4412</v>
      </c>
      <c r="J14620" t="s">
        <v>884</v>
      </c>
      <c r="K14620">
        <v>269.95</v>
      </c>
      <c r="L14620">
        <v>0.9</v>
      </c>
      <c r="M14620">
        <v>69704</v>
      </c>
      <c r="N14620" t="s">
        <v>89</v>
      </c>
      <c r="O14620">
        <v>251127</v>
      </c>
      <c r="P14620">
        <v>6.4</v>
      </c>
    </row>
    <row r="14621" spans="1:16" x14ac:dyDescent="0.25">
      <c r="A14621" t="s">
        <v>3296</v>
      </c>
      <c r="B14621" t="s">
        <v>2931</v>
      </c>
      <c r="C14621">
        <v>2348</v>
      </c>
      <c r="D14621" t="str">
        <f>"18000230    "</f>
        <v xml:space="preserve">18000230    </v>
      </c>
      <c r="E14621" t="s">
        <v>2908</v>
      </c>
      <c r="F14621" t="s">
        <v>2909</v>
      </c>
      <c r="G14621">
        <v>150</v>
      </c>
      <c r="H14621">
        <v>250214</v>
      </c>
      <c r="I14621">
        <v>4346</v>
      </c>
      <c r="J14621" t="s">
        <v>334</v>
      </c>
      <c r="K14621">
        <v>150</v>
      </c>
      <c r="L14621">
        <v>0</v>
      </c>
      <c r="M14621">
        <v>17915</v>
      </c>
      <c r="N14621" t="s">
        <v>305</v>
      </c>
      <c r="O14621">
        <v>250224</v>
      </c>
      <c r="P14621">
        <v>150</v>
      </c>
    </row>
    <row r="14622" spans="1:16" x14ac:dyDescent="0.25">
      <c r="A14622" t="s">
        <v>3296</v>
      </c>
      <c r="B14622" t="s">
        <v>2931</v>
      </c>
      <c r="C14622">
        <v>2352</v>
      </c>
      <c r="D14622" t="str">
        <f>"18000215    "</f>
        <v xml:space="preserve">18000215    </v>
      </c>
      <c r="E14622" t="s">
        <v>2908</v>
      </c>
      <c r="F14622" t="s">
        <v>2909</v>
      </c>
      <c r="G14622">
        <v>150</v>
      </c>
      <c r="H14622">
        <v>250214</v>
      </c>
      <c r="I14622">
        <v>4346</v>
      </c>
      <c r="J14622" t="s">
        <v>334</v>
      </c>
      <c r="K14622">
        <v>150</v>
      </c>
      <c r="L14622">
        <v>0</v>
      </c>
      <c r="M14622">
        <v>17913</v>
      </c>
      <c r="N14622" t="s">
        <v>26</v>
      </c>
      <c r="O14622">
        <v>250224</v>
      </c>
      <c r="P14622">
        <v>150</v>
      </c>
    </row>
    <row r="14623" spans="1:16" x14ac:dyDescent="0.25">
      <c r="A14623" t="s">
        <v>3296</v>
      </c>
      <c r="B14623" t="s">
        <v>2931</v>
      </c>
      <c r="C14623">
        <v>2402</v>
      </c>
      <c r="D14623" t="str">
        <f>"18000350    "</f>
        <v xml:space="preserve">18000350    </v>
      </c>
      <c r="E14623" t="s">
        <v>2908</v>
      </c>
      <c r="F14623" t="s">
        <v>2909</v>
      </c>
      <c r="G14623">
        <v>150</v>
      </c>
      <c r="H14623">
        <v>250218</v>
      </c>
      <c r="I14623">
        <v>4470</v>
      </c>
      <c r="J14623" t="s">
        <v>203</v>
      </c>
      <c r="K14623">
        <v>150</v>
      </c>
      <c r="L14623">
        <v>0</v>
      </c>
      <c r="M14623">
        <v>17971</v>
      </c>
      <c r="N14623" t="s">
        <v>27</v>
      </c>
      <c r="O14623">
        <v>250225</v>
      </c>
      <c r="P14623">
        <v>150</v>
      </c>
    </row>
    <row r="14624" spans="1:16" x14ac:dyDescent="0.25">
      <c r="A14624" t="s">
        <v>3296</v>
      </c>
      <c r="B14624" t="s">
        <v>2931</v>
      </c>
      <c r="C14624">
        <v>2403</v>
      </c>
      <c r="D14624" t="str">
        <f>"18000360    "</f>
        <v xml:space="preserve">18000360    </v>
      </c>
      <c r="E14624" t="s">
        <v>2908</v>
      </c>
      <c r="F14624" t="s">
        <v>2909</v>
      </c>
      <c r="G14624">
        <v>150</v>
      </c>
      <c r="H14624">
        <v>250218</v>
      </c>
      <c r="I14624">
        <v>4470</v>
      </c>
      <c r="J14624" t="s">
        <v>203</v>
      </c>
      <c r="K14624">
        <v>150</v>
      </c>
      <c r="L14624">
        <v>0</v>
      </c>
      <c r="M14624">
        <v>17971</v>
      </c>
      <c r="N14624" t="s">
        <v>27</v>
      </c>
      <c r="O14624">
        <v>250225</v>
      </c>
      <c r="P14624">
        <v>150</v>
      </c>
    </row>
    <row r="14625" spans="1:16" x14ac:dyDescent="0.25">
      <c r="A14625" t="s">
        <v>3296</v>
      </c>
      <c r="B14625" t="s">
        <v>2931</v>
      </c>
      <c r="C14625">
        <v>16442</v>
      </c>
      <c r="D14625" t="str">
        <f>"18001977    "</f>
        <v xml:space="preserve">18001977    </v>
      </c>
      <c r="E14625" t="s">
        <v>2908</v>
      </c>
      <c r="F14625" t="s">
        <v>2909</v>
      </c>
      <c r="G14625">
        <v>300</v>
      </c>
      <c r="H14625">
        <v>251204</v>
      </c>
      <c r="I14625">
        <v>4470</v>
      </c>
      <c r="J14625" t="s">
        <v>203</v>
      </c>
      <c r="K14625">
        <v>300</v>
      </c>
      <c r="L14625">
        <v>0</v>
      </c>
      <c r="M14625">
        <v>17915</v>
      </c>
      <c r="N14625" t="s">
        <v>305</v>
      </c>
      <c r="O14625">
        <v>251208</v>
      </c>
      <c r="P14625">
        <v>300</v>
      </c>
    </row>
    <row r="14626" spans="1:16" x14ac:dyDescent="0.25">
      <c r="A14626" t="s">
        <v>3296</v>
      </c>
      <c r="B14626" t="s">
        <v>2931</v>
      </c>
      <c r="C14626">
        <v>2314</v>
      </c>
      <c r="D14626" t="str">
        <f>"508833      "</f>
        <v xml:space="preserve">508833      </v>
      </c>
      <c r="E14626" t="s">
        <v>1233</v>
      </c>
      <c r="F14626" t="s">
        <v>1234</v>
      </c>
      <c r="G14626">
        <v>7530</v>
      </c>
      <c r="H14626">
        <v>250219</v>
      </c>
      <c r="I14626">
        <v>4350</v>
      </c>
      <c r="J14626" t="s">
        <v>290</v>
      </c>
      <c r="K14626">
        <v>7530</v>
      </c>
      <c r="L14626">
        <v>1530</v>
      </c>
      <c r="M14626">
        <v>11301</v>
      </c>
      <c r="N14626" t="s">
        <v>92</v>
      </c>
      <c r="O14626">
        <v>250224</v>
      </c>
      <c r="P14626">
        <v>6000</v>
      </c>
    </row>
    <row r="14627" spans="1:16" x14ac:dyDescent="0.25">
      <c r="A14627" t="s">
        <v>3296</v>
      </c>
      <c r="B14627" t="s">
        <v>2931</v>
      </c>
      <c r="C14627">
        <v>11843</v>
      </c>
      <c r="D14627" t="str">
        <f>"509762      "</f>
        <v xml:space="preserve">509762      </v>
      </c>
      <c r="E14627" t="s">
        <v>1233</v>
      </c>
      <c r="F14627" t="s">
        <v>1234</v>
      </c>
      <c r="G14627">
        <v>8785</v>
      </c>
      <c r="H14627">
        <v>250903</v>
      </c>
      <c r="I14627">
        <v>4350</v>
      </c>
      <c r="J14627" t="s">
        <v>290</v>
      </c>
      <c r="K14627">
        <v>8785</v>
      </c>
      <c r="L14627">
        <v>1785</v>
      </c>
      <c r="M14627">
        <v>11301</v>
      </c>
      <c r="N14627" t="s">
        <v>92</v>
      </c>
      <c r="O14627">
        <v>250911</v>
      </c>
      <c r="P14627">
        <v>7000</v>
      </c>
    </row>
    <row r="14628" spans="1:16" x14ac:dyDescent="0.25">
      <c r="A14628" t="s">
        <v>3296</v>
      </c>
      <c r="B14628" t="s">
        <v>2931</v>
      </c>
      <c r="C14628">
        <v>15683</v>
      </c>
      <c r="D14628" t="str">
        <f>"2594        "</f>
        <v xml:space="preserve">2594        </v>
      </c>
      <c r="E14628" t="s">
        <v>2606</v>
      </c>
      <c r="F14628" t="s">
        <v>2607</v>
      </c>
      <c r="G14628">
        <v>444</v>
      </c>
      <c r="H14628">
        <v>251113</v>
      </c>
      <c r="I14628">
        <v>4420</v>
      </c>
      <c r="J14628" t="s">
        <v>330</v>
      </c>
      <c r="K14628">
        <v>444</v>
      </c>
      <c r="L14628">
        <v>54.53</v>
      </c>
      <c r="M14628">
        <v>16121</v>
      </c>
      <c r="N14628" t="s">
        <v>127</v>
      </c>
      <c r="O14628">
        <v>251125</v>
      </c>
      <c r="P14628">
        <v>389.47</v>
      </c>
    </row>
    <row r="14629" spans="1:16" x14ac:dyDescent="0.25">
      <c r="A14629" t="s">
        <v>3296</v>
      </c>
      <c r="B14629" t="s">
        <v>2931</v>
      </c>
      <c r="C14629">
        <v>5727</v>
      </c>
      <c r="D14629" t="str">
        <f>"1003        "</f>
        <v xml:space="preserve">1003        </v>
      </c>
      <c r="E14629" t="s">
        <v>324</v>
      </c>
      <c r="F14629" t="s">
        <v>326</v>
      </c>
      <c r="G14629">
        <v>311</v>
      </c>
      <c r="H14629">
        <v>250423</v>
      </c>
      <c r="I14629">
        <v>4572</v>
      </c>
      <c r="J14629" t="s">
        <v>173</v>
      </c>
      <c r="K14629">
        <v>311</v>
      </c>
      <c r="L14629">
        <v>0</v>
      </c>
      <c r="M14629">
        <v>13901</v>
      </c>
      <c r="N14629" t="s">
        <v>116</v>
      </c>
      <c r="O14629">
        <v>250429</v>
      </c>
      <c r="P14629">
        <v>311</v>
      </c>
    </row>
    <row r="14630" spans="1:16" x14ac:dyDescent="0.25">
      <c r="A14630" t="s">
        <v>3296</v>
      </c>
      <c r="B14630" t="s">
        <v>2931</v>
      </c>
      <c r="C14630">
        <v>9760</v>
      </c>
      <c r="D14630" t="str">
        <f>"1006        "</f>
        <v xml:space="preserve">1006        </v>
      </c>
      <c r="E14630" t="s">
        <v>324</v>
      </c>
      <c r="F14630" t="s">
        <v>326</v>
      </c>
      <c r="G14630">
        <v>311</v>
      </c>
      <c r="H14630">
        <v>250630</v>
      </c>
      <c r="I14630">
        <v>4572</v>
      </c>
      <c r="J14630" t="s">
        <v>173</v>
      </c>
      <c r="K14630">
        <v>311</v>
      </c>
      <c r="L14630">
        <v>0</v>
      </c>
      <c r="M14630">
        <v>13921</v>
      </c>
      <c r="N14630" t="s">
        <v>325</v>
      </c>
      <c r="O14630">
        <v>250728</v>
      </c>
      <c r="P14630">
        <v>311</v>
      </c>
    </row>
    <row r="14631" spans="1:16" x14ac:dyDescent="0.25">
      <c r="A14631" t="s">
        <v>3296</v>
      </c>
      <c r="B14631" t="s">
        <v>2931</v>
      </c>
      <c r="C14631">
        <v>14260</v>
      </c>
      <c r="D14631" t="str">
        <f>"1008        "</f>
        <v xml:space="preserve">1008        </v>
      </c>
      <c r="E14631" t="s">
        <v>324</v>
      </c>
      <c r="F14631" t="s">
        <v>326</v>
      </c>
      <c r="G14631">
        <v>311</v>
      </c>
      <c r="H14631">
        <v>251021</v>
      </c>
      <c r="I14631">
        <v>4572</v>
      </c>
      <c r="J14631" t="s">
        <v>173</v>
      </c>
      <c r="K14631">
        <v>311</v>
      </c>
      <c r="L14631">
        <v>0</v>
      </c>
      <c r="M14631">
        <v>13921</v>
      </c>
      <c r="N14631" t="s">
        <v>325</v>
      </c>
      <c r="O14631">
        <v>251028</v>
      </c>
      <c r="P14631">
        <v>311</v>
      </c>
    </row>
    <row r="14632" spans="1:16" x14ac:dyDescent="0.25">
      <c r="A14632" t="s">
        <v>3296</v>
      </c>
      <c r="B14632" t="s">
        <v>2931</v>
      </c>
      <c r="C14632">
        <v>200</v>
      </c>
      <c r="D14632" t="str">
        <f>"150125      "</f>
        <v xml:space="preserve">150125      </v>
      </c>
      <c r="E14632" t="s">
        <v>324</v>
      </c>
      <c r="F14632" t="s">
        <v>326</v>
      </c>
      <c r="G14632">
        <v>910</v>
      </c>
      <c r="H14632">
        <v>250115</v>
      </c>
      <c r="I14632">
        <v>4820</v>
      </c>
      <c r="J14632" t="s">
        <v>169</v>
      </c>
      <c r="K14632">
        <v>1820</v>
      </c>
      <c r="L14632">
        <v>0</v>
      </c>
      <c r="M14632">
        <v>13921</v>
      </c>
      <c r="N14632" t="s">
        <v>325</v>
      </c>
      <c r="O14632">
        <v>250116</v>
      </c>
      <c r="P14632">
        <v>910</v>
      </c>
    </row>
    <row r="14633" spans="1:16" x14ac:dyDescent="0.25">
      <c r="A14633" t="s">
        <v>3296</v>
      </c>
      <c r="B14633" t="s">
        <v>2931</v>
      </c>
      <c r="C14633">
        <v>200</v>
      </c>
      <c r="D14633" t="str">
        <f>"150125      "</f>
        <v xml:space="preserve">150125      </v>
      </c>
      <c r="E14633" t="s">
        <v>324</v>
      </c>
      <c r="F14633" t="s">
        <v>326</v>
      </c>
      <c r="G14633">
        <v>910</v>
      </c>
      <c r="H14633">
        <v>250115</v>
      </c>
      <c r="I14633">
        <v>4820</v>
      </c>
      <c r="J14633" t="s">
        <v>169</v>
      </c>
      <c r="K14633">
        <v>1820</v>
      </c>
      <c r="L14633">
        <v>0</v>
      </c>
      <c r="M14633">
        <v>17958</v>
      </c>
      <c r="N14633" t="s">
        <v>327</v>
      </c>
      <c r="O14633">
        <v>250116</v>
      </c>
      <c r="P14633">
        <v>910</v>
      </c>
    </row>
    <row r="14634" spans="1:16" x14ac:dyDescent="0.25">
      <c r="A14634" t="s">
        <v>3296</v>
      </c>
      <c r="B14634" t="s">
        <v>2931</v>
      </c>
      <c r="C14634">
        <v>712</v>
      </c>
      <c r="D14634" t="str">
        <f>"240125      "</f>
        <v xml:space="preserve">240125      </v>
      </c>
      <c r="E14634" t="s">
        <v>324</v>
      </c>
      <c r="F14634" t="s">
        <v>326</v>
      </c>
      <c r="G14634">
        <v>910</v>
      </c>
      <c r="H14634">
        <v>250201</v>
      </c>
      <c r="I14634">
        <v>4820</v>
      </c>
      <c r="J14634" t="s">
        <v>169</v>
      </c>
      <c r="K14634">
        <v>1820</v>
      </c>
      <c r="L14634">
        <v>0</v>
      </c>
      <c r="M14634">
        <v>13921</v>
      </c>
      <c r="N14634" t="s">
        <v>325</v>
      </c>
      <c r="O14634">
        <v>250128</v>
      </c>
      <c r="P14634">
        <v>910</v>
      </c>
    </row>
    <row r="14635" spans="1:16" x14ac:dyDescent="0.25">
      <c r="A14635" t="s">
        <v>3296</v>
      </c>
      <c r="B14635" t="s">
        <v>2931</v>
      </c>
      <c r="C14635">
        <v>712</v>
      </c>
      <c r="D14635" t="str">
        <f>"240125      "</f>
        <v xml:space="preserve">240125      </v>
      </c>
      <c r="E14635" t="s">
        <v>324</v>
      </c>
      <c r="F14635" t="s">
        <v>326</v>
      </c>
      <c r="G14635">
        <v>910</v>
      </c>
      <c r="H14635">
        <v>250201</v>
      </c>
      <c r="I14635">
        <v>4820</v>
      </c>
      <c r="J14635" t="s">
        <v>169</v>
      </c>
      <c r="K14635">
        <v>1820</v>
      </c>
      <c r="L14635">
        <v>0</v>
      </c>
      <c r="M14635">
        <v>17958</v>
      </c>
      <c r="N14635" t="s">
        <v>327</v>
      </c>
      <c r="O14635">
        <v>250128</v>
      </c>
      <c r="P14635">
        <v>910</v>
      </c>
    </row>
    <row r="14636" spans="1:16" x14ac:dyDescent="0.25">
      <c r="A14636" t="s">
        <v>3296</v>
      </c>
      <c r="B14636" t="s">
        <v>2931</v>
      </c>
      <c r="C14636">
        <v>2543</v>
      </c>
      <c r="D14636" t="str">
        <f>"240225      "</f>
        <v xml:space="preserve">240225      </v>
      </c>
      <c r="E14636" t="s">
        <v>324</v>
      </c>
      <c r="F14636" t="s">
        <v>326</v>
      </c>
      <c r="G14636">
        <v>910</v>
      </c>
      <c r="H14636">
        <v>250301</v>
      </c>
      <c r="I14636">
        <v>4820</v>
      </c>
      <c r="J14636" t="s">
        <v>169</v>
      </c>
      <c r="K14636">
        <v>1820</v>
      </c>
      <c r="L14636">
        <v>0</v>
      </c>
      <c r="M14636">
        <v>13921</v>
      </c>
      <c r="N14636" t="s">
        <v>325</v>
      </c>
      <c r="O14636">
        <v>250304</v>
      </c>
      <c r="P14636">
        <v>910</v>
      </c>
    </row>
    <row r="14637" spans="1:16" x14ac:dyDescent="0.25">
      <c r="A14637" t="s">
        <v>3296</v>
      </c>
      <c r="B14637" t="s">
        <v>2931</v>
      </c>
      <c r="C14637">
        <v>2543</v>
      </c>
      <c r="D14637" t="str">
        <f>"240225      "</f>
        <v xml:space="preserve">240225      </v>
      </c>
      <c r="E14637" t="s">
        <v>324</v>
      </c>
      <c r="F14637" t="s">
        <v>326</v>
      </c>
      <c r="G14637">
        <v>910</v>
      </c>
      <c r="H14637">
        <v>250301</v>
      </c>
      <c r="I14637">
        <v>4820</v>
      </c>
      <c r="J14637" t="s">
        <v>169</v>
      </c>
      <c r="K14637">
        <v>1820</v>
      </c>
      <c r="L14637">
        <v>0</v>
      </c>
      <c r="M14637">
        <v>17958</v>
      </c>
      <c r="N14637" t="s">
        <v>327</v>
      </c>
      <c r="O14637">
        <v>250304</v>
      </c>
      <c r="P14637">
        <v>910</v>
      </c>
    </row>
    <row r="14638" spans="1:16" x14ac:dyDescent="0.25">
      <c r="A14638" t="s">
        <v>3296</v>
      </c>
      <c r="B14638" t="s">
        <v>2931</v>
      </c>
      <c r="C14638">
        <v>4768</v>
      </c>
      <c r="D14638" t="str">
        <f>"140425      "</f>
        <v xml:space="preserve">140425      </v>
      </c>
      <c r="E14638" t="s">
        <v>324</v>
      </c>
      <c r="F14638" t="s">
        <v>326</v>
      </c>
      <c r="G14638">
        <v>910</v>
      </c>
      <c r="H14638">
        <v>250414</v>
      </c>
      <c r="I14638">
        <v>4820</v>
      </c>
      <c r="J14638" t="s">
        <v>169</v>
      </c>
      <c r="K14638">
        <v>1820</v>
      </c>
      <c r="L14638">
        <v>0</v>
      </c>
      <c r="M14638">
        <v>13921</v>
      </c>
      <c r="N14638" t="s">
        <v>325</v>
      </c>
      <c r="O14638">
        <v>250415</v>
      </c>
      <c r="P14638">
        <v>910</v>
      </c>
    </row>
    <row r="14639" spans="1:16" x14ac:dyDescent="0.25">
      <c r="A14639" t="s">
        <v>3296</v>
      </c>
      <c r="B14639" t="s">
        <v>2931</v>
      </c>
      <c r="C14639">
        <v>4768</v>
      </c>
      <c r="D14639" t="str">
        <f>"140425      "</f>
        <v xml:space="preserve">140425      </v>
      </c>
      <c r="E14639" t="s">
        <v>324</v>
      </c>
      <c r="F14639" t="s">
        <v>326</v>
      </c>
      <c r="G14639">
        <v>910</v>
      </c>
      <c r="H14639">
        <v>250414</v>
      </c>
      <c r="I14639">
        <v>4820</v>
      </c>
      <c r="J14639" t="s">
        <v>169</v>
      </c>
      <c r="K14639">
        <v>1820</v>
      </c>
      <c r="L14639">
        <v>0</v>
      </c>
      <c r="M14639">
        <v>17958</v>
      </c>
      <c r="N14639" t="s">
        <v>327</v>
      </c>
      <c r="O14639">
        <v>250415</v>
      </c>
      <c r="P14639">
        <v>910</v>
      </c>
    </row>
    <row r="14640" spans="1:16" x14ac:dyDescent="0.25">
      <c r="A14640" t="s">
        <v>3296</v>
      </c>
      <c r="B14640" t="s">
        <v>2931</v>
      </c>
      <c r="C14640">
        <v>5563</v>
      </c>
      <c r="D14640" t="str">
        <f>"170425      "</f>
        <v xml:space="preserve">170425      </v>
      </c>
      <c r="E14640" t="s">
        <v>324</v>
      </c>
      <c r="F14640" t="s">
        <v>326</v>
      </c>
      <c r="G14640">
        <v>910</v>
      </c>
      <c r="H14640">
        <v>250501</v>
      </c>
      <c r="I14640">
        <v>4820</v>
      </c>
      <c r="J14640" t="s">
        <v>169</v>
      </c>
      <c r="K14640">
        <v>1820</v>
      </c>
      <c r="L14640">
        <v>0</v>
      </c>
      <c r="M14640">
        <v>13921</v>
      </c>
      <c r="N14640" t="s">
        <v>325</v>
      </c>
      <c r="O14640">
        <v>250425</v>
      </c>
      <c r="P14640">
        <v>910</v>
      </c>
    </row>
    <row r="14641" spans="1:16" x14ac:dyDescent="0.25">
      <c r="A14641" t="s">
        <v>3296</v>
      </c>
      <c r="B14641" t="s">
        <v>2931</v>
      </c>
      <c r="C14641">
        <v>5563</v>
      </c>
      <c r="D14641" t="str">
        <f>"170425      "</f>
        <v xml:space="preserve">170425      </v>
      </c>
      <c r="E14641" t="s">
        <v>324</v>
      </c>
      <c r="F14641" t="s">
        <v>326</v>
      </c>
      <c r="G14641">
        <v>910</v>
      </c>
      <c r="H14641">
        <v>250501</v>
      </c>
      <c r="I14641">
        <v>4820</v>
      </c>
      <c r="J14641" t="s">
        <v>169</v>
      </c>
      <c r="K14641">
        <v>1820</v>
      </c>
      <c r="L14641">
        <v>0</v>
      </c>
      <c r="M14641">
        <v>17958</v>
      </c>
      <c r="N14641" t="s">
        <v>327</v>
      </c>
      <c r="O14641">
        <v>250425</v>
      </c>
      <c r="P14641">
        <v>910</v>
      </c>
    </row>
    <row r="14642" spans="1:16" x14ac:dyDescent="0.25">
      <c r="A14642" t="s">
        <v>3296</v>
      </c>
      <c r="B14642" t="s">
        <v>2931</v>
      </c>
      <c r="C14642">
        <v>7397</v>
      </c>
      <c r="D14642" t="str">
        <f>"140525      "</f>
        <v xml:space="preserve">140525      </v>
      </c>
      <c r="E14642" t="s">
        <v>324</v>
      </c>
      <c r="F14642" t="s">
        <v>326</v>
      </c>
      <c r="G14642">
        <v>910</v>
      </c>
      <c r="H14642">
        <v>250601</v>
      </c>
      <c r="I14642">
        <v>4820</v>
      </c>
      <c r="J14642" t="s">
        <v>169</v>
      </c>
      <c r="K14642">
        <v>1820</v>
      </c>
      <c r="L14642">
        <v>0</v>
      </c>
      <c r="M14642">
        <v>13921</v>
      </c>
      <c r="N14642" t="s">
        <v>325</v>
      </c>
      <c r="O14642">
        <v>250603</v>
      </c>
      <c r="P14642">
        <v>910</v>
      </c>
    </row>
    <row r="14643" spans="1:16" x14ac:dyDescent="0.25">
      <c r="A14643" t="s">
        <v>3296</v>
      </c>
      <c r="B14643" t="s">
        <v>2931</v>
      </c>
      <c r="C14643">
        <v>7397</v>
      </c>
      <c r="D14643" t="str">
        <f>"140525      "</f>
        <v xml:space="preserve">140525      </v>
      </c>
      <c r="E14643" t="s">
        <v>324</v>
      </c>
      <c r="F14643" t="s">
        <v>326</v>
      </c>
      <c r="G14643">
        <v>910</v>
      </c>
      <c r="H14643">
        <v>250601</v>
      </c>
      <c r="I14643">
        <v>4820</v>
      </c>
      <c r="J14643" t="s">
        <v>169</v>
      </c>
      <c r="K14643">
        <v>1820</v>
      </c>
      <c r="L14643">
        <v>0</v>
      </c>
      <c r="M14643">
        <v>17958</v>
      </c>
      <c r="N14643" t="s">
        <v>327</v>
      </c>
      <c r="O14643">
        <v>250603</v>
      </c>
      <c r="P14643">
        <v>910</v>
      </c>
    </row>
    <row r="14644" spans="1:16" x14ac:dyDescent="0.25">
      <c r="A14644" t="s">
        <v>3296</v>
      </c>
      <c r="B14644" t="s">
        <v>2931</v>
      </c>
      <c r="C14644">
        <v>8941</v>
      </c>
      <c r="D14644" t="str">
        <f>"7/2025      "</f>
        <v xml:space="preserve">7/2025      </v>
      </c>
      <c r="E14644" t="s">
        <v>324</v>
      </c>
      <c r="F14644" t="s">
        <v>326</v>
      </c>
      <c r="G14644">
        <v>910</v>
      </c>
      <c r="H14644">
        <v>250701</v>
      </c>
      <c r="I14644">
        <v>4820</v>
      </c>
      <c r="J14644" t="s">
        <v>169</v>
      </c>
      <c r="K14644">
        <v>1820</v>
      </c>
      <c r="L14644">
        <v>0</v>
      </c>
      <c r="M14644">
        <v>13921</v>
      </c>
      <c r="N14644" t="s">
        <v>325</v>
      </c>
      <c r="O14644">
        <v>250619</v>
      </c>
      <c r="P14644">
        <v>910</v>
      </c>
    </row>
    <row r="14645" spans="1:16" x14ac:dyDescent="0.25">
      <c r="A14645" t="s">
        <v>3296</v>
      </c>
      <c r="B14645" t="s">
        <v>2931</v>
      </c>
      <c r="C14645">
        <v>8941</v>
      </c>
      <c r="D14645" t="str">
        <f>"7/2025      "</f>
        <v xml:space="preserve">7/2025      </v>
      </c>
      <c r="E14645" t="s">
        <v>324</v>
      </c>
      <c r="F14645" t="s">
        <v>326</v>
      </c>
      <c r="G14645">
        <v>910</v>
      </c>
      <c r="H14645">
        <v>250701</v>
      </c>
      <c r="I14645">
        <v>4820</v>
      </c>
      <c r="J14645" t="s">
        <v>169</v>
      </c>
      <c r="K14645">
        <v>1820</v>
      </c>
      <c r="L14645">
        <v>0</v>
      </c>
      <c r="M14645">
        <v>17958</v>
      </c>
      <c r="N14645" t="s">
        <v>327</v>
      </c>
      <c r="O14645">
        <v>250619</v>
      </c>
      <c r="P14645">
        <v>910</v>
      </c>
    </row>
    <row r="14646" spans="1:16" x14ac:dyDescent="0.25">
      <c r="A14646" t="s">
        <v>3296</v>
      </c>
      <c r="B14646" t="s">
        <v>2931</v>
      </c>
      <c r="C14646">
        <v>9802</v>
      </c>
      <c r="D14646" t="str">
        <f>"8/2025      "</f>
        <v xml:space="preserve">8/2025      </v>
      </c>
      <c r="E14646" t="s">
        <v>324</v>
      </c>
      <c r="F14646" t="s">
        <v>326</v>
      </c>
      <c r="G14646">
        <v>910</v>
      </c>
      <c r="H14646">
        <v>250801</v>
      </c>
      <c r="I14646">
        <v>4820</v>
      </c>
      <c r="J14646" t="s">
        <v>169</v>
      </c>
      <c r="K14646">
        <v>1820</v>
      </c>
      <c r="L14646">
        <v>0</v>
      </c>
      <c r="M14646">
        <v>13921</v>
      </c>
      <c r="N14646" t="s">
        <v>325</v>
      </c>
      <c r="O14646">
        <v>250729</v>
      </c>
      <c r="P14646">
        <v>910</v>
      </c>
    </row>
    <row r="14647" spans="1:16" x14ac:dyDescent="0.25">
      <c r="A14647" t="s">
        <v>3296</v>
      </c>
      <c r="B14647" t="s">
        <v>2931</v>
      </c>
      <c r="C14647">
        <v>9802</v>
      </c>
      <c r="D14647" t="str">
        <f>"8/2025      "</f>
        <v xml:space="preserve">8/2025      </v>
      </c>
      <c r="E14647" t="s">
        <v>324</v>
      </c>
      <c r="F14647" t="s">
        <v>326</v>
      </c>
      <c r="G14647">
        <v>910</v>
      </c>
      <c r="H14647">
        <v>250801</v>
      </c>
      <c r="I14647">
        <v>4820</v>
      </c>
      <c r="J14647" t="s">
        <v>169</v>
      </c>
      <c r="K14647">
        <v>1820</v>
      </c>
      <c r="L14647">
        <v>0</v>
      </c>
      <c r="M14647">
        <v>17958</v>
      </c>
      <c r="N14647" t="s">
        <v>327</v>
      </c>
      <c r="O14647">
        <v>250729</v>
      </c>
      <c r="P14647">
        <v>910</v>
      </c>
    </row>
    <row r="14648" spans="1:16" x14ac:dyDescent="0.25">
      <c r="A14648" t="s">
        <v>3296</v>
      </c>
      <c r="B14648" t="s">
        <v>2931</v>
      </c>
      <c r="C14648">
        <v>10628</v>
      </c>
      <c r="D14648" t="str">
        <f>"010925      "</f>
        <v xml:space="preserve">010925      </v>
      </c>
      <c r="E14648" t="s">
        <v>324</v>
      </c>
      <c r="F14648" t="s">
        <v>326</v>
      </c>
      <c r="G14648">
        <v>910</v>
      </c>
      <c r="H14648">
        <v>250901</v>
      </c>
      <c r="I14648">
        <v>4820</v>
      </c>
      <c r="J14648" t="s">
        <v>169</v>
      </c>
      <c r="K14648">
        <v>1820</v>
      </c>
      <c r="L14648">
        <v>0</v>
      </c>
      <c r="M14648">
        <v>13921</v>
      </c>
      <c r="N14648" t="s">
        <v>325</v>
      </c>
      <c r="O14648">
        <v>250820</v>
      </c>
      <c r="P14648">
        <v>910</v>
      </c>
    </row>
    <row r="14649" spans="1:16" x14ac:dyDescent="0.25">
      <c r="A14649" t="s">
        <v>3296</v>
      </c>
      <c r="B14649" t="s">
        <v>2931</v>
      </c>
      <c r="C14649">
        <v>10628</v>
      </c>
      <c r="D14649" t="str">
        <f>"010925      "</f>
        <v xml:space="preserve">010925      </v>
      </c>
      <c r="E14649" t="s">
        <v>324</v>
      </c>
      <c r="F14649" t="s">
        <v>326</v>
      </c>
      <c r="G14649">
        <v>910</v>
      </c>
      <c r="H14649">
        <v>250901</v>
      </c>
      <c r="I14649">
        <v>4820</v>
      </c>
      <c r="J14649" t="s">
        <v>169</v>
      </c>
      <c r="K14649">
        <v>1820</v>
      </c>
      <c r="L14649">
        <v>0</v>
      </c>
      <c r="M14649">
        <v>17958</v>
      </c>
      <c r="N14649" t="s">
        <v>327</v>
      </c>
      <c r="O14649">
        <v>250820</v>
      </c>
      <c r="P14649">
        <v>910</v>
      </c>
    </row>
    <row r="14650" spans="1:16" x14ac:dyDescent="0.25">
      <c r="A14650" t="s">
        <v>3296</v>
      </c>
      <c r="B14650" t="s">
        <v>2931</v>
      </c>
      <c r="C14650">
        <v>10892</v>
      </c>
      <c r="D14650" t="str">
        <f>"011025      "</f>
        <v xml:space="preserve">011025      </v>
      </c>
      <c r="E14650" t="s">
        <v>324</v>
      </c>
      <c r="F14650" t="s">
        <v>326</v>
      </c>
      <c r="G14650">
        <v>910</v>
      </c>
      <c r="H14650">
        <v>251001</v>
      </c>
      <c r="I14650">
        <v>4820</v>
      </c>
      <c r="J14650" t="s">
        <v>169</v>
      </c>
      <c r="K14650">
        <v>1820</v>
      </c>
      <c r="L14650">
        <v>0</v>
      </c>
      <c r="M14650">
        <v>13921</v>
      </c>
      <c r="N14650" t="s">
        <v>325</v>
      </c>
      <c r="O14650">
        <v>250826</v>
      </c>
      <c r="P14650">
        <v>910</v>
      </c>
    </row>
    <row r="14651" spans="1:16" x14ac:dyDescent="0.25">
      <c r="A14651" t="s">
        <v>3296</v>
      </c>
      <c r="B14651" t="s">
        <v>2931</v>
      </c>
      <c r="C14651">
        <v>10892</v>
      </c>
      <c r="D14651" t="str">
        <f>"011025      "</f>
        <v xml:space="preserve">011025      </v>
      </c>
      <c r="E14651" t="s">
        <v>324</v>
      </c>
      <c r="F14651" t="s">
        <v>326</v>
      </c>
      <c r="G14651">
        <v>910</v>
      </c>
      <c r="H14651">
        <v>251001</v>
      </c>
      <c r="I14651">
        <v>4820</v>
      </c>
      <c r="J14651" t="s">
        <v>169</v>
      </c>
      <c r="K14651">
        <v>1820</v>
      </c>
      <c r="L14651">
        <v>0</v>
      </c>
      <c r="M14651">
        <v>17958</v>
      </c>
      <c r="N14651" t="s">
        <v>327</v>
      </c>
      <c r="O14651">
        <v>250826</v>
      </c>
      <c r="P14651">
        <v>910</v>
      </c>
    </row>
    <row r="14652" spans="1:16" x14ac:dyDescent="0.25">
      <c r="A14652" t="s">
        <v>3296</v>
      </c>
      <c r="B14652" t="s">
        <v>2931</v>
      </c>
      <c r="C14652">
        <v>12895</v>
      </c>
      <c r="D14652" t="str">
        <f>"11/2025     "</f>
        <v xml:space="preserve">11/2025     </v>
      </c>
      <c r="E14652" t="s">
        <v>324</v>
      </c>
      <c r="F14652" t="s">
        <v>326</v>
      </c>
      <c r="G14652">
        <v>910</v>
      </c>
      <c r="H14652">
        <v>251101</v>
      </c>
      <c r="I14652">
        <v>4820</v>
      </c>
      <c r="J14652" t="s">
        <v>169</v>
      </c>
      <c r="K14652">
        <v>1820</v>
      </c>
      <c r="L14652">
        <v>0</v>
      </c>
      <c r="M14652">
        <v>13921</v>
      </c>
      <c r="N14652" t="s">
        <v>325</v>
      </c>
      <c r="O14652">
        <v>251001</v>
      </c>
      <c r="P14652">
        <v>910</v>
      </c>
    </row>
    <row r="14653" spans="1:16" x14ac:dyDescent="0.25">
      <c r="A14653" t="s">
        <v>3296</v>
      </c>
      <c r="B14653" t="s">
        <v>2931</v>
      </c>
      <c r="C14653">
        <v>12895</v>
      </c>
      <c r="D14653" t="str">
        <f>"11/2025     "</f>
        <v xml:space="preserve">11/2025     </v>
      </c>
      <c r="E14653" t="s">
        <v>324</v>
      </c>
      <c r="F14653" t="s">
        <v>326</v>
      </c>
      <c r="G14653">
        <v>910</v>
      </c>
      <c r="H14653">
        <v>251101</v>
      </c>
      <c r="I14653">
        <v>4820</v>
      </c>
      <c r="J14653" t="s">
        <v>169</v>
      </c>
      <c r="K14653">
        <v>1820</v>
      </c>
      <c r="L14653">
        <v>0</v>
      </c>
      <c r="M14653">
        <v>17958</v>
      </c>
      <c r="N14653" t="s">
        <v>327</v>
      </c>
      <c r="O14653">
        <v>251001</v>
      </c>
      <c r="P14653">
        <v>910</v>
      </c>
    </row>
    <row r="14654" spans="1:16" x14ac:dyDescent="0.25">
      <c r="A14654" t="s">
        <v>3296</v>
      </c>
      <c r="B14654" t="s">
        <v>2931</v>
      </c>
      <c r="C14654">
        <v>12896</v>
      </c>
      <c r="D14654" t="str">
        <f>"12/2025     "</f>
        <v xml:space="preserve">12/2025     </v>
      </c>
      <c r="E14654" t="s">
        <v>324</v>
      </c>
      <c r="F14654" t="s">
        <v>326</v>
      </c>
      <c r="G14654">
        <v>910</v>
      </c>
      <c r="H14654">
        <v>251201</v>
      </c>
      <c r="I14654">
        <v>4820</v>
      </c>
      <c r="J14654" t="s">
        <v>169</v>
      </c>
      <c r="K14654">
        <v>1820</v>
      </c>
      <c r="L14654">
        <v>0</v>
      </c>
      <c r="M14654">
        <v>13921</v>
      </c>
      <c r="N14654" t="s">
        <v>325</v>
      </c>
      <c r="O14654">
        <v>251001</v>
      </c>
      <c r="P14654">
        <v>910</v>
      </c>
    </row>
    <row r="14655" spans="1:16" x14ac:dyDescent="0.25">
      <c r="A14655" t="s">
        <v>3296</v>
      </c>
      <c r="B14655" t="s">
        <v>2931</v>
      </c>
      <c r="C14655">
        <v>12896</v>
      </c>
      <c r="D14655" t="str">
        <f>"12/2025     "</f>
        <v xml:space="preserve">12/2025     </v>
      </c>
      <c r="E14655" t="s">
        <v>324</v>
      </c>
      <c r="F14655" t="s">
        <v>326</v>
      </c>
      <c r="G14655">
        <v>910</v>
      </c>
      <c r="H14655">
        <v>251201</v>
      </c>
      <c r="I14655">
        <v>4820</v>
      </c>
      <c r="J14655" t="s">
        <v>169</v>
      </c>
      <c r="K14655">
        <v>1820</v>
      </c>
      <c r="L14655">
        <v>0</v>
      </c>
      <c r="M14655">
        <v>17958</v>
      </c>
      <c r="N14655" t="s">
        <v>327</v>
      </c>
      <c r="O14655">
        <v>251001</v>
      </c>
      <c r="P14655">
        <v>910</v>
      </c>
    </row>
    <row r="14656" spans="1:16" x14ac:dyDescent="0.25">
      <c r="A14656" t="s">
        <v>3296</v>
      </c>
      <c r="B14656" t="s">
        <v>2931</v>
      </c>
      <c r="C14656">
        <v>8482</v>
      </c>
      <c r="D14656" t="str">
        <f>"180         "</f>
        <v xml:space="preserve">180         </v>
      </c>
      <c r="E14656" t="s">
        <v>3110</v>
      </c>
      <c r="F14656" t="s">
        <v>3111</v>
      </c>
      <c r="G14656">
        <v>2012</v>
      </c>
      <c r="H14656">
        <v>250602</v>
      </c>
      <c r="I14656">
        <v>4590</v>
      </c>
      <c r="J14656" t="s">
        <v>388</v>
      </c>
      <c r="K14656">
        <v>2012</v>
      </c>
      <c r="L14656">
        <v>0</v>
      </c>
      <c r="M14656">
        <v>17638</v>
      </c>
      <c r="N14656" t="s">
        <v>1182</v>
      </c>
      <c r="O14656">
        <v>250616</v>
      </c>
      <c r="P14656">
        <v>2012</v>
      </c>
    </row>
    <row r="14657" spans="1:16" x14ac:dyDescent="0.25">
      <c r="A14657" t="s">
        <v>3296</v>
      </c>
      <c r="B14657" t="s">
        <v>2931</v>
      </c>
      <c r="C14657">
        <v>6217</v>
      </c>
      <c r="D14657" t="str">
        <f>"8374        "</f>
        <v xml:space="preserve">8374        </v>
      </c>
      <c r="E14657" t="s">
        <v>1857</v>
      </c>
      <c r="F14657" t="s">
        <v>1858</v>
      </c>
      <c r="G14657">
        <v>95.2</v>
      </c>
      <c r="H14657">
        <v>250508</v>
      </c>
      <c r="I14657">
        <v>4390</v>
      </c>
      <c r="J14657" t="s">
        <v>232</v>
      </c>
      <c r="K14657">
        <v>95.2</v>
      </c>
      <c r="L14657">
        <v>19.34</v>
      </c>
      <c r="M14657">
        <v>17951</v>
      </c>
      <c r="N14657" t="s">
        <v>207</v>
      </c>
      <c r="O14657">
        <v>250509</v>
      </c>
      <c r="P14657">
        <v>75.86</v>
      </c>
    </row>
    <row r="14658" spans="1:16" x14ac:dyDescent="0.25">
      <c r="A14658" t="s">
        <v>3296</v>
      </c>
      <c r="B14658" t="s">
        <v>2931</v>
      </c>
      <c r="C14658">
        <v>16916</v>
      </c>
      <c r="D14658" t="str">
        <f>"4150824     "</f>
        <v xml:space="preserve">4150824     </v>
      </c>
      <c r="E14658" t="s">
        <v>3278</v>
      </c>
      <c r="F14658" t="s">
        <v>3279</v>
      </c>
      <c r="G14658">
        <v>280</v>
      </c>
      <c r="H14658">
        <v>251120</v>
      </c>
      <c r="I14658">
        <v>4410</v>
      </c>
      <c r="J14658" t="s">
        <v>165</v>
      </c>
      <c r="K14658">
        <v>280</v>
      </c>
      <c r="L14658">
        <v>0</v>
      </c>
      <c r="M14658">
        <v>11902</v>
      </c>
      <c r="N14658" t="s">
        <v>329</v>
      </c>
      <c r="O14658">
        <v>251215</v>
      </c>
      <c r="P14658">
        <v>280</v>
      </c>
    </row>
    <row r="14659" spans="1:16" x14ac:dyDescent="0.25">
      <c r="A14659" t="s">
        <v>3296</v>
      </c>
      <c r="B14659" t="s">
        <v>2931</v>
      </c>
      <c r="C14659">
        <v>18159</v>
      </c>
      <c r="D14659" t="str">
        <f>"4150830     "</f>
        <v xml:space="preserve">4150830     </v>
      </c>
      <c r="E14659" t="s">
        <v>3278</v>
      </c>
      <c r="F14659" t="s">
        <v>3279</v>
      </c>
      <c r="G14659">
        <v>3600</v>
      </c>
      <c r="H14659">
        <v>251205</v>
      </c>
      <c r="I14659">
        <v>4410</v>
      </c>
      <c r="J14659" t="s">
        <v>165</v>
      </c>
      <c r="K14659">
        <v>3600</v>
      </c>
      <c r="L14659">
        <v>0</v>
      </c>
      <c r="M14659">
        <v>11902</v>
      </c>
      <c r="N14659" t="s">
        <v>329</v>
      </c>
      <c r="O14659">
        <v>260109</v>
      </c>
      <c r="P14659">
        <v>3600</v>
      </c>
    </row>
    <row r="14660" spans="1:16" x14ac:dyDescent="0.25">
      <c r="A14660" t="s">
        <v>3296</v>
      </c>
      <c r="B14660" t="s">
        <v>2931</v>
      </c>
      <c r="C14660">
        <v>7284</v>
      </c>
      <c r="D14660" t="str">
        <f>"27/270525   "</f>
        <v xml:space="preserve">27/270525   </v>
      </c>
      <c r="E14660" t="s">
        <v>1941</v>
      </c>
      <c r="F14660" t="s">
        <v>1942</v>
      </c>
      <c r="G14660">
        <v>39</v>
      </c>
      <c r="H14660">
        <v>250526</v>
      </c>
      <c r="I14660">
        <v>4410</v>
      </c>
      <c r="J14660" t="s">
        <v>165</v>
      </c>
      <c r="K14660">
        <v>39</v>
      </c>
      <c r="L14660">
        <v>4.79</v>
      </c>
      <c r="M14660">
        <v>16820</v>
      </c>
      <c r="N14660" t="s">
        <v>128</v>
      </c>
      <c r="O14660">
        <v>250602</v>
      </c>
      <c r="P14660">
        <v>34.21</v>
      </c>
    </row>
    <row r="14661" spans="1:16" x14ac:dyDescent="0.25">
      <c r="A14661" t="s">
        <v>3296</v>
      </c>
      <c r="B14661" t="s">
        <v>2931</v>
      </c>
      <c r="C14661">
        <v>15790</v>
      </c>
      <c r="D14661" t="str">
        <f>"51609       "</f>
        <v xml:space="preserve">51609       </v>
      </c>
      <c r="E14661" t="s">
        <v>2614</v>
      </c>
      <c r="F14661" t="s">
        <v>2615</v>
      </c>
      <c r="G14661">
        <v>204.5</v>
      </c>
      <c r="H14661">
        <v>251115</v>
      </c>
      <c r="I14661">
        <v>4580</v>
      </c>
      <c r="J14661" t="s">
        <v>126</v>
      </c>
      <c r="K14661">
        <v>249.5</v>
      </c>
      <c r="L14661">
        <v>41.55</v>
      </c>
      <c r="M14661">
        <v>13401</v>
      </c>
      <c r="N14661" t="s">
        <v>10</v>
      </c>
      <c r="O14661">
        <v>251127</v>
      </c>
      <c r="P14661">
        <v>162.94999999999999</v>
      </c>
    </row>
    <row r="14662" spans="1:16" x14ac:dyDescent="0.25">
      <c r="A14662" t="s">
        <v>3296</v>
      </c>
      <c r="B14662" t="s">
        <v>2931</v>
      </c>
      <c r="C14662">
        <v>15790</v>
      </c>
      <c r="D14662" t="str">
        <f>"51609       "</f>
        <v xml:space="preserve">51609       </v>
      </c>
      <c r="E14662" t="s">
        <v>2614</v>
      </c>
      <c r="F14662" t="s">
        <v>2615</v>
      </c>
      <c r="G14662">
        <v>45</v>
      </c>
      <c r="H14662">
        <v>251115</v>
      </c>
      <c r="I14662">
        <v>4600</v>
      </c>
      <c r="J14662" t="s">
        <v>278</v>
      </c>
      <c r="K14662">
        <v>249.5</v>
      </c>
      <c r="L14662">
        <v>9.14</v>
      </c>
      <c r="M14662">
        <v>13401</v>
      </c>
      <c r="N14662" t="s">
        <v>10</v>
      </c>
      <c r="O14662">
        <v>251127</v>
      </c>
      <c r="P14662">
        <v>35.86</v>
      </c>
    </row>
    <row r="14663" spans="1:16" x14ac:dyDescent="0.25">
      <c r="A14663" t="s">
        <v>3296</v>
      </c>
      <c r="B14663" t="s">
        <v>2931</v>
      </c>
      <c r="C14663">
        <v>5393</v>
      </c>
      <c r="D14663" t="str">
        <f>"4833        "</f>
        <v xml:space="preserve">4833        </v>
      </c>
      <c r="E14663" t="s">
        <v>1728</v>
      </c>
      <c r="F14663" t="s">
        <v>1729</v>
      </c>
      <c r="G14663">
        <v>397.42</v>
      </c>
      <c r="H14663">
        <v>250409</v>
      </c>
      <c r="I14663">
        <v>4350</v>
      </c>
      <c r="J14663" t="s">
        <v>290</v>
      </c>
      <c r="K14663">
        <v>596.13</v>
      </c>
      <c r="L14663">
        <v>80.75</v>
      </c>
      <c r="M14663">
        <v>11301</v>
      </c>
      <c r="N14663" t="s">
        <v>92</v>
      </c>
      <c r="O14663">
        <v>250424</v>
      </c>
      <c r="P14663">
        <v>316.67</v>
      </c>
    </row>
    <row r="14664" spans="1:16" x14ac:dyDescent="0.25">
      <c r="A14664" t="s">
        <v>3296</v>
      </c>
      <c r="B14664" t="s">
        <v>2931</v>
      </c>
      <c r="C14664">
        <v>5393</v>
      </c>
      <c r="D14664" t="str">
        <f>"4833        "</f>
        <v xml:space="preserve">4833        </v>
      </c>
      <c r="E14664" t="s">
        <v>1728</v>
      </c>
      <c r="F14664" t="s">
        <v>1729</v>
      </c>
      <c r="G14664">
        <v>198.71</v>
      </c>
      <c r="H14664">
        <v>250409</v>
      </c>
      <c r="I14664">
        <v>4350</v>
      </c>
      <c r="J14664" t="s">
        <v>290</v>
      </c>
      <c r="K14664">
        <v>596.13</v>
      </c>
      <c r="L14664">
        <v>40.380000000000003</v>
      </c>
      <c r="M14664">
        <v>11901</v>
      </c>
      <c r="N14664" t="s">
        <v>31</v>
      </c>
      <c r="O14664">
        <v>250424</v>
      </c>
      <c r="P14664">
        <v>158.33000000000001</v>
      </c>
    </row>
    <row r="14665" spans="1:16" x14ac:dyDescent="0.25">
      <c r="A14665" t="s">
        <v>3296</v>
      </c>
      <c r="B14665" t="s">
        <v>2931</v>
      </c>
      <c r="C14665">
        <v>15823</v>
      </c>
      <c r="D14665" t="str">
        <f>"607536      "</f>
        <v xml:space="preserve">607536      </v>
      </c>
      <c r="E14665" t="s">
        <v>2618</v>
      </c>
      <c r="F14665" t="s">
        <v>2619</v>
      </c>
      <c r="G14665">
        <v>187.18</v>
      </c>
      <c r="H14665">
        <v>251124</v>
      </c>
      <c r="I14665">
        <v>4600</v>
      </c>
      <c r="J14665" t="s">
        <v>278</v>
      </c>
      <c r="K14665">
        <v>187.18</v>
      </c>
      <c r="L14665">
        <v>38.03</v>
      </c>
      <c r="M14665">
        <v>17131</v>
      </c>
      <c r="N14665" t="s">
        <v>154</v>
      </c>
      <c r="O14665">
        <v>251127</v>
      </c>
      <c r="P14665">
        <v>149.15</v>
      </c>
    </row>
    <row r="14666" spans="1:16" x14ac:dyDescent="0.25">
      <c r="A14666" t="s">
        <v>3296</v>
      </c>
      <c r="B14666" t="s">
        <v>2931</v>
      </c>
      <c r="C14666">
        <v>1775</v>
      </c>
      <c r="D14666" t="str">
        <f>"5463        "</f>
        <v xml:space="preserve">5463        </v>
      </c>
      <c r="E14666" t="s">
        <v>613</v>
      </c>
      <c r="F14666" t="s">
        <v>614</v>
      </c>
      <c r="G14666">
        <v>360.46</v>
      </c>
      <c r="H14666">
        <v>250210</v>
      </c>
      <c r="I14666">
        <v>1198</v>
      </c>
      <c r="J14666" t="s">
        <v>610</v>
      </c>
      <c r="K14666">
        <v>360.46</v>
      </c>
      <c r="L14666">
        <v>73.239999999999995</v>
      </c>
      <c r="M14666">
        <v>97629</v>
      </c>
      <c r="N14666" t="s">
        <v>1110</v>
      </c>
      <c r="O14666">
        <v>250213</v>
      </c>
      <c r="P14666">
        <v>287.22000000000003</v>
      </c>
    </row>
    <row r="14667" spans="1:16" x14ac:dyDescent="0.25">
      <c r="A14667" t="s">
        <v>3296</v>
      </c>
      <c r="B14667" t="s">
        <v>2931</v>
      </c>
      <c r="C14667">
        <v>618</v>
      </c>
      <c r="D14667" t="str">
        <f>"5422        "</f>
        <v xml:space="preserve">5422        </v>
      </c>
      <c r="E14667" t="s">
        <v>613</v>
      </c>
      <c r="F14667" t="s">
        <v>614</v>
      </c>
      <c r="G14667">
        <v>132.76</v>
      </c>
      <c r="H14667">
        <v>250115</v>
      </c>
      <c r="I14667">
        <v>4580</v>
      </c>
      <c r="J14667" t="s">
        <v>126</v>
      </c>
      <c r="K14667">
        <v>265.51</v>
      </c>
      <c r="L14667">
        <v>26.98</v>
      </c>
      <c r="M14667">
        <v>17521</v>
      </c>
      <c r="N14667" t="s">
        <v>136</v>
      </c>
      <c r="O14667">
        <v>250124</v>
      </c>
      <c r="P14667">
        <v>105.78</v>
      </c>
    </row>
    <row r="14668" spans="1:16" x14ac:dyDescent="0.25">
      <c r="A14668" t="s">
        <v>3296</v>
      </c>
      <c r="B14668" t="s">
        <v>2931</v>
      </c>
      <c r="C14668">
        <v>2121</v>
      </c>
      <c r="D14668" t="str">
        <f>"5471        "</f>
        <v xml:space="preserve">5471        </v>
      </c>
      <c r="E14668" t="s">
        <v>613</v>
      </c>
      <c r="F14668" t="s">
        <v>614</v>
      </c>
      <c r="G14668">
        <v>12.9</v>
      </c>
      <c r="H14668">
        <v>250214</v>
      </c>
      <c r="I14668">
        <v>4580</v>
      </c>
      <c r="J14668" t="s">
        <v>126</v>
      </c>
      <c r="K14668">
        <v>12.9</v>
      </c>
      <c r="L14668">
        <v>2.62</v>
      </c>
      <c r="M14668">
        <v>17521</v>
      </c>
      <c r="N14668" t="s">
        <v>136</v>
      </c>
      <c r="O14668">
        <v>250220</v>
      </c>
      <c r="P14668">
        <v>10.28</v>
      </c>
    </row>
    <row r="14669" spans="1:16" x14ac:dyDescent="0.25">
      <c r="A14669" t="s">
        <v>3296</v>
      </c>
      <c r="B14669" t="s">
        <v>2931</v>
      </c>
      <c r="C14669">
        <v>2584</v>
      </c>
      <c r="D14669" t="str">
        <f>"5469        "</f>
        <v xml:space="preserve">5469        </v>
      </c>
      <c r="E14669" t="s">
        <v>613</v>
      </c>
      <c r="F14669" t="s">
        <v>614</v>
      </c>
      <c r="G14669">
        <v>169.96</v>
      </c>
      <c r="H14669">
        <v>250212</v>
      </c>
      <c r="I14669">
        <v>4580</v>
      </c>
      <c r="J14669" t="s">
        <v>126</v>
      </c>
      <c r="K14669">
        <v>169.96</v>
      </c>
      <c r="L14669">
        <v>34.53</v>
      </c>
      <c r="M14669">
        <v>17521</v>
      </c>
      <c r="N14669" t="s">
        <v>136</v>
      </c>
      <c r="O14669">
        <v>250306</v>
      </c>
      <c r="P14669">
        <v>135.43</v>
      </c>
    </row>
    <row r="14670" spans="1:16" x14ac:dyDescent="0.25">
      <c r="A14670" t="s">
        <v>3296</v>
      </c>
      <c r="B14670" t="s">
        <v>2931</v>
      </c>
      <c r="C14670">
        <v>5273</v>
      </c>
      <c r="D14670" t="str">
        <f>"5567        "</f>
        <v xml:space="preserve">5567        </v>
      </c>
      <c r="E14670" t="s">
        <v>613</v>
      </c>
      <c r="F14670" t="s">
        <v>614</v>
      </c>
      <c r="G14670">
        <v>307.66000000000003</v>
      </c>
      <c r="H14670">
        <v>250409</v>
      </c>
      <c r="I14670">
        <v>4580</v>
      </c>
      <c r="J14670" t="s">
        <v>126</v>
      </c>
      <c r="K14670">
        <v>307.66000000000003</v>
      </c>
      <c r="L14670">
        <v>62.51</v>
      </c>
      <c r="M14670">
        <v>17521</v>
      </c>
      <c r="N14670" t="s">
        <v>136</v>
      </c>
      <c r="O14670">
        <v>250423</v>
      </c>
      <c r="P14670">
        <v>245.15</v>
      </c>
    </row>
    <row r="14671" spans="1:16" x14ac:dyDescent="0.25">
      <c r="A14671" t="s">
        <v>3296</v>
      </c>
      <c r="B14671" t="s">
        <v>2931</v>
      </c>
      <c r="C14671">
        <v>14939</v>
      </c>
      <c r="D14671" t="str">
        <f>"5785        "</f>
        <v xml:space="preserve">5785        </v>
      </c>
      <c r="E14671" t="s">
        <v>613</v>
      </c>
      <c r="F14671" t="s">
        <v>614</v>
      </c>
      <c r="G14671">
        <v>85.86</v>
      </c>
      <c r="H14671">
        <v>251103</v>
      </c>
      <c r="I14671">
        <v>4580</v>
      </c>
      <c r="J14671" t="s">
        <v>126</v>
      </c>
      <c r="K14671">
        <v>85.86</v>
      </c>
      <c r="L14671">
        <v>17.45</v>
      </c>
      <c r="M14671">
        <v>17521</v>
      </c>
      <c r="N14671" t="s">
        <v>136</v>
      </c>
      <c r="O14671">
        <v>251110</v>
      </c>
      <c r="P14671">
        <v>68.41</v>
      </c>
    </row>
    <row r="14672" spans="1:16" x14ac:dyDescent="0.25">
      <c r="A14672" t="s">
        <v>3296</v>
      </c>
      <c r="B14672" t="s">
        <v>2931</v>
      </c>
      <c r="C14672">
        <v>618</v>
      </c>
      <c r="D14672" t="str">
        <f>"5422        "</f>
        <v xml:space="preserve">5422        </v>
      </c>
      <c r="E14672" t="s">
        <v>613</v>
      </c>
      <c r="F14672" t="s">
        <v>614</v>
      </c>
      <c r="G14672">
        <v>132.75</v>
      </c>
      <c r="H14672">
        <v>250115</v>
      </c>
      <c r="I14672">
        <v>4600</v>
      </c>
      <c r="J14672" t="s">
        <v>278</v>
      </c>
      <c r="K14672">
        <v>265.51</v>
      </c>
      <c r="L14672">
        <v>26.97</v>
      </c>
      <c r="M14672">
        <v>17632</v>
      </c>
      <c r="N14672" t="s">
        <v>615</v>
      </c>
      <c r="O14672">
        <v>250124</v>
      </c>
      <c r="P14672">
        <v>105.78</v>
      </c>
    </row>
    <row r="14673" spans="1:16" x14ac:dyDescent="0.25">
      <c r="A14673" t="s">
        <v>3296</v>
      </c>
      <c r="B14673" t="s">
        <v>2931</v>
      </c>
      <c r="C14673">
        <v>8996</v>
      </c>
      <c r="D14673" t="str">
        <f>"SI19990     "</f>
        <v xml:space="preserve">SI19990     </v>
      </c>
      <c r="E14673" t="s">
        <v>2080</v>
      </c>
      <c r="F14673" t="s">
        <v>2081</v>
      </c>
      <c r="G14673">
        <v>185.64</v>
      </c>
      <c r="H14673">
        <v>250611</v>
      </c>
      <c r="I14673">
        <v>4367</v>
      </c>
      <c r="J14673" t="s">
        <v>159</v>
      </c>
      <c r="K14673">
        <v>1113.69</v>
      </c>
      <c r="L14673">
        <v>37.72</v>
      </c>
      <c r="M14673">
        <v>17521</v>
      </c>
      <c r="N14673" t="s">
        <v>136</v>
      </c>
      <c r="O14673">
        <v>250624</v>
      </c>
      <c r="P14673">
        <v>147.91999999999999</v>
      </c>
    </row>
    <row r="14674" spans="1:16" x14ac:dyDescent="0.25">
      <c r="A14674" t="s">
        <v>3296</v>
      </c>
      <c r="B14674" t="s">
        <v>2931</v>
      </c>
      <c r="C14674">
        <v>8996</v>
      </c>
      <c r="D14674" t="str">
        <f>"SI19990     "</f>
        <v xml:space="preserve">SI19990     </v>
      </c>
      <c r="E14674" t="s">
        <v>2080</v>
      </c>
      <c r="F14674" t="s">
        <v>2081</v>
      </c>
      <c r="G14674">
        <v>185.62</v>
      </c>
      <c r="H14674">
        <v>250611</v>
      </c>
      <c r="I14674">
        <v>4367</v>
      </c>
      <c r="J14674" t="s">
        <v>159</v>
      </c>
      <c r="K14674">
        <v>1113.69</v>
      </c>
      <c r="L14674">
        <v>37.72</v>
      </c>
      <c r="M14674">
        <v>17522</v>
      </c>
      <c r="N14674" t="s">
        <v>137</v>
      </c>
      <c r="O14674">
        <v>250624</v>
      </c>
      <c r="P14674">
        <v>147.9</v>
      </c>
    </row>
    <row r="14675" spans="1:16" x14ac:dyDescent="0.25">
      <c r="A14675" t="s">
        <v>3296</v>
      </c>
      <c r="B14675" t="s">
        <v>2931</v>
      </c>
      <c r="C14675">
        <v>8996</v>
      </c>
      <c r="D14675" t="str">
        <f>"SI19990     "</f>
        <v xml:space="preserve">SI19990     </v>
      </c>
      <c r="E14675" t="s">
        <v>2080</v>
      </c>
      <c r="F14675" t="s">
        <v>2081</v>
      </c>
      <c r="G14675">
        <v>185.62</v>
      </c>
      <c r="H14675">
        <v>250611</v>
      </c>
      <c r="I14675">
        <v>4367</v>
      </c>
      <c r="J14675" t="s">
        <v>159</v>
      </c>
      <c r="K14675">
        <v>1113.69</v>
      </c>
      <c r="L14675">
        <v>37.72</v>
      </c>
      <c r="M14675">
        <v>17523</v>
      </c>
      <c r="N14675" t="s">
        <v>138</v>
      </c>
      <c r="O14675">
        <v>250624</v>
      </c>
      <c r="P14675">
        <v>147.9</v>
      </c>
    </row>
    <row r="14676" spans="1:16" x14ac:dyDescent="0.25">
      <c r="A14676" t="s">
        <v>3296</v>
      </c>
      <c r="B14676" t="s">
        <v>2931</v>
      </c>
      <c r="C14676">
        <v>8996</v>
      </c>
      <c r="D14676" t="str">
        <f>"SI19990     "</f>
        <v xml:space="preserve">SI19990     </v>
      </c>
      <c r="E14676" t="s">
        <v>2080</v>
      </c>
      <c r="F14676" t="s">
        <v>2081</v>
      </c>
      <c r="G14676">
        <v>185.62</v>
      </c>
      <c r="H14676">
        <v>250611</v>
      </c>
      <c r="I14676">
        <v>4367</v>
      </c>
      <c r="J14676" t="s">
        <v>159</v>
      </c>
      <c r="K14676">
        <v>1113.69</v>
      </c>
      <c r="L14676">
        <v>37.72</v>
      </c>
      <c r="M14676">
        <v>17529</v>
      </c>
      <c r="N14676" t="s">
        <v>143</v>
      </c>
      <c r="O14676">
        <v>250624</v>
      </c>
      <c r="P14676">
        <v>147.9</v>
      </c>
    </row>
    <row r="14677" spans="1:16" x14ac:dyDescent="0.25">
      <c r="A14677" t="s">
        <v>3296</v>
      </c>
      <c r="B14677" t="s">
        <v>2931</v>
      </c>
      <c r="C14677">
        <v>8996</v>
      </c>
      <c r="D14677" t="str">
        <f>"SI19990     "</f>
        <v xml:space="preserve">SI19990     </v>
      </c>
      <c r="E14677" t="s">
        <v>2080</v>
      </c>
      <c r="F14677" t="s">
        <v>2081</v>
      </c>
      <c r="G14677">
        <v>371.19</v>
      </c>
      <c r="H14677">
        <v>250611</v>
      </c>
      <c r="I14677">
        <v>4367</v>
      </c>
      <c r="J14677" t="s">
        <v>159</v>
      </c>
      <c r="K14677">
        <v>1113.69</v>
      </c>
      <c r="L14677">
        <v>75.42</v>
      </c>
      <c r="M14677">
        <v>56558</v>
      </c>
      <c r="N14677" t="s">
        <v>50</v>
      </c>
      <c r="O14677">
        <v>250624</v>
      </c>
      <c r="P14677">
        <v>295.77</v>
      </c>
    </row>
    <row r="14678" spans="1:16" x14ac:dyDescent="0.25">
      <c r="A14678" t="s">
        <v>3296</v>
      </c>
      <c r="B14678" t="s">
        <v>2931</v>
      </c>
      <c r="C14678">
        <v>3849</v>
      </c>
      <c r="D14678" t="str">
        <f>"362         "</f>
        <v xml:space="preserve">362         </v>
      </c>
      <c r="E14678" t="s">
        <v>1515</v>
      </c>
      <c r="F14678" t="s">
        <v>1516</v>
      </c>
      <c r="G14678">
        <v>897.5</v>
      </c>
      <c r="H14678">
        <v>250319</v>
      </c>
      <c r="I14678">
        <v>4590</v>
      </c>
      <c r="J14678" t="s">
        <v>388</v>
      </c>
      <c r="K14678">
        <v>897.5</v>
      </c>
      <c r="L14678">
        <v>182.36</v>
      </c>
      <c r="M14678">
        <v>46563</v>
      </c>
      <c r="N14678" t="s">
        <v>932</v>
      </c>
      <c r="O14678">
        <v>250402</v>
      </c>
      <c r="P14678">
        <v>715.14</v>
      </c>
    </row>
    <row r="14679" spans="1:16" x14ac:dyDescent="0.25">
      <c r="A14679" t="s">
        <v>3296</v>
      </c>
      <c r="B14679" t="s">
        <v>2931</v>
      </c>
      <c r="C14679">
        <v>18196</v>
      </c>
      <c r="D14679" t="str">
        <f t="shared" ref="D14679:D14689" si="243">"2500232     "</f>
        <v xml:space="preserve">2500232     </v>
      </c>
      <c r="E14679" t="s">
        <v>2946</v>
      </c>
      <c r="F14679" t="s">
        <v>2947</v>
      </c>
      <c r="G14679">
        <v>462</v>
      </c>
      <c r="H14679">
        <v>251229</v>
      </c>
      <c r="I14679">
        <v>4410</v>
      </c>
      <c r="J14679" t="s">
        <v>165</v>
      </c>
      <c r="K14679">
        <v>3175</v>
      </c>
      <c r="L14679">
        <v>56.74</v>
      </c>
      <c r="M14679">
        <v>17530</v>
      </c>
      <c r="N14679" t="s">
        <v>144</v>
      </c>
      <c r="O14679">
        <v>260109</v>
      </c>
      <c r="P14679">
        <v>405.26</v>
      </c>
    </row>
    <row r="14680" spans="1:16" x14ac:dyDescent="0.25">
      <c r="A14680" t="s">
        <v>3296</v>
      </c>
      <c r="B14680" t="s">
        <v>2931</v>
      </c>
      <c r="C14680">
        <v>18196</v>
      </c>
      <c r="D14680" t="str">
        <f t="shared" si="243"/>
        <v xml:space="preserve">2500232     </v>
      </c>
      <c r="E14680" t="s">
        <v>2946</v>
      </c>
      <c r="F14680" t="s">
        <v>2947</v>
      </c>
      <c r="G14680">
        <v>99</v>
      </c>
      <c r="H14680">
        <v>251229</v>
      </c>
      <c r="I14680">
        <v>4410</v>
      </c>
      <c r="J14680" t="s">
        <v>165</v>
      </c>
      <c r="K14680">
        <v>3175</v>
      </c>
      <c r="L14680">
        <v>12.16</v>
      </c>
      <c r="M14680">
        <v>17531</v>
      </c>
      <c r="N14680" t="s">
        <v>145</v>
      </c>
      <c r="O14680">
        <v>260109</v>
      </c>
      <c r="P14680">
        <v>86.84</v>
      </c>
    </row>
    <row r="14681" spans="1:16" x14ac:dyDescent="0.25">
      <c r="A14681" t="s">
        <v>3296</v>
      </c>
      <c r="B14681" t="s">
        <v>2931</v>
      </c>
      <c r="C14681">
        <v>18196</v>
      </c>
      <c r="D14681" t="str">
        <f t="shared" si="243"/>
        <v xml:space="preserve">2500232     </v>
      </c>
      <c r="E14681" t="s">
        <v>2946</v>
      </c>
      <c r="F14681" t="s">
        <v>2947</v>
      </c>
      <c r="G14681">
        <v>33</v>
      </c>
      <c r="H14681">
        <v>251229</v>
      </c>
      <c r="I14681">
        <v>4410</v>
      </c>
      <c r="J14681" t="s">
        <v>165</v>
      </c>
      <c r="K14681">
        <v>3175</v>
      </c>
      <c r="L14681">
        <v>4.05</v>
      </c>
      <c r="M14681">
        <v>17535</v>
      </c>
      <c r="N14681" t="s">
        <v>149</v>
      </c>
      <c r="O14681">
        <v>260109</v>
      </c>
      <c r="P14681">
        <v>28.95</v>
      </c>
    </row>
    <row r="14682" spans="1:16" x14ac:dyDescent="0.25">
      <c r="A14682" t="s">
        <v>3296</v>
      </c>
      <c r="B14682" t="s">
        <v>2931</v>
      </c>
      <c r="C14682">
        <v>18196</v>
      </c>
      <c r="D14682" t="str">
        <f t="shared" si="243"/>
        <v xml:space="preserve">2500232     </v>
      </c>
      <c r="E14682" t="s">
        <v>2946</v>
      </c>
      <c r="F14682" t="s">
        <v>2947</v>
      </c>
      <c r="G14682">
        <v>54</v>
      </c>
      <c r="H14682">
        <v>251229</v>
      </c>
      <c r="I14682">
        <v>4410</v>
      </c>
      <c r="J14682" t="s">
        <v>165</v>
      </c>
      <c r="K14682">
        <v>3175</v>
      </c>
      <c r="L14682">
        <v>6.63</v>
      </c>
      <c r="M14682">
        <v>17538</v>
      </c>
      <c r="N14682" t="s">
        <v>129</v>
      </c>
      <c r="O14682">
        <v>260109</v>
      </c>
      <c r="P14682">
        <v>47.37</v>
      </c>
    </row>
    <row r="14683" spans="1:16" x14ac:dyDescent="0.25">
      <c r="A14683" t="s">
        <v>3296</v>
      </c>
      <c r="B14683" t="s">
        <v>2931</v>
      </c>
      <c r="C14683">
        <v>18196</v>
      </c>
      <c r="D14683" t="str">
        <f t="shared" si="243"/>
        <v xml:space="preserve">2500232     </v>
      </c>
      <c r="E14683" t="s">
        <v>2946</v>
      </c>
      <c r="F14683" t="s">
        <v>2947</v>
      </c>
      <c r="G14683">
        <v>27</v>
      </c>
      <c r="H14683">
        <v>251229</v>
      </c>
      <c r="I14683">
        <v>4410</v>
      </c>
      <c r="J14683" t="s">
        <v>165</v>
      </c>
      <c r="K14683">
        <v>3175</v>
      </c>
      <c r="L14683">
        <v>0</v>
      </c>
      <c r="M14683">
        <v>17975</v>
      </c>
      <c r="N14683" t="s">
        <v>29</v>
      </c>
      <c r="O14683">
        <v>260109</v>
      </c>
      <c r="P14683">
        <v>27</v>
      </c>
    </row>
    <row r="14684" spans="1:16" x14ac:dyDescent="0.25">
      <c r="A14684" t="s">
        <v>3296</v>
      </c>
      <c r="B14684" t="s">
        <v>2931</v>
      </c>
      <c r="C14684">
        <v>18196</v>
      </c>
      <c r="D14684" t="str">
        <f t="shared" si="243"/>
        <v xml:space="preserve">2500232     </v>
      </c>
      <c r="E14684" t="s">
        <v>2946</v>
      </c>
      <c r="F14684" t="s">
        <v>2947</v>
      </c>
      <c r="G14684">
        <v>600</v>
      </c>
      <c r="H14684">
        <v>251229</v>
      </c>
      <c r="I14684">
        <v>4440</v>
      </c>
      <c r="J14684" t="s">
        <v>346</v>
      </c>
      <c r="K14684">
        <v>3175</v>
      </c>
      <c r="L14684">
        <v>121.91</v>
      </c>
      <c r="M14684">
        <v>17530</v>
      </c>
      <c r="N14684" t="s">
        <v>144</v>
      </c>
      <c r="O14684">
        <v>260109</v>
      </c>
      <c r="P14684">
        <v>478.09</v>
      </c>
    </row>
    <row r="14685" spans="1:16" x14ac:dyDescent="0.25">
      <c r="A14685" t="s">
        <v>3296</v>
      </c>
      <c r="B14685" t="s">
        <v>2931</v>
      </c>
      <c r="C14685">
        <v>18196</v>
      </c>
      <c r="D14685" t="str">
        <f t="shared" si="243"/>
        <v xml:space="preserve">2500232     </v>
      </c>
      <c r="E14685" t="s">
        <v>2946</v>
      </c>
      <c r="F14685" t="s">
        <v>2947</v>
      </c>
      <c r="G14685">
        <v>120</v>
      </c>
      <c r="H14685">
        <v>251229</v>
      </c>
      <c r="I14685">
        <v>4440</v>
      </c>
      <c r="J14685" t="s">
        <v>346</v>
      </c>
      <c r="K14685">
        <v>3175</v>
      </c>
      <c r="L14685">
        <v>24.38</v>
      </c>
      <c r="M14685">
        <v>17531</v>
      </c>
      <c r="N14685" t="s">
        <v>145</v>
      </c>
      <c r="O14685">
        <v>260109</v>
      </c>
      <c r="P14685">
        <v>95.62</v>
      </c>
    </row>
    <row r="14686" spans="1:16" x14ac:dyDescent="0.25">
      <c r="A14686" t="s">
        <v>3296</v>
      </c>
      <c r="B14686" t="s">
        <v>2931</v>
      </c>
      <c r="C14686">
        <v>18196</v>
      </c>
      <c r="D14686" t="str">
        <f t="shared" si="243"/>
        <v xml:space="preserve">2500232     </v>
      </c>
      <c r="E14686" t="s">
        <v>2946</v>
      </c>
      <c r="F14686" t="s">
        <v>2947</v>
      </c>
      <c r="G14686">
        <v>40</v>
      </c>
      <c r="H14686">
        <v>251229</v>
      </c>
      <c r="I14686">
        <v>4440</v>
      </c>
      <c r="J14686" t="s">
        <v>346</v>
      </c>
      <c r="K14686">
        <v>3175</v>
      </c>
      <c r="L14686">
        <v>8.1300000000000008</v>
      </c>
      <c r="M14686">
        <v>17535</v>
      </c>
      <c r="N14686" t="s">
        <v>149</v>
      </c>
      <c r="O14686">
        <v>260109</v>
      </c>
      <c r="P14686">
        <v>31.87</v>
      </c>
    </row>
    <row r="14687" spans="1:16" x14ac:dyDescent="0.25">
      <c r="A14687" t="s">
        <v>3296</v>
      </c>
      <c r="B14687" t="s">
        <v>2931</v>
      </c>
      <c r="C14687">
        <v>18196</v>
      </c>
      <c r="D14687" t="str">
        <f t="shared" si="243"/>
        <v xml:space="preserve">2500232     </v>
      </c>
      <c r="E14687" t="s">
        <v>2946</v>
      </c>
      <c r="F14687" t="s">
        <v>2947</v>
      </c>
      <c r="G14687">
        <v>80</v>
      </c>
      <c r="H14687">
        <v>251229</v>
      </c>
      <c r="I14687">
        <v>4440</v>
      </c>
      <c r="J14687" t="s">
        <v>346</v>
      </c>
      <c r="K14687">
        <v>3175</v>
      </c>
      <c r="L14687">
        <v>16.25</v>
      </c>
      <c r="M14687">
        <v>17538</v>
      </c>
      <c r="N14687" t="s">
        <v>129</v>
      </c>
      <c r="O14687">
        <v>260109</v>
      </c>
      <c r="P14687">
        <v>63.75</v>
      </c>
    </row>
    <row r="14688" spans="1:16" x14ac:dyDescent="0.25">
      <c r="A14688" t="s">
        <v>3296</v>
      </c>
      <c r="B14688" t="s">
        <v>2931</v>
      </c>
      <c r="C14688">
        <v>18196</v>
      </c>
      <c r="D14688" t="str">
        <f t="shared" si="243"/>
        <v xml:space="preserve">2500232     </v>
      </c>
      <c r="E14688" t="s">
        <v>2946</v>
      </c>
      <c r="F14688" t="s">
        <v>2947</v>
      </c>
      <c r="G14688">
        <v>1620</v>
      </c>
      <c r="H14688">
        <v>251229</v>
      </c>
      <c r="I14688">
        <v>4440</v>
      </c>
      <c r="J14688" t="s">
        <v>346</v>
      </c>
      <c r="K14688">
        <v>3175</v>
      </c>
      <c r="L14688">
        <v>329.16</v>
      </c>
      <c r="M14688">
        <v>17538</v>
      </c>
      <c r="N14688" t="s">
        <v>129</v>
      </c>
      <c r="O14688">
        <v>260109</v>
      </c>
      <c r="P14688">
        <v>1290.8399999999999</v>
      </c>
    </row>
    <row r="14689" spans="1:16" x14ac:dyDescent="0.25">
      <c r="A14689" t="s">
        <v>3296</v>
      </c>
      <c r="B14689" t="s">
        <v>2931</v>
      </c>
      <c r="C14689">
        <v>18196</v>
      </c>
      <c r="D14689" t="str">
        <f t="shared" si="243"/>
        <v xml:space="preserve">2500232     </v>
      </c>
      <c r="E14689" t="s">
        <v>2946</v>
      </c>
      <c r="F14689" t="s">
        <v>2947</v>
      </c>
      <c r="G14689">
        <v>40</v>
      </c>
      <c r="H14689">
        <v>251229</v>
      </c>
      <c r="I14689">
        <v>4440</v>
      </c>
      <c r="J14689" t="s">
        <v>346</v>
      </c>
      <c r="K14689">
        <v>3175</v>
      </c>
      <c r="L14689">
        <v>8.1300000000000008</v>
      </c>
      <c r="M14689">
        <v>17975</v>
      </c>
      <c r="N14689" t="s">
        <v>29</v>
      </c>
      <c r="O14689">
        <v>260109</v>
      </c>
      <c r="P14689">
        <v>31.87</v>
      </c>
    </row>
    <row r="14690" spans="1:16" x14ac:dyDescent="0.25">
      <c r="A14690" t="s">
        <v>3296</v>
      </c>
      <c r="B14690" t="s">
        <v>2931</v>
      </c>
      <c r="C14690">
        <v>4103</v>
      </c>
      <c r="D14690" t="str">
        <f>"3004640670  "</f>
        <v xml:space="preserve">3004640670  </v>
      </c>
      <c r="E14690" t="s">
        <v>1566</v>
      </c>
      <c r="F14690" t="s">
        <v>1567</v>
      </c>
      <c r="G14690">
        <v>13.6</v>
      </c>
      <c r="H14690">
        <v>250321</v>
      </c>
      <c r="I14690">
        <v>4410</v>
      </c>
      <c r="J14690" t="s">
        <v>165</v>
      </c>
      <c r="K14690">
        <v>251.16</v>
      </c>
      <c r="L14690">
        <v>0</v>
      </c>
      <c r="M14690">
        <v>17975</v>
      </c>
      <c r="N14690" t="s">
        <v>29</v>
      </c>
      <c r="O14690">
        <v>250407</v>
      </c>
      <c r="P14690">
        <v>13.6</v>
      </c>
    </row>
    <row r="14691" spans="1:16" x14ac:dyDescent="0.25">
      <c r="A14691" t="s">
        <v>3296</v>
      </c>
      <c r="B14691" t="s">
        <v>2931</v>
      </c>
      <c r="C14691">
        <v>4103</v>
      </c>
      <c r="D14691" t="str">
        <f>"3004640670  "</f>
        <v xml:space="preserve">3004640670  </v>
      </c>
      <c r="E14691" t="s">
        <v>1566</v>
      </c>
      <c r="F14691" t="s">
        <v>1567</v>
      </c>
      <c r="G14691">
        <v>232.56</v>
      </c>
      <c r="H14691">
        <v>250321</v>
      </c>
      <c r="I14691">
        <v>4410</v>
      </c>
      <c r="J14691" t="s">
        <v>165</v>
      </c>
      <c r="K14691">
        <v>251.16</v>
      </c>
      <c r="L14691">
        <v>28.56</v>
      </c>
      <c r="M14691">
        <v>17975</v>
      </c>
      <c r="N14691" t="s">
        <v>29</v>
      </c>
      <c r="O14691">
        <v>250407</v>
      </c>
      <c r="P14691">
        <v>204</v>
      </c>
    </row>
    <row r="14692" spans="1:16" x14ac:dyDescent="0.25">
      <c r="A14692" t="s">
        <v>3296</v>
      </c>
      <c r="B14692" t="s">
        <v>2931</v>
      </c>
      <c r="C14692">
        <v>5347</v>
      </c>
      <c r="D14692" t="str">
        <f t="shared" ref="D14692:D14702" si="244">"3004704580  "</f>
        <v xml:space="preserve">3004704580  </v>
      </c>
      <c r="E14692" t="s">
        <v>1566</v>
      </c>
      <c r="F14692" t="s">
        <v>1567</v>
      </c>
      <c r="G14692">
        <v>265.2</v>
      </c>
      <c r="H14692">
        <v>250412</v>
      </c>
      <c r="I14692">
        <v>4410</v>
      </c>
      <c r="J14692" t="s">
        <v>165</v>
      </c>
      <c r="K14692">
        <v>3763.79</v>
      </c>
      <c r="L14692">
        <v>0</v>
      </c>
      <c r="M14692">
        <v>17530</v>
      </c>
      <c r="N14692" t="s">
        <v>144</v>
      </c>
      <c r="O14692">
        <v>250423</v>
      </c>
      <c r="P14692">
        <v>265.2</v>
      </c>
    </row>
    <row r="14693" spans="1:16" x14ac:dyDescent="0.25">
      <c r="A14693" t="s">
        <v>3296</v>
      </c>
      <c r="B14693" t="s">
        <v>2931</v>
      </c>
      <c r="C14693">
        <v>5347</v>
      </c>
      <c r="D14693" t="str">
        <f t="shared" si="244"/>
        <v xml:space="preserve">3004704580  </v>
      </c>
      <c r="E14693" t="s">
        <v>1566</v>
      </c>
      <c r="F14693" t="s">
        <v>1567</v>
      </c>
      <c r="G14693">
        <v>2096.94</v>
      </c>
      <c r="H14693">
        <v>250412</v>
      </c>
      <c r="I14693">
        <v>4410</v>
      </c>
      <c r="J14693" t="s">
        <v>165</v>
      </c>
      <c r="K14693">
        <v>3763.79</v>
      </c>
      <c r="L14693">
        <v>257.52</v>
      </c>
      <c r="M14693">
        <v>17530</v>
      </c>
      <c r="N14693" t="s">
        <v>144</v>
      </c>
      <c r="O14693">
        <v>250423</v>
      </c>
      <c r="P14693">
        <v>1839.42</v>
      </c>
    </row>
    <row r="14694" spans="1:16" x14ac:dyDescent="0.25">
      <c r="A14694" t="s">
        <v>3296</v>
      </c>
      <c r="B14694" t="s">
        <v>2931</v>
      </c>
      <c r="C14694">
        <v>5347</v>
      </c>
      <c r="D14694" t="str">
        <f t="shared" si="244"/>
        <v xml:space="preserve">3004704580  </v>
      </c>
      <c r="E14694" t="s">
        <v>1566</v>
      </c>
      <c r="F14694" t="s">
        <v>1567</v>
      </c>
      <c r="G14694">
        <v>61.2</v>
      </c>
      <c r="H14694">
        <v>250412</v>
      </c>
      <c r="I14694">
        <v>4410</v>
      </c>
      <c r="J14694" t="s">
        <v>165</v>
      </c>
      <c r="K14694">
        <v>3763.79</v>
      </c>
      <c r="L14694">
        <v>0</v>
      </c>
      <c r="M14694">
        <v>17531</v>
      </c>
      <c r="N14694" t="s">
        <v>145</v>
      </c>
      <c r="O14694">
        <v>250423</v>
      </c>
      <c r="P14694">
        <v>61.2</v>
      </c>
    </row>
    <row r="14695" spans="1:16" x14ac:dyDescent="0.25">
      <c r="A14695" t="s">
        <v>3296</v>
      </c>
      <c r="B14695" t="s">
        <v>2931</v>
      </c>
      <c r="C14695">
        <v>5347</v>
      </c>
      <c r="D14695" t="str">
        <f t="shared" si="244"/>
        <v xml:space="preserve">3004704580  </v>
      </c>
      <c r="E14695" t="s">
        <v>1566</v>
      </c>
      <c r="F14695" t="s">
        <v>1567</v>
      </c>
      <c r="G14695">
        <v>520.65</v>
      </c>
      <c r="H14695">
        <v>250412</v>
      </c>
      <c r="I14695">
        <v>4410</v>
      </c>
      <c r="J14695" t="s">
        <v>165</v>
      </c>
      <c r="K14695">
        <v>3763.79</v>
      </c>
      <c r="L14695">
        <v>63.94</v>
      </c>
      <c r="M14695">
        <v>17531</v>
      </c>
      <c r="N14695" t="s">
        <v>145</v>
      </c>
      <c r="O14695">
        <v>250423</v>
      </c>
      <c r="P14695">
        <v>456.71</v>
      </c>
    </row>
    <row r="14696" spans="1:16" x14ac:dyDescent="0.25">
      <c r="A14696" t="s">
        <v>3296</v>
      </c>
      <c r="B14696" t="s">
        <v>2931</v>
      </c>
      <c r="C14696">
        <v>5347</v>
      </c>
      <c r="D14696" t="str">
        <f t="shared" si="244"/>
        <v xml:space="preserve">3004704580  </v>
      </c>
      <c r="E14696" t="s">
        <v>1566</v>
      </c>
      <c r="F14696" t="s">
        <v>1567</v>
      </c>
      <c r="G14696">
        <v>20.399999999999999</v>
      </c>
      <c r="H14696">
        <v>250412</v>
      </c>
      <c r="I14696">
        <v>4410</v>
      </c>
      <c r="J14696" t="s">
        <v>165</v>
      </c>
      <c r="K14696">
        <v>3763.79</v>
      </c>
      <c r="L14696">
        <v>0</v>
      </c>
      <c r="M14696">
        <v>17535</v>
      </c>
      <c r="N14696" t="s">
        <v>149</v>
      </c>
      <c r="O14696">
        <v>250423</v>
      </c>
      <c r="P14696">
        <v>20.399999999999999</v>
      </c>
    </row>
    <row r="14697" spans="1:16" x14ac:dyDescent="0.25">
      <c r="A14697" t="s">
        <v>3296</v>
      </c>
      <c r="B14697" t="s">
        <v>2931</v>
      </c>
      <c r="C14697">
        <v>5347</v>
      </c>
      <c r="D14697" t="str">
        <f t="shared" si="244"/>
        <v xml:space="preserve">3004704580  </v>
      </c>
      <c r="E14697" t="s">
        <v>1566</v>
      </c>
      <c r="F14697" t="s">
        <v>1567</v>
      </c>
      <c r="G14697">
        <v>173.55</v>
      </c>
      <c r="H14697">
        <v>250412</v>
      </c>
      <c r="I14697">
        <v>4410</v>
      </c>
      <c r="J14697" t="s">
        <v>165</v>
      </c>
      <c r="K14697">
        <v>3763.79</v>
      </c>
      <c r="L14697">
        <v>21.31</v>
      </c>
      <c r="M14697">
        <v>17535</v>
      </c>
      <c r="N14697" t="s">
        <v>149</v>
      </c>
      <c r="O14697">
        <v>250423</v>
      </c>
      <c r="P14697">
        <v>152.24</v>
      </c>
    </row>
    <row r="14698" spans="1:16" x14ac:dyDescent="0.25">
      <c r="A14698" t="s">
        <v>3296</v>
      </c>
      <c r="B14698" t="s">
        <v>2931</v>
      </c>
      <c r="C14698">
        <v>5347</v>
      </c>
      <c r="D14698" t="str">
        <f t="shared" si="244"/>
        <v xml:space="preserve">3004704580  </v>
      </c>
      <c r="E14698" t="s">
        <v>1566</v>
      </c>
      <c r="F14698" t="s">
        <v>1567</v>
      </c>
      <c r="G14698">
        <v>40.799999999999997</v>
      </c>
      <c r="H14698">
        <v>250412</v>
      </c>
      <c r="I14698">
        <v>4410</v>
      </c>
      <c r="J14698" t="s">
        <v>165</v>
      </c>
      <c r="K14698">
        <v>3763.79</v>
      </c>
      <c r="L14698">
        <v>0</v>
      </c>
      <c r="M14698">
        <v>17538</v>
      </c>
      <c r="N14698" t="s">
        <v>129</v>
      </c>
      <c r="O14698">
        <v>250423</v>
      </c>
      <c r="P14698">
        <v>40.799999999999997</v>
      </c>
    </row>
    <row r="14699" spans="1:16" x14ac:dyDescent="0.25">
      <c r="A14699" t="s">
        <v>3296</v>
      </c>
      <c r="B14699" t="s">
        <v>2931</v>
      </c>
      <c r="C14699">
        <v>5347</v>
      </c>
      <c r="D14699" t="str">
        <f t="shared" si="244"/>
        <v xml:space="preserve">3004704580  </v>
      </c>
      <c r="E14699" t="s">
        <v>1566</v>
      </c>
      <c r="F14699" t="s">
        <v>1567</v>
      </c>
      <c r="G14699">
        <v>347.1</v>
      </c>
      <c r="H14699">
        <v>250412</v>
      </c>
      <c r="I14699">
        <v>4410</v>
      </c>
      <c r="J14699" t="s">
        <v>165</v>
      </c>
      <c r="K14699">
        <v>3763.79</v>
      </c>
      <c r="L14699">
        <v>42.63</v>
      </c>
      <c r="M14699">
        <v>17538</v>
      </c>
      <c r="N14699" t="s">
        <v>129</v>
      </c>
      <c r="O14699">
        <v>250423</v>
      </c>
      <c r="P14699">
        <v>304.47000000000003</v>
      </c>
    </row>
    <row r="14700" spans="1:16" x14ac:dyDescent="0.25">
      <c r="A14700" t="s">
        <v>3296</v>
      </c>
      <c r="B14700" t="s">
        <v>2931</v>
      </c>
      <c r="C14700">
        <v>5347</v>
      </c>
      <c r="D14700" t="str">
        <f t="shared" si="244"/>
        <v xml:space="preserve">3004704580  </v>
      </c>
      <c r="E14700" t="s">
        <v>1566</v>
      </c>
      <c r="F14700" t="s">
        <v>1567</v>
      </c>
      <c r="G14700">
        <v>20.399999999999999</v>
      </c>
      <c r="H14700">
        <v>250412</v>
      </c>
      <c r="I14700">
        <v>4410</v>
      </c>
      <c r="J14700" t="s">
        <v>165</v>
      </c>
      <c r="K14700">
        <v>3763.79</v>
      </c>
      <c r="L14700">
        <v>0</v>
      </c>
      <c r="M14700">
        <v>17975</v>
      </c>
      <c r="N14700" t="s">
        <v>29</v>
      </c>
      <c r="O14700">
        <v>250423</v>
      </c>
      <c r="P14700">
        <v>20.399999999999999</v>
      </c>
    </row>
    <row r="14701" spans="1:16" x14ac:dyDescent="0.25">
      <c r="A14701" t="s">
        <v>3296</v>
      </c>
      <c r="B14701" t="s">
        <v>2931</v>
      </c>
      <c r="C14701">
        <v>5347</v>
      </c>
      <c r="D14701" t="str">
        <f t="shared" si="244"/>
        <v xml:space="preserve">3004704580  </v>
      </c>
      <c r="E14701" t="s">
        <v>1566</v>
      </c>
      <c r="F14701" t="s">
        <v>1567</v>
      </c>
      <c r="G14701">
        <v>173.55</v>
      </c>
      <c r="H14701">
        <v>250412</v>
      </c>
      <c r="I14701">
        <v>4410</v>
      </c>
      <c r="J14701" t="s">
        <v>165</v>
      </c>
      <c r="K14701">
        <v>3763.79</v>
      </c>
      <c r="L14701">
        <v>21.31</v>
      </c>
      <c r="M14701">
        <v>17975</v>
      </c>
      <c r="N14701" t="s">
        <v>29</v>
      </c>
      <c r="O14701">
        <v>250423</v>
      </c>
      <c r="P14701">
        <v>152.24</v>
      </c>
    </row>
    <row r="14702" spans="1:16" x14ac:dyDescent="0.25">
      <c r="A14702" t="s">
        <v>3296</v>
      </c>
      <c r="B14702" t="s">
        <v>2931</v>
      </c>
      <c r="C14702">
        <v>5347</v>
      </c>
      <c r="D14702" t="str">
        <f t="shared" si="244"/>
        <v xml:space="preserve">3004704580  </v>
      </c>
      <c r="E14702" t="s">
        <v>1566</v>
      </c>
      <c r="F14702" t="s">
        <v>1567</v>
      </c>
      <c r="G14702">
        <v>44</v>
      </c>
      <c r="H14702">
        <v>250412</v>
      </c>
      <c r="I14702">
        <v>4420</v>
      </c>
      <c r="J14702" t="s">
        <v>330</v>
      </c>
      <c r="K14702">
        <v>3763.79</v>
      </c>
      <c r="L14702">
        <v>8.94</v>
      </c>
      <c r="M14702">
        <v>17538</v>
      </c>
      <c r="N14702" t="s">
        <v>129</v>
      </c>
      <c r="O14702">
        <v>250423</v>
      </c>
      <c r="P14702">
        <v>35.06</v>
      </c>
    </row>
    <row r="14703" spans="1:16" x14ac:dyDescent="0.25">
      <c r="A14703" t="s">
        <v>3296</v>
      </c>
      <c r="B14703" t="s">
        <v>2931</v>
      </c>
      <c r="C14703">
        <v>4103</v>
      </c>
      <c r="D14703" t="str">
        <f>"3004640670  "</f>
        <v xml:space="preserve">3004640670  </v>
      </c>
      <c r="E14703" t="s">
        <v>1566</v>
      </c>
      <c r="F14703" t="s">
        <v>1567</v>
      </c>
      <c r="G14703">
        <v>5</v>
      </c>
      <c r="H14703">
        <v>250321</v>
      </c>
      <c r="I14703">
        <v>4470</v>
      </c>
      <c r="J14703" t="s">
        <v>203</v>
      </c>
      <c r="K14703">
        <v>251.16</v>
      </c>
      <c r="L14703">
        <v>1.02</v>
      </c>
      <c r="M14703">
        <v>17975</v>
      </c>
      <c r="N14703" t="s">
        <v>29</v>
      </c>
      <c r="O14703">
        <v>250407</v>
      </c>
      <c r="P14703">
        <v>3.98</v>
      </c>
    </row>
    <row r="14704" spans="1:16" x14ac:dyDescent="0.25">
      <c r="A14704" t="s">
        <v>3296</v>
      </c>
      <c r="B14704" t="s">
        <v>2931</v>
      </c>
      <c r="C14704">
        <v>9368</v>
      </c>
      <c r="D14704" t="str">
        <f>"140         "</f>
        <v xml:space="preserve">140         </v>
      </c>
      <c r="E14704" t="s">
        <v>3122</v>
      </c>
      <c r="F14704" t="s">
        <v>3123</v>
      </c>
      <c r="G14704">
        <v>1290</v>
      </c>
      <c r="H14704">
        <v>250606</v>
      </c>
      <c r="I14704">
        <v>4820</v>
      </c>
      <c r="J14704" t="s">
        <v>169</v>
      </c>
      <c r="K14704">
        <v>1290</v>
      </c>
      <c r="L14704">
        <v>0</v>
      </c>
      <c r="M14704">
        <v>13841</v>
      </c>
      <c r="N14704" t="s">
        <v>178</v>
      </c>
      <c r="O14704">
        <v>250707</v>
      </c>
      <c r="P14704">
        <v>1290</v>
      </c>
    </row>
    <row r="14705" spans="1:16" x14ac:dyDescent="0.25">
      <c r="A14705" t="s">
        <v>3296</v>
      </c>
      <c r="B14705" t="s">
        <v>2931</v>
      </c>
      <c r="C14705">
        <v>17464</v>
      </c>
      <c r="D14705" t="str">
        <f>"153         "</f>
        <v xml:space="preserve">153         </v>
      </c>
      <c r="E14705" t="s">
        <v>3122</v>
      </c>
      <c r="F14705" t="s">
        <v>3123</v>
      </c>
      <c r="G14705">
        <v>2620</v>
      </c>
      <c r="H14705">
        <v>251218</v>
      </c>
      <c r="I14705">
        <v>4820</v>
      </c>
      <c r="J14705" t="s">
        <v>169</v>
      </c>
      <c r="K14705">
        <v>2620</v>
      </c>
      <c r="L14705">
        <v>0</v>
      </c>
      <c r="M14705">
        <v>13841</v>
      </c>
      <c r="N14705" t="s">
        <v>178</v>
      </c>
      <c r="O14705">
        <v>251222</v>
      </c>
      <c r="P14705">
        <v>2620</v>
      </c>
    </row>
    <row r="14706" spans="1:16" x14ac:dyDescent="0.25">
      <c r="A14706" t="s">
        <v>3296</v>
      </c>
      <c r="B14706" t="s">
        <v>2931</v>
      </c>
      <c r="C14706">
        <v>6943</v>
      </c>
      <c r="D14706" t="str">
        <f>"200525      "</f>
        <v xml:space="preserve">200525      </v>
      </c>
      <c r="E14706" t="s">
        <v>3090</v>
      </c>
      <c r="F14706" t="s">
        <v>3091</v>
      </c>
      <c r="G14706">
        <v>280</v>
      </c>
      <c r="H14706">
        <v>250514</v>
      </c>
      <c r="I14706">
        <v>4820</v>
      </c>
      <c r="J14706" t="s">
        <v>169</v>
      </c>
      <c r="K14706">
        <v>280</v>
      </c>
      <c r="L14706">
        <v>0</v>
      </c>
      <c r="M14706">
        <v>13841</v>
      </c>
      <c r="N14706" t="s">
        <v>178</v>
      </c>
      <c r="O14706">
        <v>250521</v>
      </c>
      <c r="P14706">
        <v>280</v>
      </c>
    </row>
    <row r="14707" spans="1:16" x14ac:dyDescent="0.25">
      <c r="A14707" t="s">
        <v>3296</v>
      </c>
      <c r="B14707" t="s">
        <v>2931</v>
      </c>
      <c r="C14707">
        <v>16835</v>
      </c>
      <c r="D14707" t="str">
        <f>"111225      "</f>
        <v xml:space="preserve">111225      </v>
      </c>
      <c r="E14707" t="s">
        <v>3090</v>
      </c>
      <c r="F14707" t="s">
        <v>3091</v>
      </c>
      <c r="G14707">
        <v>240</v>
      </c>
      <c r="H14707">
        <v>251211</v>
      </c>
      <c r="I14707">
        <v>4820</v>
      </c>
      <c r="J14707" t="s">
        <v>169</v>
      </c>
      <c r="K14707">
        <v>240</v>
      </c>
      <c r="L14707">
        <v>0</v>
      </c>
      <c r="M14707">
        <v>13841</v>
      </c>
      <c r="N14707" t="s">
        <v>178</v>
      </c>
      <c r="O14707">
        <v>251212</v>
      </c>
      <c r="P14707">
        <v>240</v>
      </c>
    </row>
    <row r="14708" spans="1:16" x14ac:dyDescent="0.25">
      <c r="A14708" t="s">
        <v>3296</v>
      </c>
      <c r="B14708" t="s">
        <v>2931</v>
      </c>
      <c r="C14708">
        <v>15447</v>
      </c>
      <c r="D14708" t="str">
        <f>"2924        "</f>
        <v xml:space="preserve">2924        </v>
      </c>
      <c r="E14708" t="s">
        <v>2592</v>
      </c>
      <c r="F14708" t="s">
        <v>2593</v>
      </c>
      <c r="G14708">
        <v>550</v>
      </c>
      <c r="H14708">
        <v>251116</v>
      </c>
      <c r="I14708">
        <v>4420</v>
      </c>
      <c r="J14708" t="s">
        <v>330</v>
      </c>
      <c r="K14708">
        <v>550</v>
      </c>
      <c r="L14708">
        <v>67.540000000000006</v>
      </c>
      <c r="M14708">
        <v>13801</v>
      </c>
      <c r="N14708" t="s">
        <v>33</v>
      </c>
      <c r="O14708">
        <v>251120</v>
      </c>
      <c r="P14708">
        <v>482.46</v>
      </c>
    </row>
    <row r="14709" spans="1:16" x14ac:dyDescent="0.25">
      <c r="A14709" t="s">
        <v>3296</v>
      </c>
      <c r="B14709" t="s">
        <v>2931</v>
      </c>
      <c r="C14709">
        <v>2337</v>
      </c>
      <c r="D14709" t="str">
        <f>"L39101      "</f>
        <v xml:space="preserve">L39101      </v>
      </c>
      <c r="E14709" t="s">
        <v>1241</v>
      </c>
      <c r="F14709" t="s">
        <v>1242</v>
      </c>
      <c r="G14709">
        <v>75.3</v>
      </c>
      <c r="H14709">
        <v>250219</v>
      </c>
      <c r="I14709">
        <v>4369</v>
      </c>
      <c r="J14709" t="s">
        <v>188</v>
      </c>
      <c r="K14709">
        <v>75.3</v>
      </c>
      <c r="L14709">
        <v>15.3</v>
      </c>
      <c r="M14709">
        <v>13841</v>
      </c>
      <c r="N14709" t="s">
        <v>178</v>
      </c>
      <c r="O14709">
        <v>250224</v>
      </c>
      <c r="P14709">
        <v>60</v>
      </c>
    </row>
    <row r="14710" spans="1:16" x14ac:dyDescent="0.25">
      <c r="A14710" t="s">
        <v>3296</v>
      </c>
      <c r="B14710" t="s">
        <v>2931</v>
      </c>
      <c r="C14710">
        <v>7073</v>
      </c>
      <c r="D14710" t="str">
        <f>"L41152      "</f>
        <v xml:space="preserve">L41152      </v>
      </c>
      <c r="E14710" t="s">
        <v>1241</v>
      </c>
      <c r="F14710" t="s">
        <v>1242</v>
      </c>
      <c r="G14710">
        <v>81.319999999999993</v>
      </c>
      <c r="H14710">
        <v>250519</v>
      </c>
      <c r="I14710">
        <v>4369</v>
      </c>
      <c r="J14710" t="s">
        <v>188</v>
      </c>
      <c r="K14710">
        <v>81.319999999999993</v>
      </c>
      <c r="L14710">
        <v>16.52</v>
      </c>
      <c r="M14710">
        <v>13861</v>
      </c>
      <c r="N14710" t="s">
        <v>604</v>
      </c>
      <c r="O14710">
        <v>250522</v>
      </c>
      <c r="P14710">
        <v>64.8</v>
      </c>
    </row>
    <row r="14711" spans="1:16" x14ac:dyDescent="0.25">
      <c r="A14711" t="s">
        <v>3296</v>
      </c>
      <c r="B14711" t="s">
        <v>2931</v>
      </c>
      <c r="C14711">
        <v>10795</v>
      </c>
      <c r="D14711" t="str">
        <f>"L43205      "</f>
        <v xml:space="preserve">L43205      </v>
      </c>
      <c r="E14711" t="s">
        <v>1241</v>
      </c>
      <c r="F14711" t="s">
        <v>1242</v>
      </c>
      <c r="G14711">
        <v>81.319999999999993</v>
      </c>
      <c r="H14711">
        <v>250821</v>
      </c>
      <c r="I14711">
        <v>4369</v>
      </c>
      <c r="J14711" t="s">
        <v>188</v>
      </c>
      <c r="K14711">
        <v>81.319999999999993</v>
      </c>
      <c r="L14711">
        <v>16.52</v>
      </c>
      <c r="M14711">
        <v>13861</v>
      </c>
      <c r="N14711" t="s">
        <v>604</v>
      </c>
      <c r="O14711">
        <v>250822</v>
      </c>
      <c r="P14711">
        <v>64.8</v>
      </c>
    </row>
    <row r="14712" spans="1:16" x14ac:dyDescent="0.25">
      <c r="A14712" t="s">
        <v>3296</v>
      </c>
      <c r="B14712" t="s">
        <v>2931</v>
      </c>
      <c r="C14712">
        <v>15711</v>
      </c>
      <c r="D14712" t="str">
        <f>"L47032      "</f>
        <v xml:space="preserve">L47032      </v>
      </c>
      <c r="E14712" t="s">
        <v>1241</v>
      </c>
      <c r="F14712" t="s">
        <v>1242</v>
      </c>
      <c r="G14712">
        <v>81.319999999999993</v>
      </c>
      <c r="H14712">
        <v>251120</v>
      </c>
      <c r="I14712">
        <v>4369</v>
      </c>
      <c r="J14712" t="s">
        <v>188</v>
      </c>
      <c r="K14712">
        <v>81.319999999999993</v>
      </c>
      <c r="L14712">
        <v>16.52</v>
      </c>
      <c r="M14712">
        <v>13861</v>
      </c>
      <c r="N14712" t="s">
        <v>604</v>
      </c>
      <c r="O14712">
        <v>251125</v>
      </c>
      <c r="P14712">
        <v>64.8</v>
      </c>
    </row>
    <row r="14713" spans="1:16" x14ac:dyDescent="0.25">
      <c r="A14713" t="s">
        <v>3296</v>
      </c>
      <c r="B14713" t="s">
        <v>2931</v>
      </c>
      <c r="C14713">
        <v>3305</v>
      </c>
      <c r="D14713" t="str">
        <f>"644         "</f>
        <v xml:space="preserve">644         </v>
      </c>
      <c r="E14713" t="s">
        <v>1409</v>
      </c>
      <c r="F14713" t="s">
        <v>1410</v>
      </c>
      <c r="G14713">
        <v>169.72</v>
      </c>
      <c r="H14713">
        <v>250225</v>
      </c>
      <c r="I14713">
        <v>4380</v>
      </c>
      <c r="J14713" t="s">
        <v>211</v>
      </c>
      <c r="K14713">
        <v>169.72</v>
      </c>
      <c r="L14713">
        <v>34.479999999999997</v>
      </c>
      <c r="M14713">
        <v>49501</v>
      </c>
      <c r="N14713" t="s">
        <v>110</v>
      </c>
      <c r="O14713">
        <v>250318</v>
      </c>
      <c r="P14713">
        <v>135.24</v>
      </c>
    </row>
    <row r="14714" spans="1:16" x14ac:dyDescent="0.25">
      <c r="A14714" t="s">
        <v>3296</v>
      </c>
      <c r="B14714" t="s">
        <v>2931</v>
      </c>
      <c r="C14714">
        <v>15154</v>
      </c>
      <c r="D14714" t="str">
        <f>"1021        "</f>
        <v xml:space="preserve">1021        </v>
      </c>
      <c r="E14714" t="s">
        <v>1409</v>
      </c>
      <c r="F14714" t="s">
        <v>1410</v>
      </c>
      <c r="G14714">
        <v>4538.8999999999996</v>
      </c>
      <c r="H14714">
        <v>251013</v>
      </c>
      <c r="I14714">
        <v>4390</v>
      </c>
      <c r="J14714" t="s">
        <v>232</v>
      </c>
      <c r="K14714">
        <v>4538.8999999999996</v>
      </c>
      <c r="L14714">
        <v>922.25</v>
      </c>
      <c r="M14714">
        <v>49501</v>
      </c>
      <c r="N14714" t="s">
        <v>110</v>
      </c>
      <c r="O14714">
        <v>251113</v>
      </c>
      <c r="P14714">
        <v>3616.65</v>
      </c>
    </row>
    <row r="14715" spans="1:16" x14ac:dyDescent="0.25">
      <c r="A14715" t="s">
        <v>3296</v>
      </c>
      <c r="B14715" t="s">
        <v>2931</v>
      </c>
      <c r="C14715">
        <v>18277</v>
      </c>
      <c r="D14715" t="str">
        <f>"1133        "</f>
        <v xml:space="preserve">1133        </v>
      </c>
      <c r="E14715" t="s">
        <v>1409</v>
      </c>
      <c r="F14715" t="s">
        <v>1410</v>
      </c>
      <c r="G14715">
        <v>204</v>
      </c>
      <c r="H14715">
        <v>251229</v>
      </c>
      <c r="I14715">
        <v>4390</v>
      </c>
      <c r="J14715" t="s">
        <v>232</v>
      </c>
      <c r="K14715">
        <v>204</v>
      </c>
      <c r="L14715">
        <v>41.45</v>
      </c>
      <c r="M14715">
        <v>49501</v>
      </c>
      <c r="N14715" t="s">
        <v>110</v>
      </c>
      <c r="O14715">
        <v>260112</v>
      </c>
      <c r="P14715">
        <v>162.55000000000001</v>
      </c>
    </row>
    <row r="14716" spans="1:16" x14ac:dyDescent="0.25">
      <c r="A14716" t="s">
        <v>3296</v>
      </c>
      <c r="B14716" t="s">
        <v>2931</v>
      </c>
      <c r="C14716">
        <v>175</v>
      </c>
      <c r="D14716" t="str">
        <f>"20250043513 "</f>
        <v xml:space="preserve">20250043513 </v>
      </c>
      <c r="E14716" t="s">
        <v>2971</v>
      </c>
      <c r="F14716" t="s">
        <v>2972</v>
      </c>
      <c r="G14716">
        <v>20</v>
      </c>
      <c r="H14716">
        <v>250107</v>
      </c>
      <c r="I14716">
        <v>4460</v>
      </c>
      <c r="J14716" t="s">
        <v>2952</v>
      </c>
      <c r="K14716">
        <v>20</v>
      </c>
      <c r="L14716">
        <v>0</v>
      </c>
      <c r="M14716">
        <v>13501</v>
      </c>
      <c r="N14716" t="s">
        <v>66</v>
      </c>
      <c r="O14716">
        <v>250115</v>
      </c>
      <c r="P14716">
        <v>20</v>
      </c>
    </row>
    <row r="14717" spans="1:16" x14ac:dyDescent="0.25">
      <c r="A14717" t="s">
        <v>3296</v>
      </c>
      <c r="B14717" t="s">
        <v>2931</v>
      </c>
      <c r="C14717">
        <v>6893</v>
      </c>
      <c r="D14717" t="str">
        <f>"10101       "</f>
        <v xml:space="preserve">10101       </v>
      </c>
      <c r="E14717" t="s">
        <v>3088</v>
      </c>
      <c r="F14717" t="s">
        <v>3089</v>
      </c>
      <c r="G14717">
        <v>1845</v>
      </c>
      <c r="H14717">
        <v>250516</v>
      </c>
      <c r="I14717">
        <v>4820</v>
      </c>
      <c r="J14717" t="s">
        <v>169</v>
      </c>
      <c r="K14717">
        <v>1845</v>
      </c>
      <c r="L14717">
        <v>0</v>
      </c>
      <c r="M14717">
        <v>13841</v>
      </c>
      <c r="N14717" t="s">
        <v>178</v>
      </c>
      <c r="O14717">
        <v>250520</v>
      </c>
      <c r="P14717">
        <v>1845</v>
      </c>
    </row>
    <row r="14718" spans="1:16" x14ac:dyDescent="0.25">
      <c r="A14718" t="s">
        <v>3296</v>
      </c>
      <c r="B14718" t="s">
        <v>2931</v>
      </c>
      <c r="C14718">
        <v>16626</v>
      </c>
      <c r="D14718" t="str">
        <f>"10105       "</f>
        <v xml:space="preserve">10105       </v>
      </c>
      <c r="E14718" t="s">
        <v>3088</v>
      </c>
      <c r="F14718" t="s">
        <v>3089</v>
      </c>
      <c r="G14718">
        <v>1249.5999999999999</v>
      </c>
      <c r="H14718">
        <v>251207</v>
      </c>
      <c r="I14718">
        <v>4820</v>
      </c>
      <c r="J14718" t="s">
        <v>169</v>
      </c>
      <c r="K14718">
        <v>1249.5999999999999</v>
      </c>
      <c r="L14718">
        <v>0</v>
      </c>
      <c r="M14718">
        <v>13841</v>
      </c>
      <c r="N14718" t="s">
        <v>178</v>
      </c>
      <c r="O14718">
        <v>251211</v>
      </c>
      <c r="P14718">
        <v>1249.5999999999999</v>
      </c>
    </row>
    <row r="14719" spans="1:16" x14ac:dyDescent="0.25">
      <c r="A14719" t="s">
        <v>3296</v>
      </c>
      <c r="B14719" t="s">
        <v>2931</v>
      </c>
      <c r="C14719">
        <v>2509</v>
      </c>
      <c r="D14719" t="str">
        <f>"1055        "</f>
        <v xml:space="preserve">1055        </v>
      </c>
      <c r="E14719" t="s">
        <v>1296</v>
      </c>
      <c r="F14719" t="s">
        <v>1297</v>
      </c>
      <c r="G14719">
        <v>6118.13</v>
      </c>
      <c r="H14719">
        <v>250301</v>
      </c>
      <c r="I14719">
        <v>4440</v>
      </c>
      <c r="J14719" t="s">
        <v>346</v>
      </c>
      <c r="K14719">
        <v>6118.13</v>
      </c>
      <c r="L14719">
        <v>1243.1300000000001</v>
      </c>
      <c r="M14719">
        <v>18120</v>
      </c>
      <c r="N14719" t="s">
        <v>37</v>
      </c>
      <c r="O14719">
        <v>250303</v>
      </c>
      <c r="P14719">
        <v>4875</v>
      </c>
    </row>
    <row r="14720" spans="1:16" x14ac:dyDescent="0.25">
      <c r="A14720" t="s">
        <v>3296</v>
      </c>
      <c r="B14720" t="s">
        <v>2931</v>
      </c>
      <c r="C14720">
        <v>2511</v>
      </c>
      <c r="D14720" t="str">
        <f>"1054        "</f>
        <v xml:space="preserve">1054        </v>
      </c>
      <c r="E14720" t="s">
        <v>1296</v>
      </c>
      <c r="F14720" t="s">
        <v>1297</v>
      </c>
      <c r="G14720">
        <v>5302.38</v>
      </c>
      <c r="H14720">
        <v>250301</v>
      </c>
      <c r="I14720">
        <v>4440</v>
      </c>
      <c r="J14720" t="s">
        <v>346</v>
      </c>
      <c r="K14720">
        <v>5302.38</v>
      </c>
      <c r="L14720">
        <v>1077.3800000000001</v>
      </c>
      <c r="M14720">
        <v>18120</v>
      </c>
      <c r="N14720" t="s">
        <v>37</v>
      </c>
      <c r="O14720">
        <v>250303</v>
      </c>
      <c r="P14720">
        <v>4225</v>
      </c>
    </row>
    <row r="14721" spans="1:16" x14ac:dyDescent="0.25">
      <c r="A14721" t="s">
        <v>3296</v>
      </c>
      <c r="B14721" t="s">
        <v>2931</v>
      </c>
      <c r="C14721">
        <v>2855</v>
      </c>
      <c r="D14721" t="str">
        <f>"1051        "</f>
        <v xml:space="preserve">1051        </v>
      </c>
      <c r="E14721" t="s">
        <v>1296</v>
      </c>
      <c r="F14721" t="s">
        <v>1297</v>
      </c>
      <c r="G14721">
        <v>8973.25</v>
      </c>
      <c r="H14721">
        <v>250218</v>
      </c>
      <c r="I14721">
        <v>4440</v>
      </c>
      <c r="J14721" t="s">
        <v>346</v>
      </c>
      <c r="K14721">
        <v>8973.25</v>
      </c>
      <c r="L14721">
        <v>1823.25</v>
      </c>
      <c r="M14721">
        <v>18120</v>
      </c>
      <c r="N14721" t="s">
        <v>37</v>
      </c>
      <c r="O14721">
        <v>250312</v>
      </c>
      <c r="P14721">
        <v>7150</v>
      </c>
    </row>
    <row r="14722" spans="1:16" x14ac:dyDescent="0.25">
      <c r="A14722" t="s">
        <v>3296</v>
      </c>
      <c r="B14722" t="s">
        <v>2931</v>
      </c>
      <c r="C14722">
        <v>2858</v>
      </c>
      <c r="D14722" t="str">
        <f>"1052        "</f>
        <v xml:space="preserve">1052        </v>
      </c>
      <c r="E14722" t="s">
        <v>1296</v>
      </c>
      <c r="F14722" t="s">
        <v>1297</v>
      </c>
      <c r="G14722">
        <v>9318.3799999999992</v>
      </c>
      <c r="H14722">
        <v>250218</v>
      </c>
      <c r="I14722">
        <v>4440</v>
      </c>
      <c r="J14722" t="s">
        <v>346</v>
      </c>
      <c r="K14722">
        <v>9318.3799999999992</v>
      </c>
      <c r="L14722">
        <v>1893.38</v>
      </c>
      <c r="M14722">
        <v>18820</v>
      </c>
      <c r="N14722" t="s">
        <v>372</v>
      </c>
      <c r="O14722">
        <v>250312</v>
      </c>
      <c r="P14722">
        <v>7425</v>
      </c>
    </row>
    <row r="14723" spans="1:16" x14ac:dyDescent="0.25">
      <c r="A14723" t="s">
        <v>3296</v>
      </c>
      <c r="B14723" t="s">
        <v>2931</v>
      </c>
      <c r="C14723">
        <v>3303</v>
      </c>
      <c r="D14723" t="str">
        <f>"1056        "</f>
        <v xml:space="preserve">1056        </v>
      </c>
      <c r="E14723" t="s">
        <v>1296</v>
      </c>
      <c r="F14723" t="s">
        <v>1297</v>
      </c>
      <c r="G14723">
        <v>7341.75</v>
      </c>
      <c r="H14723">
        <v>250224</v>
      </c>
      <c r="I14723">
        <v>4440</v>
      </c>
      <c r="J14723" t="s">
        <v>346</v>
      </c>
      <c r="K14723">
        <v>7341.75</v>
      </c>
      <c r="L14723">
        <v>1491.75</v>
      </c>
      <c r="M14723">
        <v>18120</v>
      </c>
      <c r="N14723" t="s">
        <v>37</v>
      </c>
      <c r="O14723">
        <v>250318</v>
      </c>
      <c r="P14723">
        <v>5850</v>
      </c>
    </row>
    <row r="14724" spans="1:16" x14ac:dyDescent="0.25">
      <c r="A14724" t="s">
        <v>3296</v>
      </c>
      <c r="B14724" t="s">
        <v>2931</v>
      </c>
      <c r="C14724">
        <v>3694</v>
      </c>
      <c r="D14724" t="str">
        <f>"1057        "</f>
        <v xml:space="preserve">1057        </v>
      </c>
      <c r="E14724" t="s">
        <v>1296</v>
      </c>
      <c r="F14724" t="s">
        <v>1297</v>
      </c>
      <c r="G14724">
        <v>9789</v>
      </c>
      <c r="H14724">
        <v>250301</v>
      </c>
      <c r="I14724">
        <v>4440</v>
      </c>
      <c r="J14724" t="s">
        <v>346</v>
      </c>
      <c r="K14724">
        <v>9789</v>
      </c>
      <c r="L14724">
        <v>1989</v>
      </c>
      <c r="M14724">
        <v>18120</v>
      </c>
      <c r="N14724" t="s">
        <v>37</v>
      </c>
      <c r="O14724">
        <v>250328</v>
      </c>
      <c r="P14724">
        <v>7800</v>
      </c>
    </row>
    <row r="14725" spans="1:16" x14ac:dyDescent="0.25">
      <c r="A14725" t="s">
        <v>3296</v>
      </c>
      <c r="B14725" t="s">
        <v>2931</v>
      </c>
      <c r="C14725">
        <v>9037</v>
      </c>
      <c r="D14725" t="str">
        <f>"1067        "</f>
        <v xml:space="preserve">1067        </v>
      </c>
      <c r="E14725" t="s">
        <v>1296</v>
      </c>
      <c r="F14725" t="s">
        <v>1297</v>
      </c>
      <c r="G14725">
        <v>11583.65</v>
      </c>
      <c r="H14725">
        <v>250613</v>
      </c>
      <c r="I14725">
        <v>4440</v>
      </c>
      <c r="J14725" t="s">
        <v>346</v>
      </c>
      <c r="K14725">
        <v>11583.65</v>
      </c>
      <c r="L14725">
        <v>2353.65</v>
      </c>
      <c r="M14725">
        <v>18120</v>
      </c>
      <c r="N14725" t="s">
        <v>37</v>
      </c>
      <c r="O14725">
        <v>250626</v>
      </c>
      <c r="P14725">
        <v>9230</v>
      </c>
    </row>
    <row r="14726" spans="1:16" x14ac:dyDescent="0.25">
      <c r="A14726" t="s">
        <v>3296</v>
      </c>
      <c r="B14726" t="s">
        <v>2931</v>
      </c>
      <c r="C14726">
        <v>9067</v>
      </c>
      <c r="D14726" t="str">
        <f>"1063        "</f>
        <v xml:space="preserve">1063        </v>
      </c>
      <c r="E14726" t="s">
        <v>1296</v>
      </c>
      <c r="F14726" t="s">
        <v>1297</v>
      </c>
      <c r="G14726">
        <v>8973.25</v>
      </c>
      <c r="H14726">
        <v>250613</v>
      </c>
      <c r="I14726">
        <v>4440</v>
      </c>
      <c r="J14726" t="s">
        <v>346</v>
      </c>
      <c r="K14726">
        <v>8973.25</v>
      </c>
      <c r="L14726">
        <v>1823.25</v>
      </c>
      <c r="M14726">
        <v>18120</v>
      </c>
      <c r="N14726" t="s">
        <v>37</v>
      </c>
      <c r="O14726">
        <v>250626</v>
      </c>
      <c r="P14726">
        <v>7150</v>
      </c>
    </row>
    <row r="14727" spans="1:16" x14ac:dyDescent="0.25">
      <c r="A14727" t="s">
        <v>3296</v>
      </c>
      <c r="B14727" t="s">
        <v>2931</v>
      </c>
      <c r="C14727">
        <v>9068</v>
      </c>
      <c r="D14727" t="str">
        <f>"1071        "</f>
        <v xml:space="preserve">1071        </v>
      </c>
      <c r="E14727" t="s">
        <v>1296</v>
      </c>
      <c r="F14727" t="s">
        <v>1297</v>
      </c>
      <c r="G14727">
        <v>12518.63</v>
      </c>
      <c r="H14727">
        <v>250613</v>
      </c>
      <c r="I14727">
        <v>4440</v>
      </c>
      <c r="J14727" t="s">
        <v>346</v>
      </c>
      <c r="K14727">
        <v>12518.63</v>
      </c>
      <c r="L14727">
        <v>2543.63</v>
      </c>
      <c r="M14727">
        <v>18820</v>
      </c>
      <c r="N14727" t="s">
        <v>372</v>
      </c>
      <c r="O14727">
        <v>250626</v>
      </c>
      <c r="P14727">
        <v>9975</v>
      </c>
    </row>
    <row r="14728" spans="1:16" x14ac:dyDescent="0.25">
      <c r="A14728" t="s">
        <v>3296</v>
      </c>
      <c r="B14728" t="s">
        <v>2931</v>
      </c>
      <c r="C14728">
        <v>9069</v>
      </c>
      <c r="D14728" t="str">
        <f>"1070        "</f>
        <v xml:space="preserve">1070        </v>
      </c>
      <c r="E14728" t="s">
        <v>1296</v>
      </c>
      <c r="F14728" t="s">
        <v>1297</v>
      </c>
      <c r="G14728">
        <v>7069.8</v>
      </c>
      <c r="H14728">
        <v>250613</v>
      </c>
      <c r="I14728">
        <v>4440</v>
      </c>
      <c r="J14728" t="s">
        <v>346</v>
      </c>
      <c r="K14728">
        <v>7069.8</v>
      </c>
      <c r="L14728">
        <v>1436.49</v>
      </c>
      <c r="M14728">
        <v>18120</v>
      </c>
      <c r="N14728" t="s">
        <v>37</v>
      </c>
      <c r="O14728">
        <v>250626</v>
      </c>
      <c r="P14728">
        <v>5633.31</v>
      </c>
    </row>
    <row r="14729" spans="1:16" x14ac:dyDescent="0.25">
      <c r="A14729" t="s">
        <v>3296</v>
      </c>
      <c r="B14729" t="s">
        <v>2931</v>
      </c>
      <c r="C14729">
        <v>9076</v>
      </c>
      <c r="D14729" t="str">
        <f>"1072        "</f>
        <v xml:space="preserve">1072        </v>
      </c>
      <c r="E14729" t="s">
        <v>1296</v>
      </c>
      <c r="F14729" t="s">
        <v>1297</v>
      </c>
      <c r="G14729">
        <v>1957.8</v>
      </c>
      <c r="H14729">
        <v>250613</v>
      </c>
      <c r="I14729">
        <v>4440</v>
      </c>
      <c r="J14729" t="s">
        <v>346</v>
      </c>
      <c r="K14729">
        <v>1957.8</v>
      </c>
      <c r="L14729">
        <v>397.8</v>
      </c>
      <c r="M14729">
        <v>18120</v>
      </c>
      <c r="N14729" t="s">
        <v>37</v>
      </c>
      <c r="O14729">
        <v>250626</v>
      </c>
      <c r="P14729">
        <v>1560</v>
      </c>
    </row>
    <row r="14730" spans="1:16" x14ac:dyDescent="0.25">
      <c r="A14730" t="s">
        <v>3296</v>
      </c>
      <c r="B14730" t="s">
        <v>2931</v>
      </c>
      <c r="C14730">
        <v>9077</v>
      </c>
      <c r="D14730" t="str">
        <f>"1065        "</f>
        <v xml:space="preserve">1065        </v>
      </c>
      <c r="E14730" t="s">
        <v>1296</v>
      </c>
      <c r="F14730" t="s">
        <v>1297</v>
      </c>
      <c r="G14730">
        <v>5574.34</v>
      </c>
      <c r="H14730">
        <v>250613</v>
      </c>
      <c r="I14730">
        <v>4440</v>
      </c>
      <c r="J14730" t="s">
        <v>346</v>
      </c>
      <c r="K14730">
        <v>5574.34</v>
      </c>
      <c r="L14730">
        <v>1132.6300000000001</v>
      </c>
      <c r="M14730">
        <v>18120</v>
      </c>
      <c r="N14730" t="s">
        <v>37</v>
      </c>
      <c r="O14730">
        <v>250626</v>
      </c>
      <c r="P14730">
        <v>4441.71</v>
      </c>
    </row>
    <row r="14731" spans="1:16" x14ac:dyDescent="0.25">
      <c r="A14731" t="s">
        <v>3296</v>
      </c>
      <c r="B14731" t="s">
        <v>2931</v>
      </c>
      <c r="C14731">
        <v>9092</v>
      </c>
      <c r="D14731" t="str">
        <f>"1064        "</f>
        <v xml:space="preserve">1064        </v>
      </c>
      <c r="E14731" t="s">
        <v>1296</v>
      </c>
      <c r="F14731" t="s">
        <v>1297</v>
      </c>
      <c r="G14731">
        <v>5302.38</v>
      </c>
      <c r="H14731">
        <v>250613</v>
      </c>
      <c r="I14731">
        <v>4440</v>
      </c>
      <c r="J14731" t="s">
        <v>346</v>
      </c>
      <c r="K14731">
        <v>5302.38</v>
      </c>
      <c r="L14731">
        <v>1077.3800000000001</v>
      </c>
      <c r="M14731">
        <v>18120</v>
      </c>
      <c r="N14731" t="s">
        <v>37</v>
      </c>
      <c r="O14731">
        <v>250626</v>
      </c>
      <c r="P14731">
        <v>4225</v>
      </c>
    </row>
    <row r="14732" spans="1:16" x14ac:dyDescent="0.25">
      <c r="A14732" t="s">
        <v>3296</v>
      </c>
      <c r="B14732" t="s">
        <v>2931</v>
      </c>
      <c r="C14732">
        <v>9100</v>
      </c>
      <c r="D14732" t="str">
        <f>"1069        "</f>
        <v xml:space="preserve">1069        </v>
      </c>
      <c r="E14732" t="s">
        <v>1296</v>
      </c>
      <c r="F14732" t="s">
        <v>1297</v>
      </c>
      <c r="G14732">
        <v>172.56</v>
      </c>
      <c r="H14732">
        <v>250613</v>
      </c>
      <c r="I14732">
        <v>4440</v>
      </c>
      <c r="J14732" t="s">
        <v>346</v>
      </c>
      <c r="K14732">
        <v>172.56</v>
      </c>
      <c r="L14732">
        <v>35.06</v>
      </c>
      <c r="M14732">
        <v>18820</v>
      </c>
      <c r="N14732" t="s">
        <v>372</v>
      </c>
      <c r="O14732">
        <v>250626</v>
      </c>
      <c r="P14732">
        <v>137.5</v>
      </c>
    </row>
    <row r="14733" spans="1:16" x14ac:dyDescent="0.25">
      <c r="A14733" t="s">
        <v>3296</v>
      </c>
      <c r="B14733" t="s">
        <v>2931</v>
      </c>
      <c r="C14733">
        <v>12182</v>
      </c>
      <c r="D14733" t="str">
        <f>"1082        "</f>
        <v xml:space="preserve">1082        </v>
      </c>
      <c r="E14733" t="s">
        <v>1296</v>
      </c>
      <c r="F14733" t="s">
        <v>1297</v>
      </c>
      <c r="G14733">
        <v>6526</v>
      </c>
      <c r="H14733">
        <v>250914</v>
      </c>
      <c r="I14733">
        <v>4440</v>
      </c>
      <c r="J14733" t="s">
        <v>346</v>
      </c>
      <c r="K14733">
        <v>6526</v>
      </c>
      <c r="L14733">
        <v>1326</v>
      </c>
      <c r="M14733">
        <v>18120</v>
      </c>
      <c r="N14733" t="s">
        <v>37</v>
      </c>
      <c r="O14733">
        <v>250917</v>
      </c>
      <c r="P14733">
        <v>5200</v>
      </c>
    </row>
    <row r="14734" spans="1:16" x14ac:dyDescent="0.25">
      <c r="A14734" t="s">
        <v>3296</v>
      </c>
      <c r="B14734" t="s">
        <v>2931</v>
      </c>
      <c r="C14734">
        <v>12190</v>
      </c>
      <c r="D14734" t="str">
        <f>"1084        "</f>
        <v xml:space="preserve">1084        </v>
      </c>
      <c r="E14734" t="s">
        <v>1296</v>
      </c>
      <c r="F14734" t="s">
        <v>1297</v>
      </c>
      <c r="G14734">
        <v>12518.63</v>
      </c>
      <c r="H14734">
        <v>250914</v>
      </c>
      <c r="I14734">
        <v>4440</v>
      </c>
      <c r="J14734" t="s">
        <v>346</v>
      </c>
      <c r="K14734">
        <v>12518.63</v>
      </c>
      <c r="L14734">
        <v>2543.63</v>
      </c>
      <c r="M14734">
        <v>18820</v>
      </c>
      <c r="N14734" t="s">
        <v>372</v>
      </c>
      <c r="O14734">
        <v>250917</v>
      </c>
      <c r="P14734">
        <v>9975</v>
      </c>
    </row>
    <row r="14735" spans="1:16" x14ac:dyDescent="0.25">
      <c r="A14735" t="s">
        <v>3296</v>
      </c>
      <c r="B14735" t="s">
        <v>2931</v>
      </c>
      <c r="C14735">
        <v>12191</v>
      </c>
      <c r="D14735" t="str">
        <f>"1081        "</f>
        <v xml:space="preserve">1081        </v>
      </c>
      <c r="E14735" t="s">
        <v>1296</v>
      </c>
      <c r="F14735" t="s">
        <v>1297</v>
      </c>
      <c r="G14735">
        <v>11257.35</v>
      </c>
      <c r="H14735">
        <v>250915</v>
      </c>
      <c r="I14735">
        <v>4440</v>
      </c>
      <c r="J14735" t="s">
        <v>346</v>
      </c>
      <c r="K14735">
        <v>11257.35</v>
      </c>
      <c r="L14735">
        <v>2287.35</v>
      </c>
      <c r="M14735">
        <v>18120</v>
      </c>
      <c r="N14735" t="s">
        <v>37</v>
      </c>
      <c r="O14735">
        <v>250917</v>
      </c>
      <c r="P14735">
        <v>8970</v>
      </c>
    </row>
    <row r="14736" spans="1:16" x14ac:dyDescent="0.25">
      <c r="A14736" t="s">
        <v>3296</v>
      </c>
      <c r="B14736" t="s">
        <v>2931</v>
      </c>
      <c r="C14736">
        <v>12192</v>
      </c>
      <c r="D14736" t="str">
        <f>"1083        "</f>
        <v xml:space="preserve">1083        </v>
      </c>
      <c r="E14736" t="s">
        <v>1296</v>
      </c>
      <c r="F14736" t="s">
        <v>1297</v>
      </c>
      <c r="G14736">
        <v>5302.38</v>
      </c>
      <c r="H14736">
        <v>250914</v>
      </c>
      <c r="I14736">
        <v>4440</v>
      </c>
      <c r="J14736" t="s">
        <v>346</v>
      </c>
      <c r="K14736">
        <v>5302.38</v>
      </c>
      <c r="L14736">
        <v>0</v>
      </c>
      <c r="M14736">
        <v>18120</v>
      </c>
      <c r="N14736" t="s">
        <v>37</v>
      </c>
      <c r="O14736">
        <v>250917</v>
      </c>
      <c r="P14736">
        <v>5302.38</v>
      </c>
    </row>
    <row r="14737" spans="1:16" x14ac:dyDescent="0.25">
      <c r="A14737" t="s">
        <v>3296</v>
      </c>
      <c r="B14737" t="s">
        <v>2931</v>
      </c>
      <c r="C14737">
        <v>12634</v>
      </c>
      <c r="D14737" t="str">
        <f>"1085        "</f>
        <v xml:space="preserve">1085        </v>
      </c>
      <c r="E14737" t="s">
        <v>1296</v>
      </c>
      <c r="F14737" t="s">
        <v>1297</v>
      </c>
      <c r="G14737">
        <v>5809.75</v>
      </c>
      <c r="H14737">
        <v>250918</v>
      </c>
      <c r="I14737">
        <v>4440</v>
      </c>
      <c r="J14737" t="s">
        <v>346</v>
      </c>
      <c r="K14737">
        <v>5809.75</v>
      </c>
      <c r="L14737">
        <v>1180.47</v>
      </c>
      <c r="M14737">
        <v>18120</v>
      </c>
      <c r="N14737" t="s">
        <v>37</v>
      </c>
      <c r="O14737">
        <v>250929</v>
      </c>
      <c r="P14737">
        <v>4629.28</v>
      </c>
    </row>
    <row r="14738" spans="1:16" x14ac:dyDescent="0.25">
      <c r="A14738" t="s">
        <v>3296</v>
      </c>
      <c r="B14738" t="s">
        <v>2931</v>
      </c>
      <c r="C14738">
        <v>13291</v>
      </c>
      <c r="D14738" t="str">
        <f>"1086        "</f>
        <v xml:space="preserve">1086        </v>
      </c>
      <c r="E14738" t="s">
        <v>1296</v>
      </c>
      <c r="F14738" t="s">
        <v>1297</v>
      </c>
      <c r="G14738">
        <v>9036</v>
      </c>
      <c r="H14738">
        <v>250924</v>
      </c>
      <c r="I14738">
        <v>4440</v>
      </c>
      <c r="J14738" t="s">
        <v>346</v>
      </c>
      <c r="K14738">
        <v>9036</v>
      </c>
      <c r="L14738">
        <v>1836</v>
      </c>
      <c r="M14738">
        <v>18820</v>
      </c>
      <c r="N14738" t="s">
        <v>372</v>
      </c>
      <c r="O14738">
        <v>251007</v>
      </c>
      <c r="P14738">
        <v>7200</v>
      </c>
    </row>
    <row r="14739" spans="1:16" x14ac:dyDescent="0.25">
      <c r="A14739" t="s">
        <v>3296</v>
      </c>
      <c r="B14739" t="s">
        <v>2931</v>
      </c>
      <c r="C14739">
        <v>17291</v>
      </c>
      <c r="D14739" t="str">
        <f>"1101        "</f>
        <v xml:space="preserve">1101        </v>
      </c>
      <c r="E14739" t="s">
        <v>1296</v>
      </c>
      <c r="F14739" t="s">
        <v>1297</v>
      </c>
      <c r="G14739">
        <v>10278.450000000001</v>
      </c>
      <c r="H14739">
        <v>251209</v>
      </c>
      <c r="I14739">
        <v>4440</v>
      </c>
      <c r="J14739" t="s">
        <v>346</v>
      </c>
      <c r="K14739">
        <v>10278.450000000001</v>
      </c>
      <c r="L14739">
        <v>2088.4499999999998</v>
      </c>
      <c r="M14739">
        <v>18120</v>
      </c>
      <c r="N14739" t="s">
        <v>37</v>
      </c>
      <c r="O14739">
        <v>251219</v>
      </c>
      <c r="P14739">
        <v>8190</v>
      </c>
    </row>
    <row r="14740" spans="1:16" x14ac:dyDescent="0.25">
      <c r="A14740" t="s">
        <v>3296</v>
      </c>
      <c r="B14740" t="s">
        <v>2931</v>
      </c>
      <c r="C14740">
        <v>17292</v>
      </c>
      <c r="D14740" t="str">
        <f>"1102        "</f>
        <v xml:space="preserve">1102        </v>
      </c>
      <c r="E14740" t="s">
        <v>1296</v>
      </c>
      <c r="F14740" t="s">
        <v>1297</v>
      </c>
      <c r="G14740">
        <v>5302.38</v>
      </c>
      <c r="H14740">
        <v>251209</v>
      </c>
      <c r="I14740">
        <v>4440</v>
      </c>
      <c r="J14740" t="s">
        <v>346</v>
      </c>
      <c r="K14740">
        <v>5302.38</v>
      </c>
      <c r="L14740">
        <v>1077.3800000000001</v>
      </c>
      <c r="M14740">
        <v>18120</v>
      </c>
      <c r="N14740" t="s">
        <v>37</v>
      </c>
      <c r="O14740">
        <v>251219</v>
      </c>
      <c r="P14740">
        <v>4225</v>
      </c>
    </row>
    <row r="14741" spans="1:16" x14ac:dyDescent="0.25">
      <c r="A14741" t="s">
        <v>3296</v>
      </c>
      <c r="B14741" t="s">
        <v>2931</v>
      </c>
      <c r="C14741">
        <v>17293</v>
      </c>
      <c r="D14741" t="str">
        <f>"1103        "</f>
        <v xml:space="preserve">1103        </v>
      </c>
      <c r="E14741" t="s">
        <v>1296</v>
      </c>
      <c r="F14741" t="s">
        <v>1297</v>
      </c>
      <c r="G14741">
        <v>5809.75</v>
      </c>
      <c r="H14741">
        <v>251209</v>
      </c>
      <c r="I14741">
        <v>4440</v>
      </c>
      <c r="J14741" t="s">
        <v>346</v>
      </c>
      <c r="K14741">
        <v>5809.75</v>
      </c>
      <c r="L14741">
        <v>1180.47</v>
      </c>
      <c r="M14741">
        <v>18120</v>
      </c>
      <c r="N14741" t="s">
        <v>37</v>
      </c>
      <c r="O14741">
        <v>251219</v>
      </c>
      <c r="P14741">
        <v>4629.28</v>
      </c>
    </row>
    <row r="14742" spans="1:16" x14ac:dyDescent="0.25">
      <c r="A14742" t="s">
        <v>3296</v>
      </c>
      <c r="B14742" t="s">
        <v>2931</v>
      </c>
      <c r="C14742">
        <v>17398</v>
      </c>
      <c r="D14742" t="str">
        <f>"1105        "</f>
        <v xml:space="preserve">1105        </v>
      </c>
      <c r="E14742" t="s">
        <v>1296</v>
      </c>
      <c r="F14742" t="s">
        <v>1297</v>
      </c>
      <c r="G14742">
        <v>6526</v>
      </c>
      <c r="H14742">
        <v>251209</v>
      </c>
      <c r="I14742">
        <v>4440</v>
      </c>
      <c r="J14742" t="s">
        <v>346</v>
      </c>
      <c r="K14742">
        <v>6526</v>
      </c>
      <c r="L14742">
        <v>1326</v>
      </c>
      <c r="M14742">
        <v>18120</v>
      </c>
      <c r="N14742" t="s">
        <v>37</v>
      </c>
      <c r="O14742">
        <v>251219</v>
      </c>
      <c r="P14742">
        <v>5200</v>
      </c>
    </row>
    <row r="14743" spans="1:16" x14ac:dyDescent="0.25">
      <c r="A14743" t="s">
        <v>3296</v>
      </c>
      <c r="B14743" t="s">
        <v>2931</v>
      </c>
      <c r="C14743">
        <v>17444</v>
      </c>
      <c r="D14743" t="str">
        <f>"1107        "</f>
        <v xml:space="preserve">1107        </v>
      </c>
      <c r="E14743" t="s">
        <v>1296</v>
      </c>
      <c r="F14743" t="s">
        <v>1297</v>
      </c>
      <c r="G14743">
        <v>6172.86</v>
      </c>
      <c r="H14743">
        <v>251215</v>
      </c>
      <c r="I14743">
        <v>4440</v>
      </c>
      <c r="J14743" t="s">
        <v>346</v>
      </c>
      <c r="K14743">
        <v>6172.86</v>
      </c>
      <c r="L14743">
        <v>1254.25</v>
      </c>
      <c r="M14743">
        <v>18120</v>
      </c>
      <c r="N14743" t="s">
        <v>37</v>
      </c>
      <c r="O14743">
        <v>251219</v>
      </c>
      <c r="P14743">
        <v>4918.6099999999997</v>
      </c>
    </row>
    <row r="14744" spans="1:16" x14ac:dyDescent="0.25">
      <c r="A14744" t="s">
        <v>3296</v>
      </c>
      <c r="B14744" t="s">
        <v>2931</v>
      </c>
      <c r="C14744">
        <v>17522</v>
      </c>
      <c r="D14744" t="str">
        <f>"1100        "</f>
        <v xml:space="preserve">1100        </v>
      </c>
      <c r="E14744" t="s">
        <v>1296</v>
      </c>
      <c r="F14744" t="s">
        <v>1297</v>
      </c>
      <c r="G14744">
        <v>9036</v>
      </c>
      <c r="H14744">
        <v>251208</v>
      </c>
      <c r="I14744">
        <v>4440</v>
      </c>
      <c r="J14744" t="s">
        <v>346</v>
      </c>
      <c r="K14744">
        <v>9036</v>
      </c>
      <c r="L14744">
        <v>1836</v>
      </c>
      <c r="M14744">
        <v>18820</v>
      </c>
      <c r="N14744" t="s">
        <v>372</v>
      </c>
      <c r="O14744">
        <v>251222</v>
      </c>
      <c r="P14744">
        <v>7200</v>
      </c>
    </row>
    <row r="14745" spans="1:16" x14ac:dyDescent="0.25">
      <c r="A14745" t="s">
        <v>3296</v>
      </c>
      <c r="B14745" t="s">
        <v>2931</v>
      </c>
      <c r="C14745">
        <v>17561</v>
      </c>
      <c r="D14745" t="str">
        <f>"1106        "</f>
        <v xml:space="preserve">1106        </v>
      </c>
      <c r="E14745" t="s">
        <v>1296</v>
      </c>
      <c r="F14745" t="s">
        <v>1297</v>
      </c>
      <c r="G14745">
        <v>13836.38</v>
      </c>
      <c r="H14745">
        <v>251209</v>
      </c>
      <c r="I14745">
        <v>4440</v>
      </c>
      <c r="J14745" t="s">
        <v>346</v>
      </c>
      <c r="K14745">
        <v>13836.38</v>
      </c>
      <c r="L14745">
        <v>2811.38</v>
      </c>
      <c r="M14745">
        <v>18820</v>
      </c>
      <c r="N14745" t="s">
        <v>372</v>
      </c>
      <c r="O14745">
        <v>251222</v>
      </c>
      <c r="P14745">
        <v>11025</v>
      </c>
    </row>
    <row r="14746" spans="1:16" x14ac:dyDescent="0.25">
      <c r="A14746" t="s">
        <v>3296</v>
      </c>
      <c r="B14746" t="s">
        <v>2931</v>
      </c>
      <c r="C14746">
        <v>17666</v>
      </c>
      <c r="D14746" t="str">
        <f>"1108        "</f>
        <v xml:space="preserve">1108        </v>
      </c>
      <c r="E14746" t="s">
        <v>1296</v>
      </c>
      <c r="F14746" t="s">
        <v>1297</v>
      </c>
      <c r="G14746">
        <v>12181.03</v>
      </c>
      <c r="H14746">
        <v>251218</v>
      </c>
      <c r="I14746">
        <v>4440</v>
      </c>
      <c r="J14746" t="s">
        <v>346</v>
      </c>
      <c r="K14746">
        <v>12181.03</v>
      </c>
      <c r="L14746">
        <v>2475.0300000000002</v>
      </c>
      <c r="M14746">
        <v>18820</v>
      </c>
      <c r="N14746" t="s">
        <v>372</v>
      </c>
      <c r="O14746">
        <v>251229</v>
      </c>
      <c r="P14746">
        <v>9706</v>
      </c>
    </row>
    <row r="14747" spans="1:16" x14ac:dyDescent="0.25">
      <c r="A14747" t="s">
        <v>3296</v>
      </c>
      <c r="B14747" t="s">
        <v>2931</v>
      </c>
      <c r="C14747">
        <v>5675</v>
      </c>
      <c r="D14747" t="str">
        <f>"7094        "</f>
        <v xml:space="preserve">7094        </v>
      </c>
      <c r="E14747" t="s">
        <v>1777</v>
      </c>
      <c r="F14747" t="s">
        <v>1778</v>
      </c>
      <c r="G14747">
        <v>16.940000000000001</v>
      </c>
      <c r="H14747">
        <v>250423</v>
      </c>
      <c r="I14747">
        <v>4600</v>
      </c>
      <c r="J14747" t="s">
        <v>278</v>
      </c>
      <c r="K14747">
        <v>16.940000000000001</v>
      </c>
      <c r="L14747">
        <v>3.44</v>
      </c>
      <c r="M14747">
        <v>17646</v>
      </c>
      <c r="N14747" t="s">
        <v>848</v>
      </c>
      <c r="O14747">
        <v>250428</v>
      </c>
      <c r="P14747">
        <v>13.5</v>
      </c>
    </row>
    <row r="14748" spans="1:16" x14ac:dyDescent="0.25">
      <c r="A14748" t="s">
        <v>3296</v>
      </c>
      <c r="B14748" t="s">
        <v>2931</v>
      </c>
      <c r="C14748">
        <v>11498</v>
      </c>
      <c r="D14748" t="str">
        <f>"2015688     "</f>
        <v xml:space="preserve">2015688     </v>
      </c>
      <c r="E14748" t="s">
        <v>2279</v>
      </c>
      <c r="F14748" t="s">
        <v>2280</v>
      </c>
      <c r="G14748">
        <v>1249.49</v>
      </c>
      <c r="H14748">
        <v>250831</v>
      </c>
      <c r="I14748">
        <v>4400</v>
      </c>
      <c r="J14748" t="s">
        <v>162</v>
      </c>
      <c r="K14748">
        <v>1249.49</v>
      </c>
      <c r="L14748">
        <v>253.88</v>
      </c>
      <c r="M14748">
        <v>67554</v>
      </c>
      <c r="N14748" t="s">
        <v>317</v>
      </c>
      <c r="O14748">
        <v>250905</v>
      </c>
      <c r="P14748">
        <v>995.61</v>
      </c>
    </row>
    <row r="14749" spans="1:16" x14ac:dyDescent="0.25">
      <c r="A14749" t="s">
        <v>3296</v>
      </c>
      <c r="B14749" t="s">
        <v>2931</v>
      </c>
      <c r="C14749">
        <v>451</v>
      </c>
      <c r="D14749" t="str">
        <f>"30250132    "</f>
        <v xml:space="preserve">30250132    </v>
      </c>
      <c r="E14749" t="s">
        <v>526</v>
      </c>
      <c r="F14749" t="s">
        <v>527</v>
      </c>
      <c r="G14749">
        <v>144.6</v>
      </c>
      <c r="H14749">
        <v>250121</v>
      </c>
      <c r="I14749">
        <v>4420</v>
      </c>
      <c r="J14749" t="s">
        <v>330</v>
      </c>
      <c r="K14749">
        <v>348.82</v>
      </c>
      <c r="L14749">
        <v>29.38</v>
      </c>
      <c r="M14749">
        <v>69804</v>
      </c>
      <c r="N14749" t="s">
        <v>376</v>
      </c>
      <c r="O14749">
        <v>250122</v>
      </c>
      <c r="P14749">
        <v>115.22</v>
      </c>
    </row>
    <row r="14750" spans="1:16" x14ac:dyDescent="0.25">
      <c r="A14750" t="s">
        <v>3296</v>
      </c>
      <c r="B14750" t="s">
        <v>2931</v>
      </c>
      <c r="C14750">
        <v>451</v>
      </c>
      <c r="D14750" t="str">
        <f>"30250132    "</f>
        <v xml:space="preserve">30250132    </v>
      </c>
      <c r="E14750" t="s">
        <v>526</v>
      </c>
      <c r="F14750" t="s">
        <v>527</v>
      </c>
      <c r="G14750">
        <v>144.61000000000001</v>
      </c>
      <c r="H14750">
        <v>250121</v>
      </c>
      <c r="I14750">
        <v>4420</v>
      </c>
      <c r="J14750" t="s">
        <v>330</v>
      </c>
      <c r="K14750">
        <v>348.82</v>
      </c>
      <c r="L14750">
        <v>29.38</v>
      </c>
      <c r="M14750">
        <v>69811</v>
      </c>
      <c r="N14750" t="s">
        <v>230</v>
      </c>
      <c r="O14750">
        <v>250122</v>
      </c>
      <c r="P14750">
        <v>115.23</v>
      </c>
    </row>
    <row r="14751" spans="1:16" x14ac:dyDescent="0.25">
      <c r="A14751" t="s">
        <v>3296</v>
      </c>
      <c r="B14751" t="s">
        <v>2931</v>
      </c>
      <c r="C14751">
        <v>451</v>
      </c>
      <c r="D14751" t="str">
        <f>"30250132    "</f>
        <v xml:space="preserve">30250132    </v>
      </c>
      <c r="E14751" t="s">
        <v>526</v>
      </c>
      <c r="F14751" t="s">
        <v>527</v>
      </c>
      <c r="G14751">
        <v>29.8</v>
      </c>
      <c r="H14751">
        <v>250121</v>
      </c>
      <c r="I14751">
        <v>4470</v>
      </c>
      <c r="J14751" t="s">
        <v>203</v>
      </c>
      <c r="K14751">
        <v>348.82</v>
      </c>
      <c r="L14751">
        <v>6.05</v>
      </c>
      <c r="M14751">
        <v>69804</v>
      </c>
      <c r="N14751" t="s">
        <v>376</v>
      </c>
      <c r="O14751">
        <v>250122</v>
      </c>
      <c r="P14751">
        <v>23.75</v>
      </c>
    </row>
    <row r="14752" spans="1:16" x14ac:dyDescent="0.25">
      <c r="A14752" t="s">
        <v>3296</v>
      </c>
      <c r="B14752" t="s">
        <v>2931</v>
      </c>
      <c r="C14752">
        <v>451</v>
      </c>
      <c r="D14752" t="str">
        <f>"30250132    "</f>
        <v xml:space="preserve">30250132    </v>
      </c>
      <c r="E14752" t="s">
        <v>526</v>
      </c>
      <c r="F14752" t="s">
        <v>527</v>
      </c>
      <c r="G14752">
        <v>29.81</v>
      </c>
      <c r="H14752">
        <v>250121</v>
      </c>
      <c r="I14752">
        <v>4470</v>
      </c>
      <c r="J14752" t="s">
        <v>203</v>
      </c>
      <c r="K14752">
        <v>348.82</v>
      </c>
      <c r="L14752">
        <v>6.06</v>
      </c>
      <c r="M14752">
        <v>69811</v>
      </c>
      <c r="N14752" t="s">
        <v>230</v>
      </c>
      <c r="O14752">
        <v>250122</v>
      </c>
      <c r="P14752">
        <v>23.75</v>
      </c>
    </row>
    <row r="14753" spans="1:16" x14ac:dyDescent="0.25">
      <c r="A14753" t="s">
        <v>3296</v>
      </c>
      <c r="B14753" t="s">
        <v>2931</v>
      </c>
      <c r="C14753">
        <v>1628</v>
      </c>
      <c r="D14753" t="str">
        <f>"149071      "</f>
        <v xml:space="preserve">149071      </v>
      </c>
      <c r="E14753" t="s">
        <v>1059</v>
      </c>
      <c r="F14753" t="s">
        <v>1060</v>
      </c>
      <c r="G14753">
        <v>627.5</v>
      </c>
      <c r="H14753">
        <v>250127</v>
      </c>
      <c r="I14753">
        <v>4367</v>
      </c>
      <c r="J14753" t="s">
        <v>159</v>
      </c>
      <c r="K14753">
        <v>627.5</v>
      </c>
      <c r="L14753">
        <v>127.5</v>
      </c>
      <c r="M14753">
        <v>56559</v>
      </c>
      <c r="N14753" t="s">
        <v>51</v>
      </c>
      <c r="O14753">
        <v>250212</v>
      </c>
      <c r="P14753">
        <v>500</v>
      </c>
    </row>
    <row r="14754" spans="1:16" x14ac:dyDescent="0.25">
      <c r="A14754" t="s">
        <v>3296</v>
      </c>
      <c r="B14754" t="s">
        <v>2931</v>
      </c>
      <c r="C14754">
        <v>248</v>
      </c>
      <c r="D14754" t="str">
        <f>"97839       "</f>
        <v xml:space="preserve">97839       </v>
      </c>
      <c r="E14754" t="s">
        <v>373</v>
      </c>
      <c r="F14754" t="s">
        <v>374</v>
      </c>
      <c r="G14754">
        <v>70.41</v>
      </c>
      <c r="H14754">
        <v>250110</v>
      </c>
      <c r="I14754">
        <v>4520</v>
      </c>
      <c r="J14754" t="s">
        <v>280</v>
      </c>
      <c r="K14754">
        <v>82.84</v>
      </c>
      <c r="L14754">
        <v>8.65</v>
      </c>
      <c r="M14754">
        <v>69113</v>
      </c>
      <c r="N14754" t="s">
        <v>122</v>
      </c>
      <c r="O14754">
        <v>250120</v>
      </c>
      <c r="P14754">
        <v>61.76</v>
      </c>
    </row>
    <row r="14755" spans="1:16" x14ac:dyDescent="0.25">
      <c r="A14755" t="s">
        <v>3296</v>
      </c>
      <c r="B14755" t="s">
        <v>2931</v>
      </c>
      <c r="C14755">
        <v>248</v>
      </c>
      <c r="D14755" t="str">
        <f>"97839       "</f>
        <v xml:space="preserve">97839       </v>
      </c>
      <c r="E14755" t="s">
        <v>373</v>
      </c>
      <c r="F14755" t="s">
        <v>374</v>
      </c>
      <c r="G14755">
        <v>8.2799999999999994</v>
      </c>
      <c r="H14755">
        <v>250110</v>
      </c>
      <c r="I14755">
        <v>4520</v>
      </c>
      <c r="J14755" t="s">
        <v>280</v>
      </c>
      <c r="K14755">
        <v>82.84</v>
      </c>
      <c r="L14755">
        <v>1.02</v>
      </c>
      <c r="M14755">
        <v>69802</v>
      </c>
      <c r="N14755" t="s">
        <v>375</v>
      </c>
      <c r="O14755">
        <v>250120</v>
      </c>
      <c r="P14755">
        <v>7.26</v>
      </c>
    </row>
    <row r="14756" spans="1:16" x14ac:dyDescent="0.25">
      <c r="A14756" t="s">
        <v>3296</v>
      </c>
      <c r="B14756" t="s">
        <v>2931</v>
      </c>
      <c r="C14756">
        <v>248</v>
      </c>
      <c r="D14756" t="str">
        <f>"97839       "</f>
        <v xml:space="preserve">97839       </v>
      </c>
      <c r="E14756" t="s">
        <v>373</v>
      </c>
      <c r="F14756" t="s">
        <v>374</v>
      </c>
      <c r="G14756">
        <v>4.1500000000000004</v>
      </c>
      <c r="H14756">
        <v>250110</v>
      </c>
      <c r="I14756">
        <v>4520</v>
      </c>
      <c r="J14756" t="s">
        <v>280</v>
      </c>
      <c r="K14756">
        <v>82.84</v>
      </c>
      <c r="L14756">
        <v>0.51</v>
      </c>
      <c r="M14756">
        <v>69804</v>
      </c>
      <c r="N14756" t="s">
        <v>376</v>
      </c>
      <c r="O14756">
        <v>250120</v>
      </c>
      <c r="P14756">
        <v>3.64</v>
      </c>
    </row>
    <row r="14757" spans="1:16" x14ac:dyDescent="0.25">
      <c r="A14757" t="s">
        <v>3296</v>
      </c>
      <c r="B14757" t="s">
        <v>2931</v>
      </c>
      <c r="C14757">
        <v>658</v>
      </c>
      <c r="D14757" t="str">
        <f>"97972       "</f>
        <v xml:space="preserve">97972       </v>
      </c>
      <c r="E14757" t="s">
        <v>373</v>
      </c>
      <c r="F14757" t="s">
        <v>374</v>
      </c>
      <c r="G14757">
        <v>55.88</v>
      </c>
      <c r="H14757">
        <v>250120</v>
      </c>
      <c r="I14757">
        <v>4520</v>
      </c>
      <c r="J14757" t="s">
        <v>280</v>
      </c>
      <c r="K14757">
        <v>65.739999999999995</v>
      </c>
      <c r="L14757">
        <v>6.86</v>
      </c>
      <c r="M14757">
        <v>69113</v>
      </c>
      <c r="N14757" t="s">
        <v>122</v>
      </c>
      <c r="O14757">
        <v>250127</v>
      </c>
      <c r="P14757">
        <v>49.02</v>
      </c>
    </row>
    <row r="14758" spans="1:16" x14ac:dyDescent="0.25">
      <c r="A14758" t="s">
        <v>3296</v>
      </c>
      <c r="B14758" t="s">
        <v>2931</v>
      </c>
      <c r="C14758">
        <v>658</v>
      </c>
      <c r="D14758" t="str">
        <f>"97972       "</f>
        <v xml:space="preserve">97972       </v>
      </c>
      <c r="E14758" t="s">
        <v>373</v>
      </c>
      <c r="F14758" t="s">
        <v>374</v>
      </c>
      <c r="G14758">
        <v>6.57</v>
      </c>
      <c r="H14758">
        <v>250120</v>
      </c>
      <c r="I14758">
        <v>4520</v>
      </c>
      <c r="J14758" t="s">
        <v>280</v>
      </c>
      <c r="K14758">
        <v>65.739999999999995</v>
      </c>
      <c r="L14758">
        <v>0.81</v>
      </c>
      <c r="M14758">
        <v>69802</v>
      </c>
      <c r="N14758" t="s">
        <v>375</v>
      </c>
      <c r="O14758">
        <v>250127</v>
      </c>
      <c r="P14758">
        <v>5.76</v>
      </c>
    </row>
    <row r="14759" spans="1:16" x14ac:dyDescent="0.25">
      <c r="A14759" t="s">
        <v>3296</v>
      </c>
      <c r="B14759" t="s">
        <v>2931</v>
      </c>
      <c r="C14759">
        <v>658</v>
      </c>
      <c r="D14759" t="str">
        <f>"97972       "</f>
        <v xml:space="preserve">97972       </v>
      </c>
      <c r="E14759" t="s">
        <v>373</v>
      </c>
      <c r="F14759" t="s">
        <v>374</v>
      </c>
      <c r="G14759">
        <v>3.29</v>
      </c>
      <c r="H14759">
        <v>250120</v>
      </c>
      <c r="I14759">
        <v>4520</v>
      </c>
      <c r="J14759" t="s">
        <v>280</v>
      </c>
      <c r="K14759">
        <v>65.739999999999995</v>
      </c>
      <c r="L14759">
        <v>0.4</v>
      </c>
      <c r="M14759">
        <v>69804</v>
      </c>
      <c r="N14759" t="s">
        <v>376</v>
      </c>
      <c r="O14759">
        <v>250127</v>
      </c>
      <c r="P14759">
        <v>2.89</v>
      </c>
    </row>
    <row r="14760" spans="1:16" x14ac:dyDescent="0.25">
      <c r="A14760" t="s">
        <v>3296</v>
      </c>
      <c r="B14760" t="s">
        <v>2931</v>
      </c>
      <c r="C14760">
        <v>1776</v>
      </c>
      <c r="D14760" t="str">
        <f>"98394       "</f>
        <v xml:space="preserve">98394       </v>
      </c>
      <c r="E14760" t="s">
        <v>373</v>
      </c>
      <c r="F14760" t="s">
        <v>374</v>
      </c>
      <c r="G14760">
        <v>105.08</v>
      </c>
      <c r="H14760">
        <v>250210</v>
      </c>
      <c r="I14760">
        <v>4520</v>
      </c>
      <c r="J14760" t="s">
        <v>280</v>
      </c>
      <c r="K14760">
        <v>123.62</v>
      </c>
      <c r="L14760">
        <v>12.9</v>
      </c>
      <c r="M14760">
        <v>69113</v>
      </c>
      <c r="N14760" t="s">
        <v>122</v>
      </c>
      <c r="O14760">
        <v>250213</v>
      </c>
      <c r="P14760">
        <v>92.18</v>
      </c>
    </row>
    <row r="14761" spans="1:16" x14ac:dyDescent="0.25">
      <c r="A14761" t="s">
        <v>3296</v>
      </c>
      <c r="B14761" t="s">
        <v>2931</v>
      </c>
      <c r="C14761">
        <v>1776</v>
      </c>
      <c r="D14761" t="str">
        <f>"98394       "</f>
        <v xml:space="preserve">98394       </v>
      </c>
      <c r="E14761" t="s">
        <v>373</v>
      </c>
      <c r="F14761" t="s">
        <v>374</v>
      </c>
      <c r="G14761">
        <v>12.36</v>
      </c>
      <c r="H14761">
        <v>250210</v>
      </c>
      <c r="I14761">
        <v>4520</v>
      </c>
      <c r="J14761" t="s">
        <v>280</v>
      </c>
      <c r="K14761">
        <v>123.62</v>
      </c>
      <c r="L14761">
        <v>1.52</v>
      </c>
      <c r="M14761">
        <v>69802</v>
      </c>
      <c r="N14761" t="s">
        <v>375</v>
      </c>
      <c r="O14761">
        <v>250213</v>
      </c>
      <c r="P14761">
        <v>10.84</v>
      </c>
    </row>
    <row r="14762" spans="1:16" x14ac:dyDescent="0.25">
      <c r="A14762" t="s">
        <v>3296</v>
      </c>
      <c r="B14762" t="s">
        <v>2931</v>
      </c>
      <c r="C14762">
        <v>1776</v>
      </c>
      <c r="D14762" t="str">
        <f>"98394       "</f>
        <v xml:space="preserve">98394       </v>
      </c>
      <c r="E14762" t="s">
        <v>373</v>
      </c>
      <c r="F14762" t="s">
        <v>374</v>
      </c>
      <c r="G14762">
        <v>6.18</v>
      </c>
      <c r="H14762">
        <v>250210</v>
      </c>
      <c r="I14762">
        <v>4520</v>
      </c>
      <c r="J14762" t="s">
        <v>280</v>
      </c>
      <c r="K14762">
        <v>123.62</v>
      </c>
      <c r="L14762">
        <v>0.76</v>
      </c>
      <c r="M14762">
        <v>69804</v>
      </c>
      <c r="N14762" t="s">
        <v>376</v>
      </c>
      <c r="O14762">
        <v>250213</v>
      </c>
      <c r="P14762">
        <v>5.42</v>
      </c>
    </row>
    <row r="14763" spans="1:16" x14ac:dyDescent="0.25">
      <c r="A14763" t="s">
        <v>3296</v>
      </c>
      <c r="B14763" t="s">
        <v>2931</v>
      </c>
      <c r="C14763">
        <v>2340</v>
      </c>
      <c r="D14763" t="str">
        <f>"98539       "</f>
        <v xml:space="preserve">98539       </v>
      </c>
      <c r="E14763" t="s">
        <v>373</v>
      </c>
      <c r="F14763" t="s">
        <v>374</v>
      </c>
      <c r="G14763">
        <v>55.11</v>
      </c>
      <c r="H14763">
        <v>250220</v>
      </c>
      <c r="I14763">
        <v>4520</v>
      </c>
      <c r="J14763" t="s">
        <v>280</v>
      </c>
      <c r="K14763">
        <v>64.83</v>
      </c>
      <c r="L14763">
        <v>6.77</v>
      </c>
      <c r="M14763">
        <v>69113</v>
      </c>
      <c r="N14763" t="s">
        <v>122</v>
      </c>
      <c r="O14763">
        <v>250224</v>
      </c>
      <c r="P14763">
        <v>48.34</v>
      </c>
    </row>
    <row r="14764" spans="1:16" x14ac:dyDescent="0.25">
      <c r="A14764" t="s">
        <v>3296</v>
      </c>
      <c r="B14764" t="s">
        <v>2931</v>
      </c>
      <c r="C14764">
        <v>2340</v>
      </c>
      <c r="D14764" t="str">
        <f>"98539       "</f>
        <v xml:space="preserve">98539       </v>
      </c>
      <c r="E14764" t="s">
        <v>373</v>
      </c>
      <c r="F14764" t="s">
        <v>374</v>
      </c>
      <c r="G14764">
        <v>6.48</v>
      </c>
      <c r="H14764">
        <v>250220</v>
      </c>
      <c r="I14764">
        <v>4520</v>
      </c>
      <c r="J14764" t="s">
        <v>280</v>
      </c>
      <c r="K14764">
        <v>64.83</v>
      </c>
      <c r="L14764">
        <v>0.8</v>
      </c>
      <c r="M14764">
        <v>69802</v>
      </c>
      <c r="N14764" t="s">
        <v>375</v>
      </c>
      <c r="O14764">
        <v>250224</v>
      </c>
      <c r="P14764">
        <v>5.68</v>
      </c>
    </row>
    <row r="14765" spans="1:16" x14ac:dyDescent="0.25">
      <c r="A14765" t="s">
        <v>3296</v>
      </c>
      <c r="B14765" t="s">
        <v>2931</v>
      </c>
      <c r="C14765">
        <v>2340</v>
      </c>
      <c r="D14765" t="str">
        <f>"98539       "</f>
        <v xml:space="preserve">98539       </v>
      </c>
      <c r="E14765" t="s">
        <v>373</v>
      </c>
      <c r="F14765" t="s">
        <v>374</v>
      </c>
      <c r="G14765">
        <v>3.24</v>
      </c>
      <c r="H14765">
        <v>250220</v>
      </c>
      <c r="I14765">
        <v>4520</v>
      </c>
      <c r="J14765" t="s">
        <v>280</v>
      </c>
      <c r="K14765">
        <v>64.83</v>
      </c>
      <c r="L14765">
        <v>0.4</v>
      </c>
      <c r="M14765">
        <v>69804</v>
      </c>
      <c r="N14765" t="s">
        <v>376</v>
      </c>
      <c r="O14765">
        <v>250224</v>
      </c>
      <c r="P14765">
        <v>2.84</v>
      </c>
    </row>
    <row r="14766" spans="1:16" x14ac:dyDescent="0.25">
      <c r="A14766" t="s">
        <v>3296</v>
      </c>
      <c r="B14766" t="s">
        <v>2931</v>
      </c>
      <c r="C14766">
        <v>3480</v>
      </c>
      <c r="D14766" t="str">
        <f>"98889       "</f>
        <v xml:space="preserve">98889       </v>
      </c>
      <c r="E14766" t="s">
        <v>373</v>
      </c>
      <c r="F14766" t="s">
        <v>374</v>
      </c>
      <c r="G14766">
        <v>87</v>
      </c>
      <c r="H14766">
        <v>250310</v>
      </c>
      <c r="I14766">
        <v>4520</v>
      </c>
      <c r="J14766" t="s">
        <v>280</v>
      </c>
      <c r="K14766">
        <v>102.36</v>
      </c>
      <c r="L14766">
        <v>10.68</v>
      </c>
      <c r="M14766">
        <v>69113</v>
      </c>
      <c r="N14766" t="s">
        <v>122</v>
      </c>
      <c r="O14766">
        <v>250324</v>
      </c>
      <c r="P14766">
        <v>76.319999999999993</v>
      </c>
    </row>
    <row r="14767" spans="1:16" x14ac:dyDescent="0.25">
      <c r="A14767" t="s">
        <v>3296</v>
      </c>
      <c r="B14767" t="s">
        <v>2931</v>
      </c>
      <c r="C14767">
        <v>3480</v>
      </c>
      <c r="D14767" t="str">
        <f>"98889       "</f>
        <v xml:space="preserve">98889       </v>
      </c>
      <c r="E14767" t="s">
        <v>373</v>
      </c>
      <c r="F14767" t="s">
        <v>374</v>
      </c>
      <c r="G14767">
        <v>10.24</v>
      </c>
      <c r="H14767">
        <v>250310</v>
      </c>
      <c r="I14767">
        <v>4520</v>
      </c>
      <c r="J14767" t="s">
        <v>280</v>
      </c>
      <c r="K14767">
        <v>102.36</v>
      </c>
      <c r="L14767">
        <v>1.26</v>
      </c>
      <c r="M14767">
        <v>69802</v>
      </c>
      <c r="N14767" t="s">
        <v>375</v>
      </c>
      <c r="O14767">
        <v>250324</v>
      </c>
      <c r="P14767">
        <v>8.98</v>
      </c>
    </row>
    <row r="14768" spans="1:16" x14ac:dyDescent="0.25">
      <c r="A14768" t="s">
        <v>3296</v>
      </c>
      <c r="B14768" t="s">
        <v>2931</v>
      </c>
      <c r="C14768">
        <v>3480</v>
      </c>
      <c r="D14768" t="str">
        <f>"98889       "</f>
        <v xml:space="preserve">98889       </v>
      </c>
      <c r="E14768" t="s">
        <v>373</v>
      </c>
      <c r="F14768" t="s">
        <v>374</v>
      </c>
      <c r="G14768">
        <v>5.12</v>
      </c>
      <c r="H14768">
        <v>250310</v>
      </c>
      <c r="I14768">
        <v>4520</v>
      </c>
      <c r="J14768" t="s">
        <v>280</v>
      </c>
      <c r="K14768">
        <v>102.36</v>
      </c>
      <c r="L14768">
        <v>0.63</v>
      </c>
      <c r="M14768">
        <v>69804</v>
      </c>
      <c r="N14768" t="s">
        <v>376</v>
      </c>
      <c r="O14768">
        <v>250324</v>
      </c>
      <c r="P14768">
        <v>4.49</v>
      </c>
    </row>
    <row r="14769" spans="1:16" x14ac:dyDescent="0.25">
      <c r="A14769" t="s">
        <v>3296</v>
      </c>
      <c r="B14769" t="s">
        <v>2931</v>
      </c>
      <c r="C14769">
        <v>3881</v>
      </c>
      <c r="D14769" t="str">
        <f>"99031       "</f>
        <v xml:space="preserve">99031       </v>
      </c>
      <c r="E14769" t="s">
        <v>373</v>
      </c>
      <c r="F14769" t="s">
        <v>374</v>
      </c>
      <c r="G14769">
        <v>60.27</v>
      </c>
      <c r="H14769">
        <v>250320</v>
      </c>
      <c r="I14769">
        <v>4520</v>
      </c>
      <c r="J14769" t="s">
        <v>280</v>
      </c>
      <c r="K14769">
        <v>70.91</v>
      </c>
      <c r="L14769">
        <v>7.4</v>
      </c>
      <c r="M14769">
        <v>69113</v>
      </c>
      <c r="N14769" t="s">
        <v>122</v>
      </c>
      <c r="O14769">
        <v>250403</v>
      </c>
      <c r="P14769">
        <v>52.87</v>
      </c>
    </row>
    <row r="14770" spans="1:16" x14ac:dyDescent="0.25">
      <c r="A14770" t="s">
        <v>3296</v>
      </c>
      <c r="B14770" t="s">
        <v>2931</v>
      </c>
      <c r="C14770">
        <v>3881</v>
      </c>
      <c r="D14770" t="str">
        <f>"99031       "</f>
        <v xml:space="preserve">99031       </v>
      </c>
      <c r="E14770" t="s">
        <v>373</v>
      </c>
      <c r="F14770" t="s">
        <v>374</v>
      </c>
      <c r="G14770">
        <v>7.09</v>
      </c>
      <c r="H14770">
        <v>250320</v>
      </c>
      <c r="I14770">
        <v>4520</v>
      </c>
      <c r="J14770" t="s">
        <v>280</v>
      </c>
      <c r="K14770">
        <v>70.91</v>
      </c>
      <c r="L14770">
        <v>0.87</v>
      </c>
      <c r="M14770">
        <v>69802</v>
      </c>
      <c r="N14770" t="s">
        <v>375</v>
      </c>
      <c r="O14770">
        <v>250403</v>
      </c>
      <c r="P14770">
        <v>6.22</v>
      </c>
    </row>
    <row r="14771" spans="1:16" x14ac:dyDescent="0.25">
      <c r="A14771" t="s">
        <v>3296</v>
      </c>
      <c r="B14771" t="s">
        <v>2931</v>
      </c>
      <c r="C14771">
        <v>3881</v>
      </c>
      <c r="D14771" t="str">
        <f>"99031       "</f>
        <v xml:space="preserve">99031       </v>
      </c>
      <c r="E14771" t="s">
        <v>373</v>
      </c>
      <c r="F14771" t="s">
        <v>374</v>
      </c>
      <c r="G14771">
        <v>3.55</v>
      </c>
      <c r="H14771">
        <v>250320</v>
      </c>
      <c r="I14771">
        <v>4520</v>
      </c>
      <c r="J14771" t="s">
        <v>280</v>
      </c>
      <c r="K14771">
        <v>70.91</v>
      </c>
      <c r="L14771">
        <v>0.44</v>
      </c>
      <c r="M14771">
        <v>69804</v>
      </c>
      <c r="N14771" t="s">
        <v>376</v>
      </c>
      <c r="O14771">
        <v>250403</v>
      </c>
      <c r="P14771">
        <v>3.11</v>
      </c>
    </row>
    <row r="14772" spans="1:16" x14ac:dyDescent="0.25">
      <c r="A14772" t="s">
        <v>3296</v>
      </c>
      <c r="B14772" t="s">
        <v>2931</v>
      </c>
      <c r="C14772">
        <v>4394</v>
      </c>
      <c r="D14772" t="str">
        <f>"99141       "</f>
        <v xml:space="preserve">99141       </v>
      </c>
      <c r="E14772" t="s">
        <v>373</v>
      </c>
      <c r="F14772" t="s">
        <v>374</v>
      </c>
      <c r="G14772">
        <v>56.98</v>
      </c>
      <c r="H14772">
        <v>250331</v>
      </c>
      <c r="I14772">
        <v>4520</v>
      </c>
      <c r="J14772" t="s">
        <v>280</v>
      </c>
      <c r="K14772">
        <v>67.040000000000006</v>
      </c>
      <c r="L14772">
        <v>7</v>
      </c>
      <c r="M14772">
        <v>69113</v>
      </c>
      <c r="N14772" t="s">
        <v>122</v>
      </c>
      <c r="O14772">
        <v>250411</v>
      </c>
      <c r="P14772">
        <v>49.98</v>
      </c>
    </row>
    <row r="14773" spans="1:16" x14ac:dyDescent="0.25">
      <c r="A14773" t="s">
        <v>3296</v>
      </c>
      <c r="B14773" t="s">
        <v>2931</v>
      </c>
      <c r="C14773">
        <v>4394</v>
      </c>
      <c r="D14773" t="str">
        <f>"99141       "</f>
        <v xml:space="preserve">99141       </v>
      </c>
      <c r="E14773" t="s">
        <v>373</v>
      </c>
      <c r="F14773" t="s">
        <v>374</v>
      </c>
      <c r="G14773">
        <v>6.7</v>
      </c>
      <c r="H14773">
        <v>250331</v>
      </c>
      <c r="I14773">
        <v>4520</v>
      </c>
      <c r="J14773" t="s">
        <v>280</v>
      </c>
      <c r="K14773">
        <v>67.040000000000006</v>
      </c>
      <c r="L14773">
        <v>0.82</v>
      </c>
      <c r="M14773">
        <v>69802</v>
      </c>
      <c r="N14773" t="s">
        <v>375</v>
      </c>
      <c r="O14773">
        <v>250411</v>
      </c>
      <c r="P14773">
        <v>5.88</v>
      </c>
    </row>
    <row r="14774" spans="1:16" x14ac:dyDescent="0.25">
      <c r="A14774" t="s">
        <v>3296</v>
      </c>
      <c r="B14774" t="s">
        <v>2931</v>
      </c>
      <c r="C14774">
        <v>4394</v>
      </c>
      <c r="D14774" t="str">
        <f>"99141       "</f>
        <v xml:space="preserve">99141       </v>
      </c>
      <c r="E14774" t="s">
        <v>373</v>
      </c>
      <c r="F14774" t="s">
        <v>374</v>
      </c>
      <c r="G14774">
        <v>3.36</v>
      </c>
      <c r="H14774">
        <v>250331</v>
      </c>
      <c r="I14774">
        <v>4520</v>
      </c>
      <c r="J14774" t="s">
        <v>280</v>
      </c>
      <c r="K14774">
        <v>67.040000000000006</v>
      </c>
      <c r="L14774">
        <v>0.41</v>
      </c>
      <c r="M14774">
        <v>69804</v>
      </c>
      <c r="N14774" t="s">
        <v>376</v>
      </c>
      <c r="O14774">
        <v>250411</v>
      </c>
      <c r="P14774">
        <v>2.95</v>
      </c>
    </row>
    <row r="14775" spans="1:16" x14ac:dyDescent="0.25">
      <c r="A14775" t="s">
        <v>3296</v>
      </c>
      <c r="B14775" t="s">
        <v>2931</v>
      </c>
      <c r="C14775">
        <v>5290</v>
      </c>
      <c r="D14775" t="str">
        <f>"99411       "</f>
        <v xml:space="preserve">99411       </v>
      </c>
      <c r="E14775" t="s">
        <v>373</v>
      </c>
      <c r="F14775" t="s">
        <v>374</v>
      </c>
      <c r="G14775">
        <v>60.99</v>
      </c>
      <c r="H14775">
        <v>250410</v>
      </c>
      <c r="I14775">
        <v>4520</v>
      </c>
      <c r="J14775" t="s">
        <v>280</v>
      </c>
      <c r="K14775">
        <v>71.75</v>
      </c>
      <c r="L14775">
        <v>7.49</v>
      </c>
      <c r="M14775">
        <v>69113</v>
      </c>
      <c r="N14775" t="s">
        <v>122</v>
      </c>
      <c r="O14775">
        <v>250423</v>
      </c>
      <c r="P14775">
        <v>53.5</v>
      </c>
    </row>
    <row r="14776" spans="1:16" x14ac:dyDescent="0.25">
      <c r="A14776" t="s">
        <v>3296</v>
      </c>
      <c r="B14776" t="s">
        <v>2931</v>
      </c>
      <c r="C14776">
        <v>5290</v>
      </c>
      <c r="D14776" t="str">
        <f>"99411       "</f>
        <v xml:space="preserve">99411       </v>
      </c>
      <c r="E14776" t="s">
        <v>373</v>
      </c>
      <c r="F14776" t="s">
        <v>374</v>
      </c>
      <c r="G14776">
        <v>7.17</v>
      </c>
      <c r="H14776">
        <v>250410</v>
      </c>
      <c r="I14776">
        <v>4520</v>
      </c>
      <c r="J14776" t="s">
        <v>280</v>
      </c>
      <c r="K14776">
        <v>71.75</v>
      </c>
      <c r="L14776">
        <v>0.88</v>
      </c>
      <c r="M14776">
        <v>69802</v>
      </c>
      <c r="N14776" t="s">
        <v>375</v>
      </c>
      <c r="O14776">
        <v>250423</v>
      </c>
      <c r="P14776">
        <v>6.29</v>
      </c>
    </row>
    <row r="14777" spans="1:16" x14ac:dyDescent="0.25">
      <c r="A14777" t="s">
        <v>3296</v>
      </c>
      <c r="B14777" t="s">
        <v>2931</v>
      </c>
      <c r="C14777">
        <v>5290</v>
      </c>
      <c r="D14777" t="str">
        <f>"99411       "</f>
        <v xml:space="preserve">99411       </v>
      </c>
      <c r="E14777" t="s">
        <v>373</v>
      </c>
      <c r="F14777" t="s">
        <v>374</v>
      </c>
      <c r="G14777">
        <v>3.59</v>
      </c>
      <c r="H14777">
        <v>250410</v>
      </c>
      <c r="I14777">
        <v>4520</v>
      </c>
      <c r="J14777" t="s">
        <v>280</v>
      </c>
      <c r="K14777">
        <v>71.75</v>
      </c>
      <c r="L14777">
        <v>0.44</v>
      </c>
      <c r="M14777">
        <v>69804</v>
      </c>
      <c r="N14777" t="s">
        <v>376</v>
      </c>
      <c r="O14777">
        <v>250423</v>
      </c>
      <c r="P14777">
        <v>3.15</v>
      </c>
    </row>
    <row r="14778" spans="1:16" x14ac:dyDescent="0.25">
      <c r="A14778" t="s">
        <v>3296</v>
      </c>
      <c r="B14778" t="s">
        <v>2931</v>
      </c>
      <c r="C14778">
        <v>5556</v>
      </c>
      <c r="D14778" t="str">
        <f>"99525       "</f>
        <v xml:space="preserve">99525       </v>
      </c>
      <c r="E14778" t="s">
        <v>373</v>
      </c>
      <c r="F14778" t="s">
        <v>374</v>
      </c>
      <c r="G14778">
        <v>67.62</v>
      </c>
      <c r="H14778">
        <v>250420</v>
      </c>
      <c r="I14778">
        <v>4520</v>
      </c>
      <c r="J14778" t="s">
        <v>280</v>
      </c>
      <c r="K14778">
        <v>79.55</v>
      </c>
      <c r="L14778">
        <v>8.3000000000000007</v>
      </c>
      <c r="M14778">
        <v>69113</v>
      </c>
      <c r="N14778" t="s">
        <v>122</v>
      </c>
      <c r="O14778">
        <v>250425</v>
      </c>
      <c r="P14778">
        <v>59.32</v>
      </c>
    </row>
    <row r="14779" spans="1:16" x14ac:dyDescent="0.25">
      <c r="A14779" t="s">
        <v>3296</v>
      </c>
      <c r="B14779" t="s">
        <v>2931</v>
      </c>
      <c r="C14779">
        <v>5556</v>
      </c>
      <c r="D14779" t="str">
        <f>"99525       "</f>
        <v xml:space="preserve">99525       </v>
      </c>
      <c r="E14779" t="s">
        <v>373</v>
      </c>
      <c r="F14779" t="s">
        <v>374</v>
      </c>
      <c r="G14779">
        <v>7.95</v>
      </c>
      <c r="H14779">
        <v>250420</v>
      </c>
      <c r="I14779">
        <v>4520</v>
      </c>
      <c r="J14779" t="s">
        <v>280</v>
      </c>
      <c r="K14779">
        <v>79.55</v>
      </c>
      <c r="L14779">
        <v>0.98</v>
      </c>
      <c r="M14779">
        <v>69802</v>
      </c>
      <c r="N14779" t="s">
        <v>375</v>
      </c>
      <c r="O14779">
        <v>250425</v>
      </c>
      <c r="P14779">
        <v>6.97</v>
      </c>
    </row>
    <row r="14780" spans="1:16" x14ac:dyDescent="0.25">
      <c r="A14780" t="s">
        <v>3296</v>
      </c>
      <c r="B14780" t="s">
        <v>2931</v>
      </c>
      <c r="C14780">
        <v>5556</v>
      </c>
      <c r="D14780" t="str">
        <f>"99525       "</f>
        <v xml:space="preserve">99525       </v>
      </c>
      <c r="E14780" t="s">
        <v>373</v>
      </c>
      <c r="F14780" t="s">
        <v>374</v>
      </c>
      <c r="G14780">
        <v>3.98</v>
      </c>
      <c r="H14780">
        <v>250420</v>
      </c>
      <c r="I14780">
        <v>4520</v>
      </c>
      <c r="J14780" t="s">
        <v>280</v>
      </c>
      <c r="K14780">
        <v>79.55</v>
      </c>
      <c r="L14780">
        <v>0.49</v>
      </c>
      <c r="M14780">
        <v>69804</v>
      </c>
      <c r="N14780" t="s">
        <v>376</v>
      </c>
      <c r="O14780">
        <v>250425</v>
      </c>
      <c r="P14780">
        <v>3.49</v>
      </c>
    </row>
    <row r="14781" spans="1:16" x14ac:dyDescent="0.25">
      <c r="A14781" t="s">
        <v>3296</v>
      </c>
      <c r="B14781" t="s">
        <v>2931</v>
      </c>
      <c r="C14781">
        <v>6765</v>
      </c>
      <c r="D14781" t="str">
        <f>"99903       "</f>
        <v xml:space="preserve">99903       </v>
      </c>
      <c r="E14781" t="s">
        <v>373</v>
      </c>
      <c r="F14781" t="s">
        <v>374</v>
      </c>
      <c r="G14781">
        <v>68.7</v>
      </c>
      <c r="H14781">
        <v>250510</v>
      </c>
      <c r="I14781">
        <v>4520</v>
      </c>
      <c r="J14781" t="s">
        <v>280</v>
      </c>
      <c r="K14781">
        <v>80.83</v>
      </c>
      <c r="L14781">
        <v>8.44</v>
      </c>
      <c r="M14781">
        <v>69113</v>
      </c>
      <c r="N14781" t="s">
        <v>122</v>
      </c>
      <c r="O14781">
        <v>250516</v>
      </c>
      <c r="P14781">
        <v>60.26</v>
      </c>
    </row>
    <row r="14782" spans="1:16" x14ac:dyDescent="0.25">
      <c r="A14782" t="s">
        <v>3296</v>
      </c>
      <c r="B14782" t="s">
        <v>2931</v>
      </c>
      <c r="C14782">
        <v>6765</v>
      </c>
      <c r="D14782" t="str">
        <f>"99903       "</f>
        <v xml:space="preserve">99903       </v>
      </c>
      <c r="E14782" t="s">
        <v>373</v>
      </c>
      <c r="F14782" t="s">
        <v>374</v>
      </c>
      <c r="G14782">
        <v>8.08</v>
      </c>
      <c r="H14782">
        <v>250510</v>
      </c>
      <c r="I14782">
        <v>4520</v>
      </c>
      <c r="J14782" t="s">
        <v>280</v>
      </c>
      <c r="K14782">
        <v>80.83</v>
      </c>
      <c r="L14782">
        <v>0.99</v>
      </c>
      <c r="M14782">
        <v>69802</v>
      </c>
      <c r="N14782" t="s">
        <v>375</v>
      </c>
      <c r="O14782">
        <v>250516</v>
      </c>
      <c r="P14782">
        <v>7.09</v>
      </c>
    </row>
    <row r="14783" spans="1:16" x14ac:dyDescent="0.25">
      <c r="A14783" t="s">
        <v>3296</v>
      </c>
      <c r="B14783" t="s">
        <v>2931</v>
      </c>
      <c r="C14783">
        <v>6765</v>
      </c>
      <c r="D14783" t="str">
        <f>"99903       "</f>
        <v xml:space="preserve">99903       </v>
      </c>
      <c r="E14783" t="s">
        <v>373</v>
      </c>
      <c r="F14783" t="s">
        <v>374</v>
      </c>
      <c r="G14783">
        <v>4.05</v>
      </c>
      <c r="H14783">
        <v>250510</v>
      </c>
      <c r="I14783">
        <v>4520</v>
      </c>
      <c r="J14783" t="s">
        <v>280</v>
      </c>
      <c r="K14783">
        <v>80.83</v>
      </c>
      <c r="L14783">
        <v>0.5</v>
      </c>
      <c r="M14783">
        <v>69804</v>
      </c>
      <c r="N14783" t="s">
        <v>376</v>
      </c>
      <c r="O14783">
        <v>250516</v>
      </c>
      <c r="P14783">
        <v>3.55</v>
      </c>
    </row>
    <row r="14784" spans="1:16" x14ac:dyDescent="0.25">
      <c r="A14784" t="s">
        <v>3296</v>
      </c>
      <c r="B14784" t="s">
        <v>2931</v>
      </c>
      <c r="C14784">
        <v>10282</v>
      </c>
      <c r="D14784" t="str">
        <f>"101237      "</f>
        <v xml:space="preserve">101237      </v>
      </c>
      <c r="E14784" t="s">
        <v>373</v>
      </c>
      <c r="F14784" t="s">
        <v>374</v>
      </c>
      <c r="G14784">
        <v>71.989999999999995</v>
      </c>
      <c r="H14784">
        <v>250810</v>
      </c>
      <c r="I14784">
        <v>4520</v>
      </c>
      <c r="J14784" t="s">
        <v>280</v>
      </c>
      <c r="K14784">
        <v>84.69</v>
      </c>
      <c r="L14784">
        <v>8.84</v>
      </c>
      <c r="M14784">
        <v>69113</v>
      </c>
      <c r="N14784" t="s">
        <v>122</v>
      </c>
      <c r="O14784">
        <v>250813</v>
      </c>
      <c r="P14784">
        <v>63.15</v>
      </c>
    </row>
    <row r="14785" spans="1:16" x14ac:dyDescent="0.25">
      <c r="A14785" t="s">
        <v>3296</v>
      </c>
      <c r="B14785" t="s">
        <v>2931</v>
      </c>
      <c r="C14785">
        <v>10282</v>
      </c>
      <c r="D14785" t="str">
        <f>"101237      "</f>
        <v xml:space="preserve">101237      </v>
      </c>
      <c r="E14785" t="s">
        <v>373</v>
      </c>
      <c r="F14785" t="s">
        <v>374</v>
      </c>
      <c r="G14785">
        <v>8.4700000000000006</v>
      </c>
      <c r="H14785">
        <v>250810</v>
      </c>
      <c r="I14785">
        <v>4520</v>
      </c>
      <c r="J14785" t="s">
        <v>280</v>
      </c>
      <c r="K14785">
        <v>84.69</v>
      </c>
      <c r="L14785">
        <v>1.04</v>
      </c>
      <c r="M14785">
        <v>69802</v>
      </c>
      <c r="N14785" t="s">
        <v>375</v>
      </c>
      <c r="O14785">
        <v>250813</v>
      </c>
      <c r="P14785">
        <v>7.43</v>
      </c>
    </row>
    <row r="14786" spans="1:16" x14ac:dyDescent="0.25">
      <c r="A14786" t="s">
        <v>3296</v>
      </c>
      <c r="B14786" t="s">
        <v>2931</v>
      </c>
      <c r="C14786">
        <v>10282</v>
      </c>
      <c r="D14786" t="str">
        <f>"101237      "</f>
        <v xml:space="preserve">101237      </v>
      </c>
      <c r="E14786" t="s">
        <v>373</v>
      </c>
      <c r="F14786" t="s">
        <v>374</v>
      </c>
      <c r="G14786">
        <v>4.2300000000000004</v>
      </c>
      <c r="H14786">
        <v>250810</v>
      </c>
      <c r="I14786">
        <v>4520</v>
      </c>
      <c r="J14786" t="s">
        <v>280</v>
      </c>
      <c r="K14786">
        <v>84.69</v>
      </c>
      <c r="L14786">
        <v>0.52</v>
      </c>
      <c r="M14786">
        <v>69804</v>
      </c>
      <c r="N14786" t="s">
        <v>376</v>
      </c>
      <c r="O14786">
        <v>250813</v>
      </c>
      <c r="P14786">
        <v>3.71</v>
      </c>
    </row>
    <row r="14787" spans="1:16" x14ac:dyDescent="0.25">
      <c r="A14787" t="s">
        <v>3296</v>
      </c>
      <c r="B14787" t="s">
        <v>2931</v>
      </c>
      <c r="C14787">
        <v>10908</v>
      </c>
      <c r="D14787" t="str">
        <f>"101371      "</f>
        <v xml:space="preserve">101371      </v>
      </c>
      <c r="E14787" t="s">
        <v>373</v>
      </c>
      <c r="F14787" t="s">
        <v>374</v>
      </c>
      <c r="G14787">
        <v>37.549999999999997</v>
      </c>
      <c r="H14787">
        <v>250820</v>
      </c>
      <c r="I14787">
        <v>4520</v>
      </c>
      <c r="J14787" t="s">
        <v>280</v>
      </c>
      <c r="K14787">
        <v>44.18</v>
      </c>
      <c r="L14787">
        <v>4.6100000000000003</v>
      </c>
      <c r="M14787">
        <v>69113</v>
      </c>
      <c r="N14787" t="s">
        <v>122</v>
      </c>
      <c r="O14787">
        <v>250827</v>
      </c>
      <c r="P14787">
        <v>32.94</v>
      </c>
    </row>
    <row r="14788" spans="1:16" x14ac:dyDescent="0.25">
      <c r="A14788" t="s">
        <v>3296</v>
      </c>
      <c r="B14788" t="s">
        <v>2931</v>
      </c>
      <c r="C14788">
        <v>10908</v>
      </c>
      <c r="D14788" t="str">
        <f>"101371      "</f>
        <v xml:space="preserve">101371      </v>
      </c>
      <c r="E14788" t="s">
        <v>373</v>
      </c>
      <c r="F14788" t="s">
        <v>374</v>
      </c>
      <c r="G14788">
        <v>4.42</v>
      </c>
      <c r="H14788">
        <v>250820</v>
      </c>
      <c r="I14788">
        <v>4520</v>
      </c>
      <c r="J14788" t="s">
        <v>280</v>
      </c>
      <c r="K14788">
        <v>44.18</v>
      </c>
      <c r="L14788">
        <v>0.54</v>
      </c>
      <c r="M14788">
        <v>69802</v>
      </c>
      <c r="N14788" t="s">
        <v>375</v>
      </c>
      <c r="O14788">
        <v>250827</v>
      </c>
      <c r="P14788">
        <v>3.88</v>
      </c>
    </row>
    <row r="14789" spans="1:16" x14ac:dyDescent="0.25">
      <c r="A14789" t="s">
        <v>3296</v>
      </c>
      <c r="B14789" t="s">
        <v>2931</v>
      </c>
      <c r="C14789">
        <v>10908</v>
      </c>
      <c r="D14789" t="str">
        <f>"101371      "</f>
        <v xml:space="preserve">101371      </v>
      </c>
      <c r="E14789" t="s">
        <v>373</v>
      </c>
      <c r="F14789" t="s">
        <v>374</v>
      </c>
      <c r="G14789">
        <v>2.21</v>
      </c>
      <c r="H14789">
        <v>250820</v>
      </c>
      <c r="I14789">
        <v>4520</v>
      </c>
      <c r="J14789" t="s">
        <v>280</v>
      </c>
      <c r="K14789">
        <v>44.18</v>
      </c>
      <c r="L14789">
        <v>0.27</v>
      </c>
      <c r="M14789">
        <v>69804</v>
      </c>
      <c r="N14789" t="s">
        <v>376</v>
      </c>
      <c r="O14789">
        <v>250827</v>
      </c>
      <c r="P14789">
        <v>1.94</v>
      </c>
    </row>
    <row r="14790" spans="1:16" x14ac:dyDescent="0.25">
      <c r="A14790" t="s">
        <v>3296</v>
      </c>
      <c r="B14790" t="s">
        <v>2931</v>
      </c>
      <c r="C14790">
        <v>11547</v>
      </c>
      <c r="D14790" t="str">
        <f>"101481      "</f>
        <v xml:space="preserve">101481      </v>
      </c>
      <c r="E14790" t="s">
        <v>373</v>
      </c>
      <c r="F14790" t="s">
        <v>374</v>
      </c>
      <c r="G14790">
        <v>50.85</v>
      </c>
      <c r="H14790">
        <v>250831</v>
      </c>
      <c r="I14790">
        <v>4520</v>
      </c>
      <c r="J14790" t="s">
        <v>280</v>
      </c>
      <c r="K14790">
        <v>59.82</v>
      </c>
      <c r="L14790">
        <v>6.24</v>
      </c>
      <c r="M14790">
        <v>69113</v>
      </c>
      <c r="N14790" t="s">
        <v>122</v>
      </c>
      <c r="O14790">
        <v>250908</v>
      </c>
      <c r="P14790">
        <v>44.61</v>
      </c>
    </row>
    <row r="14791" spans="1:16" x14ac:dyDescent="0.25">
      <c r="A14791" t="s">
        <v>3296</v>
      </c>
      <c r="B14791" t="s">
        <v>2931</v>
      </c>
      <c r="C14791">
        <v>11547</v>
      </c>
      <c r="D14791" t="str">
        <f>"101481      "</f>
        <v xml:space="preserve">101481      </v>
      </c>
      <c r="E14791" t="s">
        <v>373</v>
      </c>
      <c r="F14791" t="s">
        <v>374</v>
      </c>
      <c r="G14791">
        <v>5.98</v>
      </c>
      <c r="H14791">
        <v>250831</v>
      </c>
      <c r="I14791">
        <v>4520</v>
      </c>
      <c r="J14791" t="s">
        <v>280</v>
      </c>
      <c r="K14791">
        <v>59.82</v>
      </c>
      <c r="L14791">
        <v>0.73</v>
      </c>
      <c r="M14791">
        <v>69802</v>
      </c>
      <c r="N14791" t="s">
        <v>375</v>
      </c>
      <c r="O14791">
        <v>250908</v>
      </c>
      <c r="P14791">
        <v>5.25</v>
      </c>
    </row>
    <row r="14792" spans="1:16" x14ac:dyDescent="0.25">
      <c r="A14792" t="s">
        <v>3296</v>
      </c>
      <c r="B14792" t="s">
        <v>2931</v>
      </c>
      <c r="C14792">
        <v>11547</v>
      </c>
      <c r="D14792" t="str">
        <f>"101481      "</f>
        <v xml:space="preserve">101481      </v>
      </c>
      <c r="E14792" t="s">
        <v>373</v>
      </c>
      <c r="F14792" t="s">
        <v>374</v>
      </c>
      <c r="G14792">
        <v>2.99</v>
      </c>
      <c r="H14792">
        <v>250831</v>
      </c>
      <c r="I14792">
        <v>4520</v>
      </c>
      <c r="J14792" t="s">
        <v>280</v>
      </c>
      <c r="K14792">
        <v>59.82</v>
      </c>
      <c r="L14792">
        <v>0.37</v>
      </c>
      <c r="M14792">
        <v>69804</v>
      </c>
      <c r="N14792" t="s">
        <v>376</v>
      </c>
      <c r="O14792">
        <v>250908</v>
      </c>
      <c r="P14792">
        <v>2.62</v>
      </c>
    </row>
    <row r="14793" spans="1:16" x14ac:dyDescent="0.25">
      <c r="A14793" t="s">
        <v>3296</v>
      </c>
      <c r="B14793" t="s">
        <v>2931</v>
      </c>
      <c r="C14793">
        <v>12457</v>
      </c>
      <c r="D14793" t="str">
        <f>"101744      "</f>
        <v xml:space="preserve">101744      </v>
      </c>
      <c r="E14793" t="s">
        <v>373</v>
      </c>
      <c r="F14793" t="s">
        <v>374</v>
      </c>
      <c r="G14793">
        <v>58.42</v>
      </c>
      <c r="H14793">
        <v>250910</v>
      </c>
      <c r="I14793">
        <v>4520</v>
      </c>
      <c r="J14793" t="s">
        <v>280</v>
      </c>
      <c r="K14793">
        <v>68.73</v>
      </c>
      <c r="L14793">
        <v>7.17</v>
      </c>
      <c r="M14793">
        <v>69113</v>
      </c>
      <c r="N14793" t="s">
        <v>122</v>
      </c>
      <c r="O14793">
        <v>250923</v>
      </c>
      <c r="P14793">
        <v>51.25</v>
      </c>
    </row>
    <row r="14794" spans="1:16" x14ac:dyDescent="0.25">
      <c r="A14794" t="s">
        <v>3296</v>
      </c>
      <c r="B14794" t="s">
        <v>2931</v>
      </c>
      <c r="C14794">
        <v>12457</v>
      </c>
      <c r="D14794" t="str">
        <f>"101744      "</f>
        <v xml:space="preserve">101744      </v>
      </c>
      <c r="E14794" t="s">
        <v>373</v>
      </c>
      <c r="F14794" t="s">
        <v>374</v>
      </c>
      <c r="G14794">
        <v>6.87</v>
      </c>
      <c r="H14794">
        <v>250910</v>
      </c>
      <c r="I14794">
        <v>4520</v>
      </c>
      <c r="J14794" t="s">
        <v>280</v>
      </c>
      <c r="K14794">
        <v>68.73</v>
      </c>
      <c r="L14794">
        <v>0.84</v>
      </c>
      <c r="M14794">
        <v>69802</v>
      </c>
      <c r="N14794" t="s">
        <v>375</v>
      </c>
      <c r="O14794">
        <v>250923</v>
      </c>
      <c r="P14794">
        <v>6.03</v>
      </c>
    </row>
    <row r="14795" spans="1:16" x14ac:dyDescent="0.25">
      <c r="A14795" t="s">
        <v>3296</v>
      </c>
      <c r="B14795" t="s">
        <v>2931</v>
      </c>
      <c r="C14795">
        <v>12457</v>
      </c>
      <c r="D14795" t="str">
        <f>"101744      "</f>
        <v xml:space="preserve">101744      </v>
      </c>
      <c r="E14795" t="s">
        <v>373</v>
      </c>
      <c r="F14795" t="s">
        <v>374</v>
      </c>
      <c r="G14795">
        <v>3.44</v>
      </c>
      <c r="H14795">
        <v>250910</v>
      </c>
      <c r="I14795">
        <v>4520</v>
      </c>
      <c r="J14795" t="s">
        <v>280</v>
      </c>
      <c r="K14795">
        <v>68.73</v>
      </c>
      <c r="L14795">
        <v>0.42</v>
      </c>
      <c r="M14795">
        <v>69804</v>
      </c>
      <c r="N14795" t="s">
        <v>376</v>
      </c>
      <c r="O14795">
        <v>250923</v>
      </c>
      <c r="P14795">
        <v>3.02</v>
      </c>
    </row>
    <row r="14796" spans="1:16" x14ac:dyDescent="0.25">
      <c r="A14796" t="s">
        <v>3296</v>
      </c>
      <c r="B14796" t="s">
        <v>2931</v>
      </c>
      <c r="C14796">
        <v>12710</v>
      </c>
      <c r="D14796" t="str">
        <f>"101861      "</f>
        <v xml:space="preserve">101861      </v>
      </c>
      <c r="E14796" t="s">
        <v>373</v>
      </c>
      <c r="F14796" t="s">
        <v>374</v>
      </c>
      <c r="G14796">
        <v>58.84</v>
      </c>
      <c r="H14796">
        <v>250920</v>
      </c>
      <c r="I14796">
        <v>4520</v>
      </c>
      <c r="J14796" t="s">
        <v>280</v>
      </c>
      <c r="K14796">
        <v>69.22</v>
      </c>
      <c r="L14796">
        <v>7.23</v>
      </c>
      <c r="M14796">
        <v>69113</v>
      </c>
      <c r="N14796" t="s">
        <v>122</v>
      </c>
      <c r="O14796">
        <v>250929</v>
      </c>
      <c r="P14796">
        <v>51.61</v>
      </c>
    </row>
    <row r="14797" spans="1:16" x14ac:dyDescent="0.25">
      <c r="A14797" t="s">
        <v>3296</v>
      </c>
      <c r="B14797" t="s">
        <v>2931</v>
      </c>
      <c r="C14797">
        <v>12710</v>
      </c>
      <c r="D14797" t="str">
        <f>"101861      "</f>
        <v xml:space="preserve">101861      </v>
      </c>
      <c r="E14797" t="s">
        <v>373</v>
      </c>
      <c r="F14797" t="s">
        <v>374</v>
      </c>
      <c r="G14797">
        <v>6.92</v>
      </c>
      <c r="H14797">
        <v>250920</v>
      </c>
      <c r="I14797">
        <v>4520</v>
      </c>
      <c r="J14797" t="s">
        <v>280</v>
      </c>
      <c r="K14797">
        <v>69.22</v>
      </c>
      <c r="L14797">
        <v>0.85</v>
      </c>
      <c r="M14797">
        <v>69802</v>
      </c>
      <c r="N14797" t="s">
        <v>375</v>
      </c>
      <c r="O14797">
        <v>250929</v>
      </c>
      <c r="P14797">
        <v>6.07</v>
      </c>
    </row>
    <row r="14798" spans="1:16" x14ac:dyDescent="0.25">
      <c r="A14798" t="s">
        <v>3296</v>
      </c>
      <c r="B14798" t="s">
        <v>2931</v>
      </c>
      <c r="C14798">
        <v>12710</v>
      </c>
      <c r="D14798" t="str">
        <f>"101861      "</f>
        <v xml:space="preserve">101861      </v>
      </c>
      <c r="E14798" t="s">
        <v>373</v>
      </c>
      <c r="F14798" t="s">
        <v>374</v>
      </c>
      <c r="G14798">
        <v>3.46</v>
      </c>
      <c r="H14798">
        <v>250920</v>
      </c>
      <c r="I14798">
        <v>4520</v>
      </c>
      <c r="J14798" t="s">
        <v>280</v>
      </c>
      <c r="K14798">
        <v>69.22</v>
      </c>
      <c r="L14798">
        <v>0.42</v>
      </c>
      <c r="M14798">
        <v>69804</v>
      </c>
      <c r="N14798" t="s">
        <v>376</v>
      </c>
      <c r="O14798">
        <v>250929</v>
      </c>
      <c r="P14798">
        <v>3.04</v>
      </c>
    </row>
    <row r="14799" spans="1:16" x14ac:dyDescent="0.25">
      <c r="A14799" t="s">
        <v>3296</v>
      </c>
      <c r="B14799" t="s">
        <v>2931</v>
      </c>
      <c r="C14799">
        <v>13417</v>
      </c>
      <c r="D14799" t="str">
        <f>"101978      "</f>
        <v xml:space="preserve">101978      </v>
      </c>
      <c r="E14799" t="s">
        <v>373</v>
      </c>
      <c r="F14799" t="s">
        <v>374</v>
      </c>
      <c r="G14799">
        <v>136.59</v>
      </c>
      <c r="H14799">
        <v>250930</v>
      </c>
      <c r="I14799">
        <v>4520</v>
      </c>
      <c r="J14799" t="s">
        <v>280</v>
      </c>
      <c r="K14799">
        <v>160.69</v>
      </c>
      <c r="L14799">
        <v>16.77</v>
      </c>
      <c r="M14799">
        <v>69113</v>
      </c>
      <c r="N14799" t="s">
        <v>122</v>
      </c>
      <c r="O14799">
        <v>251009</v>
      </c>
      <c r="P14799">
        <v>119.82</v>
      </c>
    </row>
    <row r="14800" spans="1:16" x14ac:dyDescent="0.25">
      <c r="A14800" t="s">
        <v>3296</v>
      </c>
      <c r="B14800" t="s">
        <v>2931</v>
      </c>
      <c r="C14800">
        <v>13417</v>
      </c>
      <c r="D14800" t="str">
        <f>"101978      "</f>
        <v xml:space="preserve">101978      </v>
      </c>
      <c r="E14800" t="s">
        <v>373</v>
      </c>
      <c r="F14800" t="s">
        <v>374</v>
      </c>
      <c r="G14800">
        <v>16.07</v>
      </c>
      <c r="H14800">
        <v>250930</v>
      </c>
      <c r="I14800">
        <v>4520</v>
      </c>
      <c r="J14800" t="s">
        <v>280</v>
      </c>
      <c r="K14800">
        <v>160.69</v>
      </c>
      <c r="L14800">
        <v>1.97</v>
      </c>
      <c r="M14800">
        <v>69802</v>
      </c>
      <c r="N14800" t="s">
        <v>375</v>
      </c>
      <c r="O14800">
        <v>251009</v>
      </c>
      <c r="P14800">
        <v>14.1</v>
      </c>
    </row>
    <row r="14801" spans="1:16" x14ac:dyDescent="0.25">
      <c r="A14801" t="s">
        <v>3296</v>
      </c>
      <c r="B14801" t="s">
        <v>2931</v>
      </c>
      <c r="C14801">
        <v>13417</v>
      </c>
      <c r="D14801" t="str">
        <f>"101978      "</f>
        <v xml:space="preserve">101978      </v>
      </c>
      <c r="E14801" t="s">
        <v>373</v>
      </c>
      <c r="F14801" t="s">
        <v>374</v>
      </c>
      <c r="G14801">
        <v>8.0299999999999994</v>
      </c>
      <c r="H14801">
        <v>250930</v>
      </c>
      <c r="I14801">
        <v>4520</v>
      </c>
      <c r="J14801" t="s">
        <v>280</v>
      </c>
      <c r="K14801">
        <v>160.69</v>
      </c>
      <c r="L14801">
        <v>0.99</v>
      </c>
      <c r="M14801">
        <v>69804</v>
      </c>
      <c r="N14801" t="s">
        <v>376</v>
      </c>
      <c r="O14801">
        <v>251009</v>
      </c>
      <c r="P14801">
        <v>7.04</v>
      </c>
    </row>
    <row r="14802" spans="1:16" x14ac:dyDescent="0.25">
      <c r="A14802" t="s">
        <v>3296</v>
      </c>
      <c r="B14802" t="s">
        <v>2931</v>
      </c>
      <c r="C14802">
        <v>14349</v>
      </c>
      <c r="D14802" t="str">
        <f>"102371      "</f>
        <v xml:space="preserve">102371      </v>
      </c>
      <c r="E14802" t="s">
        <v>373</v>
      </c>
      <c r="F14802" t="s">
        <v>374</v>
      </c>
      <c r="G14802">
        <v>67.97</v>
      </c>
      <c r="H14802">
        <v>251020</v>
      </c>
      <c r="I14802">
        <v>4520</v>
      </c>
      <c r="J14802" t="s">
        <v>280</v>
      </c>
      <c r="K14802">
        <v>79.97</v>
      </c>
      <c r="L14802">
        <v>8.35</v>
      </c>
      <c r="M14802">
        <v>69113</v>
      </c>
      <c r="N14802" t="s">
        <v>122</v>
      </c>
      <c r="O14802">
        <v>251030</v>
      </c>
      <c r="P14802">
        <v>59.62</v>
      </c>
    </row>
    <row r="14803" spans="1:16" x14ac:dyDescent="0.25">
      <c r="A14803" t="s">
        <v>3296</v>
      </c>
      <c r="B14803" t="s">
        <v>2931</v>
      </c>
      <c r="C14803">
        <v>14349</v>
      </c>
      <c r="D14803" t="str">
        <f>"102371      "</f>
        <v xml:space="preserve">102371      </v>
      </c>
      <c r="E14803" t="s">
        <v>373</v>
      </c>
      <c r="F14803" t="s">
        <v>374</v>
      </c>
      <c r="G14803">
        <v>8</v>
      </c>
      <c r="H14803">
        <v>251020</v>
      </c>
      <c r="I14803">
        <v>4520</v>
      </c>
      <c r="J14803" t="s">
        <v>280</v>
      </c>
      <c r="K14803">
        <v>79.97</v>
      </c>
      <c r="L14803">
        <v>0.98</v>
      </c>
      <c r="M14803">
        <v>69802</v>
      </c>
      <c r="N14803" t="s">
        <v>375</v>
      </c>
      <c r="O14803">
        <v>251030</v>
      </c>
      <c r="P14803">
        <v>7.02</v>
      </c>
    </row>
    <row r="14804" spans="1:16" x14ac:dyDescent="0.25">
      <c r="A14804" t="s">
        <v>3296</v>
      </c>
      <c r="B14804" t="s">
        <v>2931</v>
      </c>
      <c r="C14804">
        <v>14349</v>
      </c>
      <c r="D14804" t="str">
        <f>"102371      "</f>
        <v xml:space="preserve">102371      </v>
      </c>
      <c r="E14804" t="s">
        <v>373</v>
      </c>
      <c r="F14804" t="s">
        <v>374</v>
      </c>
      <c r="G14804">
        <v>4</v>
      </c>
      <c r="H14804">
        <v>251020</v>
      </c>
      <c r="I14804">
        <v>4520</v>
      </c>
      <c r="J14804" t="s">
        <v>280</v>
      </c>
      <c r="K14804">
        <v>79.97</v>
      </c>
      <c r="L14804">
        <v>0.49</v>
      </c>
      <c r="M14804">
        <v>69804</v>
      </c>
      <c r="N14804" t="s">
        <v>376</v>
      </c>
      <c r="O14804">
        <v>251030</v>
      </c>
      <c r="P14804">
        <v>3.51</v>
      </c>
    </row>
    <row r="14805" spans="1:16" x14ac:dyDescent="0.25">
      <c r="A14805" t="s">
        <v>3296</v>
      </c>
      <c r="B14805" t="s">
        <v>2931</v>
      </c>
      <c r="C14805">
        <v>15218</v>
      </c>
      <c r="D14805" t="str">
        <f>"102756      "</f>
        <v xml:space="preserve">102756      </v>
      </c>
      <c r="E14805" t="s">
        <v>373</v>
      </c>
      <c r="F14805" t="s">
        <v>374</v>
      </c>
      <c r="G14805">
        <v>-11.24</v>
      </c>
      <c r="H14805">
        <v>251110</v>
      </c>
      <c r="I14805">
        <v>4520</v>
      </c>
      <c r="J14805" t="s">
        <v>280</v>
      </c>
      <c r="K14805">
        <v>-11.24</v>
      </c>
      <c r="L14805">
        <v>-1.38</v>
      </c>
      <c r="M14805">
        <v>69113</v>
      </c>
      <c r="N14805" t="s">
        <v>122</v>
      </c>
      <c r="O14805">
        <v>251114</v>
      </c>
      <c r="P14805">
        <v>-9.86</v>
      </c>
    </row>
    <row r="14806" spans="1:16" x14ac:dyDescent="0.25">
      <c r="A14806" t="s">
        <v>3296</v>
      </c>
      <c r="B14806" t="s">
        <v>2931</v>
      </c>
      <c r="C14806">
        <v>15220</v>
      </c>
      <c r="D14806" t="str">
        <f>"102724      "</f>
        <v xml:space="preserve">102724      </v>
      </c>
      <c r="E14806" t="s">
        <v>373</v>
      </c>
      <c r="F14806" t="s">
        <v>374</v>
      </c>
      <c r="G14806">
        <v>84.38</v>
      </c>
      <c r="H14806">
        <v>251110</v>
      </c>
      <c r="I14806">
        <v>4520</v>
      </c>
      <c r="J14806" t="s">
        <v>280</v>
      </c>
      <c r="K14806">
        <v>99.27</v>
      </c>
      <c r="L14806">
        <v>10.36</v>
      </c>
      <c r="M14806">
        <v>69113</v>
      </c>
      <c r="N14806" t="s">
        <v>122</v>
      </c>
      <c r="O14806">
        <v>251114</v>
      </c>
      <c r="P14806">
        <v>74.02</v>
      </c>
    </row>
    <row r="14807" spans="1:16" x14ac:dyDescent="0.25">
      <c r="A14807" t="s">
        <v>3296</v>
      </c>
      <c r="B14807" t="s">
        <v>2931</v>
      </c>
      <c r="C14807">
        <v>15220</v>
      </c>
      <c r="D14807" t="str">
        <f>"102724      "</f>
        <v xml:space="preserve">102724      </v>
      </c>
      <c r="E14807" t="s">
        <v>373</v>
      </c>
      <c r="F14807" t="s">
        <v>374</v>
      </c>
      <c r="G14807">
        <v>9.93</v>
      </c>
      <c r="H14807">
        <v>251110</v>
      </c>
      <c r="I14807">
        <v>4520</v>
      </c>
      <c r="J14807" t="s">
        <v>280</v>
      </c>
      <c r="K14807">
        <v>99.27</v>
      </c>
      <c r="L14807">
        <v>1.22</v>
      </c>
      <c r="M14807">
        <v>69802</v>
      </c>
      <c r="N14807" t="s">
        <v>375</v>
      </c>
      <c r="O14807">
        <v>251114</v>
      </c>
      <c r="P14807">
        <v>8.7100000000000009</v>
      </c>
    </row>
    <row r="14808" spans="1:16" x14ac:dyDescent="0.25">
      <c r="A14808" t="s">
        <v>3296</v>
      </c>
      <c r="B14808" t="s">
        <v>2931</v>
      </c>
      <c r="C14808">
        <v>15220</v>
      </c>
      <c r="D14808" t="str">
        <f>"102724      "</f>
        <v xml:space="preserve">102724      </v>
      </c>
      <c r="E14808" t="s">
        <v>373</v>
      </c>
      <c r="F14808" t="s">
        <v>374</v>
      </c>
      <c r="G14808">
        <v>4.96</v>
      </c>
      <c r="H14808">
        <v>251110</v>
      </c>
      <c r="I14808">
        <v>4520</v>
      </c>
      <c r="J14808" t="s">
        <v>280</v>
      </c>
      <c r="K14808">
        <v>99.27</v>
      </c>
      <c r="L14808">
        <v>0.61</v>
      </c>
      <c r="M14808">
        <v>69804</v>
      </c>
      <c r="N14808" t="s">
        <v>376</v>
      </c>
      <c r="O14808">
        <v>251114</v>
      </c>
      <c r="P14808">
        <v>4.3499999999999996</v>
      </c>
    </row>
    <row r="14809" spans="1:16" x14ac:dyDescent="0.25">
      <c r="A14809" t="s">
        <v>3296</v>
      </c>
      <c r="B14809" t="s">
        <v>2931</v>
      </c>
      <c r="C14809">
        <v>15767</v>
      </c>
      <c r="D14809" t="str">
        <f>"102862      "</f>
        <v xml:space="preserve">102862      </v>
      </c>
      <c r="E14809" t="s">
        <v>373</v>
      </c>
      <c r="F14809" t="s">
        <v>374</v>
      </c>
      <c r="G14809">
        <v>81.28</v>
      </c>
      <c r="H14809">
        <v>251120</v>
      </c>
      <c r="I14809">
        <v>4520</v>
      </c>
      <c r="J14809" t="s">
        <v>280</v>
      </c>
      <c r="K14809">
        <v>95.62</v>
      </c>
      <c r="L14809">
        <v>9.98</v>
      </c>
      <c r="M14809">
        <v>69113</v>
      </c>
      <c r="N14809" t="s">
        <v>122</v>
      </c>
      <c r="O14809">
        <v>251126</v>
      </c>
      <c r="P14809">
        <v>71.3</v>
      </c>
    </row>
    <row r="14810" spans="1:16" x14ac:dyDescent="0.25">
      <c r="A14810" t="s">
        <v>3296</v>
      </c>
      <c r="B14810" t="s">
        <v>2931</v>
      </c>
      <c r="C14810">
        <v>15767</v>
      </c>
      <c r="D14810" t="str">
        <f>"102862      "</f>
        <v xml:space="preserve">102862      </v>
      </c>
      <c r="E14810" t="s">
        <v>373</v>
      </c>
      <c r="F14810" t="s">
        <v>374</v>
      </c>
      <c r="G14810">
        <v>9.56</v>
      </c>
      <c r="H14810">
        <v>251120</v>
      </c>
      <c r="I14810">
        <v>4520</v>
      </c>
      <c r="J14810" t="s">
        <v>280</v>
      </c>
      <c r="K14810">
        <v>95.62</v>
      </c>
      <c r="L14810">
        <v>1.17</v>
      </c>
      <c r="M14810">
        <v>69802</v>
      </c>
      <c r="N14810" t="s">
        <v>375</v>
      </c>
      <c r="O14810">
        <v>251126</v>
      </c>
      <c r="P14810">
        <v>8.39</v>
      </c>
    </row>
    <row r="14811" spans="1:16" x14ac:dyDescent="0.25">
      <c r="A14811" t="s">
        <v>3296</v>
      </c>
      <c r="B14811" t="s">
        <v>2931</v>
      </c>
      <c r="C14811">
        <v>15767</v>
      </c>
      <c r="D14811" t="str">
        <f>"102862      "</f>
        <v xml:space="preserve">102862      </v>
      </c>
      <c r="E14811" t="s">
        <v>373</v>
      </c>
      <c r="F14811" t="s">
        <v>374</v>
      </c>
      <c r="G14811">
        <v>4.78</v>
      </c>
      <c r="H14811">
        <v>251120</v>
      </c>
      <c r="I14811">
        <v>4520</v>
      </c>
      <c r="J14811" t="s">
        <v>280</v>
      </c>
      <c r="K14811">
        <v>95.62</v>
      </c>
      <c r="L14811">
        <v>0.59</v>
      </c>
      <c r="M14811">
        <v>69804</v>
      </c>
      <c r="N14811" t="s">
        <v>376</v>
      </c>
      <c r="O14811">
        <v>251126</v>
      </c>
      <c r="P14811">
        <v>4.1900000000000004</v>
      </c>
    </row>
    <row r="14812" spans="1:16" x14ac:dyDescent="0.25">
      <c r="A14812" t="s">
        <v>3296</v>
      </c>
      <c r="B14812" t="s">
        <v>2931</v>
      </c>
      <c r="C14812">
        <v>16546</v>
      </c>
      <c r="D14812" t="str">
        <f>"102954      "</f>
        <v xml:space="preserve">102954      </v>
      </c>
      <c r="E14812" t="s">
        <v>373</v>
      </c>
      <c r="F14812" t="s">
        <v>374</v>
      </c>
      <c r="G14812">
        <v>62.76</v>
      </c>
      <c r="H14812">
        <v>251130</v>
      </c>
      <c r="I14812">
        <v>4520</v>
      </c>
      <c r="J14812" t="s">
        <v>280</v>
      </c>
      <c r="K14812">
        <v>73.84</v>
      </c>
      <c r="L14812">
        <v>7.71</v>
      </c>
      <c r="M14812">
        <v>69113</v>
      </c>
      <c r="N14812" t="s">
        <v>122</v>
      </c>
      <c r="O14812">
        <v>251210</v>
      </c>
      <c r="P14812">
        <v>55.05</v>
      </c>
    </row>
    <row r="14813" spans="1:16" x14ac:dyDescent="0.25">
      <c r="A14813" t="s">
        <v>3296</v>
      </c>
      <c r="B14813" t="s">
        <v>2931</v>
      </c>
      <c r="C14813">
        <v>16546</v>
      </c>
      <c r="D14813" t="str">
        <f>"102954      "</f>
        <v xml:space="preserve">102954      </v>
      </c>
      <c r="E14813" t="s">
        <v>373</v>
      </c>
      <c r="F14813" t="s">
        <v>374</v>
      </c>
      <c r="G14813">
        <v>7.38</v>
      </c>
      <c r="H14813">
        <v>251130</v>
      </c>
      <c r="I14813">
        <v>4520</v>
      </c>
      <c r="J14813" t="s">
        <v>280</v>
      </c>
      <c r="K14813">
        <v>73.84</v>
      </c>
      <c r="L14813">
        <v>0.91</v>
      </c>
      <c r="M14813">
        <v>69802</v>
      </c>
      <c r="N14813" t="s">
        <v>375</v>
      </c>
      <c r="O14813">
        <v>251210</v>
      </c>
      <c r="P14813">
        <v>6.47</v>
      </c>
    </row>
    <row r="14814" spans="1:16" x14ac:dyDescent="0.25">
      <c r="A14814" t="s">
        <v>3296</v>
      </c>
      <c r="B14814" t="s">
        <v>2931</v>
      </c>
      <c r="C14814">
        <v>16546</v>
      </c>
      <c r="D14814" t="str">
        <f>"102954      "</f>
        <v xml:space="preserve">102954      </v>
      </c>
      <c r="E14814" t="s">
        <v>373</v>
      </c>
      <c r="F14814" t="s">
        <v>374</v>
      </c>
      <c r="G14814">
        <v>3.7</v>
      </c>
      <c r="H14814">
        <v>251130</v>
      </c>
      <c r="I14814">
        <v>4520</v>
      </c>
      <c r="J14814" t="s">
        <v>280</v>
      </c>
      <c r="K14814">
        <v>73.84</v>
      </c>
      <c r="L14814">
        <v>0.45</v>
      </c>
      <c r="M14814">
        <v>69803</v>
      </c>
      <c r="N14814" t="s">
        <v>391</v>
      </c>
      <c r="O14814">
        <v>251210</v>
      </c>
      <c r="P14814">
        <v>3.25</v>
      </c>
    </row>
    <row r="14815" spans="1:16" x14ac:dyDescent="0.25">
      <c r="A14815" t="s">
        <v>3296</v>
      </c>
      <c r="B14815" t="s">
        <v>2931</v>
      </c>
      <c r="C14815">
        <v>17013</v>
      </c>
      <c r="D14815" t="str">
        <f>"103214      "</f>
        <v xml:space="preserve">103214      </v>
      </c>
      <c r="E14815" t="s">
        <v>373</v>
      </c>
      <c r="F14815" t="s">
        <v>374</v>
      </c>
      <c r="G14815">
        <v>51.03</v>
      </c>
      <c r="H14815">
        <v>251210</v>
      </c>
      <c r="I14815">
        <v>4520</v>
      </c>
      <c r="J14815" t="s">
        <v>280</v>
      </c>
      <c r="K14815">
        <v>60.04</v>
      </c>
      <c r="L14815">
        <v>6.27</v>
      </c>
      <c r="M14815">
        <v>69113</v>
      </c>
      <c r="N14815" t="s">
        <v>122</v>
      </c>
      <c r="O14815">
        <v>251216</v>
      </c>
      <c r="P14815">
        <v>44.76</v>
      </c>
    </row>
    <row r="14816" spans="1:16" x14ac:dyDescent="0.25">
      <c r="A14816" t="s">
        <v>3296</v>
      </c>
      <c r="B14816" t="s">
        <v>2931</v>
      </c>
      <c r="C14816">
        <v>17013</v>
      </c>
      <c r="D14816" t="str">
        <f>"103214      "</f>
        <v xml:space="preserve">103214      </v>
      </c>
      <c r="E14816" t="s">
        <v>373</v>
      </c>
      <c r="F14816" t="s">
        <v>374</v>
      </c>
      <c r="G14816">
        <v>6</v>
      </c>
      <c r="H14816">
        <v>251210</v>
      </c>
      <c r="I14816">
        <v>4520</v>
      </c>
      <c r="J14816" t="s">
        <v>280</v>
      </c>
      <c r="K14816">
        <v>60.04</v>
      </c>
      <c r="L14816">
        <v>0.74</v>
      </c>
      <c r="M14816">
        <v>69802</v>
      </c>
      <c r="N14816" t="s">
        <v>375</v>
      </c>
      <c r="O14816">
        <v>251216</v>
      </c>
      <c r="P14816">
        <v>5.26</v>
      </c>
    </row>
    <row r="14817" spans="1:16" x14ac:dyDescent="0.25">
      <c r="A14817" t="s">
        <v>3296</v>
      </c>
      <c r="B14817" t="s">
        <v>2931</v>
      </c>
      <c r="C14817">
        <v>17013</v>
      </c>
      <c r="D14817" t="str">
        <f>"103214      "</f>
        <v xml:space="preserve">103214      </v>
      </c>
      <c r="E14817" t="s">
        <v>373</v>
      </c>
      <c r="F14817" t="s">
        <v>374</v>
      </c>
      <c r="G14817">
        <v>3.01</v>
      </c>
      <c r="H14817">
        <v>251210</v>
      </c>
      <c r="I14817">
        <v>4520</v>
      </c>
      <c r="J14817" t="s">
        <v>280</v>
      </c>
      <c r="K14817">
        <v>60.04</v>
      </c>
      <c r="L14817">
        <v>0.37</v>
      </c>
      <c r="M14817">
        <v>69804</v>
      </c>
      <c r="N14817" t="s">
        <v>376</v>
      </c>
      <c r="O14817">
        <v>251216</v>
      </c>
      <c r="P14817">
        <v>2.64</v>
      </c>
    </row>
    <row r="14818" spans="1:16" x14ac:dyDescent="0.25">
      <c r="A14818" t="s">
        <v>3296</v>
      </c>
      <c r="B14818" t="s">
        <v>2931</v>
      </c>
      <c r="C14818">
        <v>17664</v>
      </c>
      <c r="D14818" t="str">
        <f>"103319      "</f>
        <v xml:space="preserve">103319      </v>
      </c>
      <c r="E14818" t="s">
        <v>373</v>
      </c>
      <c r="F14818" t="s">
        <v>374</v>
      </c>
      <c r="G14818">
        <v>49.99</v>
      </c>
      <c r="H14818">
        <v>251220</v>
      </c>
      <c r="I14818">
        <v>4520</v>
      </c>
      <c r="J14818" t="s">
        <v>280</v>
      </c>
      <c r="K14818">
        <v>55.54</v>
      </c>
      <c r="L14818">
        <v>6.14</v>
      </c>
      <c r="M14818">
        <v>69113</v>
      </c>
      <c r="N14818" t="s">
        <v>122</v>
      </c>
      <c r="O14818">
        <v>251229</v>
      </c>
      <c r="P14818">
        <v>43.85</v>
      </c>
    </row>
    <row r="14819" spans="1:16" x14ac:dyDescent="0.25">
      <c r="A14819" t="s">
        <v>3296</v>
      </c>
      <c r="B14819" t="s">
        <v>2931</v>
      </c>
      <c r="C14819">
        <v>17664</v>
      </c>
      <c r="D14819" t="str">
        <f>"103319      "</f>
        <v xml:space="preserve">103319      </v>
      </c>
      <c r="E14819" t="s">
        <v>373</v>
      </c>
      <c r="F14819" t="s">
        <v>374</v>
      </c>
      <c r="G14819">
        <v>5.55</v>
      </c>
      <c r="H14819">
        <v>251220</v>
      </c>
      <c r="I14819">
        <v>4520</v>
      </c>
      <c r="J14819" t="s">
        <v>280</v>
      </c>
      <c r="K14819">
        <v>55.54</v>
      </c>
      <c r="L14819">
        <v>0.68</v>
      </c>
      <c r="M14819">
        <v>69802</v>
      </c>
      <c r="N14819" t="s">
        <v>375</v>
      </c>
      <c r="O14819">
        <v>251229</v>
      </c>
      <c r="P14819">
        <v>4.87</v>
      </c>
    </row>
    <row r="14820" spans="1:16" x14ac:dyDescent="0.25">
      <c r="A14820" t="s">
        <v>3296</v>
      </c>
      <c r="B14820" t="s">
        <v>2931</v>
      </c>
      <c r="C14820">
        <v>699</v>
      </c>
      <c r="D14820" t="str">
        <f>"2254267     "</f>
        <v xml:space="preserve">2254267     </v>
      </c>
      <c r="E14820" t="s">
        <v>674</v>
      </c>
      <c r="F14820" t="s">
        <v>675</v>
      </c>
      <c r="G14820">
        <v>504.69</v>
      </c>
      <c r="H14820">
        <v>250115</v>
      </c>
      <c r="I14820">
        <v>4400</v>
      </c>
      <c r="J14820" t="s">
        <v>162</v>
      </c>
      <c r="K14820">
        <v>504.69</v>
      </c>
      <c r="L14820">
        <v>102.55</v>
      </c>
      <c r="M14820">
        <v>59113</v>
      </c>
      <c r="N14820" t="s">
        <v>61</v>
      </c>
      <c r="O14820">
        <v>250128</v>
      </c>
      <c r="P14820">
        <v>402.14</v>
      </c>
    </row>
    <row r="14821" spans="1:16" x14ac:dyDescent="0.25">
      <c r="A14821" t="s">
        <v>3296</v>
      </c>
      <c r="B14821" t="s">
        <v>2931</v>
      </c>
      <c r="C14821">
        <v>10110</v>
      </c>
      <c r="D14821" t="str">
        <f>"2258971     "</f>
        <v xml:space="preserve">2258971     </v>
      </c>
      <c r="E14821" t="s">
        <v>674</v>
      </c>
      <c r="F14821" t="s">
        <v>675</v>
      </c>
      <c r="G14821">
        <v>117.17</v>
      </c>
      <c r="H14821">
        <v>250804</v>
      </c>
      <c r="I14821">
        <v>4600</v>
      </c>
      <c r="J14821" t="s">
        <v>278</v>
      </c>
      <c r="K14821">
        <v>117.17</v>
      </c>
      <c r="L14821">
        <v>23.81</v>
      </c>
      <c r="M14821">
        <v>49501</v>
      </c>
      <c r="N14821" t="s">
        <v>110</v>
      </c>
      <c r="O14821">
        <v>250811</v>
      </c>
      <c r="P14821">
        <v>93.36</v>
      </c>
    </row>
    <row r="14822" spans="1:16" x14ac:dyDescent="0.25">
      <c r="A14822" t="s">
        <v>3296</v>
      </c>
      <c r="B14822" t="s">
        <v>2931</v>
      </c>
      <c r="C14822">
        <v>12595</v>
      </c>
      <c r="D14822" t="str">
        <f>"2260359     "</f>
        <v xml:space="preserve">2260359     </v>
      </c>
      <c r="E14822" t="s">
        <v>674</v>
      </c>
      <c r="F14822" t="s">
        <v>675</v>
      </c>
      <c r="G14822">
        <v>83.93</v>
      </c>
      <c r="H14822">
        <v>250917</v>
      </c>
      <c r="I14822">
        <v>4600</v>
      </c>
      <c r="J14822" t="s">
        <v>278</v>
      </c>
      <c r="K14822">
        <v>83.93</v>
      </c>
      <c r="L14822">
        <v>17.05</v>
      </c>
      <c r="M14822">
        <v>49501</v>
      </c>
      <c r="N14822" t="s">
        <v>110</v>
      </c>
      <c r="O14822">
        <v>250926</v>
      </c>
      <c r="P14822">
        <v>66.88</v>
      </c>
    </row>
    <row r="14823" spans="1:16" x14ac:dyDescent="0.25">
      <c r="A14823" t="s">
        <v>3296</v>
      </c>
      <c r="B14823" t="s">
        <v>2931</v>
      </c>
      <c r="C14823">
        <v>1402</v>
      </c>
      <c r="D14823" t="str">
        <f>"0619591057  "</f>
        <v xml:space="preserve">0619591057  </v>
      </c>
      <c r="E14823" t="s">
        <v>974</v>
      </c>
      <c r="F14823" t="s">
        <v>975</v>
      </c>
      <c r="G14823">
        <v>31.05</v>
      </c>
      <c r="H14823">
        <v>250131</v>
      </c>
      <c r="I14823">
        <v>4364</v>
      </c>
      <c r="J14823" t="s">
        <v>470</v>
      </c>
      <c r="K14823">
        <v>125.41</v>
      </c>
      <c r="L14823">
        <v>6.31</v>
      </c>
      <c r="M14823">
        <v>18971</v>
      </c>
      <c r="N14823" t="s">
        <v>38</v>
      </c>
      <c r="O14823">
        <v>250210</v>
      </c>
      <c r="P14823">
        <v>24.74</v>
      </c>
    </row>
    <row r="14824" spans="1:16" x14ac:dyDescent="0.25">
      <c r="A14824" t="s">
        <v>3296</v>
      </c>
      <c r="B14824" t="s">
        <v>2931</v>
      </c>
      <c r="C14824">
        <v>1402</v>
      </c>
      <c r="D14824" t="str">
        <f>"0619591057  "</f>
        <v xml:space="preserve">0619591057  </v>
      </c>
      <c r="E14824" t="s">
        <v>974</v>
      </c>
      <c r="F14824" t="s">
        <v>975</v>
      </c>
      <c r="G14824">
        <v>36.880000000000003</v>
      </c>
      <c r="H14824">
        <v>250131</v>
      </c>
      <c r="I14824">
        <v>4364</v>
      </c>
      <c r="J14824" t="s">
        <v>470</v>
      </c>
      <c r="K14824">
        <v>125.41</v>
      </c>
      <c r="L14824">
        <v>7.49</v>
      </c>
      <c r="M14824">
        <v>49701</v>
      </c>
      <c r="N14824" t="s">
        <v>111</v>
      </c>
      <c r="O14824">
        <v>250210</v>
      </c>
      <c r="P14824">
        <v>29.39</v>
      </c>
    </row>
    <row r="14825" spans="1:16" x14ac:dyDescent="0.25">
      <c r="A14825" t="s">
        <v>3296</v>
      </c>
      <c r="B14825" t="s">
        <v>2931</v>
      </c>
      <c r="C14825">
        <v>1402</v>
      </c>
      <c r="D14825" t="str">
        <f>"0619591057  "</f>
        <v xml:space="preserve">0619591057  </v>
      </c>
      <c r="E14825" t="s">
        <v>974</v>
      </c>
      <c r="F14825" t="s">
        <v>975</v>
      </c>
      <c r="G14825">
        <v>30.12</v>
      </c>
      <c r="H14825">
        <v>250131</v>
      </c>
      <c r="I14825">
        <v>4364</v>
      </c>
      <c r="J14825" t="s">
        <v>470</v>
      </c>
      <c r="K14825">
        <v>125.41</v>
      </c>
      <c r="L14825">
        <v>6.12</v>
      </c>
      <c r="M14825">
        <v>69702</v>
      </c>
      <c r="N14825" t="s">
        <v>124</v>
      </c>
      <c r="O14825">
        <v>250210</v>
      </c>
      <c r="P14825">
        <v>24</v>
      </c>
    </row>
    <row r="14826" spans="1:16" x14ac:dyDescent="0.25">
      <c r="A14826" t="s">
        <v>3296</v>
      </c>
      <c r="B14826" t="s">
        <v>2931</v>
      </c>
      <c r="C14826">
        <v>1402</v>
      </c>
      <c r="D14826" t="str">
        <f>"0619591057  "</f>
        <v xml:space="preserve">0619591057  </v>
      </c>
      <c r="E14826" t="s">
        <v>974</v>
      </c>
      <c r="F14826" t="s">
        <v>975</v>
      </c>
      <c r="G14826">
        <v>27.36</v>
      </c>
      <c r="H14826">
        <v>250131</v>
      </c>
      <c r="I14826">
        <v>4364</v>
      </c>
      <c r="J14826" t="s">
        <v>470</v>
      </c>
      <c r="K14826">
        <v>125.41</v>
      </c>
      <c r="L14826">
        <v>5.56</v>
      </c>
      <c r="M14826">
        <v>69704</v>
      </c>
      <c r="N14826" t="s">
        <v>89</v>
      </c>
      <c r="O14826">
        <v>250210</v>
      </c>
      <c r="P14826">
        <v>21.8</v>
      </c>
    </row>
    <row r="14827" spans="1:16" x14ac:dyDescent="0.25">
      <c r="A14827" t="s">
        <v>3296</v>
      </c>
      <c r="B14827" t="s">
        <v>2931</v>
      </c>
      <c r="C14827">
        <v>2810</v>
      </c>
      <c r="D14827" t="str">
        <f>"0619616253  "</f>
        <v xml:space="preserve">0619616253  </v>
      </c>
      <c r="E14827" t="s">
        <v>974</v>
      </c>
      <c r="F14827" t="s">
        <v>975</v>
      </c>
      <c r="G14827">
        <v>31.05</v>
      </c>
      <c r="H14827">
        <v>250228</v>
      </c>
      <c r="I14827">
        <v>4364</v>
      </c>
      <c r="J14827" t="s">
        <v>470</v>
      </c>
      <c r="K14827">
        <v>122.78</v>
      </c>
      <c r="L14827">
        <v>6.31</v>
      </c>
      <c r="M14827">
        <v>18972</v>
      </c>
      <c r="N14827" t="s">
        <v>39</v>
      </c>
      <c r="O14827">
        <v>250312</v>
      </c>
      <c r="P14827">
        <v>24.74</v>
      </c>
    </row>
    <row r="14828" spans="1:16" x14ac:dyDescent="0.25">
      <c r="A14828" t="s">
        <v>3296</v>
      </c>
      <c r="B14828" t="s">
        <v>2931</v>
      </c>
      <c r="C14828">
        <v>2810</v>
      </c>
      <c r="D14828" t="str">
        <f>"0619616253  "</f>
        <v xml:space="preserve">0619616253  </v>
      </c>
      <c r="E14828" t="s">
        <v>974</v>
      </c>
      <c r="F14828" t="s">
        <v>975</v>
      </c>
      <c r="G14828">
        <v>32.25</v>
      </c>
      <c r="H14828">
        <v>250228</v>
      </c>
      <c r="I14828">
        <v>4364</v>
      </c>
      <c r="J14828" t="s">
        <v>470</v>
      </c>
      <c r="K14828">
        <v>122.78</v>
      </c>
      <c r="L14828">
        <v>6.55</v>
      </c>
      <c r="M14828">
        <v>49701</v>
      </c>
      <c r="N14828" t="s">
        <v>111</v>
      </c>
      <c r="O14828">
        <v>250312</v>
      </c>
      <c r="P14828">
        <v>25.7</v>
      </c>
    </row>
    <row r="14829" spans="1:16" x14ac:dyDescent="0.25">
      <c r="A14829" t="s">
        <v>3296</v>
      </c>
      <c r="B14829" t="s">
        <v>2931</v>
      </c>
      <c r="C14829">
        <v>2810</v>
      </c>
      <c r="D14829" t="str">
        <f>"0619616253  "</f>
        <v xml:space="preserve">0619616253  </v>
      </c>
      <c r="E14829" t="s">
        <v>974</v>
      </c>
      <c r="F14829" t="s">
        <v>975</v>
      </c>
      <c r="G14829">
        <v>32.11</v>
      </c>
      <c r="H14829">
        <v>250228</v>
      </c>
      <c r="I14829">
        <v>4364</v>
      </c>
      <c r="J14829" t="s">
        <v>470</v>
      </c>
      <c r="K14829">
        <v>122.78</v>
      </c>
      <c r="L14829">
        <v>6.52</v>
      </c>
      <c r="M14829">
        <v>69702</v>
      </c>
      <c r="N14829" t="s">
        <v>124</v>
      </c>
      <c r="O14829">
        <v>250312</v>
      </c>
      <c r="P14829">
        <v>25.59</v>
      </c>
    </row>
    <row r="14830" spans="1:16" x14ac:dyDescent="0.25">
      <c r="A14830" t="s">
        <v>3296</v>
      </c>
      <c r="B14830" t="s">
        <v>2931</v>
      </c>
      <c r="C14830">
        <v>2810</v>
      </c>
      <c r="D14830" t="str">
        <f>"0619616253  "</f>
        <v xml:space="preserve">0619616253  </v>
      </c>
      <c r="E14830" t="s">
        <v>974</v>
      </c>
      <c r="F14830" t="s">
        <v>975</v>
      </c>
      <c r="G14830">
        <v>27.37</v>
      </c>
      <c r="H14830">
        <v>250228</v>
      </c>
      <c r="I14830">
        <v>4364</v>
      </c>
      <c r="J14830" t="s">
        <v>470</v>
      </c>
      <c r="K14830">
        <v>122.78</v>
      </c>
      <c r="L14830">
        <v>5.56</v>
      </c>
      <c r="M14830">
        <v>69704</v>
      </c>
      <c r="N14830" t="s">
        <v>89</v>
      </c>
      <c r="O14830">
        <v>250312</v>
      </c>
      <c r="P14830">
        <v>21.81</v>
      </c>
    </row>
    <row r="14831" spans="1:16" x14ac:dyDescent="0.25">
      <c r="A14831" t="s">
        <v>3296</v>
      </c>
      <c r="B14831" t="s">
        <v>2931</v>
      </c>
      <c r="C14831">
        <v>3618</v>
      </c>
      <c r="D14831" t="str">
        <f>"0619626942  "</f>
        <v xml:space="preserve">0619626942  </v>
      </c>
      <c r="E14831" t="s">
        <v>974</v>
      </c>
      <c r="F14831" t="s">
        <v>975</v>
      </c>
      <c r="G14831">
        <v>439.25</v>
      </c>
      <c r="H14831">
        <v>250316</v>
      </c>
      <c r="I14831">
        <v>4364</v>
      </c>
      <c r="J14831" t="s">
        <v>470</v>
      </c>
      <c r="K14831">
        <v>439.25</v>
      </c>
      <c r="L14831">
        <v>89.25</v>
      </c>
      <c r="M14831">
        <v>59701</v>
      </c>
      <c r="N14831" t="s">
        <v>64</v>
      </c>
      <c r="O14831">
        <v>250326</v>
      </c>
      <c r="P14831">
        <v>350</v>
      </c>
    </row>
    <row r="14832" spans="1:16" x14ac:dyDescent="0.25">
      <c r="A14832" t="s">
        <v>3296</v>
      </c>
      <c r="B14832" t="s">
        <v>2931</v>
      </c>
      <c r="C14832">
        <v>4619</v>
      </c>
      <c r="D14832" t="str">
        <f>"0619642005  "</f>
        <v xml:space="preserve">0619642005  </v>
      </c>
      <c r="E14832" t="s">
        <v>974</v>
      </c>
      <c r="F14832" t="s">
        <v>975</v>
      </c>
      <c r="G14832">
        <v>31.05</v>
      </c>
      <c r="H14832">
        <v>250331</v>
      </c>
      <c r="I14832">
        <v>4364</v>
      </c>
      <c r="J14832" t="s">
        <v>470</v>
      </c>
      <c r="K14832">
        <v>118.02</v>
      </c>
      <c r="L14832">
        <v>6.31</v>
      </c>
      <c r="M14832">
        <v>18971</v>
      </c>
      <c r="N14832" t="s">
        <v>38</v>
      </c>
      <c r="O14832">
        <v>250414</v>
      </c>
      <c r="P14832">
        <v>24.74</v>
      </c>
    </row>
    <row r="14833" spans="1:16" x14ac:dyDescent="0.25">
      <c r="A14833" t="s">
        <v>3296</v>
      </c>
      <c r="B14833" t="s">
        <v>2931</v>
      </c>
      <c r="C14833">
        <v>4619</v>
      </c>
      <c r="D14833" t="str">
        <f>"0619642005  "</f>
        <v xml:space="preserve">0619642005  </v>
      </c>
      <c r="E14833" t="s">
        <v>974</v>
      </c>
      <c r="F14833" t="s">
        <v>975</v>
      </c>
      <c r="G14833">
        <v>32.25</v>
      </c>
      <c r="H14833">
        <v>250331</v>
      </c>
      <c r="I14833">
        <v>4364</v>
      </c>
      <c r="J14833" t="s">
        <v>470</v>
      </c>
      <c r="K14833">
        <v>118.02</v>
      </c>
      <c r="L14833">
        <v>6.55</v>
      </c>
      <c r="M14833">
        <v>49701</v>
      </c>
      <c r="N14833" t="s">
        <v>111</v>
      </c>
      <c r="O14833">
        <v>250414</v>
      </c>
      <c r="P14833">
        <v>25.7</v>
      </c>
    </row>
    <row r="14834" spans="1:16" x14ac:dyDescent="0.25">
      <c r="A14834" t="s">
        <v>3296</v>
      </c>
      <c r="B14834" t="s">
        <v>2931</v>
      </c>
      <c r="C14834">
        <v>4619</v>
      </c>
      <c r="D14834" t="str">
        <f>"0619642005  "</f>
        <v xml:space="preserve">0619642005  </v>
      </c>
      <c r="E14834" t="s">
        <v>974</v>
      </c>
      <c r="F14834" t="s">
        <v>975</v>
      </c>
      <c r="G14834">
        <v>27.36</v>
      </c>
      <c r="H14834">
        <v>250331</v>
      </c>
      <c r="I14834">
        <v>4364</v>
      </c>
      <c r="J14834" t="s">
        <v>470</v>
      </c>
      <c r="K14834">
        <v>118.02</v>
      </c>
      <c r="L14834">
        <v>5.56</v>
      </c>
      <c r="M14834">
        <v>69701</v>
      </c>
      <c r="N14834" t="s">
        <v>1030</v>
      </c>
      <c r="O14834">
        <v>250414</v>
      </c>
      <c r="P14834">
        <v>21.8</v>
      </c>
    </row>
    <row r="14835" spans="1:16" x14ac:dyDescent="0.25">
      <c r="A14835" t="s">
        <v>3296</v>
      </c>
      <c r="B14835" t="s">
        <v>2931</v>
      </c>
      <c r="C14835">
        <v>4619</v>
      </c>
      <c r="D14835" t="str">
        <f>"0619642005  "</f>
        <v xml:space="preserve">0619642005  </v>
      </c>
      <c r="E14835" t="s">
        <v>974</v>
      </c>
      <c r="F14835" t="s">
        <v>975</v>
      </c>
      <c r="G14835">
        <v>27.36</v>
      </c>
      <c r="H14835">
        <v>250331</v>
      </c>
      <c r="I14835">
        <v>4364</v>
      </c>
      <c r="J14835" t="s">
        <v>470</v>
      </c>
      <c r="K14835">
        <v>118.02</v>
      </c>
      <c r="L14835">
        <v>5.56</v>
      </c>
      <c r="M14835">
        <v>69703</v>
      </c>
      <c r="N14835" t="s">
        <v>88</v>
      </c>
      <c r="O14835">
        <v>250414</v>
      </c>
      <c r="P14835">
        <v>21.8</v>
      </c>
    </row>
    <row r="14836" spans="1:16" x14ac:dyDescent="0.25">
      <c r="A14836" t="s">
        <v>3296</v>
      </c>
      <c r="B14836" t="s">
        <v>2931</v>
      </c>
      <c r="C14836">
        <v>6012</v>
      </c>
      <c r="D14836" t="str">
        <f>"0619663666  "</f>
        <v xml:space="preserve">0619663666  </v>
      </c>
      <c r="E14836" t="s">
        <v>974</v>
      </c>
      <c r="F14836" t="s">
        <v>975</v>
      </c>
      <c r="G14836">
        <v>31.05</v>
      </c>
      <c r="H14836">
        <v>250430</v>
      </c>
      <c r="I14836">
        <v>4364</v>
      </c>
      <c r="J14836" t="s">
        <v>470</v>
      </c>
      <c r="K14836">
        <v>120.73</v>
      </c>
      <c r="L14836">
        <v>6.31</v>
      </c>
      <c r="M14836">
        <v>18971</v>
      </c>
      <c r="N14836" t="s">
        <v>38</v>
      </c>
      <c r="O14836">
        <v>250508</v>
      </c>
      <c r="P14836">
        <v>24.74</v>
      </c>
    </row>
    <row r="14837" spans="1:16" x14ac:dyDescent="0.25">
      <c r="A14837" t="s">
        <v>3296</v>
      </c>
      <c r="B14837" t="s">
        <v>2931</v>
      </c>
      <c r="C14837">
        <v>6012</v>
      </c>
      <c r="D14837" t="str">
        <f>"0619663666  "</f>
        <v xml:space="preserve">0619663666  </v>
      </c>
      <c r="E14837" t="s">
        <v>974</v>
      </c>
      <c r="F14837" t="s">
        <v>975</v>
      </c>
      <c r="G14837">
        <v>32.25</v>
      </c>
      <c r="H14837">
        <v>250430</v>
      </c>
      <c r="I14837">
        <v>4364</v>
      </c>
      <c r="J14837" t="s">
        <v>470</v>
      </c>
      <c r="K14837">
        <v>120.73</v>
      </c>
      <c r="L14837">
        <v>6.55</v>
      </c>
      <c r="M14837">
        <v>49701</v>
      </c>
      <c r="N14837" t="s">
        <v>111</v>
      </c>
      <c r="O14837">
        <v>250508</v>
      </c>
      <c r="P14837">
        <v>25.7</v>
      </c>
    </row>
    <row r="14838" spans="1:16" x14ac:dyDescent="0.25">
      <c r="A14838" t="s">
        <v>3296</v>
      </c>
      <c r="B14838" t="s">
        <v>2931</v>
      </c>
      <c r="C14838">
        <v>6012</v>
      </c>
      <c r="D14838" t="str">
        <f>"0619663666  "</f>
        <v xml:space="preserve">0619663666  </v>
      </c>
      <c r="E14838" t="s">
        <v>974</v>
      </c>
      <c r="F14838" t="s">
        <v>975</v>
      </c>
      <c r="G14838">
        <v>30.06</v>
      </c>
      <c r="H14838">
        <v>250430</v>
      </c>
      <c r="I14838">
        <v>4364</v>
      </c>
      <c r="J14838" t="s">
        <v>470</v>
      </c>
      <c r="K14838">
        <v>120.73</v>
      </c>
      <c r="L14838">
        <v>6.11</v>
      </c>
      <c r="M14838">
        <v>69702</v>
      </c>
      <c r="N14838" t="s">
        <v>124</v>
      </c>
      <c r="O14838">
        <v>250508</v>
      </c>
      <c r="P14838">
        <v>23.95</v>
      </c>
    </row>
    <row r="14839" spans="1:16" x14ac:dyDescent="0.25">
      <c r="A14839" t="s">
        <v>3296</v>
      </c>
      <c r="B14839" t="s">
        <v>2931</v>
      </c>
      <c r="C14839">
        <v>6012</v>
      </c>
      <c r="D14839" t="str">
        <f>"0619663666  "</f>
        <v xml:space="preserve">0619663666  </v>
      </c>
      <c r="E14839" t="s">
        <v>974</v>
      </c>
      <c r="F14839" t="s">
        <v>975</v>
      </c>
      <c r="G14839">
        <v>27.37</v>
      </c>
      <c r="H14839">
        <v>250430</v>
      </c>
      <c r="I14839">
        <v>4364</v>
      </c>
      <c r="J14839" t="s">
        <v>470</v>
      </c>
      <c r="K14839">
        <v>120.73</v>
      </c>
      <c r="L14839">
        <v>5.56</v>
      </c>
      <c r="M14839">
        <v>69704</v>
      </c>
      <c r="N14839" t="s">
        <v>89</v>
      </c>
      <c r="O14839">
        <v>250508</v>
      </c>
      <c r="P14839">
        <v>21.81</v>
      </c>
    </row>
    <row r="14840" spans="1:16" x14ac:dyDescent="0.25">
      <c r="A14840" t="s">
        <v>3296</v>
      </c>
      <c r="B14840" t="s">
        <v>2931</v>
      </c>
      <c r="C14840">
        <v>7972</v>
      </c>
      <c r="D14840" t="str">
        <f>"0619688568  "</f>
        <v xml:space="preserve">0619688568  </v>
      </c>
      <c r="E14840" t="s">
        <v>974</v>
      </c>
      <c r="F14840" t="s">
        <v>975</v>
      </c>
      <c r="G14840">
        <v>31.05</v>
      </c>
      <c r="H14840">
        <v>250531</v>
      </c>
      <c r="I14840">
        <v>4364</v>
      </c>
      <c r="J14840" t="s">
        <v>470</v>
      </c>
      <c r="K14840">
        <v>118.02</v>
      </c>
      <c r="L14840">
        <v>6.31</v>
      </c>
      <c r="M14840">
        <v>18971</v>
      </c>
      <c r="N14840" t="s">
        <v>38</v>
      </c>
      <c r="O14840">
        <v>250610</v>
      </c>
      <c r="P14840">
        <v>24.74</v>
      </c>
    </row>
    <row r="14841" spans="1:16" x14ac:dyDescent="0.25">
      <c r="A14841" t="s">
        <v>3296</v>
      </c>
      <c r="B14841" t="s">
        <v>2931</v>
      </c>
      <c r="C14841">
        <v>7972</v>
      </c>
      <c r="D14841" t="str">
        <f>"0619688568  "</f>
        <v xml:space="preserve">0619688568  </v>
      </c>
      <c r="E14841" t="s">
        <v>974</v>
      </c>
      <c r="F14841" t="s">
        <v>975</v>
      </c>
      <c r="G14841">
        <v>32.25</v>
      </c>
      <c r="H14841">
        <v>250531</v>
      </c>
      <c r="I14841">
        <v>4364</v>
      </c>
      <c r="J14841" t="s">
        <v>470</v>
      </c>
      <c r="K14841">
        <v>118.02</v>
      </c>
      <c r="L14841">
        <v>6.55</v>
      </c>
      <c r="M14841">
        <v>49701</v>
      </c>
      <c r="N14841" t="s">
        <v>111</v>
      </c>
      <c r="O14841">
        <v>250610</v>
      </c>
      <c r="P14841">
        <v>25.7</v>
      </c>
    </row>
    <row r="14842" spans="1:16" x14ac:dyDescent="0.25">
      <c r="A14842" t="s">
        <v>3296</v>
      </c>
      <c r="B14842" t="s">
        <v>2931</v>
      </c>
      <c r="C14842">
        <v>7972</v>
      </c>
      <c r="D14842" t="str">
        <f>"0619688568  "</f>
        <v xml:space="preserve">0619688568  </v>
      </c>
      <c r="E14842" t="s">
        <v>974</v>
      </c>
      <c r="F14842" t="s">
        <v>975</v>
      </c>
      <c r="G14842">
        <v>27.36</v>
      </c>
      <c r="H14842">
        <v>250531</v>
      </c>
      <c r="I14842">
        <v>4364</v>
      </c>
      <c r="J14842" t="s">
        <v>470</v>
      </c>
      <c r="K14842">
        <v>118.02</v>
      </c>
      <c r="L14842">
        <v>5.56</v>
      </c>
      <c r="M14842">
        <v>69702</v>
      </c>
      <c r="N14842" t="s">
        <v>124</v>
      </c>
      <c r="O14842">
        <v>250610</v>
      </c>
      <c r="P14842">
        <v>21.8</v>
      </c>
    </row>
    <row r="14843" spans="1:16" x14ac:dyDescent="0.25">
      <c r="A14843" t="s">
        <v>3296</v>
      </c>
      <c r="B14843" t="s">
        <v>2931</v>
      </c>
      <c r="C14843">
        <v>7972</v>
      </c>
      <c r="D14843" t="str">
        <f>"0619688568  "</f>
        <v xml:space="preserve">0619688568  </v>
      </c>
      <c r="E14843" t="s">
        <v>974</v>
      </c>
      <c r="F14843" t="s">
        <v>975</v>
      </c>
      <c r="G14843">
        <v>27.36</v>
      </c>
      <c r="H14843">
        <v>250531</v>
      </c>
      <c r="I14843">
        <v>4364</v>
      </c>
      <c r="J14843" t="s">
        <v>470</v>
      </c>
      <c r="K14843">
        <v>118.02</v>
      </c>
      <c r="L14843">
        <v>5.56</v>
      </c>
      <c r="M14843">
        <v>69704</v>
      </c>
      <c r="N14843" t="s">
        <v>89</v>
      </c>
      <c r="O14843">
        <v>250610</v>
      </c>
      <c r="P14843">
        <v>21.8</v>
      </c>
    </row>
    <row r="14844" spans="1:16" x14ac:dyDescent="0.25">
      <c r="A14844" t="s">
        <v>3296</v>
      </c>
      <c r="B14844" t="s">
        <v>2931</v>
      </c>
      <c r="C14844">
        <v>9701</v>
      </c>
      <c r="D14844" t="str">
        <f t="shared" ref="D14844:D14849" si="245">"0619708894  "</f>
        <v xml:space="preserve">0619708894  </v>
      </c>
      <c r="E14844" t="s">
        <v>974</v>
      </c>
      <c r="F14844" t="s">
        <v>975</v>
      </c>
      <c r="G14844">
        <v>89.25</v>
      </c>
      <c r="H14844">
        <v>250630</v>
      </c>
      <c r="I14844">
        <v>4364</v>
      </c>
      <c r="J14844" t="s">
        <v>470</v>
      </c>
      <c r="K14844">
        <v>742.16</v>
      </c>
      <c r="L14844">
        <v>18.13</v>
      </c>
      <c r="M14844">
        <v>17971</v>
      </c>
      <c r="N14844" t="s">
        <v>27</v>
      </c>
      <c r="O14844">
        <v>250724</v>
      </c>
      <c r="P14844">
        <v>71.12</v>
      </c>
    </row>
    <row r="14845" spans="1:16" x14ac:dyDescent="0.25">
      <c r="A14845" t="s">
        <v>3296</v>
      </c>
      <c r="B14845" t="s">
        <v>2931</v>
      </c>
      <c r="C14845">
        <v>9701</v>
      </c>
      <c r="D14845" t="str">
        <f t="shared" si="245"/>
        <v xml:space="preserve">0619708894  </v>
      </c>
      <c r="E14845" t="s">
        <v>974</v>
      </c>
      <c r="F14845" t="s">
        <v>975</v>
      </c>
      <c r="G14845">
        <v>350</v>
      </c>
      <c r="H14845">
        <v>250630</v>
      </c>
      <c r="I14845">
        <v>4364</v>
      </c>
      <c r="J14845" t="s">
        <v>470</v>
      </c>
      <c r="K14845">
        <v>742.16</v>
      </c>
      <c r="L14845">
        <v>71.12</v>
      </c>
      <c r="M14845">
        <v>17971</v>
      </c>
      <c r="N14845" t="s">
        <v>27</v>
      </c>
      <c r="O14845">
        <v>250724</v>
      </c>
      <c r="P14845">
        <v>278.88</v>
      </c>
    </row>
    <row r="14846" spans="1:16" x14ac:dyDescent="0.25">
      <c r="A14846" t="s">
        <v>3296</v>
      </c>
      <c r="B14846" t="s">
        <v>2931</v>
      </c>
      <c r="C14846">
        <v>9701</v>
      </c>
      <c r="D14846" t="str">
        <f t="shared" si="245"/>
        <v xml:space="preserve">0619708894  </v>
      </c>
      <c r="E14846" t="s">
        <v>974</v>
      </c>
      <c r="F14846" t="s">
        <v>975</v>
      </c>
      <c r="G14846">
        <v>32.92</v>
      </c>
      <c r="H14846">
        <v>250630</v>
      </c>
      <c r="I14846">
        <v>4364</v>
      </c>
      <c r="J14846" t="s">
        <v>470</v>
      </c>
      <c r="K14846">
        <v>742.16</v>
      </c>
      <c r="L14846">
        <v>6.69</v>
      </c>
      <c r="M14846">
        <v>18971</v>
      </c>
      <c r="N14846" t="s">
        <v>38</v>
      </c>
      <c r="O14846">
        <v>250724</v>
      </c>
      <c r="P14846">
        <v>26.23</v>
      </c>
    </row>
    <row r="14847" spans="1:16" x14ac:dyDescent="0.25">
      <c r="A14847" t="s">
        <v>3296</v>
      </c>
      <c r="B14847" t="s">
        <v>2931</v>
      </c>
      <c r="C14847">
        <v>9701</v>
      </c>
      <c r="D14847" t="str">
        <f t="shared" si="245"/>
        <v xml:space="preserve">0619708894  </v>
      </c>
      <c r="E14847" t="s">
        <v>974</v>
      </c>
      <c r="F14847" t="s">
        <v>975</v>
      </c>
      <c r="G14847">
        <v>100.16</v>
      </c>
      <c r="H14847">
        <v>250630</v>
      </c>
      <c r="I14847">
        <v>4364</v>
      </c>
      <c r="J14847" t="s">
        <v>470</v>
      </c>
      <c r="K14847">
        <v>742.16</v>
      </c>
      <c r="L14847">
        <v>20.350000000000001</v>
      </c>
      <c r="M14847">
        <v>49701</v>
      </c>
      <c r="N14847" t="s">
        <v>111</v>
      </c>
      <c r="O14847">
        <v>250724</v>
      </c>
      <c r="P14847">
        <v>79.81</v>
      </c>
    </row>
    <row r="14848" spans="1:16" x14ac:dyDescent="0.25">
      <c r="A14848" t="s">
        <v>3296</v>
      </c>
      <c r="B14848" t="s">
        <v>2931</v>
      </c>
      <c r="C14848">
        <v>9701</v>
      </c>
      <c r="D14848" t="str">
        <f t="shared" si="245"/>
        <v xml:space="preserve">0619708894  </v>
      </c>
      <c r="E14848" t="s">
        <v>974</v>
      </c>
      <c r="F14848" t="s">
        <v>975</v>
      </c>
      <c r="G14848">
        <v>100.17</v>
      </c>
      <c r="H14848">
        <v>250630</v>
      </c>
      <c r="I14848">
        <v>4364</v>
      </c>
      <c r="J14848" t="s">
        <v>470</v>
      </c>
      <c r="K14848">
        <v>742.16</v>
      </c>
      <c r="L14848">
        <v>20.350000000000001</v>
      </c>
      <c r="M14848">
        <v>69702</v>
      </c>
      <c r="N14848" t="s">
        <v>124</v>
      </c>
      <c r="O14848">
        <v>250724</v>
      </c>
      <c r="P14848">
        <v>79.819999999999993</v>
      </c>
    </row>
    <row r="14849" spans="1:16" x14ac:dyDescent="0.25">
      <c r="A14849" t="s">
        <v>3296</v>
      </c>
      <c r="B14849" t="s">
        <v>2931</v>
      </c>
      <c r="C14849">
        <v>9701</v>
      </c>
      <c r="D14849" t="str">
        <f t="shared" si="245"/>
        <v xml:space="preserve">0619708894  </v>
      </c>
      <c r="E14849" t="s">
        <v>974</v>
      </c>
      <c r="F14849" t="s">
        <v>975</v>
      </c>
      <c r="G14849">
        <v>69.66</v>
      </c>
      <c r="H14849">
        <v>250630</v>
      </c>
      <c r="I14849">
        <v>4364</v>
      </c>
      <c r="J14849" t="s">
        <v>470</v>
      </c>
      <c r="K14849">
        <v>742.16</v>
      </c>
      <c r="L14849">
        <v>14.15</v>
      </c>
      <c r="M14849">
        <v>69704</v>
      </c>
      <c r="N14849" t="s">
        <v>89</v>
      </c>
      <c r="O14849">
        <v>250724</v>
      </c>
      <c r="P14849">
        <v>55.51</v>
      </c>
    </row>
    <row r="14850" spans="1:16" x14ac:dyDescent="0.25">
      <c r="A14850" t="s">
        <v>3296</v>
      </c>
      <c r="B14850" t="s">
        <v>2931</v>
      </c>
      <c r="C14850">
        <v>10038</v>
      </c>
      <c r="D14850" t="str">
        <f>"0619733519  "</f>
        <v xml:space="preserve">0619733519  </v>
      </c>
      <c r="E14850" t="s">
        <v>974</v>
      </c>
      <c r="F14850" t="s">
        <v>975</v>
      </c>
      <c r="G14850">
        <v>34.78</v>
      </c>
      <c r="H14850">
        <v>250731</v>
      </c>
      <c r="I14850">
        <v>4364</v>
      </c>
      <c r="J14850" t="s">
        <v>470</v>
      </c>
      <c r="K14850">
        <v>264.81</v>
      </c>
      <c r="L14850">
        <v>7.07</v>
      </c>
      <c r="M14850">
        <v>18971</v>
      </c>
      <c r="N14850" t="s">
        <v>38</v>
      </c>
      <c r="O14850">
        <v>250808</v>
      </c>
      <c r="P14850">
        <v>27.71</v>
      </c>
    </row>
    <row r="14851" spans="1:16" x14ac:dyDescent="0.25">
      <c r="A14851" t="s">
        <v>3296</v>
      </c>
      <c r="B14851" t="s">
        <v>2931</v>
      </c>
      <c r="C14851">
        <v>10038</v>
      </c>
      <c r="D14851" t="str">
        <f>"0619733519  "</f>
        <v xml:space="preserve">0619733519  </v>
      </c>
      <c r="E14851" t="s">
        <v>974</v>
      </c>
      <c r="F14851" t="s">
        <v>975</v>
      </c>
      <c r="G14851">
        <v>138.85</v>
      </c>
      <c r="H14851">
        <v>250731</v>
      </c>
      <c r="I14851">
        <v>4364</v>
      </c>
      <c r="J14851" t="s">
        <v>470</v>
      </c>
      <c r="K14851">
        <v>264.81</v>
      </c>
      <c r="L14851">
        <v>28.21</v>
      </c>
      <c r="M14851">
        <v>49701</v>
      </c>
      <c r="N14851" t="s">
        <v>111</v>
      </c>
      <c r="O14851">
        <v>250808</v>
      </c>
      <c r="P14851">
        <v>110.64</v>
      </c>
    </row>
    <row r="14852" spans="1:16" x14ac:dyDescent="0.25">
      <c r="A14852" t="s">
        <v>3296</v>
      </c>
      <c r="B14852" t="s">
        <v>2931</v>
      </c>
      <c r="C14852">
        <v>10038</v>
      </c>
      <c r="D14852" t="str">
        <f>"0619733519  "</f>
        <v xml:space="preserve">0619733519  </v>
      </c>
      <c r="E14852" t="s">
        <v>974</v>
      </c>
      <c r="F14852" t="s">
        <v>975</v>
      </c>
      <c r="G14852">
        <v>52.48</v>
      </c>
      <c r="H14852">
        <v>250731</v>
      </c>
      <c r="I14852">
        <v>4364</v>
      </c>
      <c r="J14852" t="s">
        <v>470</v>
      </c>
      <c r="K14852">
        <v>264.81</v>
      </c>
      <c r="L14852">
        <v>10.66</v>
      </c>
      <c r="M14852">
        <v>69702</v>
      </c>
      <c r="N14852" t="s">
        <v>124</v>
      </c>
      <c r="O14852">
        <v>250808</v>
      </c>
      <c r="P14852">
        <v>41.82</v>
      </c>
    </row>
    <row r="14853" spans="1:16" x14ac:dyDescent="0.25">
      <c r="A14853" t="s">
        <v>3296</v>
      </c>
      <c r="B14853" t="s">
        <v>2931</v>
      </c>
      <c r="C14853">
        <v>10038</v>
      </c>
      <c r="D14853" t="str">
        <f>"0619733519  "</f>
        <v xml:space="preserve">0619733519  </v>
      </c>
      <c r="E14853" t="s">
        <v>974</v>
      </c>
      <c r="F14853" t="s">
        <v>975</v>
      </c>
      <c r="G14853">
        <v>38.700000000000003</v>
      </c>
      <c r="H14853">
        <v>250731</v>
      </c>
      <c r="I14853">
        <v>4364</v>
      </c>
      <c r="J14853" t="s">
        <v>470</v>
      </c>
      <c r="K14853">
        <v>264.81</v>
      </c>
      <c r="L14853">
        <v>7.86</v>
      </c>
      <c r="M14853">
        <v>69704</v>
      </c>
      <c r="N14853" t="s">
        <v>89</v>
      </c>
      <c r="O14853">
        <v>250808</v>
      </c>
      <c r="P14853">
        <v>30.84</v>
      </c>
    </row>
    <row r="14854" spans="1:16" x14ac:dyDescent="0.25">
      <c r="A14854" t="s">
        <v>3296</v>
      </c>
      <c r="B14854" t="s">
        <v>2931</v>
      </c>
      <c r="C14854">
        <v>11822</v>
      </c>
      <c r="D14854" t="str">
        <f>"0619757892  "</f>
        <v xml:space="preserve">0619757892  </v>
      </c>
      <c r="E14854" t="s">
        <v>974</v>
      </c>
      <c r="F14854" t="s">
        <v>975</v>
      </c>
      <c r="G14854">
        <v>1690.47</v>
      </c>
      <c r="H14854">
        <v>250831</v>
      </c>
      <c r="I14854">
        <v>4364</v>
      </c>
      <c r="J14854" t="s">
        <v>470</v>
      </c>
      <c r="K14854">
        <v>1825.33</v>
      </c>
      <c r="L14854">
        <v>343.48</v>
      </c>
      <c r="M14854">
        <v>17971</v>
      </c>
      <c r="N14854" t="s">
        <v>27</v>
      </c>
      <c r="O14854">
        <v>250911</v>
      </c>
      <c r="P14854">
        <v>1346.99</v>
      </c>
    </row>
    <row r="14855" spans="1:16" x14ac:dyDescent="0.25">
      <c r="A14855" t="s">
        <v>3296</v>
      </c>
      <c r="B14855" t="s">
        <v>2931</v>
      </c>
      <c r="C14855">
        <v>11822</v>
      </c>
      <c r="D14855" t="str">
        <f>"0619757892  "</f>
        <v xml:space="preserve">0619757892  </v>
      </c>
      <c r="E14855" t="s">
        <v>974</v>
      </c>
      <c r="F14855" t="s">
        <v>975</v>
      </c>
      <c r="G14855">
        <v>34.78</v>
      </c>
      <c r="H14855">
        <v>250831</v>
      </c>
      <c r="I14855">
        <v>4364</v>
      </c>
      <c r="J14855" t="s">
        <v>470</v>
      </c>
      <c r="K14855">
        <v>1825.33</v>
      </c>
      <c r="L14855">
        <v>7.07</v>
      </c>
      <c r="M14855">
        <v>18971</v>
      </c>
      <c r="N14855" t="s">
        <v>38</v>
      </c>
      <c r="O14855">
        <v>250911</v>
      </c>
      <c r="P14855">
        <v>27.71</v>
      </c>
    </row>
    <row r="14856" spans="1:16" x14ac:dyDescent="0.25">
      <c r="A14856" t="s">
        <v>3296</v>
      </c>
      <c r="B14856" t="s">
        <v>2931</v>
      </c>
      <c r="C14856">
        <v>11822</v>
      </c>
      <c r="D14856" t="str">
        <f>"0619757892  "</f>
        <v xml:space="preserve">0619757892  </v>
      </c>
      <c r="E14856" t="s">
        <v>974</v>
      </c>
      <c r="F14856" t="s">
        <v>975</v>
      </c>
      <c r="G14856">
        <v>36.14</v>
      </c>
      <c r="H14856">
        <v>250831</v>
      </c>
      <c r="I14856">
        <v>4364</v>
      </c>
      <c r="J14856" t="s">
        <v>470</v>
      </c>
      <c r="K14856">
        <v>1825.33</v>
      </c>
      <c r="L14856">
        <v>7.34</v>
      </c>
      <c r="M14856">
        <v>49701</v>
      </c>
      <c r="N14856" t="s">
        <v>111</v>
      </c>
      <c r="O14856">
        <v>250911</v>
      </c>
      <c r="P14856">
        <v>28.8</v>
      </c>
    </row>
    <row r="14857" spans="1:16" x14ac:dyDescent="0.25">
      <c r="A14857" t="s">
        <v>3296</v>
      </c>
      <c r="B14857" t="s">
        <v>2931</v>
      </c>
      <c r="C14857">
        <v>11822</v>
      </c>
      <c r="D14857" t="str">
        <f>"0619757892  "</f>
        <v xml:space="preserve">0619757892  </v>
      </c>
      <c r="E14857" t="s">
        <v>974</v>
      </c>
      <c r="F14857" t="s">
        <v>975</v>
      </c>
      <c r="G14857">
        <v>30.63</v>
      </c>
      <c r="H14857">
        <v>250831</v>
      </c>
      <c r="I14857">
        <v>4364</v>
      </c>
      <c r="J14857" t="s">
        <v>470</v>
      </c>
      <c r="K14857">
        <v>1825.33</v>
      </c>
      <c r="L14857">
        <v>6.22</v>
      </c>
      <c r="M14857">
        <v>69702</v>
      </c>
      <c r="N14857" t="s">
        <v>124</v>
      </c>
      <c r="O14857">
        <v>250911</v>
      </c>
      <c r="P14857">
        <v>24.41</v>
      </c>
    </row>
    <row r="14858" spans="1:16" x14ac:dyDescent="0.25">
      <c r="A14858" t="s">
        <v>3296</v>
      </c>
      <c r="B14858" t="s">
        <v>2931</v>
      </c>
      <c r="C14858">
        <v>11822</v>
      </c>
      <c r="D14858" t="str">
        <f>"0619757892  "</f>
        <v xml:space="preserve">0619757892  </v>
      </c>
      <c r="E14858" t="s">
        <v>974</v>
      </c>
      <c r="F14858" t="s">
        <v>975</v>
      </c>
      <c r="G14858">
        <v>33.31</v>
      </c>
      <c r="H14858">
        <v>250831</v>
      </c>
      <c r="I14858">
        <v>4364</v>
      </c>
      <c r="J14858" t="s">
        <v>470</v>
      </c>
      <c r="K14858">
        <v>1825.33</v>
      </c>
      <c r="L14858">
        <v>6.77</v>
      </c>
      <c r="M14858">
        <v>69704</v>
      </c>
      <c r="N14858" t="s">
        <v>89</v>
      </c>
      <c r="O14858">
        <v>250911</v>
      </c>
      <c r="P14858">
        <v>26.54</v>
      </c>
    </row>
    <row r="14859" spans="1:16" x14ac:dyDescent="0.25">
      <c r="A14859" t="s">
        <v>3296</v>
      </c>
      <c r="B14859" t="s">
        <v>2931</v>
      </c>
      <c r="C14859">
        <v>13354</v>
      </c>
      <c r="D14859" t="str">
        <f>"0619780458  "</f>
        <v xml:space="preserve">0619780458  </v>
      </c>
      <c r="E14859" t="s">
        <v>974</v>
      </c>
      <c r="F14859" t="s">
        <v>975</v>
      </c>
      <c r="G14859">
        <v>36.14</v>
      </c>
      <c r="H14859">
        <v>250930</v>
      </c>
      <c r="I14859">
        <v>4364</v>
      </c>
      <c r="J14859" t="s">
        <v>470</v>
      </c>
      <c r="K14859">
        <v>97.4</v>
      </c>
      <c r="L14859">
        <v>7.34</v>
      </c>
      <c r="M14859">
        <v>49701</v>
      </c>
      <c r="N14859" t="s">
        <v>111</v>
      </c>
      <c r="O14859">
        <v>251008</v>
      </c>
      <c r="P14859">
        <v>28.8</v>
      </c>
    </row>
    <row r="14860" spans="1:16" x14ac:dyDescent="0.25">
      <c r="A14860" t="s">
        <v>3296</v>
      </c>
      <c r="B14860" t="s">
        <v>2931</v>
      </c>
      <c r="C14860">
        <v>13354</v>
      </c>
      <c r="D14860" t="str">
        <f>"0619780458  "</f>
        <v xml:space="preserve">0619780458  </v>
      </c>
      <c r="E14860" t="s">
        <v>974</v>
      </c>
      <c r="F14860" t="s">
        <v>975</v>
      </c>
      <c r="G14860">
        <v>30.63</v>
      </c>
      <c r="H14860">
        <v>250930</v>
      </c>
      <c r="I14860">
        <v>4364</v>
      </c>
      <c r="J14860" t="s">
        <v>470</v>
      </c>
      <c r="K14860">
        <v>97.4</v>
      </c>
      <c r="L14860">
        <v>6.22</v>
      </c>
      <c r="M14860">
        <v>69701</v>
      </c>
      <c r="N14860" t="s">
        <v>1030</v>
      </c>
      <c r="O14860">
        <v>251008</v>
      </c>
      <c r="P14860">
        <v>24.41</v>
      </c>
    </row>
    <row r="14861" spans="1:16" x14ac:dyDescent="0.25">
      <c r="A14861" t="s">
        <v>3296</v>
      </c>
      <c r="B14861" t="s">
        <v>2931</v>
      </c>
      <c r="C14861">
        <v>13354</v>
      </c>
      <c r="D14861" t="str">
        <f>"0619780458  "</f>
        <v xml:space="preserve">0619780458  </v>
      </c>
      <c r="E14861" t="s">
        <v>974</v>
      </c>
      <c r="F14861" t="s">
        <v>975</v>
      </c>
      <c r="G14861">
        <v>30.63</v>
      </c>
      <c r="H14861">
        <v>250930</v>
      </c>
      <c r="I14861">
        <v>4364</v>
      </c>
      <c r="J14861" t="s">
        <v>470</v>
      </c>
      <c r="K14861">
        <v>97.4</v>
      </c>
      <c r="L14861">
        <v>6.22</v>
      </c>
      <c r="M14861">
        <v>69703</v>
      </c>
      <c r="N14861" t="s">
        <v>88</v>
      </c>
      <c r="O14861">
        <v>251008</v>
      </c>
      <c r="P14861">
        <v>24.41</v>
      </c>
    </row>
    <row r="14862" spans="1:16" x14ac:dyDescent="0.25">
      <c r="A14862" t="s">
        <v>3296</v>
      </c>
      <c r="B14862" t="s">
        <v>2931</v>
      </c>
      <c r="C14862">
        <v>14704</v>
      </c>
      <c r="D14862" t="str">
        <f>"0619807877  "</f>
        <v xml:space="preserve">0619807877  </v>
      </c>
      <c r="E14862" t="s">
        <v>974</v>
      </c>
      <c r="F14862" t="s">
        <v>975</v>
      </c>
      <c r="G14862">
        <v>36.14</v>
      </c>
      <c r="H14862">
        <v>251031</v>
      </c>
      <c r="I14862">
        <v>4364</v>
      </c>
      <c r="J14862" t="s">
        <v>470</v>
      </c>
      <c r="K14862">
        <v>97.4</v>
      </c>
      <c r="L14862">
        <v>7.34</v>
      </c>
      <c r="M14862">
        <v>49701</v>
      </c>
      <c r="N14862" t="s">
        <v>111</v>
      </c>
      <c r="O14862">
        <v>251106</v>
      </c>
      <c r="P14862">
        <v>28.8</v>
      </c>
    </row>
    <row r="14863" spans="1:16" x14ac:dyDescent="0.25">
      <c r="A14863" t="s">
        <v>3296</v>
      </c>
      <c r="B14863" t="s">
        <v>2931</v>
      </c>
      <c r="C14863">
        <v>14704</v>
      </c>
      <c r="D14863" t="str">
        <f>"0619807877  "</f>
        <v xml:space="preserve">0619807877  </v>
      </c>
      <c r="E14863" t="s">
        <v>974</v>
      </c>
      <c r="F14863" t="s">
        <v>975</v>
      </c>
      <c r="G14863">
        <v>30.63</v>
      </c>
      <c r="H14863">
        <v>251031</v>
      </c>
      <c r="I14863">
        <v>4364</v>
      </c>
      <c r="J14863" t="s">
        <v>470</v>
      </c>
      <c r="K14863">
        <v>97.4</v>
      </c>
      <c r="L14863">
        <v>6.22</v>
      </c>
      <c r="M14863">
        <v>69702</v>
      </c>
      <c r="N14863" t="s">
        <v>124</v>
      </c>
      <c r="O14863">
        <v>251106</v>
      </c>
      <c r="P14863">
        <v>24.41</v>
      </c>
    </row>
    <row r="14864" spans="1:16" x14ac:dyDescent="0.25">
      <c r="A14864" t="s">
        <v>3296</v>
      </c>
      <c r="B14864" t="s">
        <v>2931</v>
      </c>
      <c r="C14864">
        <v>14704</v>
      </c>
      <c r="D14864" t="str">
        <f>"0619807877  "</f>
        <v xml:space="preserve">0619807877  </v>
      </c>
      <c r="E14864" t="s">
        <v>974</v>
      </c>
      <c r="F14864" t="s">
        <v>975</v>
      </c>
      <c r="G14864">
        <v>30.63</v>
      </c>
      <c r="H14864">
        <v>251031</v>
      </c>
      <c r="I14864">
        <v>4364</v>
      </c>
      <c r="J14864" t="s">
        <v>470</v>
      </c>
      <c r="K14864">
        <v>97.4</v>
      </c>
      <c r="L14864">
        <v>6.22</v>
      </c>
      <c r="M14864">
        <v>69704</v>
      </c>
      <c r="N14864" t="s">
        <v>89</v>
      </c>
      <c r="O14864">
        <v>251106</v>
      </c>
      <c r="P14864">
        <v>24.41</v>
      </c>
    </row>
    <row r="14865" spans="1:16" x14ac:dyDescent="0.25">
      <c r="A14865" t="s">
        <v>3296</v>
      </c>
      <c r="B14865" t="s">
        <v>2931</v>
      </c>
      <c r="C14865">
        <v>16182</v>
      </c>
      <c r="D14865" t="str">
        <f>"0619836163  "</f>
        <v xml:space="preserve">0619836163  </v>
      </c>
      <c r="E14865" t="s">
        <v>974</v>
      </c>
      <c r="F14865" t="s">
        <v>975</v>
      </c>
      <c r="G14865">
        <v>38.75</v>
      </c>
      <c r="H14865">
        <v>251130</v>
      </c>
      <c r="I14865">
        <v>4364</v>
      </c>
      <c r="J14865" t="s">
        <v>470</v>
      </c>
      <c r="K14865">
        <v>102.78</v>
      </c>
      <c r="L14865">
        <v>7.87</v>
      </c>
      <c r="M14865">
        <v>49701</v>
      </c>
      <c r="N14865" t="s">
        <v>111</v>
      </c>
      <c r="O14865">
        <v>251204</v>
      </c>
      <c r="P14865">
        <v>30.88</v>
      </c>
    </row>
    <row r="14866" spans="1:16" x14ac:dyDescent="0.25">
      <c r="A14866" t="s">
        <v>3296</v>
      </c>
      <c r="B14866" t="s">
        <v>2931</v>
      </c>
      <c r="C14866">
        <v>16182</v>
      </c>
      <c r="D14866" t="str">
        <f>"0619836163  "</f>
        <v xml:space="preserve">0619836163  </v>
      </c>
      <c r="E14866" t="s">
        <v>974</v>
      </c>
      <c r="F14866" t="s">
        <v>975</v>
      </c>
      <c r="G14866">
        <v>33.4</v>
      </c>
      <c r="H14866">
        <v>251130</v>
      </c>
      <c r="I14866">
        <v>4364</v>
      </c>
      <c r="J14866" t="s">
        <v>470</v>
      </c>
      <c r="K14866">
        <v>102.78</v>
      </c>
      <c r="L14866">
        <v>6.79</v>
      </c>
      <c r="M14866">
        <v>69702</v>
      </c>
      <c r="N14866" t="s">
        <v>124</v>
      </c>
      <c r="O14866">
        <v>251204</v>
      </c>
      <c r="P14866">
        <v>26.61</v>
      </c>
    </row>
    <row r="14867" spans="1:16" x14ac:dyDescent="0.25">
      <c r="A14867" t="s">
        <v>3296</v>
      </c>
      <c r="B14867" t="s">
        <v>2931</v>
      </c>
      <c r="C14867">
        <v>16182</v>
      </c>
      <c r="D14867" t="str">
        <f>"0619836163  "</f>
        <v xml:space="preserve">0619836163  </v>
      </c>
      <c r="E14867" t="s">
        <v>974</v>
      </c>
      <c r="F14867" t="s">
        <v>975</v>
      </c>
      <c r="G14867">
        <v>30.63</v>
      </c>
      <c r="H14867">
        <v>251130</v>
      </c>
      <c r="I14867">
        <v>4364</v>
      </c>
      <c r="J14867" t="s">
        <v>470</v>
      </c>
      <c r="K14867">
        <v>102.78</v>
      </c>
      <c r="L14867">
        <v>6.22</v>
      </c>
      <c r="M14867">
        <v>69704</v>
      </c>
      <c r="N14867" t="s">
        <v>89</v>
      </c>
      <c r="O14867">
        <v>251204</v>
      </c>
      <c r="P14867">
        <v>24.41</v>
      </c>
    </row>
    <row r="14868" spans="1:16" x14ac:dyDescent="0.25">
      <c r="A14868" t="s">
        <v>3296</v>
      </c>
      <c r="B14868" t="s">
        <v>2931</v>
      </c>
      <c r="C14868">
        <v>18055</v>
      </c>
      <c r="D14868" t="str">
        <f>"0619863164  "</f>
        <v xml:space="preserve">0619863164  </v>
      </c>
      <c r="E14868" t="s">
        <v>974</v>
      </c>
      <c r="F14868" t="s">
        <v>975</v>
      </c>
      <c r="G14868">
        <v>53.54</v>
      </c>
      <c r="H14868">
        <v>251231</v>
      </c>
      <c r="I14868">
        <v>4364</v>
      </c>
      <c r="J14868" t="s">
        <v>470</v>
      </c>
      <c r="K14868">
        <v>97.4</v>
      </c>
      <c r="L14868">
        <v>10.88</v>
      </c>
      <c r="M14868">
        <v>49701</v>
      </c>
      <c r="N14868" t="s">
        <v>111</v>
      </c>
      <c r="O14868">
        <v>260108</v>
      </c>
      <c r="P14868">
        <v>42.66</v>
      </c>
    </row>
    <row r="14869" spans="1:16" x14ac:dyDescent="0.25">
      <c r="A14869" t="s">
        <v>3296</v>
      </c>
      <c r="B14869" t="s">
        <v>2931</v>
      </c>
      <c r="C14869">
        <v>18055</v>
      </c>
      <c r="D14869" t="str">
        <f>"0619863164  "</f>
        <v xml:space="preserve">0619863164  </v>
      </c>
      <c r="E14869" t="s">
        <v>974</v>
      </c>
      <c r="F14869" t="s">
        <v>975</v>
      </c>
      <c r="G14869">
        <v>21.93</v>
      </c>
      <c r="H14869">
        <v>251231</v>
      </c>
      <c r="I14869">
        <v>4364</v>
      </c>
      <c r="J14869" t="s">
        <v>470</v>
      </c>
      <c r="K14869">
        <v>97.4</v>
      </c>
      <c r="L14869">
        <v>4.46</v>
      </c>
      <c r="M14869">
        <v>69702</v>
      </c>
      <c r="N14869" t="s">
        <v>124</v>
      </c>
      <c r="O14869">
        <v>260108</v>
      </c>
      <c r="P14869">
        <v>17.47</v>
      </c>
    </row>
    <row r="14870" spans="1:16" x14ac:dyDescent="0.25">
      <c r="A14870" t="s">
        <v>3296</v>
      </c>
      <c r="B14870" t="s">
        <v>2931</v>
      </c>
      <c r="C14870">
        <v>18055</v>
      </c>
      <c r="D14870" t="str">
        <f>"0619863164  "</f>
        <v xml:space="preserve">0619863164  </v>
      </c>
      <c r="E14870" t="s">
        <v>974</v>
      </c>
      <c r="F14870" t="s">
        <v>975</v>
      </c>
      <c r="G14870">
        <v>21.93</v>
      </c>
      <c r="H14870">
        <v>251231</v>
      </c>
      <c r="I14870">
        <v>4364</v>
      </c>
      <c r="J14870" t="s">
        <v>470</v>
      </c>
      <c r="K14870">
        <v>97.4</v>
      </c>
      <c r="L14870">
        <v>4.46</v>
      </c>
      <c r="M14870">
        <v>69704</v>
      </c>
      <c r="N14870" t="s">
        <v>89</v>
      </c>
      <c r="O14870">
        <v>260108</v>
      </c>
      <c r="P14870">
        <v>17.47</v>
      </c>
    </row>
    <row r="14871" spans="1:16" x14ac:dyDescent="0.25">
      <c r="A14871" t="s">
        <v>3296</v>
      </c>
      <c r="B14871" t="s">
        <v>2931</v>
      </c>
      <c r="C14871">
        <v>8292</v>
      </c>
      <c r="D14871" t="str">
        <f>"006110249452"</f>
        <v>006110249452</v>
      </c>
      <c r="E14871" t="s">
        <v>1004</v>
      </c>
      <c r="F14871" t="s">
        <v>1005</v>
      </c>
      <c r="G14871">
        <v>361.52</v>
      </c>
      <c r="H14871">
        <v>250601</v>
      </c>
      <c r="I14871">
        <v>1196</v>
      </c>
      <c r="J14871" t="s">
        <v>340</v>
      </c>
      <c r="K14871">
        <v>361.52</v>
      </c>
      <c r="L14871">
        <v>73.459999999999994</v>
      </c>
      <c r="M14871">
        <v>97501</v>
      </c>
      <c r="N14871" t="s">
        <v>1354</v>
      </c>
      <c r="O14871">
        <v>250612</v>
      </c>
      <c r="P14871">
        <v>288.06</v>
      </c>
    </row>
    <row r="14872" spans="1:16" x14ac:dyDescent="0.25">
      <c r="A14872" t="s">
        <v>3296</v>
      </c>
      <c r="B14872" t="s">
        <v>2931</v>
      </c>
      <c r="C14872">
        <v>1489</v>
      </c>
      <c r="D14872" t="str">
        <f>"006150135941"</f>
        <v>006150135941</v>
      </c>
      <c r="E14872" t="s">
        <v>1004</v>
      </c>
      <c r="F14872" t="s">
        <v>1005</v>
      </c>
      <c r="G14872">
        <v>275.79000000000002</v>
      </c>
      <c r="H14872">
        <v>250131</v>
      </c>
      <c r="I14872">
        <v>4364</v>
      </c>
      <c r="J14872" t="s">
        <v>470</v>
      </c>
      <c r="K14872">
        <v>872.33</v>
      </c>
      <c r="L14872">
        <v>56.04</v>
      </c>
      <c r="M14872">
        <v>14971</v>
      </c>
      <c r="N14872" t="s">
        <v>81</v>
      </c>
      <c r="O14872">
        <v>250210</v>
      </c>
      <c r="P14872">
        <v>219.75</v>
      </c>
    </row>
    <row r="14873" spans="1:16" x14ac:dyDescent="0.25">
      <c r="A14873" t="s">
        <v>3296</v>
      </c>
      <c r="B14873" t="s">
        <v>2931</v>
      </c>
      <c r="C14873">
        <v>1489</v>
      </c>
      <c r="D14873" t="str">
        <f>"006150135941"</f>
        <v>006150135941</v>
      </c>
      <c r="E14873" t="s">
        <v>1004</v>
      </c>
      <c r="F14873" t="s">
        <v>1005</v>
      </c>
      <c r="G14873">
        <v>436.51</v>
      </c>
      <c r="H14873">
        <v>250131</v>
      </c>
      <c r="I14873">
        <v>4364</v>
      </c>
      <c r="J14873" t="s">
        <v>470</v>
      </c>
      <c r="K14873">
        <v>872.33</v>
      </c>
      <c r="L14873">
        <v>88.69</v>
      </c>
      <c r="M14873">
        <v>49701</v>
      </c>
      <c r="N14873" t="s">
        <v>111</v>
      </c>
      <c r="O14873">
        <v>250210</v>
      </c>
      <c r="P14873">
        <v>347.82</v>
      </c>
    </row>
    <row r="14874" spans="1:16" x14ac:dyDescent="0.25">
      <c r="A14874" t="s">
        <v>3296</v>
      </c>
      <c r="B14874" t="s">
        <v>2931</v>
      </c>
      <c r="C14874">
        <v>1489</v>
      </c>
      <c r="D14874" t="str">
        <f>"006150135941"</f>
        <v>006150135941</v>
      </c>
      <c r="E14874" t="s">
        <v>1004</v>
      </c>
      <c r="F14874" t="s">
        <v>1005</v>
      </c>
      <c r="G14874">
        <v>160.03</v>
      </c>
      <c r="H14874">
        <v>250131</v>
      </c>
      <c r="I14874">
        <v>4364</v>
      </c>
      <c r="J14874" t="s">
        <v>470</v>
      </c>
      <c r="K14874">
        <v>872.33</v>
      </c>
      <c r="L14874">
        <v>32.520000000000003</v>
      </c>
      <c r="M14874">
        <v>59701</v>
      </c>
      <c r="N14874" t="s">
        <v>64</v>
      </c>
      <c r="O14874">
        <v>250210</v>
      </c>
      <c r="P14874">
        <v>127.51</v>
      </c>
    </row>
    <row r="14875" spans="1:16" x14ac:dyDescent="0.25">
      <c r="A14875" t="s">
        <v>3296</v>
      </c>
      <c r="B14875" t="s">
        <v>2931</v>
      </c>
      <c r="C14875">
        <v>2817</v>
      </c>
      <c r="D14875" t="str">
        <f t="shared" ref="D14875:D14881" si="246">"006180157972"</f>
        <v>006180157972</v>
      </c>
      <c r="E14875" t="s">
        <v>1004</v>
      </c>
      <c r="F14875" t="s">
        <v>1005</v>
      </c>
      <c r="G14875">
        <v>14.04</v>
      </c>
      <c r="H14875">
        <v>250228</v>
      </c>
      <c r="I14875">
        <v>4364</v>
      </c>
      <c r="J14875" t="s">
        <v>470</v>
      </c>
      <c r="K14875">
        <v>988.46</v>
      </c>
      <c r="L14875">
        <v>2.85</v>
      </c>
      <c r="M14875">
        <v>13561</v>
      </c>
      <c r="N14875" t="s">
        <v>241</v>
      </c>
      <c r="O14875">
        <v>250312</v>
      </c>
      <c r="P14875">
        <v>11.19</v>
      </c>
    </row>
    <row r="14876" spans="1:16" x14ac:dyDescent="0.25">
      <c r="A14876" t="s">
        <v>3296</v>
      </c>
      <c r="B14876" t="s">
        <v>2931</v>
      </c>
      <c r="C14876">
        <v>2817</v>
      </c>
      <c r="D14876" t="str">
        <f t="shared" si="246"/>
        <v>006180157972</v>
      </c>
      <c r="E14876" t="s">
        <v>1004</v>
      </c>
      <c r="F14876" t="s">
        <v>1005</v>
      </c>
      <c r="G14876">
        <v>276.64</v>
      </c>
      <c r="H14876">
        <v>250228</v>
      </c>
      <c r="I14876">
        <v>4364</v>
      </c>
      <c r="J14876" t="s">
        <v>470</v>
      </c>
      <c r="K14876">
        <v>988.46</v>
      </c>
      <c r="L14876">
        <v>56.21</v>
      </c>
      <c r="M14876">
        <v>14971</v>
      </c>
      <c r="N14876" t="s">
        <v>81</v>
      </c>
      <c r="O14876">
        <v>250312</v>
      </c>
      <c r="P14876">
        <v>220.43</v>
      </c>
    </row>
    <row r="14877" spans="1:16" x14ac:dyDescent="0.25">
      <c r="A14877" t="s">
        <v>3296</v>
      </c>
      <c r="B14877" t="s">
        <v>2931</v>
      </c>
      <c r="C14877">
        <v>2817</v>
      </c>
      <c r="D14877" t="str">
        <f t="shared" si="246"/>
        <v>006180157972</v>
      </c>
      <c r="E14877" t="s">
        <v>1004</v>
      </c>
      <c r="F14877" t="s">
        <v>1005</v>
      </c>
      <c r="G14877">
        <v>22.72</v>
      </c>
      <c r="H14877">
        <v>250228</v>
      </c>
      <c r="I14877">
        <v>4364</v>
      </c>
      <c r="J14877" t="s">
        <v>470</v>
      </c>
      <c r="K14877">
        <v>988.46</v>
      </c>
      <c r="L14877">
        <v>4.62</v>
      </c>
      <c r="M14877">
        <v>17809</v>
      </c>
      <c r="N14877" t="s">
        <v>25</v>
      </c>
      <c r="O14877">
        <v>250312</v>
      </c>
      <c r="P14877">
        <v>18.100000000000001</v>
      </c>
    </row>
    <row r="14878" spans="1:16" x14ac:dyDescent="0.25">
      <c r="A14878" t="s">
        <v>3296</v>
      </c>
      <c r="B14878" t="s">
        <v>2931</v>
      </c>
      <c r="C14878">
        <v>2817</v>
      </c>
      <c r="D14878" t="str">
        <f t="shared" si="246"/>
        <v>006180157972</v>
      </c>
      <c r="E14878" t="s">
        <v>1004</v>
      </c>
      <c r="F14878" t="s">
        <v>1005</v>
      </c>
      <c r="G14878">
        <v>23.57</v>
      </c>
      <c r="H14878">
        <v>250228</v>
      </c>
      <c r="I14878">
        <v>4364</v>
      </c>
      <c r="J14878" t="s">
        <v>470</v>
      </c>
      <c r="K14878">
        <v>988.46</v>
      </c>
      <c r="L14878">
        <v>4.79</v>
      </c>
      <c r="M14878">
        <v>17971</v>
      </c>
      <c r="N14878" t="s">
        <v>27</v>
      </c>
      <c r="O14878">
        <v>250312</v>
      </c>
      <c r="P14878">
        <v>18.78</v>
      </c>
    </row>
    <row r="14879" spans="1:16" x14ac:dyDescent="0.25">
      <c r="A14879" t="s">
        <v>3296</v>
      </c>
      <c r="B14879" t="s">
        <v>2931</v>
      </c>
      <c r="C14879">
        <v>2817</v>
      </c>
      <c r="D14879" t="str">
        <f t="shared" si="246"/>
        <v>006180157972</v>
      </c>
      <c r="E14879" t="s">
        <v>1004</v>
      </c>
      <c r="F14879" t="s">
        <v>1005</v>
      </c>
      <c r="G14879">
        <v>53.12</v>
      </c>
      <c r="H14879">
        <v>250228</v>
      </c>
      <c r="I14879">
        <v>4364</v>
      </c>
      <c r="J14879" t="s">
        <v>470</v>
      </c>
      <c r="K14879">
        <v>988.46</v>
      </c>
      <c r="L14879">
        <v>10.79</v>
      </c>
      <c r="M14879">
        <v>17971</v>
      </c>
      <c r="N14879" t="s">
        <v>27</v>
      </c>
      <c r="O14879">
        <v>250312</v>
      </c>
      <c r="P14879">
        <v>42.33</v>
      </c>
    </row>
    <row r="14880" spans="1:16" x14ac:dyDescent="0.25">
      <c r="A14880" t="s">
        <v>3296</v>
      </c>
      <c r="B14880" t="s">
        <v>2931</v>
      </c>
      <c r="C14880">
        <v>2817</v>
      </c>
      <c r="D14880" t="str">
        <f t="shared" si="246"/>
        <v>006180157972</v>
      </c>
      <c r="E14880" t="s">
        <v>1004</v>
      </c>
      <c r="F14880" t="s">
        <v>1005</v>
      </c>
      <c r="G14880">
        <v>437.86</v>
      </c>
      <c r="H14880">
        <v>250228</v>
      </c>
      <c r="I14880">
        <v>4364</v>
      </c>
      <c r="J14880" t="s">
        <v>470</v>
      </c>
      <c r="K14880">
        <v>988.46</v>
      </c>
      <c r="L14880">
        <v>88.97</v>
      </c>
      <c r="M14880">
        <v>49701</v>
      </c>
      <c r="N14880" t="s">
        <v>111</v>
      </c>
      <c r="O14880">
        <v>250312</v>
      </c>
      <c r="P14880">
        <v>348.89</v>
      </c>
    </row>
    <row r="14881" spans="1:16" x14ac:dyDescent="0.25">
      <c r="A14881" t="s">
        <v>3296</v>
      </c>
      <c r="B14881" t="s">
        <v>2931</v>
      </c>
      <c r="C14881">
        <v>2817</v>
      </c>
      <c r="D14881" t="str">
        <f t="shared" si="246"/>
        <v>006180157972</v>
      </c>
      <c r="E14881" t="s">
        <v>1004</v>
      </c>
      <c r="F14881" t="s">
        <v>1005</v>
      </c>
      <c r="G14881">
        <v>160.51</v>
      </c>
      <c r="H14881">
        <v>250228</v>
      </c>
      <c r="I14881">
        <v>4364</v>
      </c>
      <c r="J14881" t="s">
        <v>470</v>
      </c>
      <c r="K14881">
        <v>988.46</v>
      </c>
      <c r="L14881">
        <v>32.61</v>
      </c>
      <c r="M14881">
        <v>59701</v>
      </c>
      <c r="N14881" t="s">
        <v>64</v>
      </c>
      <c r="O14881">
        <v>250312</v>
      </c>
      <c r="P14881">
        <v>127.9</v>
      </c>
    </row>
    <row r="14882" spans="1:16" x14ac:dyDescent="0.25">
      <c r="A14882" t="s">
        <v>3296</v>
      </c>
      <c r="B14882" t="s">
        <v>2931</v>
      </c>
      <c r="C14882">
        <v>4412</v>
      </c>
      <c r="D14882" t="str">
        <f>"006140230438"</f>
        <v>006140230438</v>
      </c>
      <c r="E14882" t="s">
        <v>1004</v>
      </c>
      <c r="F14882" t="s">
        <v>1005</v>
      </c>
      <c r="G14882">
        <v>277.2</v>
      </c>
      <c r="H14882">
        <v>250331</v>
      </c>
      <c r="I14882">
        <v>4364</v>
      </c>
      <c r="J14882" t="s">
        <v>470</v>
      </c>
      <c r="K14882">
        <v>891.45</v>
      </c>
      <c r="L14882">
        <v>56.32</v>
      </c>
      <c r="M14882">
        <v>14971</v>
      </c>
      <c r="N14882" t="s">
        <v>81</v>
      </c>
      <c r="O14882">
        <v>250411</v>
      </c>
      <c r="P14882">
        <v>220.88</v>
      </c>
    </row>
    <row r="14883" spans="1:16" x14ac:dyDescent="0.25">
      <c r="A14883" t="s">
        <v>3296</v>
      </c>
      <c r="B14883" t="s">
        <v>2931</v>
      </c>
      <c r="C14883">
        <v>4412</v>
      </c>
      <c r="D14883" t="str">
        <f>"006140230438"</f>
        <v>006140230438</v>
      </c>
      <c r="E14883" t="s">
        <v>1004</v>
      </c>
      <c r="F14883" t="s">
        <v>1005</v>
      </c>
      <c r="G14883">
        <v>14.66</v>
      </c>
      <c r="H14883">
        <v>250331</v>
      </c>
      <c r="I14883">
        <v>4364</v>
      </c>
      <c r="J14883" t="s">
        <v>470</v>
      </c>
      <c r="K14883">
        <v>891.45</v>
      </c>
      <c r="L14883">
        <v>2.98</v>
      </c>
      <c r="M14883">
        <v>17972</v>
      </c>
      <c r="N14883" t="s">
        <v>28</v>
      </c>
      <c r="O14883">
        <v>250411</v>
      </c>
      <c r="P14883">
        <v>11.68</v>
      </c>
    </row>
    <row r="14884" spans="1:16" x14ac:dyDescent="0.25">
      <c r="A14884" t="s">
        <v>3296</v>
      </c>
      <c r="B14884" t="s">
        <v>2931</v>
      </c>
      <c r="C14884">
        <v>4412</v>
      </c>
      <c r="D14884" t="str">
        <f>"006140230438"</f>
        <v>006140230438</v>
      </c>
      <c r="E14884" t="s">
        <v>1004</v>
      </c>
      <c r="F14884" t="s">
        <v>1005</v>
      </c>
      <c r="G14884">
        <v>438.75</v>
      </c>
      <c r="H14884">
        <v>250331</v>
      </c>
      <c r="I14884">
        <v>4364</v>
      </c>
      <c r="J14884" t="s">
        <v>470</v>
      </c>
      <c r="K14884">
        <v>891.45</v>
      </c>
      <c r="L14884">
        <v>89.15</v>
      </c>
      <c r="M14884">
        <v>49701</v>
      </c>
      <c r="N14884" t="s">
        <v>111</v>
      </c>
      <c r="O14884">
        <v>250411</v>
      </c>
      <c r="P14884">
        <v>349.6</v>
      </c>
    </row>
    <row r="14885" spans="1:16" x14ac:dyDescent="0.25">
      <c r="A14885" t="s">
        <v>3296</v>
      </c>
      <c r="B14885" t="s">
        <v>2931</v>
      </c>
      <c r="C14885">
        <v>4412</v>
      </c>
      <c r="D14885" t="str">
        <f>"006140230438"</f>
        <v>006140230438</v>
      </c>
      <c r="E14885" t="s">
        <v>1004</v>
      </c>
      <c r="F14885" t="s">
        <v>1005</v>
      </c>
      <c r="G14885">
        <v>160.84</v>
      </c>
      <c r="H14885">
        <v>250331</v>
      </c>
      <c r="I14885">
        <v>4364</v>
      </c>
      <c r="J14885" t="s">
        <v>470</v>
      </c>
      <c r="K14885">
        <v>891.45</v>
      </c>
      <c r="L14885">
        <v>32.68</v>
      </c>
      <c r="M14885">
        <v>59701</v>
      </c>
      <c r="N14885" t="s">
        <v>64</v>
      </c>
      <c r="O14885">
        <v>250411</v>
      </c>
      <c r="P14885">
        <v>128.16</v>
      </c>
    </row>
    <row r="14886" spans="1:16" x14ac:dyDescent="0.25">
      <c r="A14886" t="s">
        <v>3296</v>
      </c>
      <c r="B14886" t="s">
        <v>2931</v>
      </c>
      <c r="C14886">
        <v>6058</v>
      </c>
      <c r="D14886" t="str">
        <f>"006180224246"</f>
        <v>006180224246</v>
      </c>
      <c r="E14886" t="s">
        <v>1004</v>
      </c>
      <c r="F14886" t="s">
        <v>1005</v>
      </c>
      <c r="G14886">
        <v>49.49</v>
      </c>
      <c r="H14886">
        <v>250430</v>
      </c>
      <c r="I14886">
        <v>4364</v>
      </c>
      <c r="J14886" t="s">
        <v>470</v>
      </c>
      <c r="K14886">
        <v>64.239999999999995</v>
      </c>
      <c r="L14886">
        <v>10.06</v>
      </c>
      <c r="M14886">
        <v>13281</v>
      </c>
      <c r="N14886" t="s">
        <v>476</v>
      </c>
      <c r="O14886">
        <v>250508</v>
      </c>
      <c r="P14886">
        <v>39.43</v>
      </c>
    </row>
    <row r="14887" spans="1:16" x14ac:dyDescent="0.25">
      <c r="A14887" t="s">
        <v>3296</v>
      </c>
      <c r="B14887" t="s">
        <v>2931</v>
      </c>
      <c r="C14887">
        <v>6058</v>
      </c>
      <c r="D14887" t="str">
        <f>"006180224246"</f>
        <v>006180224246</v>
      </c>
      <c r="E14887" t="s">
        <v>1004</v>
      </c>
      <c r="F14887" t="s">
        <v>1005</v>
      </c>
      <c r="G14887">
        <v>14.75</v>
      </c>
      <c r="H14887">
        <v>250430</v>
      </c>
      <c r="I14887">
        <v>4364</v>
      </c>
      <c r="J14887" t="s">
        <v>470</v>
      </c>
      <c r="K14887">
        <v>64.239999999999995</v>
      </c>
      <c r="L14887">
        <v>3</v>
      </c>
      <c r="M14887">
        <v>17529</v>
      </c>
      <c r="N14887" t="s">
        <v>143</v>
      </c>
      <c r="O14887">
        <v>250508</v>
      </c>
      <c r="P14887">
        <v>11.75</v>
      </c>
    </row>
    <row r="14888" spans="1:16" x14ac:dyDescent="0.25">
      <c r="A14888" t="s">
        <v>3296</v>
      </c>
      <c r="B14888" t="s">
        <v>2931</v>
      </c>
      <c r="C14888">
        <v>6385</v>
      </c>
      <c r="D14888" t="str">
        <f>"006180224247"</f>
        <v>006180224247</v>
      </c>
      <c r="E14888" t="s">
        <v>1004</v>
      </c>
      <c r="F14888" t="s">
        <v>1005</v>
      </c>
      <c r="G14888">
        <v>277.45</v>
      </c>
      <c r="H14888">
        <v>250430</v>
      </c>
      <c r="I14888">
        <v>4364</v>
      </c>
      <c r="J14888" t="s">
        <v>470</v>
      </c>
      <c r="K14888">
        <v>877.55</v>
      </c>
      <c r="L14888">
        <v>56.37</v>
      </c>
      <c r="M14888">
        <v>14971</v>
      </c>
      <c r="N14888" t="s">
        <v>81</v>
      </c>
      <c r="O14888">
        <v>250513</v>
      </c>
      <c r="P14888">
        <v>221.08</v>
      </c>
    </row>
    <row r="14889" spans="1:16" x14ac:dyDescent="0.25">
      <c r="A14889" t="s">
        <v>3296</v>
      </c>
      <c r="B14889" t="s">
        <v>2931</v>
      </c>
      <c r="C14889">
        <v>6385</v>
      </c>
      <c r="D14889" t="str">
        <f>"006180224247"</f>
        <v>006180224247</v>
      </c>
      <c r="E14889" t="s">
        <v>1004</v>
      </c>
      <c r="F14889" t="s">
        <v>1005</v>
      </c>
      <c r="G14889">
        <v>439.12</v>
      </c>
      <c r="H14889">
        <v>250430</v>
      </c>
      <c r="I14889">
        <v>4364</v>
      </c>
      <c r="J14889" t="s">
        <v>470</v>
      </c>
      <c r="K14889">
        <v>877.55</v>
      </c>
      <c r="L14889">
        <v>89.22</v>
      </c>
      <c r="M14889">
        <v>49701</v>
      </c>
      <c r="N14889" t="s">
        <v>111</v>
      </c>
      <c r="O14889">
        <v>250513</v>
      </c>
      <c r="P14889">
        <v>349.9</v>
      </c>
    </row>
    <row r="14890" spans="1:16" x14ac:dyDescent="0.25">
      <c r="A14890" t="s">
        <v>3296</v>
      </c>
      <c r="B14890" t="s">
        <v>2931</v>
      </c>
      <c r="C14890">
        <v>6385</v>
      </c>
      <c r="D14890" t="str">
        <f>"006180224247"</f>
        <v>006180224247</v>
      </c>
      <c r="E14890" t="s">
        <v>1004</v>
      </c>
      <c r="F14890" t="s">
        <v>1005</v>
      </c>
      <c r="G14890">
        <v>160.97999999999999</v>
      </c>
      <c r="H14890">
        <v>250430</v>
      </c>
      <c r="I14890">
        <v>4364</v>
      </c>
      <c r="J14890" t="s">
        <v>470</v>
      </c>
      <c r="K14890">
        <v>877.55</v>
      </c>
      <c r="L14890">
        <v>32.71</v>
      </c>
      <c r="M14890">
        <v>59701</v>
      </c>
      <c r="N14890" t="s">
        <v>64</v>
      </c>
      <c r="O14890">
        <v>250513</v>
      </c>
      <c r="P14890">
        <v>128.27000000000001</v>
      </c>
    </row>
    <row r="14891" spans="1:16" x14ac:dyDescent="0.25">
      <c r="A14891" t="s">
        <v>3296</v>
      </c>
      <c r="B14891" t="s">
        <v>2931</v>
      </c>
      <c r="C14891">
        <v>8176</v>
      </c>
      <c r="D14891" t="str">
        <f>"006110249453"</f>
        <v>006110249453</v>
      </c>
      <c r="E14891" t="s">
        <v>1004</v>
      </c>
      <c r="F14891" t="s">
        <v>1005</v>
      </c>
      <c r="G14891">
        <v>275.89</v>
      </c>
      <c r="H14891">
        <v>250531</v>
      </c>
      <c r="I14891">
        <v>4364</v>
      </c>
      <c r="J14891" t="s">
        <v>470</v>
      </c>
      <c r="K14891">
        <v>872.63</v>
      </c>
      <c r="L14891">
        <v>56.06</v>
      </c>
      <c r="M14891">
        <v>14971</v>
      </c>
      <c r="N14891" t="s">
        <v>81</v>
      </c>
      <c r="O14891">
        <v>250611</v>
      </c>
      <c r="P14891">
        <v>219.83</v>
      </c>
    </row>
    <row r="14892" spans="1:16" x14ac:dyDescent="0.25">
      <c r="A14892" t="s">
        <v>3296</v>
      </c>
      <c r="B14892" t="s">
        <v>2931</v>
      </c>
      <c r="C14892">
        <v>8176</v>
      </c>
      <c r="D14892" t="str">
        <f>"006110249453"</f>
        <v>006110249453</v>
      </c>
      <c r="E14892" t="s">
        <v>1004</v>
      </c>
      <c r="F14892" t="s">
        <v>1005</v>
      </c>
      <c r="G14892">
        <v>436.66</v>
      </c>
      <c r="H14892">
        <v>250531</v>
      </c>
      <c r="I14892">
        <v>4364</v>
      </c>
      <c r="J14892" t="s">
        <v>470</v>
      </c>
      <c r="K14892">
        <v>872.63</v>
      </c>
      <c r="L14892">
        <v>88.72</v>
      </c>
      <c r="M14892">
        <v>49701</v>
      </c>
      <c r="N14892" t="s">
        <v>111</v>
      </c>
      <c r="O14892">
        <v>250611</v>
      </c>
      <c r="P14892">
        <v>347.94</v>
      </c>
    </row>
    <row r="14893" spans="1:16" x14ac:dyDescent="0.25">
      <c r="A14893" t="s">
        <v>3296</v>
      </c>
      <c r="B14893" t="s">
        <v>2931</v>
      </c>
      <c r="C14893">
        <v>8176</v>
      </c>
      <c r="D14893" t="str">
        <f>"006110249453"</f>
        <v>006110249453</v>
      </c>
      <c r="E14893" t="s">
        <v>1004</v>
      </c>
      <c r="F14893" t="s">
        <v>1005</v>
      </c>
      <c r="G14893">
        <v>160.08000000000001</v>
      </c>
      <c r="H14893">
        <v>250531</v>
      </c>
      <c r="I14893">
        <v>4364</v>
      </c>
      <c r="J14893" t="s">
        <v>470</v>
      </c>
      <c r="K14893">
        <v>872.63</v>
      </c>
      <c r="L14893">
        <v>32.53</v>
      </c>
      <c r="M14893">
        <v>59701</v>
      </c>
      <c r="N14893" t="s">
        <v>64</v>
      </c>
      <c r="O14893">
        <v>250611</v>
      </c>
      <c r="P14893">
        <v>127.55</v>
      </c>
    </row>
    <row r="14894" spans="1:16" x14ac:dyDescent="0.25">
      <c r="A14894" t="s">
        <v>3296</v>
      </c>
      <c r="B14894" t="s">
        <v>2931</v>
      </c>
      <c r="C14894">
        <v>9541</v>
      </c>
      <c r="D14894" t="str">
        <f>"006120252237"</f>
        <v>006120252237</v>
      </c>
      <c r="E14894" t="s">
        <v>1004</v>
      </c>
      <c r="F14894" t="s">
        <v>1005</v>
      </c>
      <c r="G14894">
        <v>27.55</v>
      </c>
      <c r="H14894">
        <v>250630</v>
      </c>
      <c r="I14894">
        <v>4364</v>
      </c>
      <c r="J14894" t="s">
        <v>470</v>
      </c>
      <c r="K14894">
        <v>911.34</v>
      </c>
      <c r="L14894">
        <v>5.6</v>
      </c>
      <c r="M14894">
        <v>13201</v>
      </c>
      <c r="N14894" t="s">
        <v>269</v>
      </c>
      <c r="O14894">
        <v>250711</v>
      </c>
      <c r="P14894">
        <v>21.95</v>
      </c>
    </row>
    <row r="14895" spans="1:16" x14ac:dyDescent="0.25">
      <c r="A14895" t="s">
        <v>3296</v>
      </c>
      <c r="B14895" t="s">
        <v>2931</v>
      </c>
      <c r="C14895">
        <v>9541</v>
      </c>
      <c r="D14895" t="str">
        <f>"006120252237"</f>
        <v>006120252237</v>
      </c>
      <c r="E14895" t="s">
        <v>1004</v>
      </c>
      <c r="F14895" t="s">
        <v>1005</v>
      </c>
      <c r="G14895">
        <v>274.43</v>
      </c>
      <c r="H14895">
        <v>250630</v>
      </c>
      <c r="I14895">
        <v>4364</v>
      </c>
      <c r="J14895" t="s">
        <v>470</v>
      </c>
      <c r="K14895">
        <v>911.34</v>
      </c>
      <c r="L14895">
        <v>55.76</v>
      </c>
      <c r="M14895">
        <v>14971</v>
      </c>
      <c r="N14895" t="s">
        <v>81</v>
      </c>
      <c r="O14895">
        <v>250711</v>
      </c>
      <c r="P14895">
        <v>218.67</v>
      </c>
    </row>
    <row r="14896" spans="1:16" x14ac:dyDescent="0.25">
      <c r="A14896" t="s">
        <v>3296</v>
      </c>
      <c r="B14896" t="s">
        <v>2931</v>
      </c>
      <c r="C14896">
        <v>9541</v>
      </c>
      <c r="D14896" t="str">
        <f>"006120252237"</f>
        <v>006120252237</v>
      </c>
      <c r="E14896" t="s">
        <v>1004</v>
      </c>
      <c r="F14896" t="s">
        <v>1005</v>
      </c>
      <c r="G14896">
        <v>15.77</v>
      </c>
      <c r="H14896">
        <v>250630</v>
      </c>
      <c r="I14896">
        <v>4364</v>
      </c>
      <c r="J14896" t="s">
        <v>470</v>
      </c>
      <c r="K14896">
        <v>911.34</v>
      </c>
      <c r="L14896">
        <v>3.2</v>
      </c>
      <c r="M14896">
        <v>17972</v>
      </c>
      <c r="N14896" t="s">
        <v>28</v>
      </c>
      <c r="O14896">
        <v>250711</v>
      </c>
      <c r="P14896">
        <v>12.57</v>
      </c>
    </row>
    <row r="14897" spans="1:16" x14ac:dyDescent="0.25">
      <c r="A14897" t="s">
        <v>3296</v>
      </c>
      <c r="B14897" t="s">
        <v>2931</v>
      </c>
      <c r="C14897">
        <v>9541</v>
      </c>
      <c r="D14897" t="str">
        <f>"006120252237"</f>
        <v>006120252237</v>
      </c>
      <c r="E14897" t="s">
        <v>1004</v>
      </c>
      <c r="F14897" t="s">
        <v>1005</v>
      </c>
      <c r="G14897">
        <v>434.36</v>
      </c>
      <c r="H14897">
        <v>250630</v>
      </c>
      <c r="I14897">
        <v>4364</v>
      </c>
      <c r="J14897" t="s">
        <v>470</v>
      </c>
      <c r="K14897">
        <v>911.34</v>
      </c>
      <c r="L14897">
        <v>88.26</v>
      </c>
      <c r="M14897">
        <v>49701</v>
      </c>
      <c r="N14897" t="s">
        <v>111</v>
      </c>
      <c r="O14897">
        <v>250711</v>
      </c>
      <c r="P14897">
        <v>346.1</v>
      </c>
    </row>
    <row r="14898" spans="1:16" x14ac:dyDescent="0.25">
      <c r="A14898" t="s">
        <v>3296</v>
      </c>
      <c r="B14898" t="s">
        <v>2931</v>
      </c>
      <c r="C14898">
        <v>9541</v>
      </c>
      <c r="D14898" t="str">
        <f>"006120252237"</f>
        <v>006120252237</v>
      </c>
      <c r="E14898" t="s">
        <v>1004</v>
      </c>
      <c r="F14898" t="s">
        <v>1005</v>
      </c>
      <c r="G14898">
        <v>159.22999999999999</v>
      </c>
      <c r="H14898">
        <v>250630</v>
      </c>
      <c r="I14898">
        <v>4364</v>
      </c>
      <c r="J14898" t="s">
        <v>470</v>
      </c>
      <c r="K14898">
        <v>911.34</v>
      </c>
      <c r="L14898">
        <v>32.35</v>
      </c>
      <c r="M14898">
        <v>59701</v>
      </c>
      <c r="N14898" t="s">
        <v>64</v>
      </c>
      <c r="O14898">
        <v>250711</v>
      </c>
      <c r="P14898">
        <v>126.88</v>
      </c>
    </row>
    <row r="14899" spans="1:16" x14ac:dyDescent="0.25">
      <c r="A14899" t="s">
        <v>3296</v>
      </c>
      <c r="B14899" t="s">
        <v>2931</v>
      </c>
      <c r="C14899">
        <v>10075</v>
      </c>
      <c r="D14899" t="str">
        <f>"006120280946"</f>
        <v>006120280946</v>
      </c>
      <c r="E14899" t="s">
        <v>1004</v>
      </c>
      <c r="F14899" t="s">
        <v>1005</v>
      </c>
      <c r="G14899">
        <v>13.5</v>
      </c>
      <c r="H14899">
        <v>250731</v>
      </c>
      <c r="I14899">
        <v>4364</v>
      </c>
      <c r="J14899" t="s">
        <v>470</v>
      </c>
      <c r="K14899">
        <v>1017.38</v>
      </c>
      <c r="L14899">
        <v>2.74</v>
      </c>
      <c r="M14899">
        <v>13281</v>
      </c>
      <c r="N14899" t="s">
        <v>476</v>
      </c>
      <c r="O14899">
        <v>250811</v>
      </c>
      <c r="P14899">
        <v>10.76</v>
      </c>
    </row>
    <row r="14900" spans="1:16" x14ac:dyDescent="0.25">
      <c r="A14900" t="s">
        <v>3296</v>
      </c>
      <c r="B14900" t="s">
        <v>2931</v>
      </c>
      <c r="C14900">
        <v>10075</v>
      </c>
      <c r="D14900" t="str">
        <f>"006120280946"</f>
        <v>006120280946</v>
      </c>
      <c r="E14900" t="s">
        <v>1004</v>
      </c>
      <c r="F14900" t="s">
        <v>1005</v>
      </c>
      <c r="G14900">
        <v>280.27999999999997</v>
      </c>
      <c r="H14900">
        <v>250731</v>
      </c>
      <c r="I14900">
        <v>4364</v>
      </c>
      <c r="J14900" t="s">
        <v>470</v>
      </c>
      <c r="K14900">
        <v>1017.38</v>
      </c>
      <c r="L14900">
        <v>56.95</v>
      </c>
      <c r="M14900">
        <v>14971</v>
      </c>
      <c r="N14900" t="s">
        <v>81</v>
      </c>
      <c r="O14900">
        <v>250811</v>
      </c>
      <c r="P14900">
        <v>223.33</v>
      </c>
    </row>
    <row r="14901" spans="1:16" x14ac:dyDescent="0.25">
      <c r="A14901" t="s">
        <v>3296</v>
      </c>
      <c r="B14901" t="s">
        <v>2931</v>
      </c>
      <c r="C14901">
        <v>10075</v>
      </c>
      <c r="D14901" t="str">
        <f>"006120280946"</f>
        <v>006120280946</v>
      </c>
      <c r="E14901" t="s">
        <v>1004</v>
      </c>
      <c r="F14901" t="s">
        <v>1005</v>
      </c>
      <c r="G14901">
        <v>117.39</v>
      </c>
      <c r="H14901">
        <v>250731</v>
      </c>
      <c r="I14901">
        <v>4364</v>
      </c>
      <c r="J14901" t="s">
        <v>470</v>
      </c>
      <c r="K14901">
        <v>1017.38</v>
      </c>
      <c r="L14901">
        <v>23.85</v>
      </c>
      <c r="M14901">
        <v>18972</v>
      </c>
      <c r="N14901" t="s">
        <v>39</v>
      </c>
      <c r="O14901">
        <v>250811</v>
      </c>
      <c r="P14901">
        <v>93.54</v>
      </c>
    </row>
    <row r="14902" spans="1:16" x14ac:dyDescent="0.25">
      <c r="A14902" t="s">
        <v>3296</v>
      </c>
      <c r="B14902" t="s">
        <v>2931</v>
      </c>
      <c r="C14902">
        <v>10075</v>
      </c>
      <c r="D14902" t="str">
        <f>"006120280946"</f>
        <v>006120280946</v>
      </c>
      <c r="E14902" t="s">
        <v>1004</v>
      </c>
      <c r="F14902" t="s">
        <v>1005</v>
      </c>
      <c r="G14902">
        <v>443.59</v>
      </c>
      <c r="H14902">
        <v>250731</v>
      </c>
      <c r="I14902">
        <v>4364</v>
      </c>
      <c r="J14902" t="s">
        <v>470</v>
      </c>
      <c r="K14902">
        <v>1017.38</v>
      </c>
      <c r="L14902">
        <v>90.13</v>
      </c>
      <c r="M14902">
        <v>49701</v>
      </c>
      <c r="N14902" t="s">
        <v>111</v>
      </c>
      <c r="O14902">
        <v>250811</v>
      </c>
      <c r="P14902">
        <v>353.46</v>
      </c>
    </row>
    <row r="14903" spans="1:16" x14ac:dyDescent="0.25">
      <c r="A14903" t="s">
        <v>3296</v>
      </c>
      <c r="B14903" t="s">
        <v>2931</v>
      </c>
      <c r="C14903">
        <v>10075</v>
      </c>
      <c r="D14903" t="str">
        <f>"006120280946"</f>
        <v>006120280946</v>
      </c>
      <c r="E14903" t="s">
        <v>1004</v>
      </c>
      <c r="F14903" t="s">
        <v>1005</v>
      </c>
      <c r="G14903">
        <v>162.62</v>
      </c>
      <c r="H14903">
        <v>250731</v>
      </c>
      <c r="I14903">
        <v>4364</v>
      </c>
      <c r="J14903" t="s">
        <v>470</v>
      </c>
      <c r="K14903">
        <v>1017.38</v>
      </c>
      <c r="L14903">
        <v>33.04</v>
      </c>
      <c r="M14903">
        <v>59701</v>
      </c>
      <c r="N14903" t="s">
        <v>64</v>
      </c>
      <c r="O14903">
        <v>250811</v>
      </c>
      <c r="P14903">
        <v>129.58000000000001</v>
      </c>
    </row>
    <row r="14904" spans="1:16" x14ac:dyDescent="0.25">
      <c r="A14904" t="s">
        <v>3296</v>
      </c>
      <c r="B14904" t="s">
        <v>2931</v>
      </c>
      <c r="C14904">
        <v>11687</v>
      </c>
      <c r="D14904" t="str">
        <f>"006130315290"</f>
        <v>006130315290</v>
      </c>
      <c r="E14904" t="s">
        <v>1004</v>
      </c>
      <c r="F14904" t="s">
        <v>1005</v>
      </c>
      <c r="G14904">
        <v>280.49</v>
      </c>
      <c r="H14904">
        <v>250831</v>
      </c>
      <c r="I14904">
        <v>4364</v>
      </c>
      <c r="J14904" t="s">
        <v>470</v>
      </c>
      <c r="K14904">
        <v>902.41</v>
      </c>
      <c r="L14904">
        <v>56.99</v>
      </c>
      <c r="M14904">
        <v>14971</v>
      </c>
      <c r="N14904" t="s">
        <v>81</v>
      </c>
      <c r="O14904">
        <v>250910</v>
      </c>
      <c r="P14904">
        <v>223.5</v>
      </c>
    </row>
    <row r="14905" spans="1:16" x14ac:dyDescent="0.25">
      <c r="A14905" t="s">
        <v>3296</v>
      </c>
      <c r="B14905" t="s">
        <v>2931</v>
      </c>
      <c r="C14905">
        <v>11687</v>
      </c>
      <c r="D14905" t="str">
        <f>"006130315290"</f>
        <v>006130315290</v>
      </c>
      <c r="E14905" t="s">
        <v>1004</v>
      </c>
      <c r="F14905" t="s">
        <v>1005</v>
      </c>
      <c r="G14905">
        <v>15.22</v>
      </c>
      <c r="H14905">
        <v>250831</v>
      </c>
      <c r="I14905">
        <v>4364</v>
      </c>
      <c r="J14905" t="s">
        <v>470</v>
      </c>
      <c r="K14905">
        <v>902.41</v>
      </c>
      <c r="L14905">
        <v>3.09</v>
      </c>
      <c r="M14905">
        <v>17971</v>
      </c>
      <c r="N14905" t="s">
        <v>27</v>
      </c>
      <c r="O14905">
        <v>250910</v>
      </c>
      <c r="P14905">
        <v>12.13</v>
      </c>
    </row>
    <row r="14906" spans="1:16" x14ac:dyDescent="0.25">
      <c r="A14906" t="s">
        <v>3296</v>
      </c>
      <c r="B14906" t="s">
        <v>2931</v>
      </c>
      <c r="C14906">
        <v>11687</v>
      </c>
      <c r="D14906" t="str">
        <f>"006130315290"</f>
        <v>006130315290</v>
      </c>
      <c r="E14906" t="s">
        <v>1004</v>
      </c>
      <c r="F14906" t="s">
        <v>1005</v>
      </c>
      <c r="G14906">
        <v>443.95</v>
      </c>
      <c r="H14906">
        <v>250831</v>
      </c>
      <c r="I14906">
        <v>4364</v>
      </c>
      <c r="J14906" t="s">
        <v>470</v>
      </c>
      <c r="K14906">
        <v>902.41</v>
      </c>
      <c r="L14906">
        <v>90.2</v>
      </c>
      <c r="M14906">
        <v>49701</v>
      </c>
      <c r="N14906" t="s">
        <v>111</v>
      </c>
      <c r="O14906">
        <v>250910</v>
      </c>
      <c r="P14906">
        <v>353.75</v>
      </c>
    </row>
    <row r="14907" spans="1:16" x14ac:dyDescent="0.25">
      <c r="A14907" t="s">
        <v>3296</v>
      </c>
      <c r="B14907" t="s">
        <v>2931</v>
      </c>
      <c r="C14907">
        <v>11687</v>
      </c>
      <c r="D14907" t="str">
        <f>"006130315290"</f>
        <v>006130315290</v>
      </c>
      <c r="E14907" t="s">
        <v>1004</v>
      </c>
      <c r="F14907" t="s">
        <v>1005</v>
      </c>
      <c r="G14907">
        <v>162.75</v>
      </c>
      <c r="H14907">
        <v>250831</v>
      </c>
      <c r="I14907">
        <v>4364</v>
      </c>
      <c r="J14907" t="s">
        <v>470</v>
      </c>
      <c r="K14907">
        <v>902.41</v>
      </c>
      <c r="L14907">
        <v>33.07</v>
      </c>
      <c r="M14907">
        <v>59701</v>
      </c>
      <c r="N14907" t="s">
        <v>64</v>
      </c>
      <c r="O14907">
        <v>250910</v>
      </c>
      <c r="P14907">
        <v>129.68</v>
      </c>
    </row>
    <row r="14908" spans="1:16" x14ac:dyDescent="0.25">
      <c r="A14908" t="s">
        <v>3296</v>
      </c>
      <c r="B14908" t="s">
        <v>2931</v>
      </c>
      <c r="C14908">
        <v>13448</v>
      </c>
      <c r="D14908" t="str">
        <f t="shared" ref="D14908:D14915" si="247">"006180349531"</f>
        <v>006180349531</v>
      </c>
      <c r="E14908" t="s">
        <v>1004</v>
      </c>
      <c r="F14908" t="s">
        <v>1005</v>
      </c>
      <c r="G14908">
        <v>6.27</v>
      </c>
      <c r="H14908">
        <v>250930</v>
      </c>
      <c r="I14908">
        <v>4364</v>
      </c>
      <c r="J14908" t="s">
        <v>470</v>
      </c>
      <c r="K14908">
        <v>1008.03</v>
      </c>
      <c r="L14908">
        <v>1.27</v>
      </c>
      <c r="M14908">
        <v>13501</v>
      </c>
      <c r="N14908" t="s">
        <v>66</v>
      </c>
      <c r="O14908">
        <v>251010</v>
      </c>
      <c r="P14908">
        <v>5</v>
      </c>
    </row>
    <row r="14909" spans="1:16" x14ac:dyDescent="0.25">
      <c r="A14909" t="s">
        <v>3296</v>
      </c>
      <c r="B14909" t="s">
        <v>2931</v>
      </c>
      <c r="C14909">
        <v>13448</v>
      </c>
      <c r="D14909" t="str">
        <f t="shared" si="247"/>
        <v>006180349531</v>
      </c>
      <c r="E14909" t="s">
        <v>1004</v>
      </c>
      <c r="F14909" t="s">
        <v>1005</v>
      </c>
      <c r="G14909">
        <v>37.049999999999997</v>
      </c>
      <c r="H14909">
        <v>250930</v>
      </c>
      <c r="I14909">
        <v>4364</v>
      </c>
      <c r="J14909" t="s">
        <v>470</v>
      </c>
      <c r="K14909">
        <v>1008.03</v>
      </c>
      <c r="L14909">
        <v>7.53</v>
      </c>
      <c r="M14909">
        <v>14432</v>
      </c>
      <c r="N14909" t="s">
        <v>75</v>
      </c>
      <c r="O14909">
        <v>251010</v>
      </c>
      <c r="P14909">
        <v>29.52</v>
      </c>
    </row>
    <row r="14910" spans="1:16" x14ac:dyDescent="0.25">
      <c r="A14910" t="s">
        <v>3296</v>
      </c>
      <c r="B14910" t="s">
        <v>2931</v>
      </c>
      <c r="C14910">
        <v>13448</v>
      </c>
      <c r="D14910" t="str">
        <f t="shared" si="247"/>
        <v>006180349531</v>
      </c>
      <c r="E14910" t="s">
        <v>1004</v>
      </c>
      <c r="F14910" t="s">
        <v>1005</v>
      </c>
      <c r="G14910">
        <v>279.2</v>
      </c>
      <c r="H14910">
        <v>250930</v>
      </c>
      <c r="I14910">
        <v>4364</v>
      </c>
      <c r="J14910" t="s">
        <v>470</v>
      </c>
      <c r="K14910">
        <v>1008.03</v>
      </c>
      <c r="L14910">
        <v>56.73</v>
      </c>
      <c r="M14910">
        <v>14971</v>
      </c>
      <c r="N14910" t="s">
        <v>81</v>
      </c>
      <c r="O14910">
        <v>251010</v>
      </c>
      <c r="P14910">
        <v>222.47</v>
      </c>
    </row>
    <row r="14911" spans="1:16" x14ac:dyDescent="0.25">
      <c r="A14911" t="s">
        <v>3296</v>
      </c>
      <c r="B14911" t="s">
        <v>2931</v>
      </c>
      <c r="C14911">
        <v>13448</v>
      </c>
      <c r="D14911" t="str">
        <f t="shared" si="247"/>
        <v>006180349531</v>
      </c>
      <c r="E14911" t="s">
        <v>1004</v>
      </c>
      <c r="F14911" t="s">
        <v>1005</v>
      </c>
      <c r="G14911">
        <v>17.329999999999998</v>
      </c>
      <c r="H14911">
        <v>250930</v>
      </c>
      <c r="I14911">
        <v>4364</v>
      </c>
      <c r="J14911" t="s">
        <v>470</v>
      </c>
      <c r="K14911">
        <v>1008.03</v>
      </c>
      <c r="L14911">
        <v>3.52</v>
      </c>
      <c r="M14911">
        <v>17523</v>
      </c>
      <c r="N14911" t="s">
        <v>138</v>
      </c>
      <c r="O14911">
        <v>251010</v>
      </c>
      <c r="P14911">
        <v>13.81</v>
      </c>
    </row>
    <row r="14912" spans="1:16" x14ac:dyDescent="0.25">
      <c r="A14912" t="s">
        <v>3296</v>
      </c>
      <c r="B14912" t="s">
        <v>2931</v>
      </c>
      <c r="C14912">
        <v>13448</v>
      </c>
      <c r="D14912" t="str">
        <f t="shared" si="247"/>
        <v>006180349531</v>
      </c>
      <c r="E14912" t="s">
        <v>1004</v>
      </c>
      <c r="F14912" t="s">
        <v>1005</v>
      </c>
      <c r="G14912">
        <v>13.55</v>
      </c>
      <c r="H14912">
        <v>250930</v>
      </c>
      <c r="I14912">
        <v>4364</v>
      </c>
      <c r="J14912" t="s">
        <v>470</v>
      </c>
      <c r="K14912">
        <v>1008.03</v>
      </c>
      <c r="L14912">
        <v>2.75</v>
      </c>
      <c r="M14912">
        <v>17538</v>
      </c>
      <c r="N14912" t="s">
        <v>129</v>
      </c>
      <c r="O14912">
        <v>251010</v>
      </c>
      <c r="P14912">
        <v>10.8</v>
      </c>
    </row>
    <row r="14913" spans="1:16" x14ac:dyDescent="0.25">
      <c r="A14913" t="s">
        <v>3296</v>
      </c>
      <c r="B14913" t="s">
        <v>2931</v>
      </c>
      <c r="C14913">
        <v>13448</v>
      </c>
      <c r="D14913" t="str">
        <f t="shared" si="247"/>
        <v>006180349531</v>
      </c>
      <c r="E14913" t="s">
        <v>1004</v>
      </c>
      <c r="F14913" t="s">
        <v>1005</v>
      </c>
      <c r="G14913">
        <v>50.73</v>
      </c>
      <c r="H14913">
        <v>250930</v>
      </c>
      <c r="I14913">
        <v>4364</v>
      </c>
      <c r="J14913" t="s">
        <v>470</v>
      </c>
      <c r="K14913">
        <v>1008.03</v>
      </c>
      <c r="L14913">
        <v>10.31</v>
      </c>
      <c r="M14913">
        <v>17971</v>
      </c>
      <c r="N14913" t="s">
        <v>27</v>
      </c>
      <c r="O14913">
        <v>251010</v>
      </c>
      <c r="P14913">
        <v>40.42</v>
      </c>
    </row>
    <row r="14914" spans="1:16" x14ac:dyDescent="0.25">
      <c r="A14914" t="s">
        <v>3296</v>
      </c>
      <c r="B14914" t="s">
        <v>2931</v>
      </c>
      <c r="C14914">
        <v>13448</v>
      </c>
      <c r="D14914" t="str">
        <f t="shared" si="247"/>
        <v>006180349531</v>
      </c>
      <c r="E14914" t="s">
        <v>1004</v>
      </c>
      <c r="F14914" t="s">
        <v>1005</v>
      </c>
      <c r="G14914">
        <v>441.9</v>
      </c>
      <c r="H14914">
        <v>250930</v>
      </c>
      <c r="I14914">
        <v>4364</v>
      </c>
      <c r="J14914" t="s">
        <v>470</v>
      </c>
      <c r="K14914">
        <v>1008.03</v>
      </c>
      <c r="L14914">
        <v>89.79</v>
      </c>
      <c r="M14914">
        <v>49701</v>
      </c>
      <c r="N14914" t="s">
        <v>111</v>
      </c>
      <c r="O14914">
        <v>251010</v>
      </c>
      <c r="P14914">
        <v>352.11</v>
      </c>
    </row>
    <row r="14915" spans="1:16" x14ac:dyDescent="0.25">
      <c r="A14915" t="s">
        <v>3296</v>
      </c>
      <c r="B14915" t="s">
        <v>2931</v>
      </c>
      <c r="C14915">
        <v>13448</v>
      </c>
      <c r="D14915" t="str">
        <f t="shared" si="247"/>
        <v>006180349531</v>
      </c>
      <c r="E14915" t="s">
        <v>1004</v>
      </c>
      <c r="F14915" t="s">
        <v>1005</v>
      </c>
      <c r="G14915">
        <v>162</v>
      </c>
      <c r="H14915">
        <v>250930</v>
      </c>
      <c r="I14915">
        <v>4364</v>
      </c>
      <c r="J14915" t="s">
        <v>470</v>
      </c>
      <c r="K14915">
        <v>1008.03</v>
      </c>
      <c r="L14915">
        <v>32.92</v>
      </c>
      <c r="M14915">
        <v>59701</v>
      </c>
      <c r="N14915" t="s">
        <v>64</v>
      </c>
      <c r="O14915">
        <v>251010</v>
      </c>
      <c r="P14915">
        <v>129.08000000000001</v>
      </c>
    </row>
    <row r="14916" spans="1:16" x14ac:dyDescent="0.25">
      <c r="A14916" t="s">
        <v>3296</v>
      </c>
      <c r="B14916" t="s">
        <v>2931</v>
      </c>
      <c r="C14916">
        <v>14840</v>
      </c>
      <c r="D14916" t="str">
        <f t="shared" ref="D14916:D14922" si="248">"006160285275"</f>
        <v>006160285275</v>
      </c>
      <c r="E14916" t="s">
        <v>1004</v>
      </c>
      <c r="F14916" t="s">
        <v>1005</v>
      </c>
      <c r="G14916">
        <v>85.62</v>
      </c>
      <c r="H14916">
        <v>251031</v>
      </c>
      <c r="I14916">
        <v>4364</v>
      </c>
      <c r="J14916" t="s">
        <v>470</v>
      </c>
      <c r="K14916">
        <v>1076.83</v>
      </c>
      <c r="L14916">
        <v>17.399999999999999</v>
      </c>
      <c r="M14916">
        <v>13561</v>
      </c>
      <c r="N14916" t="s">
        <v>241</v>
      </c>
      <c r="O14916">
        <v>251107</v>
      </c>
      <c r="P14916">
        <v>68.22</v>
      </c>
    </row>
    <row r="14917" spans="1:16" x14ac:dyDescent="0.25">
      <c r="A14917" t="s">
        <v>3296</v>
      </c>
      <c r="B14917" t="s">
        <v>2931</v>
      </c>
      <c r="C14917">
        <v>14840</v>
      </c>
      <c r="D14917" t="str">
        <f t="shared" si="248"/>
        <v>006160285275</v>
      </c>
      <c r="E14917" t="s">
        <v>1004</v>
      </c>
      <c r="F14917" t="s">
        <v>1005</v>
      </c>
      <c r="G14917">
        <v>175.8</v>
      </c>
      <c r="H14917">
        <v>251031</v>
      </c>
      <c r="I14917">
        <v>4364</v>
      </c>
      <c r="J14917" t="s">
        <v>470</v>
      </c>
      <c r="K14917">
        <v>1076.83</v>
      </c>
      <c r="L14917">
        <v>35.72</v>
      </c>
      <c r="M14917">
        <v>14971</v>
      </c>
      <c r="N14917" t="s">
        <v>81</v>
      </c>
      <c r="O14917">
        <v>251107</v>
      </c>
      <c r="P14917">
        <v>140.08000000000001</v>
      </c>
    </row>
    <row r="14918" spans="1:16" x14ac:dyDescent="0.25">
      <c r="A14918" t="s">
        <v>3296</v>
      </c>
      <c r="B14918" t="s">
        <v>2931</v>
      </c>
      <c r="C14918">
        <v>14840</v>
      </c>
      <c r="D14918" t="str">
        <f t="shared" si="248"/>
        <v>006160285275</v>
      </c>
      <c r="E14918" t="s">
        <v>1004</v>
      </c>
      <c r="F14918" t="s">
        <v>1005</v>
      </c>
      <c r="G14918">
        <v>24.59</v>
      </c>
      <c r="H14918">
        <v>251031</v>
      </c>
      <c r="I14918">
        <v>4364</v>
      </c>
      <c r="J14918" t="s">
        <v>470</v>
      </c>
      <c r="K14918">
        <v>1076.83</v>
      </c>
      <c r="L14918">
        <v>5</v>
      </c>
      <c r="M14918">
        <v>17523</v>
      </c>
      <c r="N14918" t="s">
        <v>138</v>
      </c>
      <c r="O14918">
        <v>251107</v>
      </c>
      <c r="P14918">
        <v>19.59</v>
      </c>
    </row>
    <row r="14919" spans="1:16" x14ac:dyDescent="0.25">
      <c r="A14919" t="s">
        <v>3296</v>
      </c>
      <c r="B14919" t="s">
        <v>2931</v>
      </c>
      <c r="C14919">
        <v>14840</v>
      </c>
      <c r="D14919" t="str">
        <f t="shared" si="248"/>
        <v>006160285275</v>
      </c>
      <c r="E14919" t="s">
        <v>1004</v>
      </c>
      <c r="F14919" t="s">
        <v>1005</v>
      </c>
      <c r="G14919">
        <v>13.5</v>
      </c>
      <c r="H14919">
        <v>251031</v>
      </c>
      <c r="I14919">
        <v>4364</v>
      </c>
      <c r="J14919" t="s">
        <v>470</v>
      </c>
      <c r="K14919">
        <v>1076.83</v>
      </c>
      <c r="L14919">
        <v>2.74</v>
      </c>
      <c r="M14919">
        <v>17971</v>
      </c>
      <c r="N14919" t="s">
        <v>27</v>
      </c>
      <c r="O14919">
        <v>251107</v>
      </c>
      <c r="P14919">
        <v>10.76</v>
      </c>
    </row>
    <row r="14920" spans="1:16" x14ac:dyDescent="0.25">
      <c r="A14920" t="s">
        <v>3296</v>
      </c>
      <c r="B14920" t="s">
        <v>2931</v>
      </c>
      <c r="C14920">
        <v>14840</v>
      </c>
      <c r="D14920" t="str">
        <f t="shared" si="248"/>
        <v>006160285275</v>
      </c>
      <c r="E14920" t="s">
        <v>1004</v>
      </c>
      <c r="F14920" t="s">
        <v>1005</v>
      </c>
      <c r="G14920">
        <v>171.23</v>
      </c>
      <c r="H14920">
        <v>251031</v>
      </c>
      <c r="I14920">
        <v>4364</v>
      </c>
      <c r="J14920" t="s">
        <v>470</v>
      </c>
      <c r="K14920">
        <v>1076.83</v>
      </c>
      <c r="L14920">
        <v>34.79</v>
      </c>
      <c r="M14920">
        <v>17971</v>
      </c>
      <c r="N14920" t="s">
        <v>27</v>
      </c>
      <c r="O14920">
        <v>251107</v>
      </c>
      <c r="P14920">
        <v>136.44</v>
      </c>
    </row>
    <row r="14921" spans="1:16" x14ac:dyDescent="0.25">
      <c r="A14921" t="s">
        <v>3296</v>
      </c>
      <c r="B14921" t="s">
        <v>2931</v>
      </c>
      <c r="C14921">
        <v>14840</v>
      </c>
      <c r="D14921" t="str">
        <f t="shared" si="248"/>
        <v>006160285275</v>
      </c>
      <c r="E14921" t="s">
        <v>1004</v>
      </c>
      <c r="F14921" t="s">
        <v>1005</v>
      </c>
      <c r="G14921">
        <v>443.5</v>
      </c>
      <c r="H14921">
        <v>251031</v>
      </c>
      <c r="I14921">
        <v>4364</v>
      </c>
      <c r="J14921" t="s">
        <v>470</v>
      </c>
      <c r="K14921">
        <v>1076.83</v>
      </c>
      <c r="L14921">
        <v>90.11</v>
      </c>
      <c r="M14921">
        <v>49701</v>
      </c>
      <c r="N14921" t="s">
        <v>111</v>
      </c>
      <c r="O14921">
        <v>251107</v>
      </c>
      <c r="P14921">
        <v>353.39</v>
      </c>
    </row>
    <row r="14922" spans="1:16" x14ac:dyDescent="0.25">
      <c r="A14922" t="s">
        <v>3296</v>
      </c>
      <c r="B14922" t="s">
        <v>2931</v>
      </c>
      <c r="C14922">
        <v>14840</v>
      </c>
      <c r="D14922" t="str">
        <f t="shared" si="248"/>
        <v>006160285275</v>
      </c>
      <c r="E14922" t="s">
        <v>1004</v>
      </c>
      <c r="F14922" t="s">
        <v>1005</v>
      </c>
      <c r="G14922">
        <v>162.59</v>
      </c>
      <c r="H14922">
        <v>251031</v>
      </c>
      <c r="I14922">
        <v>4364</v>
      </c>
      <c r="J14922" t="s">
        <v>470</v>
      </c>
      <c r="K14922">
        <v>1076.83</v>
      </c>
      <c r="L14922">
        <v>33.04</v>
      </c>
      <c r="M14922">
        <v>59701</v>
      </c>
      <c r="N14922" t="s">
        <v>64</v>
      </c>
      <c r="O14922">
        <v>251107</v>
      </c>
      <c r="P14922">
        <v>129.55000000000001</v>
      </c>
    </row>
    <row r="14923" spans="1:16" x14ac:dyDescent="0.25">
      <c r="A14923" t="s">
        <v>3296</v>
      </c>
      <c r="B14923" t="s">
        <v>2931</v>
      </c>
      <c r="C14923">
        <v>16877</v>
      </c>
      <c r="D14923" t="str">
        <f>"006120367651"</f>
        <v>006120367651</v>
      </c>
      <c r="E14923" t="s">
        <v>1004</v>
      </c>
      <c r="F14923" t="s">
        <v>1005</v>
      </c>
      <c r="G14923">
        <v>13.5</v>
      </c>
      <c r="H14923">
        <v>251130</v>
      </c>
      <c r="I14923">
        <v>4364</v>
      </c>
      <c r="J14923" t="s">
        <v>470</v>
      </c>
      <c r="K14923">
        <v>794.01</v>
      </c>
      <c r="L14923">
        <v>2.74</v>
      </c>
      <c r="M14923">
        <v>13281</v>
      </c>
      <c r="N14923" t="s">
        <v>476</v>
      </c>
      <c r="O14923">
        <v>251215</v>
      </c>
      <c r="P14923">
        <v>10.76</v>
      </c>
    </row>
    <row r="14924" spans="1:16" x14ac:dyDescent="0.25">
      <c r="A14924" t="s">
        <v>3296</v>
      </c>
      <c r="B14924" t="s">
        <v>2931</v>
      </c>
      <c r="C14924">
        <v>16877</v>
      </c>
      <c r="D14924" t="str">
        <f>"006120367651"</f>
        <v>006120367651</v>
      </c>
      <c r="E14924" t="s">
        <v>1004</v>
      </c>
      <c r="F14924" t="s">
        <v>1005</v>
      </c>
      <c r="G14924">
        <v>175.49</v>
      </c>
      <c r="H14924">
        <v>251130</v>
      </c>
      <c r="I14924">
        <v>4364</v>
      </c>
      <c r="J14924" t="s">
        <v>470</v>
      </c>
      <c r="K14924">
        <v>794.01</v>
      </c>
      <c r="L14924">
        <v>35.659999999999997</v>
      </c>
      <c r="M14924">
        <v>14971</v>
      </c>
      <c r="N14924" t="s">
        <v>81</v>
      </c>
      <c r="O14924">
        <v>251215</v>
      </c>
      <c r="P14924">
        <v>139.83000000000001</v>
      </c>
    </row>
    <row r="14925" spans="1:16" x14ac:dyDescent="0.25">
      <c r="A14925" t="s">
        <v>3296</v>
      </c>
      <c r="B14925" t="s">
        <v>2931</v>
      </c>
      <c r="C14925">
        <v>16877</v>
      </c>
      <c r="D14925" t="str">
        <f>"006120367651"</f>
        <v>006120367651</v>
      </c>
      <c r="E14925" t="s">
        <v>1004</v>
      </c>
      <c r="F14925" t="s">
        <v>1005</v>
      </c>
      <c r="G14925">
        <v>442.72</v>
      </c>
      <c r="H14925">
        <v>251130</v>
      </c>
      <c r="I14925">
        <v>4364</v>
      </c>
      <c r="J14925" t="s">
        <v>470</v>
      </c>
      <c r="K14925">
        <v>794.01</v>
      </c>
      <c r="L14925">
        <v>89.96</v>
      </c>
      <c r="M14925">
        <v>49701</v>
      </c>
      <c r="N14925" t="s">
        <v>111</v>
      </c>
      <c r="O14925">
        <v>251215</v>
      </c>
      <c r="P14925">
        <v>352.76</v>
      </c>
    </row>
    <row r="14926" spans="1:16" x14ac:dyDescent="0.25">
      <c r="A14926" t="s">
        <v>3296</v>
      </c>
      <c r="B14926" t="s">
        <v>2931</v>
      </c>
      <c r="C14926">
        <v>16877</v>
      </c>
      <c r="D14926" t="str">
        <f>"006120367651"</f>
        <v>006120367651</v>
      </c>
      <c r="E14926" t="s">
        <v>1004</v>
      </c>
      <c r="F14926" t="s">
        <v>1005</v>
      </c>
      <c r="G14926">
        <v>162.30000000000001</v>
      </c>
      <c r="H14926">
        <v>251130</v>
      </c>
      <c r="I14926">
        <v>4364</v>
      </c>
      <c r="J14926" t="s">
        <v>470</v>
      </c>
      <c r="K14926">
        <v>794.01</v>
      </c>
      <c r="L14926">
        <v>32.979999999999997</v>
      </c>
      <c r="M14926">
        <v>59701</v>
      </c>
      <c r="N14926" t="s">
        <v>64</v>
      </c>
      <c r="O14926">
        <v>251215</v>
      </c>
      <c r="P14926">
        <v>129.32</v>
      </c>
    </row>
    <row r="14927" spans="1:16" x14ac:dyDescent="0.25">
      <c r="A14927" t="s">
        <v>3296</v>
      </c>
      <c r="B14927" t="s">
        <v>2931</v>
      </c>
      <c r="C14927">
        <v>18501</v>
      </c>
      <c r="D14927" t="str">
        <f t="shared" ref="D14927:D14932" si="249">"006180438148"</f>
        <v>006180438148</v>
      </c>
      <c r="E14927" t="s">
        <v>1004</v>
      </c>
      <c r="F14927" t="s">
        <v>1005</v>
      </c>
      <c r="G14927">
        <v>176.39</v>
      </c>
      <c r="H14927">
        <v>251231</v>
      </c>
      <c r="I14927">
        <v>4364</v>
      </c>
      <c r="J14927" t="s">
        <v>470</v>
      </c>
      <c r="K14927">
        <v>859.6</v>
      </c>
      <c r="L14927">
        <v>35.840000000000003</v>
      </c>
      <c r="M14927">
        <v>14971</v>
      </c>
      <c r="N14927" t="s">
        <v>81</v>
      </c>
      <c r="O14927">
        <v>260114</v>
      </c>
      <c r="P14927">
        <v>140.55000000000001</v>
      </c>
    </row>
    <row r="14928" spans="1:16" x14ac:dyDescent="0.25">
      <c r="A14928" t="s">
        <v>3296</v>
      </c>
      <c r="B14928" t="s">
        <v>2931</v>
      </c>
      <c r="C14928">
        <v>18501</v>
      </c>
      <c r="D14928" t="str">
        <f t="shared" si="249"/>
        <v>006180438148</v>
      </c>
      <c r="E14928" t="s">
        <v>1004</v>
      </c>
      <c r="F14928" t="s">
        <v>1005</v>
      </c>
      <c r="G14928">
        <v>23.1</v>
      </c>
      <c r="H14928">
        <v>251231</v>
      </c>
      <c r="I14928">
        <v>4364</v>
      </c>
      <c r="J14928" t="s">
        <v>470</v>
      </c>
      <c r="K14928">
        <v>859.6</v>
      </c>
      <c r="L14928">
        <v>4.6900000000000004</v>
      </c>
      <c r="M14928">
        <v>17522</v>
      </c>
      <c r="N14928" t="s">
        <v>137</v>
      </c>
      <c r="O14928">
        <v>260114</v>
      </c>
      <c r="P14928">
        <v>18.41</v>
      </c>
    </row>
    <row r="14929" spans="1:16" x14ac:dyDescent="0.25">
      <c r="A14929" t="s">
        <v>3296</v>
      </c>
      <c r="B14929" t="s">
        <v>2931</v>
      </c>
      <c r="C14929">
        <v>18501</v>
      </c>
      <c r="D14929" t="str">
        <f t="shared" si="249"/>
        <v>006180438148</v>
      </c>
      <c r="E14929" t="s">
        <v>1004</v>
      </c>
      <c r="F14929" t="s">
        <v>1005</v>
      </c>
      <c r="G14929">
        <v>45.54</v>
      </c>
      <c r="H14929">
        <v>251231</v>
      </c>
      <c r="I14929">
        <v>4364</v>
      </c>
      <c r="J14929" t="s">
        <v>470</v>
      </c>
      <c r="K14929">
        <v>859.6</v>
      </c>
      <c r="L14929">
        <v>9.25</v>
      </c>
      <c r="M14929">
        <v>17525</v>
      </c>
      <c r="N14929" t="s">
        <v>140</v>
      </c>
      <c r="O14929">
        <v>260114</v>
      </c>
      <c r="P14929">
        <v>36.29</v>
      </c>
    </row>
    <row r="14930" spans="1:16" x14ac:dyDescent="0.25">
      <c r="A14930" t="s">
        <v>3296</v>
      </c>
      <c r="B14930" t="s">
        <v>2931</v>
      </c>
      <c r="C14930">
        <v>18501</v>
      </c>
      <c r="D14930" t="str">
        <f t="shared" si="249"/>
        <v>006180438148</v>
      </c>
      <c r="E14930" t="s">
        <v>1004</v>
      </c>
      <c r="F14930" t="s">
        <v>1005</v>
      </c>
      <c r="G14930">
        <v>6.44</v>
      </c>
      <c r="H14930">
        <v>251231</v>
      </c>
      <c r="I14930">
        <v>4364</v>
      </c>
      <c r="J14930" t="s">
        <v>470</v>
      </c>
      <c r="K14930">
        <v>859.6</v>
      </c>
      <c r="L14930">
        <v>1.31</v>
      </c>
      <c r="M14930">
        <v>18120</v>
      </c>
      <c r="N14930" t="s">
        <v>37</v>
      </c>
      <c r="O14930">
        <v>260114</v>
      </c>
      <c r="P14930">
        <v>5.13</v>
      </c>
    </row>
    <row r="14931" spans="1:16" x14ac:dyDescent="0.25">
      <c r="A14931" t="s">
        <v>3296</v>
      </c>
      <c r="B14931" t="s">
        <v>2931</v>
      </c>
      <c r="C14931">
        <v>18501</v>
      </c>
      <c r="D14931" t="str">
        <f t="shared" si="249"/>
        <v>006180438148</v>
      </c>
      <c r="E14931" t="s">
        <v>1004</v>
      </c>
      <c r="F14931" t="s">
        <v>1005</v>
      </c>
      <c r="G14931">
        <v>445</v>
      </c>
      <c r="H14931">
        <v>251231</v>
      </c>
      <c r="I14931">
        <v>4364</v>
      </c>
      <c r="J14931" t="s">
        <v>470</v>
      </c>
      <c r="K14931">
        <v>859.6</v>
      </c>
      <c r="L14931">
        <v>90.42</v>
      </c>
      <c r="M14931">
        <v>49701</v>
      </c>
      <c r="N14931" t="s">
        <v>111</v>
      </c>
      <c r="O14931">
        <v>260114</v>
      </c>
      <c r="P14931">
        <v>354.58</v>
      </c>
    </row>
    <row r="14932" spans="1:16" x14ac:dyDescent="0.25">
      <c r="A14932" t="s">
        <v>3296</v>
      </c>
      <c r="B14932" t="s">
        <v>2931</v>
      </c>
      <c r="C14932">
        <v>18501</v>
      </c>
      <c r="D14932" t="str">
        <f t="shared" si="249"/>
        <v>006180438148</v>
      </c>
      <c r="E14932" t="s">
        <v>1004</v>
      </c>
      <c r="F14932" t="s">
        <v>1005</v>
      </c>
      <c r="G14932">
        <v>163.13</v>
      </c>
      <c r="H14932">
        <v>251231</v>
      </c>
      <c r="I14932">
        <v>4364</v>
      </c>
      <c r="J14932" t="s">
        <v>470</v>
      </c>
      <c r="K14932">
        <v>859.6</v>
      </c>
      <c r="L14932">
        <v>33.15</v>
      </c>
      <c r="M14932">
        <v>59701</v>
      </c>
      <c r="N14932" t="s">
        <v>64</v>
      </c>
      <c r="O14932">
        <v>260114</v>
      </c>
      <c r="P14932">
        <v>129.97999999999999</v>
      </c>
    </row>
    <row r="14933" spans="1:16" x14ac:dyDescent="0.25">
      <c r="A14933" t="s">
        <v>3296</v>
      </c>
      <c r="B14933" t="s">
        <v>2931</v>
      </c>
      <c r="C14933">
        <v>11511</v>
      </c>
      <c r="D14933" t="str">
        <f>"040925      "</f>
        <v xml:space="preserve">040925      </v>
      </c>
      <c r="E14933" t="s">
        <v>1497</v>
      </c>
      <c r="F14933" t="s">
        <v>975</v>
      </c>
      <c r="G14933">
        <v>110</v>
      </c>
      <c r="H14933">
        <v>250904</v>
      </c>
      <c r="I14933">
        <v>4364</v>
      </c>
      <c r="J14933" t="s">
        <v>470</v>
      </c>
      <c r="K14933">
        <v>1000</v>
      </c>
      <c r="L14933">
        <v>0</v>
      </c>
      <c r="M14933">
        <v>13561</v>
      </c>
      <c r="N14933" t="s">
        <v>241</v>
      </c>
      <c r="O14933">
        <v>250908</v>
      </c>
      <c r="P14933">
        <v>110</v>
      </c>
    </row>
    <row r="14934" spans="1:16" x14ac:dyDescent="0.25">
      <c r="A14934" t="s">
        <v>3296</v>
      </c>
      <c r="B14934" t="s">
        <v>2931</v>
      </c>
      <c r="C14934">
        <v>11511</v>
      </c>
      <c r="D14934" t="str">
        <f>"040925      "</f>
        <v xml:space="preserve">040925      </v>
      </c>
      <c r="E14934" t="s">
        <v>1497</v>
      </c>
      <c r="F14934" t="s">
        <v>975</v>
      </c>
      <c r="G14934">
        <v>890</v>
      </c>
      <c r="H14934">
        <v>250904</v>
      </c>
      <c r="I14934">
        <v>4364</v>
      </c>
      <c r="J14934" t="s">
        <v>470</v>
      </c>
      <c r="K14934">
        <v>1000</v>
      </c>
      <c r="L14934">
        <v>0</v>
      </c>
      <c r="M14934">
        <v>17971</v>
      </c>
      <c r="N14934" t="s">
        <v>27</v>
      </c>
      <c r="O14934">
        <v>250908</v>
      </c>
      <c r="P14934">
        <v>890</v>
      </c>
    </row>
    <row r="14935" spans="1:16" x14ac:dyDescent="0.25">
      <c r="A14935" t="s">
        <v>3296</v>
      </c>
      <c r="B14935" t="s">
        <v>2931</v>
      </c>
      <c r="C14935">
        <v>8955</v>
      </c>
      <c r="D14935" t="str">
        <f>"4714-0474175"</f>
        <v>4714-0474175</v>
      </c>
      <c r="E14935" t="s">
        <v>2070</v>
      </c>
      <c r="F14935" t="s">
        <v>2071</v>
      </c>
      <c r="G14935">
        <v>450</v>
      </c>
      <c r="H14935">
        <v>250610</v>
      </c>
      <c r="I14935">
        <v>4580</v>
      </c>
      <c r="J14935" t="s">
        <v>126</v>
      </c>
      <c r="K14935">
        <v>450</v>
      </c>
      <c r="L14935">
        <v>0</v>
      </c>
      <c r="M14935">
        <v>13801</v>
      </c>
      <c r="N14935" t="s">
        <v>33</v>
      </c>
      <c r="O14935">
        <v>250619</v>
      </c>
      <c r="P14935">
        <v>450</v>
      </c>
    </row>
    <row r="14936" spans="1:16" x14ac:dyDescent="0.25">
      <c r="A14936" t="s">
        <v>3296</v>
      </c>
      <c r="B14936" t="s">
        <v>2931</v>
      </c>
      <c r="C14936">
        <v>14176</v>
      </c>
      <c r="D14936" t="str">
        <f>"4716-0570684"</f>
        <v>4716-0570684</v>
      </c>
      <c r="E14936" t="s">
        <v>2070</v>
      </c>
      <c r="F14936" t="s">
        <v>2071</v>
      </c>
      <c r="G14936">
        <v>350</v>
      </c>
      <c r="H14936">
        <v>251019</v>
      </c>
      <c r="I14936">
        <v>4600</v>
      </c>
      <c r="J14936" t="s">
        <v>278</v>
      </c>
      <c r="K14936">
        <v>350</v>
      </c>
      <c r="L14936">
        <v>0</v>
      </c>
      <c r="M14936">
        <v>13601</v>
      </c>
      <c r="N14936" t="s">
        <v>115</v>
      </c>
      <c r="O14936">
        <v>251024</v>
      </c>
      <c r="P14936">
        <v>350</v>
      </c>
    </row>
    <row r="14937" spans="1:16" x14ac:dyDescent="0.25">
      <c r="A14937" t="s">
        <v>3296</v>
      </c>
      <c r="B14937" t="s">
        <v>2931</v>
      </c>
      <c r="C14937">
        <v>1547</v>
      </c>
      <c r="D14937" t="str">
        <f t="shared" ref="D14937:D14949" si="250">"21002397    "</f>
        <v xml:space="preserve">21002397    </v>
      </c>
      <c r="E14937" t="s">
        <v>1035</v>
      </c>
      <c r="F14937" t="s">
        <v>1036</v>
      </c>
      <c r="G14937">
        <v>507.43</v>
      </c>
      <c r="H14937">
        <v>250203</v>
      </c>
      <c r="I14937">
        <v>4367</v>
      </c>
      <c r="J14937" t="s">
        <v>159</v>
      </c>
      <c r="K14937">
        <v>2255.2399999999998</v>
      </c>
      <c r="L14937">
        <v>103.1</v>
      </c>
      <c r="M14937">
        <v>14912</v>
      </c>
      <c r="N14937" t="s">
        <v>80</v>
      </c>
      <c r="O14937">
        <v>250211</v>
      </c>
      <c r="P14937">
        <v>404.33</v>
      </c>
    </row>
    <row r="14938" spans="1:16" x14ac:dyDescent="0.25">
      <c r="A14938" t="s">
        <v>3296</v>
      </c>
      <c r="B14938" t="s">
        <v>2931</v>
      </c>
      <c r="C14938">
        <v>1547</v>
      </c>
      <c r="D14938" t="str">
        <f t="shared" si="250"/>
        <v xml:space="preserve">21002397    </v>
      </c>
      <c r="E14938" t="s">
        <v>1035</v>
      </c>
      <c r="F14938" t="s">
        <v>1036</v>
      </c>
      <c r="G14938">
        <v>253.72</v>
      </c>
      <c r="H14938">
        <v>250203</v>
      </c>
      <c r="I14938">
        <v>4367</v>
      </c>
      <c r="J14938" t="s">
        <v>159</v>
      </c>
      <c r="K14938">
        <v>2255.2399999999998</v>
      </c>
      <c r="L14938">
        <v>51.55</v>
      </c>
      <c r="M14938">
        <v>16431</v>
      </c>
      <c r="N14938" t="s">
        <v>17</v>
      </c>
      <c r="O14938">
        <v>250211</v>
      </c>
      <c r="P14938">
        <v>202.17</v>
      </c>
    </row>
    <row r="14939" spans="1:16" x14ac:dyDescent="0.25">
      <c r="A14939" t="s">
        <v>3296</v>
      </c>
      <c r="B14939" t="s">
        <v>2931</v>
      </c>
      <c r="C14939">
        <v>1547</v>
      </c>
      <c r="D14939" t="str">
        <f t="shared" si="250"/>
        <v xml:space="preserve">21002397    </v>
      </c>
      <c r="E14939" t="s">
        <v>1035</v>
      </c>
      <c r="F14939" t="s">
        <v>1036</v>
      </c>
      <c r="G14939">
        <v>253.71</v>
      </c>
      <c r="H14939">
        <v>250203</v>
      </c>
      <c r="I14939">
        <v>4367</v>
      </c>
      <c r="J14939" t="s">
        <v>159</v>
      </c>
      <c r="K14939">
        <v>2255.2399999999998</v>
      </c>
      <c r="L14939">
        <v>51.55</v>
      </c>
      <c r="M14939">
        <v>17913</v>
      </c>
      <c r="N14939" t="s">
        <v>26</v>
      </c>
      <c r="O14939">
        <v>250211</v>
      </c>
      <c r="P14939">
        <v>202.16</v>
      </c>
    </row>
    <row r="14940" spans="1:16" x14ac:dyDescent="0.25">
      <c r="A14940" t="s">
        <v>3296</v>
      </c>
      <c r="B14940" t="s">
        <v>2931</v>
      </c>
      <c r="C14940">
        <v>1547</v>
      </c>
      <c r="D14940" t="str">
        <f t="shared" si="250"/>
        <v xml:space="preserve">21002397    </v>
      </c>
      <c r="E14940" t="s">
        <v>1035</v>
      </c>
      <c r="F14940" t="s">
        <v>1036</v>
      </c>
      <c r="G14940">
        <v>253.71</v>
      </c>
      <c r="H14940">
        <v>250203</v>
      </c>
      <c r="I14940">
        <v>4367</v>
      </c>
      <c r="J14940" t="s">
        <v>159</v>
      </c>
      <c r="K14940">
        <v>2255.2399999999998</v>
      </c>
      <c r="L14940">
        <v>51.55</v>
      </c>
      <c r="M14940">
        <v>44222</v>
      </c>
      <c r="N14940" t="s">
        <v>96</v>
      </c>
      <c r="O14940">
        <v>250211</v>
      </c>
      <c r="P14940">
        <v>202.16</v>
      </c>
    </row>
    <row r="14941" spans="1:16" x14ac:dyDescent="0.25">
      <c r="A14941" t="s">
        <v>3296</v>
      </c>
      <c r="B14941" t="s">
        <v>2931</v>
      </c>
      <c r="C14941">
        <v>1547</v>
      </c>
      <c r="D14941" t="str">
        <f t="shared" si="250"/>
        <v xml:space="preserve">21002397    </v>
      </c>
      <c r="E14941" t="s">
        <v>1035</v>
      </c>
      <c r="F14941" t="s">
        <v>1036</v>
      </c>
      <c r="G14941">
        <v>253.72</v>
      </c>
      <c r="H14941">
        <v>250203</v>
      </c>
      <c r="I14941">
        <v>4367</v>
      </c>
      <c r="J14941" t="s">
        <v>159</v>
      </c>
      <c r="K14941">
        <v>2255.2399999999998</v>
      </c>
      <c r="L14941">
        <v>51.55</v>
      </c>
      <c r="M14941">
        <v>49112</v>
      </c>
      <c r="N14941" t="s">
        <v>109</v>
      </c>
      <c r="O14941">
        <v>250211</v>
      </c>
      <c r="P14941">
        <v>202.17</v>
      </c>
    </row>
    <row r="14942" spans="1:16" x14ac:dyDescent="0.25">
      <c r="A14942" t="s">
        <v>3296</v>
      </c>
      <c r="B14942" t="s">
        <v>2931</v>
      </c>
      <c r="C14942">
        <v>1547</v>
      </c>
      <c r="D14942" t="str">
        <f t="shared" si="250"/>
        <v xml:space="preserve">21002397    </v>
      </c>
      <c r="E14942" t="s">
        <v>1035</v>
      </c>
      <c r="F14942" t="s">
        <v>1036</v>
      </c>
      <c r="G14942">
        <v>126.86</v>
      </c>
      <c r="H14942">
        <v>250203</v>
      </c>
      <c r="I14942">
        <v>4367</v>
      </c>
      <c r="J14942" t="s">
        <v>159</v>
      </c>
      <c r="K14942">
        <v>2255.2399999999998</v>
      </c>
      <c r="L14942">
        <v>25.78</v>
      </c>
      <c r="M14942">
        <v>54422</v>
      </c>
      <c r="N14942" t="s">
        <v>49</v>
      </c>
      <c r="O14942">
        <v>250211</v>
      </c>
      <c r="P14942">
        <v>101.08</v>
      </c>
    </row>
    <row r="14943" spans="1:16" x14ac:dyDescent="0.25">
      <c r="A14943" t="s">
        <v>3296</v>
      </c>
      <c r="B14943" t="s">
        <v>2931</v>
      </c>
      <c r="C14943">
        <v>1547</v>
      </c>
      <c r="D14943" t="str">
        <f t="shared" si="250"/>
        <v xml:space="preserve">21002397    </v>
      </c>
      <c r="E14943" t="s">
        <v>1035</v>
      </c>
      <c r="F14943" t="s">
        <v>1036</v>
      </c>
      <c r="G14943">
        <v>126.86</v>
      </c>
      <c r="H14943">
        <v>250203</v>
      </c>
      <c r="I14943">
        <v>4367</v>
      </c>
      <c r="J14943" t="s">
        <v>159</v>
      </c>
      <c r="K14943">
        <v>2255.2399999999998</v>
      </c>
      <c r="L14943">
        <v>25.78</v>
      </c>
      <c r="M14943">
        <v>54451</v>
      </c>
      <c r="N14943" t="s">
        <v>218</v>
      </c>
      <c r="O14943">
        <v>250211</v>
      </c>
      <c r="P14943">
        <v>101.08</v>
      </c>
    </row>
    <row r="14944" spans="1:16" x14ac:dyDescent="0.25">
      <c r="A14944" t="s">
        <v>3296</v>
      </c>
      <c r="B14944" t="s">
        <v>2931</v>
      </c>
      <c r="C14944">
        <v>1547</v>
      </c>
      <c r="D14944" t="str">
        <f t="shared" si="250"/>
        <v xml:space="preserve">21002397    </v>
      </c>
      <c r="E14944" t="s">
        <v>1035</v>
      </c>
      <c r="F14944" t="s">
        <v>1036</v>
      </c>
      <c r="G14944">
        <v>126.85</v>
      </c>
      <c r="H14944">
        <v>250203</v>
      </c>
      <c r="I14944">
        <v>4367</v>
      </c>
      <c r="J14944" t="s">
        <v>159</v>
      </c>
      <c r="K14944">
        <v>2255.2399999999998</v>
      </c>
      <c r="L14944">
        <v>25.77</v>
      </c>
      <c r="M14944">
        <v>59113</v>
      </c>
      <c r="N14944" t="s">
        <v>61</v>
      </c>
      <c r="O14944">
        <v>250211</v>
      </c>
      <c r="P14944">
        <v>101.08</v>
      </c>
    </row>
    <row r="14945" spans="1:16" x14ac:dyDescent="0.25">
      <c r="A14945" t="s">
        <v>3296</v>
      </c>
      <c r="B14945" t="s">
        <v>2931</v>
      </c>
      <c r="C14945">
        <v>1547</v>
      </c>
      <c r="D14945" t="str">
        <f t="shared" si="250"/>
        <v xml:space="preserve">21002397    </v>
      </c>
      <c r="E14945" t="s">
        <v>1035</v>
      </c>
      <c r="F14945" t="s">
        <v>1036</v>
      </c>
      <c r="G14945">
        <v>126.86</v>
      </c>
      <c r="H14945">
        <v>250203</v>
      </c>
      <c r="I14945">
        <v>4367</v>
      </c>
      <c r="J14945" t="s">
        <v>159</v>
      </c>
      <c r="K14945">
        <v>2255.2399999999998</v>
      </c>
      <c r="L14945">
        <v>25.78</v>
      </c>
      <c r="M14945">
        <v>59114</v>
      </c>
      <c r="N14945" t="s">
        <v>299</v>
      </c>
      <c r="O14945">
        <v>250211</v>
      </c>
      <c r="P14945">
        <v>101.08</v>
      </c>
    </row>
    <row r="14946" spans="1:16" x14ac:dyDescent="0.25">
      <c r="A14946" t="s">
        <v>3296</v>
      </c>
      <c r="B14946" t="s">
        <v>2931</v>
      </c>
      <c r="C14946">
        <v>1547</v>
      </c>
      <c r="D14946" t="str">
        <f t="shared" si="250"/>
        <v xml:space="preserve">21002397    </v>
      </c>
      <c r="E14946" t="s">
        <v>1035</v>
      </c>
      <c r="F14946" t="s">
        <v>1036</v>
      </c>
      <c r="G14946">
        <v>90.21</v>
      </c>
      <c r="H14946">
        <v>250203</v>
      </c>
      <c r="I14946">
        <v>4367</v>
      </c>
      <c r="J14946" t="s">
        <v>159</v>
      </c>
      <c r="K14946">
        <v>2255.2399999999998</v>
      </c>
      <c r="L14946">
        <v>18.329999999999998</v>
      </c>
      <c r="M14946">
        <v>69112</v>
      </c>
      <c r="N14946" t="s">
        <v>227</v>
      </c>
      <c r="O14946">
        <v>250211</v>
      </c>
      <c r="P14946">
        <v>71.88</v>
      </c>
    </row>
    <row r="14947" spans="1:16" x14ac:dyDescent="0.25">
      <c r="A14947" t="s">
        <v>3296</v>
      </c>
      <c r="B14947" t="s">
        <v>2931</v>
      </c>
      <c r="C14947">
        <v>1547</v>
      </c>
      <c r="D14947" t="str">
        <f t="shared" si="250"/>
        <v xml:space="preserve">21002397    </v>
      </c>
      <c r="E14947" t="s">
        <v>1035</v>
      </c>
      <c r="F14947" t="s">
        <v>1036</v>
      </c>
      <c r="G14947">
        <v>90.21</v>
      </c>
      <c r="H14947">
        <v>250203</v>
      </c>
      <c r="I14947">
        <v>4367</v>
      </c>
      <c r="J14947" t="s">
        <v>159</v>
      </c>
      <c r="K14947">
        <v>2255.2399999999998</v>
      </c>
      <c r="L14947">
        <v>18.329999999999998</v>
      </c>
      <c r="M14947">
        <v>69113</v>
      </c>
      <c r="N14947" t="s">
        <v>122</v>
      </c>
      <c r="O14947">
        <v>250211</v>
      </c>
      <c r="P14947">
        <v>71.88</v>
      </c>
    </row>
    <row r="14948" spans="1:16" x14ac:dyDescent="0.25">
      <c r="A14948" t="s">
        <v>3296</v>
      </c>
      <c r="B14948" t="s">
        <v>2931</v>
      </c>
      <c r="C14948">
        <v>1547</v>
      </c>
      <c r="D14948" t="str">
        <f t="shared" si="250"/>
        <v xml:space="preserve">21002397    </v>
      </c>
      <c r="E14948" t="s">
        <v>1035</v>
      </c>
      <c r="F14948" t="s">
        <v>1036</v>
      </c>
      <c r="G14948">
        <v>22.55</v>
      </c>
      <c r="H14948">
        <v>250203</v>
      </c>
      <c r="I14948">
        <v>4367</v>
      </c>
      <c r="J14948" t="s">
        <v>159</v>
      </c>
      <c r="K14948">
        <v>2255.2399999999998</v>
      </c>
      <c r="L14948">
        <v>4.58</v>
      </c>
      <c r="M14948">
        <v>69804</v>
      </c>
      <c r="N14948" t="s">
        <v>376</v>
      </c>
      <c r="O14948">
        <v>250211</v>
      </c>
      <c r="P14948">
        <v>17.97</v>
      </c>
    </row>
    <row r="14949" spans="1:16" x14ac:dyDescent="0.25">
      <c r="A14949" t="s">
        <v>3296</v>
      </c>
      <c r="B14949" t="s">
        <v>2931</v>
      </c>
      <c r="C14949">
        <v>1547</v>
      </c>
      <c r="D14949" t="str">
        <f t="shared" si="250"/>
        <v xml:space="preserve">21002397    </v>
      </c>
      <c r="E14949" t="s">
        <v>1035</v>
      </c>
      <c r="F14949" t="s">
        <v>1036</v>
      </c>
      <c r="G14949">
        <v>22.55</v>
      </c>
      <c r="H14949">
        <v>250203</v>
      </c>
      <c r="I14949">
        <v>4367</v>
      </c>
      <c r="J14949" t="s">
        <v>159</v>
      </c>
      <c r="K14949">
        <v>2255.2399999999998</v>
      </c>
      <c r="L14949">
        <v>4.58</v>
      </c>
      <c r="M14949">
        <v>69811</v>
      </c>
      <c r="N14949" t="s">
        <v>230</v>
      </c>
      <c r="O14949">
        <v>250211</v>
      </c>
      <c r="P14949">
        <v>17.97</v>
      </c>
    </row>
    <row r="14950" spans="1:16" x14ac:dyDescent="0.25">
      <c r="A14950" t="s">
        <v>3296</v>
      </c>
      <c r="B14950" t="s">
        <v>2931</v>
      </c>
      <c r="C14950">
        <v>5707</v>
      </c>
      <c r="D14950" t="str">
        <f t="shared" ref="D14950:D14962" si="251">"21002614    "</f>
        <v xml:space="preserve">21002614    </v>
      </c>
      <c r="E14950" t="s">
        <v>1035</v>
      </c>
      <c r="F14950" t="s">
        <v>1036</v>
      </c>
      <c r="G14950">
        <v>81.89</v>
      </c>
      <c r="H14950">
        <v>250409</v>
      </c>
      <c r="I14950">
        <v>4367</v>
      </c>
      <c r="J14950" t="s">
        <v>159</v>
      </c>
      <c r="K14950">
        <v>363.95</v>
      </c>
      <c r="L14950">
        <v>16.64</v>
      </c>
      <c r="M14950">
        <v>14912</v>
      </c>
      <c r="N14950" t="s">
        <v>80</v>
      </c>
      <c r="O14950">
        <v>250429</v>
      </c>
      <c r="P14950">
        <v>65.25</v>
      </c>
    </row>
    <row r="14951" spans="1:16" x14ac:dyDescent="0.25">
      <c r="A14951" t="s">
        <v>3296</v>
      </c>
      <c r="B14951" t="s">
        <v>2931</v>
      </c>
      <c r="C14951">
        <v>5707</v>
      </c>
      <c r="D14951" t="str">
        <f t="shared" si="251"/>
        <v xml:space="preserve">21002614    </v>
      </c>
      <c r="E14951" t="s">
        <v>1035</v>
      </c>
      <c r="F14951" t="s">
        <v>1036</v>
      </c>
      <c r="G14951">
        <v>40.950000000000003</v>
      </c>
      <c r="H14951">
        <v>250409</v>
      </c>
      <c r="I14951">
        <v>4367</v>
      </c>
      <c r="J14951" t="s">
        <v>159</v>
      </c>
      <c r="K14951">
        <v>363.95</v>
      </c>
      <c r="L14951">
        <v>8.32</v>
      </c>
      <c r="M14951">
        <v>16431</v>
      </c>
      <c r="N14951" t="s">
        <v>17</v>
      </c>
      <c r="O14951">
        <v>250429</v>
      </c>
      <c r="P14951">
        <v>32.630000000000003</v>
      </c>
    </row>
    <row r="14952" spans="1:16" x14ac:dyDescent="0.25">
      <c r="A14952" t="s">
        <v>3296</v>
      </c>
      <c r="B14952" t="s">
        <v>2931</v>
      </c>
      <c r="C14952">
        <v>5707</v>
      </c>
      <c r="D14952" t="str">
        <f t="shared" si="251"/>
        <v xml:space="preserve">21002614    </v>
      </c>
      <c r="E14952" t="s">
        <v>1035</v>
      </c>
      <c r="F14952" t="s">
        <v>1036</v>
      </c>
      <c r="G14952">
        <v>40.94</v>
      </c>
      <c r="H14952">
        <v>250409</v>
      </c>
      <c r="I14952">
        <v>4367</v>
      </c>
      <c r="J14952" t="s">
        <v>159</v>
      </c>
      <c r="K14952">
        <v>363.95</v>
      </c>
      <c r="L14952">
        <v>8.32</v>
      </c>
      <c r="M14952">
        <v>17913</v>
      </c>
      <c r="N14952" t="s">
        <v>26</v>
      </c>
      <c r="O14952">
        <v>250429</v>
      </c>
      <c r="P14952">
        <v>32.619999999999997</v>
      </c>
    </row>
    <row r="14953" spans="1:16" x14ac:dyDescent="0.25">
      <c r="A14953" t="s">
        <v>3296</v>
      </c>
      <c r="B14953" t="s">
        <v>2931</v>
      </c>
      <c r="C14953">
        <v>5707</v>
      </c>
      <c r="D14953" t="str">
        <f t="shared" si="251"/>
        <v xml:space="preserve">21002614    </v>
      </c>
      <c r="E14953" t="s">
        <v>1035</v>
      </c>
      <c r="F14953" t="s">
        <v>1036</v>
      </c>
      <c r="G14953">
        <v>40.94</v>
      </c>
      <c r="H14953">
        <v>250409</v>
      </c>
      <c r="I14953">
        <v>4367</v>
      </c>
      <c r="J14953" t="s">
        <v>159</v>
      </c>
      <c r="K14953">
        <v>363.95</v>
      </c>
      <c r="L14953">
        <v>8.32</v>
      </c>
      <c r="M14953">
        <v>44222</v>
      </c>
      <c r="N14953" t="s">
        <v>96</v>
      </c>
      <c r="O14953">
        <v>250429</v>
      </c>
      <c r="P14953">
        <v>32.619999999999997</v>
      </c>
    </row>
    <row r="14954" spans="1:16" x14ac:dyDescent="0.25">
      <c r="A14954" t="s">
        <v>3296</v>
      </c>
      <c r="B14954" t="s">
        <v>2931</v>
      </c>
      <c r="C14954">
        <v>5707</v>
      </c>
      <c r="D14954" t="str">
        <f t="shared" si="251"/>
        <v xml:space="preserve">21002614    </v>
      </c>
      <c r="E14954" t="s">
        <v>1035</v>
      </c>
      <c r="F14954" t="s">
        <v>1036</v>
      </c>
      <c r="G14954">
        <v>40.950000000000003</v>
      </c>
      <c r="H14954">
        <v>250409</v>
      </c>
      <c r="I14954">
        <v>4367</v>
      </c>
      <c r="J14954" t="s">
        <v>159</v>
      </c>
      <c r="K14954">
        <v>363.95</v>
      </c>
      <c r="L14954">
        <v>8.32</v>
      </c>
      <c r="M14954">
        <v>49112</v>
      </c>
      <c r="N14954" t="s">
        <v>109</v>
      </c>
      <c r="O14954">
        <v>250429</v>
      </c>
      <c r="P14954">
        <v>32.630000000000003</v>
      </c>
    </row>
    <row r="14955" spans="1:16" x14ac:dyDescent="0.25">
      <c r="A14955" t="s">
        <v>3296</v>
      </c>
      <c r="B14955" t="s">
        <v>2931</v>
      </c>
      <c r="C14955">
        <v>5707</v>
      </c>
      <c r="D14955" t="str">
        <f t="shared" si="251"/>
        <v xml:space="preserve">21002614    </v>
      </c>
      <c r="E14955" t="s">
        <v>1035</v>
      </c>
      <c r="F14955" t="s">
        <v>1036</v>
      </c>
      <c r="G14955">
        <v>20.47</v>
      </c>
      <c r="H14955">
        <v>250409</v>
      </c>
      <c r="I14955">
        <v>4367</v>
      </c>
      <c r="J14955" t="s">
        <v>159</v>
      </c>
      <c r="K14955">
        <v>363.95</v>
      </c>
      <c r="L14955">
        <v>4.16</v>
      </c>
      <c r="M14955">
        <v>54422</v>
      </c>
      <c r="N14955" t="s">
        <v>49</v>
      </c>
      <c r="O14955">
        <v>250429</v>
      </c>
      <c r="P14955">
        <v>16.309999999999999</v>
      </c>
    </row>
    <row r="14956" spans="1:16" x14ac:dyDescent="0.25">
      <c r="A14956" t="s">
        <v>3296</v>
      </c>
      <c r="B14956" t="s">
        <v>2931</v>
      </c>
      <c r="C14956">
        <v>5707</v>
      </c>
      <c r="D14956" t="str">
        <f t="shared" si="251"/>
        <v xml:space="preserve">21002614    </v>
      </c>
      <c r="E14956" t="s">
        <v>1035</v>
      </c>
      <c r="F14956" t="s">
        <v>1036</v>
      </c>
      <c r="G14956">
        <v>20.47</v>
      </c>
      <c r="H14956">
        <v>250409</v>
      </c>
      <c r="I14956">
        <v>4367</v>
      </c>
      <c r="J14956" t="s">
        <v>159</v>
      </c>
      <c r="K14956">
        <v>363.95</v>
      </c>
      <c r="L14956">
        <v>4.16</v>
      </c>
      <c r="M14956">
        <v>54451</v>
      </c>
      <c r="N14956" t="s">
        <v>218</v>
      </c>
      <c r="O14956">
        <v>250429</v>
      </c>
      <c r="P14956">
        <v>16.309999999999999</v>
      </c>
    </row>
    <row r="14957" spans="1:16" x14ac:dyDescent="0.25">
      <c r="A14957" t="s">
        <v>3296</v>
      </c>
      <c r="B14957" t="s">
        <v>2931</v>
      </c>
      <c r="C14957">
        <v>5707</v>
      </c>
      <c r="D14957" t="str">
        <f t="shared" si="251"/>
        <v xml:space="preserve">21002614    </v>
      </c>
      <c r="E14957" t="s">
        <v>1035</v>
      </c>
      <c r="F14957" t="s">
        <v>1036</v>
      </c>
      <c r="G14957">
        <v>20.48</v>
      </c>
      <c r="H14957">
        <v>250409</v>
      </c>
      <c r="I14957">
        <v>4367</v>
      </c>
      <c r="J14957" t="s">
        <v>159</v>
      </c>
      <c r="K14957">
        <v>363.95</v>
      </c>
      <c r="L14957">
        <v>4.16</v>
      </c>
      <c r="M14957">
        <v>59113</v>
      </c>
      <c r="N14957" t="s">
        <v>61</v>
      </c>
      <c r="O14957">
        <v>250429</v>
      </c>
      <c r="P14957">
        <v>16.32</v>
      </c>
    </row>
    <row r="14958" spans="1:16" x14ac:dyDescent="0.25">
      <c r="A14958" t="s">
        <v>3296</v>
      </c>
      <c r="B14958" t="s">
        <v>2931</v>
      </c>
      <c r="C14958">
        <v>5707</v>
      </c>
      <c r="D14958" t="str">
        <f t="shared" si="251"/>
        <v xml:space="preserve">21002614    </v>
      </c>
      <c r="E14958" t="s">
        <v>1035</v>
      </c>
      <c r="F14958" t="s">
        <v>1036</v>
      </c>
      <c r="G14958">
        <v>20.47</v>
      </c>
      <c r="H14958">
        <v>250409</v>
      </c>
      <c r="I14958">
        <v>4367</v>
      </c>
      <c r="J14958" t="s">
        <v>159</v>
      </c>
      <c r="K14958">
        <v>363.95</v>
      </c>
      <c r="L14958">
        <v>4.16</v>
      </c>
      <c r="M14958">
        <v>59114</v>
      </c>
      <c r="N14958" t="s">
        <v>299</v>
      </c>
      <c r="O14958">
        <v>250429</v>
      </c>
      <c r="P14958">
        <v>16.309999999999999</v>
      </c>
    </row>
    <row r="14959" spans="1:16" x14ac:dyDescent="0.25">
      <c r="A14959" t="s">
        <v>3296</v>
      </c>
      <c r="B14959" t="s">
        <v>2931</v>
      </c>
      <c r="C14959">
        <v>5707</v>
      </c>
      <c r="D14959" t="str">
        <f t="shared" si="251"/>
        <v xml:space="preserve">21002614    </v>
      </c>
      <c r="E14959" t="s">
        <v>1035</v>
      </c>
      <c r="F14959" t="s">
        <v>1036</v>
      </c>
      <c r="G14959">
        <v>12.74</v>
      </c>
      <c r="H14959">
        <v>250409</v>
      </c>
      <c r="I14959">
        <v>4367</v>
      </c>
      <c r="J14959" t="s">
        <v>159</v>
      </c>
      <c r="K14959">
        <v>363.95</v>
      </c>
      <c r="L14959">
        <v>2.59</v>
      </c>
      <c r="M14959">
        <v>69112</v>
      </c>
      <c r="N14959" t="s">
        <v>227</v>
      </c>
      <c r="O14959">
        <v>250429</v>
      </c>
      <c r="P14959">
        <v>10.15</v>
      </c>
    </row>
    <row r="14960" spans="1:16" x14ac:dyDescent="0.25">
      <c r="A14960" t="s">
        <v>3296</v>
      </c>
      <c r="B14960" t="s">
        <v>2931</v>
      </c>
      <c r="C14960">
        <v>5707</v>
      </c>
      <c r="D14960" t="str">
        <f t="shared" si="251"/>
        <v xml:space="preserve">21002614    </v>
      </c>
      <c r="E14960" t="s">
        <v>1035</v>
      </c>
      <c r="F14960" t="s">
        <v>1036</v>
      </c>
      <c r="G14960">
        <v>12.73</v>
      </c>
      <c r="H14960">
        <v>250409</v>
      </c>
      <c r="I14960">
        <v>4367</v>
      </c>
      <c r="J14960" t="s">
        <v>159</v>
      </c>
      <c r="K14960">
        <v>363.95</v>
      </c>
      <c r="L14960">
        <v>2.59</v>
      </c>
      <c r="M14960">
        <v>69113</v>
      </c>
      <c r="N14960" t="s">
        <v>122</v>
      </c>
      <c r="O14960">
        <v>250429</v>
      </c>
      <c r="P14960">
        <v>10.14</v>
      </c>
    </row>
    <row r="14961" spans="1:16" x14ac:dyDescent="0.25">
      <c r="A14961" t="s">
        <v>3296</v>
      </c>
      <c r="B14961" t="s">
        <v>2931</v>
      </c>
      <c r="C14961">
        <v>5707</v>
      </c>
      <c r="D14961" t="str">
        <f t="shared" si="251"/>
        <v xml:space="preserve">21002614    </v>
      </c>
      <c r="E14961" t="s">
        <v>1035</v>
      </c>
      <c r="F14961" t="s">
        <v>1036</v>
      </c>
      <c r="G14961">
        <v>5.46</v>
      </c>
      <c r="H14961">
        <v>250409</v>
      </c>
      <c r="I14961">
        <v>4367</v>
      </c>
      <c r="J14961" t="s">
        <v>159</v>
      </c>
      <c r="K14961">
        <v>363.95</v>
      </c>
      <c r="L14961">
        <v>1.1100000000000001</v>
      </c>
      <c r="M14961">
        <v>69804</v>
      </c>
      <c r="N14961" t="s">
        <v>376</v>
      </c>
      <c r="O14961">
        <v>250429</v>
      </c>
      <c r="P14961">
        <v>4.3499999999999996</v>
      </c>
    </row>
    <row r="14962" spans="1:16" x14ac:dyDescent="0.25">
      <c r="A14962" t="s">
        <v>3296</v>
      </c>
      <c r="B14962" t="s">
        <v>2931</v>
      </c>
      <c r="C14962">
        <v>5707</v>
      </c>
      <c r="D14962" t="str">
        <f t="shared" si="251"/>
        <v xml:space="preserve">21002614    </v>
      </c>
      <c r="E14962" t="s">
        <v>1035</v>
      </c>
      <c r="F14962" t="s">
        <v>1036</v>
      </c>
      <c r="G14962">
        <v>5.46</v>
      </c>
      <c r="H14962">
        <v>250409</v>
      </c>
      <c r="I14962">
        <v>4367</v>
      </c>
      <c r="J14962" t="s">
        <v>159</v>
      </c>
      <c r="K14962">
        <v>363.95</v>
      </c>
      <c r="L14962">
        <v>1.1100000000000001</v>
      </c>
      <c r="M14962">
        <v>69811</v>
      </c>
      <c r="N14962" t="s">
        <v>230</v>
      </c>
      <c r="O14962">
        <v>250429</v>
      </c>
      <c r="P14962">
        <v>4.3499999999999996</v>
      </c>
    </row>
    <row r="14963" spans="1:16" x14ac:dyDescent="0.25">
      <c r="A14963" t="s">
        <v>3296</v>
      </c>
      <c r="B14963" t="s">
        <v>2931</v>
      </c>
      <c r="C14963">
        <v>6395</v>
      </c>
      <c r="D14963" t="str">
        <f t="shared" ref="D14963:D14975" si="252">"21002672    "</f>
        <v xml:space="preserve">21002672    </v>
      </c>
      <c r="E14963" t="s">
        <v>1035</v>
      </c>
      <c r="F14963" t="s">
        <v>1036</v>
      </c>
      <c r="G14963">
        <v>557.41</v>
      </c>
      <c r="H14963">
        <v>250502</v>
      </c>
      <c r="I14963">
        <v>4367</v>
      </c>
      <c r="J14963" t="s">
        <v>159</v>
      </c>
      <c r="K14963">
        <v>2477.38</v>
      </c>
      <c r="L14963">
        <v>113.26</v>
      </c>
      <c r="M14963">
        <v>14432</v>
      </c>
      <c r="N14963" t="s">
        <v>75</v>
      </c>
      <c r="O14963">
        <v>250513</v>
      </c>
      <c r="P14963">
        <v>444.15</v>
      </c>
    </row>
    <row r="14964" spans="1:16" x14ac:dyDescent="0.25">
      <c r="A14964" t="s">
        <v>3296</v>
      </c>
      <c r="B14964" t="s">
        <v>2931</v>
      </c>
      <c r="C14964">
        <v>6395</v>
      </c>
      <c r="D14964" t="str">
        <f t="shared" si="252"/>
        <v xml:space="preserve">21002672    </v>
      </c>
      <c r="E14964" t="s">
        <v>1035</v>
      </c>
      <c r="F14964" t="s">
        <v>1036</v>
      </c>
      <c r="G14964">
        <v>278.70999999999998</v>
      </c>
      <c r="H14964">
        <v>250502</v>
      </c>
      <c r="I14964">
        <v>4367</v>
      </c>
      <c r="J14964" t="s">
        <v>159</v>
      </c>
      <c r="K14964">
        <v>2477.38</v>
      </c>
      <c r="L14964">
        <v>56.63</v>
      </c>
      <c r="M14964">
        <v>16431</v>
      </c>
      <c r="N14964" t="s">
        <v>17</v>
      </c>
      <c r="O14964">
        <v>250513</v>
      </c>
      <c r="P14964">
        <v>222.08</v>
      </c>
    </row>
    <row r="14965" spans="1:16" x14ac:dyDescent="0.25">
      <c r="A14965" t="s">
        <v>3296</v>
      </c>
      <c r="B14965" t="s">
        <v>2931</v>
      </c>
      <c r="C14965">
        <v>6395</v>
      </c>
      <c r="D14965" t="str">
        <f t="shared" si="252"/>
        <v xml:space="preserve">21002672    </v>
      </c>
      <c r="E14965" t="s">
        <v>1035</v>
      </c>
      <c r="F14965" t="s">
        <v>1036</v>
      </c>
      <c r="G14965">
        <v>278.7</v>
      </c>
      <c r="H14965">
        <v>250502</v>
      </c>
      <c r="I14965">
        <v>4367</v>
      </c>
      <c r="J14965" t="s">
        <v>159</v>
      </c>
      <c r="K14965">
        <v>2477.38</v>
      </c>
      <c r="L14965">
        <v>56.63</v>
      </c>
      <c r="M14965">
        <v>17913</v>
      </c>
      <c r="N14965" t="s">
        <v>26</v>
      </c>
      <c r="O14965">
        <v>250513</v>
      </c>
      <c r="P14965">
        <v>222.07</v>
      </c>
    </row>
    <row r="14966" spans="1:16" x14ac:dyDescent="0.25">
      <c r="A14966" t="s">
        <v>3296</v>
      </c>
      <c r="B14966" t="s">
        <v>2931</v>
      </c>
      <c r="C14966">
        <v>6395</v>
      </c>
      <c r="D14966" t="str">
        <f t="shared" si="252"/>
        <v xml:space="preserve">21002672    </v>
      </c>
      <c r="E14966" t="s">
        <v>1035</v>
      </c>
      <c r="F14966" t="s">
        <v>1036</v>
      </c>
      <c r="G14966">
        <v>278.70999999999998</v>
      </c>
      <c r="H14966">
        <v>250502</v>
      </c>
      <c r="I14966">
        <v>4367</v>
      </c>
      <c r="J14966" t="s">
        <v>159</v>
      </c>
      <c r="K14966">
        <v>2477.38</v>
      </c>
      <c r="L14966">
        <v>56.63</v>
      </c>
      <c r="M14966">
        <v>44222</v>
      </c>
      <c r="N14966" t="s">
        <v>96</v>
      </c>
      <c r="O14966">
        <v>250513</v>
      </c>
      <c r="P14966">
        <v>222.08</v>
      </c>
    </row>
    <row r="14967" spans="1:16" x14ac:dyDescent="0.25">
      <c r="A14967" t="s">
        <v>3296</v>
      </c>
      <c r="B14967" t="s">
        <v>2931</v>
      </c>
      <c r="C14967">
        <v>6395</v>
      </c>
      <c r="D14967" t="str">
        <f t="shared" si="252"/>
        <v xml:space="preserve">21002672    </v>
      </c>
      <c r="E14967" t="s">
        <v>1035</v>
      </c>
      <c r="F14967" t="s">
        <v>1036</v>
      </c>
      <c r="G14967">
        <v>278.7</v>
      </c>
      <c r="H14967">
        <v>250502</v>
      </c>
      <c r="I14967">
        <v>4367</v>
      </c>
      <c r="J14967" t="s">
        <v>159</v>
      </c>
      <c r="K14967">
        <v>2477.38</v>
      </c>
      <c r="L14967">
        <v>56.63</v>
      </c>
      <c r="M14967">
        <v>49112</v>
      </c>
      <c r="N14967" t="s">
        <v>109</v>
      </c>
      <c r="O14967">
        <v>250513</v>
      </c>
      <c r="P14967">
        <v>222.07</v>
      </c>
    </row>
    <row r="14968" spans="1:16" x14ac:dyDescent="0.25">
      <c r="A14968" t="s">
        <v>3296</v>
      </c>
      <c r="B14968" t="s">
        <v>2931</v>
      </c>
      <c r="C14968">
        <v>6395</v>
      </c>
      <c r="D14968" t="str">
        <f t="shared" si="252"/>
        <v xml:space="preserve">21002672    </v>
      </c>
      <c r="E14968" t="s">
        <v>1035</v>
      </c>
      <c r="F14968" t="s">
        <v>1036</v>
      </c>
      <c r="G14968">
        <v>139.35</v>
      </c>
      <c r="H14968">
        <v>250502</v>
      </c>
      <c r="I14968">
        <v>4367</v>
      </c>
      <c r="J14968" t="s">
        <v>159</v>
      </c>
      <c r="K14968">
        <v>2477.38</v>
      </c>
      <c r="L14968">
        <v>28.31</v>
      </c>
      <c r="M14968">
        <v>54422</v>
      </c>
      <c r="N14968" t="s">
        <v>49</v>
      </c>
      <c r="O14968">
        <v>250513</v>
      </c>
      <c r="P14968">
        <v>111.04</v>
      </c>
    </row>
    <row r="14969" spans="1:16" x14ac:dyDescent="0.25">
      <c r="A14969" t="s">
        <v>3296</v>
      </c>
      <c r="B14969" t="s">
        <v>2931</v>
      </c>
      <c r="C14969">
        <v>6395</v>
      </c>
      <c r="D14969" t="str">
        <f t="shared" si="252"/>
        <v xml:space="preserve">21002672    </v>
      </c>
      <c r="E14969" t="s">
        <v>1035</v>
      </c>
      <c r="F14969" t="s">
        <v>1036</v>
      </c>
      <c r="G14969">
        <v>139.35</v>
      </c>
      <c r="H14969">
        <v>250502</v>
      </c>
      <c r="I14969">
        <v>4367</v>
      </c>
      <c r="J14969" t="s">
        <v>159</v>
      </c>
      <c r="K14969">
        <v>2477.38</v>
      </c>
      <c r="L14969">
        <v>28.31</v>
      </c>
      <c r="M14969">
        <v>54451</v>
      </c>
      <c r="N14969" t="s">
        <v>218</v>
      </c>
      <c r="O14969">
        <v>250513</v>
      </c>
      <c r="P14969">
        <v>111.04</v>
      </c>
    </row>
    <row r="14970" spans="1:16" x14ac:dyDescent="0.25">
      <c r="A14970" t="s">
        <v>3296</v>
      </c>
      <c r="B14970" t="s">
        <v>2931</v>
      </c>
      <c r="C14970">
        <v>6395</v>
      </c>
      <c r="D14970" t="str">
        <f t="shared" si="252"/>
        <v xml:space="preserve">21002672    </v>
      </c>
      <c r="E14970" t="s">
        <v>1035</v>
      </c>
      <c r="F14970" t="s">
        <v>1036</v>
      </c>
      <c r="G14970">
        <v>139.36000000000001</v>
      </c>
      <c r="H14970">
        <v>250502</v>
      </c>
      <c r="I14970">
        <v>4367</v>
      </c>
      <c r="J14970" t="s">
        <v>159</v>
      </c>
      <c r="K14970">
        <v>2477.38</v>
      </c>
      <c r="L14970">
        <v>28.32</v>
      </c>
      <c r="M14970">
        <v>59113</v>
      </c>
      <c r="N14970" t="s">
        <v>61</v>
      </c>
      <c r="O14970">
        <v>250513</v>
      </c>
      <c r="P14970">
        <v>111.04</v>
      </c>
    </row>
    <row r="14971" spans="1:16" x14ac:dyDescent="0.25">
      <c r="A14971" t="s">
        <v>3296</v>
      </c>
      <c r="B14971" t="s">
        <v>2931</v>
      </c>
      <c r="C14971">
        <v>6395</v>
      </c>
      <c r="D14971" t="str">
        <f t="shared" si="252"/>
        <v xml:space="preserve">21002672    </v>
      </c>
      <c r="E14971" t="s">
        <v>1035</v>
      </c>
      <c r="F14971" t="s">
        <v>1036</v>
      </c>
      <c r="G14971">
        <v>139.35</v>
      </c>
      <c r="H14971">
        <v>250502</v>
      </c>
      <c r="I14971">
        <v>4367</v>
      </c>
      <c r="J14971" t="s">
        <v>159</v>
      </c>
      <c r="K14971">
        <v>2477.38</v>
      </c>
      <c r="L14971">
        <v>28.31</v>
      </c>
      <c r="M14971">
        <v>59114</v>
      </c>
      <c r="N14971" t="s">
        <v>299</v>
      </c>
      <c r="O14971">
        <v>250513</v>
      </c>
      <c r="P14971">
        <v>111.04</v>
      </c>
    </row>
    <row r="14972" spans="1:16" x14ac:dyDescent="0.25">
      <c r="A14972" t="s">
        <v>3296</v>
      </c>
      <c r="B14972" t="s">
        <v>2931</v>
      </c>
      <c r="C14972">
        <v>6395</v>
      </c>
      <c r="D14972" t="str">
        <f t="shared" si="252"/>
        <v xml:space="preserve">21002672    </v>
      </c>
      <c r="E14972" t="s">
        <v>1035</v>
      </c>
      <c r="F14972" t="s">
        <v>1036</v>
      </c>
      <c r="G14972">
        <v>99.1</v>
      </c>
      <c r="H14972">
        <v>250502</v>
      </c>
      <c r="I14972">
        <v>4367</v>
      </c>
      <c r="J14972" t="s">
        <v>159</v>
      </c>
      <c r="K14972">
        <v>2477.38</v>
      </c>
      <c r="L14972">
        <v>20.14</v>
      </c>
      <c r="M14972">
        <v>69112</v>
      </c>
      <c r="N14972" t="s">
        <v>227</v>
      </c>
      <c r="O14972">
        <v>250513</v>
      </c>
      <c r="P14972">
        <v>78.959999999999994</v>
      </c>
    </row>
    <row r="14973" spans="1:16" x14ac:dyDescent="0.25">
      <c r="A14973" t="s">
        <v>3296</v>
      </c>
      <c r="B14973" t="s">
        <v>2931</v>
      </c>
      <c r="C14973">
        <v>6395</v>
      </c>
      <c r="D14973" t="str">
        <f t="shared" si="252"/>
        <v xml:space="preserve">21002672    </v>
      </c>
      <c r="E14973" t="s">
        <v>1035</v>
      </c>
      <c r="F14973" t="s">
        <v>1036</v>
      </c>
      <c r="G14973">
        <v>99.1</v>
      </c>
      <c r="H14973">
        <v>250502</v>
      </c>
      <c r="I14973">
        <v>4367</v>
      </c>
      <c r="J14973" t="s">
        <v>159</v>
      </c>
      <c r="K14973">
        <v>2477.38</v>
      </c>
      <c r="L14973">
        <v>20.14</v>
      </c>
      <c r="M14973">
        <v>69113</v>
      </c>
      <c r="N14973" t="s">
        <v>122</v>
      </c>
      <c r="O14973">
        <v>250513</v>
      </c>
      <c r="P14973">
        <v>78.959999999999994</v>
      </c>
    </row>
    <row r="14974" spans="1:16" x14ac:dyDescent="0.25">
      <c r="A14974" t="s">
        <v>3296</v>
      </c>
      <c r="B14974" t="s">
        <v>2931</v>
      </c>
      <c r="C14974">
        <v>6395</v>
      </c>
      <c r="D14974" t="str">
        <f t="shared" si="252"/>
        <v xml:space="preserve">21002672    </v>
      </c>
      <c r="E14974" t="s">
        <v>1035</v>
      </c>
      <c r="F14974" t="s">
        <v>1036</v>
      </c>
      <c r="G14974">
        <v>24.77</v>
      </c>
      <c r="H14974">
        <v>250502</v>
      </c>
      <c r="I14974">
        <v>4367</v>
      </c>
      <c r="J14974" t="s">
        <v>159</v>
      </c>
      <c r="K14974">
        <v>2477.38</v>
      </c>
      <c r="L14974">
        <v>5.03</v>
      </c>
      <c r="M14974">
        <v>69804</v>
      </c>
      <c r="N14974" t="s">
        <v>376</v>
      </c>
      <c r="O14974">
        <v>250513</v>
      </c>
      <c r="P14974">
        <v>19.739999999999998</v>
      </c>
    </row>
    <row r="14975" spans="1:16" x14ac:dyDescent="0.25">
      <c r="A14975" t="s">
        <v>3296</v>
      </c>
      <c r="B14975" t="s">
        <v>2931</v>
      </c>
      <c r="C14975">
        <v>6395</v>
      </c>
      <c r="D14975" t="str">
        <f t="shared" si="252"/>
        <v xml:space="preserve">21002672    </v>
      </c>
      <c r="E14975" t="s">
        <v>1035</v>
      </c>
      <c r="F14975" t="s">
        <v>1036</v>
      </c>
      <c r="G14975">
        <v>24.77</v>
      </c>
      <c r="H14975">
        <v>250502</v>
      </c>
      <c r="I14975">
        <v>4367</v>
      </c>
      <c r="J14975" t="s">
        <v>159</v>
      </c>
      <c r="K14975">
        <v>2477.38</v>
      </c>
      <c r="L14975">
        <v>5.03</v>
      </c>
      <c r="M14975">
        <v>69811</v>
      </c>
      <c r="N14975" t="s">
        <v>230</v>
      </c>
      <c r="O14975">
        <v>250513</v>
      </c>
      <c r="P14975">
        <v>19.739999999999998</v>
      </c>
    </row>
    <row r="14976" spans="1:16" x14ac:dyDescent="0.25">
      <c r="A14976" t="s">
        <v>3296</v>
      </c>
      <c r="B14976" t="s">
        <v>2931</v>
      </c>
      <c r="C14976">
        <v>10068</v>
      </c>
      <c r="D14976" t="str">
        <f t="shared" ref="D14976:D14988" si="253">"21002934    "</f>
        <v xml:space="preserve">21002934    </v>
      </c>
      <c r="E14976" t="s">
        <v>1035</v>
      </c>
      <c r="F14976" t="s">
        <v>1036</v>
      </c>
      <c r="G14976">
        <v>557.41</v>
      </c>
      <c r="H14976">
        <v>250801</v>
      </c>
      <c r="I14976">
        <v>4367</v>
      </c>
      <c r="J14976" t="s">
        <v>159</v>
      </c>
      <c r="K14976">
        <v>2477.38</v>
      </c>
      <c r="L14976">
        <v>113.26</v>
      </c>
      <c r="M14976">
        <v>14912</v>
      </c>
      <c r="N14976" t="s">
        <v>80</v>
      </c>
      <c r="O14976">
        <v>250811</v>
      </c>
      <c r="P14976">
        <v>444.15</v>
      </c>
    </row>
    <row r="14977" spans="1:16" x14ac:dyDescent="0.25">
      <c r="A14977" t="s">
        <v>3296</v>
      </c>
      <c r="B14977" t="s">
        <v>2931</v>
      </c>
      <c r="C14977">
        <v>10068</v>
      </c>
      <c r="D14977" t="str">
        <f t="shared" si="253"/>
        <v xml:space="preserve">21002934    </v>
      </c>
      <c r="E14977" t="s">
        <v>1035</v>
      </c>
      <c r="F14977" t="s">
        <v>1036</v>
      </c>
      <c r="G14977">
        <v>278.7</v>
      </c>
      <c r="H14977">
        <v>250801</v>
      </c>
      <c r="I14977">
        <v>4367</v>
      </c>
      <c r="J14977" t="s">
        <v>159</v>
      </c>
      <c r="K14977">
        <v>2477.38</v>
      </c>
      <c r="L14977">
        <v>56.63</v>
      </c>
      <c r="M14977">
        <v>16431</v>
      </c>
      <c r="N14977" t="s">
        <v>17</v>
      </c>
      <c r="O14977">
        <v>250811</v>
      </c>
      <c r="P14977">
        <v>222.07</v>
      </c>
    </row>
    <row r="14978" spans="1:16" x14ac:dyDescent="0.25">
      <c r="A14978" t="s">
        <v>3296</v>
      </c>
      <c r="B14978" t="s">
        <v>2931</v>
      </c>
      <c r="C14978">
        <v>10068</v>
      </c>
      <c r="D14978" t="str">
        <f t="shared" si="253"/>
        <v xml:space="preserve">21002934    </v>
      </c>
      <c r="E14978" t="s">
        <v>1035</v>
      </c>
      <c r="F14978" t="s">
        <v>1036</v>
      </c>
      <c r="G14978">
        <v>278.70999999999998</v>
      </c>
      <c r="H14978">
        <v>250801</v>
      </c>
      <c r="I14978">
        <v>4367</v>
      </c>
      <c r="J14978" t="s">
        <v>159</v>
      </c>
      <c r="K14978">
        <v>2477.38</v>
      </c>
      <c r="L14978">
        <v>56.63</v>
      </c>
      <c r="M14978">
        <v>17913</v>
      </c>
      <c r="N14978" t="s">
        <v>26</v>
      </c>
      <c r="O14978">
        <v>250811</v>
      </c>
      <c r="P14978">
        <v>222.08</v>
      </c>
    </row>
    <row r="14979" spans="1:16" x14ac:dyDescent="0.25">
      <c r="A14979" t="s">
        <v>3296</v>
      </c>
      <c r="B14979" t="s">
        <v>2931</v>
      </c>
      <c r="C14979">
        <v>10068</v>
      </c>
      <c r="D14979" t="str">
        <f t="shared" si="253"/>
        <v xml:space="preserve">21002934    </v>
      </c>
      <c r="E14979" t="s">
        <v>1035</v>
      </c>
      <c r="F14979" t="s">
        <v>1036</v>
      </c>
      <c r="G14979">
        <v>278.70999999999998</v>
      </c>
      <c r="H14979">
        <v>250801</v>
      </c>
      <c r="I14979">
        <v>4367</v>
      </c>
      <c r="J14979" t="s">
        <v>159</v>
      </c>
      <c r="K14979">
        <v>2477.38</v>
      </c>
      <c r="L14979">
        <v>56.63</v>
      </c>
      <c r="M14979">
        <v>44222</v>
      </c>
      <c r="N14979" t="s">
        <v>96</v>
      </c>
      <c r="O14979">
        <v>250811</v>
      </c>
      <c r="P14979">
        <v>222.08</v>
      </c>
    </row>
    <row r="14980" spans="1:16" x14ac:dyDescent="0.25">
      <c r="A14980" t="s">
        <v>3296</v>
      </c>
      <c r="B14980" t="s">
        <v>2931</v>
      </c>
      <c r="C14980">
        <v>10068</v>
      </c>
      <c r="D14980" t="str">
        <f t="shared" si="253"/>
        <v xml:space="preserve">21002934    </v>
      </c>
      <c r="E14980" t="s">
        <v>1035</v>
      </c>
      <c r="F14980" t="s">
        <v>1036</v>
      </c>
      <c r="G14980">
        <v>278.7</v>
      </c>
      <c r="H14980">
        <v>250801</v>
      </c>
      <c r="I14980">
        <v>4367</v>
      </c>
      <c r="J14980" t="s">
        <v>159</v>
      </c>
      <c r="K14980">
        <v>2477.38</v>
      </c>
      <c r="L14980">
        <v>56.63</v>
      </c>
      <c r="M14980">
        <v>49112</v>
      </c>
      <c r="N14980" t="s">
        <v>109</v>
      </c>
      <c r="O14980">
        <v>250811</v>
      </c>
      <c r="P14980">
        <v>222.07</v>
      </c>
    </row>
    <row r="14981" spans="1:16" x14ac:dyDescent="0.25">
      <c r="A14981" t="s">
        <v>3296</v>
      </c>
      <c r="B14981" t="s">
        <v>2931</v>
      </c>
      <c r="C14981">
        <v>10068</v>
      </c>
      <c r="D14981" t="str">
        <f t="shared" si="253"/>
        <v xml:space="preserve">21002934    </v>
      </c>
      <c r="E14981" t="s">
        <v>1035</v>
      </c>
      <c r="F14981" t="s">
        <v>1036</v>
      </c>
      <c r="G14981">
        <v>139.35</v>
      </c>
      <c r="H14981">
        <v>250801</v>
      </c>
      <c r="I14981">
        <v>4367</v>
      </c>
      <c r="J14981" t="s">
        <v>159</v>
      </c>
      <c r="K14981">
        <v>2477.38</v>
      </c>
      <c r="L14981">
        <v>28.31</v>
      </c>
      <c r="M14981">
        <v>54422</v>
      </c>
      <c r="N14981" t="s">
        <v>49</v>
      </c>
      <c r="O14981">
        <v>250811</v>
      </c>
      <c r="P14981">
        <v>111.04</v>
      </c>
    </row>
    <row r="14982" spans="1:16" x14ac:dyDescent="0.25">
      <c r="A14982" t="s">
        <v>3296</v>
      </c>
      <c r="B14982" t="s">
        <v>2931</v>
      </c>
      <c r="C14982">
        <v>10068</v>
      </c>
      <c r="D14982" t="str">
        <f t="shared" si="253"/>
        <v xml:space="preserve">21002934    </v>
      </c>
      <c r="E14982" t="s">
        <v>1035</v>
      </c>
      <c r="F14982" t="s">
        <v>1036</v>
      </c>
      <c r="G14982">
        <v>139.35</v>
      </c>
      <c r="H14982">
        <v>250801</v>
      </c>
      <c r="I14982">
        <v>4367</v>
      </c>
      <c r="J14982" t="s">
        <v>159</v>
      </c>
      <c r="K14982">
        <v>2477.38</v>
      </c>
      <c r="L14982">
        <v>28.31</v>
      </c>
      <c r="M14982">
        <v>54451</v>
      </c>
      <c r="N14982" t="s">
        <v>218</v>
      </c>
      <c r="O14982">
        <v>250811</v>
      </c>
      <c r="P14982">
        <v>111.04</v>
      </c>
    </row>
    <row r="14983" spans="1:16" x14ac:dyDescent="0.25">
      <c r="A14983" t="s">
        <v>3296</v>
      </c>
      <c r="B14983" t="s">
        <v>2931</v>
      </c>
      <c r="C14983">
        <v>10068</v>
      </c>
      <c r="D14983" t="str">
        <f t="shared" si="253"/>
        <v xml:space="preserve">21002934    </v>
      </c>
      <c r="E14983" t="s">
        <v>1035</v>
      </c>
      <c r="F14983" t="s">
        <v>1036</v>
      </c>
      <c r="G14983">
        <v>139.35</v>
      </c>
      <c r="H14983">
        <v>250801</v>
      </c>
      <c r="I14983">
        <v>4367</v>
      </c>
      <c r="J14983" t="s">
        <v>159</v>
      </c>
      <c r="K14983">
        <v>2477.38</v>
      </c>
      <c r="L14983">
        <v>28.31</v>
      </c>
      <c r="M14983">
        <v>59113</v>
      </c>
      <c r="N14983" t="s">
        <v>61</v>
      </c>
      <c r="O14983">
        <v>250811</v>
      </c>
      <c r="P14983">
        <v>111.04</v>
      </c>
    </row>
    <row r="14984" spans="1:16" x14ac:dyDescent="0.25">
      <c r="A14984" t="s">
        <v>3296</v>
      </c>
      <c r="B14984" t="s">
        <v>2931</v>
      </c>
      <c r="C14984">
        <v>10068</v>
      </c>
      <c r="D14984" t="str">
        <f t="shared" si="253"/>
        <v xml:space="preserve">21002934    </v>
      </c>
      <c r="E14984" t="s">
        <v>1035</v>
      </c>
      <c r="F14984" t="s">
        <v>1036</v>
      </c>
      <c r="G14984">
        <v>139.36000000000001</v>
      </c>
      <c r="H14984">
        <v>250801</v>
      </c>
      <c r="I14984">
        <v>4367</v>
      </c>
      <c r="J14984" t="s">
        <v>159</v>
      </c>
      <c r="K14984">
        <v>2477.38</v>
      </c>
      <c r="L14984">
        <v>28.32</v>
      </c>
      <c r="M14984">
        <v>59114</v>
      </c>
      <c r="N14984" t="s">
        <v>299</v>
      </c>
      <c r="O14984">
        <v>250811</v>
      </c>
      <c r="P14984">
        <v>111.04</v>
      </c>
    </row>
    <row r="14985" spans="1:16" x14ac:dyDescent="0.25">
      <c r="A14985" t="s">
        <v>3296</v>
      </c>
      <c r="B14985" t="s">
        <v>2931</v>
      </c>
      <c r="C14985">
        <v>10068</v>
      </c>
      <c r="D14985" t="str">
        <f t="shared" si="253"/>
        <v xml:space="preserve">21002934    </v>
      </c>
      <c r="E14985" t="s">
        <v>1035</v>
      </c>
      <c r="F14985" t="s">
        <v>1036</v>
      </c>
      <c r="G14985">
        <v>99.1</v>
      </c>
      <c r="H14985">
        <v>250801</v>
      </c>
      <c r="I14985">
        <v>4367</v>
      </c>
      <c r="J14985" t="s">
        <v>159</v>
      </c>
      <c r="K14985">
        <v>2477.38</v>
      </c>
      <c r="L14985">
        <v>20.14</v>
      </c>
      <c r="M14985">
        <v>69112</v>
      </c>
      <c r="N14985" t="s">
        <v>227</v>
      </c>
      <c r="O14985">
        <v>250811</v>
      </c>
      <c r="P14985">
        <v>78.959999999999994</v>
      </c>
    </row>
    <row r="14986" spans="1:16" x14ac:dyDescent="0.25">
      <c r="A14986" t="s">
        <v>3296</v>
      </c>
      <c r="B14986" t="s">
        <v>2931</v>
      </c>
      <c r="C14986">
        <v>10068</v>
      </c>
      <c r="D14986" t="str">
        <f t="shared" si="253"/>
        <v xml:space="preserve">21002934    </v>
      </c>
      <c r="E14986" t="s">
        <v>1035</v>
      </c>
      <c r="F14986" t="s">
        <v>1036</v>
      </c>
      <c r="G14986">
        <v>99.1</v>
      </c>
      <c r="H14986">
        <v>250801</v>
      </c>
      <c r="I14986">
        <v>4367</v>
      </c>
      <c r="J14986" t="s">
        <v>159</v>
      </c>
      <c r="K14986">
        <v>2477.38</v>
      </c>
      <c r="L14986">
        <v>20.14</v>
      </c>
      <c r="M14986">
        <v>69113</v>
      </c>
      <c r="N14986" t="s">
        <v>122</v>
      </c>
      <c r="O14986">
        <v>250811</v>
      </c>
      <c r="P14986">
        <v>78.959999999999994</v>
      </c>
    </row>
    <row r="14987" spans="1:16" x14ac:dyDescent="0.25">
      <c r="A14987" t="s">
        <v>3296</v>
      </c>
      <c r="B14987" t="s">
        <v>2931</v>
      </c>
      <c r="C14987">
        <v>10068</v>
      </c>
      <c r="D14987" t="str">
        <f t="shared" si="253"/>
        <v xml:space="preserve">21002934    </v>
      </c>
      <c r="E14987" t="s">
        <v>1035</v>
      </c>
      <c r="F14987" t="s">
        <v>1036</v>
      </c>
      <c r="G14987">
        <v>24.77</v>
      </c>
      <c r="H14987">
        <v>250801</v>
      </c>
      <c r="I14987">
        <v>4367</v>
      </c>
      <c r="J14987" t="s">
        <v>159</v>
      </c>
      <c r="K14987">
        <v>2477.38</v>
      </c>
      <c r="L14987">
        <v>5.03</v>
      </c>
      <c r="M14987">
        <v>69802</v>
      </c>
      <c r="N14987" t="s">
        <v>375</v>
      </c>
      <c r="O14987">
        <v>250811</v>
      </c>
      <c r="P14987">
        <v>19.739999999999998</v>
      </c>
    </row>
    <row r="14988" spans="1:16" x14ac:dyDescent="0.25">
      <c r="A14988" t="s">
        <v>3296</v>
      </c>
      <c r="B14988" t="s">
        <v>2931</v>
      </c>
      <c r="C14988">
        <v>10068</v>
      </c>
      <c r="D14988" t="str">
        <f t="shared" si="253"/>
        <v xml:space="preserve">21002934    </v>
      </c>
      <c r="E14988" t="s">
        <v>1035</v>
      </c>
      <c r="F14988" t="s">
        <v>1036</v>
      </c>
      <c r="G14988">
        <v>24.77</v>
      </c>
      <c r="H14988">
        <v>250801</v>
      </c>
      <c r="I14988">
        <v>4367</v>
      </c>
      <c r="J14988" t="s">
        <v>159</v>
      </c>
      <c r="K14988">
        <v>2477.38</v>
      </c>
      <c r="L14988">
        <v>5.03</v>
      </c>
      <c r="M14988">
        <v>69810</v>
      </c>
      <c r="N14988" t="s">
        <v>229</v>
      </c>
      <c r="O14988">
        <v>250811</v>
      </c>
      <c r="P14988">
        <v>19.739999999999998</v>
      </c>
    </row>
    <row r="14989" spans="1:16" x14ac:dyDescent="0.25">
      <c r="A14989" t="s">
        <v>3296</v>
      </c>
      <c r="B14989" t="s">
        <v>2931</v>
      </c>
      <c r="C14989">
        <v>14920</v>
      </c>
      <c r="D14989" t="str">
        <f t="shared" ref="D14989:D15001" si="254">"21003234    "</f>
        <v xml:space="preserve">21003234    </v>
      </c>
      <c r="E14989" t="s">
        <v>1035</v>
      </c>
      <c r="F14989" t="s">
        <v>1036</v>
      </c>
      <c r="G14989">
        <v>371.61</v>
      </c>
      <c r="H14989">
        <v>251103</v>
      </c>
      <c r="I14989">
        <v>4367</v>
      </c>
      <c r="J14989" t="s">
        <v>159</v>
      </c>
      <c r="K14989">
        <v>2477.38</v>
      </c>
      <c r="L14989">
        <v>75.510000000000005</v>
      </c>
      <c r="M14989">
        <v>14912</v>
      </c>
      <c r="N14989" t="s">
        <v>80</v>
      </c>
      <c r="O14989">
        <v>251110</v>
      </c>
      <c r="P14989">
        <v>296.10000000000002</v>
      </c>
    </row>
    <row r="14990" spans="1:16" x14ac:dyDescent="0.25">
      <c r="A14990" t="s">
        <v>3296</v>
      </c>
      <c r="B14990" t="s">
        <v>2931</v>
      </c>
      <c r="C14990">
        <v>14920</v>
      </c>
      <c r="D14990" t="str">
        <f t="shared" si="254"/>
        <v xml:space="preserve">21003234    </v>
      </c>
      <c r="E14990" t="s">
        <v>1035</v>
      </c>
      <c r="F14990" t="s">
        <v>1036</v>
      </c>
      <c r="G14990">
        <v>278.70999999999998</v>
      </c>
      <c r="H14990">
        <v>251103</v>
      </c>
      <c r="I14990">
        <v>4367</v>
      </c>
      <c r="J14990" t="s">
        <v>159</v>
      </c>
      <c r="K14990">
        <v>2477.38</v>
      </c>
      <c r="L14990">
        <v>56.63</v>
      </c>
      <c r="M14990">
        <v>16431</v>
      </c>
      <c r="N14990" t="s">
        <v>17</v>
      </c>
      <c r="O14990">
        <v>251110</v>
      </c>
      <c r="P14990">
        <v>222.08</v>
      </c>
    </row>
    <row r="14991" spans="1:16" x14ac:dyDescent="0.25">
      <c r="A14991" t="s">
        <v>3296</v>
      </c>
      <c r="B14991" t="s">
        <v>2931</v>
      </c>
      <c r="C14991">
        <v>14920</v>
      </c>
      <c r="D14991" t="str">
        <f t="shared" si="254"/>
        <v xml:space="preserve">21003234    </v>
      </c>
      <c r="E14991" t="s">
        <v>1035</v>
      </c>
      <c r="F14991" t="s">
        <v>1036</v>
      </c>
      <c r="G14991">
        <v>278.7</v>
      </c>
      <c r="H14991">
        <v>251103</v>
      </c>
      <c r="I14991">
        <v>4367</v>
      </c>
      <c r="J14991" t="s">
        <v>159</v>
      </c>
      <c r="K14991">
        <v>2477.38</v>
      </c>
      <c r="L14991">
        <v>56.63</v>
      </c>
      <c r="M14991">
        <v>17913</v>
      </c>
      <c r="N14991" t="s">
        <v>26</v>
      </c>
      <c r="O14991">
        <v>251110</v>
      </c>
      <c r="P14991">
        <v>222.07</v>
      </c>
    </row>
    <row r="14992" spans="1:16" x14ac:dyDescent="0.25">
      <c r="A14992" t="s">
        <v>3296</v>
      </c>
      <c r="B14992" t="s">
        <v>2931</v>
      </c>
      <c r="C14992">
        <v>14920</v>
      </c>
      <c r="D14992" t="str">
        <f t="shared" si="254"/>
        <v xml:space="preserve">21003234    </v>
      </c>
      <c r="E14992" t="s">
        <v>1035</v>
      </c>
      <c r="F14992" t="s">
        <v>1036</v>
      </c>
      <c r="G14992">
        <v>185.81</v>
      </c>
      <c r="H14992">
        <v>251103</v>
      </c>
      <c r="I14992">
        <v>4367</v>
      </c>
      <c r="J14992" t="s">
        <v>159</v>
      </c>
      <c r="K14992">
        <v>2477.38</v>
      </c>
      <c r="L14992">
        <v>37.75</v>
      </c>
      <c r="M14992">
        <v>44222</v>
      </c>
      <c r="N14992" t="s">
        <v>96</v>
      </c>
      <c r="O14992">
        <v>251110</v>
      </c>
      <c r="P14992">
        <v>148.06</v>
      </c>
    </row>
    <row r="14993" spans="1:16" x14ac:dyDescent="0.25">
      <c r="A14993" t="s">
        <v>3296</v>
      </c>
      <c r="B14993" t="s">
        <v>2931</v>
      </c>
      <c r="C14993">
        <v>14920</v>
      </c>
      <c r="D14993" t="str">
        <f t="shared" si="254"/>
        <v xml:space="preserve">21003234    </v>
      </c>
      <c r="E14993" t="s">
        <v>1035</v>
      </c>
      <c r="F14993" t="s">
        <v>1036</v>
      </c>
      <c r="G14993">
        <v>185.8</v>
      </c>
      <c r="H14993">
        <v>251103</v>
      </c>
      <c r="I14993">
        <v>4367</v>
      </c>
      <c r="J14993" t="s">
        <v>159</v>
      </c>
      <c r="K14993">
        <v>2477.38</v>
      </c>
      <c r="L14993">
        <v>37.75</v>
      </c>
      <c r="M14993">
        <v>49112</v>
      </c>
      <c r="N14993" t="s">
        <v>109</v>
      </c>
      <c r="O14993">
        <v>251110</v>
      </c>
      <c r="P14993">
        <v>148.05000000000001</v>
      </c>
    </row>
    <row r="14994" spans="1:16" x14ac:dyDescent="0.25">
      <c r="A14994" t="s">
        <v>3296</v>
      </c>
      <c r="B14994" t="s">
        <v>2931</v>
      </c>
      <c r="C14994">
        <v>14920</v>
      </c>
      <c r="D14994" t="str">
        <f t="shared" si="254"/>
        <v xml:space="preserve">21003234    </v>
      </c>
      <c r="E14994" t="s">
        <v>1035</v>
      </c>
      <c r="F14994" t="s">
        <v>1036</v>
      </c>
      <c r="G14994">
        <v>139.35</v>
      </c>
      <c r="H14994">
        <v>251103</v>
      </c>
      <c r="I14994">
        <v>4367</v>
      </c>
      <c r="J14994" t="s">
        <v>159</v>
      </c>
      <c r="K14994">
        <v>2477.38</v>
      </c>
      <c r="L14994">
        <v>28.31</v>
      </c>
      <c r="M14994">
        <v>54222</v>
      </c>
      <c r="N14994" t="s">
        <v>48</v>
      </c>
      <c r="O14994">
        <v>251110</v>
      </c>
      <c r="P14994">
        <v>111.04</v>
      </c>
    </row>
    <row r="14995" spans="1:16" x14ac:dyDescent="0.25">
      <c r="A14995" t="s">
        <v>3296</v>
      </c>
      <c r="B14995" t="s">
        <v>2931</v>
      </c>
      <c r="C14995">
        <v>14920</v>
      </c>
      <c r="D14995" t="str">
        <f t="shared" si="254"/>
        <v xml:space="preserve">21003234    </v>
      </c>
      <c r="E14995" t="s">
        <v>1035</v>
      </c>
      <c r="F14995" t="s">
        <v>1036</v>
      </c>
      <c r="G14995">
        <v>139.35</v>
      </c>
      <c r="H14995">
        <v>251103</v>
      </c>
      <c r="I14995">
        <v>4367</v>
      </c>
      <c r="J14995" t="s">
        <v>159</v>
      </c>
      <c r="K14995">
        <v>2477.38</v>
      </c>
      <c r="L14995">
        <v>28.31</v>
      </c>
      <c r="M14995">
        <v>54451</v>
      </c>
      <c r="N14995" t="s">
        <v>218</v>
      </c>
      <c r="O14995">
        <v>251110</v>
      </c>
      <c r="P14995">
        <v>111.04</v>
      </c>
    </row>
    <row r="14996" spans="1:16" x14ac:dyDescent="0.25">
      <c r="A14996" t="s">
        <v>3296</v>
      </c>
      <c r="B14996" t="s">
        <v>2931</v>
      </c>
      <c r="C14996">
        <v>14920</v>
      </c>
      <c r="D14996" t="str">
        <f t="shared" si="254"/>
        <v xml:space="preserve">21003234    </v>
      </c>
      <c r="E14996" t="s">
        <v>1035</v>
      </c>
      <c r="F14996" t="s">
        <v>1036</v>
      </c>
      <c r="G14996">
        <v>139.36000000000001</v>
      </c>
      <c r="H14996">
        <v>251103</v>
      </c>
      <c r="I14996">
        <v>4367</v>
      </c>
      <c r="J14996" t="s">
        <v>159</v>
      </c>
      <c r="K14996">
        <v>2477.38</v>
      </c>
      <c r="L14996">
        <v>28.32</v>
      </c>
      <c r="M14996">
        <v>59113</v>
      </c>
      <c r="N14996" t="s">
        <v>61</v>
      </c>
      <c r="O14996">
        <v>251110</v>
      </c>
      <c r="P14996">
        <v>111.04</v>
      </c>
    </row>
    <row r="14997" spans="1:16" x14ac:dyDescent="0.25">
      <c r="A14997" t="s">
        <v>3296</v>
      </c>
      <c r="B14997" t="s">
        <v>2931</v>
      </c>
      <c r="C14997">
        <v>14920</v>
      </c>
      <c r="D14997" t="str">
        <f t="shared" si="254"/>
        <v xml:space="preserve">21003234    </v>
      </c>
      <c r="E14997" t="s">
        <v>1035</v>
      </c>
      <c r="F14997" t="s">
        <v>1036</v>
      </c>
      <c r="G14997">
        <v>139.35</v>
      </c>
      <c r="H14997">
        <v>251103</v>
      </c>
      <c r="I14997">
        <v>4367</v>
      </c>
      <c r="J14997" t="s">
        <v>159</v>
      </c>
      <c r="K14997">
        <v>2477.38</v>
      </c>
      <c r="L14997">
        <v>28.31</v>
      </c>
      <c r="M14997">
        <v>59114</v>
      </c>
      <c r="N14997" t="s">
        <v>299</v>
      </c>
      <c r="O14997">
        <v>251110</v>
      </c>
      <c r="P14997">
        <v>111.04</v>
      </c>
    </row>
    <row r="14998" spans="1:16" x14ac:dyDescent="0.25">
      <c r="A14998" t="s">
        <v>3296</v>
      </c>
      <c r="B14998" t="s">
        <v>2931</v>
      </c>
      <c r="C14998">
        <v>14920</v>
      </c>
      <c r="D14998" t="str">
        <f t="shared" si="254"/>
        <v xml:space="preserve">21003234    </v>
      </c>
      <c r="E14998" t="s">
        <v>1035</v>
      </c>
      <c r="F14998" t="s">
        <v>1036</v>
      </c>
      <c r="G14998">
        <v>65.7</v>
      </c>
      <c r="H14998">
        <v>251103</v>
      </c>
      <c r="I14998">
        <v>4367</v>
      </c>
      <c r="J14998" t="s">
        <v>159</v>
      </c>
      <c r="K14998">
        <v>2477.38</v>
      </c>
      <c r="L14998">
        <v>13.35</v>
      </c>
      <c r="M14998">
        <v>69112</v>
      </c>
      <c r="N14998" t="s">
        <v>227</v>
      </c>
      <c r="O14998">
        <v>251110</v>
      </c>
      <c r="P14998">
        <v>52.35</v>
      </c>
    </row>
    <row r="14999" spans="1:16" x14ac:dyDescent="0.25">
      <c r="A14999" t="s">
        <v>3296</v>
      </c>
      <c r="B14999" t="s">
        <v>2931</v>
      </c>
      <c r="C14999">
        <v>14920</v>
      </c>
      <c r="D14999" t="str">
        <f t="shared" si="254"/>
        <v xml:space="preserve">21003234    </v>
      </c>
      <c r="E14999" t="s">
        <v>1035</v>
      </c>
      <c r="F14999" t="s">
        <v>1036</v>
      </c>
      <c r="G14999">
        <v>65.7</v>
      </c>
      <c r="H14999">
        <v>251103</v>
      </c>
      <c r="I14999">
        <v>4367</v>
      </c>
      <c r="J14999" t="s">
        <v>159</v>
      </c>
      <c r="K14999">
        <v>2477.38</v>
      </c>
      <c r="L14999">
        <v>13.35</v>
      </c>
      <c r="M14999">
        <v>69113</v>
      </c>
      <c r="N14999" t="s">
        <v>122</v>
      </c>
      <c r="O14999">
        <v>251110</v>
      </c>
      <c r="P14999">
        <v>52.35</v>
      </c>
    </row>
    <row r="15000" spans="1:16" x14ac:dyDescent="0.25">
      <c r="A15000" t="s">
        <v>3296</v>
      </c>
      <c r="B15000" t="s">
        <v>2931</v>
      </c>
      <c r="C15000">
        <v>14920</v>
      </c>
      <c r="D15000" t="str">
        <f t="shared" si="254"/>
        <v xml:space="preserve">21003234    </v>
      </c>
      <c r="E15000" t="s">
        <v>1035</v>
      </c>
      <c r="F15000" t="s">
        <v>1036</v>
      </c>
      <c r="G15000">
        <v>16.43</v>
      </c>
      <c r="H15000">
        <v>251103</v>
      </c>
      <c r="I15000">
        <v>4367</v>
      </c>
      <c r="J15000" t="s">
        <v>159</v>
      </c>
      <c r="K15000">
        <v>2477.38</v>
      </c>
      <c r="L15000">
        <v>3.34</v>
      </c>
      <c r="M15000">
        <v>69804</v>
      </c>
      <c r="N15000" t="s">
        <v>376</v>
      </c>
      <c r="O15000">
        <v>251110</v>
      </c>
      <c r="P15000">
        <v>13.09</v>
      </c>
    </row>
    <row r="15001" spans="1:16" x14ac:dyDescent="0.25">
      <c r="A15001" t="s">
        <v>3296</v>
      </c>
      <c r="B15001" t="s">
        <v>2931</v>
      </c>
      <c r="C15001">
        <v>14920</v>
      </c>
      <c r="D15001" t="str">
        <f t="shared" si="254"/>
        <v xml:space="preserve">21003234    </v>
      </c>
      <c r="E15001" t="s">
        <v>1035</v>
      </c>
      <c r="F15001" t="s">
        <v>1036</v>
      </c>
      <c r="G15001">
        <v>16.43</v>
      </c>
      <c r="H15001">
        <v>251103</v>
      </c>
      <c r="I15001">
        <v>4367</v>
      </c>
      <c r="J15001" t="s">
        <v>159</v>
      </c>
      <c r="K15001">
        <v>2477.38</v>
      </c>
      <c r="L15001">
        <v>3.34</v>
      </c>
      <c r="M15001">
        <v>69811</v>
      </c>
      <c r="N15001" t="s">
        <v>230</v>
      </c>
      <c r="O15001">
        <v>251110</v>
      </c>
      <c r="P15001">
        <v>13.09</v>
      </c>
    </row>
    <row r="15002" spans="1:16" x14ac:dyDescent="0.25">
      <c r="A15002" t="s">
        <v>3296</v>
      </c>
      <c r="B15002" t="s">
        <v>2931</v>
      </c>
      <c r="C15002">
        <v>7783</v>
      </c>
      <c r="D15002" t="str">
        <f>"262499      "</f>
        <v xml:space="preserve">262499      </v>
      </c>
      <c r="E15002" t="s">
        <v>1993</v>
      </c>
      <c r="F15002" t="s">
        <v>1994</v>
      </c>
      <c r="G15002">
        <v>593.91</v>
      </c>
      <c r="H15002">
        <v>250528</v>
      </c>
      <c r="I15002">
        <v>4400</v>
      </c>
      <c r="J15002" t="s">
        <v>162</v>
      </c>
      <c r="K15002">
        <v>2969.56</v>
      </c>
      <c r="L15002">
        <v>120.67</v>
      </c>
      <c r="M15002">
        <v>69111</v>
      </c>
      <c r="N15002" t="s">
        <v>657</v>
      </c>
      <c r="O15002">
        <v>250609</v>
      </c>
      <c r="P15002">
        <v>473.24</v>
      </c>
    </row>
    <row r="15003" spans="1:16" x14ac:dyDescent="0.25">
      <c r="A15003" t="s">
        <v>3296</v>
      </c>
      <c r="B15003" t="s">
        <v>2931</v>
      </c>
      <c r="C15003">
        <v>7783</v>
      </c>
      <c r="D15003" t="str">
        <f>"262499      "</f>
        <v xml:space="preserve">262499      </v>
      </c>
      <c r="E15003" t="s">
        <v>1993</v>
      </c>
      <c r="F15003" t="s">
        <v>1994</v>
      </c>
      <c r="G15003">
        <v>2375.65</v>
      </c>
      <c r="H15003">
        <v>250528</v>
      </c>
      <c r="I15003">
        <v>4400</v>
      </c>
      <c r="J15003" t="s">
        <v>162</v>
      </c>
      <c r="K15003">
        <v>2969.56</v>
      </c>
      <c r="L15003">
        <v>482.7</v>
      </c>
      <c r="M15003">
        <v>69501</v>
      </c>
      <c r="N15003" t="s">
        <v>123</v>
      </c>
      <c r="O15003">
        <v>250609</v>
      </c>
      <c r="P15003">
        <v>1892.95</v>
      </c>
    </row>
    <row r="15004" spans="1:16" x14ac:dyDescent="0.25">
      <c r="A15004" t="s">
        <v>3296</v>
      </c>
      <c r="B15004" t="s">
        <v>2931</v>
      </c>
      <c r="C15004">
        <v>12296</v>
      </c>
      <c r="D15004" t="str">
        <f>"45158522    "</f>
        <v xml:space="preserve">45158522    </v>
      </c>
      <c r="E15004" t="s">
        <v>3266</v>
      </c>
      <c r="F15004" t="s">
        <v>3267</v>
      </c>
      <c r="G15004">
        <v>109.59</v>
      </c>
      <c r="H15004">
        <v>250904</v>
      </c>
      <c r="I15004">
        <v>4580</v>
      </c>
      <c r="J15004" t="s">
        <v>126</v>
      </c>
      <c r="K15004">
        <v>109.59</v>
      </c>
      <c r="L15004">
        <v>0</v>
      </c>
      <c r="M15004">
        <v>17529</v>
      </c>
      <c r="N15004" t="s">
        <v>143</v>
      </c>
      <c r="O15004">
        <v>250918</v>
      </c>
      <c r="P15004">
        <v>109.59</v>
      </c>
    </row>
    <row r="15005" spans="1:16" x14ac:dyDescent="0.25">
      <c r="A15005" t="s">
        <v>3296</v>
      </c>
      <c r="B15005" t="s">
        <v>2931</v>
      </c>
      <c r="C15005">
        <v>11143</v>
      </c>
      <c r="D15005" t="str">
        <f>"45156381    "</f>
        <v xml:space="preserve">45156381    </v>
      </c>
      <c r="E15005" t="s">
        <v>3266</v>
      </c>
      <c r="F15005" t="s">
        <v>3267</v>
      </c>
      <c r="G15005">
        <v>396.98</v>
      </c>
      <c r="H15005">
        <v>250822</v>
      </c>
      <c r="I15005">
        <v>4600</v>
      </c>
      <c r="J15005" t="s">
        <v>278</v>
      </c>
      <c r="K15005">
        <v>396.98</v>
      </c>
      <c r="L15005">
        <v>80.66</v>
      </c>
      <c r="M15005">
        <v>17529</v>
      </c>
      <c r="N15005" t="s">
        <v>143</v>
      </c>
      <c r="O15005">
        <v>250901</v>
      </c>
      <c r="P15005">
        <v>316.32</v>
      </c>
    </row>
    <row r="15006" spans="1:16" x14ac:dyDescent="0.25">
      <c r="A15006" t="s">
        <v>3296</v>
      </c>
      <c r="B15006" t="s">
        <v>2931</v>
      </c>
      <c r="C15006">
        <v>14530</v>
      </c>
      <c r="D15006" t="str">
        <f>"45167056    "</f>
        <v xml:space="preserve">45167056    </v>
      </c>
      <c r="E15006" t="s">
        <v>3266</v>
      </c>
      <c r="F15006" t="s">
        <v>3267</v>
      </c>
      <c r="G15006">
        <v>362.24</v>
      </c>
      <c r="H15006">
        <v>251028</v>
      </c>
      <c r="I15006">
        <v>4600</v>
      </c>
      <c r="J15006" t="s">
        <v>278</v>
      </c>
      <c r="K15006">
        <v>362.24</v>
      </c>
      <c r="L15006">
        <v>0</v>
      </c>
      <c r="M15006">
        <v>17529</v>
      </c>
      <c r="N15006" t="s">
        <v>143</v>
      </c>
      <c r="O15006">
        <v>251104</v>
      </c>
      <c r="P15006">
        <v>362.24</v>
      </c>
    </row>
    <row r="15007" spans="1:16" x14ac:dyDescent="0.25">
      <c r="A15007" t="s">
        <v>3296</v>
      </c>
      <c r="B15007" t="s">
        <v>2931</v>
      </c>
      <c r="C15007">
        <v>3159</v>
      </c>
      <c r="D15007" t="str">
        <f>"15305       "</f>
        <v xml:space="preserve">15305       </v>
      </c>
      <c r="E15007" t="s">
        <v>1394</v>
      </c>
      <c r="F15007" t="s">
        <v>1395</v>
      </c>
      <c r="G15007">
        <v>5314.42</v>
      </c>
      <c r="H15007">
        <v>250228</v>
      </c>
      <c r="I15007">
        <v>4440</v>
      </c>
      <c r="J15007" t="s">
        <v>346</v>
      </c>
      <c r="K15007">
        <v>5314.42</v>
      </c>
      <c r="L15007">
        <v>1079.82</v>
      </c>
      <c r="M15007">
        <v>18120</v>
      </c>
      <c r="N15007" t="s">
        <v>37</v>
      </c>
      <c r="O15007">
        <v>250314</v>
      </c>
      <c r="P15007">
        <v>4234.6000000000004</v>
      </c>
    </row>
    <row r="15008" spans="1:16" x14ac:dyDescent="0.25">
      <c r="A15008" t="s">
        <v>3296</v>
      </c>
      <c r="B15008" t="s">
        <v>2931</v>
      </c>
      <c r="C15008">
        <v>3319</v>
      </c>
      <c r="D15008" t="str">
        <f>"15320       "</f>
        <v xml:space="preserve">15320       </v>
      </c>
      <c r="E15008" t="s">
        <v>1394</v>
      </c>
      <c r="F15008" t="s">
        <v>1395</v>
      </c>
      <c r="G15008">
        <v>8822.65</v>
      </c>
      <c r="H15008">
        <v>250228</v>
      </c>
      <c r="I15008">
        <v>4440</v>
      </c>
      <c r="J15008" t="s">
        <v>346</v>
      </c>
      <c r="K15008">
        <v>8822.65</v>
      </c>
      <c r="L15008">
        <v>1792.65</v>
      </c>
      <c r="M15008">
        <v>18120</v>
      </c>
      <c r="N15008" t="s">
        <v>37</v>
      </c>
      <c r="O15008">
        <v>250318</v>
      </c>
      <c r="P15008">
        <v>7030</v>
      </c>
    </row>
    <row r="15009" spans="1:16" x14ac:dyDescent="0.25">
      <c r="A15009" t="s">
        <v>3296</v>
      </c>
      <c r="B15009" t="s">
        <v>2931</v>
      </c>
      <c r="C15009">
        <v>3916</v>
      </c>
      <c r="D15009" t="str">
        <f>"15323       "</f>
        <v xml:space="preserve">15323       </v>
      </c>
      <c r="E15009" t="s">
        <v>1394</v>
      </c>
      <c r="F15009" t="s">
        <v>1395</v>
      </c>
      <c r="G15009">
        <v>7782.26</v>
      </c>
      <c r="H15009">
        <v>250301</v>
      </c>
      <c r="I15009">
        <v>4440</v>
      </c>
      <c r="J15009" t="s">
        <v>346</v>
      </c>
      <c r="K15009">
        <v>7782.26</v>
      </c>
      <c r="L15009">
        <v>1581.26</v>
      </c>
      <c r="M15009">
        <v>18120</v>
      </c>
      <c r="N15009" t="s">
        <v>37</v>
      </c>
      <c r="O15009">
        <v>250404</v>
      </c>
      <c r="P15009">
        <v>6201</v>
      </c>
    </row>
    <row r="15010" spans="1:16" x14ac:dyDescent="0.25">
      <c r="A15010" t="s">
        <v>3296</v>
      </c>
      <c r="B15010" t="s">
        <v>2931</v>
      </c>
      <c r="C15010">
        <v>5453</v>
      </c>
      <c r="D15010" t="str">
        <f>"15346       "</f>
        <v xml:space="preserve">15346       </v>
      </c>
      <c r="E15010" t="s">
        <v>1394</v>
      </c>
      <c r="F15010" t="s">
        <v>1395</v>
      </c>
      <c r="G15010">
        <v>4518</v>
      </c>
      <c r="H15010">
        <v>250401</v>
      </c>
      <c r="I15010">
        <v>4440</v>
      </c>
      <c r="J15010" t="s">
        <v>346</v>
      </c>
      <c r="K15010">
        <v>4518</v>
      </c>
      <c r="L15010">
        <v>918</v>
      </c>
      <c r="M15010">
        <v>18120</v>
      </c>
      <c r="N15010" t="s">
        <v>37</v>
      </c>
      <c r="O15010">
        <v>250424</v>
      </c>
      <c r="P15010">
        <v>3600</v>
      </c>
    </row>
    <row r="15011" spans="1:16" x14ac:dyDescent="0.25">
      <c r="A15011" t="s">
        <v>3296</v>
      </c>
      <c r="B15011" t="s">
        <v>2931</v>
      </c>
      <c r="C15011">
        <v>8579</v>
      </c>
      <c r="D15011" t="str">
        <f>"15395       "</f>
        <v xml:space="preserve">15395       </v>
      </c>
      <c r="E15011" t="s">
        <v>1394</v>
      </c>
      <c r="F15011" t="s">
        <v>1395</v>
      </c>
      <c r="G15011">
        <v>6613.85</v>
      </c>
      <c r="H15011">
        <v>250531</v>
      </c>
      <c r="I15011">
        <v>4440</v>
      </c>
      <c r="J15011" t="s">
        <v>346</v>
      </c>
      <c r="K15011">
        <v>6613.85</v>
      </c>
      <c r="L15011">
        <v>1343.85</v>
      </c>
      <c r="M15011">
        <v>18120</v>
      </c>
      <c r="N15011" t="s">
        <v>37</v>
      </c>
      <c r="O15011">
        <v>250617</v>
      </c>
      <c r="P15011">
        <v>5270</v>
      </c>
    </row>
    <row r="15012" spans="1:16" x14ac:dyDescent="0.25">
      <c r="A15012" t="s">
        <v>3296</v>
      </c>
      <c r="B15012" t="s">
        <v>2931</v>
      </c>
      <c r="C15012">
        <v>8632</v>
      </c>
      <c r="D15012" t="str">
        <f>"15394       "</f>
        <v xml:space="preserve">15394       </v>
      </c>
      <c r="E15012" t="s">
        <v>1394</v>
      </c>
      <c r="F15012" t="s">
        <v>1395</v>
      </c>
      <c r="G15012">
        <v>8822.65</v>
      </c>
      <c r="H15012">
        <v>250531</v>
      </c>
      <c r="I15012">
        <v>4440</v>
      </c>
      <c r="J15012" t="s">
        <v>346</v>
      </c>
      <c r="K15012">
        <v>8822.65</v>
      </c>
      <c r="L15012">
        <v>1792.65</v>
      </c>
      <c r="M15012">
        <v>18120</v>
      </c>
      <c r="N15012" t="s">
        <v>37</v>
      </c>
      <c r="O15012">
        <v>250617</v>
      </c>
      <c r="P15012">
        <v>7030</v>
      </c>
    </row>
    <row r="15013" spans="1:16" x14ac:dyDescent="0.25">
      <c r="A15013" t="s">
        <v>3296</v>
      </c>
      <c r="B15013" t="s">
        <v>2931</v>
      </c>
      <c r="C15013">
        <v>11802</v>
      </c>
      <c r="D15013" t="str">
        <f>"15481       "</f>
        <v xml:space="preserve">15481       </v>
      </c>
      <c r="E15013" t="s">
        <v>1394</v>
      </c>
      <c r="F15013" t="s">
        <v>1395</v>
      </c>
      <c r="G15013">
        <v>8822.65</v>
      </c>
      <c r="H15013">
        <v>250831</v>
      </c>
      <c r="I15013">
        <v>4440</v>
      </c>
      <c r="J15013" t="s">
        <v>346</v>
      </c>
      <c r="K15013">
        <v>8822.65</v>
      </c>
      <c r="L15013">
        <v>1792.65</v>
      </c>
      <c r="M15013">
        <v>18120</v>
      </c>
      <c r="N15013" t="s">
        <v>37</v>
      </c>
      <c r="O15013">
        <v>250910</v>
      </c>
      <c r="P15013">
        <v>7030</v>
      </c>
    </row>
    <row r="15014" spans="1:16" x14ac:dyDescent="0.25">
      <c r="A15014" t="s">
        <v>3296</v>
      </c>
      <c r="B15014" t="s">
        <v>2931</v>
      </c>
      <c r="C15014">
        <v>12009</v>
      </c>
      <c r="D15014" t="str">
        <f>"15482       "</f>
        <v xml:space="preserve">15482       </v>
      </c>
      <c r="E15014" t="s">
        <v>1394</v>
      </c>
      <c r="F15014" t="s">
        <v>1395</v>
      </c>
      <c r="G15014">
        <v>7002.9</v>
      </c>
      <c r="H15014">
        <v>250831</v>
      </c>
      <c r="I15014">
        <v>4440</v>
      </c>
      <c r="J15014" t="s">
        <v>346</v>
      </c>
      <c r="K15014">
        <v>7002.9</v>
      </c>
      <c r="L15014">
        <v>1422.9</v>
      </c>
      <c r="M15014">
        <v>18120</v>
      </c>
      <c r="N15014" t="s">
        <v>37</v>
      </c>
      <c r="O15014">
        <v>250915</v>
      </c>
      <c r="P15014">
        <v>5580</v>
      </c>
    </row>
    <row r="15015" spans="1:16" x14ac:dyDescent="0.25">
      <c r="A15015" t="s">
        <v>3296</v>
      </c>
      <c r="B15015" t="s">
        <v>2931</v>
      </c>
      <c r="C15015">
        <v>12041</v>
      </c>
      <c r="D15015" t="str">
        <f>"15483       "</f>
        <v xml:space="preserve">15483       </v>
      </c>
      <c r="E15015" t="s">
        <v>1394</v>
      </c>
      <c r="F15015" t="s">
        <v>1395</v>
      </c>
      <c r="G15015">
        <v>5835.75</v>
      </c>
      <c r="H15015">
        <v>250911</v>
      </c>
      <c r="I15015">
        <v>4440</v>
      </c>
      <c r="J15015" t="s">
        <v>346</v>
      </c>
      <c r="K15015">
        <v>5835.75</v>
      </c>
      <c r="L15015">
        <v>1185.75</v>
      </c>
      <c r="M15015">
        <v>18120</v>
      </c>
      <c r="N15015" t="s">
        <v>37</v>
      </c>
      <c r="O15015">
        <v>250915</v>
      </c>
      <c r="P15015">
        <v>4650</v>
      </c>
    </row>
    <row r="15016" spans="1:16" x14ac:dyDescent="0.25">
      <c r="A15016" t="s">
        <v>3296</v>
      </c>
      <c r="B15016" t="s">
        <v>2931</v>
      </c>
      <c r="C15016">
        <v>16763</v>
      </c>
      <c r="D15016" t="str">
        <f>"15571       "</f>
        <v xml:space="preserve">15571       </v>
      </c>
      <c r="E15016" t="s">
        <v>1394</v>
      </c>
      <c r="F15016" t="s">
        <v>1395</v>
      </c>
      <c r="G15016">
        <v>8668.2900000000009</v>
      </c>
      <c r="H15016">
        <v>251130</v>
      </c>
      <c r="I15016">
        <v>4440</v>
      </c>
      <c r="J15016" t="s">
        <v>346</v>
      </c>
      <c r="K15016">
        <v>8668.2900000000009</v>
      </c>
      <c r="L15016">
        <v>1761.29</v>
      </c>
      <c r="M15016">
        <v>18120</v>
      </c>
      <c r="N15016" t="s">
        <v>37</v>
      </c>
      <c r="O15016">
        <v>251211</v>
      </c>
      <c r="P15016">
        <v>6907</v>
      </c>
    </row>
    <row r="15017" spans="1:16" x14ac:dyDescent="0.25">
      <c r="A15017" t="s">
        <v>3296</v>
      </c>
      <c r="B15017" t="s">
        <v>2931</v>
      </c>
      <c r="C15017">
        <v>16924</v>
      </c>
      <c r="D15017" t="str">
        <f>"15572       "</f>
        <v xml:space="preserve">15572       </v>
      </c>
      <c r="E15017" t="s">
        <v>1394</v>
      </c>
      <c r="F15017" t="s">
        <v>1395</v>
      </c>
      <c r="G15017">
        <v>5446.7</v>
      </c>
      <c r="H15017">
        <v>251130</v>
      </c>
      <c r="I15017">
        <v>4440</v>
      </c>
      <c r="J15017" t="s">
        <v>346</v>
      </c>
      <c r="K15017">
        <v>5446.7</v>
      </c>
      <c r="L15017">
        <v>1106.7</v>
      </c>
      <c r="M15017">
        <v>18120</v>
      </c>
      <c r="N15017" t="s">
        <v>37</v>
      </c>
      <c r="O15017">
        <v>251216</v>
      </c>
      <c r="P15017">
        <v>4340</v>
      </c>
    </row>
    <row r="15018" spans="1:16" x14ac:dyDescent="0.25">
      <c r="A15018" t="s">
        <v>3296</v>
      </c>
      <c r="B15018" t="s">
        <v>2931</v>
      </c>
      <c r="C15018">
        <v>18582</v>
      </c>
      <c r="D15018" t="str">
        <f>"15573       "</f>
        <v xml:space="preserve">15573       </v>
      </c>
      <c r="E15018" t="s">
        <v>1394</v>
      </c>
      <c r="F15018" t="s">
        <v>1395</v>
      </c>
      <c r="G15018">
        <v>7002.9</v>
      </c>
      <c r="H15018">
        <v>251231</v>
      </c>
      <c r="I15018">
        <v>4440</v>
      </c>
      <c r="J15018" t="s">
        <v>346</v>
      </c>
      <c r="K15018">
        <v>7002.9</v>
      </c>
      <c r="L15018">
        <v>1422.9</v>
      </c>
      <c r="M15018">
        <v>18120</v>
      </c>
      <c r="N15018" t="s">
        <v>37</v>
      </c>
      <c r="O15018">
        <v>260116</v>
      </c>
      <c r="P15018">
        <v>5580</v>
      </c>
    </row>
    <row r="15019" spans="1:16" x14ac:dyDescent="0.25">
      <c r="A15019" t="s">
        <v>3296</v>
      </c>
      <c r="B15019" t="s">
        <v>2931</v>
      </c>
      <c r="C15019">
        <v>11064</v>
      </c>
      <c r="D15019" t="str">
        <f>"2503001078  "</f>
        <v xml:space="preserve">2503001078  </v>
      </c>
      <c r="E15019" t="s">
        <v>2241</v>
      </c>
      <c r="F15019" t="s">
        <v>2242</v>
      </c>
      <c r="G15019">
        <v>67.64</v>
      </c>
      <c r="H15019">
        <v>250825</v>
      </c>
      <c r="I15019">
        <v>4580</v>
      </c>
      <c r="J15019" t="s">
        <v>126</v>
      </c>
      <c r="K15019">
        <v>67.64</v>
      </c>
      <c r="L15019">
        <v>13.74</v>
      </c>
      <c r="M15019">
        <v>56559</v>
      </c>
      <c r="N15019" t="s">
        <v>51</v>
      </c>
      <c r="O15019">
        <v>250829</v>
      </c>
      <c r="P15019">
        <v>53.9</v>
      </c>
    </row>
    <row r="15020" spans="1:16" x14ac:dyDescent="0.25">
      <c r="A15020" t="s">
        <v>3296</v>
      </c>
      <c r="B15020" t="s">
        <v>2931</v>
      </c>
      <c r="C15020">
        <v>14139</v>
      </c>
      <c r="D15020" t="str">
        <f>"213949      "</f>
        <v xml:space="preserve">213949      </v>
      </c>
      <c r="E15020" t="s">
        <v>1624</v>
      </c>
      <c r="F15020" t="s">
        <v>1625</v>
      </c>
      <c r="G15020">
        <v>200.8</v>
      </c>
      <c r="H15020">
        <v>251022</v>
      </c>
      <c r="I15020">
        <v>4346</v>
      </c>
      <c r="J15020" t="s">
        <v>334</v>
      </c>
      <c r="K15020">
        <v>200.8</v>
      </c>
      <c r="L15020">
        <v>40.799999999999997</v>
      </c>
      <c r="M15020">
        <v>67554</v>
      </c>
      <c r="N15020" t="s">
        <v>317</v>
      </c>
      <c r="O15020">
        <v>251024</v>
      </c>
      <c r="P15020">
        <v>160</v>
      </c>
    </row>
    <row r="15021" spans="1:16" x14ac:dyDescent="0.25">
      <c r="A15021" t="s">
        <v>3296</v>
      </c>
      <c r="B15021" t="s">
        <v>2931</v>
      </c>
      <c r="C15021">
        <v>4814</v>
      </c>
      <c r="D15021" t="str">
        <f>"206953      "</f>
        <v xml:space="preserve">206953      </v>
      </c>
      <c r="E15021" t="s">
        <v>1624</v>
      </c>
      <c r="F15021" t="s">
        <v>1625</v>
      </c>
      <c r="G15021">
        <v>533.38</v>
      </c>
      <c r="H15021">
        <v>250410</v>
      </c>
      <c r="I15021">
        <v>4470</v>
      </c>
      <c r="J15021" t="s">
        <v>203</v>
      </c>
      <c r="K15021">
        <v>533.38</v>
      </c>
      <c r="L15021">
        <v>108.38</v>
      </c>
      <c r="M15021">
        <v>17737</v>
      </c>
      <c r="N15021" t="s">
        <v>156</v>
      </c>
      <c r="O15021">
        <v>250415</v>
      </c>
      <c r="P15021">
        <v>425</v>
      </c>
    </row>
    <row r="15022" spans="1:16" x14ac:dyDescent="0.25">
      <c r="A15022" t="s">
        <v>3296</v>
      </c>
      <c r="B15022" t="s">
        <v>2931</v>
      </c>
      <c r="C15022">
        <v>5324</v>
      </c>
      <c r="D15022" t="str">
        <f>"207095      "</f>
        <v xml:space="preserve">207095      </v>
      </c>
      <c r="E15022" t="s">
        <v>1624</v>
      </c>
      <c r="F15022" t="s">
        <v>1625</v>
      </c>
      <c r="G15022">
        <v>200.8</v>
      </c>
      <c r="H15022">
        <v>250416</v>
      </c>
      <c r="I15022">
        <v>4470</v>
      </c>
      <c r="J15022" t="s">
        <v>203</v>
      </c>
      <c r="K15022">
        <v>200.8</v>
      </c>
      <c r="L15022">
        <v>40.799999999999997</v>
      </c>
      <c r="M15022">
        <v>67554</v>
      </c>
      <c r="N15022" t="s">
        <v>317</v>
      </c>
      <c r="O15022">
        <v>250423</v>
      </c>
      <c r="P15022">
        <v>160</v>
      </c>
    </row>
    <row r="15023" spans="1:16" x14ac:dyDescent="0.25">
      <c r="A15023" t="s">
        <v>3296</v>
      </c>
      <c r="B15023" t="s">
        <v>2931</v>
      </c>
      <c r="C15023">
        <v>5887</v>
      </c>
      <c r="D15023" t="str">
        <f>"207480      "</f>
        <v xml:space="preserve">207480      </v>
      </c>
      <c r="E15023" t="s">
        <v>1624</v>
      </c>
      <c r="F15023" t="s">
        <v>1625</v>
      </c>
      <c r="G15023">
        <v>213.35</v>
      </c>
      <c r="H15023">
        <v>250429</v>
      </c>
      <c r="I15023">
        <v>4470</v>
      </c>
      <c r="J15023" t="s">
        <v>203</v>
      </c>
      <c r="K15023">
        <v>213.35</v>
      </c>
      <c r="L15023">
        <v>43.35</v>
      </c>
      <c r="M15023">
        <v>17737</v>
      </c>
      <c r="N15023" t="s">
        <v>156</v>
      </c>
      <c r="O15023">
        <v>250507</v>
      </c>
      <c r="P15023">
        <v>170</v>
      </c>
    </row>
    <row r="15024" spans="1:16" x14ac:dyDescent="0.25">
      <c r="A15024" t="s">
        <v>3296</v>
      </c>
      <c r="B15024" t="s">
        <v>2931</v>
      </c>
      <c r="C15024">
        <v>7990</v>
      </c>
      <c r="D15024" t="str">
        <f>"208813      "</f>
        <v xml:space="preserve">208813      </v>
      </c>
      <c r="E15024" t="s">
        <v>1624</v>
      </c>
      <c r="F15024" t="s">
        <v>1625</v>
      </c>
      <c r="G15024">
        <v>50.9</v>
      </c>
      <c r="H15024">
        <v>250604</v>
      </c>
      <c r="I15024">
        <v>4470</v>
      </c>
      <c r="J15024" t="s">
        <v>203</v>
      </c>
      <c r="K15024">
        <v>50.9</v>
      </c>
      <c r="L15024">
        <v>10.34</v>
      </c>
      <c r="M15024">
        <v>67554</v>
      </c>
      <c r="N15024" t="s">
        <v>317</v>
      </c>
      <c r="O15024">
        <v>250610</v>
      </c>
      <c r="P15024">
        <v>40.56</v>
      </c>
    </row>
    <row r="15025" spans="1:16" x14ac:dyDescent="0.25">
      <c r="A15025" t="s">
        <v>3296</v>
      </c>
      <c r="B15025" t="s">
        <v>2931</v>
      </c>
      <c r="C15025">
        <v>9174</v>
      </c>
      <c r="D15025" t="str">
        <f>"210410      "</f>
        <v xml:space="preserve">210410      </v>
      </c>
      <c r="E15025" t="s">
        <v>1624</v>
      </c>
      <c r="F15025" t="s">
        <v>1625</v>
      </c>
      <c r="G15025">
        <v>165.34</v>
      </c>
      <c r="H15025">
        <v>250625</v>
      </c>
      <c r="I15025">
        <v>4470</v>
      </c>
      <c r="J15025" t="s">
        <v>203</v>
      </c>
      <c r="K15025">
        <v>165.34</v>
      </c>
      <c r="L15025">
        <v>33.590000000000003</v>
      </c>
      <c r="M15025">
        <v>17737</v>
      </c>
      <c r="N15025" t="s">
        <v>156</v>
      </c>
      <c r="O15025">
        <v>250627</v>
      </c>
      <c r="P15025">
        <v>131.75</v>
      </c>
    </row>
    <row r="15026" spans="1:16" x14ac:dyDescent="0.25">
      <c r="A15026" t="s">
        <v>3296</v>
      </c>
      <c r="B15026" t="s">
        <v>2931</v>
      </c>
      <c r="C15026">
        <v>1311</v>
      </c>
      <c r="D15026" t="str">
        <f>"200861      "</f>
        <v xml:space="preserve">200861      </v>
      </c>
      <c r="E15026" t="s">
        <v>935</v>
      </c>
      <c r="F15026" t="s">
        <v>936</v>
      </c>
      <c r="G15026">
        <v>138.05000000000001</v>
      </c>
      <c r="H15026">
        <v>250131</v>
      </c>
      <c r="I15026">
        <v>4367</v>
      </c>
      <c r="J15026" t="s">
        <v>159</v>
      </c>
      <c r="K15026">
        <v>138.05000000000001</v>
      </c>
      <c r="L15026">
        <v>28.05</v>
      </c>
      <c r="M15026">
        <v>67554</v>
      </c>
      <c r="N15026" t="s">
        <v>317</v>
      </c>
      <c r="O15026">
        <v>250207</v>
      </c>
      <c r="P15026">
        <v>110</v>
      </c>
    </row>
    <row r="15027" spans="1:16" x14ac:dyDescent="0.25">
      <c r="A15027" t="s">
        <v>3296</v>
      </c>
      <c r="B15027" t="s">
        <v>2931</v>
      </c>
      <c r="C15027">
        <v>10575</v>
      </c>
      <c r="D15027" t="str">
        <f>"28397       "</f>
        <v xml:space="preserve">28397       </v>
      </c>
      <c r="E15027" t="s">
        <v>443</v>
      </c>
      <c r="F15027" t="s">
        <v>444</v>
      </c>
      <c r="G15027">
        <v>186.05</v>
      </c>
      <c r="H15027">
        <v>250807</v>
      </c>
      <c r="I15027">
        <v>1011</v>
      </c>
      <c r="J15027" t="s">
        <v>393</v>
      </c>
      <c r="K15027">
        <v>186.05</v>
      </c>
      <c r="L15027">
        <v>22.85</v>
      </c>
      <c r="M15027">
        <v>46555</v>
      </c>
      <c r="N15027" t="s">
        <v>103</v>
      </c>
      <c r="O15027">
        <v>250820</v>
      </c>
      <c r="P15027">
        <v>163.19999999999999</v>
      </c>
    </row>
    <row r="15028" spans="1:16" x14ac:dyDescent="0.25">
      <c r="A15028" t="s">
        <v>3296</v>
      </c>
      <c r="B15028" t="s">
        <v>2931</v>
      </c>
      <c r="C15028">
        <v>10577</v>
      </c>
      <c r="D15028" t="str">
        <f>"28455       "</f>
        <v xml:space="preserve">28455       </v>
      </c>
      <c r="E15028" t="s">
        <v>443</v>
      </c>
      <c r="F15028" t="s">
        <v>444</v>
      </c>
      <c r="G15028">
        <v>349.87</v>
      </c>
      <c r="H15028">
        <v>250814</v>
      </c>
      <c r="I15028">
        <v>1011</v>
      </c>
      <c r="J15028" t="s">
        <v>393</v>
      </c>
      <c r="K15028">
        <v>349.87</v>
      </c>
      <c r="L15028">
        <v>42.97</v>
      </c>
      <c r="M15028">
        <v>46555</v>
      </c>
      <c r="N15028" t="s">
        <v>103</v>
      </c>
      <c r="O15028">
        <v>250820</v>
      </c>
      <c r="P15028">
        <v>306.89999999999998</v>
      </c>
    </row>
    <row r="15029" spans="1:16" x14ac:dyDescent="0.25">
      <c r="A15029" t="s">
        <v>3296</v>
      </c>
      <c r="B15029" t="s">
        <v>2931</v>
      </c>
      <c r="C15029">
        <v>469</v>
      </c>
      <c r="D15029" t="str">
        <f>"27708       "</f>
        <v xml:space="preserve">27708       </v>
      </c>
      <c r="E15029" t="s">
        <v>443</v>
      </c>
      <c r="F15029" t="s">
        <v>444</v>
      </c>
      <c r="G15029">
        <v>359.48</v>
      </c>
      <c r="H15029">
        <v>250120</v>
      </c>
      <c r="I15029">
        <v>4367</v>
      </c>
      <c r="J15029" t="s">
        <v>159</v>
      </c>
      <c r="K15029">
        <v>359.48</v>
      </c>
      <c r="L15029">
        <v>44.15</v>
      </c>
      <c r="M15029">
        <v>46555</v>
      </c>
      <c r="N15029" t="s">
        <v>103</v>
      </c>
      <c r="O15029">
        <v>250123</v>
      </c>
      <c r="P15029">
        <v>315.33</v>
      </c>
    </row>
    <row r="15030" spans="1:16" x14ac:dyDescent="0.25">
      <c r="A15030" t="s">
        <v>3296</v>
      </c>
      <c r="B15030" t="s">
        <v>2931</v>
      </c>
      <c r="C15030">
        <v>1429</v>
      </c>
      <c r="D15030" t="str">
        <f>"27783       "</f>
        <v xml:space="preserve">27783       </v>
      </c>
      <c r="E15030" t="s">
        <v>443</v>
      </c>
      <c r="F15030" t="s">
        <v>444</v>
      </c>
      <c r="G15030">
        <v>321.48</v>
      </c>
      <c r="H15030">
        <v>250203</v>
      </c>
      <c r="I15030">
        <v>4367</v>
      </c>
      <c r="J15030" t="s">
        <v>159</v>
      </c>
      <c r="K15030">
        <v>321.48</v>
      </c>
      <c r="L15030">
        <v>39.479999999999997</v>
      </c>
      <c r="M15030">
        <v>56559</v>
      </c>
      <c r="N15030" t="s">
        <v>51</v>
      </c>
      <c r="O15030">
        <v>250210</v>
      </c>
      <c r="P15030">
        <v>282</v>
      </c>
    </row>
    <row r="15031" spans="1:16" x14ac:dyDescent="0.25">
      <c r="A15031" t="s">
        <v>3296</v>
      </c>
      <c r="B15031" t="s">
        <v>2931</v>
      </c>
      <c r="C15031">
        <v>1731</v>
      </c>
      <c r="D15031" t="str">
        <f>"27799       "</f>
        <v xml:space="preserve">27799       </v>
      </c>
      <c r="E15031" t="s">
        <v>443</v>
      </c>
      <c r="F15031" t="s">
        <v>444</v>
      </c>
      <c r="G15031">
        <v>84.03</v>
      </c>
      <c r="H15031">
        <v>250205</v>
      </c>
      <c r="I15031">
        <v>4367</v>
      </c>
      <c r="J15031" t="s">
        <v>159</v>
      </c>
      <c r="K15031">
        <v>84.03</v>
      </c>
      <c r="L15031">
        <v>10.32</v>
      </c>
      <c r="M15031">
        <v>17802</v>
      </c>
      <c r="N15031" t="s">
        <v>18</v>
      </c>
      <c r="O15031">
        <v>250213</v>
      </c>
      <c r="P15031">
        <v>73.709999999999994</v>
      </c>
    </row>
    <row r="15032" spans="1:16" x14ac:dyDescent="0.25">
      <c r="A15032" t="s">
        <v>3296</v>
      </c>
      <c r="B15032" t="s">
        <v>2931</v>
      </c>
      <c r="C15032">
        <v>3518</v>
      </c>
      <c r="D15032" t="str">
        <f>"27971       "</f>
        <v xml:space="preserve">27971       </v>
      </c>
      <c r="E15032" t="s">
        <v>443</v>
      </c>
      <c r="F15032" t="s">
        <v>444</v>
      </c>
      <c r="G15032">
        <v>999.42</v>
      </c>
      <c r="H15032">
        <v>250311</v>
      </c>
      <c r="I15032">
        <v>4367</v>
      </c>
      <c r="J15032" t="s">
        <v>159</v>
      </c>
      <c r="K15032">
        <v>999.42</v>
      </c>
      <c r="L15032">
        <v>122.74</v>
      </c>
      <c r="M15032">
        <v>17802</v>
      </c>
      <c r="N15032" t="s">
        <v>18</v>
      </c>
      <c r="O15032">
        <v>250325</v>
      </c>
      <c r="P15032">
        <v>876.68</v>
      </c>
    </row>
    <row r="15033" spans="1:16" x14ac:dyDescent="0.25">
      <c r="A15033" t="s">
        <v>3296</v>
      </c>
      <c r="B15033" t="s">
        <v>2931</v>
      </c>
      <c r="C15033">
        <v>6796</v>
      </c>
      <c r="D15033" t="str">
        <f>"28240       "</f>
        <v xml:space="preserve">28240       </v>
      </c>
      <c r="E15033" t="s">
        <v>443</v>
      </c>
      <c r="F15033" t="s">
        <v>444</v>
      </c>
      <c r="G15033">
        <v>54.04</v>
      </c>
      <c r="H15033">
        <v>250513</v>
      </c>
      <c r="I15033">
        <v>4367</v>
      </c>
      <c r="J15033" t="s">
        <v>159</v>
      </c>
      <c r="K15033">
        <v>54.04</v>
      </c>
      <c r="L15033">
        <v>6.64</v>
      </c>
      <c r="M15033">
        <v>46557</v>
      </c>
      <c r="N15033" t="s">
        <v>104</v>
      </c>
      <c r="O15033">
        <v>250516</v>
      </c>
      <c r="P15033">
        <v>47.4</v>
      </c>
    </row>
    <row r="15034" spans="1:16" x14ac:dyDescent="0.25">
      <c r="A15034" t="s">
        <v>3296</v>
      </c>
      <c r="B15034" t="s">
        <v>2931</v>
      </c>
      <c r="C15034">
        <v>10309</v>
      </c>
      <c r="D15034" t="str">
        <f>"28381       "</f>
        <v xml:space="preserve">28381       </v>
      </c>
      <c r="E15034" t="s">
        <v>443</v>
      </c>
      <c r="F15034" t="s">
        <v>444</v>
      </c>
      <c r="G15034">
        <v>516.99</v>
      </c>
      <c r="H15034">
        <v>250807</v>
      </c>
      <c r="I15034">
        <v>4367</v>
      </c>
      <c r="J15034" t="s">
        <v>159</v>
      </c>
      <c r="K15034">
        <v>516.99</v>
      </c>
      <c r="L15034">
        <v>63.49</v>
      </c>
      <c r="M15034">
        <v>46557</v>
      </c>
      <c r="N15034" t="s">
        <v>104</v>
      </c>
      <c r="O15034">
        <v>250814</v>
      </c>
      <c r="P15034">
        <v>453.5</v>
      </c>
    </row>
    <row r="15035" spans="1:16" x14ac:dyDescent="0.25">
      <c r="A15035" t="s">
        <v>3296</v>
      </c>
      <c r="B15035" t="s">
        <v>2931</v>
      </c>
      <c r="C15035">
        <v>10452</v>
      </c>
      <c r="D15035" t="str">
        <f>"28433       "</f>
        <v xml:space="preserve">28433       </v>
      </c>
      <c r="E15035" t="s">
        <v>443</v>
      </c>
      <c r="F15035" t="s">
        <v>444</v>
      </c>
      <c r="G15035">
        <v>1520.69</v>
      </c>
      <c r="H15035">
        <v>250812</v>
      </c>
      <c r="I15035">
        <v>4367</v>
      </c>
      <c r="J15035" t="s">
        <v>159</v>
      </c>
      <c r="K15035">
        <v>1520.69</v>
      </c>
      <c r="L15035">
        <v>186.75</v>
      </c>
      <c r="M15035">
        <v>56559</v>
      </c>
      <c r="N15035" t="s">
        <v>51</v>
      </c>
      <c r="O15035">
        <v>250819</v>
      </c>
      <c r="P15035">
        <v>1333.94</v>
      </c>
    </row>
    <row r="15036" spans="1:16" x14ac:dyDescent="0.25">
      <c r="A15036" t="s">
        <v>3296</v>
      </c>
      <c r="B15036" t="s">
        <v>2931</v>
      </c>
      <c r="C15036">
        <v>10502</v>
      </c>
      <c r="D15036" t="str">
        <f>"28459       "</f>
        <v xml:space="preserve">28459       </v>
      </c>
      <c r="E15036" t="s">
        <v>443</v>
      </c>
      <c r="F15036" t="s">
        <v>444</v>
      </c>
      <c r="G15036">
        <v>749.78</v>
      </c>
      <c r="H15036">
        <v>250814</v>
      </c>
      <c r="I15036">
        <v>4367</v>
      </c>
      <c r="J15036" t="s">
        <v>159</v>
      </c>
      <c r="K15036">
        <v>749.78</v>
      </c>
      <c r="L15036">
        <v>92.08</v>
      </c>
      <c r="M15036">
        <v>56559</v>
      </c>
      <c r="N15036" t="s">
        <v>51</v>
      </c>
      <c r="O15036">
        <v>250820</v>
      </c>
      <c r="P15036">
        <v>657.7</v>
      </c>
    </row>
    <row r="15037" spans="1:16" x14ac:dyDescent="0.25">
      <c r="A15037" t="s">
        <v>3296</v>
      </c>
      <c r="B15037" t="s">
        <v>2931</v>
      </c>
      <c r="C15037">
        <v>10842</v>
      </c>
      <c r="D15037" t="str">
        <f>"28365       "</f>
        <v xml:space="preserve">28365       </v>
      </c>
      <c r="E15037" t="s">
        <v>443</v>
      </c>
      <c r="F15037" t="s">
        <v>444</v>
      </c>
      <c r="G15037">
        <v>2255.67</v>
      </c>
      <c r="H15037">
        <v>250806</v>
      </c>
      <c r="I15037">
        <v>4367</v>
      </c>
      <c r="J15037" t="s">
        <v>159</v>
      </c>
      <c r="K15037">
        <v>2255.67</v>
      </c>
      <c r="L15037">
        <v>277.01</v>
      </c>
      <c r="M15037">
        <v>17802</v>
      </c>
      <c r="N15037" t="s">
        <v>18</v>
      </c>
      <c r="O15037">
        <v>250825</v>
      </c>
      <c r="P15037">
        <v>1978.66</v>
      </c>
    </row>
    <row r="15038" spans="1:16" x14ac:dyDescent="0.25">
      <c r="A15038" t="s">
        <v>3296</v>
      </c>
      <c r="B15038" t="s">
        <v>2931</v>
      </c>
      <c r="C15038">
        <v>10854</v>
      </c>
      <c r="D15038" t="str">
        <f>"28527       "</f>
        <v xml:space="preserve">28527       </v>
      </c>
      <c r="E15038" t="s">
        <v>443</v>
      </c>
      <c r="F15038" t="s">
        <v>444</v>
      </c>
      <c r="G15038">
        <v>679.21</v>
      </c>
      <c r="H15038">
        <v>250825</v>
      </c>
      <c r="I15038">
        <v>4367</v>
      </c>
      <c r="J15038" t="s">
        <v>159</v>
      </c>
      <c r="K15038">
        <v>679.21</v>
      </c>
      <c r="L15038">
        <v>83.41</v>
      </c>
      <c r="M15038">
        <v>46557</v>
      </c>
      <c r="N15038" t="s">
        <v>104</v>
      </c>
      <c r="O15038">
        <v>250825</v>
      </c>
      <c r="P15038">
        <v>595.79999999999995</v>
      </c>
    </row>
    <row r="15039" spans="1:16" x14ac:dyDescent="0.25">
      <c r="A15039" t="s">
        <v>3296</v>
      </c>
      <c r="B15039" t="s">
        <v>2931</v>
      </c>
      <c r="C15039">
        <v>11616</v>
      </c>
      <c r="D15039" t="str">
        <f>"28632       "</f>
        <v xml:space="preserve">28632       </v>
      </c>
      <c r="E15039" t="s">
        <v>443</v>
      </c>
      <c r="F15039" t="s">
        <v>444</v>
      </c>
      <c r="G15039">
        <v>228</v>
      </c>
      <c r="H15039">
        <v>250908</v>
      </c>
      <c r="I15039">
        <v>4367</v>
      </c>
      <c r="J15039" t="s">
        <v>159</v>
      </c>
      <c r="K15039">
        <v>228</v>
      </c>
      <c r="L15039">
        <v>28</v>
      </c>
      <c r="M15039">
        <v>46557</v>
      </c>
      <c r="N15039" t="s">
        <v>104</v>
      </c>
      <c r="O15039">
        <v>250909</v>
      </c>
      <c r="P15039">
        <v>200</v>
      </c>
    </row>
    <row r="15040" spans="1:16" x14ac:dyDescent="0.25">
      <c r="A15040" t="s">
        <v>3296</v>
      </c>
      <c r="B15040" t="s">
        <v>2931</v>
      </c>
      <c r="C15040">
        <v>12341</v>
      </c>
      <c r="D15040" t="str">
        <f>"28651       "</f>
        <v xml:space="preserve">28651       </v>
      </c>
      <c r="E15040" t="s">
        <v>443</v>
      </c>
      <c r="F15040" t="s">
        <v>444</v>
      </c>
      <c r="G15040">
        <v>157.22999999999999</v>
      </c>
      <c r="H15040">
        <v>250910</v>
      </c>
      <c r="I15040">
        <v>4367</v>
      </c>
      <c r="J15040" t="s">
        <v>159</v>
      </c>
      <c r="K15040">
        <v>157.22999999999999</v>
      </c>
      <c r="L15040">
        <v>19.309999999999999</v>
      </c>
      <c r="M15040">
        <v>46554</v>
      </c>
      <c r="N15040" t="s">
        <v>102</v>
      </c>
      <c r="O15040">
        <v>250919</v>
      </c>
      <c r="P15040">
        <v>137.91999999999999</v>
      </c>
    </row>
    <row r="15041" spans="1:16" x14ac:dyDescent="0.25">
      <c r="A15041" t="s">
        <v>3296</v>
      </c>
      <c r="B15041" t="s">
        <v>2931</v>
      </c>
      <c r="C15041">
        <v>12345</v>
      </c>
      <c r="D15041" t="str">
        <f>"28657       "</f>
        <v xml:space="preserve">28657       </v>
      </c>
      <c r="E15041" t="s">
        <v>443</v>
      </c>
      <c r="F15041" t="s">
        <v>444</v>
      </c>
      <c r="G15041">
        <v>9.4600000000000009</v>
      </c>
      <c r="H15041">
        <v>250911</v>
      </c>
      <c r="I15041">
        <v>4367</v>
      </c>
      <c r="J15041" t="s">
        <v>159</v>
      </c>
      <c r="K15041">
        <v>9.4600000000000009</v>
      </c>
      <c r="L15041">
        <v>1.1599999999999999</v>
      </c>
      <c r="M15041">
        <v>46554</v>
      </c>
      <c r="N15041" t="s">
        <v>102</v>
      </c>
      <c r="O15041">
        <v>250919</v>
      </c>
      <c r="P15041">
        <v>8.3000000000000007</v>
      </c>
    </row>
    <row r="15042" spans="1:16" x14ac:dyDescent="0.25">
      <c r="A15042" t="s">
        <v>3296</v>
      </c>
      <c r="B15042" t="s">
        <v>2931</v>
      </c>
      <c r="C15042">
        <v>13108</v>
      </c>
      <c r="D15042" t="str">
        <f>"28732       "</f>
        <v xml:space="preserve">28732       </v>
      </c>
      <c r="E15042" t="s">
        <v>443</v>
      </c>
      <c r="F15042" t="s">
        <v>444</v>
      </c>
      <c r="G15042">
        <v>820.8</v>
      </c>
      <c r="H15042">
        <v>250924</v>
      </c>
      <c r="I15042">
        <v>4367</v>
      </c>
      <c r="J15042" t="s">
        <v>159</v>
      </c>
      <c r="K15042">
        <v>820.8</v>
      </c>
      <c r="L15042">
        <v>100.8</v>
      </c>
      <c r="M15042">
        <v>56559</v>
      </c>
      <c r="N15042" t="s">
        <v>51</v>
      </c>
      <c r="O15042">
        <v>251006</v>
      </c>
      <c r="P15042">
        <v>720</v>
      </c>
    </row>
    <row r="15043" spans="1:16" x14ac:dyDescent="0.25">
      <c r="A15043" t="s">
        <v>3296</v>
      </c>
      <c r="B15043" t="s">
        <v>2931</v>
      </c>
      <c r="C15043">
        <v>13112</v>
      </c>
      <c r="D15043" t="str">
        <f>"28738       "</f>
        <v xml:space="preserve">28738       </v>
      </c>
      <c r="E15043" t="s">
        <v>443</v>
      </c>
      <c r="F15043" t="s">
        <v>444</v>
      </c>
      <c r="G15043">
        <v>1627.57</v>
      </c>
      <c r="H15043">
        <v>250925</v>
      </c>
      <c r="I15043">
        <v>4367</v>
      </c>
      <c r="J15043" t="s">
        <v>159</v>
      </c>
      <c r="K15043">
        <v>1627.57</v>
      </c>
      <c r="L15043">
        <v>199.88</v>
      </c>
      <c r="M15043">
        <v>17802</v>
      </c>
      <c r="N15043" t="s">
        <v>18</v>
      </c>
      <c r="O15043">
        <v>251006</v>
      </c>
      <c r="P15043">
        <v>1427.69</v>
      </c>
    </row>
    <row r="15044" spans="1:16" x14ac:dyDescent="0.25">
      <c r="A15044" t="s">
        <v>3296</v>
      </c>
      <c r="B15044" t="s">
        <v>2931</v>
      </c>
      <c r="C15044">
        <v>13717</v>
      </c>
      <c r="D15044" t="str">
        <f>"28814       "</f>
        <v xml:space="preserve">28814       </v>
      </c>
      <c r="E15044" t="s">
        <v>443</v>
      </c>
      <c r="F15044" t="s">
        <v>444</v>
      </c>
      <c r="G15044">
        <v>205.2</v>
      </c>
      <c r="H15044">
        <v>251007</v>
      </c>
      <c r="I15044">
        <v>4367</v>
      </c>
      <c r="J15044" t="s">
        <v>159</v>
      </c>
      <c r="K15044">
        <v>205.2</v>
      </c>
      <c r="L15044">
        <v>25.2</v>
      </c>
      <c r="M15044">
        <v>46555</v>
      </c>
      <c r="N15044" t="s">
        <v>103</v>
      </c>
      <c r="O15044">
        <v>251017</v>
      </c>
      <c r="P15044">
        <v>180</v>
      </c>
    </row>
    <row r="15045" spans="1:16" x14ac:dyDescent="0.25">
      <c r="A15045" t="s">
        <v>3296</v>
      </c>
      <c r="B15045" t="s">
        <v>2931</v>
      </c>
      <c r="C15045">
        <v>14041</v>
      </c>
      <c r="D15045" t="str">
        <f>"28870       "</f>
        <v xml:space="preserve">28870       </v>
      </c>
      <c r="E15045" t="s">
        <v>443</v>
      </c>
      <c r="F15045" t="s">
        <v>444</v>
      </c>
      <c r="G15045">
        <v>188.44</v>
      </c>
      <c r="H15045">
        <v>251021</v>
      </c>
      <c r="I15045">
        <v>4367</v>
      </c>
      <c r="J15045" t="s">
        <v>159</v>
      </c>
      <c r="K15045">
        <v>188.44</v>
      </c>
      <c r="L15045">
        <v>23.14</v>
      </c>
      <c r="M15045">
        <v>46557</v>
      </c>
      <c r="N15045" t="s">
        <v>104</v>
      </c>
      <c r="O15045">
        <v>251022</v>
      </c>
      <c r="P15045">
        <v>165.3</v>
      </c>
    </row>
    <row r="15046" spans="1:16" x14ac:dyDescent="0.25">
      <c r="A15046" t="s">
        <v>3296</v>
      </c>
      <c r="B15046" t="s">
        <v>2931</v>
      </c>
      <c r="C15046">
        <v>14058</v>
      </c>
      <c r="D15046" t="str">
        <f>"28872       "</f>
        <v xml:space="preserve">28872       </v>
      </c>
      <c r="E15046" t="s">
        <v>443</v>
      </c>
      <c r="F15046" t="s">
        <v>444</v>
      </c>
      <c r="G15046">
        <v>115.37</v>
      </c>
      <c r="H15046">
        <v>251021</v>
      </c>
      <c r="I15046">
        <v>4367</v>
      </c>
      <c r="J15046" t="s">
        <v>159</v>
      </c>
      <c r="K15046">
        <v>115.37</v>
      </c>
      <c r="L15046">
        <v>14.17</v>
      </c>
      <c r="M15046">
        <v>46557</v>
      </c>
      <c r="N15046" t="s">
        <v>104</v>
      </c>
      <c r="O15046">
        <v>251022</v>
      </c>
      <c r="P15046">
        <v>101.2</v>
      </c>
    </row>
    <row r="15047" spans="1:16" x14ac:dyDescent="0.25">
      <c r="A15047" t="s">
        <v>3296</v>
      </c>
      <c r="B15047" t="s">
        <v>2931</v>
      </c>
      <c r="C15047">
        <v>14646</v>
      </c>
      <c r="D15047" t="str">
        <f>"28974       "</f>
        <v xml:space="preserve">28974       </v>
      </c>
      <c r="E15047" t="s">
        <v>443</v>
      </c>
      <c r="F15047" t="s">
        <v>444</v>
      </c>
      <c r="G15047">
        <v>108.3</v>
      </c>
      <c r="H15047">
        <v>251030</v>
      </c>
      <c r="I15047">
        <v>4367</v>
      </c>
      <c r="J15047" t="s">
        <v>159</v>
      </c>
      <c r="K15047">
        <v>108.3</v>
      </c>
      <c r="L15047">
        <v>13.3</v>
      </c>
      <c r="M15047">
        <v>46557</v>
      </c>
      <c r="N15047" t="s">
        <v>104</v>
      </c>
      <c r="O15047">
        <v>251105</v>
      </c>
      <c r="P15047">
        <v>95</v>
      </c>
    </row>
    <row r="15048" spans="1:16" x14ac:dyDescent="0.25">
      <c r="A15048" t="s">
        <v>3296</v>
      </c>
      <c r="B15048" t="s">
        <v>2931</v>
      </c>
      <c r="C15048">
        <v>15519</v>
      </c>
      <c r="D15048" t="str">
        <f>"29133       "</f>
        <v xml:space="preserve">29133       </v>
      </c>
      <c r="E15048" t="s">
        <v>443</v>
      </c>
      <c r="F15048" t="s">
        <v>444</v>
      </c>
      <c r="G15048">
        <v>484.04</v>
      </c>
      <c r="H15048">
        <v>251120</v>
      </c>
      <c r="I15048">
        <v>4367</v>
      </c>
      <c r="J15048" t="s">
        <v>159</v>
      </c>
      <c r="K15048">
        <v>484.04</v>
      </c>
      <c r="L15048">
        <v>59.44</v>
      </c>
      <c r="M15048">
        <v>46557</v>
      </c>
      <c r="N15048" t="s">
        <v>104</v>
      </c>
      <c r="O15048">
        <v>251121</v>
      </c>
      <c r="P15048">
        <v>424.6</v>
      </c>
    </row>
    <row r="15049" spans="1:16" x14ac:dyDescent="0.25">
      <c r="A15049" t="s">
        <v>3296</v>
      </c>
      <c r="B15049" t="s">
        <v>2931</v>
      </c>
      <c r="C15049">
        <v>15919</v>
      </c>
      <c r="D15049" t="str">
        <f>"29104       "</f>
        <v xml:space="preserve">29104       </v>
      </c>
      <c r="E15049" t="s">
        <v>443</v>
      </c>
      <c r="F15049" t="s">
        <v>444</v>
      </c>
      <c r="G15049">
        <v>505.93</v>
      </c>
      <c r="H15049">
        <v>251117</v>
      </c>
      <c r="I15049">
        <v>4367</v>
      </c>
      <c r="J15049" t="s">
        <v>159</v>
      </c>
      <c r="K15049">
        <v>505.93</v>
      </c>
      <c r="L15049">
        <v>62.13</v>
      </c>
      <c r="M15049">
        <v>17802</v>
      </c>
      <c r="N15049" t="s">
        <v>18</v>
      </c>
      <c r="O15049">
        <v>251201</v>
      </c>
      <c r="P15049">
        <v>443.8</v>
      </c>
    </row>
    <row r="15050" spans="1:16" x14ac:dyDescent="0.25">
      <c r="A15050" t="s">
        <v>3296</v>
      </c>
      <c r="B15050" t="s">
        <v>2931</v>
      </c>
      <c r="C15050">
        <v>12163</v>
      </c>
      <c r="D15050" t="str">
        <f>"125/48      "</f>
        <v xml:space="preserve">125/48      </v>
      </c>
      <c r="E15050" t="s">
        <v>443</v>
      </c>
      <c r="F15050" t="s">
        <v>444</v>
      </c>
      <c r="G15050">
        <v>1970.3</v>
      </c>
      <c r="H15050">
        <v>250901</v>
      </c>
      <c r="I15050">
        <v>4510</v>
      </c>
      <c r="J15050" t="s">
        <v>240</v>
      </c>
      <c r="K15050">
        <v>5910.9</v>
      </c>
      <c r="L15050">
        <v>241.97</v>
      </c>
      <c r="M15050">
        <v>56559</v>
      </c>
      <c r="N15050" t="s">
        <v>51</v>
      </c>
      <c r="O15050">
        <v>250917</v>
      </c>
      <c r="P15050">
        <v>1728.33</v>
      </c>
    </row>
    <row r="15051" spans="1:16" x14ac:dyDescent="0.25">
      <c r="A15051" t="s">
        <v>3296</v>
      </c>
      <c r="B15051" t="s">
        <v>2931</v>
      </c>
      <c r="C15051">
        <v>346</v>
      </c>
      <c r="D15051" t="str">
        <f>"27659       "</f>
        <v xml:space="preserve">27659       </v>
      </c>
      <c r="E15051" t="s">
        <v>443</v>
      </c>
      <c r="F15051" t="s">
        <v>444</v>
      </c>
      <c r="G15051">
        <v>49.83</v>
      </c>
      <c r="H15051">
        <v>250114</v>
      </c>
      <c r="I15051">
        <v>4600</v>
      </c>
      <c r="J15051" t="s">
        <v>278</v>
      </c>
      <c r="K15051">
        <v>49.83</v>
      </c>
      <c r="L15051">
        <v>6.12</v>
      </c>
      <c r="M15051">
        <v>46554</v>
      </c>
      <c r="N15051" t="s">
        <v>102</v>
      </c>
      <c r="O15051">
        <v>250122</v>
      </c>
      <c r="P15051">
        <v>43.71</v>
      </c>
    </row>
    <row r="15052" spans="1:16" x14ac:dyDescent="0.25">
      <c r="A15052" t="s">
        <v>3296</v>
      </c>
      <c r="B15052" t="s">
        <v>2931</v>
      </c>
      <c r="C15052">
        <v>7202</v>
      </c>
      <c r="D15052" t="str">
        <f>"28231       "</f>
        <v xml:space="preserve">28231       </v>
      </c>
      <c r="E15052" t="s">
        <v>443</v>
      </c>
      <c r="F15052" t="s">
        <v>444</v>
      </c>
      <c r="G15052">
        <v>350.69</v>
      </c>
      <c r="H15052">
        <v>250512</v>
      </c>
      <c r="I15052">
        <v>4600</v>
      </c>
      <c r="J15052" t="s">
        <v>278</v>
      </c>
      <c r="K15052">
        <v>350.69</v>
      </c>
      <c r="L15052">
        <v>43.07</v>
      </c>
      <c r="M15052">
        <v>17802</v>
      </c>
      <c r="N15052" t="s">
        <v>18</v>
      </c>
      <c r="O15052">
        <v>250527</v>
      </c>
      <c r="P15052">
        <v>307.62</v>
      </c>
    </row>
    <row r="15053" spans="1:16" x14ac:dyDescent="0.25">
      <c r="A15053" t="s">
        <v>3296</v>
      </c>
      <c r="B15053" t="s">
        <v>2931</v>
      </c>
      <c r="C15053">
        <v>2404</v>
      </c>
      <c r="D15053" t="str">
        <f>"950061      "</f>
        <v xml:space="preserve">950061      </v>
      </c>
      <c r="E15053" t="s">
        <v>1266</v>
      </c>
      <c r="F15053" t="s">
        <v>1267</v>
      </c>
      <c r="G15053">
        <v>71117.09</v>
      </c>
      <c r="H15053">
        <v>250210</v>
      </c>
      <c r="I15053">
        <v>1198</v>
      </c>
      <c r="J15053" t="s">
        <v>610</v>
      </c>
      <c r="K15053">
        <v>71117.09</v>
      </c>
      <c r="L15053">
        <v>14450.09</v>
      </c>
      <c r="M15053">
        <v>97629</v>
      </c>
      <c r="N15053" t="s">
        <v>1110</v>
      </c>
      <c r="O15053">
        <v>250225</v>
      </c>
      <c r="P15053">
        <v>56667</v>
      </c>
    </row>
    <row r="15054" spans="1:16" x14ac:dyDescent="0.25">
      <c r="A15054" t="s">
        <v>3296</v>
      </c>
      <c r="B15054" t="s">
        <v>2931</v>
      </c>
      <c r="C15054">
        <v>7078</v>
      </c>
      <c r="D15054" t="str">
        <f>"951955      "</f>
        <v xml:space="preserve">951955      </v>
      </c>
      <c r="E15054" t="s">
        <v>1266</v>
      </c>
      <c r="F15054" t="s">
        <v>1267</v>
      </c>
      <c r="G15054">
        <v>12788.45</v>
      </c>
      <c r="H15054">
        <v>250519</v>
      </c>
      <c r="I15054">
        <v>1198</v>
      </c>
      <c r="J15054" t="s">
        <v>610</v>
      </c>
      <c r="K15054">
        <v>12788.45</v>
      </c>
      <c r="L15054">
        <v>2598.4499999999998</v>
      </c>
      <c r="M15054">
        <v>97629</v>
      </c>
      <c r="N15054" t="s">
        <v>1110</v>
      </c>
      <c r="O15054">
        <v>250522</v>
      </c>
      <c r="P15054">
        <v>10190</v>
      </c>
    </row>
    <row r="15055" spans="1:16" x14ac:dyDescent="0.25">
      <c r="A15055" t="s">
        <v>3296</v>
      </c>
      <c r="B15055" t="s">
        <v>2931</v>
      </c>
      <c r="C15055">
        <v>9213</v>
      </c>
      <c r="D15055" t="str">
        <f>"952596      "</f>
        <v xml:space="preserve">952596      </v>
      </c>
      <c r="E15055" t="s">
        <v>1266</v>
      </c>
      <c r="F15055" t="s">
        <v>1267</v>
      </c>
      <c r="G15055">
        <v>142234.17000000001</v>
      </c>
      <c r="H15055">
        <v>250616</v>
      </c>
      <c r="I15055">
        <v>1198</v>
      </c>
      <c r="J15055" t="s">
        <v>610</v>
      </c>
      <c r="K15055">
        <v>142234.17000000001</v>
      </c>
      <c r="L15055">
        <v>28900.17</v>
      </c>
      <c r="M15055">
        <v>97629</v>
      </c>
      <c r="N15055" t="s">
        <v>1110</v>
      </c>
      <c r="O15055">
        <v>250627</v>
      </c>
      <c r="P15055">
        <v>113334</v>
      </c>
    </row>
    <row r="15056" spans="1:16" x14ac:dyDescent="0.25">
      <c r="A15056" t="s">
        <v>3296</v>
      </c>
      <c r="B15056" t="s">
        <v>2931</v>
      </c>
      <c r="C15056">
        <v>11272</v>
      </c>
      <c r="D15056" t="str">
        <f>"953857      "</f>
        <v xml:space="preserve">953857      </v>
      </c>
      <c r="E15056" t="s">
        <v>1266</v>
      </c>
      <c r="F15056" t="s">
        <v>1267</v>
      </c>
      <c r="G15056">
        <v>23705.7</v>
      </c>
      <c r="H15056">
        <v>250829</v>
      </c>
      <c r="I15056">
        <v>1198</v>
      </c>
      <c r="J15056" t="s">
        <v>610</v>
      </c>
      <c r="K15056">
        <v>23705.7</v>
      </c>
      <c r="L15056">
        <v>4816.7</v>
      </c>
      <c r="M15056">
        <v>97629</v>
      </c>
      <c r="N15056" t="s">
        <v>1110</v>
      </c>
      <c r="O15056">
        <v>250902</v>
      </c>
      <c r="P15056">
        <v>18889</v>
      </c>
    </row>
    <row r="15057" spans="1:16" x14ac:dyDescent="0.25">
      <c r="A15057" t="s">
        <v>3296</v>
      </c>
      <c r="B15057" t="s">
        <v>2931</v>
      </c>
      <c r="C15057">
        <v>2393</v>
      </c>
      <c r="D15057" t="str">
        <f>"950262      "</f>
        <v xml:space="preserve">950262      </v>
      </c>
      <c r="E15057" t="s">
        <v>1266</v>
      </c>
      <c r="F15057" t="s">
        <v>1267</v>
      </c>
      <c r="G15057">
        <v>821.52</v>
      </c>
      <c r="H15057">
        <v>250220</v>
      </c>
      <c r="I15057">
        <v>4400</v>
      </c>
      <c r="J15057" t="s">
        <v>162</v>
      </c>
      <c r="K15057">
        <v>821.52</v>
      </c>
      <c r="L15057">
        <v>166.92</v>
      </c>
      <c r="M15057">
        <v>17524</v>
      </c>
      <c r="N15057" t="s">
        <v>139</v>
      </c>
      <c r="O15057">
        <v>250225</v>
      </c>
      <c r="P15057">
        <v>654.6</v>
      </c>
    </row>
    <row r="15058" spans="1:16" x14ac:dyDescent="0.25">
      <c r="A15058" t="s">
        <v>3296</v>
      </c>
      <c r="B15058" t="s">
        <v>2931</v>
      </c>
      <c r="C15058">
        <v>7890</v>
      </c>
      <c r="D15058" t="str">
        <f>"952247      "</f>
        <v xml:space="preserve">952247      </v>
      </c>
      <c r="E15058" t="s">
        <v>1266</v>
      </c>
      <c r="F15058" t="s">
        <v>1267</v>
      </c>
      <c r="G15058">
        <v>963.59</v>
      </c>
      <c r="H15058">
        <v>250530</v>
      </c>
      <c r="I15058">
        <v>4400</v>
      </c>
      <c r="J15058" t="s">
        <v>162</v>
      </c>
      <c r="K15058">
        <v>963.59</v>
      </c>
      <c r="L15058">
        <v>195.79</v>
      </c>
      <c r="M15058">
        <v>17524</v>
      </c>
      <c r="N15058" t="s">
        <v>139</v>
      </c>
      <c r="O15058">
        <v>250610</v>
      </c>
      <c r="P15058">
        <v>767.8</v>
      </c>
    </row>
    <row r="15059" spans="1:16" x14ac:dyDescent="0.25">
      <c r="A15059" t="s">
        <v>3296</v>
      </c>
      <c r="B15059" t="s">
        <v>2931</v>
      </c>
      <c r="C15059">
        <v>3517</v>
      </c>
      <c r="D15059" t="str">
        <f>"950635      "</f>
        <v xml:space="preserve">950635      </v>
      </c>
      <c r="E15059" t="s">
        <v>1266</v>
      </c>
      <c r="F15059" t="s">
        <v>1267</v>
      </c>
      <c r="G15059">
        <v>1602.16</v>
      </c>
      <c r="H15059">
        <v>250311</v>
      </c>
      <c r="I15059">
        <v>4580</v>
      </c>
      <c r="J15059" t="s">
        <v>126</v>
      </c>
      <c r="K15059">
        <v>1602.16</v>
      </c>
      <c r="L15059">
        <v>325.54000000000002</v>
      </c>
      <c r="M15059">
        <v>56561</v>
      </c>
      <c r="N15059" t="s">
        <v>53</v>
      </c>
      <c r="O15059">
        <v>250325</v>
      </c>
      <c r="P15059">
        <v>1276.6199999999999</v>
      </c>
    </row>
    <row r="15060" spans="1:16" x14ac:dyDescent="0.25">
      <c r="A15060" t="s">
        <v>3296</v>
      </c>
      <c r="B15060" t="s">
        <v>2931</v>
      </c>
      <c r="C15060">
        <v>4370</v>
      </c>
      <c r="D15060" t="str">
        <f>"951063      "</f>
        <v xml:space="preserve">951063      </v>
      </c>
      <c r="E15060" t="s">
        <v>1266</v>
      </c>
      <c r="F15060" t="s">
        <v>1267</v>
      </c>
      <c r="G15060">
        <v>720.5</v>
      </c>
      <c r="H15060">
        <v>250331</v>
      </c>
      <c r="I15060">
        <v>4580</v>
      </c>
      <c r="J15060" t="s">
        <v>126</v>
      </c>
      <c r="K15060">
        <v>720.5</v>
      </c>
      <c r="L15060">
        <v>146.4</v>
      </c>
      <c r="M15060">
        <v>56561</v>
      </c>
      <c r="N15060" t="s">
        <v>53</v>
      </c>
      <c r="O15060">
        <v>250411</v>
      </c>
      <c r="P15060">
        <v>574.1</v>
      </c>
    </row>
    <row r="15061" spans="1:16" x14ac:dyDescent="0.25">
      <c r="A15061" t="s">
        <v>3296</v>
      </c>
      <c r="B15061" t="s">
        <v>2931</v>
      </c>
      <c r="C15061">
        <v>15697</v>
      </c>
      <c r="D15061" t="str">
        <f>"955507      "</f>
        <v xml:space="preserve">955507      </v>
      </c>
      <c r="E15061" t="s">
        <v>1266</v>
      </c>
      <c r="F15061" t="s">
        <v>1267</v>
      </c>
      <c r="G15061">
        <v>149.4</v>
      </c>
      <c r="H15061">
        <v>251113</v>
      </c>
      <c r="I15061">
        <v>4580</v>
      </c>
      <c r="J15061" t="s">
        <v>126</v>
      </c>
      <c r="K15061">
        <v>498.39</v>
      </c>
      <c r="L15061">
        <v>30.36</v>
      </c>
      <c r="M15061">
        <v>17527</v>
      </c>
      <c r="N15061" t="s">
        <v>142</v>
      </c>
      <c r="O15061">
        <v>251125</v>
      </c>
      <c r="P15061">
        <v>119.04</v>
      </c>
    </row>
    <row r="15062" spans="1:16" x14ac:dyDescent="0.25">
      <c r="A15062" t="s">
        <v>3296</v>
      </c>
      <c r="B15062" t="s">
        <v>2931</v>
      </c>
      <c r="C15062">
        <v>15697</v>
      </c>
      <c r="D15062" t="str">
        <f>"955507      "</f>
        <v xml:space="preserve">955507      </v>
      </c>
      <c r="E15062" t="s">
        <v>1266</v>
      </c>
      <c r="F15062" t="s">
        <v>1267</v>
      </c>
      <c r="G15062">
        <v>348.99</v>
      </c>
      <c r="H15062">
        <v>251113</v>
      </c>
      <c r="I15062">
        <v>4600</v>
      </c>
      <c r="J15062" t="s">
        <v>278</v>
      </c>
      <c r="K15062">
        <v>498.39</v>
      </c>
      <c r="L15062">
        <v>70.91</v>
      </c>
      <c r="M15062">
        <v>17638</v>
      </c>
      <c r="N15062" t="s">
        <v>1182</v>
      </c>
      <c r="O15062">
        <v>251125</v>
      </c>
      <c r="P15062">
        <v>278.08</v>
      </c>
    </row>
    <row r="15063" spans="1:16" x14ac:dyDescent="0.25">
      <c r="A15063" t="s">
        <v>3296</v>
      </c>
      <c r="B15063" t="s">
        <v>2931</v>
      </c>
      <c r="C15063">
        <v>2400</v>
      </c>
      <c r="D15063" t="str">
        <f>"643959      "</f>
        <v xml:space="preserve">643959      </v>
      </c>
      <c r="E15063" t="s">
        <v>1272</v>
      </c>
      <c r="F15063" t="s">
        <v>1273</v>
      </c>
      <c r="G15063">
        <v>1879.86</v>
      </c>
      <c r="H15063">
        <v>250218</v>
      </c>
      <c r="I15063">
        <v>4580</v>
      </c>
      <c r="J15063" t="s">
        <v>126</v>
      </c>
      <c r="K15063">
        <v>1879.86</v>
      </c>
      <c r="L15063">
        <v>381.96</v>
      </c>
      <c r="M15063">
        <v>46555</v>
      </c>
      <c r="N15063" t="s">
        <v>103</v>
      </c>
      <c r="O15063">
        <v>250225</v>
      </c>
      <c r="P15063">
        <v>1497.9</v>
      </c>
    </row>
    <row r="15064" spans="1:16" x14ac:dyDescent="0.25">
      <c r="A15064" t="s">
        <v>3296</v>
      </c>
      <c r="B15064" t="s">
        <v>2931</v>
      </c>
      <c r="C15064">
        <v>6147</v>
      </c>
      <c r="D15064" t="str">
        <f>"655036      "</f>
        <v xml:space="preserve">655036      </v>
      </c>
      <c r="E15064" t="s">
        <v>1272</v>
      </c>
      <c r="F15064" t="s">
        <v>1273</v>
      </c>
      <c r="G15064">
        <v>490.58</v>
      </c>
      <c r="H15064">
        <v>250425</v>
      </c>
      <c r="I15064">
        <v>4580</v>
      </c>
      <c r="J15064" t="s">
        <v>126</v>
      </c>
      <c r="K15064">
        <v>490.58</v>
      </c>
      <c r="L15064">
        <v>99.68</v>
      </c>
      <c r="M15064">
        <v>46555</v>
      </c>
      <c r="N15064" t="s">
        <v>103</v>
      </c>
      <c r="O15064">
        <v>250509</v>
      </c>
      <c r="P15064">
        <v>390.9</v>
      </c>
    </row>
    <row r="15065" spans="1:16" x14ac:dyDescent="0.25">
      <c r="A15065" t="s">
        <v>3296</v>
      </c>
      <c r="B15065" t="s">
        <v>2931</v>
      </c>
      <c r="C15065">
        <v>4000</v>
      </c>
      <c r="D15065" t="str">
        <f>"598         "</f>
        <v xml:space="preserve">598         </v>
      </c>
      <c r="E15065" t="s">
        <v>1543</v>
      </c>
      <c r="F15065" t="s">
        <v>1545</v>
      </c>
      <c r="G15065">
        <v>2626.09</v>
      </c>
      <c r="H15065">
        <v>250312</v>
      </c>
      <c r="I15065">
        <v>4500</v>
      </c>
      <c r="J15065" t="s">
        <v>312</v>
      </c>
      <c r="K15065">
        <v>5252.18</v>
      </c>
      <c r="L15065">
        <v>533.59</v>
      </c>
      <c r="M15065">
        <v>13461</v>
      </c>
      <c r="N15065" t="s">
        <v>1544</v>
      </c>
      <c r="O15065">
        <v>250407</v>
      </c>
      <c r="P15065">
        <v>2092.5</v>
      </c>
    </row>
    <row r="15066" spans="1:16" x14ac:dyDescent="0.25">
      <c r="A15066" t="s">
        <v>3296</v>
      </c>
      <c r="B15066" t="s">
        <v>2931</v>
      </c>
      <c r="C15066">
        <v>4000</v>
      </c>
      <c r="D15066" t="str">
        <f>"598         "</f>
        <v xml:space="preserve">598         </v>
      </c>
      <c r="E15066" t="s">
        <v>1543</v>
      </c>
      <c r="F15066" t="s">
        <v>1545</v>
      </c>
      <c r="G15066">
        <v>2626.09</v>
      </c>
      <c r="H15066">
        <v>250312</v>
      </c>
      <c r="I15066">
        <v>4500</v>
      </c>
      <c r="J15066" t="s">
        <v>312</v>
      </c>
      <c r="K15066">
        <v>5252.18</v>
      </c>
      <c r="L15066">
        <v>533.59</v>
      </c>
      <c r="M15066">
        <v>13561</v>
      </c>
      <c r="N15066" t="s">
        <v>241</v>
      </c>
      <c r="O15066">
        <v>250407</v>
      </c>
      <c r="P15066">
        <v>2092.5</v>
      </c>
    </row>
    <row r="15067" spans="1:16" x14ac:dyDescent="0.25">
      <c r="A15067" t="s">
        <v>3296</v>
      </c>
      <c r="B15067" t="s">
        <v>2931</v>
      </c>
      <c r="C15067">
        <v>1030</v>
      </c>
      <c r="D15067" t="str">
        <f>"52500027    "</f>
        <v xml:space="preserve">52500027    </v>
      </c>
      <c r="E15067" t="s">
        <v>823</v>
      </c>
      <c r="F15067" t="s">
        <v>824</v>
      </c>
      <c r="G15067">
        <v>232.18</v>
      </c>
      <c r="H15067">
        <v>250129</v>
      </c>
      <c r="I15067">
        <v>4350</v>
      </c>
      <c r="J15067" t="s">
        <v>290</v>
      </c>
      <c r="K15067">
        <v>232.18</v>
      </c>
      <c r="L15067">
        <v>47.18</v>
      </c>
      <c r="M15067">
        <v>11301</v>
      </c>
      <c r="N15067" t="s">
        <v>92</v>
      </c>
      <c r="O15067">
        <v>250203</v>
      </c>
      <c r="P15067">
        <v>185</v>
      </c>
    </row>
    <row r="15068" spans="1:16" x14ac:dyDescent="0.25">
      <c r="A15068" t="s">
        <v>3296</v>
      </c>
      <c r="B15068" t="s">
        <v>2931</v>
      </c>
      <c r="C15068">
        <v>5617</v>
      </c>
      <c r="D15068" t="str">
        <f>"807         "</f>
        <v xml:space="preserve">807         </v>
      </c>
      <c r="E15068" t="s">
        <v>1770</v>
      </c>
      <c r="F15068" t="s">
        <v>1771</v>
      </c>
      <c r="G15068">
        <v>71.08</v>
      </c>
      <c r="H15068">
        <v>250417</v>
      </c>
      <c r="I15068">
        <v>4420</v>
      </c>
      <c r="J15068" t="s">
        <v>330</v>
      </c>
      <c r="K15068">
        <v>1200.58</v>
      </c>
      <c r="L15068">
        <v>14.44</v>
      </c>
      <c r="M15068">
        <v>16930</v>
      </c>
      <c r="N15068" t="s">
        <v>135</v>
      </c>
      <c r="O15068">
        <v>250425</v>
      </c>
      <c r="P15068">
        <v>56.64</v>
      </c>
    </row>
    <row r="15069" spans="1:16" x14ac:dyDescent="0.25">
      <c r="A15069" t="s">
        <v>3296</v>
      </c>
      <c r="B15069" t="s">
        <v>2931</v>
      </c>
      <c r="C15069">
        <v>5617</v>
      </c>
      <c r="D15069" t="str">
        <f>"807         "</f>
        <v xml:space="preserve">807         </v>
      </c>
      <c r="E15069" t="s">
        <v>1770</v>
      </c>
      <c r="F15069" t="s">
        <v>1771</v>
      </c>
      <c r="G15069">
        <v>1129.5</v>
      </c>
      <c r="H15069">
        <v>250417</v>
      </c>
      <c r="I15069">
        <v>4440</v>
      </c>
      <c r="J15069" t="s">
        <v>346</v>
      </c>
      <c r="K15069">
        <v>1200.58</v>
      </c>
      <c r="L15069">
        <v>229.5</v>
      </c>
      <c r="M15069">
        <v>16930</v>
      </c>
      <c r="N15069" t="s">
        <v>135</v>
      </c>
      <c r="O15069">
        <v>250425</v>
      </c>
      <c r="P15069">
        <v>900</v>
      </c>
    </row>
    <row r="15070" spans="1:16" x14ac:dyDescent="0.25">
      <c r="A15070" t="s">
        <v>3296</v>
      </c>
      <c r="B15070" t="s">
        <v>2931</v>
      </c>
      <c r="C15070">
        <v>129</v>
      </c>
      <c r="D15070" t="str">
        <f>"393         "</f>
        <v xml:space="preserve">393         </v>
      </c>
      <c r="E15070" t="s">
        <v>235</v>
      </c>
      <c r="F15070" t="s">
        <v>236</v>
      </c>
      <c r="G15070">
        <v>3024.13</v>
      </c>
      <c r="H15070">
        <v>250101</v>
      </c>
      <c r="I15070">
        <v>4367</v>
      </c>
      <c r="J15070" t="s">
        <v>159</v>
      </c>
      <c r="K15070">
        <v>3024.13</v>
      </c>
      <c r="L15070">
        <v>614.46</v>
      </c>
      <c r="M15070">
        <v>17805</v>
      </c>
      <c r="N15070" t="s">
        <v>21</v>
      </c>
      <c r="O15070">
        <v>250113</v>
      </c>
      <c r="P15070">
        <v>2409.67</v>
      </c>
    </row>
    <row r="15071" spans="1:16" x14ac:dyDescent="0.25">
      <c r="A15071" t="s">
        <v>3296</v>
      </c>
      <c r="B15071" t="s">
        <v>2931</v>
      </c>
      <c r="C15071">
        <v>1243</v>
      </c>
      <c r="D15071" t="str">
        <f>"615952      "</f>
        <v xml:space="preserve">615952      </v>
      </c>
      <c r="E15071" t="s">
        <v>239</v>
      </c>
      <c r="F15071" t="s">
        <v>242</v>
      </c>
      <c r="G15071">
        <v>183.23</v>
      </c>
      <c r="H15071">
        <v>250130</v>
      </c>
      <c r="I15071">
        <v>4350</v>
      </c>
      <c r="J15071" t="s">
        <v>290</v>
      </c>
      <c r="K15071">
        <v>366.46</v>
      </c>
      <c r="L15071">
        <v>37.229999999999997</v>
      </c>
      <c r="M15071">
        <v>17131</v>
      </c>
      <c r="N15071" t="s">
        <v>154</v>
      </c>
      <c r="O15071">
        <v>250206</v>
      </c>
      <c r="P15071">
        <v>146</v>
      </c>
    </row>
    <row r="15072" spans="1:16" x14ac:dyDescent="0.25">
      <c r="A15072" t="s">
        <v>3296</v>
      </c>
      <c r="B15072" t="s">
        <v>2931</v>
      </c>
      <c r="C15072">
        <v>1243</v>
      </c>
      <c r="D15072" t="str">
        <f>"615952      "</f>
        <v xml:space="preserve">615952      </v>
      </c>
      <c r="E15072" t="s">
        <v>239</v>
      </c>
      <c r="F15072" t="s">
        <v>242</v>
      </c>
      <c r="G15072">
        <v>183.23</v>
      </c>
      <c r="H15072">
        <v>250130</v>
      </c>
      <c r="I15072">
        <v>4350</v>
      </c>
      <c r="J15072" t="s">
        <v>290</v>
      </c>
      <c r="K15072">
        <v>366.46</v>
      </c>
      <c r="L15072">
        <v>37.229999999999997</v>
      </c>
      <c r="M15072">
        <v>17711</v>
      </c>
      <c r="N15072" t="s">
        <v>155</v>
      </c>
      <c r="O15072">
        <v>250206</v>
      </c>
      <c r="P15072">
        <v>146</v>
      </c>
    </row>
    <row r="15073" spans="1:16" x14ac:dyDescent="0.25">
      <c r="A15073" t="s">
        <v>3296</v>
      </c>
      <c r="B15073" t="s">
        <v>2931</v>
      </c>
      <c r="C15073">
        <v>5291</v>
      </c>
      <c r="D15073" t="str">
        <f>"616438      "</f>
        <v xml:space="preserve">616438      </v>
      </c>
      <c r="E15073" t="s">
        <v>239</v>
      </c>
      <c r="F15073" t="s">
        <v>242</v>
      </c>
      <c r="G15073">
        <v>274.83999999999997</v>
      </c>
      <c r="H15073">
        <v>250410</v>
      </c>
      <c r="I15073">
        <v>4350</v>
      </c>
      <c r="J15073" t="s">
        <v>290</v>
      </c>
      <c r="K15073">
        <v>549.69000000000005</v>
      </c>
      <c r="L15073">
        <v>55.84</v>
      </c>
      <c r="M15073">
        <v>13801</v>
      </c>
      <c r="N15073" t="s">
        <v>33</v>
      </c>
      <c r="O15073">
        <v>250423</v>
      </c>
      <c r="P15073">
        <v>219</v>
      </c>
    </row>
    <row r="15074" spans="1:16" x14ac:dyDescent="0.25">
      <c r="A15074" t="s">
        <v>3296</v>
      </c>
      <c r="B15074" t="s">
        <v>2931</v>
      </c>
      <c r="C15074">
        <v>5291</v>
      </c>
      <c r="D15074" t="str">
        <f>"616438      "</f>
        <v xml:space="preserve">616438      </v>
      </c>
      <c r="E15074" t="s">
        <v>239</v>
      </c>
      <c r="F15074" t="s">
        <v>242</v>
      </c>
      <c r="G15074">
        <v>274.85000000000002</v>
      </c>
      <c r="H15074">
        <v>250410</v>
      </c>
      <c r="I15074">
        <v>4350</v>
      </c>
      <c r="J15074" t="s">
        <v>290</v>
      </c>
      <c r="K15074">
        <v>549.69000000000005</v>
      </c>
      <c r="L15074">
        <v>55.85</v>
      </c>
      <c r="M15074">
        <v>13802</v>
      </c>
      <c r="N15074" t="s">
        <v>34</v>
      </c>
      <c r="O15074">
        <v>250423</v>
      </c>
      <c r="P15074">
        <v>219</v>
      </c>
    </row>
    <row r="15075" spans="1:16" x14ac:dyDescent="0.25">
      <c r="A15075" t="s">
        <v>3296</v>
      </c>
      <c r="B15075" t="s">
        <v>2931</v>
      </c>
      <c r="C15075">
        <v>6324</v>
      </c>
      <c r="D15075" t="str">
        <f>"616746      "</f>
        <v xml:space="preserve">616746      </v>
      </c>
      <c r="E15075" t="s">
        <v>239</v>
      </c>
      <c r="F15075" t="s">
        <v>242</v>
      </c>
      <c r="G15075">
        <v>329.81</v>
      </c>
      <c r="H15075">
        <v>250507</v>
      </c>
      <c r="I15075">
        <v>4350</v>
      </c>
      <c r="J15075" t="s">
        <v>290</v>
      </c>
      <c r="K15075">
        <v>329.81</v>
      </c>
      <c r="L15075">
        <v>67.010000000000005</v>
      </c>
      <c r="M15075">
        <v>13601</v>
      </c>
      <c r="N15075" t="s">
        <v>115</v>
      </c>
      <c r="O15075">
        <v>250512</v>
      </c>
      <c r="P15075">
        <v>262.8</v>
      </c>
    </row>
    <row r="15076" spans="1:16" x14ac:dyDescent="0.25">
      <c r="A15076" t="s">
        <v>3296</v>
      </c>
      <c r="B15076" t="s">
        <v>2931</v>
      </c>
      <c r="C15076">
        <v>9895</v>
      </c>
      <c r="D15076" t="str">
        <f>"617338      "</f>
        <v xml:space="preserve">617338      </v>
      </c>
      <c r="E15076" t="s">
        <v>239</v>
      </c>
      <c r="F15076" t="s">
        <v>242</v>
      </c>
      <c r="G15076">
        <v>366.46</v>
      </c>
      <c r="H15076">
        <v>250730</v>
      </c>
      <c r="I15076">
        <v>4350</v>
      </c>
      <c r="J15076" t="s">
        <v>290</v>
      </c>
      <c r="K15076">
        <v>366.46</v>
      </c>
      <c r="L15076">
        <v>74.459999999999994</v>
      </c>
      <c r="M15076">
        <v>13801</v>
      </c>
      <c r="N15076" t="s">
        <v>33</v>
      </c>
      <c r="O15076">
        <v>250801</v>
      </c>
      <c r="P15076">
        <v>292</v>
      </c>
    </row>
    <row r="15077" spans="1:16" x14ac:dyDescent="0.25">
      <c r="A15077" t="s">
        <v>3296</v>
      </c>
      <c r="B15077" t="s">
        <v>2931</v>
      </c>
      <c r="C15077">
        <v>16653</v>
      </c>
      <c r="D15077" t="str">
        <f>"618139      "</f>
        <v xml:space="preserve">618139      </v>
      </c>
      <c r="E15077" t="s">
        <v>239</v>
      </c>
      <c r="F15077" t="s">
        <v>242</v>
      </c>
      <c r="G15077">
        <v>219.88</v>
      </c>
      <c r="H15077">
        <v>251204</v>
      </c>
      <c r="I15077">
        <v>4350</v>
      </c>
      <c r="J15077" t="s">
        <v>290</v>
      </c>
      <c r="K15077">
        <v>219.88</v>
      </c>
      <c r="L15077">
        <v>44.68</v>
      </c>
      <c r="M15077">
        <v>13601</v>
      </c>
      <c r="N15077" t="s">
        <v>115</v>
      </c>
      <c r="O15077">
        <v>251211</v>
      </c>
      <c r="P15077">
        <v>175.2</v>
      </c>
    </row>
    <row r="15078" spans="1:16" x14ac:dyDescent="0.25">
      <c r="A15078" t="s">
        <v>3296</v>
      </c>
      <c r="B15078" t="s">
        <v>2931</v>
      </c>
      <c r="C15078">
        <v>18085</v>
      </c>
      <c r="D15078" t="str">
        <f>"618540      "</f>
        <v xml:space="preserve">618540      </v>
      </c>
      <c r="E15078" t="s">
        <v>239</v>
      </c>
      <c r="F15078" t="s">
        <v>242</v>
      </c>
      <c r="G15078">
        <v>274.85000000000002</v>
      </c>
      <c r="H15078">
        <v>251231</v>
      </c>
      <c r="I15078">
        <v>4350</v>
      </c>
      <c r="J15078" t="s">
        <v>290</v>
      </c>
      <c r="K15078">
        <v>549.69000000000005</v>
      </c>
      <c r="L15078">
        <v>55.85</v>
      </c>
      <c r="M15078">
        <v>13601</v>
      </c>
      <c r="N15078" t="s">
        <v>115</v>
      </c>
      <c r="O15078">
        <v>260108</v>
      </c>
      <c r="P15078">
        <v>219</v>
      </c>
    </row>
    <row r="15079" spans="1:16" x14ac:dyDescent="0.25">
      <c r="A15079" t="s">
        <v>3296</v>
      </c>
      <c r="B15079" t="s">
        <v>2931</v>
      </c>
      <c r="C15079">
        <v>18085</v>
      </c>
      <c r="D15079" t="str">
        <f>"618540      "</f>
        <v xml:space="preserve">618540      </v>
      </c>
      <c r="E15079" t="s">
        <v>239</v>
      </c>
      <c r="F15079" t="s">
        <v>242</v>
      </c>
      <c r="G15079">
        <v>274.83999999999997</v>
      </c>
      <c r="H15079">
        <v>251231</v>
      </c>
      <c r="I15079">
        <v>4350</v>
      </c>
      <c r="J15079" t="s">
        <v>290</v>
      </c>
      <c r="K15079">
        <v>549.69000000000005</v>
      </c>
      <c r="L15079">
        <v>55.84</v>
      </c>
      <c r="M15079">
        <v>13801</v>
      </c>
      <c r="N15079" t="s">
        <v>33</v>
      </c>
      <c r="O15079">
        <v>260108</v>
      </c>
      <c r="P15079">
        <v>219</v>
      </c>
    </row>
    <row r="15080" spans="1:16" x14ac:dyDescent="0.25">
      <c r="A15080" t="s">
        <v>3296</v>
      </c>
      <c r="B15080" t="s">
        <v>2931</v>
      </c>
      <c r="C15080">
        <v>131</v>
      </c>
      <c r="D15080" t="str">
        <f>"136568      "</f>
        <v xml:space="preserve">136568      </v>
      </c>
      <c r="E15080" t="s">
        <v>239</v>
      </c>
      <c r="F15080" t="s">
        <v>242</v>
      </c>
      <c r="G15080">
        <v>138</v>
      </c>
      <c r="H15080">
        <v>250103</v>
      </c>
      <c r="I15080">
        <v>4510</v>
      </c>
      <c r="J15080" t="s">
        <v>240</v>
      </c>
      <c r="K15080">
        <v>414</v>
      </c>
      <c r="L15080">
        <v>12.55</v>
      </c>
      <c r="M15080">
        <v>13561</v>
      </c>
      <c r="N15080" t="s">
        <v>241</v>
      </c>
      <c r="O15080">
        <v>250113</v>
      </c>
      <c r="P15080">
        <v>125.45</v>
      </c>
    </row>
    <row r="15081" spans="1:16" x14ac:dyDescent="0.25">
      <c r="A15081" t="s">
        <v>3296</v>
      </c>
      <c r="B15081" t="s">
        <v>2931</v>
      </c>
      <c r="C15081">
        <v>131</v>
      </c>
      <c r="D15081" t="str">
        <f>"136568      "</f>
        <v xml:space="preserve">136568      </v>
      </c>
      <c r="E15081" t="s">
        <v>239</v>
      </c>
      <c r="F15081" t="s">
        <v>242</v>
      </c>
      <c r="G15081">
        <v>138</v>
      </c>
      <c r="H15081">
        <v>250103</v>
      </c>
      <c r="I15081">
        <v>4510</v>
      </c>
      <c r="J15081" t="s">
        <v>240</v>
      </c>
      <c r="K15081">
        <v>414</v>
      </c>
      <c r="L15081">
        <v>12.55</v>
      </c>
      <c r="M15081">
        <v>13661</v>
      </c>
      <c r="N15081" t="s">
        <v>243</v>
      </c>
      <c r="O15081">
        <v>250113</v>
      </c>
      <c r="P15081">
        <v>125.45</v>
      </c>
    </row>
    <row r="15082" spans="1:16" x14ac:dyDescent="0.25">
      <c r="A15082" t="s">
        <v>3296</v>
      </c>
      <c r="B15082" t="s">
        <v>2931</v>
      </c>
      <c r="C15082">
        <v>131</v>
      </c>
      <c r="D15082" t="str">
        <f>"136568      "</f>
        <v xml:space="preserve">136568      </v>
      </c>
      <c r="E15082" t="s">
        <v>239</v>
      </c>
      <c r="F15082" t="s">
        <v>242</v>
      </c>
      <c r="G15082">
        <v>138</v>
      </c>
      <c r="H15082">
        <v>250103</v>
      </c>
      <c r="I15082">
        <v>4510</v>
      </c>
      <c r="J15082" t="s">
        <v>240</v>
      </c>
      <c r="K15082">
        <v>414</v>
      </c>
      <c r="L15082">
        <v>12.55</v>
      </c>
      <c r="M15082">
        <v>17972</v>
      </c>
      <c r="N15082" t="s">
        <v>28</v>
      </c>
      <c r="O15082">
        <v>250113</v>
      </c>
      <c r="P15082">
        <v>125.45</v>
      </c>
    </row>
    <row r="15083" spans="1:16" x14ac:dyDescent="0.25">
      <c r="A15083" t="s">
        <v>3296</v>
      </c>
      <c r="B15083" t="s">
        <v>2931</v>
      </c>
      <c r="C15083">
        <v>591</v>
      </c>
      <c r="D15083" t="str">
        <f>"139061      "</f>
        <v xml:space="preserve">139061      </v>
      </c>
      <c r="E15083" t="s">
        <v>239</v>
      </c>
      <c r="F15083" t="s">
        <v>242</v>
      </c>
      <c r="G15083">
        <v>138</v>
      </c>
      <c r="H15083">
        <v>250121</v>
      </c>
      <c r="I15083">
        <v>4510</v>
      </c>
      <c r="J15083" t="s">
        <v>240</v>
      </c>
      <c r="K15083">
        <v>138</v>
      </c>
      <c r="L15083">
        <v>12.55</v>
      </c>
      <c r="M15083">
        <v>13861</v>
      </c>
      <c r="N15083" t="s">
        <v>604</v>
      </c>
      <c r="O15083">
        <v>250124</v>
      </c>
      <c r="P15083">
        <v>125.45</v>
      </c>
    </row>
    <row r="15084" spans="1:16" x14ac:dyDescent="0.25">
      <c r="A15084" t="s">
        <v>3296</v>
      </c>
      <c r="B15084" t="s">
        <v>2931</v>
      </c>
      <c r="C15084">
        <v>1884</v>
      </c>
      <c r="D15084" t="str">
        <f>"139499      "</f>
        <v xml:space="preserve">139499      </v>
      </c>
      <c r="E15084" t="s">
        <v>239</v>
      </c>
      <c r="F15084" t="s">
        <v>242</v>
      </c>
      <c r="G15084">
        <v>138</v>
      </c>
      <c r="H15084">
        <v>250211</v>
      </c>
      <c r="I15084">
        <v>4510</v>
      </c>
      <c r="J15084" t="s">
        <v>240</v>
      </c>
      <c r="K15084">
        <v>138</v>
      </c>
      <c r="L15084">
        <v>12.55</v>
      </c>
      <c r="M15084">
        <v>17971</v>
      </c>
      <c r="N15084" t="s">
        <v>27</v>
      </c>
      <c r="O15084">
        <v>250214</v>
      </c>
      <c r="P15084">
        <v>125.45</v>
      </c>
    </row>
    <row r="15085" spans="1:16" x14ac:dyDescent="0.25">
      <c r="A15085" t="s">
        <v>3296</v>
      </c>
      <c r="B15085" t="s">
        <v>2931</v>
      </c>
      <c r="C15085">
        <v>2401</v>
      </c>
      <c r="D15085" t="str">
        <f>"139579      "</f>
        <v xml:space="preserve">139579      </v>
      </c>
      <c r="E15085" t="s">
        <v>239</v>
      </c>
      <c r="F15085" t="s">
        <v>242</v>
      </c>
      <c r="G15085">
        <v>138</v>
      </c>
      <c r="H15085">
        <v>250218</v>
      </c>
      <c r="I15085">
        <v>4510</v>
      </c>
      <c r="J15085" t="s">
        <v>240</v>
      </c>
      <c r="K15085">
        <v>138</v>
      </c>
      <c r="L15085">
        <v>12.55</v>
      </c>
      <c r="M15085">
        <v>13801</v>
      </c>
      <c r="N15085" t="s">
        <v>33</v>
      </c>
      <c r="O15085">
        <v>250225</v>
      </c>
      <c r="P15085">
        <v>125.45</v>
      </c>
    </row>
    <row r="15086" spans="1:16" x14ac:dyDescent="0.25">
      <c r="A15086" t="s">
        <v>3296</v>
      </c>
      <c r="B15086" t="s">
        <v>2931</v>
      </c>
      <c r="C15086">
        <v>3493</v>
      </c>
      <c r="D15086" t="str">
        <f>"616173      "</f>
        <v xml:space="preserve">616173      </v>
      </c>
      <c r="E15086" t="s">
        <v>239</v>
      </c>
      <c r="F15086" t="s">
        <v>242</v>
      </c>
      <c r="G15086">
        <v>577.29999999999995</v>
      </c>
      <c r="H15086">
        <v>250310</v>
      </c>
      <c r="I15086">
        <v>4510</v>
      </c>
      <c r="J15086" t="s">
        <v>240</v>
      </c>
      <c r="K15086">
        <v>577.29999999999995</v>
      </c>
      <c r="L15086">
        <v>117.3</v>
      </c>
      <c r="M15086">
        <v>13601</v>
      </c>
      <c r="N15086" t="s">
        <v>115</v>
      </c>
      <c r="O15086">
        <v>250324</v>
      </c>
      <c r="P15086">
        <v>460</v>
      </c>
    </row>
    <row r="15087" spans="1:16" x14ac:dyDescent="0.25">
      <c r="A15087" t="s">
        <v>3296</v>
      </c>
      <c r="B15087" t="s">
        <v>2931</v>
      </c>
      <c r="C15087">
        <v>3761</v>
      </c>
      <c r="D15087" t="str">
        <f>"139913      "</f>
        <v xml:space="preserve">139913      </v>
      </c>
      <c r="E15087" t="s">
        <v>239</v>
      </c>
      <c r="F15087" t="s">
        <v>242</v>
      </c>
      <c r="G15087">
        <v>69</v>
      </c>
      <c r="H15087">
        <v>250311</v>
      </c>
      <c r="I15087">
        <v>4510</v>
      </c>
      <c r="J15087" t="s">
        <v>240</v>
      </c>
      <c r="K15087">
        <v>138</v>
      </c>
      <c r="L15087">
        <v>6.27</v>
      </c>
      <c r="M15087">
        <v>17131</v>
      </c>
      <c r="N15087" t="s">
        <v>154</v>
      </c>
      <c r="O15087">
        <v>250401</v>
      </c>
      <c r="P15087">
        <v>62.73</v>
      </c>
    </row>
    <row r="15088" spans="1:16" x14ac:dyDescent="0.25">
      <c r="A15088" t="s">
        <v>3296</v>
      </c>
      <c r="B15088" t="s">
        <v>2931</v>
      </c>
      <c r="C15088">
        <v>3761</v>
      </c>
      <c r="D15088" t="str">
        <f>"139913      "</f>
        <v xml:space="preserve">139913      </v>
      </c>
      <c r="E15088" t="s">
        <v>239</v>
      </c>
      <c r="F15088" t="s">
        <v>242</v>
      </c>
      <c r="G15088">
        <v>69</v>
      </c>
      <c r="H15088">
        <v>250311</v>
      </c>
      <c r="I15088">
        <v>4510</v>
      </c>
      <c r="J15088" t="s">
        <v>240</v>
      </c>
      <c r="K15088">
        <v>138</v>
      </c>
      <c r="L15088">
        <v>6.27</v>
      </c>
      <c r="M15088">
        <v>17711</v>
      </c>
      <c r="N15088" t="s">
        <v>155</v>
      </c>
      <c r="O15088">
        <v>250401</v>
      </c>
      <c r="P15088">
        <v>62.73</v>
      </c>
    </row>
    <row r="15089" spans="1:16" x14ac:dyDescent="0.25">
      <c r="A15089" t="s">
        <v>3296</v>
      </c>
      <c r="B15089" t="s">
        <v>2931</v>
      </c>
      <c r="C15089">
        <v>6805</v>
      </c>
      <c r="D15089" t="str">
        <f>"140557      "</f>
        <v xml:space="preserve">140557      </v>
      </c>
      <c r="E15089" t="s">
        <v>239</v>
      </c>
      <c r="F15089" t="s">
        <v>242</v>
      </c>
      <c r="G15089">
        <v>138</v>
      </c>
      <c r="H15089">
        <v>250506</v>
      </c>
      <c r="I15089">
        <v>4510</v>
      </c>
      <c r="J15089" t="s">
        <v>240</v>
      </c>
      <c r="K15089">
        <v>138</v>
      </c>
      <c r="L15089">
        <v>12.55</v>
      </c>
      <c r="M15089">
        <v>17971</v>
      </c>
      <c r="N15089" t="s">
        <v>27</v>
      </c>
      <c r="O15089">
        <v>250516</v>
      </c>
      <c r="P15089">
        <v>125.45</v>
      </c>
    </row>
    <row r="15090" spans="1:16" x14ac:dyDescent="0.25">
      <c r="A15090" t="s">
        <v>3296</v>
      </c>
      <c r="B15090" t="s">
        <v>2931</v>
      </c>
      <c r="C15090">
        <v>18503</v>
      </c>
      <c r="D15090" t="str">
        <f>"144754      "</f>
        <v xml:space="preserve">144754      </v>
      </c>
      <c r="E15090" t="s">
        <v>239</v>
      </c>
      <c r="F15090" t="s">
        <v>242</v>
      </c>
      <c r="G15090">
        <v>138</v>
      </c>
      <c r="H15090">
        <v>251231</v>
      </c>
      <c r="I15090">
        <v>4510</v>
      </c>
      <c r="J15090" t="s">
        <v>240</v>
      </c>
      <c r="K15090">
        <v>276</v>
      </c>
      <c r="L15090">
        <v>12.55</v>
      </c>
      <c r="M15090">
        <v>13601</v>
      </c>
      <c r="N15090" t="s">
        <v>115</v>
      </c>
      <c r="O15090">
        <v>260114</v>
      </c>
      <c r="P15090">
        <v>125.45</v>
      </c>
    </row>
    <row r="15091" spans="1:16" x14ac:dyDescent="0.25">
      <c r="A15091" t="s">
        <v>3296</v>
      </c>
      <c r="B15091" t="s">
        <v>2931</v>
      </c>
      <c r="C15091">
        <v>18503</v>
      </c>
      <c r="D15091" t="str">
        <f>"144754      "</f>
        <v xml:space="preserve">144754      </v>
      </c>
      <c r="E15091" t="s">
        <v>239</v>
      </c>
      <c r="F15091" t="s">
        <v>242</v>
      </c>
      <c r="G15091">
        <v>138</v>
      </c>
      <c r="H15091">
        <v>251231</v>
      </c>
      <c r="I15091">
        <v>4510</v>
      </c>
      <c r="J15091" t="s">
        <v>240</v>
      </c>
      <c r="K15091">
        <v>276</v>
      </c>
      <c r="L15091">
        <v>12.55</v>
      </c>
      <c r="M15091">
        <v>13801</v>
      </c>
      <c r="N15091" t="s">
        <v>33</v>
      </c>
      <c r="O15091">
        <v>260114</v>
      </c>
      <c r="P15091">
        <v>125.45</v>
      </c>
    </row>
    <row r="15092" spans="1:16" x14ac:dyDescent="0.25">
      <c r="A15092" t="s">
        <v>3296</v>
      </c>
      <c r="B15092" t="s">
        <v>2931</v>
      </c>
      <c r="C15092">
        <v>415</v>
      </c>
      <c r="D15092" t="str">
        <f>"464         "</f>
        <v xml:space="preserve">464         </v>
      </c>
      <c r="E15092" t="s">
        <v>2987</v>
      </c>
      <c r="F15092" t="s">
        <v>2988</v>
      </c>
      <c r="G15092">
        <v>60</v>
      </c>
      <c r="H15092">
        <v>250119</v>
      </c>
      <c r="I15092">
        <v>4510</v>
      </c>
      <c r="J15092" t="s">
        <v>240</v>
      </c>
      <c r="K15092">
        <v>60</v>
      </c>
      <c r="L15092">
        <v>0</v>
      </c>
      <c r="M15092">
        <v>13402</v>
      </c>
      <c r="N15092" t="s">
        <v>307</v>
      </c>
      <c r="O15092">
        <v>250122</v>
      </c>
      <c r="P15092">
        <v>60</v>
      </c>
    </row>
    <row r="15093" spans="1:16" x14ac:dyDescent="0.25">
      <c r="A15093" t="s">
        <v>3296</v>
      </c>
      <c r="B15093" t="s">
        <v>2931</v>
      </c>
      <c r="C15093">
        <v>914</v>
      </c>
      <c r="D15093" t="str">
        <f>"8581        "</f>
        <v xml:space="preserve">8581        </v>
      </c>
      <c r="E15093" t="s">
        <v>776</v>
      </c>
      <c r="F15093" t="s">
        <v>777</v>
      </c>
      <c r="G15093">
        <v>288.64999999999998</v>
      </c>
      <c r="H15093">
        <v>250129</v>
      </c>
      <c r="I15093">
        <v>4441</v>
      </c>
      <c r="J15093" t="s">
        <v>234</v>
      </c>
      <c r="K15093">
        <v>288.64999999999998</v>
      </c>
      <c r="L15093">
        <v>58.65</v>
      </c>
      <c r="M15093">
        <v>11201</v>
      </c>
      <c r="N15093" t="s">
        <v>35</v>
      </c>
      <c r="O15093">
        <v>250131</v>
      </c>
      <c r="P15093">
        <v>230</v>
      </c>
    </row>
    <row r="15094" spans="1:16" x14ac:dyDescent="0.25">
      <c r="A15094" t="s">
        <v>3296</v>
      </c>
      <c r="B15094" t="s">
        <v>2931</v>
      </c>
      <c r="C15094">
        <v>8795</v>
      </c>
      <c r="D15094" t="str">
        <f>"9661        "</f>
        <v xml:space="preserve">9661        </v>
      </c>
      <c r="E15094" t="s">
        <v>776</v>
      </c>
      <c r="F15094" t="s">
        <v>777</v>
      </c>
      <c r="G15094">
        <v>188.25</v>
      </c>
      <c r="H15094">
        <v>250610</v>
      </c>
      <c r="I15094">
        <v>4470</v>
      </c>
      <c r="J15094" t="s">
        <v>203</v>
      </c>
      <c r="K15094">
        <v>376.5</v>
      </c>
      <c r="L15094">
        <v>38.25</v>
      </c>
      <c r="M15094">
        <v>11201</v>
      </c>
      <c r="N15094" t="s">
        <v>35</v>
      </c>
      <c r="O15094">
        <v>250618</v>
      </c>
      <c r="P15094">
        <v>150</v>
      </c>
    </row>
    <row r="15095" spans="1:16" x14ac:dyDescent="0.25">
      <c r="A15095" t="s">
        <v>3296</v>
      </c>
      <c r="B15095" t="s">
        <v>2931</v>
      </c>
      <c r="C15095">
        <v>5412</v>
      </c>
      <c r="D15095" t="str">
        <f>"53504       "</f>
        <v xml:space="preserve">53504       </v>
      </c>
      <c r="E15095" t="s">
        <v>1738</v>
      </c>
      <c r="F15095" t="s">
        <v>1739</v>
      </c>
      <c r="G15095">
        <v>77</v>
      </c>
      <c r="H15095">
        <v>250415</v>
      </c>
      <c r="I15095">
        <v>4510</v>
      </c>
      <c r="J15095" t="s">
        <v>240</v>
      </c>
      <c r="K15095">
        <v>77</v>
      </c>
      <c r="L15095">
        <v>7</v>
      </c>
      <c r="M15095">
        <v>56524</v>
      </c>
      <c r="N15095" t="s">
        <v>69</v>
      </c>
      <c r="O15095">
        <v>250424</v>
      </c>
      <c r="P15095">
        <v>70</v>
      </c>
    </row>
    <row r="15096" spans="1:16" x14ac:dyDescent="0.25">
      <c r="A15096" t="s">
        <v>3296</v>
      </c>
      <c r="B15096" t="s">
        <v>2931</v>
      </c>
      <c r="C15096">
        <v>16692</v>
      </c>
      <c r="D15096" t="str">
        <f>"250578      "</f>
        <v xml:space="preserve">250578      </v>
      </c>
      <c r="E15096" t="s">
        <v>2688</v>
      </c>
      <c r="F15096" t="s">
        <v>2689</v>
      </c>
      <c r="G15096">
        <v>85</v>
      </c>
      <c r="H15096">
        <v>251204</v>
      </c>
      <c r="I15096">
        <v>4510</v>
      </c>
      <c r="J15096" t="s">
        <v>240</v>
      </c>
      <c r="K15096">
        <v>85</v>
      </c>
      <c r="L15096">
        <v>7.73</v>
      </c>
      <c r="M15096">
        <v>17950</v>
      </c>
      <c r="N15096" t="s">
        <v>132</v>
      </c>
      <c r="O15096">
        <v>251211</v>
      </c>
      <c r="P15096">
        <v>77.27</v>
      </c>
    </row>
    <row r="15097" spans="1:16" x14ac:dyDescent="0.25">
      <c r="A15097" t="s">
        <v>3296</v>
      </c>
      <c r="B15097" t="s">
        <v>2931</v>
      </c>
      <c r="C15097">
        <v>7551</v>
      </c>
      <c r="D15097" t="str">
        <f>"303         "</f>
        <v xml:space="preserve">303         </v>
      </c>
      <c r="E15097" t="s">
        <v>1978</v>
      </c>
      <c r="F15097" t="s">
        <v>1979</v>
      </c>
      <c r="G15097">
        <v>43.5</v>
      </c>
      <c r="H15097">
        <v>250530</v>
      </c>
      <c r="I15097">
        <v>4600</v>
      </c>
      <c r="J15097" t="s">
        <v>278</v>
      </c>
      <c r="K15097">
        <v>43.5</v>
      </c>
      <c r="L15097">
        <v>8.42</v>
      </c>
      <c r="M15097">
        <v>59702</v>
      </c>
      <c r="N15097" t="s">
        <v>45</v>
      </c>
      <c r="O15097">
        <v>250604</v>
      </c>
      <c r="P15097">
        <v>35.08</v>
      </c>
    </row>
    <row r="15098" spans="1:16" x14ac:dyDescent="0.25">
      <c r="A15098" t="s">
        <v>3296</v>
      </c>
      <c r="B15098" t="s">
        <v>2931</v>
      </c>
      <c r="C15098">
        <v>9512</v>
      </c>
      <c r="D15098" t="str">
        <f>"54988       "</f>
        <v xml:space="preserve">54988       </v>
      </c>
      <c r="E15098" t="s">
        <v>1682</v>
      </c>
      <c r="F15098" t="s">
        <v>1683</v>
      </c>
      <c r="G15098">
        <v>624.99</v>
      </c>
      <c r="H15098">
        <v>250617</v>
      </c>
      <c r="I15098">
        <v>4440</v>
      </c>
      <c r="J15098" t="s">
        <v>346</v>
      </c>
      <c r="K15098">
        <v>624.99</v>
      </c>
      <c r="L15098">
        <v>126.99</v>
      </c>
      <c r="M15098">
        <v>53222</v>
      </c>
      <c r="N15098" t="s">
        <v>41</v>
      </c>
      <c r="O15098">
        <v>250709</v>
      </c>
      <c r="P15098">
        <v>498</v>
      </c>
    </row>
    <row r="15099" spans="1:16" x14ac:dyDescent="0.25">
      <c r="A15099" t="s">
        <v>3296</v>
      </c>
      <c r="B15099" t="s">
        <v>2931</v>
      </c>
      <c r="C15099">
        <v>5072</v>
      </c>
      <c r="D15099" t="str">
        <f>"53042       "</f>
        <v xml:space="preserve">53042       </v>
      </c>
      <c r="E15099" t="s">
        <v>1682</v>
      </c>
      <c r="F15099" t="s">
        <v>1683</v>
      </c>
      <c r="G15099">
        <v>306.47000000000003</v>
      </c>
      <c r="H15099">
        <v>250331</v>
      </c>
      <c r="I15099">
        <v>4470</v>
      </c>
      <c r="J15099" t="s">
        <v>203</v>
      </c>
      <c r="K15099">
        <v>306.47000000000003</v>
      </c>
      <c r="L15099">
        <v>62.27</v>
      </c>
      <c r="M15099">
        <v>53222</v>
      </c>
      <c r="N15099" t="s">
        <v>41</v>
      </c>
      <c r="O15099">
        <v>250416</v>
      </c>
      <c r="P15099">
        <v>244.2</v>
      </c>
    </row>
    <row r="15100" spans="1:16" x14ac:dyDescent="0.25">
      <c r="A15100" t="s">
        <v>3296</v>
      </c>
      <c r="B15100" t="s">
        <v>2931</v>
      </c>
      <c r="C15100">
        <v>5118</v>
      </c>
      <c r="D15100" t="str">
        <f>"52285       "</f>
        <v xml:space="preserve">52285       </v>
      </c>
      <c r="E15100" t="s">
        <v>1682</v>
      </c>
      <c r="F15100" t="s">
        <v>1683</v>
      </c>
      <c r="G15100">
        <v>139.30000000000001</v>
      </c>
      <c r="H15100">
        <v>250301</v>
      </c>
      <c r="I15100">
        <v>4470</v>
      </c>
      <c r="J15100" t="s">
        <v>203</v>
      </c>
      <c r="K15100">
        <v>139.30000000000001</v>
      </c>
      <c r="L15100">
        <v>28.3</v>
      </c>
      <c r="M15100">
        <v>53222</v>
      </c>
      <c r="N15100" t="s">
        <v>41</v>
      </c>
      <c r="O15100">
        <v>250417</v>
      </c>
      <c r="P15100">
        <v>111</v>
      </c>
    </row>
    <row r="15101" spans="1:16" x14ac:dyDescent="0.25">
      <c r="A15101" t="s">
        <v>3296</v>
      </c>
      <c r="B15101" t="s">
        <v>2931</v>
      </c>
      <c r="C15101">
        <v>13160</v>
      </c>
      <c r="D15101" t="str">
        <f>"56721       "</f>
        <v xml:space="preserve">56721       </v>
      </c>
      <c r="E15101" t="s">
        <v>1682</v>
      </c>
      <c r="F15101" t="s">
        <v>1683</v>
      </c>
      <c r="G15101">
        <v>195.03</v>
      </c>
      <c r="H15101">
        <v>250930</v>
      </c>
      <c r="I15101">
        <v>4470</v>
      </c>
      <c r="J15101" t="s">
        <v>203</v>
      </c>
      <c r="K15101">
        <v>195.03</v>
      </c>
      <c r="L15101">
        <v>39.630000000000003</v>
      </c>
      <c r="M15101">
        <v>53222</v>
      </c>
      <c r="N15101" t="s">
        <v>41</v>
      </c>
      <c r="O15101">
        <v>251006</v>
      </c>
      <c r="P15101">
        <v>155.4</v>
      </c>
    </row>
    <row r="15102" spans="1:16" x14ac:dyDescent="0.25">
      <c r="A15102" t="s">
        <v>3296</v>
      </c>
      <c r="B15102" t="s">
        <v>2931</v>
      </c>
      <c r="C15102">
        <v>2527</v>
      </c>
      <c r="D15102" t="str">
        <f>"4293        "</f>
        <v xml:space="preserve">4293        </v>
      </c>
      <c r="E15102" t="s">
        <v>1300</v>
      </c>
      <c r="F15102" t="s">
        <v>1301</v>
      </c>
      <c r="G15102">
        <v>86.6</v>
      </c>
      <c r="H15102">
        <v>250217</v>
      </c>
      <c r="I15102">
        <v>4600</v>
      </c>
      <c r="J15102" t="s">
        <v>278</v>
      </c>
      <c r="K15102">
        <v>86.6</v>
      </c>
      <c r="L15102">
        <v>17.600000000000001</v>
      </c>
      <c r="M15102">
        <v>13802</v>
      </c>
      <c r="N15102" t="s">
        <v>34</v>
      </c>
      <c r="O15102">
        <v>250303</v>
      </c>
      <c r="P15102">
        <v>69</v>
      </c>
    </row>
    <row r="15103" spans="1:16" x14ac:dyDescent="0.25">
      <c r="A15103" t="s">
        <v>3296</v>
      </c>
      <c r="B15103" t="s">
        <v>2931</v>
      </c>
      <c r="C15103">
        <v>1584</v>
      </c>
      <c r="D15103" t="str">
        <f>"250333      "</f>
        <v xml:space="preserve">250333      </v>
      </c>
      <c r="E15103" t="s">
        <v>1047</v>
      </c>
      <c r="F15103" t="s">
        <v>1048</v>
      </c>
      <c r="G15103">
        <v>87.85</v>
      </c>
      <c r="H15103">
        <v>250210</v>
      </c>
      <c r="I15103">
        <v>4400</v>
      </c>
      <c r="J15103" t="s">
        <v>162</v>
      </c>
      <c r="K15103">
        <v>87.85</v>
      </c>
      <c r="L15103">
        <v>17.850000000000001</v>
      </c>
      <c r="M15103">
        <v>17804</v>
      </c>
      <c r="N15103" t="s">
        <v>20</v>
      </c>
      <c r="O15103">
        <v>250211</v>
      </c>
      <c r="P15103">
        <v>70</v>
      </c>
    </row>
    <row r="15104" spans="1:16" x14ac:dyDescent="0.25">
      <c r="A15104" t="s">
        <v>3296</v>
      </c>
      <c r="B15104" t="s">
        <v>2931</v>
      </c>
      <c r="C15104">
        <v>10058</v>
      </c>
      <c r="D15104" t="str">
        <f>"252095      "</f>
        <v xml:space="preserve">252095      </v>
      </c>
      <c r="E15104" t="s">
        <v>1047</v>
      </c>
      <c r="F15104" t="s">
        <v>1048</v>
      </c>
      <c r="G15104">
        <v>1244.96</v>
      </c>
      <c r="H15104">
        <v>250731</v>
      </c>
      <c r="I15104">
        <v>4580</v>
      </c>
      <c r="J15104" t="s">
        <v>126</v>
      </c>
      <c r="K15104">
        <v>1244.96</v>
      </c>
      <c r="L15104">
        <v>252.96</v>
      </c>
      <c r="M15104">
        <v>47522</v>
      </c>
      <c r="N15104" t="s">
        <v>106</v>
      </c>
      <c r="O15104">
        <v>250811</v>
      </c>
      <c r="P15104">
        <v>992</v>
      </c>
    </row>
    <row r="15105" spans="1:16" x14ac:dyDescent="0.25">
      <c r="A15105" t="s">
        <v>3296</v>
      </c>
      <c r="B15105" t="s">
        <v>2931</v>
      </c>
      <c r="C15105">
        <v>15902</v>
      </c>
      <c r="D15105" t="str">
        <f>"253657      "</f>
        <v xml:space="preserve">253657      </v>
      </c>
      <c r="E15105" t="s">
        <v>1047</v>
      </c>
      <c r="F15105" t="s">
        <v>1048</v>
      </c>
      <c r="G15105">
        <v>1292.6500000000001</v>
      </c>
      <c r="H15105">
        <v>251126</v>
      </c>
      <c r="I15105">
        <v>4580</v>
      </c>
      <c r="J15105" t="s">
        <v>126</v>
      </c>
      <c r="K15105">
        <v>1292.6500000000001</v>
      </c>
      <c r="L15105">
        <v>262.64999999999998</v>
      </c>
      <c r="M15105">
        <v>56560</v>
      </c>
      <c r="N15105" t="s">
        <v>52</v>
      </c>
      <c r="O15105">
        <v>251128</v>
      </c>
      <c r="P15105">
        <v>1030</v>
      </c>
    </row>
    <row r="15106" spans="1:16" x14ac:dyDescent="0.25">
      <c r="A15106" t="s">
        <v>3296</v>
      </c>
      <c r="B15106" t="s">
        <v>2931</v>
      </c>
      <c r="C15106">
        <v>15339</v>
      </c>
      <c r="D15106" t="str">
        <f>"1251100051  "</f>
        <v xml:space="preserve">1251100051  </v>
      </c>
      <c r="E15106" t="s">
        <v>2576</v>
      </c>
      <c r="F15106" t="s">
        <v>2577</v>
      </c>
      <c r="G15106">
        <v>693.99</v>
      </c>
      <c r="H15106">
        <v>251113</v>
      </c>
      <c r="I15106">
        <v>4600</v>
      </c>
      <c r="J15106" t="s">
        <v>278</v>
      </c>
      <c r="K15106">
        <v>1613.94</v>
      </c>
      <c r="L15106">
        <v>141.01</v>
      </c>
      <c r="M15106">
        <v>66722</v>
      </c>
      <c r="N15106" t="s">
        <v>118</v>
      </c>
      <c r="O15106">
        <v>251119</v>
      </c>
      <c r="P15106">
        <v>552.98</v>
      </c>
    </row>
    <row r="15107" spans="1:16" x14ac:dyDescent="0.25">
      <c r="A15107" t="s">
        <v>3296</v>
      </c>
      <c r="B15107" t="s">
        <v>2931</v>
      </c>
      <c r="C15107">
        <v>15339</v>
      </c>
      <c r="D15107" t="str">
        <f>"1251100051  "</f>
        <v xml:space="preserve">1251100051  </v>
      </c>
      <c r="E15107" t="s">
        <v>2576</v>
      </c>
      <c r="F15107" t="s">
        <v>2577</v>
      </c>
      <c r="G15107">
        <v>110.39</v>
      </c>
      <c r="H15107">
        <v>251113</v>
      </c>
      <c r="I15107">
        <v>4600</v>
      </c>
      <c r="J15107" t="s">
        <v>278</v>
      </c>
      <c r="K15107">
        <v>1613.94</v>
      </c>
      <c r="L15107">
        <v>22.43</v>
      </c>
      <c r="M15107">
        <v>66760</v>
      </c>
      <c r="N15107" t="s">
        <v>2449</v>
      </c>
      <c r="O15107">
        <v>251119</v>
      </c>
      <c r="P15107">
        <v>87.96</v>
      </c>
    </row>
    <row r="15108" spans="1:16" x14ac:dyDescent="0.25">
      <c r="A15108" t="s">
        <v>3296</v>
      </c>
      <c r="B15108" t="s">
        <v>2931</v>
      </c>
      <c r="C15108">
        <v>15339</v>
      </c>
      <c r="D15108" t="str">
        <f>"1251100051  "</f>
        <v xml:space="preserve">1251100051  </v>
      </c>
      <c r="E15108" t="s">
        <v>2576</v>
      </c>
      <c r="F15108" t="s">
        <v>2577</v>
      </c>
      <c r="G15108">
        <v>809.56</v>
      </c>
      <c r="H15108">
        <v>251113</v>
      </c>
      <c r="I15108">
        <v>4600</v>
      </c>
      <c r="J15108" t="s">
        <v>278</v>
      </c>
      <c r="K15108">
        <v>1613.94</v>
      </c>
      <c r="L15108">
        <v>164.49</v>
      </c>
      <c r="M15108">
        <v>66760</v>
      </c>
      <c r="N15108" t="s">
        <v>2449</v>
      </c>
      <c r="O15108">
        <v>251119</v>
      </c>
      <c r="P15108">
        <v>645.07000000000005</v>
      </c>
    </row>
    <row r="15109" spans="1:16" x14ac:dyDescent="0.25">
      <c r="A15109" t="s">
        <v>3296</v>
      </c>
      <c r="B15109" t="s">
        <v>2931</v>
      </c>
      <c r="C15109">
        <v>15736</v>
      </c>
      <c r="D15109" t="str">
        <f>"1251100071  "</f>
        <v xml:space="preserve">1251100071  </v>
      </c>
      <c r="E15109" t="s">
        <v>2576</v>
      </c>
      <c r="F15109" t="s">
        <v>2577</v>
      </c>
      <c r="G15109">
        <v>91.9</v>
      </c>
      <c r="H15109">
        <v>251118</v>
      </c>
      <c r="I15109">
        <v>4600</v>
      </c>
      <c r="J15109" t="s">
        <v>278</v>
      </c>
      <c r="K15109">
        <v>427.42</v>
      </c>
      <c r="L15109">
        <v>18.670000000000002</v>
      </c>
      <c r="M15109">
        <v>66722</v>
      </c>
      <c r="N15109" t="s">
        <v>118</v>
      </c>
      <c r="O15109">
        <v>251126</v>
      </c>
      <c r="P15109">
        <v>73.23</v>
      </c>
    </row>
    <row r="15110" spans="1:16" x14ac:dyDescent="0.25">
      <c r="A15110" t="s">
        <v>3296</v>
      </c>
      <c r="B15110" t="s">
        <v>2931</v>
      </c>
      <c r="C15110">
        <v>15736</v>
      </c>
      <c r="D15110" t="str">
        <f>"1251100071  "</f>
        <v xml:space="preserve">1251100071  </v>
      </c>
      <c r="E15110" t="s">
        <v>2576</v>
      </c>
      <c r="F15110" t="s">
        <v>2577</v>
      </c>
      <c r="G15110">
        <v>213.71</v>
      </c>
      <c r="H15110">
        <v>251118</v>
      </c>
      <c r="I15110">
        <v>4600</v>
      </c>
      <c r="J15110" t="s">
        <v>278</v>
      </c>
      <c r="K15110">
        <v>427.42</v>
      </c>
      <c r="L15110">
        <v>43.42</v>
      </c>
      <c r="M15110">
        <v>66754</v>
      </c>
      <c r="N15110" t="s">
        <v>119</v>
      </c>
      <c r="O15110">
        <v>251126</v>
      </c>
      <c r="P15110">
        <v>170.29</v>
      </c>
    </row>
    <row r="15111" spans="1:16" x14ac:dyDescent="0.25">
      <c r="A15111" t="s">
        <v>3296</v>
      </c>
      <c r="B15111" t="s">
        <v>2931</v>
      </c>
      <c r="C15111">
        <v>15736</v>
      </c>
      <c r="D15111" t="str">
        <f>"1251100071  "</f>
        <v xml:space="preserve">1251100071  </v>
      </c>
      <c r="E15111" t="s">
        <v>2576</v>
      </c>
      <c r="F15111" t="s">
        <v>2577</v>
      </c>
      <c r="G15111">
        <v>12.18</v>
      </c>
      <c r="H15111">
        <v>251118</v>
      </c>
      <c r="I15111">
        <v>4600</v>
      </c>
      <c r="J15111" t="s">
        <v>278</v>
      </c>
      <c r="K15111">
        <v>427.42</v>
      </c>
      <c r="L15111">
        <v>2.4700000000000002</v>
      </c>
      <c r="M15111">
        <v>66760</v>
      </c>
      <c r="N15111" t="s">
        <v>2449</v>
      </c>
      <c r="O15111">
        <v>251126</v>
      </c>
      <c r="P15111">
        <v>9.7100000000000009</v>
      </c>
    </row>
    <row r="15112" spans="1:16" x14ac:dyDescent="0.25">
      <c r="A15112" t="s">
        <v>3296</v>
      </c>
      <c r="B15112" t="s">
        <v>2931</v>
      </c>
      <c r="C15112">
        <v>15736</v>
      </c>
      <c r="D15112" t="str">
        <f>"1251100071  "</f>
        <v xml:space="preserve">1251100071  </v>
      </c>
      <c r="E15112" t="s">
        <v>2576</v>
      </c>
      <c r="F15112" t="s">
        <v>2577</v>
      </c>
      <c r="G15112">
        <v>109.63</v>
      </c>
      <c r="H15112">
        <v>251118</v>
      </c>
      <c r="I15112">
        <v>4600</v>
      </c>
      <c r="J15112" t="s">
        <v>278</v>
      </c>
      <c r="K15112">
        <v>427.42</v>
      </c>
      <c r="L15112">
        <v>22.28</v>
      </c>
      <c r="M15112">
        <v>66760</v>
      </c>
      <c r="N15112" t="s">
        <v>2449</v>
      </c>
      <c r="O15112">
        <v>251126</v>
      </c>
      <c r="P15112">
        <v>87.35</v>
      </c>
    </row>
    <row r="15113" spans="1:16" x14ac:dyDescent="0.25">
      <c r="A15113" t="s">
        <v>3296</v>
      </c>
      <c r="B15113" t="s">
        <v>2931</v>
      </c>
      <c r="C15113">
        <v>12313</v>
      </c>
      <c r="D15113" t="str">
        <f>"9942        "</f>
        <v xml:space="preserve">9942        </v>
      </c>
      <c r="E15113" t="s">
        <v>2340</v>
      </c>
      <c r="F15113" t="s">
        <v>2341</v>
      </c>
      <c r="G15113">
        <v>388.95</v>
      </c>
      <c r="H15113">
        <v>250916</v>
      </c>
      <c r="I15113">
        <v>4600</v>
      </c>
      <c r="J15113" t="s">
        <v>278</v>
      </c>
      <c r="K15113">
        <v>388.95</v>
      </c>
      <c r="L15113">
        <v>79.03</v>
      </c>
      <c r="M15113">
        <v>66756</v>
      </c>
      <c r="N15113" t="s">
        <v>120</v>
      </c>
      <c r="O15113">
        <v>250919</v>
      </c>
      <c r="P15113">
        <v>309.92</v>
      </c>
    </row>
    <row r="15114" spans="1:16" x14ac:dyDescent="0.25">
      <c r="A15114" t="s">
        <v>3296</v>
      </c>
      <c r="B15114" t="s">
        <v>2931</v>
      </c>
      <c r="C15114">
        <v>256</v>
      </c>
      <c r="D15114" t="str">
        <f>"9446        "</f>
        <v xml:space="preserve">9446        </v>
      </c>
      <c r="E15114" t="s">
        <v>385</v>
      </c>
      <c r="F15114" t="s">
        <v>386</v>
      </c>
      <c r="G15114">
        <v>233.44</v>
      </c>
      <c r="H15114">
        <v>250112</v>
      </c>
      <c r="I15114">
        <v>4400</v>
      </c>
      <c r="J15114" t="s">
        <v>162</v>
      </c>
      <c r="K15114">
        <v>233.44</v>
      </c>
      <c r="L15114">
        <v>0</v>
      </c>
      <c r="M15114">
        <v>59504</v>
      </c>
      <c r="N15114" t="s">
        <v>193</v>
      </c>
      <c r="O15114">
        <v>250120</v>
      </c>
      <c r="P15114">
        <v>233.44</v>
      </c>
    </row>
    <row r="15115" spans="1:16" x14ac:dyDescent="0.25">
      <c r="A15115" t="s">
        <v>3296</v>
      </c>
      <c r="B15115" t="s">
        <v>2931</v>
      </c>
      <c r="C15115">
        <v>1171</v>
      </c>
      <c r="D15115" t="str">
        <f>"9474        "</f>
        <v xml:space="preserve">9474        </v>
      </c>
      <c r="E15115" t="s">
        <v>385</v>
      </c>
      <c r="F15115" t="s">
        <v>386</v>
      </c>
      <c r="G15115">
        <v>455.88</v>
      </c>
      <c r="H15115">
        <v>250123</v>
      </c>
      <c r="I15115">
        <v>4400</v>
      </c>
      <c r="J15115" t="s">
        <v>162</v>
      </c>
      <c r="K15115">
        <v>455.88</v>
      </c>
      <c r="L15115">
        <v>0</v>
      </c>
      <c r="M15115">
        <v>59504</v>
      </c>
      <c r="N15115" t="s">
        <v>193</v>
      </c>
      <c r="O15115">
        <v>250205</v>
      </c>
      <c r="P15115">
        <v>455.88</v>
      </c>
    </row>
    <row r="15116" spans="1:16" x14ac:dyDescent="0.25">
      <c r="A15116" t="s">
        <v>3296</v>
      </c>
      <c r="B15116" t="s">
        <v>2931</v>
      </c>
      <c r="C15116">
        <v>11214</v>
      </c>
      <c r="D15116" t="str">
        <f>"1995375     "</f>
        <v xml:space="preserve">1995375     </v>
      </c>
      <c r="E15116" t="s">
        <v>549</v>
      </c>
      <c r="F15116" t="s">
        <v>550</v>
      </c>
      <c r="G15116">
        <v>10.99</v>
      </c>
      <c r="H15116">
        <v>250831</v>
      </c>
      <c r="I15116">
        <v>4500</v>
      </c>
      <c r="J15116" t="s">
        <v>312</v>
      </c>
      <c r="K15116">
        <v>10.99</v>
      </c>
      <c r="L15116">
        <v>2.23</v>
      </c>
      <c r="M15116">
        <v>17971</v>
      </c>
      <c r="N15116" t="s">
        <v>27</v>
      </c>
      <c r="O15116">
        <v>250902</v>
      </c>
      <c r="P15116">
        <v>8.76</v>
      </c>
    </row>
    <row r="15117" spans="1:16" x14ac:dyDescent="0.25">
      <c r="A15117" t="s">
        <v>3296</v>
      </c>
      <c r="B15117" t="s">
        <v>2931</v>
      </c>
      <c r="C15117">
        <v>1151</v>
      </c>
      <c r="D15117" t="str">
        <f>"1617819     "</f>
        <v xml:space="preserve">1617819     </v>
      </c>
      <c r="E15117" t="s">
        <v>549</v>
      </c>
      <c r="F15117" t="s">
        <v>550</v>
      </c>
      <c r="G15117">
        <v>23.97</v>
      </c>
      <c r="H15117">
        <v>250131</v>
      </c>
      <c r="I15117">
        <v>4530</v>
      </c>
      <c r="J15117" t="s">
        <v>293</v>
      </c>
      <c r="K15117">
        <v>23.97</v>
      </c>
      <c r="L15117">
        <v>4.87</v>
      </c>
      <c r="M15117">
        <v>17971</v>
      </c>
      <c r="N15117" t="s">
        <v>27</v>
      </c>
      <c r="O15117">
        <v>250205</v>
      </c>
      <c r="P15117">
        <v>19.100000000000001</v>
      </c>
    </row>
    <row r="15118" spans="1:16" x14ac:dyDescent="0.25">
      <c r="A15118" t="s">
        <v>3296</v>
      </c>
      <c r="B15118" t="s">
        <v>2931</v>
      </c>
      <c r="C15118">
        <v>17241</v>
      </c>
      <c r="D15118" t="str">
        <f>"2172974     "</f>
        <v xml:space="preserve">2172974     </v>
      </c>
      <c r="E15118" t="s">
        <v>549</v>
      </c>
      <c r="F15118" t="s">
        <v>550</v>
      </c>
      <c r="G15118">
        <v>8.99</v>
      </c>
      <c r="H15118">
        <v>251201</v>
      </c>
      <c r="I15118">
        <v>4572</v>
      </c>
      <c r="J15118" t="s">
        <v>173</v>
      </c>
      <c r="K15118">
        <v>1452.52</v>
      </c>
      <c r="L15118">
        <v>1.83</v>
      </c>
      <c r="M15118">
        <v>59504</v>
      </c>
      <c r="N15118" t="s">
        <v>193</v>
      </c>
      <c r="O15118">
        <v>251218</v>
      </c>
      <c r="P15118">
        <v>7.16</v>
      </c>
    </row>
    <row r="15119" spans="1:16" x14ac:dyDescent="0.25">
      <c r="A15119" t="s">
        <v>3296</v>
      </c>
      <c r="B15119" t="s">
        <v>2931</v>
      </c>
      <c r="C15119">
        <v>8786</v>
      </c>
      <c r="D15119" t="str">
        <f>"1819954     "</f>
        <v xml:space="preserve">1819954     </v>
      </c>
      <c r="E15119" t="s">
        <v>549</v>
      </c>
      <c r="F15119" t="s">
        <v>550</v>
      </c>
      <c r="G15119">
        <v>100</v>
      </c>
      <c r="H15119">
        <v>250531</v>
      </c>
      <c r="I15119">
        <v>4580</v>
      </c>
      <c r="J15119" t="s">
        <v>126</v>
      </c>
      <c r="K15119">
        <v>100</v>
      </c>
      <c r="L15119">
        <v>20.32</v>
      </c>
      <c r="M15119">
        <v>17951</v>
      </c>
      <c r="N15119" t="s">
        <v>207</v>
      </c>
      <c r="O15119">
        <v>250618</v>
      </c>
      <c r="P15119">
        <v>79.680000000000007</v>
      </c>
    </row>
    <row r="15120" spans="1:16" x14ac:dyDescent="0.25">
      <c r="A15120" t="s">
        <v>3296</v>
      </c>
      <c r="B15120" t="s">
        <v>2931</v>
      </c>
      <c r="C15120">
        <v>12073</v>
      </c>
      <c r="D15120" t="str">
        <f>"1997269     "</f>
        <v xml:space="preserve">1997269     </v>
      </c>
      <c r="E15120" t="s">
        <v>549</v>
      </c>
      <c r="F15120" t="s">
        <v>550</v>
      </c>
      <c r="G15120">
        <v>162.88999999999999</v>
      </c>
      <c r="H15120">
        <v>250831</v>
      </c>
      <c r="I15120">
        <v>4580</v>
      </c>
      <c r="J15120" t="s">
        <v>126</v>
      </c>
      <c r="K15120">
        <v>1084.29</v>
      </c>
      <c r="L15120">
        <v>33.1</v>
      </c>
      <c r="M15120">
        <v>56559</v>
      </c>
      <c r="N15120" t="s">
        <v>51</v>
      </c>
      <c r="O15120">
        <v>250916</v>
      </c>
      <c r="P15120">
        <v>129.79</v>
      </c>
    </row>
    <row r="15121" spans="1:16" x14ac:dyDescent="0.25">
      <c r="A15121" t="s">
        <v>3296</v>
      </c>
      <c r="B15121" t="s">
        <v>2931</v>
      </c>
      <c r="C15121">
        <v>12073</v>
      </c>
      <c r="D15121" t="str">
        <f>"1997269     "</f>
        <v xml:space="preserve">1997269     </v>
      </c>
      <c r="E15121" t="s">
        <v>549</v>
      </c>
      <c r="F15121" t="s">
        <v>550</v>
      </c>
      <c r="G15121">
        <v>151.38</v>
      </c>
      <c r="H15121">
        <v>250831</v>
      </c>
      <c r="I15121">
        <v>4580</v>
      </c>
      <c r="J15121" t="s">
        <v>126</v>
      </c>
      <c r="K15121">
        <v>1084.29</v>
      </c>
      <c r="L15121">
        <v>30.76</v>
      </c>
      <c r="M15121">
        <v>56562</v>
      </c>
      <c r="N15121" t="s">
        <v>54</v>
      </c>
      <c r="O15121">
        <v>250916</v>
      </c>
      <c r="P15121">
        <v>120.62</v>
      </c>
    </row>
    <row r="15122" spans="1:16" x14ac:dyDescent="0.25">
      <c r="A15122" t="s">
        <v>3296</v>
      </c>
      <c r="B15122" t="s">
        <v>2931</v>
      </c>
      <c r="C15122">
        <v>12073</v>
      </c>
      <c r="D15122" t="str">
        <f>"1997269     "</f>
        <v xml:space="preserve">1997269     </v>
      </c>
      <c r="E15122" t="s">
        <v>549</v>
      </c>
      <c r="F15122" t="s">
        <v>550</v>
      </c>
      <c r="G15122">
        <v>119</v>
      </c>
      <c r="H15122">
        <v>250831</v>
      </c>
      <c r="I15122">
        <v>4580</v>
      </c>
      <c r="J15122" t="s">
        <v>126</v>
      </c>
      <c r="K15122">
        <v>1084.29</v>
      </c>
      <c r="L15122">
        <v>24.18</v>
      </c>
      <c r="M15122">
        <v>56565</v>
      </c>
      <c r="N15122" t="s">
        <v>57</v>
      </c>
      <c r="O15122">
        <v>250916</v>
      </c>
      <c r="P15122">
        <v>94.82</v>
      </c>
    </row>
    <row r="15123" spans="1:16" x14ac:dyDescent="0.25">
      <c r="A15123" t="s">
        <v>3296</v>
      </c>
      <c r="B15123" t="s">
        <v>2931</v>
      </c>
      <c r="C15123">
        <v>14562</v>
      </c>
      <c r="D15123" t="str">
        <f>"2114853     "</f>
        <v xml:space="preserve">2114853     </v>
      </c>
      <c r="E15123" t="s">
        <v>549</v>
      </c>
      <c r="F15123" t="s">
        <v>550</v>
      </c>
      <c r="G15123">
        <v>125</v>
      </c>
      <c r="H15123">
        <v>251031</v>
      </c>
      <c r="I15123">
        <v>4580</v>
      </c>
      <c r="J15123" t="s">
        <v>126</v>
      </c>
      <c r="K15123">
        <v>339.98</v>
      </c>
      <c r="L15123">
        <v>25.4</v>
      </c>
      <c r="M15123">
        <v>17711</v>
      </c>
      <c r="N15123" t="s">
        <v>155</v>
      </c>
      <c r="O15123">
        <v>251104</v>
      </c>
      <c r="P15123">
        <v>99.6</v>
      </c>
    </row>
    <row r="15124" spans="1:16" x14ac:dyDescent="0.25">
      <c r="A15124" t="s">
        <v>3296</v>
      </c>
      <c r="B15124" t="s">
        <v>2931</v>
      </c>
      <c r="C15124">
        <v>15331</v>
      </c>
      <c r="D15124" t="str">
        <f>"2116667     "</f>
        <v xml:space="preserve">2116667     </v>
      </c>
      <c r="E15124" t="s">
        <v>549</v>
      </c>
      <c r="F15124" t="s">
        <v>550</v>
      </c>
      <c r="G15124">
        <v>91.9</v>
      </c>
      <c r="H15124">
        <v>251031</v>
      </c>
      <c r="I15124">
        <v>4580</v>
      </c>
      <c r="J15124" t="s">
        <v>126</v>
      </c>
      <c r="K15124">
        <v>957.36</v>
      </c>
      <c r="L15124">
        <v>18.670000000000002</v>
      </c>
      <c r="M15124">
        <v>56562</v>
      </c>
      <c r="N15124" t="s">
        <v>54</v>
      </c>
      <c r="O15124">
        <v>251119</v>
      </c>
      <c r="P15124">
        <v>73.23</v>
      </c>
    </row>
    <row r="15125" spans="1:16" x14ac:dyDescent="0.25">
      <c r="A15125" t="s">
        <v>3296</v>
      </c>
      <c r="B15125" t="s">
        <v>2931</v>
      </c>
      <c r="C15125">
        <v>15331</v>
      </c>
      <c r="D15125" t="str">
        <f>"2116667     "</f>
        <v xml:space="preserve">2116667     </v>
      </c>
      <c r="E15125" t="s">
        <v>549</v>
      </c>
      <c r="F15125" t="s">
        <v>550</v>
      </c>
      <c r="G15125">
        <v>107.97</v>
      </c>
      <c r="H15125">
        <v>251031</v>
      </c>
      <c r="I15125">
        <v>4580</v>
      </c>
      <c r="J15125" t="s">
        <v>126</v>
      </c>
      <c r="K15125">
        <v>957.36</v>
      </c>
      <c r="L15125">
        <v>21.94</v>
      </c>
      <c r="M15125">
        <v>56565</v>
      </c>
      <c r="N15125" t="s">
        <v>57</v>
      </c>
      <c r="O15125">
        <v>251119</v>
      </c>
      <c r="P15125">
        <v>86.03</v>
      </c>
    </row>
    <row r="15126" spans="1:16" x14ac:dyDescent="0.25">
      <c r="A15126" t="s">
        <v>3296</v>
      </c>
      <c r="B15126" t="s">
        <v>2931</v>
      </c>
      <c r="C15126">
        <v>15331</v>
      </c>
      <c r="D15126" t="str">
        <f>"2116667     "</f>
        <v xml:space="preserve">2116667     </v>
      </c>
      <c r="E15126" t="s">
        <v>549</v>
      </c>
      <c r="F15126" t="s">
        <v>550</v>
      </c>
      <c r="G15126">
        <v>92.85</v>
      </c>
      <c r="H15126">
        <v>251031</v>
      </c>
      <c r="I15126">
        <v>4580</v>
      </c>
      <c r="J15126" t="s">
        <v>126</v>
      </c>
      <c r="K15126">
        <v>957.36</v>
      </c>
      <c r="L15126">
        <v>18.87</v>
      </c>
      <c r="M15126">
        <v>59501</v>
      </c>
      <c r="N15126" t="s">
        <v>62</v>
      </c>
      <c r="O15126">
        <v>251119</v>
      </c>
      <c r="P15126">
        <v>73.98</v>
      </c>
    </row>
    <row r="15127" spans="1:16" x14ac:dyDescent="0.25">
      <c r="A15127" t="s">
        <v>3296</v>
      </c>
      <c r="B15127" t="s">
        <v>2931</v>
      </c>
      <c r="C15127">
        <v>18295</v>
      </c>
      <c r="D15127" t="str">
        <f>"2229284     "</f>
        <v xml:space="preserve">2229284     </v>
      </c>
      <c r="E15127" t="s">
        <v>549</v>
      </c>
      <c r="F15127" t="s">
        <v>550</v>
      </c>
      <c r="G15127">
        <v>180.55</v>
      </c>
      <c r="H15127">
        <v>251231</v>
      </c>
      <c r="I15127">
        <v>4580</v>
      </c>
      <c r="J15127" t="s">
        <v>126</v>
      </c>
      <c r="K15127">
        <v>1073.18</v>
      </c>
      <c r="L15127">
        <v>36.69</v>
      </c>
      <c r="M15127">
        <v>56528</v>
      </c>
      <c r="N15127" t="s">
        <v>70</v>
      </c>
      <c r="O15127">
        <v>260113</v>
      </c>
      <c r="P15127">
        <v>143.86000000000001</v>
      </c>
    </row>
    <row r="15128" spans="1:16" x14ac:dyDescent="0.25">
      <c r="A15128" t="s">
        <v>3296</v>
      </c>
      <c r="B15128" t="s">
        <v>2931</v>
      </c>
      <c r="C15128">
        <v>490</v>
      </c>
      <c r="D15128" t="str">
        <f>"1576874     "</f>
        <v xml:space="preserve">1576874     </v>
      </c>
      <c r="E15128" t="s">
        <v>549</v>
      </c>
      <c r="F15128" t="s">
        <v>550</v>
      </c>
      <c r="G15128">
        <v>138.88999999999999</v>
      </c>
      <c r="H15128">
        <v>250101</v>
      </c>
      <c r="I15128">
        <v>4590</v>
      </c>
      <c r="J15128" t="s">
        <v>388</v>
      </c>
      <c r="K15128">
        <v>823.32</v>
      </c>
      <c r="L15128">
        <v>28.22</v>
      </c>
      <c r="M15128">
        <v>56551</v>
      </c>
      <c r="N15128" t="s">
        <v>551</v>
      </c>
      <c r="O15128">
        <v>250123</v>
      </c>
      <c r="P15128">
        <v>110.67</v>
      </c>
    </row>
    <row r="15129" spans="1:16" x14ac:dyDescent="0.25">
      <c r="A15129" t="s">
        <v>3296</v>
      </c>
      <c r="B15129" t="s">
        <v>2931</v>
      </c>
      <c r="C15129">
        <v>490</v>
      </c>
      <c r="D15129" t="str">
        <f>"1576874     "</f>
        <v xml:space="preserve">1576874     </v>
      </c>
      <c r="E15129" t="s">
        <v>549</v>
      </c>
      <c r="F15129" t="s">
        <v>550</v>
      </c>
      <c r="G15129">
        <v>93.27</v>
      </c>
      <c r="H15129">
        <v>250101</v>
      </c>
      <c r="I15129">
        <v>4590</v>
      </c>
      <c r="J15129" t="s">
        <v>388</v>
      </c>
      <c r="K15129">
        <v>823.32</v>
      </c>
      <c r="L15129">
        <v>18.95</v>
      </c>
      <c r="M15129">
        <v>56562</v>
      </c>
      <c r="N15129" t="s">
        <v>54</v>
      </c>
      <c r="O15129">
        <v>250123</v>
      </c>
      <c r="P15129">
        <v>74.319999999999993</v>
      </c>
    </row>
    <row r="15130" spans="1:16" x14ac:dyDescent="0.25">
      <c r="A15130" t="s">
        <v>3296</v>
      </c>
      <c r="B15130" t="s">
        <v>2931</v>
      </c>
      <c r="C15130">
        <v>1905</v>
      </c>
      <c r="D15130" t="str">
        <f>"1619592     "</f>
        <v xml:space="preserve">1619592     </v>
      </c>
      <c r="E15130" t="s">
        <v>549</v>
      </c>
      <c r="F15130" t="s">
        <v>550</v>
      </c>
      <c r="G15130">
        <v>83.22</v>
      </c>
      <c r="H15130">
        <v>250131</v>
      </c>
      <c r="I15130">
        <v>4590</v>
      </c>
      <c r="J15130" t="s">
        <v>388</v>
      </c>
      <c r="K15130">
        <v>812.66</v>
      </c>
      <c r="L15130">
        <v>16.91</v>
      </c>
      <c r="M15130">
        <v>56551</v>
      </c>
      <c r="N15130" t="s">
        <v>551</v>
      </c>
      <c r="O15130">
        <v>250217</v>
      </c>
      <c r="P15130">
        <v>66.31</v>
      </c>
    </row>
    <row r="15131" spans="1:16" x14ac:dyDescent="0.25">
      <c r="A15131" t="s">
        <v>3296</v>
      </c>
      <c r="B15131" t="s">
        <v>2931</v>
      </c>
      <c r="C15131">
        <v>1905</v>
      </c>
      <c r="D15131" t="str">
        <f>"1619592     "</f>
        <v xml:space="preserve">1619592     </v>
      </c>
      <c r="E15131" t="s">
        <v>549</v>
      </c>
      <c r="F15131" t="s">
        <v>550</v>
      </c>
      <c r="G15131">
        <v>312.58999999999997</v>
      </c>
      <c r="H15131">
        <v>250131</v>
      </c>
      <c r="I15131">
        <v>4590</v>
      </c>
      <c r="J15131" t="s">
        <v>388</v>
      </c>
      <c r="K15131">
        <v>812.66</v>
      </c>
      <c r="L15131">
        <v>63.51</v>
      </c>
      <c r="M15131">
        <v>56561</v>
      </c>
      <c r="N15131" t="s">
        <v>53</v>
      </c>
      <c r="O15131">
        <v>250217</v>
      </c>
      <c r="P15131">
        <v>249.08</v>
      </c>
    </row>
    <row r="15132" spans="1:16" x14ac:dyDescent="0.25">
      <c r="A15132" t="s">
        <v>3296</v>
      </c>
      <c r="B15132" t="s">
        <v>2931</v>
      </c>
      <c r="C15132">
        <v>1905</v>
      </c>
      <c r="D15132" t="str">
        <f>"1619592     "</f>
        <v xml:space="preserve">1619592     </v>
      </c>
      <c r="E15132" t="s">
        <v>549</v>
      </c>
      <c r="F15132" t="s">
        <v>550</v>
      </c>
      <c r="G15132">
        <v>172.32</v>
      </c>
      <c r="H15132">
        <v>250131</v>
      </c>
      <c r="I15132">
        <v>4590</v>
      </c>
      <c r="J15132" t="s">
        <v>388</v>
      </c>
      <c r="K15132">
        <v>812.66</v>
      </c>
      <c r="L15132">
        <v>35.01</v>
      </c>
      <c r="M15132">
        <v>56562</v>
      </c>
      <c r="N15132" t="s">
        <v>54</v>
      </c>
      <c r="O15132">
        <v>250217</v>
      </c>
      <c r="P15132">
        <v>137.31</v>
      </c>
    </row>
    <row r="15133" spans="1:16" x14ac:dyDescent="0.25">
      <c r="A15133" t="s">
        <v>3296</v>
      </c>
      <c r="B15133" t="s">
        <v>2931</v>
      </c>
      <c r="C15133">
        <v>1905</v>
      </c>
      <c r="D15133" t="str">
        <f>"1619592     "</f>
        <v xml:space="preserve">1619592     </v>
      </c>
      <c r="E15133" t="s">
        <v>549</v>
      </c>
      <c r="F15133" t="s">
        <v>550</v>
      </c>
      <c r="G15133">
        <v>195.01</v>
      </c>
      <c r="H15133">
        <v>250131</v>
      </c>
      <c r="I15133">
        <v>4590</v>
      </c>
      <c r="J15133" t="s">
        <v>388</v>
      </c>
      <c r="K15133">
        <v>812.66</v>
      </c>
      <c r="L15133">
        <v>39.619999999999997</v>
      </c>
      <c r="M15133">
        <v>56562</v>
      </c>
      <c r="N15133" t="s">
        <v>54</v>
      </c>
      <c r="O15133">
        <v>250217</v>
      </c>
      <c r="P15133">
        <v>155.38999999999999</v>
      </c>
    </row>
    <row r="15134" spans="1:16" x14ac:dyDescent="0.25">
      <c r="A15134" t="s">
        <v>3296</v>
      </c>
      <c r="B15134" t="s">
        <v>2931</v>
      </c>
      <c r="C15134">
        <v>2751</v>
      </c>
      <c r="D15134" t="str">
        <f>"1658882     "</f>
        <v xml:space="preserve">1658882     </v>
      </c>
      <c r="E15134" t="s">
        <v>549</v>
      </c>
      <c r="F15134" t="s">
        <v>550</v>
      </c>
      <c r="G15134">
        <v>64.38</v>
      </c>
      <c r="H15134">
        <v>250228</v>
      </c>
      <c r="I15134">
        <v>4590</v>
      </c>
      <c r="J15134" t="s">
        <v>388</v>
      </c>
      <c r="K15134">
        <v>1090.01</v>
      </c>
      <c r="L15134">
        <v>13.08</v>
      </c>
      <c r="M15134">
        <v>56522</v>
      </c>
      <c r="N15134" t="s">
        <v>68</v>
      </c>
      <c r="O15134">
        <v>250311</v>
      </c>
      <c r="P15134">
        <v>51.3</v>
      </c>
    </row>
    <row r="15135" spans="1:16" x14ac:dyDescent="0.25">
      <c r="A15135" t="s">
        <v>3296</v>
      </c>
      <c r="B15135" t="s">
        <v>2931</v>
      </c>
      <c r="C15135">
        <v>2751</v>
      </c>
      <c r="D15135" t="str">
        <f>"1658882     "</f>
        <v xml:space="preserve">1658882     </v>
      </c>
      <c r="E15135" t="s">
        <v>549</v>
      </c>
      <c r="F15135" t="s">
        <v>550</v>
      </c>
      <c r="G15135">
        <v>379.51</v>
      </c>
      <c r="H15135">
        <v>250228</v>
      </c>
      <c r="I15135">
        <v>4590</v>
      </c>
      <c r="J15135" t="s">
        <v>388</v>
      </c>
      <c r="K15135">
        <v>1090.01</v>
      </c>
      <c r="L15135">
        <v>77.11</v>
      </c>
      <c r="M15135">
        <v>56562</v>
      </c>
      <c r="N15135" t="s">
        <v>54</v>
      </c>
      <c r="O15135">
        <v>250311</v>
      </c>
      <c r="P15135">
        <v>302.39999999999998</v>
      </c>
    </row>
    <row r="15136" spans="1:16" x14ac:dyDescent="0.25">
      <c r="A15136" t="s">
        <v>3296</v>
      </c>
      <c r="B15136" t="s">
        <v>2931</v>
      </c>
      <c r="C15136">
        <v>6937</v>
      </c>
      <c r="D15136" t="str">
        <f>"1759325     "</f>
        <v xml:space="preserve">1759325     </v>
      </c>
      <c r="E15136" t="s">
        <v>549</v>
      </c>
      <c r="F15136" t="s">
        <v>550</v>
      </c>
      <c r="G15136">
        <v>34.299999999999997</v>
      </c>
      <c r="H15136">
        <v>250501</v>
      </c>
      <c r="I15136">
        <v>4590</v>
      </c>
      <c r="J15136" t="s">
        <v>388</v>
      </c>
      <c r="K15136">
        <v>855.76</v>
      </c>
      <c r="L15136">
        <v>6.97</v>
      </c>
      <c r="M15136">
        <v>56551</v>
      </c>
      <c r="N15136" t="s">
        <v>551</v>
      </c>
      <c r="O15136">
        <v>250521</v>
      </c>
      <c r="P15136">
        <v>27.33</v>
      </c>
    </row>
    <row r="15137" spans="1:16" x14ac:dyDescent="0.25">
      <c r="A15137" t="s">
        <v>3296</v>
      </c>
      <c r="B15137" t="s">
        <v>2931</v>
      </c>
      <c r="C15137">
        <v>6937</v>
      </c>
      <c r="D15137" t="str">
        <f>"1759325     "</f>
        <v xml:space="preserve">1759325     </v>
      </c>
      <c r="E15137" t="s">
        <v>549</v>
      </c>
      <c r="F15137" t="s">
        <v>550</v>
      </c>
      <c r="G15137">
        <v>42.58</v>
      </c>
      <c r="H15137">
        <v>250501</v>
      </c>
      <c r="I15137">
        <v>4590</v>
      </c>
      <c r="J15137" t="s">
        <v>388</v>
      </c>
      <c r="K15137">
        <v>855.76</v>
      </c>
      <c r="L15137">
        <v>8.65</v>
      </c>
      <c r="M15137">
        <v>56551</v>
      </c>
      <c r="N15137" t="s">
        <v>551</v>
      </c>
      <c r="O15137">
        <v>250521</v>
      </c>
      <c r="P15137">
        <v>33.93</v>
      </c>
    </row>
    <row r="15138" spans="1:16" x14ac:dyDescent="0.25">
      <c r="A15138" t="s">
        <v>3296</v>
      </c>
      <c r="B15138" t="s">
        <v>2931</v>
      </c>
      <c r="C15138">
        <v>6937</v>
      </c>
      <c r="D15138" t="str">
        <f>"1759325     "</f>
        <v xml:space="preserve">1759325     </v>
      </c>
      <c r="E15138" t="s">
        <v>549</v>
      </c>
      <c r="F15138" t="s">
        <v>550</v>
      </c>
      <c r="G15138">
        <v>89.15</v>
      </c>
      <c r="H15138">
        <v>250501</v>
      </c>
      <c r="I15138">
        <v>4590</v>
      </c>
      <c r="J15138" t="s">
        <v>388</v>
      </c>
      <c r="K15138">
        <v>855.76</v>
      </c>
      <c r="L15138">
        <v>18.11</v>
      </c>
      <c r="M15138">
        <v>56561</v>
      </c>
      <c r="N15138" t="s">
        <v>53</v>
      </c>
      <c r="O15138">
        <v>250521</v>
      </c>
      <c r="P15138">
        <v>71.040000000000006</v>
      </c>
    </row>
    <row r="15139" spans="1:16" x14ac:dyDescent="0.25">
      <c r="A15139" t="s">
        <v>3296</v>
      </c>
      <c r="B15139" t="s">
        <v>2931</v>
      </c>
      <c r="C15139">
        <v>6937</v>
      </c>
      <c r="D15139" t="str">
        <f>"1759325     "</f>
        <v xml:space="preserve">1759325     </v>
      </c>
      <c r="E15139" t="s">
        <v>549</v>
      </c>
      <c r="F15139" t="s">
        <v>550</v>
      </c>
      <c r="G15139">
        <v>86.24</v>
      </c>
      <c r="H15139">
        <v>250501</v>
      </c>
      <c r="I15139">
        <v>4590</v>
      </c>
      <c r="J15139" t="s">
        <v>388</v>
      </c>
      <c r="K15139">
        <v>855.76</v>
      </c>
      <c r="L15139">
        <v>17.52</v>
      </c>
      <c r="M15139">
        <v>56562</v>
      </c>
      <c r="N15139" t="s">
        <v>54</v>
      </c>
      <c r="O15139">
        <v>250521</v>
      </c>
      <c r="P15139">
        <v>68.72</v>
      </c>
    </row>
    <row r="15140" spans="1:16" x14ac:dyDescent="0.25">
      <c r="A15140" t="s">
        <v>3296</v>
      </c>
      <c r="B15140" t="s">
        <v>2931</v>
      </c>
      <c r="C15140">
        <v>12073</v>
      </c>
      <c r="D15140" t="str">
        <f>"1997269     "</f>
        <v xml:space="preserve">1997269     </v>
      </c>
      <c r="E15140" t="s">
        <v>549</v>
      </c>
      <c r="F15140" t="s">
        <v>550</v>
      </c>
      <c r="G15140">
        <v>29.17</v>
      </c>
      <c r="H15140">
        <v>250831</v>
      </c>
      <c r="I15140">
        <v>4590</v>
      </c>
      <c r="J15140" t="s">
        <v>388</v>
      </c>
      <c r="K15140">
        <v>1084.29</v>
      </c>
      <c r="L15140">
        <v>5.93</v>
      </c>
      <c r="M15140">
        <v>56522</v>
      </c>
      <c r="N15140" t="s">
        <v>68</v>
      </c>
      <c r="O15140">
        <v>250916</v>
      </c>
      <c r="P15140">
        <v>23.24</v>
      </c>
    </row>
    <row r="15141" spans="1:16" x14ac:dyDescent="0.25">
      <c r="A15141" t="s">
        <v>3296</v>
      </c>
      <c r="B15141" t="s">
        <v>2931</v>
      </c>
      <c r="C15141">
        <v>12073</v>
      </c>
      <c r="D15141" t="str">
        <f>"1997269     "</f>
        <v xml:space="preserve">1997269     </v>
      </c>
      <c r="E15141" t="s">
        <v>549</v>
      </c>
      <c r="F15141" t="s">
        <v>550</v>
      </c>
      <c r="G15141">
        <v>218.51</v>
      </c>
      <c r="H15141">
        <v>250831</v>
      </c>
      <c r="I15141">
        <v>4590</v>
      </c>
      <c r="J15141" t="s">
        <v>388</v>
      </c>
      <c r="K15141">
        <v>1084.29</v>
      </c>
      <c r="L15141">
        <v>44.4</v>
      </c>
      <c r="M15141">
        <v>56561</v>
      </c>
      <c r="N15141" t="s">
        <v>53</v>
      </c>
      <c r="O15141">
        <v>250916</v>
      </c>
      <c r="P15141">
        <v>174.11</v>
      </c>
    </row>
    <row r="15142" spans="1:16" x14ac:dyDescent="0.25">
      <c r="A15142" t="s">
        <v>3296</v>
      </c>
      <c r="B15142" t="s">
        <v>2931</v>
      </c>
      <c r="C15142">
        <v>15331</v>
      </c>
      <c r="D15142" t="str">
        <f>"2116667     "</f>
        <v xml:space="preserve">2116667     </v>
      </c>
      <c r="E15142" t="s">
        <v>549</v>
      </c>
      <c r="F15142" t="s">
        <v>550</v>
      </c>
      <c r="G15142">
        <v>79.95</v>
      </c>
      <c r="H15142">
        <v>251031</v>
      </c>
      <c r="I15142">
        <v>4590</v>
      </c>
      <c r="J15142" t="s">
        <v>388</v>
      </c>
      <c r="K15142">
        <v>957.36</v>
      </c>
      <c r="L15142">
        <v>16.239999999999998</v>
      </c>
      <c r="M15142">
        <v>56551</v>
      </c>
      <c r="N15142" t="s">
        <v>551</v>
      </c>
      <c r="O15142">
        <v>251119</v>
      </c>
      <c r="P15142">
        <v>63.71</v>
      </c>
    </row>
    <row r="15143" spans="1:16" x14ac:dyDescent="0.25">
      <c r="A15143" t="s">
        <v>3296</v>
      </c>
      <c r="B15143" t="s">
        <v>2931</v>
      </c>
      <c r="C15143">
        <v>17241</v>
      </c>
      <c r="D15143" t="str">
        <f>"2172974     "</f>
        <v xml:space="preserve">2172974     </v>
      </c>
      <c r="E15143" t="s">
        <v>549</v>
      </c>
      <c r="F15143" t="s">
        <v>550</v>
      </c>
      <c r="G15143">
        <v>7.98</v>
      </c>
      <c r="H15143">
        <v>251201</v>
      </c>
      <c r="I15143">
        <v>4590</v>
      </c>
      <c r="J15143" t="s">
        <v>388</v>
      </c>
      <c r="K15143">
        <v>1452.52</v>
      </c>
      <c r="L15143">
        <v>1.62</v>
      </c>
      <c r="M15143">
        <v>56522</v>
      </c>
      <c r="N15143" t="s">
        <v>68</v>
      </c>
      <c r="O15143">
        <v>251218</v>
      </c>
      <c r="P15143">
        <v>6.36</v>
      </c>
    </row>
    <row r="15144" spans="1:16" x14ac:dyDescent="0.25">
      <c r="A15144" t="s">
        <v>3296</v>
      </c>
      <c r="B15144" t="s">
        <v>2931</v>
      </c>
      <c r="C15144">
        <v>17241</v>
      </c>
      <c r="D15144" t="str">
        <f>"2172974     "</f>
        <v xml:space="preserve">2172974     </v>
      </c>
      <c r="E15144" t="s">
        <v>549</v>
      </c>
      <c r="F15144" t="s">
        <v>550</v>
      </c>
      <c r="G15144">
        <v>43.71</v>
      </c>
      <c r="H15144">
        <v>251201</v>
      </c>
      <c r="I15144">
        <v>4590</v>
      </c>
      <c r="J15144" t="s">
        <v>388</v>
      </c>
      <c r="K15144">
        <v>1452.52</v>
      </c>
      <c r="L15144">
        <v>8.8800000000000008</v>
      </c>
      <c r="M15144">
        <v>56561</v>
      </c>
      <c r="N15144" t="s">
        <v>53</v>
      </c>
      <c r="O15144">
        <v>251218</v>
      </c>
      <c r="P15144">
        <v>34.83</v>
      </c>
    </row>
    <row r="15145" spans="1:16" x14ac:dyDescent="0.25">
      <c r="A15145" t="s">
        <v>3296</v>
      </c>
      <c r="B15145" t="s">
        <v>2931</v>
      </c>
      <c r="C15145">
        <v>17241</v>
      </c>
      <c r="D15145" t="str">
        <f>"2172974     "</f>
        <v xml:space="preserve">2172974     </v>
      </c>
      <c r="E15145" t="s">
        <v>549</v>
      </c>
      <c r="F15145" t="s">
        <v>550</v>
      </c>
      <c r="G15145">
        <v>94.23</v>
      </c>
      <c r="H15145">
        <v>251201</v>
      </c>
      <c r="I15145">
        <v>4590</v>
      </c>
      <c r="J15145" t="s">
        <v>388</v>
      </c>
      <c r="K15145">
        <v>1452.52</v>
      </c>
      <c r="L15145">
        <v>19.149999999999999</v>
      </c>
      <c r="M15145">
        <v>56562</v>
      </c>
      <c r="N15145" t="s">
        <v>54</v>
      </c>
      <c r="O15145">
        <v>251218</v>
      </c>
      <c r="P15145">
        <v>75.08</v>
      </c>
    </row>
    <row r="15146" spans="1:16" x14ac:dyDescent="0.25">
      <c r="A15146" t="s">
        <v>3296</v>
      </c>
      <c r="B15146" t="s">
        <v>2931</v>
      </c>
      <c r="C15146">
        <v>17241</v>
      </c>
      <c r="D15146" t="str">
        <f>"2172974     "</f>
        <v xml:space="preserve">2172974     </v>
      </c>
      <c r="E15146" t="s">
        <v>549</v>
      </c>
      <c r="F15146" t="s">
        <v>550</v>
      </c>
      <c r="G15146">
        <v>172.64</v>
      </c>
      <c r="H15146">
        <v>251201</v>
      </c>
      <c r="I15146">
        <v>4590</v>
      </c>
      <c r="J15146" t="s">
        <v>388</v>
      </c>
      <c r="K15146">
        <v>1452.52</v>
      </c>
      <c r="L15146">
        <v>35.08</v>
      </c>
      <c r="M15146">
        <v>56562</v>
      </c>
      <c r="N15146" t="s">
        <v>54</v>
      </c>
      <c r="O15146">
        <v>251218</v>
      </c>
      <c r="P15146">
        <v>137.56</v>
      </c>
    </row>
    <row r="15147" spans="1:16" x14ac:dyDescent="0.25">
      <c r="A15147" t="s">
        <v>3296</v>
      </c>
      <c r="B15147" t="s">
        <v>2931</v>
      </c>
      <c r="C15147">
        <v>18295</v>
      </c>
      <c r="D15147" t="str">
        <f>"2229284     "</f>
        <v xml:space="preserve">2229284     </v>
      </c>
      <c r="E15147" t="s">
        <v>549</v>
      </c>
      <c r="F15147" t="s">
        <v>550</v>
      </c>
      <c r="G15147">
        <v>46.95</v>
      </c>
      <c r="H15147">
        <v>251231</v>
      </c>
      <c r="I15147">
        <v>4590</v>
      </c>
      <c r="J15147" t="s">
        <v>388</v>
      </c>
      <c r="K15147">
        <v>1073.18</v>
      </c>
      <c r="L15147">
        <v>9.5399999999999991</v>
      </c>
      <c r="M15147">
        <v>56551</v>
      </c>
      <c r="N15147" t="s">
        <v>551</v>
      </c>
      <c r="O15147">
        <v>260113</v>
      </c>
      <c r="P15147">
        <v>37.409999999999997</v>
      </c>
    </row>
    <row r="15148" spans="1:16" x14ac:dyDescent="0.25">
      <c r="A15148" t="s">
        <v>3296</v>
      </c>
      <c r="B15148" t="s">
        <v>2931</v>
      </c>
      <c r="C15148">
        <v>490</v>
      </c>
      <c r="D15148" t="str">
        <f t="shared" ref="D15148:D15153" si="255">"1576874     "</f>
        <v xml:space="preserve">1576874     </v>
      </c>
      <c r="E15148" t="s">
        <v>549</v>
      </c>
      <c r="F15148" t="s">
        <v>550</v>
      </c>
      <c r="G15148">
        <v>20.78</v>
      </c>
      <c r="H15148">
        <v>250101</v>
      </c>
      <c r="I15148">
        <v>4600</v>
      </c>
      <c r="J15148" t="s">
        <v>278</v>
      </c>
      <c r="K15148">
        <v>823.32</v>
      </c>
      <c r="L15148">
        <v>4.22</v>
      </c>
      <c r="M15148">
        <v>14952</v>
      </c>
      <c r="N15148" t="s">
        <v>213</v>
      </c>
      <c r="O15148">
        <v>250123</v>
      </c>
      <c r="P15148">
        <v>16.559999999999999</v>
      </c>
    </row>
    <row r="15149" spans="1:16" x14ac:dyDescent="0.25">
      <c r="A15149" t="s">
        <v>3296</v>
      </c>
      <c r="B15149" t="s">
        <v>2931</v>
      </c>
      <c r="C15149">
        <v>490</v>
      </c>
      <c r="D15149" t="str">
        <f t="shared" si="255"/>
        <v xml:space="preserve">1576874     </v>
      </c>
      <c r="E15149" t="s">
        <v>549</v>
      </c>
      <c r="F15149" t="s">
        <v>550</v>
      </c>
      <c r="G15149">
        <v>267.33999999999997</v>
      </c>
      <c r="H15149">
        <v>250101</v>
      </c>
      <c r="I15149">
        <v>4600</v>
      </c>
      <c r="J15149" t="s">
        <v>278</v>
      </c>
      <c r="K15149">
        <v>823.32</v>
      </c>
      <c r="L15149">
        <v>54.32</v>
      </c>
      <c r="M15149">
        <v>56528</v>
      </c>
      <c r="N15149" t="s">
        <v>70</v>
      </c>
      <c r="O15149">
        <v>250123</v>
      </c>
      <c r="P15149">
        <v>213.02</v>
      </c>
    </row>
    <row r="15150" spans="1:16" x14ac:dyDescent="0.25">
      <c r="A15150" t="s">
        <v>3296</v>
      </c>
      <c r="B15150" t="s">
        <v>2931</v>
      </c>
      <c r="C15150">
        <v>490</v>
      </c>
      <c r="D15150" t="str">
        <f t="shared" si="255"/>
        <v xml:space="preserve">1576874     </v>
      </c>
      <c r="E15150" t="s">
        <v>549</v>
      </c>
      <c r="F15150" t="s">
        <v>550</v>
      </c>
      <c r="G15150">
        <v>83.49</v>
      </c>
      <c r="H15150">
        <v>250101</v>
      </c>
      <c r="I15150">
        <v>4600</v>
      </c>
      <c r="J15150" t="s">
        <v>278</v>
      </c>
      <c r="K15150">
        <v>823.32</v>
      </c>
      <c r="L15150">
        <v>16.96</v>
      </c>
      <c r="M15150">
        <v>56560</v>
      </c>
      <c r="N15150" t="s">
        <v>52</v>
      </c>
      <c r="O15150">
        <v>250123</v>
      </c>
      <c r="P15150">
        <v>66.53</v>
      </c>
    </row>
    <row r="15151" spans="1:16" x14ac:dyDescent="0.25">
      <c r="A15151" t="s">
        <v>3296</v>
      </c>
      <c r="B15151" t="s">
        <v>2931</v>
      </c>
      <c r="C15151">
        <v>490</v>
      </c>
      <c r="D15151" t="str">
        <f t="shared" si="255"/>
        <v xml:space="preserve">1576874     </v>
      </c>
      <c r="E15151" t="s">
        <v>549</v>
      </c>
      <c r="F15151" t="s">
        <v>550</v>
      </c>
      <c r="G15151">
        <v>107.29</v>
      </c>
      <c r="H15151">
        <v>250101</v>
      </c>
      <c r="I15151">
        <v>4600</v>
      </c>
      <c r="J15151" t="s">
        <v>278</v>
      </c>
      <c r="K15151">
        <v>823.32</v>
      </c>
      <c r="L15151">
        <v>21.8</v>
      </c>
      <c r="M15151">
        <v>56562</v>
      </c>
      <c r="N15151" t="s">
        <v>54</v>
      </c>
      <c r="O15151">
        <v>250123</v>
      </c>
      <c r="P15151">
        <v>85.49</v>
      </c>
    </row>
    <row r="15152" spans="1:16" x14ac:dyDescent="0.25">
      <c r="A15152" t="s">
        <v>3296</v>
      </c>
      <c r="B15152" t="s">
        <v>2931</v>
      </c>
      <c r="C15152">
        <v>490</v>
      </c>
      <c r="D15152" t="str">
        <f t="shared" si="255"/>
        <v xml:space="preserve">1576874     </v>
      </c>
      <c r="E15152" t="s">
        <v>549</v>
      </c>
      <c r="F15152" t="s">
        <v>550</v>
      </c>
      <c r="G15152">
        <v>48.64</v>
      </c>
      <c r="H15152">
        <v>250101</v>
      </c>
      <c r="I15152">
        <v>4600</v>
      </c>
      <c r="J15152" t="s">
        <v>278</v>
      </c>
      <c r="K15152">
        <v>823.32</v>
      </c>
      <c r="L15152">
        <v>9.8800000000000008</v>
      </c>
      <c r="M15152">
        <v>56565</v>
      </c>
      <c r="N15152" t="s">
        <v>57</v>
      </c>
      <c r="O15152">
        <v>250123</v>
      </c>
      <c r="P15152">
        <v>38.76</v>
      </c>
    </row>
    <row r="15153" spans="1:16" x14ac:dyDescent="0.25">
      <c r="A15153" t="s">
        <v>3296</v>
      </c>
      <c r="B15153" t="s">
        <v>2931</v>
      </c>
      <c r="C15153">
        <v>490</v>
      </c>
      <c r="D15153" t="str">
        <f t="shared" si="255"/>
        <v xml:space="preserve">1576874     </v>
      </c>
      <c r="E15153" t="s">
        <v>549</v>
      </c>
      <c r="F15153" t="s">
        <v>550</v>
      </c>
      <c r="G15153">
        <v>63.62</v>
      </c>
      <c r="H15153">
        <v>250101</v>
      </c>
      <c r="I15153">
        <v>4600</v>
      </c>
      <c r="J15153" t="s">
        <v>278</v>
      </c>
      <c r="K15153">
        <v>823.32</v>
      </c>
      <c r="L15153">
        <v>12.93</v>
      </c>
      <c r="M15153">
        <v>59501</v>
      </c>
      <c r="N15153" t="s">
        <v>62</v>
      </c>
      <c r="O15153">
        <v>250123</v>
      </c>
      <c r="P15153">
        <v>50.69</v>
      </c>
    </row>
    <row r="15154" spans="1:16" x14ac:dyDescent="0.25">
      <c r="A15154" t="s">
        <v>3296</v>
      </c>
      <c r="B15154" t="s">
        <v>2931</v>
      </c>
      <c r="C15154">
        <v>1135</v>
      </c>
      <c r="D15154" t="str">
        <f>"1620140     "</f>
        <v xml:space="preserve">1620140     </v>
      </c>
      <c r="E15154" t="s">
        <v>549</v>
      </c>
      <c r="F15154" t="s">
        <v>550</v>
      </c>
      <c r="G15154">
        <v>219.92</v>
      </c>
      <c r="H15154">
        <v>250131</v>
      </c>
      <c r="I15154">
        <v>4600</v>
      </c>
      <c r="J15154" t="s">
        <v>278</v>
      </c>
      <c r="K15154">
        <v>219.92</v>
      </c>
      <c r="L15154">
        <v>44.68</v>
      </c>
      <c r="M15154">
        <v>17807</v>
      </c>
      <c r="N15154" t="s">
        <v>23</v>
      </c>
      <c r="O15154">
        <v>250204</v>
      </c>
      <c r="P15154">
        <v>175.24</v>
      </c>
    </row>
    <row r="15155" spans="1:16" x14ac:dyDescent="0.25">
      <c r="A15155" t="s">
        <v>3296</v>
      </c>
      <c r="B15155" t="s">
        <v>2931</v>
      </c>
      <c r="C15155">
        <v>1905</v>
      </c>
      <c r="D15155" t="str">
        <f>"1619592     "</f>
        <v xml:space="preserve">1619592     </v>
      </c>
      <c r="E15155" t="s">
        <v>549</v>
      </c>
      <c r="F15155" t="s">
        <v>550</v>
      </c>
      <c r="G15155">
        <v>49.52</v>
      </c>
      <c r="H15155">
        <v>250131</v>
      </c>
      <c r="I15155">
        <v>4600</v>
      </c>
      <c r="J15155" t="s">
        <v>278</v>
      </c>
      <c r="K15155">
        <v>812.66</v>
      </c>
      <c r="L15155">
        <v>10.06</v>
      </c>
      <c r="M15155">
        <v>56558</v>
      </c>
      <c r="N15155" t="s">
        <v>50</v>
      </c>
      <c r="O15155">
        <v>250217</v>
      </c>
      <c r="P15155">
        <v>39.46</v>
      </c>
    </row>
    <row r="15156" spans="1:16" x14ac:dyDescent="0.25">
      <c r="A15156" t="s">
        <v>3296</v>
      </c>
      <c r="B15156" t="s">
        <v>2931</v>
      </c>
      <c r="C15156">
        <v>2751</v>
      </c>
      <c r="D15156" t="str">
        <f t="shared" ref="D15156:D15161" si="256">"1658882     "</f>
        <v xml:space="preserve">1658882     </v>
      </c>
      <c r="E15156" t="s">
        <v>549</v>
      </c>
      <c r="F15156" t="s">
        <v>550</v>
      </c>
      <c r="G15156">
        <v>15.24</v>
      </c>
      <c r="H15156">
        <v>250228</v>
      </c>
      <c r="I15156">
        <v>4600</v>
      </c>
      <c r="J15156" t="s">
        <v>278</v>
      </c>
      <c r="K15156">
        <v>1090.01</v>
      </c>
      <c r="L15156">
        <v>3.1</v>
      </c>
      <c r="M15156">
        <v>11401</v>
      </c>
      <c r="N15156" t="s">
        <v>91</v>
      </c>
      <c r="O15156">
        <v>250311</v>
      </c>
      <c r="P15156">
        <v>12.14</v>
      </c>
    </row>
    <row r="15157" spans="1:16" x14ac:dyDescent="0.25">
      <c r="A15157" t="s">
        <v>3296</v>
      </c>
      <c r="B15157" t="s">
        <v>2931</v>
      </c>
      <c r="C15157">
        <v>2751</v>
      </c>
      <c r="D15157" t="str">
        <f t="shared" si="256"/>
        <v xml:space="preserve">1658882     </v>
      </c>
      <c r="E15157" t="s">
        <v>549</v>
      </c>
      <c r="F15157" t="s">
        <v>550</v>
      </c>
      <c r="G15157">
        <v>30.5</v>
      </c>
      <c r="H15157">
        <v>250228</v>
      </c>
      <c r="I15157">
        <v>4600</v>
      </c>
      <c r="J15157" t="s">
        <v>278</v>
      </c>
      <c r="K15157">
        <v>1090.01</v>
      </c>
      <c r="L15157">
        <v>6.2</v>
      </c>
      <c r="M15157">
        <v>14952</v>
      </c>
      <c r="N15157" t="s">
        <v>213</v>
      </c>
      <c r="O15157">
        <v>250311</v>
      </c>
      <c r="P15157">
        <v>24.3</v>
      </c>
    </row>
    <row r="15158" spans="1:16" x14ac:dyDescent="0.25">
      <c r="A15158" t="s">
        <v>3296</v>
      </c>
      <c r="B15158" t="s">
        <v>2931</v>
      </c>
      <c r="C15158">
        <v>2751</v>
      </c>
      <c r="D15158" t="str">
        <f t="shared" si="256"/>
        <v xml:space="preserve">1658882     </v>
      </c>
      <c r="E15158" t="s">
        <v>549</v>
      </c>
      <c r="F15158" t="s">
        <v>550</v>
      </c>
      <c r="G15158">
        <v>25.57</v>
      </c>
      <c r="H15158">
        <v>250228</v>
      </c>
      <c r="I15158">
        <v>4600</v>
      </c>
      <c r="J15158" t="s">
        <v>278</v>
      </c>
      <c r="K15158">
        <v>1090.01</v>
      </c>
      <c r="L15158">
        <v>5.2</v>
      </c>
      <c r="M15158">
        <v>56528</v>
      </c>
      <c r="N15158" t="s">
        <v>70</v>
      </c>
      <c r="O15158">
        <v>250311</v>
      </c>
      <c r="P15158">
        <v>20.37</v>
      </c>
    </row>
    <row r="15159" spans="1:16" x14ac:dyDescent="0.25">
      <c r="A15159" t="s">
        <v>3296</v>
      </c>
      <c r="B15159" t="s">
        <v>2931</v>
      </c>
      <c r="C15159">
        <v>2751</v>
      </c>
      <c r="D15159" t="str">
        <f t="shared" si="256"/>
        <v xml:space="preserve">1658882     </v>
      </c>
      <c r="E15159" t="s">
        <v>549</v>
      </c>
      <c r="F15159" t="s">
        <v>550</v>
      </c>
      <c r="G15159">
        <v>140.25</v>
      </c>
      <c r="H15159">
        <v>250228</v>
      </c>
      <c r="I15159">
        <v>4600</v>
      </c>
      <c r="J15159" t="s">
        <v>278</v>
      </c>
      <c r="K15159">
        <v>1090.01</v>
      </c>
      <c r="L15159">
        <v>28.5</v>
      </c>
      <c r="M15159">
        <v>56565</v>
      </c>
      <c r="N15159" t="s">
        <v>57</v>
      </c>
      <c r="O15159">
        <v>250311</v>
      </c>
      <c r="P15159">
        <v>111.75</v>
      </c>
    </row>
    <row r="15160" spans="1:16" x14ac:dyDescent="0.25">
      <c r="A15160" t="s">
        <v>3296</v>
      </c>
      <c r="B15160" t="s">
        <v>2931</v>
      </c>
      <c r="C15160">
        <v>2751</v>
      </c>
      <c r="D15160" t="str">
        <f t="shared" si="256"/>
        <v xml:space="preserve">1658882     </v>
      </c>
      <c r="E15160" t="s">
        <v>549</v>
      </c>
      <c r="F15160" t="s">
        <v>550</v>
      </c>
      <c r="G15160">
        <v>19.899999999999999</v>
      </c>
      <c r="H15160">
        <v>250228</v>
      </c>
      <c r="I15160">
        <v>4600</v>
      </c>
      <c r="J15160" t="s">
        <v>278</v>
      </c>
      <c r="K15160">
        <v>1090.01</v>
      </c>
      <c r="L15160">
        <v>4.04</v>
      </c>
      <c r="M15160">
        <v>59504</v>
      </c>
      <c r="N15160" t="s">
        <v>193</v>
      </c>
      <c r="O15160">
        <v>250311</v>
      </c>
      <c r="P15160">
        <v>15.86</v>
      </c>
    </row>
    <row r="15161" spans="1:16" x14ac:dyDescent="0.25">
      <c r="A15161" t="s">
        <v>3296</v>
      </c>
      <c r="B15161" t="s">
        <v>2931</v>
      </c>
      <c r="C15161">
        <v>2751</v>
      </c>
      <c r="D15161" t="str">
        <f t="shared" si="256"/>
        <v xml:space="preserve">1658882     </v>
      </c>
      <c r="E15161" t="s">
        <v>549</v>
      </c>
      <c r="F15161" t="s">
        <v>550</v>
      </c>
      <c r="G15161">
        <v>414.66</v>
      </c>
      <c r="H15161">
        <v>250228</v>
      </c>
      <c r="I15161">
        <v>4600</v>
      </c>
      <c r="J15161" t="s">
        <v>278</v>
      </c>
      <c r="K15161">
        <v>1090.01</v>
      </c>
      <c r="L15161">
        <v>84.25</v>
      </c>
      <c r="M15161">
        <v>59505</v>
      </c>
      <c r="N15161" t="s">
        <v>194</v>
      </c>
      <c r="O15161">
        <v>250311</v>
      </c>
      <c r="P15161">
        <v>330.41</v>
      </c>
    </row>
    <row r="15162" spans="1:16" x14ac:dyDescent="0.25">
      <c r="A15162" t="s">
        <v>3296</v>
      </c>
      <c r="B15162" t="s">
        <v>2931</v>
      </c>
      <c r="C15162">
        <v>4382</v>
      </c>
      <c r="D15162" t="str">
        <f>"1709998     "</f>
        <v xml:space="preserve">1709998     </v>
      </c>
      <c r="E15162" t="s">
        <v>549</v>
      </c>
      <c r="F15162" t="s">
        <v>550</v>
      </c>
      <c r="G15162">
        <v>122.49</v>
      </c>
      <c r="H15162">
        <v>250331</v>
      </c>
      <c r="I15162">
        <v>4600</v>
      </c>
      <c r="J15162" t="s">
        <v>278</v>
      </c>
      <c r="K15162">
        <v>122.49</v>
      </c>
      <c r="L15162">
        <v>24.89</v>
      </c>
      <c r="M15162">
        <v>17807</v>
      </c>
      <c r="N15162" t="s">
        <v>23</v>
      </c>
      <c r="O15162">
        <v>250411</v>
      </c>
      <c r="P15162">
        <v>97.6</v>
      </c>
    </row>
    <row r="15163" spans="1:16" x14ac:dyDescent="0.25">
      <c r="A15163" t="s">
        <v>3296</v>
      </c>
      <c r="B15163" t="s">
        <v>2931</v>
      </c>
      <c r="C15163">
        <v>4419</v>
      </c>
      <c r="D15163" t="str">
        <f t="shared" ref="D15163:D15172" si="257">"1709462     "</f>
        <v xml:space="preserve">1709462     </v>
      </c>
      <c r="E15163" t="s">
        <v>549</v>
      </c>
      <c r="F15163" t="s">
        <v>550</v>
      </c>
      <c r="G15163">
        <v>4.2</v>
      </c>
      <c r="H15163">
        <v>250331</v>
      </c>
      <c r="I15163">
        <v>4600</v>
      </c>
      <c r="J15163" t="s">
        <v>278</v>
      </c>
      <c r="K15163">
        <v>1036.29</v>
      </c>
      <c r="L15163">
        <v>0.85</v>
      </c>
      <c r="M15163">
        <v>14952</v>
      </c>
      <c r="N15163" t="s">
        <v>213</v>
      </c>
      <c r="O15163">
        <v>250411</v>
      </c>
      <c r="P15163">
        <v>3.35</v>
      </c>
    </row>
    <row r="15164" spans="1:16" x14ac:dyDescent="0.25">
      <c r="A15164" t="s">
        <v>3296</v>
      </c>
      <c r="B15164" t="s">
        <v>2931</v>
      </c>
      <c r="C15164">
        <v>4419</v>
      </c>
      <c r="D15164" t="str">
        <f t="shared" si="257"/>
        <v xml:space="preserve">1709462     </v>
      </c>
      <c r="E15164" t="s">
        <v>549</v>
      </c>
      <c r="F15164" t="s">
        <v>550</v>
      </c>
      <c r="G15164">
        <v>9.7899999999999991</v>
      </c>
      <c r="H15164">
        <v>250331</v>
      </c>
      <c r="I15164">
        <v>4600</v>
      </c>
      <c r="J15164" t="s">
        <v>278</v>
      </c>
      <c r="K15164">
        <v>1036.29</v>
      </c>
      <c r="L15164">
        <v>1.99</v>
      </c>
      <c r="M15164">
        <v>14981</v>
      </c>
      <c r="N15164" t="s">
        <v>252</v>
      </c>
      <c r="O15164">
        <v>250411</v>
      </c>
      <c r="P15164">
        <v>7.8</v>
      </c>
    </row>
    <row r="15165" spans="1:16" x14ac:dyDescent="0.25">
      <c r="A15165" t="s">
        <v>3296</v>
      </c>
      <c r="B15165" t="s">
        <v>2931</v>
      </c>
      <c r="C15165">
        <v>4419</v>
      </c>
      <c r="D15165" t="str">
        <f t="shared" si="257"/>
        <v xml:space="preserve">1709462     </v>
      </c>
      <c r="E15165" t="s">
        <v>549</v>
      </c>
      <c r="F15165" t="s">
        <v>550</v>
      </c>
      <c r="G15165">
        <v>24.93</v>
      </c>
      <c r="H15165">
        <v>250331</v>
      </c>
      <c r="I15165">
        <v>4600</v>
      </c>
      <c r="J15165" t="s">
        <v>278</v>
      </c>
      <c r="K15165">
        <v>1036.29</v>
      </c>
      <c r="L15165">
        <v>5.07</v>
      </c>
      <c r="M15165">
        <v>56528</v>
      </c>
      <c r="N15165" t="s">
        <v>70</v>
      </c>
      <c r="O15165">
        <v>250411</v>
      </c>
      <c r="P15165">
        <v>19.86</v>
      </c>
    </row>
    <row r="15166" spans="1:16" x14ac:dyDescent="0.25">
      <c r="A15166" t="s">
        <v>3296</v>
      </c>
      <c r="B15166" t="s">
        <v>2931</v>
      </c>
      <c r="C15166">
        <v>4419</v>
      </c>
      <c r="D15166" t="str">
        <f t="shared" si="257"/>
        <v xml:space="preserve">1709462     </v>
      </c>
      <c r="E15166" t="s">
        <v>549</v>
      </c>
      <c r="F15166" t="s">
        <v>550</v>
      </c>
      <c r="G15166">
        <v>81.11</v>
      </c>
      <c r="H15166">
        <v>250331</v>
      </c>
      <c r="I15166">
        <v>4600</v>
      </c>
      <c r="J15166" t="s">
        <v>278</v>
      </c>
      <c r="K15166">
        <v>1036.29</v>
      </c>
      <c r="L15166">
        <v>16.48</v>
      </c>
      <c r="M15166">
        <v>56551</v>
      </c>
      <c r="N15166" t="s">
        <v>551</v>
      </c>
      <c r="O15166">
        <v>250411</v>
      </c>
      <c r="P15166">
        <v>64.63</v>
      </c>
    </row>
    <row r="15167" spans="1:16" x14ac:dyDescent="0.25">
      <c r="A15167" t="s">
        <v>3296</v>
      </c>
      <c r="B15167" t="s">
        <v>2931</v>
      </c>
      <c r="C15167">
        <v>4419</v>
      </c>
      <c r="D15167" t="str">
        <f t="shared" si="257"/>
        <v xml:space="preserve">1709462     </v>
      </c>
      <c r="E15167" t="s">
        <v>549</v>
      </c>
      <c r="F15167" t="s">
        <v>550</v>
      </c>
      <c r="G15167">
        <v>64.260000000000005</v>
      </c>
      <c r="H15167">
        <v>250331</v>
      </c>
      <c r="I15167">
        <v>4600</v>
      </c>
      <c r="J15167" t="s">
        <v>278</v>
      </c>
      <c r="K15167">
        <v>1036.29</v>
      </c>
      <c r="L15167">
        <v>13.06</v>
      </c>
      <c r="M15167">
        <v>56560</v>
      </c>
      <c r="N15167" t="s">
        <v>52</v>
      </c>
      <c r="O15167">
        <v>250411</v>
      </c>
      <c r="P15167">
        <v>51.2</v>
      </c>
    </row>
    <row r="15168" spans="1:16" x14ac:dyDescent="0.25">
      <c r="A15168" t="s">
        <v>3296</v>
      </c>
      <c r="B15168" t="s">
        <v>2931</v>
      </c>
      <c r="C15168">
        <v>4419</v>
      </c>
      <c r="D15168" t="str">
        <f t="shared" si="257"/>
        <v xml:space="preserve">1709462     </v>
      </c>
      <c r="E15168" t="s">
        <v>549</v>
      </c>
      <c r="F15168" t="s">
        <v>550</v>
      </c>
      <c r="G15168">
        <v>214.81</v>
      </c>
      <c r="H15168">
        <v>250331</v>
      </c>
      <c r="I15168">
        <v>4600</v>
      </c>
      <c r="J15168" t="s">
        <v>278</v>
      </c>
      <c r="K15168">
        <v>1036.29</v>
      </c>
      <c r="L15168">
        <v>43.65</v>
      </c>
      <c r="M15168">
        <v>56561</v>
      </c>
      <c r="N15168" t="s">
        <v>53</v>
      </c>
      <c r="O15168">
        <v>250411</v>
      </c>
      <c r="P15168">
        <v>171.16</v>
      </c>
    </row>
    <row r="15169" spans="1:16" x14ac:dyDescent="0.25">
      <c r="A15169" t="s">
        <v>3296</v>
      </c>
      <c r="B15169" t="s">
        <v>2931</v>
      </c>
      <c r="C15169">
        <v>4419</v>
      </c>
      <c r="D15169" t="str">
        <f t="shared" si="257"/>
        <v xml:space="preserve">1709462     </v>
      </c>
      <c r="E15169" t="s">
        <v>549</v>
      </c>
      <c r="F15169" t="s">
        <v>550</v>
      </c>
      <c r="G15169">
        <v>225.5</v>
      </c>
      <c r="H15169">
        <v>250331</v>
      </c>
      <c r="I15169">
        <v>4600</v>
      </c>
      <c r="J15169" t="s">
        <v>278</v>
      </c>
      <c r="K15169">
        <v>1036.29</v>
      </c>
      <c r="L15169">
        <v>45.82</v>
      </c>
      <c r="M15169">
        <v>56562</v>
      </c>
      <c r="N15169" t="s">
        <v>54</v>
      </c>
      <c r="O15169">
        <v>250411</v>
      </c>
      <c r="P15169">
        <v>179.68</v>
      </c>
    </row>
    <row r="15170" spans="1:16" x14ac:dyDescent="0.25">
      <c r="A15170" t="s">
        <v>3296</v>
      </c>
      <c r="B15170" t="s">
        <v>2931</v>
      </c>
      <c r="C15170">
        <v>4419</v>
      </c>
      <c r="D15170" t="str">
        <f t="shared" si="257"/>
        <v xml:space="preserve">1709462     </v>
      </c>
      <c r="E15170" t="s">
        <v>549</v>
      </c>
      <c r="F15170" t="s">
        <v>550</v>
      </c>
      <c r="G15170">
        <v>318.12</v>
      </c>
      <c r="H15170">
        <v>250331</v>
      </c>
      <c r="I15170">
        <v>4600</v>
      </c>
      <c r="J15170" t="s">
        <v>278</v>
      </c>
      <c r="K15170">
        <v>1036.29</v>
      </c>
      <c r="L15170">
        <v>64.64</v>
      </c>
      <c r="M15170">
        <v>56565</v>
      </c>
      <c r="N15170" t="s">
        <v>57</v>
      </c>
      <c r="O15170">
        <v>250411</v>
      </c>
      <c r="P15170">
        <v>253.48</v>
      </c>
    </row>
    <row r="15171" spans="1:16" x14ac:dyDescent="0.25">
      <c r="A15171" t="s">
        <v>3296</v>
      </c>
      <c r="B15171" t="s">
        <v>2931</v>
      </c>
      <c r="C15171">
        <v>4419</v>
      </c>
      <c r="D15171" t="str">
        <f t="shared" si="257"/>
        <v xml:space="preserve">1709462     </v>
      </c>
      <c r="E15171" t="s">
        <v>549</v>
      </c>
      <c r="F15171" t="s">
        <v>550</v>
      </c>
      <c r="G15171">
        <v>47.98</v>
      </c>
      <c r="H15171">
        <v>250331</v>
      </c>
      <c r="I15171">
        <v>4600</v>
      </c>
      <c r="J15171" t="s">
        <v>278</v>
      </c>
      <c r="K15171">
        <v>1036.29</v>
      </c>
      <c r="L15171">
        <v>9.75</v>
      </c>
      <c r="M15171">
        <v>56568</v>
      </c>
      <c r="N15171" t="s">
        <v>354</v>
      </c>
      <c r="O15171">
        <v>250411</v>
      </c>
      <c r="P15171">
        <v>38.229999999999997</v>
      </c>
    </row>
    <row r="15172" spans="1:16" x14ac:dyDescent="0.25">
      <c r="A15172" t="s">
        <v>3296</v>
      </c>
      <c r="B15172" t="s">
        <v>2931</v>
      </c>
      <c r="C15172">
        <v>4419</v>
      </c>
      <c r="D15172" t="str">
        <f t="shared" si="257"/>
        <v xml:space="preserve">1709462     </v>
      </c>
      <c r="E15172" t="s">
        <v>549</v>
      </c>
      <c r="F15172" t="s">
        <v>550</v>
      </c>
      <c r="G15172">
        <v>45.59</v>
      </c>
      <c r="H15172">
        <v>250331</v>
      </c>
      <c r="I15172">
        <v>4600</v>
      </c>
      <c r="J15172" t="s">
        <v>278</v>
      </c>
      <c r="K15172">
        <v>1036.29</v>
      </c>
      <c r="L15172">
        <v>9.26</v>
      </c>
      <c r="M15172">
        <v>59501</v>
      </c>
      <c r="N15172" t="s">
        <v>62</v>
      </c>
      <c r="O15172">
        <v>250411</v>
      </c>
      <c r="P15172">
        <v>36.33</v>
      </c>
    </row>
    <row r="15173" spans="1:16" x14ac:dyDescent="0.25">
      <c r="A15173" t="s">
        <v>3296</v>
      </c>
      <c r="B15173" t="s">
        <v>2931</v>
      </c>
      <c r="C15173">
        <v>4462</v>
      </c>
      <c r="D15173" t="str">
        <f>"1702832     "</f>
        <v xml:space="preserve">1702832     </v>
      </c>
      <c r="E15173" t="s">
        <v>549</v>
      </c>
      <c r="F15173" t="s">
        <v>550</v>
      </c>
      <c r="G15173">
        <v>61.33</v>
      </c>
      <c r="H15173">
        <v>250331</v>
      </c>
      <c r="I15173">
        <v>4600</v>
      </c>
      <c r="J15173" t="s">
        <v>278</v>
      </c>
      <c r="K15173">
        <v>61.33</v>
      </c>
      <c r="L15173">
        <v>12.46</v>
      </c>
      <c r="M15173">
        <v>17131</v>
      </c>
      <c r="N15173" t="s">
        <v>154</v>
      </c>
      <c r="O15173">
        <v>250411</v>
      </c>
      <c r="P15173">
        <v>48.87</v>
      </c>
    </row>
    <row r="15174" spans="1:16" x14ac:dyDescent="0.25">
      <c r="A15174" t="s">
        <v>3296</v>
      </c>
      <c r="B15174" t="s">
        <v>2931</v>
      </c>
      <c r="C15174">
        <v>6106</v>
      </c>
      <c r="D15174" t="str">
        <f>"1761120     "</f>
        <v xml:space="preserve">1761120     </v>
      </c>
      <c r="E15174" t="s">
        <v>549</v>
      </c>
      <c r="F15174" t="s">
        <v>550</v>
      </c>
      <c r="G15174">
        <v>139.97999999999999</v>
      </c>
      <c r="H15174">
        <v>250430</v>
      </c>
      <c r="I15174">
        <v>4600</v>
      </c>
      <c r="J15174" t="s">
        <v>278</v>
      </c>
      <c r="K15174">
        <v>139.97999999999999</v>
      </c>
      <c r="L15174">
        <v>28.44</v>
      </c>
      <c r="M15174">
        <v>17807</v>
      </c>
      <c r="N15174" t="s">
        <v>23</v>
      </c>
      <c r="O15174">
        <v>250509</v>
      </c>
      <c r="P15174">
        <v>111.54</v>
      </c>
    </row>
    <row r="15175" spans="1:16" x14ac:dyDescent="0.25">
      <c r="A15175" t="s">
        <v>3296</v>
      </c>
      <c r="B15175" t="s">
        <v>2931</v>
      </c>
      <c r="C15175">
        <v>6937</v>
      </c>
      <c r="D15175" t="str">
        <f t="shared" ref="D15175:D15182" si="258">"1759325     "</f>
        <v xml:space="preserve">1759325     </v>
      </c>
      <c r="E15175" t="s">
        <v>549</v>
      </c>
      <c r="F15175" t="s">
        <v>550</v>
      </c>
      <c r="G15175">
        <v>81.88</v>
      </c>
      <c r="H15175">
        <v>250501</v>
      </c>
      <c r="I15175">
        <v>4600</v>
      </c>
      <c r="J15175" t="s">
        <v>278</v>
      </c>
      <c r="K15175">
        <v>855.76</v>
      </c>
      <c r="L15175">
        <v>16.64</v>
      </c>
      <c r="M15175">
        <v>14952</v>
      </c>
      <c r="N15175" t="s">
        <v>213</v>
      </c>
      <c r="O15175">
        <v>250521</v>
      </c>
      <c r="P15175">
        <v>65.239999999999995</v>
      </c>
    </row>
    <row r="15176" spans="1:16" x14ac:dyDescent="0.25">
      <c r="A15176" t="s">
        <v>3296</v>
      </c>
      <c r="B15176" t="s">
        <v>2931</v>
      </c>
      <c r="C15176">
        <v>6937</v>
      </c>
      <c r="D15176" t="str">
        <f t="shared" si="258"/>
        <v xml:space="preserve">1759325     </v>
      </c>
      <c r="E15176" t="s">
        <v>549</v>
      </c>
      <c r="F15176" t="s">
        <v>550</v>
      </c>
      <c r="G15176">
        <v>75.14</v>
      </c>
      <c r="H15176">
        <v>250501</v>
      </c>
      <c r="I15176">
        <v>4600</v>
      </c>
      <c r="J15176" t="s">
        <v>278</v>
      </c>
      <c r="K15176">
        <v>855.76</v>
      </c>
      <c r="L15176">
        <v>15.27</v>
      </c>
      <c r="M15176">
        <v>56524</v>
      </c>
      <c r="N15176" t="s">
        <v>69</v>
      </c>
      <c r="O15176">
        <v>250521</v>
      </c>
      <c r="P15176">
        <v>59.87</v>
      </c>
    </row>
    <row r="15177" spans="1:16" x14ac:dyDescent="0.25">
      <c r="A15177" t="s">
        <v>3296</v>
      </c>
      <c r="B15177" t="s">
        <v>2931</v>
      </c>
      <c r="C15177">
        <v>6937</v>
      </c>
      <c r="D15177" t="str">
        <f t="shared" si="258"/>
        <v xml:space="preserve">1759325     </v>
      </c>
      <c r="E15177" t="s">
        <v>549</v>
      </c>
      <c r="F15177" t="s">
        <v>550</v>
      </c>
      <c r="G15177">
        <v>61.93</v>
      </c>
      <c r="H15177">
        <v>250501</v>
      </c>
      <c r="I15177">
        <v>4600</v>
      </c>
      <c r="J15177" t="s">
        <v>278</v>
      </c>
      <c r="K15177">
        <v>855.76</v>
      </c>
      <c r="L15177">
        <v>12.58</v>
      </c>
      <c r="M15177">
        <v>56528</v>
      </c>
      <c r="N15177" t="s">
        <v>70</v>
      </c>
      <c r="O15177">
        <v>250521</v>
      </c>
      <c r="P15177">
        <v>49.35</v>
      </c>
    </row>
    <row r="15178" spans="1:16" x14ac:dyDescent="0.25">
      <c r="A15178" t="s">
        <v>3296</v>
      </c>
      <c r="B15178" t="s">
        <v>2931</v>
      </c>
      <c r="C15178">
        <v>6937</v>
      </c>
      <c r="D15178" t="str">
        <f t="shared" si="258"/>
        <v xml:space="preserve">1759325     </v>
      </c>
      <c r="E15178" t="s">
        <v>549</v>
      </c>
      <c r="F15178" t="s">
        <v>550</v>
      </c>
      <c r="G15178">
        <v>23.98</v>
      </c>
      <c r="H15178">
        <v>250501</v>
      </c>
      <c r="I15178">
        <v>4600</v>
      </c>
      <c r="J15178" t="s">
        <v>278</v>
      </c>
      <c r="K15178">
        <v>855.76</v>
      </c>
      <c r="L15178">
        <v>4.87</v>
      </c>
      <c r="M15178">
        <v>56560</v>
      </c>
      <c r="N15178" t="s">
        <v>52</v>
      </c>
      <c r="O15178">
        <v>250521</v>
      </c>
      <c r="P15178">
        <v>19.11</v>
      </c>
    </row>
    <row r="15179" spans="1:16" x14ac:dyDescent="0.25">
      <c r="A15179" t="s">
        <v>3296</v>
      </c>
      <c r="B15179" t="s">
        <v>2931</v>
      </c>
      <c r="C15179">
        <v>6937</v>
      </c>
      <c r="D15179" t="str">
        <f t="shared" si="258"/>
        <v xml:space="preserve">1759325     </v>
      </c>
      <c r="E15179" t="s">
        <v>549</v>
      </c>
      <c r="F15179" t="s">
        <v>550</v>
      </c>
      <c r="G15179">
        <v>136.16</v>
      </c>
      <c r="H15179">
        <v>250501</v>
      </c>
      <c r="I15179">
        <v>4600</v>
      </c>
      <c r="J15179" t="s">
        <v>278</v>
      </c>
      <c r="K15179">
        <v>855.76</v>
      </c>
      <c r="L15179">
        <v>27.67</v>
      </c>
      <c r="M15179">
        <v>56562</v>
      </c>
      <c r="N15179" t="s">
        <v>54</v>
      </c>
      <c r="O15179">
        <v>250521</v>
      </c>
      <c r="P15179">
        <v>108.49</v>
      </c>
    </row>
    <row r="15180" spans="1:16" x14ac:dyDescent="0.25">
      <c r="A15180" t="s">
        <v>3296</v>
      </c>
      <c r="B15180" t="s">
        <v>2931</v>
      </c>
      <c r="C15180">
        <v>6937</v>
      </c>
      <c r="D15180" t="str">
        <f t="shared" si="258"/>
        <v xml:space="preserve">1759325     </v>
      </c>
      <c r="E15180" t="s">
        <v>549</v>
      </c>
      <c r="F15180" t="s">
        <v>550</v>
      </c>
      <c r="G15180">
        <v>68.37</v>
      </c>
      <c r="H15180">
        <v>250501</v>
      </c>
      <c r="I15180">
        <v>4600</v>
      </c>
      <c r="J15180" t="s">
        <v>278</v>
      </c>
      <c r="K15180">
        <v>855.76</v>
      </c>
      <c r="L15180">
        <v>13.89</v>
      </c>
      <c r="M15180">
        <v>56565</v>
      </c>
      <c r="N15180" t="s">
        <v>57</v>
      </c>
      <c r="O15180">
        <v>250521</v>
      </c>
      <c r="P15180">
        <v>54.48</v>
      </c>
    </row>
    <row r="15181" spans="1:16" x14ac:dyDescent="0.25">
      <c r="A15181" t="s">
        <v>3296</v>
      </c>
      <c r="B15181" t="s">
        <v>2931</v>
      </c>
      <c r="C15181">
        <v>6937</v>
      </c>
      <c r="D15181" t="str">
        <f t="shared" si="258"/>
        <v xml:space="preserve">1759325     </v>
      </c>
      <c r="E15181" t="s">
        <v>549</v>
      </c>
      <c r="F15181" t="s">
        <v>550</v>
      </c>
      <c r="G15181">
        <v>71.53</v>
      </c>
      <c r="H15181">
        <v>250501</v>
      </c>
      <c r="I15181">
        <v>4600</v>
      </c>
      <c r="J15181" t="s">
        <v>278</v>
      </c>
      <c r="K15181">
        <v>855.76</v>
      </c>
      <c r="L15181">
        <v>14.53</v>
      </c>
      <c r="M15181">
        <v>56566</v>
      </c>
      <c r="N15181" t="s">
        <v>58</v>
      </c>
      <c r="O15181">
        <v>250521</v>
      </c>
      <c r="P15181">
        <v>57</v>
      </c>
    </row>
    <row r="15182" spans="1:16" x14ac:dyDescent="0.25">
      <c r="A15182" t="s">
        <v>3296</v>
      </c>
      <c r="B15182" t="s">
        <v>2931</v>
      </c>
      <c r="C15182">
        <v>6937</v>
      </c>
      <c r="D15182" t="str">
        <f t="shared" si="258"/>
        <v xml:space="preserve">1759325     </v>
      </c>
      <c r="E15182" t="s">
        <v>549</v>
      </c>
      <c r="F15182" t="s">
        <v>550</v>
      </c>
      <c r="G15182">
        <v>84.5</v>
      </c>
      <c r="H15182">
        <v>250501</v>
      </c>
      <c r="I15182">
        <v>4600</v>
      </c>
      <c r="J15182" t="s">
        <v>278</v>
      </c>
      <c r="K15182">
        <v>855.76</v>
      </c>
      <c r="L15182">
        <v>17.170000000000002</v>
      </c>
      <c r="M15182">
        <v>59501</v>
      </c>
      <c r="N15182" t="s">
        <v>62</v>
      </c>
      <c r="O15182">
        <v>250521</v>
      </c>
      <c r="P15182">
        <v>67.33</v>
      </c>
    </row>
    <row r="15183" spans="1:16" x14ac:dyDescent="0.25">
      <c r="A15183" t="s">
        <v>3296</v>
      </c>
      <c r="B15183" t="s">
        <v>2931</v>
      </c>
      <c r="C15183">
        <v>7933</v>
      </c>
      <c r="D15183" t="str">
        <f>"1817556     "</f>
        <v xml:space="preserve">1817556     </v>
      </c>
      <c r="E15183" t="s">
        <v>549</v>
      </c>
      <c r="F15183" t="s">
        <v>550</v>
      </c>
      <c r="G15183">
        <v>5.99</v>
      </c>
      <c r="H15183">
        <v>250531</v>
      </c>
      <c r="I15183">
        <v>4600</v>
      </c>
      <c r="J15183" t="s">
        <v>278</v>
      </c>
      <c r="K15183">
        <v>31.96</v>
      </c>
      <c r="L15183">
        <v>1.22</v>
      </c>
      <c r="M15183">
        <v>17912</v>
      </c>
      <c r="N15183" t="s">
        <v>505</v>
      </c>
      <c r="O15183">
        <v>250610</v>
      </c>
      <c r="P15183">
        <v>4.7699999999999996</v>
      </c>
    </row>
    <row r="15184" spans="1:16" x14ac:dyDescent="0.25">
      <c r="A15184" t="s">
        <v>3296</v>
      </c>
      <c r="B15184" t="s">
        <v>2931</v>
      </c>
      <c r="C15184">
        <v>7933</v>
      </c>
      <c r="D15184" t="str">
        <f>"1817556     "</f>
        <v xml:space="preserve">1817556     </v>
      </c>
      <c r="E15184" t="s">
        <v>549</v>
      </c>
      <c r="F15184" t="s">
        <v>550</v>
      </c>
      <c r="G15184">
        <v>19.98</v>
      </c>
      <c r="H15184">
        <v>250531</v>
      </c>
      <c r="I15184">
        <v>4600</v>
      </c>
      <c r="J15184" t="s">
        <v>278</v>
      </c>
      <c r="K15184">
        <v>31.96</v>
      </c>
      <c r="L15184">
        <v>4.0599999999999996</v>
      </c>
      <c r="M15184">
        <v>17952</v>
      </c>
      <c r="N15184" t="s">
        <v>157</v>
      </c>
      <c r="O15184">
        <v>250610</v>
      </c>
      <c r="P15184">
        <v>15.92</v>
      </c>
    </row>
    <row r="15185" spans="1:16" x14ac:dyDescent="0.25">
      <c r="A15185" t="s">
        <v>3296</v>
      </c>
      <c r="B15185" t="s">
        <v>2931</v>
      </c>
      <c r="C15185">
        <v>7933</v>
      </c>
      <c r="D15185" t="str">
        <f>"1817556     "</f>
        <v xml:space="preserve">1817556     </v>
      </c>
      <c r="E15185" t="s">
        <v>549</v>
      </c>
      <c r="F15185" t="s">
        <v>550</v>
      </c>
      <c r="G15185">
        <v>5.99</v>
      </c>
      <c r="H15185">
        <v>250531</v>
      </c>
      <c r="I15185">
        <v>4600</v>
      </c>
      <c r="J15185" t="s">
        <v>278</v>
      </c>
      <c r="K15185">
        <v>31.96</v>
      </c>
      <c r="L15185">
        <v>1.22</v>
      </c>
      <c r="M15185">
        <v>17971</v>
      </c>
      <c r="N15185" t="s">
        <v>27</v>
      </c>
      <c r="O15185">
        <v>250610</v>
      </c>
      <c r="P15185">
        <v>4.7699999999999996</v>
      </c>
    </row>
    <row r="15186" spans="1:16" x14ac:dyDescent="0.25">
      <c r="A15186" t="s">
        <v>3296</v>
      </c>
      <c r="B15186" t="s">
        <v>2931</v>
      </c>
      <c r="C15186">
        <v>7968</v>
      </c>
      <c r="D15186" t="str">
        <f t="shared" ref="D15186:D15192" si="259">"1819407     "</f>
        <v xml:space="preserve">1819407     </v>
      </c>
      <c r="E15186" t="s">
        <v>549</v>
      </c>
      <c r="F15186" t="s">
        <v>550</v>
      </c>
      <c r="G15186">
        <v>27.99</v>
      </c>
      <c r="H15186">
        <v>250531</v>
      </c>
      <c r="I15186">
        <v>4600</v>
      </c>
      <c r="J15186" t="s">
        <v>278</v>
      </c>
      <c r="K15186">
        <v>622.84</v>
      </c>
      <c r="L15186">
        <v>5.69</v>
      </c>
      <c r="M15186">
        <v>14952</v>
      </c>
      <c r="N15186" t="s">
        <v>213</v>
      </c>
      <c r="O15186">
        <v>250610</v>
      </c>
      <c r="P15186">
        <v>22.3</v>
      </c>
    </row>
    <row r="15187" spans="1:16" x14ac:dyDescent="0.25">
      <c r="A15187" t="s">
        <v>3296</v>
      </c>
      <c r="B15187" t="s">
        <v>2931</v>
      </c>
      <c r="C15187">
        <v>7968</v>
      </c>
      <c r="D15187" t="str">
        <f t="shared" si="259"/>
        <v xml:space="preserve">1819407     </v>
      </c>
      <c r="E15187" t="s">
        <v>549</v>
      </c>
      <c r="F15187" t="s">
        <v>550</v>
      </c>
      <c r="G15187">
        <v>77.38</v>
      </c>
      <c r="H15187">
        <v>250531</v>
      </c>
      <c r="I15187">
        <v>4600</v>
      </c>
      <c r="J15187" t="s">
        <v>278</v>
      </c>
      <c r="K15187">
        <v>622.84</v>
      </c>
      <c r="L15187">
        <v>15.72</v>
      </c>
      <c r="M15187">
        <v>56551</v>
      </c>
      <c r="N15187" t="s">
        <v>551</v>
      </c>
      <c r="O15187">
        <v>250610</v>
      </c>
      <c r="P15187">
        <v>61.66</v>
      </c>
    </row>
    <row r="15188" spans="1:16" x14ac:dyDescent="0.25">
      <c r="A15188" t="s">
        <v>3296</v>
      </c>
      <c r="B15188" t="s">
        <v>2931</v>
      </c>
      <c r="C15188">
        <v>7968</v>
      </c>
      <c r="D15188" t="str">
        <f t="shared" si="259"/>
        <v xml:space="preserve">1819407     </v>
      </c>
      <c r="E15188" t="s">
        <v>549</v>
      </c>
      <c r="F15188" t="s">
        <v>550</v>
      </c>
      <c r="G15188">
        <v>74.97</v>
      </c>
      <c r="H15188">
        <v>250531</v>
      </c>
      <c r="I15188">
        <v>4600</v>
      </c>
      <c r="J15188" t="s">
        <v>278</v>
      </c>
      <c r="K15188">
        <v>622.84</v>
      </c>
      <c r="L15188">
        <v>15.23</v>
      </c>
      <c r="M15188">
        <v>56558</v>
      </c>
      <c r="N15188" t="s">
        <v>50</v>
      </c>
      <c r="O15188">
        <v>250610</v>
      </c>
      <c r="P15188">
        <v>59.74</v>
      </c>
    </row>
    <row r="15189" spans="1:16" x14ac:dyDescent="0.25">
      <c r="A15189" t="s">
        <v>3296</v>
      </c>
      <c r="B15189" t="s">
        <v>2931</v>
      </c>
      <c r="C15189">
        <v>7968</v>
      </c>
      <c r="D15189" t="str">
        <f t="shared" si="259"/>
        <v xml:space="preserve">1819407     </v>
      </c>
      <c r="E15189" t="s">
        <v>549</v>
      </c>
      <c r="F15189" t="s">
        <v>550</v>
      </c>
      <c r="G15189">
        <v>175.86</v>
      </c>
      <c r="H15189">
        <v>250531</v>
      </c>
      <c r="I15189">
        <v>4600</v>
      </c>
      <c r="J15189" t="s">
        <v>278</v>
      </c>
      <c r="K15189">
        <v>622.84</v>
      </c>
      <c r="L15189">
        <v>35.729999999999997</v>
      </c>
      <c r="M15189">
        <v>56560</v>
      </c>
      <c r="N15189" t="s">
        <v>52</v>
      </c>
      <c r="O15189">
        <v>250610</v>
      </c>
      <c r="P15189">
        <v>140.13</v>
      </c>
    </row>
    <row r="15190" spans="1:16" x14ac:dyDescent="0.25">
      <c r="A15190" t="s">
        <v>3296</v>
      </c>
      <c r="B15190" t="s">
        <v>2931</v>
      </c>
      <c r="C15190">
        <v>7968</v>
      </c>
      <c r="D15190" t="str">
        <f t="shared" si="259"/>
        <v xml:space="preserve">1819407     </v>
      </c>
      <c r="E15190" t="s">
        <v>549</v>
      </c>
      <c r="F15190" t="s">
        <v>550</v>
      </c>
      <c r="G15190">
        <v>142.44</v>
      </c>
      <c r="H15190">
        <v>250531</v>
      </c>
      <c r="I15190">
        <v>4600</v>
      </c>
      <c r="J15190" t="s">
        <v>278</v>
      </c>
      <c r="K15190">
        <v>622.84</v>
      </c>
      <c r="L15190">
        <v>28.94</v>
      </c>
      <c r="M15190">
        <v>56565</v>
      </c>
      <c r="N15190" t="s">
        <v>57</v>
      </c>
      <c r="O15190">
        <v>250610</v>
      </c>
      <c r="P15190">
        <v>113.5</v>
      </c>
    </row>
    <row r="15191" spans="1:16" x14ac:dyDescent="0.25">
      <c r="A15191" t="s">
        <v>3296</v>
      </c>
      <c r="B15191" t="s">
        <v>2931</v>
      </c>
      <c r="C15191">
        <v>7968</v>
      </c>
      <c r="D15191" t="str">
        <f t="shared" si="259"/>
        <v xml:space="preserve">1819407     </v>
      </c>
      <c r="E15191" t="s">
        <v>549</v>
      </c>
      <c r="F15191" t="s">
        <v>550</v>
      </c>
      <c r="G15191">
        <v>75.72</v>
      </c>
      <c r="H15191">
        <v>250531</v>
      </c>
      <c r="I15191">
        <v>4600</v>
      </c>
      <c r="J15191" t="s">
        <v>278</v>
      </c>
      <c r="K15191">
        <v>622.84</v>
      </c>
      <c r="L15191">
        <v>15.39</v>
      </c>
      <c r="M15191">
        <v>59501</v>
      </c>
      <c r="N15191" t="s">
        <v>62</v>
      </c>
      <c r="O15191">
        <v>250610</v>
      </c>
      <c r="P15191">
        <v>60.33</v>
      </c>
    </row>
    <row r="15192" spans="1:16" x14ac:dyDescent="0.25">
      <c r="A15192" t="s">
        <v>3296</v>
      </c>
      <c r="B15192" t="s">
        <v>2931</v>
      </c>
      <c r="C15192">
        <v>7968</v>
      </c>
      <c r="D15192" t="str">
        <f t="shared" si="259"/>
        <v xml:space="preserve">1819407     </v>
      </c>
      <c r="E15192" t="s">
        <v>549</v>
      </c>
      <c r="F15192" t="s">
        <v>550</v>
      </c>
      <c r="G15192">
        <v>48.48</v>
      </c>
      <c r="H15192">
        <v>250531</v>
      </c>
      <c r="I15192">
        <v>4600</v>
      </c>
      <c r="J15192" t="s">
        <v>278</v>
      </c>
      <c r="K15192">
        <v>622.84</v>
      </c>
      <c r="L15192">
        <v>9.85</v>
      </c>
      <c r="M15192">
        <v>59504</v>
      </c>
      <c r="N15192" t="s">
        <v>193</v>
      </c>
      <c r="O15192">
        <v>250610</v>
      </c>
      <c r="P15192">
        <v>38.630000000000003</v>
      </c>
    </row>
    <row r="15193" spans="1:16" x14ac:dyDescent="0.25">
      <c r="A15193" t="s">
        <v>3296</v>
      </c>
      <c r="B15193" t="s">
        <v>2931</v>
      </c>
      <c r="C15193">
        <v>9402</v>
      </c>
      <c r="D15193" t="str">
        <f>"1881076     "</f>
        <v xml:space="preserve">1881076     </v>
      </c>
      <c r="E15193" t="s">
        <v>549</v>
      </c>
      <c r="F15193" t="s">
        <v>550</v>
      </c>
      <c r="G15193">
        <v>108.77</v>
      </c>
      <c r="H15193">
        <v>250630</v>
      </c>
      <c r="I15193">
        <v>4600</v>
      </c>
      <c r="J15193" t="s">
        <v>278</v>
      </c>
      <c r="K15193">
        <v>269.14</v>
      </c>
      <c r="L15193">
        <v>22.1</v>
      </c>
      <c r="M15193">
        <v>14952</v>
      </c>
      <c r="N15193" t="s">
        <v>213</v>
      </c>
      <c r="O15193">
        <v>250707</v>
      </c>
      <c r="P15193">
        <v>86.67</v>
      </c>
    </row>
    <row r="15194" spans="1:16" x14ac:dyDescent="0.25">
      <c r="A15194" t="s">
        <v>3296</v>
      </c>
      <c r="B15194" t="s">
        <v>2931</v>
      </c>
      <c r="C15194">
        <v>9402</v>
      </c>
      <c r="D15194" t="str">
        <f>"1881076     "</f>
        <v xml:space="preserve">1881076     </v>
      </c>
      <c r="E15194" t="s">
        <v>549</v>
      </c>
      <c r="F15194" t="s">
        <v>550</v>
      </c>
      <c r="G15194">
        <v>9.99</v>
      </c>
      <c r="H15194">
        <v>250630</v>
      </c>
      <c r="I15194">
        <v>4600</v>
      </c>
      <c r="J15194" t="s">
        <v>278</v>
      </c>
      <c r="K15194">
        <v>269.14</v>
      </c>
      <c r="L15194">
        <v>2.0299999999999998</v>
      </c>
      <c r="M15194">
        <v>59501</v>
      </c>
      <c r="N15194" t="s">
        <v>62</v>
      </c>
      <c r="O15194">
        <v>250707</v>
      </c>
      <c r="P15194">
        <v>7.96</v>
      </c>
    </row>
    <row r="15195" spans="1:16" x14ac:dyDescent="0.25">
      <c r="A15195" t="s">
        <v>3296</v>
      </c>
      <c r="B15195" t="s">
        <v>2931</v>
      </c>
      <c r="C15195">
        <v>9402</v>
      </c>
      <c r="D15195" t="str">
        <f>"1881076     "</f>
        <v xml:space="preserve">1881076     </v>
      </c>
      <c r="E15195" t="s">
        <v>549</v>
      </c>
      <c r="F15195" t="s">
        <v>550</v>
      </c>
      <c r="G15195">
        <v>150.38</v>
      </c>
      <c r="H15195">
        <v>250630</v>
      </c>
      <c r="I15195">
        <v>4600</v>
      </c>
      <c r="J15195" t="s">
        <v>278</v>
      </c>
      <c r="K15195">
        <v>269.14</v>
      </c>
      <c r="L15195">
        <v>30.56</v>
      </c>
      <c r="M15195">
        <v>59504</v>
      </c>
      <c r="N15195" t="s">
        <v>193</v>
      </c>
      <c r="O15195">
        <v>250707</v>
      </c>
      <c r="P15195">
        <v>119.82</v>
      </c>
    </row>
    <row r="15196" spans="1:16" x14ac:dyDescent="0.25">
      <c r="A15196" t="s">
        <v>3296</v>
      </c>
      <c r="B15196" t="s">
        <v>2931</v>
      </c>
      <c r="C15196">
        <v>12073</v>
      </c>
      <c r="D15196" t="str">
        <f t="shared" ref="D15196:D15202" si="260">"1997269     "</f>
        <v xml:space="preserve">1997269     </v>
      </c>
      <c r="E15196" t="s">
        <v>549</v>
      </c>
      <c r="F15196" t="s">
        <v>550</v>
      </c>
      <c r="G15196">
        <v>3</v>
      </c>
      <c r="H15196">
        <v>250831</v>
      </c>
      <c r="I15196">
        <v>4600</v>
      </c>
      <c r="J15196" t="s">
        <v>278</v>
      </c>
      <c r="K15196">
        <v>1084.29</v>
      </c>
      <c r="L15196">
        <v>0.61</v>
      </c>
      <c r="M15196">
        <v>11401</v>
      </c>
      <c r="N15196" t="s">
        <v>91</v>
      </c>
      <c r="O15196">
        <v>250916</v>
      </c>
      <c r="P15196">
        <v>2.39</v>
      </c>
    </row>
    <row r="15197" spans="1:16" x14ac:dyDescent="0.25">
      <c r="A15197" t="s">
        <v>3296</v>
      </c>
      <c r="B15197" t="s">
        <v>2931</v>
      </c>
      <c r="C15197">
        <v>12073</v>
      </c>
      <c r="D15197" t="str">
        <f t="shared" si="260"/>
        <v xml:space="preserve">1997269     </v>
      </c>
      <c r="E15197" t="s">
        <v>549</v>
      </c>
      <c r="F15197" t="s">
        <v>550</v>
      </c>
      <c r="G15197">
        <v>12.99</v>
      </c>
      <c r="H15197">
        <v>250831</v>
      </c>
      <c r="I15197">
        <v>4600</v>
      </c>
      <c r="J15197" t="s">
        <v>278</v>
      </c>
      <c r="K15197">
        <v>1084.29</v>
      </c>
      <c r="L15197">
        <v>2.64</v>
      </c>
      <c r="M15197">
        <v>11401</v>
      </c>
      <c r="N15197" t="s">
        <v>91</v>
      </c>
      <c r="O15197">
        <v>250916</v>
      </c>
      <c r="P15197">
        <v>10.35</v>
      </c>
    </row>
    <row r="15198" spans="1:16" x14ac:dyDescent="0.25">
      <c r="A15198" t="s">
        <v>3296</v>
      </c>
      <c r="B15198" t="s">
        <v>2931</v>
      </c>
      <c r="C15198">
        <v>12073</v>
      </c>
      <c r="D15198" t="str">
        <f t="shared" si="260"/>
        <v xml:space="preserve">1997269     </v>
      </c>
      <c r="E15198" t="s">
        <v>549</v>
      </c>
      <c r="F15198" t="s">
        <v>550</v>
      </c>
      <c r="G15198">
        <v>6.99</v>
      </c>
      <c r="H15198">
        <v>250831</v>
      </c>
      <c r="I15198">
        <v>4600</v>
      </c>
      <c r="J15198" t="s">
        <v>278</v>
      </c>
      <c r="K15198">
        <v>1084.29</v>
      </c>
      <c r="L15198">
        <v>1.42</v>
      </c>
      <c r="M15198">
        <v>14952</v>
      </c>
      <c r="N15198" t="s">
        <v>213</v>
      </c>
      <c r="O15198">
        <v>250916</v>
      </c>
      <c r="P15198">
        <v>5.57</v>
      </c>
    </row>
    <row r="15199" spans="1:16" x14ac:dyDescent="0.25">
      <c r="A15199" t="s">
        <v>3296</v>
      </c>
      <c r="B15199" t="s">
        <v>2931</v>
      </c>
      <c r="C15199">
        <v>12073</v>
      </c>
      <c r="D15199" t="str">
        <f t="shared" si="260"/>
        <v xml:space="preserve">1997269     </v>
      </c>
      <c r="E15199" t="s">
        <v>549</v>
      </c>
      <c r="F15199" t="s">
        <v>550</v>
      </c>
      <c r="G15199">
        <v>125.41</v>
      </c>
      <c r="H15199">
        <v>250831</v>
      </c>
      <c r="I15199">
        <v>4600</v>
      </c>
      <c r="J15199" t="s">
        <v>278</v>
      </c>
      <c r="K15199">
        <v>1084.29</v>
      </c>
      <c r="L15199">
        <v>25.48</v>
      </c>
      <c r="M15199">
        <v>56560</v>
      </c>
      <c r="N15199" t="s">
        <v>52</v>
      </c>
      <c r="O15199">
        <v>250916</v>
      </c>
      <c r="P15199">
        <v>99.93</v>
      </c>
    </row>
    <row r="15200" spans="1:16" x14ac:dyDescent="0.25">
      <c r="A15200" t="s">
        <v>3296</v>
      </c>
      <c r="B15200" t="s">
        <v>2931</v>
      </c>
      <c r="C15200">
        <v>12073</v>
      </c>
      <c r="D15200" t="str">
        <f t="shared" si="260"/>
        <v xml:space="preserve">1997269     </v>
      </c>
      <c r="E15200" t="s">
        <v>549</v>
      </c>
      <c r="F15200" t="s">
        <v>550</v>
      </c>
      <c r="G15200">
        <v>78.09</v>
      </c>
      <c r="H15200">
        <v>250831</v>
      </c>
      <c r="I15200">
        <v>4600</v>
      </c>
      <c r="J15200" t="s">
        <v>278</v>
      </c>
      <c r="K15200">
        <v>1084.29</v>
      </c>
      <c r="L15200">
        <v>15.87</v>
      </c>
      <c r="M15200">
        <v>56565</v>
      </c>
      <c r="N15200" t="s">
        <v>57</v>
      </c>
      <c r="O15200">
        <v>250916</v>
      </c>
      <c r="P15200">
        <v>62.22</v>
      </c>
    </row>
    <row r="15201" spans="1:16" x14ac:dyDescent="0.25">
      <c r="A15201" t="s">
        <v>3296</v>
      </c>
      <c r="B15201" t="s">
        <v>2931</v>
      </c>
      <c r="C15201">
        <v>12073</v>
      </c>
      <c r="D15201" t="str">
        <f t="shared" si="260"/>
        <v xml:space="preserve">1997269     </v>
      </c>
      <c r="E15201" t="s">
        <v>549</v>
      </c>
      <c r="F15201" t="s">
        <v>550</v>
      </c>
      <c r="G15201">
        <v>139.18</v>
      </c>
      <c r="H15201">
        <v>250831</v>
      </c>
      <c r="I15201">
        <v>4600</v>
      </c>
      <c r="J15201" t="s">
        <v>278</v>
      </c>
      <c r="K15201">
        <v>1084.29</v>
      </c>
      <c r="L15201">
        <v>28.28</v>
      </c>
      <c r="M15201">
        <v>56573</v>
      </c>
      <c r="N15201" t="s">
        <v>843</v>
      </c>
      <c r="O15201">
        <v>250916</v>
      </c>
      <c r="P15201">
        <v>110.9</v>
      </c>
    </row>
    <row r="15202" spans="1:16" x14ac:dyDescent="0.25">
      <c r="A15202" t="s">
        <v>3296</v>
      </c>
      <c r="B15202" t="s">
        <v>2931</v>
      </c>
      <c r="C15202">
        <v>12073</v>
      </c>
      <c r="D15202" t="str">
        <f t="shared" si="260"/>
        <v xml:space="preserve">1997269     </v>
      </c>
      <c r="E15202" t="s">
        <v>549</v>
      </c>
      <c r="F15202" t="s">
        <v>550</v>
      </c>
      <c r="G15202">
        <v>37.68</v>
      </c>
      <c r="H15202">
        <v>250831</v>
      </c>
      <c r="I15202">
        <v>4600</v>
      </c>
      <c r="J15202" t="s">
        <v>278</v>
      </c>
      <c r="K15202">
        <v>1084.29</v>
      </c>
      <c r="L15202">
        <v>7.66</v>
      </c>
      <c r="M15202">
        <v>59502</v>
      </c>
      <c r="N15202" t="s">
        <v>63</v>
      </c>
      <c r="O15202">
        <v>250916</v>
      </c>
      <c r="P15202">
        <v>30.02</v>
      </c>
    </row>
    <row r="15203" spans="1:16" x14ac:dyDescent="0.25">
      <c r="A15203" t="s">
        <v>3296</v>
      </c>
      <c r="B15203" t="s">
        <v>2931</v>
      </c>
      <c r="C15203">
        <v>13325</v>
      </c>
      <c r="D15203" t="str">
        <f>"2062166     "</f>
        <v xml:space="preserve">2062166     </v>
      </c>
      <c r="E15203" t="s">
        <v>549</v>
      </c>
      <c r="F15203" t="s">
        <v>550</v>
      </c>
      <c r="G15203">
        <v>140.91999999999999</v>
      </c>
      <c r="H15203">
        <v>250930</v>
      </c>
      <c r="I15203">
        <v>4600</v>
      </c>
      <c r="J15203" t="s">
        <v>278</v>
      </c>
      <c r="K15203">
        <v>140.91999999999999</v>
      </c>
      <c r="L15203">
        <v>28.63</v>
      </c>
      <c r="M15203">
        <v>13821</v>
      </c>
      <c r="N15203" t="s">
        <v>867</v>
      </c>
      <c r="O15203">
        <v>251008</v>
      </c>
      <c r="P15203">
        <v>112.29</v>
      </c>
    </row>
    <row r="15204" spans="1:16" x14ac:dyDescent="0.25">
      <c r="A15204" t="s">
        <v>3296</v>
      </c>
      <c r="B15204" t="s">
        <v>2931</v>
      </c>
      <c r="C15204">
        <v>14019</v>
      </c>
      <c r="D15204" t="str">
        <f t="shared" ref="D15204:D15210" si="261">"2054964     "</f>
        <v xml:space="preserve">2054964     </v>
      </c>
      <c r="E15204" t="s">
        <v>549</v>
      </c>
      <c r="F15204" t="s">
        <v>550</v>
      </c>
      <c r="G15204">
        <v>123.71</v>
      </c>
      <c r="H15204">
        <v>251001</v>
      </c>
      <c r="I15204">
        <v>4600</v>
      </c>
      <c r="J15204" t="s">
        <v>278</v>
      </c>
      <c r="K15204">
        <v>1519.19</v>
      </c>
      <c r="L15204">
        <v>25.14</v>
      </c>
      <c r="M15204">
        <v>56522</v>
      </c>
      <c r="N15204" t="s">
        <v>68</v>
      </c>
      <c r="O15204">
        <v>251022</v>
      </c>
      <c r="P15204">
        <v>98.57</v>
      </c>
    </row>
    <row r="15205" spans="1:16" x14ac:dyDescent="0.25">
      <c r="A15205" t="s">
        <v>3296</v>
      </c>
      <c r="B15205" t="s">
        <v>2931</v>
      </c>
      <c r="C15205">
        <v>14019</v>
      </c>
      <c r="D15205" t="str">
        <f t="shared" si="261"/>
        <v xml:space="preserve">2054964     </v>
      </c>
      <c r="E15205" t="s">
        <v>549</v>
      </c>
      <c r="F15205" t="s">
        <v>550</v>
      </c>
      <c r="G15205">
        <v>5.99</v>
      </c>
      <c r="H15205">
        <v>251001</v>
      </c>
      <c r="I15205">
        <v>4600</v>
      </c>
      <c r="J15205" t="s">
        <v>278</v>
      </c>
      <c r="K15205">
        <v>1519.19</v>
      </c>
      <c r="L15205">
        <v>1.22</v>
      </c>
      <c r="M15205">
        <v>56528</v>
      </c>
      <c r="N15205" t="s">
        <v>70</v>
      </c>
      <c r="O15205">
        <v>251022</v>
      </c>
      <c r="P15205">
        <v>4.7699999999999996</v>
      </c>
    </row>
    <row r="15206" spans="1:16" x14ac:dyDescent="0.25">
      <c r="A15206" t="s">
        <v>3296</v>
      </c>
      <c r="B15206" t="s">
        <v>2931</v>
      </c>
      <c r="C15206">
        <v>14019</v>
      </c>
      <c r="D15206" t="str">
        <f t="shared" si="261"/>
        <v xml:space="preserve">2054964     </v>
      </c>
      <c r="E15206" t="s">
        <v>549</v>
      </c>
      <c r="F15206" t="s">
        <v>550</v>
      </c>
      <c r="G15206">
        <v>124.12</v>
      </c>
      <c r="H15206">
        <v>251001</v>
      </c>
      <c r="I15206">
        <v>4600</v>
      </c>
      <c r="J15206" t="s">
        <v>278</v>
      </c>
      <c r="K15206">
        <v>1519.19</v>
      </c>
      <c r="L15206">
        <v>25.22</v>
      </c>
      <c r="M15206">
        <v>56560</v>
      </c>
      <c r="N15206" t="s">
        <v>52</v>
      </c>
      <c r="O15206">
        <v>251022</v>
      </c>
      <c r="P15206">
        <v>98.9</v>
      </c>
    </row>
    <row r="15207" spans="1:16" x14ac:dyDescent="0.25">
      <c r="A15207" t="s">
        <v>3296</v>
      </c>
      <c r="B15207" t="s">
        <v>2931</v>
      </c>
      <c r="C15207">
        <v>14019</v>
      </c>
      <c r="D15207" t="str">
        <f t="shared" si="261"/>
        <v xml:space="preserve">2054964     </v>
      </c>
      <c r="E15207" t="s">
        <v>549</v>
      </c>
      <c r="F15207" t="s">
        <v>550</v>
      </c>
      <c r="G15207">
        <v>342.26</v>
      </c>
      <c r="H15207">
        <v>251001</v>
      </c>
      <c r="I15207">
        <v>4600</v>
      </c>
      <c r="J15207" t="s">
        <v>278</v>
      </c>
      <c r="K15207">
        <v>1519.19</v>
      </c>
      <c r="L15207">
        <v>69.540000000000006</v>
      </c>
      <c r="M15207">
        <v>56565</v>
      </c>
      <c r="N15207" t="s">
        <v>57</v>
      </c>
      <c r="O15207">
        <v>251022</v>
      </c>
      <c r="P15207">
        <v>272.72000000000003</v>
      </c>
    </row>
    <row r="15208" spans="1:16" x14ac:dyDescent="0.25">
      <c r="A15208" t="s">
        <v>3296</v>
      </c>
      <c r="B15208" t="s">
        <v>2931</v>
      </c>
      <c r="C15208">
        <v>14019</v>
      </c>
      <c r="D15208" t="str">
        <f t="shared" si="261"/>
        <v xml:space="preserve">2054964     </v>
      </c>
      <c r="E15208" t="s">
        <v>549</v>
      </c>
      <c r="F15208" t="s">
        <v>550</v>
      </c>
      <c r="G15208">
        <v>103.41</v>
      </c>
      <c r="H15208">
        <v>251001</v>
      </c>
      <c r="I15208">
        <v>4600</v>
      </c>
      <c r="J15208" t="s">
        <v>278</v>
      </c>
      <c r="K15208">
        <v>1519.19</v>
      </c>
      <c r="L15208">
        <v>21.01</v>
      </c>
      <c r="M15208">
        <v>56568</v>
      </c>
      <c r="N15208" t="s">
        <v>354</v>
      </c>
      <c r="O15208">
        <v>251022</v>
      </c>
      <c r="P15208">
        <v>82.4</v>
      </c>
    </row>
    <row r="15209" spans="1:16" x14ac:dyDescent="0.25">
      <c r="A15209" t="s">
        <v>3296</v>
      </c>
      <c r="B15209" t="s">
        <v>2931</v>
      </c>
      <c r="C15209">
        <v>14019</v>
      </c>
      <c r="D15209" t="str">
        <f t="shared" si="261"/>
        <v xml:space="preserve">2054964     </v>
      </c>
      <c r="E15209" t="s">
        <v>549</v>
      </c>
      <c r="F15209" t="s">
        <v>550</v>
      </c>
      <c r="G15209">
        <v>114.39</v>
      </c>
      <c r="H15209">
        <v>251001</v>
      </c>
      <c r="I15209">
        <v>4600</v>
      </c>
      <c r="J15209" t="s">
        <v>278</v>
      </c>
      <c r="K15209">
        <v>1519.19</v>
      </c>
      <c r="L15209">
        <v>23.24</v>
      </c>
      <c r="M15209">
        <v>56573</v>
      </c>
      <c r="N15209" t="s">
        <v>843</v>
      </c>
      <c r="O15209">
        <v>251022</v>
      </c>
      <c r="P15209">
        <v>91.15</v>
      </c>
    </row>
    <row r="15210" spans="1:16" x14ac:dyDescent="0.25">
      <c r="A15210" t="s">
        <v>3296</v>
      </c>
      <c r="B15210" t="s">
        <v>2931</v>
      </c>
      <c r="C15210">
        <v>14019</v>
      </c>
      <c r="D15210" t="str">
        <f t="shared" si="261"/>
        <v xml:space="preserve">2054964     </v>
      </c>
      <c r="E15210" t="s">
        <v>549</v>
      </c>
      <c r="F15210" t="s">
        <v>550</v>
      </c>
      <c r="G15210">
        <v>705.31</v>
      </c>
      <c r="H15210">
        <v>251001</v>
      </c>
      <c r="I15210">
        <v>4600</v>
      </c>
      <c r="J15210" t="s">
        <v>278</v>
      </c>
      <c r="K15210">
        <v>1519.19</v>
      </c>
      <c r="L15210">
        <v>143.31</v>
      </c>
      <c r="M15210">
        <v>59501</v>
      </c>
      <c r="N15210" t="s">
        <v>62</v>
      </c>
      <c r="O15210">
        <v>251022</v>
      </c>
      <c r="P15210">
        <v>562</v>
      </c>
    </row>
    <row r="15211" spans="1:16" x14ac:dyDescent="0.25">
      <c r="A15211" t="s">
        <v>3296</v>
      </c>
      <c r="B15211" t="s">
        <v>2931</v>
      </c>
      <c r="C15211">
        <v>14562</v>
      </c>
      <c r="D15211" t="str">
        <f>"2114853     "</f>
        <v xml:space="preserve">2114853     </v>
      </c>
      <c r="E15211" t="s">
        <v>549</v>
      </c>
      <c r="F15211" t="s">
        <v>550</v>
      </c>
      <c r="G15211">
        <v>122.84</v>
      </c>
      <c r="H15211">
        <v>251031</v>
      </c>
      <c r="I15211">
        <v>4600</v>
      </c>
      <c r="J15211" t="s">
        <v>278</v>
      </c>
      <c r="K15211">
        <v>339.98</v>
      </c>
      <c r="L15211">
        <v>24.96</v>
      </c>
      <c r="M15211">
        <v>17711</v>
      </c>
      <c r="N15211" t="s">
        <v>155</v>
      </c>
      <c r="O15211">
        <v>251104</v>
      </c>
      <c r="P15211">
        <v>97.88</v>
      </c>
    </row>
    <row r="15212" spans="1:16" x14ac:dyDescent="0.25">
      <c r="A15212" t="s">
        <v>3296</v>
      </c>
      <c r="B15212" t="s">
        <v>2931</v>
      </c>
      <c r="C15212">
        <v>14562</v>
      </c>
      <c r="D15212" t="str">
        <f>"2114853     "</f>
        <v xml:space="preserve">2114853     </v>
      </c>
      <c r="E15212" t="s">
        <v>549</v>
      </c>
      <c r="F15212" t="s">
        <v>550</v>
      </c>
      <c r="G15212">
        <v>92.14</v>
      </c>
      <c r="H15212">
        <v>251031</v>
      </c>
      <c r="I15212">
        <v>4600</v>
      </c>
      <c r="J15212" t="s">
        <v>278</v>
      </c>
      <c r="K15212">
        <v>339.98</v>
      </c>
      <c r="L15212">
        <v>18.72</v>
      </c>
      <c r="M15212">
        <v>17952</v>
      </c>
      <c r="N15212" t="s">
        <v>157</v>
      </c>
      <c r="O15212">
        <v>251104</v>
      </c>
      <c r="P15212">
        <v>73.42</v>
      </c>
    </row>
    <row r="15213" spans="1:16" x14ac:dyDescent="0.25">
      <c r="A15213" t="s">
        <v>3296</v>
      </c>
      <c r="B15213" t="s">
        <v>2931</v>
      </c>
      <c r="C15213">
        <v>14918</v>
      </c>
      <c r="D15213" t="str">
        <f>"2122126     "</f>
        <v xml:space="preserve">2122126     </v>
      </c>
      <c r="E15213" t="s">
        <v>549</v>
      </c>
      <c r="F15213" t="s">
        <v>550</v>
      </c>
      <c r="G15213">
        <v>31.95</v>
      </c>
      <c r="H15213">
        <v>251031</v>
      </c>
      <c r="I15213">
        <v>4600</v>
      </c>
      <c r="J15213" t="s">
        <v>278</v>
      </c>
      <c r="K15213">
        <v>31.95</v>
      </c>
      <c r="L15213">
        <v>6.49</v>
      </c>
      <c r="M15213">
        <v>13821</v>
      </c>
      <c r="N15213" t="s">
        <v>867</v>
      </c>
      <c r="O15213">
        <v>251110</v>
      </c>
      <c r="P15213">
        <v>25.46</v>
      </c>
    </row>
    <row r="15214" spans="1:16" x14ac:dyDescent="0.25">
      <c r="A15214" t="s">
        <v>3296</v>
      </c>
      <c r="B15214" t="s">
        <v>2931</v>
      </c>
      <c r="C15214">
        <v>15331</v>
      </c>
      <c r="D15214" t="str">
        <f t="shared" ref="D15214:D15220" si="262">"2116667     "</f>
        <v xml:space="preserve">2116667     </v>
      </c>
      <c r="E15214" t="s">
        <v>549</v>
      </c>
      <c r="F15214" t="s">
        <v>550</v>
      </c>
      <c r="G15214">
        <v>39.99</v>
      </c>
      <c r="H15214">
        <v>251031</v>
      </c>
      <c r="I15214">
        <v>4600</v>
      </c>
      <c r="J15214" t="s">
        <v>278</v>
      </c>
      <c r="K15214">
        <v>957.36</v>
      </c>
      <c r="L15214">
        <v>4.91</v>
      </c>
      <c r="M15214">
        <v>56528</v>
      </c>
      <c r="N15214" t="s">
        <v>70</v>
      </c>
      <c r="O15214">
        <v>251119</v>
      </c>
      <c r="P15214">
        <v>35.08</v>
      </c>
    </row>
    <row r="15215" spans="1:16" x14ac:dyDescent="0.25">
      <c r="A15215" t="s">
        <v>3296</v>
      </c>
      <c r="B15215" t="s">
        <v>2931</v>
      </c>
      <c r="C15215">
        <v>15331</v>
      </c>
      <c r="D15215" t="str">
        <f t="shared" si="262"/>
        <v xml:space="preserve">2116667     </v>
      </c>
      <c r="E15215" t="s">
        <v>549</v>
      </c>
      <c r="F15215" t="s">
        <v>550</v>
      </c>
      <c r="G15215">
        <v>21.54</v>
      </c>
      <c r="H15215">
        <v>251031</v>
      </c>
      <c r="I15215">
        <v>4600</v>
      </c>
      <c r="J15215" t="s">
        <v>278</v>
      </c>
      <c r="K15215">
        <v>957.36</v>
      </c>
      <c r="L15215">
        <v>4.38</v>
      </c>
      <c r="M15215">
        <v>56560</v>
      </c>
      <c r="N15215" t="s">
        <v>52</v>
      </c>
      <c r="O15215">
        <v>251119</v>
      </c>
      <c r="P15215">
        <v>17.16</v>
      </c>
    </row>
    <row r="15216" spans="1:16" x14ac:dyDescent="0.25">
      <c r="A15216" t="s">
        <v>3296</v>
      </c>
      <c r="B15216" t="s">
        <v>2931</v>
      </c>
      <c r="C15216">
        <v>15331</v>
      </c>
      <c r="D15216" t="str">
        <f t="shared" si="262"/>
        <v xml:space="preserve">2116667     </v>
      </c>
      <c r="E15216" t="s">
        <v>549</v>
      </c>
      <c r="F15216" t="s">
        <v>550</v>
      </c>
      <c r="G15216">
        <v>279.39999999999998</v>
      </c>
      <c r="H15216">
        <v>251031</v>
      </c>
      <c r="I15216">
        <v>4600</v>
      </c>
      <c r="J15216" t="s">
        <v>278</v>
      </c>
      <c r="K15216">
        <v>957.36</v>
      </c>
      <c r="L15216">
        <v>56.77</v>
      </c>
      <c r="M15216">
        <v>56565</v>
      </c>
      <c r="N15216" t="s">
        <v>57</v>
      </c>
      <c r="O15216">
        <v>251119</v>
      </c>
      <c r="P15216">
        <v>222.63</v>
      </c>
    </row>
    <row r="15217" spans="1:16" x14ac:dyDescent="0.25">
      <c r="A15217" t="s">
        <v>3296</v>
      </c>
      <c r="B15217" t="s">
        <v>2931</v>
      </c>
      <c r="C15217">
        <v>15331</v>
      </c>
      <c r="D15217" t="str">
        <f t="shared" si="262"/>
        <v xml:space="preserve">2116667     </v>
      </c>
      <c r="E15217" t="s">
        <v>549</v>
      </c>
      <c r="F15217" t="s">
        <v>550</v>
      </c>
      <c r="G15217">
        <v>72.97</v>
      </c>
      <c r="H15217">
        <v>251031</v>
      </c>
      <c r="I15217">
        <v>4600</v>
      </c>
      <c r="J15217" t="s">
        <v>278</v>
      </c>
      <c r="K15217">
        <v>957.36</v>
      </c>
      <c r="L15217">
        <v>14.83</v>
      </c>
      <c r="M15217">
        <v>56568</v>
      </c>
      <c r="N15217" t="s">
        <v>354</v>
      </c>
      <c r="O15217">
        <v>251119</v>
      </c>
      <c r="P15217">
        <v>58.14</v>
      </c>
    </row>
    <row r="15218" spans="1:16" x14ac:dyDescent="0.25">
      <c r="A15218" t="s">
        <v>3296</v>
      </c>
      <c r="B15218" t="s">
        <v>2931</v>
      </c>
      <c r="C15218">
        <v>15331</v>
      </c>
      <c r="D15218" t="str">
        <f t="shared" si="262"/>
        <v xml:space="preserve">2116667     </v>
      </c>
      <c r="E15218" t="s">
        <v>549</v>
      </c>
      <c r="F15218" t="s">
        <v>550</v>
      </c>
      <c r="G15218">
        <v>16.989999999999998</v>
      </c>
      <c r="H15218">
        <v>251031</v>
      </c>
      <c r="I15218">
        <v>4600</v>
      </c>
      <c r="J15218" t="s">
        <v>278</v>
      </c>
      <c r="K15218">
        <v>957.36</v>
      </c>
      <c r="L15218">
        <v>3.45</v>
      </c>
      <c r="M15218">
        <v>56571</v>
      </c>
      <c r="N15218" t="s">
        <v>553</v>
      </c>
      <c r="O15218">
        <v>251119</v>
      </c>
      <c r="P15218">
        <v>13.54</v>
      </c>
    </row>
    <row r="15219" spans="1:16" x14ac:dyDescent="0.25">
      <c r="A15219" t="s">
        <v>3296</v>
      </c>
      <c r="B15219" t="s">
        <v>2931</v>
      </c>
      <c r="C15219">
        <v>15331</v>
      </c>
      <c r="D15219" t="str">
        <f t="shared" si="262"/>
        <v xml:space="preserve">2116667     </v>
      </c>
      <c r="E15219" t="s">
        <v>549</v>
      </c>
      <c r="F15219" t="s">
        <v>550</v>
      </c>
      <c r="G15219">
        <v>19.98</v>
      </c>
      <c r="H15219">
        <v>251031</v>
      </c>
      <c r="I15219">
        <v>4600</v>
      </c>
      <c r="J15219" t="s">
        <v>278</v>
      </c>
      <c r="K15219">
        <v>957.36</v>
      </c>
      <c r="L15219">
        <v>4.0599999999999996</v>
      </c>
      <c r="M15219">
        <v>59501</v>
      </c>
      <c r="N15219" t="s">
        <v>62</v>
      </c>
      <c r="O15219">
        <v>251119</v>
      </c>
      <c r="P15219">
        <v>15.92</v>
      </c>
    </row>
    <row r="15220" spans="1:16" x14ac:dyDescent="0.25">
      <c r="A15220" t="s">
        <v>3296</v>
      </c>
      <c r="B15220" t="s">
        <v>2931</v>
      </c>
      <c r="C15220">
        <v>15331</v>
      </c>
      <c r="D15220" t="str">
        <f t="shared" si="262"/>
        <v xml:space="preserve">2116667     </v>
      </c>
      <c r="E15220" t="s">
        <v>549</v>
      </c>
      <c r="F15220" t="s">
        <v>550</v>
      </c>
      <c r="G15220">
        <v>133.82</v>
      </c>
      <c r="H15220">
        <v>251031</v>
      </c>
      <c r="I15220">
        <v>4600</v>
      </c>
      <c r="J15220" t="s">
        <v>278</v>
      </c>
      <c r="K15220">
        <v>957.36</v>
      </c>
      <c r="L15220">
        <v>27.19</v>
      </c>
      <c r="M15220">
        <v>59504</v>
      </c>
      <c r="N15220" t="s">
        <v>193</v>
      </c>
      <c r="O15220">
        <v>251119</v>
      </c>
      <c r="P15220">
        <v>106.63</v>
      </c>
    </row>
    <row r="15221" spans="1:16" x14ac:dyDescent="0.25">
      <c r="A15221" t="s">
        <v>3296</v>
      </c>
      <c r="B15221" t="s">
        <v>2931</v>
      </c>
      <c r="C15221">
        <v>16029</v>
      </c>
      <c r="D15221" t="str">
        <f>"2172008     "</f>
        <v xml:space="preserve">2172008     </v>
      </c>
      <c r="E15221" t="s">
        <v>549</v>
      </c>
      <c r="F15221" t="s">
        <v>550</v>
      </c>
      <c r="G15221">
        <v>23.07</v>
      </c>
      <c r="H15221">
        <v>251130</v>
      </c>
      <c r="I15221">
        <v>4600</v>
      </c>
      <c r="J15221" t="s">
        <v>278</v>
      </c>
      <c r="K15221">
        <v>23.07</v>
      </c>
      <c r="L15221">
        <v>4.6900000000000004</v>
      </c>
      <c r="M15221">
        <v>17952</v>
      </c>
      <c r="N15221" t="s">
        <v>157</v>
      </c>
      <c r="O15221">
        <v>251202</v>
      </c>
      <c r="P15221">
        <v>18.38</v>
      </c>
    </row>
    <row r="15222" spans="1:16" x14ac:dyDescent="0.25">
      <c r="A15222" t="s">
        <v>3296</v>
      </c>
      <c r="B15222" t="s">
        <v>2931</v>
      </c>
      <c r="C15222">
        <v>16481</v>
      </c>
      <c r="D15222" t="str">
        <f>"2180259     "</f>
        <v xml:space="preserve">2180259     </v>
      </c>
      <c r="E15222" t="s">
        <v>549</v>
      </c>
      <c r="F15222" t="s">
        <v>550</v>
      </c>
      <c r="G15222">
        <v>110.79</v>
      </c>
      <c r="H15222">
        <v>251130</v>
      </c>
      <c r="I15222">
        <v>4600</v>
      </c>
      <c r="J15222" t="s">
        <v>278</v>
      </c>
      <c r="K15222">
        <v>110.79</v>
      </c>
      <c r="L15222">
        <v>22.51</v>
      </c>
      <c r="M15222">
        <v>13801</v>
      </c>
      <c r="N15222" t="s">
        <v>33</v>
      </c>
      <c r="O15222">
        <v>251209</v>
      </c>
      <c r="P15222">
        <v>88.28</v>
      </c>
    </row>
    <row r="15223" spans="1:16" x14ac:dyDescent="0.25">
      <c r="A15223" t="s">
        <v>3296</v>
      </c>
      <c r="B15223" t="s">
        <v>2931</v>
      </c>
      <c r="C15223">
        <v>17241</v>
      </c>
      <c r="D15223" t="str">
        <f t="shared" ref="D15223:D15228" si="263">"2172974     "</f>
        <v xml:space="preserve">2172974     </v>
      </c>
      <c r="E15223" t="s">
        <v>549</v>
      </c>
      <c r="F15223" t="s">
        <v>550</v>
      </c>
      <c r="G15223">
        <v>9.18</v>
      </c>
      <c r="H15223">
        <v>251201</v>
      </c>
      <c r="I15223">
        <v>4600</v>
      </c>
      <c r="J15223" t="s">
        <v>278</v>
      </c>
      <c r="K15223">
        <v>1452.52</v>
      </c>
      <c r="L15223">
        <v>1.87</v>
      </c>
      <c r="M15223">
        <v>54451</v>
      </c>
      <c r="N15223" t="s">
        <v>218</v>
      </c>
      <c r="O15223">
        <v>251218</v>
      </c>
      <c r="P15223">
        <v>7.31</v>
      </c>
    </row>
    <row r="15224" spans="1:16" x14ac:dyDescent="0.25">
      <c r="A15224" t="s">
        <v>3296</v>
      </c>
      <c r="B15224" t="s">
        <v>2931</v>
      </c>
      <c r="C15224">
        <v>17241</v>
      </c>
      <c r="D15224" t="str">
        <f t="shared" si="263"/>
        <v xml:space="preserve">2172974     </v>
      </c>
      <c r="E15224" t="s">
        <v>549</v>
      </c>
      <c r="F15224" t="s">
        <v>550</v>
      </c>
      <c r="G15224">
        <v>50.28</v>
      </c>
      <c r="H15224">
        <v>251201</v>
      </c>
      <c r="I15224">
        <v>4600</v>
      </c>
      <c r="J15224" t="s">
        <v>278</v>
      </c>
      <c r="K15224">
        <v>1452.52</v>
      </c>
      <c r="L15224">
        <v>10.220000000000001</v>
      </c>
      <c r="M15224">
        <v>56524</v>
      </c>
      <c r="N15224" t="s">
        <v>69</v>
      </c>
      <c r="O15224">
        <v>251218</v>
      </c>
      <c r="P15224">
        <v>40.06</v>
      </c>
    </row>
    <row r="15225" spans="1:16" x14ac:dyDescent="0.25">
      <c r="A15225" t="s">
        <v>3296</v>
      </c>
      <c r="B15225" t="s">
        <v>2931</v>
      </c>
      <c r="C15225">
        <v>17241</v>
      </c>
      <c r="D15225" t="str">
        <f t="shared" si="263"/>
        <v xml:space="preserve">2172974     </v>
      </c>
      <c r="E15225" t="s">
        <v>549</v>
      </c>
      <c r="F15225" t="s">
        <v>550</v>
      </c>
      <c r="G15225">
        <v>239.36</v>
      </c>
      <c r="H15225">
        <v>251201</v>
      </c>
      <c r="I15225">
        <v>4600</v>
      </c>
      <c r="J15225" t="s">
        <v>278</v>
      </c>
      <c r="K15225">
        <v>1452.52</v>
      </c>
      <c r="L15225">
        <v>48.63</v>
      </c>
      <c r="M15225">
        <v>56560</v>
      </c>
      <c r="N15225" t="s">
        <v>52</v>
      </c>
      <c r="O15225">
        <v>251218</v>
      </c>
      <c r="P15225">
        <v>190.73</v>
      </c>
    </row>
    <row r="15226" spans="1:16" x14ac:dyDescent="0.25">
      <c r="A15226" t="s">
        <v>3296</v>
      </c>
      <c r="B15226" t="s">
        <v>2931</v>
      </c>
      <c r="C15226">
        <v>17241</v>
      </c>
      <c r="D15226" t="str">
        <f t="shared" si="263"/>
        <v xml:space="preserve">2172974     </v>
      </c>
      <c r="E15226" t="s">
        <v>549</v>
      </c>
      <c r="F15226" t="s">
        <v>550</v>
      </c>
      <c r="G15226">
        <v>347.82</v>
      </c>
      <c r="H15226">
        <v>251201</v>
      </c>
      <c r="I15226">
        <v>4600</v>
      </c>
      <c r="J15226" t="s">
        <v>278</v>
      </c>
      <c r="K15226">
        <v>1452.52</v>
      </c>
      <c r="L15226">
        <v>70.67</v>
      </c>
      <c r="M15226">
        <v>56565</v>
      </c>
      <c r="N15226" t="s">
        <v>57</v>
      </c>
      <c r="O15226">
        <v>251218</v>
      </c>
      <c r="P15226">
        <v>277.14999999999998</v>
      </c>
    </row>
    <row r="15227" spans="1:16" x14ac:dyDescent="0.25">
      <c r="A15227" t="s">
        <v>3296</v>
      </c>
      <c r="B15227" t="s">
        <v>2931</v>
      </c>
      <c r="C15227">
        <v>17241</v>
      </c>
      <c r="D15227" t="str">
        <f t="shared" si="263"/>
        <v xml:space="preserve">2172974     </v>
      </c>
      <c r="E15227" t="s">
        <v>549</v>
      </c>
      <c r="F15227" t="s">
        <v>550</v>
      </c>
      <c r="G15227">
        <v>226.34</v>
      </c>
      <c r="H15227">
        <v>251201</v>
      </c>
      <c r="I15227">
        <v>4600</v>
      </c>
      <c r="J15227" t="s">
        <v>278</v>
      </c>
      <c r="K15227">
        <v>1452.52</v>
      </c>
      <c r="L15227">
        <v>45.99</v>
      </c>
      <c r="M15227">
        <v>56568</v>
      </c>
      <c r="N15227" t="s">
        <v>354</v>
      </c>
      <c r="O15227">
        <v>251218</v>
      </c>
      <c r="P15227">
        <v>180.35</v>
      </c>
    </row>
    <row r="15228" spans="1:16" x14ac:dyDescent="0.25">
      <c r="A15228" t="s">
        <v>3296</v>
      </c>
      <c r="B15228" t="s">
        <v>2931</v>
      </c>
      <c r="C15228">
        <v>17241</v>
      </c>
      <c r="D15228" t="str">
        <f t="shared" si="263"/>
        <v xml:space="preserve">2172974     </v>
      </c>
      <c r="E15228" t="s">
        <v>549</v>
      </c>
      <c r="F15228" t="s">
        <v>550</v>
      </c>
      <c r="G15228">
        <v>251.99</v>
      </c>
      <c r="H15228">
        <v>251201</v>
      </c>
      <c r="I15228">
        <v>4600</v>
      </c>
      <c r="J15228" t="s">
        <v>278</v>
      </c>
      <c r="K15228">
        <v>1452.52</v>
      </c>
      <c r="L15228">
        <v>51.2</v>
      </c>
      <c r="M15228">
        <v>59501</v>
      </c>
      <c r="N15228" t="s">
        <v>62</v>
      </c>
      <c r="O15228">
        <v>251218</v>
      </c>
      <c r="P15228">
        <v>200.79</v>
      </c>
    </row>
    <row r="15229" spans="1:16" x14ac:dyDescent="0.25">
      <c r="A15229" t="s">
        <v>3296</v>
      </c>
      <c r="B15229" t="s">
        <v>2931</v>
      </c>
      <c r="C15229">
        <v>18039</v>
      </c>
      <c r="D15229" t="str">
        <f>"2227617     "</f>
        <v xml:space="preserve">2227617     </v>
      </c>
      <c r="E15229" t="s">
        <v>549</v>
      </c>
      <c r="F15229" t="s">
        <v>550</v>
      </c>
      <c r="G15229">
        <v>31.96</v>
      </c>
      <c r="H15229">
        <v>251231</v>
      </c>
      <c r="I15229">
        <v>4600</v>
      </c>
      <c r="J15229" t="s">
        <v>278</v>
      </c>
      <c r="K15229">
        <v>31.96</v>
      </c>
      <c r="L15229">
        <v>6.49</v>
      </c>
      <c r="M15229">
        <v>17711</v>
      </c>
      <c r="N15229" t="s">
        <v>155</v>
      </c>
      <c r="O15229">
        <v>260108</v>
      </c>
      <c r="P15229">
        <v>25.47</v>
      </c>
    </row>
    <row r="15230" spans="1:16" x14ac:dyDescent="0.25">
      <c r="A15230" t="s">
        <v>3296</v>
      </c>
      <c r="B15230" t="s">
        <v>2931</v>
      </c>
      <c r="C15230">
        <v>18052</v>
      </c>
      <c r="D15230" t="str">
        <f>"2229784     "</f>
        <v xml:space="preserve">2229784     </v>
      </c>
      <c r="E15230" t="s">
        <v>549</v>
      </c>
      <c r="F15230" t="s">
        <v>550</v>
      </c>
      <c r="G15230">
        <v>37.6</v>
      </c>
      <c r="H15230">
        <v>251231</v>
      </c>
      <c r="I15230">
        <v>4600</v>
      </c>
      <c r="J15230" t="s">
        <v>278</v>
      </c>
      <c r="K15230">
        <v>37.6</v>
      </c>
      <c r="L15230">
        <v>7.64</v>
      </c>
      <c r="M15230">
        <v>17807</v>
      </c>
      <c r="N15230" t="s">
        <v>23</v>
      </c>
      <c r="O15230">
        <v>260108</v>
      </c>
      <c r="P15230">
        <v>29.96</v>
      </c>
    </row>
    <row r="15231" spans="1:16" x14ac:dyDescent="0.25">
      <c r="A15231" t="s">
        <v>3296</v>
      </c>
      <c r="B15231" t="s">
        <v>2931</v>
      </c>
      <c r="C15231">
        <v>18295</v>
      </c>
      <c r="D15231" t="str">
        <f>"2229284     "</f>
        <v xml:space="preserve">2229284     </v>
      </c>
      <c r="E15231" t="s">
        <v>549</v>
      </c>
      <c r="F15231" t="s">
        <v>550</v>
      </c>
      <c r="G15231">
        <v>148.58000000000001</v>
      </c>
      <c r="H15231">
        <v>251231</v>
      </c>
      <c r="I15231">
        <v>4600</v>
      </c>
      <c r="J15231" t="s">
        <v>278</v>
      </c>
      <c r="K15231">
        <v>1073.18</v>
      </c>
      <c r="L15231">
        <v>30.19</v>
      </c>
      <c r="M15231">
        <v>56528</v>
      </c>
      <c r="N15231" t="s">
        <v>70</v>
      </c>
      <c r="O15231">
        <v>260113</v>
      </c>
      <c r="P15231">
        <v>118.39</v>
      </c>
    </row>
    <row r="15232" spans="1:16" x14ac:dyDescent="0.25">
      <c r="A15232" t="s">
        <v>3296</v>
      </c>
      <c r="B15232" t="s">
        <v>2931</v>
      </c>
      <c r="C15232">
        <v>18295</v>
      </c>
      <c r="D15232" t="str">
        <f>"2229284     "</f>
        <v xml:space="preserve">2229284     </v>
      </c>
      <c r="E15232" t="s">
        <v>549</v>
      </c>
      <c r="F15232" t="s">
        <v>550</v>
      </c>
      <c r="G15232">
        <v>57.98</v>
      </c>
      <c r="H15232">
        <v>251231</v>
      </c>
      <c r="I15232">
        <v>4600</v>
      </c>
      <c r="J15232" t="s">
        <v>278</v>
      </c>
      <c r="K15232">
        <v>1073.18</v>
      </c>
      <c r="L15232">
        <v>11.78</v>
      </c>
      <c r="M15232">
        <v>56558</v>
      </c>
      <c r="N15232" t="s">
        <v>50</v>
      </c>
      <c r="O15232">
        <v>260113</v>
      </c>
      <c r="P15232">
        <v>46.2</v>
      </c>
    </row>
    <row r="15233" spans="1:16" x14ac:dyDescent="0.25">
      <c r="A15233" t="s">
        <v>3296</v>
      </c>
      <c r="B15233" t="s">
        <v>2931</v>
      </c>
      <c r="C15233">
        <v>18295</v>
      </c>
      <c r="D15233" t="str">
        <f>"2229284     "</f>
        <v xml:space="preserve">2229284     </v>
      </c>
      <c r="E15233" t="s">
        <v>549</v>
      </c>
      <c r="F15233" t="s">
        <v>550</v>
      </c>
      <c r="G15233">
        <v>637</v>
      </c>
      <c r="H15233">
        <v>251231</v>
      </c>
      <c r="I15233">
        <v>4600</v>
      </c>
      <c r="J15233" t="s">
        <v>278</v>
      </c>
      <c r="K15233">
        <v>1073.18</v>
      </c>
      <c r="L15233">
        <v>129.43</v>
      </c>
      <c r="M15233">
        <v>56565</v>
      </c>
      <c r="N15233" t="s">
        <v>57</v>
      </c>
      <c r="O15233">
        <v>260113</v>
      </c>
      <c r="P15233">
        <v>507.57</v>
      </c>
    </row>
    <row r="15234" spans="1:16" x14ac:dyDescent="0.25">
      <c r="A15234" t="s">
        <v>3296</v>
      </c>
      <c r="B15234" t="s">
        <v>2931</v>
      </c>
      <c r="C15234">
        <v>12685</v>
      </c>
      <c r="D15234" t="str">
        <f>"2739        "</f>
        <v xml:space="preserve">2739        </v>
      </c>
      <c r="E15234" t="s">
        <v>2372</v>
      </c>
      <c r="F15234" t="s">
        <v>2373</v>
      </c>
      <c r="G15234">
        <v>3314.76</v>
      </c>
      <c r="H15234">
        <v>250924</v>
      </c>
      <c r="I15234">
        <v>4590</v>
      </c>
      <c r="J15234" t="s">
        <v>388</v>
      </c>
      <c r="K15234">
        <v>3314.76</v>
      </c>
      <c r="L15234">
        <v>673.52</v>
      </c>
      <c r="M15234">
        <v>56561</v>
      </c>
      <c r="N15234" t="s">
        <v>53</v>
      </c>
      <c r="O15234">
        <v>250929</v>
      </c>
      <c r="P15234">
        <v>2641.24</v>
      </c>
    </row>
    <row r="15235" spans="1:16" x14ac:dyDescent="0.25">
      <c r="A15235" t="s">
        <v>3296</v>
      </c>
      <c r="B15235" t="s">
        <v>2931</v>
      </c>
      <c r="C15235">
        <v>14942</v>
      </c>
      <c r="D15235" t="str">
        <f>"2051        "</f>
        <v xml:space="preserve">2051        </v>
      </c>
      <c r="E15235" t="s">
        <v>2536</v>
      </c>
      <c r="F15235" t="s">
        <v>2537</v>
      </c>
      <c r="G15235">
        <v>314.38</v>
      </c>
      <c r="H15235">
        <v>251104</v>
      </c>
      <c r="I15235">
        <v>4400</v>
      </c>
      <c r="J15235" t="s">
        <v>162</v>
      </c>
      <c r="K15235">
        <v>314.38</v>
      </c>
      <c r="L15235">
        <v>63.88</v>
      </c>
      <c r="M15235">
        <v>17534</v>
      </c>
      <c r="N15235" t="s">
        <v>148</v>
      </c>
      <c r="O15235">
        <v>251110</v>
      </c>
      <c r="P15235">
        <v>250.5</v>
      </c>
    </row>
    <row r="15236" spans="1:16" x14ac:dyDescent="0.25">
      <c r="A15236" t="s">
        <v>3296</v>
      </c>
      <c r="B15236" t="s">
        <v>2931</v>
      </c>
      <c r="C15236">
        <v>2228</v>
      </c>
      <c r="D15236" t="str">
        <f>"765664      "</f>
        <v xml:space="preserve">765664      </v>
      </c>
      <c r="E15236" t="s">
        <v>1225</v>
      </c>
      <c r="F15236" t="s">
        <v>1226</v>
      </c>
      <c r="G15236">
        <v>21.33</v>
      </c>
      <c r="H15236">
        <v>250218</v>
      </c>
      <c r="I15236">
        <v>4552</v>
      </c>
      <c r="J15236" t="s">
        <v>1025</v>
      </c>
      <c r="K15236">
        <v>628.28</v>
      </c>
      <c r="L15236">
        <v>4.33</v>
      </c>
      <c r="M15236">
        <v>66754</v>
      </c>
      <c r="N15236" t="s">
        <v>119</v>
      </c>
      <c r="O15236">
        <v>250221</v>
      </c>
      <c r="P15236">
        <v>17</v>
      </c>
    </row>
    <row r="15237" spans="1:16" x14ac:dyDescent="0.25">
      <c r="A15237" t="s">
        <v>3296</v>
      </c>
      <c r="B15237" t="s">
        <v>2931</v>
      </c>
      <c r="C15237">
        <v>2228</v>
      </c>
      <c r="D15237" t="str">
        <f>"765664      "</f>
        <v xml:space="preserve">765664      </v>
      </c>
      <c r="E15237" t="s">
        <v>1225</v>
      </c>
      <c r="F15237" t="s">
        <v>1226</v>
      </c>
      <c r="G15237">
        <v>606.95000000000005</v>
      </c>
      <c r="H15237">
        <v>250218</v>
      </c>
      <c r="I15237">
        <v>4552</v>
      </c>
      <c r="J15237" t="s">
        <v>1025</v>
      </c>
      <c r="K15237">
        <v>628.28</v>
      </c>
      <c r="L15237">
        <v>123.32</v>
      </c>
      <c r="M15237">
        <v>66754</v>
      </c>
      <c r="N15237" t="s">
        <v>119</v>
      </c>
      <c r="O15237">
        <v>250221</v>
      </c>
      <c r="P15237">
        <v>483.63</v>
      </c>
    </row>
    <row r="15238" spans="1:16" x14ac:dyDescent="0.25">
      <c r="A15238" t="s">
        <v>3296</v>
      </c>
      <c r="B15238" t="s">
        <v>2931</v>
      </c>
      <c r="C15238">
        <v>15741</v>
      </c>
      <c r="D15238" t="str">
        <f>"771319      "</f>
        <v xml:space="preserve">771319      </v>
      </c>
      <c r="E15238" t="s">
        <v>1225</v>
      </c>
      <c r="F15238" t="s">
        <v>1226</v>
      </c>
      <c r="G15238">
        <v>189.13</v>
      </c>
      <c r="H15238">
        <v>251118</v>
      </c>
      <c r="I15238">
        <v>4552</v>
      </c>
      <c r="J15238" t="s">
        <v>1025</v>
      </c>
      <c r="K15238">
        <v>3979.14</v>
      </c>
      <c r="L15238">
        <v>38.43</v>
      </c>
      <c r="M15238">
        <v>66754</v>
      </c>
      <c r="N15238" t="s">
        <v>119</v>
      </c>
      <c r="O15238">
        <v>251126</v>
      </c>
      <c r="P15238">
        <v>150.69999999999999</v>
      </c>
    </row>
    <row r="15239" spans="1:16" x14ac:dyDescent="0.25">
      <c r="A15239" t="s">
        <v>3296</v>
      </c>
      <c r="B15239" t="s">
        <v>2931</v>
      </c>
      <c r="C15239">
        <v>15741</v>
      </c>
      <c r="D15239" t="str">
        <f>"771319      "</f>
        <v xml:space="preserve">771319      </v>
      </c>
      <c r="E15239" t="s">
        <v>1225</v>
      </c>
      <c r="F15239" t="s">
        <v>1226</v>
      </c>
      <c r="G15239">
        <v>3790.01</v>
      </c>
      <c r="H15239">
        <v>251118</v>
      </c>
      <c r="I15239">
        <v>4552</v>
      </c>
      <c r="J15239" t="s">
        <v>1025</v>
      </c>
      <c r="K15239">
        <v>3979.14</v>
      </c>
      <c r="L15239">
        <v>770.08</v>
      </c>
      <c r="M15239">
        <v>66754</v>
      </c>
      <c r="N15239" t="s">
        <v>119</v>
      </c>
      <c r="O15239">
        <v>251126</v>
      </c>
      <c r="P15239">
        <v>3019.93</v>
      </c>
    </row>
    <row r="15240" spans="1:16" x14ac:dyDescent="0.25">
      <c r="A15240" t="s">
        <v>3296</v>
      </c>
      <c r="B15240" t="s">
        <v>2931</v>
      </c>
      <c r="C15240">
        <v>16514</v>
      </c>
      <c r="D15240" t="str">
        <f>"771509      "</f>
        <v xml:space="preserve">771509      </v>
      </c>
      <c r="E15240" t="s">
        <v>1225</v>
      </c>
      <c r="F15240" t="s">
        <v>1226</v>
      </c>
      <c r="G15240">
        <v>187.62</v>
      </c>
      <c r="H15240">
        <v>251202</v>
      </c>
      <c r="I15240">
        <v>4552</v>
      </c>
      <c r="J15240" t="s">
        <v>1025</v>
      </c>
      <c r="K15240">
        <v>187.62</v>
      </c>
      <c r="L15240">
        <v>38.119999999999997</v>
      </c>
      <c r="M15240">
        <v>66754</v>
      </c>
      <c r="N15240" t="s">
        <v>119</v>
      </c>
      <c r="O15240">
        <v>251209</v>
      </c>
      <c r="P15240">
        <v>149.5</v>
      </c>
    </row>
    <row r="15241" spans="1:16" x14ac:dyDescent="0.25">
      <c r="A15241" t="s">
        <v>3296</v>
      </c>
      <c r="B15241" t="s">
        <v>2931</v>
      </c>
      <c r="C15241">
        <v>13766</v>
      </c>
      <c r="D15241" t="str">
        <f>"770899      "</f>
        <v xml:space="preserve">770899      </v>
      </c>
      <c r="E15241" t="s">
        <v>1225</v>
      </c>
      <c r="F15241" t="s">
        <v>1226</v>
      </c>
      <c r="G15241">
        <v>1369.93</v>
      </c>
      <c r="H15241">
        <v>251010</v>
      </c>
      <c r="I15241">
        <v>4572</v>
      </c>
      <c r="J15241" t="s">
        <v>173</v>
      </c>
      <c r="K15241">
        <v>1369.93</v>
      </c>
      <c r="L15241">
        <v>278.35000000000002</v>
      </c>
      <c r="M15241">
        <v>69501</v>
      </c>
      <c r="N15241" t="s">
        <v>123</v>
      </c>
      <c r="O15241">
        <v>251017</v>
      </c>
      <c r="P15241">
        <v>1091.58</v>
      </c>
    </row>
    <row r="15242" spans="1:16" x14ac:dyDescent="0.25">
      <c r="A15242" t="s">
        <v>3296</v>
      </c>
      <c r="B15242" t="s">
        <v>2931</v>
      </c>
      <c r="C15242">
        <v>5337</v>
      </c>
      <c r="D15242" t="str">
        <f>"767127      "</f>
        <v xml:space="preserve">767127      </v>
      </c>
      <c r="E15242" t="s">
        <v>1225</v>
      </c>
      <c r="F15242" t="s">
        <v>1226</v>
      </c>
      <c r="G15242">
        <v>28.34</v>
      </c>
      <c r="H15242">
        <v>250414</v>
      </c>
      <c r="I15242">
        <v>4600</v>
      </c>
      <c r="J15242" t="s">
        <v>278</v>
      </c>
      <c r="K15242">
        <v>28.34</v>
      </c>
      <c r="L15242">
        <v>5.76</v>
      </c>
      <c r="M15242">
        <v>66754</v>
      </c>
      <c r="N15242" t="s">
        <v>119</v>
      </c>
      <c r="O15242">
        <v>250423</v>
      </c>
      <c r="P15242">
        <v>22.58</v>
      </c>
    </row>
    <row r="15243" spans="1:16" x14ac:dyDescent="0.25">
      <c r="A15243" t="s">
        <v>3296</v>
      </c>
      <c r="B15243" t="s">
        <v>2931</v>
      </c>
      <c r="C15243">
        <v>12534</v>
      </c>
      <c r="D15243" t="str">
        <f>"8476123     "</f>
        <v xml:space="preserve">8476123     </v>
      </c>
      <c r="E15243" t="s">
        <v>3137</v>
      </c>
      <c r="F15243" t="s">
        <v>3138</v>
      </c>
      <c r="G15243">
        <v>41.5</v>
      </c>
      <c r="H15243">
        <v>250916</v>
      </c>
      <c r="I15243">
        <v>4510</v>
      </c>
      <c r="J15243" t="s">
        <v>240</v>
      </c>
      <c r="K15243">
        <v>83</v>
      </c>
      <c r="L15243">
        <v>3.77</v>
      </c>
      <c r="M15243">
        <v>17131</v>
      </c>
      <c r="N15243" t="s">
        <v>154</v>
      </c>
      <c r="O15243">
        <v>250926</v>
      </c>
      <c r="P15243">
        <v>37.729999999999997</v>
      </c>
    </row>
    <row r="15244" spans="1:16" x14ac:dyDescent="0.25">
      <c r="A15244" t="s">
        <v>3296</v>
      </c>
      <c r="B15244" t="s">
        <v>2931</v>
      </c>
      <c r="C15244">
        <v>12534</v>
      </c>
      <c r="D15244" t="str">
        <f>"8476123     "</f>
        <v xml:space="preserve">8476123     </v>
      </c>
      <c r="E15244" t="s">
        <v>3137</v>
      </c>
      <c r="F15244" t="s">
        <v>3138</v>
      </c>
      <c r="G15244">
        <v>41.5</v>
      </c>
      <c r="H15244">
        <v>250916</v>
      </c>
      <c r="I15244">
        <v>4510</v>
      </c>
      <c r="J15244" t="s">
        <v>240</v>
      </c>
      <c r="K15244">
        <v>83</v>
      </c>
      <c r="L15244">
        <v>3.77</v>
      </c>
      <c r="M15244">
        <v>17711</v>
      </c>
      <c r="N15244" t="s">
        <v>155</v>
      </c>
      <c r="O15244">
        <v>250926</v>
      </c>
      <c r="P15244">
        <v>37.729999999999997</v>
      </c>
    </row>
    <row r="15245" spans="1:16" x14ac:dyDescent="0.25">
      <c r="A15245" t="s">
        <v>3296</v>
      </c>
      <c r="B15245" t="s">
        <v>2931</v>
      </c>
      <c r="C15245">
        <v>12702</v>
      </c>
      <c r="D15245" t="str">
        <f>"146532      "</f>
        <v xml:space="preserve">146532      </v>
      </c>
      <c r="E15245" t="s">
        <v>2374</v>
      </c>
      <c r="F15245" t="s">
        <v>2375</v>
      </c>
      <c r="G15245">
        <v>26.7</v>
      </c>
      <c r="H15245">
        <v>250919</v>
      </c>
      <c r="I15245">
        <v>4510</v>
      </c>
      <c r="J15245" t="s">
        <v>240</v>
      </c>
      <c r="K15245">
        <v>64</v>
      </c>
      <c r="L15245">
        <v>2.4300000000000002</v>
      </c>
      <c r="M15245">
        <v>66722</v>
      </c>
      <c r="N15245" t="s">
        <v>118</v>
      </c>
      <c r="O15245">
        <v>250929</v>
      </c>
      <c r="P15245">
        <v>24.27</v>
      </c>
    </row>
    <row r="15246" spans="1:16" x14ac:dyDescent="0.25">
      <c r="A15246" t="s">
        <v>3296</v>
      </c>
      <c r="B15246" t="s">
        <v>2931</v>
      </c>
      <c r="C15246">
        <v>11679</v>
      </c>
      <c r="D15246" t="str">
        <f>"38330       "</f>
        <v xml:space="preserve">38330       </v>
      </c>
      <c r="E15246" t="s">
        <v>690</v>
      </c>
      <c r="F15246" t="s">
        <v>691</v>
      </c>
      <c r="G15246">
        <v>51.98</v>
      </c>
      <c r="H15246">
        <v>250829</v>
      </c>
      <c r="I15246">
        <v>4470</v>
      </c>
      <c r="J15246" t="s">
        <v>203</v>
      </c>
      <c r="K15246">
        <v>51.98</v>
      </c>
      <c r="L15246">
        <v>10.56</v>
      </c>
      <c r="M15246">
        <v>17957</v>
      </c>
      <c r="N15246" t="s">
        <v>812</v>
      </c>
      <c r="O15246">
        <v>250910</v>
      </c>
      <c r="P15246">
        <v>41.42</v>
      </c>
    </row>
    <row r="15247" spans="1:16" x14ac:dyDescent="0.25">
      <c r="A15247" t="s">
        <v>3296</v>
      </c>
      <c r="B15247" t="s">
        <v>2931</v>
      </c>
      <c r="C15247">
        <v>723</v>
      </c>
      <c r="D15247" t="str">
        <f>"35767       "</f>
        <v xml:space="preserve">35767       </v>
      </c>
      <c r="E15247" t="s">
        <v>690</v>
      </c>
      <c r="F15247" t="s">
        <v>691</v>
      </c>
      <c r="G15247">
        <v>22.37</v>
      </c>
      <c r="H15247">
        <v>250124</v>
      </c>
      <c r="I15247">
        <v>4600</v>
      </c>
      <c r="J15247" t="s">
        <v>278</v>
      </c>
      <c r="K15247">
        <v>22.37</v>
      </c>
      <c r="L15247">
        <v>4.55</v>
      </c>
      <c r="M15247">
        <v>17523</v>
      </c>
      <c r="N15247" t="s">
        <v>138</v>
      </c>
      <c r="O15247">
        <v>250128</v>
      </c>
      <c r="P15247">
        <v>17.82</v>
      </c>
    </row>
    <row r="15248" spans="1:16" x14ac:dyDescent="0.25">
      <c r="A15248" t="s">
        <v>3296</v>
      </c>
      <c r="B15248" t="s">
        <v>2931</v>
      </c>
      <c r="C15248">
        <v>1025</v>
      </c>
      <c r="D15248" t="str">
        <f>"35768       "</f>
        <v xml:space="preserve">35768       </v>
      </c>
      <c r="E15248" t="s">
        <v>690</v>
      </c>
      <c r="F15248" t="s">
        <v>691</v>
      </c>
      <c r="G15248">
        <v>375.75</v>
      </c>
      <c r="H15248">
        <v>250124</v>
      </c>
      <c r="I15248">
        <v>4600</v>
      </c>
      <c r="J15248" t="s">
        <v>278</v>
      </c>
      <c r="K15248">
        <v>375.75</v>
      </c>
      <c r="L15248">
        <v>76.349999999999994</v>
      </c>
      <c r="M15248">
        <v>17524</v>
      </c>
      <c r="N15248" t="s">
        <v>139</v>
      </c>
      <c r="O15248">
        <v>250203</v>
      </c>
      <c r="P15248">
        <v>299.39999999999998</v>
      </c>
    </row>
    <row r="15249" spans="1:16" x14ac:dyDescent="0.25">
      <c r="A15249" t="s">
        <v>3296</v>
      </c>
      <c r="B15249" t="s">
        <v>2931</v>
      </c>
      <c r="C15249">
        <v>5276</v>
      </c>
      <c r="D15249" t="str">
        <f>"36405       "</f>
        <v xml:space="preserve">36405       </v>
      </c>
      <c r="E15249" t="s">
        <v>690</v>
      </c>
      <c r="F15249" t="s">
        <v>691</v>
      </c>
      <c r="G15249">
        <v>67.64</v>
      </c>
      <c r="H15249">
        <v>250401</v>
      </c>
      <c r="I15249">
        <v>4600</v>
      </c>
      <c r="J15249" t="s">
        <v>278</v>
      </c>
      <c r="K15249">
        <v>67.64</v>
      </c>
      <c r="L15249">
        <v>13.74</v>
      </c>
      <c r="M15249">
        <v>17531</v>
      </c>
      <c r="N15249" t="s">
        <v>145</v>
      </c>
      <c r="O15249">
        <v>250423</v>
      </c>
      <c r="P15249">
        <v>53.9</v>
      </c>
    </row>
    <row r="15250" spans="1:16" x14ac:dyDescent="0.25">
      <c r="A15250" t="s">
        <v>3296</v>
      </c>
      <c r="B15250" t="s">
        <v>2931</v>
      </c>
      <c r="C15250">
        <v>5276</v>
      </c>
      <c r="D15250" t="str">
        <f>"36405       "</f>
        <v xml:space="preserve">36405       </v>
      </c>
      <c r="E15250" t="s">
        <v>690</v>
      </c>
      <c r="F15250" t="s">
        <v>691</v>
      </c>
      <c r="G15250">
        <v>0</v>
      </c>
      <c r="H15250">
        <v>250401</v>
      </c>
      <c r="I15250">
        <v>4600</v>
      </c>
      <c r="J15250" t="s">
        <v>278</v>
      </c>
      <c r="K15250">
        <v>67.64</v>
      </c>
      <c r="L15250">
        <v>0</v>
      </c>
      <c r="M15250">
        <v>17538</v>
      </c>
      <c r="N15250" t="s">
        <v>129</v>
      </c>
      <c r="O15250">
        <v>250423</v>
      </c>
      <c r="P15250">
        <v>0</v>
      </c>
    </row>
    <row r="15251" spans="1:16" x14ac:dyDescent="0.25">
      <c r="A15251" t="s">
        <v>3296</v>
      </c>
      <c r="B15251" t="s">
        <v>2931</v>
      </c>
      <c r="C15251">
        <v>12800</v>
      </c>
      <c r="D15251" t="str">
        <f>"38658       "</f>
        <v xml:space="preserve">38658       </v>
      </c>
      <c r="E15251" t="s">
        <v>690</v>
      </c>
      <c r="F15251" t="s">
        <v>691</v>
      </c>
      <c r="G15251">
        <v>41.28</v>
      </c>
      <c r="H15251">
        <v>250925</v>
      </c>
      <c r="I15251">
        <v>4600</v>
      </c>
      <c r="J15251" t="s">
        <v>278</v>
      </c>
      <c r="K15251">
        <v>41.28</v>
      </c>
      <c r="L15251">
        <v>8.39</v>
      </c>
      <c r="M15251">
        <v>17523</v>
      </c>
      <c r="N15251" t="s">
        <v>138</v>
      </c>
      <c r="O15251">
        <v>250930</v>
      </c>
      <c r="P15251">
        <v>32.89</v>
      </c>
    </row>
    <row r="15252" spans="1:16" x14ac:dyDescent="0.25">
      <c r="A15252" t="s">
        <v>3296</v>
      </c>
      <c r="B15252" t="s">
        <v>2931</v>
      </c>
      <c r="C15252">
        <v>14045</v>
      </c>
      <c r="D15252" t="str">
        <f>"38845       "</f>
        <v xml:space="preserve">38845       </v>
      </c>
      <c r="E15252" t="s">
        <v>690</v>
      </c>
      <c r="F15252" t="s">
        <v>691</v>
      </c>
      <c r="G15252">
        <v>71.099999999999994</v>
      </c>
      <c r="H15252">
        <v>251010</v>
      </c>
      <c r="I15252">
        <v>4600</v>
      </c>
      <c r="J15252" t="s">
        <v>278</v>
      </c>
      <c r="K15252">
        <v>71.099999999999994</v>
      </c>
      <c r="L15252">
        <v>14.45</v>
      </c>
      <c r="M15252">
        <v>17638</v>
      </c>
      <c r="N15252" t="s">
        <v>1182</v>
      </c>
      <c r="O15252">
        <v>251022</v>
      </c>
      <c r="P15252">
        <v>56.65</v>
      </c>
    </row>
    <row r="15253" spans="1:16" x14ac:dyDescent="0.25">
      <c r="A15253" t="s">
        <v>3296</v>
      </c>
      <c r="B15253" t="s">
        <v>2931</v>
      </c>
      <c r="C15253">
        <v>15188</v>
      </c>
      <c r="D15253" t="str">
        <f>"39181       "</f>
        <v xml:space="preserve">39181       </v>
      </c>
      <c r="E15253" t="s">
        <v>690</v>
      </c>
      <c r="F15253" t="s">
        <v>691</v>
      </c>
      <c r="G15253">
        <v>19.47</v>
      </c>
      <c r="H15253">
        <v>251111</v>
      </c>
      <c r="I15253">
        <v>4600</v>
      </c>
      <c r="J15253" t="s">
        <v>278</v>
      </c>
      <c r="K15253">
        <v>19.47</v>
      </c>
      <c r="L15253">
        <v>3.96</v>
      </c>
      <c r="M15253">
        <v>17638</v>
      </c>
      <c r="N15253" t="s">
        <v>1182</v>
      </c>
      <c r="O15253">
        <v>251113</v>
      </c>
      <c r="P15253">
        <v>15.51</v>
      </c>
    </row>
    <row r="15254" spans="1:16" x14ac:dyDescent="0.25">
      <c r="A15254" t="s">
        <v>3296</v>
      </c>
      <c r="B15254" t="s">
        <v>2931</v>
      </c>
      <c r="C15254">
        <v>1334</v>
      </c>
      <c r="D15254" t="str">
        <f>"2650167     "</f>
        <v xml:space="preserve">2650167     </v>
      </c>
      <c r="E15254" t="s">
        <v>947</v>
      </c>
      <c r="F15254" t="s">
        <v>948</v>
      </c>
      <c r="G15254">
        <v>36.4</v>
      </c>
      <c r="H15254">
        <v>250203</v>
      </c>
      <c r="I15254">
        <v>4364</v>
      </c>
      <c r="J15254" t="s">
        <v>470</v>
      </c>
      <c r="K15254">
        <v>221.76</v>
      </c>
      <c r="L15254">
        <v>7.4</v>
      </c>
      <c r="M15254">
        <v>17971</v>
      </c>
      <c r="N15254" t="s">
        <v>27</v>
      </c>
      <c r="O15254">
        <v>250207</v>
      </c>
      <c r="P15254">
        <v>29</v>
      </c>
    </row>
    <row r="15255" spans="1:16" x14ac:dyDescent="0.25">
      <c r="A15255" t="s">
        <v>3296</v>
      </c>
      <c r="B15255" t="s">
        <v>2931</v>
      </c>
      <c r="C15255">
        <v>1334</v>
      </c>
      <c r="D15255" t="str">
        <f>"2650167     "</f>
        <v xml:space="preserve">2650167     </v>
      </c>
      <c r="E15255" t="s">
        <v>947</v>
      </c>
      <c r="F15255" t="s">
        <v>948</v>
      </c>
      <c r="G15255">
        <v>185.36</v>
      </c>
      <c r="H15255">
        <v>250203</v>
      </c>
      <c r="I15255">
        <v>4600</v>
      </c>
      <c r="J15255" t="s">
        <v>278</v>
      </c>
      <c r="K15255">
        <v>221.76</v>
      </c>
      <c r="L15255">
        <v>37.659999999999997</v>
      </c>
      <c r="M15255">
        <v>17971</v>
      </c>
      <c r="N15255" t="s">
        <v>27</v>
      </c>
      <c r="O15255">
        <v>250207</v>
      </c>
      <c r="P15255">
        <v>147.69999999999999</v>
      </c>
    </row>
    <row r="15256" spans="1:16" x14ac:dyDescent="0.25">
      <c r="A15256" t="s">
        <v>3296</v>
      </c>
      <c r="B15256" t="s">
        <v>2931</v>
      </c>
      <c r="C15256">
        <v>8793</v>
      </c>
      <c r="D15256" t="str">
        <f>"24356       "</f>
        <v xml:space="preserve">24356       </v>
      </c>
      <c r="E15256" t="s">
        <v>1294</v>
      </c>
      <c r="F15256" t="s">
        <v>1295</v>
      </c>
      <c r="G15256">
        <v>43.4</v>
      </c>
      <c r="H15256">
        <v>250610</v>
      </c>
      <c r="I15256">
        <v>4410</v>
      </c>
      <c r="J15256" t="s">
        <v>165</v>
      </c>
      <c r="K15256">
        <v>43.4</v>
      </c>
      <c r="L15256">
        <v>5.33</v>
      </c>
      <c r="M15256">
        <v>69811</v>
      </c>
      <c r="N15256" t="s">
        <v>230</v>
      </c>
      <c r="O15256">
        <v>250618</v>
      </c>
      <c r="P15256">
        <v>38.07</v>
      </c>
    </row>
    <row r="15257" spans="1:16" x14ac:dyDescent="0.25">
      <c r="A15257" t="s">
        <v>3296</v>
      </c>
      <c r="B15257" t="s">
        <v>2931</v>
      </c>
      <c r="C15257">
        <v>2507</v>
      </c>
      <c r="D15257" t="str">
        <f>"22757       "</f>
        <v xml:space="preserve">22757       </v>
      </c>
      <c r="E15257" t="s">
        <v>1294</v>
      </c>
      <c r="F15257" t="s">
        <v>1295</v>
      </c>
      <c r="G15257">
        <v>125.3</v>
      </c>
      <c r="H15257">
        <v>250213</v>
      </c>
      <c r="I15257">
        <v>4520</v>
      </c>
      <c r="J15257" t="s">
        <v>280</v>
      </c>
      <c r="K15257">
        <v>125.3</v>
      </c>
      <c r="L15257">
        <v>15.39</v>
      </c>
      <c r="M15257">
        <v>69811</v>
      </c>
      <c r="N15257" t="s">
        <v>230</v>
      </c>
      <c r="O15257">
        <v>250303</v>
      </c>
      <c r="P15257">
        <v>109.91</v>
      </c>
    </row>
    <row r="15258" spans="1:16" x14ac:dyDescent="0.25">
      <c r="A15258" t="s">
        <v>3296</v>
      </c>
      <c r="B15258" t="s">
        <v>2931</v>
      </c>
      <c r="C15258">
        <v>2801</v>
      </c>
      <c r="D15258" t="str">
        <f>"22908       "</f>
        <v xml:space="preserve">22908       </v>
      </c>
      <c r="E15258" t="s">
        <v>1294</v>
      </c>
      <c r="F15258" t="s">
        <v>1295</v>
      </c>
      <c r="G15258">
        <v>131.9</v>
      </c>
      <c r="H15258">
        <v>250228</v>
      </c>
      <c r="I15258">
        <v>4520</v>
      </c>
      <c r="J15258" t="s">
        <v>280</v>
      </c>
      <c r="K15258">
        <v>131.9</v>
      </c>
      <c r="L15258">
        <v>16.2</v>
      </c>
      <c r="M15258">
        <v>69811</v>
      </c>
      <c r="N15258" t="s">
        <v>230</v>
      </c>
      <c r="O15258">
        <v>250312</v>
      </c>
      <c r="P15258">
        <v>115.7</v>
      </c>
    </row>
    <row r="15259" spans="1:16" x14ac:dyDescent="0.25">
      <c r="A15259" t="s">
        <v>3296</v>
      </c>
      <c r="B15259" t="s">
        <v>2931</v>
      </c>
      <c r="C15259">
        <v>3507</v>
      </c>
      <c r="D15259" t="str">
        <f>"22756       "</f>
        <v xml:space="preserve">22756       </v>
      </c>
      <c r="E15259" t="s">
        <v>1294</v>
      </c>
      <c r="F15259" t="s">
        <v>1295</v>
      </c>
      <c r="G15259">
        <v>33.799999999999997</v>
      </c>
      <c r="H15259">
        <v>250320</v>
      </c>
      <c r="I15259">
        <v>4520</v>
      </c>
      <c r="J15259" t="s">
        <v>280</v>
      </c>
      <c r="K15259">
        <v>33.799999999999997</v>
      </c>
      <c r="L15259">
        <v>4.1500000000000004</v>
      </c>
      <c r="M15259">
        <v>69811</v>
      </c>
      <c r="N15259" t="s">
        <v>230</v>
      </c>
      <c r="O15259">
        <v>250325</v>
      </c>
      <c r="P15259">
        <v>29.65</v>
      </c>
    </row>
    <row r="15260" spans="1:16" x14ac:dyDescent="0.25">
      <c r="A15260" t="s">
        <v>3296</v>
      </c>
      <c r="B15260" t="s">
        <v>2931</v>
      </c>
      <c r="C15260">
        <v>4451</v>
      </c>
      <c r="D15260" t="str">
        <f>"23244       "</f>
        <v xml:space="preserve">23244       </v>
      </c>
      <c r="E15260" t="s">
        <v>1294</v>
      </c>
      <c r="F15260" t="s">
        <v>1295</v>
      </c>
      <c r="G15260">
        <v>72.52</v>
      </c>
      <c r="H15260">
        <v>250331</v>
      </c>
      <c r="I15260">
        <v>4520</v>
      </c>
      <c r="J15260" t="s">
        <v>280</v>
      </c>
      <c r="K15260">
        <v>72.52</v>
      </c>
      <c r="L15260">
        <v>8.91</v>
      </c>
      <c r="M15260">
        <v>68601</v>
      </c>
      <c r="N15260" t="s">
        <v>1031</v>
      </c>
      <c r="O15260">
        <v>250411</v>
      </c>
      <c r="P15260">
        <v>63.61</v>
      </c>
    </row>
    <row r="15261" spans="1:16" x14ac:dyDescent="0.25">
      <c r="A15261" t="s">
        <v>3296</v>
      </c>
      <c r="B15261" t="s">
        <v>2931</v>
      </c>
      <c r="C15261">
        <v>7289</v>
      </c>
      <c r="D15261" t="str">
        <f>"23991       "</f>
        <v xml:space="preserve">23991       </v>
      </c>
      <c r="E15261" t="s">
        <v>1294</v>
      </c>
      <c r="F15261" t="s">
        <v>1295</v>
      </c>
      <c r="G15261">
        <v>72.52</v>
      </c>
      <c r="H15261">
        <v>250520</v>
      </c>
      <c r="I15261">
        <v>4520</v>
      </c>
      <c r="J15261" t="s">
        <v>280</v>
      </c>
      <c r="K15261">
        <v>72.52</v>
      </c>
      <c r="L15261">
        <v>8.91</v>
      </c>
      <c r="M15261">
        <v>68601</v>
      </c>
      <c r="N15261" t="s">
        <v>1031</v>
      </c>
      <c r="O15261">
        <v>250602</v>
      </c>
      <c r="P15261">
        <v>63.61</v>
      </c>
    </row>
    <row r="15262" spans="1:16" x14ac:dyDescent="0.25">
      <c r="A15262" t="s">
        <v>3296</v>
      </c>
      <c r="B15262" t="s">
        <v>2931</v>
      </c>
      <c r="C15262">
        <v>7967</v>
      </c>
      <c r="D15262" t="str">
        <f>"24141       "</f>
        <v xml:space="preserve">24141       </v>
      </c>
      <c r="E15262" t="s">
        <v>1294</v>
      </c>
      <c r="F15262" t="s">
        <v>1295</v>
      </c>
      <c r="G15262">
        <v>753.27</v>
      </c>
      <c r="H15262">
        <v>250531</v>
      </c>
      <c r="I15262">
        <v>4520</v>
      </c>
      <c r="J15262" t="s">
        <v>280</v>
      </c>
      <c r="K15262">
        <v>753.27</v>
      </c>
      <c r="L15262">
        <v>92.51</v>
      </c>
      <c r="M15262">
        <v>69811</v>
      </c>
      <c r="N15262" t="s">
        <v>230</v>
      </c>
      <c r="O15262">
        <v>250610</v>
      </c>
      <c r="P15262">
        <v>660.76</v>
      </c>
    </row>
    <row r="15263" spans="1:16" x14ac:dyDescent="0.25">
      <c r="A15263" t="s">
        <v>3296</v>
      </c>
      <c r="B15263" t="s">
        <v>2931</v>
      </c>
      <c r="C15263">
        <v>11447</v>
      </c>
      <c r="D15263" t="str">
        <f>"25630       "</f>
        <v xml:space="preserve">25630       </v>
      </c>
      <c r="E15263" t="s">
        <v>1294</v>
      </c>
      <c r="F15263" t="s">
        <v>1295</v>
      </c>
      <c r="G15263">
        <v>132.44</v>
      </c>
      <c r="H15263">
        <v>250831</v>
      </c>
      <c r="I15263">
        <v>4520</v>
      </c>
      <c r="J15263" t="s">
        <v>280</v>
      </c>
      <c r="K15263">
        <v>142.35</v>
      </c>
      <c r="L15263">
        <v>16.260000000000002</v>
      </c>
      <c r="M15263">
        <v>69811</v>
      </c>
      <c r="N15263" t="s">
        <v>230</v>
      </c>
      <c r="O15263">
        <v>250905</v>
      </c>
      <c r="P15263">
        <v>116.18</v>
      </c>
    </row>
    <row r="15264" spans="1:16" x14ac:dyDescent="0.25">
      <c r="A15264" t="s">
        <v>3296</v>
      </c>
      <c r="B15264" t="s">
        <v>2931</v>
      </c>
      <c r="C15264">
        <v>12691</v>
      </c>
      <c r="D15264" t="str">
        <f>"26027       "</f>
        <v xml:space="preserve">26027       </v>
      </c>
      <c r="E15264" t="s">
        <v>1294</v>
      </c>
      <c r="F15264" t="s">
        <v>1295</v>
      </c>
      <c r="G15264">
        <v>82.35</v>
      </c>
      <c r="H15264">
        <v>250922</v>
      </c>
      <c r="I15264">
        <v>4520</v>
      </c>
      <c r="J15264" t="s">
        <v>280</v>
      </c>
      <c r="K15264">
        <v>82.35</v>
      </c>
      <c r="L15264">
        <v>10.11</v>
      </c>
      <c r="M15264">
        <v>68601</v>
      </c>
      <c r="N15264" t="s">
        <v>1031</v>
      </c>
      <c r="O15264">
        <v>250929</v>
      </c>
      <c r="P15264">
        <v>72.239999999999995</v>
      </c>
    </row>
    <row r="15265" spans="1:16" x14ac:dyDescent="0.25">
      <c r="A15265" t="s">
        <v>3296</v>
      </c>
      <c r="B15265" t="s">
        <v>2931</v>
      </c>
      <c r="C15265">
        <v>14713</v>
      </c>
      <c r="D15265" t="str">
        <f>"26766       "</f>
        <v xml:space="preserve">26766       </v>
      </c>
      <c r="E15265" t="s">
        <v>1294</v>
      </c>
      <c r="F15265" t="s">
        <v>1295</v>
      </c>
      <c r="G15265">
        <v>114.76</v>
      </c>
      <c r="H15265">
        <v>251031</v>
      </c>
      <c r="I15265">
        <v>4520</v>
      </c>
      <c r="J15265" t="s">
        <v>280</v>
      </c>
      <c r="K15265">
        <v>114.76</v>
      </c>
      <c r="L15265">
        <v>14.09</v>
      </c>
      <c r="M15265">
        <v>69811</v>
      </c>
      <c r="N15265" t="s">
        <v>230</v>
      </c>
      <c r="O15265">
        <v>251106</v>
      </c>
      <c r="P15265">
        <v>100.67</v>
      </c>
    </row>
    <row r="15266" spans="1:16" x14ac:dyDescent="0.25">
      <c r="A15266" t="s">
        <v>3296</v>
      </c>
      <c r="B15266" t="s">
        <v>2931</v>
      </c>
      <c r="C15266">
        <v>15612</v>
      </c>
      <c r="D15266" t="str">
        <f>"27054       "</f>
        <v xml:space="preserve">27054       </v>
      </c>
      <c r="E15266" t="s">
        <v>1294</v>
      </c>
      <c r="F15266" t="s">
        <v>1295</v>
      </c>
      <c r="G15266">
        <v>57.64</v>
      </c>
      <c r="H15266">
        <v>251110</v>
      </c>
      <c r="I15266">
        <v>4520</v>
      </c>
      <c r="J15266" t="s">
        <v>280</v>
      </c>
      <c r="K15266">
        <v>73.239999999999995</v>
      </c>
      <c r="L15266">
        <v>7.08</v>
      </c>
      <c r="M15266">
        <v>68601</v>
      </c>
      <c r="N15266" t="s">
        <v>1031</v>
      </c>
      <c r="O15266">
        <v>251124</v>
      </c>
      <c r="P15266">
        <v>50.56</v>
      </c>
    </row>
    <row r="15267" spans="1:16" x14ac:dyDescent="0.25">
      <c r="A15267" t="s">
        <v>3296</v>
      </c>
      <c r="B15267" t="s">
        <v>2931</v>
      </c>
      <c r="C15267">
        <v>15612</v>
      </c>
      <c r="D15267" t="str">
        <f>"27054       "</f>
        <v xml:space="preserve">27054       </v>
      </c>
      <c r="E15267" t="s">
        <v>1294</v>
      </c>
      <c r="F15267" t="s">
        <v>1295</v>
      </c>
      <c r="G15267">
        <v>15.6</v>
      </c>
      <c r="H15267">
        <v>251110</v>
      </c>
      <c r="I15267">
        <v>4520</v>
      </c>
      <c r="J15267" t="s">
        <v>280</v>
      </c>
      <c r="K15267">
        <v>73.239999999999995</v>
      </c>
      <c r="L15267">
        <v>1.92</v>
      </c>
      <c r="M15267">
        <v>69811</v>
      </c>
      <c r="N15267" t="s">
        <v>230</v>
      </c>
      <c r="O15267">
        <v>251124</v>
      </c>
      <c r="P15267">
        <v>13.68</v>
      </c>
    </row>
    <row r="15268" spans="1:16" x14ac:dyDescent="0.25">
      <c r="A15268" t="s">
        <v>3296</v>
      </c>
      <c r="B15268" t="s">
        <v>2931</v>
      </c>
      <c r="C15268">
        <v>11447</v>
      </c>
      <c r="D15268" t="str">
        <f>"25630       "</f>
        <v xml:space="preserve">25630       </v>
      </c>
      <c r="E15268" t="s">
        <v>1294</v>
      </c>
      <c r="F15268" t="s">
        <v>1295</v>
      </c>
      <c r="G15268">
        <v>9.91</v>
      </c>
      <c r="H15268">
        <v>250831</v>
      </c>
      <c r="I15268">
        <v>4600</v>
      </c>
      <c r="J15268" t="s">
        <v>278</v>
      </c>
      <c r="K15268">
        <v>142.35</v>
      </c>
      <c r="L15268">
        <v>2.0099999999999998</v>
      </c>
      <c r="M15268">
        <v>69811</v>
      </c>
      <c r="N15268" t="s">
        <v>230</v>
      </c>
      <c r="O15268">
        <v>250905</v>
      </c>
      <c r="P15268">
        <v>7.9</v>
      </c>
    </row>
    <row r="15269" spans="1:16" x14ac:dyDescent="0.25">
      <c r="A15269" t="s">
        <v>3296</v>
      </c>
      <c r="B15269" t="s">
        <v>2931</v>
      </c>
      <c r="C15269">
        <v>15900</v>
      </c>
      <c r="D15269" t="str">
        <f>"102         "</f>
        <v xml:space="preserve">102         </v>
      </c>
      <c r="E15269" t="s">
        <v>2626</v>
      </c>
      <c r="F15269" t="s">
        <v>2627</v>
      </c>
      <c r="G15269">
        <v>126.72</v>
      </c>
      <c r="H15269">
        <v>251124</v>
      </c>
      <c r="I15269">
        <v>4470</v>
      </c>
      <c r="J15269" t="s">
        <v>203</v>
      </c>
      <c r="K15269">
        <v>240.72</v>
      </c>
      <c r="L15269">
        <v>25.75</v>
      </c>
      <c r="M15269">
        <v>18995</v>
      </c>
      <c r="N15269" t="s">
        <v>2317</v>
      </c>
      <c r="O15269">
        <v>251128</v>
      </c>
      <c r="P15269">
        <v>100.97</v>
      </c>
    </row>
    <row r="15270" spans="1:16" x14ac:dyDescent="0.25">
      <c r="A15270" t="s">
        <v>3296</v>
      </c>
      <c r="B15270" t="s">
        <v>2931</v>
      </c>
      <c r="C15270">
        <v>15900</v>
      </c>
      <c r="D15270" t="str">
        <f>"102         "</f>
        <v xml:space="preserve">102         </v>
      </c>
      <c r="E15270" t="s">
        <v>2626</v>
      </c>
      <c r="F15270" t="s">
        <v>2627</v>
      </c>
      <c r="G15270">
        <v>114</v>
      </c>
      <c r="H15270">
        <v>251124</v>
      </c>
      <c r="I15270">
        <v>4471</v>
      </c>
      <c r="J15270" t="s">
        <v>191</v>
      </c>
      <c r="K15270">
        <v>240.72</v>
      </c>
      <c r="L15270">
        <v>23.16</v>
      </c>
      <c r="M15270">
        <v>18995</v>
      </c>
      <c r="N15270" t="s">
        <v>2317</v>
      </c>
      <c r="O15270">
        <v>251128</v>
      </c>
      <c r="P15270">
        <v>90.84</v>
      </c>
    </row>
    <row r="15271" spans="1:16" x14ac:dyDescent="0.25">
      <c r="A15271" t="s">
        <v>3296</v>
      </c>
      <c r="B15271" t="s">
        <v>2931</v>
      </c>
      <c r="C15271">
        <v>13963</v>
      </c>
      <c r="D15271" t="str">
        <f>"706         "</f>
        <v xml:space="preserve">706         </v>
      </c>
      <c r="E15271" t="s">
        <v>2435</v>
      </c>
      <c r="F15271" t="s">
        <v>2436</v>
      </c>
      <c r="G15271">
        <v>8.5</v>
      </c>
      <c r="H15271">
        <v>251007</v>
      </c>
      <c r="I15271">
        <v>4347</v>
      </c>
      <c r="J15271" t="s">
        <v>328</v>
      </c>
      <c r="K15271">
        <v>46.7</v>
      </c>
      <c r="L15271">
        <v>1.73</v>
      </c>
      <c r="M15271">
        <v>12982</v>
      </c>
      <c r="N15271" t="s">
        <v>1384</v>
      </c>
      <c r="O15271">
        <v>251021</v>
      </c>
      <c r="P15271">
        <v>6.77</v>
      </c>
    </row>
    <row r="15272" spans="1:16" x14ac:dyDescent="0.25">
      <c r="A15272" t="s">
        <v>3296</v>
      </c>
      <c r="B15272" t="s">
        <v>2931</v>
      </c>
      <c r="C15272">
        <v>13963</v>
      </c>
      <c r="D15272" t="str">
        <f>"706         "</f>
        <v xml:space="preserve">706         </v>
      </c>
      <c r="E15272" t="s">
        <v>2435</v>
      </c>
      <c r="F15272" t="s">
        <v>2436</v>
      </c>
      <c r="G15272">
        <v>38.200000000000003</v>
      </c>
      <c r="H15272">
        <v>251007</v>
      </c>
      <c r="I15272">
        <v>4410</v>
      </c>
      <c r="J15272" t="s">
        <v>165</v>
      </c>
      <c r="K15272">
        <v>46.7</v>
      </c>
      <c r="L15272">
        <v>4.6900000000000004</v>
      </c>
      <c r="M15272">
        <v>12982</v>
      </c>
      <c r="N15272" t="s">
        <v>1384</v>
      </c>
      <c r="O15272">
        <v>251021</v>
      </c>
      <c r="P15272">
        <v>33.51</v>
      </c>
    </row>
    <row r="15273" spans="1:16" x14ac:dyDescent="0.25">
      <c r="A15273" t="s">
        <v>3296</v>
      </c>
      <c r="B15273" t="s">
        <v>2931</v>
      </c>
      <c r="C15273">
        <v>13637</v>
      </c>
      <c r="D15273" t="str">
        <f>"705         "</f>
        <v xml:space="preserve">705         </v>
      </c>
      <c r="E15273" t="s">
        <v>2435</v>
      </c>
      <c r="F15273" t="s">
        <v>2436</v>
      </c>
      <c r="G15273">
        <v>8.5</v>
      </c>
      <c r="H15273">
        <v>250930</v>
      </c>
      <c r="I15273">
        <v>4470</v>
      </c>
      <c r="J15273" t="s">
        <v>203</v>
      </c>
      <c r="K15273">
        <v>148.75</v>
      </c>
      <c r="L15273">
        <v>1.73</v>
      </c>
      <c r="M15273">
        <v>14986</v>
      </c>
      <c r="N15273" t="s">
        <v>2405</v>
      </c>
      <c r="O15273">
        <v>251013</v>
      </c>
      <c r="P15273">
        <v>6.77</v>
      </c>
    </row>
    <row r="15274" spans="1:16" x14ac:dyDescent="0.25">
      <c r="A15274" t="s">
        <v>3296</v>
      </c>
      <c r="B15274" t="s">
        <v>2931</v>
      </c>
      <c r="C15274">
        <v>13637</v>
      </c>
      <c r="D15274" t="str">
        <f>"705         "</f>
        <v xml:space="preserve">705         </v>
      </c>
      <c r="E15274" t="s">
        <v>2435</v>
      </c>
      <c r="F15274" t="s">
        <v>2436</v>
      </c>
      <c r="G15274">
        <v>140.25</v>
      </c>
      <c r="H15274">
        <v>250930</v>
      </c>
      <c r="I15274">
        <v>4520</v>
      </c>
      <c r="J15274" t="s">
        <v>280</v>
      </c>
      <c r="K15274">
        <v>148.75</v>
      </c>
      <c r="L15274">
        <v>17.22</v>
      </c>
      <c r="M15274">
        <v>14986</v>
      </c>
      <c r="N15274" t="s">
        <v>2405</v>
      </c>
      <c r="O15274">
        <v>251013</v>
      </c>
      <c r="P15274">
        <v>123.03</v>
      </c>
    </row>
    <row r="15275" spans="1:16" x14ac:dyDescent="0.25">
      <c r="A15275" t="s">
        <v>3296</v>
      </c>
      <c r="B15275" t="s">
        <v>2931</v>
      </c>
      <c r="C15275">
        <v>2133</v>
      </c>
      <c r="D15275" t="str">
        <f>"1976        "</f>
        <v xml:space="preserve">1976        </v>
      </c>
      <c r="E15275" t="s">
        <v>3011</v>
      </c>
      <c r="F15275" t="s">
        <v>3012</v>
      </c>
      <c r="G15275">
        <v>45</v>
      </c>
      <c r="H15275">
        <v>250214</v>
      </c>
      <c r="I15275">
        <v>4820</v>
      </c>
      <c r="J15275" t="s">
        <v>169</v>
      </c>
      <c r="K15275">
        <v>45</v>
      </c>
      <c r="L15275">
        <v>9.14</v>
      </c>
      <c r="M15275">
        <v>17132</v>
      </c>
      <c r="N15275" t="s">
        <v>174</v>
      </c>
      <c r="O15275">
        <v>250220</v>
      </c>
      <c r="P15275">
        <v>35.86</v>
      </c>
    </row>
    <row r="15276" spans="1:16" x14ac:dyDescent="0.25">
      <c r="A15276" t="s">
        <v>3296</v>
      </c>
      <c r="B15276" t="s">
        <v>2931</v>
      </c>
      <c r="C15276">
        <v>17070</v>
      </c>
      <c r="D15276" t="str">
        <f>"0917        "</f>
        <v xml:space="preserve">0917        </v>
      </c>
      <c r="E15276" t="s">
        <v>2722</v>
      </c>
      <c r="F15276" t="s">
        <v>2723</v>
      </c>
      <c r="G15276">
        <v>250</v>
      </c>
      <c r="H15276">
        <v>251212</v>
      </c>
      <c r="I15276">
        <v>4532</v>
      </c>
      <c r="J15276" t="s">
        <v>296</v>
      </c>
      <c r="K15276">
        <v>250</v>
      </c>
      <c r="L15276">
        <v>0</v>
      </c>
      <c r="M15276">
        <v>17711</v>
      </c>
      <c r="N15276" t="s">
        <v>155</v>
      </c>
      <c r="O15276">
        <v>251216</v>
      </c>
      <c r="P15276">
        <v>250</v>
      </c>
    </row>
    <row r="15277" spans="1:16" x14ac:dyDescent="0.25">
      <c r="A15277" t="s">
        <v>3296</v>
      </c>
      <c r="B15277" t="s">
        <v>2931</v>
      </c>
      <c r="C15277">
        <v>101</v>
      </c>
      <c r="D15277" t="str">
        <f>"2024.1190   "</f>
        <v xml:space="preserve">2024.1190   </v>
      </c>
      <c r="E15277" t="s">
        <v>197</v>
      </c>
      <c r="F15277" t="s">
        <v>199</v>
      </c>
      <c r="G15277">
        <v>67.77</v>
      </c>
      <c r="H15277">
        <v>250101</v>
      </c>
      <c r="I15277">
        <v>4370</v>
      </c>
      <c r="J15277" t="s">
        <v>198</v>
      </c>
      <c r="K15277">
        <v>956.31</v>
      </c>
      <c r="L15277">
        <v>13.77</v>
      </c>
      <c r="M15277">
        <v>18971</v>
      </c>
      <c r="N15277" t="s">
        <v>38</v>
      </c>
      <c r="O15277">
        <v>250108</v>
      </c>
      <c r="P15277">
        <v>54</v>
      </c>
    </row>
    <row r="15278" spans="1:16" x14ac:dyDescent="0.25">
      <c r="A15278" t="s">
        <v>3296</v>
      </c>
      <c r="B15278" t="s">
        <v>2931</v>
      </c>
      <c r="C15278">
        <v>4248</v>
      </c>
      <c r="D15278" t="str">
        <f>"2025.194    "</f>
        <v xml:space="preserve">2025.194    </v>
      </c>
      <c r="E15278" t="s">
        <v>197</v>
      </c>
      <c r="F15278" t="s">
        <v>199</v>
      </c>
      <c r="G15278">
        <v>77.19</v>
      </c>
      <c r="H15278">
        <v>250331</v>
      </c>
      <c r="I15278">
        <v>4370</v>
      </c>
      <c r="J15278" t="s">
        <v>198</v>
      </c>
      <c r="K15278">
        <v>840.85</v>
      </c>
      <c r="L15278">
        <v>15.68</v>
      </c>
      <c r="M15278">
        <v>14972</v>
      </c>
      <c r="N15278" t="s">
        <v>82</v>
      </c>
      <c r="O15278">
        <v>250409</v>
      </c>
      <c r="P15278">
        <v>61.51</v>
      </c>
    </row>
    <row r="15279" spans="1:16" x14ac:dyDescent="0.25">
      <c r="A15279" t="s">
        <v>3296</v>
      </c>
      <c r="B15279" t="s">
        <v>2931</v>
      </c>
      <c r="C15279">
        <v>11155</v>
      </c>
      <c r="D15279" t="str">
        <f>"2025.574    "</f>
        <v xml:space="preserve">2025.574    </v>
      </c>
      <c r="E15279" t="s">
        <v>197</v>
      </c>
      <c r="F15279" t="s">
        <v>199</v>
      </c>
      <c r="G15279">
        <v>42.67</v>
      </c>
      <c r="H15279">
        <v>250827</v>
      </c>
      <c r="I15279">
        <v>4370</v>
      </c>
      <c r="J15279" t="s">
        <v>198</v>
      </c>
      <c r="K15279">
        <v>584.83000000000004</v>
      </c>
      <c r="L15279">
        <v>8.67</v>
      </c>
      <c r="M15279">
        <v>17971</v>
      </c>
      <c r="N15279" t="s">
        <v>27</v>
      </c>
      <c r="O15279">
        <v>250901</v>
      </c>
      <c r="P15279">
        <v>34</v>
      </c>
    </row>
    <row r="15280" spans="1:16" x14ac:dyDescent="0.25">
      <c r="A15280" t="s">
        <v>3296</v>
      </c>
      <c r="B15280" t="s">
        <v>2931</v>
      </c>
      <c r="C15280">
        <v>11161</v>
      </c>
      <c r="D15280" t="str">
        <f>"2025.573    "</f>
        <v xml:space="preserve">2025.573    </v>
      </c>
      <c r="E15280" t="s">
        <v>197</v>
      </c>
      <c r="F15280" t="s">
        <v>199</v>
      </c>
      <c r="G15280">
        <v>42.67</v>
      </c>
      <c r="H15280">
        <v>250827</v>
      </c>
      <c r="I15280">
        <v>4370</v>
      </c>
      <c r="J15280" t="s">
        <v>198</v>
      </c>
      <c r="K15280">
        <v>584.83000000000004</v>
      </c>
      <c r="L15280">
        <v>8.67</v>
      </c>
      <c r="M15280">
        <v>17971</v>
      </c>
      <c r="N15280" t="s">
        <v>27</v>
      </c>
      <c r="O15280">
        <v>250901</v>
      </c>
      <c r="P15280">
        <v>34</v>
      </c>
    </row>
    <row r="15281" spans="1:16" x14ac:dyDescent="0.25">
      <c r="A15281" t="s">
        <v>3296</v>
      </c>
      <c r="B15281" t="s">
        <v>2931</v>
      </c>
      <c r="C15281">
        <v>11297</v>
      </c>
      <c r="D15281" t="str">
        <f>"2025.575    "</f>
        <v xml:space="preserve">2025.575    </v>
      </c>
      <c r="E15281" t="s">
        <v>197</v>
      </c>
      <c r="F15281" t="s">
        <v>199</v>
      </c>
      <c r="G15281">
        <v>21.75</v>
      </c>
      <c r="H15281">
        <v>250827</v>
      </c>
      <c r="I15281">
        <v>4370</v>
      </c>
      <c r="J15281" t="s">
        <v>198</v>
      </c>
      <c r="K15281">
        <v>893.56</v>
      </c>
      <c r="L15281">
        <v>4.42</v>
      </c>
      <c r="M15281">
        <v>49701</v>
      </c>
      <c r="N15281" t="s">
        <v>111</v>
      </c>
      <c r="O15281">
        <v>250903</v>
      </c>
      <c r="P15281">
        <v>17.329999999999998</v>
      </c>
    </row>
    <row r="15282" spans="1:16" x14ac:dyDescent="0.25">
      <c r="A15282" t="s">
        <v>3296</v>
      </c>
      <c r="B15282" t="s">
        <v>2931</v>
      </c>
      <c r="C15282">
        <v>101</v>
      </c>
      <c r="D15282" t="str">
        <f>"2024.1190   "</f>
        <v xml:space="preserve">2024.1190   </v>
      </c>
      <c r="E15282" t="s">
        <v>197</v>
      </c>
      <c r="F15282" t="s">
        <v>199</v>
      </c>
      <c r="G15282">
        <v>888.54</v>
      </c>
      <c r="H15282">
        <v>250101</v>
      </c>
      <c r="I15282">
        <v>4842</v>
      </c>
      <c r="J15282" t="s">
        <v>15</v>
      </c>
      <c r="K15282">
        <v>956.31</v>
      </c>
      <c r="L15282">
        <v>180.54</v>
      </c>
      <c r="M15282">
        <v>18971</v>
      </c>
      <c r="N15282" t="s">
        <v>38</v>
      </c>
      <c r="O15282">
        <v>250108</v>
      </c>
      <c r="P15282">
        <v>708</v>
      </c>
    </row>
    <row r="15283" spans="1:16" x14ac:dyDescent="0.25">
      <c r="A15283" t="s">
        <v>3296</v>
      </c>
      <c r="B15283" t="s">
        <v>2931</v>
      </c>
      <c r="C15283">
        <v>4248</v>
      </c>
      <c r="D15283" t="str">
        <f>"2025.194    "</f>
        <v xml:space="preserve">2025.194    </v>
      </c>
      <c r="E15283" t="s">
        <v>197</v>
      </c>
      <c r="F15283" t="s">
        <v>199</v>
      </c>
      <c r="G15283">
        <v>553.46</v>
      </c>
      <c r="H15283">
        <v>250331</v>
      </c>
      <c r="I15283">
        <v>4842</v>
      </c>
      <c r="J15283" t="s">
        <v>15</v>
      </c>
      <c r="K15283">
        <v>840.85</v>
      </c>
      <c r="L15283">
        <v>112.46</v>
      </c>
      <c r="M15283">
        <v>14972</v>
      </c>
      <c r="N15283" t="s">
        <v>82</v>
      </c>
      <c r="O15283">
        <v>250409</v>
      </c>
      <c r="P15283">
        <v>441</v>
      </c>
    </row>
    <row r="15284" spans="1:16" x14ac:dyDescent="0.25">
      <c r="A15284" t="s">
        <v>3296</v>
      </c>
      <c r="B15284" t="s">
        <v>2931</v>
      </c>
      <c r="C15284">
        <v>11155</v>
      </c>
      <c r="D15284" t="str">
        <f>"2025.574    "</f>
        <v xml:space="preserve">2025.574    </v>
      </c>
      <c r="E15284" t="s">
        <v>197</v>
      </c>
      <c r="F15284" t="s">
        <v>199</v>
      </c>
      <c r="G15284">
        <v>19.93</v>
      </c>
      <c r="H15284">
        <v>250827</v>
      </c>
      <c r="I15284">
        <v>4842</v>
      </c>
      <c r="J15284" t="s">
        <v>15</v>
      </c>
      <c r="K15284">
        <v>584.83000000000004</v>
      </c>
      <c r="L15284">
        <v>4.05</v>
      </c>
      <c r="M15284">
        <v>13561</v>
      </c>
      <c r="N15284" t="s">
        <v>241</v>
      </c>
      <c r="O15284">
        <v>250901</v>
      </c>
      <c r="P15284">
        <v>15.88</v>
      </c>
    </row>
    <row r="15285" spans="1:16" x14ac:dyDescent="0.25">
      <c r="A15285" t="s">
        <v>3296</v>
      </c>
      <c r="B15285" t="s">
        <v>2931</v>
      </c>
      <c r="C15285">
        <v>11155</v>
      </c>
      <c r="D15285" t="str">
        <f>"2025.574    "</f>
        <v xml:space="preserve">2025.574    </v>
      </c>
      <c r="E15285" t="s">
        <v>197</v>
      </c>
      <c r="F15285" t="s">
        <v>199</v>
      </c>
      <c r="G15285">
        <v>161.29</v>
      </c>
      <c r="H15285">
        <v>250827</v>
      </c>
      <c r="I15285">
        <v>4842</v>
      </c>
      <c r="J15285" t="s">
        <v>15</v>
      </c>
      <c r="K15285">
        <v>584.83000000000004</v>
      </c>
      <c r="L15285">
        <v>32.770000000000003</v>
      </c>
      <c r="M15285">
        <v>17971</v>
      </c>
      <c r="N15285" t="s">
        <v>27</v>
      </c>
      <c r="O15285">
        <v>250901</v>
      </c>
      <c r="P15285">
        <v>128.52000000000001</v>
      </c>
    </row>
    <row r="15286" spans="1:16" x14ac:dyDescent="0.25">
      <c r="A15286" t="s">
        <v>3296</v>
      </c>
      <c r="B15286" t="s">
        <v>2931</v>
      </c>
      <c r="C15286">
        <v>11161</v>
      </c>
      <c r="D15286" t="str">
        <f>"2025.573    "</f>
        <v xml:space="preserve">2025.573    </v>
      </c>
      <c r="E15286" t="s">
        <v>197</v>
      </c>
      <c r="F15286" t="s">
        <v>199</v>
      </c>
      <c r="G15286">
        <v>181.22</v>
      </c>
      <c r="H15286">
        <v>250827</v>
      </c>
      <c r="I15286">
        <v>4842</v>
      </c>
      <c r="J15286" t="s">
        <v>15</v>
      </c>
      <c r="K15286">
        <v>584.83000000000004</v>
      </c>
      <c r="L15286">
        <v>36.82</v>
      </c>
      <c r="M15286">
        <v>17971</v>
      </c>
      <c r="N15286" t="s">
        <v>27</v>
      </c>
      <c r="O15286">
        <v>250901</v>
      </c>
      <c r="P15286">
        <v>144.4</v>
      </c>
    </row>
    <row r="15287" spans="1:16" x14ac:dyDescent="0.25">
      <c r="A15287" t="s">
        <v>3296</v>
      </c>
      <c r="B15287" t="s">
        <v>2931</v>
      </c>
      <c r="C15287">
        <v>11297</v>
      </c>
      <c r="D15287" t="str">
        <f>"2025.575    "</f>
        <v xml:space="preserve">2025.575    </v>
      </c>
      <c r="E15287" t="s">
        <v>197</v>
      </c>
      <c r="F15287" t="s">
        <v>199</v>
      </c>
      <c r="G15287">
        <v>276.10000000000002</v>
      </c>
      <c r="H15287">
        <v>250827</v>
      </c>
      <c r="I15287">
        <v>4842</v>
      </c>
      <c r="J15287" t="s">
        <v>15</v>
      </c>
      <c r="K15287">
        <v>893.56</v>
      </c>
      <c r="L15287">
        <v>56.1</v>
      </c>
      <c r="M15287">
        <v>49701</v>
      </c>
      <c r="N15287" t="s">
        <v>111</v>
      </c>
      <c r="O15287">
        <v>250903</v>
      </c>
      <c r="P15287">
        <v>220</v>
      </c>
    </row>
    <row r="15288" spans="1:16" x14ac:dyDescent="0.25">
      <c r="A15288" t="s">
        <v>3296</v>
      </c>
      <c r="B15288" t="s">
        <v>2931</v>
      </c>
      <c r="C15288">
        <v>7731</v>
      </c>
      <c r="D15288" t="str">
        <f>"663264      "</f>
        <v xml:space="preserve">663264      </v>
      </c>
      <c r="E15288" t="s">
        <v>668</v>
      </c>
      <c r="F15288" t="s">
        <v>669</v>
      </c>
      <c r="G15288">
        <v>64.819999999999993</v>
      </c>
      <c r="H15288">
        <v>250528</v>
      </c>
      <c r="I15288">
        <v>4346</v>
      </c>
      <c r="J15288" t="s">
        <v>334</v>
      </c>
      <c r="K15288">
        <v>370.23</v>
      </c>
      <c r="L15288">
        <v>13.17</v>
      </c>
      <c r="M15288">
        <v>11101</v>
      </c>
      <c r="N15288" t="s">
        <v>67</v>
      </c>
      <c r="O15288">
        <v>250609</v>
      </c>
      <c r="P15288">
        <v>51.65</v>
      </c>
    </row>
    <row r="15289" spans="1:16" x14ac:dyDescent="0.25">
      <c r="A15289" t="s">
        <v>3296</v>
      </c>
      <c r="B15289" t="s">
        <v>2931</v>
      </c>
      <c r="C15289">
        <v>7731</v>
      </c>
      <c r="D15289" t="str">
        <f>"663264      "</f>
        <v xml:space="preserve">663264      </v>
      </c>
      <c r="E15289" t="s">
        <v>668</v>
      </c>
      <c r="F15289" t="s">
        <v>669</v>
      </c>
      <c r="G15289">
        <v>32.409999999999997</v>
      </c>
      <c r="H15289">
        <v>250528</v>
      </c>
      <c r="I15289">
        <v>4346</v>
      </c>
      <c r="J15289" t="s">
        <v>334</v>
      </c>
      <c r="K15289">
        <v>370.23</v>
      </c>
      <c r="L15289">
        <v>6.59</v>
      </c>
      <c r="M15289">
        <v>13861</v>
      </c>
      <c r="N15289" t="s">
        <v>604</v>
      </c>
      <c r="O15289">
        <v>250609</v>
      </c>
      <c r="P15289">
        <v>25.82</v>
      </c>
    </row>
    <row r="15290" spans="1:16" x14ac:dyDescent="0.25">
      <c r="A15290" t="s">
        <v>3296</v>
      </c>
      <c r="B15290" t="s">
        <v>2931</v>
      </c>
      <c r="C15290">
        <v>7731</v>
      </c>
      <c r="D15290" t="str">
        <f>"663264      "</f>
        <v xml:space="preserve">663264      </v>
      </c>
      <c r="E15290" t="s">
        <v>668</v>
      </c>
      <c r="F15290" t="s">
        <v>669</v>
      </c>
      <c r="G15290">
        <v>118.83</v>
      </c>
      <c r="H15290">
        <v>250528</v>
      </c>
      <c r="I15290">
        <v>4346</v>
      </c>
      <c r="J15290" t="s">
        <v>334</v>
      </c>
      <c r="K15290">
        <v>370.23</v>
      </c>
      <c r="L15290">
        <v>24.14</v>
      </c>
      <c r="M15290">
        <v>17971</v>
      </c>
      <c r="N15290" t="s">
        <v>27</v>
      </c>
      <c r="O15290">
        <v>250609</v>
      </c>
      <c r="P15290">
        <v>94.69</v>
      </c>
    </row>
    <row r="15291" spans="1:16" x14ac:dyDescent="0.25">
      <c r="A15291" t="s">
        <v>3296</v>
      </c>
      <c r="B15291" t="s">
        <v>2931</v>
      </c>
      <c r="C15291">
        <v>688</v>
      </c>
      <c r="D15291" t="str">
        <f>"662469      "</f>
        <v xml:space="preserve">662469      </v>
      </c>
      <c r="E15291" t="s">
        <v>668</v>
      </c>
      <c r="F15291" t="s">
        <v>669</v>
      </c>
      <c r="G15291">
        <v>167.2</v>
      </c>
      <c r="H15291">
        <v>250124</v>
      </c>
      <c r="I15291">
        <v>4364</v>
      </c>
      <c r="J15291" t="s">
        <v>470</v>
      </c>
      <c r="K15291">
        <v>167.2</v>
      </c>
      <c r="L15291">
        <v>0</v>
      </c>
      <c r="M15291">
        <v>59702</v>
      </c>
      <c r="N15291" t="s">
        <v>45</v>
      </c>
      <c r="O15291">
        <v>250127</v>
      </c>
      <c r="P15291">
        <v>167.2</v>
      </c>
    </row>
    <row r="15292" spans="1:16" x14ac:dyDescent="0.25">
      <c r="A15292" t="s">
        <v>3296</v>
      </c>
      <c r="B15292" t="s">
        <v>2931</v>
      </c>
      <c r="C15292">
        <v>1142</v>
      </c>
      <c r="D15292" t="str">
        <f>"662522      "</f>
        <v xml:space="preserve">662522      </v>
      </c>
      <c r="E15292" t="s">
        <v>668</v>
      </c>
      <c r="F15292" t="s">
        <v>669</v>
      </c>
      <c r="G15292">
        <v>370.23</v>
      </c>
      <c r="H15292">
        <v>250131</v>
      </c>
      <c r="I15292">
        <v>4364</v>
      </c>
      <c r="J15292" t="s">
        <v>470</v>
      </c>
      <c r="K15292">
        <v>370.23</v>
      </c>
      <c r="L15292">
        <v>75.23</v>
      </c>
      <c r="M15292">
        <v>59701</v>
      </c>
      <c r="N15292" t="s">
        <v>64</v>
      </c>
      <c r="O15292">
        <v>250205</v>
      </c>
      <c r="P15292">
        <v>295</v>
      </c>
    </row>
    <row r="15293" spans="1:16" x14ac:dyDescent="0.25">
      <c r="A15293" t="s">
        <v>3296</v>
      </c>
      <c r="B15293" t="s">
        <v>2931</v>
      </c>
      <c r="C15293">
        <v>1143</v>
      </c>
      <c r="D15293" t="str">
        <f>"662521      "</f>
        <v xml:space="preserve">662521      </v>
      </c>
      <c r="E15293" t="s">
        <v>668</v>
      </c>
      <c r="F15293" t="s">
        <v>669</v>
      </c>
      <c r="G15293">
        <v>74.05</v>
      </c>
      <c r="H15293">
        <v>250131</v>
      </c>
      <c r="I15293">
        <v>4364</v>
      </c>
      <c r="J15293" t="s">
        <v>470</v>
      </c>
      <c r="K15293">
        <v>74.05</v>
      </c>
      <c r="L15293">
        <v>15.05</v>
      </c>
      <c r="M15293">
        <v>59701</v>
      </c>
      <c r="N15293" t="s">
        <v>64</v>
      </c>
      <c r="O15293">
        <v>250205</v>
      </c>
      <c r="P15293">
        <v>59</v>
      </c>
    </row>
    <row r="15294" spans="1:16" x14ac:dyDescent="0.25">
      <c r="A15294" t="s">
        <v>3296</v>
      </c>
      <c r="B15294" t="s">
        <v>2931</v>
      </c>
      <c r="C15294">
        <v>5071</v>
      </c>
      <c r="D15294" t="str">
        <f>"662858      "</f>
        <v xml:space="preserve">662858      </v>
      </c>
      <c r="E15294" t="s">
        <v>668</v>
      </c>
      <c r="F15294" t="s">
        <v>669</v>
      </c>
      <c r="G15294">
        <v>50.16</v>
      </c>
      <c r="H15294">
        <v>250325</v>
      </c>
      <c r="I15294">
        <v>4364</v>
      </c>
      <c r="J15294" t="s">
        <v>470</v>
      </c>
      <c r="K15294">
        <v>167.2</v>
      </c>
      <c r="L15294">
        <v>0</v>
      </c>
      <c r="M15294">
        <v>11101</v>
      </c>
      <c r="N15294" t="s">
        <v>67</v>
      </c>
      <c r="O15294">
        <v>250416</v>
      </c>
      <c r="P15294">
        <v>50.16</v>
      </c>
    </row>
    <row r="15295" spans="1:16" x14ac:dyDescent="0.25">
      <c r="A15295" t="s">
        <v>3296</v>
      </c>
      <c r="B15295" t="s">
        <v>2931</v>
      </c>
      <c r="C15295">
        <v>5071</v>
      </c>
      <c r="D15295" t="str">
        <f>"662858      "</f>
        <v xml:space="preserve">662858      </v>
      </c>
      <c r="E15295" t="s">
        <v>668</v>
      </c>
      <c r="F15295" t="s">
        <v>669</v>
      </c>
      <c r="G15295">
        <v>13.78</v>
      </c>
      <c r="H15295">
        <v>250325</v>
      </c>
      <c r="I15295">
        <v>4364</v>
      </c>
      <c r="J15295" t="s">
        <v>470</v>
      </c>
      <c r="K15295">
        <v>167.2</v>
      </c>
      <c r="L15295">
        <v>0</v>
      </c>
      <c r="M15295">
        <v>13801</v>
      </c>
      <c r="N15295" t="s">
        <v>33</v>
      </c>
      <c r="O15295">
        <v>250416</v>
      </c>
      <c r="P15295">
        <v>13.78</v>
      </c>
    </row>
    <row r="15296" spans="1:16" x14ac:dyDescent="0.25">
      <c r="A15296" t="s">
        <v>3296</v>
      </c>
      <c r="B15296" t="s">
        <v>2931</v>
      </c>
      <c r="C15296">
        <v>5071</v>
      </c>
      <c r="D15296" t="str">
        <f>"662858      "</f>
        <v xml:space="preserve">662858      </v>
      </c>
      <c r="E15296" t="s">
        <v>668</v>
      </c>
      <c r="F15296" t="s">
        <v>669</v>
      </c>
      <c r="G15296">
        <v>103.26</v>
      </c>
      <c r="H15296">
        <v>250325</v>
      </c>
      <c r="I15296">
        <v>4364</v>
      </c>
      <c r="J15296" t="s">
        <v>470</v>
      </c>
      <c r="K15296">
        <v>167.2</v>
      </c>
      <c r="L15296">
        <v>0</v>
      </c>
      <c r="M15296">
        <v>17971</v>
      </c>
      <c r="N15296" t="s">
        <v>27</v>
      </c>
      <c r="O15296">
        <v>250416</v>
      </c>
      <c r="P15296">
        <v>103.26</v>
      </c>
    </row>
    <row r="15297" spans="1:16" x14ac:dyDescent="0.25">
      <c r="A15297" t="s">
        <v>3296</v>
      </c>
      <c r="B15297" t="s">
        <v>2931</v>
      </c>
      <c r="C15297">
        <v>5965</v>
      </c>
      <c r="D15297" t="str">
        <f>"663120      "</f>
        <v xml:space="preserve">663120      </v>
      </c>
      <c r="E15297" t="s">
        <v>668</v>
      </c>
      <c r="F15297" t="s">
        <v>669</v>
      </c>
      <c r="G15297">
        <v>370.23</v>
      </c>
      <c r="H15297">
        <v>250430</v>
      </c>
      <c r="I15297">
        <v>4364</v>
      </c>
      <c r="J15297" t="s">
        <v>470</v>
      </c>
      <c r="K15297">
        <v>370.23</v>
      </c>
      <c r="L15297">
        <v>75.23</v>
      </c>
      <c r="M15297">
        <v>49702</v>
      </c>
      <c r="N15297" t="s">
        <v>112</v>
      </c>
      <c r="O15297">
        <v>250507</v>
      </c>
      <c r="P15297">
        <v>295</v>
      </c>
    </row>
    <row r="15298" spans="1:16" x14ac:dyDescent="0.25">
      <c r="A15298" t="s">
        <v>3296</v>
      </c>
      <c r="B15298" t="s">
        <v>2931</v>
      </c>
      <c r="C15298">
        <v>6373</v>
      </c>
      <c r="D15298" t="str">
        <f>"663122      "</f>
        <v xml:space="preserve">663122      </v>
      </c>
      <c r="E15298" t="s">
        <v>668</v>
      </c>
      <c r="F15298" t="s">
        <v>669</v>
      </c>
      <c r="G15298">
        <v>61.19</v>
      </c>
      <c r="H15298">
        <v>250430</v>
      </c>
      <c r="I15298">
        <v>4364</v>
      </c>
      <c r="J15298" t="s">
        <v>470</v>
      </c>
      <c r="K15298">
        <v>81.58</v>
      </c>
      <c r="L15298">
        <v>12.43</v>
      </c>
      <c r="M15298">
        <v>14972</v>
      </c>
      <c r="N15298" t="s">
        <v>82</v>
      </c>
      <c r="O15298">
        <v>250513</v>
      </c>
      <c r="P15298">
        <v>48.76</v>
      </c>
    </row>
    <row r="15299" spans="1:16" x14ac:dyDescent="0.25">
      <c r="A15299" t="s">
        <v>3296</v>
      </c>
      <c r="B15299" t="s">
        <v>2931</v>
      </c>
      <c r="C15299">
        <v>6378</v>
      </c>
      <c r="D15299" t="str">
        <f>"663123      "</f>
        <v xml:space="preserve">663123      </v>
      </c>
      <c r="E15299" t="s">
        <v>668</v>
      </c>
      <c r="F15299" t="s">
        <v>669</v>
      </c>
      <c r="G15299">
        <v>277.68</v>
      </c>
      <c r="H15299">
        <v>250430</v>
      </c>
      <c r="I15299">
        <v>4364</v>
      </c>
      <c r="J15299" t="s">
        <v>470</v>
      </c>
      <c r="K15299">
        <v>370.23</v>
      </c>
      <c r="L15299">
        <v>56.42</v>
      </c>
      <c r="M15299">
        <v>14972</v>
      </c>
      <c r="N15299" t="s">
        <v>82</v>
      </c>
      <c r="O15299">
        <v>250513</v>
      </c>
      <c r="P15299">
        <v>221.26</v>
      </c>
    </row>
    <row r="15300" spans="1:16" x14ac:dyDescent="0.25">
      <c r="A15300" t="s">
        <v>3296</v>
      </c>
      <c r="B15300" t="s">
        <v>2931</v>
      </c>
      <c r="C15300">
        <v>7780</v>
      </c>
      <c r="D15300" t="str">
        <f>"663263      "</f>
        <v xml:space="preserve">663263      </v>
      </c>
      <c r="E15300" t="s">
        <v>668</v>
      </c>
      <c r="F15300" t="s">
        <v>669</v>
      </c>
      <c r="G15300">
        <v>215.98</v>
      </c>
      <c r="H15300">
        <v>250528</v>
      </c>
      <c r="I15300">
        <v>4364</v>
      </c>
      <c r="J15300" t="s">
        <v>470</v>
      </c>
      <c r="K15300">
        <v>370.23</v>
      </c>
      <c r="L15300">
        <v>43.88</v>
      </c>
      <c r="M15300">
        <v>18972</v>
      </c>
      <c r="N15300" t="s">
        <v>39</v>
      </c>
      <c r="O15300">
        <v>250609</v>
      </c>
      <c r="P15300">
        <v>172.1</v>
      </c>
    </row>
    <row r="15301" spans="1:16" x14ac:dyDescent="0.25">
      <c r="A15301" t="s">
        <v>3296</v>
      </c>
      <c r="B15301" t="s">
        <v>2931</v>
      </c>
      <c r="C15301">
        <v>10304</v>
      </c>
      <c r="D15301" t="str">
        <f>"663951      "</f>
        <v xml:space="preserve">663951      </v>
      </c>
      <c r="E15301" t="s">
        <v>668</v>
      </c>
      <c r="F15301" t="s">
        <v>669</v>
      </c>
      <c r="G15301">
        <v>37.03</v>
      </c>
      <c r="H15301">
        <v>250731</v>
      </c>
      <c r="I15301">
        <v>4364</v>
      </c>
      <c r="J15301" t="s">
        <v>470</v>
      </c>
      <c r="K15301">
        <v>74.05</v>
      </c>
      <c r="L15301">
        <v>7.52</v>
      </c>
      <c r="M15301">
        <v>18972</v>
      </c>
      <c r="N15301" t="s">
        <v>39</v>
      </c>
      <c r="O15301">
        <v>250814</v>
      </c>
      <c r="P15301">
        <v>29.51</v>
      </c>
    </row>
    <row r="15302" spans="1:16" x14ac:dyDescent="0.25">
      <c r="A15302" t="s">
        <v>3296</v>
      </c>
      <c r="B15302" t="s">
        <v>2931</v>
      </c>
      <c r="C15302">
        <v>16150</v>
      </c>
      <c r="D15302" t="str">
        <f>"664712      "</f>
        <v xml:space="preserve">664712      </v>
      </c>
      <c r="E15302" t="s">
        <v>668</v>
      </c>
      <c r="F15302" t="s">
        <v>669</v>
      </c>
      <c r="G15302">
        <v>74.05</v>
      </c>
      <c r="H15302">
        <v>251128</v>
      </c>
      <c r="I15302">
        <v>4364</v>
      </c>
      <c r="J15302" t="s">
        <v>470</v>
      </c>
      <c r="K15302">
        <v>74.05</v>
      </c>
      <c r="L15302">
        <v>15.05</v>
      </c>
      <c r="M15302">
        <v>49701</v>
      </c>
      <c r="N15302" t="s">
        <v>111</v>
      </c>
      <c r="O15302">
        <v>251204</v>
      </c>
      <c r="P15302">
        <v>59</v>
      </c>
    </row>
    <row r="15303" spans="1:16" x14ac:dyDescent="0.25">
      <c r="A15303" t="s">
        <v>3296</v>
      </c>
      <c r="B15303" t="s">
        <v>2931</v>
      </c>
      <c r="C15303">
        <v>4586</v>
      </c>
      <c r="D15303" t="str">
        <f>"662957      "</f>
        <v xml:space="preserve">662957      </v>
      </c>
      <c r="E15303" t="s">
        <v>668</v>
      </c>
      <c r="F15303" t="s">
        <v>669</v>
      </c>
      <c r="G15303">
        <v>8.15</v>
      </c>
      <c r="H15303">
        <v>250331</v>
      </c>
      <c r="I15303">
        <v>4366</v>
      </c>
      <c r="J15303" t="s">
        <v>65</v>
      </c>
      <c r="K15303">
        <v>74.05</v>
      </c>
      <c r="L15303">
        <v>1.66</v>
      </c>
      <c r="M15303">
        <v>13561</v>
      </c>
      <c r="N15303" t="s">
        <v>241</v>
      </c>
      <c r="O15303">
        <v>250414</v>
      </c>
      <c r="P15303">
        <v>6.49</v>
      </c>
    </row>
    <row r="15304" spans="1:16" x14ac:dyDescent="0.25">
      <c r="A15304" t="s">
        <v>3296</v>
      </c>
      <c r="B15304" t="s">
        <v>2931</v>
      </c>
      <c r="C15304">
        <v>4586</v>
      </c>
      <c r="D15304" t="str">
        <f>"662957      "</f>
        <v xml:space="preserve">662957      </v>
      </c>
      <c r="E15304" t="s">
        <v>668</v>
      </c>
      <c r="F15304" t="s">
        <v>669</v>
      </c>
      <c r="G15304">
        <v>65.900000000000006</v>
      </c>
      <c r="H15304">
        <v>250331</v>
      </c>
      <c r="I15304">
        <v>4366</v>
      </c>
      <c r="J15304" t="s">
        <v>65</v>
      </c>
      <c r="K15304">
        <v>74.05</v>
      </c>
      <c r="L15304">
        <v>13.39</v>
      </c>
      <c r="M15304">
        <v>17971</v>
      </c>
      <c r="N15304" t="s">
        <v>27</v>
      </c>
      <c r="O15304">
        <v>250414</v>
      </c>
      <c r="P15304">
        <v>52.51</v>
      </c>
    </row>
    <row r="15305" spans="1:16" x14ac:dyDescent="0.25">
      <c r="A15305" t="s">
        <v>3296</v>
      </c>
      <c r="B15305" t="s">
        <v>2931</v>
      </c>
      <c r="C15305">
        <v>7160</v>
      </c>
      <c r="D15305" t="str">
        <f>"663198      "</f>
        <v xml:space="preserve">663198      </v>
      </c>
      <c r="E15305" t="s">
        <v>668</v>
      </c>
      <c r="F15305" t="s">
        <v>669</v>
      </c>
      <c r="G15305">
        <v>25.35</v>
      </c>
      <c r="H15305">
        <v>250515</v>
      </c>
      <c r="I15305">
        <v>4500</v>
      </c>
      <c r="J15305" t="s">
        <v>312</v>
      </c>
      <c r="K15305">
        <v>209.84</v>
      </c>
      <c r="L15305">
        <v>5.15</v>
      </c>
      <c r="M15305">
        <v>13561</v>
      </c>
      <c r="N15305" t="s">
        <v>241</v>
      </c>
      <c r="O15305">
        <v>250526</v>
      </c>
      <c r="P15305">
        <v>20.2</v>
      </c>
    </row>
    <row r="15306" spans="1:16" x14ac:dyDescent="0.25">
      <c r="A15306" t="s">
        <v>3296</v>
      </c>
      <c r="B15306" t="s">
        <v>2931</v>
      </c>
      <c r="C15306">
        <v>7160</v>
      </c>
      <c r="D15306" t="str">
        <f>"663198      "</f>
        <v xml:space="preserve">663198      </v>
      </c>
      <c r="E15306" t="s">
        <v>668</v>
      </c>
      <c r="F15306" t="s">
        <v>669</v>
      </c>
      <c r="G15306">
        <v>184.49</v>
      </c>
      <c r="H15306">
        <v>250515</v>
      </c>
      <c r="I15306">
        <v>4500</v>
      </c>
      <c r="J15306" t="s">
        <v>312</v>
      </c>
      <c r="K15306">
        <v>209.84</v>
      </c>
      <c r="L15306">
        <v>37.49</v>
      </c>
      <c r="M15306">
        <v>17971</v>
      </c>
      <c r="N15306" t="s">
        <v>27</v>
      </c>
      <c r="O15306">
        <v>250526</v>
      </c>
      <c r="P15306">
        <v>147</v>
      </c>
    </row>
    <row r="15307" spans="1:16" x14ac:dyDescent="0.25">
      <c r="A15307" t="s">
        <v>3296</v>
      </c>
      <c r="B15307" t="s">
        <v>2931</v>
      </c>
      <c r="C15307">
        <v>14917</v>
      </c>
      <c r="D15307" t="str">
        <f>"664509      "</f>
        <v xml:space="preserve">664509      </v>
      </c>
      <c r="E15307" t="s">
        <v>668</v>
      </c>
      <c r="F15307" t="s">
        <v>669</v>
      </c>
      <c r="G15307">
        <v>83.6</v>
      </c>
      <c r="H15307">
        <v>251031</v>
      </c>
      <c r="I15307">
        <v>4500</v>
      </c>
      <c r="J15307" t="s">
        <v>312</v>
      </c>
      <c r="K15307">
        <v>167.2</v>
      </c>
      <c r="L15307">
        <v>0</v>
      </c>
      <c r="M15307">
        <v>14972</v>
      </c>
      <c r="N15307" t="s">
        <v>82</v>
      </c>
      <c r="O15307">
        <v>251110</v>
      </c>
      <c r="P15307">
        <v>83.6</v>
      </c>
    </row>
    <row r="15308" spans="1:16" x14ac:dyDescent="0.25">
      <c r="A15308" t="s">
        <v>3296</v>
      </c>
      <c r="B15308" t="s">
        <v>2931</v>
      </c>
      <c r="C15308">
        <v>14917</v>
      </c>
      <c r="D15308" t="str">
        <f>"664509      "</f>
        <v xml:space="preserve">664509      </v>
      </c>
      <c r="E15308" t="s">
        <v>668</v>
      </c>
      <c r="F15308" t="s">
        <v>669</v>
      </c>
      <c r="G15308">
        <v>83.6</v>
      </c>
      <c r="H15308">
        <v>251031</v>
      </c>
      <c r="I15308">
        <v>4500</v>
      </c>
      <c r="J15308" t="s">
        <v>312</v>
      </c>
      <c r="K15308">
        <v>167.2</v>
      </c>
      <c r="L15308">
        <v>0</v>
      </c>
      <c r="M15308">
        <v>18972</v>
      </c>
      <c r="N15308" t="s">
        <v>39</v>
      </c>
      <c r="O15308">
        <v>251110</v>
      </c>
      <c r="P15308">
        <v>83.6</v>
      </c>
    </row>
    <row r="15309" spans="1:16" x14ac:dyDescent="0.25">
      <c r="A15309" t="s">
        <v>3296</v>
      </c>
      <c r="B15309" t="s">
        <v>2931</v>
      </c>
      <c r="C15309">
        <v>5097</v>
      </c>
      <c r="D15309" t="str">
        <f>"662910      "</f>
        <v xml:space="preserve">662910      </v>
      </c>
      <c r="E15309" t="s">
        <v>668</v>
      </c>
      <c r="F15309" t="s">
        <v>669</v>
      </c>
      <c r="G15309">
        <v>11.42</v>
      </c>
      <c r="H15309">
        <v>250331</v>
      </c>
      <c r="I15309">
        <v>4842</v>
      </c>
      <c r="J15309" t="s">
        <v>15</v>
      </c>
      <c r="K15309">
        <v>81.58</v>
      </c>
      <c r="L15309">
        <v>2.3199999999999998</v>
      </c>
      <c r="M15309">
        <v>11101</v>
      </c>
      <c r="N15309" t="s">
        <v>67</v>
      </c>
      <c r="O15309">
        <v>250416</v>
      </c>
      <c r="P15309">
        <v>9.1</v>
      </c>
    </row>
    <row r="15310" spans="1:16" x14ac:dyDescent="0.25">
      <c r="A15310" t="s">
        <v>3296</v>
      </c>
      <c r="B15310" t="s">
        <v>2931</v>
      </c>
      <c r="C15310">
        <v>5097</v>
      </c>
      <c r="D15310" t="str">
        <f>"662910      "</f>
        <v xml:space="preserve">662910      </v>
      </c>
      <c r="E15310" t="s">
        <v>668</v>
      </c>
      <c r="F15310" t="s">
        <v>669</v>
      </c>
      <c r="G15310">
        <v>23.66</v>
      </c>
      <c r="H15310">
        <v>250331</v>
      </c>
      <c r="I15310">
        <v>4842</v>
      </c>
      <c r="J15310" t="s">
        <v>15</v>
      </c>
      <c r="K15310">
        <v>81.58</v>
      </c>
      <c r="L15310">
        <v>4.8099999999999996</v>
      </c>
      <c r="M15310">
        <v>13861</v>
      </c>
      <c r="N15310" t="s">
        <v>604</v>
      </c>
      <c r="O15310">
        <v>250416</v>
      </c>
      <c r="P15310">
        <v>18.850000000000001</v>
      </c>
    </row>
    <row r="15311" spans="1:16" x14ac:dyDescent="0.25">
      <c r="A15311" t="s">
        <v>3296</v>
      </c>
      <c r="B15311" t="s">
        <v>2931</v>
      </c>
      <c r="C15311">
        <v>5097</v>
      </c>
      <c r="D15311" t="str">
        <f>"662910      "</f>
        <v xml:space="preserve">662910      </v>
      </c>
      <c r="E15311" t="s">
        <v>668</v>
      </c>
      <c r="F15311" t="s">
        <v>669</v>
      </c>
      <c r="G15311">
        <v>46.5</v>
      </c>
      <c r="H15311">
        <v>250331</v>
      </c>
      <c r="I15311">
        <v>4842</v>
      </c>
      <c r="J15311" t="s">
        <v>15</v>
      </c>
      <c r="K15311">
        <v>81.58</v>
      </c>
      <c r="L15311">
        <v>9.4499999999999993</v>
      </c>
      <c r="M15311">
        <v>17971</v>
      </c>
      <c r="N15311" t="s">
        <v>27</v>
      </c>
      <c r="O15311">
        <v>250416</v>
      </c>
      <c r="P15311">
        <v>37.049999999999997</v>
      </c>
    </row>
    <row r="15312" spans="1:16" x14ac:dyDescent="0.25">
      <c r="A15312" t="s">
        <v>3296</v>
      </c>
      <c r="B15312" t="s">
        <v>2931</v>
      </c>
      <c r="C15312">
        <v>9540</v>
      </c>
      <c r="D15312" t="str">
        <f>"663772      "</f>
        <v xml:space="preserve">663772      </v>
      </c>
      <c r="E15312" t="s">
        <v>668</v>
      </c>
      <c r="F15312" t="s">
        <v>669</v>
      </c>
      <c r="G15312">
        <v>40.729999999999997</v>
      </c>
      <c r="H15312">
        <v>250630</v>
      </c>
      <c r="I15312">
        <v>4842</v>
      </c>
      <c r="J15312" t="s">
        <v>15</v>
      </c>
      <c r="K15312">
        <v>370.23</v>
      </c>
      <c r="L15312">
        <v>8.2799999999999994</v>
      </c>
      <c r="M15312">
        <v>13561</v>
      </c>
      <c r="N15312" t="s">
        <v>241</v>
      </c>
      <c r="O15312">
        <v>250711</v>
      </c>
      <c r="P15312">
        <v>32.450000000000003</v>
      </c>
    </row>
    <row r="15313" spans="1:16" x14ac:dyDescent="0.25">
      <c r="A15313" t="s">
        <v>3296</v>
      </c>
      <c r="B15313" t="s">
        <v>2931</v>
      </c>
      <c r="C15313">
        <v>9540</v>
      </c>
      <c r="D15313" t="str">
        <f>"663772      "</f>
        <v xml:space="preserve">663772      </v>
      </c>
      <c r="E15313" t="s">
        <v>668</v>
      </c>
      <c r="F15313" t="s">
        <v>669</v>
      </c>
      <c r="G15313">
        <v>193.19</v>
      </c>
      <c r="H15313">
        <v>250630</v>
      </c>
      <c r="I15313">
        <v>4842</v>
      </c>
      <c r="J15313" t="s">
        <v>15</v>
      </c>
      <c r="K15313">
        <v>370.23</v>
      </c>
      <c r="L15313">
        <v>39.25</v>
      </c>
      <c r="M15313">
        <v>17971</v>
      </c>
      <c r="N15313" t="s">
        <v>27</v>
      </c>
      <c r="O15313">
        <v>250711</v>
      </c>
      <c r="P15313">
        <v>153.94</v>
      </c>
    </row>
    <row r="15314" spans="1:16" x14ac:dyDescent="0.25">
      <c r="A15314" t="s">
        <v>3296</v>
      </c>
      <c r="B15314" t="s">
        <v>2931</v>
      </c>
      <c r="C15314">
        <v>5398</v>
      </c>
      <c r="D15314" t="str">
        <f>"772         "</f>
        <v xml:space="preserve">772         </v>
      </c>
      <c r="E15314" t="s">
        <v>1730</v>
      </c>
      <c r="F15314" t="s">
        <v>1731</v>
      </c>
      <c r="G15314">
        <v>350</v>
      </c>
      <c r="H15314">
        <v>250415</v>
      </c>
      <c r="I15314">
        <v>4470</v>
      </c>
      <c r="J15314" t="s">
        <v>203</v>
      </c>
      <c r="K15314">
        <v>350</v>
      </c>
      <c r="L15314">
        <v>71.12</v>
      </c>
      <c r="M15314">
        <v>56568</v>
      </c>
      <c r="N15314" t="s">
        <v>354</v>
      </c>
      <c r="O15314">
        <v>250424</v>
      </c>
      <c r="P15314">
        <v>278.88</v>
      </c>
    </row>
    <row r="15315" spans="1:16" x14ac:dyDescent="0.25">
      <c r="A15315" t="s">
        <v>3296</v>
      </c>
      <c r="B15315" t="s">
        <v>2931</v>
      </c>
      <c r="C15315">
        <v>4764</v>
      </c>
      <c r="D15315" t="str">
        <f>"4762        "</f>
        <v xml:space="preserve">4762        </v>
      </c>
      <c r="E15315" t="s">
        <v>1653</v>
      </c>
      <c r="F15315" t="s">
        <v>1654</v>
      </c>
      <c r="G15315">
        <v>118.89</v>
      </c>
      <c r="H15315">
        <v>250403</v>
      </c>
      <c r="I15315">
        <v>4580</v>
      </c>
      <c r="J15315" t="s">
        <v>126</v>
      </c>
      <c r="K15315">
        <v>118.89</v>
      </c>
      <c r="L15315">
        <v>24.16</v>
      </c>
      <c r="M15315">
        <v>16952</v>
      </c>
      <c r="N15315" t="s">
        <v>1348</v>
      </c>
      <c r="O15315">
        <v>250415</v>
      </c>
      <c r="P15315">
        <v>94.73</v>
      </c>
    </row>
    <row r="15316" spans="1:16" x14ac:dyDescent="0.25">
      <c r="A15316" t="s">
        <v>3296</v>
      </c>
      <c r="B15316" t="s">
        <v>2931</v>
      </c>
      <c r="C15316">
        <v>16603</v>
      </c>
      <c r="D15316" t="str">
        <f>"5161        "</f>
        <v xml:space="preserve">5161        </v>
      </c>
      <c r="E15316" t="s">
        <v>1653</v>
      </c>
      <c r="F15316" t="s">
        <v>1654</v>
      </c>
      <c r="G15316">
        <v>228.17</v>
      </c>
      <c r="H15316">
        <v>251204</v>
      </c>
      <c r="I15316">
        <v>4600</v>
      </c>
      <c r="J15316" t="s">
        <v>278</v>
      </c>
      <c r="K15316">
        <v>228.17</v>
      </c>
      <c r="L15316">
        <v>46.36</v>
      </c>
      <c r="M15316">
        <v>17807</v>
      </c>
      <c r="N15316" t="s">
        <v>23</v>
      </c>
      <c r="O15316">
        <v>251210</v>
      </c>
      <c r="P15316">
        <v>181.81</v>
      </c>
    </row>
    <row r="15317" spans="1:16" x14ac:dyDescent="0.25">
      <c r="A15317" t="s">
        <v>3296</v>
      </c>
      <c r="B15317" t="s">
        <v>2931</v>
      </c>
      <c r="C15317">
        <v>2714</v>
      </c>
      <c r="D15317" t="str">
        <f>"510         "</f>
        <v xml:space="preserve">510         </v>
      </c>
      <c r="E15317" t="s">
        <v>1336</v>
      </c>
      <c r="F15317" t="s">
        <v>1337</v>
      </c>
      <c r="G15317">
        <v>232.18</v>
      </c>
      <c r="H15317">
        <v>250228</v>
      </c>
      <c r="I15317">
        <v>4380</v>
      </c>
      <c r="J15317" t="s">
        <v>211</v>
      </c>
      <c r="K15317">
        <v>232.18</v>
      </c>
      <c r="L15317">
        <v>47.18</v>
      </c>
      <c r="M15317">
        <v>17951</v>
      </c>
      <c r="N15317" t="s">
        <v>207</v>
      </c>
      <c r="O15317">
        <v>250311</v>
      </c>
      <c r="P15317">
        <v>185</v>
      </c>
    </row>
    <row r="15318" spans="1:16" x14ac:dyDescent="0.25">
      <c r="A15318" t="s">
        <v>3296</v>
      </c>
      <c r="B15318" t="s">
        <v>2931</v>
      </c>
      <c r="C15318">
        <v>15189</v>
      </c>
      <c r="D15318" t="str">
        <f>"236538      "</f>
        <v xml:space="preserve">236538      </v>
      </c>
      <c r="E15318" t="s">
        <v>2562</v>
      </c>
      <c r="F15318" t="s">
        <v>2563</v>
      </c>
      <c r="G15318">
        <v>517.79999999999995</v>
      </c>
      <c r="H15318">
        <v>251111</v>
      </c>
      <c r="I15318">
        <v>4600</v>
      </c>
      <c r="J15318" t="s">
        <v>278</v>
      </c>
      <c r="K15318">
        <v>517.79999999999995</v>
      </c>
      <c r="L15318">
        <v>105.21</v>
      </c>
      <c r="M15318">
        <v>17131</v>
      </c>
      <c r="N15318" t="s">
        <v>154</v>
      </c>
      <c r="O15318">
        <v>251113</v>
      </c>
      <c r="P15318">
        <v>412.59</v>
      </c>
    </row>
    <row r="15319" spans="1:16" x14ac:dyDescent="0.25">
      <c r="A15319" t="s">
        <v>3296</v>
      </c>
      <c r="B15319" t="s">
        <v>2931</v>
      </c>
      <c r="C15319">
        <v>15179</v>
      </c>
      <c r="D15319" t="str">
        <f>"1095        "</f>
        <v xml:space="preserve">1095        </v>
      </c>
      <c r="E15319" t="s">
        <v>2560</v>
      </c>
      <c r="F15319" t="s">
        <v>2561</v>
      </c>
      <c r="G15319">
        <v>376.5</v>
      </c>
      <c r="H15319">
        <v>251111</v>
      </c>
      <c r="I15319">
        <v>4440</v>
      </c>
      <c r="J15319" t="s">
        <v>346</v>
      </c>
      <c r="K15319">
        <v>376.5</v>
      </c>
      <c r="L15319">
        <v>76.5</v>
      </c>
      <c r="M15319">
        <v>16930</v>
      </c>
      <c r="N15319" t="s">
        <v>135</v>
      </c>
      <c r="O15319">
        <v>251113</v>
      </c>
      <c r="P15319">
        <v>300</v>
      </c>
    </row>
    <row r="15320" spans="1:16" x14ac:dyDescent="0.25">
      <c r="A15320" t="s">
        <v>3296</v>
      </c>
      <c r="B15320" t="s">
        <v>2931</v>
      </c>
      <c r="C15320">
        <v>13386</v>
      </c>
      <c r="D15320" t="str">
        <f>"3145        "</f>
        <v xml:space="preserve">3145        </v>
      </c>
      <c r="E15320" t="s">
        <v>2430</v>
      </c>
      <c r="F15320" t="s">
        <v>2431</v>
      </c>
      <c r="G15320">
        <v>285</v>
      </c>
      <c r="H15320">
        <v>251003</v>
      </c>
      <c r="I15320">
        <v>4410</v>
      </c>
      <c r="J15320" t="s">
        <v>165</v>
      </c>
      <c r="K15320">
        <v>285</v>
      </c>
      <c r="L15320">
        <v>35</v>
      </c>
      <c r="M15320">
        <v>12982</v>
      </c>
      <c r="N15320" t="s">
        <v>1384</v>
      </c>
      <c r="O15320">
        <v>251008</v>
      </c>
      <c r="P15320">
        <v>250</v>
      </c>
    </row>
    <row r="15321" spans="1:16" x14ac:dyDescent="0.25">
      <c r="A15321" t="s">
        <v>3296</v>
      </c>
      <c r="B15321" t="s">
        <v>2931</v>
      </c>
      <c r="C15321">
        <v>14354</v>
      </c>
      <c r="D15321" t="str">
        <f>"540         "</f>
        <v xml:space="preserve">540         </v>
      </c>
      <c r="E15321" t="s">
        <v>2497</v>
      </c>
      <c r="F15321" t="s">
        <v>2498</v>
      </c>
      <c r="G15321">
        <v>2390.7800000000002</v>
      </c>
      <c r="H15321">
        <v>251024</v>
      </c>
      <c r="I15321">
        <v>4346</v>
      </c>
      <c r="J15321" t="s">
        <v>334</v>
      </c>
      <c r="K15321">
        <v>2390.7800000000002</v>
      </c>
      <c r="L15321">
        <v>485.78</v>
      </c>
      <c r="M15321">
        <v>17952</v>
      </c>
      <c r="N15321" t="s">
        <v>157</v>
      </c>
      <c r="O15321">
        <v>251030</v>
      </c>
      <c r="P15321">
        <v>1905</v>
      </c>
    </row>
    <row r="15322" spans="1:16" x14ac:dyDescent="0.25">
      <c r="A15322" t="s">
        <v>3296</v>
      </c>
      <c r="B15322" t="s">
        <v>2931</v>
      </c>
      <c r="C15322">
        <v>8430</v>
      </c>
      <c r="D15322" t="str">
        <f>"100114      "</f>
        <v xml:space="preserve">100114      </v>
      </c>
      <c r="E15322" t="s">
        <v>2034</v>
      </c>
      <c r="F15322" t="s">
        <v>2035</v>
      </c>
      <c r="G15322">
        <v>20000</v>
      </c>
      <c r="H15322">
        <v>250531</v>
      </c>
      <c r="I15322">
        <v>1196</v>
      </c>
      <c r="J15322" t="s">
        <v>340</v>
      </c>
      <c r="K15322">
        <v>20000</v>
      </c>
      <c r="L15322">
        <v>0</v>
      </c>
      <c r="M15322">
        <v>97501</v>
      </c>
      <c r="N15322" t="s">
        <v>1354</v>
      </c>
      <c r="O15322">
        <v>250613</v>
      </c>
      <c r="P15322">
        <v>20000</v>
      </c>
    </row>
    <row r="15323" spans="1:16" x14ac:dyDescent="0.25">
      <c r="A15323" t="s">
        <v>3296</v>
      </c>
      <c r="B15323" t="s">
        <v>2931</v>
      </c>
      <c r="C15323">
        <v>8478</v>
      </c>
      <c r="D15323" t="str">
        <f>"100104      "</f>
        <v xml:space="preserve">100104      </v>
      </c>
      <c r="E15323" t="s">
        <v>2034</v>
      </c>
      <c r="F15323" t="s">
        <v>2035</v>
      </c>
      <c r="G15323">
        <v>20000</v>
      </c>
      <c r="H15323">
        <v>250521</v>
      </c>
      <c r="I15323">
        <v>1196</v>
      </c>
      <c r="J15323" t="s">
        <v>340</v>
      </c>
      <c r="K15323">
        <v>20000</v>
      </c>
      <c r="L15323">
        <v>0</v>
      </c>
      <c r="M15323">
        <v>97501</v>
      </c>
      <c r="N15323" t="s">
        <v>1354</v>
      </c>
      <c r="O15323">
        <v>250616</v>
      </c>
      <c r="P15323">
        <v>20000</v>
      </c>
    </row>
    <row r="15324" spans="1:16" x14ac:dyDescent="0.25">
      <c r="A15324" t="s">
        <v>3296</v>
      </c>
      <c r="B15324" t="s">
        <v>2931</v>
      </c>
      <c r="C15324">
        <v>8479</v>
      </c>
      <c r="D15324" t="str">
        <f>"100103      "</f>
        <v xml:space="preserve">100103      </v>
      </c>
      <c r="E15324" t="s">
        <v>2034</v>
      </c>
      <c r="F15324" t="s">
        <v>2035</v>
      </c>
      <c r="G15324">
        <v>7115.66</v>
      </c>
      <c r="H15324">
        <v>250521</v>
      </c>
      <c r="I15324">
        <v>1196</v>
      </c>
      <c r="J15324" t="s">
        <v>340</v>
      </c>
      <c r="K15324">
        <v>7115.66</v>
      </c>
      <c r="L15324">
        <v>0</v>
      </c>
      <c r="M15324">
        <v>97501</v>
      </c>
      <c r="N15324" t="s">
        <v>1354</v>
      </c>
      <c r="O15324">
        <v>250616</v>
      </c>
      <c r="P15324">
        <v>7115.66</v>
      </c>
    </row>
    <row r="15325" spans="1:16" x14ac:dyDescent="0.25">
      <c r="A15325" t="s">
        <v>3296</v>
      </c>
      <c r="B15325" t="s">
        <v>2931</v>
      </c>
      <c r="C15325">
        <v>9522</v>
      </c>
      <c r="D15325" t="str">
        <f>"100145      "</f>
        <v xml:space="preserve">100145      </v>
      </c>
      <c r="E15325" t="s">
        <v>2034</v>
      </c>
      <c r="F15325" t="s">
        <v>2035</v>
      </c>
      <c r="G15325">
        <v>9099.23</v>
      </c>
      <c r="H15325">
        <v>250630</v>
      </c>
      <c r="I15325">
        <v>1196</v>
      </c>
      <c r="J15325" t="s">
        <v>340</v>
      </c>
      <c r="K15325">
        <v>9099.23</v>
      </c>
      <c r="L15325">
        <v>0</v>
      </c>
      <c r="M15325">
        <v>97501</v>
      </c>
      <c r="N15325" t="s">
        <v>1354</v>
      </c>
      <c r="O15325">
        <v>250709</v>
      </c>
      <c r="P15325">
        <v>9099.23</v>
      </c>
    </row>
    <row r="15326" spans="1:16" x14ac:dyDescent="0.25">
      <c r="A15326" t="s">
        <v>3296</v>
      </c>
      <c r="B15326" t="s">
        <v>2931</v>
      </c>
      <c r="C15326">
        <v>10638</v>
      </c>
      <c r="D15326" t="str">
        <f>"100178      "</f>
        <v xml:space="preserve">100178      </v>
      </c>
      <c r="E15326" t="s">
        <v>2034</v>
      </c>
      <c r="F15326" t="s">
        <v>2035</v>
      </c>
      <c r="G15326">
        <v>10000</v>
      </c>
      <c r="H15326">
        <v>250814</v>
      </c>
      <c r="I15326">
        <v>1196</v>
      </c>
      <c r="J15326" t="s">
        <v>340</v>
      </c>
      <c r="K15326">
        <v>10000</v>
      </c>
      <c r="L15326">
        <v>0</v>
      </c>
      <c r="M15326">
        <v>97501</v>
      </c>
      <c r="N15326" t="s">
        <v>1354</v>
      </c>
      <c r="O15326">
        <v>250821</v>
      </c>
      <c r="P15326">
        <v>10000</v>
      </c>
    </row>
    <row r="15327" spans="1:16" x14ac:dyDescent="0.25">
      <c r="A15327" t="s">
        <v>3296</v>
      </c>
      <c r="B15327" t="s">
        <v>2931</v>
      </c>
      <c r="C15327">
        <v>10787</v>
      </c>
      <c r="D15327" t="str">
        <f>"100179      "</f>
        <v xml:space="preserve">100179      </v>
      </c>
      <c r="E15327" t="s">
        <v>2034</v>
      </c>
      <c r="F15327" t="s">
        <v>2035</v>
      </c>
      <c r="G15327">
        <v>10000</v>
      </c>
      <c r="H15327">
        <v>250814</v>
      </c>
      <c r="I15327">
        <v>1196</v>
      </c>
      <c r="J15327" t="s">
        <v>340</v>
      </c>
      <c r="K15327">
        <v>10000</v>
      </c>
      <c r="L15327">
        <v>0</v>
      </c>
      <c r="M15327">
        <v>97501</v>
      </c>
      <c r="N15327" t="s">
        <v>1354</v>
      </c>
      <c r="O15327">
        <v>250822</v>
      </c>
      <c r="P15327">
        <v>10000</v>
      </c>
    </row>
    <row r="15328" spans="1:16" x14ac:dyDescent="0.25">
      <c r="A15328" t="s">
        <v>3296</v>
      </c>
      <c r="B15328" t="s">
        <v>2931</v>
      </c>
      <c r="C15328">
        <v>11256</v>
      </c>
      <c r="D15328" t="str">
        <f>"100190      "</f>
        <v xml:space="preserve">100190      </v>
      </c>
      <c r="E15328" t="s">
        <v>2034</v>
      </c>
      <c r="F15328" t="s">
        <v>2035</v>
      </c>
      <c r="G15328">
        <v>10000</v>
      </c>
      <c r="H15328">
        <v>250825</v>
      </c>
      <c r="I15328">
        <v>1196</v>
      </c>
      <c r="J15328" t="s">
        <v>340</v>
      </c>
      <c r="K15328">
        <v>10000</v>
      </c>
      <c r="L15328">
        <v>0</v>
      </c>
      <c r="M15328">
        <v>97501</v>
      </c>
      <c r="N15328" t="s">
        <v>1354</v>
      </c>
      <c r="O15328">
        <v>250902</v>
      </c>
      <c r="P15328">
        <v>10000</v>
      </c>
    </row>
    <row r="15329" spans="1:16" x14ac:dyDescent="0.25">
      <c r="A15329" t="s">
        <v>3296</v>
      </c>
      <c r="B15329" t="s">
        <v>2931</v>
      </c>
      <c r="C15329">
        <v>11257</v>
      </c>
      <c r="D15329" t="str">
        <f>"100189      "</f>
        <v xml:space="preserve">100189      </v>
      </c>
      <c r="E15329" t="s">
        <v>2034</v>
      </c>
      <c r="F15329" t="s">
        <v>2035</v>
      </c>
      <c r="G15329">
        <v>10000</v>
      </c>
      <c r="H15329">
        <v>250825</v>
      </c>
      <c r="I15329">
        <v>1196</v>
      </c>
      <c r="J15329" t="s">
        <v>340</v>
      </c>
      <c r="K15329">
        <v>10000</v>
      </c>
      <c r="L15329">
        <v>0</v>
      </c>
      <c r="M15329">
        <v>97501</v>
      </c>
      <c r="N15329" t="s">
        <v>1354</v>
      </c>
      <c r="O15329">
        <v>250902</v>
      </c>
      <c r="P15329">
        <v>10000</v>
      </c>
    </row>
    <row r="15330" spans="1:16" x14ac:dyDescent="0.25">
      <c r="A15330" t="s">
        <v>3296</v>
      </c>
      <c r="B15330" t="s">
        <v>2931</v>
      </c>
      <c r="C15330">
        <v>11503</v>
      </c>
      <c r="D15330" t="str">
        <f>"100202      "</f>
        <v xml:space="preserve">100202      </v>
      </c>
      <c r="E15330" t="s">
        <v>2034</v>
      </c>
      <c r="F15330" t="s">
        <v>2035</v>
      </c>
      <c r="G15330">
        <v>10000</v>
      </c>
      <c r="H15330">
        <v>250831</v>
      </c>
      <c r="I15330">
        <v>1196</v>
      </c>
      <c r="J15330" t="s">
        <v>340</v>
      </c>
      <c r="K15330">
        <v>10000</v>
      </c>
      <c r="L15330">
        <v>0</v>
      </c>
      <c r="M15330">
        <v>97501</v>
      </c>
      <c r="N15330" t="s">
        <v>1354</v>
      </c>
      <c r="O15330">
        <v>250908</v>
      </c>
      <c r="P15330">
        <v>10000</v>
      </c>
    </row>
    <row r="15331" spans="1:16" x14ac:dyDescent="0.25">
      <c r="A15331" t="s">
        <v>3296</v>
      </c>
      <c r="B15331" t="s">
        <v>2931</v>
      </c>
      <c r="C15331">
        <v>11514</v>
      </c>
      <c r="D15331" t="str">
        <f>"100203      "</f>
        <v xml:space="preserve">100203      </v>
      </c>
      <c r="E15331" t="s">
        <v>2034</v>
      </c>
      <c r="F15331" t="s">
        <v>2035</v>
      </c>
      <c r="G15331">
        <v>10000</v>
      </c>
      <c r="H15331">
        <v>250831</v>
      </c>
      <c r="I15331">
        <v>1196</v>
      </c>
      <c r="J15331" t="s">
        <v>340</v>
      </c>
      <c r="K15331">
        <v>10000</v>
      </c>
      <c r="L15331">
        <v>0</v>
      </c>
      <c r="M15331">
        <v>97501</v>
      </c>
      <c r="N15331" t="s">
        <v>1354</v>
      </c>
      <c r="O15331">
        <v>250908</v>
      </c>
      <c r="P15331">
        <v>10000</v>
      </c>
    </row>
    <row r="15332" spans="1:16" x14ac:dyDescent="0.25">
      <c r="A15332" t="s">
        <v>3296</v>
      </c>
      <c r="B15332" t="s">
        <v>2931</v>
      </c>
      <c r="C15332">
        <v>11517</v>
      </c>
      <c r="D15332" t="str">
        <f>"100201      "</f>
        <v xml:space="preserve">100201      </v>
      </c>
      <c r="E15332" t="s">
        <v>2034</v>
      </c>
      <c r="F15332" t="s">
        <v>2035</v>
      </c>
      <c r="G15332">
        <v>10000</v>
      </c>
      <c r="H15332">
        <v>250831</v>
      </c>
      <c r="I15332">
        <v>1196</v>
      </c>
      <c r="J15332" t="s">
        <v>340</v>
      </c>
      <c r="K15332">
        <v>10000</v>
      </c>
      <c r="L15332">
        <v>0</v>
      </c>
      <c r="M15332">
        <v>97501</v>
      </c>
      <c r="N15332" t="s">
        <v>1354</v>
      </c>
      <c r="O15332">
        <v>250908</v>
      </c>
      <c r="P15332">
        <v>10000</v>
      </c>
    </row>
    <row r="15333" spans="1:16" x14ac:dyDescent="0.25">
      <c r="A15333" t="s">
        <v>3296</v>
      </c>
      <c r="B15333" t="s">
        <v>2931</v>
      </c>
      <c r="C15333">
        <v>12309</v>
      </c>
      <c r="D15333" t="str">
        <f>"100211      "</f>
        <v xml:space="preserve">100211      </v>
      </c>
      <c r="E15333" t="s">
        <v>2034</v>
      </c>
      <c r="F15333" t="s">
        <v>2035</v>
      </c>
      <c r="G15333">
        <v>10000</v>
      </c>
      <c r="H15333">
        <v>250909</v>
      </c>
      <c r="I15333">
        <v>1196</v>
      </c>
      <c r="J15333" t="s">
        <v>340</v>
      </c>
      <c r="K15333">
        <v>10000</v>
      </c>
      <c r="L15333">
        <v>0</v>
      </c>
      <c r="M15333">
        <v>97501</v>
      </c>
      <c r="N15333" t="s">
        <v>1354</v>
      </c>
      <c r="O15333">
        <v>250919</v>
      </c>
      <c r="P15333">
        <v>10000</v>
      </c>
    </row>
    <row r="15334" spans="1:16" x14ac:dyDescent="0.25">
      <c r="A15334" t="s">
        <v>3296</v>
      </c>
      <c r="B15334" t="s">
        <v>2931</v>
      </c>
      <c r="C15334">
        <v>12312</v>
      </c>
      <c r="D15334" t="str">
        <f>"100215      "</f>
        <v xml:space="preserve">100215      </v>
      </c>
      <c r="E15334" t="s">
        <v>2034</v>
      </c>
      <c r="F15334" t="s">
        <v>2035</v>
      </c>
      <c r="G15334">
        <v>10000</v>
      </c>
      <c r="H15334">
        <v>250915</v>
      </c>
      <c r="I15334">
        <v>1196</v>
      </c>
      <c r="J15334" t="s">
        <v>340</v>
      </c>
      <c r="K15334">
        <v>10000</v>
      </c>
      <c r="L15334">
        <v>0</v>
      </c>
      <c r="M15334">
        <v>97501</v>
      </c>
      <c r="N15334" t="s">
        <v>1354</v>
      </c>
      <c r="O15334">
        <v>250919</v>
      </c>
      <c r="P15334">
        <v>10000</v>
      </c>
    </row>
    <row r="15335" spans="1:16" x14ac:dyDescent="0.25">
      <c r="A15335" t="s">
        <v>3296</v>
      </c>
      <c r="B15335" t="s">
        <v>2931</v>
      </c>
      <c r="C15335">
        <v>13444</v>
      </c>
      <c r="D15335" t="str">
        <f>"100261      "</f>
        <v xml:space="preserve">100261      </v>
      </c>
      <c r="E15335" t="s">
        <v>2034</v>
      </c>
      <c r="F15335" t="s">
        <v>2035</v>
      </c>
      <c r="G15335">
        <v>10000</v>
      </c>
      <c r="H15335">
        <v>250930</v>
      </c>
      <c r="I15335">
        <v>1196</v>
      </c>
      <c r="J15335" t="s">
        <v>340</v>
      </c>
      <c r="K15335">
        <v>10000</v>
      </c>
      <c r="L15335">
        <v>0</v>
      </c>
      <c r="M15335">
        <v>97501</v>
      </c>
      <c r="N15335" t="s">
        <v>1354</v>
      </c>
      <c r="O15335">
        <v>251010</v>
      </c>
      <c r="P15335">
        <v>10000</v>
      </c>
    </row>
    <row r="15336" spans="1:16" x14ac:dyDescent="0.25">
      <c r="A15336" t="s">
        <v>3296</v>
      </c>
      <c r="B15336" t="s">
        <v>2931</v>
      </c>
      <c r="C15336">
        <v>14587</v>
      </c>
      <c r="D15336" t="str">
        <f>"100308      "</f>
        <v xml:space="preserve">100308      </v>
      </c>
      <c r="E15336" t="s">
        <v>2034</v>
      </c>
      <c r="F15336" t="s">
        <v>2035</v>
      </c>
      <c r="G15336">
        <v>5977.8</v>
      </c>
      <c r="H15336">
        <v>251031</v>
      </c>
      <c r="I15336">
        <v>1196</v>
      </c>
      <c r="J15336" t="s">
        <v>340</v>
      </c>
      <c r="K15336">
        <v>17362.97</v>
      </c>
      <c r="L15336">
        <v>0</v>
      </c>
      <c r="M15336">
        <v>97501</v>
      </c>
      <c r="N15336" t="s">
        <v>1354</v>
      </c>
      <c r="O15336">
        <v>251105</v>
      </c>
      <c r="P15336">
        <v>5977.8</v>
      </c>
    </row>
    <row r="15337" spans="1:16" x14ac:dyDescent="0.25">
      <c r="A15337" t="s">
        <v>3296</v>
      </c>
      <c r="B15337" t="s">
        <v>2931</v>
      </c>
      <c r="C15337">
        <v>14587</v>
      </c>
      <c r="D15337" t="str">
        <f>"100308      "</f>
        <v xml:space="preserve">100308      </v>
      </c>
      <c r="E15337" t="s">
        <v>2034</v>
      </c>
      <c r="F15337" t="s">
        <v>2035</v>
      </c>
      <c r="G15337">
        <v>11385.17</v>
      </c>
      <c r="H15337">
        <v>251031</v>
      </c>
      <c r="I15337">
        <v>1196</v>
      </c>
      <c r="J15337" t="s">
        <v>340</v>
      </c>
      <c r="K15337">
        <v>17362.97</v>
      </c>
      <c r="L15337">
        <v>0</v>
      </c>
      <c r="M15337">
        <v>97501</v>
      </c>
      <c r="N15337" t="s">
        <v>1354</v>
      </c>
      <c r="O15337">
        <v>251105</v>
      </c>
      <c r="P15337">
        <v>11385.17</v>
      </c>
    </row>
    <row r="15338" spans="1:16" x14ac:dyDescent="0.25">
      <c r="A15338" t="s">
        <v>3296</v>
      </c>
      <c r="B15338" t="s">
        <v>2931</v>
      </c>
      <c r="C15338">
        <v>14788</v>
      </c>
      <c r="D15338" t="str">
        <f>"100302      "</f>
        <v xml:space="preserve">100302      </v>
      </c>
      <c r="E15338" t="s">
        <v>2034</v>
      </c>
      <c r="F15338" t="s">
        <v>2035</v>
      </c>
      <c r="G15338">
        <v>3813.83</v>
      </c>
      <c r="H15338">
        <v>251031</v>
      </c>
      <c r="I15338">
        <v>1196</v>
      </c>
      <c r="J15338" t="s">
        <v>340</v>
      </c>
      <c r="K15338">
        <v>3813.83</v>
      </c>
      <c r="L15338">
        <v>0</v>
      </c>
      <c r="M15338">
        <v>97501</v>
      </c>
      <c r="N15338" t="s">
        <v>1354</v>
      </c>
      <c r="O15338">
        <v>251106</v>
      </c>
      <c r="P15338">
        <v>3813.83</v>
      </c>
    </row>
    <row r="15339" spans="1:16" x14ac:dyDescent="0.25">
      <c r="A15339" t="s">
        <v>3296</v>
      </c>
      <c r="B15339" t="s">
        <v>2931</v>
      </c>
      <c r="C15339">
        <v>2486</v>
      </c>
      <c r="D15339" t="str">
        <f>"7763        "</f>
        <v xml:space="preserve">7763        </v>
      </c>
      <c r="E15339" t="s">
        <v>1288</v>
      </c>
      <c r="F15339" t="s">
        <v>1289</v>
      </c>
      <c r="G15339">
        <v>252</v>
      </c>
      <c r="H15339">
        <v>250226</v>
      </c>
      <c r="I15339">
        <v>4590</v>
      </c>
      <c r="J15339" t="s">
        <v>388</v>
      </c>
      <c r="K15339">
        <v>252</v>
      </c>
      <c r="L15339">
        <v>51.2</v>
      </c>
      <c r="M15339">
        <v>46563</v>
      </c>
      <c r="N15339" t="s">
        <v>932</v>
      </c>
      <c r="O15339">
        <v>250228</v>
      </c>
      <c r="P15339">
        <v>200.8</v>
      </c>
    </row>
    <row r="15340" spans="1:16" x14ac:dyDescent="0.25">
      <c r="A15340" t="s">
        <v>3296</v>
      </c>
      <c r="B15340" t="s">
        <v>2931</v>
      </c>
      <c r="C15340">
        <v>4063</v>
      </c>
      <c r="D15340" t="str">
        <f>"7774        "</f>
        <v xml:space="preserve">7774        </v>
      </c>
      <c r="E15340" t="s">
        <v>1288</v>
      </c>
      <c r="F15340" t="s">
        <v>1289</v>
      </c>
      <c r="G15340">
        <v>154.97999999999999</v>
      </c>
      <c r="H15340">
        <v>250324</v>
      </c>
      <c r="I15340">
        <v>4590</v>
      </c>
      <c r="J15340" t="s">
        <v>388</v>
      </c>
      <c r="K15340">
        <v>154.97999999999999</v>
      </c>
      <c r="L15340">
        <v>31.49</v>
      </c>
      <c r="M15340">
        <v>46563</v>
      </c>
      <c r="N15340" t="s">
        <v>932</v>
      </c>
      <c r="O15340">
        <v>250407</v>
      </c>
      <c r="P15340">
        <v>123.49</v>
      </c>
    </row>
    <row r="15341" spans="1:16" x14ac:dyDescent="0.25">
      <c r="A15341" t="s">
        <v>3296</v>
      </c>
      <c r="B15341" t="s">
        <v>2931</v>
      </c>
      <c r="C15341">
        <v>4751</v>
      </c>
      <c r="D15341" t="str">
        <f>"7781        "</f>
        <v xml:space="preserve">7781        </v>
      </c>
      <c r="E15341" t="s">
        <v>1288</v>
      </c>
      <c r="F15341" t="s">
        <v>1289</v>
      </c>
      <c r="G15341">
        <v>168.2</v>
      </c>
      <c r="H15341">
        <v>250331</v>
      </c>
      <c r="I15341">
        <v>4590</v>
      </c>
      <c r="J15341" t="s">
        <v>388</v>
      </c>
      <c r="K15341">
        <v>168.2</v>
      </c>
      <c r="L15341">
        <v>34.18</v>
      </c>
      <c r="M15341">
        <v>46563</v>
      </c>
      <c r="N15341" t="s">
        <v>932</v>
      </c>
      <c r="O15341">
        <v>250415</v>
      </c>
      <c r="P15341">
        <v>134.02000000000001</v>
      </c>
    </row>
    <row r="15342" spans="1:16" x14ac:dyDescent="0.25">
      <c r="A15342" t="s">
        <v>3296</v>
      </c>
      <c r="B15342" t="s">
        <v>2931</v>
      </c>
      <c r="C15342">
        <v>6902</v>
      </c>
      <c r="D15342" t="str">
        <f>"7803        "</f>
        <v xml:space="preserve">7803        </v>
      </c>
      <c r="E15342" t="s">
        <v>1288</v>
      </c>
      <c r="F15342" t="s">
        <v>1289</v>
      </c>
      <c r="G15342">
        <v>357.98</v>
      </c>
      <c r="H15342">
        <v>250515</v>
      </c>
      <c r="I15342">
        <v>4590</v>
      </c>
      <c r="J15342" t="s">
        <v>388</v>
      </c>
      <c r="K15342">
        <v>357.98</v>
      </c>
      <c r="L15342">
        <v>72.739999999999995</v>
      </c>
      <c r="M15342">
        <v>46563</v>
      </c>
      <c r="N15342" t="s">
        <v>932</v>
      </c>
      <c r="O15342">
        <v>250520</v>
      </c>
      <c r="P15342">
        <v>285.24</v>
      </c>
    </row>
    <row r="15343" spans="1:16" x14ac:dyDescent="0.25">
      <c r="A15343" t="s">
        <v>3296</v>
      </c>
      <c r="B15343" t="s">
        <v>2931</v>
      </c>
      <c r="C15343">
        <v>7299</v>
      </c>
      <c r="D15343" t="str">
        <f>"7805        "</f>
        <v xml:space="preserve">7805        </v>
      </c>
      <c r="E15343" t="s">
        <v>1288</v>
      </c>
      <c r="F15343" t="s">
        <v>1289</v>
      </c>
      <c r="G15343">
        <v>342.87</v>
      </c>
      <c r="H15343">
        <v>250520</v>
      </c>
      <c r="I15343">
        <v>4590</v>
      </c>
      <c r="J15343" t="s">
        <v>388</v>
      </c>
      <c r="K15343">
        <v>342.87</v>
      </c>
      <c r="L15343">
        <v>69.67</v>
      </c>
      <c r="M15343">
        <v>46563</v>
      </c>
      <c r="N15343" t="s">
        <v>932</v>
      </c>
      <c r="O15343">
        <v>250602</v>
      </c>
      <c r="P15343">
        <v>273.2</v>
      </c>
    </row>
    <row r="15344" spans="1:16" x14ac:dyDescent="0.25">
      <c r="A15344" t="s">
        <v>3296</v>
      </c>
      <c r="B15344" t="s">
        <v>2931</v>
      </c>
      <c r="C15344">
        <v>11895</v>
      </c>
      <c r="D15344" t="str">
        <f>"7856        "</f>
        <v xml:space="preserve">7856        </v>
      </c>
      <c r="E15344" t="s">
        <v>1288</v>
      </c>
      <c r="F15344" t="s">
        <v>1289</v>
      </c>
      <c r="G15344">
        <v>500.53</v>
      </c>
      <c r="H15344">
        <v>250908</v>
      </c>
      <c r="I15344">
        <v>4590</v>
      </c>
      <c r="J15344" t="s">
        <v>388</v>
      </c>
      <c r="K15344">
        <v>500.53</v>
      </c>
      <c r="L15344">
        <v>101.7</v>
      </c>
      <c r="M15344">
        <v>46563</v>
      </c>
      <c r="N15344" t="s">
        <v>932</v>
      </c>
      <c r="O15344">
        <v>250912</v>
      </c>
      <c r="P15344">
        <v>398.83</v>
      </c>
    </row>
    <row r="15345" spans="1:16" x14ac:dyDescent="0.25">
      <c r="A15345" t="s">
        <v>3296</v>
      </c>
      <c r="B15345" t="s">
        <v>2931</v>
      </c>
      <c r="C15345">
        <v>12765</v>
      </c>
      <c r="D15345" t="str">
        <f>"7866        "</f>
        <v xml:space="preserve">7866        </v>
      </c>
      <c r="E15345" t="s">
        <v>1288</v>
      </c>
      <c r="F15345" t="s">
        <v>1289</v>
      </c>
      <c r="G15345">
        <v>147.5</v>
      </c>
      <c r="H15345">
        <v>250924</v>
      </c>
      <c r="I15345">
        <v>4590</v>
      </c>
      <c r="J15345" t="s">
        <v>388</v>
      </c>
      <c r="K15345">
        <v>147.5</v>
      </c>
      <c r="L15345">
        <v>29.97</v>
      </c>
      <c r="M15345">
        <v>46556</v>
      </c>
      <c r="N15345" t="s">
        <v>458</v>
      </c>
      <c r="O15345">
        <v>250930</v>
      </c>
      <c r="P15345">
        <v>117.53</v>
      </c>
    </row>
    <row r="15346" spans="1:16" x14ac:dyDescent="0.25">
      <c r="A15346" t="s">
        <v>3296</v>
      </c>
      <c r="B15346" t="s">
        <v>2931</v>
      </c>
      <c r="C15346">
        <v>16406</v>
      </c>
      <c r="D15346" t="str">
        <f>"7887        "</f>
        <v xml:space="preserve">7887        </v>
      </c>
      <c r="E15346" t="s">
        <v>1288</v>
      </c>
      <c r="F15346" t="s">
        <v>1289</v>
      </c>
      <c r="G15346">
        <v>67.2</v>
      </c>
      <c r="H15346">
        <v>251130</v>
      </c>
      <c r="I15346">
        <v>4590</v>
      </c>
      <c r="J15346" t="s">
        <v>388</v>
      </c>
      <c r="K15346">
        <v>67.2</v>
      </c>
      <c r="L15346">
        <v>13.65</v>
      </c>
      <c r="M15346">
        <v>46556</v>
      </c>
      <c r="N15346" t="s">
        <v>458</v>
      </c>
      <c r="O15346">
        <v>251208</v>
      </c>
      <c r="P15346">
        <v>53.55</v>
      </c>
    </row>
    <row r="15347" spans="1:16" x14ac:dyDescent="0.25">
      <c r="A15347" t="s">
        <v>3296</v>
      </c>
      <c r="B15347" t="s">
        <v>2931</v>
      </c>
      <c r="C15347">
        <v>16407</v>
      </c>
      <c r="D15347" t="str">
        <f>"7888        "</f>
        <v xml:space="preserve">7888        </v>
      </c>
      <c r="E15347" t="s">
        <v>1288</v>
      </c>
      <c r="F15347" t="s">
        <v>1289</v>
      </c>
      <c r="G15347">
        <v>277.02</v>
      </c>
      <c r="H15347">
        <v>251130</v>
      </c>
      <c r="I15347">
        <v>4590</v>
      </c>
      <c r="J15347" t="s">
        <v>388</v>
      </c>
      <c r="K15347">
        <v>277.02</v>
      </c>
      <c r="L15347">
        <v>56.29</v>
      </c>
      <c r="M15347">
        <v>46556</v>
      </c>
      <c r="N15347" t="s">
        <v>458</v>
      </c>
      <c r="O15347">
        <v>251208</v>
      </c>
      <c r="P15347">
        <v>220.73</v>
      </c>
    </row>
    <row r="15348" spans="1:16" x14ac:dyDescent="0.25">
      <c r="A15348" t="s">
        <v>3296</v>
      </c>
      <c r="B15348" t="s">
        <v>2931</v>
      </c>
      <c r="C15348">
        <v>16610</v>
      </c>
      <c r="D15348" t="str">
        <f>"7889        "</f>
        <v xml:space="preserve">7889        </v>
      </c>
      <c r="E15348" t="s">
        <v>1288</v>
      </c>
      <c r="F15348" t="s">
        <v>1289</v>
      </c>
      <c r="G15348">
        <v>56</v>
      </c>
      <c r="H15348">
        <v>251130</v>
      </c>
      <c r="I15348">
        <v>4590</v>
      </c>
      <c r="J15348" t="s">
        <v>388</v>
      </c>
      <c r="K15348">
        <v>56</v>
      </c>
      <c r="L15348">
        <v>11.38</v>
      </c>
      <c r="M15348">
        <v>46556</v>
      </c>
      <c r="N15348" t="s">
        <v>458</v>
      </c>
      <c r="O15348">
        <v>251210</v>
      </c>
      <c r="P15348">
        <v>44.62</v>
      </c>
    </row>
    <row r="15349" spans="1:16" x14ac:dyDescent="0.25">
      <c r="A15349" t="s">
        <v>3296</v>
      </c>
      <c r="B15349" t="s">
        <v>2931</v>
      </c>
      <c r="C15349">
        <v>368</v>
      </c>
      <c r="D15349" t="str">
        <f>"3068141     "</f>
        <v xml:space="preserve">3068141     </v>
      </c>
      <c r="E15349" t="s">
        <v>457</v>
      </c>
      <c r="F15349" t="s">
        <v>459</v>
      </c>
      <c r="G15349">
        <v>426.08</v>
      </c>
      <c r="H15349">
        <v>250116</v>
      </c>
      <c r="I15349">
        <v>4367</v>
      </c>
      <c r="J15349" t="s">
        <v>159</v>
      </c>
      <c r="K15349">
        <v>852.15</v>
      </c>
      <c r="L15349">
        <v>86.57</v>
      </c>
      <c r="M15349">
        <v>46556</v>
      </c>
      <c r="N15349" t="s">
        <v>458</v>
      </c>
      <c r="O15349">
        <v>250122</v>
      </c>
      <c r="P15349">
        <v>339.51</v>
      </c>
    </row>
    <row r="15350" spans="1:16" x14ac:dyDescent="0.25">
      <c r="A15350" t="s">
        <v>3296</v>
      </c>
      <c r="B15350" t="s">
        <v>2931</v>
      </c>
      <c r="C15350">
        <v>368</v>
      </c>
      <c r="D15350" t="str">
        <f>"3068141     "</f>
        <v xml:space="preserve">3068141     </v>
      </c>
      <c r="E15350" t="s">
        <v>457</v>
      </c>
      <c r="F15350" t="s">
        <v>459</v>
      </c>
      <c r="G15350">
        <v>426.07</v>
      </c>
      <c r="H15350">
        <v>250116</v>
      </c>
      <c r="I15350">
        <v>4367</v>
      </c>
      <c r="J15350" t="s">
        <v>159</v>
      </c>
      <c r="K15350">
        <v>852.15</v>
      </c>
      <c r="L15350">
        <v>86.57</v>
      </c>
      <c r="M15350">
        <v>56562</v>
      </c>
      <c r="N15350" t="s">
        <v>54</v>
      </c>
      <c r="O15350">
        <v>250122</v>
      </c>
      <c r="P15350">
        <v>339.5</v>
      </c>
    </row>
    <row r="15351" spans="1:16" x14ac:dyDescent="0.25">
      <c r="A15351" t="s">
        <v>3296</v>
      </c>
      <c r="B15351" t="s">
        <v>2931</v>
      </c>
      <c r="C15351">
        <v>8231</v>
      </c>
      <c r="D15351" t="str">
        <f>"3071163     "</f>
        <v xml:space="preserve">3071163     </v>
      </c>
      <c r="E15351" t="s">
        <v>457</v>
      </c>
      <c r="F15351" t="s">
        <v>459</v>
      </c>
      <c r="G15351">
        <v>957.74</v>
      </c>
      <c r="H15351">
        <v>250603</v>
      </c>
      <c r="I15351">
        <v>4367</v>
      </c>
      <c r="J15351" t="s">
        <v>159</v>
      </c>
      <c r="K15351">
        <v>6504.04</v>
      </c>
      <c r="L15351">
        <v>194.6</v>
      </c>
      <c r="M15351">
        <v>17806</v>
      </c>
      <c r="N15351" t="s">
        <v>22</v>
      </c>
      <c r="O15351">
        <v>250612</v>
      </c>
      <c r="P15351">
        <v>763.14</v>
      </c>
    </row>
    <row r="15352" spans="1:16" x14ac:dyDescent="0.25">
      <c r="A15352" t="s">
        <v>3296</v>
      </c>
      <c r="B15352" t="s">
        <v>2931</v>
      </c>
      <c r="C15352">
        <v>8231</v>
      </c>
      <c r="D15352" t="str">
        <f>"3071163     "</f>
        <v xml:space="preserve">3071163     </v>
      </c>
      <c r="E15352" t="s">
        <v>457</v>
      </c>
      <c r="F15352" t="s">
        <v>459</v>
      </c>
      <c r="G15352">
        <v>957.74</v>
      </c>
      <c r="H15352">
        <v>250603</v>
      </c>
      <c r="I15352">
        <v>4367</v>
      </c>
      <c r="J15352" t="s">
        <v>159</v>
      </c>
      <c r="K15352">
        <v>6504.04</v>
      </c>
      <c r="L15352">
        <v>194.6</v>
      </c>
      <c r="M15352">
        <v>46556</v>
      </c>
      <c r="N15352" t="s">
        <v>458</v>
      </c>
      <c r="O15352">
        <v>250612</v>
      </c>
      <c r="P15352">
        <v>763.14</v>
      </c>
    </row>
    <row r="15353" spans="1:16" x14ac:dyDescent="0.25">
      <c r="A15353" t="s">
        <v>3296</v>
      </c>
      <c r="B15353" t="s">
        <v>2931</v>
      </c>
      <c r="C15353">
        <v>8231</v>
      </c>
      <c r="D15353" t="str">
        <f>"3071163     "</f>
        <v xml:space="preserve">3071163     </v>
      </c>
      <c r="E15353" t="s">
        <v>457</v>
      </c>
      <c r="F15353" t="s">
        <v>459</v>
      </c>
      <c r="G15353">
        <v>957.73</v>
      </c>
      <c r="H15353">
        <v>250603</v>
      </c>
      <c r="I15353">
        <v>4367</v>
      </c>
      <c r="J15353" t="s">
        <v>159</v>
      </c>
      <c r="K15353">
        <v>6504.04</v>
      </c>
      <c r="L15353">
        <v>194.6</v>
      </c>
      <c r="M15353">
        <v>56562</v>
      </c>
      <c r="N15353" t="s">
        <v>54</v>
      </c>
      <c r="O15353">
        <v>250612</v>
      </c>
      <c r="P15353">
        <v>763.13</v>
      </c>
    </row>
    <row r="15354" spans="1:16" x14ac:dyDescent="0.25">
      <c r="A15354" t="s">
        <v>3296</v>
      </c>
      <c r="B15354" t="s">
        <v>2931</v>
      </c>
      <c r="C15354">
        <v>8231</v>
      </c>
      <c r="D15354" t="str">
        <f>"3071163     "</f>
        <v xml:space="preserve">3071163     </v>
      </c>
      <c r="E15354" t="s">
        <v>457</v>
      </c>
      <c r="F15354" t="s">
        <v>459</v>
      </c>
      <c r="G15354">
        <v>940.1</v>
      </c>
      <c r="H15354">
        <v>250603</v>
      </c>
      <c r="I15354">
        <v>4367</v>
      </c>
      <c r="J15354" t="s">
        <v>159</v>
      </c>
      <c r="K15354">
        <v>6504.04</v>
      </c>
      <c r="L15354">
        <v>191.02</v>
      </c>
      <c r="M15354">
        <v>66756</v>
      </c>
      <c r="N15354" t="s">
        <v>120</v>
      </c>
      <c r="O15354">
        <v>250612</v>
      </c>
      <c r="P15354">
        <v>749.08</v>
      </c>
    </row>
    <row r="15355" spans="1:16" x14ac:dyDescent="0.25">
      <c r="A15355" t="s">
        <v>3296</v>
      </c>
      <c r="B15355" t="s">
        <v>2931</v>
      </c>
      <c r="C15355">
        <v>2377</v>
      </c>
      <c r="D15355" t="str">
        <f>"3068919     "</f>
        <v xml:space="preserve">3068919     </v>
      </c>
      <c r="E15355" t="s">
        <v>457</v>
      </c>
      <c r="F15355" t="s">
        <v>459</v>
      </c>
      <c r="G15355">
        <v>169.43</v>
      </c>
      <c r="H15355">
        <v>250214</v>
      </c>
      <c r="I15355">
        <v>4369</v>
      </c>
      <c r="J15355" t="s">
        <v>188</v>
      </c>
      <c r="K15355">
        <v>169.43</v>
      </c>
      <c r="L15355">
        <v>34.43</v>
      </c>
      <c r="M15355">
        <v>66756</v>
      </c>
      <c r="N15355" t="s">
        <v>120</v>
      </c>
      <c r="O15355">
        <v>250225</v>
      </c>
      <c r="P15355">
        <v>135</v>
      </c>
    </row>
    <row r="15356" spans="1:16" x14ac:dyDescent="0.25">
      <c r="A15356" t="s">
        <v>3296</v>
      </c>
      <c r="B15356" t="s">
        <v>2931</v>
      </c>
      <c r="C15356">
        <v>10790</v>
      </c>
      <c r="D15356" t="str">
        <f>"1022528     "</f>
        <v xml:space="preserve">1022528     </v>
      </c>
      <c r="E15356" t="s">
        <v>457</v>
      </c>
      <c r="F15356" t="s">
        <v>459</v>
      </c>
      <c r="G15356">
        <v>200</v>
      </c>
      <c r="H15356">
        <v>250818</v>
      </c>
      <c r="I15356">
        <v>4470</v>
      </c>
      <c r="J15356" t="s">
        <v>203</v>
      </c>
      <c r="K15356">
        <v>200</v>
      </c>
      <c r="L15356">
        <v>40.64</v>
      </c>
      <c r="M15356">
        <v>11401</v>
      </c>
      <c r="N15356" t="s">
        <v>91</v>
      </c>
      <c r="O15356">
        <v>250822</v>
      </c>
      <c r="P15356">
        <v>159.36000000000001</v>
      </c>
    </row>
    <row r="15357" spans="1:16" x14ac:dyDescent="0.25">
      <c r="A15357" t="s">
        <v>3296</v>
      </c>
      <c r="B15357" t="s">
        <v>2931</v>
      </c>
      <c r="C15357">
        <v>1028</v>
      </c>
      <c r="D15357" t="str">
        <f>"3068511     "</f>
        <v xml:space="preserve">3068511     </v>
      </c>
      <c r="E15357" t="s">
        <v>457</v>
      </c>
      <c r="F15357" t="s">
        <v>459</v>
      </c>
      <c r="G15357">
        <v>188.25</v>
      </c>
      <c r="H15357">
        <v>250128</v>
      </c>
      <c r="I15357">
        <v>4510</v>
      </c>
      <c r="J15357" t="s">
        <v>240</v>
      </c>
      <c r="K15357">
        <v>188.25</v>
      </c>
      <c r="L15357">
        <v>38.25</v>
      </c>
      <c r="M15357">
        <v>17527</v>
      </c>
      <c r="N15357" t="s">
        <v>142</v>
      </c>
      <c r="O15357">
        <v>250203</v>
      </c>
      <c r="P15357">
        <v>150</v>
      </c>
    </row>
    <row r="15358" spans="1:16" x14ac:dyDescent="0.25">
      <c r="A15358" t="s">
        <v>3296</v>
      </c>
      <c r="B15358" t="s">
        <v>2931</v>
      </c>
      <c r="C15358">
        <v>1029</v>
      </c>
      <c r="D15358" t="str">
        <f>"3068534     "</f>
        <v xml:space="preserve">3068534     </v>
      </c>
      <c r="E15358" t="s">
        <v>457</v>
      </c>
      <c r="F15358" t="s">
        <v>459</v>
      </c>
      <c r="G15358">
        <v>144.33000000000001</v>
      </c>
      <c r="H15358">
        <v>250128</v>
      </c>
      <c r="I15358">
        <v>4510</v>
      </c>
      <c r="J15358" t="s">
        <v>240</v>
      </c>
      <c r="K15358">
        <v>144.33000000000001</v>
      </c>
      <c r="L15358">
        <v>29.33</v>
      </c>
      <c r="M15358">
        <v>17527</v>
      </c>
      <c r="N15358" t="s">
        <v>142</v>
      </c>
      <c r="O15358">
        <v>250203</v>
      </c>
      <c r="P15358">
        <v>115</v>
      </c>
    </row>
    <row r="15359" spans="1:16" x14ac:dyDescent="0.25">
      <c r="A15359" t="s">
        <v>3296</v>
      </c>
      <c r="B15359" t="s">
        <v>2931</v>
      </c>
      <c r="C15359">
        <v>3011</v>
      </c>
      <c r="D15359" t="str">
        <f>"3069291     "</f>
        <v xml:space="preserve">3069291     </v>
      </c>
      <c r="E15359" t="s">
        <v>457</v>
      </c>
      <c r="F15359" t="s">
        <v>459</v>
      </c>
      <c r="G15359">
        <v>317.52</v>
      </c>
      <c r="H15359">
        <v>250303</v>
      </c>
      <c r="I15359">
        <v>4510</v>
      </c>
      <c r="J15359" t="s">
        <v>240</v>
      </c>
      <c r="K15359">
        <v>317.52</v>
      </c>
      <c r="L15359">
        <v>64.52</v>
      </c>
      <c r="M15359">
        <v>56524</v>
      </c>
      <c r="N15359" t="s">
        <v>69</v>
      </c>
      <c r="O15359">
        <v>250314</v>
      </c>
      <c r="P15359">
        <v>253</v>
      </c>
    </row>
    <row r="15360" spans="1:16" x14ac:dyDescent="0.25">
      <c r="A15360" t="s">
        <v>3296</v>
      </c>
      <c r="B15360" t="s">
        <v>2931</v>
      </c>
      <c r="C15360">
        <v>6209</v>
      </c>
      <c r="D15360" t="str">
        <f>"3070465     "</f>
        <v xml:space="preserve">3070465     </v>
      </c>
      <c r="E15360" t="s">
        <v>457</v>
      </c>
      <c r="F15360" t="s">
        <v>459</v>
      </c>
      <c r="G15360">
        <v>64.900000000000006</v>
      </c>
      <c r="H15360">
        <v>250505</v>
      </c>
      <c r="I15360">
        <v>4510</v>
      </c>
      <c r="J15360" t="s">
        <v>240</v>
      </c>
      <c r="K15360">
        <v>64.900000000000006</v>
      </c>
      <c r="L15360">
        <v>5.9</v>
      </c>
      <c r="M15360">
        <v>46556</v>
      </c>
      <c r="N15360" t="s">
        <v>458</v>
      </c>
      <c r="O15360">
        <v>250509</v>
      </c>
      <c r="P15360">
        <v>59</v>
      </c>
    </row>
    <row r="15361" spans="1:16" x14ac:dyDescent="0.25">
      <c r="A15361" t="s">
        <v>3296</v>
      </c>
      <c r="B15361" t="s">
        <v>2931</v>
      </c>
      <c r="C15361">
        <v>743</v>
      </c>
      <c r="D15361" t="str">
        <f>"11511       "</f>
        <v xml:space="preserve">11511       </v>
      </c>
      <c r="E15361" t="s">
        <v>704</v>
      </c>
      <c r="F15361" t="s">
        <v>705</v>
      </c>
      <c r="G15361">
        <v>40250</v>
      </c>
      <c r="H15361">
        <v>250121</v>
      </c>
      <c r="I15361">
        <v>1196</v>
      </c>
      <c r="J15361" t="s">
        <v>340</v>
      </c>
      <c r="K15361">
        <v>40250</v>
      </c>
      <c r="L15361">
        <v>0</v>
      </c>
      <c r="M15361">
        <v>97604</v>
      </c>
      <c r="N15361" t="s">
        <v>341</v>
      </c>
      <c r="O15361">
        <v>250128</v>
      </c>
      <c r="P15361">
        <v>40250</v>
      </c>
    </row>
    <row r="15362" spans="1:16" x14ac:dyDescent="0.25">
      <c r="A15362" t="s">
        <v>3296</v>
      </c>
      <c r="B15362" t="s">
        <v>2931</v>
      </c>
      <c r="C15362">
        <v>1867</v>
      </c>
      <c r="D15362" t="str">
        <f>"11515       "</f>
        <v xml:space="preserve">11515       </v>
      </c>
      <c r="E15362" t="s">
        <v>704</v>
      </c>
      <c r="F15362" t="s">
        <v>705</v>
      </c>
      <c r="G15362">
        <v>28700</v>
      </c>
      <c r="H15362">
        <v>250207</v>
      </c>
      <c r="I15362">
        <v>1196</v>
      </c>
      <c r="J15362" t="s">
        <v>340</v>
      </c>
      <c r="K15362">
        <v>28700</v>
      </c>
      <c r="L15362">
        <v>0</v>
      </c>
      <c r="M15362">
        <v>97604</v>
      </c>
      <c r="N15362" t="s">
        <v>341</v>
      </c>
      <c r="O15362">
        <v>250214</v>
      </c>
      <c r="P15362">
        <v>28700</v>
      </c>
    </row>
    <row r="15363" spans="1:16" x14ac:dyDescent="0.25">
      <c r="A15363" t="s">
        <v>3296</v>
      </c>
      <c r="B15363" t="s">
        <v>2931</v>
      </c>
      <c r="C15363">
        <v>3308</v>
      </c>
      <c r="D15363" t="str">
        <f>"11519       "</f>
        <v xml:space="preserve">11519       </v>
      </c>
      <c r="E15363" t="s">
        <v>704</v>
      </c>
      <c r="F15363" t="s">
        <v>705</v>
      </c>
      <c r="G15363">
        <v>139500</v>
      </c>
      <c r="H15363">
        <v>250227</v>
      </c>
      <c r="I15363">
        <v>1196</v>
      </c>
      <c r="J15363" t="s">
        <v>340</v>
      </c>
      <c r="K15363">
        <v>139500</v>
      </c>
      <c r="L15363">
        <v>0</v>
      </c>
      <c r="M15363">
        <v>97604</v>
      </c>
      <c r="N15363" t="s">
        <v>341</v>
      </c>
      <c r="O15363">
        <v>250318</v>
      </c>
      <c r="P15363">
        <v>139500</v>
      </c>
    </row>
    <row r="15364" spans="1:16" x14ac:dyDescent="0.25">
      <c r="A15364" t="s">
        <v>3296</v>
      </c>
      <c r="B15364" t="s">
        <v>2931</v>
      </c>
      <c r="C15364">
        <v>3473</v>
      </c>
      <c r="D15364" t="str">
        <f>"11520       "</f>
        <v xml:space="preserve">11520       </v>
      </c>
      <c r="E15364" t="s">
        <v>704</v>
      </c>
      <c r="F15364" t="s">
        <v>705</v>
      </c>
      <c r="G15364">
        <v>39927.660000000003</v>
      </c>
      <c r="H15364">
        <v>250303</v>
      </c>
      <c r="I15364">
        <v>1196</v>
      </c>
      <c r="J15364" t="s">
        <v>340</v>
      </c>
      <c r="K15364">
        <v>39927.660000000003</v>
      </c>
      <c r="L15364">
        <v>0</v>
      </c>
      <c r="M15364">
        <v>97604</v>
      </c>
      <c r="N15364" t="s">
        <v>341</v>
      </c>
      <c r="O15364">
        <v>250324</v>
      </c>
      <c r="P15364">
        <v>39927.660000000003</v>
      </c>
    </row>
    <row r="15365" spans="1:16" x14ac:dyDescent="0.25">
      <c r="A15365" t="s">
        <v>3296</v>
      </c>
      <c r="B15365" t="s">
        <v>2931</v>
      </c>
      <c r="C15365">
        <v>3903</v>
      </c>
      <c r="D15365" t="str">
        <f>"11528       "</f>
        <v xml:space="preserve">11528       </v>
      </c>
      <c r="E15365" t="s">
        <v>704</v>
      </c>
      <c r="F15365" t="s">
        <v>705</v>
      </c>
      <c r="G15365">
        <v>3304</v>
      </c>
      <c r="H15365">
        <v>250313</v>
      </c>
      <c r="I15365">
        <v>1196</v>
      </c>
      <c r="J15365" t="s">
        <v>340</v>
      </c>
      <c r="K15365">
        <v>3304</v>
      </c>
      <c r="L15365">
        <v>0</v>
      </c>
      <c r="M15365">
        <v>97604</v>
      </c>
      <c r="N15365" t="s">
        <v>341</v>
      </c>
      <c r="O15365">
        <v>250403</v>
      </c>
      <c r="P15365">
        <v>3304</v>
      </c>
    </row>
    <row r="15366" spans="1:16" x14ac:dyDescent="0.25">
      <c r="A15366" t="s">
        <v>3296</v>
      </c>
      <c r="B15366" t="s">
        <v>2931</v>
      </c>
      <c r="C15366">
        <v>10855</v>
      </c>
      <c r="D15366" t="str">
        <f>"11560       "</f>
        <v xml:space="preserve">11560       </v>
      </c>
      <c r="E15366" t="s">
        <v>704</v>
      </c>
      <c r="F15366" t="s">
        <v>705</v>
      </c>
      <c r="G15366">
        <v>30000</v>
      </c>
      <c r="H15366">
        <v>250819</v>
      </c>
      <c r="I15366">
        <v>1196</v>
      </c>
      <c r="J15366" t="s">
        <v>340</v>
      </c>
      <c r="K15366">
        <v>30000</v>
      </c>
      <c r="L15366">
        <v>0</v>
      </c>
      <c r="M15366">
        <v>97604</v>
      </c>
      <c r="N15366" t="s">
        <v>341</v>
      </c>
      <c r="O15366">
        <v>250825</v>
      </c>
      <c r="P15366">
        <v>30000</v>
      </c>
    </row>
    <row r="15367" spans="1:16" x14ac:dyDescent="0.25">
      <c r="A15367" t="s">
        <v>3296</v>
      </c>
      <c r="B15367" t="s">
        <v>2931</v>
      </c>
      <c r="C15367">
        <v>13899</v>
      </c>
      <c r="D15367" t="str">
        <f>"11576       "</f>
        <v xml:space="preserve">11576       </v>
      </c>
      <c r="E15367" t="s">
        <v>704</v>
      </c>
      <c r="F15367" t="s">
        <v>705</v>
      </c>
      <c r="G15367">
        <v>2500</v>
      </c>
      <c r="H15367">
        <v>251017</v>
      </c>
      <c r="I15367">
        <v>1196</v>
      </c>
      <c r="J15367" t="s">
        <v>340</v>
      </c>
      <c r="K15367">
        <v>2500</v>
      </c>
      <c r="L15367">
        <v>0</v>
      </c>
      <c r="M15367">
        <v>97604</v>
      </c>
      <c r="N15367" t="s">
        <v>341</v>
      </c>
      <c r="O15367">
        <v>251020</v>
      </c>
      <c r="P15367">
        <v>2500</v>
      </c>
    </row>
    <row r="15368" spans="1:16" x14ac:dyDescent="0.25">
      <c r="A15368" t="s">
        <v>3296</v>
      </c>
      <c r="B15368" t="s">
        <v>2931</v>
      </c>
      <c r="C15368">
        <v>14484</v>
      </c>
      <c r="D15368" t="str">
        <f>"945         "</f>
        <v xml:space="preserve">945         </v>
      </c>
      <c r="E15368" t="s">
        <v>2514</v>
      </c>
      <c r="F15368" t="s">
        <v>2515</v>
      </c>
      <c r="G15368">
        <v>39</v>
      </c>
      <c r="H15368">
        <v>251029</v>
      </c>
      <c r="I15368">
        <v>4410</v>
      </c>
      <c r="J15368" t="s">
        <v>165</v>
      </c>
      <c r="K15368">
        <v>39</v>
      </c>
      <c r="L15368">
        <v>4.79</v>
      </c>
      <c r="M15368">
        <v>16431</v>
      </c>
      <c r="N15368" t="s">
        <v>17</v>
      </c>
      <c r="O15368">
        <v>251103</v>
      </c>
      <c r="P15368">
        <v>34.21</v>
      </c>
    </row>
    <row r="15369" spans="1:16" x14ac:dyDescent="0.25">
      <c r="A15369" t="s">
        <v>3296</v>
      </c>
      <c r="B15369" t="s">
        <v>2931</v>
      </c>
      <c r="C15369">
        <v>1876</v>
      </c>
      <c r="D15369" t="str">
        <f>"108680      "</f>
        <v xml:space="preserve">108680      </v>
      </c>
      <c r="E15369" t="s">
        <v>3005</v>
      </c>
      <c r="F15369" t="s">
        <v>3006</v>
      </c>
      <c r="G15369">
        <v>580</v>
      </c>
      <c r="H15369">
        <v>250131</v>
      </c>
      <c r="I15369">
        <v>4440</v>
      </c>
      <c r="J15369" t="s">
        <v>346</v>
      </c>
      <c r="K15369">
        <v>580</v>
      </c>
      <c r="L15369">
        <v>0</v>
      </c>
      <c r="M15369">
        <v>18120</v>
      </c>
      <c r="N15369" t="s">
        <v>37</v>
      </c>
      <c r="O15369">
        <v>250214</v>
      </c>
      <c r="P15369">
        <v>580</v>
      </c>
    </row>
    <row r="15370" spans="1:16" x14ac:dyDescent="0.25">
      <c r="A15370" t="s">
        <v>3296</v>
      </c>
      <c r="B15370" t="s">
        <v>2931</v>
      </c>
      <c r="C15370">
        <v>4776</v>
      </c>
      <c r="D15370" t="str">
        <f>"108777      "</f>
        <v xml:space="preserve">108777      </v>
      </c>
      <c r="E15370" t="s">
        <v>3005</v>
      </c>
      <c r="F15370" t="s">
        <v>3006</v>
      </c>
      <c r="G15370">
        <v>580</v>
      </c>
      <c r="H15370">
        <v>250319</v>
      </c>
      <c r="I15370">
        <v>4440</v>
      </c>
      <c r="J15370" t="s">
        <v>346</v>
      </c>
      <c r="K15370">
        <v>580</v>
      </c>
      <c r="L15370">
        <v>0</v>
      </c>
      <c r="M15370">
        <v>18120</v>
      </c>
      <c r="N15370" t="s">
        <v>37</v>
      </c>
      <c r="O15370">
        <v>250415</v>
      </c>
      <c r="P15370">
        <v>580</v>
      </c>
    </row>
    <row r="15371" spans="1:16" x14ac:dyDescent="0.25">
      <c r="A15371" t="s">
        <v>3296</v>
      </c>
      <c r="B15371" t="s">
        <v>2931</v>
      </c>
      <c r="C15371">
        <v>12292</v>
      </c>
      <c r="D15371" t="str">
        <f>"109265      "</f>
        <v xml:space="preserve">109265      </v>
      </c>
      <c r="E15371" t="s">
        <v>3005</v>
      </c>
      <c r="F15371" t="s">
        <v>3006</v>
      </c>
      <c r="G15371">
        <v>800</v>
      </c>
      <c r="H15371">
        <v>250903</v>
      </c>
      <c r="I15371">
        <v>4440</v>
      </c>
      <c r="J15371" t="s">
        <v>346</v>
      </c>
      <c r="K15371">
        <v>800</v>
      </c>
      <c r="L15371">
        <v>0</v>
      </c>
      <c r="M15371">
        <v>18122</v>
      </c>
      <c r="N15371" t="s">
        <v>176</v>
      </c>
      <c r="O15371">
        <v>250918</v>
      </c>
      <c r="P15371">
        <v>800</v>
      </c>
    </row>
    <row r="15372" spans="1:16" x14ac:dyDescent="0.25">
      <c r="A15372" t="s">
        <v>3296</v>
      </c>
      <c r="B15372" t="s">
        <v>2931</v>
      </c>
      <c r="C15372">
        <v>3225</v>
      </c>
      <c r="D15372" t="str">
        <f>"454504296   "</f>
        <v xml:space="preserve">454504296   </v>
      </c>
      <c r="E15372" t="s">
        <v>1400</v>
      </c>
      <c r="F15372" t="s">
        <v>1401</v>
      </c>
      <c r="G15372">
        <v>308.95</v>
      </c>
      <c r="H15372">
        <v>250305</v>
      </c>
      <c r="I15372">
        <v>4600</v>
      </c>
      <c r="J15372" t="s">
        <v>278</v>
      </c>
      <c r="K15372">
        <v>308.95</v>
      </c>
      <c r="L15372">
        <v>62.77</v>
      </c>
      <c r="M15372">
        <v>17711</v>
      </c>
      <c r="N15372" t="s">
        <v>155</v>
      </c>
      <c r="O15372">
        <v>250317</v>
      </c>
      <c r="P15372">
        <v>246.18</v>
      </c>
    </row>
    <row r="15373" spans="1:16" x14ac:dyDescent="0.25">
      <c r="A15373" t="s">
        <v>3296</v>
      </c>
      <c r="B15373" t="s">
        <v>2931</v>
      </c>
      <c r="C15373">
        <v>17604</v>
      </c>
      <c r="D15373" t="str">
        <f>"458604930   "</f>
        <v xml:space="preserve">458604930   </v>
      </c>
      <c r="E15373" t="s">
        <v>1400</v>
      </c>
      <c r="F15373" t="s">
        <v>1401</v>
      </c>
      <c r="G15373">
        <v>43.34</v>
      </c>
      <c r="H15373">
        <v>251217</v>
      </c>
      <c r="I15373">
        <v>4600</v>
      </c>
      <c r="J15373" t="s">
        <v>278</v>
      </c>
      <c r="K15373">
        <v>43.34</v>
      </c>
      <c r="L15373">
        <v>8.81</v>
      </c>
      <c r="M15373">
        <v>59501</v>
      </c>
      <c r="N15373" t="s">
        <v>62</v>
      </c>
      <c r="O15373">
        <v>251223</v>
      </c>
      <c r="P15373">
        <v>34.53</v>
      </c>
    </row>
    <row r="15374" spans="1:16" x14ac:dyDescent="0.25">
      <c r="A15374" t="s">
        <v>3296</v>
      </c>
      <c r="B15374" t="s">
        <v>2931</v>
      </c>
      <c r="C15374">
        <v>15397</v>
      </c>
      <c r="D15374" t="str">
        <f>"30259071    "</f>
        <v xml:space="preserve">30259071    </v>
      </c>
      <c r="E15374" t="s">
        <v>2584</v>
      </c>
      <c r="F15374" t="s">
        <v>2585</v>
      </c>
      <c r="G15374">
        <v>54.4</v>
      </c>
      <c r="H15374">
        <v>251111</v>
      </c>
      <c r="I15374">
        <v>4600</v>
      </c>
      <c r="J15374" t="s">
        <v>278</v>
      </c>
      <c r="K15374">
        <v>126.5</v>
      </c>
      <c r="L15374">
        <v>11.05</v>
      </c>
      <c r="M15374">
        <v>66722</v>
      </c>
      <c r="N15374" t="s">
        <v>118</v>
      </c>
      <c r="O15374">
        <v>251120</v>
      </c>
      <c r="P15374">
        <v>43.35</v>
      </c>
    </row>
    <row r="15375" spans="1:16" x14ac:dyDescent="0.25">
      <c r="A15375" t="s">
        <v>3296</v>
      </c>
      <c r="B15375" t="s">
        <v>2931</v>
      </c>
      <c r="C15375">
        <v>15397</v>
      </c>
      <c r="D15375" t="str">
        <f>"30259071    "</f>
        <v xml:space="preserve">30259071    </v>
      </c>
      <c r="E15375" t="s">
        <v>2584</v>
      </c>
      <c r="F15375" t="s">
        <v>2585</v>
      </c>
      <c r="G15375">
        <v>9.3699999999999992</v>
      </c>
      <c r="H15375">
        <v>251111</v>
      </c>
      <c r="I15375">
        <v>4600</v>
      </c>
      <c r="J15375" t="s">
        <v>278</v>
      </c>
      <c r="K15375">
        <v>126.5</v>
      </c>
      <c r="L15375">
        <v>1.9</v>
      </c>
      <c r="M15375">
        <v>66760</v>
      </c>
      <c r="N15375" t="s">
        <v>2449</v>
      </c>
      <c r="O15375">
        <v>251120</v>
      </c>
      <c r="P15375">
        <v>7.47</v>
      </c>
    </row>
    <row r="15376" spans="1:16" x14ac:dyDescent="0.25">
      <c r="A15376" t="s">
        <v>3296</v>
      </c>
      <c r="B15376" t="s">
        <v>2931</v>
      </c>
      <c r="C15376">
        <v>15397</v>
      </c>
      <c r="D15376" t="str">
        <f>"30259071    "</f>
        <v xml:space="preserve">30259071    </v>
      </c>
      <c r="E15376" t="s">
        <v>2584</v>
      </c>
      <c r="F15376" t="s">
        <v>2585</v>
      </c>
      <c r="G15376">
        <v>62.73</v>
      </c>
      <c r="H15376">
        <v>251111</v>
      </c>
      <c r="I15376">
        <v>4600</v>
      </c>
      <c r="J15376" t="s">
        <v>278</v>
      </c>
      <c r="K15376">
        <v>126.5</v>
      </c>
      <c r="L15376">
        <v>12.75</v>
      </c>
      <c r="M15376">
        <v>66760</v>
      </c>
      <c r="N15376" t="s">
        <v>2449</v>
      </c>
      <c r="O15376">
        <v>251120</v>
      </c>
      <c r="P15376">
        <v>49.98</v>
      </c>
    </row>
    <row r="15377" spans="1:16" x14ac:dyDescent="0.25">
      <c r="A15377" t="s">
        <v>3296</v>
      </c>
      <c r="B15377" t="s">
        <v>2931</v>
      </c>
      <c r="C15377">
        <v>3296</v>
      </c>
      <c r="D15377" t="str">
        <f>"5239319349  "</f>
        <v xml:space="preserve">5239319349  </v>
      </c>
      <c r="E15377" t="s">
        <v>472</v>
      </c>
      <c r="F15377" t="s">
        <v>473</v>
      </c>
      <c r="G15377">
        <v>177.01</v>
      </c>
      <c r="H15377">
        <v>250310</v>
      </c>
      <c r="I15377">
        <v>4534</v>
      </c>
      <c r="J15377" t="s">
        <v>349</v>
      </c>
      <c r="K15377">
        <v>177.01</v>
      </c>
      <c r="L15377">
        <v>35.97</v>
      </c>
      <c r="M15377">
        <v>54222</v>
      </c>
      <c r="N15377" t="s">
        <v>48</v>
      </c>
      <c r="O15377">
        <v>250318</v>
      </c>
      <c r="P15377">
        <v>141.04</v>
      </c>
    </row>
    <row r="15378" spans="1:16" x14ac:dyDescent="0.25">
      <c r="A15378" t="s">
        <v>3296</v>
      </c>
      <c r="B15378" t="s">
        <v>2931</v>
      </c>
      <c r="C15378">
        <v>6685</v>
      </c>
      <c r="D15378" t="str">
        <f>"5239497692  "</f>
        <v xml:space="preserve">5239497692  </v>
      </c>
      <c r="E15378" t="s">
        <v>472</v>
      </c>
      <c r="F15378" t="s">
        <v>473</v>
      </c>
      <c r="G15378">
        <v>62.75</v>
      </c>
      <c r="H15378">
        <v>250512</v>
      </c>
      <c r="I15378">
        <v>4550</v>
      </c>
      <c r="J15378" t="s">
        <v>226</v>
      </c>
      <c r="K15378">
        <v>62.75</v>
      </c>
      <c r="L15378">
        <v>12.75</v>
      </c>
      <c r="M15378">
        <v>54222</v>
      </c>
      <c r="N15378" t="s">
        <v>48</v>
      </c>
      <c r="O15378">
        <v>250515</v>
      </c>
      <c r="P15378">
        <v>50</v>
      </c>
    </row>
    <row r="15379" spans="1:16" x14ac:dyDescent="0.25">
      <c r="A15379" t="s">
        <v>3296</v>
      </c>
      <c r="B15379" t="s">
        <v>2931</v>
      </c>
      <c r="C15379">
        <v>1129</v>
      </c>
      <c r="D15379" t="str">
        <f>"5239230772  "</f>
        <v xml:space="preserve">5239230772  </v>
      </c>
      <c r="E15379" t="s">
        <v>472</v>
      </c>
      <c r="F15379" t="s">
        <v>473</v>
      </c>
      <c r="G15379">
        <v>32.18</v>
      </c>
      <c r="H15379">
        <v>250131</v>
      </c>
      <c r="I15379">
        <v>4580</v>
      </c>
      <c r="J15379" t="s">
        <v>126</v>
      </c>
      <c r="K15379">
        <v>32.18</v>
      </c>
      <c r="L15379">
        <v>6.54</v>
      </c>
      <c r="M15379">
        <v>56562</v>
      </c>
      <c r="N15379" t="s">
        <v>54</v>
      </c>
      <c r="O15379">
        <v>250204</v>
      </c>
      <c r="P15379">
        <v>25.64</v>
      </c>
    </row>
    <row r="15380" spans="1:16" x14ac:dyDescent="0.25">
      <c r="A15380" t="s">
        <v>3296</v>
      </c>
      <c r="B15380" t="s">
        <v>2931</v>
      </c>
      <c r="C15380">
        <v>3556</v>
      </c>
      <c r="D15380" t="str">
        <f>"5239336694  "</f>
        <v xml:space="preserve">5239336694  </v>
      </c>
      <c r="E15380" t="s">
        <v>472</v>
      </c>
      <c r="F15380" t="s">
        <v>473</v>
      </c>
      <c r="G15380">
        <v>281.33</v>
      </c>
      <c r="H15380">
        <v>250317</v>
      </c>
      <c r="I15380">
        <v>4580</v>
      </c>
      <c r="J15380" t="s">
        <v>126</v>
      </c>
      <c r="K15380">
        <v>281.33</v>
      </c>
      <c r="L15380">
        <v>57.16</v>
      </c>
      <c r="M15380">
        <v>56562</v>
      </c>
      <c r="N15380" t="s">
        <v>54</v>
      </c>
      <c r="O15380">
        <v>250325</v>
      </c>
      <c r="P15380">
        <v>224.17</v>
      </c>
    </row>
    <row r="15381" spans="1:16" x14ac:dyDescent="0.25">
      <c r="A15381" t="s">
        <v>3296</v>
      </c>
      <c r="B15381" t="s">
        <v>2931</v>
      </c>
      <c r="C15381">
        <v>11839</v>
      </c>
      <c r="D15381" t="str">
        <f>"5239891803  "</f>
        <v xml:space="preserve">5239891803  </v>
      </c>
      <c r="E15381" t="s">
        <v>472</v>
      </c>
      <c r="F15381" t="s">
        <v>473</v>
      </c>
      <c r="G15381">
        <v>97.4</v>
      </c>
      <c r="H15381">
        <v>250901</v>
      </c>
      <c r="I15381">
        <v>4580</v>
      </c>
      <c r="J15381" t="s">
        <v>126</v>
      </c>
      <c r="K15381">
        <v>97.4</v>
      </c>
      <c r="L15381">
        <v>19.79</v>
      </c>
      <c r="M15381">
        <v>59501</v>
      </c>
      <c r="N15381" t="s">
        <v>62</v>
      </c>
      <c r="O15381">
        <v>250911</v>
      </c>
      <c r="P15381">
        <v>77.61</v>
      </c>
    </row>
    <row r="15382" spans="1:16" x14ac:dyDescent="0.25">
      <c r="A15382" t="s">
        <v>3296</v>
      </c>
      <c r="B15382" t="s">
        <v>2931</v>
      </c>
      <c r="C15382">
        <v>377</v>
      </c>
      <c r="D15382" t="str">
        <f>"5239198348  "</f>
        <v xml:space="preserve">5239198348  </v>
      </c>
      <c r="E15382" t="s">
        <v>472</v>
      </c>
      <c r="F15382" t="s">
        <v>473</v>
      </c>
      <c r="G15382">
        <v>537.16999999999996</v>
      </c>
      <c r="H15382">
        <v>250120</v>
      </c>
      <c r="I15382">
        <v>4590</v>
      </c>
      <c r="J15382" t="s">
        <v>388</v>
      </c>
      <c r="K15382">
        <v>537.16999999999996</v>
      </c>
      <c r="L15382">
        <v>109.15</v>
      </c>
      <c r="M15382">
        <v>56561</v>
      </c>
      <c r="N15382" t="s">
        <v>53</v>
      </c>
      <c r="O15382">
        <v>250122</v>
      </c>
      <c r="P15382">
        <v>428.02</v>
      </c>
    </row>
    <row r="15383" spans="1:16" x14ac:dyDescent="0.25">
      <c r="A15383" t="s">
        <v>3296</v>
      </c>
      <c r="B15383" t="s">
        <v>2931</v>
      </c>
      <c r="C15383">
        <v>1794</v>
      </c>
      <c r="D15383" t="str">
        <f>"5239250984  "</f>
        <v xml:space="preserve">5239250984  </v>
      </c>
      <c r="E15383" t="s">
        <v>472</v>
      </c>
      <c r="F15383" t="s">
        <v>473</v>
      </c>
      <c r="G15383">
        <v>246.19</v>
      </c>
      <c r="H15383">
        <v>250210</v>
      </c>
      <c r="I15383">
        <v>4590</v>
      </c>
      <c r="J15383" t="s">
        <v>388</v>
      </c>
      <c r="K15383">
        <v>246.19</v>
      </c>
      <c r="L15383">
        <v>50.02</v>
      </c>
      <c r="M15383">
        <v>56562</v>
      </c>
      <c r="N15383" t="s">
        <v>54</v>
      </c>
      <c r="O15383">
        <v>250214</v>
      </c>
      <c r="P15383">
        <v>196.17</v>
      </c>
    </row>
    <row r="15384" spans="1:16" x14ac:dyDescent="0.25">
      <c r="A15384" t="s">
        <v>3296</v>
      </c>
      <c r="B15384" t="s">
        <v>2931</v>
      </c>
      <c r="C15384">
        <v>3900</v>
      </c>
      <c r="D15384" t="str">
        <f>"5239353184  "</f>
        <v xml:space="preserve">5239353184  </v>
      </c>
      <c r="E15384" t="s">
        <v>472</v>
      </c>
      <c r="F15384" t="s">
        <v>473</v>
      </c>
      <c r="G15384">
        <v>40.35</v>
      </c>
      <c r="H15384">
        <v>250324</v>
      </c>
      <c r="I15384">
        <v>4590</v>
      </c>
      <c r="J15384" t="s">
        <v>388</v>
      </c>
      <c r="K15384">
        <v>40.35</v>
      </c>
      <c r="L15384">
        <v>8.1999999999999993</v>
      </c>
      <c r="M15384">
        <v>56551</v>
      </c>
      <c r="N15384" t="s">
        <v>551</v>
      </c>
      <c r="O15384">
        <v>250403</v>
      </c>
      <c r="P15384">
        <v>32.15</v>
      </c>
    </row>
    <row r="15385" spans="1:16" x14ac:dyDescent="0.25">
      <c r="A15385" t="s">
        <v>3296</v>
      </c>
      <c r="B15385" t="s">
        <v>2931</v>
      </c>
      <c r="C15385">
        <v>10753</v>
      </c>
      <c r="D15385" t="str">
        <f>"5239839863  "</f>
        <v xml:space="preserve">5239839863  </v>
      </c>
      <c r="E15385" t="s">
        <v>472</v>
      </c>
      <c r="F15385" t="s">
        <v>473</v>
      </c>
      <c r="G15385">
        <v>7.59</v>
      </c>
      <c r="H15385">
        <v>250818</v>
      </c>
      <c r="I15385">
        <v>4590</v>
      </c>
      <c r="J15385" t="s">
        <v>388</v>
      </c>
      <c r="K15385">
        <v>7.59</v>
      </c>
      <c r="L15385">
        <v>1.54</v>
      </c>
      <c r="M15385">
        <v>56562</v>
      </c>
      <c r="N15385" t="s">
        <v>54</v>
      </c>
      <c r="O15385">
        <v>250822</v>
      </c>
      <c r="P15385">
        <v>6.05</v>
      </c>
    </row>
    <row r="15386" spans="1:16" x14ac:dyDescent="0.25">
      <c r="A15386" t="s">
        <v>3296</v>
      </c>
      <c r="B15386" t="s">
        <v>2931</v>
      </c>
      <c r="C15386">
        <v>10911</v>
      </c>
      <c r="D15386" t="str">
        <f>"5239861530  "</f>
        <v xml:space="preserve">5239861530  </v>
      </c>
      <c r="E15386" t="s">
        <v>472</v>
      </c>
      <c r="F15386" t="s">
        <v>473</v>
      </c>
      <c r="G15386">
        <v>182.6</v>
      </c>
      <c r="H15386">
        <v>250825</v>
      </c>
      <c r="I15386">
        <v>4590</v>
      </c>
      <c r="J15386" t="s">
        <v>388</v>
      </c>
      <c r="K15386">
        <v>182.6</v>
      </c>
      <c r="L15386">
        <v>37.1</v>
      </c>
      <c r="M15386">
        <v>56562</v>
      </c>
      <c r="N15386" t="s">
        <v>54</v>
      </c>
      <c r="O15386">
        <v>250827</v>
      </c>
      <c r="P15386">
        <v>145.5</v>
      </c>
    </row>
    <row r="15387" spans="1:16" x14ac:dyDescent="0.25">
      <c r="A15387" t="s">
        <v>3296</v>
      </c>
      <c r="B15387" t="s">
        <v>2931</v>
      </c>
      <c r="C15387">
        <v>12093</v>
      </c>
      <c r="D15387" t="str">
        <f>"5239911157  "</f>
        <v xml:space="preserve">5239911157  </v>
      </c>
      <c r="E15387" t="s">
        <v>472</v>
      </c>
      <c r="F15387" t="s">
        <v>473</v>
      </c>
      <c r="G15387">
        <v>30.71</v>
      </c>
      <c r="H15387">
        <v>250908</v>
      </c>
      <c r="I15387">
        <v>4590</v>
      </c>
      <c r="J15387" t="s">
        <v>388</v>
      </c>
      <c r="K15387">
        <v>30.71</v>
      </c>
      <c r="L15387">
        <v>6.24</v>
      </c>
      <c r="M15387">
        <v>56562</v>
      </c>
      <c r="N15387" t="s">
        <v>54</v>
      </c>
      <c r="O15387">
        <v>250916</v>
      </c>
      <c r="P15387">
        <v>24.47</v>
      </c>
    </row>
    <row r="15388" spans="1:16" x14ac:dyDescent="0.25">
      <c r="A15388" t="s">
        <v>3296</v>
      </c>
      <c r="B15388" t="s">
        <v>2931</v>
      </c>
      <c r="C15388">
        <v>13105</v>
      </c>
      <c r="D15388" t="str">
        <f>"5239954395  "</f>
        <v xml:space="preserve">5239954395  </v>
      </c>
      <c r="E15388" t="s">
        <v>472</v>
      </c>
      <c r="F15388" t="s">
        <v>473</v>
      </c>
      <c r="G15388">
        <v>43.7</v>
      </c>
      <c r="H15388">
        <v>250922</v>
      </c>
      <c r="I15388">
        <v>4590</v>
      </c>
      <c r="J15388" t="s">
        <v>388</v>
      </c>
      <c r="K15388">
        <v>43.7</v>
      </c>
      <c r="L15388">
        <v>8.8800000000000008</v>
      </c>
      <c r="M15388">
        <v>59501</v>
      </c>
      <c r="N15388" t="s">
        <v>62</v>
      </c>
      <c r="O15388">
        <v>251006</v>
      </c>
      <c r="P15388">
        <v>34.82</v>
      </c>
    </row>
    <row r="15389" spans="1:16" x14ac:dyDescent="0.25">
      <c r="A15389" t="s">
        <v>3296</v>
      </c>
      <c r="B15389" t="s">
        <v>2931</v>
      </c>
      <c r="C15389">
        <v>15337</v>
      </c>
      <c r="D15389" t="str">
        <f>"5240110502  "</f>
        <v xml:space="preserve">5240110502  </v>
      </c>
      <c r="E15389" t="s">
        <v>472</v>
      </c>
      <c r="F15389" t="s">
        <v>473</v>
      </c>
      <c r="G15389">
        <v>70.349999999999994</v>
      </c>
      <c r="H15389">
        <v>251110</v>
      </c>
      <c r="I15389">
        <v>4590</v>
      </c>
      <c r="J15389" t="s">
        <v>388</v>
      </c>
      <c r="K15389">
        <v>70.349999999999994</v>
      </c>
      <c r="L15389">
        <v>14.29</v>
      </c>
      <c r="M15389">
        <v>56571</v>
      </c>
      <c r="N15389" t="s">
        <v>553</v>
      </c>
      <c r="O15389">
        <v>251119</v>
      </c>
      <c r="P15389">
        <v>56.06</v>
      </c>
    </row>
    <row r="15390" spans="1:16" x14ac:dyDescent="0.25">
      <c r="A15390" t="s">
        <v>3296</v>
      </c>
      <c r="B15390" t="s">
        <v>2931</v>
      </c>
      <c r="C15390">
        <v>17476</v>
      </c>
      <c r="D15390" t="str">
        <f>"5240210212  "</f>
        <v xml:space="preserve">5240210212  </v>
      </c>
      <c r="E15390" t="s">
        <v>472</v>
      </c>
      <c r="F15390" t="s">
        <v>473</v>
      </c>
      <c r="G15390">
        <v>21.51</v>
      </c>
      <c r="H15390">
        <v>251215</v>
      </c>
      <c r="I15390">
        <v>4590</v>
      </c>
      <c r="J15390" t="s">
        <v>388</v>
      </c>
      <c r="K15390">
        <v>64.58</v>
      </c>
      <c r="L15390">
        <v>4.37</v>
      </c>
      <c r="M15390">
        <v>56551</v>
      </c>
      <c r="N15390" t="s">
        <v>551</v>
      </c>
      <c r="O15390">
        <v>251222</v>
      </c>
      <c r="P15390">
        <v>17.14</v>
      </c>
    </row>
    <row r="15391" spans="1:16" x14ac:dyDescent="0.25">
      <c r="A15391" t="s">
        <v>3296</v>
      </c>
      <c r="B15391" t="s">
        <v>2931</v>
      </c>
      <c r="C15391">
        <v>17476</v>
      </c>
      <c r="D15391" t="str">
        <f>"5240210212  "</f>
        <v xml:space="preserve">5240210212  </v>
      </c>
      <c r="E15391" t="s">
        <v>472</v>
      </c>
      <c r="F15391" t="s">
        <v>473</v>
      </c>
      <c r="G15391">
        <v>43.07</v>
      </c>
      <c r="H15391">
        <v>251215</v>
      </c>
      <c r="I15391">
        <v>4590</v>
      </c>
      <c r="J15391" t="s">
        <v>388</v>
      </c>
      <c r="K15391">
        <v>64.58</v>
      </c>
      <c r="L15391">
        <v>8.75</v>
      </c>
      <c r="M15391">
        <v>56562</v>
      </c>
      <c r="N15391" t="s">
        <v>54</v>
      </c>
      <c r="O15391">
        <v>251222</v>
      </c>
      <c r="P15391">
        <v>34.32</v>
      </c>
    </row>
    <row r="15392" spans="1:16" x14ac:dyDescent="0.25">
      <c r="A15392" t="s">
        <v>3296</v>
      </c>
      <c r="B15392" t="s">
        <v>2931</v>
      </c>
      <c r="C15392">
        <v>17758</v>
      </c>
      <c r="D15392" t="str">
        <f>"5240227347  "</f>
        <v xml:space="preserve">5240227347  </v>
      </c>
      <c r="E15392" t="s">
        <v>472</v>
      </c>
      <c r="F15392" t="s">
        <v>473</v>
      </c>
      <c r="G15392">
        <v>29.66</v>
      </c>
      <c r="H15392">
        <v>251222</v>
      </c>
      <c r="I15392">
        <v>4600</v>
      </c>
      <c r="J15392" t="s">
        <v>278</v>
      </c>
      <c r="K15392">
        <v>29.66</v>
      </c>
      <c r="L15392">
        <v>6.03</v>
      </c>
      <c r="M15392">
        <v>56522</v>
      </c>
      <c r="N15392" t="s">
        <v>68</v>
      </c>
      <c r="O15392">
        <v>251230</v>
      </c>
      <c r="P15392">
        <v>23.63</v>
      </c>
    </row>
    <row r="15393" spans="1:16" x14ac:dyDescent="0.25">
      <c r="A15393" t="s">
        <v>3296</v>
      </c>
      <c r="B15393" t="s">
        <v>2931</v>
      </c>
      <c r="C15393">
        <v>11791</v>
      </c>
      <c r="D15393" t="str">
        <f>"5239906368  "</f>
        <v xml:space="preserve">5239906368  </v>
      </c>
      <c r="E15393" t="s">
        <v>1161</v>
      </c>
      <c r="F15393" t="s">
        <v>1162</v>
      </c>
      <c r="G15393">
        <v>182.5</v>
      </c>
      <c r="H15393">
        <v>250908</v>
      </c>
      <c r="I15393">
        <v>4470</v>
      </c>
      <c r="J15393" t="s">
        <v>203</v>
      </c>
      <c r="K15393">
        <v>182.5</v>
      </c>
      <c r="L15393">
        <v>37.08</v>
      </c>
      <c r="M15393">
        <v>17957</v>
      </c>
      <c r="N15393" t="s">
        <v>812</v>
      </c>
      <c r="O15393">
        <v>250910</v>
      </c>
      <c r="P15393">
        <v>145.41999999999999</v>
      </c>
    </row>
    <row r="15394" spans="1:16" x14ac:dyDescent="0.25">
      <c r="A15394" t="s">
        <v>3296</v>
      </c>
      <c r="B15394" t="s">
        <v>2931</v>
      </c>
      <c r="C15394">
        <v>1935</v>
      </c>
      <c r="D15394" t="str">
        <f>"5239225266  "</f>
        <v xml:space="preserve">5239225266  </v>
      </c>
      <c r="E15394" t="s">
        <v>1161</v>
      </c>
      <c r="F15394" t="s">
        <v>1162</v>
      </c>
      <c r="G15394">
        <v>18.45</v>
      </c>
      <c r="H15394">
        <v>250131</v>
      </c>
      <c r="I15394">
        <v>4580</v>
      </c>
      <c r="J15394" t="s">
        <v>126</v>
      </c>
      <c r="K15394">
        <v>147.72</v>
      </c>
      <c r="L15394">
        <v>3.75</v>
      </c>
      <c r="M15394">
        <v>17527</v>
      </c>
      <c r="N15394" t="s">
        <v>142</v>
      </c>
      <c r="O15394">
        <v>250218</v>
      </c>
      <c r="P15394">
        <v>14.7</v>
      </c>
    </row>
    <row r="15395" spans="1:16" x14ac:dyDescent="0.25">
      <c r="A15395" t="s">
        <v>3296</v>
      </c>
      <c r="B15395" t="s">
        <v>2931</v>
      </c>
      <c r="C15395">
        <v>14048</v>
      </c>
      <c r="D15395" t="str">
        <f>"5240018433  "</f>
        <v xml:space="preserve">5240018433  </v>
      </c>
      <c r="E15395" t="s">
        <v>1161</v>
      </c>
      <c r="F15395" t="s">
        <v>1162</v>
      </c>
      <c r="G15395">
        <v>9.1999999999999993</v>
      </c>
      <c r="H15395">
        <v>251013</v>
      </c>
      <c r="I15395">
        <v>4580</v>
      </c>
      <c r="J15395" t="s">
        <v>126</v>
      </c>
      <c r="K15395">
        <v>302.58</v>
      </c>
      <c r="L15395">
        <v>1.87</v>
      </c>
      <c r="M15395">
        <v>17527</v>
      </c>
      <c r="N15395" t="s">
        <v>142</v>
      </c>
      <c r="O15395">
        <v>251022</v>
      </c>
      <c r="P15395">
        <v>7.33</v>
      </c>
    </row>
    <row r="15396" spans="1:16" x14ac:dyDescent="0.25">
      <c r="A15396" t="s">
        <v>3296</v>
      </c>
      <c r="B15396" t="s">
        <v>2931</v>
      </c>
      <c r="C15396">
        <v>14048</v>
      </c>
      <c r="D15396" t="str">
        <f>"5240018433  "</f>
        <v xml:space="preserve">5240018433  </v>
      </c>
      <c r="E15396" t="s">
        <v>1161</v>
      </c>
      <c r="F15396" t="s">
        <v>1162</v>
      </c>
      <c r="G15396">
        <v>49.02</v>
      </c>
      <c r="H15396">
        <v>251013</v>
      </c>
      <c r="I15396">
        <v>4580</v>
      </c>
      <c r="J15396" t="s">
        <v>126</v>
      </c>
      <c r="K15396">
        <v>302.58</v>
      </c>
      <c r="L15396">
        <v>9.9600000000000009</v>
      </c>
      <c r="M15396">
        <v>17527</v>
      </c>
      <c r="N15396" t="s">
        <v>142</v>
      </c>
      <c r="O15396">
        <v>251022</v>
      </c>
      <c r="P15396">
        <v>39.06</v>
      </c>
    </row>
    <row r="15397" spans="1:16" x14ac:dyDescent="0.25">
      <c r="A15397" t="s">
        <v>3296</v>
      </c>
      <c r="B15397" t="s">
        <v>2931</v>
      </c>
      <c r="C15397">
        <v>15180</v>
      </c>
      <c r="D15397" t="str">
        <f>"5240106443  "</f>
        <v xml:space="preserve">5240106443  </v>
      </c>
      <c r="E15397" t="s">
        <v>1161</v>
      </c>
      <c r="F15397" t="s">
        <v>1162</v>
      </c>
      <c r="G15397">
        <v>75.3</v>
      </c>
      <c r="H15397">
        <v>251031</v>
      </c>
      <c r="I15397">
        <v>4580</v>
      </c>
      <c r="J15397" t="s">
        <v>126</v>
      </c>
      <c r="K15397">
        <v>251</v>
      </c>
      <c r="L15397">
        <v>15.3</v>
      </c>
      <c r="M15397">
        <v>17527</v>
      </c>
      <c r="N15397" t="s">
        <v>142</v>
      </c>
      <c r="O15397">
        <v>251113</v>
      </c>
      <c r="P15397">
        <v>60</v>
      </c>
    </row>
    <row r="15398" spans="1:16" x14ac:dyDescent="0.25">
      <c r="A15398" t="s">
        <v>3296</v>
      </c>
      <c r="B15398" t="s">
        <v>2931</v>
      </c>
      <c r="C15398">
        <v>1935</v>
      </c>
      <c r="D15398" t="str">
        <f>"5239225266  "</f>
        <v xml:space="preserve">5239225266  </v>
      </c>
      <c r="E15398" t="s">
        <v>1161</v>
      </c>
      <c r="F15398" t="s">
        <v>1162</v>
      </c>
      <c r="G15398">
        <v>129.27000000000001</v>
      </c>
      <c r="H15398">
        <v>250131</v>
      </c>
      <c r="I15398">
        <v>4600</v>
      </c>
      <c r="J15398" t="s">
        <v>278</v>
      </c>
      <c r="K15398">
        <v>147.72</v>
      </c>
      <c r="L15398">
        <v>26.27</v>
      </c>
      <c r="M15398">
        <v>17527</v>
      </c>
      <c r="N15398" t="s">
        <v>142</v>
      </c>
      <c r="O15398">
        <v>250218</v>
      </c>
      <c r="P15398">
        <v>103</v>
      </c>
    </row>
    <row r="15399" spans="1:16" x14ac:dyDescent="0.25">
      <c r="A15399" t="s">
        <v>3296</v>
      </c>
      <c r="B15399" t="s">
        <v>2931</v>
      </c>
      <c r="C15399">
        <v>3510</v>
      </c>
      <c r="D15399" t="str">
        <f>"5239316116  "</f>
        <v xml:space="preserve">5239316116  </v>
      </c>
      <c r="E15399" t="s">
        <v>1161</v>
      </c>
      <c r="F15399" t="s">
        <v>1162</v>
      </c>
      <c r="G15399">
        <v>162</v>
      </c>
      <c r="H15399">
        <v>250310</v>
      </c>
      <c r="I15399">
        <v>4600</v>
      </c>
      <c r="J15399" t="s">
        <v>278</v>
      </c>
      <c r="K15399">
        <v>162</v>
      </c>
      <c r="L15399">
        <v>32.92</v>
      </c>
      <c r="M15399">
        <v>17527</v>
      </c>
      <c r="N15399" t="s">
        <v>142</v>
      </c>
      <c r="O15399">
        <v>250325</v>
      </c>
      <c r="P15399">
        <v>129.08000000000001</v>
      </c>
    </row>
    <row r="15400" spans="1:16" x14ac:dyDescent="0.25">
      <c r="A15400" t="s">
        <v>3296</v>
      </c>
      <c r="B15400" t="s">
        <v>2931</v>
      </c>
      <c r="C15400">
        <v>3699</v>
      </c>
      <c r="D15400" t="str">
        <f>"5239332206  "</f>
        <v xml:space="preserve">5239332206  </v>
      </c>
      <c r="E15400" t="s">
        <v>1161</v>
      </c>
      <c r="F15400" t="s">
        <v>1162</v>
      </c>
      <c r="G15400">
        <v>278.51</v>
      </c>
      <c r="H15400">
        <v>250317</v>
      </c>
      <c r="I15400">
        <v>4600</v>
      </c>
      <c r="J15400" t="s">
        <v>278</v>
      </c>
      <c r="K15400">
        <v>278.51</v>
      </c>
      <c r="L15400">
        <v>56.59</v>
      </c>
      <c r="M15400">
        <v>17638</v>
      </c>
      <c r="N15400" t="s">
        <v>1182</v>
      </c>
      <c r="O15400">
        <v>250328</v>
      </c>
      <c r="P15400">
        <v>221.92</v>
      </c>
    </row>
    <row r="15401" spans="1:16" x14ac:dyDescent="0.25">
      <c r="A15401" t="s">
        <v>3296</v>
      </c>
      <c r="B15401" t="s">
        <v>2931</v>
      </c>
      <c r="C15401">
        <v>4872</v>
      </c>
      <c r="D15401" t="str">
        <f>"5239388599  "</f>
        <v xml:space="preserve">5239388599  </v>
      </c>
      <c r="E15401" t="s">
        <v>1161</v>
      </c>
      <c r="F15401" t="s">
        <v>1162</v>
      </c>
      <c r="G15401">
        <v>297.52</v>
      </c>
      <c r="H15401">
        <v>250407</v>
      </c>
      <c r="I15401">
        <v>4600</v>
      </c>
      <c r="J15401" t="s">
        <v>278</v>
      </c>
      <c r="K15401">
        <v>297.52</v>
      </c>
      <c r="L15401">
        <v>60.45</v>
      </c>
      <c r="M15401">
        <v>17638</v>
      </c>
      <c r="N15401" t="s">
        <v>1182</v>
      </c>
      <c r="O15401">
        <v>250416</v>
      </c>
      <c r="P15401">
        <v>237.07</v>
      </c>
    </row>
    <row r="15402" spans="1:16" x14ac:dyDescent="0.25">
      <c r="A15402" t="s">
        <v>3296</v>
      </c>
      <c r="B15402" t="s">
        <v>2931</v>
      </c>
      <c r="C15402">
        <v>14048</v>
      </c>
      <c r="D15402" t="str">
        <f>"5240018433  "</f>
        <v xml:space="preserve">5240018433  </v>
      </c>
      <c r="E15402" t="s">
        <v>1161</v>
      </c>
      <c r="F15402" t="s">
        <v>1162</v>
      </c>
      <c r="G15402">
        <v>244.36</v>
      </c>
      <c r="H15402">
        <v>251013</v>
      </c>
      <c r="I15402">
        <v>4600</v>
      </c>
      <c r="J15402" t="s">
        <v>278</v>
      </c>
      <c r="K15402">
        <v>302.58</v>
      </c>
      <c r="L15402">
        <v>49.65</v>
      </c>
      <c r="M15402">
        <v>17638</v>
      </c>
      <c r="N15402" t="s">
        <v>1182</v>
      </c>
      <c r="O15402">
        <v>251022</v>
      </c>
      <c r="P15402">
        <v>194.71</v>
      </c>
    </row>
    <row r="15403" spans="1:16" x14ac:dyDescent="0.25">
      <c r="A15403" t="s">
        <v>3296</v>
      </c>
      <c r="B15403" t="s">
        <v>2931</v>
      </c>
      <c r="C15403">
        <v>15180</v>
      </c>
      <c r="D15403" t="str">
        <f>"5240106443  "</f>
        <v xml:space="preserve">5240106443  </v>
      </c>
      <c r="E15403" t="s">
        <v>1161</v>
      </c>
      <c r="F15403" t="s">
        <v>1162</v>
      </c>
      <c r="G15403">
        <v>175.7</v>
      </c>
      <c r="H15403">
        <v>251031</v>
      </c>
      <c r="I15403">
        <v>4600</v>
      </c>
      <c r="J15403" t="s">
        <v>278</v>
      </c>
      <c r="K15403">
        <v>251</v>
      </c>
      <c r="L15403">
        <v>35.700000000000003</v>
      </c>
      <c r="M15403">
        <v>17638</v>
      </c>
      <c r="N15403" t="s">
        <v>1182</v>
      </c>
      <c r="O15403">
        <v>251113</v>
      </c>
      <c r="P15403">
        <v>140</v>
      </c>
    </row>
    <row r="15404" spans="1:16" x14ac:dyDescent="0.25">
      <c r="A15404" t="s">
        <v>3296</v>
      </c>
      <c r="B15404" t="s">
        <v>2931</v>
      </c>
      <c r="C15404">
        <v>11735</v>
      </c>
      <c r="D15404" t="str">
        <f>"5239908826  "</f>
        <v xml:space="preserve">5239908826  </v>
      </c>
      <c r="E15404" t="s">
        <v>465</v>
      </c>
      <c r="F15404" t="s">
        <v>466</v>
      </c>
      <c r="G15404">
        <v>53.38</v>
      </c>
      <c r="H15404">
        <v>250908</v>
      </c>
      <c r="I15404">
        <v>4500</v>
      </c>
      <c r="J15404" t="s">
        <v>312</v>
      </c>
      <c r="K15404">
        <v>53.38</v>
      </c>
      <c r="L15404">
        <v>10.85</v>
      </c>
      <c r="M15404">
        <v>13802</v>
      </c>
      <c r="N15404" t="s">
        <v>34</v>
      </c>
      <c r="O15404">
        <v>250910</v>
      </c>
      <c r="P15404">
        <v>42.53</v>
      </c>
    </row>
    <row r="15405" spans="1:16" x14ac:dyDescent="0.25">
      <c r="A15405" t="s">
        <v>3296</v>
      </c>
      <c r="B15405" t="s">
        <v>2931</v>
      </c>
      <c r="C15405">
        <v>372</v>
      </c>
      <c r="D15405" t="str">
        <f>"5239196732  "</f>
        <v xml:space="preserve">5239196732  </v>
      </c>
      <c r="E15405" t="s">
        <v>465</v>
      </c>
      <c r="F15405" t="s">
        <v>466</v>
      </c>
      <c r="G15405">
        <v>14.9</v>
      </c>
      <c r="H15405">
        <v>250120</v>
      </c>
      <c r="I15405">
        <v>4600</v>
      </c>
      <c r="J15405" t="s">
        <v>278</v>
      </c>
      <c r="K15405">
        <v>14.9</v>
      </c>
      <c r="L15405">
        <v>3.03</v>
      </c>
      <c r="M15405">
        <v>13801</v>
      </c>
      <c r="N15405" t="s">
        <v>33</v>
      </c>
      <c r="O15405">
        <v>250122</v>
      </c>
      <c r="P15405">
        <v>11.87</v>
      </c>
    </row>
    <row r="15406" spans="1:16" x14ac:dyDescent="0.25">
      <c r="A15406" t="s">
        <v>3296</v>
      </c>
      <c r="B15406" t="s">
        <v>2931</v>
      </c>
      <c r="C15406">
        <v>13093</v>
      </c>
      <c r="D15406" t="str">
        <f>"5239972787  "</f>
        <v xml:space="preserve">5239972787  </v>
      </c>
      <c r="E15406" t="s">
        <v>465</v>
      </c>
      <c r="F15406" t="s">
        <v>466</v>
      </c>
      <c r="G15406">
        <v>42.32</v>
      </c>
      <c r="H15406">
        <v>250929</v>
      </c>
      <c r="I15406">
        <v>4600</v>
      </c>
      <c r="J15406" t="s">
        <v>278</v>
      </c>
      <c r="K15406">
        <v>42.32</v>
      </c>
      <c r="L15406">
        <v>8.6</v>
      </c>
      <c r="M15406">
        <v>13801</v>
      </c>
      <c r="N15406" t="s">
        <v>33</v>
      </c>
      <c r="O15406">
        <v>251006</v>
      </c>
      <c r="P15406">
        <v>33.72</v>
      </c>
    </row>
    <row r="15407" spans="1:16" x14ac:dyDescent="0.25">
      <c r="A15407" t="s">
        <v>3296</v>
      </c>
      <c r="B15407" t="s">
        <v>2931</v>
      </c>
      <c r="C15407">
        <v>13356</v>
      </c>
      <c r="D15407" t="str">
        <f>"5240001237  "</f>
        <v xml:space="preserve">5240001237  </v>
      </c>
      <c r="E15407" t="s">
        <v>465</v>
      </c>
      <c r="F15407" t="s">
        <v>466</v>
      </c>
      <c r="G15407">
        <v>28.14</v>
      </c>
      <c r="H15407">
        <v>251006</v>
      </c>
      <c r="I15407">
        <v>4600</v>
      </c>
      <c r="J15407" t="s">
        <v>278</v>
      </c>
      <c r="K15407">
        <v>28.14</v>
      </c>
      <c r="L15407">
        <v>5.72</v>
      </c>
      <c r="M15407">
        <v>13801</v>
      </c>
      <c r="N15407" t="s">
        <v>33</v>
      </c>
      <c r="O15407">
        <v>251008</v>
      </c>
      <c r="P15407">
        <v>22.42</v>
      </c>
    </row>
    <row r="15408" spans="1:16" x14ac:dyDescent="0.25">
      <c r="A15408" t="s">
        <v>3296</v>
      </c>
      <c r="B15408" t="s">
        <v>2931</v>
      </c>
      <c r="C15408">
        <v>666</v>
      </c>
      <c r="D15408" t="str">
        <f>"70767       "</f>
        <v xml:space="preserve">70767       </v>
      </c>
      <c r="E15408" t="s">
        <v>561</v>
      </c>
      <c r="F15408" t="s">
        <v>562</v>
      </c>
      <c r="G15408">
        <v>39.799999999999997</v>
      </c>
      <c r="H15408">
        <v>250124</v>
      </c>
      <c r="I15408">
        <v>4555</v>
      </c>
      <c r="J15408" t="s">
        <v>352</v>
      </c>
      <c r="K15408">
        <v>39.799999999999997</v>
      </c>
      <c r="L15408">
        <v>8.09</v>
      </c>
      <c r="M15408">
        <v>59504</v>
      </c>
      <c r="N15408" t="s">
        <v>193</v>
      </c>
      <c r="O15408">
        <v>250127</v>
      </c>
      <c r="P15408">
        <v>31.71</v>
      </c>
    </row>
    <row r="15409" spans="1:16" x14ac:dyDescent="0.25">
      <c r="A15409" t="s">
        <v>3296</v>
      </c>
      <c r="B15409" t="s">
        <v>2931</v>
      </c>
      <c r="C15409">
        <v>14088</v>
      </c>
      <c r="D15409" t="str">
        <f>"74261       "</f>
        <v xml:space="preserve">74261       </v>
      </c>
      <c r="E15409" t="s">
        <v>561</v>
      </c>
      <c r="F15409" t="s">
        <v>562</v>
      </c>
      <c r="G15409">
        <v>56.7</v>
      </c>
      <c r="H15409">
        <v>251021</v>
      </c>
      <c r="I15409">
        <v>4560</v>
      </c>
      <c r="J15409" t="s">
        <v>390</v>
      </c>
      <c r="K15409">
        <v>56.7</v>
      </c>
      <c r="L15409">
        <v>11.52</v>
      </c>
      <c r="M15409">
        <v>59501</v>
      </c>
      <c r="N15409" t="s">
        <v>62</v>
      </c>
      <c r="O15409">
        <v>251023</v>
      </c>
      <c r="P15409">
        <v>45.18</v>
      </c>
    </row>
    <row r="15410" spans="1:16" x14ac:dyDescent="0.25">
      <c r="A15410" t="s">
        <v>3296</v>
      </c>
      <c r="B15410" t="s">
        <v>2931</v>
      </c>
      <c r="C15410">
        <v>15052</v>
      </c>
      <c r="D15410" t="str">
        <f>"74459       "</f>
        <v xml:space="preserve">74459       </v>
      </c>
      <c r="E15410" t="s">
        <v>561</v>
      </c>
      <c r="F15410" t="s">
        <v>562</v>
      </c>
      <c r="G15410">
        <v>75.599999999999994</v>
      </c>
      <c r="H15410">
        <v>251104</v>
      </c>
      <c r="I15410">
        <v>4560</v>
      </c>
      <c r="J15410" t="s">
        <v>390</v>
      </c>
      <c r="K15410">
        <v>75.599999999999994</v>
      </c>
      <c r="L15410">
        <v>15.36</v>
      </c>
      <c r="M15410">
        <v>59501</v>
      </c>
      <c r="N15410" t="s">
        <v>62</v>
      </c>
      <c r="O15410">
        <v>251111</v>
      </c>
      <c r="P15410">
        <v>60.24</v>
      </c>
    </row>
    <row r="15411" spans="1:16" x14ac:dyDescent="0.25">
      <c r="A15411" t="s">
        <v>3296</v>
      </c>
      <c r="B15411" t="s">
        <v>2931</v>
      </c>
      <c r="C15411">
        <v>652</v>
      </c>
      <c r="D15411" t="str">
        <f>"70765       "</f>
        <v xml:space="preserve">70765       </v>
      </c>
      <c r="E15411" t="s">
        <v>561</v>
      </c>
      <c r="F15411" t="s">
        <v>562</v>
      </c>
      <c r="G15411">
        <v>32.22</v>
      </c>
      <c r="H15411">
        <v>250124</v>
      </c>
      <c r="I15411">
        <v>4574</v>
      </c>
      <c r="J15411" t="s">
        <v>181</v>
      </c>
      <c r="K15411">
        <v>32.22</v>
      </c>
      <c r="L15411">
        <v>6.55</v>
      </c>
      <c r="M15411">
        <v>54451</v>
      </c>
      <c r="N15411" t="s">
        <v>218</v>
      </c>
      <c r="O15411">
        <v>250127</v>
      </c>
      <c r="P15411">
        <v>25.67</v>
      </c>
    </row>
    <row r="15412" spans="1:16" x14ac:dyDescent="0.25">
      <c r="A15412" t="s">
        <v>3296</v>
      </c>
      <c r="B15412" t="s">
        <v>2931</v>
      </c>
      <c r="C15412">
        <v>2007</v>
      </c>
      <c r="D15412" t="str">
        <f>"71038       "</f>
        <v xml:space="preserve">71038       </v>
      </c>
      <c r="E15412" t="s">
        <v>561</v>
      </c>
      <c r="F15412" t="s">
        <v>562</v>
      </c>
      <c r="G15412">
        <v>32.22</v>
      </c>
      <c r="H15412">
        <v>250214</v>
      </c>
      <c r="I15412">
        <v>4574</v>
      </c>
      <c r="J15412" t="s">
        <v>181</v>
      </c>
      <c r="K15412">
        <v>32.22</v>
      </c>
      <c r="L15412">
        <v>6.55</v>
      </c>
      <c r="M15412">
        <v>54451</v>
      </c>
      <c r="N15412" t="s">
        <v>218</v>
      </c>
      <c r="O15412">
        <v>250219</v>
      </c>
      <c r="P15412">
        <v>25.67</v>
      </c>
    </row>
    <row r="15413" spans="1:16" x14ac:dyDescent="0.25">
      <c r="A15413" t="s">
        <v>3296</v>
      </c>
      <c r="B15413" t="s">
        <v>2931</v>
      </c>
      <c r="C15413">
        <v>6652</v>
      </c>
      <c r="D15413" t="str">
        <f>"72029       "</f>
        <v xml:space="preserve">72029       </v>
      </c>
      <c r="E15413" t="s">
        <v>561</v>
      </c>
      <c r="F15413" t="s">
        <v>562</v>
      </c>
      <c r="G15413">
        <v>32.22</v>
      </c>
      <c r="H15413">
        <v>250513</v>
      </c>
      <c r="I15413">
        <v>4574</v>
      </c>
      <c r="J15413" t="s">
        <v>181</v>
      </c>
      <c r="K15413">
        <v>32.22</v>
      </c>
      <c r="L15413">
        <v>6.55</v>
      </c>
      <c r="M15413">
        <v>54451</v>
      </c>
      <c r="N15413" t="s">
        <v>218</v>
      </c>
      <c r="O15413">
        <v>250514</v>
      </c>
      <c r="P15413">
        <v>25.67</v>
      </c>
    </row>
    <row r="15414" spans="1:16" x14ac:dyDescent="0.25">
      <c r="A15414" t="s">
        <v>3296</v>
      </c>
      <c r="B15414" t="s">
        <v>2931</v>
      </c>
      <c r="C15414">
        <v>9600</v>
      </c>
      <c r="D15414" t="str">
        <f>"72906       "</f>
        <v xml:space="preserve">72906       </v>
      </c>
      <c r="E15414" t="s">
        <v>561</v>
      </c>
      <c r="F15414" t="s">
        <v>562</v>
      </c>
      <c r="G15414">
        <v>34.01</v>
      </c>
      <c r="H15414">
        <v>250630</v>
      </c>
      <c r="I15414">
        <v>4574</v>
      </c>
      <c r="J15414" t="s">
        <v>181</v>
      </c>
      <c r="K15414">
        <v>34.01</v>
      </c>
      <c r="L15414">
        <v>6.91</v>
      </c>
      <c r="M15414">
        <v>54451</v>
      </c>
      <c r="N15414" t="s">
        <v>218</v>
      </c>
      <c r="O15414">
        <v>250721</v>
      </c>
      <c r="P15414">
        <v>27.1</v>
      </c>
    </row>
    <row r="15415" spans="1:16" x14ac:dyDescent="0.25">
      <c r="A15415" t="s">
        <v>3296</v>
      </c>
      <c r="B15415" t="s">
        <v>2931</v>
      </c>
      <c r="C15415">
        <v>13441</v>
      </c>
      <c r="D15415" t="str">
        <f>"74083       "</f>
        <v xml:space="preserve">74083       </v>
      </c>
      <c r="E15415" t="s">
        <v>561</v>
      </c>
      <c r="F15415" t="s">
        <v>562</v>
      </c>
      <c r="G15415">
        <v>34.01</v>
      </c>
      <c r="H15415">
        <v>251007</v>
      </c>
      <c r="I15415">
        <v>4574</v>
      </c>
      <c r="J15415" t="s">
        <v>181</v>
      </c>
      <c r="K15415">
        <v>34.01</v>
      </c>
      <c r="L15415">
        <v>6.91</v>
      </c>
      <c r="M15415">
        <v>54451</v>
      </c>
      <c r="N15415" t="s">
        <v>218</v>
      </c>
      <c r="O15415">
        <v>251010</v>
      </c>
      <c r="P15415">
        <v>27.1</v>
      </c>
    </row>
    <row r="15416" spans="1:16" x14ac:dyDescent="0.25">
      <c r="A15416" t="s">
        <v>3296</v>
      </c>
      <c r="B15416" t="s">
        <v>2931</v>
      </c>
      <c r="C15416">
        <v>14544</v>
      </c>
      <c r="D15416" t="str">
        <f>"74413       "</f>
        <v xml:space="preserve">74413       </v>
      </c>
      <c r="E15416" t="s">
        <v>561</v>
      </c>
      <c r="F15416" t="s">
        <v>562</v>
      </c>
      <c r="G15416">
        <v>34.01</v>
      </c>
      <c r="H15416">
        <v>251030</v>
      </c>
      <c r="I15416">
        <v>4574</v>
      </c>
      <c r="J15416" t="s">
        <v>181</v>
      </c>
      <c r="K15416">
        <v>34.01</v>
      </c>
      <c r="L15416">
        <v>6.91</v>
      </c>
      <c r="M15416">
        <v>54451</v>
      </c>
      <c r="N15416" t="s">
        <v>218</v>
      </c>
      <c r="O15416">
        <v>251104</v>
      </c>
      <c r="P15416">
        <v>27.1</v>
      </c>
    </row>
    <row r="15417" spans="1:16" x14ac:dyDescent="0.25">
      <c r="A15417" t="s">
        <v>3296</v>
      </c>
      <c r="B15417" t="s">
        <v>2931</v>
      </c>
      <c r="C15417">
        <v>15901</v>
      </c>
      <c r="D15417" t="str">
        <f>"74750       "</f>
        <v xml:space="preserve">74750       </v>
      </c>
      <c r="E15417" t="s">
        <v>561</v>
      </c>
      <c r="F15417" t="s">
        <v>562</v>
      </c>
      <c r="G15417">
        <v>34.01</v>
      </c>
      <c r="H15417">
        <v>251127</v>
      </c>
      <c r="I15417">
        <v>4574</v>
      </c>
      <c r="J15417" t="s">
        <v>181</v>
      </c>
      <c r="K15417">
        <v>34.01</v>
      </c>
      <c r="L15417">
        <v>6.91</v>
      </c>
      <c r="M15417">
        <v>54451</v>
      </c>
      <c r="N15417" t="s">
        <v>218</v>
      </c>
      <c r="O15417">
        <v>251128</v>
      </c>
      <c r="P15417">
        <v>27.1</v>
      </c>
    </row>
    <row r="15418" spans="1:16" x14ac:dyDescent="0.25">
      <c r="A15418" t="s">
        <v>3296</v>
      </c>
      <c r="B15418" t="s">
        <v>2931</v>
      </c>
      <c r="C15418">
        <v>17306</v>
      </c>
      <c r="D15418" t="str">
        <f>"75000       "</f>
        <v xml:space="preserve">75000       </v>
      </c>
      <c r="E15418" t="s">
        <v>561</v>
      </c>
      <c r="F15418" t="s">
        <v>562</v>
      </c>
      <c r="G15418">
        <v>34.01</v>
      </c>
      <c r="H15418">
        <v>251218</v>
      </c>
      <c r="I15418">
        <v>4574</v>
      </c>
      <c r="J15418" t="s">
        <v>181</v>
      </c>
      <c r="K15418">
        <v>34.01</v>
      </c>
      <c r="L15418">
        <v>6.91</v>
      </c>
      <c r="M15418">
        <v>54451</v>
      </c>
      <c r="N15418" t="s">
        <v>218</v>
      </c>
      <c r="O15418">
        <v>251219</v>
      </c>
      <c r="P15418">
        <v>27.1</v>
      </c>
    </row>
    <row r="15419" spans="1:16" x14ac:dyDescent="0.25">
      <c r="A15419" t="s">
        <v>3296</v>
      </c>
      <c r="B15419" t="s">
        <v>2931</v>
      </c>
      <c r="C15419">
        <v>11830</v>
      </c>
      <c r="D15419" t="str">
        <f>"73551       "</f>
        <v xml:space="preserve">73551       </v>
      </c>
      <c r="E15419" t="s">
        <v>561</v>
      </c>
      <c r="F15419" t="s">
        <v>562</v>
      </c>
      <c r="G15419">
        <v>424.9</v>
      </c>
      <c r="H15419">
        <v>250831</v>
      </c>
      <c r="I15419">
        <v>4580</v>
      </c>
      <c r="J15419" t="s">
        <v>126</v>
      </c>
      <c r="K15419">
        <v>424.9</v>
      </c>
      <c r="L15419">
        <v>86.33</v>
      </c>
      <c r="M15419">
        <v>56522</v>
      </c>
      <c r="N15419" t="s">
        <v>68</v>
      </c>
      <c r="O15419">
        <v>250911</v>
      </c>
      <c r="P15419">
        <v>338.57</v>
      </c>
    </row>
    <row r="15420" spans="1:16" x14ac:dyDescent="0.25">
      <c r="A15420" t="s">
        <v>3296</v>
      </c>
      <c r="B15420" t="s">
        <v>2931</v>
      </c>
      <c r="C15420">
        <v>11837</v>
      </c>
      <c r="D15420" t="str">
        <f>"73604       "</f>
        <v xml:space="preserve">73604       </v>
      </c>
      <c r="E15420" t="s">
        <v>561</v>
      </c>
      <c r="F15420" t="s">
        <v>562</v>
      </c>
      <c r="G15420">
        <v>157.68</v>
      </c>
      <c r="H15420">
        <v>250904</v>
      </c>
      <c r="I15420">
        <v>4580</v>
      </c>
      <c r="J15420" t="s">
        <v>126</v>
      </c>
      <c r="K15420">
        <v>157.68</v>
      </c>
      <c r="L15420">
        <v>32.04</v>
      </c>
      <c r="M15420">
        <v>56522</v>
      </c>
      <c r="N15420" t="s">
        <v>68</v>
      </c>
      <c r="O15420">
        <v>250911</v>
      </c>
      <c r="P15420">
        <v>125.64</v>
      </c>
    </row>
    <row r="15421" spans="1:16" x14ac:dyDescent="0.25">
      <c r="A15421" t="s">
        <v>3296</v>
      </c>
      <c r="B15421" t="s">
        <v>2931</v>
      </c>
      <c r="C15421">
        <v>498</v>
      </c>
      <c r="D15421" t="str">
        <f>"70733       "</f>
        <v xml:space="preserve">70733       </v>
      </c>
      <c r="E15421" t="s">
        <v>561</v>
      </c>
      <c r="F15421" t="s">
        <v>562</v>
      </c>
      <c r="G15421">
        <v>44.97</v>
      </c>
      <c r="H15421">
        <v>250121</v>
      </c>
      <c r="I15421">
        <v>4590</v>
      </c>
      <c r="J15421" t="s">
        <v>388</v>
      </c>
      <c r="K15421">
        <v>44.97</v>
      </c>
      <c r="L15421">
        <v>9.14</v>
      </c>
      <c r="M15421">
        <v>56551</v>
      </c>
      <c r="N15421" t="s">
        <v>551</v>
      </c>
      <c r="O15421">
        <v>250123</v>
      </c>
      <c r="P15421">
        <v>35.83</v>
      </c>
    </row>
    <row r="15422" spans="1:16" x14ac:dyDescent="0.25">
      <c r="A15422" t="s">
        <v>3296</v>
      </c>
      <c r="B15422" t="s">
        <v>2931</v>
      </c>
      <c r="C15422">
        <v>930</v>
      </c>
      <c r="D15422" t="str">
        <f>"70802       "</f>
        <v xml:space="preserve">70802       </v>
      </c>
      <c r="E15422" t="s">
        <v>561</v>
      </c>
      <c r="F15422" t="s">
        <v>562</v>
      </c>
      <c r="G15422">
        <v>76.959999999999994</v>
      </c>
      <c r="H15422">
        <v>250128</v>
      </c>
      <c r="I15422">
        <v>4590</v>
      </c>
      <c r="J15422" t="s">
        <v>388</v>
      </c>
      <c r="K15422">
        <v>76.959999999999994</v>
      </c>
      <c r="L15422">
        <v>15.64</v>
      </c>
      <c r="M15422">
        <v>56522</v>
      </c>
      <c r="N15422" t="s">
        <v>68</v>
      </c>
      <c r="O15422">
        <v>250131</v>
      </c>
      <c r="P15422">
        <v>61.32</v>
      </c>
    </row>
    <row r="15423" spans="1:16" x14ac:dyDescent="0.25">
      <c r="A15423" t="s">
        <v>3296</v>
      </c>
      <c r="B15423" t="s">
        <v>2931</v>
      </c>
      <c r="C15423">
        <v>1413</v>
      </c>
      <c r="D15423" t="str">
        <f>"70929       "</f>
        <v xml:space="preserve">70929       </v>
      </c>
      <c r="E15423" t="s">
        <v>561</v>
      </c>
      <c r="F15423" t="s">
        <v>562</v>
      </c>
      <c r="G15423">
        <v>126.99</v>
      </c>
      <c r="H15423">
        <v>250204</v>
      </c>
      <c r="I15423">
        <v>4590</v>
      </c>
      <c r="J15423" t="s">
        <v>388</v>
      </c>
      <c r="K15423">
        <v>126.99</v>
      </c>
      <c r="L15423">
        <v>25.8</v>
      </c>
      <c r="M15423">
        <v>56551</v>
      </c>
      <c r="N15423" t="s">
        <v>551</v>
      </c>
      <c r="O15423">
        <v>250210</v>
      </c>
      <c r="P15423">
        <v>101.19</v>
      </c>
    </row>
    <row r="15424" spans="1:16" x14ac:dyDescent="0.25">
      <c r="A15424" t="s">
        <v>3296</v>
      </c>
      <c r="B15424" t="s">
        <v>2931</v>
      </c>
      <c r="C15424">
        <v>2570</v>
      </c>
      <c r="D15424" t="str">
        <f>"71041       "</f>
        <v xml:space="preserve">71041       </v>
      </c>
      <c r="E15424" t="s">
        <v>561</v>
      </c>
      <c r="F15424" t="s">
        <v>562</v>
      </c>
      <c r="G15424">
        <v>1138</v>
      </c>
      <c r="H15424">
        <v>250214</v>
      </c>
      <c r="I15424">
        <v>4590</v>
      </c>
      <c r="J15424" t="s">
        <v>388</v>
      </c>
      <c r="K15424">
        <v>1138</v>
      </c>
      <c r="L15424">
        <v>231.23</v>
      </c>
      <c r="M15424">
        <v>56561</v>
      </c>
      <c r="N15424" t="s">
        <v>53</v>
      </c>
      <c r="O15424">
        <v>250306</v>
      </c>
      <c r="P15424">
        <v>906.77</v>
      </c>
    </row>
    <row r="15425" spans="1:16" x14ac:dyDescent="0.25">
      <c r="A15425" t="s">
        <v>3296</v>
      </c>
      <c r="B15425" t="s">
        <v>2931</v>
      </c>
      <c r="C15425">
        <v>2571</v>
      </c>
      <c r="D15425" t="str">
        <f>"71093       "</f>
        <v xml:space="preserve">71093       </v>
      </c>
      <c r="E15425" t="s">
        <v>561</v>
      </c>
      <c r="F15425" t="s">
        <v>562</v>
      </c>
      <c r="G15425">
        <v>52.36</v>
      </c>
      <c r="H15425">
        <v>250221</v>
      </c>
      <c r="I15425">
        <v>4590</v>
      </c>
      <c r="J15425" t="s">
        <v>388</v>
      </c>
      <c r="K15425">
        <v>52.36</v>
      </c>
      <c r="L15425">
        <v>10.64</v>
      </c>
      <c r="M15425">
        <v>56522</v>
      </c>
      <c r="N15425" t="s">
        <v>68</v>
      </c>
      <c r="O15425">
        <v>250306</v>
      </c>
      <c r="P15425">
        <v>41.72</v>
      </c>
    </row>
    <row r="15426" spans="1:16" x14ac:dyDescent="0.25">
      <c r="A15426" t="s">
        <v>3296</v>
      </c>
      <c r="B15426" t="s">
        <v>2931</v>
      </c>
      <c r="C15426">
        <v>3199</v>
      </c>
      <c r="D15426" t="str">
        <f>"71257       "</f>
        <v xml:space="preserve">71257       </v>
      </c>
      <c r="E15426" t="s">
        <v>561</v>
      </c>
      <c r="F15426" t="s">
        <v>562</v>
      </c>
      <c r="G15426">
        <v>216.75</v>
      </c>
      <c r="H15426">
        <v>250311</v>
      </c>
      <c r="I15426">
        <v>4590</v>
      </c>
      <c r="J15426" t="s">
        <v>388</v>
      </c>
      <c r="K15426">
        <v>216.75</v>
      </c>
      <c r="L15426">
        <v>44.04</v>
      </c>
      <c r="M15426">
        <v>56551</v>
      </c>
      <c r="N15426" t="s">
        <v>551</v>
      </c>
      <c r="O15426">
        <v>250317</v>
      </c>
      <c r="P15426">
        <v>172.71</v>
      </c>
    </row>
    <row r="15427" spans="1:16" x14ac:dyDescent="0.25">
      <c r="A15427" t="s">
        <v>3296</v>
      </c>
      <c r="B15427" t="s">
        <v>2931</v>
      </c>
      <c r="C15427">
        <v>3412</v>
      </c>
      <c r="D15427" t="str">
        <f>"71309       "</f>
        <v xml:space="preserve">71309       </v>
      </c>
      <c r="E15427" t="s">
        <v>561</v>
      </c>
      <c r="F15427" t="s">
        <v>562</v>
      </c>
      <c r="G15427">
        <v>323.26</v>
      </c>
      <c r="H15427">
        <v>250314</v>
      </c>
      <c r="I15427">
        <v>4590</v>
      </c>
      <c r="J15427" t="s">
        <v>388</v>
      </c>
      <c r="K15427">
        <v>323.26</v>
      </c>
      <c r="L15427">
        <v>65.680000000000007</v>
      </c>
      <c r="M15427">
        <v>56551</v>
      </c>
      <c r="N15427" t="s">
        <v>551</v>
      </c>
      <c r="O15427">
        <v>250321</v>
      </c>
      <c r="P15427">
        <v>257.58</v>
      </c>
    </row>
    <row r="15428" spans="1:16" x14ac:dyDescent="0.25">
      <c r="A15428" t="s">
        <v>3296</v>
      </c>
      <c r="B15428" t="s">
        <v>2931</v>
      </c>
      <c r="C15428">
        <v>3808</v>
      </c>
      <c r="D15428" t="str">
        <f>"71390       "</f>
        <v xml:space="preserve">71390       </v>
      </c>
      <c r="E15428" t="s">
        <v>561</v>
      </c>
      <c r="F15428" t="s">
        <v>562</v>
      </c>
      <c r="G15428">
        <v>335.84</v>
      </c>
      <c r="H15428">
        <v>250321</v>
      </c>
      <c r="I15428">
        <v>4590</v>
      </c>
      <c r="J15428" t="s">
        <v>388</v>
      </c>
      <c r="K15428">
        <v>335.84</v>
      </c>
      <c r="L15428">
        <v>68.239999999999995</v>
      </c>
      <c r="M15428">
        <v>56551</v>
      </c>
      <c r="N15428" t="s">
        <v>551</v>
      </c>
      <c r="O15428">
        <v>250402</v>
      </c>
      <c r="P15428">
        <v>267.60000000000002</v>
      </c>
    </row>
    <row r="15429" spans="1:16" x14ac:dyDescent="0.25">
      <c r="A15429" t="s">
        <v>3296</v>
      </c>
      <c r="B15429" t="s">
        <v>2931</v>
      </c>
      <c r="C15429">
        <v>3811</v>
      </c>
      <c r="D15429" t="str">
        <f>"71431       "</f>
        <v xml:space="preserve">71431       </v>
      </c>
      <c r="E15429" t="s">
        <v>561</v>
      </c>
      <c r="F15429" t="s">
        <v>562</v>
      </c>
      <c r="G15429">
        <v>102.34</v>
      </c>
      <c r="H15429">
        <v>250325</v>
      </c>
      <c r="I15429">
        <v>4590</v>
      </c>
      <c r="J15429" t="s">
        <v>388</v>
      </c>
      <c r="K15429">
        <v>102.34</v>
      </c>
      <c r="L15429">
        <v>20.79</v>
      </c>
      <c r="M15429">
        <v>56551</v>
      </c>
      <c r="N15429" t="s">
        <v>551</v>
      </c>
      <c r="O15429">
        <v>250402</v>
      </c>
      <c r="P15429">
        <v>81.55</v>
      </c>
    </row>
    <row r="15430" spans="1:16" x14ac:dyDescent="0.25">
      <c r="A15430" t="s">
        <v>3296</v>
      </c>
      <c r="B15430" t="s">
        <v>2931</v>
      </c>
      <c r="C15430">
        <v>3970</v>
      </c>
      <c r="D15430" t="str">
        <f>"71474       "</f>
        <v xml:space="preserve">71474       </v>
      </c>
      <c r="E15430" t="s">
        <v>561</v>
      </c>
      <c r="F15430" t="s">
        <v>562</v>
      </c>
      <c r="G15430">
        <v>383.78</v>
      </c>
      <c r="H15430">
        <v>250328</v>
      </c>
      <c r="I15430">
        <v>4590</v>
      </c>
      <c r="J15430" t="s">
        <v>388</v>
      </c>
      <c r="K15430">
        <v>383.78</v>
      </c>
      <c r="L15430">
        <v>77.98</v>
      </c>
      <c r="M15430">
        <v>56551</v>
      </c>
      <c r="N15430" t="s">
        <v>551</v>
      </c>
      <c r="O15430">
        <v>250404</v>
      </c>
      <c r="P15430">
        <v>305.8</v>
      </c>
    </row>
    <row r="15431" spans="1:16" x14ac:dyDescent="0.25">
      <c r="A15431" t="s">
        <v>3296</v>
      </c>
      <c r="B15431" t="s">
        <v>2931</v>
      </c>
      <c r="C15431">
        <v>3986</v>
      </c>
      <c r="D15431" t="str">
        <f>"71344       "</f>
        <v xml:space="preserve">71344       </v>
      </c>
      <c r="E15431" t="s">
        <v>561</v>
      </c>
      <c r="F15431" t="s">
        <v>562</v>
      </c>
      <c r="G15431">
        <v>50.24</v>
      </c>
      <c r="H15431">
        <v>250318</v>
      </c>
      <c r="I15431">
        <v>4590</v>
      </c>
      <c r="J15431" t="s">
        <v>388</v>
      </c>
      <c r="K15431">
        <v>50.24</v>
      </c>
      <c r="L15431">
        <v>10.210000000000001</v>
      </c>
      <c r="M15431">
        <v>56551</v>
      </c>
      <c r="N15431" t="s">
        <v>551</v>
      </c>
      <c r="O15431">
        <v>250404</v>
      </c>
      <c r="P15431">
        <v>40.03</v>
      </c>
    </row>
    <row r="15432" spans="1:16" x14ac:dyDescent="0.25">
      <c r="A15432" t="s">
        <v>3296</v>
      </c>
      <c r="B15432" t="s">
        <v>2931</v>
      </c>
      <c r="C15432">
        <v>3987</v>
      </c>
      <c r="D15432" t="str">
        <f>"71345       "</f>
        <v xml:space="preserve">71345       </v>
      </c>
      <c r="E15432" t="s">
        <v>561</v>
      </c>
      <c r="F15432" t="s">
        <v>562</v>
      </c>
      <c r="G15432">
        <v>125.04</v>
      </c>
      <c r="H15432">
        <v>250318</v>
      </c>
      <c r="I15432">
        <v>4590</v>
      </c>
      <c r="J15432" t="s">
        <v>388</v>
      </c>
      <c r="K15432">
        <v>125.04</v>
      </c>
      <c r="L15432">
        <v>25.41</v>
      </c>
      <c r="M15432">
        <v>56551</v>
      </c>
      <c r="N15432" t="s">
        <v>551</v>
      </c>
      <c r="O15432">
        <v>250404</v>
      </c>
      <c r="P15432">
        <v>99.63</v>
      </c>
    </row>
    <row r="15433" spans="1:16" x14ac:dyDescent="0.25">
      <c r="A15433" t="s">
        <v>3296</v>
      </c>
      <c r="B15433" t="s">
        <v>2931</v>
      </c>
      <c r="C15433">
        <v>4607</v>
      </c>
      <c r="D15433" t="str">
        <f>"71614       "</f>
        <v xml:space="preserve">71614       </v>
      </c>
      <c r="E15433" t="s">
        <v>561</v>
      </c>
      <c r="F15433" t="s">
        <v>562</v>
      </c>
      <c r="G15433">
        <v>308.04000000000002</v>
      </c>
      <c r="H15433">
        <v>250408</v>
      </c>
      <c r="I15433">
        <v>4590</v>
      </c>
      <c r="J15433" t="s">
        <v>388</v>
      </c>
      <c r="K15433">
        <v>308.04000000000002</v>
      </c>
      <c r="L15433">
        <v>62.59</v>
      </c>
      <c r="M15433">
        <v>56551</v>
      </c>
      <c r="N15433" t="s">
        <v>551</v>
      </c>
      <c r="O15433">
        <v>250414</v>
      </c>
      <c r="P15433">
        <v>245.45</v>
      </c>
    </row>
    <row r="15434" spans="1:16" x14ac:dyDescent="0.25">
      <c r="A15434" t="s">
        <v>3296</v>
      </c>
      <c r="B15434" t="s">
        <v>2931</v>
      </c>
      <c r="C15434">
        <v>4803</v>
      </c>
      <c r="D15434" t="str">
        <f>"71659       "</f>
        <v xml:space="preserve">71659       </v>
      </c>
      <c r="E15434" t="s">
        <v>561</v>
      </c>
      <c r="F15434" t="s">
        <v>562</v>
      </c>
      <c r="G15434">
        <v>273.79000000000002</v>
      </c>
      <c r="H15434">
        <v>250411</v>
      </c>
      <c r="I15434">
        <v>4590</v>
      </c>
      <c r="J15434" t="s">
        <v>388</v>
      </c>
      <c r="K15434">
        <v>273.79000000000002</v>
      </c>
      <c r="L15434">
        <v>55.63</v>
      </c>
      <c r="M15434">
        <v>56551</v>
      </c>
      <c r="N15434" t="s">
        <v>551</v>
      </c>
      <c r="O15434">
        <v>250415</v>
      </c>
      <c r="P15434">
        <v>218.16</v>
      </c>
    </row>
    <row r="15435" spans="1:16" x14ac:dyDescent="0.25">
      <c r="A15435" t="s">
        <v>3296</v>
      </c>
      <c r="B15435" t="s">
        <v>2931</v>
      </c>
      <c r="C15435">
        <v>6939</v>
      </c>
      <c r="D15435" t="str">
        <f>"72030       "</f>
        <v xml:space="preserve">72030       </v>
      </c>
      <c r="E15435" t="s">
        <v>561</v>
      </c>
      <c r="F15435" t="s">
        <v>562</v>
      </c>
      <c r="G15435">
        <v>105.75</v>
      </c>
      <c r="H15435">
        <v>250513</v>
      </c>
      <c r="I15435">
        <v>4590</v>
      </c>
      <c r="J15435" t="s">
        <v>388</v>
      </c>
      <c r="K15435">
        <v>105.75</v>
      </c>
      <c r="L15435">
        <v>21.49</v>
      </c>
      <c r="M15435">
        <v>56551</v>
      </c>
      <c r="N15435" t="s">
        <v>551</v>
      </c>
      <c r="O15435">
        <v>250521</v>
      </c>
      <c r="P15435">
        <v>84.26</v>
      </c>
    </row>
    <row r="15436" spans="1:16" x14ac:dyDescent="0.25">
      <c r="A15436" t="s">
        <v>3296</v>
      </c>
      <c r="B15436" t="s">
        <v>2931</v>
      </c>
      <c r="C15436">
        <v>7127</v>
      </c>
      <c r="D15436" t="str">
        <f>"72158       "</f>
        <v xml:space="preserve">72158       </v>
      </c>
      <c r="E15436" t="s">
        <v>561</v>
      </c>
      <c r="F15436" t="s">
        <v>562</v>
      </c>
      <c r="G15436">
        <v>64</v>
      </c>
      <c r="H15436">
        <v>250521</v>
      </c>
      <c r="I15436">
        <v>4590</v>
      </c>
      <c r="J15436" t="s">
        <v>388</v>
      </c>
      <c r="K15436">
        <v>64</v>
      </c>
      <c r="L15436">
        <v>13</v>
      </c>
      <c r="M15436">
        <v>56522</v>
      </c>
      <c r="N15436" t="s">
        <v>68</v>
      </c>
      <c r="O15436">
        <v>250523</v>
      </c>
      <c r="P15436">
        <v>51</v>
      </c>
    </row>
    <row r="15437" spans="1:16" x14ac:dyDescent="0.25">
      <c r="A15437" t="s">
        <v>3296</v>
      </c>
      <c r="B15437" t="s">
        <v>2931</v>
      </c>
      <c r="C15437">
        <v>7383</v>
      </c>
      <c r="D15437" t="str">
        <f>"72265       "</f>
        <v xml:space="preserve">72265       </v>
      </c>
      <c r="E15437" t="s">
        <v>561</v>
      </c>
      <c r="F15437" t="s">
        <v>562</v>
      </c>
      <c r="G15437">
        <v>23.38</v>
      </c>
      <c r="H15437">
        <v>250527</v>
      </c>
      <c r="I15437">
        <v>4590</v>
      </c>
      <c r="J15437" t="s">
        <v>388</v>
      </c>
      <c r="K15437">
        <v>23.38</v>
      </c>
      <c r="L15437">
        <v>4.75</v>
      </c>
      <c r="M15437">
        <v>56551</v>
      </c>
      <c r="N15437" t="s">
        <v>551</v>
      </c>
      <c r="O15437">
        <v>250603</v>
      </c>
      <c r="P15437">
        <v>18.63</v>
      </c>
    </row>
    <row r="15438" spans="1:16" x14ac:dyDescent="0.25">
      <c r="A15438" t="s">
        <v>3296</v>
      </c>
      <c r="B15438" t="s">
        <v>2931</v>
      </c>
      <c r="C15438">
        <v>7423</v>
      </c>
      <c r="D15438" t="str">
        <f>"72212       "</f>
        <v xml:space="preserve">72212       </v>
      </c>
      <c r="E15438" t="s">
        <v>561</v>
      </c>
      <c r="F15438" t="s">
        <v>562</v>
      </c>
      <c r="G15438">
        <v>127.8</v>
      </c>
      <c r="H15438">
        <v>250523</v>
      </c>
      <c r="I15438">
        <v>4590</v>
      </c>
      <c r="J15438" t="s">
        <v>388</v>
      </c>
      <c r="K15438">
        <v>127.8</v>
      </c>
      <c r="L15438">
        <v>25.97</v>
      </c>
      <c r="M15438">
        <v>56562</v>
      </c>
      <c r="N15438" t="s">
        <v>54</v>
      </c>
      <c r="O15438">
        <v>250603</v>
      </c>
      <c r="P15438">
        <v>101.83</v>
      </c>
    </row>
    <row r="15439" spans="1:16" x14ac:dyDescent="0.25">
      <c r="A15439" t="s">
        <v>3296</v>
      </c>
      <c r="B15439" t="s">
        <v>2931</v>
      </c>
      <c r="C15439">
        <v>10396</v>
      </c>
      <c r="D15439" t="str">
        <f>"73301       "</f>
        <v xml:space="preserve">73301       </v>
      </c>
      <c r="E15439" t="s">
        <v>561</v>
      </c>
      <c r="F15439" t="s">
        <v>562</v>
      </c>
      <c r="G15439">
        <v>48</v>
      </c>
      <c r="H15439">
        <v>250814</v>
      </c>
      <c r="I15439">
        <v>4590</v>
      </c>
      <c r="J15439" t="s">
        <v>388</v>
      </c>
      <c r="K15439">
        <v>48</v>
      </c>
      <c r="L15439">
        <v>9.75</v>
      </c>
      <c r="M15439">
        <v>56522</v>
      </c>
      <c r="N15439" t="s">
        <v>68</v>
      </c>
      <c r="O15439">
        <v>250818</v>
      </c>
      <c r="P15439">
        <v>38.25</v>
      </c>
    </row>
    <row r="15440" spans="1:16" x14ac:dyDescent="0.25">
      <c r="A15440" t="s">
        <v>3296</v>
      </c>
      <c r="B15440" t="s">
        <v>2931</v>
      </c>
      <c r="C15440">
        <v>10398</v>
      </c>
      <c r="D15440" t="str">
        <f>"73302       "</f>
        <v xml:space="preserve">73302       </v>
      </c>
      <c r="E15440" t="s">
        <v>561</v>
      </c>
      <c r="F15440" t="s">
        <v>562</v>
      </c>
      <c r="G15440">
        <v>111.35</v>
      </c>
      <c r="H15440">
        <v>250814</v>
      </c>
      <c r="I15440">
        <v>4590</v>
      </c>
      <c r="J15440" t="s">
        <v>388</v>
      </c>
      <c r="K15440">
        <v>111.35</v>
      </c>
      <c r="L15440">
        <v>22.62</v>
      </c>
      <c r="M15440">
        <v>56522</v>
      </c>
      <c r="N15440" t="s">
        <v>68</v>
      </c>
      <c r="O15440">
        <v>250818</v>
      </c>
      <c r="P15440">
        <v>88.73</v>
      </c>
    </row>
    <row r="15441" spans="1:16" x14ac:dyDescent="0.25">
      <c r="A15441" t="s">
        <v>3296</v>
      </c>
      <c r="B15441" t="s">
        <v>2931</v>
      </c>
      <c r="C15441">
        <v>10870</v>
      </c>
      <c r="D15441" t="str">
        <f>"73395       "</f>
        <v xml:space="preserve">73395       </v>
      </c>
      <c r="E15441" t="s">
        <v>561</v>
      </c>
      <c r="F15441" t="s">
        <v>562</v>
      </c>
      <c r="G15441">
        <v>132.18</v>
      </c>
      <c r="H15441">
        <v>250821</v>
      </c>
      <c r="I15441">
        <v>4590</v>
      </c>
      <c r="J15441" t="s">
        <v>388</v>
      </c>
      <c r="K15441">
        <v>132.18</v>
      </c>
      <c r="L15441">
        <v>26.86</v>
      </c>
      <c r="M15441">
        <v>56522</v>
      </c>
      <c r="N15441" t="s">
        <v>68</v>
      </c>
      <c r="O15441">
        <v>250826</v>
      </c>
      <c r="P15441">
        <v>105.32</v>
      </c>
    </row>
    <row r="15442" spans="1:16" x14ac:dyDescent="0.25">
      <c r="A15442" t="s">
        <v>3296</v>
      </c>
      <c r="B15442" t="s">
        <v>2931</v>
      </c>
      <c r="C15442">
        <v>11838</v>
      </c>
      <c r="D15442" t="str">
        <f>"73605       "</f>
        <v xml:space="preserve">73605       </v>
      </c>
      <c r="E15442" t="s">
        <v>561</v>
      </c>
      <c r="F15442" t="s">
        <v>562</v>
      </c>
      <c r="G15442">
        <v>570.08000000000004</v>
      </c>
      <c r="H15442">
        <v>250904</v>
      </c>
      <c r="I15442">
        <v>4590</v>
      </c>
      <c r="J15442" t="s">
        <v>388</v>
      </c>
      <c r="K15442">
        <v>570.08000000000004</v>
      </c>
      <c r="L15442">
        <v>115.83</v>
      </c>
      <c r="M15442">
        <v>59501</v>
      </c>
      <c r="N15442" t="s">
        <v>62</v>
      </c>
      <c r="O15442">
        <v>250911</v>
      </c>
      <c r="P15442">
        <v>454.25</v>
      </c>
    </row>
    <row r="15443" spans="1:16" x14ac:dyDescent="0.25">
      <c r="A15443" t="s">
        <v>3296</v>
      </c>
      <c r="B15443" t="s">
        <v>2931</v>
      </c>
      <c r="C15443">
        <v>12080</v>
      </c>
      <c r="D15443" t="str">
        <f>"73723       "</f>
        <v xml:space="preserve">73723       </v>
      </c>
      <c r="E15443" t="s">
        <v>561</v>
      </c>
      <c r="F15443" t="s">
        <v>562</v>
      </c>
      <c r="G15443">
        <v>325.89</v>
      </c>
      <c r="H15443">
        <v>250911</v>
      </c>
      <c r="I15443">
        <v>4590</v>
      </c>
      <c r="J15443" t="s">
        <v>388</v>
      </c>
      <c r="K15443">
        <v>325.89</v>
      </c>
      <c r="L15443">
        <v>66.22</v>
      </c>
      <c r="M15443">
        <v>59501</v>
      </c>
      <c r="N15443" t="s">
        <v>62</v>
      </c>
      <c r="O15443">
        <v>250916</v>
      </c>
      <c r="P15443">
        <v>259.67</v>
      </c>
    </row>
    <row r="15444" spans="1:16" x14ac:dyDescent="0.25">
      <c r="A15444" t="s">
        <v>3296</v>
      </c>
      <c r="B15444" t="s">
        <v>2931</v>
      </c>
      <c r="C15444">
        <v>12089</v>
      </c>
      <c r="D15444" t="str">
        <f>"73655       "</f>
        <v xml:space="preserve">73655       </v>
      </c>
      <c r="E15444" t="s">
        <v>561</v>
      </c>
      <c r="F15444" t="s">
        <v>562</v>
      </c>
      <c r="G15444">
        <v>198.45</v>
      </c>
      <c r="H15444">
        <v>250909</v>
      </c>
      <c r="I15444">
        <v>4590</v>
      </c>
      <c r="J15444" t="s">
        <v>388</v>
      </c>
      <c r="K15444">
        <v>198.45</v>
      </c>
      <c r="L15444">
        <v>40.32</v>
      </c>
      <c r="M15444">
        <v>56522</v>
      </c>
      <c r="N15444" t="s">
        <v>68</v>
      </c>
      <c r="O15444">
        <v>250916</v>
      </c>
      <c r="P15444">
        <v>158.13</v>
      </c>
    </row>
    <row r="15445" spans="1:16" x14ac:dyDescent="0.25">
      <c r="A15445" t="s">
        <v>3296</v>
      </c>
      <c r="B15445" t="s">
        <v>2931</v>
      </c>
      <c r="C15445">
        <v>12090</v>
      </c>
      <c r="D15445" t="str">
        <f>"73653       "</f>
        <v xml:space="preserve">73653       </v>
      </c>
      <c r="E15445" t="s">
        <v>561</v>
      </c>
      <c r="F15445" t="s">
        <v>562</v>
      </c>
      <c r="G15445">
        <v>75.31</v>
      </c>
      <c r="H15445">
        <v>250909</v>
      </c>
      <c r="I15445">
        <v>4590</v>
      </c>
      <c r="J15445" t="s">
        <v>388</v>
      </c>
      <c r="K15445">
        <v>75.31</v>
      </c>
      <c r="L15445">
        <v>15.3</v>
      </c>
      <c r="M15445">
        <v>56561</v>
      </c>
      <c r="N15445" t="s">
        <v>53</v>
      </c>
      <c r="O15445">
        <v>250916</v>
      </c>
      <c r="P15445">
        <v>60.01</v>
      </c>
    </row>
    <row r="15446" spans="1:16" x14ac:dyDescent="0.25">
      <c r="A15446" t="s">
        <v>3296</v>
      </c>
      <c r="B15446" t="s">
        <v>2931</v>
      </c>
      <c r="C15446">
        <v>12091</v>
      </c>
      <c r="D15446" t="str">
        <f>"73654       "</f>
        <v xml:space="preserve">73654       </v>
      </c>
      <c r="E15446" t="s">
        <v>561</v>
      </c>
      <c r="F15446" t="s">
        <v>562</v>
      </c>
      <c r="G15446">
        <v>141.94999999999999</v>
      </c>
      <c r="H15446">
        <v>250909</v>
      </c>
      <c r="I15446">
        <v>4590</v>
      </c>
      <c r="J15446" t="s">
        <v>388</v>
      </c>
      <c r="K15446">
        <v>141.94999999999999</v>
      </c>
      <c r="L15446">
        <v>28.84</v>
      </c>
      <c r="M15446">
        <v>56562</v>
      </c>
      <c r="N15446" t="s">
        <v>54</v>
      </c>
      <c r="O15446">
        <v>250916</v>
      </c>
      <c r="P15446">
        <v>113.11</v>
      </c>
    </row>
    <row r="15447" spans="1:16" x14ac:dyDescent="0.25">
      <c r="A15447" t="s">
        <v>3296</v>
      </c>
      <c r="B15447" t="s">
        <v>2931</v>
      </c>
      <c r="C15447">
        <v>12094</v>
      </c>
      <c r="D15447" t="str">
        <f>"73724       "</f>
        <v xml:space="preserve">73724       </v>
      </c>
      <c r="E15447" t="s">
        <v>561</v>
      </c>
      <c r="F15447" t="s">
        <v>562</v>
      </c>
      <c r="G15447">
        <v>607.15</v>
      </c>
      <c r="H15447">
        <v>250911</v>
      </c>
      <c r="I15447">
        <v>4590</v>
      </c>
      <c r="J15447" t="s">
        <v>388</v>
      </c>
      <c r="K15447">
        <v>607.15</v>
      </c>
      <c r="L15447">
        <v>123.37</v>
      </c>
      <c r="M15447">
        <v>56561</v>
      </c>
      <c r="N15447" t="s">
        <v>53</v>
      </c>
      <c r="O15447">
        <v>250916</v>
      </c>
      <c r="P15447">
        <v>483.78</v>
      </c>
    </row>
    <row r="15448" spans="1:16" x14ac:dyDescent="0.25">
      <c r="A15448" t="s">
        <v>3296</v>
      </c>
      <c r="B15448" t="s">
        <v>2931</v>
      </c>
      <c r="C15448">
        <v>12095</v>
      </c>
      <c r="D15448" t="str">
        <f>"73722       "</f>
        <v xml:space="preserve">73722       </v>
      </c>
      <c r="E15448" t="s">
        <v>561</v>
      </c>
      <c r="F15448" t="s">
        <v>562</v>
      </c>
      <c r="G15448">
        <v>102.97</v>
      </c>
      <c r="H15448">
        <v>250911</v>
      </c>
      <c r="I15448">
        <v>4590</v>
      </c>
      <c r="J15448" t="s">
        <v>388</v>
      </c>
      <c r="K15448">
        <v>102.97</v>
      </c>
      <c r="L15448">
        <v>20.92</v>
      </c>
      <c r="M15448">
        <v>56522</v>
      </c>
      <c r="N15448" t="s">
        <v>68</v>
      </c>
      <c r="O15448">
        <v>250916</v>
      </c>
      <c r="P15448">
        <v>82.05</v>
      </c>
    </row>
    <row r="15449" spans="1:16" x14ac:dyDescent="0.25">
      <c r="A15449" t="s">
        <v>3296</v>
      </c>
      <c r="B15449" t="s">
        <v>2931</v>
      </c>
      <c r="C15449">
        <v>12680</v>
      </c>
      <c r="D15449" t="str">
        <f>"73877       "</f>
        <v xml:space="preserve">73877       </v>
      </c>
      <c r="E15449" t="s">
        <v>561</v>
      </c>
      <c r="F15449" t="s">
        <v>562</v>
      </c>
      <c r="G15449">
        <v>97.48</v>
      </c>
      <c r="H15449">
        <v>250923</v>
      </c>
      <c r="I15449">
        <v>4590</v>
      </c>
      <c r="J15449" t="s">
        <v>388</v>
      </c>
      <c r="K15449">
        <v>97.48</v>
      </c>
      <c r="L15449">
        <v>19.809999999999999</v>
      </c>
      <c r="M15449">
        <v>56551</v>
      </c>
      <c r="N15449" t="s">
        <v>551</v>
      </c>
      <c r="O15449">
        <v>250929</v>
      </c>
      <c r="P15449">
        <v>77.67</v>
      </c>
    </row>
    <row r="15450" spans="1:16" x14ac:dyDescent="0.25">
      <c r="A15450" t="s">
        <v>3296</v>
      </c>
      <c r="B15450" t="s">
        <v>2931</v>
      </c>
      <c r="C15450">
        <v>12952</v>
      </c>
      <c r="D15450" t="str">
        <f>"73984       "</f>
        <v xml:space="preserve">73984       </v>
      </c>
      <c r="E15450" t="s">
        <v>561</v>
      </c>
      <c r="F15450" t="s">
        <v>562</v>
      </c>
      <c r="G15450">
        <v>144.16</v>
      </c>
      <c r="H15450">
        <v>250930</v>
      </c>
      <c r="I15450">
        <v>4590</v>
      </c>
      <c r="J15450" t="s">
        <v>388</v>
      </c>
      <c r="K15450">
        <v>144.16</v>
      </c>
      <c r="L15450">
        <v>29.29</v>
      </c>
      <c r="M15450">
        <v>56551</v>
      </c>
      <c r="N15450" t="s">
        <v>551</v>
      </c>
      <c r="O15450">
        <v>251002</v>
      </c>
      <c r="P15450">
        <v>114.87</v>
      </c>
    </row>
    <row r="15451" spans="1:16" x14ac:dyDescent="0.25">
      <c r="A15451" t="s">
        <v>3296</v>
      </c>
      <c r="B15451" t="s">
        <v>2931</v>
      </c>
      <c r="C15451">
        <v>13106</v>
      </c>
      <c r="D15451" t="str">
        <f>"73931       "</f>
        <v xml:space="preserve">73931       </v>
      </c>
      <c r="E15451" t="s">
        <v>561</v>
      </c>
      <c r="F15451" t="s">
        <v>562</v>
      </c>
      <c r="G15451">
        <v>539.16</v>
      </c>
      <c r="H15451">
        <v>250926</v>
      </c>
      <c r="I15451">
        <v>4590</v>
      </c>
      <c r="J15451" t="s">
        <v>388</v>
      </c>
      <c r="K15451">
        <v>539.16</v>
      </c>
      <c r="L15451">
        <v>109.55</v>
      </c>
      <c r="M15451">
        <v>56551</v>
      </c>
      <c r="N15451" t="s">
        <v>551</v>
      </c>
      <c r="O15451">
        <v>251006</v>
      </c>
      <c r="P15451">
        <v>429.61</v>
      </c>
    </row>
    <row r="15452" spans="1:16" x14ac:dyDescent="0.25">
      <c r="A15452" t="s">
        <v>3296</v>
      </c>
      <c r="B15452" t="s">
        <v>2931</v>
      </c>
      <c r="C15452">
        <v>13566</v>
      </c>
      <c r="D15452" t="str">
        <f>"74084       "</f>
        <v xml:space="preserve">74084       </v>
      </c>
      <c r="E15452" t="s">
        <v>561</v>
      </c>
      <c r="F15452" t="s">
        <v>562</v>
      </c>
      <c r="G15452">
        <v>211.4</v>
      </c>
      <c r="H15452">
        <v>251007</v>
      </c>
      <c r="I15452">
        <v>4590</v>
      </c>
      <c r="J15452" t="s">
        <v>388</v>
      </c>
      <c r="K15452">
        <v>211.4</v>
      </c>
      <c r="L15452">
        <v>42.95</v>
      </c>
      <c r="M15452">
        <v>56522</v>
      </c>
      <c r="N15452" t="s">
        <v>68</v>
      </c>
      <c r="O15452">
        <v>251013</v>
      </c>
      <c r="P15452">
        <v>168.45</v>
      </c>
    </row>
    <row r="15453" spans="1:16" x14ac:dyDescent="0.25">
      <c r="A15453" t="s">
        <v>3296</v>
      </c>
      <c r="B15453" t="s">
        <v>2931</v>
      </c>
      <c r="C15453">
        <v>14669</v>
      </c>
      <c r="D15453" t="str">
        <f>"74324       "</f>
        <v xml:space="preserve">74324       </v>
      </c>
      <c r="E15453" t="s">
        <v>561</v>
      </c>
      <c r="F15453" t="s">
        <v>562</v>
      </c>
      <c r="G15453">
        <v>66.14</v>
      </c>
      <c r="H15453">
        <v>251024</v>
      </c>
      <c r="I15453">
        <v>4590</v>
      </c>
      <c r="J15453" t="s">
        <v>388</v>
      </c>
      <c r="K15453">
        <v>66.14</v>
      </c>
      <c r="L15453">
        <v>13.44</v>
      </c>
      <c r="M15453">
        <v>56551</v>
      </c>
      <c r="N15453" t="s">
        <v>551</v>
      </c>
      <c r="O15453">
        <v>251106</v>
      </c>
      <c r="P15453">
        <v>52.7</v>
      </c>
    </row>
    <row r="15454" spans="1:16" x14ac:dyDescent="0.25">
      <c r="A15454" t="s">
        <v>3296</v>
      </c>
      <c r="B15454" t="s">
        <v>2931</v>
      </c>
      <c r="C15454">
        <v>14672</v>
      </c>
      <c r="D15454" t="str">
        <f>"74412       "</f>
        <v xml:space="preserve">74412       </v>
      </c>
      <c r="E15454" t="s">
        <v>561</v>
      </c>
      <c r="F15454" t="s">
        <v>562</v>
      </c>
      <c r="G15454">
        <v>164.6</v>
      </c>
      <c r="H15454">
        <v>251030</v>
      </c>
      <c r="I15454">
        <v>4590</v>
      </c>
      <c r="J15454" t="s">
        <v>388</v>
      </c>
      <c r="K15454">
        <v>164.6</v>
      </c>
      <c r="L15454">
        <v>33.44</v>
      </c>
      <c r="M15454">
        <v>56551</v>
      </c>
      <c r="N15454" t="s">
        <v>551</v>
      </c>
      <c r="O15454">
        <v>251106</v>
      </c>
      <c r="P15454">
        <v>131.16</v>
      </c>
    </row>
    <row r="15455" spans="1:16" x14ac:dyDescent="0.25">
      <c r="A15455" t="s">
        <v>3296</v>
      </c>
      <c r="B15455" t="s">
        <v>2931</v>
      </c>
      <c r="C15455">
        <v>14673</v>
      </c>
      <c r="D15455" t="str">
        <f>"74411       "</f>
        <v xml:space="preserve">74411       </v>
      </c>
      <c r="E15455" t="s">
        <v>561</v>
      </c>
      <c r="F15455" t="s">
        <v>562</v>
      </c>
      <c r="G15455">
        <v>683.49</v>
      </c>
      <c r="H15455">
        <v>251030</v>
      </c>
      <c r="I15455">
        <v>4590</v>
      </c>
      <c r="J15455" t="s">
        <v>388</v>
      </c>
      <c r="K15455">
        <v>683.49</v>
      </c>
      <c r="L15455">
        <v>138.88</v>
      </c>
      <c r="M15455">
        <v>56551</v>
      </c>
      <c r="N15455" t="s">
        <v>551</v>
      </c>
      <c r="O15455">
        <v>251106</v>
      </c>
      <c r="P15455">
        <v>544.61</v>
      </c>
    </row>
    <row r="15456" spans="1:16" x14ac:dyDescent="0.25">
      <c r="A15456" t="s">
        <v>3296</v>
      </c>
      <c r="B15456" t="s">
        <v>2931</v>
      </c>
      <c r="C15456">
        <v>14912</v>
      </c>
      <c r="D15456" t="str">
        <f>"74458       "</f>
        <v xml:space="preserve">74458       </v>
      </c>
      <c r="E15456" t="s">
        <v>561</v>
      </c>
      <c r="F15456" t="s">
        <v>562</v>
      </c>
      <c r="G15456">
        <v>138.38</v>
      </c>
      <c r="H15456">
        <v>251031</v>
      </c>
      <c r="I15456">
        <v>4590</v>
      </c>
      <c r="J15456" t="s">
        <v>388</v>
      </c>
      <c r="K15456">
        <v>138.38</v>
      </c>
      <c r="L15456">
        <v>28.12</v>
      </c>
      <c r="M15456">
        <v>56551</v>
      </c>
      <c r="N15456" t="s">
        <v>551</v>
      </c>
      <c r="O15456">
        <v>251107</v>
      </c>
      <c r="P15456">
        <v>110.26</v>
      </c>
    </row>
    <row r="15457" spans="1:16" x14ac:dyDescent="0.25">
      <c r="A15457" t="s">
        <v>3296</v>
      </c>
      <c r="B15457" t="s">
        <v>2931</v>
      </c>
      <c r="C15457">
        <v>14916</v>
      </c>
      <c r="D15457" t="str">
        <f>"74519       "</f>
        <v xml:space="preserve">74519       </v>
      </c>
      <c r="E15457" t="s">
        <v>561</v>
      </c>
      <c r="F15457" t="s">
        <v>562</v>
      </c>
      <c r="G15457">
        <v>289.17</v>
      </c>
      <c r="H15457">
        <v>251106</v>
      </c>
      <c r="I15457">
        <v>4590</v>
      </c>
      <c r="J15457" t="s">
        <v>388</v>
      </c>
      <c r="K15457">
        <v>289.17</v>
      </c>
      <c r="L15457">
        <v>58.76</v>
      </c>
      <c r="M15457">
        <v>56551</v>
      </c>
      <c r="N15457" t="s">
        <v>551</v>
      </c>
      <c r="O15457">
        <v>251110</v>
      </c>
      <c r="P15457">
        <v>230.41</v>
      </c>
    </row>
    <row r="15458" spans="1:16" x14ac:dyDescent="0.25">
      <c r="A15458" t="s">
        <v>3296</v>
      </c>
      <c r="B15458" t="s">
        <v>2931</v>
      </c>
      <c r="C15458">
        <v>15332</v>
      </c>
      <c r="D15458" t="str">
        <f>"74553       "</f>
        <v xml:space="preserve">74553       </v>
      </c>
      <c r="E15458" t="s">
        <v>561</v>
      </c>
      <c r="F15458" t="s">
        <v>562</v>
      </c>
      <c r="G15458">
        <v>117.22</v>
      </c>
      <c r="H15458">
        <v>251111</v>
      </c>
      <c r="I15458">
        <v>4590</v>
      </c>
      <c r="J15458" t="s">
        <v>388</v>
      </c>
      <c r="K15458">
        <v>117.22</v>
      </c>
      <c r="L15458">
        <v>23.82</v>
      </c>
      <c r="M15458">
        <v>59501</v>
      </c>
      <c r="N15458" t="s">
        <v>62</v>
      </c>
      <c r="O15458">
        <v>251119</v>
      </c>
      <c r="P15458">
        <v>93.4</v>
      </c>
    </row>
    <row r="15459" spans="1:16" x14ac:dyDescent="0.25">
      <c r="A15459" t="s">
        <v>3296</v>
      </c>
      <c r="B15459" t="s">
        <v>2931</v>
      </c>
      <c r="C15459">
        <v>15685</v>
      </c>
      <c r="D15459" t="str">
        <f>"74689       "</f>
        <v xml:space="preserve">74689       </v>
      </c>
      <c r="E15459" t="s">
        <v>561</v>
      </c>
      <c r="F15459" t="s">
        <v>562</v>
      </c>
      <c r="G15459">
        <v>49.98</v>
      </c>
      <c r="H15459">
        <v>251120</v>
      </c>
      <c r="I15459">
        <v>4590</v>
      </c>
      <c r="J15459" t="s">
        <v>388</v>
      </c>
      <c r="K15459">
        <v>49.98</v>
      </c>
      <c r="L15459">
        <v>10.16</v>
      </c>
      <c r="M15459">
        <v>56551</v>
      </c>
      <c r="N15459" t="s">
        <v>551</v>
      </c>
      <c r="O15459">
        <v>251125</v>
      </c>
      <c r="P15459">
        <v>39.82</v>
      </c>
    </row>
    <row r="15460" spans="1:16" x14ac:dyDescent="0.25">
      <c r="A15460" t="s">
        <v>3296</v>
      </c>
      <c r="B15460" t="s">
        <v>2931</v>
      </c>
      <c r="C15460">
        <v>15935</v>
      </c>
      <c r="D15460" t="str">
        <f>"74690       "</f>
        <v xml:space="preserve">74690       </v>
      </c>
      <c r="E15460" t="s">
        <v>561</v>
      </c>
      <c r="F15460" t="s">
        <v>562</v>
      </c>
      <c r="G15460">
        <v>504.39</v>
      </c>
      <c r="H15460">
        <v>251120</v>
      </c>
      <c r="I15460">
        <v>4590</v>
      </c>
      <c r="J15460" t="s">
        <v>388</v>
      </c>
      <c r="K15460">
        <v>504.39</v>
      </c>
      <c r="L15460">
        <v>102.49</v>
      </c>
      <c r="M15460">
        <v>56571</v>
      </c>
      <c r="N15460" t="s">
        <v>553</v>
      </c>
      <c r="O15460">
        <v>251201</v>
      </c>
      <c r="P15460">
        <v>401.9</v>
      </c>
    </row>
    <row r="15461" spans="1:16" x14ac:dyDescent="0.25">
      <c r="A15461" t="s">
        <v>3296</v>
      </c>
      <c r="B15461" t="s">
        <v>2931</v>
      </c>
      <c r="C15461">
        <v>15939</v>
      </c>
      <c r="D15461" t="str">
        <f>"74749       "</f>
        <v xml:space="preserve">74749       </v>
      </c>
      <c r="E15461" t="s">
        <v>561</v>
      </c>
      <c r="F15461" t="s">
        <v>562</v>
      </c>
      <c r="G15461">
        <v>261</v>
      </c>
      <c r="H15461">
        <v>251127</v>
      </c>
      <c r="I15461">
        <v>4590</v>
      </c>
      <c r="J15461" t="s">
        <v>388</v>
      </c>
      <c r="K15461">
        <v>261</v>
      </c>
      <c r="L15461">
        <v>53.03</v>
      </c>
      <c r="M15461">
        <v>56551</v>
      </c>
      <c r="N15461" t="s">
        <v>551</v>
      </c>
      <c r="O15461">
        <v>251201</v>
      </c>
      <c r="P15461">
        <v>207.97</v>
      </c>
    </row>
    <row r="15462" spans="1:16" x14ac:dyDescent="0.25">
      <c r="A15462" t="s">
        <v>3296</v>
      </c>
      <c r="B15462" t="s">
        <v>2931</v>
      </c>
      <c r="C15462">
        <v>16152</v>
      </c>
      <c r="D15462" t="str">
        <f>"74781       "</f>
        <v xml:space="preserve">74781       </v>
      </c>
      <c r="E15462" t="s">
        <v>561</v>
      </c>
      <c r="F15462" t="s">
        <v>562</v>
      </c>
      <c r="G15462">
        <v>939.16</v>
      </c>
      <c r="H15462">
        <v>251202</v>
      </c>
      <c r="I15462">
        <v>4590</v>
      </c>
      <c r="J15462" t="s">
        <v>388</v>
      </c>
      <c r="K15462">
        <v>939.16</v>
      </c>
      <c r="L15462">
        <v>190.83</v>
      </c>
      <c r="M15462">
        <v>56551</v>
      </c>
      <c r="N15462" t="s">
        <v>551</v>
      </c>
      <c r="O15462">
        <v>251204</v>
      </c>
      <c r="P15462">
        <v>748.33</v>
      </c>
    </row>
    <row r="15463" spans="1:16" x14ac:dyDescent="0.25">
      <c r="A15463" t="s">
        <v>3296</v>
      </c>
      <c r="B15463" t="s">
        <v>2931</v>
      </c>
      <c r="C15463">
        <v>17047</v>
      </c>
      <c r="D15463" t="str">
        <f>"74931       "</f>
        <v xml:space="preserve">74931       </v>
      </c>
      <c r="E15463" t="s">
        <v>561</v>
      </c>
      <c r="F15463" t="s">
        <v>562</v>
      </c>
      <c r="G15463">
        <v>79.23</v>
      </c>
      <c r="H15463">
        <v>251211</v>
      </c>
      <c r="I15463">
        <v>4590</v>
      </c>
      <c r="J15463" t="s">
        <v>388</v>
      </c>
      <c r="K15463">
        <v>79.23</v>
      </c>
      <c r="L15463">
        <v>16.100000000000001</v>
      </c>
      <c r="M15463">
        <v>56561</v>
      </c>
      <c r="N15463" t="s">
        <v>53</v>
      </c>
      <c r="O15463">
        <v>251216</v>
      </c>
      <c r="P15463">
        <v>63.13</v>
      </c>
    </row>
    <row r="15464" spans="1:16" x14ac:dyDescent="0.25">
      <c r="A15464" t="s">
        <v>3296</v>
      </c>
      <c r="B15464" t="s">
        <v>2931</v>
      </c>
      <c r="C15464">
        <v>17307</v>
      </c>
      <c r="D15464" t="str">
        <f>"75001       "</f>
        <v xml:space="preserve">75001       </v>
      </c>
      <c r="E15464" t="s">
        <v>561</v>
      </c>
      <c r="F15464" t="s">
        <v>562</v>
      </c>
      <c r="G15464">
        <v>160.27000000000001</v>
      </c>
      <c r="H15464">
        <v>251218</v>
      </c>
      <c r="I15464">
        <v>4590</v>
      </c>
      <c r="J15464" t="s">
        <v>388</v>
      </c>
      <c r="K15464">
        <v>160.27000000000001</v>
      </c>
      <c r="L15464">
        <v>32.56</v>
      </c>
      <c r="M15464">
        <v>56551</v>
      </c>
      <c r="N15464" t="s">
        <v>551</v>
      </c>
      <c r="O15464">
        <v>251219</v>
      </c>
      <c r="P15464">
        <v>127.71</v>
      </c>
    </row>
    <row r="15465" spans="1:16" x14ac:dyDescent="0.25">
      <c r="A15465" t="s">
        <v>3296</v>
      </c>
      <c r="B15465" t="s">
        <v>2931</v>
      </c>
      <c r="C15465">
        <v>18434</v>
      </c>
      <c r="D15465" t="str">
        <f>"75121       "</f>
        <v xml:space="preserve">75121       </v>
      </c>
      <c r="E15465" t="s">
        <v>561</v>
      </c>
      <c r="F15465" t="s">
        <v>562</v>
      </c>
      <c r="G15465">
        <v>6.63</v>
      </c>
      <c r="H15465">
        <v>251231</v>
      </c>
      <c r="I15465">
        <v>4590</v>
      </c>
      <c r="J15465" t="s">
        <v>388</v>
      </c>
      <c r="K15465">
        <v>6.63</v>
      </c>
      <c r="L15465">
        <v>1.35</v>
      </c>
      <c r="M15465">
        <v>59504</v>
      </c>
      <c r="N15465" t="s">
        <v>193</v>
      </c>
      <c r="O15465">
        <v>260113</v>
      </c>
      <c r="P15465">
        <v>5.28</v>
      </c>
    </row>
    <row r="15466" spans="1:16" x14ac:dyDescent="0.25">
      <c r="A15466" t="s">
        <v>3296</v>
      </c>
      <c r="B15466" t="s">
        <v>2931</v>
      </c>
      <c r="C15466">
        <v>728</v>
      </c>
      <c r="D15466" t="str">
        <f>"70766       "</f>
        <v xml:space="preserve">70766       </v>
      </c>
      <c r="E15466" t="s">
        <v>561</v>
      </c>
      <c r="F15466" t="s">
        <v>562</v>
      </c>
      <c r="G15466">
        <v>178.2</v>
      </c>
      <c r="H15466">
        <v>250124</v>
      </c>
      <c r="I15466">
        <v>4600</v>
      </c>
      <c r="J15466" t="s">
        <v>278</v>
      </c>
      <c r="K15466">
        <v>178.2</v>
      </c>
      <c r="L15466">
        <v>36.21</v>
      </c>
      <c r="M15466">
        <v>56528</v>
      </c>
      <c r="N15466" t="s">
        <v>70</v>
      </c>
      <c r="O15466">
        <v>250128</v>
      </c>
      <c r="P15466">
        <v>141.99</v>
      </c>
    </row>
    <row r="15467" spans="1:16" x14ac:dyDescent="0.25">
      <c r="A15467" t="s">
        <v>3296</v>
      </c>
      <c r="B15467" t="s">
        <v>2931</v>
      </c>
      <c r="C15467">
        <v>2506</v>
      </c>
      <c r="D15467" t="str">
        <f>"71037       "</f>
        <v xml:space="preserve">71037       </v>
      </c>
      <c r="E15467" t="s">
        <v>561</v>
      </c>
      <c r="F15467" t="s">
        <v>562</v>
      </c>
      <c r="G15467">
        <v>32.049999999999997</v>
      </c>
      <c r="H15467">
        <v>250214</v>
      </c>
      <c r="I15467">
        <v>4600</v>
      </c>
      <c r="J15467" t="s">
        <v>278</v>
      </c>
      <c r="K15467">
        <v>32.049999999999997</v>
      </c>
      <c r="L15467">
        <v>6.51</v>
      </c>
      <c r="M15467">
        <v>59501</v>
      </c>
      <c r="N15467" t="s">
        <v>62</v>
      </c>
      <c r="O15467">
        <v>250303</v>
      </c>
      <c r="P15467">
        <v>25.54</v>
      </c>
    </row>
    <row r="15468" spans="1:16" x14ac:dyDescent="0.25">
      <c r="A15468" t="s">
        <v>3296</v>
      </c>
      <c r="B15468" t="s">
        <v>2931</v>
      </c>
      <c r="C15468">
        <v>2569</v>
      </c>
      <c r="D15468" t="str">
        <f>"71157       "</f>
        <v xml:space="preserve">71157       </v>
      </c>
      <c r="E15468" t="s">
        <v>561</v>
      </c>
      <c r="F15468" t="s">
        <v>562</v>
      </c>
      <c r="G15468">
        <v>197.1</v>
      </c>
      <c r="H15468">
        <v>250228</v>
      </c>
      <c r="I15468">
        <v>4600</v>
      </c>
      <c r="J15468" t="s">
        <v>278</v>
      </c>
      <c r="K15468">
        <v>197.1</v>
      </c>
      <c r="L15468">
        <v>40.049999999999997</v>
      </c>
      <c r="M15468">
        <v>59501</v>
      </c>
      <c r="N15468" t="s">
        <v>62</v>
      </c>
      <c r="O15468">
        <v>250305</v>
      </c>
      <c r="P15468">
        <v>157.05000000000001</v>
      </c>
    </row>
    <row r="15469" spans="1:16" x14ac:dyDescent="0.25">
      <c r="A15469" t="s">
        <v>3296</v>
      </c>
      <c r="B15469" t="s">
        <v>2931</v>
      </c>
      <c r="C15469">
        <v>3947</v>
      </c>
      <c r="D15469" t="str">
        <f>"71475       "</f>
        <v xml:space="preserve">71475       </v>
      </c>
      <c r="E15469" t="s">
        <v>561</v>
      </c>
      <c r="F15469" t="s">
        <v>562</v>
      </c>
      <c r="G15469">
        <v>8.93</v>
      </c>
      <c r="H15469">
        <v>250328</v>
      </c>
      <c r="I15469">
        <v>4600</v>
      </c>
      <c r="J15469" t="s">
        <v>278</v>
      </c>
      <c r="K15469">
        <v>48.54</v>
      </c>
      <c r="L15469">
        <v>1.81</v>
      </c>
      <c r="M15469">
        <v>56522</v>
      </c>
      <c r="N15469" t="s">
        <v>68</v>
      </c>
      <c r="O15469">
        <v>250404</v>
      </c>
      <c r="P15469">
        <v>7.12</v>
      </c>
    </row>
    <row r="15470" spans="1:16" x14ac:dyDescent="0.25">
      <c r="A15470" t="s">
        <v>3296</v>
      </c>
      <c r="B15470" t="s">
        <v>2931</v>
      </c>
      <c r="C15470">
        <v>3947</v>
      </c>
      <c r="D15470" t="str">
        <f>"71475       "</f>
        <v xml:space="preserve">71475       </v>
      </c>
      <c r="E15470" t="s">
        <v>561</v>
      </c>
      <c r="F15470" t="s">
        <v>562</v>
      </c>
      <c r="G15470">
        <v>39.61</v>
      </c>
      <c r="H15470">
        <v>250328</v>
      </c>
      <c r="I15470">
        <v>4600</v>
      </c>
      <c r="J15470" t="s">
        <v>278</v>
      </c>
      <c r="K15470">
        <v>48.54</v>
      </c>
      <c r="L15470">
        <v>8.0500000000000007</v>
      </c>
      <c r="M15470">
        <v>56562</v>
      </c>
      <c r="N15470" t="s">
        <v>54</v>
      </c>
      <c r="O15470">
        <v>250404</v>
      </c>
      <c r="P15470">
        <v>31.56</v>
      </c>
    </row>
    <row r="15471" spans="1:16" x14ac:dyDescent="0.25">
      <c r="A15471" t="s">
        <v>3296</v>
      </c>
      <c r="B15471" t="s">
        <v>2931</v>
      </c>
      <c r="C15471">
        <v>4503</v>
      </c>
      <c r="D15471" t="str">
        <f>"71613       "</f>
        <v xml:space="preserve">71613       </v>
      </c>
      <c r="E15471" t="s">
        <v>561</v>
      </c>
      <c r="F15471" t="s">
        <v>562</v>
      </c>
      <c r="G15471">
        <v>52.36</v>
      </c>
      <c r="H15471">
        <v>250408</v>
      </c>
      <c r="I15471">
        <v>4600</v>
      </c>
      <c r="J15471" t="s">
        <v>278</v>
      </c>
      <c r="K15471">
        <v>52.36</v>
      </c>
      <c r="L15471">
        <v>10.64</v>
      </c>
      <c r="M15471">
        <v>59501</v>
      </c>
      <c r="N15471" t="s">
        <v>62</v>
      </c>
      <c r="O15471">
        <v>250414</v>
      </c>
      <c r="P15471">
        <v>41.72</v>
      </c>
    </row>
    <row r="15472" spans="1:16" x14ac:dyDescent="0.25">
      <c r="A15472" t="s">
        <v>3296</v>
      </c>
      <c r="B15472" t="s">
        <v>2931</v>
      </c>
      <c r="C15472">
        <v>7291</v>
      </c>
      <c r="D15472" t="str">
        <f>"72266       "</f>
        <v xml:space="preserve">72266       </v>
      </c>
      <c r="E15472" t="s">
        <v>561</v>
      </c>
      <c r="F15472" t="s">
        <v>562</v>
      </c>
      <c r="G15472">
        <v>178.2</v>
      </c>
      <c r="H15472">
        <v>250527</v>
      </c>
      <c r="I15472">
        <v>4600</v>
      </c>
      <c r="J15472" t="s">
        <v>278</v>
      </c>
      <c r="K15472">
        <v>178.2</v>
      </c>
      <c r="L15472">
        <v>36.21</v>
      </c>
      <c r="M15472">
        <v>56528</v>
      </c>
      <c r="N15472" t="s">
        <v>70</v>
      </c>
      <c r="O15472">
        <v>250602</v>
      </c>
      <c r="P15472">
        <v>141.99</v>
      </c>
    </row>
    <row r="15473" spans="1:16" x14ac:dyDescent="0.25">
      <c r="A15473" t="s">
        <v>3296</v>
      </c>
      <c r="B15473" t="s">
        <v>2931</v>
      </c>
      <c r="C15473">
        <v>11117</v>
      </c>
      <c r="D15473" t="str">
        <f>"73396       "</f>
        <v xml:space="preserve">73396       </v>
      </c>
      <c r="E15473" t="s">
        <v>561</v>
      </c>
      <c r="F15473" t="s">
        <v>562</v>
      </c>
      <c r="G15473">
        <v>1043.95</v>
      </c>
      <c r="H15473">
        <v>250821</v>
      </c>
      <c r="I15473">
        <v>4600</v>
      </c>
      <c r="J15473" t="s">
        <v>278</v>
      </c>
      <c r="K15473">
        <v>1043.95</v>
      </c>
      <c r="L15473">
        <v>212.12</v>
      </c>
      <c r="M15473">
        <v>59501</v>
      </c>
      <c r="N15473" t="s">
        <v>62</v>
      </c>
      <c r="O15473">
        <v>250829</v>
      </c>
      <c r="P15473">
        <v>831.83</v>
      </c>
    </row>
    <row r="15474" spans="1:16" x14ac:dyDescent="0.25">
      <c r="A15474" t="s">
        <v>3296</v>
      </c>
      <c r="B15474" t="s">
        <v>2931</v>
      </c>
      <c r="C15474">
        <v>11279</v>
      </c>
      <c r="D15474" t="str">
        <f>"73506       "</f>
        <v xml:space="preserve">73506       </v>
      </c>
      <c r="E15474" t="s">
        <v>561</v>
      </c>
      <c r="F15474" t="s">
        <v>562</v>
      </c>
      <c r="G15474">
        <v>-189.9</v>
      </c>
      <c r="H15474">
        <v>250828</v>
      </c>
      <c r="I15474">
        <v>4600</v>
      </c>
      <c r="J15474" t="s">
        <v>278</v>
      </c>
      <c r="K15474">
        <v>-189.9</v>
      </c>
      <c r="L15474">
        <v>-38.590000000000003</v>
      </c>
      <c r="M15474">
        <v>59501</v>
      </c>
      <c r="N15474" t="s">
        <v>62</v>
      </c>
      <c r="O15474">
        <v>250903</v>
      </c>
      <c r="P15474">
        <v>-151.31</v>
      </c>
    </row>
    <row r="15475" spans="1:16" x14ac:dyDescent="0.25">
      <c r="A15475" t="s">
        <v>3296</v>
      </c>
      <c r="B15475" t="s">
        <v>2931</v>
      </c>
      <c r="C15475">
        <v>11280</v>
      </c>
      <c r="D15475" t="str">
        <f>"73453       "</f>
        <v xml:space="preserve">73453       </v>
      </c>
      <c r="E15475" t="s">
        <v>561</v>
      </c>
      <c r="F15475" t="s">
        <v>562</v>
      </c>
      <c r="G15475">
        <v>378.3</v>
      </c>
      <c r="H15475">
        <v>250826</v>
      </c>
      <c r="I15475">
        <v>4600</v>
      </c>
      <c r="J15475" t="s">
        <v>278</v>
      </c>
      <c r="K15475">
        <v>378.3</v>
      </c>
      <c r="L15475">
        <v>76.87</v>
      </c>
      <c r="M15475">
        <v>59501</v>
      </c>
      <c r="N15475" t="s">
        <v>62</v>
      </c>
      <c r="O15475">
        <v>250903</v>
      </c>
      <c r="P15475">
        <v>301.43</v>
      </c>
    </row>
    <row r="15476" spans="1:16" x14ac:dyDescent="0.25">
      <c r="A15476" t="s">
        <v>3296</v>
      </c>
      <c r="B15476" t="s">
        <v>2931</v>
      </c>
      <c r="C15476">
        <v>12087</v>
      </c>
      <c r="D15476" t="str">
        <f>"73603       "</f>
        <v xml:space="preserve">73603       </v>
      </c>
      <c r="E15476" t="s">
        <v>561</v>
      </c>
      <c r="F15476" t="s">
        <v>562</v>
      </c>
      <c r="G15476">
        <v>34.01</v>
      </c>
      <c r="H15476">
        <v>250831</v>
      </c>
      <c r="I15476">
        <v>4600</v>
      </c>
      <c r="J15476" t="s">
        <v>278</v>
      </c>
      <c r="K15476">
        <v>34.01</v>
      </c>
      <c r="L15476">
        <v>6.91</v>
      </c>
      <c r="M15476">
        <v>56562</v>
      </c>
      <c r="N15476" t="s">
        <v>54</v>
      </c>
      <c r="O15476">
        <v>250916</v>
      </c>
      <c r="P15476">
        <v>27.1</v>
      </c>
    </row>
    <row r="15477" spans="1:16" x14ac:dyDescent="0.25">
      <c r="A15477" t="s">
        <v>3296</v>
      </c>
      <c r="B15477" t="s">
        <v>2931</v>
      </c>
      <c r="C15477">
        <v>14341</v>
      </c>
      <c r="D15477" t="str">
        <f>"74262       "</f>
        <v xml:space="preserve">74262       </v>
      </c>
      <c r="E15477" t="s">
        <v>561</v>
      </c>
      <c r="F15477" t="s">
        <v>562</v>
      </c>
      <c r="G15477">
        <v>241.4</v>
      </c>
      <c r="H15477">
        <v>251021</v>
      </c>
      <c r="I15477">
        <v>4600</v>
      </c>
      <c r="J15477" t="s">
        <v>278</v>
      </c>
      <c r="K15477">
        <v>241.4</v>
      </c>
      <c r="L15477">
        <v>49.05</v>
      </c>
      <c r="M15477">
        <v>56560</v>
      </c>
      <c r="N15477" t="s">
        <v>52</v>
      </c>
      <c r="O15477">
        <v>251030</v>
      </c>
      <c r="P15477">
        <v>192.35</v>
      </c>
    </row>
    <row r="15478" spans="1:16" x14ac:dyDescent="0.25">
      <c r="A15478" t="s">
        <v>3296</v>
      </c>
      <c r="B15478" t="s">
        <v>2931</v>
      </c>
      <c r="C15478">
        <v>16642</v>
      </c>
      <c r="D15478" t="str">
        <f>"74883       "</f>
        <v xml:space="preserve">74883       </v>
      </c>
      <c r="E15478" t="s">
        <v>561</v>
      </c>
      <c r="F15478" t="s">
        <v>562</v>
      </c>
      <c r="G15478">
        <v>215.14</v>
      </c>
      <c r="H15478">
        <v>251209</v>
      </c>
      <c r="I15478">
        <v>4600</v>
      </c>
      <c r="J15478" t="s">
        <v>278</v>
      </c>
      <c r="K15478">
        <v>215.14</v>
      </c>
      <c r="L15478">
        <v>43.71</v>
      </c>
      <c r="M15478">
        <v>59501</v>
      </c>
      <c r="N15478" t="s">
        <v>62</v>
      </c>
      <c r="O15478">
        <v>251211</v>
      </c>
      <c r="P15478">
        <v>171.43</v>
      </c>
    </row>
    <row r="15479" spans="1:16" x14ac:dyDescent="0.25">
      <c r="A15479" t="s">
        <v>3296</v>
      </c>
      <c r="B15479" t="s">
        <v>2931</v>
      </c>
      <c r="C15479">
        <v>17158</v>
      </c>
      <c r="D15479" t="str">
        <f>"74932       "</f>
        <v xml:space="preserve">74932       </v>
      </c>
      <c r="E15479" t="s">
        <v>561</v>
      </c>
      <c r="F15479" t="s">
        <v>562</v>
      </c>
      <c r="G15479">
        <v>157.08000000000001</v>
      </c>
      <c r="H15479">
        <v>251211</v>
      </c>
      <c r="I15479">
        <v>4600</v>
      </c>
      <c r="J15479" t="s">
        <v>278</v>
      </c>
      <c r="K15479">
        <v>157.08000000000001</v>
      </c>
      <c r="L15479">
        <v>31.92</v>
      </c>
      <c r="M15479">
        <v>59501</v>
      </c>
      <c r="N15479" t="s">
        <v>62</v>
      </c>
      <c r="O15479">
        <v>251218</v>
      </c>
      <c r="P15479">
        <v>125.16</v>
      </c>
    </row>
    <row r="15480" spans="1:16" x14ac:dyDescent="0.25">
      <c r="A15480" t="s">
        <v>3296</v>
      </c>
      <c r="B15480" t="s">
        <v>2931</v>
      </c>
      <c r="C15480">
        <v>404</v>
      </c>
      <c r="D15480" t="str">
        <f>"20250042    "</f>
        <v xml:space="preserve">20250042    </v>
      </c>
      <c r="E15480" t="s">
        <v>495</v>
      </c>
      <c r="F15480" t="s">
        <v>496</v>
      </c>
      <c r="G15480">
        <v>330</v>
      </c>
      <c r="H15480">
        <v>250120</v>
      </c>
      <c r="I15480">
        <v>4600</v>
      </c>
      <c r="J15480" t="s">
        <v>278</v>
      </c>
      <c r="K15480">
        <v>330</v>
      </c>
      <c r="L15480">
        <v>67.05</v>
      </c>
      <c r="M15480">
        <v>17803</v>
      </c>
      <c r="N15480" t="s">
        <v>19</v>
      </c>
      <c r="O15480">
        <v>250122</v>
      </c>
      <c r="P15480">
        <v>262.95</v>
      </c>
    </row>
    <row r="15481" spans="1:16" x14ac:dyDescent="0.25">
      <c r="A15481" t="s">
        <v>3296</v>
      </c>
      <c r="B15481" t="s">
        <v>2931</v>
      </c>
      <c r="C15481">
        <v>1139</v>
      </c>
      <c r="D15481" t="str">
        <f>"20250085    "</f>
        <v xml:space="preserve">20250085    </v>
      </c>
      <c r="E15481" t="s">
        <v>495</v>
      </c>
      <c r="F15481" t="s">
        <v>496</v>
      </c>
      <c r="G15481">
        <v>939</v>
      </c>
      <c r="H15481">
        <v>250130</v>
      </c>
      <c r="I15481">
        <v>4600</v>
      </c>
      <c r="J15481" t="s">
        <v>278</v>
      </c>
      <c r="K15481">
        <v>939</v>
      </c>
      <c r="L15481">
        <v>190.79</v>
      </c>
      <c r="M15481">
        <v>17813</v>
      </c>
      <c r="N15481" t="s">
        <v>858</v>
      </c>
      <c r="O15481">
        <v>250205</v>
      </c>
      <c r="P15481">
        <v>748.21</v>
      </c>
    </row>
    <row r="15482" spans="1:16" x14ac:dyDescent="0.25">
      <c r="A15482" t="s">
        <v>3296</v>
      </c>
      <c r="B15482" t="s">
        <v>2931</v>
      </c>
      <c r="C15482">
        <v>12665</v>
      </c>
      <c r="D15482" t="str">
        <f>"20251462    "</f>
        <v xml:space="preserve">20251462    </v>
      </c>
      <c r="E15482" t="s">
        <v>495</v>
      </c>
      <c r="F15482" t="s">
        <v>496</v>
      </c>
      <c r="G15482">
        <v>79.2</v>
      </c>
      <c r="H15482">
        <v>250919</v>
      </c>
      <c r="I15482">
        <v>4600</v>
      </c>
      <c r="J15482" t="s">
        <v>278</v>
      </c>
      <c r="K15482">
        <v>79.2</v>
      </c>
      <c r="L15482">
        <v>16.09</v>
      </c>
      <c r="M15482">
        <v>55222</v>
      </c>
      <c r="N15482" t="s">
        <v>43</v>
      </c>
      <c r="O15482">
        <v>250929</v>
      </c>
      <c r="P15482">
        <v>63.11</v>
      </c>
    </row>
    <row r="15483" spans="1:16" x14ac:dyDescent="0.25">
      <c r="A15483" t="s">
        <v>3296</v>
      </c>
      <c r="B15483" t="s">
        <v>2931</v>
      </c>
      <c r="C15483">
        <v>5079</v>
      </c>
      <c r="D15483" t="str">
        <f>"CD498634    "</f>
        <v xml:space="preserve">CD498634    </v>
      </c>
      <c r="E15483" t="s">
        <v>710</v>
      </c>
      <c r="F15483" t="s">
        <v>711</v>
      </c>
      <c r="G15483">
        <v>1199.7</v>
      </c>
      <c r="H15483">
        <v>250331</v>
      </c>
      <c r="I15483">
        <v>1198</v>
      </c>
      <c r="J15483" t="s">
        <v>610</v>
      </c>
      <c r="K15483">
        <v>1199.7</v>
      </c>
      <c r="L15483">
        <v>243.76</v>
      </c>
      <c r="M15483">
        <v>97629</v>
      </c>
      <c r="N15483" t="s">
        <v>1110</v>
      </c>
      <c r="O15483">
        <v>250416</v>
      </c>
      <c r="P15483">
        <v>955.94</v>
      </c>
    </row>
    <row r="15484" spans="1:16" x14ac:dyDescent="0.25">
      <c r="A15484" t="s">
        <v>3296</v>
      </c>
      <c r="B15484" t="s">
        <v>2931</v>
      </c>
      <c r="C15484">
        <v>5534</v>
      </c>
      <c r="D15484" t="str">
        <f>"CD498687    "</f>
        <v xml:space="preserve">CD498687    </v>
      </c>
      <c r="E15484" t="s">
        <v>710</v>
      </c>
      <c r="F15484" t="s">
        <v>711</v>
      </c>
      <c r="G15484">
        <v>330.8</v>
      </c>
      <c r="H15484">
        <v>250402</v>
      </c>
      <c r="I15484">
        <v>1198</v>
      </c>
      <c r="J15484" t="s">
        <v>610</v>
      </c>
      <c r="K15484">
        <v>330.8</v>
      </c>
      <c r="L15484">
        <v>67.209999999999994</v>
      </c>
      <c r="M15484">
        <v>97629</v>
      </c>
      <c r="N15484" t="s">
        <v>1110</v>
      </c>
      <c r="O15484">
        <v>250425</v>
      </c>
      <c r="P15484">
        <v>263.58999999999997</v>
      </c>
    </row>
    <row r="15485" spans="1:16" x14ac:dyDescent="0.25">
      <c r="A15485" t="s">
        <v>3296</v>
      </c>
      <c r="B15485" t="s">
        <v>2931</v>
      </c>
      <c r="C15485">
        <v>8460</v>
      </c>
      <c r="D15485" t="str">
        <f>"CD499904    "</f>
        <v xml:space="preserve">CD499904    </v>
      </c>
      <c r="E15485" t="s">
        <v>710</v>
      </c>
      <c r="F15485" t="s">
        <v>711</v>
      </c>
      <c r="G15485">
        <v>489.1</v>
      </c>
      <c r="H15485">
        <v>250523</v>
      </c>
      <c r="I15485">
        <v>1198</v>
      </c>
      <c r="J15485" t="s">
        <v>610</v>
      </c>
      <c r="K15485">
        <v>489.1</v>
      </c>
      <c r="L15485">
        <v>99.38</v>
      </c>
      <c r="M15485">
        <v>97629</v>
      </c>
      <c r="N15485" t="s">
        <v>1110</v>
      </c>
      <c r="O15485">
        <v>250613</v>
      </c>
      <c r="P15485">
        <v>389.72</v>
      </c>
    </row>
    <row r="15486" spans="1:16" x14ac:dyDescent="0.25">
      <c r="A15486" t="s">
        <v>3296</v>
      </c>
      <c r="B15486" t="s">
        <v>2931</v>
      </c>
      <c r="C15486">
        <v>8953</v>
      </c>
      <c r="D15486" t="str">
        <f>"CD500281    "</f>
        <v xml:space="preserve">CD500281    </v>
      </c>
      <c r="E15486" t="s">
        <v>710</v>
      </c>
      <c r="F15486" t="s">
        <v>711</v>
      </c>
      <c r="G15486">
        <v>371.1</v>
      </c>
      <c r="H15486">
        <v>250609</v>
      </c>
      <c r="I15486">
        <v>1198</v>
      </c>
      <c r="J15486" t="s">
        <v>610</v>
      </c>
      <c r="K15486">
        <v>371.1</v>
      </c>
      <c r="L15486">
        <v>75.400000000000006</v>
      </c>
      <c r="M15486">
        <v>97629</v>
      </c>
      <c r="N15486" t="s">
        <v>1110</v>
      </c>
      <c r="O15486">
        <v>250619</v>
      </c>
      <c r="P15486">
        <v>295.7</v>
      </c>
    </row>
    <row r="15487" spans="1:16" x14ac:dyDescent="0.25">
      <c r="A15487" t="s">
        <v>3296</v>
      </c>
      <c r="B15487" t="s">
        <v>2931</v>
      </c>
      <c r="C15487">
        <v>12291</v>
      </c>
      <c r="D15487" t="str">
        <f>"CD501838    "</f>
        <v xml:space="preserve">CD501838    </v>
      </c>
      <c r="E15487" t="s">
        <v>710</v>
      </c>
      <c r="F15487" t="s">
        <v>711</v>
      </c>
      <c r="G15487">
        <v>3097.1</v>
      </c>
      <c r="H15487">
        <v>250903</v>
      </c>
      <c r="I15487">
        <v>1198</v>
      </c>
      <c r="J15487" t="s">
        <v>610</v>
      </c>
      <c r="K15487">
        <v>3097.1</v>
      </c>
      <c r="L15487">
        <v>629.29</v>
      </c>
      <c r="M15487">
        <v>97629</v>
      </c>
      <c r="N15487" t="s">
        <v>1110</v>
      </c>
      <c r="O15487">
        <v>250918</v>
      </c>
      <c r="P15487">
        <v>2467.81</v>
      </c>
    </row>
    <row r="15488" spans="1:16" x14ac:dyDescent="0.25">
      <c r="A15488" t="s">
        <v>3296</v>
      </c>
      <c r="B15488" t="s">
        <v>2931</v>
      </c>
      <c r="C15488">
        <v>18107</v>
      </c>
      <c r="D15488" t="str">
        <f>"CD504789    "</f>
        <v xml:space="preserve">CD504789    </v>
      </c>
      <c r="E15488" t="s">
        <v>710</v>
      </c>
      <c r="F15488" t="s">
        <v>711</v>
      </c>
      <c r="G15488">
        <v>3650.9</v>
      </c>
      <c r="H15488">
        <v>251219</v>
      </c>
      <c r="I15488">
        <v>1198</v>
      </c>
      <c r="J15488" t="s">
        <v>610</v>
      </c>
      <c r="K15488">
        <v>3650.9</v>
      </c>
      <c r="L15488">
        <v>741.82</v>
      </c>
      <c r="M15488">
        <v>97629</v>
      </c>
      <c r="N15488" t="s">
        <v>1110</v>
      </c>
      <c r="O15488">
        <v>260109</v>
      </c>
      <c r="P15488">
        <v>2909.08</v>
      </c>
    </row>
    <row r="15489" spans="1:16" x14ac:dyDescent="0.25">
      <c r="A15489" t="s">
        <v>3296</v>
      </c>
      <c r="B15489" t="s">
        <v>2931</v>
      </c>
      <c r="C15489">
        <v>746</v>
      </c>
      <c r="D15489" t="str">
        <f>"CD496608    "</f>
        <v xml:space="preserve">CD496608    </v>
      </c>
      <c r="E15489" t="s">
        <v>710</v>
      </c>
      <c r="F15489" t="s">
        <v>711</v>
      </c>
      <c r="G15489">
        <v>884</v>
      </c>
      <c r="H15489">
        <v>250113</v>
      </c>
      <c r="I15489">
        <v>4580</v>
      </c>
      <c r="J15489" t="s">
        <v>126</v>
      </c>
      <c r="K15489">
        <v>884</v>
      </c>
      <c r="L15489">
        <v>179.62</v>
      </c>
      <c r="M15489">
        <v>17521</v>
      </c>
      <c r="N15489" t="s">
        <v>136</v>
      </c>
      <c r="O15489">
        <v>250128</v>
      </c>
      <c r="P15489">
        <v>704.38</v>
      </c>
    </row>
    <row r="15490" spans="1:16" x14ac:dyDescent="0.25">
      <c r="A15490" t="s">
        <v>3296</v>
      </c>
      <c r="B15490" t="s">
        <v>2931</v>
      </c>
      <c r="C15490">
        <v>803</v>
      </c>
      <c r="D15490" t="str">
        <f>"CD496772    "</f>
        <v xml:space="preserve">CD496772    </v>
      </c>
      <c r="E15490" t="s">
        <v>710</v>
      </c>
      <c r="F15490" t="s">
        <v>711</v>
      </c>
      <c r="G15490">
        <v>587</v>
      </c>
      <c r="H15490">
        <v>250120</v>
      </c>
      <c r="I15490">
        <v>4580</v>
      </c>
      <c r="J15490" t="s">
        <v>126</v>
      </c>
      <c r="K15490">
        <v>587</v>
      </c>
      <c r="L15490">
        <v>119.27</v>
      </c>
      <c r="M15490">
        <v>17521</v>
      </c>
      <c r="N15490" t="s">
        <v>136</v>
      </c>
      <c r="O15490">
        <v>250129</v>
      </c>
      <c r="P15490">
        <v>467.73</v>
      </c>
    </row>
    <row r="15491" spans="1:16" x14ac:dyDescent="0.25">
      <c r="A15491" t="s">
        <v>3296</v>
      </c>
      <c r="B15491" t="s">
        <v>2931</v>
      </c>
      <c r="C15491">
        <v>807</v>
      </c>
      <c r="D15491" t="str">
        <f>"CD496818    "</f>
        <v xml:space="preserve">CD496818    </v>
      </c>
      <c r="E15491" t="s">
        <v>710</v>
      </c>
      <c r="F15491" t="s">
        <v>711</v>
      </c>
      <c r="G15491">
        <v>86.25</v>
      </c>
      <c r="H15491">
        <v>250121</v>
      </c>
      <c r="I15491">
        <v>4580</v>
      </c>
      <c r="J15491" t="s">
        <v>126</v>
      </c>
      <c r="K15491">
        <v>172.5</v>
      </c>
      <c r="L15491">
        <v>17.52</v>
      </c>
      <c r="M15491">
        <v>17521</v>
      </c>
      <c r="N15491" t="s">
        <v>136</v>
      </c>
      <c r="O15491">
        <v>250129</v>
      </c>
      <c r="P15491">
        <v>68.73</v>
      </c>
    </row>
    <row r="15492" spans="1:16" x14ac:dyDescent="0.25">
      <c r="A15492" t="s">
        <v>3296</v>
      </c>
      <c r="B15492" t="s">
        <v>2931</v>
      </c>
      <c r="C15492">
        <v>814</v>
      </c>
      <c r="D15492" t="str">
        <f>"CD496899    "</f>
        <v xml:space="preserve">CD496899    </v>
      </c>
      <c r="E15492" t="s">
        <v>710</v>
      </c>
      <c r="F15492" t="s">
        <v>711</v>
      </c>
      <c r="G15492">
        <v>313.8</v>
      </c>
      <c r="H15492">
        <v>250123</v>
      </c>
      <c r="I15492">
        <v>4580</v>
      </c>
      <c r="J15492" t="s">
        <v>126</v>
      </c>
      <c r="K15492">
        <v>313.8</v>
      </c>
      <c r="L15492">
        <v>63.76</v>
      </c>
      <c r="M15492">
        <v>17521</v>
      </c>
      <c r="N15492" t="s">
        <v>136</v>
      </c>
      <c r="O15492">
        <v>250129</v>
      </c>
      <c r="P15492">
        <v>250.04</v>
      </c>
    </row>
    <row r="15493" spans="1:16" x14ac:dyDescent="0.25">
      <c r="A15493" t="s">
        <v>3296</v>
      </c>
      <c r="B15493" t="s">
        <v>2931</v>
      </c>
      <c r="C15493">
        <v>1898</v>
      </c>
      <c r="D15493" t="str">
        <f>"CD497273    "</f>
        <v xml:space="preserve">CD497273    </v>
      </c>
      <c r="E15493" t="s">
        <v>710</v>
      </c>
      <c r="F15493" t="s">
        <v>711</v>
      </c>
      <c r="G15493">
        <v>259.8</v>
      </c>
      <c r="H15493">
        <v>250210</v>
      </c>
      <c r="I15493">
        <v>4580</v>
      </c>
      <c r="J15493" t="s">
        <v>126</v>
      </c>
      <c r="K15493">
        <v>259.8</v>
      </c>
      <c r="L15493">
        <v>52.79</v>
      </c>
      <c r="M15493">
        <v>17521</v>
      </c>
      <c r="N15493" t="s">
        <v>136</v>
      </c>
      <c r="O15493">
        <v>250214</v>
      </c>
      <c r="P15493">
        <v>207.01</v>
      </c>
    </row>
    <row r="15494" spans="1:16" x14ac:dyDescent="0.25">
      <c r="A15494" t="s">
        <v>3296</v>
      </c>
      <c r="B15494" t="s">
        <v>2931</v>
      </c>
      <c r="C15494">
        <v>2848</v>
      </c>
      <c r="D15494" t="str">
        <f>"CD497485    "</f>
        <v xml:space="preserve">CD497485    </v>
      </c>
      <c r="E15494" t="s">
        <v>710</v>
      </c>
      <c r="F15494" t="s">
        <v>711</v>
      </c>
      <c r="G15494">
        <v>564.1</v>
      </c>
      <c r="H15494">
        <v>250217</v>
      </c>
      <c r="I15494">
        <v>4580</v>
      </c>
      <c r="J15494" t="s">
        <v>126</v>
      </c>
      <c r="K15494">
        <v>564.1</v>
      </c>
      <c r="L15494">
        <v>114.62</v>
      </c>
      <c r="M15494">
        <v>46554</v>
      </c>
      <c r="N15494" t="s">
        <v>102</v>
      </c>
      <c r="O15494">
        <v>250312</v>
      </c>
      <c r="P15494">
        <v>449.48</v>
      </c>
    </row>
    <row r="15495" spans="1:16" x14ac:dyDescent="0.25">
      <c r="A15495" t="s">
        <v>3296</v>
      </c>
      <c r="B15495" t="s">
        <v>2931</v>
      </c>
      <c r="C15495">
        <v>2851</v>
      </c>
      <c r="D15495" t="str">
        <f>"CD497502    "</f>
        <v xml:space="preserve">CD497502    </v>
      </c>
      <c r="E15495" t="s">
        <v>710</v>
      </c>
      <c r="F15495" t="s">
        <v>711</v>
      </c>
      <c r="G15495">
        <v>974.2</v>
      </c>
      <c r="H15495">
        <v>250217</v>
      </c>
      <c r="I15495">
        <v>4580</v>
      </c>
      <c r="J15495" t="s">
        <v>126</v>
      </c>
      <c r="K15495">
        <v>974.2</v>
      </c>
      <c r="L15495">
        <v>197.95</v>
      </c>
      <c r="M15495">
        <v>17521</v>
      </c>
      <c r="N15495" t="s">
        <v>136</v>
      </c>
      <c r="O15495">
        <v>250312</v>
      </c>
      <c r="P15495">
        <v>776.25</v>
      </c>
    </row>
    <row r="15496" spans="1:16" x14ac:dyDescent="0.25">
      <c r="A15496" t="s">
        <v>3296</v>
      </c>
      <c r="B15496" t="s">
        <v>2931</v>
      </c>
      <c r="C15496">
        <v>3973</v>
      </c>
      <c r="D15496" t="str">
        <f>"CD497929    "</f>
        <v xml:space="preserve">CD497929    </v>
      </c>
      <c r="E15496" t="s">
        <v>710</v>
      </c>
      <c r="F15496" t="s">
        <v>711</v>
      </c>
      <c r="G15496">
        <v>588.29999999999995</v>
      </c>
      <c r="H15496">
        <v>250305</v>
      </c>
      <c r="I15496">
        <v>4580</v>
      </c>
      <c r="J15496" t="s">
        <v>126</v>
      </c>
      <c r="K15496">
        <v>588.29999999999995</v>
      </c>
      <c r="L15496">
        <v>119.54</v>
      </c>
      <c r="M15496">
        <v>17522</v>
      </c>
      <c r="N15496" t="s">
        <v>137</v>
      </c>
      <c r="O15496">
        <v>250404</v>
      </c>
      <c r="P15496">
        <v>468.76</v>
      </c>
    </row>
    <row r="15497" spans="1:16" x14ac:dyDescent="0.25">
      <c r="A15497" t="s">
        <v>3296</v>
      </c>
      <c r="B15497" t="s">
        <v>2931</v>
      </c>
      <c r="C15497">
        <v>4016</v>
      </c>
      <c r="D15497" t="str">
        <f>"CD497995    "</f>
        <v xml:space="preserve">CD497995    </v>
      </c>
      <c r="E15497" t="s">
        <v>710</v>
      </c>
      <c r="F15497" t="s">
        <v>711</v>
      </c>
      <c r="G15497">
        <v>526</v>
      </c>
      <c r="H15497">
        <v>250306</v>
      </c>
      <c r="I15497">
        <v>4580</v>
      </c>
      <c r="J15497" t="s">
        <v>126</v>
      </c>
      <c r="K15497">
        <v>526</v>
      </c>
      <c r="L15497">
        <v>106.88</v>
      </c>
      <c r="M15497">
        <v>17521</v>
      </c>
      <c r="N15497" t="s">
        <v>136</v>
      </c>
      <c r="O15497">
        <v>250407</v>
      </c>
      <c r="P15497">
        <v>419.12</v>
      </c>
    </row>
    <row r="15498" spans="1:16" x14ac:dyDescent="0.25">
      <c r="A15498" t="s">
        <v>3296</v>
      </c>
      <c r="B15498" t="s">
        <v>2931</v>
      </c>
      <c r="C15498">
        <v>4665</v>
      </c>
      <c r="D15498" t="str">
        <f>"CD498440    "</f>
        <v xml:space="preserve">CD498440    </v>
      </c>
      <c r="E15498" t="s">
        <v>710</v>
      </c>
      <c r="F15498" t="s">
        <v>711</v>
      </c>
      <c r="G15498">
        <v>369</v>
      </c>
      <c r="H15498">
        <v>250325</v>
      </c>
      <c r="I15498">
        <v>4580</v>
      </c>
      <c r="J15498" t="s">
        <v>126</v>
      </c>
      <c r="K15498">
        <v>369</v>
      </c>
      <c r="L15498">
        <v>74.98</v>
      </c>
      <c r="M15498">
        <v>17521</v>
      </c>
      <c r="N15498" t="s">
        <v>136</v>
      </c>
      <c r="O15498">
        <v>250414</v>
      </c>
      <c r="P15498">
        <v>294.02</v>
      </c>
    </row>
    <row r="15499" spans="1:16" x14ac:dyDescent="0.25">
      <c r="A15499" t="s">
        <v>3296</v>
      </c>
      <c r="B15499" t="s">
        <v>2931</v>
      </c>
      <c r="C15499">
        <v>4763</v>
      </c>
      <c r="D15499" t="str">
        <f>"CD498270    "</f>
        <v xml:space="preserve">CD498270    </v>
      </c>
      <c r="E15499" t="s">
        <v>710</v>
      </c>
      <c r="F15499" t="s">
        <v>711</v>
      </c>
      <c r="G15499">
        <v>236.2</v>
      </c>
      <c r="H15499">
        <v>250318</v>
      </c>
      <c r="I15499">
        <v>4580</v>
      </c>
      <c r="J15499" t="s">
        <v>126</v>
      </c>
      <c r="K15499">
        <v>236.2</v>
      </c>
      <c r="L15499">
        <v>47.99</v>
      </c>
      <c r="M15499">
        <v>17521</v>
      </c>
      <c r="N15499" t="s">
        <v>136</v>
      </c>
      <c r="O15499">
        <v>250415</v>
      </c>
      <c r="P15499">
        <v>188.21</v>
      </c>
    </row>
    <row r="15500" spans="1:16" x14ac:dyDescent="0.25">
      <c r="A15500" t="s">
        <v>3296</v>
      </c>
      <c r="B15500" t="s">
        <v>2931</v>
      </c>
      <c r="C15500">
        <v>4785</v>
      </c>
      <c r="D15500" t="str">
        <f>"CD498342    "</f>
        <v xml:space="preserve">CD498342    </v>
      </c>
      <c r="E15500" t="s">
        <v>710</v>
      </c>
      <c r="F15500" t="s">
        <v>711</v>
      </c>
      <c r="G15500">
        <v>140.9</v>
      </c>
      <c r="H15500">
        <v>250320</v>
      </c>
      <c r="I15500">
        <v>4580</v>
      </c>
      <c r="J15500" t="s">
        <v>126</v>
      </c>
      <c r="K15500">
        <v>140.9</v>
      </c>
      <c r="L15500">
        <v>28.63</v>
      </c>
      <c r="M15500">
        <v>46554</v>
      </c>
      <c r="N15500" t="s">
        <v>102</v>
      </c>
      <c r="O15500">
        <v>250415</v>
      </c>
      <c r="P15500">
        <v>112.27</v>
      </c>
    </row>
    <row r="15501" spans="1:16" x14ac:dyDescent="0.25">
      <c r="A15501" t="s">
        <v>3296</v>
      </c>
      <c r="B15501" t="s">
        <v>2931</v>
      </c>
      <c r="C15501">
        <v>4795</v>
      </c>
      <c r="D15501" t="str">
        <f>"CD498339    "</f>
        <v xml:space="preserve">CD498339    </v>
      </c>
      <c r="E15501" t="s">
        <v>710</v>
      </c>
      <c r="F15501" t="s">
        <v>711</v>
      </c>
      <c r="G15501">
        <v>324.60000000000002</v>
      </c>
      <c r="H15501">
        <v>250320</v>
      </c>
      <c r="I15501">
        <v>4580</v>
      </c>
      <c r="J15501" t="s">
        <v>126</v>
      </c>
      <c r="K15501">
        <v>324.60000000000002</v>
      </c>
      <c r="L15501">
        <v>65.95</v>
      </c>
      <c r="M15501">
        <v>17521</v>
      </c>
      <c r="N15501" t="s">
        <v>136</v>
      </c>
      <c r="O15501">
        <v>250415</v>
      </c>
      <c r="P15501">
        <v>258.64999999999998</v>
      </c>
    </row>
    <row r="15502" spans="1:16" x14ac:dyDescent="0.25">
      <c r="A15502" t="s">
        <v>3296</v>
      </c>
      <c r="B15502" t="s">
        <v>2931</v>
      </c>
      <c r="C15502">
        <v>4868</v>
      </c>
      <c r="D15502" t="str">
        <f>"CD498295    "</f>
        <v xml:space="preserve">CD498295    </v>
      </c>
      <c r="E15502" t="s">
        <v>710</v>
      </c>
      <c r="F15502" t="s">
        <v>711</v>
      </c>
      <c r="G15502">
        <v>1202.8</v>
      </c>
      <c r="H15502">
        <v>250319</v>
      </c>
      <c r="I15502">
        <v>4580</v>
      </c>
      <c r="J15502" t="s">
        <v>126</v>
      </c>
      <c r="K15502">
        <v>1202.8</v>
      </c>
      <c r="L15502">
        <v>244.39</v>
      </c>
      <c r="M15502">
        <v>17522</v>
      </c>
      <c r="N15502" t="s">
        <v>137</v>
      </c>
      <c r="O15502">
        <v>250416</v>
      </c>
      <c r="P15502">
        <v>958.41</v>
      </c>
    </row>
    <row r="15503" spans="1:16" x14ac:dyDescent="0.25">
      <c r="A15503" t="s">
        <v>3296</v>
      </c>
      <c r="B15503" t="s">
        <v>2931</v>
      </c>
      <c r="C15503">
        <v>5000</v>
      </c>
      <c r="D15503" t="str">
        <f>"CD498573    "</f>
        <v xml:space="preserve">CD498573    </v>
      </c>
      <c r="E15503" t="s">
        <v>710</v>
      </c>
      <c r="F15503" t="s">
        <v>711</v>
      </c>
      <c r="G15503">
        <v>117.3</v>
      </c>
      <c r="H15503">
        <v>250328</v>
      </c>
      <c r="I15503">
        <v>4580</v>
      </c>
      <c r="J15503" t="s">
        <v>126</v>
      </c>
      <c r="K15503">
        <v>117.3</v>
      </c>
      <c r="L15503">
        <v>23.83</v>
      </c>
      <c r="M15503">
        <v>17521</v>
      </c>
      <c r="N15503" t="s">
        <v>136</v>
      </c>
      <c r="O15503">
        <v>250416</v>
      </c>
      <c r="P15503">
        <v>93.47</v>
      </c>
    </row>
    <row r="15504" spans="1:16" x14ac:dyDescent="0.25">
      <c r="A15504" t="s">
        <v>3296</v>
      </c>
      <c r="B15504" t="s">
        <v>2931</v>
      </c>
      <c r="C15504">
        <v>5089</v>
      </c>
      <c r="D15504" t="str">
        <f>"CD498611    "</f>
        <v xml:space="preserve">CD498611    </v>
      </c>
      <c r="E15504" t="s">
        <v>710</v>
      </c>
      <c r="F15504" t="s">
        <v>711</v>
      </c>
      <c r="G15504">
        <v>325.39999999999998</v>
      </c>
      <c r="H15504">
        <v>250331</v>
      </c>
      <c r="I15504">
        <v>4580</v>
      </c>
      <c r="J15504" t="s">
        <v>126</v>
      </c>
      <c r="K15504">
        <v>325.39999999999998</v>
      </c>
      <c r="L15504">
        <v>66.12</v>
      </c>
      <c r="M15504">
        <v>17521</v>
      </c>
      <c r="N15504" t="s">
        <v>136</v>
      </c>
      <c r="O15504">
        <v>250416</v>
      </c>
      <c r="P15504">
        <v>259.27999999999997</v>
      </c>
    </row>
    <row r="15505" spans="1:16" x14ac:dyDescent="0.25">
      <c r="A15505" t="s">
        <v>3296</v>
      </c>
      <c r="B15505" t="s">
        <v>2931</v>
      </c>
      <c r="C15505">
        <v>5203</v>
      </c>
      <c r="D15505" t="str">
        <f>"CD498439    "</f>
        <v xml:space="preserve">CD498439    </v>
      </c>
      <c r="E15505" t="s">
        <v>710</v>
      </c>
      <c r="F15505" t="s">
        <v>711</v>
      </c>
      <c r="G15505">
        <v>268.8</v>
      </c>
      <c r="H15505">
        <v>250325</v>
      </c>
      <c r="I15505">
        <v>4580</v>
      </c>
      <c r="J15505" t="s">
        <v>126</v>
      </c>
      <c r="K15505">
        <v>268.8</v>
      </c>
      <c r="L15505">
        <v>54.62</v>
      </c>
      <c r="M15505">
        <v>46554</v>
      </c>
      <c r="N15505" t="s">
        <v>102</v>
      </c>
      <c r="O15505">
        <v>250422</v>
      </c>
      <c r="P15505">
        <v>214.18</v>
      </c>
    </row>
    <row r="15506" spans="1:16" x14ac:dyDescent="0.25">
      <c r="A15506" t="s">
        <v>3296</v>
      </c>
      <c r="B15506" t="s">
        <v>2931</v>
      </c>
      <c r="C15506">
        <v>5648</v>
      </c>
      <c r="D15506" t="str">
        <f>"CD498848    "</f>
        <v xml:space="preserve">CD498848    </v>
      </c>
      <c r="E15506" t="s">
        <v>710</v>
      </c>
      <c r="F15506" t="s">
        <v>711</v>
      </c>
      <c r="G15506">
        <v>313.7</v>
      </c>
      <c r="H15506">
        <v>250409</v>
      </c>
      <c r="I15506">
        <v>4580</v>
      </c>
      <c r="J15506" t="s">
        <v>126</v>
      </c>
      <c r="K15506">
        <v>313.7</v>
      </c>
      <c r="L15506">
        <v>63.74</v>
      </c>
      <c r="M15506">
        <v>17521</v>
      </c>
      <c r="N15506" t="s">
        <v>136</v>
      </c>
      <c r="O15506">
        <v>250428</v>
      </c>
      <c r="P15506">
        <v>249.96</v>
      </c>
    </row>
    <row r="15507" spans="1:16" x14ac:dyDescent="0.25">
      <c r="A15507" t="s">
        <v>3296</v>
      </c>
      <c r="B15507" t="s">
        <v>2931</v>
      </c>
      <c r="C15507">
        <v>6444</v>
      </c>
      <c r="D15507" t="str">
        <f>"CD499119    "</f>
        <v xml:space="preserve">CD499119    </v>
      </c>
      <c r="E15507" t="s">
        <v>710</v>
      </c>
      <c r="F15507" t="s">
        <v>711</v>
      </c>
      <c r="G15507">
        <v>396.3</v>
      </c>
      <c r="H15507">
        <v>250422</v>
      </c>
      <c r="I15507">
        <v>4580</v>
      </c>
      <c r="J15507" t="s">
        <v>126</v>
      </c>
      <c r="K15507">
        <v>396.3</v>
      </c>
      <c r="L15507">
        <v>80.52</v>
      </c>
      <c r="M15507">
        <v>17521</v>
      </c>
      <c r="N15507" t="s">
        <v>136</v>
      </c>
      <c r="O15507">
        <v>250513</v>
      </c>
      <c r="P15507">
        <v>315.77999999999997</v>
      </c>
    </row>
    <row r="15508" spans="1:16" x14ac:dyDescent="0.25">
      <c r="A15508" t="s">
        <v>3296</v>
      </c>
      <c r="B15508" t="s">
        <v>2931</v>
      </c>
      <c r="C15508">
        <v>9968</v>
      </c>
      <c r="D15508" t="str">
        <f>"CD500904    "</f>
        <v xml:space="preserve">CD500904    </v>
      </c>
      <c r="E15508" t="s">
        <v>710</v>
      </c>
      <c r="F15508" t="s">
        <v>711</v>
      </c>
      <c r="G15508">
        <v>9862.1</v>
      </c>
      <c r="H15508">
        <v>250701</v>
      </c>
      <c r="I15508">
        <v>4580</v>
      </c>
      <c r="J15508" t="s">
        <v>126</v>
      </c>
      <c r="K15508">
        <v>9862.1</v>
      </c>
      <c r="L15508">
        <v>2003.85</v>
      </c>
      <c r="M15508">
        <v>17521</v>
      </c>
      <c r="N15508" t="s">
        <v>136</v>
      </c>
      <c r="O15508">
        <v>250806</v>
      </c>
      <c r="P15508">
        <v>7858.25</v>
      </c>
    </row>
    <row r="15509" spans="1:16" x14ac:dyDescent="0.25">
      <c r="A15509" t="s">
        <v>3296</v>
      </c>
      <c r="B15509" t="s">
        <v>2931</v>
      </c>
      <c r="C15509">
        <v>10336</v>
      </c>
      <c r="D15509" t="str">
        <f>"CD500906    "</f>
        <v xml:space="preserve">CD500906    </v>
      </c>
      <c r="E15509" t="s">
        <v>710</v>
      </c>
      <c r="F15509" t="s">
        <v>711</v>
      </c>
      <c r="G15509">
        <v>116</v>
      </c>
      <c r="H15509">
        <v>250711</v>
      </c>
      <c r="I15509">
        <v>4580</v>
      </c>
      <c r="J15509" t="s">
        <v>126</v>
      </c>
      <c r="K15509">
        <v>232</v>
      </c>
      <c r="L15509">
        <v>22.45</v>
      </c>
      <c r="M15509">
        <v>17521</v>
      </c>
      <c r="N15509" t="s">
        <v>136</v>
      </c>
      <c r="O15509">
        <v>250818</v>
      </c>
      <c r="P15509">
        <v>93.55</v>
      </c>
    </row>
    <row r="15510" spans="1:16" x14ac:dyDescent="0.25">
      <c r="A15510" t="s">
        <v>3296</v>
      </c>
      <c r="B15510" t="s">
        <v>2931</v>
      </c>
      <c r="C15510">
        <v>10532</v>
      </c>
      <c r="D15510" t="str">
        <f>"CD500933    "</f>
        <v xml:space="preserve">CD500933    </v>
      </c>
      <c r="E15510" t="s">
        <v>710</v>
      </c>
      <c r="F15510" t="s">
        <v>711</v>
      </c>
      <c r="G15510">
        <v>227.25</v>
      </c>
      <c r="H15510">
        <v>250801</v>
      </c>
      <c r="I15510">
        <v>4580</v>
      </c>
      <c r="J15510" t="s">
        <v>126</v>
      </c>
      <c r="K15510">
        <v>454.5</v>
      </c>
      <c r="L15510">
        <v>46.17</v>
      </c>
      <c r="M15510">
        <v>17522</v>
      </c>
      <c r="N15510" t="s">
        <v>137</v>
      </c>
      <c r="O15510">
        <v>250820</v>
      </c>
      <c r="P15510">
        <v>181.08</v>
      </c>
    </row>
    <row r="15511" spans="1:16" x14ac:dyDescent="0.25">
      <c r="A15511" t="s">
        <v>3296</v>
      </c>
      <c r="B15511" t="s">
        <v>2931</v>
      </c>
      <c r="C15511">
        <v>10596</v>
      </c>
      <c r="D15511" t="str">
        <f>"CD501204    "</f>
        <v xml:space="preserve">CD501204    </v>
      </c>
      <c r="E15511" t="s">
        <v>710</v>
      </c>
      <c r="F15511" t="s">
        <v>711</v>
      </c>
      <c r="G15511">
        <v>2044.2</v>
      </c>
      <c r="H15511">
        <v>250808</v>
      </c>
      <c r="I15511">
        <v>4580</v>
      </c>
      <c r="J15511" t="s">
        <v>126</v>
      </c>
      <c r="K15511">
        <v>2044.2</v>
      </c>
      <c r="L15511">
        <v>415.36</v>
      </c>
      <c r="M15511">
        <v>17521</v>
      </c>
      <c r="N15511" t="s">
        <v>136</v>
      </c>
      <c r="O15511">
        <v>250820</v>
      </c>
      <c r="P15511">
        <v>1628.84</v>
      </c>
    </row>
    <row r="15512" spans="1:16" x14ac:dyDescent="0.25">
      <c r="A15512" t="s">
        <v>3296</v>
      </c>
      <c r="B15512" t="s">
        <v>2931</v>
      </c>
      <c r="C15512">
        <v>10696</v>
      </c>
      <c r="D15512" t="str">
        <f>"CD501275    "</f>
        <v xml:space="preserve">CD501275    </v>
      </c>
      <c r="E15512" t="s">
        <v>710</v>
      </c>
      <c r="F15512" t="s">
        <v>711</v>
      </c>
      <c r="G15512">
        <v>122.2</v>
      </c>
      <c r="H15512">
        <v>250813</v>
      </c>
      <c r="I15512">
        <v>4580</v>
      </c>
      <c r="J15512" t="s">
        <v>126</v>
      </c>
      <c r="K15512">
        <v>244.4</v>
      </c>
      <c r="L15512">
        <v>24.83</v>
      </c>
      <c r="M15512">
        <v>17522</v>
      </c>
      <c r="N15512" t="s">
        <v>137</v>
      </c>
      <c r="O15512">
        <v>250821</v>
      </c>
      <c r="P15512">
        <v>97.37</v>
      </c>
    </row>
    <row r="15513" spans="1:16" x14ac:dyDescent="0.25">
      <c r="A15513" t="s">
        <v>3296</v>
      </c>
      <c r="B15513" t="s">
        <v>2931</v>
      </c>
      <c r="C15513">
        <v>10998</v>
      </c>
      <c r="D15513" t="str">
        <f>"CD501640    "</f>
        <v xml:space="preserve">CD501640    </v>
      </c>
      <c r="E15513" t="s">
        <v>710</v>
      </c>
      <c r="F15513" t="s">
        <v>711</v>
      </c>
      <c r="G15513">
        <v>322.3</v>
      </c>
      <c r="H15513">
        <v>250827</v>
      </c>
      <c r="I15513">
        <v>4580</v>
      </c>
      <c r="J15513" t="s">
        <v>126</v>
      </c>
      <c r="K15513">
        <v>322.3</v>
      </c>
      <c r="L15513">
        <v>65.489999999999995</v>
      </c>
      <c r="M15513">
        <v>17521</v>
      </c>
      <c r="N15513" t="s">
        <v>136</v>
      </c>
      <c r="O15513">
        <v>250828</v>
      </c>
      <c r="P15513">
        <v>256.81</v>
      </c>
    </row>
    <row r="15514" spans="1:16" x14ac:dyDescent="0.25">
      <c r="A15514" t="s">
        <v>3296</v>
      </c>
      <c r="B15514" t="s">
        <v>2931</v>
      </c>
      <c r="C15514">
        <v>11267</v>
      </c>
      <c r="D15514" t="str">
        <f>"CD501661    "</f>
        <v xml:space="preserve">CD501661    </v>
      </c>
      <c r="E15514" t="s">
        <v>710</v>
      </c>
      <c r="F15514" t="s">
        <v>711</v>
      </c>
      <c r="G15514">
        <v>731</v>
      </c>
      <c r="H15514">
        <v>250827</v>
      </c>
      <c r="I15514">
        <v>4580</v>
      </c>
      <c r="J15514" t="s">
        <v>126</v>
      </c>
      <c r="K15514">
        <v>731</v>
      </c>
      <c r="L15514">
        <v>148.53</v>
      </c>
      <c r="M15514">
        <v>17521</v>
      </c>
      <c r="N15514" t="s">
        <v>136</v>
      </c>
      <c r="O15514">
        <v>250902</v>
      </c>
      <c r="P15514">
        <v>582.47</v>
      </c>
    </row>
    <row r="15515" spans="1:16" x14ac:dyDescent="0.25">
      <c r="A15515" t="s">
        <v>3296</v>
      </c>
      <c r="B15515" t="s">
        <v>2931</v>
      </c>
      <c r="C15515">
        <v>11770</v>
      </c>
      <c r="D15515" t="str">
        <f>"CD501712    "</f>
        <v xml:space="preserve">CD501712    </v>
      </c>
      <c r="E15515" t="s">
        <v>710</v>
      </c>
      <c r="F15515" t="s">
        <v>711</v>
      </c>
      <c r="G15515">
        <v>320</v>
      </c>
      <c r="H15515">
        <v>250828</v>
      </c>
      <c r="I15515">
        <v>4580</v>
      </c>
      <c r="J15515" t="s">
        <v>126</v>
      </c>
      <c r="K15515">
        <v>320</v>
      </c>
      <c r="L15515">
        <v>65.02</v>
      </c>
      <c r="M15515">
        <v>17521</v>
      </c>
      <c r="N15515" t="s">
        <v>136</v>
      </c>
      <c r="O15515">
        <v>250910</v>
      </c>
      <c r="P15515">
        <v>254.98</v>
      </c>
    </row>
    <row r="15516" spans="1:16" x14ac:dyDescent="0.25">
      <c r="A15516" t="s">
        <v>3296</v>
      </c>
      <c r="B15516" t="s">
        <v>2931</v>
      </c>
      <c r="C15516">
        <v>11869</v>
      </c>
      <c r="D15516" t="str">
        <f>"CD500935    "</f>
        <v xml:space="preserve">CD500935    </v>
      </c>
      <c r="E15516" t="s">
        <v>710</v>
      </c>
      <c r="F15516" t="s">
        <v>711</v>
      </c>
      <c r="G15516">
        <v>444.1</v>
      </c>
      <c r="H15516">
        <v>250801</v>
      </c>
      <c r="I15516">
        <v>4580</v>
      </c>
      <c r="J15516" t="s">
        <v>126</v>
      </c>
      <c r="K15516">
        <v>888.2</v>
      </c>
      <c r="L15516">
        <v>90.24</v>
      </c>
      <c r="M15516">
        <v>17521</v>
      </c>
      <c r="N15516" t="s">
        <v>136</v>
      </c>
      <c r="O15516">
        <v>250911</v>
      </c>
      <c r="P15516">
        <v>353.86</v>
      </c>
    </row>
    <row r="15517" spans="1:16" x14ac:dyDescent="0.25">
      <c r="A15517" t="s">
        <v>3296</v>
      </c>
      <c r="B15517" t="s">
        <v>2931</v>
      </c>
      <c r="C15517">
        <v>12304</v>
      </c>
      <c r="D15517" t="str">
        <f>"CD501442    "</f>
        <v xml:space="preserve">CD501442    </v>
      </c>
      <c r="E15517" t="s">
        <v>710</v>
      </c>
      <c r="F15517" t="s">
        <v>711</v>
      </c>
      <c r="G15517">
        <v>1625.5</v>
      </c>
      <c r="H15517">
        <v>250901</v>
      </c>
      <c r="I15517">
        <v>4580</v>
      </c>
      <c r="J15517" t="s">
        <v>126</v>
      </c>
      <c r="K15517">
        <v>3251</v>
      </c>
      <c r="L15517">
        <v>330.28</v>
      </c>
      <c r="M15517">
        <v>17521</v>
      </c>
      <c r="N15517" t="s">
        <v>136</v>
      </c>
      <c r="O15517">
        <v>250919</v>
      </c>
      <c r="P15517">
        <v>1295.22</v>
      </c>
    </row>
    <row r="15518" spans="1:16" x14ac:dyDescent="0.25">
      <c r="A15518" t="s">
        <v>3296</v>
      </c>
      <c r="B15518" t="s">
        <v>2931</v>
      </c>
      <c r="C15518">
        <v>12332</v>
      </c>
      <c r="D15518" t="str">
        <f>"CD501924    "</f>
        <v xml:space="preserve">CD501924    </v>
      </c>
      <c r="E15518" t="s">
        <v>710</v>
      </c>
      <c r="F15518" t="s">
        <v>711</v>
      </c>
      <c r="G15518">
        <v>359.8</v>
      </c>
      <c r="H15518">
        <v>250905</v>
      </c>
      <c r="I15518">
        <v>4580</v>
      </c>
      <c r="J15518" t="s">
        <v>126</v>
      </c>
      <c r="K15518">
        <v>359.8</v>
      </c>
      <c r="L15518">
        <v>73.11</v>
      </c>
      <c r="M15518">
        <v>17521</v>
      </c>
      <c r="N15518" t="s">
        <v>136</v>
      </c>
      <c r="O15518">
        <v>250919</v>
      </c>
      <c r="P15518">
        <v>286.69</v>
      </c>
    </row>
    <row r="15519" spans="1:16" x14ac:dyDescent="0.25">
      <c r="A15519" t="s">
        <v>3296</v>
      </c>
      <c r="B15519" t="s">
        <v>2931</v>
      </c>
      <c r="C15519">
        <v>12356</v>
      </c>
      <c r="D15519" t="str">
        <f>"CD501946    "</f>
        <v xml:space="preserve">CD501946    </v>
      </c>
      <c r="E15519" t="s">
        <v>710</v>
      </c>
      <c r="F15519" t="s">
        <v>711</v>
      </c>
      <c r="G15519">
        <v>55</v>
      </c>
      <c r="H15519">
        <v>250908</v>
      </c>
      <c r="I15519">
        <v>4580</v>
      </c>
      <c r="J15519" t="s">
        <v>126</v>
      </c>
      <c r="K15519">
        <v>55</v>
      </c>
      <c r="L15519">
        <v>11.18</v>
      </c>
      <c r="M15519">
        <v>17521</v>
      </c>
      <c r="N15519" t="s">
        <v>136</v>
      </c>
      <c r="O15519">
        <v>250919</v>
      </c>
      <c r="P15519">
        <v>43.82</v>
      </c>
    </row>
    <row r="15520" spans="1:16" x14ac:dyDescent="0.25">
      <c r="A15520" t="s">
        <v>3296</v>
      </c>
      <c r="B15520" t="s">
        <v>2931</v>
      </c>
      <c r="C15520">
        <v>12408</v>
      </c>
      <c r="D15520" t="str">
        <f>"CD502090    "</f>
        <v xml:space="preserve">CD502090    </v>
      </c>
      <c r="E15520" t="s">
        <v>710</v>
      </c>
      <c r="F15520" t="s">
        <v>711</v>
      </c>
      <c r="G15520">
        <v>891.8</v>
      </c>
      <c r="H15520">
        <v>250912</v>
      </c>
      <c r="I15520">
        <v>4580</v>
      </c>
      <c r="J15520" t="s">
        <v>126</v>
      </c>
      <c r="K15520">
        <v>891.8</v>
      </c>
      <c r="L15520">
        <v>181.2</v>
      </c>
      <c r="M15520">
        <v>17522</v>
      </c>
      <c r="N15520" t="s">
        <v>137</v>
      </c>
      <c r="O15520">
        <v>250919</v>
      </c>
      <c r="P15520">
        <v>710.6</v>
      </c>
    </row>
    <row r="15521" spans="1:16" x14ac:dyDescent="0.25">
      <c r="A15521" t="s">
        <v>3296</v>
      </c>
      <c r="B15521" t="s">
        <v>2931</v>
      </c>
      <c r="C15521">
        <v>12855</v>
      </c>
      <c r="D15521" t="str">
        <f>"CD502445    "</f>
        <v xml:space="preserve">CD502445    </v>
      </c>
      <c r="E15521" t="s">
        <v>710</v>
      </c>
      <c r="F15521" t="s">
        <v>711</v>
      </c>
      <c r="G15521">
        <v>591.79999999999995</v>
      </c>
      <c r="H15521">
        <v>250924</v>
      </c>
      <c r="I15521">
        <v>4580</v>
      </c>
      <c r="J15521" t="s">
        <v>126</v>
      </c>
      <c r="K15521">
        <v>591.79999999999995</v>
      </c>
      <c r="L15521">
        <v>120.25</v>
      </c>
      <c r="M15521">
        <v>17521</v>
      </c>
      <c r="N15521" t="s">
        <v>136</v>
      </c>
      <c r="O15521">
        <v>250930</v>
      </c>
      <c r="P15521">
        <v>471.55</v>
      </c>
    </row>
    <row r="15522" spans="1:16" x14ac:dyDescent="0.25">
      <c r="A15522" t="s">
        <v>3296</v>
      </c>
      <c r="B15522" t="s">
        <v>2931</v>
      </c>
      <c r="C15522">
        <v>12859</v>
      </c>
      <c r="D15522" t="str">
        <f>"CD502469    "</f>
        <v xml:space="preserve">CD502469    </v>
      </c>
      <c r="E15522" t="s">
        <v>710</v>
      </c>
      <c r="F15522" t="s">
        <v>711</v>
      </c>
      <c r="G15522">
        <v>121</v>
      </c>
      <c r="H15522">
        <v>250925</v>
      </c>
      <c r="I15522">
        <v>4580</v>
      </c>
      <c r="J15522" t="s">
        <v>126</v>
      </c>
      <c r="K15522">
        <v>121</v>
      </c>
      <c r="L15522">
        <v>24.59</v>
      </c>
      <c r="M15522">
        <v>17521</v>
      </c>
      <c r="N15522" t="s">
        <v>136</v>
      </c>
      <c r="O15522">
        <v>250930</v>
      </c>
      <c r="P15522">
        <v>96.41</v>
      </c>
    </row>
    <row r="15523" spans="1:16" x14ac:dyDescent="0.25">
      <c r="A15523" t="s">
        <v>3296</v>
      </c>
      <c r="B15523" t="s">
        <v>2931</v>
      </c>
      <c r="C15523">
        <v>14156</v>
      </c>
      <c r="D15523" t="str">
        <f>"CD502854    "</f>
        <v xml:space="preserve">CD502854    </v>
      </c>
      <c r="E15523" t="s">
        <v>710</v>
      </c>
      <c r="F15523" t="s">
        <v>711</v>
      </c>
      <c r="G15523">
        <v>701.2</v>
      </c>
      <c r="H15523">
        <v>251010</v>
      </c>
      <c r="I15523">
        <v>4580</v>
      </c>
      <c r="J15523" t="s">
        <v>126</v>
      </c>
      <c r="K15523">
        <v>701.2</v>
      </c>
      <c r="L15523">
        <v>142.47</v>
      </c>
      <c r="M15523">
        <v>17521</v>
      </c>
      <c r="N15523" t="s">
        <v>136</v>
      </c>
      <c r="O15523">
        <v>251024</v>
      </c>
      <c r="P15523">
        <v>558.73</v>
      </c>
    </row>
    <row r="15524" spans="1:16" x14ac:dyDescent="0.25">
      <c r="A15524" t="s">
        <v>3296</v>
      </c>
      <c r="B15524" t="s">
        <v>2931</v>
      </c>
      <c r="C15524">
        <v>14170</v>
      </c>
      <c r="D15524" t="str">
        <f>"CD503061    "</f>
        <v xml:space="preserve">CD503061    </v>
      </c>
      <c r="E15524" t="s">
        <v>710</v>
      </c>
      <c r="F15524" t="s">
        <v>711</v>
      </c>
      <c r="G15524">
        <v>267.8</v>
      </c>
      <c r="H15524">
        <v>251022</v>
      </c>
      <c r="I15524">
        <v>4580</v>
      </c>
      <c r="J15524" t="s">
        <v>126</v>
      </c>
      <c r="K15524">
        <v>267.8</v>
      </c>
      <c r="L15524">
        <v>54.41</v>
      </c>
      <c r="M15524">
        <v>17521</v>
      </c>
      <c r="N15524" t="s">
        <v>136</v>
      </c>
      <c r="O15524">
        <v>251024</v>
      </c>
      <c r="P15524">
        <v>213.39</v>
      </c>
    </row>
    <row r="15525" spans="1:16" x14ac:dyDescent="0.25">
      <c r="A15525" t="s">
        <v>3296</v>
      </c>
      <c r="B15525" t="s">
        <v>2931</v>
      </c>
      <c r="C15525">
        <v>14234</v>
      </c>
      <c r="D15525" t="str">
        <f>"CD503016    "</f>
        <v xml:space="preserve">CD503016    </v>
      </c>
      <c r="E15525" t="s">
        <v>710</v>
      </c>
      <c r="F15525" t="s">
        <v>711</v>
      </c>
      <c r="G15525">
        <v>128.9</v>
      </c>
      <c r="H15525">
        <v>251017</v>
      </c>
      <c r="I15525">
        <v>4580</v>
      </c>
      <c r="J15525" t="s">
        <v>126</v>
      </c>
      <c r="K15525">
        <v>128.9</v>
      </c>
      <c r="L15525">
        <v>26.19</v>
      </c>
      <c r="M15525">
        <v>17521</v>
      </c>
      <c r="N15525" t="s">
        <v>136</v>
      </c>
      <c r="O15525">
        <v>251027</v>
      </c>
      <c r="P15525">
        <v>102.71</v>
      </c>
    </row>
    <row r="15526" spans="1:16" x14ac:dyDescent="0.25">
      <c r="A15526" t="s">
        <v>3296</v>
      </c>
      <c r="B15526" t="s">
        <v>2931</v>
      </c>
      <c r="C15526">
        <v>14402</v>
      </c>
      <c r="D15526" t="str">
        <f>"CD503220    "</f>
        <v xml:space="preserve">CD503220    </v>
      </c>
      <c r="E15526" t="s">
        <v>710</v>
      </c>
      <c r="F15526" t="s">
        <v>711</v>
      </c>
      <c r="G15526">
        <v>274.3</v>
      </c>
      <c r="H15526">
        <v>251024</v>
      </c>
      <c r="I15526">
        <v>4580</v>
      </c>
      <c r="J15526" t="s">
        <v>126</v>
      </c>
      <c r="K15526">
        <v>274.3</v>
      </c>
      <c r="L15526">
        <v>55.73</v>
      </c>
      <c r="M15526">
        <v>17521</v>
      </c>
      <c r="N15526" t="s">
        <v>136</v>
      </c>
      <c r="O15526">
        <v>251031</v>
      </c>
      <c r="P15526">
        <v>218.57</v>
      </c>
    </row>
    <row r="15527" spans="1:16" x14ac:dyDescent="0.25">
      <c r="A15527" t="s">
        <v>3296</v>
      </c>
      <c r="B15527" t="s">
        <v>2931</v>
      </c>
      <c r="C15527">
        <v>14406</v>
      </c>
      <c r="D15527" t="str">
        <f>"CD503210    "</f>
        <v xml:space="preserve">CD503210    </v>
      </c>
      <c r="E15527" t="s">
        <v>710</v>
      </c>
      <c r="F15527" t="s">
        <v>711</v>
      </c>
      <c r="G15527">
        <v>723.4</v>
      </c>
      <c r="H15527">
        <v>251024</v>
      </c>
      <c r="I15527">
        <v>4580</v>
      </c>
      <c r="J15527" t="s">
        <v>126</v>
      </c>
      <c r="K15527">
        <v>723.4</v>
      </c>
      <c r="L15527">
        <v>146.99</v>
      </c>
      <c r="M15527">
        <v>17521</v>
      </c>
      <c r="N15527" t="s">
        <v>136</v>
      </c>
      <c r="O15527">
        <v>251031</v>
      </c>
      <c r="P15527">
        <v>576.41</v>
      </c>
    </row>
    <row r="15528" spans="1:16" x14ac:dyDescent="0.25">
      <c r="A15528" t="s">
        <v>3296</v>
      </c>
      <c r="B15528" t="s">
        <v>2931</v>
      </c>
      <c r="C15528">
        <v>14500</v>
      </c>
      <c r="D15528" t="str">
        <f>"CD503353    "</f>
        <v xml:space="preserve">CD503353    </v>
      </c>
      <c r="E15528" t="s">
        <v>710</v>
      </c>
      <c r="F15528" t="s">
        <v>711</v>
      </c>
      <c r="G15528">
        <v>317.7</v>
      </c>
      <c r="H15528">
        <v>251029</v>
      </c>
      <c r="I15528">
        <v>4580</v>
      </c>
      <c r="J15528" t="s">
        <v>126</v>
      </c>
      <c r="K15528">
        <v>317.7</v>
      </c>
      <c r="L15528">
        <v>64.55</v>
      </c>
      <c r="M15528">
        <v>17521</v>
      </c>
      <c r="N15528" t="s">
        <v>136</v>
      </c>
      <c r="O15528">
        <v>251103</v>
      </c>
      <c r="P15528">
        <v>253.15</v>
      </c>
    </row>
    <row r="15529" spans="1:16" x14ac:dyDescent="0.25">
      <c r="A15529" t="s">
        <v>3296</v>
      </c>
      <c r="B15529" t="s">
        <v>2931</v>
      </c>
      <c r="C15529">
        <v>14873</v>
      </c>
      <c r="D15529" t="str">
        <f>"CD503388    "</f>
        <v xml:space="preserve">CD503388    </v>
      </c>
      <c r="E15529" t="s">
        <v>710</v>
      </c>
      <c r="F15529" t="s">
        <v>711</v>
      </c>
      <c r="G15529">
        <v>774.6</v>
      </c>
      <c r="H15529">
        <v>251029</v>
      </c>
      <c r="I15529">
        <v>4580</v>
      </c>
      <c r="J15529" t="s">
        <v>126</v>
      </c>
      <c r="K15529">
        <v>774.6</v>
      </c>
      <c r="L15529">
        <v>157.38999999999999</v>
      </c>
      <c r="M15529">
        <v>17521</v>
      </c>
      <c r="N15529" t="s">
        <v>136</v>
      </c>
      <c r="O15529">
        <v>251107</v>
      </c>
      <c r="P15529">
        <v>617.21</v>
      </c>
    </row>
    <row r="15530" spans="1:16" x14ac:dyDescent="0.25">
      <c r="A15530" t="s">
        <v>3296</v>
      </c>
      <c r="B15530" t="s">
        <v>2931</v>
      </c>
      <c r="C15530">
        <v>15571</v>
      </c>
      <c r="D15530" t="str">
        <f>"CD503638    "</f>
        <v xml:space="preserve">CD503638    </v>
      </c>
      <c r="E15530" t="s">
        <v>710</v>
      </c>
      <c r="F15530" t="s">
        <v>711</v>
      </c>
      <c r="G15530">
        <v>482.6</v>
      </c>
      <c r="H15530">
        <v>251107</v>
      </c>
      <c r="I15530">
        <v>4580</v>
      </c>
      <c r="J15530" t="s">
        <v>126</v>
      </c>
      <c r="K15530">
        <v>482.6</v>
      </c>
      <c r="L15530">
        <v>98.06</v>
      </c>
      <c r="M15530">
        <v>17521</v>
      </c>
      <c r="N15530" t="s">
        <v>136</v>
      </c>
      <c r="O15530">
        <v>251121</v>
      </c>
      <c r="P15530">
        <v>384.54</v>
      </c>
    </row>
    <row r="15531" spans="1:16" x14ac:dyDescent="0.25">
      <c r="A15531" t="s">
        <v>3296</v>
      </c>
      <c r="B15531" t="s">
        <v>2931</v>
      </c>
      <c r="C15531">
        <v>15730</v>
      </c>
      <c r="D15531" t="str">
        <f>"CD503867    "</f>
        <v xml:space="preserve">CD503867    </v>
      </c>
      <c r="E15531" t="s">
        <v>710</v>
      </c>
      <c r="F15531" t="s">
        <v>711</v>
      </c>
      <c r="G15531">
        <v>90.5</v>
      </c>
      <c r="H15531">
        <v>251114</v>
      </c>
      <c r="I15531">
        <v>4580</v>
      </c>
      <c r="J15531" t="s">
        <v>126</v>
      </c>
      <c r="K15531">
        <v>90.5</v>
      </c>
      <c r="L15531">
        <v>18.39</v>
      </c>
      <c r="M15531">
        <v>17521</v>
      </c>
      <c r="N15531" t="s">
        <v>136</v>
      </c>
      <c r="O15531">
        <v>251125</v>
      </c>
      <c r="P15531">
        <v>72.11</v>
      </c>
    </row>
    <row r="15532" spans="1:16" x14ac:dyDescent="0.25">
      <c r="A15532" t="s">
        <v>3296</v>
      </c>
      <c r="B15532" t="s">
        <v>2931</v>
      </c>
      <c r="C15532">
        <v>15731</v>
      </c>
      <c r="D15532" t="str">
        <f>"CD503866    "</f>
        <v xml:space="preserve">CD503866    </v>
      </c>
      <c r="E15532" t="s">
        <v>710</v>
      </c>
      <c r="F15532" t="s">
        <v>711</v>
      </c>
      <c r="G15532">
        <v>376.3</v>
      </c>
      <c r="H15532">
        <v>251114</v>
      </c>
      <c r="I15532">
        <v>4580</v>
      </c>
      <c r="J15532" t="s">
        <v>126</v>
      </c>
      <c r="K15532">
        <v>376.3</v>
      </c>
      <c r="L15532">
        <v>76.459999999999994</v>
      </c>
      <c r="M15532">
        <v>17521</v>
      </c>
      <c r="N15532" t="s">
        <v>136</v>
      </c>
      <c r="O15532">
        <v>251125</v>
      </c>
      <c r="P15532">
        <v>299.83999999999997</v>
      </c>
    </row>
    <row r="15533" spans="1:16" x14ac:dyDescent="0.25">
      <c r="A15533" t="s">
        <v>3296</v>
      </c>
      <c r="B15533" t="s">
        <v>2931</v>
      </c>
      <c r="C15533">
        <v>15733</v>
      </c>
      <c r="D15533" t="str">
        <f>"CD504010    "</f>
        <v xml:space="preserve">CD504010    </v>
      </c>
      <c r="E15533" t="s">
        <v>710</v>
      </c>
      <c r="F15533" t="s">
        <v>711</v>
      </c>
      <c r="G15533">
        <v>326.10000000000002</v>
      </c>
      <c r="H15533">
        <v>251119</v>
      </c>
      <c r="I15533">
        <v>4580</v>
      </c>
      <c r="J15533" t="s">
        <v>126</v>
      </c>
      <c r="K15533">
        <v>326.10000000000002</v>
      </c>
      <c r="L15533">
        <v>66.260000000000005</v>
      </c>
      <c r="M15533">
        <v>17521</v>
      </c>
      <c r="N15533" t="s">
        <v>136</v>
      </c>
      <c r="O15533">
        <v>251125</v>
      </c>
      <c r="P15533">
        <v>259.83999999999997</v>
      </c>
    </row>
    <row r="15534" spans="1:16" x14ac:dyDescent="0.25">
      <c r="A15534" t="s">
        <v>3296</v>
      </c>
      <c r="B15534" t="s">
        <v>2931</v>
      </c>
      <c r="C15534">
        <v>15894</v>
      </c>
      <c r="D15534" t="str">
        <f>"CD504016    "</f>
        <v xml:space="preserve">CD504016    </v>
      </c>
      <c r="E15534" t="s">
        <v>710</v>
      </c>
      <c r="F15534" t="s">
        <v>711</v>
      </c>
      <c r="G15534">
        <v>539.6</v>
      </c>
      <c r="H15534">
        <v>251119</v>
      </c>
      <c r="I15534">
        <v>4580</v>
      </c>
      <c r="J15534" t="s">
        <v>126</v>
      </c>
      <c r="K15534">
        <v>539.6</v>
      </c>
      <c r="L15534">
        <v>109.64</v>
      </c>
      <c r="M15534">
        <v>17521</v>
      </c>
      <c r="N15534" t="s">
        <v>136</v>
      </c>
      <c r="O15534">
        <v>251128</v>
      </c>
      <c r="P15534">
        <v>429.96</v>
      </c>
    </row>
    <row r="15535" spans="1:16" x14ac:dyDescent="0.25">
      <c r="A15535" t="s">
        <v>3296</v>
      </c>
      <c r="B15535" t="s">
        <v>2931</v>
      </c>
      <c r="C15535">
        <v>15944</v>
      </c>
      <c r="D15535" t="str">
        <f>"CD503461    "</f>
        <v xml:space="preserve">CD503461    </v>
      </c>
      <c r="E15535" t="s">
        <v>710</v>
      </c>
      <c r="F15535" t="s">
        <v>711</v>
      </c>
      <c r="G15535">
        <v>1340.9</v>
      </c>
      <c r="H15535">
        <v>251101</v>
      </c>
      <c r="I15535">
        <v>4580</v>
      </c>
      <c r="J15535" t="s">
        <v>126</v>
      </c>
      <c r="K15535">
        <v>1340.9</v>
      </c>
      <c r="L15535">
        <v>272.45</v>
      </c>
      <c r="M15535">
        <v>46554</v>
      </c>
      <c r="N15535" t="s">
        <v>102</v>
      </c>
      <c r="O15535">
        <v>251201</v>
      </c>
      <c r="P15535">
        <v>1068.45</v>
      </c>
    </row>
    <row r="15536" spans="1:16" x14ac:dyDescent="0.25">
      <c r="A15536" t="s">
        <v>3296</v>
      </c>
      <c r="B15536" t="s">
        <v>2931</v>
      </c>
      <c r="C15536">
        <v>15971</v>
      </c>
      <c r="D15536" t="str">
        <f>"CD503762    "</f>
        <v xml:space="preserve">CD503762    </v>
      </c>
      <c r="E15536" t="s">
        <v>710</v>
      </c>
      <c r="F15536" t="s">
        <v>711</v>
      </c>
      <c r="G15536">
        <v>317.7</v>
      </c>
      <c r="H15536">
        <v>251112</v>
      </c>
      <c r="I15536">
        <v>4580</v>
      </c>
      <c r="J15536" t="s">
        <v>126</v>
      </c>
      <c r="K15536">
        <v>317.7</v>
      </c>
      <c r="L15536">
        <v>64.55</v>
      </c>
      <c r="M15536">
        <v>46554</v>
      </c>
      <c r="N15536" t="s">
        <v>102</v>
      </c>
      <c r="O15536">
        <v>251201</v>
      </c>
      <c r="P15536">
        <v>253.15</v>
      </c>
    </row>
    <row r="15537" spans="1:16" x14ac:dyDescent="0.25">
      <c r="A15537" t="s">
        <v>3296</v>
      </c>
      <c r="B15537" t="s">
        <v>2931</v>
      </c>
      <c r="C15537">
        <v>15986</v>
      </c>
      <c r="D15537" t="str">
        <f>"CD504192    "</f>
        <v xml:space="preserve">CD504192    </v>
      </c>
      <c r="E15537" t="s">
        <v>710</v>
      </c>
      <c r="F15537" t="s">
        <v>711</v>
      </c>
      <c r="G15537">
        <v>740.3</v>
      </c>
      <c r="H15537">
        <v>251126</v>
      </c>
      <c r="I15537">
        <v>4580</v>
      </c>
      <c r="J15537" t="s">
        <v>126</v>
      </c>
      <c r="K15537">
        <v>740.3</v>
      </c>
      <c r="L15537">
        <v>150.41999999999999</v>
      </c>
      <c r="M15537">
        <v>17521</v>
      </c>
      <c r="N15537" t="s">
        <v>136</v>
      </c>
      <c r="O15537">
        <v>251201</v>
      </c>
      <c r="P15537">
        <v>589.88</v>
      </c>
    </row>
    <row r="15538" spans="1:16" x14ac:dyDescent="0.25">
      <c r="A15538" t="s">
        <v>3296</v>
      </c>
      <c r="B15538" t="s">
        <v>2931</v>
      </c>
      <c r="C15538">
        <v>16816</v>
      </c>
      <c r="D15538" t="str">
        <f>"CD504350    "</f>
        <v xml:space="preserve">CD504350    </v>
      </c>
      <c r="E15538" t="s">
        <v>710</v>
      </c>
      <c r="F15538" t="s">
        <v>711</v>
      </c>
      <c r="G15538">
        <v>808.4</v>
      </c>
      <c r="H15538">
        <v>251203</v>
      </c>
      <c r="I15538">
        <v>4580</v>
      </c>
      <c r="J15538" t="s">
        <v>126</v>
      </c>
      <c r="K15538">
        <v>808.4</v>
      </c>
      <c r="L15538">
        <v>164.26</v>
      </c>
      <c r="M15538">
        <v>17521</v>
      </c>
      <c r="N15538" t="s">
        <v>136</v>
      </c>
      <c r="O15538">
        <v>251212</v>
      </c>
      <c r="P15538">
        <v>644.14</v>
      </c>
    </row>
    <row r="15539" spans="1:16" x14ac:dyDescent="0.25">
      <c r="A15539" t="s">
        <v>3296</v>
      </c>
      <c r="B15539" t="s">
        <v>2931</v>
      </c>
      <c r="C15539">
        <v>17663</v>
      </c>
      <c r="D15539" t="str">
        <f>"CD504422    "</f>
        <v xml:space="preserve">CD504422    </v>
      </c>
      <c r="E15539" t="s">
        <v>710</v>
      </c>
      <c r="F15539" t="s">
        <v>711</v>
      </c>
      <c r="G15539">
        <v>521.1</v>
      </c>
      <c r="H15539">
        <v>251204</v>
      </c>
      <c r="I15539">
        <v>4580</v>
      </c>
      <c r="J15539" t="s">
        <v>126</v>
      </c>
      <c r="K15539">
        <v>521.1</v>
      </c>
      <c r="L15539">
        <v>105.88</v>
      </c>
      <c r="M15539">
        <v>17521</v>
      </c>
      <c r="N15539" t="s">
        <v>136</v>
      </c>
      <c r="O15539">
        <v>251229</v>
      </c>
      <c r="P15539">
        <v>415.22</v>
      </c>
    </row>
    <row r="15540" spans="1:16" x14ac:dyDescent="0.25">
      <c r="A15540" t="s">
        <v>3296</v>
      </c>
      <c r="B15540" t="s">
        <v>2931</v>
      </c>
      <c r="C15540">
        <v>17675</v>
      </c>
      <c r="D15540" t="str">
        <f>"CD504466    "</f>
        <v xml:space="preserve">CD504466    </v>
      </c>
      <c r="E15540" t="s">
        <v>710</v>
      </c>
      <c r="F15540" t="s">
        <v>711</v>
      </c>
      <c r="G15540">
        <v>2899.8</v>
      </c>
      <c r="H15540">
        <v>251201</v>
      </c>
      <c r="I15540">
        <v>4580</v>
      </c>
      <c r="J15540" t="s">
        <v>126</v>
      </c>
      <c r="K15540">
        <v>2899.8</v>
      </c>
      <c r="L15540">
        <v>589.20000000000005</v>
      </c>
      <c r="M15540">
        <v>17521</v>
      </c>
      <c r="N15540" t="s">
        <v>136</v>
      </c>
      <c r="O15540">
        <v>251229</v>
      </c>
      <c r="P15540">
        <v>2310.6</v>
      </c>
    </row>
    <row r="15541" spans="1:16" x14ac:dyDescent="0.25">
      <c r="A15541" t="s">
        <v>3296</v>
      </c>
      <c r="B15541" t="s">
        <v>2931</v>
      </c>
      <c r="C15541">
        <v>17730</v>
      </c>
      <c r="D15541" t="str">
        <f>"CD504465    "</f>
        <v xml:space="preserve">CD504465    </v>
      </c>
      <c r="E15541" t="s">
        <v>710</v>
      </c>
      <c r="F15541" t="s">
        <v>711</v>
      </c>
      <c r="G15541">
        <v>2642.8</v>
      </c>
      <c r="H15541">
        <v>251201</v>
      </c>
      <c r="I15541">
        <v>4580</v>
      </c>
      <c r="J15541" t="s">
        <v>126</v>
      </c>
      <c r="K15541">
        <v>2642.8</v>
      </c>
      <c r="L15541">
        <v>536.98</v>
      </c>
      <c r="M15541">
        <v>17521</v>
      </c>
      <c r="N15541" t="s">
        <v>136</v>
      </c>
      <c r="O15541">
        <v>251230</v>
      </c>
      <c r="P15541">
        <v>2105.8200000000002</v>
      </c>
    </row>
    <row r="15542" spans="1:16" x14ac:dyDescent="0.25">
      <c r="A15542" t="s">
        <v>3296</v>
      </c>
      <c r="B15542" t="s">
        <v>2931</v>
      </c>
      <c r="C15542">
        <v>807</v>
      </c>
      <c r="D15542" t="str">
        <f>"CD496818    "</f>
        <v xml:space="preserve">CD496818    </v>
      </c>
      <c r="E15542" t="s">
        <v>710</v>
      </c>
      <c r="F15542" t="s">
        <v>711</v>
      </c>
      <c r="G15542">
        <v>86.25</v>
      </c>
      <c r="H15542">
        <v>250121</v>
      </c>
      <c r="I15542">
        <v>4600</v>
      </c>
      <c r="J15542" t="s">
        <v>278</v>
      </c>
      <c r="K15542">
        <v>172.5</v>
      </c>
      <c r="L15542">
        <v>17.52</v>
      </c>
      <c r="M15542">
        <v>17521</v>
      </c>
      <c r="N15542" t="s">
        <v>136</v>
      </c>
      <c r="O15542">
        <v>250129</v>
      </c>
      <c r="P15542">
        <v>68.73</v>
      </c>
    </row>
    <row r="15543" spans="1:16" x14ac:dyDescent="0.25">
      <c r="A15543" t="s">
        <v>3296</v>
      </c>
      <c r="B15543" t="s">
        <v>2931</v>
      </c>
      <c r="C15543">
        <v>808</v>
      </c>
      <c r="D15543" t="str">
        <f>"CD496785    "</f>
        <v xml:space="preserve">CD496785    </v>
      </c>
      <c r="E15543" t="s">
        <v>710</v>
      </c>
      <c r="F15543" t="s">
        <v>711</v>
      </c>
      <c r="G15543">
        <v>77.900000000000006</v>
      </c>
      <c r="H15543">
        <v>250121</v>
      </c>
      <c r="I15543">
        <v>4600</v>
      </c>
      <c r="J15543" t="s">
        <v>278</v>
      </c>
      <c r="K15543">
        <v>77.900000000000006</v>
      </c>
      <c r="L15543">
        <v>15.83</v>
      </c>
      <c r="M15543">
        <v>46554</v>
      </c>
      <c r="N15543" t="s">
        <v>102</v>
      </c>
      <c r="O15543">
        <v>250129</v>
      </c>
      <c r="P15543">
        <v>62.07</v>
      </c>
    </row>
    <row r="15544" spans="1:16" x14ac:dyDescent="0.25">
      <c r="A15544" t="s">
        <v>3296</v>
      </c>
      <c r="B15544" t="s">
        <v>2931</v>
      </c>
      <c r="C15544">
        <v>2603</v>
      </c>
      <c r="D15544" t="str">
        <f>"CR491988    "</f>
        <v xml:space="preserve">CR491988    </v>
      </c>
      <c r="E15544" t="s">
        <v>710</v>
      </c>
      <c r="F15544" t="s">
        <v>711</v>
      </c>
      <c r="G15544">
        <v>-420.5</v>
      </c>
      <c r="H15544">
        <v>250214</v>
      </c>
      <c r="I15544">
        <v>4600</v>
      </c>
      <c r="J15544" t="s">
        <v>278</v>
      </c>
      <c r="K15544">
        <v>-420.5</v>
      </c>
      <c r="L15544">
        <v>-85.44</v>
      </c>
      <c r="M15544">
        <v>46554</v>
      </c>
      <c r="N15544" t="s">
        <v>102</v>
      </c>
      <c r="O15544">
        <v>250307</v>
      </c>
      <c r="P15544">
        <v>-335.06</v>
      </c>
    </row>
    <row r="15545" spans="1:16" x14ac:dyDescent="0.25">
      <c r="A15545" t="s">
        <v>3296</v>
      </c>
      <c r="B15545" t="s">
        <v>2931</v>
      </c>
      <c r="C15545">
        <v>2604</v>
      </c>
      <c r="D15545" t="str">
        <f>"CD497258    "</f>
        <v xml:space="preserve">CD497258    </v>
      </c>
      <c r="E15545" t="s">
        <v>710</v>
      </c>
      <c r="F15545" t="s">
        <v>711</v>
      </c>
      <c r="G15545">
        <v>2146.6</v>
      </c>
      <c r="H15545">
        <v>250207</v>
      </c>
      <c r="I15545">
        <v>4600</v>
      </c>
      <c r="J15545" t="s">
        <v>278</v>
      </c>
      <c r="K15545">
        <v>2146.6</v>
      </c>
      <c r="L15545">
        <v>436.16</v>
      </c>
      <c r="M15545">
        <v>46554</v>
      </c>
      <c r="N15545" t="s">
        <v>102</v>
      </c>
      <c r="O15545">
        <v>250307</v>
      </c>
      <c r="P15545">
        <v>1710.44</v>
      </c>
    </row>
    <row r="15546" spans="1:16" x14ac:dyDescent="0.25">
      <c r="A15546" t="s">
        <v>3296</v>
      </c>
      <c r="B15546" t="s">
        <v>2931</v>
      </c>
      <c r="C15546">
        <v>2877</v>
      </c>
      <c r="D15546" t="str">
        <f>"CD497698    "</f>
        <v xml:space="preserve">CD497698    </v>
      </c>
      <c r="E15546" t="s">
        <v>710</v>
      </c>
      <c r="F15546" t="s">
        <v>711</v>
      </c>
      <c r="G15546">
        <v>413</v>
      </c>
      <c r="H15546">
        <v>250225</v>
      </c>
      <c r="I15546">
        <v>4600</v>
      </c>
      <c r="J15546" t="s">
        <v>278</v>
      </c>
      <c r="K15546">
        <v>413</v>
      </c>
      <c r="L15546">
        <v>83.92</v>
      </c>
      <c r="M15546">
        <v>46554</v>
      </c>
      <c r="N15546" t="s">
        <v>102</v>
      </c>
      <c r="O15546">
        <v>250312</v>
      </c>
      <c r="P15546">
        <v>329.08</v>
      </c>
    </row>
    <row r="15547" spans="1:16" x14ac:dyDescent="0.25">
      <c r="A15547" t="s">
        <v>3296</v>
      </c>
      <c r="B15547" t="s">
        <v>2931</v>
      </c>
      <c r="C15547">
        <v>4008</v>
      </c>
      <c r="D15547" t="str">
        <f>"CD497973    "</f>
        <v xml:space="preserve">CD497973    </v>
      </c>
      <c r="E15547" t="s">
        <v>710</v>
      </c>
      <c r="F15547" t="s">
        <v>711</v>
      </c>
      <c r="G15547">
        <v>256.10000000000002</v>
      </c>
      <c r="H15547">
        <v>250306</v>
      </c>
      <c r="I15547">
        <v>4600</v>
      </c>
      <c r="J15547" t="s">
        <v>278</v>
      </c>
      <c r="K15547">
        <v>256.10000000000002</v>
      </c>
      <c r="L15547">
        <v>52.04</v>
      </c>
      <c r="M15547">
        <v>46554</v>
      </c>
      <c r="N15547" t="s">
        <v>102</v>
      </c>
      <c r="O15547">
        <v>250407</v>
      </c>
      <c r="P15547">
        <v>204.06</v>
      </c>
    </row>
    <row r="15548" spans="1:16" x14ac:dyDescent="0.25">
      <c r="A15548" t="s">
        <v>3296</v>
      </c>
      <c r="B15548" t="s">
        <v>2931</v>
      </c>
      <c r="C15548">
        <v>4236</v>
      </c>
      <c r="D15548" t="str">
        <f>"CD498093    "</f>
        <v xml:space="preserve">CD498093    </v>
      </c>
      <c r="E15548" t="s">
        <v>710</v>
      </c>
      <c r="F15548" t="s">
        <v>711</v>
      </c>
      <c r="G15548">
        <v>325.3</v>
      </c>
      <c r="H15548">
        <v>250311</v>
      </c>
      <c r="I15548">
        <v>4600</v>
      </c>
      <c r="J15548" t="s">
        <v>278</v>
      </c>
      <c r="K15548">
        <v>325.3</v>
      </c>
      <c r="L15548">
        <v>66.099999999999994</v>
      </c>
      <c r="M15548">
        <v>17521</v>
      </c>
      <c r="N15548" t="s">
        <v>136</v>
      </c>
      <c r="O15548">
        <v>250409</v>
      </c>
      <c r="P15548">
        <v>259.2</v>
      </c>
    </row>
    <row r="15549" spans="1:16" x14ac:dyDescent="0.25">
      <c r="A15549" t="s">
        <v>3296</v>
      </c>
      <c r="B15549" t="s">
        <v>2931</v>
      </c>
      <c r="C15549">
        <v>4793</v>
      </c>
      <c r="D15549" t="str">
        <f>"CD498329    "</f>
        <v xml:space="preserve">CD498329    </v>
      </c>
      <c r="E15549" t="s">
        <v>710</v>
      </c>
      <c r="F15549" t="s">
        <v>711</v>
      </c>
      <c r="G15549">
        <v>195.3</v>
      </c>
      <c r="H15549">
        <v>250320</v>
      </c>
      <c r="I15549">
        <v>4600</v>
      </c>
      <c r="J15549" t="s">
        <v>278</v>
      </c>
      <c r="K15549">
        <v>195.3</v>
      </c>
      <c r="L15549">
        <v>39.68</v>
      </c>
      <c r="M15549">
        <v>46554</v>
      </c>
      <c r="N15549" t="s">
        <v>102</v>
      </c>
      <c r="O15549">
        <v>250415</v>
      </c>
      <c r="P15549">
        <v>155.62</v>
      </c>
    </row>
    <row r="15550" spans="1:16" x14ac:dyDescent="0.25">
      <c r="A15550" t="s">
        <v>3296</v>
      </c>
      <c r="B15550" t="s">
        <v>2931</v>
      </c>
      <c r="C15550">
        <v>5846</v>
      </c>
      <c r="D15550" t="str">
        <f>"CD498925    "</f>
        <v xml:space="preserve">CD498925    </v>
      </c>
      <c r="E15550" t="s">
        <v>710</v>
      </c>
      <c r="F15550" t="s">
        <v>711</v>
      </c>
      <c r="G15550">
        <v>101.9</v>
      </c>
      <c r="H15550">
        <v>250414</v>
      </c>
      <c r="I15550">
        <v>4600</v>
      </c>
      <c r="J15550" t="s">
        <v>278</v>
      </c>
      <c r="K15550">
        <v>101.9</v>
      </c>
      <c r="L15550">
        <v>20.7</v>
      </c>
      <c r="M15550">
        <v>46554</v>
      </c>
      <c r="N15550" t="s">
        <v>102</v>
      </c>
      <c r="O15550">
        <v>250505</v>
      </c>
      <c r="P15550">
        <v>81.2</v>
      </c>
    </row>
    <row r="15551" spans="1:16" x14ac:dyDescent="0.25">
      <c r="A15551" t="s">
        <v>3296</v>
      </c>
      <c r="B15551" t="s">
        <v>2931</v>
      </c>
      <c r="C15551">
        <v>6462</v>
      </c>
      <c r="D15551" t="str">
        <f>"CD499122    "</f>
        <v xml:space="preserve">CD499122    </v>
      </c>
      <c r="E15551" t="s">
        <v>710</v>
      </c>
      <c r="F15551" t="s">
        <v>711</v>
      </c>
      <c r="G15551">
        <v>74.599999999999994</v>
      </c>
      <c r="H15551">
        <v>250423</v>
      </c>
      <c r="I15551">
        <v>4600</v>
      </c>
      <c r="J15551" t="s">
        <v>278</v>
      </c>
      <c r="K15551">
        <v>74.599999999999994</v>
      </c>
      <c r="L15551">
        <v>15.16</v>
      </c>
      <c r="M15551">
        <v>46554</v>
      </c>
      <c r="N15551" t="s">
        <v>102</v>
      </c>
      <c r="O15551">
        <v>250513</v>
      </c>
      <c r="P15551">
        <v>59.44</v>
      </c>
    </row>
    <row r="15552" spans="1:16" x14ac:dyDescent="0.25">
      <c r="A15552" t="s">
        <v>3296</v>
      </c>
      <c r="B15552" t="s">
        <v>2931</v>
      </c>
      <c r="C15552">
        <v>8325</v>
      </c>
      <c r="D15552" t="str">
        <f>"CD499758    "</f>
        <v xml:space="preserve">CD499758    </v>
      </c>
      <c r="E15552" t="s">
        <v>710</v>
      </c>
      <c r="F15552" t="s">
        <v>711</v>
      </c>
      <c r="G15552">
        <v>522.29999999999995</v>
      </c>
      <c r="H15552">
        <v>250519</v>
      </c>
      <c r="I15552">
        <v>4600</v>
      </c>
      <c r="J15552" t="s">
        <v>278</v>
      </c>
      <c r="K15552">
        <v>522.29999999999995</v>
      </c>
      <c r="L15552">
        <v>106.12</v>
      </c>
      <c r="M15552">
        <v>46554</v>
      </c>
      <c r="N15552" t="s">
        <v>102</v>
      </c>
      <c r="O15552">
        <v>250612</v>
      </c>
      <c r="P15552">
        <v>416.18</v>
      </c>
    </row>
    <row r="15553" spans="1:16" x14ac:dyDescent="0.25">
      <c r="A15553" t="s">
        <v>3296</v>
      </c>
      <c r="B15553" t="s">
        <v>2931</v>
      </c>
      <c r="C15553">
        <v>8586</v>
      </c>
      <c r="D15553" t="str">
        <f>"CD499950    "</f>
        <v xml:space="preserve">CD499950    </v>
      </c>
      <c r="E15553" t="s">
        <v>710</v>
      </c>
      <c r="F15553" t="s">
        <v>711</v>
      </c>
      <c r="G15553">
        <v>20.399999999999999</v>
      </c>
      <c r="H15553">
        <v>250526</v>
      </c>
      <c r="I15553">
        <v>4600</v>
      </c>
      <c r="J15553" t="s">
        <v>278</v>
      </c>
      <c r="K15553">
        <v>20.399999999999999</v>
      </c>
      <c r="L15553">
        <v>4.1500000000000004</v>
      </c>
      <c r="M15553">
        <v>46554</v>
      </c>
      <c r="N15553" t="s">
        <v>102</v>
      </c>
      <c r="O15553">
        <v>250617</v>
      </c>
      <c r="P15553">
        <v>16.25</v>
      </c>
    </row>
    <row r="15554" spans="1:16" x14ac:dyDescent="0.25">
      <c r="A15554" t="s">
        <v>3296</v>
      </c>
      <c r="B15554" t="s">
        <v>2931</v>
      </c>
      <c r="C15554">
        <v>10336</v>
      </c>
      <c r="D15554" t="str">
        <f>"CD500906    "</f>
        <v xml:space="preserve">CD500906    </v>
      </c>
      <c r="E15554" t="s">
        <v>710</v>
      </c>
      <c r="F15554" t="s">
        <v>711</v>
      </c>
      <c r="G15554">
        <v>116</v>
      </c>
      <c r="H15554">
        <v>250711</v>
      </c>
      <c r="I15554">
        <v>4600</v>
      </c>
      <c r="J15554" t="s">
        <v>278</v>
      </c>
      <c r="K15554">
        <v>232</v>
      </c>
      <c r="L15554">
        <v>22.45</v>
      </c>
      <c r="M15554">
        <v>17632</v>
      </c>
      <c r="N15554" t="s">
        <v>615</v>
      </c>
      <c r="O15554">
        <v>250818</v>
      </c>
      <c r="P15554">
        <v>93.55</v>
      </c>
    </row>
    <row r="15555" spans="1:16" x14ac:dyDescent="0.25">
      <c r="A15555" t="s">
        <v>3296</v>
      </c>
      <c r="B15555" t="s">
        <v>2931</v>
      </c>
      <c r="C15555">
        <v>10532</v>
      </c>
      <c r="D15555" t="str">
        <f>"CD500933    "</f>
        <v xml:space="preserve">CD500933    </v>
      </c>
      <c r="E15555" t="s">
        <v>710</v>
      </c>
      <c r="F15555" t="s">
        <v>711</v>
      </c>
      <c r="G15555">
        <v>227.25</v>
      </c>
      <c r="H15555">
        <v>250801</v>
      </c>
      <c r="I15555">
        <v>4600</v>
      </c>
      <c r="J15555" t="s">
        <v>278</v>
      </c>
      <c r="K15555">
        <v>454.5</v>
      </c>
      <c r="L15555">
        <v>46.17</v>
      </c>
      <c r="M15555">
        <v>17633</v>
      </c>
      <c r="N15555" t="s">
        <v>628</v>
      </c>
      <c r="O15555">
        <v>250820</v>
      </c>
      <c r="P15555">
        <v>181.08</v>
      </c>
    </row>
    <row r="15556" spans="1:16" x14ac:dyDescent="0.25">
      <c r="A15556" t="s">
        <v>3296</v>
      </c>
      <c r="B15556" t="s">
        <v>2931</v>
      </c>
      <c r="C15556">
        <v>10574</v>
      </c>
      <c r="D15556" t="str">
        <f>"CD501125    "</f>
        <v xml:space="preserve">CD501125    </v>
      </c>
      <c r="E15556" t="s">
        <v>710</v>
      </c>
      <c r="F15556" t="s">
        <v>711</v>
      </c>
      <c r="G15556">
        <v>417.1</v>
      </c>
      <c r="H15556">
        <v>250806</v>
      </c>
      <c r="I15556">
        <v>4600</v>
      </c>
      <c r="J15556" t="s">
        <v>278</v>
      </c>
      <c r="K15556">
        <v>417.1</v>
      </c>
      <c r="L15556">
        <v>84.75</v>
      </c>
      <c r="M15556">
        <v>46554</v>
      </c>
      <c r="N15556" t="s">
        <v>102</v>
      </c>
      <c r="O15556">
        <v>250820</v>
      </c>
      <c r="P15556">
        <v>332.35</v>
      </c>
    </row>
    <row r="15557" spans="1:16" x14ac:dyDescent="0.25">
      <c r="A15557" t="s">
        <v>3296</v>
      </c>
      <c r="B15557" t="s">
        <v>2931</v>
      </c>
      <c r="C15557">
        <v>10696</v>
      </c>
      <c r="D15557" t="str">
        <f>"CD501275    "</f>
        <v xml:space="preserve">CD501275    </v>
      </c>
      <c r="E15557" t="s">
        <v>710</v>
      </c>
      <c r="F15557" t="s">
        <v>711</v>
      </c>
      <c r="G15557">
        <v>122.2</v>
      </c>
      <c r="H15557">
        <v>250813</v>
      </c>
      <c r="I15557">
        <v>4600</v>
      </c>
      <c r="J15557" t="s">
        <v>278</v>
      </c>
      <c r="K15557">
        <v>244.4</v>
      </c>
      <c r="L15557">
        <v>24.83</v>
      </c>
      <c r="M15557">
        <v>17633</v>
      </c>
      <c r="N15557" t="s">
        <v>628</v>
      </c>
      <c r="O15557">
        <v>250821</v>
      </c>
      <c r="P15557">
        <v>97.37</v>
      </c>
    </row>
    <row r="15558" spans="1:16" x14ac:dyDescent="0.25">
      <c r="A15558" t="s">
        <v>3296</v>
      </c>
      <c r="B15558" t="s">
        <v>2931</v>
      </c>
      <c r="C15558">
        <v>11756</v>
      </c>
      <c r="D15558" t="str">
        <f>"CD501616    "</f>
        <v xml:space="preserve">CD501616    </v>
      </c>
      <c r="E15558" t="s">
        <v>710</v>
      </c>
      <c r="F15558" t="s">
        <v>711</v>
      </c>
      <c r="G15558">
        <v>2640.6</v>
      </c>
      <c r="H15558">
        <v>250827</v>
      </c>
      <c r="I15558">
        <v>4600</v>
      </c>
      <c r="J15558" t="s">
        <v>278</v>
      </c>
      <c r="K15558">
        <v>2640.6</v>
      </c>
      <c r="L15558">
        <v>536.54</v>
      </c>
      <c r="M15558">
        <v>46554</v>
      </c>
      <c r="N15558" t="s">
        <v>102</v>
      </c>
      <c r="O15558">
        <v>250910</v>
      </c>
      <c r="P15558">
        <v>2104.06</v>
      </c>
    </row>
    <row r="15559" spans="1:16" x14ac:dyDescent="0.25">
      <c r="A15559" t="s">
        <v>3296</v>
      </c>
      <c r="B15559" t="s">
        <v>2931</v>
      </c>
      <c r="C15559">
        <v>11869</v>
      </c>
      <c r="D15559" t="str">
        <f>"CD500935    "</f>
        <v xml:space="preserve">CD500935    </v>
      </c>
      <c r="E15559" t="s">
        <v>710</v>
      </c>
      <c r="F15559" t="s">
        <v>711</v>
      </c>
      <c r="G15559">
        <v>444.1</v>
      </c>
      <c r="H15559">
        <v>250801</v>
      </c>
      <c r="I15559">
        <v>4600</v>
      </c>
      <c r="J15559" t="s">
        <v>278</v>
      </c>
      <c r="K15559">
        <v>888.2</v>
      </c>
      <c r="L15559">
        <v>90.24</v>
      </c>
      <c r="M15559">
        <v>17632</v>
      </c>
      <c r="N15559" t="s">
        <v>615</v>
      </c>
      <c r="O15559">
        <v>250911</v>
      </c>
      <c r="P15559">
        <v>353.86</v>
      </c>
    </row>
    <row r="15560" spans="1:16" x14ac:dyDescent="0.25">
      <c r="A15560" t="s">
        <v>3296</v>
      </c>
      <c r="B15560" t="s">
        <v>2931</v>
      </c>
      <c r="C15560">
        <v>12304</v>
      </c>
      <c r="D15560" t="str">
        <f>"CD501442    "</f>
        <v xml:space="preserve">CD501442    </v>
      </c>
      <c r="E15560" t="s">
        <v>710</v>
      </c>
      <c r="F15560" t="s">
        <v>711</v>
      </c>
      <c r="G15560">
        <v>1625.5</v>
      </c>
      <c r="H15560">
        <v>250901</v>
      </c>
      <c r="I15560">
        <v>4600</v>
      </c>
      <c r="J15560" t="s">
        <v>278</v>
      </c>
      <c r="K15560">
        <v>3251</v>
      </c>
      <c r="L15560">
        <v>330.28</v>
      </c>
      <c r="M15560">
        <v>17632</v>
      </c>
      <c r="N15560" t="s">
        <v>615</v>
      </c>
      <c r="O15560">
        <v>250919</v>
      </c>
      <c r="P15560">
        <v>1295.22</v>
      </c>
    </row>
    <row r="15561" spans="1:16" x14ac:dyDescent="0.25">
      <c r="A15561" t="s">
        <v>3296</v>
      </c>
      <c r="B15561" t="s">
        <v>2931</v>
      </c>
      <c r="C15561">
        <v>12427</v>
      </c>
      <c r="D15561" t="str">
        <f>"CD502189    "</f>
        <v xml:space="preserve">CD502189    </v>
      </c>
      <c r="E15561" t="s">
        <v>710</v>
      </c>
      <c r="F15561" t="s">
        <v>711</v>
      </c>
      <c r="G15561">
        <v>164.6</v>
      </c>
      <c r="H15561">
        <v>250917</v>
      </c>
      <c r="I15561">
        <v>4600</v>
      </c>
      <c r="J15561" t="s">
        <v>278</v>
      </c>
      <c r="K15561">
        <v>164.6</v>
      </c>
      <c r="L15561">
        <v>33.44</v>
      </c>
      <c r="M15561">
        <v>46554</v>
      </c>
      <c r="N15561" t="s">
        <v>102</v>
      </c>
      <c r="O15561">
        <v>250919</v>
      </c>
      <c r="P15561">
        <v>131.16</v>
      </c>
    </row>
    <row r="15562" spans="1:16" x14ac:dyDescent="0.25">
      <c r="A15562" t="s">
        <v>3296</v>
      </c>
      <c r="B15562" t="s">
        <v>2931</v>
      </c>
      <c r="C15562">
        <v>13074</v>
      </c>
      <c r="D15562" t="str">
        <f>"CD502491    "</f>
        <v xml:space="preserve">CD502491    </v>
      </c>
      <c r="E15562" t="s">
        <v>710</v>
      </c>
      <c r="F15562" t="s">
        <v>711</v>
      </c>
      <c r="G15562">
        <v>662</v>
      </c>
      <c r="H15562">
        <v>250926</v>
      </c>
      <c r="I15562">
        <v>4600</v>
      </c>
      <c r="J15562" t="s">
        <v>278</v>
      </c>
      <c r="K15562">
        <v>662</v>
      </c>
      <c r="L15562">
        <v>134.51</v>
      </c>
      <c r="M15562">
        <v>46554</v>
      </c>
      <c r="N15562" t="s">
        <v>102</v>
      </c>
      <c r="O15562">
        <v>251003</v>
      </c>
      <c r="P15562">
        <v>527.49</v>
      </c>
    </row>
    <row r="15563" spans="1:16" x14ac:dyDescent="0.25">
      <c r="A15563" t="s">
        <v>3296</v>
      </c>
      <c r="B15563" t="s">
        <v>2931</v>
      </c>
      <c r="C15563">
        <v>15043</v>
      </c>
      <c r="D15563" t="str">
        <f>"CD503198    "</f>
        <v xml:space="preserve">CD503198    </v>
      </c>
      <c r="E15563" t="s">
        <v>710</v>
      </c>
      <c r="F15563" t="s">
        <v>711</v>
      </c>
      <c r="G15563">
        <v>231.1</v>
      </c>
      <c r="H15563">
        <v>251024</v>
      </c>
      <c r="I15563">
        <v>4600</v>
      </c>
      <c r="J15563" t="s">
        <v>278</v>
      </c>
      <c r="K15563">
        <v>231.1</v>
      </c>
      <c r="L15563">
        <v>46.96</v>
      </c>
      <c r="M15563">
        <v>46554</v>
      </c>
      <c r="N15563" t="s">
        <v>102</v>
      </c>
      <c r="O15563">
        <v>251110</v>
      </c>
      <c r="P15563">
        <v>184.14</v>
      </c>
    </row>
    <row r="15564" spans="1:16" x14ac:dyDescent="0.25">
      <c r="A15564" t="s">
        <v>3296</v>
      </c>
      <c r="B15564" t="s">
        <v>2931</v>
      </c>
      <c r="C15564">
        <v>15515</v>
      </c>
      <c r="D15564" t="str">
        <f>"CD503486    "</f>
        <v xml:space="preserve">CD503486    </v>
      </c>
      <c r="E15564" t="s">
        <v>710</v>
      </c>
      <c r="F15564" t="s">
        <v>711</v>
      </c>
      <c r="G15564">
        <v>203.7</v>
      </c>
      <c r="H15564">
        <v>251103</v>
      </c>
      <c r="I15564">
        <v>4600</v>
      </c>
      <c r="J15564" t="s">
        <v>278</v>
      </c>
      <c r="K15564">
        <v>203.7</v>
      </c>
      <c r="L15564">
        <v>41.39</v>
      </c>
      <c r="M15564">
        <v>46554</v>
      </c>
      <c r="N15564" t="s">
        <v>102</v>
      </c>
      <c r="O15564">
        <v>251121</v>
      </c>
      <c r="P15564">
        <v>162.31</v>
      </c>
    </row>
    <row r="15565" spans="1:16" x14ac:dyDescent="0.25">
      <c r="A15565" t="s">
        <v>3296</v>
      </c>
      <c r="B15565" t="s">
        <v>2931</v>
      </c>
      <c r="C15565">
        <v>15955</v>
      </c>
      <c r="D15565" t="str">
        <f>"CD503704    "</f>
        <v xml:space="preserve">CD503704    </v>
      </c>
      <c r="E15565" t="s">
        <v>710</v>
      </c>
      <c r="F15565" t="s">
        <v>711</v>
      </c>
      <c r="G15565">
        <v>166.9</v>
      </c>
      <c r="H15565">
        <v>251110</v>
      </c>
      <c r="I15565">
        <v>4600</v>
      </c>
      <c r="J15565" t="s">
        <v>278</v>
      </c>
      <c r="K15565">
        <v>166.9</v>
      </c>
      <c r="L15565">
        <v>33.909999999999997</v>
      </c>
      <c r="M15565">
        <v>46554</v>
      </c>
      <c r="N15565" t="s">
        <v>102</v>
      </c>
      <c r="O15565">
        <v>251201</v>
      </c>
      <c r="P15565">
        <v>132.99</v>
      </c>
    </row>
    <row r="15566" spans="1:16" x14ac:dyDescent="0.25">
      <c r="A15566" t="s">
        <v>3296</v>
      </c>
      <c r="B15566" t="s">
        <v>2931</v>
      </c>
      <c r="C15566">
        <v>17080</v>
      </c>
      <c r="D15566" t="str">
        <f>"8811        "</f>
        <v xml:space="preserve">8811        </v>
      </c>
      <c r="E15566" t="s">
        <v>2728</v>
      </c>
      <c r="F15566" t="s">
        <v>2729</v>
      </c>
      <c r="G15566">
        <v>398</v>
      </c>
      <c r="H15566">
        <v>251212</v>
      </c>
      <c r="I15566">
        <v>4410</v>
      </c>
      <c r="J15566" t="s">
        <v>165</v>
      </c>
      <c r="K15566">
        <v>398</v>
      </c>
      <c r="L15566">
        <v>48.88</v>
      </c>
      <c r="M15566">
        <v>18972</v>
      </c>
      <c r="N15566" t="s">
        <v>39</v>
      </c>
      <c r="O15566">
        <v>251217</v>
      </c>
      <c r="P15566">
        <v>349.12</v>
      </c>
    </row>
    <row r="15567" spans="1:16" x14ac:dyDescent="0.25">
      <c r="A15567" t="s">
        <v>3296</v>
      </c>
      <c r="B15567" t="s">
        <v>2931</v>
      </c>
      <c r="C15567">
        <v>173</v>
      </c>
      <c r="D15567" t="str">
        <f>"1412        "</f>
        <v xml:space="preserve">1412        </v>
      </c>
      <c r="E15567" t="s">
        <v>287</v>
      </c>
      <c r="F15567" t="s">
        <v>288</v>
      </c>
      <c r="G15567">
        <v>6882.42</v>
      </c>
      <c r="H15567">
        <v>250107</v>
      </c>
      <c r="I15567">
        <v>4367</v>
      </c>
      <c r="J15567" t="s">
        <v>159</v>
      </c>
      <c r="K15567">
        <v>6882.42</v>
      </c>
      <c r="L15567">
        <v>1398.42</v>
      </c>
      <c r="M15567">
        <v>11301</v>
      </c>
      <c r="N15567" t="s">
        <v>92</v>
      </c>
      <c r="O15567">
        <v>250115</v>
      </c>
      <c r="P15567">
        <v>5484</v>
      </c>
    </row>
    <row r="15568" spans="1:16" x14ac:dyDescent="0.25">
      <c r="A15568" t="s">
        <v>3296</v>
      </c>
      <c r="B15568" t="s">
        <v>2931</v>
      </c>
      <c r="C15568">
        <v>4454</v>
      </c>
      <c r="D15568" t="str">
        <f>"1451        "</f>
        <v xml:space="preserve">1451        </v>
      </c>
      <c r="E15568" t="s">
        <v>287</v>
      </c>
      <c r="F15568" t="s">
        <v>288</v>
      </c>
      <c r="G15568">
        <v>745.47</v>
      </c>
      <c r="H15568">
        <v>250401</v>
      </c>
      <c r="I15568">
        <v>4367</v>
      </c>
      <c r="J15568" t="s">
        <v>159</v>
      </c>
      <c r="K15568">
        <v>745.47</v>
      </c>
      <c r="L15568">
        <v>151.47</v>
      </c>
      <c r="M15568">
        <v>11301</v>
      </c>
      <c r="N15568" t="s">
        <v>92</v>
      </c>
      <c r="O15568">
        <v>250411</v>
      </c>
      <c r="P15568">
        <v>594</v>
      </c>
    </row>
    <row r="15569" spans="1:16" x14ac:dyDescent="0.25">
      <c r="A15569" t="s">
        <v>3296</v>
      </c>
      <c r="B15569" t="s">
        <v>2931</v>
      </c>
      <c r="C15569">
        <v>1508</v>
      </c>
      <c r="D15569" t="str">
        <f>"543968      "</f>
        <v xml:space="preserve">543968      </v>
      </c>
      <c r="E15569" t="s">
        <v>1016</v>
      </c>
      <c r="F15569" t="s">
        <v>1018</v>
      </c>
      <c r="G15569">
        <v>5237.12</v>
      </c>
      <c r="H15569">
        <v>250131</v>
      </c>
      <c r="I15569">
        <v>1196</v>
      </c>
      <c r="J15569" t="s">
        <v>340</v>
      </c>
      <c r="K15569">
        <v>15368.73</v>
      </c>
      <c r="L15569">
        <v>1064.1199999999999</v>
      </c>
      <c r="M15569">
        <v>97701</v>
      </c>
      <c r="N15569" t="s">
        <v>1017</v>
      </c>
      <c r="O15569">
        <v>250210</v>
      </c>
      <c r="P15569">
        <v>4173</v>
      </c>
    </row>
    <row r="15570" spans="1:16" x14ac:dyDescent="0.25">
      <c r="A15570" t="s">
        <v>3296</v>
      </c>
      <c r="B15570" t="s">
        <v>2931</v>
      </c>
      <c r="C15570">
        <v>1508</v>
      </c>
      <c r="D15570" t="str">
        <f>"543968      "</f>
        <v xml:space="preserve">543968      </v>
      </c>
      <c r="E15570" t="s">
        <v>1016</v>
      </c>
      <c r="F15570" t="s">
        <v>1018</v>
      </c>
      <c r="G15570">
        <v>4209.2700000000004</v>
      </c>
      <c r="H15570">
        <v>250131</v>
      </c>
      <c r="I15570">
        <v>1196</v>
      </c>
      <c r="J15570" t="s">
        <v>340</v>
      </c>
      <c r="K15570">
        <v>15368.73</v>
      </c>
      <c r="L15570">
        <v>855.27</v>
      </c>
      <c r="M15570">
        <v>97701</v>
      </c>
      <c r="N15570" t="s">
        <v>1017</v>
      </c>
      <c r="O15570">
        <v>250210</v>
      </c>
      <c r="P15570">
        <v>3354</v>
      </c>
    </row>
    <row r="15571" spans="1:16" x14ac:dyDescent="0.25">
      <c r="A15571" t="s">
        <v>3296</v>
      </c>
      <c r="B15571" t="s">
        <v>2931</v>
      </c>
      <c r="C15571">
        <v>1508</v>
      </c>
      <c r="D15571" t="str">
        <f>"543968      "</f>
        <v xml:space="preserve">543968      </v>
      </c>
      <c r="E15571" t="s">
        <v>1016</v>
      </c>
      <c r="F15571" t="s">
        <v>1018</v>
      </c>
      <c r="G15571">
        <v>5922.34</v>
      </c>
      <c r="H15571">
        <v>250131</v>
      </c>
      <c r="I15571">
        <v>1196</v>
      </c>
      <c r="J15571" t="s">
        <v>340</v>
      </c>
      <c r="K15571">
        <v>15368.73</v>
      </c>
      <c r="L15571">
        <v>1203.3399999999999</v>
      </c>
      <c r="M15571">
        <v>97701</v>
      </c>
      <c r="N15571" t="s">
        <v>1017</v>
      </c>
      <c r="O15571">
        <v>250210</v>
      </c>
      <c r="P15571">
        <v>4719</v>
      </c>
    </row>
    <row r="15572" spans="1:16" x14ac:dyDescent="0.25">
      <c r="A15572" t="s">
        <v>3296</v>
      </c>
      <c r="B15572" t="s">
        <v>2931</v>
      </c>
      <c r="C15572">
        <v>3130</v>
      </c>
      <c r="D15572" t="str">
        <f>"544391      "</f>
        <v xml:space="preserve">544391      </v>
      </c>
      <c r="E15572" t="s">
        <v>1016</v>
      </c>
      <c r="F15572" t="s">
        <v>1018</v>
      </c>
      <c r="G15572">
        <v>6656.52</v>
      </c>
      <c r="H15572">
        <v>250228</v>
      </c>
      <c r="I15572">
        <v>1196</v>
      </c>
      <c r="J15572" t="s">
        <v>340</v>
      </c>
      <c r="K15572">
        <v>22221.03</v>
      </c>
      <c r="L15572">
        <v>1352.52</v>
      </c>
      <c r="M15572">
        <v>97701</v>
      </c>
      <c r="N15572" t="s">
        <v>1017</v>
      </c>
      <c r="O15572">
        <v>250314</v>
      </c>
      <c r="P15572">
        <v>5304</v>
      </c>
    </row>
    <row r="15573" spans="1:16" x14ac:dyDescent="0.25">
      <c r="A15573" t="s">
        <v>3296</v>
      </c>
      <c r="B15573" t="s">
        <v>2931</v>
      </c>
      <c r="C15573">
        <v>3130</v>
      </c>
      <c r="D15573" t="str">
        <f>"544391      "</f>
        <v xml:space="preserve">544391      </v>
      </c>
      <c r="E15573" t="s">
        <v>1016</v>
      </c>
      <c r="F15573" t="s">
        <v>1018</v>
      </c>
      <c r="G15573">
        <v>8516.43</v>
      </c>
      <c r="H15573">
        <v>250228</v>
      </c>
      <c r="I15573">
        <v>1196</v>
      </c>
      <c r="J15573" t="s">
        <v>340</v>
      </c>
      <c r="K15573">
        <v>22221.03</v>
      </c>
      <c r="L15573">
        <v>1730.43</v>
      </c>
      <c r="M15573">
        <v>97701</v>
      </c>
      <c r="N15573" t="s">
        <v>1017</v>
      </c>
      <c r="O15573">
        <v>250314</v>
      </c>
      <c r="P15573">
        <v>6786</v>
      </c>
    </row>
    <row r="15574" spans="1:16" x14ac:dyDescent="0.25">
      <c r="A15574" t="s">
        <v>3296</v>
      </c>
      <c r="B15574" t="s">
        <v>2931</v>
      </c>
      <c r="C15574">
        <v>3130</v>
      </c>
      <c r="D15574" t="str">
        <f>"544391      "</f>
        <v xml:space="preserve">544391      </v>
      </c>
      <c r="E15574" t="s">
        <v>1016</v>
      </c>
      <c r="F15574" t="s">
        <v>1018</v>
      </c>
      <c r="G15574">
        <v>7048.08</v>
      </c>
      <c r="H15574">
        <v>250228</v>
      </c>
      <c r="I15574">
        <v>1196</v>
      </c>
      <c r="J15574" t="s">
        <v>340</v>
      </c>
      <c r="K15574">
        <v>22221.03</v>
      </c>
      <c r="L15574">
        <v>1432.08</v>
      </c>
      <c r="M15574">
        <v>97701</v>
      </c>
      <c r="N15574" t="s">
        <v>1017</v>
      </c>
      <c r="O15574">
        <v>250314</v>
      </c>
      <c r="P15574">
        <v>5616</v>
      </c>
    </row>
    <row r="15575" spans="1:16" x14ac:dyDescent="0.25">
      <c r="A15575" t="s">
        <v>3296</v>
      </c>
      <c r="B15575" t="s">
        <v>2931</v>
      </c>
      <c r="C15575">
        <v>5163</v>
      </c>
      <c r="D15575" t="str">
        <f>"544744      "</f>
        <v xml:space="preserve">544744      </v>
      </c>
      <c r="E15575" t="s">
        <v>1016</v>
      </c>
      <c r="F15575" t="s">
        <v>1018</v>
      </c>
      <c r="G15575">
        <v>10180.57</v>
      </c>
      <c r="H15575">
        <v>250331</v>
      </c>
      <c r="I15575">
        <v>1196</v>
      </c>
      <c r="J15575" t="s">
        <v>340</v>
      </c>
      <c r="K15575">
        <v>25451.4</v>
      </c>
      <c r="L15575">
        <v>2068.56</v>
      </c>
      <c r="M15575">
        <v>97701</v>
      </c>
      <c r="N15575" t="s">
        <v>1017</v>
      </c>
      <c r="O15575">
        <v>250417</v>
      </c>
      <c r="P15575">
        <v>8112.01</v>
      </c>
    </row>
    <row r="15576" spans="1:16" x14ac:dyDescent="0.25">
      <c r="A15576" t="s">
        <v>3296</v>
      </c>
      <c r="B15576" t="s">
        <v>2931</v>
      </c>
      <c r="C15576">
        <v>5163</v>
      </c>
      <c r="D15576" t="str">
        <f>"544744      "</f>
        <v xml:space="preserve">544744      </v>
      </c>
      <c r="E15576" t="s">
        <v>1016</v>
      </c>
      <c r="F15576" t="s">
        <v>1018</v>
      </c>
      <c r="G15576">
        <v>6020.23</v>
      </c>
      <c r="H15576">
        <v>250331</v>
      </c>
      <c r="I15576">
        <v>1196</v>
      </c>
      <c r="J15576" t="s">
        <v>340</v>
      </c>
      <c r="K15576">
        <v>25451.4</v>
      </c>
      <c r="L15576">
        <v>1223.23</v>
      </c>
      <c r="M15576">
        <v>97701</v>
      </c>
      <c r="N15576" t="s">
        <v>1017</v>
      </c>
      <c r="O15576">
        <v>250417</v>
      </c>
      <c r="P15576">
        <v>4797</v>
      </c>
    </row>
    <row r="15577" spans="1:16" x14ac:dyDescent="0.25">
      <c r="A15577" t="s">
        <v>3296</v>
      </c>
      <c r="B15577" t="s">
        <v>2931</v>
      </c>
      <c r="C15577">
        <v>5163</v>
      </c>
      <c r="D15577" t="str">
        <f>"544744      "</f>
        <v xml:space="preserve">544744      </v>
      </c>
      <c r="E15577" t="s">
        <v>1016</v>
      </c>
      <c r="F15577" t="s">
        <v>1018</v>
      </c>
      <c r="G15577">
        <v>9201.66</v>
      </c>
      <c r="H15577">
        <v>250331</v>
      </c>
      <c r="I15577">
        <v>1196</v>
      </c>
      <c r="J15577" t="s">
        <v>340</v>
      </c>
      <c r="K15577">
        <v>25451.4</v>
      </c>
      <c r="L15577">
        <v>1869.66</v>
      </c>
      <c r="M15577">
        <v>97701</v>
      </c>
      <c r="N15577" t="s">
        <v>1017</v>
      </c>
      <c r="O15577">
        <v>250417</v>
      </c>
      <c r="P15577">
        <v>7332</v>
      </c>
    </row>
    <row r="15578" spans="1:16" x14ac:dyDescent="0.25">
      <c r="A15578" t="s">
        <v>3296</v>
      </c>
      <c r="B15578" t="s">
        <v>2931</v>
      </c>
      <c r="C15578">
        <v>5163</v>
      </c>
      <c r="D15578" t="str">
        <f>"544744      "</f>
        <v xml:space="preserve">544744      </v>
      </c>
      <c r="E15578" t="s">
        <v>1016</v>
      </c>
      <c r="F15578" t="s">
        <v>1018</v>
      </c>
      <c r="G15578">
        <v>48.94</v>
      </c>
      <c r="H15578">
        <v>250331</v>
      </c>
      <c r="I15578">
        <v>1196</v>
      </c>
      <c r="J15578" t="s">
        <v>340</v>
      </c>
      <c r="K15578">
        <v>25451.4</v>
      </c>
      <c r="L15578">
        <v>9.94</v>
      </c>
      <c r="M15578">
        <v>97701</v>
      </c>
      <c r="N15578" t="s">
        <v>1017</v>
      </c>
      <c r="O15578">
        <v>250417</v>
      </c>
      <c r="P15578">
        <v>39</v>
      </c>
    </row>
    <row r="15579" spans="1:16" x14ac:dyDescent="0.25">
      <c r="A15579" t="s">
        <v>3296</v>
      </c>
      <c r="B15579" t="s">
        <v>2931</v>
      </c>
      <c r="C15579">
        <v>6604</v>
      </c>
      <c r="D15579" t="str">
        <f>"545400      "</f>
        <v xml:space="preserve">545400      </v>
      </c>
      <c r="E15579" t="s">
        <v>1016</v>
      </c>
      <c r="F15579" t="s">
        <v>1018</v>
      </c>
      <c r="G15579">
        <v>13285.45</v>
      </c>
      <c r="H15579">
        <v>250430</v>
      </c>
      <c r="I15579">
        <v>1196</v>
      </c>
      <c r="J15579" t="s">
        <v>340</v>
      </c>
      <c r="K15579">
        <v>29040.44</v>
      </c>
      <c r="L15579">
        <v>2699.43</v>
      </c>
      <c r="M15579">
        <v>97701</v>
      </c>
      <c r="N15579" t="s">
        <v>1017</v>
      </c>
      <c r="O15579">
        <v>250514</v>
      </c>
      <c r="P15579">
        <v>10586.02</v>
      </c>
    </row>
    <row r="15580" spans="1:16" x14ac:dyDescent="0.25">
      <c r="A15580" t="s">
        <v>3296</v>
      </c>
      <c r="B15580" t="s">
        <v>2931</v>
      </c>
      <c r="C15580">
        <v>6604</v>
      </c>
      <c r="D15580" t="str">
        <f>"545400      "</f>
        <v xml:space="preserve">545400      </v>
      </c>
      <c r="E15580" t="s">
        <v>1016</v>
      </c>
      <c r="F15580" t="s">
        <v>1018</v>
      </c>
      <c r="G15580">
        <v>5304.25</v>
      </c>
      <c r="H15580">
        <v>250430</v>
      </c>
      <c r="I15580">
        <v>1196</v>
      </c>
      <c r="J15580" t="s">
        <v>340</v>
      </c>
      <c r="K15580">
        <v>29040.44</v>
      </c>
      <c r="L15580">
        <v>1077.76</v>
      </c>
      <c r="M15580">
        <v>97701</v>
      </c>
      <c r="N15580" t="s">
        <v>1017</v>
      </c>
      <c r="O15580">
        <v>250514</v>
      </c>
      <c r="P15580">
        <v>4226.49</v>
      </c>
    </row>
    <row r="15581" spans="1:16" x14ac:dyDescent="0.25">
      <c r="A15581" t="s">
        <v>3296</v>
      </c>
      <c r="B15581" t="s">
        <v>2931</v>
      </c>
      <c r="C15581">
        <v>6604</v>
      </c>
      <c r="D15581" t="str">
        <f>"545400      "</f>
        <v xml:space="preserve">545400      </v>
      </c>
      <c r="E15581" t="s">
        <v>1016</v>
      </c>
      <c r="F15581" t="s">
        <v>1018</v>
      </c>
      <c r="G15581">
        <v>8030.74</v>
      </c>
      <c r="H15581">
        <v>250430</v>
      </c>
      <c r="I15581">
        <v>1196</v>
      </c>
      <c r="J15581" t="s">
        <v>340</v>
      </c>
      <c r="K15581">
        <v>29040.44</v>
      </c>
      <c r="L15581">
        <v>1631.74</v>
      </c>
      <c r="M15581">
        <v>97701</v>
      </c>
      <c r="N15581" t="s">
        <v>1017</v>
      </c>
      <c r="O15581">
        <v>250514</v>
      </c>
      <c r="P15581">
        <v>6399</v>
      </c>
    </row>
    <row r="15582" spans="1:16" x14ac:dyDescent="0.25">
      <c r="A15582" t="s">
        <v>3296</v>
      </c>
      <c r="B15582" t="s">
        <v>2931</v>
      </c>
      <c r="C15582">
        <v>6604</v>
      </c>
      <c r="D15582" t="str">
        <f>"545400      "</f>
        <v xml:space="preserve">545400      </v>
      </c>
      <c r="E15582" t="s">
        <v>1016</v>
      </c>
      <c r="F15582" t="s">
        <v>1018</v>
      </c>
      <c r="G15582">
        <v>2420</v>
      </c>
      <c r="H15582">
        <v>250430</v>
      </c>
      <c r="I15582">
        <v>1196</v>
      </c>
      <c r="J15582" t="s">
        <v>340</v>
      </c>
      <c r="K15582">
        <v>29040.44</v>
      </c>
      <c r="L15582">
        <v>491.71</v>
      </c>
      <c r="M15582">
        <v>97701</v>
      </c>
      <c r="N15582" t="s">
        <v>1017</v>
      </c>
      <c r="O15582">
        <v>250514</v>
      </c>
      <c r="P15582">
        <v>1928.29</v>
      </c>
    </row>
    <row r="15583" spans="1:16" x14ac:dyDescent="0.25">
      <c r="A15583" t="s">
        <v>3296</v>
      </c>
      <c r="B15583" t="s">
        <v>2931</v>
      </c>
      <c r="C15583">
        <v>8711</v>
      </c>
      <c r="D15583" t="str">
        <f>"545859      "</f>
        <v xml:space="preserve">545859      </v>
      </c>
      <c r="E15583" t="s">
        <v>1016</v>
      </c>
      <c r="F15583" t="s">
        <v>1018</v>
      </c>
      <c r="G15583">
        <v>23001.65</v>
      </c>
      <c r="H15583">
        <v>250531</v>
      </c>
      <c r="I15583">
        <v>1196</v>
      </c>
      <c r="J15583" t="s">
        <v>340</v>
      </c>
      <c r="K15583">
        <v>33560.58</v>
      </c>
      <c r="L15583">
        <v>4673.6400000000003</v>
      </c>
      <c r="M15583">
        <v>97701</v>
      </c>
      <c r="N15583" t="s">
        <v>1017</v>
      </c>
      <c r="O15583">
        <v>250617</v>
      </c>
      <c r="P15583">
        <v>18328.009999999998</v>
      </c>
    </row>
    <row r="15584" spans="1:16" x14ac:dyDescent="0.25">
      <c r="A15584" t="s">
        <v>3296</v>
      </c>
      <c r="B15584" t="s">
        <v>2931</v>
      </c>
      <c r="C15584">
        <v>8711</v>
      </c>
      <c r="D15584" t="str">
        <f>"545859      "</f>
        <v xml:space="preserve">545859      </v>
      </c>
      <c r="E15584" t="s">
        <v>1016</v>
      </c>
      <c r="F15584" t="s">
        <v>1018</v>
      </c>
      <c r="G15584">
        <v>8278.6</v>
      </c>
      <c r="H15584">
        <v>250531</v>
      </c>
      <c r="I15584">
        <v>1196</v>
      </c>
      <c r="J15584" t="s">
        <v>340</v>
      </c>
      <c r="K15584">
        <v>33560.58</v>
      </c>
      <c r="L15584">
        <v>1682.11</v>
      </c>
      <c r="M15584">
        <v>97701</v>
      </c>
      <c r="N15584" t="s">
        <v>1017</v>
      </c>
      <c r="O15584">
        <v>250617</v>
      </c>
      <c r="P15584">
        <v>6596.49</v>
      </c>
    </row>
    <row r="15585" spans="1:16" x14ac:dyDescent="0.25">
      <c r="A15585" t="s">
        <v>3296</v>
      </c>
      <c r="B15585" t="s">
        <v>2931</v>
      </c>
      <c r="C15585">
        <v>8711</v>
      </c>
      <c r="D15585" t="str">
        <f>"545859      "</f>
        <v xml:space="preserve">545859      </v>
      </c>
      <c r="E15585" t="s">
        <v>1016</v>
      </c>
      <c r="F15585" t="s">
        <v>1018</v>
      </c>
      <c r="G15585">
        <v>2280.33</v>
      </c>
      <c r="H15585">
        <v>250531</v>
      </c>
      <c r="I15585">
        <v>1196</v>
      </c>
      <c r="J15585" t="s">
        <v>340</v>
      </c>
      <c r="K15585">
        <v>33560.58</v>
      </c>
      <c r="L15585">
        <v>463.33</v>
      </c>
      <c r="M15585">
        <v>97701</v>
      </c>
      <c r="N15585" t="s">
        <v>1017</v>
      </c>
      <c r="O15585">
        <v>250617</v>
      </c>
      <c r="P15585">
        <v>1817</v>
      </c>
    </row>
    <row r="15586" spans="1:16" x14ac:dyDescent="0.25">
      <c r="A15586" t="s">
        <v>3296</v>
      </c>
      <c r="B15586" t="s">
        <v>2931</v>
      </c>
      <c r="C15586">
        <v>9532</v>
      </c>
      <c r="D15586" t="str">
        <f>"546418      "</f>
        <v xml:space="preserve">546418      </v>
      </c>
      <c r="E15586" t="s">
        <v>1016</v>
      </c>
      <c r="F15586" t="s">
        <v>1018</v>
      </c>
      <c r="G15586">
        <v>10905.95</v>
      </c>
      <c r="H15586">
        <v>250630</v>
      </c>
      <c r="I15586">
        <v>1196</v>
      </c>
      <c r="J15586" t="s">
        <v>340</v>
      </c>
      <c r="K15586">
        <v>15516.19</v>
      </c>
      <c r="L15586">
        <v>2215.9499999999998</v>
      </c>
      <c r="M15586">
        <v>97701</v>
      </c>
      <c r="N15586" t="s">
        <v>1017</v>
      </c>
      <c r="O15586">
        <v>250709</v>
      </c>
      <c r="P15586">
        <v>8690</v>
      </c>
    </row>
    <row r="15587" spans="1:16" x14ac:dyDescent="0.25">
      <c r="A15587" t="s">
        <v>3296</v>
      </c>
      <c r="B15587" t="s">
        <v>2931</v>
      </c>
      <c r="C15587">
        <v>9532</v>
      </c>
      <c r="D15587" t="str">
        <f>"546418      "</f>
        <v xml:space="preserve">546418      </v>
      </c>
      <c r="E15587" t="s">
        <v>1016</v>
      </c>
      <c r="F15587" t="s">
        <v>1018</v>
      </c>
      <c r="G15587">
        <v>3370.93</v>
      </c>
      <c r="H15587">
        <v>250630</v>
      </c>
      <c r="I15587">
        <v>1196</v>
      </c>
      <c r="J15587" t="s">
        <v>340</v>
      </c>
      <c r="K15587">
        <v>15516.19</v>
      </c>
      <c r="L15587">
        <v>684.93</v>
      </c>
      <c r="M15587">
        <v>97701</v>
      </c>
      <c r="N15587" t="s">
        <v>1017</v>
      </c>
      <c r="O15587">
        <v>250709</v>
      </c>
      <c r="P15587">
        <v>2686</v>
      </c>
    </row>
    <row r="15588" spans="1:16" x14ac:dyDescent="0.25">
      <c r="A15588" t="s">
        <v>3296</v>
      </c>
      <c r="B15588" t="s">
        <v>2931</v>
      </c>
      <c r="C15588">
        <v>9532</v>
      </c>
      <c r="D15588" t="str">
        <f>"546418      "</f>
        <v xml:space="preserve">546418      </v>
      </c>
      <c r="E15588" t="s">
        <v>1016</v>
      </c>
      <c r="F15588" t="s">
        <v>1018</v>
      </c>
      <c r="G15588">
        <v>1041.02</v>
      </c>
      <c r="H15588">
        <v>250630</v>
      </c>
      <c r="I15588">
        <v>1196</v>
      </c>
      <c r="J15588" t="s">
        <v>340</v>
      </c>
      <c r="K15588">
        <v>15516.19</v>
      </c>
      <c r="L15588">
        <v>211.52</v>
      </c>
      <c r="M15588">
        <v>97701</v>
      </c>
      <c r="N15588" t="s">
        <v>1017</v>
      </c>
      <c r="O15588">
        <v>250709</v>
      </c>
      <c r="P15588">
        <v>829.5</v>
      </c>
    </row>
    <row r="15589" spans="1:16" x14ac:dyDescent="0.25">
      <c r="A15589" t="s">
        <v>3296</v>
      </c>
      <c r="B15589" t="s">
        <v>2931</v>
      </c>
      <c r="C15589">
        <v>9532</v>
      </c>
      <c r="D15589" t="str">
        <f>"546418      "</f>
        <v xml:space="preserve">546418      </v>
      </c>
      <c r="E15589" t="s">
        <v>1016</v>
      </c>
      <c r="F15589" t="s">
        <v>1018</v>
      </c>
      <c r="G15589">
        <v>198.29</v>
      </c>
      <c r="H15589">
        <v>250630</v>
      </c>
      <c r="I15589">
        <v>1196</v>
      </c>
      <c r="J15589" t="s">
        <v>340</v>
      </c>
      <c r="K15589">
        <v>15516.19</v>
      </c>
      <c r="L15589">
        <v>40.29</v>
      </c>
      <c r="M15589">
        <v>97701</v>
      </c>
      <c r="N15589" t="s">
        <v>1017</v>
      </c>
      <c r="O15589">
        <v>250709</v>
      </c>
      <c r="P15589">
        <v>158</v>
      </c>
    </row>
    <row r="15590" spans="1:16" x14ac:dyDescent="0.25">
      <c r="A15590" t="s">
        <v>3296</v>
      </c>
      <c r="B15590" t="s">
        <v>2931</v>
      </c>
      <c r="C15590">
        <v>10369</v>
      </c>
      <c r="D15590" t="str">
        <f>"546757      "</f>
        <v xml:space="preserve">546757      </v>
      </c>
      <c r="E15590" t="s">
        <v>1016</v>
      </c>
      <c r="F15590" t="s">
        <v>1018</v>
      </c>
      <c r="G15590">
        <v>6196.57</v>
      </c>
      <c r="H15590">
        <v>250731</v>
      </c>
      <c r="I15590">
        <v>1196</v>
      </c>
      <c r="J15590" t="s">
        <v>340</v>
      </c>
      <c r="K15590">
        <v>15792.29</v>
      </c>
      <c r="L15590">
        <v>1259.06</v>
      </c>
      <c r="M15590">
        <v>97701</v>
      </c>
      <c r="N15590" t="s">
        <v>1017</v>
      </c>
      <c r="O15590">
        <v>250818</v>
      </c>
      <c r="P15590">
        <v>4937.51</v>
      </c>
    </row>
    <row r="15591" spans="1:16" x14ac:dyDescent="0.25">
      <c r="A15591" t="s">
        <v>3296</v>
      </c>
      <c r="B15591" t="s">
        <v>2931</v>
      </c>
      <c r="C15591">
        <v>10369</v>
      </c>
      <c r="D15591" t="str">
        <f>"546757      "</f>
        <v xml:space="preserve">546757      </v>
      </c>
      <c r="E15591" t="s">
        <v>1016</v>
      </c>
      <c r="F15591" t="s">
        <v>1018</v>
      </c>
      <c r="G15591">
        <v>3866.65</v>
      </c>
      <c r="H15591">
        <v>250731</v>
      </c>
      <c r="I15591">
        <v>1196</v>
      </c>
      <c r="J15591" t="s">
        <v>340</v>
      </c>
      <c r="K15591">
        <v>15792.29</v>
      </c>
      <c r="L15591">
        <v>785.65</v>
      </c>
      <c r="M15591">
        <v>97701</v>
      </c>
      <c r="N15591" t="s">
        <v>1017</v>
      </c>
      <c r="O15591">
        <v>250818</v>
      </c>
      <c r="P15591">
        <v>3081</v>
      </c>
    </row>
    <row r="15592" spans="1:16" x14ac:dyDescent="0.25">
      <c r="A15592" t="s">
        <v>3296</v>
      </c>
      <c r="B15592" t="s">
        <v>2931</v>
      </c>
      <c r="C15592">
        <v>10369</v>
      </c>
      <c r="D15592" t="str">
        <f>"546757      "</f>
        <v xml:space="preserve">546757      </v>
      </c>
      <c r="E15592" t="s">
        <v>1016</v>
      </c>
      <c r="F15592" t="s">
        <v>1018</v>
      </c>
      <c r="G15592">
        <v>5729.07</v>
      </c>
      <c r="H15592">
        <v>250731</v>
      </c>
      <c r="I15592">
        <v>1196</v>
      </c>
      <c r="J15592" t="s">
        <v>340</v>
      </c>
      <c r="K15592">
        <v>15792.29</v>
      </c>
      <c r="L15592">
        <v>1164.07</v>
      </c>
      <c r="M15592">
        <v>97701</v>
      </c>
      <c r="N15592" t="s">
        <v>1017</v>
      </c>
      <c r="O15592">
        <v>250818</v>
      </c>
      <c r="P15592">
        <v>4565</v>
      </c>
    </row>
    <row r="15593" spans="1:16" x14ac:dyDescent="0.25">
      <c r="A15593" t="s">
        <v>3296</v>
      </c>
      <c r="B15593" t="s">
        <v>2931</v>
      </c>
      <c r="C15593">
        <v>12007</v>
      </c>
      <c r="D15593" t="str">
        <f>"547123      "</f>
        <v xml:space="preserve">547123      </v>
      </c>
      <c r="E15593" t="s">
        <v>1016</v>
      </c>
      <c r="F15593" t="s">
        <v>1018</v>
      </c>
      <c r="G15593">
        <v>13929.87</v>
      </c>
      <c r="H15593">
        <v>250831</v>
      </c>
      <c r="I15593">
        <v>1196</v>
      </c>
      <c r="J15593" t="s">
        <v>340</v>
      </c>
      <c r="K15593">
        <v>63404.800000000003</v>
      </c>
      <c r="L15593">
        <v>2830.37</v>
      </c>
      <c r="M15593">
        <v>97701</v>
      </c>
      <c r="N15593" t="s">
        <v>1017</v>
      </c>
      <c r="O15593">
        <v>250915</v>
      </c>
      <c r="P15593">
        <v>11099.5</v>
      </c>
    </row>
    <row r="15594" spans="1:16" x14ac:dyDescent="0.25">
      <c r="A15594" t="s">
        <v>3296</v>
      </c>
      <c r="B15594" t="s">
        <v>2931</v>
      </c>
      <c r="C15594">
        <v>12007</v>
      </c>
      <c r="D15594" t="str">
        <f>"547123      "</f>
        <v xml:space="preserve">547123      </v>
      </c>
      <c r="E15594" t="s">
        <v>1016</v>
      </c>
      <c r="F15594" t="s">
        <v>1018</v>
      </c>
      <c r="G15594">
        <v>37428.81</v>
      </c>
      <c r="H15594">
        <v>250831</v>
      </c>
      <c r="I15594">
        <v>1196</v>
      </c>
      <c r="J15594" t="s">
        <v>340</v>
      </c>
      <c r="K15594">
        <v>63404.800000000003</v>
      </c>
      <c r="L15594">
        <v>7605.06</v>
      </c>
      <c r="M15594">
        <v>97701</v>
      </c>
      <c r="N15594" t="s">
        <v>1017</v>
      </c>
      <c r="O15594">
        <v>250915</v>
      </c>
      <c r="P15594">
        <v>29823.75</v>
      </c>
    </row>
    <row r="15595" spans="1:16" x14ac:dyDescent="0.25">
      <c r="A15595" t="s">
        <v>3296</v>
      </c>
      <c r="B15595" t="s">
        <v>2931</v>
      </c>
      <c r="C15595">
        <v>12007</v>
      </c>
      <c r="D15595" t="str">
        <f>"547123      "</f>
        <v xml:space="preserve">547123      </v>
      </c>
      <c r="E15595" t="s">
        <v>1016</v>
      </c>
      <c r="F15595" t="s">
        <v>1018</v>
      </c>
      <c r="G15595">
        <v>8476.9</v>
      </c>
      <c r="H15595">
        <v>250831</v>
      </c>
      <c r="I15595">
        <v>1196</v>
      </c>
      <c r="J15595" t="s">
        <v>340</v>
      </c>
      <c r="K15595">
        <v>63404.800000000003</v>
      </c>
      <c r="L15595">
        <v>1722.4</v>
      </c>
      <c r="M15595">
        <v>97701</v>
      </c>
      <c r="N15595" t="s">
        <v>1017</v>
      </c>
      <c r="O15595">
        <v>250915</v>
      </c>
      <c r="P15595">
        <v>6754.5</v>
      </c>
    </row>
    <row r="15596" spans="1:16" x14ac:dyDescent="0.25">
      <c r="A15596" t="s">
        <v>3296</v>
      </c>
      <c r="B15596" t="s">
        <v>2931</v>
      </c>
      <c r="C15596">
        <v>12007</v>
      </c>
      <c r="D15596" t="str">
        <f>"547123      "</f>
        <v xml:space="preserve">547123      </v>
      </c>
      <c r="E15596" t="s">
        <v>1016</v>
      </c>
      <c r="F15596" t="s">
        <v>1018</v>
      </c>
      <c r="G15596">
        <v>3569.22</v>
      </c>
      <c r="H15596">
        <v>250831</v>
      </c>
      <c r="I15596">
        <v>1196</v>
      </c>
      <c r="J15596" t="s">
        <v>340</v>
      </c>
      <c r="K15596">
        <v>63404.800000000003</v>
      </c>
      <c r="L15596">
        <v>725.22</v>
      </c>
      <c r="M15596">
        <v>97701</v>
      </c>
      <c r="N15596" t="s">
        <v>1017</v>
      </c>
      <c r="O15596">
        <v>250915</v>
      </c>
      <c r="P15596">
        <v>2844</v>
      </c>
    </row>
    <row r="15597" spans="1:16" x14ac:dyDescent="0.25">
      <c r="A15597" t="s">
        <v>3296</v>
      </c>
      <c r="B15597" t="s">
        <v>2931</v>
      </c>
      <c r="C15597">
        <v>13548</v>
      </c>
      <c r="D15597" t="str">
        <f>"547639      "</f>
        <v xml:space="preserve">547639      </v>
      </c>
      <c r="E15597" t="s">
        <v>1016</v>
      </c>
      <c r="F15597" t="s">
        <v>1018</v>
      </c>
      <c r="G15597">
        <v>7832.46</v>
      </c>
      <c r="H15597">
        <v>250930</v>
      </c>
      <c r="I15597">
        <v>1196</v>
      </c>
      <c r="J15597" t="s">
        <v>340</v>
      </c>
      <c r="K15597">
        <v>30536.66</v>
      </c>
      <c r="L15597">
        <v>1591.46</v>
      </c>
      <c r="M15597">
        <v>97701</v>
      </c>
      <c r="N15597" t="s">
        <v>1017</v>
      </c>
      <c r="O15597">
        <v>251010</v>
      </c>
      <c r="P15597">
        <v>6241</v>
      </c>
    </row>
    <row r="15598" spans="1:16" x14ac:dyDescent="0.25">
      <c r="A15598" t="s">
        <v>3296</v>
      </c>
      <c r="B15598" t="s">
        <v>2931</v>
      </c>
      <c r="C15598">
        <v>13548</v>
      </c>
      <c r="D15598" t="str">
        <f>"547639      "</f>
        <v xml:space="preserve">547639      </v>
      </c>
      <c r="E15598" t="s">
        <v>1016</v>
      </c>
      <c r="F15598" t="s">
        <v>1018</v>
      </c>
      <c r="G15598">
        <v>19184.560000000001</v>
      </c>
      <c r="H15598">
        <v>250930</v>
      </c>
      <c r="I15598">
        <v>1196</v>
      </c>
      <c r="J15598" t="s">
        <v>340</v>
      </c>
      <c r="K15598">
        <v>30536.66</v>
      </c>
      <c r="L15598">
        <v>3898.06</v>
      </c>
      <c r="M15598">
        <v>97701</v>
      </c>
      <c r="N15598" t="s">
        <v>1017</v>
      </c>
      <c r="O15598">
        <v>251010</v>
      </c>
      <c r="P15598">
        <v>15286.5</v>
      </c>
    </row>
    <row r="15599" spans="1:16" x14ac:dyDescent="0.25">
      <c r="A15599" t="s">
        <v>3296</v>
      </c>
      <c r="B15599" t="s">
        <v>2931</v>
      </c>
      <c r="C15599">
        <v>13548</v>
      </c>
      <c r="D15599" t="str">
        <f>"547639      "</f>
        <v xml:space="preserve">547639      </v>
      </c>
      <c r="E15599" t="s">
        <v>1016</v>
      </c>
      <c r="F15599" t="s">
        <v>1018</v>
      </c>
      <c r="G15599">
        <v>3519.64</v>
      </c>
      <c r="H15599">
        <v>250930</v>
      </c>
      <c r="I15599">
        <v>1196</v>
      </c>
      <c r="J15599" t="s">
        <v>340</v>
      </c>
      <c r="K15599">
        <v>30536.66</v>
      </c>
      <c r="L15599">
        <v>715.15</v>
      </c>
      <c r="M15599">
        <v>97701</v>
      </c>
      <c r="N15599" t="s">
        <v>1017</v>
      </c>
      <c r="O15599">
        <v>251010</v>
      </c>
      <c r="P15599">
        <v>2804.49</v>
      </c>
    </row>
    <row r="15600" spans="1:16" x14ac:dyDescent="0.25">
      <c r="A15600" t="s">
        <v>3296</v>
      </c>
      <c r="B15600" t="s">
        <v>2931</v>
      </c>
      <c r="C15600">
        <v>15381</v>
      </c>
      <c r="D15600" t="str">
        <f t="shared" ref="D15600:D15605" si="264">"548261      "</f>
        <v xml:space="preserve">548261      </v>
      </c>
      <c r="E15600" t="s">
        <v>1016</v>
      </c>
      <c r="F15600" t="s">
        <v>1018</v>
      </c>
      <c r="G15600">
        <v>2577.77</v>
      </c>
      <c r="H15600">
        <v>251031</v>
      </c>
      <c r="I15600">
        <v>1196</v>
      </c>
      <c r="J15600" t="s">
        <v>340</v>
      </c>
      <c r="K15600">
        <v>40748.6</v>
      </c>
      <c r="L15600">
        <v>523.77</v>
      </c>
      <c r="M15600">
        <v>97701</v>
      </c>
      <c r="N15600" t="s">
        <v>1017</v>
      </c>
      <c r="O15600">
        <v>251119</v>
      </c>
      <c r="P15600">
        <v>2054</v>
      </c>
    </row>
    <row r="15601" spans="1:16" x14ac:dyDescent="0.25">
      <c r="A15601" t="s">
        <v>3296</v>
      </c>
      <c r="B15601" t="s">
        <v>2931</v>
      </c>
      <c r="C15601">
        <v>15381</v>
      </c>
      <c r="D15601" t="str">
        <f t="shared" si="264"/>
        <v xml:space="preserve">548261      </v>
      </c>
      <c r="E15601" t="s">
        <v>1016</v>
      </c>
      <c r="F15601" t="s">
        <v>1018</v>
      </c>
      <c r="G15601">
        <v>23373.43</v>
      </c>
      <c r="H15601">
        <v>251031</v>
      </c>
      <c r="I15601">
        <v>1196</v>
      </c>
      <c r="J15601" t="s">
        <v>340</v>
      </c>
      <c r="K15601">
        <v>40748.6</v>
      </c>
      <c r="L15601">
        <v>4749.18</v>
      </c>
      <c r="M15601">
        <v>97701</v>
      </c>
      <c r="N15601" t="s">
        <v>1017</v>
      </c>
      <c r="O15601">
        <v>251119</v>
      </c>
      <c r="P15601">
        <v>18624.25</v>
      </c>
    </row>
    <row r="15602" spans="1:16" x14ac:dyDescent="0.25">
      <c r="A15602" t="s">
        <v>3296</v>
      </c>
      <c r="B15602" t="s">
        <v>2931</v>
      </c>
      <c r="C15602">
        <v>15381</v>
      </c>
      <c r="D15602" t="str">
        <f t="shared" si="264"/>
        <v xml:space="preserve">548261      </v>
      </c>
      <c r="E15602" t="s">
        <v>1016</v>
      </c>
      <c r="F15602" t="s">
        <v>1018</v>
      </c>
      <c r="G15602">
        <v>8923.0499999999993</v>
      </c>
      <c r="H15602">
        <v>251031</v>
      </c>
      <c r="I15602">
        <v>1196</v>
      </c>
      <c r="J15602" t="s">
        <v>340</v>
      </c>
      <c r="K15602">
        <v>40748.6</v>
      </c>
      <c r="L15602">
        <v>1813.05</v>
      </c>
      <c r="M15602">
        <v>97701</v>
      </c>
      <c r="N15602" t="s">
        <v>1017</v>
      </c>
      <c r="O15602">
        <v>251119</v>
      </c>
      <c r="P15602">
        <v>7110</v>
      </c>
    </row>
    <row r="15603" spans="1:16" x14ac:dyDescent="0.25">
      <c r="A15603" t="s">
        <v>3296</v>
      </c>
      <c r="B15603" t="s">
        <v>2931</v>
      </c>
      <c r="C15603">
        <v>15381</v>
      </c>
      <c r="D15603" t="str">
        <f t="shared" si="264"/>
        <v xml:space="preserve">548261      </v>
      </c>
      <c r="E15603" t="s">
        <v>1016</v>
      </c>
      <c r="F15603" t="s">
        <v>1018</v>
      </c>
      <c r="G15603">
        <v>3519.65</v>
      </c>
      <c r="H15603">
        <v>251031</v>
      </c>
      <c r="I15603">
        <v>1196</v>
      </c>
      <c r="J15603" t="s">
        <v>340</v>
      </c>
      <c r="K15603">
        <v>40748.6</v>
      </c>
      <c r="L15603">
        <v>715.15</v>
      </c>
      <c r="M15603">
        <v>97701</v>
      </c>
      <c r="N15603" t="s">
        <v>1017</v>
      </c>
      <c r="O15603">
        <v>251119</v>
      </c>
      <c r="P15603">
        <v>2804.5</v>
      </c>
    </row>
    <row r="15604" spans="1:16" x14ac:dyDescent="0.25">
      <c r="A15604" t="s">
        <v>3296</v>
      </c>
      <c r="B15604" t="s">
        <v>2931</v>
      </c>
      <c r="C15604">
        <v>15381</v>
      </c>
      <c r="D15604" t="str">
        <f t="shared" si="264"/>
        <v xml:space="preserve">548261      </v>
      </c>
      <c r="E15604" t="s">
        <v>1016</v>
      </c>
      <c r="F15604" t="s">
        <v>1018</v>
      </c>
      <c r="G15604">
        <v>991.46</v>
      </c>
      <c r="H15604">
        <v>251031</v>
      </c>
      <c r="I15604">
        <v>1196</v>
      </c>
      <c r="J15604" t="s">
        <v>340</v>
      </c>
      <c r="K15604">
        <v>40748.6</v>
      </c>
      <c r="L15604">
        <v>201.45</v>
      </c>
      <c r="M15604">
        <v>97701</v>
      </c>
      <c r="N15604" t="s">
        <v>1017</v>
      </c>
      <c r="O15604">
        <v>251119</v>
      </c>
      <c r="P15604">
        <v>790.01</v>
      </c>
    </row>
    <row r="15605" spans="1:16" x14ac:dyDescent="0.25">
      <c r="A15605" t="s">
        <v>3296</v>
      </c>
      <c r="B15605" t="s">
        <v>2931</v>
      </c>
      <c r="C15605">
        <v>15381</v>
      </c>
      <c r="D15605" t="str">
        <f t="shared" si="264"/>
        <v xml:space="preserve">548261      </v>
      </c>
      <c r="E15605" t="s">
        <v>1016</v>
      </c>
      <c r="F15605" t="s">
        <v>1018</v>
      </c>
      <c r="G15605">
        <v>1363.24</v>
      </c>
      <c r="H15605">
        <v>251031</v>
      </c>
      <c r="I15605">
        <v>1196</v>
      </c>
      <c r="J15605" t="s">
        <v>340</v>
      </c>
      <c r="K15605">
        <v>40748.6</v>
      </c>
      <c r="L15605">
        <v>276.99</v>
      </c>
      <c r="M15605">
        <v>97701</v>
      </c>
      <c r="N15605" t="s">
        <v>1017</v>
      </c>
      <c r="O15605">
        <v>251119</v>
      </c>
      <c r="P15605">
        <v>1086.25</v>
      </c>
    </row>
    <row r="15606" spans="1:16" x14ac:dyDescent="0.25">
      <c r="A15606" t="s">
        <v>3296</v>
      </c>
      <c r="B15606" t="s">
        <v>2931</v>
      </c>
      <c r="C15606">
        <v>16718</v>
      </c>
      <c r="D15606" t="str">
        <f>"548770      "</f>
        <v xml:space="preserve">548770      </v>
      </c>
      <c r="E15606" t="s">
        <v>1016</v>
      </c>
      <c r="F15606" t="s">
        <v>1018</v>
      </c>
      <c r="G15606">
        <v>644.44000000000005</v>
      </c>
      <c r="H15606">
        <v>251130</v>
      </c>
      <c r="I15606">
        <v>1196</v>
      </c>
      <c r="J15606" t="s">
        <v>340</v>
      </c>
      <c r="K15606">
        <v>6229.19</v>
      </c>
      <c r="L15606">
        <v>130.94</v>
      </c>
      <c r="M15606">
        <v>97701</v>
      </c>
      <c r="N15606" t="s">
        <v>1017</v>
      </c>
      <c r="O15606">
        <v>251211</v>
      </c>
      <c r="P15606">
        <v>513.5</v>
      </c>
    </row>
    <row r="15607" spans="1:16" x14ac:dyDescent="0.25">
      <c r="A15607" t="s">
        <v>3296</v>
      </c>
      <c r="B15607" t="s">
        <v>2931</v>
      </c>
      <c r="C15607">
        <v>16718</v>
      </c>
      <c r="D15607" t="str">
        <f>"548770      "</f>
        <v xml:space="preserve">548770      </v>
      </c>
      <c r="E15607" t="s">
        <v>1016</v>
      </c>
      <c r="F15607" t="s">
        <v>1018</v>
      </c>
      <c r="G15607">
        <v>5584.75</v>
      </c>
      <c r="H15607">
        <v>251130</v>
      </c>
      <c r="I15607">
        <v>1196</v>
      </c>
      <c r="J15607" t="s">
        <v>340</v>
      </c>
      <c r="K15607">
        <v>6229.19</v>
      </c>
      <c r="L15607">
        <v>1134.75</v>
      </c>
      <c r="M15607">
        <v>97701</v>
      </c>
      <c r="N15607" t="s">
        <v>1017</v>
      </c>
      <c r="O15607">
        <v>251211</v>
      </c>
      <c r="P15607">
        <v>4450</v>
      </c>
    </row>
    <row r="15608" spans="1:16" x14ac:dyDescent="0.25">
      <c r="A15608" t="s">
        <v>3296</v>
      </c>
      <c r="B15608" t="s">
        <v>2931</v>
      </c>
      <c r="C15608">
        <v>18597</v>
      </c>
      <c r="D15608" t="str">
        <f>"549108      "</f>
        <v xml:space="preserve">549108      </v>
      </c>
      <c r="E15608" t="s">
        <v>1016</v>
      </c>
      <c r="F15608" t="s">
        <v>1018</v>
      </c>
      <c r="G15608">
        <v>3420.5</v>
      </c>
      <c r="H15608">
        <v>251231</v>
      </c>
      <c r="I15608">
        <v>1196</v>
      </c>
      <c r="J15608" t="s">
        <v>340</v>
      </c>
      <c r="K15608">
        <v>5836.38</v>
      </c>
      <c r="L15608">
        <v>695</v>
      </c>
      <c r="M15608">
        <v>97701</v>
      </c>
      <c r="N15608" t="s">
        <v>1017</v>
      </c>
      <c r="O15608">
        <v>260119</v>
      </c>
      <c r="P15608">
        <v>2725.5</v>
      </c>
    </row>
    <row r="15609" spans="1:16" x14ac:dyDescent="0.25">
      <c r="A15609" t="s">
        <v>3296</v>
      </c>
      <c r="B15609" t="s">
        <v>2931</v>
      </c>
      <c r="C15609">
        <v>18597</v>
      </c>
      <c r="D15609" t="str">
        <f>"549108      "</f>
        <v xml:space="preserve">549108      </v>
      </c>
      <c r="E15609" t="s">
        <v>1016</v>
      </c>
      <c r="F15609" t="s">
        <v>1018</v>
      </c>
      <c r="G15609">
        <v>2415.88</v>
      </c>
      <c r="H15609">
        <v>251231</v>
      </c>
      <c r="I15609">
        <v>1196</v>
      </c>
      <c r="J15609" t="s">
        <v>340</v>
      </c>
      <c r="K15609">
        <v>5836.38</v>
      </c>
      <c r="L15609">
        <v>490.88</v>
      </c>
      <c r="M15609">
        <v>97701</v>
      </c>
      <c r="N15609" t="s">
        <v>1017</v>
      </c>
      <c r="O15609">
        <v>260119</v>
      </c>
      <c r="P15609">
        <v>1925</v>
      </c>
    </row>
    <row r="15610" spans="1:16" x14ac:dyDescent="0.25">
      <c r="A15610" t="s">
        <v>3296</v>
      </c>
      <c r="B15610" t="s">
        <v>2931</v>
      </c>
      <c r="C15610">
        <v>2745</v>
      </c>
      <c r="D15610" t="str">
        <f>"18150259    "</f>
        <v xml:space="preserve">18150259    </v>
      </c>
      <c r="E15610" t="s">
        <v>1344</v>
      </c>
      <c r="F15610" t="s">
        <v>1345</v>
      </c>
      <c r="G15610">
        <v>12.2</v>
      </c>
      <c r="H15610">
        <v>250228</v>
      </c>
      <c r="I15610">
        <v>4380</v>
      </c>
      <c r="J15610" t="s">
        <v>211</v>
      </c>
      <c r="K15610">
        <v>12.2</v>
      </c>
      <c r="L15610">
        <v>2.48</v>
      </c>
      <c r="M15610">
        <v>13940</v>
      </c>
      <c r="N15610" t="s">
        <v>14</v>
      </c>
      <c r="O15610">
        <v>250311</v>
      </c>
      <c r="P15610">
        <v>9.7200000000000006</v>
      </c>
    </row>
    <row r="15611" spans="1:16" x14ac:dyDescent="0.25">
      <c r="A15611" t="s">
        <v>3296</v>
      </c>
      <c r="B15611" t="s">
        <v>2931</v>
      </c>
      <c r="C15611">
        <v>4362</v>
      </c>
      <c r="D15611" t="str">
        <f>"18188299    "</f>
        <v xml:space="preserve">18188299    </v>
      </c>
      <c r="E15611" t="s">
        <v>1344</v>
      </c>
      <c r="F15611" t="s">
        <v>1345</v>
      </c>
      <c r="G15611">
        <v>6.1</v>
      </c>
      <c r="H15611">
        <v>250331</v>
      </c>
      <c r="I15611">
        <v>4380</v>
      </c>
      <c r="J15611" t="s">
        <v>211</v>
      </c>
      <c r="K15611">
        <v>6.1</v>
      </c>
      <c r="L15611">
        <v>1.24</v>
      </c>
      <c r="M15611">
        <v>13940</v>
      </c>
      <c r="N15611" t="s">
        <v>14</v>
      </c>
      <c r="O15611">
        <v>250411</v>
      </c>
      <c r="P15611">
        <v>4.8600000000000003</v>
      </c>
    </row>
    <row r="15612" spans="1:16" x14ac:dyDescent="0.25">
      <c r="A15612" t="s">
        <v>3296</v>
      </c>
      <c r="B15612" t="s">
        <v>2931</v>
      </c>
      <c r="C15612">
        <v>10340</v>
      </c>
      <c r="D15612" t="str">
        <f>"18289912    "</f>
        <v xml:space="preserve">18289912    </v>
      </c>
      <c r="E15612" t="s">
        <v>1344</v>
      </c>
      <c r="F15612" t="s">
        <v>1345</v>
      </c>
      <c r="G15612">
        <v>6.1</v>
      </c>
      <c r="H15612">
        <v>250731</v>
      </c>
      <c r="I15612">
        <v>4380</v>
      </c>
      <c r="J15612" t="s">
        <v>211</v>
      </c>
      <c r="K15612">
        <v>6.1</v>
      </c>
      <c r="L15612">
        <v>1.24</v>
      </c>
      <c r="M15612">
        <v>13940</v>
      </c>
      <c r="N15612" t="s">
        <v>14</v>
      </c>
      <c r="O15612">
        <v>250818</v>
      </c>
      <c r="P15612">
        <v>4.8600000000000003</v>
      </c>
    </row>
    <row r="15613" spans="1:16" x14ac:dyDescent="0.25">
      <c r="A15613" t="s">
        <v>3296</v>
      </c>
      <c r="B15613" t="s">
        <v>2931</v>
      </c>
      <c r="C15613">
        <v>13240</v>
      </c>
      <c r="D15613" t="str">
        <f>"18366505    "</f>
        <v xml:space="preserve">18366505    </v>
      </c>
      <c r="E15613" t="s">
        <v>1344</v>
      </c>
      <c r="F15613" t="s">
        <v>1345</v>
      </c>
      <c r="G15613">
        <v>96.71</v>
      </c>
      <c r="H15613">
        <v>250930</v>
      </c>
      <c r="I15613">
        <v>4380</v>
      </c>
      <c r="J15613" t="s">
        <v>211</v>
      </c>
      <c r="K15613">
        <v>96.71</v>
      </c>
      <c r="L15613">
        <v>19.649999999999999</v>
      </c>
      <c r="M15613">
        <v>13940</v>
      </c>
      <c r="N15613" t="s">
        <v>14</v>
      </c>
      <c r="O15613">
        <v>251007</v>
      </c>
      <c r="P15613">
        <v>77.06</v>
      </c>
    </row>
    <row r="15614" spans="1:16" x14ac:dyDescent="0.25">
      <c r="A15614" t="s">
        <v>3296</v>
      </c>
      <c r="B15614" t="s">
        <v>2931</v>
      </c>
      <c r="C15614">
        <v>15056</v>
      </c>
      <c r="D15614" t="str">
        <f>"18407116    "</f>
        <v xml:space="preserve">18407116    </v>
      </c>
      <c r="E15614" t="s">
        <v>1344</v>
      </c>
      <c r="F15614" t="s">
        <v>1345</v>
      </c>
      <c r="G15614">
        <v>6.1</v>
      </c>
      <c r="H15614">
        <v>251031</v>
      </c>
      <c r="I15614">
        <v>4380</v>
      </c>
      <c r="J15614" t="s">
        <v>211</v>
      </c>
      <c r="K15614">
        <v>6.1</v>
      </c>
      <c r="L15614">
        <v>1.24</v>
      </c>
      <c r="M15614">
        <v>13940</v>
      </c>
      <c r="N15614" t="s">
        <v>14</v>
      </c>
      <c r="O15614">
        <v>251111</v>
      </c>
      <c r="P15614">
        <v>4.8600000000000003</v>
      </c>
    </row>
    <row r="15615" spans="1:16" x14ac:dyDescent="0.25">
      <c r="A15615" t="s">
        <v>3296</v>
      </c>
      <c r="B15615" t="s">
        <v>2931</v>
      </c>
      <c r="C15615">
        <v>17654</v>
      </c>
      <c r="D15615" t="str">
        <f>"18452448    "</f>
        <v xml:space="preserve">18452448    </v>
      </c>
      <c r="E15615" t="s">
        <v>1344</v>
      </c>
      <c r="F15615" t="s">
        <v>1345</v>
      </c>
      <c r="G15615">
        <v>6.1</v>
      </c>
      <c r="H15615">
        <v>251218</v>
      </c>
      <c r="I15615">
        <v>4380</v>
      </c>
      <c r="J15615" t="s">
        <v>211</v>
      </c>
      <c r="K15615">
        <v>6.1</v>
      </c>
      <c r="L15615">
        <v>1.24</v>
      </c>
      <c r="M15615">
        <v>13940</v>
      </c>
      <c r="N15615" t="s">
        <v>14</v>
      </c>
      <c r="O15615">
        <v>251229</v>
      </c>
      <c r="P15615">
        <v>4.8600000000000003</v>
      </c>
    </row>
    <row r="15616" spans="1:16" x14ac:dyDescent="0.25">
      <c r="A15616" t="s">
        <v>3296</v>
      </c>
      <c r="B15616" t="s">
        <v>2931</v>
      </c>
      <c r="C15616">
        <v>18033</v>
      </c>
      <c r="D15616" t="str">
        <f>"18466030    "</f>
        <v xml:space="preserve">18466030    </v>
      </c>
      <c r="E15616" t="s">
        <v>1344</v>
      </c>
      <c r="F15616" t="s">
        <v>1345</v>
      </c>
      <c r="G15616">
        <v>6.1</v>
      </c>
      <c r="H15616">
        <v>251231</v>
      </c>
      <c r="I15616">
        <v>4380</v>
      </c>
      <c r="J15616" t="s">
        <v>211</v>
      </c>
      <c r="K15616">
        <v>6.1</v>
      </c>
      <c r="L15616">
        <v>1.24</v>
      </c>
      <c r="M15616">
        <v>13940</v>
      </c>
      <c r="N15616" t="s">
        <v>14</v>
      </c>
      <c r="O15616">
        <v>260108</v>
      </c>
      <c r="P15616">
        <v>4.8600000000000003</v>
      </c>
    </row>
    <row r="15617" spans="1:16" x14ac:dyDescent="0.25">
      <c r="A15617" t="s">
        <v>3296</v>
      </c>
      <c r="B15617" t="s">
        <v>2931</v>
      </c>
      <c r="C15617">
        <v>9403</v>
      </c>
      <c r="D15617" t="str">
        <f>"18271045    "</f>
        <v xml:space="preserve">18271045    </v>
      </c>
      <c r="E15617" t="s">
        <v>1344</v>
      </c>
      <c r="F15617" t="s">
        <v>1345</v>
      </c>
      <c r="G15617">
        <v>18.3</v>
      </c>
      <c r="H15617">
        <v>250630</v>
      </c>
      <c r="I15617">
        <v>4860</v>
      </c>
      <c r="J15617" t="s">
        <v>286</v>
      </c>
      <c r="K15617">
        <v>18.3</v>
      </c>
      <c r="L15617">
        <v>3.72</v>
      </c>
      <c r="M15617">
        <v>13940</v>
      </c>
      <c r="N15617" t="s">
        <v>14</v>
      </c>
      <c r="O15617">
        <v>250707</v>
      </c>
      <c r="P15617">
        <v>14.58</v>
      </c>
    </row>
    <row r="15618" spans="1:16" x14ac:dyDescent="0.25">
      <c r="A15618" t="s">
        <v>3296</v>
      </c>
      <c r="B15618" t="s">
        <v>2931</v>
      </c>
      <c r="C15618">
        <v>11431</v>
      </c>
      <c r="D15618" t="str">
        <f>"18323852    "</f>
        <v xml:space="preserve">18323852    </v>
      </c>
      <c r="E15618" t="s">
        <v>1344</v>
      </c>
      <c r="F15618" t="s">
        <v>1345</v>
      </c>
      <c r="G15618">
        <v>6.1</v>
      </c>
      <c r="H15618">
        <v>250831</v>
      </c>
      <c r="I15618">
        <v>4860</v>
      </c>
      <c r="J15618" t="s">
        <v>286</v>
      </c>
      <c r="K15618">
        <v>6.1</v>
      </c>
      <c r="L15618">
        <v>1.24</v>
      </c>
      <c r="M15618">
        <v>13940</v>
      </c>
      <c r="N15618" t="s">
        <v>14</v>
      </c>
      <c r="O15618">
        <v>250905</v>
      </c>
      <c r="P15618">
        <v>4.8600000000000003</v>
      </c>
    </row>
    <row r="15619" spans="1:16" x14ac:dyDescent="0.25">
      <c r="A15619" t="s">
        <v>3296</v>
      </c>
      <c r="B15619" t="s">
        <v>2931</v>
      </c>
      <c r="C15619">
        <v>6798</v>
      </c>
      <c r="D15619" t="str">
        <f>"2768        "</f>
        <v xml:space="preserve">2768        </v>
      </c>
      <c r="E15619" t="s">
        <v>1894</v>
      </c>
      <c r="F15619" t="s">
        <v>1895</v>
      </c>
      <c r="G15619">
        <v>285</v>
      </c>
      <c r="H15619">
        <v>250506</v>
      </c>
      <c r="I15619">
        <v>4390</v>
      </c>
      <c r="J15619" t="s">
        <v>232</v>
      </c>
      <c r="K15619">
        <v>950</v>
      </c>
      <c r="L15619">
        <v>0</v>
      </c>
      <c r="M15619">
        <v>14952</v>
      </c>
      <c r="N15619" t="s">
        <v>213</v>
      </c>
      <c r="O15619">
        <v>250516</v>
      </c>
      <c r="P15619">
        <v>285</v>
      </c>
    </row>
    <row r="15620" spans="1:16" x14ac:dyDescent="0.25">
      <c r="A15620" t="s">
        <v>3296</v>
      </c>
      <c r="B15620" t="s">
        <v>2931</v>
      </c>
      <c r="C15620">
        <v>6798</v>
      </c>
      <c r="D15620" t="str">
        <f>"2768        "</f>
        <v xml:space="preserve">2768        </v>
      </c>
      <c r="E15620" t="s">
        <v>1894</v>
      </c>
      <c r="F15620" t="s">
        <v>1895</v>
      </c>
      <c r="G15620">
        <v>665</v>
      </c>
      <c r="H15620">
        <v>250506</v>
      </c>
      <c r="I15620">
        <v>4390</v>
      </c>
      <c r="J15620" t="s">
        <v>232</v>
      </c>
      <c r="K15620">
        <v>950</v>
      </c>
      <c r="L15620">
        <v>0</v>
      </c>
      <c r="M15620">
        <v>14981</v>
      </c>
      <c r="N15620" t="s">
        <v>252</v>
      </c>
      <c r="O15620">
        <v>250516</v>
      </c>
      <c r="P15620">
        <v>665</v>
      </c>
    </row>
    <row r="15621" spans="1:16" x14ac:dyDescent="0.25">
      <c r="A15621" t="s">
        <v>3296</v>
      </c>
      <c r="B15621" t="s">
        <v>2931</v>
      </c>
      <c r="C15621">
        <v>8831</v>
      </c>
      <c r="D15621" t="str">
        <f>"2802        "</f>
        <v xml:space="preserve">2802        </v>
      </c>
      <c r="E15621" t="s">
        <v>1894</v>
      </c>
      <c r="F15621" t="s">
        <v>1895</v>
      </c>
      <c r="G15621">
        <v>33.33</v>
      </c>
      <c r="H15621">
        <v>250606</v>
      </c>
      <c r="I15621">
        <v>4390</v>
      </c>
      <c r="J15621" t="s">
        <v>232</v>
      </c>
      <c r="K15621">
        <v>100</v>
      </c>
      <c r="L15621">
        <v>0</v>
      </c>
      <c r="M15621">
        <v>11401</v>
      </c>
      <c r="N15621" t="s">
        <v>91</v>
      </c>
      <c r="O15621">
        <v>250618</v>
      </c>
      <c r="P15621">
        <v>33.33</v>
      </c>
    </row>
    <row r="15622" spans="1:16" x14ac:dyDescent="0.25">
      <c r="A15622" t="s">
        <v>3296</v>
      </c>
      <c r="B15622" t="s">
        <v>2931</v>
      </c>
      <c r="C15622">
        <v>8831</v>
      </c>
      <c r="D15622" t="str">
        <f>"2802        "</f>
        <v xml:space="preserve">2802        </v>
      </c>
      <c r="E15622" t="s">
        <v>1894</v>
      </c>
      <c r="F15622" t="s">
        <v>1895</v>
      </c>
      <c r="G15622">
        <v>66.67</v>
      </c>
      <c r="H15622">
        <v>250606</v>
      </c>
      <c r="I15622">
        <v>4390</v>
      </c>
      <c r="J15622" t="s">
        <v>232</v>
      </c>
      <c r="K15622">
        <v>100</v>
      </c>
      <c r="L15622">
        <v>0</v>
      </c>
      <c r="M15622">
        <v>14952</v>
      </c>
      <c r="N15622" t="s">
        <v>213</v>
      </c>
      <c r="O15622">
        <v>250618</v>
      </c>
      <c r="P15622">
        <v>66.67</v>
      </c>
    </row>
    <row r="15623" spans="1:16" x14ac:dyDescent="0.25">
      <c r="A15623" t="s">
        <v>3296</v>
      </c>
      <c r="B15623" t="s">
        <v>2931</v>
      </c>
      <c r="C15623">
        <v>9214</v>
      </c>
      <c r="D15623" t="str">
        <f>"2824        "</f>
        <v xml:space="preserve">2824        </v>
      </c>
      <c r="E15623" t="s">
        <v>1894</v>
      </c>
      <c r="F15623" t="s">
        <v>1895</v>
      </c>
      <c r="G15623">
        <v>504</v>
      </c>
      <c r="H15623">
        <v>250625</v>
      </c>
      <c r="I15623">
        <v>4390</v>
      </c>
      <c r="J15623" t="s">
        <v>232</v>
      </c>
      <c r="K15623">
        <v>504</v>
      </c>
      <c r="L15623">
        <v>0</v>
      </c>
      <c r="M15623">
        <v>17951</v>
      </c>
      <c r="N15623" t="s">
        <v>207</v>
      </c>
      <c r="O15623">
        <v>250627</v>
      </c>
      <c r="P15623">
        <v>504</v>
      </c>
    </row>
    <row r="15624" spans="1:16" x14ac:dyDescent="0.25">
      <c r="A15624" t="s">
        <v>3296</v>
      </c>
      <c r="B15624" t="s">
        <v>2931</v>
      </c>
      <c r="C15624">
        <v>7593</v>
      </c>
      <c r="D15624" t="str">
        <f>"7123        "</f>
        <v xml:space="preserve">7123        </v>
      </c>
      <c r="E15624" t="s">
        <v>1982</v>
      </c>
      <c r="F15624" t="s">
        <v>1983</v>
      </c>
      <c r="G15624">
        <v>49949</v>
      </c>
      <c r="H15624">
        <v>250528</v>
      </c>
      <c r="I15624">
        <v>1198</v>
      </c>
      <c r="J15624" t="s">
        <v>610</v>
      </c>
      <c r="K15624">
        <v>74923.5</v>
      </c>
      <c r="L15624">
        <v>10149</v>
      </c>
      <c r="M15624">
        <v>97629</v>
      </c>
      <c r="N15624" t="s">
        <v>1110</v>
      </c>
      <c r="O15624">
        <v>250604</v>
      </c>
      <c r="P15624">
        <v>39800</v>
      </c>
    </row>
    <row r="15625" spans="1:16" x14ac:dyDescent="0.25">
      <c r="A15625" t="s">
        <v>3296</v>
      </c>
      <c r="B15625" t="s">
        <v>2931</v>
      </c>
      <c r="C15625">
        <v>7593</v>
      </c>
      <c r="D15625" t="str">
        <f>"7123        "</f>
        <v xml:space="preserve">7123        </v>
      </c>
      <c r="E15625" t="s">
        <v>1982</v>
      </c>
      <c r="F15625" t="s">
        <v>1983</v>
      </c>
      <c r="G15625">
        <v>24974.5</v>
      </c>
      <c r="H15625">
        <v>250528</v>
      </c>
      <c r="I15625">
        <v>1198</v>
      </c>
      <c r="J15625" t="s">
        <v>610</v>
      </c>
      <c r="K15625">
        <v>74923.5</v>
      </c>
      <c r="L15625">
        <v>5074.5</v>
      </c>
      <c r="M15625">
        <v>97629</v>
      </c>
      <c r="N15625" t="s">
        <v>1110</v>
      </c>
      <c r="O15625">
        <v>250604</v>
      </c>
      <c r="P15625">
        <v>19900</v>
      </c>
    </row>
    <row r="15626" spans="1:16" x14ac:dyDescent="0.25">
      <c r="A15626" t="s">
        <v>3296</v>
      </c>
      <c r="B15626" t="s">
        <v>2931</v>
      </c>
      <c r="C15626">
        <v>761</v>
      </c>
      <c r="D15626" t="str">
        <f>"5331        "</f>
        <v xml:space="preserve">5331        </v>
      </c>
      <c r="E15626" t="s">
        <v>719</v>
      </c>
      <c r="F15626" t="s">
        <v>720</v>
      </c>
      <c r="G15626">
        <v>154.02000000000001</v>
      </c>
      <c r="H15626">
        <v>250120</v>
      </c>
      <c r="I15626">
        <v>4530</v>
      </c>
      <c r="J15626" t="s">
        <v>293</v>
      </c>
      <c r="K15626">
        <v>154.02000000000001</v>
      </c>
      <c r="L15626">
        <v>31.29</v>
      </c>
      <c r="M15626">
        <v>44251</v>
      </c>
      <c r="N15626" t="s">
        <v>215</v>
      </c>
      <c r="O15626">
        <v>250129</v>
      </c>
      <c r="P15626">
        <v>122.73</v>
      </c>
    </row>
    <row r="15627" spans="1:16" x14ac:dyDescent="0.25">
      <c r="A15627" t="s">
        <v>3296</v>
      </c>
      <c r="B15627" t="s">
        <v>2931</v>
      </c>
      <c r="C15627">
        <v>13729</v>
      </c>
      <c r="D15627" t="str">
        <f>"38059       "</f>
        <v xml:space="preserve">38059       </v>
      </c>
      <c r="E15627" t="s">
        <v>2048</v>
      </c>
      <c r="F15627" t="s">
        <v>2049</v>
      </c>
      <c r="G15627">
        <v>309.60000000000002</v>
      </c>
      <c r="H15627">
        <v>251008</v>
      </c>
      <c r="I15627">
        <v>4410</v>
      </c>
      <c r="J15627" t="s">
        <v>165</v>
      </c>
      <c r="K15627">
        <v>309.60000000000002</v>
      </c>
      <c r="L15627">
        <v>38.020000000000003</v>
      </c>
      <c r="M15627">
        <v>14986</v>
      </c>
      <c r="N15627" t="s">
        <v>2405</v>
      </c>
      <c r="O15627">
        <v>251017</v>
      </c>
      <c r="P15627">
        <v>271.58</v>
      </c>
    </row>
    <row r="15628" spans="1:16" x14ac:dyDescent="0.25">
      <c r="A15628" t="s">
        <v>3296</v>
      </c>
      <c r="B15628" t="s">
        <v>2931</v>
      </c>
      <c r="C15628">
        <v>8516</v>
      </c>
      <c r="D15628" t="str">
        <f>"67483       "</f>
        <v xml:space="preserve">67483       </v>
      </c>
      <c r="E15628" t="s">
        <v>2036</v>
      </c>
      <c r="F15628" t="s">
        <v>2037</v>
      </c>
      <c r="G15628">
        <v>54</v>
      </c>
      <c r="H15628">
        <v>250609</v>
      </c>
      <c r="I15628">
        <v>4510</v>
      </c>
      <c r="J15628" t="s">
        <v>240</v>
      </c>
      <c r="K15628">
        <v>54</v>
      </c>
      <c r="L15628">
        <v>4.91</v>
      </c>
      <c r="M15628">
        <v>56565</v>
      </c>
      <c r="N15628" t="s">
        <v>57</v>
      </c>
      <c r="O15628">
        <v>250617</v>
      </c>
      <c r="P15628">
        <v>49.09</v>
      </c>
    </row>
    <row r="15629" spans="1:16" x14ac:dyDescent="0.25">
      <c r="A15629" t="s">
        <v>3296</v>
      </c>
      <c r="B15629" t="s">
        <v>2931</v>
      </c>
      <c r="C15629">
        <v>7954</v>
      </c>
      <c r="D15629" t="str">
        <f>"11546       "</f>
        <v xml:space="preserve">11546       </v>
      </c>
      <c r="E15629" t="s">
        <v>2005</v>
      </c>
      <c r="F15629" t="s">
        <v>2006</v>
      </c>
      <c r="G15629">
        <v>422.18</v>
      </c>
      <c r="H15629">
        <v>250531</v>
      </c>
      <c r="I15629">
        <v>4380</v>
      </c>
      <c r="J15629" t="s">
        <v>211</v>
      </c>
      <c r="K15629">
        <v>422.18</v>
      </c>
      <c r="L15629">
        <v>85.78</v>
      </c>
      <c r="M15629">
        <v>17523</v>
      </c>
      <c r="N15629" t="s">
        <v>138</v>
      </c>
      <c r="O15629">
        <v>250610</v>
      </c>
      <c r="P15629">
        <v>336.4</v>
      </c>
    </row>
    <row r="15630" spans="1:16" x14ac:dyDescent="0.25">
      <c r="A15630" t="s">
        <v>3296</v>
      </c>
      <c r="B15630" t="s">
        <v>2931</v>
      </c>
      <c r="C15630">
        <v>9081</v>
      </c>
      <c r="D15630" t="str">
        <f>"12081       "</f>
        <v xml:space="preserve">12081       </v>
      </c>
      <c r="E15630" t="s">
        <v>2005</v>
      </c>
      <c r="F15630" t="s">
        <v>2006</v>
      </c>
      <c r="G15630">
        <v>10.66</v>
      </c>
      <c r="H15630">
        <v>250616</v>
      </c>
      <c r="I15630">
        <v>4380</v>
      </c>
      <c r="J15630" t="s">
        <v>211</v>
      </c>
      <c r="K15630">
        <v>96.89</v>
      </c>
      <c r="L15630">
        <v>2.17</v>
      </c>
      <c r="M15630">
        <v>13540</v>
      </c>
      <c r="N15630" t="s">
        <v>131</v>
      </c>
      <c r="O15630">
        <v>250626</v>
      </c>
      <c r="P15630">
        <v>8.49</v>
      </c>
    </row>
    <row r="15631" spans="1:16" x14ac:dyDescent="0.25">
      <c r="A15631" t="s">
        <v>3296</v>
      </c>
      <c r="B15631" t="s">
        <v>2931</v>
      </c>
      <c r="C15631">
        <v>9081</v>
      </c>
      <c r="D15631" t="str">
        <f>"12081       "</f>
        <v xml:space="preserve">12081       </v>
      </c>
      <c r="E15631" t="s">
        <v>2005</v>
      </c>
      <c r="F15631" t="s">
        <v>2006</v>
      </c>
      <c r="G15631">
        <v>86.23</v>
      </c>
      <c r="H15631">
        <v>250616</v>
      </c>
      <c r="I15631">
        <v>4380</v>
      </c>
      <c r="J15631" t="s">
        <v>211</v>
      </c>
      <c r="K15631">
        <v>96.89</v>
      </c>
      <c r="L15631">
        <v>17.52</v>
      </c>
      <c r="M15631">
        <v>17950</v>
      </c>
      <c r="N15631" t="s">
        <v>132</v>
      </c>
      <c r="O15631">
        <v>250626</v>
      </c>
      <c r="P15631">
        <v>68.709999999999994</v>
      </c>
    </row>
    <row r="15632" spans="1:16" x14ac:dyDescent="0.25">
      <c r="A15632" t="s">
        <v>3296</v>
      </c>
      <c r="B15632" t="s">
        <v>2931</v>
      </c>
      <c r="C15632">
        <v>915</v>
      </c>
      <c r="D15632" t="str">
        <f>"227654      "</f>
        <v xml:space="preserve">227654      </v>
      </c>
      <c r="E15632" t="s">
        <v>778</v>
      </c>
      <c r="F15632" t="s">
        <v>779</v>
      </c>
      <c r="G15632">
        <v>260.39</v>
      </c>
      <c r="H15632">
        <v>250123</v>
      </c>
      <c r="I15632">
        <v>4590</v>
      </c>
      <c r="J15632" t="s">
        <v>388</v>
      </c>
      <c r="K15632">
        <v>260.39</v>
      </c>
      <c r="L15632">
        <v>52.91</v>
      </c>
      <c r="M15632">
        <v>17807</v>
      </c>
      <c r="N15632" t="s">
        <v>23</v>
      </c>
      <c r="O15632">
        <v>250131</v>
      </c>
      <c r="P15632">
        <v>207.48</v>
      </c>
    </row>
    <row r="15633" spans="1:16" x14ac:dyDescent="0.25">
      <c r="A15633" t="s">
        <v>3296</v>
      </c>
      <c r="B15633" t="s">
        <v>2931</v>
      </c>
      <c r="C15633">
        <v>3842</v>
      </c>
      <c r="D15633" t="str">
        <f>"279825      "</f>
        <v xml:space="preserve">279825      </v>
      </c>
      <c r="E15633" t="s">
        <v>778</v>
      </c>
      <c r="F15633" t="s">
        <v>779</v>
      </c>
      <c r="G15633">
        <v>200.29</v>
      </c>
      <c r="H15633">
        <v>250312</v>
      </c>
      <c r="I15633">
        <v>4590</v>
      </c>
      <c r="J15633" t="s">
        <v>388</v>
      </c>
      <c r="K15633">
        <v>200.29</v>
      </c>
      <c r="L15633">
        <v>40.700000000000003</v>
      </c>
      <c r="M15633">
        <v>17807</v>
      </c>
      <c r="N15633" t="s">
        <v>23</v>
      </c>
      <c r="O15633">
        <v>250402</v>
      </c>
      <c r="P15633">
        <v>159.59</v>
      </c>
    </row>
    <row r="15634" spans="1:16" x14ac:dyDescent="0.25">
      <c r="A15634" t="s">
        <v>3296</v>
      </c>
      <c r="B15634" t="s">
        <v>2931</v>
      </c>
      <c r="C15634">
        <v>13362</v>
      </c>
      <c r="D15634" t="str">
        <f>"502654      "</f>
        <v xml:space="preserve">502654      </v>
      </c>
      <c r="E15634" t="s">
        <v>778</v>
      </c>
      <c r="F15634" t="s">
        <v>779</v>
      </c>
      <c r="G15634">
        <v>2415.79</v>
      </c>
      <c r="H15634">
        <v>250929</v>
      </c>
      <c r="I15634">
        <v>4600</v>
      </c>
      <c r="J15634" t="s">
        <v>278</v>
      </c>
      <c r="K15634">
        <v>2415.79</v>
      </c>
      <c r="L15634">
        <v>490.86</v>
      </c>
      <c r="M15634">
        <v>59502</v>
      </c>
      <c r="N15634" t="s">
        <v>63</v>
      </c>
      <c r="O15634">
        <v>251008</v>
      </c>
      <c r="P15634">
        <v>1924.93</v>
      </c>
    </row>
    <row r="15635" spans="1:16" x14ac:dyDescent="0.25">
      <c r="A15635" t="s">
        <v>3296</v>
      </c>
      <c r="B15635" t="s">
        <v>2931</v>
      </c>
      <c r="C15635">
        <v>9399</v>
      </c>
      <c r="D15635" t="str">
        <f>"99018       "</f>
        <v xml:space="preserve">99018       </v>
      </c>
      <c r="E15635" t="s">
        <v>2124</v>
      </c>
      <c r="F15635" t="s">
        <v>2125</v>
      </c>
      <c r="G15635">
        <v>399.6</v>
      </c>
      <c r="H15635">
        <v>250630</v>
      </c>
      <c r="I15635">
        <v>4580</v>
      </c>
      <c r="J15635" t="s">
        <v>126</v>
      </c>
      <c r="K15635">
        <v>399.6</v>
      </c>
      <c r="L15635">
        <v>81.19</v>
      </c>
      <c r="M15635">
        <v>17737</v>
      </c>
      <c r="N15635" t="s">
        <v>156</v>
      </c>
      <c r="O15635">
        <v>250707</v>
      </c>
      <c r="P15635">
        <v>318.41000000000003</v>
      </c>
    </row>
    <row r="15636" spans="1:16" x14ac:dyDescent="0.25">
      <c r="A15636" t="s">
        <v>3296</v>
      </c>
      <c r="B15636" t="s">
        <v>2931</v>
      </c>
      <c r="C15636">
        <v>9529</v>
      </c>
      <c r="D15636" t="str">
        <f>"1510034604  "</f>
        <v xml:space="preserve">1510034604  </v>
      </c>
      <c r="E15636" t="s">
        <v>2865</v>
      </c>
      <c r="F15636" t="s">
        <v>2866</v>
      </c>
      <c r="G15636">
        <v>232</v>
      </c>
      <c r="H15636">
        <v>250630</v>
      </c>
      <c r="I15636">
        <v>4600</v>
      </c>
      <c r="J15636" t="s">
        <v>278</v>
      </c>
      <c r="K15636">
        <v>232</v>
      </c>
      <c r="L15636">
        <v>0</v>
      </c>
      <c r="M15636">
        <v>49702</v>
      </c>
      <c r="N15636" t="s">
        <v>112</v>
      </c>
      <c r="O15636">
        <v>250709</v>
      </c>
      <c r="P15636">
        <v>232</v>
      </c>
    </row>
    <row r="15637" spans="1:16" x14ac:dyDescent="0.25">
      <c r="A15637" t="s">
        <v>3296</v>
      </c>
      <c r="B15637" t="s">
        <v>2931</v>
      </c>
      <c r="C15637">
        <v>18462</v>
      </c>
      <c r="D15637" t="str">
        <f>"1510035387  "</f>
        <v xml:space="preserve">1510035387  </v>
      </c>
      <c r="E15637" t="s">
        <v>2865</v>
      </c>
      <c r="F15637" t="s">
        <v>2866</v>
      </c>
      <c r="G15637">
        <v>80</v>
      </c>
      <c r="H15637">
        <v>251231</v>
      </c>
      <c r="I15637">
        <v>4600</v>
      </c>
      <c r="J15637" t="s">
        <v>278</v>
      </c>
      <c r="K15637">
        <v>80</v>
      </c>
      <c r="L15637">
        <v>0</v>
      </c>
      <c r="M15637">
        <v>49702</v>
      </c>
      <c r="N15637" t="s">
        <v>112</v>
      </c>
      <c r="O15637">
        <v>260115</v>
      </c>
      <c r="P15637">
        <v>80</v>
      </c>
    </row>
    <row r="15638" spans="1:16" x14ac:dyDescent="0.25">
      <c r="A15638" t="s">
        <v>3296</v>
      </c>
      <c r="B15638" t="s">
        <v>2931</v>
      </c>
      <c r="C15638">
        <v>7122</v>
      </c>
      <c r="D15638" t="str">
        <f>"6025050014  "</f>
        <v xml:space="preserve">6025050014  </v>
      </c>
      <c r="E15638" t="s">
        <v>1919</v>
      </c>
      <c r="F15638" t="s">
        <v>1920</v>
      </c>
      <c r="G15638">
        <v>470.85</v>
      </c>
      <c r="H15638">
        <v>250513</v>
      </c>
      <c r="I15638">
        <v>4400</v>
      </c>
      <c r="J15638" t="s">
        <v>162</v>
      </c>
      <c r="K15638">
        <v>470.85</v>
      </c>
      <c r="L15638">
        <v>0</v>
      </c>
      <c r="M15638">
        <v>56558</v>
      </c>
      <c r="N15638" t="s">
        <v>50</v>
      </c>
      <c r="O15638">
        <v>250523</v>
      </c>
      <c r="P15638">
        <v>470.85</v>
      </c>
    </row>
    <row r="15639" spans="1:16" x14ac:dyDescent="0.25">
      <c r="A15639" t="s">
        <v>3296</v>
      </c>
      <c r="B15639" t="s">
        <v>2931</v>
      </c>
      <c r="C15639">
        <v>2320</v>
      </c>
      <c r="D15639" t="str">
        <f>"10          "</f>
        <v xml:space="preserve">10          </v>
      </c>
      <c r="E15639" t="s">
        <v>1235</v>
      </c>
      <c r="F15639" t="s">
        <v>1236</v>
      </c>
      <c r="G15639">
        <v>98.04</v>
      </c>
      <c r="H15639">
        <v>250219</v>
      </c>
      <c r="I15639">
        <v>4520</v>
      </c>
      <c r="J15639" t="s">
        <v>280</v>
      </c>
      <c r="K15639">
        <v>98.04</v>
      </c>
      <c r="L15639">
        <v>12.04</v>
      </c>
      <c r="M15639">
        <v>54422</v>
      </c>
      <c r="N15639" t="s">
        <v>49</v>
      </c>
      <c r="O15639">
        <v>250224</v>
      </c>
      <c r="P15639">
        <v>86</v>
      </c>
    </row>
    <row r="15640" spans="1:16" x14ac:dyDescent="0.25">
      <c r="A15640" t="s">
        <v>3296</v>
      </c>
      <c r="B15640" t="s">
        <v>2931</v>
      </c>
      <c r="C15640">
        <v>17963</v>
      </c>
      <c r="D15640" t="str">
        <f>"466         "</f>
        <v xml:space="preserve">466         </v>
      </c>
      <c r="E15640" t="s">
        <v>1235</v>
      </c>
      <c r="F15640" t="s">
        <v>1236</v>
      </c>
      <c r="G15640">
        <v>87</v>
      </c>
      <c r="H15640">
        <v>251229</v>
      </c>
      <c r="I15640">
        <v>4520</v>
      </c>
      <c r="J15640" t="s">
        <v>280</v>
      </c>
      <c r="K15640">
        <v>87</v>
      </c>
      <c r="L15640">
        <v>10.68</v>
      </c>
      <c r="M15640">
        <v>54451</v>
      </c>
      <c r="N15640" t="s">
        <v>218</v>
      </c>
      <c r="O15640">
        <v>260107</v>
      </c>
      <c r="P15640">
        <v>76.319999999999993</v>
      </c>
    </row>
    <row r="15641" spans="1:16" x14ac:dyDescent="0.25">
      <c r="A15641" t="s">
        <v>3296</v>
      </c>
      <c r="B15641" t="s">
        <v>2931</v>
      </c>
      <c r="C15641">
        <v>18151</v>
      </c>
      <c r="D15641" t="str">
        <f>"475         "</f>
        <v xml:space="preserve">475         </v>
      </c>
      <c r="E15641" t="s">
        <v>1235</v>
      </c>
      <c r="F15641" t="s">
        <v>1236</v>
      </c>
      <c r="G15641">
        <v>109.44</v>
      </c>
      <c r="H15641">
        <v>251231</v>
      </c>
      <c r="I15641">
        <v>4520</v>
      </c>
      <c r="J15641" t="s">
        <v>280</v>
      </c>
      <c r="K15641">
        <v>109.44</v>
      </c>
      <c r="L15641">
        <v>13.44</v>
      </c>
      <c r="M15641">
        <v>54451</v>
      </c>
      <c r="N15641" t="s">
        <v>218</v>
      </c>
      <c r="O15641">
        <v>260109</v>
      </c>
      <c r="P15641">
        <v>96</v>
      </c>
    </row>
    <row r="15642" spans="1:16" x14ac:dyDescent="0.25">
      <c r="A15642" t="s">
        <v>3296</v>
      </c>
      <c r="B15642" t="s">
        <v>2931</v>
      </c>
      <c r="C15642">
        <v>5489</v>
      </c>
      <c r="D15642" t="str">
        <f>"10189050    "</f>
        <v xml:space="preserve">10189050    </v>
      </c>
      <c r="E15642" t="s">
        <v>1746</v>
      </c>
      <c r="F15642" t="s">
        <v>1747</v>
      </c>
      <c r="G15642">
        <v>11</v>
      </c>
      <c r="H15642">
        <v>250409</v>
      </c>
      <c r="I15642">
        <v>4420</v>
      </c>
      <c r="J15642" t="s">
        <v>330</v>
      </c>
      <c r="K15642">
        <v>11</v>
      </c>
      <c r="L15642">
        <v>0</v>
      </c>
      <c r="M15642">
        <v>11001</v>
      </c>
      <c r="N15642" t="s">
        <v>93</v>
      </c>
      <c r="O15642">
        <v>250425</v>
      </c>
      <c r="P15642">
        <v>11</v>
      </c>
    </row>
    <row r="15643" spans="1:16" x14ac:dyDescent="0.25">
      <c r="A15643" t="s">
        <v>3296</v>
      </c>
      <c r="B15643" t="s">
        <v>2931</v>
      </c>
      <c r="C15643">
        <v>16558</v>
      </c>
      <c r="D15643" t="str">
        <f>"36-2025     "</f>
        <v xml:space="preserve">36-2025     </v>
      </c>
      <c r="E15643" t="s">
        <v>2682</v>
      </c>
      <c r="F15643" t="s">
        <v>2683</v>
      </c>
      <c r="G15643">
        <v>3020</v>
      </c>
      <c r="H15643">
        <v>251204</v>
      </c>
      <c r="I15643">
        <v>4470</v>
      </c>
      <c r="J15643" t="s">
        <v>203</v>
      </c>
      <c r="K15643">
        <v>3020</v>
      </c>
      <c r="L15643">
        <v>613.63</v>
      </c>
      <c r="M15643">
        <v>69501</v>
      </c>
      <c r="N15643" t="s">
        <v>123</v>
      </c>
      <c r="O15643">
        <v>251210</v>
      </c>
      <c r="P15643">
        <v>2406.37</v>
      </c>
    </row>
    <row r="15644" spans="1:16" x14ac:dyDescent="0.25">
      <c r="A15644" t="s">
        <v>3296</v>
      </c>
      <c r="B15644" t="s">
        <v>2931</v>
      </c>
      <c r="C15644">
        <v>6421</v>
      </c>
      <c r="D15644" t="str">
        <f>"5579        "</f>
        <v xml:space="preserve">5579        </v>
      </c>
      <c r="E15644" t="s">
        <v>1835</v>
      </c>
      <c r="F15644" t="s">
        <v>1836</v>
      </c>
      <c r="G15644">
        <v>542.22</v>
      </c>
      <c r="H15644">
        <v>250506</v>
      </c>
      <c r="I15644">
        <v>1196</v>
      </c>
      <c r="J15644" t="s">
        <v>340</v>
      </c>
      <c r="K15644">
        <v>542.22</v>
      </c>
      <c r="L15644">
        <v>110.17</v>
      </c>
      <c r="M15644">
        <v>97701</v>
      </c>
      <c r="N15644" t="s">
        <v>1017</v>
      </c>
      <c r="O15644">
        <v>250513</v>
      </c>
      <c r="P15644">
        <v>432.05</v>
      </c>
    </row>
    <row r="15645" spans="1:16" x14ac:dyDescent="0.25">
      <c r="A15645" t="s">
        <v>3296</v>
      </c>
      <c r="B15645" t="s">
        <v>2931</v>
      </c>
      <c r="C15645">
        <v>6053</v>
      </c>
      <c r="D15645" t="str">
        <f>"5545        "</f>
        <v xml:space="preserve">5545        </v>
      </c>
      <c r="E15645" t="s">
        <v>1835</v>
      </c>
      <c r="F15645" t="s">
        <v>1836</v>
      </c>
      <c r="G15645">
        <v>112.95</v>
      </c>
      <c r="H15645">
        <v>250424</v>
      </c>
      <c r="I15645">
        <v>4390</v>
      </c>
      <c r="J15645" t="s">
        <v>232</v>
      </c>
      <c r="K15645">
        <v>376.5</v>
      </c>
      <c r="L15645">
        <v>22.95</v>
      </c>
      <c r="M15645">
        <v>14952</v>
      </c>
      <c r="N15645" t="s">
        <v>213</v>
      </c>
      <c r="O15645">
        <v>250508</v>
      </c>
      <c r="P15645">
        <v>90</v>
      </c>
    </row>
    <row r="15646" spans="1:16" x14ac:dyDescent="0.25">
      <c r="A15646" t="s">
        <v>3296</v>
      </c>
      <c r="B15646" t="s">
        <v>2931</v>
      </c>
      <c r="C15646">
        <v>6053</v>
      </c>
      <c r="D15646" t="str">
        <f>"5545        "</f>
        <v xml:space="preserve">5545        </v>
      </c>
      <c r="E15646" t="s">
        <v>1835</v>
      </c>
      <c r="F15646" t="s">
        <v>1836</v>
      </c>
      <c r="G15646">
        <v>263.55</v>
      </c>
      <c r="H15646">
        <v>250424</v>
      </c>
      <c r="I15646">
        <v>4390</v>
      </c>
      <c r="J15646" t="s">
        <v>232</v>
      </c>
      <c r="K15646">
        <v>376.5</v>
      </c>
      <c r="L15646">
        <v>53.55</v>
      </c>
      <c r="M15646">
        <v>14981</v>
      </c>
      <c r="N15646" t="s">
        <v>252</v>
      </c>
      <c r="O15646">
        <v>250508</v>
      </c>
      <c r="P15646">
        <v>210</v>
      </c>
    </row>
    <row r="15647" spans="1:16" x14ac:dyDescent="0.25">
      <c r="A15647" t="s">
        <v>3296</v>
      </c>
      <c r="B15647" t="s">
        <v>2931</v>
      </c>
      <c r="C15647">
        <v>16337</v>
      </c>
      <c r="D15647" t="str">
        <f>"10330       "</f>
        <v xml:space="preserve">10330       </v>
      </c>
      <c r="E15647" t="s">
        <v>2676</v>
      </c>
      <c r="F15647" t="s">
        <v>2677</v>
      </c>
      <c r="G15647">
        <v>753</v>
      </c>
      <c r="H15647">
        <v>251104</v>
      </c>
      <c r="I15647">
        <v>4440</v>
      </c>
      <c r="J15647" t="s">
        <v>346</v>
      </c>
      <c r="K15647">
        <v>753</v>
      </c>
      <c r="L15647">
        <v>153</v>
      </c>
      <c r="M15647">
        <v>13501</v>
      </c>
      <c r="N15647" t="s">
        <v>66</v>
      </c>
      <c r="O15647">
        <v>251208</v>
      </c>
      <c r="P15647">
        <v>600</v>
      </c>
    </row>
    <row r="15648" spans="1:16" x14ac:dyDescent="0.25">
      <c r="A15648" t="s">
        <v>3296</v>
      </c>
      <c r="B15648" t="s">
        <v>2931</v>
      </c>
      <c r="C15648">
        <v>759</v>
      </c>
      <c r="D15648" t="str">
        <f>"1001000227  "</f>
        <v xml:space="preserve">1001000227  </v>
      </c>
      <c r="E15648" t="s">
        <v>3332</v>
      </c>
      <c r="F15648" t="s">
        <v>718</v>
      </c>
      <c r="G15648">
        <v>439.25</v>
      </c>
      <c r="H15648">
        <v>250120</v>
      </c>
      <c r="I15648">
        <v>4510</v>
      </c>
      <c r="J15648" t="s">
        <v>240</v>
      </c>
      <c r="K15648">
        <v>439.25</v>
      </c>
      <c r="L15648">
        <v>89.25</v>
      </c>
      <c r="M15648">
        <v>61122</v>
      </c>
      <c r="N15648" t="s">
        <v>86</v>
      </c>
      <c r="O15648">
        <v>250129</v>
      </c>
      <c r="P15648">
        <v>350</v>
      </c>
    </row>
    <row r="15649" spans="1:16" x14ac:dyDescent="0.25">
      <c r="A15649" t="s">
        <v>3296</v>
      </c>
      <c r="B15649" t="s">
        <v>2931</v>
      </c>
      <c r="C15649">
        <v>10497</v>
      </c>
      <c r="D15649" t="str">
        <f>"140825      "</f>
        <v xml:space="preserve">140825      </v>
      </c>
      <c r="E15649" t="s">
        <v>2944</v>
      </c>
      <c r="F15649" t="s">
        <v>2945</v>
      </c>
      <c r="G15649">
        <v>150</v>
      </c>
      <c r="H15649">
        <v>250814</v>
      </c>
      <c r="I15649">
        <v>4940</v>
      </c>
      <c r="J15649" t="s">
        <v>250</v>
      </c>
      <c r="K15649">
        <v>150</v>
      </c>
      <c r="L15649">
        <v>0</v>
      </c>
      <c r="M15649">
        <v>11001</v>
      </c>
      <c r="N15649" t="s">
        <v>93</v>
      </c>
      <c r="O15649">
        <v>250820</v>
      </c>
      <c r="P15649">
        <v>150</v>
      </c>
    </row>
    <row r="15650" spans="1:16" x14ac:dyDescent="0.25">
      <c r="A15650" t="s">
        <v>3296</v>
      </c>
      <c r="B15650" t="s">
        <v>2931</v>
      </c>
      <c r="C15650">
        <v>16025</v>
      </c>
      <c r="D15650" t="str">
        <f>"2488        "</f>
        <v xml:space="preserve">2488        </v>
      </c>
      <c r="E15650" t="s">
        <v>2650</v>
      </c>
      <c r="F15650" t="s">
        <v>2651</v>
      </c>
      <c r="G15650">
        <v>254.3</v>
      </c>
      <c r="H15650">
        <v>251118</v>
      </c>
      <c r="I15650">
        <v>4600</v>
      </c>
      <c r="J15650" t="s">
        <v>278</v>
      </c>
      <c r="K15650">
        <v>254.3</v>
      </c>
      <c r="L15650">
        <v>51.67</v>
      </c>
      <c r="M15650">
        <v>17523</v>
      </c>
      <c r="N15650" t="s">
        <v>138</v>
      </c>
      <c r="O15650">
        <v>251202</v>
      </c>
      <c r="P15650">
        <v>202.63</v>
      </c>
    </row>
    <row r="15651" spans="1:16" x14ac:dyDescent="0.25">
      <c r="A15651" t="s">
        <v>3296</v>
      </c>
      <c r="B15651" t="s">
        <v>2931</v>
      </c>
      <c r="C15651">
        <v>8974</v>
      </c>
      <c r="D15651" t="str">
        <f>"10674       "</f>
        <v xml:space="preserve">10674       </v>
      </c>
      <c r="E15651" t="s">
        <v>2072</v>
      </c>
      <c r="F15651" t="s">
        <v>2073</v>
      </c>
      <c r="G15651">
        <v>177.8</v>
      </c>
      <c r="H15651">
        <v>250612</v>
      </c>
      <c r="I15651">
        <v>4410</v>
      </c>
      <c r="J15651" t="s">
        <v>165</v>
      </c>
      <c r="K15651">
        <v>177.8</v>
      </c>
      <c r="L15651">
        <v>21.84</v>
      </c>
      <c r="M15651">
        <v>18972</v>
      </c>
      <c r="N15651" t="s">
        <v>39</v>
      </c>
      <c r="O15651">
        <v>250624</v>
      </c>
      <c r="P15651">
        <v>155.96</v>
      </c>
    </row>
    <row r="15652" spans="1:16" x14ac:dyDescent="0.25">
      <c r="A15652" t="s">
        <v>3296</v>
      </c>
      <c r="B15652" t="s">
        <v>2931</v>
      </c>
      <c r="C15652">
        <v>598</v>
      </c>
      <c r="D15652" t="str">
        <f>"4300210737  "</f>
        <v xml:space="preserve">4300210737  </v>
      </c>
      <c r="E15652" t="s">
        <v>2848</v>
      </c>
      <c r="F15652" t="s">
        <v>2849</v>
      </c>
      <c r="G15652">
        <v>8</v>
      </c>
      <c r="H15652">
        <v>250121</v>
      </c>
      <c r="I15652">
        <v>4440</v>
      </c>
      <c r="J15652" t="s">
        <v>346</v>
      </c>
      <c r="K15652">
        <v>8</v>
      </c>
      <c r="L15652">
        <v>0</v>
      </c>
      <c r="M15652">
        <v>16431</v>
      </c>
      <c r="N15652" t="s">
        <v>17</v>
      </c>
      <c r="O15652">
        <v>250124</v>
      </c>
      <c r="P15652">
        <v>8</v>
      </c>
    </row>
    <row r="15653" spans="1:16" x14ac:dyDescent="0.25">
      <c r="A15653" t="s">
        <v>3296</v>
      </c>
      <c r="B15653" t="s">
        <v>2931</v>
      </c>
      <c r="C15653">
        <v>1122</v>
      </c>
      <c r="D15653" t="str">
        <f>"4300212086  "</f>
        <v xml:space="preserve">4300212086  </v>
      </c>
      <c r="E15653" t="s">
        <v>2848</v>
      </c>
      <c r="F15653" t="s">
        <v>2849</v>
      </c>
      <c r="G15653">
        <v>9</v>
      </c>
      <c r="H15653">
        <v>250129</v>
      </c>
      <c r="I15653">
        <v>4440</v>
      </c>
      <c r="J15653" t="s">
        <v>346</v>
      </c>
      <c r="K15653">
        <v>9</v>
      </c>
      <c r="L15653">
        <v>0</v>
      </c>
      <c r="M15653">
        <v>16431</v>
      </c>
      <c r="N15653" t="s">
        <v>17</v>
      </c>
      <c r="O15653">
        <v>250204</v>
      </c>
      <c r="P15653">
        <v>9</v>
      </c>
    </row>
    <row r="15654" spans="1:16" x14ac:dyDescent="0.25">
      <c r="A15654" t="s">
        <v>3296</v>
      </c>
      <c r="B15654" t="s">
        <v>2931</v>
      </c>
      <c r="C15654">
        <v>2874</v>
      </c>
      <c r="D15654" t="str">
        <f>"4300213833  "</f>
        <v xml:space="preserve">4300213833  </v>
      </c>
      <c r="E15654" t="s">
        <v>2848</v>
      </c>
      <c r="F15654" t="s">
        <v>2849</v>
      </c>
      <c r="G15654">
        <v>9</v>
      </c>
      <c r="H15654">
        <v>250224</v>
      </c>
      <c r="I15654">
        <v>4440</v>
      </c>
      <c r="J15654" t="s">
        <v>346</v>
      </c>
      <c r="K15654">
        <v>9</v>
      </c>
      <c r="L15654">
        <v>0</v>
      </c>
      <c r="M15654">
        <v>17805</v>
      </c>
      <c r="N15654" t="s">
        <v>21</v>
      </c>
      <c r="O15654">
        <v>250312</v>
      </c>
      <c r="P15654">
        <v>9</v>
      </c>
    </row>
    <row r="15655" spans="1:16" x14ac:dyDescent="0.25">
      <c r="A15655" t="s">
        <v>3296</v>
      </c>
      <c r="B15655" t="s">
        <v>2931</v>
      </c>
      <c r="C15655">
        <v>5456</v>
      </c>
      <c r="D15655" t="str">
        <f>"4300217083  "</f>
        <v xml:space="preserve">4300217083  </v>
      </c>
      <c r="E15655" t="s">
        <v>2848</v>
      </c>
      <c r="F15655" t="s">
        <v>2849</v>
      </c>
      <c r="G15655">
        <v>18</v>
      </c>
      <c r="H15655">
        <v>250401</v>
      </c>
      <c r="I15655">
        <v>4440</v>
      </c>
      <c r="J15655" t="s">
        <v>346</v>
      </c>
      <c r="K15655">
        <v>45</v>
      </c>
      <c r="L15655">
        <v>0</v>
      </c>
      <c r="M15655">
        <v>16322</v>
      </c>
      <c r="N15655" t="s">
        <v>331</v>
      </c>
      <c r="O15655">
        <v>250424</v>
      </c>
      <c r="P15655">
        <v>18</v>
      </c>
    </row>
    <row r="15656" spans="1:16" x14ac:dyDescent="0.25">
      <c r="A15656" t="s">
        <v>3296</v>
      </c>
      <c r="B15656" t="s">
        <v>2931</v>
      </c>
      <c r="C15656">
        <v>5456</v>
      </c>
      <c r="D15656" t="str">
        <f>"4300217083  "</f>
        <v xml:space="preserve">4300217083  </v>
      </c>
      <c r="E15656" t="s">
        <v>2848</v>
      </c>
      <c r="F15656" t="s">
        <v>2849</v>
      </c>
      <c r="G15656">
        <v>18</v>
      </c>
      <c r="H15656">
        <v>250401</v>
      </c>
      <c r="I15656">
        <v>4440</v>
      </c>
      <c r="J15656" t="s">
        <v>346</v>
      </c>
      <c r="K15656">
        <v>45</v>
      </c>
      <c r="L15656">
        <v>0</v>
      </c>
      <c r="M15656">
        <v>16447</v>
      </c>
      <c r="N15656" t="s">
        <v>1751</v>
      </c>
      <c r="O15656">
        <v>250424</v>
      </c>
      <c r="P15656">
        <v>18</v>
      </c>
    </row>
    <row r="15657" spans="1:16" x14ac:dyDescent="0.25">
      <c r="A15657" t="s">
        <v>3296</v>
      </c>
      <c r="B15657" t="s">
        <v>2931</v>
      </c>
      <c r="C15657">
        <v>5456</v>
      </c>
      <c r="D15657" t="str">
        <f>"4300217083  "</f>
        <v xml:space="preserve">4300217083  </v>
      </c>
      <c r="E15657" t="s">
        <v>2848</v>
      </c>
      <c r="F15657" t="s">
        <v>2849</v>
      </c>
      <c r="G15657">
        <v>9</v>
      </c>
      <c r="H15657">
        <v>250401</v>
      </c>
      <c r="I15657">
        <v>4440</v>
      </c>
      <c r="J15657" t="s">
        <v>346</v>
      </c>
      <c r="K15657">
        <v>45</v>
      </c>
      <c r="L15657">
        <v>0</v>
      </c>
      <c r="M15657">
        <v>17988</v>
      </c>
      <c r="N15657" t="s">
        <v>2862</v>
      </c>
      <c r="O15657">
        <v>250424</v>
      </c>
      <c r="P15657">
        <v>9</v>
      </c>
    </row>
    <row r="15658" spans="1:16" x14ac:dyDescent="0.25">
      <c r="A15658" t="s">
        <v>3296</v>
      </c>
      <c r="B15658" t="s">
        <v>2931</v>
      </c>
      <c r="C15658">
        <v>6829</v>
      </c>
      <c r="D15658" t="str">
        <f>"4300221510  "</f>
        <v xml:space="preserve">4300221510  </v>
      </c>
      <c r="E15658" t="s">
        <v>2848</v>
      </c>
      <c r="F15658" t="s">
        <v>2849</v>
      </c>
      <c r="G15658">
        <v>18</v>
      </c>
      <c r="H15658">
        <v>250430</v>
      </c>
      <c r="I15658">
        <v>4440</v>
      </c>
      <c r="J15658" t="s">
        <v>346</v>
      </c>
      <c r="K15658">
        <v>18</v>
      </c>
      <c r="L15658">
        <v>0</v>
      </c>
      <c r="M15658">
        <v>16447</v>
      </c>
      <c r="N15658" t="s">
        <v>1751</v>
      </c>
      <c r="O15658">
        <v>250519</v>
      </c>
      <c r="P15658">
        <v>18</v>
      </c>
    </row>
    <row r="15659" spans="1:16" x14ac:dyDescent="0.25">
      <c r="A15659" t="s">
        <v>3296</v>
      </c>
      <c r="B15659" t="s">
        <v>2931</v>
      </c>
      <c r="C15659">
        <v>7091</v>
      </c>
      <c r="D15659" t="str">
        <f>"4300222523  "</f>
        <v xml:space="preserve">4300222523  </v>
      </c>
      <c r="E15659" t="s">
        <v>2848</v>
      </c>
      <c r="F15659" t="s">
        <v>2849</v>
      </c>
      <c r="G15659">
        <v>18</v>
      </c>
      <c r="H15659">
        <v>250513</v>
      </c>
      <c r="I15659">
        <v>4440</v>
      </c>
      <c r="J15659" t="s">
        <v>346</v>
      </c>
      <c r="K15659">
        <v>18</v>
      </c>
      <c r="L15659">
        <v>0</v>
      </c>
      <c r="M15659">
        <v>16447</v>
      </c>
      <c r="N15659" t="s">
        <v>1751</v>
      </c>
      <c r="O15659">
        <v>250522</v>
      </c>
      <c r="P15659">
        <v>18</v>
      </c>
    </row>
    <row r="15660" spans="1:16" x14ac:dyDescent="0.25">
      <c r="A15660" t="s">
        <v>3296</v>
      </c>
      <c r="B15660" t="s">
        <v>2931</v>
      </c>
      <c r="C15660">
        <v>8189</v>
      </c>
      <c r="D15660" t="str">
        <f>"4300229215  "</f>
        <v xml:space="preserve">4300229215  </v>
      </c>
      <c r="E15660" t="s">
        <v>2848</v>
      </c>
      <c r="F15660" t="s">
        <v>2849</v>
      </c>
      <c r="G15660">
        <v>9</v>
      </c>
      <c r="H15660">
        <v>250527</v>
      </c>
      <c r="I15660">
        <v>4440</v>
      </c>
      <c r="J15660" t="s">
        <v>346</v>
      </c>
      <c r="K15660">
        <v>9</v>
      </c>
      <c r="L15660">
        <v>0</v>
      </c>
      <c r="M15660">
        <v>16447</v>
      </c>
      <c r="N15660" t="s">
        <v>1751</v>
      </c>
      <c r="O15660">
        <v>250612</v>
      </c>
      <c r="P15660">
        <v>9</v>
      </c>
    </row>
    <row r="15661" spans="1:16" x14ac:dyDescent="0.25">
      <c r="A15661" t="s">
        <v>3296</v>
      </c>
      <c r="B15661" t="s">
        <v>2931</v>
      </c>
      <c r="C15661">
        <v>11135</v>
      </c>
      <c r="D15661" t="str">
        <f>"4300237053  "</f>
        <v xml:space="preserve">4300237053  </v>
      </c>
      <c r="E15661" t="s">
        <v>2848</v>
      </c>
      <c r="F15661" t="s">
        <v>2849</v>
      </c>
      <c r="G15661">
        <v>9</v>
      </c>
      <c r="H15661">
        <v>250825</v>
      </c>
      <c r="I15661">
        <v>4440</v>
      </c>
      <c r="J15661" t="s">
        <v>346</v>
      </c>
      <c r="K15661">
        <v>9</v>
      </c>
      <c r="L15661">
        <v>0</v>
      </c>
      <c r="M15661">
        <v>16447</v>
      </c>
      <c r="N15661" t="s">
        <v>1751</v>
      </c>
      <c r="O15661">
        <v>250901</v>
      </c>
      <c r="P15661">
        <v>9</v>
      </c>
    </row>
    <row r="15662" spans="1:16" x14ac:dyDescent="0.25">
      <c r="A15662" t="s">
        <v>3296</v>
      </c>
      <c r="B15662" t="s">
        <v>2931</v>
      </c>
      <c r="C15662">
        <v>14859</v>
      </c>
      <c r="D15662" t="str">
        <f>"4300246855  "</f>
        <v xml:space="preserve">4300246855  </v>
      </c>
      <c r="E15662" t="s">
        <v>2848</v>
      </c>
      <c r="F15662" t="s">
        <v>2849</v>
      </c>
      <c r="G15662">
        <v>18</v>
      </c>
      <c r="H15662">
        <v>251031</v>
      </c>
      <c r="I15662">
        <v>4440</v>
      </c>
      <c r="J15662" t="s">
        <v>346</v>
      </c>
      <c r="K15662">
        <v>54</v>
      </c>
      <c r="L15662">
        <v>0</v>
      </c>
      <c r="M15662">
        <v>16321</v>
      </c>
      <c r="N15662" t="s">
        <v>16</v>
      </c>
      <c r="O15662">
        <v>251107</v>
      </c>
      <c r="P15662">
        <v>18</v>
      </c>
    </row>
    <row r="15663" spans="1:16" x14ac:dyDescent="0.25">
      <c r="A15663" t="s">
        <v>3296</v>
      </c>
      <c r="B15663" t="s">
        <v>2931</v>
      </c>
      <c r="C15663">
        <v>14859</v>
      </c>
      <c r="D15663" t="str">
        <f>"4300246855  "</f>
        <v xml:space="preserve">4300246855  </v>
      </c>
      <c r="E15663" t="s">
        <v>2848</v>
      </c>
      <c r="F15663" t="s">
        <v>2849</v>
      </c>
      <c r="G15663">
        <v>36</v>
      </c>
      <c r="H15663">
        <v>251031</v>
      </c>
      <c r="I15663">
        <v>4440</v>
      </c>
      <c r="J15663" t="s">
        <v>346</v>
      </c>
      <c r="K15663">
        <v>54</v>
      </c>
      <c r="L15663">
        <v>0</v>
      </c>
      <c r="M15663">
        <v>16447</v>
      </c>
      <c r="N15663" t="s">
        <v>1751</v>
      </c>
      <c r="O15663">
        <v>251107</v>
      </c>
      <c r="P15663">
        <v>36</v>
      </c>
    </row>
    <row r="15664" spans="1:16" x14ac:dyDescent="0.25">
      <c r="A15664" t="s">
        <v>3296</v>
      </c>
      <c r="B15664" t="s">
        <v>2931</v>
      </c>
      <c r="C15664">
        <v>15351</v>
      </c>
      <c r="D15664" t="str">
        <f>"4300247960  "</f>
        <v xml:space="preserve">4300247960  </v>
      </c>
      <c r="E15664" t="s">
        <v>2848</v>
      </c>
      <c r="F15664" t="s">
        <v>2849</v>
      </c>
      <c r="G15664">
        <v>9</v>
      </c>
      <c r="H15664">
        <v>251031</v>
      </c>
      <c r="I15664">
        <v>4440</v>
      </c>
      <c r="J15664" t="s">
        <v>346</v>
      </c>
      <c r="K15664">
        <v>63</v>
      </c>
      <c r="L15664">
        <v>0</v>
      </c>
      <c r="M15664">
        <v>16431</v>
      </c>
      <c r="N15664" t="s">
        <v>17</v>
      </c>
      <c r="O15664">
        <v>251119</v>
      </c>
      <c r="P15664">
        <v>9</v>
      </c>
    </row>
    <row r="15665" spans="1:16" x14ac:dyDescent="0.25">
      <c r="A15665" t="s">
        <v>3296</v>
      </c>
      <c r="B15665" t="s">
        <v>2931</v>
      </c>
      <c r="C15665">
        <v>15351</v>
      </c>
      <c r="D15665" t="str">
        <f>"4300247960  "</f>
        <v xml:space="preserve">4300247960  </v>
      </c>
      <c r="E15665" t="s">
        <v>2848</v>
      </c>
      <c r="F15665" t="s">
        <v>2849</v>
      </c>
      <c r="G15665">
        <v>18</v>
      </c>
      <c r="H15665">
        <v>251031</v>
      </c>
      <c r="I15665">
        <v>4440</v>
      </c>
      <c r="J15665" t="s">
        <v>346</v>
      </c>
      <c r="K15665">
        <v>63</v>
      </c>
      <c r="L15665">
        <v>0</v>
      </c>
      <c r="M15665">
        <v>16447</v>
      </c>
      <c r="N15665" t="s">
        <v>1751</v>
      </c>
      <c r="O15665">
        <v>251119</v>
      </c>
      <c r="P15665">
        <v>18</v>
      </c>
    </row>
    <row r="15666" spans="1:16" x14ac:dyDescent="0.25">
      <c r="A15666" t="s">
        <v>3296</v>
      </c>
      <c r="B15666" t="s">
        <v>2931</v>
      </c>
      <c r="C15666">
        <v>15351</v>
      </c>
      <c r="D15666" t="str">
        <f>"4300247960  "</f>
        <v xml:space="preserve">4300247960  </v>
      </c>
      <c r="E15666" t="s">
        <v>2848</v>
      </c>
      <c r="F15666" t="s">
        <v>2849</v>
      </c>
      <c r="G15666">
        <v>18</v>
      </c>
      <c r="H15666">
        <v>251031</v>
      </c>
      <c r="I15666">
        <v>4440</v>
      </c>
      <c r="J15666" t="s">
        <v>346</v>
      </c>
      <c r="K15666">
        <v>63</v>
      </c>
      <c r="L15666">
        <v>0</v>
      </c>
      <c r="M15666">
        <v>17805</v>
      </c>
      <c r="N15666" t="s">
        <v>21</v>
      </c>
      <c r="O15666">
        <v>251119</v>
      </c>
      <c r="P15666">
        <v>18</v>
      </c>
    </row>
    <row r="15667" spans="1:16" x14ac:dyDescent="0.25">
      <c r="A15667" t="s">
        <v>3296</v>
      </c>
      <c r="B15667" t="s">
        <v>2931</v>
      </c>
      <c r="C15667">
        <v>15351</v>
      </c>
      <c r="D15667" t="str">
        <f>"4300247960  "</f>
        <v xml:space="preserve">4300247960  </v>
      </c>
      <c r="E15667" t="s">
        <v>2848</v>
      </c>
      <c r="F15667" t="s">
        <v>2849</v>
      </c>
      <c r="G15667">
        <v>18</v>
      </c>
      <c r="H15667">
        <v>251031</v>
      </c>
      <c r="I15667">
        <v>4440</v>
      </c>
      <c r="J15667" t="s">
        <v>346</v>
      </c>
      <c r="K15667">
        <v>63</v>
      </c>
      <c r="L15667">
        <v>0</v>
      </c>
      <c r="M15667">
        <v>17988</v>
      </c>
      <c r="N15667" t="s">
        <v>2862</v>
      </c>
      <c r="O15667">
        <v>251119</v>
      </c>
      <c r="P15667">
        <v>18</v>
      </c>
    </row>
    <row r="15668" spans="1:16" x14ac:dyDescent="0.25">
      <c r="A15668" t="s">
        <v>3296</v>
      </c>
      <c r="B15668" t="s">
        <v>2931</v>
      </c>
      <c r="C15668">
        <v>16881</v>
      </c>
      <c r="D15668" t="str">
        <f>"4300249661  "</f>
        <v xml:space="preserve">4300249661  </v>
      </c>
      <c r="E15668" t="s">
        <v>2848</v>
      </c>
      <c r="F15668" t="s">
        <v>2849</v>
      </c>
      <c r="G15668">
        <v>9</v>
      </c>
      <c r="H15668">
        <v>251130</v>
      </c>
      <c r="I15668">
        <v>4440</v>
      </c>
      <c r="J15668" t="s">
        <v>346</v>
      </c>
      <c r="K15668">
        <v>18</v>
      </c>
      <c r="L15668">
        <v>0</v>
      </c>
      <c r="M15668">
        <v>16431</v>
      </c>
      <c r="N15668" t="s">
        <v>17</v>
      </c>
      <c r="O15668">
        <v>251215</v>
      </c>
      <c r="P15668">
        <v>9</v>
      </c>
    </row>
    <row r="15669" spans="1:16" x14ac:dyDescent="0.25">
      <c r="A15669" t="s">
        <v>3296</v>
      </c>
      <c r="B15669" t="s">
        <v>2931</v>
      </c>
      <c r="C15669">
        <v>16881</v>
      </c>
      <c r="D15669" t="str">
        <f>"4300249661  "</f>
        <v xml:space="preserve">4300249661  </v>
      </c>
      <c r="E15669" t="s">
        <v>2848</v>
      </c>
      <c r="F15669" t="s">
        <v>2849</v>
      </c>
      <c r="G15669">
        <v>9</v>
      </c>
      <c r="H15669">
        <v>251130</v>
      </c>
      <c r="I15669">
        <v>4440</v>
      </c>
      <c r="J15669" t="s">
        <v>346</v>
      </c>
      <c r="K15669">
        <v>18</v>
      </c>
      <c r="L15669">
        <v>0</v>
      </c>
      <c r="M15669">
        <v>16447</v>
      </c>
      <c r="N15669" t="s">
        <v>1751</v>
      </c>
      <c r="O15669">
        <v>251215</v>
      </c>
      <c r="P15669">
        <v>9</v>
      </c>
    </row>
    <row r="15670" spans="1:16" x14ac:dyDescent="0.25">
      <c r="A15670" t="s">
        <v>3296</v>
      </c>
      <c r="B15670" t="s">
        <v>2931</v>
      </c>
      <c r="C15670">
        <v>5753</v>
      </c>
      <c r="D15670" t="str">
        <f>"4300220222  "</f>
        <v xml:space="preserve">4300220222  </v>
      </c>
      <c r="E15670" t="s">
        <v>2848</v>
      </c>
      <c r="F15670" t="s">
        <v>2849</v>
      </c>
      <c r="G15670">
        <v>88</v>
      </c>
      <c r="H15670">
        <v>250417</v>
      </c>
      <c r="I15670">
        <v>4470</v>
      </c>
      <c r="J15670" t="s">
        <v>203</v>
      </c>
      <c r="K15670">
        <v>88</v>
      </c>
      <c r="L15670">
        <v>0</v>
      </c>
      <c r="M15670">
        <v>67554</v>
      </c>
      <c r="N15670" t="s">
        <v>317</v>
      </c>
      <c r="O15670">
        <v>250430</v>
      </c>
      <c r="P15670">
        <v>88</v>
      </c>
    </row>
    <row r="15671" spans="1:16" x14ac:dyDescent="0.25">
      <c r="A15671" t="s">
        <v>3296</v>
      </c>
      <c r="B15671" t="s">
        <v>2931</v>
      </c>
      <c r="C15671">
        <v>7107</v>
      </c>
      <c r="D15671" t="str">
        <f>"4300225358  "</f>
        <v xml:space="preserve">4300225358  </v>
      </c>
      <c r="E15671" t="s">
        <v>2848</v>
      </c>
      <c r="F15671" t="s">
        <v>2849</v>
      </c>
      <c r="G15671">
        <v>220</v>
      </c>
      <c r="H15671">
        <v>250514</v>
      </c>
      <c r="I15671">
        <v>4470</v>
      </c>
      <c r="J15671" t="s">
        <v>203</v>
      </c>
      <c r="K15671">
        <v>220</v>
      </c>
      <c r="L15671">
        <v>0</v>
      </c>
      <c r="M15671">
        <v>67554</v>
      </c>
      <c r="N15671" t="s">
        <v>317</v>
      </c>
      <c r="O15671">
        <v>250522</v>
      </c>
      <c r="P15671">
        <v>220</v>
      </c>
    </row>
    <row r="15672" spans="1:16" x14ac:dyDescent="0.25">
      <c r="A15672" t="s">
        <v>3296</v>
      </c>
      <c r="B15672" t="s">
        <v>2931</v>
      </c>
      <c r="C15672">
        <v>7535</v>
      </c>
      <c r="D15672" t="str">
        <f>"4300227465  "</f>
        <v xml:space="preserve">4300227465  </v>
      </c>
      <c r="E15672" t="s">
        <v>2848</v>
      </c>
      <c r="F15672" t="s">
        <v>2849</v>
      </c>
      <c r="G15672">
        <v>65</v>
      </c>
      <c r="H15672">
        <v>250519</v>
      </c>
      <c r="I15672">
        <v>4470</v>
      </c>
      <c r="J15672" t="s">
        <v>203</v>
      </c>
      <c r="K15672">
        <v>65</v>
      </c>
      <c r="L15672">
        <v>0</v>
      </c>
      <c r="M15672">
        <v>66754</v>
      </c>
      <c r="N15672" t="s">
        <v>119</v>
      </c>
      <c r="O15672">
        <v>250604</v>
      </c>
      <c r="P15672">
        <v>65</v>
      </c>
    </row>
    <row r="15673" spans="1:16" x14ac:dyDescent="0.25">
      <c r="A15673" t="s">
        <v>3296</v>
      </c>
      <c r="B15673" t="s">
        <v>2931</v>
      </c>
      <c r="C15673">
        <v>13688</v>
      </c>
      <c r="D15673" t="str">
        <f>"4300239699  "</f>
        <v xml:space="preserve">4300239699  </v>
      </c>
      <c r="E15673" t="s">
        <v>2848</v>
      </c>
      <c r="F15673" t="s">
        <v>2849</v>
      </c>
      <c r="G15673">
        <v>54</v>
      </c>
      <c r="H15673">
        <v>250930</v>
      </c>
      <c r="I15673">
        <v>4470</v>
      </c>
      <c r="J15673" t="s">
        <v>203</v>
      </c>
      <c r="K15673">
        <v>54</v>
      </c>
      <c r="L15673">
        <v>0</v>
      </c>
      <c r="M15673">
        <v>16431</v>
      </c>
      <c r="N15673" t="s">
        <v>17</v>
      </c>
      <c r="O15673">
        <v>251015</v>
      </c>
      <c r="P15673">
        <v>54</v>
      </c>
    </row>
    <row r="15674" spans="1:16" x14ac:dyDescent="0.25">
      <c r="A15674" t="s">
        <v>3296</v>
      </c>
      <c r="B15674" t="s">
        <v>2931</v>
      </c>
      <c r="C15674">
        <v>15647</v>
      </c>
      <c r="D15674" t="str">
        <f>"4300248259  "</f>
        <v xml:space="preserve">4300248259  </v>
      </c>
      <c r="E15674" t="s">
        <v>2848</v>
      </c>
      <c r="F15674" t="s">
        <v>2849</v>
      </c>
      <c r="G15674">
        <v>610</v>
      </c>
      <c r="H15674">
        <v>251118</v>
      </c>
      <c r="I15674">
        <v>4470</v>
      </c>
      <c r="J15674" t="s">
        <v>203</v>
      </c>
      <c r="K15674">
        <v>610</v>
      </c>
      <c r="L15674">
        <v>0</v>
      </c>
      <c r="M15674">
        <v>17737</v>
      </c>
      <c r="N15674" t="s">
        <v>156</v>
      </c>
      <c r="O15674">
        <v>251124</v>
      </c>
      <c r="P15674">
        <v>610</v>
      </c>
    </row>
    <row r="15675" spans="1:16" x14ac:dyDescent="0.25">
      <c r="A15675" t="s">
        <v>3296</v>
      </c>
      <c r="B15675" t="s">
        <v>2931</v>
      </c>
      <c r="C15675">
        <v>1283</v>
      </c>
      <c r="D15675" t="str">
        <f>"4300212114  "</f>
        <v xml:space="preserve">4300212114  </v>
      </c>
      <c r="E15675" t="s">
        <v>2848</v>
      </c>
      <c r="F15675" t="s">
        <v>2849</v>
      </c>
      <c r="G15675">
        <v>27</v>
      </c>
      <c r="H15675">
        <v>250129</v>
      </c>
      <c r="I15675">
        <v>4600</v>
      </c>
      <c r="J15675" t="s">
        <v>278</v>
      </c>
      <c r="K15675">
        <v>27</v>
      </c>
      <c r="L15675">
        <v>0</v>
      </c>
      <c r="M15675">
        <v>44222</v>
      </c>
      <c r="N15675" t="s">
        <v>96</v>
      </c>
      <c r="O15675">
        <v>250206</v>
      </c>
      <c r="P15675">
        <v>27</v>
      </c>
    </row>
    <row r="15676" spans="1:16" x14ac:dyDescent="0.25">
      <c r="A15676" t="s">
        <v>3296</v>
      </c>
      <c r="B15676" t="s">
        <v>2931</v>
      </c>
      <c r="C15676">
        <v>1563</v>
      </c>
      <c r="D15676" t="str">
        <f>"4300210720  "</f>
        <v xml:space="preserve">4300210720  </v>
      </c>
      <c r="E15676" t="s">
        <v>2848</v>
      </c>
      <c r="F15676" t="s">
        <v>2849</v>
      </c>
      <c r="G15676">
        <v>16</v>
      </c>
      <c r="H15676">
        <v>250210</v>
      </c>
      <c r="I15676">
        <v>4600</v>
      </c>
      <c r="J15676" t="s">
        <v>278</v>
      </c>
      <c r="K15676">
        <v>16</v>
      </c>
      <c r="L15676">
        <v>0</v>
      </c>
      <c r="M15676">
        <v>14640</v>
      </c>
      <c r="N15676" t="s">
        <v>78</v>
      </c>
      <c r="O15676">
        <v>250211</v>
      </c>
      <c r="P15676">
        <v>16</v>
      </c>
    </row>
    <row r="15677" spans="1:16" x14ac:dyDescent="0.25">
      <c r="A15677" t="s">
        <v>3296</v>
      </c>
      <c r="B15677" t="s">
        <v>2931</v>
      </c>
      <c r="C15677">
        <v>2184</v>
      </c>
      <c r="D15677" t="str">
        <f>"4300212087  "</f>
        <v xml:space="preserve">4300212087  </v>
      </c>
      <c r="E15677" t="s">
        <v>2848</v>
      </c>
      <c r="F15677" t="s">
        <v>2849</v>
      </c>
      <c r="G15677">
        <v>171</v>
      </c>
      <c r="H15677">
        <v>250201</v>
      </c>
      <c r="I15677">
        <v>4600</v>
      </c>
      <c r="J15677" t="s">
        <v>278</v>
      </c>
      <c r="K15677">
        <v>171</v>
      </c>
      <c r="L15677">
        <v>0</v>
      </c>
      <c r="M15677">
        <v>14422</v>
      </c>
      <c r="N15677" t="s">
        <v>73</v>
      </c>
      <c r="O15677">
        <v>250221</v>
      </c>
      <c r="P15677">
        <v>171</v>
      </c>
    </row>
    <row r="15678" spans="1:16" x14ac:dyDescent="0.25">
      <c r="A15678" t="s">
        <v>3296</v>
      </c>
      <c r="B15678" t="s">
        <v>2931</v>
      </c>
      <c r="C15678">
        <v>2193</v>
      </c>
      <c r="D15678" t="str">
        <f>"4300212622  "</f>
        <v xml:space="preserve">4300212622  </v>
      </c>
      <c r="E15678" t="s">
        <v>2848</v>
      </c>
      <c r="F15678" t="s">
        <v>2849</v>
      </c>
      <c r="G15678">
        <v>27</v>
      </c>
      <c r="H15678">
        <v>250204</v>
      </c>
      <c r="I15678">
        <v>4600</v>
      </c>
      <c r="J15678" t="s">
        <v>278</v>
      </c>
      <c r="K15678">
        <v>27</v>
      </c>
      <c r="L15678">
        <v>0</v>
      </c>
      <c r="M15678">
        <v>59815</v>
      </c>
      <c r="N15678" t="s">
        <v>1001</v>
      </c>
      <c r="O15678">
        <v>250221</v>
      </c>
      <c r="P15678">
        <v>27</v>
      </c>
    </row>
    <row r="15679" spans="1:16" x14ac:dyDescent="0.25">
      <c r="A15679" t="s">
        <v>3296</v>
      </c>
      <c r="B15679" t="s">
        <v>2931</v>
      </c>
      <c r="C15679">
        <v>2195</v>
      </c>
      <c r="D15679" t="str">
        <f>"4300212556  "</f>
        <v xml:space="preserve">4300212556  </v>
      </c>
      <c r="E15679" t="s">
        <v>2848</v>
      </c>
      <c r="F15679" t="s">
        <v>2849</v>
      </c>
      <c r="G15679">
        <v>18</v>
      </c>
      <c r="H15679">
        <v>250204</v>
      </c>
      <c r="I15679">
        <v>4600</v>
      </c>
      <c r="J15679" t="s">
        <v>278</v>
      </c>
      <c r="K15679">
        <v>18</v>
      </c>
      <c r="L15679">
        <v>0</v>
      </c>
      <c r="M15679">
        <v>14422</v>
      </c>
      <c r="N15679" t="s">
        <v>73</v>
      </c>
      <c r="O15679">
        <v>250221</v>
      </c>
      <c r="P15679">
        <v>18</v>
      </c>
    </row>
    <row r="15680" spans="1:16" x14ac:dyDescent="0.25">
      <c r="A15680" t="s">
        <v>3296</v>
      </c>
      <c r="B15680" t="s">
        <v>2931</v>
      </c>
      <c r="C15680">
        <v>2210</v>
      </c>
      <c r="D15680" t="str">
        <f>"4300213105  "</f>
        <v xml:space="preserve">4300213105  </v>
      </c>
      <c r="E15680" t="s">
        <v>2848</v>
      </c>
      <c r="F15680" t="s">
        <v>2849</v>
      </c>
      <c r="G15680">
        <v>36</v>
      </c>
      <c r="H15680">
        <v>250210</v>
      </c>
      <c r="I15680">
        <v>4600</v>
      </c>
      <c r="J15680" t="s">
        <v>278</v>
      </c>
      <c r="K15680">
        <v>72</v>
      </c>
      <c r="L15680">
        <v>0</v>
      </c>
      <c r="M15680">
        <v>43222</v>
      </c>
      <c r="N15680" t="s">
        <v>95</v>
      </c>
      <c r="O15680">
        <v>250221</v>
      </c>
      <c r="P15680">
        <v>36</v>
      </c>
    </row>
    <row r="15681" spans="1:16" x14ac:dyDescent="0.25">
      <c r="A15681" t="s">
        <v>3296</v>
      </c>
      <c r="B15681" t="s">
        <v>2931</v>
      </c>
      <c r="C15681">
        <v>2210</v>
      </c>
      <c r="D15681" t="str">
        <f>"4300213105  "</f>
        <v xml:space="preserve">4300213105  </v>
      </c>
      <c r="E15681" t="s">
        <v>2848</v>
      </c>
      <c r="F15681" t="s">
        <v>2849</v>
      </c>
      <c r="G15681">
        <v>18</v>
      </c>
      <c r="H15681">
        <v>250210</v>
      </c>
      <c r="I15681">
        <v>4600</v>
      </c>
      <c r="J15681" t="s">
        <v>278</v>
      </c>
      <c r="K15681">
        <v>72</v>
      </c>
      <c r="L15681">
        <v>0</v>
      </c>
      <c r="M15681">
        <v>44222</v>
      </c>
      <c r="N15681" t="s">
        <v>96</v>
      </c>
      <c r="O15681">
        <v>250221</v>
      </c>
      <c r="P15681">
        <v>18</v>
      </c>
    </row>
    <row r="15682" spans="1:16" x14ac:dyDescent="0.25">
      <c r="A15682" t="s">
        <v>3296</v>
      </c>
      <c r="B15682" t="s">
        <v>2931</v>
      </c>
      <c r="C15682">
        <v>2210</v>
      </c>
      <c r="D15682" t="str">
        <f>"4300213105  "</f>
        <v xml:space="preserve">4300213105  </v>
      </c>
      <c r="E15682" t="s">
        <v>2848</v>
      </c>
      <c r="F15682" t="s">
        <v>2849</v>
      </c>
      <c r="G15682">
        <v>18</v>
      </c>
      <c r="H15682">
        <v>250210</v>
      </c>
      <c r="I15682">
        <v>4600</v>
      </c>
      <c r="J15682" t="s">
        <v>278</v>
      </c>
      <c r="K15682">
        <v>72</v>
      </c>
      <c r="L15682">
        <v>0</v>
      </c>
      <c r="M15682">
        <v>49808</v>
      </c>
      <c r="N15682" t="s">
        <v>2857</v>
      </c>
      <c r="O15682">
        <v>250221</v>
      </c>
      <c r="P15682">
        <v>18</v>
      </c>
    </row>
    <row r="15683" spans="1:16" x14ac:dyDescent="0.25">
      <c r="A15683" t="s">
        <v>3296</v>
      </c>
      <c r="B15683" t="s">
        <v>2931</v>
      </c>
      <c r="C15683">
        <v>2932</v>
      </c>
      <c r="D15683" t="str">
        <f>"4300213903  "</f>
        <v xml:space="preserve">4300213903  </v>
      </c>
      <c r="E15683" t="s">
        <v>2848</v>
      </c>
      <c r="F15683" t="s">
        <v>2849</v>
      </c>
      <c r="G15683">
        <v>54</v>
      </c>
      <c r="H15683">
        <v>250224</v>
      </c>
      <c r="I15683">
        <v>4600</v>
      </c>
      <c r="J15683" t="s">
        <v>278</v>
      </c>
      <c r="K15683">
        <v>54</v>
      </c>
      <c r="L15683">
        <v>0</v>
      </c>
      <c r="M15683">
        <v>14422</v>
      </c>
      <c r="N15683" t="s">
        <v>73</v>
      </c>
      <c r="O15683">
        <v>250313</v>
      </c>
      <c r="P15683">
        <v>54</v>
      </c>
    </row>
    <row r="15684" spans="1:16" x14ac:dyDescent="0.25">
      <c r="A15684" t="s">
        <v>3296</v>
      </c>
      <c r="B15684" t="s">
        <v>2931</v>
      </c>
      <c r="C15684">
        <v>3343</v>
      </c>
      <c r="D15684" t="str">
        <f>"4300214247  "</f>
        <v xml:space="preserve">4300214247  </v>
      </c>
      <c r="E15684" t="s">
        <v>2848</v>
      </c>
      <c r="F15684" t="s">
        <v>2849</v>
      </c>
      <c r="G15684">
        <v>18</v>
      </c>
      <c r="H15684">
        <v>250228</v>
      </c>
      <c r="I15684">
        <v>4600</v>
      </c>
      <c r="J15684" t="s">
        <v>278</v>
      </c>
      <c r="K15684">
        <v>72</v>
      </c>
      <c r="L15684">
        <v>0</v>
      </c>
      <c r="M15684">
        <v>54622</v>
      </c>
      <c r="N15684" t="s">
        <v>42</v>
      </c>
      <c r="O15684">
        <v>250318</v>
      </c>
      <c r="P15684">
        <v>18</v>
      </c>
    </row>
    <row r="15685" spans="1:16" x14ac:dyDescent="0.25">
      <c r="A15685" t="s">
        <v>3296</v>
      </c>
      <c r="B15685" t="s">
        <v>2931</v>
      </c>
      <c r="C15685">
        <v>3343</v>
      </c>
      <c r="D15685" t="str">
        <f>"4300214247  "</f>
        <v xml:space="preserve">4300214247  </v>
      </c>
      <c r="E15685" t="s">
        <v>2848</v>
      </c>
      <c r="F15685" t="s">
        <v>2849</v>
      </c>
      <c r="G15685">
        <v>54</v>
      </c>
      <c r="H15685">
        <v>250228</v>
      </c>
      <c r="I15685">
        <v>4600</v>
      </c>
      <c r="J15685" t="s">
        <v>278</v>
      </c>
      <c r="K15685">
        <v>72</v>
      </c>
      <c r="L15685">
        <v>0</v>
      </c>
      <c r="M15685">
        <v>59815</v>
      </c>
      <c r="N15685" t="s">
        <v>1001</v>
      </c>
      <c r="O15685">
        <v>250318</v>
      </c>
      <c r="P15685">
        <v>54</v>
      </c>
    </row>
    <row r="15686" spans="1:16" x14ac:dyDescent="0.25">
      <c r="A15686" t="s">
        <v>3296</v>
      </c>
      <c r="B15686" t="s">
        <v>2931</v>
      </c>
      <c r="C15686">
        <v>4075</v>
      </c>
      <c r="D15686" t="str">
        <f>"4300215356  "</f>
        <v xml:space="preserve">4300215356  </v>
      </c>
      <c r="E15686" t="s">
        <v>2848</v>
      </c>
      <c r="F15686" t="s">
        <v>2849</v>
      </c>
      <c r="G15686">
        <v>9</v>
      </c>
      <c r="H15686">
        <v>250317</v>
      </c>
      <c r="I15686">
        <v>4600</v>
      </c>
      <c r="J15686" t="s">
        <v>278</v>
      </c>
      <c r="K15686">
        <v>9</v>
      </c>
      <c r="L15686">
        <v>0</v>
      </c>
      <c r="M15686">
        <v>44222</v>
      </c>
      <c r="N15686" t="s">
        <v>96</v>
      </c>
      <c r="O15686">
        <v>250407</v>
      </c>
      <c r="P15686">
        <v>9</v>
      </c>
    </row>
    <row r="15687" spans="1:16" x14ac:dyDescent="0.25">
      <c r="A15687" t="s">
        <v>3296</v>
      </c>
      <c r="B15687" t="s">
        <v>2931</v>
      </c>
      <c r="C15687">
        <v>4204</v>
      </c>
      <c r="D15687" t="str">
        <f>"4300215707  "</f>
        <v xml:space="preserve">4300215707  </v>
      </c>
      <c r="E15687" t="s">
        <v>2848</v>
      </c>
      <c r="F15687" t="s">
        <v>2849</v>
      </c>
      <c r="G15687">
        <v>9</v>
      </c>
      <c r="H15687">
        <v>250320</v>
      </c>
      <c r="I15687">
        <v>4600</v>
      </c>
      <c r="J15687" t="s">
        <v>278</v>
      </c>
      <c r="K15687">
        <v>9</v>
      </c>
      <c r="L15687">
        <v>0</v>
      </c>
      <c r="M15687">
        <v>14422</v>
      </c>
      <c r="N15687" t="s">
        <v>73</v>
      </c>
      <c r="O15687">
        <v>250409</v>
      </c>
      <c r="P15687">
        <v>9</v>
      </c>
    </row>
    <row r="15688" spans="1:16" x14ac:dyDescent="0.25">
      <c r="A15688" t="s">
        <v>3296</v>
      </c>
      <c r="B15688" t="s">
        <v>2931</v>
      </c>
      <c r="C15688">
        <v>4912</v>
      </c>
      <c r="D15688" t="str">
        <f>"4300216198  "</f>
        <v xml:space="preserve">4300216198  </v>
      </c>
      <c r="E15688" t="s">
        <v>2848</v>
      </c>
      <c r="F15688" t="s">
        <v>2849</v>
      </c>
      <c r="G15688">
        <v>45</v>
      </c>
      <c r="H15688">
        <v>250331</v>
      </c>
      <c r="I15688">
        <v>4600</v>
      </c>
      <c r="J15688" t="s">
        <v>278</v>
      </c>
      <c r="K15688">
        <v>99</v>
      </c>
      <c r="L15688">
        <v>0</v>
      </c>
      <c r="M15688">
        <v>53222</v>
      </c>
      <c r="N15688" t="s">
        <v>41</v>
      </c>
      <c r="O15688">
        <v>250416</v>
      </c>
      <c r="P15688">
        <v>45</v>
      </c>
    </row>
    <row r="15689" spans="1:16" x14ac:dyDescent="0.25">
      <c r="A15689" t="s">
        <v>3296</v>
      </c>
      <c r="B15689" t="s">
        <v>2931</v>
      </c>
      <c r="C15689">
        <v>4912</v>
      </c>
      <c r="D15689" t="str">
        <f>"4300216198  "</f>
        <v xml:space="preserve">4300216198  </v>
      </c>
      <c r="E15689" t="s">
        <v>2848</v>
      </c>
      <c r="F15689" t="s">
        <v>2849</v>
      </c>
      <c r="G15689">
        <v>54</v>
      </c>
      <c r="H15689">
        <v>250331</v>
      </c>
      <c r="I15689">
        <v>4600</v>
      </c>
      <c r="J15689" t="s">
        <v>278</v>
      </c>
      <c r="K15689">
        <v>99</v>
      </c>
      <c r="L15689">
        <v>0</v>
      </c>
      <c r="M15689">
        <v>59815</v>
      </c>
      <c r="N15689" t="s">
        <v>1001</v>
      </c>
      <c r="O15689">
        <v>250416</v>
      </c>
      <c r="P15689">
        <v>54</v>
      </c>
    </row>
    <row r="15690" spans="1:16" x14ac:dyDescent="0.25">
      <c r="A15690" t="s">
        <v>3296</v>
      </c>
      <c r="B15690" t="s">
        <v>2931</v>
      </c>
      <c r="C15690">
        <v>4923</v>
      </c>
      <c r="D15690" t="str">
        <f>"4300216108  "</f>
        <v xml:space="preserve">4300216108  </v>
      </c>
      <c r="E15690" t="s">
        <v>2848</v>
      </c>
      <c r="F15690" t="s">
        <v>2849</v>
      </c>
      <c r="G15690">
        <v>18</v>
      </c>
      <c r="H15690">
        <v>250331</v>
      </c>
      <c r="I15690">
        <v>4600</v>
      </c>
      <c r="J15690" t="s">
        <v>278</v>
      </c>
      <c r="K15690">
        <v>18</v>
      </c>
      <c r="L15690">
        <v>0</v>
      </c>
      <c r="M15690">
        <v>14422</v>
      </c>
      <c r="N15690" t="s">
        <v>73</v>
      </c>
      <c r="O15690">
        <v>250416</v>
      </c>
      <c r="P15690">
        <v>18</v>
      </c>
    </row>
    <row r="15691" spans="1:16" x14ac:dyDescent="0.25">
      <c r="A15691" t="s">
        <v>3296</v>
      </c>
      <c r="B15691" t="s">
        <v>2931</v>
      </c>
      <c r="C15691">
        <v>4945</v>
      </c>
      <c r="D15691" t="str">
        <f>"43002161148 "</f>
        <v xml:space="preserve">43002161148 </v>
      </c>
      <c r="E15691" t="s">
        <v>2848</v>
      </c>
      <c r="F15691" t="s">
        <v>2849</v>
      </c>
      <c r="G15691">
        <v>18</v>
      </c>
      <c r="H15691">
        <v>250331</v>
      </c>
      <c r="I15691">
        <v>4600</v>
      </c>
      <c r="J15691" t="s">
        <v>278</v>
      </c>
      <c r="K15691">
        <v>18</v>
      </c>
      <c r="L15691">
        <v>0</v>
      </c>
      <c r="M15691">
        <v>49808</v>
      </c>
      <c r="N15691" t="s">
        <v>2857</v>
      </c>
      <c r="O15691">
        <v>250416</v>
      </c>
      <c r="P15691">
        <v>18</v>
      </c>
    </row>
    <row r="15692" spans="1:16" x14ac:dyDescent="0.25">
      <c r="A15692" t="s">
        <v>3296</v>
      </c>
      <c r="B15692" t="s">
        <v>2931</v>
      </c>
      <c r="C15692">
        <v>5631</v>
      </c>
      <c r="D15692" t="str">
        <f>"4300218133  "</f>
        <v xml:space="preserve">4300218133  </v>
      </c>
      <c r="E15692" t="s">
        <v>2848</v>
      </c>
      <c r="F15692" t="s">
        <v>2849</v>
      </c>
      <c r="G15692">
        <v>63</v>
      </c>
      <c r="H15692">
        <v>250417</v>
      </c>
      <c r="I15692">
        <v>4600</v>
      </c>
      <c r="J15692" t="s">
        <v>278</v>
      </c>
      <c r="K15692">
        <v>63</v>
      </c>
      <c r="L15692">
        <v>0</v>
      </c>
      <c r="M15692">
        <v>14422</v>
      </c>
      <c r="N15692" t="s">
        <v>73</v>
      </c>
      <c r="O15692">
        <v>250428</v>
      </c>
      <c r="P15692">
        <v>63</v>
      </c>
    </row>
    <row r="15693" spans="1:16" x14ac:dyDescent="0.25">
      <c r="A15693" t="s">
        <v>3296</v>
      </c>
      <c r="B15693" t="s">
        <v>2931</v>
      </c>
      <c r="C15693">
        <v>6253</v>
      </c>
      <c r="D15693" t="str">
        <f>"4300221368  "</f>
        <v xml:space="preserve">4300221368  </v>
      </c>
      <c r="E15693" t="s">
        <v>2848</v>
      </c>
      <c r="F15693" t="s">
        <v>2849</v>
      </c>
      <c r="G15693">
        <v>18</v>
      </c>
      <c r="H15693">
        <v>250424</v>
      </c>
      <c r="I15693">
        <v>4600</v>
      </c>
      <c r="J15693" t="s">
        <v>278</v>
      </c>
      <c r="K15693">
        <v>18</v>
      </c>
      <c r="L15693">
        <v>0</v>
      </c>
      <c r="M15693">
        <v>49808</v>
      </c>
      <c r="N15693" t="s">
        <v>2857</v>
      </c>
      <c r="O15693">
        <v>250512</v>
      </c>
      <c r="P15693">
        <v>18</v>
      </c>
    </row>
    <row r="15694" spans="1:16" x14ac:dyDescent="0.25">
      <c r="A15694" t="s">
        <v>3296</v>
      </c>
      <c r="B15694" t="s">
        <v>2931</v>
      </c>
      <c r="C15694">
        <v>6436</v>
      </c>
      <c r="D15694" t="str">
        <f>"4300221511  "</f>
        <v xml:space="preserve">4300221511  </v>
      </c>
      <c r="E15694" t="s">
        <v>2848</v>
      </c>
      <c r="F15694" t="s">
        <v>2849</v>
      </c>
      <c r="G15694">
        <v>36</v>
      </c>
      <c r="H15694">
        <v>250430</v>
      </c>
      <c r="I15694">
        <v>4600</v>
      </c>
      <c r="J15694" t="s">
        <v>278</v>
      </c>
      <c r="K15694">
        <v>36</v>
      </c>
      <c r="L15694">
        <v>0</v>
      </c>
      <c r="M15694">
        <v>14422</v>
      </c>
      <c r="N15694" t="s">
        <v>73</v>
      </c>
      <c r="O15694">
        <v>250513</v>
      </c>
      <c r="P15694">
        <v>36</v>
      </c>
    </row>
    <row r="15695" spans="1:16" x14ac:dyDescent="0.25">
      <c r="A15695" t="s">
        <v>3296</v>
      </c>
      <c r="B15695" t="s">
        <v>2931</v>
      </c>
      <c r="C15695">
        <v>6651</v>
      </c>
      <c r="D15695" t="str">
        <f>"4300221439  "</f>
        <v xml:space="preserve">4300221439  </v>
      </c>
      <c r="E15695" t="s">
        <v>2848</v>
      </c>
      <c r="F15695" t="s">
        <v>2849</v>
      </c>
      <c r="G15695">
        <v>9</v>
      </c>
      <c r="H15695">
        <v>250428</v>
      </c>
      <c r="I15695">
        <v>4600</v>
      </c>
      <c r="J15695" t="s">
        <v>278</v>
      </c>
      <c r="K15695">
        <v>18</v>
      </c>
      <c r="L15695">
        <v>0</v>
      </c>
      <c r="M15695">
        <v>56563</v>
      </c>
      <c r="N15695" t="s">
        <v>55</v>
      </c>
      <c r="O15695">
        <v>250514</v>
      </c>
      <c r="P15695">
        <v>9</v>
      </c>
    </row>
    <row r="15696" spans="1:16" x14ac:dyDescent="0.25">
      <c r="A15696" t="s">
        <v>3296</v>
      </c>
      <c r="B15696" t="s">
        <v>2931</v>
      </c>
      <c r="C15696">
        <v>6651</v>
      </c>
      <c r="D15696" t="str">
        <f>"4300221439  "</f>
        <v xml:space="preserve">4300221439  </v>
      </c>
      <c r="E15696" t="s">
        <v>2848</v>
      </c>
      <c r="F15696" t="s">
        <v>2849</v>
      </c>
      <c r="G15696">
        <v>9</v>
      </c>
      <c r="H15696">
        <v>250428</v>
      </c>
      <c r="I15696">
        <v>4600</v>
      </c>
      <c r="J15696" t="s">
        <v>278</v>
      </c>
      <c r="K15696">
        <v>18</v>
      </c>
      <c r="L15696">
        <v>0</v>
      </c>
      <c r="M15696">
        <v>59815</v>
      </c>
      <c r="N15696" t="s">
        <v>1001</v>
      </c>
      <c r="O15696">
        <v>250514</v>
      </c>
      <c r="P15696">
        <v>9</v>
      </c>
    </row>
    <row r="15697" spans="1:16" x14ac:dyDescent="0.25">
      <c r="A15697" t="s">
        <v>3296</v>
      </c>
      <c r="B15697" t="s">
        <v>2931</v>
      </c>
      <c r="C15697">
        <v>6914</v>
      </c>
      <c r="D15697" t="str">
        <f>"4300222399  "</f>
        <v xml:space="preserve">4300222399  </v>
      </c>
      <c r="E15697" t="s">
        <v>2848</v>
      </c>
      <c r="F15697" t="s">
        <v>2849</v>
      </c>
      <c r="G15697">
        <v>9</v>
      </c>
      <c r="H15697">
        <v>250501</v>
      </c>
      <c r="I15697">
        <v>4600</v>
      </c>
      <c r="J15697" t="s">
        <v>278</v>
      </c>
      <c r="K15697">
        <v>27</v>
      </c>
      <c r="L15697">
        <v>0</v>
      </c>
      <c r="M15697">
        <v>53222</v>
      </c>
      <c r="N15697" t="s">
        <v>41</v>
      </c>
      <c r="O15697">
        <v>250520</v>
      </c>
      <c r="P15697">
        <v>9</v>
      </c>
    </row>
    <row r="15698" spans="1:16" x14ac:dyDescent="0.25">
      <c r="A15698" t="s">
        <v>3296</v>
      </c>
      <c r="B15698" t="s">
        <v>2931</v>
      </c>
      <c r="C15698">
        <v>6914</v>
      </c>
      <c r="D15698" t="str">
        <f>"4300222399  "</f>
        <v xml:space="preserve">4300222399  </v>
      </c>
      <c r="E15698" t="s">
        <v>2848</v>
      </c>
      <c r="F15698" t="s">
        <v>2849</v>
      </c>
      <c r="G15698">
        <v>18</v>
      </c>
      <c r="H15698">
        <v>250501</v>
      </c>
      <c r="I15698">
        <v>4600</v>
      </c>
      <c r="J15698" t="s">
        <v>278</v>
      </c>
      <c r="K15698">
        <v>27</v>
      </c>
      <c r="L15698">
        <v>0</v>
      </c>
      <c r="M15698">
        <v>59815</v>
      </c>
      <c r="N15698" t="s">
        <v>1001</v>
      </c>
      <c r="O15698">
        <v>250520</v>
      </c>
      <c r="P15698">
        <v>18</v>
      </c>
    </row>
    <row r="15699" spans="1:16" x14ac:dyDescent="0.25">
      <c r="A15699" t="s">
        <v>3296</v>
      </c>
      <c r="B15699" t="s">
        <v>2931</v>
      </c>
      <c r="C15699">
        <v>7317</v>
      </c>
      <c r="D15699" t="str">
        <f>"4300222557  "</f>
        <v xml:space="preserve">4300222557  </v>
      </c>
      <c r="E15699" t="s">
        <v>2848</v>
      </c>
      <c r="F15699" t="s">
        <v>2849</v>
      </c>
      <c r="G15699">
        <v>27</v>
      </c>
      <c r="H15699">
        <v>250513</v>
      </c>
      <c r="I15699">
        <v>4600</v>
      </c>
      <c r="J15699" t="s">
        <v>278</v>
      </c>
      <c r="K15699">
        <v>72</v>
      </c>
      <c r="L15699">
        <v>0</v>
      </c>
      <c r="M15699">
        <v>44222</v>
      </c>
      <c r="N15699" t="s">
        <v>96</v>
      </c>
      <c r="O15699">
        <v>250603</v>
      </c>
      <c r="P15699">
        <v>27</v>
      </c>
    </row>
    <row r="15700" spans="1:16" x14ac:dyDescent="0.25">
      <c r="A15700" t="s">
        <v>3296</v>
      </c>
      <c r="B15700" t="s">
        <v>2931</v>
      </c>
      <c r="C15700">
        <v>7317</v>
      </c>
      <c r="D15700" t="str">
        <f>"4300222557  "</f>
        <v xml:space="preserve">4300222557  </v>
      </c>
      <c r="E15700" t="s">
        <v>2848</v>
      </c>
      <c r="F15700" t="s">
        <v>2849</v>
      </c>
      <c r="G15700">
        <v>45</v>
      </c>
      <c r="H15700">
        <v>250513</v>
      </c>
      <c r="I15700">
        <v>4600</v>
      </c>
      <c r="J15700" t="s">
        <v>278</v>
      </c>
      <c r="K15700">
        <v>72</v>
      </c>
      <c r="L15700">
        <v>0</v>
      </c>
      <c r="M15700">
        <v>49808</v>
      </c>
      <c r="N15700" t="s">
        <v>2857</v>
      </c>
      <c r="O15700">
        <v>250603</v>
      </c>
      <c r="P15700">
        <v>45</v>
      </c>
    </row>
    <row r="15701" spans="1:16" x14ac:dyDescent="0.25">
      <c r="A15701" t="s">
        <v>3296</v>
      </c>
      <c r="B15701" t="s">
        <v>2931</v>
      </c>
      <c r="C15701">
        <v>7597</v>
      </c>
      <c r="D15701" t="str">
        <f>"4300228540  "</f>
        <v xml:space="preserve">4300228540  </v>
      </c>
      <c r="E15701" t="s">
        <v>2848</v>
      </c>
      <c r="F15701" t="s">
        <v>2849</v>
      </c>
      <c r="G15701">
        <v>108</v>
      </c>
      <c r="H15701">
        <v>250521</v>
      </c>
      <c r="I15701">
        <v>4600</v>
      </c>
      <c r="J15701" t="s">
        <v>278</v>
      </c>
      <c r="K15701">
        <v>108</v>
      </c>
      <c r="L15701">
        <v>0</v>
      </c>
      <c r="M15701">
        <v>14422</v>
      </c>
      <c r="N15701" t="s">
        <v>73</v>
      </c>
      <c r="O15701">
        <v>250604</v>
      </c>
      <c r="P15701">
        <v>108</v>
      </c>
    </row>
    <row r="15702" spans="1:16" x14ac:dyDescent="0.25">
      <c r="A15702" t="s">
        <v>3296</v>
      </c>
      <c r="B15702" t="s">
        <v>2931</v>
      </c>
      <c r="C15702">
        <v>8634</v>
      </c>
      <c r="D15702" t="str">
        <f>"4300229306  "</f>
        <v xml:space="preserve">4300229306  </v>
      </c>
      <c r="E15702" t="s">
        <v>2848</v>
      </c>
      <c r="F15702" t="s">
        <v>2849</v>
      </c>
      <c r="G15702">
        <v>9</v>
      </c>
      <c r="H15702">
        <v>250527</v>
      </c>
      <c r="I15702">
        <v>4600</v>
      </c>
      <c r="J15702" t="s">
        <v>278</v>
      </c>
      <c r="K15702">
        <v>9</v>
      </c>
      <c r="L15702">
        <v>0</v>
      </c>
      <c r="M15702">
        <v>59815</v>
      </c>
      <c r="N15702" t="s">
        <v>1001</v>
      </c>
      <c r="O15702">
        <v>250617</v>
      </c>
      <c r="P15702">
        <v>9</v>
      </c>
    </row>
    <row r="15703" spans="1:16" x14ac:dyDescent="0.25">
      <c r="A15703" t="s">
        <v>3296</v>
      </c>
      <c r="B15703" t="s">
        <v>2931</v>
      </c>
      <c r="C15703">
        <v>8966</v>
      </c>
      <c r="D15703" t="str">
        <f>"4300231423  "</f>
        <v xml:space="preserve">4300231423  </v>
      </c>
      <c r="E15703" t="s">
        <v>2848</v>
      </c>
      <c r="F15703" t="s">
        <v>2849</v>
      </c>
      <c r="G15703">
        <v>54</v>
      </c>
      <c r="H15703">
        <v>250616</v>
      </c>
      <c r="I15703">
        <v>4600</v>
      </c>
      <c r="J15703" t="s">
        <v>278</v>
      </c>
      <c r="K15703">
        <v>54</v>
      </c>
      <c r="L15703">
        <v>0</v>
      </c>
      <c r="M15703">
        <v>14422</v>
      </c>
      <c r="N15703" t="s">
        <v>73</v>
      </c>
      <c r="O15703">
        <v>250619</v>
      </c>
      <c r="P15703">
        <v>54</v>
      </c>
    </row>
    <row r="15704" spans="1:16" x14ac:dyDescent="0.25">
      <c r="A15704" t="s">
        <v>3296</v>
      </c>
      <c r="B15704" t="s">
        <v>2931</v>
      </c>
      <c r="C15704">
        <v>9022</v>
      </c>
      <c r="D15704" t="str">
        <f>"4300229984  "</f>
        <v xml:space="preserve">4300229984  </v>
      </c>
      <c r="E15704" t="s">
        <v>2848</v>
      </c>
      <c r="F15704" t="s">
        <v>2849</v>
      </c>
      <c r="G15704">
        <v>9</v>
      </c>
      <c r="H15704">
        <v>250604</v>
      </c>
      <c r="I15704">
        <v>4600</v>
      </c>
      <c r="J15704" t="s">
        <v>278</v>
      </c>
      <c r="K15704">
        <v>36</v>
      </c>
      <c r="L15704">
        <v>0</v>
      </c>
      <c r="M15704">
        <v>54422</v>
      </c>
      <c r="N15704" t="s">
        <v>49</v>
      </c>
      <c r="O15704">
        <v>250626</v>
      </c>
      <c r="P15704">
        <v>9</v>
      </c>
    </row>
    <row r="15705" spans="1:16" x14ac:dyDescent="0.25">
      <c r="A15705" t="s">
        <v>3296</v>
      </c>
      <c r="B15705" t="s">
        <v>2931</v>
      </c>
      <c r="C15705">
        <v>9022</v>
      </c>
      <c r="D15705" t="str">
        <f>"4300229984  "</f>
        <v xml:space="preserve">4300229984  </v>
      </c>
      <c r="E15705" t="s">
        <v>2848</v>
      </c>
      <c r="F15705" t="s">
        <v>2849</v>
      </c>
      <c r="G15705">
        <v>9</v>
      </c>
      <c r="H15705">
        <v>250604</v>
      </c>
      <c r="I15705">
        <v>4600</v>
      </c>
      <c r="J15705" t="s">
        <v>278</v>
      </c>
      <c r="K15705">
        <v>36</v>
      </c>
      <c r="L15705">
        <v>0</v>
      </c>
      <c r="M15705">
        <v>54622</v>
      </c>
      <c r="N15705" t="s">
        <v>42</v>
      </c>
      <c r="O15705">
        <v>250626</v>
      </c>
      <c r="P15705">
        <v>9</v>
      </c>
    </row>
    <row r="15706" spans="1:16" x14ac:dyDescent="0.25">
      <c r="A15706" t="s">
        <v>3296</v>
      </c>
      <c r="B15706" t="s">
        <v>2931</v>
      </c>
      <c r="C15706">
        <v>9022</v>
      </c>
      <c r="D15706" t="str">
        <f>"4300229984  "</f>
        <v xml:space="preserve">4300229984  </v>
      </c>
      <c r="E15706" t="s">
        <v>2848</v>
      </c>
      <c r="F15706" t="s">
        <v>2849</v>
      </c>
      <c r="G15706">
        <v>18</v>
      </c>
      <c r="H15706">
        <v>250604</v>
      </c>
      <c r="I15706">
        <v>4600</v>
      </c>
      <c r="J15706" t="s">
        <v>278</v>
      </c>
      <c r="K15706">
        <v>36</v>
      </c>
      <c r="L15706">
        <v>0</v>
      </c>
      <c r="M15706">
        <v>59815</v>
      </c>
      <c r="N15706" t="s">
        <v>1001</v>
      </c>
      <c r="O15706">
        <v>250626</v>
      </c>
      <c r="P15706">
        <v>18</v>
      </c>
    </row>
    <row r="15707" spans="1:16" x14ac:dyDescent="0.25">
      <c r="A15707" t="s">
        <v>3296</v>
      </c>
      <c r="B15707" t="s">
        <v>2931</v>
      </c>
      <c r="C15707">
        <v>9771</v>
      </c>
      <c r="D15707" t="str">
        <f>"4300233204  "</f>
        <v xml:space="preserve">4300233204  </v>
      </c>
      <c r="E15707" t="s">
        <v>2848</v>
      </c>
      <c r="F15707" t="s">
        <v>2849</v>
      </c>
      <c r="G15707">
        <v>114.85</v>
      </c>
      <c r="H15707">
        <v>250710</v>
      </c>
      <c r="I15707">
        <v>4600</v>
      </c>
      <c r="J15707" t="s">
        <v>278</v>
      </c>
      <c r="K15707">
        <v>114.85</v>
      </c>
      <c r="L15707">
        <v>23.34</v>
      </c>
      <c r="M15707">
        <v>67554</v>
      </c>
      <c r="N15707" t="s">
        <v>317</v>
      </c>
      <c r="O15707">
        <v>250728</v>
      </c>
      <c r="P15707">
        <v>91.51</v>
      </c>
    </row>
    <row r="15708" spans="1:16" x14ac:dyDescent="0.25">
      <c r="A15708" t="s">
        <v>3296</v>
      </c>
      <c r="B15708" t="s">
        <v>2931</v>
      </c>
      <c r="C15708">
        <v>12070</v>
      </c>
      <c r="D15708" t="str">
        <f>"4300237588  "</f>
        <v xml:space="preserve">4300237588  </v>
      </c>
      <c r="E15708" t="s">
        <v>2848</v>
      </c>
      <c r="F15708" t="s">
        <v>2849</v>
      </c>
      <c r="G15708">
        <v>9</v>
      </c>
      <c r="H15708">
        <v>250901</v>
      </c>
      <c r="I15708">
        <v>4600</v>
      </c>
      <c r="J15708" t="s">
        <v>278</v>
      </c>
      <c r="K15708">
        <v>9</v>
      </c>
      <c r="L15708">
        <v>0</v>
      </c>
      <c r="M15708">
        <v>44222</v>
      </c>
      <c r="N15708" t="s">
        <v>96</v>
      </c>
      <c r="O15708">
        <v>250916</v>
      </c>
      <c r="P15708">
        <v>9</v>
      </c>
    </row>
    <row r="15709" spans="1:16" x14ac:dyDescent="0.25">
      <c r="A15709" t="s">
        <v>3296</v>
      </c>
      <c r="B15709" t="s">
        <v>2931</v>
      </c>
      <c r="C15709">
        <v>12076</v>
      </c>
      <c r="D15709" t="str">
        <f>"4300237569  "</f>
        <v xml:space="preserve">4300237569  </v>
      </c>
      <c r="E15709" t="s">
        <v>2848</v>
      </c>
      <c r="F15709" t="s">
        <v>2849</v>
      </c>
      <c r="G15709">
        <v>9</v>
      </c>
      <c r="H15709">
        <v>250831</v>
      </c>
      <c r="I15709">
        <v>4600</v>
      </c>
      <c r="J15709" t="s">
        <v>278</v>
      </c>
      <c r="K15709">
        <v>81</v>
      </c>
      <c r="L15709">
        <v>0</v>
      </c>
      <c r="M15709">
        <v>14435</v>
      </c>
      <c r="N15709" t="s">
        <v>2875</v>
      </c>
      <c r="O15709">
        <v>250916</v>
      </c>
      <c r="P15709">
        <v>9</v>
      </c>
    </row>
    <row r="15710" spans="1:16" x14ac:dyDescent="0.25">
      <c r="A15710" t="s">
        <v>3296</v>
      </c>
      <c r="B15710" t="s">
        <v>2931</v>
      </c>
      <c r="C15710">
        <v>12076</v>
      </c>
      <c r="D15710" t="str">
        <f>"4300237569  "</f>
        <v xml:space="preserve">4300237569  </v>
      </c>
      <c r="E15710" t="s">
        <v>2848</v>
      </c>
      <c r="F15710" t="s">
        <v>2849</v>
      </c>
      <c r="G15710">
        <v>72</v>
      </c>
      <c r="H15710">
        <v>250831</v>
      </c>
      <c r="I15710">
        <v>4600</v>
      </c>
      <c r="J15710" t="s">
        <v>278</v>
      </c>
      <c r="K15710">
        <v>81</v>
      </c>
      <c r="L15710">
        <v>0</v>
      </c>
      <c r="M15710">
        <v>14990</v>
      </c>
      <c r="N15710" t="s">
        <v>85</v>
      </c>
      <c r="O15710">
        <v>250916</v>
      </c>
      <c r="P15710">
        <v>72</v>
      </c>
    </row>
    <row r="15711" spans="1:16" x14ac:dyDescent="0.25">
      <c r="A15711" t="s">
        <v>3296</v>
      </c>
      <c r="B15711" t="s">
        <v>2931</v>
      </c>
      <c r="C15711">
        <v>12255</v>
      </c>
      <c r="D15711" t="str">
        <f>"4300238314  "</f>
        <v xml:space="preserve">4300238314  </v>
      </c>
      <c r="E15711" t="s">
        <v>2848</v>
      </c>
      <c r="F15711" t="s">
        <v>2849</v>
      </c>
      <c r="G15711">
        <v>90</v>
      </c>
      <c r="H15711">
        <v>250831</v>
      </c>
      <c r="I15711">
        <v>4600</v>
      </c>
      <c r="J15711" t="s">
        <v>278</v>
      </c>
      <c r="K15711">
        <v>90</v>
      </c>
      <c r="L15711">
        <v>0</v>
      </c>
      <c r="M15711">
        <v>14422</v>
      </c>
      <c r="N15711" t="s">
        <v>73</v>
      </c>
      <c r="O15711">
        <v>250918</v>
      </c>
      <c r="P15711">
        <v>90</v>
      </c>
    </row>
    <row r="15712" spans="1:16" x14ac:dyDescent="0.25">
      <c r="A15712" t="s">
        <v>3296</v>
      </c>
      <c r="B15712" t="s">
        <v>2931</v>
      </c>
      <c r="C15712">
        <v>12892</v>
      </c>
      <c r="D15712" t="str">
        <f>"4300239407  "</f>
        <v xml:space="preserve">4300239407  </v>
      </c>
      <c r="E15712" t="s">
        <v>2848</v>
      </c>
      <c r="F15712" t="s">
        <v>2849</v>
      </c>
      <c r="G15712">
        <v>18</v>
      </c>
      <c r="H15712">
        <v>250923</v>
      </c>
      <c r="I15712">
        <v>4600</v>
      </c>
      <c r="J15712" t="s">
        <v>278</v>
      </c>
      <c r="K15712">
        <v>18</v>
      </c>
      <c r="L15712">
        <v>0</v>
      </c>
      <c r="M15712">
        <v>59815</v>
      </c>
      <c r="N15712" t="s">
        <v>1001</v>
      </c>
      <c r="O15712">
        <v>251001</v>
      </c>
      <c r="P15712">
        <v>18</v>
      </c>
    </row>
    <row r="15713" spans="1:16" x14ac:dyDescent="0.25">
      <c r="A15713" t="s">
        <v>3296</v>
      </c>
      <c r="B15713" t="s">
        <v>2931</v>
      </c>
      <c r="C15713">
        <v>12941</v>
      </c>
      <c r="D15713" t="str">
        <f>"4300239369  "</f>
        <v xml:space="preserve">4300239369  </v>
      </c>
      <c r="E15713" t="s">
        <v>2848</v>
      </c>
      <c r="F15713" t="s">
        <v>2849</v>
      </c>
      <c r="G15713">
        <v>9</v>
      </c>
      <c r="H15713">
        <v>250923</v>
      </c>
      <c r="I15713">
        <v>4600</v>
      </c>
      <c r="J15713" t="s">
        <v>278</v>
      </c>
      <c r="K15713">
        <v>18</v>
      </c>
      <c r="L15713">
        <v>0</v>
      </c>
      <c r="M15713">
        <v>43222</v>
      </c>
      <c r="N15713" t="s">
        <v>95</v>
      </c>
      <c r="O15713">
        <v>251002</v>
      </c>
      <c r="P15713">
        <v>9</v>
      </c>
    </row>
    <row r="15714" spans="1:16" x14ac:dyDescent="0.25">
      <c r="A15714" t="s">
        <v>3296</v>
      </c>
      <c r="B15714" t="s">
        <v>2931</v>
      </c>
      <c r="C15714">
        <v>12941</v>
      </c>
      <c r="D15714" t="str">
        <f>"4300239369  "</f>
        <v xml:space="preserve">4300239369  </v>
      </c>
      <c r="E15714" t="s">
        <v>2848</v>
      </c>
      <c r="F15714" t="s">
        <v>2849</v>
      </c>
      <c r="G15714">
        <v>9</v>
      </c>
      <c r="H15714">
        <v>250923</v>
      </c>
      <c r="I15714">
        <v>4600</v>
      </c>
      <c r="J15714" t="s">
        <v>278</v>
      </c>
      <c r="K15714">
        <v>18</v>
      </c>
      <c r="L15714">
        <v>0</v>
      </c>
      <c r="M15714">
        <v>49808</v>
      </c>
      <c r="N15714" t="s">
        <v>2857</v>
      </c>
      <c r="O15714">
        <v>251002</v>
      </c>
      <c r="P15714">
        <v>9</v>
      </c>
    </row>
    <row r="15715" spans="1:16" x14ac:dyDescent="0.25">
      <c r="A15715" t="s">
        <v>3296</v>
      </c>
      <c r="B15715" t="s">
        <v>2931</v>
      </c>
      <c r="C15715">
        <v>13661</v>
      </c>
      <c r="D15715" t="str">
        <f>"4300239766  "</f>
        <v xml:space="preserve">4300239766  </v>
      </c>
      <c r="E15715" t="s">
        <v>2848</v>
      </c>
      <c r="F15715" t="s">
        <v>2849</v>
      </c>
      <c r="G15715">
        <v>18</v>
      </c>
      <c r="H15715">
        <v>250930</v>
      </c>
      <c r="I15715">
        <v>4600</v>
      </c>
      <c r="J15715" t="s">
        <v>278</v>
      </c>
      <c r="K15715">
        <v>36</v>
      </c>
      <c r="L15715">
        <v>0</v>
      </c>
      <c r="M15715">
        <v>54422</v>
      </c>
      <c r="N15715" t="s">
        <v>49</v>
      </c>
      <c r="O15715">
        <v>251013</v>
      </c>
      <c r="P15715">
        <v>18</v>
      </c>
    </row>
    <row r="15716" spans="1:16" x14ac:dyDescent="0.25">
      <c r="A15716" t="s">
        <v>3296</v>
      </c>
      <c r="B15716" t="s">
        <v>2931</v>
      </c>
      <c r="C15716">
        <v>13661</v>
      </c>
      <c r="D15716" t="str">
        <f>"4300239766  "</f>
        <v xml:space="preserve">4300239766  </v>
      </c>
      <c r="E15716" t="s">
        <v>2848</v>
      </c>
      <c r="F15716" t="s">
        <v>2849</v>
      </c>
      <c r="G15716">
        <v>18</v>
      </c>
      <c r="H15716">
        <v>250930</v>
      </c>
      <c r="I15716">
        <v>4600</v>
      </c>
      <c r="J15716" t="s">
        <v>278</v>
      </c>
      <c r="K15716">
        <v>36</v>
      </c>
      <c r="L15716">
        <v>0</v>
      </c>
      <c r="M15716">
        <v>56563</v>
      </c>
      <c r="N15716" t="s">
        <v>55</v>
      </c>
      <c r="O15716">
        <v>251013</v>
      </c>
      <c r="P15716">
        <v>18</v>
      </c>
    </row>
    <row r="15717" spans="1:16" x14ac:dyDescent="0.25">
      <c r="A15717" t="s">
        <v>3296</v>
      </c>
      <c r="B15717" t="s">
        <v>2931</v>
      </c>
      <c r="C15717">
        <v>14460</v>
      </c>
      <c r="D15717" t="str">
        <f>"4300241809  "</f>
        <v xml:space="preserve">4300241809  </v>
      </c>
      <c r="E15717" t="s">
        <v>2848</v>
      </c>
      <c r="F15717" t="s">
        <v>2849</v>
      </c>
      <c r="G15717">
        <v>144</v>
      </c>
      <c r="H15717">
        <v>251020</v>
      </c>
      <c r="I15717">
        <v>4600</v>
      </c>
      <c r="J15717" t="s">
        <v>278</v>
      </c>
      <c r="K15717">
        <v>144</v>
      </c>
      <c r="L15717">
        <v>0</v>
      </c>
      <c r="M15717">
        <v>14422</v>
      </c>
      <c r="N15717" t="s">
        <v>73</v>
      </c>
      <c r="O15717">
        <v>251031</v>
      </c>
      <c r="P15717">
        <v>144</v>
      </c>
    </row>
    <row r="15718" spans="1:16" x14ac:dyDescent="0.25">
      <c r="A15718" t="s">
        <v>3296</v>
      </c>
      <c r="B15718" t="s">
        <v>2931</v>
      </c>
      <c r="C15718">
        <v>14579</v>
      </c>
      <c r="D15718" t="str">
        <f>"4300241779  "</f>
        <v xml:space="preserve">4300241779  </v>
      </c>
      <c r="E15718" t="s">
        <v>2848</v>
      </c>
      <c r="F15718" t="s">
        <v>2849</v>
      </c>
      <c r="G15718">
        <v>18</v>
      </c>
      <c r="H15718">
        <v>251020</v>
      </c>
      <c r="I15718">
        <v>4600</v>
      </c>
      <c r="J15718" t="s">
        <v>278</v>
      </c>
      <c r="K15718">
        <v>18</v>
      </c>
      <c r="L15718">
        <v>0</v>
      </c>
      <c r="M15718">
        <v>44222</v>
      </c>
      <c r="N15718" t="s">
        <v>96</v>
      </c>
      <c r="O15718">
        <v>251105</v>
      </c>
      <c r="P15718">
        <v>18</v>
      </c>
    </row>
    <row r="15719" spans="1:16" x14ac:dyDescent="0.25">
      <c r="A15719" t="s">
        <v>3296</v>
      </c>
      <c r="B15719" t="s">
        <v>2931</v>
      </c>
      <c r="C15719">
        <v>14617</v>
      </c>
      <c r="D15719" t="str">
        <f>"4300245648  "</f>
        <v xml:space="preserve">4300245648  </v>
      </c>
      <c r="E15719" t="s">
        <v>2848</v>
      </c>
      <c r="F15719" t="s">
        <v>2849</v>
      </c>
      <c r="G15719">
        <v>9</v>
      </c>
      <c r="H15719">
        <v>251028</v>
      </c>
      <c r="I15719">
        <v>4600</v>
      </c>
      <c r="J15719" t="s">
        <v>278</v>
      </c>
      <c r="K15719">
        <v>9</v>
      </c>
      <c r="L15719">
        <v>0</v>
      </c>
      <c r="M15719">
        <v>44222</v>
      </c>
      <c r="N15719" t="s">
        <v>96</v>
      </c>
      <c r="O15719">
        <v>251105</v>
      </c>
      <c r="P15719">
        <v>9</v>
      </c>
    </row>
    <row r="15720" spans="1:16" x14ac:dyDescent="0.25">
      <c r="A15720" t="s">
        <v>3296</v>
      </c>
      <c r="B15720" t="s">
        <v>2931</v>
      </c>
      <c r="C15720">
        <v>15485</v>
      </c>
      <c r="D15720" t="str">
        <f>"4300246885  "</f>
        <v xml:space="preserve">4300246885  </v>
      </c>
      <c r="E15720" t="s">
        <v>2848</v>
      </c>
      <c r="F15720" t="s">
        <v>2849</v>
      </c>
      <c r="G15720">
        <v>90</v>
      </c>
      <c r="H15720">
        <v>251105</v>
      </c>
      <c r="I15720">
        <v>4600</v>
      </c>
      <c r="J15720" t="s">
        <v>278</v>
      </c>
      <c r="K15720">
        <v>117</v>
      </c>
      <c r="L15720">
        <v>0</v>
      </c>
      <c r="M15720">
        <v>43222</v>
      </c>
      <c r="N15720" t="s">
        <v>95</v>
      </c>
      <c r="O15720">
        <v>251121</v>
      </c>
      <c r="P15720">
        <v>90</v>
      </c>
    </row>
    <row r="15721" spans="1:16" x14ac:dyDescent="0.25">
      <c r="A15721" t="s">
        <v>3296</v>
      </c>
      <c r="B15721" t="s">
        <v>2931</v>
      </c>
      <c r="C15721">
        <v>15485</v>
      </c>
      <c r="D15721" t="str">
        <f>"4300246885  "</f>
        <v xml:space="preserve">4300246885  </v>
      </c>
      <c r="E15721" t="s">
        <v>2848</v>
      </c>
      <c r="F15721" t="s">
        <v>2849</v>
      </c>
      <c r="G15721">
        <v>18</v>
      </c>
      <c r="H15721">
        <v>251105</v>
      </c>
      <c r="I15721">
        <v>4600</v>
      </c>
      <c r="J15721" t="s">
        <v>278</v>
      </c>
      <c r="K15721">
        <v>117</v>
      </c>
      <c r="L15721">
        <v>0</v>
      </c>
      <c r="M15721">
        <v>44222</v>
      </c>
      <c r="N15721" t="s">
        <v>96</v>
      </c>
      <c r="O15721">
        <v>251121</v>
      </c>
      <c r="P15721">
        <v>18</v>
      </c>
    </row>
    <row r="15722" spans="1:16" x14ac:dyDescent="0.25">
      <c r="A15722" t="s">
        <v>3296</v>
      </c>
      <c r="B15722" t="s">
        <v>2931</v>
      </c>
      <c r="C15722">
        <v>15485</v>
      </c>
      <c r="D15722" t="str">
        <f>"4300246885  "</f>
        <v xml:space="preserve">4300246885  </v>
      </c>
      <c r="E15722" t="s">
        <v>2848</v>
      </c>
      <c r="F15722" t="s">
        <v>2849</v>
      </c>
      <c r="G15722">
        <v>9</v>
      </c>
      <c r="H15722">
        <v>251105</v>
      </c>
      <c r="I15722">
        <v>4600</v>
      </c>
      <c r="J15722" t="s">
        <v>278</v>
      </c>
      <c r="K15722">
        <v>117</v>
      </c>
      <c r="L15722">
        <v>0</v>
      </c>
      <c r="M15722">
        <v>49808</v>
      </c>
      <c r="N15722" t="s">
        <v>2857</v>
      </c>
      <c r="O15722">
        <v>251121</v>
      </c>
      <c r="P15722">
        <v>9</v>
      </c>
    </row>
    <row r="15723" spans="1:16" x14ac:dyDescent="0.25">
      <c r="A15723" t="s">
        <v>3296</v>
      </c>
      <c r="B15723" t="s">
        <v>2931</v>
      </c>
      <c r="C15723">
        <v>15774</v>
      </c>
      <c r="D15723" t="str">
        <f>"4300239678  "</f>
        <v xml:space="preserve">4300239678  </v>
      </c>
      <c r="E15723" t="s">
        <v>2848</v>
      </c>
      <c r="F15723" t="s">
        <v>2849</v>
      </c>
      <c r="G15723">
        <v>9</v>
      </c>
      <c r="H15723">
        <v>251106</v>
      </c>
      <c r="I15723">
        <v>4600</v>
      </c>
      <c r="J15723" t="s">
        <v>278</v>
      </c>
      <c r="K15723">
        <v>14</v>
      </c>
      <c r="L15723">
        <v>0</v>
      </c>
      <c r="M15723">
        <v>14422</v>
      </c>
      <c r="N15723" t="s">
        <v>73</v>
      </c>
      <c r="O15723">
        <v>251127</v>
      </c>
      <c r="P15723">
        <v>9</v>
      </c>
    </row>
    <row r="15724" spans="1:16" x14ac:dyDescent="0.25">
      <c r="A15724" t="s">
        <v>3296</v>
      </c>
      <c r="B15724" t="s">
        <v>2931</v>
      </c>
      <c r="C15724">
        <v>15852</v>
      </c>
      <c r="D15724" t="str">
        <f>"4300248700  "</f>
        <v xml:space="preserve">4300248700  </v>
      </c>
      <c r="E15724" t="s">
        <v>2848</v>
      </c>
      <c r="F15724" t="s">
        <v>2849</v>
      </c>
      <c r="G15724">
        <v>9</v>
      </c>
      <c r="H15724">
        <v>251106</v>
      </c>
      <c r="I15724">
        <v>4600</v>
      </c>
      <c r="J15724" t="s">
        <v>278</v>
      </c>
      <c r="K15724">
        <v>9</v>
      </c>
      <c r="L15724">
        <v>0</v>
      </c>
      <c r="M15724">
        <v>44222</v>
      </c>
      <c r="N15724" t="s">
        <v>96</v>
      </c>
      <c r="O15724">
        <v>251127</v>
      </c>
      <c r="P15724">
        <v>9</v>
      </c>
    </row>
    <row r="15725" spans="1:16" x14ac:dyDescent="0.25">
      <c r="A15725" t="s">
        <v>3296</v>
      </c>
      <c r="B15725" t="s">
        <v>2931</v>
      </c>
      <c r="C15725">
        <v>16276</v>
      </c>
      <c r="D15725" t="str">
        <f>"4300249141  "</f>
        <v xml:space="preserve">4300249141  </v>
      </c>
      <c r="E15725" t="s">
        <v>2848</v>
      </c>
      <c r="F15725" t="s">
        <v>2849</v>
      </c>
      <c r="G15725">
        <v>81</v>
      </c>
      <c r="H15725">
        <v>251130</v>
      </c>
      <c r="I15725">
        <v>4600</v>
      </c>
      <c r="J15725" t="s">
        <v>278</v>
      </c>
      <c r="K15725">
        <v>81</v>
      </c>
      <c r="L15725">
        <v>0</v>
      </c>
      <c r="M15725">
        <v>59815</v>
      </c>
      <c r="N15725" t="s">
        <v>1001</v>
      </c>
      <c r="O15725">
        <v>251205</v>
      </c>
      <c r="P15725">
        <v>81</v>
      </c>
    </row>
    <row r="15726" spans="1:16" x14ac:dyDescent="0.25">
      <c r="A15726" t="s">
        <v>3296</v>
      </c>
      <c r="B15726" t="s">
        <v>2931</v>
      </c>
      <c r="C15726">
        <v>16708</v>
      </c>
      <c r="D15726" t="str">
        <f>"4300249733  "</f>
        <v xml:space="preserve">4300249733  </v>
      </c>
      <c r="E15726" t="s">
        <v>2848</v>
      </c>
      <c r="F15726" t="s">
        <v>2849</v>
      </c>
      <c r="G15726">
        <v>9</v>
      </c>
      <c r="H15726">
        <v>251130</v>
      </c>
      <c r="I15726">
        <v>4600</v>
      </c>
      <c r="J15726" t="s">
        <v>278</v>
      </c>
      <c r="K15726">
        <v>18</v>
      </c>
      <c r="L15726">
        <v>0</v>
      </c>
      <c r="M15726">
        <v>14422</v>
      </c>
      <c r="N15726" t="s">
        <v>73</v>
      </c>
      <c r="O15726">
        <v>251211</v>
      </c>
      <c r="P15726">
        <v>9</v>
      </c>
    </row>
    <row r="15727" spans="1:16" x14ac:dyDescent="0.25">
      <c r="A15727" t="s">
        <v>3296</v>
      </c>
      <c r="B15727" t="s">
        <v>2931</v>
      </c>
      <c r="C15727">
        <v>16708</v>
      </c>
      <c r="D15727" t="str">
        <f>"4300249733  "</f>
        <v xml:space="preserve">4300249733  </v>
      </c>
      <c r="E15727" t="s">
        <v>2848</v>
      </c>
      <c r="F15727" t="s">
        <v>2849</v>
      </c>
      <c r="G15727">
        <v>9</v>
      </c>
      <c r="H15727">
        <v>251130</v>
      </c>
      <c r="I15727">
        <v>4600</v>
      </c>
      <c r="J15727" t="s">
        <v>278</v>
      </c>
      <c r="K15727">
        <v>18</v>
      </c>
      <c r="L15727">
        <v>0</v>
      </c>
      <c r="M15727">
        <v>14422</v>
      </c>
      <c r="N15727" t="s">
        <v>73</v>
      </c>
      <c r="O15727">
        <v>251211</v>
      </c>
      <c r="P15727">
        <v>9</v>
      </c>
    </row>
    <row r="15728" spans="1:16" x14ac:dyDescent="0.25">
      <c r="A15728" t="s">
        <v>3296</v>
      </c>
      <c r="B15728" t="s">
        <v>2931</v>
      </c>
      <c r="C15728">
        <v>16834</v>
      </c>
      <c r="D15728" t="str">
        <f>"4300240208  "</f>
        <v xml:space="preserve">4300240208  </v>
      </c>
      <c r="E15728" t="s">
        <v>2848</v>
      </c>
      <c r="F15728" t="s">
        <v>2849</v>
      </c>
      <c r="G15728">
        <v>18</v>
      </c>
      <c r="H15728">
        <v>251127</v>
      </c>
      <c r="I15728">
        <v>4600</v>
      </c>
      <c r="J15728" t="s">
        <v>278</v>
      </c>
      <c r="K15728">
        <v>23</v>
      </c>
      <c r="L15728">
        <v>0</v>
      </c>
      <c r="M15728">
        <v>14422</v>
      </c>
      <c r="N15728" t="s">
        <v>73</v>
      </c>
      <c r="O15728">
        <v>251212</v>
      </c>
      <c r="P15728">
        <v>18</v>
      </c>
    </row>
    <row r="15729" spans="1:16" x14ac:dyDescent="0.25">
      <c r="A15729" t="s">
        <v>3296</v>
      </c>
      <c r="B15729" t="s">
        <v>2931</v>
      </c>
      <c r="C15729">
        <v>17335</v>
      </c>
      <c r="D15729" t="str">
        <f>"4300246856  "</f>
        <v xml:space="preserve">4300246856  </v>
      </c>
      <c r="E15729" t="s">
        <v>2848</v>
      </c>
      <c r="F15729" t="s">
        <v>2849</v>
      </c>
      <c r="G15729">
        <v>27</v>
      </c>
      <c r="H15729">
        <v>251211</v>
      </c>
      <c r="I15729">
        <v>4600</v>
      </c>
      <c r="J15729" t="s">
        <v>278</v>
      </c>
      <c r="K15729">
        <v>32</v>
      </c>
      <c r="L15729">
        <v>0</v>
      </c>
      <c r="M15729">
        <v>14422</v>
      </c>
      <c r="N15729" t="s">
        <v>73</v>
      </c>
      <c r="O15729">
        <v>251219</v>
      </c>
      <c r="P15729">
        <v>27</v>
      </c>
    </row>
    <row r="15730" spans="1:16" x14ac:dyDescent="0.25">
      <c r="A15730" t="s">
        <v>3296</v>
      </c>
      <c r="B15730" t="s">
        <v>2931</v>
      </c>
      <c r="C15730">
        <v>17996</v>
      </c>
      <c r="D15730" t="str">
        <f>"4300251795  "</f>
        <v xml:space="preserve">4300251795  </v>
      </c>
      <c r="E15730" t="s">
        <v>2848</v>
      </c>
      <c r="F15730" t="s">
        <v>2849</v>
      </c>
      <c r="G15730">
        <v>9</v>
      </c>
      <c r="H15730">
        <v>251218</v>
      </c>
      <c r="I15730">
        <v>4600</v>
      </c>
      <c r="J15730" t="s">
        <v>278</v>
      </c>
      <c r="K15730">
        <v>9</v>
      </c>
      <c r="L15730">
        <v>0</v>
      </c>
      <c r="M15730">
        <v>43222</v>
      </c>
      <c r="N15730" t="s">
        <v>95</v>
      </c>
      <c r="O15730">
        <v>260108</v>
      </c>
      <c r="P15730">
        <v>9</v>
      </c>
    </row>
    <row r="15731" spans="1:16" x14ac:dyDescent="0.25">
      <c r="A15731" t="s">
        <v>3296</v>
      </c>
      <c r="B15731" t="s">
        <v>2931</v>
      </c>
      <c r="C15731">
        <v>18203</v>
      </c>
      <c r="D15731" t="str">
        <f>"4300252231  "</f>
        <v xml:space="preserve">4300252231  </v>
      </c>
      <c r="E15731" t="s">
        <v>2848</v>
      </c>
      <c r="F15731" t="s">
        <v>2849</v>
      </c>
      <c r="G15731">
        <v>45</v>
      </c>
      <c r="H15731">
        <v>251230</v>
      </c>
      <c r="I15731">
        <v>4600</v>
      </c>
      <c r="J15731" t="s">
        <v>278</v>
      </c>
      <c r="K15731">
        <v>45</v>
      </c>
      <c r="L15731">
        <v>0</v>
      </c>
      <c r="M15731">
        <v>14422</v>
      </c>
      <c r="N15731" t="s">
        <v>73</v>
      </c>
      <c r="O15731">
        <v>260109</v>
      </c>
      <c r="P15731">
        <v>45</v>
      </c>
    </row>
    <row r="15732" spans="1:16" x14ac:dyDescent="0.25">
      <c r="A15732" t="s">
        <v>3296</v>
      </c>
      <c r="B15732" t="s">
        <v>2931</v>
      </c>
      <c r="C15732">
        <v>18133</v>
      </c>
      <c r="D15732" t="str">
        <f>"59298       "</f>
        <v xml:space="preserve">59298       </v>
      </c>
      <c r="E15732" t="s">
        <v>2797</v>
      </c>
      <c r="F15732" t="s">
        <v>2798</v>
      </c>
      <c r="G15732">
        <v>379.66</v>
      </c>
      <c r="H15732">
        <v>251223</v>
      </c>
      <c r="I15732">
        <v>4600</v>
      </c>
      <c r="J15732" t="s">
        <v>278</v>
      </c>
      <c r="K15732">
        <v>379.66</v>
      </c>
      <c r="L15732">
        <v>77.14</v>
      </c>
      <c r="M15732">
        <v>17632</v>
      </c>
      <c r="N15732" t="s">
        <v>615</v>
      </c>
      <c r="O15732">
        <v>260109</v>
      </c>
      <c r="P15732">
        <v>302.52</v>
      </c>
    </row>
    <row r="15733" spans="1:16" x14ac:dyDescent="0.25">
      <c r="A15733" t="s">
        <v>3296</v>
      </c>
      <c r="B15733" t="s">
        <v>2931</v>
      </c>
      <c r="C15733">
        <v>1088</v>
      </c>
      <c r="D15733" t="str">
        <f>"85          "</f>
        <v xml:space="preserve">85          </v>
      </c>
      <c r="E15733" t="s">
        <v>2998</v>
      </c>
      <c r="F15733" t="s">
        <v>2999</v>
      </c>
      <c r="G15733">
        <v>78</v>
      </c>
      <c r="H15733">
        <v>250129</v>
      </c>
      <c r="I15733">
        <v>4860</v>
      </c>
      <c r="J15733" t="s">
        <v>286</v>
      </c>
      <c r="K15733">
        <v>100</v>
      </c>
      <c r="L15733">
        <v>0</v>
      </c>
      <c r="M15733">
        <v>11941</v>
      </c>
      <c r="N15733" t="s">
        <v>426</v>
      </c>
      <c r="O15733">
        <v>250204</v>
      </c>
      <c r="P15733">
        <v>78</v>
      </c>
    </row>
    <row r="15734" spans="1:16" x14ac:dyDescent="0.25">
      <c r="A15734" t="s">
        <v>3296</v>
      </c>
      <c r="B15734" t="s">
        <v>2931</v>
      </c>
      <c r="C15734">
        <v>1088</v>
      </c>
      <c r="D15734" t="str">
        <f>"85          "</f>
        <v xml:space="preserve">85          </v>
      </c>
      <c r="E15734" t="s">
        <v>2998</v>
      </c>
      <c r="F15734" t="s">
        <v>2999</v>
      </c>
      <c r="G15734">
        <v>22</v>
      </c>
      <c r="H15734">
        <v>250129</v>
      </c>
      <c r="I15734">
        <v>4860</v>
      </c>
      <c r="J15734" t="s">
        <v>286</v>
      </c>
      <c r="K15734">
        <v>100</v>
      </c>
      <c r="L15734">
        <v>0</v>
      </c>
      <c r="M15734">
        <v>11951</v>
      </c>
      <c r="N15734" t="s">
        <v>428</v>
      </c>
      <c r="O15734">
        <v>250204</v>
      </c>
      <c r="P15734">
        <v>22</v>
      </c>
    </row>
    <row r="15735" spans="1:16" x14ac:dyDescent="0.25">
      <c r="A15735" t="s">
        <v>3296</v>
      </c>
      <c r="B15735" t="s">
        <v>2931</v>
      </c>
      <c r="C15735">
        <v>18161</v>
      </c>
      <c r="D15735" t="str">
        <f>"127         "</f>
        <v xml:space="preserve">127         </v>
      </c>
      <c r="E15735" t="s">
        <v>2998</v>
      </c>
      <c r="F15735" t="s">
        <v>2999</v>
      </c>
      <c r="G15735">
        <v>240</v>
      </c>
      <c r="H15735">
        <v>251231</v>
      </c>
      <c r="I15735">
        <v>4860</v>
      </c>
      <c r="J15735" t="s">
        <v>286</v>
      </c>
      <c r="K15735">
        <v>240</v>
      </c>
      <c r="L15735">
        <v>0</v>
      </c>
      <c r="M15735">
        <v>11941</v>
      </c>
      <c r="N15735" t="s">
        <v>426</v>
      </c>
      <c r="O15735">
        <v>260109</v>
      </c>
      <c r="P15735">
        <v>240</v>
      </c>
    </row>
    <row r="15736" spans="1:16" x14ac:dyDescent="0.25">
      <c r="A15736" t="s">
        <v>3296</v>
      </c>
      <c r="B15736" t="s">
        <v>2931</v>
      </c>
      <c r="C15736">
        <v>17878</v>
      </c>
      <c r="D15736" t="str">
        <f>"213929      "</f>
        <v xml:space="preserve">213929      </v>
      </c>
      <c r="E15736" t="s">
        <v>2780</v>
      </c>
      <c r="F15736" t="s">
        <v>2781</v>
      </c>
      <c r="G15736">
        <v>90</v>
      </c>
      <c r="H15736">
        <v>251227</v>
      </c>
      <c r="I15736">
        <v>4600</v>
      </c>
      <c r="J15736" t="s">
        <v>278</v>
      </c>
      <c r="K15736">
        <v>90</v>
      </c>
      <c r="L15736">
        <v>18.29</v>
      </c>
      <c r="M15736">
        <v>13401</v>
      </c>
      <c r="N15736" t="s">
        <v>10</v>
      </c>
      <c r="O15736">
        <v>251231</v>
      </c>
      <c r="P15736">
        <v>71.709999999999994</v>
      </c>
    </row>
    <row r="15737" spans="1:16" x14ac:dyDescent="0.25">
      <c r="A15737" t="s">
        <v>3296</v>
      </c>
      <c r="B15737" t="s">
        <v>2931</v>
      </c>
      <c r="C15737">
        <v>18542</v>
      </c>
      <c r="D15737" t="str">
        <f>"401/255329  "</f>
        <v xml:space="preserve">401/255329  </v>
      </c>
      <c r="E15737" t="s">
        <v>2891</v>
      </c>
      <c r="F15737" t="s">
        <v>2893</v>
      </c>
      <c r="G15737">
        <v>75</v>
      </c>
      <c r="H15737">
        <v>251231</v>
      </c>
      <c r="I15737">
        <v>4346</v>
      </c>
      <c r="J15737" t="s">
        <v>334</v>
      </c>
      <c r="K15737">
        <v>3423.9</v>
      </c>
      <c r="L15737">
        <v>0</v>
      </c>
      <c r="M15737">
        <v>13401</v>
      </c>
      <c r="N15737" t="s">
        <v>10</v>
      </c>
      <c r="O15737">
        <v>260115</v>
      </c>
      <c r="P15737">
        <v>75</v>
      </c>
    </row>
    <row r="15738" spans="1:16" x14ac:dyDescent="0.25">
      <c r="A15738" t="s">
        <v>3296</v>
      </c>
      <c r="B15738" t="s">
        <v>2931</v>
      </c>
      <c r="C15738">
        <v>12631</v>
      </c>
      <c r="D15738" t="str">
        <f>"401/255239  "</f>
        <v xml:space="preserve">401/255239  </v>
      </c>
      <c r="E15738" t="s">
        <v>2891</v>
      </c>
      <c r="F15738" t="s">
        <v>2893</v>
      </c>
      <c r="G15738">
        <v>11808.42</v>
      </c>
      <c r="H15738">
        <v>250918</v>
      </c>
      <c r="I15738">
        <v>4347</v>
      </c>
      <c r="J15738" t="s">
        <v>328</v>
      </c>
      <c r="K15738">
        <v>11808.42</v>
      </c>
      <c r="L15738">
        <v>0</v>
      </c>
      <c r="M15738">
        <v>13401</v>
      </c>
      <c r="N15738" t="s">
        <v>10</v>
      </c>
      <c r="O15738">
        <v>250929</v>
      </c>
      <c r="P15738">
        <v>11808.42</v>
      </c>
    </row>
    <row r="15739" spans="1:16" x14ac:dyDescent="0.25">
      <c r="A15739" t="s">
        <v>3296</v>
      </c>
      <c r="B15739" t="s">
        <v>2931</v>
      </c>
      <c r="C15739">
        <v>18544</v>
      </c>
      <c r="D15739" t="str">
        <f>"401/255328  "</f>
        <v xml:space="preserve">401/255328  </v>
      </c>
      <c r="E15739" t="s">
        <v>2891</v>
      </c>
      <c r="F15739" t="s">
        <v>2893</v>
      </c>
      <c r="G15739">
        <v>10284.450000000001</v>
      </c>
      <c r="H15739">
        <v>251231</v>
      </c>
      <c r="I15739">
        <v>4347</v>
      </c>
      <c r="J15739" t="s">
        <v>328</v>
      </c>
      <c r="K15739">
        <v>10284.450000000001</v>
      </c>
      <c r="L15739">
        <v>0</v>
      </c>
      <c r="M15739">
        <v>13461</v>
      </c>
      <c r="N15739" t="s">
        <v>1544</v>
      </c>
      <c r="O15739">
        <v>260115</v>
      </c>
      <c r="P15739">
        <v>10284.450000000001</v>
      </c>
    </row>
    <row r="15740" spans="1:16" x14ac:dyDescent="0.25">
      <c r="A15740" t="s">
        <v>3296</v>
      </c>
      <c r="B15740" t="s">
        <v>2931</v>
      </c>
      <c r="C15740">
        <v>18542</v>
      </c>
      <c r="D15740" t="str">
        <f>"401/255329  "</f>
        <v xml:space="preserve">401/255329  </v>
      </c>
      <c r="E15740" t="s">
        <v>2891</v>
      </c>
      <c r="F15740" t="s">
        <v>2893</v>
      </c>
      <c r="G15740">
        <v>257.14999999999998</v>
      </c>
      <c r="H15740">
        <v>251231</v>
      </c>
      <c r="I15740">
        <v>4350</v>
      </c>
      <c r="J15740" t="s">
        <v>290</v>
      </c>
      <c r="K15740">
        <v>3423.9</v>
      </c>
      <c r="L15740">
        <v>0</v>
      </c>
      <c r="M15740">
        <v>13401</v>
      </c>
      <c r="N15740" t="s">
        <v>10</v>
      </c>
      <c r="O15740">
        <v>260115</v>
      </c>
      <c r="P15740">
        <v>257.14999999999998</v>
      </c>
    </row>
    <row r="15741" spans="1:16" x14ac:dyDescent="0.25">
      <c r="A15741" t="s">
        <v>3296</v>
      </c>
      <c r="B15741" t="s">
        <v>2931</v>
      </c>
      <c r="C15741">
        <v>18542</v>
      </c>
      <c r="D15741" t="str">
        <f>"401/255329  "</f>
        <v xml:space="preserve">401/255329  </v>
      </c>
      <c r="E15741" t="s">
        <v>2891</v>
      </c>
      <c r="F15741" t="s">
        <v>2893</v>
      </c>
      <c r="G15741">
        <v>2302.15</v>
      </c>
      <c r="H15741">
        <v>251231</v>
      </c>
      <c r="I15741">
        <v>4369</v>
      </c>
      <c r="J15741" t="s">
        <v>188</v>
      </c>
      <c r="K15741">
        <v>3423.9</v>
      </c>
      <c r="L15741">
        <v>0</v>
      </c>
      <c r="M15741">
        <v>13401</v>
      </c>
      <c r="N15741" t="s">
        <v>10</v>
      </c>
      <c r="O15741">
        <v>260115</v>
      </c>
      <c r="P15741">
        <v>2302.15</v>
      </c>
    </row>
    <row r="15742" spans="1:16" x14ac:dyDescent="0.25">
      <c r="A15742" t="s">
        <v>3296</v>
      </c>
      <c r="B15742" t="s">
        <v>2931</v>
      </c>
      <c r="C15742">
        <v>18542</v>
      </c>
      <c r="D15742" t="str">
        <f>"401/255329  "</f>
        <v xml:space="preserve">401/255329  </v>
      </c>
      <c r="E15742" t="s">
        <v>2891</v>
      </c>
      <c r="F15742" t="s">
        <v>2893</v>
      </c>
      <c r="G15742">
        <v>42.48</v>
      </c>
      <c r="H15742">
        <v>251231</v>
      </c>
      <c r="I15742">
        <v>4369</v>
      </c>
      <c r="J15742" t="s">
        <v>188</v>
      </c>
      <c r="K15742">
        <v>3423.9</v>
      </c>
      <c r="L15742">
        <v>0</v>
      </c>
      <c r="M15742">
        <v>13461</v>
      </c>
      <c r="N15742" t="s">
        <v>1544</v>
      </c>
      <c r="O15742">
        <v>260115</v>
      </c>
      <c r="P15742">
        <v>42.48</v>
      </c>
    </row>
    <row r="15743" spans="1:16" x14ac:dyDescent="0.25">
      <c r="A15743" t="s">
        <v>3296</v>
      </c>
      <c r="B15743" t="s">
        <v>2931</v>
      </c>
      <c r="C15743">
        <v>453</v>
      </c>
      <c r="D15743" t="str">
        <f>"106/246021  "</f>
        <v xml:space="preserve">106/246021  </v>
      </c>
      <c r="E15743" t="s">
        <v>2891</v>
      </c>
      <c r="F15743" t="s">
        <v>2893</v>
      </c>
      <c r="G15743">
        <v>123.21</v>
      </c>
      <c r="H15743">
        <v>250101</v>
      </c>
      <c r="I15743">
        <v>4410</v>
      </c>
      <c r="J15743" t="s">
        <v>165</v>
      </c>
      <c r="K15743">
        <v>123.21</v>
      </c>
      <c r="L15743">
        <v>15.13</v>
      </c>
      <c r="M15743">
        <v>13461</v>
      </c>
      <c r="N15743" t="s">
        <v>1544</v>
      </c>
      <c r="O15743">
        <v>250122</v>
      </c>
      <c r="P15743">
        <v>108.08</v>
      </c>
    </row>
    <row r="15744" spans="1:16" x14ac:dyDescent="0.25">
      <c r="A15744" t="s">
        <v>3296</v>
      </c>
      <c r="B15744" t="s">
        <v>2931</v>
      </c>
      <c r="C15744">
        <v>1993</v>
      </c>
      <c r="D15744" t="str">
        <f>"106/255001  "</f>
        <v xml:space="preserve">106/255001  </v>
      </c>
      <c r="E15744" t="s">
        <v>2891</v>
      </c>
      <c r="F15744" t="s">
        <v>2893</v>
      </c>
      <c r="G15744">
        <v>7364.4</v>
      </c>
      <c r="H15744">
        <v>250131</v>
      </c>
      <c r="I15744">
        <v>4410</v>
      </c>
      <c r="J15744" t="s">
        <v>165</v>
      </c>
      <c r="K15744">
        <v>7364.4</v>
      </c>
      <c r="L15744">
        <v>0</v>
      </c>
      <c r="M15744">
        <v>13452</v>
      </c>
      <c r="N15744" t="s">
        <v>1684</v>
      </c>
      <c r="O15744">
        <v>250218</v>
      </c>
      <c r="P15744">
        <v>7364.4</v>
      </c>
    </row>
    <row r="15745" spans="1:16" x14ac:dyDescent="0.25">
      <c r="A15745" t="s">
        <v>3296</v>
      </c>
      <c r="B15745" t="s">
        <v>2931</v>
      </c>
      <c r="C15745">
        <v>3249</v>
      </c>
      <c r="D15745" t="str">
        <f>"106/255133  "</f>
        <v xml:space="preserve">106/255133  </v>
      </c>
      <c r="E15745" t="s">
        <v>2891</v>
      </c>
      <c r="F15745" t="s">
        <v>2893</v>
      </c>
      <c r="G15745">
        <v>5814</v>
      </c>
      <c r="H15745">
        <v>250228</v>
      </c>
      <c r="I15745">
        <v>4410</v>
      </c>
      <c r="J15745" t="s">
        <v>165</v>
      </c>
      <c r="K15745">
        <v>5818.56</v>
      </c>
      <c r="L15745">
        <v>0</v>
      </c>
      <c r="M15745">
        <v>13452</v>
      </c>
      <c r="N15745" t="s">
        <v>1684</v>
      </c>
      <c r="O15745">
        <v>250317</v>
      </c>
      <c r="P15745">
        <v>5814</v>
      </c>
    </row>
    <row r="15746" spans="1:16" x14ac:dyDescent="0.25">
      <c r="A15746" t="s">
        <v>3296</v>
      </c>
      <c r="B15746" t="s">
        <v>2931</v>
      </c>
      <c r="C15746">
        <v>3249</v>
      </c>
      <c r="D15746" t="str">
        <f>"106/255133  "</f>
        <v xml:space="preserve">106/255133  </v>
      </c>
      <c r="E15746" t="s">
        <v>2891</v>
      </c>
      <c r="F15746" t="s">
        <v>2893</v>
      </c>
      <c r="G15746">
        <v>4.5599999999999996</v>
      </c>
      <c r="H15746">
        <v>250228</v>
      </c>
      <c r="I15746">
        <v>4410</v>
      </c>
      <c r="J15746" t="s">
        <v>165</v>
      </c>
      <c r="K15746">
        <v>5818.56</v>
      </c>
      <c r="L15746">
        <v>0.56000000000000005</v>
      </c>
      <c r="M15746">
        <v>13461</v>
      </c>
      <c r="N15746" t="s">
        <v>1544</v>
      </c>
      <c r="O15746">
        <v>250317</v>
      </c>
      <c r="P15746">
        <v>4</v>
      </c>
    </row>
    <row r="15747" spans="1:16" x14ac:dyDescent="0.25">
      <c r="A15747" t="s">
        <v>3296</v>
      </c>
      <c r="B15747" t="s">
        <v>2931</v>
      </c>
      <c r="C15747">
        <v>5048</v>
      </c>
      <c r="D15747" t="str">
        <f>"106/255305  "</f>
        <v xml:space="preserve">106/255305  </v>
      </c>
      <c r="E15747" t="s">
        <v>2891</v>
      </c>
      <c r="F15747" t="s">
        <v>2893</v>
      </c>
      <c r="G15747">
        <v>8139.6</v>
      </c>
      <c r="H15747">
        <v>250331</v>
      </c>
      <c r="I15747">
        <v>4410</v>
      </c>
      <c r="J15747" t="s">
        <v>165</v>
      </c>
      <c r="K15747">
        <v>8139.6</v>
      </c>
      <c r="L15747">
        <v>0</v>
      </c>
      <c r="M15747">
        <v>13452</v>
      </c>
      <c r="N15747" t="s">
        <v>1684</v>
      </c>
      <c r="O15747">
        <v>250416</v>
      </c>
      <c r="P15747">
        <v>8139.6</v>
      </c>
    </row>
    <row r="15748" spans="1:16" x14ac:dyDescent="0.25">
      <c r="A15748" t="s">
        <v>3296</v>
      </c>
      <c r="B15748" t="s">
        <v>2931</v>
      </c>
      <c r="C15748">
        <v>5957</v>
      </c>
      <c r="D15748" t="str">
        <f>"106/255411  "</f>
        <v xml:space="preserve">106/255411  </v>
      </c>
      <c r="E15748" t="s">
        <v>2891</v>
      </c>
      <c r="F15748" t="s">
        <v>2893</v>
      </c>
      <c r="G15748">
        <v>4624.6000000000004</v>
      </c>
      <c r="H15748">
        <v>250430</v>
      </c>
      <c r="I15748">
        <v>4410</v>
      </c>
      <c r="J15748" t="s">
        <v>165</v>
      </c>
      <c r="K15748">
        <v>4689.58</v>
      </c>
      <c r="L15748">
        <v>0</v>
      </c>
      <c r="M15748">
        <v>13452</v>
      </c>
      <c r="N15748" t="s">
        <v>1684</v>
      </c>
      <c r="O15748">
        <v>250507</v>
      </c>
      <c r="P15748">
        <v>4624.6000000000004</v>
      </c>
    </row>
    <row r="15749" spans="1:16" x14ac:dyDescent="0.25">
      <c r="A15749" t="s">
        <v>3296</v>
      </c>
      <c r="B15749" t="s">
        <v>2931</v>
      </c>
      <c r="C15749">
        <v>5957</v>
      </c>
      <c r="D15749" t="str">
        <f>"106/255411  "</f>
        <v xml:space="preserve">106/255411  </v>
      </c>
      <c r="E15749" t="s">
        <v>2891</v>
      </c>
      <c r="F15749" t="s">
        <v>2893</v>
      </c>
      <c r="G15749">
        <v>64.98</v>
      </c>
      <c r="H15749">
        <v>250430</v>
      </c>
      <c r="I15749">
        <v>4410</v>
      </c>
      <c r="J15749" t="s">
        <v>165</v>
      </c>
      <c r="K15749">
        <v>4689.58</v>
      </c>
      <c r="L15749">
        <v>7.98</v>
      </c>
      <c r="M15749">
        <v>13461</v>
      </c>
      <c r="N15749" t="s">
        <v>1544</v>
      </c>
      <c r="O15749">
        <v>250507</v>
      </c>
      <c r="P15749">
        <v>57</v>
      </c>
    </row>
    <row r="15750" spans="1:16" x14ac:dyDescent="0.25">
      <c r="A15750" t="s">
        <v>3296</v>
      </c>
      <c r="B15750" t="s">
        <v>2931</v>
      </c>
      <c r="C15750">
        <v>8197</v>
      </c>
      <c r="D15750" t="str">
        <f>"106/255546  "</f>
        <v xml:space="preserve">106/255546  </v>
      </c>
      <c r="E15750" t="s">
        <v>2891</v>
      </c>
      <c r="F15750" t="s">
        <v>2893</v>
      </c>
      <c r="G15750">
        <v>4674</v>
      </c>
      <c r="H15750">
        <v>250530</v>
      </c>
      <c r="I15750">
        <v>4410</v>
      </c>
      <c r="J15750" t="s">
        <v>165</v>
      </c>
      <c r="K15750">
        <v>4674</v>
      </c>
      <c r="L15750">
        <v>0</v>
      </c>
      <c r="M15750">
        <v>13452</v>
      </c>
      <c r="N15750" t="s">
        <v>1684</v>
      </c>
      <c r="O15750">
        <v>250612</v>
      </c>
      <c r="P15750">
        <v>4674</v>
      </c>
    </row>
    <row r="15751" spans="1:16" x14ac:dyDescent="0.25">
      <c r="A15751" t="s">
        <v>3296</v>
      </c>
      <c r="B15751" t="s">
        <v>2931</v>
      </c>
      <c r="C15751">
        <v>12081</v>
      </c>
      <c r="D15751" t="str">
        <f>"106/255822  "</f>
        <v xml:space="preserve">106/255822  </v>
      </c>
      <c r="E15751" t="s">
        <v>2891</v>
      </c>
      <c r="F15751" t="s">
        <v>2893</v>
      </c>
      <c r="G15751">
        <v>6589.2</v>
      </c>
      <c r="H15751">
        <v>250829</v>
      </c>
      <c r="I15751">
        <v>4410</v>
      </c>
      <c r="J15751" t="s">
        <v>165</v>
      </c>
      <c r="K15751">
        <v>6589.2</v>
      </c>
      <c r="L15751">
        <v>0</v>
      </c>
      <c r="M15751">
        <v>13452</v>
      </c>
      <c r="N15751" t="s">
        <v>1684</v>
      </c>
      <c r="O15751">
        <v>250916</v>
      </c>
      <c r="P15751">
        <v>6589.2</v>
      </c>
    </row>
    <row r="15752" spans="1:16" x14ac:dyDescent="0.25">
      <c r="A15752" t="s">
        <v>3296</v>
      </c>
      <c r="B15752" t="s">
        <v>2931</v>
      </c>
      <c r="C15752">
        <v>13790</v>
      </c>
      <c r="D15752" t="str">
        <f>"106/255827  "</f>
        <v xml:space="preserve">106/255827  </v>
      </c>
      <c r="E15752" t="s">
        <v>2891</v>
      </c>
      <c r="F15752" t="s">
        <v>2893</v>
      </c>
      <c r="G15752">
        <v>8527.2000000000007</v>
      </c>
      <c r="H15752">
        <v>251001</v>
      </c>
      <c r="I15752">
        <v>4410</v>
      </c>
      <c r="J15752" t="s">
        <v>165</v>
      </c>
      <c r="K15752">
        <v>8527.2000000000007</v>
      </c>
      <c r="L15752">
        <v>0</v>
      </c>
      <c r="M15752">
        <v>13452</v>
      </c>
      <c r="N15752" t="s">
        <v>1684</v>
      </c>
      <c r="O15752">
        <v>251020</v>
      </c>
      <c r="P15752">
        <v>8527.2000000000007</v>
      </c>
    </row>
    <row r="15753" spans="1:16" x14ac:dyDescent="0.25">
      <c r="A15753" t="s">
        <v>3296</v>
      </c>
      <c r="B15753" t="s">
        <v>2931</v>
      </c>
      <c r="C15753">
        <v>13974</v>
      </c>
      <c r="D15753" t="str">
        <f>"106/255954  "</f>
        <v xml:space="preserve">106/255954  </v>
      </c>
      <c r="E15753" t="s">
        <v>2891</v>
      </c>
      <c r="F15753" t="s">
        <v>2893</v>
      </c>
      <c r="G15753">
        <v>204.06</v>
      </c>
      <c r="H15753">
        <v>251017</v>
      </c>
      <c r="I15753">
        <v>4410</v>
      </c>
      <c r="J15753" t="s">
        <v>165</v>
      </c>
      <c r="K15753">
        <v>419.96</v>
      </c>
      <c r="L15753">
        <v>25.06</v>
      </c>
      <c r="M15753">
        <v>13452</v>
      </c>
      <c r="N15753" t="s">
        <v>1684</v>
      </c>
      <c r="O15753">
        <v>251021</v>
      </c>
      <c r="P15753">
        <v>179</v>
      </c>
    </row>
    <row r="15754" spans="1:16" x14ac:dyDescent="0.25">
      <c r="A15754" t="s">
        <v>3296</v>
      </c>
      <c r="B15754" t="s">
        <v>2931</v>
      </c>
      <c r="C15754">
        <v>13974</v>
      </c>
      <c r="D15754" t="str">
        <f>"106/255954  "</f>
        <v xml:space="preserve">106/255954  </v>
      </c>
      <c r="E15754" t="s">
        <v>2891</v>
      </c>
      <c r="F15754" t="s">
        <v>2893</v>
      </c>
      <c r="G15754">
        <v>179.89</v>
      </c>
      <c r="H15754">
        <v>251017</v>
      </c>
      <c r="I15754">
        <v>4410</v>
      </c>
      <c r="J15754" t="s">
        <v>165</v>
      </c>
      <c r="K15754">
        <v>419.96</v>
      </c>
      <c r="L15754">
        <v>22.09</v>
      </c>
      <c r="M15754">
        <v>13452</v>
      </c>
      <c r="N15754" t="s">
        <v>1684</v>
      </c>
      <c r="O15754">
        <v>251021</v>
      </c>
      <c r="P15754">
        <v>157.80000000000001</v>
      </c>
    </row>
    <row r="15755" spans="1:16" x14ac:dyDescent="0.25">
      <c r="A15755" t="s">
        <v>3296</v>
      </c>
      <c r="B15755" t="s">
        <v>2931</v>
      </c>
      <c r="C15755">
        <v>15314</v>
      </c>
      <c r="D15755" t="str">
        <f>"106/255957  "</f>
        <v xml:space="preserve">106/255957  </v>
      </c>
      <c r="E15755" t="s">
        <v>2891</v>
      </c>
      <c r="F15755" t="s">
        <v>2893</v>
      </c>
      <c r="G15755">
        <v>4.5599999999999996</v>
      </c>
      <c r="H15755">
        <v>251031</v>
      </c>
      <c r="I15755">
        <v>4410</v>
      </c>
      <c r="J15755" t="s">
        <v>165</v>
      </c>
      <c r="K15755">
        <v>7368.96</v>
      </c>
      <c r="L15755">
        <v>0.56000000000000005</v>
      </c>
      <c r="M15755">
        <v>13452</v>
      </c>
      <c r="N15755" t="s">
        <v>1684</v>
      </c>
      <c r="O15755">
        <v>251118</v>
      </c>
      <c r="P15755">
        <v>4</v>
      </c>
    </row>
    <row r="15756" spans="1:16" x14ac:dyDescent="0.25">
      <c r="A15756" t="s">
        <v>3296</v>
      </c>
      <c r="B15756" t="s">
        <v>2931</v>
      </c>
      <c r="C15756">
        <v>15314</v>
      </c>
      <c r="D15756" t="str">
        <f>"106/255957  "</f>
        <v xml:space="preserve">106/255957  </v>
      </c>
      <c r="E15756" t="s">
        <v>2891</v>
      </c>
      <c r="F15756" t="s">
        <v>2893</v>
      </c>
      <c r="G15756">
        <v>7364.4</v>
      </c>
      <c r="H15756">
        <v>251031</v>
      </c>
      <c r="I15756">
        <v>4410</v>
      </c>
      <c r="J15756" t="s">
        <v>165</v>
      </c>
      <c r="K15756">
        <v>7368.96</v>
      </c>
      <c r="L15756">
        <v>0</v>
      </c>
      <c r="M15756">
        <v>13452</v>
      </c>
      <c r="N15756" t="s">
        <v>1684</v>
      </c>
      <c r="O15756">
        <v>251118</v>
      </c>
      <c r="P15756">
        <v>7364.4</v>
      </c>
    </row>
    <row r="15757" spans="1:16" x14ac:dyDescent="0.25">
      <c r="A15757" t="s">
        <v>3296</v>
      </c>
      <c r="B15757" t="s">
        <v>2931</v>
      </c>
      <c r="C15757">
        <v>16509</v>
      </c>
      <c r="D15757" t="str">
        <f>"106/256098  "</f>
        <v xml:space="preserve">106/256098  </v>
      </c>
      <c r="E15757" t="s">
        <v>2891</v>
      </c>
      <c r="F15757" t="s">
        <v>2893</v>
      </c>
      <c r="G15757">
        <v>118.56</v>
      </c>
      <c r="H15757">
        <v>251128</v>
      </c>
      <c r="I15757">
        <v>4410</v>
      </c>
      <c r="J15757" t="s">
        <v>165</v>
      </c>
      <c r="K15757">
        <v>7566.56</v>
      </c>
      <c r="L15757">
        <v>14.56</v>
      </c>
      <c r="M15757">
        <v>13452</v>
      </c>
      <c r="N15757" t="s">
        <v>1684</v>
      </c>
      <c r="O15757">
        <v>251209</v>
      </c>
      <c r="P15757">
        <v>104</v>
      </c>
    </row>
    <row r="15758" spans="1:16" x14ac:dyDescent="0.25">
      <c r="A15758" t="s">
        <v>3296</v>
      </c>
      <c r="B15758" t="s">
        <v>2931</v>
      </c>
      <c r="C15758">
        <v>16509</v>
      </c>
      <c r="D15758" t="str">
        <f>"106/256098  "</f>
        <v xml:space="preserve">106/256098  </v>
      </c>
      <c r="E15758" t="s">
        <v>2891</v>
      </c>
      <c r="F15758" t="s">
        <v>2893</v>
      </c>
      <c r="G15758">
        <v>7448</v>
      </c>
      <c r="H15758">
        <v>251128</v>
      </c>
      <c r="I15758">
        <v>4410</v>
      </c>
      <c r="J15758" t="s">
        <v>165</v>
      </c>
      <c r="K15758">
        <v>7566.56</v>
      </c>
      <c r="L15758">
        <v>0</v>
      </c>
      <c r="M15758">
        <v>13452</v>
      </c>
      <c r="N15758" t="s">
        <v>1684</v>
      </c>
      <c r="O15758">
        <v>251209</v>
      </c>
      <c r="P15758">
        <v>7448</v>
      </c>
    </row>
    <row r="15759" spans="1:16" x14ac:dyDescent="0.25">
      <c r="A15759" t="s">
        <v>3296</v>
      </c>
      <c r="B15759" t="s">
        <v>2931</v>
      </c>
      <c r="C15759">
        <v>18601</v>
      </c>
      <c r="D15759" t="str">
        <f>"106/256215  "</f>
        <v xml:space="preserve">106/256215  </v>
      </c>
      <c r="E15759" t="s">
        <v>2891</v>
      </c>
      <c r="F15759" t="s">
        <v>2893</v>
      </c>
      <c r="G15759">
        <v>5814</v>
      </c>
      <c r="H15759">
        <v>251231</v>
      </c>
      <c r="I15759">
        <v>4410</v>
      </c>
      <c r="J15759" t="s">
        <v>165</v>
      </c>
      <c r="K15759">
        <v>6338.4</v>
      </c>
      <c r="L15759">
        <v>0</v>
      </c>
      <c r="M15759">
        <v>13452</v>
      </c>
      <c r="N15759" t="s">
        <v>1684</v>
      </c>
      <c r="O15759">
        <v>260119</v>
      </c>
      <c r="P15759">
        <v>5814</v>
      </c>
    </row>
    <row r="15760" spans="1:16" x14ac:dyDescent="0.25">
      <c r="A15760" t="s">
        <v>3296</v>
      </c>
      <c r="B15760" t="s">
        <v>2931</v>
      </c>
      <c r="C15760">
        <v>18601</v>
      </c>
      <c r="D15760" t="str">
        <f>"106/256215  "</f>
        <v xml:space="preserve">106/256215  </v>
      </c>
      <c r="E15760" t="s">
        <v>2891</v>
      </c>
      <c r="F15760" t="s">
        <v>2893</v>
      </c>
      <c r="G15760">
        <v>524.4</v>
      </c>
      <c r="H15760">
        <v>251231</v>
      </c>
      <c r="I15760">
        <v>4410</v>
      </c>
      <c r="J15760" t="s">
        <v>165</v>
      </c>
      <c r="K15760">
        <v>6338.4</v>
      </c>
      <c r="L15760">
        <v>64.400000000000006</v>
      </c>
      <c r="M15760">
        <v>13461</v>
      </c>
      <c r="N15760" t="s">
        <v>1544</v>
      </c>
      <c r="O15760">
        <v>260119</v>
      </c>
      <c r="P15760">
        <v>460</v>
      </c>
    </row>
    <row r="15761" spans="1:16" x14ac:dyDescent="0.25">
      <c r="A15761" t="s">
        <v>3296</v>
      </c>
      <c r="B15761" t="s">
        <v>2931</v>
      </c>
      <c r="C15761">
        <v>18542</v>
      </c>
      <c r="D15761" t="str">
        <f>"401/255329  "</f>
        <v xml:space="preserve">401/255329  </v>
      </c>
      <c r="E15761" t="s">
        <v>2891</v>
      </c>
      <c r="F15761" t="s">
        <v>2893</v>
      </c>
      <c r="G15761">
        <v>28.21</v>
      </c>
      <c r="H15761">
        <v>251231</v>
      </c>
      <c r="I15761">
        <v>4420</v>
      </c>
      <c r="J15761" t="s">
        <v>330</v>
      </c>
      <c r="K15761">
        <v>3423.9</v>
      </c>
      <c r="L15761">
        <v>0</v>
      </c>
      <c r="M15761">
        <v>13401</v>
      </c>
      <c r="N15761" t="s">
        <v>10</v>
      </c>
      <c r="O15761">
        <v>260115</v>
      </c>
      <c r="P15761">
        <v>28.21</v>
      </c>
    </row>
    <row r="15762" spans="1:16" x14ac:dyDescent="0.25">
      <c r="A15762" t="s">
        <v>3296</v>
      </c>
      <c r="B15762" t="s">
        <v>2931</v>
      </c>
      <c r="C15762">
        <v>13974</v>
      </c>
      <c r="D15762" t="str">
        <f>"106/255954  "</f>
        <v xml:space="preserve">106/255954  </v>
      </c>
      <c r="E15762" t="s">
        <v>2891</v>
      </c>
      <c r="F15762" t="s">
        <v>2893</v>
      </c>
      <c r="G15762">
        <v>36.01</v>
      </c>
      <c r="H15762">
        <v>251017</v>
      </c>
      <c r="I15762">
        <v>4520</v>
      </c>
      <c r="J15762" t="s">
        <v>280</v>
      </c>
      <c r="K15762">
        <v>419.96</v>
      </c>
      <c r="L15762">
        <v>4.42</v>
      </c>
      <c r="M15762">
        <v>13401</v>
      </c>
      <c r="N15762" t="s">
        <v>10</v>
      </c>
      <c r="O15762">
        <v>251021</v>
      </c>
      <c r="P15762">
        <v>31.59</v>
      </c>
    </row>
    <row r="15763" spans="1:16" x14ac:dyDescent="0.25">
      <c r="A15763" t="s">
        <v>3296</v>
      </c>
      <c r="B15763" t="s">
        <v>2931</v>
      </c>
      <c r="C15763">
        <v>18542</v>
      </c>
      <c r="D15763" t="str">
        <f>"401/255329  "</f>
        <v xml:space="preserve">401/255329  </v>
      </c>
      <c r="E15763" t="s">
        <v>2891</v>
      </c>
      <c r="F15763" t="s">
        <v>2893</v>
      </c>
      <c r="G15763">
        <v>484.46</v>
      </c>
      <c r="H15763">
        <v>251231</v>
      </c>
      <c r="I15763">
        <v>4580</v>
      </c>
      <c r="J15763" t="s">
        <v>126</v>
      </c>
      <c r="K15763">
        <v>3423.9</v>
      </c>
      <c r="L15763">
        <v>0</v>
      </c>
      <c r="M15763">
        <v>13401</v>
      </c>
      <c r="N15763" t="s">
        <v>10</v>
      </c>
      <c r="O15763">
        <v>260115</v>
      </c>
      <c r="P15763">
        <v>484.46</v>
      </c>
    </row>
    <row r="15764" spans="1:16" x14ac:dyDescent="0.25">
      <c r="A15764" t="s">
        <v>3296</v>
      </c>
      <c r="B15764" t="s">
        <v>2931</v>
      </c>
      <c r="C15764">
        <v>18542</v>
      </c>
      <c r="D15764" t="str">
        <f>"401/255329  "</f>
        <v xml:space="preserve">401/255329  </v>
      </c>
      <c r="E15764" t="s">
        <v>2891</v>
      </c>
      <c r="F15764" t="s">
        <v>2893</v>
      </c>
      <c r="G15764">
        <v>89.64</v>
      </c>
      <c r="H15764">
        <v>251231</v>
      </c>
      <c r="I15764">
        <v>4600</v>
      </c>
      <c r="J15764" t="s">
        <v>278</v>
      </c>
      <c r="K15764">
        <v>3423.9</v>
      </c>
      <c r="L15764">
        <v>0</v>
      </c>
      <c r="M15764">
        <v>13401</v>
      </c>
      <c r="N15764" t="s">
        <v>10</v>
      </c>
      <c r="O15764">
        <v>260115</v>
      </c>
      <c r="P15764">
        <v>89.64</v>
      </c>
    </row>
    <row r="15765" spans="1:16" x14ac:dyDescent="0.25">
      <c r="A15765" t="s">
        <v>3296</v>
      </c>
      <c r="B15765" t="s">
        <v>2931</v>
      </c>
      <c r="C15765">
        <v>18542</v>
      </c>
      <c r="D15765" t="str">
        <f>"401/255329  "</f>
        <v xml:space="preserve">401/255329  </v>
      </c>
      <c r="E15765" t="s">
        <v>2891</v>
      </c>
      <c r="F15765" t="s">
        <v>2893</v>
      </c>
      <c r="G15765">
        <v>144.81</v>
      </c>
      <c r="H15765">
        <v>251231</v>
      </c>
      <c r="I15765">
        <v>4600</v>
      </c>
      <c r="J15765" t="s">
        <v>278</v>
      </c>
      <c r="K15765">
        <v>3423.9</v>
      </c>
      <c r="L15765">
        <v>0</v>
      </c>
      <c r="M15765">
        <v>13401</v>
      </c>
      <c r="N15765" t="s">
        <v>10</v>
      </c>
      <c r="O15765">
        <v>260115</v>
      </c>
      <c r="P15765">
        <v>144.81</v>
      </c>
    </row>
    <row r="15766" spans="1:16" x14ac:dyDescent="0.25">
      <c r="A15766" t="s">
        <v>3296</v>
      </c>
      <c r="B15766" t="s">
        <v>2931</v>
      </c>
      <c r="C15766">
        <v>93</v>
      </c>
      <c r="D15766" t="str">
        <f>"503/253026  "</f>
        <v xml:space="preserve">503/253026  </v>
      </c>
      <c r="E15766" t="s">
        <v>2891</v>
      </c>
      <c r="F15766" t="s">
        <v>2893</v>
      </c>
      <c r="G15766">
        <v>12504.83</v>
      </c>
      <c r="H15766">
        <v>250101</v>
      </c>
      <c r="I15766">
        <v>4820</v>
      </c>
      <c r="J15766" t="s">
        <v>169</v>
      </c>
      <c r="K15766">
        <v>12504.83</v>
      </c>
      <c r="L15766">
        <v>2540.8200000000002</v>
      </c>
      <c r="M15766">
        <v>13441</v>
      </c>
      <c r="N15766" t="s">
        <v>2892</v>
      </c>
      <c r="O15766">
        <v>250107</v>
      </c>
      <c r="P15766">
        <v>9964.01</v>
      </c>
    </row>
    <row r="15767" spans="1:16" x14ac:dyDescent="0.25">
      <c r="A15767" t="s">
        <v>3296</v>
      </c>
      <c r="B15767" t="s">
        <v>2931</v>
      </c>
      <c r="C15767">
        <v>454</v>
      </c>
      <c r="D15767" t="str">
        <f>"503/253054  "</f>
        <v xml:space="preserve">503/253054  </v>
      </c>
      <c r="E15767" t="s">
        <v>2891</v>
      </c>
      <c r="F15767" t="s">
        <v>2893</v>
      </c>
      <c r="G15767">
        <v>12504.83</v>
      </c>
      <c r="H15767">
        <v>250201</v>
      </c>
      <c r="I15767">
        <v>4820</v>
      </c>
      <c r="J15767" t="s">
        <v>169</v>
      </c>
      <c r="K15767">
        <v>12504.83</v>
      </c>
      <c r="L15767">
        <v>2540.8200000000002</v>
      </c>
      <c r="M15767">
        <v>13441</v>
      </c>
      <c r="N15767" t="s">
        <v>2892</v>
      </c>
      <c r="O15767">
        <v>250122</v>
      </c>
      <c r="P15767">
        <v>9964.01</v>
      </c>
    </row>
    <row r="15768" spans="1:16" x14ac:dyDescent="0.25">
      <c r="A15768" t="s">
        <v>3296</v>
      </c>
      <c r="B15768" t="s">
        <v>2931</v>
      </c>
      <c r="C15768">
        <v>2319</v>
      </c>
      <c r="D15768" t="str">
        <f>"503/253084  "</f>
        <v xml:space="preserve">503/253084  </v>
      </c>
      <c r="E15768" t="s">
        <v>2891</v>
      </c>
      <c r="F15768" t="s">
        <v>2893</v>
      </c>
      <c r="G15768">
        <v>12504.83</v>
      </c>
      <c r="H15768">
        <v>250301</v>
      </c>
      <c r="I15768">
        <v>4820</v>
      </c>
      <c r="J15768" t="s">
        <v>169</v>
      </c>
      <c r="K15768">
        <v>12504.83</v>
      </c>
      <c r="L15768">
        <v>2540.8200000000002</v>
      </c>
      <c r="M15768">
        <v>13441</v>
      </c>
      <c r="N15768" t="s">
        <v>2892</v>
      </c>
      <c r="O15768">
        <v>250224</v>
      </c>
      <c r="P15768">
        <v>9964.01</v>
      </c>
    </row>
    <row r="15769" spans="1:16" x14ac:dyDescent="0.25">
      <c r="A15769" t="s">
        <v>3296</v>
      </c>
      <c r="B15769" t="s">
        <v>2931</v>
      </c>
      <c r="C15769">
        <v>4080</v>
      </c>
      <c r="D15769" t="str">
        <f>"503/253110  "</f>
        <v xml:space="preserve">503/253110  </v>
      </c>
      <c r="E15769" t="s">
        <v>2891</v>
      </c>
      <c r="F15769" t="s">
        <v>2893</v>
      </c>
      <c r="G15769">
        <v>12504.83</v>
      </c>
      <c r="H15769">
        <v>250401</v>
      </c>
      <c r="I15769">
        <v>4820</v>
      </c>
      <c r="J15769" t="s">
        <v>169</v>
      </c>
      <c r="K15769">
        <v>12504.83</v>
      </c>
      <c r="L15769">
        <v>2540.8200000000002</v>
      </c>
      <c r="M15769">
        <v>13441</v>
      </c>
      <c r="N15769" t="s">
        <v>2892</v>
      </c>
      <c r="O15769">
        <v>250407</v>
      </c>
      <c r="P15769">
        <v>9964.01</v>
      </c>
    </row>
    <row r="15770" spans="1:16" x14ac:dyDescent="0.25">
      <c r="A15770" t="s">
        <v>3296</v>
      </c>
      <c r="B15770" t="s">
        <v>2931</v>
      </c>
      <c r="C15770">
        <v>5567</v>
      </c>
      <c r="D15770" t="str">
        <f>"503/253136  "</f>
        <v xml:space="preserve">503/253136  </v>
      </c>
      <c r="E15770" t="s">
        <v>2891</v>
      </c>
      <c r="F15770" t="s">
        <v>2893</v>
      </c>
      <c r="G15770">
        <v>12504.83</v>
      </c>
      <c r="H15770">
        <v>250501</v>
      </c>
      <c r="I15770">
        <v>4820</v>
      </c>
      <c r="J15770" t="s">
        <v>169</v>
      </c>
      <c r="K15770">
        <v>12504.83</v>
      </c>
      <c r="L15770">
        <v>2540.8200000000002</v>
      </c>
      <c r="M15770">
        <v>13441</v>
      </c>
      <c r="N15770" t="s">
        <v>2892</v>
      </c>
      <c r="O15770">
        <v>250425</v>
      </c>
      <c r="P15770">
        <v>9964.01</v>
      </c>
    </row>
    <row r="15771" spans="1:16" x14ac:dyDescent="0.25">
      <c r="A15771" t="s">
        <v>3296</v>
      </c>
      <c r="B15771" t="s">
        <v>2931</v>
      </c>
      <c r="C15771">
        <v>7373</v>
      </c>
      <c r="D15771" t="str">
        <f>"503/253162  "</f>
        <v xml:space="preserve">503/253162  </v>
      </c>
      <c r="E15771" t="s">
        <v>2891</v>
      </c>
      <c r="F15771" t="s">
        <v>2893</v>
      </c>
      <c r="G15771">
        <v>12504.83</v>
      </c>
      <c r="H15771">
        <v>250601</v>
      </c>
      <c r="I15771">
        <v>4820</v>
      </c>
      <c r="J15771" t="s">
        <v>169</v>
      </c>
      <c r="K15771">
        <v>12504.83</v>
      </c>
      <c r="L15771">
        <v>2540.8200000000002</v>
      </c>
      <c r="M15771">
        <v>13441</v>
      </c>
      <c r="N15771" t="s">
        <v>2892</v>
      </c>
      <c r="O15771">
        <v>250603</v>
      </c>
      <c r="P15771">
        <v>9964.01</v>
      </c>
    </row>
    <row r="15772" spans="1:16" x14ac:dyDescent="0.25">
      <c r="A15772" t="s">
        <v>3296</v>
      </c>
      <c r="B15772" t="s">
        <v>2931</v>
      </c>
      <c r="C15772">
        <v>8947</v>
      </c>
      <c r="D15772" t="str">
        <f>"503/253187  "</f>
        <v xml:space="preserve">503/253187  </v>
      </c>
      <c r="E15772" t="s">
        <v>2891</v>
      </c>
      <c r="F15772" t="s">
        <v>2893</v>
      </c>
      <c r="G15772">
        <v>12504.83</v>
      </c>
      <c r="H15772">
        <v>250701</v>
      </c>
      <c r="I15772">
        <v>4820</v>
      </c>
      <c r="J15772" t="s">
        <v>169</v>
      </c>
      <c r="K15772">
        <v>12504.83</v>
      </c>
      <c r="L15772">
        <v>2540.8200000000002</v>
      </c>
      <c r="M15772">
        <v>13441</v>
      </c>
      <c r="N15772" t="s">
        <v>2892</v>
      </c>
      <c r="O15772">
        <v>250619</v>
      </c>
      <c r="P15772">
        <v>9964.01</v>
      </c>
    </row>
    <row r="15773" spans="1:16" x14ac:dyDescent="0.25">
      <c r="A15773" t="s">
        <v>3296</v>
      </c>
      <c r="B15773" t="s">
        <v>2931</v>
      </c>
      <c r="C15773">
        <v>9861</v>
      </c>
      <c r="D15773" t="str">
        <f>"503/253212  "</f>
        <v xml:space="preserve">503/253212  </v>
      </c>
      <c r="E15773" t="s">
        <v>2891</v>
      </c>
      <c r="F15773" t="s">
        <v>2893</v>
      </c>
      <c r="G15773">
        <v>12504.83</v>
      </c>
      <c r="H15773">
        <v>250801</v>
      </c>
      <c r="I15773">
        <v>4820</v>
      </c>
      <c r="J15773" t="s">
        <v>169</v>
      </c>
      <c r="K15773">
        <v>12504.83</v>
      </c>
      <c r="L15773">
        <v>2540.8200000000002</v>
      </c>
      <c r="M15773">
        <v>13441</v>
      </c>
      <c r="N15773" t="s">
        <v>2892</v>
      </c>
      <c r="O15773">
        <v>250730</v>
      </c>
      <c r="P15773">
        <v>9964.01</v>
      </c>
    </row>
    <row r="15774" spans="1:16" x14ac:dyDescent="0.25">
      <c r="A15774" t="s">
        <v>3296</v>
      </c>
      <c r="B15774" t="s">
        <v>2931</v>
      </c>
      <c r="C15774">
        <v>10627</v>
      </c>
      <c r="D15774" t="str">
        <f>"503/253237  "</f>
        <v xml:space="preserve">503/253237  </v>
      </c>
      <c r="E15774" t="s">
        <v>2891</v>
      </c>
      <c r="F15774" t="s">
        <v>2893</v>
      </c>
      <c r="G15774">
        <v>12504.83</v>
      </c>
      <c r="H15774">
        <v>250901</v>
      </c>
      <c r="I15774">
        <v>4820</v>
      </c>
      <c r="J15774" t="s">
        <v>169</v>
      </c>
      <c r="K15774">
        <v>12504.83</v>
      </c>
      <c r="L15774">
        <v>2540.8200000000002</v>
      </c>
      <c r="M15774">
        <v>13441</v>
      </c>
      <c r="N15774" t="s">
        <v>2892</v>
      </c>
      <c r="O15774">
        <v>250820</v>
      </c>
      <c r="P15774">
        <v>9964.01</v>
      </c>
    </row>
    <row r="15775" spans="1:16" x14ac:dyDescent="0.25">
      <c r="A15775" t="s">
        <v>3296</v>
      </c>
      <c r="B15775" t="s">
        <v>2931</v>
      </c>
      <c r="C15775">
        <v>12335</v>
      </c>
      <c r="D15775" t="str">
        <f>"503/253262  "</f>
        <v xml:space="preserve">503/253262  </v>
      </c>
      <c r="E15775" t="s">
        <v>2891</v>
      </c>
      <c r="F15775" t="s">
        <v>2893</v>
      </c>
      <c r="G15775">
        <v>12504.83</v>
      </c>
      <c r="H15775">
        <v>251001</v>
      </c>
      <c r="I15775">
        <v>4820</v>
      </c>
      <c r="J15775" t="s">
        <v>169</v>
      </c>
      <c r="K15775">
        <v>12504.83</v>
      </c>
      <c r="L15775">
        <v>2540.8200000000002</v>
      </c>
      <c r="M15775">
        <v>13441</v>
      </c>
      <c r="N15775" t="s">
        <v>2892</v>
      </c>
      <c r="O15775">
        <v>250919</v>
      </c>
      <c r="P15775">
        <v>9964.01</v>
      </c>
    </row>
    <row r="15776" spans="1:16" x14ac:dyDescent="0.25">
      <c r="A15776" t="s">
        <v>3296</v>
      </c>
      <c r="B15776" t="s">
        <v>2931</v>
      </c>
      <c r="C15776">
        <v>14378</v>
      </c>
      <c r="D15776" t="str">
        <f>"503/253286  "</f>
        <v xml:space="preserve">503/253286  </v>
      </c>
      <c r="E15776" t="s">
        <v>2891</v>
      </c>
      <c r="F15776" t="s">
        <v>2893</v>
      </c>
      <c r="G15776">
        <v>12504.83</v>
      </c>
      <c r="H15776">
        <v>251101</v>
      </c>
      <c r="I15776">
        <v>4820</v>
      </c>
      <c r="J15776" t="s">
        <v>169</v>
      </c>
      <c r="K15776">
        <v>12504.83</v>
      </c>
      <c r="L15776">
        <v>2540.8200000000002</v>
      </c>
      <c r="M15776">
        <v>13441</v>
      </c>
      <c r="N15776" t="s">
        <v>2892</v>
      </c>
      <c r="O15776">
        <v>251031</v>
      </c>
      <c r="P15776">
        <v>9964.01</v>
      </c>
    </row>
    <row r="15777" spans="1:16" x14ac:dyDescent="0.25">
      <c r="A15777" t="s">
        <v>3296</v>
      </c>
      <c r="B15777" t="s">
        <v>2931</v>
      </c>
      <c r="C15777">
        <v>15806</v>
      </c>
      <c r="D15777" t="str">
        <f>"503/253308  "</f>
        <v xml:space="preserve">503/253308  </v>
      </c>
      <c r="E15777" t="s">
        <v>2891</v>
      </c>
      <c r="F15777" t="s">
        <v>2893</v>
      </c>
      <c r="G15777">
        <v>12504.83</v>
      </c>
      <c r="H15777">
        <v>251201</v>
      </c>
      <c r="I15777">
        <v>4820</v>
      </c>
      <c r="J15777" t="s">
        <v>169</v>
      </c>
      <c r="K15777">
        <v>12504.83</v>
      </c>
      <c r="L15777">
        <v>2540.8200000000002</v>
      </c>
      <c r="M15777">
        <v>13441</v>
      </c>
      <c r="N15777" t="s">
        <v>2892</v>
      </c>
      <c r="O15777">
        <v>251127</v>
      </c>
      <c r="P15777">
        <v>9964.01</v>
      </c>
    </row>
    <row r="15778" spans="1:16" x14ac:dyDescent="0.25">
      <c r="A15778" t="s">
        <v>3296</v>
      </c>
      <c r="B15778" t="s">
        <v>2931</v>
      </c>
      <c r="C15778">
        <v>11927</v>
      </c>
      <c r="D15778" t="str">
        <f>"100925      "</f>
        <v xml:space="preserve">100925      </v>
      </c>
      <c r="E15778" t="s">
        <v>2891</v>
      </c>
      <c r="F15778" t="s">
        <v>2893</v>
      </c>
      <c r="G15778">
        <v>150</v>
      </c>
      <c r="H15778">
        <v>250909</v>
      </c>
      <c r="I15778">
        <v>4940</v>
      </c>
      <c r="J15778" t="s">
        <v>250</v>
      </c>
      <c r="K15778">
        <v>150</v>
      </c>
      <c r="L15778">
        <v>0</v>
      </c>
      <c r="M15778">
        <v>11001</v>
      </c>
      <c r="N15778" t="s">
        <v>93</v>
      </c>
      <c r="O15778">
        <v>250912</v>
      </c>
      <c r="P15778">
        <v>150</v>
      </c>
    </row>
    <row r="15779" spans="1:16" x14ac:dyDescent="0.25">
      <c r="A15779" t="s">
        <v>3296</v>
      </c>
      <c r="B15779" t="s">
        <v>2931</v>
      </c>
      <c r="C15779">
        <v>4003</v>
      </c>
      <c r="D15779" t="str">
        <f>"250325      "</f>
        <v xml:space="preserve">250325      </v>
      </c>
      <c r="E15779" t="s">
        <v>3044</v>
      </c>
      <c r="G15779">
        <v>54</v>
      </c>
      <c r="H15779">
        <v>250321</v>
      </c>
      <c r="I15779">
        <v>4940</v>
      </c>
      <c r="J15779" t="s">
        <v>250</v>
      </c>
      <c r="K15779">
        <v>54</v>
      </c>
      <c r="L15779">
        <v>0</v>
      </c>
      <c r="M15779">
        <v>13461</v>
      </c>
      <c r="N15779" t="s">
        <v>1544</v>
      </c>
      <c r="O15779">
        <v>250407</v>
      </c>
      <c r="P15779">
        <v>54</v>
      </c>
    </row>
    <row r="15780" spans="1:16" x14ac:dyDescent="0.25">
      <c r="A15780" t="s">
        <v>3296</v>
      </c>
      <c r="B15780" t="s">
        <v>2931</v>
      </c>
      <c r="C15780">
        <v>8818</v>
      </c>
      <c r="D15780" t="str">
        <f>"329895      "</f>
        <v xml:space="preserve">329895      </v>
      </c>
      <c r="E15780" t="s">
        <v>2059</v>
      </c>
      <c r="F15780" t="s">
        <v>2060</v>
      </c>
      <c r="G15780">
        <v>313.75</v>
      </c>
      <c r="H15780">
        <v>250612</v>
      </c>
      <c r="I15780">
        <v>4940</v>
      </c>
      <c r="J15780" t="s">
        <v>250</v>
      </c>
      <c r="K15780">
        <v>313.75</v>
      </c>
      <c r="L15780">
        <v>63.75</v>
      </c>
      <c r="M15780">
        <v>13401</v>
      </c>
      <c r="N15780" t="s">
        <v>10</v>
      </c>
      <c r="O15780">
        <v>250618</v>
      </c>
      <c r="P15780">
        <v>250</v>
      </c>
    </row>
    <row r="15781" spans="1:16" x14ac:dyDescent="0.25">
      <c r="A15781" t="s">
        <v>3296</v>
      </c>
      <c r="B15781" t="s">
        <v>2931</v>
      </c>
      <c r="C15781">
        <v>16448</v>
      </c>
      <c r="D15781" t="str">
        <f>"1044403     "</f>
        <v xml:space="preserve">1044403     </v>
      </c>
      <c r="E15781" t="s">
        <v>3276</v>
      </c>
      <c r="F15781" t="s">
        <v>3277</v>
      </c>
      <c r="G15781">
        <v>59.75</v>
      </c>
      <c r="H15781">
        <v>251130</v>
      </c>
      <c r="I15781">
        <v>4600</v>
      </c>
      <c r="J15781" t="s">
        <v>278</v>
      </c>
      <c r="K15781">
        <v>59.75</v>
      </c>
      <c r="L15781">
        <v>12.14</v>
      </c>
      <c r="M15781">
        <v>17647</v>
      </c>
      <c r="N15781" t="s">
        <v>907</v>
      </c>
      <c r="O15781">
        <v>251208</v>
      </c>
      <c r="P15781">
        <v>47.61</v>
      </c>
    </row>
    <row r="15782" spans="1:16" x14ac:dyDescent="0.25">
      <c r="A15782" t="s">
        <v>3296</v>
      </c>
      <c r="B15782" t="s">
        <v>2931</v>
      </c>
      <c r="C15782">
        <v>4808</v>
      </c>
      <c r="D15782" t="str">
        <f>"1222        "</f>
        <v xml:space="preserve">1222        </v>
      </c>
      <c r="E15782" t="s">
        <v>172</v>
      </c>
      <c r="F15782" t="s">
        <v>175</v>
      </c>
      <c r="G15782">
        <v>300</v>
      </c>
      <c r="H15782">
        <v>250331</v>
      </c>
      <c r="I15782">
        <v>4410</v>
      </c>
      <c r="J15782" t="s">
        <v>165</v>
      </c>
      <c r="K15782">
        <v>300</v>
      </c>
      <c r="L15782">
        <v>36.840000000000003</v>
      </c>
      <c r="M15782">
        <v>17132</v>
      </c>
      <c r="N15782" t="s">
        <v>174</v>
      </c>
      <c r="O15782">
        <v>250415</v>
      </c>
      <c r="P15782">
        <v>263.16000000000003</v>
      </c>
    </row>
    <row r="15783" spans="1:16" x14ac:dyDescent="0.25">
      <c r="A15783" t="s">
        <v>3296</v>
      </c>
      <c r="B15783" t="s">
        <v>2931</v>
      </c>
      <c r="C15783">
        <v>80</v>
      </c>
      <c r="D15783" t="str">
        <f>"1070        "</f>
        <v xml:space="preserve">1070        </v>
      </c>
      <c r="E15783" t="s">
        <v>172</v>
      </c>
      <c r="F15783" t="s">
        <v>175</v>
      </c>
      <c r="G15783">
        <v>43.93</v>
      </c>
      <c r="H15783">
        <v>250101</v>
      </c>
      <c r="I15783">
        <v>4572</v>
      </c>
      <c r="J15783" t="s">
        <v>173</v>
      </c>
      <c r="K15783">
        <v>941.25</v>
      </c>
      <c r="L15783">
        <v>8.93</v>
      </c>
      <c r="M15783">
        <v>17132</v>
      </c>
      <c r="N15783" t="s">
        <v>174</v>
      </c>
      <c r="O15783">
        <v>250107</v>
      </c>
      <c r="P15783">
        <v>35</v>
      </c>
    </row>
    <row r="15784" spans="1:16" x14ac:dyDescent="0.25">
      <c r="A15784" t="s">
        <v>3296</v>
      </c>
      <c r="B15784" t="s">
        <v>2931</v>
      </c>
      <c r="C15784">
        <v>80</v>
      </c>
      <c r="D15784" t="str">
        <f>"1070        "</f>
        <v xml:space="preserve">1070        </v>
      </c>
      <c r="E15784" t="s">
        <v>172</v>
      </c>
      <c r="F15784" t="s">
        <v>175</v>
      </c>
      <c r="G15784">
        <v>18.82</v>
      </c>
      <c r="H15784">
        <v>250101</v>
      </c>
      <c r="I15784">
        <v>4572</v>
      </c>
      <c r="J15784" t="s">
        <v>173</v>
      </c>
      <c r="K15784">
        <v>941.25</v>
      </c>
      <c r="L15784">
        <v>3.82</v>
      </c>
      <c r="M15784">
        <v>18122</v>
      </c>
      <c r="N15784" t="s">
        <v>176</v>
      </c>
      <c r="O15784">
        <v>250107</v>
      </c>
      <c r="P15784">
        <v>15</v>
      </c>
    </row>
    <row r="15785" spans="1:16" x14ac:dyDescent="0.25">
      <c r="A15785" t="s">
        <v>3296</v>
      </c>
      <c r="B15785" t="s">
        <v>2931</v>
      </c>
      <c r="C15785">
        <v>475</v>
      </c>
      <c r="D15785" t="str">
        <f>"1106        "</f>
        <v xml:space="preserve">1106        </v>
      </c>
      <c r="E15785" t="s">
        <v>172</v>
      </c>
      <c r="F15785" t="s">
        <v>175</v>
      </c>
      <c r="G15785">
        <v>43.93</v>
      </c>
      <c r="H15785">
        <v>250201</v>
      </c>
      <c r="I15785">
        <v>4572</v>
      </c>
      <c r="J15785" t="s">
        <v>173</v>
      </c>
      <c r="K15785">
        <v>941.25</v>
      </c>
      <c r="L15785">
        <v>8.93</v>
      </c>
      <c r="M15785">
        <v>18993</v>
      </c>
      <c r="N15785" t="s">
        <v>540</v>
      </c>
      <c r="O15785">
        <v>250123</v>
      </c>
      <c r="P15785">
        <v>35</v>
      </c>
    </row>
    <row r="15786" spans="1:16" x14ac:dyDescent="0.25">
      <c r="A15786" t="s">
        <v>3296</v>
      </c>
      <c r="B15786" t="s">
        <v>2931</v>
      </c>
      <c r="C15786">
        <v>2235</v>
      </c>
      <c r="D15786" t="str">
        <f>"1139        "</f>
        <v xml:space="preserve">1139        </v>
      </c>
      <c r="E15786" t="s">
        <v>172</v>
      </c>
      <c r="F15786" t="s">
        <v>175</v>
      </c>
      <c r="G15786">
        <v>62.75</v>
      </c>
      <c r="H15786">
        <v>250301</v>
      </c>
      <c r="I15786">
        <v>4572</v>
      </c>
      <c r="J15786" t="s">
        <v>173</v>
      </c>
      <c r="K15786">
        <v>941.25</v>
      </c>
      <c r="L15786">
        <v>12.75</v>
      </c>
      <c r="M15786">
        <v>18993</v>
      </c>
      <c r="N15786" t="s">
        <v>540</v>
      </c>
      <c r="O15786">
        <v>250221</v>
      </c>
      <c r="P15786">
        <v>50</v>
      </c>
    </row>
    <row r="15787" spans="1:16" x14ac:dyDescent="0.25">
      <c r="A15787" t="s">
        <v>3296</v>
      </c>
      <c r="B15787" t="s">
        <v>2931</v>
      </c>
      <c r="C15787">
        <v>4021</v>
      </c>
      <c r="D15787" t="str">
        <f>"1181        "</f>
        <v xml:space="preserve">1181        </v>
      </c>
      <c r="E15787" t="s">
        <v>172</v>
      </c>
      <c r="F15787" t="s">
        <v>175</v>
      </c>
      <c r="G15787">
        <v>62.75</v>
      </c>
      <c r="H15787">
        <v>250401</v>
      </c>
      <c r="I15787">
        <v>4572</v>
      </c>
      <c r="J15787" t="s">
        <v>173</v>
      </c>
      <c r="K15787">
        <v>941.25</v>
      </c>
      <c r="L15787">
        <v>12.75</v>
      </c>
      <c r="M15787">
        <v>18993</v>
      </c>
      <c r="N15787" t="s">
        <v>540</v>
      </c>
      <c r="O15787">
        <v>250407</v>
      </c>
      <c r="P15787">
        <v>50</v>
      </c>
    </row>
    <row r="15788" spans="1:16" x14ac:dyDescent="0.25">
      <c r="A15788" t="s">
        <v>3296</v>
      </c>
      <c r="B15788" t="s">
        <v>2931</v>
      </c>
      <c r="C15788">
        <v>5565</v>
      </c>
      <c r="D15788" t="str">
        <f>"1218        "</f>
        <v xml:space="preserve">1218        </v>
      </c>
      <c r="E15788" t="s">
        <v>172</v>
      </c>
      <c r="F15788" t="s">
        <v>175</v>
      </c>
      <c r="G15788">
        <v>62.75</v>
      </c>
      <c r="H15788">
        <v>250501</v>
      </c>
      <c r="I15788">
        <v>4572</v>
      </c>
      <c r="J15788" t="s">
        <v>173</v>
      </c>
      <c r="K15788">
        <v>941.25</v>
      </c>
      <c r="L15788">
        <v>12.75</v>
      </c>
      <c r="M15788">
        <v>18993</v>
      </c>
      <c r="N15788" t="s">
        <v>540</v>
      </c>
      <c r="O15788">
        <v>250425</v>
      </c>
      <c r="P15788">
        <v>50</v>
      </c>
    </row>
    <row r="15789" spans="1:16" x14ac:dyDescent="0.25">
      <c r="A15789" t="s">
        <v>3296</v>
      </c>
      <c r="B15789" t="s">
        <v>2931</v>
      </c>
      <c r="C15789">
        <v>80</v>
      </c>
      <c r="D15789" t="str">
        <f>"1070        "</f>
        <v xml:space="preserve">1070        </v>
      </c>
      <c r="E15789" t="s">
        <v>172</v>
      </c>
      <c r="F15789" t="s">
        <v>175</v>
      </c>
      <c r="G15789">
        <v>614.95000000000005</v>
      </c>
      <c r="H15789">
        <v>250101</v>
      </c>
      <c r="I15789">
        <v>4820</v>
      </c>
      <c r="J15789" t="s">
        <v>169</v>
      </c>
      <c r="K15789">
        <v>941.25</v>
      </c>
      <c r="L15789">
        <v>124.95</v>
      </c>
      <c r="M15789">
        <v>17132</v>
      </c>
      <c r="N15789" t="s">
        <v>174</v>
      </c>
      <c r="O15789">
        <v>250107</v>
      </c>
      <c r="P15789">
        <v>490</v>
      </c>
    </row>
    <row r="15790" spans="1:16" x14ac:dyDescent="0.25">
      <c r="A15790" t="s">
        <v>3296</v>
      </c>
      <c r="B15790" t="s">
        <v>2931</v>
      </c>
      <c r="C15790">
        <v>80</v>
      </c>
      <c r="D15790" t="str">
        <f>"1070        "</f>
        <v xml:space="preserve">1070        </v>
      </c>
      <c r="E15790" t="s">
        <v>172</v>
      </c>
      <c r="F15790" t="s">
        <v>175</v>
      </c>
      <c r="G15790">
        <v>263.55</v>
      </c>
      <c r="H15790">
        <v>250101</v>
      </c>
      <c r="I15790">
        <v>4820</v>
      </c>
      <c r="J15790" t="s">
        <v>169</v>
      </c>
      <c r="K15790">
        <v>941.25</v>
      </c>
      <c r="L15790">
        <v>53.55</v>
      </c>
      <c r="M15790">
        <v>18122</v>
      </c>
      <c r="N15790" t="s">
        <v>176</v>
      </c>
      <c r="O15790">
        <v>250107</v>
      </c>
      <c r="P15790">
        <v>210</v>
      </c>
    </row>
    <row r="15791" spans="1:16" x14ac:dyDescent="0.25">
      <c r="A15791" t="s">
        <v>3296</v>
      </c>
      <c r="B15791" t="s">
        <v>2931</v>
      </c>
      <c r="C15791">
        <v>475</v>
      </c>
      <c r="D15791" t="str">
        <f>"1106        "</f>
        <v xml:space="preserve">1106        </v>
      </c>
      <c r="E15791" t="s">
        <v>172</v>
      </c>
      <c r="F15791" t="s">
        <v>175</v>
      </c>
      <c r="G15791">
        <v>282.37</v>
      </c>
      <c r="H15791">
        <v>250201</v>
      </c>
      <c r="I15791">
        <v>4820</v>
      </c>
      <c r="J15791" t="s">
        <v>169</v>
      </c>
      <c r="K15791">
        <v>941.25</v>
      </c>
      <c r="L15791">
        <v>57.37</v>
      </c>
      <c r="M15791">
        <v>18993</v>
      </c>
      <c r="N15791" t="s">
        <v>540</v>
      </c>
      <c r="O15791">
        <v>250123</v>
      </c>
      <c r="P15791">
        <v>225</v>
      </c>
    </row>
    <row r="15792" spans="1:16" x14ac:dyDescent="0.25">
      <c r="A15792" t="s">
        <v>3296</v>
      </c>
      <c r="B15792" t="s">
        <v>2931</v>
      </c>
      <c r="C15792">
        <v>475</v>
      </c>
      <c r="D15792" t="str">
        <f>"1106        "</f>
        <v xml:space="preserve">1106        </v>
      </c>
      <c r="E15792" t="s">
        <v>172</v>
      </c>
      <c r="F15792" t="s">
        <v>175</v>
      </c>
      <c r="G15792">
        <v>614.95000000000005</v>
      </c>
      <c r="H15792">
        <v>250201</v>
      </c>
      <c r="I15792">
        <v>4820</v>
      </c>
      <c r="J15792" t="s">
        <v>169</v>
      </c>
      <c r="K15792">
        <v>941.25</v>
      </c>
      <c r="L15792">
        <v>124.95</v>
      </c>
      <c r="M15792">
        <v>18993</v>
      </c>
      <c r="N15792" t="s">
        <v>540</v>
      </c>
      <c r="O15792">
        <v>250123</v>
      </c>
      <c r="P15792">
        <v>490</v>
      </c>
    </row>
    <row r="15793" spans="1:16" x14ac:dyDescent="0.25">
      <c r="A15793" t="s">
        <v>3296</v>
      </c>
      <c r="B15793" t="s">
        <v>2931</v>
      </c>
      <c r="C15793">
        <v>2235</v>
      </c>
      <c r="D15793" t="str">
        <f>"1139        "</f>
        <v xml:space="preserve">1139        </v>
      </c>
      <c r="E15793" t="s">
        <v>172</v>
      </c>
      <c r="F15793" t="s">
        <v>175</v>
      </c>
      <c r="G15793">
        <v>878.5</v>
      </c>
      <c r="H15793">
        <v>250301</v>
      </c>
      <c r="I15793">
        <v>4820</v>
      </c>
      <c r="J15793" t="s">
        <v>169</v>
      </c>
      <c r="K15793">
        <v>941.25</v>
      </c>
      <c r="L15793">
        <v>178.5</v>
      </c>
      <c r="M15793">
        <v>18993</v>
      </c>
      <c r="N15793" t="s">
        <v>540</v>
      </c>
      <c r="O15793">
        <v>250221</v>
      </c>
      <c r="P15793">
        <v>700</v>
      </c>
    </row>
    <row r="15794" spans="1:16" x14ac:dyDescent="0.25">
      <c r="A15794" t="s">
        <v>3296</v>
      </c>
      <c r="B15794" t="s">
        <v>2931</v>
      </c>
      <c r="C15794">
        <v>4021</v>
      </c>
      <c r="D15794" t="str">
        <f>"1181        "</f>
        <v xml:space="preserve">1181        </v>
      </c>
      <c r="E15794" t="s">
        <v>172</v>
      </c>
      <c r="F15794" t="s">
        <v>175</v>
      </c>
      <c r="G15794">
        <v>878.5</v>
      </c>
      <c r="H15794">
        <v>250401</v>
      </c>
      <c r="I15794">
        <v>4820</v>
      </c>
      <c r="J15794" t="s">
        <v>169</v>
      </c>
      <c r="K15794">
        <v>941.25</v>
      </c>
      <c r="L15794">
        <v>178.5</v>
      </c>
      <c r="M15794">
        <v>18993</v>
      </c>
      <c r="N15794" t="s">
        <v>540</v>
      </c>
      <c r="O15794">
        <v>250407</v>
      </c>
      <c r="P15794">
        <v>700</v>
      </c>
    </row>
    <row r="15795" spans="1:16" x14ac:dyDescent="0.25">
      <c r="A15795" t="s">
        <v>3296</v>
      </c>
      <c r="B15795" t="s">
        <v>2931</v>
      </c>
      <c r="C15795">
        <v>5565</v>
      </c>
      <c r="D15795" t="str">
        <f>"1218        "</f>
        <v xml:space="preserve">1218        </v>
      </c>
      <c r="E15795" t="s">
        <v>172</v>
      </c>
      <c r="F15795" t="s">
        <v>175</v>
      </c>
      <c r="G15795">
        <v>878.5</v>
      </c>
      <c r="H15795">
        <v>250501</v>
      </c>
      <c r="I15795">
        <v>4820</v>
      </c>
      <c r="J15795" t="s">
        <v>169</v>
      </c>
      <c r="K15795">
        <v>941.25</v>
      </c>
      <c r="L15795">
        <v>178.5</v>
      </c>
      <c r="M15795">
        <v>18993</v>
      </c>
      <c r="N15795" t="s">
        <v>540</v>
      </c>
      <c r="O15795">
        <v>250425</v>
      </c>
      <c r="P15795">
        <v>700</v>
      </c>
    </row>
    <row r="15796" spans="1:16" x14ac:dyDescent="0.25">
      <c r="A15796" t="s">
        <v>3296</v>
      </c>
      <c r="B15796" t="s">
        <v>2931</v>
      </c>
      <c r="C15796">
        <v>1770</v>
      </c>
      <c r="D15796" t="str">
        <f>"3180        "</f>
        <v xml:space="preserve">3180        </v>
      </c>
      <c r="E15796" t="s">
        <v>1102</v>
      </c>
      <c r="F15796" t="s">
        <v>1103</v>
      </c>
      <c r="G15796">
        <v>1346.62</v>
      </c>
      <c r="H15796">
        <v>250131</v>
      </c>
      <c r="I15796">
        <v>4350</v>
      </c>
      <c r="J15796" t="s">
        <v>290</v>
      </c>
      <c r="K15796">
        <v>1346.62</v>
      </c>
      <c r="L15796">
        <v>273.62</v>
      </c>
      <c r="M15796">
        <v>13401</v>
      </c>
      <c r="N15796" t="s">
        <v>10</v>
      </c>
      <c r="O15796">
        <v>250213</v>
      </c>
      <c r="P15796">
        <v>1073</v>
      </c>
    </row>
    <row r="15797" spans="1:16" x14ac:dyDescent="0.25">
      <c r="A15797" t="s">
        <v>3296</v>
      </c>
      <c r="B15797" t="s">
        <v>2931</v>
      </c>
      <c r="C15797">
        <v>5480</v>
      </c>
      <c r="D15797" t="str">
        <f>"6153        "</f>
        <v xml:space="preserve">6153        </v>
      </c>
      <c r="E15797" t="s">
        <v>1744</v>
      </c>
      <c r="F15797" t="s">
        <v>1745</v>
      </c>
      <c r="G15797">
        <v>52.56</v>
      </c>
      <c r="H15797">
        <v>250416</v>
      </c>
      <c r="I15797">
        <v>4532</v>
      </c>
      <c r="J15797" t="s">
        <v>296</v>
      </c>
      <c r="K15797">
        <v>52.56</v>
      </c>
      <c r="L15797">
        <v>10.68</v>
      </c>
      <c r="M15797">
        <v>59113</v>
      </c>
      <c r="N15797" t="s">
        <v>61</v>
      </c>
      <c r="O15797">
        <v>250424</v>
      </c>
      <c r="P15797">
        <v>41.88</v>
      </c>
    </row>
    <row r="15798" spans="1:16" x14ac:dyDescent="0.25">
      <c r="A15798" t="s">
        <v>3296</v>
      </c>
      <c r="B15798" t="s">
        <v>2931</v>
      </c>
      <c r="C15798">
        <v>16652</v>
      </c>
      <c r="D15798" t="str">
        <f>"214755      "</f>
        <v xml:space="preserve">214755      </v>
      </c>
      <c r="E15798" t="s">
        <v>2696</v>
      </c>
      <c r="F15798" t="s">
        <v>2697</v>
      </c>
      <c r="G15798">
        <v>176.29</v>
      </c>
      <c r="H15798">
        <v>251204</v>
      </c>
      <c r="I15798">
        <v>4534</v>
      </c>
      <c r="J15798" t="s">
        <v>349</v>
      </c>
      <c r="K15798">
        <v>176.29</v>
      </c>
      <c r="L15798">
        <v>35.82</v>
      </c>
      <c r="M15798">
        <v>14321</v>
      </c>
      <c r="N15798" t="s">
        <v>72</v>
      </c>
      <c r="O15798">
        <v>251211</v>
      </c>
      <c r="P15798">
        <v>140.47</v>
      </c>
    </row>
    <row r="15799" spans="1:16" x14ac:dyDescent="0.25">
      <c r="A15799" t="s">
        <v>3296</v>
      </c>
      <c r="B15799" t="s">
        <v>2931</v>
      </c>
      <c r="C15799">
        <v>1590</v>
      </c>
      <c r="D15799" t="str">
        <f>"225603      "</f>
        <v xml:space="preserve">225603      </v>
      </c>
      <c r="E15799" t="s">
        <v>3212</v>
      </c>
      <c r="G15799">
        <v>103</v>
      </c>
      <c r="H15799">
        <v>250127</v>
      </c>
      <c r="I15799">
        <v>4500</v>
      </c>
      <c r="J15799" t="s">
        <v>312</v>
      </c>
      <c r="K15799">
        <v>103</v>
      </c>
      <c r="L15799">
        <v>0</v>
      </c>
      <c r="M15799">
        <v>13502</v>
      </c>
      <c r="N15799" t="s">
        <v>302</v>
      </c>
      <c r="O15799">
        <v>250211</v>
      </c>
      <c r="P15799">
        <v>103</v>
      </c>
    </row>
    <row r="15800" spans="1:16" x14ac:dyDescent="0.25">
      <c r="A15800" t="s">
        <v>3296</v>
      </c>
      <c r="B15800" t="s">
        <v>2931</v>
      </c>
      <c r="C15800">
        <v>1363</v>
      </c>
      <c r="D15800" t="str">
        <f>"119         "</f>
        <v xml:space="preserve">119         </v>
      </c>
      <c r="E15800" t="s">
        <v>965</v>
      </c>
      <c r="F15800" t="s">
        <v>966</v>
      </c>
      <c r="G15800">
        <v>229.4</v>
      </c>
      <c r="H15800">
        <v>250131</v>
      </c>
      <c r="I15800">
        <v>4820</v>
      </c>
      <c r="J15800" t="s">
        <v>169</v>
      </c>
      <c r="K15800">
        <v>458.8</v>
      </c>
      <c r="L15800">
        <v>44.4</v>
      </c>
      <c r="M15800">
        <v>13601</v>
      </c>
      <c r="N15800" t="s">
        <v>115</v>
      </c>
      <c r="O15800">
        <v>250207</v>
      </c>
      <c r="P15800">
        <v>185</v>
      </c>
    </row>
    <row r="15801" spans="1:16" x14ac:dyDescent="0.25">
      <c r="A15801" t="s">
        <v>3296</v>
      </c>
      <c r="B15801" t="s">
        <v>2931</v>
      </c>
      <c r="C15801">
        <v>1363</v>
      </c>
      <c r="D15801" t="str">
        <f>"119         "</f>
        <v xml:space="preserve">119         </v>
      </c>
      <c r="E15801" t="s">
        <v>965</v>
      </c>
      <c r="F15801" t="s">
        <v>966</v>
      </c>
      <c r="G15801">
        <v>229.4</v>
      </c>
      <c r="H15801">
        <v>250131</v>
      </c>
      <c r="I15801">
        <v>4820</v>
      </c>
      <c r="J15801" t="s">
        <v>169</v>
      </c>
      <c r="K15801">
        <v>458.8</v>
      </c>
      <c r="L15801">
        <v>44.4</v>
      </c>
      <c r="M15801">
        <v>13801</v>
      </c>
      <c r="N15801" t="s">
        <v>33</v>
      </c>
      <c r="O15801">
        <v>250207</v>
      </c>
      <c r="P15801">
        <v>185</v>
      </c>
    </row>
    <row r="15802" spans="1:16" x14ac:dyDescent="0.25">
      <c r="A15802" t="s">
        <v>3296</v>
      </c>
      <c r="B15802" t="s">
        <v>2931</v>
      </c>
      <c r="C15802">
        <v>10947</v>
      </c>
      <c r="D15802" t="str">
        <f>"2505810     "</f>
        <v xml:space="preserve">2505810     </v>
      </c>
      <c r="E15802" t="s">
        <v>700</v>
      </c>
      <c r="F15802" t="s">
        <v>701</v>
      </c>
      <c r="G15802">
        <v>22.59</v>
      </c>
      <c r="H15802">
        <v>250821</v>
      </c>
      <c r="I15802">
        <v>4580</v>
      </c>
      <c r="J15802" t="s">
        <v>126</v>
      </c>
      <c r="K15802">
        <v>22.59</v>
      </c>
      <c r="L15802">
        <v>4.59</v>
      </c>
      <c r="M15802">
        <v>17521</v>
      </c>
      <c r="N15802" t="s">
        <v>136</v>
      </c>
      <c r="O15802">
        <v>250827</v>
      </c>
      <c r="P15802">
        <v>18</v>
      </c>
    </row>
    <row r="15803" spans="1:16" x14ac:dyDescent="0.25">
      <c r="A15803" t="s">
        <v>3296</v>
      </c>
      <c r="B15803" t="s">
        <v>2931</v>
      </c>
      <c r="C15803">
        <v>738</v>
      </c>
      <c r="D15803" t="str">
        <f>"2500061     "</f>
        <v xml:space="preserve">2500061     </v>
      </c>
      <c r="E15803" t="s">
        <v>700</v>
      </c>
      <c r="F15803" t="s">
        <v>701</v>
      </c>
      <c r="G15803">
        <v>46.29</v>
      </c>
      <c r="H15803">
        <v>250110</v>
      </c>
      <c r="I15803">
        <v>4600</v>
      </c>
      <c r="J15803" t="s">
        <v>278</v>
      </c>
      <c r="K15803">
        <v>46.29</v>
      </c>
      <c r="L15803">
        <v>9.41</v>
      </c>
      <c r="M15803">
        <v>17521</v>
      </c>
      <c r="N15803" t="s">
        <v>136</v>
      </c>
      <c r="O15803">
        <v>250128</v>
      </c>
      <c r="P15803">
        <v>36.880000000000003</v>
      </c>
    </row>
    <row r="15804" spans="1:16" x14ac:dyDescent="0.25">
      <c r="A15804" t="s">
        <v>3296</v>
      </c>
      <c r="B15804" t="s">
        <v>2931</v>
      </c>
      <c r="C15804">
        <v>10490</v>
      </c>
      <c r="D15804" t="str">
        <f>"3002375     "</f>
        <v xml:space="preserve">3002375     </v>
      </c>
      <c r="E15804" t="s">
        <v>2201</v>
      </c>
      <c r="F15804" t="s">
        <v>2202</v>
      </c>
      <c r="G15804">
        <v>245.88</v>
      </c>
      <c r="H15804">
        <v>250813</v>
      </c>
      <c r="I15804">
        <v>4600</v>
      </c>
      <c r="J15804" t="s">
        <v>278</v>
      </c>
      <c r="K15804">
        <v>245.88</v>
      </c>
      <c r="L15804">
        <v>49.96</v>
      </c>
      <c r="M15804">
        <v>67554</v>
      </c>
      <c r="N15804" t="s">
        <v>317</v>
      </c>
      <c r="O15804">
        <v>250820</v>
      </c>
      <c r="P15804">
        <v>195.92</v>
      </c>
    </row>
    <row r="15805" spans="1:16" x14ac:dyDescent="0.25">
      <c r="A15805" t="s">
        <v>3296</v>
      </c>
      <c r="B15805" t="s">
        <v>2931</v>
      </c>
      <c r="C15805">
        <v>3502</v>
      </c>
      <c r="D15805" t="str">
        <f>"3303470     "</f>
        <v xml:space="preserve">3303470     </v>
      </c>
      <c r="E15805" t="s">
        <v>1441</v>
      </c>
      <c r="F15805" t="s">
        <v>1442</v>
      </c>
      <c r="G15805">
        <v>220.27</v>
      </c>
      <c r="H15805">
        <v>250310</v>
      </c>
      <c r="I15805">
        <v>4400</v>
      </c>
      <c r="J15805" t="s">
        <v>162</v>
      </c>
      <c r="K15805">
        <v>220.27</v>
      </c>
      <c r="L15805">
        <v>44.76</v>
      </c>
      <c r="M15805">
        <v>46556</v>
      </c>
      <c r="N15805" t="s">
        <v>458</v>
      </c>
      <c r="O15805">
        <v>250324</v>
      </c>
      <c r="P15805">
        <v>175.51</v>
      </c>
    </row>
    <row r="15806" spans="1:16" x14ac:dyDescent="0.25">
      <c r="A15806" t="s">
        <v>3296</v>
      </c>
      <c r="B15806" t="s">
        <v>2931</v>
      </c>
      <c r="C15806">
        <v>4604</v>
      </c>
      <c r="D15806" t="str">
        <f>"10890       "</f>
        <v xml:space="preserve">10890       </v>
      </c>
      <c r="E15806" t="s">
        <v>1517</v>
      </c>
      <c r="F15806" t="s">
        <v>1518</v>
      </c>
      <c r="G15806">
        <v>176.61</v>
      </c>
      <c r="H15806">
        <v>250331</v>
      </c>
      <c r="I15806">
        <v>4410</v>
      </c>
      <c r="J15806" t="s">
        <v>165</v>
      </c>
      <c r="K15806">
        <v>365.61</v>
      </c>
      <c r="L15806">
        <v>21.69</v>
      </c>
      <c r="M15806">
        <v>18820</v>
      </c>
      <c r="N15806" t="s">
        <v>372</v>
      </c>
      <c r="O15806">
        <v>250414</v>
      </c>
      <c r="P15806">
        <v>154.91999999999999</v>
      </c>
    </row>
    <row r="15807" spans="1:16" x14ac:dyDescent="0.25">
      <c r="A15807" t="s">
        <v>3296</v>
      </c>
      <c r="B15807" t="s">
        <v>2931</v>
      </c>
      <c r="C15807">
        <v>3855</v>
      </c>
      <c r="D15807" t="str">
        <f>"10717       "</f>
        <v xml:space="preserve">10717       </v>
      </c>
      <c r="E15807" t="s">
        <v>1517</v>
      </c>
      <c r="F15807" t="s">
        <v>1518</v>
      </c>
      <c r="G15807">
        <v>162</v>
      </c>
      <c r="H15807">
        <v>250301</v>
      </c>
      <c r="I15807">
        <v>4440</v>
      </c>
      <c r="J15807" t="s">
        <v>346</v>
      </c>
      <c r="K15807">
        <v>162</v>
      </c>
      <c r="L15807">
        <v>32.92</v>
      </c>
      <c r="M15807">
        <v>18820</v>
      </c>
      <c r="N15807" t="s">
        <v>372</v>
      </c>
      <c r="O15807">
        <v>250402</v>
      </c>
      <c r="P15807">
        <v>129.08000000000001</v>
      </c>
    </row>
    <row r="15808" spans="1:16" x14ac:dyDescent="0.25">
      <c r="A15808" t="s">
        <v>3296</v>
      </c>
      <c r="B15808" t="s">
        <v>2931</v>
      </c>
      <c r="C15808">
        <v>15475</v>
      </c>
      <c r="D15808" t="str">
        <f>"12102       "</f>
        <v xml:space="preserve">12102       </v>
      </c>
      <c r="E15808" t="s">
        <v>1517</v>
      </c>
      <c r="F15808" t="s">
        <v>1518</v>
      </c>
      <c r="G15808">
        <v>189</v>
      </c>
      <c r="H15808">
        <v>251101</v>
      </c>
      <c r="I15808">
        <v>4440</v>
      </c>
      <c r="J15808" t="s">
        <v>346</v>
      </c>
      <c r="K15808">
        <v>189</v>
      </c>
      <c r="L15808">
        <v>38.4</v>
      </c>
      <c r="M15808">
        <v>18820</v>
      </c>
      <c r="N15808" t="s">
        <v>372</v>
      </c>
      <c r="O15808">
        <v>251121</v>
      </c>
      <c r="P15808">
        <v>150.6</v>
      </c>
    </row>
    <row r="15809" spans="1:16" x14ac:dyDescent="0.25">
      <c r="A15809" t="s">
        <v>3296</v>
      </c>
      <c r="B15809" t="s">
        <v>2931</v>
      </c>
      <c r="C15809">
        <v>4604</v>
      </c>
      <c r="D15809" t="str">
        <f>"10890       "</f>
        <v xml:space="preserve">10890       </v>
      </c>
      <c r="E15809" t="s">
        <v>1517</v>
      </c>
      <c r="F15809" t="s">
        <v>1518</v>
      </c>
      <c r="G15809">
        <v>189</v>
      </c>
      <c r="H15809">
        <v>250331</v>
      </c>
      <c r="I15809">
        <v>4820</v>
      </c>
      <c r="J15809" t="s">
        <v>169</v>
      </c>
      <c r="K15809">
        <v>365.61</v>
      </c>
      <c r="L15809">
        <v>38.4</v>
      </c>
      <c r="M15809">
        <v>18820</v>
      </c>
      <c r="N15809" t="s">
        <v>372</v>
      </c>
      <c r="O15809">
        <v>250414</v>
      </c>
      <c r="P15809">
        <v>150.6</v>
      </c>
    </row>
    <row r="15810" spans="1:16" x14ac:dyDescent="0.25">
      <c r="A15810" t="s">
        <v>3296</v>
      </c>
      <c r="B15810" t="s">
        <v>2931</v>
      </c>
      <c r="C15810">
        <v>6428</v>
      </c>
      <c r="D15810" t="str">
        <f>"11073       "</f>
        <v xml:space="preserve">11073       </v>
      </c>
      <c r="E15810" t="s">
        <v>1517</v>
      </c>
      <c r="F15810" t="s">
        <v>1518</v>
      </c>
      <c r="G15810">
        <v>189</v>
      </c>
      <c r="H15810">
        <v>250430</v>
      </c>
      <c r="I15810">
        <v>4820</v>
      </c>
      <c r="J15810" t="s">
        <v>169</v>
      </c>
      <c r="K15810">
        <v>189</v>
      </c>
      <c r="L15810">
        <v>38.4</v>
      </c>
      <c r="M15810">
        <v>18820</v>
      </c>
      <c r="N15810" t="s">
        <v>372</v>
      </c>
      <c r="O15810">
        <v>250513</v>
      </c>
      <c r="P15810">
        <v>150.6</v>
      </c>
    </row>
    <row r="15811" spans="1:16" x14ac:dyDescent="0.25">
      <c r="A15811" t="s">
        <v>3296</v>
      </c>
      <c r="B15811" t="s">
        <v>2931</v>
      </c>
      <c r="C15811">
        <v>8205</v>
      </c>
      <c r="D15811" t="str">
        <f>"11285       "</f>
        <v xml:space="preserve">11285       </v>
      </c>
      <c r="E15811" t="s">
        <v>1517</v>
      </c>
      <c r="F15811" t="s">
        <v>1518</v>
      </c>
      <c r="G15811">
        <v>189</v>
      </c>
      <c r="H15811">
        <v>250531</v>
      </c>
      <c r="I15811">
        <v>4820</v>
      </c>
      <c r="J15811" t="s">
        <v>169</v>
      </c>
      <c r="K15811">
        <v>189</v>
      </c>
      <c r="L15811">
        <v>38.4</v>
      </c>
      <c r="M15811">
        <v>18820</v>
      </c>
      <c r="N15811" t="s">
        <v>372</v>
      </c>
      <c r="O15811">
        <v>250612</v>
      </c>
      <c r="P15811">
        <v>150.6</v>
      </c>
    </row>
    <row r="15812" spans="1:16" x14ac:dyDescent="0.25">
      <c r="A15812" t="s">
        <v>3296</v>
      </c>
      <c r="B15812" t="s">
        <v>2931</v>
      </c>
      <c r="C15812">
        <v>8733</v>
      </c>
      <c r="D15812" t="str">
        <f>"11294       "</f>
        <v xml:space="preserve">11294       </v>
      </c>
      <c r="E15812" t="s">
        <v>1517</v>
      </c>
      <c r="F15812" t="s">
        <v>1518</v>
      </c>
      <c r="G15812">
        <v>189</v>
      </c>
      <c r="H15812">
        <v>250603</v>
      </c>
      <c r="I15812">
        <v>4820</v>
      </c>
      <c r="J15812" t="s">
        <v>169</v>
      </c>
      <c r="K15812">
        <v>189</v>
      </c>
      <c r="L15812">
        <v>38.4</v>
      </c>
      <c r="M15812">
        <v>18820</v>
      </c>
      <c r="N15812" t="s">
        <v>372</v>
      </c>
      <c r="O15812">
        <v>250617</v>
      </c>
      <c r="P15812">
        <v>150.6</v>
      </c>
    </row>
    <row r="15813" spans="1:16" x14ac:dyDescent="0.25">
      <c r="A15813" t="s">
        <v>3296</v>
      </c>
      <c r="B15813" t="s">
        <v>2931</v>
      </c>
      <c r="C15813">
        <v>10849</v>
      </c>
      <c r="D15813" t="str">
        <f>"11737       "</f>
        <v xml:space="preserve">11737       </v>
      </c>
      <c r="E15813" t="s">
        <v>1517</v>
      </c>
      <c r="F15813" t="s">
        <v>1518</v>
      </c>
      <c r="G15813">
        <v>189</v>
      </c>
      <c r="H15813">
        <v>250822</v>
      </c>
      <c r="I15813">
        <v>4820</v>
      </c>
      <c r="J15813" t="s">
        <v>169</v>
      </c>
      <c r="K15813">
        <v>189</v>
      </c>
      <c r="L15813">
        <v>38.4</v>
      </c>
      <c r="M15813">
        <v>18820</v>
      </c>
      <c r="N15813" t="s">
        <v>372</v>
      </c>
      <c r="O15813">
        <v>250825</v>
      </c>
      <c r="P15813">
        <v>150.6</v>
      </c>
    </row>
    <row r="15814" spans="1:16" x14ac:dyDescent="0.25">
      <c r="A15814" t="s">
        <v>3296</v>
      </c>
      <c r="B15814" t="s">
        <v>2931</v>
      </c>
      <c r="C15814">
        <v>12902</v>
      </c>
      <c r="D15814" t="str">
        <f>"11900       "</f>
        <v xml:space="preserve">11900       </v>
      </c>
      <c r="E15814" t="s">
        <v>1517</v>
      </c>
      <c r="F15814" t="s">
        <v>1518</v>
      </c>
      <c r="G15814">
        <v>189</v>
      </c>
      <c r="H15814">
        <v>250925</v>
      </c>
      <c r="I15814">
        <v>4820</v>
      </c>
      <c r="J15814" t="s">
        <v>169</v>
      </c>
      <c r="K15814">
        <v>189</v>
      </c>
      <c r="L15814">
        <v>38.4</v>
      </c>
      <c r="M15814">
        <v>18820</v>
      </c>
      <c r="N15814" t="s">
        <v>372</v>
      </c>
      <c r="O15814">
        <v>251001</v>
      </c>
      <c r="P15814">
        <v>150.6</v>
      </c>
    </row>
    <row r="15815" spans="1:16" x14ac:dyDescent="0.25">
      <c r="A15815" t="s">
        <v>3296</v>
      </c>
      <c r="B15815" t="s">
        <v>2931</v>
      </c>
      <c r="C15815">
        <v>2396</v>
      </c>
      <c r="D15815" t="str">
        <f>"1250200030  "</f>
        <v xml:space="preserve">1250200030  </v>
      </c>
      <c r="E15815" t="s">
        <v>1270</v>
      </c>
      <c r="F15815" t="s">
        <v>1271</v>
      </c>
      <c r="G15815">
        <v>401.6</v>
      </c>
      <c r="H15815">
        <v>250221</v>
      </c>
      <c r="I15815">
        <v>4350</v>
      </c>
      <c r="J15815" t="s">
        <v>290</v>
      </c>
      <c r="K15815">
        <v>401.6</v>
      </c>
      <c r="L15815">
        <v>81.599999999999994</v>
      </c>
      <c r="M15815">
        <v>17538</v>
      </c>
      <c r="N15815" t="s">
        <v>129</v>
      </c>
      <c r="O15815">
        <v>250225</v>
      </c>
      <c r="P15815">
        <v>320</v>
      </c>
    </row>
    <row r="15816" spans="1:16" x14ac:dyDescent="0.25">
      <c r="A15816" t="s">
        <v>3296</v>
      </c>
      <c r="B15816" t="s">
        <v>2931</v>
      </c>
      <c r="C15816">
        <v>2799</v>
      </c>
      <c r="D15816" t="str">
        <f>"2306        "</f>
        <v xml:space="preserve">2306        </v>
      </c>
      <c r="E15816" t="s">
        <v>1362</v>
      </c>
      <c r="F15816" t="s">
        <v>1363</v>
      </c>
      <c r="G15816">
        <v>66.569999999999993</v>
      </c>
      <c r="H15816">
        <v>250228</v>
      </c>
      <c r="I15816">
        <v>4534</v>
      </c>
      <c r="J15816" t="s">
        <v>349</v>
      </c>
      <c r="K15816">
        <v>133.13999999999999</v>
      </c>
      <c r="L15816">
        <v>13.53</v>
      </c>
      <c r="M15816">
        <v>54222</v>
      </c>
      <c r="N15816" t="s">
        <v>48</v>
      </c>
      <c r="O15816">
        <v>250312</v>
      </c>
      <c r="P15816">
        <v>53.04</v>
      </c>
    </row>
    <row r="15817" spans="1:16" x14ac:dyDescent="0.25">
      <c r="A15817" t="s">
        <v>3296</v>
      </c>
      <c r="B15817" t="s">
        <v>2931</v>
      </c>
      <c r="C15817">
        <v>2799</v>
      </c>
      <c r="D15817" t="str">
        <f>"2306        "</f>
        <v xml:space="preserve">2306        </v>
      </c>
      <c r="E15817" t="s">
        <v>1362</v>
      </c>
      <c r="F15817" t="s">
        <v>1363</v>
      </c>
      <c r="G15817">
        <v>66.569999999999993</v>
      </c>
      <c r="H15817">
        <v>250228</v>
      </c>
      <c r="I15817">
        <v>4534</v>
      </c>
      <c r="J15817" t="s">
        <v>349</v>
      </c>
      <c r="K15817">
        <v>133.13999999999999</v>
      </c>
      <c r="L15817">
        <v>13.53</v>
      </c>
      <c r="M15817">
        <v>54252</v>
      </c>
      <c r="N15817" t="s">
        <v>742</v>
      </c>
      <c r="O15817">
        <v>250312</v>
      </c>
      <c r="P15817">
        <v>53.04</v>
      </c>
    </row>
    <row r="15818" spans="1:16" x14ac:dyDescent="0.25">
      <c r="A15818" t="s">
        <v>3296</v>
      </c>
      <c r="B15818" t="s">
        <v>2931</v>
      </c>
      <c r="C15818">
        <v>218</v>
      </c>
      <c r="D15818" t="str">
        <f>"100125      "</f>
        <v xml:space="preserve">100125      </v>
      </c>
      <c r="E15818" t="s">
        <v>3201</v>
      </c>
      <c r="F15818" t="s">
        <v>3202</v>
      </c>
      <c r="G15818">
        <v>410.08</v>
      </c>
      <c r="H15818">
        <v>250110</v>
      </c>
      <c r="I15818">
        <v>4600</v>
      </c>
      <c r="J15818" t="s">
        <v>278</v>
      </c>
      <c r="K15818">
        <v>410.08</v>
      </c>
      <c r="L15818">
        <v>0</v>
      </c>
      <c r="M15818">
        <v>47522</v>
      </c>
      <c r="N15818" t="s">
        <v>106</v>
      </c>
      <c r="O15818">
        <v>250120</v>
      </c>
      <c r="P15818">
        <v>410.08</v>
      </c>
    </row>
    <row r="15819" spans="1:16" x14ac:dyDescent="0.25">
      <c r="A15819" t="s">
        <v>3296</v>
      </c>
      <c r="B15819" t="s">
        <v>2931</v>
      </c>
      <c r="C15819">
        <v>13961</v>
      </c>
      <c r="D15819" t="str">
        <f>"31021       "</f>
        <v xml:space="preserve">31021       </v>
      </c>
      <c r="E15819" t="s">
        <v>2464</v>
      </c>
      <c r="F15819" t="s">
        <v>2465</v>
      </c>
      <c r="G15819">
        <v>640.96</v>
      </c>
      <c r="H15819">
        <v>251008</v>
      </c>
      <c r="I15819">
        <v>4580</v>
      </c>
      <c r="J15819" t="s">
        <v>126</v>
      </c>
      <c r="K15819">
        <v>640.96</v>
      </c>
      <c r="L15819">
        <v>130.22999999999999</v>
      </c>
      <c r="M15819">
        <v>17951</v>
      </c>
      <c r="N15819" t="s">
        <v>207</v>
      </c>
      <c r="O15819">
        <v>251021</v>
      </c>
      <c r="P15819">
        <v>510.73</v>
      </c>
    </row>
    <row r="15820" spans="1:16" x14ac:dyDescent="0.25">
      <c r="A15820" t="s">
        <v>3296</v>
      </c>
      <c r="B15820" t="s">
        <v>2931</v>
      </c>
      <c r="C15820">
        <v>2912</v>
      </c>
      <c r="D15820" t="str">
        <f>"479344      "</f>
        <v xml:space="preserve">479344      </v>
      </c>
      <c r="E15820" t="s">
        <v>417</v>
      </c>
      <c r="F15820" t="s">
        <v>418</v>
      </c>
      <c r="G15820">
        <v>1403.08</v>
      </c>
      <c r="H15820">
        <v>250228</v>
      </c>
      <c r="I15820">
        <v>4350</v>
      </c>
      <c r="J15820" t="s">
        <v>290</v>
      </c>
      <c r="K15820">
        <v>1403.08</v>
      </c>
      <c r="L15820">
        <v>285.08999999999997</v>
      </c>
      <c r="M15820">
        <v>11301</v>
      </c>
      <c r="N15820" t="s">
        <v>92</v>
      </c>
      <c r="O15820">
        <v>250313</v>
      </c>
      <c r="P15820">
        <v>1117.99</v>
      </c>
    </row>
    <row r="15821" spans="1:16" x14ac:dyDescent="0.25">
      <c r="A15821" t="s">
        <v>3296</v>
      </c>
      <c r="B15821" t="s">
        <v>2931</v>
      </c>
      <c r="C15821">
        <v>4565</v>
      </c>
      <c r="D15821" t="str">
        <f>"487335      "</f>
        <v xml:space="preserve">487335      </v>
      </c>
      <c r="E15821" t="s">
        <v>417</v>
      </c>
      <c r="F15821" t="s">
        <v>418</v>
      </c>
      <c r="G15821">
        <v>1264.58</v>
      </c>
      <c r="H15821">
        <v>250331</v>
      </c>
      <c r="I15821">
        <v>4350</v>
      </c>
      <c r="J15821" t="s">
        <v>290</v>
      </c>
      <c r="K15821">
        <v>1264.58</v>
      </c>
      <c r="L15821">
        <v>256.95</v>
      </c>
      <c r="M15821">
        <v>11301</v>
      </c>
      <c r="N15821" t="s">
        <v>92</v>
      </c>
      <c r="O15821">
        <v>250414</v>
      </c>
      <c r="P15821">
        <v>1007.63</v>
      </c>
    </row>
    <row r="15822" spans="1:16" x14ac:dyDescent="0.25">
      <c r="A15822" t="s">
        <v>3296</v>
      </c>
      <c r="B15822" t="s">
        <v>2931</v>
      </c>
      <c r="C15822">
        <v>5314</v>
      </c>
      <c r="D15822" t="str">
        <f>"490691      "</f>
        <v xml:space="preserve">490691      </v>
      </c>
      <c r="E15822" t="s">
        <v>417</v>
      </c>
      <c r="F15822" t="s">
        <v>418</v>
      </c>
      <c r="G15822">
        <v>388.74</v>
      </c>
      <c r="H15822">
        <v>250410</v>
      </c>
      <c r="I15822">
        <v>4350</v>
      </c>
      <c r="J15822" t="s">
        <v>290</v>
      </c>
      <c r="K15822">
        <v>388.74</v>
      </c>
      <c r="L15822">
        <v>78.989999999999995</v>
      </c>
      <c r="M15822">
        <v>13801</v>
      </c>
      <c r="N15822" t="s">
        <v>33</v>
      </c>
      <c r="O15822">
        <v>250423</v>
      </c>
      <c r="P15822">
        <v>309.75</v>
      </c>
    </row>
    <row r="15823" spans="1:16" x14ac:dyDescent="0.25">
      <c r="A15823" t="s">
        <v>3296</v>
      </c>
      <c r="B15823" t="s">
        <v>2931</v>
      </c>
      <c r="C15823">
        <v>6240</v>
      </c>
      <c r="D15823" t="str">
        <f>"496869      "</f>
        <v xml:space="preserve">496869      </v>
      </c>
      <c r="E15823" t="s">
        <v>417</v>
      </c>
      <c r="F15823" t="s">
        <v>418</v>
      </c>
      <c r="G15823">
        <v>1225.95</v>
      </c>
      <c r="H15823">
        <v>250430</v>
      </c>
      <c r="I15823">
        <v>4350</v>
      </c>
      <c r="J15823" t="s">
        <v>290</v>
      </c>
      <c r="K15823">
        <v>1225.95</v>
      </c>
      <c r="L15823">
        <v>249.1</v>
      </c>
      <c r="M15823">
        <v>11301</v>
      </c>
      <c r="N15823" t="s">
        <v>92</v>
      </c>
      <c r="O15823">
        <v>250512</v>
      </c>
      <c r="P15823">
        <v>976.85</v>
      </c>
    </row>
    <row r="15824" spans="1:16" x14ac:dyDescent="0.25">
      <c r="A15824" t="s">
        <v>3296</v>
      </c>
      <c r="B15824" t="s">
        <v>2931</v>
      </c>
      <c r="C15824">
        <v>6913</v>
      </c>
      <c r="D15824" t="str">
        <f>"500374      "</f>
        <v xml:space="preserve">500374      </v>
      </c>
      <c r="E15824" t="s">
        <v>417</v>
      </c>
      <c r="F15824" t="s">
        <v>418</v>
      </c>
      <c r="G15824">
        <v>576.04999999999995</v>
      </c>
      <c r="H15824">
        <v>250515</v>
      </c>
      <c r="I15824">
        <v>4350</v>
      </c>
      <c r="J15824" t="s">
        <v>290</v>
      </c>
      <c r="K15824">
        <v>576.04999999999995</v>
      </c>
      <c r="L15824">
        <v>117.05</v>
      </c>
      <c r="M15824">
        <v>49702</v>
      </c>
      <c r="N15824" t="s">
        <v>112</v>
      </c>
      <c r="O15824">
        <v>250520</v>
      </c>
      <c r="P15824">
        <v>459</v>
      </c>
    </row>
    <row r="15825" spans="1:16" x14ac:dyDescent="0.25">
      <c r="A15825" t="s">
        <v>3296</v>
      </c>
      <c r="B15825" t="s">
        <v>2931</v>
      </c>
      <c r="C15825">
        <v>8059</v>
      </c>
      <c r="D15825" t="str">
        <f>"504583      "</f>
        <v xml:space="preserve">504583      </v>
      </c>
      <c r="E15825" t="s">
        <v>417</v>
      </c>
      <c r="F15825" t="s">
        <v>418</v>
      </c>
      <c r="G15825">
        <v>1274.47</v>
      </c>
      <c r="H15825">
        <v>250531</v>
      </c>
      <c r="I15825">
        <v>4350</v>
      </c>
      <c r="J15825" t="s">
        <v>290</v>
      </c>
      <c r="K15825">
        <v>1274.47</v>
      </c>
      <c r="L15825">
        <v>258.95999999999998</v>
      </c>
      <c r="M15825">
        <v>11301</v>
      </c>
      <c r="N15825" t="s">
        <v>92</v>
      </c>
      <c r="O15825">
        <v>250611</v>
      </c>
      <c r="P15825">
        <v>1015.51</v>
      </c>
    </row>
    <row r="15826" spans="1:16" x14ac:dyDescent="0.25">
      <c r="A15826" t="s">
        <v>3296</v>
      </c>
      <c r="B15826" t="s">
        <v>2931</v>
      </c>
      <c r="C15826">
        <v>10071</v>
      </c>
      <c r="D15826" t="str">
        <f>"518819      "</f>
        <v xml:space="preserve">518819      </v>
      </c>
      <c r="E15826" t="s">
        <v>417</v>
      </c>
      <c r="F15826" t="s">
        <v>418</v>
      </c>
      <c r="G15826">
        <v>224.02</v>
      </c>
      <c r="H15826">
        <v>250731</v>
      </c>
      <c r="I15826">
        <v>4350</v>
      </c>
      <c r="J15826" t="s">
        <v>290</v>
      </c>
      <c r="K15826">
        <v>224.02</v>
      </c>
      <c r="L15826">
        <v>45.52</v>
      </c>
      <c r="M15826">
        <v>13801</v>
      </c>
      <c r="N15826" t="s">
        <v>33</v>
      </c>
      <c r="O15826">
        <v>250811</v>
      </c>
      <c r="P15826">
        <v>178.5</v>
      </c>
    </row>
    <row r="15827" spans="1:16" x14ac:dyDescent="0.25">
      <c r="A15827" t="s">
        <v>3296</v>
      </c>
      <c r="B15827" t="s">
        <v>2931</v>
      </c>
      <c r="C15827">
        <v>10474</v>
      </c>
      <c r="D15827" t="str">
        <f>"520686      "</f>
        <v xml:space="preserve">520686      </v>
      </c>
      <c r="E15827" t="s">
        <v>417</v>
      </c>
      <c r="F15827" t="s">
        <v>418</v>
      </c>
      <c r="G15827">
        <v>1678</v>
      </c>
      <c r="H15827">
        <v>250812</v>
      </c>
      <c r="I15827">
        <v>4350</v>
      </c>
      <c r="J15827" t="s">
        <v>290</v>
      </c>
      <c r="K15827">
        <v>1678</v>
      </c>
      <c r="L15827">
        <v>340.95</v>
      </c>
      <c r="M15827">
        <v>13901</v>
      </c>
      <c r="N15827" t="s">
        <v>116</v>
      </c>
      <c r="O15827">
        <v>250820</v>
      </c>
      <c r="P15827">
        <v>1337.05</v>
      </c>
    </row>
    <row r="15828" spans="1:16" x14ac:dyDescent="0.25">
      <c r="A15828" t="s">
        <v>3296</v>
      </c>
      <c r="B15828" t="s">
        <v>2931</v>
      </c>
      <c r="C15828">
        <v>11320</v>
      </c>
      <c r="D15828" t="str">
        <f>"524408      "</f>
        <v xml:space="preserve">524408      </v>
      </c>
      <c r="E15828" t="s">
        <v>417</v>
      </c>
      <c r="F15828" t="s">
        <v>418</v>
      </c>
      <c r="G15828">
        <v>3338.3</v>
      </c>
      <c r="H15828">
        <v>250831</v>
      </c>
      <c r="I15828">
        <v>4350</v>
      </c>
      <c r="J15828" t="s">
        <v>290</v>
      </c>
      <c r="K15828">
        <v>3338.3</v>
      </c>
      <c r="L15828">
        <v>678.3</v>
      </c>
      <c r="M15828">
        <v>13901</v>
      </c>
      <c r="N15828" t="s">
        <v>116</v>
      </c>
      <c r="O15828">
        <v>250903</v>
      </c>
      <c r="P15828">
        <v>2660</v>
      </c>
    </row>
    <row r="15829" spans="1:16" x14ac:dyDescent="0.25">
      <c r="A15829" t="s">
        <v>3296</v>
      </c>
      <c r="B15829" t="s">
        <v>2931</v>
      </c>
      <c r="C15829">
        <v>11387</v>
      </c>
      <c r="D15829" t="str">
        <f>"524411      "</f>
        <v xml:space="preserve">524411      </v>
      </c>
      <c r="E15829" t="s">
        <v>417</v>
      </c>
      <c r="F15829" t="s">
        <v>418</v>
      </c>
      <c r="G15829">
        <v>1464.52</v>
      </c>
      <c r="H15829">
        <v>250831</v>
      </c>
      <c r="I15829">
        <v>4350</v>
      </c>
      <c r="J15829" t="s">
        <v>290</v>
      </c>
      <c r="K15829">
        <v>1464.52</v>
      </c>
      <c r="L15829">
        <v>297.57</v>
      </c>
      <c r="M15829">
        <v>11301</v>
      </c>
      <c r="N15829" t="s">
        <v>92</v>
      </c>
      <c r="O15829">
        <v>250904</v>
      </c>
      <c r="P15829">
        <v>1166.95</v>
      </c>
    </row>
    <row r="15830" spans="1:16" x14ac:dyDescent="0.25">
      <c r="A15830" t="s">
        <v>3296</v>
      </c>
      <c r="B15830" t="s">
        <v>2931</v>
      </c>
      <c r="C15830">
        <v>13019</v>
      </c>
      <c r="D15830" t="str">
        <f>"531628      "</f>
        <v xml:space="preserve">531628      </v>
      </c>
      <c r="E15830" t="s">
        <v>417</v>
      </c>
      <c r="F15830" t="s">
        <v>418</v>
      </c>
      <c r="G15830">
        <v>1223.78</v>
      </c>
      <c r="H15830">
        <v>250930</v>
      </c>
      <c r="I15830">
        <v>4350</v>
      </c>
      <c r="J15830" t="s">
        <v>290</v>
      </c>
      <c r="K15830">
        <v>1223.78</v>
      </c>
      <c r="L15830">
        <v>248.66</v>
      </c>
      <c r="M15830">
        <v>11301</v>
      </c>
      <c r="N15830" t="s">
        <v>92</v>
      </c>
      <c r="O15830">
        <v>251003</v>
      </c>
      <c r="P15830">
        <v>975.12</v>
      </c>
    </row>
    <row r="15831" spans="1:16" x14ac:dyDescent="0.25">
      <c r="A15831" t="s">
        <v>3296</v>
      </c>
      <c r="B15831" t="s">
        <v>2931</v>
      </c>
      <c r="C15831">
        <v>14590</v>
      </c>
      <c r="D15831" t="str">
        <f>"539644      "</f>
        <v xml:space="preserve">539644      </v>
      </c>
      <c r="E15831" t="s">
        <v>417</v>
      </c>
      <c r="F15831" t="s">
        <v>418</v>
      </c>
      <c r="G15831">
        <v>1267.44</v>
      </c>
      <c r="H15831">
        <v>251031</v>
      </c>
      <c r="I15831">
        <v>4350</v>
      </c>
      <c r="J15831" t="s">
        <v>290</v>
      </c>
      <c r="K15831">
        <v>1267.44</v>
      </c>
      <c r="L15831">
        <v>257.52999999999997</v>
      </c>
      <c r="M15831">
        <v>11301</v>
      </c>
      <c r="N15831" t="s">
        <v>92</v>
      </c>
      <c r="O15831">
        <v>251105</v>
      </c>
      <c r="P15831">
        <v>1009.91</v>
      </c>
    </row>
    <row r="15832" spans="1:16" x14ac:dyDescent="0.25">
      <c r="A15832" t="s">
        <v>3296</v>
      </c>
      <c r="B15832" t="s">
        <v>2931</v>
      </c>
      <c r="C15832">
        <v>15716</v>
      </c>
      <c r="D15832" t="str">
        <f>"544426      "</f>
        <v xml:space="preserve">544426      </v>
      </c>
      <c r="E15832" t="s">
        <v>417</v>
      </c>
      <c r="F15832" t="s">
        <v>418</v>
      </c>
      <c r="G15832">
        <v>576.04</v>
      </c>
      <c r="H15832">
        <v>251120</v>
      </c>
      <c r="I15832">
        <v>4350</v>
      </c>
      <c r="J15832" t="s">
        <v>290</v>
      </c>
      <c r="K15832">
        <v>576.04</v>
      </c>
      <c r="L15832">
        <v>117.04</v>
      </c>
      <c r="M15832">
        <v>49702</v>
      </c>
      <c r="N15832" t="s">
        <v>112</v>
      </c>
      <c r="O15832">
        <v>251125</v>
      </c>
      <c r="P15832">
        <v>459</v>
      </c>
    </row>
    <row r="15833" spans="1:16" x14ac:dyDescent="0.25">
      <c r="A15833" t="s">
        <v>3296</v>
      </c>
      <c r="B15833" t="s">
        <v>2931</v>
      </c>
      <c r="C15833">
        <v>18064</v>
      </c>
      <c r="D15833" t="str">
        <f>"555603      "</f>
        <v xml:space="preserve">555603      </v>
      </c>
      <c r="E15833" t="s">
        <v>417</v>
      </c>
      <c r="F15833" t="s">
        <v>418</v>
      </c>
      <c r="G15833">
        <v>224.02</v>
      </c>
      <c r="H15833">
        <v>251231</v>
      </c>
      <c r="I15833">
        <v>4350</v>
      </c>
      <c r="J15833" t="s">
        <v>290</v>
      </c>
      <c r="K15833">
        <v>224.02</v>
      </c>
      <c r="L15833">
        <v>45.52</v>
      </c>
      <c r="M15833">
        <v>13801</v>
      </c>
      <c r="N15833" t="s">
        <v>33</v>
      </c>
      <c r="O15833">
        <v>260108</v>
      </c>
      <c r="P15833">
        <v>178.5</v>
      </c>
    </row>
    <row r="15834" spans="1:16" x14ac:dyDescent="0.25">
      <c r="A15834" t="s">
        <v>3296</v>
      </c>
      <c r="B15834" t="s">
        <v>2931</v>
      </c>
      <c r="C15834">
        <v>325</v>
      </c>
      <c r="D15834" t="str">
        <f>"41523834    "</f>
        <v xml:space="preserve">41523834    </v>
      </c>
      <c r="E15834" t="s">
        <v>417</v>
      </c>
      <c r="F15834" t="s">
        <v>418</v>
      </c>
      <c r="G15834">
        <v>166.8</v>
      </c>
      <c r="H15834">
        <v>250115</v>
      </c>
      <c r="I15834">
        <v>4510</v>
      </c>
      <c r="J15834" t="s">
        <v>240</v>
      </c>
      <c r="K15834">
        <v>166.8</v>
      </c>
      <c r="L15834">
        <v>15.16</v>
      </c>
      <c r="M15834">
        <v>13801</v>
      </c>
      <c r="N15834" t="s">
        <v>33</v>
      </c>
      <c r="O15834">
        <v>250121</v>
      </c>
      <c r="P15834">
        <v>151.63999999999999</v>
      </c>
    </row>
    <row r="15835" spans="1:16" x14ac:dyDescent="0.25">
      <c r="A15835" t="s">
        <v>3296</v>
      </c>
      <c r="B15835" t="s">
        <v>2931</v>
      </c>
      <c r="C15835">
        <v>352</v>
      </c>
      <c r="D15835" t="str">
        <f>"41523179    "</f>
        <v xml:space="preserve">41523179    </v>
      </c>
      <c r="E15835" t="s">
        <v>417</v>
      </c>
      <c r="F15835" t="s">
        <v>418</v>
      </c>
      <c r="G15835">
        <v>529.20000000000005</v>
      </c>
      <c r="H15835">
        <v>250115</v>
      </c>
      <c r="I15835">
        <v>4510</v>
      </c>
      <c r="J15835" t="s">
        <v>240</v>
      </c>
      <c r="K15835">
        <v>529.20000000000005</v>
      </c>
      <c r="L15835">
        <v>48.11</v>
      </c>
      <c r="M15835">
        <v>11001</v>
      </c>
      <c r="N15835" t="s">
        <v>93</v>
      </c>
      <c r="O15835">
        <v>250122</v>
      </c>
      <c r="P15835">
        <v>481.09</v>
      </c>
    </row>
    <row r="15836" spans="1:16" x14ac:dyDescent="0.25">
      <c r="A15836" t="s">
        <v>3296</v>
      </c>
      <c r="B15836" t="s">
        <v>2931</v>
      </c>
      <c r="C15836">
        <v>675</v>
      </c>
      <c r="D15836" t="str">
        <f>"41611025    "</f>
        <v xml:space="preserve">41611025    </v>
      </c>
      <c r="E15836" t="s">
        <v>417</v>
      </c>
      <c r="F15836" t="s">
        <v>418</v>
      </c>
      <c r="G15836">
        <v>210</v>
      </c>
      <c r="H15836">
        <v>250122</v>
      </c>
      <c r="I15836">
        <v>4510</v>
      </c>
      <c r="J15836" t="s">
        <v>240</v>
      </c>
      <c r="K15836">
        <v>210</v>
      </c>
      <c r="L15836">
        <v>19.09</v>
      </c>
      <c r="M15836">
        <v>11001</v>
      </c>
      <c r="N15836" t="s">
        <v>93</v>
      </c>
      <c r="O15836">
        <v>250127</v>
      </c>
      <c r="P15836">
        <v>190.91</v>
      </c>
    </row>
    <row r="15837" spans="1:16" x14ac:dyDescent="0.25">
      <c r="A15837" t="s">
        <v>3296</v>
      </c>
      <c r="B15837" t="s">
        <v>2931</v>
      </c>
      <c r="C15837">
        <v>711</v>
      </c>
      <c r="D15837" t="str">
        <f>"41614241    "</f>
        <v xml:space="preserve">41614241    </v>
      </c>
      <c r="E15837" t="s">
        <v>417</v>
      </c>
      <c r="F15837" t="s">
        <v>418</v>
      </c>
      <c r="G15837">
        <v>130.80000000000001</v>
      </c>
      <c r="H15837">
        <v>250122</v>
      </c>
      <c r="I15837">
        <v>4510</v>
      </c>
      <c r="J15837" t="s">
        <v>240</v>
      </c>
      <c r="K15837">
        <v>130.80000000000001</v>
      </c>
      <c r="L15837">
        <v>11.89</v>
      </c>
      <c r="M15837">
        <v>69702</v>
      </c>
      <c r="N15837" t="s">
        <v>124</v>
      </c>
      <c r="O15837">
        <v>250128</v>
      </c>
      <c r="P15837">
        <v>118.91</v>
      </c>
    </row>
    <row r="15838" spans="1:16" x14ac:dyDescent="0.25">
      <c r="A15838" t="s">
        <v>3296</v>
      </c>
      <c r="B15838" t="s">
        <v>2931</v>
      </c>
      <c r="C15838">
        <v>1574</v>
      </c>
      <c r="D15838" t="str">
        <f>"41797031    "</f>
        <v xml:space="preserve">41797031    </v>
      </c>
      <c r="E15838" t="s">
        <v>417</v>
      </c>
      <c r="F15838" t="s">
        <v>418</v>
      </c>
      <c r="G15838">
        <v>151.63999999999999</v>
      </c>
      <c r="H15838">
        <v>250205</v>
      </c>
      <c r="I15838">
        <v>4510</v>
      </c>
      <c r="J15838" t="s">
        <v>240</v>
      </c>
      <c r="K15838">
        <v>151.63999999999999</v>
      </c>
      <c r="L15838">
        <v>13.79</v>
      </c>
      <c r="M15838">
        <v>49701</v>
      </c>
      <c r="N15838" t="s">
        <v>111</v>
      </c>
      <c r="O15838">
        <v>250211</v>
      </c>
      <c r="P15838">
        <v>137.85</v>
      </c>
    </row>
    <row r="15839" spans="1:16" x14ac:dyDescent="0.25">
      <c r="A15839" t="s">
        <v>3296</v>
      </c>
      <c r="B15839" t="s">
        <v>2931</v>
      </c>
      <c r="C15839">
        <v>2702</v>
      </c>
      <c r="D15839" t="str">
        <f>"42062122    "</f>
        <v xml:space="preserve">42062122    </v>
      </c>
      <c r="E15839" t="s">
        <v>417</v>
      </c>
      <c r="F15839" t="s">
        <v>418</v>
      </c>
      <c r="G15839">
        <v>130.80000000000001</v>
      </c>
      <c r="H15839">
        <v>250226</v>
      </c>
      <c r="I15839">
        <v>4510</v>
      </c>
      <c r="J15839" t="s">
        <v>240</v>
      </c>
      <c r="K15839">
        <v>130.80000000000001</v>
      </c>
      <c r="L15839">
        <v>11.89</v>
      </c>
      <c r="M15839">
        <v>59702</v>
      </c>
      <c r="N15839" t="s">
        <v>45</v>
      </c>
      <c r="O15839">
        <v>250311</v>
      </c>
      <c r="P15839">
        <v>118.91</v>
      </c>
    </row>
    <row r="15840" spans="1:16" x14ac:dyDescent="0.25">
      <c r="A15840" t="s">
        <v>3296</v>
      </c>
      <c r="B15840" t="s">
        <v>2931</v>
      </c>
      <c r="C15840">
        <v>3276</v>
      </c>
      <c r="D15840" t="str">
        <f>"42193557    "</f>
        <v xml:space="preserve">42193557    </v>
      </c>
      <c r="E15840" t="s">
        <v>417</v>
      </c>
      <c r="F15840" t="s">
        <v>418</v>
      </c>
      <c r="G15840">
        <v>149</v>
      </c>
      <c r="H15840">
        <v>250305</v>
      </c>
      <c r="I15840">
        <v>4510</v>
      </c>
      <c r="J15840" t="s">
        <v>240</v>
      </c>
      <c r="K15840">
        <v>178.8</v>
      </c>
      <c r="L15840">
        <v>13.55</v>
      </c>
      <c r="M15840">
        <v>13861</v>
      </c>
      <c r="N15840" t="s">
        <v>604</v>
      </c>
      <c r="O15840">
        <v>250318</v>
      </c>
      <c r="P15840">
        <v>135.44999999999999</v>
      </c>
    </row>
    <row r="15841" spans="1:16" x14ac:dyDescent="0.25">
      <c r="A15841" t="s">
        <v>3296</v>
      </c>
      <c r="B15841" t="s">
        <v>2931</v>
      </c>
      <c r="C15841">
        <v>3551</v>
      </c>
      <c r="D15841" t="str">
        <f>"42314514    "</f>
        <v xml:space="preserve">42314514    </v>
      </c>
      <c r="E15841" t="s">
        <v>417</v>
      </c>
      <c r="F15841" t="s">
        <v>418</v>
      </c>
      <c r="G15841">
        <v>332.02</v>
      </c>
      <c r="H15841">
        <v>250312</v>
      </c>
      <c r="I15841">
        <v>4510</v>
      </c>
      <c r="J15841" t="s">
        <v>240</v>
      </c>
      <c r="K15841">
        <v>419.4</v>
      </c>
      <c r="L15841">
        <v>30.18</v>
      </c>
      <c r="M15841">
        <v>49701</v>
      </c>
      <c r="N15841" t="s">
        <v>111</v>
      </c>
      <c r="O15841">
        <v>250325</v>
      </c>
      <c r="P15841">
        <v>301.83999999999997</v>
      </c>
    </row>
    <row r="15842" spans="1:16" x14ac:dyDescent="0.25">
      <c r="A15842" t="s">
        <v>3296</v>
      </c>
      <c r="B15842" t="s">
        <v>2931</v>
      </c>
      <c r="C15842">
        <v>5184</v>
      </c>
      <c r="D15842" t="str">
        <f>"42678044    "</f>
        <v xml:space="preserve">42678044    </v>
      </c>
      <c r="E15842" t="s">
        <v>417</v>
      </c>
      <c r="F15842" t="s">
        <v>418</v>
      </c>
      <c r="G15842">
        <v>154.80000000000001</v>
      </c>
      <c r="H15842">
        <v>250409</v>
      </c>
      <c r="I15842">
        <v>4510</v>
      </c>
      <c r="J15842" t="s">
        <v>240</v>
      </c>
      <c r="K15842">
        <v>154.80000000000001</v>
      </c>
      <c r="L15842">
        <v>14.07</v>
      </c>
      <c r="M15842">
        <v>49701</v>
      </c>
      <c r="N15842" t="s">
        <v>111</v>
      </c>
      <c r="O15842">
        <v>250417</v>
      </c>
      <c r="P15842">
        <v>140.72999999999999</v>
      </c>
    </row>
    <row r="15843" spans="1:16" x14ac:dyDescent="0.25">
      <c r="A15843" t="s">
        <v>3296</v>
      </c>
      <c r="B15843" t="s">
        <v>2931</v>
      </c>
      <c r="C15843">
        <v>7328</v>
      </c>
      <c r="D15843" t="str">
        <f>"43198942    "</f>
        <v xml:space="preserve">43198942    </v>
      </c>
      <c r="E15843" t="s">
        <v>417</v>
      </c>
      <c r="F15843" t="s">
        <v>418</v>
      </c>
      <c r="G15843">
        <v>259.69</v>
      </c>
      <c r="H15843">
        <v>250521</v>
      </c>
      <c r="I15843">
        <v>4510</v>
      </c>
      <c r="J15843" t="s">
        <v>240</v>
      </c>
      <c r="K15843">
        <v>419.4</v>
      </c>
      <c r="L15843">
        <v>23.61</v>
      </c>
      <c r="M15843">
        <v>69704</v>
      </c>
      <c r="N15843" t="s">
        <v>89</v>
      </c>
      <c r="O15843">
        <v>250603</v>
      </c>
      <c r="P15843">
        <v>236.08</v>
      </c>
    </row>
    <row r="15844" spans="1:16" x14ac:dyDescent="0.25">
      <c r="A15844" t="s">
        <v>3296</v>
      </c>
      <c r="B15844" t="s">
        <v>2931</v>
      </c>
      <c r="C15844">
        <v>8808</v>
      </c>
      <c r="D15844" t="str">
        <f>"43461674    "</f>
        <v xml:space="preserve">43461674    </v>
      </c>
      <c r="E15844" t="s">
        <v>417</v>
      </c>
      <c r="F15844" t="s">
        <v>418</v>
      </c>
      <c r="G15844">
        <v>130.68</v>
      </c>
      <c r="H15844">
        <v>250611</v>
      </c>
      <c r="I15844">
        <v>4510</v>
      </c>
      <c r="J15844" t="s">
        <v>240</v>
      </c>
      <c r="K15844">
        <v>130.68</v>
      </c>
      <c r="L15844">
        <v>11.88</v>
      </c>
      <c r="M15844">
        <v>11001</v>
      </c>
      <c r="N15844" t="s">
        <v>93</v>
      </c>
      <c r="O15844">
        <v>250618</v>
      </c>
      <c r="P15844">
        <v>118.8</v>
      </c>
    </row>
    <row r="15845" spans="1:16" x14ac:dyDescent="0.25">
      <c r="A15845" t="s">
        <v>3296</v>
      </c>
      <c r="B15845" t="s">
        <v>2931</v>
      </c>
      <c r="C15845">
        <v>8967</v>
      </c>
      <c r="D15845" t="str">
        <f>"43516842    "</f>
        <v xml:space="preserve">43516842    </v>
      </c>
      <c r="E15845" t="s">
        <v>417</v>
      </c>
      <c r="F15845" t="s">
        <v>418</v>
      </c>
      <c r="G15845">
        <v>104.45</v>
      </c>
      <c r="H15845">
        <v>250616</v>
      </c>
      <c r="I15845">
        <v>4510</v>
      </c>
      <c r="J15845" t="s">
        <v>240</v>
      </c>
      <c r="K15845">
        <v>179</v>
      </c>
      <c r="L15845">
        <v>9.5</v>
      </c>
      <c r="M15845">
        <v>13802</v>
      </c>
      <c r="N15845" t="s">
        <v>34</v>
      </c>
      <c r="O15845">
        <v>250619</v>
      </c>
      <c r="P15845">
        <v>94.95</v>
      </c>
    </row>
    <row r="15846" spans="1:16" x14ac:dyDescent="0.25">
      <c r="A15846" t="s">
        <v>3296</v>
      </c>
      <c r="B15846" t="s">
        <v>2931</v>
      </c>
      <c r="C15846">
        <v>10760</v>
      </c>
      <c r="D15846" t="str">
        <f>"44355522    "</f>
        <v xml:space="preserve">44355522    </v>
      </c>
      <c r="E15846" t="s">
        <v>417</v>
      </c>
      <c r="F15846" t="s">
        <v>418</v>
      </c>
      <c r="G15846">
        <v>130.68</v>
      </c>
      <c r="H15846">
        <v>250820</v>
      </c>
      <c r="I15846">
        <v>4510</v>
      </c>
      <c r="J15846" t="s">
        <v>240</v>
      </c>
      <c r="K15846">
        <v>130.68</v>
      </c>
      <c r="L15846">
        <v>11.88</v>
      </c>
      <c r="M15846">
        <v>10002</v>
      </c>
      <c r="N15846" t="s">
        <v>513</v>
      </c>
      <c r="O15846">
        <v>250822</v>
      </c>
      <c r="P15846">
        <v>118.8</v>
      </c>
    </row>
    <row r="15847" spans="1:16" x14ac:dyDescent="0.25">
      <c r="A15847" t="s">
        <v>3296</v>
      </c>
      <c r="B15847" t="s">
        <v>2931</v>
      </c>
      <c r="C15847">
        <v>11079</v>
      </c>
      <c r="D15847" t="str">
        <f>"44441084    "</f>
        <v xml:space="preserve">44441084    </v>
      </c>
      <c r="E15847" t="s">
        <v>417</v>
      </c>
      <c r="F15847" t="s">
        <v>418</v>
      </c>
      <c r="G15847">
        <v>197.64</v>
      </c>
      <c r="H15847">
        <v>250827</v>
      </c>
      <c r="I15847">
        <v>4510</v>
      </c>
      <c r="J15847" t="s">
        <v>240</v>
      </c>
      <c r="K15847">
        <v>559.20000000000005</v>
      </c>
      <c r="L15847">
        <v>17.97</v>
      </c>
      <c r="M15847">
        <v>17971</v>
      </c>
      <c r="N15847" t="s">
        <v>27</v>
      </c>
      <c r="O15847">
        <v>250829</v>
      </c>
      <c r="P15847">
        <v>179.67</v>
      </c>
    </row>
    <row r="15848" spans="1:16" x14ac:dyDescent="0.25">
      <c r="A15848" t="s">
        <v>3296</v>
      </c>
      <c r="B15848" t="s">
        <v>2931</v>
      </c>
      <c r="C15848">
        <v>12365</v>
      </c>
      <c r="D15848" t="str">
        <f>"44589717    "</f>
        <v xml:space="preserve">44589717    </v>
      </c>
      <c r="E15848" t="s">
        <v>417</v>
      </c>
      <c r="F15848" t="s">
        <v>418</v>
      </c>
      <c r="G15848">
        <v>63</v>
      </c>
      <c r="H15848">
        <v>250908</v>
      </c>
      <c r="I15848">
        <v>4510</v>
      </c>
      <c r="J15848" t="s">
        <v>240</v>
      </c>
      <c r="K15848">
        <v>189</v>
      </c>
      <c r="L15848">
        <v>5.73</v>
      </c>
      <c r="M15848">
        <v>13801</v>
      </c>
      <c r="N15848" t="s">
        <v>33</v>
      </c>
      <c r="O15848">
        <v>250919</v>
      </c>
      <c r="P15848">
        <v>57.27</v>
      </c>
    </row>
    <row r="15849" spans="1:16" x14ac:dyDescent="0.25">
      <c r="A15849" t="s">
        <v>3296</v>
      </c>
      <c r="B15849" t="s">
        <v>2931</v>
      </c>
      <c r="C15849">
        <v>12579</v>
      </c>
      <c r="D15849" t="str">
        <f>"44718207    "</f>
        <v xml:space="preserve">44718207    </v>
      </c>
      <c r="E15849" t="s">
        <v>417</v>
      </c>
      <c r="F15849" t="s">
        <v>418</v>
      </c>
      <c r="G15849">
        <v>142.80000000000001</v>
      </c>
      <c r="H15849">
        <v>250917</v>
      </c>
      <c r="I15849">
        <v>4510</v>
      </c>
      <c r="J15849" t="s">
        <v>240</v>
      </c>
      <c r="K15849">
        <v>142.80000000000001</v>
      </c>
      <c r="L15849">
        <v>12.98</v>
      </c>
      <c r="M15849">
        <v>11001</v>
      </c>
      <c r="N15849" t="s">
        <v>93</v>
      </c>
      <c r="O15849">
        <v>250926</v>
      </c>
      <c r="P15849">
        <v>129.82</v>
      </c>
    </row>
    <row r="15850" spans="1:16" x14ac:dyDescent="0.25">
      <c r="A15850" t="s">
        <v>3296</v>
      </c>
      <c r="B15850" t="s">
        <v>2931</v>
      </c>
      <c r="C15850">
        <v>12921</v>
      </c>
      <c r="D15850" t="str">
        <f>"44803753    "</f>
        <v xml:space="preserve">44803753    </v>
      </c>
      <c r="E15850" t="s">
        <v>417</v>
      </c>
      <c r="F15850" t="s">
        <v>418</v>
      </c>
      <c r="G15850">
        <v>32.18</v>
      </c>
      <c r="H15850">
        <v>250924</v>
      </c>
      <c r="I15850">
        <v>4510</v>
      </c>
      <c r="J15850" t="s">
        <v>240</v>
      </c>
      <c r="K15850">
        <v>292.5</v>
      </c>
      <c r="L15850">
        <v>2.93</v>
      </c>
      <c r="M15850">
        <v>13501</v>
      </c>
      <c r="N15850" t="s">
        <v>66</v>
      </c>
      <c r="O15850">
        <v>251002</v>
      </c>
      <c r="P15850">
        <v>29.25</v>
      </c>
    </row>
    <row r="15851" spans="1:16" x14ac:dyDescent="0.25">
      <c r="A15851" t="s">
        <v>3296</v>
      </c>
      <c r="B15851" t="s">
        <v>2931</v>
      </c>
      <c r="C15851">
        <v>12921</v>
      </c>
      <c r="D15851" t="str">
        <f>"44803753    "</f>
        <v xml:space="preserve">44803753    </v>
      </c>
      <c r="E15851" t="s">
        <v>417</v>
      </c>
      <c r="F15851" t="s">
        <v>418</v>
      </c>
      <c r="G15851">
        <v>43.39</v>
      </c>
      <c r="H15851">
        <v>250924</v>
      </c>
      <c r="I15851">
        <v>4510</v>
      </c>
      <c r="J15851" t="s">
        <v>240</v>
      </c>
      <c r="K15851">
        <v>292.5</v>
      </c>
      <c r="L15851">
        <v>3.94</v>
      </c>
      <c r="M15851">
        <v>16121</v>
      </c>
      <c r="N15851" t="s">
        <v>127</v>
      </c>
      <c r="O15851">
        <v>251002</v>
      </c>
      <c r="P15851">
        <v>39.450000000000003</v>
      </c>
    </row>
    <row r="15852" spans="1:16" x14ac:dyDescent="0.25">
      <c r="A15852" t="s">
        <v>3296</v>
      </c>
      <c r="B15852" t="s">
        <v>2931</v>
      </c>
      <c r="C15852">
        <v>12921</v>
      </c>
      <c r="D15852" t="str">
        <f>"44803753    "</f>
        <v xml:space="preserve">44803753    </v>
      </c>
      <c r="E15852" t="s">
        <v>417</v>
      </c>
      <c r="F15852" t="s">
        <v>418</v>
      </c>
      <c r="G15852">
        <v>43.38</v>
      </c>
      <c r="H15852">
        <v>250924</v>
      </c>
      <c r="I15852">
        <v>4510</v>
      </c>
      <c r="J15852" t="s">
        <v>240</v>
      </c>
      <c r="K15852">
        <v>292.5</v>
      </c>
      <c r="L15852">
        <v>3.94</v>
      </c>
      <c r="M15852">
        <v>16322</v>
      </c>
      <c r="N15852" t="s">
        <v>331</v>
      </c>
      <c r="O15852">
        <v>251002</v>
      </c>
      <c r="P15852">
        <v>39.44</v>
      </c>
    </row>
    <row r="15853" spans="1:16" x14ac:dyDescent="0.25">
      <c r="A15853" t="s">
        <v>3296</v>
      </c>
      <c r="B15853" t="s">
        <v>2931</v>
      </c>
      <c r="C15853">
        <v>12921</v>
      </c>
      <c r="D15853" t="str">
        <f>"44803753    "</f>
        <v xml:space="preserve">44803753    </v>
      </c>
      <c r="E15853" t="s">
        <v>417</v>
      </c>
      <c r="F15853" t="s">
        <v>418</v>
      </c>
      <c r="G15853">
        <v>43.39</v>
      </c>
      <c r="H15853">
        <v>250924</v>
      </c>
      <c r="I15853">
        <v>4510</v>
      </c>
      <c r="J15853" t="s">
        <v>240</v>
      </c>
      <c r="K15853">
        <v>292.5</v>
      </c>
      <c r="L15853">
        <v>3.94</v>
      </c>
      <c r="M15853">
        <v>16820</v>
      </c>
      <c r="N15853" t="s">
        <v>128</v>
      </c>
      <c r="O15853">
        <v>251002</v>
      </c>
      <c r="P15853">
        <v>39.450000000000003</v>
      </c>
    </row>
    <row r="15854" spans="1:16" x14ac:dyDescent="0.25">
      <c r="A15854" t="s">
        <v>3296</v>
      </c>
      <c r="B15854" t="s">
        <v>2931</v>
      </c>
      <c r="C15854">
        <v>12921</v>
      </c>
      <c r="D15854" t="str">
        <f>"44803753    "</f>
        <v xml:space="preserve">44803753    </v>
      </c>
      <c r="E15854" t="s">
        <v>417</v>
      </c>
      <c r="F15854" t="s">
        <v>418</v>
      </c>
      <c r="G15854">
        <v>130.16</v>
      </c>
      <c r="H15854">
        <v>250924</v>
      </c>
      <c r="I15854">
        <v>4510</v>
      </c>
      <c r="J15854" t="s">
        <v>240</v>
      </c>
      <c r="K15854">
        <v>292.5</v>
      </c>
      <c r="L15854">
        <v>11.83</v>
      </c>
      <c r="M15854">
        <v>17538</v>
      </c>
      <c r="N15854" t="s">
        <v>129</v>
      </c>
      <c r="O15854">
        <v>251002</v>
      </c>
      <c r="P15854">
        <v>118.33</v>
      </c>
    </row>
    <row r="15855" spans="1:16" x14ac:dyDescent="0.25">
      <c r="A15855" t="s">
        <v>3296</v>
      </c>
      <c r="B15855" t="s">
        <v>2931</v>
      </c>
      <c r="C15855">
        <v>13249</v>
      </c>
      <c r="D15855" t="str">
        <f>"44900095    "</f>
        <v xml:space="preserve">44900095    </v>
      </c>
      <c r="E15855" t="s">
        <v>417</v>
      </c>
      <c r="F15855" t="s">
        <v>418</v>
      </c>
      <c r="G15855">
        <v>64.680000000000007</v>
      </c>
      <c r="H15855">
        <v>251001</v>
      </c>
      <c r="I15855">
        <v>4510</v>
      </c>
      <c r="J15855" t="s">
        <v>240</v>
      </c>
      <c r="K15855">
        <v>64.680000000000007</v>
      </c>
      <c r="L15855">
        <v>5.88</v>
      </c>
      <c r="M15855">
        <v>11001</v>
      </c>
      <c r="N15855" t="s">
        <v>93</v>
      </c>
      <c r="O15855">
        <v>251007</v>
      </c>
      <c r="P15855">
        <v>58.8</v>
      </c>
    </row>
    <row r="15856" spans="1:16" x14ac:dyDescent="0.25">
      <c r="A15856" t="s">
        <v>3296</v>
      </c>
      <c r="B15856" t="s">
        <v>2931</v>
      </c>
      <c r="C15856">
        <v>15186</v>
      </c>
      <c r="D15856" t="str">
        <f>"45400140    "</f>
        <v xml:space="preserve">45400140    </v>
      </c>
      <c r="E15856" t="s">
        <v>417</v>
      </c>
      <c r="F15856" t="s">
        <v>418</v>
      </c>
      <c r="G15856">
        <v>29.15</v>
      </c>
      <c r="H15856">
        <v>251110</v>
      </c>
      <c r="I15856">
        <v>4510</v>
      </c>
      <c r="J15856" t="s">
        <v>240</v>
      </c>
      <c r="K15856">
        <v>175</v>
      </c>
      <c r="L15856">
        <v>2.65</v>
      </c>
      <c r="M15856">
        <v>13801</v>
      </c>
      <c r="N15856" t="s">
        <v>33</v>
      </c>
      <c r="O15856">
        <v>251113</v>
      </c>
      <c r="P15856">
        <v>26.5</v>
      </c>
    </row>
    <row r="15857" spans="1:16" x14ac:dyDescent="0.25">
      <c r="A15857" t="s">
        <v>3296</v>
      </c>
      <c r="B15857" t="s">
        <v>2931</v>
      </c>
      <c r="C15857">
        <v>447</v>
      </c>
      <c r="D15857" t="str">
        <f>"9501209188  "</f>
        <v xml:space="preserve">9501209188  </v>
      </c>
      <c r="E15857" t="s">
        <v>522</v>
      </c>
      <c r="F15857" t="s">
        <v>523</v>
      </c>
      <c r="G15857">
        <v>37.39</v>
      </c>
      <c r="H15857">
        <v>250114</v>
      </c>
      <c r="I15857">
        <v>4510</v>
      </c>
      <c r="J15857" t="s">
        <v>240</v>
      </c>
      <c r="K15857">
        <v>37.39</v>
      </c>
      <c r="L15857">
        <v>4.59</v>
      </c>
      <c r="M15857">
        <v>17808</v>
      </c>
      <c r="N15857" t="s">
        <v>24</v>
      </c>
      <c r="O15857">
        <v>250122</v>
      </c>
      <c r="P15857">
        <v>32.799999999999997</v>
      </c>
    </row>
    <row r="15858" spans="1:16" x14ac:dyDescent="0.25">
      <c r="A15858" t="s">
        <v>3296</v>
      </c>
      <c r="B15858" t="s">
        <v>2931</v>
      </c>
      <c r="C15858">
        <v>811</v>
      </c>
      <c r="D15858" t="str">
        <f>"9501211063  "</f>
        <v xml:space="preserve">9501211063  </v>
      </c>
      <c r="E15858" t="s">
        <v>522</v>
      </c>
      <c r="F15858" t="s">
        <v>523</v>
      </c>
      <c r="G15858">
        <v>110.47</v>
      </c>
      <c r="H15858">
        <v>250122</v>
      </c>
      <c r="I15858">
        <v>4510</v>
      </c>
      <c r="J15858" t="s">
        <v>240</v>
      </c>
      <c r="K15858">
        <v>110.47</v>
      </c>
      <c r="L15858">
        <v>13.57</v>
      </c>
      <c r="M15858">
        <v>43222</v>
      </c>
      <c r="N15858" t="s">
        <v>95</v>
      </c>
      <c r="O15858">
        <v>250129</v>
      </c>
      <c r="P15858">
        <v>96.9</v>
      </c>
    </row>
    <row r="15859" spans="1:16" x14ac:dyDescent="0.25">
      <c r="A15859" t="s">
        <v>3296</v>
      </c>
      <c r="B15859" t="s">
        <v>2931</v>
      </c>
      <c r="C15859">
        <v>4807</v>
      </c>
      <c r="D15859" t="str">
        <f>"9501219051  "</f>
        <v xml:space="preserve">9501219051  </v>
      </c>
      <c r="E15859" t="s">
        <v>522</v>
      </c>
      <c r="F15859" t="s">
        <v>523</v>
      </c>
      <c r="G15859">
        <v>45.77</v>
      </c>
      <c r="H15859">
        <v>250320</v>
      </c>
      <c r="I15859">
        <v>4510</v>
      </c>
      <c r="J15859" t="s">
        <v>240</v>
      </c>
      <c r="K15859">
        <v>45.77</v>
      </c>
      <c r="L15859">
        <v>5.62</v>
      </c>
      <c r="M15859">
        <v>11903</v>
      </c>
      <c r="N15859" t="s">
        <v>32</v>
      </c>
      <c r="O15859">
        <v>250415</v>
      </c>
      <c r="P15859">
        <v>40.15</v>
      </c>
    </row>
    <row r="15860" spans="1:16" x14ac:dyDescent="0.25">
      <c r="A15860" t="s">
        <v>3296</v>
      </c>
      <c r="B15860" t="s">
        <v>2931</v>
      </c>
      <c r="C15860">
        <v>10533</v>
      </c>
      <c r="D15860" t="str">
        <f>"9501237395  "</f>
        <v xml:space="preserve">9501237395  </v>
      </c>
      <c r="E15860" t="s">
        <v>522</v>
      </c>
      <c r="F15860" t="s">
        <v>523</v>
      </c>
      <c r="G15860">
        <v>132.08000000000001</v>
      </c>
      <c r="H15860">
        <v>250801</v>
      </c>
      <c r="I15860">
        <v>4510</v>
      </c>
      <c r="J15860" t="s">
        <v>240</v>
      </c>
      <c r="K15860">
        <v>269.27</v>
      </c>
      <c r="L15860">
        <v>16.22</v>
      </c>
      <c r="M15860">
        <v>17808</v>
      </c>
      <c r="N15860" t="s">
        <v>24</v>
      </c>
      <c r="O15860">
        <v>250820</v>
      </c>
      <c r="P15860">
        <v>115.86</v>
      </c>
    </row>
    <row r="15861" spans="1:16" x14ac:dyDescent="0.25">
      <c r="A15861" t="s">
        <v>3296</v>
      </c>
      <c r="B15861" t="s">
        <v>2931</v>
      </c>
      <c r="C15861">
        <v>10673</v>
      </c>
      <c r="D15861" t="str">
        <f>"9501242644  "</f>
        <v xml:space="preserve">9501242644  </v>
      </c>
      <c r="E15861" t="s">
        <v>522</v>
      </c>
      <c r="F15861" t="s">
        <v>523</v>
      </c>
      <c r="G15861">
        <v>51.53</v>
      </c>
      <c r="H15861">
        <v>250812</v>
      </c>
      <c r="I15861">
        <v>4510</v>
      </c>
      <c r="J15861" t="s">
        <v>240</v>
      </c>
      <c r="K15861">
        <v>51.53</v>
      </c>
      <c r="L15861">
        <v>6.33</v>
      </c>
      <c r="M15861">
        <v>17808</v>
      </c>
      <c r="N15861" t="s">
        <v>24</v>
      </c>
      <c r="O15861">
        <v>250821</v>
      </c>
      <c r="P15861">
        <v>45.2</v>
      </c>
    </row>
    <row r="15862" spans="1:16" x14ac:dyDescent="0.25">
      <c r="A15862" t="s">
        <v>3296</v>
      </c>
      <c r="B15862" t="s">
        <v>2931</v>
      </c>
      <c r="C15862">
        <v>10747</v>
      </c>
      <c r="D15862" t="str">
        <f>"9501246418  "</f>
        <v xml:space="preserve">9501246418  </v>
      </c>
      <c r="E15862" t="s">
        <v>522</v>
      </c>
      <c r="F15862" t="s">
        <v>523</v>
      </c>
      <c r="G15862">
        <v>56.44</v>
      </c>
      <c r="H15862">
        <v>250819</v>
      </c>
      <c r="I15862">
        <v>4510</v>
      </c>
      <c r="J15862" t="s">
        <v>240</v>
      </c>
      <c r="K15862">
        <v>269.27</v>
      </c>
      <c r="L15862">
        <v>6.93</v>
      </c>
      <c r="M15862">
        <v>61122</v>
      </c>
      <c r="N15862" t="s">
        <v>86</v>
      </c>
      <c r="O15862">
        <v>250821</v>
      </c>
      <c r="P15862">
        <v>49.51</v>
      </c>
    </row>
    <row r="15863" spans="1:16" x14ac:dyDescent="0.25">
      <c r="A15863" t="s">
        <v>3296</v>
      </c>
      <c r="B15863" t="s">
        <v>2931</v>
      </c>
      <c r="C15863">
        <v>10747</v>
      </c>
      <c r="D15863" t="str">
        <f>"9501246418  "</f>
        <v xml:space="preserve">9501246418  </v>
      </c>
      <c r="E15863" t="s">
        <v>522</v>
      </c>
      <c r="F15863" t="s">
        <v>523</v>
      </c>
      <c r="G15863">
        <v>56.44</v>
      </c>
      <c r="H15863">
        <v>250819</v>
      </c>
      <c r="I15863">
        <v>4510</v>
      </c>
      <c r="J15863" t="s">
        <v>240</v>
      </c>
      <c r="K15863">
        <v>269.27</v>
      </c>
      <c r="L15863">
        <v>6.93</v>
      </c>
      <c r="M15863">
        <v>65222</v>
      </c>
      <c r="N15863" t="s">
        <v>87</v>
      </c>
      <c r="O15863">
        <v>250821</v>
      </c>
      <c r="P15863">
        <v>49.51</v>
      </c>
    </row>
    <row r="15864" spans="1:16" x14ac:dyDescent="0.25">
      <c r="A15864" t="s">
        <v>3296</v>
      </c>
      <c r="B15864" t="s">
        <v>2931</v>
      </c>
      <c r="C15864">
        <v>11094</v>
      </c>
      <c r="D15864" t="str">
        <f>"9501241693  "</f>
        <v xml:space="preserve">9501241693  </v>
      </c>
      <c r="E15864" t="s">
        <v>522</v>
      </c>
      <c r="F15864" t="s">
        <v>523</v>
      </c>
      <c r="G15864">
        <v>43.55</v>
      </c>
      <c r="H15864">
        <v>250810</v>
      </c>
      <c r="I15864">
        <v>4510</v>
      </c>
      <c r="J15864" t="s">
        <v>240</v>
      </c>
      <c r="K15864">
        <v>43.55</v>
      </c>
      <c r="L15864">
        <v>5.35</v>
      </c>
      <c r="M15864">
        <v>56560</v>
      </c>
      <c r="N15864" t="s">
        <v>52</v>
      </c>
      <c r="O15864">
        <v>250829</v>
      </c>
      <c r="P15864">
        <v>38.200000000000003</v>
      </c>
    </row>
    <row r="15865" spans="1:16" x14ac:dyDescent="0.25">
      <c r="A15865" t="s">
        <v>3296</v>
      </c>
      <c r="B15865" t="s">
        <v>2931</v>
      </c>
      <c r="C15865">
        <v>14191</v>
      </c>
      <c r="D15865" t="str">
        <f>"9501260126  "</f>
        <v xml:space="preserve">9501260126  </v>
      </c>
      <c r="E15865" t="s">
        <v>522</v>
      </c>
      <c r="F15865" t="s">
        <v>523</v>
      </c>
      <c r="G15865">
        <v>68.45</v>
      </c>
      <c r="H15865">
        <v>251017</v>
      </c>
      <c r="I15865">
        <v>4510</v>
      </c>
      <c r="J15865" t="s">
        <v>240</v>
      </c>
      <c r="K15865">
        <v>68.45</v>
      </c>
      <c r="L15865">
        <v>8.41</v>
      </c>
      <c r="M15865">
        <v>56562</v>
      </c>
      <c r="N15865" t="s">
        <v>54</v>
      </c>
      <c r="O15865">
        <v>251024</v>
      </c>
      <c r="P15865">
        <v>60.04</v>
      </c>
    </row>
    <row r="15866" spans="1:16" x14ac:dyDescent="0.25">
      <c r="A15866" t="s">
        <v>3296</v>
      </c>
      <c r="B15866" t="s">
        <v>2931</v>
      </c>
      <c r="C15866">
        <v>14851</v>
      </c>
      <c r="D15866" t="str">
        <f>"9501263104  "</f>
        <v xml:space="preserve">9501263104  </v>
      </c>
      <c r="E15866" t="s">
        <v>522</v>
      </c>
      <c r="F15866" t="s">
        <v>523</v>
      </c>
      <c r="G15866">
        <v>377.4</v>
      </c>
      <c r="H15866">
        <v>251103</v>
      </c>
      <c r="I15866">
        <v>4510</v>
      </c>
      <c r="J15866" t="s">
        <v>240</v>
      </c>
      <c r="K15866">
        <v>377.4</v>
      </c>
      <c r="L15866">
        <v>46.35</v>
      </c>
      <c r="M15866">
        <v>17808</v>
      </c>
      <c r="N15866" t="s">
        <v>24</v>
      </c>
      <c r="O15866">
        <v>251107</v>
      </c>
      <c r="P15866">
        <v>331.05</v>
      </c>
    </row>
    <row r="15867" spans="1:16" x14ac:dyDescent="0.25">
      <c r="A15867" t="s">
        <v>3296</v>
      </c>
      <c r="B15867" t="s">
        <v>2931</v>
      </c>
      <c r="C15867">
        <v>15641</v>
      </c>
      <c r="D15867" t="str">
        <f>"9501263578  "</f>
        <v xml:space="preserve">9501263578  </v>
      </c>
      <c r="E15867" t="s">
        <v>522</v>
      </c>
      <c r="F15867" t="s">
        <v>523</v>
      </c>
      <c r="G15867">
        <v>49.1</v>
      </c>
      <c r="H15867">
        <v>251105</v>
      </c>
      <c r="I15867">
        <v>4510</v>
      </c>
      <c r="J15867" t="s">
        <v>240</v>
      </c>
      <c r="K15867">
        <v>234.27</v>
      </c>
      <c r="L15867">
        <v>6.03</v>
      </c>
      <c r="M15867">
        <v>61122</v>
      </c>
      <c r="N15867" t="s">
        <v>86</v>
      </c>
      <c r="O15867">
        <v>251124</v>
      </c>
      <c r="P15867">
        <v>43.07</v>
      </c>
    </row>
    <row r="15868" spans="1:16" x14ac:dyDescent="0.25">
      <c r="A15868" t="s">
        <v>3296</v>
      </c>
      <c r="B15868" t="s">
        <v>2931</v>
      </c>
      <c r="C15868">
        <v>15641</v>
      </c>
      <c r="D15868" t="str">
        <f>"9501263578  "</f>
        <v xml:space="preserve">9501263578  </v>
      </c>
      <c r="E15868" t="s">
        <v>522</v>
      </c>
      <c r="F15868" t="s">
        <v>523</v>
      </c>
      <c r="G15868">
        <v>49.1</v>
      </c>
      <c r="H15868">
        <v>251105</v>
      </c>
      <c r="I15868">
        <v>4510</v>
      </c>
      <c r="J15868" t="s">
        <v>240</v>
      </c>
      <c r="K15868">
        <v>234.27</v>
      </c>
      <c r="L15868">
        <v>6.03</v>
      </c>
      <c r="M15868">
        <v>61123</v>
      </c>
      <c r="N15868" t="s">
        <v>2278</v>
      </c>
      <c r="O15868">
        <v>251124</v>
      </c>
      <c r="P15868">
        <v>43.07</v>
      </c>
    </row>
    <row r="15869" spans="1:16" x14ac:dyDescent="0.25">
      <c r="A15869" t="s">
        <v>3296</v>
      </c>
      <c r="B15869" t="s">
        <v>2931</v>
      </c>
      <c r="C15869">
        <v>17809</v>
      </c>
      <c r="D15869" t="str">
        <f>"9501272618  "</f>
        <v xml:space="preserve">9501272618  </v>
      </c>
      <c r="E15869" t="s">
        <v>522</v>
      </c>
      <c r="F15869" t="s">
        <v>523</v>
      </c>
      <c r="G15869">
        <v>171.13</v>
      </c>
      <c r="H15869">
        <v>251216</v>
      </c>
      <c r="I15869">
        <v>4510</v>
      </c>
      <c r="J15869" t="s">
        <v>240</v>
      </c>
      <c r="K15869">
        <v>408.25</v>
      </c>
      <c r="L15869">
        <v>21.02</v>
      </c>
      <c r="M15869">
        <v>61122</v>
      </c>
      <c r="N15869" t="s">
        <v>86</v>
      </c>
      <c r="O15869">
        <v>251230</v>
      </c>
      <c r="P15869">
        <v>150.11000000000001</v>
      </c>
    </row>
    <row r="15870" spans="1:16" x14ac:dyDescent="0.25">
      <c r="A15870" t="s">
        <v>3296</v>
      </c>
      <c r="B15870" t="s">
        <v>2931</v>
      </c>
      <c r="C15870">
        <v>11296</v>
      </c>
      <c r="D15870" t="str">
        <f>"9501242404  "</f>
        <v xml:space="preserve">9501242404  </v>
      </c>
      <c r="E15870" t="s">
        <v>522</v>
      </c>
      <c r="F15870" t="s">
        <v>523</v>
      </c>
      <c r="G15870">
        <v>669.52</v>
      </c>
      <c r="H15870">
        <v>250811</v>
      </c>
      <c r="I15870">
        <v>4600</v>
      </c>
      <c r="J15870" t="s">
        <v>278</v>
      </c>
      <c r="K15870">
        <v>669.52</v>
      </c>
      <c r="L15870">
        <v>82.22</v>
      </c>
      <c r="M15870">
        <v>56560</v>
      </c>
      <c r="N15870" t="s">
        <v>52</v>
      </c>
      <c r="O15870">
        <v>250903</v>
      </c>
      <c r="P15870">
        <v>587.29999999999995</v>
      </c>
    </row>
    <row r="15871" spans="1:16" x14ac:dyDescent="0.25">
      <c r="A15871" t="s">
        <v>3296</v>
      </c>
      <c r="B15871" t="s">
        <v>2931</v>
      </c>
      <c r="C15871">
        <v>12260</v>
      </c>
      <c r="D15871" t="str">
        <f>"1221832     "</f>
        <v xml:space="preserve">1221832     </v>
      </c>
      <c r="E15871" t="s">
        <v>2030</v>
      </c>
      <c r="F15871" t="s">
        <v>2031</v>
      </c>
      <c r="G15871">
        <v>110</v>
      </c>
      <c r="H15871">
        <v>250915</v>
      </c>
      <c r="I15871">
        <v>4410</v>
      </c>
      <c r="J15871" t="s">
        <v>165</v>
      </c>
      <c r="K15871">
        <v>552.79999999999995</v>
      </c>
      <c r="L15871">
        <v>0</v>
      </c>
      <c r="M15871">
        <v>17131</v>
      </c>
      <c r="N15871" t="s">
        <v>154</v>
      </c>
      <c r="O15871">
        <v>250918</v>
      </c>
      <c r="P15871">
        <v>110</v>
      </c>
    </row>
    <row r="15872" spans="1:16" x14ac:dyDescent="0.25">
      <c r="A15872" t="s">
        <v>3296</v>
      </c>
      <c r="B15872" t="s">
        <v>2931</v>
      </c>
      <c r="C15872">
        <v>12260</v>
      </c>
      <c r="D15872" t="str">
        <f>"1221832     "</f>
        <v xml:space="preserve">1221832     </v>
      </c>
      <c r="E15872" t="s">
        <v>2030</v>
      </c>
      <c r="F15872" t="s">
        <v>2031</v>
      </c>
      <c r="G15872">
        <v>442.8</v>
      </c>
      <c r="H15872">
        <v>250915</v>
      </c>
      <c r="I15872">
        <v>4410</v>
      </c>
      <c r="J15872" t="s">
        <v>165</v>
      </c>
      <c r="K15872">
        <v>552.79999999999995</v>
      </c>
      <c r="L15872">
        <v>54.38</v>
      </c>
      <c r="M15872">
        <v>17131</v>
      </c>
      <c r="N15872" t="s">
        <v>154</v>
      </c>
      <c r="O15872">
        <v>250918</v>
      </c>
      <c r="P15872">
        <v>388.42</v>
      </c>
    </row>
    <row r="15873" spans="1:16" x14ac:dyDescent="0.25">
      <c r="A15873" t="s">
        <v>3296</v>
      </c>
      <c r="B15873" t="s">
        <v>2931</v>
      </c>
      <c r="C15873">
        <v>8395</v>
      </c>
      <c r="D15873" t="str">
        <f>"1209291     "</f>
        <v xml:space="preserve">1209291     </v>
      </c>
      <c r="E15873" t="s">
        <v>2030</v>
      </c>
      <c r="F15873" t="s">
        <v>2031</v>
      </c>
      <c r="G15873">
        <v>44</v>
      </c>
      <c r="H15873">
        <v>250531</v>
      </c>
      <c r="I15873">
        <v>4412</v>
      </c>
      <c r="J15873" t="s">
        <v>884</v>
      </c>
      <c r="K15873">
        <v>245.2</v>
      </c>
      <c r="L15873">
        <v>0</v>
      </c>
      <c r="M15873">
        <v>66756</v>
      </c>
      <c r="N15873" t="s">
        <v>120</v>
      </c>
      <c r="O15873">
        <v>250613</v>
      </c>
      <c r="P15873">
        <v>44</v>
      </c>
    </row>
    <row r="15874" spans="1:16" x14ac:dyDescent="0.25">
      <c r="A15874" t="s">
        <v>3296</v>
      </c>
      <c r="B15874" t="s">
        <v>2931</v>
      </c>
      <c r="C15874">
        <v>8395</v>
      </c>
      <c r="D15874" t="str">
        <f>"1209291     "</f>
        <v xml:space="preserve">1209291     </v>
      </c>
      <c r="E15874" t="s">
        <v>2030</v>
      </c>
      <c r="F15874" t="s">
        <v>2031</v>
      </c>
      <c r="G15874">
        <v>201.2</v>
      </c>
      <c r="H15874">
        <v>250531</v>
      </c>
      <c r="I15874">
        <v>4412</v>
      </c>
      <c r="J15874" t="s">
        <v>884</v>
      </c>
      <c r="K15874">
        <v>245.2</v>
      </c>
      <c r="L15874">
        <v>24.71</v>
      </c>
      <c r="M15874">
        <v>66756</v>
      </c>
      <c r="N15874" t="s">
        <v>120</v>
      </c>
      <c r="O15874">
        <v>250613</v>
      </c>
      <c r="P15874">
        <v>176.49</v>
      </c>
    </row>
    <row r="15875" spans="1:16" x14ac:dyDescent="0.25">
      <c r="A15875" t="s">
        <v>3296</v>
      </c>
      <c r="B15875" t="s">
        <v>2931</v>
      </c>
      <c r="C15875">
        <v>6620</v>
      </c>
      <c r="D15875" t="str">
        <f>"10914       "</f>
        <v xml:space="preserve">10914       </v>
      </c>
      <c r="E15875" t="s">
        <v>1870</v>
      </c>
      <c r="F15875" t="s">
        <v>1871</v>
      </c>
      <c r="G15875">
        <v>7.9</v>
      </c>
      <c r="H15875">
        <v>250430</v>
      </c>
      <c r="I15875">
        <v>4600</v>
      </c>
      <c r="J15875" t="s">
        <v>278</v>
      </c>
      <c r="K15875">
        <v>77.900000000000006</v>
      </c>
      <c r="L15875">
        <v>1.61</v>
      </c>
      <c r="M15875">
        <v>17812</v>
      </c>
      <c r="N15875" t="s">
        <v>816</v>
      </c>
      <c r="O15875">
        <v>250514</v>
      </c>
      <c r="P15875">
        <v>6.29</v>
      </c>
    </row>
    <row r="15876" spans="1:16" x14ac:dyDescent="0.25">
      <c r="A15876" t="s">
        <v>3296</v>
      </c>
      <c r="B15876" t="s">
        <v>2931</v>
      </c>
      <c r="C15876">
        <v>6620</v>
      </c>
      <c r="D15876" t="str">
        <f>"10914       "</f>
        <v xml:space="preserve">10914       </v>
      </c>
      <c r="E15876" t="s">
        <v>1870</v>
      </c>
      <c r="F15876" t="s">
        <v>1871</v>
      </c>
      <c r="G15876">
        <v>70</v>
      </c>
      <c r="H15876">
        <v>250430</v>
      </c>
      <c r="I15876">
        <v>4600</v>
      </c>
      <c r="J15876" t="s">
        <v>278</v>
      </c>
      <c r="K15876">
        <v>77.900000000000006</v>
      </c>
      <c r="L15876">
        <v>0</v>
      </c>
      <c r="M15876">
        <v>17812</v>
      </c>
      <c r="N15876" t="s">
        <v>816</v>
      </c>
      <c r="O15876">
        <v>250514</v>
      </c>
      <c r="P15876">
        <v>70</v>
      </c>
    </row>
    <row r="15877" spans="1:16" x14ac:dyDescent="0.25">
      <c r="A15877" t="s">
        <v>3296</v>
      </c>
      <c r="B15877" t="s">
        <v>2931</v>
      </c>
      <c r="C15877">
        <v>8801</v>
      </c>
      <c r="D15877" t="str">
        <f>"32-0002595  "</f>
        <v xml:space="preserve">32-0002595  </v>
      </c>
      <c r="E15877" t="s">
        <v>2053</v>
      </c>
      <c r="F15877" t="s">
        <v>2054</v>
      </c>
      <c r="G15877">
        <v>4067.22</v>
      </c>
      <c r="H15877">
        <v>250531</v>
      </c>
      <c r="I15877">
        <v>4346</v>
      </c>
      <c r="J15877" t="s">
        <v>334</v>
      </c>
      <c r="K15877">
        <v>7375.11</v>
      </c>
      <c r="L15877">
        <v>826.41</v>
      </c>
      <c r="M15877">
        <v>11301</v>
      </c>
      <c r="N15877" t="s">
        <v>92</v>
      </c>
      <c r="O15877">
        <v>250618</v>
      </c>
      <c r="P15877">
        <v>3240.81</v>
      </c>
    </row>
    <row r="15878" spans="1:16" x14ac:dyDescent="0.25">
      <c r="A15878" t="s">
        <v>3296</v>
      </c>
      <c r="B15878" t="s">
        <v>2931</v>
      </c>
      <c r="C15878">
        <v>8801</v>
      </c>
      <c r="D15878" t="str">
        <f>"32-0002595  "</f>
        <v xml:space="preserve">32-0002595  </v>
      </c>
      <c r="E15878" t="s">
        <v>2053</v>
      </c>
      <c r="F15878" t="s">
        <v>2054</v>
      </c>
      <c r="G15878">
        <v>3307.89</v>
      </c>
      <c r="H15878">
        <v>250531</v>
      </c>
      <c r="I15878">
        <v>4346</v>
      </c>
      <c r="J15878" t="s">
        <v>334</v>
      </c>
      <c r="K15878">
        <v>7375.11</v>
      </c>
      <c r="L15878">
        <v>672.12</v>
      </c>
      <c r="M15878">
        <v>49705</v>
      </c>
      <c r="N15878" t="s">
        <v>114</v>
      </c>
      <c r="O15878">
        <v>250618</v>
      </c>
      <c r="P15878">
        <v>2635.77</v>
      </c>
    </row>
    <row r="15879" spans="1:16" x14ac:dyDescent="0.25">
      <c r="A15879" t="s">
        <v>3296</v>
      </c>
      <c r="B15879" t="s">
        <v>2931</v>
      </c>
      <c r="C15879">
        <v>9712</v>
      </c>
      <c r="D15879" t="str">
        <f>"32-0002695  "</f>
        <v xml:space="preserve">32-0002695  </v>
      </c>
      <c r="E15879" t="s">
        <v>2053</v>
      </c>
      <c r="F15879" t="s">
        <v>2054</v>
      </c>
      <c r="G15879">
        <v>3103.04</v>
      </c>
      <c r="H15879">
        <v>250630</v>
      </c>
      <c r="I15879">
        <v>4346</v>
      </c>
      <c r="J15879" t="s">
        <v>334</v>
      </c>
      <c r="K15879">
        <v>3103.04</v>
      </c>
      <c r="L15879">
        <v>630.5</v>
      </c>
      <c r="M15879">
        <v>17737</v>
      </c>
      <c r="N15879" t="s">
        <v>156</v>
      </c>
      <c r="O15879">
        <v>250725</v>
      </c>
      <c r="P15879">
        <v>2472.54</v>
      </c>
    </row>
    <row r="15880" spans="1:16" x14ac:dyDescent="0.25">
      <c r="A15880" t="s">
        <v>3296</v>
      </c>
      <c r="B15880" t="s">
        <v>2931</v>
      </c>
      <c r="C15880">
        <v>3898</v>
      </c>
      <c r="D15880" t="str">
        <f>"8144147     "</f>
        <v xml:space="preserve">8144147     </v>
      </c>
      <c r="E15880" t="s">
        <v>1527</v>
      </c>
      <c r="F15880" t="s">
        <v>1528</v>
      </c>
      <c r="G15880">
        <v>189.51</v>
      </c>
      <c r="H15880">
        <v>250320</v>
      </c>
      <c r="I15880">
        <v>4600</v>
      </c>
      <c r="J15880" t="s">
        <v>278</v>
      </c>
      <c r="K15880">
        <v>189.51</v>
      </c>
      <c r="L15880">
        <v>38.51</v>
      </c>
      <c r="M15880">
        <v>17523</v>
      </c>
      <c r="N15880" t="s">
        <v>138</v>
      </c>
      <c r="O15880">
        <v>250403</v>
      </c>
      <c r="P15880">
        <v>151</v>
      </c>
    </row>
    <row r="15881" spans="1:16" x14ac:dyDescent="0.25">
      <c r="A15881" t="s">
        <v>3296</v>
      </c>
      <c r="B15881" t="s">
        <v>2931</v>
      </c>
      <c r="C15881">
        <v>9269</v>
      </c>
      <c r="D15881" t="str">
        <f>"45909       "</f>
        <v xml:space="preserve">45909       </v>
      </c>
      <c r="E15881" t="s">
        <v>2114</v>
      </c>
      <c r="F15881" t="s">
        <v>2115</v>
      </c>
      <c r="G15881">
        <v>174.45</v>
      </c>
      <c r="H15881">
        <v>250624</v>
      </c>
      <c r="I15881">
        <v>4580</v>
      </c>
      <c r="J15881" t="s">
        <v>126</v>
      </c>
      <c r="K15881">
        <v>850.14</v>
      </c>
      <c r="L15881">
        <v>35.450000000000003</v>
      </c>
      <c r="M15881">
        <v>69501</v>
      </c>
      <c r="N15881" t="s">
        <v>123</v>
      </c>
      <c r="O15881">
        <v>250701</v>
      </c>
      <c r="P15881">
        <v>139</v>
      </c>
    </row>
    <row r="15882" spans="1:16" x14ac:dyDescent="0.25">
      <c r="A15882" t="s">
        <v>3296</v>
      </c>
      <c r="B15882" t="s">
        <v>2931</v>
      </c>
      <c r="C15882">
        <v>9269</v>
      </c>
      <c r="D15882" t="str">
        <f>"45909       "</f>
        <v xml:space="preserve">45909       </v>
      </c>
      <c r="E15882" t="s">
        <v>2114</v>
      </c>
      <c r="F15882" t="s">
        <v>2115</v>
      </c>
      <c r="G15882">
        <v>675.69</v>
      </c>
      <c r="H15882">
        <v>250624</v>
      </c>
      <c r="I15882">
        <v>4590</v>
      </c>
      <c r="J15882" t="s">
        <v>388</v>
      </c>
      <c r="K15882">
        <v>850.14</v>
      </c>
      <c r="L15882">
        <v>137.29</v>
      </c>
      <c r="M15882">
        <v>69501</v>
      </c>
      <c r="N15882" t="s">
        <v>123</v>
      </c>
      <c r="O15882">
        <v>250701</v>
      </c>
      <c r="P15882">
        <v>538.4</v>
      </c>
    </row>
    <row r="15883" spans="1:16" x14ac:dyDescent="0.25">
      <c r="A15883" t="s">
        <v>3296</v>
      </c>
      <c r="B15883" t="s">
        <v>2931</v>
      </c>
      <c r="C15883">
        <v>12663</v>
      </c>
      <c r="D15883" t="str">
        <f>"47787       "</f>
        <v xml:space="preserve">47787       </v>
      </c>
      <c r="E15883" t="s">
        <v>2114</v>
      </c>
      <c r="F15883" t="s">
        <v>2115</v>
      </c>
      <c r="G15883">
        <v>369.23</v>
      </c>
      <c r="H15883">
        <v>250919</v>
      </c>
      <c r="I15883">
        <v>4600</v>
      </c>
      <c r="J15883" t="s">
        <v>278</v>
      </c>
      <c r="K15883">
        <v>369.23</v>
      </c>
      <c r="L15883">
        <v>75.02</v>
      </c>
      <c r="M15883">
        <v>17951</v>
      </c>
      <c r="N15883" t="s">
        <v>207</v>
      </c>
      <c r="O15883">
        <v>250929</v>
      </c>
      <c r="P15883">
        <v>294.20999999999998</v>
      </c>
    </row>
    <row r="15884" spans="1:16" x14ac:dyDescent="0.25">
      <c r="A15884" t="s">
        <v>3296</v>
      </c>
      <c r="B15884" t="s">
        <v>2931</v>
      </c>
      <c r="C15884">
        <v>4069</v>
      </c>
      <c r="D15884" t="str">
        <f>"2502105     "</f>
        <v xml:space="preserve">2502105     </v>
      </c>
      <c r="E15884" t="s">
        <v>607</v>
      </c>
      <c r="F15884" t="s">
        <v>608</v>
      </c>
      <c r="G15884">
        <v>968.61</v>
      </c>
      <c r="H15884">
        <v>250306</v>
      </c>
      <c r="I15884">
        <v>4580</v>
      </c>
      <c r="J15884" t="s">
        <v>126</v>
      </c>
      <c r="K15884">
        <v>968.61</v>
      </c>
      <c r="L15884">
        <v>196.81</v>
      </c>
      <c r="M15884">
        <v>56528</v>
      </c>
      <c r="N15884" t="s">
        <v>70</v>
      </c>
      <c r="O15884">
        <v>250407</v>
      </c>
      <c r="P15884">
        <v>771.8</v>
      </c>
    </row>
    <row r="15885" spans="1:16" x14ac:dyDescent="0.25">
      <c r="A15885" t="s">
        <v>3296</v>
      </c>
      <c r="B15885" t="s">
        <v>2931</v>
      </c>
      <c r="C15885">
        <v>4444</v>
      </c>
      <c r="D15885" t="str">
        <f>"2502135     "</f>
        <v xml:space="preserve">2502135     </v>
      </c>
      <c r="E15885" t="s">
        <v>607</v>
      </c>
      <c r="F15885" t="s">
        <v>608</v>
      </c>
      <c r="G15885">
        <v>1383.52</v>
      </c>
      <c r="H15885">
        <v>250314</v>
      </c>
      <c r="I15885">
        <v>4580</v>
      </c>
      <c r="J15885" t="s">
        <v>126</v>
      </c>
      <c r="K15885">
        <v>1402.65</v>
      </c>
      <c r="L15885">
        <v>281.11</v>
      </c>
      <c r="M15885">
        <v>55255</v>
      </c>
      <c r="N15885" t="s">
        <v>768</v>
      </c>
      <c r="O15885">
        <v>250411</v>
      </c>
      <c r="P15885">
        <v>1102.4100000000001</v>
      </c>
    </row>
    <row r="15886" spans="1:16" x14ac:dyDescent="0.25">
      <c r="A15886" t="s">
        <v>3296</v>
      </c>
      <c r="B15886" t="s">
        <v>2931</v>
      </c>
      <c r="C15886">
        <v>11207</v>
      </c>
      <c r="D15886" t="str">
        <f>"2508083     "</f>
        <v xml:space="preserve">2508083     </v>
      </c>
      <c r="E15886" t="s">
        <v>607</v>
      </c>
      <c r="F15886" t="s">
        <v>608</v>
      </c>
      <c r="G15886">
        <v>405.71</v>
      </c>
      <c r="H15886">
        <v>250828</v>
      </c>
      <c r="I15886">
        <v>4580</v>
      </c>
      <c r="J15886" t="s">
        <v>126</v>
      </c>
      <c r="K15886">
        <v>405.71</v>
      </c>
      <c r="L15886">
        <v>82.44</v>
      </c>
      <c r="M15886">
        <v>56528</v>
      </c>
      <c r="N15886" t="s">
        <v>70</v>
      </c>
      <c r="O15886">
        <v>250901</v>
      </c>
      <c r="P15886">
        <v>323.27</v>
      </c>
    </row>
    <row r="15887" spans="1:16" x14ac:dyDescent="0.25">
      <c r="A15887" t="s">
        <v>3296</v>
      </c>
      <c r="B15887" t="s">
        <v>2931</v>
      </c>
      <c r="C15887">
        <v>16600</v>
      </c>
      <c r="D15887" t="str">
        <f>"2512017     "</f>
        <v xml:space="preserve">2512017     </v>
      </c>
      <c r="E15887" t="s">
        <v>607</v>
      </c>
      <c r="F15887" t="s">
        <v>608</v>
      </c>
      <c r="G15887">
        <v>163.5</v>
      </c>
      <c r="H15887">
        <v>251204</v>
      </c>
      <c r="I15887">
        <v>4580</v>
      </c>
      <c r="J15887" t="s">
        <v>126</v>
      </c>
      <c r="K15887">
        <v>163.5</v>
      </c>
      <c r="L15887">
        <v>33.22</v>
      </c>
      <c r="M15887">
        <v>17525</v>
      </c>
      <c r="N15887" t="s">
        <v>140</v>
      </c>
      <c r="O15887">
        <v>251210</v>
      </c>
      <c r="P15887">
        <v>130.28</v>
      </c>
    </row>
    <row r="15888" spans="1:16" x14ac:dyDescent="0.25">
      <c r="A15888" t="s">
        <v>3296</v>
      </c>
      <c r="B15888" t="s">
        <v>2931</v>
      </c>
      <c r="C15888">
        <v>16917</v>
      </c>
      <c r="D15888" t="str">
        <f>"2511071     "</f>
        <v xml:space="preserve">2511071     </v>
      </c>
      <c r="E15888" t="s">
        <v>607</v>
      </c>
      <c r="F15888" t="s">
        <v>608</v>
      </c>
      <c r="G15888">
        <v>1077.57</v>
      </c>
      <c r="H15888">
        <v>251121</v>
      </c>
      <c r="I15888">
        <v>4580</v>
      </c>
      <c r="J15888" t="s">
        <v>126</v>
      </c>
      <c r="K15888">
        <v>1077.57</v>
      </c>
      <c r="L15888">
        <v>218.95</v>
      </c>
      <c r="M15888">
        <v>56528</v>
      </c>
      <c r="N15888" t="s">
        <v>70</v>
      </c>
      <c r="O15888">
        <v>251215</v>
      </c>
      <c r="P15888">
        <v>858.62</v>
      </c>
    </row>
    <row r="15889" spans="1:16" x14ac:dyDescent="0.25">
      <c r="A15889" t="s">
        <v>3296</v>
      </c>
      <c r="B15889" t="s">
        <v>2931</v>
      </c>
      <c r="C15889">
        <v>604</v>
      </c>
      <c r="D15889" t="str">
        <f>"2501020     "</f>
        <v xml:space="preserve">2501020     </v>
      </c>
      <c r="E15889" t="s">
        <v>607</v>
      </c>
      <c r="F15889" t="s">
        <v>608</v>
      </c>
      <c r="G15889">
        <v>94.35</v>
      </c>
      <c r="H15889">
        <v>250114</v>
      </c>
      <c r="I15889">
        <v>4600</v>
      </c>
      <c r="J15889" t="s">
        <v>278</v>
      </c>
      <c r="K15889">
        <v>94.35</v>
      </c>
      <c r="L15889">
        <v>19.170000000000002</v>
      </c>
      <c r="M15889">
        <v>56528</v>
      </c>
      <c r="N15889" t="s">
        <v>70</v>
      </c>
      <c r="O15889">
        <v>250124</v>
      </c>
      <c r="P15889">
        <v>75.180000000000007</v>
      </c>
    </row>
    <row r="15890" spans="1:16" x14ac:dyDescent="0.25">
      <c r="A15890" t="s">
        <v>3296</v>
      </c>
      <c r="B15890" t="s">
        <v>2931</v>
      </c>
      <c r="C15890">
        <v>3644</v>
      </c>
      <c r="D15890" t="str">
        <f>"2502129     "</f>
        <v xml:space="preserve">2502129     </v>
      </c>
      <c r="E15890" t="s">
        <v>607</v>
      </c>
      <c r="F15890" t="s">
        <v>608</v>
      </c>
      <c r="G15890">
        <v>356</v>
      </c>
      <c r="H15890">
        <v>250313</v>
      </c>
      <c r="I15890">
        <v>4600</v>
      </c>
      <c r="J15890" t="s">
        <v>278</v>
      </c>
      <c r="K15890">
        <v>959</v>
      </c>
      <c r="L15890">
        <v>72.33</v>
      </c>
      <c r="M15890">
        <v>17522</v>
      </c>
      <c r="N15890" t="s">
        <v>137</v>
      </c>
      <c r="O15890">
        <v>250327</v>
      </c>
      <c r="P15890">
        <v>283.67</v>
      </c>
    </row>
    <row r="15891" spans="1:16" x14ac:dyDescent="0.25">
      <c r="A15891" t="s">
        <v>3296</v>
      </c>
      <c r="B15891" t="s">
        <v>2931</v>
      </c>
      <c r="C15891">
        <v>3644</v>
      </c>
      <c r="D15891" t="str">
        <f>"2502129     "</f>
        <v xml:space="preserve">2502129     </v>
      </c>
      <c r="E15891" t="s">
        <v>607</v>
      </c>
      <c r="F15891" t="s">
        <v>608</v>
      </c>
      <c r="G15891">
        <v>603</v>
      </c>
      <c r="H15891">
        <v>250313</v>
      </c>
      <c r="I15891">
        <v>4600</v>
      </c>
      <c r="J15891" t="s">
        <v>278</v>
      </c>
      <c r="K15891">
        <v>959</v>
      </c>
      <c r="L15891">
        <v>122.52</v>
      </c>
      <c r="M15891">
        <v>17633</v>
      </c>
      <c r="N15891" t="s">
        <v>628</v>
      </c>
      <c r="O15891">
        <v>250327</v>
      </c>
      <c r="P15891">
        <v>480.48</v>
      </c>
    </row>
    <row r="15892" spans="1:16" x14ac:dyDescent="0.25">
      <c r="A15892" t="s">
        <v>3296</v>
      </c>
      <c r="B15892" t="s">
        <v>2931</v>
      </c>
      <c r="C15892">
        <v>4444</v>
      </c>
      <c r="D15892" t="str">
        <f>"2502135     "</f>
        <v xml:space="preserve">2502135     </v>
      </c>
      <c r="E15892" t="s">
        <v>607</v>
      </c>
      <c r="F15892" t="s">
        <v>608</v>
      </c>
      <c r="G15892">
        <v>19.13</v>
      </c>
      <c r="H15892">
        <v>250314</v>
      </c>
      <c r="I15892">
        <v>4600</v>
      </c>
      <c r="J15892" t="s">
        <v>278</v>
      </c>
      <c r="K15892">
        <v>1402.65</v>
      </c>
      <c r="L15892">
        <v>3.89</v>
      </c>
      <c r="M15892">
        <v>56528</v>
      </c>
      <c r="N15892" t="s">
        <v>70</v>
      </c>
      <c r="O15892">
        <v>250411</v>
      </c>
      <c r="P15892">
        <v>15.24</v>
      </c>
    </row>
    <row r="15893" spans="1:16" x14ac:dyDescent="0.25">
      <c r="A15893" t="s">
        <v>3296</v>
      </c>
      <c r="B15893" t="s">
        <v>2931</v>
      </c>
      <c r="C15893">
        <v>5093</v>
      </c>
      <c r="D15893" t="str">
        <f>"2502181     "</f>
        <v xml:space="preserve">2502181     </v>
      </c>
      <c r="E15893" t="s">
        <v>607</v>
      </c>
      <c r="F15893" t="s">
        <v>608</v>
      </c>
      <c r="G15893">
        <v>16.91</v>
      </c>
      <c r="H15893">
        <v>250328</v>
      </c>
      <c r="I15893">
        <v>4600</v>
      </c>
      <c r="J15893" t="s">
        <v>278</v>
      </c>
      <c r="K15893">
        <v>16.91</v>
      </c>
      <c r="L15893">
        <v>3.44</v>
      </c>
      <c r="M15893">
        <v>56528</v>
      </c>
      <c r="N15893" t="s">
        <v>70</v>
      </c>
      <c r="O15893">
        <v>250416</v>
      </c>
      <c r="P15893">
        <v>13.47</v>
      </c>
    </row>
    <row r="15894" spans="1:16" x14ac:dyDescent="0.25">
      <c r="A15894" t="s">
        <v>3296</v>
      </c>
      <c r="B15894" t="s">
        <v>2931</v>
      </c>
      <c r="C15894">
        <v>5528</v>
      </c>
      <c r="D15894" t="str">
        <f>"2502194     "</f>
        <v xml:space="preserve">2502194     </v>
      </c>
      <c r="E15894" t="s">
        <v>607</v>
      </c>
      <c r="F15894" t="s">
        <v>608</v>
      </c>
      <c r="G15894">
        <v>30.09</v>
      </c>
      <c r="H15894">
        <v>250402</v>
      </c>
      <c r="I15894">
        <v>4600</v>
      </c>
      <c r="J15894" t="s">
        <v>278</v>
      </c>
      <c r="K15894">
        <v>30.09</v>
      </c>
      <c r="L15894">
        <v>6.11</v>
      </c>
      <c r="M15894">
        <v>56528</v>
      </c>
      <c r="N15894" t="s">
        <v>70</v>
      </c>
      <c r="O15894">
        <v>250425</v>
      </c>
      <c r="P15894">
        <v>23.98</v>
      </c>
    </row>
    <row r="15895" spans="1:16" x14ac:dyDescent="0.25">
      <c r="A15895" t="s">
        <v>3296</v>
      </c>
      <c r="B15895" t="s">
        <v>2931</v>
      </c>
      <c r="C15895">
        <v>6210</v>
      </c>
      <c r="D15895" t="str">
        <f>"2504037     "</f>
        <v xml:space="preserve">2504037     </v>
      </c>
      <c r="E15895" t="s">
        <v>607</v>
      </c>
      <c r="F15895" t="s">
        <v>608</v>
      </c>
      <c r="G15895">
        <v>94.58</v>
      </c>
      <c r="H15895">
        <v>250417</v>
      </c>
      <c r="I15895">
        <v>4600</v>
      </c>
      <c r="J15895" t="s">
        <v>278</v>
      </c>
      <c r="K15895">
        <v>94.58</v>
      </c>
      <c r="L15895">
        <v>19.22</v>
      </c>
      <c r="M15895">
        <v>55255</v>
      </c>
      <c r="N15895" t="s">
        <v>768</v>
      </c>
      <c r="O15895">
        <v>250509</v>
      </c>
      <c r="P15895">
        <v>75.36</v>
      </c>
    </row>
    <row r="15896" spans="1:16" x14ac:dyDescent="0.25">
      <c r="A15896" t="s">
        <v>3296</v>
      </c>
      <c r="B15896" t="s">
        <v>2931</v>
      </c>
      <c r="C15896">
        <v>8567</v>
      </c>
      <c r="D15896" t="str">
        <f>"2505066     "</f>
        <v xml:space="preserve">2505066     </v>
      </c>
      <c r="E15896" t="s">
        <v>607</v>
      </c>
      <c r="F15896" t="s">
        <v>608</v>
      </c>
      <c r="G15896">
        <v>64.52</v>
      </c>
      <c r="H15896">
        <v>250523</v>
      </c>
      <c r="I15896">
        <v>4600</v>
      </c>
      <c r="J15896" t="s">
        <v>278</v>
      </c>
      <c r="K15896">
        <v>64.52</v>
      </c>
      <c r="L15896">
        <v>13.11</v>
      </c>
      <c r="M15896">
        <v>56528</v>
      </c>
      <c r="N15896" t="s">
        <v>70</v>
      </c>
      <c r="O15896">
        <v>250617</v>
      </c>
      <c r="P15896">
        <v>51.41</v>
      </c>
    </row>
    <row r="15897" spans="1:16" x14ac:dyDescent="0.25">
      <c r="A15897" t="s">
        <v>3296</v>
      </c>
      <c r="B15897" t="s">
        <v>2931</v>
      </c>
      <c r="C15897">
        <v>8598</v>
      </c>
      <c r="D15897" t="str">
        <f>"2505077     "</f>
        <v xml:space="preserve">2505077     </v>
      </c>
      <c r="E15897" t="s">
        <v>607</v>
      </c>
      <c r="F15897" t="s">
        <v>608</v>
      </c>
      <c r="G15897">
        <v>48.53</v>
      </c>
      <c r="H15897">
        <v>250527</v>
      </c>
      <c r="I15897">
        <v>4600</v>
      </c>
      <c r="J15897" t="s">
        <v>278</v>
      </c>
      <c r="K15897">
        <v>48.53</v>
      </c>
      <c r="L15897">
        <v>9.86</v>
      </c>
      <c r="M15897">
        <v>56528</v>
      </c>
      <c r="N15897" t="s">
        <v>70</v>
      </c>
      <c r="O15897">
        <v>250617</v>
      </c>
      <c r="P15897">
        <v>38.67</v>
      </c>
    </row>
    <row r="15898" spans="1:16" x14ac:dyDescent="0.25">
      <c r="A15898" t="s">
        <v>3296</v>
      </c>
      <c r="B15898" t="s">
        <v>2931</v>
      </c>
      <c r="C15898">
        <v>13844</v>
      </c>
      <c r="D15898" t="str">
        <f>"2510022     "</f>
        <v xml:space="preserve">2510022     </v>
      </c>
      <c r="E15898" t="s">
        <v>607</v>
      </c>
      <c r="F15898" t="s">
        <v>608</v>
      </c>
      <c r="G15898">
        <v>230.86</v>
      </c>
      <c r="H15898">
        <v>251006</v>
      </c>
      <c r="I15898">
        <v>4600</v>
      </c>
      <c r="J15898" t="s">
        <v>278</v>
      </c>
      <c r="K15898">
        <v>230.86</v>
      </c>
      <c r="L15898">
        <v>46.91</v>
      </c>
      <c r="M15898">
        <v>55255</v>
      </c>
      <c r="N15898" t="s">
        <v>768</v>
      </c>
      <c r="O15898">
        <v>251020</v>
      </c>
      <c r="P15898">
        <v>183.95</v>
      </c>
    </row>
    <row r="15899" spans="1:16" x14ac:dyDescent="0.25">
      <c r="A15899" t="s">
        <v>3296</v>
      </c>
      <c r="B15899" t="s">
        <v>2931</v>
      </c>
      <c r="C15899">
        <v>14236</v>
      </c>
      <c r="D15899" t="str">
        <f>"2510055     "</f>
        <v xml:space="preserve">2510055     </v>
      </c>
      <c r="E15899" t="s">
        <v>607</v>
      </c>
      <c r="F15899" t="s">
        <v>608</v>
      </c>
      <c r="G15899">
        <v>38.04</v>
      </c>
      <c r="H15899">
        <v>251017</v>
      </c>
      <c r="I15899">
        <v>4600</v>
      </c>
      <c r="J15899" t="s">
        <v>278</v>
      </c>
      <c r="K15899">
        <v>38.04</v>
      </c>
      <c r="L15899">
        <v>7.73</v>
      </c>
      <c r="M15899">
        <v>56550</v>
      </c>
      <c r="N15899" t="s">
        <v>1667</v>
      </c>
      <c r="O15899">
        <v>251027</v>
      </c>
      <c r="P15899">
        <v>30.31</v>
      </c>
    </row>
    <row r="15900" spans="1:16" x14ac:dyDescent="0.25">
      <c r="A15900" t="s">
        <v>3296</v>
      </c>
      <c r="B15900" t="s">
        <v>2931</v>
      </c>
      <c r="C15900">
        <v>18322</v>
      </c>
      <c r="D15900" t="str">
        <f>"2512079     "</f>
        <v xml:space="preserve">2512079     </v>
      </c>
      <c r="E15900" t="s">
        <v>607</v>
      </c>
      <c r="F15900" t="s">
        <v>608</v>
      </c>
      <c r="G15900">
        <v>100</v>
      </c>
      <c r="H15900">
        <v>251230</v>
      </c>
      <c r="I15900">
        <v>4600</v>
      </c>
      <c r="J15900" t="s">
        <v>278</v>
      </c>
      <c r="K15900">
        <v>100</v>
      </c>
      <c r="L15900">
        <v>0</v>
      </c>
      <c r="M15900">
        <v>56528</v>
      </c>
      <c r="N15900" t="s">
        <v>70</v>
      </c>
      <c r="O15900">
        <v>260113</v>
      </c>
      <c r="P15900">
        <v>100</v>
      </c>
    </row>
    <row r="15901" spans="1:16" x14ac:dyDescent="0.25">
      <c r="A15901" t="s">
        <v>3296</v>
      </c>
      <c r="B15901" t="s">
        <v>2931</v>
      </c>
      <c r="C15901">
        <v>17922</v>
      </c>
      <c r="D15901" t="str">
        <f>"10085666    "</f>
        <v xml:space="preserve">10085666    </v>
      </c>
      <c r="E15901" t="s">
        <v>2914</v>
      </c>
      <c r="F15901" t="s">
        <v>2899</v>
      </c>
      <c r="G15901">
        <v>659.99</v>
      </c>
      <c r="H15901">
        <v>251223</v>
      </c>
      <c r="I15901">
        <v>4345</v>
      </c>
      <c r="J15901" t="s">
        <v>2901</v>
      </c>
      <c r="K15901">
        <v>10757.04</v>
      </c>
      <c r="L15901">
        <v>0</v>
      </c>
      <c r="M15901">
        <v>54222</v>
      </c>
      <c r="N15901" t="s">
        <v>48</v>
      </c>
      <c r="O15901">
        <v>260107</v>
      </c>
      <c r="P15901">
        <v>659.99</v>
      </c>
    </row>
    <row r="15902" spans="1:16" x14ac:dyDescent="0.25">
      <c r="A15902" t="s">
        <v>3296</v>
      </c>
      <c r="B15902" t="s">
        <v>2931</v>
      </c>
      <c r="C15902">
        <v>17922</v>
      </c>
      <c r="D15902" t="str">
        <f>"10085666    "</f>
        <v xml:space="preserve">10085666    </v>
      </c>
      <c r="E15902" t="s">
        <v>2914</v>
      </c>
      <c r="F15902" t="s">
        <v>2899</v>
      </c>
      <c r="G15902">
        <v>1320</v>
      </c>
      <c r="H15902">
        <v>251223</v>
      </c>
      <c r="I15902">
        <v>4345</v>
      </c>
      <c r="J15902" t="s">
        <v>2901</v>
      </c>
      <c r="K15902">
        <v>10757.04</v>
      </c>
      <c r="L15902">
        <v>0</v>
      </c>
      <c r="M15902">
        <v>56524</v>
      </c>
      <c r="N15902" t="s">
        <v>69</v>
      </c>
      <c r="O15902">
        <v>260107</v>
      </c>
      <c r="P15902">
        <v>1320</v>
      </c>
    </row>
    <row r="15903" spans="1:16" x14ac:dyDescent="0.25">
      <c r="A15903" t="s">
        <v>3296</v>
      </c>
      <c r="B15903" t="s">
        <v>2931</v>
      </c>
      <c r="C15903">
        <v>17922</v>
      </c>
      <c r="D15903" t="str">
        <f>"10085666    "</f>
        <v xml:space="preserve">10085666    </v>
      </c>
      <c r="E15903" t="s">
        <v>2914</v>
      </c>
      <c r="F15903" t="s">
        <v>2899</v>
      </c>
      <c r="G15903">
        <v>5390</v>
      </c>
      <c r="H15903">
        <v>251223</v>
      </c>
      <c r="I15903">
        <v>4345</v>
      </c>
      <c r="J15903" t="s">
        <v>2901</v>
      </c>
      <c r="K15903">
        <v>10757.04</v>
      </c>
      <c r="L15903">
        <v>0</v>
      </c>
      <c r="M15903">
        <v>56560</v>
      </c>
      <c r="N15903" t="s">
        <v>52</v>
      </c>
      <c r="O15903">
        <v>260107</v>
      </c>
      <c r="P15903">
        <v>5390</v>
      </c>
    </row>
    <row r="15904" spans="1:16" x14ac:dyDescent="0.25">
      <c r="A15904" t="s">
        <v>3296</v>
      </c>
      <c r="B15904" t="s">
        <v>2931</v>
      </c>
      <c r="C15904">
        <v>17922</v>
      </c>
      <c r="D15904" t="str">
        <f>"10085666    "</f>
        <v xml:space="preserve">10085666    </v>
      </c>
      <c r="E15904" t="s">
        <v>2914</v>
      </c>
      <c r="F15904" t="s">
        <v>2899</v>
      </c>
      <c r="G15904">
        <v>770</v>
      </c>
      <c r="H15904">
        <v>251223</v>
      </c>
      <c r="I15904">
        <v>4345</v>
      </c>
      <c r="J15904" t="s">
        <v>2901</v>
      </c>
      <c r="K15904">
        <v>10757.04</v>
      </c>
      <c r="L15904">
        <v>0</v>
      </c>
      <c r="M15904">
        <v>56562</v>
      </c>
      <c r="N15904" t="s">
        <v>54</v>
      </c>
      <c r="O15904">
        <v>260107</v>
      </c>
      <c r="P15904">
        <v>770</v>
      </c>
    </row>
    <row r="15905" spans="1:16" x14ac:dyDescent="0.25">
      <c r="A15905" t="s">
        <v>3296</v>
      </c>
      <c r="B15905" t="s">
        <v>2931</v>
      </c>
      <c r="C15905">
        <v>18594</v>
      </c>
      <c r="D15905" t="str">
        <f>"10085977    "</f>
        <v xml:space="preserve">10085977    </v>
      </c>
      <c r="E15905" t="s">
        <v>2914</v>
      </c>
      <c r="F15905" t="s">
        <v>2899</v>
      </c>
      <c r="G15905">
        <v>495</v>
      </c>
      <c r="H15905">
        <v>251231</v>
      </c>
      <c r="I15905">
        <v>4345</v>
      </c>
      <c r="J15905" t="s">
        <v>2901</v>
      </c>
      <c r="K15905">
        <v>7577.05</v>
      </c>
      <c r="L15905">
        <v>0</v>
      </c>
      <c r="M15905">
        <v>54222</v>
      </c>
      <c r="N15905" t="s">
        <v>48</v>
      </c>
      <c r="O15905">
        <v>260119</v>
      </c>
      <c r="P15905">
        <v>495</v>
      </c>
    </row>
    <row r="15906" spans="1:16" x14ac:dyDescent="0.25">
      <c r="A15906" t="s">
        <v>3296</v>
      </c>
      <c r="B15906" t="s">
        <v>2931</v>
      </c>
      <c r="C15906">
        <v>18594</v>
      </c>
      <c r="D15906" t="str">
        <f>"10085977    "</f>
        <v xml:space="preserve">10085977    </v>
      </c>
      <c r="E15906" t="s">
        <v>2914</v>
      </c>
      <c r="F15906" t="s">
        <v>2899</v>
      </c>
      <c r="G15906">
        <v>1100</v>
      </c>
      <c r="H15906">
        <v>251231</v>
      </c>
      <c r="I15906">
        <v>4345</v>
      </c>
      <c r="J15906" t="s">
        <v>2901</v>
      </c>
      <c r="K15906">
        <v>7577.05</v>
      </c>
      <c r="L15906">
        <v>0</v>
      </c>
      <c r="M15906">
        <v>56524</v>
      </c>
      <c r="N15906" t="s">
        <v>69</v>
      </c>
      <c r="O15906">
        <v>260119</v>
      </c>
      <c r="P15906">
        <v>1100</v>
      </c>
    </row>
    <row r="15907" spans="1:16" x14ac:dyDescent="0.25">
      <c r="A15907" t="s">
        <v>3296</v>
      </c>
      <c r="B15907" t="s">
        <v>2931</v>
      </c>
      <c r="C15907">
        <v>18594</v>
      </c>
      <c r="D15907" t="str">
        <f>"10085977    "</f>
        <v xml:space="preserve">10085977    </v>
      </c>
      <c r="E15907" t="s">
        <v>2914</v>
      </c>
      <c r="F15907" t="s">
        <v>2899</v>
      </c>
      <c r="G15907">
        <v>3685</v>
      </c>
      <c r="H15907">
        <v>251231</v>
      </c>
      <c r="I15907">
        <v>4345</v>
      </c>
      <c r="J15907" t="s">
        <v>2901</v>
      </c>
      <c r="K15907">
        <v>7577.05</v>
      </c>
      <c r="L15907">
        <v>0</v>
      </c>
      <c r="M15907">
        <v>56560</v>
      </c>
      <c r="N15907" t="s">
        <v>52</v>
      </c>
      <c r="O15907">
        <v>260119</v>
      </c>
      <c r="P15907">
        <v>3685</v>
      </c>
    </row>
    <row r="15908" spans="1:16" x14ac:dyDescent="0.25">
      <c r="A15908" t="s">
        <v>3296</v>
      </c>
      <c r="B15908" t="s">
        <v>2931</v>
      </c>
      <c r="C15908">
        <v>18594</v>
      </c>
      <c r="D15908" t="str">
        <f>"10085977    "</f>
        <v xml:space="preserve">10085977    </v>
      </c>
      <c r="E15908" t="s">
        <v>2914</v>
      </c>
      <c r="F15908" t="s">
        <v>2899</v>
      </c>
      <c r="G15908">
        <v>605</v>
      </c>
      <c r="H15908">
        <v>251231</v>
      </c>
      <c r="I15908">
        <v>4345</v>
      </c>
      <c r="J15908" t="s">
        <v>2901</v>
      </c>
      <c r="K15908">
        <v>7577.05</v>
      </c>
      <c r="L15908">
        <v>0</v>
      </c>
      <c r="M15908">
        <v>56562</v>
      </c>
      <c r="N15908" t="s">
        <v>54</v>
      </c>
      <c r="O15908">
        <v>260119</v>
      </c>
      <c r="P15908">
        <v>605</v>
      </c>
    </row>
    <row r="15909" spans="1:16" x14ac:dyDescent="0.25">
      <c r="A15909" t="s">
        <v>3296</v>
      </c>
      <c r="B15909" t="s">
        <v>2931</v>
      </c>
      <c r="C15909">
        <v>6277</v>
      </c>
      <c r="D15909" t="str">
        <f>"10083856    "</f>
        <v xml:space="preserve">10083856    </v>
      </c>
      <c r="E15909" t="s">
        <v>2914</v>
      </c>
      <c r="F15909" t="s">
        <v>2899</v>
      </c>
      <c r="G15909">
        <v>60</v>
      </c>
      <c r="H15909">
        <v>250430</v>
      </c>
      <c r="I15909">
        <v>4440</v>
      </c>
      <c r="J15909" t="s">
        <v>346</v>
      </c>
      <c r="K15909">
        <v>620</v>
      </c>
      <c r="L15909">
        <v>0</v>
      </c>
      <c r="M15909">
        <v>54222</v>
      </c>
      <c r="N15909" t="s">
        <v>48</v>
      </c>
      <c r="O15909">
        <v>250512</v>
      </c>
      <c r="P15909">
        <v>60</v>
      </c>
    </row>
    <row r="15910" spans="1:16" x14ac:dyDescent="0.25">
      <c r="A15910" t="s">
        <v>3296</v>
      </c>
      <c r="B15910" t="s">
        <v>2931</v>
      </c>
      <c r="C15910">
        <v>6277</v>
      </c>
      <c r="D15910" t="str">
        <f>"10083856    "</f>
        <v xml:space="preserve">10083856    </v>
      </c>
      <c r="E15910" t="s">
        <v>2914</v>
      </c>
      <c r="F15910" t="s">
        <v>2899</v>
      </c>
      <c r="G15910">
        <v>60</v>
      </c>
      <c r="H15910">
        <v>250430</v>
      </c>
      <c r="I15910">
        <v>4440</v>
      </c>
      <c r="J15910" t="s">
        <v>346</v>
      </c>
      <c r="K15910">
        <v>620</v>
      </c>
      <c r="L15910">
        <v>0</v>
      </c>
      <c r="M15910">
        <v>54422</v>
      </c>
      <c r="N15910" t="s">
        <v>49</v>
      </c>
      <c r="O15910">
        <v>250512</v>
      </c>
      <c r="P15910">
        <v>60</v>
      </c>
    </row>
    <row r="15911" spans="1:16" x14ac:dyDescent="0.25">
      <c r="A15911" t="s">
        <v>3296</v>
      </c>
      <c r="B15911" t="s">
        <v>2931</v>
      </c>
      <c r="C15911">
        <v>6277</v>
      </c>
      <c r="D15911" t="str">
        <f>"10083856    "</f>
        <v xml:space="preserve">10083856    </v>
      </c>
      <c r="E15911" t="s">
        <v>2914</v>
      </c>
      <c r="F15911" t="s">
        <v>2899</v>
      </c>
      <c r="G15911">
        <v>340</v>
      </c>
      <c r="H15911">
        <v>250430</v>
      </c>
      <c r="I15911">
        <v>4440</v>
      </c>
      <c r="J15911" t="s">
        <v>346</v>
      </c>
      <c r="K15911">
        <v>620</v>
      </c>
      <c r="L15911">
        <v>0</v>
      </c>
      <c r="M15911">
        <v>56558</v>
      </c>
      <c r="N15911" t="s">
        <v>50</v>
      </c>
      <c r="O15911">
        <v>250512</v>
      </c>
      <c r="P15911">
        <v>340</v>
      </c>
    </row>
    <row r="15912" spans="1:16" x14ac:dyDescent="0.25">
      <c r="A15912" t="s">
        <v>3296</v>
      </c>
      <c r="B15912" t="s">
        <v>2931</v>
      </c>
      <c r="C15912">
        <v>6277</v>
      </c>
      <c r="D15912" t="str">
        <f>"10083856    "</f>
        <v xml:space="preserve">10083856    </v>
      </c>
      <c r="E15912" t="s">
        <v>2914</v>
      </c>
      <c r="F15912" t="s">
        <v>2899</v>
      </c>
      <c r="G15912">
        <v>160</v>
      </c>
      <c r="H15912">
        <v>250430</v>
      </c>
      <c r="I15912">
        <v>4440</v>
      </c>
      <c r="J15912" t="s">
        <v>346</v>
      </c>
      <c r="K15912">
        <v>620</v>
      </c>
      <c r="L15912">
        <v>0</v>
      </c>
      <c r="M15912">
        <v>58601</v>
      </c>
      <c r="N15912" t="s">
        <v>59</v>
      </c>
      <c r="O15912">
        <v>250512</v>
      </c>
      <c r="P15912">
        <v>160</v>
      </c>
    </row>
    <row r="15913" spans="1:16" x14ac:dyDescent="0.25">
      <c r="A15913" t="s">
        <v>3296</v>
      </c>
      <c r="B15913" t="s">
        <v>2931</v>
      </c>
      <c r="C15913">
        <v>8068</v>
      </c>
      <c r="D15913" t="str">
        <f>"10084080    "</f>
        <v xml:space="preserve">10084080    </v>
      </c>
      <c r="E15913" t="s">
        <v>2914</v>
      </c>
      <c r="F15913" t="s">
        <v>2899</v>
      </c>
      <c r="G15913">
        <v>300</v>
      </c>
      <c r="H15913">
        <v>250530</v>
      </c>
      <c r="I15913">
        <v>4440</v>
      </c>
      <c r="J15913" t="s">
        <v>346</v>
      </c>
      <c r="K15913">
        <v>1200</v>
      </c>
      <c r="L15913">
        <v>0</v>
      </c>
      <c r="M15913">
        <v>54222</v>
      </c>
      <c r="N15913" t="s">
        <v>48</v>
      </c>
      <c r="O15913">
        <v>250611</v>
      </c>
      <c r="P15913">
        <v>300</v>
      </c>
    </row>
    <row r="15914" spans="1:16" x14ac:dyDescent="0.25">
      <c r="A15914" t="s">
        <v>3296</v>
      </c>
      <c r="B15914" t="s">
        <v>2931</v>
      </c>
      <c r="C15914">
        <v>8068</v>
      </c>
      <c r="D15914" t="str">
        <f>"10084080    "</f>
        <v xml:space="preserve">10084080    </v>
      </c>
      <c r="E15914" t="s">
        <v>2914</v>
      </c>
      <c r="F15914" t="s">
        <v>2899</v>
      </c>
      <c r="G15914">
        <v>300</v>
      </c>
      <c r="H15914">
        <v>250530</v>
      </c>
      <c r="I15914">
        <v>4440</v>
      </c>
      <c r="J15914" t="s">
        <v>346</v>
      </c>
      <c r="K15914">
        <v>1200</v>
      </c>
      <c r="L15914">
        <v>0</v>
      </c>
      <c r="M15914">
        <v>54422</v>
      </c>
      <c r="N15914" t="s">
        <v>49</v>
      </c>
      <c r="O15914">
        <v>250611</v>
      </c>
      <c r="P15914">
        <v>300</v>
      </c>
    </row>
    <row r="15915" spans="1:16" x14ac:dyDescent="0.25">
      <c r="A15915" t="s">
        <v>3296</v>
      </c>
      <c r="B15915" t="s">
        <v>2931</v>
      </c>
      <c r="C15915">
        <v>8068</v>
      </c>
      <c r="D15915" t="str">
        <f>"10084080    "</f>
        <v xml:space="preserve">10084080    </v>
      </c>
      <c r="E15915" t="s">
        <v>2914</v>
      </c>
      <c r="F15915" t="s">
        <v>2899</v>
      </c>
      <c r="G15915">
        <v>300</v>
      </c>
      <c r="H15915">
        <v>250530</v>
      </c>
      <c r="I15915">
        <v>4440</v>
      </c>
      <c r="J15915" t="s">
        <v>346</v>
      </c>
      <c r="K15915">
        <v>1200</v>
      </c>
      <c r="L15915">
        <v>0</v>
      </c>
      <c r="M15915">
        <v>56558</v>
      </c>
      <c r="N15915" t="s">
        <v>50</v>
      </c>
      <c r="O15915">
        <v>250611</v>
      </c>
      <c r="P15915">
        <v>300</v>
      </c>
    </row>
    <row r="15916" spans="1:16" x14ac:dyDescent="0.25">
      <c r="A15916" t="s">
        <v>3296</v>
      </c>
      <c r="B15916" t="s">
        <v>2931</v>
      </c>
      <c r="C15916">
        <v>8068</v>
      </c>
      <c r="D15916" t="str">
        <f>"10084080    "</f>
        <v xml:space="preserve">10084080    </v>
      </c>
      <c r="E15916" t="s">
        <v>2914</v>
      </c>
      <c r="F15916" t="s">
        <v>2899</v>
      </c>
      <c r="G15916">
        <v>300</v>
      </c>
      <c r="H15916">
        <v>250530</v>
      </c>
      <c r="I15916">
        <v>4440</v>
      </c>
      <c r="J15916" t="s">
        <v>346</v>
      </c>
      <c r="K15916">
        <v>1200</v>
      </c>
      <c r="L15916">
        <v>0</v>
      </c>
      <c r="M15916">
        <v>58601</v>
      </c>
      <c r="N15916" t="s">
        <v>59</v>
      </c>
      <c r="O15916">
        <v>250611</v>
      </c>
      <c r="P15916">
        <v>300</v>
      </c>
    </row>
    <row r="15917" spans="1:16" x14ac:dyDescent="0.25">
      <c r="A15917" t="s">
        <v>3296</v>
      </c>
      <c r="B15917" t="s">
        <v>2931</v>
      </c>
      <c r="C15917">
        <v>13176</v>
      </c>
      <c r="D15917" t="str">
        <f>"10084972    "</f>
        <v xml:space="preserve">10084972    </v>
      </c>
      <c r="E15917" t="s">
        <v>2914</v>
      </c>
      <c r="F15917" t="s">
        <v>2899</v>
      </c>
      <c r="G15917">
        <v>180</v>
      </c>
      <c r="H15917">
        <v>251003</v>
      </c>
      <c r="I15917">
        <v>4440</v>
      </c>
      <c r="J15917" t="s">
        <v>346</v>
      </c>
      <c r="K15917">
        <v>280</v>
      </c>
      <c r="L15917">
        <v>0</v>
      </c>
      <c r="M15917">
        <v>54422</v>
      </c>
      <c r="N15917" t="s">
        <v>49</v>
      </c>
      <c r="O15917">
        <v>251006</v>
      </c>
      <c r="P15917">
        <v>180</v>
      </c>
    </row>
    <row r="15918" spans="1:16" x14ac:dyDescent="0.25">
      <c r="A15918" t="s">
        <v>3296</v>
      </c>
      <c r="B15918" t="s">
        <v>2931</v>
      </c>
      <c r="C15918">
        <v>13176</v>
      </c>
      <c r="D15918" t="str">
        <f>"10084972    "</f>
        <v xml:space="preserve">10084972    </v>
      </c>
      <c r="E15918" t="s">
        <v>2914</v>
      </c>
      <c r="F15918" t="s">
        <v>2899</v>
      </c>
      <c r="G15918">
        <v>100</v>
      </c>
      <c r="H15918">
        <v>251003</v>
      </c>
      <c r="I15918">
        <v>4440</v>
      </c>
      <c r="J15918" t="s">
        <v>346</v>
      </c>
      <c r="K15918">
        <v>280</v>
      </c>
      <c r="L15918">
        <v>0</v>
      </c>
      <c r="M15918">
        <v>56558</v>
      </c>
      <c r="N15918" t="s">
        <v>50</v>
      </c>
      <c r="O15918">
        <v>251006</v>
      </c>
      <c r="P15918">
        <v>100</v>
      </c>
    </row>
    <row r="15919" spans="1:16" x14ac:dyDescent="0.25">
      <c r="A15919" t="s">
        <v>3296</v>
      </c>
      <c r="B15919" t="s">
        <v>2931</v>
      </c>
      <c r="C15919">
        <v>15344</v>
      </c>
      <c r="D15919" t="str">
        <f>"10085324    "</f>
        <v xml:space="preserve">10085324    </v>
      </c>
      <c r="E15919" t="s">
        <v>2914</v>
      </c>
      <c r="F15919" t="s">
        <v>2899</v>
      </c>
      <c r="G15919">
        <v>280</v>
      </c>
      <c r="H15919">
        <v>251030</v>
      </c>
      <c r="I15919">
        <v>4440</v>
      </c>
      <c r="J15919" t="s">
        <v>346</v>
      </c>
      <c r="K15919">
        <v>560</v>
      </c>
      <c r="L15919">
        <v>0</v>
      </c>
      <c r="M15919">
        <v>54422</v>
      </c>
      <c r="N15919" t="s">
        <v>49</v>
      </c>
      <c r="O15919">
        <v>251119</v>
      </c>
      <c r="P15919">
        <v>280</v>
      </c>
    </row>
    <row r="15920" spans="1:16" x14ac:dyDescent="0.25">
      <c r="A15920" t="s">
        <v>3296</v>
      </c>
      <c r="B15920" t="s">
        <v>2931</v>
      </c>
      <c r="C15920">
        <v>15344</v>
      </c>
      <c r="D15920" t="str">
        <f>"10085324    "</f>
        <v xml:space="preserve">10085324    </v>
      </c>
      <c r="E15920" t="s">
        <v>2914</v>
      </c>
      <c r="F15920" t="s">
        <v>2899</v>
      </c>
      <c r="G15920">
        <v>280</v>
      </c>
      <c r="H15920">
        <v>251030</v>
      </c>
      <c r="I15920">
        <v>4440</v>
      </c>
      <c r="J15920" t="s">
        <v>346</v>
      </c>
      <c r="K15920">
        <v>560</v>
      </c>
      <c r="L15920">
        <v>0</v>
      </c>
      <c r="M15920">
        <v>56558</v>
      </c>
      <c r="N15920" t="s">
        <v>50</v>
      </c>
      <c r="O15920">
        <v>251119</v>
      </c>
      <c r="P15920">
        <v>280</v>
      </c>
    </row>
    <row r="15921" spans="1:16" x14ac:dyDescent="0.25">
      <c r="A15921" t="s">
        <v>3296</v>
      </c>
      <c r="B15921" t="s">
        <v>2931</v>
      </c>
      <c r="C15921">
        <v>16368</v>
      </c>
      <c r="D15921" t="str">
        <f>"10085540    "</f>
        <v xml:space="preserve">10085540    </v>
      </c>
      <c r="E15921" t="s">
        <v>2914</v>
      </c>
      <c r="F15921" t="s">
        <v>2899</v>
      </c>
      <c r="G15921">
        <v>320</v>
      </c>
      <c r="H15921">
        <v>251204</v>
      </c>
      <c r="I15921">
        <v>4440</v>
      </c>
      <c r="J15921" t="s">
        <v>346</v>
      </c>
      <c r="K15921">
        <v>640</v>
      </c>
      <c r="L15921">
        <v>0</v>
      </c>
      <c r="M15921">
        <v>54422</v>
      </c>
      <c r="N15921" t="s">
        <v>49</v>
      </c>
      <c r="O15921">
        <v>251208</v>
      </c>
      <c r="P15921">
        <v>320</v>
      </c>
    </row>
    <row r="15922" spans="1:16" x14ac:dyDescent="0.25">
      <c r="A15922" t="s">
        <v>3296</v>
      </c>
      <c r="B15922" t="s">
        <v>2931</v>
      </c>
      <c r="C15922">
        <v>16368</v>
      </c>
      <c r="D15922" t="str">
        <f>"10085540    "</f>
        <v xml:space="preserve">10085540    </v>
      </c>
      <c r="E15922" t="s">
        <v>2914</v>
      </c>
      <c r="F15922" t="s">
        <v>2899</v>
      </c>
      <c r="G15922">
        <v>320</v>
      </c>
      <c r="H15922">
        <v>251204</v>
      </c>
      <c r="I15922">
        <v>4440</v>
      </c>
      <c r="J15922" t="s">
        <v>346</v>
      </c>
      <c r="K15922">
        <v>640</v>
      </c>
      <c r="L15922">
        <v>0</v>
      </c>
      <c r="M15922">
        <v>56558</v>
      </c>
      <c r="N15922" t="s">
        <v>50</v>
      </c>
      <c r="O15922">
        <v>251208</v>
      </c>
      <c r="P15922">
        <v>320</v>
      </c>
    </row>
    <row r="15923" spans="1:16" x14ac:dyDescent="0.25">
      <c r="A15923" t="s">
        <v>3296</v>
      </c>
      <c r="B15923" t="s">
        <v>2931</v>
      </c>
      <c r="C15923">
        <v>3271</v>
      </c>
      <c r="D15923" t="str">
        <f>"10082766    "</f>
        <v xml:space="preserve">10082766    </v>
      </c>
      <c r="E15923" t="s">
        <v>2914</v>
      </c>
      <c r="F15923" t="s">
        <v>2899</v>
      </c>
      <c r="G15923">
        <v>150</v>
      </c>
      <c r="H15923">
        <v>250305</v>
      </c>
      <c r="I15923">
        <v>4470</v>
      </c>
      <c r="J15923" t="s">
        <v>203</v>
      </c>
      <c r="K15923">
        <v>150</v>
      </c>
      <c r="L15923">
        <v>0</v>
      </c>
      <c r="M15923">
        <v>17972</v>
      </c>
      <c r="N15923" t="s">
        <v>28</v>
      </c>
      <c r="O15923">
        <v>250318</v>
      </c>
      <c r="P15923">
        <v>150</v>
      </c>
    </row>
    <row r="15924" spans="1:16" x14ac:dyDescent="0.25">
      <c r="A15924" t="s">
        <v>3296</v>
      </c>
      <c r="B15924" t="s">
        <v>2931</v>
      </c>
      <c r="C15924">
        <v>3297</v>
      </c>
      <c r="D15924" t="str">
        <f>"10082826    "</f>
        <v xml:space="preserve">10082826    </v>
      </c>
      <c r="E15924" t="s">
        <v>2914</v>
      </c>
      <c r="F15924" t="s">
        <v>2899</v>
      </c>
      <c r="G15924">
        <v>16.5</v>
      </c>
      <c r="H15924">
        <v>250306</v>
      </c>
      <c r="I15924">
        <v>4470</v>
      </c>
      <c r="J15924" t="s">
        <v>203</v>
      </c>
      <c r="K15924">
        <v>150</v>
      </c>
      <c r="L15924">
        <v>0</v>
      </c>
      <c r="M15924">
        <v>13561</v>
      </c>
      <c r="N15924" t="s">
        <v>241</v>
      </c>
      <c r="O15924">
        <v>250318</v>
      </c>
      <c r="P15924">
        <v>16.5</v>
      </c>
    </row>
    <row r="15925" spans="1:16" x14ac:dyDescent="0.25">
      <c r="A15925" t="s">
        <v>3296</v>
      </c>
      <c r="B15925" t="s">
        <v>2931</v>
      </c>
      <c r="C15925">
        <v>3297</v>
      </c>
      <c r="D15925" t="str">
        <f>"10082826    "</f>
        <v xml:space="preserve">10082826    </v>
      </c>
      <c r="E15925" t="s">
        <v>2914</v>
      </c>
      <c r="F15925" t="s">
        <v>2899</v>
      </c>
      <c r="G15925">
        <v>133.5</v>
      </c>
      <c r="H15925">
        <v>250306</v>
      </c>
      <c r="I15925">
        <v>4470</v>
      </c>
      <c r="J15925" t="s">
        <v>203</v>
      </c>
      <c r="K15925">
        <v>150</v>
      </c>
      <c r="L15925">
        <v>0</v>
      </c>
      <c r="M15925">
        <v>17972</v>
      </c>
      <c r="N15925" t="s">
        <v>28</v>
      </c>
      <c r="O15925">
        <v>250318</v>
      </c>
      <c r="P15925">
        <v>133.5</v>
      </c>
    </row>
    <row r="15926" spans="1:16" x14ac:dyDescent="0.25">
      <c r="A15926" t="s">
        <v>3296</v>
      </c>
      <c r="B15926" t="s">
        <v>2931</v>
      </c>
      <c r="C15926">
        <v>3409</v>
      </c>
      <c r="D15926" t="str">
        <f>"10082848    "</f>
        <v xml:space="preserve">10082848    </v>
      </c>
      <c r="E15926" t="s">
        <v>2914</v>
      </c>
      <c r="F15926" t="s">
        <v>2899</v>
      </c>
      <c r="G15926">
        <v>300</v>
      </c>
      <c r="H15926">
        <v>250306</v>
      </c>
      <c r="I15926">
        <v>4470</v>
      </c>
      <c r="J15926" t="s">
        <v>203</v>
      </c>
      <c r="K15926">
        <v>300</v>
      </c>
      <c r="L15926">
        <v>60.96</v>
      </c>
      <c r="M15926">
        <v>59114</v>
      </c>
      <c r="N15926" t="s">
        <v>299</v>
      </c>
      <c r="O15926">
        <v>250320</v>
      </c>
      <c r="P15926">
        <v>239.04</v>
      </c>
    </row>
    <row r="15927" spans="1:16" x14ac:dyDescent="0.25">
      <c r="A15927" t="s">
        <v>3296</v>
      </c>
      <c r="B15927" t="s">
        <v>2931</v>
      </c>
      <c r="C15927">
        <v>3520</v>
      </c>
      <c r="D15927" t="str">
        <f>"10083077    "</f>
        <v xml:space="preserve">10083077    </v>
      </c>
      <c r="E15927" t="s">
        <v>2914</v>
      </c>
      <c r="F15927" t="s">
        <v>2899</v>
      </c>
      <c r="G15927">
        <v>150</v>
      </c>
      <c r="H15927">
        <v>250311</v>
      </c>
      <c r="I15927">
        <v>4470</v>
      </c>
      <c r="J15927" t="s">
        <v>203</v>
      </c>
      <c r="K15927">
        <v>150</v>
      </c>
      <c r="L15927">
        <v>0</v>
      </c>
      <c r="M15927">
        <v>59505</v>
      </c>
      <c r="N15927" t="s">
        <v>194</v>
      </c>
      <c r="O15927">
        <v>250325</v>
      </c>
      <c r="P15927">
        <v>150</v>
      </c>
    </row>
    <row r="15928" spans="1:16" x14ac:dyDescent="0.25">
      <c r="A15928" t="s">
        <v>3296</v>
      </c>
      <c r="B15928" t="s">
        <v>2931</v>
      </c>
      <c r="C15928">
        <v>3528</v>
      </c>
      <c r="D15928" t="str">
        <f>"10083102    "</f>
        <v xml:space="preserve">10083102    </v>
      </c>
      <c r="E15928" t="s">
        <v>2914</v>
      </c>
      <c r="F15928" t="s">
        <v>2899</v>
      </c>
      <c r="G15928">
        <v>150</v>
      </c>
      <c r="H15928">
        <v>250311</v>
      </c>
      <c r="I15928">
        <v>4470</v>
      </c>
      <c r="J15928" t="s">
        <v>203</v>
      </c>
      <c r="K15928">
        <v>300</v>
      </c>
      <c r="L15928">
        <v>0</v>
      </c>
      <c r="M15928">
        <v>54451</v>
      </c>
      <c r="N15928" t="s">
        <v>218</v>
      </c>
      <c r="O15928">
        <v>250325</v>
      </c>
      <c r="P15928">
        <v>150</v>
      </c>
    </row>
    <row r="15929" spans="1:16" x14ac:dyDescent="0.25">
      <c r="A15929" t="s">
        <v>3296</v>
      </c>
      <c r="B15929" t="s">
        <v>2931</v>
      </c>
      <c r="C15929">
        <v>3528</v>
      </c>
      <c r="D15929" t="str">
        <f>"10083102    "</f>
        <v xml:space="preserve">10083102    </v>
      </c>
      <c r="E15929" t="s">
        <v>2914</v>
      </c>
      <c r="F15929" t="s">
        <v>2899</v>
      </c>
      <c r="G15929">
        <v>150</v>
      </c>
      <c r="H15929">
        <v>250311</v>
      </c>
      <c r="I15929">
        <v>4470</v>
      </c>
      <c r="J15929" t="s">
        <v>203</v>
      </c>
      <c r="K15929">
        <v>300</v>
      </c>
      <c r="L15929">
        <v>0</v>
      </c>
      <c r="M15929">
        <v>59113</v>
      </c>
      <c r="N15929" t="s">
        <v>61</v>
      </c>
      <c r="O15929">
        <v>250325</v>
      </c>
      <c r="P15929">
        <v>150</v>
      </c>
    </row>
    <row r="15930" spans="1:16" x14ac:dyDescent="0.25">
      <c r="A15930" t="s">
        <v>3296</v>
      </c>
      <c r="B15930" t="s">
        <v>2931</v>
      </c>
      <c r="C15930">
        <v>15153</v>
      </c>
      <c r="D15930" t="str">
        <f>"10085203    "</f>
        <v xml:space="preserve">10085203    </v>
      </c>
      <c r="E15930" t="s">
        <v>2914</v>
      </c>
      <c r="F15930" t="s">
        <v>2899</v>
      </c>
      <c r="G15930">
        <v>340</v>
      </c>
      <c r="H15930">
        <v>251024</v>
      </c>
      <c r="I15930">
        <v>4470</v>
      </c>
      <c r="J15930" t="s">
        <v>203</v>
      </c>
      <c r="K15930">
        <v>340</v>
      </c>
      <c r="L15930">
        <v>0</v>
      </c>
      <c r="M15930">
        <v>59505</v>
      </c>
      <c r="N15930" t="s">
        <v>194</v>
      </c>
      <c r="O15930">
        <v>251113</v>
      </c>
      <c r="P15930">
        <v>340</v>
      </c>
    </row>
    <row r="15931" spans="1:16" x14ac:dyDescent="0.25">
      <c r="A15931" t="s">
        <v>3296</v>
      </c>
      <c r="B15931" t="s">
        <v>2931</v>
      </c>
      <c r="C15931">
        <v>15814</v>
      </c>
      <c r="D15931" t="str">
        <f>"10085419    "</f>
        <v xml:space="preserve">10085419    </v>
      </c>
      <c r="E15931" t="s">
        <v>2914</v>
      </c>
      <c r="F15931" t="s">
        <v>2899</v>
      </c>
      <c r="G15931">
        <v>270</v>
      </c>
      <c r="H15931">
        <v>251121</v>
      </c>
      <c r="I15931">
        <v>4470</v>
      </c>
      <c r="J15931" t="s">
        <v>203</v>
      </c>
      <c r="K15931">
        <v>270</v>
      </c>
      <c r="L15931">
        <v>0</v>
      </c>
      <c r="M15931">
        <v>54451</v>
      </c>
      <c r="N15931" t="s">
        <v>218</v>
      </c>
      <c r="O15931">
        <v>251127</v>
      </c>
      <c r="P15931">
        <v>270</v>
      </c>
    </row>
    <row r="15932" spans="1:16" x14ac:dyDescent="0.25">
      <c r="A15932" t="s">
        <v>3296</v>
      </c>
      <c r="B15932" t="s">
        <v>2931</v>
      </c>
      <c r="C15932">
        <v>17922</v>
      </c>
      <c r="D15932" t="str">
        <f>"10085666    "</f>
        <v xml:space="preserve">10085666    </v>
      </c>
      <c r="E15932" t="s">
        <v>2914</v>
      </c>
      <c r="F15932" t="s">
        <v>2899</v>
      </c>
      <c r="G15932">
        <v>175.02</v>
      </c>
      <c r="H15932">
        <v>251223</v>
      </c>
      <c r="I15932">
        <v>4510</v>
      </c>
      <c r="J15932" t="s">
        <v>240</v>
      </c>
      <c r="K15932">
        <v>10757.04</v>
      </c>
      <c r="L15932">
        <v>15.91</v>
      </c>
      <c r="M15932">
        <v>54222</v>
      </c>
      <c r="N15932" t="s">
        <v>48</v>
      </c>
      <c r="O15932">
        <v>260107</v>
      </c>
      <c r="P15932">
        <v>159.11000000000001</v>
      </c>
    </row>
    <row r="15933" spans="1:16" x14ac:dyDescent="0.25">
      <c r="A15933" t="s">
        <v>3296</v>
      </c>
      <c r="B15933" t="s">
        <v>2931</v>
      </c>
      <c r="C15933">
        <v>17922</v>
      </c>
      <c r="D15933" t="str">
        <f>"10085666    "</f>
        <v xml:space="preserve">10085666    </v>
      </c>
      <c r="E15933" t="s">
        <v>2914</v>
      </c>
      <c r="F15933" t="s">
        <v>2899</v>
      </c>
      <c r="G15933">
        <v>279.39999999999998</v>
      </c>
      <c r="H15933">
        <v>251223</v>
      </c>
      <c r="I15933">
        <v>4510</v>
      </c>
      <c r="J15933" t="s">
        <v>240</v>
      </c>
      <c r="K15933">
        <v>10757.04</v>
      </c>
      <c r="L15933">
        <v>25.4</v>
      </c>
      <c r="M15933">
        <v>56524</v>
      </c>
      <c r="N15933" t="s">
        <v>69</v>
      </c>
      <c r="O15933">
        <v>260107</v>
      </c>
      <c r="P15933">
        <v>254</v>
      </c>
    </row>
    <row r="15934" spans="1:16" x14ac:dyDescent="0.25">
      <c r="A15934" t="s">
        <v>3296</v>
      </c>
      <c r="B15934" t="s">
        <v>2931</v>
      </c>
      <c r="C15934">
        <v>17922</v>
      </c>
      <c r="D15934" t="str">
        <f>"10085666    "</f>
        <v xml:space="preserve">10085666    </v>
      </c>
      <c r="E15934" t="s">
        <v>2914</v>
      </c>
      <c r="F15934" t="s">
        <v>2899</v>
      </c>
      <c r="G15934">
        <v>508.21</v>
      </c>
      <c r="H15934">
        <v>251223</v>
      </c>
      <c r="I15934">
        <v>4510</v>
      </c>
      <c r="J15934" t="s">
        <v>240</v>
      </c>
      <c r="K15934">
        <v>10757.04</v>
      </c>
      <c r="L15934">
        <v>46.2</v>
      </c>
      <c r="M15934">
        <v>56560</v>
      </c>
      <c r="N15934" t="s">
        <v>52</v>
      </c>
      <c r="O15934">
        <v>260107</v>
      </c>
      <c r="P15934">
        <v>462.01</v>
      </c>
    </row>
    <row r="15935" spans="1:16" x14ac:dyDescent="0.25">
      <c r="A15935" t="s">
        <v>3296</v>
      </c>
      <c r="B15935" t="s">
        <v>2931</v>
      </c>
      <c r="C15935">
        <v>17922</v>
      </c>
      <c r="D15935" t="str">
        <f>"10085666    "</f>
        <v xml:space="preserve">10085666    </v>
      </c>
      <c r="E15935" t="s">
        <v>2914</v>
      </c>
      <c r="F15935" t="s">
        <v>2899</v>
      </c>
      <c r="G15935">
        <v>175.02</v>
      </c>
      <c r="H15935">
        <v>251223</v>
      </c>
      <c r="I15935">
        <v>4510</v>
      </c>
      <c r="J15935" t="s">
        <v>240</v>
      </c>
      <c r="K15935">
        <v>10757.04</v>
      </c>
      <c r="L15935">
        <v>15.91</v>
      </c>
      <c r="M15935">
        <v>56562</v>
      </c>
      <c r="N15935" t="s">
        <v>54</v>
      </c>
      <c r="O15935">
        <v>260107</v>
      </c>
      <c r="P15935">
        <v>159.11000000000001</v>
      </c>
    </row>
    <row r="15936" spans="1:16" x14ac:dyDescent="0.25">
      <c r="A15936" t="s">
        <v>3296</v>
      </c>
      <c r="B15936" t="s">
        <v>2931</v>
      </c>
      <c r="C15936">
        <v>18594</v>
      </c>
      <c r="D15936" t="str">
        <f>"10085977    "</f>
        <v xml:space="preserve">10085977    </v>
      </c>
      <c r="E15936" t="s">
        <v>2914</v>
      </c>
      <c r="F15936" t="s">
        <v>2899</v>
      </c>
      <c r="G15936">
        <v>77.78</v>
      </c>
      <c r="H15936">
        <v>251231</v>
      </c>
      <c r="I15936">
        <v>4510</v>
      </c>
      <c r="J15936" t="s">
        <v>240</v>
      </c>
      <c r="K15936">
        <v>7577.05</v>
      </c>
      <c r="L15936">
        <v>7.07</v>
      </c>
      <c r="M15936">
        <v>54222</v>
      </c>
      <c r="N15936" t="s">
        <v>48</v>
      </c>
      <c r="O15936">
        <v>260119</v>
      </c>
      <c r="P15936">
        <v>70.709999999999994</v>
      </c>
    </row>
    <row r="15937" spans="1:16" x14ac:dyDescent="0.25">
      <c r="A15937" t="s">
        <v>3296</v>
      </c>
      <c r="B15937" t="s">
        <v>2931</v>
      </c>
      <c r="C15937">
        <v>18594</v>
      </c>
      <c r="D15937" t="str">
        <f>"10085977    "</f>
        <v xml:space="preserve">10085977    </v>
      </c>
      <c r="E15937" t="s">
        <v>2914</v>
      </c>
      <c r="F15937" t="s">
        <v>2899</v>
      </c>
      <c r="G15937">
        <v>97.46</v>
      </c>
      <c r="H15937">
        <v>251231</v>
      </c>
      <c r="I15937">
        <v>4510</v>
      </c>
      <c r="J15937" t="s">
        <v>240</v>
      </c>
      <c r="K15937">
        <v>7577.05</v>
      </c>
      <c r="L15937">
        <v>8.86</v>
      </c>
      <c r="M15937">
        <v>56524</v>
      </c>
      <c r="N15937" t="s">
        <v>69</v>
      </c>
      <c r="O15937">
        <v>260119</v>
      </c>
      <c r="P15937">
        <v>88.6</v>
      </c>
    </row>
    <row r="15938" spans="1:16" x14ac:dyDescent="0.25">
      <c r="A15938" t="s">
        <v>3296</v>
      </c>
      <c r="B15938" t="s">
        <v>2931</v>
      </c>
      <c r="C15938">
        <v>18594</v>
      </c>
      <c r="D15938" t="str">
        <f>"10085977    "</f>
        <v xml:space="preserve">10085977    </v>
      </c>
      <c r="E15938" t="s">
        <v>2914</v>
      </c>
      <c r="F15938" t="s">
        <v>2899</v>
      </c>
      <c r="G15938">
        <v>402.74</v>
      </c>
      <c r="H15938">
        <v>251231</v>
      </c>
      <c r="I15938">
        <v>4510</v>
      </c>
      <c r="J15938" t="s">
        <v>240</v>
      </c>
      <c r="K15938">
        <v>7577.05</v>
      </c>
      <c r="L15938">
        <v>36.61</v>
      </c>
      <c r="M15938">
        <v>56560</v>
      </c>
      <c r="N15938" t="s">
        <v>52</v>
      </c>
      <c r="O15938">
        <v>260119</v>
      </c>
      <c r="P15938">
        <v>366.13</v>
      </c>
    </row>
    <row r="15939" spans="1:16" x14ac:dyDescent="0.25">
      <c r="A15939" t="s">
        <v>3296</v>
      </c>
      <c r="B15939" t="s">
        <v>2931</v>
      </c>
      <c r="C15939">
        <v>18594</v>
      </c>
      <c r="D15939" t="str">
        <f>"10085977    "</f>
        <v xml:space="preserve">10085977    </v>
      </c>
      <c r="E15939" t="s">
        <v>2914</v>
      </c>
      <c r="F15939" t="s">
        <v>2899</v>
      </c>
      <c r="G15939">
        <v>57.37</v>
      </c>
      <c r="H15939">
        <v>251231</v>
      </c>
      <c r="I15939">
        <v>4510</v>
      </c>
      <c r="J15939" t="s">
        <v>240</v>
      </c>
      <c r="K15939">
        <v>7577.05</v>
      </c>
      <c r="L15939">
        <v>5.22</v>
      </c>
      <c r="M15939">
        <v>56562</v>
      </c>
      <c r="N15939" t="s">
        <v>54</v>
      </c>
      <c r="O15939">
        <v>260119</v>
      </c>
      <c r="P15939">
        <v>52.15</v>
      </c>
    </row>
    <row r="15940" spans="1:16" x14ac:dyDescent="0.25">
      <c r="A15940" t="s">
        <v>3296</v>
      </c>
      <c r="B15940" t="s">
        <v>2931</v>
      </c>
      <c r="C15940">
        <v>17922</v>
      </c>
      <c r="D15940" t="str">
        <f>"10085666    "</f>
        <v xml:space="preserve">10085666    </v>
      </c>
      <c r="E15940" t="s">
        <v>2914</v>
      </c>
      <c r="F15940" t="s">
        <v>2899</v>
      </c>
      <c r="G15940">
        <v>147.94</v>
      </c>
      <c r="H15940">
        <v>251223</v>
      </c>
      <c r="I15940">
        <v>4842</v>
      </c>
      <c r="J15940" t="s">
        <v>15</v>
      </c>
      <c r="K15940">
        <v>10757.04</v>
      </c>
      <c r="L15940">
        <v>30.06</v>
      </c>
      <c r="M15940">
        <v>54222</v>
      </c>
      <c r="N15940" t="s">
        <v>48</v>
      </c>
      <c r="O15940">
        <v>260107</v>
      </c>
      <c r="P15940">
        <v>117.88</v>
      </c>
    </row>
    <row r="15941" spans="1:16" x14ac:dyDescent="0.25">
      <c r="A15941" t="s">
        <v>3296</v>
      </c>
      <c r="B15941" t="s">
        <v>2931</v>
      </c>
      <c r="C15941">
        <v>17922</v>
      </c>
      <c r="D15941" t="str">
        <f>"10085666    "</f>
        <v xml:space="preserve">10085666    </v>
      </c>
      <c r="E15941" t="s">
        <v>2914</v>
      </c>
      <c r="F15941" t="s">
        <v>2899</v>
      </c>
      <c r="G15941">
        <v>295.88</v>
      </c>
      <c r="H15941">
        <v>251223</v>
      </c>
      <c r="I15941">
        <v>4842</v>
      </c>
      <c r="J15941" t="s">
        <v>15</v>
      </c>
      <c r="K15941">
        <v>10757.04</v>
      </c>
      <c r="L15941">
        <v>60.12</v>
      </c>
      <c r="M15941">
        <v>56524</v>
      </c>
      <c r="N15941" t="s">
        <v>69</v>
      </c>
      <c r="O15941">
        <v>260107</v>
      </c>
      <c r="P15941">
        <v>235.76</v>
      </c>
    </row>
    <row r="15942" spans="1:16" x14ac:dyDescent="0.25">
      <c r="A15942" t="s">
        <v>3296</v>
      </c>
      <c r="B15942" t="s">
        <v>2931</v>
      </c>
      <c r="C15942">
        <v>17922</v>
      </c>
      <c r="D15942" t="str">
        <f>"10085666    "</f>
        <v xml:space="preserve">10085666    </v>
      </c>
      <c r="E15942" t="s">
        <v>2914</v>
      </c>
      <c r="F15942" t="s">
        <v>2899</v>
      </c>
      <c r="G15942">
        <v>887.64</v>
      </c>
      <c r="H15942">
        <v>251223</v>
      </c>
      <c r="I15942">
        <v>4842</v>
      </c>
      <c r="J15942" t="s">
        <v>15</v>
      </c>
      <c r="K15942">
        <v>10757.04</v>
      </c>
      <c r="L15942">
        <v>180.36</v>
      </c>
      <c r="M15942">
        <v>56560</v>
      </c>
      <c r="N15942" t="s">
        <v>52</v>
      </c>
      <c r="O15942">
        <v>260107</v>
      </c>
      <c r="P15942">
        <v>707.28</v>
      </c>
    </row>
    <row r="15943" spans="1:16" x14ac:dyDescent="0.25">
      <c r="A15943" t="s">
        <v>3296</v>
      </c>
      <c r="B15943" t="s">
        <v>2931</v>
      </c>
      <c r="C15943">
        <v>17922</v>
      </c>
      <c r="D15943" t="str">
        <f>"10085666    "</f>
        <v xml:space="preserve">10085666    </v>
      </c>
      <c r="E15943" t="s">
        <v>2914</v>
      </c>
      <c r="F15943" t="s">
        <v>2899</v>
      </c>
      <c r="G15943">
        <v>147.94</v>
      </c>
      <c r="H15943">
        <v>251223</v>
      </c>
      <c r="I15943">
        <v>4842</v>
      </c>
      <c r="J15943" t="s">
        <v>15</v>
      </c>
      <c r="K15943">
        <v>10757.04</v>
      </c>
      <c r="L15943">
        <v>30.06</v>
      </c>
      <c r="M15943">
        <v>56562</v>
      </c>
      <c r="N15943" t="s">
        <v>54</v>
      </c>
      <c r="O15943">
        <v>260107</v>
      </c>
      <c r="P15943">
        <v>117.88</v>
      </c>
    </row>
    <row r="15944" spans="1:16" x14ac:dyDescent="0.25">
      <c r="A15944" t="s">
        <v>3296</v>
      </c>
      <c r="B15944" t="s">
        <v>2931</v>
      </c>
      <c r="C15944">
        <v>18594</v>
      </c>
      <c r="D15944" t="str">
        <f>"10085977    "</f>
        <v xml:space="preserve">10085977    </v>
      </c>
      <c r="E15944" t="s">
        <v>2914</v>
      </c>
      <c r="F15944" t="s">
        <v>2899</v>
      </c>
      <c r="G15944">
        <v>105.67</v>
      </c>
      <c r="H15944">
        <v>251231</v>
      </c>
      <c r="I15944">
        <v>4842</v>
      </c>
      <c r="J15944" t="s">
        <v>15</v>
      </c>
      <c r="K15944">
        <v>7577.05</v>
      </c>
      <c r="L15944">
        <v>21.47</v>
      </c>
      <c r="M15944">
        <v>54222</v>
      </c>
      <c r="N15944" t="s">
        <v>48</v>
      </c>
      <c r="O15944">
        <v>260119</v>
      </c>
      <c r="P15944">
        <v>84.2</v>
      </c>
    </row>
    <row r="15945" spans="1:16" x14ac:dyDescent="0.25">
      <c r="A15945" t="s">
        <v>3296</v>
      </c>
      <c r="B15945" t="s">
        <v>2931</v>
      </c>
      <c r="C15945">
        <v>18594</v>
      </c>
      <c r="D15945" t="str">
        <f>"10085977    "</f>
        <v xml:space="preserve">10085977    </v>
      </c>
      <c r="E15945" t="s">
        <v>2914</v>
      </c>
      <c r="F15945" t="s">
        <v>2899</v>
      </c>
      <c r="G15945">
        <v>211.34</v>
      </c>
      <c r="H15945">
        <v>251231</v>
      </c>
      <c r="I15945">
        <v>4842</v>
      </c>
      <c r="J15945" t="s">
        <v>15</v>
      </c>
      <c r="K15945">
        <v>7577.05</v>
      </c>
      <c r="L15945">
        <v>42.94</v>
      </c>
      <c r="M15945">
        <v>56524</v>
      </c>
      <c r="N15945" t="s">
        <v>69</v>
      </c>
      <c r="O15945">
        <v>260119</v>
      </c>
      <c r="P15945">
        <v>168.4</v>
      </c>
    </row>
    <row r="15946" spans="1:16" x14ac:dyDescent="0.25">
      <c r="A15946" t="s">
        <v>3296</v>
      </c>
      <c r="B15946" t="s">
        <v>2931</v>
      </c>
      <c r="C15946">
        <v>18594</v>
      </c>
      <c r="D15946" t="str">
        <f>"10085977    "</f>
        <v xml:space="preserve">10085977    </v>
      </c>
      <c r="E15946" t="s">
        <v>2914</v>
      </c>
      <c r="F15946" t="s">
        <v>2899</v>
      </c>
      <c r="G15946">
        <v>634.02</v>
      </c>
      <c r="H15946">
        <v>251231</v>
      </c>
      <c r="I15946">
        <v>4842</v>
      </c>
      <c r="J15946" t="s">
        <v>15</v>
      </c>
      <c r="K15946">
        <v>7577.05</v>
      </c>
      <c r="L15946">
        <v>128.82</v>
      </c>
      <c r="M15946">
        <v>56560</v>
      </c>
      <c r="N15946" t="s">
        <v>52</v>
      </c>
      <c r="O15946">
        <v>260119</v>
      </c>
      <c r="P15946">
        <v>505.2</v>
      </c>
    </row>
    <row r="15947" spans="1:16" x14ac:dyDescent="0.25">
      <c r="A15947" t="s">
        <v>3296</v>
      </c>
      <c r="B15947" t="s">
        <v>2931</v>
      </c>
      <c r="C15947">
        <v>18594</v>
      </c>
      <c r="D15947" t="str">
        <f>"10085977    "</f>
        <v xml:space="preserve">10085977    </v>
      </c>
      <c r="E15947" t="s">
        <v>2914</v>
      </c>
      <c r="F15947" t="s">
        <v>2899</v>
      </c>
      <c r="G15947">
        <v>105.67</v>
      </c>
      <c r="H15947">
        <v>251231</v>
      </c>
      <c r="I15947">
        <v>4842</v>
      </c>
      <c r="J15947" t="s">
        <v>15</v>
      </c>
      <c r="K15947">
        <v>7577.05</v>
      </c>
      <c r="L15947">
        <v>21.47</v>
      </c>
      <c r="M15947">
        <v>56562</v>
      </c>
      <c r="N15947" t="s">
        <v>54</v>
      </c>
      <c r="O15947">
        <v>260119</v>
      </c>
      <c r="P15947">
        <v>84.2</v>
      </c>
    </row>
    <row r="15948" spans="1:16" x14ac:dyDescent="0.25">
      <c r="A15948" t="s">
        <v>3296</v>
      </c>
      <c r="B15948" t="s">
        <v>2931</v>
      </c>
      <c r="C15948">
        <v>1146</v>
      </c>
      <c r="D15948" t="str">
        <f>"12351       "</f>
        <v xml:space="preserve">12351       </v>
      </c>
      <c r="E15948" t="s">
        <v>859</v>
      </c>
      <c r="F15948" t="s">
        <v>860</v>
      </c>
      <c r="G15948">
        <v>699</v>
      </c>
      <c r="H15948">
        <v>250131</v>
      </c>
      <c r="I15948">
        <v>4390</v>
      </c>
      <c r="J15948" t="s">
        <v>232</v>
      </c>
      <c r="K15948">
        <v>699</v>
      </c>
      <c r="L15948">
        <v>142.03</v>
      </c>
      <c r="M15948">
        <v>59502</v>
      </c>
      <c r="N15948" t="s">
        <v>63</v>
      </c>
      <c r="O15948">
        <v>250205</v>
      </c>
      <c r="P15948">
        <v>556.97</v>
      </c>
    </row>
    <row r="15949" spans="1:16" x14ac:dyDescent="0.25">
      <c r="A15949" t="s">
        <v>3296</v>
      </c>
      <c r="B15949" t="s">
        <v>2931</v>
      </c>
      <c r="C15949">
        <v>2531</v>
      </c>
      <c r="D15949" t="str">
        <f>"12522       "</f>
        <v xml:space="preserve">12522       </v>
      </c>
      <c r="E15949" t="s">
        <v>859</v>
      </c>
      <c r="F15949" t="s">
        <v>860</v>
      </c>
      <c r="G15949">
        <v>699</v>
      </c>
      <c r="H15949">
        <v>250227</v>
      </c>
      <c r="I15949">
        <v>4390</v>
      </c>
      <c r="J15949" t="s">
        <v>232</v>
      </c>
      <c r="K15949">
        <v>699</v>
      </c>
      <c r="L15949">
        <v>142.03</v>
      </c>
      <c r="M15949">
        <v>59502</v>
      </c>
      <c r="N15949" t="s">
        <v>63</v>
      </c>
      <c r="O15949">
        <v>250303</v>
      </c>
      <c r="P15949">
        <v>556.97</v>
      </c>
    </row>
    <row r="15950" spans="1:16" x14ac:dyDescent="0.25">
      <c r="A15950" t="s">
        <v>3296</v>
      </c>
      <c r="B15950" t="s">
        <v>2931</v>
      </c>
      <c r="C15950">
        <v>4061</v>
      </c>
      <c r="D15950" t="str">
        <f>"12672       "</f>
        <v xml:space="preserve">12672       </v>
      </c>
      <c r="E15950" t="s">
        <v>859</v>
      </c>
      <c r="F15950" t="s">
        <v>860</v>
      </c>
      <c r="G15950">
        <v>699</v>
      </c>
      <c r="H15950">
        <v>250331</v>
      </c>
      <c r="I15950">
        <v>4390</v>
      </c>
      <c r="J15950" t="s">
        <v>232</v>
      </c>
      <c r="K15950">
        <v>699</v>
      </c>
      <c r="L15950">
        <v>142.03</v>
      </c>
      <c r="M15950">
        <v>59502</v>
      </c>
      <c r="N15950" t="s">
        <v>63</v>
      </c>
      <c r="O15950">
        <v>250407</v>
      </c>
      <c r="P15950">
        <v>556.97</v>
      </c>
    </row>
    <row r="15951" spans="1:16" x14ac:dyDescent="0.25">
      <c r="A15951" t="s">
        <v>3296</v>
      </c>
      <c r="B15951" t="s">
        <v>2931</v>
      </c>
      <c r="C15951">
        <v>5868</v>
      </c>
      <c r="D15951" t="str">
        <f>"12868       "</f>
        <v xml:space="preserve">12868       </v>
      </c>
      <c r="E15951" t="s">
        <v>859</v>
      </c>
      <c r="F15951" t="s">
        <v>860</v>
      </c>
      <c r="G15951">
        <v>699</v>
      </c>
      <c r="H15951">
        <v>250430</v>
      </c>
      <c r="I15951">
        <v>4390</v>
      </c>
      <c r="J15951" t="s">
        <v>232</v>
      </c>
      <c r="K15951">
        <v>699</v>
      </c>
      <c r="L15951">
        <v>142.03</v>
      </c>
      <c r="M15951">
        <v>59502</v>
      </c>
      <c r="N15951" t="s">
        <v>63</v>
      </c>
      <c r="O15951">
        <v>250506</v>
      </c>
      <c r="P15951">
        <v>556.97</v>
      </c>
    </row>
    <row r="15952" spans="1:16" x14ac:dyDescent="0.25">
      <c r="A15952" t="s">
        <v>3296</v>
      </c>
      <c r="B15952" t="s">
        <v>2931</v>
      </c>
      <c r="C15952">
        <v>8066</v>
      </c>
      <c r="D15952" t="str">
        <f>"2025290442  "</f>
        <v xml:space="preserve">2025290442  </v>
      </c>
      <c r="E15952" t="s">
        <v>1811</v>
      </c>
      <c r="F15952" t="s">
        <v>1812</v>
      </c>
      <c r="G15952">
        <v>59.96</v>
      </c>
      <c r="H15952">
        <v>250609</v>
      </c>
      <c r="I15952">
        <v>4470</v>
      </c>
      <c r="J15952" t="s">
        <v>203</v>
      </c>
      <c r="K15952">
        <v>59.96</v>
      </c>
      <c r="L15952">
        <v>12.18</v>
      </c>
      <c r="M15952">
        <v>59504</v>
      </c>
      <c r="N15952" t="s">
        <v>193</v>
      </c>
      <c r="O15952">
        <v>250611</v>
      </c>
      <c r="P15952">
        <v>47.78</v>
      </c>
    </row>
    <row r="15953" spans="1:16" x14ac:dyDescent="0.25">
      <c r="A15953" t="s">
        <v>3296</v>
      </c>
      <c r="B15953" t="s">
        <v>2931</v>
      </c>
      <c r="C15953">
        <v>5984</v>
      </c>
      <c r="D15953" t="str">
        <f>"2025290335  "</f>
        <v xml:space="preserve">2025290335  </v>
      </c>
      <c r="E15953" t="s">
        <v>1811</v>
      </c>
      <c r="F15953" t="s">
        <v>1812</v>
      </c>
      <c r="G15953">
        <v>21.89</v>
      </c>
      <c r="H15953">
        <v>250430</v>
      </c>
      <c r="I15953">
        <v>4590</v>
      </c>
      <c r="J15953" t="s">
        <v>388</v>
      </c>
      <c r="K15953">
        <v>21.89</v>
      </c>
      <c r="L15953">
        <v>4.45</v>
      </c>
      <c r="M15953">
        <v>56551</v>
      </c>
      <c r="N15953" t="s">
        <v>551</v>
      </c>
      <c r="O15953">
        <v>250508</v>
      </c>
      <c r="P15953">
        <v>17.440000000000001</v>
      </c>
    </row>
    <row r="15954" spans="1:16" x14ac:dyDescent="0.25">
      <c r="A15954" t="s">
        <v>3296</v>
      </c>
      <c r="B15954" t="s">
        <v>2931</v>
      </c>
      <c r="C15954">
        <v>5879</v>
      </c>
      <c r="D15954" t="str">
        <f>"2025290333  "</f>
        <v xml:space="preserve">2025290333  </v>
      </c>
      <c r="E15954" t="s">
        <v>1811</v>
      </c>
      <c r="F15954" t="s">
        <v>1812</v>
      </c>
      <c r="G15954">
        <v>167.75</v>
      </c>
      <c r="H15954">
        <v>250430</v>
      </c>
      <c r="I15954">
        <v>4600</v>
      </c>
      <c r="J15954" t="s">
        <v>278</v>
      </c>
      <c r="K15954">
        <v>167.75</v>
      </c>
      <c r="L15954">
        <v>34.08</v>
      </c>
      <c r="M15954">
        <v>69501</v>
      </c>
      <c r="N15954" t="s">
        <v>123</v>
      </c>
      <c r="O15954">
        <v>250507</v>
      </c>
      <c r="P15954">
        <v>133.66999999999999</v>
      </c>
    </row>
    <row r="15955" spans="1:16" x14ac:dyDescent="0.25">
      <c r="A15955" t="s">
        <v>3296</v>
      </c>
      <c r="B15955" t="s">
        <v>2931</v>
      </c>
      <c r="C15955">
        <v>9372</v>
      </c>
      <c r="D15955" t="str">
        <f>"2025290519  "</f>
        <v xml:space="preserve">2025290519  </v>
      </c>
      <c r="E15955" t="s">
        <v>1811</v>
      </c>
      <c r="F15955" t="s">
        <v>1812</v>
      </c>
      <c r="G15955">
        <v>17.3</v>
      </c>
      <c r="H15955">
        <v>250703</v>
      </c>
      <c r="I15955">
        <v>4600</v>
      </c>
      <c r="J15955" t="s">
        <v>278</v>
      </c>
      <c r="K15955">
        <v>17.3</v>
      </c>
      <c r="L15955">
        <v>3.52</v>
      </c>
      <c r="M15955">
        <v>59112</v>
      </c>
      <c r="N15955" t="s">
        <v>44</v>
      </c>
      <c r="O15955">
        <v>250707</v>
      </c>
      <c r="P15955">
        <v>13.78</v>
      </c>
    </row>
    <row r="15956" spans="1:16" x14ac:dyDescent="0.25">
      <c r="A15956" t="s">
        <v>3296</v>
      </c>
      <c r="B15956" t="s">
        <v>2931</v>
      </c>
      <c r="C15956">
        <v>1350</v>
      </c>
      <c r="D15956" t="str">
        <f>"58827       "</f>
        <v xml:space="preserve">58827       </v>
      </c>
      <c r="E15956" t="s">
        <v>957</v>
      </c>
      <c r="F15956" t="s">
        <v>958</v>
      </c>
      <c r="G15956">
        <v>2756.87</v>
      </c>
      <c r="H15956">
        <v>250131</v>
      </c>
      <c r="I15956">
        <v>4571</v>
      </c>
      <c r="J15956" t="s">
        <v>223</v>
      </c>
      <c r="K15956">
        <v>7876.77</v>
      </c>
      <c r="L15956">
        <v>560.16</v>
      </c>
      <c r="M15956">
        <v>59502</v>
      </c>
      <c r="N15956" t="s">
        <v>63</v>
      </c>
      <c r="O15956">
        <v>250207</v>
      </c>
      <c r="P15956">
        <v>2196.71</v>
      </c>
    </row>
    <row r="15957" spans="1:16" x14ac:dyDescent="0.25">
      <c r="A15957" t="s">
        <v>3296</v>
      </c>
      <c r="B15957" t="s">
        <v>2931</v>
      </c>
      <c r="C15957">
        <v>1350</v>
      </c>
      <c r="D15957" t="str">
        <f>"58827       "</f>
        <v xml:space="preserve">58827       </v>
      </c>
      <c r="E15957" t="s">
        <v>957</v>
      </c>
      <c r="F15957" t="s">
        <v>958</v>
      </c>
      <c r="G15957">
        <v>5119.8999999999996</v>
      </c>
      <c r="H15957">
        <v>250131</v>
      </c>
      <c r="I15957">
        <v>4571</v>
      </c>
      <c r="J15957" t="s">
        <v>223</v>
      </c>
      <c r="K15957">
        <v>7876.77</v>
      </c>
      <c r="L15957">
        <v>1040.3</v>
      </c>
      <c r="M15957">
        <v>59802</v>
      </c>
      <c r="N15957" t="s">
        <v>195</v>
      </c>
      <c r="O15957">
        <v>250207</v>
      </c>
      <c r="P15957">
        <v>4079.6</v>
      </c>
    </row>
    <row r="15958" spans="1:16" x14ac:dyDescent="0.25">
      <c r="A15958" t="s">
        <v>3296</v>
      </c>
      <c r="B15958" t="s">
        <v>2931</v>
      </c>
      <c r="C15958">
        <v>1353</v>
      </c>
      <c r="D15958" t="str">
        <f>"58829       "</f>
        <v xml:space="preserve">58829       </v>
      </c>
      <c r="E15958" t="s">
        <v>957</v>
      </c>
      <c r="F15958" t="s">
        <v>958</v>
      </c>
      <c r="G15958">
        <v>7352.8</v>
      </c>
      <c r="H15958">
        <v>250131</v>
      </c>
      <c r="I15958">
        <v>4571</v>
      </c>
      <c r="J15958" t="s">
        <v>223</v>
      </c>
      <c r="K15958">
        <v>7352.8</v>
      </c>
      <c r="L15958">
        <v>1494</v>
      </c>
      <c r="M15958">
        <v>59501</v>
      </c>
      <c r="N15958" t="s">
        <v>62</v>
      </c>
      <c r="O15958">
        <v>250207</v>
      </c>
      <c r="P15958">
        <v>5858.8</v>
      </c>
    </row>
    <row r="15959" spans="1:16" x14ac:dyDescent="0.25">
      <c r="A15959" t="s">
        <v>3296</v>
      </c>
      <c r="B15959" t="s">
        <v>2931</v>
      </c>
      <c r="C15959">
        <v>1354</v>
      </c>
      <c r="D15959" t="str">
        <f>"58826       "</f>
        <v xml:space="preserve">58826       </v>
      </c>
      <c r="E15959" t="s">
        <v>957</v>
      </c>
      <c r="F15959" t="s">
        <v>958</v>
      </c>
      <c r="G15959">
        <v>8418.65</v>
      </c>
      <c r="H15959">
        <v>250131</v>
      </c>
      <c r="I15959">
        <v>4571</v>
      </c>
      <c r="J15959" t="s">
        <v>223</v>
      </c>
      <c r="K15959">
        <v>8418.65</v>
      </c>
      <c r="L15959">
        <v>1710.56</v>
      </c>
      <c r="M15959">
        <v>59502</v>
      </c>
      <c r="N15959" t="s">
        <v>63</v>
      </c>
      <c r="O15959">
        <v>250207</v>
      </c>
      <c r="P15959">
        <v>6708.09</v>
      </c>
    </row>
    <row r="15960" spans="1:16" x14ac:dyDescent="0.25">
      <c r="A15960" t="s">
        <v>3296</v>
      </c>
      <c r="B15960" t="s">
        <v>2931</v>
      </c>
      <c r="C15960">
        <v>1355</v>
      </c>
      <c r="D15960" t="str">
        <f>"58749       "</f>
        <v xml:space="preserve">58749       </v>
      </c>
      <c r="E15960" t="s">
        <v>957</v>
      </c>
      <c r="F15960" t="s">
        <v>958</v>
      </c>
      <c r="G15960">
        <v>9337.31</v>
      </c>
      <c r="H15960">
        <v>250131</v>
      </c>
      <c r="I15960">
        <v>4571</v>
      </c>
      <c r="J15960" t="s">
        <v>223</v>
      </c>
      <c r="K15960">
        <v>10610.58</v>
      </c>
      <c r="L15960">
        <v>1897.22</v>
      </c>
      <c r="M15960">
        <v>59505</v>
      </c>
      <c r="N15960" t="s">
        <v>194</v>
      </c>
      <c r="O15960">
        <v>250207</v>
      </c>
      <c r="P15960">
        <v>7440.09</v>
      </c>
    </row>
    <row r="15961" spans="1:16" x14ac:dyDescent="0.25">
      <c r="A15961" t="s">
        <v>3296</v>
      </c>
      <c r="B15961" t="s">
        <v>2931</v>
      </c>
      <c r="C15961">
        <v>1355</v>
      </c>
      <c r="D15961" t="str">
        <f>"58749       "</f>
        <v xml:space="preserve">58749       </v>
      </c>
      <c r="E15961" t="s">
        <v>957</v>
      </c>
      <c r="F15961" t="s">
        <v>958</v>
      </c>
      <c r="G15961">
        <v>1273.27</v>
      </c>
      <c r="H15961">
        <v>250131</v>
      </c>
      <c r="I15961">
        <v>4571</v>
      </c>
      <c r="J15961" t="s">
        <v>223</v>
      </c>
      <c r="K15961">
        <v>10610.58</v>
      </c>
      <c r="L15961">
        <v>258.70999999999998</v>
      </c>
      <c r="M15961">
        <v>59812</v>
      </c>
      <c r="N15961" t="s">
        <v>196</v>
      </c>
      <c r="O15961">
        <v>250207</v>
      </c>
      <c r="P15961">
        <v>1014.56</v>
      </c>
    </row>
    <row r="15962" spans="1:16" x14ac:dyDescent="0.25">
      <c r="A15962" t="s">
        <v>3296</v>
      </c>
      <c r="B15962" t="s">
        <v>2931</v>
      </c>
      <c r="C15962">
        <v>1356</v>
      </c>
      <c r="D15962" t="str">
        <f>"58823       "</f>
        <v xml:space="preserve">58823       </v>
      </c>
      <c r="E15962" t="s">
        <v>957</v>
      </c>
      <c r="F15962" t="s">
        <v>958</v>
      </c>
      <c r="G15962">
        <v>9274.43</v>
      </c>
      <c r="H15962">
        <v>250131</v>
      </c>
      <c r="I15962">
        <v>4571</v>
      </c>
      <c r="J15962" t="s">
        <v>223</v>
      </c>
      <c r="K15962">
        <v>9274.43</v>
      </c>
      <c r="L15962">
        <v>1884.45</v>
      </c>
      <c r="M15962">
        <v>59501</v>
      </c>
      <c r="N15962" t="s">
        <v>62</v>
      </c>
      <c r="O15962">
        <v>250207</v>
      </c>
      <c r="P15962">
        <v>7389.98</v>
      </c>
    </row>
    <row r="15963" spans="1:16" x14ac:dyDescent="0.25">
      <c r="A15963" t="s">
        <v>3296</v>
      </c>
      <c r="B15963" t="s">
        <v>2931</v>
      </c>
      <c r="C15963">
        <v>1359</v>
      </c>
      <c r="D15963" t="str">
        <f>"58822       "</f>
        <v xml:space="preserve">58822       </v>
      </c>
      <c r="E15963" t="s">
        <v>957</v>
      </c>
      <c r="F15963" t="s">
        <v>958</v>
      </c>
      <c r="G15963">
        <v>1730.96</v>
      </c>
      <c r="H15963">
        <v>250131</v>
      </c>
      <c r="I15963">
        <v>4571</v>
      </c>
      <c r="J15963" t="s">
        <v>223</v>
      </c>
      <c r="K15963">
        <v>21636.959999999999</v>
      </c>
      <c r="L15963">
        <v>351.71</v>
      </c>
      <c r="M15963">
        <v>59111</v>
      </c>
      <c r="N15963" t="s">
        <v>60</v>
      </c>
      <c r="O15963">
        <v>250207</v>
      </c>
      <c r="P15963">
        <v>1379.25</v>
      </c>
    </row>
    <row r="15964" spans="1:16" x14ac:dyDescent="0.25">
      <c r="A15964" t="s">
        <v>3296</v>
      </c>
      <c r="B15964" t="s">
        <v>2931</v>
      </c>
      <c r="C15964">
        <v>1359</v>
      </c>
      <c r="D15964" t="str">
        <f>"58822       "</f>
        <v xml:space="preserve">58822       </v>
      </c>
      <c r="E15964" t="s">
        <v>957</v>
      </c>
      <c r="F15964" t="s">
        <v>958</v>
      </c>
      <c r="G15964">
        <v>19906</v>
      </c>
      <c r="H15964">
        <v>250131</v>
      </c>
      <c r="I15964">
        <v>4571</v>
      </c>
      <c r="J15964" t="s">
        <v>223</v>
      </c>
      <c r="K15964">
        <v>21636.959999999999</v>
      </c>
      <c r="L15964">
        <v>4044.65</v>
      </c>
      <c r="M15964">
        <v>59501</v>
      </c>
      <c r="N15964" t="s">
        <v>62</v>
      </c>
      <c r="O15964">
        <v>250207</v>
      </c>
      <c r="P15964">
        <v>15861.35</v>
      </c>
    </row>
    <row r="15965" spans="1:16" x14ac:dyDescent="0.25">
      <c r="A15965" t="s">
        <v>3296</v>
      </c>
      <c r="B15965" t="s">
        <v>2931</v>
      </c>
      <c r="C15965">
        <v>3069</v>
      </c>
      <c r="D15965" t="str">
        <f>"60064       "</f>
        <v xml:space="preserve">60064       </v>
      </c>
      <c r="E15965" t="s">
        <v>957</v>
      </c>
      <c r="F15965" t="s">
        <v>958</v>
      </c>
      <c r="G15965">
        <v>8680.74</v>
      </c>
      <c r="H15965">
        <v>250228</v>
      </c>
      <c r="I15965">
        <v>4571</v>
      </c>
      <c r="J15965" t="s">
        <v>223</v>
      </c>
      <c r="K15965">
        <v>8680.74</v>
      </c>
      <c r="L15965">
        <v>1763.82</v>
      </c>
      <c r="M15965">
        <v>59501</v>
      </c>
      <c r="N15965" t="s">
        <v>62</v>
      </c>
      <c r="O15965">
        <v>250314</v>
      </c>
      <c r="P15965">
        <v>6916.92</v>
      </c>
    </row>
    <row r="15966" spans="1:16" x14ac:dyDescent="0.25">
      <c r="A15966" t="s">
        <v>3296</v>
      </c>
      <c r="B15966" t="s">
        <v>2931</v>
      </c>
      <c r="C15966">
        <v>3158</v>
      </c>
      <c r="D15966" t="str">
        <f>"60074       "</f>
        <v xml:space="preserve">60074       </v>
      </c>
      <c r="E15966" t="s">
        <v>957</v>
      </c>
      <c r="F15966" t="s">
        <v>958</v>
      </c>
      <c r="G15966">
        <v>1555.41</v>
      </c>
      <c r="H15966">
        <v>250228</v>
      </c>
      <c r="I15966">
        <v>4571</v>
      </c>
      <c r="J15966" t="s">
        <v>223</v>
      </c>
      <c r="K15966">
        <v>19442.599999999999</v>
      </c>
      <c r="L15966">
        <v>316.04000000000002</v>
      </c>
      <c r="M15966">
        <v>59111</v>
      </c>
      <c r="N15966" t="s">
        <v>60</v>
      </c>
      <c r="O15966">
        <v>250314</v>
      </c>
      <c r="P15966">
        <v>1239.3699999999999</v>
      </c>
    </row>
    <row r="15967" spans="1:16" x14ac:dyDescent="0.25">
      <c r="A15967" t="s">
        <v>3296</v>
      </c>
      <c r="B15967" t="s">
        <v>2931</v>
      </c>
      <c r="C15967">
        <v>3158</v>
      </c>
      <c r="D15967" t="str">
        <f>"60074       "</f>
        <v xml:space="preserve">60074       </v>
      </c>
      <c r="E15967" t="s">
        <v>957</v>
      </c>
      <c r="F15967" t="s">
        <v>958</v>
      </c>
      <c r="G15967">
        <v>17887.189999999999</v>
      </c>
      <c r="H15967">
        <v>250228</v>
      </c>
      <c r="I15967">
        <v>4571</v>
      </c>
      <c r="J15967" t="s">
        <v>223</v>
      </c>
      <c r="K15967">
        <v>19442.599999999999</v>
      </c>
      <c r="L15967">
        <v>3634.45</v>
      </c>
      <c r="M15967">
        <v>59501</v>
      </c>
      <c r="N15967" t="s">
        <v>62</v>
      </c>
      <c r="O15967">
        <v>250314</v>
      </c>
      <c r="P15967">
        <v>14252.74</v>
      </c>
    </row>
    <row r="15968" spans="1:16" x14ac:dyDescent="0.25">
      <c r="A15968" t="s">
        <v>3296</v>
      </c>
      <c r="B15968" t="s">
        <v>2931</v>
      </c>
      <c r="C15968">
        <v>3299</v>
      </c>
      <c r="D15968" t="str">
        <f>"60191       "</f>
        <v xml:space="preserve">60191       </v>
      </c>
      <c r="E15968" t="s">
        <v>957</v>
      </c>
      <c r="F15968" t="s">
        <v>958</v>
      </c>
      <c r="G15968">
        <v>8787.6</v>
      </c>
      <c r="H15968">
        <v>250228</v>
      </c>
      <c r="I15968">
        <v>4571</v>
      </c>
      <c r="J15968" t="s">
        <v>223</v>
      </c>
      <c r="K15968">
        <v>9985.91</v>
      </c>
      <c r="L15968">
        <v>1785.53</v>
      </c>
      <c r="M15968">
        <v>59505</v>
      </c>
      <c r="N15968" t="s">
        <v>194</v>
      </c>
      <c r="O15968">
        <v>250318</v>
      </c>
      <c r="P15968">
        <v>7002.07</v>
      </c>
    </row>
    <row r="15969" spans="1:16" x14ac:dyDescent="0.25">
      <c r="A15969" t="s">
        <v>3296</v>
      </c>
      <c r="B15969" t="s">
        <v>2931</v>
      </c>
      <c r="C15969">
        <v>3299</v>
      </c>
      <c r="D15969" t="str">
        <f>"60191       "</f>
        <v xml:space="preserve">60191       </v>
      </c>
      <c r="E15969" t="s">
        <v>957</v>
      </c>
      <c r="F15969" t="s">
        <v>958</v>
      </c>
      <c r="G15969">
        <v>1198.31</v>
      </c>
      <c r="H15969">
        <v>250228</v>
      </c>
      <c r="I15969">
        <v>4571</v>
      </c>
      <c r="J15969" t="s">
        <v>223</v>
      </c>
      <c r="K15969">
        <v>9985.91</v>
      </c>
      <c r="L15969">
        <v>243.48</v>
      </c>
      <c r="M15969">
        <v>59812</v>
      </c>
      <c r="N15969" t="s">
        <v>196</v>
      </c>
      <c r="O15969">
        <v>250318</v>
      </c>
      <c r="P15969">
        <v>954.83</v>
      </c>
    </row>
    <row r="15970" spans="1:16" x14ac:dyDescent="0.25">
      <c r="A15970" t="s">
        <v>3296</v>
      </c>
      <c r="B15970" t="s">
        <v>2931</v>
      </c>
      <c r="C15970">
        <v>3300</v>
      </c>
      <c r="D15970" t="str">
        <f>"60061       "</f>
        <v xml:space="preserve">60061       </v>
      </c>
      <c r="E15970" t="s">
        <v>957</v>
      </c>
      <c r="F15970" t="s">
        <v>958</v>
      </c>
      <c r="G15970">
        <v>2661.85</v>
      </c>
      <c r="H15970">
        <v>250228</v>
      </c>
      <c r="I15970">
        <v>4571</v>
      </c>
      <c r="J15970" t="s">
        <v>223</v>
      </c>
      <c r="K15970">
        <v>7605.29</v>
      </c>
      <c r="L15970">
        <v>540.85</v>
      </c>
      <c r="M15970">
        <v>59502</v>
      </c>
      <c r="N15970" t="s">
        <v>63</v>
      </c>
      <c r="O15970">
        <v>250318</v>
      </c>
      <c r="P15970">
        <v>2121</v>
      </c>
    </row>
    <row r="15971" spans="1:16" x14ac:dyDescent="0.25">
      <c r="A15971" t="s">
        <v>3296</v>
      </c>
      <c r="B15971" t="s">
        <v>2931</v>
      </c>
      <c r="C15971">
        <v>3300</v>
      </c>
      <c r="D15971" t="str">
        <f>"60061       "</f>
        <v xml:space="preserve">60061       </v>
      </c>
      <c r="E15971" t="s">
        <v>957</v>
      </c>
      <c r="F15971" t="s">
        <v>958</v>
      </c>
      <c r="G15971">
        <v>4943.4399999999996</v>
      </c>
      <c r="H15971">
        <v>250228</v>
      </c>
      <c r="I15971">
        <v>4571</v>
      </c>
      <c r="J15971" t="s">
        <v>223</v>
      </c>
      <c r="K15971">
        <v>7605.29</v>
      </c>
      <c r="L15971">
        <v>1004.44</v>
      </c>
      <c r="M15971">
        <v>59802</v>
      </c>
      <c r="N15971" t="s">
        <v>195</v>
      </c>
      <c r="O15971">
        <v>250318</v>
      </c>
      <c r="P15971">
        <v>3939</v>
      </c>
    </row>
    <row r="15972" spans="1:16" x14ac:dyDescent="0.25">
      <c r="A15972" t="s">
        <v>3296</v>
      </c>
      <c r="B15972" t="s">
        <v>2931</v>
      </c>
      <c r="C15972">
        <v>3344</v>
      </c>
      <c r="D15972" t="str">
        <f>"60003       "</f>
        <v xml:space="preserve">60003       </v>
      </c>
      <c r="E15972" t="s">
        <v>957</v>
      </c>
      <c r="F15972" t="s">
        <v>958</v>
      </c>
      <c r="G15972">
        <v>7009.94</v>
      </c>
      <c r="H15972">
        <v>250228</v>
      </c>
      <c r="I15972">
        <v>4571</v>
      </c>
      <c r="J15972" t="s">
        <v>223</v>
      </c>
      <c r="K15972">
        <v>7009.94</v>
      </c>
      <c r="L15972">
        <v>1424.33</v>
      </c>
      <c r="M15972">
        <v>59501</v>
      </c>
      <c r="N15972" t="s">
        <v>62</v>
      </c>
      <c r="O15972">
        <v>250318</v>
      </c>
      <c r="P15972">
        <v>5585.61</v>
      </c>
    </row>
    <row r="15973" spans="1:16" x14ac:dyDescent="0.25">
      <c r="A15973" t="s">
        <v>3296</v>
      </c>
      <c r="B15973" t="s">
        <v>2931</v>
      </c>
      <c r="C15973">
        <v>3374</v>
      </c>
      <c r="D15973" t="str">
        <f>"60062       "</f>
        <v xml:space="preserve">60062       </v>
      </c>
      <c r="E15973" t="s">
        <v>957</v>
      </c>
      <c r="F15973" t="s">
        <v>958</v>
      </c>
      <c r="G15973">
        <v>7931.12</v>
      </c>
      <c r="H15973">
        <v>250228</v>
      </c>
      <c r="I15973">
        <v>4571</v>
      </c>
      <c r="J15973" t="s">
        <v>223</v>
      </c>
      <c r="K15973">
        <v>7931.12</v>
      </c>
      <c r="L15973">
        <v>1611.5</v>
      </c>
      <c r="M15973">
        <v>59502</v>
      </c>
      <c r="N15973" t="s">
        <v>63</v>
      </c>
      <c r="O15973">
        <v>250319</v>
      </c>
      <c r="P15973">
        <v>6319.62</v>
      </c>
    </row>
    <row r="15974" spans="1:16" x14ac:dyDescent="0.25">
      <c r="A15974" t="s">
        <v>3296</v>
      </c>
      <c r="B15974" t="s">
        <v>2931</v>
      </c>
      <c r="C15974">
        <v>4629</v>
      </c>
      <c r="D15974" t="str">
        <f>"60295       "</f>
        <v xml:space="preserve">60295       </v>
      </c>
      <c r="E15974" t="s">
        <v>957</v>
      </c>
      <c r="F15974" t="s">
        <v>958</v>
      </c>
      <c r="G15974">
        <v>2293.9499999999998</v>
      </c>
      <c r="H15974">
        <v>250331</v>
      </c>
      <c r="I15974">
        <v>4571</v>
      </c>
      <c r="J15974" t="s">
        <v>223</v>
      </c>
      <c r="K15974">
        <v>6554.14</v>
      </c>
      <c r="L15974">
        <v>466.1</v>
      </c>
      <c r="M15974">
        <v>59502</v>
      </c>
      <c r="N15974" t="s">
        <v>63</v>
      </c>
      <c r="O15974">
        <v>250414</v>
      </c>
      <c r="P15974">
        <v>1827.85</v>
      </c>
    </row>
    <row r="15975" spans="1:16" x14ac:dyDescent="0.25">
      <c r="A15975" t="s">
        <v>3296</v>
      </c>
      <c r="B15975" t="s">
        <v>2931</v>
      </c>
      <c r="C15975">
        <v>4629</v>
      </c>
      <c r="D15975" t="str">
        <f>"60295       "</f>
        <v xml:space="preserve">60295       </v>
      </c>
      <c r="E15975" t="s">
        <v>957</v>
      </c>
      <c r="F15975" t="s">
        <v>958</v>
      </c>
      <c r="G15975">
        <v>4260.1899999999996</v>
      </c>
      <c r="H15975">
        <v>250331</v>
      </c>
      <c r="I15975">
        <v>4571</v>
      </c>
      <c r="J15975" t="s">
        <v>223</v>
      </c>
      <c r="K15975">
        <v>6554.14</v>
      </c>
      <c r="L15975">
        <v>865.62</v>
      </c>
      <c r="M15975">
        <v>59802</v>
      </c>
      <c r="N15975" t="s">
        <v>195</v>
      </c>
      <c r="O15975">
        <v>250414</v>
      </c>
      <c r="P15975">
        <v>3394.57</v>
      </c>
    </row>
    <row r="15976" spans="1:16" x14ac:dyDescent="0.25">
      <c r="A15976" t="s">
        <v>3296</v>
      </c>
      <c r="B15976" t="s">
        <v>2931</v>
      </c>
      <c r="C15976">
        <v>4630</v>
      </c>
      <c r="D15976" t="str">
        <f>"60235       "</f>
        <v xml:space="preserve">60235       </v>
      </c>
      <c r="E15976" t="s">
        <v>957</v>
      </c>
      <c r="F15976" t="s">
        <v>958</v>
      </c>
      <c r="G15976">
        <v>6093.11</v>
      </c>
      <c r="H15976">
        <v>250331</v>
      </c>
      <c r="I15976">
        <v>4571</v>
      </c>
      <c r="J15976" t="s">
        <v>223</v>
      </c>
      <c r="K15976">
        <v>6093.11</v>
      </c>
      <c r="L15976">
        <v>1238.04</v>
      </c>
      <c r="M15976">
        <v>59501</v>
      </c>
      <c r="N15976" t="s">
        <v>62</v>
      </c>
      <c r="O15976">
        <v>250414</v>
      </c>
      <c r="P15976">
        <v>4855.07</v>
      </c>
    </row>
    <row r="15977" spans="1:16" x14ac:dyDescent="0.25">
      <c r="A15977" t="s">
        <v>3296</v>
      </c>
      <c r="B15977" t="s">
        <v>2931</v>
      </c>
      <c r="C15977">
        <v>4634</v>
      </c>
      <c r="D15977" t="str">
        <f>"60296       "</f>
        <v xml:space="preserve">60296       </v>
      </c>
      <c r="E15977" t="s">
        <v>957</v>
      </c>
      <c r="F15977" t="s">
        <v>958</v>
      </c>
      <c r="G15977">
        <v>7056.58</v>
      </c>
      <c r="H15977">
        <v>250331</v>
      </c>
      <c r="I15977">
        <v>4571</v>
      </c>
      <c r="J15977" t="s">
        <v>223</v>
      </c>
      <c r="K15977">
        <v>7056.58</v>
      </c>
      <c r="L15977">
        <v>1433.81</v>
      </c>
      <c r="M15977">
        <v>59502</v>
      </c>
      <c r="N15977" t="s">
        <v>63</v>
      </c>
      <c r="O15977">
        <v>250414</v>
      </c>
      <c r="P15977">
        <v>5622.77</v>
      </c>
    </row>
    <row r="15978" spans="1:16" x14ac:dyDescent="0.25">
      <c r="A15978" t="s">
        <v>3296</v>
      </c>
      <c r="B15978" t="s">
        <v>2931</v>
      </c>
      <c r="C15978">
        <v>4645</v>
      </c>
      <c r="D15978" t="str">
        <f>"60298       "</f>
        <v xml:space="preserve">60298       </v>
      </c>
      <c r="E15978" t="s">
        <v>957</v>
      </c>
      <c r="F15978" t="s">
        <v>958</v>
      </c>
      <c r="G15978">
        <v>7511.23</v>
      </c>
      <c r="H15978">
        <v>250331</v>
      </c>
      <c r="I15978">
        <v>4571</v>
      </c>
      <c r="J15978" t="s">
        <v>223</v>
      </c>
      <c r="K15978">
        <v>7511.23</v>
      </c>
      <c r="L15978">
        <v>1526.19</v>
      </c>
      <c r="M15978">
        <v>59501</v>
      </c>
      <c r="N15978" t="s">
        <v>62</v>
      </c>
      <c r="O15978">
        <v>250414</v>
      </c>
      <c r="P15978">
        <v>5985.04</v>
      </c>
    </row>
    <row r="15979" spans="1:16" x14ac:dyDescent="0.25">
      <c r="A15979" t="s">
        <v>3296</v>
      </c>
      <c r="B15979" t="s">
        <v>2931</v>
      </c>
      <c r="C15979">
        <v>4663</v>
      </c>
      <c r="D15979" t="str">
        <f>"60308       "</f>
        <v xml:space="preserve">60308       </v>
      </c>
      <c r="E15979" t="s">
        <v>957</v>
      </c>
      <c r="F15979" t="s">
        <v>958</v>
      </c>
      <c r="G15979">
        <v>1337.85</v>
      </c>
      <c r="H15979">
        <v>250331</v>
      </c>
      <c r="I15979">
        <v>4571</v>
      </c>
      <c r="J15979" t="s">
        <v>223</v>
      </c>
      <c r="K15979">
        <v>16723.14</v>
      </c>
      <c r="L15979">
        <v>271.83</v>
      </c>
      <c r="M15979">
        <v>59111</v>
      </c>
      <c r="N15979" t="s">
        <v>60</v>
      </c>
      <c r="O15979">
        <v>250414</v>
      </c>
      <c r="P15979">
        <v>1066.02</v>
      </c>
    </row>
    <row r="15980" spans="1:16" x14ac:dyDescent="0.25">
      <c r="A15980" t="s">
        <v>3296</v>
      </c>
      <c r="B15980" t="s">
        <v>2931</v>
      </c>
      <c r="C15980">
        <v>4663</v>
      </c>
      <c r="D15980" t="str">
        <f>"60308       "</f>
        <v xml:space="preserve">60308       </v>
      </c>
      <c r="E15980" t="s">
        <v>957</v>
      </c>
      <c r="F15980" t="s">
        <v>958</v>
      </c>
      <c r="G15980">
        <v>15385.29</v>
      </c>
      <c r="H15980">
        <v>250331</v>
      </c>
      <c r="I15980">
        <v>4571</v>
      </c>
      <c r="J15980" t="s">
        <v>223</v>
      </c>
      <c r="K15980">
        <v>16723.14</v>
      </c>
      <c r="L15980">
        <v>3126.09</v>
      </c>
      <c r="M15980">
        <v>59501</v>
      </c>
      <c r="N15980" t="s">
        <v>62</v>
      </c>
      <c r="O15980">
        <v>250414</v>
      </c>
      <c r="P15980">
        <v>12259.2</v>
      </c>
    </row>
    <row r="15981" spans="1:16" x14ac:dyDescent="0.25">
      <c r="A15981" t="s">
        <v>3296</v>
      </c>
      <c r="B15981" t="s">
        <v>2931</v>
      </c>
      <c r="C15981">
        <v>4700</v>
      </c>
      <c r="D15981" t="str">
        <f>"60425       "</f>
        <v xml:space="preserve">60425       </v>
      </c>
      <c r="E15981" t="s">
        <v>957</v>
      </c>
      <c r="F15981" t="s">
        <v>958</v>
      </c>
      <c r="G15981">
        <v>7127.69</v>
      </c>
      <c r="H15981">
        <v>250331</v>
      </c>
      <c r="I15981">
        <v>4571</v>
      </c>
      <c r="J15981" t="s">
        <v>223</v>
      </c>
      <c r="K15981">
        <v>8099.65</v>
      </c>
      <c r="L15981">
        <v>1448.26</v>
      </c>
      <c r="M15981">
        <v>59505</v>
      </c>
      <c r="N15981" t="s">
        <v>194</v>
      </c>
      <c r="O15981">
        <v>250414</v>
      </c>
      <c r="P15981">
        <v>5679.43</v>
      </c>
    </row>
    <row r="15982" spans="1:16" x14ac:dyDescent="0.25">
      <c r="A15982" t="s">
        <v>3296</v>
      </c>
      <c r="B15982" t="s">
        <v>2931</v>
      </c>
      <c r="C15982">
        <v>4700</v>
      </c>
      <c r="D15982" t="str">
        <f>"60425       "</f>
        <v xml:space="preserve">60425       </v>
      </c>
      <c r="E15982" t="s">
        <v>957</v>
      </c>
      <c r="F15982" t="s">
        <v>958</v>
      </c>
      <c r="G15982">
        <v>971.96</v>
      </c>
      <c r="H15982">
        <v>250331</v>
      </c>
      <c r="I15982">
        <v>4571</v>
      </c>
      <c r="J15982" t="s">
        <v>223</v>
      </c>
      <c r="K15982">
        <v>8099.65</v>
      </c>
      <c r="L15982">
        <v>197.49</v>
      </c>
      <c r="M15982">
        <v>59812</v>
      </c>
      <c r="N15982" t="s">
        <v>196</v>
      </c>
      <c r="O15982">
        <v>250414</v>
      </c>
      <c r="P15982">
        <v>774.47</v>
      </c>
    </row>
    <row r="15983" spans="1:16" x14ac:dyDescent="0.25">
      <c r="A15983" t="s">
        <v>3296</v>
      </c>
      <c r="B15983" t="s">
        <v>2931</v>
      </c>
      <c r="C15983">
        <v>6171</v>
      </c>
      <c r="D15983" t="str">
        <f>"60523       "</f>
        <v xml:space="preserve">60523       </v>
      </c>
      <c r="E15983" t="s">
        <v>957</v>
      </c>
      <c r="F15983" t="s">
        <v>958</v>
      </c>
      <c r="G15983">
        <v>5330.95</v>
      </c>
      <c r="H15983">
        <v>250430</v>
      </c>
      <c r="I15983">
        <v>4571</v>
      </c>
      <c r="J15983" t="s">
        <v>223</v>
      </c>
      <c r="K15983">
        <v>5330.95</v>
      </c>
      <c r="L15983">
        <v>1083.18</v>
      </c>
      <c r="M15983">
        <v>59502</v>
      </c>
      <c r="N15983" t="s">
        <v>63</v>
      </c>
      <c r="O15983">
        <v>250509</v>
      </c>
      <c r="P15983">
        <v>4247.7700000000004</v>
      </c>
    </row>
    <row r="15984" spans="1:16" x14ac:dyDescent="0.25">
      <c r="A15984" t="s">
        <v>3296</v>
      </c>
      <c r="B15984" t="s">
        <v>2931</v>
      </c>
      <c r="C15984">
        <v>6187</v>
      </c>
      <c r="D15984" t="str">
        <f>"60462       "</f>
        <v xml:space="preserve">60462       </v>
      </c>
      <c r="E15984" t="s">
        <v>957</v>
      </c>
      <c r="F15984" t="s">
        <v>958</v>
      </c>
      <c r="G15984">
        <v>4614.55</v>
      </c>
      <c r="H15984">
        <v>250430</v>
      </c>
      <c r="I15984">
        <v>4571</v>
      </c>
      <c r="J15984" t="s">
        <v>223</v>
      </c>
      <c r="K15984">
        <v>4614.55</v>
      </c>
      <c r="L15984">
        <v>937.62</v>
      </c>
      <c r="M15984">
        <v>59501</v>
      </c>
      <c r="N15984" t="s">
        <v>62</v>
      </c>
      <c r="O15984">
        <v>250509</v>
      </c>
      <c r="P15984">
        <v>3676.93</v>
      </c>
    </row>
    <row r="15985" spans="1:16" x14ac:dyDescent="0.25">
      <c r="A15985" t="s">
        <v>3296</v>
      </c>
      <c r="B15985" t="s">
        <v>2931</v>
      </c>
      <c r="C15985">
        <v>6196</v>
      </c>
      <c r="D15985" t="str">
        <f>"60535       "</f>
        <v xml:space="preserve">60535       </v>
      </c>
      <c r="E15985" t="s">
        <v>957</v>
      </c>
      <c r="F15985" t="s">
        <v>958</v>
      </c>
      <c r="G15985">
        <v>1018.39</v>
      </c>
      <c r="H15985">
        <v>250430</v>
      </c>
      <c r="I15985">
        <v>4571</v>
      </c>
      <c r="J15985" t="s">
        <v>223</v>
      </c>
      <c r="K15985">
        <v>12729.88</v>
      </c>
      <c r="L15985">
        <v>206.92</v>
      </c>
      <c r="M15985">
        <v>59111</v>
      </c>
      <c r="N15985" t="s">
        <v>60</v>
      </c>
      <c r="O15985">
        <v>250509</v>
      </c>
      <c r="P15985">
        <v>811.47</v>
      </c>
    </row>
    <row r="15986" spans="1:16" x14ac:dyDescent="0.25">
      <c r="A15986" t="s">
        <v>3296</v>
      </c>
      <c r="B15986" t="s">
        <v>2931</v>
      </c>
      <c r="C15986">
        <v>6196</v>
      </c>
      <c r="D15986" t="str">
        <f>"60535       "</f>
        <v xml:space="preserve">60535       </v>
      </c>
      <c r="E15986" t="s">
        <v>957</v>
      </c>
      <c r="F15986" t="s">
        <v>958</v>
      </c>
      <c r="G15986">
        <v>11711.49</v>
      </c>
      <c r="H15986">
        <v>250430</v>
      </c>
      <c r="I15986">
        <v>4571</v>
      </c>
      <c r="J15986" t="s">
        <v>223</v>
      </c>
      <c r="K15986">
        <v>12729.88</v>
      </c>
      <c r="L15986">
        <v>2379.63</v>
      </c>
      <c r="M15986">
        <v>59501</v>
      </c>
      <c r="N15986" t="s">
        <v>62</v>
      </c>
      <c r="O15986">
        <v>250509</v>
      </c>
      <c r="P15986">
        <v>9331.86</v>
      </c>
    </row>
    <row r="15987" spans="1:16" x14ac:dyDescent="0.25">
      <c r="A15987" t="s">
        <v>3296</v>
      </c>
      <c r="B15987" t="s">
        <v>2931</v>
      </c>
      <c r="C15987">
        <v>6252</v>
      </c>
      <c r="D15987" t="str">
        <f>"60522       "</f>
        <v xml:space="preserve">60522       </v>
      </c>
      <c r="E15987" t="s">
        <v>957</v>
      </c>
      <c r="F15987" t="s">
        <v>958</v>
      </c>
      <c r="G15987">
        <v>1755.41</v>
      </c>
      <c r="H15987">
        <v>250430</v>
      </c>
      <c r="I15987">
        <v>4571</v>
      </c>
      <c r="J15987" t="s">
        <v>223</v>
      </c>
      <c r="K15987">
        <v>5015.46</v>
      </c>
      <c r="L15987">
        <v>356.68</v>
      </c>
      <c r="M15987">
        <v>59502</v>
      </c>
      <c r="N15987" t="s">
        <v>63</v>
      </c>
      <c r="O15987">
        <v>250512</v>
      </c>
      <c r="P15987">
        <v>1398.73</v>
      </c>
    </row>
    <row r="15988" spans="1:16" x14ac:dyDescent="0.25">
      <c r="A15988" t="s">
        <v>3296</v>
      </c>
      <c r="B15988" t="s">
        <v>2931</v>
      </c>
      <c r="C15988">
        <v>6252</v>
      </c>
      <c r="D15988" t="str">
        <f>"60522       "</f>
        <v xml:space="preserve">60522       </v>
      </c>
      <c r="E15988" t="s">
        <v>957</v>
      </c>
      <c r="F15988" t="s">
        <v>958</v>
      </c>
      <c r="G15988">
        <v>3260.05</v>
      </c>
      <c r="H15988">
        <v>250430</v>
      </c>
      <c r="I15988">
        <v>4571</v>
      </c>
      <c r="J15988" t="s">
        <v>223</v>
      </c>
      <c r="K15988">
        <v>5015.46</v>
      </c>
      <c r="L15988">
        <v>662.4</v>
      </c>
      <c r="M15988">
        <v>59802</v>
      </c>
      <c r="N15988" t="s">
        <v>195</v>
      </c>
      <c r="O15988">
        <v>250512</v>
      </c>
      <c r="P15988">
        <v>2597.65</v>
      </c>
    </row>
    <row r="15989" spans="1:16" x14ac:dyDescent="0.25">
      <c r="A15989" t="s">
        <v>3296</v>
      </c>
      <c r="B15989" t="s">
        <v>2931</v>
      </c>
      <c r="C15989">
        <v>6254</v>
      </c>
      <c r="D15989" t="str">
        <f>"60525       "</f>
        <v xml:space="preserve">60525       </v>
      </c>
      <c r="E15989" t="s">
        <v>957</v>
      </c>
      <c r="F15989" t="s">
        <v>958</v>
      </c>
      <c r="G15989">
        <v>5567.67</v>
      </c>
      <c r="H15989">
        <v>250430</v>
      </c>
      <c r="I15989">
        <v>4571</v>
      </c>
      <c r="J15989" t="s">
        <v>223</v>
      </c>
      <c r="K15989">
        <v>5567.67</v>
      </c>
      <c r="L15989">
        <v>1131.28</v>
      </c>
      <c r="M15989">
        <v>59501</v>
      </c>
      <c r="N15989" t="s">
        <v>62</v>
      </c>
      <c r="O15989">
        <v>250512</v>
      </c>
      <c r="P15989">
        <v>4436.3900000000003</v>
      </c>
    </row>
    <row r="15990" spans="1:16" x14ac:dyDescent="0.25">
      <c r="A15990" t="s">
        <v>3296</v>
      </c>
      <c r="B15990" t="s">
        <v>2931</v>
      </c>
      <c r="C15990">
        <v>7166</v>
      </c>
      <c r="D15990" t="str">
        <f>"60652       "</f>
        <v xml:space="preserve">60652       </v>
      </c>
      <c r="E15990" t="s">
        <v>957</v>
      </c>
      <c r="F15990" t="s">
        <v>958</v>
      </c>
      <c r="G15990">
        <v>5555.41</v>
      </c>
      <c r="H15990">
        <v>250501</v>
      </c>
      <c r="I15990">
        <v>4571</v>
      </c>
      <c r="J15990" t="s">
        <v>223</v>
      </c>
      <c r="K15990">
        <v>6312.97</v>
      </c>
      <c r="L15990">
        <v>1128.79</v>
      </c>
      <c r="M15990">
        <v>59505</v>
      </c>
      <c r="N15990" t="s">
        <v>194</v>
      </c>
      <c r="O15990">
        <v>250526</v>
      </c>
      <c r="P15990">
        <v>4426.62</v>
      </c>
    </row>
    <row r="15991" spans="1:16" x14ac:dyDescent="0.25">
      <c r="A15991" t="s">
        <v>3296</v>
      </c>
      <c r="B15991" t="s">
        <v>2931</v>
      </c>
      <c r="C15991">
        <v>7166</v>
      </c>
      <c r="D15991" t="str">
        <f>"60652       "</f>
        <v xml:space="preserve">60652       </v>
      </c>
      <c r="E15991" t="s">
        <v>957</v>
      </c>
      <c r="F15991" t="s">
        <v>958</v>
      </c>
      <c r="G15991">
        <v>757.56</v>
      </c>
      <c r="H15991">
        <v>250501</v>
      </c>
      <c r="I15991">
        <v>4571</v>
      </c>
      <c r="J15991" t="s">
        <v>223</v>
      </c>
      <c r="K15991">
        <v>6312.97</v>
      </c>
      <c r="L15991">
        <v>153.93</v>
      </c>
      <c r="M15991">
        <v>59812</v>
      </c>
      <c r="N15991" t="s">
        <v>196</v>
      </c>
      <c r="O15991">
        <v>250526</v>
      </c>
      <c r="P15991">
        <v>603.63</v>
      </c>
    </row>
    <row r="15992" spans="1:16" x14ac:dyDescent="0.25">
      <c r="A15992" t="s">
        <v>3296</v>
      </c>
      <c r="B15992" t="s">
        <v>2931</v>
      </c>
      <c r="C15992">
        <v>8558</v>
      </c>
      <c r="D15992" t="str">
        <f>"60752       "</f>
        <v xml:space="preserve">60752       </v>
      </c>
      <c r="E15992" t="s">
        <v>957</v>
      </c>
      <c r="F15992" t="s">
        <v>958</v>
      </c>
      <c r="G15992">
        <v>4385.95</v>
      </c>
      <c r="H15992">
        <v>250531</v>
      </c>
      <c r="I15992">
        <v>4571</v>
      </c>
      <c r="J15992" t="s">
        <v>223</v>
      </c>
      <c r="K15992">
        <v>4385.95</v>
      </c>
      <c r="L15992">
        <v>891.17</v>
      </c>
      <c r="M15992">
        <v>59501</v>
      </c>
      <c r="N15992" t="s">
        <v>62</v>
      </c>
      <c r="O15992">
        <v>250617</v>
      </c>
      <c r="P15992">
        <v>3494.78</v>
      </c>
    </row>
    <row r="15993" spans="1:16" x14ac:dyDescent="0.25">
      <c r="A15993" t="s">
        <v>3296</v>
      </c>
      <c r="B15993" t="s">
        <v>2931</v>
      </c>
      <c r="C15993">
        <v>8565</v>
      </c>
      <c r="D15993" t="str">
        <f>"60762       "</f>
        <v xml:space="preserve">60762       </v>
      </c>
      <c r="E15993" t="s">
        <v>957</v>
      </c>
      <c r="F15993" t="s">
        <v>958</v>
      </c>
      <c r="G15993">
        <v>833.6</v>
      </c>
      <c r="H15993">
        <v>250531</v>
      </c>
      <c r="I15993">
        <v>4571</v>
      </c>
      <c r="J15993" t="s">
        <v>223</v>
      </c>
      <c r="K15993">
        <v>10419.969999999999</v>
      </c>
      <c r="L15993">
        <v>169.38</v>
      </c>
      <c r="M15993">
        <v>59111</v>
      </c>
      <c r="N15993" t="s">
        <v>60</v>
      </c>
      <c r="O15993">
        <v>250617</v>
      </c>
      <c r="P15993">
        <v>664.22</v>
      </c>
    </row>
    <row r="15994" spans="1:16" x14ac:dyDescent="0.25">
      <c r="A15994" t="s">
        <v>3296</v>
      </c>
      <c r="B15994" t="s">
        <v>2931</v>
      </c>
      <c r="C15994">
        <v>8565</v>
      </c>
      <c r="D15994" t="str">
        <f>"60762       "</f>
        <v xml:space="preserve">60762       </v>
      </c>
      <c r="E15994" t="s">
        <v>957</v>
      </c>
      <c r="F15994" t="s">
        <v>958</v>
      </c>
      <c r="G15994">
        <v>9586.3700000000008</v>
      </c>
      <c r="H15994">
        <v>250531</v>
      </c>
      <c r="I15994">
        <v>4571</v>
      </c>
      <c r="J15994" t="s">
        <v>223</v>
      </c>
      <c r="K15994">
        <v>10419.969999999999</v>
      </c>
      <c r="L15994">
        <v>1947.83</v>
      </c>
      <c r="M15994">
        <v>59501</v>
      </c>
      <c r="N15994" t="s">
        <v>62</v>
      </c>
      <c r="O15994">
        <v>250617</v>
      </c>
      <c r="P15994">
        <v>7638.54</v>
      </c>
    </row>
    <row r="15995" spans="1:16" x14ac:dyDescent="0.25">
      <c r="A15995" t="s">
        <v>3296</v>
      </c>
      <c r="B15995" t="s">
        <v>2931</v>
      </c>
      <c r="C15995">
        <v>8604</v>
      </c>
      <c r="D15995" t="str">
        <f>"60750       "</f>
        <v xml:space="preserve">60750       </v>
      </c>
      <c r="E15995" t="s">
        <v>957</v>
      </c>
      <c r="F15995" t="s">
        <v>958</v>
      </c>
      <c r="G15995">
        <v>4721.3100000000004</v>
      </c>
      <c r="H15995">
        <v>250531</v>
      </c>
      <c r="I15995">
        <v>4571</v>
      </c>
      <c r="J15995" t="s">
        <v>223</v>
      </c>
      <c r="K15995">
        <v>4721.3100000000004</v>
      </c>
      <c r="L15995">
        <v>959.31</v>
      </c>
      <c r="M15995">
        <v>59502</v>
      </c>
      <c r="N15995" t="s">
        <v>63</v>
      </c>
      <c r="O15995">
        <v>250617</v>
      </c>
      <c r="P15995">
        <v>3762</v>
      </c>
    </row>
    <row r="15996" spans="1:16" x14ac:dyDescent="0.25">
      <c r="A15996" t="s">
        <v>3296</v>
      </c>
      <c r="B15996" t="s">
        <v>2931</v>
      </c>
      <c r="C15996">
        <v>8631</v>
      </c>
      <c r="D15996" t="str">
        <f>"60749       "</f>
        <v xml:space="preserve">60749       </v>
      </c>
      <c r="E15996" t="s">
        <v>957</v>
      </c>
      <c r="F15996" t="s">
        <v>958</v>
      </c>
      <c r="G15996">
        <v>1521.98</v>
      </c>
      <c r="H15996">
        <v>250531</v>
      </c>
      <c r="I15996">
        <v>4571</v>
      </c>
      <c r="J15996" t="s">
        <v>223</v>
      </c>
      <c r="K15996">
        <v>4348.5</v>
      </c>
      <c r="L15996">
        <v>309.25</v>
      </c>
      <c r="M15996">
        <v>59502</v>
      </c>
      <c r="N15996" t="s">
        <v>63</v>
      </c>
      <c r="O15996">
        <v>250617</v>
      </c>
      <c r="P15996">
        <v>1212.73</v>
      </c>
    </row>
    <row r="15997" spans="1:16" x14ac:dyDescent="0.25">
      <c r="A15997" t="s">
        <v>3296</v>
      </c>
      <c r="B15997" t="s">
        <v>2931</v>
      </c>
      <c r="C15997">
        <v>8631</v>
      </c>
      <c r="D15997" t="str">
        <f>"60749       "</f>
        <v xml:space="preserve">60749       </v>
      </c>
      <c r="E15997" t="s">
        <v>957</v>
      </c>
      <c r="F15997" t="s">
        <v>958</v>
      </c>
      <c r="G15997">
        <v>2826.52</v>
      </c>
      <c r="H15997">
        <v>250531</v>
      </c>
      <c r="I15997">
        <v>4571</v>
      </c>
      <c r="J15997" t="s">
        <v>223</v>
      </c>
      <c r="K15997">
        <v>4348.5</v>
      </c>
      <c r="L15997">
        <v>574.30999999999995</v>
      </c>
      <c r="M15997">
        <v>59802</v>
      </c>
      <c r="N15997" t="s">
        <v>195</v>
      </c>
      <c r="O15997">
        <v>250617</v>
      </c>
      <c r="P15997">
        <v>2252.21</v>
      </c>
    </row>
    <row r="15998" spans="1:16" x14ac:dyDescent="0.25">
      <c r="A15998" t="s">
        <v>3296</v>
      </c>
      <c r="B15998" t="s">
        <v>2931</v>
      </c>
      <c r="C15998">
        <v>8656</v>
      </c>
      <c r="D15998" t="str">
        <f>"60689       "</f>
        <v xml:space="preserve">60689       </v>
      </c>
      <c r="E15998" t="s">
        <v>957</v>
      </c>
      <c r="F15998" t="s">
        <v>958</v>
      </c>
      <c r="G15998">
        <v>3523.94</v>
      </c>
      <c r="H15998">
        <v>250531</v>
      </c>
      <c r="I15998">
        <v>4571</v>
      </c>
      <c r="J15998" t="s">
        <v>223</v>
      </c>
      <c r="K15998">
        <v>3523.94</v>
      </c>
      <c r="L15998">
        <v>716.02</v>
      </c>
      <c r="M15998">
        <v>59501</v>
      </c>
      <c r="N15998" t="s">
        <v>62</v>
      </c>
      <c r="O15998">
        <v>250617</v>
      </c>
      <c r="P15998">
        <v>2807.92</v>
      </c>
    </row>
    <row r="15999" spans="1:16" x14ac:dyDescent="0.25">
      <c r="A15999" t="s">
        <v>3296</v>
      </c>
      <c r="B15999" t="s">
        <v>2931</v>
      </c>
      <c r="C15999">
        <v>8664</v>
      </c>
      <c r="D15999" t="str">
        <f>"60879       "</f>
        <v xml:space="preserve">60879       </v>
      </c>
      <c r="E15999" t="s">
        <v>957</v>
      </c>
      <c r="F15999" t="s">
        <v>958</v>
      </c>
      <c r="G15999">
        <v>4856.08</v>
      </c>
      <c r="H15999">
        <v>250531</v>
      </c>
      <c r="I15999">
        <v>4571</v>
      </c>
      <c r="J15999" t="s">
        <v>223</v>
      </c>
      <c r="K15999">
        <v>5518.27</v>
      </c>
      <c r="L15999">
        <v>986.69</v>
      </c>
      <c r="M15999">
        <v>59505</v>
      </c>
      <c r="N15999" t="s">
        <v>194</v>
      </c>
      <c r="O15999">
        <v>250617</v>
      </c>
      <c r="P15999">
        <v>3869.39</v>
      </c>
    </row>
    <row r="16000" spans="1:16" x14ac:dyDescent="0.25">
      <c r="A16000" t="s">
        <v>3296</v>
      </c>
      <c r="B16000" t="s">
        <v>2931</v>
      </c>
      <c r="C16000">
        <v>8664</v>
      </c>
      <c r="D16000" t="str">
        <f>"60879       "</f>
        <v xml:space="preserve">60879       </v>
      </c>
      <c r="E16000" t="s">
        <v>957</v>
      </c>
      <c r="F16000" t="s">
        <v>958</v>
      </c>
      <c r="G16000">
        <v>662.19</v>
      </c>
      <c r="H16000">
        <v>250531</v>
      </c>
      <c r="I16000">
        <v>4571</v>
      </c>
      <c r="J16000" t="s">
        <v>223</v>
      </c>
      <c r="K16000">
        <v>5518.27</v>
      </c>
      <c r="L16000">
        <v>134.55000000000001</v>
      </c>
      <c r="M16000">
        <v>59812</v>
      </c>
      <c r="N16000" t="s">
        <v>196</v>
      </c>
      <c r="O16000">
        <v>250617</v>
      </c>
      <c r="P16000">
        <v>527.64</v>
      </c>
    </row>
    <row r="16001" spans="1:16" x14ac:dyDescent="0.25">
      <c r="A16001" t="s">
        <v>3296</v>
      </c>
      <c r="B16001" t="s">
        <v>2931</v>
      </c>
      <c r="C16001">
        <v>9597</v>
      </c>
      <c r="D16001" t="str">
        <f>"61104       "</f>
        <v xml:space="preserve">61104       </v>
      </c>
      <c r="E16001" t="s">
        <v>957</v>
      </c>
      <c r="F16001" t="s">
        <v>958</v>
      </c>
      <c r="G16001">
        <v>2222.4</v>
      </c>
      <c r="H16001">
        <v>250630</v>
      </c>
      <c r="I16001">
        <v>4571</v>
      </c>
      <c r="J16001" t="s">
        <v>223</v>
      </c>
      <c r="K16001">
        <v>2525.4499999999998</v>
      </c>
      <c r="L16001">
        <v>451.56</v>
      </c>
      <c r="M16001">
        <v>59505</v>
      </c>
      <c r="N16001" t="s">
        <v>194</v>
      </c>
      <c r="O16001">
        <v>250721</v>
      </c>
      <c r="P16001">
        <v>1770.84</v>
      </c>
    </row>
    <row r="16002" spans="1:16" x14ac:dyDescent="0.25">
      <c r="A16002" t="s">
        <v>3296</v>
      </c>
      <c r="B16002" t="s">
        <v>2931</v>
      </c>
      <c r="C16002">
        <v>9597</v>
      </c>
      <c r="D16002" t="str">
        <f>"61104       "</f>
        <v xml:space="preserve">61104       </v>
      </c>
      <c r="E16002" t="s">
        <v>957</v>
      </c>
      <c r="F16002" t="s">
        <v>958</v>
      </c>
      <c r="G16002">
        <v>303.05</v>
      </c>
      <c r="H16002">
        <v>250630</v>
      </c>
      <c r="I16002">
        <v>4571</v>
      </c>
      <c r="J16002" t="s">
        <v>223</v>
      </c>
      <c r="K16002">
        <v>2525.4499999999998</v>
      </c>
      <c r="L16002">
        <v>61.58</v>
      </c>
      <c r="M16002">
        <v>59812</v>
      </c>
      <c r="N16002" t="s">
        <v>196</v>
      </c>
      <c r="O16002">
        <v>250721</v>
      </c>
      <c r="P16002">
        <v>241.47</v>
      </c>
    </row>
    <row r="16003" spans="1:16" x14ac:dyDescent="0.25">
      <c r="A16003" t="s">
        <v>3296</v>
      </c>
      <c r="B16003" t="s">
        <v>2931</v>
      </c>
      <c r="C16003">
        <v>9598</v>
      </c>
      <c r="D16003" t="str">
        <f>"60987       "</f>
        <v xml:space="preserve">60987       </v>
      </c>
      <c r="E16003" t="s">
        <v>957</v>
      </c>
      <c r="F16003" t="s">
        <v>958</v>
      </c>
      <c r="G16003">
        <v>453.34</v>
      </c>
      <c r="H16003">
        <v>250630</v>
      </c>
      <c r="I16003">
        <v>4571</v>
      </c>
      <c r="J16003" t="s">
        <v>223</v>
      </c>
      <c r="K16003">
        <v>5666.77</v>
      </c>
      <c r="L16003">
        <v>92.11</v>
      </c>
      <c r="M16003">
        <v>59111</v>
      </c>
      <c r="N16003" t="s">
        <v>60</v>
      </c>
      <c r="O16003">
        <v>250721</v>
      </c>
      <c r="P16003">
        <v>361.23</v>
      </c>
    </row>
    <row r="16004" spans="1:16" x14ac:dyDescent="0.25">
      <c r="A16004" t="s">
        <v>3296</v>
      </c>
      <c r="B16004" t="s">
        <v>2931</v>
      </c>
      <c r="C16004">
        <v>9598</v>
      </c>
      <c r="D16004" t="str">
        <f>"60987       "</f>
        <v xml:space="preserve">60987       </v>
      </c>
      <c r="E16004" t="s">
        <v>957</v>
      </c>
      <c r="F16004" t="s">
        <v>958</v>
      </c>
      <c r="G16004">
        <v>5213.43</v>
      </c>
      <c r="H16004">
        <v>250630</v>
      </c>
      <c r="I16004">
        <v>4571</v>
      </c>
      <c r="J16004" t="s">
        <v>223</v>
      </c>
      <c r="K16004">
        <v>5666.77</v>
      </c>
      <c r="L16004">
        <v>1059.3</v>
      </c>
      <c r="M16004">
        <v>59501</v>
      </c>
      <c r="N16004" t="s">
        <v>62</v>
      </c>
      <c r="O16004">
        <v>250721</v>
      </c>
      <c r="P16004">
        <v>4154.13</v>
      </c>
    </row>
    <row r="16005" spans="1:16" x14ac:dyDescent="0.25">
      <c r="A16005" t="s">
        <v>3296</v>
      </c>
      <c r="B16005" t="s">
        <v>2931</v>
      </c>
      <c r="C16005">
        <v>9599</v>
      </c>
      <c r="D16005" t="str">
        <f>"60975       "</f>
        <v xml:space="preserve">60975       </v>
      </c>
      <c r="E16005" t="s">
        <v>957</v>
      </c>
      <c r="F16005" t="s">
        <v>958</v>
      </c>
      <c r="G16005">
        <v>803.93</v>
      </c>
      <c r="H16005">
        <v>250630</v>
      </c>
      <c r="I16005">
        <v>4571</v>
      </c>
      <c r="J16005" t="s">
        <v>223</v>
      </c>
      <c r="K16005">
        <v>2296.9299999999998</v>
      </c>
      <c r="L16005">
        <v>163.35</v>
      </c>
      <c r="M16005">
        <v>59502</v>
      </c>
      <c r="N16005" t="s">
        <v>63</v>
      </c>
      <c r="O16005">
        <v>250721</v>
      </c>
      <c r="P16005">
        <v>640.58000000000004</v>
      </c>
    </row>
    <row r="16006" spans="1:16" x14ac:dyDescent="0.25">
      <c r="A16006" t="s">
        <v>3296</v>
      </c>
      <c r="B16006" t="s">
        <v>2931</v>
      </c>
      <c r="C16006">
        <v>9599</v>
      </c>
      <c r="D16006" t="str">
        <f>"60975       "</f>
        <v xml:space="preserve">60975       </v>
      </c>
      <c r="E16006" t="s">
        <v>957</v>
      </c>
      <c r="F16006" t="s">
        <v>958</v>
      </c>
      <c r="G16006">
        <v>1493</v>
      </c>
      <c r="H16006">
        <v>250630</v>
      </c>
      <c r="I16006">
        <v>4571</v>
      </c>
      <c r="J16006" t="s">
        <v>223</v>
      </c>
      <c r="K16006">
        <v>2296.9299999999998</v>
      </c>
      <c r="L16006">
        <v>303.36</v>
      </c>
      <c r="M16006">
        <v>59802</v>
      </c>
      <c r="N16006" t="s">
        <v>195</v>
      </c>
      <c r="O16006">
        <v>250721</v>
      </c>
      <c r="P16006">
        <v>1189.6400000000001</v>
      </c>
    </row>
    <row r="16007" spans="1:16" x14ac:dyDescent="0.25">
      <c r="A16007" t="s">
        <v>3296</v>
      </c>
      <c r="B16007" t="s">
        <v>2931</v>
      </c>
      <c r="C16007">
        <v>9601</v>
      </c>
      <c r="D16007" t="str">
        <f>"60978       "</f>
        <v xml:space="preserve">60978       </v>
      </c>
      <c r="E16007" t="s">
        <v>957</v>
      </c>
      <c r="F16007" t="s">
        <v>958</v>
      </c>
      <c r="G16007">
        <v>2647.19</v>
      </c>
      <c r="H16007">
        <v>250630</v>
      </c>
      <c r="I16007">
        <v>4571</v>
      </c>
      <c r="J16007" t="s">
        <v>223</v>
      </c>
      <c r="K16007">
        <v>2647.19</v>
      </c>
      <c r="L16007">
        <v>537.88</v>
      </c>
      <c r="M16007">
        <v>59501</v>
      </c>
      <c r="N16007" t="s">
        <v>62</v>
      </c>
      <c r="O16007">
        <v>250721</v>
      </c>
      <c r="P16007">
        <v>2109.31</v>
      </c>
    </row>
    <row r="16008" spans="1:16" x14ac:dyDescent="0.25">
      <c r="A16008" t="s">
        <v>3296</v>
      </c>
      <c r="B16008" t="s">
        <v>2931</v>
      </c>
      <c r="C16008">
        <v>9602</v>
      </c>
      <c r="D16008" t="str">
        <f>"60916       "</f>
        <v xml:space="preserve">60916       </v>
      </c>
      <c r="E16008" t="s">
        <v>957</v>
      </c>
      <c r="F16008" t="s">
        <v>958</v>
      </c>
      <c r="G16008">
        <v>2441.79</v>
      </c>
      <c r="H16008">
        <v>250630</v>
      </c>
      <c r="I16008">
        <v>4571</v>
      </c>
      <c r="J16008" t="s">
        <v>223</v>
      </c>
      <c r="K16008">
        <v>2441.79</v>
      </c>
      <c r="L16008">
        <v>496.14</v>
      </c>
      <c r="M16008">
        <v>59501</v>
      </c>
      <c r="N16008" t="s">
        <v>62</v>
      </c>
      <c r="O16008">
        <v>250721</v>
      </c>
      <c r="P16008">
        <v>1945.65</v>
      </c>
    </row>
    <row r="16009" spans="1:16" x14ac:dyDescent="0.25">
      <c r="A16009" t="s">
        <v>3296</v>
      </c>
      <c r="B16009" t="s">
        <v>2931</v>
      </c>
      <c r="C16009">
        <v>9603</v>
      </c>
      <c r="D16009" t="str">
        <f>"60976       "</f>
        <v xml:space="preserve">60976       </v>
      </c>
      <c r="E16009" t="s">
        <v>957</v>
      </c>
      <c r="F16009" t="s">
        <v>958</v>
      </c>
      <c r="G16009">
        <v>2954.36</v>
      </c>
      <c r="H16009">
        <v>250630</v>
      </c>
      <c r="I16009">
        <v>4571</v>
      </c>
      <c r="J16009" t="s">
        <v>223</v>
      </c>
      <c r="K16009">
        <v>2954.36</v>
      </c>
      <c r="L16009">
        <v>600.29</v>
      </c>
      <c r="M16009">
        <v>59502</v>
      </c>
      <c r="N16009" t="s">
        <v>63</v>
      </c>
      <c r="O16009">
        <v>250721</v>
      </c>
      <c r="P16009">
        <v>2354.0700000000002</v>
      </c>
    </row>
    <row r="16010" spans="1:16" x14ac:dyDescent="0.25">
      <c r="A16010" t="s">
        <v>3296</v>
      </c>
      <c r="B16010" t="s">
        <v>2931</v>
      </c>
      <c r="C16010">
        <v>10162</v>
      </c>
      <c r="D16010" t="str">
        <f>"61206       "</f>
        <v xml:space="preserve">61206       </v>
      </c>
      <c r="E16010" t="s">
        <v>957</v>
      </c>
      <c r="F16010" t="s">
        <v>958</v>
      </c>
      <c r="G16010">
        <v>2314.65</v>
      </c>
      <c r="H16010">
        <v>250731</v>
      </c>
      <c r="I16010">
        <v>4571</v>
      </c>
      <c r="J16010" t="s">
        <v>223</v>
      </c>
      <c r="K16010">
        <v>2314.65</v>
      </c>
      <c r="L16010">
        <v>470.31</v>
      </c>
      <c r="M16010">
        <v>59501</v>
      </c>
      <c r="N16010" t="s">
        <v>62</v>
      </c>
      <c r="O16010">
        <v>250812</v>
      </c>
      <c r="P16010">
        <v>1844.34</v>
      </c>
    </row>
    <row r="16011" spans="1:16" x14ac:dyDescent="0.25">
      <c r="A16011" t="s">
        <v>3296</v>
      </c>
      <c r="B16011" t="s">
        <v>2931</v>
      </c>
      <c r="C16011">
        <v>10163</v>
      </c>
      <c r="D16011" t="str">
        <f>"61204       "</f>
        <v xml:space="preserve">61204       </v>
      </c>
      <c r="E16011" t="s">
        <v>957</v>
      </c>
      <c r="F16011" t="s">
        <v>958</v>
      </c>
      <c r="G16011">
        <v>2299.61</v>
      </c>
      <c r="H16011">
        <v>250731</v>
      </c>
      <c r="I16011">
        <v>4571</v>
      </c>
      <c r="J16011" t="s">
        <v>223</v>
      </c>
      <c r="K16011">
        <v>2299.61</v>
      </c>
      <c r="L16011">
        <v>467.25</v>
      </c>
      <c r="M16011">
        <v>59502</v>
      </c>
      <c r="N16011" t="s">
        <v>63</v>
      </c>
      <c r="O16011">
        <v>250812</v>
      </c>
      <c r="P16011">
        <v>1832.36</v>
      </c>
    </row>
    <row r="16012" spans="1:16" x14ac:dyDescent="0.25">
      <c r="A16012" t="s">
        <v>3296</v>
      </c>
      <c r="B16012" t="s">
        <v>2931</v>
      </c>
      <c r="C16012">
        <v>10164</v>
      </c>
      <c r="D16012" t="str">
        <f>"61216       "</f>
        <v xml:space="preserve">61216       </v>
      </c>
      <c r="E16012" t="s">
        <v>957</v>
      </c>
      <c r="F16012" t="s">
        <v>958</v>
      </c>
      <c r="G16012">
        <v>378.42</v>
      </c>
      <c r="H16012">
        <v>250731</v>
      </c>
      <c r="I16012">
        <v>4571</v>
      </c>
      <c r="J16012" t="s">
        <v>223</v>
      </c>
      <c r="K16012">
        <v>4730.2299999999996</v>
      </c>
      <c r="L16012">
        <v>76.89</v>
      </c>
      <c r="M16012">
        <v>59111</v>
      </c>
      <c r="N16012" t="s">
        <v>60</v>
      </c>
      <c r="O16012">
        <v>250812</v>
      </c>
      <c r="P16012">
        <v>301.52999999999997</v>
      </c>
    </row>
    <row r="16013" spans="1:16" x14ac:dyDescent="0.25">
      <c r="A16013" t="s">
        <v>3296</v>
      </c>
      <c r="B16013" t="s">
        <v>2931</v>
      </c>
      <c r="C16013">
        <v>10164</v>
      </c>
      <c r="D16013" t="str">
        <f>"61216       "</f>
        <v xml:space="preserve">61216       </v>
      </c>
      <c r="E16013" t="s">
        <v>957</v>
      </c>
      <c r="F16013" t="s">
        <v>958</v>
      </c>
      <c r="G16013">
        <v>4351.8100000000004</v>
      </c>
      <c r="H16013">
        <v>250731</v>
      </c>
      <c r="I16013">
        <v>4571</v>
      </c>
      <c r="J16013" t="s">
        <v>223</v>
      </c>
      <c r="K16013">
        <v>4730.2299999999996</v>
      </c>
      <c r="L16013">
        <v>884.23</v>
      </c>
      <c r="M16013">
        <v>59501</v>
      </c>
      <c r="N16013" t="s">
        <v>62</v>
      </c>
      <c r="O16013">
        <v>250812</v>
      </c>
      <c r="P16013">
        <v>3467.58</v>
      </c>
    </row>
    <row r="16014" spans="1:16" x14ac:dyDescent="0.25">
      <c r="A16014" t="s">
        <v>3296</v>
      </c>
      <c r="B16014" t="s">
        <v>2931</v>
      </c>
      <c r="C16014">
        <v>10165</v>
      </c>
      <c r="D16014" t="str">
        <f>"61143       "</f>
        <v xml:space="preserve">61143       </v>
      </c>
      <c r="E16014" t="s">
        <v>957</v>
      </c>
      <c r="F16014" t="s">
        <v>958</v>
      </c>
      <c r="G16014">
        <v>2303.6999999999998</v>
      </c>
      <c r="H16014">
        <v>250731</v>
      </c>
      <c r="I16014">
        <v>4571</v>
      </c>
      <c r="J16014" t="s">
        <v>223</v>
      </c>
      <c r="K16014">
        <v>2303.6999999999998</v>
      </c>
      <c r="L16014">
        <v>468.08</v>
      </c>
      <c r="M16014">
        <v>59501</v>
      </c>
      <c r="N16014" t="s">
        <v>62</v>
      </c>
      <c r="O16014">
        <v>250812</v>
      </c>
      <c r="P16014">
        <v>1835.62</v>
      </c>
    </row>
    <row r="16015" spans="1:16" x14ac:dyDescent="0.25">
      <c r="A16015" t="s">
        <v>3296</v>
      </c>
      <c r="B16015" t="s">
        <v>2931</v>
      </c>
      <c r="C16015">
        <v>10167</v>
      </c>
      <c r="D16015" t="str">
        <f>"61203       "</f>
        <v xml:space="preserve">61203       </v>
      </c>
      <c r="E16015" t="s">
        <v>957</v>
      </c>
      <c r="F16015" t="s">
        <v>958</v>
      </c>
      <c r="G16015">
        <v>706.28</v>
      </c>
      <c r="H16015">
        <v>250731</v>
      </c>
      <c r="I16015">
        <v>4571</v>
      </c>
      <c r="J16015" t="s">
        <v>223</v>
      </c>
      <c r="K16015">
        <v>2017.94</v>
      </c>
      <c r="L16015">
        <v>143.51</v>
      </c>
      <c r="M16015">
        <v>59502</v>
      </c>
      <c r="N16015" t="s">
        <v>63</v>
      </c>
      <c r="O16015">
        <v>250812</v>
      </c>
      <c r="P16015">
        <v>562.77</v>
      </c>
    </row>
    <row r="16016" spans="1:16" x14ac:dyDescent="0.25">
      <c r="A16016" t="s">
        <v>3296</v>
      </c>
      <c r="B16016" t="s">
        <v>2931</v>
      </c>
      <c r="C16016">
        <v>10167</v>
      </c>
      <c r="D16016" t="str">
        <f>"61203       "</f>
        <v xml:space="preserve">61203       </v>
      </c>
      <c r="E16016" t="s">
        <v>957</v>
      </c>
      <c r="F16016" t="s">
        <v>958</v>
      </c>
      <c r="G16016">
        <v>1311.66</v>
      </c>
      <c r="H16016">
        <v>250731</v>
      </c>
      <c r="I16016">
        <v>4571</v>
      </c>
      <c r="J16016" t="s">
        <v>223</v>
      </c>
      <c r="K16016">
        <v>2017.94</v>
      </c>
      <c r="L16016">
        <v>266.51</v>
      </c>
      <c r="M16016">
        <v>59802</v>
      </c>
      <c r="N16016" t="s">
        <v>195</v>
      </c>
      <c r="O16016">
        <v>250812</v>
      </c>
      <c r="P16016">
        <v>1045.1500000000001</v>
      </c>
    </row>
    <row r="16017" spans="1:16" x14ac:dyDescent="0.25">
      <c r="A16017" t="s">
        <v>3296</v>
      </c>
      <c r="B16017" t="s">
        <v>2931</v>
      </c>
      <c r="C16017">
        <v>10322</v>
      </c>
      <c r="D16017" t="str">
        <f>"61333       "</f>
        <v xml:space="preserve">61333       </v>
      </c>
      <c r="E16017" t="s">
        <v>957</v>
      </c>
      <c r="F16017" t="s">
        <v>958</v>
      </c>
      <c r="G16017">
        <v>2158.7399999999998</v>
      </c>
      <c r="H16017">
        <v>250731</v>
      </c>
      <c r="I16017">
        <v>4571</v>
      </c>
      <c r="J16017" t="s">
        <v>223</v>
      </c>
      <c r="K16017">
        <v>2458.92</v>
      </c>
      <c r="L16017">
        <v>438.63</v>
      </c>
      <c r="M16017">
        <v>59505</v>
      </c>
      <c r="N16017" t="s">
        <v>194</v>
      </c>
      <c r="O16017">
        <v>250814</v>
      </c>
      <c r="P16017">
        <v>1720.11</v>
      </c>
    </row>
    <row r="16018" spans="1:16" x14ac:dyDescent="0.25">
      <c r="A16018" t="s">
        <v>3296</v>
      </c>
      <c r="B16018" t="s">
        <v>2931</v>
      </c>
      <c r="C16018">
        <v>10322</v>
      </c>
      <c r="D16018" t="str">
        <f>"61333       "</f>
        <v xml:space="preserve">61333       </v>
      </c>
      <c r="E16018" t="s">
        <v>957</v>
      </c>
      <c r="F16018" t="s">
        <v>958</v>
      </c>
      <c r="G16018">
        <v>294.37</v>
      </c>
      <c r="H16018">
        <v>250731</v>
      </c>
      <c r="I16018">
        <v>4571</v>
      </c>
      <c r="J16018" t="s">
        <v>223</v>
      </c>
      <c r="K16018">
        <v>2458.92</v>
      </c>
      <c r="L16018">
        <v>59.81</v>
      </c>
      <c r="M16018">
        <v>59812</v>
      </c>
      <c r="N16018" t="s">
        <v>196</v>
      </c>
      <c r="O16018">
        <v>250814</v>
      </c>
      <c r="P16018">
        <v>234.56</v>
      </c>
    </row>
    <row r="16019" spans="1:16" x14ac:dyDescent="0.25">
      <c r="A16019" t="s">
        <v>3296</v>
      </c>
      <c r="B16019" t="s">
        <v>2931</v>
      </c>
      <c r="C16019">
        <v>11531</v>
      </c>
      <c r="D16019" t="str">
        <f>"61559       "</f>
        <v xml:space="preserve">61559       </v>
      </c>
      <c r="E16019" t="s">
        <v>957</v>
      </c>
      <c r="F16019" t="s">
        <v>958</v>
      </c>
      <c r="G16019">
        <v>2333.16</v>
      </c>
      <c r="H16019">
        <v>250831</v>
      </c>
      <c r="I16019">
        <v>4571</v>
      </c>
      <c r="J16019" t="s">
        <v>223</v>
      </c>
      <c r="K16019">
        <v>2651.32</v>
      </c>
      <c r="L16019">
        <v>474.07</v>
      </c>
      <c r="M16019">
        <v>59505</v>
      </c>
      <c r="N16019" t="s">
        <v>194</v>
      </c>
      <c r="O16019">
        <v>250908</v>
      </c>
      <c r="P16019">
        <v>1859.09</v>
      </c>
    </row>
    <row r="16020" spans="1:16" x14ac:dyDescent="0.25">
      <c r="A16020" t="s">
        <v>3296</v>
      </c>
      <c r="B16020" t="s">
        <v>2931</v>
      </c>
      <c r="C16020">
        <v>11531</v>
      </c>
      <c r="D16020" t="str">
        <f>"61559       "</f>
        <v xml:space="preserve">61559       </v>
      </c>
      <c r="E16020" t="s">
        <v>957</v>
      </c>
      <c r="F16020" t="s">
        <v>958</v>
      </c>
      <c r="G16020">
        <v>318.16000000000003</v>
      </c>
      <c r="H16020">
        <v>250831</v>
      </c>
      <c r="I16020">
        <v>4571</v>
      </c>
      <c r="J16020" t="s">
        <v>223</v>
      </c>
      <c r="K16020">
        <v>2651.32</v>
      </c>
      <c r="L16020">
        <v>64.650000000000006</v>
      </c>
      <c r="M16020">
        <v>59812</v>
      </c>
      <c r="N16020" t="s">
        <v>196</v>
      </c>
      <c r="O16020">
        <v>250908</v>
      </c>
      <c r="P16020">
        <v>253.51</v>
      </c>
    </row>
    <row r="16021" spans="1:16" x14ac:dyDescent="0.25">
      <c r="A16021" t="s">
        <v>3296</v>
      </c>
      <c r="B16021" t="s">
        <v>2931</v>
      </c>
      <c r="C16021">
        <v>11536</v>
      </c>
      <c r="D16021" t="str">
        <f>"61431       "</f>
        <v xml:space="preserve">61431       </v>
      </c>
      <c r="E16021" t="s">
        <v>957</v>
      </c>
      <c r="F16021" t="s">
        <v>958</v>
      </c>
      <c r="G16021">
        <v>3140.35</v>
      </c>
      <c r="H16021">
        <v>250831</v>
      </c>
      <c r="I16021">
        <v>4571</v>
      </c>
      <c r="J16021" t="s">
        <v>223</v>
      </c>
      <c r="K16021">
        <v>3140.35</v>
      </c>
      <c r="L16021">
        <v>638.08000000000004</v>
      </c>
      <c r="M16021">
        <v>59502</v>
      </c>
      <c r="N16021" t="s">
        <v>63</v>
      </c>
      <c r="O16021">
        <v>250908</v>
      </c>
      <c r="P16021">
        <v>2502.27</v>
      </c>
    </row>
    <row r="16022" spans="1:16" x14ac:dyDescent="0.25">
      <c r="A16022" t="s">
        <v>3296</v>
      </c>
      <c r="B16022" t="s">
        <v>2931</v>
      </c>
      <c r="C16022">
        <v>11539</v>
      </c>
      <c r="D16022" t="str">
        <f>"61433       "</f>
        <v xml:space="preserve">61433       </v>
      </c>
      <c r="E16022" t="s">
        <v>957</v>
      </c>
      <c r="F16022" t="s">
        <v>958</v>
      </c>
      <c r="G16022">
        <v>2740.18</v>
      </c>
      <c r="H16022">
        <v>250831</v>
      </c>
      <c r="I16022">
        <v>4571</v>
      </c>
      <c r="J16022" t="s">
        <v>223</v>
      </c>
      <c r="K16022">
        <v>2740.18</v>
      </c>
      <c r="L16022">
        <v>556.77</v>
      </c>
      <c r="M16022">
        <v>59501</v>
      </c>
      <c r="N16022" t="s">
        <v>62</v>
      </c>
      <c r="O16022">
        <v>250908</v>
      </c>
      <c r="P16022">
        <v>2183.41</v>
      </c>
    </row>
    <row r="16023" spans="1:16" x14ac:dyDescent="0.25">
      <c r="A16023" t="s">
        <v>3296</v>
      </c>
      <c r="B16023" t="s">
        <v>2931</v>
      </c>
      <c r="C16023">
        <v>11551</v>
      </c>
      <c r="D16023" t="str">
        <f>"61430       "</f>
        <v xml:space="preserve">61430       </v>
      </c>
      <c r="E16023" t="s">
        <v>957</v>
      </c>
      <c r="F16023" t="s">
        <v>958</v>
      </c>
      <c r="G16023">
        <v>809.51</v>
      </c>
      <c r="H16023">
        <v>250831</v>
      </c>
      <c r="I16023">
        <v>4571</v>
      </c>
      <c r="J16023" t="s">
        <v>223</v>
      </c>
      <c r="K16023">
        <v>2312.89</v>
      </c>
      <c r="L16023">
        <v>164.48</v>
      </c>
      <c r="M16023">
        <v>59502</v>
      </c>
      <c r="N16023" t="s">
        <v>63</v>
      </c>
      <c r="O16023">
        <v>250908</v>
      </c>
      <c r="P16023">
        <v>645.03</v>
      </c>
    </row>
    <row r="16024" spans="1:16" x14ac:dyDescent="0.25">
      <c r="A16024" t="s">
        <v>3296</v>
      </c>
      <c r="B16024" t="s">
        <v>2931</v>
      </c>
      <c r="C16024">
        <v>11551</v>
      </c>
      <c r="D16024" t="str">
        <f>"61430       "</f>
        <v xml:space="preserve">61430       </v>
      </c>
      <c r="E16024" t="s">
        <v>957</v>
      </c>
      <c r="F16024" t="s">
        <v>958</v>
      </c>
      <c r="G16024">
        <v>1503.38</v>
      </c>
      <c r="H16024">
        <v>250831</v>
      </c>
      <c r="I16024">
        <v>4571</v>
      </c>
      <c r="J16024" t="s">
        <v>223</v>
      </c>
      <c r="K16024">
        <v>2312.89</v>
      </c>
      <c r="L16024">
        <v>305.47000000000003</v>
      </c>
      <c r="M16024">
        <v>59802</v>
      </c>
      <c r="N16024" t="s">
        <v>195</v>
      </c>
      <c r="O16024">
        <v>250908</v>
      </c>
      <c r="P16024">
        <v>1197.9100000000001</v>
      </c>
    </row>
    <row r="16025" spans="1:16" x14ac:dyDescent="0.25">
      <c r="A16025" t="s">
        <v>3296</v>
      </c>
      <c r="B16025" t="s">
        <v>2931</v>
      </c>
      <c r="C16025">
        <v>11556</v>
      </c>
      <c r="D16025" t="str">
        <f>"61370       "</f>
        <v xml:space="preserve">61370       </v>
      </c>
      <c r="E16025" t="s">
        <v>957</v>
      </c>
      <c r="F16025" t="s">
        <v>958</v>
      </c>
      <c r="G16025">
        <v>2501.92</v>
      </c>
      <c r="H16025">
        <v>250831</v>
      </c>
      <c r="I16025">
        <v>4571</v>
      </c>
      <c r="J16025" t="s">
        <v>223</v>
      </c>
      <c r="K16025">
        <v>2501.92</v>
      </c>
      <c r="L16025">
        <v>508.36</v>
      </c>
      <c r="M16025">
        <v>59501</v>
      </c>
      <c r="N16025" t="s">
        <v>62</v>
      </c>
      <c r="O16025">
        <v>250908</v>
      </c>
      <c r="P16025">
        <v>1993.56</v>
      </c>
    </row>
    <row r="16026" spans="1:16" x14ac:dyDescent="0.25">
      <c r="A16026" t="s">
        <v>3296</v>
      </c>
      <c r="B16026" t="s">
        <v>2931</v>
      </c>
      <c r="C16026">
        <v>11557</v>
      </c>
      <c r="D16026" t="str">
        <f>"61443       "</f>
        <v xml:space="preserve">61443       </v>
      </c>
      <c r="E16026" t="s">
        <v>957</v>
      </c>
      <c r="F16026" t="s">
        <v>958</v>
      </c>
      <c r="G16026">
        <v>478.74</v>
      </c>
      <c r="H16026">
        <v>250831</v>
      </c>
      <c r="I16026">
        <v>4571</v>
      </c>
      <c r="J16026" t="s">
        <v>223</v>
      </c>
      <c r="K16026">
        <v>5984.29</v>
      </c>
      <c r="L16026">
        <v>97.27</v>
      </c>
      <c r="M16026">
        <v>59111</v>
      </c>
      <c r="N16026" t="s">
        <v>60</v>
      </c>
      <c r="O16026">
        <v>250908</v>
      </c>
      <c r="P16026">
        <v>381.47</v>
      </c>
    </row>
    <row r="16027" spans="1:16" x14ac:dyDescent="0.25">
      <c r="A16027" t="s">
        <v>3296</v>
      </c>
      <c r="B16027" t="s">
        <v>2931</v>
      </c>
      <c r="C16027">
        <v>11557</v>
      </c>
      <c r="D16027" t="str">
        <f>"61443       "</f>
        <v xml:space="preserve">61443       </v>
      </c>
      <c r="E16027" t="s">
        <v>957</v>
      </c>
      <c r="F16027" t="s">
        <v>958</v>
      </c>
      <c r="G16027">
        <v>5505.55</v>
      </c>
      <c r="H16027">
        <v>250831</v>
      </c>
      <c r="I16027">
        <v>4571</v>
      </c>
      <c r="J16027" t="s">
        <v>223</v>
      </c>
      <c r="K16027">
        <v>5984.29</v>
      </c>
      <c r="L16027">
        <v>1118.6600000000001</v>
      </c>
      <c r="M16027">
        <v>59501</v>
      </c>
      <c r="N16027" t="s">
        <v>62</v>
      </c>
      <c r="O16027">
        <v>250908</v>
      </c>
      <c r="P16027">
        <v>4386.8900000000003</v>
      </c>
    </row>
    <row r="16028" spans="1:16" x14ac:dyDescent="0.25">
      <c r="A16028" t="s">
        <v>3296</v>
      </c>
      <c r="B16028" t="s">
        <v>2931</v>
      </c>
      <c r="C16028">
        <v>13040</v>
      </c>
      <c r="D16028" t="str">
        <f>"61598       "</f>
        <v xml:space="preserve">61598       </v>
      </c>
      <c r="E16028" t="s">
        <v>957</v>
      </c>
      <c r="F16028" t="s">
        <v>958</v>
      </c>
      <c r="G16028">
        <v>2682.27</v>
      </c>
      <c r="H16028">
        <v>250930</v>
      </c>
      <c r="I16028">
        <v>4571</v>
      </c>
      <c r="J16028" t="s">
        <v>223</v>
      </c>
      <c r="K16028">
        <v>2682.27</v>
      </c>
      <c r="L16028">
        <v>545</v>
      </c>
      <c r="M16028">
        <v>59501</v>
      </c>
      <c r="N16028" t="s">
        <v>62</v>
      </c>
      <c r="O16028">
        <v>251003</v>
      </c>
      <c r="P16028">
        <v>2137.27</v>
      </c>
    </row>
    <row r="16029" spans="1:16" x14ac:dyDescent="0.25">
      <c r="A16029" t="s">
        <v>3296</v>
      </c>
      <c r="B16029" t="s">
        <v>2931</v>
      </c>
      <c r="C16029">
        <v>13041</v>
      </c>
      <c r="D16029" t="str">
        <f>"61671       "</f>
        <v xml:space="preserve">61671       </v>
      </c>
      <c r="E16029" t="s">
        <v>957</v>
      </c>
      <c r="F16029" t="s">
        <v>958</v>
      </c>
      <c r="G16029">
        <v>566.29</v>
      </c>
      <c r="H16029">
        <v>250930</v>
      </c>
      <c r="I16029">
        <v>4571</v>
      </c>
      <c r="J16029" t="s">
        <v>223</v>
      </c>
      <c r="K16029">
        <v>7078.65</v>
      </c>
      <c r="L16029">
        <v>115.06</v>
      </c>
      <c r="M16029">
        <v>59111</v>
      </c>
      <c r="N16029" t="s">
        <v>60</v>
      </c>
      <c r="O16029">
        <v>251003</v>
      </c>
      <c r="P16029">
        <v>451.23</v>
      </c>
    </row>
    <row r="16030" spans="1:16" x14ac:dyDescent="0.25">
      <c r="A16030" t="s">
        <v>3296</v>
      </c>
      <c r="B16030" t="s">
        <v>2931</v>
      </c>
      <c r="C16030">
        <v>13041</v>
      </c>
      <c r="D16030" t="str">
        <f>"61671       "</f>
        <v xml:space="preserve">61671       </v>
      </c>
      <c r="E16030" t="s">
        <v>957</v>
      </c>
      <c r="F16030" t="s">
        <v>958</v>
      </c>
      <c r="G16030">
        <v>6512.36</v>
      </c>
      <c r="H16030">
        <v>250930</v>
      </c>
      <c r="I16030">
        <v>4571</v>
      </c>
      <c r="J16030" t="s">
        <v>223</v>
      </c>
      <c r="K16030">
        <v>7078.65</v>
      </c>
      <c r="L16030">
        <v>1323.23</v>
      </c>
      <c r="M16030">
        <v>59501</v>
      </c>
      <c r="N16030" t="s">
        <v>62</v>
      </c>
      <c r="O16030">
        <v>251003</v>
      </c>
      <c r="P16030">
        <v>5189.13</v>
      </c>
    </row>
    <row r="16031" spans="1:16" x14ac:dyDescent="0.25">
      <c r="A16031" t="s">
        <v>3296</v>
      </c>
      <c r="B16031" t="s">
        <v>2931</v>
      </c>
      <c r="C16031">
        <v>13042</v>
      </c>
      <c r="D16031" t="str">
        <f>"61658       "</f>
        <v xml:space="preserve">61658       </v>
      </c>
      <c r="E16031" t="s">
        <v>957</v>
      </c>
      <c r="F16031" t="s">
        <v>958</v>
      </c>
      <c r="G16031">
        <v>889.41</v>
      </c>
      <c r="H16031">
        <v>250930</v>
      </c>
      <c r="I16031">
        <v>4571</v>
      </c>
      <c r="J16031" t="s">
        <v>223</v>
      </c>
      <c r="K16031">
        <v>2541.16</v>
      </c>
      <c r="L16031">
        <v>180.72</v>
      </c>
      <c r="M16031">
        <v>59502</v>
      </c>
      <c r="N16031" t="s">
        <v>63</v>
      </c>
      <c r="O16031">
        <v>251003</v>
      </c>
      <c r="P16031">
        <v>708.69</v>
      </c>
    </row>
    <row r="16032" spans="1:16" x14ac:dyDescent="0.25">
      <c r="A16032" t="s">
        <v>3296</v>
      </c>
      <c r="B16032" t="s">
        <v>2931</v>
      </c>
      <c r="C16032">
        <v>13042</v>
      </c>
      <c r="D16032" t="str">
        <f>"61658       "</f>
        <v xml:space="preserve">61658       </v>
      </c>
      <c r="E16032" t="s">
        <v>957</v>
      </c>
      <c r="F16032" t="s">
        <v>958</v>
      </c>
      <c r="G16032">
        <v>1651.75</v>
      </c>
      <c r="H16032">
        <v>250930</v>
      </c>
      <c r="I16032">
        <v>4571</v>
      </c>
      <c r="J16032" t="s">
        <v>223</v>
      </c>
      <c r="K16032">
        <v>2541.16</v>
      </c>
      <c r="L16032">
        <v>335.61</v>
      </c>
      <c r="M16032">
        <v>59802</v>
      </c>
      <c r="N16032" t="s">
        <v>195</v>
      </c>
      <c r="O16032">
        <v>251003</v>
      </c>
      <c r="P16032">
        <v>1316.14</v>
      </c>
    </row>
    <row r="16033" spans="1:16" x14ac:dyDescent="0.25">
      <c r="A16033" t="s">
        <v>3296</v>
      </c>
      <c r="B16033" t="s">
        <v>2931</v>
      </c>
      <c r="C16033">
        <v>13043</v>
      </c>
      <c r="D16033" t="str">
        <f>"61659       "</f>
        <v xml:space="preserve">61659       </v>
      </c>
      <c r="E16033" t="s">
        <v>957</v>
      </c>
      <c r="F16033" t="s">
        <v>958</v>
      </c>
      <c r="G16033">
        <v>3462.56</v>
      </c>
      <c r="H16033">
        <v>250930</v>
      </c>
      <c r="I16033">
        <v>4571</v>
      </c>
      <c r="J16033" t="s">
        <v>223</v>
      </c>
      <c r="K16033">
        <v>3462.56</v>
      </c>
      <c r="L16033">
        <v>703.55</v>
      </c>
      <c r="M16033">
        <v>59502</v>
      </c>
      <c r="N16033" t="s">
        <v>63</v>
      </c>
      <c r="O16033">
        <v>251003</v>
      </c>
      <c r="P16033">
        <v>2759.01</v>
      </c>
    </row>
    <row r="16034" spans="1:16" x14ac:dyDescent="0.25">
      <c r="A16034" t="s">
        <v>3296</v>
      </c>
      <c r="B16034" t="s">
        <v>2931</v>
      </c>
      <c r="C16034">
        <v>13044</v>
      </c>
      <c r="D16034" t="str">
        <f>"61787       "</f>
        <v xml:space="preserve">61787       </v>
      </c>
      <c r="E16034" t="s">
        <v>957</v>
      </c>
      <c r="F16034" t="s">
        <v>958</v>
      </c>
      <c r="G16034">
        <v>2918.43</v>
      </c>
      <c r="H16034">
        <v>250930</v>
      </c>
      <c r="I16034">
        <v>4571</v>
      </c>
      <c r="J16034" t="s">
        <v>223</v>
      </c>
      <c r="K16034">
        <v>3316.4</v>
      </c>
      <c r="L16034">
        <v>592.99</v>
      </c>
      <c r="M16034">
        <v>59505</v>
      </c>
      <c r="N16034" t="s">
        <v>194</v>
      </c>
      <c r="O16034">
        <v>251003</v>
      </c>
      <c r="P16034">
        <v>2325.44</v>
      </c>
    </row>
    <row r="16035" spans="1:16" x14ac:dyDescent="0.25">
      <c r="A16035" t="s">
        <v>3296</v>
      </c>
      <c r="B16035" t="s">
        <v>2931</v>
      </c>
      <c r="C16035">
        <v>13044</v>
      </c>
      <c r="D16035" t="str">
        <f>"61787       "</f>
        <v xml:space="preserve">61787       </v>
      </c>
      <c r="E16035" t="s">
        <v>957</v>
      </c>
      <c r="F16035" t="s">
        <v>958</v>
      </c>
      <c r="G16035">
        <v>397.97</v>
      </c>
      <c r="H16035">
        <v>250930</v>
      </c>
      <c r="I16035">
        <v>4571</v>
      </c>
      <c r="J16035" t="s">
        <v>223</v>
      </c>
      <c r="K16035">
        <v>3316.4</v>
      </c>
      <c r="L16035">
        <v>80.86</v>
      </c>
      <c r="M16035">
        <v>59812</v>
      </c>
      <c r="N16035" t="s">
        <v>196</v>
      </c>
      <c r="O16035">
        <v>251003</v>
      </c>
      <c r="P16035">
        <v>317.11</v>
      </c>
    </row>
    <row r="16036" spans="1:16" x14ac:dyDescent="0.25">
      <c r="A16036" t="s">
        <v>3296</v>
      </c>
      <c r="B16036" t="s">
        <v>2931</v>
      </c>
      <c r="C16036">
        <v>13045</v>
      </c>
      <c r="D16036" t="str">
        <f>"61661       "</f>
        <v xml:space="preserve">61661       </v>
      </c>
      <c r="E16036" t="s">
        <v>957</v>
      </c>
      <c r="F16036" t="s">
        <v>958</v>
      </c>
      <c r="G16036">
        <v>3161.02</v>
      </c>
      <c r="H16036">
        <v>250930</v>
      </c>
      <c r="I16036">
        <v>4571</v>
      </c>
      <c r="J16036" t="s">
        <v>223</v>
      </c>
      <c r="K16036">
        <v>3161.02</v>
      </c>
      <c r="L16036">
        <v>642.28</v>
      </c>
      <c r="M16036">
        <v>59501</v>
      </c>
      <c r="N16036" t="s">
        <v>62</v>
      </c>
      <c r="O16036">
        <v>251003</v>
      </c>
      <c r="P16036">
        <v>2518.7399999999998</v>
      </c>
    </row>
    <row r="16037" spans="1:16" x14ac:dyDescent="0.25">
      <c r="A16037" t="s">
        <v>3296</v>
      </c>
      <c r="B16037" t="s">
        <v>2931</v>
      </c>
      <c r="C16037">
        <v>14606</v>
      </c>
      <c r="D16037" t="str">
        <f>"61898       "</f>
        <v xml:space="preserve">61898       </v>
      </c>
      <c r="E16037" t="s">
        <v>957</v>
      </c>
      <c r="F16037" t="s">
        <v>958</v>
      </c>
      <c r="G16037">
        <v>938.51</v>
      </c>
      <c r="H16037">
        <v>251031</v>
      </c>
      <c r="I16037">
        <v>4571</v>
      </c>
      <c r="J16037" t="s">
        <v>223</v>
      </c>
      <c r="K16037">
        <v>11731.34</v>
      </c>
      <c r="L16037">
        <v>190.69</v>
      </c>
      <c r="M16037">
        <v>59111</v>
      </c>
      <c r="N16037" t="s">
        <v>60</v>
      </c>
      <c r="O16037">
        <v>251105</v>
      </c>
      <c r="P16037">
        <v>747.82</v>
      </c>
    </row>
    <row r="16038" spans="1:16" x14ac:dyDescent="0.25">
      <c r="A16038" t="s">
        <v>3296</v>
      </c>
      <c r="B16038" t="s">
        <v>2931</v>
      </c>
      <c r="C16038">
        <v>14606</v>
      </c>
      <c r="D16038" t="str">
        <f>"61898       "</f>
        <v xml:space="preserve">61898       </v>
      </c>
      <c r="E16038" t="s">
        <v>957</v>
      </c>
      <c r="F16038" t="s">
        <v>958</v>
      </c>
      <c r="G16038">
        <v>10792.83</v>
      </c>
      <c r="H16038">
        <v>251031</v>
      </c>
      <c r="I16038">
        <v>4571</v>
      </c>
      <c r="J16038" t="s">
        <v>223</v>
      </c>
      <c r="K16038">
        <v>11731.34</v>
      </c>
      <c r="L16038">
        <v>2192.9699999999998</v>
      </c>
      <c r="M16038">
        <v>59501</v>
      </c>
      <c r="N16038" t="s">
        <v>62</v>
      </c>
      <c r="O16038">
        <v>251105</v>
      </c>
      <c r="P16038">
        <v>8599.86</v>
      </c>
    </row>
    <row r="16039" spans="1:16" x14ac:dyDescent="0.25">
      <c r="A16039" t="s">
        <v>3296</v>
      </c>
      <c r="B16039" t="s">
        <v>2931</v>
      </c>
      <c r="C16039">
        <v>14607</v>
      </c>
      <c r="D16039" t="str">
        <f>"61885       "</f>
        <v xml:space="preserve">61885       </v>
      </c>
      <c r="E16039" t="s">
        <v>957</v>
      </c>
      <c r="F16039" t="s">
        <v>958</v>
      </c>
      <c r="G16039">
        <v>1390.46</v>
      </c>
      <c r="H16039">
        <v>251031</v>
      </c>
      <c r="I16039">
        <v>4571</v>
      </c>
      <c r="J16039" t="s">
        <v>223</v>
      </c>
      <c r="K16039">
        <v>3972.75</v>
      </c>
      <c r="L16039">
        <v>282.52</v>
      </c>
      <c r="M16039">
        <v>59502</v>
      </c>
      <c r="N16039" t="s">
        <v>63</v>
      </c>
      <c r="O16039">
        <v>251105</v>
      </c>
      <c r="P16039">
        <v>1107.94</v>
      </c>
    </row>
    <row r="16040" spans="1:16" x14ac:dyDescent="0.25">
      <c r="A16040" t="s">
        <v>3296</v>
      </c>
      <c r="B16040" t="s">
        <v>2931</v>
      </c>
      <c r="C16040">
        <v>14607</v>
      </c>
      <c r="D16040" t="str">
        <f>"61885       "</f>
        <v xml:space="preserve">61885       </v>
      </c>
      <c r="E16040" t="s">
        <v>957</v>
      </c>
      <c r="F16040" t="s">
        <v>958</v>
      </c>
      <c r="G16040">
        <v>2582.29</v>
      </c>
      <c r="H16040">
        <v>251031</v>
      </c>
      <c r="I16040">
        <v>4571</v>
      </c>
      <c r="J16040" t="s">
        <v>223</v>
      </c>
      <c r="K16040">
        <v>3972.75</v>
      </c>
      <c r="L16040">
        <v>524.69000000000005</v>
      </c>
      <c r="M16040">
        <v>59802</v>
      </c>
      <c r="N16040" t="s">
        <v>195</v>
      </c>
      <c r="O16040">
        <v>251105</v>
      </c>
      <c r="P16040">
        <v>2057.6</v>
      </c>
    </row>
    <row r="16041" spans="1:16" x14ac:dyDescent="0.25">
      <c r="A16041" t="s">
        <v>3296</v>
      </c>
      <c r="B16041" t="s">
        <v>2931</v>
      </c>
      <c r="C16041">
        <v>14609</v>
      </c>
      <c r="D16041" t="str">
        <f>"61825       "</f>
        <v xml:space="preserve">61825       </v>
      </c>
      <c r="E16041" t="s">
        <v>957</v>
      </c>
      <c r="F16041" t="s">
        <v>958</v>
      </c>
      <c r="G16041">
        <v>3467.58</v>
      </c>
      <c r="H16041">
        <v>251031</v>
      </c>
      <c r="I16041">
        <v>4571</v>
      </c>
      <c r="J16041" t="s">
        <v>223</v>
      </c>
      <c r="K16041">
        <v>3467.58</v>
      </c>
      <c r="L16041">
        <v>704.57</v>
      </c>
      <c r="M16041">
        <v>59501</v>
      </c>
      <c r="N16041" t="s">
        <v>62</v>
      </c>
      <c r="O16041">
        <v>251105</v>
      </c>
      <c r="P16041">
        <v>2763.01</v>
      </c>
    </row>
    <row r="16042" spans="1:16" x14ac:dyDescent="0.25">
      <c r="A16042" t="s">
        <v>3296</v>
      </c>
      <c r="B16042" t="s">
        <v>2931</v>
      </c>
      <c r="C16042">
        <v>14618</v>
      </c>
      <c r="D16042" t="str">
        <f>"61886       "</f>
        <v xml:space="preserve">61886       </v>
      </c>
      <c r="E16042" t="s">
        <v>957</v>
      </c>
      <c r="F16042" t="s">
        <v>958</v>
      </c>
      <c r="G16042">
        <v>5869.21</v>
      </c>
      <c r="H16042">
        <v>251031</v>
      </c>
      <c r="I16042">
        <v>4571</v>
      </c>
      <c r="J16042" t="s">
        <v>223</v>
      </c>
      <c r="K16042">
        <v>5869.21</v>
      </c>
      <c r="L16042">
        <v>1192.55</v>
      </c>
      <c r="M16042">
        <v>59502</v>
      </c>
      <c r="N16042" t="s">
        <v>63</v>
      </c>
      <c r="O16042">
        <v>251105</v>
      </c>
      <c r="P16042">
        <v>4676.66</v>
      </c>
    </row>
    <row r="16043" spans="1:16" x14ac:dyDescent="0.25">
      <c r="A16043" t="s">
        <v>3296</v>
      </c>
      <c r="B16043" t="s">
        <v>2931</v>
      </c>
      <c r="C16043">
        <v>14620</v>
      </c>
      <c r="D16043" t="str">
        <f>"61888       "</f>
        <v xml:space="preserve">61888       </v>
      </c>
      <c r="E16043" t="s">
        <v>957</v>
      </c>
      <c r="F16043" t="s">
        <v>958</v>
      </c>
      <c r="G16043">
        <v>5473.73</v>
      </c>
      <c r="H16043">
        <v>251031</v>
      </c>
      <c r="I16043">
        <v>4571</v>
      </c>
      <c r="J16043" t="s">
        <v>223</v>
      </c>
      <c r="K16043">
        <v>5473.73</v>
      </c>
      <c r="L16043">
        <v>1112.19</v>
      </c>
      <c r="M16043">
        <v>59501</v>
      </c>
      <c r="N16043" t="s">
        <v>62</v>
      </c>
      <c r="O16043">
        <v>251105</v>
      </c>
      <c r="P16043">
        <v>4361.54</v>
      </c>
    </row>
    <row r="16044" spans="1:16" x14ac:dyDescent="0.25">
      <c r="A16044" t="s">
        <v>3296</v>
      </c>
      <c r="B16044" t="s">
        <v>2931</v>
      </c>
      <c r="C16044">
        <v>14621</v>
      </c>
      <c r="D16044" t="str">
        <f>"62014       "</f>
        <v xml:space="preserve">62014       </v>
      </c>
      <c r="E16044" t="s">
        <v>957</v>
      </c>
      <c r="F16044" t="s">
        <v>958</v>
      </c>
      <c r="G16044">
        <v>4995.79</v>
      </c>
      <c r="H16044">
        <v>251031</v>
      </c>
      <c r="I16044">
        <v>4571</v>
      </c>
      <c r="J16044" t="s">
        <v>223</v>
      </c>
      <c r="K16044">
        <v>5677.03</v>
      </c>
      <c r="L16044">
        <v>1015.08</v>
      </c>
      <c r="M16044">
        <v>59505</v>
      </c>
      <c r="N16044" t="s">
        <v>194</v>
      </c>
      <c r="O16044">
        <v>251105</v>
      </c>
      <c r="P16044">
        <v>3980.71</v>
      </c>
    </row>
    <row r="16045" spans="1:16" x14ac:dyDescent="0.25">
      <c r="A16045" t="s">
        <v>3296</v>
      </c>
      <c r="B16045" t="s">
        <v>2931</v>
      </c>
      <c r="C16045">
        <v>14621</v>
      </c>
      <c r="D16045" t="str">
        <f>"62014       "</f>
        <v xml:space="preserve">62014       </v>
      </c>
      <c r="E16045" t="s">
        <v>957</v>
      </c>
      <c r="F16045" t="s">
        <v>958</v>
      </c>
      <c r="G16045">
        <v>681.24</v>
      </c>
      <c r="H16045">
        <v>251031</v>
      </c>
      <c r="I16045">
        <v>4571</v>
      </c>
      <c r="J16045" t="s">
        <v>223</v>
      </c>
      <c r="K16045">
        <v>5677.03</v>
      </c>
      <c r="L16045">
        <v>138.41999999999999</v>
      </c>
      <c r="M16045">
        <v>59812</v>
      </c>
      <c r="N16045" t="s">
        <v>196</v>
      </c>
      <c r="O16045">
        <v>251105</v>
      </c>
      <c r="P16045">
        <v>542.82000000000005</v>
      </c>
    </row>
    <row r="16046" spans="1:16" x14ac:dyDescent="0.25">
      <c r="A16046" t="s">
        <v>3296</v>
      </c>
      <c r="B16046" t="s">
        <v>2931</v>
      </c>
      <c r="C16046">
        <v>16367</v>
      </c>
      <c r="D16046" t="str">
        <f>"62240       "</f>
        <v xml:space="preserve">62240       </v>
      </c>
      <c r="E16046" t="s">
        <v>957</v>
      </c>
      <c r="F16046" t="s">
        <v>958</v>
      </c>
      <c r="G16046">
        <v>6156.38</v>
      </c>
      <c r="H16046">
        <v>251130</v>
      </c>
      <c r="I16046">
        <v>4571</v>
      </c>
      <c r="J16046" t="s">
        <v>223</v>
      </c>
      <c r="K16046">
        <v>6995.89</v>
      </c>
      <c r="L16046">
        <v>1250.9000000000001</v>
      </c>
      <c r="M16046">
        <v>59505</v>
      </c>
      <c r="N16046" t="s">
        <v>194</v>
      </c>
      <c r="O16046">
        <v>251208</v>
      </c>
      <c r="P16046">
        <v>4905.4799999999996</v>
      </c>
    </row>
    <row r="16047" spans="1:16" x14ac:dyDescent="0.25">
      <c r="A16047" t="s">
        <v>3296</v>
      </c>
      <c r="B16047" t="s">
        <v>2931</v>
      </c>
      <c r="C16047">
        <v>16367</v>
      </c>
      <c r="D16047" t="str">
        <f>"62240       "</f>
        <v xml:space="preserve">62240       </v>
      </c>
      <c r="E16047" t="s">
        <v>957</v>
      </c>
      <c r="F16047" t="s">
        <v>958</v>
      </c>
      <c r="G16047">
        <v>839.51</v>
      </c>
      <c r="H16047">
        <v>251130</v>
      </c>
      <c r="I16047">
        <v>4571</v>
      </c>
      <c r="J16047" t="s">
        <v>223</v>
      </c>
      <c r="K16047">
        <v>6995.89</v>
      </c>
      <c r="L16047">
        <v>170.58</v>
      </c>
      <c r="M16047">
        <v>59812</v>
      </c>
      <c r="N16047" t="s">
        <v>196</v>
      </c>
      <c r="O16047">
        <v>251208</v>
      </c>
      <c r="P16047">
        <v>668.93</v>
      </c>
    </row>
    <row r="16048" spans="1:16" x14ac:dyDescent="0.25">
      <c r="A16048" t="s">
        <v>3296</v>
      </c>
      <c r="B16048" t="s">
        <v>2931</v>
      </c>
      <c r="C16048">
        <v>16371</v>
      </c>
      <c r="D16048" t="str">
        <f>"62111       "</f>
        <v xml:space="preserve">62111       </v>
      </c>
      <c r="E16048" t="s">
        <v>957</v>
      </c>
      <c r="F16048" t="s">
        <v>958</v>
      </c>
      <c r="G16048">
        <v>1768.23</v>
      </c>
      <c r="H16048">
        <v>251130</v>
      </c>
      <c r="I16048">
        <v>4571</v>
      </c>
      <c r="J16048" t="s">
        <v>223</v>
      </c>
      <c r="K16048">
        <v>5052.09</v>
      </c>
      <c r="L16048">
        <v>359.28</v>
      </c>
      <c r="M16048">
        <v>59502</v>
      </c>
      <c r="N16048" t="s">
        <v>63</v>
      </c>
      <c r="O16048">
        <v>251208</v>
      </c>
      <c r="P16048">
        <v>1408.95</v>
      </c>
    </row>
    <row r="16049" spans="1:16" x14ac:dyDescent="0.25">
      <c r="A16049" t="s">
        <v>3296</v>
      </c>
      <c r="B16049" t="s">
        <v>2931</v>
      </c>
      <c r="C16049">
        <v>16371</v>
      </c>
      <c r="D16049" t="str">
        <f>"62111       "</f>
        <v xml:space="preserve">62111       </v>
      </c>
      <c r="E16049" t="s">
        <v>957</v>
      </c>
      <c r="F16049" t="s">
        <v>958</v>
      </c>
      <c r="G16049">
        <v>3283.86</v>
      </c>
      <c r="H16049">
        <v>251130</v>
      </c>
      <c r="I16049">
        <v>4571</v>
      </c>
      <c r="J16049" t="s">
        <v>223</v>
      </c>
      <c r="K16049">
        <v>5052.09</v>
      </c>
      <c r="L16049">
        <v>667.24</v>
      </c>
      <c r="M16049">
        <v>59802</v>
      </c>
      <c r="N16049" t="s">
        <v>195</v>
      </c>
      <c r="O16049">
        <v>251208</v>
      </c>
      <c r="P16049">
        <v>2616.62</v>
      </c>
    </row>
    <row r="16050" spans="1:16" x14ac:dyDescent="0.25">
      <c r="A16050" t="s">
        <v>3296</v>
      </c>
      <c r="B16050" t="s">
        <v>2931</v>
      </c>
      <c r="C16050">
        <v>16393</v>
      </c>
      <c r="D16050" t="str">
        <f>"62112       "</f>
        <v xml:space="preserve">62112       </v>
      </c>
      <c r="E16050" t="s">
        <v>957</v>
      </c>
      <c r="F16050" t="s">
        <v>958</v>
      </c>
      <c r="G16050">
        <v>6652.64</v>
      </c>
      <c r="H16050">
        <v>251130</v>
      </c>
      <c r="I16050">
        <v>4571</v>
      </c>
      <c r="J16050" t="s">
        <v>223</v>
      </c>
      <c r="K16050">
        <v>6652.64</v>
      </c>
      <c r="L16050">
        <v>1351.73</v>
      </c>
      <c r="M16050">
        <v>59502</v>
      </c>
      <c r="N16050" t="s">
        <v>63</v>
      </c>
      <c r="O16050">
        <v>251208</v>
      </c>
      <c r="P16050">
        <v>5300.91</v>
      </c>
    </row>
    <row r="16051" spans="1:16" x14ac:dyDescent="0.25">
      <c r="A16051" t="s">
        <v>3296</v>
      </c>
      <c r="B16051" t="s">
        <v>2931</v>
      </c>
      <c r="C16051">
        <v>16395</v>
      </c>
      <c r="D16051" t="str">
        <f>"62124       "</f>
        <v xml:space="preserve">62124       </v>
      </c>
      <c r="E16051" t="s">
        <v>957</v>
      </c>
      <c r="F16051" t="s">
        <v>958</v>
      </c>
      <c r="G16051">
        <v>1177.6300000000001</v>
      </c>
      <c r="H16051">
        <v>251130</v>
      </c>
      <c r="I16051">
        <v>4571</v>
      </c>
      <c r="J16051" t="s">
        <v>223</v>
      </c>
      <c r="K16051">
        <v>14720.41</v>
      </c>
      <c r="L16051">
        <v>239.28</v>
      </c>
      <c r="M16051">
        <v>59111</v>
      </c>
      <c r="N16051" t="s">
        <v>60</v>
      </c>
      <c r="O16051">
        <v>251208</v>
      </c>
      <c r="P16051">
        <v>938.35</v>
      </c>
    </row>
    <row r="16052" spans="1:16" x14ac:dyDescent="0.25">
      <c r="A16052" t="s">
        <v>3296</v>
      </c>
      <c r="B16052" t="s">
        <v>2931</v>
      </c>
      <c r="C16052">
        <v>16395</v>
      </c>
      <c r="D16052" t="str">
        <f>"62124       "</f>
        <v xml:space="preserve">62124       </v>
      </c>
      <c r="E16052" t="s">
        <v>957</v>
      </c>
      <c r="F16052" t="s">
        <v>958</v>
      </c>
      <c r="G16052">
        <v>13542.78</v>
      </c>
      <c r="H16052">
        <v>251130</v>
      </c>
      <c r="I16052">
        <v>4571</v>
      </c>
      <c r="J16052" t="s">
        <v>223</v>
      </c>
      <c r="K16052">
        <v>14720.41</v>
      </c>
      <c r="L16052">
        <v>2751.72</v>
      </c>
      <c r="M16052">
        <v>59501</v>
      </c>
      <c r="N16052" t="s">
        <v>62</v>
      </c>
      <c r="O16052">
        <v>251208</v>
      </c>
      <c r="P16052">
        <v>10791.06</v>
      </c>
    </row>
    <row r="16053" spans="1:16" x14ac:dyDescent="0.25">
      <c r="A16053" t="s">
        <v>3296</v>
      </c>
      <c r="B16053" t="s">
        <v>2931</v>
      </c>
      <c r="C16053">
        <v>16397</v>
      </c>
      <c r="D16053" t="str">
        <f>"62114       "</f>
        <v xml:space="preserve">62114       </v>
      </c>
      <c r="E16053" t="s">
        <v>957</v>
      </c>
      <c r="F16053" t="s">
        <v>958</v>
      </c>
      <c r="G16053">
        <v>7026.52</v>
      </c>
      <c r="H16053">
        <v>251130</v>
      </c>
      <c r="I16053">
        <v>4571</v>
      </c>
      <c r="J16053" t="s">
        <v>223</v>
      </c>
      <c r="K16053">
        <v>7026.52</v>
      </c>
      <c r="L16053">
        <v>1427.7</v>
      </c>
      <c r="M16053">
        <v>59501</v>
      </c>
      <c r="N16053" t="s">
        <v>62</v>
      </c>
      <c r="O16053">
        <v>251208</v>
      </c>
      <c r="P16053">
        <v>5598.82</v>
      </c>
    </row>
    <row r="16054" spans="1:16" x14ac:dyDescent="0.25">
      <c r="A16054" t="s">
        <v>3296</v>
      </c>
      <c r="B16054" t="s">
        <v>2931</v>
      </c>
      <c r="C16054">
        <v>16413</v>
      </c>
      <c r="D16054" t="str">
        <f>"62051       "</f>
        <v xml:space="preserve">62051       </v>
      </c>
      <c r="E16054" t="s">
        <v>957</v>
      </c>
      <c r="F16054" t="s">
        <v>958</v>
      </c>
      <c r="G16054">
        <v>4158.96</v>
      </c>
      <c r="H16054">
        <v>251130</v>
      </c>
      <c r="I16054">
        <v>4571</v>
      </c>
      <c r="J16054" t="s">
        <v>223</v>
      </c>
      <c r="K16054">
        <v>4158.96</v>
      </c>
      <c r="L16054">
        <v>845.05</v>
      </c>
      <c r="M16054">
        <v>59501</v>
      </c>
      <c r="N16054" t="s">
        <v>62</v>
      </c>
      <c r="O16054">
        <v>251208</v>
      </c>
      <c r="P16054">
        <v>3313.91</v>
      </c>
    </row>
    <row r="16055" spans="1:16" x14ac:dyDescent="0.25">
      <c r="A16055" t="s">
        <v>3296</v>
      </c>
      <c r="B16055" t="s">
        <v>2931</v>
      </c>
      <c r="C16055">
        <v>18068</v>
      </c>
      <c r="D16055" t="str">
        <f>"62340       "</f>
        <v xml:space="preserve">62340       </v>
      </c>
      <c r="E16055" t="s">
        <v>957</v>
      </c>
      <c r="F16055" t="s">
        <v>958</v>
      </c>
      <c r="G16055">
        <v>7301.75</v>
      </c>
      <c r="H16055">
        <v>251231</v>
      </c>
      <c r="I16055">
        <v>4571</v>
      </c>
      <c r="J16055" t="s">
        <v>223</v>
      </c>
      <c r="K16055">
        <v>7301.75</v>
      </c>
      <c r="L16055">
        <v>1483.62</v>
      </c>
      <c r="M16055">
        <v>59502</v>
      </c>
      <c r="N16055" t="s">
        <v>63</v>
      </c>
      <c r="O16055">
        <v>260108</v>
      </c>
      <c r="P16055">
        <v>5818.13</v>
      </c>
    </row>
    <row r="16056" spans="1:16" x14ac:dyDescent="0.25">
      <c r="A16056" t="s">
        <v>3296</v>
      </c>
      <c r="B16056" t="s">
        <v>2931</v>
      </c>
      <c r="C16056">
        <v>18071</v>
      </c>
      <c r="D16056" t="str">
        <f>"62467       "</f>
        <v xml:space="preserve">62467       </v>
      </c>
      <c r="E16056" t="s">
        <v>957</v>
      </c>
      <c r="F16056" t="s">
        <v>958</v>
      </c>
      <c r="G16056">
        <v>7402.96</v>
      </c>
      <c r="H16056">
        <v>251231</v>
      </c>
      <c r="I16056">
        <v>4571</v>
      </c>
      <c r="J16056" t="s">
        <v>223</v>
      </c>
      <c r="K16056">
        <v>8412.4599999999991</v>
      </c>
      <c r="L16056">
        <v>1504.19</v>
      </c>
      <c r="M16056">
        <v>59505</v>
      </c>
      <c r="N16056" t="s">
        <v>194</v>
      </c>
      <c r="O16056">
        <v>260108</v>
      </c>
      <c r="P16056">
        <v>5898.77</v>
      </c>
    </row>
    <row r="16057" spans="1:16" x14ac:dyDescent="0.25">
      <c r="A16057" t="s">
        <v>3296</v>
      </c>
      <c r="B16057" t="s">
        <v>2931</v>
      </c>
      <c r="C16057">
        <v>18071</v>
      </c>
      <c r="D16057" t="str">
        <f>"62467       "</f>
        <v xml:space="preserve">62467       </v>
      </c>
      <c r="E16057" t="s">
        <v>957</v>
      </c>
      <c r="F16057" t="s">
        <v>958</v>
      </c>
      <c r="G16057">
        <v>1009.5</v>
      </c>
      <c r="H16057">
        <v>251231</v>
      </c>
      <c r="I16057">
        <v>4571</v>
      </c>
      <c r="J16057" t="s">
        <v>223</v>
      </c>
      <c r="K16057">
        <v>8412.4599999999991</v>
      </c>
      <c r="L16057">
        <v>205.12</v>
      </c>
      <c r="M16057">
        <v>59812</v>
      </c>
      <c r="N16057" t="s">
        <v>196</v>
      </c>
      <c r="O16057">
        <v>260108</v>
      </c>
      <c r="P16057">
        <v>804.38</v>
      </c>
    </row>
    <row r="16058" spans="1:16" x14ac:dyDescent="0.25">
      <c r="A16058" t="s">
        <v>3296</v>
      </c>
      <c r="B16058" t="s">
        <v>2931</v>
      </c>
      <c r="C16058">
        <v>18076</v>
      </c>
      <c r="D16058" t="str">
        <f>"62342       "</f>
        <v xml:space="preserve">62342       </v>
      </c>
      <c r="E16058" t="s">
        <v>957</v>
      </c>
      <c r="F16058" t="s">
        <v>958</v>
      </c>
      <c r="G16058">
        <v>7803.37</v>
      </c>
      <c r="H16058">
        <v>251231</v>
      </c>
      <c r="I16058">
        <v>4571</v>
      </c>
      <c r="J16058" t="s">
        <v>223</v>
      </c>
      <c r="K16058">
        <v>7803.37</v>
      </c>
      <c r="L16058">
        <v>1585.55</v>
      </c>
      <c r="M16058">
        <v>59501</v>
      </c>
      <c r="N16058" t="s">
        <v>62</v>
      </c>
      <c r="O16058">
        <v>260108</v>
      </c>
      <c r="P16058">
        <v>6217.82</v>
      </c>
    </row>
    <row r="16059" spans="1:16" x14ac:dyDescent="0.25">
      <c r="A16059" t="s">
        <v>3296</v>
      </c>
      <c r="B16059" t="s">
        <v>2931</v>
      </c>
      <c r="C16059">
        <v>18080</v>
      </c>
      <c r="D16059" t="str">
        <f>"62280       "</f>
        <v xml:space="preserve">62280       </v>
      </c>
      <c r="E16059" t="s">
        <v>957</v>
      </c>
      <c r="F16059" t="s">
        <v>958</v>
      </c>
      <c r="G16059">
        <v>4710.3599999999997</v>
      </c>
      <c r="H16059">
        <v>251231</v>
      </c>
      <c r="I16059">
        <v>4571</v>
      </c>
      <c r="J16059" t="s">
        <v>223</v>
      </c>
      <c r="K16059">
        <v>4710.3599999999997</v>
      </c>
      <c r="L16059">
        <v>957.09</v>
      </c>
      <c r="M16059">
        <v>59501</v>
      </c>
      <c r="N16059" t="s">
        <v>62</v>
      </c>
      <c r="O16059">
        <v>260108</v>
      </c>
      <c r="P16059">
        <v>3753.27</v>
      </c>
    </row>
    <row r="16060" spans="1:16" x14ac:dyDescent="0.25">
      <c r="A16060" t="s">
        <v>3296</v>
      </c>
      <c r="B16060" t="s">
        <v>2931</v>
      </c>
      <c r="C16060">
        <v>18084</v>
      </c>
      <c r="D16060" t="str">
        <f>"62352       "</f>
        <v xml:space="preserve">62352       </v>
      </c>
      <c r="E16060" t="s">
        <v>957</v>
      </c>
      <c r="F16060" t="s">
        <v>958</v>
      </c>
      <c r="G16060">
        <v>1319.29</v>
      </c>
      <c r="H16060">
        <v>251231</v>
      </c>
      <c r="I16060">
        <v>4571</v>
      </c>
      <c r="J16060" t="s">
        <v>223</v>
      </c>
      <c r="K16060">
        <v>16491.11</v>
      </c>
      <c r="L16060">
        <v>268.06</v>
      </c>
      <c r="M16060">
        <v>59111</v>
      </c>
      <c r="N16060" t="s">
        <v>60</v>
      </c>
      <c r="O16060">
        <v>260108</v>
      </c>
      <c r="P16060">
        <v>1051.23</v>
      </c>
    </row>
    <row r="16061" spans="1:16" x14ac:dyDescent="0.25">
      <c r="A16061" t="s">
        <v>3296</v>
      </c>
      <c r="B16061" t="s">
        <v>2931</v>
      </c>
      <c r="C16061">
        <v>18084</v>
      </c>
      <c r="D16061" t="str">
        <f>"62352       "</f>
        <v xml:space="preserve">62352       </v>
      </c>
      <c r="E16061" t="s">
        <v>957</v>
      </c>
      <c r="F16061" t="s">
        <v>958</v>
      </c>
      <c r="G16061">
        <v>15171.82</v>
      </c>
      <c r="H16061">
        <v>251231</v>
      </c>
      <c r="I16061">
        <v>4571</v>
      </c>
      <c r="J16061" t="s">
        <v>223</v>
      </c>
      <c r="K16061">
        <v>16491.11</v>
      </c>
      <c r="L16061">
        <v>3082.72</v>
      </c>
      <c r="M16061">
        <v>59501</v>
      </c>
      <c r="N16061" t="s">
        <v>62</v>
      </c>
      <c r="O16061">
        <v>260108</v>
      </c>
      <c r="P16061">
        <v>12089.1</v>
      </c>
    </row>
    <row r="16062" spans="1:16" x14ac:dyDescent="0.25">
      <c r="A16062" t="s">
        <v>3296</v>
      </c>
      <c r="B16062" t="s">
        <v>2931</v>
      </c>
      <c r="C16062">
        <v>18086</v>
      </c>
      <c r="D16062" t="str">
        <f>"62339       "</f>
        <v xml:space="preserve">62339       </v>
      </c>
      <c r="E16062" t="s">
        <v>957</v>
      </c>
      <c r="F16062" t="s">
        <v>958</v>
      </c>
      <c r="G16062">
        <v>1954.32</v>
      </c>
      <c r="H16062">
        <v>251231</v>
      </c>
      <c r="I16062">
        <v>4571</v>
      </c>
      <c r="J16062" t="s">
        <v>223</v>
      </c>
      <c r="K16062">
        <v>5583.77</v>
      </c>
      <c r="L16062">
        <v>397.09</v>
      </c>
      <c r="M16062">
        <v>59502</v>
      </c>
      <c r="N16062" t="s">
        <v>63</v>
      </c>
      <c r="O16062">
        <v>260108</v>
      </c>
      <c r="P16062">
        <v>1557.23</v>
      </c>
    </row>
    <row r="16063" spans="1:16" x14ac:dyDescent="0.25">
      <c r="A16063" t="s">
        <v>3296</v>
      </c>
      <c r="B16063" t="s">
        <v>2931</v>
      </c>
      <c r="C16063">
        <v>18086</v>
      </c>
      <c r="D16063" t="str">
        <f>"62339       "</f>
        <v xml:space="preserve">62339       </v>
      </c>
      <c r="E16063" t="s">
        <v>957</v>
      </c>
      <c r="F16063" t="s">
        <v>958</v>
      </c>
      <c r="G16063">
        <v>3629.45</v>
      </c>
      <c r="H16063">
        <v>251231</v>
      </c>
      <c r="I16063">
        <v>4571</v>
      </c>
      <c r="J16063" t="s">
        <v>223</v>
      </c>
      <c r="K16063">
        <v>5583.77</v>
      </c>
      <c r="L16063">
        <v>737.46</v>
      </c>
      <c r="M16063">
        <v>59802</v>
      </c>
      <c r="N16063" t="s">
        <v>195</v>
      </c>
      <c r="O16063">
        <v>260108</v>
      </c>
      <c r="P16063">
        <v>2891.99</v>
      </c>
    </row>
    <row r="16064" spans="1:16" x14ac:dyDescent="0.25">
      <c r="A16064" t="s">
        <v>3296</v>
      </c>
      <c r="B16064" t="s">
        <v>2931</v>
      </c>
      <c r="C16064">
        <v>1749</v>
      </c>
      <c r="D16064" t="str">
        <f>"10035198    "</f>
        <v xml:space="preserve">10035198    </v>
      </c>
      <c r="E16064" t="s">
        <v>1098</v>
      </c>
      <c r="F16064" t="s">
        <v>1099</v>
      </c>
      <c r="G16064">
        <v>253.65</v>
      </c>
      <c r="H16064">
        <v>250131</v>
      </c>
      <c r="I16064">
        <v>4410</v>
      </c>
      <c r="J16064" t="s">
        <v>165</v>
      </c>
      <c r="K16064">
        <v>253.65</v>
      </c>
      <c r="L16064">
        <v>31.15</v>
      </c>
      <c r="M16064">
        <v>59113</v>
      </c>
      <c r="N16064" t="s">
        <v>61</v>
      </c>
      <c r="O16064">
        <v>250213</v>
      </c>
      <c r="P16064">
        <v>222.5</v>
      </c>
    </row>
    <row r="16065" spans="1:16" x14ac:dyDescent="0.25">
      <c r="A16065" t="s">
        <v>3296</v>
      </c>
      <c r="B16065" t="s">
        <v>2931</v>
      </c>
      <c r="C16065">
        <v>3052</v>
      </c>
      <c r="D16065" t="str">
        <f>"10035295    "</f>
        <v xml:space="preserve">10035295    </v>
      </c>
      <c r="E16065" t="s">
        <v>1098</v>
      </c>
      <c r="F16065" t="s">
        <v>1099</v>
      </c>
      <c r="G16065">
        <v>80.099999999999994</v>
      </c>
      <c r="H16065">
        <v>250228</v>
      </c>
      <c r="I16065">
        <v>4410</v>
      </c>
      <c r="J16065" t="s">
        <v>165</v>
      </c>
      <c r="K16065">
        <v>80.099999999999994</v>
      </c>
      <c r="L16065">
        <v>9.84</v>
      </c>
      <c r="M16065">
        <v>59113</v>
      </c>
      <c r="N16065" t="s">
        <v>61</v>
      </c>
      <c r="O16065">
        <v>250314</v>
      </c>
      <c r="P16065">
        <v>70.260000000000005</v>
      </c>
    </row>
    <row r="16066" spans="1:16" x14ac:dyDescent="0.25">
      <c r="A16066" t="s">
        <v>3296</v>
      </c>
      <c r="B16066" t="s">
        <v>2931</v>
      </c>
      <c r="C16066">
        <v>4878</v>
      </c>
      <c r="D16066" t="str">
        <f>"10035418    "</f>
        <v xml:space="preserve">10035418    </v>
      </c>
      <c r="E16066" t="s">
        <v>1098</v>
      </c>
      <c r="F16066" t="s">
        <v>1099</v>
      </c>
      <c r="G16066">
        <v>129.05000000000001</v>
      </c>
      <c r="H16066">
        <v>250331</v>
      </c>
      <c r="I16066">
        <v>4410</v>
      </c>
      <c r="J16066" t="s">
        <v>165</v>
      </c>
      <c r="K16066">
        <v>129.05000000000001</v>
      </c>
      <c r="L16066">
        <v>15.85</v>
      </c>
      <c r="M16066">
        <v>59113</v>
      </c>
      <c r="N16066" t="s">
        <v>61</v>
      </c>
      <c r="O16066">
        <v>250416</v>
      </c>
      <c r="P16066">
        <v>113.2</v>
      </c>
    </row>
    <row r="16067" spans="1:16" x14ac:dyDescent="0.25">
      <c r="A16067" t="s">
        <v>3296</v>
      </c>
      <c r="B16067" t="s">
        <v>2931</v>
      </c>
      <c r="C16067">
        <v>6344</v>
      </c>
      <c r="D16067" t="str">
        <f>"10035499    "</f>
        <v xml:space="preserve">10035499    </v>
      </c>
      <c r="E16067" t="s">
        <v>1098</v>
      </c>
      <c r="F16067" t="s">
        <v>1099</v>
      </c>
      <c r="G16067">
        <v>182.45</v>
      </c>
      <c r="H16067">
        <v>250430</v>
      </c>
      <c r="I16067">
        <v>4410</v>
      </c>
      <c r="J16067" t="s">
        <v>165</v>
      </c>
      <c r="K16067">
        <v>182.45</v>
      </c>
      <c r="L16067">
        <v>22.41</v>
      </c>
      <c r="M16067">
        <v>59113</v>
      </c>
      <c r="N16067" t="s">
        <v>61</v>
      </c>
      <c r="O16067">
        <v>250512</v>
      </c>
      <c r="P16067">
        <v>160.04</v>
      </c>
    </row>
    <row r="16068" spans="1:16" x14ac:dyDescent="0.25">
      <c r="A16068" t="s">
        <v>3296</v>
      </c>
      <c r="B16068" t="s">
        <v>2931</v>
      </c>
      <c r="C16068">
        <v>8370</v>
      </c>
      <c r="D16068" t="str">
        <f>"10035606    "</f>
        <v xml:space="preserve">10035606    </v>
      </c>
      <c r="E16068" t="s">
        <v>1098</v>
      </c>
      <c r="F16068" t="s">
        <v>1099</v>
      </c>
      <c r="G16068">
        <v>17.8</v>
      </c>
      <c r="H16068">
        <v>250531</v>
      </c>
      <c r="I16068">
        <v>4410</v>
      </c>
      <c r="J16068" t="s">
        <v>165</v>
      </c>
      <c r="K16068">
        <v>17.8</v>
      </c>
      <c r="L16068">
        <v>2.19</v>
      </c>
      <c r="M16068">
        <v>59113</v>
      </c>
      <c r="N16068" t="s">
        <v>61</v>
      </c>
      <c r="O16068">
        <v>250613</v>
      </c>
      <c r="P16068">
        <v>15.61</v>
      </c>
    </row>
    <row r="16069" spans="1:16" x14ac:dyDescent="0.25">
      <c r="A16069" t="s">
        <v>3296</v>
      </c>
      <c r="B16069" t="s">
        <v>2931</v>
      </c>
      <c r="C16069">
        <v>11900</v>
      </c>
      <c r="D16069" t="str">
        <f>"10035870    "</f>
        <v xml:space="preserve">10035870    </v>
      </c>
      <c r="E16069" t="s">
        <v>1098</v>
      </c>
      <c r="F16069" t="s">
        <v>1099</v>
      </c>
      <c r="G16069">
        <v>111.25</v>
      </c>
      <c r="H16069">
        <v>250831</v>
      </c>
      <c r="I16069">
        <v>4410</v>
      </c>
      <c r="J16069" t="s">
        <v>165</v>
      </c>
      <c r="K16069">
        <v>111.25</v>
      </c>
      <c r="L16069">
        <v>13.66</v>
      </c>
      <c r="M16069">
        <v>59113</v>
      </c>
      <c r="N16069" t="s">
        <v>61</v>
      </c>
      <c r="O16069">
        <v>250912</v>
      </c>
      <c r="P16069">
        <v>97.59</v>
      </c>
    </row>
    <row r="16070" spans="1:16" x14ac:dyDescent="0.25">
      <c r="A16070" t="s">
        <v>3296</v>
      </c>
      <c r="B16070" t="s">
        <v>2931</v>
      </c>
      <c r="C16070">
        <v>13792</v>
      </c>
      <c r="D16070" t="str">
        <f>"10036031    "</f>
        <v xml:space="preserve">10036031    </v>
      </c>
      <c r="E16070" t="s">
        <v>1098</v>
      </c>
      <c r="F16070" t="s">
        <v>1099</v>
      </c>
      <c r="G16070">
        <v>80.099999999999994</v>
      </c>
      <c r="H16070">
        <v>251001</v>
      </c>
      <c r="I16070">
        <v>4410</v>
      </c>
      <c r="J16070" t="s">
        <v>165</v>
      </c>
      <c r="K16070">
        <v>80.099999999999994</v>
      </c>
      <c r="L16070">
        <v>9.84</v>
      </c>
      <c r="M16070">
        <v>59113</v>
      </c>
      <c r="N16070" t="s">
        <v>61</v>
      </c>
      <c r="O16070">
        <v>251020</v>
      </c>
      <c r="P16070">
        <v>70.260000000000005</v>
      </c>
    </row>
    <row r="16071" spans="1:16" x14ac:dyDescent="0.25">
      <c r="A16071" t="s">
        <v>3296</v>
      </c>
      <c r="B16071" t="s">
        <v>2931</v>
      </c>
      <c r="C16071">
        <v>15029</v>
      </c>
      <c r="D16071" t="str">
        <f>"10036126    "</f>
        <v xml:space="preserve">10036126    </v>
      </c>
      <c r="E16071" t="s">
        <v>1098</v>
      </c>
      <c r="F16071" t="s">
        <v>1099</v>
      </c>
      <c r="G16071">
        <v>75.650000000000006</v>
      </c>
      <c r="H16071">
        <v>251031</v>
      </c>
      <c r="I16071">
        <v>4410</v>
      </c>
      <c r="J16071" t="s">
        <v>165</v>
      </c>
      <c r="K16071">
        <v>75.650000000000006</v>
      </c>
      <c r="L16071">
        <v>9.2899999999999991</v>
      </c>
      <c r="M16071">
        <v>59113</v>
      </c>
      <c r="N16071" t="s">
        <v>61</v>
      </c>
      <c r="O16071">
        <v>251110</v>
      </c>
      <c r="P16071">
        <v>66.36</v>
      </c>
    </row>
    <row r="16072" spans="1:16" x14ac:dyDescent="0.25">
      <c r="A16072" t="s">
        <v>3296</v>
      </c>
      <c r="B16072" t="s">
        <v>2931</v>
      </c>
      <c r="C16072">
        <v>16711</v>
      </c>
      <c r="D16072" t="str">
        <f>"10036224    "</f>
        <v xml:space="preserve">10036224    </v>
      </c>
      <c r="E16072" t="s">
        <v>1098</v>
      </c>
      <c r="F16072" t="s">
        <v>1099</v>
      </c>
      <c r="G16072">
        <v>106.8</v>
      </c>
      <c r="H16072">
        <v>251130</v>
      </c>
      <c r="I16072">
        <v>4410</v>
      </c>
      <c r="J16072" t="s">
        <v>165</v>
      </c>
      <c r="K16072">
        <v>106.8</v>
      </c>
      <c r="L16072">
        <v>13.12</v>
      </c>
      <c r="M16072">
        <v>59113</v>
      </c>
      <c r="N16072" t="s">
        <v>61</v>
      </c>
      <c r="O16072">
        <v>251211</v>
      </c>
      <c r="P16072">
        <v>93.68</v>
      </c>
    </row>
    <row r="16073" spans="1:16" x14ac:dyDescent="0.25">
      <c r="A16073" t="s">
        <v>3296</v>
      </c>
      <c r="B16073" t="s">
        <v>2931</v>
      </c>
      <c r="C16073">
        <v>18429</v>
      </c>
      <c r="D16073" t="str">
        <f>"10036326    "</f>
        <v xml:space="preserve">10036326    </v>
      </c>
      <c r="E16073" t="s">
        <v>1098</v>
      </c>
      <c r="F16073" t="s">
        <v>1099</v>
      </c>
      <c r="G16073">
        <v>35.6</v>
      </c>
      <c r="H16073">
        <v>251231</v>
      </c>
      <c r="I16073">
        <v>4410</v>
      </c>
      <c r="J16073" t="s">
        <v>165</v>
      </c>
      <c r="K16073">
        <v>35.6</v>
      </c>
      <c r="L16073">
        <v>4.37</v>
      </c>
      <c r="M16073">
        <v>59113</v>
      </c>
      <c r="N16073" t="s">
        <v>61</v>
      </c>
      <c r="O16073">
        <v>260113</v>
      </c>
      <c r="P16073">
        <v>31.23</v>
      </c>
    </row>
    <row r="16074" spans="1:16" x14ac:dyDescent="0.25">
      <c r="A16074" t="s">
        <v>3296</v>
      </c>
      <c r="B16074" t="s">
        <v>2931</v>
      </c>
      <c r="C16074">
        <v>5061</v>
      </c>
      <c r="D16074" t="str">
        <f>"80228645    "</f>
        <v xml:space="preserve">80228645    </v>
      </c>
      <c r="E16074" t="s">
        <v>2898</v>
      </c>
      <c r="F16074" t="s">
        <v>2899</v>
      </c>
      <c r="G16074">
        <v>1099.72</v>
      </c>
      <c r="H16074">
        <v>250331</v>
      </c>
      <c r="I16074">
        <v>4380</v>
      </c>
      <c r="J16074" t="s">
        <v>211</v>
      </c>
      <c r="K16074">
        <v>1857.73</v>
      </c>
      <c r="L16074">
        <v>223.45</v>
      </c>
      <c r="M16074">
        <v>56575</v>
      </c>
      <c r="N16074" t="s">
        <v>245</v>
      </c>
      <c r="O16074">
        <v>250416</v>
      </c>
      <c r="P16074">
        <v>876.27</v>
      </c>
    </row>
    <row r="16075" spans="1:16" x14ac:dyDescent="0.25">
      <c r="A16075" t="s">
        <v>3296</v>
      </c>
      <c r="B16075" t="s">
        <v>2931</v>
      </c>
      <c r="C16075">
        <v>491</v>
      </c>
      <c r="D16075" t="str">
        <f>"80226086    "</f>
        <v xml:space="preserve">80226086    </v>
      </c>
      <c r="E16075" t="s">
        <v>2898</v>
      </c>
      <c r="F16075" t="s">
        <v>2899</v>
      </c>
      <c r="G16075">
        <v>202.63</v>
      </c>
      <c r="H16075">
        <v>250101</v>
      </c>
      <c r="I16075">
        <v>4573</v>
      </c>
      <c r="J16075" t="s">
        <v>646</v>
      </c>
      <c r="K16075">
        <v>202.63</v>
      </c>
      <c r="L16075">
        <v>41.17</v>
      </c>
      <c r="M16075">
        <v>56571</v>
      </c>
      <c r="N16075" t="s">
        <v>553</v>
      </c>
      <c r="O16075">
        <v>250123</v>
      </c>
      <c r="P16075">
        <v>161.46</v>
      </c>
    </row>
    <row r="16076" spans="1:16" x14ac:dyDescent="0.25">
      <c r="A16076" t="s">
        <v>3296</v>
      </c>
      <c r="B16076" t="s">
        <v>2931</v>
      </c>
      <c r="C16076">
        <v>5061</v>
      </c>
      <c r="D16076" t="str">
        <f>"80228645    "</f>
        <v xml:space="preserve">80228645    </v>
      </c>
      <c r="E16076" t="s">
        <v>2898</v>
      </c>
      <c r="F16076" t="s">
        <v>2899</v>
      </c>
      <c r="G16076">
        <v>758.01</v>
      </c>
      <c r="H16076">
        <v>250331</v>
      </c>
      <c r="I16076">
        <v>4573</v>
      </c>
      <c r="J16076" t="s">
        <v>646</v>
      </c>
      <c r="K16076">
        <v>1857.73</v>
      </c>
      <c r="L16076">
        <v>154.02000000000001</v>
      </c>
      <c r="M16076">
        <v>56575</v>
      </c>
      <c r="N16076" t="s">
        <v>245</v>
      </c>
      <c r="O16076">
        <v>250416</v>
      </c>
      <c r="P16076">
        <v>603.99</v>
      </c>
    </row>
    <row r="16077" spans="1:16" x14ac:dyDescent="0.25">
      <c r="A16077" t="s">
        <v>3296</v>
      </c>
      <c r="B16077" t="s">
        <v>2931</v>
      </c>
      <c r="C16077">
        <v>5697</v>
      </c>
      <c r="D16077" t="str">
        <f>"80231156    "</f>
        <v xml:space="preserve">80231156    </v>
      </c>
      <c r="E16077" t="s">
        <v>2898</v>
      </c>
      <c r="F16077" t="s">
        <v>2899</v>
      </c>
      <c r="G16077">
        <v>265.51</v>
      </c>
      <c r="H16077">
        <v>250423</v>
      </c>
      <c r="I16077">
        <v>4573</v>
      </c>
      <c r="J16077" t="s">
        <v>646</v>
      </c>
      <c r="K16077">
        <v>758.61</v>
      </c>
      <c r="L16077">
        <v>53.95</v>
      </c>
      <c r="M16077">
        <v>59502</v>
      </c>
      <c r="N16077" t="s">
        <v>63</v>
      </c>
      <c r="O16077">
        <v>250429</v>
      </c>
      <c r="P16077">
        <v>211.56</v>
      </c>
    </row>
    <row r="16078" spans="1:16" x14ac:dyDescent="0.25">
      <c r="A16078" t="s">
        <v>3296</v>
      </c>
      <c r="B16078" t="s">
        <v>2931</v>
      </c>
      <c r="C16078">
        <v>5697</v>
      </c>
      <c r="D16078" t="str">
        <f>"80231156    "</f>
        <v xml:space="preserve">80231156    </v>
      </c>
      <c r="E16078" t="s">
        <v>2898</v>
      </c>
      <c r="F16078" t="s">
        <v>2899</v>
      </c>
      <c r="G16078">
        <v>493.1</v>
      </c>
      <c r="H16078">
        <v>250423</v>
      </c>
      <c r="I16078">
        <v>4573</v>
      </c>
      <c r="J16078" t="s">
        <v>646</v>
      </c>
      <c r="K16078">
        <v>758.61</v>
      </c>
      <c r="L16078">
        <v>100.19</v>
      </c>
      <c r="M16078">
        <v>59802</v>
      </c>
      <c r="N16078" t="s">
        <v>195</v>
      </c>
      <c r="O16078">
        <v>250429</v>
      </c>
      <c r="P16078">
        <v>392.91</v>
      </c>
    </row>
    <row r="16079" spans="1:16" x14ac:dyDescent="0.25">
      <c r="A16079" t="s">
        <v>3296</v>
      </c>
      <c r="B16079" t="s">
        <v>2931</v>
      </c>
      <c r="C16079">
        <v>5704</v>
      </c>
      <c r="D16079" t="str">
        <f>"80231155    "</f>
        <v xml:space="preserve">80231155    </v>
      </c>
      <c r="E16079" t="s">
        <v>2898</v>
      </c>
      <c r="F16079" t="s">
        <v>2899</v>
      </c>
      <c r="G16079">
        <v>1681.31</v>
      </c>
      <c r="H16079">
        <v>250423</v>
      </c>
      <c r="I16079">
        <v>4573</v>
      </c>
      <c r="J16079" t="s">
        <v>646</v>
      </c>
      <c r="K16079">
        <v>1681.31</v>
      </c>
      <c r="L16079">
        <v>341.62</v>
      </c>
      <c r="M16079">
        <v>59502</v>
      </c>
      <c r="N16079" t="s">
        <v>63</v>
      </c>
      <c r="O16079">
        <v>250429</v>
      </c>
      <c r="P16079">
        <v>1339.69</v>
      </c>
    </row>
    <row r="16080" spans="1:16" x14ac:dyDescent="0.25">
      <c r="A16080" t="s">
        <v>3296</v>
      </c>
      <c r="B16080" t="s">
        <v>2931</v>
      </c>
      <c r="C16080">
        <v>5706</v>
      </c>
      <c r="D16080" t="str">
        <f>"80233195    "</f>
        <v xml:space="preserve">80233195    </v>
      </c>
      <c r="E16080" t="s">
        <v>2898</v>
      </c>
      <c r="F16080" t="s">
        <v>2899</v>
      </c>
      <c r="G16080">
        <v>153.5</v>
      </c>
      <c r="H16080">
        <v>250423</v>
      </c>
      <c r="I16080">
        <v>4573</v>
      </c>
      <c r="J16080" t="s">
        <v>646</v>
      </c>
      <c r="K16080">
        <v>153.5</v>
      </c>
      <c r="L16080">
        <v>31.19</v>
      </c>
      <c r="M16080">
        <v>59505</v>
      </c>
      <c r="N16080" t="s">
        <v>194</v>
      </c>
      <c r="O16080">
        <v>250429</v>
      </c>
      <c r="P16080">
        <v>122.31</v>
      </c>
    </row>
    <row r="16081" spans="1:16" x14ac:dyDescent="0.25">
      <c r="A16081" t="s">
        <v>3296</v>
      </c>
      <c r="B16081" t="s">
        <v>2931</v>
      </c>
      <c r="C16081">
        <v>5829</v>
      </c>
      <c r="D16081" t="str">
        <f>"80231978    "</f>
        <v xml:space="preserve">80231978    </v>
      </c>
      <c r="E16081" t="s">
        <v>2898</v>
      </c>
      <c r="F16081" t="s">
        <v>2899</v>
      </c>
      <c r="G16081">
        <v>463.64</v>
      </c>
      <c r="H16081">
        <v>250423</v>
      </c>
      <c r="I16081">
        <v>4573</v>
      </c>
      <c r="J16081" t="s">
        <v>646</v>
      </c>
      <c r="K16081">
        <v>1717.17</v>
      </c>
      <c r="L16081">
        <v>94.21</v>
      </c>
      <c r="M16081">
        <v>59112</v>
      </c>
      <c r="N16081" t="s">
        <v>44</v>
      </c>
      <c r="O16081">
        <v>250505</v>
      </c>
      <c r="P16081">
        <v>369.43</v>
      </c>
    </row>
    <row r="16082" spans="1:16" x14ac:dyDescent="0.25">
      <c r="A16082" t="s">
        <v>3296</v>
      </c>
      <c r="B16082" t="s">
        <v>2931</v>
      </c>
      <c r="C16082">
        <v>5829</v>
      </c>
      <c r="D16082" t="str">
        <f>"80231978    "</f>
        <v xml:space="preserve">80231978    </v>
      </c>
      <c r="E16082" t="s">
        <v>2898</v>
      </c>
      <c r="F16082" t="s">
        <v>2899</v>
      </c>
      <c r="G16082">
        <v>1253.53</v>
      </c>
      <c r="H16082">
        <v>250423</v>
      </c>
      <c r="I16082">
        <v>4573</v>
      </c>
      <c r="J16082" t="s">
        <v>646</v>
      </c>
      <c r="K16082">
        <v>1717.17</v>
      </c>
      <c r="L16082">
        <v>254.7</v>
      </c>
      <c r="M16082">
        <v>59504</v>
      </c>
      <c r="N16082" t="s">
        <v>193</v>
      </c>
      <c r="O16082">
        <v>250505</v>
      </c>
      <c r="P16082">
        <v>998.83</v>
      </c>
    </row>
    <row r="16083" spans="1:16" x14ac:dyDescent="0.25">
      <c r="A16083" t="s">
        <v>3296</v>
      </c>
      <c r="B16083" t="s">
        <v>2931</v>
      </c>
      <c r="C16083">
        <v>5833</v>
      </c>
      <c r="D16083" t="str">
        <f>"80231198    "</f>
        <v xml:space="preserve">80231198    </v>
      </c>
      <c r="E16083" t="s">
        <v>2898</v>
      </c>
      <c r="F16083" t="s">
        <v>2899</v>
      </c>
      <c r="G16083">
        <v>181.28</v>
      </c>
      <c r="H16083">
        <v>250423</v>
      </c>
      <c r="I16083">
        <v>4573</v>
      </c>
      <c r="J16083" t="s">
        <v>646</v>
      </c>
      <c r="K16083">
        <v>181.28</v>
      </c>
      <c r="L16083">
        <v>36.83</v>
      </c>
      <c r="M16083">
        <v>56571</v>
      </c>
      <c r="N16083" t="s">
        <v>553</v>
      </c>
      <c r="O16083">
        <v>250505</v>
      </c>
      <c r="P16083">
        <v>144.44999999999999</v>
      </c>
    </row>
    <row r="16084" spans="1:16" x14ac:dyDescent="0.25">
      <c r="A16084" t="s">
        <v>3296</v>
      </c>
      <c r="B16084" t="s">
        <v>2931</v>
      </c>
      <c r="C16084">
        <v>5845</v>
      </c>
      <c r="D16084" t="str">
        <f>"80233315    "</f>
        <v xml:space="preserve">80233315    </v>
      </c>
      <c r="E16084" t="s">
        <v>2898</v>
      </c>
      <c r="F16084" t="s">
        <v>2899</v>
      </c>
      <c r="G16084">
        <v>583.15</v>
      </c>
      <c r="H16084">
        <v>250423</v>
      </c>
      <c r="I16084">
        <v>4573</v>
      </c>
      <c r="J16084" t="s">
        <v>646</v>
      </c>
      <c r="K16084">
        <v>583.15</v>
      </c>
      <c r="L16084">
        <v>118.49</v>
      </c>
      <c r="M16084">
        <v>59505</v>
      </c>
      <c r="N16084" t="s">
        <v>194</v>
      </c>
      <c r="O16084">
        <v>250505</v>
      </c>
      <c r="P16084">
        <v>464.66</v>
      </c>
    </row>
    <row r="16085" spans="1:16" x14ac:dyDescent="0.25">
      <c r="A16085" t="s">
        <v>3296</v>
      </c>
      <c r="B16085" t="s">
        <v>2931</v>
      </c>
      <c r="C16085">
        <v>5850</v>
      </c>
      <c r="D16085" t="str">
        <f>"80233197    "</f>
        <v xml:space="preserve">80233197    </v>
      </c>
      <c r="E16085" t="s">
        <v>2898</v>
      </c>
      <c r="F16085" t="s">
        <v>2899</v>
      </c>
      <c r="G16085">
        <v>1799.07</v>
      </c>
      <c r="H16085">
        <v>250423</v>
      </c>
      <c r="I16085">
        <v>4573</v>
      </c>
      <c r="J16085" t="s">
        <v>646</v>
      </c>
      <c r="K16085">
        <v>1799.07</v>
      </c>
      <c r="L16085">
        <v>365.55</v>
      </c>
      <c r="M16085">
        <v>59505</v>
      </c>
      <c r="N16085" t="s">
        <v>194</v>
      </c>
      <c r="O16085">
        <v>250505</v>
      </c>
      <c r="P16085">
        <v>1433.52</v>
      </c>
    </row>
    <row r="16086" spans="1:16" x14ac:dyDescent="0.25">
      <c r="A16086" t="s">
        <v>3296</v>
      </c>
      <c r="B16086" t="s">
        <v>2931</v>
      </c>
      <c r="C16086">
        <v>5853</v>
      </c>
      <c r="D16086" t="str">
        <f>"80233013    "</f>
        <v xml:space="preserve">80233013    </v>
      </c>
      <c r="E16086" t="s">
        <v>2898</v>
      </c>
      <c r="F16086" t="s">
        <v>2899</v>
      </c>
      <c r="G16086">
        <v>345.2</v>
      </c>
      <c r="H16086">
        <v>250423</v>
      </c>
      <c r="I16086">
        <v>4573</v>
      </c>
      <c r="J16086" t="s">
        <v>646</v>
      </c>
      <c r="K16086">
        <v>5753.38</v>
      </c>
      <c r="L16086">
        <v>70.14</v>
      </c>
      <c r="M16086">
        <v>59111</v>
      </c>
      <c r="N16086" t="s">
        <v>60</v>
      </c>
      <c r="O16086">
        <v>250505</v>
      </c>
      <c r="P16086">
        <v>275.06</v>
      </c>
    </row>
    <row r="16087" spans="1:16" x14ac:dyDescent="0.25">
      <c r="A16087" t="s">
        <v>3296</v>
      </c>
      <c r="B16087" t="s">
        <v>2931</v>
      </c>
      <c r="C16087">
        <v>5853</v>
      </c>
      <c r="D16087" t="str">
        <f>"80233013    "</f>
        <v xml:space="preserve">80233013    </v>
      </c>
      <c r="E16087" t="s">
        <v>2898</v>
      </c>
      <c r="F16087" t="s">
        <v>2899</v>
      </c>
      <c r="G16087">
        <v>5408.18</v>
      </c>
      <c r="H16087">
        <v>250423</v>
      </c>
      <c r="I16087">
        <v>4573</v>
      </c>
      <c r="J16087" t="s">
        <v>646</v>
      </c>
      <c r="K16087">
        <v>5753.38</v>
      </c>
      <c r="L16087">
        <v>1098.8699999999999</v>
      </c>
      <c r="M16087">
        <v>59501</v>
      </c>
      <c r="N16087" t="s">
        <v>62</v>
      </c>
      <c r="O16087">
        <v>250505</v>
      </c>
      <c r="P16087">
        <v>4309.3100000000004</v>
      </c>
    </row>
    <row r="16088" spans="1:16" x14ac:dyDescent="0.25">
      <c r="A16088" t="s">
        <v>3296</v>
      </c>
      <c r="B16088" t="s">
        <v>2931</v>
      </c>
      <c r="C16088">
        <v>5855</v>
      </c>
      <c r="D16088" t="str">
        <f>"80233014    "</f>
        <v xml:space="preserve">80233014    </v>
      </c>
      <c r="E16088" t="s">
        <v>2898</v>
      </c>
      <c r="F16088" t="s">
        <v>2899</v>
      </c>
      <c r="G16088">
        <v>62.75</v>
      </c>
      <c r="H16088">
        <v>250423</v>
      </c>
      <c r="I16088">
        <v>4573</v>
      </c>
      <c r="J16088" t="s">
        <v>646</v>
      </c>
      <c r="K16088">
        <v>1045.9000000000001</v>
      </c>
      <c r="L16088">
        <v>12.75</v>
      </c>
      <c r="M16088">
        <v>59111</v>
      </c>
      <c r="N16088" t="s">
        <v>60</v>
      </c>
      <c r="O16088">
        <v>250505</v>
      </c>
      <c r="P16088">
        <v>50</v>
      </c>
    </row>
    <row r="16089" spans="1:16" x14ac:dyDescent="0.25">
      <c r="A16089" t="s">
        <v>3296</v>
      </c>
      <c r="B16089" t="s">
        <v>2931</v>
      </c>
      <c r="C16089">
        <v>5855</v>
      </c>
      <c r="D16089" t="str">
        <f>"80233014    "</f>
        <v xml:space="preserve">80233014    </v>
      </c>
      <c r="E16089" t="s">
        <v>2898</v>
      </c>
      <c r="F16089" t="s">
        <v>2899</v>
      </c>
      <c r="G16089">
        <v>983.15</v>
      </c>
      <c r="H16089">
        <v>250423</v>
      </c>
      <c r="I16089">
        <v>4573</v>
      </c>
      <c r="J16089" t="s">
        <v>646</v>
      </c>
      <c r="K16089">
        <v>1045.9000000000001</v>
      </c>
      <c r="L16089">
        <v>199.76</v>
      </c>
      <c r="M16089">
        <v>59501</v>
      </c>
      <c r="N16089" t="s">
        <v>62</v>
      </c>
      <c r="O16089">
        <v>250505</v>
      </c>
      <c r="P16089">
        <v>783.39</v>
      </c>
    </row>
    <row r="16090" spans="1:16" x14ac:dyDescent="0.25">
      <c r="A16090" t="s">
        <v>3296</v>
      </c>
      <c r="B16090" t="s">
        <v>2931</v>
      </c>
      <c r="C16090">
        <v>11120</v>
      </c>
      <c r="D16090" t="str">
        <f>"80238966    "</f>
        <v xml:space="preserve">80238966    </v>
      </c>
      <c r="E16090" t="s">
        <v>2898</v>
      </c>
      <c r="F16090" t="s">
        <v>2899</v>
      </c>
      <c r="G16090">
        <v>153.5</v>
      </c>
      <c r="H16090">
        <v>250821</v>
      </c>
      <c r="I16090">
        <v>4573</v>
      </c>
      <c r="J16090" t="s">
        <v>646</v>
      </c>
      <c r="K16090">
        <v>153.5</v>
      </c>
      <c r="L16090">
        <v>31.19</v>
      </c>
      <c r="M16090">
        <v>59505</v>
      </c>
      <c r="N16090" t="s">
        <v>194</v>
      </c>
      <c r="O16090">
        <v>250829</v>
      </c>
      <c r="P16090">
        <v>122.31</v>
      </c>
    </row>
    <row r="16091" spans="1:16" x14ac:dyDescent="0.25">
      <c r="A16091" t="s">
        <v>3296</v>
      </c>
      <c r="B16091" t="s">
        <v>2931</v>
      </c>
      <c r="C16091">
        <v>11121</v>
      </c>
      <c r="D16091" t="str">
        <f>"80238785    "</f>
        <v xml:space="preserve">80238785    </v>
      </c>
      <c r="E16091" t="s">
        <v>2898</v>
      </c>
      <c r="F16091" t="s">
        <v>2899</v>
      </c>
      <c r="G16091">
        <v>1071.0999999999999</v>
      </c>
      <c r="H16091">
        <v>250821</v>
      </c>
      <c r="I16091">
        <v>4573</v>
      </c>
      <c r="J16091" t="s">
        <v>646</v>
      </c>
      <c r="K16091">
        <v>1071.0999999999999</v>
      </c>
      <c r="L16091">
        <v>217.63</v>
      </c>
      <c r="M16091">
        <v>59501</v>
      </c>
      <c r="N16091" t="s">
        <v>62</v>
      </c>
      <c r="O16091">
        <v>250829</v>
      </c>
      <c r="P16091">
        <v>853.47</v>
      </c>
    </row>
    <row r="16092" spans="1:16" x14ac:dyDescent="0.25">
      <c r="A16092" t="s">
        <v>3296</v>
      </c>
      <c r="B16092" t="s">
        <v>2931</v>
      </c>
      <c r="C16092">
        <v>11122</v>
      </c>
      <c r="D16092" t="str">
        <f>"80238784    "</f>
        <v xml:space="preserve">80238784    </v>
      </c>
      <c r="E16092" t="s">
        <v>2898</v>
      </c>
      <c r="F16092" t="s">
        <v>2899</v>
      </c>
      <c r="G16092">
        <v>352.76</v>
      </c>
      <c r="H16092">
        <v>250821</v>
      </c>
      <c r="I16092">
        <v>4573</v>
      </c>
      <c r="J16092" t="s">
        <v>646</v>
      </c>
      <c r="K16092">
        <v>5879.39</v>
      </c>
      <c r="L16092">
        <v>71.680000000000007</v>
      </c>
      <c r="M16092">
        <v>59111</v>
      </c>
      <c r="N16092" t="s">
        <v>60</v>
      </c>
      <c r="O16092">
        <v>250829</v>
      </c>
      <c r="P16092">
        <v>281.08</v>
      </c>
    </row>
    <row r="16093" spans="1:16" x14ac:dyDescent="0.25">
      <c r="A16093" t="s">
        <v>3296</v>
      </c>
      <c r="B16093" t="s">
        <v>2931</v>
      </c>
      <c r="C16093">
        <v>11122</v>
      </c>
      <c r="D16093" t="str">
        <f>"80238784    "</f>
        <v xml:space="preserve">80238784    </v>
      </c>
      <c r="E16093" t="s">
        <v>2898</v>
      </c>
      <c r="F16093" t="s">
        <v>2899</v>
      </c>
      <c r="G16093">
        <v>5526.63</v>
      </c>
      <c r="H16093">
        <v>250821</v>
      </c>
      <c r="I16093">
        <v>4573</v>
      </c>
      <c r="J16093" t="s">
        <v>646</v>
      </c>
      <c r="K16093">
        <v>5879.39</v>
      </c>
      <c r="L16093">
        <v>1122.94</v>
      </c>
      <c r="M16093">
        <v>59501</v>
      </c>
      <c r="N16093" t="s">
        <v>62</v>
      </c>
      <c r="O16093">
        <v>250829</v>
      </c>
      <c r="P16093">
        <v>4403.6899999999996</v>
      </c>
    </row>
    <row r="16094" spans="1:16" x14ac:dyDescent="0.25">
      <c r="A16094" t="s">
        <v>3296</v>
      </c>
      <c r="B16094" t="s">
        <v>2931</v>
      </c>
      <c r="C16094">
        <v>11123</v>
      </c>
      <c r="D16094" t="str">
        <f>"80238968    "</f>
        <v xml:space="preserve">80238968    </v>
      </c>
      <c r="E16094" t="s">
        <v>2898</v>
      </c>
      <c r="F16094" t="s">
        <v>2899</v>
      </c>
      <c r="G16094">
        <v>1836.87</v>
      </c>
      <c r="H16094">
        <v>250821</v>
      </c>
      <c r="I16094">
        <v>4573</v>
      </c>
      <c r="J16094" t="s">
        <v>646</v>
      </c>
      <c r="K16094">
        <v>1836.87</v>
      </c>
      <c r="L16094">
        <v>373.23</v>
      </c>
      <c r="M16094">
        <v>59505</v>
      </c>
      <c r="N16094" t="s">
        <v>194</v>
      </c>
      <c r="O16094">
        <v>250829</v>
      </c>
      <c r="P16094">
        <v>1463.64</v>
      </c>
    </row>
    <row r="16095" spans="1:16" x14ac:dyDescent="0.25">
      <c r="A16095" t="s">
        <v>3296</v>
      </c>
      <c r="B16095" t="s">
        <v>2931</v>
      </c>
      <c r="C16095">
        <v>11124</v>
      </c>
      <c r="D16095" t="str">
        <f>"80239090    "</f>
        <v xml:space="preserve">80239090    </v>
      </c>
      <c r="E16095" t="s">
        <v>2898</v>
      </c>
      <c r="F16095" t="s">
        <v>2899</v>
      </c>
      <c r="G16095">
        <v>589.45000000000005</v>
      </c>
      <c r="H16095">
        <v>250821</v>
      </c>
      <c r="I16095">
        <v>4573</v>
      </c>
      <c r="J16095" t="s">
        <v>646</v>
      </c>
      <c r="K16095">
        <v>589.45000000000005</v>
      </c>
      <c r="L16095">
        <v>119.77</v>
      </c>
      <c r="M16095">
        <v>59812</v>
      </c>
      <c r="N16095" t="s">
        <v>196</v>
      </c>
      <c r="O16095">
        <v>250829</v>
      </c>
      <c r="P16095">
        <v>469.68</v>
      </c>
    </row>
    <row r="16096" spans="1:16" x14ac:dyDescent="0.25">
      <c r="A16096" t="s">
        <v>3296</v>
      </c>
      <c r="B16096" t="s">
        <v>2931</v>
      </c>
      <c r="C16096">
        <v>11125</v>
      </c>
      <c r="D16096" t="str">
        <f>"80240670    "</f>
        <v xml:space="preserve">80240670    </v>
      </c>
      <c r="E16096" t="s">
        <v>2898</v>
      </c>
      <c r="F16096" t="s">
        <v>2899</v>
      </c>
      <c r="G16096">
        <v>1719.11</v>
      </c>
      <c r="H16096">
        <v>250821</v>
      </c>
      <c r="I16096">
        <v>4573</v>
      </c>
      <c r="J16096" t="s">
        <v>646</v>
      </c>
      <c r="K16096">
        <v>1719.11</v>
      </c>
      <c r="L16096">
        <v>349.3</v>
      </c>
      <c r="M16096">
        <v>59502</v>
      </c>
      <c r="N16096" t="s">
        <v>63</v>
      </c>
      <c r="O16096">
        <v>250829</v>
      </c>
      <c r="P16096">
        <v>1369.81</v>
      </c>
    </row>
    <row r="16097" spans="1:16" x14ac:dyDescent="0.25">
      <c r="A16097" t="s">
        <v>3296</v>
      </c>
      <c r="B16097" t="s">
        <v>2931</v>
      </c>
      <c r="C16097">
        <v>11126</v>
      </c>
      <c r="D16097" t="str">
        <f>"80240671    "</f>
        <v xml:space="preserve">80240671    </v>
      </c>
      <c r="E16097" t="s">
        <v>2898</v>
      </c>
      <c r="F16097" t="s">
        <v>2899</v>
      </c>
      <c r="G16097">
        <v>272.13</v>
      </c>
      <c r="H16097">
        <v>250821</v>
      </c>
      <c r="I16097">
        <v>4573</v>
      </c>
      <c r="J16097" t="s">
        <v>646</v>
      </c>
      <c r="K16097">
        <v>777.51</v>
      </c>
      <c r="L16097">
        <v>55.29</v>
      </c>
      <c r="M16097">
        <v>59502</v>
      </c>
      <c r="N16097" t="s">
        <v>63</v>
      </c>
      <c r="O16097">
        <v>250829</v>
      </c>
      <c r="P16097">
        <v>216.84</v>
      </c>
    </row>
    <row r="16098" spans="1:16" x14ac:dyDescent="0.25">
      <c r="A16098" t="s">
        <v>3296</v>
      </c>
      <c r="B16098" t="s">
        <v>2931</v>
      </c>
      <c r="C16098">
        <v>11126</v>
      </c>
      <c r="D16098" t="str">
        <f>"80240671    "</f>
        <v xml:space="preserve">80240671    </v>
      </c>
      <c r="E16098" t="s">
        <v>2898</v>
      </c>
      <c r="F16098" t="s">
        <v>2899</v>
      </c>
      <c r="G16098">
        <v>505.38</v>
      </c>
      <c r="H16098">
        <v>250821</v>
      </c>
      <c r="I16098">
        <v>4573</v>
      </c>
      <c r="J16098" t="s">
        <v>646</v>
      </c>
      <c r="K16098">
        <v>777.51</v>
      </c>
      <c r="L16098">
        <v>102.69</v>
      </c>
      <c r="M16098">
        <v>59802</v>
      </c>
      <c r="N16098" t="s">
        <v>195</v>
      </c>
      <c r="O16098">
        <v>250829</v>
      </c>
      <c r="P16098">
        <v>402.69</v>
      </c>
    </row>
    <row r="16099" spans="1:16" x14ac:dyDescent="0.25">
      <c r="A16099" t="s">
        <v>3296</v>
      </c>
      <c r="B16099" t="s">
        <v>2931</v>
      </c>
      <c r="C16099">
        <v>11166</v>
      </c>
      <c r="D16099" t="str">
        <f>"80241790    "</f>
        <v xml:space="preserve">80241790    </v>
      </c>
      <c r="E16099" t="s">
        <v>2898</v>
      </c>
      <c r="F16099" t="s">
        <v>2899</v>
      </c>
      <c r="G16099">
        <v>473.84</v>
      </c>
      <c r="H16099">
        <v>250821</v>
      </c>
      <c r="I16099">
        <v>4573</v>
      </c>
      <c r="J16099" t="s">
        <v>646</v>
      </c>
      <c r="K16099">
        <v>1754.97</v>
      </c>
      <c r="L16099">
        <v>96.28</v>
      </c>
      <c r="M16099">
        <v>59112</v>
      </c>
      <c r="N16099" t="s">
        <v>44</v>
      </c>
      <c r="O16099">
        <v>250901</v>
      </c>
      <c r="P16099">
        <v>377.56</v>
      </c>
    </row>
    <row r="16100" spans="1:16" x14ac:dyDescent="0.25">
      <c r="A16100" t="s">
        <v>3296</v>
      </c>
      <c r="B16100" t="s">
        <v>2931</v>
      </c>
      <c r="C16100">
        <v>11166</v>
      </c>
      <c r="D16100" t="str">
        <f>"80241790    "</f>
        <v xml:space="preserve">80241790    </v>
      </c>
      <c r="E16100" t="s">
        <v>2898</v>
      </c>
      <c r="F16100" t="s">
        <v>2899</v>
      </c>
      <c r="G16100">
        <v>1281.1300000000001</v>
      </c>
      <c r="H16100">
        <v>250821</v>
      </c>
      <c r="I16100">
        <v>4573</v>
      </c>
      <c r="J16100" t="s">
        <v>646</v>
      </c>
      <c r="K16100">
        <v>1754.97</v>
      </c>
      <c r="L16100">
        <v>260.31</v>
      </c>
      <c r="M16100">
        <v>59504</v>
      </c>
      <c r="N16100" t="s">
        <v>193</v>
      </c>
      <c r="O16100">
        <v>250901</v>
      </c>
      <c r="P16100">
        <v>1020.82</v>
      </c>
    </row>
    <row r="16101" spans="1:16" x14ac:dyDescent="0.25">
      <c r="A16101" t="s">
        <v>3296</v>
      </c>
      <c r="B16101" t="s">
        <v>2931</v>
      </c>
      <c r="C16101">
        <v>11299</v>
      </c>
      <c r="D16101" t="str">
        <f>"80240714    "</f>
        <v xml:space="preserve">80240714    </v>
      </c>
      <c r="E16101" t="s">
        <v>2898</v>
      </c>
      <c r="F16101" t="s">
        <v>2899</v>
      </c>
      <c r="G16101">
        <v>181.28</v>
      </c>
      <c r="H16101">
        <v>250821</v>
      </c>
      <c r="I16101">
        <v>4573</v>
      </c>
      <c r="J16101" t="s">
        <v>646</v>
      </c>
      <c r="K16101">
        <v>181.28</v>
      </c>
      <c r="L16101">
        <v>36.83</v>
      </c>
      <c r="M16101">
        <v>56571</v>
      </c>
      <c r="N16101" t="s">
        <v>553</v>
      </c>
      <c r="O16101">
        <v>250903</v>
      </c>
      <c r="P16101">
        <v>144.44999999999999</v>
      </c>
    </row>
    <row r="16102" spans="1:16" x14ac:dyDescent="0.25">
      <c r="A16102" t="s">
        <v>3296</v>
      </c>
      <c r="B16102" t="s">
        <v>2931</v>
      </c>
      <c r="C16102">
        <v>12474</v>
      </c>
      <c r="D16102" t="str">
        <f>"32/20002687 "</f>
        <v xml:space="preserve">32/20002687 </v>
      </c>
      <c r="E16102" t="s">
        <v>2898</v>
      </c>
      <c r="F16102" t="s">
        <v>2899</v>
      </c>
      <c r="G16102">
        <v>2410.8200000000002</v>
      </c>
      <c r="H16102">
        <v>250923</v>
      </c>
      <c r="I16102">
        <v>4573</v>
      </c>
      <c r="J16102" t="s">
        <v>646</v>
      </c>
      <c r="K16102">
        <v>2410.8200000000002</v>
      </c>
      <c r="L16102">
        <v>489.85</v>
      </c>
      <c r="M16102">
        <v>56571</v>
      </c>
      <c r="N16102" t="s">
        <v>553</v>
      </c>
      <c r="O16102">
        <v>250924</v>
      </c>
      <c r="P16102">
        <v>1920.97</v>
      </c>
    </row>
    <row r="16103" spans="1:16" x14ac:dyDescent="0.25">
      <c r="A16103" t="s">
        <v>3296</v>
      </c>
      <c r="B16103" t="s">
        <v>2931</v>
      </c>
      <c r="C16103">
        <v>14391</v>
      </c>
      <c r="D16103" t="str">
        <f>"80242992    "</f>
        <v xml:space="preserve">80242992    </v>
      </c>
      <c r="E16103" t="s">
        <v>2898</v>
      </c>
      <c r="F16103" t="s">
        <v>2899</v>
      </c>
      <c r="G16103">
        <v>63.29</v>
      </c>
      <c r="H16103">
        <v>251024</v>
      </c>
      <c r="I16103">
        <v>4573</v>
      </c>
      <c r="J16103" t="s">
        <v>646</v>
      </c>
      <c r="K16103">
        <v>63.29</v>
      </c>
      <c r="L16103">
        <v>12.86</v>
      </c>
      <c r="M16103">
        <v>56571</v>
      </c>
      <c r="N16103" t="s">
        <v>553</v>
      </c>
      <c r="O16103">
        <v>251031</v>
      </c>
      <c r="P16103">
        <v>50.43</v>
      </c>
    </row>
    <row r="16104" spans="1:16" x14ac:dyDescent="0.25">
      <c r="A16104" t="s">
        <v>3296</v>
      </c>
      <c r="B16104" t="s">
        <v>2931</v>
      </c>
      <c r="C16104">
        <v>18120</v>
      </c>
      <c r="D16104" t="str">
        <f>"80248054    "</f>
        <v xml:space="preserve">80248054    </v>
      </c>
      <c r="E16104" t="s">
        <v>2898</v>
      </c>
      <c r="F16104" t="s">
        <v>2899</v>
      </c>
      <c r="G16104">
        <v>2013.71</v>
      </c>
      <c r="H16104">
        <v>251230</v>
      </c>
      <c r="I16104">
        <v>4573</v>
      </c>
      <c r="J16104" t="s">
        <v>646</v>
      </c>
      <c r="K16104">
        <v>2013.71</v>
      </c>
      <c r="L16104">
        <v>409.16</v>
      </c>
      <c r="M16104">
        <v>59502</v>
      </c>
      <c r="N16104" t="s">
        <v>63</v>
      </c>
      <c r="O16104">
        <v>260109</v>
      </c>
      <c r="P16104">
        <v>1604.55</v>
      </c>
    </row>
    <row r="16105" spans="1:16" x14ac:dyDescent="0.25">
      <c r="A16105" t="s">
        <v>3296</v>
      </c>
      <c r="B16105" t="s">
        <v>2931</v>
      </c>
      <c r="C16105">
        <v>18123</v>
      </c>
      <c r="D16105" t="str">
        <f>"80248055    "</f>
        <v xml:space="preserve">80248055    </v>
      </c>
      <c r="E16105" t="s">
        <v>2898</v>
      </c>
      <c r="F16105" t="s">
        <v>2899</v>
      </c>
      <c r="G16105">
        <v>441.18</v>
      </c>
      <c r="H16105">
        <v>251230</v>
      </c>
      <c r="I16105">
        <v>4573</v>
      </c>
      <c r="J16105" t="s">
        <v>646</v>
      </c>
      <c r="K16105">
        <v>1260.51</v>
      </c>
      <c r="L16105">
        <v>89.64</v>
      </c>
      <c r="M16105">
        <v>59502</v>
      </c>
      <c r="N16105" t="s">
        <v>63</v>
      </c>
      <c r="O16105">
        <v>260109</v>
      </c>
      <c r="P16105">
        <v>351.54</v>
      </c>
    </row>
    <row r="16106" spans="1:16" x14ac:dyDescent="0.25">
      <c r="A16106" t="s">
        <v>3296</v>
      </c>
      <c r="B16106" t="s">
        <v>2931</v>
      </c>
      <c r="C16106">
        <v>18123</v>
      </c>
      <c r="D16106" t="str">
        <f>"80248055    "</f>
        <v xml:space="preserve">80248055    </v>
      </c>
      <c r="E16106" t="s">
        <v>2898</v>
      </c>
      <c r="F16106" t="s">
        <v>2899</v>
      </c>
      <c r="G16106">
        <v>819.33</v>
      </c>
      <c r="H16106">
        <v>251230</v>
      </c>
      <c r="I16106">
        <v>4573</v>
      </c>
      <c r="J16106" t="s">
        <v>646</v>
      </c>
      <c r="K16106">
        <v>1260.51</v>
      </c>
      <c r="L16106">
        <v>166.48</v>
      </c>
      <c r="M16106">
        <v>59802</v>
      </c>
      <c r="N16106" t="s">
        <v>195</v>
      </c>
      <c r="O16106">
        <v>260109</v>
      </c>
      <c r="P16106">
        <v>652.85</v>
      </c>
    </row>
    <row r="16107" spans="1:16" x14ac:dyDescent="0.25">
      <c r="A16107" t="s">
        <v>3296</v>
      </c>
      <c r="B16107" t="s">
        <v>2931</v>
      </c>
      <c r="C16107">
        <v>18126</v>
      </c>
      <c r="D16107" t="str">
        <f>"80247053    "</f>
        <v xml:space="preserve">80247053    </v>
      </c>
      <c r="E16107" t="s">
        <v>2898</v>
      </c>
      <c r="F16107" t="s">
        <v>2899</v>
      </c>
      <c r="G16107">
        <v>153.5</v>
      </c>
      <c r="H16107">
        <v>251229</v>
      </c>
      <c r="I16107">
        <v>4573</v>
      </c>
      <c r="J16107" t="s">
        <v>646</v>
      </c>
      <c r="K16107">
        <v>153.5</v>
      </c>
      <c r="L16107">
        <v>31.19</v>
      </c>
      <c r="M16107">
        <v>59505</v>
      </c>
      <c r="N16107" t="s">
        <v>194</v>
      </c>
      <c r="O16107">
        <v>260109</v>
      </c>
      <c r="P16107">
        <v>122.31</v>
      </c>
    </row>
    <row r="16108" spans="1:16" x14ac:dyDescent="0.25">
      <c r="A16108" t="s">
        <v>3296</v>
      </c>
      <c r="B16108" t="s">
        <v>2931</v>
      </c>
      <c r="C16108">
        <v>18152</v>
      </c>
      <c r="D16108" t="str">
        <f>"80247055    "</f>
        <v xml:space="preserve">80247055    </v>
      </c>
      <c r="E16108" t="s">
        <v>2898</v>
      </c>
      <c r="F16108" t="s">
        <v>2899</v>
      </c>
      <c r="G16108">
        <v>-1263.6300000000001</v>
      </c>
      <c r="H16108">
        <v>251229</v>
      </c>
      <c r="I16108">
        <v>4573</v>
      </c>
      <c r="J16108" t="s">
        <v>646</v>
      </c>
      <c r="K16108">
        <v>-1263.6300000000001</v>
      </c>
      <c r="L16108">
        <v>-256.75</v>
      </c>
      <c r="M16108">
        <v>59505</v>
      </c>
      <c r="N16108" t="s">
        <v>194</v>
      </c>
      <c r="O16108">
        <v>260109</v>
      </c>
      <c r="P16108">
        <v>-1006.88</v>
      </c>
    </row>
    <row r="16109" spans="1:16" x14ac:dyDescent="0.25">
      <c r="A16109" t="s">
        <v>3296</v>
      </c>
      <c r="B16109" t="s">
        <v>2931</v>
      </c>
      <c r="C16109">
        <v>18177</v>
      </c>
      <c r="D16109" t="str">
        <f>"80246871    "</f>
        <v xml:space="preserve">80246871    </v>
      </c>
      <c r="E16109" t="s">
        <v>2898</v>
      </c>
      <c r="F16109" t="s">
        <v>2899</v>
      </c>
      <c r="G16109">
        <v>184.74</v>
      </c>
      <c r="H16109">
        <v>251229</v>
      </c>
      <c r="I16109">
        <v>4573</v>
      </c>
      <c r="J16109" t="s">
        <v>646</v>
      </c>
      <c r="K16109">
        <v>3079</v>
      </c>
      <c r="L16109">
        <v>37.54</v>
      </c>
      <c r="M16109">
        <v>59111</v>
      </c>
      <c r="N16109" t="s">
        <v>60</v>
      </c>
      <c r="O16109">
        <v>260109</v>
      </c>
      <c r="P16109">
        <v>147.19999999999999</v>
      </c>
    </row>
    <row r="16110" spans="1:16" x14ac:dyDescent="0.25">
      <c r="A16110" t="s">
        <v>3296</v>
      </c>
      <c r="B16110" t="s">
        <v>2931</v>
      </c>
      <c r="C16110">
        <v>18177</v>
      </c>
      <c r="D16110" t="str">
        <f>"80246871    "</f>
        <v xml:space="preserve">80246871    </v>
      </c>
      <c r="E16110" t="s">
        <v>2898</v>
      </c>
      <c r="F16110" t="s">
        <v>2899</v>
      </c>
      <c r="G16110">
        <v>2894.26</v>
      </c>
      <c r="H16110">
        <v>251229</v>
      </c>
      <c r="I16110">
        <v>4573</v>
      </c>
      <c r="J16110" t="s">
        <v>646</v>
      </c>
      <c r="K16110">
        <v>3079</v>
      </c>
      <c r="L16110">
        <v>588.08000000000004</v>
      </c>
      <c r="M16110">
        <v>59501</v>
      </c>
      <c r="N16110" t="s">
        <v>62</v>
      </c>
      <c r="O16110">
        <v>260109</v>
      </c>
      <c r="P16110">
        <v>2306.1799999999998</v>
      </c>
    </row>
    <row r="16111" spans="1:16" x14ac:dyDescent="0.25">
      <c r="A16111" t="s">
        <v>3296</v>
      </c>
      <c r="B16111" t="s">
        <v>2931</v>
      </c>
      <c r="C16111">
        <v>18194</v>
      </c>
      <c r="D16111" t="str">
        <f>"80247176    "</f>
        <v xml:space="preserve">80247176    </v>
      </c>
      <c r="E16111" t="s">
        <v>2898</v>
      </c>
      <c r="F16111" t="s">
        <v>2899</v>
      </c>
      <c r="G16111">
        <v>1059.8499999999999</v>
      </c>
      <c r="H16111">
        <v>251229</v>
      </c>
      <c r="I16111">
        <v>4573</v>
      </c>
      <c r="J16111" t="s">
        <v>646</v>
      </c>
      <c r="K16111">
        <v>1059.8499999999999</v>
      </c>
      <c r="L16111">
        <v>215.35</v>
      </c>
      <c r="M16111">
        <v>59812</v>
      </c>
      <c r="N16111" t="s">
        <v>196</v>
      </c>
      <c r="O16111">
        <v>260109</v>
      </c>
      <c r="P16111">
        <v>844.5</v>
      </c>
    </row>
    <row r="16112" spans="1:16" x14ac:dyDescent="0.25">
      <c r="A16112" t="s">
        <v>3296</v>
      </c>
      <c r="B16112" t="s">
        <v>2931</v>
      </c>
      <c r="C16112">
        <v>18198</v>
      </c>
      <c r="D16112" t="str">
        <f>"80246870    "</f>
        <v xml:space="preserve">80246870    </v>
      </c>
      <c r="E16112" t="s">
        <v>2898</v>
      </c>
      <c r="F16112" t="s">
        <v>2899</v>
      </c>
      <c r="G16112">
        <v>485.19</v>
      </c>
      <c r="H16112">
        <v>251229</v>
      </c>
      <c r="I16112">
        <v>4573</v>
      </c>
      <c r="J16112" t="s">
        <v>646</v>
      </c>
      <c r="K16112">
        <v>8086.48</v>
      </c>
      <c r="L16112">
        <v>98.58</v>
      </c>
      <c r="M16112">
        <v>59111</v>
      </c>
      <c r="N16112" t="s">
        <v>60</v>
      </c>
      <c r="O16112">
        <v>260109</v>
      </c>
      <c r="P16112">
        <v>386.61</v>
      </c>
    </row>
    <row r="16113" spans="1:16" x14ac:dyDescent="0.25">
      <c r="A16113" t="s">
        <v>3296</v>
      </c>
      <c r="B16113" t="s">
        <v>2931</v>
      </c>
      <c r="C16113">
        <v>18198</v>
      </c>
      <c r="D16113" t="str">
        <f>"80246870    "</f>
        <v xml:space="preserve">80246870    </v>
      </c>
      <c r="E16113" t="s">
        <v>2898</v>
      </c>
      <c r="F16113" t="s">
        <v>2899</v>
      </c>
      <c r="G16113">
        <v>7601.29</v>
      </c>
      <c r="H16113">
        <v>251229</v>
      </c>
      <c r="I16113">
        <v>4573</v>
      </c>
      <c r="J16113" t="s">
        <v>646</v>
      </c>
      <c r="K16113">
        <v>8086.48</v>
      </c>
      <c r="L16113">
        <v>1544.49</v>
      </c>
      <c r="M16113">
        <v>59501</v>
      </c>
      <c r="N16113" t="s">
        <v>62</v>
      </c>
      <c r="O16113">
        <v>260109</v>
      </c>
      <c r="P16113">
        <v>6056.8</v>
      </c>
    </row>
    <row r="16114" spans="1:16" x14ac:dyDescent="0.25">
      <c r="A16114" t="s">
        <v>3296</v>
      </c>
      <c r="B16114" t="s">
        <v>2931</v>
      </c>
      <c r="C16114">
        <v>18245</v>
      </c>
      <c r="D16114" t="str">
        <f>"80249199    "</f>
        <v xml:space="preserve">80249199    </v>
      </c>
      <c r="E16114" t="s">
        <v>2898</v>
      </c>
      <c r="F16114" t="s">
        <v>2899</v>
      </c>
      <c r="G16114">
        <v>151.07</v>
      </c>
      <c r="H16114">
        <v>251230</v>
      </c>
      <c r="I16114">
        <v>4573</v>
      </c>
      <c r="J16114" t="s">
        <v>646</v>
      </c>
      <c r="K16114">
        <v>559.5</v>
      </c>
      <c r="L16114">
        <v>30.7</v>
      </c>
      <c r="M16114">
        <v>59112</v>
      </c>
      <c r="N16114" t="s">
        <v>44</v>
      </c>
      <c r="O16114">
        <v>260112</v>
      </c>
      <c r="P16114">
        <v>120.37</v>
      </c>
    </row>
    <row r="16115" spans="1:16" x14ac:dyDescent="0.25">
      <c r="A16115" t="s">
        <v>3296</v>
      </c>
      <c r="B16115" t="s">
        <v>2931</v>
      </c>
      <c r="C16115">
        <v>18245</v>
      </c>
      <c r="D16115" t="str">
        <f>"80249199    "</f>
        <v xml:space="preserve">80249199    </v>
      </c>
      <c r="E16115" t="s">
        <v>2898</v>
      </c>
      <c r="F16115" t="s">
        <v>2899</v>
      </c>
      <c r="G16115">
        <v>408.43</v>
      </c>
      <c r="H16115">
        <v>251230</v>
      </c>
      <c r="I16115">
        <v>4573</v>
      </c>
      <c r="J16115" t="s">
        <v>646</v>
      </c>
      <c r="K16115">
        <v>559.5</v>
      </c>
      <c r="L16115">
        <v>82.99</v>
      </c>
      <c r="M16115">
        <v>59504</v>
      </c>
      <c r="N16115" t="s">
        <v>193</v>
      </c>
      <c r="O16115">
        <v>260112</v>
      </c>
      <c r="P16115">
        <v>325.44</v>
      </c>
    </row>
    <row r="16116" spans="1:16" x14ac:dyDescent="0.25">
      <c r="A16116" t="s">
        <v>3296</v>
      </c>
      <c r="B16116" t="s">
        <v>2931</v>
      </c>
      <c r="C16116">
        <v>7186</v>
      </c>
      <c r="D16116" t="str">
        <f>"2019        "</f>
        <v xml:space="preserve">2019        </v>
      </c>
      <c r="E16116" t="s">
        <v>1929</v>
      </c>
      <c r="F16116" t="s">
        <v>1930</v>
      </c>
      <c r="G16116">
        <v>439.25</v>
      </c>
      <c r="H16116">
        <v>250519</v>
      </c>
      <c r="I16116">
        <v>4390</v>
      </c>
      <c r="J16116" t="s">
        <v>232</v>
      </c>
      <c r="K16116">
        <v>552.20000000000005</v>
      </c>
      <c r="L16116">
        <v>89.25</v>
      </c>
      <c r="M16116">
        <v>59501</v>
      </c>
      <c r="N16116" t="s">
        <v>62</v>
      </c>
      <c r="O16116">
        <v>250526</v>
      </c>
      <c r="P16116">
        <v>350</v>
      </c>
    </row>
    <row r="16117" spans="1:16" x14ac:dyDescent="0.25">
      <c r="A16117" t="s">
        <v>3296</v>
      </c>
      <c r="B16117" t="s">
        <v>2931</v>
      </c>
      <c r="C16117">
        <v>7186</v>
      </c>
      <c r="D16117" t="str">
        <f>"2019        "</f>
        <v xml:space="preserve">2019        </v>
      </c>
      <c r="E16117" t="s">
        <v>1929</v>
      </c>
      <c r="F16117" t="s">
        <v>1930</v>
      </c>
      <c r="G16117">
        <v>112.95</v>
      </c>
      <c r="H16117">
        <v>250519</v>
      </c>
      <c r="I16117">
        <v>4390</v>
      </c>
      <c r="J16117" t="s">
        <v>232</v>
      </c>
      <c r="K16117">
        <v>552.20000000000005</v>
      </c>
      <c r="L16117">
        <v>22.95</v>
      </c>
      <c r="M16117">
        <v>59505</v>
      </c>
      <c r="N16117" t="s">
        <v>194</v>
      </c>
      <c r="O16117">
        <v>250526</v>
      </c>
      <c r="P16117">
        <v>90</v>
      </c>
    </row>
    <row r="16118" spans="1:16" x14ac:dyDescent="0.25">
      <c r="A16118" t="s">
        <v>3296</v>
      </c>
      <c r="B16118" t="s">
        <v>2931</v>
      </c>
      <c r="C16118">
        <v>18063</v>
      </c>
      <c r="D16118" t="str">
        <f>"2068        "</f>
        <v xml:space="preserve">2068        </v>
      </c>
      <c r="E16118" t="s">
        <v>1929</v>
      </c>
      <c r="F16118" t="s">
        <v>1930</v>
      </c>
      <c r="G16118">
        <v>690.25</v>
      </c>
      <c r="H16118">
        <v>251231</v>
      </c>
      <c r="I16118">
        <v>4390</v>
      </c>
      <c r="J16118" t="s">
        <v>232</v>
      </c>
      <c r="K16118">
        <v>690.25</v>
      </c>
      <c r="L16118">
        <v>140.25</v>
      </c>
      <c r="M16118">
        <v>59502</v>
      </c>
      <c r="N16118" t="s">
        <v>63</v>
      </c>
      <c r="O16118">
        <v>260108</v>
      </c>
      <c r="P16118">
        <v>550</v>
      </c>
    </row>
    <row r="16119" spans="1:16" x14ac:dyDescent="0.25">
      <c r="A16119" t="s">
        <v>3296</v>
      </c>
      <c r="B16119" t="s">
        <v>2931</v>
      </c>
      <c r="C16119">
        <v>14251</v>
      </c>
      <c r="D16119" t="str">
        <f>"25/201025   "</f>
        <v xml:space="preserve">25/201025   </v>
      </c>
      <c r="E16119" t="s">
        <v>3040</v>
      </c>
      <c r="F16119" t="s">
        <v>3041</v>
      </c>
      <c r="G16119">
        <v>220</v>
      </c>
      <c r="H16119">
        <v>251017</v>
      </c>
      <c r="I16119">
        <v>4440</v>
      </c>
      <c r="J16119" t="s">
        <v>346</v>
      </c>
      <c r="K16119">
        <v>220</v>
      </c>
      <c r="L16119">
        <v>0</v>
      </c>
      <c r="M16119">
        <v>67554</v>
      </c>
      <c r="N16119" t="s">
        <v>317</v>
      </c>
      <c r="O16119">
        <v>251028</v>
      </c>
      <c r="P16119">
        <v>220</v>
      </c>
    </row>
    <row r="16120" spans="1:16" x14ac:dyDescent="0.25">
      <c r="A16120" t="s">
        <v>3296</v>
      </c>
      <c r="B16120" t="s">
        <v>2931</v>
      </c>
      <c r="C16120">
        <v>15460</v>
      </c>
      <c r="D16120" t="str">
        <f>"252         "</f>
        <v xml:space="preserve">252         </v>
      </c>
      <c r="E16120" t="s">
        <v>3040</v>
      </c>
      <c r="F16120" t="s">
        <v>3041</v>
      </c>
      <c r="G16120">
        <v>-220</v>
      </c>
      <c r="H16120">
        <v>251117</v>
      </c>
      <c r="I16120">
        <v>4440</v>
      </c>
      <c r="J16120" t="s">
        <v>346</v>
      </c>
      <c r="K16120">
        <v>389</v>
      </c>
      <c r="L16120">
        <v>0</v>
      </c>
      <c r="M16120">
        <v>67554</v>
      </c>
      <c r="N16120" t="s">
        <v>317</v>
      </c>
      <c r="O16120">
        <v>251120</v>
      </c>
      <c r="P16120">
        <v>-220</v>
      </c>
    </row>
    <row r="16121" spans="1:16" x14ac:dyDescent="0.25">
      <c r="A16121" t="s">
        <v>3296</v>
      </c>
      <c r="B16121" t="s">
        <v>2931</v>
      </c>
      <c r="C16121">
        <v>15460</v>
      </c>
      <c r="D16121" t="str">
        <f>"252         "</f>
        <v xml:space="preserve">252         </v>
      </c>
      <c r="E16121" t="s">
        <v>3040</v>
      </c>
      <c r="F16121" t="s">
        <v>3041</v>
      </c>
      <c r="G16121">
        <v>609</v>
      </c>
      <c r="H16121">
        <v>251117</v>
      </c>
      <c r="I16121">
        <v>4441</v>
      </c>
      <c r="J16121" t="s">
        <v>234</v>
      </c>
      <c r="K16121">
        <v>389</v>
      </c>
      <c r="L16121">
        <v>0</v>
      </c>
      <c r="M16121">
        <v>67554</v>
      </c>
      <c r="N16121" t="s">
        <v>317</v>
      </c>
      <c r="O16121">
        <v>251120</v>
      </c>
      <c r="P16121">
        <v>609</v>
      </c>
    </row>
    <row r="16122" spans="1:16" x14ac:dyDescent="0.25">
      <c r="A16122" t="s">
        <v>3296</v>
      </c>
      <c r="B16122" t="s">
        <v>2931</v>
      </c>
      <c r="C16122">
        <v>708</v>
      </c>
      <c r="D16122" t="str">
        <f>"240125      "</f>
        <v xml:space="preserve">240125      </v>
      </c>
      <c r="E16122" t="s">
        <v>2993</v>
      </c>
      <c r="F16122" t="s">
        <v>2994</v>
      </c>
      <c r="G16122">
        <v>25</v>
      </c>
      <c r="H16122">
        <v>250118</v>
      </c>
      <c r="I16122">
        <v>4470</v>
      </c>
      <c r="J16122" t="s">
        <v>203</v>
      </c>
      <c r="K16122">
        <v>50</v>
      </c>
      <c r="L16122">
        <v>0</v>
      </c>
      <c r="M16122">
        <v>67522</v>
      </c>
      <c r="N16122" t="s">
        <v>121</v>
      </c>
      <c r="O16122">
        <v>250128</v>
      </c>
      <c r="P16122">
        <v>25</v>
      </c>
    </row>
    <row r="16123" spans="1:16" x14ac:dyDescent="0.25">
      <c r="A16123" t="s">
        <v>3296</v>
      </c>
      <c r="B16123" t="s">
        <v>2931</v>
      </c>
      <c r="C16123">
        <v>6785</v>
      </c>
      <c r="D16123" t="str">
        <f>"3004766192  "</f>
        <v xml:space="preserve">3004766192  </v>
      </c>
      <c r="E16123" t="s">
        <v>1892</v>
      </c>
      <c r="F16123" t="s">
        <v>1893</v>
      </c>
      <c r="G16123">
        <v>6.8</v>
      </c>
      <c r="H16123">
        <v>250509</v>
      </c>
      <c r="I16123">
        <v>4410</v>
      </c>
      <c r="J16123" t="s">
        <v>165</v>
      </c>
      <c r="K16123">
        <v>129.63999999999999</v>
      </c>
      <c r="L16123">
        <v>0</v>
      </c>
      <c r="M16123">
        <v>47522</v>
      </c>
      <c r="N16123" t="s">
        <v>106</v>
      </c>
      <c r="O16123">
        <v>250516</v>
      </c>
      <c r="P16123">
        <v>6.8</v>
      </c>
    </row>
    <row r="16124" spans="1:16" x14ac:dyDescent="0.25">
      <c r="A16124" t="s">
        <v>3296</v>
      </c>
      <c r="B16124" t="s">
        <v>2931</v>
      </c>
      <c r="C16124">
        <v>6785</v>
      </c>
      <c r="D16124" t="str">
        <f>"3004766192  "</f>
        <v xml:space="preserve">3004766192  </v>
      </c>
      <c r="E16124" t="s">
        <v>1892</v>
      </c>
      <c r="F16124" t="s">
        <v>1893</v>
      </c>
      <c r="G16124">
        <v>19</v>
      </c>
      <c r="H16124">
        <v>250509</v>
      </c>
      <c r="I16124">
        <v>4410</v>
      </c>
      <c r="J16124" t="s">
        <v>165</v>
      </c>
      <c r="K16124">
        <v>129.63999999999999</v>
      </c>
      <c r="L16124">
        <v>3.86</v>
      </c>
      <c r="M16124">
        <v>47522</v>
      </c>
      <c r="N16124" t="s">
        <v>106</v>
      </c>
      <c r="O16124">
        <v>250516</v>
      </c>
      <c r="P16124">
        <v>15.14</v>
      </c>
    </row>
    <row r="16125" spans="1:16" x14ac:dyDescent="0.25">
      <c r="A16125" t="s">
        <v>3296</v>
      </c>
      <c r="B16125" t="s">
        <v>2931</v>
      </c>
      <c r="C16125">
        <v>6785</v>
      </c>
      <c r="D16125" t="str">
        <f>"3004766192  "</f>
        <v xml:space="preserve">3004766192  </v>
      </c>
      <c r="E16125" t="s">
        <v>1892</v>
      </c>
      <c r="F16125" t="s">
        <v>1893</v>
      </c>
      <c r="G16125">
        <v>103.84</v>
      </c>
      <c r="H16125">
        <v>250509</v>
      </c>
      <c r="I16125">
        <v>4410</v>
      </c>
      <c r="J16125" t="s">
        <v>165</v>
      </c>
      <c r="K16125">
        <v>129.63999999999999</v>
      </c>
      <c r="L16125">
        <v>12.75</v>
      </c>
      <c r="M16125">
        <v>47522</v>
      </c>
      <c r="N16125" t="s">
        <v>106</v>
      </c>
      <c r="O16125">
        <v>250516</v>
      </c>
      <c r="P16125">
        <v>91.09</v>
      </c>
    </row>
    <row r="16126" spans="1:16" x14ac:dyDescent="0.25">
      <c r="A16126" t="s">
        <v>3296</v>
      </c>
      <c r="B16126" t="s">
        <v>2931</v>
      </c>
      <c r="C16126">
        <v>14987</v>
      </c>
      <c r="D16126" t="str">
        <f>"3005109174  "</f>
        <v xml:space="preserve">3005109174  </v>
      </c>
      <c r="E16126" t="s">
        <v>1892</v>
      </c>
      <c r="F16126" t="s">
        <v>1893</v>
      </c>
      <c r="G16126">
        <v>4</v>
      </c>
      <c r="H16126">
        <v>251031</v>
      </c>
      <c r="I16126">
        <v>4410</v>
      </c>
      <c r="J16126" t="s">
        <v>165</v>
      </c>
      <c r="K16126">
        <v>139</v>
      </c>
      <c r="L16126">
        <v>0.81</v>
      </c>
      <c r="M16126">
        <v>47522</v>
      </c>
      <c r="N16126" t="s">
        <v>106</v>
      </c>
      <c r="O16126">
        <v>251110</v>
      </c>
      <c r="P16126">
        <v>3.19</v>
      </c>
    </row>
    <row r="16127" spans="1:16" x14ac:dyDescent="0.25">
      <c r="A16127" t="s">
        <v>3296</v>
      </c>
      <c r="B16127" t="s">
        <v>2931</v>
      </c>
      <c r="C16127">
        <v>14987</v>
      </c>
      <c r="D16127" t="str">
        <f>"3005109174  "</f>
        <v xml:space="preserve">3005109174  </v>
      </c>
      <c r="E16127" t="s">
        <v>1892</v>
      </c>
      <c r="F16127" t="s">
        <v>1893</v>
      </c>
      <c r="G16127">
        <v>6.8</v>
      </c>
      <c r="H16127">
        <v>251031</v>
      </c>
      <c r="I16127">
        <v>4410</v>
      </c>
      <c r="J16127" t="s">
        <v>165</v>
      </c>
      <c r="K16127">
        <v>139</v>
      </c>
      <c r="L16127">
        <v>0</v>
      </c>
      <c r="M16127">
        <v>47522</v>
      </c>
      <c r="N16127" t="s">
        <v>106</v>
      </c>
      <c r="O16127">
        <v>251110</v>
      </c>
      <c r="P16127">
        <v>6.8</v>
      </c>
    </row>
    <row r="16128" spans="1:16" x14ac:dyDescent="0.25">
      <c r="A16128" t="s">
        <v>3296</v>
      </c>
      <c r="B16128" t="s">
        <v>2931</v>
      </c>
      <c r="C16128">
        <v>14987</v>
      </c>
      <c r="D16128" t="str">
        <f>"3005109174  "</f>
        <v xml:space="preserve">3005109174  </v>
      </c>
      <c r="E16128" t="s">
        <v>1892</v>
      </c>
      <c r="F16128" t="s">
        <v>1893</v>
      </c>
      <c r="G16128">
        <v>128.19999999999999</v>
      </c>
      <c r="H16128">
        <v>251031</v>
      </c>
      <c r="I16128">
        <v>4410</v>
      </c>
      <c r="J16128" t="s">
        <v>165</v>
      </c>
      <c r="K16128">
        <v>139</v>
      </c>
      <c r="L16128">
        <v>15.74</v>
      </c>
      <c r="M16128">
        <v>47522</v>
      </c>
      <c r="N16128" t="s">
        <v>106</v>
      </c>
      <c r="O16128">
        <v>251110</v>
      </c>
      <c r="P16128">
        <v>112.46</v>
      </c>
    </row>
    <row r="16129" spans="1:16" x14ac:dyDescent="0.25">
      <c r="A16129" t="s">
        <v>3296</v>
      </c>
      <c r="B16129" t="s">
        <v>2931</v>
      </c>
      <c r="C16129">
        <v>15675</v>
      </c>
      <c r="D16129" t="str">
        <f>"3005163292  "</f>
        <v xml:space="preserve">3005163292  </v>
      </c>
      <c r="E16129" t="s">
        <v>1892</v>
      </c>
      <c r="F16129" t="s">
        <v>1893</v>
      </c>
      <c r="G16129">
        <v>6.8</v>
      </c>
      <c r="H16129">
        <v>251119</v>
      </c>
      <c r="I16129">
        <v>4410</v>
      </c>
      <c r="J16129" t="s">
        <v>165</v>
      </c>
      <c r="K16129">
        <v>198</v>
      </c>
      <c r="L16129">
        <v>0</v>
      </c>
      <c r="M16129">
        <v>47522</v>
      </c>
      <c r="N16129" t="s">
        <v>106</v>
      </c>
      <c r="O16129">
        <v>251124</v>
      </c>
      <c r="P16129">
        <v>6.8</v>
      </c>
    </row>
    <row r="16130" spans="1:16" x14ac:dyDescent="0.25">
      <c r="A16130" t="s">
        <v>3296</v>
      </c>
      <c r="B16130" t="s">
        <v>2931</v>
      </c>
      <c r="C16130">
        <v>15675</v>
      </c>
      <c r="D16130" t="str">
        <f>"3005163292  "</f>
        <v xml:space="preserve">3005163292  </v>
      </c>
      <c r="E16130" t="s">
        <v>1892</v>
      </c>
      <c r="F16130" t="s">
        <v>1893</v>
      </c>
      <c r="G16130">
        <v>19</v>
      </c>
      <c r="H16130">
        <v>251119</v>
      </c>
      <c r="I16130">
        <v>4410</v>
      </c>
      <c r="J16130" t="s">
        <v>165</v>
      </c>
      <c r="K16130">
        <v>198</v>
      </c>
      <c r="L16130">
        <v>3.86</v>
      </c>
      <c r="M16130">
        <v>47522</v>
      </c>
      <c r="N16130" t="s">
        <v>106</v>
      </c>
      <c r="O16130">
        <v>251124</v>
      </c>
      <c r="P16130">
        <v>15.14</v>
      </c>
    </row>
    <row r="16131" spans="1:16" x14ac:dyDescent="0.25">
      <c r="A16131" t="s">
        <v>3296</v>
      </c>
      <c r="B16131" t="s">
        <v>2931</v>
      </c>
      <c r="C16131">
        <v>15675</v>
      </c>
      <c r="D16131" t="str">
        <f>"3005163292  "</f>
        <v xml:space="preserve">3005163292  </v>
      </c>
      <c r="E16131" t="s">
        <v>1892</v>
      </c>
      <c r="F16131" t="s">
        <v>1893</v>
      </c>
      <c r="G16131">
        <v>172.2</v>
      </c>
      <c r="H16131">
        <v>251119</v>
      </c>
      <c r="I16131">
        <v>4410</v>
      </c>
      <c r="J16131" t="s">
        <v>165</v>
      </c>
      <c r="K16131">
        <v>198</v>
      </c>
      <c r="L16131">
        <v>21.15</v>
      </c>
      <c r="M16131">
        <v>47522</v>
      </c>
      <c r="N16131" t="s">
        <v>106</v>
      </c>
      <c r="O16131">
        <v>251124</v>
      </c>
      <c r="P16131">
        <v>151.05000000000001</v>
      </c>
    </row>
    <row r="16132" spans="1:16" x14ac:dyDescent="0.25">
      <c r="A16132" t="s">
        <v>3296</v>
      </c>
      <c r="B16132" t="s">
        <v>2931</v>
      </c>
      <c r="C16132">
        <v>2559</v>
      </c>
      <c r="D16132" t="str">
        <f>"1001006113  "</f>
        <v xml:space="preserve">1001006113  </v>
      </c>
      <c r="E16132" t="s">
        <v>1310</v>
      </c>
      <c r="F16132" t="s">
        <v>1311</v>
      </c>
      <c r="G16132">
        <v>1361.41</v>
      </c>
      <c r="H16132">
        <v>250219</v>
      </c>
      <c r="I16132">
        <v>4400</v>
      </c>
      <c r="J16132" t="s">
        <v>162</v>
      </c>
      <c r="K16132">
        <v>1361.41</v>
      </c>
      <c r="L16132">
        <v>276.62</v>
      </c>
      <c r="M16132">
        <v>69501</v>
      </c>
      <c r="N16132" t="s">
        <v>123</v>
      </c>
      <c r="O16132">
        <v>250305</v>
      </c>
      <c r="P16132">
        <v>1084.79</v>
      </c>
    </row>
    <row r="16133" spans="1:16" x14ac:dyDescent="0.25">
      <c r="A16133" t="s">
        <v>3296</v>
      </c>
      <c r="B16133" t="s">
        <v>2931</v>
      </c>
      <c r="C16133">
        <v>18525</v>
      </c>
      <c r="D16133" t="str">
        <f>"2025121032  "</f>
        <v xml:space="preserve">2025121032  </v>
      </c>
      <c r="E16133" t="s">
        <v>2804</v>
      </c>
      <c r="F16133" t="s">
        <v>2805</v>
      </c>
      <c r="G16133">
        <v>1807.2</v>
      </c>
      <c r="H16133">
        <v>251231</v>
      </c>
      <c r="I16133">
        <v>4440</v>
      </c>
      <c r="J16133" t="s">
        <v>346</v>
      </c>
      <c r="K16133">
        <v>3614.4</v>
      </c>
      <c r="L16133">
        <v>367.2</v>
      </c>
      <c r="M16133">
        <v>66756</v>
      </c>
      <c r="N16133" t="s">
        <v>120</v>
      </c>
      <c r="O16133">
        <v>260115</v>
      </c>
      <c r="P16133">
        <v>1440</v>
      </c>
    </row>
    <row r="16134" spans="1:16" x14ac:dyDescent="0.25">
      <c r="A16134" t="s">
        <v>3296</v>
      </c>
      <c r="B16134" t="s">
        <v>2931</v>
      </c>
      <c r="C16134">
        <v>18525</v>
      </c>
      <c r="D16134" t="str">
        <f>"2025121032  "</f>
        <v xml:space="preserve">2025121032  </v>
      </c>
      <c r="E16134" t="s">
        <v>2804</v>
      </c>
      <c r="F16134" t="s">
        <v>2805</v>
      </c>
      <c r="G16134">
        <v>1807.2</v>
      </c>
      <c r="H16134">
        <v>251231</v>
      </c>
      <c r="I16134">
        <v>4440</v>
      </c>
      <c r="J16134" t="s">
        <v>346</v>
      </c>
      <c r="K16134">
        <v>3614.4</v>
      </c>
      <c r="L16134">
        <v>367.2</v>
      </c>
      <c r="M16134">
        <v>67522</v>
      </c>
      <c r="N16134" t="s">
        <v>121</v>
      </c>
      <c r="O16134">
        <v>260115</v>
      </c>
      <c r="P16134">
        <v>1440</v>
      </c>
    </row>
    <row r="16135" spans="1:16" x14ac:dyDescent="0.25">
      <c r="A16135" t="s">
        <v>3296</v>
      </c>
      <c r="B16135" t="s">
        <v>2931</v>
      </c>
      <c r="C16135">
        <v>17209</v>
      </c>
      <c r="D16135" t="str">
        <f>"20250762    "</f>
        <v xml:space="preserve">20250762    </v>
      </c>
      <c r="E16135" t="s">
        <v>2744</v>
      </c>
      <c r="F16135" t="s">
        <v>2745</v>
      </c>
      <c r="G16135">
        <v>1004</v>
      </c>
      <c r="H16135">
        <v>251216</v>
      </c>
      <c r="I16135">
        <v>4440</v>
      </c>
      <c r="J16135" t="s">
        <v>346</v>
      </c>
      <c r="K16135">
        <v>1004</v>
      </c>
      <c r="L16135">
        <v>204</v>
      </c>
      <c r="M16135">
        <v>16930</v>
      </c>
      <c r="N16135" t="s">
        <v>135</v>
      </c>
      <c r="O16135">
        <v>251218</v>
      </c>
      <c r="P16135">
        <v>800</v>
      </c>
    </row>
    <row r="16136" spans="1:16" x14ac:dyDescent="0.25">
      <c r="A16136" t="s">
        <v>3296</v>
      </c>
      <c r="B16136" t="s">
        <v>2931</v>
      </c>
      <c r="C16136">
        <v>14691</v>
      </c>
      <c r="D16136" t="str">
        <f>"39907       "</f>
        <v xml:space="preserve">39907       </v>
      </c>
      <c r="E16136" t="s">
        <v>686</v>
      </c>
      <c r="F16136" t="s">
        <v>687</v>
      </c>
      <c r="G16136">
        <v>472.03</v>
      </c>
      <c r="H16136">
        <v>251029</v>
      </c>
      <c r="I16136">
        <v>1196</v>
      </c>
      <c r="J16136" t="s">
        <v>340</v>
      </c>
      <c r="K16136">
        <v>472.03</v>
      </c>
      <c r="L16136">
        <v>0</v>
      </c>
      <c r="M16136">
        <v>97501</v>
      </c>
      <c r="N16136" t="s">
        <v>1354</v>
      </c>
      <c r="O16136">
        <v>251106</v>
      </c>
      <c r="P16136">
        <v>472.03</v>
      </c>
    </row>
    <row r="16137" spans="1:16" x14ac:dyDescent="0.25">
      <c r="A16137" t="s">
        <v>3296</v>
      </c>
      <c r="B16137" t="s">
        <v>2931</v>
      </c>
      <c r="C16137">
        <v>14692</v>
      </c>
      <c r="D16137" t="str">
        <f>"39908       "</f>
        <v xml:space="preserve">39908       </v>
      </c>
      <c r="E16137" t="s">
        <v>686</v>
      </c>
      <c r="F16137" t="s">
        <v>687</v>
      </c>
      <c r="G16137">
        <v>3700</v>
      </c>
      <c r="H16137">
        <v>251029</v>
      </c>
      <c r="I16137">
        <v>1196</v>
      </c>
      <c r="J16137" t="s">
        <v>340</v>
      </c>
      <c r="K16137">
        <v>3700</v>
      </c>
      <c r="L16137">
        <v>0</v>
      </c>
      <c r="M16137">
        <v>97501</v>
      </c>
      <c r="N16137" t="s">
        <v>1354</v>
      </c>
      <c r="O16137">
        <v>251106</v>
      </c>
      <c r="P16137">
        <v>3700</v>
      </c>
    </row>
    <row r="16138" spans="1:16" x14ac:dyDescent="0.25">
      <c r="A16138" t="s">
        <v>3296</v>
      </c>
      <c r="B16138" t="s">
        <v>2931</v>
      </c>
      <c r="C16138">
        <v>1004</v>
      </c>
      <c r="D16138" t="str">
        <f>"38899       "</f>
        <v xml:space="preserve">38899       </v>
      </c>
      <c r="E16138" t="s">
        <v>686</v>
      </c>
      <c r="F16138" t="s">
        <v>687</v>
      </c>
      <c r="G16138">
        <v>1594.91</v>
      </c>
      <c r="H16138">
        <v>250131</v>
      </c>
      <c r="I16138">
        <v>4390</v>
      </c>
      <c r="J16138" t="s">
        <v>232</v>
      </c>
      <c r="K16138">
        <v>1594.91</v>
      </c>
      <c r="L16138">
        <v>0</v>
      </c>
      <c r="M16138">
        <v>69501</v>
      </c>
      <c r="N16138" t="s">
        <v>123</v>
      </c>
      <c r="O16138">
        <v>250203</v>
      </c>
      <c r="P16138">
        <v>1594.91</v>
      </c>
    </row>
    <row r="16139" spans="1:16" x14ac:dyDescent="0.25">
      <c r="A16139" t="s">
        <v>3296</v>
      </c>
      <c r="B16139" t="s">
        <v>2931</v>
      </c>
      <c r="C16139">
        <v>1006</v>
      </c>
      <c r="D16139" t="str">
        <f>"38898       "</f>
        <v xml:space="preserve">38898       </v>
      </c>
      <c r="E16139" t="s">
        <v>686</v>
      </c>
      <c r="F16139" t="s">
        <v>687</v>
      </c>
      <c r="G16139">
        <v>1284.6099999999999</v>
      </c>
      <c r="H16139">
        <v>250131</v>
      </c>
      <c r="I16139">
        <v>4390</v>
      </c>
      <c r="J16139" t="s">
        <v>232</v>
      </c>
      <c r="K16139">
        <v>1284.6099999999999</v>
      </c>
      <c r="L16139">
        <v>0</v>
      </c>
      <c r="M16139">
        <v>69501</v>
      </c>
      <c r="N16139" t="s">
        <v>123</v>
      </c>
      <c r="O16139">
        <v>250203</v>
      </c>
      <c r="P16139">
        <v>1284.6099999999999</v>
      </c>
    </row>
    <row r="16140" spans="1:16" x14ac:dyDescent="0.25">
      <c r="A16140" t="s">
        <v>3296</v>
      </c>
      <c r="B16140" t="s">
        <v>2931</v>
      </c>
      <c r="C16140">
        <v>1278</v>
      </c>
      <c r="D16140" t="str">
        <f>"38905       "</f>
        <v xml:space="preserve">38905       </v>
      </c>
      <c r="E16140" t="s">
        <v>686</v>
      </c>
      <c r="F16140" t="s">
        <v>687</v>
      </c>
      <c r="G16140">
        <v>414.08</v>
      </c>
      <c r="H16140">
        <v>250131</v>
      </c>
      <c r="I16140">
        <v>4390</v>
      </c>
      <c r="J16140" t="s">
        <v>232</v>
      </c>
      <c r="K16140">
        <v>414.08</v>
      </c>
      <c r="L16140">
        <v>0</v>
      </c>
      <c r="M16140">
        <v>69501</v>
      </c>
      <c r="N16140" t="s">
        <v>123</v>
      </c>
      <c r="O16140">
        <v>250206</v>
      </c>
      <c r="P16140">
        <v>414.08</v>
      </c>
    </row>
    <row r="16141" spans="1:16" x14ac:dyDescent="0.25">
      <c r="A16141" t="s">
        <v>3296</v>
      </c>
      <c r="B16141" t="s">
        <v>2931</v>
      </c>
      <c r="C16141">
        <v>3415</v>
      </c>
      <c r="D16141" t="str">
        <f>"39100       "</f>
        <v xml:space="preserve">39100       </v>
      </c>
      <c r="E16141" t="s">
        <v>686</v>
      </c>
      <c r="F16141" t="s">
        <v>687</v>
      </c>
      <c r="G16141">
        <v>262.89</v>
      </c>
      <c r="H16141">
        <v>250307</v>
      </c>
      <c r="I16141">
        <v>4390</v>
      </c>
      <c r="J16141" t="s">
        <v>232</v>
      </c>
      <c r="K16141">
        <v>262.89</v>
      </c>
      <c r="L16141">
        <v>0</v>
      </c>
      <c r="M16141">
        <v>69501</v>
      </c>
      <c r="N16141" t="s">
        <v>123</v>
      </c>
      <c r="O16141">
        <v>250321</v>
      </c>
      <c r="P16141">
        <v>262.89</v>
      </c>
    </row>
    <row r="16142" spans="1:16" x14ac:dyDescent="0.25">
      <c r="A16142" t="s">
        <v>3296</v>
      </c>
      <c r="B16142" t="s">
        <v>2931</v>
      </c>
      <c r="C16142">
        <v>5580</v>
      </c>
      <c r="D16142" t="str">
        <f>"39265       "</f>
        <v xml:space="preserve">39265       </v>
      </c>
      <c r="E16142" t="s">
        <v>686</v>
      </c>
      <c r="F16142" t="s">
        <v>687</v>
      </c>
      <c r="G16142">
        <v>205.11</v>
      </c>
      <c r="H16142">
        <v>250422</v>
      </c>
      <c r="I16142">
        <v>4390</v>
      </c>
      <c r="J16142" t="s">
        <v>232</v>
      </c>
      <c r="K16142">
        <v>205.11</v>
      </c>
      <c r="L16142">
        <v>0</v>
      </c>
      <c r="M16142">
        <v>69501</v>
      </c>
      <c r="N16142" t="s">
        <v>123</v>
      </c>
      <c r="O16142">
        <v>250425</v>
      </c>
      <c r="P16142">
        <v>205.11</v>
      </c>
    </row>
    <row r="16143" spans="1:16" x14ac:dyDescent="0.25">
      <c r="A16143" t="s">
        <v>3296</v>
      </c>
      <c r="B16143" t="s">
        <v>2931</v>
      </c>
      <c r="C16143">
        <v>5624</v>
      </c>
      <c r="D16143" t="str">
        <f>"39277       "</f>
        <v xml:space="preserve">39277       </v>
      </c>
      <c r="E16143" t="s">
        <v>686</v>
      </c>
      <c r="F16143" t="s">
        <v>687</v>
      </c>
      <c r="G16143">
        <v>55.96</v>
      </c>
      <c r="H16143">
        <v>250425</v>
      </c>
      <c r="I16143">
        <v>4390</v>
      </c>
      <c r="J16143" t="s">
        <v>232</v>
      </c>
      <c r="K16143">
        <v>55.96</v>
      </c>
      <c r="L16143">
        <v>0</v>
      </c>
      <c r="M16143">
        <v>69501</v>
      </c>
      <c r="N16143" t="s">
        <v>123</v>
      </c>
      <c r="O16143">
        <v>250425</v>
      </c>
      <c r="P16143">
        <v>55.96</v>
      </c>
    </row>
    <row r="16144" spans="1:16" x14ac:dyDescent="0.25">
      <c r="A16144" t="s">
        <v>3296</v>
      </c>
      <c r="B16144" t="s">
        <v>2931</v>
      </c>
      <c r="C16144">
        <v>6905</v>
      </c>
      <c r="D16144" t="str">
        <f>"39328       "</f>
        <v xml:space="preserve">39328       </v>
      </c>
      <c r="E16144" t="s">
        <v>686</v>
      </c>
      <c r="F16144" t="s">
        <v>687</v>
      </c>
      <c r="G16144">
        <v>55.96</v>
      </c>
      <c r="H16144">
        <v>250516</v>
      </c>
      <c r="I16144">
        <v>4390</v>
      </c>
      <c r="J16144" t="s">
        <v>232</v>
      </c>
      <c r="K16144">
        <v>55.96</v>
      </c>
      <c r="L16144">
        <v>0</v>
      </c>
      <c r="M16144">
        <v>69501</v>
      </c>
      <c r="N16144" t="s">
        <v>123</v>
      </c>
      <c r="O16144">
        <v>250520</v>
      </c>
      <c r="P16144">
        <v>55.96</v>
      </c>
    </row>
    <row r="16145" spans="1:16" x14ac:dyDescent="0.25">
      <c r="A16145" t="s">
        <v>3296</v>
      </c>
      <c r="B16145" t="s">
        <v>2931</v>
      </c>
      <c r="C16145">
        <v>12630</v>
      </c>
      <c r="D16145" t="str">
        <f>"39742       "</f>
        <v xml:space="preserve">39742       </v>
      </c>
      <c r="E16145" t="s">
        <v>686</v>
      </c>
      <c r="F16145" t="s">
        <v>687</v>
      </c>
      <c r="G16145">
        <v>309.06</v>
      </c>
      <c r="H16145">
        <v>250918</v>
      </c>
      <c r="I16145">
        <v>4390</v>
      </c>
      <c r="J16145" t="s">
        <v>232</v>
      </c>
      <c r="K16145">
        <v>309.06</v>
      </c>
      <c r="L16145">
        <v>0</v>
      </c>
      <c r="M16145">
        <v>69501</v>
      </c>
      <c r="N16145" t="s">
        <v>123</v>
      </c>
      <c r="O16145">
        <v>250929</v>
      </c>
      <c r="P16145">
        <v>309.06</v>
      </c>
    </row>
    <row r="16146" spans="1:16" x14ac:dyDescent="0.25">
      <c r="A16146" t="s">
        <v>3296</v>
      </c>
      <c r="B16146" t="s">
        <v>2931</v>
      </c>
      <c r="C16146">
        <v>13721</v>
      </c>
      <c r="D16146" t="str">
        <f>"39818       "</f>
        <v xml:space="preserve">39818       </v>
      </c>
      <c r="E16146" t="s">
        <v>686</v>
      </c>
      <c r="F16146" t="s">
        <v>687</v>
      </c>
      <c r="G16146">
        <v>612.45000000000005</v>
      </c>
      <c r="H16146">
        <v>251007</v>
      </c>
      <c r="I16146">
        <v>4390</v>
      </c>
      <c r="J16146" t="s">
        <v>232</v>
      </c>
      <c r="K16146">
        <v>612.45000000000005</v>
      </c>
      <c r="L16146">
        <v>0</v>
      </c>
      <c r="M16146">
        <v>69501</v>
      </c>
      <c r="N16146" t="s">
        <v>123</v>
      </c>
      <c r="O16146">
        <v>251017</v>
      </c>
      <c r="P16146">
        <v>612.45000000000005</v>
      </c>
    </row>
    <row r="16147" spans="1:16" x14ac:dyDescent="0.25">
      <c r="A16147" t="s">
        <v>3296</v>
      </c>
      <c r="B16147" t="s">
        <v>2931</v>
      </c>
      <c r="C16147">
        <v>13723</v>
      </c>
      <c r="D16147" t="str">
        <f>"39823       "</f>
        <v xml:space="preserve">39823       </v>
      </c>
      <c r="E16147" t="s">
        <v>686</v>
      </c>
      <c r="F16147" t="s">
        <v>687</v>
      </c>
      <c r="G16147">
        <v>103.42</v>
      </c>
      <c r="H16147">
        <v>251007</v>
      </c>
      <c r="I16147">
        <v>4390</v>
      </c>
      <c r="J16147" t="s">
        <v>232</v>
      </c>
      <c r="K16147">
        <v>103.42</v>
      </c>
      <c r="L16147">
        <v>0</v>
      </c>
      <c r="M16147">
        <v>69501</v>
      </c>
      <c r="N16147" t="s">
        <v>123</v>
      </c>
      <c r="O16147">
        <v>251017</v>
      </c>
      <c r="P16147">
        <v>103.42</v>
      </c>
    </row>
    <row r="16148" spans="1:16" x14ac:dyDescent="0.25">
      <c r="A16148" t="s">
        <v>3296</v>
      </c>
      <c r="B16148" t="s">
        <v>2931</v>
      </c>
      <c r="C16148">
        <v>14686</v>
      </c>
      <c r="D16148" t="str">
        <f>"39906       "</f>
        <v xml:space="preserve">39906       </v>
      </c>
      <c r="E16148" t="s">
        <v>686</v>
      </c>
      <c r="F16148" t="s">
        <v>687</v>
      </c>
      <c r="G16148">
        <v>472.87</v>
      </c>
      <c r="H16148">
        <v>251029</v>
      </c>
      <c r="I16148">
        <v>4390</v>
      </c>
      <c r="J16148" t="s">
        <v>232</v>
      </c>
      <c r="K16148">
        <v>472.87</v>
      </c>
      <c r="L16148">
        <v>0</v>
      </c>
      <c r="M16148">
        <v>69501</v>
      </c>
      <c r="N16148" t="s">
        <v>123</v>
      </c>
      <c r="O16148">
        <v>251106</v>
      </c>
      <c r="P16148">
        <v>472.87</v>
      </c>
    </row>
    <row r="16149" spans="1:16" x14ac:dyDescent="0.25">
      <c r="A16149" t="s">
        <v>3296</v>
      </c>
      <c r="B16149" t="s">
        <v>2931</v>
      </c>
      <c r="C16149">
        <v>14789</v>
      </c>
      <c r="D16149" t="str">
        <f>"39932       "</f>
        <v xml:space="preserve">39932       </v>
      </c>
      <c r="E16149" t="s">
        <v>686</v>
      </c>
      <c r="F16149" t="s">
        <v>687</v>
      </c>
      <c r="G16149">
        <v>150.88</v>
      </c>
      <c r="H16149">
        <v>251031</v>
      </c>
      <c r="I16149">
        <v>4390</v>
      </c>
      <c r="J16149" t="s">
        <v>232</v>
      </c>
      <c r="K16149">
        <v>150.88</v>
      </c>
      <c r="L16149">
        <v>0</v>
      </c>
      <c r="M16149">
        <v>69501</v>
      </c>
      <c r="N16149" t="s">
        <v>123</v>
      </c>
      <c r="O16149">
        <v>251106</v>
      </c>
      <c r="P16149">
        <v>150.88</v>
      </c>
    </row>
    <row r="16150" spans="1:16" x14ac:dyDescent="0.25">
      <c r="A16150" t="s">
        <v>3296</v>
      </c>
      <c r="B16150" t="s">
        <v>2931</v>
      </c>
      <c r="C16150">
        <v>14867</v>
      </c>
      <c r="D16150" t="str">
        <f>"39934       "</f>
        <v xml:space="preserve">39934       </v>
      </c>
      <c r="E16150" t="s">
        <v>686</v>
      </c>
      <c r="F16150" t="s">
        <v>687</v>
      </c>
      <c r="G16150">
        <v>459.75</v>
      </c>
      <c r="H16150">
        <v>251031</v>
      </c>
      <c r="I16150">
        <v>4390</v>
      </c>
      <c r="J16150" t="s">
        <v>232</v>
      </c>
      <c r="K16150">
        <v>459.75</v>
      </c>
      <c r="L16150">
        <v>0</v>
      </c>
      <c r="M16150">
        <v>69501</v>
      </c>
      <c r="N16150" t="s">
        <v>123</v>
      </c>
      <c r="O16150">
        <v>251107</v>
      </c>
      <c r="P16150">
        <v>459.75</v>
      </c>
    </row>
    <row r="16151" spans="1:16" x14ac:dyDescent="0.25">
      <c r="A16151" t="s">
        <v>3296</v>
      </c>
      <c r="B16151" t="s">
        <v>2931</v>
      </c>
      <c r="C16151">
        <v>15437</v>
      </c>
      <c r="D16151" t="str">
        <f>"39978       "</f>
        <v xml:space="preserve">39978       </v>
      </c>
      <c r="E16151" t="s">
        <v>686</v>
      </c>
      <c r="F16151" t="s">
        <v>687</v>
      </c>
      <c r="G16151">
        <v>2254.08</v>
      </c>
      <c r="H16151">
        <v>251114</v>
      </c>
      <c r="I16151">
        <v>4390</v>
      </c>
      <c r="J16151" t="s">
        <v>232</v>
      </c>
      <c r="K16151">
        <v>2254.08</v>
      </c>
      <c r="L16151">
        <v>0</v>
      </c>
      <c r="M16151">
        <v>69501</v>
      </c>
      <c r="N16151" t="s">
        <v>123</v>
      </c>
      <c r="O16151">
        <v>251120</v>
      </c>
      <c r="P16151">
        <v>2254.08</v>
      </c>
    </row>
    <row r="16152" spans="1:16" x14ac:dyDescent="0.25">
      <c r="A16152" t="s">
        <v>3296</v>
      </c>
      <c r="B16152" t="s">
        <v>2931</v>
      </c>
      <c r="C16152">
        <v>17276</v>
      </c>
      <c r="D16152" t="str">
        <f>"40107       "</f>
        <v xml:space="preserve">40107       </v>
      </c>
      <c r="E16152" t="s">
        <v>686</v>
      </c>
      <c r="F16152" t="s">
        <v>687</v>
      </c>
      <c r="G16152">
        <v>492.02</v>
      </c>
      <c r="H16152">
        <v>251215</v>
      </c>
      <c r="I16152">
        <v>4390</v>
      </c>
      <c r="J16152" t="s">
        <v>232</v>
      </c>
      <c r="K16152">
        <v>492.02</v>
      </c>
      <c r="L16152">
        <v>0</v>
      </c>
      <c r="M16152">
        <v>69501</v>
      </c>
      <c r="N16152" t="s">
        <v>123</v>
      </c>
      <c r="O16152">
        <v>251219</v>
      </c>
      <c r="P16152">
        <v>492.02</v>
      </c>
    </row>
    <row r="16153" spans="1:16" x14ac:dyDescent="0.25">
      <c r="A16153" t="s">
        <v>3296</v>
      </c>
      <c r="B16153" t="s">
        <v>2931</v>
      </c>
      <c r="C16153">
        <v>17710</v>
      </c>
      <c r="D16153" t="str">
        <f>"40139       "</f>
        <v xml:space="preserve">40139       </v>
      </c>
      <c r="E16153" t="s">
        <v>686</v>
      </c>
      <c r="F16153" t="s">
        <v>687</v>
      </c>
      <c r="G16153">
        <v>89.34</v>
      </c>
      <c r="H16153">
        <v>251219</v>
      </c>
      <c r="I16153">
        <v>4390</v>
      </c>
      <c r="J16153" t="s">
        <v>232</v>
      </c>
      <c r="K16153">
        <v>89.34</v>
      </c>
      <c r="L16153">
        <v>18.149999999999999</v>
      </c>
      <c r="M16153">
        <v>67522</v>
      </c>
      <c r="N16153" t="s">
        <v>121</v>
      </c>
      <c r="O16153">
        <v>251229</v>
      </c>
      <c r="P16153">
        <v>71.19</v>
      </c>
    </row>
    <row r="16154" spans="1:16" x14ac:dyDescent="0.25">
      <c r="A16154" t="s">
        <v>3296</v>
      </c>
      <c r="B16154" t="s">
        <v>2931</v>
      </c>
      <c r="C16154">
        <v>17743</v>
      </c>
      <c r="D16154" t="str">
        <f>"40160       "</f>
        <v xml:space="preserve">40160       </v>
      </c>
      <c r="E16154" t="s">
        <v>686</v>
      </c>
      <c r="F16154" t="s">
        <v>687</v>
      </c>
      <c r="G16154">
        <v>167.88</v>
      </c>
      <c r="H16154">
        <v>251223</v>
      </c>
      <c r="I16154">
        <v>4390</v>
      </c>
      <c r="J16154" t="s">
        <v>232</v>
      </c>
      <c r="K16154">
        <v>167.88</v>
      </c>
      <c r="L16154">
        <v>0</v>
      </c>
      <c r="M16154">
        <v>69501</v>
      </c>
      <c r="N16154" t="s">
        <v>123</v>
      </c>
      <c r="O16154">
        <v>251230</v>
      </c>
      <c r="P16154">
        <v>167.88</v>
      </c>
    </row>
    <row r="16155" spans="1:16" x14ac:dyDescent="0.25">
      <c r="A16155" t="s">
        <v>3296</v>
      </c>
      <c r="B16155" t="s">
        <v>2931</v>
      </c>
      <c r="C16155">
        <v>724</v>
      </c>
      <c r="D16155" t="str">
        <f>"38879       "</f>
        <v xml:space="preserve">38879       </v>
      </c>
      <c r="E16155" t="s">
        <v>686</v>
      </c>
      <c r="F16155" t="s">
        <v>687</v>
      </c>
      <c r="G16155">
        <v>198.06</v>
      </c>
      <c r="H16155">
        <v>250124</v>
      </c>
      <c r="I16155">
        <v>4400</v>
      </c>
      <c r="J16155" t="s">
        <v>162</v>
      </c>
      <c r="K16155">
        <v>198.06</v>
      </c>
      <c r="L16155">
        <v>40.24</v>
      </c>
      <c r="M16155">
        <v>69501</v>
      </c>
      <c r="N16155" t="s">
        <v>123</v>
      </c>
      <c r="O16155">
        <v>250128</v>
      </c>
      <c r="P16155">
        <v>157.82</v>
      </c>
    </row>
    <row r="16156" spans="1:16" x14ac:dyDescent="0.25">
      <c r="A16156" t="s">
        <v>3296</v>
      </c>
      <c r="B16156" t="s">
        <v>2931</v>
      </c>
      <c r="C16156">
        <v>1280</v>
      </c>
      <c r="D16156" t="str">
        <f>"38904       "</f>
        <v xml:space="preserve">38904       </v>
      </c>
      <c r="E16156" t="s">
        <v>686</v>
      </c>
      <c r="F16156" t="s">
        <v>687</v>
      </c>
      <c r="G16156">
        <v>318.33</v>
      </c>
      <c r="H16156">
        <v>250131</v>
      </c>
      <c r="I16156">
        <v>4400</v>
      </c>
      <c r="J16156" t="s">
        <v>162</v>
      </c>
      <c r="K16156">
        <v>318.33</v>
      </c>
      <c r="L16156">
        <v>64.680000000000007</v>
      </c>
      <c r="M16156">
        <v>66756</v>
      </c>
      <c r="N16156" t="s">
        <v>120</v>
      </c>
      <c r="O16156">
        <v>250206</v>
      </c>
      <c r="P16156">
        <v>253.65</v>
      </c>
    </row>
    <row r="16157" spans="1:16" x14ac:dyDescent="0.25">
      <c r="A16157" t="s">
        <v>3296</v>
      </c>
      <c r="B16157" t="s">
        <v>2931</v>
      </c>
      <c r="C16157">
        <v>8827</v>
      </c>
      <c r="D16157" t="str">
        <f>"39438       "</f>
        <v xml:space="preserve">39438       </v>
      </c>
      <c r="E16157" t="s">
        <v>686</v>
      </c>
      <c r="F16157" t="s">
        <v>687</v>
      </c>
      <c r="G16157">
        <v>397.52</v>
      </c>
      <c r="H16157">
        <v>250531</v>
      </c>
      <c r="I16157">
        <v>4400</v>
      </c>
      <c r="J16157" t="s">
        <v>162</v>
      </c>
      <c r="K16157">
        <v>397.52</v>
      </c>
      <c r="L16157">
        <v>0</v>
      </c>
      <c r="M16157">
        <v>69501</v>
      </c>
      <c r="N16157" t="s">
        <v>123</v>
      </c>
      <c r="O16157">
        <v>250618</v>
      </c>
      <c r="P16157">
        <v>397.52</v>
      </c>
    </row>
    <row r="16158" spans="1:16" x14ac:dyDescent="0.25">
      <c r="A16158" t="s">
        <v>3296</v>
      </c>
      <c r="B16158" t="s">
        <v>2931</v>
      </c>
      <c r="C16158">
        <v>9681</v>
      </c>
      <c r="D16158" t="str">
        <f>"39554       "</f>
        <v xml:space="preserve">39554       </v>
      </c>
      <c r="E16158" t="s">
        <v>686</v>
      </c>
      <c r="F16158" t="s">
        <v>687</v>
      </c>
      <c r="G16158">
        <v>166.1</v>
      </c>
      <c r="H16158">
        <v>250630</v>
      </c>
      <c r="I16158">
        <v>4400</v>
      </c>
      <c r="J16158" t="s">
        <v>162</v>
      </c>
      <c r="K16158">
        <v>166.1</v>
      </c>
      <c r="L16158">
        <v>33.75</v>
      </c>
      <c r="M16158">
        <v>67554</v>
      </c>
      <c r="N16158" t="s">
        <v>317</v>
      </c>
      <c r="O16158">
        <v>250724</v>
      </c>
      <c r="P16158">
        <v>132.35</v>
      </c>
    </row>
    <row r="16159" spans="1:16" x14ac:dyDescent="0.25">
      <c r="A16159" t="s">
        <v>3296</v>
      </c>
      <c r="B16159" t="s">
        <v>2931</v>
      </c>
      <c r="C16159">
        <v>10473</v>
      </c>
      <c r="D16159" t="str">
        <f>"39624       "</f>
        <v xml:space="preserve">39624       </v>
      </c>
      <c r="E16159" t="s">
        <v>686</v>
      </c>
      <c r="F16159" t="s">
        <v>687</v>
      </c>
      <c r="G16159">
        <v>494.05</v>
      </c>
      <c r="H16159">
        <v>250813</v>
      </c>
      <c r="I16159">
        <v>4400</v>
      </c>
      <c r="J16159" t="s">
        <v>162</v>
      </c>
      <c r="K16159">
        <v>494.05</v>
      </c>
      <c r="L16159">
        <v>100.38</v>
      </c>
      <c r="M16159">
        <v>69501</v>
      </c>
      <c r="N16159" t="s">
        <v>123</v>
      </c>
      <c r="O16159">
        <v>250820</v>
      </c>
      <c r="P16159">
        <v>393.67</v>
      </c>
    </row>
    <row r="16160" spans="1:16" x14ac:dyDescent="0.25">
      <c r="A16160" t="s">
        <v>3296</v>
      </c>
      <c r="B16160" t="s">
        <v>2931</v>
      </c>
      <c r="C16160">
        <v>13789</v>
      </c>
      <c r="D16160" t="str">
        <f>"39839       "</f>
        <v xml:space="preserve">39839       </v>
      </c>
      <c r="E16160" t="s">
        <v>686</v>
      </c>
      <c r="F16160" t="s">
        <v>687</v>
      </c>
      <c r="G16160">
        <v>75.290000000000006</v>
      </c>
      <c r="H16160">
        <v>251010</v>
      </c>
      <c r="I16160">
        <v>4400</v>
      </c>
      <c r="J16160" t="s">
        <v>162</v>
      </c>
      <c r="K16160">
        <v>83.65</v>
      </c>
      <c r="L16160">
        <v>15.3</v>
      </c>
      <c r="M16160">
        <v>69113</v>
      </c>
      <c r="N16160" t="s">
        <v>122</v>
      </c>
      <c r="O16160">
        <v>251020</v>
      </c>
      <c r="P16160">
        <v>59.99</v>
      </c>
    </row>
    <row r="16161" spans="1:16" x14ac:dyDescent="0.25">
      <c r="A16161" t="s">
        <v>3296</v>
      </c>
      <c r="B16161" t="s">
        <v>2931</v>
      </c>
      <c r="C16161">
        <v>13789</v>
      </c>
      <c r="D16161" t="str">
        <f>"39839       "</f>
        <v xml:space="preserve">39839       </v>
      </c>
      <c r="E16161" t="s">
        <v>686</v>
      </c>
      <c r="F16161" t="s">
        <v>687</v>
      </c>
      <c r="G16161">
        <v>4.18</v>
      </c>
      <c r="H16161">
        <v>251010</v>
      </c>
      <c r="I16161">
        <v>4400</v>
      </c>
      <c r="J16161" t="s">
        <v>162</v>
      </c>
      <c r="K16161">
        <v>83.65</v>
      </c>
      <c r="L16161">
        <v>0.85</v>
      </c>
      <c r="M16161">
        <v>69802</v>
      </c>
      <c r="N16161" t="s">
        <v>375</v>
      </c>
      <c r="O16161">
        <v>251020</v>
      </c>
      <c r="P16161">
        <v>3.33</v>
      </c>
    </row>
    <row r="16162" spans="1:16" x14ac:dyDescent="0.25">
      <c r="A16162" t="s">
        <v>3296</v>
      </c>
      <c r="B16162" t="s">
        <v>2931</v>
      </c>
      <c r="C16162">
        <v>13789</v>
      </c>
      <c r="D16162" t="str">
        <f>"39839       "</f>
        <v xml:space="preserve">39839       </v>
      </c>
      <c r="E16162" t="s">
        <v>686</v>
      </c>
      <c r="F16162" t="s">
        <v>687</v>
      </c>
      <c r="G16162">
        <v>4.18</v>
      </c>
      <c r="H16162">
        <v>251010</v>
      </c>
      <c r="I16162">
        <v>4400</v>
      </c>
      <c r="J16162" t="s">
        <v>162</v>
      </c>
      <c r="K16162">
        <v>83.65</v>
      </c>
      <c r="L16162">
        <v>0.85</v>
      </c>
      <c r="M16162">
        <v>69804</v>
      </c>
      <c r="N16162" t="s">
        <v>376</v>
      </c>
      <c r="O16162">
        <v>251020</v>
      </c>
      <c r="P16162">
        <v>3.33</v>
      </c>
    </row>
    <row r="16163" spans="1:16" x14ac:dyDescent="0.25">
      <c r="A16163" t="s">
        <v>3296</v>
      </c>
      <c r="B16163" t="s">
        <v>2931</v>
      </c>
      <c r="C16163">
        <v>7773</v>
      </c>
      <c r="D16163" t="str">
        <f>"39370       "</f>
        <v xml:space="preserve">39370       </v>
      </c>
      <c r="E16163" t="s">
        <v>686</v>
      </c>
      <c r="F16163" t="s">
        <v>687</v>
      </c>
      <c r="G16163">
        <v>39.71</v>
      </c>
      <c r="H16163">
        <v>250528</v>
      </c>
      <c r="I16163">
        <v>4470</v>
      </c>
      <c r="J16163" t="s">
        <v>203</v>
      </c>
      <c r="K16163">
        <v>39.71</v>
      </c>
      <c r="L16163">
        <v>8.07</v>
      </c>
      <c r="M16163">
        <v>69501</v>
      </c>
      <c r="N16163" t="s">
        <v>123</v>
      </c>
      <c r="O16163">
        <v>250609</v>
      </c>
      <c r="P16163">
        <v>31.64</v>
      </c>
    </row>
    <row r="16164" spans="1:16" x14ac:dyDescent="0.25">
      <c r="A16164" t="s">
        <v>3296</v>
      </c>
      <c r="B16164" t="s">
        <v>2931</v>
      </c>
      <c r="C16164">
        <v>3416</v>
      </c>
      <c r="D16164" t="str">
        <f>"39062       "</f>
        <v xml:space="preserve">39062       </v>
      </c>
      <c r="E16164" t="s">
        <v>686</v>
      </c>
      <c r="F16164" t="s">
        <v>687</v>
      </c>
      <c r="G16164">
        <v>69.34</v>
      </c>
      <c r="H16164">
        <v>250307</v>
      </c>
      <c r="I16164">
        <v>4572</v>
      </c>
      <c r="J16164" t="s">
        <v>173</v>
      </c>
      <c r="K16164">
        <v>69.34</v>
      </c>
      <c r="L16164">
        <v>14.09</v>
      </c>
      <c r="M16164">
        <v>69501</v>
      </c>
      <c r="N16164" t="s">
        <v>123</v>
      </c>
      <c r="O16164">
        <v>250321</v>
      </c>
      <c r="P16164">
        <v>55.25</v>
      </c>
    </row>
    <row r="16165" spans="1:16" x14ac:dyDescent="0.25">
      <c r="A16165" t="s">
        <v>3296</v>
      </c>
      <c r="B16165" t="s">
        <v>2931</v>
      </c>
      <c r="C16165">
        <v>3550</v>
      </c>
      <c r="D16165" t="str">
        <f>"39145       "</f>
        <v xml:space="preserve">39145       </v>
      </c>
      <c r="E16165" t="s">
        <v>686</v>
      </c>
      <c r="F16165" t="s">
        <v>687</v>
      </c>
      <c r="G16165">
        <v>207.09</v>
      </c>
      <c r="H16165">
        <v>250312</v>
      </c>
      <c r="I16165">
        <v>4572</v>
      </c>
      <c r="J16165" t="s">
        <v>173</v>
      </c>
      <c r="K16165">
        <v>207.09</v>
      </c>
      <c r="L16165">
        <v>42.08</v>
      </c>
      <c r="M16165">
        <v>69111</v>
      </c>
      <c r="N16165" t="s">
        <v>657</v>
      </c>
      <c r="O16165">
        <v>250325</v>
      </c>
      <c r="P16165">
        <v>165.01</v>
      </c>
    </row>
    <row r="16166" spans="1:16" x14ac:dyDescent="0.25">
      <c r="A16166" t="s">
        <v>3296</v>
      </c>
      <c r="B16166" t="s">
        <v>2931</v>
      </c>
      <c r="C16166">
        <v>6907</v>
      </c>
      <c r="D16166" t="str">
        <f>"39347       "</f>
        <v xml:space="preserve">39347       </v>
      </c>
      <c r="E16166" t="s">
        <v>686</v>
      </c>
      <c r="F16166" t="s">
        <v>687</v>
      </c>
      <c r="G16166">
        <v>42.04</v>
      </c>
      <c r="H16166">
        <v>250516</v>
      </c>
      <c r="I16166">
        <v>4572</v>
      </c>
      <c r="J16166" t="s">
        <v>173</v>
      </c>
      <c r="K16166">
        <v>55.22</v>
      </c>
      <c r="L16166">
        <v>8.5399999999999991</v>
      </c>
      <c r="M16166">
        <v>69501</v>
      </c>
      <c r="N16166" t="s">
        <v>123</v>
      </c>
      <c r="O16166">
        <v>250520</v>
      </c>
      <c r="P16166">
        <v>33.5</v>
      </c>
    </row>
    <row r="16167" spans="1:16" x14ac:dyDescent="0.25">
      <c r="A16167" t="s">
        <v>3296</v>
      </c>
      <c r="B16167" t="s">
        <v>2931</v>
      </c>
      <c r="C16167">
        <v>6907</v>
      </c>
      <c r="D16167" t="str">
        <f>"39347       "</f>
        <v xml:space="preserve">39347       </v>
      </c>
      <c r="E16167" t="s">
        <v>686</v>
      </c>
      <c r="F16167" t="s">
        <v>687</v>
      </c>
      <c r="G16167">
        <v>13.18</v>
      </c>
      <c r="H16167">
        <v>250516</v>
      </c>
      <c r="I16167">
        <v>4600</v>
      </c>
      <c r="J16167" t="s">
        <v>278</v>
      </c>
      <c r="K16167">
        <v>55.22</v>
      </c>
      <c r="L16167">
        <v>2.68</v>
      </c>
      <c r="M16167">
        <v>69501</v>
      </c>
      <c r="N16167" t="s">
        <v>123</v>
      </c>
      <c r="O16167">
        <v>250520</v>
      </c>
      <c r="P16167">
        <v>10.5</v>
      </c>
    </row>
    <row r="16168" spans="1:16" x14ac:dyDescent="0.25">
      <c r="A16168" t="s">
        <v>3296</v>
      </c>
      <c r="B16168" t="s">
        <v>2931</v>
      </c>
      <c r="C16168">
        <v>9648</v>
      </c>
      <c r="D16168" t="str">
        <f>"39531       "</f>
        <v xml:space="preserve">39531       </v>
      </c>
      <c r="E16168" t="s">
        <v>686</v>
      </c>
      <c r="F16168" t="s">
        <v>687</v>
      </c>
      <c r="G16168">
        <v>102.94</v>
      </c>
      <c r="H16168">
        <v>250630</v>
      </c>
      <c r="I16168">
        <v>4600</v>
      </c>
      <c r="J16168" t="s">
        <v>278</v>
      </c>
      <c r="K16168">
        <v>102.94</v>
      </c>
      <c r="L16168">
        <v>20.92</v>
      </c>
      <c r="M16168">
        <v>69501</v>
      </c>
      <c r="N16168" t="s">
        <v>123</v>
      </c>
      <c r="O16168">
        <v>250724</v>
      </c>
      <c r="P16168">
        <v>82.02</v>
      </c>
    </row>
    <row r="16169" spans="1:16" x14ac:dyDescent="0.25">
      <c r="A16169" t="s">
        <v>3296</v>
      </c>
      <c r="B16169" t="s">
        <v>2931</v>
      </c>
      <c r="C16169">
        <v>12056</v>
      </c>
      <c r="D16169" t="str">
        <f>"80-2025     "</f>
        <v xml:space="preserve">80-2025     </v>
      </c>
      <c r="E16169" t="s">
        <v>2313</v>
      </c>
      <c r="F16169" t="s">
        <v>2314</v>
      </c>
      <c r="G16169">
        <v>150</v>
      </c>
      <c r="H16169">
        <v>250909</v>
      </c>
      <c r="I16169">
        <v>4470</v>
      </c>
      <c r="J16169" t="s">
        <v>203</v>
      </c>
      <c r="K16169">
        <v>150</v>
      </c>
      <c r="L16169">
        <v>18.420000000000002</v>
      </c>
      <c r="M16169">
        <v>13901</v>
      </c>
      <c r="N16169" t="s">
        <v>116</v>
      </c>
      <c r="O16169">
        <v>250916</v>
      </c>
      <c r="P16169">
        <v>131.58000000000001</v>
      </c>
    </row>
    <row r="16170" spans="1:16" x14ac:dyDescent="0.25">
      <c r="A16170" t="s">
        <v>3296</v>
      </c>
      <c r="B16170" t="s">
        <v>2931</v>
      </c>
      <c r="C16170">
        <v>1156</v>
      </c>
      <c r="D16170" t="str">
        <f>"20704899    "</f>
        <v xml:space="preserve">20704899    </v>
      </c>
      <c r="E16170" t="s">
        <v>2828</v>
      </c>
      <c r="F16170" t="s">
        <v>2829</v>
      </c>
      <c r="G16170">
        <v>15.96</v>
      </c>
      <c r="H16170">
        <v>250131</v>
      </c>
      <c r="I16170">
        <v>4410</v>
      </c>
      <c r="J16170" t="s">
        <v>165</v>
      </c>
      <c r="K16170">
        <v>191.14</v>
      </c>
      <c r="L16170">
        <v>3.24</v>
      </c>
      <c r="M16170">
        <v>13932</v>
      </c>
      <c r="N16170" t="s">
        <v>680</v>
      </c>
      <c r="O16170">
        <v>250205</v>
      </c>
      <c r="P16170">
        <v>12.72</v>
      </c>
    </row>
    <row r="16171" spans="1:16" x14ac:dyDescent="0.25">
      <c r="A16171" t="s">
        <v>3296</v>
      </c>
      <c r="B16171" t="s">
        <v>2931</v>
      </c>
      <c r="C16171">
        <v>1156</v>
      </c>
      <c r="D16171" t="str">
        <f>"20704899    "</f>
        <v xml:space="preserve">20704899    </v>
      </c>
      <c r="E16171" t="s">
        <v>2828</v>
      </c>
      <c r="F16171" t="s">
        <v>2829</v>
      </c>
      <c r="G16171">
        <v>175.18</v>
      </c>
      <c r="H16171">
        <v>250131</v>
      </c>
      <c r="I16171">
        <v>4410</v>
      </c>
      <c r="J16171" t="s">
        <v>165</v>
      </c>
      <c r="K16171">
        <v>191.14</v>
      </c>
      <c r="L16171">
        <v>21.51</v>
      </c>
      <c r="M16171">
        <v>13932</v>
      </c>
      <c r="N16171" t="s">
        <v>680</v>
      </c>
      <c r="O16171">
        <v>250205</v>
      </c>
      <c r="P16171">
        <v>153.66999999999999</v>
      </c>
    </row>
    <row r="16172" spans="1:16" x14ac:dyDescent="0.25">
      <c r="A16172" t="s">
        <v>3296</v>
      </c>
      <c r="B16172" t="s">
        <v>2931</v>
      </c>
      <c r="C16172">
        <v>3013</v>
      </c>
      <c r="D16172" t="str">
        <f>"20746705    "</f>
        <v xml:space="preserve">20746705    </v>
      </c>
      <c r="E16172" t="s">
        <v>2828</v>
      </c>
      <c r="F16172" t="s">
        <v>2829</v>
      </c>
      <c r="G16172">
        <v>2.61</v>
      </c>
      <c r="H16172">
        <v>250228</v>
      </c>
      <c r="I16172">
        <v>4410</v>
      </c>
      <c r="J16172" t="s">
        <v>165</v>
      </c>
      <c r="K16172">
        <v>328.37</v>
      </c>
      <c r="L16172">
        <v>0.32</v>
      </c>
      <c r="M16172">
        <v>13932</v>
      </c>
      <c r="N16172" t="s">
        <v>680</v>
      </c>
      <c r="O16172">
        <v>250314</v>
      </c>
      <c r="P16172">
        <v>2.29</v>
      </c>
    </row>
    <row r="16173" spans="1:16" x14ac:dyDescent="0.25">
      <c r="A16173" t="s">
        <v>3296</v>
      </c>
      <c r="B16173" t="s">
        <v>2931</v>
      </c>
      <c r="C16173">
        <v>3013</v>
      </c>
      <c r="D16173" t="str">
        <f>"20746705    "</f>
        <v xml:space="preserve">20746705    </v>
      </c>
      <c r="E16173" t="s">
        <v>2828</v>
      </c>
      <c r="F16173" t="s">
        <v>2829</v>
      </c>
      <c r="G16173">
        <v>61.13</v>
      </c>
      <c r="H16173">
        <v>250228</v>
      </c>
      <c r="I16173">
        <v>4410</v>
      </c>
      <c r="J16173" t="s">
        <v>165</v>
      </c>
      <c r="K16173">
        <v>328.37</v>
      </c>
      <c r="L16173">
        <v>7.51</v>
      </c>
      <c r="M16173">
        <v>13932</v>
      </c>
      <c r="N16173" t="s">
        <v>680</v>
      </c>
      <c r="O16173">
        <v>250314</v>
      </c>
      <c r="P16173">
        <v>53.62</v>
      </c>
    </row>
    <row r="16174" spans="1:16" x14ac:dyDescent="0.25">
      <c r="A16174" t="s">
        <v>3296</v>
      </c>
      <c r="B16174" t="s">
        <v>2931</v>
      </c>
      <c r="C16174">
        <v>3013</v>
      </c>
      <c r="D16174" t="str">
        <f>"20746705    "</f>
        <v xml:space="preserve">20746705    </v>
      </c>
      <c r="E16174" t="s">
        <v>2828</v>
      </c>
      <c r="F16174" t="s">
        <v>2829</v>
      </c>
      <c r="G16174">
        <v>179.78</v>
      </c>
      <c r="H16174">
        <v>250228</v>
      </c>
      <c r="I16174">
        <v>4410</v>
      </c>
      <c r="J16174" t="s">
        <v>165</v>
      </c>
      <c r="K16174">
        <v>328.37</v>
      </c>
      <c r="L16174">
        <v>22.08</v>
      </c>
      <c r="M16174">
        <v>13932</v>
      </c>
      <c r="N16174" t="s">
        <v>680</v>
      </c>
      <c r="O16174">
        <v>250314</v>
      </c>
      <c r="P16174">
        <v>157.69999999999999</v>
      </c>
    </row>
    <row r="16175" spans="1:16" x14ac:dyDescent="0.25">
      <c r="A16175" t="s">
        <v>3296</v>
      </c>
      <c r="B16175" t="s">
        <v>2931</v>
      </c>
      <c r="C16175">
        <v>6396</v>
      </c>
      <c r="D16175" t="str">
        <f>"20834377    "</f>
        <v xml:space="preserve">20834377    </v>
      </c>
      <c r="E16175" t="s">
        <v>2828</v>
      </c>
      <c r="F16175" t="s">
        <v>2829</v>
      </c>
      <c r="G16175">
        <v>113.19</v>
      </c>
      <c r="H16175">
        <v>250430</v>
      </c>
      <c r="I16175">
        <v>4410</v>
      </c>
      <c r="J16175" t="s">
        <v>165</v>
      </c>
      <c r="K16175">
        <v>288.01</v>
      </c>
      <c r="L16175">
        <v>13.9</v>
      </c>
      <c r="M16175">
        <v>11605</v>
      </c>
      <c r="N16175" t="s">
        <v>1066</v>
      </c>
      <c r="O16175">
        <v>250513</v>
      </c>
      <c r="P16175">
        <v>99.29</v>
      </c>
    </row>
    <row r="16176" spans="1:16" x14ac:dyDescent="0.25">
      <c r="A16176" t="s">
        <v>3296</v>
      </c>
      <c r="B16176" t="s">
        <v>2931</v>
      </c>
      <c r="C16176">
        <v>6577</v>
      </c>
      <c r="D16176" t="str">
        <f>"20834363    "</f>
        <v xml:space="preserve">20834363    </v>
      </c>
      <c r="E16176" t="s">
        <v>2828</v>
      </c>
      <c r="F16176" t="s">
        <v>2829</v>
      </c>
      <c r="G16176">
        <v>100</v>
      </c>
      <c r="H16176">
        <v>250430</v>
      </c>
      <c r="I16176">
        <v>4410</v>
      </c>
      <c r="J16176" t="s">
        <v>165</v>
      </c>
      <c r="K16176">
        <v>1385.25</v>
      </c>
      <c r="L16176">
        <v>12.28</v>
      </c>
      <c r="M16176">
        <v>13932</v>
      </c>
      <c r="N16176" t="s">
        <v>680</v>
      </c>
      <c r="O16176">
        <v>250514</v>
      </c>
      <c r="P16176">
        <v>87.72</v>
      </c>
    </row>
    <row r="16177" spans="1:16" x14ac:dyDescent="0.25">
      <c r="A16177" t="s">
        <v>3296</v>
      </c>
      <c r="B16177" t="s">
        <v>2931</v>
      </c>
      <c r="C16177">
        <v>3266</v>
      </c>
      <c r="D16177" t="str">
        <f>"20746709    "</f>
        <v xml:space="preserve">20746709    </v>
      </c>
      <c r="E16177" t="s">
        <v>2828</v>
      </c>
      <c r="F16177" t="s">
        <v>2829</v>
      </c>
      <c r="G16177">
        <v>12.55</v>
      </c>
      <c r="H16177">
        <v>250228</v>
      </c>
      <c r="I16177">
        <v>4470</v>
      </c>
      <c r="J16177" t="s">
        <v>203</v>
      </c>
      <c r="K16177">
        <v>523.34</v>
      </c>
      <c r="L16177">
        <v>2.5499999999999998</v>
      </c>
      <c r="M16177">
        <v>17538</v>
      </c>
      <c r="N16177" t="s">
        <v>129</v>
      </c>
      <c r="O16177">
        <v>250318</v>
      </c>
      <c r="P16177">
        <v>10</v>
      </c>
    </row>
    <row r="16178" spans="1:16" x14ac:dyDescent="0.25">
      <c r="A16178" t="s">
        <v>3296</v>
      </c>
      <c r="B16178" t="s">
        <v>2931</v>
      </c>
      <c r="C16178">
        <v>1120</v>
      </c>
      <c r="D16178" t="str">
        <f>"20704906    "</f>
        <v xml:space="preserve">20704906    </v>
      </c>
      <c r="E16178" t="s">
        <v>2828</v>
      </c>
      <c r="F16178" t="s">
        <v>2829</v>
      </c>
      <c r="G16178">
        <v>25.9</v>
      </c>
      <c r="H16178">
        <v>250131</v>
      </c>
      <c r="I16178">
        <v>4500</v>
      </c>
      <c r="J16178" t="s">
        <v>312</v>
      </c>
      <c r="K16178">
        <v>25.9</v>
      </c>
      <c r="L16178">
        <v>3.18</v>
      </c>
      <c r="M16178">
        <v>13801</v>
      </c>
      <c r="N16178" t="s">
        <v>33</v>
      </c>
      <c r="O16178">
        <v>250204</v>
      </c>
      <c r="P16178">
        <v>22.72</v>
      </c>
    </row>
    <row r="16179" spans="1:16" x14ac:dyDescent="0.25">
      <c r="A16179" t="s">
        <v>3296</v>
      </c>
      <c r="B16179" t="s">
        <v>2931</v>
      </c>
      <c r="C16179">
        <v>1505</v>
      </c>
      <c r="D16179" t="str">
        <f>"20704912    "</f>
        <v xml:space="preserve">20704912    </v>
      </c>
      <c r="E16179" t="s">
        <v>2828</v>
      </c>
      <c r="F16179" t="s">
        <v>2829</v>
      </c>
      <c r="G16179">
        <v>11.02</v>
      </c>
      <c r="H16179">
        <v>250131</v>
      </c>
      <c r="I16179">
        <v>4500</v>
      </c>
      <c r="J16179" t="s">
        <v>312</v>
      </c>
      <c r="K16179">
        <v>226.38</v>
      </c>
      <c r="L16179">
        <v>1.35</v>
      </c>
      <c r="M16179">
        <v>14321</v>
      </c>
      <c r="N16179" t="s">
        <v>72</v>
      </c>
      <c r="O16179">
        <v>250210</v>
      </c>
      <c r="P16179">
        <v>9.67</v>
      </c>
    </row>
    <row r="16180" spans="1:16" x14ac:dyDescent="0.25">
      <c r="A16180" t="s">
        <v>3296</v>
      </c>
      <c r="B16180" t="s">
        <v>2931</v>
      </c>
      <c r="C16180">
        <v>3013</v>
      </c>
      <c r="D16180" t="str">
        <f>"20746705    "</f>
        <v xml:space="preserve">20746705    </v>
      </c>
      <c r="E16180" t="s">
        <v>2828</v>
      </c>
      <c r="F16180" t="s">
        <v>2829</v>
      </c>
      <c r="G16180">
        <v>30.11</v>
      </c>
      <c r="H16180">
        <v>250228</v>
      </c>
      <c r="I16180">
        <v>4500</v>
      </c>
      <c r="J16180" t="s">
        <v>312</v>
      </c>
      <c r="K16180">
        <v>328.37</v>
      </c>
      <c r="L16180">
        <v>6.12</v>
      </c>
      <c r="M16180">
        <v>13901</v>
      </c>
      <c r="N16180" t="s">
        <v>116</v>
      </c>
      <c r="O16180">
        <v>250314</v>
      </c>
      <c r="P16180">
        <v>23.99</v>
      </c>
    </row>
    <row r="16181" spans="1:16" x14ac:dyDescent="0.25">
      <c r="A16181" t="s">
        <v>3296</v>
      </c>
      <c r="B16181" t="s">
        <v>2931</v>
      </c>
      <c r="C16181">
        <v>3013</v>
      </c>
      <c r="D16181" t="str">
        <f>"20746705    "</f>
        <v xml:space="preserve">20746705    </v>
      </c>
      <c r="E16181" t="s">
        <v>2828</v>
      </c>
      <c r="F16181" t="s">
        <v>2829</v>
      </c>
      <c r="G16181">
        <v>54.74</v>
      </c>
      <c r="H16181">
        <v>250228</v>
      </c>
      <c r="I16181">
        <v>4500</v>
      </c>
      <c r="J16181" t="s">
        <v>312</v>
      </c>
      <c r="K16181">
        <v>328.37</v>
      </c>
      <c r="L16181">
        <v>11.12</v>
      </c>
      <c r="M16181">
        <v>13901</v>
      </c>
      <c r="N16181" t="s">
        <v>116</v>
      </c>
      <c r="O16181">
        <v>250314</v>
      </c>
      <c r="P16181">
        <v>43.62</v>
      </c>
    </row>
    <row r="16182" spans="1:16" x14ac:dyDescent="0.25">
      <c r="A16182" t="s">
        <v>3296</v>
      </c>
      <c r="B16182" t="s">
        <v>2931</v>
      </c>
      <c r="C16182">
        <v>11395</v>
      </c>
      <c r="D16182" t="str">
        <f>"21011822    "</f>
        <v xml:space="preserve">21011822    </v>
      </c>
      <c r="E16182" t="s">
        <v>2828</v>
      </c>
      <c r="F16182" t="s">
        <v>2829</v>
      </c>
      <c r="G16182">
        <v>27.5</v>
      </c>
      <c r="H16182">
        <v>250831</v>
      </c>
      <c r="I16182">
        <v>4500</v>
      </c>
      <c r="J16182" t="s">
        <v>312</v>
      </c>
      <c r="K16182">
        <v>319.33999999999997</v>
      </c>
      <c r="L16182">
        <v>0</v>
      </c>
      <c r="M16182">
        <v>17971</v>
      </c>
      <c r="N16182" t="s">
        <v>27</v>
      </c>
      <c r="O16182">
        <v>250904</v>
      </c>
      <c r="P16182">
        <v>27.5</v>
      </c>
    </row>
    <row r="16183" spans="1:16" x14ac:dyDescent="0.25">
      <c r="A16183" t="s">
        <v>3296</v>
      </c>
      <c r="B16183" t="s">
        <v>2931</v>
      </c>
      <c r="C16183">
        <v>13252</v>
      </c>
      <c r="D16183" t="str">
        <f>"21057636    "</f>
        <v xml:space="preserve">21057636    </v>
      </c>
      <c r="E16183" t="s">
        <v>2828</v>
      </c>
      <c r="F16183" t="s">
        <v>2829</v>
      </c>
      <c r="G16183">
        <v>19.13</v>
      </c>
      <c r="H16183">
        <v>250930</v>
      </c>
      <c r="I16183">
        <v>4500</v>
      </c>
      <c r="J16183" t="s">
        <v>312</v>
      </c>
      <c r="K16183">
        <v>430.94</v>
      </c>
      <c r="L16183">
        <v>3.89</v>
      </c>
      <c r="M16183">
        <v>13901</v>
      </c>
      <c r="N16183" t="s">
        <v>116</v>
      </c>
      <c r="O16183">
        <v>251007</v>
      </c>
      <c r="P16183">
        <v>15.24</v>
      </c>
    </row>
    <row r="16184" spans="1:16" x14ac:dyDescent="0.25">
      <c r="A16184" t="s">
        <v>3296</v>
      </c>
      <c r="B16184" t="s">
        <v>2931</v>
      </c>
      <c r="C16184">
        <v>13680</v>
      </c>
      <c r="D16184" t="str">
        <f>"21057637    "</f>
        <v xml:space="preserve">21057637    </v>
      </c>
      <c r="E16184" t="s">
        <v>2828</v>
      </c>
      <c r="F16184" t="s">
        <v>2829</v>
      </c>
      <c r="G16184">
        <v>27.5</v>
      </c>
      <c r="H16184">
        <v>250930</v>
      </c>
      <c r="I16184">
        <v>4500</v>
      </c>
      <c r="J16184" t="s">
        <v>312</v>
      </c>
      <c r="K16184">
        <v>429.85</v>
      </c>
      <c r="L16184">
        <v>0</v>
      </c>
      <c r="M16184">
        <v>17538</v>
      </c>
      <c r="N16184" t="s">
        <v>129</v>
      </c>
      <c r="O16184">
        <v>251013</v>
      </c>
      <c r="P16184">
        <v>27.5</v>
      </c>
    </row>
    <row r="16185" spans="1:16" x14ac:dyDescent="0.25">
      <c r="A16185" t="s">
        <v>3296</v>
      </c>
      <c r="B16185" t="s">
        <v>2931</v>
      </c>
      <c r="C16185">
        <v>14899</v>
      </c>
      <c r="D16185" t="str">
        <f>"21104602    "</f>
        <v xml:space="preserve">21104602    </v>
      </c>
      <c r="E16185" t="s">
        <v>2828</v>
      </c>
      <c r="F16185" t="s">
        <v>2829</v>
      </c>
      <c r="G16185">
        <v>70.02</v>
      </c>
      <c r="H16185">
        <v>251031</v>
      </c>
      <c r="I16185">
        <v>4500</v>
      </c>
      <c r="J16185" t="s">
        <v>312</v>
      </c>
      <c r="K16185">
        <v>361.02</v>
      </c>
      <c r="L16185">
        <v>14.23</v>
      </c>
      <c r="M16185">
        <v>13901</v>
      </c>
      <c r="N16185" t="s">
        <v>116</v>
      </c>
      <c r="O16185">
        <v>251107</v>
      </c>
      <c r="P16185">
        <v>55.79</v>
      </c>
    </row>
    <row r="16186" spans="1:16" x14ac:dyDescent="0.25">
      <c r="A16186" t="s">
        <v>3296</v>
      </c>
      <c r="B16186" t="s">
        <v>2931</v>
      </c>
      <c r="C16186">
        <v>290</v>
      </c>
      <c r="D16186" t="str">
        <f>"20661300    "</f>
        <v xml:space="preserve">20661300    </v>
      </c>
      <c r="E16186" t="s">
        <v>2828</v>
      </c>
      <c r="F16186" t="s">
        <v>2829</v>
      </c>
      <c r="G16186">
        <v>90.62</v>
      </c>
      <c r="H16186">
        <v>250101</v>
      </c>
      <c r="I16186">
        <v>4520</v>
      </c>
      <c r="J16186" t="s">
        <v>280</v>
      </c>
      <c r="K16186">
        <v>90.62</v>
      </c>
      <c r="L16186">
        <v>11.13</v>
      </c>
      <c r="M16186">
        <v>44253</v>
      </c>
      <c r="N16186" t="s">
        <v>403</v>
      </c>
      <c r="O16186">
        <v>250121</v>
      </c>
      <c r="P16186">
        <v>79.489999999999995</v>
      </c>
    </row>
    <row r="16187" spans="1:16" x14ac:dyDescent="0.25">
      <c r="A16187" t="s">
        <v>3296</v>
      </c>
      <c r="B16187" t="s">
        <v>2931</v>
      </c>
      <c r="C16187">
        <v>1108</v>
      </c>
      <c r="D16187" t="str">
        <f>"20704902    "</f>
        <v xml:space="preserve">20704902    </v>
      </c>
      <c r="E16187" t="s">
        <v>2828</v>
      </c>
      <c r="F16187" t="s">
        <v>2829</v>
      </c>
      <c r="G16187">
        <v>26.48</v>
      </c>
      <c r="H16187">
        <v>250131</v>
      </c>
      <c r="I16187">
        <v>4520</v>
      </c>
      <c r="J16187" t="s">
        <v>280</v>
      </c>
      <c r="K16187">
        <v>59.18</v>
      </c>
      <c r="L16187">
        <v>5.38</v>
      </c>
      <c r="M16187">
        <v>16431</v>
      </c>
      <c r="N16187" t="s">
        <v>17</v>
      </c>
      <c r="O16187">
        <v>250204</v>
      </c>
      <c r="P16187">
        <v>21.1</v>
      </c>
    </row>
    <row r="16188" spans="1:16" x14ac:dyDescent="0.25">
      <c r="A16188" t="s">
        <v>3296</v>
      </c>
      <c r="B16188" t="s">
        <v>2931</v>
      </c>
      <c r="C16188">
        <v>1108</v>
      </c>
      <c r="D16188" t="str">
        <f>"20704902    "</f>
        <v xml:space="preserve">20704902    </v>
      </c>
      <c r="E16188" t="s">
        <v>2828</v>
      </c>
      <c r="F16188" t="s">
        <v>2829</v>
      </c>
      <c r="G16188">
        <v>32.700000000000003</v>
      </c>
      <c r="H16188">
        <v>250131</v>
      </c>
      <c r="I16188">
        <v>4520</v>
      </c>
      <c r="J16188" t="s">
        <v>280</v>
      </c>
      <c r="K16188">
        <v>59.18</v>
      </c>
      <c r="L16188">
        <v>4.0199999999999996</v>
      </c>
      <c r="M16188">
        <v>16431</v>
      </c>
      <c r="N16188" t="s">
        <v>17</v>
      </c>
      <c r="O16188">
        <v>250204</v>
      </c>
      <c r="P16188">
        <v>28.68</v>
      </c>
    </row>
    <row r="16189" spans="1:16" x14ac:dyDescent="0.25">
      <c r="A16189" t="s">
        <v>3296</v>
      </c>
      <c r="B16189" t="s">
        <v>2931</v>
      </c>
      <c r="C16189">
        <v>1114</v>
      </c>
      <c r="D16189" t="str">
        <f>"20704898    "</f>
        <v xml:space="preserve">20704898    </v>
      </c>
      <c r="E16189" t="s">
        <v>2828</v>
      </c>
      <c r="F16189" t="s">
        <v>2829</v>
      </c>
      <c r="G16189">
        <v>196.85</v>
      </c>
      <c r="H16189">
        <v>250131</v>
      </c>
      <c r="I16189">
        <v>4520</v>
      </c>
      <c r="J16189" t="s">
        <v>280</v>
      </c>
      <c r="K16189">
        <v>295.66000000000003</v>
      </c>
      <c r="L16189">
        <v>24.17</v>
      </c>
      <c r="M16189">
        <v>54422</v>
      </c>
      <c r="N16189" t="s">
        <v>49</v>
      </c>
      <c r="O16189">
        <v>250204</v>
      </c>
      <c r="P16189">
        <v>172.68</v>
      </c>
    </row>
    <row r="16190" spans="1:16" x14ac:dyDescent="0.25">
      <c r="A16190" t="s">
        <v>3296</v>
      </c>
      <c r="B16190" t="s">
        <v>2931</v>
      </c>
      <c r="C16190">
        <v>1118</v>
      </c>
      <c r="D16190" t="str">
        <f>"20704908    "</f>
        <v xml:space="preserve">20704908    </v>
      </c>
      <c r="E16190" t="s">
        <v>2828</v>
      </c>
      <c r="F16190" t="s">
        <v>2829</v>
      </c>
      <c r="G16190">
        <v>170.52</v>
      </c>
      <c r="H16190">
        <v>250131</v>
      </c>
      <c r="I16190">
        <v>4520</v>
      </c>
      <c r="J16190" t="s">
        <v>280</v>
      </c>
      <c r="K16190">
        <v>189.47</v>
      </c>
      <c r="L16190">
        <v>20.94</v>
      </c>
      <c r="M16190">
        <v>69112</v>
      </c>
      <c r="N16190" t="s">
        <v>227</v>
      </c>
      <c r="O16190">
        <v>250204</v>
      </c>
      <c r="P16190">
        <v>149.58000000000001</v>
      </c>
    </row>
    <row r="16191" spans="1:16" x14ac:dyDescent="0.25">
      <c r="A16191" t="s">
        <v>3296</v>
      </c>
      <c r="B16191" t="s">
        <v>2931</v>
      </c>
      <c r="C16191">
        <v>1118</v>
      </c>
      <c r="D16191" t="str">
        <f>"20704908    "</f>
        <v xml:space="preserve">20704908    </v>
      </c>
      <c r="E16191" t="s">
        <v>2828</v>
      </c>
      <c r="F16191" t="s">
        <v>2829</v>
      </c>
      <c r="G16191">
        <v>9.48</v>
      </c>
      <c r="H16191">
        <v>250131</v>
      </c>
      <c r="I16191">
        <v>4520</v>
      </c>
      <c r="J16191" t="s">
        <v>280</v>
      </c>
      <c r="K16191">
        <v>189.47</v>
      </c>
      <c r="L16191">
        <v>1.1599999999999999</v>
      </c>
      <c r="M16191">
        <v>69810</v>
      </c>
      <c r="N16191" t="s">
        <v>229</v>
      </c>
      <c r="O16191">
        <v>250204</v>
      </c>
      <c r="P16191">
        <v>8.32</v>
      </c>
    </row>
    <row r="16192" spans="1:16" x14ac:dyDescent="0.25">
      <c r="A16192" t="s">
        <v>3296</v>
      </c>
      <c r="B16192" t="s">
        <v>2931</v>
      </c>
      <c r="C16192">
        <v>1118</v>
      </c>
      <c r="D16192" t="str">
        <f>"20704908    "</f>
        <v xml:space="preserve">20704908    </v>
      </c>
      <c r="E16192" t="s">
        <v>2828</v>
      </c>
      <c r="F16192" t="s">
        <v>2829</v>
      </c>
      <c r="G16192">
        <v>9.4700000000000006</v>
      </c>
      <c r="H16192">
        <v>250131</v>
      </c>
      <c r="I16192">
        <v>4520</v>
      </c>
      <c r="J16192" t="s">
        <v>280</v>
      </c>
      <c r="K16192">
        <v>189.47</v>
      </c>
      <c r="L16192">
        <v>1.1599999999999999</v>
      </c>
      <c r="M16192">
        <v>69811</v>
      </c>
      <c r="N16192" t="s">
        <v>230</v>
      </c>
      <c r="O16192">
        <v>250204</v>
      </c>
      <c r="P16192">
        <v>8.31</v>
      </c>
    </row>
    <row r="16193" spans="1:16" x14ac:dyDescent="0.25">
      <c r="A16193" t="s">
        <v>3296</v>
      </c>
      <c r="B16193" t="s">
        <v>2931</v>
      </c>
      <c r="C16193">
        <v>1182</v>
      </c>
      <c r="D16193" t="str">
        <f>"20704910    "</f>
        <v xml:space="preserve">20704910    </v>
      </c>
      <c r="E16193" t="s">
        <v>2828</v>
      </c>
      <c r="F16193" t="s">
        <v>2829</v>
      </c>
      <c r="G16193">
        <v>0.24</v>
      </c>
      <c r="H16193">
        <v>250130</v>
      </c>
      <c r="I16193">
        <v>4520</v>
      </c>
      <c r="J16193" t="s">
        <v>280</v>
      </c>
      <c r="K16193">
        <v>20.74</v>
      </c>
      <c r="L16193">
        <v>0.03</v>
      </c>
      <c r="M16193">
        <v>13401</v>
      </c>
      <c r="N16193" t="s">
        <v>10</v>
      </c>
      <c r="O16193">
        <v>250205</v>
      </c>
      <c r="P16193">
        <v>0.21</v>
      </c>
    </row>
    <row r="16194" spans="1:16" x14ac:dyDescent="0.25">
      <c r="A16194" t="s">
        <v>3296</v>
      </c>
      <c r="B16194" t="s">
        <v>2931</v>
      </c>
      <c r="C16194">
        <v>1182</v>
      </c>
      <c r="D16194" t="str">
        <f>"20704910    "</f>
        <v xml:space="preserve">20704910    </v>
      </c>
      <c r="E16194" t="s">
        <v>2828</v>
      </c>
      <c r="F16194" t="s">
        <v>2829</v>
      </c>
      <c r="G16194">
        <v>8.98</v>
      </c>
      <c r="H16194">
        <v>250130</v>
      </c>
      <c r="I16194">
        <v>4520</v>
      </c>
      <c r="J16194" t="s">
        <v>280</v>
      </c>
      <c r="K16194">
        <v>20.74</v>
      </c>
      <c r="L16194">
        <v>1.1000000000000001</v>
      </c>
      <c r="M16194">
        <v>13401</v>
      </c>
      <c r="N16194" t="s">
        <v>10</v>
      </c>
      <c r="O16194">
        <v>250205</v>
      </c>
      <c r="P16194">
        <v>7.88</v>
      </c>
    </row>
    <row r="16195" spans="1:16" x14ac:dyDescent="0.25">
      <c r="A16195" t="s">
        <v>3296</v>
      </c>
      <c r="B16195" t="s">
        <v>2931</v>
      </c>
      <c r="C16195">
        <v>1262</v>
      </c>
      <c r="D16195" t="str">
        <f>"20704897    "</f>
        <v xml:space="preserve">20704897    </v>
      </c>
      <c r="E16195" t="s">
        <v>2828</v>
      </c>
      <c r="F16195" t="s">
        <v>2829</v>
      </c>
      <c r="G16195">
        <v>30.37</v>
      </c>
      <c r="H16195">
        <v>250131</v>
      </c>
      <c r="I16195">
        <v>4520</v>
      </c>
      <c r="J16195" t="s">
        <v>280</v>
      </c>
      <c r="K16195">
        <v>219.84</v>
      </c>
      <c r="L16195">
        <v>3.73</v>
      </c>
      <c r="M16195">
        <v>17131</v>
      </c>
      <c r="N16195" t="s">
        <v>154</v>
      </c>
      <c r="O16195">
        <v>250206</v>
      </c>
      <c r="P16195">
        <v>26.64</v>
      </c>
    </row>
    <row r="16196" spans="1:16" x14ac:dyDescent="0.25">
      <c r="A16196" t="s">
        <v>3296</v>
      </c>
      <c r="B16196" t="s">
        <v>2931</v>
      </c>
      <c r="C16196">
        <v>1262</v>
      </c>
      <c r="D16196" t="str">
        <f>"20704897    "</f>
        <v xml:space="preserve">20704897    </v>
      </c>
      <c r="E16196" t="s">
        <v>2828</v>
      </c>
      <c r="F16196" t="s">
        <v>2829</v>
      </c>
      <c r="G16196">
        <v>53.34</v>
      </c>
      <c r="H16196">
        <v>250131</v>
      </c>
      <c r="I16196">
        <v>4520</v>
      </c>
      <c r="J16196" t="s">
        <v>280</v>
      </c>
      <c r="K16196">
        <v>219.84</v>
      </c>
      <c r="L16196">
        <v>6.55</v>
      </c>
      <c r="M16196">
        <v>17131</v>
      </c>
      <c r="N16196" t="s">
        <v>154</v>
      </c>
      <c r="O16196">
        <v>250206</v>
      </c>
      <c r="P16196">
        <v>46.79</v>
      </c>
    </row>
    <row r="16197" spans="1:16" x14ac:dyDescent="0.25">
      <c r="A16197" t="s">
        <v>3296</v>
      </c>
      <c r="B16197" t="s">
        <v>2931</v>
      </c>
      <c r="C16197">
        <v>1262</v>
      </c>
      <c r="D16197" t="str">
        <f>"20704897    "</f>
        <v xml:space="preserve">20704897    </v>
      </c>
      <c r="E16197" t="s">
        <v>2828</v>
      </c>
      <c r="F16197" t="s">
        <v>2829</v>
      </c>
      <c r="G16197">
        <v>102.53</v>
      </c>
      <c r="H16197">
        <v>250131</v>
      </c>
      <c r="I16197">
        <v>4520</v>
      </c>
      <c r="J16197" t="s">
        <v>280</v>
      </c>
      <c r="K16197">
        <v>219.84</v>
      </c>
      <c r="L16197">
        <v>12.59</v>
      </c>
      <c r="M16197">
        <v>17131</v>
      </c>
      <c r="N16197" t="s">
        <v>154</v>
      </c>
      <c r="O16197">
        <v>250206</v>
      </c>
      <c r="P16197">
        <v>89.94</v>
      </c>
    </row>
    <row r="16198" spans="1:16" x14ac:dyDescent="0.25">
      <c r="A16198" t="s">
        <v>3296</v>
      </c>
      <c r="B16198" t="s">
        <v>2931</v>
      </c>
      <c r="C16198">
        <v>1262</v>
      </c>
      <c r="D16198" t="str">
        <f>"20704897    "</f>
        <v xml:space="preserve">20704897    </v>
      </c>
      <c r="E16198" t="s">
        <v>2828</v>
      </c>
      <c r="F16198" t="s">
        <v>2829</v>
      </c>
      <c r="G16198">
        <v>17.579999999999998</v>
      </c>
      <c r="H16198">
        <v>250131</v>
      </c>
      <c r="I16198">
        <v>4520</v>
      </c>
      <c r="J16198" t="s">
        <v>280</v>
      </c>
      <c r="K16198">
        <v>219.84</v>
      </c>
      <c r="L16198">
        <v>2.16</v>
      </c>
      <c r="M16198">
        <v>17737</v>
      </c>
      <c r="N16198" t="s">
        <v>156</v>
      </c>
      <c r="O16198">
        <v>250206</v>
      </c>
      <c r="P16198">
        <v>15.42</v>
      </c>
    </row>
    <row r="16199" spans="1:16" x14ac:dyDescent="0.25">
      <c r="A16199" t="s">
        <v>3296</v>
      </c>
      <c r="B16199" t="s">
        <v>2931</v>
      </c>
      <c r="C16199">
        <v>1262</v>
      </c>
      <c r="D16199" t="str">
        <f>"20704897    "</f>
        <v xml:space="preserve">20704897    </v>
      </c>
      <c r="E16199" t="s">
        <v>2828</v>
      </c>
      <c r="F16199" t="s">
        <v>2829</v>
      </c>
      <c r="G16199">
        <v>15.14</v>
      </c>
      <c r="H16199">
        <v>250131</v>
      </c>
      <c r="I16199">
        <v>4520</v>
      </c>
      <c r="J16199" t="s">
        <v>280</v>
      </c>
      <c r="K16199">
        <v>219.84</v>
      </c>
      <c r="L16199">
        <v>1.86</v>
      </c>
      <c r="M16199">
        <v>17972</v>
      </c>
      <c r="N16199" t="s">
        <v>28</v>
      </c>
      <c r="O16199">
        <v>250206</v>
      </c>
      <c r="P16199">
        <v>13.28</v>
      </c>
    </row>
    <row r="16200" spans="1:16" x14ac:dyDescent="0.25">
      <c r="A16200" t="s">
        <v>3296</v>
      </c>
      <c r="B16200" t="s">
        <v>2931</v>
      </c>
      <c r="C16200">
        <v>1263</v>
      </c>
      <c r="D16200" t="str">
        <f>"20704909    "</f>
        <v xml:space="preserve">20704909    </v>
      </c>
      <c r="E16200" t="s">
        <v>2828</v>
      </c>
      <c r="F16200" t="s">
        <v>2829</v>
      </c>
      <c r="G16200">
        <v>67.069999999999993</v>
      </c>
      <c r="H16200">
        <v>250131</v>
      </c>
      <c r="I16200">
        <v>4520</v>
      </c>
      <c r="J16200" t="s">
        <v>280</v>
      </c>
      <c r="K16200">
        <v>79.67</v>
      </c>
      <c r="L16200">
        <v>8.24</v>
      </c>
      <c r="M16200">
        <v>59111</v>
      </c>
      <c r="N16200" t="s">
        <v>60</v>
      </c>
      <c r="O16200">
        <v>250206</v>
      </c>
      <c r="P16200">
        <v>58.83</v>
      </c>
    </row>
    <row r="16201" spans="1:16" x14ac:dyDescent="0.25">
      <c r="A16201" t="s">
        <v>3296</v>
      </c>
      <c r="B16201" t="s">
        <v>2931</v>
      </c>
      <c r="C16201">
        <v>1333</v>
      </c>
      <c r="D16201" t="str">
        <f>"20704903    "</f>
        <v xml:space="preserve">20704903    </v>
      </c>
      <c r="E16201" t="s">
        <v>2828</v>
      </c>
      <c r="F16201" t="s">
        <v>2829</v>
      </c>
      <c r="G16201">
        <v>167.96</v>
      </c>
      <c r="H16201">
        <v>250131</v>
      </c>
      <c r="I16201">
        <v>4520</v>
      </c>
      <c r="J16201" t="s">
        <v>280</v>
      </c>
      <c r="K16201">
        <v>169.77</v>
      </c>
      <c r="L16201">
        <v>20.63</v>
      </c>
      <c r="M16201">
        <v>44251</v>
      </c>
      <c r="N16201" t="s">
        <v>215</v>
      </c>
      <c r="O16201">
        <v>250207</v>
      </c>
      <c r="P16201">
        <v>147.33000000000001</v>
      </c>
    </row>
    <row r="16202" spans="1:16" x14ac:dyDescent="0.25">
      <c r="A16202" t="s">
        <v>3296</v>
      </c>
      <c r="B16202" t="s">
        <v>2931</v>
      </c>
      <c r="C16202">
        <v>1505</v>
      </c>
      <c r="D16202" t="str">
        <f t="shared" ref="D16202:D16208" si="265">"20704912    "</f>
        <v xml:space="preserve">20704912    </v>
      </c>
      <c r="E16202" t="s">
        <v>2828</v>
      </c>
      <c r="F16202" t="s">
        <v>2829</v>
      </c>
      <c r="G16202">
        <v>50.03</v>
      </c>
      <c r="H16202">
        <v>250131</v>
      </c>
      <c r="I16202">
        <v>4520</v>
      </c>
      <c r="J16202" t="s">
        <v>280</v>
      </c>
      <c r="K16202">
        <v>226.38</v>
      </c>
      <c r="L16202">
        <v>6.14</v>
      </c>
      <c r="M16202">
        <v>14321</v>
      </c>
      <c r="N16202" t="s">
        <v>72</v>
      </c>
      <c r="O16202">
        <v>250210</v>
      </c>
      <c r="P16202">
        <v>43.89</v>
      </c>
    </row>
    <row r="16203" spans="1:16" x14ac:dyDescent="0.25">
      <c r="A16203" t="s">
        <v>3296</v>
      </c>
      <c r="B16203" t="s">
        <v>2931</v>
      </c>
      <c r="C16203">
        <v>1505</v>
      </c>
      <c r="D16203" t="str">
        <f t="shared" si="265"/>
        <v xml:space="preserve">20704912    </v>
      </c>
      <c r="E16203" t="s">
        <v>2828</v>
      </c>
      <c r="F16203" t="s">
        <v>2829</v>
      </c>
      <c r="G16203">
        <v>7.59</v>
      </c>
      <c r="H16203">
        <v>250131</v>
      </c>
      <c r="I16203">
        <v>4520</v>
      </c>
      <c r="J16203" t="s">
        <v>280</v>
      </c>
      <c r="K16203">
        <v>226.38</v>
      </c>
      <c r="L16203">
        <v>0.93</v>
      </c>
      <c r="M16203">
        <v>14422</v>
      </c>
      <c r="N16203" t="s">
        <v>73</v>
      </c>
      <c r="O16203">
        <v>250210</v>
      </c>
      <c r="P16203">
        <v>6.66</v>
      </c>
    </row>
    <row r="16204" spans="1:16" x14ac:dyDescent="0.25">
      <c r="A16204" t="s">
        <v>3296</v>
      </c>
      <c r="B16204" t="s">
        <v>2931</v>
      </c>
      <c r="C16204">
        <v>1505</v>
      </c>
      <c r="D16204" t="str">
        <f t="shared" si="265"/>
        <v xml:space="preserve">20704912    </v>
      </c>
      <c r="E16204" t="s">
        <v>2828</v>
      </c>
      <c r="F16204" t="s">
        <v>2829</v>
      </c>
      <c r="G16204">
        <v>8.27</v>
      </c>
      <c r="H16204">
        <v>250131</v>
      </c>
      <c r="I16204">
        <v>4520</v>
      </c>
      <c r="J16204" t="s">
        <v>280</v>
      </c>
      <c r="K16204">
        <v>226.38</v>
      </c>
      <c r="L16204">
        <v>1.02</v>
      </c>
      <c r="M16204">
        <v>14422</v>
      </c>
      <c r="N16204" t="s">
        <v>73</v>
      </c>
      <c r="O16204">
        <v>250210</v>
      </c>
      <c r="P16204">
        <v>7.25</v>
      </c>
    </row>
    <row r="16205" spans="1:16" x14ac:dyDescent="0.25">
      <c r="A16205" t="s">
        <v>3296</v>
      </c>
      <c r="B16205" t="s">
        <v>2931</v>
      </c>
      <c r="C16205">
        <v>1505</v>
      </c>
      <c r="D16205" t="str">
        <f t="shared" si="265"/>
        <v xml:space="preserve">20704912    </v>
      </c>
      <c r="E16205" t="s">
        <v>2828</v>
      </c>
      <c r="F16205" t="s">
        <v>2829</v>
      </c>
      <c r="G16205">
        <v>53.45</v>
      </c>
      <c r="H16205">
        <v>250131</v>
      </c>
      <c r="I16205">
        <v>4520</v>
      </c>
      <c r="J16205" t="s">
        <v>280</v>
      </c>
      <c r="K16205">
        <v>226.38</v>
      </c>
      <c r="L16205">
        <v>6.56</v>
      </c>
      <c r="M16205">
        <v>14422</v>
      </c>
      <c r="N16205" t="s">
        <v>73</v>
      </c>
      <c r="O16205">
        <v>250210</v>
      </c>
      <c r="P16205">
        <v>46.89</v>
      </c>
    </row>
    <row r="16206" spans="1:16" x14ac:dyDescent="0.25">
      <c r="A16206" t="s">
        <v>3296</v>
      </c>
      <c r="B16206" t="s">
        <v>2931</v>
      </c>
      <c r="C16206">
        <v>1505</v>
      </c>
      <c r="D16206" t="str">
        <f t="shared" si="265"/>
        <v xml:space="preserve">20704912    </v>
      </c>
      <c r="E16206" t="s">
        <v>2828</v>
      </c>
      <c r="F16206" t="s">
        <v>2829</v>
      </c>
      <c r="G16206">
        <v>10.65</v>
      </c>
      <c r="H16206">
        <v>250131</v>
      </c>
      <c r="I16206">
        <v>4520</v>
      </c>
      <c r="J16206" t="s">
        <v>280</v>
      </c>
      <c r="K16206">
        <v>226.38</v>
      </c>
      <c r="L16206">
        <v>1.31</v>
      </c>
      <c r="M16206">
        <v>14974</v>
      </c>
      <c r="N16206" t="s">
        <v>83</v>
      </c>
      <c r="O16206">
        <v>250210</v>
      </c>
      <c r="P16206">
        <v>9.34</v>
      </c>
    </row>
    <row r="16207" spans="1:16" x14ac:dyDescent="0.25">
      <c r="A16207" t="s">
        <v>3296</v>
      </c>
      <c r="B16207" t="s">
        <v>2931</v>
      </c>
      <c r="C16207">
        <v>1505</v>
      </c>
      <c r="D16207" t="str">
        <f t="shared" si="265"/>
        <v xml:space="preserve">20704912    </v>
      </c>
      <c r="E16207" t="s">
        <v>2828</v>
      </c>
      <c r="F16207" t="s">
        <v>2829</v>
      </c>
      <c r="G16207">
        <v>0.88</v>
      </c>
      <c r="H16207">
        <v>250131</v>
      </c>
      <c r="I16207">
        <v>4520</v>
      </c>
      <c r="J16207" t="s">
        <v>280</v>
      </c>
      <c r="K16207">
        <v>226.38</v>
      </c>
      <c r="L16207">
        <v>0.18</v>
      </c>
      <c r="M16207">
        <v>14990</v>
      </c>
      <c r="N16207" t="s">
        <v>85</v>
      </c>
      <c r="O16207">
        <v>250210</v>
      </c>
      <c r="P16207">
        <v>0.7</v>
      </c>
    </row>
    <row r="16208" spans="1:16" x14ac:dyDescent="0.25">
      <c r="A16208" t="s">
        <v>3296</v>
      </c>
      <c r="B16208" t="s">
        <v>2931</v>
      </c>
      <c r="C16208">
        <v>1505</v>
      </c>
      <c r="D16208" t="str">
        <f t="shared" si="265"/>
        <v xml:space="preserve">20704912    </v>
      </c>
      <c r="E16208" t="s">
        <v>2828</v>
      </c>
      <c r="F16208" t="s">
        <v>2829</v>
      </c>
      <c r="G16208">
        <v>48.69</v>
      </c>
      <c r="H16208">
        <v>250131</v>
      </c>
      <c r="I16208">
        <v>4520</v>
      </c>
      <c r="J16208" t="s">
        <v>280</v>
      </c>
      <c r="K16208">
        <v>226.38</v>
      </c>
      <c r="L16208">
        <v>5.98</v>
      </c>
      <c r="M16208">
        <v>14990</v>
      </c>
      <c r="N16208" t="s">
        <v>85</v>
      </c>
      <c r="O16208">
        <v>250210</v>
      </c>
      <c r="P16208">
        <v>42.71</v>
      </c>
    </row>
    <row r="16209" spans="1:16" x14ac:dyDescent="0.25">
      <c r="A16209" t="s">
        <v>3296</v>
      </c>
      <c r="B16209" t="s">
        <v>2931</v>
      </c>
      <c r="C16209">
        <v>1546</v>
      </c>
      <c r="D16209" t="str">
        <f>"20704904    "</f>
        <v xml:space="preserve">20704904    </v>
      </c>
      <c r="E16209" t="s">
        <v>2828</v>
      </c>
      <c r="F16209" t="s">
        <v>2829</v>
      </c>
      <c r="G16209">
        <v>128.69</v>
      </c>
      <c r="H16209">
        <v>250131</v>
      </c>
      <c r="I16209">
        <v>4520</v>
      </c>
      <c r="J16209" t="s">
        <v>280</v>
      </c>
      <c r="K16209">
        <v>128.69</v>
      </c>
      <c r="L16209">
        <v>15.8</v>
      </c>
      <c r="M16209">
        <v>67522</v>
      </c>
      <c r="N16209" t="s">
        <v>121</v>
      </c>
      <c r="O16209">
        <v>250211</v>
      </c>
      <c r="P16209">
        <v>112.89</v>
      </c>
    </row>
    <row r="16210" spans="1:16" x14ac:dyDescent="0.25">
      <c r="A16210" t="s">
        <v>3296</v>
      </c>
      <c r="B16210" t="s">
        <v>2931</v>
      </c>
      <c r="C16210">
        <v>1709</v>
      </c>
      <c r="D16210" t="str">
        <f>"20704911    "</f>
        <v xml:space="preserve">20704911    </v>
      </c>
      <c r="E16210" t="s">
        <v>2828</v>
      </c>
      <c r="F16210" t="s">
        <v>2829</v>
      </c>
      <c r="G16210">
        <v>300.02</v>
      </c>
      <c r="H16210">
        <v>250131</v>
      </c>
      <c r="I16210">
        <v>4520</v>
      </c>
      <c r="J16210" t="s">
        <v>280</v>
      </c>
      <c r="K16210">
        <v>300.02</v>
      </c>
      <c r="L16210">
        <v>36.840000000000003</v>
      </c>
      <c r="M16210">
        <v>44253</v>
      </c>
      <c r="N16210" t="s">
        <v>403</v>
      </c>
      <c r="O16210">
        <v>250212</v>
      </c>
      <c r="P16210">
        <v>263.18</v>
      </c>
    </row>
    <row r="16211" spans="1:16" x14ac:dyDescent="0.25">
      <c r="A16211" t="s">
        <v>3296</v>
      </c>
      <c r="B16211" t="s">
        <v>2931</v>
      </c>
      <c r="C16211">
        <v>1938</v>
      </c>
      <c r="D16211" t="str">
        <f>"20704901    "</f>
        <v xml:space="preserve">20704901    </v>
      </c>
      <c r="E16211" t="s">
        <v>2828</v>
      </c>
      <c r="F16211" t="s">
        <v>2829</v>
      </c>
      <c r="G16211">
        <v>9.0399999999999991</v>
      </c>
      <c r="H16211">
        <v>250131</v>
      </c>
      <c r="I16211">
        <v>4520</v>
      </c>
      <c r="J16211" t="s">
        <v>280</v>
      </c>
      <c r="K16211">
        <v>94.24</v>
      </c>
      <c r="L16211">
        <v>1.1100000000000001</v>
      </c>
      <c r="M16211">
        <v>13501</v>
      </c>
      <c r="N16211" t="s">
        <v>66</v>
      </c>
      <c r="O16211">
        <v>250218</v>
      </c>
      <c r="P16211">
        <v>7.93</v>
      </c>
    </row>
    <row r="16212" spans="1:16" x14ac:dyDescent="0.25">
      <c r="A16212" t="s">
        <v>3296</v>
      </c>
      <c r="B16212" t="s">
        <v>2931</v>
      </c>
      <c r="C16212">
        <v>2917</v>
      </c>
      <c r="D16212" t="str">
        <f>"20746717    "</f>
        <v xml:space="preserve">20746717    </v>
      </c>
      <c r="E16212" t="s">
        <v>2828</v>
      </c>
      <c r="F16212" t="s">
        <v>2829</v>
      </c>
      <c r="G16212">
        <v>58.97</v>
      </c>
      <c r="H16212">
        <v>250228</v>
      </c>
      <c r="I16212">
        <v>4520</v>
      </c>
      <c r="J16212" t="s">
        <v>280</v>
      </c>
      <c r="K16212">
        <v>100.17</v>
      </c>
      <c r="L16212">
        <v>7.24</v>
      </c>
      <c r="M16212">
        <v>44222</v>
      </c>
      <c r="N16212" t="s">
        <v>96</v>
      </c>
      <c r="O16212">
        <v>250313</v>
      </c>
      <c r="P16212">
        <v>51.73</v>
      </c>
    </row>
    <row r="16213" spans="1:16" x14ac:dyDescent="0.25">
      <c r="A16213" t="s">
        <v>3296</v>
      </c>
      <c r="B16213" t="s">
        <v>2931</v>
      </c>
      <c r="C16213">
        <v>2917</v>
      </c>
      <c r="D16213" t="str">
        <f>"20746717    "</f>
        <v xml:space="preserve">20746717    </v>
      </c>
      <c r="E16213" t="s">
        <v>2828</v>
      </c>
      <c r="F16213" t="s">
        <v>2829</v>
      </c>
      <c r="G16213">
        <v>41.2</v>
      </c>
      <c r="H16213">
        <v>250228</v>
      </c>
      <c r="I16213">
        <v>4520</v>
      </c>
      <c r="J16213" t="s">
        <v>280</v>
      </c>
      <c r="K16213">
        <v>100.17</v>
      </c>
      <c r="L16213">
        <v>5.0599999999999996</v>
      </c>
      <c r="M16213">
        <v>44253</v>
      </c>
      <c r="N16213" t="s">
        <v>403</v>
      </c>
      <c r="O16213">
        <v>250313</v>
      </c>
      <c r="P16213">
        <v>36.14</v>
      </c>
    </row>
    <row r="16214" spans="1:16" x14ac:dyDescent="0.25">
      <c r="A16214" t="s">
        <v>3296</v>
      </c>
      <c r="B16214" t="s">
        <v>2931</v>
      </c>
      <c r="C16214">
        <v>2925</v>
      </c>
      <c r="D16214" t="str">
        <f>"20746708    "</f>
        <v xml:space="preserve">20746708    </v>
      </c>
      <c r="E16214" t="s">
        <v>2828</v>
      </c>
      <c r="F16214" t="s">
        <v>2829</v>
      </c>
      <c r="G16214">
        <v>29.79</v>
      </c>
      <c r="H16214">
        <v>250228</v>
      </c>
      <c r="I16214">
        <v>4520</v>
      </c>
      <c r="J16214" t="s">
        <v>280</v>
      </c>
      <c r="K16214">
        <v>171.16</v>
      </c>
      <c r="L16214">
        <v>6.05</v>
      </c>
      <c r="M16214">
        <v>16431</v>
      </c>
      <c r="N16214" t="s">
        <v>17</v>
      </c>
      <c r="O16214">
        <v>250313</v>
      </c>
      <c r="P16214">
        <v>23.74</v>
      </c>
    </row>
    <row r="16215" spans="1:16" x14ac:dyDescent="0.25">
      <c r="A16215" t="s">
        <v>3296</v>
      </c>
      <c r="B16215" t="s">
        <v>2931</v>
      </c>
      <c r="C16215">
        <v>2925</v>
      </c>
      <c r="D16215" t="str">
        <f>"20746708    "</f>
        <v xml:space="preserve">20746708    </v>
      </c>
      <c r="E16215" t="s">
        <v>2828</v>
      </c>
      <c r="F16215" t="s">
        <v>2829</v>
      </c>
      <c r="G16215">
        <v>109.77</v>
      </c>
      <c r="H16215">
        <v>250228</v>
      </c>
      <c r="I16215">
        <v>4520</v>
      </c>
      <c r="J16215" t="s">
        <v>280</v>
      </c>
      <c r="K16215">
        <v>171.16</v>
      </c>
      <c r="L16215">
        <v>13.48</v>
      </c>
      <c r="M16215">
        <v>16431</v>
      </c>
      <c r="N16215" t="s">
        <v>17</v>
      </c>
      <c r="O16215">
        <v>250313</v>
      </c>
      <c r="P16215">
        <v>96.29</v>
      </c>
    </row>
    <row r="16216" spans="1:16" x14ac:dyDescent="0.25">
      <c r="A16216" t="s">
        <v>3296</v>
      </c>
      <c r="B16216" t="s">
        <v>2931</v>
      </c>
      <c r="C16216">
        <v>2925</v>
      </c>
      <c r="D16216" t="str">
        <f>"20746708    "</f>
        <v xml:space="preserve">20746708    </v>
      </c>
      <c r="E16216" t="s">
        <v>2828</v>
      </c>
      <c r="F16216" t="s">
        <v>2829</v>
      </c>
      <c r="G16216">
        <v>31.6</v>
      </c>
      <c r="H16216">
        <v>250228</v>
      </c>
      <c r="I16216">
        <v>4520</v>
      </c>
      <c r="J16216" t="s">
        <v>280</v>
      </c>
      <c r="K16216">
        <v>171.16</v>
      </c>
      <c r="L16216">
        <v>3.88</v>
      </c>
      <c r="M16216">
        <v>17913</v>
      </c>
      <c r="N16216" t="s">
        <v>26</v>
      </c>
      <c r="O16216">
        <v>250313</v>
      </c>
      <c r="P16216">
        <v>27.72</v>
      </c>
    </row>
    <row r="16217" spans="1:16" x14ac:dyDescent="0.25">
      <c r="A16217" t="s">
        <v>3296</v>
      </c>
      <c r="B16217" t="s">
        <v>2931</v>
      </c>
      <c r="C16217">
        <v>2945</v>
      </c>
      <c r="D16217" t="str">
        <f>"20746707    "</f>
        <v xml:space="preserve">20746707    </v>
      </c>
      <c r="E16217" t="s">
        <v>2828</v>
      </c>
      <c r="F16217" t="s">
        <v>2829</v>
      </c>
      <c r="G16217">
        <v>2.94</v>
      </c>
      <c r="H16217">
        <v>250228</v>
      </c>
      <c r="I16217">
        <v>4520</v>
      </c>
      <c r="J16217" t="s">
        <v>280</v>
      </c>
      <c r="K16217">
        <v>143.91</v>
      </c>
      <c r="L16217">
        <v>0.6</v>
      </c>
      <c r="M16217">
        <v>67522</v>
      </c>
      <c r="N16217" t="s">
        <v>121</v>
      </c>
      <c r="O16217">
        <v>250313</v>
      </c>
      <c r="P16217">
        <v>2.34</v>
      </c>
    </row>
    <row r="16218" spans="1:16" x14ac:dyDescent="0.25">
      <c r="A16218" t="s">
        <v>3296</v>
      </c>
      <c r="B16218" t="s">
        <v>2931</v>
      </c>
      <c r="C16218">
        <v>2945</v>
      </c>
      <c r="D16218" t="str">
        <f>"20746707    "</f>
        <v xml:space="preserve">20746707    </v>
      </c>
      <c r="E16218" t="s">
        <v>2828</v>
      </c>
      <c r="F16218" t="s">
        <v>2829</v>
      </c>
      <c r="G16218">
        <v>82</v>
      </c>
      <c r="H16218">
        <v>250228</v>
      </c>
      <c r="I16218">
        <v>4520</v>
      </c>
      <c r="J16218" t="s">
        <v>280</v>
      </c>
      <c r="K16218">
        <v>143.91</v>
      </c>
      <c r="L16218">
        <v>10.07</v>
      </c>
      <c r="M16218">
        <v>67522</v>
      </c>
      <c r="N16218" t="s">
        <v>121</v>
      </c>
      <c r="O16218">
        <v>250313</v>
      </c>
      <c r="P16218">
        <v>71.930000000000007</v>
      </c>
    </row>
    <row r="16219" spans="1:16" x14ac:dyDescent="0.25">
      <c r="A16219" t="s">
        <v>3296</v>
      </c>
      <c r="B16219" t="s">
        <v>2931</v>
      </c>
      <c r="C16219">
        <v>2947</v>
      </c>
      <c r="D16219" t="str">
        <f>"20746710    "</f>
        <v xml:space="preserve">20746710    </v>
      </c>
      <c r="E16219" t="s">
        <v>2828</v>
      </c>
      <c r="F16219" t="s">
        <v>2829</v>
      </c>
      <c r="G16219">
        <v>79.67</v>
      </c>
      <c r="H16219">
        <v>250228</v>
      </c>
      <c r="I16219">
        <v>4520</v>
      </c>
      <c r="J16219" t="s">
        <v>280</v>
      </c>
      <c r="K16219">
        <v>102.32</v>
      </c>
      <c r="L16219">
        <v>9.7799999999999994</v>
      </c>
      <c r="M16219">
        <v>44251</v>
      </c>
      <c r="N16219" t="s">
        <v>215</v>
      </c>
      <c r="O16219">
        <v>250313</v>
      </c>
      <c r="P16219">
        <v>69.89</v>
      </c>
    </row>
    <row r="16220" spans="1:16" x14ac:dyDescent="0.25">
      <c r="A16220" t="s">
        <v>3296</v>
      </c>
      <c r="B16220" t="s">
        <v>2931</v>
      </c>
      <c r="C16220">
        <v>3014</v>
      </c>
      <c r="D16220" t="str">
        <f>"20746706    "</f>
        <v xml:space="preserve">20746706    </v>
      </c>
      <c r="E16220" t="s">
        <v>2828</v>
      </c>
      <c r="F16220" t="s">
        <v>2829</v>
      </c>
      <c r="G16220">
        <v>97.55</v>
      </c>
      <c r="H16220">
        <v>250228</v>
      </c>
      <c r="I16220">
        <v>4520</v>
      </c>
      <c r="J16220" t="s">
        <v>280</v>
      </c>
      <c r="K16220">
        <v>97.55</v>
      </c>
      <c r="L16220">
        <v>11.98</v>
      </c>
      <c r="M16220">
        <v>54422</v>
      </c>
      <c r="N16220" t="s">
        <v>49</v>
      </c>
      <c r="O16220">
        <v>250314</v>
      </c>
      <c r="P16220">
        <v>85.57</v>
      </c>
    </row>
    <row r="16221" spans="1:16" x14ac:dyDescent="0.25">
      <c r="A16221" t="s">
        <v>3296</v>
      </c>
      <c r="B16221" t="s">
        <v>2931</v>
      </c>
      <c r="C16221">
        <v>3028</v>
      </c>
      <c r="D16221" t="str">
        <f>"20746715    "</f>
        <v xml:space="preserve">20746715    </v>
      </c>
      <c r="E16221" t="s">
        <v>2828</v>
      </c>
      <c r="F16221" t="s">
        <v>2829</v>
      </c>
      <c r="G16221">
        <v>99.83</v>
      </c>
      <c r="H16221">
        <v>250228</v>
      </c>
      <c r="I16221">
        <v>4520</v>
      </c>
      <c r="J16221" t="s">
        <v>280</v>
      </c>
      <c r="K16221">
        <v>126.97</v>
      </c>
      <c r="L16221">
        <v>12.26</v>
      </c>
      <c r="M16221">
        <v>69112</v>
      </c>
      <c r="N16221" t="s">
        <v>227</v>
      </c>
      <c r="O16221">
        <v>250314</v>
      </c>
      <c r="P16221">
        <v>87.57</v>
      </c>
    </row>
    <row r="16222" spans="1:16" x14ac:dyDescent="0.25">
      <c r="A16222" t="s">
        <v>3296</v>
      </c>
      <c r="B16222" t="s">
        <v>2931</v>
      </c>
      <c r="C16222">
        <v>3028</v>
      </c>
      <c r="D16222" t="str">
        <f>"20746715    "</f>
        <v xml:space="preserve">20746715    </v>
      </c>
      <c r="E16222" t="s">
        <v>2828</v>
      </c>
      <c r="F16222" t="s">
        <v>2829</v>
      </c>
      <c r="G16222">
        <v>5.55</v>
      </c>
      <c r="H16222">
        <v>250228</v>
      </c>
      <c r="I16222">
        <v>4520</v>
      </c>
      <c r="J16222" t="s">
        <v>280</v>
      </c>
      <c r="K16222">
        <v>126.97</v>
      </c>
      <c r="L16222">
        <v>0.68</v>
      </c>
      <c r="M16222">
        <v>69810</v>
      </c>
      <c r="N16222" t="s">
        <v>229</v>
      </c>
      <c r="O16222">
        <v>250314</v>
      </c>
      <c r="P16222">
        <v>4.87</v>
      </c>
    </row>
    <row r="16223" spans="1:16" x14ac:dyDescent="0.25">
      <c r="A16223" t="s">
        <v>3296</v>
      </c>
      <c r="B16223" t="s">
        <v>2931</v>
      </c>
      <c r="C16223">
        <v>3028</v>
      </c>
      <c r="D16223" t="str">
        <f>"20746715    "</f>
        <v xml:space="preserve">20746715    </v>
      </c>
      <c r="E16223" t="s">
        <v>2828</v>
      </c>
      <c r="F16223" t="s">
        <v>2829</v>
      </c>
      <c r="G16223">
        <v>5.54</v>
      </c>
      <c r="H16223">
        <v>250228</v>
      </c>
      <c r="I16223">
        <v>4520</v>
      </c>
      <c r="J16223" t="s">
        <v>280</v>
      </c>
      <c r="K16223">
        <v>126.97</v>
      </c>
      <c r="L16223">
        <v>0.68</v>
      </c>
      <c r="M16223">
        <v>69811</v>
      </c>
      <c r="N16223" t="s">
        <v>230</v>
      </c>
      <c r="O16223">
        <v>250314</v>
      </c>
      <c r="P16223">
        <v>4.8600000000000003</v>
      </c>
    </row>
    <row r="16224" spans="1:16" x14ac:dyDescent="0.25">
      <c r="A16224" t="s">
        <v>3296</v>
      </c>
      <c r="B16224" t="s">
        <v>2931</v>
      </c>
      <c r="C16224">
        <v>3031</v>
      </c>
      <c r="D16224" t="str">
        <f>"20746718    "</f>
        <v xml:space="preserve">20746718    </v>
      </c>
      <c r="E16224" t="s">
        <v>2828</v>
      </c>
      <c r="F16224" t="s">
        <v>2829</v>
      </c>
      <c r="G16224">
        <v>24.55</v>
      </c>
      <c r="H16224">
        <v>250228</v>
      </c>
      <c r="I16224">
        <v>4520</v>
      </c>
      <c r="J16224" t="s">
        <v>280</v>
      </c>
      <c r="K16224">
        <v>307.87</v>
      </c>
      <c r="L16224">
        <v>3.01</v>
      </c>
      <c r="M16224">
        <v>17131</v>
      </c>
      <c r="N16224" t="s">
        <v>154</v>
      </c>
      <c r="O16224">
        <v>250314</v>
      </c>
      <c r="P16224">
        <v>21.54</v>
      </c>
    </row>
    <row r="16225" spans="1:16" x14ac:dyDescent="0.25">
      <c r="A16225" t="s">
        <v>3296</v>
      </c>
      <c r="B16225" t="s">
        <v>2931</v>
      </c>
      <c r="C16225">
        <v>3031</v>
      </c>
      <c r="D16225" t="str">
        <f>"20746718    "</f>
        <v xml:space="preserve">20746718    </v>
      </c>
      <c r="E16225" t="s">
        <v>2828</v>
      </c>
      <c r="F16225" t="s">
        <v>2829</v>
      </c>
      <c r="G16225">
        <v>104.49</v>
      </c>
      <c r="H16225">
        <v>250228</v>
      </c>
      <c r="I16225">
        <v>4520</v>
      </c>
      <c r="J16225" t="s">
        <v>280</v>
      </c>
      <c r="K16225">
        <v>307.87</v>
      </c>
      <c r="L16225">
        <v>12.83</v>
      </c>
      <c r="M16225">
        <v>17912</v>
      </c>
      <c r="N16225" t="s">
        <v>505</v>
      </c>
      <c r="O16225">
        <v>250314</v>
      </c>
      <c r="P16225">
        <v>91.66</v>
      </c>
    </row>
    <row r="16226" spans="1:16" x14ac:dyDescent="0.25">
      <c r="A16226" t="s">
        <v>3296</v>
      </c>
      <c r="B16226" t="s">
        <v>2931</v>
      </c>
      <c r="C16226">
        <v>3031</v>
      </c>
      <c r="D16226" t="str">
        <f>"20746718    "</f>
        <v xml:space="preserve">20746718    </v>
      </c>
      <c r="E16226" t="s">
        <v>2828</v>
      </c>
      <c r="F16226" t="s">
        <v>2829</v>
      </c>
      <c r="G16226">
        <v>48.51</v>
      </c>
      <c r="H16226">
        <v>250228</v>
      </c>
      <c r="I16226">
        <v>4520</v>
      </c>
      <c r="J16226" t="s">
        <v>280</v>
      </c>
      <c r="K16226">
        <v>307.87</v>
      </c>
      <c r="L16226">
        <v>5.96</v>
      </c>
      <c r="M16226">
        <v>17971</v>
      </c>
      <c r="N16226" t="s">
        <v>27</v>
      </c>
      <c r="O16226">
        <v>250314</v>
      </c>
      <c r="P16226">
        <v>42.55</v>
      </c>
    </row>
    <row r="16227" spans="1:16" x14ac:dyDescent="0.25">
      <c r="A16227" t="s">
        <v>3296</v>
      </c>
      <c r="B16227" t="s">
        <v>2931</v>
      </c>
      <c r="C16227">
        <v>3360</v>
      </c>
      <c r="D16227" t="str">
        <f>"20746716    "</f>
        <v xml:space="preserve">20746716    </v>
      </c>
      <c r="E16227" t="s">
        <v>2828</v>
      </c>
      <c r="F16227" t="s">
        <v>2829</v>
      </c>
      <c r="G16227">
        <v>13.52</v>
      </c>
      <c r="H16227">
        <v>250228</v>
      </c>
      <c r="I16227">
        <v>4520</v>
      </c>
      <c r="J16227" t="s">
        <v>280</v>
      </c>
      <c r="K16227">
        <v>164.24</v>
      </c>
      <c r="L16227">
        <v>1.66</v>
      </c>
      <c r="M16227">
        <v>54251</v>
      </c>
      <c r="N16227" t="s">
        <v>485</v>
      </c>
      <c r="O16227">
        <v>250319</v>
      </c>
      <c r="P16227">
        <v>11.86</v>
      </c>
    </row>
    <row r="16228" spans="1:16" x14ac:dyDescent="0.25">
      <c r="A16228" t="s">
        <v>3296</v>
      </c>
      <c r="B16228" t="s">
        <v>2931</v>
      </c>
      <c r="C16228">
        <v>3360</v>
      </c>
      <c r="D16228" t="str">
        <f>"20746716    "</f>
        <v xml:space="preserve">20746716    </v>
      </c>
      <c r="E16228" t="s">
        <v>2828</v>
      </c>
      <c r="F16228" t="s">
        <v>2829</v>
      </c>
      <c r="G16228">
        <v>81.67</v>
      </c>
      <c r="H16228">
        <v>250228</v>
      </c>
      <c r="I16228">
        <v>4520</v>
      </c>
      <c r="J16228" t="s">
        <v>280</v>
      </c>
      <c r="K16228">
        <v>164.24</v>
      </c>
      <c r="L16228">
        <v>10.029999999999999</v>
      </c>
      <c r="M16228">
        <v>59111</v>
      </c>
      <c r="N16228" t="s">
        <v>60</v>
      </c>
      <c r="O16228">
        <v>250319</v>
      </c>
      <c r="P16228">
        <v>71.64</v>
      </c>
    </row>
    <row r="16229" spans="1:16" x14ac:dyDescent="0.25">
      <c r="A16229" t="s">
        <v>3296</v>
      </c>
      <c r="B16229" t="s">
        <v>2931</v>
      </c>
      <c r="C16229">
        <v>4623</v>
      </c>
      <c r="D16229" t="str">
        <f>"20790038    "</f>
        <v xml:space="preserve">20790038    </v>
      </c>
      <c r="E16229" t="s">
        <v>2828</v>
      </c>
      <c r="F16229" t="s">
        <v>2829</v>
      </c>
      <c r="G16229">
        <v>57.96</v>
      </c>
      <c r="H16229">
        <v>250331</v>
      </c>
      <c r="I16229">
        <v>4520</v>
      </c>
      <c r="J16229" t="s">
        <v>280</v>
      </c>
      <c r="K16229">
        <v>62.22</v>
      </c>
      <c r="L16229">
        <v>7.12</v>
      </c>
      <c r="M16229">
        <v>54451</v>
      </c>
      <c r="N16229" t="s">
        <v>218</v>
      </c>
      <c r="O16229">
        <v>250414</v>
      </c>
      <c r="P16229">
        <v>50.84</v>
      </c>
    </row>
    <row r="16230" spans="1:16" x14ac:dyDescent="0.25">
      <c r="A16230" t="s">
        <v>3296</v>
      </c>
      <c r="B16230" t="s">
        <v>2931</v>
      </c>
      <c r="C16230">
        <v>4631</v>
      </c>
      <c r="D16230" t="str">
        <f>"20790025    "</f>
        <v xml:space="preserve">20790025    </v>
      </c>
      <c r="E16230" t="s">
        <v>2828</v>
      </c>
      <c r="F16230" t="s">
        <v>2829</v>
      </c>
      <c r="G16230">
        <v>7.25</v>
      </c>
      <c r="H16230">
        <v>250331</v>
      </c>
      <c r="I16230">
        <v>4520</v>
      </c>
      <c r="J16230" t="s">
        <v>280</v>
      </c>
      <c r="K16230">
        <v>251.54</v>
      </c>
      <c r="L16230">
        <v>1.47</v>
      </c>
      <c r="M16230">
        <v>16431</v>
      </c>
      <c r="N16230" t="s">
        <v>17</v>
      </c>
      <c r="O16230">
        <v>250414</v>
      </c>
      <c r="P16230">
        <v>5.78</v>
      </c>
    </row>
    <row r="16231" spans="1:16" x14ac:dyDescent="0.25">
      <c r="A16231" t="s">
        <v>3296</v>
      </c>
      <c r="B16231" t="s">
        <v>2931</v>
      </c>
      <c r="C16231">
        <v>4631</v>
      </c>
      <c r="D16231" t="str">
        <f>"20790025    "</f>
        <v xml:space="preserve">20790025    </v>
      </c>
      <c r="E16231" t="s">
        <v>2828</v>
      </c>
      <c r="F16231" t="s">
        <v>2829</v>
      </c>
      <c r="G16231">
        <v>148.97999999999999</v>
      </c>
      <c r="H16231">
        <v>250331</v>
      </c>
      <c r="I16231">
        <v>4520</v>
      </c>
      <c r="J16231" t="s">
        <v>280</v>
      </c>
      <c r="K16231">
        <v>251.54</v>
      </c>
      <c r="L16231">
        <v>18.3</v>
      </c>
      <c r="M16231">
        <v>16431</v>
      </c>
      <c r="N16231" t="s">
        <v>17</v>
      </c>
      <c r="O16231">
        <v>250414</v>
      </c>
      <c r="P16231">
        <v>130.68</v>
      </c>
    </row>
    <row r="16232" spans="1:16" x14ac:dyDescent="0.25">
      <c r="A16232" t="s">
        <v>3296</v>
      </c>
      <c r="B16232" t="s">
        <v>2931</v>
      </c>
      <c r="C16232">
        <v>4631</v>
      </c>
      <c r="D16232" t="str">
        <f>"20790025    "</f>
        <v xml:space="preserve">20790025    </v>
      </c>
      <c r="E16232" t="s">
        <v>2828</v>
      </c>
      <c r="F16232" t="s">
        <v>2829</v>
      </c>
      <c r="G16232">
        <v>43.2</v>
      </c>
      <c r="H16232">
        <v>250331</v>
      </c>
      <c r="I16232">
        <v>4520</v>
      </c>
      <c r="J16232" t="s">
        <v>280</v>
      </c>
      <c r="K16232">
        <v>251.54</v>
      </c>
      <c r="L16232">
        <v>5.31</v>
      </c>
      <c r="M16232">
        <v>16442</v>
      </c>
      <c r="N16232" t="s">
        <v>304</v>
      </c>
      <c r="O16232">
        <v>250414</v>
      </c>
      <c r="P16232">
        <v>37.89</v>
      </c>
    </row>
    <row r="16233" spans="1:16" x14ac:dyDescent="0.25">
      <c r="A16233" t="s">
        <v>3296</v>
      </c>
      <c r="B16233" t="s">
        <v>2931</v>
      </c>
      <c r="C16233">
        <v>4631</v>
      </c>
      <c r="D16233" t="str">
        <f>"20790025    "</f>
        <v xml:space="preserve">20790025    </v>
      </c>
      <c r="E16233" t="s">
        <v>2828</v>
      </c>
      <c r="F16233" t="s">
        <v>2829</v>
      </c>
      <c r="G16233">
        <v>52.11</v>
      </c>
      <c r="H16233">
        <v>250331</v>
      </c>
      <c r="I16233">
        <v>4520</v>
      </c>
      <c r="J16233" t="s">
        <v>280</v>
      </c>
      <c r="K16233">
        <v>251.54</v>
      </c>
      <c r="L16233">
        <v>6.4</v>
      </c>
      <c r="M16233">
        <v>17913</v>
      </c>
      <c r="N16233" t="s">
        <v>26</v>
      </c>
      <c r="O16233">
        <v>250414</v>
      </c>
      <c r="P16233">
        <v>45.71</v>
      </c>
    </row>
    <row r="16234" spans="1:16" x14ac:dyDescent="0.25">
      <c r="A16234" t="s">
        <v>3296</v>
      </c>
      <c r="B16234" t="s">
        <v>2931</v>
      </c>
      <c r="C16234">
        <v>4682</v>
      </c>
      <c r="D16234" t="str">
        <f>"20790030    "</f>
        <v xml:space="preserve">20790030    </v>
      </c>
      <c r="E16234" t="s">
        <v>2828</v>
      </c>
      <c r="F16234" t="s">
        <v>2829</v>
      </c>
      <c r="G16234">
        <v>4.29</v>
      </c>
      <c r="H16234">
        <v>250331</v>
      </c>
      <c r="I16234">
        <v>4520</v>
      </c>
      <c r="J16234" t="s">
        <v>280</v>
      </c>
      <c r="K16234">
        <v>378.31</v>
      </c>
      <c r="L16234">
        <v>0.53</v>
      </c>
      <c r="M16234">
        <v>13501</v>
      </c>
      <c r="N16234" t="s">
        <v>66</v>
      </c>
      <c r="O16234">
        <v>250414</v>
      </c>
      <c r="P16234">
        <v>3.76</v>
      </c>
    </row>
    <row r="16235" spans="1:16" x14ac:dyDescent="0.25">
      <c r="A16235" t="s">
        <v>3296</v>
      </c>
      <c r="B16235" t="s">
        <v>2931</v>
      </c>
      <c r="C16235">
        <v>4682</v>
      </c>
      <c r="D16235" t="str">
        <f>"20790030    "</f>
        <v xml:space="preserve">20790030    </v>
      </c>
      <c r="E16235" t="s">
        <v>2828</v>
      </c>
      <c r="F16235" t="s">
        <v>2829</v>
      </c>
      <c r="G16235">
        <v>7.38</v>
      </c>
      <c r="H16235">
        <v>250331</v>
      </c>
      <c r="I16235">
        <v>4520</v>
      </c>
      <c r="J16235" t="s">
        <v>280</v>
      </c>
      <c r="K16235">
        <v>378.31</v>
      </c>
      <c r="L16235">
        <v>0.91</v>
      </c>
      <c r="M16235">
        <v>16121</v>
      </c>
      <c r="N16235" t="s">
        <v>127</v>
      </c>
      <c r="O16235">
        <v>250414</v>
      </c>
      <c r="P16235">
        <v>6.47</v>
      </c>
    </row>
    <row r="16236" spans="1:16" x14ac:dyDescent="0.25">
      <c r="A16236" t="s">
        <v>3296</v>
      </c>
      <c r="B16236" t="s">
        <v>2931</v>
      </c>
      <c r="C16236">
        <v>4682</v>
      </c>
      <c r="D16236" t="str">
        <f>"20790030    "</f>
        <v xml:space="preserve">20790030    </v>
      </c>
      <c r="E16236" t="s">
        <v>2828</v>
      </c>
      <c r="F16236" t="s">
        <v>2829</v>
      </c>
      <c r="G16236">
        <v>27.74</v>
      </c>
      <c r="H16236">
        <v>250331</v>
      </c>
      <c r="I16236">
        <v>4520</v>
      </c>
      <c r="J16236" t="s">
        <v>280</v>
      </c>
      <c r="K16236">
        <v>378.31</v>
      </c>
      <c r="L16236">
        <v>5.64</v>
      </c>
      <c r="M16236">
        <v>16121</v>
      </c>
      <c r="N16236" t="s">
        <v>127</v>
      </c>
      <c r="O16236">
        <v>250414</v>
      </c>
      <c r="P16236">
        <v>22.1</v>
      </c>
    </row>
    <row r="16237" spans="1:16" x14ac:dyDescent="0.25">
      <c r="A16237" t="s">
        <v>3296</v>
      </c>
      <c r="B16237" t="s">
        <v>2931</v>
      </c>
      <c r="C16237">
        <v>4692</v>
      </c>
      <c r="D16237" t="str">
        <f>"20790037    "</f>
        <v xml:space="preserve">20790037    </v>
      </c>
      <c r="E16237" t="s">
        <v>2828</v>
      </c>
      <c r="F16237" t="s">
        <v>2829</v>
      </c>
      <c r="G16237">
        <v>185.19</v>
      </c>
      <c r="H16237">
        <v>250331</v>
      </c>
      <c r="I16237">
        <v>4520</v>
      </c>
      <c r="J16237" t="s">
        <v>280</v>
      </c>
      <c r="K16237">
        <v>224.34</v>
      </c>
      <c r="L16237">
        <v>22.74</v>
      </c>
      <c r="M16237">
        <v>44253</v>
      </c>
      <c r="N16237" t="s">
        <v>403</v>
      </c>
      <c r="O16237">
        <v>250414</v>
      </c>
      <c r="P16237">
        <v>162.44999999999999</v>
      </c>
    </row>
    <row r="16238" spans="1:16" x14ac:dyDescent="0.25">
      <c r="A16238" t="s">
        <v>3296</v>
      </c>
      <c r="B16238" t="s">
        <v>2931</v>
      </c>
      <c r="C16238">
        <v>4693</v>
      </c>
      <c r="D16238" t="str">
        <f>"20790027    "</f>
        <v xml:space="preserve">20790027    </v>
      </c>
      <c r="E16238" t="s">
        <v>2828</v>
      </c>
      <c r="F16238" t="s">
        <v>2829</v>
      </c>
      <c r="G16238">
        <v>128.41999999999999</v>
      </c>
      <c r="H16238">
        <v>250331</v>
      </c>
      <c r="I16238">
        <v>4520</v>
      </c>
      <c r="J16238" t="s">
        <v>280</v>
      </c>
      <c r="K16238">
        <v>230.62</v>
      </c>
      <c r="L16238">
        <v>15.77</v>
      </c>
      <c r="M16238">
        <v>67522</v>
      </c>
      <c r="N16238" t="s">
        <v>121</v>
      </c>
      <c r="O16238">
        <v>250414</v>
      </c>
      <c r="P16238">
        <v>112.65</v>
      </c>
    </row>
    <row r="16239" spans="1:16" x14ac:dyDescent="0.25">
      <c r="A16239" t="s">
        <v>3296</v>
      </c>
      <c r="B16239" t="s">
        <v>2931</v>
      </c>
      <c r="C16239">
        <v>4695</v>
      </c>
      <c r="D16239" t="str">
        <f>"20790039    "</f>
        <v xml:space="preserve">20790039    </v>
      </c>
      <c r="E16239" t="s">
        <v>2828</v>
      </c>
      <c r="F16239" t="s">
        <v>2829</v>
      </c>
      <c r="G16239">
        <v>79.81</v>
      </c>
      <c r="H16239">
        <v>250331</v>
      </c>
      <c r="I16239">
        <v>4520</v>
      </c>
      <c r="J16239" t="s">
        <v>280</v>
      </c>
      <c r="K16239">
        <v>81.77</v>
      </c>
      <c r="L16239">
        <v>9.8000000000000007</v>
      </c>
      <c r="M16239">
        <v>14990</v>
      </c>
      <c r="N16239" t="s">
        <v>85</v>
      </c>
      <c r="O16239">
        <v>250414</v>
      </c>
      <c r="P16239">
        <v>70.010000000000005</v>
      </c>
    </row>
    <row r="16240" spans="1:16" x14ac:dyDescent="0.25">
      <c r="A16240" t="s">
        <v>3296</v>
      </c>
      <c r="B16240" t="s">
        <v>2931</v>
      </c>
      <c r="C16240">
        <v>4703</v>
      </c>
      <c r="D16240" t="str">
        <f>"20790024    "</f>
        <v xml:space="preserve">20790024    </v>
      </c>
      <c r="E16240" t="s">
        <v>2828</v>
      </c>
      <c r="F16240" t="s">
        <v>2829</v>
      </c>
      <c r="G16240">
        <v>14.06</v>
      </c>
      <c r="H16240">
        <v>250331</v>
      </c>
      <c r="I16240">
        <v>4520</v>
      </c>
      <c r="J16240" t="s">
        <v>280</v>
      </c>
      <c r="K16240">
        <v>62.71</v>
      </c>
      <c r="L16240">
        <v>2.86</v>
      </c>
      <c r="M16240">
        <v>16952</v>
      </c>
      <c r="N16240" t="s">
        <v>1348</v>
      </c>
      <c r="O16240">
        <v>250414</v>
      </c>
      <c r="P16240">
        <v>11.2</v>
      </c>
    </row>
    <row r="16241" spans="1:16" x14ac:dyDescent="0.25">
      <c r="A16241" t="s">
        <v>3296</v>
      </c>
      <c r="B16241" t="s">
        <v>2931</v>
      </c>
      <c r="C16241">
        <v>4703</v>
      </c>
      <c r="D16241" t="str">
        <f>"20790024    "</f>
        <v xml:space="preserve">20790024    </v>
      </c>
      <c r="E16241" t="s">
        <v>2828</v>
      </c>
      <c r="F16241" t="s">
        <v>2829</v>
      </c>
      <c r="G16241">
        <v>48.65</v>
      </c>
      <c r="H16241">
        <v>250331</v>
      </c>
      <c r="I16241">
        <v>4520</v>
      </c>
      <c r="J16241" t="s">
        <v>280</v>
      </c>
      <c r="K16241">
        <v>62.71</v>
      </c>
      <c r="L16241">
        <v>5.97</v>
      </c>
      <c r="M16241">
        <v>16952</v>
      </c>
      <c r="N16241" t="s">
        <v>1348</v>
      </c>
      <c r="O16241">
        <v>250414</v>
      </c>
      <c r="P16241">
        <v>42.68</v>
      </c>
    </row>
    <row r="16242" spans="1:16" x14ac:dyDescent="0.25">
      <c r="A16242" t="s">
        <v>3296</v>
      </c>
      <c r="B16242" t="s">
        <v>2931</v>
      </c>
      <c r="C16242">
        <v>4708</v>
      </c>
      <c r="D16242" t="str">
        <f>"20790034    "</f>
        <v xml:space="preserve">20790034    </v>
      </c>
      <c r="E16242" t="s">
        <v>2828</v>
      </c>
      <c r="F16242" t="s">
        <v>2829</v>
      </c>
      <c r="G16242">
        <v>110.37</v>
      </c>
      <c r="H16242">
        <v>250331</v>
      </c>
      <c r="I16242">
        <v>4520</v>
      </c>
      <c r="J16242" t="s">
        <v>280</v>
      </c>
      <c r="K16242">
        <v>135.62</v>
      </c>
      <c r="L16242">
        <v>13.55</v>
      </c>
      <c r="M16242">
        <v>59111</v>
      </c>
      <c r="N16242" t="s">
        <v>60</v>
      </c>
      <c r="O16242">
        <v>250414</v>
      </c>
      <c r="P16242">
        <v>96.82</v>
      </c>
    </row>
    <row r="16243" spans="1:16" x14ac:dyDescent="0.25">
      <c r="A16243" t="s">
        <v>3296</v>
      </c>
      <c r="B16243" t="s">
        <v>2931</v>
      </c>
      <c r="C16243">
        <v>4709</v>
      </c>
      <c r="D16243" t="str">
        <f>"20790033    "</f>
        <v xml:space="preserve">20790033    </v>
      </c>
      <c r="E16243" t="s">
        <v>2828</v>
      </c>
      <c r="F16243" t="s">
        <v>2829</v>
      </c>
      <c r="G16243">
        <v>35.42</v>
      </c>
      <c r="H16243">
        <v>250331</v>
      </c>
      <c r="I16243">
        <v>4520</v>
      </c>
      <c r="J16243" t="s">
        <v>280</v>
      </c>
      <c r="K16243">
        <v>202.62</v>
      </c>
      <c r="L16243">
        <v>4.3499999999999996</v>
      </c>
      <c r="M16243">
        <v>69810</v>
      </c>
      <c r="N16243" t="s">
        <v>229</v>
      </c>
      <c r="O16243">
        <v>250414</v>
      </c>
      <c r="P16243">
        <v>31.07</v>
      </c>
    </row>
    <row r="16244" spans="1:16" x14ac:dyDescent="0.25">
      <c r="A16244" t="s">
        <v>3296</v>
      </c>
      <c r="B16244" t="s">
        <v>2931</v>
      </c>
      <c r="C16244">
        <v>4709</v>
      </c>
      <c r="D16244" t="str">
        <f>"20790033    "</f>
        <v xml:space="preserve">20790033    </v>
      </c>
      <c r="E16244" t="s">
        <v>2828</v>
      </c>
      <c r="F16244" t="s">
        <v>2829</v>
      </c>
      <c r="G16244">
        <v>53.14</v>
      </c>
      <c r="H16244">
        <v>250331</v>
      </c>
      <c r="I16244">
        <v>4520</v>
      </c>
      <c r="J16244" t="s">
        <v>280</v>
      </c>
      <c r="K16244">
        <v>202.62</v>
      </c>
      <c r="L16244">
        <v>6.53</v>
      </c>
      <c r="M16244">
        <v>69811</v>
      </c>
      <c r="N16244" t="s">
        <v>230</v>
      </c>
      <c r="O16244">
        <v>250414</v>
      </c>
      <c r="P16244">
        <v>46.61</v>
      </c>
    </row>
    <row r="16245" spans="1:16" x14ac:dyDescent="0.25">
      <c r="A16245" t="s">
        <v>3296</v>
      </c>
      <c r="B16245" t="s">
        <v>2931</v>
      </c>
      <c r="C16245">
        <v>4712</v>
      </c>
      <c r="D16245" t="str">
        <f>"20790026    "</f>
        <v xml:space="preserve">20790026    </v>
      </c>
      <c r="E16245" t="s">
        <v>2828</v>
      </c>
      <c r="F16245" t="s">
        <v>2829</v>
      </c>
      <c r="G16245">
        <v>28.59</v>
      </c>
      <c r="H16245">
        <v>250331</v>
      </c>
      <c r="I16245">
        <v>4520</v>
      </c>
      <c r="J16245" t="s">
        <v>280</v>
      </c>
      <c r="K16245">
        <v>33.64</v>
      </c>
      <c r="L16245">
        <v>3.51</v>
      </c>
      <c r="M16245">
        <v>69113</v>
      </c>
      <c r="N16245" t="s">
        <v>122</v>
      </c>
      <c r="O16245">
        <v>250414</v>
      </c>
      <c r="P16245">
        <v>25.08</v>
      </c>
    </row>
    <row r="16246" spans="1:16" x14ac:dyDescent="0.25">
      <c r="A16246" t="s">
        <v>3296</v>
      </c>
      <c r="B16246" t="s">
        <v>2931</v>
      </c>
      <c r="C16246">
        <v>4712</v>
      </c>
      <c r="D16246" t="str">
        <f>"20790026    "</f>
        <v xml:space="preserve">20790026    </v>
      </c>
      <c r="E16246" t="s">
        <v>2828</v>
      </c>
      <c r="F16246" t="s">
        <v>2829</v>
      </c>
      <c r="G16246">
        <v>3.36</v>
      </c>
      <c r="H16246">
        <v>250331</v>
      </c>
      <c r="I16246">
        <v>4520</v>
      </c>
      <c r="J16246" t="s">
        <v>280</v>
      </c>
      <c r="K16246">
        <v>33.64</v>
      </c>
      <c r="L16246">
        <v>0.41</v>
      </c>
      <c r="M16246">
        <v>69802</v>
      </c>
      <c r="N16246" t="s">
        <v>375</v>
      </c>
      <c r="O16246">
        <v>250414</v>
      </c>
      <c r="P16246">
        <v>2.95</v>
      </c>
    </row>
    <row r="16247" spans="1:16" x14ac:dyDescent="0.25">
      <c r="A16247" t="s">
        <v>3296</v>
      </c>
      <c r="B16247" t="s">
        <v>2931</v>
      </c>
      <c r="C16247">
        <v>4712</v>
      </c>
      <c r="D16247" t="str">
        <f>"20790026    "</f>
        <v xml:space="preserve">20790026    </v>
      </c>
      <c r="E16247" t="s">
        <v>2828</v>
      </c>
      <c r="F16247" t="s">
        <v>2829</v>
      </c>
      <c r="G16247">
        <v>1.69</v>
      </c>
      <c r="H16247">
        <v>250331</v>
      </c>
      <c r="I16247">
        <v>4520</v>
      </c>
      <c r="J16247" t="s">
        <v>280</v>
      </c>
      <c r="K16247">
        <v>33.64</v>
      </c>
      <c r="L16247">
        <v>0.21</v>
      </c>
      <c r="M16247">
        <v>69804</v>
      </c>
      <c r="N16247" t="s">
        <v>376</v>
      </c>
      <c r="O16247">
        <v>250414</v>
      </c>
      <c r="P16247">
        <v>1.48</v>
      </c>
    </row>
    <row r="16248" spans="1:16" x14ac:dyDescent="0.25">
      <c r="A16248" t="s">
        <v>3296</v>
      </c>
      <c r="B16248" t="s">
        <v>2931</v>
      </c>
      <c r="C16248">
        <v>6116</v>
      </c>
      <c r="D16248" t="str">
        <f>"20834360    "</f>
        <v xml:space="preserve">20834360    </v>
      </c>
      <c r="E16248" t="s">
        <v>2828</v>
      </c>
      <c r="F16248" t="s">
        <v>2829</v>
      </c>
      <c r="G16248">
        <v>11.57</v>
      </c>
      <c r="H16248">
        <v>250430</v>
      </c>
      <c r="I16248">
        <v>4520</v>
      </c>
      <c r="J16248" t="s">
        <v>280</v>
      </c>
      <c r="K16248">
        <v>161.77000000000001</v>
      </c>
      <c r="L16248">
        <v>2.35</v>
      </c>
      <c r="M16248">
        <v>13801</v>
      </c>
      <c r="N16248" t="s">
        <v>33</v>
      </c>
      <c r="O16248">
        <v>250509</v>
      </c>
      <c r="P16248">
        <v>9.2200000000000006</v>
      </c>
    </row>
    <row r="16249" spans="1:16" x14ac:dyDescent="0.25">
      <c r="A16249" t="s">
        <v>3296</v>
      </c>
      <c r="B16249" t="s">
        <v>2931</v>
      </c>
      <c r="C16249">
        <v>6116</v>
      </c>
      <c r="D16249" t="str">
        <f>"20834360    "</f>
        <v xml:space="preserve">20834360    </v>
      </c>
      <c r="E16249" t="s">
        <v>2828</v>
      </c>
      <c r="F16249" t="s">
        <v>2829</v>
      </c>
      <c r="G16249">
        <v>53.81</v>
      </c>
      <c r="H16249">
        <v>250430</v>
      </c>
      <c r="I16249">
        <v>4520</v>
      </c>
      <c r="J16249" t="s">
        <v>280</v>
      </c>
      <c r="K16249">
        <v>161.77000000000001</v>
      </c>
      <c r="L16249">
        <v>6.61</v>
      </c>
      <c r="M16249">
        <v>13801</v>
      </c>
      <c r="N16249" t="s">
        <v>33</v>
      </c>
      <c r="O16249">
        <v>250509</v>
      </c>
      <c r="P16249">
        <v>47.2</v>
      </c>
    </row>
    <row r="16250" spans="1:16" x14ac:dyDescent="0.25">
      <c r="A16250" t="s">
        <v>3296</v>
      </c>
      <c r="B16250" t="s">
        <v>2931</v>
      </c>
      <c r="C16250">
        <v>6116</v>
      </c>
      <c r="D16250" t="str">
        <f>"20834360    "</f>
        <v xml:space="preserve">20834360    </v>
      </c>
      <c r="E16250" t="s">
        <v>2828</v>
      </c>
      <c r="F16250" t="s">
        <v>2829</v>
      </c>
      <c r="G16250">
        <v>70.55</v>
      </c>
      <c r="H16250">
        <v>250430</v>
      </c>
      <c r="I16250">
        <v>4520</v>
      </c>
      <c r="J16250" t="s">
        <v>280</v>
      </c>
      <c r="K16250">
        <v>161.77000000000001</v>
      </c>
      <c r="L16250">
        <v>8.66</v>
      </c>
      <c r="M16250">
        <v>13801</v>
      </c>
      <c r="N16250" t="s">
        <v>33</v>
      </c>
      <c r="O16250">
        <v>250509</v>
      </c>
      <c r="P16250">
        <v>61.89</v>
      </c>
    </row>
    <row r="16251" spans="1:16" x14ac:dyDescent="0.25">
      <c r="A16251" t="s">
        <v>3296</v>
      </c>
      <c r="B16251" t="s">
        <v>2931</v>
      </c>
      <c r="C16251">
        <v>6117</v>
      </c>
      <c r="D16251" t="str">
        <f>"20834376    "</f>
        <v xml:space="preserve">20834376    </v>
      </c>
      <c r="E16251" t="s">
        <v>2828</v>
      </c>
      <c r="F16251" t="s">
        <v>2829</v>
      </c>
      <c r="G16251">
        <v>202.15</v>
      </c>
      <c r="H16251">
        <v>250430</v>
      </c>
      <c r="I16251">
        <v>4520</v>
      </c>
      <c r="J16251" t="s">
        <v>280</v>
      </c>
      <c r="K16251">
        <v>256.79000000000002</v>
      </c>
      <c r="L16251">
        <v>24.83</v>
      </c>
      <c r="M16251">
        <v>44253</v>
      </c>
      <c r="N16251" t="s">
        <v>403</v>
      </c>
      <c r="O16251">
        <v>250509</v>
      </c>
      <c r="P16251">
        <v>177.32</v>
      </c>
    </row>
    <row r="16252" spans="1:16" x14ac:dyDescent="0.25">
      <c r="A16252" t="s">
        <v>3296</v>
      </c>
      <c r="B16252" t="s">
        <v>2931</v>
      </c>
      <c r="C16252">
        <v>6117</v>
      </c>
      <c r="D16252" t="str">
        <f>"20834376    "</f>
        <v xml:space="preserve">20834376    </v>
      </c>
      <c r="E16252" t="s">
        <v>2828</v>
      </c>
      <c r="F16252" t="s">
        <v>2829</v>
      </c>
      <c r="G16252">
        <v>51.66</v>
      </c>
      <c r="H16252">
        <v>250430</v>
      </c>
      <c r="I16252">
        <v>4520</v>
      </c>
      <c r="J16252" t="s">
        <v>280</v>
      </c>
      <c r="K16252">
        <v>256.79000000000002</v>
      </c>
      <c r="L16252">
        <v>6.34</v>
      </c>
      <c r="M16252">
        <v>48601</v>
      </c>
      <c r="N16252" t="s">
        <v>107</v>
      </c>
      <c r="O16252">
        <v>250509</v>
      </c>
      <c r="P16252">
        <v>45.32</v>
      </c>
    </row>
    <row r="16253" spans="1:16" x14ac:dyDescent="0.25">
      <c r="A16253" t="s">
        <v>3296</v>
      </c>
      <c r="B16253" t="s">
        <v>2931</v>
      </c>
      <c r="C16253">
        <v>6122</v>
      </c>
      <c r="D16253" t="str">
        <f>"20834362    "</f>
        <v xml:space="preserve">20834362    </v>
      </c>
      <c r="E16253" t="s">
        <v>2828</v>
      </c>
      <c r="F16253" t="s">
        <v>2829</v>
      </c>
      <c r="G16253">
        <v>5.9</v>
      </c>
      <c r="H16253">
        <v>250430</v>
      </c>
      <c r="I16253">
        <v>4520</v>
      </c>
      <c r="J16253" t="s">
        <v>280</v>
      </c>
      <c r="K16253">
        <v>261.83</v>
      </c>
      <c r="L16253">
        <v>0.72</v>
      </c>
      <c r="M16253">
        <v>17131</v>
      </c>
      <c r="N16253" t="s">
        <v>154</v>
      </c>
      <c r="O16253">
        <v>250509</v>
      </c>
      <c r="P16253">
        <v>5.18</v>
      </c>
    </row>
    <row r="16254" spans="1:16" x14ac:dyDescent="0.25">
      <c r="A16254" t="s">
        <v>3296</v>
      </c>
      <c r="B16254" t="s">
        <v>2931</v>
      </c>
      <c r="C16254">
        <v>6122</v>
      </c>
      <c r="D16254" t="str">
        <f>"20834362    "</f>
        <v xml:space="preserve">20834362    </v>
      </c>
      <c r="E16254" t="s">
        <v>2828</v>
      </c>
      <c r="F16254" t="s">
        <v>2829</v>
      </c>
      <c r="G16254">
        <v>52.04</v>
      </c>
      <c r="H16254">
        <v>250430</v>
      </c>
      <c r="I16254">
        <v>4520</v>
      </c>
      <c r="J16254" t="s">
        <v>280</v>
      </c>
      <c r="K16254">
        <v>261.83</v>
      </c>
      <c r="L16254">
        <v>6.39</v>
      </c>
      <c r="M16254">
        <v>17131</v>
      </c>
      <c r="N16254" t="s">
        <v>154</v>
      </c>
      <c r="O16254">
        <v>250509</v>
      </c>
      <c r="P16254">
        <v>45.65</v>
      </c>
    </row>
    <row r="16255" spans="1:16" x14ac:dyDescent="0.25">
      <c r="A16255" t="s">
        <v>3296</v>
      </c>
      <c r="B16255" t="s">
        <v>2931</v>
      </c>
      <c r="C16255">
        <v>6122</v>
      </c>
      <c r="D16255" t="str">
        <f>"20834362    "</f>
        <v xml:space="preserve">20834362    </v>
      </c>
      <c r="E16255" t="s">
        <v>2828</v>
      </c>
      <c r="F16255" t="s">
        <v>2829</v>
      </c>
      <c r="G16255">
        <v>5.91</v>
      </c>
      <c r="H16255">
        <v>250430</v>
      </c>
      <c r="I16255">
        <v>4520</v>
      </c>
      <c r="J16255" t="s">
        <v>280</v>
      </c>
      <c r="K16255">
        <v>261.83</v>
      </c>
      <c r="L16255">
        <v>0.73</v>
      </c>
      <c r="M16255">
        <v>17131</v>
      </c>
      <c r="N16255" t="s">
        <v>154</v>
      </c>
      <c r="O16255">
        <v>250509</v>
      </c>
      <c r="P16255">
        <v>5.18</v>
      </c>
    </row>
    <row r="16256" spans="1:16" x14ac:dyDescent="0.25">
      <c r="A16256" t="s">
        <v>3296</v>
      </c>
      <c r="B16256" t="s">
        <v>2931</v>
      </c>
      <c r="C16256">
        <v>6122</v>
      </c>
      <c r="D16256" t="str">
        <f>"20834362    "</f>
        <v xml:space="preserve">20834362    </v>
      </c>
      <c r="E16256" t="s">
        <v>2828</v>
      </c>
      <c r="F16256" t="s">
        <v>2829</v>
      </c>
      <c r="G16256">
        <v>52.04</v>
      </c>
      <c r="H16256">
        <v>250430</v>
      </c>
      <c r="I16256">
        <v>4520</v>
      </c>
      <c r="J16256" t="s">
        <v>280</v>
      </c>
      <c r="K16256">
        <v>261.83</v>
      </c>
      <c r="L16256">
        <v>6.39</v>
      </c>
      <c r="M16256">
        <v>17131</v>
      </c>
      <c r="N16256" t="s">
        <v>154</v>
      </c>
      <c r="O16256">
        <v>250509</v>
      </c>
      <c r="P16256">
        <v>45.65</v>
      </c>
    </row>
    <row r="16257" spans="1:16" x14ac:dyDescent="0.25">
      <c r="A16257" t="s">
        <v>3296</v>
      </c>
      <c r="B16257" t="s">
        <v>2931</v>
      </c>
      <c r="C16257">
        <v>6122</v>
      </c>
      <c r="D16257" t="str">
        <f>"20834362    "</f>
        <v xml:space="preserve">20834362    </v>
      </c>
      <c r="E16257" t="s">
        <v>2828</v>
      </c>
      <c r="F16257" t="s">
        <v>2829</v>
      </c>
      <c r="G16257">
        <v>42.91</v>
      </c>
      <c r="H16257">
        <v>250430</v>
      </c>
      <c r="I16257">
        <v>4520</v>
      </c>
      <c r="J16257" t="s">
        <v>280</v>
      </c>
      <c r="K16257">
        <v>261.83</v>
      </c>
      <c r="L16257">
        <v>5.27</v>
      </c>
      <c r="M16257">
        <v>17912</v>
      </c>
      <c r="N16257" t="s">
        <v>505</v>
      </c>
      <c r="O16257">
        <v>250509</v>
      </c>
      <c r="P16257">
        <v>37.64</v>
      </c>
    </row>
    <row r="16258" spans="1:16" x14ac:dyDescent="0.25">
      <c r="A16258" t="s">
        <v>3296</v>
      </c>
      <c r="B16258" t="s">
        <v>2931</v>
      </c>
      <c r="C16258">
        <v>6124</v>
      </c>
      <c r="D16258" t="str">
        <f>"20834367    "</f>
        <v xml:space="preserve">20834367    </v>
      </c>
      <c r="E16258" t="s">
        <v>2828</v>
      </c>
      <c r="F16258" t="s">
        <v>2829</v>
      </c>
      <c r="G16258">
        <v>0.1</v>
      </c>
      <c r="H16258">
        <v>250430</v>
      </c>
      <c r="I16258">
        <v>4520</v>
      </c>
      <c r="J16258" t="s">
        <v>280</v>
      </c>
      <c r="K16258">
        <v>166.85</v>
      </c>
      <c r="L16258">
        <v>0.02</v>
      </c>
      <c r="M16258">
        <v>16431</v>
      </c>
      <c r="N16258" t="s">
        <v>17</v>
      </c>
      <c r="O16258">
        <v>250509</v>
      </c>
      <c r="P16258">
        <v>0.08</v>
      </c>
    </row>
    <row r="16259" spans="1:16" x14ac:dyDescent="0.25">
      <c r="A16259" t="s">
        <v>3296</v>
      </c>
      <c r="B16259" t="s">
        <v>2931</v>
      </c>
      <c r="C16259">
        <v>6124</v>
      </c>
      <c r="D16259" t="str">
        <f>"20834367    "</f>
        <v xml:space="preserve">20834367    </v>
      </c>
      <c r="E16259" t="s">
        <v>2828</v>
      </c>
      <c r="F16259" t="s">
        <v>2829</v>
      </c>
      <c r="G16259">
        <v>29.92</v>
      </c>
      <c r="H16259">
        <v>250430</v>
      </c>
      <c r="I16259">
        <v>4520</v>
      </c>
      <c r="J16259" t="s">
        <v>280</v>
      </c>
      <c r="K16259">
        <v>166.85</v>
      </c>
      <c r="L16259">
        <v>3.67</v>
      </c>
      <c r="M16259">
        <v>16431</v>
      </c>
      <c r="N16259" t="s">
        <v>17</v>
      </c>
      <c r="O16259">
        <v>250509</v>
      </c>
      <c r="P16259">
        <v>26.25</v>
      </c>
    </row>
    <row r="16260" spans="1:16" x14ac:dyDescent="0.25">
      <c r="A16260" t="s">
        <v>3296</v>
      </c>
      <c r="B16260" t="s">
        <v>2931</v>
      </c>
      <c r="C16260">
        <v>6124</v>
      </c>
      <c r="D16260" t="str">
        <f>"20834367    "</f>
        <v xml:space="preserve">20834367    </v>
      </c>
      <c r="E16260" t="s">
        <v>2828</v>
      </c>
      <c r="F16260" t="s">
        <v>2829</v>
      </c>
      <c r="G16260">
        <v>74.44</v>
      </c>
      <c r="H16260">
        <v>250430</v>
      </c>
      <c r="I16260">
        <v>4520</v>
      </c>
      <c r="J16260" t="s">
        <v>280</v>
      </c>
      <c r="K16260">
        <v>166.85</v>
      </c>
      <c r="L16260">
        <v>9.14</v>
      </c>
      <c r="M16260">
        <v>16441</v>
      </c>
      <c r="N16260" t="s">
        <v>1674</v>
      </c>
      <c r="O16260">
        <v>250509</v>
      </c>
      <c r="P16260">
        <v>65.3</v>
      </c>
    </row>
    <row r="16261" spans="1:16" x14ac:dyDescent="0.25">
      <c r="A16261" t="s">
        <v>3296</v>
      </c>
      <c r="B16261" t="s">
        <v>2931</v>
      </c>
      <c r="C16261">
        <v>6124</v>
      </c>
      <c r="D16261" t="str">
        <f>"20834367    "</f>
        <v xml:space="preserve">20834367    </v>
      </c>
      <c r="E16261" t="s">
        <v>2828</v>
      </c>
      <c r="F16261" t="s">
        <v>2829</v>
      </c>
      <c r="G16261">
        <v>45.7</v>
      </c>
      <c r="H16261">
        <v>250430</v>
      </c>
      <c r="I16261">
        <v>4520</v>
      </c>
      <c r="J16261" t="s">
        <v>280</v>
      </c>
      <c r="K16261">
        <v>166.85</v>
      </c>
      <c r="L16261">
        <v>5.61</v>
      </c>
      <c r="M16261">
        <v>16442</v>
      </c>
      <c r="N16261" t="s">
        <v>304</v>
      </c>
      <c r="O16261">
        <v>250509</v>
      </c>
      <c r="P16261">
        <v>40.090000000000003</v>
      </c>
    </row>
    <row r="16262" spans="1:16" x14ac:dyDescent="0.25">
      <c r="A16262" t="s">
        <v>3296</v>
      </c>
      <c r="B16262" t="s">
        <v>2931</v>
      </c>
      <c r="C16262">
        <v>6124</v>
      </c>
      <c r="D16262" t="str">
        <f>"20834367    "</f>
        <v xml:space="preserve">20834367    </v>
      </c>
      <c r="E16262" t="s">
        <v>2828</v>
      </c>
      <c r="F16262" t="s">
        <v>2829</v>
      </c>
      <c r="G16262">
        <v>16.690000000000001</v>
      </c>
      <c r="H16262">
        <v>250430</v>
      </c>
      <c r="I16262">
        <v>4520</v>
      </c>
      <c r="J16262" t="s">
        <v>280</v>
      </c>
      <c r="K16262">
        <v>166.85</v>
      </c>
      <c r="L16262">
        <v>2.0499999999999998</v>
      </c>
      <c r="M16262">
        <v>17982</v>
      </c>
      <c r="N16262" t="s">
        <v>281</v>
      </c>
      <c r="O16262">
        <v>250509</v>
      </c>
      <c r="P16262">
        <v>14.64</v>
      </c>
    </row>
    <row r="16263" spans="1:16" x14ac:dyDescent="0.25">
      <c r="A16263" t="s">
        <v>3296</v>
      </c>
      <c r="B16263" t="s">
        <v>2931</v>
      </c>
      <c r="C16263">
        <v>6127</v>
      </c>
      <c r="D16263" t="str">
        <f>"20834361    "</f>
        <v xml:space="preserve">20834361    </v>
      </c>
      <c r="E16263" t="s">
        <v>2828</v>
      </c>
      <c r="F16263" t="s">
        <v>2829</v>
      </c>
      <c r="G16263">
        <v>55.85</v>
      </c>
      <c r="H16263">
        <v>250430</v>
      </c>
      <c r="I16263">
        <v>4520</v>
      </c>
      <c r="J16263" t="s">
        <v>280</v>
      </c>
      <c r="K16263">
        <v>72.88</v>
      </c>
      <c r="L16263">
        <v>6.86</v>
      </c>
      <c r="M16263">
        <v>54451</v>
      </c>
      <c r="N16263" t="s">
        <v>218</v>
      </c>
      <c r="O16263">
        <v>250509</v>
      </c>
      <c r="P16263">
        <v>48.99</v>
      </c>
    </row>
    <row r="16264" spans="1:16" x14ac:dyDescent="0.25">
      <c r="A16264" t="s">
        <v>3296</v>
      </c>
      <c r="B16264" t="s">
        <v>2931</v>
      </c>
      <c r="C16264">
        <v>6131</v>
      </c>
      <c r="D16264" t="str">
        <f>"20834368    "</f>
        <v xml:space="preserve">20834368    </v>
      </c>
      <c r="E16264" t="s">
        <v>2828</v>
      </c>
      <c r="F16264" t="s">
        <v>2829</v>
      </c>
      <c r="G16264">
        <v>34.35</v>
      </c>
      <c r="H16264">
        <v>250430</v>
      </c>
      <c r="I16264">
        <v>4520</v>
      </c>
      <c r="J16264" t="s">
        <v>280</v>
      </c>
      <c r="K16264">
        <v>39.49</v>
      </c>
      <c r="L16264">
        <v>4.22</v>
      </c>
      <c r="M16264">
        <v>48601</v>
      </c>
      <c r="N16264" t="s">
        <v>107</v>
      </c>
      <c r="O16264">
        <v>250509</v>
      </c>
      <c r="P16264">
        <v>30.13</v>
      </c>
    </row>
    <row r="16265" spans="1:16" x14ac:dyDescent="0.25">
      <c r="A16265" t="s">
        <v>3296</v>
      </c>
      <c r="B16265" t="s">
        <v>2931</v>
      </c>
      <c r="C16265">
        <v>6137</v>
      </c>
      <c r="D16265" t="str">
        <f>"20834365    "</f>
        <v xml:space="preserve">20834365    </v>
      </c>
      <c r="E16265" t="s">
        <v>2828</v>
      </c>
      <c r="F16265" t="s">
        <v>2829</v>
      </c>
      <c r="G16265">
        <v>30.91</v>
      </c>
      <c r="H16265">
        <v>250430</v>
      </c>
      <c r="I16265">
        <v>4520</v>
      </c>
      <c r="J16265" t="s">
        <v>280</v>
      </c>
      <c r="K16265">
        <v>36.36</v>
      </c>
      <c r="L16265">
        <v>3.8</v>
      </c>
      <c r="M16265">
        <v>69113</v>
      </c>
      <c r="N16265" t="s">
        <v>122</v>
      </c>
      <c r="O16265">
        <v>250509</v>
      </c>
      <c r="P16265">
        <v>27.11</v>
      </c>
    </row>
    <row r="16266" spans="1:16" x14ac:dyDescent="0.25">
      <c r="A16266" t="s">
        <v>3296</v>
      </c>
      <c r="B16266" t="s">
        <v>2931</v>
      </c>
      <c r="C16266">
        <v>6137</v>
      </c>
      <c r="D16266" t="str">
        <f>"20834365    "</f>
        <v xml:space="preserve">20834365    </v>
      </c>
      <c r="E16266" t="s">
        <v>2828</v>
      </c>
      <c r="F16266" t="s">
        <v>2829</v>
      </c>
      <c r="G16266">
        <v>3.64</v>
      </c>
      <c r="H16266">
        <v>250430</v>
      </c>
      <c r="I16266">
        <v>4520</v>
      </c>
      <c r="J16266" t="s">
        <v>280</v>
      </c>
      <c r="K16266">
        <v>36.36</v>
      </c>
      <c r="L16266">
        <v>0.45</v>
      </c>
      <c r="M16266">
        <v>69802</v>
      </c>
      <c r="N16266" t="s">
        <v>375</v>
      </c>
      <c r="O16266">
        <v>250509</v>
      </c>
      <c r="P16266">
        <v>3.19</v>
      </c>
    </row>
    <row r="16267" spans="1:16" x14ac:dyDescent="0.25">
      <c r="A16267" t="s">
        <v>3296</v>
      </c>
      <c r="B16267" t="s">
        <v>2931</v>
      </c>
      <c r="C16267">
        <v>6137</v>
      </c>
      <c r="D16267" t="str">
        <f>"20834365    "</f>
        <v xml:space="preserve">20834365    </v>
      </c>
      <c r="E16267" t="s">
        <v>2828</v>
      </c>
      <c r="F16267" t="s">
        <v>2829</v>
      </c>
      <c r="G16267">
        <v>1.81</v>
      </c>
      <c r="H16267">
        <v>250430</v>
      </c>
      <c r="I16267">
        <v>4520</v>
      </c>
      <c r="J16267" t="s">
        <v>280</v>
      </c>
      <c r="K16267">
        <v>36.36</v>
      </c>
      <c r="L16267">
        <v>0.22</v>
      </c>
      <c r="M16267">
        <v>69804</v>
      </c>
      <c r="N16267" t="s">
        <v>376</v>
      </c>
      <c r="O16267">
        <v>250509</v>
      </c>
      <c r="P16267">
        <v>1.59</v>
      </c>
    </row>
    <row r="16268" spans="1:16" x14ac:dyDescent="0.25">
      <c r="A16268" t="s">
        <v>3296</v>
      </c>
      <c r="B16268" t="s">
        <v>2931</v>
      </c>
      <c r="C16268">
        <v>6139</v>
      </c>
      <c r="D16268" t="str">
        <f>"20834366    "</f>
        <v xml:space="preserve">20834366    </v>
      </c>
      <c r="E16268" t="s">
        <v>2828</v>
      </c>
      <c r="F16268" t="s">
        <v>2829</v>
      </c>
      <c r="G16268">
        <v>52.59</v>
      </c>
      <c r="H16268">
        <v>250430</v>
      </c>
      <c r="I16268">
        <v>4520</v>
      </c>
      <c r="J16268" t="s">
        <v>280</v>
      </c>
      <c r="K16268">
        <v>159.78</v>
      </c>
      <c r="L16268">
        <v>6.46</v>
      </c>
      <c r="M16268">
        <v>67522</v>
      </c>
      <c r="N16268" t="s">
        <v>121</v>
      </c>
      <c r="O16268">
        <v>250509</v>
      </c>
      <c r="P16268">
        <v>46.13</v>
      </c>
    </row>
    <row r="16269" spans="1:16" x14ac:dyDescent="0.25">
      <c r="A16269" t="s">
        <v>3296</v>
      </c>
      <c r="B16269" t="s">
        <v>2931</v>
      </c>
      <c r="C16269">
        <v>6146</v>
      </c>
      <c r="D16269" t="str">
        <f>"20834373    "</f>
        <v xml:space="preserve">20834373    </v>
      </c>
      <c r="E16269" t="s">
        <v>2828</v>
      </c>
      <c r="F16269" t="s">
        <v>2829</v>
      </c>
      <c r="G16269">
        <v>25.1</v>
      </c>
      <c r="H16269">
        <v>250430</v>
      </c>
      <c r="I16269">
        <v>4520</v>
      </c>
      <c r="J16269" t="s">
        <v>280</v>
      </c>
      <c r="K16269">
        <v>27.89</v>
      </c>
      <c r="L16269">
        <v>3.08</v>
      </c>
      <c r="M16269">
        <v>69112</v>
      </c>
      <c r="N16269" t="s">
        <v>227</v>
      </c>
      <c r="O16269">
        <v>250509</v>
      </c>
      <c r="P16269">
        <v>22.02</v>
      </c>
    </row>
    <row r="16270" spans="1:16" x14ac:dyDescent="0.25">
      <c r="A16270" t="s">
        <v>3296</v>
      </c>
      <c r="B16270" t="s">
        <v>2931</v>
      </c>
      <c r="C16270">
        <v>6146</v>
      </c>
      <c r="D16270" t="str">
        <f>"20834373    "</f>
        <v xml:space="preserve">20834373    </v>
      </c>
      <c r="E16270" t="s">
        <v>2828</v>
      </c>
      <c r="F16270" t="s">
        <v>2829</v>
      </c>
      <c r="G16270">
        <v>1.4</v>
      </c>
      <c r="H16270">
        <v>250430</v>
      </c>
      <c r="I16270">
        <v>4520</v>
      </c>
      <c r="J16270" t="s">
        <v>280</v>
      </c>
      <c r="K16270">
        <v>27.89</v>
      </c>
      <c r="L16270">
        <v>0.17</v>
      </c>
      <c r="M16270">
        <v>69810</v>
      </c>
      <c r="N16270" t="s">
        <v>229</v>
      </c>
      <c r="O16270">
        <v>250509</v>
      </c>
      <c r="P16270">
        <v>1.23</v>
      </c>
    </row>
    <row r="16271" spans="1:16" x14ac:dyDescent="0.25">
      <c r="A16271" t="s">
        <v>3296</v>
      </c>
      <c r="B16271" t="s">
        <v>2931</v>
      </c>
      <c r="C16271">
        <v>6146</v>
      </c>
      <c r="D16271" t="str">
        <f>"20834373    "</f>
        <v xml:space="preserve">20834373    </v>
      </c>
      <c r="E16271" t="s">
        <v>2828</v>
      </c>
      <c r="F16271" t="s">
        <v>2829</v>
      </c>
      <c r="G16271">
        <v>1.39</v>
      </c>
      <c r="H16271">
        <v>250430</v>
      </c>
      <c r="I16271">
        <v>4520</v>
      </c>
      <c r="J16271" t="s">
        <v>280</v>
      </c>
      <c r="K16271">
        <v>27.89</v>
      </c>
      <c r="L16271">
        <v>0.17</v>
      </c>
      <c r="M16271">
        <v>69811</v>
      </c>
      <c r="N16271" t="s">
        <v>230</v>
      </c>
      <c r="O16271">
        <v>250509</v>
      </c>
      <c r="P16271">
        <v>1.22</v>
      </c>
    </row>
    <row r="16272" spans="1:16" x14ac:dyDescent="0.25">
      <c r="A16272" t="s">
        <v>3296</v>
      </c>
      <c r="B16272" t="s">
        <v>2931</v>
      </c>
      <c r="C16272">
        <v>6265</v>
      </c>
      <c r="D16272" t="str">
        <f>"20834374    "</f>
        <v xml:space="preserve">20834374    </v>
      </c>
      <c r="E16272" t="s">
        <v>2828</v>
      </c>
      <c r="F16272" t="s">
        <v>2829</v>
      </c>
      <c r="G16272">
        <v>170.18</v>
      </c>
      <c r="H16272">
        <v>250430</v>
      </c>
      <c r="I16272">
        <v>4520</v>
      </c>
      <c r="J16272" t="s">
        <v>280</v>
      </c>
      <c r="K16272">
        <v>227.69</v>
      </c>
      <c r="L16272">
        <v>20.9</v>
      </c>
      <c r="M16272">
        <v>59111</v>
      </c>
      <c r="N16272" t="s">
        <v>60</v>
      </c>
      <c r="O16272">
        <v>250512</v>
      </c>
      <c r="P16272">
        <v>149.28</v>
      </c>
    </row>
    <row r="16273" spans="1:16" x14ac:dyDescent="0.25">
      <c r="A16273" t="s">
        <v>3296</v>
      </c>
      <c r="B16273" t="s">
        <v>2931</v>
      </c>
      <c r="C16273">
        <v>6265</v>
      </c>
      <c r="D16273" t="str">
        <f>"20834374    "</f>
        <v xml:space="preserve">20834374    </v>
      </c>
      <c r="E16273" t="s">
        <v>2828</v>
      </c>
      <c r="F16273" t="s">
        <v>2829</v>
      </c>
      <c r="G16273">
        <v>51.27</v>
      </c>
      <c r="H16273">
        <v>250430</v>
      </c>
      <c r="I16273">
        <v>4520</v>
      </c>
      <c r="J16273" t="s">
        <v>280</v>
      </c>
      <c r="K16273">
        <v>227.69</v>
      </c>
      <c r="L16273">
        <v>6.3</v>
      </c>
      <c r="M16273">
        <v>59705</v>
      </c>
      <c r="N16273" t="s">
        <v>47</v>
      </c>
      <c r="O16273">
        <v>250512</v>
      </c>
      <c r="P16273">
        <v>44.97</v>
      </c>
    </row>
    <row r="16274" spans="1:16" x14ac:dyDescent="0.25">
      <c r="A16274" t="s">
        <v>3296</v>
      </c>
      <c r="B16274" t="s">
        <v>2931</v>
      </c>
      <c r="C16274">
        <v>6396</v>
      </c>
      <c r="D16274" t="str">
        <f>"20834377    "</f>
        <v xml:space="preserve">20834377    </v>
      </c>
      <c r="E16274" t="s">
        <v>2828</v>
      </c>
      <c r="F16274" t="s">
        <v>2829</v>
      </c>
      <c r="G16274">
        <v>152.41</v>
      </c>
      <c r="H16274">
        <v>250430</v>
      </c>
      <c r="I16274">
        <v>4520</v>
      </c>
      <c r="J16274" t="s">
        <v>280</v>
      </c>
      <c r="K16274">
        <v>288.01</v>
      </c>
      <c r="L16274">
        <v>18.72</v>
      </c>
      <c r="M16274">
        <v>14990</v>
      </c>
      <c r="N16274" t="s">
        <v>85</v>
      </c>
      <c r="O16274">
        <v>250513</v>
      </c>
      <c r="P16274">
        <v>133.69</v>
      </c>
    </row>
    <row r="16275" spans="1:16" x14ac:dyDescent="0.25">
      <c r="A16275" t="s">
        <v>3296</v>
      </c>
      <c r="B16275" t="s">
        <v>2931</v>
      </c>
      <c r="C16275">
        <v>6746</v>
      </c>
      <c r="D16275" t="str">
        <f t="shared" ref="D16275:D16281" si="266">"20834370    "</f>
        <v xml:space="preserve">20834370    </v>
      </c>
      <c r="E16275" t="s">
        <v>2828</v>
      </c>
      <c r="F16275" t="s">
        <v>2829</v>
      </c>
      <c r="G16275">
        <v>38.29</v>
      </c>
      <c r="H16275">
        <v>250430</v>
      </c>
      <c r="I16275">
        <v>4520</v>
      </c>
      <c r="J16275" t="s">
        <v>280</v>
      </c>
      <c r="K16275">
        <v>584.29999999999995</v>
      </c>
      <c r="L16275">
        <v>4.7</v>
      </c>
      <c r="M16275">
        <v>11903</v>
      </c>
      <c r="N16275" t="s">
        <v>32</v>
      </c>
      <c r="O16275">
        <v>250516</v>
      </c>
      <c r="P16275">
        <v>33.590000000000003</v>
      </c>
    </row>
    <row r="16276" spans="1:16" x14ac:dyDescent="0.25">
      <c r="A16276" t="s">
        <v>3296</v>
      </c>
      <c r="B16276" t="s">
        <v>2931</v>
      </c>
      <c r="C16276">
        <v>6746</v>
      </c>
      <c r="D16276" t="str">
        <f t="shared" si="266"/>
        <v xml:space="preserve">20834370    </v>
      </c>
      <c r="E16276" t="s">
        <v>2828</v>
      </c>
      <c r="F16276" t="s">
        <v>2829</v>
      </c>
      <c r="G16276">
        <v>1.83</v>
      </c>
      <c r="H16276">
        <v>250430</v>
      </c>
      <c r="I16276">
        <v>4520</v>
      </c>
      <c r="J16276" t="s">
        <v>280</v>
      </c>
      <c r="K16276">
        <v>584.29999999999995</v>
      </c>
      <c r="L16276">
        <v>0.37</v>
      </c>
      <c r="M16276">
        <v>13461</v>
      </c>
      <c r="N16276" t="s">
        <v>1544</v>
      </c>
      <c r="O16276">
        <v>250516</v>
      </c>
      <c r="P16276">
        <v>1.46</v>
      </c>
    </row>
    <row r="16277" spans="1:16" x14ac:dyDescent="0.25">
      <c r="A16277" t="s">
        <v>3296</v>
      </c>
      <c r="B16277" t="s">
        <v>2931</v>
      </c>
      <c r="C16277">
        <v>6746</v>
      </c>
      <c r="D16277" t="str">
        <f t="shared" si="266"/>
        <v xml:space="preserve">20834370    </v>
      </c>
      <c r="E16277" t="s">
        <v>2828</v>
      </c>
      <c r="F16277" t="s">
        <v>2829</v>
      </c>
      <c r="G16277">
        <v>7.87</v>
      </c>
      <c r="H16277">
        <v>250430</v>
      </c>
      <c r="I16277">
        <v>4520</v>
      </c>
      <c r="J16277" t="s">
        <v>280</v>
      </c>
      <c r="K16277">
        <v>584.29999999999995</v>
      </c>
      <c r="L16277">
        <v>0.97</v>
      </c>
      <c r="M16277">
        <v>13461</v>
      </c>
      <c r="N16277" t="s">
        <v>1544</v>
      </c>
      <c r="O16277">
        <v>250516</v>
      </c>
      <c r="P16277">
        <v>6.9</v>
      </c>
    </row>
    <row r="16278" spans="1:16" x14ac:dyDescent="0.25">
      <c r="A16278" t="s">
        <v>3296</v>
      </c>
      <c r="B16278" t="s">
        <v>2931</v>
      </c>
      <c r="C16278">
        <v>6746</v>
      </c>
      <c r="D16278" t="str">
        <f t="shared" si="266"/>
        <v xml:space="preserve">20834370    </v>
      </c>
      <c r="E16278" t="s">
        <v>2828</v>
      </c>
      <c r="F16278" t="s">
        <v>2829</v>
      </c>
      <c r="G16278">
        <v>6.99</v>
      </c>
      <c r="H16278">
        <v>250430</v>
      </c>
      <c r="I16278">
        <v>4520</v>
      </c>
      <c r="J16278" t="s">
        <v>280</v>
      </c>
      <c r="K16278">
        <v>584.29999999999995</v>
      </c>
      <c r="L16278">
        <v>1.42</v>
      </c>
      <c r="M16278">
        <v>13501</v>
      </c>
      <c r="N16278" t="s">
        <v>66</v>
      </c>
      <c r="O16278">
        <v>250516</v>
      </c>
      <c r="P16278">
        <v>5.57</v>
      </c>
    </row>
    <row r="16279" spans="1:16" x14ac:dyDescent="0.25">
      <c r="A16279" t="s">
        <v>3296</v>
      </c>
      <c r="B16279" t="s">
        <v>2931</v>
      </c>
      <c r="C16279">
        <v>6746</v>
      </c>
      <c r="D16279" t="str">
        <f t="shared" si="266"/>
        <v xml:space="preserve">20834370    </v>
      </c>
      <c r="E16279" t="s">
        <v>2828</v>
      </c>
      <c r="F16279" t="s">
        <v>2829</v>
      </c>
      <c r="G16279">
        <v>10.84</v>
      </c>
      <c r="H16279">
        <v>250430</v>
      </c>
      <c r="I16279">
        <v>4520</v>
      </c>
      <c r="J16279" t="s">
        <v>280</v>
      </c>
      <c r="K16279">
        <v>584.29999999999995</v>
      </c>
      <c r="L16279">
        <v>1.33</v>
      </c>
      <c r="M16279">
        <v>13501</v>
      </c>
      <c r="N16279" t="s">
        <v>66</v>
      </c>
      <c r="O16279">
        <v>250516</v>
      </c>
      <c r="P16279">
        <v>9.51</v>
      </c>
    </row>
    <row r="16280" spans="1:16" x14ac:dyDescent="0.25">
      <c r="A16280" t="s">
        <v>3296</v>
      </c>
      <c r="B16280" t="s">
        <v>2931</v>
      </c>
      <c r="C16280">
        <v>6746</v>
      </c>
      <c r="D16280" t="str">
        <f t="shared" si="266"/>
        <v xml:space="preserve">20834370    </v>
      </c>
      <c r="E16280" t="s">
        <v>2828</v>
      </c>
      <c r="F16280" t="s">
        <v>2829</v>
      </c>
      <c r="G16280">
        <v>1.83</v>
      </c>
      <c r="H16280">
        <v>250430</v>
      </c>
      <c r="I16280">
        <v>4520</v>
      </c>
      <c r="J16280" t="s">
        <v>280</v>
      </c>
      <c r="K16280">
        <v>584.29999999999995</v>
      </c>
      <c r="L16280">
        <v>0.37</v>
      </c>
      <c r="M16280">
        <v>13561</v>
      </c>
      <c r="N16280" t="s">
        <v>241</v>
      </c>
      <c r="O16280">
        <v>250516</v>
      </c>
      <c r="P16280">
        <v>1.46</v>
      </c>
    </row>
    <row r="16281" spans="1:16" x14ac:dyDescent="0.25">
      <c r="A16281" t="s">
        <v>3296</v>
      </c>
      <c r="B16281" t="s">
        <v>2931</v>
      </c>
      <c r="C16281">
        <v>6746</v>
      </c>
      <c r="D16281" t="str">
        <f t="shared" si="266"/>
        <v xml:space="preserve">20834370    </v>
      </c>
      <c r="E16281" t="s">
        <v>2828</v>
      </c>
      <c r="F16281" t="s">
        <v>2829</v>
      </c>
      <c r="G16281">
        <v>7.88</v>
      </c>
      <c r="H16281">
        <v>250430</v>
      </c>
      <c r="I16281">
        <v>4520</v>
      </c>
      <c r="J16281" t="s">
        <v>280</v>
      </c>
      <c r="K16281">
        <v>584.29999999999995</v>
      </c>
      <c r="L16281">
        <v>0.97</v>
      </c>
      <c r="M16281">
        <v>13561</v>
      </c>
      <c r="N16281" t="s">
        <v>241</v>
      </c>
      <c r="O16281">
        <v>250516</v>
      </c>
      <c r="P16281">
        <v>6.91</v>
      </c>
    </row>
    <row r="16282" spans="1:16" x14ac:dyDescent="0.25">
      <c r="A16282" t="s">
        <v>3296</v>
      </c>
      <c r="B16282" t="s">
        <v>2931</v>
      </c>
      <c r="C16282">
        <v>8086</v>
      </c>
      <c r="D16282" t="str">
        <f>"20880437    "</f>
        <v xml:space="preserve">20880437    </v>
      </c>
      <c r="E16282" t="s">
        <v>2828</v>
      </c>
      <c r="F16282" t="s">
        <v>2829</v>
      </c>
      <c r="G16282">
        <v>0.38</v>
      </c>
      <c r="H16282">
        <v>250531</v>
      </c>
      <c r="I16282">
        <v>4520</v>
      </c>
      <c r="J16282" t="s">
        <v>280</v>
      </c>
      <c r="K16282">
        <v>20.81</v>
      </c>
      <c r="L16282">
        <v>0.08</v>
      </c>
      <c r="M16282">
        <v>13601</v>
      </c>
      <c r="N16282" t="s">
        <v>115</v>
      </c>
      <c r="O16282">
        <v>250611</v>
      </c>
      <c r="P16282">
        <v>0.3</v>
      </c>
    </row>
    <row r="16283" spans="1:16" x14ac:dyDescent="0.25">
      <c r="A16283" t="s">
        <v>3296</v>
      </c>
      <c r="B16283" t="s">
        <v>2931</v>
      </c>
      <c r="C16283">
        <v>8086</v>
      </c>
      <c r="D16283" t="str">
        <f>"20880437    "</f>
        <v xml:space="preserve">20880437    </v>
      </c>
      <c r="E16283" t="s">
        <v>2828</v>
      </c>
      <c r="F16283" t="s">
        <v>2829</v>
      </c>
      <c r="G16283">
        <v>20.43</v>
      </c>
      <c r="H16283">
        <v>250531</v>
      </c>
      <c r="I16283">
        <v>4520</v>
      </c>
      <c r="J16283" t="s">
        <v>280</v>
      </c>
      <c r="K16283">
        <v>20.81</v>
      </c>
      <c r="L16283">
        <v>2.5099999999999998</v>
      </c>
      <c r="M16283">
        <v>13601</v>
      </c>
      <c r="N16283" t="s">
        <v>115</v>
      </c>
      <c r="O16283">
        <v>250611</v>
      </c>
      <c r="P16283">
        <v>17.920000000000002</v>
      </c>
    </row>
    <row r="16284" spans="1:16" x14ac:dyDescent="0.25">
      <c r="A16284" t="s">
        <v>3296</v>
      </c>
      <c r="B16284" t="s">
        <v>2931</v>
      </c>
      <c r="C16284">
        <v>8109</v>
      </c>
      <c r="D16284" t="str">
        <f>"20880427    "</f>
        <v xml:space="preserve">20880427    </v>
      </c>
      <c r="E16284" t="s">
        <v>2828</v>
      </c>
      <c r="F16284" t="s">
        <v>2829</v>
      </c>
      <c r="G16284">
        <v>88.97</v>
      </c>
      <c r="H16284">
        <v>250531</v>
      </c>
      <c r="I16284">
        <v>4520</v>
      </c>
      <c r="J16284" t="s">
        <v>280</v>
      </c>
      <c r="K16284">
        <v>591.65</v>
      </c>
      <c r="L16284">
        <v>10.93</v>
      </c>
      <c r="M16284">
        <v>67522</v>
      </c>
      <c r="N16284" t="s">
        <v>121</v>
      </c>
      <c r="O16284">
        <v>250611</v>
      </c>
      <c r="P16284">
        <v>78.040000000000006</v>
      </c>
    </row>
    <row r="16285" spans="1:16" x14ac:dyDescent="0.25">
      <c r="A16285" t="s">
        <v>3296</v>
      </c>
      <c r="B16285" t="s">
        <v>2931</v>
      </c>
      <c r="C16285">
        <v>8115</v>
      </c>
      <c r="D16285" t="str">
        <f>"20880432    "</f>
        <v xml:space="preserve">20880432    </v>
      </c>
      <c r="E16285" t="s">
        <v>2828</v>
      </c>
      <c r="F16285" t="s">
        <v>2829</v>
      </c>
      <c r="G16285">
        <v>89.67</v>
      </c>
      <c r="H16285">
        <v>250531</v>
      </c>
      <c r="I16285">
        <v>4520</v>
      </c>
      <c r="J16285" t="s">
        <v>280</v>
      </c>
      <c r="K16285">
        <v>94.13</v>
      </c>
      <c r="L16285">
        <v>11.01</v>
      </c>
      <c r="M16285">
        <v>59111</v>
      </c>
      <c r="N16285" t="s">
        <v>60</v>
      </c>
      <c r="O16285">
        <v>250611</v>
      </c>
      <c r="P16285">
        <v>78.66</v>
      </c>
    </row>
    <row r="16286" spans="1:16" x14ac:dyDescent="0.25">
      <c r="A16286" t="s">
        <v>3296</v>
      </c>
      <c r="B16286" t="s">
        <v>2931</v>
      </c>
      <c r="C16286">
        <v>8119</v>
      </c>
      <c r="D16286" t="str">
        <f>"20880431    "</f>
        <v xml:space="preserve">20880431    </v>
      </c>
      <c r="E16286" t="s">
        <v>2828</v>
      </c>
      <c r="F16286" t="s">
        <v>2829</v>
      </c>
      <c r="G16286">
        <v>191.86</v>
      </c>
      <c r="H16286">
        <v>250531</v>
      </c>
      <c r="I16286">
        <v>4520</v>
      </c>
      <c r="J16286" t="s">
        <v>280</v>
      </c>
      <c r="K16286">
        <v>216.85</v>
      </c>
      <c r="L16286">
        <v>23.56</v>
      </c>
      <c r="M16286">
        <v>69112</v>
      </c>
      <c r="N16286" t="s">
        <v>227</v>
      </c>
      <c r="O16286">
        <v>250611</v>
      </c>
      <c r="P16286">
        <v>168.3</v>
      </c>
    </row>
    <row r="16287" spans="1:16" x14ac:dyDescent="0.25">
      <c r="A16287" t="s">
        <v>3296</v>
      </c>
      <c r="B16287" t="s">
        <v>2931</v>
      </c>
      <c r="C16287">
        <v>8119</v>
      </c>
      <c r="D16287" t="str">
        <f>"20880431    "</f>
        <v xml:space="preserve">20880431    </v>
      </c>
      <c r="E16287" t="s">
        <v>2828</v>
      </c>
      <c r="F16287" t="s">
        <v>2829</v>
      </c>
      <c r="G16287">
        <v>10.66</v>
      </c>
      <c r="H16287">
        <v>250531</v>
      </c>
      <c r="I16287">
        <v>4520</v>
      </c>
      <c r="J16287" t="s">
        <v>280</v>
      </c>
      <c r="K16287">
        <v>216.85</v>
      </c>
      <c r="L16287">
        <v>1.31</v>
      </c>
      <c r="M16287">
        <v>69810</v>
      </c>
      <c r="N16287" t="s">
        <v>229</v>
      </c>
      <c r="O16287">
        <v>250611</v>
      </c>
      <c r="P16287">
        <v>9.35</v>
      </c>
    </row>
    <row r="16288" spans="1:16" x14ac:dyDescent="0.25">
      <c r="A16288" t="s">
        <v>3296</v>
      </c>
      <c r="B16288" t="s">
        <v>2931</v>
      </c>
      <c r="C16288">
        <v>8119</v>
      </c>
      <c r="D16288" t="str">
        <f>"20880431    "</f>
        <v xml:space="preserve">20880431    </v>
      </c>
      <c r="E16288" t="s">
        <v>2828</v>
      </c>
      <c r="F16288" t="s">
        <v>2829</v>
      </c>
      <c r="G16288">
        <v>10.66</v>
      </c>
      <c r="H16288">
        <v>250531</v>
      </c>
      <c r="I16288">
        <v>4520</v>
      </c>
      <c r="J16288" t="s">
        <v>280</v>
      </c>
      <c r="K16288">
        <v>216.85</v>
      </c>
      <c r="L16288">
        <v>1.31</v>
      </c>
      <c r="M16288">
        <v>69811</v>
      </c>
      <c r="N16288" t="s">
        <v>230</v>
      </c>
      <c r="O16288">
        <v>250611</v>
      </c>
      <c r="P16288">
        <v>9.35</v>
      </c>
    </row>
    <row r="16289" spans="1:16" x14ac:dyDescent="0.25">
      <c r="A16289" t="s">
        <v>3296</v>
      </c>
      <c r="B16289" t="s">
        <v>2931</v>
      </c>
      <c r="C16289">
        <v>8123</v>
      </c>
      <c r="D16289" t="str">
        <f>"20880436    "</f>
        <v xml:space="preserve">20880436    </v>
      </c>
      <c r="E16289" t="s">
        <v>2828</v>
      </c>
      <c r="F16289" t="s">
        <v>2829</v>
      </c>
      <c r="G16289">
        <v>9.59</v>
      </c>
      <c r="H16289">
        <v>250531</v>
      </c>
      <c r="I16289">
        <v>4520</v>
      </c>
      <c r="J16289" t="s">
        <v>280</v>
      </c>
      <c r="K16289">
        <v>341.46</v>
      </c>
      <c r="L16289">
        <v>1.18</v>
      </c>
      <c r="M16289">
        <v>14422</v>
      </c>
      <c r="N16289" t="s">
        <v>73</v>
      </c>
      <c r="O16289">
        <v>250611</v>
      </c>
      <c r="P16289">
        <v>8.41</v>
      </c>
    </row>
    <row r="16290" spans="1:16" x14ac:dyDescent="0.25">
      <c r="A16290" t="s">
        <v>3296</v>
      </c>
      <c r="B16290" t="s">
        <v>2931</v>
      </c>
      <c r="C16290">
        <v>8123</v>
      </c>
      <c r="D16290" t="str">
        <f>"20880436    "</f>
        <v xml:space="preserve">20880436    </v>
      </c>
      <c r="E16290" t="s">
        <v>2828</v>
      </c>
      <c r="F16290" t="s">
        <v>2829</v>
      </c>
      <c r="G16290">
        <v>5.64</v>
      </c>
      <c r="H16290">
        <v>250531</v>
      </c>
      <c r="I16290">
        <v>4520</v>
      </c>
      <c r="J16290" t="s">
        <v>280</v>
      </c>
      <c r="K16290">
        <v>341.46</v>
      </c>
      <c r="L16290">
        <v>0.69</v>
      </c>
      <c r="M16290">
        <v>14541</v>
      </c>
      <c r="N16290" t="s">
        <v>76</v>
      </c>
      <c r="O16290">
        <v>250611</v>
      </c>
      <c r="P16290">
        <v>4.95</v>
      </c>
    </row>
    <row r="16291" spans="1:16" x14ac:dyDescent="0.25">
      <c r="A16291" t="s">
        <v>3296</v>
      </c>
      <c r="B16291" t="s">
        <v>2931</v>
      </c>
      <c r="C16291">
        <v>8123</v>
      </c>
      <c r="D16291" t="str">
        <f>"20880436    "</f>
        <v xml:space="preserve">20880436    </v>
      </c>
      <c r="E16291" t="s">
        <v>2828</v>
      </c>
      <c r="F16291" t="s">
        <v>2829</v>
      </c>
      <c r="G16291">
        <v>50.76</v>
      </c>
      <c r="H16291">
        <v>250531</v>
      </c>
      <c r="I16291">
        <v>4520</v>
      </c>
      <c r="J16291" t="s">
        <v>280</v>
      </c>
      <c r="K16291">
        <v>341.46</v>
      </c>
      <c r="L16291">
        <v>6.23</v>
      </c>
      <c r="M16291">
        <v>14861</v>
      </c>
      <c r="N16291" t="s">
        <v>79</v>
      </c>
      <c r="O16291">
        <v>250611</v>
      </c>
      <c r="P16291">
        <v>44.53</v>
      </c>
    </row>
    <row r="16292" spans="1:16" x14ac:dyDescent="0.25">
      <c r="A16292" t="s">
        <v>3296</v>
      </c>
      <c r="B16292" t="s">
        <v>2931</v>
      </c>
      <c r="C16292">
        <v>8123</v>
      </c>
      <c r="D16292" t="str">
        <f>"20880436    "</f>
        <v xml:space="preserve">20880436    </v>
      </c>
      <c r="E16292" t="s">
        <v>2828</v>
      </c>
      <c r="F16292" t="s">
        <v>2829</v>
      </c>
      <c r="G16292">
        <v>36.5</v>
      </c>
      <c r="H16292">
        <v>250531</v>
      </c>
      <c r="I16292">
        <v>4520</v>
      </c>
      <c r="J16292" t="s">
        <v>280</v>
      </c>
      <c r="K16292">
        <v>341.46</v>
      </c>
      <c r="L16292">
        <v>4.4800000000000004</v>
      </c>
      <c r="M16292">
        <v>14971</v>
      </c>
      <c r="N16292" t="s">
        <v>81</v>
      </c>
      <c r="O16292">
        <v>250611</v>
      </c>
      <c r="P16292">
        <v>32.020000000000003</v>
      </c>
    </row>
    <row r="16293" spans="1:16" x14ac:dyDescent="0.25">
      <c r="A16293" t="s">
        <v>3296</v>
      </c>
      <c r="B16293" t="s">
        <v>2931</v>
      </c>
      <c r="C16293">
        <v>8123</v>
      </c>
      <c r="D16293" t="str">
        <f>"20880436    "</f>
        <v xml:space="preserve">20880436    </v>
      </c>
      <c r="E16293" t="s">
        <v>2828</v>
      </c>
      <c r="F16293" t="s">
        <v>2829</v>
      </c>
      <c r="G16293">
        <v>173.71</v>
      </c>
      <c r="H16293">
        <v>250531</v>
      </c>
      <c r="I16293">
        <v>4520</v>
      </c>
      <c r="J16293" t="s">
        <v>280</v>
      </c>
      <c r="K16293">
        <v>341.46</v>
      </c>
      <c r="L16293">
        <v>21.33</v>
      </c>
      <c r="M16293">
        <v>14990</v>
      </c>
      <c r="N16293" t="s">
        <v>85</v>
      </c>
      <c r="O16293">
        <v>250611</v>
      </c>
      <c r="P16293">
        <v>152.38</v>
      </c>
    </row>
    <row r="16294" spans="1:16" x14ac:dyDescent="0.25">
      <c r="A16294" t="s">
        <v>3296</v>
      </c>
      <c r="B16294" t="s">
        <v>2931</v>
      </c>
      <c r="C16294">
        <v>8130</v>
      </c>
      <c r="D16294" t="str">
        <f>"20880435    "</f>
        <v xml:space="preserve">20880435    </v>
      </c>
      <c r="E16294" t="s">
        <v>2828</v>
      </c>
      <c r="F16294" t="s">
        <v>2829</v>
      </c>
      <c r="G16294">
        <v>82.77</v>
      </c>
      <c r="H16294">
        <v>250531</v>
      </c>
      <c r="I16294">
        <v>4520</v>
      </c>
      <c r="J16294" t="s">
        <v>280</v>
      </c>
      <c r="K16294">
        <v>82.77</v>
      </c>
      <c r="L16294">
        <v>10.16</v>
      </c>
      <c r="M16294">
        <v>54451</v>
      </c>
      <c r="N16294" t="s">
        <v>218</v>
      </c>
      <c r="O16294">
        <v>250611</v>
      </c>
      <c r="P16294">
        <v>72.61</v>
      </c>
    </row>
    <row r="16295" spans="1:16" x14ac:dyDescent="0.25">
      <c r="A16295" t="s">
        <v>3296</v>
      </c>
      <c r="B16295" t="s">
        <v>2931</v>
      </c>
      <c r="C16295">
        <v>8134</v>
      </c>
      <c r="D16295" t="str">
        <f>"20880423    "</f>
        <v xml:space="preserve">20880423    </v>
      </c>
      <c r="E16295" t="s">
        <v>2828</v>
      </c>
      <c r="F16295" t="s">
        <v>2829</v>
      </c>
      <c r="G16295">
        <v>19.66</v>
      </c>
      <c r="H16295">
        <v>250531</v>
      </c>
      <c r="I16295">
        <v>4520</v>
      </c>
      <c r="J16295" t="s">
        <v>280</v>
      </c>
      <c r="K16295">
        <v>23.13</v>
      </c>
      <c r="L16295">
        <v>2.41</v>
      </c>
      <c r="M16295">
        <v>69113</v>
      </c>
      <c r="N16295" t="s">
        <v>122</v>
      </c>
      <c r="O16295">
        <v>250611</v>
      </c>
      <c r="P16295">
        <v>17.25</v>
      </c>
    </row>
    <row r="16296" spans="1:16" x14ac:dyDescent="0.25">
      <c r="A16296" t="s">
        <v>3296</v>
      </c>
      <c r="B16296" t="s">
        <v>2931</v>
      </c>
      <c r="C16296">
        <v>8134</v>
      </c>
      <c r="D16296" t="str">
        <f>"20880423    "</f>
        <v xml:space="preserve">20880423    </v>
      </c>
      <c r="E16296" t="s">
        <v>2828</v>
      </c>
      <c r="F16296" t="s">
        <v>2829</v>
      </c>
      <c r="G16296">
        <v>2.31</v>
      </c>
      <c r="H16296">
        <v>250531</v>
      </c>
      <c r="I16296">
        <v>4520</v>
      </c>
      <c r="J16296" t="s">
        <v>280</v>
      </c>
      <c r="K16296">
        <v>23.13</v>
      </c>
      <c r="L16296">
        <v>0.28000000000000003</v>
      </c>
      <c r="M16296">
        <v>69802</v>
      </c>
      <c r="N16296" t="s">
        <v>375</v>
      </c>
      <c r="O16296">
        <v>250611</v>
      </c>
      <c r="P16296">
        <v>2.0299999999999998</v>
      </c>
    </row>
    <row r="16297" spans="1:16" x14ac:dyDescent="0.25">
      <c r="A16297" t="s">
        <v>3296</v>
      </c>
      <c r="B16297" t="s">
        <v>2931</v>
      </c>
      <c r="C16297">
        <v>8134</v>
      </c>
      <c r="D16297" t="str">
        <f>"20880423    "</f>
        <v xml:space="preserve">20880423    </v>
      </c>
      <c r="E16297" t="s">
        <v>2828</v>
      </c>
      <c r="F16297" t="s">
        <v>2829</v>
      </c>
      <c r="G16297">
        <v>1.1599999999999999</v>
      </c>
      <c r="H16297">
        <v>250531</v>
      </c>
      <c r="I16297">
        <v>4520</v>
      </c>
      <c r="J16297" t="s">
        <v>280</v>
      </c>
      <c r="K16297">
        <v>23.13</v>
      </c>
      <c r="L16297">
        <v>0.14000000000000001</v>
      </c>
      <c r="M16297">
        <v>69804</v>
      </c>
      <c r="N16297" t="s">
        <v>376</v>
      </c>
      <c r="O16297">
        <v>250611</v>
      </c>
      <c r="P16297">
        <v>1.02</v>
      </c>
    </row>
    <row r="16298" spans="1:16" x14ac:dyDescent="0.25">
      <c r="A16298" t="s">
        <v>3296</v>
      </c>
      <c r="B16298" t="s">
        <v>2931</v>
      </c>
      <c r="C16298">
        <v>8152</v>
      </c>
      <c r="D16298" t="str">
        <f t="shared" ref="D16298:D16303" si="267">"20880438    "</f>
        <v xml:space="preserve">20880438    </v>
      </c>
      <c r="E16298" t="s">
        <v>2828</v>
      </c>
      <c r="F16298" t="s">
        <v>2829</v>
      </c>
      <c r="G16298">
        <v>18.170000000000002</v>
      </c>
      <c r="H16298">
        <v>250531</v>
      </c>
      <c r="I16298">
        <v>4520</v>
      </c>
      <c r="J16298" t="s">
        <v>280</v>
      </c>
      <c r="K16298">
        <v>191.77</v>
      </c>
      <c r="L16298">
        <v>2.23</v>
      </c>
      <c r="M16298">
        <v>17131</v>
      </c>
      <c r="N16298" t="s">
        <v>154</v>
      </c>
      <c r="O16298">
        <v>250611</v>
      </c>
      <c r="P16298">
        <v>15.94</v>
      </c>
    </row>
    <row r="16299" spans="1:16" x14ac:dyDescent="0.25">
      <c r="A16299" t="s">
        <v>3296</v>
      </c>
      <c r="B16299" t="s">
        <v>2931</v>
      </c>
      <c r="C16299">
        <v>8152</v>
      </c>
      <c r="D16299" t="str">
        <f t="shared" si="267"/>
        <v xml:space="preserve">20880438    </v>
      </c>
      <c r="E16299" t="s">
        <v>2828</v>
      </c>
      <c r="F16299" t="s">
        <v>2829</v>
      </c>
      <c r="G16299">
        <v>24</v>
      </c>
      <c r="H16299">
        <v>250531</v>
      </c>
      <c r="I16299">
        <v>4520</v>
      </c>
      <c r="J16299" t="s">
        <v>280</v>
      </c>
      <c r="K16299">
        <v>191.77</v>
      </c>
      <c r="L16299">
        <v>2.95</v>
      </c>
      <c r="M16299">
        <v>17131</v>
      </c>
      <c r="N16299" t="s">
        <v>154</v>
      </c>
      <c r="O16299">
        <v>250611</v>
      </c>
      <c r="P16299">
        <v>21.05</v>
      </c>
    </row>
    <row r="16300" spans="1:16" x14ac:dyDescent="0.25">
      <c r="A16300" t="s">
        <v>3296</v>
      </c>
      <c r="B16300" t="s">
        <v>2931</v>
      </c>
      <c r="C16300">
        <v>8152</v>
      </c>
      <c r="D16300" t="str">
        <f t="shared" si="267"/>
        <v xml:space="preserve">20880438    </v>
      </c>
      <c r="E16300" t="s">
        <v>2828</v>
      </c>
      <c r="F16300" t="s">
        <v>2829</v>
      </c>
      <c r="G16300">
        <v>34.869999999999997</v>
      </c>
      <c r="H16300">
        <v>250531</v>
      </c>
      <c r="I16300">
        <v>4520</v>
      </c>
      <c r="J16300" t="s">
        <v>280</v>
      </c>
      <c r="K16300">
        <v>191.77</v>
      </c>
      <c r="L16300">
        <v>4.28</v>
      </c>
      <c r="M16300">
        <v>17131</v>
      </c>
      <c r="N16300" t="s">
        <v>154</v>
      </c>
      <c r="O16300">
        <v>250611</v>
      </c>
      <c r="P16300">
        <v>30.59</v>
      </c>
    </row>
    <row r="16301" spans="1:16" x14ac:dyDescent="0.25">
      <c r="A16301" t="s">
        <v>3296</v>
      </c>
      <c r="B16301" t="s">
        <v>2931</v>
      </c>
      <c r="C16301">
        <v>8152</v>
      </c>
      <c r="D16301" t="str">
        <f t="shared" si="267"/>
        <v xml:space="preserve">20880438    </v>
      </c>
      <c r="E16301" t="s">
        <v>2828</v>
      </c>
      <c r="F16301" t="s">
        <v>2829</v>
      </c>
      <c r="G16301">
        <v>16.57</v>
      </c>
      <c r="H16301">
        <v>250531</v>
      </c>
      <c r="I16301">
        <v>4520</v>
      </c>
      <c r="J16301" t="s">
        <v>280</v>
      </c>
      <c r="K16301">
        <v>191.77</v>
      </c>
      <c r="L16301">
        <v>2.0299999999999998</v>
      </c>
      <c r="M16301">
        <v>17131</v>
      </c>
      <c r="N16301" t="s">
        <v>154</v>
      </c>
      <c r="O16301">
        <v>250611</v>
      </c>
      <c r="P16301">
        <v>14.54</v>
      </c>
    </row>
    <row r="16302" spans="1:16" x14ac:dyDescent="0.25">
      <c r="A16302" t="s">
        <v>3296</v>
      </c>
      <c r="B16302" t="s">
        <v>2931</v>
      </c>
      <c r="C16302">
        <v>8152</v>
      </c>
      <c r="D16302" t="str">
        <f t="shared" si="267"/>
        <v xml:space="preserve">20880438    </v>
      </c>
      <c r="E16302" t="s">
        <v>2828</v>
      </c>
      <c r="F16302" t="s">
        <v>2829</v>
      </c>
      <c r="G16302">
        <v>18.170000000000002</v>
      </c>
      <c r="H16302">
        <v>250531</v>
      </c>
      <c r="I16302">
        <v>4520</v>
      </c>
      <c r="J16302" t="s">
        <v>280</v>
      </c>
      <c r="K16302">
        <v>191.77</v>
      </c>
      <c r="L16302">
        <v>2.23</v>
      </c>
      <c r="M16302">
        <v>17131</v>
      </c>
      <c r="N16302" t="s">
        <v>154</v>
      </c>
      <c r="O16302">
        <v>250611</v>
      </c>
      <c r="P16302">
        <v>15.94</v>
      </c>
    </row>
    <row r="16303" spans="1:16" x14ac:dyDescent="0.25">
      <c r="A16303" t="s">
        <v>3296</v>
      </c>
      <c r="B16303" t="s">
        <v>2931</v>
      </c>
      <c r="C16303">
        <v>8152</v>
      </c>
      <c r="D16303" t="str">
        <f t="shared" si="267"/>
        <v xml:space="preserve">20880438    </v>
      </c>
      <c r="E16303" t="s">
        <v>2828</v>
      </c>
      <c r="F16303" t="s">
        <v>2829</v>
      </c>
      <c r="G16303">
        <v>26.33</v>
      </c>
      <c r="H16303">
        <v>250531</v>
      </c>
      <c r="I16303">
        <v>4520</v>
      </c>
      <c r="J16303" t="s">
        <v>280</v>
      </c>
      <c r="K16303">
        <v>191.77</v>
      </c>
      <c r="L16303">
        <v>3.23</v>
      </c>
      <c r="M16303">
        <v>17912</v>
      </c>
      <c r="N16303" t="s">
        <v>505</v>
      </c>
      <c r="O16303">
        <v>250611</v>
      </c>
      <c r="P16303">
        <v>23.1</v>
      </c>
    </row>
    <row r="16304" spans="1:16" x14ac:dyDescent="0.25">
      <c r="A16304" t="s">
        <v>3296</v>
      </c>
      <c r="B16304" t="s">
        <v>2931</v>
      </c>
      <c r="C16304">
        <v>8153</v>
      </c>
      <c r="D16304" t="str">
        <f>"20880426    "</f>
        <v xml:space="preserve">20880426    </v>
      </c>
      <c r="E16304" t="s">
        <v>2828</v>
      </c>
      <c r="F16304" t="s">
        <v>2829</v>
      </c>
      <c r="G16304">
        <v>81.239999999999995</v>
      </c>
      <c r="H16304">
        <v>250531</v>
      </c>
      <c r="I16304">
        <v>4520</v>
      </c>
      <c r="J16304" t="s">
        <v>280</v>
      </c>
      <c r="K16304">
        <v>165.27</v>
      </c>
      <c r="L16304">
        <v>16.510000000000002</v>
      </c>
      <c r="M16304">
        <v>16431</v>
      </c>
      <c r="N16304" t="s">
        <v>17</v>
      </c>
      <c r="O16304">
        <v>250611</v>
      </c>
      <c r="P16304">
        <v>64.73</v>
      </c>
    </row>
    <row r="16305" spans="1:16" x14ac:dyDescent="0.25">
      <c r="A16305" t="s">
        <v>3296</v>
      </c>
      <c r="B16305" t="s">
        <v>2931</v>
      </c>
      <c r="C16305">
        <v>8153</v>
      </c>
      <c r="D16305" t="str">
        <f>"20880426    "</f>
        <v xml:space="preserve">20880426    </v>
      </c>
      <c r="E16305" t="s">
        <v>2828</v>
      </c>
      <c r="F16305" t="s">
        <v>2829</v>
      </c>
      <c r="G16305">
        <v>84.03</v>
      </c>
      <c r="H16305">
        <v>250531</v>
      </c>
      <c r="I16305">
        <v>4520</v>
      </c>
      <c r="J16305" t="s">
        <v>280</v>
      </c>
      <c r="K16305">
        <v>165.27</v>
      </c>
      <c r="L16305">
        <v>10.32</v>
      </c>
      <c r="M16305">
        <v>16431</v>
      </c>
      <c r="N16305" t="s">
        <v>17</v>
      </c>
      <c r="O16305">
        <v>250611</v>
      </c>
      <c r="P16305">
        <v>73.709999999999994</v>
      </c>
    </row>
    <row r="16306" spans="1:16" x14ac:dyDescent="0.25">
      <c r="A16306" t="s">
        <v>3296</v>
      </c>
      <c r="B16306" t="s">
        <v>2931</v>
      </c>
      <c r="C16306">
        <v>8168</v>
      </c>
      <c r="D16306" t="str">
        <f>"20880424    "</f>
        <v xml:space="preserve">20880424    </v>
      </c>
      <c r="E16306" t="s">
        <v>2828</v>
      </c>
      <c r="F16306" t="s">
        <v>2829</v>
      </c>
      <c r="G16306">
        <v>1.22</v>
      </c>
      <c r="H16306">
        <v>250531</v>
      </c>
      <c r="I16306">
        <v>4520</v>
      </c>
      <c r="J16306" t="s">
        <v>280</v>
      </c>
      <c r="K16306">
        <v>530.73</v>
      </c>
      <c r="L16306">
        <v>0.25</v>
      </c>
      <c r="M16306">
        <v>13561</v>
      </c>
      <c r="N16306" t="s">
        <v>241</v>
      </c>
      <c r="O16306">
        <v>250611</v>
      </c>
      <c r="P16306">
        <v>0.97</v>
      </c>
    </row>
    <row r="16307" spans="1:16" x14ac:dyDescent="0.25">
      <c r="A16307" t="s">
        <v>3296</v>
      </c>
      <c r="B16307" t="s">
        <v>2931</v>
      </c>
      <c r="C16307">
        <v>8168</v>
      </c>
      <c r="D16307" t="str">
        <f>"20880424    "</f>
        <v xml:space="preserve">20880424    </v>
      </c>
      <c r="E16307" t="s">
        <v>2828</v>
      </c>
      <c r="F16307" t="s">
        <v>2829</v>
      </c>
      <c r="G16307">
        <v>61.6</v>
      </c>
      <c r="H16307">
        <v>250531</v>
      </c>
      <c r="I16307">
        <v>4520</v>
      </c>
      <c r="J16307" t="s">
        <v>280</v>
      </c>
      <c r="K16307">
        <v>530.73</v>
      </c>
      <c r="L16307">
        <v>7.56</v>
      </c>
      <c r="M16307">
        <v>13561</v>
      </c>
      <c r="N16307" t="s">
        <v>241</v>
      </c>
      <c r="O16307">
        <v>250611</v>
      </c>
      <c r="P16307">
        <v>54.04</v>
      </c>
    </row>
    <row r="16308" spans="1:16" x14ac:dyDescent="0.25">
      <c r="A16308" t="s">
        <v>3296</v>
      </c>
      <c r="B16308" t="s">
        <v>2931</v>
      </c>
      <c r="C16308">
        <v>8168</v>
      </c>
      <c r="D16308" t="str">
        <f>"20880424    "</f>
        <v xml:space="preserve">20880424    </v>
      </c>
      <c r="E16308" t="s">
        <v>2828</v>
      </c>
      <c r="F16308" t="s">
        <v>2829</v>
      </c>
      <c r="G16308">
        <v>21.15</v>
      </c>
      <c r="H16308">
        <v>250531</v>
      </c>
      <c r="I16308">
        <v>4520</v>
      </c>
      <c r="J16308" t="s">
        <v>280</v>
      </c>
      <c r="K16308">
        <v>530.73</v>
      </c>
      <c r="L16308">
        <v>2.6</v>
      </c>
      <c r="M16308">
        <v>17531</v>
      </c>
      <c r="N16308" t="s">
        <v>145</v>
      </c>
      <c r="O16308">
        <v>250611</v>
      </c>
      <c r="P16308">
        <v>18.55</v>
      </c>
    </row>
    <row r="16309" spans="1:16" x14ac:dyDescent="0.25">
      <c r="A16309" t="s">
        <v>3296</v>
      </c>
      <c r="B16309" t="s">
        <v>2931</v>
      </c>
      <c r="C16309">
        <v>8289</v>
      </c>
      <c r="D16309" t="str">
        <f>"20880439    "</f>
        <v xml:space="preserve">20880439    </v>
      </c>
      <c r="E16309" t="s">
        <v>2828</v>
      </c>
      <c r="F16309" t="s">
        <v>2829</v>
      </c>
      <c r="G16309">
        <v>178.44</v>
      </c>
      <c r="H16309">
        <v>250531</v>
      </c>
      <c r="I16309">
        <v>4520</v>
      </c>
      <c r="J16309" t="s">
        <v>280</v>
      </c>
      <c r="K16309">
        <v>1397.94</v>
      </c>
      <c r="L16309">
        <v>21.91</v>
      </c>
      <c r="M16309">
        <v>13901</v>
      </c>
      <c r="N16309" t="s">
        <v>116</v>
      </c>
      <c r="O16309">
        <v>250612</v>
      </c>
      <c r="P16309">
        <v>156.53</v>
      </c>
    </row>
    <row r="16310" spans="1:16" x14ac:dyDescent="0.25">
      <c r="A16310" t="s">
        <v>3296</v>
      </c>
      <c r="B16310" t="s">
        <v>2931</v>
      </c>
      <c r="C16310">
        <v>8502</v>
      </c>
      <c r="D16310" t="str">
        <f>"20880440    "</f>
        <v xml:space="preserve">20880440    </v>
      </c>
      <c r="E16310" t="s">
        <v>2828</v>
      </c>
      <c r="F16310" t="s">
        <v>2829</v>
      </c>
      <c r="G16310">
        <v>105.08</v>
      </c>
      <c r="H16310">
        <v>250531</v>
      </c>
      <c r="I16310">
        <v>4520</v>
      </c>
      <c r="J16310" t="s">
        <v>280</v>
      </c>
      <c r="K16310">
        <v>284.42</v>
      </c>
      <c r="L16310">
        <v>12.9</v>
      </c>
      <c r="M16310">
        <v>49112</v>
      </c>
      <c r="N16310" t="s">
        <v>109</v>
      </c>
      <c r="O16310">
        <v>250617</v>
      </c>
      <c r="P16310">
        <v>92.18</v>
      </c>
    </row>
    <row r="16311" spans="1:16" x14ac:dyDescent="0.25">
      <c r="A16311" t="s">
        <v>3296</v>
      </c>
      <c r="B16311" t="s">
        <v>2931</v>
      </c>
      <c r="C16311">
        <v>8502</v>
      </c>
      <c r="D16311" t="str">
        <f>"20880440    "</f>
        <v xml:space="preserve">20880440    </v>
      </c>
      <c r="E16311" t="s">
        <v>2828</v>
      </c>
      <c r="F16311" t="s">
        <v>2829</v>
      </c>
      <c r="G16311">
        <v>150</v>
      </c>
      <c r="H16311">
        <v>250531</v>
      </c>
      <c r="I16311">
        <v>4520</v>
      </c>
      <c r="J16311" t="s">
        <v>280</v>
      </c>
      <c r="K16311">
        <v>284.42</v>
      </c>
      <c r="L16311">
        <v>0</v>
      </c>
      <c r="M16311">
        <v>49112</v>
      </c>
      <c r="N16311" t="s">
        <v>109</v>
      </c>
      <c r="O16311">
        <v>250617</v>
      </c>
      <c r="P16311">
        <v>150</v>
      </c>
    </row>
    <row r="16312" spans="1:16" x14ac:dyDescent="0.25">
      <c r="A16312" t="s">
        <v>3296</v>
      </c>
      <c r="B16312" t="s">
        <v>2931</v>
      </c>
      <c r="C16312">
        <v>8763</v>
      </c>
      <c r="D16312" t="str">
        <f>"20880434    "</f>
        <v xml:space="preserve">20880434    </v>
      </c>
      <c r="E16312" t="s">
        <v>2828</v>
      </c>
      <c r="F16312" t="s">
        <v>2829</v>
      </c>
      <c r="G16312">
        <v>108.08</v>
      </c>
      <c r="H16312">
        <v>250531</v>
      </c>
      <c r="I16312">
        <v>4520</v>
      </c>
      <c r="J16312" t="s">
        <v>280</v>
      </c>
      <c r="K16312">
        <v>108.08</v>
      </c>
      <c r="L16312">
        <v>13.27</v>
      </c>
      <c r="M16312">
        <v>44253</v>
      </c>
      <c r="N16312" t="s">
        <v>403</v>
      </c>
      <c r="O16312">
        <v>250618</v>
      </c>
      <c r="P16312">
        <v>94.81</v>
      </c>
    </row>
    <row r="16313" spans="1:16" x14ac:dyDescent="0.25">
      <c r="A16313" t="s">
        <v>3296</v>
      </c>
      <c r="B16313" t="s">
        <v>2931</v>
      </c>
      <c r="C16313">
        <v>9361</v>
      </c>
      <c r="D16313" t="str">
        <f>"20926996    "</f>
        <v xml:space="preserve">20926996    </v>
      </c>
      <c r="E16313" t="s">
        <v>2828</v>
      </c>
      <c r="F16313" t="s">
        <v>2829</v>
      </c>
      <c r="G16313">
        <v>59.6</v>
      </c>
      <c r="H16313">
        <v>250630</v>
      </c>
      <c r="I16313">
        <v>4520</v>
      </c>
      <c r="J16313" t="s">
        <v>280</v>
      </c>
      <c r="K16313">
        <v>119.58</v>
      </c>
      <c r="L16313">
        <v>7.32</v>
      </c>
      <c r="M16313">
        <v>17912</v>
      </c>
      <c r="N16313" t="s">
        <v>505</v>
      </c>
      <c r="O16313">
        <v>250704</v>
      </c>
      <c r="P16313">
        <v>52.28</v>
      </c>
    </row>
    <row r="16314" spans="1:16" x14ac:dyDescent="0.25">
      <c r="A16314" t="s">
        <v>3296</v>
      </c>
      <c r="B16314" t="s">
        <v>2931</v>
      </c>
      <c r="C16314">
        <v>9437</v>
      </c>
      <c r="D16314" t="str">
        <f>"20926990    "</f>
        <v xml:space="preserve">20926990    </v>
      </c>
      <c r="E16314" t="s">
        <v>2828</v>
      </c>
      <c r="F16314" t="s">
        <v>2829</v>
      </c>
      <c r="G16314">
        <v>96.9</v>
      </c>
      <c r="H16314">
        <v>250630</v>
      </c>
      <c r="I16314">
        <v>4520</v>
      </c>
      <c r="J16314" t="s">
        <v>280</v>
      </c>
      <c r="K16314">
        <v>326.36</v>
      </c>
      <c r="L16314">
        <v>11.9</v>
      </c>
      <c r="M16314">
        <v>67522</v>
      </c>
      <c r="N16314" t="s">
        <v>121</v>
      </c>
      <c r="O16314">
        <v>250707</v>
      </c>
      <c r="P16314">
        <v>85</v>
      </c>
    </row>
    <row r="16315" spans="1:16" x14ac:dyDescent="0.25">
      <c r="A16315" t="s">
        <v>3296</v>
      </c>
      <c r="B16315" t="s">
        <v>2931</v>
      </c>
      <c r="C16315">
        <v>9442</v>
      </c>
      <c r="D16315" t="str">
        <f>"20926998    "</f>
        <v xml:space="preserve">20926998    </v>
      </c>
      <c r="E16315" t="s">
        <v>2828</v>
      </c>
      <c r="F16315" t="s">
        <v>2829</v>
      </c>
      <c r="G16315">
        <v>9.01</v>
      </c>
      <c r="H16315">
        <v>250630</v>
      </c>
      <c r="I16315">
        <v>4520</v>
      </c>
      <c r="J16315" t="s">
        <v>280</v>
      </c>
      <c r="K16315">
        <v>9.94</v>
      </c>
      <c r="L16315">
        <v>1.1100000000000001</v>
      </c>
      <c r="M16315">
        <v>13861</v>
      </c>
      <c r="N16315" t="s">
        <v>604</v>
      </c>
      <c r="O16315">
        <v>250707</v>
      </c>
      <c r="P16315">
        <v>7.9</v>
      </c>
    </row>
    <row r="16316" spans="1:16" x14ac:dyDescent="0.25">
      <c r="A16316" t="s">
        <v>3296</v>
      </c>
      <c r="B16316" t="s">
        <v>2931</v>
      </c>
      <c r="C16316">
        <v>9508</v>
      </c>
      <c r="D16316" t="str">
        <f>"20926987    "</f>
        <v xml:space="preserve">20926987    </v>
      </c>
      <c r="E16316" t="s">
        <v>2828</v>
      </c>
      <c r="F16316" t="s">
        <v>2829</v>
      </c>
      <c r="G16316">
        <v>36.96</v>
      </c>
      <c r="H16316">
        <v>250630</v>
      </c>
      <c r="I16316">
        <v>4520</v>
      </c>
      <c r="J16316" t="s">
        <v>280</v>
      </c>
      <c r="K16316">
        <v>36.96</v>
      </c>
      <c r="L16316">
        <v>4.54</v>
      </c>
      <c r="M16316">
        <v>54451</v>
      </c>
      <c r="N16316" t="s">
        <v>218</v>
      </c>
      <c r="O16316">
        <v>250709</v>
      </c>
      <c r="P16316">
        <v>32.42</v>
      </c>
    </row>
    <row r="16317" spans="1:16" x14ac:dyDescent="0.25">
      <c r="A16317" t="s">
        <v>3296</v>
      </c>
      <c r="B16317" t="s">
        <v>2931</v>
      </c>
      <c r="C16317">
        <v>9732</v>
      </c>
      <c r="D16317" t="str">
        <f>"20926988    "</f>
        <v xml:space="preserve">20926988    </v>
      </c>
      <c r="E16317" t="s">
        <v>2828</v>
      </c>
      <c r="F16317" t="s">
        <v>2829</v>
      </c>
      <c r="G16317">
        <v>87.45</v>
      </c>
      <c r="H16317">
        <v>250630</v>
      </c>
      <c r="I16317">
        <v>4520</v>
      </c>
      <c r="J16317" t="s">
        <v>280</v>
      </c>
      <c r="K16317">
        <v>87.45</v>
      </c>
      <c r="L16317">
        <v>10.74</v>
      </c>
      <c r="M16317">
        <v>49112</v>
      </c>
      <c r="N16317" t="s">
        <v>109</v>
      </c>
      <c r="O16317">
        <v>250728</v>
      </c>
      <c r="P16317">
        <v>76.709999999999994</v>
      </c>
    </row>
    <row r="16318" spans="1:16" x14ac:dyDescent="0.25">
      <c r="A16318" t="s">
        <v>3296</v>
      </c>
      <c r="B16318" t="s">
        <v>2931</v>
      </c>
      <c r="C16318">
        <v>10108</v>
      </c>
      <c r="D16318" t="str">
        <f>"20970039    "</f>
        <v xml:space="preserve">20970039    </v>
      </c>
      <c r="E16318" t="s">
        <v>2828</v>
      </c>
      <c r="F16318" t="s">
        <v>2829</v>
      </c>
      <c r="G16318">
        <v>58.42</v>
      </c>
      <c r="H16318">
        <v>250731</v>
      </c>
      <c r="I16318">
        <v>4520</v>
      </c>
      <c r="J16318" t="s">
        <v>280</v>
      </c>
      <c r="K16318">
        <v>148.27000000000001</v>
      </c>
      <c r="L16318">
        <v>7.17</v>
      </c>
      <c r="M16318">
        <v>67522</v>
      </c>
      <c r="N16318" t="s">
        <v>121</v>
      </c>
      <c r="O16318">
        <v>250811</v>
      </c>
      <c r="P16318">
        <v>51.25</v>
      </c>
    </row>
    <row r="16319" spans="1:16" x14ac:dyDescent="0.25">
      <c r="A16319" t="s">
        <v>3296</v>
      </c>
      <c r="B16319" t="s">
        <v>2931</v>
      </c>
      <c r="C16319">
        <v>10132</v>
      </c>
      <c r="D16319" t="str">
        <f>"20970042    "</f>
        <v xml:space="preserve">20970042    </v>
      </c>
      <c r="E16319" t="s">
        <v>2828</v>
      </c>
      <c r="F16319" t="s">
        <v>2829</v>
      </c>
      <c r="G16319">
        <v>56.53</v>
      </c>
      <c r="H16319">
        <v>250731</v>
      </c>
      <c r="I16319">
        <v>4520</v>
      </c>
      <c r="J16319" t="s">
        <v>280</v>
      </c>
      <c r="K16319">
        <v>66.209999999999994</v>
      </c>
      <c r="L16319">
        <v>6.94</v>
      </c>
      <c r="M16319">
        <v>69112</v>
      </c>
      <c r="N16319" t="s">
        <v>227</v>
      </c>
      <c r="O16319">
        <v>250812</v>
      </c>
      <c r="P16319">
        <v>49.59</v>
      </c>
    </row>
    <row r="16320" spans="1:16" x14ac:dyDescent="0.25">
      <c r="A16320" t="s">
        <v>3296</v>
      </c>
      <c r="B16320" t="s">
        <v>2931</v>
      </c>
      <c r="C16320">
        <v>10132</v>
      </c>
      <c r="D16320" t="str">
        <f>"20970042    "</f>
        <v xml:space="preserve">20970042    </v>
      </c>
      <c r="E16320" t="s">
        <v>2828</v>
      </c>
      <c r="F16320" t="s">
        <v>2829</v>
      </c>
      <c r="G16320">
        <v>3.14</v>
      </c>
      <c r="H16320">
        <v>250731</v>
      </c>
      <c r="I16320">
        <v>4520</v>
      </c>
      <c r="J16320" t="s">
        <v>280</v>
      </c>
      <c r="K16320">
        <v>66.209999999999994</v>
      </c>
      <c r="L16320">
        <v>0.39</v>
      </c>
      <c r="M16320">
        <v>69810</v>
      </c>
      <c r="N16320" t="s">
        <v>229</v>
      </c>
      <c r="O16320">
        <v>250812</v>
      </c>
      <c r="P16320">
        <v>2.75</v>
      </c>
    </row>
    <row r="16321" spans="1:16" x14ac:dyDescent="0.25">
      <c r="A16321" t="s">
        <v>3296</v>
      </c>
      <c r="B16321" t="s">
        <v>2931</v>
      </c>
      <c r="C16321">
        <v>10132</v>
      </c>
      <c r="D16321" t="str">
        <f>"20970042    "</f>
        <v xml:space="preserve">20970042    </v>
      </c>
      <c r="E16321" t="s">
        <v>2828</v>
      </c>
      <c r="F16321" t="s">
        <v>2829</v>
      </c>
      <c r="G16321">
        <v>3.14</v>
      </c>
      <c r="H16321">
        <v>250731</v>
      </c>
      <c r="I16321">
        <v>4520</v>
      </c>
      <c r="J16321" t="s">
        <v>280</v>
      </c>
      <c r="K16321">
        <v>66.209999999999994</v>
      </c>
      <c r="L16321">
        <v>0.39</v>
      </c>
      <c r="M16321">
        <v>69811</v>
      </c>
      <c r="N16321" t="s">
        <v>230</v>
      </c>
      <c r="O16321">
        <v>250812</v>
      </c>
      <c r="P16321">
        <v>2.75</v>
      </c>
    </row>
    <row r="16322" spans="1:16" x14ac:dyDescent="0.25">
      <c r="A16322" t="s">
        <v>3296</v>
      </c>
      <c r="B16322" t="s">
        <v>2931</v>
      </c>
      <c r="C16322">
        <v>10143</v>
      </c>
      <c r="D16322" t="str">
        <f>"20970043    "</f>
        <v xml:space="preserve">20970043    </v>
      </c>
      <c r="E16322" t="s">
        <v>2828</v>
      </c>
      <c r="F16322" t="s">
        <v>2829</v>
      </c>
      <c r="G16322">
        <v>43.65</v>
      </c>
      <c r="H16322">
        <v>250731</v>
      </c>
      <c r="I16322">
        <v>4520</v>
      </c>
      <c r="J16322" t="s">
        <v>280</v>
      </c>
      <c r="K16322">
        <v>90.69</v>
      </c>
      <c r="L16322">
        <v>5.36</v>
      </c>
      <c r="M16322">
        <v>17915</v>
      </c>
      <c r="N16322" t="s">
        <v>305</v>
      </c>
      <c r="O16322">
        <v>250812</v>
      </c>
      <c r="P16322">
        <v>38.29</v>
      </c>
    </row>
    <row r="16323" spans="1:16" x14ac:dyDescent="0.25">
      <c r="A16323" t="s">
        <v>3296</v>
      </c>
      <c r="B16323" t="s">
        <v>2931</v>
      </c>
      <c r="C16323">
        <v>10143</v>
      </c>
      <c r="D16323" t="str">
        <f>"20970043    "</f>
        <v xml:space="preserve">20970043    </v>
      </c>
      <c r="E16323" t="s">
        <v>2828</v>
      </c>
      <c r="F16323" t="s">
        <v>2829</v>
      </c>
      <c r="G16323">
        <v>45.51</v>
      </c>
      <c r="H16323">
        <v>250731</v>
      </c>
      <c r="I16323">
        <v>4520</v>
      </c>
      <c r="J16323" t="s">
        <v>280</v>
      </c>
      <c r="K16323">
        <v>90.69</v>
      </c>
      <c r="L16323">
        <v>5.59</v>
      </c>
      <c r="M16323">
        <v>17915</v>
      </c>
      <c r="N16323" t="s">
        <v>305</v>
      </c>
      <c r="O16323">
        <v>250812</v>
      </c>
      <c r="P16323">
        <v>39.92</v>
      </c>
    </row>
    <row r="16324" spans="1:16" x14ac:dyDescent="0.25">
      <c r="A16324" t="s">
        <v>3296</v>
      </c>
      <c r="B16324" t="s">
        <v>2931</v>
      </c>
      <c r="C16324">
        <v>11397</v>
      </c>
      <c r="D16324" t="str">
        <f>"21011819    "</f>
        <v xml:space="preserve">21011819    </v>
      </c>
      <c r="E16324" t="s">
        <v>2828</v>
      </c>
      <c r="F16324" t="s">
        <v>2829</v>
      </c>
      <c r="G16324">
        <v>28.76</v>
      </c>
      <c r="H16324">
        <v>250831</v>
      </c>
      <c r="I16324">
        <v>4520</v>
      </c>
      <c r="J16324" t="s">
        <v>280</v>
      </c>
      <c r="K16324">
        <v>112.87</v>
      </c>
      <c r="L16324">
        <v>3.53</v>
      </c>
      <c r="M16324">
        <v>17912</v>
      </c>
      <c r="N16324" t="s">
        <v>505</v>
      </c>
      <c r="O16324">
        <v>250904</v>
      </c>
      <c r="P16324">
        <v>25.23</v>
      </c>
    </row>
    <row r="16325" spans="1:16" x14ac:dyDescent="0.25">
      <c r="A16325" t="s">
        <v>3296</v>
      </c>
      <c r="B16325" t="s">
        <v>2931</v>
      </c>
      <c r="C16325">
        <v>11397</v>
      </c>
      <c r="D16325" t="str">
        <f>"21011819    "</f>
        <v xml:space="preserve">21011819    </v>
      </c>
      <c r="E16325" t="s">
        <v>2828</v>
      </c>
      <c r="F16325" t="s">
        <v>2829</v>
      </c>
      <c r="G16325">
        <v>76.06</v>
      </c>
      <c r="H16325">
        <v>250831</v>
      </c>
      <c r="I16325">
        <v>4520</v>
      </c>
      <c r="J16325" t="s">
        <v>280</v>
      </c>
      <c r="K16325">
        <v>112.87</v>
      </c>
      <c r="L16325">
        <v>9.34</v>
      </c>
      <c r="M16325">
        <v>17912</v>
      </c>
      <c r="N16325" t="s">
        <v>505</v>
      </c>
      <c r="O16325">
        <v>250904</v>
      </c>
      <c r="P16325">
        <v>66.72</v>
      </c>
    </row>
    <row r="16326" spans="1:16" x14ac:dyDescent="0.25">
      <c r="A16326" t="s">
        <v>3296</v>
      </c>
      <c r="B16326" t="s">
        <v>2931</v>
      </c>
      <c r="C16326">
        <v>11400</v>
      </c>
      <c r="D16326" t="str">
        <f>"21011818    "</f>
        <v xml:space="preserve">21011818    </v>
      </c>
      <c r="E16326" t="s">
        <v>2828</v>
      </c>
      <c r="F16326" t="s">
        <v>2829</v>
      </c>
      <c r="G16326">
        <v>126.66</v>
      </c>
      <c r="H16326">
        <v>250831</v>
      </c>
      <c r="I16326">
        <v>4520</v>
      </c>
      <c r="J16326" t="s">
        <v>280</v>
      </c>
      <c r="K16326">
        <v>142.53</v>
      </c>
      <c r="L16326">
        <v>15.55</v>
      </c>
      <c r="M16326">
        <v>54451</v>
      </c>
      <c r="N16326" t="s">
        <v>218</v>
      </c>
      <c r="O16326">
        <v>250904</v>
      </c>
      <c r="P16326">
        <v>111.11</v>
      </c>
    </row>
    <row r="16327" spans="1:16" x14ac:dyDescent="0.25">
      <c r="A16327" t="s">
        <v>3296</v>
      </c>
      <c r="B16327" t="s">
        <v>2931</v>
      </c>
      <c r="C16327">
        <v>11402</v>
      </c>
      <c r="D16327" t="str">
        <f>"21011813    "</f>
        <v xml:space="preserve">21011813    </v>
      </c>
      <c r="E16327" t="s">
        <v>2828</v>
      </c>
      <c r="F16327" t="s">
        <v>2829</v>
      </c>
      <c r="G16327">
        <v>181.24</v>
      </c>
      <c r="H16327">
        <v>250831</v>
      </c>
      <c r="I16327">
        <v>4520</v>
      </c>
      <c r="J16327" t="s">
        <v>280</v>
      </c>
      <c r="K16327">
        <v>203.18</v>
      </c>
      <c r="L16327">
        <v>22.26</v>
      </c>
      <c r="M16327">
        <v>69112</v>
      </c>
      <c r="N16327" t="s">
        <v>227</v>
      </c>
      <c r="O16327">
        <v>250904</v>
      </c>
      <c r="P16327">
        <v>158.97999999999999</v>
      </c>
    </row>
    <row r="16328" spans="1:16" x14ac:dyDescent="0.25">
      <c r="A16328" t="s">
        <v>3296</v>
      </c>
      <c r="B16328" t="s">
        <v>2931</v>
      </c>
      <c r="C16328">
        <v>11402</v>
      </c>
      <c r="D16328" t="str">
        <f>"21011813    "</f>
        <v xml:space="preserve">21011813    </v>
      </c>
      <c r="E16328" t="s">
        <v>2828</v>
      </c>
      <c r="F16328" t="s">
        <v>2829</v>
      </c>
      <c r="G16328">
        <v>10.07</v>
      </c>
      <c r="H16328">
        <v>250831</v>
      </c>
      <c r="I16328">
        <v>4520</v>
      </c>
      <c r="J16328" t="s">
        <v>280</v>
      </c>
      <c r="K16328">
        <v>203.18</v>
      </c>
      <c r="L16328">
        <v>1.24</v>
      </c>
      <c r="M16328">
        <v>69810</v>
      </c>
      <c r="N16328" t="s">
        <v>229</v>
      </c>
      <c r="O16328">
        <v>250904</v>
      </c>
      <c r="P16328">
        <v>8.83</v>
      </c>
    </row>
    <row r="16329" spans="1:16" x14ac:dyDescent="0.25">
      <c r="A16329" t="s">
        <v>3296</v>
      </c>
      <c r="B16329" t="s">
        <v>2931</v>
      </c>
      <c r="C16329">
        <v>11402</v>
      </c>
      <c r="D16329" t="str">
        <f>"21011813    "</f>
        <v xml:space="preserve">21011813    </v>
      </c>
      <c r="E16329" t="s">
        <v>2828</v>
      </c>
      <c r="F16329" t="s">
        <v>2829</v>
      </c>
      <c r="G16329">
        <v>10.07</v>
      </c>
      <c r="H16329">
        <v>250831</v>
      </c>
      <c r="I16329">
        <v>4520</v>
      </c>
      <c r="J16329" t="s">
        <v>280</v>
      </c>
      <c r="K16329">
        <v>203.18</v>
      </c>
      <c r="L16329">
        <v>1.24</v>
      </c>
      <c r="M16329">
        <v>69811</v>
      </c>
      <c r="N16329" t="s">
        <v>230</v>
      </c>
      <c r="O16329">
        <v>250904</v>
      </c>
      <c r="P16329">
        <v>8.83</v>
      </c>
    </row>
    <row r="16330" spans="1:16" x14ac:dyDescent="0.25">
      <c r="A16330" t="s">
        <v>3296</v>
      </c>
      <c r="B16330" t="s">
        <v>2931</v>
      </c>
      <c r="C16330">
        <v>11403</v>
      </c>
      <c r="D16330" t="str">
        <f>"21011808    "</f>
        <v xml:space="preserve">21011808    </v>
      </c>
      <c r="E16330" t="s">
        <v>2828</v>
      </c>
      <c r="F16330" t="s">
        <v>2829</v>
      </c>
      <c r="G16330">
        <v>0.6</v>
      </c>
      <c r="H16330">
        <v>250831</v>
      </c>
      <c r="I16330">
        <v>4520</v>
      </c>
      <c r="J16330" t="s">
        <v>280</v>
      </c>
      <c r="K16330">
        <v>164.61</v>
      </c>
      <c r="L16330">
        <v>0.12</v>
      </c>
      <c r="M16330">
        <v>16431</v>
      </c>
      <c r="N16330" t="s">
        <v>17</v>
      </c>
      <c r="O16330">
        <v>250904</v>
      </c>
      <c r="P16330">
        <v>0.48</v>
      </c>
    </row>
    <row r="16331" spans="1:16" x14ac:dyDescent="0.25">
      <c r="A16331" t="s">
        <v>3296</v>
      </c>
      <c r="B16331" t="s">
        <v>2931</v>
      </c>
      <c r="C16331">
        <v>11403</v>
      </c>
      <c r="D16331" t="str">
        <f>"21011808    "</f>
        <v xml:space="preserve">21011808    </v>
      </c>
      <c r="E16331" t="s">
        <v>2828</v>
      </c>
      <c r="F16331" t="s">
        <v>2829</v>
      </c>
      <c r="G16331">
        <v>164.01</v>
      </c>
      <c r="H16331">
        <v>250831</v>
      </c>
      <c r="I16331">
        <v>4520</v>
      </c>
      <c r="J16331" t="s">
        <v>280</v>
      </c>
      <c r="K16331">
        <v>164.61</v>
      </c>
      <c r="L16331">
        <v>20.14</v>
      </c>
      <c r="M16331">
        <v>16431</v>
      </c>
      <c r="N16331" t="s">
        <v>17</v>
      </c>
      <c r="O16331">
        <v>250904</v>
      </c>
      <c r="P16331">
        <v>143.87</v>
      </c>
    </row>
    <row r="16332" spans="1:16" x14ac:dyDescent="0.25">
      <c r="A16332" t="s">
        <v>3296</v>
      </c>
      <c r="B16332" t="s">
        <v>2931</v>
      </c>
      <c r="C16332">
        <v>11454</v>
      </c>
      <c r="D16332" t="str">
        <f>"21011821    "</f>
        <v xml:space="preserve">21011821    </v>
      </c>
      <c r="E16332" t="s">
        <v>2828</v>
      </c>
      <c r="F16332" t="s">
        <v>2829</v>
      </c>
      <c r="G16332">
        <v>20.88</v>
      </c>
      <c r="H16332">
        <v>250831</v>
      </c>
      <c r="I16332">
        <v>4520</v>
      </c>
      <c r="J16332" t="s">
        <v>280</v>
      </c>
      <c r="K16332">
        <v>20.88</v>
      </c>
      <c r="L16332">
        <v>2.56</v>
      </c>
      <c r="M16332">
        <v>49112</v>
      </c>
      <c r="N16332" t="s">
        <v>109</v>
      </c>
      <c r="O16332">
        <v>250905</v>
      </c>
      <c r="P16332">
        <v>18.32</v>
      </c>
    </row>
    <row r="16333" spans="1:16" x14ac:dyDescent="0.25">
      <c r="A16333" t="s">
        <v>3296</v>
      </c>
      <c r="B16333" t="s">
        <v>2931</v>
      </c>
      <c r="C16333">
        <v>11455</v>
      </c>
      <c r="D16333" t="str">
        <f>"21011820    "</f>
        <v xml:space="preserve">21011820    </v>
      </c>
      <c r="E16333" t="s">
        <v>2828</v>
      </c>
      <c r="F16333" t="s">
        <v>2829</v>
      </c>
      <c r="G16333">
        <v>69.7</v>
      </c>
      <c r="H16333">
        <v>250831</v>
      </c>
      <c r="I16333">
        <v>4520</v>
      </c>
      <c r="J16333" t="s">
        <v>280</v>
      </c>
      <c r="K16333">
        <v>69.7</v>
      </c>
      <c r="L16333">
        <v>8.56</v>
      </c>
      <c r="M16333">
        <v>13932</v>
      </c>
      <c r="N16333" t="s">
        <v>680</v>
      </c>
      <c r="O16333">
        <v>250905</v>
      </c>
      <c r="P16333">
        <v>61.14</v>
      </c>
    </row>
    <row r="16334" spans="1:16" x14ac:dyDescent="0.25">
      <c r="A16334" t="s">
        <v>3296</v>
      </c>
      <c r="B16334" t="s">
        <v>2931</v>
      </c>
      <c r="C16334">
        <v>11552</v>
      </c>
      <c r="D16334" t="str">
        <f>"21011809    "</f>
        <v xml:space="preserve">21011809    </v>
      </c>
      <c r="E16334" t="s">
        <v>2828</v>
      </c>
      <c r="F16334" t="s">
        <v>2829</v>
      </c>
      <c r="G16334">
        <v>66.8</v>
      </c>
      <c r="H16334">
        <v>250831</v>
      </c>
      <c r="I16334">
        <v>4520</v>
      </c>
      <c r="J16334" t="s">
        <v>280</v>
      </c>
      <c r="K16334">
        <v>431.5</v>
      </c>
      <c r="L16334">
        <v>8.1999999999999993</v>
      </c>
      <c r="M16334">
        <v>67522</v>
      </c>
      <c r="N16334" t="s">
        <v>121</v>
      </c>
      <c r="O16334">
        <v>250908</v>
      </c>
      <c r="P16334">
        <v>58.6</v>
      </c>
    </row>
    <row r="16335" spans="1:16" x14ac:dyDescent="0.25">
      <c r="A16335" t="s">
        <v>3296</v>
      </c>
      <c r="B16335" t="s">
        <v>2931</v>
      </c>
      <c r="C16335">
        <v>11552</v>
      </c>
      <c r="D16335" t="str">
        <f>"21011809    "</f>
        <v xml:space="preserve">21011809    </v>
      </c>
      <c r="E16335" t="s">
        <v>2828</v>
      </c>
      <c r="F16335" t="s">
        <v>2829</v>
      </c>
      <c r="G16335">
        <v>77.42</v>
      </c>
      <c r="H16335">
        <v>250831</v>
      </c>
      <c r="I16335">
        <v>4520</v>
      </c>
      <c r="J16335" t="s">
        <v>280</v>
      </c>
      <c r="K16335">
        <v>431.5</v>
      </c>
      <c r="L16335">
        <v>9.51</v>
      </c>
      <c r="M16335">
        <v>69111</v>
      </c>
      <c r="N16335" t="s">
        <v>657</v>
      </c>
      <c r="O16335">
        <v>250908</v>
      </c>
      <c r="P16335">
        <v>67.91</v>
      </c>
    </row>
    <row r="16336" spans="1:16" x14ac:dyDescent="0.25">
      <c r="A16336" t="s">
        <v>3296</v>
      </c>
      <c r="B16336" t="s">
        <v>2931</v>
      </c>
      <c r="C16336">
        <v>11558</v>
      </c>
      <c r="D16336" t="str">
        <f>"21011807    "</f>
        <v xml:space="preserve">21011807    </v>
      </c>
      <c r="E16336" t="s">
        <v>2828</v>
      </c>
      <c r="F16336" t="s">
        <v>2829</v>
      </c>
      <c r="G16336">
        <v>46.33</v>
      </c>
      <c r="H16336">
        <v>250831</v>
      </c>
      <c r="I16336">
        <v>4520</v>
      </c>
      <c r="J16336" t="s">
        <v>280</v>
      </c>
      <c r="K16336">
        <v>51.48</v>
      </c>
      <c r="L16336">
        <v>5.69</v>
      </c>
      <c r="M16336">
        <v>69113</v>
      </c>
      <c r="N16336" t="s">
        <v>122</v>
      </c>
      <c r="O16336">
        <v>250908</v>
      </c>
      <c r="P16336">
        <v>40.64</v>
      </c>
    </row>
    <row r="16337" spans="1:16" x14ac:dyDescent="0.25">
      <c r="A16337" t="s">
        <v>3296</v>
      </c>
      <c r="B16337" t="s">
        <v>2931</v>
      </c>
      <c r="C16337">
        <v>11558</v>
      </c>
      <c r="D16337" t="str">
        <f>"21011807    "</f>
        <v xml:space="preserve">21011807    </v>
      </c>
      <c r="E16337" t="s">
        <v>2828</v>
      </c>
      <c r="F16337" t="s">
        <v>2829</v>
      </c>
      <c r="G16337">
        <v>5.15</v>
      </c>
      <c r="H16337">
        <v>250831</v>
      </c>
      <c r="I16337">
        <v>4520</v>
      </c>
      <c r="J16337" t="s">
        <v>280</v>
      </c>
      <c r="K16337">
        <v>51.48</v>
      </c>
      <c r="L16337">
        <v>0.63</v>
      </c>
      <c r="M16337">
        <v>69802</v>
      </c>
      <c r="N16337" t="s">
        <v>375</v>
      </c>
      <c r="O16337">
        <v>250908</v>
      </c>
      <c r="P16337">
        <v>4.5199999999999996</v>
      </c>
    </row>
    <row r="16338" spans="1:16" x14ac:dyDescent="0.25">
      <c r="A16338" t="s">
        <v>3296</v>
      </c>
      <c r="B16338" t="s">
        <v>2931</v>
      </c>
      <c r="C16338">
        <v>11974</v>
      </c>
      <c r="D16338" t="str">
        <f>"21011814    "</f>
        <v xml:space="preserve">21011814    </v>
      </c>
      <c r="E16338" t="s">
        <v>2828</v>
      </c>
      <c r="F16338" t="s">
        <v>2829</v>
      </c>
      <c r="G16338">
        <v>170.6</v>
      </c>
      <c r="H16338">
        <v>250831</v>
      </c>
      <c r="I16338">
        <v>4520</v>
      </c>
      <c r="J16338" t="s">
        <v>280</v>
      </c>
      <c r="K16338">
        <v>213.18</v>
      </c>
      <c r="L16338">
        <v>20.95</v>
      </c>
      <c r="M16338">
        <v>59111</v>
      </c>
      <c r="N16338" t="s">
        <v>60</v>
      </c>
      <c r="O16338">
        <v>250915</v>
      </c>
      <c r="P16338">
        <v>149.65</v>
      </c>
    </row>
    <row r="16339" spans="1:16" x14ac:dyDescent="0.25">
      <c r="A16339" t="s">
        <v>3296</v>
      </c>
      <c r="B16339" t="s">
        <v>2931</v>
      </c>
      <c r="C16339">
        <v>12031</v>
      </c>
      <c r="D16339" t="str">
        <f t="shared" ref="D16339:D16347" si="268">"21011817    "</f>
        <v xml:space="preserve">21011817    </v>
      </c>
      <c r="E16339" t="s">
        <v>2828</v>
      </c>
      <c r="F16339" t="s">
        <v>2829</v>
      </c>
      <c r="G16339">
        <v>124.82</v>
      </c>
      <c r="H16339">
        <v>250831</v>
      </c>
      <c r="I16339">
        <v>4520</v>
      </c>
      <c r="J16339" t="s">
        <v>280</v>
      </c>
      <c r="K16339">
        <v>471.81</v>
      </c>
      <c r="L16339">
        <v>15.33</v>
      </c>
      <c r="M16339">
        <v>11605</v>
      </c>
      <c r="N16339" t="s">
        <v>1066</v>
      </c>
      <c r="O16339">
        <v>250915</v>
      </c>
      <c r="P16339">
        <v>109.49</v>
      </c>
    </row>
    <row r="16340" spans="1:16" x14ac:dyDescent="0.25">
      <c r="A16340" t="s">
        <v>3296</v>
      </c>
      <c r="B16340" t="s">
        <v>2931</v>
      </c>
      <c r="C16340">
        <v>12031</v>
      </c>
      <c r="D16340" t="str">
        <f t="shared" si="268"/>
        <v xml:space="preserve">21011817    </v>
      </c>
      <c r="E16340" t="s">
        <v>2828</v>
      </c>
      <c r="F16340" t="s">
        <v>2829</v>
      </c>
      <c r="G16340">
        <v>4.58</v>
      </c>
      <c r="H16340">
        <v>250831</v>
      </c>
      <c r="I16340">
        <v>4520</v>
      </c>
      <c r="J16340" t="s">
        <v>280</v>
      </c>
      <c r="K16340">
        <v>471.81</v>
      </c>
      <c r="L16340">
        <v>0.56000000000000005</v>
      </c>
      <c r="M16340">
        <v>14422</v>
      </c>
      <c r="N16340" t="s">
        <v>73</v>
      </c>
      <c r="O16340">
        <v>250915</v>
      </c>
      <c r="P16340">
        <v>4.0199999999999996</v>
      </c>
    </row>
    <row r="16341" spans="1:16" x14ac:dyDescent="0.25">
      <c r="A16341" t="s">
        <v>3296</v>
      </c>
      <c r="B16341" t="s">
        <v>2931</v>
      </c>
      <c r="C16341">
        <v>12031</v>
      </c>
      <c r="D16341" t="str">
        <f t="shared" si="268"/>
        <v xml:space="preserve">21011817    </v>
      </c>
      <c r="E16341" t="s">
        <v>2828</v>
      </c>
      <c r="F16341" t="s">
        <v>2829</v>
      </c>
      <c r="G16341">
        <v>14.23</v>
      </c>
      <c r="H16341">
        <v>250831</v>
      </c>
      <c r="I16341">
        <v>4520</v>
      </c>
      <c r="J16341" t="s">
        <v>280</v>
      </c>
      <c r="K16341">
        <v>471.81</v>
      </c>
      <c r="L16341">
        <v>1.75</v>
      </c>
      <c r="M16341">
        <v>14422</v>
      </c>
      <c r="N16341" t="s">
        <v>73</v>
      </c>
      <c r="O16341">
        <v>250915</v>
      </c>
      <c r="P16341">
        <v>12.48</v>
      </c>
    </row>
    <row r="16342" spans="1:16" x14ac:dyDescent="0.25">
      <c r="A16342" t="s">
        <v>3296</v>
      </c>
      <c r="B16342" t="s">
        <v>2931</v>
      </c>
      <c r="C16342">
        <v>12031</v>
      </c>
      <c r="D16342" t="str">
        <f t="shared" si="268"/>
        <v xml:space="preserve">21011817    </v>
      </c>
      <c r="E16342" t="s">
        <v>2828</v>
      </c>
      <c r="F16342" t="s">
        <v>2829</v>
      </c>
      <c r="G16342">
        <v>18.059999999999999</v>
      </c>
      <c r="H16342">
        <v>250831</v>
      </c>
      <c r="I16342">
        <v>4520</v>
      </c>
      <c r="J16342" t="s">
        <v>280</v>
      </c>
      <c r="K16342">
        <v>471.81</v>
      </c>
      <c r="L16342">
        <v>2.2200000000000002</v>
      </c>
      <c r="M16342">
        <v>14422</v>
      </c>
      <c r="N16342" t="s">
        <v>73</v>
      </c>
      <c r="O16342">
        <v>250915</v>
      </c>
      <c r="P16342">
        <v>15.84</v>
      </c>
    </row>
    <row r="16343" spans="1:16" x14ac:dyDescent="0.25">
      <c r="A16343" t="s">
        <v>3296</v>
      </c>
      <c r="B16343" t="s">
        <v>2931</v>
      </c>
      <c r="C16343">
        <v>12031</v>
      </c>
      <c r="D16343" t="str">
        <f t="shared" si="268"/>
        <v xml:space="preserve">21011817    </v>
      </c>
      <c r="E16343" t="s">
        <v>2828</v>
      </c>
      <c r="F16343" t="s">
        <v>2829</v>
      </c>
      <c r="G16343">
        <v>30.39</v>
      </c>
      <c r="H16343">
        <v>250831</v>
      </c>
      <c r="I16343">
        <v>4520</v>
      </c>
      <c r="J16343" t="s">
        <v>280</v>
      </c>
      <c r="K16343">
        <v>471.81</v>
      </c>
      <c r="L16343">
        <v>3.73</v>
      </c>
      <c r="M16343">
        <v>14422</v>
      </c>
      <c r="N16343" t="s">
        <v>73</v>
      </c>
      <c r="O16343">
        <v>250915</v>
      </c>
      <c r="P16343">
        <v>26.66</v>
      </c>
    </row>
    <row r="16344" spans="1:16" x14ac:dyDescent="0.25">
      <c r="A16344" t="s">
        <v>3296</v>
      </c>
      <c r="B16344" t="s">
        <v>2931</v>
      </c>
      <c r="C16344">
        <v>12031</v>
      </c>
      <c r="D16344" t="str">
        <f t="shared" si="268"/>
        <v xml:space="preserve">21011817    </v>
      </c>
      <c r="E16344" t="s">
        <v>2828</v>
      </c>
      <c r="F16344" t="s">
        <v>2829</v>
      </c>
      <c r="G16344">
        <v>34.979999999999997</v>
      </c>
      <c r="H16344">
        <v>250831</v>
      </c>
      <c r="I16344">
        <v>4520</v>
      </c>
      <c r="J16344" t="s">
        <v>280</v>
      </c>
      <c r="K16344">
        <v>471.81</v>
      </c>
      <c r="L16344">
        <v>4.3</v>
      </c>
      <c r="M16344">
        <v>14541</v>
      </c>
      <c r="N16344" t="s">
        <v>76</v>
      </c>
      <c r="O16344">
        <v>250915</v>
      </c>
      <c r="P16344">
        <v>30.68</v>
      </c>
    </row>
    <row r="16345" spans="1:16" x14ac:dyDescent="0.25">
      <c r="A16345" t="s">
        <v>3296</v>
      </c>
      <c r="B16345" t="s">
        <v>2931</v>
      </c>
      <c r="C16345">
        <v>12031</v>
      </c>
      <c r="D16345" t="str">
        <f t="shared" si="268"/>
        <v xml:space="preserve">21011817    </v>
      </c>
      <c r="E16345" t="s">
        <v>2828</v>
      </c>
      <c r="F16345" t="s">
        <v>2829</v>
      </c>
      <c r="G16345">
        <v>33.119999999999997</v>
      </c>
      <c r="H16345">
        <v>250831</v>
      </c>
      <c r="I16345">
        <v>4520</v>
      </c>
      <c r="J16345" t="s">
        <v>280</v>
      </c>
      <c r="K16345">
        <v>471.81</v>
      </c>
      <c r="L16345">
        <v>4.07</v>
      </c>
      <c r="M16345">
        <v>14640</v>
      </c>
      <c r="N16345" t="s">
        <v>78</v>
      </c>
      <c r="O16345">
        <v>250915</v>
      </c>
      <c r="P16345">
        <v>29.05</v>
      </c>
    </row>
    <row r="16346" spans="1:16" x14ac:dyDescent="0.25">
      <c r="A16346" t="s">
        <v>3296</v>
      </c>
      <c r="B16346" t="s">
        <v>2931</v>
      </c>
      <c r="C16346">
        <v>12031</v>
      </c>
      <c r="D16346" t="str">
        <f t="shared" si="268"/>
        <v xml:space="preserve">21011817    </v>
      </c>
      <c r="E16346" t="s">
        <v>2828</v>
      </c>
      <c r="F16346" t="s">
        <v>2829</v>
      </c>
      <c r="G16346">
        <v>77.62</v>
      </c>
      <c r="H16346">
        <v>250831</v>
      </c>
      <c r="I16346">
        <v>4520</v>
      </c>
      <c r="J16346" t="s">
        <v>280</v>
      </c>
      <c r="K16346">
        <v>471.81</v>
      </c>
      <c r="L16346">
        <v>9.5299999999999994</v>
      </c>
      <c r="M16346">
        <v>14975</v>
      </c>
      <c r="N16346" t="s">
        <v>84</v>
      </c>
      <c r="O16346">
        <v>250915</v>
      </c>
      <c r="P16346">
        <v>68.09</v>
      </c>
    </row>
    <row r="16347" spans="1:16" x14ac:dyDescent="0.25">
      <c r="A16347" t="s">
        <v>3296</v>
      </c>
      <c r="B16347" t="s">
        <v>2931</v>
      </c>
      <c r="C16347">
        <v>12031</v>
      </c>
      <c r="D16347" t="str">
        <f t="shared" si="268"/>
        <v xml:space="preserve">21011817    </v>
      </c>
      <c r="E16347" t="s">
        <v>2828</v>
      </c>
      <c r="F16347" t="s">
        <v>2829</v>
      </c>
      <c r="G16347">
        <v>53.32</v>
      </c>
      <c r="H16347">
        <v>250831</v>
      </c>
      <c r="I16347">
        <v>4520</v>
      </c>
      <c r="J16347" t="s">
        <v>280</v>
      </c>
      <c r="K16347">
        <v>471.81</v>
      </c>
      <c r="L16347">
        <v>6.55</v>
      </c>
      <c r="M16347">
        <v>14986</v>
      </c>
      <c r="N16347" t="s">
        <v>2405</v>
      </c>
      <c r="O16347">
        <v>250915</v>
      </c>
      <c r="P16347">
        <v>46.77</v>
      </c>
    </row>
    <row r="16348" spans="1:16" x14ac:dyDescent="0.25">
      <c r="A16348" t="s">
        <v>3296</v>
      </c>
      <c r="B16348" t="s">
        <v>2931</v>
      </c>
      <c r="C16348">
        <v>12066</v>
      </c>
      <c r="D16348" t="str">
        <f>"21011816    "</f>
        <v xml:space="preserve">21011816    </v>
      </c>
      <c r="E16348" t="s">
        <v>2828</v>
      </c>
      <c r="F16348" t="s">
        <v>2829</v>
      </c>
      <c r="G16348">
        <v>162.76</v>
      </c>
      <c r="H16348">
        <v>250831</v>
      </c>
      <c r="I16348">
        <v>4520</v>
      </c>
      <c r="J16348" t="s">
        <v>280</v>
      </c>
      <c r="K16348">
        <v>174.47</v>
      </c>
      <c r="L16348">
        <v>19.989999999999998</v>
      </c>
      <c r="M16348">
        <v>44253</v>
      </c>
      <c r="N16348" t="s">
        <v>403</v>
      </c>
      <c r="O16348">
        <v>250916</v>
      </c>
      <c r="P16348">
        <v>142.77000000000001</v>
      </c>
    </row>
    <row r="16349" spans="1:16" x14ac:dyDescent="0.25">
      <c r="A16349" t="s">
        <v>3296</v>
      </c>
      <c r="B16349" t="s">
        <v>2931</v>
      </c>
      <c r="C16349">
        <v>12236</v>
      </c>
      <c r="D16349" t="str">
        <f>"21011810    "</f>
        <v xml:space="preserve">21011810    </v>
      </c>
      <c r="E16349" t="s">
        <v>2828</v>
      </c>
      <c r="F16349" t="s">
        <v>2829</v>
      </c>
      <c r="G16349">
        <v>49.97</v>
      </c>
      <c r="H16349">
        <v>250831</v>
      </c>
      <c r="I16349">
        <v>4520</v>
      </c>
      <c r="J16349" t="s">
        <v>280</v>
      </c>
      <c r="K16349">
        <v>65.97</v>
      </c>
      <c r="L16349">
        <v>6.14</v>
      </c>
      <c r="M16349">
        <v>49702</v>
      </c>
      <c r="N16349" t="s">
        <v>112</v>
      </c>
      <c r="O16349">
        <v>250918</v>
      </c>
      <c r="P16349">
        <v>43.83</v>
      </c>
    </row>
    <row r="16350" spans="1:16" x14ac:dyDescent="0.25">
      <c r="A16350" t="s">
        <v>3296</v>
      </c>
      <c r="B16350" t="s">
        <v>2931</v>
      </c>
      <c r="C16350">
        <v>13036</v>
      </c>
      <c r="D16350" t="str">
        <f>"21057632    "</f>
        <v xml:space="preserve">21057632    </v>
      </c>
      <c r="E16350" t="s">
        <v>2828</v>
      </c>
      <c r="F16350" t="s">
        <v>2829</v>
      </c>
      <c r="G16350">
        <v>91.67</v>
      </c>
      <c r="H16350">
        <v>250930</v>
      </c>
      <c r="I16350">
        <v>4520</v>
      </c>
      <c r="J16350" t="s">
        <v>280</v>
      </c>
      <c r="K16350">
        <v>92.37</v>
      </c>
      <c r="L16350">
        <v>11.26</v>
      </c>
      <c r="M16350">
        <v>54422</v>
      </c>
      <c r="N16350" t="s">
        <v>49</v>
      </c>
      <c r="O16350">
        <v>251003</v>
      </c>
      <c r="P16350">
        <v>80.41</v>
      </c>
    </row>
    <row r="16351" spans="1:16" x14ac:dyDescent="0.25">
      <c r="A16351" t="s">
        <v>3296</v>
      </c>
      <c r="B16351" t="s">
        <v>2931</v>
      </c>
      <c r="C16351">
        <v>13173</v>
      </c>
      <c r="D16351" t="str">
        <f>"21057626    "</f>
        <v xml:space="preserve">21057626    </v>
      </c>
      <c r="E16351" t="s">
        <v>2828</v>
      </c>
      <c r="F16351" t="s">
        <v>2829</v>
      </c>
      <c r="G16351">
        <v>175.86</v>
      </c>
      <c r="H16351">
        <v>250930</v>
      </c>
      <c r="I16351">
        <v>4520</v>
      </c>
      <c r="J16351" t="s">
        <v>280</v>
      </c>
      <c r="K16351">
        <v>204.56</v>
      </c>
      <c r="L16351">
        <v>21.6</v>
      </c>
      <c r="M16351">
        <v>69112</v>
      </c>
      <c r="N16351" t="s">
        <v>227</v>
      </c>
      <c r="O16351">
        <v>251006</v>
      </c>
      <c r="P16351">
        <v>154.26</v>
      </c>
    </row>
    <row r="16352" spans="1:16" x14ac:dyDescent="0.25">
      <c r="A16352" t="s">
        <v>3296</v>
      </c>
      <c r="B16352" t="s">
        <v>2931</v>
      </c>
      <c r="C16352">
        <v>13173</v>
      </c>
      <c r="D16352" t="str">
        <f>"21057626    "</f>
        <v xml:space="preserve">21057626    </v>
      </c>
      <c r="E16352" t="s">
        <v>2828</v>
      </c>
      <c r="F16352" t="s">
        <v>2829</v>
      </c>
      <c r="G16352">
        <v>9.77</v>
      </c>
      <c r="H16352">
        <v>250930</v>
      </c>
      <c r="I16352">
        <v>4520</v>
      </c>
      <c r="J16352" t="s">
        <v>280</v>
      </c>
      <c r="K16352">
        <v>204.56</v>
      </c>
      <c r="L16352">
        <v>1.2</v>
      </c>
      <c r="M16352">
        <v>69810</v>
      </c>
      <c r="N16352" t="s">
        <v>229</v>
      </c>
      <c r="O16352">
        <v>251006</v>
      </c>
      <c r="P16352">
        <v>8.57</v>
      </c>
    </row>
    <row r="16353" spans="1:16" x14ac:dyDescent="0.25">
      <c r="A16353" t="s">
        <v>3296</v>
      </c>
      <c r="B16353" t="s">
        <v>2931</v>
      </c>
      <c r="C16353">
        <v>13173</v>
      </c>
      <c r="D16353" t="str">
        <f>"21057626    "</f>
        <v xml:space="preserve">21057626    </v>
      </c>
      <c r="E16353" t="s">
        <v>2828</v>
      </c>
      <c r="F16353" t="s">
        <v>2829</v>
      </c>
      <c r="G16353">
        <v>9.77</v>
      </c>
      <c r="H16353">
        <v>250930</v>
      </c>
      <c r="I16353">
        <v>4520</v>
      </c>
      <c r="J16353" t="s">
        <v>280</v>
      </c>
      <c r="K16353">
        <v>204.56</v>
      </c>
      <c r="L16353">
        <v>1.2</v>
      </c>
      <c r="M16353">
        <v>69811</v>
      </c>
      <c r="N16353" t="s">
        <v>230</v>
      </c>
      <c r="O16353">
        <v>251006</v>
      </c>
      <c r="P16353">
        <v>8.57</v>
      </c>
    </row>
    <row r="16354" spans="1:16" x14ac:dyDescent="0.25">
      <c r="A16354" t="s">
        <v>3296</v>
      </c>
      <c r="B16354" t="s">
        <v>2931</v>
      </c>
      <c r="C16354">
        <v>13217</v>
      </c>
      <c r="D16354" t="str">
        <f>"21057640    "</f>
        <v xml:space="preserve">21057640    </v>
      </c>
      <c r="E16354" t="s">
        <v>2828</v>
      </c>
      <c r="F16354" t="s">
        <v>2829</v>
      </c>
      <c r="G16354">
        <v>0.4</v>
      </c>
      <c r="H16354">
        <v>250930</v>
      </c>
      <c r="I16354">
        <v>4520</v>
      </c>
      <c r="J16354" t="s">
        <v>280</v>
      </c>
      <c r="K16354">
        <v>51.81</v>
      </c>
      <c r="L16354">
        <v>0.08</v>
      </c>
      <c r="M16354">
        <v>16431</v>
      </c>
      <c r="N16354" t="s">
        <v>17</v>
      </c>
      <c r="O16354">
        <v>251006</v>
      </c>
      <c r="P16354">
        <v>0.32</v>
      </c>
    </row>
    <row r="16355" spans="1:16" x14ac:dyDescent="0.25">
      <c r="A16355" t="s">
        <v>3296</v>
      </c>
      <c r="B16355" t="s">
        <v>2931</v>
      </c>
      <c r="C16355">
        <v>13217</v>
      </c>
      <c r="D16355" t="str">
        <f>"21057640    "</f>
        <v xml:space="preserve">21057640    </v>
      </c>
      <c r="E16355" t="s">
        <v>2828</v>
      </c>
      <c r="F16355" t="s">
        <v>2829</v>
      </c>
      <c r="G16355">
        <v>51.41</v>
      </c>
      <c r="H16355">
        <v>250930</v>
      </c>
      <c r="I16355">
        <v>4520</v>
      </c>
      <c r="J16355" t="s">
        <v>280</v>
      </c>
      <c r="K16355">
        <v>51.81</v>
      </c>
      <c r="L16355">
        <v>6.31</v>
      </c>
      <c r="M16355">
        <v>16431</v>
      </c>
      <c r="N16355" t="s">
        <v>17</v>
      </c>
      <c r="O16355">
        <v>251006</v>
      </c>
      <c r="P16355">
        <v>45.1</v>
      </c>
    </row>
    <row r="16356" spans="1:16" x14ac:dyDescent="0.25">
      <c r="A16356" t="s">
        <v>3296</v>
      </c>
      <c r="B16356" t="s">
        <v>2931</v>
      </c>
      <c r="C16356">
        <v>13252</v>
      </c>
      <c r="D16356" t="str">
        <f>"21057636    "</f>
        <v xml:space="preserve">21057636    </v>
      </c>
      <c r="E16356" t="s">
        <v>2828</v>
      </c>
      <c r="F16356" t="s">
        <v>2829</v>
      </c>
      <c r="G16356">
        <v>411.81</v>
      </c>
      <c r="H16356">
        <v>250930</v>
      </c>
      <c r="I16356">
        <v>4520</v>
      </c>
      <c r="J16356" t="s">
        <v>280</v>
      </c>
      <c r="K16356">
        <v>430.94</v>
      </c>
      <c r="L16356">
        <v>50.57</v>
      </c>
      <c r="M16356">
        <v>13932</v>
      </c>
      <c r="N16356" t="s">
        <v>680</v>
      </c>
      <c r="O16356">
        <v>251007</v>
      </c>
      <c r="P16356">
        <v>361.24</v>
      </c>
    </row>
    <row r="16357" spans="1:16" x14ac:dyDescent="0.25">
      <c r="A16357" t="s">
        <v>3296</v>
      </c>
      <c r="B16357" t="s">
        <v>2931</v>
      </c>
      <c r="C16357">
        <v>13288</v>
      </c>
      <c r="D16357" t="str">
        <f>"21057629    "</f>
        <v xml:space="preserve">21057629    </v>
      </c>
      <c r="E16357" t="s">
        <v>2828</v>
      </c>
      <c r="F16357" t="s">
        <v>2829</v>
      </c>
      <c r="G16357">
        <v>61.62</v>
      </c>
      <c r="H16357">
        <v>250930</v>
      </c>
      <c r="I16357">
        <v>4520</v>
      </c>
      <c r="J16357" t="s">
        <v>280</v>
      </c>
      <c r="K16357">
        <v>63.58</v>
      </c>
      <c r="L16357">
        <v>7.57</v>
      </c>
      <c r="M16357">
        <v>13401</v>
      </c>
      <c r="N16357" t="s">
        <v>10</v>
      </c>
      <c r="O16357">
        <v>251007</v>
      </c>
      <c r="P16357">
        <v>54.05</v>
      </c>
    </row>
    <row r="16358" spans="1:16" x14ac:dyDescent="0.25">
      <c r="A16358" t="s">
        <v>3296</v>
      </c>
      <c r="B16358" t="s">
        <v>2931</v>
      </c>
      <c r="C16358">
        <v>13311</v>
      </c>
      <c r="D16358" t="str">
        <f t="shared" ref="D16358:D16363" si="269">"21057634    "</f>
        <v xml:space="preserve">21057634    </v>
      </c>
      <c r="E16358" t="s">
        <v>2828</v>
      </c>
      <c r="F16358" t="s">
        <v>2829</v>
      </c>
      <c r="G16358">
        <v>5.72</v>
      </c>
      <c r="H16358">
        <v>250930</v>
      </c>
      <c r="I16358">
        <v>4520</v>
      </c>
      <c r="J16358" t="s">
        <v>280</v>
      </c>
      <c r="K16358">
        <v>469.31</v>
      </c>
      <c r="L16358">
        <v>0.7</v>
      </c>
      <c r="M16358">
        <v>11900</v>
      </c>
      <c r="N16358" t="s">
        <v>30</v>
      </c>
      <c r="O16358">
        <v>251007</v>
      </c>
      <c r="P16358">
        <v>5.0199999999999996</v>
      </c>
    </row>
    <row r="16359" spans="1:16" x14ac:dyDescent="0.25">
      <c r="A16359" t="s">
        <v>3296</v>
      </c>
      <c r="B16359" t="s">
        <v>2931</v>
      </c>
      <c r="C16359">
        <v>13311</v>
      </c>
      <c r="D16359" t="str">
        <f t="shared" si="269"/>
        <v xml:space="preserve">21057634    </v>
      </c>
      <c r="E16359" t="s">
        <v>2828</v>
      </c>
      <c r="F16359" t="s">
        <v>2829</v>
      </c>
      <c r="G16359">
        <v>10.76</v>
      </c>
      <c r="H16359">
        <v>250930</v>
      </c>
      <c r="I16359">
        <v>4520</v>
      </c>
      <c r="J16359" t="s">
        <v>280</v>
      </c>
      <c r="K16359">
        <v>469.31</v>
      </c>
      <c r="L16359">
        <v>1.32</v>
      </c>
      <c r="M16359">
        <v>14422</v>
      </c>
      <c r="N16359" t="s">
        <v>73</v>
      </c>
      <c r="O16359">
        <v>251007</v>
      </c>
      <c r="P16359">
        <v>9.44</v>
      </c>
    </row>
    <row r="16360" spans="1:16" x14ac:dyDescent="0.25">
      <c r="A16360" t="s">
        <v>3296</v>
      </c>
      <c r="B16360" t="s">
        <v>2931</v>
      </c>
      <c r="C16360">
        <v>13311</v>
      </c>
      <c r="D16360" t="str">
        <f t="shared" si="269"/>
        <v xml:space="preserve">21057634    </v>
      </c>
      <c r="E16360" t="s">
        <v>2828</v>
      </c>
      <c r="F16360" t="s">
        <v>2829</v>
      </c>
      <c r="G16360">
        <v>30.56</v>
      </c>
      <c r="H16360">
        <v>250930</v>
      </c>
      <c r="I16360">
        <v>4520</v>
      </c>
      <c r="J16360" t="s">
        <v>280</v>
      </c>
      <c r="K16360">
        <v>469.31</v>
      </c>
      <c r="L16360">
        <v>3.75</v>
      </c>
      <c r="M16360">
        <v>14422</v>
      </c>
      <c r="N16360" t="s">
        <v>73</v>
      </c>
      <c r="O16360">
        <v>251007</v>
      </c>
      <c r="P16360">
        <v>26.81</v>
      </c>
    </row>
    <row r="16361" spans="1:16" x14ac:dyDescent="0.25">
      <c r="A16361" t="s">
        <v>3296</v>
      </c>
      <c r="B16361" t="s">
        <v>2931</v>
      </c>
      <c r="C16361">
        <v>13311</v>
      </c>
      <c r="D16361" t="str">
        <f t="shared" si="269"/>
        <v xml:space="preserve">21057634    </v>
      </c>
      <c r="E16361" t="s">
        <v>2828</v>
      </c>
      <c r="F16361" t="s">
        <v>2829</v>
      </c>
      <c r="G16361">
        <v>57.19</v>
      </c>
      <c r="H16361">
        <v>250930</v>
      </c>
      <c r="I16361">
        <v>4520</v>
      </c>
      <c r="J16361" t="s">
        <v>280</v>
      </c>
      <c r="K16361">
        <v>469.31</v>
      </c>
      <c r="L16361">
        <v>7.02</v>
      </c>
      <c r="M16361">
        <v>14990</v>
      </c>
      <c r="N16361" t="s">
        <v>85</v>
      </c>
      <c r="O16361">
        <v>251007</v>
      </c>
      <c r="P16361">
        <v>50.17</v>
      </c>
    </row>
    <row r="16362" spans="1:16" x14ac:dyDescent="0.25">
      <c r="A16362" t="s">
        <v>3296</v>
      </c>
      <c r="B16362" t="s">
        <v>2931</v>
      </c>
      <c r="C16362">
        <v>13311</v>
      </c>
      <c r="D16362" t="str">
        <f t="shared" si="269"/>
        <v xml:space="preserve">21057634    </v>
      </c>
      <c r="E16362" t="s">
        <v>2828</v>
      </c>
      <c r="F16362" t="s">
        <v>2829</v>
      </c>
      <c r="G16362">
        <v>6.61</v>
      </c>
      <c r="H16362">
        <v>250930</v>
      </c>
      <c r="I16362">
        <v>4520</v>
      </c>
      <c r="J16362" t="s">
        <v>280</v>
      </c>
      <c r="K16362">
        <v>469.31</v>
      </c>
      <c r="L16362">
        <v>0.81</v>
      </c>
      <c r="M16362">
        <v>18995</v>
      </c>
      <c r="N16362" t="s">
        <v>2317</v>
      </c>
      <c r="O16362">
        <v>251007</v>
      </c>
      <c r="P16362">
        <v>5.8</v>
      </c>
    </row>
    <row r="16363" spans="1:16" x14ac:dyDescent="0.25">
      <c r="A16363" t="s">
        <v>3296</v>
      </c>
      <c r="B16363" t="s">
        <v>2931</v>
      </c>
      <c r="C16363">
        <v>13311</v>
      </c>
      <c r="D16363" t="str">
        <f t="shared" si="269"/>
        <v xml:space="preserve">21057634    </v>
      </c>
      <c r="E16363" t="s">
        <v>2828</v>
      </c>
      <c r="F16363" t="s">
        <v>2829</v>
      </c>
      <c r="G16363">
        <v>182.53</v>
      </c>
      <c r="H16363">
        <v>250930</v>
      </c>
      <c r="I16363">
        <v>4520</v>
      </c>
      <c r="J16363" t="s">
        <v>280</v>
      </c>
      <c r="K16363">
        <v>469.31</v>
      </c>
      <c r="L16363">
        <v>22.42</v>
      </c>
      <c r="M16363">
        <v>18995</v>
      </c>
      <c r="N16363" t="s">
        <v>2317</v>
      </c>
      <c r="O16363">
        <v>251007</v>
      </c>
      <c r="P16363">
        <v>160.11000000000001</v>
      </c>
    </row>
    <row r="16364" spans="1:16" x14ac:dyDescent="0.25">
      <c r="A16364" t="s">
        <v>3296</v>
      </c>
      <c r="B16364" t="s">
        <v>2931</v>
      </c>
      <c r="C16364">
        <v>13385</v>
      </c>
      <c r="D16364" t="str">
        <f t="shared" ref="D16364:D16370" si="270">"21057635    "</f>
        <v xml:space="preserve">21057635    </v>
      </c>
      <c r="E16364" t="s">
        <v>2828</v>
      </c>
      <c r="F16364" t="s">
        <v>2829</v>
      </c>
      <c r="G16364">
        <v>9.1</v>
      </c>
      <c r="H16364">
        <v>250930</v>
      </c>
      <c r="I16364">
        <v>4520</v>
      </c>
      <c r="J16364" t="s">
        <v>280</v>
      </c>
      <c r="K16364">
        <v>420.1</v>
      </c>
      <c r="L16364">
        <v>1.1200000000000001</v>
      </c>
      <c r="M16364">
        <v>17131</v>
      </c>
      <c r="N16364" t="s">
        <v>154</v>
      </c>
      <c r="O16364">
        <v>251008</v>
      </c>
      <c r="P16364">
        <v>7.98</v>
      </c>
    </row>
    <row r="16365" spans="1:16" x14ac:dyDescent="0.25">
      <c r="A16365" t="s">
        <v>3296</v>
      </c>
      <c r="B16365" t="s">
        <v>2931</v>
      </c>
      <c r="C16365">
        <v>13385</v>
      </c>
      <c r="D16365" t="str">
        <f t="shared" si="270"/>
        <v xml:space="preserve">21057635    </v>
      </c>
      <c r="E16365" t="s">
        <v>2828</v>
      </c>
      <c r="F16365" t="s">
        <v>2829</v>
      </c>
      <c r="G16365">
        <v>31.91</v>
      </c>
      <c r="H16365">
        <v>250930</v>
      </c>
      <c r="I16365">
        <v>4520</v>
      </c>
      <c r="J16365" t="s">
        <v>280</v>
      </c>
      <c r="K16365">
        <v>420.1</v>
      </c>
      <c r="L16365">
        <v>3.92</v>
      </c>
      <c r="M16365">
        <v>17131</v>
      </c>
      <c r="N16365" t="s">
        <v>154</v>
      </c>
      <c r="O16365">
        <v>251008</v>
      </c>
      <c r="P16365">
        <v>27.99</v>
      </c>
    </row>
    <row r="16366" spans="1:16" x14ac:dyDescent="0.25">
      <c r="A16366" t="s">
        <v>3296</v>
      </c>
      <c r="B16366" t="s">
        <v>2931</v>
      </c>
      <c r="C16366">
        <v>13385</v>
      </c>
      <c r="D16366" t="str">
        <f t="shared" si="270"/>
        <v xml:space="preserve">21057635    </v>
      </c>
      <c r="E16366" t="s">
        <v>2828</v>
      </c>
      <c r="F16366" t="s">
        <v>2829</v>
      </c>
      <c r="G16366">
        <v>43.74</v>
      </c>
      <c r="H16366">
        <v>250930</v>
      </c>
      <c r="I16366">
        <v>4520</v>
      </c>
      <c r="J16366" t="s">
        <v>280</v>
      </c>
      <c r="K16366">
        <v>420.1</v>
      </c>
      <c r="L16366">
        <v>5.37</v>
      </c>
      <c r="M16366">
        <v>17131</v>
      </c>
      <c r="N16366" t="s">
        <v>154</v>
      </c>
      <c r="O16366">
        <v>251008</v>
      </c>
      <c r="P16366">
        <v>38.369999999999997</v>
      </c>
    </row>
    <row r="16367" spans="1:16" x14ac:dyDescent="0.25">
      <c r="A16367" t="s">
        <v>3296</v>
      </c>
      <c r="B16367" t="s">
        <v>2931</v>
      </c>
      <c r="C16367">
        <v>13385</v>
      </c>
      <c r="D16367" t="str">
        <f t="shared" si="270"/>
        <v xml:space="preserve">21057635    </v>
      </c>
      <c r="E16367" t="s">
        <v>2828</v>
      </c>
      <c r="F16367" t="s">
        <v>2829</v>
      </c>
      <c r="G16367">
        <v>9.1</v>
      </c>
      <c r="H16367">
        <v>250930</v>
      </c>
      <c r="I16367">
        <v>4520</v>
      </c>
      <c r="J16367" t="s">
        <v>280</v>
      </c>
      <c r="K16367">
        <v>420.1</v>
      </c>
      <c r="L16367">
        <v>1.1200000000000001</v>
      </c>
      <c r="M16367">
        <v>17131</v>
      </c>
      <c r="N16367" t="s">
        <v>154</v>
      </c>
      <c r="O16367">
        <v>251008</v>
      </c>
      <c r="P16367">
        <v>7.98</v>
      </c>
    </row>
    <row r="16368" spans="1:16" x14ac:dyDescent="0.25">
      <c r="A16368" t="s">
        <v>3296</v>
      </c>
      <c r="B16368" t="s">
        <v>2931</v>
      </c>
      <c r="C16368">
        <v>13385</v>
      </c>
      <c r="D16368" t="str">
        <f t="shared" si="270"/>
        <v xml:space="preserve">21057635    </v>
      </c>
      <c r="E16368" t="s">
        <v>2828</v>
      </c>
      <c r="F16368" t="s">
        <v>2829</v>
      </c>
      <c r="G16368">
        <v>31.9</v>
      </c>
      <c r="H16368">
        <v>250930</v>
      </c>
      <c r="I16368">
        <v>4520</v>
      </c>
      <c r="J16368" t="s">
        <v>280</v>
      </c>
      <c r="K16368">
        <v>420.1</v>
      </c>
      <c r="L16368">
        <v>3.92</v>
      </c>
      <c r="M16368">
        <v>17131</v>
      </c>
      <c r="N16368" t="s">
        <v>154</v>
      </c>
      <c r="O16368">
        <v>251008</v>
      </c>
      <c r="P16368">
        <v>27.98</v>
      </c>
    </row>
    <row r="16369" spans="1:16" x14ac:dyDescent="0.25">
      <c r="A16369" t="s">
        <v>3296</v>
      </c>
      <c r="B16369" t="s">
        <v>2931</v>
      </c>
      <c r="C16369">
        <v>13385</v>
      </c>
      <c r="D16369" t="str">
        <f t="shared" si="270"/>
        <v xml:space="preserve">21057635    </v>
      </c>
      <c r="E16369" t="s">
        <v>2828</v>
      </c>
      <c r="F16369" t="s">
        <v>2829</v>
      </c>
      <c r="G16369">
        <v>43.73</v>
      </c>
      <c r="H16369">
        <v>250930</v>
      </c>
      <c r="I16369">
        <v>4520</v>
      </c>
      <c r="J16369" t="s">
        <v>280</v>
      </c>
      <c r="K16369">
        <v>420.1</v>
      </c>
      <c r="L16369">
        <v>5.37</v>
      </c>
      <c r="M16369">
        <v>17131</v>
      </c>
      <c r="N16369" t="s">
        <v>154</v>
      </c>
      <c r="O16369">
        <v>251008</v>
      </c>
      <c r="P16369">
        <v>38.36</v>
      </c>
    </row>
    <row r="16370" spans="1:16" x14ac:dyDescent="0.25">
      <c r="A16370" t="s">
        <v>3296</v>
      </c>
      <c r="B16370" t="s">
        <v>2931</v>
      </c>
      <c r="C16370">
        <v>13385</v>
      </c>
      <c r="D16370" t="str">
        <f t="shared" si="270"/>
        <v xml:space="preserve">21057635    </v>
      </c>
      <c r="E16370" t="s">
        <v>2828</v>
      </c>
      <c r="F16370" t="s">
        <v>2829</v>
      </c>
      <c r="G16370">
        <v>89.87</v>
      </c>
      <c r="H16370">
        <v>250930</v>
      </c>
      <c r="I16370">
        <v>4520</v>
      </c>
      <c r="J16370" t="s">
        <v>280</v>
      </c>
      <c r="K16370">
        <v>420.1</v>
      </c>
      <c r="L16370">
        <v>11.04</v>
      </c>
      <c r="M16370">
        <v>17912</v>
      </c>
      <c r="N16370" t="s">
        <v>505</v>
      </c>
      <c r="O16370">
        <v>251008</v>
      </c>
      <c r="P16370">
        <v>78.83</v>
      </c>
    </row>
    <row r="16371" spans="1:16" x14ac:dyDescent="0.25">
      <c r="A16371" t="s">
        <v>3296</v>
      </c>
      <c r="B16371" t="s">
        <v>2931</v>
      </c>
      <c r="C16371">
        <v>13405</v>
      </c>
      <c r="D16371" t="str">
        <f>"21057639    "</f>
        <v xml:space="preserve">21057639    </v>
      </c>
      <c r="E16371" t="s">
        <v>2828</v>
      </c>
      <c r="F16371" t="s">
        <v>2829</v>
      </c>
      <c r="G16371">
        <v>81.36</v>
      </c>
      <c r="H16371">
        <v>250930</v>
      </c>
      <c r="I16371">
        <v>4520</v>
      </c>
      <c r="J16371" t="s">
        <v>280</v>
      </c>
      <c r="K16371">
        <v>200.13</v>
      </c>
      <c r="L16371">
        <v>9.99</v>
      </c>
      <c r="M16371">
        <v>67522</v>
      </c>
      <c r="N16371" t="s">
        <v>121</v>
      </c>
      <c r="O16371">
        <v>251008</v>
      </c>
      <c r="P16371">
        <v>71.37</v>
      </c>
    </row>
    <row r="16372" spans="1:16" x14ac:dyDescent="0.25">
      <c r="A16372" t="s">
        <v>3296</v>
      </c>
      <c r="B16372" t="s">
        <v>2931</v>
      </c>
      <c r="C16372">
        <v>13405</v>
      </c>
      <c r="D16372" t="str">
        <f>"21057639    "</f>
        <v xml:space="preserve">21057639    </v>
      </c>
      <c r="E16372" t="s">
        <v>2828</v>
      </c>
      <c r="F16372" t="s">
        <v>2829</v>
      </c>
      <c r="G16372">
        <v>19.739999999999998</v>
      </c>
      <c r="H16372">
        <v>250930</v>
      </c>
      <c r="I16372">
        <v>4520</v>
      </c>
      <c r="J16372" t="s">
        <v>280</v>
      </c>
      <c r="K16372">
        <v>200.13</v>
      </c>
      <c r="L16372">
        <v>2.42</v>
      </c>
      <c r="M16372">
        <v>69111</v>
      </c>
      <c r="N16372" t="s">
        <v>657</v>
      </c>
      <c r="O16372">
        <v>251008</v>
      </c>
      <c r="P16372">
        <v>17.32</v>
      </c>
    </row>
    <row r="16373" spans="1:16" x14ac:dyDescent="0.25">
      <c r="A16373" t="s">
        <v>3296</v>
      </c>
      <c r="B16373" t="s">
        <v>2931</v>
      </c>
      <c r="C16373">
        <v>13427</v>
      </c>
      <c r="D16373" t="str">
        <f>"21057627    "</f>
        <v xml:space="preserve">21057627    </v>
      </c>
      <c r="E16373" t="s">
        <v>2828</v>
      </c>
      <c r="F16373" t="s">
        <v>2829</v>
      </c>
      <c r="G16373">
        <v>128.75</v>
      </c>
      <c r="H16373">
        <v>250930</v>
      </c>
      <c r="I16373">
        <v>4520</v>
      </c>
      <c r="J16373" t="s">
        <v>280</v>
      </c>
      <c r="K16373">
        <v>497.26</v>
      </c>
      <c r="L16373">
        <v>15.81</v>
      </c>
      <c r="M16373">
        <v>59111</v>
      </c>
      <c r="N16373" t="s">
        <v>60</v>
      </c>
      <c r="O16373">
        <v>251009</v>
      </c>
      <c r="P16373">
        <v>112.94</v>
      </c>
    </row>
    <row r="16374" spans="1:16" x14ac:dyDescent="0.25">
      <c r="A16374" t="s">
        <v>3296</v>
      </c>
      <c r="B16374" t="s">
        <v>2931</v>
      </c>
      <c r="C16374">
        <v>13427</v>
      </c>
      <c r="D16374" t="str">
        <f>"21057627    "</f>
        <v xml:space="preserve">21057627    </v>
      </c>
      <c r="E16374" t="s">
        <v>2828</v>
      </c>
      <c r="F16374" t="s">
        <v>2829</v>
      </c>
      <c r="G16374">
        <v>70.72</v>
      </c>
      <c r="H16374">
        <v>250930</v>
      </c>
      <c r="I16374">
        <v>4520</v>
      </c>
      <c r="J16374" t="s">
        <v>280</v>
      </c>
      <c r="K16374">
        <v>497.26</v>
      </c>
      <c r="L16374">
        <v>8.68</v>
      </c>
      <c r="M16374">
        <v>59113</v>
      </c>
      <c r="N16374" t="s">
        <v>61</v>
      </c>
      <c r="O16374">
        <v>251009</v>
      </c>
      <c r="P16374">
        <v>62.04</v>
      </c>
    </row>
    <row r="16375" spans="1:16" x14ac:dyDescent="0.25">
      <c r="A16375" t="s">
        <v>3296</v>
      </c>
      <c r="B16375" t="s">
        <v>2931</v>
      </c>
      <c r="C16375">
        <v>13609</v>
      </c>
      <c r="D16375" t="str">
        <f>"21057630    "</f>
        <v xml:space="preserve">21057630    </v>
      </c>
      <c r="E16375" t="s">
        <v>2828</v>
      </c>
      <c r="F16375" t="s">
        <v>2829</v>
      </c>
      <c r="G16375">
        <v>415.85</v>
      </c>
      <c r="H16375">
        <v>250930</v>
      </c>
      <c r="I16375">
        <v>4520</v>
      </c>
      <c r="J16375" t="s">
        <v>280</v>
      </c>
      <c r="K16375">
        <v>415.85</v>
      </c>
      <c r="L16375">
        <v>51.07</v>
      </c>
      <c r="M16375">
        <v>44253</v>
      </c>
      <c r="N16375" t="s">
        <v>403</v>
      </c>
      <c r="O16375">
        <v>251013</v>
      </c>
      <c r="P16375">
        <v>364.78</v>
      </c>
    </row>
    <row r="16376" spans="1:16" x14ac:dyDescent="0.25">
      <c r="A16376" t="s">
        <v>3296</v>
      </c>
      <c r="B16376" t="s">
        <v>2931</v>
      </c>
      <c r="C16376">
        <v>13680</v>
      </c>
      <c r="D16376" t="str">
        <f>"21057637    "</f>
        <v xml:space="preserve">21057637    </v>
      </c>
      <c r="E16376" t="s">
        <v>2828</v>
      </c>
      <c r="F16376" t="s">
        <v>2829</v>
      </c>
      <c r="G16376">
        <v>1.94</v>
      </c>
      <c r="H16376">
        <v>250930</v>
      </c>
      <c r="I16376">
        <v>4520</v>
      </c>
      <c r="J16376" t="s">
        <v>280</v>
      </c>
      <c r="K16376">
        <v>429.85</v>
      </c>
      <c r="L16376">
        <v>0.24</v>
      </c>
      <c r="M16376">
        <v>13501</v>
      </c>
      <c r="N16376" t="s">
        <v>66</v>
      </c>
      <c r="O16376">
        <v>251013</v>
      </c>
      <c r="P16376">
        <v>1.7</v>
      </c>
    </row>
    <row r="16377" spans="1:16" x14ac:dyDescent="0.25">
      <c r="A16377" t="s">
        <v>3296</v>
      </c>
      <c r="B16377" t="s">
        <v>2931</v>
      </c>
      <c r="C16377">
        <v>13680</v>
      </c>
      <c r="D16377" t="str">
        <f>"21057637    "</f>
        <v xml:space="preserve">21057637    </v>
      </c>
      <c r="E16377" t="s">
        <v>2828</v>
      </c>
      <c r="F16377" t="s">
        <v>2829</v>
      </c>
      <c r="G16377">
        <v>22.63</v>
      </c>
      <c r="H16377">
        <v>250930</v>
      </c>
      <c r="I16377">
        <v>4520</v>
      </c>
      <c r="J16377" t="s">
        <v>280</v>
      </c>
      <c r="K16377">
        <v>429.85</v>
      </c>
      <c r="L16377">
        <v>2.78</v>
      </c>
      <c r="M16377">
        <v>17521</v>
      </c>
      <c r="N16377" t="s">
        <v>136</v>
      </c>
      <c r="O16377">
        <v>251013</v>
      </c>
      <c r="P16377">
        <v>19.850000000000001</v>
      </c>
    </row>
    <row r="16378" spans="1:16" x14ac:dyDescent="0.25">
      <c r="A16378" t="s">
        <v>3296</v>
      </c>
      <c r="B16378" t="s">
        <v>2931</v>
      </c>
      <c r="C16378">
        <v>14571</v>
      </c>
      <c r="D16378" t="str">
        <f t="shared" ref="D16378:D16385" si="271">"21104601    "</f>
        <v xml:space="preserve">21104601    </v>
      </c>
      <c r="E16378" t="s">
        <v>2828</v>
      </c>
      <c r="F16378" t="s">
        <v>2829</v>
      </c>
      <c r="G16378">
        <v>6.69</v>
      </c>
      <c r="H16378">
        <v>251031</v>
      </c>
      <c r="I16378">
        <v>4520</v>
      </c>
      <c r="J16378" t="s">
        <v>280</v>
      </c>
      <c r="K16378">
        <v>676.39</v>
      </c>
      <c r="L16378">
        <v>0.82</v>
      </c>
      <c r="M16378">
        <v>17131</v>
      </c>
      <c r="N16378" t="s">
        <v>154</v>
      </c>
      <c r="O16378">
        <v>251104</v>
      </c>
      <c r="P16378">
        <v>5.87</v>
      </c>
    </row>
    <row r="16379" spans="1:16" x14ac:dyDescent="0.25">
      <c r="A16379" t="s">
        <v>3296</v>
      </c>
      <c r="B16379" t="s">
        <v>2931</v>
      </c>
      <c r="C16379">
        <v>14571</v>
      </c>
      <c r="D16379" t="str">
        <f t="shared" si="271"/>
        <v xml:space="preserve">21104601    </v>
      </c>
      <c r="E16379" t="s">
        <v>2828</v>
      </c>
      <c r="F16379" t="s">
        <v>2829</v>
      </c>
      <c r="G16379">
        <v>22.79</v>
      </c>
      <c r="H16379">
        <v>251031</v>
      </c>
      <c r="I16379">
        <v>4520</v>
      </c>
      <c r="J16379" t="s">
        <v>280</v>
      </c>
      <c r="K16379">
        <v>676.39</v>
      </c>
      <c r="L16379">
        <v>2.8</v>
      </c>
      <c r="M16379">
        <v>17131</v>
      </c>
      <c r="N16379" t="s">
        <v>154</v>
      </c>
      <c r="O16379">
        <v>251104</v>
      </c>
      <c r="P16379">
        <v>19.989999999999998</v>
      </c>
    </row>
    <row r="16380" spans="1:16" x14ac:dyDescent="0.25">
      <c r="A16380" t="s">
        <v>3296</v>
      </c>
      <c r="B16380" t="s">
        <v>2931</v>
      </c>
      <c r="C16380">
        <v>14571</v>
      </c>
      <c r="D16380" t="str">
        <f t="shared" si="271"/>
        <v xml:space="preserve">21104601    </v>
      </c>
      <c r="E16380" t="s">
        <v>2828</v>
      </c>
      <c r="F16380" t="s">
        <v>2829</v>
      </c>
      <c r="G16380">
        <v>6.69</v>
      </c>
      <c r="H16380">
        <v>251031</v>
      </c>
      <c r="I16380">
        <v>4520</v>
      </c>
      <c r="J16380" t="s">
        <v>280</v>
      </c>
      <c r="K16380">
        <v>676.39</v>
      </c>
      <c r="L16380">
        <v>0.82</v>
      </c>
      <c r="M16380">
        <v>17131</v>
      </c>
      <c r="N16380" t="s">
        <v>154</v>
      </c>
      <c r="O16380">
        <v>251104</v>
      </c>
      <c r="P16380">
        <v>5.87</v>
      </c>
    </row>
    <row r="16381" spans="1:16" x14ac:dyDescent="0.25">
      <c r="A16381" t="s">
        <v>3296</v>
      </c>
      <c r="B16381" t="s">
        <v>2931</v>
      </c>
      <c r="C16381">
        <v>14571</v>
      </c>
      <c r="D16381" t="str">
        <f t="shared" si="271"/>
        <v xml:space="preserve">21104601    </v>
      </c>
      <c r="E16381" t="s">
        <v>2828</v>
      </c>
      <c r="F16381" t="s">
        <v>2829</v>
      </c>
      <c r="G16381">
        <v>22.79</v>
      </c>
      <c r="H16381">
        <v>251031</v>
      </c>
      <c r="I16381">
        <v>4520</v>
      </c>
      <c r="J16381" t="s">
        <v>280</v>
      </c>
      <c r="K16381">
        <v>676.39</v>
      </c>
      <c r="L16381">
        <v>2.8</v>
      </c>
      <c r="M16381">
        <v>17131</v>
      </c>
      <c r="N16381" t="s">
        <v>154</v>
      </c>
      <c r="O16381">
        <v>251104</v>
      </c>
      <c r="P16381">
        <v>19.989999999999998</v>
      </c>
    </row>
    <row r="16382" spans="1:16" x14ac:dyDescent="0.25">
      <c r="A16382" t="s">
        <v>3296</v>
      </c>
      <c r="B16382" t="s">
        <v>2931</v>
      </c>
      <c r="C16382">
        <v>14571</v>
      </c>
      <c r="D16382" t="str">
        <f t="shared" si="271"/>
        <v xml:space="preserve">21104601    </v>
      </c>
      <c r="E16382" t="s">
        <v>2828</v>
      </c>
      <c r="F16382" t="s">
        <v>2829</v>
      </c>
      <c r="G16382">
        <v>39.840000000000003</v>
      </c>
      <c r="H16382">
        <v>251031</v>
      </c>
      <c r="I16382">
        <v>4520</v>
      </c>
      <c r="J16382" t="s">
        <v>280</v>
      </c>
      <c r="K16382">
        <v>676.39</v>
      </c>
      <c r="L16382">
        <v>4.8899999999999997</v>
      </c>
      <c r="M16382">
        <v>17131</v>
      </c>
      <c r="N16382" t="s">
        <v>154</v>
      </c>
      <c r="O16382">
        <v>251104</v>
      </c>
      <c r="P16382">
        <v>34.950000000000003</v>
      </c>
    </row>
    <row r="16383" spans="1:16" x14ac:dyDescent="0.25">
      <c r="A16383" t="s">
        <v>3296</v>
      </c>
      <c r="B16383" t="s">
        <v>2931</v>
      </c>
      <c r="C16383">
        <v>14571</v>
      </c>
      <c r="D16383" t="str">
        <f t="shared" si="271"/>
        <v xml:space="preserve">21104601    </v>
      </c>
      <c r="E16383" t="s">
        <v>2828</v>
      </c>
      <c r="F16383" t="s">
        <v>2829</v>
      </c>
      <c r="G16383">
        <v>193.05</v>
      </c>
      <c r="H16383">
        <v>251031</v>
      </c>
      <c r="I16383">
        <v>4520</v>
      </c>
      <c r="J16383" t="s">
        <v>280</v>
      </c>
      <c r="K16383">
        <v>676.39</v>
      </c>
      <c r="L16383">
        <v>23.71</v>
      </c>
      <c r="M16383">
        <v>17131</v>
      </c>
      <c r="N16383" t="s">
        <v>154</v>
      </c>
      <c r="O16383">
        <v>251104</v>
      </c>
      <c r="P16383">
        <v>169.34</v>
      </c>
    </row>
    <row r="16384" spans="1:16" x14ac:dyDescent="0.25">
      <c r="A16384" t="s">
        <v>3296</v>
      </c>
      <c r="B16384" t="s">
        <v>2931</v>
      </c>
      <c r="C16384">
        <v>14571</v>
      </c>
      <c r="D16384" t="str">
        <f t="shared" si="271"/>
        <v xml:space="preserve">21104601    </v>
      </c>
      <c r="E16384" t="s">
        <v>2828</v>
      </c>
      <c r="F16384" t="s">
        <v>2829</v>
      </c>
      <c r="G16384">
        <v>315.94</v>
      </c>
      <c r="H16384">
        <v>251031</v>
      </c>
      <c r="I16384">
        <v>4520</v>
      </c>
      <c r="J16384" t="s">
        <v>280</v>
      </c>
      <c r="K16384">
        <v>676.39</v>
      </c>
      <c r="L16384">
        <v>38.799999999999997</v>
      </c>
      <c r="M16384">
        <v>17131</v>
      </c>
      <c r="N16384" t="s">
        <v>154</v>
      </c>
      <c r="O16384">
        <v>251104</v>
      </c>
      <c r="P16384">
        <v>277.14</v>
      </c>
    </row>
    <row r="16385" spans="1:16" x14ac:dyDescent="0.25">
      <c r="A16385" t="s">
        <v>3296</v>
      </c>
      <c r="B16385" t="s">
        <v>2931</v>
      </c>
      <c r="C16385">
        <v>14571</v>
      </c>
      <c r="D16385" t="str">
        <f t="shared" si="271"/>
        <v xml:space="preserve">21104601    </v>
      </c>
      <c r="E16385" t="s">
        <v>2828</v>
      </c>
      <c r="F16385" t="s">
        <v>2829</v>
      </c>
      <c r="G16385">
        <v>35.450000000000003</v>
      </c>
      <c r="H16385">
        <v>251031</v>
      </c>
      <c r="I16385">
        <v>4520</v>
      </c>
      <c r="J16385" t="s">
        <v>280</v>
      </c>
      <c r="K16385">
        <v>676.39</v>
      </c>
      <c r="L16385">
        <v>4.3499999999999996</v>
      </c>
      <c r="M16385">
        <v>17912</v>
      </c>
      <c r="N16385" t="s">
        <v>505</v>
      </c>
      <c r="O16385">
        <v>251104</v>
      </c>
      <c r="P16385">
        <v>31.1</v>
      </c>
    </row>
    <row r="16386" spans="1:16" x14ac:dyDescent="0.25">
      <c r="A16386" t="s">
        <v>3296</v>
      </c>
      <c r="B16386" t="s">
        <v>2931</v>
      </c>
      <c r="C16386">
        <v>14572</v>
      </c>
      <c r="D16386" t="str">
        <f>"21104593    "</f>
        <v xml:space="preserve">21104593    </v>
      </c>
      <c r="E16386" t="s">
        <v>2828</v>
      </c>
      <c r="F16386" t="s">
        <v>2829</v>
      </c>
      <c r="G16386">
        <v>125.26</v>
      </c>
      <c r="H16386">
        <v>251031</v>
      </c>
      <c r="I16386">
        <v>4520</v>
      </c>
      <c r="J16386" t="s">
        <v>280</v>
      </c>
      <c r="K16386">
        <v>140.97999999999999</v>
      </c>
      <c r="L16386">
        <v>15.38</v>
      </c>
      <c r="M16386">
        <v>69112</v>
      </c>
      <c r="N16386" t="s">
        <v>227</v>
      </c>
      <c r="O16386">
        <v>251104</v>
      </c>
      <c r="P16386">
        <v>109.88</v>
      </c>
    </row>
    <row r="16387" spans="1:16" x14ac:dyDescent="0.25">
      <c r="A16387" t="s">
        <v>3296</v>
      </c>
      <c r="B16387" t="s">
        <v>2931</v>
      </c>
      <c r="C16387">
        <v>14572</v>
      </c>
      <c r="D16387" t="str">
        <f>"21104593    "</f>
        <v xml:space="preserve">21104593    </v>
      </c>
      <c r="E16387" t="s">
        <v>2828</v>
      </c>
      <c r="F16387" t="s">
        <v>2829</v>
      </c>
      <c r="G16387">
        <v>6.96</v>
      </c>
      <c r="H16387">
        <v>251031</v>
      </c>
      <c r="I16387">
        <v>4520</v>
      </c>
      <c r="J16387" t="s">
        <v>280</v>
      </c>
      <c r="K16387">
        <v>140.97999999999999</v>
      </c>
      <c r="L16387">
        <v>0.85</v>
      </c>
      <c r="M16387">
        <v>69810</v>
      </c>
      <c r="N16387" t="s">
        <v>229</v>
      </c>
      <c r="O16387">
        <v>251104</v>
      </c>
      <c r="P16387">
        <v>6.11</v>
      </c>
    </row>
    <row r="16388" spans="1:16" x14ac:dyDescent="0.25">
      <c r="A16388" t="s">
        <v>3296</v>
      </c>
      <c r="B16388" t="s">
        <v>2931</v>
      </c>
      <c r="C16388">
        <v>14572</v>
      </c>
      <c r="D16388" t="str">
        <f>"21104593    "</f>
        <v xml:space="preserve">21104593    </v>
      </c>
      <c r="E16388" t="s">
        <v>2828</v>
      </c>
      <c r="F16388" t="s">
        <v>2829</v>
      </c>
      <c r="G16388">
        <v>6.96</v>
      </c>
      <c r="H16388">
        <v>251031</v>
      </c>
      <c r="I16388">
        <v>4520</v>
      </c>
      <c r="J16388" t="s">
        <v>280</v>
      </c>
      <c r="K16388">
        <v>140.97999999999999</v>
      </c>
      <c r="L16388">
        <v>0.85</v>
      </c>
      <c r="M16388">
        <v>69811</v>
      </c>
      <c r="N16388" t="s">
        <v>230</v>
      </c>
      <c r="O16388">
        <v>251104</v>
      </c>
      <c r="P16388">
        <v>6.11</v>
      </c>
    </row>
    <row r="16389" spans="1:16" x14ac:dyDescent="0.25">
      <c r="A16389" t="s">
        <v>3296</v>
      </c>
      <c r="B16389" t="s">
        <v>2931</v>
      </c>
      <c r="C16389">
        <v>14600</v>
      </c>
      <c r="D16389" t="str">
        <f>"21104599    "</f>
        <v xml:space="preserve">21104599    </v>
      </c>
      <c r="E16389" t="s">
        <v>2828</v>
      </c>
      <c r="F16389" t="s">
        <v>2829</v>
      </c>
      <c r="G16389">
        <v>180.69</v>
      </c>
      <c r="H16389">
        <v>251031</v>
      </c>
      <c r="I16389">
        <v>4520</v>
      </c>
      <c r="J16389" t="s">
        <v>280</v>
      </c>
      <c r="K16389">
        <v>230.49</v>
      </c>
      <c r="L16389">
        <v>22.19</v>
      </c>
      <c r="M16389">
        <v>54451</v>
      </c>
      <c r="N16389" t="s">
        <v>218</v>
      </c>
      <c r="O16389">
        <v>251105</v>
      </c>
      <c r="P16389">
        <v>158.5</v>
      </c>
    </row>
    <row r="16390" spans="1:16" x14ac:dyDescent="0.25">
      <c r="A16390" t="s">
        <v>3296</v>
      </c>
      <c r="B16390" t="s">
        <v>2931</v>
      </c>
      <c r="C16390">
        <v>14650</v>
      </c>
      <c r="D16390" t="str">
        <f>"21104604    "</f>
        <v xml:space="preserve">21104604    </v>
      </c>
      <c r="E16390" t="s">
        <v>2828</v>
      </c>
      <c r="F16390" t="s">
        <v>2829</v>
      </c>
      <c r="G16390">
        <v>41.43</v>
      </c>
      <c r="H16390">
        <v>251031</v>
      </c>
      <c r="I16390">
        <v>4520</v>
      </c>
      <c r="J16390" t="s">
        <v>280</v>
      </c>
      <c r="K16390">
        <v>455.5</v>
      </c>
      <c r="L16390">
        <v>5.09</v>
      </c>
      <c r="M16390">
        <v>17913</v>
      </c>
      <c r="N16390" t="s">
        <v>26</v>
      </c>
      <c r="O16390">
        <v>251105</v>
      </c>
      <c r="P16390">
        <v>36.340000000000003</v>
      </c>
    </row>
    <row r="16391" spans="1:16" x14ac:dyDescent="0.25">
      <c r="A16391" t="s">
        <v>3296</v>
      </c>
      <c r="B16391" t="s">
        <v>2931</v>
      </c>
      <c r="C16391">
        <v>14716</v>
      </c>
      <c r="D16391" t="str">
        <f>"21104603    "</f>
        <v xml:space="preserve">21104603    </v>
      </c>
      <c r="E16391" t="s">
        <v>2828</v>
      </c>
      <c r="F16391" t="s">
        <v>2829</v>
      </c>
      <c r="G16391">
        <v>134.04</v>
      </c>
      <c r="H16391">
        <v>251031</v>
      </c>
      <c r="I16391">
        <v>4520</v>
      </c>
      <c r="J16391" t="s">
        <v>280</v>
      </c>
      <c r="K16391">
        <v>134.04</v>
      </c>
      <c r="L16391">
        <v>16.46</v>
      </c>
      <c r="M16391">
        <v>49112</v>
      </c>
      <c r="N16391" t="s">
        <v>109</v>
      </c>
      <c r="O16391">
        <v>251106</v>
      </c>
      <c r="P16391">
        <v>117.58</v>
      </c>
    </row>
    <row r="16392" spans="1:16" x14ac:dyDescent="0.25">
      <c r="A16392" t="s">
        <v>3296</v>
      </c>
      <c r="B16392" t="s">
        <v>2931</v>
      </c>
      <c r="C16392">
        <v>14718</v>
      </c>
      <c r="D16392" t="str">
        <f>"21104594    "</f>
        <v xml:space="preserve">21104594    </v>
      </c>
      <c r="E16392" t="s">
        <v>2828</v>
      </c>
      <c r="F16392" t="s">
        <v>2829</v>
      </c>
      <c r="G16392">
        <v>24.72</v>
      </c>
      <c r="H16392">
        <v>251031</v>
      </c>
      <c r="I16392">
        <v>4520</v>
      </c>
      <c r="J16392" t="s">
        <v>280</v>
      </c>
      <c r="K16392">
        <v>296.36</v>
      </c>
      <c r="L16392">
        <v>3.04</v>
      </c>
      <c r="M16392">
        <v>56565</v>
      </c>
      <c r="N16392" t="s">
        <v>57</v>
      </c>
      <c r="O16392">
        <v>251106</v>
      </c>
      <c r="P16392">
        <v>21.68</v>
      </c>
    </row>
    <row r="16393" spans="1:16" x14ac:dyDescent="0.25">
      <c r="A16393" t="s">
        <v>3296</v>
      </c>
      <c r="B16393" t="s">
        <v>2931</v>
      </c>
      <c r="C16393">
        <v>14718</v>
      </c>
      <c r="D16393" t="str">
        <f>"21104594    "</f>
        <v xml:space="preserve">21104594    </v>
      </c>
      <c r="E16393" t="s">
        <v>2828</v>
      </c>
      <c r="F16393" t="s">
        <v>2829</v>
      </c>
      <c r="G16393">
        <v>56.57</v>
      </c>
      <c r="H16393">
        <v>251031</v>
      </c>
      <c r="I16393">
        <v>4520</v>
      </c>
      <c r="J16393" t="s">
        <v>280</v>
      </c>
      <c r="K16393">
        <v>296.36</v>
      </c>
      <c r="L16393">
        <v>6.95</v>
      </c>
      <c r="M16393">
        <v>59111</v>
      </c>
      <c r="N16393" t="s">
        <v>60</v>
      </c>
      <c r="O16393">
        <v>251106</v>
      </c>
      <c r="P16393">
        <v>49.62</v>
      </c>
    </row>
    <row r="16394" spans="1:16" x14ac:dyDescent="0.25">
      <c r="A16394" t="s">
        <v>3296</v>
      </c>
      <c r="B16394" t="s">
        <v>2931</v>
      </c>
      <c r="C16394">
        <v>14718</v>
      </c>
      <c r="D16394" t="str">
        <f>"21104594    "</f>
        <v xml:space="preserve">21104594    </v>
      </c>
      <c r="E16394" t="s">
        <v>2828</v>
      </c>
      <c r="F16394" t="s">
        <v>2829</v>
      </c>
      <c r="G16394">
        <v>96.25</v>
      </c>
      <c r="H16394">
        <v>251031</v>
      </c>
      <c r="I16394">
        <v>4520</v>
      </c>
      <c r="J16394" t="s">
        <v>280</v>
      </c>
      <c r="K16394">
        <v>296.36</v>
      </c>
      <c r="L16394">
        <v>11.82</v>
      </c>
      <c r="M16394">
        <v>59111</v>
      </c>
      <c r="N16394" t="s">
        <v>60</v>
      </c>
      <c r="O16394">
        <v>251106</v>
      </c>
      <c r="P16394">
        <v>84.43</v>
      </c>
    </row>
    <row r="16395" spans="1:16" x14ac:dyDescent="0.25">
      <c r="A16395" t="s">
        <v>3296</v>
      </c>
      <c r="B16395" t="s">
        <v>2931</v>
      </c>
      <c r="C16395">
        <v>14899</v>
      </c>
      <c r="D16395" t="str">
        <f>"21104602    "</f>
        <v xml:space="preserve">21104602    </v>
      </c>
      <c r="E16395" t="s">
        <v>2828</v>
      </c>
      <c r="F16395" t="s">
        <v>2829</v>
      </c>
      <c r="G16395">
        <v>291</v>
      </c>
      <c r="H16395">
        <v>251031</v>
      </c>
      <c r="I16395">
        <v>4520</v>
      </c>
      <c r="J16395" t="s">
        <v>280</v>
      </c>
      <c r="K16395">
        <v>361.02</v>
      </c>
      <c r="L16395">
        <v>35.74</v>
      </c>
      <c r="M16395">
        <v>13932</v>
      </c>
      <c r="N16395" t="s">
        <v>680</v>
      </c>
      <c r="O16395">
        <v>251107</v>
      </c>
      <c r="P16395">
        <v>255.26</v>
      </c>
    </row>
    <row r="16396" spans="1:16" x14ac:dyDescent="0.25">
      <c r="A16396" t="s">
        <v>3296</v>
      </c>
      <c r="B16396" t="s">
        <v>2931</v>
      </c>
      <c r="C16396">
        <v>14904</v>
      </c>
      <c r="D16396" t="str">
        <f>"21104605    "</f>
        <v xml:space="preserve">21104605    </v>
      </c>
      <c r="E16396" t="s">
        <v>2828</v>
      </c>
      <c r="F16396" t="s">
        <v>2829</v>
      </c>
      <c r="G16396">
        <v>5.17</v>
      </c>
      <c r="H16396">
        <v>251031</v>
      </c>
      <c r="I16396">
        <v>4520</v>
      </c>
      <c r="J16396" t="s">
        <v>280</v>
      </c>
      <c r="K16396">
        <v>292.86</v>
      </c>
      <c r="L16396">
        <v>1.05</v>
      </c>
      <c r="M16396">
        <v>13501</v>
      </c>
      <c r="N16396" t="s">
        <v>66</v>
      </c>
      <c r="O16396">
        <v>251107</v>
      </c>
      <c r="P16396">
        <v>4.12</v>
      </c>
    </row>
    <row r="16397" spans="1:16" x14ac:dyDescent="0.25">
      <c r="A16397" t="s">
        <v>3296</v>
      </c>
      <c r="B16397" t="s">
        <v>2931</v>
      </c>
      <c r="C16397">
        <v>14904</v>
      </c>
      <c r="D16397" t="str">
        <f>"21104605    "</f>
        <v xml:space="preserve">21104605    </v>
      </c>
      <c r="E16397" t="s">
        <v>2828</v>
      </c>
      <c r="F16397" t="s">
        <v>2829</v>
      </c>
      <c r="G16397">
        <v>21.99</v>
      </c>
      <c r="H16397">
        <v>251031</v>
      </c>
      <c r="I16397">
        <v>4520</v>
      </c>
      <c r="J16397" t="s">
        <v>280</v>
      </c>
      <c r="K16397">
        <v>292.86</v>
      </c>
      <c r="L16397">
        <v>2.7</v>
      </c>
      <c r="M16397">
        <v>13501</v>
      </c>
      <c r="N16397" t="s">
        <v>66</v>
      </c>
      <c r="O16397">
        <v>251107</v>
      </c>
      <c r="P16397">
        <v>19.29</v>
      </c>
    </row>
    <row r="16398" spans="1:16" x14ac:dyDescent="0.25">
      <c r="A16398" t="s">
        <v>3296</v>
      </c>
      <c r="B16398" t="s">
        <v>2931</v>
      </c>
      <c r="C16398">
        <v>14905</v>
      </c>
      <c r="D16398" t="str">
        <f t="shared" ref="D16398:D16403" si="272">"21104600    "</f>
        <v xml:space="preserve">21104600    </v>
      </c>
      <c r="E16398" t="s">
        <v>2828</v>
      </c>
      <c r="F16398" t="s">
        <v>2829</v>
      </c>
      <c r="G16398">
        <v>20.14</v>
      </c>
      <c r="H16398">
        <v>251031</v>
      </c>
      <c r="I16398">
        <v>4520</v>
      </c>
      <c r="J16398" t="s">
        <v>280</v>
      </c>
      <c r="K16398">
        <v>471.66</v>
      </c>
      <c r="L16398">
        <v>2.4700000000000002</v>
      </c>
      <c r="M16398">
        <v>14972</v>
      </c>
      <c r="N16398" t="s">
        <v>82</v>
      </c>
      <c r="O16398">
        <v>251107</v>
      </c>
      <c r="P16398">
        <v>17.670000000000002</v>
      </c>
    </row>
    <row r="16399" spans="1:16" x14ac:dyDescent="0.25">
      <c r="A16399" t="s">
        <v>3296</v>
      </c>
      <c r="B16399" t="s">
        <v>2931</v>
      </c>
      <c r="C16399">
        <v>14905</v>
      </c>
      <c r="D16399" t="str">
        <f t="shared" si="272"/>
        <v xml:space="preserve">21104600    </v>
      </c>
      <c r="E16399" t="s">
        <v>2828</v>
      </c>
      <c r="F16399" t="s">
        <v>2829</v>
      </c>
      <c r="G16399">
        <v>30.5</v>
      </c>
      <c r="H16399">
        <v>251031</v>
      </c>
      <c r="I16399">
        <v>4520</v>
      </c>
      <c r="J16399" t="s">
        <v>280</v>
      </c>
      <c r="K16399">
        <v>471.66</v>
      </c>
      <c r="L16399">
        <v>3.75</v>
      </c>
      <c r="M16399">
        <v>14986</v>
      </c>
      <c r="N16399" t="s">
        <v>2405</v>
      </c>
      <c r="O16399">
        <v>251107</v>
      </c>
      <c r="P16399">
        <v>26.75</v>
      </c>
    </row>
    <row r="16400" spans="1:16" x14ac:dyDescent="0.25">
      <c r="A16400" t="s">
        <v>3296</v>
      </c>
      <c r="B16400" t="s">
        <v>2931</v>
      </c>
      <c r="C16400">
        <v>14905</v>
      </c>
      <c r="D16400" t="str">
        <f t="shared" si="272"/>
        <v xml:space="preserve">21104600    </v>
      </c>
      <c r="E16400" t="s">
        <v>2828</v>
      </c>
      <c r="F16400" t="s">
        <v>2829</v>
      </c>
      <c r="G16400">
        <v>77.069999999999993</v>
      </c>
      <c r="H16400">
        <v>251031</v>
      </c>
      <c r="I16400">
        <v>4520</v>
      </c>
      <c r="J16400" t="s">
        <v>280</v>
      </c>
      <c r="K16400">
        <v>471.66</v>
      </c>
      <c r="L16400">
        <v>9.4600000000000009</v>
      </c>
      <c r="M16400">
        <v>14986</v>
      </c>
      <c r="N16400" t="s">
        <v>2405</v>
      </c>
      <c r="O16400">
        <v>251107</v>
      </c>
      <c r="P16400">
        <v>67.61</v>
      </c>
    </row>
    <row r="16401" spans="1:16" x14ac:dyDescent="0.25">
      <c r="A16401" t="s">
        <v>3296</v>
      </c>
      <c r="B16401" t="s">
        <v>2931</v>
      </c>
      <c r="C16401">
        <v>14905</v>
      </c>
      <c r="D16401" t="str">
        <f t="shared" si="272"/>
        <v xml:space="preserve">21104600    </v>
      </c>
      <c r="E16401" t="s">
        <v>2828</v>
      </c>
      <c r="F16401" t="s">
        <v>2829</v>
      </c>
      <c r="G16401">
        <v>83.2</v>
      </c>
      <c r="H16401">
        <v>251031</v>
      </c>
      <c r="I16401">
        <v>4520</v>
      </c>
      <c r="J16401" t="s">
        <v>280</v>
      </c>
      <c r="K16401">
        <v>471.66</v>
      </c>
      <c r="L16401">
        <v>10.220000000000001</v>
      </c>
      <c r="M16401">
        <v>14986</v>
      </c>
      <c r="N16401" t="s">
        <v>2405</v>
      </c>
      <c r="O16401">
        <v>251107</v>
      </c>
      <c r="P16401">
        <v>72.98</v>
      </c>
    </row>
    <row r="16402" spans="1:16" x14ac:dyDescent="0.25">
      <c r="A16402" t="s">
        <v>3296</v>
      </c>
      <c r="B16402" t="s">
        <v>2931</v>
      </c>
      <c r="C16402">
        <v>14905</v>
      </c>
      <c r="D16402" t="str">
        <f t="shared" si="272"/>
        <v xml:space="preserve">21104600    </v>
      </c>
      <c r="E16402" t="s">
        <v>2828</v>
      </c>
      <c r="F16402" t="s">
        <v>2829</v>
      </c>
      <c r="G16402">
        <v>91.68</v>
      </c>
      <c r="H16402">
        <v>251031</v>
      </c>
      <c r="I16402">
        <v>4520</v>
      </c>
      <c r="J16402" t="s">
        <v>280</v>
      </c>
      <c r="K16402">
        <v>471.66</v>
      </c>
      <c r="L16402">
        <v>11.26</v>
      </c>
      <c r="M16402">
        <v>14986</v>
      </c>
      <c r="N16402" t="s">
        <v>2405</v>
      </c>
      <c r="O16402">
        <v>251107</v>
      </c>
      <c r="P16402">
        <v>80.42</v>
      </c>
    </row>
    <row r="16403" spans="1:16" x14ac:dyDescent="0.25">
      <c r="A16403" t="s">
        <v>3296</v>
      </c>
      <c r="B16403" t="s">
        <v>2931</v>
      </c>
      <c r="C16403">
        <v>14905</v>
      </c>
      <c r="D16403" t="str">
        <f t="shared" si="272"/>
        <v xml:space="preserve">21104600    </v>
      </c>
      <c r="E16403" t="s">
        <v>2828</v>
      </c>
      <c r="F16403" t="s">
        <v>2829</v>
      </c>
      <c r="G16403">
        <v>107.27</v>
      </c>
      <c r="H16403">
        <v>251031</v>
      </c>
      <c r="I16403">
        <v>4520</v>
      </c>
      <c r="J16403" t="s">
        <v>280</v>
      </c>
      <c r="K16403">
        <v>471.66</v>
      </c>
      <c r="L16403">
        <v>13.17</v>
      </c>
      <c r="M16403">
        <v>14986</v>
      </c>
      <c r="N16403" t="s">
        <v>2405</v>
      </c>
      <c r="O16403">
        <v>251107</v>
      </c>
      <c r="P16403">
        <v>94.1</v>
      </c>
    </row>
    <row r="16404" spans="1:16" x14ac:dyDescent="0.25">
      <c r="A16404" t="s">
        <v>3296</v>
      </c>
      <c r="B16404" t="s">
        <v>2931</v>
      </c>
      <c r="C16404">
        <v>14909</v>
      </c>
      <c r="D16404" t="str">
        <f>"21104589    "</f>
        <v xml:space="preserve">21104589    </v>
      </c>
      <c r="E16404" t="s">
        <v>2828</v>
      </c>
      <c r="F16404" t="s">
        <v>2829</v>
      </c>
      <c r="G16404">
        <v>152.35</v>
      </c>
      <c r="H16404">
        <v>251031</v>
      </c>
      <c r="I16404">
        <v>4520</v>
      </c>
      <c r="J16404" t="s">
        <v>280</v>
      </c>
      <c r="K16404">
        <v>346.4</v>
      </c>
      <c r="L16404">
        <v>18.71</v>
      </c>
      <c r="M16404">
        <v>67522</v>
      </c>
      <c r="N16404" t="s">
        <v>121</v>
      </c>
      <c r="O16404">
        <v>251107</v>
      </c>
      <c r="P16404">
        <v>133.63999999999999</v>
      </c>
    </row>
    <row r="16405" spans="1:16" x14ac:dyDescent="0.25">
      <c r="A16405" t="s">
        <v>3296</v>
      </c>
      <c r="B16405" t="s">
        <v>2931</v>
      </c>
      <c r="C16405">
        <v>14909</v>
      </c>
      <c r="D16405" t="str">
        <f>"21104589    "</f>
        <v xml:space="preserve">21104589    </v>
      </c>
      <c r="E16405" t="s">
        <v>2828</v>
      </c>
      <c r="F16405" t="s">
        <v>2829</v>
      </c>
      <c r="G16405">
        <v>79.62</v>
      </c>
      <c r="H16405">
        <v>251031</v>
      </c>
      <c r="I16405">
        <v>4520</v>
      </c>
      <c r="J16405" t="s">
        <v>280</v>
      </c>
      <c r="K16405">
        <v>346.4</v>
      </c>
      <c r="L16405">
        <v>9.7799999999999994</v>
      </c>
      <c r="M16405">
        <v>67522</v>
      </c>
      <c r="N16405" t="s">
        <v>121</v>
      </c>
      <c r="O16405">
        <v>251107</v>
      </c>
      <c r="P16405">
        <v>69.84</v>
      </c>
    </row>
    <row r="16406" spans="1:16" x14ac:dyDescent="0.25">
      <c r="A16406" t="s">
        <v>3296</v>
      </c>
      <c r="B16406" t="s">
        <v>2931</v>
      </c>
      <c r="C16406">
        <v>15234</v>
      </c>
      <c r="D16406" t="str">
        <f>"21104606    "</f>
        <v xml:space="preserve">21104606    </v>
      </c>
      <c r="E16406" t="s">
        <v>2828</v>
      </c>
      <c r="F16406" t="s">
        <v>2829</v>
      </c>
      <c r="G16406">
        <v>11.73</v>
      </c>
      <c r="H16406">
        <v>251031</v>
      </c>
      <c r="I16406">
        <v>4520</v>
      </c>
      <c r="J16406" t="s">
        <v>280</v>
      </c>
      <c r="K16406">
        <v>257.67</v>
      </c>
      <c r="L16406">
        <v>1.44</v>
      </c>
      <c r="M16406">
        <v>11902</v>
      </c>
      <c r="N16406" t="s">
        <v>329</v>
      </c>
      <c r="O16406">
        <v>251117</v>
      </c>
      <c r="P16406">
        <v>10.29</v>
      </c>
    </row>
    <row r="16407" spans="1:16" x14ac:dyDescent="0.25">
      <c r="A16407" t="s">
        <v>3296</v>
      </c>
      <c r="B16407" t="s">
        <v>2931</v>
      </c>
      <c r="C16407">
        <v>15234</v>
      </c>
      <c r="D16407" t="str">
        <f>"21104606    "</f>
        <v xml:space="preserve">21104606    </v>
      </c>
      <c r="E16407" t="s">
        <v>2828</v>
      </c>
      <c r="F16407" t="s">
        <v>2829</v>
      </c>
      <c r="G16407">
        <v>237.37</v>
      </c>
      <c r="H16407">
        <v>251031</v>
      </c>
      <c r="I16407">
        <v>4520</v>
      </c>
      <c r="J16407" t="s">
        <v>280</v>
      </c>
      <c r="K16407">
        <v>257.67</v>
      </c>
      <c r="L16407">
        <v>29.15</v>
      </c>
      <c r="M16407">
        <v>44222</v>
      </c>
      <c r="N16407" t="s">
        <v>96</v>
      </c>
      <c r="O16407">
        <v>251117</v>
      </c>
      <c r="P16407">
        <v>208.22</v>
      </c>
    </row>
    <row r="16408" spans="1:16" x14ac:dyDescent="0.25">
      <c r="A16408" t="s">
        <v>3296</v>
      </c>
      <c r="B16408" t="s">
        <v>2931</v>
      </c>
      <c r="C16408">
        <v>15236</v>
      </c>
      <c r="D16408" t="str">
        <f>"21104596    "</f>
        <v xml:space="preserve">21104596    </v>
      </c>
      <c r="E16408" t="s">
        <v>2828</v>
      </c>
      <c r="F16408" t="s">
        <v>2829</v>
      </c>
      <c r="G16408">
        <v>160.76</v>
      </c>
      <c r="H16408">
        <v>251031</v>
      </c>
      <c r="I16408">
        <v>4520</v>
      </c>
      <c r="J16408" t="s">
        <v>280</v>
      </c>
      <c r="K16408">
        <v>160.76</v>
      </c>
      <c r="L16408">
        <v>19.739999999999998</v>
      </c>
      <c r="M16408">
        <v>44253</v>
      </c>
      <c r="N16408" t="s">
        <v>403</v>
      </c>
      <c r="O16408">
        <v>251117</v>
      </c>
      <c r="P16408">
        <v>141.02000000000001</v>
      </c>
    </row>
    <row r="16409" spans="1:16" x14ac:dyDescent="0.25">
      <c r="A16409" t="s">
        <v>3296</v>
      </c>
      <c r="B16409" t="s">
        <v>2931</v>
      </c>
      <c r="C16409">
        <v>15302</v>
      </c>
      <c r="D16409" t="str">
        <f>"21104597    "</f>
        <v xml:space="preserve">21104597    </v>
      </c>
      <c r="E16409" t="s">
        <v>2828</v>
      </c>
      <c r="F16409" t="s">
        <v>2829</v>
      </c>
      <c r="G16409">
        <v>24.89</v>
      </c>
      <c r="H16409">
        <v>251031</v>
      </c>
      <c r="I16409">
        <v>4520</v>
      </c>
      <c r="J16409" t="s">
        <v>280</v>
      </c>
      <c r="K16409">
        <v>24.89</v>
      </c>
      <c r="L16409">
        <v>0</v>
      </c>
      <c r="M16409">
        <v>14971</v>
      </c>
      <c r="N16409" t="s">
        <v>81</v>
      </c>
      <c r="O16409">
        <v>251117</v>
      </c>
      <c r="P16409">
        <v>24.89</v>
      </c>
    </row>
    <row r="16410" spans="1:16" x14ac:dyDescent="0.25">
      <c r="A16410" t="s">
        <v>3296</v>
      </c>
      <c r="B16410" t="s">
        <v>2931</v>
      </c>
      <c r="C16410">
        <v>16101</v>
      </c>
      <c r="D16410" t="str">
        <f>"21153637    "</f>
        <v xml:space="preserve">21153637    </v>
      </c>
      <c r="E16410" t="s">
        <v>2828</v>
      </c>
      <c r="F16410" t="s">
        <v>2829</v>
      </c>
      <c r="G16410">
        <v>0.4</v>
      </c>
      <c r="H16410">
        <v>251130</v>
      </c>
      <c r="I16410">
        <v>4520</v>
      </c>
      <c r="J16410" t="s">
        <v>280</v>
      </c>
      <c r="K16410">
        <v>152.51</v>
      </c>
      <c r="L16410">
        <v>0.08</v>
      </c>
      <c r="M16410">
        <v>16431</v>
      </c>
      <c r="N16410" t="s">
        <v>17</v>
      </c>
      <c r="O16410">
        <v>251203</v>
      </c>
      <c r="P16410">
        <v>0.32</v>
      </c>
    </row>
    <row r="16411" spans="1:16" x14ac:dyDescent="0.25">
      <c r="A16411" t="s">
        <v>3296</v>
      </c>
      <c r="B16411" t="s">
        <v>2931</v>
      </c>
      <c r="C16411">
        <v>16101</v>
      </c>
      <c r="D16411" t="str">
        <f>"21153637    "</f>
        <v xml:space="preserve">21153637    </v>
      </c>
      <c r="E16411" t="s">
        <v>2828</v>
      </c>
      <c r="F16411" t="s">
        <v>2829</v>
      </c>
      <c r="G16411">
        <v>152.11000000000001</v>
      </c>
      <c r="H16411">
        <v>251130</v>
      </c>
      <c r="I16411">
        <v>4520</v>
      </c>
      <c r="J16411" t="s">
        <v>280</v>
      </c>
      <c r="K16411">
        <v>152.51</v>
      </c>
      <c r="L16411">
        <v>18.68</v>
      </c>
      <c r="M16411">
        <v>16431</v>
      </c>
      <c r="N16411" t="s">
        <v>17</v>
      </c>
      <c r="O16411">
        <v>251203</v>
      </c>
      <c r="P16411">
        <v>133.43</v>
      </c>
    </row>
    <row r="16412" spans="1:16" x14ac:dyDescent="0.25">
      <c r="A16412" t="s">
        <v>3296</v>
      </c>
      <c r="B16412" t="s">
        <v>2931</v>
      </c>
      <c r="C16412">
        <v>16104</v>
      </c>
      <c r="D16412" t="str">
        <f>"21153634    "</f>
        <v xml:space="preserve">21153634    </v>
      </c>
      <c r="E16412" t="s">
        <v>2828</v>
      </c>
      <c r="F16412" t="s">
        <v>2829</v>
      </c>
      <c r="G16412">
        <v>123.92</v>
      </c>
      <c r="H16412">
        <v>251130</v>
      </c>
      <c r="I16412">
        <v>4520</v>
      </c>
      <c r="J16412" t="s">
        <v>280</v>
      </c>
      <c r="K16412">
        <v>507.15</v>
      </c>
      <c r="L16412">
        <v>15.22</v>
      </c>
      <c r="M16412">
        <v>17131</v>
      </c>
      <c r="N16412" t="s">
        <v>154</v>
      </c>
      <c r="O16412">
        <v>251203</v>
      </c>
      <c r="P16412">
        <v>108.7</v>
      </c>
    </row>
    <row r="16413" spans="1:16" x14ac:dyDescent="0.25">
      <c r="A16413" t="s">
        <v>3296</v>
      </c>
      <c r="B16413" t="s">
        <v>2931</v>
      </c>
      <c r="C16413">
        <v>16104</v>
      </c>
      <c r="D16413" t="str">
        <f>"21153634    "</f>
        <v xml:space="preserve">21153634    </v>
      </c>
      <c r="E16413" t="s">
        <v>2828</v>
      </c>
      <c r="F16413" t="s">
        <v>2829</v>
      </c>
      <c r="G16413">
        <v>214.16</v>
      </c>
      <c r="H16413">
        <v>251130</v>
      </c>
      <c r="I16413">
        <v>4520</v>
      </c>
      <c r="J16413" t="s">
        <v>280</v>
      </c>
      <c r="K16413">
        <v>507.15</v>
      </c>
      <c r="L16413">
        <v>26.3</v>
      </c>
      <c r="M16413">
        <v>17131</v>
      </c>
      <c r="N16413" t="s">
        <v>154</v>
      </c>
      <c r="O16413">
        <v>251203</v>
      </c>
      <c r="P16413">
        <v>187.86</v>
      </c>
    </row>
    <row r="16414" spans="1:16" x14ac:dyDescent="0.25">
      <c r="A16414" t="s">
        <v>3296</v>
      </c>
      <c r="B16414" t="s">
        <v>2931</v>
      </c>
      <c r="C16414">
        <v>16104</v>
      </c>
      <c r="D16414" t="str">
        <f>"21153634    "</f>
        <v xml:space="preserve">21153634    </v>
      </c>
      <c r="E16414" t="s">
        <v>2828</v>
      </c>
      <c r="F16414" t="s">
        <v>2829</v>
      </c>
      <c r="G16414">
        <v>63.25</v>
      </c>
      <c r="H16414">
        <v>251130</v>
      </c>
      <c r="I16414">
        <v>4520</v>
      </c>
      <c r="J16414" t="s">
        <v>280</v>
      </c>
      <c r="K16414">
        <v>507.15</v>
      </c>
      <c r="L16414">
        <v>7.77</v>
      </c>
      <c r="M16414">
        <v>17912</v>
      </c>
      <c r="N16414" t="s">
        <v>505</v>
      </c>
      <c r="O16414">
        <v>251203</v>
      </c>
      <c r="P16414">
        <v>55.48</v>
      </c>
    </row>
    <row r="16415" spans="1:16" x14ac:dyDescent="0.25">
      <c r="A16415" t="s">
        <v>3296</v>
      </c>
      <c r="B16415" t="s">
        <v>2931</v>
      </c>
      <c r="C16415">
        <v>16104</v>
      </c>
      <c r="D16415" t="str">
        <f>"21153634    "</f>
        <v xml:space="preserve">21153634    </v>
      </c>
      <c r="E16415" t="s">
        <v>2828</v>
      </c>
      <c r="F16415" t="s">
        <v>2829</v>
      </c>
      <c r="G16415">
        <v>63.25</v>
      </c>
      <c r="H16415">
        <v>251130</v>
      </c>
      <c r="I16415">
        <v>4520</v>
      </c>
      <c r="J16415" t="s">
        <v>280</v>
      </c>
      <c r="K16415">
        <v>507.15</v>
      </c>
      <c r="L16415">
        <v>7.77</v>
      </c>
      <c r="M16415">
        <v>17972</v>
      </c>
      <c r="N16415" t="s">
        <v>28</v>
      </c>
      <c r="O16415">
        <v>251203</v>
      </c>
      <c r="P16415">
        <v>55.48</v>
      </c>
    </row>
    <row r="16416" spans="1:16" x14ac:dyDescent="0.25">
      <c r="A16416" t="s">
        <v>3296</v>
      </c>
      <c r="B16416" t="s">
        <v>2931</v>
      </c>
      <c r="C16416">
        <v>16105</v>
      </c>
      <c r="D16416" t="str">
        <f>"21153633    "</f>
        <v xml:space="preserve">21153633    </v>
      </c>
      <c r="E16416" t="s">
        <v>2828</v>
      </c>
      <c r="F16416" t="s">
        <v>2829</v>
      </c>
      <c r="G16416">
        <v>3.21</v>
      </c>
      <c r="H16416">
        <v>251130</v>
      </c>
      <c r="I16416">
        <v>4520</v>
      </c>
      <c r="J16416" t="s">
        <v>280</v>
      </c>
      <c r="K16416">
        <v>39.42</v>
      </c>
      <c r="L16416">
        <v>0.65</v>
      </c>
      <c r="M16416">
        <v>13661</v>
      </c>
      <c r="N16416" t="s">
        <v>243</v>
      </c>
      <c r="O16416">
        <v>251203</v>
      </c>
      <c r="P16416">
        <v>2.56</v>
      </c>
    </row>
    <row r="16417" spans="1:16" x14ac:dyDescent="0.25">
      <c r="A16417" t="s">
        <v>3296</v>
      </c>
      <c r="B16417" t="s">
        <v>2931</v>
      </c>
      <c r="C16417">
        <v>16105</v>
      </c>
      <c r="D16417" t="str">
        <f>"21153633    "</f>
        <v xml:space="preserve">21153633    </v>
      </c>
      <c r="E16417" t="s">
        <v>2828</v>
      </c>
      <c r="F16417" t="s">
        <v>2829</v>
      </c>
      <c r="G16417">
        <v>36.21</v>
      </c>
      <c r="H16417">
        <v>251130</v>
      </c>
      <c r="I16417">
        <v>4520</v>
      </c>
      <c r="J16417" t="s">
        <v>280</v>
      </c>
      <c r="K16417">
        <v>39.42</v>
      </c>
      <c r="L16417">
        <v>4.45</v>
      </c>
      <c r="M16417">
        <v>13661</v>
      </c>
      <c r="N16417" t="s">
        <v>243</v>
      </c>
      <c r="O16417">
        <v>251203</v>
      </c>
      <c r="P16417">
        <v>31.76</v>
      </c>
    </row>
    <row r="16418" spans="1:16" x14ac:dyDescent="0.25">
      <c r="A16418" t="s">
        <v>3296</v>
      </c>
      <c r="B16418" t="s">
        <v>2931</v>
      </c>
      <c r="C16418">
        <v>16274</v>
      </c>
      <c r="D16418" t="str">
        <f>"21153635    "</f>
        <v xml:space="preserve">21153635    </v>
      </c>
      <c r="E16418" t="s">
        <v>2828</v>
      </c>
      <c r="F16418" t="s">
        <v>2829</v>
      </c>
      <c r="G16418">
        <v>79.69</v>
      </c>
      <c r="H16418">
        <v>251130</v>
      </c>
      <c r="I16418">
        <v>4520</v>
      </c>
      <c r="J16418" t="s">
        <v>280</v>
      </c>
      <c r="K16418">
        <v>88.4</v>
      </c>
      <c r="L16418">
        <v>9.7899999999999991</v>
      </c>
      <c r="M16418">
        <v>13932</v>
      </c>
      <c r="N16418" t="s">
        <v>680</v>
      </c>
      <c r="O16418">
        <v>251205</v>
      </c>
      <c r="P16418">
        <v>69.900000000000006</v>
      </c>
    </row>
    <row r="16419" spans="1:16" x14ac:dyDescent="0.25">
      <c r="A16419" t="s">
        <v>3296</v>
      </c>
      <c r="B16419" t="s">
        <v>2931</v>
      </c>
      <c r="C16419">
        <v>16280</v>
      </c>
      <c r="D16419" t="str">
        <f>"21153621    "</f>
        <v xml:space="preserve">21153621    </v>
      </c>
      <c r="E16419" t="s">
        <v>2828</v>
      </c>
      <c r="F16419" t="s">
        <v>2829</v>
      </c>
      <c r="G16419">
        <v>34.14</v>
      </c>
      <c r="H16419">
        <v>251130</v>
      </c>
      <c r="I16419">
        <v>4520</v>
      </c>
      <c r="J16419" t="s">
        <v>280</v>
      </c>
      <c r="K16419">
        <v>34.14</v>
      </c>
      <c r="L16419">
        <v>4.1900000000000004</v>
      </c>
      <c r="M16419">
        <v>44251</v>
      </c>
      <c r="N16419" t="s">
        <v>215</v>
      </c>
      <c r="O16419">
        <v>251205</v>
      </c>
      <c r="P16419">
        <v>29.95</v>
      </c>
    </row>
    <row r="16420" spans="1:16" x14ac:dyDescent="0.25">
      <c r="A16420" t="s">
        <v>3296</v>
      </c>
      <c r="B16420" t="s">
        <v>2931</v>
      </c>
      <c r="C16420">
        <v>16354</v>
      </c>
      <c r="D16420" t="str">
        <f>"21153629    "</f>
        <v xml:space="preserve">21153629    </v>
      </c>
      <c r="E16420" t="s">
        <v>2828</v>
      </c>
      <c r="F16420" t="s">
        <v>2829</v>
      </c>
      <c r="G16420">
        <v>50.22</v>
      </c>
      <c r="H16420">
        <v>251130</v>
      </c>
      <c r="I16420">
        <v>4520</v>
      </c>
      <c r="J16420" t="s">
        <v>280</v>
      </c>
      <c r="K16420">
        <v>126.3</v>
      </c>
      <c r="L16420">
        <v>6.17</v>
      </c>
      <c r="M16420">
        <v>14422</v>
      </c>
      <c r="N16420" t="s">
        <v>73</v>
      </c>
      <c r="O16420">
        <v>251208</v>
      </c>
      <c r="P16420">
        <v>44.05</v>
      </c>
    </row>
    <row r="16421" spans="1:16" x14ac:dyDescent="0.25">
      <c r="A16421" t="s">
        <v>3296</v>
      </c>
      <c r="B16421" t="s">
        <v>2931</v>
      </c>
      <c r="C16421">
        <v>16354</v>
      </c>
      <c r="D16421" t="str">
        <f>"21153629    "</f>
        <v xml:space="preserve">21153629    </v>
      </c>
      <c r="E16421" t="s">
        <v>2828</v>
      </c>
      <c r="F16421" t="s">
        <v>2829</v>
      </c>
      <c r="G16421">
        <v>6.73</v>
      </c>
      <c r="H16421">
        <v>251130</v>
      </c>
      <c r="I16421">
        <v>4520</v>
      </c>
      <c r="J16421" t="s">
        <v>280</v>
      </c>
      <c r="K16421">
        <v>126.3</v>
      </c>
      <c r="L16421">
        <v>0.83</v>
      </c>
      <c r="M16421">
        <v>14990</v>
      </c>
      <c r="N16421" t="s">
        <v>85</v>
      </c>
      <c r="O16421">
        <v>251208</v>
      </c>
      <c r="P16421">
        <v>5.9</v>
      </c>
    </row>
    <row r="16422" spans="1:16" x14ac:dyDescent="0.25">
      <c r="A16422" t="s">
        <v>3296</v>
      </c>
      <c r="B16422" t="s">
        <v>2931</v>
      </c>
      <c r="C16422">
        <v>16354</v>
      </c>
      <c r="D16422" t="str">
        <f>"21153629    "</f>
        <v xml:space="preserve">21153629    </v>
      </c>
      <c r="E16422" t="s">
        <v>2828</v>
      </c>
      <c r="F16422" t="s">
        <v>2829</v>
      </c>
      <c r="G16422">
        <v>12.77</v>
      </c>
      <c r="H16422">
        <v>251130</v>
      </c>
      <c r="I16422">
        <v>4520</v>
      </c>
      <c r="J16422" t="s">
        <v>280</v>
      </c>
      <c r="K16422">
        <v>126.3</v>
      </c>
      <c r="L16422">
        <v>1.57</v>
      </c>
      <c r="M16422">
        <v>14990</v>
      </c>
      <c r="N16422" t="s">
        <v>85</v>
      </c>
      <c r="O16422">
        <v>251208</v>
      </c>
      <c r="P16422">
        <v>11.2</v>
      </c>
    </row>
    <row r="16423" spans="1:16" x14ac:dyDescent="0.25">
      <c r="A16423" t="s">
        <v>3296</v>
      </c>
      <c r="B16423" t="s">
        <v>2931</v>
      </c>
      <c r="C16423">
        <v>16354</v>
      </c>
      <c r="D16423" t="str">
        <f>"21153629    "</f>
        <v xml:space="preserve">21153629    </v>
      </c>
      <c r="E16423" t="s">
        <v>2828</v>
      </c>
      <c r="F16423" t="s">
        <v>2829</v>
      </c>
      <c r="G16423">
        <v>13.37</v>
      </c>
      <c r="H16423">
        <v>251130</v>
      </c>
      <c r="I16423">
        <v>4520</v>
      </c>
      <c r="J16423" t="s">
        <v>280</v>
      </c>
      <c r="K16423">
        <v>126.3</v>
      </c>
      <c r="L16423">
        <v>1.64</v>
      </c>
      <c r="M16423">
        <v>14990</v>
      </c>
      <c r="N16423" t="s">
        <v>85</v>
      </c>
      <c r="O16423">
        <v>251208</v>
      </c>
      <c r="P16423">
        <v>11.73</v>
      </c>
    </row>
    <row r="16424" spans="1:16" x14ac:dyDescent="0.25">
      <c r="A16424" t="s">
        <v>3296</v>
      </c>
      <c r="B16424" t="s">
        <v>2931</v>
      </c>
      <c r="C16424">
        <v>16354</v>
      </c>
      <c r="D16424" t="str">
        <f>"21153629    "</f>
        <v xml:space="preserve">21153629    </v>
      </c>
      <c r="E16424" t="s">
        <v>2828</v>
      </c>
      <c r="F16424" t="s">
        <v>2829</v>
      </c>
      <c r="G16424">
        <v>39.39</v>
      </c>
      <c r="H16424">
        <v>251130</v>
      </c>
      <c r="I16424">
        <v>4520</v>
      </c>
      <c r="J16424" t="s">
        <v>280</v>
      </c>
      <c r="K16424">
        <v>126.3</v>
      </c>
      <c r="L16424">
        <v>4.84</v>
      </c>
      <c r="M16424">
        <v>14990</v>
      </c>
      <c r="N16424" t="s">
        <v>85</v>
      </c>
      <c r="O16424">
        <v>251208</v>
      </c>
      <c r="P16424">
        <v>34.549999999999997</v>
      </c>
    </row>
    <row r="16425" spans="1:16" x14ac:dyDescent="0.25">
      <c r="A16425" t="s">
        <v>3296</v>
      </c>
      <c r="B16425" t="s">
        <v>2931</v>
      </c>
      <c r="C16425">
        <v>16392</v>
      </c>
      <c r="D16425" t="str">
        <f>"21153625    "</f>
        <v xml:space="preserve">21153625    </v>
      </c>
      <c r="E16425" t="s">
        <v>2828</v>
      </c>
      <c r="F16425" t="s">
        <v>2829</v>
      </c>
      <c r="G16425">
        <v>135</v>
      </c>
      <c r="H16425">
        <v>251130</v>
      </c>
      <c r="I16425">
        <v>4520</v>
      </c>
      <c r="J16425" t="s">
        <v>280</v>
      </c>
      <c r="K16425">
        <v>163.12</v>
      </c>
      <c r="L16425">
        <v>16.579999999999998</v>
      </c>
      <c r="M16425">
        <v>69112</v>
      </c>
      <c r="N16425" t="s">
        <v>227</v>
      </c>
      <c r="O16425">
        <v>251208</v>
      </c>
      <c r="P16425">
        <v>118.42</v>
      </c>
    </row>
    <row r="16426" spans="1:16" x14ac:dyDescent="0.25">
      <c r="A16426" t="s">
        <v>3296</v>
      </c>
      <c r="B16426" t="s">
        <v>2931</v>
      </c>
      <c r="C16426">
        <v>16392</v>
      </c>
      <c r="D16426" t="str">
        <f>"21153625    "</f>
        <v xml:space="preserve">21153625    </v>
      </c>
      <c r="E16426" t="s">
        <v>2828</v>
      </c>
      <c r="F16426" t="s">
        <v>2829</v>
      </c>
      <c r="G16426">
        <v>7.5</v>
      </c>
      <c r="H16426">
        <v>251130</v>
      </c>
      <c r="I16426">
        <v>4520</v>
      </c>
      <c r="J16426" t="s">
        <v>280</v>
      </c>
      <c r="K16426">
        <v>163.12</v>
      </c>
      <c r="L16426">
        <v>0.92</v>
      </c>
      <c r="M16426">
        <v>69810</v>
      </c>
      <c r="N16426" t="s">
        <v>229</v>
      </c>
      <c r="O16426">
        <v>251208</v>
      </c>
      <c r="P16426">
        <v>6.58</v>
      </c>
    </row>
    <row r="16427" spans="1:16" x14ac:dyDescent="0.25">
      <c r="A16427" t="s">
        <v>3296</v>
      </c>
      <c r="B16427" t="s">
        <v>2931</v>
      </c>
      <c r="C16427">
        <v>16392</v>
      </c>
      <c r="D16427" t="str">
        <f>"21153625    "</f>
        <v xml:space="preserve">21153625    </v>
      </c>
      <c r="E16427" t="s">
        <v>2828</v>
      </c>
      <c r="F16427" t="s">
        <v>2829</v>
      </c>
      <c r="G16427">
        <v>7.5</v>
      </c>
      <c r="H16427">
        <v>251130</v>
      </c>
      <c r="I16427">
        <v>4520</v>
      </c>
      <c r="J16427" t="s">
        <v>280</v>
      </c>
      <c r="K16427">
        <v>163.12</v>
      </c>
      <c r="L16427">
        <v>0.92</v>
      </c>
      <c r="M16427">
        <v>69811</v>
      </c>
      <c r="N16427" t="s">
        <v>230</v>
      </c>
      <c r="O16427">
        <v>251208</v>
      </c>
      <c r="P16427">
        <v>6.58</v>
      </c>
    </row>
    <row r="16428" spans="1:16" x14ac:dyDescent="0.25">
      <c r="A16428" t="s">
        <v>3296</v>
      </c>
      <c r="B16428" t="s">
        <v>2931</v>
      </c>
      <c r="C16428">
        <v>16544</v>
      </c>
      <c r="D16428" t="str">
        <f>"21153622    "</f>
        <v xml:space="preserve">21153622    </v>
      </c>
      <c r="E16428" t="s">
        <v>2828</v>
      </c>
      <c r="F16428" t="s">
        <v>2829</v>
      </c>
      <c r="G16428">
        <v>34.770000000000003</v>
      </c>
      <c r="H16428">
        <v>251130</v>
      </c>
      <c r="I16428">
        <v>4520</v>
      </c>
      <c r="J16428" t="s">
        <v>280</v>
      </c>
      <c r="K16428">
        <v>327.27999999999997</v>
      </c>
      <c r="L16428">
        <v>4.2699999999999996</v>
      </c>
      <c r="M16428">
        <v>66722</v>
      </c>
      <c r="N16428" t="s">
        <v>118</v>
      </c>
      <c r="O16428">
        <v>251209</v>
      </c>
      <c r="P16428">
        <v>30.5</v>
      </c>
    </row>
    <row r="16429" spans="1:16" x14ac:dyDescent="0.25">
      <c r="A16429" t="s">
        <v>3296</v>
      </c>
      <c r="B16429" t="s">
        <v>2931</v>
      </c>
      <c r="C16429">
        <v>16544</v>
      </c>
      <c r="D16429" t="str">
        <f>"21153622    "</f>
        <v xml:space="preserve">21153622    </v>
      </c>
      <c r="E16429" t="s">
        <v>2828</v>
      </c>
      <c r="F16429" t="s">
        <v>2829</v>
      </c>
      <c r="G16429">
        <v>80.849999999999994</v>
      </c>
      <c r="H16429">
        <v>251130</v>
      </c>
      <c r="I16429">
        <v>4520</v>
      </c>
      <c r="J16429" t="s">
        <v>280</v>
      </c>
      <c r="K16429">
        <v>327.27999999999997</v>
      </c>
      <c r="L16429">
        <v>9.93</v>
      </c>
      <c r="M16429">
        <v>66754</v>
      </c>
      <c r="N16429" t="s">
        <v>119</v>
      </c>
      <c r="O16429">
        <v>251209</v>
      </c>
      <c r="P16429">
        <v>70.92</v>
      </c>
    </row>
    <row r="16430" spans="1:16" x14ac:dyDescent="0.25">
      <c r="A16430" t="s">
        <v>3296</v>
      </c>
      <c r="B16430" t="s">
        <v>2931</v>
      </c>
      <c r="C16430">
        <v>16544</v>
      </c>
      <c r="D16430" t="str">
        <f>"21153622    "</f>
        <v xml:space="preserve">21153622    </v>
      </c>
      <c r="E16430" t="s">
        <v>2828</v>
      </c>
      <c r="F16430" t="s">
        <v>2829</v>
      </c>
      <c r="G16430">
        <v>46.08</v>
      </c>
      <c r="H16430">
        <v>251130</v>
      </c>
      <c r="I16430">
        <v>4520</v>
      </c>
      <c r="J16430" t="s">
        <v>280</v>
      </c>
      <c r="K16430">
        <v>327.27999999999997</v>
      </c>
      <c r="L16430">
        <v>5.66</v>
      </c>
      <c r="M16430">
        <v>66760</v>
      </c>
      <c r="N16430" t="s">
        <v>2449</v>
      </c>
      <c r="O16430">
        <v>251209</v>
      </c>
      <c r="P16430">
        <v>40.42</v>
      </c>
    </row>
    <row r="16431" spans="1:16" x14ac:dyDescent="0.25">
      <c r="A16431" t="s">
        <v>3296</v>
      </c>
      <c r="B16431" t="s">
        <v>2931</v>
      </c>
      <c r="C16431">
        <v>16544</v>
      </c>
      <c r="D16431" t="str">
        <f>"21153622    "</f>
        <v xml:space="preserve">21153622    </v>
      </c>
      <c r="E16431" t="s">
        <v>2828</v>
      </c>
      <c r="F16431" t="s">
        <v>2829</v>
      </c>
      <c r="G16431">
        <v>81.95</v>
      </c>
      <c r="H16431">
        <v>251130</v>
      </c>
      <c r="I16431">
        <v>4520</v>
      </c>
      <c r="J16431" t="s">
        <v>280</v>
      </c>
      <c r="K16431">
        <v>327.27999999999997</v>
      </c>
      <c r="L16431">
        <v>10.06</v>
      </c>
      <c r="M16431">
        <v>67522</v>
      </c>
      <c r="N16431" t="s">
        <v>121</v>
      </c>
      <c r="O16431">
        <v>251209</v>
      </c>
      <c r="P16431">
        <v>71.89</v>
      </c>
    </row>
    <row r="16432" spans="1:16" x14ac:dyDescent="0.25">
      <c r="A16432" t="s">
        <v>3296</v>
      </c>
      <c r="B16432" t="s">
        <v>2931</v>
      </c>
      <c r="C16432">
        <v>16544</v>
      </c>
      <c r="D16432" t="str">
        <f>"21153622    "</f>
        <v xml:space="preserve">21153622    </v>
      </c>
      <c r="E16432" t="s">
        <v>2828</v>
      </c>
      <c r="F16432" t="s">
        <v>2829</v>
      </c>
      <c r="G16432">
        <v>87.88</v>
      </c>
      <c r="H16432">
        <v>251130</v>
      </c>
      <c r="I16432">
        <v>4520</v>
      </c>
      <c r="J16432" t="s">
        <v>280</v>
      </c>
      <c r="K16432">
        <v>327.27999999999997</v>
      </c>
      <c r="L16432">
        <v>10.79</v>
      </c>
      <c r="M16432">
        <v>69111</v>
      </c>
      <c r="N16432" t="s">
        <v>657</v>
      </c>
      <c r="O16432">
        <v>251209</v>
      </c>
      <c r="P16432">
        <v>77.09</v>
      </c>
    </row>
    <row r="16433" spans="1:16" x14ac:dyDescent="0.25">
      <c r="A16433" t="s">
        <v>3296</v>
      </c>
      <c r="B16433" t="s">
        <v>2931</v>
      </c>
      <c r="C16433">
        <v>16554</v>
      </c>
      <c r="D16433" t="str">
        <f>"21153619    "</f>
        <v xml:space="preserve">21153619    </v>
      </c>
      <c r="E16433" t="s">
        <v>2828</v>
      </c>
      <c r="F16433" t="s">
        <v>2829</v>
      </c>
      <c r="G16433">
        <v>22.02</v>
      </c>
      <c r="H16433">
        <v>251130</v>
      </c>
      <c r="I16433">
        <v>4520</v>
      </c>
      <c r="J16433" t="s">
        <v>280</v>
      </c>
      <c r="K16433">
        <v>25.9</v>
      </c>
      <c r="L16433">
        <v>2.7</v>
      </c>
      <c r="M16433">
        <v>69113</v>
      </c>
      <c r="N16433" t="s">
        <v>122</v>
      </c>
      <c r="O16433">
        <v>251210</v>
      </c>
      <c r="P16433">
        <v>19.32</v>
      </c>
    </row>
    <row r="16434" spans="1:16" x14ac:dyDescent="0.25">
      <c r="A16434" t="s">
        <v>3296</v>
      </c>
      <c r="B16434" t="s">
        <v>2931</v>
      </c>
      <c r="C16434">
        <v>16554</v>
      </c>
      <c r="D16434" t="str">
        <f>"21153619    "</f>
        <v xml:space="preserve">21153619    </v>
      </c>
      <c r="E16434" t="s">
        <v>2828</v>
      </c>
      <c r="F16434" t="s">
        <v>2829</v>
      </c>
      <c r="G16434">
        <v>2.59</v>
      </c>
      <c r="H16434">
        <v>251130</v>
      </c>
      <c r="I16434">
        <v>4520</v>
      </c>
      <c r="J16434" t="s">
        <v>280</v>
      </c>
      <c r="K16434">
        <v>25.9</v>
      </c>
      <c r="L16434">
        <v>0.32</v>
      </c>
      <c r="M16434">
        <v>69802</v>
      </c>
      <c r="N16434" t="s">
        <v>375</v>
      </c>
      <c r="O16434">
        <v>251210</v>
      </c>
      <c r="P16434">
        <v>2.27</v>
      </c>
    </row>
    <row r="16435" spans="1:16" x14ac:dyDescent="0.25">
      <c r="A16435" t="s">
        <v>3296</v>
      </c>
      <c r="B16435" t="s">
        <v>2931</v>
      </c>
      <c r="C16435">
        <v>16554</v>
      </c>
      <c r="D16435" t="str">
        <f>"21153619    "</f>
        <v xml:space="preserve">21153619    </v>
      </c>
      <c r="E16435" t="s">
        <v>2828</v>
      </c>
      <c r="F16435" t="s">
        <v>2829</v>
      </c>
      <c r="G16435">
        <v>1.29</v>
      </c>
      <c r="H16435">
        <v>251130</v>
      </c>
      <c r="I16435">
        <v>4520</v>
      </c>
      <c r="J16435" t="s">
        <v>280</v>
      </c>
      <c r="K16435">
        <v>25.9</v>
      </c>
      <c r="L16435">
        <v>0.16</v>
      </c>
      <c r="M16435">
        <v>69804</v>
      </c>
      <c r="N16435" t="s">
        <v>376</v>
      </c>
      <c r="O16435">
        <v>251210</v>
      </c>
      <c r="P16435">
        <v>1.1299999999999999</v>
      </c>
    </row>
    <row r="16436" spans="1:16" x14ac:dyDescent="0.25">
      <c r="A16436" t="s">
        <v>3296</v>
      </c>
      <c r="B16436" t="s">
        <v>2931</v>
      </c>
      <c r="C16436">
        <v>16638</v>
      </c>
      <c r="D16436" t="str">
        <f>"21153628    "</f>
        <v xml:space="preserve">21153628    </v>
      </c>
      <c r="E16436" t="s">
        <v>2828</v>
      </c>
      <c r="F16436" t="s">
        <v>2829</v>
      </c>
      <c r="G16436">
        <v>186.5</v>
      </c>
      <c r="H16436">
        <v>251130</v>
      </c>
      <c r="I16436">
        <v>4520</v>
      </c>
      <c r="J16436" t="s">
        <v>280</v>
      </c>
      <c r="K16436">
        <v>263.05</v>
      </c>
      <c r="L16436">
        <v>22.9</v>
      </c>
      <c r="M16436">
        <v>44222</v>
      </c>
      <c r="N16436" t="s">
        <v>96</v>
      </c>
      <c r="O16436">
        <v>251211</v>
      </c>
      <c r="P16436">
        <v>163.6</v>
      </c>
    </row>
    <row r="16437" spans="1:16" x14ac:dyDescent="0.25">
      <c r="A16437" t="s">
        <v>3296</v>
      </c>
      <c r="B16437" t="s">
        <v>2931</v>
      </c>
      <c r="C16437">
        <v>16638</v>
      </c>
      <c r="D16437" t="str">
        <f>"21153628    "</f>
        <v xml:space="preserve">21153628    </v>
      </c>
      <c r="E16437" t="s">
        <v>2828</v>
      </c>
      <c r="F16437" t="s">
        <v>2829</v>
      </c>
      <c r="G16437">
        <v>24.34</v>
      </c>
      <c r="H16437">
        <v>251130</v>
      </c>
      <c r="I16437">
        <v>4520</v>
      </c>
      <c r="J16437" t="s">
        <v>280</v>
      </c>
      <c r="K16437">
        <v>263.05</v>
      </c>
      <c r="L16437">
        <v>2.99</v>
      </c>
      <c r="M16437">
        <v>44222</v>
      </c>
      <c r="N16437" t="s">
        <v>96</v>
      </c>
      <c r="O16437">
        <v>251211</v>
      </c>
      <c r="P16437">
        <v>21.35</v>
      </c>
    </row>
    <row r="16438" spans="1:16" x14ac:dyDescent="0.25">
      <c r="A16438" t="s">
        <v>3296</v>
      </c>
      <c r="B16438" t="s">
        <v>2931</v>
      </c>
      <c r="C16438">
        <v>16638</v>
      </c>
      <c r="D16438" t="str">
        <f>"21153628    "</f>
        <v xml:space="preserve">21153628    </v>
      </c>
      <c r="E16438" t="s">
        <v>2828</v>
      </c>
      <c r="F16438" t="s">
        <v>2829</v>
      </c>
      <c r="G16438">
        <v>52.21</v>
      </c>
      <c r="H16438">
        <v>251130</v>
      </c>
      <c r="I16438">
        <v>4520</v>
      </c>
      <c r="J16438" t="s">
        <v>280</v>
      </c>
      <c r="K16438">
        <v>263.05</v>
      </c>
      <c r="L16438">
        <v>6.41</v>
      </c>
      <c r="M16438">
        <v>48601</v>
      </c>
      <c r="N16438" t="s">
        <v>107</v>
      </c>
      <c r="O16438">
        <v>251211</v>
      </c>
      <c r="P16438">
        <v>45.8</v>
      </c>
    </row>
    <row r="16439" spans="1:16" x14ac:dyDescent="0.25">
      <c r="A16439" t="s">
        <v>3296</v>
      </c>
      <c r="B16439" t="s">
        <v>2931</v>
      </c>
      <c r="C16439">
        <v>16641</v>
      </c>
      <c r="D16439" t="str">
        <f>"21153630    "</f>
        <v xml:space="preserve">21153630    </v>
      </c>
      <c r="E16439" t="s">
        <v>2828</v>
      </c>
      <c r="F16439" t="s">
        <v>2829</v>
      </c>
      <c r="G16439">
        <v>55.79</v>
      </c>
      <c r="H16439">
        <v>251130</v>
      </c>
      <c r="I16439">
        <v>4520</v>
      </c>
      <c r="J16439" t="s">
        <v>280</v>
      </c>
      <c r="K16439">
        <v>146.69</v>
      </c>
      <c r="L16439">
        <v>6.85</v>
      </c>
      <c r="M16439">
        <v>65222</v>
      </c>
      <c r="N16439" t="s">
        <v>87</v>
      </c>
      <c r="O16439">
        <v>251211</v>
      </c>
      <c r="P16439">
        <v>48.94</v>
      </c>
    </row>
    <row r="16440" spans="1:16" x14ac:dyDescent="0.25">
      <c r="A16440" t="s">
        <v>3296</v>
      </c>
      <c r="B16440" t="s">
        <v>2931</v>
      </c>
      <c r="C16440">
        <v>16899</v>
      </c>
      <c r="D16440" t="str">
        <f>"21153631    "</f>
        <v xml:space="preserve">21153631    </v>
      </c>
      <c r="E16440" t="s">
        <v>2828</v>
      </c>
      <c r="F16440" t="s">
        <v>2829</v>
      </c>
      <c r="G16440">
        <v>217.6</v>
      </c>
      <c r="H16440">
        <v>251130</v>
      </c>
      <c r="I16440">
        <v>4520</v>
      </c>
      <c r="J16440" t="s">
        <v>280</v>
      </c>
      <c r="K16440">
        <v>256.70999999999998</v>
      </c>
      <c r="L16440">
        <v>26.72</v>
      </c>
      <c r="M16440">
        <v>54451</v>
      </c>
      <c r="N16440" t="s">
        <v>218</v>
      </c>
      <c r="O16440">
        <v>251215</v>
      </c>
      <c r="P16440">
        <v>190.88</v>
      </c>
    </row>
    <row r="16441" spans="1:16" x14ac:dyDescent="0.25">
      <c r="A16441" t="s">
        <v>3296</v>
      </c>
      <c r="B16441" t="s">
        <v>2931</v>
      </c>
      <c r="C16441">
        <v>16921</v>
      </c>
      <c r="D16441" t="str">
        <f>"21153636    "</f>
        <v xml:space="preserve">21153636    </v>
      </c>
      <c r="E16441" t="s">
        <v>2828</v>
      </c>
      <c r="F16441" t="s">
        <v>2829</v>
      </c>
      <c r="G16441">
        <v>36.840000000000003</v>
      </c>
      <c r="H16441">
        <v>251130</v>
      </c>
      <c r="I16441">
        <v>4520</v>
      </c>
      <c r="J16441" t="s">
        <v>280</v>
      </c>
      <c r="K16441">
        <v>36.840000000000003</v>
      </c>
      <c r="L16441">
        <v>4.5199999999999996</v>
      </c>
      <c r="M16441">
        <v>49112</v>
      </c>
      <c r="N16441" t="s">
        <v>109</v>
      </c>
      <c r="O16441">
        <v>251215</v>
      </c>
      <c r="P16441">
        <v>32.32</v>
      </c>
    </row>
    <row r="16442" spans="1:16" x14ac:dyDescent="0.25">
      <c r="A16442" t="s">
        <v>3296</v>
      </c>
      <c r="B16442" t="s">
        <v>2931</v>
      </c>
      <c r="C16442">
        <v>16952</v>
      </c>
      <c r="D16442" t="str">
        <f>"21153626    "</f>
        <v xml:space="preserve">21153626    </v>
      </c>
      <c r="E16442" t="s">
        <v>2828</v>
      </c>
      <c r="F16442" t="s">
        <v>2829</v>
      </c>
      <c r="G16442">
        <v>157.51</v>
      </c>
      <c r="H16442">
        <v>251130</v>
      </c>
      <c r="I16442">
        <v>4520</v>
      </c>
      <c r="J16442" t="s">
        <v>280</v>
      </c>
      <c r="K16442">
        <v>168.51</v>
      </c>
      <c r="L16442">
        <v>19.34</v>
      </c>
      <c r="M16442">
        <v>59111</v>
      </c>
      <c r="N16442" t="s">
        <v>60</v>
      </c>
      <c r="O16442">
        <v>251216</v>
      </c>
      <c r="P16442">
        <v>138.16999999999999</v>
      </c>
    </row>
    <row r="16443" spans="1:16" x14ac:dyDescent="0.25">
      <c r="A16443" t="s">
        <v>3296</v>
      </c>
      <c r="B16443" t="s">
        <v>2931</v>
      </c>
      <c r="C16443">
        <v>16952</v>
      </c>
      <c r="D16443" t="str">
        <f>"21153626    "</f>
        <v xml:space="preserve">21153626    </v>
      </c>
      <c r="E16443" t="s">
        <v>2828</v>
      </c>
      <c r="F16443" t="s">
        <v>2829</v>
      </c>
      <c r="G16443">
        <v>9.24</v>
      </c>
      <c r="H16443">
        <v>251130</v>
      </c>
      <c r="I16443">
        <v>4520</v>
      </c>
      <c r="J16443" t="s">
        <v>280</v>
      </c>
      <c r="K16443">
        <v>168.51</v>
      </c>
      <c r="L16443">
        <v>1.1299999999999999</v>
      </c>
      <c r="M16443">
        <v>59806</v>
      </c>
      <c r="N16443" t="s">
        <v>2599</v>
      </c>
      <c r="O16443">
        <v>251216</v>
      </c>
      <c r="P16443">
        <v>8.11</v>
      </c>
    </row>
    <row r="16444" spans="1:16" x14ac:dyDescent="0.25">
      <c r="A16444" t="s">
        <v>3296</v>
      </c>
      <c r="B16444" t="s">
        <v>2931</v>
      </c>
      <c r="C16444">
        <v>17076</v>
      </c>
      <c r="D16444" t="str">
        <f>"21153638    "</f>
        <v xml:space="preserve">21153638    </v>
      </c>
      <c r="E16444" t="s">
        <v>2828</v>
      </c>
      <c r="F16444" t="s">
        <v>2829</v>
      </c>
      <c r="G16444">
        <v>42.16</v>
      </c>
      <c r="H16444">
        <v>251130</v>
      </c>
      <c r="I16444">
        <v>4520</v>
      </c>
      <c r="J16444" t="s">
        <v>280</v>
      </c>
      <c r="K16444">
        <v>515.16999999999996</v>
      </c>
      <c r="L16444">
        <v>5.18</v>
      </c>
      <c r="M16444">
        <v>13501</v>
      </c>
      <c r="N16444" t="s">
        <v>66</v>
      </c>
      <c r="O16444">
        <v>251217</v>
      </c>
      <c r="P16444">
        <v>36.979999999999997</v>
      </c>
    </row>
    <row r="16445" spans="1:16" x14ac:dyDescent="0.25">
      <c r="A16445" t="s">
        <v>3296</v>
      </c>
      <c r="B16445" t="s">
        <v>2931</v>
      </c>
      <c r="C16445">
        <v>18067</v>
      </c>
      <c r="D16445" t="str">
        <f>"21203810    "</f>
        <v xml:space="preserve">21203810    </v>
      </c>
      <c r="E16445" t="s">
        <v>2828</v>
      </c>
      <c r="F16445" t="s">
        <v>2829</v>
      </c>
      <c r="G16445">
        <v>28.48</v>
      </c>
      <c r="H16445">
        <v>251231</v>
      </c>
      <c r="I16445">
        <v>4520</v>
      </c>
      <c r="J16445" t="s">
        <v>280</v>
      </c>
      <c r="K16445">
        <v>28.48</v>
      </c>
      <c r="L16445">
        <v>3.5</v>
      </c>
      <c r="M16445">
        <v>49112</v>
      </c>
      <c r="N16445" t="s">
        <v>109</v>
      </c>
      <c r="O16445">
        <v>260108</v>
      </c>
      <c r="P16445">
        <v>24.98</v>
      </c>
    </row>
    <row r="16446" spans="1:16" x14ac:dyDescent="0.25">
      <c r="A16446" t="s">
        <v>3296</v>
      </c>
      <c r="B16446" t="s">
        <v>2931</v>
      </c>
      <c r="C16446">
        <v>18072</v>
      </c>
      <c r="D16446" t="str">
        <f>"21203808    "</f>
        <v xml:space="preserve">21203808    </v>
      </c>
      <c r="E16446" t="s">
        <v>2828</v>
      </c>
      <c r="F16446" t="s">
        <v>2829</v>
      </c>
      <c r="G16446">
        <v>130.72999999999999</v>
      </c>
      <c r="H16446">
        <v>251231</v>
      </c>
      <c r="I16446">
        <v>4520</v>
      </c>
      <c r="J16446" t="s">
        <v>280</v>
      </c>
      <c r="K16446">
        <v>130.72999999999999</v>
      </c>
      <c r="L16446">
        <v>16.05</v>
      </c>
      <c r="M16446">
        <v>54451</v>
      </c>
      <c r="N16446" t="s">
        <v>218</v>
      </c>
      <c r="O16446">
        <v>260108</v>
      </c>
      <c r="P16446">
        <v>114.68</v>
      </c>
    </row>
    <row r="16447" spans="1:16" x14ac:dyDescent="0.25">
      <c r="A16447" t="s">
        <v>3296</v>
      </c>
      <c r="B16447" t="s">
        <v>2931</v>
      </c>
      <c r="C16447">
        <v>18073</v>
      </c>
      <c r="D16447" t="str">
        <f>"21203801    "</f>
        <v xml:space="preserve">21203801    </v>
      </c>
      <c r="E16447" t="s">
        <v>2828</v>
      </c>
      <c r="F16447" t="s">
        <v>2829</v>
      </c>
      <c r="G16447">
        <v>109.15</v>
      </c>
      <c r="H16447">
        <v>251231</v>
      </c>
      <c r="I16447">
        <v>4520</v>
      </c>
      <c r="J16447" t="s">
        <v>280</v>
      </c>
      <c r="K16447">
        <v>138.63999999999999</v>
      </c>
      <c r="L16447">
        <v>13.4</v>
      </c>
      <c r="M16447">
        <v>69112</v>
      </c>
      <c r="N16447" t="s">
        <v>227</v>
      </c>
      <c r="O16447">
        <v>260108</v>
      </c>
      <c r="P16447">
        <v>95.75</v>
      </c>
    </row>
    <row r="16448" spans="1:16" x14ac:dyDescent="0.25">
      <c r="A16448" t="s">
        <v>3296</v>
      </c>
      <c r="B16448" t="s">
        <v>2931</v>
      </c>
      <c r="C16448">
        <v>18073</v>
      </c>
      <c r="D16448" t="str">
        <f>"21203801    "</f>
        <v xml:space="preserve">21203801    </v>
      </c>
      <c r="E16448" t="s">
        <v>2828</v>
      </c>
      <c r="F16448" t="s">
        <v>2829</v>
      </c>
      <c r="G16448">
        <v>6.07</v>
      </c>
      <c r="H16448">
        <v>251231</v>
      </c>
      <c r="I16448">
        <v>4520</v>
      </c>
      <c r="J16448" t="s">
        <v>280</v>
      </c>
      <c r="K16448">
        <v>138.63999999999999</v>
      </c>
      <c r="L16448">
        <v>0.75</v>
      </c>
      <c r="M16448">
        <v>69810</v>
      </c>
      <c r="N16448" t="s">
        <v>229</v>
      </c>
      <c r="O16448">
        <v>260108</v>
      </c>
      <c r="P16448">
        <v>5.32</v>
      </c>
    </row>
    <row r="16449" spans="1:16" x14ac:dyDescent="0.25">
      <c r="A16449" t="s">
        <v>3296</v>
      </c>
      <c r="B16449" t="s">
        <v>2931</v>
      </c>
      <c r="C16449">
        <v>18073</v>
      </c>
      <c r="D16449" t="str">
        <f>"21203801    "</f>
        <v xml:space="preserve">21203801    </v>
      </c>
      <c r="E16449" t="s">
        <v>2828</v>
      </c>
      <c r="F16449" t="s">
        <v>2829</v>
      </c>
      <c r="G16449">
        <v>6.06</v>
      </c>
      <c r="H16449">
        <v>251231</v>
      </c>
      <c r="I16449">
        <v>4520</v>
      </c>
      <c r="J16449" t="s">
        <v>280</v>
      </c>
      <c r="K16449">
        <v>138.63999999999999</v>
      </c>
      <c r="L16449">
        <v>0.74</v>
      </c>
      <c r="M16449">
        <v>69811</v>
      </c>
      <c r="N16449" t="s">
        <v>230</v>
      </c>
      <c r="O16449">
        <v>260108</v>
      </c>
      <c r="P16449">
        <v>5.32</v>
      </c>
    </row>
    <row r="16450" spans="1:16" x14ac:dyDescent="0.25">
      <c r="A16450" t="s">
        <v>3296</v>
      </c>
      <c r="B16450" t="s">
        <v>2931</v>
      </c>
      <c r="C16450">
        <v>18074</v>
      </c>
      <c r="D16450" t="str">
        <f>"21203806    "</f>
        <v xml:space="preserve">21203806    </v>
      </c>
      <c r="E16450" t="s">
        <v>2828</v>
      </c>
      <c r="F16450" t="s">
        <v>2829</v>
      </c>
      <c r="G16450">
        <v>30.94</v>
      </c>
      <c r="H16450">
        <v>251231</v>
      </c>
      <c r="I16450">
        <v>4520</v>
      </c>
      <c r="J16450" t="s">
        <v>280</v>
      </c>
      <c r="K16450">
        <v>267.49</v>
      </c>
      <c r="L16450">
        <v>3.8</v>
      </c>
      <c r="M16450">
        <v>17131</v>
      </c>
      <c r="N16450" t="s">
        <v>154</v>
      </c>
      <c r="O16450">
        <v>260108</v>
      </c>
      <c r="P16450">
        <v>27.14</v>
      </c>
    </row>
    <row r="16451" spans="1:16" x14ac:dyDescent="0.25">
      <c r="A16451" t="s">
        <v>3296</v>
      </c>
      <c r="B16451" t="s">
        <v>2931</v>
      </c>
      <c r="C16451">
        <v>18074</v>
      </c>
      <c r="D16451" t="str">
        <f>"21203806    "</f>
        <v xml:space="preserve">21203806    </v>
      </c>
      <c r="E16451" t="s">
        <v>2828</v>
      </c>
      <c r="F16451" t="s">
        <v>2829</v>
      </c>
      <c r="G16451">
        <v>92.98</v>
      </c>
      <c r="H16451">
        <v>251231</v>
      </c>
      <c r="I16451">
        <v>4520</v>
      </c>
      <c r="J16451" t="s">
        <v>280</v>
      </c>
      <c r="K16451">
        <v>267.49</v>
      </c>
      <c r="L16451">
        <v>11.42</v>
      </c>
      <c r="M16451">
        <v>17131</v>
      </c>
      <c r="N16451" t="s">
        <v>154</v>
      </c>
      <c r="O16451">
        <v>260108</v>
      </c>
      <c r="P16451">
        <v>81.56</v>
      </c>
    </row>
    <row r="16452" spans="1:16" x14ac:dyDescent="0.25">
      <c r="A16452" t="s">
        <v>3296</v>
      </c>
      <c r="B16452" t="s">
        <v>2931</v>
      </c>
      <c r="C16452">
        <v>18074</v>
      </c>
      <c r="D16452" t="str">
        <f>"21203806    "</f>
        <v xml:space="preserve">21203806    </v>
      </c>
      <c r="E16452" t="s">
        <v>2828</v>
      </c>
      <c r="F16452" t="s">
        <v>2829</v>
      </c>
      <c r="G16452">
        <v>30.95</v>
      </c>
      <c r="H16452">
        <v>251231</v>
      </c>
      <c r="I16452">
        <v>4520</v>
      </c>
      <c r="J16452" t="s">
        <v>280</v>
      </c>
      <c r="K16452">
        <v>267.49</v>
      </c>
      <c r="L16452">
        <v>3.8</v>
      </c>
      <c r="M16452">
        <v>17131</v>
      </c>
      <c r="N16452" t="s">
        <v>154</v>
      </c>
      <c r="O16452">
        <v>260108</v>
      </c>
      <c r="P16452">
        <v>27.15</v>
      </c>
    </row>
    <row r="16453" spans="1:16" x14ac:dyDescent="0.25">
      <c r="A16453" t="s">
        <v>3296</v>
      </c>
      <c r="B16453" t="s">
        <v>2931</v>
      </c>
      <c r="C16453">
        <v>18074</v>
      </c>
      <c r="D16453" t="str">
        <f>"21203806    "</f>
        <v xml:space="preserve">21203806    </v>
      </c>
      <c r="E16453" t="s">
        <v>2828</v>
      </c>
      <c r="F16453" t="s">
        <v>2829</v>
      </c>
      <c r="G16453">
        <v>92.98</v>
      </c>
      <c r="H16453">
        <v>251231</v>
      </c>
      <c r="I16453">
        <v>4520</v>
      </c>
      <c r="J16453" t="s">
        <v>280</v>
      </c>
      <c r="K16453">
        <v>267.49</v>
      </c>
      <c r="L16453">
        <v>11.42</v>
      </c>
      <c r="M16453">
        <v>17131</v>
      </c>
      <c r="N16453" t="s">
        <v>154</v>
      </c>
      <c r="O16453">
        <v>260108</v>
      </c>
      <c r="P16453">
        <v>81.56</v>
      </c>
    </row>
    <row r="16454" spans="1:16" x14ac:dyDescent="0.25">
      <c r="A16454" t="s">
        <v>3296</v>
      </c>
      <c r="B16454" t="s">
        <v>2931</v>
      </c>
      <c r="C16454">
        <v>18074</v>
      </c>
      <c r="D16454" t="str">
        <f>"21203806    "</f>
        <v xml:space="preserve">21203806    </v>
      </c>
      <c r="E16454" t="s">
        <v>2828</v>
      </c>
      <c r="F16454" t="s">
        <v>2829</v>
      </c>
      <c r="G16454">
        <v>18.86</v>
      </c>
      <c r="H16454">
        <v>251231</v>
      </c>
      <c r="I16454">
        <v>4520</v>
      </c>
      <c r="J16454" t="s">
        <v>280</v>
      </c>
      <c r="K16454">
        <v>267.49</v>
      </c>
      <c r="L16454">
        <v>2.3199999999999998</v>
      </c>
      <c r="M16454">
        <v>17918</v>
      </c>
      <c r="N16454" t="s">
        <v>152</v>
      </c>
      <c r="O16454">
        <v>260108</v>
      </c>
      <c r="P16454">
        <v>16.54</v>
      </c>
    </row>
    <row r="16455" spans="1:16" x14ac:dyDescent="0.25">
      <c r="A16455" t="s">
        <v>3296</v>
      </c>
      <c r="B16455" t="s">
        <v>2931</v>
      </c>
      <c r="C16455">
        <v>18078</v>
      </c>
      <c r="D16455" t="str">
        <f>"21203811    "</f>
        <v xml:space="preserve">21203811    </v>
      </c>
      <c r="E16455" t="s">
        <v>2828</v>
      </c>
      <c r="F16455" t="s">
        <v>2829</v>
      </c>
      <c r="G16455">
        <v>45.71</v>
      </c>
      <c r="H16455">
        <v>251231</v>
      </c>
      <c r="I16455">
        <v>4520</v>
      </c>
      <c r="J16455" t="s">
        <v>280</v>
      </c>
      <c r="K16455">
        <v>53.78</v>
      </c>
      <c r="L16455">
        <v>5.61</v>
      </c>
      <c r="M16455">
        <v>69113</v>
      </c>
      <c r="N16455" t="s">
        <v>122</v>
      </c>
      <c r="O16455">
        <v>260108</v>
      </c>
      <c r="P16455">
        <v>40.1</v>
      </c>
    </row>
    <row r="16456" spans="1:16" x14ac:dyDescent="0.25">
      <c r="A16456" t="s">
        <v>3296</v>
      </c>
      <c r="B16456" t="s">
        <v>2931</v>
      </c>
      <c r="C16456">
        <v>18078</v>
      </c>
      <c r="D16456" t="str">
        <f>"21203811    "</f>
        <v xml:space="preserve">21203811    </v>
      </c>
      <c r="E16456" t="s">
        <v>2828</v>
      </c>
      <c r="F16456" t="s">
        <v>2829</v>
      </c>
      <c r="G16456">
        <v>5.38</v>
      </c>
      <c r="H16456">
        <v>251231</v>
      </c>
      <c r="I16456">
        <v>4520</v>
      </c>
      <c r="J16456" t="s">
        <v>280</v>
      </c>
      <c r="K16456">
        <v>53.78</v>
      </c>
      <c r="L16456">
        <v>0.66</v>
      </c>
      <c r="M16456">
        <v>69802</v>
      </c>
      <c r="N16456" t="s">
        <v>375</v>
      </c>
      <c r="O16456">
        <v>260108</v>
      </c>
      <c r="P16456">
        <v>4.72</v>
      </c>
    </row>
    <row r="16457" spans="1:16" x14ac:dyDescent="0.25">
      <c r="A16457" t="s">
        <v>3296</v>
      </c>
      <c r="B16457" t="s">
        <v>2931</v>
      </c>
      <c r="C16457">
        <v>18078</v>
      </c>
      <c r="D16457" t="str">
        <f>"21203811    "</f>
        <v xml:space="preserve">21203811    </v>
      </c>
      <c r="E16457" t="s">
        <v>2828</v>
      </c>
      <c r="F16457" t="s">
        <v>2829</v>
      </c>
      <c r="G16457">
        <v>2.69</v>
      </c>
      <c r="H16457">
        <v>251231</v>
      </c>
      <c r="I16457">
        <v>4520</v>
      </c>
      <c r="J16457" t="s">
        <v>280</v>
      </c>
      <c r="K16457">
        <v>53.78</v>
      </c>
      <c r="L16457">
        <v>0.33</v>
      </c>
      <c r="M16457">
        <v>69804</v>
      </c>
      <c r="N16457" t="s">
        <v>376</v>
      </c>
      <c r="O16457">
        <v>260108</v>
      </c>
      <c r="P16457">
        <v>2.36</v>
      </c>
    </row>
    <row r="16458" spans="1:16" x14ac:dyDescent="0.25">
      <c r="A16458" t="s">
        <v>3296</v>
      </c>
      <c r="B16458" t="s">
        <v>2931</v>
      </c>
      <c r="C16458">
        <v>18081</v>
      </c>
      <c r="D16458" t="str">
        <f>"21203802    "</f>
        <v xml:space="preserve">21203802    </v>
      </c>
      <c r="E16458" t="s">
        <v>2828</v>
      </c>
      <c r="F16458" t="s">
        <v>2829</v>
      </c>
      <c r="G16458">
        <v>35.51</v>
      </c>
      <c r="H16458">
        <v>251231</v>
      </c>
      <c r="I16458">
        <v>4520</v>
      </c>
      <c r="J16458" t="s">
        <v>280</v>
      </c>
      <c r="K16458">
        <v>62.92</v>
      </c>
      <c r="L16458">
        <v>4.3600000000000003</v>
      </c>
      <c r="M16458">
        <v>59111</v>
      </c>
      <c r="N16458" t="s">
        <v>60</v>
      </c>
      <c r="O16458">
        <v>260108</v>
      </c>
      <c r="P16458">
        <v>31.15</v>
      </c>
    </row>
    <row r="16459" spans="1:16" x14ac:dyDescent="0.25">
      <c r="A16459" t="s">
        <v>3296</v>
      </c>
      <c r="B16459" t="s">
        <v>2931</v>
      </c>
      <c r="C16459">
        <v>18081</v>
      </c>
      <c r="D16459" t="str">
        <f>"21203802    "</f>
        <v xml:space="preserve">21203802    </v>
      </c>
      <c r="E16459" t="s">
        <v>2828</v>
      </c>
      <c r="F16459" t="s">
        <v>2829</v>
      </c>
      <c r="G16459">
        <v>26.73</v>
      </c>
      <c r="H16459">
        <v>251231</v>
      </c>
      <c r="I16459">
        <v>4520</v>
      </c>
      <c r="J16459" t="s">
        <v>280</v>
      </c>
      <c r="K16459">
        <v>62.92</v>
      </c>
      <c r="L16459">
        <v>3.28</v>
      </c>
      <c r="M16459">
        <v>59806</v>
      </c>
      <c r="N16459" t="s">
        <v>2599</v>
      </c>
      <c r="O16459">
        <v>260108</v>
      </c>
      <c r="P16459">
        <v>23.45</v>
      </c>
    </row>
    <row r="16460" spans="1:16" x14ac:dyDescent="0.25">
      <c r="A16460" t="s">
        <v>3296</v>
      </c>
      <c r="B16460" t="s">
        <v>2931</v>
      </c>
      <c r="C16460">
        <v>18090</v>
      </c>
      <c r="D16460" t="str">
        <f>"21203799    "</f>
        <v xml:space="preserve">21203799    </v>
      </c>
      <c r="E16460" t="s">
        <v>2828</v>
      </c>
      <c r="F16460" t="s">
        <v>2829</v>
      </c>
      <c r="G16460">
        <v>114.5</v>
      </c>
      <c r="H16460">
        <v>251231</v>
      </c>
      <c r="I16460">
        <v>4520</v>
      </c>
      <c r="J16460" t="s">
        <v>280</v>
      </c>
      <c r="K16460">
        <v>324</v>
      </c>
      <c r="L16460">
        <v>14.06</v>
      </c>
      <c r="M16460">
        <v>67522</v>
      </c>
      <c r="N16460" t="s">
        <v>121</v>
      </c>
      <c r="O16460">
        <v>260109</v>
      </c>
      <c r="P16460">
        <v>100.44</v>
      </c>
    </row>
    <row r="16461" spans="1:16" x14ac:dyDescent="0.25">
      <c r="A16461" t="s">
        <v>3296</v>
      </c>
      <c r="B16461" t="s">
        <v>2931</v>
      </c>
      <c r="C16461">
        <v>18090</v>
      </c>
      <c r="D16461" t="str">
        <f>"21203799    "</f>
        <v xml:space="preserve">21203799    </v>
      </c>
      <c r="E16461" t="s">
        <v>2828</v>
      </c>
      <c r="F16461" t="s">
        <v>2829</v>
      </c>
      <c r="G16461">
        <v>144.79</v>
      </c>
      <c r="H16461">
        <v>251231</v>
      </c>
      <c r="I16461">
        <v>4520</v>
      </c>
      <c r="J16461" t="s">
        <v>280</v>
      </c>
      <c r="K16461">
        <v>324</v>
      </c>
      <c r="L16461">
        <v>17.78</v>
      </c>
      <c r="M16461">
        <v>69111</v>
      </c>
      <c r="N16461" t="s">
        <v>657</v>
      </c>
      <c r="O16461">
        <v>260109</v>
      </c>
      <c r="P16461">
        <v>127.01</v>
      </c>
    </row>
    <row r="16462" spans="1:16" x14ac:dyDescent="0.25">
      <c r="A16462" t="s">
        <v>3296</v>
      </c>
      <c r="B16462" t="s">
        <v>2931</v>
      </c>
      <c r="C16462">
        <v>18090</v>
      </c>
      <c r="D16462" t="str">
        <f>"21203799    "</f>
        <v xml:space="preserve">21203799    </v>
      </c>
      <c r="E16462" t="s">
        <v>2828</v>
      </c>
      <c r="F16462" t="s">
        <v>2829</v>
      </c>
      <c r="G16462">
        <v>62.76</v>
      </c>
      <c r="H16462">
        <v>251231</v>
      </c>
      <c r="I16462">
        <v>4520</v>
      </c>
      <c r="J16462" t="s">
        <v>280</v>
      </c>
      <c r="K16462">
        <v>324</v>
      </c>
      <c r="L16462">
        <v>7.71</v>
      </c>
      <c r="M16462">
        <v>69702</v>
      </c>
      <c r="N16462" t="s">
        <v>124</v>
      </c>
      <c r="O16462">
        <v>260109</v>
      </c>
      <c r="P16462">
        <v>55.05</v>
      </c>
    </row>
    <row r="16463" spans="1:16" x14ac:dyDescent="0.25">
      <c r="A16463" t="s">
        <v>3296</v>
      </c>
      <c r="B16463" t="s">
        <v>2931</v>
      </c>
      <c r="C16463">
        <v>18091</v>
      </c>
      <c r="D16463" t="str">
        <f>"21203809    "</f>
        <v xml:space="preserve">21203809    </v>
      </c>
      <c r="E16463" t="s">
        <v>2828</v>
      </c>
      <c r="F16463" t="s">
        <v>2829</v>
      </c>
      <c r="G16463">
        <v>370.35</v>
      </c>
      <c r="H16463">
        <v>251231</v>
      </c>
      <c r="I16463">
        <v>4520</v>
      </c>
      <c r="J16463" t="s">
        <v>280</v>
      </c>
      <c r="K16463">
        <v>382.23</v>
      </c>
      <c r="L16463">
        <v>45.48</v>
      </c>
      <c r="M16463">
        <v>13932</v>
      </c>
      <c r="N16463" t="s">
        <v>680</v>
      </c>
      <c r="O16463">
        <v>260109</v>
      </c>
      <c r="P16463">
        <v>324.87</v>
      </c>
    </row>
    <row r="16464" spans="1:16" x14ac:dyDescent="0.25">
      <c r="A16464" t="s">
        <v>3296</v>
      </c>
      <c r="B16464" t="s">
        <v>2931</v>
      </c>
      <c r="C16464">
        <v>18094</v>
      </c>
      <c r="D16464" t="str">
        <f>"21203794    "</f>
        <v xml:space="preserve">21203794    </v>
      </c>
      <c r="E16464" t="s">
        <v>2828</v>
      </c>
      <c r="F16464" t="s">
        <v>2829</v>
      </c>
      <c r="G16464">
        <v>1.35</v>
      </c>
      <c r="H16464">
        <v>251231</v>
      </c>
      <c r="I16464">
        <v>4520</v>
      </c>
      <c r="J16464" t="s">
        <v>280</v>
      </c>
      <c r="K16464">
        <v>315.02</v>
      </c>
      <c r="L16464">
        <v>0.27</v>
      </c>
      <c r="M16464">
        <v>16431</v>
      </c>
      <c r="N16464" t="s">
        <v>17</v>
      </c>
      <c r="O16464">
        <v>260109</v>
      </c>
      <c r="P16464">
        <v>1.08</v>
      </c>
    </row>
    <row r="16465" spans="1:16" x14ac:dyDescent="0.25">
      <c r="A16465" t="s">
        <v>3296</v>
      </c>
      <c r="B16465" t="s">
        <v>2931</v>
      </c>
      <c r="C16465">
        <v>18094</v>
      </c>
      <c r="D16465" t="str">
        <f>"21203794    "</f>
        <v xml:space="preserve">21203794    </v>
      </c>
      <c r="E16465" t="s">
        <v>2828</v>
      </c>
      <c r="F16465" t="s">
        <v>2829</v>
      </c>
      <c r="G16465">
        <v>313.67</v>
      </c>
      <c r="H16465">
        <v>251231</v>
      </c>
      <c r="I16465">
        <v>4520</v>
      </c>
      <c r="J16465" t="s">
        <v>280</v>
      </c>
      <c r="K16465">
        <v>315.02</v>
      </c>
      <c r="L16465">
        <v>38.520000000000003</v>
      </c>
      <c r="M16465">
        <v>16431</v>
      </c>
      <c r="N16465" t="s">
        <v>17</v>
      </c>
      <c r="O16465">
        <v>260109</v>
      </c>
      <c r="P16465">
        <v>275.14999999999998</v>
      </c>
    </row>
    <row r="16466" spans="1:16" x14ac:dyDescent="0.25">
      <c r="A16466" t="s">
        <v>3296</v>
      </c>
      <c r="B16466" t="s">
        <v>2931</v>
      </c>
      <c r="C16466">
        <v>18096</v>
      </c>
      <c r="D16466" t="str">
        <f>"21203804    "</f>
        <v xml:space="preserve">21203804    </v>
      </c>
      <c r="E16466" t="s">
        <v>2828</v>
      </c>
      <c r="F16466" t="s">
        <v>2829</v>
      </c>
      <c r="G16466">
        <v>94.64</v>
      </c>
      <c r="H16466">
        <v>251231</v>
      </c>
      <c r="I16466">
        <v>4520</v>
      </c>
      <c r="J16466" t="s">
        <v>280</v>
      </c>
      <c r="K16466">
        <v>119.06</v>
      </c>
      <c r="L16466">
        <v>11.62</v>
      </c>
      <c r="M16466">
        <v>44253</v>
      </c>
      <c r="N16466" t="s">
        <v>403</v>
      </c>
      <c r="O16466">
        <v>260109</v>
      </c>
      <c r="P16466">
        <v>83.02</v>
      </c>
    </row>
    <row r="16467" spans="1:16" x14ac:dyDescent="0.25">
      <c r="A16467" t="s">
        <v>3296</v>
      </c>
      <c r="B16467" t="s">
        <v>2931</v>
      </c>
      <c r="C16467">
        <v>18213</v>
      </c>
      <c r="D16467" t="str">
        <f>"21203805    "</f>
        <v xml:space="preserve">21203805    </v>
      </c>
      <c r="E16467" t="s">
        <v>2828</v>
      </c>
      <c r="F16467" t="s">
        <v>2829</v>
      </c>
      <c r="G16467">
        <v>33.299999999999997</v>
      </c>
      <c r="H16467">
        <v>251231</v>
      </c>
      <c r="I16467">
        <v>4520</v>
      </c>
      <c r="J16467" t="s">
        <v>280</v>
      </c>
      <c r="K16467">
        <v>70.87</v>
      </c>
      <c r="L16467">
        <v>4.09</v>
      </c>
      <c r="M16467">
        <v>14541</v>
      </c>
      <c r="N16467" t="s">
        <v>76</v>
      </c>
      <c r="O16467">
        <v>260112</v>
      </c>
      <c r="P16467">
        <v>29.21</v>
      </c>
    </row>
    <row r="16468" spans="1:16" x14ac:dyDescent="0.25">
      <c r="A16468" t="s">
        <v>3296</v>
      </c>
      <c r="B16468" t="s">
        <v>2931</v>
      </c>
      <c r="C16468">
        <v>18213</v>
      </c>
      <c r="D16468" t="str">
        <f>"21203805    "</f>
        <v xml:space="preserve">21203805    </v>
      </c>
      <c r="E16468" t="s">
        <v>2828</v>
      </c>
      <c r="F16468" t="s">
        <v>2829</v>
      </c>
      <c r="G16468">
        <v>16.21</v>
      </c>
      <c r="H16468">
        <v>251231</v>
      </c>
      <c r="I16468">
        <v>4520</v>
      </c>
      <c r="J16468" t="s">
        <v>280</v>
      </c>
      <c r="K16468">
        <v>70.87</v>
      </c>
      <c r="L16468">
        <v>1.99</v>
      </c>
      <c r="M16468">
        <v>14990</v>
      </c>
      <c r="N16468" t="s">
        <v>85</v>
      </c>
      <c r="O16468">
        <v>260112</v>
      </c>
      <c r="P16468">
        <v>14.22</v>
      </c>
    </row>
    <row r="16469" spans="1:16" x14ac:dyDescent="0.25">
      <c r="A16469" t="s">
        <v>3296</v>
      </c>
      <c r="B16469" t="s">
        <v>2931</v>
      </c>
      <c r="C16469">
        <v>18213</v>
      </c>
      <c r="D16469" t="str">
        <f>"21203805    "</f>
        <v xml:space="preserve">21203805    </v>
      </c>
      <c r="E16469" t="s">
        <v>2828</v>
      </c>
      <c r="F16469" t="s">
        <v>2829</v>
      </c>
      <c r="G16469">
        <v>21.36</v>
      </c>
      <c r="H16469">
        <v>251231</v>
      </c>
      <c r="I16469">
        <v>4520</v>
      </c>
      <c r="J16469" t="s">
        <v>280</v>
      </c>
      <c r="K16469">
        <v>70.87</v>
      </c>
      <c r="L16469">
        <v>2.62</v>
      </c>
      <c r="M16469">
        <v>14990</v>
      </c>
      <c r="N16469" t="s">
        <v>85</v>
      </c>
      <c r="O16469">
        <v>260112</v>
      </c>
      <c r="P16469">
        <v>18.739999999999998</v>
      </c>
    </row>
    <row r="16470" spans="1:16" x14ac:dyDescent="0.25">
      <c r="A16470" t="s">
        <v>3296</v>
      </c>
      <c r="B16470" t="s">
        <v>2931</v>
      </c>
      <c r="C16470">
        <v>18411</v>
      </c>
      <c r="D16470" t="str">
        <f>"21203796    "</f>
        <v xml:space="preserve">21203796    </v>
      </c>
      <c r="E16470" t="s">
        <v>2828</v>
      </c>
      <c r="F16470" t="s">
        <v>2829</v>
      </c>
      <c r="G16470">
        <v>83.68</v>
      </c>
      <c r="H16470">
        <v>251231</v>
      </c>
      <c r="I16470">
        <v>4520</v>
      </c>
      <c r="J16470" t="s">
        <v>280</v>
      </c>
      <c r="K16470">
        <v>96.54</v>
      </c>
      <c r="L16470">
        <v>10.28</v>
      </c>
      <c r="M16470">
        <v>44251</v>
      </c>
      <c r="N16470" t="s">
        <v>215</v>
      </c>
      <c r="O16470">
        <v>260113</v>
      </c>
      <c r="P16470">
        <v>73.400000000000006</v>
      </c>
    </row>
    <row r="16471" spans="1:16" x14ac:dyDescent="0.25">
      <c r="A16471" t="s">
        <v>3296</v>
      </c>
      <c r="B16471" t="s">
        <v>2931</v>
      </c>
      <c r="C16471">
        <v>18522</v>
      </c>
      <c r="D16471" t="str">
        <f>"21203807    "</f>
        <v xml:space="preserve">21203807    </v>
      </c>
      <c r="E16471" t="s">
        <v>2828</v>
      </c>
      <c r="F16471" t="s">
        <v>2829</v>
      </c>
      <c r="G16471">
        <v>0.6</v>
      </c>
      <c r="H16471">
        <v>251231</v>
      </c>
      <c r="I16471">
        <v>4520</v>
      </c>
      <c r="J16471" t="s">
        <v>280</v>
      </c>
      <c r="K16471">
        <v>60.62</v>
      </c>
      <c r="L16471">
        <v>0.12</v>
      </c>
      <c r="M16471">
        <v>13802</v>
      </c>
      <c r="N16471" t="s">
        <v>34</v>
      </c>
      <c r="O16471">
        <v>260115</v>
      </c>
      <c r="P16471">
        <v>0.48</v>
      </c>
    </row>
    <row r="16472" spans="1:16" x14ac:dyDescent="0.25">
      <c r="A16472" t="s">
        <v>3296</v>
      </c>
      <c r="B16472" t="s">
        <v>2931</v>
      </c>
      <c r="C16472">
        <v>18522</v>
      </c>
      <c r="D16472" t="str">
        <f>"21203807    "</f>
        <v xml:space="preserve">21203807    </v>
      </c>
      <c r="E16472" t="s">
        <v>2828</v>
      </c>
      <c r="F16472" t="s">
        <v>2829</v>
      </c>
      <c r="G16472">
        <v>60.02</v>
      </c>
      <c r="H16472">
        <v>251231</v>
      </c>
      <c r="I16472">
        <v>4520</v>
      </c>
      <c r="J16472" t="s">
        <v>280</v>
      </c>
      <c r="K16472">
        <v>60.62</v>
      </c>
      <c r="L16472">
        <v>7.37</v>
      </c>
      <c r="M16472">
        <v>13802</v>
      </c>
      <c r="N16472" t="s">
        <v>34</v>
      </c>
      <c r="O16472">
        <v>260115</v>
      </c>
      <c r="P16472">
        <v>52.65</v>
      </c>
    </row>
    <row r="16473" spans="1:16" x14ac:dyDescent="0.25">
      <c r="A16473" t="s">
        <v>3296</v>
      </c>
      <c r="B16473" t="s">
        <v>2931</v>
      </c>
      <c r="C16473">
        <v>1263</v>
      </c>
      <c r="D16473" t="str">
        <f>"20704909    "</f>
        <v xml:space="preserve">20704909    </v>
      </c>
      <c r="E16473" t="s">
        <v>2828</v>
      </c>
      <c r="F16473" t="s">
        <v>2829</v>
      </c>
      <c r="G16473">
        <v>12.6</v>
      </c>
      <c r="H16473">
        <v>250131</v>
      </c>
      <c r="I16473">
        <v>4550</v>
      </c>
      <c r="J16473" t="s">
        <v>226</v>
      </c>
      <c r="K16473">
        <v>79.67</v>
      </c>
      <c r="L16473">
        <v>2.56</v>
      </c>
      <c r="M16473">
        <v>59111</v>
      </c>
      <c r="N16473" t="s">
        <v>60</v>
      </c>
      <c r="O16473">
        <v>250206</v>
      </c>
      <c r="P16473">
        <v>10.039999999999999</v>
      </c>
    </row>
    <row r="16474" spans="1:16" x14ac:dyDescent="0.25">
      <c r="A16474" t="s">
        <v>3296</v>
      </c>
      <c r="B16474" t="s">
        <v>2931</v>
      </c>
      <c r="C16474">
        <v>11974</v>
      </c>
      <c r="D16474" t="str">
        <f>"21011814    "</f>
        <v xml:space="preserve">21011814    </v>
      </c>
      <c r="E16474" t="s">
        <v>2828</v>
      </c>
      <c r="F16474" t="s">
        <v>2829</v>
      </c>
      <c r="G16474">
        <v>11.32</v>
      </c>
      <c r="H16474">
        <v>250831</v>
      </c>
      <c r="I16474">
        <v>4550</v>
      </c>
      <c r="J16474" t="s">
        <v>226</v>
      </c>
      <c r="K16474">
        <v>213.18</v>
      </c>
      <c r="L16474">
        <v>2.2999999999999998</v>
      </c>
      <c r="M16474">
        <v>59111</v>
      </c>
      <c r="N16474" t="s">
        <v>60</v>
      </c>
      <c r="O16474">
        <v>250915</v>
      </c>
      <c r="P16474">
        <v>9.02</v>
      </c>
    </row>
    <row r="16475" spans="1:16" x14ac:dyDescent="0.25">
      <c r="A16475" t="s">
        <v>3296</v>
      </c>
      <c r="B16475" t="s">
        <v>2931</v>
      </c>
      <c r="C16475">
        <v>14909</v>
      </c>
      <c r="D16475" t="str">
        <f>"21104589    "</f>
        <v xml:space="preserve">21104589    </v>
      </c>
      <c r="E16475" t="s">
        <v>2828</v>
      </c>
      <c r="F16475" t="s">
        <v>2829</v>
      </c>
      <c r="G16475">
        <v>18.45</v>
      </c>
      <c r="H16475">
        <v>251031</v>
      </c>
      <c r="I16475">
        <v>4550</v>
      </c>
      <c r="J16475" t="s">
        <v>226</v>
      </c>
      <c r="K16475">
        <v>346.4</v>
      </c>
      <c r="L16475">
        <v>3.75</v>
      </c>
      <c r="M16475">
        <v>67522</v>
      </c>
      <c r="N16475" t="s">
        <v>121</v>
      </c>
      <c r="O16475">
        <v>251107</v>
      </c>
      <c r="P16475">
        <v>14.7</v>
      </c>
    </row>
    <row r="16476" spans="1:16" x14ac:dyDescent="0.25">
      <c r="A16476" t="s">
        <v>3296</v>
      </c>
      <c r="B16476" t="s">
        <v>2931</v>
      </c>
      <c r="C16476">
        <v>6139</v>
      </c>
      <c r="D16476" t="str">
        <f>"20834366    "</f>
        <v xml:space="preserve">20834366    </v>
      </c>
      <c r="E16476" t="s">
        <v>2828</v>
      </c>
      <c r="F16476" t="s">
        <v>2829</v>
      </c>
      <c r="G16476">
        <v>15.67</v>
      </c>
      <c r="H16476">
        <v>250430</v>
      </c>
      <c r="I16476">
        <v>4554</v>
      </c>
      <c r="J16476" t="s">
        <v>351</v>
      </c>
      <c r="K16476">
        <v>159.78</v>
      </c>
      <c r="L16476">
        <v>1.92</v>
      </c>
      <c r="M16476">
        <v>67522</v>
      </c>
      <c r="N16476" t="s">
        <v>121</v>
      </c>
      <c r="O16476">
        <v>250509</v>
      </c>
      <c r="P16476">
        <v>13.75</v>
      </c>
    </row>
    <row r="16477" spans="1:16" x14ac:dyDescent="0.25">
      <c r="A16477" t="s">
        <v>3296</v>
      </c>
      <c r="B16477" t="s">
        <v>2931</v>
      </c>
      <c r="C16477">
        <v>16274</v>
      </c>
      <c r="D16477" t="str">
        <f>"21153635    "</f>
        <v xml:space="preserve">21153635    </v>
      </c>
      <c r="E16477" t="s">
        <v>2828</v>
      </c>
      <c r="F16477" t="s">
        <v>2829</v>
      </c>
      <c r="G16477">
        <v>8.7100000000000009</v>
      </c>
      <c r="H16477">
        <v>251130</v>
      </c>
      <c r="I16477">
        <v>4557</v>
      </c>
      <c r="J16477" t="s">
        <v>1152</v>
      </c>
      <c r="K16477">
        <v>88.4</v>
      </c>
      <c r="L16477">
        <v>1.77</v>
      </c>
      <c r="M16477">
        <v>13932</v>
      </c>
      <c r="N16477" t="s">
        <v>680</v>
      </c>
      <c r="O16477">
        <v>251205</v>
      </c>
      <c r="P16477">
        <v>6.94</v>
      </c>
    </row>
    <row r="16478" spans="1:16" x14ac:dyDescent="0.25">
      <c r="A16478" t="s">
        <v>3296</v>
      </c>
      <c r="B16478" t="s">
        <v>2931</v>
      </c>
      <c r="C16478">
        <v>1116</v>
      </c>
      <c r="D16478" t="str">
        <f>"20704907    "</f>
        <v xml:space="preserve">20704907    </v>
      </c>
      <c r="E16478" t="s">
        <v>2828</v>
      </c>
      <c r="F16478" t="s">
        <v>2829</v>
      </c>
      <c r="G16478">
        <v>403.34</v>
      </c>
      <c r="H16478">
        <v>250131</v>
      </c>
      <c r="I16478">
        <v>4560</v>
      </c>
      <c r="J16478" t="s">
        <v>390</v>
      </c>
      <c r="K16478">
        <v>403.34</v>
      </c>
      <c r="L16478">
        <v>81.95</v>
      </c>
      <c r="M16478">
        <v>59501</v>
      </c>
      <c r="N16478" t="s">
        <v>62</v>
      </c>
      <c r="O16478">
        <v>250204</v>
      </c>
      <c r="P16478">
        <v>321.39</v>
      </c>
    </row>
    <row r="16479" spans="1:16" x14ac:dyDescent="0.25">
      <c r="A16479" t="s">
        <v>3296</v>
      </c>
      <c r="B16479" t="s">
        <v>2931</v>
      </c>
      <c r="C16479">
        <v>1117</v>
      </c>
      <c r="D16479" t="str">
        <f>"20704900    "</f>
        <v xml:space="preserve">20704900    </v>
      </c>
      <c r="E16479" t="s">
        <v>2828</v>
      </c>
      <c r="F16479" t="s">
        <v>2829</v>
      </c>
      <c r="G16479">
        <v>470.14</v>
      </c>
      <c r="H16479">
        <v>250131</v>
      </c>
      <c r="I16479">
        <v>4560</v>
      </c>
      <c r="J16479" t="s">
        <v>390</v>
      </c>
      <c r="K16479">
        <v>520.98</v>
      </c>
      <c r="L16479">
        <v>95.53</v>
      </c>
      <c r="M16479">
        <v>59702</v>
      </c>
      <c r="N16479" t="s">
        <v>45</v>
      </c>
      <c r="O16479">
        <v>250204</v>
      </c>
      <c r="P16479">
        <v>374.61</v>
      </c>
    </row>
    <row r="16480" spans="1:16" x14ac:dyDescent="0.25">
      <c r="A16480" t="s">
        <v>3296</v>
      </c>
      <c r="B16480" t="s">
        <v>2931</v>
      </c>
      <c r="C16480">
        <v>1117</v>
      </c>
      <c r="D16480" t="str">
        <f>"20704900    "</f>
        <v xml:space="preserve">20704900    </v>
      </c>
      <c r="E16480" t="s">
        <v>2828</v>
      </c>
      <c r="F16480" t="s">
        <v>2829</v>
      </c>
      <c r="G16480">
        <v>50.84</v>
      </c>
      <c r="H16480">
        <v>250131</v>
      </c>
      <c r="I16480">
        <v>4560</v>
      </c>
      <c r="J16480" t="s">
        <v>390</v>
      </c>
      <c r="K16480">
        <v>520.98</v>
      </c>
      <c r="L16480">
        <v>10.33</v>
      </c>
      <c r="M16480">
        <v>59801</v>
      </c>
      <c r="N16480" t="s">
        <v>2830</v>
      </c>
      <c r="O16480">
        <v>250204</v>
      </c>
      <c r="P16480">
        <v>40.51</v>
      </c>
    </row>
    <row r="16481" spans="1:16" x14ac:dyDescent="0.25">
      <c r="A16481" t="s">
        <v>3296</v>
      </c>
      <c r="B16481" t="s">
        <v>2931</v>
      </c>
      <c r="C16481">
        <v>1564</v>
      </c>
      <c r="D16481" t="str">
        <f>"20704905    "</f>
        <v xml:space="preserve">20704905    </v>
      </c>
      <c r="E16481" t="s">
        <v>2828</v>
      </c>
      <c r="F16481" t="s">
        <v>2829</v>
      </c>
      <c r="G16481">
        <v>194.47</v>
      </c>
      <c r="H16481">
        <v>250131</v>
      </c>
      <c r="I16481">
        <v>4560</v>
      </c>
      <c r="J16481" t="s">
        <v>390</v>
      </c>
      <c r="K16481">
        <v>194.47</v>
      </c>
      <c r="L16481">
        <v>0</v>
      </c>
      <c r="M16481">
        <v>11001</v>
      </c>
      <c r="N16481" t="s">
        <v>93</v>
      </c>
      <c r="O16481">
        <v>250211</v>
      </c>
      <c r="P16481">
        <v>194.47</v>
      </c>
    </row>
    <row r="16482" spans="1:16" x14ac:dyDescent="0.25">
      <c r="A16482" t="s">
        <v>3296</v>
      </c>
      <c r="B16482" t="s">
        <v>2931</v>
      </c>
      <c r="C16482">
        <v>1938</v>
      </c>
      <c r="D16482" t="str">
        <f>"20704901    "</f>
        <v xml:space="preserve">20704901    </v>
      </c>
      <c r="E16482" t="s">
        <v>2828</v>
      </c>
      <c r="F16482" t="s">
        <v>2829</v>
      </c>
      <c r="G16482">
        <v>66.05</v>
      </c>
      <c r="H16482">
        <v>250131</v>
      </c>
      <c r="I16482">
        <v>4560</v>
      </c>
      <c r="J16482" t="s">
        <v>390</v>
      </c>
      <c r="K16482">
        <v>94.24</v>
      </c>
      <c r="L16482">
        <v>13.42</v>
      </c>
      <c r="M16482">
        <v>17523</v>
      </c>
      <c r="N16482" t="s">
        <v>138</v>
      </c>
      <c r="O16482">
        <v>250218</v>
      </c>
      <c r="P16482">
        <v>52.63</v>
      </c>
    </row>
    <row r="16483" spans="1:16" x14ac:dyDescent="0.25">
      <c r="A16483" t="s">
        <v>3296</v>
      </c>
      <c r="B16483" t="s">
        <v>2931</v>
      </c>
      <c r="C16483">
        <v>1938</v>
      </c>
      <c r="D16483" t="str">
        <f>"20704901    "</f>
        <v xml:space="preserve">20704901    </v>
      </c>
      <c r="E16483" t="s">
        <v>2828</v>
      </c>
      <c r="F16483" t="s">
        <v>2829</v>
      </c>
      <c r="G16483">
        <v>18.86</v>
      </c>
      <c r="H16483">
        <v>250131</v>
      </c>
      <c r="I16483">
        <v>4560</v>
      </c>
      <c r="J16483" t="s">
        <v>390</v>
      </c>
      <c r="K16483">
        <v>94.24</v>
      </c>
      <c r="L16483">
        <v>3.83</v>
      </c>
      <c r="M16483">
        <v>17524</v>
      </c>
      <c r="N16483" t="s">
        <v>139</v>
      </c>
      <c r="O16483">
        <v>250218</v>
      </c>
      <c r="P16483">
        <v>15.03</v>
      </c>
    </row>
    <row r="16484" spans="1:16" x14ac:dyDescent="0.25">
      <c r="A16484" t="s">
        <v>3296</v>
      </c>
      <c r="B16484" t="s">
        <v>2931</v>
      </c>
      <c r="C16484">
        <v>2945</v>
      </c>
      <c r="D16484" t="str">
        <f>"20746707    "</f>
        <v xml:space="preserve">20746707    </v>
      </c>
      <c r="E16484" t="s">
        <v>2828</v>
      </c>
      <c r="F16484" t="s">
        <v>2829</v>
      </c>
      <c r="G16484">
        <v>58.97</v>
      </c>
      <c r="H16484">
        <v>250228</v>
      </c>
      <c r="I16484">
        <v>4560</v>
      </c>
      <c r="J16484" t="s">
        <v>390</v>
      </c>
      <c r="K16484">
        <v>143.91</v>
      </c>
      <c r="L16484">
        <v>11.98</v>
      </c>
      <c r="M16484">
        <v>69702</v>
      </c>
      <c r="N16484" t="s">
        <v>124</v>
      </c>
      <c r="O16484">
        <v>250313</v>
      </c>
      <c r="P16484">
        <v>46.99</v>
      </c>
    </row>
    <row r="16485" spans="1:16" x14ac:dyDescent="0.25">
      <c r="A16485" t="s">
        <v>3296</v>
      </c>
      <c r="B16485" t="s">
        <v>2931</v>
      </c>
      <c r="C16485">
        <v>3007</v>
      </c>
      <c r="D16485" t="str">
        <f>"20746711    "</f>
        <v xml:space="preserve">20746711    </v>
      </c>
      <c r="E16485" t="s">
        <v>2828</v>
      </c>
      <c r="F16485" t="s">
        <v>2829</v>
      </c>
      <c r="G16485">
        <v>359.49</v>
      </c>
      <c r="H16485">
        <v>250228</v>
      </c>
      <c r="I16485">
        <v>4560</v>
      </c>
      <c r="J16485" t="s">
        <v>390</v>
      </c>
      <c r="K16485">
        <v>359.49</v>
      </c>
      <c r="L16485">
        <v>73.040000000000006</v>
      </c>
      <c r="M16485">
        <v>59702</v>
      </c>
      <c r="N16485" t="s">
        <v>45</v>
      </c>
      <c r="O16485">
        <v>250314</v>
      </c>
      <c r="P16485">
        <v>286.45</v>
      </c>
    </row>
    <row r="16486" spans="1:16" x14ac:dyDescent="0.25">
      <c r="A16486" t="s">
        <v>3296</v>
      </c>
      <c r="B16486" t="s">
        <v>2931</v>
      </c>
      <c r="C16486">
        <v>3010</v>
      </c>
      <c r="D16486" t="str">
        <f>"20746714    "</f>
        <v xml:space="preserve">20746714    </v>
      </c>
      <c r="E16486" t="s">
        <v>2828</v>
      </c>
      <c r="F16486" t="s">
        <v>2829</v>
      </c>
      <c r="G16486">
        <v>102.5</v>
      </c>
      <c r="H16486">
        <v>250228</v>
      </c>
      <c r="I16486">
        <v>4560</v>
      </c>
      <c r="J16486" t="s">
        <v>390</v>
      </c>
      <c r="K16486">
        <v>102.5</v>
      </c>
      <c r="L16486">
        <v>20.83</v>
      </c>
      <c r="M16486">
        <v>59702</v>
      </c>
      <c r="N16486" t="s">
        <v>45</v>
      </c>
      <c r="O16486">
        <v>250314</v>
      </c>
      <c r="P16486">
        <v>81.67</v>
      </c>
    </row>
    <row r="16487" spans="1:16" x14ac:dyDescent="0.25">
      <c r="A16487" t="s">
        <v>3296</v>
      </c>
      <c r="B16487" t="s">
        <v>2931</v>
      </c>
      <c r="C16487">
        <v>3018</v>
      </c>
      <c r="D16487" t="str">
        <f>"20746713    "</f>
        <v xml:space="preserve">20746713    </v>
      </c>
      <c r="E16487" t="s">
        <v>2828</v>
      </c>
      <c r="F16487" t="s">
        <v>2829</v>
      </c>
      <c r="G16487">
        <v>106.42</v>
      </c>
      <c r="H16487">
        <v>250228</v>
      </c>
      <c r="I16487">
        <v>4560</v>
      </c>
      <c r="J16487" t="s">
        <v>390</v>
      </c>
      <c r="K16487">
        <v>106.42</v>
      </c>
      <c r="L16487">
        <v>21.62</v>
      </c>
      <c r="M16487">
        <v>59501</v>
      </c>
      <c r="N16487" t="s">
        <v>62</v>
      </c>
      <c r="O16487">
        <v>250314</v>
      </c>
      <c r="P16487">
        <v>84.8</v>
      </c>
    </row>
    <row r="16488" spans="1:16" x14ac:dyDescent="0.25">
      <c r="A16488" t="s">
        <v>3296</v>
      </c>
      <c r="B16488" t="s">
        <v>2931</v>
      </c>
      <c r="C16488">
        <v>3027</v>
      </c>
      <c r="D16488" t="str">
        <f>"20746712    "</f>
        <v xml:space="preserve">20746712    </v>
      </c>
      <c r="E16488" t="s">
        <v>2828</v>
      </c>
      <c r="F16488" t="s">
        <v>2829</v>
      </c>
      <c r="G16488">
        <v>159.13999999999999</v>
      </c>
      <c r="H16488">
        <v>250228</v>
      </c>
      <c r="I16488">
        <v>4560</v>
      </c>
      <c r="J16488" t="s">
        <v>390</v>
      </c>
      <c r="K16488">
        <v>159.13999999999999</v>
      </c>
      <c r="L16488">
        <v>0</v>
      </c>
      <c r="M16488">
        <v>11001</v>
      </c>
      <c r="N16488" t="s">
        <v>93</v>
      </c>
      <c r="O16488">
        <v>250314</v>
      </c>
      <c r="P16488">
        <v>159.13999999999999</v>
      </c>
    </row>
    <row r="16489" spans="1:16" x14ac:dyDescent="0.25">
      <c r="A16489" t="s">
        <v>3296</v>
      </c>
      <c r="B16489" t="s">
        <v>2931</v>
      </c>
      <c r="C16489">
        <v>3031</v>
      </c>
      <c r="D16489" t="str">
        <f>"20746718    "</f>
        <v xml:space="preserve">20746718    </v>
      </c>
      <c r="E16489" t="s">
        <v>2828</v>
      </c>
      <c r="F16489" t="s">
        <v>2829</v>
      </c>
      <c r="G16489">
        <v>88.43</v>
      </c>
      <c r="H16489">
        <v>250228</v>
      </c>
      <c r="I16489">
        <v>4560</v>
      </c>
      <c r="J16489" t="s">
        <v>390</v>
      </c>
      <c r="K16489">
        <v>307.87</v>
      </c>
      <c r="L16489">
        <v>17.97</v>
      </c>
      <c r="M16489">
        <v>17711</v>
      </c>
      <c r="N16489" t="s">
        <v>155</v>
      </c>
      <c r="O16489">
        <v>250314</v>
      </c>
      <c r="P16489">
        <v>70.459999999999994</v>
      </c>
    </row>
    <row r="16490" spans="1:16" x14ac:dyDescent="0.25">
      <c r="A16490" t="s">
        <v>3296</v>
      </c>
      <c r="B16490" t="s">
        <v>2931</v>
      </c>
      <c r="C16490">
        <v>3031</v>
      </c>
      <c r="D16490" t="str">
        <f>"20746718    "</f>
        <v xml:space="preserve">20746718    </v>
      </c>
      <c r="E16490" t="s">
        <v>2828</v>
      </c>
      <c r="F16490" t="s">
        <v>2829</v>
      </c>
      <c r="G16490">
        <v>38.28</v>
      </c>
      <c r="H16490">
        <v>250228</v>
      </c>
      <c r="I16490">
        <v>4560</v>
      </c>
      <c r="J16490" t="s">
        <v>390</v>
      </c>
      <c r="K16490">
        <v>307.87</v>
      </c>
      <c r="L16490">
        <v>7.78</v>
      </c>
      <c r="M16490">
        <v>17737</v>
      </c>
      <c r="N16490" t="s">
        <v>156</v>
      </c>
      <c r="O16490">
        <v>250314</v>
      </c>
      <c r="P16490">
        <v>30.5</v>
      </c>
    </row>
    <row r="16491" spans="1:16" x14ac:dyDescent="0.25">
      <c r="A16491" t="s">
        <v>3296</v>
      </c>
      <c r="B16491" t="s">
        <v>2931</v>
      </c>
      <c r="C16491">
        <v>3266</v>
      </c>
      <c r="D16491" t="str">
        <f>"20746709    "</f>
        <v xml:space="preserve">20746709    </v>
      </c>
      <c r="E16491" t="s">
        <v>2828</v>
      </c>
      <c r="F16491" t="s">
        <v>2829</v>
      </c>
      <c r="G16491">
        <v>95.04</v>
      </c>
      <c r="H16491">
        <v>250228</v>
      </c>
      <c r="I16491">
        <v>4560</v>
      </c>
      <c r="J16491" t="s">
        <v>390</v>
      </c>
      <c r="K16491">
        <v>523.34</v>
      </c>
      <c r="L16491">
        <v>19.309999999999999</v>
      </c>
      <c r="M16491">
        <v>13501</v>
      </c>
      <c r="N16491" t="s">
        <v>66</v>
      </c>
      <c r="O16491">
        <v>250318</v>
      </c>
      <c r="P16491">
        <v>75.73</v>
      </c>
    </row>
    <row r="16492" spans="1:16" x14ac:dyDescent="0.25">
      <c r="A16492" t="s">
        <v>3296</v>
      </c>
      <c r="B16492" t="s">
        <v>2931</v>
      </c>
      <c r="C16492">
        <v>3266</v>
      </c>
      <c r="D16492" t="str">
        <f>"20746709    "</f>
        <v xml:space="preserve">20746709    </v>
      </c>
      <c r="E16492" t="s">
        <v>2828</v>
      </c>
      <c r="F16492" t="s">
        <v>2829</v>
      </c>
      <c r="G16492">
        <v>53.9</v>
      </c>
      <c r="H16492">
        <v>250228</v>
      </c>
      <c r="I16492">
        <v>4560</v>
      </c>
      <c r="J16492" t="s">
        <v>390</v>
      </c>
      <c r="K16492">
        <v>523.34</v>
      </c>
      <c r="L16492">
        <v>10.95</v>
      </c>
      <c r="M16492">
        <v>16121</v>
      </c>
      <c r="N16492" t="s">
        <v>127</v>
      </c>
      <c r="O16492">
        <v>250318</v>
      </c>
      <c r="P16492">
        <v>42.95</v>
      </c>
    </row>
    <row r="16493" spans="1:16" x14ac:dyDescent="0.25">
      <c r="A16493" t="s">
        <v>3296</v>
      </c>
      <c r="B16493" t="s">
        <v>2931</v>
      </c>
      <c r="C16493">
        <v>3266</v>
      </c>
      <c r="D16493" t="str">
        <f>"20746709    "</f>
        <v xml:space="preserve">20746709    </v>
      </c>
      <c r="E16493" t="s">
        <v>2828</v>
      </c>
      <c r="F16493" t="s">
        <v>2829</v>
      </c>
      <c r="G16493">
        <v>159.27000000000001</v>
      </c>
      <c r="H16493">
        <v>250228</v>
      </c>
      <c r="I16493">
        <v>4560</v>
      </c>
      <c r="J16493" t="s">
        <v>390</v>
      </c>
      <c r="K16493">
        <v>523.34</v>
      </c>
      <c r="L16493">
        <v>32.36</v>
      </c>
      <c r="M16493">
        <v>17538</v>
      </c>
      <c r="N16493" t="s">
        <v>129</v>
      </c>
      <c r="O16493">
        <v>250318</v>
      </c>
      <c r="P16493">
        <v>126.91</v>
      </c>
    </row>
    <row r="16494" spans="1:16" x14ac:dyDescent="0.25">
      <c r="A16494" t="s">
        <v>3296</v>
      </c>
      <c r="B16494" t="s">
        <v>2931</v>
      </c>
      <c r="C16494">
        <v>3266</v>
      </c>
      <c r="D16494" t="str">
        <f>"20746709    "</f>
        <v xml:space="preserve">20746709    </v>
      </c>
      <c r="E16494" t="s">
        <v>2828</v>
      </c>
      <c r="F16494" t="s">
        <v>2829</v>
      </c>
      <c r="G16494">
        <v>202.58</v>
      </c>
      <c r="H16494">
        <v>250228</v>
      </c>
      <c r="I16494">
        <v>4560</v>
      </c>
      <c r="J16494" t="s">
        <v>390</v>
      </c>
      <c r="K16494">
        <v>523.34</v>
      </c>
      <c r="L16494">
        <v>41.16</v>
      </c>
      <c r="M16494">
        <v>18972</v>
      </c>
      <c r="N16494" t="s">
        <v>39</v>
      </c>
      <c r="O16494">
        <v>250318</v>
      </c>
      <c r="P16494">
        <v>161.41999999999999</v>
      </c>
    </row>
    <row r="16495" spans="1:16" x14ac:dyDescent="0.25">
      <c r="A16495" t="s">
        <v>3296</v>
      </c>
      <c r="B16495" t="s">
        <v>2931</v>
      </c>
      <c r="C16495">
        <v>4642</v>
      </c>
      <c r="D16495" t="str">
        <f>"20790031    "</f>
        <v xml:space="preserve">20790031    </v>
      </c>
      <c r="E16495" t="s">
        <v>2828</v>
      </c>
      <c r="F16495" t="s">
        <v>2829</v>
      </c>
      <c r="G16495">
        <v>342.47</v>
      </c>
      <c r="H16495">
        <v>250331</v>
      </c>
      <c r="I16495">
        <v>4560</v>
      </c>
      <c r="J16495" t="s">
        <v>390</v>
      </c>
      <c r="K16495">
        <v>342.47</v>
      </c>
      <c r="L16495">
        <v>69.59</v>
      </c>
      <c r="M16495">
        <v>59501</v>
      </c>
      <c r="N16495" t="s">
        <v>62</v>
      </c>
      <c r="O16495">
        <v>250414</v>
      </c>
      <c r="P16495">
        <v>272.88</v>
      </c>
    </row>
    <row r="16496" spans="1:16" x14ac:dyDescent="0.25">
      <c r="A16496" t="s">
        <v>3296</v>
      </c>
      <c r="B16496" t="s">
        <v>2931</v>
      </c>
      <c r="C16496">
        <v>4659</v>
      </c>
      <c r="D16496" t="str">
        <f>"20790029    "</f>
        <v xml:space="preserve">20790029    </v>
      </c>
      <c r="E16496" t="s">
        <v>2828</v>
      </c>
      <c r="F16496" t="s">
        <v>2829</v>
      </c>
      <c r="G16496">
        <v>256.98</v>
      </c>
      <c r="H16496">
        <v>250331</v>
      </c>
      <c r="I16496">
        <v>4560</v>
      </c>
      <c r="J16496" t="s">
        <v>390</v>
      </c>
      <c r="K16496">
        <v>311.83</v>
      </c>
      <c r="L16496">
        <v>52.22</v>
      </c>
      <c r="M16496">
        <v>59702</v>
      </c>
      <c r="N16496" t="s">
        <v>45</v>
      </c>
      <c r="O16496">
        <v>250414</v>
      </c>
      <c r="P16496">
        <v>204.76</v>
      </c>
    </row>
    <row r="16497" spans="1:16" x14ac:dyDescent="0.25">
      <c r="A16497" t="s">
        <v>3296</v>
      </c>
      <c r="B16497" t="s">
        <v>2931</v>
      </c>
      <c r="C16497">
        <v>4659</v>
      </c>
      <c r="D16497" t="str">
        <f>"20790029    "</f>
        <v xml:space="preserve">20790029    </v>
      </c>
      <c r="E16497" t="s">
        <v>2828</v>
      </c>
      <c r="F16497" t="s">
        <v>2829</v>
      </c>
      <c r="G16497">
        <v>54.85</v>
      </c>
      <c r="H16497">
        <v>250331</v>
      </c>
      <c r="I16497">
        <v>4560</v>
      </c>
      <c r="J16497" t="s">
        <v>390</v>
      </c>
      <c r="K16497">
        <v>311.83</v>
      </c>
      <c r="L16497">
        <v>11.14</v>
      </c>
      <c r="M16497">
        <v>59801</v>
      </c>
      <c r="N16497" t="s">
        <v>2830</v>
      </c>
      <c r="O16497">
        <v>250414</v>
      </c>
      <c r="P16497">
        <v>43.71</v>
      </c>
    </row>
    <row r="16498" spans="1:16" x14ac:dyDescent="0.25">
      <c r="A16498" t="s">
        <v>3296</v>
      </c>
      <c r="B16498" t="s">
        <v>2931</v>
      </c>
      <c r="C16498">
        <v>4664</v>
      </c>
      <c r="D16498" t="str">
        <f>"20790032    "</f>
        <v xml:space="preserve">20790032    </v>
      </c>
      <c r="E16498" t="s">
        <v>2828</v>
      </c>
      <c r="F16498" t="s">
        <v>2829</v>
      </c>
      <c r="G16498">
        <v>159.99</v>
      </c>
      <c r="H16498">
        <v>250331</v>
      </c>
      <c r="I16498">
        <v>4560</v>
      </c>
      <c r="J16498" t="s">
        <v>390</v>
      </c>
      <c r="K16498">
        <v>159.99</v>
      </c>
      <c r="L16498">
        <v>32.51</v>
      </c>
      <c r="M16498">
        <v>59702</v>
      </c>
      <c r="N16498" t="s">
        <v>45</v>
      </c>
      <c r="O16498">
        <v>250414</v>
      </c>
      <c r="P16498">
        <v>127.48</v>
      </c>
    </row>
    <row r="16499" spans="1:16" x14ac:dyDescent="0.25">
      <c r="A16499" t="s">
        <v>3296</v>
      </c>
      <c r="B16499" t="s">
        <v>2931</v>
      </c>
      <c r="C16499">
        <v>4676</v>
      </c>
      <c r="D16499" t="str">
        <f>"20790035    "</f>
        <v xml:space="preserve">20790035    </v>
      </c>
      <c r="E16499" t="s">
        <v>2828</v>
      </c>
      <c r="F16499" t="s">
        <v>2829</v>
      </c>
      <c r="G16499">
        <v>37.49</v>
      </c>
      <c r="H16499">
        <v>250331</v>
      </c>
      <c r="I16499">
        <v>4560</v>
      </c>
      <c r="J16499" t="s">
        <v>390</v>
      </c>
      <c r="K16499">
        <v>74.97</v>
      </c>
      <c r="L16499">
        <v>7.62</v>
      </c>
      <c r="M16499">
        <v>17806</v>
      </c>
      <c r="N16499" t="s">
        <v>22</v>
      </c>
      <c r="O16499">
        <v>250414</v>
      </c>
      <c r="P16499">
        <v>29.87</v>
      </c>
    </row>
    <row r="16500" spans="1:16" x14ac:dyDescent="0.25">
      <c r="A16500" t="s">
        <v>3296</v>
      </c>
      <c r="B16500" t="s">
        <v>2931</v>
      </c>
      <c r="C16500">
        <v>4676</v>
      </c>
      <c r="D16500" t="str">
        <f>"20790035    "</f>
        <v xml:space="preserve">20790035    </v>
      </c>
      <c r="E16500" t="s">
        <v>2828</v>
      </c>
      <c r="F16500" t="s">
        <v>2829</v>
      </c>
      <c r="G16500">
        <v>37.479999999999997</v>
      </c>
      <c r="H16500">
        <v>250331</v>
      </c>
      <c r="I16500">
        <v>4560</v>
      </c>
      <c r="J16500" t="s">
        <v>390</v>
      </c>
      <c r="K16500">
        <v>74.97</v>
      </c>
      <c r="L16500">
        <v>7.62</v>
      </c>
      <c r="M16500">
        <v>17807</v>
      </c>
      <c r="N16500" t="s">
        <v>23</v>
      </c>
      <c r="O16500">
        <v>250414</v>
      </c>
      <c r="P16500">
        <v>29.86</v>
      </c>
    </row>
    <row r="16501" spans="1:16" x14ac:dyDescent="0.25">
      <c r="A16501" t="s">
        <v>3296</v>
      </c>
      <c r="B16501" t="s">
        <v>2931</v>
      </c>
      <c r="C16501">
        <v>4678</v>
      </c>
      <c r="D16501" t="str">
        <f>"20790028    "</f>
        <v xml:space="preserve">20790028    </v>
      </c>
      <c r="E16501" t="s">
        <v>2828</v>
      </c>
      <c r="F16501" t="s">
        <v>2829</v>
      </c>
      <c r="G16501">
        <v>76.05</v>
      </c>
      <c r="H16501">
        <v>250331</v>
      </c>
      <c r="I16501">
        <v>4560</v>
      </c>
      <c r="J16501" t="s">
        <v>390</v>
      </c>
      <c r="K16501">
        <v>76.05</v>
      </c>
      <c r="L16501">
        <v>0</v>
      </c>
      <c r="M16501">
        <v>11001</v>
      </c>
      <c r="N16501" t="s">
        <v>93</v>
      </c>
      <c r="O16501">
        <v>250414</v>
      </c>
      <c r="P16501">
        <v>76.05</v>
      </c>
    </row>
    <row r="16502" spans="1:16" x14ac:dyDescent="0.25">
      <c r="A16502" t="s">
        <v>3296</v>
      </c>
      <c r="B16502" t="s">
        <v>2931</v>
      </c>
      <c r="C16502">
        <v>4681</v>
      </c>
      <c r="D16502" t="str">
        <f>"20790023    "</f>
        <v xml:space="preserve">20790023    </v>
      </c>
      <c r="E16502" t="s">
        <v>2828</v>
      </c>
      <c r="F16502" t="s">
        <v>2829</v>
      </c>
      <c r="G16502">
        <v>65.06</v>
      </c>
      <c r="H16502">
        <v>250331</v>
      </c>
      <c r="I16502">
        <v>4560</v>
      </c>
      <c r="J16502" t="s">
        <v>390</v>
      </c>
      <c r="K16502">
        <v>407.08</v>
      </c>
      <c r="L16502">
        <v>13.22</v>
      </c>
      <c r="M16502">
        <v>17711</v>
      </c>
      <c r="N16502" t="s">
        <v>155</v>
      </c>
      <c r="O16502">
        <v>250414</v>
      </c>
      <c r="P16502">
        <v>51.84</v>
      </c>
    </row>
    <row r="16503" spans="1:16" x14ac:dyDescent="0.25">
      <c r="A16503" t="s">
        <v>3296</v>
      </c>
      <c r="B16503" t="s">
        <v>2931</v>
      </c>
      <c r="C16503">
        <v>4682</v>
      </c>
      <c r="D16503" t="str">
        <f>"20790030    "</f>
        <v xml:space="preserve">20790030    </v>
      </c>
      <c r="E16503" t="s">
        <v>2828</v>
      </c>
      <c r="F16503" t="s">
        <v>2829</v>
      </c>
      <c r="G16503">
        <v>70.260000000000005</v>
      </c>
      <c r="H16503">
        <v>250331</v>
      </c>
      <c r="I16503">
        <v>4560</v>
      </c>
      <c r="J16503" t="s">
        <v>390</v>
      </c>
      <c r="K16503">
        <v>378.31</v>
      </c>
      <c r="L16503">
        <v>14.28</v>
      </c>
      <c r="M16503">
        <v>17523</v>
      </c>
      <c r="N16503" t="s">
        <v>138</v>
      </c>
      <c r="O16503">
        <v>250414</v>
      </c>
      <c r="P16503">
        <v>55.98</v>
      </c>
    </row>
    <row r="16504" spans="1:16" x14ac:dyDescent="0.25">
      <c r="A16504" t="s">
        <v>3296</v>
      </c>
      <c r="B16504" t="s">
        <v>2931</v>
      </c>
      <c r="C16504">
        <v>4682</v>
      </c>
      <c r="D16504" t="str">
        <f>"20790030    "</f>
        <v xml:space="preserve">20790030    </v>
      </c>
      <c r="E16504" t="s">
        <v>2828</v>
      </c>
      <c r="F16504" t="s">
        <v>2829</v>
      </c>
      <c r="G16504">
        <v>36.17</v>
      </c>
      <c r="H16504">
        <v>250331</v>
      </c>
      <c r="I16504">
        <v>4560</v>
      </c>
      <c r="J16504" t="s">
        <v>390</v>
      </c>
      <c r="K16504">
        <v>378.31</v>
      </c>
      <c r="L16504">
        <v>7.35</v>
      </c>
      <c r="M16504">
        <v>17538</v>
      </c>
      <c r="N16504" t="s">
        <v>129</v>
      </c>
      <c r="O16504">
        <v>250414</v>
      </c>
      <c r="P16504">
        <v>28.82</v>
      </c>
    </row>
    <row r="16505" spans="1:16" x14ac:dyDescent="0.25">
      <c r="A16505" t="s">
        <v>3296</v>
      </c>
      <c r="B16505" t="s">
        <v>2931</v>
      </c>
      <c r="C16505">
        <v>4682</v>
      </c>
      <c r="D16505" t="str">
        <f>"20790030    "</f>
        <v xml:space="preserve">20790030    </v>
      </c>
      <c r="E16505" t="s">
        <v>2828</v>
      </c>
      <c r="F16505" t="s">
        <v>2829</v>
      </c>
      <c r="G16505">
        <v>164.12</v>
      </c>
      <c r="H16505">
        <v>250331</v>
      </c>
      <c r="I16505">
        <v>4560</v>
      </c>
      <c r="J16505" t="s">
        <v>390</v>
      </c>
      <c r="K16505">
        <v>378.31</v>
      </c>
      <c r="L16505">
        <v>33.35</v>
      </c>
      <c r="M16505">
        <v>17538</v>
      </c>
      <c r="N16505" t="s">
        <v>129</v>
      </c>
      <c r="O16505">
        <v>250414</v>
      </c>
      <c r="P16505">
        <v>130.77000000000001</v>
      </c>
    </row>
    <row r="16506" spans="1:16" x14ac:dyDescent="0.25">
      <c r="A16506" t="s">
        <v>3296</v>
      </c>
      <c r="B16506" t="s">
        <v>2931</v>
      </c>
      <c r="C16506">
        <v>4682</v>
      </c>
      <c r="D16506" t="str">
        <f>"20790030    "</f>
        <v xml:space="preserve">20790030    </v>
      </c>
      <c r="E16506" t="s">
        <v>2828</v>
      </c>
      <c r="F16506" t="s">
        <v>2829</v>
      </c>
      <c r="G16506">
        <v>66.44</v>
      </c>
      <c r="H16506">
        <v>250331</v>
      </c>
      <c r="I16506">
        <v>4560</v>
      </c>
      <c r="J16506" t="s">
        <v>390</v>
      </c>
      <c r="K16506">
        <v>378.31</v>
      </c>
      <c r="L16506">
        <v>13.5</v>
      </c>
      <c r="M16506">
        <v>17971</v>
      </c>
      <c r="N16506" t="s">
        <v>27</v>
      </c>
      <c r="O16506">
        <v>250414</v>
      </c>
      <c r="P16506">
        <v>52.94</v>
      </c>
    </row>
    <row r="16507" spans="1:16" x14ac:dyDescent="0.25">
      <c r="A16507" t="s">
        <v>3296</v>
      </c>
      <c r="B16507" t="s">
        <v>2931</v>
      </c>
      <c r="C16507">
        <v>4693</v>
      </c>
      <c r="D16507" t="str">
        <f>"20790027    "</f>
        <v xml:space="preserve">20790027    </v>
      </c>
      <c r="E16507" t="s">
        <v>2828</v>
      </c>
      <c r="F16507" t="s">
        <v>2829</v>
      </c>
      <c r="G16507">
        <v>102.2</v>
      </c>
      <c r="H16507">
        <v>250331</v>
      </c>
      <c r="I16507">
        <v>4560</v>
      </c>
      <c r="J16507" t="s">
        <v>390</v>
      </c>
      <c r="K16507">
        <v>230.62</v>
      </c>
      <c r="L16507">
        <v>20.77</v>
      </c>
      <c r="M16507">
        <v>69501</v>
      </c>
      <c r="N16507" t="s">
        <v>123</v>
      </c>
      <c r="O16507">
        <v>250414</v>
      </c>
      <c r="P16507">
        <v>81.430000000000007</v>
      </c>
    </row>
    <row r="16508" spans="1:16" x14ac:dyDescent="0.25">
      <c r="A16508" t="s">
        <v>3296</v>
      </c>
      <c r="B16508" t="s">
        <v>2931</v>
      </c>
      <c r="C16508">
        <v>4709</v>
      </c>
      <c r="D16508" t="str">
        <f>"20790033    "</f>
        <v xml:space="preserve">20790033    </v>
      </c>
      <c r="E16508" t="s">
        <v>2828</v>
      </c>
      <c r="F16508" t="s">
        <v>2829</v>
      </c>
      <c r="G16508">
        <v>73.84</v>
      </c>
      <c r="H16508">
        <v>250331</v>
      </c>
      <c r="I16508">
        <v>4560</v>
      </c>
      <c r="J16508" t="s">
        <v>390</v>
      </c>
      <c r="K16508">
        <v>202.62</v>
      </c>
      <c r="L16508">
        <v>15</v>
      </c>
      <c r="M16508">
        <v>68601</v>
      </c>
      <c r="N16508" t="s">
        <v>1031</v>
      </c>
      <c r="O16508">
        <v>250414</v>
      </c>
      <c r="P16508">
        <v>58.84</v>
      </c>
    </row>
    <row r="16509" spans="1:16" x14ac:dyDescent="0.25">
      <c r="A16509" t="s">
        <v>3296</v>
      </c>
      <c r="B16509" t="s">
        <v>2931</v>
      </c>
      <c r="C16509">
        <v>4709</v>
      </c>
      <c r="D16509" t="str">
        <f>"20790033    "</f>
        <v xml:space="preserve">20790033    </v>
      </c>
      <c r="E16509" t="s">
        <v>2828</v>
      </c>
      <c r="F16509" t="s">
        <v>2829</v>
      </c>
      <c r="G16509">
        <v>31.65</v>
      </c>
      <c r="H16509">
        <v>250331</v>
      </c>
      <c r="I16509">
        <v>4560</v>
      </c>
      <c r="J16509" t="s">
        <v>390</v>
      </c>
      <c r="K16509">
        <v>202.62</v>
      </c>
      <c r="L16509">
        <v>6.43</v>
      </c>
      <c r="M16509">
        <v>69704</v>
      </c>
      <c r="N16509" t="s">
        <v>89</v>
      </c>
      <c r="O16509">
        <v>250414</v>
      </c>
      <c r="P16509">
        <v>25.22</v>
      </c>
    </row>
    <row r="16510" spans="1:16" x14ac:dyDescent="0.25">
      <c r="A16510" t="s">
        <v>3296</v>
      </c>
      <c r="B16510" t="s">
        <v>2931</v>
      </c>
      <c r="C16510">
        <v>6111</v>
      </c>
      <c r="D16510" t="str">
        <f>"20834369    "</f>
        <v xml:space="preserve">20834369    </v>
      </c>
      <c r="E16510" t="s">
        <v>2828</v>
      </c>
      <c r="F16510" t="s">
        <v>2829</v>
      </c>
      <c r="G16510">
        <v>386.37</v>
      </c>
      <c r="H16510">
        <v>250430</v>
      </c>
      <c r="I16510">
        <v>4560</v>
      </c>
      <c r="J16510" t="s">
        <v>390</v>
      </c>
      <c r="K16510">
        <v>386.37</v>
      </c>
      <c r="L16510">
        <v>0</v>
      </c>
      <c r="M16510">
        <v>11001</v>
      </c>
      <c r="N16510" t="s">
        <v>93</v>
      </c>
      <c r="O16510">
        <v>250509</v>
      </c>
      <c r="P16510">
        <v>386.37</v>
      </c>
    </row>
    <row r="16511" spans="1:16" x14ac:dyDescent="0.25">
      <c r="A16511" t="s">
        <v>3296</v>
      </c>
      <c r="B16511" t="s">
        <v>2931</v>
      </c>
      <c r="C16511">
        <v>6122</v>
      </c>
      <c r="D16511" t="str">
        <f>"20834362    "</f>
        <v xml:space="preserve">20834362    </v>
      </c>
      <c r="E16511" t="s">
        <v>2828</v>
      </c>
      <c r="F16511" t="s">
        <v>2829</v>
      </c>
      <c r="G16511">
        <v>43.95</v>
      </c>
      <c r="H16511">
        <v>250430</v>
      </c>
      <c r="I16511">
        <v>4560</v>
      </c>
      <c r="J16511" t="s">
        <v>390</v>
      </c>
      <c r="K16511">
        <v>261.83</v>
      </c>
      <c r="L16511">
        <v>8.93</v>
      </c>
      <c r="M16511">
        <v>17131</v>
      </c>
      <c r="N16511" t="s">
        <v>154</v>
      </c>
      <c r="O16511">
        <v>250509</v>
      </c>
      <c r="P16511">
        <v>35.020000000000003</v>
      </c>
    </row>
    <row r="16512" spans="1:16" x14ac:dyDescent="0.25">
      <c r="A16512" t="s">
        <v>3296</v>
      </c>
      <c r="B16512" t="s">
        <v>2931</v>
      </c>
      <c r="C16512">
        <v>6122</v>
      </c>
      <c r="D16512" t="str">
        <f>"20834362    "</f>
        <v xml:space="preserve">20834362    </v>
      </c>
      <c r="E16512" t="s">
        <v>2828</v>
      </c>
      <c r="F16512" t="s">
        <v>2829</v>
      </c>
      <c r="G16512">
        <v>43.95</v>
      </c>
      <c r="H16512">
        <v>250430</v>
      </c>
      <c r="I16512">
        <v>4560</v>
      </c>
      <c r="J16512" t="s">
        <v>390</v>
      </c>
      <c r="K16512">
        <v>261.83</v>
      </c>
      <c r="L16512">
        <v>8.93</v>
      </c>
      <c r="M16512">
        <v>17711</v>
      </c>
      <c r="N16512" t="s">
        <v>155</v>
      </c>
      <c r="O16512">
        <v>250509</v>
      </c>
      <c r="P16512">
        <v>35.020000000000003</v>
      </c>
    </row>
    <row r="16513" spans="1:16" x14ac:dyDescent="0.25">
      <c r="A16513" t="s">
        <v>3296</v>
      </c>
      <c r="B16513" t="s">
        <v>2931</v>
      </c>
      <c r="C16513">
        <v>6135</v>
      </c>
      <c r="D16513" t="str">
        <f>"20834364    "</f>
        <v xml:space="preserve">20834364    </v>
      </c>
      <c r="E16513" t="s">
        <v>2828</v>
      </c>
      <c r="F16513" t="s">
        <v>2829</v>
      </c>
      <c r="G16513">
        <v>403.64</v>
      </c>
      <c r="H16513">
        <v>250430</v>
      </c>
      <c r="I16513">
        <v>4560</v>
      </c>
      <c r="J16513" t="s">
        <v>390</v>
      </c>
      <c r="K16513">
        <v>456.85</v>
      </c>
      <c r="L16513">
        <v>82.01</v>
      </c>
      <c r="M16513">
        <v>59702</v>
      </c>
      <c r="N16513" t="s">
        <v>45</v>
      </c>
      <c r="O16513">
        <v>250509</v>
      </c>
      <c r="P16513">
        <v>321.63</v>
      </c>
    </row>
    <row r="16514" spans="1:16" x14ac:dyDescent="0.25">
      <c r="A16514" t="s">
        <v>3296</v>
      </c>
      <c r="B16514" t="s">
        <v>2931</v>
      </c>
      <c r="C16514">
        <v>6135</v>
      </c>
      <c r="D16514" t="str">
        <f>"20834364    "</f>
        <v xml:space="preserve">20834364    </v>
      </c>
      <c r="E16514" t="s">
        <v>2828</v>
      </c>
      <c r="F16514" t="s">
        <v>2829</v>
      </c>
      <c r="G16514">
        <v>53.21</v>
      </c>
      <c r="H16514">
        <v>250430</v>
      </c>
      <c r="I16514">
        <v>4560</v>
      </c>
      <c r="J16514" t="s">
        <v>390</v>
      </c>
      <c r="K16514">
        <v>456.85</v>
      </c>
      <c r="L16514">
        <v>10.81</v>
      </c>
      <c r="M16514">
        <v>59801</v>
      </c>
      <c r="N16514" t="s">
        <v>2830</v>
      </c>
      <c r="O16514">
        <v>250509</v>
      </c>
      <c r="P16514">
        <v>42.4</v>
      </c>
    </row>
    <row r="16515" spans="1:16" x14ac:dyDescent="0.25">
      <c r="A16515" t="s">
        <v>3296</v>
      </c>
      <c r="B16515" t="s">
        <v>2931</v>
      </c>
      <c r="C16515">
        <v>6139</v>
      </c>
      <c r="D16515" t="str">
        <f>"20834366    "</f>
        <v xml:space="preserve">20834366    </v>
      </c>
      <c r="E16515" t="s">
        <v>2828</v>
      </c>
      <c r="F16515" t="s">
        <v>2829</v>
      </c>
      <c r="G16515">
        <v>91.52</v>
      </c>
      <c r="H16515">
        <v>250430</v>
      </c>
      <c r="I16515">
        <v>4560</v>
      </c>
      <c r="J16515" t="s">
        <v>390</v>
      </c>
      <c r="K16515">
        <v>159.78</v>
      </c>
      <c r="L16515">
        <v>18.600000000000001</v>
      </c>
      <c r="M16515">
        <v>69501</v>
      </c>
      <c r="N16515" t="s">
        <v>123</v>
      </c>
      <c r="O16515">
        <v>250509</v>
      </c>
      <c r="P16515">
        <v>72.92</v>
      </c>
    </row>
    <row r="16516" spans="1:16" x14ac:dyDescent="0.25">
      <c r="A16516" t="s">
        <v>3296</v>
      </c>
      <c r="B16516" t="s">
        <v>2931</v>
      </c>
      <c r="C16516">
        <v>6140</v>
      </c>
      <c r="D16516" t="str">
        <f>"20834371    "</f>
        <v xml:space="preserve">20834371    </v>
      </c>
      <c r="E16516" t="s">
        <v>2828</v>
      </c>
      <c r="F16516" t="s">
        <v>2829</v>
      </c>
      <c r="G16516">
        <v>132.99</v>
      </c>
      <c r="H16516">
        <v>250430</v>
      </c>
      <c r="I16516">
        <v>4560</v>
      </c>
      <c r="J16516" t="s">
        <v>390</v>
      </c>
      <c r="K16516">
        <v>132.99</v>
      </c>
      <c r="L16516">
        <v>27.02</v>
      </c>
      <c r="M16516">
        <v>56564</v>
      </c>
      <c r="N16516" t="s">
        <v>56</v>
      </c>
      <c r="O16516">
        <v>250509</v>
      </c>
      <c r="P16516">
        <v>105.97</v>
      </c>
    </row>
    <row r="16517" spans="1:16" x14ac:dyDescent="0.25">
      <c r="A16517" t="s">
        <v>3296</v>
      </c>
      <c r="B16517" t="s">
        <v>2931</v>
      </c>
      <c r="C16517">
        <v>6144</v>
      </c>
      <c r="D16517" t="str">
        <f>"20834372    "</f>
        <v xml:space="preserve">20834372    </v>
      </c>
      <c r="E16517" t="s">
        <v>2828</v>
      </c>
      <c r="F16517" t="s">
        <v>2829</v>
      </c>
      <c r="G16517">
        <v>199.28</v>
      </c>
      <c r="H16517">
        <v>250430</v>
      </c>
      <c r="I16517">
        <v>4560</v>
      </c>
      <c r="J16517" t="s">
        <v>390</v>
      </c>
      <c r="K16517">
        <v>199.28</v>
      </c>
      <c r="L16517">
        <v>40.49</v>
      </c>
      <c r="M16517">
        <v>59501</v>
      </c>
      <c r="N16517" t="s">
        <v>62</v>
      </c>
      <c r="O16517">
        <v>250509</v>
      </c>
      <c r="P16517">
        <v>158.79</v>
      </c>
    </row>
    <row r="16518" spans="1:16" x14ac:dyDescent="0.25">
      <c r="A16518" t="s">
        <v>3296</v>
      </c>
      <c r="B16518" t="s">
        <v>2931</v>
      </c>
      <c r="C16518">
        <v>6148</v>
      </c>
      <c r="D16518" t="str">
        <f>"20834375    "</f>
        <v xml:space="preserve">20834375    </v>
      </c>
      <c r="E16518" t="s">
        <v>2828</v>
      </c>
      <c r="F16518" t="s">
        <v>2829</v>
      </c>
      <c r="G16518">
        <v>88.4</v>
      </c>
      <c r="H16518">
        <v>250430</v>
      </c>
      <c r="I16518">
        <v>4560</v>
      </c>
      <c r="J16518" t="s">
        <v>390</v>
      </c>
      <c r="K16518">
        <v>88.4</v>
      </c>
      <c r="L16518">
        <v>17.96</v>
      </c>
      <c r="M16518">
        <v>17809</v>
      </c>
      <c r="N16518" t="s">
        <v>25</v>
      </c>
      <c r="O16518">
        <v>250509</v>
      </c>
      <c r="P16518">
        <v>70.44</v>
      </c>
    </row>
    <row r="16519" spans="1:16" x14ac:dyDescent="0.25">
      <c r="A16519" t="s">
        <v>3296</v>
      </c>
      <c r="B16519" t="s">
        <v>2931</v>
      </c>
      <c r="C16519">
        <v>6746</v>
      </c>
      <c r="D16519" t="str">
        <f>"20834370    "</f>
        <v xml:space="preserve">20834370    </v>
      </c>
      <c r="E16519" t="s">
        <v>2828</v>
      </c>
      <c r="F16519" t="s">
        <v>2829</v>
      </c>
      <c r="G16519">
        <v>92.23</v>
      </c>
      <c r="H16519">
        <v>250430</v>
      </c>
      <c r="I16519">
        <v>4560</v>
      </c>
      <c r="J16519" t="s">
        <v>390</v>
      </c>
      <c r="K16519">
        <v>584.29999999999995</v>
      </c>
      <c r="L16519">
        <v>18.739999999999998</v>
      </c>
      <c r="M16519">
        <v>13561</v>
      </c>
      <c r="N16519" t="s">
        <v>241</v>
      </c>
      <c r="O16519">
        <v>250516</v>
      </c>
      <c r="P16519">
        <v>73.489999999999995</v>
      </c>
    </row>
    <row r="16520" spans="1:16" x14ac:dyDescent="0.25">
      <c r="A16520" t="s">
        <v>3296</v>
      </c>
      <c r="B16520" t="s">
        <v>2931</v>
      </c>
      <c r="C16520">
        <v>6746</v>
      </c>
      <c r="D16520" t="str">
        <f>"20834370    "</f>
        <v xml:space="preserve">20834370    </v>
      </c>
      <c r="E16520" t="s">
        <v>2828</v>
      </c>
      <c r="F16520" t="s">
        <v>2829</v>
      </c>
      <c r="G16520">
        <v>159.41999999999999</v>
      </c>
      <c r="H16520">
        <v>250430</v>
      </c>
      <c r="I16520">
        <v>4560</v>
      </c>
      <c r="J16520" t="s">
        <v>390</v>
      </c>
      <c r="K16520">
        <v>584.29999999999995</v>
      </c>
      <c r="L16520">
        <v>32.39</v>
      </c>
      <c r="M16520">
        <v>17521</v>
      </c>
      <c r="N16520" t="s">
        <v>136</v>
      </c>
      <c r="O16520">
        <v>250516</v>
      </c>
      <c r="P16520">
        <v>127.03</v>
      </c>
    </row>
    <row r="16521" spans="1:16" x14ac:dyDescent="0.25">
      <c r="A16521" t="s">
        <v>3296</v>
      </c>
      <c r="B16521" t="s">
        <v>2931</v>
      </c>
      <c r="C16521">
        <v>6746</v>
      </c>
      <c r="D16521" t="str">
        <f>"20834370    "</f>
        <v xml:space="preserve">20834370    </v>
      </c>
      <c r="E16521" t="s">
        <v>2828</v>
      </c>
      <c r="F16521" t="s">
        <v>2829</v>
      </c>
      <c r="G16521">
        <v>45.36</v>
      </c>
      <c r="H16521">
        <v>250430</v>
      </c>
      <c r="I16521">
        <v>4560</v>
      </c>
      <c r="J16521" t="s">
        <v>390</v>
      </c>
      <c r="K16521">
        <v>584.29999999999995</v>
      </c>
      <c r="L16521">
        <v>9.2200000000000006</v>
      </c>
      <c r="M16521">
        <v>17523</v>
      </c>
      <c r="N16521" t="s">
        <v>138</v>
      </c>
      <c r="O16521">
        <v>250516</v>
      </c>
      <c r="P16521">
        <v>36.14</v>
      </c>
    </row>
    <row r="16522" spans="1:16" x14ac:dyDescent="0.25">
      <c r="A16522" t="s">
        <v>3296</v>
      </c>
      <c r="B16522" t="s">
        <v>2931</v>
      </c>
      <c r="C16522">
        <v>6746</v>
      </c>
      <c r="D16522" t="str">
        <f>"20834370    "</f>
        <v xml:space="preserve">20834370    </v>
      </c>
      <c r="E16522" t="s">
        <v>2828</v>
      </c>
      <c r="F16522" t="s">
        <v>2829</v>
      </c>
      <c r="G16522">
        <v>185.36</v>
      </c>
      <c r="H16522">
        <v>250430</v>
      </c>
      <c r="I16522">
        <v>4560</v>
      </c>
      <c r="J16522" t="s">
        <v>390</v>
      </c>
      <c r="K16522">
        <v>584.29999999999995</v>
      </c>
      <c r="L16522">
        <v>37.659999999999997</v>
      </c>
      <c r="M16522">
        <v>17538</v>
      </c>
      <c r="N16522" t="s">
        <v>129</v>
      </c>
      <c r="O16522">
        <v>250516</v>
      </c>
      <c r="P16522">
        <v>147.69999999999999</v>
      </c>
    </row>
    <row r="16523" spans="1:16" x14ac:dyDescent="0.25">
      <c r="A16523" t="s">
        <v>3296</v>
      </c>
      <c r="B16523" t="s">
        <v>2931</v>
      </c>
      <c r="C16523">
        <v>8071</v>
      </c>
      <c r="D16523" t="str">
        <f>"20880433    "</f>
        <v xml:space="preserve">20880433    </v>
      </c>
      <c r="E16523" t="s">
        <v>2828</v>
      </c>
      <c r="F16523" t="s">
        <v>2829</v>
      </c>
      <c r="G16523">
        <v>92.74</v>
      </c>
      <c r="H16523">
        <v>250531</v>
      </c>
      <c r="I16523">
        <v>4560</v>
      </c>
      <c r="J16523" t="s">
        <v>390</v>
      </c>
      <c r="K16523">
        <v>180.88</v>
      </c>
      <c r="L16523">
        <v>18.84</v>
      </c>
      <c r="M16523">
        <v>17802</v>
      </c>
      <c r="N16523" t="s">
        <v>18</v>
      </c>
      <c r="O16523">
        <v>250611</v>
      </c>
      <c r="P16523">
        <v>73.900000000000006</v>
      </c>
    </row>
    <row r="16524" spans="1:16" x14ac:dyDescent="0.25">
      <c r="A16524" t="s">
        <v>3296</v>
      </c>
      <c r="B16524" t="s">
        <v>2931</v>
      </c>
      <c r="C16524">
        <v>8071</v>
      </c>
      <c r="D16524" t="str">
        <f>"20880433    "</f>
        <v xml:space="preserve">20880433    </v>
      </c>
      <c r="E16524" t="s">
        <v>2828</v>
      </c>
      <c r="F16524" t="s">
        <v>2829</v>
      </c>
      <c r="G16524">
        <v>88.14</v>
      </c>
      <c r="H16524">
        <v>250531</v>
      </c>
      <c r="I16524">
        <v>4560</v>
      </c>
      <c r="J16524" t="s">
        <v>390</v>
      </c>
      <c r="K16524">
        <v>180.88</v>
      </c>
      <c r="L16524">
        <v>17.91</v>
      </c>
      <c r="M16524">
        <v>17809</v>
      </c>
      <c r="N16524" t="s">
        <v>25</v>
      </c>
      <c r="O16524">
        <v>250611</v>
      </c>
      <c r="P16524">
        <v>70.23</v>
      </c>
    </row>
    <row r="16525" spans="1:16" x14ac:dyDescent="0.25">
      <c r="A16525" t="s">
        <v>3296</v>
      </c>
      <c r="B16525" t="s">
        <v>2931</v>
      </c>
      <c r="C16525">
        <v>8080</v>
      </c>
      <c r="D16525" t="str">
        <f>"20880428    "</f>
        <v xml:space="preserve">20880428    </v>
      </c>
      <c r="E16525" t="s">
        <v>2828</v>
      </c>
      <c r="F16525" t="s">
        <v>2829</v>
      </c>
      <c r="G16525">
        <v>256.89999999999998</v>
      </c>
      <c r="H16525">
        <v>250531</v>
      </c>
      <c r="I16525">
        <v>4560</v>
      </c>
      <c r="J16525" t="s">
        <v>390</v>
      </c>
      <c r="K16525">
        <v>256.89999999999998</v>
      </c>
      <c r="L16525">
        <v>52.2</v>
      </c>
      <c r="M16525">
        <v>56564</v>
      </c>
      <c r="N16525" t="s">
        <v>56</v>
      </c>
      <c r="O16525">
        <v>250611</v>
      </c>
      <c r="P16525">
        <v>204.7</v>
      </c>
    </row>
    <row r="16526" spans="1:16" x14ac:dyDescent="0.25">
      <c r="A16526" t="s">
        <v>3296</v>
      </c>
      <c r="B16526" t="s">
        <v>2931</v>
      </c>
      <c r="C16526">
        <v>8102</v>
      </c>
      <c r="D16526" t="str">
        <f>"20880425    "</f>
        <v xml:space="preserve">20880425    </v>
      </c>
      <c r="E16526" t="s">
        <v>2828</v>
      </c>
      <c r="F16526" t="s">
        <v>2829</v>
      </c>
      <c r="G16526">
        <v>440.11</v>
      </c>
      <c r="H16526">
        <v>250531</v>
      </c>
      <c r="I16526">
        <v>4560</v>
      </c>
      <c r="J16526" t="s">
        <v>390</v>
      </c>
      <c r="K16526">
        <v>481.26</v>
      </c>
      <c r="L16526">
        <v>89.42</v>
      </c>
      <c r="M16526">
        <v>59702</v>
      </c>
      <c r="N16526" t="s">
        <v>45</v>
      </c>
      <c r="O16526">
        <v>250611</v>
      </c>
      <c r="P16526">
        <v>350.69</v>
      </c>
    </row>
    <row r="16527" spans="1:16" x14ac:dyDescent="0.25">
      <c r="A16527" t="s">
        <v>3296</v>
      </c>
      <c r="B16527" t="s">
        <v>2931</v>
      </c>
      <c r="C16527">
        <v>8102</v>
      </c>
      <c r="D16527" t="str">
        <f>"20880425    "</f>
        <v xml:space="preserve">20880425    </v>
      </c>
      <c r="E16527" t="s">
        <v>2828</v>
      </c>
      <c r="F16527" t="s">
        <v>2829</v>
      </c>
      <c r="G16527">
        <v>41.15</v>
      </c>
      <c r="H16527">
        <v>250531</v>
      </c>
      <c r="I16527">
        <v>4560</v>
      </c>
      <c r="J16527" t="s">
        <v>390</v>
      </c>
      <c r="K16527">
        <v>481.26</v>
      </c>
      <c r="L16527">
        <v>8.36</v>
      </c>
      <c r="M16527">
        <v>59801</v>
      </c>
      <c r="N16527" t="s">
        <v>2830</v>
      </c>
      <c r="O16527">
        <v>250611</v>
      </c>
      <c r="P16527">
        <v>32.79</v>
      </c>
    </row>
    <row r="16528" spans="1:16" x14ac:dyDescent="0.25">
      <c r="A16528" t="s">
        <v>3296</v>
      </c>
      <c r="B16528" t="s">
        <v>2931</v>
      </c>
      <c r="C16528">
        <v>8109</v>
      </c>
      <c r="D16528" t="str">
        <f t="shared" ref="D16528:D16533" si="273">"20880427    "</f>
        <v xml:space="preserve">20880427    </v>
      </c>
      <c r="E16528" t="s">
        <v>2828</v>
      </c>
      <c r="F16528" t="s">
        <v>2829</v>
      </c>
      <c r="G16528">
        <v>107.21</v>
      </c>
      <c r="H16528">
        <v>250531</v>
      </c>
      <c r="I16528">
        <v>4560</v>
      </c>
      <c r="J16528" t="s">
        <v>390</v>
      </c>
      <c r="K16528">
        <v>591.65</v>
      </c>
      <c r="L16528">
        <v>21.78</v>
      </c>
      <c r="M16528">
        <v>66756</v>
      </c>
      <c r="N16528" t="s">
        <v>120</v>
      </c>
      <c r="O16528">
        <v>250611</v>
      </c>
      <c r="P16528">
        <v>85.43</v>
      </c>
    </row>
    <row r="16529" spans="1:16" x14ac:dyDescent="0.25">
      <c r="A16529" t="s">
        <v>3296</v>
      </c>
      <c r="B16529" t="s">
        <v>2931</v>
      </c>
      <c r="C16529">
        <v>8109</v>
      </c>
      <c r="D16529" t="str">
        <f t="shared" si="273"/>
        <v xml:space="preserve">20880427    </v>
      </c>
      <c r="E16529" t="s">
        <v>2828</v>
      </c>
      <c r="F16529" t="s">
        <v>2829</v>
      </c>
      <c r="G16529">
        <v>77.36</v>
      </c>
      <c r="H16529">
        <v>250531</v>
      </c>
      <c r="I16529">
        <v>4560</v>
      </c>
      <c r="J16529" t="s">
        <v>390</v>
      </c>
      <c r="K16529">
        <v>591.65</v>
      </c>
      <c r="L16529">
        <v>15.72</v>
      </c>
      <c r="M16529">
        <v>68601</v>
      </c>
      <c r="N16529" t="s">
        <v>1031</v>
      </c>
      <c r="O16529">
        <v>250611</v>
      </c>
      <c r="P16529">
        <v>61.64</v>
      </c>
    </row>
    <row r="16530" spans="1:16" x14ac:dyDescent="0.25">
      <c r="A16530" t="s">
        <v>3296</v>
      </c>
      <c r="B16530" t="s">
        <v>2931</v>
      </c>
      <c r="C16530">
        <v>8109</v>
      </c>
      <c r="D16530" t="str">
        <f t="shared" si="273"/>
        <v xml:space="preserve">20880427    </v>
      </c>
      <c r="E16530" t="s">
        <v>2828</v>
      </c>
      <c r="F16530" t="s">
        <v>2829</v>
      </c>
      <c r="G16530">
        <v>55.33</v>
      </c>
      <c r="H16530">
        <v>250531</v>
      </c>
      <c r="I16530">
        <v>4560</v>
      </c>
      <c r="J16530" t="s">
        <v>390</v>
      </c>
      <c r="K16530">
        <v>591.65</v>
      </c>
      <c r="L16530">
        <v>11.24</v>
      </c>
      <c r="M16530">
        <v>68601</v>
      </c>
      <c r="N16530" t="s">
        <v>1031</v>
      </c>
      <c r="O16530">
        <v>250611</v>
      </c>
      <c r="P16530">
        <v>44.09</v>
      </c>
    </row>
    <row r="16531" spans="1:16" x14ac:dyDescent="0.25">
      <c r="A16531" t="s">
        <v>3296</v>
      </c>
      <c r="B16531" t="s">
        <v>2931</v>
      </c>
      <c r="C16531">
        <v>8109</v>
      </c>
      <c r="D16531" t="str">
        <f t="shared" si="273"/>
        <v xml:space="preserve">20880427    </v>
      </c>
      <c r="E16531" t="s">
        <v>2828</v>
      </c>
      <c r="F16531" t="s">
        <v>2829</v>
      </c>
      <c r="G16531">
        <v>70.17</v>
      </c>
      <c r="H16531">
        <v>250531</v>
      </c>
      <c r="I16531">
        <v>4560</v>
      </c>
      <c r="J16531" t="s">
        <v>390</v>
      </c>
      <c r="K16531">
        <v>591.65</v>
      </c>
      <c r="L16531">
        <v>14.26</v>
      </c>
      <c r="M16531">
        <v>69501</v>
      </c>
      <c r="N16531" t="s">
        <v>123</v>
      </c>
      <c r="O16531">
        <v>250611</v>
      </c>
      <c r="P16531">
        <v>55.91</v>
      </c>
    </row>
    <row r="16532" spans="1:16" x14ac:dyDescent="0.25">
      <c r="A16532" t="s">
        <v>3296</v>
      </c>
      <c r="B16532" t="s">
        <v>2931</v>
      </c>
      <c r="C16532">
        <v>8109</v>
      </c>
      <c r="D16532" t="str">
        <f t="shared" si="273"/>
        <v xml:space="preserve">20880427    </v>
      </c>
      <c r="E16532" t="s">
        <v>2828</v>
      </c>
      <c r="F16532" t="s">
        <v>2829</v>
      </c>
      <c r="G16532">
        <v>129.1</v>
      </c>
      <c r="H16532">
        <v>250531</v>
      </c>
      <c r="I16532">
        <v>4560</v>
      </c>
      <c r="J16532" t="s">
        <v>390</v>
      </c>
      <c r="K16532">
        <v>591.65</v>
      </c>
      <c r="L16532">
        <v>26.23</v>
      </c>
      <c r="M16532">
        <v>69702</v>
      </c>
      <c r="N16532" t="s">
        <v>124</v>
      </c>
      <c r="O16532">
        <v>250611</v>
      </c>
      <c r="P16532">
        <v>102.87</v>
      </c>
    </row>
    <row r="16533" spans="1:16" x14ac:dyDescent="0.25">
      <c r="A16533" t="s">
        <v>3296</v>
      </c>
      <c r="B16533" t="s">
        <v>2931</v>
      </c>
      <c r="C16533">
        <v>8109</v>
      </c>
      <c r="D16533" t="str">
        <f t="shared" si="273"/>
        <v xml:space="preserve">20880427    </v>
      </c>
      <c r="E16533" t="s">
        <v>2828</v>
      </c>
      <c r="F16533" t="s">
        <v>2829</v>
      </c>
      <c r="G16533">
        <v>60.62</v>
      </c>
      <c r="H16533">
        <v>250531</v>
      </c>
      <c r="I16533">
        <v>4560</v>
      </c>
      <c r="J16533" t="s">
        <v>390</v>
      </c>
      <c r="K16533">
        <v>591.65</v>
      </c>
      <c r="L16533">
        <v>12.32</v>
      </c>
      <c r="M16533">
        <v>69704</v>
      </c>
      <c r="N16533" t="s">
        <v>89</v>
      </c>
      <c r="O16533">
        <v>250611</v>
      </c>
      <c r="P16533">
        <v>48.3</v>
      </c>
    </row>
    <row r="16534" spans="1:16" x14ac:dyDescent="0.25">
      <c r="A16534" t="s">
        <v>3296</v>
      </c>
      <c r="B16534" t="s">
        <v>2931</v>
      </c>
      <c r="C16534">
        <v>8124</v>
      </c>
      <c r="D16534" t="str">
        <f>"20880430    "</f>
        <v xml:space="preserve">20880430    </v>
      </c>
      <c r="E16534" t="s">
        <v>2828</v>
      </c>
      <c r="F16534" t="s">
        <v>2829</v>
      </c>
      <c r="G16534">
        <v>127.84</v>
      </c>
      <c r="H16534">
        <v>250531</v>
      </c>
      <c r="I16534">
        <v>4560</v>
      </c>
      <c r="J16534" t="s">
        <v>390</v>
      </c>
      <c r="K16534">
        <v>127.84</v>
      </c>
      <c r="L16534">
        <v>25.98</v>
      </c>
      <c r="M16534">
        <v>59702</v>
      </c>
      <c r="N16534" t="s">
        <v>45</v>
      </c>
      <c r="O16534">
        <v>250611</v>
      </c>
      <c r="P16534">
        <v>101.86</v>
      </c>
    </row>
    <row r="16535" spans="1:16" x14ac:dyDescent="0.25">
      <c r="A16535" t="s">
        <v>3296</v>
      </c>
      <c r="B16535" t="s">
        <v>2931</v>
      </c>
      <c r="C16535">
        <v>8137</v>
      </c>
      <c r="D16535" t="str">
        <f>"20880429    "</f>
        <v xml:space="preserve">20880429    </v>
      </c>
      <c r="E16535" t="s">
        <v>2828</v>
      </c>
      <c r="F16535" t="s">
        <v>2829</v>
      </c>
      <c r="G16535">
        <v>287.39</v>
      </c>
      <c r="H16535">
        <v>250531</v>
      </c>
      <c r="I16535">
        <v>4560</v>
      </c>
      <c r="J16535" t="s">
        <v>390</v>
      </c>
      <c r="K16535">
        <v>287.39</v>
      </c>
      <c r="L16535">
        <v>58.39</v>
      </c>
      <c r="M16535">
        <v>59501</v>
      </c>
      <c r="N16535" t="s">
        <v>62</v>
      </c>
      <c r="O16535">
        <v>250611</v>
      </c>
      <c r="P16535">
        <v>229</v>
      </c>
    </row>
    <row r="16536" spans="1:16" x14ac:dyDescent="0.25">
      <c r="A16536" t="s">
        <v>3296</v>
      </c>
      <c r="B16536" t="s">
        <v>2931</v>
      </c>
      <c r="C16536">
        <v>8152</v>
      </c>
      <c r="D16536" t="str">
        <f>"20880438    "</f>
        <v xml:space="preserve">20880438    </v>
      </c>
      <c r="E16536" t="s">
        <v>2828</v>
      </c>
      <c r="F16536" t="s">
        <v>2829</v>
      </c>
      <c r="G16536">
        <v>24.9</v>
      </c>
      <c r="H16536">
        <v>250531</v>
      </c>
      <c r="I16536">
        <v>4560</v>
      </c>
      <c r="J16536" t="s">
        <v>390</v>
      </c>
      <c r="K16536">
        <v>191.77</v>
      </c>
      <c r="L16536">
        <v>5.0599999999999996</v>
      </c>
      <c r="M16536">
        <v>17131</v>
      </c>
      <c r="N16536" t="s">
        <v>154</v>
      </c>
      <c r="O16536">
        <v>250611</v>
      </c>
      <c r="P16536">
        <v>19.84</v>
      </c>
    </row>
    <row r="16537" spans="1:16" x14ac:dyDescent="0.25">
      <c r="A16537" t="s">
        <v>3296</v>
      </c>
      <c r="B16537" t="s">
        <v>2931</v>
      </c>
      <c r="C16537">
        <v>8152</v>
      </c>
      <c r="D16537" t="str">
        <f>"20880438    "</f>
        <v xml:space="preserve">20880438    </v>
      </c>
      <c r="E16537" t="s">
        <v>2828</v>
      </c>
      <c r="F16537" t="s">
        <v>2829</v>
      </c>
      <c r="G16537">
        <v>24.9</v>
      </c>
      <c r="H16537">
        <v>250531</v>
      </c>
      <c r="I16537">
        <v>4560</v>
      </c>
      <c r="J16537" t="s">
        <v>390</v>
      </c>
      <c r="K16537">
        <v>191.77</v>
      </c>
      <c r="L16537">
        <v>5.0599999999999996</v>
      </c>
      <c r="M16537">
        <v>17711</v>
      </c>
      <c r="N16537" t="s">
        <v>155</v>
      </c>
      <c r="O16537">
        <v>250611</v>
      </c>
      <c r="P16537">
        <v>19.84</v>
      </c>
    </row>
    <row r="16538" spans="1:16" x14ac:dyDescent="0.25">
      <c r="A16538" t="s">
        <v>3296</v>
      </c>
      <c r="B16538" t="s">
        <v>2931</v>
      </c>
      <c r="C16538">
        <v>8168</v>
      </c>
      <c r="D16538" t="str">
        <f>"20880424    "</f>
        <v xml:space="preserve">20880424    </v>
      </c>
      <c r="E16538" t="s">
        <v>2828</v>
      </c>
      <c r="F16538" t="s">
        <v>2829</v>
      </c>
      <c r="G16538">
        <v>254.66</v>
      </c>
      <c r="H16538">
        <v>250531</v>
      </c>
      <c r="I16538">
        <v>4560</v>
      </c>
      <c r="J16538" t="s">
        <v>390</v>
      </c>
      <c r="K16538">
        <v>530.73</v>
      </c>
      <c r="L16538">
        <v>51.74</v>
      </c>
      <c r="M16538">
        <v>17521</v>
      </c>
      <c r="N16538" t="s">
        <v>136</v>
      </c>
      <c r="O16538">
        <v>250611</v>
      </c>
      <c r="P16538">
        <v>202.92</v>
      </c>
    </row>
    <row r="16539" spans="1:16" x14ac:dyDescent="0.25">
      <c r="A16539" t="s">
        <v>3296</v>
      </c>
      <c r="B16539" t="s">
        <v>2931</v>
      </c>
      <c r="C16539">
        <v>8168</v>
      </c>
      <c r="D16539" t="str">
        <f>"20880424    "</f>
        <v xml:space="preserve">20880424    </v>
      </c>
      <c r="E16539" t="s">
        <v>2828</v>
      </c>
      <c r="F16539" t="s">
        <v>2829</v>
      </c>
      <c r="G16539">
        <v>99.58</v>
      </c>
      <c r="H16539">
        <v>250531</v>
      </c>
      <c r="I16539">
        <v>4560</v>
      </c>
      <c r="J16539" t="s">
        <v>390</v>
      </c>
      <c r="K16539">
        <v>530.73</v>
      </c>
      <c r="L16539">
        <v>20.23</v>
      </c>
      <c r="M16539">
        <v>17523</v>
      </c>
      <c r="N16539" t="s">
        <v>138</v>
      </c>
      <c r="O16539">
        <v>250611</v>
      </c>
      <c r="P16539">
        <v>79.349999999999994</v>
      </c>
    </row>
    <row r="16540" spans="1:16" x14ac:dyDescent="0.25">
      <c r="A16540" t="s">
        <v>3296</v>
      </c>
      <c r="B16540" t="s">
        <v>2931</v>
      </c>
      <c r="C16540">
        <v>8168</v>
      </c>
      <c r="D16540" t="str">
        <f>"20880424    "</f>
        <v xml:space="preserve">20880424    </v>
      </c>
      <c r="E16540" t="s">
        <v>2828</v>
      </c>
      <c r="F16540" t="s">
        <v>2829</v>
      </c>
      <c r="G16540">
        <v>57.88</v>
      </c>
      <c r="H16540">
        <v>250531</v>
      </c>
      <c r="I16540">
        <v>4560</v>
      </c>
      <c r="J16540" t="s">
        <v>390</v>
      </c>
      <c r="K16540">
        <v>530.73</v>
      </c>
      <c r="L16540">
        <v>11.76</v>
      </c>
      <c r="M16540">
        <v>17524</v>
      </c>
      <c r="N16540" t="s">
        <v>139</v>
      </c>
      <c r="O16540">
        <v>250611</v>
      </c>
      <c r="P16540">
        <v>46.12</v>
      </c>
    </row>
    <row r="16541" spans="1:16" x14ac:dyDescent="0.25">
      <c r="A16541" t="s">
        <v>3296</v>
      </c>
      <c r="B16541" t="s">
        <v>2931</v>
      </c>
      <c r="C16541">
        <v>8168</v>
      </c>
      <c r="D16541" t="str">
        <f>"20880424    "</f>
        <v xml:space="preserve">20880424    </v>
      </c>
      <c r="E16541" t="s">
        <v>2828</v>
      </c>
      <c r="F16541" t="s">
        <v>2829</v>
      </c>
      <c r="G16541">
        <v>33.840000000000003</v>
      </c>
      <c r="H16541">
        <v>250531</v>
      </c>
      <c r="I16541">
        <v>4560</v>
      </c>
      <c r="J16541" t="s">
        <v>390</v>
      </c>
      <c r="K16541">
        <v>530.73</v>
      </c>
      <c r="L16541">
        <v>6.88</v>
      </c>
      <c r="M16541">
        <v>17972</v>
      </c>
      <c r="N16541" t="s">
        <v>28</v>
      </c>
      <c r="O16541">
        <v>250611</v>
      </c>
      <c r="P16541">
        <v>26.96</v>
      </c>
    </row>
    <row r="16542" spans="1:16" x14ac:dyDescent="0.25">
      <c r="A16542" t="s">
        <v>3296</v>
      </c>
      <c r="B16542" t="s">
        <v>2931</v>
      </c>
      <c r="C16542">
        <v>9361</v>
      </c>
      <c r="D16542" t="str">
        <f>"20926996    "</f>
        <v xml:space="preserve">20926996    </v>
      </c>
      <c r="E16542" t="s">
        <v>2828</v>
      </c>
      <c r="F16542" t="s">
        <v>2829</v>
      </c>
      <c r="G16542">
        <v>58.82</v>
      </c>
      <c r="H16542">
        <v>250630</v>
      </c>
      <c r="I16542">
        <v>4560</v>
      </c>
      <c r="J16542" t="s">
        <v>390</v>
      </c>
      <c r="K16542">
        <v>119.58</v>
      </c>
      <c r="L16542">
        <v>11.95</v>
      </c>
      <c r="M16542">
        <v>17912</v>
      </c>
      <c r="N16542" t="s">
        <v>505</v>
      </c>
      <c r="O16542">
        <v>250704</v>
      </c>
      <c r="P16542">
        <v>46.87</v>
      </c>
    </row>
    <row r="16543" spans="1:16" x14ac:dyDescent="0.25">
      <c r="A16543" t="s">
        <v>3296</v>
      </c>
      <c r="B16543" t="s">
        <v>2931</v>
      </c>
      <c r="C16543">
        <v>9433</v>
      </c>
      <c r="D16543" t="str">
        <f>"20926989    "</f>
        <v xml:space="preserve">20926989    </v>
      </c>
      <c r="E16543" t="s">
        <v>2828</v>
      </c>
      <c r="F16543" t="s">
        <v>2829</v>
      </c>
      <c r="G16543">
        <v>226.56</v>
      </c>
      <c r="H16543">
        <v>250630</v>
      </c>
      <c r="I16543">
        <v>4560</v>
      </c>
      <c r="J16543" t="s">
        <v>390</v>
      </c>
      <c r="K16543">
        <v>226.56</v>
      </c>
      <c r="L16543">
        <v>46.03</v>
      </c>
      <c r="M16543">
        <v>59702</v>
      </c>
      <c r="N16543" t="s">
        <v>45</v>
      </c>
      <c r="O16543">
        <v>250707</v>
      </c>
      <c r="P16543">
        <v>180.53</v>
      </c>
    </row>
    <row r="16544" spans="1:16" x14ac:dyDescent="0.25">
      <c r="A16544" t="s">
        <v>3296</v>
      </c>
      <c r="B16544" t="s">
        <v>2931</v>
      </c>
      <c r="C16544">
        <v>9434</v>
      </c>
      <c r="D16544" t="str">
        <f>"20926992    "</f>
        <v xml:space="preserve">20926992    </v>
      </c>
      <c r="E16544" t="s">
        <v>2828</v>
      </c>
      <c r="F16544" t="s">
        <v>2829</v>
      </c>
      <c r="G16544">
        <v>242.62</v>
      </c>
      <c r="H16544">
        <v>250630</v>
      </c>
      <c r="I16544">
        <v>4560</v>
      </c>
      <c r="J16544" t="s">
        <v>390</v>
      </c>
      <c r="K16544">
        <v>242.62</v>
      </c>
      <c r="L16544">
        <v>49.3</v>
      </c>
      <c r="M16544">
        <v>59501</v>
      </c>
      <c r="N16544" t="s">
        <v>62</v>
      </c>
      <c r="O16544">
        <v>250707</v>
      </c>
      <c r="P16544">
        <v>193.32</v>
      </c>
    </row>
    <row r="16545" spans="1:16" x14ac:dyDescent="0.25">
      <c r="A16545" t="s">
        <v>3296</v>
      </c>
      <c r="B16545" t="s">
        <v>2931</v>
      </c>
      <c r="C16545">
        <v>9437</v>
      </c>
      <c r="D16545" t="str">
        <f>"20926990    "</f>
        <v xml:space="preserve">20926990    </v>
      </c>
      <c r="E16545" t="s">
        <v>2828</v>
      </c>
      <c r="F16545" t="s">
        <v>2829</v>
      </c>
      <c r="G16545">
        <v>107.87</v>
      </c>
      <c r="H16545">
        <v>250630</v>
      </c>
      <c r="I16545">
        <v>4560</v>
      </c>
      <c r="J16545" t="s">
        <v>390</v>
      </c>
      <c r="K16545">
        <v>326.36</v>
      </c>
      <c r="L16545">
        <v>21.92</v>
      </c>
      <c r="M16545">
        <v>69501</v>
      </c>
      <c r="N16545" t="s">
        <v>123</v>
      </c>
      <c r="O16545">
        <v>250707</v>
      </c>
      <c r="P16545">
        <v>85.95</v>
      </c>
    </row>
    <row r="16546" spans="1:16" x14ac:dyDescent="0.25">
      <c r="A16546" t="s">
        <v>3296</v>
      </c>
      <c r="B16546" t="s">
        <v>2931</v>
      </c>
      <c r="C16546">
        <v>9437</v>
      </c>
      <c r="D16546" t="str">
        <f>"20926990    "</f>
        <v xml:space="preserve">20926990    </v>
      </c>
      <c r="E16546" t="s">
        <v>2828</v>
      </c>
      <c r="F16546" t="s">
        <v>2829</v>
      </c>
      <c r="G16546">
        <v>121.59</v>
      </c>
      <c r="H16546">
        <v>250630</v>
      </c>
      <c r="I16546">
        <v>4560</v>
      </c>
      <c r="J16546" t="s">
        <v>390</v>
      </c>
      <c r="K16546">
        <v>326.36</v>
      </c>
      <c r="L16546">
        <v>24.71</v>
      </c>
      <c r="M16546">
        <v>69702</v>
      </c>
      <c r="N16546" t="s">
        <v>124</v>
      </c>
      <c r="O16546">
        <v>250707</v>
      </c>
      <c r="P16546">
        <v>96.88</v>
      </c>
    </row>
    <row r="16547" spans="1:16" x14ac:dyDescent="0.25">
      <c r="A16547" t="s">
        <v>3296</v>
      </c>
      <c r="B16547" t="s">
        <v>2931</v>
      </c>
      <c r="C16547">
        <v>9441</v>
      </c>
      <c r="D16547" t="str">
        <f>"20926993    "</f>
        <v xml:space="preserve">20926993    </v>
      </c>
      <c r="E16547" t="s">
        <v>2828</v>
      </c>
      <c r="F16547" t="s">
        <v>2829</v>
      </c>
      <c r="G16547">
        <v>132.94</v>
      </c>
      <c r="H16547">
        <v>250630</v>
      </c>
      <c r="I16547">
        <v>4560</v>
      </c>
      <c r="J16547" t="s">
        <v>390</v>
      </c>
      <c r="K16547">
        <v>132.94</v>
      </c>
      <c r="L16547">
        <v>27.01</v>
      </c>
      <c r="M16547">
        <v>59702</v>
      </c>
      <c r="N16547" t="s">
        <v>45</v>
      </c>
      <c r="O16547">
        <v>250707</v>
      </c>
      <c r="P16547">
        <v>105.93</v>
      </c>
    </row>
    <row r="16548" spans="1:16" x14ac:dyDescent="0.25">
      <c r="A16548" t="s">
        <v>3296</v>
      </c>
      <c r="B16548" t="s">
        <v>2931</v>
      </c>
      <c r="C16548">
        <v>9594</v>
      </c>
      <c r="D16548" t="str">
        <f>"20926995    "</f>
        <v xml:space="preserve">20926995    </v>
      </c>
      <c r="E16548" t="s">
        <v>2828</v>
      </c>
      <c r="F16548" t="s">
        <v>2829</v>
      </c>
      <c r="G16548">
        <v>14.23</v>
      </c>
      <c r="H16548">
        <v>250630</v>
      </c>
      <c r="I16548">
        <v>4560</v>
      </c>
      <c r="J16548" t="s">
        <v>390</v>
      </c>
      <c r="K16548">
        <v>14.23</v>
      </c>
      <c r="L16548">
        <v>2.89</v>
      </c>
      <c r="M16548">
        <v>17808</v>
      </c>
      <c r="N16548" t="s">
        <v>24</v>
      </c>
      <c r="O16548">
        <v>250721</v>
      </c>
      <c r="P16548">
        <v>11.34</v>
      </c>
    </row>
    <row r="16549" spans="1:16" x14ac:dyDescent="0.25">
      <c r="A16549" t="s">
        <v>3296</v>
      </c>
      <c r="B16549" t="s">
        <v>2931</v>
      </c>
      <c r="C16549">
        <v>9595</v>
      </c>
      <c r="D16549" t="str">
        <f>"20926994    "</f>
        <v xml:space="preserve">20926994    </v>
      </c>
      <c r="E16549" t="s">
        <v>2828</v>
      </c>
      <c r="F16549" t="s">
        <v>2829</v>
      </c>
      <c r="G16549">
        <v>65.36</v>
      </c>
      <c r="H16549">
        <v>250630</v>
      </c>
      <c r="I16549">
        <v>4560</v>
      </c>
      <c r="J16549" t="s">
        <v>390</v>
      </c>
      <c r="K16549">
        <v>346.11</v>
      </c>
      <c r="L16549">
        <v>13.28</v>
      </c>
      <c r="M16549">
        <v>59702</v>
      </c>
      <c r="N16549" t="s">
        <v>45</v>
      </c>
      <c r="O16549">
        <v>250721</v>
      </c>
      <c r="P16549">
        <v>52.08</v>
      </c>
    </row>
    <row r="16550" spans="1:16" x14ac:dyDescent="0.25">
      <c r="A16550" t="s">
        <v>3296</v>
      </c>
      <c r="B16550" t="s">
        <v>2931</v>
      </c>
      <c r="C16550">
        <v>9703</v>
      </c>
      <c r="D16550" t="str">
        <f>"20926991    "</f>
        <v xml:space="preserve">20926991    </v>
      </c>
      <c r="E16550" t="s">
        <v>2828</v>
      </c>
      <c r="F16550" t="s">
        <v>2829</v>
      </c>
      <c r="G16550">
        <v>280.20999999999998</v>
      </c>
      <c r="H16550">
        <v>250630</v>
      </c>
      <c r="I16550">
        <v>4560</v>
      </c>
      <c r="J16550" t="s">
        <v>390</v>
      </c>
      <c r="K16550">
        <v>280.20999999999998</v>
      </c>
      <c r="L16550">
        <v>56.94</v>
      </c>
      <c r="M16550">
        <v>17538</v>
      </c>
      <c r="N16550" t="s">
        <v>129</v>
      </c>
      <c r="O16550">
        <v>250724</v>
      </c>
      <c r="P16550">
        <v>223.27</v>
      </c>
    </row>
    <row r="16551" spans="1:16" x14ac:dyDescent="0.25">
      <c r="A16551" t="s">
        <v>3296</v>
      </c>
      <c r="B16551" t="s">
        <v>2931</v>
      </c>
      <c r="C16551">
        <v>10108</v>
      </c>
      <c r="D16551" t="str">
        <f>"20970039    "</f>
        <v xml:space="preserve">20970039    </v>
      </c>
      <c r="E16551" t="s">
        <v>2828</v>
      </c>
      <c r="F16551" t="s">
        <v>2829</v>
      </c>
      <c r="G16551">
        <v>89.85</v>
      </c>
      <c r="H16551">
        <v>250731</v>
      </c>
      <c r="I16551">
        <v>4560</v>
      </c>
      <c r="J16551" t="s">
        <v>390</v>
      </c>
      <c r="K16551">
        <v>148.27000000000001</v>
      </c>
      <c r="L16551">
        <v>18.260000000000002</v>
      </c>
      <c r="M16551">
        <v>69501</v>
      </c>
      <c r="N16551" t="s">
        <v>123</v>
      </c>
      <c r="O16551">
        <v>250811</v>
      </c>
      <c r="P16551">
        <v>71.59</v>
      </c>
    </row>
    <row r="16552" spans="1:16" x14ac:dyDescent="0.25">
      <c r="A16552" t="s">
        <v>3296</v>
      </c>
      <c r="B16552" t="s">
        <v>2931</v>
      </c>
      <c r="C16552">
        <v>10141</v>
      </c>
      <c r="D16552" t="str">
        <f>"20970041    "</f>
        <v xml:space="preserve">20970041    </v>
      </c>
      <c r="E16552" t="s">
        <v>2828</v>
      </c>
      <c r="F16552" t="s">
        <v>2829</v>
      </c>
      <c r="G16552">
        <v>285.14</v>
      </c>
      <c r="H16552">
        <v>250731</v>
      </c>
      <c r="I16552">
        <v>4560</v>
      </c>
      <c r="J16552" t="s">
        <v>390</v>
      </c>
      <c r="K16552">
        <v>285.14</v>
      </c>
      <c r="L16552">
        <v>57.94</v>
      </c>
      <c r="M16552">
        <v>59502</v>
      </c>
      <c r="N16552" t="s">
        <v>63</v>
      </c>
      <c r="O16552">
        <v>250812</v>
      </c>
      <c r="P16552">
        <v>227.2</v>
      </c>
    </row>
    <row r="16553" spans="1:16" x14ac:dyDescent="0.25">
      <c r="A16553" t="s">
        <v>3296</v>
      </c>
      <c r="B16553" t="s">
        <v>2931</v>
      </c>
      <c r="C16553">
        <v>10302</v>
      </c>
      <c r="D16553" t="str">
        <f>"20970038    "</f>
        <v xml:space="preserve">20970038    </v>
      </c>
      <c r="E16553" t="s">
        <v>2828</v>
      </c>
      <c r="F16553" t="s">
        <v>2829</v>
      </c>
      <c r="G16553">
        <v>317.36</v>
      </c>
      <c r="H16553">
        <v>250731</v>
      </c>
      <c r="I16553">
        <v>4560</v>
      </c>
      <c r="J16553" t="s">
        <v>390</v>
      </c>
      <c r="K16553">
        <v>317.36</v>
      </c>
      <c r="L16553">
        <v>0</v>
      </c>
      <c r="M16553">
        <v>11001</v>
      </c>
      <c r="N16553" t="s">
        <v>93</v>
      </c>
      <c r="O16553">
        <v>250814</v>
      </c>
      <c r="P16553">
        <v>317.36</v>
      </c>
    </row>
    <row r="16554" spans="1:16" x14ac:dyDescent="0.25">
      <c r="A16554" t="s">
        <v>3296</v>
      </c>
      <c r="B16554" t="s">
        <v>2931</v>
      </c>
      <c r="C16554">
        <v>10350</v>
      </c>
      <c r="D16554" t="str">
        <f>"20970040    "</f>
        <v xml:space="preserve">20970040    </v>
      </c>
      <c r="E16554" t="s">
        <v>2828</v>
      </c>
      <c r="F16554" t="s">
        <v>2829</v>
      </c>
      <c r="G16554">
        <v>42.12</v>
      </c>
      <c r="H16554">
        <v>250731</v>
      </c>
      <c r="I16554">
        <v>4560</v>
      </c>
      <c r="J16554" t="s">
        <v>390</v>
      </c>
      <c r="K16554">
        <v>43.28</v>
      </c>
      <c r="L16554">
        <v>8.56</v>
      </c>
      <c r="M16554">
        <v>17538</v>
      </c>
      <c r="N16554" t="s">
        <v>129</v>
      </c>
      <c r="O16554">
        <v>250818</v>
      </c>
      <c r="P16554">
        <v>33.56</v>
      </c>
    </row>
    <row r="16555" spans="1:16" x14ac:dyDescent="0.25">
      <c r="A16555" t="s">
        <v>3296</v>
      </c>
      <c r="B16555" t="s">
        <v>2931</v>
      </c>
      <c r="C16555">
        <v>11395</v>
      </c>
      <c r="D16555" t="str">
        <f>"21011822    "</f>
        <v xml:space="preserve">21011822    </v>
      </c>
      <c r="E16555" t="s">
        <v>2828</v>
      </c>
      <c r="F16555" t="s">
        <v>2829</v>
      </c>
      <c r="G16555">
        <v>23.99</v>
      </c>
      <c r="H16555">
        <v>250831</v>
      </c>
      <c r="I16555">
        <v>4560</v>
      </c>
      <c r="J16555" t="s">
        <v>390</v>
      </c>
      <c r="K16555">
        <v>319.33999999999997</v>
      </c>
      <c r="L16555">
        <v>4.87</v>
      </c>
      <c r="M16555">
        <v>17524</v>
      </c>
      <c r="N16555" t="s">
        <v>139</v>
      </c>
      <c r="O16555">
        <v>250904</v>
      </c>
      <c r="P16555">
        <v>19.12</v>
      </c>
    </row>
    <row r="16556" spans="1:16" x14ac:dyDescent="0.25">
      <c r="A16556" t="s">
        <v>3296</v>
      </c>
      <c r="B16556" t="s">
        <v>2931</v>
      </c>
      <c r="C16556">
        <v>11395</v>
      </c>
      <c r="D16556" t="str">
        <f>"21011822    "</f>
        <v xml:space="preserve">21011822    </v>
      </c>
      <c r="E16556" t="s">
        <v>2828</v>
      </c>
      <c r="F16556" t="s">
        <v>2829</v>
      </c>
      <c r="G16556">
        <v>17.809999999999999</v>
      </c>
      <c r="H16556">
        <v>250831</v>
      </c>
      <c r="I16556">
        <v>4560</v>
      </c>
      <c r="J16556" t="s">
        <v>390</v>
      </c>
      <c r="K16556">
        <v>319.33999999999997</v>
      </c>
      <c r="L16556">
        <v>3.62</v>
      </c>
      <c r="M16556">
        <v>17529</v>
      </c>
      <c r="N16556" t="s">
        <v>143</v>
      </c>
      <c r="O16556">
        <v>250904</v>
      </c>
      <c r="P16556">
        <v>14.19</v>
      </c>
    </row>
    <row r="16557" spans="1:16" x14ac:dyDescent="0.25">
      <c r="A16557" t="s">
        <v>3296</v>
      </c>
      <c r="B16557" t="s">
        <v>2931</v>
      </c>
      <c r="C16557">
        <v>11395</v>
      </c>
      <c r="D16557" t="str">
        <f>"21011822    "</f>
        <v xml:space="preserve">21011822    </v>
      </c>
      <c r="E16557" t="s">
        <v>2828</v>
      </c>
      <c r="F16557" t="s">
        <v>2829</v>
      </c>
      <c r="G16557">
        <v>68.209999999999994</v>
      </c>
      <c r="H16557">
        <v>250831</v>
      </c>
      <c r="I16557">
        <v>4560</v>
      </c>
      <c r="J16557" t="s">
        <v>390</v>
      </c>
      <c r="K16557">
        <v>319.33999999999997</v>
      </c>
      <c r="L16557">
        <v>13.86</v>
      </c>
      <c r="M16557">
        <v>17971</v>
      </c>
      <c r="N16557" t="s">
        <v>27</v>
      </c>
      <c r="O16557">
        <v>250904</v>
      </c>
      <c r="P16557">
        <v>54.35</v>
      </c>
    </row>
    <row r="16558" spans="1:16" x14ac:dyDescent="0.25">
      <c r="A16558" t="s">
        <v>3296</v>
      </c>
      <c r="B16558" t="s">
        <v>2931</v>
      </c>
      <c r="C16558">
        <v>11395</v>
      </c>
      <c r="D16558" t="str">
        <f>"21011822    "</f>
        <v xml:space="preserve">21011822    </v>
      </c>
      <c r="E16558" t="s">
        <v>2828</v>
      </c>
      <c r="F16558" t="s">
        <v>2829</v>
      </c>
      <c r="G16558">
        <v>181.83</v>
      </c>
      <c r="H16558">
        <v>250831</v>
      </c>
      <c r="I16558">
        <v>4560</v>
      </c>
      <c r="J16558" t="s">
        <v>390</v>
      </c>
      <c r="K16558">
        <v>319.33999999999997</v>
      </c>
      <c r="L16558">
        <v>36.950000000000003</v>
      </c>
      <c r="M16558">
        <v>18972</v>
      </c>
      <c r="N16558" t="s">
        <v>39</v>
      </c>
      <c r="O16558">
        <v>250904</v>
      </c>
      <c r="P16558">
        <v>144.88</v>
      </c>
    </row>
    <row r="16559" spans="1:16" x14ac:dyDescent="0.25">
      <c r="A16559" t="s">
        <v>3296</v>
      </c>
      <c r="B16559" t="s">
        <v>2931</v>
      </c>
      <c r="C16559">
        <v>11401</v>
      </c>
      <c r="D16559" t="str">
        <f>"21011812    "</f>
        <v xml:space="preserve">21011812    </v>
      </c>
      <c r="E16559" t="s">
        <v>2828</v>
      </c>
      <c r="F16559" t="s">
        <v>2829</v>
      </c>
      <c r="G16559">
        <v>213.64</v>
      </c>
      <c r="H16559">
        <v>250831</v>
      </c>
      <c r="I16559">
        <v>4560</v>
      </c>
      <c r="J16559" t="s">
        <v>390</v>
      </c>
      <c r="K16559">
        <v>213.64</v>
      </c>
      <c r="L16559">
        <v>43.41</v>
      </c>
      <c r="M16559">
        <v>59501</v>
      </c>
      <c r="N16559" t="s">
        <v>62</v>
      </c>
      <c r="O16559">
        <v>250904</v>
      </c>
      <c r="P16559">
        <v>170.23</v>
      </c>
    </row>
    <row r="16560" spans="1:16" x14ac:dyDescent="0.25">
      <c r="A16560" t="s">
        <v>3296</v>
      </c>
      <c r="B16560" t="s">
        <v>2931</v>
      </c>
      <c r="C16560">
        <v>11404</v>
      </c>
      <c r="D16560" t="str">
        <f>"21011823    "</f>
        <v xml:space="preserve">21011823    </v>
      </c>
      <c r="E16560" t="s">
        <v>2828</v>
      </c>
      <c r="F16560" t="s">
        <v>2829</v>
      </c>
      <c r="G16560">
        <v>178.85</v>
      </c>
      <c r="H16560">
        <v>250831</v>
      </c>
      <c r="I16560">
        <v>4560</v>
      </c>
      <c r="J16560" t="s">
        <v>390</v>
      </c>
      <c r="K16560">
        <v>178.85</v>
      </c>
      <c r="L16560">
        <v>36.340000000000003</v>
      </c>
      <c r="M16560">
        <v>59702</v>
      </c>
      <c r="N16560" t="s">
        <v>45</v>
      </c>
      <c r="O16560">
        <v>250904</v>
      </c>
      <c r="P16560">
        <v>142.51</v>
      </c>
    </row>
    <row r="16561" spans="1:16" x14ac:dyDescent="0.25">
      <c r="A16561" t="s">
        <v>3296</v>
      </c>
      <c r="B16561" t="s">
        <v>2931</v>
      </c>
      <c r="C16561">
        <v>11552</v>
      </c>
      <c r="D16561" t="str">
        <f>"21011809    "</f>
        <v xml:space="preserve">21011809    </v>
      </c>
      <c r="E16561" t="s">
        <v>2828</v>
      </c>
      <c r="F16561" t="s">
        <v>2829</v>
      </c>
      <c r="G16561">
        <v>286.89999999999998</v>
      </c>
      <c r="H16561">
        <v>250831</v>
      </c>
      <c r="I16561">
        <v>4560</v>
      </c>
      <c r="J16561" t="s">
        <v>390</v>
      </c>
      <c r="K16561">
        <v>431.5</v>
      </c>
      <c r="L16561">
        <v>58.29</v>
      </c>
      <c r="M16561">
        <v>69501</v>
      </c>
      <c r="N16561" t="s">
        <v>123</v>
      </c>
      <c r="O16561">
        <v>250908</v>
      </c>
      <c r="P16561">
        <v>228.61</v>
      </c>
    </row>
    <row r="16562" spans="1:16" x14ac:dyDescent="0.25">
      <c r="A16562" t="s">
        <v>3296</v>
      </c>
      <c r="B16562" t="s">
        <v>2931</v>
      </c>
      <c r="C16562">
        <v>11841</v>
      </c>
      <c r="D16562" t="str">
        <f>"21011811    "</f>
        <v xml:space="preserve">21011811    </v>
      </c>
      <c r="E16562" t="s">
        <v>2828</v>
      </c>
      <c r="F16562" t="s">
        <v>2829</v>
      </c>
      <c r="G16562">
        <v>208.49</v>
      </c>
      <c r="H16562">
        <v>250831</v>
      </c>
      <c r="I16562">
        <v>4560</v>
      </c>
      <c r="J16562" t="s">
        <v>390</v>
      </c>
      <c r="K16562">
        <v>208.49</v>
      </c>
      <c r="L16562">
        <v>42.36</v>
      </c>
      <c r="M16562">
        <v>56564</v>
      </c>
      <c r="N16562" t="s">
        <v>56</v>
      </c>
      <c r="O16562">
        <v>250911</v>
      </c>
      <c r="P16562">
        <v>166.13</v>
      </c>
    </row>
    <row r="16563" spans="1:16" x14ac:dyDescent="0.25">
      <c r="A16563" t="s">
        <v>3296</v>
      </c>
      <c r="B16563" t="s">
        <v>2931</v>
      </c>
      <c r="C16563">
        <v>13032</v>
      </c>
      <c r="D16563" t="str">
        <f>"21057624    "</f>
        <v xml:space="preserve">21057624    </v>
      </c>
      <c r="E16563" t="s">
        <v>2828</v>
      </c>
      <c r="F16563" t="s">
        <v>2829</v>
      </c>
      <c r="G16563">
        <v>93.34</v>
      </c>
      <c r="H16563">
        <v>250930</v>
      </c>
      <c r="I16563">
        <v>4560</v>
      </c>
      <c r="J16563" t="s">
        <v>390</v>
      </c>
      <c r="K16563">
        <v>93.34</v>
      </c>
      <c r="L16563">
        <v>18.97</v>
      </c>
      <c r="M16563">
        <v>59501</v>
      </c>
      <c r="N16563" t="s">
        <v>62</v>
      </c>
      <c r="O16563">
        <v>251003</v>
      </c>
      <c r="P16563">
        <v>74.37</v>
      </c>
    </row>
    <row r="16564" spans="1:16" x14ac:dyDescent="0.25">
      <c r="A16564" t="s">
        <v>3296</v>
      </c>
      <c r="B16564" t="s">
        <v>2931</v>
      </c>
      <c r="C16564">
        <v>13035</v>
      </c>
      <c r="D16564" t="str">
        <f>"21057625    "</f>
        <v xml:space="preserve">21057625    </v>
      </c>
      <c r="E16564" t="s">
        <v>2828</v>
      </c>
      <c r="F16564" t="s">
        <v>2829</v>
      </c>
      <c r="G16564">
        <v>85.16</v>
      </c>
      <c r="H16564">
        <v>250930</v>
      </c>
      <c r="I16564">
        <v>4560</v>
      </c>
      <c r="J16564" t="s">
        <v>390</v>
      </c>
      <c r="K16564">
        <v>85.16</v>
      </c>
      <c r="L16564">
        <v>17.3</v>
      </c>
      <c r="M16564">
        <v>59702</v>
      </c>
      <c r="N16564" t="s">
        <v>45</v>
      </c>
      <c r="O16564">
        <v>251003</v>
      </c>
      <c r="P16564">
        <v>67.86</v>
      </c>
    </row>
    <row r="16565" spans="1:16" x14ac:dyDescent="0.25">
      <c r="A16565" t="s">
        <v>3296</v>
      </c>
      <c r="B16565" t="s">
        <v>2931</v>
      </c>
      <c r="C16565">
        <v>13171</v>
      </c>
      <c r="D16565" t="str">
        <f>"21057628    "</f>
        <v xml:space="preserve">21057628    </v>
      </c>
      <c r="E16565" t="s">
        <v>2828</v>
      </c>
      <c r="F16565" t="s">
        <v>2829</v>
      </c>
      <c r="G16565">
        <v>14.77</v>
      </c>
      <c r="H16565">
        <v>250930</v>
      </c>
      <c r="I16565">
        <v>4560</v>
      </c>
      <c r="J16565" t="s">
        <v>390</v>
      </c>
      <c r="K16565">
        <v>95.63</v>
      </c>
      <c r="L16565">
        <v>3</v>
      </c>
      <c r="M16565">
        <v>17802</v>
      </c>
      <c r="N16565" t="s">
        <v>18</v>
      </c>
      <c r="O16565">
        <v>251006</v>
      </c>
      <c r="P16565">
        <v>11.77</v>
      </c>
    </row>
    <row r="16566" spans="1:16" x14ac:dyDescent="0.25">
      <c r="A16566" t="s">
        <v>3296</v>
      </c>
      <c r="B16566" t="s">
        <v>2931</v>
      </c>
      <c r="C16566">
        <v>13171</v>
      </c>
      <c r="D16566" t="str">
        <f>"21057628    "</f>
        <v xml:space="preserve">21057628    </v>
      </c>
      <c r="E16566" t="s">
        <v>2828</v>
      </c>
      <c r="F16566" t="s">
        <v>2829</v>
      </c>
      <c r="G16566">
        <v>80.86</v>
      </c>
      <c r="H16566">
        <v>250930</v>
      </c>
      <c r="I16566">
        <v>4560</v>
      </c>
      <c r="J16566" t="s">
        <v>390</v>
      </c>
      <c r="K16566">
        <v>95.63</v>
      </c>
      <c r="L16566">
        <v>16.43</v>
      </c>
      <c r="M16566">
        <v>17809</v>
      </c>
      <c r="N16566" t="s">
        <v>25</v>
      </c>
      <c r="O16566">
        <v>251006</v>
      </c>
      <c r="P16566">
        <v>64.430000000000007</v>
      </c>
    </row>
    <row r="16567" spans="1:16" x14ac:dyDescent="0.25">
      <c r="A16567" t="s">
        <v>3296</v>
      </c>
      <c r="B16567" t="s">
        <v>2931</v>
      </c>
      <c r="C16567">
        <v>13172</v>
      </c>
      <c r="D16567" t="str">
        <f>"21057638    "</f>
        <v xml:space="preserve">21057638    </v>
      </c>
      <c r="E16567" t="s">
        <v>2828</v>
      </c>
      <c r="F16567" t="s">
        <v>2829</v>
      </c>
      <c r="G16567">
        <v>175.01</v>
      </c>
      <c r="H16567">
        <v>250930</v>
      </c>
      <c r="I16567">
        <v>4560</v>
      </c>
      <c r="J16567" t="s">
        <v>390</v>
      </c>
      <c r="K16567">
        <v>329.56</v>
      </c>
      <c r="L16567">
        <v>35.56</v>
      </c>
      <c r="M16567">
        <v>59702</v>
      </c>
      <c r="N16567" t="s">
        <v>45</v>
      </c>
      <c r="O16567">
        <v>251006</v>
      </c>
      <c r="P16567">
        <v>139.44999999999999</v>
      </c>
    </row>
    <row r="16568" spans="1:16" x14ac:dyDescent="0.25">
      <c r="A16568" t="s">
        <v>3296</v>
      </c>
      <c r="B16568" t="s">
        <v>2931</v>
      </c>
      <c r="C16568">
        <v>13172</v>
      </c>
      <c r="D16568" t="str">
        <f>"21057638    "</f>
        <v xml:space="preserve">21057638    </v>
      </c>
      <c r="E16568" t="s">
        <v>2828</v>
      </c>
      <c r="F16568" t="s">
        <v>2829</v>
      </c>
      <c r="G16568">
        <v>154.55000000000001</v>
      </c>
      <c r="H16568">
        <v>250930</v>
      </c>
      <c r="I16568">
        <v>4560</v>
      </c>
      <c r="J16568" t="s">
        <v>390</v>
      </c>
      <c r="K16568">
        <v>329.56</v>
      </c>
      <c r="L16568">
        <v>31.4</v>
      </c>
      <c r="M16568">
        <v>59801</v>
      </c>
      <c r="N16568" t="s">
        <v>2830</v>
      </c>
      <c r="O16568">
        <v>251006</v>
      </c>
      <c r="P16568">
        <v>123.15</v>
      </c>
    </row>
    <row r="16569" spans="1:16" x14ac:dyDescent="0.25">
      <c r="A16569" t="s">
        <v>3296</v>
      </c>
      <c r="B16569" t="s">
        <v>2931</v>
      </c>
      <c r="C16569">
        <v>13257</v>
      </c>
      <c r="D16569" t="str">
        <f>"21057623    "</f>
        <v xml:space="preserve">21057623    </v>
      </c>
      <c r="E16569" t="s">
        <v>2828</v>
      </c>
      <c r="F16569" t="s">
        <v>2829</v>
      </c>
      <c r="G16569">
        <v>250</v>
      </c>
      <c r="H16569">
        <v>250930</v>
      </c>
      <c r="I16569">
        <v>4560</v>
      </c>
      <c r="J16569" t="s">
        <v>390</v>
      </c>
      <c r="K16569">
        <v>250</v>
      </c>
      <c r="L16569">
        <v>50.8</v>
      </c>
      <c r="M16569">
        <v>56564</v>
      </c>
      <c r="N16569" t="s">
        <v>56</v>
      </c>
      <c r="O16569">
        <v>251007</v>
      </c>
      <c r="P16569">
        <v>199.2</v>
      </c>
    </row>
    <row r="16570" spans="1:16" x14ac:dyDescent="0.25">
      <c r="A16570" t="s">
        <v>3296</v>
      </c>
      <c r="B16570" t="s">
        <v>2931</v>
      </c>
      <c r="C16570">
        <v>13385</v>
      </c>
      <c r="D16570" t="str">
        <f>"21057635    "</f>
        <v xml:space="preserve">21057635    </v>
      </c>
      <c r="E16570" t="s">
        <v>2828</v>
      </c>
      <c r="F16570" t="s">
        <v>2829</v>
      </c>
      <c r="G16570">
        <v>40.25</v>
      </c>
      <c r="H16570">
        <v>250930</v>
      </c>
      <c r="I16570">
        <v>4560</v>
      </c>
      <c r="J16570" t="s">
        <v>390</v>
      </c>
      <c r="K16570">
        <v>420.1</v>
      </c>
      <c r="L16570">
        <v>4.9400000000000004</v>
      </c>
      <c r="M16570">
        <v>12982</v>
      </c>
      <c r="N16570" t="s">
        <v>1384</v>
      </c>
      <c r="O16570">
        <v>251008</v>
      </c>
      <c r="P16570">
        <v>35.31</v>
      </c>
    </row>
    <row r="16571" spans="1:16" x14ac:dyDescent="0.25">
      <c r="A16571" t="s">
        <v>3296</v>
      </c>
      <c r="B16571" t="s">
        <v>2931</v>
      </c>
      <c r="C16571">
        <v>13385</v>
      </c>
      <c r="D16571" t="str">
        <f>"21057635    "</f>
        <v xml:space="preserve">21057635    </v>
      </c>
      <c r="E16571" t="s">
        <v>2828</v>
      </c>
      <c r="F16571" t="s">
        <v>2829</v>
      </c>
      <c r="G16571">
        <v>24.65</v>
      </c>
      <c r="H16571">
        <v>250930</v>
      </c>
      <c r="I16571">
        <v>4560</v>
      </c>
      <c r="J16571" t="s">
        <v>390</v>
      </c>
      <c r="K16571">
        <v>420.1</v>
      </c>
      <c r="L16571">
        <v>5.01</v>
      </c>
      <c r="M16571">
        <v>17131</v>
      </c>
      <c r="N16571" t="s">
        <v>154</v>
      </c>
      <c r="O16571">
        <v>251008</v>
      </c>
      <c r="P16571">
        <v>19.64</v>
      </c>
    </row>
    <row r="16572" spans="1:16" x14ac:dyDescent="0.25">
      <c r="A16572" t="s">
        <v>3296</v>
      </c>
      <c r="B16572" t="s">
        <v>2931</v>
      </c>
      <c r="C16572">
        <v>13385</v>
      </c>
      <c r="D16572" t="str">
        <f>"21057635    "</f>
        <v xml:space="preserve">21057635    </v>
      </c>
      <c r="E16572" t="s">
        <v>2828</v>
      </c>
      <c r="F16572" t="s">
        <v>2829</v>
      </c>
      <c r="G16572">
        <v>24.65</v>
      </c>
      <c r="H16572">
        <v>250930</v>
      </c>
      <c r="I16572">
        <v>4560</v>
      </c>
      <c r="J16572" t="s">
        <v>390</v>
      </c>
      <c r="K16572">
        <v>420.1</v>
      </c>
      <c r="L16572">
        <v>5.01</v>
      </c>
      <c r="M16572">
        <v>17711</v>
      </c>
      <c r="N16572" t="s">
        <v>155</v>
      </c>
      <c r="O16572">
        <v>251008</v>
      </c>
      <c r="P16572">
        <v>19.64</v>
      </c>
    </row>
    <row r="16573" spans="1:16" x14ac:dyDescent="0.25">
      <c r="A16573" t="s">
        <v>3296</v>
      </c>
      <c r="B16573" t="s">
        <v>2931</v>
      </c>
      <c r="C16573">
        <v>13385</v>
      </c>
      <c r="D16573" t="str">
        <f>"21057635    "</f>
        <v xml:space="preserve">21057635    </v>
      </c>
      <c r="E16573" t="s">
        <v>2828</v>
      </c>
      <c r="F16573" t="s">
        <v>2829</v>
      </c>
      <c r="G16573">
        <v>40.25</v>
      </c>
      <c r="H16573">
        <v>250930</v>
      </c>
      <c r="I16573">
        <v>4560</v>
      </c>
      <c r="J16573" t="s">
        <v>390</v>
      </c>
      <c r="K16573">
        <v>420.1</v>
      </c>
      <c r="L16573">
        <v>4.9400000000000004</v>
      </c>
      <c r="M16573">
        <v>17912</v>
      </c>
      <c r="N16573" t="s">
        <v>505</v>
      </c>
      <c r="O16573">
        <v>251008</v>
      </c>
      <c r="P16573">
        <v>35.31</v>
      </c>
    </row>
    <row r="16574" spans="1:16" x14ac:dyDescent="0.25">
      <c r="A16574" t="s">
        <v>3296</v>
      </c>
      <c r="B16574" t="s">
        <v>2931</v>
      </c>
      <c r="C16574">
        <v>13405</v>
      </c>
      <c r="D16574" t="str">
        <f>"21057639    "</f>
        <v xml:space="preserve">21057639    </v>
      </c>
      <c r="E16574" t="s">
        <v>2828</v>
      </c>
      <c r="F16574" t="s">
        <v>2829</v>
      </c>
      <c r="G16574">
        <v>99.03</v>
      </c>
      <c r="H16574">
        <v>250930</v>
      </c>
      <c r="I16574">
        <v>4560</v>
      </c>
      <c r="J16574" t="s">
        <v>390</v>
      </c>
      <c r="K16574">
        <v>200.13</v>
      </c>
      <c r="L16574">
        <v>20.12</v>
      </c>
      <c r="M16574">
        <v>69501</v>
      </c>
      <c r="N16574" t="s">
        <v>123</v>
      </c>
      <c r="O16574">
        <v>251008</v>
      </c>
      <c r="P16574">
        <v>78.91</v>
      </c>
    </row>
    <row r="16575" spans="1:16" x14ac:dyDescent="0.25">
      <c r="A16575" t="s">
        <v>3296</v>
      </c>
      <c r="B16575" t="s">
        <v>2931</v>
      </c>
      <c r="C16575">
        <v>13680</v>
      </c>
      <c r="D16575" t="str">
        <f t="shared" ref="D16575:D16580" si="274">"21057637    "</f>
        <v xml:space="preserve">21057637    </v>
      </c>
      <c r="E16575" t="s">
        <v>2828</v>
      </c>
      <c r="F16575" t="s">
        <v>2829</v>
      </c>
      <c r="G16575">
        <v>16.22</v>
      </c>
      <c r="H16575">
        <v>250930</v>
      </c>
      <c r="I16575">
        <v>4560</v>
      </c>
      <c r="J16575" t="s">
        <v>390</v>
      </c>
      <c r="K16575">
        <v>429.85</v>
      </c>
      <c r="L16575">
        <v>3.3</v>
      </c>
      <c r="M16575">
        <v>12982</v>
      </c>
      <c r="N16575" t="s">
        <v>1384</v>
      </c>
      <c r="O16575">
        <v>251013</v>
      </c>
      <c r="P16575">
        <v>12.92</v>
      </c>
    </row>
    <row r="16576" spans="1:16" x14ac:dyDescent="0.25">
      <c r="A16576" t="s">
        <v>3296</v>
      </c>
      <c r="B16576" t="s">
        <v>2931</v>
      </c>
      <c r="C16576">
        <v>13680</v>
      </c>
      <c r="D16576" t="str">
        <f t="shared" si="274"/>
        <v xml:space="preserve">21057637    </v>
      </c>
      <c r="E16576" t="s">
        <v>2828</v>
      </c>
      <c r="F16576" t="s">
        <v>2829</v>
      </c>
      <c r="G16576">
        <v>95.83</v>
      </c>
      <c r="H16576">
        <v>250930</v>
      </c>
      <c r="I16576">
        <v>4560</v>
      </c>
      <c r="J16576" t="s">
        <v>390</v>
      </c>
      <c r="K16576">
        <v>429.85</v>
      </c>
      <c r="L16576">
        <v>19.47</v>
      </c>
      <c r="M16576">
        <v>17521</v>
      </c>
      <c r="N16576" t="s">
        <v>136</v>
      </c>
      <c r="O16576">
        <v>251013</v>
      </c>
      <c r="P16576">
        <v>76.36</v>
      </c>
    </row>
    <row r="16577" spans="1:16" x14ac:dyDescent="0.25">
      <c r="A16577" t="s">
        <v>3296</v>
      </c>
      <c r="B16577" t="s">
        <v>2931</v>
      </c>
      <c r="C16577">
        <v>13680</v>
      </c>
      <c r="D16577" t="str">
        <f t="shared" si="274"/>
        <v xml:space="preserve">21057637    </v>
      </c>
      <c r="E16577" t="s">
        <v>2828</v>
      </c>
      <c r="F16577" t="s">
        <v>2829</v>
      </c>
      <c r="G16577">
        <v>125.74</v>
      </c>
      <c r="H16577">
        <v>250930</v>
      </c>
      <c r="I16577">
        <v>4560</v>
      </c>
      <c r="J16577" t="s">
        <v>390</v>
      </c>
      <c r="K16577">
        <v>429.85</v>
      </c>
      <c r="L16577">
        <v>25.55</v>
      </c>
      <c r="M16577">
        <v>17523</v>
      </c>
      <c r="N16577" t="s">
        <v>138</v>
      </c>
      <c r="O16577">
        <v>251013</v>
      </c>
      <c r="P16577">
        <v>100.19</v>
      </c>
    </row>
    <row r="16578" spans="1:16" x14ac:dyDescent="0.25">
      <c r="A16578" t="s">
        <v>3296</v>
      </c>
      <c r="B16578" t="s">
        <v>2931</v>
      </c>
      <c r="C16578">
        <v>13680</v>
      </c>
      <c r="D16578" t="str">
        <f t="shared" si="274"/>
        <v xml:space="preserve">21057637    </v>
      </c>
      <c r="E16578" t="s">
        <v>2828</v>
      </c>
      <c r="F16578" t="s">
        <v>2829</v>
      </c>
      <c r="G16578">
        <v>92.37</v>
      </c>
      <c r="H16578">
        <v>250930</v>
      </c>
      <c r="I16578">
        <v>4560</v>
      </c>
      <c r="J16578" t="s">
        <v>390</v>
      </c>
      <c r="K16578">
        <v>429.85</v>
      </c>
      <c r="L16578">
        <v>18.77</v>
      </c>
      <c r="M16578">
        <v>17527</v>
      </c>
      <c r="N16578" t="s">
        <v>142</v>
      </c>
      <c r="O16578">
        <v>251013</v>
      </c>
      <c r="P16578">
        <v>73.599999999999994</v>
      </c>
    </row>
    <row r="16579" spans="1:16" x14ac:dyDescent="0.25">
      <c r="A16579" t="s">
        <v>3296</v>
      </c>
      <c r="B16579" t="s">
        <v>2931</v>
      </c>
      <c r="C16579">
        <v>13680</v>
      </c>
      <c r="D16579" t="str">
        <f t="shared" si="274"/>
        <v xml:space="preserve">21057637    </v>
      </c>
      <c r="E16579" t="s">
        <v>2828</v>
      </c>
      <c r="F16579" t="s">
        <v>2829</v>
      </c>
      <c r="G16579">
        <v>28.31</v>
      </c>
      <c r="H16579">
        <v>250930</v>
      </c>
      <c r="I16579">
        <v>4560</v>
      </c>
      <c r="J16579" t="s">
        <v>390</v>
      </c>
      <c r="K16579">
        <v>429.85</v>
      </c>
      <c r="L16579">
        <v>5.75</v>
      </c>
      <c r="M16579">
        <v>17529</v>
      </c>
      <c r="N16579" t="s">
        <v>143</v>
      </c>
      <c r="O16579">
        <v>251013</v>
      </c>
      <c r="P16579">
        <v>22.56</v>
      </c>
    </row>
    <row r="16580" spans="1:16" x14ac:dyDescent="0.25">
      <c r="A16580" t="s">
        <v>3296</v>
      </c>
      <c r="B16580" t="s">
        <v>2931</v>
      </c>
      <c r="C16580">
        <v>13680</v>
      </c>
      <c r="D16580" t="str">
        <f t="shared" si="274"/>
        <v xml:space="preserve">21057637    </v>
      </c>
      <c r="E16580" t="s">
        <v>2828</v>
      </c>
      <c r="F16580" t="s">
        <v>2829</v>
      </c>
      <c r="G16580">
        <v>9.2799999999999994</v>
      </c>
      <c r="H16580">
        <v>250930</v>
      </c>
      <c r="I16580">
        <v>4560</v>
      </c>
      <c r="J16580" t="s">
        <v>390</v>
      </c>
      <c r="K16580">
        <v>429.85</v>
      </c>
      <c r="L16580">
        <v>1.89</v>
      </c>
      <c r="M16580">
        <v>17971</v>
      </c>
      <c r="N16580" t="s">
        <v>27</v>
      </c>
      <c r="O16580">
        <v>251013</v>
      </c>
      <c r="P16580">
        <v>7.39</v>
      </c>
    </row>
    <row r="16581" spans="1:16" x14ac:dyDescent="0.25">
      <c r="A16581" t="s">
        <v>3296</v>
      </c>
      <c r="B16581" t="s">
        <v>2931</v>
      </c>
      <c r="C16581">
        <v>14569</v>
      </c>
      <c r="D16581" t="str">
        <f>"21104595    "</f>
        <v xml:space="preserve">21104595    </v>
      </c>
      <c r="E16581" t="s">
        <v>2828</v>
      </c>
      <c r="F16581" t="s">
        <v>2829</v>
      </c>
      <c r="G16581">
        <v>95.42</v>
      </c>
      <c r="H16581">
        <v>251031</v>
      </c>
      <c r="I16581">
        <v>4560</v>
      </c>
      <c r="J16581" t="s">
        <v>390</v>
      </c>
      <c r="K16581">
        <v>198.99</v>
      </c>
      <c r="L16581">
        <v>19.39</v>
      </c>
      <c r="M16581">
        <v>17804</v>
      </c>
      <c r="N16581" t="s">
        <v>20</v>
      </c>
      <c r="O16581">
        <v>251104</v>
      </c>
      <c r="P16581">
        <v>76.03</v>
      </c>
    </row>
    <row r="16582" spans="1:16" x14ac:dyDescent="0.25">
      <c r="A16582" t="s">
        <v>3296</v>
      </c>
      <c r="B16582" t="s">
        <v>2931</v>
      </c>
      <c r="C16582">
        <v>14569</v>
      </c>
      <c r="D16582" t="str">
        <f>"21104595    "</f>
        <v xml:space="preserve">21104595    </v>
      </c>
      <c r="E16582" t="s">
        <v>2828</v>
      </c>
      <c r="F16582" t="s">
        <v>2829</v>
      </c>
      <c r="G16582">
        <v>103.57</v>
      </c>
      <c r="H16582">
        <v>251031</v>
      </c>
      <c r="I16582">
        <v>4560</v>
      </c>
      <c r="J16582" t="s">
        <v>390</v>
      </c>
      <c r="K16582">
        <v>198.99</v>
      </c>
      <c r="L16582">
        <v>21.04</v>
      </c>
      <c r="M16582">
        <v>17806</v>
      </c>
      <c r="N16582" t="s">
        <v>22</v>
      </c>
      <c r="O16582">
        <v>251104</v>
      </c>
      <c r="P16582">
        <v>82.53</v>
      </c>
    </row>
    <row r="16583" spans="1:16" x14ac:dyDescent="0.25">
      <c r="A16583" t="s">
        <v>3296</v>
      </c>
      <c r="B16583" t="s">
        <v>2931</v>
      </c>
      <c r="C16583">
        <v>14570</v>
      </c>
      <c r="D16583" t="str">
        <f>"21104591    "</f>
        <v xml:space="preserve">21104591    </v>
      </c>
      <c r="E16583" t="s">
        <v>2828</v>
      </c>
      <c r="F16583" t="s">
        <v>2829</v>
      </c>
      <c r="G16583">
        <v>500.07</v>
      </c>
      <c r="H16583">
        <v>251031</v>
      </c>
      <c r="I16583">
        <v>4560</v>
      </c>
      <c r="J16583" t="s">
        <v>390</v>
      </c>
      <c r="K16583">
        <v>500.07</v>
      </c>
      <c r="L16583">
        <v>101.61</v>
      </c>
      <c r="M16583">
        <v>59501</v>
      </c>
      <c r="N16583" t="s">
        <v>62</v>
      </c>
      <c r="O16583">
        <v>251104</v>
      </c>
      <c r="P16583">
        <v>398.46</v>
      </c>
    </row>
    <row r="16584" spans="1:16" x14ac:dyDescent="0.25">
      <c r="A16584" t="s">
        <v>3296</v>
      </c>
      <c r="B16584" t="s">
        <v>2931</v>
      </c>
      <c r="C16584">
        <v>14596</v>
      </c>
      <c r="D16584" t="str">
        <f>"21104592    "</f>
        <v xml:space="preserve">21104592    </v>
      </c>
      <c r="E16584" t="s">
        <v>2828</v>
      </c>
      <c r="F16584" t="s">
        <v>2829</v>
      </c>
      <c r="G16584">
        <v>108.98</v>
      </c>
      <c r="H16584">
        <v>251031</v>
      </c>
      <c r="I16584">
        <v>4560</v>
      </c>
      <c r="J16584" t="s">
        <v>390</v>
      </c>
      <c r="K16584">
        <v>108.98</v>
      </c>
      <c r="L16584">
        <v>22.14</v>
      </c>
      <c r="M16584">
        <v>59702</v>
      </c>
      <c r="N16584" t="s">
        <v>45</v>
      </c>
      <c r="O16584">
        <v>251105</v>
      </c>
      <c r="P16584">
        <v>86.84</v>
      </c>
    </row>
    <row r="16585" spans="1:16" x14ac:dyDescent="0.25">
      <c r="A16585" t="s">
        <v>3296</v>
      </c>
      <c r="B16585" t="s">
        <v>2931</v>
      </c>
      <c r="C16585">
        <v>14637</v>
      </c>
      <c r="D16585" t="str">
        <f>"21104608    "</f>
        <v xml:space="preserve">21104608    </v>
      </c>
      <c r="E16585" t="s">
        <v>2828</v>
      </c>
      <c r="F16585" t="s">
        <v>2829</v>
      </c>
      <c r="G16585">
        <v>265.91000000000003</v>
      </c>
      <c r="H16585">
        <v>251031</v>
      </c>
      <c r="I16585">
        <v>4560</v>
      </c>
      <c r="J16585" t="s">
        <v>390</v>
      </c>
      <c r="K16585">
        <v>265.91000000000003</v>
      </c>
      <c r="L16585">
        <v>0</v>
      </c>
      <c r="M16585">
        <v>11001</v>
      </c>
      <c r="N16585" t="s">
        <v>93</v>
      </c>
      <c r="O16585">
        <v>251105</v>
      </c>
      <c r="P16585">
        <v>265.91000000000003</v>
      </c>
    </row>
    <row r="16586" spans="1:16" x14ac:dyDescent="0.25">
      <c r="A16586" t="s">
        <v>3296</v>
      </c>
      <c r="B16586" t="s">
        <v>2931</v>
      </c>
      <c r="C16586">
        <v>14720</v>
      </c>
      <c r="D16586" t="str">
        <f>"21104607    "</f>
        <v xml:space="preserve">21104607    </v>
      </c>
      <c r="E16586" t="s">
        <v>2828</v>
      </c>
      <c r="F16586" t="s">
        <v>2829</v>
      </c>
      <c r="G16586">
        <v>83.94</v>
      </c>
      <c r="H16586">
        <v>251031</v>
      </c>
      <c r="I16586">
        <v>4560</v>
      </c>
      <c r="J16586" t="s">
        <v>390</v>
      </c>
      <c r="K16586">
        <v>373.63</v>
      </c>
      <c r="L16586">
        <v>17.059999999999999</v>
      </c>
      <c r="M16586">
        <v>56559</v>
      </c>
      <c r="N16586" t="s">
        <v>51</v>
      </c>
      <c r="O16586">
        <v>251106</v>
      </c>
      <c r="P16586">
        <v>66.88</v>
      </c>
    </row>
    <row r="16587" spans="1:16" x14ac:dyDescent="0.25">
      <c r="A16587" t="s">
        <v>3296</v>
      </c>
      <c r="B16587" t="s">
        <v>2931</v>
      </c>
      <c r="C16587">
        <v>14720</v>
      </c>
      <c r="D16587" t="str">
        <f>"21104607    "</f>
        <v xml:space="preserve">21104607    </v>
      </c>
      <c r="E16587" t="s">
        <v>2828</v>
      </c>
      <c r="F16587" t="s">
        <v>2829</v>
      </c>
      <c r="G16587">
        <v>221.43</v>
      </c>
      <c r="H16587">
        <v>251031</v>
      </c>
      <c r="I16587">
        <v>4560</v>
      </c>
      <c r="J16587" t="s">
        <v>390</v>
      </c>
      <c r="K16587">
        <v>373.63</v>
      </c>
      <c r="L16587">
        <v>44.99</v>
      </c>
      <c r="M16587">
        <v>59702</v>
      </c>
      <c r="N16587" t="s">
        <v>45</v>
      </c>
      <c r="O16587">
        <v>251106</v>
      </c>
      <c r="P16587">
        <v>176.44</v>
      </c>
    </row>
    <row r="16588" spans="1:16" x14ac:dyDescent="0.25">
      <c r="A16588" t="s">
        <v>3296</v>
      </c>
      <c r="B16588" t="s">
        <v>2931</v>
      </c>
      <c r="C16588">
        <v>14720</v>
      </c>
      <c r="D16588" t="str">
        <f>"21104607    "</f>
        <v xml:space="preserve">21104607    </v>
      </c>
      <c r="E16588" t="s">
        <v>2828</v>
      </c>
      <c r="F16588" t="s">
        <v>2829</v>
      </c>
      <c r="G16588">
        <v>68.260000000000005</v>
      </c>
      <c r="H16588">
        <v>251031</v>
      </c>
      <c r="I16588">
        <v>4560</v>
      </c>
      <c r="J16588" t="s">
        <v>390</v>
      </c>
      <c r="K16588">
        <v>373.63</v>
      </c>
      <c r="L16588">
        <v>13.87</v>
      </c>
      <c r="M16588">
        <v>59801</v>
      </c>
      <c r="N16588" t="s">
        <v>2830</v>
      </c>
      <c r="O16588">
        <v>251106</v>
      </c>
      <c r="P16588">
        <v>54.39</v>
      </c>
    </row>
    <row r="16589" spans="1:16" x14ac:dyDescent="0.25">
      <c r="A16589" t="s">
        <v>3296</v>
      </c>
      <c r="B16589" t="s">
        <v>2931</v>
      </c>
      <c r="C16589">
        <v>14722</v>
      </c>
      <c r="D16589" t="str">
        <f>"21104590    "</f>
        <v xml:space="preserve">21104590    </v>
      </c>
      <c r="E16589" t="s">
        <v>2828</v>
      </c>
      <c r="F16589" t="s">
        <v>2829</v>
      </c>
      <c r="G16589">
        <v>94.85</v>
      </c>
      <c r="H16589">
        <v>251031</v>
      </c>
      <c r="I16589">
        <v>4560</v>
      </c>
      <c r="J16589" t="s">
        <v>390</v>
      </c>
      <c r="K16589">
        <v>94.85</v>
      </c>
      <c r="L16589">
        <v>19.27</v>
      </c>
      <c r="M16589">
        <v>56564</v>
      </c>
      <c r="N16589" t="s">
        <v>56</v>
      </c>
      <c r="O16589">
        <v>251106</v>
      </c>
      <c r="P16589">
        <v>75.58</v>
      </c>
    </row>
    <row r="16590" spans="1:16" x14ac:dyDescent="0.25">
      <c r="A16590" t="s">
        <v>3296</v>
      </c>
      <c r="B16590" t="s">
        <v>2931</v>
      </c>
      <c r="C16590">
        <v>14742</v>
      </c>
      <c r="D16590" t="str">
        <f>"21104598    "</f>
        <v xml:space="preserve">21104598    </v>
      </c>
      <c r="E16590" t="s">
        <v>2828</v>
      </c>
      <c r="F16590" t="s">
        <v>2829</v>
      </c>
      <c r="G16590">
        <v>88.4</v>
      </c>
      <c r="H16590">
        <v>251031</v>
      </c>
      <c r="I16590">
        <v>4560</v>
      </c>
      <c r="J16590" t="s">
        <v>390</v>
      </c>
      <c r="K16590">
        <v>88.4</v>
      </c>
      <c r="L16590">
        <v>17.96</v>
      </c>
      <c r="M16590">
        <v>68601</v>
      </c>
      <c r="N16590" t="s">
        <v>1031</v>
      </c>
      <c r="O16590">
        <v>251106</v>
      </c>
      <c r="P16590">
        <v>70.44</v>
      </c>
    </row>
    <row r="16591" spans="1:16" x14ac:dyDescent="0.25">
      <c r="A16591" t="s">
        <v>3296</v>
      </c>
      <c r="B16591" t="s">
        <v>2931</v>
      </c>
      <c r="C16591">
        <v>14904</v>
      </c>
      <c r="D16591" t="str">
        <f>"21104605    "</f>
        <v xml:space="preserve">21104605    </v>
      </c>
      <c r="E16591" t="s">
        <v>2828</v>
      </c>
      <c r="F16591" t="s">
        <v>2829</v>
      </c>
      <c r="G16591">
        <v>20.83</v>
      </c>
      <c r="H16591">
        <v>251031</v>
      </c>
      <c r="I16591">
        <v>4560</v>
      </c>
      <c r="J16591" t="s">
        <v>390</v>
      </c>
      <c r="K16591">
        <v>292.86</v>
      </c>
      <c r="L16591">
        <v>4.2300000000000004</v>
      </c>
      <c r="M16591">
        <v>13501</v>
      </c>
      <c r="N16591" t="s">
        <v>66</v>
      </c>
      <c r="O16591">
        <v>251107</v>
      </c>
      <c r="P16591">
        <v>16.600000000000001</v>
      </c>
    </row>
    <row r="16592" spans="1:16" x14ac:dyDescent="0.25">
      <c r="A16592" t="s">
        <v>3296</v>
      </c>
      <c r="B16592" t="s">
        <v>2931</v>
      </c>
      <c r="C16592">
        <v>14904</v>
      </c>
      <c r="D16592" t="str">
        <f>"21104605    "</f>
        <v xml:space="preserve">21104605    </v>
      </c>
      <c r="E16592" t="s">
        <v>2828</v>
      </c>
      <c r="F16592" t="s">
        <v>2829</v>
      </c>
      <c r="G16592">
        <v>58.08</v>
      </c>
      <c r="H16592">
        <v>251031</v>
      </c>
      <c r="I16592">
        <v>4560</v>
      </c>
      <c r="J16592" t="s">
        <v>390</v>
      </c>
      <c r="K16592">
        <v>292.86</v>
      </c>
      <c r="L16592">
        <v>11.8</v>
      </c>
      <c r="M16592">
        <v>17521</v>
      </c>
      <c r="N16592" t="s">
        <v>136</v>
      </c>
      <c r="O16592">
        <v>251107</v>
      </c>
      <c r="P16592">
        <v>46.28</v>
      </c>
    </row>
    <row r="16593" spans="1:16" x14ac:dyDescent="0.25">
      <c r="A16593" t="s">
        <v>3296</v>
      </c>
      <c r="B16593" t="s">
        <v>2931</v>
      </c>
      <c r="C16593">
        <v>14904</v>
      </c>
      <c r="D16593" t="str">
        <f>"21104605    "</f>
        <v xml:space="preserve">21104605    </v>
      </c>
      <c r="E16593" t="s">
        <v>2828</v>
      </c>
      <c r="F16593" t="s">
        <v>2829</v>
      </c>
      <c r="G16593">
        <v>186.79</v>
      </c>
      <c r="H16593">
        <v>251031</v>
      </c>
      <c r="I16593">
        <v>4560</v>
      </c>
      <c r="J16593" t="s">
        <v>390</v>
      </c>
      <c r="K16593">
        <v>292.86</v>
      </c>
      <c r="L16593">
        <v>37.950000000000003</v>
      </c>
      <c r="M16593">
        <v>17527</v>
      </c>
      <c r="N16593" t="s">
        <v>142</v>
      </c>
      <c r="O16593">
        <v>251107</v>
      </c>
      <c r="P16593">
        <v>148.84</v>
      </c>
    </row>
    <row r="16594" spans="1:16" x14ac:dyDescent="0.25">
      <c r="A16594" t="s">
        <v>3296</v>
      </c>
      <c r="B16594" t="s">
        <v>2931</v>
      </c>
      <c r="C16594">
        <v>14909</v>
      </c>
      <c r="D16594" t="str">
        <f>"21104589    "</f>
        <v xml:space="preserve">21104589    </v>
      </c>
      <c r="E16594" t="s">
        <v>2828</v>
      </c>
      <c r="F16594" t="s">
        <v>2829</v>
      </c>
      <c r="G16594">
        <v>87.38</v>
      </c>
      <c r="H16594">
        <v>251031</v>
      </c>
      <c r="I16594">
        <v>4560</v>
      </c>
      <c r="J16594" t="s">
        <v>390</v>
      </c>
      <c r="K16594">
        <v>346.4</v>
      </c>
      <c r="L16594">
        <v>17.75</v>
      </c>
      <c r="M16594">
        <v>67522</v>
      </c>
      <c r="N16594" t="s">
        <v>121</v>
      </c>
      <c r="O16594">
        <v>251107</v>
      </c>
      <c r="P16594">
        <v>69.63</v>
      </c>
    </row>
    <row r="16595" spans="1:16" x14ac:dyDescent="0.25">
      <c r="A16595" t="s">
        <v>3296</v>
      </c>
      <c r="B16595" t="s">
        <v>2931</v>
      </c>
      <c r="C16595">
        <v>16091</v>
      </c>
      <c r="D16595" t="str">
        <f>"21153627    "</f>
        <v xml:space="preserve">21153627    </v>
      </c>
      <c r="E16595" t="s">
        <v>2828</v>
      </c>
      <c r="F16595" t="s">
        <v>2829</v>
      </c>
      <c r="G16595">
        <v>19.66</v>
      </c>
      <c r="H16595">
        <v>251130</v>
      </c>
      <c r="I16595">
        <v>4560</v>
      </c>
      <c r="J16595" t="s">
        <v>390</v>
      </c>
      <c r="K16595">
        <v>19.66</v>
      </c>
      <c r="L16595">
        <v>3.99</v>
      </c>
      <c r="M16595">
        <v>17802</v>
      </c>
      <c r="N16595" t="s">
        <v>18</v>
      </c>
      <c r="O16595">
        <v>251203</v>
      </c>
      <c r="P16595">
        <v>15.67</v>
      </c>
    </row>
    <row r="16596" spans="1:16" x14ac:dyDescent="0.25">
      <c r="A16596" t="s">
        <v>3296</v>
      </c>
      <c r="B16596" t="s">
        <v>2931</v>
      </c>
      <c r="C16596">
        <v>16198</v>
      </c>
      <c r="D16596" t="str">
        <f>"21153624    "</f>
        <v xml:space="preserve">21153624    </v>
      </c>
      <c r="E16596" t="s">
        <v>2828</v>
      </c>
      <c r="F16596" t="s">
        <v>2829</v>
      </c>
      <c r="G16596">
        <v>55.68</v>
      </c>
      <c r="H16596">
        <v>251130</v>
      </c>
      <c r="I16596">
        <v>4560</v>
      </c>
      <c r="J16596" t="s">
        <v>390</v>
      </c>
      <c r="K16596">
        <v>55.68</v>
      </c>
      <c r="L16596">
        <v>11.31</v>
      </c>
      <c r="M16596">
        <v>59702</v>
      </c>
      <c r="N16596" t="s">
        <v>45</v>
      </c>
      <c r="O16596">
        <v>251204</v>
      </c>
      <c r="P16596">
        <v>44.37</v>
      </c>
    </row>
    <row r="16597" spans="1:16" x14ac:dyDescent="0.25">
      <c r="A16597" t="s">
        <v>3296</v>
      </c>
      <c r="B16597" t="s">
        <v>2931</v>
      </c>
      <c r="C16597">
        <v>16208</v>
      </c>
      <c r="D16597" t="str">
        <f>"21153620    "</f>
        <v xml:space="preserve">21153620    </v>
      </c>
      <c r="E16597" t="s">
        <v>2828</v>
      </c>
      <c r="F16597" t="s">
        <v>2829</v>
      </c>
      <c r="G16597">
        <v>139.22999999999999</v>
      </c>
      <c r="H16597">
        <v>251130</v>
      </c>
      <c r="I16597">
        <v>4560</v>
      </c>
      <c r="J16597" t="s">
        <v>390</v>
      </c>
      <c r="K16597">
        <v>509.94</v>
      </c>
      <c r="L16597">
        <v>28.29</v>
      </c>
      <c r="M16597">
        <v>56559</v>
      </c>
      <c r="N16597" t="s">
        <v>51</v>
      </c>
      <c r="O16597">
        <v>251204</v>
      </c>
      <c r="P16597">
        <v>110.94</v>
      </c>
    </row>
    <row r="16598" spans="1:16" x14ac:dyDescent="0.25">
      <c r="A16598" t="s">
        <v>3296</v>
      </c>
      <c r="B16598" t="s">
        <v>2931</v>
      </c>
      <c r="C16598">
        <v>16208</v>
      </c>
      <c r="D16598" t="str">
        <f>"21153620    "</f>
        <v xml:space="preserve">21153620    </v>
      </c>
      <c r="E16598" t="s">
        <v>2828</v>
      </c>
      <c r="F16598" t="s">
        <v>2829</v>
      </c>
      <c r="G16598">
        <v>370.71</v>
      </c>
      <c r="H16598">
        <v>251130</v>
      </c>
      <c r="I16598">
        <v>4560</v>
      </c>
      <c r="J16598" t="s">
        <v>390</v>
      </c>
      <c r="K16598">
        <v>509.94</v>
      </c>
      <c r="L16598">
        <v>75.319999999999993</v>
      </c>
      <c r="M16598">
        <v>59702</v>
      </c>
      <c r="N16598" t="s">
        <v>45</v>
      </c>
      <c r="O16598">
        <v>251204</v>
      </c>
      <c r="P16598">
        <v>295.39</v>
      </c>
    </row>
    <row r="16599" spans="1:16" x14ac:dyDescent="0.25">
      <c r="A16599" t="s">
        <v>3296</v>
      </c>
      <c r="B16599" t="s">
        <v>2931</v>
      </c>
      <c r="C16599">
        <v>16212</v>
      </c>
      <c r="D16599" t="str">
        <f>"21153623    "</f>
        <v xml:space="preserve">21153623    </v>
      </c>
      <c r="E16599" t="s">
        <v>2828</v>
      </c>
      <c r="F16599" t="s">
        <v>2829</v>
      </c>
      <c r="G16599">
        <v>412.66</v>
      </c>
      <c r="H16599">
        <v>251130</v>
      </c>
      <c r="I16599">
        <v>4560</v>
      </c>
      <c r="J16599" t="s">
        <v>390</v>
      </c>
      <c r="K16599">
        <v>412.66</v>
      </c>
      <c r="L16599">
        <v>83.85</v>
      </c>
      <c r="M16599">
        <v>59501</v>
      </c>
      <c r="N16599" t="s">
        <v>62</v>
      </c>
      <c r="O16599">
        <v>251204</v>
      </c>
      <c r="P16599">
        <v>328.81</v>
      </c>
    </row>
    <row r="16600" spans="1:16" x14ac:dyDescent="0.25">
      <c r="A16600" t="s">
        <v>3296</v>
      </c>
      <c r="B16600" t="s">
        <v>2931</v>
      </c>
      <c r="C16600">
        <v>16641</v>
      </c>
      <c r="D16600" t="str">
        <f>"21153630    "</f>
        <v xml:space="preserve">21153630    </v>
      </c>
      <c r="E16600" t="s">
        <v>2828</v>
      </c>
      <c r="F16600" t="s">
        <v>2829</v>
      </c>
      <c r="G16600">
        <v>81.38</v>
      </c>
      <c r="H16600">
        <v>251130</v>
      </c>
      <c r="I16600">
        <v>4560</v>
      </c>
      <c r="J16600" t="s">
        <v>390</v>
      </c>
      <c r="K16600">
        <v>146.69</v>
      </c>
      <c r="L16600">
        <v>16.54</v>
      </c>
      <c r="M16600">
        <v>68601</v>
      </c>
      <c r="N16600" t="s">
        <v>1031</v>
      </c>
      <c r="O16600">
        <v>251211</v>
      </c>
      <c r="P16600">
        <v>64.84</v>
      </c>
    </row>
    <row r="16601" spans="1:16" x14ac:dyDescent="0.25">
      <c r="A16601" t="s">
        <v>3296</v>
      </c>
      <c r="B16601" t="s">
        <v>2931</v>
      </c>
      <c r="C16601">
        <v>17076</v>
      </c>
      <c r="D16601" t="str">
        <f t="shared" ref="D16601:D16607" si="275">"21153638    "</f>
        <v xml:space="preserve">21153638    </v>
      </c>
      <c r="E16601" t="s">
        <v>2828</v>
      </c>
      <c r="F16601" t="s">
        <v>2829</v>
      </c>
      <c r="G16601">
        <v>19.28</v>
      </c>
      <c r="H16601">
        <v>251130</v>
      </c>
      <c r="I16601">
        <v>4560</v>
      </c>
      <c r="J16601" t="s">
        <v>390</v>
      </c>
      <c r="K16601">
        <v>515.16999999999996</v>
      </c>
      <c r="L16601">
        <v>3.92</v>
      </c>
      <c r="M16601">
        <v>11605</v>
      </c>
      <c r="N16601" t="s">
        <v>1066</v>
      </c>
      <c r="O16601">
        <v>251217</v>
      </c>
      <c r="P16601">
        <v>15.36</v>
      </c>
    </row>
    <row r="16602" spans="1:16" x14ac:dyDescent="0.25">
      <c r="A16602" t="s">
        <v>3296</v>
      </c>
      <c r="B16602" t="s">
        <v>2931</v>
      </c>
      <c r="C16602">
        <v>17076</v>
      </c>
      <c r="D16602" t="str">
        <f t="shared" si="275"/>
        <v xml:space="preserve">21153638    </v>
      </c>
      <c r="E16602" t="s">
        <v>2828</v>
      </c>
      <c r="F16602" t="s">
        <v>2829</v>
      </c>
      <c r="G16602">
        <v>44.14</v>
      </c>
      <c r="H16602">
        <v>251130</v>
      </c>
      <c r="I16602">
        <v>4560</v>
      </c>
      <c r="J16602" t="s">
        <v>390</v>
      </c>
      <c r="K16602">
        <v>515.16999999999996</v>
      </c>
      <c r="L16602">
        <v>8.9700000000000006</v>
      </c>
      <c r="M16602">
        <v>13501</v>
      </c>
      <c r="N16602" t="s">
        <v>66</v>
      </c>
      <c r="O16602">
        <v>251217</v>
      </c>
      <c r="P16602">
        <v>35.17</v>
      </c>
    </row>
    <row r="16603" spans="1:16" x14ac:dyDescent="0.25">
      <c r="A16603" t="s">
        <v>3296</v>
      </c>
      <c r="B16603" t="s">
        <v>2931</v>
      </c>
      <c r="C16603">
        <v>17076</v>
      </c>
      <c r="D16603" t="str">
        <f t="shared" si="275"/>
        <v xml:space="preserve">21153638    </v>
      </c>
      <c r="E16603" t="s">
        <v>2828</v>
      </c>
      <c r="F16603" t="s">
        <v>2829</v>
      </c>
      <c r="G16603">
        <v>98.85</v>
      </c>
      <c r="H16603">
        <v>251130</v>
      </c>
      <c r="I16603">
        <v>4560</v>
      </c>
      <c r="J16603" t="s">
        <v>390</v>
      </c>
      <c r="K16603">
        <v>515.16999999999996</v>
      </c>
      <c r="L16603">
        <v>20.09</v>
      </c>
      <c r="M16603">
        <v>17521</v>
      </c>
      <c r="N16603" t="s">
        <v>136</v>
      </c>
      <c r="O16603">
        <v>251217</v>
      </c>
      <c r="P16603">
        <v>78.760000000000005</v>
      </c>
    </row>
    <row r="16604" spans="1:16" x14ac:dyDescent="0.25">
      <c r="A16604" t="s">
        <v>3296</v>
      </c>
      <c r="B16604" t="s">
        <v>2931</v>
      </c>
      <c r="C16604">
        <v>17076</v>
      </c>
      <c r="D16604" t="str">
        <f t="shared" si="275"/>
        <v xml:space="preserve">21153638    </v>
      </c>
      <c r="E16604" t="s">
        <v>2828</v>
      </c>
      <c r="F16604" t="s">
        <v>2829</v>
      </c>
      <c r="G16604">
        <v>14.92</v>
      </c>
      <c r="H16604">
        <v>251130</v>
      </c>
      <c r="I16604">
        <v>4560</v>
      </c>
      <c r="J16604" t="s">
        <v>390</v>
      </c>
      <c r="K16604">
        <v>515.16999999999996</v>
      </c>
      <c r="L16604">
        <v>3.03</v>
      </c>
      <c r="M16604">
        <v>17523</v>
      </c>
      <c r="N16604" t="s">
        <v>138</v>
      </c>
      <c r="O16604">
        <v>251217</v>
      </c>
      <c r="P16604">
        <v>11.89</v>
      </c>
    </row>
    <row r="16605" spans="1:16" x14ac:dyDescent="0.25">
      <c r="A16605" t="s">
        <v>3296</v>
      </c>
      <c r="B16605" t="s">
        <v>2931</v>
      </c>
      <c r="C16605">
        <v>17076</v>
      </c>
      <c r="D16605" t="str">
        <f t="shared" si="275"/>
        <v xml:space="preserve">21153638    </v>
      </c>
      <c r="E16605" t="s">
        <v>2828</v>
      </c>
      <c r="F16605" t="s">
        <v>2829</v>
      </c>
      <c r="G16605">
        <v>115.08</v>
      </c>
      <c r="H16605">
        <v>251130</v>
      </c>
      <c r="I16605">
        <v>4560</v>
      </c>
      <c r="J16605" t="s">
        <v>390</v>
      </c>
      <c r="K16605">
        <v>515.16999999999996</v>
      </c>
      <c r="L16605">
        <v>23.38</v>
      </c>
      <c r="M16605">
        <v>17527</v>
      </c>
      <c r="N16605" t="s">
        <v>142</v>
      </c>
      <c r="O16605">
        <v>251217</v>
      </c>
      <c r="P16605">
        <v>91.7</v>
      </c>
    </row>
    <row r="16606" spans="1:16" x14ac:dyDescent="0.25">
      <c r="A16606" t="s">
        <v>3296</v>
      </c>
      <c r="B16606" t="s">
        <v>2931</v>
      </c>
      <c r="C16606">
        <v>17076</v>
      </c>
      <c r="D16606" t="str">
        <f t="shared" si="275"/>
        <v xml:space="preserve">21153638    </v>
      </c>
      <c r="E16606" t="s">
        <v>2828</v>
      </c>
      <c r="F16606" t="s">
        <v>2829</v>
      </c>
      <c r="G16606">
        <v>56.89</v>
      </c>
      <c r="H16606">
        <v>251130</v>
      </c>
      <c r="I16606">
        <v>4560</v>
      </c>
      <c r="J16606" t="s">
        <v>390</v>
      </c>
      <c r="K16606">
        <v>515.16999999999996</v>
      </c>
      <c r="L16606">
        <v>11.56</v>
      </c>
      <c r="M16606">
        <v>17538</v>
      </c>
      <c r="N16606" t="s">
        <v>129</v>
      </c>
      <c r="O16606">
        <v>251217</v>
      </c>
      <c r="P16606">
        <v>45.33</v>
      </c>
    </row>
    <row r="16607" spans="1:16" x14ac:dyDescent="0.25">
      <c r="A16607" t="s">
        <v>3296</v>
      </c>
      <c r="B16607" t="s">
        <v>2931</v>
      </c>
      <c r="C16607">
        <v>17076</v>
      </c>
      <c r="D16607" t="str">
        <f t="shared" si="275"/>
        <v xml:space="preserve">21153638    </v>
      </c>
      <c r="E16607" t="s">
        <v>2828</v>
      </c>
      <c r="F16607" t="s">
        <v>2829</v>
      </c>
      <c r="G16607">
        <v>123.85</v>
      </c>
      <c r="H16607">
        <v>251130</v>
      </c>
      <c r="I16607">
        <v>4560</v>
      </c>
      <c r="J16607" t="s">
        <v>390</v>
      </c>
      <c r="K16607">
        <v>515.16999999999996</v>
      </c>
      <c r="L16607">
        <v>25.16</v>
      </c>
      <c r="M16607">
        <v>17538</v>
      </c>
      <c r="N16607" t="s">
        <v>129</v>
      </c>
      <c r="O16607">
        <v>251217</v>
      </c>
      <c r="P16607">
        <v>98.69</v>
      </c>
    </row>
    <row r="16608" spans="1:16" x14ac:dyDescent="0.25">
      <c r="A16608" t="s">
        <v>3296</v>
      </c>
      <c r="B16608" t="s">
        <v>2931</v>
      </c>
      <c r="C16608">
        <v>18065</v>
      </c>
      <c r="D16608" t="str">
        <f>"21203797    "</f>
        <v xml:space="preserve">21203797    </v>
      </c>
      <c r="E16608" t="s">
        <v>2828</v>
      </c>
      <c r="F16608" t="s">
        <v>2829</v>
      </c>
      <c r="G16608">
        <v>171.33</v>
      </c>
      <c r="H16608">
        <v>251231</v>
      </c>
      <c r="I16608">
        <v>4560</v>
      </c>
      <c r="J16608" t="s">
        <v>390</v>
      </c>
      <c r="K16608">
        <v>235.01</v>
      </c>
      <c r="L16608">
        <v>34.81</v>
      </c>
      <c r="M16608">
        <v>59702</v>
      </c>
      <c r="N16608" t="s">
        <v>45</v>
      </c>
      <c r="O16608">
        <v>260108</v>
      </c>
      <c r="P16608">
        <v>136.52000000000001</v>
      </c>
    </row>
    <row r="16609" spans="1:16" x14ac:dyDescent="0.25">
      <c r="A16609" t="s">
        <v>3296</v>
      </c>
      <c r="B16609" t="s">
        <v>2931</v>
      </c>
      <c r="C16609">
        <v>18065</v>
      </c>
      <c r="D16609" t="str">
        <f>"21203797    "</f>
        <v xml:space="preserve">21203797    </v>
      </c>
      <c r="E16609" t="s">
        <v>2828</v>
      </c>
      <c r="F16609" t="s">
        <v>2829</v>
      </c>
      <c r="G16609">
        <v>63.68</v>
      </c>
      <c r="H16609">
        <v>251231</v>
      </c>
      <c r="I16609">
        <v>4560</v>
      </c>
      <c r="J16609" t="s">
        <v>390</v>
      </c>
      <c r="K16609">
        <v>235.01</v>
      </c>
      <c r="L16609">
        <v>12.94</v>
      </c>
      <c r="M16609">
        <v>59801</v>
      </c>
      <c r="N16609" t="s">
        <v>2830</v>
      </c>
      <c r="O16609">
        <v>260108</v>
      </c>
      <c r="P16609">
        <v>50.74</v>
      </c>
    </row>
    <row r="16610" spans="1:16" x14ac:dyDescent="0.25">
      <c r="A16610" t="s">
        <v>3296</v>
      </c>
      <c r="B16610" t="s">
        <v>2931</v>
      </c>
      <c r="C16610">
        <v>18077</v>
      </c>
      <c r="D16610" t="str">
        <f>"21203800    "</f>
        <v xml:space="preserve">21203800    </v>
      </c>
      <c r="E16610" t="s">
        <v>2828</v>
      </c>
      <c r="F16610" t="s">
        <v>2829</v>
      </c>
      <c r="G16610">
        <v>351.83</v>
      </c>
      <c r="H16610">
        <v>251231</v>
      </c>
      <c r="I16610">
        <v>4560</v>
      </c>
      <c r="J16610" t="s">
        <v>390</v>
      </c>
      <c r="K16610">
        <v>351.83</v>
      </c>
      <c r="L16610">
        <v>71.489999999999995</v>
      </c>
      <c r="M16610">
        <v>59501</v>
      </c>
      <c r="N16610" t="s">
        <v>62</v>
      </c>
      <c r="O16610">
        <v>260108</v>
      </c>
      <c r="P16610">
        <v>280.33999999999997</v>
      </c>
    </row>
    <row r="16611" spans="1:16" x14ac:dyDescent="0.25">
      <c r="A16611" t="s">
        <v>3296</v>
      </c>
      <c r="B16611" t="s">
        <v>2931</v>
      </c>
      <c r="C16611">
        <v>18079</v>
      </c>
      <c r="D16611" t="str">
        <f>"21203803    "</f>
        <v xml:space="preserve">21203803    </v>
      </c>
      <c r="E16611" t="s">
        <v>2828</v>
      </c>
      <c r="F16611" t="s">
        <v>2829</v>
      </c>
      <c r="G16611">
        <v>88.25</v>
      </c>
      <c r="H16611">
        <v>251231</v>
      </c>
      <c r="I16611">
        <v>4560</v>
      </c>
      <c r="J16611" t="s">
        <v>390</v>
      </c>
      <c r="K16611">
        <v>273.20999999999998</v>
      </c>
      <c r="L16611">
        <v>17.93</v>
      </c>
      <c r="M16611">
        <v>17804</v>
      </c>
      <c r="N16611" t="s">
        <v>20</v>
      </c>
      <c r="O16611">
        <v>260108</v>
      </c>
      <c r="P16611">
        <v>70.319999999999993</v>
      </c>
    </row>
    <row r="16612" spans="1:16" x14ac:dyDescent="0.25">
      <c r="A16612" t="s">
        <v>3296</v>
      </c>
      <c r="B16612" t="s">
        <v>2931</v>
      </c>
      <c r="C16612">
        <v>18079</v>
      </c>
      <c r="D16612" t="str">
        <f>"21203803    "</f>
        <v xml:space="preserve">21203803    </v>
      </c>
      <c r="E16612" t="s">
        <v>2828</v>
      </c>
      <c r="F16612" t="s">
        <v>2829</v>
      </c>
      <c r="G16612">
        <v>93.35</v>
      </c>
      <c r="H16612">
        <v>251231</v>
      </c>
      <c r="I16612">
        <v>4560</v>
      </c>
      <c r="J16612" t="s">
        <v>390</v>
      </c>
      <c r="K16612">
        <v>273.20999999999998</v>
      </c>
      <c r="L16612">
        <v>18.97</v>
      </c>
      <c r="M16612">
        <v>17804</v>
      </c>
      <c r="N16612" t="s">
        <v>20</v>
      </c>
      <c r="O16612">
        <v>260108</v>
      </c>
      <c r="P16612">
        <v>74.38</v>
      </c>
    </row>
    <row r="16613" spans="1:16" x14ac:dyDescent="0.25">
      <c r="A16613" t="s">
        <v>3296</v>
      </c>
      <c r="B16613" t="s">
        <v>2931</v>
      </c>
      <c r="C16613">
        <v>18079</v>
      </c>
      <c r="D16613" t="str">
        <f>"21203803    "</f>
        <v xml:space="preserve">21203803    </v>
      </c>
      <c r="E16613" t="s">
        <v>2828</v>
      </c>
      <c r="F16613" t="s">
        <v>2829</v>
      </c>
      <c r="G16613">
        <v>91.61</v>
      </c>
      <c r="H16613">
        <v>251231</v>
      </c>
      <c r="I16613">
        <v>4560</v>
      </c>
      <c r="J16613" t="s">
        <v>390</v>
      </c>
      <c r="K16613">
        <v>273.20999999999998</v>
      </c>
      <c r="L16613">
        <v>18.61</v>
      </c>
      <c r="M16613">
        <v>17809</v>
      </c>
      <c r="N16613" t="s">
        <v>25</v>
      </c>
      <c r="O16613">
        <v>260108</v>
      </c>
      <c r="P16613">
        <v>73</v>
      </c>
    </row>
    <row r="16614" spans="1:16" x14ac:dyDescent="0.25">
      <c r="A16614" t="s">
        <v>3296</v>
      </c>
      <c r="B16614" t="s">
        <v>2931</v>
      </c>
      <c r="C16614">
        <v>18095</v>
      </c>
      <c r="D16614" t="str">
        <f>"21203798    "</f>
        <v xml:space="preserve">21203798    </v>
      </c>
      <c r="E16614" t="s">
        <v>2828</v>
      </c>
      <c r="F16614" t="s">
        <v>2829</v>
      </c>
      <c r="G16614">
        <v>260.64999999999998</v>
      </c>
      <c r="H16614">
        <v>251231</v>
      </c>
      <c r="I16614">
        <v>4560</v>
      </c>
      <c r="J16614" t="s">
        <v>390</v>
      </c>
      <c r="K16614">
        <v>260.64999999999998</v>
      </c>
      <c r="L16614">
        <v>0</v>
      </c>
      <c r="M16614">
        <v>11001</v>
      </c>
      <c r="N16614" t="s">
        <v>93</v>
      </c>
      <c r="O16614">
        <v>260109</v>
      </c>
      <c r="P16614">
        <v>260.64999999999998</v>
      </c>
    </row>
    <row r="16615" spans="1:16" x14ac:dyDescent="0.25">
      <c r="A16615" t="s">
        <v>3296</v>
      </c>
      <c r="B16615" t="s">
        <v>2931</v>
      </c>
      <c r="C16615">
        <v>18241</v>
      </c>
      <c r="D16615" t="str">
        <f>"21203795    "</f>
        <v xml:space="preserve">21203795    </v>
      </c>
      <c r="E16615" t="s">
        <v>2828</v>
      </c>
      <c r="F16615" t="s">
        <v>2829</v>
      </c>
      <c r="G16615">
        <v>18.100000000000001</v>
      </c>
      <c r="H16615">
        <v>251231</v>
      </c>
      <c r="I16615">
        <v>4560</v>
      </c>
      <c r="J16615" t="s">
        <v>390</v>
      </c>
      <c r="K16615">
        <v>417.4</v>
      </c>
      <c r="L16615">
        <v>3.68</v>
      </c>
      <c r="M16615">
        <v>13501</v>
      </c>
      <c r="N16615" t="s">
        <v>66</v>
      </c>
      <c r="O16615">
        <v>260112</v>
      </c>
      <c r="P16615">
        <v>14.42</v>
      </c>
    </row>
    <row r="16616" spans="1:16" x14ac:dyDescent="0.25">
      <c r="A16616" t="s">
        <v>3296</v>
      </c>
      <c r="B16616" t="s">
        <v>2931</v>
      </c>
      <c r="C16616">
        <v>18241</v>
      </c>
      <c r="D16616" t="str">
        <f>"21203795    "</f>
        <v xml:space="preserve">21203795    </v>
      </c>
      <c r="E16616" t="s">
        <v>2828</v>
      </c>
      <c r="F16616" t="s">
        <v>2829</v>
      </c>
      <c r="G16616">
        <v>29.27</v>
      </c>
      <c r="H16616">
        <v>251231</v>
      </c>
      <c r="I16616">
        <v>4560</v>
      </c>
      <c r="J16616" t="s">
        <v>390</v>
      </c>
      <c r="K16616">
        <v>417.4</v>
      </c>
      <c r="L16616">
        <v>5.95</v>
      </c>
      <c r="M16616">
        <v>17521</v>
      </c>
      <c r="N16616" t="s">
        <v>136</v>
      </c>
      <c r="O16616">
        <v>260112</v>
      </c>
      <c r="P16616">
        <v>23.32</v>
      </c>
    </row>
    <row r="16617" spans="1:16" x14ac:dyDescent="0.25">
      <c r="A16617" t="s">
        <v>3296</v>
      </c>
      <c r="B16617" t="s">
        <v>2931</v>
      </c>
      <c r="C16617">
        <v>18241</v>
      </c>
      <c r="D16617" t="str">
        <f>"21203795    "</f>
        <v xml:space="preserve">21203795    </v>
      </c>
      <c r="E16617" t="s">
        <v>2828</v>
      </c>
      <c r="F16617" t="s">
        <v>2829</v>
      </c>
      <c r="G16617">
        <v>38.53</v>
      </c>
      <c r="H16617">
        <v>251231</v>
      </c>
      <c r="I16617">
        <v>4560</v>
      </c>
      <c r="J16617" t="s">
        <v>390</v>
      </c>
      <c r="K16617">
        <v>417.4</v>
      </c>
      <c r="L16617">
        <v>7.83</v>
      </c>
      <c r="M16617">
        <v>17522</v>
      </c>
      <c r="N16617" t="s">
        <v>137</v>
      </c>
      <c r="O16617">
        <v>260112</v>
      </c>
      <c r="P16617">
        <v>30.7</v>
      </c>
    </row>
    <row r="16618" spans="1:16" x14ac:dyDescent="0.25">
      <c r="A16618" t="s">
        <v>3296</v>
      </c>
      <c r="B16618" t="s">
        <v>2931</v>
      </c>
      <c r="C16618">
        <v>18241</v>
      </c>
      <c r="D16618" t="str">
        <f>"21203795    "</f>
        <v xml:space="preserve">21203795    </v>
      </c>
      <c r="E16618" t="s">
        <v>2828</v>
      </c>
      <c r="F16618" t="s">
        <v>2829</v>
      </c>
      <c r="G16618">
        <v>87.48</v>
      </c>
      <c r="H16618">
        <v>251231</v>
      </c>
      <c r="I16618">
        <v>4560</v>
      </c>
      <c r="J16618" t="s">
        <v>390</v>
      </c>
      <c r="K16618">
        <v>417.4</v>
      </c>
      <c r="L16618">
        <v>17.77</v>
      </c>
      <c r="M16618">
        <v>17523</v>
      </c>
      <c r="N16618" t="s">
        <v>138</v>
      </c>
      <c r="O16618">
        <v>260112</v>
      </c>
      <c r="P16618">
        <v>69.709999999999994</v>
      </c>
    </row>
    <row r="16619" spans="1:16" x14ac:dyDescent="0.25">
      <c r="A16619" t="s">
        <v>3296</v>
      </c>
      <c r="B16619" t="s">
        <v>2931</v>
      </c>
      <c r="C16619">
        <v>13424</v>
      </c>
      <c r="D16619" t="str">
        <f>"21057633    "</f>
        <v xml:space="preserve">21057633    </v>
      </c>
      <c r="E16619" t="s">
        <v>2828</v>
      </c>
      <c r="F16619" t="s">
        <v>2829</v>
      </c>
      <c r="G16619">
        <v>122.49</v>
      </c>
      <c r="H16619">
        <v>250930</v>
      </c>
      <c r="I16619">
        <v>4572</v>
      </c>
      <c r="J16619" t="s">
        <v>173</v>
      </c>
      <c r="K16619">
        <v>122.49</v>
      </c>
      <c r="L16619">
        <v>24.89</v>
      </c>
      <c r="M16619">
        <v>44222</v>
      </c>
      <c r="N16619" t="s">
        <v>96</v>
      </c>
      <c r="O16619">
        <v>251009</v>
      </c>
      <c r="P16619">
        <v>97.6</v>
      </c>
    </row>
    <row r="16620" spans="1:16" x14ac:dyDescent="0.25">
      <c r="A16620" t="s">
        <v>3296</v>
      </c>
      <c r="B16620" t="s">
        <v>2931</v>
      </c>
      <c r="C16620">
        <v>4681</v>
      </c>
      <c r="D16620" t="str">
        <f>"20790023    "</f>
        <v xml:space="preserve">20790023    </v>
      </c>
      <c r="E16620" t="s">
        <v>2828</v>
      </c>
      <c r="F16620" t="s">
        <v>2829</v>
      </c>
      <c r="G16620">
        <v>342.02</v>
      </c>
      <c r="H16620">
        <v>250331</v>
      </c>
      <c r="I16620">
        <v>4580</v>
      </c>
      <c r="J16620" t="s">
        <v>126</v>
      </c>
      <c r="K16620">
        <v>407.08</v>
      </c>
      <c r="L16620">
        <v>69.489999999999995</v>
      </c>
      <c r="M16620">
        <v>17737</v>
      </c>
      <c r="N16620" t="s">
        <v>156</v>
      </c>
      <c r="O16620">
        <v>250414</v>
      </c>
      <c r="P16620">
        <v>272.52999999999997</v>
      </c>
    </row>
    <row r="16621" spans="1:16" x14ac:dyDescent="0.25">
      <c r="A16621" t="s">
        <v>3296</v>
      </c>
      <c r="B16621" t="s">
        <v>2931</v>
      </c>
      <c r="C16621">
        <v>4692</v>
      </c>
      <c r="D16621" t="str">
        <f>"20790037    "</f>
        <v xml:space="preserve">20790037    </v>
      </c>
      <c r="E16621" t="s">
        <v>2828</v>
      </c>
      <c r="F16621" t="s">
        <v>2829</v>
      </c>
      <c r="G16621">
        <v>39.15</v>
      </c>
      <c r="H16621">
        <v>250331</v>
      </c>
      <c r="I16621">
        <v>4580</v>
      </c>
      <c r="J16621" t="s">
        <v>126</v>
      </c>
      <c r="K16621">
        <v>224.34</v>
      </c>
      <c r="L16621">
        <v>7.95</v>
      </c>
      <c r="M16621">
        <v>44222</v>
      </c>
      <c r="N16621" t="s">
        <v>96</v>
      </c>
      <c r="O16621">
        <v>250414</v>
      </c>
      <c r="P16621">
        <v>31.2</v>
      </c>
    </row>
    <row r="16622" spans="1:16" x14ac:dyDescent="0.25">
      <c r="A16622" t="s">
        <v>3296</v>
      </c>
      <c r="B16622" t="s">
        <v>2931</v>
      </c>
      <c r="C16622">
        <v>11974</v>
      </c>
      <c r="D16622" t="str">
        <f>"21011814    "</f>
        <v xml:space="preserve">21011814    </v>
      </c>
      <c r="E16622" t="s">
        <v>2828</v>
      </c>
      <c r="F16622" t="s">
        <v>2829</v>
      </c>
      <c r="G16622">
        <v>29.35</v>
      </c>
      <c r="H16622">
        <v>250831</v>
      </c>
      <c r="I16622">
        <v>4580</v>
      </c>
      <c r="J16622" t="s">
        <v>126</v>
      </c>
      <c r="K16622">
        <v>213.18</v>
      </c>
      <c r="L16622">
        <v>5.96</v>
      </c>
      <c r="M16622">
        <v>59111</v>
      </c>
      <c r="N16622" t="s">
        <v>60</v>
      </c>
      <c r="O16622">
        <v>250915</v>
      </c>
      <c r="P16622">
        <v>23.39</v>
      </c>
    </row>
    <row r="16623" spans="1:16" x14ac:dyDescent="0.25">
      <c r="A16623" t="s">
        <v>3296</v>
      </c>
      <c r="B16623" t="s">
        <v>2931</v>
      </c>
      <c r="C16623">
        <v>14650</v>
      </c>
      <c r="D16623" t="str">
        <f>"21104604    "</f>
        <v xml:space="preserve">21104604    </v>
      </c>
      <c r="E16623" t="s">
        <v>2828</v>
      </c>
      <c r="F16623" t="s">
        <v>2829</v>
      </c>
      <c r="G16623">
        <v>414.07</v>
      </c>
      <c r="H16623">
        <v>251031</v>
      </c>
      <c r="I16623">
        <v>4580</v>
      </c>
      <c r="J16623" t="s">
        <v>126</v>
      </c>
      <c r="K16623">
        <v>455.5</v>
      </c>
      <c r="L16623">
        <v>84.13</v>
      </c>
      <c r="M16623">
        <v>16431</v>
      </c>
      <c r="N16623" t="s">
        <v>17</v>
      </c>
      <c r="O16623">
        <v>251105</v>
      </c>
      <c r="P16623">
        <v>329.94</v>
      </c>
    </row>
    <row r="16624" spans="1:16" x14ac:dyDescent="0.25">
      <c r="A16624" t="s">
        <v>3296</v>
      </c>
      <c r="B16624" t="s">
        <v>2931</v>
      </c>
      <c r="C16624">
        <v>18241</v>
      </c>
      <c r="D16624" t="str">
        <f>"21203795    "</f>
        <v xml:space="preserve">21203795    </v>
      </c>
      <c r="E16624" t="s">
        <v>2828</v>
      </c>
      <c r="F16624" t="s">
        <v>2829</v>
      </c>
      <c r="G16624">
        <v>244.02</v>
      </c>
      <c r="H16624">
        <v>251231</v>
      </c>
      <c r="I16624">
        <v>4580</v>
      </c>
      <c r="J16624" t="s">
        <v>126</v>
      </c>
      <c r="K16624">
        <v>417.4</v>
      </c>
      <c r="L16624">
        <v>0</v>
      </c>
      <c r="M16624">
        <v>17534</v>
      </c>
      <c r="N16624" t="s">
        <v>148</v>
      </c>
      <c r="O16624">
        <v>260112</v>
      </c>
      <c r="P16624">
        <v>244.02</v>
      </c>
    </row>
    <row r="16625" spans="1:16" x14ac:dyDescent="0.25">
      <c r="A16625" t="s">
        <v>3296</v>
      </c>
      <c r="B16625" t="s">
        <v>2931</v>
      </c>
      <c r="C16625">
        <v>1114</v>
      </c>
      <c r="D16625" t="str">
        <f>"20704898    "</f>
        <v xml:space="preserve">20704898    </v>
      </c>
      <c r="E16625" t="s">
        <v>2828</v>
      </c>
      <c r="F16625" t="s">
        <v>2829</v>
      </c>
      <c r="G16625">
        <v>98.81</v>
      </c>
      <c r="H16625">
        <v>250131</v>
      </c>
      <c r="I16625">
        <v>4600</v>
      </c>
      <c r="J16625" t="s">
        <v>278</v>
      </c>
      <c r="K16625">
        <v>295.66000000000003</v>
      </c>
      <c r="L16625">
        <v>20.079999999999998</v>
      </c>
      <c r="M16625">
        <v>54451</v>
      </c>
      <c r="N16625" t="s">
        <v>218</v>
      </c>
      <c r="O16625">
        <v>250204</v>
      </c>
      <c r="P16625">
        <v>78.73</v>
      </c>
    </row>
    <row r="16626" spans="1:16" x14ac:dyDescent="0.25">
      <c r="A16626" t="s">
        <v>3296</v>
      </c>
      <c r="B16626" t="s">
        <v>2931</v>
      </c>
      <c r="C16626">
        <v>1182</v>
      </c>
      <c r="D16626" t="str">
        <f>"20704910    "</f>
        <v xml:space="preserve">20704910    </v>
      </c>
      <c r="E16626" t="s">
        <v>2828</v>
      </c>
      <c r="F16626" t="s">
        <v>2829</v>
      </c>
      <c r="G16626">
        <v>11.52</v>
      </c>
      <c r="H16626">
        <v>250130</v>
      </c>
      <c r="I16626">
        <v>4600</v>
      </c>
      <c r="J16626" t="s">
        <v>278</v>
      </c>
      <c r="K16626">
        <v>20.74</v>
      </c>
      <c r="L16626">
        <v>2.34</v>
      </c>
      <c r="M16626">
        <v>13401</v>
      </c>
      <c r="N16626" t="s">
        <v>10</v>
      </c>
      <c r="O16626">
        <v>250205</v>
      </c>
      <c r="P16626">
        <v>9.18</v>
      </c>
    </row>
    <row r="16627" spans="1:16" x14ac:dyDescent="0.25">
      <c r="A16627" t="s">
        <v>3296</v>
      </c>
      <c r="B16627" t="s">
        <v>2931</v>
      </c>
      <c r="C16627">
        <v>1262</v>
      </c>
      <c r="D16627" t="str">
        <f>"20704897    "</f>
        <v xml:space="preserve">20704897    </v>
      </c>
      <c r="E16627" t="s">
        <v>2828</v>
      </c>
      <c r="F16627" t="s">
        <v>2829</v>
      </c>
      <c r="G16627">
        <v>0.59</v>
      </c>
      <c r="H16627">
        <v>250131</v>
      </c>
      <c r="I16627">
        <v>4600</v>
      </c>
      <c r="J16627" t="s">
        <v>278</v>
      </c>
      <c r="K16627">
        <v>219.84</v>
      </c>
      <c r="L16627">
        <v>0.12</v>
      </c>
      <c r="M16627">
        <v>17131</v>
      </c>
      <c r="N16627" t="s">
        <v>154</v>
      </c>
      <c r="O16627">
        <v>250206</v>
      </c>
      <c r="P16627">
        <v>0.47</v>
      </c>
    </row>
    <row r="16628" spans="1:16" x14ac:dyDescent="0.25">
      <c r="A16628" t="s">
        <v>3296</v>
      </c>
      <c r="B16628" t="s">
        <v>2931</v>
      </c>
      <c r="C16628">
        <v>1262</v>
      </c>
      <c r="D16628" t="str">
        <f>"20704897    "</f>
        <v xml:space="preserve">20704897    </v>
      </c>
      <c r="E16628" t="s">
        <v>2828</v>
      </c>
      <c r="F16628" t="s">
        <v>2829</v>
      </c>
      <c r="G16628">
        <v>0.28999999999999998</v>
      </c>
      <c r="H16628">
        <v>250131</v>
      </c>
      <c r="I16628">
        <v>4600</v>
      </c>
      <c r="J16628" t="s">
        <v>278</v>
      </c>
      <c r="K16628">
        <v>219.84</v>
      </c>
      <c r="L16628">
        <v>0.06</v>
      </c>
      <c r="M16628">
        <v>17972</v>
      </c>
      <c r="N16628" t="s">
        <v>28</v>
      </c>
      <c r="O16628">
        <v>250206</v>
      </c>
      <c r="P16628">
        <v>0.23</v>
      </c>
    </row>
    <row r="16629" spans="1:16" x14ac:dyDescent="0.25">
      <c r="A16629" t="s">
        <v>3296</v>
      </c>
      <c r="B16629" t="s">
        <v>2931</v>
      </c>
      <c r="C16629">
        <v>1333</v>
      </c>
      <c r="D16629" t="str">
        <f>"20704903    "</f>
        <v xml:space="preserve">20704903    </v>
      </c>
      <c r="E16629" t="s">
        <v>2828</v>
      </c>
      <c r="F16629" t="s">
        <v>2829</v>
      </c>
      <c r="G16629">
        <v>1.81</v>
      </c>
      <c r="H16629">
        <v>250131</v>
      </c>
      <c r="I16629">
        <v>4600</v>
      </c>
      <c r="J16629" t="s">
        <v>278</v>
      </c>
      <c r="K16629">
        <v>169.77</v>
      </c>
      <c r="L16629">
        <v>0.37</v>
      </c>
      <c r="M16629">
        <v>44251</v>
      </c>
      <c r="N16629" t="s">
        <v>215</v>
      </c>
      <c r="O16629">
        <v>250207</v>
      </c>
      <c r="P16629">
        <v>1.44</v>
      </c>
    </row>
    <row r="16630" spans="1:16" x14ac:dyDescent="0.25">
      <c r="A16630" t="s">
        <v>3296</v>
      </c>
      <c r="B16630" t="s">
        <v>2931</v>
      </c>
      <c r="C16630">
        <v>1505</v>
      </c>
      <c r="D16630" t="str">
        <f>"20704912    "</f>
        <v xml:space="preserve">20704912    </v>
      </c>
      <c r="E16630" t="s">
        <v>2828</v>
      </c>
      <c r="F16630" t="s">
        <v>2829</v>
      </c>
      <c r="G16630">
        <v>7.74</v>
      </c>
      <c r="H16630">
        <v>250131</v>
      </c>
      <c r="I16630">
        <v>4600</v>
      </c>
      <c r="J16630" t="s">
        <v>278</v>
      </c>
      <c r="K16630">
        <v>226.38</v>
      </c>
      <c r="L16630">
        <v>1.57</v>
      </c>
      <c r="M16630">
        <v>14321</v>
      </c>
      <c r="N16630" t="s">
        <v>72</v>
      </c>
      <c r="O16630">
        <v>250210</v>
      </c>
      <c r="P16630">
        <v>6.17</v>
      </c>
    </row>
    <row r="16631" spans="1:16" x14ac:dyDescent="0.25">
      <c r="A16631" t="s">
        <v>3296</v>
      </c>
      <c r="B16631" t="s">
        <v>2931</v>
      </c>
      <c r="C16631">
        <v>1505</v>
      </c>
      <c r="D16631" t="str">
        <f>"20704912    "</f>
        <v xml:space="preserve">20704912    </v>
      </c>
      <c r="E16631" t="s">
        <v>2828</v>
      </c>
      <c r="F16631" t="s">
        <v>2829</v>
      </c>
      <c r="G16631">
        <v>0.24</v>
      </c>
      <c r="H16631">
        <v>250131</v>
      </c>
      <c r="I16631">
        <v>4600</v>
      </c>
      <c r="J16631" t="s">
        <v>278</v>
      </c>
      <c r="K16631">
        <v>226.38</v>
      </c>
      <c r="L16631">
        <v>0.05</v>
      </c>
      <c r="M16631">
        <v>14422</v>
      </c>
      <c r="N16631" t="s">
        <v>73</v>
      </c>
      <c r="O16631">
        <v>250210</v>
      </c>
      <c r="P16631">
        <v>0.19</v>
      </c>
    </row>
    <row r="16632" spans="1:16" x14ac:dyDescent="0.25">
      <c r="A16632" t="s">
        <v>3296</v>
      </c>
      <c r="B16632" t="s">
        <v>2931</v>
      </c>
      <c r="C16632">
        <v>1505</v>
      </c>
      <c r="D16632" t="str">
        <f>"20704912    "</f>
        <v xml:space="preserve">20704912    </v>
      </c>
      <c r="E16632" t="s">
        <v>2828</v>
      </c>
      <c r="F16632" t="s">
        <v>2829</v>
      </c>
      <c r="G16632">
        <v>27.82</v>
      </c>
      <c r="H16632">
        <v>250131</v>
      </c>
      <c r="I16632">
        <v>4600</v>
      </c>
      <c r="J16632" t="s">
        <v>278</v>
      </c>
      <c r="K16632">
        <v>226.38</v>
      </c>
      <c r="L16632">
        <v>5.65</v>
      </c>
      <c r="M16632">
        <v>14951</v>
      </c>
      <c r="N16632" t="s">
        <v>186</v>
      </c>
      <c r="O16632">
        <v>250210</v>
      </c>
      <c r="P16632">
        <v>22.17</v>
      </c>
    </row>
    <row r="16633" spans="1:16" x14ac:dyDescent="0.25">
      <c r="A16633" t="s">
        <v>3296</v>
      </c>
      <c r="B16633" t="s">
        <v>2931</v>
      </c>
      <c r="C16633">
        <v>1938</v>
      </c>
      <c r="D16633" t="str">
        <f>"20704901    "</f>
        <v xml:space="preserve">20704901    </v>
      </c>
      <c r="E16633" t="s">
        <v>2828</v>
      </c>
      <c r="F16633" t="s">
        <v>2829</v>
      </c>
      <c r="G16633">
        <v>0.28999999999999998</v>
      </c>
      <c r="H16633">
        <v>250131</v>
      </c>
      <c r="I16633">
        <v>4600</v>
      </c>
      <c r="J16633" t="s">
        <v>278</v>
      </c>
      <c r="K16633">
        <v>94.24</v>
      </c>
      <c r="L16633">
        <v>0.06</v>
      </c>
      <c r="M16633">
        <v>13501</v>
      </c>
      <c r="N16633" t="s">
        <v>66</v>
      </c>
      <c r="O16633">
        <v>250218</v>
      </c>
      <c r="P16633">
        <v>0.23</v>
      </c>
    </row>
    <row r="16634" spans="1:16" x14ac:dyDescent="0.25">
      <c r="A16634" t="s">
        <v>3296</v>
      </c>
      <c r="B16634" t="s">
        <v>2931</v>
      </c>
      <c r="C16634">
        <v>2947</v>
      </c>
      <c r="D16634" t="str">
        <f>"20746710    "</f>
        <v xml:space="preserve">20746710    </v>
      </c>
      <c r="E16634" t="s">
        <v>2828</v>
      </c>
      <c r="F16634" t="s">
        <v>2829</v>
      </c>
      <c r="G16634">
        <v>22.65</v>
      </c>
      <c r="H16634">
        <v>250228</v>
      </c>
      <c r="I16634">
        <v>4600</v>
      </c>
      <c r="J16634" t="s">
        <v>278</v>
      </c>
      <c r="K16634">
        <v>102.32</v>
      </c>
      <c r="L16634">
        <v>4.5999999999999996</v>
      </c>
      <c r="M16634">
        <v>44251</v>
      </c>
      <c r="N16634" t="s">
        <v>215</v>
      </c>
      <c r="O16634">
        <v>250313</v>
      </c>
      <c r="P16634">
        <v>18.05</v>
      </c>
    </row>
    <row r="16635" spans="1:16" x14ac:dyDescent="0.25">
      <c r="A16635" t="s">
        <v>3296</v>
      </c>
      <c r="B16635" t="s">
        <v>2931</v>
      </c>
      <c r="C16635">
        <v>3028</v>
      </c>
      <c r="D16635" t="str">
        <f>"20746715    "</f>
        <v xml:space="preserve">20746715    </v>
      </c>
      <c r="E16635" t="s">
        <v>2828</v>
      </c>
      <c r="F16635" t="s">
        <v>2829</v>
      </c>
      <c r="G16635">
        <v>16.05</v>
      </c>
      <c r="H16635">
        <v>250228</v>
      </c>
      <c r="I16635">
        <v>4600</v>
      </c>
      <c r="J16635" t="s">
        <v>278</v>
      </c>
      <c r="K16635">
        <v>126.97</v>
      </c>
      <c r="L16635">
        <v>3.26</v>
      </c>
      <c r="M16635">
        <v>68601</v>
      </c>
      <c r="N16635" t="s">
        <v>1031</v>
      </c>
      <c r="O16635">
        <v>250314</v>
      </c>
      <c r="P16635">
        <v>12.79</v>
      </c>
    </row>
    <row r="16636" spans="1:16" x14ac:dyDescent="0.25">
      <c r="A16636" t="s">
        <v>3296</v>
      </c>
      <c r="B16636" t="s">
        <v>2931</v>
      </c>
      <c r="C16636">
        <v>3031</v>
      </c>
      <c r="D16636" t="str">
        <f>"20746718    "</f>
        <v xml:space="preserve">20746718    </v>
      </c>
      <c r="E16636" t="s">
        <v>2828</v>
      </c>
      <c r="F16636" t="s">
        <v>2829</v>
      </c>
      <c r="G16636">
        <v>3.61</v>
      </c>
      <c r="H16636">
        <v>250228</v>
      </c>
      <c r="I16636">
        <v>4600</v>
      </c>
      <c r="J16636" t="s">
        <v>278</v>
      </c>
      <c r="K16636">
        <v>307.87</v>
      </c>
      <c r="L16636">
        <v>0.73</v>
      </c>
      <c r="M16636">
        <v>17912</v>
      </c>
      <c r="N16636" t="s">
        <v>505</v>
      </c>
      <c r="O16636">
        <v>250314</v>
      </c>
      <c r="P16636">
        <v>2.88</v>
      </c>
    </row>
    <row r="16637" spans="1:16" x14ac:dyDescent="0.25">
      <c r="A16637" t="s">
        <v>3296</v>
      </c>
      <c r="B16637" t="s">
        <v>2931</v>
      </c>
      <c r="C16637">
        <v>3360</v>
      </c>
      <c r="D16637" t="str">
        <f>"20746716    "</f>
        <v xml:space="preserve">20746716    </v>
      </c>
      <c r="E16637" t="s">
        <v>2828</v>
      </c>
      <c r="F16637" t="s">
        <v>2829</v>
      </c>
      <c r="G16637">
        <v>28.38</v>
      </c>
      <c r="H16637">
        <v>250228</v>
      </c>
      <c r="I16637">
        <v>4600</v>
      </c>
      <c r="J16637" t="s">
        <v>278</v>
      </c>
      <c r="K16637">
        <v>164.24</v>
      </c>
      <c r="L16637">
        <v>5.77</v>
      </c>
      <c r="M16637">
        <v>54251</v>
      </c>
      <c r="N16637" t="s">
        <v>485</v>
      </c>
      <c r="O16637">
        <v>250319</v>
      </c>
      <c r="P16637">
        <v>22.61</v>
      </c>
    </row>
    <row r="16638" spans="1:16" x14ac:dyDescent="0.25">
      <c r="A16638" t="s">
        <v>3296</v>
      </c>
      <c r="B16638" t="s">
        <v>2931</v>
      </c>
      <c r="C16638">
        <v>3360</v>
      </c>
      <c r="D16638" t="str">
        <f>"20746716    "</f>
        <v xml:space="preserve">20746716    </v>
      </c>
      <c r="E16638" t="s">
        <v>2828</v>
      </c>
      <c r="F16638" t="s">
        <v>2829</v>
      </c>
      <c r="G16638">
        <v>40.67</v>
      </c>
      <c r="H16638">
        <v>250228</v>
      </c>
      <c r="I16638">
        <v>4600</v>
      </c>
      <c r="J16638" t="s">
        <v>278</v>
      </c>
      <c r="K16638">
        <v>164.24</v>
      </c>
      <c r="L16638">
        <v>8.26</v>
      </c>
      <c r="M16638">
        <v>59111</v>
      </c>
      <c r="N16638" t="s">
        <v>60</v>
      </c>
      <c r="O16638">
        <v>250319</v>
      </c>
      <c r="P16638">
        <v>32.409999999999997</v>
      </c>
    </row>
    <row r="16639" spans="1:16" x14ac:dyDescent="0.25">
      <c r="A16639" t="s">
        <v>3296</v>
      </c>
      <c r="B16639" t="s">
        <v>2931</v>
      </c>
      <c r="C16639">
        <v>4623</v>
      </c>
      <c r="D16639" t="str">
        <f>"20790038    "</f>
        <v xml:space="preserve">20790038    </v>
      </c>
      <c r="E16639" t="s">
        <v>2828</v>
      </c>
      <c r="F16639" t="s">
        <v>2829</v>
      </c>
      <c r="G16639">
        <v>4.26</v>
      </c>
      <c r="H16639">
        <v>250331</v>
      </c>
      <c r="I16639">
        <v>4600</v>
      </c>
      <c r="J16639" t="s">
        <v>278</v>
      </c>
      <c r="K16639">
        <v>62.22</v>
      </c>
      <c r="L16639">
        <v>0.87</v>
      </c>
      <c r="M16639">
        <v>54451</v>
      </c>
      <c r="N16639" t="s">
        <v>218</v>
      </c>
      <c r="O16639">
        <v>250414</v>
      </c>
      <c r="P16639">
        <v>3.39</v>
      </c>
    </row>
    <row r="16640" spans="1:16" x14ac:dyDescent="0.25">
      <c r="A16640" t="s">
        <v>3296</v>
      </c>
      <c r="B16640" t="s">
        <v>2931</v>
      </c>
      <c r="C16640">
        <v>4667</v>
      </c>
      <c r="D16640" t="str">
        <f>"20790036    "</f>
        <v xml:space="preserve">20790036    </v>
      </c>
      <c r="E16640" t="s">
        <v>2828</v>
      </c>
      <c r="F16640" t="s">
        <v>2829</v>
      </c>
      <c r="G16640">
        <v>13.67</v>
      </c>
      <c r="H16640">
        <v>250331</v>
      </c>
      <c r="I16640">
        <v>4600</v>
      </c>
      <c r="J16640" t="s">
        <v>278</v>
      </c>
      <c r="K16640">
        <v>69.61</v>
      </c>
      <c r="L16640">
        <v>2.78</v>
      </c>
      <c r="M16640">
        <v>13401</v>
      </c>
      <c r="N16640" t="s">
        <v>10</v>
      </c>
      <c r="O16640">
        <v>250414</v>
      </c>
      <c r="P16640">
        <v>10.89</v>
      </c>
    </row>
    <row r="16641" spans="1:16" x14ac:dyDescent="0.25">
      <c r="A16641" t="s">
        <v>3296</v>
      </c>
      <c r="B16641" t="s">
        <v>2931</v>
      </c>
      <c r="C16641">
        <v>4667</v>
      </c>
      <c r="D16641" t="str">
        <f>"20790036    "</f>
        <v xml:space="preserve">20790036    </v>
      </c>
      <c r="E16641" t="s">
        <v>2828</v>
      </c>
      <c r="F16641" t="s">
        <v>2829</v>
      </c>
      <c r="G16641">
        <v>55.94</v>
      </c>
      <c r="H16641">
        <v>250331</v>
      </c>
      <c r="I16641">
        <v>4600</v>
      </c>
      <c r="J16641" t="s">
        <v>278</v>
      </c>
      <c r="K16641">
        <v>69.61</v>
      </c>
      <c r="L16641">
        <v>6.87</v>
      </c>
      <c r="M16641">
        <v>13401</v>
      </c>
      <c r="N16641" t="s">
        <v>10</v>
      </c>
      <c r="O16641">
        <v>250414</v>
      </c>
      <c r="P16641">
        <v>49.07</v>
      </c>
    </row>
    <row r="16642" spans="1:16" x14ac:dyDescent="0.25">
      <c r="A16642" t="s">
        <v>3296</v>
      </c>
      <c r="B16642" t="s">
        <v>2931</v>
      </c>
      <c r="C16642">
        <v>4682</v>
      </c>
      <c r="D16642" t="str">
        <f>"20790030    "</f>
        <v xml:space="preserve">20790030    </v>
      </c>
      <c r="E16642" t="s">
        <v>2828</v>
      </c>
      <c r="F16642" t="s">
        <v>2829</v>
      </c>
      <c r="G16642">
        <v>1.91</v>
      </c>
      <c r="H16642">
        <v>250331</v>
      </c>
      <c r="I16642">
        <v>4600</v>
      </c>
      <c r="J16642" t="s">
        <v>278</v>
      </c>
      <c r="K16642">
        <v>378.31</v>
      </c>
      <c r="L16642">
        <v>0.39</v>
      </c>
      <c r="M16642">
        <v>13501</v>
      </c>
      <c r="N16642" t="s">
        <v>66</v>
      </c>
      <c r="O16642">
        <v>250414</v>
      </c>
      <c r="P16642">
        <v>1.52</v>
      </c>
    </row>
    <row r="16643" spans="1:16" x14ac:dyDescent="0.25">
      <c r="A16643" t="s">
        <v>3296</v>
      </c>
      <c r="B16643" t="s">
        <v>2931</v>
      </c>
      <c r="C16643">
        <v>4695</v>
      </c>
      <c r="D16643" t="str">
        <f>"20790039    "</f>
        <v xml:space="preserve">20790039    </v>
      </c>
      <c r="E16643" t="s">
        <v>2828</v>
      </c>
      <c r="F16643" t="s">
        <v>2829</v>
      </c>
      <c r="G16643">
        <v>1.96</v>
      </c>
      <c r="H16643">
        <v>250331</v>
      </c>
      <c r="I16643">
        <v>4600</v>
      </c>
      <c r="J16643" t="s">
        <v>278</v>
      </c>
      <c r="K16643">
        <v>81.77</v>
      </c>
      <c r="L16643">
        <v>0.4</v>
      </c>
      <c r="M16643">
        <v>14990</v>
      </c>
      <c r="N16643" t="s">
        <v>85</v>
      </c>
      <c r="O16643">
        <v>250414</v>
      </c>
      <c r="P16643">
        <v>1.56</v>
      </c>
    </row>
    <row r="16644" spans="1:16" x14ac:dyDescent="0.25">
      <c r="A16644" t="s">
        <v>3296</v>
      </c>
      <c r="B16644" t="s">
        <v>2931</v>
      </c>
      <c r="C16644">
        <v>4708</v>
      </c>
      <c r="D16644" t="str">
        <f>"20790034    "</f>
        <v xml:space="preserve">20790034    </v>
      </c>
      <c r="E16644" t="s">
        <v>2828</v>
      </c>
      <c r="F16644" t="s">
        <v>2829</v>
      </c>
      <c r="G16644">
        <v>2.61</v>
      </c>
      <c r="H16644">
        <v>250331</v>
      </c>
      <c r="I16644">
        <v>4600</v>
      </c>
      <c r="J16644" t="s">
        <v>278</v>
      </c>
      <c r="K16644">
        <v>135.62</v>
      </c>
      <c r="L16644">
        <v>0.53</v>
      </c>
      <c r="M16644">
        <v>59111</v>
      </c>
      <c r="N16644" t="s">
        <v>60</v>
      </c>
      <c r="O16644">
        <v>250414</v>
      </c>
      <c r="P16644">
        <v>2.08</v>
      </c>
    </row>
    <row r="16645" spans="1:16" x14ac:dyDescent="0.25">
      <c r="A16645" t="s">
        <v>3296</v>
      </c>
      <c r="B16645" t="s">
        <v>2931</v>
      </c>
      <c r="C16645">
        <v>4708</v>
      </c>
      <c r="D16645" t="str">
        <f>"20790034    "</f>
        <v xml:space="preserve">20790034    </v>
      </c>
      <c r="E16645" t="s">
        <v>2828</v>
      </c>
      <c r="F16645" t="s">
        <v>2829</v>
      </c>
      <c r="G16645">
        <v>22.64</v>
      </c>
      <c r="H16645">
        <v>250331</v>
      </c>
      <c r="I16645">
        <v>4600</v>
      </c>
      <c r="J16645" t="s">
        <v>278</v>
      </c>
      <c r="K16645">
        <v>135.62</v>
      </c>
      <c r="L16645">
        <v>4.5999999999999996</v>
      </c>
      <c r="M16645">
        <v>59702</v>
      </c>
      <c r="N16645" t="s">
        <v>45</v>
      </c>
      <c r="O16645">
        <v>250414</v>
      </c>
      <c r="P16645">
        <v>18.04</v>
      </c>
    </row>
    <row r="16646" spans="1:16" x14ac:dyDescent="0.25">
      <c r="A16646" t="s">
        <v>3296</v>
      </c>
      <c r="B16646" t="s">
        <v>2931</v>
      </c>
      <c r="C16646">
        <v>4709</v>
      </c>
      <c r="D16646" t="str">
        <f>"20790033    "</f>
        <v xml:space="preserve">20790033    </v>
      </c>
      <c r="E16646" t="s">
        <v>2828</v>
      </c>
      <c r="F16646" t="s">
        <v>2829</v>
      </c>
      <c r="G16646">
        <v>8.57</v>
      </c>
      <c r="H16646">
        <v>250331</v>
      </c>
      <c r="I16646">
        <v>4600</v>
      </c>
      <c r="J16646" t="s">
        <v>278</v>
      </c>
      <c r="K16646">
        <v>202.62</v>
      </c>
      <c r="L16646">
        <v>1.74</v>
      </c>
      <c r="M16646">
        <v>69811</v>
      </c>
      <c r="N16646" t="s">
        <v>230</v>
      </c>
      <c r="O16646">
        <v>250414</v>
      </c>
      <c r="P16646">
        <v>6.83</v>
      </c>
    </row>
    <row r="16647" spans="1:16" x14ac:dyDescent="0.25">
      <c r="A16647" t="s">
        <v>3296</v>
      </c>
      <c r="B16647" t="s">
        <v>2931</v>
      </c>
      <c r="C16647">
        <v>6116</v>
      </c>
      <c r="D16647" t="str">
        <f>"20834360    "</f>
        <v xml:space="preserve">20834360    </v>
      </c>
      <c r="E16647" t="s">
        <v>2828</v>
      </c>
      <c r="F16647" t="s">
        <v>2829</v>
      </c>
      <c r="G16647">
        <v>25.84</v>
      </c>
      <c r="H16647">
        <v>250430</v>
      </c>
      <c r="I16647">
        <v>4600</v>
      </c>
      <c r="J16647" t="s">
        <v>278</v>
      </c>
      <c r="K16647">
        <v>161.77000000000001</v>
      </c>
      <c r="L16647">
        <v>5.25</v>
      </c>
      <c r="M16647">
        <v>13801</v>
      </c>
      <c r="N16647" t="s">
        <v>33</v>
      </c>
      <c r="O16647">
        <v>250509</v>
      </c>
      <c r="P16647">
        <v>20.59</v>
      </c>
    </row>
    <row r="16648" spans="1:16" x14ac:dyDescent="0.25">
      <c r="A16648" t="s">
        <v>3296</v>
      </c>
      <c r="B16648" t="s">
        <v>2931</v>
      </c>
      <c r="C16648">
        <v>6117</v>
      </c>
      <c r="D16648" t="str">
        <f>"20834376    "</f>
        <v xml:space="preserve">20834376    </v>
      </c>
      <c r="E16648" t="s">
        <v>2828</v>
      </c>
      <c r="F16648" t="s">
        <v>2829</v>
      </c>
      <c r="G16648">
        <v>2.98</v>
      </c>
      <c r="H16648">
        <v>250430</v>
      </c>
      <c r="I16648">
        <v>4600</v>
      </c>
      <c r="J16648" t="s">
        <v>278</v>
      </c>
      <c r="K16648">
        <v>256.79000000000002</v>
      </c>
      <c r="L16648">
        <v>0.61</v>
      </c>
      <c r="M16648">
        <v>44253</v>
      </c>
      <c r="N16648" t="s">
        <v>403</v>
      </c>
      <c r="O16648">
        <v>250509</v>
      </c>
      <c r="P16648">
        <v>2.37</v>
      </c>
    </row>
    <row r="16649" spans="1:16" x14ac:dyDescent="0.25">
      <c r="A16649" t="s">
        <v>3296</v>
      </c>
      <c r="B16649" t="s">
        <v>2931</v>
      </c>
      <c r="C16649">
        <v>6122</v>
      </c>
      <c r="D16649" t="str">
        <f>"20834362    "</f>
        <v xml:space="preserve">20834362    </v>
      </c>
      <c r="E16649" t="s">
        <v>2828</v>
      </c>
      <c r="F16649" t="s">
        <v>2829</v>
      </c>
      <c r="G16649">
        <v>3.67</v>
      </c>
      <c r="H16649">
        <v>250430</v>
      </c>
      <c r="I16649">
        <v>4600</v>
      </c>
      <c r="J16649" t="s">
        <v>278</v>
      </c>
      <c r="K16649">
        <v>261.83</v>
      </c>
      <c r="L16649">
        <v>0.75</v>
      </c>
      <c r="M16649">
        <v>17131</v>
      </c>
      <c r="N16649" t="s">
        <v>154</v>
      </c>
      <c r="O16649">
        <v>250509</v>
      </c>
      <c r="P16649">
        <v>2.92</v>
      </c>
    </row>
    <row r="16650" spans="1:16" x14ac:dyDescent="0.25">
      <c r="A16650" t="s">
        <v>3296</v>
      </c>
      <c r="B16650" t="s">
        <v>2931</v>
      </c>
      <c r="C16650">
        <v>6122</v>
      </c>
      <c r="D16650" t="str">
        <f>"20834362    "</f>
        <v xml:space="preserve">20834362    </v>
      </c>
      <c r="E16650" t="s">
        <v>2828</v>
      </c>
      <c r="F16650" t="s">
        <v>2829</v>
      </c>
      <c r="G16650">
        <v>3.68</v>
      </c>
      <c r="H16650">
        <v>250430</v>
      </c>
      <c r="I16650">
        <v>4600</v>
      </c>
      <c r="J16650" t="s">
        <v>278</v>
      </c>
      <c r="K16650">
        <v>261.83</v>
      </c>
      <c r="L16650">
        <v>0.75</v>
      </c>
      <c r="M16650">
        <v>17131</v>
      </c>
      <c r="N16650" t="s">
        <v>154</v>
      </c>
      <c r="O16650">
        <v>250509</v>
      </c>
      <c r="P16650">
        <v>2.93</v>
      </c>
    </row>
    <row r="16651" spans="1:16" x14ac:dyDescent="0.25">
      <c r="A16651" t="s">
        <v>3296</v>
      </c>
      <c r="B16651" t="s">
        <v>2931</v>
      </c>
      <c r="C16651">
        <v>6122</v>
      </c>
      <c r="D16651" t="str">
        <f>"20834362    "</f>
        <v xml:space="preserve">20834362    </v>
      </c>
      <c r="E16651" t="s">
        <v>2828</v>
      </c>
      <c r="F16651" t="s">
        <v>2829</v>
      </c>
      <c r="G16651">
        <v>7.78</v>
      </c>
      <c r="H16651">
        <v>250430</v>
      </c>
      <c r="I16651">
        <v>4600</v>
      </c>
      <c r="J16651" t="s">
        <v>278</v>
      </c>
      <c r="K16651">
        <v>261.83</v>
      </c>
      <c r="L16651">
        <v>1.58</v>
      </c>
      <c r="M16651">
        <v>17912</v>
      </c>
      <c r="N16651" t="s">
        <v>505</v>
      </c>
      <c r="O16651">
        <v>250509</v>
      </c>
      <c r="P16651">
        <v>6.2</v>
      </c>
    </row>
    <row r="16652" spans="1:16" x14ac:dyDescent="0.25">
      <c r="A16652" t="s">
        <v>3296</v>
      </c>
      <c r="B16652" t="s">
        <v>2931</v>
      </c>
      <c r="C16652">
        <v>6127</v>
      </c>
      <c r="D16652" t="str">
        <f>"20834361    "</f>
        <v xml:space="preserve">20834361    </v>
      </c>
      <c r="E16652" t="s">
        <v>2828</v>
      </c>
      <c r="F16652" t="s">
        <v>2829</v>
      </c>
      <c r="G16652">
        <v>17.03</v>
      </c>
      <c r="H16652">
        <v>250430</v>
      </c>
      <c r="I16652">
        <v>4600</v>
      </c>
      <c r="J16652" t="s">
        <v>278</v>
      </c>
      <c r="K16652">
        <v>72.88</v>
      </c>
      <c r="L16652">
        <v>3.46</v>
      </c>
      <c r="M16652">
        <v>54451</v>
      </c>
      <c r="N16652" t="s">
        <v>218</v>
      </c>
      <c r="O16652">
        <v>250509</v>
      </c>
      <c r="P16652">
        <v>13.57</v>
      </c>
    </row>
    <row r="16653" spans="1:16" x14ac:dyDescent="0.25">
      <c r="A16653" t="s">
        <v>3296</v>
      </c>
      <c r="B16653" t="s">
        <v>2931</v>
      </c>
      <c r="C16653">
        <v>6131</v>
      </c>
      <c r="D16653" t="str">
        <f>"20834368    "</f>
        <v xml:space="preserve">20834368    </v>
      </c>
      <c r="E16653" t="s">
        <v>2828</v>
      </c>
      <c r="F16653" t="s">
        <v>2829</v>
      </c>
      <c r="G16653">
        <v>5.14</v>
      </c>
      <c r="H16653">
        <v>250430</v>
      </c>
      <c r="I16653">
        <v>4600</v>
      </c>
      <c r="J16653" t="s">
        <v>278</v>
      </c>
      <c r="K16653">
        <v>39.49</v>
      </c>
      <c r="L16653">
        <v>1.04</v>
      </c>
      <c r="M16653">
        <v>48601</v>
      </c>
      <c r="N16653" t="s">
        <v>107</v>
      </c>
      <c r="O16653">
        <v>250509</v>
      </c>
      <c r="P16653">
        <v>4.0999999999999996</v>
      </c>
    </row>
    <row r="16654" spans="1:16" x14ac:dyDescent="0.25">
      <c r="A16654" t="s">
        <v>3296</v>
      </c>
      <c r="B16654" t="s">
        <v>2931</v>
      </c>
      <c r="C16654">
        <v>6265</v>
      </c>
      <c r="D16654" t="str">
        <f>"20834374    "</f>
        <v xml:space="preserve">20834374    </v>
      </c>
      <c r="E16654" t="s">
        <v>2828</v>
      </c>
      <c r="F16654" t="s">
        <v>2829</v>
      </c>
      <c r="G16654">
        <v>6.24</v>
      </c>
      <c r="H16654">
        <v>250430</v>
      </c>
      <c r="I16654">
        <v>4600</v>
      </c>
      <c r="J16654" t="s">
        <v>278</v>
      </c>
      <c r="K16654">
        <v>227.69</v>
      </c>
      <c r="L16654">
        <v>1.27</v>
      </c>
      <c r="M16654">
        <v>59111</v>
      </c>
      <c r="N16654" t="s">
        <v>60</v>
      </c>
      <c r="O16654">
        <v>250512</v>
      </c>
      <c r="P16654">
        <v>4.97</v>
      </c>
    </row>
    <row r="16655" spans="1:16" x14ac:dyDescent="0.25">
      <c r="A16655" t="s">
        <v>3296</v>
      </c>
      <c r="B16655" t="s">
        <v>2931</v>
      </c>
      <c r="C16655">
        <v>6396</v>
      </c>
      <c r="D16655" t="str">
        <f>"20834377    "</f>
        <v xml:space="preserve">20834377    </v>
      </c>
      <c r="E16655" t="s">
        <v>2828</v>
      </c>
      <c r="F16655" t="s">
        <v>2829</v>
      </c>
      <c r="G16655">
        <v>20.92</v>
      </c>
      <c r="H16655">
        <v>250430</v>
      </c>
      <c r="I16655">
        <v>4600</v>
      </c>
      <c r="J16655" t="s">
        <v>278</v>
      </c>
      <c r="K16655">
        <v>288.01</v>
      </c>
      <c r="L16655">
        <v>4.25</v>
      </c>
      <c r="M16655">
        <v>11605</v>
      </c>
      <c r="N16655" t="s">
        <v>1066</v>
      </c>
      <c r="O16655">
        <v>250513</v>
      </c>
      <c r="P16655">
        <v>16.670000000000002</v>
      </c>
    </row>
    <row r="16656" spans="1:16" x14ac:dyDescent="0.25">
      <c r="A16656" t="s">
        <v>3296</v>
      </c>
      <c r="B16656" t="s">
        <v>2931</v>
      </c>
      <c r="C16656">
        <v>6396</v>
      </c>
      <c r="D16656" t="str">
        <f>"20834377    "</f>
        <v xml:space="preserve">20834377    </v>
      </c>
      <c r="E16656" t="s">
        <v>2828</v>
      </c>
      <c r="F16656" t="s">
        <v>2829</v>
      </c>
      <c r="G16656">
        <v>1.49</v>
      </c>
      <c r="H16656">
        <v>250430</v>
      </c>
      <c r="I16656">
        <v>4600</v>
      </c>
      <c r="J16656" t="s">
        <v>278</v>
      </c>
      <c r="K16656">
        <v>288.01</v>
      </c>
      <c r="L16656">
        <v>0.3</v>
      </c>
      <c r="M16656">
        <v>14990</v>
      </c>
      <c r="N16656" t="s">
        <v>85</v>
      </c>
      <c r="O16656">
        <v>250513</v>
      </c>
      <c r="P16656">
        <v>1.19</v>
      </c>
    </row>
    <row r="16657" spans="1:16" x14ac:dyDescent="0.25">
      <c r="A16657" t="s">
        <v>3296</v>
      </c>
      <c r="B16657" t="s">
        <v>2931</v>
      </c>
      <c r="C16657">
        <v>6746</v>
      </c>
      <c r="D16657" t="str">
        <f>"20834370    "</f>
        <v xml:space="preserve">20834370    </v>
      </c>
      <c r="E16657" t="s">
        <v>2828</v>
      </c>
      <c r="F16657" t="s">
        <v>2829</v>
      </c>
      <c r="G16657">
        <v>8.49</v>
      </c>
      <c r="H16657">
        <v>250430</v>
      </c>
      <c r="I16657">
        <v>4600</v>
      </c>
      <c r="J16657" t="s">
        <v>278</v>
      </c>
      <c r="K16657">
        <v>584.29999999999995</v>
      </c>
      <c r="L16657">
        <v>1.73</v>
      </c>
      <c r="M16657">
        <v>11903</v>
      </c>
      <c r="N16657" t="s">
        <v>32</v>
      </c>
      <c r="O16657">
        <v>250516</v>
      </c>
      <c r="P16657">
        <v>6.76</v>
      </c>
    </row>
    <row r="16658" spans="1:16" x14ac:dyDescent="0.25">
      <c r="A16658" t="s">
        <v>3296</v>
      </c>
      <c r="B16658" t="s">
        <v>2931</v>
      </c>
      <c r="C16658">
        <v>6746</v>
      </c>
      <c r="D16658" t="str">
        <f>"20834370    "</f>
        <v xml:space="preserve">20834370    </v>
      </c>
      <c r="E16658" t="s">
        <v>2828</v>
      </c>
      <c r="F16658" t="s">
        <v>2829</v>
      </c>
      <c r="G16658">
        <v>17.91</v>
      </c>
      <c r="H16658">
        <v>250430</v>
      </c>
      <c r="I16658">
        <v>4600</v>
      </c>
      <c r="J16658" t="s">
        <v>278</v>
      </c>
      <c r="K16658">
        <v>584.29999999999995</v>
      </c>
      <c r="L16658">
        <v>3.64</v>
      </c>
      <c r="M16658">
        <v>17538</v>
      </c>
      <c r="N16658" t="s">
        <v>129</v>
      </c>
      <c r="O16658">
        <v>250516</v>
      </c>
      <c r="P16658">
        <v>14.27</v>
      </c>
    </row>
    <row r="16659" spans="1:16" x14ac:dyDescent="0.25">
      <c r="A16659" t="s">
        <v>3296</v>
      </c>
      <c r="B16659" t="s">
        <v>2931</v>
      </c>
      <c r="C16659">
        <v>8109</v>
      </c>
      <c r="D16659" t="str">
        <f>"20880427    "</f>
        <v xml:space="preserve">20880427    </v>
      </c>
      <c r="E16659" t="s">
        <v>2828</v>
      </c>
      <c r="F16659" t="s">
        <v>2829</v>
      </c>
      <c r="G16659">
        <v>2.89</v>
      </c>
      <c r="H16659">
        <v>250531</v>
      </c>
      <c r="I16659">
        <v>4600</v>
      </c>
      <c r="J16659" t="s">
        <v>278</v>
      </c>
      <c r="K16659">
        <v>591.65</v>
      </c>
      <c r="L16659">
        <v>0.59</v>
      </c>
      <c r="M16659">
        <v>67522</v>
      </c>
      <c r="N16659" t="s">
        <v>121</v>
      </c>
      <c r="O16659">
        <v>250611</v>
      </c>
      <c r="P16659">
        <v>2.2999999999999998</v>
      </c>
    </row>
    <row r="16660" spans="1:16" x14ac:dyDescent="0.25">
      <c r="A16660" t="s">
        <v>3296</v>
      </c>
      <c r="B16660" t="s">
        <v>2931</v>
      </c>
      <c r="C16660">
        <v>8115</v>
      </c>
      <c r="D16660" t="str">
        <f>"20880432    "</f>
        <v xml:space="preserve">20880432    </v>
      </c>
      <c r="E16660" t="s">
        <v>2828</v>
      </c>
      <c r="F16660" t="s">
        <v>2829</v>
      </c>
      <c r="G16660">
        <v>4.46</v>
      </c>
      <c r="H16660">
        <v>250531</v>
      </c>
      <c r="I16660">
        <v>4600</v>
      </c>
      <c r="J16660" t="s">
        <v>278</v>
      </c>
      <c r="K16660">
        <v>94.13</v>
      </c>
      <c r="L16660">
        <v>0.91</v>
      </c>
      <c r="M16660">
        <v>59111</v>
      </c>
      <c r="N16660" t="s">
        <v>60</v>
      </c>
      <c r="O16660">
        <v>250611</v>
      </c>
      <c r="P16660">
        <v>3.55</v>
      </c>
    </row>
    <row r="16661" spans="1:16" x14ac:dyDescent="0.25">
      <c r="A16661" t="s">
        <v>3296</v>
      </c>
      <c r="B16661" t="s">
        <v>2931</v>
      </c>
      <c r="C16661">
        <v>8119</v>
      </c>
      <c r="D16661" t="str">
        <f>"20880431    "</f>
        <v xml:space="preserve">20880431    </v>
      </c>
      <c r="E16661" t="s">
        <v>2828</v>
      </c>
      <c r="F16661" t="s">
        <v>2829</v>
      </c>
      <c r="G16661">
        <v>3.3</v>
      </c>
      <c r="H16661">
        <v>250531</v>
      </c>
      <c r="I16661">
        <v>4600</v>
      </c>
      <c r="J16661" t="s">
        <v>278</v>
      </c>
      <c r="K16661">
        <v>216.85</v>
      </c>
      <c r="L16661">
        <v>0.67</v>
      </c>
      <c r="M16661">
        <v>69112</v>
      </c>
      <c r="N16661" t="s">
        <v>227</v>
      </c>
      <c r="O16661">
        <v>250611</v>
      </c>
      <c r="P16661">
        <v>2.63</v>
      </c>
    </row>
    <row r="16662" spans="1:16" x14ac:dyDescent="0.25">
      <c r="A16662" t="s">
        <v>3296</v>
      </c>
      <c r="B16662" t="s">
        <v>2931</v>
      </c>
      <c r="C16662">
        <v>8119</v>
      </c>
      <c r="D16662" t="str">
        <f>"20880431    "</f>
        <v xml:space="preserve">20880431    </v>
      </c>
      <c r="E16662" t="s">
        <v>2828</v>
      </c>
      <c r="F16662" t="s">
        <v>2829</v>
      </c>
      <c r="G16662">
        <v>0.19</v>
      </c>
      <c r="H16662">
        <v>250531</v>
      </c>
      <c r="I16662">
        <v>4600</v>
      </c>
      <c r="J16662" t="s">
        <v>278</v>
      </c>
      <c r="K16662">
        <v>216.85</v>
      </c>
      <c r="L16662">
        <v>0.04</v>
      </c>
      <c r="M16662">
        <v>69810</v>
      </c>
      <c r="N16662" t="s">
        <v>229</v>
      </c>
      <c r="O16662">
        <v>250611</v>
      </c>
      <c r="P16662">
        <v>0.15</v>
      </c>
    </row>
    <row r="16663" spans="1:16" x14ac:dyDescent="0.25">
      <c r="A16663" t="s">
        <v>3296</v>
      </c>
      <c r="B16663" t="s">
        <v>2931</v>
      </c>
      <c r="C16663">
        <v>8119</v>
      </c>
      <c r="D16663" t="str">
        <f>"20880431    "</f>
        <v xml:space="preserve">20880431    </v>
      </c>
      <c r="E16663" t="s">
        <v>2828</v>
      </c>
      <c r="F16663" t="s">
        <v>2829</v>
      </c>
      <c r="G16663">
        <v>0.18</v>
      </c>
      <c r="H16663">
        <v>250531</v>
      </c>
      <c r="I16663">
        <v>4600</v>
      </c>
      <c r="J16663" t="s">
        <v>278</v>
      </c>
      <c r="K16663">
        <v>216.85</v>
      </c>
      <c r="L16663">
        <v>0.04</v>
      </c>
      <c r="M16663">
        <v>69811</v>
      </c>
      <c r="N16663" t="s">
        <v>230</v>
      </c>
      <c r="O16663">
        <v>250611</v>
      </c>
      <c r="P16663">
        <v>0.14000000000000001</v>
      </c>
    </row>
    <row r="16664" spans="1:16" x14ac:dyDescent="0.25">
      <c r="A16664" t="s">
        <v>3296</v>
      </c>
      <c r="B16664" t="s">
        <v>2931</v>
      </c>
      <c r="C16664">
        <v>8123</v>
      </c>
      <c r="D16664" t="str">
        <f>"20880436    "</f>
        <v xml:space="preserve">20880436    </v>
      </c>
      <c r="E16664" t="s">
        <v>2828</v>
      </c>
      <c r="F16664" t="s">
        <v>2829</v>
      </c>
      <c r="G16664">
        <v>0.34</v>
      </c>
      <c r="H16664">
        <v>250531</v>
      </c>
      <c r="I16664">
        <v>4600</v>
      </c>
      <c r="J16664" t="s">
        <v>278</v>
      </c>
      <c r="K16664">
        <v>341.46</v>
      </c>
      <c r="L16664">
        <v>7.0000000000000007E-2</v>
      </c>
      <c r="M16664">
        <v>14422</v>
      </c>
      <c r="N16664" t="s">
        <v>73</v>
      </c>
      <c r="O16664">
        <v>250611</v>
      </c>
      <c r="P16664">
        <v>0.27</v>
      </c>
    </row>
    <row r="16665" spans="1:16" x14ac:dyDescent="0.25">
      <c r="A16665" t="s">
        <v>3296</v>
      </c>
      <c r="B16665" t="s">
        <v>2931</v>
      </c>
      <c r="C16665">
        <v>8123</v>
      </c>
      <c r="D16665" t="str">
        <f>"20880436    "</f>
        <v xml:space="preserve">20880436    </v>
      </c>
      <c r="E16665" t="s">
        <v>2828</v>
      </c>
      <c r="F16665" t="s">
        <v>2829</v>
      </c>
      <c r="G16665">
        <v>14.7</v>
      </c>
      <c r="H16665">
        <v>250531</v>
      </c>
      <c r="I16665">
        <v>4600</v>
      </c>
      <c r="J16665" t="s">
        <v>278</v>
      </c>
      <c r="K16665">
        <v>341.46</v>
      </c>
      <c r="L16665">
        <v>2.99</v>
      </c>
      <c r="M16665">
        <v>14541</v>
      </c>
      <c r="N16665" t="s">
        <v>76</v>
      </c>
      <c r="O16665">
        <v>250611</v>
      </c>
      <c r="P16665">
        <v>11.71</v>
      </c>
    </row>
    <row r="16666" spans="1:16" x14ac:dyDescent="0.25">
      <c r="A16666" t="s">
        <v>3296</v>
      </c>
      <c r="B16666" t="s">
        <v>2931</v>
      </c>
      <c r="C16666">
        <v>8123</v>
      </c>
      <c r="D16666" t="str">
        <f>"20880436    "</f>
        <v xml:space="preserve">20880436    </v>
      </c>
      <c r="E16666" t="s">
        <v>2828</v>
      </c>
      <c r="F16666" t="s">
        <v>2829</v>
      </c>
      <c r="G16666">
        <v>3.99</v>
      </c>
      <c r="H16666">
        <v>250531</v>
      </c>
      <c r="I16666">
        <v>4600</v>
      </c>
      <c r="J16666" t="s">
        <v>278</v>
      </c>
      <c r="K16666">
        <v>341.46</v>
      </c>
      <c r="L16666">
        <v>0.81</v>
      </c>
      <c r="M16666">
        <v>14861</v>
      </c>
      <c r="N16666" t="s">
        <v>79</v>
      </c>
      <c r="O16666">
        <v>250611</v>
      </c>
      <c r="P16666">
        <v>3.18</v>
      </c>
    </row>
    <row r="16667" spans="1:16" x14ac:dyDescent="0.25">
      <c r="A16667" t="s">
        <v>3296</v>
      </c>
      <c r="B16667" t="s">
        <v>2931</v>
      </c>
      <c r="C16667">
        <v>8123</v>
      </c>
      <c r="D16667" t="str">
        <f>"20880436    "</f>
        <v xml:space="preserve">20880436    </v>
      </c>
      <c r="E16667" t="s">
        <v>2828</v>
      </c>
      <c r="F16667" t="s">
        <v>2829</v>
      </c>
      <c r="G16667">
        <v>30.15</v>
      </c>
      <c r="H16667">
        <v>250531</v>
      </c>
      <c r="I16667">
        <v>4600</v>
      </c>
      <c r="J16667" t="s">
        <v>278</v>
      </c>
      <c r="K16667">
        <v>341.46</v>
      </c>
      <c r="L16667">
        <v>6.13</v>
      </c>
      <c r="M16667">
        <v>14971</v>
      </c>
      <c r="N16667" t="s">
        <v>81</v>
      </c>
      <c r="O16667">
        <v>250611</v>
      </c>
      <c r="P16667">
        <v>24.02</v>
      </c>
    </row>
    <row r="16668" spans="1:16" x14ac:dyDescent="0.25">
      <c r="A16668" t="s">
        <v>3296</v>
      </c>
      <c r="B16668" t="s">
        <v>2931</v>
      </c>
      <c r="C16668">
        <v>8123</v>
      </c>
      <c r="D16668" t="str">
        <f>"20880436    "</f>
        <v xml:space="preserve">20880436    </v>
      </c>
      <c r="E16668" t="s">
        <v>2828</v>
      </c>
      <c r="F16668" t="s">
        <v>2829</v>
      </c>
      <c r="G16668">
        <v>16.079999999999998</v>
      </c>
      <c r="H16668">
        <v>250531</v>
      </c>
      <c r="I16668">
        <v>4600</v>
      </c>
      <c r="J16668" t="s">
        <v>278</v>
      </c>
      <c r="K16668">
        <v>341.46</v>
      </c>
      <c r="L16668">
        <v>3.27</v>
      </c>
      <c r="M16668">
        <v>14990</v>
      </c>
      <c r="N16668" t="s">
        <v>85</v>
      </c>
      <c r="O16668">
        <v>250611</v>
      </c>
      <c r="P16668">
        <v>12.81</v>
      </c>
    </row>
    <row r="16669" spans="1:16" x14ac:dyDescent="0.25">
      <c r="A16669" t="s">
        <v>3296</v>
      </c>
      <c r="B16669" t="s">
        <v>2931</v>
      </c>
      <c r="C16669">
        <v>8152</v>
      </c>
      <c r="D16669" t="str">
        <f>"20880438    "</f>
        <v xml:space="preserve">20880438    </v>
      </c>
      <c r="E16669" t="s">
        <v>2828</v>
      </c>
      <c r="F16669" t="s">
        <v>2829</v>
      </c>
      <c r="G16669">
        <v>3.86</v>
      </c>
      <c r="H16669">
        <v>250531</v>
      </c>
      <c r="I16669">
        <v>4600</v>
      </c>
      <c r="J16669" t="s">
        <v>278</v>
      </c>
      <c r="K16669">
        <v>191.77</v>
      </c>
      <c r="L16669">
        <v>0.78</v>
      </c>
      <c r="M16669">
        <v>17912</v>
      </c>
      <c r="N16669" t="s">
        <v>505</v>
      </c>
      <c r="O16669">
        <v>250611</v>
      </c>
      <c r="P16669">
        <v>3.08</v>
      </c>
    </row>
    <row r="16670" spans="1:16" x14ac:dyDescent="0.25">
      <c r="A16670" t="s">
        <v>3296</v>
      </c>
      <c r="B16670" t="s">
        <v>2931</v>
      </c>
      <c r="C16670">
        <v>8168</v>
      </c>
      <c r="D16670" t="str">
        <f>"20880424    "</f>
        <v xml:space="preserve">20880424    </v>
      </c>
      <c r="E16670" t="s">
        <v>2828</v>
      </c>
      <c r="F16670" t="s">
        <v>2829</v>
      </c>
      <c r="G16670">
        <v>0.8</v>
      </c>
      <c r="H16670">
        <v>250531</v>
      </c>
      <c r="I16670">
        <v>4600</v>
      </c>
      <c r="J16670" t="s">
        <v>278</v>
      </c>
      <c r="K16670">
        <v>530.73</v>
      </c>
      <c r="L16670">
        <v>0.16</v>
      </c>
      <c r="M16670">
        <v>17531</v>
      </c>
      <c r="N16670" t="s">
        <v>145</v>
      </c>
      <c r="O16670">
        <v>250611</v>
      </c>
      <c r="P16670">
        <v>0.64</v>
      </c>
    </row>
    <row r="16671" spans="1:16" x14ac:dyDescent="0.25">
      <c r="A16671" t="s">
        <v>3296</v>
      </c>
      <c r="B16671" t="s">
        <v>2931</v>
      </c>
      <c r="C16671">
        <v>8289</v>
      </c>
      <c r="D16671" t="str">
        <f>"20880439    "</f>
        <v xml:space="preserve">20880439    </v>
      </c>
      <c r="E16671" t="s">
        <v>2828</v>
      </c>
      <c r="F16671" t="s">
        <v>2829</v>
      </c>
      <c r="G16671">
        <v>49.5</v>
      </c>
      <c r="H16671">
        <v>250531</v>
      </c>
      <c r="I16671">
        <v>4600</v>
      </c>
      <c r="J16671" t="s">
        <v>278</v>
      </c>
      <c r="K16671">
        <v>1397.94</v>
      </c>
      <c r="L16671">
        <v>10.06</v>
      </c>
      <c r="M16671">
        <v>13901</v>
      </c>
      <c r="N16671" t="s">
        <v>116</v>
      </c>
      <c r="O16671">
        <v>250612</v>
      </c>
      <c r="P16671">
        <v>39.44</v>
      </c>
    </row>
    <row r="16672" spans="1:16" x14ac:dyDescent="0.25">
      <c r="A16672" t="s">
        <v>3296</v>
      </c>
      <c r="B16672" t="s">
        <v>2931</v>
      </c>
      <c r="C16672">
        <v>8502</v>
      </c>
      <c r="D16672" t="str">
        <f>"20880440    "</f>
        <v xml:space="preserve">20880440    </v>
      </c>
      <c r="E16672" t="s">
        <v>2828</v>
      </c>
      <c r="F16672" t="s">
        <v>2829</v>
      </c>
      <c r="G16672">
        <v>29.34</v>
      </c>
      <c r="H16672">
        <v>250531</v>
      </c>
      <c r="I16672">
        <v>4600</v>
      </c>
      <c r="J16672" t="s">
        <v>278</v>
      </c>
      <c r="K16672">
        <v>284.42</v>
      </c>
      <c r="L16672">
        <v>5.96</v>
      </c>
      <c r="M16672">
        <v>49112</v>
      </c>
      <c r="N16672" t="s">
        <v>109</v>
      </c>
      <c r="O16672">
        <v>250617</v>
      </c>
      <c r="P16672">
        <v>23.38</v>
      </c>
    </row>
    <row r="16673" spans="1:16" x14ac:dyDescent="0.25">
      <c r="A16673" t="s">
        <v>3296</v>
      </c>
      <c r="B16673" t="s">
        <v>2931</v>
      </c>
      <c r="C16673">
        <v>9361</v>
      </c>
      <c r="D16673" t="str">
        <f>"20926996    "</f>
        <v xml:space="preserve">20926996    </v>
      </c>
      <c r="E16673" t="s">
        <v>2828</v>
      </c>
      <c r="F16673" t="s">
        <v>2829</v>
      </c>
      <c r="G16673">
        <v>1.1599999999999999</v>
      </c>
      <c r="H16673">
        <v>250630</v>
      </c>
      <c r="I16673">
        <v>4600</v>
      </c>
      <c r="J16673" t="s">
        <v>278</v>
      </c>
      <c r="K16673">
        <v>119.58</v>
      </c>
      <c r="L16673">
        <v>0.24</v>
      </c>
      <c r="M16673">
        <v>17912</v>
      </c>
      <c r="N16673" t="s">
        <v>505</v>
      </c>
      <c r="O16673">
        <v>250704</v>
      </c>
      <c r="P16673">
        <v>0.92</v>
      </c>
    </row>
    <row r="16674" spans="1:16" x14ac:dyDescent="0.25">
      <c r="A16674" t="s">
        <v>3296</v>
      </c>
      <c r="B16674" t="s">
        <v>2931</v>
      </c>
      <c r="C16674">
        <v>9440</v>
      </c>
      <c r="D16674" t="str">
        <f>"20926997    "</f>
        <v xml:space="preserve">20926997    </v>
      </c>
      <c r="E16674" t="s">
        <v>2828</v>
      </c>
      <c r="F16674" t="s">
        <v>2829</v>
      </c>
      <c r="G16674">
        <v>50</v>
      </c>
      <c r="H16674">
        <v>250630</v>
      </c>
      <c r="I16674">
        <v>4600</v>
      </c>
      <c r="J16674" t="s">
        <v>278</v>
      </c>
      <c r="K16674">
        <v>50</v>
      </c>
      <c r="L16674">
        <v>0</v>
      </c>
      <c r="M16674">
        <v>13901</v>
      </c>
      <c r="N16674" t="s">
        <v>116</v>
      </c>
      <c r="O16674">
        <v>250707</v>
      </c>
      <c r="P16674">
        <v>50</v>
      </c>
    </row>
    <row r="16675" spans="1:16" x14ac:dyDescent="0.25">
      <c r="A16675" t="s">
        <v>3296</v>
      </c>
      <c r="B16675" t="s">
        <v>2931</v>
      </c>
      <c r="C16675">
        <v>9442</v>
      </c>
      <c r="D16675" t="str">
        <f>"20926998    "</f>
        <v xml:space="preserve">20926998    </v>
      </c>
      <c r="E16675" t="s">
        <v>2828</v>
      </c>
      <c r="F16675" t="s">
        <v>2829</v>
      </c>
      <c r="G16675">
        <v>0.93</v>
      </c>
      <c r="H16675">
        <v>250630</v>
      </c>
      <c r="I16675">
        <v>4600</v>
      </c>
      <c r="J16675" t="s">
        <v>278</v>
      </c>
      <c r="K16675">
        <v>9.94</v>
      </c>
      <c r="L16675">
        <v>0.19</v>
      </c>
      <c r="M16675">
        <v>13861</v>
      </c>
      <c r="N16675" t="s">
        <v>604</v>
      </c>
      <c r="O16675">
        <v>250707</v>
      </c>
      <c r="P16675">
        <v>0.74</v>
      </c>
    </row>
    <row r="16676" spans="1:16" x14ac:dyDescent="0.25">
      <c r="A16676" t="s">
        <v>3296</v>
      </c>
      <c r="B16676" t="s">
        <v>2931</v>
      </c>
      <c r="C16676">
        <v>9595</v>
      </c>
      <c r="D16676" t="str">
        <f>"20926994    "</f>
        <v xml:space="preserve">20926994    </v>
      </c>
      <c r="E16676" t="s">
        <v>2828</v>
      </c>
      <c r="F16676" t="s">
        <v>2829</v>
      </c>
      <c r="G16676">
        <v>192.02</v>
      </c>
      <c r="H16676">
        <v>250630</v>
      </c>
      <c r="I16676">
        <v>4600</v>
      </c>
      <c r="J16676" t="s">
        <v>278</v>
      </c>
      <c r="K16676">
        <v>346.11</v>
      </c>
      <c r="L16676">
        <v>39.020000000000003</v>
      </c>
      <c r="M16676">
        <v>56566</v>
      </c>
      <c r="N16676" t="s">
        <v>58</v>
      </c>
      <c r="O16676">
        <v>250721</v>
      </c>
      <c r="P16676">
        <v>153</v>
      </c>
    </row>
    <row r="16677" spans="1:16" x14ac:dyDescent="0.25">
      <c r="A16677" t="s">
        <v>3296</v>
      </c>
      <c r="B16677" t="s">
        <v>2931</v>
      </c>
      <c r="C16677">
        <v>9595</v>
      </c>
      <c r="D16677" t="str">
        <f>"20926994    "</f>
        <v xml:space="preserve">20926994    </v>
      </c>
      <c r="E16677" t="s">
        <v>2828</v>
      </c>
      <c r="F16677" t="s">
        <v>2829</v>
      </c>
      <c r="G16677">
        <v>88.73</v>
      </c>
      <c r="H16677">
        <v>250630</v>
      </c>
      <c r="I16677">
        <v>4600</v>
      </c>
      <c r="J16677" t="s">
        <v>278</v>
      </c>
      <c r="K16677">
        <v>346.11</v>
      </c>
      <c r="L16677">
        <v>18.03</v>
      </c>
      <c r="M16677">
        <v>59702</v>
      </c>
      <c r="N16677" t="s">
        <v>45</v>
      </c>
      <c r="O16677">
        <v>250721</v>
      </c>
      <c r="P16677">
        <v>70.7</v>
      </c>
    </row>
    <row r="16678" spans="1:16" x14ac:dyDescent="0.25">
      <c r="A16678" t="s">
        <v>3296</v>
      </c>
      <c r="B16678" t="s">
        <v>2931</v>
      </c>
      <c r="C16678">
        <v>10132</v>
      </c>
      <c r="D16678" t="str">
        <f>"20970042    "</f>
        <v xml:space="preserve">20970042    </v>
      </c>
      <c r="E16678" t="s">
        <v>2828</v>
      </c>
      <c r="F16678" t="s">
        <v>2829</v>
      </c>
      <c r="G16678">
        <v>3.06</v>
      </c>
      <c r="H16678">
        <v>250731</v>
      </c>
      <c r="I16678">
        <v>4600</v>
      </c>
      <c r="J16678" t="s">
        <v>278</v>
      </c>
      <c r="K16678">
        <v>66.209999999999994</v>
      </c>
      <c r="L16678">
        <v>0.62</v>
      </c>
      <c r="M16678">
        <v>69112</v>
      </c>
      <c r="N16678" t="s">
        <v>227</v>
      </c>
      <c r="O16678">
        <v>250812</v>
      </c>
      <c r="P16678">
        <v>2.44</v>
      </c>
    </row>
    <row r="16679" spans="1:16" x14ac:dyDescent="0.25">
      <c r="A16679" t="s">
        <v>3296</v>
      </c>
      <c r="B16679" t="s">
        <v>2931</v>
      </c>
      <c r="C16679">
        <v>10132</v>
      </c>
      <c r="D16679" t="str">
        <f>"20970042    "</f>
        <v xml:space="preserve">20970042    </v>
      </c>
      <c r="E16679" t="s">
        <v>2828</v>
      </c>
      <c r="F16679" t="s">
        <v>2829</v>
      </c>
      <c r="G16679">
        <v>0.17</v>
      </c>
      <c r="H16679">
        <v>250731</v>
      </c>
      <c r="I16679">
        <v>4600</v>
      </c>
      <c r="J16679" t="s">
        <v>278</v>
      </c>
      <c r="K16679">
        <v>66.209999999999994</v>
      </c>
      <c r="L16679">
        <v>0.03</v>
      </c>
      <c r="M16679">
        <v>69810</v>
      </c>
      <c r="N16679" t="s">
        <v>229</v>
      </c>
      <c r="O16679">
        <v>250812</v>
      </c>
      <c r="P16679">
        <v>0.14000000000000001</v>
      </c>
    </row>
    <row r="16680" spans="1:16" x14ac:dyDescent="0.25">
      <c r="A16680" t="s">
        <v>3296</v>
      </c>
      <c r="B16680" t="s">
        <v>2931</v>
      </c>
      <c r="C16680">
        <v>10132</v>
      </c>
      <c r="D16680" t="str">
        <f>"20970042    "</f>
        <v xml:space="preserve">20970042    </v>
      </c>
      <c r="E16680" t="s">
        <v>2828</v>
      </c>
      <c r="F16680" t="s">
        <v>2829</v>
      </c>
      <c r="G16680">
        <v>0.17</v>
      </c>
      <c r="H16680">
        <v>250731</v>
      </c>
      <c r="I16680">
        <v>4600</v>
      </c>
      <c r="J16680" t="s">
        <v>278</v>
      </c>
      <c r="K16680">
        <v>66.209999999999994</v>
      </c>
      <c r="L16680">
        <v>0.03</v>
      </c>
      <c r="M16680">
        <v>69811</v>
      </c>
      <c r="N16680" t="s">
        <v>230</v>
      </c>
      <c r="O16680">
        <v>250812</v>
      </c>
      <c r="P16680">
        <v>0.14000000000000001</v>
      </c>
    </row>
    <row r="16681" spans="1:16" x14ac:dyDescent="0.25">
      <c r="A16681" t="s">
        <v>3296</v>
      </c>
      <c r="B16681" t="s">
        <v>2931</v>
      </c>
      <c r="C16681">
        <v>10143</v>
      </c>
      <c r="D16681" t="str">
        <f>"20970043    "</f>
        <v xml:space="preserve">20970043    </v>
      </c>
      <c r="E16681" t="s">
        <v>2828</v>
      </c>
      <c r="F16681" t="s">
        <v>2829</v>
      </c>
      <c r="G16681">
        <v>1.53</v>
      </c>
      <c r="H16681">
        <v>250731</v>
      </c>
      <c r="I16681">
        <v>4600</v>
      </c>
      <c r="J16681" t="s">
        <v>278</v>
      </c>
      <c r="K16681">
        <v>90.69</v>
      </c>
      <c r="L16681">
        <v>0.31</v>
      </c>
      <c r="M16681">
        <v>17915</v>
      </c>
      <c r="N16681" t="s">
        <v>305</v>
      </c>
      <c r="O16681">
        <v>250812</v>
      </c>
      <c r="P16681">
        <v>1.22</v>
      </c>
    </row>
    <row r="16682" spans="1:16" x14ac:dyDescent="0.25">
      <c r="A16682" t="s">
        <v>3296</v>
      </c>
      <c r="B16682" t="s">
        <v>2931</v>
      </c>
      <c r="C16682">
        <v>11397</v>
      </c>
      <c r="D16682" t="str">
        <f>"21011819    "</f>
        <v xml:space="preserve">21011819    </v>
      </c>
      <c r="E16682" t="s">
        <v>2828</v>
      </c>
      <c r="F16682" t="s">
        <v>2829</v>
      </c>
      <c r="G16682">
        <v>0.76</v>
      </c>
      <c r="H16682">
        <v>250831</v>
      </c>
      <c r="I16682">
        <v>4600</v>
      </c>
      <c r="J16682" t="s">
        <v>278</v>
      </c>
      <c r="K16682">
        <v>112.87</v>
      </c>
      <c r="L16682">
        <v>0.15</v>
      </c>
      <c r="M16682">
        <v>17912</v>
      </c>
      <c r="N16682" t="s">
        <v>505</v>
      </c>
      <c r="O16682">
        <v>250904</v>
      </c>
      <c r="P16682">
        <v>0.61</v>
      </c>
    </row>
    <row r="16683" spans="1:16" x14ac:dyDescent="0.25">
      <c r="A16683" t="s">
        <v>3296</v>
      </c>
      <c r="B16683" t="s">
        <v>2931</v>
      </c>
      <c r="C16683">
        <v>11397</v>
      </c>
      <c r="D16683" t="str">
        <f>"21011819    "</f>
        <v xml:space="preserve">21011819    </v>
      </c>
      <c r="E16683" t="s">
        <v>2828</v>
      </c>
      <c r="F16683" t="s">
        <v>2829</v>
      </c>
      <c r="G16683">
        <v>7.29</v>
      </c>
      <c r="H16683">
        <v>250831</v>
      </c>
      <c r="I16683">
        <v>4600</v>
      </c>
      <c r="J16683" t="s">
        <v>278</v>
      </c>
      <c r="K16683">
        <v>112.87</v>
      </c>
      <c r="L16683">
        <v>1.48</v>
      </c>
      <c r="M16683">
        <v>17912</v>
      </c>
      <c r="N16683" t="s">
        <v>505</v>
      </c>
      <c r="O16683">
        <v>250904</v>
      </c>
      <c r="P16683">
        <v>5.81</v>
      </c>
    </row>
    <row r="16684" spans="1:16" x14ac:dyDescent="0.25">
      <c r="A16684" t="s">
        <v>3296</v>
      </c>
      <c r="B16684" t="s">
        <v>2931</v>
      </c>
      <c r="C16684">
        <v>11400</v>
      </c>
      <c r="D16684" t="str">
        <f>"21011818    "</f>
        <v xml:space="preserve">21011818    </v>
      </c>
      <c r="E16684" t="s">
        <v>2828</v>
      </c>
      <c r="F16684" t="s">
        <v>2829</v>
      </c>
      <c r="G16684">
        <v>15.87</v>
      </c>
      <c r="H16684">
        <v>250831</v>
      </c>
      <c r="I16684">
        <v>4600</v>
      </c>
      <c r="J16684" t="s">
        <v>278</v>
      </c>
      <c r="K16684">
        <v>142.53</v>
      </c>
      <c r="L16684">
        <v>3.22</v>
      </c>
      <c r="M16684">
        <v>54422</v>
      </c>
      <c r="N16684" t="s">
        <v>49</v>
      </c>
      <c r="O16684">
        <v>250904</v>
      </c>
      <c r="P16684">
        <v>12.65</v>
      </c>
    </row>
    <row r="16685" spans="1:16" x14ac:dyDescent="0.25">
      <c r="A16685" t="s">
        <v>3296</v>
      </c>
      <c r="B16685" t="s">
        <v>2931</v>
      </c>
      <c r="C16685">
        <v>11402</v>
      </c>
      <c r="D16685" t="str">
        <f>"21011813    "</f>
        <v xml:space="preserve">21011813    </v>
      </c>
      <c r="E16685" t="s">
        <v>2828</v>
      </c>
      <c r="F16685" t="s">
        <v>2829</v>
      </c>
      <c r="G16685">
        <v>1.8</v>
      </c>
      <c r="H16685">
        <v>250831</v>
      </c>
      <c r="I16685">
        <v>4600</v>
      </c>
      <c r="J16685" t="s">
        <v>278</v>
      </c>
      <c r="K16685">
        <v>203.18</v>
      </c>
      <c r="L16685">
        <v>0.37</v>
      </c>
      <c r="M16685">
        <v>69811</v>
      </c>
      <c r="N16685" t="s">
        <v>230</v>
      </c>
      <c r="O16685">
        <v>250904</v>
      </c>
      <c r="P16685">
        <v>1.43</v>
      </c>
    </row>
    <row r="16686" spans="1:16" x14ac:dyDescent="0.25">
      <c r="A16686" t="s">
        <v>3296</v>
      </c>
      <c r="B16686" t="s">
        <v>2931</v>
      </c>
      <c r="C16686">
        <v>11552</v>
      </c>
      <c r="D16686" t="str">
        <f>"21011809    "</f>
        <v xml:space="preserve">21011809    </v>
      </c>
      <c r="E16686" t="s">
        <v>2828</v>
      </c>
      <c r="F16686" t="s">
        <v>2829</v>
      </c>
      <c r="G16686">
        <v>0.38</v>
      </c>
      <c r="H16686">
        <v>250831</v>
      </c>
      <c r="I16686">
        <v>4600</v>
      </c>
      <c r="J16686" t="s">
        <v>278</v>
      </c>
      <c r="K16686">
        <v>431.5</v>
      </c>
      <c r="L16686">
        <v>0.08</v>
      </c>
      <c r="M16686">
        <v>67522</v>
      </c>
      <c r="N16686" t="s">
        <v>121</v>
      </c>
      <c r="O16686">
        <v>250908</v>
      </c>
      <c r="P16686">
        <v>0.3</v>
      </c>
    </row>
    <row r="16687" spans="1:16" x14ac:dyDescent="0.25">
      <c r="A16687" t="s">
        <v>3296</v>
      </c>
      <c r="B16687" t="s">
        <v>2931</v>
      </c>
      <c r="C16687">
        <v>11559</v>
      </c>
      <c r="D16687" t="str">
        <f>"21011815    "</f>
        <v xml:space="preserve">21011815    </v>
      </c>
      <c r="E16687" t="s">
        <v>2828</v>
      </c>
      <c r="F16687" t="s">
        <v>2829</v>
      </c>
      <c r="G16687">
        <v>44.1</v>
      </c>
      <c r="H16687">
        <v>250831</v>
      </c>
      <c r="I16687">
        <v>4600</v>
      </c>
      <c r="J16687" t="s">
        <v>278</v>
      </c>
      <c r="K16687">
        <v>44.1</v>
      </c>
      <c r="L16687">
        <v>8.9600000000000009</v>
      </c>
      <c r="M16687">
        <v>13401</v>
      </c>
      <c r="N16687" t="s">
        <v>10</v>
      </c>
      <c r="O16687">
        <v>250908</v>
      </c>
      <c r="P16687">
        <v>35.14</v>
      </c>
    </row>
    <row r="16688" spans="1:16" x14ac:dyDescent="0.25">
      <c r="A16688" t="s">
        <v>3296</v>
      </c>
      <c r="B16688" t="s">
        <v>2931</v>
      </c>
      <c r="C16688">
        <v>11974</v>
      </c>
      <c r="D16688" t="str">
        <f>"21011814    "</f>
        <v xml:space="preserve">21011814    </v>
      </c>
      <c r="E16688" t="s">
        <v>2828</v>
      </c>
      <c r="F16688" t="s">
        <v>2829</v>
      </c>
      <c r="G16688">
        <v>1.91</v>
      </c>
      <c r="H16688">
        <v>250831</v>
      </c>
      <c r="I16688">
        <v>4600</v>
      </c>
      <c r="J16688" t="s">
        <v>278</v>
      </c>
      <c r="K16688">
        <v>213.18</v>
      </c>
      <c r="L16688">
        <v>0.39</v>
      </c>
      <c r="M16688">
        <v>59111</v>
      </c>
      <c r="N16688" t="s">
        <v>60</v>
      </c>
      <c r="O16688">
        <v>250915</v>
      </c>
      <c r="P16688">
        <v>1.52</v>
      </c>
    </row>
    <row r="16689" spans="1:16" x14ac:dyDescent="0.25">
      <c r="A16689" t="s">
        <v>3296</v>
      </c>
      <c r="B16689" t="s">
        <v>2931</v>
      </c>
      <c r="C16689">
        <v>12031</v>
      </c>
      <c r="D16689" t="str">
        <f>"21011817    "</f>
        <v xml:space="preserve">21011817    </v>
      </c>
      <c r="E16689" t="s">
        <v>2828</v>
      </c>
      <c r="F16689" t="s">
        <v>2829</v>
      </c>
      <c r="G16689">
        <v>23.33</v>
      </c>
      <c r="H16689">
        <v>250831</v>
      </c>
      <c r="I16689">
        <v>4600</v>
      </c>
      <c r="J16689" t="s">
        <v>278</v>
      </c>
      <c r="K16689">
        <v>471.81</v>
      </c>
      <c r="L16689">
        <v>4.74</v>
      </c>
      <c r="M16689">
        <v>11605</v>
      </c>
      <c r="N16689" t="s">
        <v>1066</v>
      </c>
      <c r="O16689">
        <v>250915</v>
      </c>
      <c r="P16689">
        <v>18.59</v>
      </c>
    </row>
    <row r="16690" spans="1:16" x14ac:dyDescent="0.25">
      <c r="A16690" t="s">
        <v>3296</v>
      </c>
      <c r="B16690" t="s">
        <v>2931</v>
      </c>
      <c r="C16690">
        <v>12031</v>
      </c>
      <c r="D16690" t="str">
        <f>"21011817    "</f>
        <v xml:space="preserve">21011817    </v>
      </c>
      <c r="E16690" t="s">
        <v>2828</v>
      </c>
      <c r="F16690" t="s">
        <v>2829</v>
      </c>
      <c r="G16690">
        <v>0.34</v>
      </c>
      <c r="H16690">
        <v>250831</v>
      </c>
      <c r="I16690">
        <v>4600</v>
      </c>
      <c r="J16690" t="s">
        <v>278</v>
      </c>
      <c r="K16690">
        <v>471.81</v>
      </c>
      <c r="L16690">
        <v>7.0000000000000007E-2</v>
      </c>
      <c r="M16690">
        <v>14422</v>
      </c>
      <c r="N16690" t="s">
        <v>73</v>
      </c>
      <c r="O16690">
        <v>250915</v>
      </c>
      <c r="P16690">
        <v>0.27</v>
      </c>
    </row>
    <row r="16691" spans="1:16" x14ac:dyDescent="0.25">
      <c r="A16691" t="s">
        <v>3296</v>
      </c>
      <c r="B16691" t="s">
        <v>2931</v>
      </c>
      <c r="C16691">
        <v>12031</v>
      </c>
      <c r="D16691" t="str">
        <f>"21011817    "</f>
        <v xml:space="preserve">21011817    </v>
      </c>
      <c r="E16691" t="s">
        <v>2828</v>
      </c>
      <c r="F16691" t="s">
        <v>2829</v>
      </c>
      <c r="G16691">
        <v>47.38</v>
      </c>
      <c r="H16691">
        <v>250831</v>
      </c>
      <c r="I16691">
        <v>4600</v>
      </c>
      <c r="J16691" t="s">
        <v>278</v>
      </c>
      <c r="K16691">
        <v>471.81</v>
      </c>
      <c r="L16691">
        <v>9.6300000000000008</v>
      </c>
      <c r="M16691">
        <v>14422</v>
      </c>
      <c r="N16691" t="s">
        <v>73</v>
      </c>
      <c r="O16691">
        <v>250915</v>
      </c>
      <c r="P16691">
        <v>37.75</v>
      </c>
    </row>
    <row r="16692" spans="1:16" x14ac:dyDescent="0.25">
      <c r="A16692" t="s">
        <v>3296</v>
      </c>
      <c r="B16692" t="s">
        <v>2931</v>
      </c>
      <c r="C16692">
        <v>12031</v>
      </c>
      <c r="D16692" t="str">
        <f>"21011817    "</f>
        <v xml:space="preserve">21011817    </v>
      </c>
      <c r="E16692" t="s">
        <v>2828</v>
      </c>
      <c r="F16692" t="s">
        <v>2829</v>
      </c>
      <c r="G16692">
        <v>5.2</v>
      </c>
      <c r="H16692">
        <v>250831</v>
      </c>
      <c r="I16692">
        <v>4600</v>
      </c>
      <c r="J16692" t="s">
        <v>278</v>
      </c>
      <c r="K16692">
        <v>471.81</v>
      </c>
      <c r="L16692">
        <v>1.06</v>
      </c>
      <c r="M16692">
        <v>14541</v>
      </c>
      <c r="N16692" t="s">
        <v>76</v>
      </c>
      <c r="O16692">
        <v>250915</v>
      </c>
      <c r="P16692">
        <v>4.1399999999999997</v>
      </c>
    </row>
    <row r="16693" spans="1:16" x14ac:dyDescent="0.25">
      <c r="A16693" t="s">
        <v>3296</v>
      </c>
      <c r="B16693" t="s">
        <v>2931</v>
      </c>
      <c r="C16693">
        <v>12031</v>
      </c>
      <c r="D16693" t="str">
        <f>"21011817    "</f>
        <v xml:space="preserve">21011817    </v>
      </c>
      <c r="E16693" t="s">
        <v>2828</v>
      </c>
      <c r="F16693" t="s">
        <v>2829</v>
      </c>
      <c r="G16693">
        <v>4.4400000000000004</v>
      </c>
      <c r="H16693">
        <v>250831</v>
      </c>
      <c r="I16693">
        <v>4600</v>
      </c>
      <c r="J16693" t="s">
        <v>278</v>
      </c>
      <c r="K16693">
        <v>471.81</v>
      </c>
      <c r="L16693">
        <v>0.9</v>
      </c>
      <c r="M16693">
        <v>14986</v>
      </c>
      <c r="N16693" t="s">
        <v>2405</v>
      </c>
      <c r="O16693">
        <v>250915</v>
      </c>
      <c r="P16693">
        <v>3.54</v>
      </c>
    </row>
    <row r="16694" spans="1:16" x14ac:dyDescent="0.25">
      <c r="A16694" t="s">
        <v>3296</v>
      </c>
      <c r="B16694" t="s">
        <v>2931</v>
      </c>
      <c r="C16694">
        <v>12066</v>
      </c>
      <c r="D16694" t="str">
        <f>"21011816    "</f>
        <v xml:space="preserve">21011816    </v>
      </c>
      <c r="E16694" t="s">
        <v>2828</v>
      </c>
      <c r="F16694" t="s">
        <v>2829</v>
      </c>
      <c r="G16694">
        <v>11.71</v>
      </c>
      <c r="H16694">
        <v>250831</v>
      </c>
      <c r="I16694">
        <v>4600</v>
      </c>
      <c r="J16694" t="s">
        <v>278</v>
      </c>
      <c r="K16694">
        <v>174.47</v>
      </c>
      <c r="L16694">
        <v>2.38</v>
      </c>
      <c r="M16694">
        <v>44253</v>
      </c>
      <c r="N16694" t="s">
        <v>403</v>
      </c>
      <c r="O16694">
        <v>250916</v>
      </c>
      <c r="P16694">
        <v>9.33</v>
      </c>
    </row>
    <row r="16695" spans="1:16" x14ac:dyDescent="0.25">
      <c r="A16695" t="s">
        <v>3296</v>
      </c>
      <c r="B16695" t="s">
        <v>2931</v>
      </c>
      <c r="C16695">
        <v>12236</v>
      </c>
      <c r="D16695" t="str">
        <f>"21011810    "</f>
        <v xml:space="preserve">21011810    </v>
      </c>
      <c r="E16695" t="s">
        <v>2828</v>
      </c>
      <c r="F16695" t="s">
        <v>2829</v>
      </c>
      <c r="G16695">
        <v>6.86</v>
      </c>
      <c r="H16695">
        <v>250831</v>
      </c>
      <c r="I16695">
        <v>4600</v>
      </c>
      <c r="J16695" t="s">
        <v>278</v>
      </c>
      <c r="K16695">
        <v>65.97</v>
      </c>
      <c r="L16695">
        <v>1.39</v>
      </c>
      <c r="M16695">
        <v>44251</v>
      </c>
      <c r="N16695" t="s">
        <v>215</v>
      </c>
      <c r="O16695">
        <v>250918</v>
      </c>
      <c r="P16695">
        <v>5.47</v>
      </c>
    </row>
    <row r="16696" spans="1:16" x14ac:dyDescent="0.25">
      <c r="A16696" t="s">
        <v>3296</v>
      </c>
      <c r="B16696" t="s">
        <v>2931</v>
      </c>
      <c r="C16696">
        <v>12236</v>
      </c>
      <c r="D16696" t="str">
        <f>"21011810    "</f>
        <v xml:space="preserve">21011810    </v>
      </c>
      <c r="E16696" t="s">
        <v>2828</v>
      </c>
      <c r="F16696" t="s">
        <v>2829</v>
      </c>
      <c r="G16696">
        <v>0.03</v>
      </c>
      <c r="H16696">
        <v>250831</v>
      </c>
      <c r="I16696">
        <v>4600</v>
      </c>
      <c r="J16696" t="s">
        <v>278</v>
      </c>
      <c r="K16696">
        <v>65.97</v>
      </c>
      <c r="L16696">
        <v>0.01</v>
      </c>
      <c r="M16696">
        <v>49702</v>
      </c>
      <c r="N16696" t="s">
        <v>112</v>
      </c>
      <c r="O16696">
        <v>250918</v>
      </c>
      <c r="P16696">
        <v>0.02</v>
      </c>
    </row>
    <row r="16697" spans="1:16" x14ac:dyDescent="0.25">
      <c r="A16697" t="s">
        <v>3296</v>
      </c>
      <c r="B16697" t="s">
        <v>2931</v>
      </c>
      <c r="C16697">
        <v>12236</v>
      </c>
      <c r="D16697" t="str">
        <f>"21011810    "</f>
        <v xml:space="preserve">21011810    </v>
      </c>
      <c r="E16697" t="s">
        <v>2828</v>
      </c>
      <c r="F16697" t="s">
        <v>2829</v>
      </c>
      <c r="G16697">
        <v>0.79</v>
      </c>
      <c r="H16697">
        <v>250831</v>
      </c>
      <c r="I16697">
        <v>4600</v>
      </c>
      <c r="J16697" t="s">
        <v>278</v>
      </c>
      <c r="K16697">
        <v>65.97</v>
      </c>
      <c r="L16697">
        <v>0.16</v>
      </c>
      <c r="M16697">
        <v>49702</v>
      </c>
      <c r="N16697" t="s">
        <v>112</v>
      </c>
      <c r="O16697">
        <v>250918</v>
      </c>
      <c r="P16697">
        <v>0.63</v>
      </c>
    </row>
    <row r="16698" spans="1:16" x14ac:dyDescent="0.25">
      <c r="A16698" t="s">
        <v>3296</v>
      </c>
      <c r="B16698" t="s">
        <v>2931</v>
      </c>
      <c r="C16698">
        <v>12236</v>
      </c>
      <c r="D16698" t="str">
        <f>"21011810    "</f>
        <v xml:space="preserve">21011810    </v>
      </c>
      <c r="E16698" t="s">
        <v>2828</v>
      </c>
      <c r="F16698" t="s">
        <v>2829</v>
      </c>
      <c r="G16698">
        <v>1</v>
      </c>
      <c r="H16698">
        <v>250831</v>
      </c>
      <c r="I16698">
        <v>4600</v>
      </c>
      <c r="J16698" t="s">
        <v>278</v>
      </c>
      <c r="K16698">
        <v>65.97</v>
      </c>
      <c r="L16698">
        <v>0.2</v>
      </c>
      <c r="M16698">
        <v>49702</v>
      </c>
      <c r="N16698" t="s">
        <v>112</v>
      </c>
      <c r="O16698">
        <v>250918</v>
      </c>
      <c r="P16698">
        <v>0.8</v>
      </c>
    </row>
    <row r="16699" spans="1:16" x14ac:dyDescent="0.25">
      <c r="A16699" t="s">
        <v>3296</v>
      </c>
      <c r="B16699" t="s">
        <v>2931</v>
      </c>
      <c r="C16699">
        <v>12236</v>
      </c>
      <c r="D16699" t="str">
        <f>"21011810    "</f>
        <v xml:space="preserve">21011810    </v>
      </c>
      <c r="E16699" t="s">
        <v>2828</v>
      </c>
      <c r="F16699" t="s">
        <v>2829</v>
      </c>
      <c r="G16699">
        <v>7.32</v>
      </c>
      <c r="H16699">
        <v>250831</v>
      </c>
      <c r="I16699">
        <v>4600</v>
      </c>
      <c r="J16699" t="s">
        <v>278</v>
      </c>
      <c r="K16699">
        <v>65.97</v>
      </c>
      <c r="L16699">
        <v>1.49</v>
      </c>
      <c r="M16699">
        <v>49702</v>
      </c>
      <c r="N16699" t="s">
        <v>112</v>
      </c>
      <c r="O16699">
        <v>250918</v>
      </c>
      <c r="P16699">
        <v>5.83</v>
      </c>
    </row>
    <row r="16700" spans="1:16" x14ac:dyDescent="0.25">
      <c r="A16700" t="s">
        <v>3296</v>
      </c>
      <c r="B16700" t="s">
        <v>2931</v>
      </c>
      <c r="C16700">
        <v>13036</v>
      </c>
      <c r="D16700" t="str">
        <f>"21057632    "</f>
        <v xml:space="preserve">21057632    </v>
      </c>
      <c r="E16700" t="s">
        <v>2828</v>
      </c>
      <c r="F16700" t="s">
        <v>2829</v>
      </c>
      <c r="G16700">
        <v>0.7</v>
      </c>
      <c r="H16700">
        <v>250930</v>
      </c>
      <c r="I16700">
        <v>4600</v>
      </c>
      <c r="J16700" t="s">
        <v>278</v>
      </c>
      <c r="K16700">
        <v>92.37</v>
      </c>
      <c r="L16700">
        <v>0.14000000000000001</v>
      </c>
      <c r="M16700">
        <v>54451</v>
      </c>
      <c r="N16700" t="s">
        <v>218</v>
      </c>
      <c r="O16700">
        <v>251003</v>
      </c>
      <c r="P16700">
        <v>0.56000000000000005</v>
      </c>
    </row>
    <row r="16701" spans="1:16" x14ac:dyDescent="0.25">
      <c r="A16701" t="s">
        <v>3296</v>
      </c>
      <c r="B16701" t="s">
        <v>2931</v>
      </c>
      <c r="C16701">
        <v>13173</v>
      </c>
      <c r="D16701" t="str">
        <f>"21057626    "</f>
        <v xml:space="preserve">21057626    </v>
      </c>
      <c r="E16701" t="s">
        <v>2828</v>
      </c>
      <c r="F16701" t="s">
        <v>2829</v>
      </c>
      <c r="G16701">
        <v>9.16</v>
      </c>
      <c r="H16701">
        <v>250930</v>
      </c>
      <c r="I16701">
        <v>4600</v>
      </c>
      <c r="J16701" t="s">
        <v>278</v>
      </c>
      <c r="K16701">
        <v>204.56</v>
      </c>
      <c r="L16701">
        <v>1.86</v>
      </c>
      <c r="M16701">
        <v>69811</v>
      </c>
      <c r="N16701" t="s">
        <v>230</v>
      </c>
      <c r="O16701">
        <v>251006</v>
      </c>
      <c r="P16701">
        <v>7.3</v>
      </c>
    </row>
    <row r="16702" spans="1:16" x14ac:dyDescent="0.25">
      <c r="A16702" t="s">
        <v>3296</v>
      </c>
      <c r="B16702" t="s">
        <v>2931</v>
      </c>
      <c r="C16702">
        <v>13288</v>
      </c>
      <c r="D16702" t="str">
        <f>"21057629    "</f>
        <v xml:space="preserve">21057629    </v>
      </c>
      <c r="E16702" t="s">
        <v>2828</v>
      </c>
      <c r="F16702" t="s">
        <v>2829</v>
      </c>
      <c r="G16702">
        <v>1.96</v>
      </c>
      <c r="H16702">
        <v>250930</v>
      </c>
      <c r="I16702">
        <v>4600</v>
      </c>
      <c r="J16702" t="s">
        <v>278</v>
      </c>
      <c r="K16702">
        <v>63.58</v>
      </c>
      <c r="L16702">
        <v>0.4</v>
      </c>
      <c r="M16702">
        <v>13401</v>
      </c>
      <c r="N16702" t="s">
        <v>10</v>
      </c>
      <c r="O16702">
        <v>251007</v>
      </c>
      <c r="P16702">
        <v>1.56</v>
      </c>
    </row>
    <row r="16703" spans="1:16" x14ac:dyDescent="0.25">
      <c r="A16703" t="s">
        <v>3296</v>
      </c>
      <c r="B16703" t="s">
        <v>2931</v>
      </c>
      <c r="C16703">
        <v>13311</v>
      </c>
      <c r="D16703" t="str">
        <f t="shared" ref="D16703:D16708" si="276">"21057634    "</f>
        <v xml:space="preserve">21057634    </v>
      </c>
      <c r="E16703" t="s">
        <v>2828</v>
      </c>
      <c r="F16703" t="s">
        <v>2829</v>
      </c>
      <c r="G16703">
        <v>0.2</v>
      </c>
      <c r="H16703">
        <v>250930</v>
      </c>
      <c r="I16703">
        <v>4600</v>
      </c>
      <c r="J16703" t="s">
        <v>278</v>
      </c>
      <c r="K16703">
        <v>469.31</v>
      </c>
      <c r="L16703">
        <v>0.04</v>
      </c>
      <c r="M16703">
        <v>11900</v>
      </c>
      <c r="N16703" t="s">
        <v>30</v>
      </c>
      <c r="O16703">
        <v>251007</v>
      </c>
      <c r="P16703">
        <v>0.16</v>
      </c>
    </row>
    <row r="16704" spans="1:16" x14ac:dyDescent="0.25">
      <c r="A16704" t="s">
        <v>3296</v>
      </c>
      <c r="B16704" t="s">
        <v>2931</v>
      </c>
      <c r="C16704">
        <v>13311</v>
      </c>
      <c r="D16704" t="str">
        <f t="shared" si="276"/>
        <v xml:space="preserve">21057634    </v>
      </c>
      <c r="E16704" t="s">
        <v>2828</v>
      </c>
      <c r="F16704" t="s">
        <v>2829</v>
      </c>
      <c r="G16704">
        <v>2.4</v>
      </c>
      <c r="H16704">
        <v>250930</v>
      </c>
      <c r="I16704">
        <v>4600</v>
      </c>
      <c r="J16704" t="s">
        <v>278</v>
      </c>
      <c r="K16704">
        <v>469.31</v>
      </c>
      <c r="L16704">
        <v>0.49</v>
      </c>
      <c r="M16704">
        <v>18995</v>
      </c>
      <c r="N16704" t="s">
        <v>2317</v>
      </c>
      <c r="O16704">
        <v>251007</v>
      </c>
      <c r="P16704">
        <v>1.91</v>
      </c>
    </row>
    <row r="16705" spans="1:16" x14ac:dyDescent="0.25">
      <c r="A16705" t="s">
        <v>3296</v>
      </c>
      <c r="B16705" t="s">
        <v>2931</v>
      </c>
      <c r="C16705">
        <v>13311</v>
      </c>
      <c r="D16705" t="str">
        <f t="shared" si="276"/>
        <v xml:space="preserve">21057634    </v>
      </c>
      <c r="E16705" t="s">
        <v>2828</v>
      </c>
      <c r="F16705" t="s">
        <v>2829</v>
      </c>
      <c r="G16705">
        <v>23.46</v>
      </c>
      <c r="H16705">
        <v>250930</v>
      </c>
      <c r="I16705">
        <v>4600</v>
      </c>
      <c r="J16705" t="s">
        <v>278</v>
      </c>
      <c r="K16705">
        <v>469.31</v>
      </c>
      <c r="L16705">
        <v>4.7699999999999996</v>
      </c>
      <c r="M16705">
        <v>18995</v>
      </c>
      <c r="N16705" t="s">
        <v>2317</v>
      </c>
      <c r="O16705">
        <v>251007</v>
      </c>
      <c r="P16705">
        <v>18.690000000000001</v>
      </c>
    </row>
    <row r="16706" spans="1:16" x14ac:dyDescent="0.25">
      <c r="A16706" t="s">
        <v>3296</v>
      </c>
      <c r="B16706" t="s">
        <v>2931</v>
      </c>
      <c r="C16706">
        <v>13311</v>
      </c>
      <c r="D16706" t="str">
        <f t="shared" si="276"/>
        <v xml:space="preserve">21057634    </v>
      </c>
      <c r="E16706" t="s">
        <v>2828</v>
      </c>
      <c r="F16706" t="s">
        <v>2829</v>
      </c>
      <c r="G16706">
        <v>33.03</v>
      </c>
      <c r="H16706">
        <v>250930</v>
      </c>
      <c r="I16706">
        <v>4600</v>
      </c>
      <c r="J16706" t="s">
        <v>278</v>
      </c>
      <c r="K16706">
        <v>469.31</v>
      </c>
      <c r="L16706">
        <v>6.71</v>
      </c>
      <c r="M16706">
        <v>18995</v>
      </c>
      <c r="N16706" t="s">
        <v>2317</v>
      </c>
      <c r="O16706">
        <v>251007</v>
      </c>
      <c r="P16706">
        <v>26.32</v>
      </c>
    </row>
    <row r="16707" spans="1:16" x14ac:dyDescent="0.25">
      <c r="A16707" t="s">
        <v>3296</v>
      </c>
      <c r="B16707" t="s">
        <v>2931</v>
      </c>
      <c r="C16707">
        <v>13311</v>
      </c>
      <c r="D16707" t="str">
        <f t="shared" si="276"/>
        <v xml:space="preserve">21057634    </v>
      </c>
      <c r="E16707" t="s">
        <v>2828</v>
      </c>
      <c r="F16707" t="s">
        <v>2829</v>
      </c>
      <c r="G16707">
        <v>50</v>
      </c>
      <c r="H16707">
        <v>250930</v>
      </c>
      <c r="I16707">
        <v>4600</v>
      </c>
      <c r="J16707" t="s">
        <v>278</v>
      </c>
      <c r="K16707">
        <v>469.31</v>
      </c>
      <c r="L16707">
        <v>0</v>
      </c>
      <c r="M16707">
        <v>18995</v>
      </c>
      <c r="N16707" t="s">
        <v>2317</v>
      </c>
      <c r="O16707">
        <v>251007</v>
      </c>
      <c r="P16707">
        <v>50</v>
      </c>
    </row>
    <row r="16708" spans="1:16" x14ac:dyDescent="0.25">
      <c r="A16708" t="s">
        <v>3296</v>
      </c>
      <c r="B16708" t="s">
        <v>2931</v>
      </c>
      <c r="C16708">
        <v>13311</v>
      </c>
      <c r="D16708" t="str">
        <f t="shared" si="276"/>
        <v xml:space="preserve">21057634    </v>
      </c>
      <c r="E16708" t="s">
        <v>2828</v>
      </c>
      <c r="F16708" t="s">
        <v>2829</v>
      </c>
      <c r="G16708">
        <v>66.849999999999994</v>
      </c>
      <c r="H16708">
        <v>250930</v>
      </c>
      <c r="I16708">
        <v>4600</v>
      </c>
      <c r="J16708" t="s">
        <v>278</v>
      </c>
      <c r="K16708">
        <v>469.31</v>
      </c>
      <c r="L16708">
        <v>13.58</v>
      </c>
      <c r="M16708">
        <v>18995</v>
      </c>
      <c r="N16708" t="s">
        <v>2317</v>
      </c>
      <c r="O16708">
        <v>251007</v>
      </c>
      <c r="P16708">
        <v>53.27</v>
      </c>
    </row>
    <row r="16709" spans="1:16" x14ac:dyDescent="0.25">
      <c r="A16709" t="s">
        <v>3296</v>
      </c>
      <c r="B16709" t="s">
        <v>2931</v>
      </c>
      <c r="C16709">
        <v>13385</v>
      </c>
      <c r="D16709" t="str">
        <f>"21057635    "</f>
        <v xml:space="preserve">21057635    </v>
      </c>
      <c r="E16709" t="s">
        <v>2828</v>
      </c>
      <c r="F16709" t="s">
        <v>2829</v>
      </c>
      <c r="G16709">
        <v>14.71</v>
      </c>
      <c r="H16709">
        <v>250930</v>
      </c>
      <c r="I16709">
        <v>4600</v>
      </c>
      <c r="J16709" t="s">
        <v>278</v>
      </c>
      <c r="K16709">
        <v>420.1</v>
      </c>
      <c r="L16709">
        <v>2.99</v>
      </c>
      <c r="M16709">
        <v>17131</v>
      </c>
      <c r="N16709" t="s">
        <v>154</v>
      </c>
      <c r="O16709">
        <v>251008</v>
      </c>
      <c r="P16709">
        <v>11.72</v>
      </c>
    </row>
    <row r="16710" spans="1:16" x14ac:dyDescent="0.25">
      <c r="A16710" t="s">
        <v>3296</v>
      </c>
      <c r="B16710" t="s">
        <v>2931</v>
      </c>
      <c r="C16710">
        <v>13385</v>
      </c>
      <c r="D16710" t="str">
        <f>"21057635    "</f>
        <v xml:space="preserve">21057635    </v>
      </c>
      <c r="E16710" t="s">
        <v>2828</v>
      </c>
      <c r="F16710" t="s">
        <v>2829</v>
      </c>
      <c r="G16710">
        <v>14.71</v>
      </c>
      <c r="H16710">
        <v>250930</v>
      </c>
      <c r="I16710">
        <v>4600</v>
      </c>
      <c r="J16710" t="s">
        <v>278</v>
      </c>
      <c r="K16710">
        <v>420.1</v>
      </c>
      <c r="L16710">
        <v>2.99</v>
      </c>
      <c r="M16710">
        <v>17131</v>
      </c>
      <c r="N16710" t="s">
        <v>154</v>
      </c>
      <c r="O16710">
        <v>251008</v>
      </c>
      <c r="P16710">
        <v>11.72</v>
      </c>
    </row>
    <row r="16711" spans="1:16" x14ac:dyDescent="0.25">
      <c r="A16711" t="s">
        <v>3296</v>
      </c>
      <c r="B16711" t="s">
        <v>2931</v>
      </c>
      <c r="C16711">
        <v>13385</v>
      </c>
      <c r="D16711" t="str">
        <f>"21057635    "</f>
        <v xml:space="preserve">21057635    </v>
      </c>
      <c r="E16711" t="s">
        <v>2828</v>
      </c>
      <c r="F16711" t="s">
        <v>2829</v>
      </c>
      <c r="G16711">
        <v>0.38</v>
      </c>
      <c r="H16711">
        <v>250930</v>
      </c>
      <c r="I16711">
        <v>4600</v>
      </c>
      <c r="J16711" t="s">
        <v>278</v>
      </c>
      <c r="K16711">
        <v>420.1</v>
      </c>
      <c r="L16711">
        <v>0.08</v>
      </c>
      <c r="M16711">
        <v>17912</v>
      </c>
      <c r="N16711" t="s">
        <v>505</v>
      </c>
      <c r="O16711">
        <v>251008</v>
      </c>
      <c r="P16711">
        <v>0.3</v>
      </c>
    </row>
    <row r="16712" spans="1:16" x14ac:dyDescent="0.25">
      <c r="A16712" t="s">
        <v>3296</v>
      </c>
      <c r="B16712" t="s">
        <v>2931</v>
      </c>
      <c r="C16712">
        <v>13385</v>
      </c>
      <c r="D16712" t="str">
        <f>"21057635    "</f>
        <v xml:space="preserve">21057635    </v>
      </c>
      <c r="E16712" t="s">
        <v>2828</v>
      </c>
      <c r="F16712" t="s">
        <v>2829</v>
      </c>
      <c r="G16712">
        <v>1.1499999999999999</v>
      </c>
      <c r="H16712">
        <v>250930</v>
      </c>
      <c r="I16712">
        <v>4600</v>
      </c>
      <c r="J16712" t="s">
        <v>278</v>
      </c>
      <c r="K16712">
        <v>420.1</v>
      </c>
      <c r="L16712">
        <v>0.23</v>
      </c>
      <c r="M16712">
        <v>17912</v>
      </c>
      <c r="N16712" t="s">
        <v>505</v>
      </c>
      <c r="O16712">
        <v>251008</v>
      </c>
      <c r="P16712">
        <v>0.92</v>
      </c>
    </row>
    <row r="16713" spans="1:16" x14ac:dyDescent="0.25">
      <c r="A16713" t="s">
        <v>3296</v>
      </c>
      <c r="B16713" t="s">
        <v>2931</v>
      </c>
      <c r="C16713">
        <v>13427</v>
      </c>
      <c r="D16713" t="str">
        <f>"21057627    "</f>
        <v xml:space="preserve">21057627    </v>
      </c>
      <c r="E16713" t="s">
        <v>2828</v>
      </c>
      <c r="F16713" t="s">
        <v>2829</v>
      </c>
      <c r="G16713">
        <v>293.02</v>
      </c>
      <c r="H16713">
        <v>250930</v>
      </c>
      <c r="I16713">
        <v>4600</v>
      </c>
      <c r="J16713" t="s">
        <v>278</v>
      </c>
      <c r="K16713">
        <v>497.26</v>
      </c>
      <c r="L16713">
        <v>0</v>
      </c>
      <c r="M16713">
        <v>56558</v>
      </c>
      <c r="N16713" t="s">
        <v>50</v>
      </c>
      <c r="O16713">
        <v>251009</v>
      </c>
      <c r="P16713">
        <v>293.02</v>
      </c>
    </row>
    <row r="16714" spans="1:16" x14ac:dyDescent="0.25">
      <c r="A16714" t="s">
        <v>3296</v>
      </c>
      <c r="B16714" t="s">
        <v>2931</v>
      </c>
      <c r="C16714">
        <v>13427</v>
      </c>
      <c r="D16714" t="str">
        <f>"21057627    "</f>
        <v xml:space="preserve">21057627    </v>
      </c>
      <c r="E16714" t="s">
        <v>2828</v>
      </c>
      <c r="F16714" t="s">
        <v>2829</v>
      </c>
      <c r="G16714">
        <v>4.7699999999999996</v>
      </c>
      <c r="H16714">
        <v>250930</v>
      </c>
      <c r="I16714">
        <v>4600</v>
      </c>
      <c r="J16714" t="s">
        <v>278</v>
      </c>
      <c r="K16714">
        <v>497.26</v>
      </c>
      <c r="L16714">
        <v>0.97</v>
      </c>
      <c r="M16714">
        <v>59111</v>
      </c>
      <c r="N16714" t="s">
        <v>60</v>
      </c>
      <c r="O16714">
        <v>251009</v>
      </c>
      <c r="P16714">
        <v>3.8</v>
      </c>
    </row>
    <row r="16715" spans="1:16" x14ac:dyDescent="0.25">
      <c r="A16715" t="s">
        <v>3296</v>
      </c>
      <c r="B16715" t="s">
        <v>2931</v>
      </c>
      <c r="C16715">
        <v>13680</v>
      </c>
      <c r="D16715" t="str">
        <f>"21057637    "</f>
        <v xml:space="preserve">21057637    </v>
      </c>
      <c r="E16715" t="s">
        <v>2828</v>
      </c>
      <c r="F16715" t="s">
        <v>2829</v>
      </c>
      <c r="G16715">
        <v>1.91</v>
      </c>
      <c r="H16715">
        <v>250930</v>
      </c>
      <c r="I16715">
        <v>4600</v>
      </c>
      <c r="J16715" t="s">
        <v>278</v>
      </c>
      <c r="K16715">
        <v>429.85</v>
      </c>
      <c r="L16715">
        <v>0.39</v>
      </c>
      <c r="M16715">
        <v>13501</v>
      </c>
      <c r="N16715" t="s">
        <v>66</v>
      </c>
      <c r="O16715">
        <v>251013</v>
      </c>
      <c r="P16715">
        <v>1.52</v>
      </c>
    </row>
    <row r="16716" spans="1:16" x14ac:dyDescent="0.25">
      <c r="A16716" t="s">
        <v>3296</v>
      </c>
      <c r="B16716" t="s">
        <v>2931</v>
      </c>
      <c r="C16716">
        <v>13680</v>
      </c>
      <c r="D16716" t="str">
        <f>"21057637    "</f>
        <v xml:space="preserve">21057637    </v>
      </c>
      <c r="E16716" t="s">
        <v>2828</v>
      </c>
      <c r="F16716" t="s">
        <v>2829</v>
      </c>
      <c r="G16716">
        <v>0.38</v>
      </c>
      <c r="H16716">
        <v>250930</v>
      </c>
      <c r="I16716">
        <v>4600</v>
      </c>
      <c r="J16716" t="s">
        <v>278</v>
      </c>
      <c r="K16716">
        <v>429.85</v>
      </c>
      <c r="L16716">
        <v>0.08</v>
      </c>
      <c r="M16716">
        <v>17521</v>
      </c>
      <c r="N16716" t="s">
        <v>136</v>
      </c>
      <c r="O16716">
        <v>251013</v>
      </c>
      <c r="P16716">
        <v>0.3</v>
      </c>
    </row>
    <row r="16717" spans="1:16" x14ac:dyDescent="0.25">
      <c r="A16717" t="s">
        <v>3296</v>
      </c>
      <c r="B16717" t="s">
        <v>2931</v>
      </c>
      <c r="C16717">
        <v>13680</v>
      </c>
      <c r="D16717" t="str">
        <f>"21057637    "</f>
        <v xml:space="preserve">21057637    </v>
      </c>
      <c r="E16717" t="s">
        <v>2828</v>
      </c>
      <c r="F16717" t="s">
        <v>2829</v>
      </c>
      <c r="G16717">
        <v>7.74</v>
      </c>
      <c r="H16717">
        <v>250930</v>
      </c>
      <c r="I16717">
        <v>4600</v>
      </c>
      <c r="J16717" t="s">
        <v>278</v>
      </c>
      <c r="K16717">
        <v>429.85</v>
      </c>
      <c r="L16717">
        <v>1.57</v>
      </c>
      <c r="M16717">
        <v>17538</v>
      </c>
      <c r="N16717" t="s">
        <v>129</v>
      </c>
      <c r="O16717">
        <v>251013</v>
      </c>
      <c r="P16717">
        <v>6.17</v>
      </c>
    </row>
    <row r="16718" spans="1:16" x14ac:dyDescent="0.25">
      <c r="A16718" t="s">
        <v>3296</v>
      </c>
      <c r="B16718" t="s">
        <v>2931</v>
      </c>
      <c r="C16718">
        <v>13699</v>
      </c>
      <c r="D16718" t="str">
        <f>"21057631    "</f>
        <v xml:space="preserve">21057631    </v>
      </c>
      <c r="E16718" t="s">
        <v>2828</v>
      </c>
      <c r="F16718" t="s">
        <v>2829</v>
      </c>
      <c r="G16718">
        <v>9.26</v>
      </c>
      <c r="H16718">
        <v>250930</v>
      </c>
      <c r="I16718">
        <v>4600</v>
      </c>
      <c r="J16718" t="s">
        <v>278</v>
      </c>
      <c r="K16718">
        <v>32.49</v>
      </c>
      <c r="L16718">
        <v>1.1399999999999999</v>
      </c>
      <c r="M16718">
        <v>18995</v>
      </c>
      <c r="N16718" t="s">
        <v>2317</v>
      </c>
      <c r="O16718">
        <v>251015</v>
      </c>
      <c r="P16718">
        <v>8.1199999999999992</v>
      </c>
    </row>
    <row r="16719" spans="1:16" x14ac:dyDescent="0.25">
      <c r="A16719" t="s">
        <v>3296</v>
      </c>
      <c r="B16719" t="s">
        <v>2931</v>
      </c>
      <c r="C16719">
        <v>13699</v>
      </c>
      <c r="D16719" t="str">
        <f>"21057631    "</f>
        <v xml:space="preserve">21057631    </v>
      </c>
      <c r="E16719" t="s">
        <v>2828</v>
      </c>
      <c r="F16719" t="s">
        <v>2829</v>
      </c>
      <c r="G16719">
        <v>23.23</v>
      </c>
      <c r="H16719">
        <v>250930</v>
      </c>
      <c r="I16719">
        <v>4600</v>
      </c>
      <c r="J16719" t="s">
        <v>278</v>
      </c>
      <c r="K16719">
        <v>32.49</v>
      </c>
      <c r="L16719">
        <v>4.72</v>
      </c>
      <c r="M16719">
        <v>18995</v>
      </c>
      <c r="N16719" t="s">
        <v>2317</v>
      </c>
      <c r="O16719">
        <v>251015</v>
      </c>
      <c r="P16719">
        <v>18.510000000000002</v>
      </c>
    </row>
    <row r="16720" spans="1:16" x14ac:dyDescent="0.25">
      <c r="A16720" t="s">
        <v>3296</v>
      </c>
      <c r="B16720" t="s">
        <v>2931</v>
      </c>
      <c r="C16720">
        <v>14571</v>
      </c>
      <c r="D16720" t="str">
        <f>"21104601    "</f>
        <v xml:space="preserve">21104601    </v>
      </c>
      <c r="E16720" t="s">
        <v>2828</v>
      </c>
      <c r="F16720" t="s">
        <v>2829</v>
      </c>
      <c r="G16720">
        <v>32.369999999999997</v>
      </c>
      <c r="H16720">
        <v>251031</v>
      </c>
      <c r="I16720">
        <v>4600</v>
      </c>
      <c r="J16720" t="s">
        <v>278</v>
      </c>
      <c r="K16720">
        <v>676.39</v>
      </c>
      <c r="L16720">
        <v>6.58</v>
      </c>
      <c r="M16720">
        <v>17131</v>
      </c>
      <c r="N16720" t="s">
        <v>154</v>
      </c>
      <c r="O16720">
        <v>251104</v>
      </c>
      <c r="P16720">
        <v>25.79</v>
      </c>
    </row>
    <row r="16721" spans="1:16" x14ac:dyDescent="0.25">
      <c r="A16721" t="s">
        <v>3296</v>
      </c>
      <c r="B16721" t="s">
        <v>2931</v>
      </c>
      <c r="C16721">
        <v>14571</v>
      </c>
      <c r="D16721" t="str">
        <f>"21104601    "</f>
        <v xml:space="preserve">21104601    </v>
      </c>
      <c r="E16721" t="s">
        <v>2828</v>
      </c>
      <c r="F16721" t="s">
        <v>2829</v>
      </c>
      <c r="G16721">
        <v>0.78</v>
      </c>
      <c r="H16721">
        <v>251031</v>
      </c>
      <c r="I16721">
        <v>4600</v>
      </c>
      <c r="J16721" t="s">
        <v>278</v>
      </c>
      <c r="K16721">
        <v>676.39</v>
      </c>
      <c r="L16721">
        <v>0.16</v>
      </c>
      <c r="M16721">
        <v>17912</v>
      </c>
      <c r="N16721" t="s">
        <v>505</v>
      </c>
      <c r="O16721">
        <v>251104</v>
      </c>
      <c r="P16721">
        <v>0.62</v>
      </c>
    </row>
    <row r="16722" spans="1:16" x14ac:dyDescent="0.25">
      <c r="A16722" t="s">
        <v>3296</v>
      </c>
      <c r="B16722" t="s">
        <v>2931</v>
      </c>
      <c r="C16722">
        <v>14572</v>
      </c>
      <c r="D16722" t="str">
        <f>"21104593    "</f>
        <v xml:space="preserve">21104593    </v>
      </c>
      <c r="E16722" t="s">
        <v>2828</v>
      </c>
      <c r="F16722" t="s">
        <v>2829</v>
      </c>
      <c r="G16722">
        <v>1.8</v>
      </c>
      <c r="H16722">
        <v>251031</v>
      </c>
      <c r="I16722">
        <v>4600</v>
      </c>
      <c r="J16722" t="s">
        <v>278</v>
      </c>
      <c r="K16722">
        <v>140.97999999999999</v>
      </c>
      <c r="L16722">
        <v>0.37</v>
      </c>
      <c r="M16722">
        <v>69811</v>
      </c>
      <c r="N16722" t="s">
        <v>230</v>
      </c>
      <c r="O16722">
        <v>251104</v>
      </c>
      <c r="P16722">
        <v>1.43</v>
      </c>
    </row>
    <row r="16723" spans="1:16" x14ac:dyDescent="0.25">
      <c r="A16723" t="s">
        <v>3296</v>
      </c>
      <c r="B16723" t="s">
        <v>2931</v>
      </c>
      <c r="C16723">
        <v>14600</v>
      </c>
      <c r="D16723" t="str">
        <f>"21104599    "</f>
        <v xml:space="preserve">21104599    </v>
      </c>
      <c r="E16723" t="s">
        <v>2828</v>
      </c>
      <c r="F16723" t="s">
        <v>2829</v>
      </c>
      <c r="G16723">
        <v>49.8</v>
      </c>
      <c r="H16723">
        <v>251031</v>
      </c>
      <c r="I16723">
        <v>4600</v>
      </c>
      <c r="J16723" t="s">
        <v>278</v>
      </c>
      <c r="K16723">
        <v>230.49</v>
      </c>
      <c r="L16723">
        <v>10.119999999999999</v>
      </c>
      <c r="M16723">
        <v>54451</v>
      </c>
      <c r="N16723" t="s">
        <v>218</v>
      </c>
      <c r="O16723">
        <v>251105</v>
      </c>
      <c r="P16723">
        <v>39.68</v>
      </c>
    </row>
    <row r="16724" spans="1:16" x14ac:dyDescent="0.25">
      <c r="A16724" t="s">
        <v>3296</v>
      </c>
      <c r="B16724" t="s">
        <v>2931</v>
      </c>
      <c r="C16724">
        <v>14718</v>
      </c>
      <c r="D16724" t="str">
        <f>"21104594    "</f>
        <v xml:space="preserve">21104594    </v>
      </c>
      <c r="E16724" t="s">
        <v>2828</v>
      </c>
      <c r="F16724" t="s">
        <v>2829</v>
      </c>
      <c r="G16724">
        <v>6.12</v>
      </c>
      <c r="H16724">
        <v>251031</v>
      </c>
      <c r="I16724">
        <v>4600</v>
      </c>
      <c r="J16724" t="s">
        <v>278</v>
      </c>
      <c r="K16724">
        <v>296.36</v>
      </c>
      <c r="L16724">
        <v>1.24</v>
      </c>
      <c r="M16724">
        <v>56565</v>
      </c>
      <c r="N16724" t="s">
        <v>57</v>
      </c>
      <c r="O16724">
        <v>251106</v>
      </c>
      <c r="P16724">
        <v>4.88</v>
      </c>
    </row>
    <row r="16725" spans="1:16" x14ac:dyDescent="0.25">
      <c r="A16725" t="s">
        <v>3296</v>
      </c>
      <c r="B16725" t="s">
        <v>2931</v>
      </c>
      <c r="C16725">
        <v>14718</v>
      </c>
      <c r="D16725" t="str">
        <f>"21104594    "</f>
        <v xml:space="preserve">21104594    </v>
      </c>
      <c r="E16725" t="s">
        <v>2828</v>
      </c>
      <c r="F16725" t="s">
        <v>2829</v>
      </c>
      <c r="G16725">
        <v>112.7</v>
      </c>
      <c r="H16725">
        <v>251031</v>
      </c>
      <c r="I16725">
        <v>4600</v>
      </c>
      <c r="J16725" t="s">
        <v>278</v>
      </c>
      <c r="K16725">
        <v>296.36</v>
      </c>
      <c r="L16725">
        <v>22.9</v>
      </c>
      <c r="M16725">
        <v>59111</v>
      </c>
      <c r="N16725" t="s">
        <v>60</v>
      </c>
      <c r="O16725">
        <v>251106</v>
      </c>
      <c r="P16725">
        <v>89.8</v>
      </c>
    </row>
    <row r="16726" spans="1:16" x14ac:dyDescent="0.25">
      <c r="A16726" t="s">
        <v>3296</v>
      </c>
      <c r="B16726" t="s">
        <v>2931</v>
      </c>
      <c r="C16726">
        <v>14905</v>
      </c>
      <c r="D16726" t="str">
        <f>"21104600    "</f>
        <v xml:space="preserve">21104600    </v>
      </c>
      <c r="E16726" t="s">
        <v>2828</v>
      </c>
      <c r="F16726" t="s">
        <v>2829</v>
      </c>
      <c r="G16726">
        <v>0.35</v>
      </c>
      <c r="H16726">
        <v>251031</v>
      </c>
      <c r="I16726">
        <v>4600</v>
      </c>
      <c r="J16726" t="s">
        <v>278</v>
      </c>
      <c r="K16726">
        <v>471.66</v>
      </c>
      <c r="L16726">
        <v>7.0000000000000007E-2</v>
      </c>
      <c r="M16726">
        <v>14986</v>
      </c>
      <c r="N16726" t="s">
        <v>2405</v>
      </c>
      <c r="O16726">
        <v>251107</v>
      </c>
      <c r="P16726">
        <v>0.28000000000000003</v>
      </c>
    </row>
    <row r="16727" spans="1:16" x14ac:dyDescent="0.25">
      <c r="A16727" t="s">
        <v>3296</v>
      </c>
      <c r="B16727" t="s">
        <v>2931</v>
      </c>
      <c r="C16727">
        <v>14905</v>
      </c>
      <c r="D16727" t="str">
        <f>"21104600    "</f>
        <v xml:space="preserve">21104600    </v>
      </c>
      <c r="E16727" t="s">
        <v>2828</v>
      </c>
      <c r="F16727" t="s">
        <v>2829</v>
      </c>
      <c r="G16727">
        <v>0.69</v>
      </c>
      <c r="H16727">
        <v>251031</v>
      </c>
      <c r="I16727">
        <v>4600</v>
      </c>
      <c r="J16727" t="s">
        <v>278</v>
      </c>
      <c r="K16727">
        <v>471.66</v>
      </c>
      <c r="L16727">
        <v>0.14000000000000001</v>
      </c>
      <c r="M16727">
        <v>14986</v>
      </c>
      <c r="N16727" t="s">
        <v>2405</v>
      </c>
      <c r="O16727">
        <v>251107</v>
      </c>
      <c r="P16727">
        <v>0.55000000000000004</v>
      </c>
    </row>
    <row r="16728" spans="1:16" x14ac:dyDescent="0.25">
      <c r="A16728" t="s">
        <v>3296</v>
      </c>
      <c r="B16728" t="s">
        <v>2931</v>
      </c>
      <c r="C16728">
        <v>14905</v>
      </c>
      <c r="D16728" t="str">
        <f>"21104600    "</f>
        <v xml:space="preserve">21104600    </v>
      </c>
      <c r="E16728" t="s">
        <v>2828</v>
      </c>
      <c r="F16728" t="s">
        <v>2829</v>
      </c>
      <c r="G16728">
        <v>25.21</v>
      </c>
      <c r="H16728">
        <v>251031</v>
      </c>
      <c r="I16728">
        <v>4600</v>
      </c>
      <c r="J16728" t="s">
        <v>278</v>
      </c>
      <c r="K16728">
        <v>471.66</v>
      </c>
      <c r="L16728">
        <v>5.12</v>
      </c>
      <c r="M16728">
        <v>14986</v>
      </c>
      <c r="N16728" t="s">
        <v>2405</v>
      </c>
      <c r="O16728">
        <v>251107</v>
      </c>
      <c r="P16728">
        <v>20.09</v>
      </c>
    </row>
    <row r="16729" spans="1:16" x14ac:dyDescent="0.25">
      <c r="A16729" t="s">
        <v>3296</v>
      </c>
      <c r="B16729" t="s">
        <v>2931</v>
      </c>
      <c r="C16729">
        <v>14905</v>
      </c>
      <c r="D16729" t="str">
        <f>"21104600    "</f>
        <v xml:space="preserve">21104600    </v>
      </c>
      <c r="E16729" t="s">
        <v>2828</v>
      </c>
      <c r="F16729" t="s">
        <v>2829</v>
      </c>
      <c r="G16729">
        <v>35.549999999999997</v>
      </c>
      <c r="H16729">
        <v>251031</v>
      </c>
      <c r="I16729">
        <v>4600</v>
      </c>
      <c r="J16729" t="s">
        <v>278</v>
      </c>
      <c r="K16729">
        <v>471.66</v>
      </c>
      <c r="L16729">
        <v>7.22</v>
      </c>
      <c r="M16729">
        <v>14986</v>
      </c>
      <c r="N16729" t="s">
        <v>2405</v>
      </c>
      <c r="O16729">
        <v>251107</v>
      </c>
      <c r="P16729">
        <v>28.33</v>
      </c>
    </row>
    <row r="16730" spans="1:16" x14ac:dyDescent="0.25">
      <c r="A16730" t="s">
        <v>3296</v>
      </c>
      <c r="B16730" t="s">
        <v>2931</v>
      </c>
      <c r="C16730">
        <v>14909</v>
      </c>
      <c r="D16730" t="str">
        <f>"21104589    "</f>
        <v xml:space="preserve">21104589    </v>
      </c>
      <c r="E16730" t="s">
        <v>2828</v>
      </c>
      <c r="F16730" t="s">
        <v>2829</v>
      </c>
      <c r="G16730">
        <v>8.6</v>
      </c>
      <c r="H16730">
        <v>251031</v>
      </c>
      <c r="I16730">
        <v>4600</v>
      </c>
      <c r="J16730" t="s">
        <v>278</v>
      </c>
      <c r="K16730">
        <v>346.4</v>
      </c>
      <c r="L16730">
        <v>1.75</v>
      </c>
      <c r="M16730">
        <v>67522</v>
      </c>
      <c r="N16730" t="s">
        <v>121</v>
      </c>
      <c r="O16730">
        <v>251107</v>
      </c>
      <c r="P16730">
        <v>6.85</v>
      </c>
    </row>
    <row r="16731" spans="1:16" x14ac:dyDescent="0.25">
      <c r="A16731" t="s">
        <v>3296</v>
      </c>
      <c r="B16731" t="s">
        <v>2931</v>
      </c>
      <c r="C16731">
        <v>15234</v>
      </c>
      <c r="D16731" t="str">
        <f>"21104606    "</f>
        <v xml:space="preserve">21104606    </v>
      </c>
      <c r="E16731" t="s">
        <v>2828</v>
      </c>
      <c r="F16731" t="s">
        <v>2829</v>
      </c>
      <c r="G16731">
        <v>8.57</v>
      </c>
      <c r="H16731">
        <v>251031</v>
      </c>
      <c r="I16731">
        <v>4600</v>
      </c>
      <c r="J16731" t="s">
        <v>278</v>
      </c>
      <c r="K16731">
        <v>257.67</v>
      </c>
      <c r="L16731">
        <v>1.74</v>
      </c>
      <c r="M16731">
        <v>44222</v>
      </c>
      <c r="N16731" t="s">
        <v>96</v>
      </c>
      <c r="O16731">
        <v>251117</v>
      </c>
      <c r="P16731">
        <v>6.83</v>
      </c>
    </row>
    <row r="16732" spans="1:16" x14ac:dyDescent="0.25">
      <c r="A16732" t="s">
        <v>3296</v>
      </c>
      <c r="B16732" t="s">
        <v>2931</v>
      </c>
      <c r="C16732">
        <v>16104</v>
      </c>
      <c r="D16732" t="str">
        <f>"21153634    "</f>
        <v xml:space="preserve">21153634    </v>
      </c>
      <c r="E16732" t="s">
        <v>2828</v>
      </c>
      <c r="F16732" t="s">
        <v>2829</v>
      </c>
      <c r="G16732">
        <v>0.1</v>
      </c>
      <c r="H16732">
        <v>251130</v>
      </c>
      <c r="I16732">
        <v>4600</v>
      </c>
      <c r="J16732" t="s">
        <v>278</v>
      </c>
      <c r="K16732">
        <v>507.15</v>
      </c>
      <c r="L16732">
        <v>0.02</v>
      </c>
      <c r="M16732">
        <v>17131</v>
      </c>
      <c r="N16732" t="s">
        <v>154</v>
      </c>
      <c r="O16732">
        <v>251203</v>
      </c>
      <c r="P16732">
        <v>0.08</v>
      </c>
    </row>
    <row r="16733" spans="1:16" x14ac:dyDescent="0.25">
      <c r="A16733" t="s">
        <v>3296</v>
      </c>
      <c r="B16733" t="s">
        <v>2931</v>
      </c>
      <c r="C16733">
        <v>16104</v>
      </c>
      <c r="D16733" t="str">
        <f>"21153634    "</f>
        <v xml:space="preserve">21153634    </v>
      </c>
      <c r="E16733" t="s">
        <v>2828</v>
      </c>
      <c r="F16733" t="s">
        <v>2829</v>
      </c>
      <c r="G16733">
        <v>34.299999999999997</v>
      </c>
      <c r="H16733">
        <v>251130</v>
      </c>
      <c r="I16733">
        <v>4600</v>
      </c>
      <c r="J16733" t="s">
        <v>278</v>
      </c>
      <c r="K16733">
        <v>507.15</v>
      </c>
      <c r="L16733">
        <v>6.97</v>
      </c>
      <c r="M16733">
        <v>17131</v>
      </c>
      <c r="N16733" t="s">
        <v>154</v>
      </c>
      <c r="O16733">
        <v>251203</v>
      </c>
      <c r="P16733">
        <v>27.33</v>
      </c>
    </row>
    <row r="16734" spans="1:16" x14ac:dyDescent="0.25">
      <c r="A16734" t="s">
        <v>3296</v>
      </c>
      <c r="B16734" t="s">
        <v>2931</v>
      </c>
      <c r="C16734">
        <v>16104</v>
      </c>
      <c r="D16734" t="str">
        <f>"21153634    "</f>
        <v xml:space="preserve">21153634    </v>
      </c>
      <c r="E16734" t="s">
        <v>2828</v>
      </c>
      <c r="F16734" t="s">
        <v>2829</v>
      </c>
      <c r="G16734">
        <v>4.08</v>
      </c>
      <c r="H16734">
        <v>251130</v>
      </c>
      <c r="I16734">
        <v>4600</v>
      </c>
      <c r="J16734" t="s">
        <v>278</v>
      </c>
      <c r="K16734">
        <v>507.15</v>
      </c>
      <c r="L16734">
        <v>0.83</v>
      </c>
      <c r="M16734">
        <v>17912</v>
      </c>
      <c r="N16734" t="s">
        <v>505</v>
      </c>
      <c r="O16734">
        <v>251203</v>
      </c>
      <c r="P16734">
        <v>3.25</v>
      </c>
    </row>
    <row r="16735" spans="1:16" x14ac:dyDescent="0.25">
      <c r="A16735" t="s">
        <v>3296</v>
      </c>
      <c r="B16735" t="s">
        <v>2931</v>
      </c>
      <c r="C16735">
        <v>16104</v>
      </c>
      <c r="D16735" t="str">
        <f>"21153634    "</f>
        <v xml:space="preserve">21153634    </v>
      </c>
      <c r="E16735" t="s">
        <v>2828</v>
      </c>
      <c r="F16735" t="s">
        <v>2829</v>
      </c>
      <c r="G16735">
        <v>4.09</v>
      </c>
      <c r="H16735">
        <v>251130</v>
      </c>
      <c r="I16735">
        <v>4600</v>
      </c>
      <c r="J16735" t="s">
        <v>278</v>
      </c>
      <c r="K16735">
        <v>507.15</v>
      </c>
      <c r="L16735">
        <v>0.83</v>
      </c>
      <c r="M16735">
        <v>17912</v>
      </c>
      <c r="N16735" t="s">
        <v>505</v>
      </c>
      <c r="O16735">
        <v>251203</v>
      </c>
      <c r="P16735">
        <v>3.26</v>
      </c>
    </row>
    <row r="16736" spans="1:16" x14ac:dyDescent="0.25">
      <c r="A16736" t="s">
        <v>3296</v>
      </c>
      <c r="B16736" t="s">
        <v>2931</v>
      </c>
      <c r="C16736">
        <v>16354</v>
      </c>
      <c r="D16736" t="str">
        <f>"21153629    "</f>
        <v xml:space="preserve">21153629    </v>
      </c>
      <c r="E16736" t="s">
        <v>2828</v>
      </c>
      <c r="F16736" t="s">
        <v>2829</v>
      </c>
      <c r="G16736">
        <v>3.82</v>
      </c>
      <c r="H16736">
        <v>251130</v>
      </c>
      <c r="I16736">
        <v>4600</v>
      </c>
      <c r="J16736" t="s">
        <v>278</v>
      </c>
      <c r="K16736">
        <v>126.3</v>
      </c>
      <c r="L16736">
        <v>0.78</v>
      </c>
      <c r="M16736">
        <v>14990</v>
      </c>
      <c r="N16736" t="s">
        <v>85</v>
      </c>
      <c r="O16736">
        <v>251208</v>
      </c>
      <c r="P16736">
        <v>3.04</v>
      </c>
    </row>
    <row r="16737" spans="1:16" x14ac:dyDescent="0.25">
      <c r="A16737" t="s">
        <v>3296</v>
      </c>
      <c r="B16737" t="s">
        <v>2931</v>
      </c>
      <c r="C16737">
        <v>16392</v>
      </c>
      <c r="D16737" t="str">
        <f>"21153625    "</f>
        <v xml:space="preserve">21153625    </v>
      </c>
      <c r="E16737" t="s">
        <v>2828</v>
      </c>
      <c r="F16737" t="s">
        <v>2829</v>
      </c>
      <c r="G16737">
        <v>11.81</v>
      </c>
      <c r="H16737">
        <v>251130</v>
      </c>
      <c r="I16737">
        <v>4600</v>
      </c>
      <c r="J16737" t="s">
        <v>278</v>
      </c>
      <c r="K16737">
        <v>163.12</v>
      </c>
      <c r="L16737">
        <v>2.4</v>
      </c>
      <c r="M16737">
        <v>69112</v>
      </c>
      <c r="N16737" t="s">
        <v>227</v>
      </c>
      <c r="O16737">
        <v>251208</v>
      </c>
      <c r="P16737">
        <v>9.41</v>
      </c>
    </row>
    <row r="16738" spans="1:16" x14ac:dyDescent="0.25">
      <c r="A16738" t="s">
        <v>3296</v>
      </c>
      <c r="B16738" t="s">
        <v>2931</v>
      </c>
      <c r="C16738">
        <v>16392</v>
      </c>
      <c r="D16738" t="str">
        <f>"21153625    "</f>
        <v xml:space="preserve">21153625    </v>
      </c>
      <c r="E16738" t="s">
        <v>2828</v>
      </c>
      <c r="F16738" t="s">
        <v>2829</v>
      </c>
      <c r="G16738">
        <v>0.66</v>
      </c>
      <c r="H16738">
        <v>251130</v>
      </c>
      <c r="I16738">
        <v>4600</v>
      </c>
      <c r="J16738" t="s">
        <v>278</v>
      </c>
      <c r="K16738">
        <v>163.12</v>
      </c>
      <c r="L16738">
        <v>0.13</v>
      </c>
      <c r="M16738">
        <v>69810</v>
      </c>
      <c r="N16738" t="s">
        <v>229</v>
      </c>
      <c r="O16738">
        <v>251208</v>
      </c>
      <c r="P16738">
        <v>0.53</v>
      </c>
    </row>
    <row r="16739" spans="1:16" x14ac:dyDescent="0.25">
      <c r="A16739" t="s">
        <v>3296</v>
      </c>
      <c r="B16739" t="s">
        <v>2931</v>
      </c>
      <c r="C16739">
        <v>16392</v>
      </c>
      <c r="D16739" t="str">
        <f>"21153625    "</f>
        <v xml:space="preserve">21153625    </v>
      </c>
      <c r="E16739" t="s">
        <v>2828</v>
      </c>
      <c r="F16739" t="s">
        <v>2829</v>
      </c>
      <c r="G16739">
        <v>0.65</v>
      </c>
      <c r="H16739">
        <v>251130</v>
      </c>
      <c r="I16739">
        <v>4600</v>
      </c>
      <c r="J16739" t="s">
        <v>278</v>
      </c>
      <c r="K16739">
        <v>163.12</v>
      </c>
      <c r="L16739">
        <v>0.13</v>
      </c>
      <c r="M16739">
        <v>69811</v>
      </c>
      <c r="N16739" t="s">
        <v>230</v>
      </c>
      <c r="O16739">
        <v>251208</v>
      </c>
      <c r="P16739">
        <v>0.52</v>
      </c>
    </row>
    <row r="16740" spans="1:16" x14ac:dyDescent="0.25">
      <c r="A16740" t="s">
        <v>3296</v>
      </c>
      <c r="B16740" t="s">
        <v>2931</v>
      </c>
      <c r="C16740">
        <v>16511</v>
      </c>
      <c r="D16740" t="str">
        <f>"21153632    "</f>
        <v xml:space="preserve">21153632    </v>
      </c>
      <c r="E16740" t="s">
        <v>2828</v>
      </c>
      <c r="F16740" t="s">
        <v>2829</v>
      </c>
      <c r="G16740">
        <v>47.97</v>
      </c>
      <c r="H16740">
        <v>251130</v>
      </c>
      <c r="I16740">
        <v>4600</v>
      </c>
      <c r="J16740" t="s">
        <v>278</v>
      </c>
      <c r="K16740">
        <v>47.97</v>
      </c>
      <c r="L16740">
        <v>9.75</v>
      </c>
      <c r="M16740">
        <v>14432</v>
      </c>
      <c r="N16740" t="s">
        <v>75</v>
      </c>
      <c r="O16740">
        <v>251209</v>
      </c>
      <c r="P16740">
        <v>38.22</v>
      </c>
    </row>
    <row r="16741" spans="1:16" x14ac:dyDescent="0.25">
      <c r="A16741" t="s">
        <v>3296</v>
      </c>
      <c r="B16741" t="s">
        <v>2931</v>
      </c>
      <c r="C16741">
        <v>16544</v>
      </c>
      <c r="D16741" t="str">
        <f>"21153622    "</f>
        <v xml:space="preserve">21153622    </v>
      </c>
      <c r="E16741" t="s">
        <v>2828</v>
      </c>
      <c r="F16741" t="s">
        <v>2829</v>
      </c>
      <c r="G16741">
        <v>-4.25</v>
      </c>
      <c r="H16741">
        <v>251130</v>
      </c>
      <c r="I16741">
        <v>4600</v>
      </c>
      <c r="J16741" t="s">
        <v>278</v>
      </c>
      <c r="K16741">
        <v>327.27999999999997</v>
      </c>
      <c r="L16741">
        <v>-0.86</v>
      </c>
      <c r="M16741">
        <v>69111</v>
      </c>
      <c r="N16741" t="s">
        <v>657</v>
      </c>
      <c r="O16741">
        <v>251209</v>
      </c>
      <c r="P16741">
        <v>-3.39</v>
      </c>
    </row>
    <row r="16742" spans="1:16" x14ac:dyDescent="0.25">
      <c r="A16742" t="s">
        <v>3296</v>
      </c>
      <c r="B16742" t="s">
        <v>2931</v>
      </c>
      <c r="C16742">
        <v>16641</v>
      </c>
      <c r="D16742" t="str">
        <f>"21153630    "</f>
        <v xml:space="preserve">21153630    </v>
      </c>
      <c r="E16742" t="s">
        <v>2828</v>
      </c>
      <c r="F16742" t="s">
        <v>2829</v>
      </c>
      <c r="G16742">
        <v>9.52</v>
      </c>
      <c r="H16742">
        <v>251130</v>
      </c>
      <c r="I16742">
        <v>4600</v>
      </c>
      <c r="J16742" t="s">
        <v>278</v>
      </c>
      <c r="K16742">
        <v>146.69</v>
      </c>
      <c r="L16742">
        <v>1.93</v>
      </c>
      <c r="M16742">
        <v>65222</v>
      </c>
      <c r="N16742" t="s">
        <v>87</v>
      </c>
      <c r="O16742">
        <v>251211</v>
      </c>
      <c r="P16742">
        <v>7.59</v>
      </c>
    </row>
    <row r="16743" spans="1:16" x14ac:dyDescent="0.25">
      <c r="A16743" t="s">
        <v>3296</v>
      </c>
      <c r="B16743" t="s">
        <v>2931</v>
      </c>
      <c r="C16743">
        <v>16899</v>
      </c>
      <c r="D16743" t="str">
        <f>"21153631    "</f>
        <v xml:space="preserve">21153631    </v>
      </c>
      <c r="E16743" t="s">
        <v>2828</v>
      </c>
      <c r="F16743" t="s">
        <v>2829</v>
      </c>
      <c r="G16743">
        <v>39.11</v>
      </c>
      <c r="H16743">
        <v>251130</v>
      </c>
      <c r="I16743">
        <v>4600</v>
      </c>
      <c r="J16743" t="s">
        <v>278</v>
      </c>
      <c r="K16743">
        <v>256.70999999999998</v>
      </c>
      <c r="L16743">
        <v>7.95</v>
      </c>
      <c r="M16743">
        <v>54451</v>
      </c>
      <c r="N16743" t="s">
        <v>218</v>
      </c>
      <c r="O16743">
        <v>251215</v>
      </c>
      <c r="P16743">
        <v>31.16</v>
      </c>
    </row>
    <row r="16744" spans="1:16" x14ac:dyDescent="0.25">
      <c r="A16744" t="s">
        <v>3296</v>
      </c>
      <c r="B16744" t="s">
        <v>2931</v>
      </c>
      <c r="C16744">
        <v>16952</v>
      </c>
      <c r="D16744" t="str">
        <f>"21153626    "</f>
        <v xml:space="preserve">21153626    </v>
      </c>
      <c r="E16744" t="s">
        <v>2828</v>
      </c>
      <c r="F16744" t="s">
        <v>2829</v>
      </c>
      <c r="G16744">
        <v>1.76</v>
      </c>
      <c r="H16744">
        <v>251130</v>
      </c>
      <c r="I16744">
        <v>4600</v>
      </c>
      <c r="J16744" t="s">
        <v>278</v>
      </c>
      <c r="K16744">
        <v>168.51</v>
      </c>
      <c r="L16744">
        <v>0.36</v>
      </c>
      <c r="M16744">
        <v>59111</v>
      </c>
      <c r="N16744" t="s">
        <v>60</v>
      </c>
      <c r="O16744">
        <v>251216</v>
      </c>
      <c r="P16744">
        <v>1.4</v>
      </c>
    </row>
    <row r="16745" spans="1:16" x14ac:dyDescent="0.25">
      <c r="A16745" t="s">
        <v>3296</v>
      </c>
      <c r="B16745" t="s">
        <v>2931</v>
      </c>
      <c r="C16745">
        <v>18073</v>
      </c>
      <c r="D16745" t="str">
        <f>"21203801    "</f>
        <v xml:space="preserve">21203801    </v>
      </c>
      <c r="E16745" t="s">
        <v>2828</v>
      </c>
      <c r="F16745" t="s">
        <v>2829</v>
      </c>
      <c r="G16745">
        <v>15.62</v>
      </c>
      <c r="H16745">
        <v>251231</v>
      </c>
      <c r="I16745">
        <v>4600</v>
      </c>
      <c r="J16745" t="s">
        <v>278</v>
      </c>
      <c r="K16745">
        <v>138.63999999999999</v>
      </c>
      <c r="L16745">
        <v>3.17</v>
      </c>
      <c r="M16745">
        <v>69112</v>
      </c>
      <c r="N16745" t="s">
        <v>227</v>
      </c>
      <c r="O16745">
        <v>260108</v>
      </c>
      <c r="P16745">
        <v>12.45</v>
      </c>
    </row>
    <row r="16746" spans="1:16" x14ac:dyDescent="0.25">
      <c r="A16746" t="s">
        <v>3296</v>
      </c>
      <c r="B16746" t="s">
        <v>2931</v>
      </c>
      <c r="C16746">
        <v>18073</v>
      </c>
      <c r="D16746" t="str">
        <f>"21203801    "</f>
        <v xml:space="preserve">21203801    </v>
      </c>
      <c r="E16746" t="s">
        <v>2828</v>
      </c>
      <c r="F16746" t="s">
        <v>2829</v>
      </c>
      <c r="G16746">
        <v>0.87</v>
      </c>
      <c r="H16746">
        <v>251231</v>
      </c>
      <c r="I16746">
        <v>4600</v>
      </c>
      <c r="J16746" t="s">
        <v>278</v>
      </c>
      <c r="K16746">
        <v>138.63999999999999</v>
      </c>
      <c r="L16746">
        <v>0.18</v>
      </c>
      <c r="M16746">
        <v>69810</v>
      </c>
      <c r="N16746" t="s">
        <v>229</v>
      </c>
      <c r="O16746">
        <v>260108</v>
      </c>
      <c r="P16746">
        <v>0.69</v>
      </c>
    </row>
    <row r="16747" spans="1:16" x14ac:dyDescent="0.25">
      <c r="A16747" t="s">
        <v>3296</v>
      </c>
      <c r="B16747" t="s">
        <v>2931</v>
      </c>
      <c r="C16747">
        <v>18073</v>
      </c>
      <c r="D16747" t="str">
        <f>"21203801    "</f>
        <v xml:space="preserve">21203801    </v>
      </c>
      <c r="E16747" t="s">
        <v>2828</v>
      </c>
      <c r="F16747" t="s">
        <v>2829</v>
      </c>
      <c r="G16747">
        <v>0.87</v>
      </c>
      <c r="H16747">
        <v>251231</v>
      </c>
      <c r="I16747">
        <v>4600</v>
      </c>
      <c r="J16747" t="s">
        <v>278</v>
      </c>
      <c r="K16747">
        <v>138.63999999999999</v>
      </c>
      <c r="L16747">
        <v>0.18</v>
      </c>
      <c r="M16747">
        <v>69811</v>
      </c>
      <c r="N16747" t="s">
        <v>230</v>
      </c>
      <c r="O16747">
        <v>260108</v>
      </c>
      <c r="P16747">
        <v>0.69</v>
      </c>
    </row>
    <row r="16748" spans="1:16" x14ac:dyDescent="0.25">
      <c r="A16748" t="s">
        <v>3296</v>
      </c>
      <c r="B16748" t="s">
        <v>2931</v>
      </c>
      <c r="C16748">
        <v>18074</v>
      </c>
      <c r="D16748" t="str">
        <f>"21203806    "</f>
        <v xml:space="preserve">21203806    </v>
      </c>
      <c r="E16748" t="s">
        <v>2828</v>
      </c>
      <c r="F16748" t="s">
        <v>2829</v>
      </c>
      <c r="G16748">
        <v>0.4</v>
      </c>
      <c r="H16748">
        <v>251231</v>
      </c>
      <c r="I16748">
        <v>4600</v>
      </c>
      <c r="J16748" t="s">
        <v>278</v>
      </c>
      <c r="K16748">
        <v>267.49</v>
      </c>
      <c r="L16748">
        <v>0.08</v>
      </c>
      <c r="M16748">
        <v>17131</v>
      </c>
      <c r="N16748" t="s">
        <v>154</v>
      </c>
      <c r="O16748">
        <v>260108</v>
      </c>
      <c r="P16748">
        <v>0.32</v>
      </c>
    </row>
    <row r="16749" spans="1:16" x14ac:dyDescent="0.25">
      <c r="A16749" t="s">
        <v>3296</v>
      </c>
      <c r="B16749" t="s">
        <v>2931</v>
      </c>
      <c r="C16749">
        <v>18074</v>
      </c>
      <c r="D16749" t="str">
        <f>"21203806    "</f>
        <v xml:space="preserve">21203806    </v>
      </c>
      <c r="E16749" t="s">
        <v>2828</v>
      </c>
      <c r="F16749" t="s">
        <v>2829</v>
      </c>
      <c r="G16749">
        <v>0.38</v>
      </c>
      <c r="H16749">
        <v>251231</v>
      </c>
      <c r="I16749">
        <v>4600</v>
      </c>
      <c r="J16749" t="s">
        <v>278</v>
      </c>
      <c r="K16749">
        <v>267.49</v>
      </c>
      <c r="L16749">
        <v>0.08</v>
      </c>
      <c r="M16749">
        <v>17918</v>
      </c>
      <c r="N16749" t="s">
        <v>152</v>
      </c>
      <c r="O16749">
        <v>260108</v>
      </c>
      <c r="P16749">
        <v>0.3</v>
      </c>
    </row>
    <row r="16750" spans="1:16" x14ac:dyDescent="0.25">
      <c r="A16750" t="s">
        <v>3296</v>
      </c>
      <c r="B16750" t="s">
        <v>2931</v>
      </c>
      <c r="C16750">
        <v>18081</v>
      </c>
      <c r="D16750" t="str">
        <f>"21203802    "</f>
        <v xml:space="preserve">21203802    </v>
      </c>
      <c r="E16750" t="s">
        <v>2828</v>
      </c>
      <c r="F16750" t="s">
        <v>2829</v>
      </c>
      <c r="G16750">
        <v>0.68</v>
      </c>
      <c r="H16750">
        <v>251231</v>
      </c>
      <c r="I16750">
        <v>4600</v>
      </c>
      <c r="J16750" t="s">
        <v>278</v>
      </c>
      <c r="K16750">
        <v>62.92</v>
      </c>
      <c r="L16750">
        <v>0.14000000000000001</v>
      </c>
      <c r="M16750">
        <v>59111</v>
      </c>
      <c r="N16750" t="s">
        <v>60</v>
      </c>
      <c r="O16750">
        <v>260108</v>
      </c>
      <c r="P16750">
        <v>0.54</v>
      </c>
    </row>
    <row r="16751" spans="1:16" x14ac:dyDescent="0.25">
      <c r="A16751" t="s">
        <v>3296</v>
      </c>
      <c r="B16751" t="s">
        <v>2931</v>
      </c>
      <c r="C16751">
        <v>18090</v>
      </c>
      <c r="D16751" t="str">
        <f>"21203799    "</f>
        <v xml:space="preserve">21203799    </v>
      </c>
      <c r="E16751" t="s">
        <v>2828</v>
      </c>
      <c r="F16751" t="s">
        <v>2829</v>
      </c>
      <c r="G16751">
        <v>1.95</v>
      </c>
      <c r="H16751">
        <v>251231</v>
      </c>
      <c r="I16751">
        <v>4600</v>
      </c>
      <c r="J16751" t="s">
        <v>278</v>
      </c>
      <c r="K16751">
        <v>324</v>
      </c>
      <c r="L16751">
        <v>0.4</v>
      </c>
      <c r="M16751">
        <v>69702</v>
      </c>
      <c r="N16751" t="s">
        <v>124</v>
      </c>
      <c r="O16751">
        <v>260109</v>
      </c>
      <c r="P16751">
        <v>1.55</v>
      </c>
    </row>
    <row r="16752" spans="1:16" x14ac:dyDescent="0.25">
      <c r="A16752" t="s">
        <v>3296</v>
      </c>
      <c r="B16752" t="s">
        <v>2931</v>
      </c>
      <c r="C16752">
        <v>18091</v>
      </c>
      <c r="D16752" t="str">
        <f>"21203809    "</f>
        <v xml:space="preserve">21203809    </v>
      </c>
      <c r="E16752" t="s">
        <v>2828</v>
      </c>
      <c r="F16752" t="s">
        <v>2829</v>
      </c>
      <c r="G16752">
        <v>11.88</v>
      </c>
      <c r="H16752">
        <v>251231</v>
      </c>
      <c r="I16752">
        <v>4600</v>
      </c>
      <c r="J16752" t="s">
        <v>278</v>
      </c>
      <c r="K16752">
        <v>382.23</v>
      </c>
      <c r="L16752">
        <v>2.41</v>
      </c>
      <c r="M16752">
        <v>13901</v>
      </c>
      <c r="N16752" t="s">
        <v>116</v>
      </c>
      <c r="O16752">
        <v>260109</v>
      </c>
      <c r="P16752">
        <v>9.4700000000000006</v>
      </c>
    </row>
    <row r="16753" spans="1:16" x14ac:dyDescent="0.25">
      <c r="A16753" t="s">
        <v>3296</v>
      </c>
      <c r="B16753" t="s">
        <v>2931</v>
      </c>
      <c r="C16753">
        <v>18096</v>
      </c>
      <c r="D16753" t="str">
        <f>"21203804    "</f>
        <v xml:space="preserve">21203804    </v>
      </c>
      <c r="E16753" t="s">
        <v>2828</v>
      </c>
      <c r="F16753" t="s">
        <v>2829</v>
      </c>
      <c r="G16753">
        <v>24.42</v>
      </c>
      <c r="H16753">
        <v>251231</v>
      </c>
      <c r="I16753">
        <v>4600</v>
      </c>
      <c r="J16753" t="s">
        <v>278</v>
      </c>
      <c r="K16753">
        <v>119.06</v>
      </c>
      <c r="L16753">
        <v>3</v>
      </c>
      <c r="M16753">
        <v>48601</v>
      </c>
      <c r="N16753" t="s">
        <v>107</v>
      </c>
      <c r="O16753">
        <v>260109</v>
      </c>
      <c r="P16753">
        <v>21.42</v>
      </c>
    </row>
    <row r="16754" spans="1:16" x14ac:dyDescent="0.25">
      <c r="A16754" t="s">
        <v>3296</v>
      </c>
      <c r="B16754" t="s">
        <v>2931</v>
      </c>
      <c r="C16754">
        <v>18411</v>
      </c>
      <c r="D16754" t="str">
        <f>"21203796    "</f>
        <v xml:space="preserve">21203796    </v>
      </c>
      <c r="E16754" t="s">
        <v>2828</v>
      </c>
      <c r="F16754" t="s">
        <v>2829</v>
      </c>
      <c r="G16754">
        <v>12.86</v>
      </c>
      <c r="H16754">
        <v>251231</v>
      </c>
      <c r="I16754">
        <v>4600</v>
      </c>
      <c r="J16754" t="s">
        <v>278</v>
      </c>
      <c r="K16754">
        <v>96.54</v>
      </c>
      <c r="L16754">
        <v>2.61</v>
      </c>
      <c r="M16754">
        <v>44251</v>
      </c>
      <c r="N16754" t="s">
        <v>215</v>
      </c>
      <c r="O16754">
        <v>260113</v>
      </c>
      <c r="P16754">
        <v>10.25</v>
      </c>
    </row>
    <row r="16755" spans="1:16" x14ac:dyDescent="0.25">
      <c r="A16755" t="s">
        <v>3296</v>
      </c>
      <c r="B16755" t="s">
        <v>2931</v>
      </c>
      <c r="C16755">
        <v>8289</v>
      </c>
      <c r="D16755" t="str">
        <f>"20880439    "</f>
        <v xml:space="preserve">20880439    </v>
      </c>
      <c r="E16755" t="s">
        <v>2828</v>
      </c>
      <c r="F16755" t="s">
        <v>2829</v>
      </c>
      <c r="G16755">
        <v>1170</v>
      </c>
      <c r="H16755">
        <v>250531</v>
      </c>
      <c r="I16755">
        <v>4728</v>
      </c>
      <c r="J16755" t="s">
        <v>2840</v>
      </c>
      <c r="K16755">
        <v>1397.94</v>
      </c>
      <c r="L16755">
        <v>0</v>
      </c>
      <c r="M16755">
        <v>16952</v>
      </c>
      <c r="N16755" t="s">
        <v>1348</v>
      </c>
      <c r="O16755">
        <v>250612</v>
      </c>
      <c r="P16755">
        <v>1170</v>
      </c>
    </row>
    <row r="16756" spans="1:16" x14ac:dyDescent="0.25">
      <c r="A16756" t="s">
        <v>3296</v>
      </c>
      <c r="B16756" t="s">
        <v>2931</v>
      </c>
      <c r="C16756">
        <v>6577</v>
      </c>
      <c r="D16756" t="str">
        <f>"20834363    "</f>
        <v xml:space="preserve">20834363    </v>
      </c>
      <c r="E16756" t="s">
        <v>2828</v>
      </c>
      <c r="F16756" t="s">
        <v>2829</v>
      </c>
      <c r="G16756">
        <v>200</v>
      </c>
      <c r="H16756">
        <v>250430</v>
      </c>
      <c r="I16756">
        <v>4940</v>
      </c>
      <c r="J16756" t="s">
        <v>250</v>
      </c>
      <c r="K16756">
        <v>1385.25</v>
      </c>
      <c r="L16756">
        <v>0</v>
      </c>
      <c r="M16756">
        <v>13901</v>
      </c>
      <c r="N16756" t="s">
        <v>116</v>
      </c>
      <c r="O16756">
        <v>250514</v>
      </c>
      <c r="P16756">
        <v>200</v>
      </c>
    </row>
    <row r="16757" spans="1:16" x14ac:dyDescent="0.25">
      <c r="A16757" t="s">
        <v>3296</v>
      </c>
      <c r="B16757" t="s">
        <v>2931</v>
      </c>
      <c r="C16757">
        <v>6577</v>
      </c>
      <c r="D16757" t="str">
        <f>"20834363    "</f>
        <v xml:space="preserve">20834363    </v>
      </c>
      <c r="E16757" t="s">
        <v>2828</v>
      </c>
      <c r="F16757" t="s">
        <v>2829</v>
      </c>
      <c r="G16757">
        <v>5.25</v>
      </c>
      <c r="H16757">
        <v>250430</v>
      </c>
      <c r="I16757">
        <v>4940</v>
      </c>
      <c r="J16757" t="s">
        <v>250</v>
      </c>
      <c r="K16757">
        <v>1385.25</v>
      </c>
      <c r="L16757">
        <v>1.07</v>
      </c>
      <c r="M16757">
        <v>13901</v>
      </c>
      <c r="N16757" t="s">
        <v>116</v>
      </c>
      <c r="O16757">
        <v>250514</v>
      </c>
      <c r="P16757">
        <v>4.18</v>
      </c>
    </row>
    <row r="16758" spans="1:16" x14ac:dyDescent="0.25">
      <c r="A16758" t="s">
        <v>3296</v>
      </c>
      <c r="B16758" t="s">
        <v>2931</v>
      </c>
      <c r="C16758">
        <v>6577</v>
      </c>
      <c r="D16758" t="str">
        <f>"20834363    "</f>
        <v xml:space="preserve">20834363    </v>
      </c>
      <c r="E16758" t="s">
        <v>2828</v>
      </c>
      <c r="F16758" t="s">
        <v>2829</v>
      </c>
      <c r="G16758">
        <v>1080</v>
      </c>
      <c r="H16758">
        <v>250430</v>
      </c>
      <c r="I16758">
        <v>4940</v>
      </c>
      <c r="J16758" t="s">
        <v>250</v>
      </c>
      <c r="K16758">
        <v>1385.25</v>
      </c>
      <c r="L16758">
        <v>0</v>
      </c>
      <c r="M16758">
        <v>16952</v>
      </c>
      <c r="N16758" t="s">
        <v>1348</v>
      </c>
      <c r="O16758">
        <v>250514</v>
      </c>
      <c r="P16758">
        <v>1080</v>
      </c>
    </row>
    <row r="16759" spans="1:16" x14ac:dyDescent="0.25">
      <c r="A16759" t="s">
        <v>3296</v>
      </c>
      <c r="B16759" t="s">
        <v>2931</v>
      </c>
      <c r="C16759">
        <v>787</v>
      </c>
      <c r="D16759" t="str">
        <f>"6082002963  "</f>
        <v xml:space="preserve">6082002963  </v>
      </c>
      <c r="E16759" t="s">
        <v>733</v>
      </c>
      <c r="F16759" t="s">
        <v>735</v>
      </c>
      <c r="G16759">
        <v>20.079999999999998</v>
      </c>
      <c r="H16759">
        <v>250124</v>
      </c>
      <c r="I16759">
        <v>4410</v>
      </c>
      <c r="J16759" t="s">
        <v>165</v>
      </c>
      <c r="K16759">
        <v>254</v>
      </c>
      <c r="L16759">
        <v>0</v>
      </c>
      <c r="M16759">
        <v>10003</v>
      </c>
      <c r="N16759" t="s">
        <v>734</v>
      </c>
      <c r="O16759">
        <v>250129</v>
      </c>
      <c r="P16759">
        <v>20.079999999999998</v>
      </c>
    </row>
    <row r="16760" spans="1:16" x14ac:dyDescent="0.25">
      <c r="A16760" t="s">
        <v>3296</v>
      </c>
      <c r="B16760" t="s">
        <v>2931</v>
      </c>
      <c r="C16760">
        <v>787</v>
      </c>
      <c r="D16760" t="str">
        <f>"6082002963  "</f>
        <v xml:space="preserve">6082002963  </v>
      </c>
      <c r="E16760" t="s">
        <v>733</v>
      </c>
      <c r="F16760" t="s">
        <v>735</v>
      </c>
      <c r="G16760">
        <v>209.92</v>
      </c>
      <c r="H16760">
        <v>250124</v>
      </c>
      <c r="I16760">
        <v>4410</v>
      </c>
      <c r="J16760" t="s">
        <v>165</v>
      </c>
      <c r="K16760">
        <v>254</v>
      </c>
      <c r="L16760">
        <v>25.78</v>
      </c>
      <c r="M16760">
        <v>10003</v>
      </c>
      <c r="N16760" t="s">
        <v>734</v>
      </c>
      <c r="O16760">
        <v>250129</v>
      </c>
      <c r="P16760">
        <v>184.14</v>
      </c>
    </row>
    <row r="16761" spans="1:16" x14ac:dyDescent="0.25">
      <c r="A16761" t="s">
        <v>3296</v>
      </c>
      <c r="B16761" t="s">
        <v>2931</v>
      </c>
      <c r="C16761">
        <v>789</v>
      </c>
      <c r="D16761" t="str">
        <f>"6082002969  "</f>
        <v xml:space="preserve">6082002969  </v>
      </c>
      <c r="E16761" t="s">
        <v>733</v>
      </c>
      <c r="F16761" t="s">
        <v>735</v>
      </c>
      <c r="G16761">
        <v>10.039999999999999</v>
      </c>
      <c r="H16761">
        <v>250124</v>
      </c>
      <c r="I16761">
        <v>4410</v>
      </c>
      <c r="J16761" t="s">
        <v>165</v>
      </c>
      <c r="K16761">
        <v>134</v>
      </c>
      <c r="L16761">
        <v>0</v>
      </c>
      <c r="M16761">
        <v>10003</v>
      </c>
      <c r="N16761" t="s">
        <v>734</v>
      </c>
      <c r="O16761">
        <v>250129</v>
      </c>
      <c r="P16761">
        <v>10.039999999999999</v>
      </c>
    </row>
    <row r="16762" spans="1:16" x14ac:dyDescent="0.25">
      <c r="A16762" t="s">
        <v>3296</v>
      </c>
      <c r="B16762" t="s">
        <v>2931</v>
      </c>
      <c r="C16762">
        <v>789</v>
      </c>
      <c r="D16762" t="str">
        <f>"6082002969  "</f>
        <v xml:space="preserve">6082002969  </v>
      </c>
      <c r="E16762" t="s">
        <v>733</v>
      </c>
      <c r="F16762" t="s">
        <v>735</v>
      </c>
      <c r="G16762">
        <v>104.96</v>
      </c>
      <c r="H16762">
        <v>250124</v>
      </c>
      <c r="I16762">
        <v>4410</v>
      </c>
      <c r="J16762" t="s">
        <v>165</v>
      </c>
      <c r="K16762">
        <v>134</v>
      </c>
      <c r="L16762">
        <v>12.89</v>
      </c>
      <c r="M16762">
        <v>10003</v>
      </c>
      <c r="N16762" t="s">
        <v>734</v>
      </c>
      <c r="O16762">
        <v>250129</v>
      </c>
      <c r="P16762">
        <v>92.07</v>
      </c>
    </row>
    <row r="16763" spans="1:16" x14ac:dyDescent="0.25">
      <c r="A16763" t="s">
        <v>3296</v>
      </c>
      <c r="B16763" t="s">
        <v>2931</v>
      </c>
      <c r="C16763">
        <v>791</v>
      </c>
      <c r="D16763" t="str">
        <f>"6082002962  "</f>
        <v xml:space="preserve">6082002962  </v>
      </c>
      <c r="E16763" t="s">
        <v>733</v>
      </c>
      <c r="F16763" t="s">
        <v>735</v>
      </c>
      <c r="G16763">
        <v>20.079999999999998</v>
      </c>
      <c r="H16763">
        <v>250124</v>
      </c>
      <c r="I16763">
        <v>4410</v>
      </c>
      <c r="J16763" t="s">
        <v>165</v>
      </c>
      <c r="K16763">
        <v>230</v>
      </c>
      <c r="L16763">
        <v>0</v>
      </c>
      <c r="M16763">
        <v>10003</v>
      </c>
      <c r="N16763" t="s">
        <v>734</v>
      </c>
      <c r="O16763">
        <v>250129</v>
      </c>
      <c r="P16763">
        <v>20.079999999999998</v>
      </c>
    </row>
    <row r="16764" spans="1:16" x14ac:dyDescent="0.25">
      <c r="A16764" t="s">
        <v>3296</v>
      </c>
      <c r="B16764" t="s">
        <v>2931</v>
      </c>
      <c r="C16764">
        <v>791</v>
      </c>
      <c r="D16764" t="str">
        <f>"6082002962  "</f>
        <v xml:space="preserve">6082002962  </v>
      </c>
      <c r="E16764" t="s">
        <v>733</v>
      </c>
      <c r="F16764" t="s">
        <v>735</v>
      </c>
      <c r="G16764">
        <v>209.92</v>
      </c>
      <c r="H16764">
        <v>250124</v>
      </c>
      <c r="I16764">
        <v>4410</v>
      </c>
      <c r="J16764" t="s">
        <v>165</v>
      </c>
      <c r="K16764">
        <v>230</v>
      </c>
      <c r="L16764">
        <v>25.78</v>
      </c>
      <c r="M16764">
        <v>10003</v>
      </c>
      <c r="N16764" t="s">
        <v>734</v>
      </c>
      <c r="O16764">
        <v>250129</v>
      </c>
      <c r="P16764">
        <v>184.14</v>
      </c>
    </row>
    <row r="16765" spans="1:16" x14ac:dyDescent="0.25">
      <c r="A16765" t="s">
        <v>3296</v>
      </c>
      <c r="B16765" t="s">
        <v>2931</v>
      </c>
      <c r="C16765">
        <v>1212</v>
      </c>
      <c r="D16765" t="str">
        <f>"6662006334  "</f>
        <v xml:space="preserve">6662006334  </v>
      </c>
      <c r="E16765" t="s">
        <v>733</v>
      </c>
      <c r="F16765" t="s">
        <v>735</v>
      </c>
      <c r="G16765">
        <v>10.4</v>
      </c>
      <c r="H16765">
        <v>250130</v>
      </c>
      <c r="I16765">
        <v>4410</v>
      </c>
      <c r="J16765" t="s">
        <v>165</v>
      </c>
      <c r="K16765">
        <v>90</v>
      </c>
      <c r="L16765">
        <v>0</v>
      </c>
      <c r="M16765">
        <v>14121</v>
      </c>
      <c r="N16765" t="s">
        <v>71</v>
      </c>
      <c r="O16765">
        <v>250205</v>
      </c>
      <c r="P16765">
        <v>10.4</v>
      </c>
    </row>
    <row r="16766" spans="1:16" x14ac:dyDescent="0.25">
      <c r="A16766" t="s">
        <v>3296</v>
      </c>
      <c r="B16766" t="s">
        <v>2931</v>
      </c>
      <c r="C16766">
        <v>1212</v>
      </c>
      <c r="D16766" t="str">
        <f>"6662006334  "</f>
        <v xml:space="preserve">6662006334  </v>
      </c>
      <c r="E16766" t="s">
        <v>733</v>
      </c>
      <c r="F16766" t="s">
        <v>735</v>
      </c>
      <c r="G16766">
        <v>79.599999999999994</v>
      </c>
      <c r="H16766">
        <v>250130</v>
      </c>
      <c r="I16766">
        <v>4410</v>
      </c>
      <c r="J16766" t="s">
        <v>165</v>
      </c>
      <c r="K16766">
        <v>90</v>
      </c>
      <c r="L16766">
        <v>9.7799999999999994</v>
      </c>
      <c r="M16766">
        <v>14121</v>
      </c>
      <c r="N16766" t="s">
        <v>71</v>
      </c>
      <c r="O16766">
        <v>250205</v>
      </c>
      <c r="P16766">
        <v>69.819999999999993</v>
      </c>
    </row>
    <row r="16767" spans="1:16" x14ac:dyDescent="0.25">
      <c r="A16767" t="s">
        <v>3296</v>
      </c>
      <c r="B16767" t="s">
        <v>2931</v>
      </c>
      <c r="C16767">
        <v>1373</v>
      </c>
      <c r="D16767" t="str">
        <f>"6662006333  "</f>
        <v xml:space="preserve">6662006333  </v>
      </c>
      <c r="E16767" t="s">
        <v>733</v>
      </c>
      <c r="F16767" t="s">
        <v>735</v>
      </c>
      <c r="G16767">
        <v>20.079999999999998</v>
      </c>
      <c r="H16767">
        <v>250130</v>
      </c>
      <c r="I16767">
        <v>4410</v>
      </c>
      <c r="J16767" t="s">
        <v>165</v>
      </c>
      <c r="K16767">
        <v>90</v>
      </c>
      <c r="L16767">
        <v>0</v>
      </c>
      <c r="M16767">
        <v>14121</v>
      </c>
      <c r="N16767" t="s">
        <v>71</v>
      </c>
      <c r="O16767">
        <v>250207</v>
      </c>
      <c r="P16767">
        <v>20.079999999999998</v>
      </c>
    </row>
    <row r="16768" spans="1:16" x14ac:dyDescent="0.25">
      <c r="A16768" t="s">
        <v>3296</v>
      </c>
      <c r="B16768" t="s">
        <v>2931</v>
      </c>
      <c r="C16768">
        <v>1373</v>
      </c>
      <c r="D16768" t="str">
        <f>"6662006333  "</f>
        <v xml:space="preserve">6662006333  </v>
      </c>
      <c r="E16768" t="s">
        <v>733</v>
      </c>
      <c r="F16768" t="s">
        <v>735</v>
      </c>
      <c r="G16768">
        <v>69.92</v>
      </c>
      <c r="H16768">
        <v>250130</v>
      </c>
      <c r="I16768">
        <v>4410</v>
      </c>
      <c r="J16768" t="s">
        <v>165</v>
      </c>
      <c r="K16768">
        <v>90</v>
      </c>
      <c r="L16768">
        <v>8.59</v>
      </c>
      <c r="M16768">
        <v>14121</v>
      </c>
      <c r="N16768" t="s">
        <v>71</v>
      </c>
      <c r="O16768">
        <v>250207</v>
      </c>
      <c r="P16768">
        <v>61.33</v>
      </c>
    </row>
    <row r="16769" spans="1:16" x14ac:dyDescent="0.25">
      <c r="A16769" t="s">
        <v>3296</v>
      </c>
      <c r="B16769" t="s">
        <v>2931</v>
      </c>
      <c r="C16769">
        <v>1445</v>
      </c>
      <c r="D16769" t="str">
        <f>"16006304    "</f>
        <v xml:space="preserve">16006304    </v>
      </c>
      <c r="E16769" t="s">
        <v>733</v>
      </c>
      <c r="F16769" t="s">
        <v>735</v>
      </c>
      <c r="G16769">
        <v>704</v>
      </c>
      <c r="H16769">
        <v>250131</v>
      </c>
      <c r="I16769">
        <v>4410</v>
      </c>
      <c r="J16769" t="s">
        <v>165</v>
      </c>
      <c r="K16769">
        <v>900</v>
      </c>
      <c r="L16769">
        <v>86.46</v>
      </c>
      <c r="M16769">
        <v>11941</v>
      </c>
      <c r="N16769" t="s">
        <v>426</v>
      </c>
      <c r="O16769">
        <v>250210</v>
      </c>
      <c r="P16769">
        <v>617.54</v>
      </c>
    </row>
    <row r="16770" spans="1:16" x14ac:dyDescent="0.25">
      <c r="A16770" t="s">
        <v>3296</v>
      </c>
      <c r="B16770" t="s">
        <v>2931</v>
      </c>
      <c r="C16770">
        <v>1445</v>
      </c>
      <c r="D16770" t="str">
        <f>"16006304    "</f>
        <v xml:space="preserve">16006304    </v>
      </c>
      <c r="E16770" t="s">
        <v>733</v>
      </c>
      <c r="F16770" t="s">
        <v>735</v>
      </c>
      <c r="G16770">
        <v>196</v>
      </c>
      <c r="H16770">
        <v>250131</v>
      </c>
      <c r="I16770">
        <v>4410</v>
      </c>
      <c r="J16770" t="s">
        <v>165</v>
      </c>
      <c r="K16770">
        <v>900</v>
      </c>
      <c r="L16770">
        <v>24.07</v>
      </c>
      <c r="M16770">
        <v>11951</v>
      </c>
      <c r="N16770" t="s">
        <v>428</v>
      </c>
      <c r="O16770">
        <v>250210</v>
      </c>
      <c r="P16770">
        <v>171.93</v>
      </c>
    </row>
    <row r="16771" spans="1:16" x14ac:dyDescent="0.25">
      <c r="A16771" t="s">
        <v>3296</v>
      </c>
      <c r="B16771" t="s">
        <v>2931</v>
      </c>
      <c r="C16771">
        <v>1866</v>
      </c>
      <c r="D16771" t="str">
        <f>"6372002629  "</f>
        <v xml:space="preserve">6372002629  </v>
      </c>
      <c r="E16771" t="s">
        <v>733</v>
      </c>
      <c r="F16771" t="s">
        <v>735</v>
      </c>
      <c r="G16771">
        <v>10.039999999999999</v>
      </c>
      <c r="H16771">
        <v>250207</v>
      </c>
      <c r="I16771">
        <v>4410</v>
      </c>
      <c r="J16771" t="s">
        <v>165</v>
      </c>
      <c r="K16771">
        <v>104.4</v>
      </c>
      <c r="L16771">
        <v>0</v>
      </c>
      <c r="M16771">
        <v>17975</v>
      </c>
      <c r="N16771" t="s">
        <v>29</v>
      </c>
      <c r="O16771">
        <v>250214</v>
      </c>
      <c r="P16771">
        <v>10.039999999999999</v>
      </c>
    </row>
    <row r="16772" spans="1:16" x14ac:dyDescent="0.25">
      <c r="A16772" t="s">
        <v>3296</v>
      </c>
      <c r="B16772" t="s">
        <v>2931</v>
      </c>
      <c r="C16772">
        <v>1866</v>
      </c>
      <c r="D16772" t="str">
        <f>"6372002629  "</f>
        <v xml:space="preserve">6372002629  </v>
      </c>
      <c r="E16772" t="s">
        <v>733</v>
      </c>
      <c r="F16772" t="s">
        <v>735</v>
      </c>
      <c r="G16772">
        <v>94.36</v>
      </c>
      <c r="H16772">
        <v>250207</v>
      </c>
      <c r="I16772">
        <v>4410</v>
      </c>
      <c r="J16772" t="s">
        <v>165</v>
      </c>
      <c r="K16772">
        <v>104.4</v>
      </c>
      <c r="L16772">
        <v>11.59</v>
      </c>
      <c r="M16772">
        <v>17975</v>
      </c>
      <c r="N16772" t="s">
        <v>29</v>
      </c>
      <c r="O16772">
        <v>250214</v>
      </c>
      <c r="P16772">
        <v>82.77</v>
      </c>
    </row>
    <row r="16773" spans="1:16" x14ac:dyDescent="0.25">
      <c r="A16773" t="s">
        <v>3296</v>
      </c>
      <c r="B16773" t="s">
        <v>2931</v>
      </c>
      <c r="C16773">
        <v>2349</v>
      </c>
      <c r="D16773" t="str">
        <f>"6882002454  "</f>
        <v xml:space="preserve">6882002454  </v>
      </c>
      <c r="E16773" t="s">
        <v>733</v>
      </c>
      <c r="F16773" t="s">
        <v>735</v>
      </c>
      <c r="G16773">
        <v>10.039999999999999</v>
      </c>
      <c r="H16773">
        <v>250214</v>
      </c>
      <c r="I16773">
        <v>4410</v>
      </c>
      <c r="J16773" t="s">
        <v>165</v>
      </c>
      <c r="K16773">
        <v>105</v>
      </c>
      <c r="L16773">
        <v>0</v>
      </c>
      <c r="M16773">
        <v>59702</v>
      </c>
      <c r="N16773" t="s">
        <v>45</v>
      </c>
      <c r="O16773">
        <v>250224</v>
      </c>
      <c r="P16773">
        <v>10.039999999999999</v>
      </c>
    </row>
    <row r="16774" spans="1:16" x14ac:dyDescent="0.25">
      <c r="A16774" t="s">
        <v>3296</v>
      </c>
      <c r="B16774" t="s">
        <v>2931</v>
      </c>
      <c r="C16774">
        <v>2349</v>
      </c>
      <c r="D16774" t="str">
        <f>"6882002454  "</f>
        <v xml:space="preserve">6882002454  </v>
      </c>
      <c r="E16774" t="s">
        <v>733</v>
      </c>
      <c r="F16774" t="s">
        <v>735</v>
      </c>
      <c r="G16774">
        <v>94.96</v>
      </c>
      <c r="H16774">
        <v>250214</v>
      </c>
      <c r="I16774">
        <v>4410</v>
      </c>
      <c r="J16774" t="s">
        <v>165</v>
      </c>
      <c r="K16774">
        <v>105</v>
      </c>
      <c r="L16774">
        <v>11.66</v>
      </c>
      <c r="M16774">
        <v>59702</v>
      </c>
      <c r="N16774" t="s">
        <v>45</v>
      </c>
      <c r="O16774">
        <v>250224</v>
      </c>
      <c r="P16774">
        <v>83.3</v>
      </c>
    </row>
    <row r="16775" spans="1:16" x14ac:dyDescent="0.25">
      <c r="A16775" t="s">
        <v>3296</v>
      </c>
      <c r="B16775" t="s">
        <v>2931</v>
      </c>
      <c r="C16775">
        <v>4262</v>
      </c>
      <c r="D16775" t="str">
        <f>"6862002274  "</f>
        <v xml:space="preserve">6862002274  </v>
      </c>
      <c r="E16775" t="s">
        <v>733</v>
      </c>
      <c r="F16775" t="s">
        <v>735</v>
      </c>
      <c r="G16775">
        <v>10.039999999999999</v>
      </c>
      <c r="H16775">
        <v>250321</v>
      </c>
      <c r="I16775">
        <v>4410</v>
      </c>
      <c r="J16775" t="s">
        <v>165</v>
      </c>
      <c r="K16775">
        <v>108.45</v>
      </c>
      <c r="L16775">
        <v>0</v>
      </c>
      <c r="M16775">
        <v>11902</v>
      </c>
      <c r="N16775" t="s">
        <v>329</v>
      </c>
      <c r="O16775">
        <v>250409</v>
      </c>
      <c r="P16775">
        <v>10.039999999999999</v>
      </c>
    </row>
    <row r="16776" spans="1:16" x14ac:dyDescent="0.25">
      <c r="A16776" t="s">
        <v>3296</v>
      </c>
      <c r="B16776" t="s">
        <v>2931</v>
      </c>
      <c r="C16776">
        <v>4262</v>
      </c>
      <c r="D16776" t="str">
        <f>"6862002274  "</f>
        <v xml:space="preserve">6862002274  </v>
      </c>
      <c r="E16776" t="s">
        <v>733</v>
      </c>
      <c r="F16776" t="s">
        <v>735</v>
      </c>
      <c r="G16776">
        <v>98.41</v>
      </c>
      <c r="H16776">
        <v>250321</v>
      </c>
      <c r="I16776">
        <v>4410</v>
      </c>
      <c r="J16776" t="s">
        <v>165</v>
      </c>
      <c r="K16776">
        <v>108.45</v>
      </c>
      <c r="L16776">
        <v>12.09</v>
      </c>
      <c r="M16776">
        <v>11902</v>
      </c>
      <c r="N16776" t="s">
        <v>329</v>
      </c>
      <c r="O16776">
        <v>250409</v>
      </c>
      <c r="P16776">
        <v>86.32</v>
      </c>
    </row>
    <row r="16777" spans="1:16" x14ac:dyDescent="0.25">
      <c r="A16777" t="s">
        <v>3296</v>
      </c>
      <c r="B16777" t="s">
        <v>2931</v>
      </c>
      <c r="C16777">
        <v>4282</v>
      </c>
      <c r="D16777" t="str">
        <f>"6862002273  "</f>
        <v xml:space="preserve">6862002273  </v>
      </c>
      <c r="E16777" t="s">
        <v>733</v>
      </c>
      <c r="F16777" t="s">
        <v>735</v>
      </c>
      <c r="G16777">
        <v>10.039999999999999</v>
      </c>
      <c r="H16777">
        <v>250321</v>
      </c>
      <c r="I16777">
        <v>4410</v>
      </c>
      <c r="J16777" t="s">
        <v>165</v>
      </c>
      <c r="K16777">
        <v>108.45</v>
      </c>
      <c r="L16777">
        <v>0</v>
      </c>
      <c r="M16777">
        <v>11902</v>
      </c>
      <c r="N16777" t="s">
        <v>329</v>
      </c>
      <c r="O16777">
        <v>250410</v>
      </c>
      <c r="P16777">
        <v>10.039999999999999</v>
      </c>
    </row>
    <row r="16778" spans="1:16" x14ac:dyDescent="0.25">
      <c r="A16778" t="s">
        <v>3296</v>
      </c>
      <c r="B16778" t="s">
        <v>2931</v>
      </c>
      <c r="C16778">
        <v>4282</v>
      </c>
      <c r="D16778" t="str">
        <f>"6862002273  "</f>
        <v xml:space="preserve">6862002273  </v>
      </c>
      <c r="E16778" t="s">
        <v>733</v>
      </c>
      <c r="F16778" t="s">
        <v>735</v>
      </c>
      <c r="G16778">
        <v>98.41</v>
      </c>
      <c r="H16778">
        <v>250321</v>
      </c>
      <c r="I16778">
        <v>4410</v>
      </c>
      <c r="J16778" t="s">
        <v>165</v>
      </c>
      <c r="K16778">
        <v>108.45</v>
      </c>
      <c r="L16778">
        <v>12.09</v>
      </c>
      <c r="M16778">
        <v>11902</v>
      </c>
      <c r="N16778" t="s">
        <v>329</v>
      </c>
      <c r="O16778">
        <v>250410</v>
      </c>
      <c r="P16778">
        <v>86.32</v>
      </c>
    </row>
    <row r="16779" spans="1:16" x14ac:dyDescent="0.25">
      <c r="A16779" t="s">
        <v>3296</v>
      </c>
      <c r="B16779" t="s">
        <v>2931</v>
      </c>
      <c r="C16779">
        <v>4283</v>
      </c>
      <c r="D16779" t="str">
        <f>"6862002272  "</f>
        <v xml:space="preserve">6862002272  </v>
      </c>
      <c r="E16779" t="s">
        <v>733</v>
      </c>
      <c r="F16779" t="s">
        <v>735</v>
      </c>
      <c r="G16779">
        <v>10.039999999999999</v>
      </c>
      <c r="H16779">
        <v>250321</v>
      </c>
      <c r="I16779">
        <v>4410</v>
      </c>
      <c r="J16779" t="s">
        <v>165</v>
      </c>
      <c r="K16779">
        <v>108.45</v>
      </c>
      <c r="L16779">
        <v>0</v>
      </c>
      <c r="M16779">
        <v>11902</v>
      </c>
      <c r="N16779" t="s">
        <v>329</v>
      </c>
      <c r="O16779">
        <v>250410</v>
      </c>
      <c r="P16779">
        <v>10.039999999999999</v>
      </c>
    </row>
    <row r="16780" spans="1:16" x14ac:dyDescent="0.25">
      <c r="A16780" t="s">
        <v>3296</v>
      </c>
      <c r="B16780" t="s">
        <v>2931</v>
      </c>
      <c r="C16780">
        <v>4283</v>
      </c>
      <c r="D16780" t="str">
        <f>"6862002272  "</f>
        <v xml:space="preserve">6862002272  </v>
      </c>
      <c r="E16780" t="s">
        <v>733</v>
      </c>
      <c r="F16780" t="s">
        <v>735</v>
      </c>
      <c r="G16780">
        <v>98.41</v>
      </c>
      <c r="H16780">
        <v>250321</v>
      </c>
      <c r="I16780">
        <v>4410</v>
      </c>
      <c r="J16780" t="s">
        <v>165</v>
      </c>
      <c r="K16780">
        <v>108.45</v>
      </c>
      <c r="L16780">
        <v>12.09</v>
      </c>
      <c r="M16780">
        <v>11902</v>
      </c>
      <c r="N16780" t="s">
        <v>329</v>
      </c>
      <c r="O16780">
        <v>250410</v>
      </c>
      <c r="P16780">
        <v>86.32</v>
      </c>
    </row>
    <row r="16781" spans="1:16" x14ac:dyDescent="0.25">
      <c r="A16781" t="s">
        <v>3296</v>
      </c>
      <c r="B16781" t="s">
        <v>2931</v>
      </c>
      <c r="C16781">
        <v>4315</v>
      </c>
      <c r="D16781" t="str">
        <f>"6862002275  "</f>
        <v xml:space="preserve">6862002275  </v>
      </c>
      <c r="E16781" t="s">
        <v>733</v>
      </c>
      <c r="F16781" t="s">
        <v>735</v>
      </c>
      <c r="G16781">
        <v>10.039999999999999</v>
      </c>
      <c r="H16781">
        <v>250321</v>
      </c>
      <c r="I16781">
        <v>4410</v>
      </c>
      <c r="J16781" t="s">
        <v>165</v>
      </c>
      <c r="K16781">
        <v>108.45</v>
      </c>
      <c r="L16781">
        <v>0</v>
      </c>
      <c r="M16781">
        <v>11902</v>
      </c>
      <c r="N16781" t="s">
        <v>329</v>
      </c>
      <c r="O16781">
        <v>250410</v>
      </c>
      <c r="P16781">
        <v>10.039999999999999</v>
      </c>
    </row>
    <row r="16782" spans="1:16" x14ac:dyDescent="0.25">
      <c r="A16782" t="s">
        <v>3296</v>
      </c>
      <c r="B16782" t="s">
        <v>2931</v>
      </c>
      <c r="C16782">
        <v>4315</v>
      </c>
      <c r="D16782" t="str">
        <f>"6862002275  "</f>
        <v xml:space="preserve">6862002275  </v>
      </c>
      <c r="E16782" t="s">
        <v>733</v>
      </c>
      <c r="F16782" t="s">
        <v>735</v>
      </c>
      <c r="G16782">
        <v>98.41</v>
      </c>
      <c r="H16782">
        <v>250321</v>
      </c>
      <c r="I16782">
        <v>4410</v>
      </c>
      <c r="J16782" t="s">
        <v>165</v>
      </c>
      <c r="K16782">
        <v>108.45</v>
      </c>
      <c r="L16782">
        <v>12.09</v>
      </c>
      <c r="M16782">
        <v>11902</v>
      </c>
      <c r="N16782" t="s">
        <v>329</v>
      </c>
      <c r="O16782">
        <v>250410</v>
      </c>
      <c r="P16782">
        <v>86.32</v>
      </c>
    </row>
    <row r="16783" spans="1:16" x14ac:dyDescent="0.25">
      <c r="A16783" t="s">
        <v>3296</v>
      </c>
      <c r="B16783" t="s">
        <v>2931</v>
      </c>
      <c r="C16783">
        <v>4375</v>
      </c>
      <c r="D16783" t="str">
        <f>"6662007334  "</f>
        <v xml:space="preserve">6662007334  </v>
      </c>
      <c r="E16783" t="s">
        <v>733</v>
      </c>
      <c r="F16783" t="s">
        <v>735</v>
      </c>
      <c r="G16783">
        <v>20.079999999999998</v>
      </c>
      <c r="H16783">
        <v>250324</v>
      </c>
      <c r="I16783">
        <v>4410</v>
      </c>
      <c r="J16783" t="s">
        <v>165</v>
      </c>
      <c r="K16783">
        <v>92.54</v>
      </c>
      <c r="L16783">
        <v>0</v>
      </c>
      <c r="M16783">
        <v>11902</v>
      </c>
      <c r="N16783" t="s">
        <v>329</v>
      </c>
      <c r="O16783">
        <v>250411</v>
      </c>
      <c r="P16783">
        <v>20.079999999999998</v>
      </c>
    </row>
    <row r="16784" spans="1:16" x14ac:dyDescent="0.25">
      <c r="A16784" t="s">
        <v>3296</v>
      </c>
      <c r="B16784" t="s">
        <v>2931</v>
      </c>
      <c r="C16784">
        <v>4375</v>
      </c>
      <c r="D16784" t="str">
        <f>"6662007334  "</f>
        <v xml:space="preserve">6662007334  </v>
      </c>
      <c r="E16784" t="s">
        <v>733</v>
      </c>
      <c r="F16784" t="s">
        <v>735</v>
      </c>
      <c r="G16784">
        <v>72.459999999999994</v>
      </c>
      <c r="H16784">
        <v>250324</v>
      </c>
      <c r="I16784">
        <v>4410</v>
      </c>
      <c r="J16784" t="s">
        <v>165</v>
      </c>
      <c r="K16784">
        <v>92.54</v>
      </c>
      <c r="L16784">
        <v>8.9</v>
      </c>
      <c r="M16784">
        <v>11902</v>
      </c>
      <c r="N16784" t="s">
        <v>329</v>
      </c>
      <c r="O16784">
        <v>250411</v>
      </c>
      <c r="P16784">
        <v>63.56</v>
      </c>
    </row>
    <row r="16785" spans="1:16" x14ac:dyDescent="0.25">
      <c r="A16785" t="s">
        <v>3296</v>
      </c>
      <c r="B16785" t="s">
        <v>2931</v>
      </c>
      <c r="C16785">
        <v>5300</v>
      </c>
      <c r="D16785" t="str">
        <f>"6012008065  "</f>
        <v xml:space="preserve">6012008065  </v>
      </c>
      <c r="E16785" t="s">
        <v>733</v>
      </c>
      <c r="F16785" t="s">
        <v>735</v>
      </c>
      <c r="G16785">
        <v>10.050000000000001</v>
      </c>
      <c r="H16785">
        <v>250404</v>
      </c>
      <c r="I16785">
        <v>4410</v>
      </c>
      <c r="J16785" t="s">
        <v>165</v>
      </c>
      <c r="K16785">
        <v>147.47</v>
      </c>
      <c r="L16785">
        <v>0</v>
      </c>
      <c r="M16785">
        <v>17534</v>
      </c>
      <c r="N16785" t="s">
        <v>148</v>
      </c>
      <c r="O16785">
        <v>250423</v>
      </c>
      <c r="P16785">
        <v>10.050000000000001</v>
      </c>
    </row>
    <row r="16786" spans="1:16" x14ac:dyDescent="0.25">
      <c r="A16786" t="s">
        <v>3296</v>
      </c>
      <c r="B16786" t="s">
        <v>2931</v>
      </c>
      <c r="C16786">
        <v>5300</v>
      </c>
      <c r="D16786" t="str">
        <f>"6012008065  "</f>
        <v xml:space="preserve">6012008065  </v>
      </c>
      <c r="E16786" t="s">
        <v>733</v>
      </c>
      <c r="F16786" t="s">
        <v>735</v>
      </c>
      <c r="G16786">
        <v>63.69</v>
      </c>
      <c r="H16786">
        <v>250404</v>
      </c>
      <c r="I16786">
        <v>4410</v>
      </c>
      <c r="J16786" t="s">
        <v>165</v>
      </c>
      <c r="K16786">
        <v>147.47</v>
      </c>
      <c r="L16786">
        <v>7.82</v>
      </c>
      <c r="M16786">
        <v>17534</v>
      </c>
      <c r="N16786" t="s">
        <v>148</v>
      </c>
      <c r="O16786">
        <v>250423</v>
      </c>
      <c r="P16786">
        <v>55.87</v>
      </c>
    </row>
    <row r="16787" spans="1:16" x14ac:dyDescent="0.25">
      <c r="A16787" t="s">
        <v>3296</v>
      </c>
      <c r="B16787" t="s">
        <v>2931</v>
      </c>
      <c r="C16787">
        <v>5300</v>
      </c>
      <c r="D16787" t="str">
        <f>"6012008065  "</f>
        <v xml:space="preserve">6012008065  </v>
      </c>
      <c r="E16787" t="s">
        <v>733</v>
      </c>
      <c r="F16787" t="s">
        <v>735</v>
      </c>
      <c r="G16787">
        <v>10.039999999999999</v>
      </c>
      <c r="H16787">
        <v>250404</v>
      </c>
      <c r="I16787">
        <v>4410</v>
      </c>
      <c r="J16787" t="s">
        <v>165</v>
      </c>
      <c r="K16787">
        <v>147.47</v>
      </c>
      <c r="L16787">
        <v>0</v>
      </c>
      <c r="M16787">
        <v>17535</v>
      </c>
      <c r="N16787" t="s">
        <v>149</v>
      </c>
      <c r="O16787">
        <v>250423</v>
      </c>
      <c r="P16787">
        <v>10.039999999999999</v>
      </c>
    </row>
    <row r="16788" spans="1:16" x14ac:dyDescent="0.25">
      <c r="A16788" t="s">
        <v>3296</v>
      </c>
      <c r="B16788" t="s">
        <v>2931</v>
      </c>
      <c r="C16788">
        <v>5300</v>
      </c>
      <c r="D16788" t="str">
        <f>"6012008065  "</f>
        <v xml:space="preserve">6012008065  </v>
      </c>
      <c r="E16788" t="s">
        <v>733</v>
      </c>
      <c r="F16788" t="s">
        <v>735</v>
      </c>
      <c r="G16788">
        <v>63.69</v>
      </c>
      <c r="H16788">
        <v>250404</v>
      </c>
      <c r="I16788">
        <v>4410</v>
      </c>
      <c r="J16788" t="s">
        <v>165</v>
      </c>
      <c r="K16788">
        <v>147.47</v>
      </c>
      <c r="L16788">
        <v>7.82</v>
      </c>
      <c r="M16788">
        <v>17535</v>
      </c>
      <c r="N16788" t="s">
        <v>149</v>
      </c>
      <c r="O16788">
        <v>250423</v>
      </c>
      <c r="P16788">
        <v>55.87</v>
      </c>
    </row>
    <row r="16789" spans="1:16" x14ac:dyDescent="0.25">
      <c r="A16789" t="s">
        <v>3296</v>
      </c>
      <c r="B16789" t="s">
        <v>2931</v>
      </c>
      <c r="C16789">
        <v>5302</v>
      </c>
      <c r="D16789" t="str">
        <f>"6772004807  "</f>
        <v xml:space="preserve">6772004807  </v>
      </c>
      <c r="E16789" t="s">
        <v>733</v>
      </c>
      <c r="F16789" t="s">
        <v>735</v>
      </c>
      <c r="G16789">
        <v>30.12</v>
      </c>
      <c r="H16789">
        <v>250404</v>
      </c>
      <c r="I16789">
        <v>4410</v>
      </c>
      <c r="J16789" t="s">
        <v>165</v>
      </c>
      <c r="K16789">
        <v>119.8</v>
      </c>
      <c r="L16789">
        <v>0</v>
      </c>
      <c r="M16789">
        <v>49701</v>
      </c>
      <c r="N16789" t="s">
        <v>111</v>
      </c>
      <c r="O16789">
        <v>250423</v>
      </c>
      <c r="P16789">
        <v>30.12</v>
      </c>
    </row>
    <row r="16790" spans="1:16" x14ac:dyDescent="0.25">
      <c r="A16790" t="s">
        <v>3296</v>
      </c>
      <c r="B16790" t="s">
        <v>2931</v>
      </c>
      <c r="C16790">
        <v>5302</v>
      </c>
      <c r="D16790" t="str">
        <f>"6772004807  "</f>
        <v xml:space="preserve">6772004807  </v>
      </c>
      <c r="E16790" t="s">
        <v>733</v>
      </c>
      <c r="F16790" t="s">
        <v>735</v>
      </c>
      <c r="G16790">
        <v>89.68</v>
      </c>
      <c r="H16790">
        <v>250404</v>
      </c>
      <c r="I16790">
        <v>4410</v>
      </c>
      <c r="J16790" t="s">
        <v>165</v>
      </c>
      <c r="K16790">
        <v>119.8</v>
      </c>
      <c r="L16790">
        <v>11.01</v>
      </c>
      <c r="M16790">
        <v>49701</v>
      </c>
      <c r="N16790" t="s">
        <v>111</v>
      </c>
      <c r="O16790">
        <v>250423</v>
      </c>
      <c r="P16790">
        <v>78.67</v>
      </c>
    </row>
    <row r="16791" spans="1:16" x14ac:dyDescent="0.25">
      <c r="A16791" t="s">
        <v>3296</v>
      </c>
      <c r="B16791" t="s">
        <v>2931</v>
      </c>
      <c r="C16791">
        <v>5339</v>
      </c>
      <c r="D16791" t="str">
        <f>"6662007611  "</f>
        <v xml:space="preserve">6662007611  </v>
      </c>
      <c r="E16791" t="s">
        <v>733</v>
      </c>
      <c r="F16791" t="s">
        <v>735</v>
      </c>
      <c r="G16791">
        <v>20.079999999999998</v>
      </c>
      <c r="H16791">
        <v>250407</v>
      </c>
      <c r="I16791">
        <v>4410</v>
      </c>
      <c r="J16791" t="s">
        <v>165</v>
      </c>
      <c r="K16791">
        <v>92.54</v>
      </c>
      <c r="L16791">
        <v>0</v>
      </c>
      <c r="M16791">
        <v>11902</v>
      </c>
      <c r="N16791" t="s">
        <v>329</v>
      </c>
      <c r="O16791">
        <v>250423</v>
      </c>
      <c r="P16791">
        <v>20.079999999999998</v>
      </c>
    </row>
    <row r="16792" spans="1:16" x14ac:dyDescent="0.25">
      <c r="A16792" t="s">
        <v>3296</v>
      </c>
      <c r="B16792" t="s">
        <v>2931</v>
      </c>
      <c r="C16792">
        <v>5339</v>
      </c>
      <c r="D16792" t="str">
        <f>"6662007611  "</f>
        <v xml:space="preserve">6662007611  </v>
      </c>
      <c r="E16792" t="s">
        <v>733</v>
      </c>
      <c r="F16792" t="s">
        <v>735</v>
      </c>
      <c r="G16792">
        <v>72.459999999999994</v>
      </c>
      <c r="H16792">
        <v>250407</v>
      </c>
      <c r="I16792">
        <v>4410</v>
      </c>
      <c r="J16792" t="s">
        <v>165</v>
      </c>
      <c r="K16792">
        <v>92.54</v>
      </c>
      <c r="L16792">
        <v>8.9</v>
      </c>
      <c r="M16792">
        <v>11902</v>
      </c>
      <c r="N16792" t="s">
        <v>329</v>
      </c>
      <c r="O16792">
        <v>250423</v>
      </c>
      <c r="P16792">
        <v>63.56</v>
      </c>
    </row>
    <row r="16793" spans="1:16" x14ac:dyDescent="0.25">
      <c r="A16793" t="s">
        <v>3296</v>
      </c>
      <c r="B16793" t="s">
        <v>2931</v>
      </c>
      <c r="C16793">
        <v>5354</v>
      </c>
      <c r="D16793" t="str">
        <f>"6662007612  "</f>
        <v xml:space="preserve">6662007612  </v>
      </c>
      <c r="E16793" t="s">
        <v>733</v>
      </c>
      <c r="F16793" t="s">
        <v>735</v>
      </c>
      <c r="G16793">
        <v>20.079999999999998</v>
      </c>
      <c r="H16793">
        <v>250407</v>
      </c>
      <c r="I16793">
        <v>4410</v>
      </c>
      <c r="J16793" t="s">
        <v>165</v>
      </c>
      <c r="K16793">
        <v>92.91</v>
      </c>
      <c r="L16793">
        <v>0</v>
      </c>
      <c r="M16793">
        <v>11902</v>
      </c>
      <c r="N16793" t="s">
        <v>329</v>
      </c>
      <c r="O16793">
        <v>250423</v>
      </c>
      <c r="P16793">
        <v>20.079999999999998</v>
      </c>
    </row>
    <row r="16794" spans="1:16" x14ac:dyDescent="0.25">
      <c r="A16794" t="s">
        <v>3296</v>
      </c>
      <c r="B16794" t="s">
        <v>2931</v>
      </c>
      <c r="C16794">
        <v>5354</v>
      </c>
      <c r="D16794" t="str">
        <f>"6662007612  "</f>
        <v xml:space="preserve">6662007612  </v>
      </c>
      <c r="E16794" t="s">
        <v>733</v>
      </c>
      <c r="F16794" t="s">
        <v>735</v>
      </c>
      <c r="G16794">
        <v>72.83</v>
      </c>
      <c r="H16794">
        <v>250407</v>
      </c>
      <c r="I16794">
        <v>4410</v>
      </c>
      <c r="J16794" t="s">
        <v>165</v>
      </c>
      <c r="K16794">
        <v>92.91</v>
      </c>
      <c r="L16794">
        <v>8.94</v>
      </c>
      <c r="M16794">
        <v>11902</v>
      </c>
      <c r="N16794" t="s">
        <v>329</v>
      </c>
      <c r="O16794">
        <v>250423</v>
      </c>
      <c r="P16794">
        <v>63.89</v>
      </c>
    </row>
    <row r="16795" spans="1:16" x14ac:dyDescent="0.25">
      <c r="A16795" t="s">
        <v>3296</v>
      </c>
      <c r="B16795" t="s">
        <v>2931</v>
      </c>
      <c r="C16795">
        <v>5711</v>
      </c>
      <c r="D16795" t="str">
        <f>"6772004808  "</f>
        <v xml:space="preserve">6772004808  </v>
      </c>
      <c r="E16795" t="s">
        <v>733</v>
      </c>
      <c r="F16795" t="s">
        <v>735</v>
      </c>
      <c r="G16795">
        <v>10.039999999999999</v>
      </c>
      <c r="H16795">
        <v>250404</v>
      </c>
      <c r="I16795">
        <v>4410</v>
      </c>
      <c r="J16795" t="s">
        <v>165</v>
      </c>
      <c r="K16795">
        <v>100.16</v>
      </c>
      <c r="L16795">
        <v>0</v>
      </c>
      <c r="M16795">
        <v>49702</v>
      </c>
      <c r="N16795" t="s">
        <v>112</v>
      </c>
      <c r="O16795">
        <v>250429</v>
      </c>
      <c r="P16795">
        <v>10.039999999999999</v>
      </c>
    </row>
    <row r="16796" spans="1:16" x14ac:dyDescent="0.25">
      <c r="A16796" t="s">
        <v>3296</v>
      </c>
      <c r="B16796" t="s">
        <v>2931</v>
      </c>
      <c r="C16796">
        <v>5711</v>
      </c>
      <c r="D16796" t="str">
        <f>"6772004808  "</f>
        <v xml:space="preserve">6772004808  </v>
      </c>
      <c r="E16796" t="s">
        <v>733</v>
      </c>
      <c r="F16796" t="s">
        <v>735</v>
      </c>
      <c r="G16796">
        <v>90.12</v>
      </c>
      <c r="H16796">
        <v>250404</v>
      </c>
      <c r="I16796">
        <v>4410</v>
      </c>
      <c r="J16796" t="s">
        <v>165</v>
      </c>
      <c r="K16796">
        <v>100.16</v>
      </c>
      <c r="L16796">
        <v>11.07</v>
      </c>
      <c r="M16796">
        <v>49702</v>
      </c>
      <c r="N16796" t="s">
        <v>112</v>
      </c>
      <c r="O16796">
        <v>250429</v>
      </c>
      <c r="P16796">
        <v>79.05</v>
      </c>
    </row>
    <row r="16797" spans="1:16" x14ac:dyDescent="0.25">
      <c r="A16797" t="s">
        <v>3296</v>
      </c>
      <c r="B16797" t="s">
        <v>2931</v>
      </c>
      <c r="C16797">
        <v>6919</v>
      </c>
      <c r="D16797" t="str">
        <f>"6662008202  "</f>
        <v xml:space="preserve">6662008202  </v>
      </c>
      <c r="E16797" t="s">
        <v>733</v>
      </c>
      <c r="F16797" t="s">
        <v>735</v>
      </c>
      <c r="G16797">
        <v>10.039999999999999</v>
      </c>
      <c r="H16797">
        <v>250509</v>
      </c>
      <c r="I16797">
        <v>4410</v>
      </c>
      <c r="J16797" t="s">
        <v>165</v>
      </c>
      <c r="K16797">
        <v>92.91</v>
      </c>
      <c r="L16797">
        <v>0</v>
      </c>
      <c r="M16797">
        <v>11941</v>
      </c>
      <c r="N16797" t="s">
        <v>426</v>
      </c>
      <c r="O16797">
        <v>250520</v>
      </c>
      <c r="P16797">
        <v>10.039999999999999</v>
      </c>
    </row>
    <row r="16798" spans="1:16" x14ac:dyDescent="0.25">
      <c r="A16798" t="s">
        <v>3296</v>
      </c>
      <c r="B16798" t="s">
        <v>2931</v>
      </c>
      <c r="C16798">
        <v>6919</v>
      </c>
      <c r="D16798" t="str">
        <f>"6662008202  "</f>
        <v xml:space="preserve">6662008202  </v>
      </c>
      <c r="E16798" t="s">
        <v>733</v>
      </c>
      <c r="F16798" t="s">
        <v>735</v>
      </c>
      <c r="G16798">
        <v>82.87</v>
      </c>
      <c r="H16798">
        <v>250509</v>
      </c>
      <c r="I16798">
        <v>4410</v>
      </c>
      <c r="J16798" t="s">
        <v>165</v>
      </c>
      <c r="K16798">
        <v>92.91</v>
      </c>
      <c r="L16798">
        <v>10.18</v>
      </c>
      <c r="M16798">
        <v>11941</v>
      </c>
      <c r="N16798" t="s">
        <v>426</v>
      </c>
      <c r="O16798">
        <v>250520</v>
      </c>
      <c r="P16798">
        <v>72.69</v>
      </c>
    </row>
    <row r="16799" spans="1:16" x14ac:dyDescent="0.25">
      <c r="A16799" t="s">
        <v>3296</v>
      </c>
      <c r="B16799" t="s">
        <v>2931</v>
      </c>
      <c r="C16799">
        <v>11969</v>
      </c>
      <c r="D16799" t="str">
        <f>"6752005962  "</f>
        <v xml:space="preserve">6752005962  </v>
      </c>
      <c r="E16799" t="s">
        <v>733</v>
      </c>
      <c r="F16799" t="s">
        <v>735</v>
      </c>
      <c r="G16799">
        <v>30.12</v>
      </c>
      <c r="H16799">
        <v>250905</v>
      </c>
      <c r="I16799">
        <v>4410</v>
      </c>
      <c r="J16799" t="s">
        <v>165</v>
      </c>
      <c r="K16799">
        <v>576</v>
      </c>
      <c r="L16799">
        <v>0</v>
      </c>
      <c r="M16799">
        <v>17523</v>
      </c>
      <c r="N16799" t="s">
        <v>138</v>
      </c>
      <c r="O16799">
        <v>250912</v>
      </c>
      <c r="P16799">
        <v>30.12</v>
      </c>
    </row>
    <row r="16800" spans="1:16" x14ac:dyDescent="0.25">
      <c r="A16800" t="s">
        <v>3296</v>
      </c>
      <c r="B16800" t="s">
        <v>2931</v>
      </c>
      <c r="C16800">
        <v>11969</v>
      </c>
      <c r="D16800" t="str">
        <f>"6752005962  "</f>
        <v xml:space="preserve">6752005962  </v>
      </c>
      <c r="E16800" t="s">
        <v>733</v>
      </c>
      <c r="F16800" t="s">
        <v>735</v>
      </c>
      <c r="G16800">
        <v>509.88</v>
      </c>
      <c r="H16800">
        <v>250905</v>
      </c>
      <c r="I16800">
        <v>4410</v>
      </c>
      <c r="J16800" t="s">
        <v>165</v>
      </c>
      <c r="K16800">
        <v>576</v>
      </c>
      <c r="L16800">
        <v>62.62</v>
      </c>
      <c r="M16800">
        <v>17523</v>
      </c>
      <c r="N16800" t="s">
        <v>138</v>
      </c>
      <c r="O16800">
        <v>250912</v>
      </c>
      <c r="P16800">
        <v>447.26</v>
      </c>
    </row>
    <row r="16801" spans="1:16" x14ac:dyDescent="0.25">
      <c r="A16801" t="s">
        <v>3296</v>
      </c>
      <c r="B16801" t="s">
        <v>2931</v>
      </c>
      <c r="C16801">
        <v>12218</v>
      </c>
      <c r="D16801" t="str">
        <f>"6722004335  "</f>
        <v xml:space="preserve">6722004335  </v>
      </c>
      <c r="E16801" t="s">
        <v>733</v>
      </c>
      <c r="F16801" t="s">
        <v>735</v>
      </c>
      <c r="G16801">
        <v>10.039999999999999</v>
      </c>
      <c r="H16801">
        <v>250911</v>
      </c>
      <c r="I16801">
        <v>4410</v>
      </c>
      <c r="J16801" t="s">
        <v>165</v>
      </c>
      <c r="K16801">
        <v>174</v>
      </c>
      <c r="L16801">
        <v>0</v>
      </c>
      <c r="M16801">
        <v>56564</v>
      </c>
      <c r="N16801" t="s">
        <v>56</v>
      </c>
      <c r="O16801">
        <v>250917</v>
      </c>
      <c r="P16801">
        <v>10.039999999999999</v>
      </c>
    </row>
    <row r="16802" spans="1:16" x14ac:dyDescent="0.25">
      <c r="A16802" t="s">
        <v>3296</v>
      </c>
      <c r="B16802" t="s">
        <v>2931</v>
      </c>
      <c r="C16802">
        <v>12218</v>
      </c>
      <c r="D16802" t="str">
        <f>"6722004335  "</f>
        <v xml:space="preserve">6722004335  </v>
      </c>
      <c r="E16802" t="s">
        <v>733</v>
      </c>
      <c r="F16802" t="s">
        <v>735</v>
      </c>
      <c r="G16802">
        <v>163.96</v>
      </c>
      <c r="H16802">
        <v>250911</v>
      </c>
      <c r="I16802">
        <v>4410</v>
      </c>
      <c r="J16802" t="s">
        <v>165</v>
      </c>
      <c r="K16802">
        <v>174</v>
      </c>
      <c r="L16802">
        <v>20.14</v>
      </c>
      <c r="M16802">
        <v>56564</v>
      </c>
      <c r="N16802" t="s">
        <v>56</v>
      </c>
      <c r="O16802">
        <v>250917</v>
      </c>
      <c r="P16802">
        <v>143.82</v>
      </c>
    </row>
    <row r="16803" spans="1:16" x14ac:dyDescent="0.25">
      <c r="A16803" t="s">
        <v>3296</v>
      </c>
      <c r="B16803" t="s">
        <v>2931</v>
      </c>
      <c r="C16803">
        <v>14270</v>
      </c>
      <c r="D16803" t="str">
        <f>"6072005812  "</f>
        <v xml:space="preserve">6072005812  </v>
      </c>
      <c r="E16803" t="s">
        <v>733</v>
      </c>
      <c r="F16803" t="s">
        <v>735</v>
      </c>
      <c r="G16803">
        <v>40.159999999999997</v>
      </c>
      <c r="H16803">
        <v>251001</v>
      </c>
      <c r="I16803">
        <v>4410</v>
      </c>
      <c r="J16803" t="s">
        <v>165</v>
      </c>
      <c r="K16803">
        <v>7691.04</v>
      </c>
      <c r="L16803">
        <v>0</v>
      </c>
      <c r="M16803">
        <v>18995</v>
      </c>
      <c r="N16803" t="s">
        <v>2317</v>
      </c>
      <c r="O16803">
        <v>251028</v>
      </c>
      <c r="P16803">
        <v>40.159999999999997</v>
      </c>
    </row>
    <row r="16804" spans="1:16" x14ac:dyDescent="0.25">
      <c r="A16804" t="s">
        <v>3296</v>
      </c>
      <c r="B16804" t="s">
        <v>2931</v>
      </c>
      <c r="C16804">
        <v>14270</v>
      </c>
      <c r="D16804" t="str">
        <f>"6072005812  "</f>
        <v xml:space="preserve">6072005812  </v>
      </c>
      <c r="E16804" t="s">
        <v>733</v>
      </c>
      <c r="F16804" t="s">
        <v>735</v>
      </c>
      <c r="G16804">
        <v>1971</v>
      </c>
      <c r="H16804">
        <v>251001</v>
      </c>
      <c r="I16804">
        <v>4410</v>
      </c>
      <c r="J16804" t="s">
        <v>165</v>
      </c>
      <c r="K16804">
        <v>7691.04</v>
      </c>
      <c r="L16804">
        <v>400.48</v>
      </c>
      <c r="M16804">
        <v>18995</v>
      </c>
      <c r="N16804" t="s">
        <v>2317</v>
      </c>
      <c r="O16804">
        <v>251028</v>
      </c>
      <c r="P16804">
        <v>1570.52</v>
      </c>
    </row>
    <row r="16805" spans="1:16" x14ac:dyDescent="0.25">
      <c r="A16805" t="s">
        <v>3296</v>
      </c>
      <c r="B16805" t="s">
        <v>2931</v>
      </c>
      <c r="C16805">
        <v>14270</v>
      </c>
      <c r="D16805" t="str">
        <f>"6072005812  "</f>
        <v xml:space="preserve">6072005812  </v>
      </c>
      <c r="E16805" t="s">
        <v>733</v>
      </c>
      <c r="F16805" t="s">
        <v>735</v>
      </c>
      <c r="G16805">
        <v>5679.88</v>
      </c>
      <c r="H16805">
        <v>251001</v>
      </c>
      <c r="I16805">
        <v>4410</v>
      </c>
      <c r="J16805" t="s">
        <v>165</v>
      </c>
      <c r="K16805">
        <v>7691.04</v>
      </c>
      <c r="L16805">
        <v>697.53</v>
      </c>
      <c r="M16805">
        <v>18995</v>
      </c>
      <c r="N16805" t="s">
        <v>2317</v>
      </c>
      <c r="O16805">
        <v>251028</v>
      </c>
      <c r="P16805">
        <v>4982.3500000000004</v>
      </c>
    </row>
    <row r="16806" spans="1:16" x14ac:dyDescent="0.25">
      <c r="A16806" t="s">
        <v>3296</v>
      </c>
      <c r="B16806" t="s">
        <v>2931</v>
      </c>
      <c r="C16806">
        <v>15228</v>
      </c>
      <c r="D16806" t="str">
        <f>"6082005220  "</f>
        <v xml:space="preserve">6082005220  </v>
      </c>
      <c r="E16806" t="s">
        <v>733</v>
      </c>
      <c r="F16806" t="s">
        <v>735</v>
      </c>
      <c r="G16806">
        <v>283.5</v>
      </c>
      <c r="H16806">
        <v>251022</v>
      </c>
      <c r="I16806">
        <v>4410</v>
      </c>
      <c r="J16806" t="s">
        <v>165</v>
      </c>
      <c r="K16806">
        <v>283.5</v>
      </c>
      <c r="L16806">
        <v>34.82</v>
      </c>
      <c r="M16806">
        <v>44222</v>
      </c>
      <c r="N16806" t="s">
        <v>96</v>
      </c>
      <c r="O16806">
        <v>251117</v>
      </c>
      <c r="P16806">
        <v>248.68</v>
      </c>
    </row>
    <row r="16807" spans="1:16" x14ac:dyDescent="0.25">
      <c r="A16807" t="s">
        <v>3296</v>
      </c>
      <c r="B16807" t="s">
        <v>2931</v>
      </c>
      <c r="C16807">
        <v>17287</v>
      </c>
      <c r="D16807" t="str">
        <f>"6892006243  "</f>
        <v xml:space="preserve">6892006243  </v>
      </c>
      <c r="E16807" t="s">
        <v>733</v>
      </c>
      <c r="F16807" t="s">
        <v>735</v>
      </c>
      <c r="G16807">
        <v>10.039999999999999</v>
      </c>
      <c r="H16807">
        <v>251210</v>
      </c>
      <c r="I16807">
        <v>4410</v>
      </c>
      <c r="J16807" t="s">
        <v>165</v>
      </c>
      <c r="K16807">
        <v>114.2</v>
      </c>
      <c r="L16807">
        <v>0</v>
      </c>
      <c r="M16807">
        <v>11905</v>
      </c>
      <c r="N16807" t="s">
        <v>643</v>
      </c>
      <c r="O16807">
        <v>251219</v>
      </c>
      <c r="P16807">
        <v>10.039999999999999</v>
      </c>
    </row>
    <row r="16808" spans="1:16" x14ac:dyDescent="0.25">
      <c r="A16808" t="s">
        <v>3296</v>
      </c>
      <c r="B16808" t="s">
        <v>2931</v>
      </c>
      <c r="C16808">
        <v>17287</v>
      </c>
      <c r="D16808" t="str">
        <f>"6892006243  "</f>
        <v xml:space="preserve">6892006243  </v>
      </c>
      <c r="E16808" t="s">
        <v>733</v>
      </c>
      <c r="F16808" t="s">
        <v>735</v>
      </c>
      <c r="G16808">
        <v>91.16</v>
      </c>
      <c r="H16808">
        <v>251210</v>
      </c>
      <c r="I16808">
        <v>4410</v>
      </c>
      <c r="J16808" t="s">
        <v>165</v>
      </c>
      <c r="K16808">
        <v>114.2</v>
      </c>
      <c r="L16808">
        <v>11.2</v>
      </c>
      <c r="M16808">
        <v>11905</v>
      </c>
      <c r="N16808" t="s">
        <v>643</v>
      </c>
      <c r="O16808">
        <v>251219</v>
      </c>
      <c r="P16808">
        <v>79.959999999999994</v>
      </c>
    </row>
    <row r="16809" spans="1:16" x14ac:dyDescent="0.25">
      <c r="A16809" t="s">
        <v>3296</v>
      </c>
      <c r="B16809" t="s">
        <v>2931</v>
      </c>
      <c r="C16809">
        <v>17559</v>
      </c>
      <c r="D16809" t="str">
        <f>"6892006244  "</f>
        <v xml:space="preserve">6892006244  </v>
      </c>
      <c r="E16809" t="s">
        <v>733</v>
      </c>
      <c r="F16809" t="s">
        <v>735</v>
      </c>
      <c r="G16809">
        <v>10.039999999999999</v>
      </c>
      <c r="H16809">
        <v>251210</v>
      </c>
      <c r="I16809">
        <v>4410</v>
      </c>
      <c r="J16809" t="s">
        <v>165</v>
      </c>
      <c r="K16809">
        <v>101.2</v>
      </c>
      <c r="L16809">
        <v>0</v>
      </c>
      <c r="M16809">
        <v>11905</v>
      </c>
      <c r="N16809" t="s">
        <v>643</v>
      </c>
      <c r="O16809">
        <v>251222</v>
      </c>
      <c r="P16809">
        <v>10.039999999999999</v>
      </c>
    </row>
    <row r="16810" spans="1:16" x14ac:dyDescent="0.25">
      <c r="A16810" t="s">
        <v>3296</v>
      </c>
      <c r="B16810" t="s">
        <v>2931</v>
      </c>
      <c r="C16810">
        <v>17559</v>
      </c>
      <c r="D16810" t="str">
        <f>"6892006244  "</f>
        <v xml:space="preserve">6892006244  </v>
      </c>
      <c r="E16810" t="s">
        <v>733</v>
      </c>
      <c r="F16810" t="s">
        <v>735</v>
      </c>
      <c r="G16810">
        <v>91.16</v>
      </c>
      <c r="H16810">
        <v>251210</v>
      </c>
      <c r="I16810">
        <v>4410</v>
      </c>
      <c r="J16810" t="s">
        <v>165</v>
      </c>
      <c r="K16810">
        <v>101.2</v>
      </c>
      <c r="L16810">
        <v>11.2</v>
      </c>
      <c r="M16810">
        <v>11905</v>
      </c>
      <c r="N16810" t="s">
        <v>643</v>
      </c>
      <c r="O16810">
        <v>251222</v>
      </c>
      <c r="P16810">
        <v>79.959999999999994</v>
      </c>
    </row>
    <row r="16811" spans="1:16" x14ac:dyDescent="0.25">
      <c r="A16811" t="s">
        <v>3296</v>
      </c>
      <c r="B16811" t="s">
        <v>2931</v>
      </c>
      <c r="C16811">
        <v>17565</v>
      </c>
      <c r="D16811" t="str">
        <f>"6892006246  "</f>
        <v xml:space="preserve">6892006246  </v>
      </c>
      <c r="E16811" t="s">
        <v>733</v>
      </c>
      <c r="F16811" t="s">
        <v>735</v>
      </c>
      <c r="G16811">
        <v>10.039999999999999</v>
      </c>
      <c r="H16811">
        <v>251210</v>
      </c>
      <c r="I16811">
        <v>4410</v>
      </c>
      <c r="J16811" t="s">
        <v>165</v>
      </c>
      <c r="K16811">
        <v>101.2</v>
      </c>
      <c r="L16811">
        <v>0</v>
      </c>
      <c r="M16811">
        <v>11905</v>
      </c>
      <c r="N16811" t="s">
        <v>643</v>
      </c>
      <c r="O16811">
        <v>251222</v>
      </c>
      <c r="P16811">
        <v>10.039999999999999</v>
      </c>
    </row>
    <row r="16812" spans="1:16" x14ac:dyDescent="0.25">
      <c r="A16812" t="s">
        <v>3296</v>
      </c>
      <c r="B16812" t="s">
        <v>2931</v>
      </c>
      <c r="C16812">
        <v>17565</v>
      </c>
      <c r="D16812" t="str">
        <f>"6892006246  "</f>
        <v xml:space="preserve">6892006246  </v>
      </c>
      <c r="E16812" t="s">
        <v>733</v>
      </c>
      <c r="F16812" t="s">
        <v>735</v>
      </c>
      <c r="G16812">
        <v>91.16</v>
      </c>
      <c r="H16812">
        <v>251210</v>
      </c>
      <c r="I16812">
        <v>4410</v>
      </c>
      <c r="J16812" t="s">
        <v>165</v>
      </c>
      <c r="K16812">
        <v>101.2</v>
      </c>
      <c r="L16812">
        <v>11.2</v>
      </c>
      <c r="M16812">
        <v>11905</v>
      </c>
      <c r="N16812" t="s">
        <v>643</v>
      </c>
      <c r="O16812">
        <v>251222</v>
      </c>
      <c r="P16812">
        <v>79.959999999999994</v>
      </c>
    </row>
    <row r="16813" spans="1:16" x14ac:dyDescent="0.25">
      <c r="A16813" t="s">
        <v>3296</v>
      </c>
      <c r="B16813" t="s">
        <v>2931</v>
      </c>
      <c r="C16813">
        <v>2146</v>
      </c>
      <c r="D16813" t="str">
        <f>"13009763    "</f>
        <v xml:space="preserve">13009763    </v>
      </c>
      <c r="E16813" t="s">
        <v>733</v>
      </c>
      <c r="F16813" t="s">
        <v>735</v>
      </c>
      <c r="G16813">
        <v>35.32</v>
      </c>
      <c r="H16813">
        <v>250208</v>
      </c>
      <c r="I16813">
        <v>4412</v>
      </c>
      <c r="J16813" t="s">
        <v>884</v>
      </c>
      <c r="K16813">
        <v>240</v>
      </c>
      <c r="L16813">
        <v>0</v>
      </c>
      <c r="M16813">
        <v>54222</v>
      </c>
      <c r="N16813" t="s">
        <v>48</v>
      </c>
      <c r="O16813">
        <v>250220</v>
      </c>
      <c r="P16813">
        <v>35.32</v>
      </c>
    </row>
    <row r="16814" spans="1:16" x14ac:dyDescent="0.25">
      <c r="A16814" t="s">
        <v>3296</v>
      </c>
      <c r="B16814" t="s">
        <v>2931</v>
      </c>
      <c r="C16814">
        <v>2146</v>
      </c>
      <c r="D16814" t="str">
        <f>"13009763    "</f>
        <v xml:space="preserve">13009763    </v>
      </c>
      <c r="E16814" t="s">
        <v>733</v>
      </c>
      <c r="F16814" t="s">
        <v>735</v>
      </c>
      <c r="G16814">
        <v>204.68</v>
      </c>
      <c r="H16814">
        <v>250208</v>
      </c>
      <c r="I16814">
        <v>4412</v>
      </c>
      <c r="J16814" t="s">
        <v>884</v>
      </c>
      <c r="K16814">
        <v>240</v>
      </c>
      <c r="L16814">
        <v>25.14</v>
      </c>
      <c r="M16814">
        <v>54222</v>
      </c>
      <c r="N16814" t="s">
        <v>48</v>
      </c>
      <c r="O16814">
        <v>250220</v>
      </c>
      <c r="P16814">
        <v>179.54</v>
      </c>
    </row>
    <row r="16815" spans="1:16" x14ac:dyDescent="0.25">
      <c r="A16815" t="s">
        <v>3296</v>
      </c>
      <c r="B16815" t="s">
        <v>2931</v>
      </c>
      <c r="C16815">
        <v>4263</v>
      </c>
      <c r="D16815" t="str">
        <f>"6772004637  "</f>
        <v xml:space="preserve">6772004637  </v>
      </c>
      <c r="E16815" t="s">
        <v>733</v>
      </c>
      <c r="F16815" t="s">
        <v>735</v>
      </c>
      <c r="G16815">
        <v>10.039999999999999</v>
      </c>
      <c r="H16815">
        <v>250321</v>
      </c>
      <c r="I16815">
        <v>4412</v>
      </c>
      <c r="J16815" t="s">
        <v>884</v>
      </c>
      <c r="K16815">
        <v>100.16</v>
      </c>
      <c r="L16815">
        <v>0</v>
      </c>
      <c r="M16815">
        <v>44222</v>
      </c>
      <c r="N16815" t="s">
        <v>96</v>
      </c>
      <c r="O16815">
        <v>250409</v>
      </c>
      <c r="P16815">
        <v>10.039999999999999</v>
      </c>
    </row>
    <row r="16816" spans="1:16" x14ac:dyDescent="0.25">
      <c r="A16816" t="s">
        <v>3296</v>
      </c>
      <c r="B16816" t="s">
        <v>2931</v>
      </c>
      <c r="C16816">
        <v>4263</v>
      </c>
      <c r="D16816" t="str">
        <f>"6772004637  "</f>
        <v xml:space="preserve">6772004637  </v>
      </c>
      <c r="E16816" t="s">
        <v>733</v>
      </c>
      <c r="F16816" t="s">
        <v>735</v>
      </c>
      <c r="G16816">
        <v>90.12</v>
      </c>
      <c r="H16816">
        <v>250321</v>
      </c>
      <c r="I16816">
        <v>4412</v>
      </c>
      <c r="J16816" t="s">
        <v>884</v>
      </c>
      <c r="K16816">
        <v>100.16</v>
      </c>
      <c r="L16816">
        <v>11.07</v>
      </c>
      <c r="M16816">
        <v>44222</v>
      </c>
      <c r="N16816" t="s">
        <v>96</v>
      </c>
      <c r="O16816">
        <v>250409</v>
      </c>
      <c r="P16816">
        <v>79.05</v>
      </c>
    </row>
    <row r="16817" spans="1:16" x14ac:dyDescent="0.25">
      <c r="A16817" t="s">
        <v>3296</v>
      </c>
      <c r="B16817" t="s">
        <v>2931</v>
      </c>
      <c r="C16817">
        <v>4310</v>
      </c>
      <c r="D16817" t="str">
        <f>"6772004622  "</f>
        <v xml:space="preserve">6772004622  </v>
      </c>
      <c r="E16817" t="s">
        <v>733</v>
      </c>
      <c r="F16817" t="s">
        <v>735</v>
      </c>
      <c r="G16817">
        <v>10.039999999999999</v>
      </c>
      <c r="H16817">
        <v>250321</v>
      </c>
      <c r="I16817">
        <v>4412</v>
      </c>
      <c r="J16817" t="s">
        <v>884</v>
      </c>
      <c r="K16817">
        <v>100.16</v>
      </c>
      <c r="L16817">
        <v>0</v>
      </c>
      <c r="M16817">
        <v>44222</v>
      </c>
      <c r="N16817" t="s">
        <v>96</v>
      </c>
      <c r="O16817">
        <v>250410</v>
      </c>
      <c r="P16817">
        <v>10.039999999999999</v>
      </c>
    </row>
    <row r="16818" spans="1:16" x14ac:dyDescent="0.25">
      <c r="A16818" t="s">
        <v>3296</v>
      </c>
      <c r="B16818" t="s">
        <v>2931</v>
      </c>
      <c r="C16818">
        <v>4310</v>
      </c>
      <c r="D16818" t="str">
        <f>"6772004622  "</f>
        <v xml:space="preserve">6772004622  </v>
      </c>
      <c r="E16818" t="s">
        <v>733</v>
      </c>
      <c r="F16818" t="s">
        <v>735</v>
      </c>
      <c r="G16818">
        <v>90.12</v>
      </c>
      <c r="H16818">
        <v>250321</v>
      </c>
      <c r="I16818">
        <v>4412</v>
      </c>
      <c r="J16818" t="s">
        <v>884</v>
      </c>
      <c r="K16818">
        <v>100.16</v>
      </c>
      <c r="L16818">
        <v>11.07</v>
      </c>
      <c r="M16818">
        <v>44222</v>
      </c>
      <c r="N16818" t="s">
        <v>96</v>
      </c>
      <c r="O16818">
        <v>250410</v>
      </c>
      <c r="P16818">
        <v>79.05</v>
      </c>
    </row>
    <row r="16819" spans="1:16" x14ac:dyDescent="0.25">
      <c r="A16819" t="s">
        <v>3296</v>
      </c>
      <c r="B16819" t="s">
        <v>2931</v>
      </c>
      <c r="C16819">
        <v>5136</v>
      </c>
      <c r="D16819" t="str">
        <f>"6752004247  "</f>
        <v xml:space="preserve">6752004247  </v>
      </c>
      <c r="E16819" t="s">
        <v>733</v>
      </c>
      <c r="F16819" t="s">
        <v>735</v>
      </c>
      <c r="G16819">
        <v>10.039999999999999</v>
      </c>
      <c r="H16819">
        <v>250402</v>
      </c>
      <c r="I16819">
        <v>4412</v>
      </c>
      <c r="J16819" t="s">
        <v>884</v>
      </c>
      <c r="K16819">
        <v>207</v>
      </c>
      <c r="L16819">
        <v>0</v>
      </c>
      <c r="M16819">
        <v>11903</v>
      </c>
      <c r="N16819" t="s">
        <v>32</v>
      </c>
      <c r="O16819">
        <v>250417</v>
      </c>
      <c r="P16819">
        <v>10.039999999999999</v>
      </c>
    </row>
    <row r="16820" spans="1:16" x14ac:dyDescent="0.25">
      <c r="A16820" t="s">
        <v>3296</v>
      </c>
      <c r="B16820" t="s">
        <v>2931</v>
      </c>
      <c r="C16820">
        <v>5136</v>
      </c>
      <c r="D16820" t="str">
        <f>"6752004247  "</f>
        <v xml:space="preserve">6752004247  </v>
      </c>
      <c r="E16820" t="s">
        <v>733</v>
      </c>
      <c r="F16820" t="s">
        <v>735</v>
      </c>
      <c r="G16820">
        <v>196.96</v>
      </c>
      <c r="H16820">
        <v>250402</v>
      </c>
      <c r="I16820">
        <v>4412</v>
      </c>
      <c r="J16820" t="s">
        <v>884</v>
      </c>
      <c r="K16820">
        <v>207</v>
      </c>
      <c r="L16820">
        <v>24.19</v>
      </c>
      <c r="M16820">
        <v>11903</v>
      </c>
      <c r="N16820" t="s">
        <v>32</v>
      </c>
      <c r="O16820">
        <v>250417</v>
      </c>
      <c r="P16820">
        <v>172.77</v>
      </c>
    </row>
    <row r="16821" spans="1:16" x14ac:dyDescent="0.25">
      <c r="A16821" t="s">
        <v>3296</v>
      </c>
      <c r="B16821" t="s">
        <v>2931</v>
      </c>
      <c r="C16821">
        <v>5178</v>
      </c>
      <c r="D16821" t="str">
        <f>"6752004242  "</f>
        <v xml:space="preserve">6752004242  </v>
      </c>
      <c r="E16821" t="s">
        <v>733</v>
      </c>
      <c r="F16821" t="s">
        <v>735</v>
      </c>
      <c r="G16821">
        <v>10.039999999999999</v>
      </c>
      <c r="H16821">
        <v>250402</v>
      </c>
      <c r="I16821">
        <v>4412</v>
      </c>
      <c r="J16821" t="s">
        <v>884</v>
      </c>
      <c r="K16821">
        <v>207</v>
      </c>
      <c r="L16821">
        <v>0</v>
      </c>
      <c r="M16821">
        <v>11903</v>
      </c>
      <c r="N16821" t="s">
        <v>32</v>
      </c>
      <c r="O16821">
        <v>250417</v>
      </c>
      <c r="P16821">
        <v>10.039999999999999</v>
      </c>
    </row>
    <row r="16822" spans="1:16" x14ac:dyDescent="0.25">
      <c r="A16822" t="s">
        <v>3296</v>
      </c>
      <c r="B16822" t="s">
        <v>2931</v>
      </c>
      <c r="C16822">
        <v>5178</v>
      </c>
      <c r="D16822" t="str">
        <f>"6752004242  "</f>
        <v xml:space="preserve">6752004242  </v>
      </c>
      <c r="E16822" t="s">
        <v>733</v>
      </c>
      <c r="F16822" t="s">
        <v>735</v>
      </c>
      <c r="G16822">
        <v>196.96</v>
      </c>
      <c r="H16822">
        <v>250402</v>
      </c>
      <c r="I16822">
        <v>4412</v>
      </c>
      <c r="J16822" t="s">
        <v>884</v>
      </c>
      <c r="K16822">
        <v>207</v>
      </c>
      <c r="L16822">
        <v>24.19</v>
      </c>
      <c r="M16822">
        <v>11903</v>
      </c>
      <c r="N16822" t="s">
        <v>32</v>
      </c>
      <c r="O16822">
        <v>250417</v>
      </c>
      <c r="P16822">
        <v>172.77</v>
      </c>
    </row>
    <row r="16823" spans="1:16" x14ac:dyDescent="0.25">
      <c r="A16823" t="s">
        <v>3296</v>
      </c>
      <c r="B16823" t="s">
        <v>2931</v>
      </c>
      <c r="C16823">
        <v>5187</v>
      </c>
      <c r="D16823" t="str">
        <f>"6752004245  "</f>
        <v xml:space="preserve">6752004245  </v>
      </c>
      <c r="E16823" t="s">
        <v>733</v>
      </c>
      <c r="F16823" t="s">
        <v>735</v>
      </c>
      <c r="G16823">
        <v>10.039999999999999</v>
      </c>
      <c r="H16823">
        <v>250402</v>
      </c>
      <c r="I16823">
        <v>4412</v>
      </c>
      <c r="J16823" t="s">
        <v>884</v>
      </c>
      <c r="K16823">
        <v>207</v>
      </c>
      <c r="L16823">
        <v>0</v>
      </c>
      <c r="M16823">
        <v>11903</v>
      </c>
      <c r="N16823" t="s">
        <v>32</v>
      </c>
      <c r="O16823">
        <v>250417</v>
      </c>
      <c r="P16823">
        <v>10.039999999999999</v>
      </c>
    </row>
    <row r="16824" spans="1:16" x14ac:dyDescent="0.25">
      <c r="A16824" t="s">
        <v>3296</v>
      </c>
      <c r="B16824" t="s">
        <v>2931</v>
      </c>
      <c r="C16824">
        <v>5187</v>
      </c>
      <c r="D16824" t="str">
        <f>"6752004245  "</f>
        <v xml:space="preserve">6752004245  </v>
      </c>
      <c r="E16824" t="s">
        <v>733</v>
      </c>
      <c r="F16824" t="s">
        <v>735</v>
      </c>
      <c r="G16824">
        <v>196.96</v>
      </c>
      <c r="H16824">
        <v>250402</v>
      </c>
      <c r="I16824">
        <v>4412</v>
      </c>
      <c r="J16824" t="s">
        <v>884</v>
      </c>
      <c r="K16824">
        <v>207</v>
      </c>
      <c r="L16824">
        <v>24.19</v>
      </c>
      <c r="M16824">
        <v>11903</v>
      </c>
      <c r="N16824" t="s">
        <v>32</v>
      </c>
      <c r="O16824">
        <v>250417</v>
      </c>
      <c r="P16824">
        <v>172.77</v>
      </c>
    </row>
    <row r="16825" spans="1:16" x14ac:dyDescent="0.25">
      <c r="A16825" t="s">
        <v>3296</v>
      </c>
      <c r="B16825" t="s">
        <v>2931</v>
      </c>
      <c r="C16825">
        <v>5275</v>
      </c>
      <c r="D16825" t="str">
        <f>"6752004240  "</f>
        <v xml:space="preserve">6752004240  </v>
      </c>
      <c r="E16825" t="s">
        <v>733</v>
      </c>
      <c r="F16825" t="s">
        <v>735</v>
      </c>
      <c r="G16825">
        <v>20.079999999999998</v>
      </c>
      <c r="H16825">
        <v>250402</v>
      </c>
      <c r="I16825">
        <v>4412</v>
      </c>
      <c r="J16825" t="s">
        <v>884</v>
      </c>
      <c r="K16825">
        <v>225</v>
      </c>
      <c r="L16825">
        <v>0</v>
      </c>
      <c r="M16825">
        <v>11903</v>
      </c>
      <c r="N16825" t="s">
        <v>32</v>
      </c>
      <c r="O16825">
        <v>250423</v>
      </c>
      <c r="P16825">
        <v>20.079999999999998</v>
      </c>
    </row>
    <row r="16826" spans="1:16" x14ac:dyDescent="0.25">
      <c r="A16826" t="s">
        <v>3296</v>
      </c>
      <c r="B16826" t="s">
        <v>2931</v>
      </c>
      <c r="C16826">
        <v>5275</v>
      </c>
      <c r="D16826" t="str">
        <f>"6752004240  "</f>
        <v xml:space="preserve">6752004240  </v>
      </c>
      <c r="E16826" t="s">
        <v>733</v>
      </c>
      <c r="F16826" t="s">
        <v>735</v>
      </c>
      <c r="G16826">
        <v>204.92</v>
      </c>
      <c r="H16826">
        <v>250402</v>
      </c>
      <c r="I16826">
        <v>4412</v>
      </c>
      <c r="J16826" t="s">
        <v>884</v>
      </c>
      <c r="K16826">
        <v>225</v>
      </c>
      <c r="L16826">
        <v>25.17</v>
      </c>
      <c r="M16826">
        <v>11903</v>
      </c>
      <c r="N16826" t="s">
        <v>32</v>
      </c>
      <c r="O16826">
        <v>250423</v>
      </c>
      <c r="P16826">
        <v>179.75</v>
      </c>
    </row>
    <row r="16827" spans="1:16" x14ac:dyDescent="0.25">
      <c r="A16827" t="s">
        <v>3296</v>
      </c>
      <c r="B16827" t="s">
        <v>2931</v>
      </c>
      <c r="C16827">
        <v>9787</v>
      </c>
      <c r="D16827" t="str">
        <f>"6662009313  "</f>
        <v xml:space="preserve">6662009313  </v>
      </c>
      <c r="E16827" t="s">
        <v>733</v>
      </c>
      <c r="F16827" t="s">
        <v>735</v>
      </c>
      <c r="G16827">
        <v>10.039999999999999</v>
      </c>
      <c r="H16827">
        <v>250706</v>
      </c>
      <c r="I16827">
        <v>4412</v>
      </c>
      <c r="J16827" t="s">
        <v>884</v>
      </c>
      <c r="K16827">
        <v>92.91</v>
      </c>
      <c r="L16827">
        <v>0</v>
      </c>
      <c r="M16827">
        <v>11941</v>
      </c>
      <c r="N16827" t="s">
        <v>426</v>
      </c>
      <c r="O16827">
        <v>250728</v>
      </c>
      <c r="P16827">
        <v>10.039999999999999</v>
      </c>
    </row>
    <row r="16828" spans="1:16" x14ac:dyDescent="0.25">
      <c r="A16828" t="s">
        <v>3296</v>
      </c>
      <c r="B16828" t="s">
        <v>2931</v>
      </c>
      <c r="C16828">
        <v>9787</v>
      </c>
      <c r="D16828" t="str">
        <f>"6662009313  "</f>
        <v xml:space="preserve">6662009313  </v>
      </c>
      <c r="E16828" t="s">
        <v>733</v>
      </c>
      <c r="F16828" t="s">
        <v>735</v>
      </c>
      <c r="G16828">
        <v>82.87</v>
      </c>
      <c r="H16828">
        <v>250706</v>
      </c>
      <c r="I16828">
        <v>4412</v>
      </c>
      <c r="J16828" t="s">
        <v>884</v>
      </c>
      <c r="K16828">
        <v>92.91</v>
      </c>
      <c r="L16828">
        <v>10.18</v>
      </c>
      <c r="M16828">
        <v>11941</v>
      </c>
      <c r="N16828" t="s">
        <v>426</v>
      </c>
      <c r="O16828">
        <v>250728</v>
      </c>
      <c r="P16828">
        <v>72.69</v>
      </c>
    </row>
    <row r="16829" spans="1:16" x14ac:dyDescent="0.25">
      <c r="A16829" t="s">
        <v>3296</v>
      </c>
      <c r="B16829" t="s">
        <v>2931</v>
      </c>
      <c r="C16829">
        <v>787</v>
      </c>
      <c r="D16829" t="str">
        <f>"6082002963  "</f>
        <v xml:space="preserve">6082002963  </v>
      </c>
      <c r="E16829" t="s">
        <v>733</v>
      </c>
      <c r="F16829" t="s">
        <v>735</v>
      </c>
      <c r="G16829">
        <v>24</v>
      </c>
      <c r="H16829">
        <v>250124</v>
      </c>
      <c r="I16829">
        <v>4420</v>
      </c>
      <c r="J16829" t="s">
        <v>330</v>
      </c>
      <c r="K16829">
        <v>254</v>
      </c>
      <c r="L16829">
        <v>4.88</v>
      </c>
      <c r="M16829">
        <v>10003</v>
      </c>
      <c r="N16829" t="s">
        <v>734</v>
      </c>
      <c r="O16829">
        <v>250129</v>
      </c>
      <c r="P16829">
        <v>19.12</v>
      </c>
    </row>
    <row r="16830" spans="1:16" x14ac:dyDescent="0.25">
      <c r="A16830" t="s">
        <v>3296</v>
      </c>
      <c r="B16830" t="s">
        <v>2931</v>
      </c>
      <c r="C16830">
        <v>789</v>
      </c>
      <c r="D16830" t="str">
        <f>"6082002969  "</f>
        <v xml:space="preserve">6082002969  </v>
      </c>
      <c r="E16830" t="s">
        <v>733</v>
      </c>
      <c r="F16830" t="s">
        <v>735</v>
      </c>
      <c r="G16830">
        <v>19</v>
      </c>
      <c r="H16830">
        <v>250124</v>
      </c>
      <c r="I16830">
        <v>4420</v>
      </c>
      <c r="J16830" t="s">
        <v>330</v>
      </c>
      <c r="K16830">
        <v>134</v>
      </c>
      <c r="L16830">
        <v>3.86</v>
      </c>
      <c r="M16830">
        <v>10003</v>
      </c>
      <c r="N16830" t="s">
        <v>734</v>
      </c>
      <c r="O16830">
        <v>250129</v>
      </c>
      <c r="P16830">
        <v>15.14</v>
      </c>
    </row>
    <row r="16831" spans="1:16" x14ac:dyDescent="0.25">
      <c r="A16831" t="s">
        <v>3296</v>
      </c>
      <c r="B16831" t="s">
        <v>2931</v>
      </c>
      <c r="C16831">
        <v>11969</v>
      </c>
      <c r="D16831" t="str">
        <f>"6752005962  "</f>
        <v xml:space="preserve">6752005962  </v>
      </c>
      <c r="E16831" t="s">
        <v>733</v>
      </c>
      <c r="F16831" t="s">
        <v>735</v>
      </c>
      <c r="G16831">
        <v>36</v>
      </c>
      <c r="H16831">
        <v>250905</v>
      </c>
      <c r="I16831">
        <v>4420</v>
      </c>
      <c r="J16831" t="s">
        <v>330</v>
      </c>
      <c r="K16831">
        <v>576</v>
      </c>
      <c r="L16831">
        <v>7.31</v>
      </c>
      <c r="M16831">
        <v>17523</v>
      </c>
      <c r="N16831" t="s">
        <v>138</v>
      </c>
      <c r="O16831">
        <v>250912</v>
      </c>
      <c r="P16831">
        <v>28.69</v>
      </c>
    </row>
    <row r="16832" spans="1:16" x14ac:dyDescent="0.25">
      <c r="A16832" t="s">
        <v>3296</v>
      </c>
      <c r="B16832" t="s">
        <v>2931</v>
      </c>
      <c r="C16832">
        <v>17287</v>
      </c>
      <c r="D16832" t="str">
        <f>"6892006243  "</f>
        <v xml:space="preserve">6892006243  </v>
      </c>
      <c r="E16832" t="s">
        <v>733</v>
      </c>
      <c r="F16832" t="s">
        <v>735</v>
      </c>
      <c r="G16832">
        <v>13</v>
      </c>
      <c r="H16832">
        <v>251210</v>
      </c>
      <c r="I16832">
        <v>4420</v>
      </c>
      <c r="J16832" t="s">
        <v>330</v>
      </c>
      <c r="K16832">
        <v>114.2</v>
      </c>
      <c r="L16832">
        <v>2.64</v>
      </c>
      <c r="M16832">
        <v>11905</v>
      </c>
      <c r="N16832" t="s">
        <v>643</v>
      </c>
      <c r="O16832">
        <v>251219</v>
      </c>
      <c r="P16832">
        <v>10.36</v>
      </c>
    </row>
    <row r="16833" spans="1:16" x14ac:dyDescent="0.25">
      <c r="A16833" t="s">
        <v>3296</v>
      </c>
      <c r="B16833" t="s">
        <v>2931</v>
      </c>
      <c r="C16833">
        <v>12272</v>
      </c>
      <c r="D16833" t="str">
        <f>"FI1029238   "</f>
        <v xml:space="preserve">FI1029238   </v>
      </c>
      <c r="E16833" t="s">
        <v>2334</v>
      </c>
      <c r="F16833" t="s">
        <v>2335</v>
      </c>
      <c r="G16833">
        <v>43.9</v>
      </c>
      <c r="H16833">
        <v>250909</v>
      </c>
      <c r="I16833">
        <v>4580</v>
      </c>
      <c r="J16833" t="s">
        <v>126</v>
      </c>
      <c r="K16833">
        <v>43.9</v>
      </c>
      <c r="L16833">
        <v>8.92</v>
      </c>
      <c r="M16833">
        <v>17538</v>
      </c>
      <c r="N16833" t="s">
        <v>129</v>
      </c>
      <c r="O16833">
        <v>250918</v>
      </c>
      <c r="P16833">
        <v>34.979999999999997</v>
      </c>
    </row>
    <row r="16834" spans="1:16" x14ac:dyDescent="0.25">
      <c r="A16834" t="s">
        <v>3296</v>
      </c>
      <c r="B16834" t="s">
        <v>2931</v>
      </c>
      <c r="C16834">
        <v>15529</v>
      </c>
      <c r="D16834" t="str">
        <f>"FI1032352   "</f>
        <v xml:space="preserve">FI1032352   </v>
      </c>
      <c r="E16834" t="s">
        <v>2334</v>
      </c>
      <c r="F16834" t="s">
        <v>2335</v>
      </c>
      <c r="G16834">
        <v>59.9</v>
      </c>
      <c r="H16834">
        <v>251113</v>
      </c>
      <c r="I16834">
        <v>4580</v>
      </c>
      <c r="J16834" t="s">
        <v>126</v>
      </c>
      <c r="K16834">
        <v>59.9</v>
      </c>
      <c r="L16834">
        <v>12.17</v>
      </c>
      <c r="M16834">
        <v>13601</v>
      </c>
      <c r="N16834" t="s">
        <v>115</v>
      </c>
      <c r="O16834">
        <v>251121</v>
      </c>
      <c r="P16834">
        <v>47.73</v>
      </c>
    </row>
    <row r="16835" spans="1:16" x14ac:dyDescent="0.25">
      <c r="A16835" t="s">
        <v>3296</v>
      </c>
      <c r="B16835" t="s">
        <v>2931</v>
      </c>
      <c r="C16835">
        <v>15721</v>
      </c>
      <c r="D16835" t="str">
        <f>"FI1032696   "</f>
        <v xml:space="preserve">FI1032696   </v>
      </c>
      <c r="E16835" t="s">
        <v>2334</v>
      </c>
      <c r="F16835" t="s">
        <v>2335</v>
      </c>
      <c r="G16835">
        <v>50</v>
      </c>
      <c r="H16835">
        <v>251119</v>
      </c>
      <c r="I16835">
        <v>4580</v>
      </c>
      <c r="J16835" t="s">
        <v>126</v>
      </c>
      <c r="K16835">
        <v>50</v>
      </c>
      <c r="L16835">
        <v>10.16</v>
      </c>
      <c r="M16835">
        <v>13801</v>
      </c>
      <c r="N16835" t="s">
        <v>33</v>
      </c>
      <c r="O16835">
        <v>251125</v>
      </c>
      <c r="P16835">
        <v>39.840000000000003</v>
      </c>
    </row>
    <row r="16836" spans="1:16" x14ac:dyDescent="0.25">
      <c r="A16836" t="s">
        <v>3296</v>
      </c>
      <c r="B16836" t="s">
        <v>2931</v>
      </c>
      <c r="C16836">
        <v>17172</v>
      </c>
      <c r="D16836" t="str">
        <f>"FI1034232   "</f>
        <v xml:space="preserve">FI1034232   </v>
      </c>
      <c r="E16836" t="s">
        <v>2334</v>
      </c>
      <c r="F16836" t="s">
        <v>2335</v>
      </c>
      <c r="G16836">
        <v>29</v>
      </c>
      <c r="H16836">
        <v>251208</v>
      </c>
      <c r="I16836">
        <v>4580</v>
      </c>
      <c r="J16836" t="s">
        <v>126</v>
      </c>
      <c r="K16836">
        <v>87</v>
      </c>
      <c r="L16836">
        <v>5.89</v>
      </c>
      <c r="M16836">
        <v>13601</v>
      </c>
      <c r="N16836" t="s">
        <v>115</v>
      </c>
      <c r="O16836">
        <v>251218</v>
      </c>
      <c r="P16836">
        <v>23.11</v>
      </c>
    </row>
    <row r="16837" spans="1:16" x14ac:dyDescent="0.25">
      <c r="A16837" t="s">
        <v>3296</v>
      </c>
      <c r="B16837" t="s">
        <v>2931</v>
      </c>
      <c r="C16837">
        <v>17172</v>
      </c>
      <c r="D16837" t="str">
        <f>"FI1034232   "</f>
        <v xml:space="preserve">FI1034232   </v>
      </c>
      <c r="E16837" t="s">
        <v>2334</v>
      </c>
      <c r="F16837" t="s">
        <v>2335</v>
      </c>
      <c r="G16837">
        <v>58</v>
      </c>
      <c r="H16837">
        <v>251208</v>
      </c>
      <c r="I16837">
        <v>4580</v>
      </c>
      <c r="J16837" t="s">
        <v>126</v>
      </c>
      <c r="K16837">
        <v>87</v>
      </c>
      <c r="L16837">
        <v>11.78</v>
      </c>
      <c r="M16837">
        <v>13801</v>
      </c>
      <c r="N16837" t="s">
        <v>33</v>
      </c>
      <c r="O16837">
        <v>251218</v>
      </c>
      <c r="P16837">
        <v>46.22</v>
      </c>
    </row>
    <row r="16838" spans="1:16" x14ac:dyDescent="0.25">
      <c r="A16838" t="s">
        <v>3296</v>
      </c>
      <c r="B16838" t="s">
        <v>2931</v>
      </c>
      <c r="C16838">
        <v>18577</v>
      </c>
      <c r="D16838" t="str">
        <f>"FI1034637   "</f>
        <v xml:space="preserve">FI1034637   </v>
      </c>
      <c r="E16838" t="s">
        <v>2334</v>
      </c>
      <c r="F16838" t="s">
        <v>2335</v>
      </c>
      <c r="G16838">
        <v>29</v>
      </c>
      <c r="H16838">
        <v>251215</v>
      </c>
      <c r="I16838">
        <v>4580</v>
      </c>
      <c r="J16838" t="s">
        <v>126</v>
      </c>
      <c r="K16838">
        <v>29</v>
      </c>
      <c r="L16838">
        <v>5.89</v>
      </c>
      <c r="M16838">
        <v>13601</v>
      </c>
      <c r="N16838" t="s">
        <v>115</v>
      </c>
      <c r="O16838">
        <v>260116</v>
      </c>
      <c r="P16838">
        <v>23.11</v>
      </c>
    </row>
    <row r="16839" spans="1:16" x14ac:dyDescent="0.25">
      <c r="A16839" t="s">
        <v>3296</v>
      </c>
      <c r="B16839" t="s">
        <v>2931</v>
      </c>
      <c r="C16839">
        <v>7497</v>
      </c>
      <c r="D16839" t="str">
        <f>"90893987    "</f>
        <v xml:space="preserve">90893987    </v>
      </c>
      <c r="E16839" t="s">
        <v>569</v>
      </c>
      <c r="F16839" t="s">
        <v>570</v>
      </c>
      <c r="G16839">
        <v>134.1</v>
      </c>
      <c r="H16839">
        <v>250508</v>
      </c>
      <c r="I16839">
        <v>4530</v>
      </c>
      <c r="J16839" t="s">
        <v>293</v>
      </c>
      <c r="K16839">
        <v>1057.6600000000001</v>
      </c>
      <c r="L16839">
        <v>27.25</v>
      </c>
      <c r="M16839">
        <v>66754</v>
      </c>
      <c r="N16839" t="s">
        <v>119</v>
      </c>
      <c r="O16839">
        <v>250604</v>
      </c>
      <c r="P16839">
        <v>106.85</v>
      </c>
    </row>
    <row r="16840" spans="1:16" x14ac:dyDescent="0.25">
      <c r="A16840" t="s">
        <v>3296</v>
      </c>
      <c r="B16840" t="s">
        <v>2931</v>
      </c>
      <c r="C16840">
        <v>7497</v>
      </c>
      <c r="D16840" t="str">
        <f>"90893987    "</f>
        <v xml:space="preserve">90893987    </v>
      </c>
      <c r="E16840" t="s">
        <v>569</v>
      </c>
      <c r="F16840" t="s">
        <v>570</v>
      </c>
      <c r="G16840">
        <v>134.1</v>
      </c>
      <c r="H16840">
        <v>250508</v>
      </c>
      <c r="I16840">
        <v>4530</v>
      </c>
      <c r="J16840" t="s">
        <v>293</v>
      </c>
      <c r="K16840">
        <v>1057.6600000000001</v>
      </c>
      <c r="L16840">
        <v>27.25</v>
      </c>
      <c r="M16840">
        <v>66754</v>
      </c>
      <c r="N16840" t="s">
        <v>119</v>
      </c>
      <c r="O16840">
        <v>250604</v>
      </c>
      <c r="P16840">
        <v>106.85</v>
      </c>
    </row>
    <row r="16841" spans="1:16" x14ac:dyDescent="0.25">
      <c r="A16841" t="s">
        <v>3296</v>
      </c>
      <c r="B16841" t="s">
        <v>2931</v>
      </c>
      <c r="C16841">
        <v>7497</v>
      </c>
      <c r="D16841" t="str">
        <f>"90893987    "</f>
        <v xml:space="preserve">90893987    </v>
      </c>
      <c r="E16841" t="s">
        <v>569</v>
      </c>
      <c r="F16841" t="s">
        <v>570</v>
      </c>
      <c r="G16841">
        <v>255.89</v>
      </c>
      <c r="H16841">
        <v>250508</v>
      </c>
      <c r="I16841">
        <v>4553</v>
      </c>
      <c r="J16841" t="s">
        <v>1972</v>
      </c>
      <c r="K16841">
        <v>1057.6600000000001</v>
      </c>
      <c r="L16841">
        <v>51.99</v>
      </c>
      <c r="M16841">
        <v>66754</v>
      </c>
      <c r="N16841" t="s">
        <v>119</v>
      </c>
      <c r="O16841">
        <v>250604</v>
      </c>
      <c r="P16841">
        <v>203.9</v>
      </c>
    </row>
    <row r="16842" spans="1:16" x14ac:dyDescent="0.25">
      <c r="A16842" t="s">
        <v>3296</v>
      </c>
      <c r="B16842" t="s">
        <v>2931</v>
      </c>
      <c r="C16842">
        <v>3828</v>
      </c>
      <c r="D16842" t="str">
        <f>"90880553    "</f>
        <v xml:space="preserve">90880553    </v>
      </c>
      <c r="E16842" t="s">
        <v>569</v>
      </c>
      <c r="F16842" t="s">
        <v>570</v>
      </c>
      <c r="G16842">
        <v>411.21</v>
      </c>
      <c r="H16842">
        <v>250303</v>
      </c>
      <c r="I16842">
        <v>4557</v>
      </c>
      <c r="J16842" t="s">
        <v>1152</v>
      </c>
      <c r="K16842">
        <v>411.21</v>
      </c>
      <c r="L16842">
        <v>83.55</v>
      </c>
      <c r="M16842">
        <v>66754</v>
      </c>
      <c r="N16842" t="s">
        <v>119</v>
      </c>
      <c r="O16842">
        <v>250402</v>
      </c>
      <c r="P16842">
        <v>327.66000000000003</v>
      </c>
    </row>
    <row r="16843" spans="1:16" x14ac:dyDescent="0.25">
      <c r="A16843" t="s">
        <v>3296</v>
      </c>
      <c r="B16843" t="s">
        <v>2931</v>
      </c>
      <c r="C16843">
        <v>3919</v>
      </c>
      <c r="D16843" t="str">
        <f>"90881249    "</f>
        <v xml:space="preserve">90881249    </v>
      </c>
      <c r="E16843" t="s">
        <v>569</v>
      </c>
      <c r="F16843" t="s">
        <v>570</v>
      </c>
      <c r="G16843">
        <v>361.74</v>
      </c>
      <c r="H16843">
        <v>250305</v>
      </c>
      <c r="I16843">
        <v>4557</v>
      </c>
      <c r="J16843" t="s">
        <v>1152</v>
      </c>
      <c r="K16843">
        <v>361.74</v>
      </c>
      <c r="L16843">
        <v>73.5</v>
      </c>
      <c r="M16843">
        <v>66754</v>
      </c>
      <c r="N16843" t="s">
        <v>119</v>
      </c>
      <c r="O16843">
        <v>250404</v>
      </c>
      <c r="P16843">
        <v>288.24</v>
      </c>
    </row>
    <row r="16844" spans="1:16" x14ac:dyDescent="0.25">
      <c r="A16844" t="s">
        <v>3296</v>
      </c>
      <c r="B16844" t="s">
        <v>2931</v>
      </c>
      <c r="C16844">
        <v>4042</v>
      </c>
      <c r="D16844" t="str">
        <f>"90881400    "</f>
        <v xml:space="preserve">90881400    </v>
      </c>
      <c r="E16844" t="s">
        <v>569</v>
      </c>
      <c r="F16844" t="s">
        <v>570</v>
      </c>
      <c r="G16844">
        <v>400.87</v>
      </c>
      <c r="H16844">
        <v>250306</v>
      </c>
      <c r="I16844">
        <v>4557</v>
      </c>
      <c r="J16844" t="s">
        <v>1152</v>
      </c>
      <c r="K16844">
        <v>400.87</v>
      </c>
      <c r="L16844">
        <v>81.45</v>
      </c>
      <c r="M16844">
        <v>66754</v>
      </c>
      <c r="N16844" t="s">
        <v>119</v>
      </c>
      <c r="O16844">
        <v>250407</v>
      </c>
      <c r="P16844">
        <v>319.42</v>
      </c>
    </row>
    <row r="16845" spans="1:16" x14ac:dyDescent="0.25">
      <c r="A16845" t="s">
        <v>3296</v>
      </c>
      <c r="B16845" t="s">
        <v>2931</v>
      </c>
      <c r="C16845">
        <v>4616</v>
      </c>
      <c r="D16845" t="str">
        <f>"90885221    "</f>
        <v xml:space="preserve">90885221    </v>
      </c>
      <c r="E16845" t="s">
        <v>569</v>
      </c>
      <c r="F16845" t="s">
        <v>570</v>
      </c>
      <c r="G16845">
        <v>83.6</v>
      </c>
      <c r="H16845">
        <v>250325</v>
      </c>
      <c r="I16845">
        <v>4557</v>
      </c>
      <c r="J16845" t="s">
        <v>1152</v>
      </c>
      <c r="K16845">
        <v>83.6</v>
      </c>
      <c r="L16845">
        <v>16.989999999999998</v>
      </c>
      <c r="M16845">
        <v>66754</v>
      </c>
      <c r="N16845" t="s">
        <v>119</v>
      </c>
      <c r="O16845">
        <v>250414</v>
      </c>
      <c r="P16845">
        <v>66.61</v>
      </c>
    </row>
    <row r="16846" spans="1:16" x14ac:dyDescent="0.25">
      <c r="A16846" t="s">
        <v>3296</v>
      </c>
      <c r="B16846" t="s">
        <v>2931</v>
      </c>
      <c r="C16846">
        <v>4745</v>
      </c>
      <c r="D16846" t="str">
        <f>"90883658    "</f>
        <v xml:space="preserve">90883658    </v>
      </c>
      <c r="E16846" t="s">
        <v>569</v>
      </c>
      <c r="F16846" t="s">
        <v>570</v>
      </c>
      <c r="G16846">
        <v>1143.46</v>
      </c>
      <c r="H16846">
        <v>250318</v>
      </c>
      <c r="I16846">
        <v>4557</v>
      </c>
      <c r="J16846" t="s">
        <v>1152</v>
      </c>
      <c r="K16846">
        <v>1143.46</v>
      </c>
      <c r="L16846">
        <v>232.34</v>
      </c>
      <c r="M16846">
        <v>66754</v>
      </c>
      <c r="N16846" t="s">
        <v>119</v>
      </c>
      <c r="O16846">
        <v>250415</v>
      </c>
      <c r="P16846">
        <v>911.12</v>
      </c>
    </row>
    <row r="16847" spans="1:16" x14ac:dyDescent="0.25">
      <c r="A16847" t="s">
        <v>3296</v>
      </c>
      <c r="B16847" t="s">
        <v>2931</v>
      </c>
      <c r="C16847">
        <v>4812</v>
      </c>
      <c r="D16847" t="str">
        <f>"90884166    "</f>
        <v xml:space="preserve">90884166    </v>
      </c>
      <c r="E16847" t="s">
        <v>569</v>
      </c>
      <c r="F16847" t="s">
        <v>570</v>
      </c>
      <c r="G16847">
        <v>1126.3800000000001</v>
      </c>
      <c r="H16847">
        <v>250319</v>
      </c>
      <c r="I16847">
        <v>4557</v>
      </c>
      <c r="J16847" t="s">
        <v>1152</v>
      </c>
      <c r="K16847">
        <v>1126.3800000000001</v>
      </c>
      <c r="L16847">
        <v>228.87</v>
      </c>
      <c r="M16847">
        <v>66754</v>
      </c>
      <c r="N16847" t="s">
        <v>119</v>
      </c>
      <c r="O16847">
        <v>250415</v>
      </c>
      <c r="P16847">
        <v>897.51</v>
      </c>
    </row>
    <row r="16848" spans="1:16" x14ac:dyDescent="0.25">
      <c r="A16848" t="s">
        <v>3296</v>
      </c>
      <c r="B16848" t="s">
        <v>2931</v>
      </c>
      <c r="C16848">
        <v>5517</v>
      </c>
      <c r="D16848" t="str">
        <f>"90886674    "</f>
        <v xml:space="preserve">90886674    </v>
      </c>
      <c r="E16848" t="s">
        <v>569</v>
      </c>
      <c r="F16848" t="s">
        <v>570</v>
      </c>
      <c r="G16848">
        <v>414.71</v>
      </c>
      <c r="H16848">
        <v>250401</v>
      </c>
      <c r="I16848">
        <v>4557</v>
      </c>
      <c r="J16848" t="s">
        <v>1152</v>
      </c>
      <c r="K16848">
        <v>414.71</v>
      </c>
      <c r="L16848">
        <v>84.26</v>
      </c>
      <c r="M16848">
        <v>66754</v>
      </c>
      <c r="N16848" t="s">
        <v>119</v>
      </c>
      <c r="O16848">
        <v>250425</v>
      </c>
      <c r="P16848">
        <v>330.45</v>
      </c>
    </row>
    <row r="16849" spans="1:16" x14ac:dyDescent="0.25">
      <c r="A16849" t="s">
        <v>3296</v>
      </c>
      <c r="B16849" t="s">
        <v>2931</v>
      </c>
      <c r="C16849">
        <v>5521</v>
      </c>
      <c r="D16849" t="str">
        <f>"90886673    "</f>
        <v xml:space="preserve">90886673    </v>
      </c>
      <c r="E16849" t="s">
        <v>569</v>
      </c>
      <c r="F16849" t="s">
        <v>570</v>
      </c>
      <c r="G16849">
        <v>441.11</v>
      </c>
      <c r="H16849">
        <v>250401</v>
      </c>
      <c r="I16849">
        <v>4557</v>
      </c>
      <c r="J16849" t="s">
        <v>1152</v>
      </c>
      <c r="K16849">
        <v>441.11</v>
      </c>
      <c r="L16849">
        <v>89.63</v>
      </c>
      <c r="M16849">
        <v>66754</v>
      </c>
      <c r="N16849" t="s">
        <v>119</v>
      </c>
      <c r="O16849">
        <v>250425</v>
      </c>
      <c r="P16849">
        <v>351.48</v>
      </c>
    </row>
    <row r="16850" spans="1:16" x14ac:dyDescent="0.25">
      <c r="A16850" t="s">
        <v>3296</v>
      </c>
      <c r="B16850" t="s">
        <v>2931</v>
      </c>
      <c r="C16850">
        <v>5851</v>
      </c>
      <c r="D16850" t="str">
        <f>"90889803    "</f>
        <v xml:space="preserve">90889803    </v>
      </c>
      <c r="E16850" t="s">
        <v>569</v>
      </c>
      <c r="F16850" t="s">
        <v>570</v>
      </c>
      <c r="G16850">
        <v>120.13</v>
      </c>
      <c r="H16850">
        <v>250414</v>
      </c>
      <c r="I16850">
        <v>4557</v>
      </c>
      <c r="J16850" t="s">
        <v>1152</v>
      </c>
      <c r="K16850">
        <v>120.13</v>
      </c>
      <c r="L16850">
        <v>24.41</v>
      </c>
      <c r="M16850">
        <v>66754</v>
      </c>
      <c r="N16850" t="s">
        <v>119</v>
      </c>
      <c r="O16850">
        <v>250505</v>
      </c>
      <c r="P16850">
        <v>95.72</v>
      </c>
    </row>
    <row r="16851" spans="1:16" x14ac:dyDescent="0.25">
      <c r="A16851" t="s">
        <v>3296</v>
      </c>
      <c r="B16851" t="s">
        <v>2931</v>
      </c>
      <c r="C16851">
        <v>13987</v>
      </c>
      <c r="D16851" t="str">
        <f>"90911215    "</f>
        <v xml:space="preserve">90911215    </v>
      </c>
      <c r="E16851" t="s">
        <v>569</v>
      </c>
      <c r="F16851" t="s">
        <v>570</v>
      </c>
      <c r="G16851">
        <v>1080.49</v>
      </c>
      <c r="H16851">
        <v>251003</v>
      </c>
      <c r="I16851">
        <v>4572</v>
      </c>
      <c r="J16851" t="s">
        <v>173</v>
      </c>
      <c r="K16851">
        <v>1080.49</v>
      </c>
      <c r="L16851">
        <v>219.54</v>
      </c>
      <c r="M16851">
        <v>69501</v>
      </c>
      <c r="N16851" t="s">
        <v>123</v>
      </c>
      <c r="O16851">
        <v>251021</v>
      </c>
      <c r="P16851">
        <v>860.95</v>
      </c>
    </row>
    <row r="16852" spans="1:16" x14ac:dyDescent="0.25">
      <c r="A16852" t="s">
        <v>3296</v>
      </c>
      <c r="B16852" t="s">
        <v>2931</v>
      </c>
      <c r="C16852">
        <v>520</v>
      </c>
      <c r="D16852" t="str">
        <f>"90875272    "</f>
        <v xml:space="preserve">90875272    </v>
      </c>
      <c r="E16852" t="s">
        <v>569</v>
      </c>
      <c r="F16852" t="s">
        <v>570</v>
      </c>
      <c r="G16852">
        <v>425.63</v>
      </c>
      <c r="H16852">
        <v>250115</v>
      </c>
      <c r="I16852">
        <v>4580</v>
      </c>
      <c r="J16852" t="s">
        <v>126</v>
      </c>
      <c r="K16852">
        <v>457.51</v>
      </c>
      <c r="L16852">
        <v>86.48</v>
      </c>
      <c r="M16852">
        <v>66754</v>
      </c>
      <c r="N16852" t="s">
        <v>119</v>
      </c>
      <c r="O16852">
        <v>250123</v>
      </c>
      <c r="P16852">
        <v>339.15</v>
      </c>
    </row>
    <row r="16853" spans="1:16" x14ac:dyDescent="0.25">
      <c r="A16853" t="s">
        <v>3296</v>
      </c>
      <c r="B16853" t="s">
        <v>2931</v>
      </c>
      <c r="C16853">
        <v>6753</v>
      </c>
      <c r="D16853" t="str">
        <f>"90893392    "</f>
        <v xml:space="preserve">90893392    </v>
      </c>
      <c r="E16853" t="s">
        <v>569</v>
      </c>
      <c r="F16853" t="s">
        <v>570</v>
      </c>
      <c r="G16853">
        <v>50.83</v>
      </c>
      <c r="H16853">
        <v>250506</v>
      </c>
      <c r="I16853">
        <v>4590</v>
      </c>
      <c r="J16853" t="s">
        <v>388</v>
      </c>
      <c r="K16853">
        <v>50.83</v>
      </c>
      <c r="L16853">
        <v>10.33</v>
      </c>
      <c r="M16853">
        <v>66754</v>
      </c>
      <c r="N16853" t="s">
        <v>119</v>
      </c>
      <c r="O16853">
        <v>250516</v>
      </c>
      <c r="P16853">
        <v>40.5</v>
      </c>
    </row>
    <row r="16854" spans="1:16" x14ac:dyDescent="0.25">
      <c r="A16854" t="s">
        <v>3296</v>
      </c>
      <c r="B16854" t="s">
        <v>2931</v>
      </c>
      <c r="C16854">
        <v>520</v>
      </c>
      <c r="D16854" t="str">
        <f>"90875272    "</f>
        <v xml:space="preserve">90875272    </v>
      </c>
      <c r="E16854" t="s">
        <v>569</v>
      </c>
      <c r="F16854" t="s">
        <v>570</v>
      </c>
      <c r="G16854">
        <v>31.88</v>
      </c>
      <c r="H16854">
        <v>250115</v>
      </c>
      <c r="I16854">
        <v>4600</v>
      </c>
      <c r="J16854" t="s">
        <v>278</v>
      </c>
      <c r="K16854">
        <v>457.51</v>
      </c>
      <c r="L16854">
        <v>6.48</v>
      </c>
      <c r="M16854">
        <v>66754</v>
      </c>
      <c r="N16854" t="s">
        <v>119</v>
      </c>
      <c r="O16854">
        <v>250123</v>
      </c>
      <c r="P16854">
        <v>25.4</v>
      </c>
    </row>
    <row r="16855" spans="1:16" x14ac:dyDescent="0.25">
      <c r="A16855" t="s">
        <v>3296</v>
      </c>
      <c r="B16855" t="s">
        <v>2931</v>
      </c>
      <c r="C16855">
        <v>3304</v>
      </c>
      <c r="D16855" t="str">
        <f>"90879328    "</f>
        <v xml:space="preserve">90879328    </v>
      </c>
      <c r="E16855" t="s">
        <v>569</v>
      </c>
      <c r="F16855" t="s">
        <v>570</v>
      </c>
      <c r="G16855">
        <v>191.47</v>
      </c>
      <c r="H16855">
        <v>250224</v>
      </c>
      <c r="I16855">
        <v>4600</v>
      </c>
      <c r="J16855" t="s">
        <v>278</v>
      </c>
      <c r="K16855">
        <v>215.68</v>
      </c>
      <c r="L16855">
        <v>38.9</v>
      </c>
      <c r="M16855">
        <v>66754</v>
      </c>
      <c r="N16855" t="s">
        <v>119</v>
      </c>
      <c r="O16855">
        <v>250318</v>
      </c>
      <c r="P16855">
        <v>152.57</v>
      </c>
    </row>
    <row r="16856" spans="1:16" x14ac:dyDescent="0.25">
      <c r="A16856" t="s">
        <v>3296</v>
      </c>
      <c r="B16856" t="s">
        <v>2931</v>
      </c>
      <c r="C16856">
        <v>3304</v>
      </c>
      <c r="D16856" t="str">
        <f>"90879328    "</f>
        <v xml:space="preserve">90879328    </v>
      </c>
      <c r="E16856" t="s">
        <v>569</v>
      </c>
      <c r="F16856" t="s">
        <v>570</v>
      </c>
      <c r="G16856">
        <v>24.21</v>
      </c>
      <c r="H16856">
        <v>250224</v>
      </c>
      <c r="I16856">
        <v>4600</v>
      </c>
      <c r="J16856" t="s">
        <v>278</v>
      </c>
      <c r="K16856">
        <v>215.68</v>
      </c>
      <c r="L16856">
        <v>4.92</v>
      </c>
      <c r="M16856">
        <v>66754</v>
      </c>
      <c r="N16856" t="s">
        <v>119</v>
      </c>
      <c r="O16856">
        <v>250318</v>
      </c>
      <c r="P16856">
        <v>19.29</v>
      </c>
    </row>
    <row r="16857" spans="1:16" x14ac:dyDescent="0.25">
      <c r="A16857" t="s">
        <v>3296</v>
      </c>
      <c r="B16857" t="s">
        <v>2931</v>
      </c>
      <c r="C16857">
        <v>3966</v>
      </c>
      <c r="D16857" t="str">
        <f>"90881250    "</f>
        <v xml:space="preserve">90881250    </v>
      </c>
      <c r="E16857" t="s">
        <v>569</v>
      </c>
      <c r="F16857" t="s">
        <v>570</v>
      </c>
      <c r="G16857">
        <v>58.99</v>
      </c>
      <c r="H16857">
        <v>250305</v>
      </c>
      <c r="I16857">
        <v>4600</v>
      </c>
      <c r="J16857" t="s">
        <v>278</v>
      </c>
      <c r="K16857">
        <v>58.99</v>
      </c>
      <c r="L16857">
        <v>11.99</v>
      </c>
      <c r="M16857">
        <v>66754</v>
      </c>
      <c r="N16857" t="s">
        <v>119</v>
      </c>
      <c r="O16857">
        <v>250404</v>
      </c>
      <c r="P16857">
        <v>47</v>
      </c>
    </row>
    <row r="16858" spans="1:16" x14ac:dyDescent="0.25">
      <c r="A16858" t="s">
        <v>3296</v>
      </c>
      <c r="B16858" t="s">
        <v>2931</v>
      </c>
      <c r="C16858">
        <v>4635</v>
      </c>
      <c r="D16858" t="str">
        <f>"90883241    "</f>
        <v xml:space="preserve">90883241    </v>
      </c>
      <c r="E16858" t="s">
        <v>569</v>
      </c>
      <c r="F16858" t="s">
        <v>570</v>
      </c>
      <c r="G16858">
        <v>524.55999999999995</v>
      </c>
      <c r="H16858">
        <v>250317</v>
      </c>
      <c r="I16858">
        <v>4600</v>
      </c>
      <c r="J16858" t="s">
        <v>278</v>
      </c>
      <c r="K16858">
        <v>631.84</v>
      </c>
      <c r="L16858">
        <v>106.58</v>
      </c>
      <c r="M16858">
        <v>66754</v>
      </c>
      <c r="N16858" t="s">
        <v>119</v>
      </c>
      <c r="O16858">
        <v>250414</v>
      </c>
      <c r="P16858">
        <v>417.98</v>
      </c>
    </row>
    <row r="16859" spans="1:16" x14ac:dyDescent="0.25">
      <c r="A16859" t="s">
        <v>3296</v>
      </c>
      <c r="B16859" t="s">
        <v>2931</v>
      </c>
      <c r="C16859">
        <v>4635</v>
      </c>
      <c r="D16859" t="str">
        <f>"90883241    "</f>
        <v xml:space="preserve">90883241    </v>
      </c>
      <c r="E16859" t="s">
        <v>569</v>
      </c>
      <c r="F16859" t="s">
        <v>570</v>
      </c>
      <c r="G16859">
        <v>107.28</v>
      </c>
      <c r="H16859">
        <v>250317</v>
      </c>
      <c r="I16859">
        <v>4600</v>
      </c>
      <c r="J16859" t="s">
        <v>278</v>
      </c>
      <c r="K16859">
        <v>631.84</v>
      </c>
      <c r="L16859">
        <v>21.8</v>
      </c>
      <c r="M16859">
        <v>66754</v>
      </c>
      <c r="N16859" t="s">
        <v>119</v>
      </c>
      <c r="O16859">
        <v>250414</v>
      </c>
      <c r="P16859">
        <v>85.48</v>
      </c>
    </row>
    <row r="16860" spans="1:16" x14ac:dyDescent="0.25">
      <c r="A16860" t="s">
        <v>3296</v>
      </c>
      <c r="B16860" t="s">
        <v>2931</v>
      </c>
      <c r="C16860">
        <v>7497</v>
      </c>
      <c r="D16860" t="str">
        <f>"90893987    "</f>
        <v xml:space="preserve">90893987    </v>
      </c>
      <c r="E16860" t="s">
        <v>569</v>
      </c>
      <c r="F16860" t="s">
        <v>570</v>
      </c>
      <c r="G16860">
        <v>153.52000000000001</v>
      </c>
      <c r="H16860">
        <v>250508</v>
      </c>
      <c r="I16860">
        <v>4600</v>
      </c>
      <c r="J16860" t="s">
        <v>278</v>
      </c>
      <c r="K16860">
        <v>1057.6600000000001</v>
      </c>
      <c r="L16860">
        <v>31.19</v>
      </c>
      <c r="M16860">
        <v>66754</v>
      </c>
      <c r="N16860" t="s">
        <v>119</v>
      </c>
      <c r="O16860">
        <v>250604</v>
      </c>
      <c r="P16860">
        <v>122.33</v>
      </c>
    </row>
    <row r="16861" spans="1:16" x14ac:dyDescent="0.25">
      <c r="A16861" t="s">
        <v>3296</v>
      </c>
      <c r="B16861" t="s">
        <v>2931</v>
      </c>
      <c r="C16861">
        <v>7497</v>
      </c>
      <c r="D16861" t="str">
        <f>"90893987    "</f>
        <v xml:space="preserve">90893987    </v>
      </c>
      <c r="E16861" t="s">
        <v>569</v>
      </c>
      <c r="F16861" t="s">
        <v>570</v>
      </c>
      <c r="G16861">
        <v>380.05</v>
      </c>
      <c r="H16861">
        <v>250508</v>
      </c>
      <c r="I16861">
        <v>4600</v>
      </c>
      <c r="J16861" t="s">
        <v>278</v>
      </c>
      <c r="K16861">
        <v>1057.6600000000001</v>
      </c>
      <c r="L16861">
        <v>77.22</v>
      </c>
      <c r="M16861">
        <v>66754</v>
      </c>
      <c r="N16861" t="s">
        <v>119</v>
      </c>
      <c r="O16861">
        <v>250604</v>
      </c>
      <c r="P16861">
        <v>302.83</v>
      </c>
    </row>
    <row r="16862" spans="1:16" x14ac:dyDescent="0.25">
      <c r="A16862" t="s">
        <v>3296</v>
      </c>
      <c r="B16862" t="s">
        <v>2931</v>
      </c>
      <c r="C16862">
        <v>14409</v>
      </c>
      <c r="D16862" t="str">
        <f>"90912303    "</f>
        <v xml:space="preserve">90912303    </v>
      </c>
      <c r="E16862" t="s">
        <v>569</v>
      </c>
      <c r="F16862" t="s">
        <v>570</v>
      </c>
      <c r="G16862">
        <v>664.51</v>
      </c>
      <c r="H16862">
        <v>251024</v>
      </c>
      <c r="I16862">
        <v>4600</v>
      </c>
      <c r="J16862" t="s">
        <v>278</v>
      </c>
      <c r="K16862">
        <v>664.51</v>
      </c>
      <c r="L16862">
        <v>135.02000000000001</v>
      </c>
      <c r="M16862">
        <v>66754</v>
      </c>
      <c r="N16862" t="s">
        <v>119</v>
      </c>
      <c r="O16862">
        <v>251031</v>
      </c>
      <c r="P16862">
        <v>529.49</v>
      </c>
    </row>
    <row r="16863" spans="1:16" x14ac:dyDescent="0.25">
      <c r="A16863" t="s">
        <v>3296</v>
      </c>
      <c r="B16863" t="s">
        <v>2931</v>
      </c>
      <c r="C16863">
        <v>16335</v>
      </c>
      <c r="D16863" t="str">
        <f>"1082710     "</f>
        <v xml:space="preserve">1082710     </v>
      </c>
      <c r="E16863" t="s">
        <v>1511</v>
      </c>
      <c r="F16863" t="s">
        <v>1512</v>
      </c>
      <c r="G16863">
        <v>51155</v>
      </c>
      <c r="H16863">
        <v>251128</v>
      </c>
      <c r="I16863">
        <v>1197</v>
      </c>
      <c r="J16863" t="s">
        <v>2156</v>
      </c>
      <c r="K16863">
        <v>51155</v>
      </c>
      <c r="L16863">
        <v>0</v>
      </c>
      <c r="M16863">
        <v>96501</v>
      </c>
      <c r="N16863" t="s">
        <v>2066</v>
      </c>
      <c r="O16863">
        <v>251208</v>
      </c>
      <c r="P16863">
        <v>51155</v>
      </c>
    </row>
    <row r="16864" spans="1:16" x14ac:dyDescent="0.25">
      <c r="A16864" t="s">
        <v>3296</v>
      </c>
      <c r="B16864" t="s">
        <v>2931</v>
      </c>
      <c r="C16864">
        <v>17787</v>
      </c>
      <c r="D16864" t="str">
        <f>"1085534     "</f>
        <v xml:space="preserve">1085534     </v>
      </c>
      <c r="E16864" t="s">
        <v>1511</v>
      </c>
      <c r="F16864" t="s">
        <v>1512</v>
      </c>
      <c r="G16864">
        <v>29445</v>
      </c>
      <c r="H16864">
        <v>251229</v>
      </c>
      <c r="I16864">
        <v>1197</v>
      </c>
      <c r="J16864" t="s">
        <v>2156</v>
      </c>
      <c r="K16864">
        <v>29445</v>
      </c>
      <c r="L16864">
        <v>0</v>
      </c>
      <c r="M16864">
        <v>96501</v>
      </c>
      <c r="N16864" t="s">
        <v>2066</v>
      </c>
      <c r="O16864">
        <v>251230</v>
      </c>
      <c r="P16864">
        <v>29445</v>
      </c>
    </row>
    <row r="16865" spans="1:16" x14ac:dyDescent="0.25">
      <c r="A16865" t="s">
        <v>3296</v>
      </c>
      <c r="B16865" t="s">
        <v>2931</v>
      </c>
      <c r="C16865">
        <v>9776</v>
      </c>
      <c r="D16865" t="str">
        <f>"1072728     "</f>
        <v xml:space="preserve">1072728     </v>
      </c>
      <c r="E16865" t="s">
        <v>1511</v>
      </c>
      <c r="F16865" t="s">
        <v>1512</v>
      </c>
      <c r="G16865">
        <v>2022.9</v>
      </c>
      <c r="H16865">
        <v>250718</v>
      </c>
      <c r="I16865">
        <v>4346</v>
      </c>
      <c r="J16865" t="s">
        <v>334</v>
      </c>
      <c r="K16865">
        <v>2022.9</v>
      </c>
      <c r="L16865">
        <v>411.03</v>
      </c>
      <c r="M16865">
        <v>49501</v>
      </c>
      <c r="N16865" t="s">
        <v>110</v>
      </c>
      <c r="O16865">
        <v>250728</v>
      </c>
      <c r="P16865">
        <v>1611.87</v>
      </c>
    </row>
    <row r="16866" spans="1:16" x14ac:dyDescent="0.25">
      <c r="A16866" t="s">
        <v>3296</v>
      </c>
      <c r="B16866" t="s">
        <v>2931</v>
      </c>
      <c r="C16866">
        <v>3838</v>
      </c>
      <c r="D16866" t="str">
        <f>"1062890     "</f>
        <v xml:space="preserve">1062890     </v>
      </c>
      <c r="E16866" t="s">
        <v>1511</v>
      </c>
      <c r="F16866" t="s">
        <v>1512</v>
      </c>
      <c r="G16866">
        <v>164.33</v>
      </c>
      <c r="H16866">
        <v>250312</v>
      </c>
      <c r="I16866">
        <v>4367</v>
      </c>
      <c r="J16866" t="s">
        <v>159</v>
      </c>
      <c r="K16866">
        <v>328.66</v>
      </c>
      <c r="L16866">
        <v>33.39</v>
      </c>
      <c r="M16866">
        <v>49501</v>
      </c>
      <c r="N16866" t="s">
        <v>110</v>
      </c>
      <c r="O16866">
        <v>250402</v>
      </c>
      <c r="P16866">
        <v>130.94</v>
      </c>
    </row>
    <row r="16867" spans="1:16" x14ac:dyDescent="0.25">
      <c r="A16867" t="s">
        <v>3296</v>
      </c>
      <c r="B16867" t="s">
        <v>2931</v>
      </c>
      <c r="C16867">
        <v>3838</v>
      </c>
      <c r="D16867" t="str">
        <f>"1062890     "</f>
        <v xml:space="preserve">1062890     </v>
      </c>
      <c r="E16867" t="s">
        <v>1511</v>
      </c>
      <c r="F16867" t="s">
        <v>1512</v>
      </c>
      <c r="G16867">
        <v>164.33</v>
      </c>
      <c r="H16867">
        <v>250312</v>
      </c>
      <c r="I16867">
        <v>4367</v>
      </c>
      <c r="J16867" t="s">
        <v>159</v>
      </c>
      <c r="K16867">
        <v>328.66</v>
      </c>
      <c r="L16867">
        <v>33.39</v>
      </c>
      <c r="M16867">
        <v>49503</v>
      </c>
      <c r="N16867" t="s">
        <v>267</v>
      </c>
      <c r="O16867">
        <v>250402</v>
      </c>
      <c r="P16867">
        <v>130.94</v>
      </c>
    </row>
    <row r="16868" spans="1:16" x14ac:dyDescent="0.25">
      <c r="A16868" t="s">
        <v>3296</v>
      </c>
      <c r="B16868" t="s">
        <v>2931</v>
      </c>
      <c r="C16868">
        <v>8879</v>
      </c>
      <c r="D16868" t="str">
        <f>"1069549     "</f>
        <v xml:space="preserve">1069549     </v>
      </c>
      <c r="E16868" t="s">
        <v>1511</v>
      </c>
      <c r="F16868" t="s">
        <v>1512</v>
      </c>
      <c r="G16868">
        <v>167.04</v>
      </c>
      <c r="H16868">
        <v>250610</v>
      </c>
      <c r="I16868">
        <v>4367</v>
      </c>
      <c r="J16868" t="s">
        <v>159</v>
      </c>
      <c r="K16868">
        <v>334.08</v>
      </c>
      <c r="L16868">
        <v>33.94</v>
      </c>
      <c r="M16868">
        <v>49501</v>
      </c>
      <c r="N16868" t="s">
        <v>110</v>
      </c>
      <c r="O16868">
        <v>250618</v>
      </c>
      <c r="P16868">
        <v>133.1</v>
      </c>
    </row>
    <row r="16869" spans="1:16" x14ac:dyDescent="0.25">
      <c r="A16869" t="s">
        <v>3296</v>
      </c>
      <c r="B16869" t="s">
        <v>2931</v>
      </c>
      <c r="C16869">
        <v>8879</v>
      </c>
      <c r="D16869" t="str">
        <f>"1069549     "</f>
        <v xml:space="preserve">1069549     </v>
      </c>
      <c r="E16869" t="s">
        <v>1511</v>
      </c>
      <c r="F16869" t="s">
        <v>1512</v>
      </c>
      <c r="G16869">
        <v>167.04</v>
      </c>
      <c r="H16869">
        <v>250610</v>
      </c>
      <c r="I16869">
        <v>4367</v>
      </c>
      <c r="J16869" t="s">
        <v>159</v>
      </c>
      <c r="K16869">
        <v>334.08</v>
      </c>
      <c r="L16869">
        <v>33.94</v>
      </c>
      <c r="M16869">
        <v>49503</v>
      </c>
      <c r="N16869" t="s">
        <v>267</v>
      </c>
      <c r="O16869">
        <v>250618</v>
      </c>
      <c r="P16869">
        <v>133.1</v>
      </c>
    </row>
    <row r="16870" spans="1:16" x14ac:dyDescent="0.25">
      <c r="A16870" t="s">
        <v>3296</v>
      </c>
      <c r="B16870" t="s">
        <v>2931</v>
      </c>
      <c r="C16870">
        <v>12290</v>
      </c>
      <c r="D16870" t="str">
        <f>"1075989     "</f>
        <v xml:space="preserve">1075989     </v>
      </c>
      <c r="E16870" t="s">
        <v>1511</v>
      </c>
      <c r="F16870" t="s">
        <v>1512</v>
      </c>
      <c r="G16870">
        <v>167.04</v>
      </c>
      <c r="H16870">
        <v>250911</v>
      </c>
      <c r="I16870">
        <v>4367</v>
      </c>
      <c r="J16870" t="s">
        <v>159</v>
      </c>
      <c r="K16870">
        <v>334.08</v>
      </c>
      <c r="L16870">
        <v>33.94</v>
      </c>
      <c r="M16870">
        <v>49501</v>
      </c>
      <c r="N16870" t="s">
        <v>110</v>
      </c>
      <c r="O16870">
        <v>250918</v>
      </c>
      <c r="P16870">
        <v>133.1</v>
      </c>
    </row>
    <row r="16871" spans="1:16" x14ac:dyDescent="0.25">
      <c r="A16871" t="s">
        <v>3296</v>
      </c>
      <c r="B16871" t="s">
        <v>2931</v>
      </c>
      <c r="C16871">
        <v>12290</v>
      </c>
      <c r="D16871" t="str">
        <f>"1075989     "</f>
        <v xml:space="preserve">1075989     </v>
      </c>
      <c r="E16871" t="s">
        <v>1511</v>
      </c>
      <c r="F16871" t="s">
        <v>1512</v>
      </c>
      <c r="G16871">
        <v>167.04</v>
      </c>
      <c r="H16871">
        <v>250911</v>
      </c>
      <c r="I16871">
        <v>4367</v>
      </c>
      <c r="J16871" t="s">
        <v>159</v>
      </c>
      <c r="K16871">
        <v>334.08</v>
      </c>
      <c r="L16871">
        <v>33.94</v>
      </c>
      <c r="M16871">
        <v>49503</v>
      </c>
      <c r="N16871" t="s">
        <v>267</v>
      </c>
      <c r="O16871">
        <v>250918</v>
      </c>
      <c r="P16871">
        <v>133.1</v>
      </c>
    </row>
    <row r="16872" spans="1:16" x14ac:dyDescent="0.25">
      <c r="A16872" t="s">
        <v>3296</v>
      </c>
      <c r="B16872" t="s">
        <v>2931</v>
      </c>
      <c r="C16872">
        <v>18211</v>
      </c>
      <c r="D16872" t="str">
        <f>"1084683     "</f>
        <v xml:space="preserve">1084683     </v>
      </c>
      <c r="E16872" t="s">
        <v>1511</v>
      </c>
      <c r="F16872" t="s">
        <v>1512</v>
      </c>
      <c r="G16872">
        <v>111.36</v>
      </c>
      <c r="H16872">
        <v>251222</v>
      </c>
      <c r="I16872">
        <v>4367</v>
      </c>
      <c r="J16872" t="s">
        <v>159</v>
      </c>
      <c r="K16872">
        <v>334.08</v>
      </c>
      <c r="L16872">
        <v>22.63</v>
      </c>
      <c r="M16872">
        <v>49503</v>
      </c>
      <c r="N16872" t="s">
        <v>267</v>
      </c>
      <c r="O16872">
        <v>260112</v>
      </c>
      <c r="P16872">
        <v>88.73</v>
      </c>
    </row>
    <row r="16873" spans="1:16" x14ac:dyDescent="0.25">
      <c r="A16873" t="s">
        <v>3296</v>
      </c>
      <c r="B16873" t="s">
        <v>2931</v>
      </c>
      <c r="C16873">
        <v>3815</v>
      </c>
      <c r="D16873" t="str">
        <f>"1062887     "</f>
        <v xml:space="preserve">1062887     </v>
      </c>
      <c r="E16873" t="s">
        <v>1511</v>
      </c>
      <c r="F16873" t="s">
        <v>1512</v>
      </c>
      <c r="G16873">
        <v>58.05</v>
      </c>
      <c r="H16873">
        <v>250312</v>
      </c>
      <c r="I16873">
        <v>4369</v>
      </c>
      <c r="J16873" t="s">
        <v>188</v>
      </c>
      <c r="K16873">
        <v>821.65</v>
      </c>
      <c r="L16873">
        <v>11.8</v>
      </c>
      <c r="M16873">
        <v>13540</v>
      </c>
      <c r="N16873" t="s">
        <v>131</v>
      </c>
      <c r="O16873">
        <v>250402</v>
      </c>
      <c r="P16873">
        <v>46.25</v>
      </c>
    </row>
    <row r="16874" spans="1:16" x14ac:dyDescent="0.25">
      <c r="A16874" t="s">
        <v>3296</v>
      </c>
      <c r="B16874" t="s">
        <v>2931</v>
      </c>
      <c r="C16874">
        <v>3815</v>
      </c>
      <c r="D16874" t="str">
        <f>"1062887     "</f>
        <v xml:space="preserve">1062887     </v>
      </c>
      <c r="E16874" t="s">
        <v>1511</v>
      </c>
      <c r="F16874" t="s">
        <v>1512</v>
      </c>
      <c r="G16874">
        <v>763.6</v>
      </c>
      <c r="H16874">
        <v>250312</v>
      </c>
      <c r="I16874">
        <v>4369</v>
      </c>
      <c r="J16874" t="s">
        <v>188</v>
      </c>
      <c r="K16874">
        <v>821.65</v>
      </c>
      <c r="L16874">
        <v>155.15</v>
      </c>
      <c r="M16874">
        <v>17950</v>
      </c>
      <c r="N16874" t="s">
        <v>132</v>
      </c>
      <c r="O16874">
        <v>250402</v>
      </c>
      <c r="P16874">
        <v>608.45000000000005</v>
      </c>
    </row>
    <row r="16875" spans="1:16" x14ac:dyDescent="0.25">
      <c r="A16875" t="s">
        <v>3296</v>
      </c>
      <c r="B16875" t="s">
        <v>2931</v>
      </c>
      <c r="C16875">
        <v>3843</v>
      </c>
      <c r="D16875" t="str">
        <f>"1062889     "</f>
        <v xml:space="preserve">1062889     </v>
      </c>
      <c r="E16875" t="s">
        <v>1511</v>
      </c>
      <c r="F16875" t="s">
        <v>1512</v>
      </c>
      <c r="G16875">
        <v>164.33</v>
      </c>
      <c r="H16875">
        <v>250312</v>
      </c>
      <c r="I16875">
        <v>4369</v>
      </c>
      <c r="J16875" t="s">
        <v>188</v>
      </c>
      <c r="K16875">
        <v>164.33</v>
      </c>
      <c r="L16875">
        <v>33.39</v>
      </c>
      <c r="M16875">
        <v>59505</v>
      </c>
      <c r="N16875" t="s">
        <v>194</v>
      </c>
      <c r="O16875">
        <v>250402</v>
      </c>
      <c r="P16875">
        <v>130.94</v>
      </c>
    </row>
    <row r="16876" spans="1:16" x14ac:dyDescent="0.25">
      <c r="A16876" t="s">
        <v>3296</v>
      </c>
      <c r="B16876" t="s">
        <v>2931</v>
      </c>
      <c r="C16876">
        <v>3848</v>
      </c>
      <c r="D16876" t="str">
        <f>"1062892     "</f>
        <v xml:space="preserve">1062892     </v>
      </c>
      <c r="E16876" t="s">
        <v>1511</v>
      </c>
      <c r="F16876" t="s">
        <v>1512</v>
      </c>
      <c r="G16876">
        <v>61.62</v>
      </c>
      <c r="H16876">
        <v>250312</v>
      </c>
      <c r="I16876">
        <v>4369</v>
      </c>
      <c r="J16876" t="s">
        <v>188</v>
      </c>
      <c r="K16876">
        <v>184.86</v>
      </c>
      <c r="L16876">
        <v>12.52</v>
      </c>
      <c r="M16876">
        <v>11401</v>
      </c>
      <c r="N16876" t="s">
        <v>91</v>
      </c>
      <c r="O16876">
        <v>250402</v>
      </c>
      <c r="P16876">
        <v>49.1</v>
      </c>
    </row>
    <row r="16877" spans="1:16" x14ac:dyDescent="0.25">
      <c r="A16877" t="s">
        <v>3296</v>
      </c>
      <c r="B16877" t="s">
        <v>2931</v>
      </c>
      <c r="C16877">
        <v>3848</v>
      </c>
      <c r="D16877" t="str">
        <f>"1062892     "</f>
        <v xml:space="preserve">1062892     </v>
      </c>
      <c r="E16877" t="s">
        <v>1511</v>
      </c>
      <c r="F16877" t="s">
        <v>1512</v>
      </c>
      <c r="G16877">
        <v>123.24</v>
      </c>
      <c r="H16877">
        <v>250312</v>
      </c>
      <c r="I16877">
        <v>4369</v>
      </c>
      <c r="J16877" t="s">
        <v>188</v>
      </c>
      <c r="K16877">
        <v>184.86</v>
      </c>
      <c r="L16877">
        <v>25.04</v>
      </c>
      <c r="M16877">
        <v>14952</v>
      </c>
      <c r="N16877" t="s">
        <v>213</v>
      </c>
      <c r="O16877">
        <v>250402</v>
      </c>
      <c r="P16877">
        <v>98.2</v>
      </c>
    </row>
    <row r="16878" spans="1:16" x14ac:dyDescent="0.25">
      <c r="A16878" t="s">
        <v>3296</v>
      </c>
      <c r="B16878" t="s">
        <v>2931</v>
      </c>
      <c r="C16878">
        <v>3854</v>
      </c>
      <c r="D16878" t="str">
        <f>"1062888     "</f>
        <v xml:space="preserve">1062888     </v>
      </c>
      <c r="E16878" t="s">
        <v>1511</v>
      </c>
      <c r="F16878" t="s">
        <v>1512</v>
      </c>
      <c r="G16878">
        <v>184.86</v>
      </c>
      <c r="H16878">
        <v>250312</v>
      </c>
      <c r="I16878">
        <v>4369</v>
      </c>
      <c r="J16878" t="s">
        <v>188</v>
      </c>
      <c r="K16878">
        <v>184.86</v>
      </c>
      <c r="L16878">
        <v>37.56</v>
      </c>
      <c r="M16878">
        <v>59501</v>
      </c>
      <c r="N16878" t="s">
        <v>62</v>
      </c>
      <c r="O16878">
        <v>250402</v>
      </c>
      <c r="P16878">
        <v>147.30000000000001</v>
      </c>
    </row>
    <row r="16879" spans="1:16" x14ac:dyDescent="0.25">
      <c r="A16879" t="s">
        <v>3296</v>
      </c>
      <c r="B16879" t="s">
        <v>2931</v>
      </c>
      <c r="C16879">
        <v>3861</v>
      </c>
      <c r="D16879" t="str">
        <f>"1063228     "</f>
        <v xml:space="preserve">1063228     </v>
      </c>
      <c r="E16879" t="s">
        <v>1511</v>
      </c>
      <c r="F16879" t="s">
        <v>1512</v>
      </c>
      <c r="G16879">
        <v>230.93</v>
      </c>
      <c r="H16879">
        <v>250312</v>
      </c>
      <c r="I16879">
        <v>4369</v>
      </c>
      <c r="J16879" t="s">
        <v>188</v>
      </c>
      <c r="K16879">
        <v>5439.14</v>
      </c>
      <c r="L16879">
        <v>46.92</v>
      </c>
      <c r="M16879">
        <v>13540</v>
      </c>
      <c r="N16879" t="s">
        <v>131</v>
      </c>
      <c r="O16879">
        <v>250402</v>
      </c>
      <c r="P16879">
        <v>184.01</v>
      </c>
    </row>
    <row r="16880" spans="1:16" x14ac:dyDescent="0.25">
      <c r="A16880" t="s">
        <v>3296</v>
      </c>
      <c r="B16880" t="s">
        <v>2931</v>
      </c>
      <c r="C16880">
        <v>3861</v>
      </c>
      <c r="D16880" t="str">
        <f>"1063228     "</f>
        <v xml:space="preserve">1063228     </v>
      </c>
      <c r="E16880" t="s">
        <v>1511</v>
      </c>
      <c r="F16880" t="s">
        <v>1512</v>
      </c>
      <c r="G16880">
        <v>1582.11</v>
      </c>
      <c r="H16880">
        <v>250312</v>
      </c>
      <c r="I16880">
        <v>4369</v>
      </c>
      <c r="J16880" t="s">
        <v>188</v>
      </c>
      <c r="K16880">
        <v>5439.14</v>
      </c>
      <c r="L16880">
        <v>321.45999999999998</v>
      </c>
      <c r="M16880">
        <v>17950</v>
      </c>
      <c r="N16880" t="s">
        <v>132</v>
      </c>
      <c r="O16880">
        <v>250402</v>
      </c>
      <c r="P16880">
        <v>1260.6500000000001</v>
      </c>
    </row>
    <row r="16881" spans="1:16" x14ac:dyDescent="0.25">
      <c r="A16881" t="s">
        <v>3296</v>
      </c>
      <c r="B16881" t="s">
        <v>2931</v>
      </c>
      <c r="C16881">
        <v>3865</v>
      </c>
      <c r="D16881" t="str">
        <f>"1062891     "</f>
        <v xml:space="preserve">1062891     </v>
      </c>
      <c r="E16881" t="s">
        <v>1511</v>
      </c>
      <c r="F16881" t="s">
        <v>1512</v>
      </c>
      <c r="G16881">
        <v>986.03</v>
      </c>
      <c r="H16881">
        <v>250312</v>
      </c>
      <c r="I16881">
        <v>4369</v>
      </c>
      <c r="J16881" t="s">
        <v>188</v>
      </c>
      <c r="K16881">
        <v>986.03</v>
      </c>
      <c r="L16881">
        <v>200.35</v>
      </c>
      <c r="M16881">
        <v>69501</v>
      </c>
      <c r="N16881" t="s">
        <v>123</v>
      </c>
      <c r="O16881">
        <v>250402</v>
      </c>
      <c r="P16881">
        <v>785.68</v>
      </c>
    </row>
    <row r="16882" spans="1:16" x14ac:dyDescent="0.25">
      <c r="A16882" t="s">
        <v>3296</v>
      </c>
      <c r="B16882" t="s">
        <v>2931</v>
      </c>
      <c r="C16882">
        <v>8797</v>
      </c>
      <c r="D16882" t="str">
        <f>"1070179     "</f>
        <v xml:space="preserve">1070179     </v>
      </c>
      <c r="E16882" t="s">
        <v>1511</v>
      </c>
      <c r="F16882" t="s">
        <v>1512</v>
      </c>
      <c r="G16882">
        <v>1054.95</v>
      </c>
      <c r="H16882">
        <v>250611</v>
      </c>
      <c r="I16882">
        <v>4369</v>
      </c>
      <c r="J16882" t="s">
        <v>188</v>
      </c>
      <c r="K16882">
        <v>1054.95</v>
      </c>
      <c r="L16882">
        <v>0</v>
      </c>
      <c r="M16882">
        <v>69501</v>
      </c>
      <c r="N16882" t="s">
        <v>123</v>
      </c>
      <c r="O16882">
        <v>250618</v>
      </c>
      <c r="P16882">
        <v>1054.95</v>
      </c>
    </row>
    <row r="16883" spans="1:16" x14ac:dyDescent="0.25">
      <c r="A16883" t="s">
        <v>3296</v>
      </c>
      <c r="B16883" t="s">
        <v>2931</v>
      </c>
      <c r="C16883">
        <v>8854</v>
      </c>
      <c r="D16883" t="str">
        <f>"1069550     "</f>
        <v xml:space="preserve">1069550     </v>
      </c>
      <c r="E16883" t="s">
        <v>1511</v>
      </c>
      <c r="F16883" t="s">
        <v>1512</v>
      </c>
      <c r="G16883">
        <v>1002.29</v>
      </c>
      <c r="H16883">
        <v>250610</v>
      </c>
      <c r="I16883">
        <v>4369</v>
      </c>
      <c r="J16883" t="s">
        <v>188</v>
      </c>
      <c r="K16883">
        <v>1002.29</v>
      </c>
      <c r="L16883">
        <v>203.65</v>
      </c>
      <c r="M16883">
        <v>69501</v>
      </c>
      <c r="N16883" t="s">
        <v>123</v>
      </c>
      <c r="O16883">
        <v>250618</v>
      </c>
      <c r="P16883">
        <v>798.64</v>
      </c>
    </row>
    <row r="16884" spans="1:16" x14ac:dyDescent="0.25">
      <c r="A16884" t="s">
        <v>3296</v>
      </c>
      <c r="B16884" t="s">
        <v>2931</v>
      </c>
      <c r="C16884">
        <v>8861</v>
      </c>
      <c r="D16884" t="str">
        <f>"1069545     "</f>
        <v xml:space="preserve">1069545     </v>
      </c>
      <c r="E16884" t="s">
        <v>1511</v>
      </c>
      <c r="F16884" t="s">
        <v>1512</v>
      </c>
      <c r="G16884">
        <v>561.15</v>
      </c>
      <c r="H16884">
        <v>250610</v>
      </c>
      <c r="I16884">
        <v>4369</v>
      </c>
      <c r="J16884" t="s">
        <v>188</v>
      </c>
      <c r="K16884">
        <v>5529.02</v>
      </c>
      <c r="L16884">
        <v>114.02</v>
      </c>
      <c r="M16884">
        <v>13540</v>
      </c>
      <c r="N16884" t="s">
        <v>131</v>
      </c>
      <c r="O16884">
        <v>250618</v>
      </c>
      <c r="P16884">
        <v>447.13</v>
      </c>
    </row>
    <row r="16885" spans="1:16" x14ac:dyDescent="0.25">
      <c r="A16885" t="s">
        <v>3296</v>
      </c>
      <c r="B16885" t="s">
        <v>2931</v>
      </c>
      <c r="C16885">
        <v>8861</v>
      </c>
      <c r="D16885" t="str">
        <f>"1069545     "</f>
        <v xml:space="preserve">1069545     </v>
      </c>
      <c r="E16885" t="s">
        <v>1511</v>
      </c>
      <c r="F16885" t="s">
        <v>1512</v>
      </c>
      <c r="G16885">
        <v>4967.87</v>
      </c>
      <c r="H16885">
        <v>250610</v>
      </c>
      <c r="I16885">
        <v>4369</v>
      </c>
      <c r="J16885" t="s">
        <v>188</v>
      </c>
      <c r="K16885">
        <v>5529.02</v>
      </c>
      <c r="L16885">
        <v>1009.41</v>
      </c>
      <c r="M16885">
        <v>17950</v>
      </c>
      <c r="N16885" t="s">
        <v>132</v>
      </c>
      <c r="O16885">
        <v>250618</v>
      </c>
      <c r="P16885">
        <v>3958.46</v>
      </c>
    </row>
    <row r="16886" spans="1:16" x14ac:dyDescent="0.25">
      <c r="A16886" t="s">
        <v>3296</v>
      </c>
      <c r="B16886" t="s">
        <v>2931</v>
      </c>
      <c r="C16886">
        <v>8874</v>
      </c>
      <c r="D16886" t="str">
        <f>"1069548     "</f>
        <v xml:space="preserve">1069548     </v>
      </c>
      <c r="E16886" t="s">
        <v>1511</v>
      </c>
      <c r="F16886" t="s">
        <v>1512</v>
      </c>
      <c r="G16886">
        <v>167.04</v>
      </c>
      <c r="H16886">
        <v>250610</v>
      </c>
      <c r="I16886">
        <v>4369</v>
      </c>
      <c r="J16886" t="s">
        <v>188</v>
      </c>
      <c r="K16886">
        <v>167.04</v>
      </c>
      <c r="L16886">
        <v>33.94</v>
      </c>
      <c r="M16886">
        <v>59505</v>
      </c>
      <c r="N16886" t="s">
        <v>194</v>
      </c>
      <c r="O16886">
        <v>250618</v>
      </c>
      <c r="P16886">
        <v>133.1</v>
      </c>
    </row>
    <row r="16887" spans="1:16" x14ac:dyDescent="0.25">
      <c r="A16887" t="s">
        <v>3296</v>
      </c>
      <c r="B16887" t="s">
        <v>2931</v>
      </c>
      <c r="C16887">
        <v>8882</v>
      </c>
      <c r="D16887" t="str">
        <f>"1069547     "</f>
        <v xml:space="preserve">1069547     </v>
      </c>
      <c r="E16887" t="s">
        <v>1511</v>
      </c>
      <c r="F16887" t="s">
        <v>1512</v>
      </c>
      <c r="G16887">
        <v>187.92</v>
      </c>
      <c r="H16887">
        <v>250610</v>
      </c>
      <c r="I16887">
        <v>4369</v>
      </c>
      <c r="J16887" t="s">
        <v>188</v>
      </c>
      <c r="K16887">
        <v>187.92</v>
      </c>
      <c r="L16887">
        <v>38.18</v>
      </c>
      <c r="M16887">
        <v>59501</v>
      </c>
      <c r="N16887" t="s">
        <v>62</v>
      </c>
      <c r="O16887">
        <v>250618</v>
      </c>
      <c r="P16887">
        <v>149.74</v>
      </c>
    </row>
    <row r="16888" spans="1:16" x14ac:dyDescent="0.25">
      <c r="A16888" t="s">
        <v>3296</v>
      </c>
      <c r="B16888" t="s">
        <v>2931</v>
      </c>
      <c r="C16888">
        <v>8889</v>
      </c>
      <c r="D16888" t="str">
        <f>"1069546     "</f>
        <v xml:space="preserve">1069546     </v>
      </c>
      <c r="E16888" t="s">
        <v>1511</v>
      </c>
      <c r="F16888" t="s">
        <v>1512</v>
      </c>
      <c r="G16888">
        <v>59.01</v>
      </c>
      <c r="H16888">
        <v>250610</v>
      </c>
      <c r="I16888">
        <v>4369</v>
      </c>
      <c r="J16888" t="s">
        <v>188</v>
      </c>
      <c r="K16888">
        <v>835.2</v>
      </c>
      <c r="L16888">
        <v>11.99</v>
      </c>
      <c r="M16888">
        <v>13540</v>
      </c>
      <c r="N16888" t="s">
        <v>131</v>
      </c>
      <c r="O16888">
        <v>250618</v>
      </c>
      <c r="P16888">
        <v>47.02</v>
      </c>
    </row>
    <row r="16889" spans="1:16" x14ac:dyDescent="0.25">
      <c r="A16889" t="s">
        <v>3296</v>
      </c>
      <c r="B16889" t="s">
        <v>2931</v>
      </c>
      <c r="C16889">
        <v>8889</v>
      </c>
      <c r="D16889" t="str">
        <f>"1069546     "</f>
        <v xml:space="preserve">1069546     </v>
      </c>
      <c r="E16889" t="s">
        <v>1511</v>
      </c>
      <c r="F16889" t="s">
        <v>1512</v>
      </c>
      <c r="G16889">
        <v>776.19</v>
      </c>
      <c r="H16889">
        <v>250610</v>
      </c>
      <c r="I16889">
        <v>4369</v>
      </c>
      <c r="J16889" t="s">
        <v>188</v>
      </c>
      <c r="K16889">
        <v>835.2</v>
      </c>
      <c r="L16889">
        <v>157.71</v>
      </c>
      <c r="M16889">
        <v>17950</v>
      </c>
      <c r="N16889" t="s">
        <v>132</v>
      </c>
      <c r="O16889">
        <v>250618</v>
      </c>
      <c r="P16889">
        <v>618.48</v>
      </c>
    </row>
    <row r="16890" spans="1:16" x14ac:dyDescent="0.25">
      <c r="A16890" t="s">
        <v>3296</v>
      </c>
      <c r="B16890" t="s">
        <v>2931</v>
      </c>
      <c r="C16890">
        <v>8890</v>
      </c>
      <c r="D16890" t="str">
        <f>"1069551     "</f>
        <v xml:space="preserve">1069551     </v>
      </c>
      <c r="E16890" t="s">
        <v>1511</v>
      </c>
      <c r="F16890" t="s">
        <v>1512</v>
      </c>
      <c r="G16890">
        <v>62.64</v>
      </c>
      <c r="H16890">
        <v>250610</v>
      </c>
      <c r="I16890">
        <v>4369</v>
      </c>
      <c r="J16890" t="s">
        <v>188</v>
      </c>
      <c r="K16890">
        <v>187.92</v>
      </c>
      <c r="L16890">
        <v>12.73</v>
      </c>
      <c r="M16890">
        <v>11401</v>
      </c>
      <c r="N16890" t="s">
        <v>91</v>
      </c>
      <c r="O16890">
        <v>250618</v>
      </c>
      <c r="P16890">
        <v>49.91</v>
      </c>
    </row>
    <row r="16891" spans="1:16" x14ac:dyDescent="0.25">
      <c r="A16891" t="s">
        <v>3296</v>
      </c>
      <c r="B16891" t="s">
        <v>2931</v>
      </c>
      <c r="C16891">
        <v>8890</v>
      </c>
      <c r="D16891" t="str">
        <f>"1069551     "</f>
        <v xml:space="preserve">1069551     </v>
      </c>
      <c r="E16891" t="s">
        <v>1511</v>
      </c>
      <c r="F16891" t="s">
        <v>1512</v>
      </c>
      <c r="G16891">
        <v>125.28</v>
      </c>
      <c r="H16891">
        <v>250610</v>
      </c>
      <c r="I16891">
        <v>4369</v>
      </c>
      <c r="J16891" t="s">
        <v>188</v>
      </c>
      <c r="K16891">
        <v>187.92</v>
      </c>
      <c r="L16891">
        <v>25.46</v>
      </c>
      <c r="M16891">
        <v>14952</v>
      </c>
      <c r="N16891" t="s">
        <v>213</v>
      </c>
      <c r="O16891">
        <v>250618</v>
      </c>
      <c r="P16891">
        <v>99.82</v>
      </c>
    </row>
    <row r="16892" spans="1:16" x14ac:dyDescent="0.25">
      <c r="A16892" t="s">
        <v>3296</v>
      </c>
      <c r="B16892" t="s">
        <v>2931</v>
      </c>
      <c r="C16892">
        <v>12217</v>
      </c>
      <c r="D16892" t="str">
        <f>"1075988     "</f>
        <v xml:space="preserve">1075988     </v>
      </c>
      <c r="E16892" t="s">
        <v>1511</v>
      </c>
      <c r="F16892" t="s">
        <v>1512</v>
      </c>
      <c r="G16892">
        <v>167.04</v>
      </c>
      <c r="H16892">
        <v>250911</v>
      </c>
      <c r="I16892">
        <v>4369</v>
      </c>
      <c r="J16892" t="s">
        <v>188</v>
      </c>
      <c r="K16892">
        <v>167.04</v>
      </c>
      <c r="L16892">
        <v>33.94</v>
      </c>
      <c r="M16892">
        <v>59505</v>
      </c>
      <c r="N16892" t="s">
        <v>194</v>
      </c>
      <c r="O16892">
        <v>250917</v>
      </c>
      <c r="P16892">
        <v>133.1</v>
      </c>
    </row>
    <row r="16893" spans="1:16" x14ac:dyDescent="0.25">
      <c r="A16893" t="s">
        <v>3296</v>
      </c>
      <c r="B16893" t="s">
        <v>2931</v>
      </c>
      <c r="C16893">
        <v>12219</v>
      </c>
      <c r="D16893" t="str">
        <f>"1075987     "</f>
        <v xml:space="preserve">1075987     </v>
      </c>
      <c r="E16893" t="s">
        <v>1511</v>
      </c>
      <c r="F16893" t="s">
        <v>1512</v>
      </c>
      <c r="G16893">
        <v>187.92</v>
      </c>
      <c r="H16893">
        <v>250911</v>
      </c>
      <c r="I16893">
        <v>4369</v>
      </c>
      <c r="J16893" t="s">
        <v>188</v>
      </c>
      <c r="K16893">
        <v>187.92</v>
      </c>
      <c r="L16893">
        <v>38.18</v>
      </c>
      <c r="M16893">
        <v>59501</v>
      </c>
      <c r="N16893" t="s">
        <v>62</v>
      </c>
      <c r="O16893">
        <v>250917</v>
      </c>
      <c r="P16893">
        <v>149.74</v>
      </c>
    </row>
    <row r="16894" spans="1:16" x14ac:dyDescent="0.25">
      <c r="A16894" t="s">
        <v>3296</v>
      </c>
      <c r="B16894" t="s">
        <v>2931</v>
      </c>
      <c r="C16894">
        <v>12612</v>
      </c>
      <c r="D16894" t="str">
        <f>"1075990     "</f>
        <v xml:space="preserve">1075990     </v>
      </c>
      <c r="E16894" t="s">
        <v>1511</v>
      </c>
      <c r="F16894" t="s">
        <v>1512</v>
      </c>
      <c r="G16894">
        <v>1002.29</v>
      </c>
      <c r="H16894">
        <v>250911</v>
      </c>
      <c r="I16894">
        <v>4369</v>
      </c>
      <c r="J16894" t="s">
        <v>188</v>
      </c>
      <c r="K16894">
        <v>1002.29</v>
      </c>
      <c r="L16894">
        <v>203.65</v>
      </c>
      <c r="M16894">
        <v>69501</v>
      </c>
      <c r="N16894" t="s">
        <v>123</v>
      </c>
      <c r="O16894">
        <v>250926</v>
      </c>
      <c r="P16894">
        <v>798.64</v>
      </c>
    </row>
    <row r="16895" spans="1:16" x14ac:dyDescent="0.25">
      <c r="A16895" t="s">
        <v>3296</v>
      </c>
      <c r="B16895" t="s">
        <v>2931</v>
      </c>
      <c r="C16895">
        <v>12629</v>
      </c>
      <c r="D16895" t="str">
        <f>"1075991     "</f>
        <v xml:space="preserve">1075991     </v>
      </c>
      <c r="E16895" t="s">
        <v>1511</v>
      </c>
      <c r="F16895" t="s">
        <v>1512</v>
      </c>
      <c r="G16895">
        <v>56.38</v>
      </c>
      <c r="H16895">
        <v>250911</v>
      </c>
      <c r="I16895">
        <v>4369</v>
      </c>
      <c r="J16895" t="s">
        <v>188</v>
      </c>
      <c r="K16895">
        <v>187.92</v>
      </c>
      <c r="L16895">
        <v>11.46</v>
      </c>
      <c r="M16895">
        <v>11401</v>
      </c>
      <c r="N16895" t="s">
        <v>91</v>
      </c>
      <c r="O16895">
        <v>250929</v>
      </c>
      <c r="P16895">
        <v>44.92</v>
      </c>
    </row>
    <row r="16896" spans="1:16" x14ac:dyDescent="0.25">
      <c r="A16896" t="s">
        <v>3296</v>
      </c>
      <c r="B16896" t="s">
        <v>2931</v>
      </c>
      <c r="C16896">
        <v>12629</v>
      </c>
      <c r="D16896" t="str">
        <f>"1075991     "</f>
        <v xml:space="preserve">1075991     </v>
      </c>
      <c r="E16896" t="s">
        <v>1511</v>
      </c>
      <c r="F16896" t="s">
        <v>1512</v>
      </c>
      <c r="G16896">
        <v>131.54</v>
      </c>
      <c r="H16896">
        <v>250911</v>
      </c>
      <c r="I16896">
        <v>4369</v>
      </c>
      <c r="J16896" t="s">
        <v>188</v>
      </c>
      <c r="K16896">
        <v>187.92</v>
      </c>
      <c r="L16896">
        <v>26.73</v>
      </c>
      <c r="M16896">
        <v>14952</v>
      </c>
      <c r="N16896" t="s">
        <v>213</v>
      </c>
      <c r="O16896">
        <v>250929</v>
      </c>
      <c r="P16896">
        <v>104.81</v>
      </c>
    </row>
    <row r="16897" spans="1:16" x14ac:dyDescent="0.25">
      <c r="A16897" t="s">
        <v>3296</v>
      </c>
      <c r="B16897" t="s">
        <v>2931</v>
      </c>
      <c r="C16897">
        <v>17790</v>
      </c>
      <c r="D16897" t="str">
        <f>"1084684     "</f>
        <v xml:space="preserve">1084684     </v>
      </c>
      <c r="E16897" t="s">
        <v>1511</v>
      </c>
      <c r="F16897" t="s">
        <v>1512</v>
      </c>
      <c r="G16897">
        <v>345.23</v>
      </c>
      <c r="H16897">
        <v>251222</v>
      </c>
      <c r="I16897">
        <v>4369</v>
      </c>
      <c r="J16897" t="s">
        <v>188</v>
      </c>
      <c r="K16897">
        <v>1002.29</v>
      </c>
      <c r="L16897">
        <v>70.150000000000006</v>
      </c>
      <c r="M16897">
        <v>69501</v>
      </c>
      <c r="N16897" t="s">
        <v>123</v>
      </c>
      <c r="O16897">
        <v>251230</v>
      </c>
      <c r="P16897">
        <v>275.08</v>
      </c>
    </row>
    <row r="16898" spans="1:16" x14ac:dyDescent="0.25">
      <c r="A16898" t="s">
        <v>3296</v>
      </c>
      <c r="B16898" t="s">
        <v>2931</v>
      </c>
      <c r="C16898">
        <v>17968</v>
      </c>
      <c r="D16898" t="str">
        <f>"1084685     "</f>
        <v xml:space="preserve">1084685     </v>
      </c>
      <c r="E16898" t="s">
        <v>1511</v>
      </c>
      <c r="F16898" t="s">
        <v>1512</v>
      </c>
      <c r="G16898">
        <v>18.78</v>
      </c>
      <c r="H16898">
        <v>251222</v>
      </c>
      <c r="I16898">
        <v>4369</v>
      </c>
      <c r="J16898" t="s">
        <v>188</v>
      </c>
      <c r="K16898">
        <v>187.92</v>
      </c>
      <c r="L16898">
        <v>3.82</v>
      </c>
      <c r="M16898">
        <v>11401</v>
      </c>
      <c r="N16898" t="s">
        <v>91</v>
      </c>
      <c r="O16898">
        <v>260107</v>
      </c>
      <c r="P16898">
        <v>14.96</v>
      </c>
    </row>
    <row r="16899" spans="1:16" x14ac:dyDescent="0.25">
      <c r="A16899" t="s">
        <v>3296</v>
      </c>
      <c r="B16899" t="s">
        <v>2931</v>
      </c>
      <c r="C16899">
        <v>17968</v>
      </c>
      <c r="D16899" t="str">
        <f>"1084685     "</f>
        <v xml:space="preserve">1084685     </v>
      </c>
      <c r="E16899" t="s">
        <v>1511</v>
      </c>
      <c r="F16899" t="s">
        <v>1512</v>
      </c>
      <c r="G16899">
        <v>43.84</v>
      </c>
      <c r="H16899">
        <v>251222</v>
      </c>
      <c r="I16899">
        <v>4369</v>
      </c>
      <c r="J16899" t="s">
        <v>188</v>
      </c>
      <c r="K16899">
        <v>187.92</v>
      </c>
      <c r="L16899">
        <v>8.91</v>
      </c>
      <c r="M16899">
        <v>14952</v>
      </c>
      <c r="N16899" t="s">
        <v>213</v>
      </c>
      <c r="O16899">
        <v>260107</v>
      </c>
      <c r="P16899">
        <v>34.93</v>
      </c>
    </row>
    <row r="16900" spans="1:16" x14ac:dyDescent="0.25">
      <c r="A16900" t="s">
        <v>3296</v>
      </c>
      <c r="B16900" t="s">
        <v>2931</v>
      </c>
      <c r="C16900">
        <v>18243</v>
      </c>
      <c r="D16900" t="str">
        <f>"1084682     "</f>
        <v xml:space="preserve">1084682     </v>
      </c>
      <c r="E16900" t="s">
        <v>1511</v>
      </c>
      <c r="F16900" t="s">
        <v>1512</v>
      </c>
      <c r="G16900">
        <v>55.68</v>
      </c>
      <c r="H16900">
        <v>251222</v>
      </c>
      <c r="I16900">
        <v>4369</v>
      </c>
      <c r="J16900" t="s">
        <v>188</v>
      </c>
      <c r="K16900">
        <v>167.04</v>
      </c>
      <c r="L16900">
        <v>11.31</v>
      </c>
      <c r="M16900">
        <v>59505</v>
      </c>
      <c r="N16900" t="s">
        <v>194</v>
      </c>
      <c r="O16900">
        <v>260112</v>
      </c>
      <c r="P16900">
        <v>44.37</v>
      </c>
    </row>
    <row r="16901" spans="1:16" x14ac:dyDescent="0.25">
      <c r="A16901" t="s">
        <v>3296</v>
      </c>
      <c r="B16901" t="s">
        <v>2931</v>
      </c>
      <c r="C16901">
        <v>18244</v>
      </c>
      <c r="D16901" t="str">
        <f>"1084681     "</f>
        <v xml:space="preserve">1084681     </v>
      </c>
      <c r="E16901" t="s">
        <v>1511</v>
      </c>
      <c r="F16901" t="s">
        <v>1512</v>
      </c>
      <c r="G16901">
        <v>62.64</v>
      </c>
      <c r="H16901">
        <v>251222</v>
      </c>
      <c r="I16901">
        <v>4369</v>
      </c>
      <c r="J16901" t="s">
        <v>188</v>
      </c>
      <c r="K16901">
        <v>187.92</v>
      </c>
      <c r="L16901">
        <v>12.73</v>
      </c>
      <c r="M16901">
        <v>59501</v>
      </c>
      <c r="N16901" t="s">
        <v>62</v>
      </c>
      <c r="O16901">
        <v>260112</v>
      </c>
      <c r="P16901">
        <v>49.91</v>
      </c>
    </row>
    <row r="16902" spans="1:16" x14ac:dyDescent="0.25">
      <c r="A16902" t="s">
        <v>3296</v>
      </c>
      <c r="B16902" t="s">
        <v>2931</v>
      </c>
      <c r="C16902">
        <v>4092</v>
      </c>
      <c r="D16902" t="str">
        <f>"1063895     "</f>
        <v xml:space="preserve">1063895     </v>
      </c>
      <c r="E16902" t="s">
        <v>1511</v>
      </c>
      <c r="F16902" t="s">
        <v>1512</v>
      </c>
      <c r="G16902">
        <v>366.05</v>
      </c>
      <c r="H16902">
        <v>250324</v>
      </c>
      <c r="I16902">
        <v>4390</v>
      </c>
      <c r="J16902" t="s">
        <v>232</v>
      </c>
      <c r="K16902">
        <v>366.05</v>
      </c>
      <c r="L16902">
        <v>0</v>
      </c>
      <c r="M16902">
        <v>59501</v>
      </c>
      <c r="N16902" t="s">
        <v>62</v>
      </c>
      <c r="O16902">
        <v>250407</v>
      </c>
      <c r="P16902">
        <v>366.05</v>
      </c>
    </row>
    <row r="16903" spans="1:16" x14ac:dyDescent="0.25">
      <c r="A16903" t="s">
        <v>3296</v>
      </c>
      <c r="B16903" t="s">
        <v>2931</v>
      </c>
      <c r="C16903">
        <v>11162</v>
      </c>
      <c r="D16903" t="str">
        <f>"1074988     "</f>
        <v xml:space="preserve">1074988     </v>
      </c>
      <c r="E16903" t="s">
        <v>1511</v>
      </c>
      <c r="F16903" t="s">
        <v>1512</v>
      </c>
      <c r="G16903">
        <v>121.04</v>
      </c>
      <c r="H16903">
        <v>250828</v>
      </c>
      <c r="I16903">
        <v>4390</v>
      </c>
      <c r="J16903" t="s">
        <v>232</v>
      </c>
      <c r="K16903">
        <v>1100.3499999999999</v>
      </c>
      <c r="L16903">
        <v>0</v>
      </c>
      <c r="M16903">
        <v>13540</v>
      </c>
      <c r="N16903" t="s">
        <v>131</v>
      </c>
      <c r="O16903">
        <v>250901</v>
      </c>
      <c r="P16903">
        <v>121.04</v>
      </c>
    </row>
    <row r="16904" spans="1:16" x14ac:dyDescent="0.25">
      <c r="A16904" t="s">
        <v>3296</v>
      </c>
      <c r="B16904" t="s">
        <v>2931</v>
      </c>
      <c r="C16904">
        <v>11162</v>
      </c>
      <c r="D16904" t="str">
        <f>"1074988     "</f>
        <v xml:space="preserve">1074988     </v>
      </c>
      <c r="E16904" t="s">
        <v>1511</v>
      </c>
      <c r="F16904" t="s">
        <v>1512</v>
      </c>
      <c r="G16904">
        <v>979.31</v>
      </c>
      <c r="H16904">
        <v>250828</v>
      </c>
      <c r="I16904">
        <v>4390</v>
      </c>
      <c r="J16904" t="s">
        <v>232</v>
      </c>
      <c r="K16904">
        <v>1100.3499999999999</v>
      </c>
      <c r="L16904">
        <v>0</v>
      </c>
      <c r="M16904">
        <v>17950</v>
      </c>
      <c r="N16904" t="s">
        <v>132</v>
      </c>
      <c r="O16904">
        <v>250901</v>
      </c>
      <c r="P16904">
        <v>979.31</v>
      </c>
    </row>
    <row r="16905" spans="1:16" x14ac:dyDescent="0.25">
      <c r="A16905" t="s">
        <v>3296</v>
      </c>
      <c r="B16905" t="s">
        <v>2931</v>
      </c>
      <c r="C16905">
        <v>12609</v>
      </c>
      <c r="D16905" t="str">
        <f>"1075986     "</f>
        <v xml:space="preserve">1075986     </v>
      </c>
      <c r="E16905" t="s">
        <v>1511</v>
      </c>
      <c r="F16905" t="s">
        <v>1512</v>
      </c>
      <c r="G16905">
        <v>29.28</v>
      </c>
      <c r="H16905">
        <v>250911</v>
      </c>
      <c r="I16905">
        <v>4390</v>
      </c>
      <c r="J16905" t="s">
        <v>232</v>
      </c>
      <c r="K16905">
        <v>835.2</v>
      </c>
      <c r="L16905">
        <v>5.95</v>
      </c>
      <c r="M16905">
        <v>13540</v>
      </c>
      <c r="N16905" t="s">
        <v>131</v>
      </c>
      <c r="O16905">
        <v>250926</v>
      </c>
      <c r="P16905">
        <v>23.33</v>
      </c>
    </row>
    <row r="16906" spans="1:16" x14ac:dyDescent="0.25">
      <c r="A16906" t="s">
        <v>3296</v>
      </c>
      <c r="B16906" t="s">
        <v>2931</v>
      </c>
      <c r="C16906">
        <v>12609</v>
      </c>
      <c r="D16906" t="str">
        <f>"1075986     "</f>
        <v xml:space="preserve">1075986     </v>
      </c>
      <c r="E16906" t="s">
        <v>1511</v>
      </c>
      <c r="F16906" t="s">
        <v>1512</v>
      </c>
      <c r="G16906">
        <v>44.37</v>
      </c>
      <c r="H16906">
        <v>250911</v>
      </c>
      <c r="I16906">
        <v>4390</v>
      </c>
      <c r="J16906" t="s">
        <v>232</v>
      </c>
      <c r="K16906">
        <v>835.2</v>
      </c>
      <c r="L16906">
        <v>9.02</v>
      </c>
      <c r="M16906">
        <v>13540</v>
      </c>
      <c r="N16906" t="s">
        <v>131</v>
      </c>
      <c r="O16906">
        <v>250926</v>
      </c>
      <c r="P16906">
        <v>35.35</v>
      </c>
    </row>
    <row r="16907" spans="1:16" x14ac:dyDescent="0.25">
      <c r="A16907" t="s">
        <v>3296</v>
      </c>
      <c r="B16907" t="s">
        <v>2931</v>
      </c>
      <c r="C16907">
        <v>12609</v>
      </c>
      <c r="D16907" t="str">
        <f>"1075986     "</f>
        <v xml:space="preserve">1075986     </v>
      </c>
      <c r="E16907" t="s">
        <v>1511</v>
      </c>
      <c r="F16907" t="s">
        <v>1512</v>
      </c>
      <c r="G16907">
        <v>761.55</v>
      </c>
      <c r="H16907">
        <v>250911</v>
      </c>
      <c r="I16907">
        <v>4390</v>
      </c>
      <c r="J16907" t="s">
        <v>232</v>
      </c>
      <c r="K16907">
        <v>835.2</v>
      </c>
      <c r="L16907">
        <v>154.74</v>
      </c>
      <c r="M16907">
        <v>17950</v>
      </c>
      <c r="N16907" t="s">
        <v>132</v>
      </c>
      <c r="O16907">
        <v>250926</v>
      </c>
      <c r="P16907">
        <v>606.80999999999995</v>
      </c>
    </row>
    <row r="16908" spans="1:16" x14ac:dyDescent="0.25">
      <c r="A16908" t="s">
        <v>3296</v>
      </c>
      <c r="B16908" t="s">
        <v>2931</v>
      </c>
      <c r="C16908">
        <v>12611</v>
      </c>
      <c r="D16908" t="str">
        <f>"1076316     "</f>
        <v xml:space="preserve">1076316     </v>
      </c>
      <c r="E16908" t="s">
        <v>1511</v>
      </c>
      <c r="F16908" t="s">
        <v>1512</v>
      </c>
      <c r="G16908">
        <v>338.21</v>
      </c>
      <c r="H16908">
        <v>250911</v>
      </c>
      <c r="I16908">
        <v>4390</v>
      </c>
      <c r="J16908" t="s">
        <v>232</v>
      </c>
      <c r="K16908">
        <v>5529.02</v>
      </c>
      <c r="L16908">
        <v>68.72</v>
      </c>
      <c r="M16908">
        <v>13540</v>
      </c>
      <c r="N16908" t="s">
        <v>131</v>
      </c>
      <c r="O16908">
        <v>250926</v>
      </c>
      <c r="P16908">
        <v>269.49</v>
      </c>
    </row>
    <row r="16909" spans="1:16" x14ac:dyDescent="0.25">
      <c r="A16909" t="s">
        <v>3296</v>
      </c>
      <c r="B16909" t="s">
        <v>2931</v>
      </c>
      <c r="C16909">
        <v>12611</v>
      </c>
      <c r="D16909" t="str">
        <f>"1076316     "</f>
        <v xml:space="preserve">1076316     </v>
      </c>
      <c r="E16909" t="s">
        <v>1511</v>
      </c>
      <c r="F16909" t="s">
        <v>1512</v>
      </c>
      <c r="G16909">
        <v>5190.8100000000004</v>
      </c>
      <c r="H16909">
        <v>250911</v>
      </c>
      <c r="I16909">
        <v>4390</v>
      </c>
      <c r="J16909" t="s">
        <v>232</v>
      </c>
      <c r="K16909">
        <v>5529.02</v>
      </c>
      <c r="L16909">
        <v>1054.71</v>
      </c>
      <c r="M16909">
        <v>17950</v>
      </c>
      <c r="N16909" t="s">
        <v>132</v>
      </c>
      <c r="O16909">
        <v>250926</v>
      </c>
      <c r="P16909">
        <v>4136.1000000000004</v>
      </c>
    </row>
    <row r="16910" spans="1:16" x14ac:dyDescent="0.25">
      <c r="A16910" t="s">
        <v>3296</v>
      </c>
      <c r="B16910" t="s">
        <v>2931</v>
      </c>
      <c r="C16910">
        <v>12667</v>
      </c>
      <c r="D16910" t="str">
        <f>"1076916     "</f>
        <v xml:space="preserve">1076916     </v>
      </c>
      <c r="E16910" t="s">
        <v>1511</v>
      </c>
      <c r="F16910" t="s">
        <v>1512</v>
      </c>
      <c r="G16910">
        <v>4266.34</v>
      </c>
      <c r="H16910">
        <v>250919</v>
      </c>
      <c r="I16910">
        <v>4390</v>
      </c>
      <c r="J16910" t="s">
        <v>232</v>
      </c>
      <c r="K16910">
        <v>4266.34</v>
      </c>
      <c r="L16910">
        <v>0</v>
      </c>
      <c r="M16910">
        <v>59501</v>
      </c>
      <c r="N16910" t="s">
        <v>62</v>
      </c>
      <c r="O16910">
        <v>250929</v>
      </c>
      <c r="P16910">
        <v>4266.34</v>
      </c>
    </row>
    <row r="16911" spans="1:16" x14ac:dyDescent="0.25">
      <c r="A16911" t="s">
        <v>3296</v>
      </c>
      <c r="B16911" t="s">
        <v>2931</v>
      </c>
      <c r="C16911">
        <v>13271</v>
      </c>
      <c r="D16911" t="str">
        <f>"1077937     "</f>
        <v xml:space="preserve">1077937     </v>
      </c>
      <c r="E16911" t="s">
        <v>1511</v>
      </c>
      <c r="F16911" t="s">
        <v>1512</v>
      </c>
      <c r="G16911">
        <v>681.69</v>
      </c>
      <c r="H16911">
        <v>250930</v>
      </c>
      <c r="I16911">
        <v>4390</v>
      </c>
      <c r="J16911" t="s">
        <v>232</v>
      </c>
      <c r="K16911">
        <v>681.69</v>
      </c>
      <c r="L16911">
        <v>138.51</v>
      </c>
      <c r="M16911">
        <v>17950</v>
      </c>
      <c r="N16911" t="s">
        <v>132</v>
      </c>
      <c r="O16911">
        <v>251007</v>
      </c>
      <c r="P16911">
        <v>543.17999999999995</v>
      </c>
    </row>
    <row r="16912" spans="1:16" x14ac:dyDescent="0.25">
      <c r="A16912" t="s">
        <v>3296</v>
      </c>
      <c r="B16912" t="s">
        <v>2931</v>
      </c>
      <c r="C16912">
        <v>13275</v>
      </c>
      <c r="D16912" t="str">
        <f>"1077938     "</f>
        <v xml:space="preserve">1077938     </v>
      </c>
      <c r="E16912" t="s">
        <v>1511</v>
      </c>
      <c r="F16912" t="s">
        <v>1512</v>
      </c>
      <c r="G16912">
        <v>332.32</v>
      </c>
      <c r="H16912">
        <v>250930</v>
      </c>
      <c r="I16912">
        <v>4390</v>
      </c>
      <c r="J16912" t="s">
        <v>232</v>
      </c>
      <c r="K16912">
        <v>332.32</v>
      </c>
      <c r="L16912">
        <v>67.52</v>
      </c>
      <c r="M16912">
        <v>17950</v>
      </c>
      <c r="N16912" t="s">
        <v>132</v>
      </c>
      <c r="O16912">
        <v>251007</v>
      </c>
      <c r="P16912">
        <v>264.8</v>
      </c>
    </row>
    <row r="16913" spans="1:16" x14ac:dyDescent="0.25">
      <c r="A16913" t="s">
        <v>3296</v>
      </c>
      <c r="B16913" t="s">
        <v>2931</v>
      </c>
      <c r="C16913">
        <v>17948</v>
      </c>
      <c r="D16913" t="str">
        <f>"1085685     "</f>
        <v xml:space="preserve">1085685     </v>
      </c>
      <c r="E16913" t="s">
        <v>1511</v>
      </c>
      <c r="F16913" t="s">
        <v>1512</v>
      </c>
      <c r="G16913">
        <v>1192.25</v>
      </c>
      <c r="H16913">
        <v>251229</v>
      </c>
      <c r="I16913">
        <v>4390</v>
      </c>
      <c r="J16913" t="s">
        <v>232</v>
      </c>
      <c r="K16913">
        <v>1192.25</v>
      </c>
      <c r="L16913">
        <v>242.25</v>
      </c>
      <c r="M16913">
        <v>59501</v>
      </c>
      <c r="N16913" t="s">
        <v>62</v>
      </c>
      <c r="O16913">
        <v>260107</v>
      </c>
      <c r="P16913">
        <v>950</v>
      </c>
    </row>
    <row r="16914" spans="1:16" x14ac:dyDescent="0.25">
      <c r="A16914" t="s">
        <v>3296</v>
      </c>
      <c r="B16914" t="s">
        <v>2931</v>
      </c>
      <c r="C16914">
        <v>17999</v>
      </c>
      <c r="D16914" t="str">
        <f>"1085142     "</f>
        <v xml:space="preserve">1085142     </v>
      </c>
      <c r="E16914" t="s">
        <v>1511</v>
      </c>
      <c r="F16914" t="s">
        <v>1512</v>
      </c>
      <c r="G16914">
        <v>211.61</v>
      </c>
      <c r="H16914">
        <v>251222</v>
      </c>
      <c r="I16914">
        <v>4390</v>
      </c>
      <c r="J16914" t="s">
        <v>232</v>
      </c>
      <c r="K16914">
        <v>5529.02</v>
      </c>
      <c r="L16914">
        <v>43</v>
      </c>
      <c r="M16914">
        <v>13540</v>
      </c>
      <c r="N16914" t="s">
        <v>131</v>
      </c>
      <c r="O16914">
        <v>260108</v>
      </c>
      <c r="P16914">
        <v>168.61</v>
      </c>
    </row>
    <row r="16915" spans="1:16" x14ac:dyDescent="0.25">
      <c r="A16915" t="s">
        <v>3296</v>
      </c>
      <c r="B16915" t="s">
        <v>2931</v>
      </c>
      <c r="C16915">
        <v>17999</v>
      </c>
      <c r="D16915" t="str">
        <f>"1085142     "</f>
        <v xml:space="preserve">1085142     </v>
      </c>
      <c r="E16915" t="s">
        <v>1511</v>
      </c>
      <c r="F16915" t="s">
        <v>1512</v>
      </c>
      <c r="G16915">
        <v>1631.4</v>
      </c>
      <c r="H16915">
        <v>251222</v>
      </c>
      <c r="I16915">
        <v>4390</v>
      </c>
      <c r="J16915" t="s">
        <v>232</v>
      </c>
      <c r="K16915">
        <v>5529.02</v>
      </c>
      <c r="L16915">
        <v>331.48</v>
      </c>
      <c r="M16915">
        <v>17950</v>
      </c>
      <c r="N16915" t="s">
        <v>132</v>
      </c>
      <c r="O16915">
        <v>260108</v>
      </c>
      <c r="P16915">
        <v>1299.92</v>
      </c>
    </row>
    <row r="16916" spans="1:16" x14ac:dyDescent="0.25">
      <c r="A16916" t="s">
        <v>3296</v>
      </c>
      <c r="B16916" t="s">
        <v>2931</v>
      </c>
      <c r="C16916">
        <v>18000</v>
      </c>
      <c r="D16916" t="str">
        <f>"1084680     "</f>
        <v xml:space="preserve">1084680     </v>
      </c>
      <c r="E16916" t="s">
        <v>1511</v>
      </c>
      <c r="F16916" t="s">
        <v>1512</v>
      </c>
      <c r="G16916">
        <v>24.56</v>
      </c>
      <c r="H16916">
        <v>251222</v>
      </c>
      <c r="I16916">
        <v>4390</v>
      </c>
      <c r="J16916" t="s">
        <v>232</v>
      </c>
      <c r="K16916">
        <v>835.2</v>
      </c>
      <c r="L16916">
        <v>4.99</v>
      </c>
      <c r="M16916">
        <v>13540</v>
      </c>
      <c r="N16916" t="s">
        <v>131</v>
      </c>
      <c r="O16916">
        <v>260108</v>
      </c>
      <c r="P16916">
        <v>19.57</v>
      </c>
    </row>
    <row r="16917" spans="1:16" x14ac:dyDescent="0.25">
      <c r="A16917" t="s">
        <v>3296</v>
      </c>
      <c r="B16917" t="s">
        <v>2931</v>
      </c>
      <c r="C16917">
        <v>18000</v>
      </c>
      <c r="D16917" t="str">
        <f>"1084680     "</f>
        <v xml:space="preserve">1084680     </v>
      </c>
      <c r="E16917" t="s">
        <v>1511</v>
      </c>
      <c r="F16917" t="s">
        <v>1512</v>
      </c>
      <c r="G16917">
        <v>253.84</v>
      </c>
      <c r="H16917">
        <v>251222</v>
      </c>
      <c r="I16917">
        <v>4390</v>
      </c>
      <c r="J16917" t="s">
        <v>232</v>
      </c>
      <c r="K16917">
        <v>835.2</v>
      </c>
      <c r="L16917">
        <v>51.58</v>
      </c>
      <c r="M16917">
        <v>17950</v>
      </c>
      <c r="N16917" t="s">
        <v>132</v>
      </c>
      <c r="O16917">
        <v>260108</v>
      </c>
      <c r="P16917">
        <v>202.26</v>
      </c>
    </row>
    <row r="16918" spans="1:16" x14ac:dyDescent="0.25">
      <c r="A16918" t="s">
        <v>3296</v>
      </c>
      <c r="B16918" t="s">
        <v>2931</v>
      </c>
      <c r="C16918">
        <v>10037</v>
      </c>
      <c r="D16918" t="str">
        <f>"804409689   "</f>
        <v xml:space="preserve">804409689   </v>
      </c>
      <c r="E16918" t="s">
        <v>2826</v>
      </c>
      <c r="F16918" t="s">
        <v>2827</v>
      </c>
      <c r="G16918">
        <v>45</v>
      </c>
      <c r="H16918">
        <v>250804</v>
      </c>
      <c r="I16918">
        <v>4347</v>
      </c>
      <c r="J16918" t="s">
        <v>328</v>
      </c>
      <c r="K16918">
        <v>45</v>
      </c>
      <c r="L16918">
        <v>9.14</v>
      </c>
      <c r="M16918">
        <v>11900</v>
      </c>
      <c r="N16918" t="s">
        <v>30</v>
      </c>
      <c r="O16918">
        <v>250808</v>
      </c>
      <c r="P16918">
        <v>35.86</v>
      </c>
    </row>
    <row r="16919" spans="1:16" x14ac:dyDescent="0.25">
      <c r="A16919" t="s">
        <v>3296</v>
      </c>
      <c r="B16919" t="s">
        <v>2931</v>
      </c>
      <c r="C16919">
        <v>15354</v>
      </c>
      <c r="D16919" t="str">
        <f>"807713347   "</f>
        <v xml:space="preserve">807713347   </v>
      </c>
      <c r="E16919" t="s">
        <v>2826</v>
      </c>
      <c r="F16919" t="s">
        <v>2827</v>
      </c>
      <c r="G16919">
        <v>1</v>
      </c>
      <c r="H16919">
        <v>251031</v>
      </c>
      <c r="I16919">
        <v>4347</v>
      </c>
      <c r="J16919" t="s">
        <v>328</v>
      </c>
      <c r="K16919">
        <v>2900.28</v>
      </c>
      <c r="L16919">
        <v>0.2</v>
      </c>
      <c r="M16919">
        <v>11301</v>
      </c>
      <c r="N16919" t="s">
        <v>92</v>
      </c>
      <c r="O16919">
        <v>251119</v>
      </c>
      <c r="P16919">
        <v>0.8</v>
      </c>
    </row>
    <row r="16920" spans="1:16" x14ac:dyDescent="0.25">
      <c r="A16920" t="s">
        <v>3296</v>
      </c>
      <c r="B16920" t="s">
        <v>2931</v>
      </c>
      <c r="C16920">
        <v>15354</v>
      </c>
      <c r="D16920" t="str">
        <f>"807713347   "</f>
        <v xml:space="preserve">807713347   </v>
      </c>
      <c r="E16920" t="s">
        <v>2826</v>
      </c>
      <c r="F16920" t="s">
        <v>2827</v>
      </c>
      <c r="G16920">
        <v>149.94</v>
      </c>
      <c r="H16920">
        <v>251031</v>
      </c>
      <c r="I16920">
        <v>4347</v>
      </c>
      <c r="J16920" t="s">
        <v>328</v>
      </c>
      <c r="K16920">
        <v>2900.28</v>
      </c>
      <c r="L16920">
        <v>30.47</v>
      </c>
      <c r="M16920">
        <v>11301</v>
      </c>
      <c r="N16920" t="s">
        <v>92</v>
      </c>
      <c r="O16920">
        <v>251119</v>
      </c>
      <c r="P16920">
        <v>119.47</v>
      </c>
    </row>
    <row r="16921" spans="1:16" x14ac:dyDescent="0.25">
      <c r="A16921" t="s">
        <v>3296</v>
      </c>
      <c r="B16921" t="s">
        <v>2931</v>
      </c>
      <c r="C16921">
        <v>1729</v>
      </c>
      <c r="D16921" t="str">
        <f t="shared" ref="D16921:D16927" si="277">"801038132   "</f>
        <v xml:space="preserve">801038132   </v>
      </c>
      <c r="E16921" t="s">
        <v>2826</v>
      </c>
      <c r="F16921" t="s">
        <v>2827</v>
      </c>
      <c r="G16921">
        <v>10.039999999999999</v>
      </c>
      <c r="H16921">
        <v>250131</v>
      </c>
      <c r="I16921">
        <v>4350</v>
      </c>
      <c r="J16921" t="s">
        <v>290</v>
      </c>
      <c r="K16921">
        <v>5363.09</v>
      </c>
      <c r="L16921">
        <v>0</v>
      </c>
      <c r="M16921">
        <v>11301</v>
      </c>
      <c r="N16921" t="s">
        <v>92</v>
      </c>
      <c r="O16921">
        <v>250213</v>
      </c>
      <c r="P16921">
        <v>10.039999999999999</v>
      </c>
    </row>
    <row r="16922" spans="1:16" x14ac:dyDescent="0.25">
      <c r="A16922" t="s">
        <v>3296</v>
      </c>
      <c r="B16922" t="s">
        <v>2931</v>
      </c>
      <c r="C16922">
        <v>1729</v>
      </c>
      <c r="D16922" t="str">
        <f t="shared" si="277"/>
        <v xml:space="preserve">801038132   </v>
      </c>
      <c r="E16922" t="s">
        <v>2826</v>
      </c>
      <c r="F16922" t="s">
        <v>2827</v>
      </c>
      <c r="G16922">
        <v>35.25</v>
      </c>
      <c r="H16922">
        <v>250131</v>
      </c>
      <c r="I16922">
        <v>4350</v>
      </c>
      <c r="J16922" t="s">
        <v>290</v>
      </c>
      <c r="K16922">
        <v>5363.09</v>
      </c>
      <c r="L16922">
        <v>0</v>
      </c>
      <c r="M16922">
        <v>11301</v>
      </c>
      <c r="N16922" t="s">
        <v>92</v>
      </c>
      <c r="O16922">
        <v>250213</v>
      </c>
      <c r="P16922">
        <v>35.25</v>
      </c>
    </row>
    <row r="16923" spans="1:16" x14ac:dyDescent="0.25">
      <c r="A16923" t="s">
        <v>3296</v>
      </c>
      <c r="B16923" t="s">
        <v>2931</v>
      </c>
      <c r="C16923">
        <v>1729</v>
      </c>
      <c r="D16923" t="str">
        <f t="shared" si="277"/>
        <v xml:space="preserve">801038132   </v>
      </c>
      <c r="E16923" t="s">
        <v>2826</v>
      </c>
      <c r="F16923" t="s">
        <v>2827</v>
      </c>
      <c r="G16923">
        <v>218.24</v>
      </c>
      <c r="H16923">
        <v>250131</v>
      </c>
      <c r="I16923">
        <v>4350</v>
      </c>
      <c r="J16923" t="s">
        <v>290</v>
      </c>
      <c r="K16923">
        <v>5363.09</v>
      </c>
      <c r="L16923">
        <v>0</v>
      </c>
      <c r="M16923">
        <v>11301</v>
      </c>
      <c r="N16923" t="s">
        <v>92</v>
      </c>
      <c r="O16923">
        <v>250213</v>
      </c>
      <c r="P16923">
        <v>218.24</v>
      </c>
    </row>
    <row r="16924" spans="1:16" x14ac:dyDescent="0.25">
      <c r="A16924" t="s">
        <v>3296</v>
      </c>
      <c r="B16924" t="s">
        <v>2931</v>
      </c>
      <c r="C16924">
        <v>1729</v>
      </c>
      <c r="D16924" t="str">
        <f t="shared" si="277"/>
        <v xml:space="preserve">801038132   </v>
      </c>
      <c r="E16924" t="s">
        <v>2826</v>
      </c>
      <c r="F16924" t="s">
        <v>2827</v>
      </c>
      <c r="G16924">
        <v>800</v>
      </c>
      <c r="H16924">
        <v>250131</v>
      </c>
      <c r="I16924">
        <v>4350</v>
      </c>
      <c r="J16924" t="s">
        <v>290</v>
      </c>
      <c r="K16924">
        <v>5363.09</v>
      </c>
      <c r="L16924">
        <v>0</v>
      </c>
      <c r="M16924">
        <v>11301</v>
      </c>
      <c r="N16924" t="s">
        <v>92</v>
      </c>
      <c r="O16924">
        <v>250213</v>
      </c>
      <c r="P16924">
        <v>800</v>
      </c>
    </row>
    <row r="16925" spans="1:16" x14ac:dyDescent="0.25">
      <c r="A16925" t="s">
        <v>3296</v>
      </c>
      <c r="B16925" t="s">
        <v>2931</v>
      </c>
      <c r="C16925">
        <v>1729</v>
      </c>
      <c r="D16925" t="str">
        <f t="shared" si="277"/>
        <v xml:space="preserve">801038132   </v>
      </c>
      <c r="E16925" t="s">
        <v>2826</v>
      </c>
      <c r="F16925" t="s">
        <v>2827</v>
      </c>
      <c r="G16925">
        <v>59.52</v>
      </c>
      <c r="H16925">
        <v>250131</v>
      </c>
      <c r="I16925">
        <v>4350</v>
      </c>
      <c r="J16925" t="s">
        <v>290</v>
      </c>
      <c r="K16925">
        <v>5363.09</v>
      </c>
      <c r="L16925">
        <v>0</v>
      </c>
      <c r="M16925">
        <v>17131</v>
      </c>
      <c r="N16925" t="s">
        <v>154</v>
      </c>
      <c r="O16925">
        <v>250213</v>
      </c>
      <c r="P16925">
        <v>59.52</v>
      </c>
    </row>
    <row r="16926" spans="1:16" x14ac:dyDescent="0.25">
      <c r="A16926" t="s">
        <v>3296</v>
      </c>
      <c r="B16926" t="s">
        <v>2931</v>
      </c>
      <c r="C16926">
        <v>1729</v>
      </c>
      <c r="D16926" t="str">
        <f t="shared" si="277"/>
        <v xml:space="preserve">801038132   </v>
      </c>
      <c r="E16926" t="s">
        <v>2826</v>
      </c>
      <c r="F16926" t="s">
        <v>2827</v>
      </c>
      <c r="G16926">
        <v>441.04</v>
      </c>
      <c r="H16926">
        <v>250131</v>
      </c>
      <c r="I16926">
        <v>4350</v>
      </c>
      <c r="J16926" t="s">
        <v>290</v>
      </c>
      <c r="K16926">
        <v>5363.09</v>
      </c>
      <c r="L16926">
        <v>0</v>
      </c>
      <c r="M16926">
        <v>17538</v>
      </c>
      <c r="N16926" t="s">
        <v>129</v>
      </c>
      <c r="O16926">
        <v>250213</v>
      </c>
      <c r="P16926">
        <v>441.04</v>
      </c>
    </row>
    <row r="16927" spans="1:16" x14ac:dyDescent="0.25">
      <c r="A16927" t="s">
        <v>3296</v>
      </c>
      <c r="B16927" t="s">
        <v>2931</v>
      </c>
      <c r="C16927">
        <v>1729</v>
      </c>
      <c r="D16927" t="str">
        <f t="shared" si="277"/>
        <v xml:space="preserve">801038132   </v>
      </c>
      <c r="E16927" t="s">
        <v>2826</v>
      </c>
      <c r="F16927" t="s">
        <v>2827</v>
      </c>
      <c r="G16927">
        <v>201.14</v>
      </c>
      <c r="H16927">
        <v>250131</v>
      </c>
      <c r="I16927">
        <v>4350</v>
      </c>
      <c r="J16927" t="s">
        <v>290</v>
      </c>
      <c r="K16927">
        <v>5363.09</v>
      </c>
      <c r="L16927">
        <v>0</v>
      </c>
      <c r="M16927">
        <v>18972</v>
      </c>
      <c r="N16927" t="s">
        <v>39</v>
      </c>
      <c r="O16927">
        <v>250213</v>
      </c>
      <c r="P16927">
        <v>201.14</v>
      </c>
    </row>
    <row r="16928" spans="1:16" x14ac:dyDescent="0.25">
      <c r="A16928" t="s">
        <v>3296</v>
      </c>
      <c r="B16928" t="s">
        <v>2931</v>
      </c>
      <c r="C16928">
        <v>2831</v>
      </c>
      <c r="D16928" t="str">
        <f t="shared" ref="D16928:D16939" si="278">"801515277   "</f>
        <v xml:space="preserve">801515277   </v>
      </c>
      <c r="E16928" t="s">
        <v>2826</v>
      </c>
      <c r="F16928" t="s">
        <v>2827</v>
      </c>
      <c r="G16928">
        <v>5.9</v>
      </c>
      <c r="H16928">
        <v>250228</v>
      </c>
      <c r="I16928">
        <v>4350</v>
      </c>
      <c r="J16928" t="s">
        <v>290</v>
      </c>
      <c r="K16928">
        <v>5347.01</v>
      </c>
      <c r="L16928">
        <v>1.2</v>
      </c>
      <c r="M16928">
        <v>11301</v>
      </c>
      <c r="N16928" t="s">
        <v>92</v>
      </c>
      <c r="O16928">
        <v>250312</v>
      </c>
      <c r="P16928">
        <v>4.7</v>
      </c>
    </row>
    <row r="16929" spans="1:16" x14ac:dyDescent="0.25">
      <c r="A16929" t="s">
        <v>3296</v>
      </c>
      <c r="B16929" t="s">
        <v>2931</v>
      </c>
      <c r="C16929">
        <v>2831</v>
      </c>
      <c r="D16929" t="str">
        <f t="shared" si="278"/>
        <v xml:space="preserve">801515277   </v>
      </c>
      <c r="E16929" t="s">
        <v>2826</v>
      </c>
      <c r="F16929" t="s">
        <v>2827</v>
      </c>
      <c r="G16929">
        <v>9.93</v>
      </c>
      <c r="H16929">
        <v>250228</v>
      </c>
      <c r="I16929">
        <v>4350</v>
      </c>
      <c r="J16929" t="s">
        <v>290</v>
      </c>
      <c r="K16929">
        <v>5347.01</v>
      </c>
      <c r="L16929">
        <v>0</v>
      </c>
      <c r="M16929">
        <v>11301</v>
      </c>
      <c r="N16929" t="s">
        <v>92</v>
      </c>
      <c r="O16929">
        <v>250312</v>
      </c>
      <c r="P16929">
        <v>9.93</v>
      </c>
    </row>
    <row r="16930" spans="1:16" x14ac:dyDescent="0.25">
      <c r="A16930" t="s">
        <v>3296</v>
      </c>
      <c r="B16930" t="s">
        <v>2931</v>
      </c>
      <c r="C16930">
        <v>2831</v>
      </c>
      <c r="D16930" t="str">
        <f t="shared" si="278"/>
        <v xml:space="preserve">801515277   </v>
      </c>
      <c r="E16930" t="s">
        <v>2826</v>
      </c>
      <c r="F16930" t="s">
        <v>2827</v>
      </c>
      <c r="G16930">
        <v>325.39</v>
      </c>
      <c r="H16930">
        <v>250228</v>
      </c>
      <c r="I16930">
        <v>4350</v>
      </c>
      <c r="J16930" t="s">
        <v>290</v>
      </c>
      <c r="K16930">
        <v>5347.01</v>
      </c>
      <c r="L16930">
        <v>0</v>
      </c>
      <c r="M16930">
        <v>11301</v>
      </c>
      <c r="N16930" t="s">
        <v>92</v>
      </c>
      <c r="O16930">
        <v>250312</v>
      </c>
      <c r="P16930">
        <v>325.39</v>
      </c>
    </row>
    <row r="16931" spans="1:16" x14ac:dyDescent="0.25">
      <c r="A16931" t="s">
        <v>3296</v>
      </c>
      <c r="B16931" t="s">
        <v>2931</v>
      </c>
      <c r="C16931">
        <v>2831</v>
      </c>
      <c r="D16931" t="str">
        <f t="shared" si="278"/>
        <v xml:space="preserve">801515277   </v>
      </c>
      <c r="E16931" t="s">
        <v>2826</v>
      </c>
      <c r="F16931" t="s">
        <v>2827</v>
      </c>
      <c r="G16931">
        <v>390.73</v>
      </c>
      <c r="H16931">
        <v>250228</v>
      </c>
      <c r="I16931">
        <v>4350</v>
      </c>
      <c r="J16931" t="s">
        <v>290</v>
      </c>
      <c r="K16931">
        <v>5347.01</v>
      </c>
      <c r="L16931">
        <v>0</v>
      </c>
      <c r="M16931">
        <v>11301</v>
      </c>
      <c r="N16931" t="s">
        <v>92</v>
      </c>
      <c r="O16931">
        <v>250312</v>
      </c>
      <c r="P16931">
        <v>390.73</v>
      </c>
    </row>
    <row r="16932" spans="1:16" x14ac:dyDescent="0.25">
      <c r="A16932" t="s">
        <v>3296</v>
      </c>
      <c r="B16932" t="s">
        <v>2931</v>
      </c>
      <c r="C16932">
        <v>2831</v>
      </c>
      <c r="D16932" t="str">
        <f t="shared" si="278"/>
        <v xml:space="preserve">801515277   </v>
      </c>
      <c r="E16932" t="s">
        <v>2826</v>
      </c>
      <c r="F16932" t="s">
        <v>2827</v>
      </c>
      <c r="G16932">
        <v>440.61</v>
      </c>
      <c r="H16932">
        <v>250228</v>
      </c>
      <c r="I16932">
        <v>4350</v>
      </c>
      <c r="J16932" t="s">
        <v>290</v>
      </c>
      <c r="K16932">
        <v>5347.01</v>
      </c>
      <c r="L16932">
        <v>0</v>
      </c>
      <c r="M16932">
        <v>11301</v>
      </c>
      <c r="N16932" t="s">
        <v>92</v>
      </c>
      <c r="O16932">
        <v>250312</v>
      </c>
      <c r="P16932">
        <v>440.61</v>
      </c>
    </row>
    <row r="16933" spans="1:16" x14ac:dyDescent="0.25">
      <c r="A16933" t="s">
        <v>3296</v>
      </c>
      <c r="B16933" t="s">
        <v>2931</v>
      </c>
      <c r="C16933">
        <v>2831</v>
      </c>
      <c r="D16933" t="str">
        <f t="shared" si="278"/>
        <v xml:space="preserve">801515277   </v>
      </c>
      <c r="E16933" t="s">
        <v>2826</v>
      </c>
      <c r="F16933" t="s">
        <v>2827</v>
      </c>
      <c r="G16933">
        <v>2000</v>
      </c>
      <c r="H16933">
        <v>250228</v>
      </c>
      <c r="I16933">
        <v>4350</v>
      </c>
      <c r="J16933" t="s">
        <v>290</v>
      </c>
      <c r="K16933">
        <v>5347.01</v>
      </c>
      <c r="L16933">
        <v>0</v>
      </c>
      <c r="M16933">
        <v>11301</v>
      </c>
      <c r="N16933" t="s">
        <v>92</v>
      </c>
      <c r="O16933">
        <v>250312</v>
      </c>
      <c r="P16933">
        <v>2000</v>
      </c>
    </row>
    <row r="16934" spans="1:16" x14ac:dyDescent="0.25">
      <c r="A16934" t="s">
        <v>3296</v>
      </c>
      <c r="B16934" t="s">
        <v>2931</v>
      </c>
      <c r="C16934">
        <v>2831</v>
      </c>
      <c r="D16934" t="str">
        <f t="shared" si="278"/>
        <v xml:space="preserve">801515277   </v>
      </c>
      <c r="E16934" t="s">
        <v>2826</v>
      </c>
      <c r="F16934" t="s">
        <v>2827</v>
      </c>
      <c r="G16934">
        <v>3.19</v>
      </c>
      <c r="H16934">
        <v>250228</v>
      </c>
      <c r="I16934">
        <v>4350</v>
      </c>
      <c r="J16934" t="s">
        <v>290</v>
      </c>
      <c r="K16934">
        <v>5347.01</v>
      </c>
      <c r="L16934">
        <v>0</v>
      </c>
      <c r="M16934">
        <v>11903</v>
      </c>
      <c r="N16934" t="s">
        <v>32</v>
      </c>
      <c r="O16934">
        <v>250312</v>
      </c>
      <c r="P16934">
        <v>3.19</v>
      </c>
    </row>
    <row r="16935" spans="1:16" x14ac:dyDescent="0.25">
      <c r="A16935" t="s">
        <v>3296</v>
      </c>
      <c r="B16935" t="s">
        <v>2931</v>
      </c>
      <c r="C16935">
        <v>2831</v>
      </c>
      <c r="D16935" t="str">
        <f t="shared" si="278"/>
        <v xml:space="preserve">801515277   </v>
      </c>
      <c r="E16935" t="s">
        <v>2826</v>
      </c>
      <c r="F16935" t="s">
        <v>2827</v>
      </c>
      <c r="G16935">
        <v>199.94</v>
      </c>
      <c r="H16935">
        <v>250228</v>
      </c>
      <c r="I16935">
        <v>4350</v>
      </c>
      <c r="J16935" t="s">
        <v>290</v>
      </c>
      <c r="K16935">
        <v>5347.01</v>
      </c>
      <c r="L16935">
        <v>0</v>
      </c>
      <c r="M16935">
        <v>17131</v>
      </c>
      <c r="N16935" t="s">
        <v>154</v>
      </c>
      <c r="O16935">
        <v>250312</v>
      </c>
      <c r="P16935">
        <v>199.94</v>
      </c>
    </row>
    <row r="16936" spans="1:16" x14ac:dyDescent="0.25">
      <c r="A16936" t="s">
        <v>3296</v>
      </c>
      <c r="B16936" t="s">
        <v>2931</v>
      </c>
      <c r="C16936">
        <v>2831</v>
      </c>
      <c r="D16936" t="str">
        <f t="shared" si="278"/>
        <v xml:space="preserve">801515277   </v>
      </c>
      <c r="E16936" t="s">
        <v>2826</v>
      </c>
      <c r="F16936" t="s">
        <v>2827</v>
      </c>
      <c r="G16936">
        <v>166.9</v>
      </c>
      <c r="H16936">
        <v>250228</v>
      </c>
      <c r="I16936">
        <v>4350</v>
      </c>
      <c r="J16936" t="s">
        <v>290</v>
      </c>
      <c r="K16936">
        <v>5347.01</v>
      </c>
      <c r="L16936">
        <v>0</v>
      </c>
      <c r="M16936">
        <v>17538</v>
      </c>
      <c r="N16936" t="s">
        <v>129</v>
      </c>
      <c r="O16936">
        <v>250312</v>
      </c>
      <c r="P16936">
        <v>166.9</v>
      </c>
    </row>
    <row r="16937" spans="1:16" x14ac:dyDescent="0.25">
      <c r="A16937" t="s">
        <v>3296</v>
      </c>
      <c r="B16937" t="s">
        <v>2931</v>
      </c>
      <c r="C16937">
        <v>2831</v>
      </c>
      <c r="D16937" t="str">
        <f t="shared" si="278"/>
        <v xml:space="preserve">801515277   </v>
      </c>
      <c r="E16937" t="s">
        <v>2826</v>
      </c>
      <c r="F16937" t="s">
        <v>2827</v>
      </c>
      <c r="G16937">
        <v>417.04</v>
      </c>
      <c r="H16937">
        <v>250228</v>
      </c>
      <c r="I16937">
        <v>4350</v>
      </c>
      <c r="J16937" t="s">
        <v>290</v>
      </c>
      <c r="K16937">
        <v>5347.01</v>
      </c>
      <c r="L16937">
        <v>0</v>
      </c>
      <c r="M16937">
        <v>17538</v>
      </c>
      <c r="N16937" t="s">
        <v>129</v>
      </c>
      <c r="O16937">
        <v>250312</v>
      </c>
      <c r="P16937">
        <v>417.04</v>
      </c>
    </row>
    <row r="16938" spans="1:16" x14ac:dyDescent="0.25">
      <c r="A16938" t="s">
        <v>3296</v>
      </c>
      <c r="B16938" t="s">
        <v>2931</v>
      </c>
      <c r="C16938">
        <v>2831</v>
      </c>
      <c r="D16938" t="str">
        <f t="shared" si="278"/>
        <v xml:space="preserve">801515277   </v>
      </c>
      <c r="E16938" t="s">
        <v>2826</v>
      </c>
      <c r="F16938" t="s">
        <v>2827</v>
      </c>
      <c r="G16938">
        <v>5.72</v>
      </c>
      <c r="H16938">
        <v>250228</v>
      </c>
      <c r="I16938">
        <v>4350</v>
      </c>
      <c r="J16938" t="s">
        <v>290</v>
      </c>
      <c r="K16938">
        <v>5347.01</v>
      </c>
      <c r="L16938">
        <v>0</v>
      </c>
      <c r="M16938">
        <v>18993</v>
      </c>
      <c r="N16938" t="s">
        <v>540</v>
      </c>
      <c r="O16938">
        <v>250312</v>
      </c>
      <c r="P16938">
        <v>5.72</v>
      </c>
    </row>
    <row r="16939" spans="1:16" x14ac:dyDescent="0.25">
      <c r="A16939" t="s">
        <v>3296</v>
      </c>
      <c r="B16939" t="s">
        <v>2931</v>
      </c>
      <c r="C16939">
        <v>2831</v>
      </c>
      <c r="D16939" t="str">
        <f t="shared" si="278"/>
        <v xml:space="preserve">801515277   </v>
      </c>
      <c r="E16939" t="s">
        <v>2826</v>
      </c>
      <c r="F16939" t="s">
        <v>2827</v>
      </c>
      <c r="G16939">
        <v>500</v>
      </c>
      <c r="H16939">
        <v>250228</v>
      </c>
      <c r="I16939">
        <v>4350</v>
      </c>
      <c r="J16939" t="s">
        <v>290</v>
      </c>
      <c r="K16939">
        <v>5347.01</v>
      </c>
      <c r="L16939">
        <v>0</v>
      </c>
      <c r="M16939">
        <v>18993</v>
      </c>
      <c r="N16939" t="s">
        <v>540</v>
      </c>
      <c r="O16939">
        <v>250312</v>
      </c>
      <c r="P16939">
        <v>500</v>
      </c>
    </row>
    <row r="16940" spans="1:16" x14ac:dyDescent="0.25">
      <c r="A16940" t="s">
        <v>3296</v>
      </c>
      <c r="B16940" t="s">
        <v>2931</v>
      </c>
      <c r="C16940">
        <v>4585</v>
      </c>
      <c r="D16940" t="str">
        <f t="shared" ref="D16940:D16949" si="279">"802023936   "</f>
        <v xml:space="preserve">802023936   </v>
      </c>
      <c r="E16940" t="s">
        <v>2826</v>
      </c>
      <c r="F16940" t="s">
        <v>2827</v>
      </c>
      <c r="G16940">
        <v>118.8</v>
      </c>
      <c r="H16940">
        <v>250331</v>
      </c>
      <c r="I16940">
        <v>4350</v>
      </c>
      <c r="J16940" t="s">
        <v>290</v>
      </c>
      <c r="K16940">
        <v>4890.43</v>
      </c>
      <c r="L16940">
        <v>24.14</v>
      </c>
      <c r="M16940">
        <v>11301</v>
      </c>
      <c r="N16940" t="s">
        <v>92</v>
      </c>
      <c r="O16940">
        <v>250414</v>
      </c>
      <c r="P16940">
        <v>94.66</v>
      </c>
    </row>
    <row r="16941" spans="1:16" x14ac:dyDescent="0.25">
      <c r="A16941" t="s">
        <v>3296</v>
      </c>
      <c r="B16941" t="s">
        <v>2931</v>
      </c>
      <c r="C16941">
        <v>4585</v>
      </c>
      <c r="D16941" t="str">
        <f t="shared" si="279"/>
        <v xml:space="preserve">802023936   </v>
      </c>
      <c r="E16941" t="s">
        <v>2826</v>
      </c>
      <c r="F16941" t="s">
        <v>2827</v>
      </c>
      <c r="G16941">
        <v>221.65</v>
      </c>
      <c r="H16941">
        <v>250331</v>
      </c>
      <c r="I16941">
        <v>4350</v>
      </c>
      <c r="J16941" t="s">
        <v>290</v>
      </c>
      <c r="K16941">
        <v>4890.43</v>
      </c>
      <c r="L16941">
        <v>0</v>
      </c>
      <c r="M16941">
        <v>11301</v>
      </c>
      <c r="N16941" t="s">
        <v>92</v>
      </c>
      <c r="O16941">
        <v>250414</v>
      </c>
      <c r="P16941">
        <v>221.65</v>
      </c>
    </row>
    <row r="16942" spans="1:16" x14ac:dyDescent="0.25">
      <c r="A16942" t="s">
        <v>3296</v>
      </c>
      <c r="B16942" t="s">
        <v>2931</v>
      </c>
      <c r="C16942">
        <v>4585</v>
      </c>
      <c r="D16942" t="str">
        <f t="shared" si="279"/>
        <v xml:space="preserve">802023936   </v>
      </c>
      <c r="E16942" t="s">
        <v>2826</v>
      </c>
      <c r="F16942" t="s">
        <v>2827</v>
      </c>
      <c r="G16942">
        <v>508.4</v>
      </c>
      <c r="H16942">
        <v>250331</v>
      </c>
      <c r="I16942">
        <v>4350</v>
      </c>
      <c r="J16942" t="s">
        <v>290</v>
      </c>
      <c r="K16942">
        <v>4890.43</v>
      </c>
      <c r="L16942">
        <v>0</v>
      </c>
      <c r="M16942">
        <v>11301</v>
      </c>
      <c r="N16942" t="s">
        <v>92</v>
      </c>
      <c r="O16942">
        <v>250414</v>
      </c>
      <c r="P16942">
        <v>508.4</v>
      </c>
    </row>
    <row r="16943" spans="1:16" x14ac:dyDescent="0.25">
      <c r="A16943" t="s">
        <v>3296</v>
      </c>
      <c r="B16943" t="s">
        <v>2931</v>
      </c>
      <c r="C16943">
        <v>4585</v>
      </c>
      <c r="D16943" t="str">
        <f t="shared" si="279"/>
        <v xml:space="preserve">802023936   </v>
      </c>
      <c r="E16943" t="s">
        <v>2826</v>
      </c>
      <c r="F16943" t="s">
        <v>2827</v>
      </c>
      <c r="G16943">
        <v>1615.73</v>
      </c>
      <c r="H16943">
        <v>250331</v>
      </c>
      <c r="I16943">
        <v>4350</v>
      </c>
      <c r="J16943" t="s">
        <v>290</v>
      </c>
      <c r="K16943">
        <v>4890.43</v>
      </c>
      <c r="L16943">
        <v>0</v>
      </c>
      <c r="M16943">
        <v>11301</v>
      </c>
      <c r="N16943" t="s">
        <v>92</v>
      </c>
      <c r="O16943">
        <v>250414</v>
      </c>
      <c r="P16943">
        <v>1615.73</v>
      </c>
    </row>
    <row r="16944" spans="1:16" x14ac:dyDescent="0.25">
      <c r="A16944" t="s">
        <v>3296</v>
      </c>
      <c r="B16944" t="s">
        <v>2931</v>
      </c>
      <c r="C16944">
        <v>4585</v>
      </c>
      <c r="D16944" t="str">
        <f t="shared" si="279"/>
        <v xml:space="preserve">802023936   </v>
      </c>
      <c r="E16944" t="s">
        <v>2826</v>
      </c>
      <c r="F16944" t="s">
        <v>2827</v>
      </c>
      <c r="G16944">
        <v>326.70999999999998</v>
      </c>
      <c r="H16944">
        <v>250331</v>
      </c>
      <c r="I16944">
        <v>4350</v>
      </c>
      <c r="J16944" t="s">
        <v>290</v>
      </c>
      <c r="K16944">
        <v>4890.43</v>
      </c>
      <c r="L16944">
        <v>0</v>
      </c>
      <c r="M16944">
        <v>11903</v>
      </c>
      <c r="N16944" t="s">
        <v>32</v>
      </c>
      <c r="O16944">
        <v>250414</v>
      </c>
      <c r="P16944">
        <v>326.70999999999998</v>
      </c>
    </row>
    <row r="16945" spans="1:16" x14ac:dyDescent="0.25">
      <c r="A16945" t="s">
        <v>3296</v>
      </c>
      <c r="B16945" t="s">
        <v>2931</v>
      </c>
      <c r="C16945">
        <v>4585</v>
      </c>
      <c r="D16945" t="str">
        <f t="shared" si="279"/>
        <v xml:space="preserve">802023936   </v>
      </c>
      <c r="E16945" t="s">
        <v>2826</v>
      </c>
      <c r="F16945" t="s">
        <v>2827</v>
      </c>
      <c r="G16945">
        <v>268.94</v>
      </c>
      <c r="H16945">
        <v>250331</v>
      </c>
      <c r="I16945">
        <v>4350</v>
      </c>
      <c r="J16945" t="s">
        <v>290</v>
      </c>
      <c r="K16945">
        <v>4890.43</v>
      </c>
      <c r="L16945">
        <v>0</v>
      </c>
      <c r="M16945">
        <v>17131</v>
      </c>
      <c r="N16945" t="s">
        <v>154</v>
      </c>
      <c r="O16945">
        <v>250414</v>
      </c>
      <c r="P16945">
        <v>268.94</v>
      </c>
    </row>
    <row r="16946" spans="1:16" x14ac:dyDescent="0.25">
      <c r="A16946" t="s">
        <v>3296</v>
      </c>
      <c r="B16946" t="s">
        <v>2931</v>
      </c>
      <c r="C16946">
        <v>4585</v>
      </c>
      <c r="D16946" t="str">
        <f t="shared" si="279"/>
        <v xml:space="preserve">802023936   </v>
      </c>
      <c r="E16946" t="s">
        <v>2826</v>
      </c>
      <c r="F16946" t="s">
        <v>2827</v>
      </c>
      <c r="G16946">
        <v>222.68</v>
      </c>
      <c r="H16946">
        <v>250331</v>
      </c>
      <c r="I16946">
        <v>4350</v>
      </c>
      <c r="J16946" t="s">
        <v>290</v>
      </c>
      <c r="K16946">
        <v>4890.43</v>
      </c>
      <c r="L16946">
        <v>0</v>
      </c>
      <c r="M16946">
        <v>17538</v>
      </c>
      <c r="N16946" t="s">
        <v>129</v>
      </c>
      <c r="O16946">
        <v>250414</v>
      </c>
      <c r="P16946">
        <v>222.68</v>
      </c>
    </row>
    <row r="16947" spans="1:16" x14ac:dyDescent="0.25">
      <c r="A16947" t="s">
        <v>3296</v>
      </c>
      <c r="B16947" t="s">
        <v>2931</v>
      </c>
      <c r="C16947">
        <v>4585</v>
      </c>
      <c r="D16947" t="str">
        <f t="shared" si="279"/>
        <v xml:space="preserve">802023936   </v>
      </c>
      <c r="E16947" t="s">
        <v>2826</v>
      </c>
      <c r="F16947" t="s">
        <v>2827</v>
      </c>
      <c r="G16947">
        <v>347.25</v>
      </c>
      <c r="H16947">
        <v>250331</v>
      </c>
      <c r="I16947">
        <v>4350</v>
      </c>
      <c r="J16947" t="s">
        <v>290</v>
      </c>
      <c r="K16947">
        <v>4890.43</v>
      </c>
      <c r="L16947">
        <v>0</v>
      </c>
      <c r="M16947">
        <v>17538</v>
      </c>
      <c r="N16947" t="s">
        <v>129</v>
      </c>
      <c r="O16947">
        <v>250414</v>
      </c>
      <c r="P16947">
        <v>347.25</v>
      </c>
    </row>
    <row r="16948" spans="1:16" x14ac:dyDescent="0.25">
      <c r="A16948" t="s">
        <v>3296</v>
      </c>
      <c r="B16948" t="s">
        <v>2931</v>
      </c>
      <c r="C16948">
        <v>4585</v>
      </c>
      <c r="D16948" t="str">
        <f t="shared" si="279"/>
        <v xml:space="preserve">802023936   </v>
      </c>
      <c r="E16948" t="s">
        <v>2826</v>
      </c>
      <c r="F16948" t="s">
        <v>2827</v>
      </c>
      <c r="G16948">
        <v>214.7</v>
      </c>
      <c r="H16948">
        <v>250331</v>
      </c>
      <c r="I16948">
        <v>4350</v>
      </c>
      <c r="J16948" t="s">
        <v>290</v>
      </c>
      <c r="K16948">
        <v>4890.43</v>
      </c>
      <c r="L16948">
        <v>0</v>
      </c>
      <c r="M16948">
        <v>18993</v>
      </c>
      <c r="N16948" t="s">
        <v>540</v>
      </c>
      <c r="O16948">
        <v>250414</v>
      </c>
      <c r="P16948">
        <v>214.7</v>
      </c>
    </row>
    <row r="16949" spans="1:16" x14ac:dyDescent="0.25">
      <c r="A16949" t="s">
        <v>3296</v>
      </c>
      <c r="B16949" t="s">
        <v>2931</v>
      </c>
      <c r="C16949">
        <v>4585</v>
      </c>
      <c r="D16949" t="str">
        <f t="shared" si="279"/>
        <v xml:space="preserve">802023936   </v>
      </c>
      <c r="E16949" t="s">
        <v>2826</v>
      </c>
      <c r="F16949" t="s">
        <v>2827</v>
      </c>
      <c r="G16949">
        <v>401.54</v>
      </c>
      <c r="H16949">
        <v>250331</v>
      </c>
      <c r="I16949">
        <v>4350</v>
      </c>
      <c r="J16949" t="s">
        <v>290</v>
      </c>
      <c r="K16949">
        <v>4890.43</v>
      </c>
      <c r="L16949">
        <v>0</v>
      </c>
      <c r="M16949">
        <v>18993</v>
      </c>
      <c r="N16949" t="s">
        <v>540</v>
      </c>
      <c r="O16949">
        <v>250414</v>
      </c>
      <c r="P16949">
        <v>401.54</v>
      </c>
    </row>
    <row r="16950" spans="1:16" x14ac:dyDescent="0.25">
      <c r="A16950" t="s">
        <v>3296</v>
      </c>
      <c r="B16950" t="s">
        <v>2931</v>
      </c>
      <c r="C16950">
        <v>6476</v>
      </c>
      <c r="D16950" t="str">
        <f t="shared" ref="D16950:D16958" si="280">"802504705   "</f>
        <v xml:space="preserve">802504705   </v>
      </c>
      <c r="E16950" t="s">
        <v>2826</v>
      </c>
      <c r="F16950" t="s">
        <v>2827</v>
      </c>
      <c r="G16950">
        <v>31.24</v>
      </c>
      <c r="H16950">
        <v>250430</v>
      </c>
      <c r="I16950">
        <v>4350</v>
      </c>
      <c r="J16950" t="s">
        <v>290</v>
      </c>
      <c r="K16950">
        <v>4204.8999999999996</v>
      </c>
      <c r="L16950">
        <v>0</v>
      </c>
      <c r="M16950">
        <v>11301</v>
      </c>
      <c r="N16950" t="s">
        <v>92</v>
      </c>
      <c r="O16950">
        <v>250513</v>
      </c>
      <c r="P16950">
        <v>31.24</v>
      </c>
    </row>
    <row r="16951" spans="1:16" x14ac:dyDescent="0.25">
      <c r="A16951" t="s">
        <v>3296</v>
      </c>
      <c r="B16951" t="s">
        <v>2931</v>
      </c>
      <c r="C16951">
        <v>6476</v>
      </c>
      <c r="D16951" t="str">
        <f t="shared" si="280"/>
        <v xml:space="preserve">802504705   </v>
      </c>
      <c r="E16951" t="s">
        <v>2826</v>
      </c>
      <c r="F16951" t="s">
        <v>2827</v>
      </c>
      <c r="G16951">
        <v>475.59</v>
      </c>
      <c r="H16951">
        <v>250430</v>
      </c>
      <c r="I16951">
        <v>4350</v>
      </c>
      <c r="J16951" t="s">
        <v>290</v>
      </c>
      <c r="K16951">
        <v>4204.8999999999996</v>
      </c>
      <c r="L16951">
        <v>0</v>
      </c>
      <c r="M16951">
        <v>11301</v>
      </c>
      <c r="N16951" t="s">
        <v>92</v>
      </c>
      <c r="O16951">
        <v>250513</v>
      </c>
      <c r="P16951">
        <v>475.59</v>
      </c>
    </row>
    <row r="16952" spans="1:16" x14ac:dyDescent="0.25">
      <c r="A16952" t="s">
        <v>3296</v>
      </c>
      <c r="B16952" t="s">
        <v>2931</v>
      </c>
      <c r="C16952">
        <v>6476</v>
      </c>
      <c r="D16952" t="str">
        <f t="shared" si="280"/>
        <v xml:space="preserve">802504705   </v>
      </c>
      <c r="E16952" t="s">
        <v>2826</v>
      </c>
      <c r="F16952" t="s">
        <v>2827</v>
      </c>
      <c r="G16952">
        <v>1061.03</v>
      </c>
      <c r="H16952">
        <v>250430</v>
      </c>
      <c r="I16952">
        <v>4350</v>
      </c>
      <c r="J16952" t="s">
        <v>290</v>
      </c>
      <c r="K16952">
        <v>4204.8999999999996</v>
      </c>
      <c r="L16952">
        <v>0</v>
      </c>
      <c r="M16952">
        <v>11301</v>
      </c>
      <c r="N16952" t="s">
        <v>92</v>
      </c>
      <c r="O16952">
        <v>250513</v>
      </c>
      <c r="P16952">
        <v>1061.03</v>
      </c>
    </row>
    <row r="16953" spans="1:16" x14ac:dyDescent="0.25">
      <c r="A16953" t="s">
        <v>3296</v>
      </c>
      <c r="B16953" t="s">
        <v>2931</v>
      </c>
      <c r="C16953">
        <v>6476</v>
      </c>
      <c r="D16953" t="str">
        <f t="shared" si="280"/>
        <v xml:space="preserve">802504705   </v>
      </c>
      <c r="E16953" t="s">
        <v>2826</v>
      </c>
      <c r="F16953" t="s">
        <v>2827</v>
      </c>
      <c r="G16953">
        <v>142.41</v>
      </c>
      <c r="H16953">
        <v>250430</v>
      </c>
      <c r="I16953">
        <v>4350</v>
      </c>
      <c r="J16953" t="s">
        <v>290</v>
      </c>
      <c r="K16953">
        <v>4204.8999999999996</v>
      </c>
      <c r="L16953">
        <v>0</v>
      </c>
      <c r="M16953">
        <v>11903</v>
      </c>
      <c r="N16953" t="s">
        <v>32</v>
      </c>
      <c r="O16953">
        <v>250513</v>
      </c>
      <c r="P16953">
        <v>142.41</v>
      </c>
    </row>
    <row r="16954" spans="1:16" x14ac:dyDescent="0.25">
      <c r="A16954" t="s">
        <v>3296</v>
      </c>
      <c r="B16954" t="s">
        <v>2931</v>
      </c>
      <c r="C16954">
        <v>6476</v>
      </c>
      <c r="D16954" t="str">
        <f t="shared" si="280"/>
        <v xml:space="preserve">802504705   </v>
      </c>
      <c r="E16954" t="s">
        <v>2826</v>
      </c>
      <c r="F16954" t="s">
        <v>2827</v>
      </c>
      <c r="G16954">
        <v>572.09</v>
      </c>
      <c r="H16954">
        <v>250430</v>
      </c>
      <c r="I16954">
        <v>4350</v>
      </c>
      <c r="J16954" t="s">
        <v>290</v>
      </c>
      <c r="K16954">
        <v>4204.8999999999996</v>
      </c>
      <c r="L16954">
        <v>0</v>
      </c>
      <c r="M16954">
        <v>14972</v>
      </c>
      <c r="N16954" t="s">
        <v>82</v>
      </c>
      <c r="O16954">
        <v>250513</v>
      </c>
      <c r="P16954">
        <v>572.09</v>
      </c>
    </row>
    <row r="16955" spans="1:16" x14ac:dyDescent="0.25">
      <c r="A16955" t="s">
        <v>3296</v>
      </c>
      <c r="B16955" t="s">
        <v>2931</v>
      </c>
      <c r="C16955">
        <v>6476</v>
      </c>
      <c r="D16955" t="str">
        <f t="shared" si="280"/>
        <v xml:space="preserve">802504705   </v>
      </c>
      <c r="E16955" t="s">
        <v>2826</v>
      </c>
      <c r="F16955" t="s">
        <v>2827</v>
      </c>
      <c r="G16955">
        <v>230.15</v>
      </c>
      <c r="H16955">
        <v>250430</v>
      </c>
      <c r="I16955">
        <v>4350</v>
      </c>
      <c r="J16955" t="s">
        <v>290</v>
      </c>
      <c r="K16955">
        <v>4204.8999999999996</v>
      </c>
      <c r="L16955">
        <v>0</v>
      </c>
      <c r="M16955">
        <v>17538</v>
      </c>
      <c r="N16955" t="s">
        <v>129</v>
      </c>
      <c r="O16955">
        <v>250513</v>
      </c>
      <c r="P16955">
        <v>230.15</v>
      </c>
    </row>
    <row r="16956" spans="1:16" x14ac:dyDescent="0.25">
      <c r="A16956" t="s">
        <v>3296</v>
      </c>
      <c r="B16956" t="s">
        <v>2931</v>
      </c>
      <c r="C16956">
        <v>6476</v>
      </c>
      <c r="D16956" t="str">
        <f t="shared" si="280"/>
        <v xml:space="preserve">802504705   </v>
      </c>
      <c r="E16956" t="s">
        <v>2826</v>
      </c>
      <c r="F16956" t="s">
        <v>2827</v>
      </c>
      <c r="G16956">
        <v>378.36</v>
      </c>
      <c r="H16956">
        <v>250430</v>
      </c>
      <c r="I16956">
        <v>4350</v>
      </c>
      <c r="J16956" t="s">
        <v>290</v>
      </c>
      <c r="K16956">
        <v>4204.8999999999996</v>
      </c>
      <c r="L16956">
        <v>0</v>
      </c>
      <c r="M16956">
        <v>17538</v>
      </c>
      <c r="N16956" t="s">
        <v>129</v>
      </c>
      <c r="O16956">
        <v>250513</v>
      </c>
      <c r="P16956">
        <v>378.36</v>
      </c>
    </row>
    <row r="16957" spans="1:16" x14ac:dyDescent="0.25">
      <c r="A16957" t="s">
        <v>3296</v>
      </c>
      <c r="B16957" t="s">
        <v>2931</v>
      </c>
      <c r="C16957">
        <v>6476</v>
      </c>
      <c r="D16957" t="str">
        <f t="shared" si="280"/>
        <v xml:space="preserve">802504705   </v>
      </c>
      <c r="E16957" t="s">
        <v>2826</v>
      </c>
      <c r="F16957" t="s">
        <v>2827</v>
      </c>
      <c r="G16957">
        <v>225.2</v>
      </c>
      <c r="H16957">
        <v>250430</v>
      </c>
      <c r="I16957">
        <v>4350</v>
      </c>
      <c r="J16957" t="s">
        <v>290</v>
      </c>
      <c r="K16957">
        <v>4204.8999999999996</v>
      </c>
      <c r="L16957">
        <v>0</v>
      </c>
      <c r="M16957">
        <v>18993</v>
      </c>
      <c r="N16957" t="s">
        <v>540</v>
      </c>
      <c r="O16957">
        <v>250513</v>
      </c>
      <c r="P16957">
        <v>225.2</v>
      </c>
    </row>
    <row r="16958" spans="1:16" x14ac:dyDescent="0.25">
      <c r="A16958" t="s">
        <v>3296</v>
      </c>
      <c r="B16958" t="s">
        <v>2931</v>
      </c>
      <c r="C16958">
        <v>6476</v>
      </c>
      <c r="D16958" t="str">
        <f t="shared" si="280"/>
        <v xml:space="preserve">802504705   </v>
      </c>
      <c r="E16958" t="s">
        <v>2826</v>
      </c>
      <c r="F16958" t="s">
        <v>2827</v>
      </c>
      <c r="G16958">
        <v>301.51</v>
      </c>
      <c r="H16958">
        <v>250430</v>
      </c>
      <c r="I16958">
        <v>4350</v>
      </c>
      <c r="J16958" t="s">
        <v>290</v>
      </c>
      <c r="K16958">
        <v>4204.8999999999996</v>
      </c>
      <c r="L16958">
        <v>0</v>
      </c>
      <c r="M16958">
        <v>18993</v>
      </c>
      <c r="N16958" t="s">
        <v>540</v>
      </c>
      <c r="O16958">
        <v>250513</v>
      </c>
      <c r="P16958">
        <v>301.51</v>
      </c>
    </row>
    <row r="16959" spans="1:16" x14ac:dyDescent="0.25">
      <c r="A16959" t="s">
        <v>3296</v>
      </c>
      <c r="B16959" t="s">
        <v>2931</v>
      </c>
      <c r="C16959">
        <v>7981</v>
      </c>
      <c r="D16959" t="str">
        <f t="shared" ref="D16959:D16967" si="281">"802999275   "</f>
        <v xml:space="preserve">802999275   </v>
      </c>
      <c r="E16959" t="s">
        <v>2826</v>
      </c>
      <c r="F16959" t="s">
        <v>2827</v>
      </c>
      <c r="G16959">
        <v>1084.74</v>
      </c>
      <c r="H16959">
        <v>250531</v>
      </c>
      <c r="I16959">
        <v>4350</v>
      </c>
      <c r="J16959" t="s">
        <v>290</v>
      </c>
      <c r="K16959">
        <v>4650.75</v>
      </c>
      <c r="L16959">
        <v>0</v>
      </c>
      <c r="M16959">
        <v>11301</v>
      </c>
      <c r="N16959" t="s">
        <v>92</v>
      </c>
      <c r="O16959">
        <v>250610</v>
      </c>
      <c r="P16959">
        <v>1084.74</v>
      </c>
    </row>
    <row r="16960" spans="1:16" x14ac:dyDescent="0.25">
      <c r="A16960" t="s">
        <v>3296</v>
      </c>
      <c r="B16960" t="s">
        <v>2931</v>
      </c>
      <c r="C16960">
        <v>7981</v>
      </c>
      <c r="D16960" t="str">
        <f t="shared" si="281"/>
        <v xml:space="preserve">802999275   </v>
      </c>
      <c r="E16960" t="s">
        <v>2826</v>
      </c>
      <c r="F16960" t="s">
        <v>2827</v>
      </c>
      <c r="G16960">
        <v>1447.44</v>
      </c>
      <c r="H16960">
        <v>250531</v>
      </c>
      <c r="I16960">
        <v>4350</v>
      </c>
      <c r="J16960" t="s">
        <v>290</v>
      </c>
      <c r="K16960">
        <v>4650.75</v>
      </c>
      <c r="L16960">
        <v>0</v>
      </c>
      <c r="M16960">
        <v>11301</v>
      </c>
      <c r="N16960" t="s">
        <v>92</v>
      </c>
      <c r="O16960">
        <v>250610</v>
      </c>
      <c r="P16960">
        <v>1447.44</v>
      </c>
    </row>
    <row r="16961" spans="1:16" x14ac:dyDescent="0.25">
      <c r="A16961" t="s">
        <v>3296</v>
      </c>
      <c r="B16961" t="s">
        <v>2931</v>
      </c>
      <c r="C16961">
        <v>7981</v>
      </c>
      <c r="D16961" t="str">
        <f t="shared" si="281"/>
        <v xml:space="preserve">802999275   </v>
      </c>
      <c r="E16961" t="s">
        <v>2826</v>
      </c>
      <c r="F16961" t="s">
        <v>2827</v>
      </c>
      <c r="G16961">
        <v>57.55</v>
      </c>
      <c r="H16961">
        <v>250531</v>
      </c>
      <c r="I16961">
        <v>4350</v>
      </c>
      <c r="J16961" t="s">
        <v>290</v>
      </c>
      <c r="K16961">
        <v>4650.75</v>
      </c>
      <c r="L16961">
        <v>0</v>
      </c>
      <c r="M16961">
        <v>11903</v>
      </c>
      <c r="N16961" t="s">
        <v>32</v>
      </c>
      <c r="O16961">
        <v>250610</v>
      </c>
      <c r="P16961">
        <v>57.55</v>
      </c>
    </row>
    <row r="16962" spans="1:16" x14ac:dyDescent="0.25">
      <c r="A16962" t="s">
        <v>3296</v>
      </c>
      <c r="B16962" t="s">
        <v>2931</v>
      </c>
      <c r="C16962">
        <v>7981</v>
      </c>
      <c r="D16962" t="str">
        <f t="shared" si="281"/>
        <v xml:space="preserve">802999275   </v>
      </c>
      <c r="E16962" t="s">
        <v>2826</v>
      </c>
      <c r="F16962" t="s">
        <v>2827</v>
      </c>
      <c r="G16962">
        <v>431.91</v>
      </c>
      <c r="H16962">
        <v>250531</v>
      </c>
      <c r="I16962">
        <v>4350</v>
      </c>
      <c r="J16962" t="s">
        <v>290</v>
      </c>
      <c r="K16962">
        <v>4650.75</v>
      </c>
      <c r="L16962">
        <v>0</v>
      </c>
      <c r="M16962">
        <v>14972</v>
      </c>
      <c r="N16962" t="s">
        <v>82</v>
      </c>
      <c r="O16962">
        <v>250610</v>
      </c>
      <c r="P16962">
        <v>431.91</v>
      </c>
    </row>
    <row r="16963" spans="1:16" x14ac:dyDescent="0.25">
      <c r="A16963" t="s">
        <v>3296</v>
      </c>
      <c r="B16963" t="s">
        <v>2931</v>
      </c>
      <c r="C16963">
        <v>7981</v>
      </c>
      <c r="D16963" t="str">
        <f t="shared" si="281"/>
        <v xml:space="preserve">802999275   </v>
      </c>
      <c r="E16963" t="s">
        <v>2826</v>
      </c>
      <c r="F16963" t="s">
        <v>2827</v>
      </c>
      <c r="G16963">
        <v>259.60000000000002</v>
      </c>
      <c r="H16963">
        <v>250531</v>
      </c>
      <c r="I16963">
        <v>4350</v>
      </c>
      <c r="J16963" t="s">
        <v>290</v>
      </c>
      <c r="K16963">
        <v>4650.75</v>
      </c>
      <c r="L16963">
        <v>0</v>
      </c>
      <c r="M16963">
        <v>17538</v>
      </c>
      <c r="N16963" t="s">
        <v>129</v>
      </c>
      <c r="O16963">
        <v>250610</v>
      </c>
      <c r="P16963">
        <v>259.60000000000002</v>
      </c>
    </row>
    <row r="16964" spans="1:16" x14ac:dyDescent="0.25">
      <c r="A16964" t="s">
        <v>3296</v>
      </c>
      <c r="B16964" t="s">
        <v>2931</v>
      </c>
      <c r="C16964">
        <v>7981</v>
      </c>
      <c r="D16964" t="str">
        <f t="shared" si="281"/>
        <v xml:space="preserve">802999275   </v>
      </c>
      <c r="E16964" t="s">
        <v>2826</v>
      </c>
      <c r="F16964" t="s">
        <v>2827</v>
      </c>
      <c r="G16964">
        <v>337.97</v>
      </c>
      <c r="H16964">
        <v>250531</v>
      </c>
      <c r="I16964">
        <v>4350</v>
      </c>
      <c r="J16964" t="s">
        <v>290</v>
      </c>
      <c r="K16964">
        <v>4650.75</v>
      </c>
      <c r="L16964">
        <v>0</v>
      </c>
      <c r="M16964">
        <v>17538</v>
      </c>
      <c r="N16964" t="s">
        <v>129</v>
      </c>
      <c r="O16964">
        <v>250610</v>
      </c>
      <c r="P16964">
        <v>337.97</v>
      </c>
    </row>
    <row r="16965" spans="1:16" x14ac:dyDescent="0.25">
      <c r="A16965" t="s">
        <v>3296</v>
      </c>
      <c r="B16965" t="s">
        <v>2931</v>
      </c>
      <c r="C16965">
        <v>7981</v>
      </c>
      <c r="D16965" t="str">
        <f t="shared" si="281"/>
        <v xml:space="preserve">802999275   </v>
      </c>
      <c r="E16965" t="s">
        <v>2826</v>
      </c>
      <c r="F16965" t="s">
        <v>2827</v>
      </c>
      <c r="G16965">
        <v>251.82</v>
      </c>
      <c r="H16965">
        <v>250531</v>
      </c>
      <c r="I16965">
        <v>4350</v>
      </c>
      <c r="J16965" t="s">
        <v>290</v>
      </c>
      <c r="K16965">
        <v>4650.75</v>
      </c>
      <c r="L16965">
        <v>0</v>
      </c>
      <c r="M16965">
        <v>18993</v>
      </c>
      <c r="N16965" t="s">
        <v>540</v>
      </c>
      <c r="O16965">
        <v>250610</v>
      </c>
      <c r="P16965">
        <v>251.82</v>
      </c>
    </row>
    <row r="16966" spans="1:16" x14ac:dyDescent="0.25">
      <c r="A16966" t="s">
        <v>3296</v>
      </c>
      <c r="B16966" t="s">
        <v>2931</v>
      </c>
      <c r="C16966">
        <v>7981</v>
      </c>
      <c r="D16966" t="str">
        <f t="shared" si="281"/>
        <v xml:space="preserve">802999275   </v>
      </c>
      <c r="E16966" t="s">
        <v>2826</v>
      </c>
      <c r="F16966" t="s">
        <v>2827</v>
      </c>
      <c r="G16966">
        <v>304.47000000000003</v>
      </c>
      <c r="H16966">
        <v>250531</v>
      </c>
      <c r="I16966">
        <v>4350</v>
      </c>
      <c r="J16966" t="s">
        <v>290</v>
      </c>
      <c r="K16966">
        <v>4650.75</v>
      </c>
      <c r="L16966">
        <v>0</v>
      </c>
      <c r="M16966">
        <v>18993</v>
      </c>
      <c r="N16966" t="s">
        <v>540</v>
      </c>
      <c r="O16966">
        <v>250610</v>
      </c>
      <c r="P16966">
        <v>304.47000000000003</v>
      </c>
    </row>
    <row r="16967" spans="1:16" x14ac:dyDescent="0.25">
      <c r="A16967" t="s">
        <v>3296</v>
      </c>
      <c r="B16967" t="s">
        <v>2931</v>
      </c>
      <c r="C16967">
        <v>7981</v>
      </c>
      <c r="D16967" t="str">
        <f t="shared" si="281"/>
        <v xml:space="preserve">802999275   </v>
      </c>
      <c r="E16967" t="s">
        <v>2826</v>
      </c>
      <c r="F16967" t="s">
        <v>2827</v>
      </c>
      <c r="G16967">
        <v>92.76</v>
      </c>
      <c r="H16967">
        <v>250531</v>
      </c>
      <c r="I16967">
        <v>4350</v>
      </c>
      <c r="J16967" t="s">
        <v>290</v>
      </c>
      <c r="K16967">
        <v>4650.75</v>
      </c>
      <c r="L16967">
        <v>0</v>
      </c>
      <c r="M16967">
        <v>49702</v>
      </c>
      <c r="N16967" t="s">
        <v>112</v>
      </c>
      <c r="O16967">
        <v>250610</v>
      </c>
      <c r="P16967">
        <v>92.76</v>
      </c>
    </row>
    <row r="16968" spans="1:16" x14ac:dyDescent="0.25">
      <c r="A16968" t="s">
        <v>3296</v>
      </c>
      <c r="B16968" t="s">
        <v>2931</v>
      </c>
      <c r="C16968">
        <v>9643</v>
      </c>
      <c r="D16968" t="str">
        <f t="shared" ref="D16968:D16977" si="282">"803813080   "</f>
        <v xml:space="preserve">803813080   </v>
      </c>
      <c r="E16968" t="s">
        <v>2826</v>
      </c>
      <c r="F16968" t="s">
        <v>2827</v>
      </c>
      <c r="G16968">
        <v>105.89</v>
      </c>
      <c r="H16968">
        <v>250630</v>
      </c>
      <c r="I16968">
        <v>4350</v>
      </c>
      <c r="J16968" t="s">
        <v>290</v>
      </c>
      <c r="K16968">
        <v>4035.86</v>
      </c>
      <c r="L16968">
        <v>0</v>
      </c>
      <c r="M16968">
        <v>11301</v>
      </c>
      <c r="N16968" t="s">
        <v>92</v>
      </c>
      <c r="O16968">
        <v>250724</v>
      </c>
      <c r="P16968">
        <v>105.89</v>
      </c>
    </row>
    <row r="16969" spans="1:16" x14ac:dyDescent="0.25">
      <c r="A16969" t="s">
        <v>3296</v>
      </c>
      <c r="B16969" t="s">
        <v>2931</v>
      </c>
      <c r="C16969">
        <v>9643</v>
      </c>
      <c r="D16969" t="str">
        <f t="shared" si="282"/>
        <v xml:space="preserve">803813080   </v>
      </c>
      <c r="E16969" t="s">
        <v>2826</v>
      </c>
      <c r="F16969" t="s">
        <v>2827</v>
      </c>
      <c r="G16969">
        <v>330.44</v>
      </c>
      <c r="H16969">
        <v>250630</v>
      </c>
      <c r="I16969">
        <v>4350</v>
      </c>
      <c r="J16969" t="s">
        <v>290</v>
      </c>
      <c r="K16969">
        <v>4035.86</v>
      </c>
      <c r="L16969">
        <v>0</v>
      </c>
      <c r="M16969">
        <v>11301</v>
      </c>
      <c r="N16969" t="s">
        <v>92</v>
      </c>
      <c r="O16969">
        <v>250724</v>
      </c>
      <c r="P16969">
        <v>330.44</v>
      </c>
    </row>
    <row r="16970" spans="1:16" x14ac:dyDescent="0.25">
      <c r="A16970" t="s">
        <v>3296</v>
      </c>
      <c r="B16970" t="s">
        <v>2931</v>
      </c>
      <c r="C16970">
        <v>9643</v>
      </c>
      <c r="D16970" t="str">
        <f t="shared" si="282"/>
        <v xml:space="preserve">803813080   </v>
      </c>
      <c r="E16970" t="s">
        <v>2826</v>
      </c>
      <c r="F16970" t="s">
        <v>2827</v>
      </c>
      <c r="G16970">
        <v>705.66</v>
      </c>
      <c r="H16970">
        <v>250630</v>
      </c>
      <c r="I16970">
        <v>4350</v>
      </c>
      <c r="J16970" t="s">
        <v>290</v>
      </c>
      <c r="K16970">
        <v>4035.86</v>
      </c>
      <c r="L16970">
        <v>0</v>
      </c>
      <c r="M16970">
        <v>13901</v>
      </c>
      <c r="N16970" t="s">
        <v>116</v>
      </c>
      <c r="O16970">
        <v>250724</v>
      </c>
      <c r="P16970">
        <v>705.66</v>
      </c>
    </row>
    <row r="16971" spans="1:16" x14ac:dyDescent="0.25">
      <c r="A16971" t="s">
        <v>3296</v>
      </c>
      <c r="B16971" t="s">
        <v>2931</v>
      </c>
      <c r="C16971">
        <v>9643</v>
      </c>
      <c r="D16971" t="str">
        <f t="shared" si="282"/>
        <v xml:space="preserve">803813080   </v>
      </c>
      <c r="E16971" t="s">
        <v>2826</v>
      </c>
      <c r="F16971" t="s">
        <v>2827</v>
      </c>
      <c r="G16971">
        <v>1718.83</v>
      </c>
      <c r="H16971">
        <v>250630</v>
      </c>
      <c r="I16971">
        <v>4350</v>
      </c>
      <c r="J16971" t="s">
        <v>290</v>
      </c>
      <c r="K16971">
        <v>4035.86</v>
      </c>
      <c r="L16971">
        <v>0</v>
      </c>
      <c r="M16971">
        <v>13901</v>
      </c>
      <c r="N16971" t="s">
        <v>116</v>
      </c>
      <c r="O16971">
        <v>250724</v>
      </c>
      <c r="P16971">
        <v>1718.83</v>
      </c>
    </row>
    <row r="16972" spans="1:16" x14ac:dyDescent="0.25">
      <c r="A16972" t="s">
        <v>3296</v>
      </c>
      <c r="B16972" t="s">
        <v>2931</v>
      </c>
      <c r="C16972">
        <v>9643</v>
      </c>
      <c r="D16972" t="str">
        <f t="shared" si="282"/>
        <v xml:space="preserve">803813080   </v>
      </c>
      <c r="E16972" t="s">
        <v>2826</v>
      </c>
      <c r="F16972" t="s">
        <v>2827</v>
      </c>
      <c r="G16972">
        <v>46.94</v>
      </c>
      <c r="H16972">
        <v>250630</v>
      </c>
      <c r="I16972">
        <v>4350</v>
      </c>
      <c r="J16972" t="s">
        <v>290</v>
      </c>
      <c r="K16972">
        <v>4035.86</v>
      </c>
      <c r="L16972">
        <v>0</v>
      </c>
      <c r="M16972">
        <v>17131</v>
      </c>
      <c r="N16972" t="s">
        <v>154</v>
      </c>
      <c r="O16972">
        <v>250724</v>
      </c>
      <c r="P16972">
        <v>46.94</v>
      </c>
    </row>
    <row r="16973" spans="1:16" x14ac:dyDescent="0.25">
      <c r="A16973" t="s">
        <v>3296</v>
      </c>
      <c r="B16973" t="s">
        <v>2931</v>
      </c>
      <c r="C16973">
        <v>9643</v>
      </c>
      <c r="D16973" t="str">
        <f t="shared" si="282"/>
        <v xml:space="preserve">803813080   </v>
      </c>
      <c r="E16973" t="s">
        <v>2826</v>
      </c>
      <c r="F16973" t="s">
        <v>2827</v>
      </c>
      <c r="G16973">
        <v>52.47</v>
      </c>
      <c r="H16973">
        <v>250630</v>
      </c>
      <c r="I16973">
        <v>4350</v>
      </c>
      <c r="J16973" t="s">
        <v>290</v>
      </c>
      <c r="K16973">
        <v>4035.86</v>
      </c>
      <c r="L16973">
        <v>0</v>
      </c>
      <c r="M16973">
        <v>17538</v>
      </c>
      <c r="N16973" t="s">
        <v>129</v>
      </c>
      <c r="O16973">
        <v>250724</v>
      </c>
      <c r="P16973">
        <v>52.47</v>
      </c>
    </row>
    <row r="16974" spans="1:16" x14ac:dyDescent="0.25">
      <c r="A16974" t="s">
        <v>3296</v>
      </c>
      <c r="B16974" t="s">
        <v>2931</v>
      </c>
      <c r="C16974">
        <v>9643</v>
      </c>
      <c r="D16974" t="str">
        <f t="shared" si="282"/>
        <v xml:space="preserve">803813080   </v>
      </c>
      <c r="E16974" t="s">
        <v>2826</v>
      </c>
      <c r="F16974" t="s">
        <v>2827</v>
      </c>
      <c r="G16974">
        <v>339.1</v>
      </c>
      <c r="H16974">
        <v>250630</v>
      </c>
      <c r="I16974">
        <v>4350</v>
      </c>
      <c r="J16974" t="s">
        <v>290</v>
      </c>
      <c r="K16974">
        <v>4035.86</v>
      </c>
      <c r="L16974">
        <v>0</v>
      </c>
      <c r="M16974">
        <v>17538</v>
      </c>
      <c r="N16974" t="s">
        <v>129</v>
      </c>
      <c r="O16974">
        <v>250724</v>
      </c>
      <c r="P16974">
        <v>339.1</v>
      </c>
    </row>
    <row r="16975" spans="1:16" x14ac:dyDescent="0.25">
      <c r="A16975" t="s">
        <v>3296</v>
      </c>
      <c r="B16975" t="s">
        <v>2931</v>
      </c>
      <c r="C16975">
        <v>9643</v>
      </c>
      <c r="D16975" t="str">
        <f t="shared" si="282"/>
        <v xml:space="preserve">803813080   </v>
      </c>
      <c r="E16975" t="s">
        <v>2826</v>
      </c>
      <c r="F16975" t="s">
        <v>2827</v>
      </c>
      <c r="G16975">
        <v>2.5099999999999998</v>
      </c>
      <c r="H16975">
        <v>250630</v>
      </c>
      <c r="I16975">
        <v>4350</v>
      </c>
      <c r="J16975" t="s">
        <v>290</v>
      </c>
      <c r="K16975">
        <v>4035.86</v>
      </c>
      <c r="L16975">
        <v>0</v>
      </c>
      <c r="M16975">
        <v>18993</v>
      </c>
      <c r="N16975" t="s">
        <v>540</v>
      </c>
      <c r="O16975">
        <v>250724</v>
      </c>
      <c r="P16975">
        <v>2.5099999999999998</v>
      </c>
    </row>
    <row r="16976" spans="1:16" x14ac:dyDescent="0.25">
      <c r="A16976" t="s">
        <v>3296</v>
      </c>
      <c r="B16976" t="s">
        <v>2931</v>
      </c>
      <c r="C16976">
        <v>9643</v>
      </c>
      <c r="D16976" t="str">
        <f t="shared" si="282"/>
        <v xml:space="preserve">803813080   </v>
      </c>
      <c r="E16976" t="s">
        <v>2826</v>
      </c>
      <c r="F16976" t="s">
        <v>2827</v>
      </c>
      <c r="G16976">
        <v>106.79</v>
      </c>
      <c r="H16976">
        <v>250630</v>
      </c>
      <c r="I16976">
        <v>4350</v>
      </c>
      <c r="J16976" t="s">
        <v>290</v>
      </c>
      <c r="K16976">
        <v>4035.86</v>
      </c>
      <c r="L16976">
        <v>0</v>
      </c>
      <c r="M16976">
        <v>18993</v>
      </c>
      <c r="N16976" t="s">
        <v>540</v>
      </c>
      <c r="O16976">
        <v>250724</v>
      </c>
      <c r="P16976">
        <v>106.79</v>
      </c>
    </row>
    <row r="16977" spans="1:16" x14ac:dyDescent="0.25">
      <c r="A16977" t="s">
        <v>3296</v>
      </c>
      <c r="B16977" t="s">
        <v>2931</v>
      </c>
      <c r="C16977">
        <v>9643</v>
      </c>
      <c r="D16977" t="str">
        <f t="shared" si="282"/>
        <v xml:space="preserve">803813080   </v>
      </c>
      <c r="E16977" t="s">
        <v>2826</v>
      </c>
      <c r="F16977" t="s">
        <v>2827</v>
      </c>
      <c r="G16977">
        <v>57.24</v>
      </c>
      <c r="H16977">
        <v>250630</v>
      </c>
      <c r="I16977">
        <v>4350</v>
      </c>
      <c r="J16977" t="s">
        <v>290</v>
      </c>
      <c r="K16977">
        <v>4035.86</v>
      </c>
      <c r="L16977">
        <v>0</v>
      </c>
      <c r="M16977">
        <v>49702</v>
      </c>
      <c r="N16977" t="s">
        <v>112</v>
      </c>
      <c r="O16977">
        <v>250724</v>
      </c>
      <c r="P16977">
        <v>57.24</v>
      </c>
    </row>
    <row r="16978" spans="1:16" x14ac:dyDescent="0.25">
      <c r="A16978" t="s">
        <v>3296</v>
      </c>
      <c r="B16978" t="s">
        <v>2931</v>
      </c>
      <c r="C16978">
        <v>10169</v>
      </c>
      <c r="D16978" t="str">
        <f t="shared" ref="D16978:D16987" si="283">"804409693   "</f>
        <v xml:space="preserve">804409693   </v>
      </c>
      <c r="E16978" t="s">
        <v>2826</v>
      </c>
      <c r="F16978" t="s">
        <v>2827</v>
      </c>
      <c r="G16978">
        <v>279.38</v>
      </c>
      <c r="H16978">
        <v>250731</v>
      </c>
      <c r="I16978">
        <v>4350</v>
      </c>
      <c r="J16978" t="s">
        <v>290</v>
      </c>
      <c r="K16978">
        <v>7180.16</v>
      </c>
      <c r="L16978">
        <v>0</v>
      </c>
      <c r="M16978">
        <v>11301</v>
      </c>
      <c r="N16978" t="s">
        <v>92</v>
      </c>
      <c r="O16978">
        <v>250812</v>
      </c>
      <c r="P16978">
        <v>279.38</v>
      </c>
    </row>
    <row r="16979" spans="1:16" x14ac:dyDescent="0.25">
      <c r="A16979" t="s">
        <v>3296</v>
      </c>
      <c r="B16979" t="s">
        <v>2931</v>
      </c>
      <c r="C16979">
        <v>10169</v>
      </c>
      <c r="D16979" t="str">
        <f t="shared" si="283"/>
        <v xml:space="preserve">804409693   </v>
      </c>
      <c r="E16979" t="s">
        <v>2826</v>
      </c>
      <c r="F16979" t="s">
        <v>2827</v>
      </c>
      <c r="G16979">
        <v>344.71</v>
      </c>
      <c r="H16979">
        <v>250731</v>
      </c>
      <c r="I16979">
        <v>4350</v>
      </c>
      <c r="J16979" t="s">
        <v>290</v>
      </c>
      <c r="K16979">
        <v>7180.16</v>
      </c>
      <c r="L16979">
        <v>0</v>
      </c>
      <c r="M16979">
        <v>11301</v>
      </c>
      <c r="N16979" t="s">
        <v>92</v>
      </c>
      <c r="O16979">
        <v>250812</v>
      </c>
      <c r="P16979">
        <v>344.71</v>
      </c>
    </row>
    <row r="16980" spans="1:16" x14ac:dyDescent="0.25">
      <c r="A16980" t="s">
        <v>3296</v>
      </c>
      <c r="B16980" t="s">
        <v>2931</v>
      </c>
      <c r="C16980">
        <v>10169</v>
      </c>
      <c r="D16980" t="str">
        <f t="shared" si="283"/>
        <v xml:space="preserve">804409693   </v>
      </c>
      <c r="E16980" t="s">
        <v>2826</v>
      </c>
      <c r="F16980" t="s">
        <v>2827</v>
      </c>
      <c r="G16980">
        <v>1636.36</v>
      </c>
      <c r="H16980">
        <v>250731</v>
      </c>
      <c r="I16980">
        <v>4350</v>
      </c>
      <c r="J16980" t="s">
        <v>290</v>
      </c>
      <c r="K16980">
        <v>7180.16</v>
      </c>
      <c r="L16980">
        <v>0</v>
      </c>
      <c r="M16980">
        <v>13901</v>
      </c>
      <c r="N16980" t="s">
        <v>116</v>
      </c>
      <c r="O16980">
        <v>250812</v>
      </c>
      <c r="P16980">
        <v>1636.36</v>
      </c>
    </row>
    <row r="16981" spans="1:16" x14ac:dyDescent="0.25">
      <c r="A16981" t="s">
        <v>3296</v>
      </c>
      <c r="B16981" t="s">
        <v>2931</v>
      </c>
      <c r="C16981">
        <v>10169</v>
      </c>
      <c r="D16981" t="str">
        <f t="shared" si="283"/>
        <v xml:space="preserve">804409693   </v>
      </c>
      <c r="E16981" t="s">
        <v>2826</v>
      </c>
      <c r="F16981" t="s">
        <v>2827</v>
      </c>
      <c r="G16981">
        <v>2266.9</v>
      </c>
      <c r="H16981">
        <v>250731</v>
      </c>
      <c r="I16981">
        <v>4350</v>
      </c>
      <c r="J16981" t="s">
        <v>290</v>
      </c>
      <c r="K16981">
        <v>7180.16</v>
      </c>
      <c r="L16981">
        <v>0</v>
      </c>
      <c r="M16981">
        <v>13901</v>
      </c>
      <c r="N16981" t="s">
        <v>116</v>
      </c>
      <c r="O16981">
        <v>250812</v>
      </c>
      <c r="P16981">
        <v>2266.9</v>
      </c>
    </row>
    <row r="16982" spans="1:16" x14ac:dyDescent="0.25">
      <c r="A16982" t="s">
        <v>3296</v>
      </c>
      <c r="B16982" t="s">
        <v>2931</v>
      </c>
      <c r="C16982">
        <v>10169</v>
      </c>
      <c r="D16982" t="str">
        <f t="shared" si="283"/>
        <v xml:space="preserve">804409693   </v>
      </c>
      <c r="E16982" t="s">
        <v>2826</v>
      </c>
      <c r="F16982" t="s">
        <v>2827</v>
      </c>
      <c r="G16982">
        <v>148.87</v>
      </c>
      <c r="H16982">
        <v>250731</v>
      </c>
      <c r="I16982">
        <v>4350</v>
      </c>
      <c r="J16982" t="s">
        <v>290</v>
      </c>
      <c r="K16982">
        <v>7180.16</v>
      </c>
      <c r="L16982">
        <v>0</v>
      </c>
      <c r="M16982">
        <v>17131</v>
      </c>
      <c r="N16982" t="s">
        <v>154</v>
      </c>
      <c r="O16982">
        <v>250812</v>
      </c>
      <c r="P16982">
        <v>148.87</v>
      </c>
    </row>
    <row r="16983" spans="1:16" x14ac:dyDescent="0.25">
      <c r="A16983" t="s">
        <v>3296</v>
      </c>
      <c r="B16983" t="s">
        <v>2931</v>
      </c>
      <c r="C16983">
        <v>10169</v>
      </c>
      <c r="D16983" t="str">
        <f t="shared" si="283"/>
        <v xml:space="preserve">804409693   </v>
      </c>
      <c r="E16983" t="s">
        <v>2826</v>
      </c>
      <c r="F16983" t="s">
        <v>2827</v>
      </c>
      <c r="G16983">
        <v>247.28</v>
      </c>
      <c r="H16983">
        <v>250731</v>
      </c>
      <c r="I16983">
        <v>4350</v>
      </c>
      <c r="J16983" t="s">
        <v>290</v>
      </c>
      <c r="K16983">
        <v>7180.16</v>
      </c>
      <c r="L16983">
        <v>0</v>
      </c>
      <c r="M16983">
        <v>17538</v>
      </c>
      <c r="N16983" t="s">
        <v>129</v>
      </c>
      <c r="O16983">
        <v>250812</v>
      </c>
      <c r="P16983">
        <v>247.28</v>
      </c>
    </row>
    <row r="16984" spans="1:16" x14ac:dyDescent="0.25">
      <c r="A16984" t="s">
        <v>3296</v>
      </c>
      <c r="B16984" t="s">
        <v>2931</v>
      </c>
      <c r="C16984">
        <v>10169</v>
      </c>
      <c r="D16984" t="str">
        <f t="shared" si="283"/>
        <v xml:space="preserve">804409693   </v>
      </c>
      <c r="E16984" t="s">
        <v>2826</v>
      </c>
      <c r="F16984" t="s">
        <v>2827</v>
      </c>
      <c r="G16984">
        <v>488.2</v>
      </c>
      <c r="H16984">
        <v>250731</v>
      </c>
      <c r="I16984">
        <v>4350</v>
      </c>
      <c r="J16984" t="s">
        <v>290</v>
      </c>
      <c r="K16984">
        <v>7180.16</v>
      </c>
      <c r="L16984">
        <v>0</v>
      </c>
      <c r="M16984">
        <v>17538</v>
      </c>
      <c r="N16984" t="s">
        <v>129</v>
      </c>
      <c r="O16984">
        <v>250812</v>
      </c>
      <c r="P16984">
        <v>488.2</v>
      </c>
    </row>
    <row r="16985" spans="1:16" x14ac:dyDescent="0.25">
      <c r="A16985" t="s">
        <v>3296</v>
      </c>
      <c r="B16985" t="s">
        <v>2931</v>
      </c>
      <c r="C16985">
        <v>10169</v>
      </c>
      <c r="D16985" t="str">
        <f t="shared" si="283"/>
        <v xml:space="preserve">804409693   </v>
      </c>
      <c r="E16985" t="s">
        <v>2826</v>
      </c>
      <c r="F16985" t="s">
        <v>2827</v>
      </c>
      <c r="G16985">
        <v>119.81</v>
      </c>
      <c r="H16985">
        <v>250731</v>
      </c>
      <c r="I16985">
        <v>4350</v>
      </c>
      <c r="J16985" t="s">
        <v>290</v>
      </c>
      <c r="K16985">
        <v>7180.16</v>
      </c>
      <c r="L16985">
        <v>0</v>
      </c>
      <c r="M16985">
        <v>49702</v>
      </c>
      <c r="N16985" t="s">
        <v>112</v>
      </c>
      <c r="O16985">
        <v>250812</v>
      </c>
      <c r="P16985">
        <v>119.81</v>
      </c>
    </row>
    <row r="16986" spans="1:16" x14ac:dyDescent="0.25">
      <c r="A16986" t="s">
        <v>3296</v>
      </c>
      <c r="B16986" t="s">
        <v>2931</v>
      </c>
      <c r="C16986">
        <v>10169</v>
      </c>
      <c r="D16986" t="str">
        <f t="shared" si="283"/>
        <v xml:space="preserve">804409693   </v>
      </c>
      <c r="E16986" t="s">
        <v>2826</v>
      </c>
      <c r="F16986" t="s">
        <v>2827</v>
      </c>
      <c r="G16986">
        <v>421.29</v>
      </c>
      <c r="H16986">
        <v>250731</v>
      </c>
      <c r="I16986">
        <v>4350</v>
      </c>
      <c r="J16986" t="s">
        <v>290</v>
      </c>
      <c r="K16986">
        <v>7180.16</v>
      </c>
      <c r="L16986">
        <v>0</v>
      </c>
      <c r="M16986">
        <v>55222</v>
      </c>
      <c r="N16986" t="s">
        <v>43</v>
      </c>
      <c r="O16986">
        <v>250812</v>
      </c>
      <c r="P16986">
        <v>421.29</v>
      </c>
    </row>
    <row r="16987" spans="1:16" x14ac:dyDescent="0.25">
      <c r="A16987" t="s">
        <v>3296</v>
      </c>
      <c r="B16987" t="s">
        <v>2931</v>
      </c>
      <c r="C16987">
        <v>10169</v>
      </c>
      <c r="D16987" t="str">
        <f t="shared" si="283"/>
        <v xml:space="preserve">804409693   </v>
      </c>
      <c r="E16987" t="s">
        <v>2826</v>
      </c>
      <c r="F16987" t="s">
        <v>2827</v>
      </c>
      <c r="G16987">
        <v>431.42</v>
      </c>
      <c r="H16987">
        <v>250731</v>
      </c>
      <c r="I16987">
        <v>4350</v>
      </c>
      <c r="J16987" t="s">
        <v>290</v>
      </c>
      <c r="K16987">
        <v>7180.16</v>
      </c>
      <c r="L16987">
        <v>0</v>
      </c>
      <c r="M16987">
        <v>59702</v>
      </c>
      <c r="N16987" t="s">
        <v>45</v>
      </c>
      <c r="O16987">
        <v>250812</v>
      </c>
      <c r="P16987">
        <v>431.42</v>
      </c>
    </row>
    <row r="16988" spans="1:16" x14ac:dyDescent="0.25">
      <c r="A16988" t="s">
        <v>3296</v>
      </c>
      <c r="B16988" t="s">
        <v>2931</v>
      </c>
      <c r="C16988">
        <v>11820</v>
      </c>
      <c r="D16988" t="str">
        <f t="shared" ref="D16988:D16999" si="284">"804895995   "</f>
        <v xml:space="preserve">804895995   </v>
      </c>
      <c r="E16988" t="s">
        <v>2826</v>
      </c>
      <c r="F16988" t="s">
        <v>2827</v>
      </c>
      <c r="G16988">
        <v>49.92</v>
      </c>
      <c r="H16988">
        <v>250831</v>
      </c>
      <c r="I16988">
        <v>4350</v>
      </c>
      <c r="J16988" t="s">
        <v>290</v>
      </c>
      <c r="K16988">
        <v>7161.13</v>
      </c>
      <c r="L16988">
        <v>0</v>
      </c>
      <c r="M16988">
        <v>11301</v>
      </c>
      <c r="N16988" t="s">
        <v>92</v>
      </c>
      <c r="O16988">
        <v>250910</v>
      </c>
      <c r="P16988">
        <v>49.92</v>
      </c>
    </row>
    <row r="16989" spans="1:16" x14ac:dyDescent="0.25">
      <c r="A16989" t="s">
        <v>3296</v>
      </c>
      <c r="B16989" t="s">
        <v>2931</v>
      </c>
      <c r="C16989">
        <v>11820</v>
      </c>
      <c r="D16989" t="str">
        <f t="shared" si="284"/>
        <v xml:space="preserve">804895995   </v>
      </c>
      <c r="E16989" t="s">
        <v>2826</v>
      </c>
      <c r="F16989" t="s">
        <v>2827</v>
      </c>
      <c r="G16989">
        <v>530.22</v>
      </c>
      <c r="H16989">
        <v>250831</v>
      </c>
      <c r="I16989">
        <v>4350</v>
      </c>
      <c r="J16989" t="s">
        <v>290</v>
      </c>
      <c r="K16989">
        <v>7161.13</v>
      </c>
      <c r="L16989">
        <v>0</v>
      </c>
      <c r="M16989">
        <v>11301</v>
      </c>
      <c r="N16989" t="s">
        <v>92</v>
      </c>
      <c r="O16989">
        <v>250910</v>
      </c>
      <c r="P16989">
        <v>530.22</v>
      </c>
    </row>
    <row r="16990" spans="1:16" x14ac:dyDescent="0.25">
      <c r="A16990" t="s">
        <v>3296</v>
      </c>
      <c r="B16990" t="s">
        <v>2931</v>
      </c>
      <c r="C16990">
        <v>11820</v>
      </c>
      <c r="D16990" t="str">
        <f t="shared" si="284"/>
        <v xml:space="preserve">804895995   </v>
      </c>
      <c r="E16990" t="s">
        <v>2826</v>
      </c>
      <c r="F16990" t="s">
        <v>2827</v>
      </c>
      <c r="G16990">
        <v>39.68</v>
      </c>
      <c r="H16990">
        <v>250831</v>
      </c>
      <c r="I16990">
        <v>4350</v>
      </c>
      <c r="J16990" t="s">
        <v>290</v>
      </c>
      <c r="K16990">
        <v>7161.13</v>
      </c>
      <c r="L16990">
        <v>0</v>
      </c>
      <c r="M16990">
        <v>13601</v>
      </c>
      <c r="N16990" t="s">
        <v>115</v>
      </c>
      <c r="O16990">
        <v>250910</v>
      </c>
      <c r="P16990">
        <v>39.68</v>
      </c>
    </row>
    <row r="16991" spans="1:16" x14ac:dyDescent="0.25">
      <c r="A16991" t="s">
        <v>3296</v>
      </c>
      <c r="B16991" t="s">
        <v>2931</v>
      </c>
      <c r="C16991">
        <v>11820</v>
      </c>
      <c r="D16991" t="str">
        <f t="shared" si="284"/>
        <v xml:space="preserve">804895995   </v>
      </c>
      <c r="E16991" t="s">
        <v>2826</v>
      </c>
      <c r="F16991" t="s">
        <v>2827</v>
      </c>
      <c r="G16991">
        <v>249.79</v>
      </c>
      <c r="H16991">
        <v>250831</v>
      </c>
      <c r="I16991">
        <v>4350</v>
      </c>
      <c r="J16991" t="s">
        <v>290</v>
      </c>
      <c r="K16991">
        <v>7161.13</v>
      </c>
      <c r="L16991">
        <v>0</v>
      </c>
      <c r="M16991">
        <v>13801</v>
      </c>
      <c r="N16991" t="s">
        <v>33</v>
      </c>
      <c r="O16991">
        <v>250910</v>
      </c>
      <c r="P16991">
        <v>249.79</v>
      </c>
    </row>
    <row r="16992" spans="1:16" x14ac:dyDescent="0.25">
      <c r="A16992" t="s">
        <v>3296</v>
      </c>
      <c r="B16992" t="s">
        <v>2931</v>
      </c>
      <c r="C16992">
        <v>11820</v>
      </c>
      <c r="D16992" t="str">
        <f t="shared" si="284"/>
        <v xml:space="preserve">804895995   </v>
      </c>
      <c r="E16992" t="s">
        <v>2826</v>
      </c>
      <c r="F16992" t="s">
        <v>2827</v>
      </c>
      <c r="G16992">
        <v>1781.87</v>
      </c>
      <c r="H16992">
        <v>250831</v>
      </c>
      <c r="I16992">
        <v>4350</v>
      </c>
      <c r="J16992" t="s">
        <v>290</v>
      </c>
      <c r="K16992">
        <v>7161.13</v>
      </c>
      <c r="L16992">
        <v>0</v>
      </c>
      <c r="M16992">
        <v>13901</v>
      </c>
      <c r="N16992" t="s">
        <v>116</v>
      </c>
      <c r="O16992">
        <v>250910</v>
      </c>
      <c r="P16992">
        <v>1781.87</v>
      </c>
    </row>
    <row r="16993" spans="1:16" x14ac:dyDescent="0.25">
      <c r="A16993" t="s">
        <v>3296</v>
      </c>
      <c r="B16993" t="s">
        <v>2931</v>
      </c>
      <c r="C16993">
        <v>11820</v>
      </c>
      <c r="D16993" t="str">
        <f t="shared" si="284"/>
        <v xml:space="preserve">804895995   </v>
      </c>
      <c r="E16993" t="s">
        <v>2826</v>
      </c>
      <c r="F16993" t="s">
        <v>2827</v>
      </c>
      <c r="G16993">
        <v>2798.23</v>
      </c>
      <c r="H16993">
        <v>250831</v>
      </c>
      <c r="I16993">
        <v>4350</v>
      </c>
      <c r="J16993" t="s">
        <v>290</v>
      </c>
      <c r="K16993">
        <v>7161.13</v>
      </c>
      <c r="L16993">
        <v>0</v>
      </c>
      <c r="M16993">
        <v>13901</v>
      </c>
      <c r="N16993" t="s">
        <v>116</v>
      </c>
      <c r="O16993">
        <v>250910</v>
      </c>
      <c r="P16993">
        <v>2798.23</v>
      </c>
    </row>
    <row r="16994" spans="1:16" x14ac:dyDescent="0.25">
      <c r="A16994" t="s">
        <v>3296</v>
      </c>
      <c r="B16994" t="s">
        <v>2931</v>
      </c>
      <c r="C16994">
        <v>11820</v>
      </c>
      <c r="D16994" t="str">
        <f t="shared" si="284"/>
        <v xml:space="preserve">804895995   </v>
      </c>
      <c r="E16994" t="s">
        <v>2826</v>
      </c>
      <c r="F16994" t="s">
        <v>2827</v>
      </c>
      <c r="G16994">
        <v>324.06</v>
      </c>
      <c r="H16994">
        <v>250831</v>
      </c>
      <c r="I16994">
        <v>4350</v>
      </c>
      <c r="J16994" t="s">
        <v>290</v>
      </c>
      <c r="K16994">
        <v>7161.13</v>
      </c>
      <c r="L16994">
        <v>0</v>
      </c>
      <c r="M16994">
        <v>17538</v>
      </c>
      <c r="N16994" t="s">
        <v>129</v>
      </c>
      <c r="O16994">
        <v>250910</v>
      </c>
      <c r="P16994">
        <v>324.06</v>
      </c>
    </row>
    <row r="16995" spans="1:16" x14ac:dyDescent="0.25">
      <c r="A16995" t="s">
        <v>3296</v>
      </c>
      <c r="B16995" t="s">
        <v>2931</v>
      </c>
      <c r="C16995">
        <v>11820</v>
      </c>
      <c r="D16995" t="str">
        <f t="shared" si="284"/>
        <v xml:space="preserve">804895995   </v>
      </c>
      <c r="E16995" t="s">
        <v>2826</v>
      </c>
      <c r="F16995" t="s">
        <v>2827</v>
      </c>
      <c r="G16995">
        <v>573.95000000000005</v>
      </c>
      <c r="H16995">
        <v>250831</v>
      </c>
      <c r="I16995">
        <v>4350</v>
      </c>
      <c r="J16995" t="s">
        <v>290</v>
      </c>
      <c r="K16995">
        <v>7161.13</v>
      </c>
      <c r="L16995">
        <v>0</v>
      </c>
      <c r="M16995">
        <v>17538</v>
      </c>
      <c r="N16995" t="s">
        <v>129</v>
      </c>
      <c r="O16995">
        <v>250910</v>
      </c>
      <c r="P16995">
        <v>573.95000000000005</v>
      </c>
    </row>
    <row r="16996" spans="1:16" x14ac:dyDescent="0.25">
      <c r="A16996" t="s">
        <v>3296</v>
      </c>
      <c r="B16996" t="s">
        <v>2931</v>
      </c>
      <c r="C16996">
        <v>11820</v>
      </c>
      <c r="D16996" t="str">
        <f t="shared" si="284"/>
        <v xml:space="preserve">804895995   </v>
      </c>
      <c r="E16996" t="s">
        <v>2826</v>
      </c>
      <c r="F16996" t="s">
        <v>2827</v>
      </c>
      <c r="G16996">
        <v>141.1</v>
      </c>
      <c r="H16996">
        <v>250831</v>
      </c>
      <c r="I16996">
        <v>4350</v>
      </c>
      <c r="J16996" t="s">
        <v>290</v>
      </c>
      <c r="K16996">
        <v>7161.13</v>
      </c>
      <c r="L16996">
        <v>0</v>
      </c>
      <c r="M16996">
        <v>49702</v>
      </c>
      <c r="N16996" t="s">
        <v>112</v>
      </c>
      <c r="O16996">
        <v>250910</v>
      </c>
      <c r="P16996">
        <v>141.1</v>
      </c>
    </row>
    <row r="16997" spans="1:16" x14ac:dyDescent="0.25">
      <c r="A16997" t="s">
        <v>3296</v>
      </c>
      <c r="B16997" t="s">
        <v>2931</v>
      </c>
      <c r="C16997">
        <v>11820</v>
      </c>
      <c r="D16997" t="str">
        <f t="shared" si="284"/>
        <v xml:space="preserve">804895995   </v>
      </c>
      <c r="E16997" t="s">
        <v>2826</v>
      </c>
      <c r="F16997" t="s">
        <v>2827</v>
      </c>
      <c r="G16997">
        <v>78.89</v>
      </c>
      <c r="H16997">
        <v>250831</v>
      </c>
      <c r="I16997">
        <v>4350</v>
      </c>
      <c r="J16997" t="s">
        <v>290</v>
      </c>
      <c r="K16997">
        <v>7161.13</v>
      </c>
      <c r="L16997">
        <v>0</v>
      </c>
      <c r="M16997">
        <v>55222</v>
      </c>
      <c r="N16997" t="s">
        <v>43</v>
      </c>
      <c r="O16997">
        <v>250910</v>
      </c>
      <c r="P16997">
        <v>78.89</v>
      </c>
    </row>
    <row r="16998" spans="1:16" x14ac:dyDescent="0.25">
      <c r="A16998" t="s">
        <v>3296</v>
      </c>
      <c r="B16998" t="s">
        <v>2931</v>
      </c>
      <c r="C16998">
        <v>11820</v>
      </c>
      <c r="D16998" t="str">
        <f t="shared" si="284"/>
        <v xml:space="preserve">804895995   </v>
      </c>
      <c r="E16998" t="s">
        <v>2826</v>
      </c>
      <c r="F16998" t="s">
        <v>2827</v>
      </c>
      <c r="G16998">
        <v>68.44</v>
      </c>
      <c r="H16998">
        <v>250831</v>
      </c>
      <c r="I16998">
        <v>4350</v>
      </c>
      <c r="J16998" t="s">
        <v>290</v>
      </c>
      <c r="K16998">
        <v>7161.13</v>
      </c>
      <c r="L16998">
        <v>0</v>
      </c>
      <c r="M16998">
        <v>59702</v>
      </c>
      <c r="N16998" t="s">
        <v>45</v>
      </c>
      <c r="O16998">
        <v>250910</v>
      </c>
      <c r="P16998">
        <v>68.44</v>
      </c>
    </row>
    <row r="16999" spans="1:16" x14ac:dyDescent="0.25">
      <c r="A16999" t="s">
        <v>3296</v>
      </c>
      <c r="B16999" t="s">
        <v>2931</v>
      </c>
      <c r="C16999">
        <v>11820</v>
      </c>
      <c r="D16999" t="str">
        <f t="shared" si="284"/>
        <v xml:space="preserve">804895995   </v>
      </c>
      <c r="E16999" t="s">
        <v>2826</v>
      </c>
      <c r="F16999" t="s">
        <v>2827</v>
      </c>
      <c r="G16999">
        <v>159</v>
      </c>
      <c r="H16999">
        <v>250831</v>
      </c>
      <c r="I16999">
        <v>4350</v>
      </c>
      <c r="J16999" t="s">
        <v>290</v>
      </c>
      <c r="K16999">
        <v>7161.13</v>
      </c>
      <c r="L16999">
        <v>32.31</v>
      </c>
      <c r="M16999">
        <v>66754</v>
      </c>
      <c r="N16999" t="s">
        <v>119</v>
      </c>
      <c r="O16999">
        <v>250910</v>
      </c>
      <c r="P16999">
        <v>126.69</v>
      </c>
    </row>
    <row r="17000" spans="1:16" x14ac:dyDescent="0.25">
      <c r="A17000" t="s">
        <v>3296</v>
      </c>
      <c r="B17000" t="s">
        <v>2931</v>
      </c>
      <c r="C17000">
        <v>13421</v>
      </c>
      <c r="D17000" t="str">
        <f t="shared" ref="D17000:D17006" si="285">"806354209   "</f>
        <v xml:space="preserve">806354209   </v>
      </c>
      <c r="E17000" t="s">
        <v>2826</v>
      </c>
      <c r="F17000" t="s">
        <v>2827</v>
      </c>
      <c r="G17000">
        <v>0.22</v>
      </c>
      <c r="H17000">
        <v>250930</v>
      </c>
      <c r="I17000">
        <v>4350</v>
      </c>
      <c r="J17000" t="s">
        <v>290</v>
      </c>
      <c r="K17000">
        <v>896.86</v>
      </c>
      <c r="L17000">
        <v>0</v>
      </c>
      <c r="M17000">
        <v>11301</v>
      </c>
      <c r="N17000" t="s">
        <v>92</v>
      </c>
      <c r="O17000">
        <v>251009</v>
      </c>
      <c r="P17000">
        <v>0.22</v>
      </c>
    </row>
    <row r="17001" spans="1:16" x14ac:dyDescent="0.25">
      <c r="A17001" t="s">
        <v>3296</v>
      </c>
      <c r="B17001" t="s">
        <v>2931</v>
      </c>
      <c r="C17001">
        <v>13421</v>
      </c>
      <c r="D17001" t="str">
        <f t="shared" si="285"/>
        <v xml:space="preserve">806354209   </v>
      </c>
      <c r="E17001" t="s">
        <v>2826</v>
      </c>
      <c r="F17001" t="s">
        <v>2827</v>
      </c>
      <c r="G17001">
        <v>396.13</v>
      </c>
      <c r="H17001">
        <v>250930</v>
      </c>
      <c r="I17001">
        <v>4350</v>
      </c>
      <c r="J17001" t="s">
        <v>290</v>
      </c>
      <c r="K17001">
        <v>896.86</v>
      </c>
      <c r="L17001">
        <v>0</v>
      </c>
      <c r="M17001">
        <v>11903</v>
      </c>
      <c r="N17001" t="s">
        <v>32</v>
      </c>
      <c r="O17001">
        <v>251009</v>
      </c>
      <c r="P17001">
        <v>396.13</v>
      </c>
    </row>
    <row r="17002" spans="1:16" x14ac:dyDescent="0.25">
      <c r="A17002" t="s">
        <v>3296</v>
      </c>
      <c r="B17002" t="s">
        <v>2931</v>
      </c>
      <c r="C17002">
        <v>13421</v>
      </c>
      <c r="D17002" t="str">
        <f t="shared" si="285"/>
        <v xml:space="preserve">806354209   </v>
      </c>
      <c r="E17002" t="s">
        <v>2826</v>
      </c>
      <c r="F17002" t="s">
        <v>2827</v>
      </c>
      <c r="G17002">
        <v>160.66999999999999</v>
      </c>
      <c r="H17002">
        <v>250930</v>
      </c>
      <c r="I17002">
        <v>4350</v>
      </c>
      <c r="J17002" t="s">
        <v>290</v>
      </c>
      <c r="K17002">
        <v>896.86</v>
      </c>
      <c r="L17002">
        <v>0</v>
      </c>
      <c r="M17002">
        <v>11903</v>
      </c>
      <c r="N17002" t="s">
        <v>32</v>
      </c>
      <c r="O17002">
        <v>251009</v>
      </c>
      <c r="P17002">
        <v>160.66999999999999</v>
      </c>
    </row>
    <row r="17003" spans="1:16" x14ac:dyDescent="0.25">
      <c r="A17003" t="s">
        <v>3296</v>
      </c>
      <c r="B17003" t="s">
        <v>2931</v>
      </c>
      <c r="C17003">
        <v>13421</v>
      </c>
      <c r="D17003" t="str">
        <f t="shared" si="285"/>
        <v xml:space="preserve">806354209   </v>
      </c>
      <c r="E17003" t="s">
        <v>2826</v>
      </c>
      <c r="F17003" t="s">
        <v>2827</v>
      </c>
      <c r="G17003">
        <v>33.24</v>
      </c>
      <c r="H17003">
        <v>250930</v>
      </c>
      <c r="I17003">
        <v>4350</v>
      </c>
      <c r="J17003" t="s">
        <v>290</v>
      </c>
      <c r="K17003">
        <v>896.86</v>
      </c>
      <c r="L17003">
        <v>0</v>
      </c>
      <c r="M17003">
        <v>13901</v>
      </c>
      <c r="N17003" t="s">
        <v>116</v>
      </c>
      <c r="O17003">
        <v>251009</v>
      </c>
      <c r="P17003">
        <v>33.24</v>
      </c>
    </row>
    <row r="17004" spans="1:16" x14ac:dyDescent="0.25">
      <c r="A17004" t="s">
        <v>3296</v>
      </c>
      <c r="B17004" t="s">
        <v>2931</v>
      </c>
      <c r="C17004">
        <v>13421</v>
      </c>
      <c r="D17004" t="str">
        <f t="shared" si="285"/>
        <v xml:space="preserve">806354209   </v>
      </c>
      <c r="E17004" t="s">
        <v>2826</v>
      </c>
      <c r="F17004" t="s">
        <v>2827</v>
      </c>
      <c r="G17004">
        <v>51.92</v>
      </c>
      <c r="H17004">
        <v>250930</v>
      </c>
      <c r="I17004">
        <v>4350</v>
      </c>
      <c r="J17004" t="s">
        <v>290</v>
      </c>
      <c r="K17004">
        <v>896.86</v>
      </c>
      <c r="L17004">
        <v>0</v>
      </c>
      <c r="M17004">
        <v>17538</v>
      </c>
      <c r="N17004" t="s">
        <v>129</v>
      </c>
      <c r="O17004">
        <v>251009</v>
      </c>
      <c r="P17004">
        <v>51.92</v>
      </c>
    </row>
    <row r="17005" spans="1:16" x14ac:dyDescent="0.25">
      <c r="A17005" t="s">
        <v>3296</v>
      </c>
      <c r="B17005" t="s">
        <v>2931</v>
      </c>
      <c r="C17005">
        <v>13421</v>
      </c>
      <c r="D17005" t="str">
        <f t="shared" si="285"/>
        <v xml:space="preserve">806354209   </v>
      </c>
      <c r="E17005" t="s">
        <v>2826</v>
      </c>
      <c r="F17005" t="s">
        <v>2827</v>
      </c>
      <c r="G17005">
        <v>231.38</v>
      </c>
      <c r="H17005">
        <v>250930</v>
      </c>
      <c r="I17005">
        <v>4350</v>
      </c>
      <c r="J17005" t="s">
        <v>290</v>
      </c>
      <c r="K17005">
        <v>896.86</v>
      </c>
      <c r="L17005">
        <v>0</v>
      </c>
      <c r="M17005">
        <v>17538</v>
      </c>
      <c r="N17005" t="s">
        <v>129</v>
      </c>
      <c r="O17005">
        <v>251009</v>
      </c>
      <c r="P17005">
        <v>231.38</v>
      </c>
    </row>
    <row r="17006" spans="1:16" x14ac:dyDescent="0.25">
      <c r="A17006" t="s">
        <v>3296</v>
      </c>
      <c r="B17006" t="s">
        <v>2931</v>
      </c>
      <c r="C17006">
        <v>13421</v>
      </c>
      <c r="D17006" t="str">
        <f t="shared" si="285"/>
        <v xml:space="preserve">806354209   </v>
      </c>
      <c r="E17006" t="s">
        <v>2826</v>
      </c>
      <c r="F17006" t="s">
        <v>2827</v>
      </c>
      <c r="G17006">
        <v>20.309999999999999</v>
      </c>
      <c r="H17006">
        <v>250930</v>
      </c>
      <c r="I17006">
        <v>4350</v>
      </c>
      <c r="J17006" t="s">
        <v>290</v>
      </c>
      <c r="K17006">
        <v>896.86</v>
      </c>
      <c r="L17006">
        <v>0</v>
      </c>
      <c r="M17006">
        <v>69702</v>
      </c>
      <c r="N17006" t="s">
        <v>124</v>
      </c>
      <c r="O17006">
        <v>251009</v>
      </c>
      <c r="P17006">
        <v>20.309999999999999</v>
      </c>
    </row>
    <row r="17007" spans="1:16" x14ac:dyDescent="0.25">
      <c r="A17007" t="s">
        <v>3296</v>
      </c>
      <c r="B17007" t="s">
        <v>2931</v>
      </c>
      <c r="C17007">
        <v>15354</v>
      </c>
      <c r="D17007" t="str">
        <f t="shared" ref="D17007:D17016" si="286">"807713347   "</f>
        <v xml:space="preserve">807713347   </v>
      </c>
      <c r="E17007" t="s">
        <v>2826</v>
      </c>
      <c r="F17007" t="s">
        <v>2827</v>
      </c>
      <c r="G17007">
        <v>499.98</v>
      </c>
      <c r="H17007">
        <v>251031</v>
      </c>
      <c r="I17007">
        <v>4350</v>
      </c>
      <c r="J17007" t="s">
        <v>290</v>
      </c>
      <c r="K17007">
        <v>2900.28</v>
      </c>
      <c r="L17007">
        <v>0</v>
      </c>
      <c r="M17007">
        <v>11903</v>
      </c>
      <c r="N17007" t="s">
        <v>32</v>
      </c>
      <c r="O17007">
        <v>251119</v>
      </c>
      <c r="P17007">
        <v>499.98</v>
      </c>
    </row>
    <row r="17008" spans="1:16" x14ac:dyDescent="0.25">
      <c r="A17008" t="s">
        <v>3296</v>
      </c>
      <c r="B17008" t="s">
        <v>2931</v>
      </c>
      <c r="C17008">
        <v>15354</v>
      </c>
      <c r="D17008" t="str">
        <f t="shared" si="286"/>
        <v xml:space="preserve">807713347   </v>
      </c>
      <c r="E17008" t="s">
        <v>2826</v>
      </c>
      <c r="F17008" t="s">
        <v>2827</v>
      </c>
      <c r="G17008">
        <v>353.66</v>
      </c>
      <c r="H17008">
        <v>251031</v>
      </c>
      <c r="I17008">
        <v>4350</v>
      </c>
      <c r="J17008" t="s">
        <v>290</v>
      </c>
      <c r="K17008">
        <v>2900.28</v>
      </c>
      <c r="L17008">
        <v>0</v>
      </c>
      <c r="M17008">
        <v>11903</v>
      </c>
      <c r="N17008" t="s">
        <v>32</v>
      </c>
      <c r="O17008">
        <v>251119</v>
      </c>
      <c r="P17008">
        <v>353.66</v>
      </c>
    </row>
    <row r="17009" spans="1:16" x14ac:dyDescent="0.25">
      <c r="A17009" t="s">
        <v>3296</v>
      </c>
      <c r="B17009" t="s">
        <v>2931</v>
      </c>
      <c r="C17009">
        <v>15354</v>
      </c>
      <c r="D17009" t="str">
        <f t="shared" si="286"/>
        <v xml:space="preserve">807713347   </v>
      </c>
      <c r="E17009" t="s">
        <v>2826</v>
      </c>
      <c r="F17009" t="s">
        <v>2827</v>
      </c>
      <c r="G17009">
        <v>226.34</v>
      </c>
      <c r="H17009">
        <v>251031</v>
      </c>
      <c r="I17009">
        <v>4350</v>
      </c>
      <c r="J17009" t="s">
        <v>290</v>
      </c>
      <c r="K17009">
        <v>2900.28</v>
      </c>
      <c r="L17009">
        <v>0</v>
      </c>
      <c r="M17009">
        <v>11903</v>
      </c>
      <c r="N17009" t="s">
        <v>32</v>
      </c>
      <c r="O17009">
        <v>251119</v>
      </c>
      <c r="P17009">
        <v>226.34</v>
      </c>
    </row>
    <row r="17010" spans="1:16" x14ac:dyDescent="0.25">
      <c r="A17010" t="s">
        <v>3296</v>
      </c>
      <c r="B17010" t="s">
        <v>2931</v>
      </c>
      <c r="C17010">
        <v>15354</v>
      </c>
      <c r="D17010" t="str">
        <f t="shared" si="286"/>
        <v xml:space="preserve">807713347   </v>
      </c>
      <c r="E17010" t="s">
        <v>2826</v>
      </c>
      <c r="F17010" t="s">
        <v>2827</v>
      </c>
      <c r="G17010">
        <v>67.239999999999995</v>
      </c>
      <c r="H17010">
        <v>251031</v>
      </c>
      <c r="I17010">
        <v>4350</v>
      </c>
      <c r="J17010" t="s">
        <v>290</v>
      </c>
      <c r="K17010">
        <v>2900.28</v>
      </c>
      <c r="L17010">
        <v>0</v>
      </c>
      <c r="M17010">
        <v>13801</v>
      </c>
      <c r="N17010" t="s">
        <v>33</v>
      </c>
      <c r="O17010">
        <v>251119</v>
      </c>
      <c r="P17010">
        <v>67.239999999999995</v>
      </c>
    </row>
    <row r="17011" spans="1:16" x14ac:dyDescent="0.25">
      <c r="A17011" t="s">
        <v>3296</v>
      </c>
      <c r="B17011" t="s">
        <v>2931</v>
      </c>
      <c r="C17011">
        <v>15354</v>
      </c>
      <c r="D17011" t="str">
        <f t="shared" si="286"/>
        <v xml:space="preserve">807713347   </v>
      </c>
      <c r="E17011" t="s">
        <v>2826</v>
      </c>
      <c r="F17011" t="s">
        <v>2827</v>
      </c>
      <c r="G17011">
        <v>119.35</v>
      </c>
      <c r="H17011">
        <v>251031</v>
      </c>
      <c r="I17011">
        <v>4350</v>
      </c>
      <c r="J17011" t="s">
        <v>290</v>
      </c>
      <c r="K17011">
        <v>2900.28</v>
      </c>
      <c r="L17011">
        <v>0</v>
      </c>
      <c r="M17011">
        <v>17131</v>
      </c>
      <c r="N17011" t="s">
        <v>154</v>
      </c>
      <c r="O17011">
        <v>251119</v>
      </c>
      <c r="P17011">
        <v>119.35</v>
      </c>
    </row>
    <row r="17012" spans="1:16" x14ac:dyDescent="0.25">
      <c r="A17012" t="s">
        <v>3296</v>
      </c>
      <c r="B17012" t="s">
        <v>2931</v>
      </c>
      <c r="C17012">
        <v>15354</v>
      </c>
      <c r="D17012" t="str">
        <f t="shared" si="286"/>
        <v xml:space="preserve">807713347   </v>
      </c>
      <c r="E17012" t="s">
        <v>2826</v>
      </c>
      <c r="F17012" t="s">
        <v>2827</v>
      </c>
      <c r="G17012">
        <v>220.39</v>
      </c>
      <c r="H17012">
        <v>251031</v>
      </c>
      <c r="I17012">
        <v>4350</v>
      </c>
      <c r="J17012" t="s">
        <v>290</v>
      </c>
      <c r="K17012">
        <v>2900.28</v>
      </c>
      <c r="L17012">
        <v>0</v>
      </c>
      <c r="M17012">
        <v>17538</v>
      </c>
      <c r="N17012" t="s">
        <v>129</v>
      </c>
      <c r="O17012">
        <v>251119</v>
      </c>
      <c r="P17012">
        <v>220.39</v>
      </c>
    </row>
    <row r="17013" spans="1:16" x14ac:dyDescent="0.25">
      <c r="A17013" t="s">
        <v>3296</v>
      </c>
      <c r="B17013" t="s">
        <v>2931</v>
      </c>
      <c r="C17013">
        <v>15354</v>
      </c>
      <c r="D17013" t="str">
        <f t="shared" si="286"/>
        <v xml:space="preserve">807713347   </v>
      </c>
      <c r="E17013" t="s">
        <v>2826</v>
      </c>
      <c r="F17013" t="s">
        <v>2827</v>
      </c>
      <c r="G17013">
        <v>504.45</v>
      </c>
      <c r="H17013">
        <v>251031</v>
      </c>
      <c r="I17013">
        <v>4350</v>
      </c>
      <c r="J17013" t="s">
        <v>290</v>
      </c>
      <c r="K17013">
        <v>2900.28</v>
      </c>
      <c r="L17013">
        <v>0</v>
      </c>
      <c r="M17013">
        <v>17538</v>
      </c>
      <c r="N17013" t="s">
        <v>129</v>
      </c>
      <c r="O17013">
        <v>251119</v>
      </c>
      <c r="P17013">
        <v>504.45</v>
      </c>
    </row>
    <row r="17014" spans="1:16" x14ac:dyDescent="0.25">
      <c r="A17014" t="s">
        <v>3296</v>
      </c>
      <c r="B17014" t="s">
        <v>2931</v>
      </c>
      <c r="C17014">
        <v>15354</v>
      </c>
      <c r="D17014" t="str">
        <f t="shared" si="286"/>
        <v xml:space="preserve">807713347   </v>
      </c>
      <c r="E17014" t="s">
        <v>2826</v>
      </c>
      <c r="F17014" t="s">
        <v>2827</v>
      </c>
      <c r="G17014">
        <v>2.92</v>
      </c>
      <c r="H17014">
        <v>251031</v>
      </c>
      <c r="I17014">
        <v>4350</v>
      </c>
      <c r="J17014" t="s">
        <v>290</v>
      </c>
      <c r="K17014">
        <v>2900.28</v>
      </c>
      <c r="L17014">
        <v>0</v>
      </c>
      <c r="M17014">
        <v>49702</v>
      </c>
      <c r="N17014" t="s">
        <v>112</v>
      </c>
      <c r="O17014">
        <v>251119</v>
      </c>
      <c r="P17014">
        <v>2.92</v>
      </c>
    </row>
    <row r="17015" spans="1:16" x14ac:dyDescent="0.25">
      <c r="A17015" t="s">
        <v>3296</v>
      </c>
      <c r="B17015" t="s">
        <v>2931</v>
      </c>
      <c r="C17015">
        <v>15354</v>
      </c>
      <c r="D17015" t="str">
        <f t="shared" si="286"/>
        <v xml:space="preserve">807713347   </v>
      </c>
      <c r="E17015" t="s">
        <v>2826</v>
      </c>
      <c r="F17015" t="s">
        <v>2827</v>
      </c>
      <c r="G17015">
        <v>5.98</v>
      </c>
      <c r="H17015">
        <v>251031</v>
      </c>
      <c r="I17015">
        <v>4350</v>
      </c>
      <c r="J17015" t="s">
        <v>290</v>
      </c>
      <c r="K17015">
        <v>2900.28</v>
      </c>
      <c r="L17015">
        <v>0</v>
      </c>
      <c r="M17015">
        <v>59702</v>
      </c>
      <c r="N17015" t="s">
        <v>45</v>
      </c>
      <c r="O17015">
        <v>251119</v>
      </c>
      <c r="P17015">
        <v>5.98</v>
      </c>
    </row>
    <row r="17016" spans="1:16" x14ac:dyDescent="0.25">
      <c r="A17016" t="s">
        <v>3296</v>
      </c>
      <c r="B17016" t="s">
        <v>2931</v>
      </c>
      <c r="C17016">
        <v>15354</v>
      </c>
      <c r="D17016" t="str">
        <f t="shared" si="286"/>
        <v xml:space="preserve">807713347   </v>
      </c>
      <c r="E17016" t="s">
        <v>2826</v>
      </c>
      <c r="F17016" t="s">
        <v>2827</v>
      </c>
      <c r="G17016">
        <v>79.63</v>
      </c>
      <c r="H17016">
        <v>251031</v>
      </c>
      <c r="I17016">
        <v>4350</v>
      </c>
      <c r="J17016" t="s">
        <v>290</v>
      </c>
      <c r="K17016">
        <v>2900.28</v>
      </c>
      <c r="L17016">
        <v>0</v>
      </c>
      <c r="M17016">
        <v>69702</v>
      </c>
      <c r="N17016" t="s">
        <v>124</v>
      </c>
      <c r="O17016">
        <v>251119</v>
      </c>
      <c r="P17016">
        <v>79.63</v>
      </c>
    </row>
    <row r="17017" spans="1:16" x14ac:dyDescent="0.25">
      <c r="A17017" t="s">
        <v>3296</v>
      </c>
      <c r="B17017" t="s">
        <v>2931</v>
      </c>
      <c r="C17017">
        <v>16885</v>
      </c>
      <c r="D17017" t="str">
        <f t="shared" ref="D17017:D17026" si="287">"808389230   "</f>
        <v xml:space="preserve">808389230   </v>
      </c>
      <c r="E17017" t="s">
        <v>2826</v>
      </c>
      <c r="F17017" t="s">
        <v>2827</v>
      </c>
      <c r="G17017">
        <v>94.55</v>
      </c>
      <c r="H17017">
        <v>251130</v>
      </c>
      <c r="I17017">
        <v>4350</v>
      </c>
      <c r="J17017" t="s">
        <v>290</v>
      </c>
      <c r="K17017">
        <v>1717.48</v>
      </c>
      <c r="L17017">
        <v>0</v>
      </c>
      <c r="M17017">
        <v>11301</v>
      </c>
      <c r="N17017" t="s">
        <v>92</v>
      </c>
      <c r="O17017">
        <v>251215</v>
      </c>
      <c r="P17017">
        <v>94.55</v>
      </c>
    </row>
    <row r="17018" spans="1:16" x14ac:dyDescent="0.25">
      <c r="A17018" t="s">
        <v>3296</v>
      </c>
      <c r="B17018" t="s">
        <v>2931</v>
      </c>
      <c r="C17018">
        <v>16885</v>
      </c>
      <c r="D17018" t="str">
        <f t="shared" si="287"/>
        <v xml:space="preserve">808389230   </v>
      </c>
      <c r="E17018" t="s">
        <v>2826</v>
      </c>
      <c r="F17018" t="s">
        <v>2827</v>
      </c>
      <c r="G17018">
        <v>32.39</v>
      </c>
      <c r="H17018">
        <v>251130</v>
      </c>
      <c r="I17018">
        <v>4350</v>
      </c>
      <c r="J17018" t="s">
        <v>290</v>
      </c>
      <c r="K17018">
        <v>1717.48</v>
      </c>
      <c r="L17018">
        <v>0</v>
      </c>
      <c r="M17018">
        <v>11903</v>
      </c>
      <c r="N17018" t="s">
        <v>32</v>
      </c>
      <c r="O17018">
        <v>251215</v>
      </c>
      <c r="P17018">
        <v>32.39</v>
      </c>
    </row>
    <row r="17019" spans="1:16" x14ac:dyDescent="0.25">
      <c r="A17019" t="s">
        <v>3296</v>
      </c>
      <c r="B17019" t="s">
        <v>2931</v>
      </c>
      <c r="C17019">
        <v>16885</v>
      </c>
      <c r="D17019" t="str">
        <f t="shared" si="287"/>
        <v xml:space="preserve">808389230   </v>
      </c>
      <c r="E17019" t="s">
        <v>2826</v>
      </c>
      <c r="F17019" t="s">
        <v>2827</v>
      </c>
      <c r="G17019">
        <v>143.49</v>
      </c>
      <c r="H17019">
        <v>251130</v>
      </c>
      <c r="I17019">
        <v>4350</v>
      </c>
      <c r="J17019" t="s">
        <v>290</v>
      </c>
      <c r="K17019">
        <v>1717.48</v>
      </c>
      <c r="L17019">
        <v>0</v>
      </c>
      <c r="M17019">
        <v>11903</v>
      </c>
      <c r="N17019" t="s">
        <v>32</v>
      </c>
      <c r="O17019">
        <v>251215</v>
      </c>
      <c r="P17019">
        <v>143.49</v>
      </c>
    </row>
    <row r="17020" spans="1:16" x14ac:dyDescent="0.25">
      <c r="A17020" t="s">
        <v>3296</v>
      </c>
      <c r="B17020" t="s">
        <v>2931</v>
      </c>
      <c r="C17020">
        <v>16885</v>
      </c>
      <c r="D17020" t="str">
        <f t="shared" si="287"/>
        <v xml:space="preserve">808389230   </v>
      </c>
      <c r="E17020" t="s">
        <v>2826</v>
      </c>
      <c r="F17020" t="s">
        <v>2827</v>
      </c>
      <c r="G17020">
        <v>10.35</v>
      </c>
      <c r="H17020">
        <v>251130</v>
      </c>
      <c r="I17020">
        <v>4350</v>
      </c>
      <c r="J17020" t="s">
        <v>290</v>
      </c>
      <c r="K17020">
        <v>1717.48</v>
      </c>
      <c r="L17020">
        <v>0</v>
      </c>
      <c r="M17020">
        <v>13601</v>
      </c>
      <c r="N17020" t="s">
        <v>115</v>
      </c>
      <c r="O17020">
        <v>251215</v>
      </c>
      <c r="P17020">
        <v>10.35</v>
      </c>
    </row>
    <row r="17021" spans="1:16" x14ac:dyDescent="0.25">
      <c r="A17021" t="s">
        <v>3296</v>
      </c>
      <c r="B17021" t="s">
        <v>2931</v>
      </c>
      <c r="C17021">
        <v>16885</v>
      </c>
      <c r="D17021" t="str">
        <f t="shared" si="287"/>
        <v xml:space="preserve">808389230   </v>
      </c>
      <c r="E17021" t="s">
        <v>2826</v>
      </c>
      <c r="F17021" t="s">
        <v>2827</v>
      </c>
      <c r="G17021">
        <v>82.96</v>
      </c>
      <c r="H17021">
        <v>251130</v>
      </c>
      <c r="I17021">
        <v>4350</v>
      </c>
      <c r="J17021" t="s">
        <v>290</v>
      </c>
      <c r="K17021">
        <v>1717.48</v>
      </c>
      <c r="L17021">
        <v>0</v>
      </c>
      <c r="M17021">
        <v>13801</v>
      </c>
      <c r="N17021" t="s">
        <v>33</v>
      </c>
      <c r="O17021">
        <v>251215</v>
      </c>
      <c r="P17021">
        <v>82.96</v>
      </c>
    </row>
    <row r="17022" spans="1:16" x14ac:dyDescent="0.25">
      <c r="A17022" t="s">
        <v>3296</v>
      </c>
      <c r="B17022" t="s">
        <v>2931</v>
      </c>
      <c r="C17022">
        <v>16885</v>
      </c>
      <c r="D17022" t="str">
        <f t="shared" si="287"/>
        <v xml:space="preserve">808389230   </v>
      </c>
      <c r="E17022" t="s">
        <v>2826</v>
      </c>
      <c r="F17022" t="s">
        <v>2827</v>
      </c>
      <c r="G17022">
        <v>80.61</v>
      </c>
      <c r="H17022">
        <v>251130</v>
      </c>
      <c r="I17022">
        <v>4350</v>
      </c>
      <c r="J17022" t="s">
        <v>290</v>
      </c>
      <c r="K17022">
        <v>1717.48</v>
      </c>
      <c r="L17022">
        <v>0</v>
      </c>
      <c r="M17022">
        <v>17131</v>
      </c>
      <c r="N17022" t="s">
        <v>154</v>
      </c>
      <c r="O17022">
        <v>251215</v>
      </c>
      <c r="P17022">
        <v>80.61</v>
      </c>
    </row>
    <row r="17023" spans="1:16" x14ac:dyDescent="0.25">
      <c r="A17023" t="s">
        <v>3296</v>
      </c>
      <c r="B17023" t="s">
        <v>2931</v>
      </c>
      <c r="C17023">
        <v>16885</v>
      </c>
      <c r="D17023" t="str">
        <f t="shared" si="287"/>
        <v xml:space="preserve">808389230   </v>
      </c>
      <c r="E17023" t="s">
        <v>2826</v>
      </c>
      <c r="F17023" t="s">
        <v>2827</v>
      </c>
      <c r="G17023">
        <v>237.1</v>
      </c>
      <c r="H17023">
        <v>251130</v>
      </c>
      <c r="I17023">
        <v>4350</v>
      </c>
      <c r="J17023" t="s">
        <v>290</v>
      </c>
      <c r="K17023">
        <v>1717.48</v>
      </c>
      <c r="L17023">
        <v>0</v>
      </c>
      <c r="M17023">
        <v>17538</v>
      </c>
      <c r="N17023" t="s">
        <v>129</v>
      </c>
      <c r="O17023">
        <v>251215</v>
      </c>
      <c r="P17023">
        <v>237.1</v>
      </c>
    </row>
    <row r="17024" spans="1:16" x14ac:dyDescent="0.25">
      <c r="A17024" t="s">
        <v>3296</v>
      </c>
      <c r="B17024" t="s">
        <v>2931</v>
      </c>
      <c r="C17024">
        <v>16885</v>
      </c>
      <c r="D17024" t="str">
        <f t="shared" si="287"/>
        <v xml:space="preserve">808389230   </v>
      </c>
      <c r="E17024" t="s">
        <v>2826</v>
      </c>
      <c r="F17024" t="s">
        <v>2827</v>
      </c>
      <c r="G17024">
        <v>341.79</v>
      </c>
      <c r="H17024">
        <v>251130</v>
      </c>
      <c r="I17024">
        <v>4350</v>
      </c>
      <c r="J17024" t="s">
        <v>290</v>
      </c>
      <c r="K17024">
        <v>1717.48</v>
      </c>
      <c r="L17024">
        <v>0</v>
      </c>
      <c r="M17024">
        <v>17538</v>
      </c>
      <c r="N17024" t="s">
        <v>129</v>
      </c>
      <c r="O17024">
        <v>251215</v>
      </c>
      <c r="P17024">
        <v>341.79</v>
      </c>
    </row>
    <row r="17025" spans="1:16" x14ac:dyDescent="0.25">
      <c r="A17025" t="s">
        <v>3296</v>
      </c>
      <c r="B17025" t="s">
        <v>2931</v>
      </c>
      <c r="C17025">
        <v>16885</v>
      </c>
      <c r="D17025" t="str">
        <f t="shared" si="287"/>
        <v xml:space="preserve">808389230   </v>
      </c>
      <c r="E17025" t="s">
        <v>2826</v>
      </c>
      <c r="F17025" t="s">
        <v>2827</v>
      </c>
      <c r="G17025">
        <v>427.68</v>
      </c>
      <c r="H17025">
        <v>251130</v>
      </c>
      <c r="I17025">
        <v>4350</v>
      </c>
      <c r="J17025" t="s">
        <v>290</v>
      </c>
      <c r="K17025">
        <v>1717.48</v>
      </c>
      <c r="L17025">
        <v>0</v>
      </c>
      <c r="M17025">
        <v>49702</v>
      </c>
      <c r="N17025" t="s">
        <v>112</v>
      </c>
      <c r="O17025">
        <v>251215</v>
      </c>
      <c r="P17025">
        <v>427.68</v>
      </c>
    </row>
    <row r="17026" spans="1:16" x14ac:dyDescent="0.25">
      <c r="A17026" t="s">
        <v>3296</v>
      </c>
      <c r="B17026" t="s">
        <v>2931</v>
      </c>
      <c r="C17026">
        <v>16885</v>
      </c>
      <c r="D17026" t="str">
        <f t="shared" si="287"/>
        <v xml:space="preserve">808389230   </v>
      </c>
      <c r="E17026" t="s">
        <v>2826</v>
      </c>
      <c r="F17026" t="s">
        <v>2827</v>
      </c>
      <c r="G17026">
        <v>175.6</v>
      </c>
      <c r="H17026">
        <v>251130</v>
      </c>
      <c r="I17026">
        <v>4350</v>
      </c>
      <c r="J17026" t="s">
        <v>290</v>
      </c>
      <c r="K17026">
        <v>1717.48</v>
      </c>
      <c r="L17026">
        <v>0</v>
      </c>
      <c r="M17026">
        <v>59702</v>
      </c>
      <c r="N17026" t="s">
        <v>45</v>
      </c>
      <c r="O17026">
        <v>251215</v>
      </c>
      <c r="P17026">
        <v>175.6</v>
      </c>
    </row>
    <row r="17027" spans="1:16" x14ac:dyDescent="0.25">
      <c r="A17027" t="s">
        <v>3296</v>
      </c>
      <c r="B17027" t="s">
        <v>2931</v>
      </c>
      <c r="C17027">
        <v>18502</v>
      </c>
      <c r="D17027" t="str">
        <f t="shared" ref="D17027:D17035" si="288">"809024741   "</f>
        <v xml:space="preserve">809024741   </v>
      </c>
      <c r="E17027" t="s">
        <v>2826</v>
      </c>
      <c r="F17027" t="s">
        <v>2827</v>
      </c>
      <c r="G17027">
        <v>69.25</v>
      </c>
      <c r="H17027">
        <v>251231</v>
      </c>
      <c r="I17027">
        <v>4350</v>
      </c>
      <c r="J17027" t="s">
        <v>290</v>
      </c>
      <c r="K17027">
        <v>3840.75</v>
      </c>
      <c r="L17027">
        <v>0</v>
      </c>
      <c r="M17027">
        <v>11301</v>
      </c>
      <c r="N17027" t="s">
        <v>92</v>
      </c>
      <c r="O17027">
        <v>260114</v>
      </c>
      <c r="P17027">
        <v>69.25</v>
      </c>
    </row>
    <row r="17028" spans="1:16" x14ac:dyDescent="0.25">
      <c r="A17028" t="s">
        <v>3296</v>
      </c>
      <c r="B17028" t="s">
        <v>2931</v>
      </c>
      <c r="C17028">
        <v>18502</v>
      </c>
      <c r="D17028" t="str">
        <f t="shared" si="288"/>
        <v xml:space="preserve">809024741   </v>
      </c>
      <c r="E17028" t="s">
        <v>2826</v>
      </c>
      <c r="F17028" t="s">
        <v>2827</v>
      </c>
      <c r="G17028">
        <v>1286.1400000000001</v>
      </c>
      <c r="H17028">
        <v>251231</v>
      </c>
      <c r="I17028">
        <v>4350</v>
      </c>
      <c r="J17028" t="s">
        <v>290</v>
      </c>
      <c r="K17028">
        <v>3840.75</v>
      </c>
      <c r="L17028">
        <v>0</v>
      </c>
      <c r="M17028">
        <v>11301</v>
      </c>
      <c r="N17028" t="s">
        <v>92</v>
      </c>
      <c r="O17028">
        <v>260114</v>
      </c>
      <c r="P17028">
        <v>1286.1400000000001</v>
      </c>
    </row>
    <row r="17029" spans="1:16" x14ac:dyDescent="0.25">
      <c r="A17029" t="s">
        <v>3296</v>
      </c>
      <c r="B17029" t="s">
        <v>2931</v>
      </c>
      <c r="C17029">
        <v>18502</v>
      </c>
      <c r="D17029" t="str">
        <f t="shared" si="288"/>
        <v xml:space="preserve">809024741   </v>
      </c>
      <c r="E17029" t="s">
        <v>2826</v>
      </c>
      <c r="F17029" t="s">
        <v>2827</v>
      </c>
      <c r="G17029">
        <v>267.52999999999997</v>
      </c>
      <c r="H17029">
        <v>251231</v>
      </c>
      <c r="I17029">
        <v>4350</v>
      </c>
      <c r="J17029" t="s">
        <v>290</v>
      </c>
      <c r="K17029">
        <v>3840.75</v>
      </c>
      <c r="L17029">
        <v>0</v>
      </c>
      <c r="M17029">
        <v>11903</v>
      </c>
      <c r="N17029" t="s">
        <v>32</v>
      </c>
      <c r="O17029">
        <v>260114</v>
      </c>
      <c r="P17029">
        <v>267.52999999999997</v>
      </c>
    </row>
    <row r="17030" spans="1:16" x14ac:dyDescent="0.25">
      <c r="A17030" t="s">
        <v>3296</v>
      </c>
      <c r="B17030" t="s">
        <v>2931</v>
      </c>
      <c r="C17030">
        <v>18502</v>
      </c>
      <c r="D17030" t="str">
        <f t="shared" si="288"/>
        <v xml:space="preserve">809024741   </v>
      </c>
      <c r="E17030" t="s">
        <v>2826</v>
      </c>
      <c r="F17030" t="s">
        <v>2827</v>
      </c>
      <c r="G17030">
        <v>378.66</v>
      </c>
      <c r="H17030">
        <v>251231</v>
      </c>
      <c r="I17030">
        <v>4350</v>
      </c>
      <c r="J17030" t="s">
        <v>290</v>
      </c>
      <c r="K17030">
        <v>3840.75</v>
      </c>
      <c r="L17030">
        <v>0</v>
      </c>
      <c r="M17030">
        <v>11903</v>
      </c>
      <c r="N17030" t="s">
        <v>32</v>
      </c>
      <c r="O17030">
        <v>260114</v>
      </c>
      <c r="P17030">
        <v>378.66</v>
      </c>
    </row>
    <row r="17031" spans="1:16" x14ac:dyDescent="0.25">
      <c r="A17031" t="s">
        <v>3296</v>
      </c>
      <c r="B17031" t="s">
        <v>2931</v>
      </c>
      <c r="C17031">
        <v>18502</v>
      </c>
      <c r="D17031" t="str">
        <f t="shared" si="288"/>
        <v xml:space="preserve">809024741   </v>
      </c>
      <c r="E17031" t="s">
        <v>2826</v>
      </c>
      <c r="F17031" t="s">
        <v>2827</v>
      </c>
      <c r="G17031">
        <v>89.49</v>
      </c>
      <c r="H17031">
        <v>251231</v>
      </c>
      <c r="I17031">
        <v>4350</v>
      </c>
      <c r="J17031" t="s">
        <v>290</v>
      </c>
      <c r="K17031">
        <v>3840.75</v>
      </c>
      <c r="L17031">
        <v>0</v>
      </c>
      <c r="M17031">
        <v>13601</v>
      </c>
      <c r="N17031" t="s">
        <v>115</v>
      </c>
      <c r="O17031">
        <v>260114</v>
      </c>
      <c r="P17031">
        <v>89.49</v>
      </c>
    </row>
    <row r="17032" spans="1:16" x14ac:dyDescent="0.25">
      <c r="A17032" t="s">
        <v>3296</v>
      </c>
      <c r="B17032" t="s">
        <v>2931</v>
      </c>
      <c r="C17032">
        <v>18502</v>
      </c>
      <c r="D17032" t="str">
        <f t="shared" si="288"/>
        <v xml:space="preserve">809024741   </v>
      </c>
      <c r="E17032" t="s">
        <v>2826</v>
      </c>
      <c r="F17032" t="s">
        <v>2827</v>
      </c>
      <c r="G17032">
        <v>13.45</v>
      </c>
      <c r="H17032">
        <v>251231</v>
      </c>
      <c r="I17032">
        <v>4350</v>
      </c>
      <c r="J17032" t="s">
        <v>290</v>
      </c>
      <c r="K17032">
        <v>3840.75</v>
      </c>
      <c r="L17032">
        <v>0</v>
      </c>
      <c r="M17032">
        <v>17538</v>
      </c>
      <c r="N17032" t="s">
        <v>129</v>
      </c>
      <c r="O17032">
        <v>260114</v>
      </c>
      <c r="P17032">
        <v>13.45</v>
      </c>
    </row>
    <row r="17033" spans="1:16" x14ac:dyDescent="0.25">
      <c r="A17033" t="s">
        <v>3296</v>
      </c>
      <c r="B17033" t="s">
        <v>2931</v>
      </c>
      <c r="C17033">
        <v>18502</v>
      </c>
      <c r="D17033" t="str">
        <f t="shared" si="288"/>
        <v xml:space="preserve">809024741   </v>
      </c>
      <c r="E17033" t="s">
        <v>2826</v>
      </c>
      <c r="F17033" t="s">
        <v>2827</v>
      </c>
      <c r="G17033">
        <v>235.84</v>
      </c>
      <c r="H17033">
        <v>251231</v>
      </c>
      <c r="I17033">
        <v>4350</v>
      </c>
      <c r="J17033" t="s">
        <v>290</v>
      </c>
      <c r="K17033">
        <v>3840.75</v>
      </c>
      <c r="L17033">
        <v>0</v>
      </c>
      <c r="M17033">
        <v>17538</v>
      </c>
      <c r="N17033" t="s">
        <v>129</v>
      </c>
      <c r="O17033">
        <v>260114</v>
      </c>
      <c r="P17033">
        <v>235.84</v>
      </c>
    </row>
    <row r="17034" spans="1:16" x14ac:dyDescent="0.25">
      <c r="A17034" t="s">
        <v>3296</v>
      </c>
      <c r="B17034" t="s">
        <v>2931</v>
      </c>
      <c r="C17034">
        <v>18502</v>
      </c>
      <c r="D17034" t="str">
        <f t="shared" si="288"/>
        <v xml:space="preserve">809024741   </v>
      </c>
      <c r="E17034" t="s">
        <v>2826</v>
      </c>
      <c r="F17034" t="s">
        <v>2827</v>
      </c>
      <c r="G17034">
        <v>295.02999999999997</v>
      </c>
      <c r="H17034">
        <v>251231</v>
      </c>
      <c r="I17034">
        <v>4350</v>
      </c>
      <c r="J17034" t="s">
        <v>290</v>
      </c>
      <c r="K17034">
        <v>3840.75</v>
      </c>
      <c r="L17034">
        <v>0</v>
      </c>
      <c r="M17034">
        <v>49702</v>
      </c>
      <c r="N17034" t="s">
        <v>112</v>
      </c>
      <c r="O17034">
        <v>260114</v>
      </c>
      <c r="P17034">
        <v>295.02999999999997</v>
      </c>
    </row>
    <row r="17035" spans="1:16" x14ac:dyDescent="0.25">
      <c r="A17035" t="s">
        <v>3296</v>
      </c>
      <c r="B17035" t="s">
        <v>2931</v>
      </c>
      <c r="C17035">
        <v>18502</v>
      </c>
      <c r="D17035" t="str">
        <f t="shared" si="288"/>
        <v xml:space="preserve">809024741   </v>
      </c>
      <c r="E17035" t="s">
        <v>2826</v>
      </c>
      <c r="F17035" t="s">
        <v>2827</v>
      </c>
      <c r="G17035">
        <v>269.5</v>
      </c>
      <c r="H17035">
        <v>251231</v>
      </c>
      <c r="I17035">
        <v>4350</v>
      </c>
      <c r="J17035" t="s">
        <v>290</v>
      </c>
      <c r="K17035">
        <v>3840.75</v>
      </c>
      <c r="L17035">
        <v>0</v>
      </c>
      <c r="M17035">
        <v>59702</v>
      </c>
      <c r="N17035" t="s">
        <v>45</v>
      </c>
      <c r="O17035">
        <v>260114</v>
      </c>
      <c r="P17035">
        <v>269.5</v>
      </c>
    </row>
    <row r="17036" spans="1:16" x14ac:dyDescent="0.25">
      <c r="A17036" t="s">
        <v>3296</v>
      </c>
      <c r="B17036" t="s">
        <v>2931</v>
      </c>
      <c r="C17036">
        <v>1202</v>
      </c>
      <c r="D17036" t="str">
        <f>"801038130   "</f>
        <v xml:space="preserve">801038130   </v>
      </c>
      <c r="E17036" t="s">
        <v>2826</v>
      </c>
      <c r="F17036" t="s">
        <v>2827</v>
      </c>
      <c r="G17036">
        <v>45</v>
      </c>
      <c r="H17036">
        <v>250131</v>
      </c>
      <c r="I17036">
        <v>4363</v>
      </c>
      <c r="J17036" t="s">
        <v>2831</v>
      </c>
      <c r="K17036">
        <v>45</v>
      </c>
      <c r="L17036">
        <v>0</v>
      </c>
      <c r="M17036">
        <v>11901</v>
      </c>
      <c r="N17036" t="s">
        <v>31</v>
      </c>
      <c r="O17036">
        <v>250205</v>
      </c>
      <c r="P17036">
        <v>45</v>
      </c>
    </row>
    <row r="17037" spans="1:16" x14ac:dyDescent="0.25">
      <c r="A17037" t="s">
        <v>3296</v>
      </c>
      <c r="B17037" t="s">
        <v>2931</v>
      </c>
      <c r="C17037">
        <v>1203</v>
      </c>
      <c r="D17037" t="str">
        <f>"801038126   "</f>
        <v xml:space="preserve">801038126   </v>
      </c>
      <c r="E17037" t="s">
        <v>2826</v>
      </c>
      <c r="F17037" t="s">
        <v>2827</v>
      </c>
      <c r="G17037">
        <v>45</v>
      </c>
      <c r="H17037">
        <v>250131</v>
      </c>
      <c r="I17037">
        <v>4363</v>
      </c>
      <c r="J17037" t="s">
        <v>2831</v>
      </c>
      <c r="K17037">
        <v>5170.47</v>
      </c>
      <c r="L17037">
        <v>0</v>
      </c>
      <c r="M17037">
        <v>11900</v>
      </c>
      <c r="N17037" t="s">
        <v>30</v>
      </c>
      <c r="O17037">
        <v>250205</v>
      </c>
      <c r="P17037">
        <v>45</v>
      </c>
    </row>
    <row r="17038" spans="1:16" x14ac:dyDescent="0.25">
      <c r="A17038" t="s">
        <v>3296</v>
      </c>
      <c r="B17038" t="s">
        <v>2931</v>
      </c>
      <c r="C17038">
        <v>1293</v>
      </c>
      <c r="D17038" t="str">
        <f>"801038129   "</f>
        <v xml:space="preserve">801038129   </v>
      </c>
      <c r="E17038" t="s">
        <v>2826</v>
      </c>
      <c r="F17038" t="s">
        <v>2827</v>
      </c>
      <c r="G17038">
        <v>45</v>
      </c>
      <c r="H17038">
        <v>250131</v>
      </c>
      <c r="I17038">
        <v>4363</v>
      </c>
      <c r="J17038" t="s">
        <v>2831</v>
      </c>
      <c r="K17038">
        <v>103.9</v>
      </c>
      <c r="L17038">
        <v>0</v>
      </c>
      <c r="M17038">
        <v>11901</v>
      </c>
      <c r="N17038" t="s">
        <v>31</v>
      </c>
      <c r="O17038">
        <v>250206</v>
      </c>
      <c r="P17038">
        <v>45</v>
      </c>
    </row>
    <row r="17039" spans="1:16" x14ac:dyDescent="0.25">
      <c r="A17039" t="s">
        <v>3296</v>
      </c>
      <c r="B17039" t="s">
        <v>2931</v>
      </c>
      <c r="C17039">
        <v>1729</v>
      </c>
      <c r="D17039" t="str">
        <f>"801038132   "</f>
        <v xml:space="preserve">801038132   </v>
      </c>
      <c r="E17039" t="s">
        <v>2826</v>
      </c>
      <c r="F17039" t="s">
        <v>2827</v>
      </c>
      <c r="G17039">
        <v>5.21</v>
      </c>
      <c r="H17039">
        <v>250131</v>
      </c>
      <c r="I17039">
        <v>4363</v>
      </c>
      <c r="J17039" t="s">
        <v>2831</v>
      </c>
      <c r="K17039">
        <v>5363.09</v>
      </c>
      <c r="L17039">
        <v>0</v>
      </c>
      <c r="M17039">
        <v>11301</v>
      </c>
      <c r="N17039" t="s">
        <v>92</v>
      </c>
      <c r="O17039">
        <v>250213</v>
      </c>
      <c r="P17039">
        <v>5.21</v>
      </c>
    </row>
    <row r="17040" spans="1:16" x14ac:dyDescent="0.25">
      <c r="A17040" t="s">
        <v>3296</v>
      </c>
      <c r="B17040" t="s">
        <v>2931</v>
      </c>
      <c r="C17040">
        <v>2712</v>
      </c>
      <c r="D17040" t="str">
        <f>"801515272   "</f>
        <v xml:space="preserve">801515272   </v>
      </c>
      <c r="E17040" t="s">
        <v>2826</v>
      </c>
      <c r="F17040" t="s">
        <v>2827</v>
      </c>
      <c r="G17040">
        <v>45</v>
      </c>
      <c r="H17040">
        <v>250228</v>
      </c>
      <c r="I17040">
        <v>4363</v>
      </c>
      <c r="J17040" t="s">
        <v>2831</v>
      </c>
      <c r="K17040">
        <v>45</v>
      </c>
      <c r="L17040">
        <v>0</v>
      </c>
      <c r="M17040">
        <v>59702</v>
      </c>
      <c r="N17040" t="s">
        <v>45</v>
      </c>
      <c r="O17040">
        <v>250311</v>
      </c>
      <c r="P17040">
        <v>45</v>
      </c>
    </row>
    <row r="17041" spans="1:16" x14ac:dyDescent="0.25">
      <c r="A17041" t="s">
        <v>3296</v>
      </c>
      <c r="B17041" t="s">
        <v>2931</v>
      </c>
      <c r="C17041">
        <v>4368</v>
      </c>
      <c r="D17041" t="str">
        <f>"802023943   "</f>
        <v xml:space="preserve">802023943   </v>
      </c>
      <c r="E17041" t="s">
        <v>2826</v>
      </c>
      <c r="F17041" t="s">
        <v>2827</v>
      </c>
      <c r="G17041">
        <v>45</v>
      </c>
      <c r="H17041">
        <v>250331</v>
      </c>
      <c r="I17041">
        <v>4363</v>
      </c>
      <c r="J17041" t="s">
        <v>2831</v>
      </c>
      <c r="K17041">
        <v>45</v>
      </c>
      <c r="L17041">
        <v>0</v>
      </c>
      <c r="M17041">
        <v>47522</v>
      </c>
      <c r="N17041" t="s">
        <v>106</v>
      </c>
      <c r="O17041">
        <v>250411</v>
      </c>
      <c r="P17041">
        <v>45</v>
      </c>
    </row>
    <row r="17042" spans="1:16" x14ac:dyDescent="0.25">
      <c r="A17042" t="s">
        <v>3296</v>
      </c>
      <c r="B17042" t="s">
        <v>2931</v>
      </c>
      <c r="C17042">
        <v>4445</v>
      </c>
      <c r="D17042" t="str">
        <f>"802023942   "</f>
        <v xml:space="preserve">802023942   </v>
      </c>
      <c r="E17042" t="s">
        <v>2826</v>
      </c>
      <c r="F17042" t="s">
        <v>2827</v>
      </c>
      <c r="G17042">
        <v>45</v>
      </c>
      <c r="H17042">
        <v>250331</v>
      </c>
      <c r="I17042">
        <v>4363</v>
      </c>
      <c r="J17042" t="s">
        <v>2831</v>
      </c>
      <c r="K17042">
        <v>45</v>
      </c>
      <c r="L17042">
        <v>0</v>
      </c>
      <c r="M17042">
        <v>13861</v>
      </c>
      <c r="N17042" t="s">
        <v>604</v>
      </c>
      <c r="O17042">
        <v>250411</v>
      </c>
      <c r="P17042">
        <v>45</v>
      </c>
    </row>
    <row r="17043" spans="1:16" x14ac:dyDescent="0.25">
      <c r="A17043" t="s">
        <v>3296</v>
      </c>
      <c r="B17043" t="s">
        <v>2931</v>
      </c>
      <c r="C17043">
        <v>4449</v>
      </c>
      <c r="D17043" t="str">
        <f>"802023941   "</f>
        <v xml:space="preserve">802023941   </v>
      </c>
      <c r="E17043" t="s">
        <v>2826</v>
      </c>
      <c r="F17043" t="s">
        <v>2827</v>
      </c>
      <c r="G17043">
        <v>45</v>
      </c>
      <c r="H17043">
        <v>250331</v>
      </c>
      <c r="I17043">
        <v>4363</v>
      </c>
      <c r="J17043" t="s">
        <v>2831</v>
      </c>
      <c r="K17043">
        <v>45</v>
      </c>
      <c r="L17043">
        <v>0</v>
      </c>
      <c r="M17043">
        <v>13661</v>
      </c>
      <c r="N17043" t="s">
        <v>243</v>
      </c>
      <c r="O17043">
        <v>250411</v>
      </c>
      <c r="P17043">
        <v>45</v>
      </c>
    </row>
    <row r="17044" spans="1:16" x14ac:dyDescent="0.25">
      <c r="A17044" t="s">
        <v>3296</v>
      </c>
      <c r="B17044" t="s">
        <v>2931</v>
      </c>
      <c r="C17044">
        <v>4524</v>
      </c>
      <c r="D17044" t="str">
        <f>"802023940   "</f>
        <v xml:space="preserve">802023940   </v>
      </c>
      <c r="E17044" t="s">
        <v>2826</v>
      </c>
      <c r="F17044" t="s">
        <v>2827</v>
      </c>
      <c r="G17044">
        <v>45</v>
      </c>
      <c r="H17044">
        <v>250331</v>
      </c>
      <c r="I17044">
        <v>4363</v>
      </c>
      <c r="J17044" t="s">
        <v>2831</v>
      </c>
      <c r="K17044">
        <v>495</v>
      </c>
      <c r="L17044">
        <v>0</v>
      </c>
      <c r="M17044">
        <v>13601</v>
      </c>
      <c r="N17044" t="s">
        <v>115</v>
      </c>
      <c r="O17044">
        <v>250414</v>
      </c>
      <c r="P17044">
        <v>45</v>
      </c>
    </row>
    <row r="17045" spans="1:16" x14ac:dyDescent="0.25">
      <c r="A17045" t="s">
        <v>3296</v>
      </c>
      <c r="B17045" t="s">
        <v>2931</v>
      </c>
      <c r="C17045">
        <v>9985</v>
      </c>
      <c r="D17045" t="str">
        <f>"804409688   "</f>
        <v xml:space="preserve">804409688   </v>
      </c>
      <c r="E17045" t="s">
        <v>2826</v>
      </c>
      <c r="F17045" t="s">
        <v>2827</v>
      </c>
      <c r="G17045">
        <v>45</v>
      </c>
      <c r="H17045">
        <v>250804</v>
      </c>
      <c r="I17045">
        <v>4363</v>
      </c>
      <c r="J17045" t="s">
        <v>2831</v>
      </c>
      <c r="K17045">
        <v>45</v>
      </c>
      <c r="L17045">
        <v>0</v>
      </c>
      <c r="M17045">
        <v>17971</v>
      </c>
      <c r="N17045" t="s">
        <v>27</v>
      </c>
      <c r="O17045">
        <v>250806</v>
      </c>
      <c r="P17045">
        <v>45</v>
      </c>
    </row>
    <row r="17046" spans="1:16" x14ac:dyDescent="0.25">
      <c r="A17046" t="s">
        <v>3296</v>
      </c>
      <c r="B17046" t="s">
        <v>2931</v>
      </c>
      <c r="C17046">
        <v>12973</v>
      </c>
      <c r="D17046" t="str">
        <f>"806354206   "</f>
        <v xml:space="preserve">806354206   </v>
      </c>
      <c r="E17046" t="s">
        <v>2826</v>
      </c>
      <c r="F17046" t="s">
        <v>2827</v>
      </c>
      <c r="G17046">
        <v>45</v>
      </c>
      <c r="H17046">
        <v>250930</v>
      </c>
      <c r="I17046">
        <v>4363</v>
      </c>
      <c r="J17046" t="s">
        <v>2831</v>
      </c>
      <c r="K17046">
        <v>45</v>
      </c>
      <c r="L17046">
        <v>0</v>
      </c>
      <c r="M17046">
        <v>11301</v>
      </c>
      <c r="N17046" t="s">
        <v>92</v>
      </c>
      <c r="O17046">
        <v>251003</v>
      </c>
      <c r="P17046">
        <v>45</v>
      </c>
    </row>
    <row r="17047" spans="1:16" x14ac:dyDescent="0.25">
      <c r="A17047" t="s">
        <v>3296</v>
      </c>
      <c r="B17047" t="s">
        <v>2931</v>
      </c>
      <c r="C17047">
        <v>14536</v>
      </c>
      <c r="D17047" t="str">
        <f>"807713346   "</f>
        <v xml:space="preserve">807713346   </v>
      </c>
      <c r="E17047" t="s">
        <v>2826</v>
      </c>
      <c r="F17047" t="s">
        <v>2827</v>
      </c>
      <c r="G17047">
        <v>45</v>
      </c>
      <c r="H17047">
        <v>251031</v>
      </c>
      <c r="I17047">
        <v>4363</v>
      </c>
      <c r="J17047" t="s">
        <v>2831</v>
      </c>
      <c r="K17047">
        <v>70.849999999999994</v>
      </c>
      <c r="L17047">
        <v>0</v>
      </c>
      <c r="M17047">
        <v>11801</v>
      </c>
      <c r="N17047" t="s">
        <v>40</v>
      </c>
      <c r="O17047">
        <v>251104</v>
      </c>
      <c r="P17047">
        <v>45</v>
      </c>
    </row>
    <row r="17048" spans="1:16" x14ac:dyDescent="0.25">
      <c r="A17048" t="s">
        <v>3296</v>
      </c>
      <c r="B17048" t="s">
        <v>2931</v>
      </c>
      <c r="C17048">
        <v>14582</v>
      </c>
      <c r="D17048" t="str">
        <f>"807713348   "</f>
        <v xml:space="preserve">807713348   </v>
      </c>
      <c r="E17048" t="s">
        <v>2826</v>
      </c>
      <c r="F17048" t="s">
        <v>2827</v>
      </c>
      <c r="G17048">
        <v>45</v>
      </c>
      <c r="H17048">
        <v>251031</v>
      </c>
      <c r="I17048">
        <v>4363</v>
      </c>
      <c r="J17048" t="s">
        <v>2831</v>
      </c>
      <c r="K17048">
        <v>45</v>
      </c>
      <c r="L17048">
        <v>0</v>
      </c>
      <c r="M17048">
        <v>49702</v>
      </c>
      <c r="N17048" t="s">
        <v>112</v>
      </c>
      <c r="O17048">
        <v>251105</v>
      </c>
      <c r="P17048">
        <v>45</v>
      </c>
    </row>
    <row r="17049" spans="1:16" x14ac:dyDescent="0.25">
      <c r="A17049" t="s">
        <v>3296</v>
      </c>
      <c r="B17049" t="s">
        <v>2931</v>
      </c>
      <c r="C17049">
        <v>4585</v>
      </c>
      <c r="D17049" t="str">
        <f>"802023936   "</f>
        <v xml:space="preserve">802023936   </v>
      </c>
      <c r="E17049" t="s">
        <v>2826</v>
      </c>
      <c r="F17049" t="s">
        <v>2827</v>
      </c>
      <c r="G17049">
        <v>45</v>
      </c>
      <c r="H17049">
        <v>250331</v>
      </c>
      <c r="I17049">
        <v>4364</v>
      </c>
      <c r="J17049" t="s">
        <v>470</v>
      </c>
      <c r="K17049">
        <v>4890.43</v>
      </c>
      <c r="L17049">
        <v>0</v>
      </c>
      <c r="M17049">
        <v>11301</v>
      </c>
      <c r="N17049" t="s">
        <v>92</v>
      </c>
      <c r="O17049">
        <v>250414</v>
      </c>
      <c r="P17049">
        <v>45</v>
      </c>
    </row>
    <row r="17050" spans="1:16" x14ac:dyDescent="0.25">
      <c r="A17050" t="s">
        <v>3296</v>
      </c>
      <c r="B17050" t="s">
        <v>2931</v>
      </c>
      <c r="C17050">
        <v>18124</v>
      </c>
      <c r="D17050" t="str">
        <f>"809024742   "</f>
        <v xml:space="preserve">809024742   </v>
      </c>
      <c r="E17050" t="s">
        <v>2826</v>
      </c>
      <c r="F17050" t="s">
        <v>2827</v>
      </c>
      <c r="G17050">
        <v>73.599999999999994</v>
      </c>
      <c r="H17050">
        <v>251231</v>
      </c>
      <c r="I17050">
        <v>4364</v>
      </c>
      <c r="J17050" t="s">
        <v>470</v>
      </c>
      <c r="K17050">
        <v>73.599999999999994</v>
      </c>
      <c r="L17050">
        <v>0</v>
      </c>
      <c r="M17050">
        <v>46554</v>
      </c>
      <c r="N17050" t="s">
        <v>102</v>
      </c>
      <c r="O17050">
        <v>260109</v>
      </c>
      <c r="P17050">
        <v>73.599999999999994</v>
      </c>
    </row>
    <row r="17051" spans="1:16" x14ac:dyDescent="0.25">
      <c r="A17051" t="s">
        <v>3296</v>
      </c>
      <c r="B17051" t="s">
        <v>2931</v>
      </c>
      <c r="C17051">
        <v>7792</v>
      </c>
      <c r="D17051" t="str">
        <f>"802999274   "</f>
        <v xml:space="preserve">802999274   </v>
      </c>
      <c r="E17051" t="s">
        <v>2826</v>
      </c>
      <c r="F17051" t="s">
        <v>2827</v>
      </c>
      <c r="G17051">
        <v>25.85</v>
      </c>
      <c r="H17051">
        <v>250531</v>
      </c>
      <c r="I17051">
        <v>4366</v>
      </c>
      <c r="J17051" t="s">
        <v>65</v>
      </c>
      <c r="K17051">
        <v>986.66</v>
      </c>
      <c r="L17051">
        <v>5.25</v>
      </c>
      <c r="M17051">
        <v>11801</v>
      </c>
      <c r="N17051" t="s">
        <v>40</v>
      </c>
      <c r="O17051">
        <v>250609</v>
      </c>
      <c r="P17051">
        <v>20.6</v>
      </c>
    </row>
    <row r="17052" spans="1:16" x14ac:dyDescent="0.25">
      <c r="A17052" t="s">
        <v>3296</v>
      </c>
      <c r="B17052" t="s">
        <v>2931</v>
      </c>
      <c r="C17052">
        <v>7792</v>
      </c>
      <c r="D17052" t="str">
        <f>"802999274   "</f>
        <v xml:space="preserve">802999274   </v>
      </c>
      <c r="E17052" t="s">
        <v>2826</v>
      </c>
      <c r="F17052" t="s">
        <v>2827</v>
      </c>
      <c r="G17052">
        <v>31.81</v>
      </c>
      <c r="H17052">
        <v>250531</v>
      </c>
      <c r="I17052">
        <v>4366</v>
      </c>
      <c r="J17052" t="s">
        <v>65</v>
      </c>
      <c r="K17052">
        <v>986.66</v>
      </c>
      <c r="L17052">
        <v>0</v>
      </c>
      <c r="M17052">
        <v>11801</v>
      </c>
      <c r="N17052" t="s">
        <v>40</v>
      </c>
      <c r="O17052">
        <v>250609</v>
      </c>
      <c r="P17052">
        <v>31.81</v>
      </c>
    </row>
    <row r="17053" spans="1:16" x14ac:dyDescent="0.25">
      <c r="A17053" t="s">
        <v>3296</v>
      </c>
      <c r="B17053" t="s">
        <v>2931</v>
      </c>
      <c r="C17053">
        <v>10059</v>
      </c>
      <c r="D17053" t="str">
        <f>"804409692   "</f>
        <v xml:space="preserve">804409692   </v>
      </c>
      <c r="E17053" t="s">
        <v>2826</v>
      </c>
      <c r="F17053" t="s">
        <v>2827</v>
      </c>
      <c r="G17053">
        <v>56.5</v>
      </c>
      <c r="H17053">
        <v>250730</v>
      </c>
      <c r="I17053">
        <v>4366</v>
      </c>
      <c r="J17053" t="s">
        <v>65</v>
      </c>
      <c r="K17053">
        <v>58.23</v>
      </c>
      <c r="L17053">
        <v>11.48</v>
      </c>
      <c r="M17053">
        <v>11801</v>
      </c>
      <c r="N17053" t="s">
        <v>40</v>
      </c>
      <c r="O17053">
        <v>250811</v>
      </c>
      <c r="P17053">
        <v>45.02</v>
      </c>
    </row>
    <row r="17054" spans="1:16" x14ac:dyDescent="0.25">
      <c r="A17054" t="s">
        <v>3296</v>
      </c>
      <c r="B17054" t="s">
        <v>2931</v>
      </c>
      <c r="C17054">
        <v>11368</v>
      </c>
      <c r="D17054" t="str">
        <f>"804895994   "</f>
        <v xml:space="preserve">804895994   </v>
      </c>
      <c r="E17054" t="s">
        <v>2826</v>
      </c>
      <c r="F17054" t="s">
        <v>2827</v>
      </c>
      <c r="G17054">
        <v>57.32</v>
      </c>
      <c r="H17054">
        <v>250831</v>
      </c>
      <c r="I17054">
        <v>4366</v>
      </c>
      <c r="J17054" t="s">
        <v>65</v>
      </c>
      <c r="K17054">
        <v>57.32</v>
      </c>
      <c r="L17054">
        <v>0</v>
      </c>
      <c r="M17054">
        <v>11801</v>
      </c>
      <c r="N17054" t="s">
        <v>40</v>
      </c>
      <c r="O17054">
        <v>250904</v>
      </c>
      <c r="P17054">
        <v>57.32</v>
      </c>
    </row>
    <row r="17055" spans="1:16" x14ac:dyDescent="0.25">
      <c r="A17055" t="s">
        <v>3296</v>
      </c>
      <c r="B17055" t="s">
        <v>2931</v>
      </c>
      <c r="C17055">
        <v>14536</v>
      </c>
      <c r="D17055" t="str">
        <f>"807713346   "</f>
        <v xml:space="preserve">807713346   </v>
      </c>
      <c r="E17055" t="s">
        <v>2826</v>
      </c>
      <c r="F17055" t="s">
        <v>2827</v>
      </c>
      <c r="G17055">
        <v>25.85</v>
      </c>
      <c r="H17055">
        <v>251031</v>
      </c>
      <c r="I17055">
        <v>4366</v>
      </c>
      <c r="J17055" t="s">
        <v>65</v>
      </c>
      <c r="K17055">
        <v>70.849999999999994</v>
      </c>
      <c r="L17055">
        <v>5.25</v>
      </c>
      <c r="M17055">
        <v>11801</v>
      </c>
      <c r="N17055" t="s">
        <v>40</v>
      </c>
      <c r="O17055">
        <v>251104</v>
      </c>
      <c r="P17055">
        <v>20.6</v>
      </c>
    </row>
    <row r="17056" spans="1:16" x14ac:dyDescent="0.25">
      <c r="A17056" t="s">
        <v>3296</v>
      </c>
      <c r="B17056" t="s">
        <v>2931</v>
      </c>
      <c r="C17056">
        <v>16474</v>
      </c>
      <c r="D17056" t="str">
        <f>"808389229   "</f>
        <v xml:space="preserve">808389229   </v>
      </c>
      <c r="E17056" t="s">
        <v>2826</v>
      </c>
      <c r="F17056" t="s">
        <v>2827</v>
      </c>
      <c r="G17056">
        <v>25.85</v>
      </c>
      <c r="H17056">
        <v>251130</v>
      </c>
      <c r="I17056">
        <v>4366</v>
      </c>
      <c r="J17056" t="s">
        <v>65</v>
      </c>
      <c r="K17056">
        <v>3371.14</v>
      </c>
      <c r="L17056">
        <v>5.25</v>
      </c>
      <c r="M17056">
        <v>11801</v>
      </c>
      <c r="N17056" t="s">
        <v>40</v>
      </c>
      <c r="O17056">
        <v>251209</v>
      </c>
      <c r="P17056">
        <v>20.6</v>
      </c>
    </row>
    <row r="17057" spans="1:16" x14ac:dyDescent="0.25">
      <c r="A17057" t="s">
        <v>3296</v>
      </c>
      <c r="B17057" t="s">
        <v>2931</v>
      </c>
      <c r="C17057">
        <v>1293</v>
      </c>
      <c r="D17057" t="str">
        <f>"801038129   "</f>
        <v xml:space="preserve">801038129   </v>
      </c>
      <c r="E17057" t="s">
        <v>2826</v>
      </c>
      <c r="F17057" t="s">
        <v>2827</v>
      </c>
      <c r="G17057">
        <v>20</v>
      </c>
      <c r="H17057">
        <v>250131</v>
      </c>
      <c r="I17057">
        <v>4367</v>
      </c>
      <c r="J17057" t="s">
        <v>159</v>
      </c>
      <c r="K17057">
        <v>103.9</v>
      </c>
      <c r="L17057">
        <v>0</v>
      </c>
      <c r="M17057">
        <v>11901</v>
      </c>
      <c r="N17057" t="s">
        <v>31</v>
      </c>
      <c r="O17057">
        <v>250206</v>
      </c>
      <c r="P17057">
        <v>20</v>
      </c>
    </row>
    <row r="17058" spans="1:16" x14ac:dyDescent="0.25">
      <c r="A17058" t="s">
        <v>3296</v>
      </c>
      <c r="B17058" t="s">
        <v>2931</v>
      </c>
      <c r="C17058">
        <v>1387</v>
      </c>
      <c r="D17058" t="str">
        <f>"801038131   "</f>
        <v xml:space="preserve">801038131   </v>
      </c>
      <c r="E17058" t="s">
        <v>2826</v>
      </c>
      <c r="F17058" t="s">
        <v>2827</v>
      </c>
      <c r="G17058">
        <v>214.53</v>
      </c>
      <c r="H17058">
        <v>250131</v>
      </c>
      <c r="I17058">
        <v>4367</v>
      </c>
      <c r="J17058" t="s">
        <v>159</v>
      </c>
      <c r="K17058">
        <v>214.53</v>
      </c>
      <c r="L17058">
        <v>0</v>
      </c>
      <c r="M17058">
        <v>11801</v>
      </c>
      <c r="N17058" t="s">
        <v>40</v>
      </c>
      <c r="O17058">
        <v>250210</v>
      </c>
      <c r="P17058">
        <v>214.53</v>
      </c>
    </row>
    <row r="17059" spans="1:16" x14ac:dyDescent="0.25">
      <c r="A17059" t="s">
        <v>3296</v>
      </c>
      <c r="B17059" t="s">
        <v>2931</v>
      </c>
      <c r="C17059">
        <v>1729</v>
      </c>
      <c r="D17059" t="str">
        <f>"801038132   "</f>
        <v xml:space="preserve">801038132   </v>
      </c>
      <c r="E17059" t="s">
        <v>2826</v>
      </c>
      <c r="F17059" t="s">
        <v>2827</v>
      </c>
      <c r="G17059">
        <v>2.99</v>
      </c>
      <c r="H17059">
        <v>250131</v>
      </c>
      <c r="I17059">
        <v>4367</v>
      </c>
      <c r="J17059" t="s">
        <v>159</v>
      </c>
      <c r="K17059">
        <v>5363.09</v>
      </c>
      <c r="L17059">
        <v>0.61</v>
      </c>
      <c r="M17059">
        <v>11301</v>
      </c>
      <c r="N17059" t="s">
        <v>92</v>
      </c>
      <c r="O17059">
        <v>250213</v>
      </c>
      <c r="P17059">
        <v>2.38</v>
      </c>
    </row>
    <row r="17060" spans="1:16" x14ac:dyDescent="0.25">
      <c r="A17060" t="s">
        <v>3296</v>
      </c>
      <c r="B17060" t="s">
        <v>2931</v>
      </c>
      <c r="C17060">
        <v>1729</v>
      </c>
      <c r="D17060" t="str">
        <f>"801038132   "</f>
        <v xml:space="preserve">801038132   </v>
      </c>
      <c r="E17060" t="s">
        <v>2826</v>
      </c>
      <c r="F17060" t="s">
        <v>2827</v>
      </c>
      <c r="G17060">
        <v>120</v>
      </c>
      <c r="H17060">
        <v>250131</v>
      </c>
      <c r="I17060">
        <v>4367</v>
      </c>
      <c r="J17060" t="s">
        <v>159</v>
      </c>
      <c r="K17060">
        <v>5363.09</v>
      </c>
      <c r="L17060">
        <v>0</v>
      </c>
      <c r="M17060">
        <v>11301</v>
      </c>
      <c r="N17060" t="s">
        <v>92</v>
      </c>
      <c r="O17060">
        <v>250213</v>
      </c>
      <c r="P17060">
        <v>120</v>
      </c>
    </row>
    <row r="17061" spans="1:16" x14ac:dyDescent="0.25">
      <c r="A17061" t="s">
        <v>3296</v>
      </c>
      <c r="B17061" t="s">
        <v>2931</v>
      </c>
      <c r="C17061">
        <v>1729</v>
      </c>
      <c r="D17061" t="str">
        <f>"801038132   "</f>
        <v xml:space="preserve">801038132   </v>
      </c>
      <c r="E17061" t="s">
        <v>2826</v>
      </c>
      <c r="F17061" t="s">
        <v>2827</v>
      </c>
      <c r="G17061">
        <v>570.61</v>
      </c>
      <c r="H17061">
        <v>250131</v>
      </c>
      <c r="I17061">
        <v>4367</v>
      </c>
      <c r="J17061" t="s">
        <v>159</v>
      </c>
      <c r="K17061">
        <v>5363.09</v>
      </c>
      <c r="L17061">
        <v>0</v>
      </c>
      <c r="M17061">
        <v>11301</v>
      </c>
      <c r="N17061" t="s">
        <v>92</v>
      </c>
      <c r="O17061">
        <v>250213</v>
      </c>
      <c r="P17061">
        <v>570.61</v>
      </c>
    </row>
    <row r="17062" spans="1:16" x14ac:dyDescent="0.25">
      <c r="A17062" t="s">
        <v>3296</v>
      </c>
      <c r="B17062" t="s">
        <v>2931</v>
      </c>
      <c r="C17062">
        <v>1729</v>
      </c>
      <c r="D17062" t="str">
        <f>"801038132   "</f>
        <v xml:space="preserve">801038132   </v>
      </c>
      <c r="E17062" t="s">
        <v>2826</v>
      </c>
      <c r="F17062" t="s">
        <v>2827</v>
      </c>
      <c r="G17062">
        <v>666.41</v>
      </c>
      <c r="H17062">
        <v>250131</v>
      </c>
      <c r="I17062">
        <v>4367</v>
      </c>
      <c r="J17062" t="s">
        <v>159</v>
      </c>
      <c r="K17062">
        <v>5363.09</v>
      </c>
      <c r="L17062">
        <v>135.41</v>
      </c>
      <c r="M17062">
        <v>11301</v>
      </c>
      <c r="N17062" t="s">
        <v>92</v>
      </c>
      <c r="O17062">
        <v>250213</v>
      </c>
      <c r="P17062">
        <v>531</v>
      </c>
    </row>
    <row r="17063" spans="1:16" x14ac:dyDescent="0.25">
      <c r="A17063" t="s">
        <v>3296</v>
      </c>
      <c r="B17063" t="s">
        <v>2931</v>
      </c>
      <c r="C17063">
        <v>1729</v>
      </c>
      <c r="D17063" t="str">
        <f>"801038132   "</f>
        <v xml:space="preserve">801038132   </v>
      </c>
      <c r="E17063" t="s">
        <v>2826</v>
      </c>
      <c r="F17063" t="s">
        <v>2827</v>
      </c>
      <c r="G17063">
        <v>2232.64</v>
      </c>
      <c r="H17063">
        <v>250131</v>
      </c>
      <c r="I17063">
        <v>4367</v>
      </c>
      <c r="J17063" t="s">
        <v>159</v>
      </c>
      <c r="K17063">
        <v>5363.09</v>
      </c>
      <c r="L17063">
        <v>0</v>
      </c>
      <c r="M17063">
        <v>11301</v>
      </c>
      <c r="N17063" t="s">
        <v>92</v>
      </c>
      <c r="O17063">
        <v>250213</v>
      </c>
      <c r="P17063">
        <v>2232.64</v>
      </c>
    </row>
    <row r="17064" spans="1:16" x14ac:dyDescent="0.25">
      <c r="A17064" t="s">
        <v>3296</v>
      </c>
      <c r="B17064" t="s">
        <v>2931</v>
      </c>
      <c r="C17064">
        <v>2729</v>
      </c>
      <c r="D17064" t="str">
        <f>"801515274   "</f>
        <v xml:space="preserve">801515274   </v>
      </c>
      <c r="E17064" t="s">
        <v>2826</v>
      </c>
      <c r="F17064" t="s">
        <v>2827</v>
      </c>
      <c r="G17064">
        <v>20.07</v>
      </c>
      <c r="H17064">
        <v>250228</v>
      </c>
      <c r="I17064">
        <v>4367</v>
      </c>
      <c r="J17064" t="s">
        <v>159</v>
      </c>
      <c r="K17064">
        <v>20.07</v>
      </c>
      <c r="L17064">
        <v>0</v>
      </c>
      <c r="M17064">
        <v>11901</v>
      </c>
      <c r="N17064" t="s">
        <v>31</v>
      </c>
      <c r="O17064">
        <v>250311</v>
      </c>
      <c r="P17064">
        <v>20.07</v>
      </c>
    </row>
    <row r="17065" spans="1:16" x14ac:dyDescent="0.25">
      <c r="A17065" t="s">
        <v>3296</v>
      </c>
      <c r="B17065" t="s">
        <v>2931</v>
      </c>
      <c r="C17065">
        <v>2831</v>
      </c>
      <c r="D17065" t="str">
        <f>"801515277   "</f>
        <v xml:space="preserve">801515277   </v>
      </c>
      <c r="E17065" t="s">
        <v>2826</v>
      </c>
      <c r="F17065" t="s">
        <v>2827</v>
      </c>
      <c r="G17065">
        <v>2.99</v>
      </c>
      <c r="H17065">
        <v>250228</v>
      </c>
      <c r="I17065">
        <v>4367</v>
      </c>
      <c r="J17065" t="s">
        <v>159</v>
      </c>
      <c r="K17065">
        <v>5347.01</v>
      </c>
      <c r="L17065">
        <v>0</v>
      </c>
      <c r="M17065">
        <v>11301</v>
      </c>
      <c r="N17065" t="s">
        <v>92</v>
      </c>
      <c r="O17065">
        <v>250312</v>
      </c>
      <c r="P17065">
        <v>2.99</v>
      </c>
    </row>
    <row r="17066" spans="1:16" x14ac:dyDescent="0.25">
      <c r="A17066" t="s">
        <v>3296</v>
      </c>
      <c r="B17066" t="s">
        <v>2931</v>
      </c>
      <c r="C17066">
        <v>2831</v>
      </c>
      <c r="D17066" t="str">
        <f>"801515277   "</f>
        <v xml:space="preserve">801515277   </v>
      </c>
      <c r="E17066" t="s">
        <v>2826</v>
      </c>
      <c r="F17066" t="s">
        <v>2827</v>
      </c>
      <c r="G17066">
        <v>129.99</v>
      </c>
      <c r="H17066">
        <v>250228</v>
      </c>
      <c r="I17066">
        <v>4367</v>
      </c>
      <c r="J17066" t="s">
        <v>159</v>
      </c>
      <c r="K17066">
        <v>5347.01</v>
      </c>
      <c r="L17066">
        <v>0</v>
      </c>
      <c r="M17066">
        <v>11301</v>
      </c>
      <c r="N17066" t="s">
        <v>92</v>
      </c>
      <c r="O17066">
        <v>250312</v>
      </c>
      <c r="P17066">
        <v>129.99</v>
      </c>
    </row>
    <row r="17067" spans="1:16" x14ac:dyDescent="0.25">
      <c r="A17067" t="s">
        <v>3296</v>
      </c>
      <c r="B17067" t="s">
        <v>2931</v>
      </c>
      <c r="C17067">
        <v>2892</v>
      </c>
      <c r="D17067" t="str">
        <f>"801515276   "</f>
        <v xml:space="preserve">801515276   </v>
      </c>
      <c r="E17067" t="s">
        <v>2826</v>
      </c>
      <c r="F17067" t="s">
        <v>2827</v>
      </c>
      <c r="G17067">
        <v>34.630000000000003</v>
      </c>
      <c r="H17067">
        <v>250228</v>
      </c>
      <c r="I17067">
        <v>4367</v>
      </c>
      <c r="J17067" t="s">
        <v>159</v>
      </c>
      <c r="K17067">
        <v>34.630000000000003</v>
      </c>
      <c r="L17067">
        <v>0</v>
      </c>
      <c r="M17067">
        <v>11801</v>
      </c>
      <c r="N17067" t="s">
        <v>40</v>
      </c>
      <c r="O17067">
        <v>250313</v>
      </c>
      <c r="P17067">
        <v>34.630000000000003</v>
      </c>
    </row>
    <row r="17068" spans="1:16" x14ac:dyDescent="0.25">
      <c r="A17068" t="s">
        <v>3296</v>
      </c>
      <c r="B17068" t="s">
        <v>2931</v>
      </c>
      <c r="C17068">
        <v>4463</v>
      </c>
      <c r="D17068" t="str">
        <f>"802023934   "</f>
        <v xml:space="preserve">802023934   </v>
      </c>
      <c r="E17068" t="s">
        <v>2826</v>
      </c>
      <c r="F17068" t="s">
        <v>2827</v>
      </c>
      <c r="G17068">
        <v>19.75</v>
      </c>
      <c r="H17068">
        <v>250331</v>
      </c>
      <c r="I17068">
        <v>4367</v>
      </c>
      <c r="J17068" t="s">
        <v>159</v>
      </c>
      <c r="K17068">
        <v>34.020000000000003</v>
      </c>
      <c r="L17068">
        <v>0</v>
      </c>
      <c r="M17068">
        <v>11901</v>
      </c>
      <c r="N17068" t="s">
        <v>31</v>
      </c>
      <c r="O17068">
        <v>250411</v>
      </c>
      <c r="P17068">
        <v>19.75</v>
      </c>
    </row>
    <row r="17069" spans="1:16" x14ac:dyDescent="0.25">
      <c r="A17069" t="s">
        <v>3296</v>
      </c>
      <c r="B17069" t="s">
        <v>2931</v>
      </c>
      <c r="C17069">
        <v>4500</v>
      </c>
      <c r="D17069" t="str">
        <f>"802023935   "</f>
        <v xml:space="preserve">802023935   </v>
      </c>
      <c r="E17069" t="s">
        <v>2826</v>
      </c>
      <c r="F17069" t="s">
        <v>2827</v>
      </c>
      <c r="G17069">
        <v>34.56</v>
      </c>
      <c r="H17069">
        <v>250331</v>
      </c>
      <c r="I17069">
        <v>4367</v>
      </c>
      <c r="J17069" t="s">
        <v>159</v>
      </c>
      <c r="K17069">
        <v>49.38</v>
      </c>
      <c r="L17069">
        <v>0</v>
      </c>
      <c r="M17069">
        <v>11801</v>
      </c>
      <c r="N17069" t="s">
        <v>40</v>
      </c>
      <c r="O17069">
        <v>250414</v>
      </c>
      <c r="P17069">
        <v>34.56</v>
      </c>
    </row>
    <row r="17070" spans="1:16" x14ac:dyDescent="0.25">
      <c r="A17070" t="s">
        <v>3296</v>
      </c>
      <c r="B17070" t="s">
        <v>2931</v>
      </c>
      <c r="C17070">
        <v>4585</v>
      </c>
      <c r="D17070" t="str">
        <f>"802023936   "</f>
        <v xml:space="preserve">802023936   </v>
      </c>
      <c r="E17070" t="s">
        <v>2826</v>
      </c>
      <c r="F17070" t="s">
        <v>2827</v>
      </c>
      <c r="G17070">
        <v>2.99</v>
      </c>
      <c r="H17070">
        <v>250331</v>
      </c>
      <c r="I17070">
        <v>4367</v>
      </c>
      <c r="J17070" t="s">
        <v>159</v>
      </c>
      <c r="K17070">
        <v>4890.43</v>
      </c>
      <c r="L17070">
        <v>0</v>
      </c>
      <c r="M17070">
        <v>11301</v>
      </c>
      <c r="N17070" t="s">
        <v>92</v>
      </c>
      <c r="O17070">
        <v>250414</v>
      </c>
      <c r="P17070">
        <v>2.99</v>
      </c>
    </row>
    <row r="17071" spans="1:16" x14ac:dyDescent="0.25">
      <c r="A17071" t="s">
        <v>3296</v>
      </c>
      <c r="B17071" t="s">
        <v>2931</v>
      </c>
      <c r="C17071">
        <v>4585</v>
      </c>
      <c r="D17071" t="str">
        <f>"802023936   "</f>
        <v xml:space="preserve">802023936   </v>
      </c>
      <c r="E17071" t="s">
        <v>2826</v>
      </c>
      <c r="F17071" t="s">
        <v>2827</v>
      </c>
      <c r="G17071">
        <v>31.36</v>
      </c>
      <c r="H17071">
        <v>250331</v>
      </c>
      <c r="I17071">
        <v>4367</v>
      </c>
      <c r="J17071" t="s">
        <v>159</v>
      </c>
      <c r="K17071">
        <v>4890.43</v>
      </c>
      <c r="L17071">
        <v>0</v>
      </c>
      <c r="M17071">
        <v>11301</v>
      </c>
      <c r="N17071" t="s">
        <v>92</v>
      </c>
      <c r="O17071">
        <v>250414</v>
      </c>
      <c r="P17071">
        <v>31.36</v>
      </c>
    </row>
    <row r="17072" spans="1:16" x14ac:dyDescent="0.25">
      <c r="A17072" t="s">
        <v>3296</v>
      </c>
      <c r="B17072" t="s">
        <v>2931</v>
      </c>
      <c r="C17072">
        <v>4585</v>
      </c>
      <c r="D17072" t="str">
        <f>"802023936   "</f>
        <v xml:space="preserve">802023936   </v>
      </c>
      <c r="E17072" t="s">
        <v>2826</v>
      </c>
      <c r="F17072" t="s">
        <v>2827</v>
      </c>
      <c r="G17072">
        <v>564.67999999999995</v>
      </c>
      <c r="H17072">
        <v>250331</v>
      </c>
      <c r="I17072">
        <v>4367</v>
      </c>
      <c r="J17072" t="s">
        <v>159</v>
      </c>
      <c r="K17072">
        <v>4890.43</v>
      </c>
      <c r="L17072">
        <v>0</v>
      </c>
      <c r="M17072">
        <v>11301</v>
      </c>
      <c r="N17072" t="s">
        <v>92</v>
      </c>
      <c r="O17072">
        <v>250414</v>
      </c>
      <c r="P17072">
        <v>564.67999999999995</v>
      </c>
    </row>
    <row r="17073" spans="1:16" x14ac:dyDescent="0.25">
      <c r="A17073" t="s">
        <v>3296</v>
      </c>
      <c r="B17073" t="s">
        <v>2931</v>
      </c>
      <c r="C17073">
        <v>4853</v>
      </c>
      <c r="D17073" t="str">
        <f>"802023931   "</f>
        <v xml:space="preserve">802023931   </v>
      </c>
      <c r="E17073" t="s">
        <v>2826</v>
      </c>
      <c r="F17073" t="s">
        <v>2827</v>
      </c>
      <c r="G17073">
        <v>2.4900000000000002</v>
      </c>
      <c r="H17073">
        <v>250331</v>
      </c>
      <c r="I17073">
        <v>4367</v>
      </c>
      <c r="J17073" t="s">
        <v>159</v>
      </c>
      <c r="K17073">
        <v>1827.07</v>
      </c>
      <c r="L17073">
        <v>0.51</v>
      </c>
      <c r="M17073">
        <v>11903</v>
      </c>
      <c r="N17073" t="s">
        <v>32</v>
      </c>
      <c r="O17073">
        <v>250416</v>
      </c>
      <c r="P17073">
        <v>1.98</v>
      </c>
    </row>
    <row r="17074" spans="1:16" x14ac:dyDescent="0.25">
      <c r="A17074" t="s">
        <v>3296</v>
      </c>
      <c r="B17074" t="s">
        <v>2931</v>
      </c>
      <c r="C17074">
        <v>5904</v>
      </c>
      <c r="D17074" t="str">
        <f>"802504703   "</f>
        <v xml:space="preserve">802504703   </v>
      </c>
      <c r="E17074" t="s">
        <v>2826</v>
      </c>
      <c r="F17074" t="s">
        <v>2827</v>
      </c>
      <c r="G17074">
        <v>18.89</v>
      </c>
      <c r="H17074">
        <v>250430</v>
      </c>
      <c r="I17074">
        <v>4367</v>
      </c>
      <c r="J17074" t="s">
        <v>159</v>
      </c>
      <c r="K17074">
        <v>232.39</v>
      </c>
      <c r="L17074">
        <v>0</v>
      </c>
      <c r="M17074">
        <v>11901</v>
      </c>
      <c r="N17074" t="s">
        <v>31</v>
      </c>
      <c r="O17074">
        <v>250507</v>
      </c>
      <c r="P17074">
        <v>18.89</v>
      </c>
    </row>
    <row r="17075" spans="1:16" x14ac:dyDescent="0.25">
      <c r="A17075" t="s">
        <v>3296</v>
      </c>
      <c r="B17075" t="s">
        <v>2931</v>
      </c>
      <c r="C17075">
        <v>6227</v>
      </c>
      <c r="D17075" t="str">
        <f>"802504701   "</f>
        <v xml:space="preserve">802504701   </v>
      </c>
      <c r="E17075" t="s">
        <v>2826</v>
      </c>
      <c r="F17075" t="s">
        <v>2827</v>
      </c>
      <c r="G17075">
        <v>9.99</v>
      </c>
      <c r="H17075">
        <v>250430</v>
      </c>
      <c r="I17075">
        <v>4367</v>
      </c>
      <c r="J17075" t="s">
        <v>159</v>
      </c>
      <c r="K17075">
        <v>1042.3800000000001</v>
      </c>
      <c r="L17075">
        <v>2.0299999999999998</v>
      </c>
      <c r="M17075">
        <v>11903</v>
      </c>
      <c r="N17075" t="s">
        <v>32</v>
      </c>
      <c r="O17075">
        <v>250512</v>
      </c>
      <c r="P17075">
        <v>7.96</v>
      </c>
    </row>
    <row r="17076" spans="1:16" x14ac:dyDescent="0.25">
      <c r="A17076" t="s">
        <v>3296</v>
      </c>
      <c r="B17076" t="s">
        <v>2931</v>
      </c>
      <c r="C17076">
        <v>6476</v>
      </c>
      <c r="D17076" t="str">
        <f>"802504705   "</f>
        <v xml:space="preserve">802504705   </v>
      </c>
      <c r="E17076" t="s">
        <v>2826</v>
      </c>
      <c r="F17076" t="s">
        <v>2827</v>
      </c>
      <c r="G17076">
        <v>2.99</v>
      </c>
      <c r="H17076">
        <v>250430</v>
      </c>
      <c r="I17076">
        <v>4367</v>
      </c>
      <c r="J17076" t="s">
        <v>159</v>
      </c>
      <c r="K17076">
        <v>4204.8999999999996</v>
      </c>
      <c r="L17076">
        <v>0</v>
      </c>
      <c r="M17076">
        <v>11301</v>
      </c>
      <c r="N17076" t="s">
        <v>92</v>
      </c>
      <c r="O17076">
        <v>250513</v>
      </c>
      <c r="P17076">
        <v>2.99</v>
      </c>
    </row>
    <row r="17077" spans="1:16" x14ac:dyDescent="0.25">
      <c r="A17077" t="s">
        <v>3296</v>
      </c>
      <c r="B17077" t="s">
        <v>2931</v>
      </c>
      <c r="C17077">
        <v>6476</v>
      </c>
      <c r="D17077" t="str">
        <f>"802504705   "</f>
        <v xml:space="preserve">802504705   </v>
      </c>
      <c r="E17077" t="s">
        <v>2826</v>
      </c>
      <c r="F17077" t="s">
        <v>2827</v>
      </c>
      <c r="G17077">
        <v>9.41</v>
      </c>
      <c r="H17077">
        <v>250430</v>
      </c>
      <c r="I17077">
        <v>4367</v>
      </c>
      <c r="J17077" t="s">
        <v>159</v>
      </c>
      <c r="K17077">
        <v>4204.8999999999996</v>
      </c>
      <c r="L17077">
        <v>0</v>
      </c>
      <c r="M17077">
        <v>11301</v>
      </c>
      <c r="N17077" t="s">
        <v>92</v>
      </c>
      <c r="O17077">
        <v>250513</v>
      </c>
      <c r="P17077">
        <v>9.41</v>
      </c>
    </row>
    <row r="17078" spans="1:16" x14ac:dyDescent="0.25">
      <c r="A17078" t="s">
        <v>3296</v>
      </c>
      <c r="B17078" t="s">
        <v>2931</v>
      </c>
      <c r="C17078">
        <v>6476</v>
      </c>
      <c r="D17078" t="str">
        <f>"802504705   "</f>
        <v xml:space="preserve">802504705   </v>
      </c>
      <c r="E17078" t="s">
        <v>2826</v>
      </c>
      <c r="F17078" t="s">
        <v>2827</v>
      </c>
      <c r="G17078">
        <v>108.51</v>
      </c>
      <c r="H17078">
        <v>250430</v>
      </c>
      <c r="I17078">
        <v>4367</v>
      </c>
      <c r="J17078" t="s">
        <v>159</v>
      </c>
      <c r="K17078">
        <v>4204.8999999999996</v>
      </c>
      <c r="L17078">
        <v>0</v>
      </c>
      <c r="M17078">
        <v>11301</v>
      </c>
      <c r="N17078" t="s">
        <v>92</v>
      </c>
      <c r="O17078">
        <v>250513</v>
      </c>
      <c r="P17078">
        <v>108.51</v>
      </c>
    </row>
    <row r="17079" spans="1:16" x14ac:dyDescent="0.25">
      <c r="A17079" t="s">
        <v>3296</v>
      </c>
      <c r="B17079" t="s">
        <v>2931</v>
      </c>
      <c r="C17079">
        <v>6476</v>
      </c>
      <c r="D17079" t="str">
        <f>"802504705   "</f>
        <v xml:space="preserve">802504705   </v>
      </c>
      <c r="E17079" t="s">
        <v>2826</v>
      </c>
      <c r="F17079" t="s">
        <v>2827</v>
      </c>
      <c r="G17079">
        <v>666.41</v>
      </c>
      <c r="H17079">
        <v>250430</v>
      </c>
      <c r="I17079">
        <v>4367</v>
      </c>
      <c r="J17079" t="s">
        <v>159</v>
      </c>
      <c r="K17079">
        <v>4204.8999999999996</v>
      </c>
      <c r="L17079">
        <v>135.41</v>
      </c>
      <c r="M17079">
        <v>11301</v>
      </c>
      <c r="N17079" t="s">
        <v>92</v>
      </c>
      <c r="O17079">
        <v>250513</v>
      </c>
      <c r="P17079">
        <v>531</v>
      </c>
    </row>
    <row r="17080" spans="1:16" x14ac:dyDescent="0.25">
      <c r="A17080" t="s">
        <v>3296</v>
      </c>
      <c r="B17080" t="s">
        <v>2931</v>
      </c>
      <c r="C17080">
        <v>6714</v>
      </c>
      <c r="D17080" t="str">
        <f>"802504704   "</f>
        <v xml:space="preserve">802504704   </v>
      </c>
      <c r="E17080" t="s">
        <v>2826</v>
      </c>
      <c r="F17080" t="s">
        <v>2827</v>
      </c>
      <c r="G17080">
        <v>79.790000000000006</v>
      </c>
      <c r="H17080">
        <v>250430</v>
      </c>
      <c r="I17080">
        <v>4367</v>
      </c>
      <c r="J17080" t="s">
        <v>159</v>
      </c>
      <c r="K17080">
        <v>114.09</v>
      </c>
      <c r="L17080">
        <v>16.21</v>
      </c>
      <c r="M17080">
        <v>11801</v>
      </c>
      <c r="N17080" t="s">
        <v>40</v>
      </c>
      <c r="O17080">
        <v>250516</v>
      </c>
      <c r="P17080">
        <v>63.58</v>
      </c>
    </row>
    <row r="17081" spans="1:16" x14ac:dyDescent="0.25">
      <c r="A17081" t="s">
        <v>3296</v>
      </c>
      <c r="B17081" t="s">
        <v>2931</v>
      </c>
      <c r="C17081">
        <v>7798</v>
      </c>
      <c r="D17081" t="str">
        <f>"802999273   "</f>
        <v xml:space="preserve">802999273   </v>
      </c>
      <c r="E17081" t="s">
        <v>2826</v>
      </c>
      <c r="F17081" t="s">
        <v>2827</v>
      </c>
      <c r="G17081">
        <v>18.190000000000001</v>
      </c>
      <c r="H17081">
        <v>250531</v>
      </c>
      <c r="I17081">
        <v>4367</v>
      </c>
      <c r="J17081" t="s">
        <v>159</v>
      </c>
      <c r="K17081">
        <v>45.71</v>
      </c>
      <c r="L17081">
        <v>0</v>
      </c>
      <c r="M17081">
        <v>11901</v>
      </c>
      <c r="N17081" t="s">
        <v>31</v>
      </c>
      <c r="O17081">
        <v>250609</v>
      </c>
      <c r="P17081">
        <v>18.190000000000001</v>
      </c>
    </row>
    <row r="17082" spans="1:16" x14ac:dyDescent="0.25">
      <c r="A17082" t="s">
        <v>3296</v>
      </c>
      <c r="B17082" t="s">
        <v>2931</v>
      </c>
      <c r="C17082">
        <v>7808</v>
      </c>
      <c r="D17082" t="str">
        <f>"802999271   "</f>
        <v xml:space="preserve">802999271   </v>
      </c>
      <c r="E17082" t="s">
        <v>2826</v>
      </c>
      <c r="F17082" t="s">
        <v>2827</v>
      </c>
      <c r="G17082">
        <v>9.99</v>
      </c>
      <c r="H17082">
        <v>250531</v>
      </c>
      <c r="I17082">
        <v>4367</v>
      </c>
      <c r="J17082" t="s">
        <v>159</v>
      </c>
      <c r="K17082">
        <v>1143.5899999999999</v>
      </c>
      <c r="L17082">
        <v>2.0299999999999998</v>
      </c>
      <c r="M17082">
        <v>11903</v>
      </c>
      <c r="N17082" t="s">
        <v>32</v>
      </c>
      <c r="O17082">
        <v>250609</v>
      </c>
      <c r="P17082">
        <v>7.96</v>
      </c>
    </row>
    <row r="17083" spans="1:16" x14ac:dyDescent="0.25">
      <c r="A17083" t="s">
        <v>3296</v>
      </c>
      <c r="B17083" t="s">
        <v>2931</v>
      </c>
      <c r="C17083">
        <v>7981</v>
      </c>
      <c r="D17083" t="str">
        <f>"802999275   "</f>
        <v xml:space="preserve">802999275   </v>
      </c>
      <c r="E17083" t="s">
        <v>2826</v>
      </c>
      <c r="F17083" t="s">
        <v>2827</v>
      </c>
      <c r="G17083">
        <v>2.99</v>
      </c>
      <c r="H17083">
        <v>250531</v>
      </c>
      <c r="I17083">
        <v>4367</v>
      </c>
      <c r="J17083" t="s">
        <v>159</v>
      </c>
      <c r="K17083">
        <v>4650.75</v>
      </c>
      <c r="L17083">
        <v>0</v>
      </c>
      <c r="M17083">
        <v>11301</v>
      </c>
      <c r="N17083" t="s">
        <v>92</v>
      </c>
      <c r="O17083">
        <v>250610</v>
      </c>
      <c r="P17083">
        <v>2.99</v>
      </c>
    </row>
    <row r="17084" spans="1:16" x14ac:dyDescent="0.25">
      <c r="A17084" t="s">
        <v>3296</v>
      </c>
      <c r="B17084" t="s">
        <v>2931</v>
      </c>
      <c r="C17084">
        <v>7981</v>
      </c>
      <c r="D17084" t="str">
        <f>"802999275   "</f>
        <v xml:space="preserve">802999275   </v>
      </c>
      <c r="E17084" t="s">
        <v>2826</v>
      </c>
      <c r="F17084" t="s">
        <v>2827</v>
      </c>
      <c r="G17084">
        <v>312</v>
      </c>
      <c r="H17084">
        <v>250531</v>
      </c>
      <c r="I17084">
        <v>4367</v>
      </c>
      <c r="J17084" t="s">
        <v>159</v>
      </c>
      <c r="K17084">
        <v>4650.75</v>
      </c>
      <c r="L17084">
        <v>0</v>
      </c>
      <c r="M17084">
        <v>11301</v>
      </c>
      <c r="N17084" t="s">
        <v>92</v>
      </c>
      <c r="O17084">
        <v>250610</v>
      </c>
      <c r="P17084">
        <v>312</v>
      </c>
    </row>
    <row r="17085" spans="1:16" x14ac:dyDescent="0.25">
      <c r="A17085" t="s">
        <v>3296</v>
      </c>
      <c r="B17085" t="s">
        <v>2931</v>
      </c>
      <c r="C17085">
        <v>9291</v>
      </c>
      <c r="D17085" t="str">
        <f>"803813076   "</f>
        <v xml:space="preserve">803813076   </v>
      </c>
      <c r="E17085" t="s">
        <v>2826</v>
      </c>
      <c r="F17085" t="s">
        <v>2827</v>
      </c>
      <c r="G17085">
        <v>9.99</v>
      </c>
      <c r="H17085">
        <v>250630</v>
      </c>
      <c r="I17085">
        <v>4367</v>
      </c>
      <c r="J17085" t="s">
        <v>159</v>
      </c>
      <c r="K17085">
        <v>681.99</v>
      </c>
      <c r="L17085">
        <v>2.0299999999999998</v>
      </c>
      <c r="M17085">
        <v>11903</v>
      </c>
      <c r="N17085" t="s">
        <v>32</v>
      </c>
      <c r="O17085">
        <v>250702</v>
      </c>
      <c r="P17085">
        <v>7.96</v>
      </c>
    </row>
    <row r="17086" spans="1:16" x14ac:dyDescent="0.25">
      <c r="A17086" t="s">
        <v>3296</v>
      </c>
      <c r="B17086" t="s">
        <v>2931</v>
      </c>
      <c r="C17086">
        <v>9311</v>
      </c>
      <c r="D17086" t="str">
        <f>"803813078   "</f>
        <v xml:space="preserve">803813078   </v>
      </c>
      <c r="E17086" t="s">
        <v>2826</v>
      </c>
      <c r="F17086" t="s">
        <v>2827</v>
      </c>
      <c r="G17086">
        <v>18.04</v>
      </c>
      <c r="H17086">
        <v>250630</v>
      </c>
      <c r="I17086">
        <v>4367</v>
      </c>
      <c r="J17086" t="s">
        <v>159</v>
      </c>
      <c r="K17086">
        <v>178.88</v>
      </c>
      <c r="L17086">
        <v>0</v>
      </c>
      <c r="M17086">
        <v>11901</v>
      </c>
      <c r="N17086" t="s">
        <v>31</v>
      </c>
      <c r="O17086">
        <v>250703</v>
      </c>
      <c r="P17086">
        <v>18.04</v>
      </c>
    </row>
    <row r="17087" spans="1:16" x14ac:dyDescent="0.25">
      <c r="A17087" t="s">
        <v>3296</v>
      </c>
      <c r="B17087" t="s">
        <v>2931</v>
      </c>
      <c r="C17087">
        <v>9589</v>
      </c>
      <c r="D17087" t="str">
        <f>"803813079   "</f>
        <v xml:space="preserve">803813079   </v>
      </c>
      <c r="E17087" t="s">
        <v>2826</v>
      </c>
      <c r="F17087" t="s">
        <v>2827</v>
      </c>
      <c r="G17087">
        <v>332.9</v>
      </c>
      <c r="H17087">
        <v>250630</v>
      </c>
      <c r="I17087">
        <v>4367</v>
      </c>
      <c r="J17087" t="s">
        <v>159</v>
      </c>
      <c r="K17087">
        <v>374.83</v>
      </c>
      <c r="L17087">
        <v>67.64</v>
      </c>
      <c r="M17087">
        <v>11801</v>
      </c>
      <c r="N17087" t="s">
        <v>40</v>
      </c>
      <c r="O17087">
        <v>250721</v>
      </c>
      <c r="P17087">
        <v>265.26</v>
      </c>
    </row>
    <row r="17088" spans="1:16" x14ac:dyDescent="0.25">
      <c r="A17088" t="s">
        <v>3296</v>
      </c>
      <c r="B17088" t="s">
        <v>2931</v>
      </c>
      <c r="C17088">
        <v>9643</v>
      </c>
      <c r="D17088" t="str">
        <f>"803813080   "</f>
        <v xml:space="preserve">803813080   </v>
      </c>
      <c r="E17088" t="s">
        <v>2826</v>
      </c>
      <c r="F17088" t="s">
        <v>2827</v>
      </c>
      <c r="G17088">
        <v>2.99</v>
      </c>
      <c r="H17088">
        <v>250630</v>
      </c>
      <c r="I17088">
        <v>4367</v>
      </c>
      <c r="J17088" t="s">
        <v>159</v>
      </c>
      <c r="K17088">
        <v>4035.86</v>
      </c>
      <c r="L17088">
        <v>0</v>
      </c>
      <c r="M17088">
        <v>11301</v>
      </c>
      <c r="N17088" t="s">
        <v>92</v>
      </c>
      <c r="O17088">
        <v>250724</v>
      </c>
      <c r="P17088">
        <v>2.99</v>
      </c>
    </row>
    <row r="17089" spans="1:16" x14ac:dyDescent="0.25">
      <c r="A17089" t="s">
        <v>3296</v>
      </c>
      <c r="B17089" t="s">
        <v>2931</v>
      </c>
      <c r="C17089">
        <v>9643</v>
      </c>
      <c r="D17089" t="str">
        <f>"803813080   "</f>
        <v xml:space="preserve">803813080   </v>
      </c>
      <c r="E17089" t="s">
        <v>2826</v>
      </c>
      <c r="F17089" t="s">
        <v>2827</v>
      </c>
      <c r="G17089">
        <v>567</v>
      </c>
      <c r="H17089">
        <v>250630</v>
      </c>
      <c r="I17089">
        <v>4367</v>
      </c>
      <c r="J17089" t="s">
        <v>159</v>
      </c>
      <c r="K17089">
        <v>4035.86</v>
      </c>
      <c r="L17089">
        <v>0</v>
      </c>
      <c r="M17089">
        <v>11301</v>
      </c>
      <c r="N17089" t="s">
        <v>92</v>
      </c>
      <c r="O17089">
        <v>250724</v>
      </c>
      <c r="P17089">
        <v>567</v>
      </c>
    </row>
    <row r="17090" spans="1:16" x14ac:dyDescent="0.25">
      <c r="A17090" t="s">
        <v>3296</v>
      </c>
      <c r="B17090" t="s">
        <v>2931</v>
      </c>
      <c r="C17090">
        <v>10039</v>
      </c>
      <c r="D17090" t="str">
        <f>"804409691   "</f>
        <v xml:space="preserve">804409691   </v>
      </c>
      <c r="E17090" t="s">
        <v>2826</v>
      </c>
      <c r="F17090" t="s">
        <v>2827</v>
      </c>
      <c r="G17090">
        <v>17.489999999999998</v>
      </c>
      <c r="H17090">
        <v>250731</v>
      </c>
      <c r="I17090">
        <v>4367</v>
      </c>
      <c r="J17090" t="s">
        <v>159</v>
      </c>
      <c r="K17090">
        <v>17.489999999999998</v>
      </c>
      <c r="L17090">
        <v>0</v>
      </c>
      <c r="M17090">
        <v>11901</v>
      </c>
      <c r="N17090" t="s">
        <v>31</v>
      </c>
      <c r="O17090">
        <v>250808</v>
      </c>
      <c r="P17090">
        <v>17.489999999999998</v>
      </c>
    </row>
    <row r="17091" spans="1:16" x14ac:dyDescent="0.25">
      <c r="A17091" t="s">
        <v>3296</v>
      </c>
      <c r="B17091" t="s">
        <v>2931</v>
      </c>
      <c r="C17091">
        <v>10041</v>
      </c>
      <c r="D17091" t="str">
        <f>"804409690   "</f>
        <v xml:space="preserve">804409690   </v>
      </c>
      <c r="E17091" t="s">
        <v>2826</v>
      </c>
      <c r="F17091" t="s">
        <v>2827</v>
      </c>
      <c r="G17091">
        <v>9.99</v>
      </c>
      <c r="H17091">
        <v>250731</v>
      </c>
      <c r="I17091">
        <v>4367</v>
      </c>
      <c r="J17091" t="s">
        <v>159</v>
      </c>
      <c r="K17091">
        <v>9.99</v>
      </c>
      <c r="L17091">
        <v>2.0299999999999998</v>
      </c>
      <c r="M17091">
        <v>11903</v>
      </c>
      <c r="N17091" t="s">
        <v>32</v>
      </c>
      <c r="O17091">
        <v>250808</v>
      </c>
      <c r="P17091">
        <v>7.96</v>
      </c>
    </row>
    <row r="17092" spans="1:16" x14ac:dyDescent="0.25">
      <c r="A17092" t="s">
        <v>3296</v>
      </c>
      <c r="B17092" t="s">
        <v>2931</v>
      </c>
      <c r="C17092">
        <v>10169</v>
      </c>
      <c r="D17092" t="str">
        <f>"804409693   "</f>
        <v xml:space="preserve">804409693   </v>
      </c>
      <c r="E17092" t="s">
        <v>2826</v>
      </c>
      <c r="F17092" t="s">
        <v>2827</v>
      </c>
      <c r="G17092">
        <v>2.99</v>
      </c>
      <c r="H17092">
        <v>250731</v>
      </c>
      <c r="I17092">
        <v>4367</v>
      </c>
      <c r="J17092" t="s">
        <v>159</v>
      </c>
      <c r="K17092">
        <v>7180.16</v>
      </c>
      <c r="L17092">
        <v>0</v>
      </c>
      <c r="M17092">
        <v>11301</v>
      </c>
      <c r="N17092" t="s">
        <v>92</v>
      </c>
      <c r="O17092">
        <v>250812</v>
      </c>
      <c r="P17092">
        <v>2.99</v>
      </c>
    </row>
    <row r="17093" spans="1:16" x14ac:dyDescent="0.25">
      <c r="A17093" t="s">
        <v>3296</v>
      </c>
      <c r="B17093" t="s">
        <v>2931</v>
      </c>
      <c r="C17093">
        <v>10169</v>
      </c>
      <c r="D17093" t="str">
        <f>"804409693   "</f>
        <v xml:space="preserve">804409693   </v>
      </c>
      <c r="E17093" t="s">
        <v>2826</v>
      </c>
      <c r="F17093" t="s">
        <v>2827</v>
      </c>
      <c r="G17093">
        <v>100</v>
      </c>
      <c r="H17093">
        <v>250731</v>
      </c>
      <c r="I17093">
        <v>4367</v>
      </c>
      <c r="J17093" t="s">
        <v>159</v>
      </c>
      <c r="K17093">
        <v>7180.16</v>
      </c>
      <c r="L17093">
        <v>0</v>
      </c>
      <c r="M17093">
        <v>11301</v>
      </c>
      <c r="N17093" t="s">
        <v>92</v>
      </c>
      <c r="O17093">
        <v>250812</v>
      </c>
      <c r="P17093">
        <v>100</v>
      </c>
    </row>
    <row r="17094" spans="1:16" x14ac:dyDescent="0.25">
      <c r="A17094" t="s">
        <v>3296</v>
      </c>
      <c r="B17094" t="s">
        <v>2931</v>
      </c>
      <c r="C17094">
        <v>10169</v>
      </c>
      <c r="D17094" t="str">
        <f>"804409693   "</f>
        <v xml:space="preserve">804409693   </v>
      </c>
      <c r="E17094" t="s">
        <v>2826</v>
      </c>
      <c r="F17094" t="s">
        <v>2827</v>
      </c>
      <c r="G17094">
        <v>666.41</v>
      </c>
      <c r="H17094">
        <v>250731</v>
      </c>
      <c r="I17094">
        <v>4367</v>
      </c>
      <c r="J17094" t="s">
        <v>159</v>
      </c>
      <c r="K17094">
        <v>7180.16</v>
      </c>
      <c r="L17094">
        <v>135.41</v>
      </c>
      <c r="M17094">
        <v>11301</v>
      </c>
      <c r="N17094" t="s">
        <v>92</v>
      </c>
      <c r="O17094">
        <v>250812</v>
      </c>
      <c r="P17094">
        <v>531</v>
      </c>
    </row>
    <row r="17095" spans="1:16" x14ac:dyDescent="0.25">
      <c r="A17095" t="s">
        <v>3296</v>
      </c>
      <c r="B17095" t="s">
        <v>2931</v>
      </c>
      <c r="C17095">
        <v>11250</v>
      </c>
      <c r="D17095" t="str">
        <f>"804895993   "</f>
        <v xml:space="preserve">804895993   </v>
      </c>
      <c r="E17095" t="s">
        <v>2826</v>
      </c>
      <c r="F17095" t="s">
        <v>2827</v>
      </c>
      <c r="G17095">
        <v>18</v>
      </c>
      <c r="H17095">
        <v>250831</v>
      </c>
      <c r="I17095">
        <v>4367</v>
      </c>
      <c r="J17095" t="s">
        <v>159</v>
      </c>
      <c r="K17095">
        <v>1318.78</v>
      </c>
      <c r="L17095">
        <v>0</v>
      </c>
      <c r="M17095">
        <v>11901</v>
      </c>
      <c r="N17095" t="s">
        <v>31</v>
      </c>
      <c r="O17095">
        <v>250902</v>
      </c>
      <c r="P17095">
        <v>18</v>
      </c>
    </row>
    <row r="17096" spans="1:16" x14ac:dyDescent="0.25">
      <c r="A17096" t="s">
        <v>3296</v>
      </c>
      <c r="B17096" t="s">
        <v>2931</v>
      </c>
      <c r="C17096">
        <v>11820</v>
      </c>
      <c r="D17096" t="str">
        <f>"804895995   "</f>
        <v xml:space="preserve">804895995   </v>
      </c>
      <c r="E17096" t="s">
        <v>2826</v>
      </c>
      <c r="F17096" t="s">
        <v>2827</v>
      </c>
      <c r="G17096">
        <v>2.99</v>
      </c>
      <c r="H17096">
        <v>250831</v>
      </c>
      <c r="I17096">
        <v>4367</v>
      </c>
      <c r="J17096" t="s">
        <v>159</v>
      </c>
      <c r="K17096">
        <v>7161.13</v>
      </c>
      <c r="L17096">
        <v>0.61</v>
      </c>
      <c r="M17096">
        <v>11301</v>
      </c>
      <c r="N17096" t="s">
        <v>92</v>
      </c>
      <c r="O17096">
        <v>250910</v>
      </c>
      <c r="P17096">
        <v>2.38</v>
      </c>
    </row>
    <row r="17097" spans="1:16" x14ac:dyDescent="0.25">
      <c r="A17097" t="s">
        <v>3296</v>
      </c>
      <c r="B17097" t="s">
        <v>2931</v>
      </c>
      <c r="C17097">
        <v>11950</v>
      </c>
      <c r="D17097" t="str">
        <f>"804895992   "</f>
        <v xml:space="preserve">804895992   </v>
      </c>
      <c r="E17097" t="s">
        <v>2826</v>
      </c>
      <c r="F17097" t="s">
        <v>2827</v>
      </c>
      <c r="G17097">
        <v>9.99</v>
      </c>
      <c r="H17097">
        <v>250831</v>
      </c>
      <c r="I17097">
        <v>4367</v>
      </c>
      <c r="J17097" t="s">
        <v>159</v>
      </c>
      <c r="K17097">
        <v>943.73</v>
      </c>
      <c r="L17097">
        <v>2.0299999999999998</v>
      </c>
      <c r="M17097">
        <v>11903</v>
      </c>
      <c r="N17097" t="s">
        <v>32</v>
      </c>
      <c r="O17097">
        <v>250912</v>
      </c>
      <c r="P17097">
        <v>7.96</v>
      </c>
    </row>
    <row r="17098" spans="1:16" x14ac:dyDescent="0.25">
      <c r="A17098" t="s">
        <v>3296</v>
      </c>
      <c r="B17098" t="s">
        <v>2931</v>
      </c>
      <c r="C17098">
        <v>12993</v>
      </c>
      <c r="D17098" t="str">
        <f>"806354207   "</f>
        <v xml:space="preserve">806354207   </v>
      </c>
      <c r="E17098" t="s">
        <v>2826</v>
      </c>
      <c r="F17098" t="s">
        <v>2827</v>
      </c>
      <c r="G17098">
        <v>17.670000000000002</v>
      </c>
      <c r="H17098">
        <v>250930</v>
      </c>
      <c r="I17098">
        <v>4367</v>
      </c>
      <c r="J17098" t="s">
        <v>159</v>
      </c>
      <c r="K17098">
        <v>17.670000000000002</v>
      </c>
      <c r="L17098">
        <v>0</v>
      </c>
      <c r="M17098">
        <v>11901</v>
      </c>
      <c r="N17098" t="s">
        <v>31</v>
      </c>
      <c r="O17098">
        <v>251003</v>
      </c>
      <c r="P17098">
        <v>17.670000000000002</v>
      </c>
    </row>
    <row r="17099" spans="1:16" x14ac:dyDescent="0.25">
      <c r="A17099" t="s">
        <v>3296</v>
      </c>
      <c r="B17099" t="s">
        <v>2931</v>
      </c>
      <c r="C17099">
        <v>13117</v>
      </c>
      <c r="D17099" t="str">
        <f>"806354208   "</f>
        <v xml:space="preserve">806354208   </v>
      </c>
      <c r="E17099" t="s">
        <v>2826</v>
      </c>
      <c r="F17099" t="s">
        <v>2827</v>
      </c>
      <c r="G17099">
        <v>25.85</v>
      </c>
      <c r="H17099">
        <v>250930</v>
      </c>
      <c r="I17099">
        <v>4367</v>
      </c>
      <c r="J17099" t="s">
        <v>159</v>
      </c>
      <c r="K17099">
        <v>45.65</v>
      </c>
      <c r="L17099">
        <v>5.25</v>
      </c>
      <c r="M17099">
        <v>11801</v>
      </c>
      <c r="N17099" t="s">
        <v>40</v>
      </c>
      <c r="O17099">
        <v>251006</v>
      </c>
      <c r="P17099">
        <v>20.6</v>
      </c>
    </row>
    <row r="17100" spans="1:16" x14ac:dyDescent="0.25">
      <c r="A17100" t="s">
        <v>3296</v>
      </c>
      <c r="B17100" t="s">
        <v>2931</v>
      </c>
      <c r="C17100">
        <v>13370</v>
      </c>
      <c r="D17100" t="str">
        <f>"806354205   "</f>
        <v xml:space="preserve">806354205   </v>
      </c>
      <c r="E17100" t="s">
        <v>2826</v>
      </c>
      <c r="F17100" t="s">
        <v>2827</v>
      </c>
      <c r="G17100">
        <v>9.99</v>
      </c>
      <c r="H17100">
        <v>250930</v>
      </c>
      <c r="I17100">
        <v>4367</v>
      </c>
      <c r="J17100" t="s">
        <v>159</v>
      </c>
      <c r="K17100">
        <v>20.85</v>
      </c>
      <c r="L17100">
        <v>2.0299999999999998</v>
      </c>
      <c r="M17100">
        <v>11903</v>
      </c>
      <c r="N17100" t="s">
        <v>32</v>
      </c>
      <c r="O17100">
        <v>251008</v>
      </c>
      <c r="P17100">
        <v>7.96</v>
      </c>
    </row>
    <row r="17101" spans="1:16" x14ac:dyDescent="0.25">
      <c r="A17101" t="s">
        <v>3296</v>
      </c>
      <c r="B17101" t="s">
        <v>2931</v>
      </c>
      <c r="C17101">
        <v>13421</v>
      </c>
      <c r="D17101" t="str">
        <f>"806354209   "</f>
        <v xml:space="preserve">806354209   </v>
      </c>
      <c r="E17101" t="s">
        <v>2826</v>
      </c>
      <c r="F17101" t="s">
        <v>2827</v>
      </c>
      <c r="G17101">
        <v>2.99</v>
      </c>
      <c r="H17101">
        <v>250930</v>
      </c>
      <c r="I17101">
        <v>4367</v>
      </c>
      <c r="J17101" t="s">
        <v>159</v>
      </c>
      <c r="K17101">
        <v>896.86</v>
      </c>
      <c r="L17101">
        <v>0</v>
      </c>
      <c r="M17101">
        <v>11301</v>
      </c>
      <c r="N17101" t="s">
        <v>92</v>
      </c>
      <c r="O17101">
        <v>251009</v>
      </c>
      <c r="P17101">
        <v>2.99</v>
      </c>
    </row>
    <row r="17102" spans="1:16" x14ac:dyDescent="0.25">
      <c r="A17102" t="s">
        <v>3296</v>
      </c>
      <c r="B17102" t="s">
        <v>2931</v>
      </c>
      <c r="C17102">
        <v>14517</v>
      </c>
      <c r="D17102" t="str">
        <f>"807713345   "</f>
        <v xml:space="preserve">807713345   </v>
      </c>
      <c r="E17102" t="s">
        <v>2826</v>
      </c>
      <c r="F17102" t="s">
        <v>2827</v>
      </c>
      <c r="G17102">
        <v>17.53</v>
      </c>
      <c r="H17102">
        <v>251031</v>
      </c>
      <c r="I17102">
        <v>4367</v>
      </c>
      <c r="J17102" t="s">
        <v>159</v>
      </c>
      <c r="K17102">
        <v>17.53</v>
      </c>
      <c r="L17102">
        <v>0</v>
      </c>
      <c r="M17102">
        <v>11901</v>
      </c>
      <c r="N17102" t="s">
        <v>31</v>
      </c>
      <c r="O17102">
        <v>251104</v>
      </c>
      <c r="P17102">
        <v>17.53</v>
      </c>
    </row>
    <row r="17103" spans="1:16" x14ac:dyDescent="0.25">
      <c r="A17103" t="s">
        <v>3296</v>
      </c>
      <c r="B17103" t="s">
        <v>2931</v>
      </c>
      <c r="C17103">
        <v>14693</v>
      </c>
      <c r="D17103" t="str">
        <f>"807713343   "</f>
        <v xml:space="preserve">807713343   </v>
      </c>
      <c r="E17103" t="s">
        <v>2826</v>
      </c>
      <c r="F17103" t="s">
        <v>2827</v>
      </c>
      <c r="G17103">
        <v>9.99</v>
      </c>
      <c r="H17103">
        <v>251031</v>
      </c>
      <c r="I17103">
        <v>4367</v>
      </c>
      <c r="J17103" t="s">
        <v>159</v>
      </c>
      <c r="K17103">
        <v>2358.7399999999998</v>
      </c>
      <c r="L17103">
        <v>2.0299999999999998</v>
      </c>
      <c r="M17103">
        <v>11903</v>
      </c>
      <c r="N17103" t="s">
        <v>32</v>
      </c>
      <c r="O17103">
        <v>251106</v>
      </c>
      <c r="P17103">
        <v>7.96</v>
      </c>
    </row>
    <row r="17104" spans="1:16" x14ac:dyDescent="0.25">
      <c r="A17104" t="s">
        <v>3296</v>
      </c>
      <c r="B17104" t="s">
        <v>2931</v>
      </c>
      <c r="C17104">
        <v>15354</v>
      </c>
      <c r="D17104" t="str">
        <f>"807713347   "</f>
        <v xml:space="preserve">807713347   </v>
      </c>
      <c r="E17104" t="s">
        <v>2826</v>
      </c>
      <c r="F17104" t="s">
        <v>2827</v>
      </c>
      <c r="G17104">
        <v>2.99</v>
      </c>
      <c r="H17104">
        <v>251031</v>
      </c>
      <c r="I17104">
        <v>4367</v>
      </c>
      <c r="J17104" t="s">
        <v>159</v>
      </c>
      <c r="K17104">
        <v>2900.28</v>
      </c>
      <c r="L17104">
        <v>0.61</v>
      </c>
      <c r="M17104">
        <v>11301</v>
      </c>
      <c r="N17104" t="s">
        <v>92</v>
      </c>
      <c r="O17104">
        <v>251119</v>
      </c>
      <c r="P17104">
        <v>2.38</v>
      </c>
    </row>
    <row r="17105" spans="1:16" x14ac:dyDescent="0.25">
      <c r="A17105" t="s">
        <v>3296</v>
      </c>
      <c r="B17105" t="s">
        <v>2931</v>
      </c>
      <c r="C17105">
        <v>15354</v>
      </c>
      <c r="D17105" t="str">
        <f>"807713347   "</f>
        <v xml:space="preserve">807713347   </v>
      </c>
      <c r="E17105" t="s">
        <v>2826</v>
      </c>
      <c r="F17105" t="s">
        <v>2827</v>
      </c>
      <c r="G17105">
        <v>666.41</v>
      </c>
      <c r="H17105">
        <v>251031</v>
      </c>
      <c r="I17105">
        <v>4367</v>
      </c>
      <c r="J17105" t="s">
        <v>159</v>
      </c>
      <c r="K17105">
        <v>2900.28</v>
      </c>
      <c r="L17105">
        <v>135.41</v>
      </c>
      <c r="M17105">
        <v>11301</v>
      </c>
      <c r="N17105" t="s">
        <v>92</v>
      </c>
      <c r="O17105">
        <v>251119</v>
      </c>
      <c r="P17105">
        <v>531</v>
      </c>
    </row>
    <row r="17106" spans="1:16" x14ac:dyDescent="0.25">
      <c r="A17106" t="s">
        <v>3296</v>
      </c>
      <c r="B17106" t="s">
        <v>2931</v>
      </c>
      <c r="C17106">
        <v>16061</v>
      </c>
      <c r="D17106" t="str">
        <f>"808389227   "</f>
        <v xml:space="preserve">808389227   </v>
      </c>
      <c r="E17106" t="s">
        <v>2826</v>
      </c>
      <c r="F17106" t="s">
        <v>2827</v>
      </c>
      <c r="G17106">
        <v>17.82</v>
      </c>
      <c r="H17106">
        <v>251130</v>
      </c>
      <c r="I17106">
        <v>4367</v>
      </c>
      <c r="J17106" t="s">
        <v>159</v>
      </c>
      <c r="K17106">
        <v>201.22</v>
      </c>
      <c r="L17106">
        <v>0</v>
      </c>
      <c r="M17106">
        <v>11901</v>
      </c>
      <c r="N17106" t="s">
        <v>31</v>
      </c>
      <c r="O17106">
        <v>251203</v>
      </c>
      <c r="P17106">
        <v>17.82</v>
      </c>
    </row>
    <row r="17107" spans="1:16" x14ac:dyDescent="0.25">
      <c r="A17107" t="s">
        <v>3296</v>
      </c>
      <c r="B17107" t="s">
        <v>2931</v>
      </c>
      <c r="C17107">
        <v>16062</v>
      </c>
      <c r="D17107" t="str">
        <f>"808389226   "</f>
        <v xml:space="preserve">808389226   </v>
      </c>
      <c r="E17107" t="s">
        <v>2826</v>
      </c>
      <c r="F17107" t="s">
        <v>2827</v>
      </c>
      <c r="G17107">
        <v>9.99</v>
      </c>
      <c r="H17107">
        <v>251130</v>
      </c>
      <c r="I17107">
        <v>4367</v>
      </c>
      <c r="J17107" t="s">
        <v>159</v>
      </c>
      <c r="K17107">
        <v>507.99</v>
      </c>
      <c r="L17107">
        <v>2.0299999999999998</v>
      </c>
      <c r="M17107">
        <v>11903</v>
      </c>
      <c r="N17107" t="s">
        <v>32</v>
      </c>
      <c r="O17107">
        <v>251203</v>
      </c>
      <c r="P17107">
        <v>7.96</v>
      </c>
    </row>
    <row r="17108" spans="1:16" x14ac:dyDescent="0.25">
      <c r="A17108" t="s">
        <v>3296</v>
      </c>
      <c r="B17108" t="s">
        <v>2931</v>
      </c>
      <c r="C17108">
        <v>16474</v>
      </c>
      <c r="D17108" t="str">
        <f>"808389229   "</f>
        <v xml:space="preserve">808389229   </v>
      </c>
      <c r="E17108" t="s">
        <v>2826</v>
      </c>
      <c r="F17108" t="s">
        <v>2827</v>
      </c>
      <c r="G17108">
        <v>3036</v>
      </c>
      <c r="H17108">
        <v>251130</v>
      </c>
      <c r="I17108">
        <v>4367</v>
      </c>
      <c r="J17108" t="s">
        <v>159</v>
      </c>
      <c r="K17108">
        <v>3371.14</v>
      </c>
      <c r="L17108">
        <v>0</v>
      </c>
      <c r="M17108">
        <v>11801</v>
      </c>
      <c r="N17108" t="s">
        <v>40</v>
      </c>
      <c r="O17108">
        <v>251209</v>
      </c>
      <c r="P17108">
        <v>3036</v>
      </c>
    </row>
    <row r="17109" spans="1:16" x14ac:dyDescent="0.25">
      <c r="A17109" t="s">
        <v>3296</v>
      </c>
      <c r="B17109" t="s">
        <v>2931</v>
      </c>
      <c r="C17109">
        <v>16885</v>
      </c>
      <c r="D17109" t="str">
        <f>"808389230   "</f>
        <v xml:space="preserve">808389230   </v>
      </c>
      <c r="E17109" t="s">
        <v>2826</v>
      </c>
      <c r="F17109" t="s">
        <v>2827</v>
      </c>
      <c r="G17109">
        <v>2.99</v>
      </c>
      <c r="H17109">
        <v>251130</v>
      </c>
      <c r="I17109">
        <v>4367</v>
      </c>
      <c r="J17109" t="s">
        <v>159</v>
      </c>
      <c r="K17109">
        <v>1717.48</v>
      </c>
      <c r="L17109">
        <v>0.61</v>
      </c>
      <c r="M17109">
        <v>11301</v>
      </c>
      <c r="N17109" t="s">
        <v>92</v>
      </c>
      <c r="O17109">
        <v>251215</v>
      </c>
      <c r="P17109">
        <v>2.38</v>
      </c>
    </row>
    <row r="17110" spans="1:16" x14ac:dyDescent="0.25">
      <c r="A17110" t="s">
        <v>3296</v>
      </c>
      <c r="B17110" t="s">
        <v>2931</v>
      </c>
      <c r="C17110">
        <v>18153</v>
      </c>
      <c r="D17110" t="str">
        <f>"809024737   "</f>
        <v xml:space="preserve">809024737   </v>
      </c>
      <c r="E17110" t="s">
        <v>2826</v>
      </c>
      <c r="F17110" t="s">
        <v>2827</v>
      </c>
      <c r="G17110">
        <v>9.99</v>
      </c>
      <c r="H17110">
        <v>251231</v>
      </c>
      <c r="I17110">
        <v>4367</v>
      </c>
      <c r="J17110" t="s">
        <v>159</v>
      </c>
      <c r="K17110">
        <v>2700.88</v>
      </c>
      <c r="L17110">
        <v>2.0299999999999998</v>
      </c>
      <c r="M17110">
        <v>11903</v>
      </c>
      <c r="N17110" t="s">
        <v>32</v>
      </c>
      <c r="O17110">
        <v>260109</v>
      </c>
      <c r="P17110">
        <v>7.96</v>
      </c>
    </row>
    <row r="17111" spans="1:16" x14ac:dyDescent="0.25">
      <c r="A17111" t="s">
        <v>3296</v>
      </c>
      <c r="B17111" t="s">
        <v>2931</v>
      </c>
      <c r="C17111">
        <v>18154</v>
      </c>
      <c r="D17111" t="str">
        <f>"809024740   "</f>
        <v xml:space="preserve">809024740   </v>
      </c>
      <c r="E17111" t="s">
        <v>2826</v>
      </c>
      <c r="F17111" t="s">
        <v>2827</v>
      </c>
      <c r="G17111">
        <v>569.24</v>
      </c>
      <c r="H17111">
        <v>251231</v>
      </c>
      <c r="I17111">
        <v>4367</v>
      </c>
      <c r="J17111" t="s">
        <v>159</v>
      </c>
      <c r="K17111">
        <v>1266.5</v>
      </c>
      <c r="L17111">
        <v>115.66</v>
      </c>
      <c r="M17111">
        <v>11801</v>
      </c>
      <c r="N17111" t="s">
        <v>40</v>
      </c>
      <c r="O17111">
        <v>260109</v>
      </c>
      <c r="P17111">
        <v>453.58</v>
      </c>
    </row>
    <row r="17112" spans="1:16" x14ac:dyDescent="0.25">
      <c r="A17112" t="s">
        <v>3296</v>
      </c>
      <c r="B17112" t="s">
        <v>2931</v>
      </c>
      <c r="C17112">
        <v>18155</v>
      </c>
      <c r="D17112" t="str">
        <f>"809024738   "</f>
        <v xml:space="preserve">809024738   </v>
      </c>
      <c r="E17112" t="s">
        <v>2826</v>
      </c>
      <c r="F17112" t="s">
        <v>2827</v>
      </c>
      <c r="G17112">
        <v>17.690000000000001</v>
      </c>
      <c r="H17112">
        <v>251231</v>
      </c>
      <c r="I17112">
        <v>4367</v>
      </c>
      <c r="J17112" t="s">
        <v>159</v>
      </c>
      <c r="K17112">
        <v>144.32</v>
      </c>
      <c r="L17112">
        <v>0</v>
      </c>
      <c r="M17112">
        <v>11901</v>
      </c>
      <c r="N17112" t="s">
        <v>31</v>
      </c>
      <c r="O17112">
        <v>260109</v>
      </c>
      <c r="P17112">
        <v>17.690000000000001</v>
      </c>
    </row>
    <row r="17113" spans="1:16" x14ac:dyDescent="0.25">
      <c r="A17113" t="s">
        <v>3296</v>
      </c>
      <c r="B17113" t="s">
        <v>2931</v>
      </c>
      <c r="C17113">
        <v>18502</v>
      </c>
      <c r="D17113" t="str">
        <f>"809024741   "</f>
        <v xml:space="preserve">809024741   </v>
      </c>
      <c r="E17113" t="s">
        <v>2826</v>
      </c>
      <c r="F17113" t="s">
        <v>2827</v>
      </c>
      <c r="G17113">
        <v>2.99</v>
      </c>
      <c r="H17113">
        <v>251231</v>
      </c>
      <c r="I17113">
        <v>4367</v>
      </c>
      <c r="J17113" t="s">
        <v>159</v>
      </c>
      <c r="K17113">
        <v>3840.75</v>
      </c>
      <c r="L17113">
        <v>0.61</v>
      </c>
      <c r="M17113">
        <v>11301</v>
      </c>
      <c r="N17113" t="s">
        <v>92</v>
      </c>
      <c r="O17113">
        <v>260114</v>
      </c>
      <c r="P17113">
        <v>2.38</v>
      </c>
    </row>
    <row r="17114" spans="1:16" x14ac:dyDescent="0.25">
      <c r="A17114" t="s">
        <v>3296</v>
      </c>
      <c r="B17114" t="s">
        <v>2931</v>
      </c>
      <c r="C17114">
        <v>18502</v>
      </c>
      <c r="D17114" t="str">
        <f>"809024741   "</f>
        <v xml:space="preserve">809024741   </v>
      </c>
      <c r="E17114" t="s">
        <v>2826</v>
      </c>
      <c r="F17114" t="s">
        <v>2827</v>
      </c>
      <c r="G17114">
        <v>330</v>
      </c>
      <c r="H17114">
        <v>251231</v>
      </c>
      <c r="I17114">
        <v>4367</v>
      </c>
      <c r="J17114" t="s">
        <v>159</v>
      </c>
      <c r="K17114">
        <v>3840.75</v>
      </c>
      <c r="L17114">
        <v>0</v>
      </c>
      <c r="M17114">
        <v>11301</v>
      </c>
      <c r="N17114" t="s">
        <v>92</v>
      </c>
      <c r="O17114">
        <v>260114</v>
      </c>
      <c r="P17114">
        <v>330</v>
      </c>
    </row>
    <row r="17115" spans="1:16" x14ac:dyDescent="0.25">
      <c r="A17115" t="s">
        <v>3296</v>
      </c>
      <c r="B17115" t="s">
        <v>2931</v>
      </c>
      <c r="C17115">
        <v>9589</v>
      </c>
      <c r="D17115" t="str">
        <f>"803813079   "</f>
        <v xml:space="preserve">803813079   </v>
      </c>
      <c r="E17115" t="s">
        <v>2826</v>
      </c>
      <c r="F17115" t="s">
        <v>2827</v>
      </c>
      <c r="G17115">
        <v>25.85</v>
      </c>
      <c r="H17115">
        <v>250630</v>
      </c>
      <c r="I17115">
        <v>4368</v>
      </c>
      <c r="J17115" t="s">
        <v>1082</v>
      </c>
      <c r="K17115">
        <v>374.83</v>
      </c>
      <c r="L17115">
        <v>5.25</v>
      </c>
      <c r="M17115">
        <v>11801</v>
      </c>
      <c r="N17115" t="s">
        <v>40</v>
      </c>
      <c r="O17115">
        <v>250721</v>
      </c>
      <c r="P17115">
        <v>20.6</v>
      </c>
    </row>
    <row r="17116" spans="1:16" x14ac:dyDescent="0.25">
      <c r="A17116" t="s">
        <v>3296</v>
      </c>
      <c r="B17116" t="s">
        <v>2931</v>
      </c>
      <c r="C17116">
        <v>1712</v>
      </c>
      <c r="D17116" t="str">
        <f>"801038123   "</f>
        <v xml:space="preserve">801038123   </v>
      </c>
      <c r="E17116" t="s">
        <v>2826</v>
      </c>
      <c r="F17116" t="s">
        <v>2827</v>
      </c>
      <c r="G17116">
        <v>19.98</v>
      </c>
      <c r="H17116">
        <v>250131</v>
      </c>
      <c r="I17116">
        <v>4369</v>
      </c>
      <c r="J17116" t="s">
        <v>188</v>
      </c>
      <c r="K17116">
        <v>90.83</v>
      </c>
      <c r="L17116">
        <v>0</v>
      </c>
      <c r="M17116">
        <v>11001</v>
      </c>
      <c r="N17116" t="s">
        <v>93</v>
      </c>
      <c r="O17116">
        <v>250213</v>
      </c>
      <c r="P17116">
        <v>19.98</v>
      </c>
    </row>
    <row r="17117" spans="1:16" x14ac:dyDescent="0.25">
      <c r="A17117" t="s">
        <v>3296</v>
      </c>
      <c r="B17117" t="s">
        <v>2931</v>
      </c>
      <c r="C17117">
        <v>2715</v>
      </c>
      <c r="D17117" t="str">
        <f>"801515267   "</f>
        <v xml:space="preserve">801515267   </v>
      </c>
      <c r="E17117" t="s">
        <v>2826</v>
      </c>
      <c r="F17117" t="s">
        <v>2827</v>
      </c>
      <c r="G17117">
        <v>19.98</v>
      </c>
      <c r="H17117">
        <v>250228</v>
      </c>
      <c r="I17117">
        <v>4369</v>
      </c>
      <c r="J17117" t="s">
        <v>188</v>
      </c>
      <c r="K17117">
        <v>72.92</v>
      </c>
      <c r="L17117">
        <v>0</v>
      </c>
      <c r="M17117">
        <v>11001</v>
      </c>
      <c r="N17117" t="s">
        <v>93</v>
      </c>
      <c r="O17117">
        <v>250311</v>
      </c>
      <c r="P17117">
        <v>19.98</v>
      </c>
    </row>
    <row r="17118" spans="1:16" x14ac:dyDescent="0.25">
      <c r="A17118" t="s">
        <v>3296</v>
      </c>
      <c r="B17118" t="s">
        <v>2931</v>
      </c>
      <c r="C17118">
        <v>4386</v>
      </c>
      <c r="D17118" t="str">
        <f>"802023929   "</f>
        <v xml:space="preserve">802023929   </v>
      </c>
      <c r="E17118" t="s">
        <v>2826</v>
      </c>
      <c r="F17118" t="s">
        <v>2827</v>
      </c>
      <c r="G17118">
        <v>19.98</v>
      </c>
      <c r="H17118">
        <v>250331</v>
      </c>
      <c r="I17118">
        <v>4369</v>
      </c>
      <c r="J17118" t="s">
        <v>188</v>
      </c>
      <c r="K17118">
        <v>743.76</v>
      </c>
      <c r="L17118">
        <v>0</v>
      </c>
      <c r="M17118">
        <v>11001</v>
      </c>
      <c r="N17118" t="s">
        <v>93</v>
      </c>
      <c r="O17118">
        <v>250411</v>
      </c>
      <c r="P17118">
        <v>19.98</v>
      </c>
    </row>
    <row r="17119" spans="1:16" x14ac:dyDescent="0.25">
      <c r="A17119" t="s">
        <v>3296</v>
      </c>
      <c r="B17119" t="s">
        <v>2931</v>
      </c>
      <c r="C17119">
        <v>6099</v>
      </c>
      <c r="D17119" t="str">
        <f>"802504699   "</f>
        <v xml:space="preserve">802504699   </v>
      </c>
      <c r="E17119" t="s">
        <v>2826</v>
      </c>
      <c r="F17119" t="s">
        <v>2827</v>
      </c>
      <c r="G17119">
        <v>19.98</v>
      </c>
      <c r="H17119">
        <v>250430</v>
      </c>
      <c r="I17119">
        <v>4369</v>
      </c>
      <c r="J17119" t="s">
        <v>188</v>
      </c>
      <c r="K17119">
        <v>135.69999999999999</v>
      </c>
      <c r="L17119">
        <v>0</v>
      </c>
      <c r="M17119">
        <v>11001</v>
      </c>
      <c r="N17119" t="s">
        <v>93</v>
      </c>
      <c r="O17119">
        <v>250509</v>
      </c>
      <c r="P17119">
        <v>19.98</v>
      </c>
    </row>
    <row r="17120" spans="1:16" x14ac:dyDescent="0.25">
      <c r="A17120" t="s">
        <v>3296</v>
      </c>
      <c r="B17120" t="s">
        <v>2931</v>
      </c>
      <c r="C17120">
        <v>7869</v>
      </c>
      <c r="D17120" t="str">
        <f>"802999269   "</f>
        <v xml:space="preserve">802999269   </v>
      </c>
      <c r="E17120" t="s">
        <v>2826</v>
      </c>
      <c r="F17120" t="s">
        <v>2827</v>
      </c>
      <c r="G17120">
        <v>19.98</v>
      </c>
      <c r="H17120">
        <v>250531</v>
      </c>
      <c r="I17120">
        <v>4369</v>
      </c>
      <c r="J17120" t="s">
        <v>188</v>
      </c>
      <c r="K17120">
        <v>64.97</v>
      </c>
      <c r="L17120">
        <v>0</v>
      </c>
      <c r="M17120">
        <v>11001</v>
      </c>
      <c r="N17120" t="s">
        <v>93</v>
      </c>
      <c r="O17120">
        <v>250610</v>
      </c>
      <c r="P17120">
        <v>19.98</v>
      </c>
    </row>
    <row r="17121" spans="1:16" x14ac:dyDescent="0.25">
      <c r="A17121" t="s">
        <v>3296</v>
      </c>
      <c r="B17121" t="s">
        <v>2931</v>
      </c>
      <c r="C17121">
        <v>9503</v>
      </c>
      <c r="D17121" t="str">
        <f>"803813075   "</f>
        <v xml:space="preserve">803813075   </v>
      </c>
      <c r="E17121" t="s">
        <v>2826</v>
      </c>
      <c r="F17121" t="s">
        <v>2827</v>
      </c>
      <c r="G17121">
        <v>19.98</v>
      </c>
      <c r="H17121">
        <v>250630</v>
      </c>
      <c r="I17121">
        <v>4369</v>
      </c>
      <c r="J17121" t="s">
        <v>188</v>
      </c>
      <c r="K17121">
        <v>457.83</v>
      </c>
      <c r="L17121">
        <v>0</v>
      </c>
      <c r="M17121">
        <v>11001</v>
      </c>
      <c r="N17121" t="s">
        <v>93</v>
      </c>
      <c r="O17121">
        <v>250709</v>
      </c>
      <c r="P17121">
        <v>19.98</v>
      </c>
    </row>
    <row r="17122" spans="1:16" x14ac:dyDescent="0.25">
      <c r="A17122" t="s">
        <v>3296</v>
      </c>
      <c r="B17122" t="s">
        <v>2931</v>
      </c>
      <c r="C17122">
        <v>10298</v>
      </c>
      <c r="D17122" t="str">
        <f>"804409687   "</f>
        <v xml:space="preserve">804409687   </v>
      </c>
      <c r="E17122" t="s">
        <v>2826</v>
      </c>
      <c r="F17122" t="s">
        <v>2827</v>
      </c>
      <c r="G17122">
        <v>19.98</v>
      </c>
      <c r="H17122">
        <v>250731</v>
      </c>
      <c r="I17122">
        <v>4369</v>
      </c>
      <c r="J17122" t="s">
        <v>188</v>
      </c>
      <c r="K17122">
        <v>166.6</v>
      </c>
      <c r="L17122">
        <v>0</v>
      </c>
      <c r="M17122">
        <v>11001</v>
      </c>
      <c r="N17122" t="s">
        <v>93</v>
      </c>
      <c r="O17122">
        <v>250814</v>
      </c>
      <c r="P17122">
        <v>19.98</v>
      </c>
    </row>
    <row r="17123" spans="1:16" x14ac:dyDescent="0.25">
      <c r="A17123" t="s">
        <v>3296</v>
      </c>
      <c r="B17123" t="s">
        <v>2931</v>
      </c>
      <c r="C17123">
        <v>11575</v>
      </c>
      <c r="D17123" t="str">
        <f>"804895989   "</f>
        <v xml:space="preserve">804895989   </v>
      </c>
      <c r="E17123" t="s">
        <v>2826</v>
      </c>
      <c r="F17123" t="s">
        <v>2827</v>
      </c>
      <c r="G17123">
        <v>23.97</v>
      </c>
      <c r="H17123">
        <v>250831</v>
      </c>
      <c r="I17123">
        <v>4369</v>
      </c>
      <c r="J17123" t="s">
        <v>188</v>
      </c>
      <c r="K17123">
        <v>228.37</v>
      </c>
      <c r="L17123">
        <v>0</v>
      </c>
      <c r="M17123">
        <v>11001</v>
      </c>
      <c r="N17123" t="s">
        <v>93</v>
      </c>
      <c r="O17123">
        <v>250909</v>
      </c>
      <c r="P17123">
        <v>23.97</v>
      </c>
    </row>
    <row r="17124" spans="1:16" x14ac:dyDescent="0.25">
      <c r="A17124" t="s">
        <v>3296</v>
      </c>
      <c r="B17124" t="s">
        <v>2931</v>
      </c>
      <c r="C17124">
        <v>13334</v>
      </c>
      <c r="D17124" t="str">
        <f>"806354203   "</f>
        <v xml:space="preserve">806354203   </v>
      </c>
      <c r="E17124" t="s">
        <v>2826</v>
      </c>
      <c r="F17124" t="s">
        <v>2827</v>
      </c>
      <c r="G17124">
        <v>19.98</v>
      </c>
      <c r="H17124">
        <v>250930</v>
      </c>
      <c r="I17124">
        <v>4369</v>
      </c>
      <c r="J17124" t="s">
        <v>188</v>
      </c>
      <c r="K17124">
        <v>198.74</v>
      </c>
      <c r="L17124">
        <v>0</v>
      </c>
      <c r="M17124">
        <v>11001</v>
      </c>
      <c r="N17124" t="s">
        <v>93</v>
      </c>
      <c r="O17124">
        <v>251008</v>
      </c>
      <c r="P17124">
        <v>19.98</v>
      </c>
    </row>
    <row r="17125" spans="1:16" x14ac:dyDescent="0.25">
      <c r="A17125" t="s">
        <v>3296</v>
      </c>
      <c r="B17125" t="s">
        <v>2931</v>
      </c>
      <c r="C17125">
        <v>14630</v>
      </c>
      <c r="D17125" t="str">
        <f>"807713342   "</f>
        <v xml:space="preserve">807713342   </v>
      </c>
      <c r="E17125" t="s">
        <v>2826</v>
      </c>
      <c r="F17125" t="s">
        <v>2827</v>
      </c>
      <c r="G17125">
        <v>19.98</v>
      </c>
      <c r="H17125">
        <v>251031</v>
      </c>
      <c r="I17125">
        <v>4369</v>
      </c>
      <c r="J17125" t="s">
        <v>188</v>
      </c>
      <c r="K17125">
        <v>230.5</v>
      </c>
      <c r="L17125">
        <v>0</v>
      </c>
      <c r="M17125">
        <v>11001</v>
      </c>
      <c r="N17125" t="s">
        <v>93</v>
      </c>
      <c r="O17125">
        <v>251105</v>
      </c>
      <c r="P17125">
        <v>19.98</v>
      </c>
    </row>
    <row r="17126" spans="1:16" x14ac:dyDescent="0.25">
      <c r="A17126" t="s">
        <v>3296</v>
      </c>
      <c r="B17126" t="s">
        <v>2931</v>
      </c>
      <c r="C17126">
        <v>16158</v>
      </c>
      <c r="D17126" t="str">
        <f>"808389224   "</f>
        <v xml:space="preserve">808389224   </v>
      </c>
      <c r="E17126" t="s">
        <v>2826</v>
      </c>
      <c r="F17126" t="s">
        <v>2827</v>
      </c>
      <c r="G17126">
        <v>19.98</v>
      </c>
      <c r="H17126">
        <v>251130</v>
      </c>
      <c r="I17126">
        <v>4369</v>
      </c>
      <c r="J17126" t="s">
        <v>188</v>
      </c>
      <c r="K17126">
        <v>144.26</v>
      </c>
      <c r="L17126">
        <v>0</v>
      </c>
      <c r="M17126">
        <v>11001</v>
      </c>
      <c r="N17126" t="s">
        <v>93</v>
      </c>
      <c r="O17126">
        <v>251204</v>
      </c>
      <c r="P17126">
        <v>19.98</v>
      </c>
    </row>
    <row r="17127" spans="1:16" x14ac:dyDescent="0.25">
      <c r="A17127" t="s">
        <v>3296</v>
      </c>
      <c r="B17127" t="s">
        <v>2931</v>
      </c>
      <c r="C17127">
        <v>18002</v>
      </c>
      <c r="D17127" t="str">
        <f>"809024735   "</f>
        <v xml:space="preserve">809024735   </v>
      </c>
      <c r="E17127" t="s">
        <v>2826</v>
      </c>
      <c r="F17127" t="s">
        <v>2827</v>
      </c>
      <c r="G17127">
        <v>19.98</v>
      </c>
      <c r="H17127">
        <v>251231</v>
      </c>
      <c r="I17127">
        <v>4369</v>
      </c>
      <c r="J17127" t="s">
        <v>188</v>
      </c>
      <c r="K17127">
        <v>185.77</v>
      </c>
      <c r="L17127">
        <v>0</v>
      </c>
      <c r="M17127">
        <v>11001</v>
      </c>
      <c r="N17127" t="s">
        <v>93</v>
      </c>
      <c r="O17127">
        <v>260108</v>
      </c>
      <c r="P17127">
        <v>19.98</v>
      </c>
    </row>
    <row r="17128" spans="1:16" x14ac:dyDescent="0.25">
      <c r="A17128" t="s">
        <v>3296</v>
      </c>
      <c r="B17128" t="s">
        <v>2931</v>
      </c>
      <c r="C17128">
        <v>18154</v>
      </c>
      <c r="D17128" t="str">
        <f>"809024740   "</f>
        <v xml:space="preserve">809024740   </v>
      </c>
      <c r="E17128" t="s">
        <v>2826</v>
      </c>
      <c r="F17128" t="s">
        <v>2827</v>
      </c>
      <c r="G17128">
        <v>25.85</v>
      </c>
      <c r="H17128">
        <v>251231</v>
      </c>
      <c r="I17128">
        <v>4369</v>
      </c>
      <c r="J17128" t="s">
        <v>188</v>
      </c>
      <c r="K17128">
        <v>1266.5</v>
      </c>
      <c r="L17128">
        <v>5.25</v>
      </c>
      <c r="M17128">
        <v>11801</v>
      </c>
      <c r="N17128" t="s">
        <v>40</v>
      </c>
      <c r="O17128">
        <v>260109</v>
      </c>
      <c r="P17128">
        <v>20.6</v>
      </c>
    </row>
    <row r="17129" spans="1:16" x14ac:dyDescent="0.25">
      <c r="A17129" t="s">
        <v>3296</v>
      </c>
      <c r="B17129" t="s">
        <v>2931</v>
      </c>
      <c r="C17129">
        <v>6099</v>
      </c>
      <c r="D17129" t="str">
        <f>"802504699   "</f>
        <v xml:space="preserve">802504699   </v>
      </c>
      <c r="E17129" t="s">
        <v>2826</v>
      </c>
      <c r="F17129" t="s">
        <v>2827</v>
      </c>
      <c r="G17129">
        <v>49.8</v>
      </c>
      <c r="H17129">
        <v>250430</v>
      </c>
      <c r="I17129">
        <v>4380</v>
      </c>
      <c r="J17129" t="s">
        <v>211</v>
      </c>
      <c r="K17129">
        <v>135.69999999999999</v>
      </c>
      <c r="L17129">
        <v>0</v>
      </c>
      <c r="M17129">
        <v>11001</v>
      </c>
      <c r="N17129" t="s">
        <v>93</v>
      </c>
      <c r="O17129">
        <v>250509</v>
      </c>
      <c r="P17129">
        <v>49.8</v>
      </c>
    </row>
    <row r="17130" spans="1:16" x14ac:dyDescent="0.25">
      <c r="A17130" t="s">
        <v>3296</v>
      </c>
      <c r="B17130" t="s">
        <v>2931</v>
      </c>
      <c r="C17130">
        <v>10298</v>
      </c>
      <c r="D17130" t="str">
        <f>"804409687   "</f>
        <v xml:space="preserve">804409687   </v>
      </c>
      <c r="E17130" t="s">
        <v>2826</v>
      </c>
      <c r="F17130" t="s">
        <v>2827</v>
      </c>
      <c r="G17130">
        <v>65.8</v>
      </c>
      <c r="H17130">
        <v>250731</v>
      </c>
      <c r="I17130">
        <v>4380</v>
      </c>
      <c r="J17130" t="s">
        <v>211</v>
      </c>
      <c r="K17130">
        <v>166.6</v>
      </c>
      <c r="L17130">
        <v>0</v>
      </c>
      <c r="M17130">
        <v>11001</v>
      </c>
      <c r="N17130" t="s">
        <v>93</v>
      </c>
      <c r="O17130">
        <v>250814</v>
      </c>
      <c r="P17130">
        <v>65.8</v>
      </c>
    </row>
    <row r="17131" spans="1:16" x14ac:dyDescent="0.25">
      <c r="A17131" t="s">
        <v>3296</v>
      </c>
      <c r="B17131" t="s">
        <v>2931</v>
      </c>
      <c r="C17131">
        <v>18002</v>
      </c>
      <c r="D17131" t="str">
        <f>"809024735   "</f>
        <v xml:space="preserve">809024735   </v>
      </c>
      <c r="E17131" t="s">
        <v>2826</v>
      </c>
      <c r="F17131" t="s">
        <v>2827</v>
      </c>
      <c r="G17131">
        <v>24.9</v>
      </c>
      <c r="H17131">
        <v>251231</v>
      </c>
      <c r="I17131">
        <v>4380</v>
      </c>
      <c r="J17131" t="s">
        <v>211</v>
      </c>
      <c r="K17131">
        <v>185.77</v>
      </c>
      <c r="L17131">
        <v>0</v>
      </c>
      <c r="M17131">
        <v>11001</v>
      </c>
      <c r="N17131" t="s">
        <v>93</v>
      </c>
      <c r="O17131">
        <v>260108</v>
      </c>
      <c r="P17131">
        <v>24.9</v>
      </c>
    </row>
    <row r="17132" spans="1:16" x14ac:dyDescent="0.25">
      <c r="A17132" t="s">
        <v>3296</v>
      </c>
      <c r="B17132" t="s">
        <v>2931</v>
      </c>
      <c r="C17132">
        <v>1203</v>
      </c>
      <c r="D17132" t="str">
        <f>"801038126   "</f>
        <v xml:space="preserve">801038126   </v>
      </c>
      <c r="E17132" t="s">
        <v>2826</v>
      </c>
      <c r="F17132" t="s">
        <v>2827</v>
      </c>
      <c r="G17132">
        <v>569.77</v>
      </c>
      <c r="H17132">
        <v>250131</v>
      </c>
      <c r="I17132">
        <v>4410</v>
      </c>
      <c r="J17132" t="s">
        <v>165</v>
      </c>
      <c r="K17132">
        <v>5170.47</v>
      </c>
      <c r="L17132">
        <v>0</v>
      </c>
      <c r="M17132">
        <v>11902</v>
      </c>
      <c r="N17132" t="s">
        <v>329</v>
      </c>
      <c r="O17132">
        <v>250205</v>
      </c>
      <c r="P17132">
        <v>569.77</v>
      </c>
    </row>
    <row r="17133" spans="1:16" x14ac:dyDescent="0.25">
      <c r="A17133" t="s">
        <v>3296</v>
      </c>
      <c r="B17133" t="s">
        <v>2931</v>
      </c>
      <c r="C17133">
        <v>1203</v>
      </c>
      <c r="D17133" t="str">
        <f>"801038126   "</f>
        <v xml:space="preserve">801038126   </v>
      </c>
      <c r="E17133" t="s">
        <v>2826</v>
      </c>
      <c r="F17133" t="s">
        <v>2827</v>
      </c>
      <c r="G17133">
        <v>4521.7</v>
      </c>
      <c r="H17133">
        <v>250131</v>
      </c>
      <c r="I17133">
        <v>4410</v>
      </c>
      <c r="J17133" t="s">
        <v>165</v>
      </c>
      <c r="K17133">
        <v>5170.47</v>
      </c>
      <c r="L17133">
        <v>0</v>
      </c>
      <c r="M17133">
        <v>11902</v>
      </c>
      <c r="N17133" t="s">
        <v>329</v>
      </c>
      <c r="O17133">
        <v>250205</v>
      </c>
      <c r="P17133">
        <v>4521.7</v>
      </c>
    </row>
    <row r="17134" spans="1:16" x14ac:dyDescent="0.25">
      <c r="A17134" t="s">
        <v>3296</v>
      </c>
      <c r="B17134" t="s">
        <v>2931</v>
      </c>
      <c r="C17134">
        <v>4359</v>
      </c>
      <c r="D17134" t="str">
        <f>"802023937   "</f>
        <v xml:space="preserve">802023937   </v>
      </c>
      <c r="E17134" t="s">
        <v>2826</v>
      </c>
      <c r="F17134" t="s">
        <v>2827</v>
      </c>
      <c r="G17134">
        <v>160</v>
      </c>
      <c r="H17134">
        <v>250331</v>
      </c>
      <c r="I17134">
        <v>4410</v>
      </c>
      <c r="J17134" t="s">
        <v>165</v>
      </c>
      <c r="K17134">
        <v>160</v>
      </c>
      <c r="L17134">
        <v>19.649999999999999</v>
      </c>
      <c r="M17134">
        <v>49702</v>
      </c>
      <c r="N17134" t="s">
        <v>112</v>
      </c>
      <c r="O17134">
        <v>250411</v>
      </c>
      <c r="P17134">
        <v>140.35</v>
      </c>
    </row>
    <row r="17135" spans="1:16" x14ac:dyDescent="0.25">
      <c r="A17135" t="s">
        <v>3296</v>
      </c>
      <c r="B17135" t="s">
        <v>2931</v>
      </c>
      <c r="C17135">
        <v>4524</v>
      </c>
      <c r="D17135" t="str">
        <f>"802023940   "</f>
        <v xml:space="preserve">802023940   </v>
      </c>
      <c r="E17135" t="s">
        <v>2826</v>
      </c>
      <c r="F17135" t="s">
        <v>2827</v>
      </c>
      <c r="G17135">
        <v>10.039999999999999</v>
      </c>
      <c r="H17135">
        <v>250331</v>
      </c>
      <c r="I17135">
        <v>4410</v>
      </c>
      <c r="J17135" t="s">
        <v>165</v>
      </c>
      <c r="K17135">
        <v>495</v>
      </c>
      <c r="L17135">
        <v>0</v>
      </c>
      <c r="M17135">
        <v>13601</v>
      </c>
      <c r="N17135" t="s">
        <v>115</v>
      </c>
      <c r="O17135">
        <v>250414</v>
      </c>
      <c r="P17135">
        <v>10.039999999999999</v>
      </c>
    </row>
    <row r="17136" spans="1:16" x14ac:dyDescent="0.25">
      <c r="A17136" t="s">
        <v>3296</v>
      </c>
      <c r="B17136" t="s">
        <v>2931</v>
      </c>
      <c r="C17136">
        <v>4853</v>
      </c>
      <c r="D17136" t="str">
        <f>"802023931   "</f>
        <v xml:space="preserve">802023931   </v>
      </c>
      <c r="E17136" t="s">
        <v>2826</v>
      </c>
      <c r="F17136" t="s">
        <v>2827</v>
      </c>
      <c r="G17136">
        <v>300.23</v>
      </c>
      <c r="H17136">
        <v>250331</v>
      </c>
      <c r="I17136">
        <v>4410</v>
      </c>
      <c r="J17136" t="s">
        <v>165</v>
      </c>
      <c r="K17136">
        <v>1827.07</v>
      </c>
      <c r="L17136">
        <v>0</v>
      </c>
      <c r="M17136">
        <v>11902</v>
      </c>
      <c r="N17136" t="s">
        <v>329</v>
      </c>
      <c r="O17136">
        <v>250416</v>
      </c>
      <c r="P17136">
        <v>300.23</v>
      </c>
    </row>
    <row r="17137" spans="1:16" x14ac:dyDescent="0.25">
      <c r="A17137" t="s">
        <v>3296</v>
      </c>
      <c r="B17137" t="s">
        <v>2931</v>
      </c>
      <c r="C17137">
        <v>4853</v>
      </c>
      <c r="D17137" t="str">
        <f>"802023931   "</f>
        <v xml:space="preserve">802023931   </v>
      </c>
      <c r="E17137" t="s">
        <v>2826</v>
      </c>
      <c r="F17137" t="s">
        <v>2827</v>
      </c>
      <c r="G17137">
        <v>342.36</v>
      </c>
      <c r="H17137">
        <v>250331</v>
      </c>
      <c r="I17137">
        <v>4410</v>
      </c>
      <c r="J17137" t="s">
        <v>165</v>
      </c>
      <c r="K17137">
        <v>1827.07</v>
      </c>
      <c r="L17137">
        <v>0</v>
      </c>
      <c r="M17137">
        <v>11902</v>
      </c>
      <c r="N17137" t="s">
        <v>329</v>
      </c>
      <c r="O17137">
        <v>250416</v>
      </c>
      <c r="P17137">
        <v>342.36</v>
      </c>
    </row>
    <row r="17138" spans="1:16" x14ac:dyDescent="0.25">
      <c r="A17138" t="s">
        <v>3296</v>
      </c>
      <c r="B17138" t="s">
        <v>2931</v>
      </c>
      <c r="C17138">
        <v>4853</v>
      </c>
      <c r="D17138" t="str">
        <f>"802023931   "</f>
        <v xml:space="preserve">802023931   </v>
      </c>
      <c r="E17138" t="s">
        <v>2826</v>
      </c>
      <c r="F17138" t="s">
        <v>2827</v>
      </c>
      <c r="G17138">
        <v>259.33999999999997</v>
      </c>
      <c r="H17138">
        <v>250331</v>
      </c>
      <c r="I17138">
        <v>4410</v>
      </c>
      <c r="J17138" t="s">
        <v>165</v>
      </c>
      <c r="K17138">
        <v>1827.07</v>
      </c>
      <c r="L17138">
        <v>0</v>
      </c>
      <c r="M17138">
        <v>11941</v>
      </c>
      <c r="N17138" t="s">
        <v>426</v>
      </c>
      <c r="O17138">
        <v>250416</v>
      </c>
      <c r="P17138">
        <v>259.33999999999997</v>
      </c>
    </row>
    <row r="17139" spans="1:16" x14ac:dyDescent="0.25">
      <c r="A17139" t="s">
        <v>3296</v>
      </c>
      <c r="B17139" t="s">
        <v>2931</v>
      </c>
      <c r="C17139">
        <v>4853</v>
      </c>
      <c r="D17139" t="str">
        <f>"802023931   "</f>
        <v xml:space="preserve">802023931   </v>
      </c>
      <c r="E17139" t="s">
        <v>2826</v>
      </c>
      <c r="F17139" t="s">
        <v>2827</v>
      </c>
      <c r="G17139">
        <v>370</v>
      </c>
      <c r="H17139">
        <v>250331</v>
      </c>
      <c r="I17139">
        <v>4410</v>
      </c>
      <c r="J17139" t="s">
        <v>165</v>
      </c>
      <c r="K17139">
        <v>1827.07</v>
      </c>
      <c r="L17139">
        <v>0</v>
      </c>
      <c r="M17139">
        <v>11961</v>
      </c>
      <c r="N17139" t="s">
        <v>909</v>
      </c>
      <c r="O17139">
        <v>250416</v>
      </c>
      <c r="P17139">
        <v>370</v>
      </c>
    </row>
    <row r="17140" spans="1:16" x14ac:dyDescent="0.25">
      <c r="A17140" t="s">
        <v>3296</v>
      </c>
      <c r="B17140" t="s">
        <v>2931</v>
      </c>
      <c r="C17140">
        <v>5904</v>
      </c>
      <c r="D17140" t="str">
        <f>"802504703   "</f>
        <v xml:space="preserve">802504703   </v>
      </c>
      <c r="E17140" t="s">
        <v>2826</v>
      </c>
      <c r="F17140" t="s">
        <v>2827</v>
      </c>
      <c r="G17140">
        <v>213.5</v>
      </c>
      <c r="H17140">
        <v>250430</v>
      </c>
      <c r="I17140">
        <v>4410</v>
      </c>
      <c r="J17140" t="s">
        <v>165</v>
      </c>
      <c r="K17140">
        <v>232.39</v>
      </c>
      <c r="L17140">
        <v>0</v>
      </c>
      <c r="M17140">
        <v>11901</v>
      </c>
      <c r="N17140" t="s">
        <v>31</v>
      </c>
      <c r="O17140">
        <v>250507</v>
      </c>
      <c r="P17140">
        <v>213.5</v>
      </c>
    </row>
    <row r="17141" spans="1:16" x14ac:dyDescent="0.25">
      <c r="A17141" t="s">
        <v>3296</v>
      </c>
      <c r="B17141" t="s">
        <v>2931</v>
      </c>
      <c r="C17141">
        <v>5920</v>
      </c>
      <c r="D17141" t="str">
        <f>"802504706   "</f>
        <v xml:space="preserve">802504706   </v>
      </c>
      <c r="E17141" t="s">
        <v>2826</v>
      </c>
      <c r="F17141" t="s">
        <v>2827</v>
      </c>
      <c r="G17141">
        <v>191.5</v>
      </c>
      <c r="H17141">
        <v>250430</v>
      </c>
      <c r="I17141">
        <v>4410</v>
      </c>
      <c r="J17141" t="s">
        <v>165</v>
      </c>
      <c r="K17141">
        <v>191.5</v>
      </c>
      <c r="L17141">
        <v>23.52</v>
      </c>
      <c r="M17141">
        <v>49702</v>
      </c>
      <c r="N17141" t="s">
        <v>112</v>
      </c>
      <c r="O17141">
        <v>250507</v>
      </c>
      <c r="P17141">
        <v>167.98</v>
      </c>
    </row>
    <row r="17142" spans="1:16" x14ac:dyDescent="0.25">
      <c r="A17142" t="s">
        <v>3296</v>
      </c>
      <c r="B17142" t="s">
        <v>2931</v>
      </c>
      <c r="C17142">
        <v>6362</v>
      </c>
      <c r="D17142" t="str">
        <f>"802504700   "</f>
        <v xml:space="preserve">802504700   </v>
      </c>
      <c r="E17142" t="s">
        <v>2826</v>
      </c>
      <c r="F17142" t="s">
        <v>2827</v>
      </c>
      <c r="G17142">
        <v>199.97</v>
      </c>
      <c r="H17142">
        <v>250430</v>
      </c>
      <c r="I17142">
        <v>4410</v>
      </c>
      <c r="J17142" t="s">
        <v>165</v>
      </c>
      <c r="K17142">
        <v>244.82</v>
      </c>
      <c r="L17142">
        <v>24.56</v>
      </c>
      <c r="M17142">
        <v>11902</v>
      </c>
      <c r="N17142" t="s">
        <v>329</v>
      </c>
      <c r="O17142">
        <v>250513</v>
      </c>
      <c r="P17142">
        <v>175.41</v>
      </c>
    </row>
    <row r="17143" spans="1:16" x14ac:dyDescent="0.25">
      <c r="A17143" t="s">
        <v>3296</v>
      </c>
      <c r="B17143" t="s">
        <v>2931</v>
      </c>
      <c r="C17143">
        <v>6655</v>
      </c>
      <c r="D17143" t="str">
        <f>"802504711   "</f>
        <v xml:space="preserve">802504711   </v>
      </c>
      <c r="E17143" t="s">
        <v>2826</v>
      </c>
      <c r="F17143" t="s">
        <v>2827</v>
      </c>
      <c r="G17143">
        <v>37.5</v>
      </c>
      <c r="H17143">
        <v>250430</v>
      </c>
      <c r="I17143">
        <v>4410</v>
      </c>
      <c r="J17143" t="s">
        <v>165</v>
      </c>
      <c r="K17143">
        <v>64.489999999999995</v>
      </c>
      <c r="L17143">
        <v>4.6100000000000003</v>
      </c>
      <c r="M17143">
        <v>49702</v>
      </c>
      <c r="N17143" t="s">
        <v>112</v>
      </c>
      <c r="O17143">
        <v>250515</v>
      </c>
      <c r="P17143">
        <v>32.89</v>
      </c>
    </row>
    <row r="17144" spans="1:16" x14ac:dyDescent="0.25">
      <c r="A17144" t="s">
        <v>3296</v>
      </c>
      <c r="B17144" t="s">
        <v>2931</v>
      </c>
      <c r="C17144">
        <v>6714</v>
      </c>
      <c r="D17144" t="str">
        <f>"802504704   "</f>
        <v xml:space="preserve">802504704   </v>
      </c>
      <c r="E17144" t="s">
        <v>2826</v>
      </c>
      <c r="F17144" t="s">
        <v>2827</v>
      </c>
      <c r="G17144">
        <v>9.8000000000000007</v>
      </c>
      <c r="H17144">
        <v>250430</v>
      </c>
      <c r="I17144">
        <v>4410</v>
      </c>
      <c r="J17144" t="s">
        <v>165</v>
      </c>
      <c r="K17144">
        <v>114.09</v>
      </c>
      <c r="L17144">
        <v>1.2</v>
      </c>
      <c r="M17144">
        <v>11801</v>
      </c>
      <c r="N17144" t="s">
        <v>40</v>
      </c>
      <c r="O17144">
        <v>250516</v>
      </c>
      <c r="P17144">
        <v>8.6</v>
      </c>
    </row>
    <row r="17145" spans="1:16" x14ac:dyDescent="0.25">
      <c r="A17145" t="s">
        <v>3296</v>
      </c>
      <c r="B17145" t="s">
        <v>2931</v>
      </c>
      <c r="C17145">
        <v>6714</v>
      </c>
      <c r="D17145" t="str">
        <f>"802504704   "</f>
        <v xml:space="preserve">802504704   </v>
      </c>
      <c r="E17145" t="s">
        <v>2826</v>
      </c>
      <c r="F17145" t="s">
        <v>2827</v>
      </c>
      <c r="G17145">
        <v>24.5</v>
      </c>
      <c r="H17145">
        <v>250430</v>
      </c>
      <c r="I17145">
        <v>4410</v>
      </c>
      <c r="J17145" t="s">
        <v>165</v>
      </c>
      <c r="K17145">
        <v>114.09</v>
      </c>
      <c r="L17145">
        <v>4.74</v>
      </c>
      <c r="M17145">
        <v>11801</v>
      </c>
      <c r="N17145" t="s">
        <v>40</v>
      </c>
      <c r="O17145">
        <v>250516</v>
      </c>
      <c r="P17145">
        <v>19.760000000000002</v>
      </c>
    </row>
    <row r="17146" spans="1:16" x14ac:dyDescent="0.25">
      <c r="A17146" t="s">
        <v>3296</v>
      </c>
      <c r="B17146" t="s">
        <v>2931</v>
      </c>
      <c r="C17146">
        <v>6757</v>
      </c>
      <c r="D17146" t="str">
        <f>"802504707   "</f>
        <v xml:space="preserve">802504707   </v>
      </c>
      <c r="E17146" t="s">
        <v>2826</v>
      </c>
      <c r="F17146" t="s">
        <v>2827</v>
      </c>
      <c r="G17146">
        <v>18</v>
      </c>
      <c r="H17146">
        <v>250430</v>
      </c>
      <c r="I17146">
        <v>4410</v>
      </c>
      <c r="J17146" t="s">
        <v>165</v>
      </c>
      <c r="K17146">
        <v>365.76</v>
      </c>
      <c r="L17146">
        <v>0</v>
      </c>
      <c r="M17146">
        <v>13901</v>
      </c>
      <c r="N17146" t="s">
        <v>116</v>
      </c>
      <c r="O17146">
        <v>250516</v>
      </c>
      <c r="P17146">
        <v>18</v>
      </c>
    </row>
    <row r="17147" spans="1:16" x14ac:dyDescent="0.25">
      <c r="A17147" t="s">
        <v>3296</v>
      </c>
      <c r="B17147" t="s">
        <v>2931</v>
      </c>
      <c r="C17147">
        <v>6757</v>
      </c>
      <c r="D17147" t="str">
        <f>"802504707   "</f>
        <v xml:space="preserve">802504707   </v>
      </c>
      <c r="E17147" t="s">
        <v>2826</v>
      </c>
      <c r="F17147" t="s">
        <v>2827</v>
      </c>
      <c r="G17147">
        <v>249.76</v>
      </c>
      <c r="H17147">
        <v>250430</v>
      </c>
      <c r="I17147">
        <v>4410</v>
      </c>
      <c r="J17147" t="s">
        <v>165</v>
      </c>
      <c r="K17147">
        <v>365.76</v>
      </c>
      <c r="L17147">
        <v>30.67</v>
      </c>
      <c r="M17147">
        <v>13901</v>
      </c>
      <c r="N17147" t="s">
        <v>116</v>
      </c>
      <c r="O17147">
        <v>250516</v>
      </c>
      <c r="P17147">
        <v>219.09</v>
      </c>
    </row>
    <row r="17148" spans="1:16" x14ac:dyDescent="0.25">
      <c r="A17148" t="s">
        <v>3296</v>
      </c>
      <c r="B17148" t="s">
        <v>2931</v>
      </c>
      <c r="C17148">
        <v>6757</v>
      </c>
      <c r="D17148" t="str">
        <f>"802504707   "</f>
        <v xml:space="preserve">802504707   </v>
      </c>
      <c r="E17148" t="s">
        <v>2826</v>
      </c>
      <c r="F17148" t="s">
        <v>2827</v>
      </c>
      <c r="G17148">
        <v>8</v>
      </c>
      <c r="H17148">
        <v>250430</v>
      </c>
      <c r="I17148">
        <v>4410</v>
      </c>
      <c r="J17148" t="s">
        <v>165</v>
      </c>
      <c r="K17148">
        <v>365.76</v>
      </c>
      <c r="L17148">
        <v>0</v>
      </c>
      <c r="M17148">
        <v>13940</v>
      </c>
      <c r="N17148" t="s">
        <v>14</v>
      </c>
      <c r="O17148">
        <v>250516</v>
      </c>
      <c r="P17148">
        <v>8</v>
      </c>
    </row>
    <row r="17149" spans="1:16" x14ac:dyDescent="0.25">
      <c r="A17149" t="s">
        <v>3296</v>
      </c>
      <c r="B17149" t="s">
        <v>2931</v>
      </c>
      <c r="C17149">
        <v>6757</v>
      </c>
      <c r="D17149" t="str">
        <f>"802504707   "</f>
        <v xml:space="preserve">802504707   </v>
      </c>
      <c r="E17149" t="s">
        <v>2826</v>
      </c>
      <c r="F17149" t="s">
        <v>2827</v>
      </c>
      <c r="G17149">
        <v>90</v>
      </c>
      <c r="H17149">
        <v>250430</v>
      </c>
      <c r="I17149">
        <v>4410</v>
      </c>
      <c r="J17149" t="s">
        <v>165</v>
      </c>
      <c r="K17149">
        <v>365.76</v>
      </c>
      <c r="L17149">
        <v>11.05</v>
      </c>
      <c r="M17149">
        <v>13940</v>
      </c>
      <c r="N17149" t="s">
        <v>14</v>
      </c>
      <c r="O17149">
        <v>250516</v>
      </c>
      <c r="P17149">
        <v>78.95</v>
      </c>
    </row>
    <row r="17150" spans="1:16" x14ac:dyDescent="0.25">
      <c r="A17150" t="s">
        <v>3296</v>
      </c>
      <c r="B17150" t="s">
        <v>2931</v>
      </c>
      <c r="C17150">
        <v>7792</v>
      </c>
      <c r="D17150" t="str">
        <f>"802999274   "</f>
        <v xml:space="preserve">802999274   </v>
      </c>
      <c r="E17150" t="s">
        <v>2826</v>
      </c>
      <c r="F17150" t="s">
        <v>2827</v>
      </c>
      <c r="G17150">
        <v>8.5</v>
      </c>
      <c r="H17150">
        <v>250531</v>
      </c>
      <c r="I17150">
        <v>4410</v>
      </c>
      <c r="J17150" t="s">
        <v>165</v>
      </c>
      <c r="K17150">
        <v>986.66</v>
      </c>
      <c r="L17150">
        <v>1.04</v>
      </c>
      <c r="M17150">
        <v>11801</v>
      </c>
      <c r="N17150" t="s">
        <v>40</v>
      </c>
      <c r="O17150">
        <v>250609</v>
      </c>
      <c r="P17150">
        <v>7.46</v>
      </c>
    </row>
    <row r="17151" spans="1:16" x14ac:dyDescent="0.25">
      <c r="A17151" t="s">
        <v>3296</v>
      </c>
      <c r="B17151" t="s">
        <v>2931</v>
      </c>
      <c r="C17151">
        <v>7792</v>
      </c>
      <c r="D17151" t="str">
        <f>"802999274   "</f>
        <v xml:space="preserve">802999274   </v>
      </c>
      <c r="E17151" t="s">
        <v>2826</v>
      </c>
      <c r="F17151" t="s">
        <v>2827</v>
      </c>
      <c r="G17151">
        <v>116.6</v>
      </c>
      <c r="H17151">
        <v>250531</v>
      </c>
      <c r="I17151">
        <v>4410</v>
      </c>
      <c r="J17151" t="s">
        <v>165</v>
      </c>
      <c r="K17151">
        <v>986.66</v>
      </c>
      <c r="L17151">
        <v>14.32</v>
      </c>
      <c r="M17151">
        <v>11801</v>
      </c>
      <c r="N17151" t="s">
        <v>40</v>
      </c>
      <c r="O17151">
        <v>250609</v>
      </c>
      <c r="P17151">
        <v>102.28</v>
      </c>
    </row>
    <row r="17152" spans="1:16" x14ac:dyDescent="0.25">
      <c r="A17152" t="s">
        <v>3296</v>
      </c>
      <c r="B17152" t="s">
        <v>2931</v>
      </c>
      <c r="C17152">
        <v>7808</v>
      </c>
      <c r="D17152" t="str">
        <f>"802999271   "</f>
        <v xml:space="preserve">802999271   </v>
      </c>
      <c r="E17152" t="s">
        <v>2826</v>
      </c>
      <c r="F17152" t="s">
        <v>2827</v>
      </c>
      <c r="G17152">
        <v>97.11</v>
      </c>
      <c r="H17152">
        <v>250531</v>
      </c>
      <c r="I17152">
        <v>4410</v>
      </c>
      <c r="J17152" t="s">
        <v>165</v>
      </c>
      <c r="K17152">
        <v>1143.5899999999999</v>
      </c>
      <c r="L17152">
        <v>0</v>
      </c>
      <c r="M17152">
        <v>11941</v>
      </c>
      <c r="N17152" t="s">
        <v>426</v>
      </c>
      <c r="O17152">
        <v>250609</v>
      </c>
      <c r="P17152">
        <v>97.11</v>
      </c>
    </row>
    <row r="17153" spans="1:16" x14ac:dyDescent="0.25">
      <c r="A17153" t="s">
        <v>3296</v>
      </c>
      <c r="B17153" t="s">
        <v>2931</v>
      </c>
      <c r="C17153">
        <v>7808</v>
      </c>
      <c r="D17153" t="str">
        <f>"802999271   "</f>
        <v xml:space="preserve">802999271   </v>
      </c>
      <c r="E17153" t="s">
        <v>2826</v>
      </c>
      <c r="F17153" t="s">
        <v>2827</v>
      </c>
      <c r="G17153">
        <v>1036.49</v>
      </c>
      <c r="H17153">
        <v>250531</v>
      </c>
      <c r="I17153">
        <v>4410</v>
      </c>
      <c r="J17153" t="s">
        <v>165</v>
      </c>
      <c r="K17153">
        <v>1143.5899999999999</v>
      </c>
      <c r="L17153">
        <v>0</v>
      </c>
      <c r="M17153">
        <v>11941</v>
      </c>
      <c r="N17153" t="s">
        <v>426</v>
      </c>
      <c r="O17153">
        <v>250609</v>
      </c>
      <c r="P17153">
        <v>1036.49</v>
      </c>
    </row>
    <row r="17154" spans="1:16" x14ac:dyDescent="0.25">
      <c r="A17154" t="s">
        <v>3296</v>
      </c>
      <c r="B17154" t="s">
        <v>2931</v>
      </c>
      <c r="C17154">
        <v>7808</v>
      </c>
      <c r="D17154" t="str">
        <f>"802999271   "</f>
        <v xml:space="preserve">802999271   </v>
      </c>
      <c r="E17154" t="s">
        <v>2826</v>
      </c>
      <c r="F17154" t="s">
        <v>2827</v>
      </c>
      <c r="G17154">
        <v>409.4</v>
      </c>
      <c r="H17154">
        <v>250531</v>
      </c>
      <c r="I17154">
        <v>4410</v>
      </c>
      <c r="J17154" t="s">
        <v>165</v>
      </c>
      <c r="K17154">
        <v>1143.5899999999999</v>
      </c>
      <c r="L17154">
        <v>0</v>
      </c>
      <c r="M17154">
        <v>11951</v>
      </c>
      <c r="N17154" t="s">
        <v>428</v>
      </c>
      <c r="O17154">
        <v>250609</v>
      </c>
      <c r="P17154">
        <v>409.4</v>
      </c>
    </row>
    <row r="17155" spans="1:16" x14ac:dyDescent="0.25">
      <c r="A17155" t="s">
        <v>3296</v>
      </c>
      <c r="B17155" t="s">
        <v>2931</v>
      </c>
      <c r="C17155">
        <v>7808</v>
      </c>
      <c r="D17155" t="str">
        <f>"802999271   "</f>
        <v xml:space="preserve">802999271   </v>
      </c>
      <c r="E17155" t="s">
        <v>2826</v>
      </c>
      <c r="F17155" t="s">
        <v>2827</v>
      </c>
      <c r="G17155">
        <v>-409.4</v>
      </c>
      <c r="H17155">
        <v>250531</v>
      </c>
      <c r="I17155">
        <v>4410</v>
      </c>
      <c r="J17155" t="s">
        <v>165</v>
      </c>
      <c r="K17155">
        <v>1143.5899999999999</v>
      </c>
      <c r="L17155">
        <v>0</v>
      </c>
      <c r="M17155">
        <v>11951</v>
      </c>
      <c r="N17155" t="s">
        <v>428</v>
      </c>
      <c r="O17155">
        <v>250609</v>
      </c>
      <c r="P17155">
        <v>-409.4</v>
      </c>
    </row>
    <row r="17156" spans="1:16" x14ac:dyDescent="0.25">
      <c r="A17156" t="s">
        <v>3296</v>
      </c>
      <c r="B17156" t="s">
        <v>2931</v>
      </c>
      <c r="C17156">
        <v>7914</v>
      </c>
      <c r="D17156" t="str">
        <f>"802999277   "</f>
        <v xml:space="preserve">802999277   </v>
      </c>
      <c r="E17156" t="s">
        <v>2826</v>
      </c>
      <c r="F17156" t="s">
        <v>2827</v>
      </c>
      <c r="G17156">
        <v>147.6</v>
      </c>
      <c r="H17156">
        <v>250531</v>
      </c>
      <c r="I17156">
        <v>4410</v>
      </c>
      <c r="J17156" t="s">
        <v>165</v>
      </c>
      <c r="K17156">
        <v>149.28</v>
      </c>
      <c r="L17156">
        <v>18.13</v>
      </c>
      <c r="M17156">
        <v>13940</v>
      </c>
      <c r="N17156" t="s">
        <v>14</v>
      </c>
      <c r="O17156">
        <v>250610</v>
      </c>
      <c r="P17156">
        <v>129.47</v>
      </c>
    </row>
    <row r="17157" spans="1:16" x14ac:dyDescent="0.25">
      <c r="A17157" t="s">
        <v>3296</v>
      </c>
      <c r="B17157" t="s">
        <v>2931</v>
      </c>
      <c r="C17157">
        <v>7981</v>
      </c>
      <c r="D17157" t="str">
        <f>"802999275   "</f>
        <v xml:space="preserve">802999275   </v>
      </c>
      <c r="E17157" t="s">
        <v>2826</v>
      </c>
      <c r="F17157" t="s">
        <v>2827</v>
      </c>
      <c r="G17157">
        <v>67.5</v>
      </c>
      <c r="H17157">
        <v>250531</v>
      </c>
      <c r="I17157">
        <v>4410</v>
      </c>
      <c r="J17157" t="s">
        <v>165</v>
      </c>
      <c r="K17157">
        <v>4650.75</v>
      </c>
      <c r="L17157">
        <v>8.2899999999999991</v>
      </c>
      <c r="M17157">
        <v>11301</v>
      </c>
      <c r="N17157" t="s">
        <v>92</v>
      </c>
      <c r="O17157">
        <v>250610</v>
      </c>
      <c r="P17157">
        <v>59.21</v>
      </c>
    </row>
    <row r="17158" spans="1:16" x14ac:dyDescent="0.25">
      <c r="A17158" t="s">
        <v>3296</v>
      </c>
      <c r="B17158" t="s">
        <v>2931</v>
      </c>
      <c r="C17158">
        <v>9291</v>
      </c>
      <c r="D17158" t="str">
        <f>"803813076   "</f>
        <v xml:space="preserve">803813076   </v>
      </c>
      <c r="E17158" t="s">
        <v>2826</v>
      </c>
      <c r="F17158" t="s">
        <v>2827</v>
      </c>
      <c r="G17158">
        <v>672</v>
      </c>
      <c r="H17158">
        <v>250630</v>
      </c>
      <c r="I17158">
        <v>4410</v>
      </c>
      <c r="J17158" t="s">
        <v>165</v>
      </c>
      <c r="K17158">
        <v>681.99</v>
      </c>
      <c r="L17158">
        <v>0</v>
      </c>
      <c r="M17158">
        <v>11902</v>
      </c>
      <c r="N17158" t="s">
        <v>329</v>
      </c>
      <c r="O17158">
        <v>250702</v>
      </c>
      <c r="P17158">
        <v>672</v>
      </c>
    </row>
    <row r="17159" spans="1:16" x14ac:dyDescent="0.25">
      <c r="A17159" t="s">
        <v>3296</v>
      </c>
      <c r="B17159" t="s">
        <v>2931</v>
      </c>
      <c r="C17159">
        <v>9346</v>
      </c>
      <c r="D17159" t="str">
        <f>"803813081   "</f>
        <v xml:space="preserve">803813081   </v>
      </c>
      <c r="E17159" t="s">
        <v>2826</v>
      </c>
      <c r="F17159" t="s">
        <v>2827</v>
      </c>
      <c r="G17159">
        <v>109.6</v>
      </c>
      <c r="H17159">
        <v>250630</v>
      </c>
      <c r="I17159">
        <v>4410</v>
      </c>
      <c r="J17159" t="s">
        <v>165</v>
      </c>
      <c r="K17159">
        <v>146.35</v>
      </c>
      <c r="L17159">
        <v>13.46</v>
      </c>
      <c r="M17159">
        <v>13201</v>
      </c>
      <c r="N17159" t="s">
        <v>269</v>
      </c>
      <c r="O17159">
        <v>250704</v>
      </c>
      <c r="P17159">
        <v>96.14</v>
      </c>
    </row>
    <row r="17160" spans="1:16" x14ac:dyDescent="0.25">
      <c r="A17160" t="s">
        <v>3296</v>
      </c>
      <c r="B17160" t="s">
        <v>2931</v>
      </c>
      <c r="C17160">
        <v>11252</v>
      </c>
      <c r="D17160" t="str">
        <f>"804895991   "</f>
        <v xml:space="preserve">804895991   </v>
      </c>
      <c r="E17160" t="s">
        <v>2826</v>
      </c>
      <c r="F17160" t="s">
        <v>2827</v>
      </c>
      <c r="G17160">
        <v>200.2</v>
      </c>
      <c r="H17160">
        <v>250831</v>
      </c>
      <c r="I17160">
        <v>4410</v>
      </c>
      <c r="J17160" t="s">
        <v>165</v>
      </c>
      <c r="K17160">
        <v>200.2</v>
      </c>
      <c r="L17160">
        <v>24.59</v>
      </c>
      <c r="M17160">
        <v>11951</v>
      </c>
      <c r="N17160" t="s">
        <v>428</v>
      </c>
      <c r="O17160">
        <v>250902</v>
      </c>
      <c r="P17160">
        <v>175.61</v>
      </c>
    </row>
    <row r="17161" spans="1:16" x14ac:dyDescent="0.25">
      <c r="A17161" t="s">
        <v>3296</v>
      </c>
      <c r="B17161" t="s">
        <v>2931</v>
      </c>
      <c r="C17161">
        <v>11949</v>
      </c>
      <c r="D17161" t="str">
        <f>"804896000   "</f>
        <v xml:space="preserve">804896000   </v>
      </c>
      <c r="E17161" t="s">
        <v>2826</v>
      </c>
      <c r="F17161" t="s">
        <v>2827</v>
      </c>
      <c r="G17161">
        <v>81</v>
      </c>
      <c r="H17161">
        <v>250831</v>
      </c>
      <c r="I17161">
        <v>4410</v>
      </c>
      <c r="J17161" t="s">
        <v>165</v>
      </c>
      <c r="K17161">
        <v>169</v>
      </c>
      <c r="L17161">
        <v>9.9499999999999993</v>
      </c>
      <c r="M17161">
        <v>11905</v>
      </c>
      <c r="N17161" t="s">
        <v>643</v>
      </c>
      <c r="O17161">
        <v>250912</v>
      </c>
      <c r="P17161">
        <v>71.05</v>
      </c>
    </row>
    <row r="17162" spans="1:16" x14ac:dyDescent="0.25">
      <c r="A17162" t="s">
        <v>3296</v>
      </c>
      <c r="B17162" t="s">
        <v>2931</v>
      </c>
      <c r="C17162">
        <v>11950</v>
      </c>
      <c r="D17162" t="str">
        <f>"804895992   "</f>
        <v xml:space="preserve">804895992   </v>
      </c>
      <c r="E17162" t="s">
        <v>2826</v>
      </c>
      <c r="F17162" t="s">
        <v>2827</v>
      </c>
      <c r="G17162">
        <v>783.37</v>
      </c>
      <c r="H17162">
        <v>250831</v>
      </c>
      <c r="I17162">
        <v>4410</v>
      </c>
      <c r="J17162" t="s">
        <v>165</v>
      </c>
      <c r="K17162">
        <v>943.73</v>
      </c>
      <c r="L17162">
        <v>0</v>
      </c>
      <c r="M17162">
        <v>11902</v>
      </c>
      <c r="N17162" t="s">
        <v>329</v>
      </c>
      <c r="O17162">
        <v>250912</v>
      </c>
      <c r="P17162">
        <v>783.37</v>
      </c>
    </row>
    <row r="17163" spans="1:16" x14ac:dyDescent="0.25">
      <c r="A17163" t="s">
        <v>3296</v>
      </c>
      <c r="B17163" t="s">
        <v>2931</v>
      </c>
      <c r="C17163">
        <v>13403</v>
      </c>
      <c r="D17163" t="str">
        <f>"806354210   "</f>
        <v xml:space="preserve">806354210   </v>
      </c>
      <c r="E17163" t="s">
        <v>2826</v>
      </c>
      <c r="F17163" t="s">
        <v>2827</v>
      </c>
      <c r="G17163">
        <v>133.4</v>
      </c>
      <c r="H17163">
        <v>250930</v>
      </c>
      <c r="I17163">
        <v>4410</v>
      </c>
      <c r="J17163" t="s">
        <v>165</v>
      </c>
      <c r="K17163">
        <v>170.6</v>
      </c>
      <c r="L17163">
        <v>0</v>
      </c>
      <c r="M17163">
        <v>49702</v>
      </c>
      <c r="N17163" t="s">
        <v>112</v>
      </c>
      <c r="O17163">
        <v>251008</v>
      </c>
      <c r="P17163">
        <v>133.4</v>
      </c>
    </row>
    <row r="17164" spans="1:16" x14ac:dyDescent="0.25">
      <c r="A17164" t="s">
        <v>3296</v>
      </c>
      <c r="B17164" t="s">
        <v>2931</v>
      </c>
      <c r="C17164">
        <v>13606</v>
      </c>
      <c r="D17164" t="str">
        <f>"806354215   "</f>
        <v xml:space="preserve">806354215   </v>
      </c>
      <c r="E17164" t="s">
        <v>2826</v>
      </c>
      <c r="F17164" t="s">
        <v>2827</v>
      </c>
      <c r="G17164">
        <v>9.5399999999999991</v>
      </c>
      <c r="H17164">
        <v>250930</v>
      </c>
      <c r="I17164">
        <v>4410</v>
      </c>
      <c r="J17164" t="s">
        <v>165</v>
      </c>
      <c r="K17164">
        <v>226.09</v>
      </c>
      <c r="L17164">
        <v>0</v>
      </c>
      <c r="M17164">
        <v>49702</v>
      </c>
      <c r="N17164" t="s">
        <v>112</v>
      </c>
      <c r="O17164">
        <v>251013</v>
      </c>
      <c r="P17164">
        <v>9.5399999999999991</v>
      </c>
    </row>
    <row r="17165" spans="1:16" x14ac:dyDescent="0.25">
      <c r="A17165" t="s">
        <v>3296</v>
      </c>
      <c r="B17165" t="s">
        <v>2931</v>
      </c>
      <c r="C17165">
        <v>13606</v>
      </c>
      <c r="D17165" t="str">
        <f>"806354215   "</f>
        <v xml:space="preserve">806354215   </v>
      </c>
      <c r="E17165" t="s">
        <v>2826</v>
      </c>
      <c r="F17165" t="s">
        <v>2827</v>
      </c>
      <c r="G17165">
        <v>112.96</v>
      </c>
      <c r="H17165">
        <v>250930</v>
      </c>
      <c r="I17165">
        <v>4410</v>
      </c>
      <c r="J17165" t="s">
        <v>165</v>
      </c>
      <c r="K17165">
        <v>226.09</v>
      </c>
      <c r="L17165">
        <v>13.87</v>
      </c>
      <c r="M17165">
        <v>49702</v>
      </c>
      <c r="N17165" t="s">
        <v>112</v>
      </c>
      <c r="O17165">
        <v>251013</v>
      </c>
      <c r="P17165">
        <v>99.09</v>
      </c>
    </row>
    <row r="17166" spans="1:16" x14ac:dyDescent="0.25">
      <c r="A17166" t="s">
        <v>3296</v>
      </c>
      <c r="B17166" t="s">
        <v>2931</v>
      </c>
      <c r="C17166">
        <v>16061</v>
      </c>
      <c r="D17166" t="str">
        <f>"808389227   "</f>
        <v xml:space="preserve">808389227   </v>
      </c>
      <c r="E17166" t="s">
        <v>2826</v>
      </c>
      <c r="F17166" t="s">
        <v>2827</v>
      </c>
      <c r="G17166">
        <v>35.4</v>
      </c>
      <c r="H17166">
        <v>251130</v>
      </c>
      <c r="I17166">
        <v>4410</v>
      </c>
      <c r="J17166" t="s">
        <v>165</v>
      </c>
      <c r="K17166">
        <v>201.22</v>
      </c>
      <c r="L17166">
        <v>4.3499999999999996</v>
      </c>
      <c r="M17166">
        <v>11903</v>
      </c>
      <c r="N17166" t="s">
        <v>32</v>
      </c>
      <c r="O17166">
        <v>251203</v>
      </c>
      <c r="P17166">
        <v>31.05</v>
      </c>
    </row>
    <row r="17167" spans="1:16" x14ac:dyDescent="0.25">
      <c r="A17167" t="s">
        <v>3296</v>
      </c>
      <c r="B17167" t="s">
        <v>2931</v>
      </c>
      <c r="C17167">
        <v>16061</v>
      </c>
      <c r="D17167" t="str">
        <f>"808389227   "</f>
        <v xml:space="preserve">808389227   </v>
      </c>
      <c r="E17167" t="s">
        <v>2826</v>
      </c>
      <c r="F17167" t="s">
        <v>2827</v>
      </c>
      <c r="G17167">
        <v>148</v>
      </c>
      <c r="H17167">
        <v>251130</v>
      </c>
      <c r="I17167">
        <v>4410</v>
      </c>
      <c r="J17167" t="s">
        <v>165</v>
      </c>
      <c r="K17167">
        <v>201.22</v>
      </c>
      <c r="L17167">
        <v>18.18</v>
      </c>
      <c r="M17167">
        <v>11903</v>
      </c>
      <c r="N17167" t="s">
        <v>32</v>
      </c>
      <c r="O17167">
        <v>251203</v>
      </c>
      <c r="P17167">
        <v>129.82</v>
      </c>
    </row>
    <row r="17168" spans="1:16" x14ac:dyDescent="0.25">
      <c r="A17168" t="s">
        <v>3296</v>
      </c>
      <c r="B17168" t="s">
        <v>2931</v>
      </c>
      <c r="C17168">
        <v>16474</v>
      </c>
      <c r="D17168" t="str">
        <f>"808389229   "</f>
        <v xml:space="preserve">808389229   </v>
      </c>
      <c r="E17168" t="s">
        <v>2826</v>
      </c>
      <c r="F17168" t="s">
        <v>2827</v>
      </c>
      <c r="G17168">
        <v>210.92</v>
      </c>
      <c r="H17168">
        <v>251130</v>
      </c>
      <c r="I17168">
        <v>4410</v>
      </c>
      <c r="J17168" t="s">
        <v>165</v>
      </c>
      <c r="K17168">
        <v>3371.14</v>
      </c>
      <c r="L17168">
        <v>25.9</v>
      </c>
      <c r="M17168">
        <v>11801</v>
      </c>
      <c r="N17168" t="s">
        <v>40</v>
      </c>
      <c r="O17168">
        <v>251209</v>
      </c>
      <c r="P17168">
        <v>185.02</v>
      </c>
    </row>
    <row r="17169" spans="1:16" x14ac:dyDescent="0.25">
      <c r="A17169" t="s">
        <v>3296</v>
      </c>
      <c r="B17169" t="s">
        <v>2931</v>
      </c>
      <c r="C17169">
        <v>16540</v>
      </c>
      <c r="D17169" t="str">
        <f>"808389225   "</f>
        <v xml:space="preserve">808389225   </v>
      </c>
      <c r="E17169" t="s">
        <v>2826</v>
      </c>
      <c r="F17169" t="s">
        <v>2827</v>
      </c>
      <c r="G17169">
        <v>20.079999999999998</v>
      </c>
      <c r="H17169">
        <v>251130</v>
      </c>
      <c r="I17169">
        <v>4410</v>
      </c>
      <c r="J17169" t="s">
        <v>165</v>
      </c>
      <c r="K17169">
        <v>1201.3399999999999</v>
      </c>
      <c r="L17169">
        <v>0</v>
      </c>
      <c r="M17169">
        <v>11902</v>
      </c>
      <c r="N17169" t="s">
        <v>329</v>
      </c>
      <c r="O17169">
        <v>251209</v>
      </c>
      <c r="P17169">
        <v>20.079999999999998</v>
      </c>
    </row>
    <row r="17170" spans="1:16" x14ac:dyDescent="0.25">
      <c r="A17170" t="s">
        <v>3296</v>
      </c>
      <c r="B17170" t="s">
        <v>2931</v>
      </c>
      <c r="C17170">
        <v>16540</v>
      </c>
      <c r="D17170" t="str">
        <f>"808389225   "</f>
        <v xml:space="preserve">808389225   </v>
      </c>
      <c r="E17170" t="s">
        <v>2826</v>
      </c>
      <c r="F17170" t="s">
        <v>2827</v>
      </c>
      <c r="G17170">
        <v>205.92</v>
      </c>
      <c r="H17170">
        <v>251130</v>
      </c>
      <c r="I17170">
        <v>4410</v>
      </c>
      <c r="J17170" t="s">
        <v>165</v>
      </c>
      <c r="K17170">
        <v>1201.3399999999999</v>
      </c>
      <c r="L17170">
        <v>25.29</v>
      </c>
      <c r="M17170">
        <v>11902</v>
      </c>
      <c r="N17170" t="s">
        <v>329</v>
      </c>
      <c r="O17170">
        <v>251209</v>
      </c>
      <c r="P17170">
        <v>180.63</v>
      </c>
    </row>
    <row r="17171" spans="1:16" x14ac:dyDescent="0.25">
      <c r="A17171" t="s">
        <v>3296</v>
      </c>
      <c r="B17171" t="s">
        <v>2931</v>
      </c>
      <c r="C17171">
        <v>16540</v>
      </c>
      <c r="D17171" t="str">
        <f>"808389225   "</f>
        <v xml:space="preserve">808389225   </v>
      </c>
      <c r="E17171" t="s">
        <v>2826</v>
      </c>
      <c r="F17171" t="s">
        <v>2827</v>
      </c>
      <c r="G17171">
        <v>240.5</v>
      </c>
      <c r="H17171">
        <v>251130</v>
      </c>
      <c r="I17171">
        <v>4410</v>
      </c>
      <c r="J17171" t="s">
        <v>165</v>
      </c>
      <c r="K17171">
        <v>1201.3399999999999</v>
      </c>
      <c r="L17171">
        <v>29.54</v>
      </c>
      <c r="M17171">
        <v>11902</v>
      </c>
      <c r="N17171" t="s">
        <v>329</v>
      </c>
      <c r="O17171">
        <v>251209</v>
      </c>
      <c r="P17171">
        <v>210.96</v>
      </c>
    </row>
    <row r="17172" spans="1:16" x14ac:dyDescent="0.25">
      <c r="A17172" t="s">
        <v>3296</v>
      </c>
      <c r="B17172" t="s">
        <v>2931</v>
      </c>
      <c r="C17172">
        <v>16540</v>
      </c>
      <c r="D17172" t="str">
        <f>"808389225   "</f>
        <v xml:space="preserve">808389225   </v>
      </c>
      <c r="E17172" t="s">
        <v>2826</v>
      </c>
      <c r="F17172" t="s">
        <v>2827</v>
      </c>
      <c r="G17172">
        <v>600</v>
      </c>
      <c r="H17172">
        <v>251130</v>
      </c>
      <c r="I17172">
        <v>4410</v>
      </c>
      <c r="J17172" t="s">
        <v>165</v>
      </c>
      <c r="K17172">
        <v>1201.3399999999999</v>
      </c>
      <c r="L17172">
        <v>0</v>
      </c>
      <c r="M17172">
        <v>11902</v>
      </c>
      <c r="N17172" t="s">
        <v>329</v>
      </c>
      <c r="O17172">
        <v>251209</v>
      </c>
      <c r="P17172">
        <v>600</v>
      </c>
    </row>
    <row r="17173" spans="1:16" x14ac:dyDescent="0.25">
      <c r="A17173" t="s">
        <v>3296</v>
      </c>
      <c r="B17173" t="s">
        <v>2931</v>
      </c>
      <c r="C17173">
        <v>16885</v>
      </c>
      <c r="D17173" t="str">
        <f>"808389230   "</f>
        <v xml:space="preserve">808389230   </v>
      </c>
      <c r="E17173" t="s">
        <v>2826</v>
      </c>
      <c r="F17173" t="s">
        <v>2827</v>
      </c>
      <c r="G17173">
        <v>20.53</v>
      </c>
      <c r="H17173">
        <v>251130</v>
      </c>
      <c r="I17173">
        <v>4410</v>
      </c>
      <c r="J17173" t="s">
        <v>165</v>
      </c>
      <c r="K17173">
        <v>1717.48</v>
      </c>
      <c r="L17173">
        <v>2.52</v>
      </c>
      <c r="M17173">
        <v>11301</v>
      </c>
      <c r="N17173" t="s">
        <v>92</v>
      </c>
      <c r="O17173">
        <v>251215</v>
      </c>
      <c r="P17173">
        <v>18.010000000000002</v>
      </c>
    </row>
    <row r="17174" spans="1:16" x14ac:dyDescent="0.25">
      <c r="A17174" t="s">
        <v>3296</v>
      </c>
      <c r="B17174" t="s">
        <v>2931</v>
      </c>
      <c r="C17174">
        <v>17956</v>
      </c>
      <c r="D17174" t="str">
        <f>"809024745   "</f>
        <v xml:space="preserve">809024745   </v>
      </c>
      <c r="E17174" t="s">
        <v>2826</v>
      </c>
      <c r="F17174" t="s">
        <v>2827</v>
      </c>
      <c r="G17174">
        <v>280</v>
      </c>
      <c r="H17174">
        <v>251231</v>
      </c>
      <c r="I17174">
        <v>4410</v>
      </c>
      <c r="J17174" t="s">
        <v>165</v>
      </c>
      <c r="K17174">
        <v>280</v>
      </c>
      <c r="L17174">
        <v>34.39</v>
      </c>
      <c r="M17174">
        <v>13601</v>
      </c>
      <c r="N17174" t="s">
        <v>115</v>
      </c>
      <c r="O17174">
        <v>260107</v>
      </c>
      <c r="P17174">
        <v>245.61</v>
      </c>
    </row>
    <row r="17175" spans="1:16" x14ac:dyDescent="0.25">
      <c r="A17175" t="s">
        <v>3296</v>
      </c>
      <c r="B17175" t="s">
        <v>2931</v>
      </c>
      <c r="C17175">
        <v>18153</v>
      </c>
      <c r="D17175" t="str">
        <f>"809024737   "</f>
        <v xml:space="preserve">809024737   </v>
      </c>
      <c r="E17175" t="s">
        <v>2826</v>
      </c>
      <c r="F17175" t="s">
        <v>2827</v>
      </c>
      <c r="G17175">
        <v>145.71</v>
      </c>
      <c r="H17175">
        <v>251231</v>
      </c>
      <c r="I17175">
        <v>4410</v>
      </c>
      <c r="J17175" t="s">
        <v>165</v>
      </c>
      <c r="K17175">
        <v>2700.88</v>
      </c>
      <c r="L17175">
        <v>0</v>
      </c>
      <c r="M17175">
        <v>11981</v>
      </c>
      <c r="N17175" t="s">
        <v>2404</v>
      </c>
      <c r="O17175">
        <v>260109</v>
      </c>
      <c r="P17175">
        <v>145.71</v>
      </c>
    </row>
    <row r="17176" spans="1:16" x14ac:dyDescent="0.25">
      <c r="A17176" t="s">
        <v>3296</v>
      </c>
      <c r="B17176" t="s">
        <v>2931</v>
      </c>
      <c r="C17176">
        <v>18154</v>
      </c>
      <c r="D17176" t="str">
        <f>"809024740   "</f>
        <v xml:space="preserve">809024740   </v>
      </c>
      <c r="E17176" t="s">
        <v>2826</v>
      </c>
      <c r="F17176" t="s">
        <v>2827</v>
      </c>
      <c r="G17176">
        <v>312.89999999999998</v>
      </c>
      <c r="H17176">
        <v>251231</v>
      </c>
      <c r="I17176">
        <v>4410</v>
      </c>
      <c r="J17176" t="s">
        <v>165</v>
      </c>
      <c r="K17176">
        <v>1266.5</v>
      </c>
      <c r="L17176">
        <v>0</v>
      </c>
      <c r="M17176">
        <v>11801</v>
      </c>
      <c r="N17176" t="s">
        <v>40</v>
      </c>
      <c r="O17176">
        <v>260109</v>
      </c>
      <c r="P17176">
        <v>312.89999999999998</v>
      </c>
    </row>
    <row r="17177" spans="1:16" x14ac:dyDescent="0.25">
      <c r="A17177" t="s">
        <v>3296</v>
      </c>
      <c r="B17177" t="s">
        <v>2931</v>
      </c>
      <c r="C17177">
        <v>4524</v>
      </c>
      <c r="D17177" t="str">
        <f>"802023940   "</f>
        <v xml:space="preserve">802023940   </v>
      </c>
      <c r="E17177" t="s">
        <v>2826</v>
      </c>
      <c r="F17177" t="s">
        <v>2827</v>
      </c>
      <c r="G17177">
        <v>439.96</v>
      </c>
      <c r="H17177">
        <v>250331</v>
      </c>
      <c r="I17177">
        <v>4412</v>
      </c>
      <c r="J17177" t="s">
        <v>884</v>
      </c>
      <c r="K17177">
        <v>495</v>
      </c>
      <c r="L17177">
        <v>54.03</v>
      </c>
      <c r="M17177">
        <v>13601</v>
      </c>
      <c r="N17177" t="s">
        <v>115</v>
      </c>
      <c r="O17177">
        <v>250414</v>
      </c>
      <c r="P17177">
        <v>385.93</v>
      </c>
    </row>
    <row r="17178" spans="1:16" x14ac:dyDescent="0.25">
      <c r="A17178" t="s">
        <v>3296</v>
      </c>
      <c r="B17178" t="s">
        <v>2931</v>
      </c>
      <c r="C17178">
        <v>9346</v>
      </c>
      <c r="D17178" t="str">
        <f>"803813081   "</f>
        <v xml:space="preserve">803813081   </v>
      </c>
      <c r="E17178" t="s">
        <v>2826</v>
      </c>
      <c r="F17178" t="s">
        <v>2827</v>
      </c>
      <c r="G17178">
        <v>36.75</v>
      </c>
      <c r="H17178">
        <v>250630</v>
      </c>
      <c r="I17178">
        <v>4412</v>
      </c>
      <c r="J17178" t="s">
        <v>884</v>
      </c>
      <c r="K17178">
        <v>146.35</v>
      </c>
      <c r="L17178">
        <v>4.51</v>
      </c>
      <c r="M17178">
        <v>13940</v>
      </c>
      <c r="N17178" t="s">
        <v>14</v>
      </c>
      <c r="O17178">
        <v>250704</v>
      </c>
      <c r="P17178">
        <v>32.24</v>
      </c>
    </row>
    <row r="17179" spans="1:16" x14ac:dyDescent="0.25">
      <c r="A17179" t="s">
        <v>3296</v>
      </c>
      <c r="B17179" t="s">
        <v>2931</v>
      </c>
      <c r="C17179">
        <v>13422</v>
      </c>
      <c r="D17179" t="str">
        <f>"806354212   "</f>
        <v xml:space="preserve">806354212   </v>
      </c>
      <c r="E17179" t="s">
        <v>2826</v>
      </c>
      <c r="F17179" t="s">
        <v>2827</v>
      </c>
      <c r="G17179">
        <v>15.76</v>
      </c>
      <c r="H17179">
        <v>250930</v>
      </c>
      <c r="I17179">
        <v>4412</v>
      </c>
      <c r="J17179" t="s">
        <v>884</v>
      </c>
      <c r="K17179">
        <v>128</v>
      </c>
      <c r="L17179">
        <v>0</v>
      </c>
      <c r="M17179">
        <v>13940</v>
      </c>
      <c r="N17179" t="s">
        <v>14</v>
      </c>
      <c r="O17179">
        <v>251009</v>
      </c>
      <c r="P17179">
        <v>15.76</v>
      </c>
    </row>
    <row r="17180" spans="1:16" x14ac:dyDescent="0.25">
      <c r="A17180" t="s">
        <v>3296</v>
      </c>
      <c r="B17180" t="s">
        <v>2931</v>
      </c>
      <c r="C17180">
        <v>13422</v>
      </c>
      <c r="D17180" t="str">
        <f>"806354212   "</f>
        <v xml:space="preserve">806354212   </v>
      </c>
      <c r="E17180" t="s">
        <v>2826</v>
      </c>
      <c r="F17180" t="s">
        <v>2827</v>
      </c>
      <c r="G17180">
        <v>112.24</v>
      </c>
      <c r="H17180">
        <v>250930</v>
      </c>
      <c r="I17180">
        <v>4412</v>
      </c>
      <c r="J17180" t="s">
        <v>884</v>
      </c>
      <c r="K17180">
        <v>128</v>
      </c>
      <c r="L17180">
        <v>13.78</v>
      </c>
      <c r="M17180">
        <v>13940</v>
      </c>
      <c r="N17180" t="s">
        <v>14</v>
      </c>
      <c r="O17180">
        <v>251009</v>
      </c>
      <c r="P17180">
        <v>98.46</v>
      </c>
    </row>
    <row r="17181" spans="1:16" x14ac:dyDescent="0.25">
      <c r="A17181" t="s">
        <v>3296</v>
      </c>
      <c r="B17181" t="s">
        <v>2931</v>
      </c>
      <c r="C17181">
        <v>16474</v>
      </c>
      <c r="D17181" t="str">
        <f>"808389229   "</f>
        <v xml:space="preserve">808389229   </v>
      </c>
      <c r="E17181" t="s">
        <v>2826</v>
      </c>
      <c r="F17181" t="s">
        <v>2827</v>
      </c>
      <c r="G17181">
        <v>81.63</v>
      </c>
      <c r="H17181">
        <v>251130</v>
      </c>
      <c r="I17181">
        <v>4412</v>
      </c>
      <c r="J17181" t="s">
        <v>884</v>
      </c>
      <c r="K17181">
        <v>3371.14</v>
      </c>
      <c r="L17181">
        <v>10.02</v>
      </c>
      <c r="M17181">
        <v>11801</v>
      </c>
      <c r="N17181" t="s">
        <v>40</v>
      </c>
      <c r="O17181">
        <v>251209</v>
      </c>
      <c r="P17181">
        <v>71.61</v>
      </c>
    </row>
    <row r="17182" spans="1:16" x14ac:dyDescent="0.25">
      <c r="A17182" t="s">
        <v>3296</v>
      </c>
      <c r="B17182" t="s">
        <v>2931</v>
      </c>
      <c r="C17182">
        <v>18154</v>
      </c>
      <c r="D17182" t="str">
        <f>"809024740   "</f>
        <v xml:space="preserve">809024740   </v>
      </c>
      <c r="E17182" t="s">
        <v>2826</v>
      </c>
      <c r="F17182" t="s">
        <v>2827</v>
      </c>
      <c r="G17182">
        <v>81.63</v>
      </c>
      <c r="H17182">
        <v>251231</v>
      </c>
      <c r="I17182">
        <v>4412</v>
      </c>
      <c r="J17182" t="s">
        <v>884</v>
      </c>
      <c r="K17182">
        <v>1266.5</v>
      </c>
      <c r="L17182">
        <v>16.59</v>
      </c>
      <c r="M17182">
        <v>11801</v>
      </c>
      <c r="N17182" t="s">
        <v>40</v>
      </c>
      <c r="O17182">
        <v>260109</v>
      </c>
      <c r="P17182">
        <v>65.040000000000006</v>
      </c>
    </row>
    <row r="17183" spans="1:16" x14ac:dyDescent="0.25">
      <c r="A17183" t="s">
        <v>3296</v>
      </c>
      <c r="B17183" t="s">
        <v>2931</v>
      </c>
      <c r="C17183">
        <v>18154</v>
      </c>
      <c r="D17183" t="str">
        <f>"809024740   "</f>
        <v xml:space="preserve">809024740   </v>
      </c>
      <c r="E17183" t="s">
        <v>2826</v>
      </c>
      <c r="F17183" t="s">
        <v>2827</v>
      </c>
      <c r="G17183">
        <v>163.9</v>
      </c>
      <c r="H17183">
        <v>251231</v>
      </c>
      <c r="I17183">
        <v>4412</v>
      </c>
      <c r="J17183" t="s">
        <v>884</v>
      </c>
      <c r="K17183">
        <v>1266.5</v>
      </c>
      <c r="L17183">
        <v>33.299999999999997</v>
      </c>
      <c r="M17183">
        <v>11801</v>
      </c>
      <c r="N17183" t="s">
        <v>40</v>
      </c>
      <c r="O17183">
        <v>260109</v>
      </c>
      <c r="P17183">
        <v>130.6</v>
      </c>
    </row>
    <row r="17184" spans="1:16" x14ac:dyDescent="0.25">
      <c r="A17184" t="s">
        <v>3296</v>
      </c>
      <c r="B17184" t="s">
        <v>2931</v>
      </c>
      <c r="C17184">
        <v>1203</v>
      </c>
      <c r="D17184" t="str">
        <f>"801038126   "</f>
        <v xml:space="preserve">801038126   </v>
      </c>
      <c r="E17184" t="s">
        <v>2826</v>
      </c>
      <c r="F17184" t="s">
        <v>2827</v>
      </c>
      <c r="G17184">
        <v>34</v>
      </c>
      <c r="H17184">
        <v>250131</v>
      </c>
      <c r="I17184">
        <v>4420</v>
      </c>
      <c r="J17184" t="s">
        <v>330</v>
      </c>
      <c r="K17184">
        <v>5170.47</v>
      </c>
      <c r="L17184">
        <v>0</v>
      </c>
      <c r="M17184">
        <v>11902</v>
      </c>
      <c r="N17184" t="s">
        <v>329</v>
      </c>
      <c r="O17184">
        <v>250205</v>
      </c>
      <c r="P17184">
        <v>34</v>
      </c>
    </row>
    <row r="17185" spans="1:16" x14ac:dyDescent="0.25">
      <c r="A17185" t="s">
        <v>3296</v>
      </c>
      <c r="B17185" t="s">
        <v>2931</v>
      </c>
      <c r="C17185">
        <v>1712</v>
      </c>
      <c r="D17185" t="str">
        <f>"801038123   "</f>
        <v xml:space="preserve">801038123   </v>
      </c>
      <c r="E17185" t="s">
        <v>2826</v>
      </c>
      <c r="F17185" t="s">
        <v>2827</v>
      </c>
      <c r="G17185">
        <v>31.48</v>
      </c>
      <c r="H17185">
        <v>250131</v>
      </c>
      <c r="I17185">
        <v>4420</v>
      </c>
      <c r="J17185" t="s">
        <v>330</v>
      </c>
      <c r="K17185">
        <v>90.83</v>
      </c>
      <c r="L17185">
        <v>6.4</v>
      </c>
      <c r="M17185">
        <v>11001</v>
      </c>
      <c r="N17185" t="s">
        <v>93</v>
      </c>
      <c r="O17185">
        <v>250213</v>
      </c>
      <c r="P17185">
        <v>25.08</v>
      </c>
    </row>
    <row r="17186" spans="1:16" x14ac:dyDescent="0.25">
      <c r="A17186" t="s">
        <v>3296</v>
      </c>
      <c r="B17186" t="s">
        <v>2931</v>
      </c>
      <c r="C17186">
        <v>2715</v>
      </c>
      <c r="D17186" t="str">
        <f>"801515267   "</f>
        <v xml:space="preserve">801515267   </v>
      </c>
      <c r="E17186" t="s">
        <v>2826</v>
      </c>
      <c r="F17186" t="s">
        <v>2827</v>
      </c>
      <c r="G17186">
        <v>8.39</v>
      </c>
      <c r="H17186">
        <v>250228</v>
      </c>
      <c r="I17186">
        <v>4420</v>
      </c>
      <c r="J17186" t="s">
        <v>330</v>
      </c>
      <c r="K17186">
        <v>72.92</v>
      </c>
      <c r="L17186">
        <v>0</v>
      </c>
      <c r="M17186">
        <v>11001</v>
      </c>
      <c r="N17186" t="s">
        <v>93</v>
      </c>
      <c r="O17186">
        <v>250311</v>
      </c>
      <c r="P17186">
        <v>8.39</v>
      </c>
    </row>
    <row r="17187" spans="1:16" x14ac:dyDescent="0.25">
      <c r="A17187" t="s">
        <v>3296</v>
      </c>
      <c r="B17187" t="s">
        <v>2931</v>
      </c>
      <c r="C17187">
        <v>2776</v>
      </c>
      <c r="D17187" t="str">
        <f>"801515269   "</f>
        <v xml:space="preserve">801515269   </v>
      </c>
      <c r="E17187" t="s">
        <v>2826</v>
      </c>
      <c r="F17187" t="s">
        <v>2827</v>
      </c>
      <c r="G17187">
        <v>18.98</v>
      </c>
      <c r="H17187">
        <v>250228</v>
      </c>
      <c r="I17187">
        <v>4420</v>
      </c>
      <c r="J17187" t="s">
        <v>330</v>
      </c>
      <c r="K17187">
        <v>18.98</v>
      </c>
      <c r="L17187">
        <v>3.86</v>
      </c>
      <c r="M17187">
        <v>11900</v>
      </c>
      <c r="N17187" t="s">
        <v>30</v>
      </c>
      <c r="O17187">
        <v>250312</v>
      </c>
      <c r="P17187">
        <v>15.12</v>
      </c>
    </row>
    <row r="17188" spans="1:16" x14ac:dyDescent="0.25">
      <c r="A17188" t="s">
        <v>3296</v>
      </c>
      <c r="B17188" t="s">
        <v>2931</v>
      </c>
      <c r="C17188">
        <v>2832</v>
      </c>
      <c r="D17188" t="str">
        <f>"801515270   "</f>
        <v xml:space="preserve">801515270   </v>
      </c>
      <c r="E17188" t="s">
        <v>2826</v>
      </c>
      <c r="F17188" t="s">
        <v>2827</v>
      </c>
      <c r="G17188">
        <v>39</v>
      </c>
      <c r="H17188">
        <v>250228</v>
      </c>
      <c r="I17188">
        <v>4420</v>
      </c>
      <c r="J17188" t="s">
        <v>330</v>
      </c>
      <c r="K17188">
        <v>145.19</v>
      </c>
      <c r="L17188">
        <v>0</v>
      </c>
      <c r="M17188">
        <v>11902</v>
      </c>
      <c r="N17188" t="s">
        <v>329</v>
      </c>
      <c r="O17188">
        <v>250312</v>
      </c>
      <c r="P17188">
        <v>39</v>
      </c>
    </row>
    <row r="17189" spans="1:16" x14ac:dyDescent="0.25">
      <c r="A17189" t="s">
        <v>3296</v>
      </c>
      <c r="B17189" t="s">
        <v>2931</v>
      </c>
      <c r="C17189">
        <v>4386</v>
      </c>
      <c r="D17189" t="str">
        <f>"802023929   "</f>
        <v xml:space="preserve">802023929   </v>
      </c>
      <c r="E17189" t="s">
        <v>2826</v>
      </c>
      <c r="F17189" t="s">
        <v>2827</v>
      </c>
      <c r="G17189">
        <v>86.95</v>
      </c>
      <c r="H17189">
        <v>250331</v>
      </c>
      <c r="I17189">
        <v>4420</v>
      </c>
      <c r="J17189" t="s">
        <v>330</v>
      </c>
      <c r="K17189">
        <v>743.76</v>
      </c>
      <c r="L17189">
        <v>17.670000000000002</v>
      </c>
      <c r="M17189">
        <v>11001</v>
      </c>
      <c r="N17189" t="s">
        <v>93</v>
      </c>
      <c r="O17189">
        <v>250411</v>
      </c>
      <c r="P17189">
        <v>69.28</v>
      </c>
    </row>
    <row r="17190" spans="1:16" x14ac:dyDescent="0.25">
      <c r="A17190" t="s">
        <v>3296</v>
      </c>
      <c r="B17190" t="s">
        <v>2931</v>
      </c>
      <c r="C17190">
        <v>4500</v>
      </c>
      <c r="D17190" t="str">
        <f>"802023935   "</f>
        <v xml:space="preserve">802023935   </v>
      </c>
      <c r="E17190" t="s">
        <v>2826</v>
      </c>
      <c r="F17190" t="s">
        <v>2827</v>
      </c>
      <c r="G17190">
        <v>14.82</v>
      </c>
      <c r="H17190">
        <v>250331</v>
      </c>
      <c r="I17190">
        <v>4420</v>
      </c>
      <c r="J17190" t="s">
        <v>330</v>
      </c>
      <c r="K17190">
        <v>49.38</v>
      </c>
      <c r="L17190">
        <v>3.01</v>
      </c>
      <c r="M17190">
        <v>11801</v>
      </c>
      <c r="N17190" t="s">
        <v>40</v>
      </c>
      <c r="O17190">
        <v>250414</v>
      </c>
      <c r="P17190">
        <v>11.81</v>
      </c>
    </row>
    <row r="17191" spans="1:16" x14ac:dyDescent="0.25">
      <c r="A17191" t="s">
        <v>3296</v>
      </c>
      <c r="B17191" t="s">
        <v>2931</v>
      </c>
      <c r="C17191">
        <v>4853</v>
      </c>
      <c r="D17191" t="str">
        <f>"802023931   "</f>
        <v xml:space="preserve">802023931   </v>
      </c>
      <c r="E17191" t="s">
        <v>2826</v>
      </c>
      <c r="F17191" t="s">
        <v>2827</v>
      </c>
      <c r="G17191">
        <v>5.6</v>
      </c>
      <c r="H17191">
        <v>250331</v>
      </c>
      <c r="I17191">
        <v>4420</v>
      </c>
      <c r="J17191" t="s">
        <v>330</v>
      </c>
      <c r="K17191">
        <v>1827.07</v>
      </c>
      <c r="L17191">
        <v>1.1399999999999999</v>
      </c>
      <c r="M17191">
        <v>11900</v>
      </c>
      <c r="N17191" t="s">
        <v>30</v>
      </c>
      <c r="O17191">
        <v>250416</v>
      </c>
      <c r="P17191">
        <v>4.46</v>
      </c>
    </row>
    <row r="17192" spans="1:16" x14ac:dyDescent="0.25">
      <c r="A17192" t="s">
        <v>3296</v>
      </c>
      <c r="B17192" t="s">
        <v>2931</v>
      </c>
      <c r="C17192">
        <v>4853</v>
      </c>
      <c r="D17192" t="str">
        <f>"802023931   "</f>
        <v xml:space="preserve">802023931   </v>
      </c>
      <c r="E17192" t="s">
        <v>2826</v>
      </c>
      <c r="F17192" t="s">
        <v>2827</v>
      </c>
      <c r="G17192">
        <v>102.3</v>
      </c>
      <c r="H17192">
        <v>250331</v>
      </c>
      <c r="I17192">
        <v>4420</v>
      </c>
      <c r="J17192" t="s">
        <v>330</v>
      </c>
      <c r="K17192">
        <v>1827.07</v>
      </c>
      <c r="L17192">
        <v>0</v>
      </c>
      <c r="M17192">
        <v>11902</v>
      </c>
      <c r="N17192" t="s">
        <v>329</v>
      </c>
      <c r="O17192">
        <v>250416</v>
      </c>
      <c r="P17192">
        <v>102.3</v>
      </c>
    </row>
    <row r="17193" spans="1:16" x14ac:dyDescent="0.25">
      <c r="A17193" t="s">
        <v>3296</v>
      </c>
      <c r="B17193" t="s">
        <v>2931</v>
      </c>
      <c r="C17193">
        <v>4853</v>
      </c>
      <c r="D17193" t="str">
        <f>"802023931   "</f>
        <v xml:space="preserve">802023931   </v>
      </c>
      <c r="E17193" t="s">
        <v>2826</v>
      </c>
      <c r="F17193" t="s">
        <v>2827</v>
      </c>
      <c r="G17193">
        <v>410</v>
      </c>
      <c r="H17193">
        <v>250331</v>
      </c>
      <c r="I17193">
        <v>4420</v>
      </c>
      <c r="J17193" t="s">
        <v>330</v>
      </c>
      <c r="K17193">
        <v>1827.07</v>
      </c>
      <c r="L17193">
        <v>0</v>
      </c>
      <c r="M17193">
        <v>11902</v>
      </c>
      <c r="N17193" t="s">
        <v>329</v>
      </c>
      <c r="O17193">
        <v>250416</v>
      </c>
      <c r="P17193">
        <v>410</v>
      </c>
    </row>
    <row r="17194" spans="1:16" x14ac:dyDescent="0.25">
      <c r="A17194" t="s">
        <v>3296</v>
      </c>
      <c r="B17194" t="s">
        <v>2931</v>
      </c>
      <c r="C17194">
        <v>6099</v>
      </c>
      <c r="D17194" t="str">
        <f>"802504699   "</f>
        <v xml:space="preserve">802504699   </v>
      </c>
      <c r="E17194" t="s">
        <v>2826</v>
      </c>
      <c r="F17194" t="s">
        <v>2827</v>
      </c>
      <c r="G17194">
        <v>17.850000000000001</v>
      </c>
      <c r="H17194">
        <v>250430</v>
      </c>
      <c r="I17194">
        <v>4420</v>
      </c>
      <c r="J17194" t="s">
        <v>330</v>
      </c>
      <c r="K17194">
        <v>135.69999999999999</v>
      </c>
      <c r="L17194">
        <v>3.63</v>
      </c>
      <c r="M17194">
        <v>11001</v>
      </c>
      <c r="N17194" t="s">
        <v>93</v>
      </c>
      <c r="O17194">
        <v>250509</v>
      </c>
      <c r="P17194">
        <v>14.22</v>
      </c>
    </row>
    <row r="17195" spans="1:16" x14ac:dyDescent="0.25">
      <c r="A17195" t="s">
        <v>3296</v>
      </c>
      <c r="B17195" t="s">
        <v>2931</v>
      </c>
      <c r="C17195">
        <v>6227</v>
      </c>
      <c r="D17195" t="str">
        <f>"802504701   "</f>
        <v xml:space="preserve">802504701   </v>
      </c>
      <c r="E17195" t="s">
        <v>2826</v>
      </c>
      <c r="F17195" t="s">
        <v>2827</v>
      </c>
      <c r="G17195">
        <v>7.5</v>
      </c>
      <c r="H17195">
        <v>250430</v>
      </c>
      <c r="I17195">
        <v>4420</v>
      </c>
      <c r="J17195" t="s">
        <v>330</v>
      </c>
      <c r="K17195">
        <v>1042.3800000000001</v>
      </c>
      <c r="L17195">
        <v>1.52</v>
      </c>
      <c r="M17195">
        <v>11900</v>
      </c>
      <c r="N17195" t="s">
        <v>30</v>
      </c>
      <c r="O17195">
        <v>250512</v>
      </c>
      <c r="P17195">
        <v>5.98</v>
      </c>
    </row>
    <row r="17196" spans="1:16" x14ac:dyDescent="0.25">
      <c r="A17196" t="s">
        <v>3296</v>
      </c>
      <c r="B17196" t="s">
        <v>2931</v>
      </c>
      <c r="C17196">
        <v>6227</v>
      </c>
      <c r="D17196" t="str">
        <f>"802504701   "</f>
        <v xml:space="preserve">802504701   </v>
      </c>
      <c r="E17196" t="s">
        <v>2826</v>
      </c>
      <c r="F17196" t="s">
        <v>2827</v>
      </c>
      <c r="G17196">
        <v>80</v>
      </c>
      <c r="H17196">
        <v>250430</v>
      </c>
      <c r="I17196">
        <v>4420</v>
      </c>
      <c r="J17196" t="s">
        <v>330</v>
      </c>
      <c r="K17196">
        <v>1042.3800000000001</v>
      </c>
      <c r="L17196">
        <v>16.25</v>
      </c>
      <c r="M17196">
        <v>11902</v>
      </c>
      <c r="N17196" t="s">
        <v>329</v>
      </c>
      <c r="O17196">
        <v>250512</v>
      </c>
      <c r="P17196">
        <v>63.75</v>
      </c>
    </row>
    <row r="17197" spans="1:16" x14ac:dyDescent="0.25">
      <c r="A17197" t="s">
        <v>3296</v>
      </c>
      <c r="B17197" t="s">
        <v>2931</v>
      </c>
      <c r="C17197">
        <v>6227</v>
      </c>
      <c r="D17197" t="str">
        <f>"802504701   "</f>
        <v xml:space="preserve">802504701   </v>
      </c>
      <c r="E17197" t="s">
        <v>2826</v>
      </c>
      <c r="F17197" t="s">
        <v>2827</v>
      </c>
      <c r="G17197">
        <v>83.5</v>
      </c>
      <c r="H17197">
        <v>250430</v>
      </c>
      <c r="I17197">
        <v>4420</v>
      </c>
      <c r="J17197" t="s">
        <v>330</v>
      </c>
      <c r="K17197">
        <v>1042.3800000000001</v>
      </c>
      <c r="L17197">
        <v>0</v>
      </c>
      <c r="M17197">
        <v>11941</v>
      </c>
      <c r="N17197" t="s">
        <v>426</v>
      </c>
      <c r="O17197">
        <v>250512</v>
      </c>
      <c r="P17197">
        <v>83.5</v>
      </c>
    </row>
    <row r="17198" spans="1:16" x14ac:dyDescent="0.25">
      <c r="A17198" t="s">
        <v>3296</v>
      </c>
      <c r="B17198" t="s">
        <v>2931</v>
      </c>
      <c r="C17198">
        <v>7869</v>
      </c>
      <c r="D17198" t="str">
        <f>"802999269   "</f>
        <v xml:space="preserve">802999269   </v>
      </c>
      <c r="E17198" t="s">
        <v>2826</v>
      </c>
      <c r="F17198" t="s">
        <v>2827</v>
      </c>
      <c r="G17198">
        <v>23.86</v>
      </c>
      <c r="H17198">
        <v>250531</v>
      </c>
      <c r="I17198">
        <v>4420</v>
      </c>
      <c r="J17198" t="s">
        <v>330</v>
      </c>
      <c r="K17198">
        <v>64.97</v>
      </c>
      <c r="L17198">
        <v>4.8499999999999996</v>
      </c>
      <c r="M17198">
        <v>11001</v>
      </c>
      <c r="N17198" t="s">
        <v>93</v>
      </c>
      <c r="O17198">
        <v>250610</v>
      </c>
      <c r="P17198">
        <v>19.010000000000002</v>
      </c>
    </row>
    <row r="17199" spans="1:16" x14ac:dyDescent="0.25">
      <c r="A17199" t="s">
        <v>3296</v>
      </c>
      <c r="B17199" t="s">
        <v>2931</v>
      </c>
      <c r="C17199">
        <v>9503</v>
      </c>
      <c r="D17199" t="str">
        <f>"803813075   "</f>
        <v xml:space="preserve">803813075   </v>
      </c>
      <c r="E17199" t="s">
        <v>2826</v>
      </c>
      <c r="F17199" t="s">
        <v>2827</v>
      </c>
      <c r="G17199">
        <v>33</v>
      </c>
      <c r="H17199">
        <v>250630</v>
      </c>
      <c r="I17199">
        <v>4420</v>
      </c>
      <c r="J17199" t="s">
        <v>330</v>
      </c>
      <c r="K17199">
        <v>457.83</v>
      </c>
      <c r="L17199">
        <v>6.71</v>
      </c>
      <c r="M17199">
        <v>11001</v>
      </c>
      <c r="N17199" t="s">
        <v>93</v>
      </c>
      <c r="O17199">
        <v>250709</v>
      </c>
      <c r="P17199">
        <v>26.29</v>
      </c>
    </row>
    <row r="17200" spans="1:16" x14ac:dyDescent="0.25">
      <c r="A17200" t="s">
        <v>3296</v>
      </c>
      <c r="B17200" t="s">
        <v>2931</v>
      </c>
      <c r="C17200">
        <v>9589</v>
      </c>
      <c r="D17200" t="str">
        <f>"803813079   "</f>
        <v xml:space="preserve">803813079   </v>
      </c>
      <c r="E17200" t="s">
        <v>2826</v>
      </c>
      <c r="F17200" t="s">
        <v>2827</v>
      </c>
      <c r="G17200">
        <v>16.079999999999998</v>
      </c>
      <c r="H17200">
        <v>250630</v>
      </c>
      <c r="I17200">
        <v>4420</v>
      </c>
      <c r="J17200" t="s">
        <v>330</v>
      </c>
      <c r="K17200">
        <v>374.83</v>
      </c>
      <c r="L17200">
        <v>3.27</v>
      </c>
      <c r="M17200">
        <v>11801</v>
      </c>
      <c r="N17200" t="s">
        <v>40</v>
      </c>
      <c r="O17200">
        <v>250721</v>
      </c>
      <c r="P17200">
        <v>12.81</v>
      </c>
    </row>
    <row r="17201" spans="1:16" x14ac:dyDescent="0.25">
      <c r="A17201" t="s">
        <v>3296</v>
      </c>
      <c r="B17201" t="s">
        <v>2931</v>
      </c>
      <c r="C17201">
        <v>10298</v>
      </c>
      <c r="D17201" t="str">
        <f>"804409687   "</f>
        <v xml:space="preserve">804409687   </v>
      </c>
      <c r="E17201" t="s">
        <v>2826</v>
      </c>
      <c r="F17201" t="s">
        <v>2827</v>
      </c>
      <c r="G17201">
        <v>26.75</v>
      </c>
      <c r="H17201">
        <v>250731</v>
      </c>
      <c r="I17201">
        <v>4420</v>
      </c>
      <c r="J17201" t="s">
        <v>330</v>
      </c>
      <c r="K17201">
        <v>166.6</v>
      </c>
      <c r="L17201">
        <v>5.44</v>
      </c>
      <c r="M17201">
        <v>11001</v>
      </c>
      <c r="N17201" t="s">
        <v>93</v>
      </c>
      <c r="O17201">
        <v>250814</v>
      </c>
      <c r="P17201">
        <v>21.31</v>
      </c>
    </row>
    <row r="17202" spans="1:16" x14ac:dyDescent="0.25">
      <c r="A17202" t="s">
        <v>3296</v>
      </c>
      <c r="B17202" t="s">
        <v>2931</v>
      </c>
      <c r="C17202">
        <v>11371</v>
      </c>
      <c r="D17202" t="str">
        <f>"804895996   "</f>
        <v xml:space="preserve">804895996   </v>
      </c>
      <c r="E17202" t="s">
        <v>2826</v>
      </c>
      <c r="F17202" t="s">
        <v>2827</v>
      </c>
      <c r="G17202">
        <v>961.31</v>
      </c>
      <c r="H17202">
        <v>250831</v>
      </c>
      <c r="I17202">
        <v>4420</v>
      </c>
      <c r="J17202" t="s">
        <v>330</v>
      </c>
      <c r="K17202">
        <v>961.31</v>
      </c>
      <c r="L17202">
        <v>118.06</v>
      </c>
      <c r="M17202">
        <v>44222</v>
      </c>
      <c r="N17202" t="s">
        <v>96</v>
      </c>
      <c r="O17202">
        <v>250904</v>
      </c>
      <c r="P17202">
        <v>843.25</v>
      </c>
    </row>
    <row r="17203" spans="1:16" x14ac:dyDescent="0.25">
      <c r="A17203" t="s">
        <v>3296</v>
      </c>
      <c r="B17203" t="s">
        <v>2931</v>
      </c>
      <c r="C17203">
        <v>11575</v>
      </c>
      <c r="D17203" t="str">
        <f>"804895989   "</f>
        <v xml:space="preserve">804895989   </v>
      </c>
      <c r="E17203" t="s">
        <v>2826</v>
      </c>
      <c r="F17203" t="s">
        <v>2827</v>
      </c>
      <c r="G17203">
        <v>1.19</v>
      </c>
      <c r="H17203">
        <v>250831</v>
      </c>
      <c r="I17203">
        <v>4420</v>
      </c>
      <c r="J17203" t="s">
        <v>330</v>
      </c>
      <c r="K17203">
        <v>228.37</v>
      </c>
      <c r="L17203">
        <v>0</v>
      </c>
      <c r="M17203">
        <v>11001</v>
      </c>
      <c r="N17203" t="s">
        <v>93</v>
      </c>
      <c r="O17203">
        <v>250909</v>
      </c>
      <c r="P17203">
        <v>1.19</v>
      </c>
    </row>
    <row r="17204" spans="1:16" x14ac:dyDescent="0.25">
      <c r="A17204" t="s">
        <v>3296</v>
      </c>
      <c r="B17204" t="s">
        <v>2931</v>
      </c>
      <c r="C17204">
        <v>11575</v>
      </c>
      <c r="D17204" t="str">
        <f>"804895989   "</f>
        <v xml:space="preserve">804895989   </v>
      </c>
      <c r="E17204" t="s">
        <v>2826</v>
      </c>
      <c r="F17204" t="s">
        <v>2827</v>
      </c>
      <c r="G17204">
        <v>154.69999999999999</v>
      </c>
      <c r="H17204">
        <v>250831</v>
      </c>
      <c r="I17204">
        <v>4420</v>
      </c>
      <c r="J17204" t="s">
        <v>330</v>
      </c>
      <c r="K17204">
        <v>228.37</v>
      </c>
      <c r="L17204">
        <v>31.43</v>
      </c>
      <c r="M17204">
        <v>11001</v>
      </c>
      <c r="N17204" t="s">
        <v>93</v>
      </c>
      <c r="O17204">
        <v>250909</v>
      </c>
      <c r="P17204">
        <v>123.27</v>
      </c>
    </row>
    <row r="17205" spans="1:16" x14ac:dyDescent="0.25">
      <c r="A17205" t="s">
        <v>3296</v>
      </c>
      <c r="B17205" t="s">
        <v>2931</v>
      </c>
      <c r="C17205">
        <v>13117</v>
      </c>
      <c r="D17205" t="str">
        <f>"806354208   "</f>
        <v xml:space="preserve">806354208   </v>
      </c>
      <c r="E17205" t="s">
        <v>2826</v>
      </c>
      <c r="F17205" t="s">
        <v>2827</v>
      </c>
      <c r="G17205">
        <v>19.8</v>
      </c>
      <c r="H17205">
        <v>250930</v>
      </c>
      <c r="I17205">
        <v>4420</v>
      </c>
      <c r="J17205" t="s">
        <v>330</v>
      </c>
      <c r="K17205">
        <v>45.65</v>
      </c>
      <c r="L17205">
        <v>4.0199999999999996</v>
      </c>
      <c r="M17205">
        <v>11801</v>
      </c>
      <c r="N17205" t="s">
        <v>40</v>
      </c>
      <c r="O17205">
        <v>251006</v>
      </c>
      <c r="P17205">
        <v>15.78</v>
      </c>
    </row>
    <row r="17206" spans="1:16" x14ac:dyDescent="0.25">
      <c r="A17206" t="s">
        <v>3296</v>
      </c>
      <c r="B17206" t="s">
        <v>2931</v>
      </c>
      <c r="C17206">
        <v>13334</v>
      </c>
      <c r="D17206" t="str">
        <f>"806354203   "</f>
        <v xml:space="preserve">806354203   </v>
      </c>
      <c r="E17206" t="s">
        <v>2826</v>
      </c>
      <c r="F17206" t="s">
        <v>2827</v>
      </c>
      <c r="G17206">
        <v>0.57999999999999996</v>
      </c>
      <c r="H17206">
        <v>250930</v>
      </c>
      <c r="I17206">
        <v>4420</v>
      </c>
      <c r="J17206" t="s">
        <v>330</v>
      </c>
      <c r="K17206">
        <v>198.74</v>
      </c>
      <c r="L17206">
        <v>0</v>
      </c>
      <c r="M17206">
        <v>11001</v>
      </c>
      <c r="N17206" t="s">
        <v>93</v>
      </c>
      <c r="O17206">
        <v>251008</v>
      </c>
      <c r="P17206">
        <v>0.57999999999999996</v>
      </c>
    </row>
    <row r="17207" spans="1:16" x14ac:dyDescent="0.25">
      <c r="A17207" t="s">
        <v>3296</v>
      </c>
      <c r="B17207" t="s">
        <v>2931</v>
      </c>
      <c r="C17207">
        <v>13334</v>
      </c>
      <c r="D17207" t="str">
        <f>"806354203   "</f>
        <v xml:space="preserve">806354203   </v>
      </c>
      <c r="E17207" t="s">
        <v>2826</v>
      </c>
      <c r="F17207" t="s">
        <v>2827</v>
      </c>
      <c r="G17207">
        <v>161.63</v>
      </c>
      <c r="H17207">
        <v>250930</v>
      </c>
      <c r="I17207">
        <v>4420</v>
      </c>
      <c r="J17207" t="s">
        <v>330</v>
      </c>
      <c r="K17207">
        <v>198.74</v>
      </c>
      <c r="L17207">
        <v>32.840000000000003</v>
      </c>
      <c r="M17207">
        <v>11001</v>
      </c>
      <c r="N17207" t="s">
        <v>93</v>
      </c>
      <c r="O17207">
        <v>251008</v>
      </c>
      <c r="P17207">
        <v>128.79</v>
      </c>
    </row>
    <row r="17208" spans="1:16" x14ac:dyDescent="0.25">
      <c r="A17208" t="s">
        <v>3296</v>
      </c>
      <c r="B17208" t="s">
        <v>2931</v>
      </c>
      <c r="C17208">
        <v>13370</v>
      </c>
      <c r="D17208" t="str">
        <f>"806354205   "</f>
        <v xml:space="preserve">806354205   </v>
      </c>
      <c r="E17208" t="s">
        <v>2826</v>
      </c>
      <c r="F17208" t="s">
        <v>2827</v>
      </c>
      <c r="G17208">
        <v>9</v>
      </c>
      <c r="H17208">
        <v>250930</v>
      </c>
      <c r="I17208">
        <v>4420</v>
      </c>
      <c r="J17208" t="s">
        <v>330</v>
      </c>
      <c r="K17208">
        <v>20.85</v>
      </c>
      <c r="L17208">
        <v>1.83</v>
      </c>
      <c r="M17208">
        <v>11901</v>
      </c>
      <c r="N17208" t="s">
        <v>31</v>
      </c>
      <c r="O17208">
        <v>251008</v>
      </c>
      <c r="P17208">
        <v>7.17</v>
      </c>
    </row>
    <row r="17209" spans="1:16" x14ac:dyDescent="0.25">
      <c r="A17209" t="s">
        <v>3296</v>
      </c>
      <c r="B17209" t="s">
        <v>2931</v>
      </c>
      <c r="C17209">
        <v>13403</v>
      </c>
      <c r="D17209" t="str">
        <f>"806354210   "</f>
        <v xml:space="preserve">806354210   </v>
      </c>
      <c r="E17209" t="s">
        <v>2826</v>
      </c>
      <c r="F17209" t="s">
        <v>2827</v>
      </c>
      <c r="G17209">
        <v>37.200000000000003</v>
      </c>
      <c r="H17209">
        <v>250930</v>
      </c>
      <c r="I17209">
        <v>4420</v>
      </c>
      <c r="J17209" t="s">
        <v>330</v>
      </c>
      <c r="K17209">
        <v>170.6</v>
      </c>
      <c r="L17209">
        <v>7.56</v>
      </c>
      <c r="M17209">
        <v>49702</v>
      </c>
      <c r="N17209" t="s">
        <v>112</v>
      </c>
      <c r="O17209">
        <v>251008</v>
      </c>
      <c r="P17209">
        <v>29.64</v>
      </c>
    </row>
    <row r="17210" spans="1:16" x14ac:dyDescent="0.25">
      <c r="A17210" t="s">
        <v>3296</v>
      </c>
      <c r="B17210" t="s">
        <v>2931</v>
      </c>
      <c r="C17210">
        <v>13606</v>
      </c>
      <c r="D17210" t="str">
        <f>"806354215   "</f>
        <v xml:space="preserve">806354215   </v>
      </c>
      <c r="E17210" t="s">
        <v>2826</v>
      </c>
      <c r="F17210" t="s">
        <v>2827</v>
      </c>
      <c r="G17210">
        <v>77.099999999999994</v>
      </c>
      <c r="H17210">
        <v>250930</v>
      </c>
      <c r="I17210">
        <v>4420</v>
      </c>
      <c r="J17210" t="s">
        <v>330</v>
      </c>
      <c r="K17210">
        <v>226.09</v>
      </c>
      <c r="L17210">
        <v>9.4700000000000006</v>
      </c>
      <c r="M17210">
        <v>49702</v>
      </c>
      <c r="N17210" t="s">
        <v>112</v>
      </c>
      <c r="O17210">
        <v>251013</v>
      </c>
      <c r="P17210">
        <v>67.63</v>
      </c>
    </row>
    <row r="17211" spans="1:16" x14ac:dyDescent="0.25">
      <c r="A17211" t="s">
        <v>3296</v>
      </c>
      <c r="B17211" t="s">
        <v>2931</v>
      </c>
      <c r="C17211">
        <v>14630</v>
      </c>
      <c r="D17211" t="str">
        <f>"807713342   "</f>
        <v xml:space="preserve">807713342   </v>
      </c>
      <c r="E17211" t="s">
        <v>2826</v>
      </c>
      <c r="F17211" t="s">
        <v>2827</v>
      </c>
      <c r="G17211">
        <v>193.61</v>
      </c>
      <c r="H17211">
        <v>251031</v>
      </c>
      <c r="I17211">
        <v>4420</v>
      </c>
      <c r="J17211" t="s">
        <v>330</v>
      </c>
      <c r="K17211">
        <v>230.5</v>
      </c>
      <c r="L17211">
        <v>39.340000000000003</v>
      </c>
      <c r="M17211">
        <v>11001</v>
      </c>
      <c r="N17211" t="s">
        <v>93</v>
      </c>
      <c r="O17211">
        <v>251105</v>
      </c>
      <c r="P17211">
        <v>154.27000000000001</v>
      </c>
    </row>
    <row r="17212" spans="1:16" x14ac:dyDescent="0.25">
      <c r="A17212" t="s">
        <v>3296</v>
      </c>
      <c r="B17212" t="s">
        <v>2931</v>
      </c>
      <c r="C17212">
        <v>14693</v>
      </c>
      <c r="D17212" t="str">
        <f>"807713343   "</f>
        <v xml:space="preserve">807713343   </v>
      </c>
      <c r="E17212" t="s">
        <v>2826</v>
      </c>
      <c r="F17212" t="s">
        <v>2827</v>
      </c>
      <c r="G17212">
        <v>21.75</v>
      </c>
      <c r="H17212">
        <v>251031</v>
      </c>
      <c r="I17212">
        <v>4420</v>
      </c>
      <c r="J17212" t="s">
        <v>330</v>
      </c>
      <c r="K17212">
        <v>2358.7399999999998</v>
      </c>
      <c r="L17212">
        <v>4.42</v>
      </c>
      <c r="M17212">
        <v>11903</v>
      </c>
      <c r="N17212" t="s">
        <v>32</v>
      </c>
      <c r="O17212">
        <v>251106</v>
      </c>
      <c r="P17212">
        <v>17.329999999999998</v>
      </c>
    </row>
    <row r="17213" spans="1:16" x14ac:dyDescent="0.25">
      <c r="A17213" t="s">
        <v>3296</v>
      </c>
      <c r="B17213" t="s">
        <v>2931</v>
      </c>
      <c r="C17213">
        <v>14693</v>
      </c>
      <c r="D17213" t="str">
        <f>"807713343   "</f>
        <v xml:space="preserve">807713343   </v>
      </c>
      <c r="E17213" t="s">
        <v>2826</v>
      </c>
      <c r="F17213" t="s">
        <v>2827</v>
      </c>
      <c r="G17213">
        <v>839.4</v>
      </c>
      <c r="H17213">
        <v>251031</v>
      </c>
      <c r="I17213">
        <v>4420</v>
      </c>
      <c r="J17213" t="s">
        <v>330</v>
      </c>
      <c r="K17213">
        <v>2358.7399999999998</v>
      </c>
      <c r="L17213">
        <v>0</v>
      </c>
      <c r="M17213">
        <v>11951</v>
      </c>
      <c r="N17213" t="s">
        <v>428</v>
      </c>
      <c r="O17213">
        <v>251106</v>
      </c>
      <c r="P17213">
        <v>839.4</v>
      </c>
    </row>
    <row r="17214" spans="1:16" x14ac:dyDescent="0.25">
      <c r="A17214" t="s">
        <v>3296</v>
      </c>
      <c r="B17214" t="s">
        <v>2931</v>
      </c>
      <c r="C17214">
        <v>16158</v>
      </c>
      <c r="D17214" t="str">
        <f>"808389224   "</f>
        <v xml:space="preserve">808389224   </v>
      </c>
      <c r="E17214" t="s">
        <v>2826</v>
      </c>
      <c r="F17214" t="s">
        <v>2827</v>
      </c>
      <c r="G17214">
        <v>96.22</v>
      </c>
      <c r="H17214">
        <v>251130</v>
      </c>
      <c r="I17214">
        <v>4420</v>
      </c>
      <c r="J17214" t="s">
        <v>330</v>
      </c>
      <c r="K17214">
        <v>144.26</v>
      </c>
      <c r="L17214">
        <v>19.55</v>
      </c>
      <c r="M17214">
        <v>11001</v>
      </c>
      <c r="N17214" t="s">
        <v>93</v>
      </c>
      <c r="O17214">
        <v>251204</v>
      </c>
      <c r="P17214">
        <v>76.67</v>
      </c>
    </row>
    <row r="17215" spans="1:16" x14ac:dyDescent="0.25">
      <c r="A17215" t="s">
        <v>3296</v>
      </c>
      <c r="B17215" t="s">
        <v>2931</v>
      </c>
      <c r="C17215">
        <v>16474</v>
      </c>
      <c r="D17215" t="str">
        <f>"808389229   "</f>
        <v xml:space="preserve">808389229   </v>
      </c>
      <c r="E17215" t="s">
        <v>2826</v>
      </c>
      <c r="F17215" t="s">
        <v>2827</v>
      </c>
      <c r="G17215">
        <v>1.97</v>
      </c>
      <c r="H17215">
        <v>251130</v>
      </c>
      <c r="I17215">
        <v>4420</v>
      </c>
      <c r="J17215" t="s">
        <v>330</v>
      </c>
      <c r="K17215">
        <v>3371.14</v>
      </c>
      <c r="L17215">
        <v>0.4</v>
      </c>
      <c r="M17215">
        <v>11801</v>
      </c>
      <c r="N17215" t="s">
        <v>40</v>
      </c>
      <c r="O17215">
        <v>251209</v>
      </c>
      <c r="P17215">
        <v>1.57</v>
      </c>
    </row>
    <row r="17216" spans="1:16" x14ac:dyDescent="0.25">
      <c r="A17216" t="s">
        <v>3296</v>
      </c>
      <c r="B17216" t="s">
        <v>2931</v>
      </c>
      <c r="C17216">
        <v>16474</v>
      </c>
      <c r="D17216" t="str">
        <f>"808389229   "</f>
        <v xml:space="preserve">808389229   </v>
      </c>
      <c r="E17216" t="s">
        <v>2826</v>
      </c>
      <c r="F17216" t="s">
        <v>2827</v>
      </c>
      <c r="G17216">
        <v>8.3699999999999992</v>
      </c>
      <c r="H17216">
        <v>251130</v>
      </c>
      <c r="I17216">
        <v>4420</v>
      </c>
      <c r="J17216" t="s">
        <v>330</v>
      </c>
      <c r="K17216">
        <v>3371.14</v>
      </c>
      <c r="L17216">
        <v>1.7</v>
      </c>
      <c r="M17216">
        <v>11801</v>
      </c>
      <c r="N17216" t="s">
        <v>40</v>
      </c>
      <c r="O17216">
        <v>251209</v>
      </c>
      <c r="P17216">
        <v>6.67</v>
      </c>
    </row>
    <row r="17217" spans="1:16" x14ac:dyDescent="0.25">
      <c r="A17217" t="s">
        <v>3296</v>
      </c>
      <c r="B17217" t="s">
        <v>2931</v>
      </c>
      <c r="C17217">
        <v>16540</v>
      </c>
      <c r="D17217" t="str">
        <f>"808389225   "</f>
        <v xml:space="preserve">808389225   </v>
      </c>
      <c r="E17217" t="s">
        <v>2826</v>
      </c>
      <c r="F17217" t="s">
        <v>2827</v>
      </c>
      <c r="G17217">
        <v>52.61</v>
      </c>
      <c r="H17217">
        <v>251130</v>
      </c>
      <c r="I17217">
        <v>4420</v>
      </c>
      <c r="J17217" t="s">
        <v>330</v>
      </c>
      <c r="K17217">
        <v>1201.3399999999999</v>
      </c>
      <c r="L17217">
        <v>0</v>
      </c>
      <c r="M17217">
        <v>11902</v>
      </c>
      <c r="N17217" t="s">
        <v>329</v>
      </c>
      <c r="O17217">
        <v>251209</v>
      </c>
      <c r="P17217">
        <v>52.61</v>
      </c>
    </row>
    <row r="17218" spans="1:16" x14ac:dyDescent="0.25">
      <c r="A17218" t="s">
        <v>3296</v>
      </c>
      <c r="B17218" t="s">
        <v>2931</v>
      </c>
      <c r="C17218">
        <v>16540</v>
      </c>
      <c r="D17218" t="str">
        <f>"808389225   "</f>
        <v xml:space="preserve">808389225   </v>
      </c>
      <c r="E17218" t="s">
        <v>2826</v>
      </c>
      <c r="F17218" t="s">
        <v>2827</v>
      </c>
      <c r="G17218">
        <v>61.83</v>
      </c>
      <c r="H17218">
        <v>251130</v>
      </c>
      <c r="I17218">
        <v>4420</v>
      </c>
      <c r="J17218" t="s">
        <v>330</v>
      </c>
      <c r="K17218">
        <v>1201.3399999999999</v>
      </c>
      <c r="L17218">
        <v>0</v>
      </c>
      <c r="M17218">
        <v>11902</v>
      </c>
      <c r="N17218" t="s">
        <v>329</v>
      </c>
      <c r="O17218">
        <v>251209</v>
      </c>
      <c r="P17218">
        <v>61.83</v>
      </c>
    </row>
    <row r="17219" spans="1:16" x14ac:dyDescent="0.25">
      <c r="A17219" t="s">
        <v>3296</v>
      </c>
      <c r="B17219" t="s">
        <v>2931</v>
      </c>
      <c r="C17219">
        <v>18002</v>
      </c>
      <c r="D17219" t="str">
        <f>"809024735   "</f>
        <v xml:space="preserve">809024735   </v>
      </c>
      <c r="E17219" t="s">
        <v>2826</v>
      </c>
      <c r="F17219" t="s">
        <v>2827</v>
      </c>
      <c r="G17219">
        <v>67.45</v>
      </c>
      <c r="H17219">
        <v>251231</v>
      </c>
      <c r="I17219">
        <v>4420</v>
      </c>
      <c r="J17219" t="s">
        <v>330</v>
      </c>
      <c r="K17219">
        <v>185.77</v>
      </c>
      <c r="L17219">
        <v>13.7</v>
      </c>
      <c r="M17219">
        <v>11001</v>
      </c>
      <c r="N17219" t="s">
        <v>93</v>
      </c>
      <c r="O17219">
        <v>260108</v>
      </c>
      <c r="P17219">
        <v>53.75</v>
      </c>
    </row>
    <row r="17220" spans="1:16" x14ac:dyDescent="0.25">
      <c r="A17220" t="s">
        <v>3296</v>
      </c>
      <c r="B17220" t="s">
        <v>2931</v>
      </c>
      <c r="C17220">
        <v>18153</v>
      </c>
      <c r="D17220" t="str">
        <f>"809024737   "</f>
        <v xml:space="preserve">809024737   </v>
      </c>
      <c r="E17220" t="s">
        <v>2826</v>
      </c>
      <c r="F17220" t="s">
        <v>2827</v>
      </c>
      <c r="G17220">
        <v>101.3</v>
      </c>
      <c r="H17220">
        <v>251231</v>
      </c>
      <c r="I17220">
        <v>4420</v>
      </c>
      <c r="J17220" t="s">
        <v>330</v>
      </c>
      <c r="K17220">
        <v>2700.88</v>
      </c>
      <c r="L17220">
        <v>20.58</v>
      </c>
      <c r="M17220">
        <v>11903</v>
      </c>
      <c r="N17220" t="s">
        <v>32</v>
      </c>
      <c r="O17220">
        <v>260109</v>
      </c>
      <c r="P17220">
        <v>80.72</v>
      </c>
    </row>
    <row r="17221" spans="1:16" x14ac:dyDescent="0.25">
      <c r="A17221" t="s">
        <v>3296</v>
      </c>
      <c r="B17221" t="s">
        <v>2931</v>
      </c>
      <c r="C17221">
        <v>18154</v>
      </c>
      <c r="D17221" t="str">
        <f>"809024740   "</f>
        <v xml:space="preserve">809024740   </v>
      </c>
      <c r="E17221" t="s">
        <v>2826</v>
      </c>
      <c r="F17221" t="s">
        <v>2827</v>
      </c>
      <c r="G17221">
        <v>7.58</v>
      </c>
      <c r="H17221">
        <v>251231</v>
      </c>
      <c r="I17221">
        <v>4420</v>
      </c>
      <c r="J17221" t="s">
        <v>330</v>
      </c>
      <c r="K17221">
        <v>1266.5</v>
      </c>
      <c r="L17221">
        <v>1.54</v>
      </c>
      <c r="M17221">
        <v>11801</v>
      </c>
      <c r="N17221" t="s">
        <v>40</v>
      </c>
      <c r="O17221">
        <v>260109</v>
      </c>
      <c r="P17221">
        <v>6.04</v>
      </c>
    </row>
    <row r="17222" spans="1:16" x14ac:dyDescent="0.25">
      <c r="A17222" t="s">
        <v>3296</v>
      </c>
      <c r="B17222" t="s">
        <v>2931</v>
      </c>
      <c r="C17222">
        <v>7814</v>
      </c>
      <c r="D17222" t="str">
        <f>"802999272   "</f>
        <v xml:space="preserve">802999272   </v>
      </c>
      <c r="E17222" t="s">
        <v>2826</v>
      </c>
      <c r="F17222" t="s">
        <v>2827</v>
      </c>
      <c r="G17222">
        <v>24.8</v>
      </c>
      <c r="H17222">
        <v>250531</v>
      </c>
      <c r="I17222">
        <v>4425</v>
      </c>
      <c r="J17222" t="s">
        <v>870</v>
      </c>
      <c r="K17222">
        <v>247.15</v>
      </c>
      <c r="L17222">
        <v>5.04</v>
      </c>
      <c r="M17222">
        <v>11301</v>
      </c>
      <c r="N17222" t="s">
        <v>92</v>
      </c>
      <c r="O17222">
        <v>250609</v>
      </c>
      <c r="P17222">
        <v>19.760000000000002</v>
      </c>
    </row>
    <row r="17223" spans="1:16" x14ac:dyDescent="0.25">
      <c r="A17223" t="s">
        <v>3296</v>
      </c>
      <c r="B17223" t="s">
        <v>2931</v>
      </c>
      <c r="C17223">
        <v>7814</v>
      </c>
      <c r="D17223" t="str">
        <f>"802999272   "</f>
        <v xml:space="preserve">802999272   </v>
      </c>
      <c r="E17223" t="s">
        <v>2826</v>
      </c>
      <c r="F17223" t="s">
        <v>2827</v>
      </c>
      <c r="G17223">
        <v>140</v>
      </c>
      <c r="H17223">
        <v>250531</v>
      </c>
      <c r="I17223">
        <v>4425</v>
      </c>
      <c r="J17223" t="s">
        <v>870</v>
      </c>
      <c r="K17223">
        <v>247.15</v>
      </c>
      <c r="L17223">
        <v>0</v>
      </c>
      <c r="M17223">
        <v>11301</v>
      </c>
      <c r="N17223" t="s">
        <v>92</v>
      </c>
      <c r="O17223">
        <v>250609</v>
      </c>
      <c r="P17223">
        <v>140</v>
      </c>
    </row>
    <row r="17224" spans="1:16" x14ac:dyDescent="0.25">
      <c r="A17224" t="s">
        <v>3296</v>
      </c>
      <c r="B17224" t="s">
        <v>2931</v>
      </c>
      <c r="C17224">
        <v>14051</v>
      </c>
      <c r="D17224" t="str">
        <f>"806354214   "</f>
        <v xml:space="preserve">806354214   </v>
      </c>
      <c r="E17224" t="s">
        <v>2826</v>
      </c>
      <c r="F17224" t="s">
        <v>2827</v>
      </c>
      <c r="G17224">
        <v>53.8</v>
      </c>
      <c r="H17224">
        <v>251001</v>
      </c>
      <c r="I17224">
        <v>4425</v>
      </c>
      <c r="J17224" t="s">
        <v>870</v>
      </c>
      <c r="K17224">
        <v>144.88</v>
      </c>
      <c r="L17224">
        <v>0</v>
      </c>
      <c r="M17224">
        <v>13601</v>
      </c>
      <c r="N17224" t="s">
        <v>115</v>
      </c>
      <c r="O17224">
        <v>251022</v>
      </c>
      <c r="P17224">
        <v>53.8</v>
      </c>
    </row>
    <row r="17225" spans="1:16" x14ac:dyDescent="0.25">
      <c r="A17225" t="s">
        <v>3296</v>
      </c>
      <c r="B17225" t="s">
        <v>2931</v>
      </c>
      <c r="C17225">
        <v>16474</v>
      </c>
      <c r="D17225" t="str">
        <f>"808389229   "</f>
        <v xml:space="preserve">808389229   </v>
      </c>
      <c r="E17225" t="s">
        <v>2826</v>
      </c>
      <c r="F17225" t="s">
        <v>2827</v>
      </c>
      <c r="G17225">
        <v>3.2</v>
      </c>
      <c r="H17225">
        <v>251130</v>
      </c>
      <c r="I17225">
        <v>4425</v>
      </c>
      <c r="J17225" t="s">
        <v>870</v>
      </c>
      <c r="K17225">
        <v>3371.14</v>
      </c>
      <c r="L17225">
        <v>0.39</v>
      </c>
      <c r="M17225">
        <v>11801</v>
      </c>
      <c r="N17225" t="s">
        <v>40</v>
      </c>
      <c r="O17225">
        <v>251209</v>
      </c>
      <c r="P17225">
        <v>2.81</v>
      </c>
    </row>
    <row r="17226" spans="1:16" x14ac:dyDescent="0.25">
      <c r="A17226" t="s">
        <v>3296</v>
      </c>
      <c r="B17226" t="s">
        <v>2931</v>
      </c>
      <c r="C17226">
        <v>16474</v>
      </c>
      <c r="D17226" t="str">
        <f>"808389229   "</f>
        <v xml:space="preserve">808389229   </v>
      </c>
      <c r="E17226" t="s">
        <v>2826</v>
      </c>
      <c r="F17226" t="s">
        <v>2827</v>
      </c>
      <c r="G17226">
        <v>3.2</v>
      </c>
      <c r="H17226">
        <v>251130</v>
      </c>
      <c r="I17226">
        <v>4425</v>
      </c>
      <c r="J17226" t="s">
        <v>870</v>
      </c>
      <c r="K17226">
        <v>3371.14</v>
      </c>
      <c r="L17226">
        <v>0.39</v>
      </c>
      <c r="M17226">
        <v>11801</v>
      </c>
      <c r="N17226" t="s">
        <v>40</v>
      </c>
      <c r="O17226">
        <v>251209</v>
      </c>
      <c r="P17226">
        <v>2.81</v>
      </c>
    </row>
    <row r="17227" spans="1:16" x14ac:dyDescent="0.25">
      <c r="A17227" t="s">
        <v>3296</v>
      </c>
      <c r="B17227" t="s">
        <v>2931</v>
      </c>
      <c r="C17227">
        <v>18154</v>
      </c>
      <c r="D17227" t="str">
        <f>"809024740   "</f>
        <v xml:space="preserve">809024740   </v>
      </c>
      <c r="E17227" t="s">
        <v>2826</v>
      </c>
      <c r="F17227" t="s">
        <v>2827</v>
      </c>
      <c r="G17227">
        <v>6.4</v>
      </c>
      <c r="H17227">
        <v>251231</v>
      </c>
      <c r="I17227">
        <v>4425</v>
      </c>
      <c r="J17227" t="s">
        <v>870</v>
      </c>
      <c r="K17227">
        <v>1266.5</v>
      </c>
      <c r="L17227">
        <v>1.3</v>
      </c>
      <c r="M17227">
        <v>11801</v>
      </c>
      <c r="N17227" t="s">
        <v>40</v>
      </c>
      <c r="O17227">
        <v>260109</v>
      </c>
      <c r="P17227">
        <v>5.0999999999999996</v>
      </c>
    </row>
    <row r="17228" spans="1:16" x14ac:dyDescent="0.25">
      <c r="A17228" t="s">
        <v>3296</v>
      </c>
      <c r="B17228" t="s">
        <v>2931</v>
      </c>
      <c r="C17228">
        <v>5899</v>
      </c>
      <c r="D17228" t="str">
        <f>"802504702   "</f>
        <v xml:space="preserve">802504702   </v>
      </c>
      <c r="E17228" t="s">
        <v>2826</v>
      </c>
      <c r="F17228" t="s">
        <v>2827</v>
      </c>
      <c r="G17228">
        <v>2108.4</v>
      </c>
      <c r="H17228">
        <v>250430</v>
      </c>
      <c r="I17228">
        <v>4440</v>
      </c>
      <c r="J17228" t="s">
        <v>346</v>
      </c>
      <c r="K17228">
        <v>2108.4</v>
      </c>
      <c r="L17228">
        <v>428.4</v>
      </c>
      <c r="M17228">
        <v>11301</v>
      </c>
      <c r="N17228" t="s">
        <v>92</v>
      </c>
      <c r="O17228">
        <v>250507</v>
      </c>
      <c r="P17228">
        <v>1680</v>
      </c>
    </row>
    <row r="17229" spans="1:16" x14ac:dyDescent="0.25">
      <c r="A17229" t="s">
        <v>3296</v>
      </c>
      <c r="B17229" t="s">
        <v>2931</v>
      </c>
      <c r="C17229">
        <v>6362</v>
      </c>
      <c r="D17229" t="str">
        <f>"802504700   "</f>
        <v xml:space="preserve">802504700   </v>
      </c>
      <c r="E17229" t="s">
        <v>2826</v>
      </c>
      <c r="F17229" t="s">
        <v>2827</v>
      </c>
      <c r="G17229">
        <v>30</v>
      </c>
      <c r="H17229">
        <v>250430</v>
      </c>
      <c r="I17229">
        <v>4440</v>
      </c>
      <c r="J17229" t="s">
        <v>346</v>
      </c>
      <c r="K17229">
        <v>244.82</v>
      </c>
      <c r="L17229">
        <v>6.1</v>
      </c>
      <c r="M17229">
        <v>11902</v>
      </c>
      <c r="N17229" t="s">
        <v>329</v>
      </c>
      <c r="O17229">
        <v>250513</v>
      </c>
      <c r="P17229">
        <v>23.9</v>
      </c>
    </row>
    <row r="17230" spans="1:16" x14ac:dyDescent="0.25">
      <c r="A17230" t="s">
        <v>3296</v>
      </c>
      <c r="B17230" t="s">
        <v>2931</v>
      </c>
      <c r="C17230">
        <v>9503</v>
      </c>
      <c r="D17230" t="str">
        <f>"803813075   "</f>
        <v xml:space="preserve">803813075   </v>
      </c>
      <c r="E17230" t="s">
        <v>2826</v>
      </c>
      <c r="F17230" t="s">
        <v>2827</v>
      </c>
      <c r="G17230">
        <v>344</v>
      </c>
      <c r="H17230">
        <v>250630</v>
      </c>
      <c r="I17230">
        <v>4440</v>
      </c>
      <c r="J17230" t="s">
        <v>346</v>
      </c>
      <c r="K17230">
        <v>457.83</v>
      </c>
      <c r="L17230">
        <v>0</v>
      </c>
      <c r="M17230">
        <v>11605</v>
      </c>
      <c r="N17230" t="s">
        <v>1066</v>
      </c>
      <c r="O17230">
        <v>250709</v>
      </c>
      <c r="P17230">
        <v>344</v>
      </c>
    </row>
    <row r="17231" spans="1:16" x14ac:dyDescent="0.25">
      <c r="A17231" t="s">
        <v>3296</v>
      </c>
      <c r="B17231" t="s">
        <v>2931</v>
      </c>
      <c r="C17231">
        <v>11888</v>
      </c>
      <c r="D17231" t="str">
        <f>"804895999   "</f>
        <v xml:space="preserve">804895999   </v>
      </c>
      <c r="E17231" t="s">
        <v>2826</v>
      </c>
      <c r="F17231" t="s">
        <v>2827</v>
      </c>
      <c r="G17231">
        <v>95</v>
      </c>
      <c r="H17231">
        <v>250831</v>
      </c>
      <c r="I17231">
        <v>4441</v>
      </c>
      <c r="J17231" t="s">
        <v>234</v>
      </c>
      <c r="K17231">
        <v>228.73</v>
      </c>
      <c r="L17231">
        <v>0</v>
      </c>
      <c r="M17231">
        <v>13601</v>
      </c>
      <c r="N17231" t="s">
        <v>115</v>
      </c>
      <c r="O17231">
        <v>250912</v>
      </c>
      <c r="P17231">
        <v>95</v>
      </c>
    </row>
    <row r="17232" spans="1:16" x14ac:dyDescent="0.25">
      <c r="A17232" t="s">
        <v>3296</v>
      </c>
      <c r="B17232" t="s">
        <v>2931</v>
      </c>
      <c r="C17232">
        <v>16243</v>
      </c>
      <c r="D17232" t="str">
        <f>"808389234   "</f>
        <v xml:space="preserve">808389234   </v>
      </c>
      <c r="E17232" t="s">
        <v>2826</v>
      </c>
      <c r="F17232" t="s">
        <v>2827</v>
      </c>
      <c r="G17232">
        <v>20</v>
      </c>
      <c r="H17232">
        <v>251130</v>
      </c>
      <c r="I17232">
        <v>4441</v>
      </c>
      <c r="J17232" t="s">
        <v>234</v>
      </c>
      <c r="K17232">
        <v>20</v>
      </c>
      <c r="L17232">
        <v>0</v>
      </c>
      <c r="M17232">
        <v>13601</v>
      </c>
      <c r="N17232" t="s">
        <v>115</v>
      </c>
      <c r="O17232">
        <v>251205</v>
      </c>
      <c r="P17232">
        <v>20</v>
      </c>
    </row>
    <row r="17233" spans="1:16" x14ac:dyDescent="0.25">
      <c r="A17233" t="s">
        <v>3296</v>
      </c>
      <c r="B17233" t="s">
        <v>2931</v>
      </c>
      <c r="C17233">
        <v>2713</v>
      </c>
      <c r="D17233" t="str">
        <f>"801515279   "</f>
        <v xml:space="preserve">801515279   </v>
      </c>
      <c r="E17233" t="s">
        <v>2826</v>
      </c>
      <c r="F17233" t="s">
        <v>2827</v>
      </c>
      <c r="G17233">
        <v>12</v>
      </c>
      <c r="H17233">
        <v>250228</v>
      </c>
      <c r="I17233">
        <v>4470</v>
      </c>
      <c r="J17233" t="s">
        <v>203</v>
      </c>
      <c r="K17233">
        <v>12</v>
      </c>
      <c r="L17233">
        <v>0</v>
      </c>
      <c r="M17233">
        <v>11501</v>
      </c>
      <c r="N17233" t="s">
        <v>13</v>
      </c>
      <c r="O17233">
        <v>250311</v>
      </c>
      <c r="P17233">
        <v>12</v>
      </c>
    </row>
    <row r="17234" spans="1:16" x14ac:dyDescent="0.25">
      <c r="A17234" t="s">
        <v>3296</v>
      </c>
      <c r="B17234" t="s">
        <v>2931</v>
      </c>
      <c r="C17234">
        <v>2732</v>
      </c>
      <c r="D17234" t="str">
        <f>"801515271   "</f>
        <v xml:space="preserve">801515271   </v>
      </c>
      <c r="E17234" t="s">
        <v>2826</v>
      </c>
      <c r="F17234" t="s">
        <v>2827</v>
      </c>
      <c r="G17234">
        <v>877.8</v>
      </c>
      <c r="H17234">
        <v>250228</v>
      </c>
      <c r="I17234">
        <v>4470</v>
      </c>
      <c r="J17234" t="s">
        <v>203</v>
      </c>
      <c r="K17234">
        <v>877.8</v>
      </c>
      <c r="L17234">
        <v>107.8</v>
      </c>
      <c r="M17234">
        <v>11301</v>
      </c>
      <c r="N17234" t="s">
        <v>92</v>
      </c>
      <c r="O17234">
        <v>250311</v>
      </c>
      <c r="P17234">
        <v>770</v>
      </c>
    </row>
    <row r="17235" spans="1:16" x14ac:dyDescent="0.25">
      <c r="A17235" t="s">
        <v>3296</v>
      </c>
      <c r="B17235" t="s">
        <v>2931</v>
      </c>
      <c r="C17235">
        <v>7802</v>
      </c>
      <c r="D17235" t="str">
        <f>"802999278   "</f>
        <v xml:space="preserve">802999278   </v>
      </c>
      <c r="E17235" t="s">
        <v>2826</v>
      </c>
      <c r="F17235" t="s">
        <v>2827</v>
      </c>
      <c r="G17235">
        <v>5</v>
      </c>
      <c r="H17235">
        <v>250531</v>
      </c>
      <c r="I17235">
        <v>4470</v>
      </c>
      <c r="J17235" t="s">
        <v>203</v>
      </c>
      <c r="K17235">
        <v>28</v>
      </c>
      <c r="L17235">
        <v>1.02</v>
      </c>
      <c r="M17235">
        <v>13940</v>
      </c>
      <c r="N17235" t="s">
        <v>14</v>
      </c>
      <c r="O17235">
        <v>250609</v>
      </c>
      <c r="P17235">
        <v>3.98</v>
      </c>
    </row>
    <row r="17236" spans="1:16" x14ac:dyDescent="0.25">
      <c r="A17236" t="s">
        <v>3296</v>
      </c>
      <c r="B17236" t="s">
        <v>2931</v>
      </c>
      <c r="C17236">
        <v>7802</v>
      </c>
      <c r="D17236" t="str">
        <f>"802999278   "</f>
        <v xml:space="preserve">802999278   </v>
      </c>
      <c r="E17236" t="s">
        <v>2826</v>
      </c>
      <c r="F17236" t="s">
        <v>2827</v>
      </c>
      <c r="G17236">
        <v>23</v>
      </c>
      <c r="H17236">
        <v>250531</v>
      </c>
      <c r="I17236">
        <v>4470</v>
      </c>
      <c r="J17236" t="s">
        <v>203</v>
      </c>
      <c r="K17236">
        <v>28</v>
      </c>
      <c r="L17236">
        <v>2.82</v>
      </c>
      <c r="M17236">
        <v>13940</v>
      </c>
      <c r="N17236" t="s">
        <v>14</v>
      </c>
      <c r="O17236">
        <v>250609</v>
      </c>
      <c r="P17236">
        <v>20.18</v>
      </c>
    </row>
    <row r="17237" spans="1:16" x14ac:dyDescent="0.25">
      <c r="A17237" t="s">
        <v>3296</v>
      </c>
      <c r="B17237" t="s">
        <v>2931</v>
      </c>
      <c r="C17237">
        <v>11949</v>
      </c>
      <c r="D17237" t="str">
        <f>"804896000   "</f>
        <v xml:space="preserve">804896000   </v>
      </c>
      <c r="E17237" t="s">
        <v>2826</v>
      </c>
      <c r="F17237" t="s">
        <v>2827</v>
      </c>
      <c r="G17237">
        <v>88</v>
      </c>
      <c r="H17237">
        <v>250831</v>
      </c>
      <c r="I17237">
        <v>4470</v>
      </c>
      <c r="J17237" t="s">
        <v>203</v>
      </c>
      <c r="K17237">
        <v>169</v>
      </c>
      <c r="L17237">
        <v>17.88</v>
      </c>
      <c r="M17237">
        <v>47522</v>
      </c>
      <c r="N17237" t="s">
        <v>106</v>
      </c>
      <c r="O17237">
        <v>250912</v>
      </c>
      <c r="P17237">
        <v>70.12</v>
      </c>
    </row>
    <row r="17238" spans="1:16" x14ac:dyDescent="0.25">
      <c r="A17238" t="s">
        <v>3296</v>
      </c>
      <c r="B17238" t="s">
        <v>2931</v>
      </c>
      <c r="C17238">
        <v>16561</v>
      </c>
      <c r="D17238" t="str">
        <f>"808389237   "</f>
        <v xml:space="preserve">808389237   </v>
      </c>
      <c r="E17238" t="s">
        <v>2826</v>
      </c>
      <c r="F17238" t="s">
        <v>2827</v>
      </c>
      <c r="G17238">
        <v>45</v>
      </c>
      <c r="H17238">
        <v>251130</v>
      </c>
      <c r="I17238">
        <v>4470</v>
      </c>
      <c r="J17238" t="s">
        <v>203</v>
      </c>
      <c r="K17238">
        <v>45</v>
      </c>
      <c r="L17238">
        <v>0</v>
      </c>
      <c r="M17238">
        <v>18971</v>
      </c>
      <c r="N17238" t="s">
        <v>38</v>
      </c>
      <c r="O17238">
        <v>251210</v>
      </c>
      <c r="P17238">
        <v>45</v>
      </c>
    </row>
    <row r="17239" spans="1:16" x14ac:dyDescent="0.25">
      <c r="A17239" t="s">
        <v>3296</v>
      </c>
      <c r="B17239" t="s">
        <v>2931</v>
      </c>
      <c r="C17239">
        <v>4526</v>
      </c>
      <c r="D17239" t="str">
        <f>"802023939   "</f>
        <v xml:space="preserve">802023939   </v>
      </c>
      <c r="E17239" t="s">
        <v>2826</v>
      </c>
      <c r="F17239" t="s">
        <v>2827</v>
      </c>
      <c r="G17239">
        <v>173.12</v>
      </c>
      <c r="H17239">
        <v>250331</v>
      </c>
      <c r="I17239">
        <v>4500</v>
      </c>
      <c r="J17239" t="s">
        <v>312</v>
      </c>
      <c r="K17239">
        <v>905.97</v>
      </c>
      <c r="L17239">
        <v>0</v>
      </c>
      <c r="M17239">
        <v>13901</v>
      </c>
      <c r="N17239" t="s">
        <v>116</v>
      </c>
      <c r="O17239">
        <v>250414</v>
      </c>
      <c r="P17239">
        <v>173.12</v>
      </c>
    </row>
    <row r="17240" spans="1:16" x14ac:dyDescent="0.25">
      <c r="A17240" t="s">
        <v>3296</v>
      </c>
      <c r="B17240" t="s">
        <v>2931</v>
      </c>
      <c r="C17240">
        <v>7798</v>
      </c>
      <c r="D17240" t="str">
        <f>"802999273   "</f>
        <v xml:space="preserve">802999273   </v>
      </c>
      <c r="E17240" t="s">
        <v>2826</v>
      </c>
      <c r="F17240" t="s">
        <v>2827</v>
      </c>
      <c r="G17240">
        <v>25.63</v>
      </c>
      <c r="H17240">
        <v>250531</v>
      </c>
      <c r="I17240">
        <v>4500</v>
      </c>
      <c r="J17240" t="s">
        <v>312</v>
      </c>
      <c r="K17240">
        <v>45.71</v>
      </c>
      <c r="L17240">
        <v>5.21</v>
      </c>
      <c r="M17240">
        <v>11901</v>
      </c>
      <c r="N17240" t="s">
        <v>31</v>
      </c>
      <c r="O17240">
        <v>250609</v>
      </c>
      <c r="P17240">
        <v>20.420000000000002</v>
      </c>
    </row>
    <row r="17241" spans="1:16" x14ac:dyDescent="0.25">
      <c r="A17241" t="s">
        <v>3296</v>
      </c>
      <c r="B17241" t="s">
        <v>2931</v>
      </c>
      <c r="C17241">
        <v>18008</v>
      </c>
      <c r="D17241" t="str">
        <f>"809024744   "</f>
        <v xml:space="preserve">809024744   </v>
      </c>
      <c r="E17241" t="s">
        <v>2826</v>
      </c>
      <c r="F17241" t="s">
        <v>2827</v>
      </c>
      <c r="G17241">
        <v>23.96</v>
      </c>
      <c r="H17241">
        <v>251231</v>
      </c>
      <c r="I17241">
        <v>4500</v>
      </c>
      <c r="J17241" t="s">
        <v>312</v>
      </c>
      <c r="K17241">
        <v>23.96</v>
      </c>
      <c r="L17241">
        <v>4.87</v>
      </c>
      <c r="M17241">
        <v>13901</v>
      </c>
      <c r="N17241" t="s">
        <v>116</v>
      </c>
      <c r="O17241">
        <v>260108</v>
      </c>
      <c r="P17241">
        <v>19.09</v>
      </c>
    </row>
    <row r="17242" spans="1:16" x14ac:dyDescent="0.25">
      <c r="A17242" t="s">
        <v>3296</v>
      </c>
      <c r="B17242" t="s">
        <v>2931</v>
      </c>
      <c r="C17242">
        <v>1293</v>
      </c>
      <c r="D17242" t="str">
        <f>"801038129   "</f>
        <v xml:space="preserve">801038129   </v>
      </c>
      <c r="E17242" t="s">
        <v>2826</v>
      </c>
      <c r="F17242" t="s">
        <v>2827</v>
      </c>
      <c r="G17242">
        <v>38.9</v>
      </c>
      <c r="H17242">
        <v>250131</v>
      </c>
      <c r="I17242">
        <v>4510</v>
      </c>
      <c r="J17242" t="s">
        <v>240</v>
      </c>
      <c r="K17242">
        <v>103.9</v>
      </c>
      <c r="L17242">
        <v>4.78</v>
      </c>
      <c r="M17242">
        <v>11901</v>
      </c>
      <c r="N17242" t="s">
        <v>31</v>
      </c>
      <c r="O17242">
        <v>250206</v>
      </c>
      <c r="P17242">
        <v>34.119999999999997</v>
      </c>
    </row>
    <row r="17243" spans="1:16" x14ac:dyDescent="0.25">
      <c r="A17243" t="s">
        <v>3296</v>
      </c>
      <c r="B17243" t="s">
        <v>2931</v>
      </c>
      <c r="C17243">
        <v>10061</v>
      </c>
      <c r="D17243" t="str">
        <f>"804409695   "</f>
        <v xml:space="preserve">804409695   </v>
      </c>
      <c r="E17243" t="s">
        <v>2826</v>
      </c>
      <c r="F17243" t="s">
        <v>2827</v>
      </c>
      <c r="G17243">
        <v>113.21</v>
      </c>
      <c r="H17243">
        <v>250731</v>
      </c>
      <c r="I17243">
        <v>4510</v>
      </c>
      <c r="J17243" t="s">
        <v>240</v>
      </c>
      <c r="K17243">
        <v>113.21</v>
      </c>
      <c r="L17243">
        <v>0</v>
      </c>
      <c r="M17243">
        <v>13601</v>
      </c>
      <c r="N17243" t="s">
        <v>115</v>
      </c>
      <c r="O17243">
        <v>250811</v>
      </c>
      <c r="P17243">
        <v>113.21</v>
      </c>
    </row>
    <row r="17244" spans="1:16" x14ac:dyDescent="0.25">
      <c r="A17244" t="s">
        <v>3296</v>
      </c>
      <c r="B17244" t="s">
        <v>2931</v>
      </c>
      <c r="C17244">
        <v>14051</v>
      </c>
      <c r="D17244" t="str">
        <f>"806354214   "</f>
        <v xml:space="preserve">806354214   </v>
      </c>
      <c r="E17244" t="s">
        <v>2826</v>
      </c>
      <c r="F17244" t="s">
        <v>2827</v>
      </c>
      <c r="G17244">
        <v>91.08</v>
      </c>
      <c r="H17244">
        <v>251001</v>
      </c>
      <c r="I17244">
        <v>4510</v>
      </c>
      <c r="J17244" t="s">
        <v>240</v>
      </c>
      <c r="K17244">
        <v>144.88</v>
      </c>
      <c r="L17244">
        <v>0</v>
      </c>
      <c r="M17244">
        <v>13601</v>
      </c>
      <c r="N17244" t="s">
        <v>115</v>
      </c>
      <c r="O17244">
        <v>251022</v>
      </c>
      <c r="P17244">
        <v>91.08</v>
      </c>
    </row>
    <row r="17245" spans="1:16" x14ac:dyDescent="0.25">
      <c r="A17245" t="s">
        <v>3296</v>
      </c>
      <c r="B17245" t="s">
        <v>2931</v>
      </c>
      <c r="C17245">
        <v>14983</v>
      </c>
      <c r="D17245" t="str">
        <f>"807713352   "</f>
        <v xml:space="preserve">807713352   </v>
      </c>
      <c r="E17245" t="s">
        <v>2826</v>
      </c>
      <c r="F17245" t="s">
        <v>2827</v>
      </c>
      <c r="G17245">
        <v>827.82</v>
      </c>
      <c r="H17245">
        <v>251031</v>
      </c>
      <c r="I17245">
        <v>4510</v>
      </c>
      <c r="J17245" t="s">
        <v>240</v>
      </c>
      <c r="K17245">
        <v>827.82</v>
      </c>
      <c r="L17245">
        <v>0</v>
      </c>
      <c r="M17245">
        <v>47522</v>
      </c>
      <c r="N17245" t="s">
        <v>106</v>
      </c>
      <c r="O17245">
        <v>251110</v>
      </c>
      <c r="P17245">
        <v>827.82</v>
      </c>
    </row>
    <row r="17246" spans="1:16" x14ac:dyDescent="0.25">
      <c r="A17246" t="s">
        <v>3296</v>
      </c>
      <c r="B17246" t="s">
        <v>2931</v>
      </c>
      <c r="C17246">
        <v>2832</v>
      </c>
      <c r="D17246" t="str">
        <f>"801515270   "</f>
        <v xml:space="preserve">801515270   </v>
      </c>
      <c r="E17246" t="s">
        <v>2826</v>
      </c>
      <c r="F17246" t="s">
        <v>2827</v>
      </c>
      <c r="G17246">
        <v>87.62</v>
      </c>
      <c r="H17246">
        <v>250228</v>
      </c>
      <c r="I17246">
        <v>4520</v>
      </c>
      <c r="J17246" t="s">
        <v>280</v>
      </c>
      <c r="K17246">
        <v>145.19</v>
      </c>
      <c r="L17246">
        <v>10.76</v>
      </c>
      <c r="M17246">
        <v>12982</v>
      </c>
      <c r="N17246" t="s">
        <v>1384</v>
      </c>
      <c r="O17246">
        <v>250312</v>
      </c>
      <c r="P17246">
        <v>76.86</v>
      </c>
    </row>
    <row r="17247" spans="1:16" x14ac:dyDescent="0.25">
      <c r="A17247" t="s">
        <v>3296</v>
      </c>
      <c r="B17247" t="s">
        <v>2931</v>
      </c>
      <c r="C17247">
        <v>4463</v>
      </c>
      <c r="D17247" t="str">
        <f>"802023934   "</f>
        <v xml:space="preserve">802023934   </v>
      </c>
      <c r="E17247" t="s">
        <v>2826</v>
      </c>
      <c r="F17247" t="s">
        <v>2827</v>
      </c>
      <c r="G17247">
        <v>12.57</v>
      </c>
      <c r="H17247">
        <v>250331</v>
      </c>
      <c r="I17247">
        <v>4520</v>
      </c>
      <c r="J17247" t="s">
        <v>280</v>
      </c>
      <c r="K17247">
        <v>34.020000000000003</v>
      </c>
      <c r="L17247">
        <v>1.54</v>
      </c>
      <c r="M17247">
        <v>11901</v>
      </c>
      <c r="N17247" t="s">
        <v>31</v>
      </c>
      <c r="O17247">
        <v>250411</v>
      </c>
      <c r="P17247">
        <v>11.03</v>
      </c>
    </row>
    <row r="17248" spans="1:16" x14ac:dyDescent="0.25">
      <c r="A17248" t="s">
        <v>3296</v>
      </c>
      <c r="B17248" t="s">
        <v>2931</v>
      </c>
      <c r="C17248">
        <v>4853</v>
      </c>
      <c r="D17248" t="str">
        <f>"802023931   "</f>
        <v xml:space="preserve">802023931   </v>
      </c>
      <c r="E17248" t="s">
        <v>2826</v>
      </c>
      <c r="F17248" t="s">
        <v>2827</v>
      </c>
      <c r="G17248">
        <v>34.549999999999997</v>
      </c>
      <c r="H17248">
        <v>250331</v>
      </c>
      <c r="I17248">
        <v>4520</v>
      </c>
      <c r="J17248" t="s">
        <v>280</v>
      </c>
      <c r="K17248">
        <v>1827.07</v>
      </c>
      <c r="L17248">
        <v>4.24</v>
      </c>
      <c r="M17248">
        <v>11901</v>
      </c>
      <c r="N17248" t="s">
        <v>31</v>
      </c>
      <c r="O17248">
        <v>250416</v>
      </c>
      <c r="P17248">
        <v>30.31</v>
      </c>
    </row>
    <row r="17249" spans="1:16" x14ac:dyDescent="0.25">
      <c r="A17249" t="s">
        <v>3296</v>
      </c>
      <c r="B17249" t="s">
        <v>2931</v>
      </c>
      <c r="C17249">
        <v>6227</v>
      </c>
      <c r="D17249" t="str">
        <f>"802504701   "</f>
        <v xml:space="preserve">802504701   </v>
      </c>
      <c r="E17249" t="s">
        <v>2826</v>
      </c>
      <c r="F17249" t="s">
        <v>2827</v>
      </c>
      <c r="G17249">
        <v>73.13</v>
      </c>
      <c r="H17249">
        <v>250430</v>
      </c>
      <c r="I17249">
        <v>4520</v>
      </c>
      <c r="J17249" t="s">
        <v>280</v>
      </c>
      <c r="K17249">
        <v>1042.3800000000001</v>
      </c>
      <c r="L17249">
        <v>8.98</v>
      </c>
      <c r="M17249">
        <v>11900</v>
      </c>
      <c r="N17249" t="s">
        <v>30</v>
      </c>
      <c r="O17249">
        <v>250512</v>
      </c>
      <c r="P17249">
        <v>64.150000000000006</v>
      </c>
    </row>
    <row r="17250" spans="1:16" x14ac:dyDescent="0.25">
      <c r="A17250" t="s">
        <v>3296</v>
      </c>
      <c r="B17250" t="s">
        <v>2931</v>
      </c>
      <c r="C17250">
        <v>6227</v>
      </c>
      <c r="D17250" t="str">
        <f>"802504701   "</f>
        <v xml:space="preserve">802504701   </v>
      </c>
      <c r="E17250" t="s">
        <v>2826</v>
      </c>
      <c r="F17250" t="s">
        <v>2827</v>
      </c>
      <c r="G17250">
        <v>8.1300000000000008</v>
      </c>
      <c r="H17250">
        <v>250430</v>
      </c>
      <c r="I17250">
        <v>4520</v>
      </c>
      <c r="J17250" t="s">
        <v>280</v>
      </c>
      <c r="K17250">
        <v>1042.3800000000001</v>
      </c>
      <c r="L17250">
        <v>1</v>
      </c>
      <c r="M17250">
        <v>11902</v>
      </c>
      <c r="N17250" t="s">
        <v>329</v>
      </c>
      <c r="O17250">
        <v>250512</v>
      </c>
      <c r="P17250">
        <v>7.13</v>
      </c>
    </row>
    <row r="17251" spans="1:16" x14ac:dyDescent="0.25">
      <c r="A17251" t="s">
        <v>3296</v>
      </c>
      <c r="B17251" t="s">
        <v>2931</v>
      </c>
      <c r="C17251">
        <v>6362</v>
      </c>
      <c r="D17251" t="str">
        <f>"802504700   "</f>
        <v xml:space="preserve">802504700   </v>
      </c>
      <c r="E17251" t="s">
        <v>2826</v>
      </c>
      <c r="F17251" t="s">
        <v>2827</v>
      </c>
      <c r="G17251">
        <v>14.33</v>
      </c>
      <c r="H17251">
        <v>250430</v>
      </c>
      <c r="I17251">
        <v>4520</v>
      </c>
      <c r="J17251" t="s">
        <v>280</v>
      </c>
      <c r="K17251">
        <v>244.82</v>
      </c>
      <c r="L17251">
        <v>1.76</v>
      </c>
      <c r="M17251">
        <v>11951</v>
      </c>
      <c r="N17251" t="s">
        <v>428</v>
      </c>
      <c r="O17251">
        <v>250513</v>
      </c>
      <c r="P17251">
        <v>12.57</v>
      </c>
    </row>
    <row r="17252" spans="1:16" x14ac:dyDescent="0.25">
      <c r="A17252" t="s">
        <v>3296</v>
      </c>
      <c r="B17252" t="s">
        <v>2931</v>
      </c>
      <c r="C17252">
        <v>7798</v>
      </c>
      <c r="D17252" t="str">
        <f>"802999273   "</f>
        <v xml:space="preserve">802999273   </v>
      </c>
      <c r="E17252" t="s">
        <v>2826</v>
      </c>
      <c r="F17252" t="s">
        <v>2827</v>
      </c>
      <c r="G17252">
        <v>1.89</v>
      </c>
      <c r="H17252">
        <v>250531</v>
      </c>
      <c r="I17252">
        <v>4520</v>
      </c>
      <c r="J17252" t="s">
        <v>280</v>
      </c>
      <c r="K17252">
        <v>45.71</v>
      </c>
      <c r="L17252">
        <v>0.23</v>
      </c>
      <c r="M17252">
        <v>11901</v>
      </c>
      <c r="N17252" t="s">
        <v>31</v>
      </c>
      <c r="O17252">
        <v>250609</v>
      </c>
      <c r="P17252">
        <v>1.66</v>
      </c>
    </row>
    <row r="17253" spans="1:16" x14ac:dyDescent="0.25">
      <c r="A17253" t="s">
        <v>3296</v>
      </c>
      <c r="B17253" t="s">
        <v>2931</v>
      </c>
      <c r="C17253">
        <v>7814</v>
      </c>
      <c r="D17253" t="str">
        <f>"802999272   "</f>
        <v xml:space="preserve">802999272   </v>
      </c>
      <c r="E17253" t="s">
        <v>2826</v>
      </c>
      <c r="F17253" t="s">
        <v>2827</v>
      </c>
      <c r="G17253">
        <v>81.77</v>
      </c>
      <c r="H17253">
        <v>250531</v>
      </c>
      <c r="I17253">
        <v>4520</v>
      </c>
      <c r="J17253" t="s">
        <v>280</v>
      </c>
      <c r="K17253">
        <v>247.15</v>
      </c>
      <c r="L17253">
        <v>10.039999999999999</v>
      </c>
      <c r="M17253">
        <v>11301</v>
      </c>
      <c r="N17253" t="s">
        <v>92</v>
      </c>
      <c r="O17253">
        <v>250609</v>
      </c>
      <c r="P17253">
        <v>71.73</v>
      </c>
    </row>
    <row r="17254" spans="1:16" x14ac:dyDescent="0.25">
      <c r="A17254" t="s">
        <v>3296</v>
      </c>
      <c r="B17254" t="s">
        <v>2931</v>
      </c>
      <c r="C17254">
        <v>9311</v>
      </c>
      <c r="D17254" t="str">
        <f>"803813078   "</f>
        <v xml:space="preserve">803813078   </v>
      </c>
      <c r="E17254" t="s">
        <v>2826</v>
      </c>
      <c r="F17254" t="s">
        <v>2827</v>
      </c>
      <c r="G17254">
        <v>160.13999999999999</v>
      </c>
      <c r="H17254">
        <v>250630</v>
      </c>
      <c r="I17254">
        <v>4520</v>
      </c>
      <c r="J17254" t="s">
        <v>280</v>
      </c>
      <c r="K17254">
        <v>178.88</v>
      </c>
      <c r="L17254">
        <v>19.670000000000002</v>
      </c>
      <c r="M17254">
        <v>11605</v>
      </c>
      <c r="N17254" t="s">
        <v>1066</v>
      </c>
      <c r="O17254">
        <v>250703</v>
      </c>
      <c r="P17254">
        <v>140.47</v>
      </c>
    </row>
    <row r="17255" spans="1:16" x14ac:dyDescent="0.25">
      <c r="A17255" t="s">
        <v>3296</v>
      </c>
      <c r="B17255" t="s">
        <v>2931</v>
      </c>
      <c r="C17255">
        <v>9503</v>
      </c>
      <c r="D17255" t="str">
        <f>"803813075   "</f>
        <v xml:space="preserve">803813075   </v>
      </c>
      <c r="E17255" t="s">
        <v>2826</v>
      </c>
      <c r="F17255" t="s">
        <v>2827</v>
      </c>
      <c r="G17255">
        <v>14.36</v>
      </c>
      <c r="H17255">
        <v>250630</v>
      </c>
      <c r="I17255">
        <v>4520</v>
      </c>
      <c r="J17255" t="s">
        <v>280</v>
      </c>
      <c r="K17255">
        <v>457.83</v>
      </c>
      <c r="L17255">
        <v>0</v>
      </c>
      <c r="M17255">
        <v>11001</v>
      </c>
      <c r="N17255" t="s">
        <v>93</v>
      </c>
      <c r="O17255">
        <v>250709</v>
      </c>
      <c r="P17255">
        <v>14.36</v>
      </c>
    </row>
    <row r="17256" spans="1:16" x14ac:dyDescent="0.25">
      <c r="A17256" t="s">
        <v>3296</v>
      </c>
      <c r="B17256" t="s">
        <v>2931</v>
      </c>
      <c r="C17256">
        <v>13230</v>
      </c>
      <c r="D17256" t="str">
        <f>"806354213   "</f>
        <v xml:space="preserve">806354213   </v>
      </c>
      <c r="E17256" t="s">
        <v>2826</v>
      </c>
      <c r="F17256" t="s">
        <v>2827</v>
      </c>
      <c r="G17256">
        <v>2.4</v>
      </c>
      <c r="H17256">
        <v>250930</v>
      </c>
      <c r="I17256">
        <v>4520</v>
      </c>
      <c r="J17256" t="s">
        <v>280</v>
      </c>
      <c r="K17256">
        <v>11.6</v>
      </c>
      <c r="L17256">
        <v>0.49</v>
      </c>
      <c r="M17256">
        <v>13801</v>
      </c>
      <c r="N17256" t="s">
        <v>33</v>
      </c>
      <c r="O17256">
        <v>251007</v>
      </c>
      <c r="P17256">
        <v>1.91</v>
      </c>
    </row>
    <row r="17257" spans="1:16" x14ac:dyDescent="0.25">
      <c r="A17257" t="s">
        <v>3296</v>
      </c>
      <c r="B17257" t="s">
        <v>2931</v>
      </c>
      <c r="C17257">
        <v>13230</v>
      </c>
      <c r="D17257" t="str">
        <f>"806354213   "</f>
        <v xml:space="preserve">806354213   </v>
      </c>
      <c r="E17257" t="s">
        <v>2826</v>
      </c>
      <c r="F17257" t="s">
        <v>2827</v>
      </c>
      <c r="G17257">
        <v>9.1999999999999993</v>
      </c>
      <c r="H17257">
        <v>250930</v>
      </c>
      <c r="I17257">
        <v>4520</v>
      </c>
      <c r="J17257" t="s">
        <v>280</v>
      </c>
      <c r="K17257">
        <v>11.6</v>
      </c>
      <c r="L17257">
        <v>1.1299999999999999</v>
      </c>
      <c r="M17257">
        <v>13801</v>
      </c>
      <c r="N17257" t="s">
        <v>33</v>
      </c>
      <c r="O17257">
        <v>251007</v>
      </c>
      <c r="P17257">
        <v>8.07</v>
      </c>
    </row>
    <row r="17258" spans="1:16" x14ac:dyDescent="0.25">
      <c r="A17258" t="s">
        <v>3296</v>
      </c>
      <c r="B17258" t="s">
        <v>2931</v>
      </c>
      <c r="C17258">
        <v>16168</v>
      </c>
      <c r="D17258" t="str">
        <f>"808389228   "</f>
        <v xml:space="preserve">808389228   </v>
      </c>
      <c r="E17258" t="s">
        <v>2826</v>
      </c>
      <c r="F17258" t="s">
        <v>2827</v>
      </c>
      <c r="G17258">
        <v>94.75</v>
      </c>
      <c r="H17258">
        <v>251130</v>
      </c>
      <c r="I17258">
        <v>4520</v>
      </c>
      <c r="J17258" t="s">
        <v>280</v>
      </c>
      <c r="K17258">
        <v>242.75</v>
      </c>
      <c r="L17258">
        <v>0</v>
      </c>
      <c r="M17258">
        <v>11901</v>
      </c>
      <c r="N17258" t="s">
        <v>31</v>
      </c>
      <c r="O17258">
        <v>251204</v>
      </c>
      <c r="P17258">
        <v>94.75</v>
      </c>
    </row>
    <row r="17259" spans="1:16" x14ac:dyDescent="0.25">
      <c r="A17259" t="s">
        <v>3296</v>
      </c>
      <c r="B17259" t="s">
        <v>2931</v>
      </c>
      <c r="C17259">
        <v>16540</v>
      </c>
      <c r="D17259" t="str">
        <f>"808389225   "</f>
        <v xml:space="preserve">808389225   </v>
      </c>
      <c r="E17259" t="s">
        <v>2826</v>
      </c>
      <c r="F17259" t="s">
        <v>2827</v>
      </c>
      <c r="G17259">
        <v>20.399999999999999</v>
      </c>
      <c r="H17259">
        <v>251130</v>
      </c>
      <c r="I17259">
        <v>4520</v>
      </c>
      <c r="J17259" t="s">
        <v>280</v>
      </c>
      <c r="K17259">
        <v>1201.3399999999999</v>
      </c>
      <c r="L17259">
        <v>2.5099999999999998</v>
      </c>
      <c r="M17259">
        <v>11902</v>
      </c>
      <c r="N17259" t="s">
        <v>329</v>
      </c>
      <c r="O17259">
        <v>251209</v>
      </c>
      <c r="P17259">
        <v>17.89</v>
      </c>
    </row>
    <row r="17260" spans="1:16" x14ac:dyDescent="0.25">
      <c r="A17260" t="s">
        <v>3296</v>
      </c>
      <c r="B17260" t="s">
        <v>2931</v>
      </c>
      <c r="C17260">
        <v>16643</v>
      </c>
      <c r="D17260" t="str">
        <f>"808389236   "</f>
        <v xml:space="preserve">808389236   </v>
      </c>
      <c r="E17260" t="s">
        <v>2826</v>
      </c>
      <c r="F17260" t="s">
        <v>2827</v>
      </c>
      <c r="G17260">
        <v>10.87</v>
      </c>
      <c r="H17260">
        <v>251130</v>
      </c>
      <c r="I17260">
        <v>4520</v>
      </c>
      <c r="J17260" t="s">
        <v>280</v>
      </c>
      <c r="K17260">
        <v>38.75</v>
      </c>
      <c r="L17260">
        <v>2.21</v>
      </c>
      <c r="M17260">
        <v>47522</v>
      </c>
      <c r="N17260" t="s">
        <v>106</v>
      </c>
      <c r="O17260">
        <v>251211</v>
      </c>
      <c r="P17260">
        <v>8.66</v>
      </c>
    </row>
    <row r="17261" spans="1:16" x14ac:dyDescent="0.25">
      <c r="A17261" t="s">
        <v>3296</v>
      </c>
      <c r="B17261" t="s">
        <v>2931</v>
      </c>
      <c r="C17261">
        <v>16643</v>
      </c>
      <c r="D17261" t="str">
        <f>"808389236   "</f>
        <v xml:space="preserve">808389236   </v>
      </c>
      <c r="E17261" t="s">
        <v>2826</v>
      </c>
      <c r="F17261" t="s">
        <v>2827</v>
      </c>
      <c r="G17261">
        <v>27.88</v>
      </c>
      <c r="H17261">
        <v>251130</v>
      </c>
      <c r="I17261">
        <v>4520</v>
      </c>
      <c r="J17261" t="s">
        <v>280</v>
      </c>
      <c r="K17261">
        <v>38.75</v>
      </c>
      <c r="L17261">
        <v>3.42</v>
      </c>
      <c r="M17261">
        <v>47522</v>
      </c>
      <c r="N17261" t="s">
        <v>106</v>
      </c>
      <c r="O17261">
        <v>251211</v>
      </c>
      <c r="P17261">
        <v>24.46</v>
      </c>
    </row>
    <row r="17262" spans="1:16" x14ac:dyDescent="0.25">
      <c r="A17262" t="s">
        <v>3296</v>
      </c>
      <c r="B17262" t="s">
        <v>2931</v>
      </c>
      <c r="C17262">
        <v>18155</v>
      </c>
      <c r="D17262" t="str">
        <f>"809024738   "</f>
        <v xml:space="preserve">809024738   </v>
      </c>
      <c r="E17262" t="s">
        <v>2826</v>
      </c>
      <c r="F17262" t="s">
        <v>2827</v>
      </c>
      <c r="G17262">
        <v>122.9</v>
      </c>
      <c r="H17262">
        <v>251231</v>
      </c>
      <c r="I17262">
        <v>4520</v>
      </c>
      <c r="J17262" t="s">
        <v>280</v>
      </c>
      <c r="K17262">
        <v>144.32</v>
      </c>
      <c r="L17262">
        <v>15.09</v>
      </c>
      <c r="M17262">
        <v>11605</v>
      </c>
      <c r="N17262" t="s">
        <v>1066</v>
      </c>
      <c r="O17262">
        <v>260109</v>
      </c>
      <c r="P17262">
        <v>107.81</v>
      </c>
    </row>
    <row r="17263" spans="1:16" x14ac:dyDescent="0.25">
      <c r="A17263" t="s">
        <v>3296</v>
      </c>
      <c r="B17263" t="s">
        <v>2931</v>
      </c>
      <c r="C17263">
        <v>11888</v>
      </c>
      <c r="D17263" t="str">
        <f>"804895999   "</f>
        <v xml:space="preserve">804895999   </v>
      </c>
      <c r="E17263" t="s">
        <v>2826</v>
      </c>
      <c r="F17263" t="s">
        <v>2827</v>
      </c>
      <c r="G17263">
        <v>133.72999999999999</v>
      </c>
      <c r="H17263">
        <v>250831</v>
      </c>
      <c r="I17263">
        <v>4530</v>
      </c>
      <c r="J17263" t="s">
        <v>293</v>
      </c>
      <c r="K17263">
        <v>228.73</v>
      </c>
      <c r="L17263">
        <v>0</v>
      </c>
      <c r="M17263">
        <v>13601</v>
      </c>
      <c r="N17263" t="s">
        <v>115</v>
      </c>
      <c r="O17263">
        <v>250912</v>
      </c>
      <c r="P17263">
        <v>133.72999999999999</v>
      </c>
    </row>
    <row r="17264" spans="1:16" x14ac:dyDescent="0.25">
      <c r="A17264" t="s">
        <v>3296</v>
      </c>
      <c r="B17264" t="s">
        <v>2931</v>
      </c>
      <c r="C17264">
        <v>10298</v>
      </c>
      <c r="D17264" t="str">
        <f>"804409687   "</f>
        <v xml:space="preserve">804409687   </v>
      </c>
      <c r="E17264" t="s">
        <v>2826</v>
      </c>
      <c r="F17264" t="s">
        <v>2827</v>
      </c>
      <c r="G17264">
        <v>19.899999999999999</v>
      </c>
      <c r="H17264">
        <v>250731</v>
      </c>
      <c r="I17264">
        <v>4550</v>
      </c>
      <c r="J17264" t="s">
        <v>226</v>
      </c>
      <c r="K17264">
        <v>166.6</v>
      </c>
      <c r="L17264">
        <v>0</v>
      </c>
      <c r="M17264">
        <v>11001</v>
      </c>
      <c r="N17264" t="s">
        <v>93</v>
      </c>
      <c r="O17264">
        <v>250814</v>
      </c>
      <c r="P17264">
        <v>19.899999999999999</v>
      </c>
    </row>
    <row r="17265" spans="1:16" x14ac:dyDescent="0.25">
      <c r="A17265" t="s">
        <v>3296</v>
      </c>
      <c r="B17265" t="s">
        <v>2931</v>
      </c>
      <c r="C17265">
        <v>1140</v>
      </c>
      <c r="D17265" t="str">
        <f>"801038133   "</f>
        <v xml:space="preserve">801038133   </v>
      </c>
      <c r="E17265" t="s">
        <v>2826</v>
      </c>
      <c r="F17265" t="s">
        <v>2827</v>
      </c>
      <c r="G17265">
        <v>687.4</v>
      </c>
      <c r="H17265">
        <v>250131</v>
      </c>
      <c r="I17265">
        <v>4560</v>
      </c>
      <c r="J17265" t="s">
        <v>390</v>
      </c>
      <c r="K17265">
        <v>687.4</v>
      </c>
      <c r="L17265">
        <v>139.66999999999999</v>
      </c>
      <c r="M17265">
        <v>47522</v>
      </c>
      <c r="N17265" t="s">
        <v>106</v>
      </c>
      <c r="O17265">
        <v>250205</v>
      </c>
      <c r="P17265">
        <v>547.73</v>
      </c>
    </row>
    <row r="17266" spans="1:16" x14ac:dyDescent="0.25">
      <c r="A17266" t="s">
        <v>3296</v>
      </c>
      <c r="B17266" t="s">
        <v>2931</v>
      </c>
      <c r="C17266">
        <v>6655</v>
      </c>
      <c r="D17266" t="str">
        <f>"802504711   "</f>
        <v xml:space="preserve">802504711   </v>
      </c>
      <c r="E17266" t="s">
        <v>2826</v>
      </c>
      <c r="F17266" t="s">
        <v>2827</v>
      </c>
      <c r="G17266">
        <v>26.99</v>
      </c>
      <c r="H17266">
        <v>250430</v>
      </c>
      <c r="I17266">
        <v>4560</v>
      </c>
      <c r="J17266" t="s">
        <v>390</v>
      </c>
      <c r="K17266">
        <v>64.489999999999995</v>
      </c>
      <c r="L17266">
        <v>5.48</v>
      </c>
      <c r="M17266">
        <v>47522</v>
      </c>
      <c r="N17266" t="s">
        <v>106</v>
      </c>
      <c r="O17266">
        <v>250515</v>
      </c>
      <c r="P17266">
        <v>21.51</v>
      </c>
    </row>
    <row r="17267" spans="1:16" x14ac:dyDescent="0.25">
      <c r="A17267" t="s">
        <v>3296</v>
      </c>
      <c r="B17267" t="s">
        <v>2931</v>
      </c>
      <c r="C17267">
        <v>13606</v>
      </c>
      <c r="D17267" t="str">
        <f>"806354215   "</f>
        <v xml:space="preserve">806354215   </v>
      </c>
      <c r="E17267" t="s">
        <v>2826</v>
      </c>
      <c r="F17267" t="s">
        <v>2827</v>
      </c>
      <c r="G17267">
        <v>26.16</v>
      </c>
      <c r="H17267">
        <v>250930</v>
      </c>
      <c r="I17267">
        <v>4560</v>
      </c>
      <c r="J17267" t="s">
        <v>390</v>
      </c>
      <c r="K17267">
        <v>226.09</v>
      </c>
      <c r="L17267">
        <v>5.32</v>
      </c>
      <c r="M17267">
        <v>49702</v>
      </c>
      <c r="N17267" t="s">
        <v>112</v>
      </c>
      <c r="O17267">
        <v>251013</v>
      </c>
      <c r="P17267">
        <v>20.84</v>
      </c>
    </row>
    <row r="17268" spans="1:16" x14ac:dyDescent="0.25">
      <c r="A17268" t="s">
        <v>3296</v>
      </c>
      <c r="B17268" t="s">
        <v>2931</v>
      </c>
      <c r="C17268">
        <v>1712</v>
      </c>
      <c r="D17268" t="str">
        <f>"801038123   "</f>
        <v xml:space="preserve">801038123   </v>
      </c>
      <c r="E17268" t="s">
        <v>2826</v>
      </c>
      <c r="F17268" t="s">
        <v>2827</v>
      </c>
      <c r="G17268">
        <v>3.98</v>
      </c>
      <c r="H17268">
        <v>250131</v>
      </c>
      <c r="I17268">
        <v>4572</v>
      </c>
      <c r="J17268" t="s">
        <v>173</v>
      </c>
      <c r="K17268">
        <v>90.83</v>
      </c>
      <c r="L17268">
        <v>0</v>
      </c>
      <c r="M17268">
        <v>11001</v>
      </c>
      <c r="N17268" t="s">
        <v>93</v>
      </c>
      <c r="O17268">
        <v>250213</v>
      </c>
      <c r="P17268">
        <v>3.98</v>
      </c>
    </row>
    <row r="17269" spans="1:16" x14ac:dyDescent="0.25">
      <c r="A17269" t="s">
        <v>3296</v>
      </c>
      <c r="B17269" t="s">
        <v>2931</v>
      </c>
      <c r="C17269">
        <v>1712</v>
      </c>
      <c r="D17269" t="str">
        <f>"801038123   "</f>
        <v xml:space="preserve">801038123   </v>
      </c>
      <c r="E17269" t="s">
        <v>2826</v>
      </c>
      <c r="F17269" t="s">
        <v>2827</v>
      </c>
      <c r="G17269">
        <v>34.93</v>
      </c>
      <c r="H17269">
        <v>250131</v>
      </c>
      <c r="I17269">
        <v>4572</v>
      </c>
      <c r="J17269" t="s">
        <v>173</v>
      </c>
      <c r="K17269">
        <v>90.83</v>
      </c>
      <c r="L17269">
        <v>0</v>
      </c>
      <c r="M17269">
        <v>11001</v>
      </c>
      <c r="N17269" t="s">
        <v>93</v>
      </c>
      <c r="O17269">
        <v>250213</v>
      </c>
      <c r="P17269">
        <v>34.93</v>
      </c>
    </row>
    <row r="17270" spans="1:16" x14ac:dyDescent="0.25">
      <c r="A17270" t="s">
        <v>3296</v>
      </c>
      <c r="B17270" t="s">
        <v>2931</v>
      </c>
      <c r="C17270">
        <v>2715</v>
      </c>
      <c r="D17270" t="str">
        <f>"801515267   "</f>
        <v xml:space="preserve">801515267   </v>
      </c>
      <c r="E17270" t="s">
        <v>2826</v>
      </c>
      <c r="F17270" t="s">
        <v>2827</v>
      </c>
      <c r="G17270">
        <v>3.98</v>
      </c>
      <c r="H17270">
        <v>250228</v>
      </c>
      <c r="I17270">
        <v>4572</v>
      </c>
      <c r="J17270" t="s">
        <v>173</v>
      </c>
      <c r="K17270">
        <v>72.92</v>
      </c>
      <c r="L17270">
        <v>0</v>
      </c>
      <c r="M17270">
        <v>11001</v>
      </c>
      <c r="N17270" t="s">
        <v>93</v>
      </c>
      <c r="O17270">
        <v>250311</v>
      </c>
      <c r="P17270">
        <v>3.98</v>
      </c>
    </row>
    <row r="17271" spans="1:16" x14ac:dyDescent="0.25">
      <c r="A17271" t="s">
        <v>3296</v>
      </c>
      <c r="B17271" t="s">
        <v>2931</v>
      </c>
      <c r="C17271">
        <v>2715</v>
      </c>
      <c r="D17271" t="str">
        <f>"801515267   "</f>
        <v xml:space="preserve">801515267   </v>
      </c>
      <c r="E17271" t="s">
        <v>2826</v>
      </c>
      <c r="F17271" t="s">
        <v>2827</v>
      </c>
      <c r="G17271">
        <v>40.57</v>
      </c>
      <c r="H17271">
        <v>250228</v>
      </c>
      <c r="I17271">
        <v>4572</v>
      </c>
      <c r="J17271" t="s">
        <v>173</v>
      </c>
      <c r="K17271">
        <v>72.92</v>
      </c>
      <c r="L17271">
        <v>0</v>
      </c>
      <c r="M17271">
        <v>11001</v>
      </c>
      <c r="N17271" t="s">
        <v>93</v>
      </c>
      <c r="O17271">
        <v>250311</v>
      </c>
      <c r="P17271">
        <v>40.57</v>
      </c>
    </row>
    <row r="17272" spans="1:16" x14ac:dyDescent="0.25">
      <c r="A17272" t="s">
        <v>3296</v>
      </c>
      <c r="B17272" t="s">
        <v>2931</v>
      </c>
      <c r="C17272">
        <v>4386</v>
      </c>
      <c r="D17272" t="str">
        <f>"802023929   "</f>
        <v xml:space="preserve">802023929   </v>
      </c>
      <c r="E17272" t="s">
        <v>2826</v>
      </c>
      <c r="F17272" t="s">
        <v>2827</v>
      </c>
      <c r="G17272">
        <v>3.98</v>
      </c>
      <c r="H17272">
        <v>250331</v>
      </c>
      <c r="I17272">
        <v>4572</v>
      </c>
      <c r="J17272" t="s">
        <v>173</v>
      </c>
      <c r="K17272">
        <v>743.76</v>
      </c>
      <c r="L17272">
        <v>0</v>
      </c>
      <c r="M17272">
        <v>11001</v>
      </c>
      <c r="N17272" t="s">
        <v>93</v>
      </c>
      <c r="O17272">
        <v>250411</v>
      </c>
      <c r="P17272">
        <v>3.98</v>
      </c>
    </row>
    <row r="17273" spans="1:16" x14ac:dyDescent="0.25">
      <c r="A17273" t="s">
        <v>3296</v>
      </c>
      <c r="B17273" t="s">
        <v>2931</v>
      </c>
      <c r="C17273">
        <v>4386</v>
      </c>
      <c r="D17273" t="str">
        <f>"802023929   "</f>
        <v xml:space="preserve">802023929   </v>
      </c>
      <c r="E17273" t="s">
        <v>2826</v>
      </c>
      <c r="F17273" t="s">
        <v>2827</v>
      </c>
      <c r="G17273">
        <v>32.85</v>
      </c>
      <c r="H17273">
        <v>250331</v>
      </c>
      <c r="I17273">
        <v>4572</v>
      </c>
      <c r="J17273" t="s">
        <v>173</v>
      </c>
      <c r="K17273">
        <v>743.76</v>
      </c>
      <c r="L17273">
        <v>0</v>
      </c>
      <c r="M17273">
        <v>11001</v>
      </c>
      <c r="N17273" t="s">
        <v>93</v>
      </c>
      <c r="O17273">
        <v>250411</v>
      </c>
      <c r="P17273">
        <v>32.85</v>
      </c>
    </row>
    <row r="17274" spans="1:16" x14ac:dyDescent="0.25">
      <c r="A17274" t="s">
        <v>3296</v>
      </c>
      <c r="B17274" t="s">
        <v>2931</v>
      </c>
      <c r="C17274">
        <v>6099</v>
      </c>
      <c r="D17274" t="str">
        <f>"802504699   "</f>
        <v xml:space="preserve">802504699   </v>
      </c>
      <c r="E17274" t="s">
        <v>2826</v>
      </c>
      <c r="F17274" t="s">
        <v>2827</v>
      </c>
      <c r="G17274">
        <v>3.98</v>
      </c>
      <c r="H17274">
        <v>250430</v>
      </c>
      <c r="I17274">
        <v>4572</v>
      </c>
      <c r="J17274" t="s">
        <v>173</v>
      </c>
      <c r="K17274">
        <v>135.69999999999999</v>
      </c>
      <c r="L17274">
        <v>0</v>
      </c>
      <c r="M17274">
        <v>11001</v>
      </c>
      <c r="N17274" t="s">
        <v>93</v>
      </c>
      <c r="O17274">
        <v>250509</v>
      </c>
      <c r="P17274">
        <v>3.98</v>
      </c>
    </row>
    <row r="17275" spans="1:16" x14ac:dyDescent="0.25">
      <c r="A17275" t="s">
        <v>3296</v>
      </c>
      <c r="B17275" t="s">
        <v>2931</v>
      </c>
      <c r="C17275">
        <v>6099</v>
      </c>
      <c r="D17275" t="str">
        <f>"802504699   "</f>
        <v xml:space="preserve">802504699   </v>
      </c>
      <c r="E17275" t="s">
        <v>2826</v>
      </c>
      <c r="F17275" t="s">
        <v>2827</v>
      </c>
      <c r="G17275">
        <v>44.09</v>
      </c>
      <c r="H17275">
        <v>250430</v>
      </c>
      <c r="I17275">
        <v>4572</v>
      </c>
      <c r="J17275" t="s">
        <v>173</v>
      </c>
      <c r="K17275">
        <v>135.69999999999999</v>
      </c>
      <c r="L17275">
        <v>0</v>
      </c>
      <c r="M17275">
        <v>11001</v>
      </c>
      <c r="N17275" t="s">
        <v>93</v>
      </c>
      <c r="O17275">
        <v>250509</v>
      </c>
      <c r="P17275">
        <v>44.09</v>
      </c>
    </row>
    <row r="17276" spans="1:16" x14ac:dyDescent="0.25">
      <c r="A17276" t="s">
        <v>3296</v>
      </c>
      <c r="B17276" t="s">
        <v>2931</v>
      </c>
      <c r="C17276">
        <v>7869</v>
      </c>
      <c r="D17276" t="str">
        <f>"802999269   "</f>
        <v xml:space="preserve">802999269   </v>
      </c>
      <c r="E17276" t="s">
        <v>2826</v>
      </c>
      <c r="F17276" t="s">
        <v>2827</v>
      </c>
      <c r="G17276">
        <v>3.98</v>
      </c>
      <c r="H17276">
        <v>250531</v>
      </c>
      <c r="I17276">
        <v>4572</v>
      </c>
      <c r="J17276" t="s">
        <v>173</v>
      </c>
      <c r="K17276">
        <v>64.97</v>
      </c>
      <c r="L17276">
        <v>0</v>
      </c>
      <c r="M17276">
        <v>11001</v>
      </c>
      <c r="N17276" t="s">
        <v>93</v>
      </c>
      <c r="O17276">
        <v>250610</v>
      </c>
      <c r="P17276">
        <v>3.98</v>
      </c>
    </row>
    <row r="17277" spans="1:16" x14ac:dyDescent="0.25">
      <c r="A17277" t="s">
        <v>3296</v>
      </c>
      <c r="B17277" t="s">
        <v>2931</v>
      </c>
      <c r="C17277">
        <v>7869</v>
      </c>
      <c r="D17277" t="str">
        <f>"802999269   "</f>
        <v xml:space="preserve">802999269   </v>
      </c>
      <c r="E17277" t="s">
        <v>2826</v>
      </c>
      <c r="F17277" t="s">
        <v>2827</v>
      </c>
      <c r="G17277">
        <v>17.149999999999999</v>
      </c>
      <c r="H17277">
        <v>250531</v>
      </c>
      <c r="I17277">
        <v>4572</v>
      </c>
      <c r="J17277" t="s">
        <v>173</v>
      </c>
      <c r="K17277">
        <v>64.97</v>
      </c>
      <c r="L17277">
        <v>0</v>
      </c>
      <c r="M17277">
        <v>11001</v>
      </c>
      <c r="N17277" t="s">
        <v>93</v>
      </c>
      <c r="O17277">
        <v>250610</v>
      </c>
      <c r="P17277">
        <v>17.149999999999999</v>
      </c>
    </row>
    <row r="17278" spans="1:16" x14ac:dyDescent="0.25">
      <c r="A17278" t="s">
        <v>3296</v>
      </c>
      <c r="B17278" t="s">
        <v>2931</v>
      </c>
      <c r="C17278">
        <v>9503</v>
      </c>
      <c r="D17278" t="str">
        <f>"803813075   "</f>
        <v xml:space="preserve">803813075   </v>
      </c>
      <c r="E17278" t="s">
        <v>2826</v>
      </c>
      <c r="F17278" t="s">
        <v>2827</v>
      </c>
      <c r="G17278">
        <v>3.21</v>
      </c>
      <c r="H17278">
        <v>250630</v>
      </c>
      <c r="I17278">
        <v>4572</v>
      </c>
      <c r="J17278" t="s">
        <v>173</v>
      </c>
      <c r="K17278">
        <v>457.83</v>
      </c>
      <c r="L17278">
        <v>0</v>
      </c>
      <c r="M17278">
        <v>11001</v>
      </c>
      <c r="N17278" t="s">
        <v>93</v>
      </c>
      <c r="O17278">
        <v>250709</v>
      </c>
      <c r="P17278">
        <v>3.21</v>
      </c>
    </row>
    <row r="17279" spans="1:16" x14ac:dyDescent="0.25">
      <c r="A17279" t="s">
        <v>3296</v>
      </c>
      <c r="B17279" t="s">
        <v>2931</v>
      </c>
      <c r="C17279">
        <v>9503</v>
      </c>
      <c r="D17279" t="str">
        <f>"803813075   "</f>
        <v xml:space="preserve">803813075   </v>
      </c>
      <c r="E17279" t="s">
        <v>2826</v>
      </c>
      <c r="F17279" t="s">
        <v>2827</v>
      </c>
      <c r="G17279">
        <v>42.89</v>
      </c>
      <c r="H17279">
        <v>250630</v>
      </c>
      <c r="I17279">
        <v>4572</v>
      </c>
      <c r="J17279" t="s">
        <v>173</v>
      </c>
      <c r="K17279">
        <v>457.83</v>
      </c>
      <c r="L17279">
        <v>0</v>
      </c>
      <c r="M17279">
        <v>11001</v>
      </c>
      <c r="N17279" t="s">
        <v>93</v>
      </c>
      <c r="O17279">
        <v>250709</v>
      </c>
      <c r="P17279">
        <v>42.89</v>
      </c>
    </row>
    <row r="17280" spans="1:16" x14ac:dyDescent="0.25">
      <c r="A17280" t="s">
        <v>3296</v>
      </c>
      <c r="B17280" t="s">
        <v>2931</v>
      </c>
      <c r="C17280">
        <v>10298</v>
      </c>
      <c r="D17280" t="str">
        <f>"804409687   "</f>
        <v xml:space="preserve">804409687   </v>
      </c>
      <c r="E17280" t="s">
        <v>2826</v>
      </c>
      <c r="F17280" t="s">
        <v>2827</v>
      </c>
      <c r="G17280">
        <v>34.17</v>
      </c>
      <c r="H17280">
        <v>250731</v>
      </c>
      <c r="I17280">
        <v>4572</v>
      </c>
      <c r="J17280" t="s">
        <v>173</v>
      </c>
      <c r="K17280">
        <v>166.6</v>
      </c>
      <c r="L17280">
        <v>0</v>
      </c>
      <c r="M17280">
        <v>11001</v>
      </c>
      <c r="N17280" t="s">
        <v>93</v>
      </c>
      <c r="O17280">
        <v>250814</v>
      </c>
      <c r="P17280">
        <v>34.17</v>
      </c>
    </row>
    <row r="17281" spans="1:16" x14ac:dyDescent="0.25">
      <c r="A17281" t="s">
        <v>3296</v>
      </c>
      <c r="B17281" t="s">
        <v>2931</v>
      </c>
      <c r="C17281">
        <v>11575</v>
      </c>
      <c r="D17281" t="str">
        <f>"804895989   "</f>
        <v xml:space="preserve">804895989   </v>
      </c>
      <c r="E17281" t="s">
        <v>2826</v>
      </c>
      <c r="F17281" t="s">
        <v>2827</v>
      </c>
      <c r="G17281">
        <v>3.51</v>
      </c>
      <c r="H17281">
        <v>250831</v>
      </c>
      <c r="I17281">
        <v>4572</v>
      </c>
      <c r="J17281" t="s">
        <v>173</v>
      </c>
      <c r="K17281">
        <v>228.37</v>
      </c>
      <c r="L17281">
        <v>0</v>
      </c>
      <c r="M17281">
        <v>11001</v>
      </c>
      <c r="N17281" t="s">
        <v>93</v>
      </c>
      <c r="O17281">
        <v>250909</v>
      </c>
      <c r="P17281">
        <v>3.51</v>
      </c>
    </row>
    <row r="17282" spans="1:16" x14ac:dyDescent="0.25">
      <c r="A17282" t="s">
        <v>3296</v>
      </c>
      <c r="B17282" t="s">
        <v>2931</v>
      </c>
      <c r="C17282">
        <v>13334</v>
      </c>
      <c r="D17282" t="str">
        <f>"806354203   "</f>
        <v xml:space="preserve">806354203   </v>
      </c>
      <c r="E17282" t="s">
        <v>2826</v>
      </c>
      <c r="F17282" t="s">
        <v>2827</v>
      </c>
      <c r="G17282">
        <v>16.55</v>
      </c>
      <c r="H17282">
        <v>250930</v>
      </c>
      <c r="I17282">
        <v>4572</v>
      </c>
      <c r="J17282" t="s">
        <v>173</v>
      </c>
      <c r="K17282">
        <v>198.74</v>
      </c>
      <c r="L17282">
        <v>0</v>
      </c>
      <c r="M17282">
        <v>11001</v>
      </c>
      <c r="N17282" t="s">
        <v>93</v>
      </c>
      <c r="O17282">
        <v>251008</v>
      </c>
      <c r="P17282">
        <v>16.55</v>
      </c>
    </row>
    <row r="17283" spans="1:16" x14ac:dyDescent="0.25">
      <c r="A17283" t="s">
        <v>3296</v>
      </c>
      <c r="B17283" t="s">
        <v>2931</v>
      </c>
      <c r="C17283">
        <v>14630</v>
      </c>
      <c r="D17283" t="str">
        <f>"807713342   "</f>
        <v xml:space="preserve">807713342   </v>
      </c>
      <c r="E17283" t="s">
        <v>2826</v>
      </c>
      <c r="F17283" t="s">
        <v>2827</v>
      </c>
      <c r="G17283">
        <v>16.91</v>
      </c>
      <c r="H17283">
        <v>251031</v>
      </c>
      <c r="I17283">
        <v>4572</v>
      </c>
      <c r="J17283" t="s">
        <v>173</v>
      </c>
      <c r="K17283">
        <v>230.5</v>
      </c>
      <c r="L17283">
        <v>0</v>
      </c>
      <c r="M17283">
        <v>11001</v>
      </c>
      <c r="N17283" t="s">
        <v>93</v>
      </c>
      <c r="O17283">
        <v>251105</v>
      </c>
      <c r="P17283">
        <v>16.91</v>
      </c>
    </row>
    <row r="17284" spans="1:16" x14ac:dyDescent="0.25">
      <c r="A17284" t="s">
        <v>3296</v>
      </c>
      <c r="B17284" t="s">
        <v>2931</v>
      </c>
      <c r="C17284">
        <v>16158</v>
      </c>
      <c r="D17284" t="str">
        <f>"808389224   "</f>
        <v xml:space="preserve">808389224   </v>
      </c>
      <c r="E17284" t="s">
        <v>2826</v>
      </c>
      <c r="F17284" t="s">
        <v>2827</v>
      </c>
      <c r="G17284">
        <v>28.06</v>
      </c>
      <c r="H17284">
        <v>251130</v>
      </c>
      <c r="I17284">
        <v>4572</v>
      </c>
      <c r="J17284" t="s">
        <v>173</v>
      </c>
      <c r="K17284">
        <v>144.26</v>
      </c>
      <c r="L17284">
        <v>0</v>
      </c>
      <c r="M17284">
        <v>11001</v>
      </c>
      <c r="N17284" t="s">
        <v>93</v>
      </c>
      <c r="O17284">
        <v>251204</v>
      </c>
      <c r="P17284">
        <v>28.06</v>
      </c>
    </row>
    <row r="17285" spans="1:16" x14ac:dyDescent="0.25">
      <c r="A17285" t="s">
        <v>3296</v>
      </c>
      <c r="B17285" t="s">
        <v>2931</v>
      </c>
      <c r="C17285">
        <v>18002</v>
      </c>
      <c r="D17285" t="str">
        <f>"809024735   "</f>
        <v xml:space="preserve">809024735   </v>
      </c>
      <c r="E17285" t="s">
        <v>2826</v>
      </c>
      <c r="F17285" t="s">
        <v>2827</v>
      </c>
      <c r="G17285">
        <v>73.44</v>
      </c>
      <c r="H17285">
        <v>251231</v>
      </c>
      <c r="I17285">
        <v>4572</v>
      </c>
      <c r="J17285" t="s">
        <v>173</v>
      </c>
      <c r="K17285">
        <v>185.77</v>
      </c>
      <c r="L17285">
        <v>0</v>
      </c>
      <c r="M17285">
        <v>11001</v>
      </c>
      <c r="N17285" t="s">
        <v>93</v>
      </c>
      <c r="O17285">
        <v>260108</v>
      </c>
      <c r="P17285">
        <v>73.44</v>
      </c>
    </row>
    <row r="17286" spans="1:16" x14ac:dyDescent="0.25">
      <c r="A17286" t="s">
        <v>3296</v>
      </c>
      <c r="B17286" t="s">
        <v>2931</v>
      </c>
      <c r="C17286">
        <v>2831</v>
      </c>
      <c r="D17286" t="str">
        <f>"801515277   "</f>
        <v xml:space="preserve">801515277   </v>
      </c>
      <c r="E17286" t="s">
        <v>2826</v>
      </c>
      <c r="F17286" t="s">
        <v>2827</v>
      </c>
      <c r="G17286">
        <v>748.68</v>
      </c>
      <c r="H17286">
        <v>250228</v>
      </c>
      <c r="I17286">
        <v>4580</v>
      </c>
      <c r="J17286" t="s">
        <v>126</v>
      </c>
      <c r="K17286">
        <v>5347.01</v>
      </c>
      <c r="L17286">
        <v>152.12</v>
      </c>
      <c r="M17286">
        <v>11301</v>
      </c>
      <c r="N17286" t="s">
        <v>92</v>
      </c>
      <c r="O17286">
        <v>250312</v>
      </c>
      <c r="P17286">
        <v>596.55999999999995</v>
      </c>
    </row>
    <row r="17287" spans="1:16" x14ac:dyDescent="0.25">
      <c r="A17287" t="s">
        <v>3296</v>
      </c>
      <c r="B17287" t="s">
        <v>2931</v>
      </c>
      <c r="C17287">
        <v>4526</v>
      </c>
      <c r="D17287" t="str">
        <f>"802023939   "</f>
        <v xml:space="preserve">802023939   </v>
      </c>
      <c r="E17287" t="s">
        <v>2826</v>
      </c>
      <c r="F17287" t="s">
        <v>2827</v>
      </c>
      <c r="G17287">
        <v>349</v>
      </c>
      <c r="H17287">
        <v>250331</v>
      </c>
      <c r="I17287">
        <v>4580</v>
      </c>
      <c r="J17287" t="s">
        <v>126</v>
      </c>
      <c r="K17287">
        <v>905.97</v>
      </c>
      <c r="L17287">
        <v>0</v>
      </c>
      <c r="M17287">
        <v>13901</v>
      </c>
      <c r="N17287" t="s">
        <v>116</v>
      </c>
      <c r="O17287">
        <v>250414</v>
      </c>
      <c r="P17287">
        <v>349</v>
      </c>
    </row>
    <row r="17288" spans="1:16" x14ac:dyDescent="0.25">
      <c r="A17288" t="s">
        <v>3296</v>
      </c>
      <c r="B17288" t="s">
        <v>2931</v>
      </c>
      <c r="C17288">
        <v>7792</v>
      </c>
      <c r="D17288" t="str">
        <f>"802999274   "</f>
        <v xml:space="preserve">802999274   </v>
      </c>
      <c r="E17288" t="s">
        <v>2826</v>
      </c>
      <c r="F17288" t="s">
        <v>2827</v>
      </c>
      <c r="G17288">
        <v>401.8</v>
      </c>
      <c r="H17288">
        <v>250531</v>
      </c>
      <c r="I17288">
        <v>4580</v>
      </c>
      <c r="J17288" t="s">
        <v>126</v>
      </c>
      <c r="K17288">
        <v>986.66</v>
      </c>
      <c r="L17288">
        <v>81.64</v>
      </c>
      <c r="M17288">
        <v>11001</v>
      </c>
      <c r="N17288" t="s">
        <v>93</v>
      </c>
      <c r="O17288">
        <v>250609</v>
      </c>
      <c r="P17288">
        <v>320.16000000000003</v>
      </c>
    </row>
    <row r="17289" spans="1:16" x14ac:dyDescent="0.25">
      <c r="A17289" t="s">
        <v>3296</v>
      </c>
      <c r="B17289" t="s">
        <v>2931</v>
      </c>
      <c r="C17289">
        <v>7792</v>
      </c>
      <c r="D17289" t="str">
        <f>"802999274   "</f>
        <v xml:space="preserve">802999274   </v>
      </c>
      <c r="E17289" t="s">
        <v>2826</v>
      </c>
      <c r="F17289" t="s">
        <v>2827</v>
      </c>
      <c r="G17289">
        <v>401.8</v>
      </c>
      <c r="H17289">
        <v>250531</v>
      </c>
      <c r="I17289">
        <v>4580</v>
      </c>
      <c r="J17289" t="s">
        <v>126</v>
      </c>
      <c r="K17289">
        <v>986.66</v>
      </c>
      <c r="L17289">
        <v>81.64</v>
      </c>
      <c r="M17289">
        <v>11801</v>
      </c>
      <c r="N17289" t="s">
        <v>40</v>
      </c>
      <c r="O17289">
        <v>250609</v>
      </c>
      <c r="P17289">
        <v>320.16000000000003</v>
      </c>
    </row>
    <row r="17290" spans="1:16" x14ac:dyDescent="0.25">
      <c r="A17290" t="s">
        <v>3296</v>
      </c>
      <c r="B17290" t="s">
        <v>2931</v>
      </c>
      <c r="C17290">
        <v>11250</v>
      </c>
      <c r="D17290" t="str">
        <f>"804895993   "</f>
        <v xml:space="preserve">804895993   </v>
      </c>
      <c r="E17290" t="s">
        <v>2826</v>
      </c>
      <c r="F17290" t="s">
        <v>2827</v>
      </c>
      <c r="G17290">
        <v>1300.78</v>
      </c>
      <c r="H17290">
        <v>250831</v>
      </c>
      <c r="I17290">
        <v>4580</v>
      </c>
      <c r="J17290" t="s">
        <v>126</v>
      </c>
      <c r="K17290">
        <v>1318.78</v>
      </c>
      <c r="L17290">
        <v>264.3</v>
      </c>
      <c r="M17290">
        <v>11903</v>
      </c>
      <c r="N17290" t="s">
        <v>32</v>
      </c>
      <c r="O17290">
        <v>250902</v>
      </c>
      <c r="P17290">
        <v>1036.48</v>
      </c>
    </row>
    <row r="17291" spans="1:16" x14ac:dyDescent="0.25">
      <c r="A17291" t="s">
        <v>3296</v>
      </c>
      <c r="B17291" t="s">
        <v>2931</v>
      </c>
      <c r="C17291">
        <v>11820</v>
      </c>
      <c r="D17291" t="str">
        <f>"804895995   "</f>
        <v xml:space="preserve">804895995   </v>
      </c>
      <c r="E17291" t="s">
        <v>2826</v>
      </c>
      <c r="F17291" t="s">
        <v>2827</v>
      </c>
      <c r="G17291">
        <v>362.99</v>
      </c>
      <c r="H17291">
        <v>250831</v>
      </c>
      <c r="I17291">
        <v>4580</v>
      </c>
      <c r="J17291" t="s">
        <v>126</v>
      </c>
      <c r="K17291">
        <v>7161.13</v>
      </c>
      <c r="L17291">
        <v>73.75</v>
      </c>
      <c r="M17291">
        <v>11301</v>
      </c>
      <c r="N17291" t="s">
        <v>92</v>
      </c>
      <c r="O17291">
        <v>250910</v>
      </c>
      <c r="P17291">
        <v>289.24</v>
      </c>
    </row>
    <row r="17292" spans="1:16" x14ac:dyDescent="0.25">
      <c r="A17292" t="s">
        <v>3296</v>
      </c>
      <c r="B17292" t="s">
        <v>2931</v>
      </c>
      <c r="C17292">
        <v>11950</v>
      </c>
      <c r="D17292" t="str">
        <f>"804895992   "</f>
        <v xml:space="preserve">804895992   </v>
      </c>
      <c r="E17292" t="s">
        <v>2826</v>
      </c>
      <c r="F17292" t="s">
        <v>2827</v>
      </c>
      <c r="G17292">
        <v>14.6</v>
      </c>
      <c r="H17292">
        <v>250831</v>
      </c>
      <c r="I17292">
        <v>4580</v>
      </c>
      <c r="J17292" t="s">
        <v>126</v>
      </c>
      <c r="K17292">
        <v>943.73</v>
      </c>
      <c r="L17292">
        <v>2.97</v>
      </c>
      <c r="M17292">
        <v>11903</v>
      </c>
      <c r="N17292" t="s">
        <v>32</v>
      </c>
      <c r="O17292">
        <v>250912</v>
      </c>
      <c r="P17292">
        <v>11.63</v>
      </c>
    </row>
    <row r="17293" spans="1:16" x14ac:dyDescent="0.25">
      <c r="A17293" t="s">
        <v>3296</v>
      </c>
      <c r="B17293" t="s">
        <v>2931</v>
      </c>
      <c r="C17293">
        <v>11950</v>
      </c>
      <c r="D17293" t="str">
        <f>"804895992   "</f>
        <v xml:space="preserve">804895992   </v>
      </c>
      <c r="E17293" t="s">
        <v>2826</v>
      </c>
      <c r="F17293" t="s">
        <v>2827</v>
      </c>
      <c r="G17293">
        <v>135.77000000000001</v>
      </c>
      <c r="H17293">
        <v>250831</v>
      </c>
      <c r="I17293">
        <v>4580</v>
      </c>
      <c r="J17293" t="s">
        <v>126</v>
      </c>
      <c r="K17293">
        <v>943.73</v>
      </c>
      <c r="L17293">
        <v>27.59</v>
      </c>
      <c r="M17293">
        <v>11903</v>
      </c>
      <c r="N17293" t="s">
        <v>32</v>
      </c>
      <c r="O17293">
        <v>250912</v>
      </c>
      <c r="P17293">
        <v>108.18</v>
      </c>
    </row>
    <row r="17294" spans="1:16" x14ac:dyDescent="0.25">
      <c r="A17294" t="s">
        <v>3296</v>
      </c>
      <c r="B17294" t="s">
        <v>2931</v>
      </c>
      <c r="C17294">
        <v>14533</v>
      </c>
      <c r="D17294" t="str">
        <f>"807713350   "</f>
        <v xml:space="preserve">807713350   </v>
      </c>
      <c r="E17294" t="s">
        <v>2826</v>
      </c>
      <c r="F17294" t="s">
        <v>2827</v>
      </c>
      <c r="G17294">
        <v>89.95</v>
      </c>
      <c r="H17294">
        <v>251031</v>
      </c>
      <c r="I17294">
        <v>4580</v>
      </c>
      <c r="J17294" t="s">
        <v>126</v>
      </c>
      <c r="K17294">
        <v>89.95</v>
      </c>
      <c r="L17294">
        <v>18.28</v>
      </c>
      <c r="M17294">
        <v>13801</v>
      </c>
      <c r="N17294" t="s">
        <v>33</v>
      </c>
      <c r="O17294">
        <v>251104</v>
      </c>
      <c r="P17294">
        <v>71.67</v>
      </c>
    </row>
    <row r="17295" spans="1:16" x14ac:dyDescent="0.25">
      <c r="A17295" t="s">
        <v>3296</v>
      </c>
      <c r="B17295" t="s">
        <v>2931</v>
      </c>
      <c r="C17295">
        <v>14534</v>
      </c>
      <c r="D17295" t="str">
        <f>"807713349   "</f>
        <v xml:space="preserve">807713349   </v>
      </c>
      <c r="E17295" t="s">
        <v>2826</v>
      </c>
      <c r="F17295" t="s">
        <v>2827</v>
      </c>
      <c r="G17295">
        <v>236.6</v>
      </c>
      <c r="H17295">
        <v>251031</v>
      </c>
      <c r="I17295">
        <v>4580</v>
      </c>
      <c r="J17295" t="s">
        <v>126</v>
      </c>
      <c r="K17295">
        <v>236.6</v>
      </c>
      <c r="L17295">
        <v>48.07</v>
      </c>
      <c r="M17295">
        <v>13901</v>
      </c>
      <c r="N17295" t="s">
        <v>116</v>
      </c>
      <c r="O17295">
        <v>251104</v>
      </c>
      <c r="P17295">
        <v>188.53</v>
      </c>
    </row>
    <row r="17296" spans="1:16" x14ac:dyDescent="0.25">
      <c r="A17296" t="s">
        <v>3296</v>
      </c>
      <c r="B17296" t="s">
        <v>2931</v>
      </c>
      <c r="C17296">
        <v>14693</v>
      </c>
      <c r="D17296" t="str">
        <f>"807713343   "</f>
        <v xml:space="preserve">807713343   </v>
      </c>
      <c r="E17296" t="s">
        <v>2826</v>
      </c>
      <c r="F17296" t="s">
        <v>2827</v>
      </c>
      <c r="G17296">
        <v>1307.9000000000001</v>
      </c>
      <c r="H17296">
        <v>251031</v>
      </c>
      <c r="I17296">
        <v>4580</v>
      </c>
      <c r="J17296" t="s">
        <v>126</v>
      </c>
      <c r="K17296">
        <v>2358.7399999999998</v>
      </c>
      <c r="L17296">
        <v>265.75</v>
      </c>
      <c r="M17296">
        <v>11903</v>
      </c>
      <c r="N17296" t="s">
        <v>32</v>
      </c>
      <c r="O17296">
        <v>251106</v>
      </c>
      <c r="P17296">
        <v>1042.1500000000001</v>
      </c>
    </row>
    <row r="17297" spans="1:16" x14ac:dyDescent="0.25">
      <c r="A17297" t="s">
        <v>3296</v>
      </c>
      <c r="B17297" t="s">
        <v>2931</v>
      </c>
      <c r="C17297">
        <v>16062</v>
      </c>
      <c r="D17297" t="str">
        <f>"808389226   "</f>
        <v xml:space="preserve">808389226   </v>
      </c>
      <c r="E17297" t="s">
        <v>2826</v>
      </c>
      <c r="F17297" t="s">
        <v>2827</v>
      </c>
      <c r="G17297">
        <v>498</v>
      </c>
      <c r="H17297">
        <v>251130</v>
      </c>
      <c r="I17297">
        <v>4580</v>
      </c>
      <c r="J17297" t="s">
        <v>126</v>
      </c>
      <c r="K17297">
        <v>507.99</v>
      </c>
      <c r="L17297">
        <v>101.19</v>
      </c>
      <c r="M17297">
        <v>11903</v>
      </c>
      <c r="N17297" t="s">
        <v>32</v>
      </c>
      <c r="O17297">
        <v>251203</v>
      </c>
      <c r="P17297">
        <v>396.81</v>
      </c>
    </row>
    <row r="17298" spans="1:16" x14ac:dyDescent="0.25">
      <c r="A17298" t="s">
        <v>3296</v>
      </c>
      <c r="B17298" t="s">
        <v>2931</v>
      </c>
      <c r="C17298">
        <v>18153</v>
      </c>
      <c r="D17298" t="str">
        <f>"809024737   "</f>
        <v xml:space="preserve">809024737   </v>
      </c>
      <c r="E17298" t="s">
        <v>2826</v>
      </c>
      <c r="F17298" t="s">
        <v>2827</v>
      </c>
      <c r="G17298">
        <v>2320.4699999999998</v>
      </c>
      <c r="H17298">
        <v>251231</v>
      </c>
      <c r="I17298">
        <v>4580</v>
      </c>
      <c r="J17298" t="s">
        <v>126</v>
      </c>
      <c r="K17298">
        <v>2700.88</v>
      </c>
      <c r="L17298">
        <v>471.49</v>
      </c>
      <c r="M17298">
        <v>11903</v>
      </c>
      <c r="N17298" t="s">
        <v>32</v>
      </c>
      <c r="O17298">
        <v>260109</v>
      </c>
      <c r="P17298">
        <v>1848.98</v>
      </c>
    </row>
    <row r="17299" spans="1:16" x14ac:dyDescent="0.25">
      <c r="A17299" t="s">
        <v>3296</v>
      </c>
      <c r="B17299" t="s">
        <v>2931</v>
      </c>
      <c r="C17299">
        <v>18154</v>
      </c>
      <c r="D17299" t="str">
        <f>"809024740   "</f>
        <v xml:space="preserve">809024740   </v>
      </c>
      <c r="E17299" t="s">
        <v>2826</v>
      </c>
      <c r="F17299" t="s">
        <v>2827</v>
      </c>
      <c r="G17299">
        <v>99</v>
      </c>
      <c r="H17299">
        <v>251231</v>
      </c>
      <c r="I17299">
        <v>4580</v>
      </c>
      <c r="J17299" t="s">
        <v>126</v>
      </c>
      <c r="K17299">
        <v>1266.5</v>
      </c>
      <c r="L17299">
        <v>0</v>
      </c>
      <c r="M17299">
        <v>11001</v>
      </c>
      <c r="N17299" t="s">
        <v>93</v>
      </c>
      <c r="O17299">
        <v>260109</v>
      </c>
      <c r="P17299">
        <v>99</v>
      </c>
    </row>
    <row r="17300" spans="1:16" x14ac:dyDescent="0.25">
      <c r="A17300" t="s">
        <v>3296</v>
      </c>
      <c r="B17300" t="s">
        <v>2931</v>
      </c>
      <c r="C17300">
        <v>18502</v>
      </c>
      <c r="D17300" t="str">
        <f>"809024741   "</f>
        <v xml:space="preserve">809024741   </v>
      </c>
      <c r="E17300" t="s">
        <v>2826</v>
      </c>
      <c r="F17300" t="s">
        <v>2827</v>
      </c>
      <c r="G17300">
        <v>599.5</v>
      </c>
      <c r="H17300">
        <v>251231</v>
      </c>
      <c r="I17300">
        <v>4580</v>
      </c>
      <c r="J17300" t="s">
        <v>126</v>
      </c>
      <c r="K17300">
        <v>3840.75</v>
      </c>
      <c r="L17300">
        <v>121.81</v>
      </c>
      <c r="M17300">
        <v>11301</v>
      </c>
      <c r="N17300" t="s">
        <v>92</v>
      </c>
      <c r="O17300">
        <v>260114</v>
      </c>
      <c r="P17300">
        <v>477.69</v>
      </c>
    </row>
    <row r="17301" spans="1:16" x14ac:dyDescent="0.25">
      <c r="A17301" t="s">
        <v>3296</v>
      </c>
      <c r="B17301" t="s">
        <v>2931</v>
      </c>
      <c r="C17301">
        <v>18514</v>
      </c>
      <c r="D17301" t="str">
        <f>"809024746   "</f>
        <v xml:space="preserve">809024746   </v>
      </c>
      <c r="E17301" t="s">
        <v>2826</v>
      </c>
      <c r="F17301" t="s">
        <v>2827</v>
      </c>
      <c r="G17301">
        <v>285</v>
      </c>
      <c r="H17301">
        <v>251231</v>
      </c>
      <c r="I17301">
        <v>4580</v>
      </c>
      <c r="J17301" t="s">
        <v>126</v>
      </c>
      <c r="K17301">
        <v>285</v>
      </c>
      <c r="L17301">
        <v>57.91</v>
      </c>
      <c r="M17301">
        <v>13601</v>
      </c>
      <c r="N17301" t="s">
        <v>115</v>
      </c>
      <c r="O17301">
        <v>260114</v>
      </c>
      <c r="P17301">
        <v>227.09</v>
      </c>
    </row>
    <row r="17302" spans="1:16" x14ac:dyDescent="0.25">
      <c r="A17302" t="s">
        <v>3296</v>
      </c>
      <c r="B17302" t="s">
        <v>2931</v>
      </c>
      <c r="C17302">
        <v>2832</v>
      </c>
      <c r="D17302" t="str">
        <f>"801515270   "</f>
        <v xml:space="preserve">801515270   </v>
      </c>
      <c r="E17302" t="s">
        <v>2826</v>
      </c>
      <c r="F17302" t="s">
        <v>2827</v>
      </c>
      <c r="G17302">
        <v>18.57</v>
      </c>
      <c r="H17302">
        <v>250228</v>
      </c>
      <c r="I17302">
        <v>4600</v>
      </c>
      <c r="J17302" t="s">
        <v>278</v>
      </c>
      <c r="K17302">
        <v>145.19</v>
      </c>
      <c r="L17302">
        <v>3.77</v>
      </c>
      <c r="M17302">
        <v>12982</v>
      </c>
      <c r="N17302" t="s">
        <v>1384</v>
      </c>
      <c r="O17302">
        <v>250312</v>
      </c>
      <c r="P17302">
        <v>14.8</v>
      </c>
    </row>
    <row r="17303" spans="1:16" x14ac:dyDescent="0.25">
      <c r="A17303" t="s">
        <v>3296</v>
      </c>
      <c r="B17303" t="s">
        <v>2931</v>
      </c>
      <c r="C17303">
        <v>4386</v>
      </c>
      <c r="D17303" t="str">
        <f>"802023929   "</f>
        <v xml:space="preserve">802023929   </v>
      </c>
      <c r="E17303" t="s">
        <v>2826</v>
      </c>
      <c r="F17303" t="s">
        <v>2827</v>
      </c>
      <c r="G17303">
        <v>600</v>
      </c>
      <c r="H17303">
        <v>250331</v>
      </c>
      <c r="I17303">
        <v>4600</v>
      </c>
      <c r="J17303" t="s">
        <v>278</v>
      </c>
      <c r="K17303">
        <v>743.76</v>
      </c>
      <c r="L17303">
        <v>0</v>
      </c>
      <c r="M17303">
        <v>11101</v>
      </c>
      <c r="N17303" t="s">
        <v>67</v>
      </c>
      <c r="O17303">
        <v>250411</v>
      </c>
      <c r="P17303">
        <v>600</v>
      </c>
    </row>
    <row r="17304" spans="1:16" x14ac:dyDescent="0.25">
      <c r="A17304" t="s">
        <v>3296</v>
      </c>
      <c r="B17304" t="s">
        <v>2931</v>
      </c>
      <c r="C17304">
        <v>4463</v>
      </c>
      <c r="D17304" t="str">
        <f>"802023934   "</f>
        <v xml:space="preserve">802023934   </v>
      </c>
      <c r="E17304" t="s">
        <v>2826</v>
      </c>
      <c r="F17304" t="s">
        <v>2827</v>
      </c>
      <c r="G17304">
        <v>1.7</v>
      </c>
      <c r="H17304">
        <v>250331</v>
      </c>
      <c r="I17304">
        <v>4600</v>
      </c>
      <c r="J17304" t="s">
        <v>278</v>
      </c>
      <c r="K17304">
        <v>34.020000000000003</v>
      </c>
      <c r="L17304">
        <v>0.35</v>
      </c>
      <c r="M17304">
        <v>11901</v>
      </c>
      <c r="N17304" t="s">
        <v>31</v>
      </c>
      <c r="O17304">
        <v>250411</v>
      </c>
      <c r="P17304">
        <v>1.35</v>
      </c>
    </row>
    <row r="17305" spans="1:16" x14ac:dyDescent="0.25">
      <c r="A17305" t="s">
        <v>3296</v>
      </c>
      <c r="B17305" t="s">
        <v>2931</v>
      </c>
      <c r="C17305">
        <v>4853</v>
      </c>
      <c r="D17305" t="str">
        <f>"802023931   "</f>
        <v xml:space="preserve">802023931   </v>
      </c>
      <c r="E17305" t="s">
        <v>2826</v>
      </c>
      <c r="F17305" t="s">
        <v>2827</v>
      </c>
      <c r="G17305">
        <v>0.2</v>
      </c>
      <c r="H17305">
        <v>250331</v>
      </c>
      <c r="I17305">
        <v>4600</v>
      </c>
      <c r="J17305" t="s">
        <v>278</v>
      </c>
      <c r="K17305">
        <v>1827.07</v>
      </c>
      <c r="L17305">
        <v>0.04</v>
      </c>
      <c r="M17305">
        <v>11901</v>
      </c>
      <c r="N17305" t="s">
        <v>31</v>
      </c>
      <c r="O17305">
        <v>250416</v>
      </c>
      <c r="P17305">
        <v>0.16</v>
      </c>
    </row>
    <row r="17306" spans="1:16" x14ac:dyDescent="0.25">
      <c r="A17306" t="s">
        <v>3296</v>
      </c>
      <c r="B17306" t="s">
        <v>2931</v>
      </c>
      <c r="C17306">
        <v>6227</v>
      </c>
      <c r="D17306" t="str">
        <f>"802504701   "</f>
        <v xml:space="preserve">802504701   </v>
      </c>
      <c r="E17306" t="s">
        <v>2826</v>
      </c>
      <c r="F17306" t="s">
        <v>2827</v>
      </c>
      <c r="G17306">
        <v>0.6</v>
      </c>
      <c r="H17306">
        <v>250430</v>
      </c>
      <c r="I17306">
        <v>4600</v>
      </c>
      <c r="J17306" t="s">
        <v>278</v>
      </c>
      <c r="K17306">
        <v>1042.3800000000001</v>
      </c>
      <c r="L17306">
        <v>0.12</v>
      </c>
      <c r="M17306">
        <v>11900</v>
      </c>
      <c r="N17306" t="s">
        <v>30</v>
      </c>
      <c r="O17306">
        <v>250512</v>
      </c>
      <c r="P17306">
        <v>0.48</v>
      </c>
    </row>
    <row r="17307" spans="1:16" x14ac:dyDescent="0.25">
      <c r="A17307" t="s">
        <v>3296</v>
      </c>
      <c r="B17307" t="s">
        <v>2931</v>
      </c>
      <c r="C17307">
        <v>6227</v>
      </c>
      <c r="D17307" t="str">
        <f>"802504701   "</f>
        <v xml:space="preserve">802504701   </v>
      </c>
      <c r="E17307" t="s">
        <v>2826</v>
      </c>
      <c r="F17307" t="s">
        <v>2827</v>
      </c>
      <c r="G17307">
        <v>45</v>
      </c>
      <c r="H17307">
        <v>250430</v>
      </c>
      <c r="I17307">
        <v>4600</v>
      </c>
      <c r="J17307" t="s">
        <v>278</v>
      </c>
      <c r="K17307">
        <v>1042.3800000000001</v>
      </c>
      <c r="L17307">
        <v>9.14</v>
      </c>
      <c r="M17307">
        <v>11901</v>
      </c>
      <c r="N17307" t="s">
        <v>31</v>
      </c>
      <c r="O17307">
        <v>250512</v>
      </c>
      <c r="P17307">
        <v>35.86</v>
      </c>
    </row>
    <row r="17308" spans="1:16" x14ac:dyDescent="0.25">
      <c r="A17308" t="s">
        <v>3296</v>
      </c>
      <c r="B17308" t="s">
        <v>2931</v>
      </c>
      <c r="C17308">
        <v>6227</v>
      </c>
      <c r="D17308" t="str">
        <f>"802504701   "</f>
        <v xml:space="preserve">802504701   </v>
      </c>
      <c r="E17308" t="s">
        <v>2826</v>
      </c>
      <c r="F17308" t="s">
        <v>2827</v>
      </c>
      <c r="G17308">
        <v>1.5</v>
      </c>
      <c r="H17308">
        <v>250430</v>
      </c>
      <c r="I17308">
        <v>4600</v>
      </c>
      <c r="J17308" t="s">
        <v>278</v>
      </c>
      <c r="K17308">
        <v>1042.3800000000001</v>
      </c>
      <c r="L17308">
        <v>0.3</v>
      </c>
      <c r="M17308">
        <v>11902</v>
      </c>
      <c r="N17308" t="s">
        <v>329</v>
      </c>
      <c r="O17308">
        <v>250512</v>
      </c>
      <c r="P17308">
        <v>1.2</v>
      </c>
    </row>
    <row r="17309" spans="1:16" x14ac:dyDescent="0.25">
      <c r="A17309" t="s">
        <v>3296</v>
      </c>
      <c r="B17309" t="s">
        <v>2931</v>
      </c>
      <c r="C17309">
        <v>6362</v>
      </c>
      <c r="D17309" t="str">
        <f>"802504700   "</f>
        <v xml:space="preserve">802504700   </v>
      </c>
      <c r="E17309" t="s">
        <v>2826</v>
      </c>
      <c r="F17309" t="s">
        <v>2827</v>
      </c>
      <c r="G17309">
        <v>0.52</v>
      </c>
      <c r="H17309">
        <v>250430</v>
      </c>
      <c r="I17309">
        <v>4600</v>
      </c>
      <c r="J17309" t="s">
        <v>278</v>
      </c>
      <c r="K17309">
        <v>244.82</v>
      </c>
      <c r="L17309">
        <v>0.11</v>
      </c>
      <c r="M17309">
        <v>11902</v>
      </c>
      <c r="N17309" t="s">
        <v>329</v>
      </c>
      <c r="O17309">
        <v>250513</v>
      </c>
      <c r="P17309">
        <v>0.41</v>
      </c>
    </row>
    <row r="17310" spans="1:16" x14ac:dyDescent="0.25">
      <c r="A17310" t="s">
        <v>3296</v>
      </c>
      <c r="B17310" t="s">
        <v>2931</v>
      </c>
      <c r="C17310">
        <v>7814</v>
      </c>
      <c r="D17310" t="str">
        <f>"802999272   "</f>
        <v xml:space="preserve">802999272   </v>
      </c>
      <c r="E17310" t="s">
        <v>2826</v>
      </c>
      <c r="F17310" t="s">
        <v>2827</v>
      </c>
      <c r="G17310">
        <v>0.57999999999999996</v>
      </c>
      <c r="H17310">
        <v>250531</v>
      </c>
      <c r="I17310">
        <v>4600</v>
      </c>
      <c r="J17310" t="s">
        <v>278</v>
      </c>
      <c r="K17310">
        <v>247.15</v>
      </c>
      <c r="L17310">
        <v>0.12</v>
      </c>
      <c r="M17310">
        <v>11301</v>
      </c>
      <c r="N17310" t="s">
        <v>92</v>
      </c>
      <c r="O17310">
        <v>250609</v>
      </c>
      <c r="P17310">
        <v>0.46</v>
      </c>
    </row>
    <row r="17311" spans="1:16" x14ac:dyDescent="0.25">
      <c r="A17311" t="s">
        <v>3296</v>
      </c>
      <c r="B17311" t="s">
        <v>2931</v>
      </c>
      <c r="C17311">
        <v>9311</v>
      </c>
      <c r="D17311" t="str">
        <f>"803813078   "</f>
        <v xml:space="preserve">803813078   </v>
      </c>
      <c r="E17311" t="s">
        <v>2826</v>
      </c>
      <c r="F17311" t="s">
        <v>2827</v>
      </c>
      <c r="G17311">
        <v>0.7</v>
      </c>
      <c r="H17311">
        <v>250630</v>
      </c>
      <c r="I17311">
        <v>4600</v>
      </c>
      <c r="J17311" t="s">
        <v>278</v>
      </c>
      <c r="K17311">
        <v>178.88</v>
      </c>
      <c r="L17311">
        <v>0.14000000000000001</v>
      </c>
      <c r="M17311">
        <v>11605</v>
      </c>
      <c r="N17311" t="s">
        <v>1066</v>
      </c>
      <c r="O17311">
        <v>250703</v>
      </c>
      <c r="P17311">
        <v>0.56000000000000005</v>
      </c>
    </row>
    <row r="17312" spans="1:16" x14ac:dyDescent="0.25">
      <c r="A17312" t="s">
        <v>3296</v>
      </c>
      <c r="B17312" t="s">
        <v>2931</v>
      </c>
      <c r="C17312">
        <v>9394</v>
      </c>
      <c r="D17312" t="str">
        <f>"803813083   "</f>
        <v xml:space="preserve">803813083   </v>
      </c>
      <c r="E17312" t="s">
        <v>2826</v>
      </c>
      <c r="F17312" t="s">
        <v>2827</v>
      </c>
      <c r="G17312">
        <v>49.24</v>
      </c>
      <c r="H17312">
        <v>250630</v>
      </c>
      <c r="I17312">
        <v>4600</v>
      </c>
      <c r="J17312" t="s">
        <v>278</v>
      </c>
      <c r="K17312">
        <v>49.24</v>
      </c>
      <c r="L17312">
        <v>0</v>
      </c>
      <c r="M17312">
        <v>13661</v>
      </c>
      <c r="N17312" t="s">
        <v>243</v>
      </c>
      <c r="O17312">
        <v>250707</v>
      </c>
      <c r="P17312">
        <v>49.24</v>
      </c>
    </row>
    <row r="17313" spans="1:16" x14ac:dyDescent="0.25">
      <c r="A17313" t="s">
        <v>3296</v>
      </c>
      <c r="B17313" t="s">
        <v>2931</v>
      </c>
      <c r="C17313">
        <v>9503</v>
      </c>
      <c r="D17313" t="str">
        <f>"803813075   "</f>
        <v xml:space="preserve">803813075   </v>
      </c>
      <c r="E17313" t="s">
        <v>2826</v>
      </c>
      <c r="F17313" t="s">
        <v>2827</v>
      </c>
      <c r="G17313">
        <v>0.39</v>
      </c>
      <c r="H17313">
        <v>250630</v>
      </c>
      <c r="I17313">
        <v>4600</v>
      </c>
      <c r="J17313" t="s">
        <v>278</v>
      </c>
      <c r="K17313">
        <v>457.83</v>
      </c>
      <c r="L17313">
        <v>0</v>
      </c>
      <c r="M17313">
        <v>11001</v>
      </c>
      <c r="N17313" t="s">
        <v>93</v>
      </c>
      <c r="O17313">
        <v>250709</v>
      </c>
      <c r="P17313">
        <v>0.39</v>
      </c>
    </row>
    <row r="17314" spans="1:16" x14ac:dyDescent="0.25">
      <c r="A17314" t="s">
        <v>3296</v>
      </c>
      <c r="B17314" t="s">
        <v>2931</v>
      </c>
      <c r="C17314">
        <v>11571</v>
      </c>
      <c r="D17314" t="str">
        <f>"804895997   "</f>
        <v xml:space="preserve">804895997   </v>
      </c>
      <c r="E17314" t="s">
        <v>2826</v>
      </c>
      <c r="F17314" t="s">
        <v>2827</v>
      </c>
      <c r="G17314">
        <v>150</v>
      </c>
      <c r="H17314">
        <v>250831</v>
      </c>
      <c r="I17314">
        <v>4600</v>
      </c>
      <c r="J17314" t="s">
        <v>278</v>
      </c>
      <c r="K17314">
        <v>150</v>
      </c>
      <c r="L17314">
        <v>30.48</v>
      </c>
      <c r="M17314">
        <v>11001</v>
      </c>
      <c r="N17314" t="s">
        <v>93</v>
      </c>
      <c r="O17314">
        <v>250909</v>
      </c>
      <c r="P17314">
        <v>119.52</v>
      </c>
    </row>
    <row r="17315" spans="1:16" x14ac:dyDescent="0.25">
      <c r="A17315" t="s">
        <v>3296</v>
      </c>
      <c r="B17315" t="s">
        <v>2931</v>
      </c>
      <c r="C17315">
        <v>14693</v>
      </c>
      <c r="D17315" t="str">
        <f>"807713343   "</f>
        <v xml:space="preserve">807713343   </v>
      </c>
      <c r="E17315" t="s">
        <v>2826</v>
      </c>
      <c r="F17315" t="s">
        <v>2827</v>
      </c>
      <c r="G17315">
        <v>179.7</v>
      </c>
      <c r="H17315">
        <v>251031</v>
      </c>
      <c r="I17315">
        <v>4600</v>
      </c>
      <c r="J17315" t="s">
        <v>278</v>
      </c>
      <c r="K17315">
        <v>2358.7399999999998</v>
      </c>
      <c r="L17315">
        <v>36.51</v>
      </c>
      <c r="M17315">
        <v>11903</v>
      </c>
      <c r="N17315" t="s">
        <v>32</v>
      </c>
      <c r="O17315">
        <v>251106</v>
      </c>
      <c r="P17315">
        <v>143.19</v>
      </c>
    </row>
    <row r="17316" spans="1:16" x14ac:dyDescent="0.25">
      <c r="A17316" t="s">
        <v>3296</v>
      </c>
      <c r="B17316" t="s">
        <v>2931</v>
      </c>
      <c r="C17316">
        <v>18153</v>
      </c>
      <c r="D17316" t="str">
        <f>"809024737   "</f>
        <v xml:space="preserve">809024737   </v>
      </c>
      <c r="E17316" t="s">
        <v>2826</v>
      </c>
      <c r="F17316" t="s">
        <v>2827</v>
      </c>
      <c r="G17316">
        <v>123.41</v>
      </c>
      <c r="H17316">
        <v>251231</v>
      </c>
      <c r="I17316">
        <v>4600</v>
      </c>
      <c r="J17316" t="s">
        <v>278</v>
      </c>
      <c r="K17316">
        <v>2700.88</v>
      </c>
      <c r="L17316">
        <v>25.08</v>
      </c>
      <c r="M17316">
        <v>11903</v>
      </c>
      <c r="N17316" t="s">
        <v>32</v>
      </c>
      <c r="O17316">
        <v>260109</v>
      </c>
      <c r="P17316">
        <v>98.33</v>
      </c>
    </row>
    <row r="17317" spans="1:16" x14ac:dyDescent="0.25">
      <c r="A17317" t="s">
        <v>3296</v>
      </c>
      <c r="B17317" t="s">
        <v>2931</v>
      </c>
      <c r="C17317">
        <v>18155</v>
      </c>
      <c r="D17317" t="str">
        <f>"809024738   "</f>
        <v xml:space="preserve">809024738   </v>
      </c>
      <c r="E17317" t="s">
        <v>2826</v>
      </c>
      <c r="F17317" t="s">
        <v>2827</v>
      </c>
      <c r="G17317">
        <v>3.73</v>
      </c>
      <c r="H17317">
        <v>251231</v>
      </c>
      <c r="I17317">
        <v>4600</v>
      </c>
      <c r="J17317" t="s">
        <v>278</v>
      </c>
      <c r="K17317">
        <v>144.32</v>
      </c>
      <c r="L17317">
        <v>0.76</v>
      </c>
      <c r="M17317">
        <v>11605</v>
      </c>
      <c r="N17317" t="s">
        <v>1066</v>
      </c>
      <c r="O17317">
        <v>260109</v>
      </c>
      <c r="P17317">
        <v>2.97</v>
      </c>
    </row>
    <row r="17318" spans="1:16" x14ac:dyDescent="0.25">
      <c r="A17318" t="s">
        <v>3296</v>
      </c>
      <c r="B17318" t="s">
        <v>2931</v>
      </c>
      <c r="C17318">
        <v>11311</v>
      </c>
      <c r="D17318" t="str">
        <f>"804895998   "</f>
        <v xml:space="preserve">804895998   </v>
      </c>
      <c r="E17318" t="s">
        <v>2826</v>
      </c>
      <c r="F17318" t="s">
        <v>2827</v>
      </c>
      <c r="G17318">
        <v>1464</v>
      </c>
      <c r="H17318">
        <v>250831</v>
      </c>
      <c r="I17318">
        <v>4860</v>
      </c>
      <c r="J17318" t="s">
        <v>286</v>
      </c>
      <c r="K17318">
        <v>1464</v>
      </c>
      <c r="L17318">
        <v>297.47000000000003</v>
      </c>
      <c r="M17318">
        <v>13940</v>
      </c>
      <c r="N17318" t="s">
        <v>14</v>
      </c>
      <c r="O17318">
        <v>250903</v>
      </c>
      <c r="P17318">
        <v>1166.53</v>
      </c>
    </row>
    <row r="17319" spans="1:16" x14ac:dyDescent="0.25">
      <c r="A17319" t="s">
        <v>3296</v>
      </c>
      <c r="B17319" t="s">
        <v>2931</v>
      </c>
      <c r="C17319">
        <v>104</v>
      </c>
      <c r="D17319" t="str">
        <f>"800528966   "</f>
        <v xml:space="preserve">800528966   </v>
      </c>
      <c r="E17319" t="s">
        <v>2826</v>
      </c>
      <c r="F17319" t="s">
        <v>2827</v>
      </c>
      <c r="G17319">
        <v>45</v>
      </c>
      <c r="H17319">
        <v>250101</v>
      </c>
      <c r="I17319">
        <v>4940</v>
      </c>
      <c r="J17319" t="s">
        <v>250</v>
      </c>
      <c r="K17319">
        <v>45</v>
      </c>
      <c r="L17319">
        <v>0</v>
      </c>
      <c r="M17319">
        <v>11101</v>
      </c>
      <c r="N17319" t="s">
        <v>67</v>
      </c>
      <c r="O17319">
        <v>250108</v>
      </c>
      <c r="P17319">
        <v>45</v>
      </c>
    </row>
    <row r="17320" spans="1:16" x14ac:dyDescent="0.25">
      <c r="A17320" t="s">
        <v>3296</v>
      </c>
      <c r="B17320" t="s">
        <v>2931</v>
      </c>
      <c r="C17320">
        <v>1461</v>
      </c>
      <c r="D17320" t="str">
        <f>"801038124   "</f>
        <v xml:space="preserve">801038124   </v>
      </c>
      <c r="E17320" t="s">
        <v>2826</v>
      </c>
      <c r="F17320" t="s">
        <v>2827</v>
      </c>
      <c r="G17320">
        <v>22.5</v>
      </c>
      <c r="H17320">
        <v>250131</v>
      </c>
      <c r="I17320">
        <v>4940</v>
      </c>
      <c r="J17320" t="s">
        <v>250</v>
      </c>
      <c r="K17320">
        <v>45</v>
      </c>
      <c r="L17320">
        <v>0</v>
      </c>
      <c r="M17320">
        <v>69702</v>
      </c>
      <c r="N17320" t="s">
        <v>124</v>
      </c>
      <c r="O17320">
        <v>250210</v>
      </c>
      <c r="P17320">
        <v>22.5</v>
      </c>
    </row>
    <row r="17321" spans="1:16" x14ac:dyDescent="0.25">
      <c r="A17321" t="s">
        <v>3296</v>
      </c>
      <c r="B17321" t="s">
        <v>2931</v>
      </c>
      <c r="C17321">
        <v>1461</v>
      </c>
      <c r="D17321" t="str">
        <f>"801038124   "</f>
        <v xml:space="preserve">801038124   </v>
      </c>
      <c r="E17321" t="s">
        <v>2826</v>
      </c>
      <c r="F17321" t="s">
        <v>2827</v>
      </c>
      <c r="G17321">
        <v>22.5</v>
      </c>
      <c r="H17321">
        <v>250131</v>
      </c>
      <c r="I17321">
        <v>4940</v>
      </c>
      <c r="J17321" t="s">
        <v>250</v>
      </c>
      <c r="K17321">
        <v>45</v>
      </c>
      <c r="L17321">
        <v>0</v>
      </c>
      <c r="M17321">
        <v>69704</v>
      </c>
      <c r="N17321" t="s">
        <v>89</v>
      </c>
      <c r="O17321">
        <v>250210</v>
      </c>
      <c r="P17321">
        <v>22.5</v>
      </c>
    </row>
    <row r="17322" spans="1:16" x14ac:dyDescent="0.25">
      <c r="A17322" t="s">
        <v>3296</v>
      </c>
      <c r="B17322" t="s">
        <v>2931</v>
      </c>
      <c r="C17322">
        <v>4526</v>
      </c>
      <c r="D17322" t="str">
        <f>"802023939   "</f>
        <v xml:space="preserve">802023939   </v>
      </c>
      <c r="E17322" t="s">
        <v>2826</v>
      </c>
      <c r="F17322" t="s">
        <v>2827</v>
      </c>
      <c r="G17322">
        <v>45</v>
      </c>
      <c r="H17322">
        <v>250331</v>
      </c>
      <c r="I17322">
        <v>4940</v>
      </c>
      <c r="J17322" t="s">
        <v>250</v>
      </c>
      <c r="K17322">
        <v>905.97</v>
      </c>
      <c r="L17322">
        <v>0</v>
      </c>
      <c r="M17322">
        <v>13940</v>
      </c>
      <c r="N17322" t="s">
        <v>14</v>
      </c>
      <c r="O17322">
        <v>250414</v>
      </c>
      <c r="P17322">
        <v>45</v>
      </c>
    </row>
    <row r="17323" spans="1:16" x14ac:dyDescent="0.25">
      <c r="A17323" t="s">
        <v>3296</v>
      </c>
      <c r="B17323" t="s">
        <v>2931</v>
      </c>
      <c r="C17323">
        <v>4526</v>
      </c>
      <c r="D17323" t="str">
        <f>"802023939   "</f>
        <v xml:space="preserve">802023939   </v>
      </c>
      <c r="E17323" t="s">
        <v>2826</v>
      </c>
      <c r="F17323" t="s">
        <v>2827</v>
      </c>
      <c r="G17323">
        <v>338.85</v>
      </c>
      <c r="H17323">
        <v>250331</v>
      </c>
      <c r="I17323">
        <v>4940</v>
      </c>
      <c r="J17323" t="s">
        <v>250</v>
      </c>
      <c r="K17323">
        <v>905.97</v>
      </c>
      <c r="L17323">
        <v>68.849999999999994</v>
      </c>
      <c r="M17323">
        <v>13940</v>
      </c>
      <c r="N17323" t="s">
        <v>14</v>
      </c>
      <c r="O17323">
        <v>250414</v>
      </c>
      <c r="P17323">
        <v>270</v>
      </c>
    </row>
    <row r="17324" spans="1:16" x14ac:dyDescent="0.25">
      <c r="A17324" t="s">
        <v>3296</v>
      </c>
      <c r="B17324" t="s">
        <v>2931</v>
      </c>
      <c r="C17324">
        <v>16168</v>
      </c>
      <c r="D17324" t="str">
        <f>"808389228   "</f>
        <v xml:space="preserve">808389228   </v>
      </c>
      <c r="E17324" t="s">
        <v>2826</v>
      </c>
      <c r="F17324" t="s">
        <v>2827</v>
      </c>
      <c r="G17324">
        <v>48</v>
      </c>
      <c r="H17324">
        <v>251130</v>
      </c>
      <c r="I17324">
        <v>4940</v>
      </c>
      <c r="J17324" t="s">
        <v>250</v>
      </c>
      <c r="K17324">
        <v>242.75</v>
      </c>
      <c r="L17324">
        <v>0</v>
      </c>
      <c r="M17324">
        <v>11901</v>
      </c>
      <c r="N17324" t="s">
        <v>31</v>
      </c>
      <c r="O17324">
        <v>251204</v>
      </c>
      <c r="P17324">
        <v>48</v>
      </c>
    </row>
    <row r="17325" spans="1:16" x14ac:dyDescent="0.25">
      <c r="A17325" t="s">
        <v>3296</v>
      </c>
      <c r="B17325" t="s">
        <v>2931</v>
      </c>
      <c r="C17325">
        <v>16168</v>
      </c>
      <c r="D17325" t="str">
        <f>"808389228   "</f>
        <v xml:space="preserve">808389228   </v>
      </c>
      <c r="E17325" t="s">
        <v>2826</v>
      </c>
      <c r="F17325" t="s">
        <v>2827</v>
      </c>
      <c r="G17325">
        <v>100</v>
      </c>
      <c r="H17325">
        <v>251130</v>
      </c>
      <c r="I17325">
        <v>4940</v>
      </c>
      <c r="J17325" t="s">
        <v>250</v>
      </c>
      <c r="K17325">
        <v>242.75</v>
      </c>
      <c r="L17325">
        <v>0</v>
      </c>
      <c r="M17325">
        <v>11901</v>
      </c>
      <c r="N17325" t="s">
        <v>31</v>
      </c>
      <c r="O17325">
        <v>251204</v>
      </c>
      <c r="P17325">
        <v>100</v>
      </c>
    </row>
    <row r="17326" spans="1:16" x14ac:dyDescent="0.25">
      <c r="A17326" t="s">
        <v>3296</v>
      </c>
      <c r="B17326" t="s">
        <v>2931</v>
      </c>
      <c r="C17326">
        <v>16885</v>
      </c>
      <c r="D17326" t="str">
        <f>"808389230   "</f>
        <v xml:space="preserve">808389230   </v>
      </c>
      <c r="E17326" t="s">
        <v>2826</v>
      </c>
      <c r="F17326" t="s">
        <v>2827</v>
      </c>
      <c r="G17326">
        <v>56</v>
      </c>
      <c r="H17326">
        <v>251130</v>
      </c>
      <c r="I17326">
        <v>4940</v>
      </c>
      <c r="J17326" t="s">
        <v>250</v>
      </c>
      <c r="K17326">
        <v>1717.48</v>
      </c>
      <c r="L17326">
        <v>11.38</v>
      </c>
      <c r="M17326">
        <v>11301</v>
      </c>
      <c r="N17326" t="s">
        <v>92</v>
      </c>
      <c r="O17326">
        <v>251215</v>
      </c>
      <c r="P17326">
        <v>44.62</v>
      </c>
    </row>
    <row r="17327" spans="1:16" x14ac:dyDescent="0.25">
      <c r="A17327" t="s">
        <v>3296</v>
      </c>
      <c r="B17327" t="s">
        <v>2931</v>
      </c>
      <c r="C17327">
        <v>842</v>
      </c>
      <c r="D17327" t="str">
        <f>"230500382   "</f>
        <v xml:space="preserve">230500382   </v>
      </c>
      <c r="E17327" t="s">
        <v>749</v>
      </c>
      <c r="F17327" t="s">
        <v>750</v>
      </c>
      <c r="G17327">
        <v>557.23</v>
      </c>
      <c r="H17327">
        <v>250124</v>
      </c>
      <c r="I17327">
        <v>4580</v>
      </c>
      <c r="J17327" t="s">
        <v>126</v>
      </c>
      <c r="K17327">
        <v>557.23</v>
      </c>
      <c r="L17327">
        <v>113.22</v>
      </c>
      <c r="M17327">
        <v>56558</v>
      </c>
      <c r="N17327" t="s">
        <v>50</v>
      </c>
      <c r="O17327">
        <v>250129</v>
      </c>
      <c r="P17327">
        <v>444.01</v>
      </c>
    </row>
    <row r="17328" spans="1:16" x14ac:dyDescent="0.25">
      <c r="A17328" t="s">
        <v>3296</v>
      </c>
      <c r="B17328" t="s">
        <v>2931</v>
      </c>
      <c r="C17328">
        <v>10871</v>
      </c>
      <c r="D17328" t="str">
        <f>"25177045    "</f>
        <v xml:space="preserve">25177045    </v>
      </c>
      <c r="E17328" t="s">
        <v>161</v>
      </c>
      <c r="F17328" t="s">
        <v>163</v>
      </c>
      <c r="G17328">
        <v>300</v>
      </c>
      <c r="H17328">
        <v>250901</v>
      </c>
      <c r="I17328">
        <v>4370</v>
      </c>
      <c r="J17328" t="s">
        <v>198</v>
      </c>
      <c r="K17328">
        <v>2252.83</v>
      </c>
      <c r="L17328">
        <v>0</v>
      </c>
      <c r="M17328">
        <v>11001</v>
      </c>
      <c r="N17328" t="s">
        <v>93</v>
      </c>
      <c r="O17328">
        <v>250826</v>
      </c>
      <c r="P17328">
        <v>300</v>
      </c>
    </row>
    <row r="17329" spans="1:16" x14ac:dyDescent="0.25">
      <c r="A17329" t="s">
        <v>3296</v>
      </c>
      <c r="B17329" t="s">
        <v>2931</v>
      </c>
      <c r="C17329">
        <v>2299</v>
      </c>
      <c r="D17329" t="str">
        <f>"25116180    "</f>
        <v xml:space="preserve">25116180    </v>
      </c>
      <c r="E17329" t="s">
        <v>161</v>
      </c>
      <c r="F17329" t="s">
        <v>163</v>
      </c>
      <c r="G17329">
        <v>113.41</v>
      </c>
      <c r="H17329">
        <v>250301</v>
      </c>
      <c r="I17329">
        <v>4380</v>
      </c>
      <c r="J17329" t="s">
        <v>211</v>
      </c>
      <c r="K17329">
        <v>2134.15</v>
      </c>
      <c r="L17329">
        <v>0</v>
      </c>
      <c r="M17329">
        <v>11001</v>
      </c>
      <c r="N17329" t="s">
        <v>93</v>
      </c>
      <c r="O17329">
        <v>250224</v>
      </c>
      <c r="P17329">
        <v>113.41</v>
      </c>
    </row>
    <row r="17330" spans="1:16" x14ac:dyDescent="0.25">
      <c r="A17330" t="s">
        <v>3296</v>
      </c>
      <c r="B17330" t="s">
        <v>2931</v>
      </c>
      <c r="C17330">
        <v>3812</v>
      </c>
      <c r="D17330" t="str">
        <f>"25126198    "</f>
        <v xml:space="preserve">25126198    </v>
      </c>
      <c r="E17330" t="s">
        <v>161</v>
      </c>
      <c r="F17330" t="s">
        <v>163</v>
      </c>
      <c r="G17330">
        <v>95</v>
      </c>
      <c r="H17330">
        <v>250401</v>
      </c>
      <c r="I17330">
        <v>4380</v>
      </c>
      <c r="J17330" t="s">
        <v>211</v>
      </c>
      <c r="K17330">
        <v>2047.83</v>
      </c>
      <c r="L17330">
        <v>0</v>
      </c>
      <c r="M17330">
        <v>11001</v>
      </c>
      <c r="N17330" t="s">
        <v>93</v>
      </c>
      <c r="O17330">
        <v>250402</v>
      </c>
      <c r="P17330">
        <v>95</v>
      </c>
    </row>
    <row r="17331" spans="1:16" x14ac:dyDescent="0.25">
      <c r="A17331" t="s">
        <v>3296</v>
      </c>
      <c r="B17331" t="s">
        <v>2931</v>
      </c>
      <c r="C17331">
        <v>68</v>
      </c>
      <c r="D17331" t="str">
        <f>"24213786    "</f>
        <v xml:space="preserve">24213786    </v>
      </c>
      <c r="E17331" t="s">
        <v>161</v>
      </c>
      <c r="F17331" t="s">
        <v>163</v>
      </c>
      <c r="G17331">
        <v>299.99</v>
      </c>
      <c r="H17331">
        <v>250101</v>
      </c>
      <c r="I17331">
        <v>4400</v>
      </c>
      <c r="J17331" t="s">
        <v>162</v>
      </c>
      <c r="K17331">
        <v>2319.84</v>
      </c>
      <c r="L17331">
        <v>0</v>
      </c>
      <c r="M17331">
        <v>11001</v>
      </c>
      <c r="N17331" t="s">
        <v>93</v>
      </c>
      <c r="O17331">
        <v>250102</v>
      </c>
      <c r="P17331">
        <v>299.99</v>
      </c>
    </row>
    <row r="17332" spans="1:16" x14ac:dyDescent="0.25">
      <c r="A17332" t="s">
        <v>3296</v>
      </c>
      <c r="B17332" t="s">
        <v>2931</v>
      </c>
      <c r="C17332">
        <v>5540</v>
      </c>
      <c r="D17332" t="str">
        <f>"25136381    "</f>
        <v xml:space="preserve">25136381    </v>
      </c>
      <c r="E17332" t="s">
        <v>161</v>
      </c>
      <c r="F17332" t="s">
        <v>163</v>
      </c>
      <c r="G17332">
        <v>407.47</v>
      </c>
      <c r="H17332">
        <v>250501</v>
      </c>
      <c r="I17332">
        <v>4400</v>
      </c>
      <c r="J17332" t="s">
        <v>162</v>
      </c>
      <c r="K17332">
        <v>2430.58</v>
      </c>
      <c r="L17332">
        <v>0</v>
      </c>
      <c r="M17332">
        <v>11001</v>
      </c>
      <c r="N17332" t="s">
        <v>93</v>
      </c>
      <c r="O17332">
        <v>250425</v>
      </c>
      <c r="P17332">
        <v>407.47</v>
      </c>
    </row>
    <row r="17333" spans="1:16" x14ac:dyDescent="0.25">
      <c r="A17333" t="s">
        <v>3296</v>
      </c>
      <c r="B17333" t="s">
        <v>2931</v>
      </c>
      <c r="C17333">
        <v>13985</v>
      </c>
      <c r="D17333" t="str">
        <f>"25202387    "</f>
        <v xml:space="preserve">25202387    </v>
      </c>
      <c r="E17333" t="s">
        <v>161</v>
      </c>
      <c r="F17333" t="s">
        <v>163</v>
      </c>
      <c r="G17333">
        <v>85.58</v>
      </c>
      <c r="H17333">
        <v>251101</v>
      </c>
      <c r="I17333">
        <v>4470</v>
      </c>
      <c r="J17333" t="s">
        <v>203</v>
      </c>
      <c r="K17333">
        <v>2387.25</v>
      </c>
      <c r="L17333">
        <v>0</v>
      </c>
      <c r="M17333">
        <v>11001</v>
      </c>
      <c r="N17333" t="s">
        <v>93</v>
      </c>
      <c r="O17333">
        <v>251021</v>
      </c>
      <c r="P17333">
        <v>85.58</v>
      </c>
    </row>
    <row r="17334" spans="1:16" x14ac:dyDescent="0.25">
      <c r="A17334" t="s">
        <v>3296</v>
      </c>
      <c r="B17334" t="s">
        <v>2931</v>
      </c>
      <c r="C17334">
        <v>68</v>
      </c>
      <c r="D17334" t="str">
        <f>"24213786    "</f>
        <v xml:space="preserve">24213786    </v>
      </c>
      <c r="E17334" t="s">
        <v>161</v>
      </c>
      <c r="F17334" t="s">
        <v>163</v>
      </c>
      <c r="G17334">
        <v>2019.85</v>
      </c>
      <c r="H17334">
        <v>250101</v>
      </c>
      <c r="I17334">
        <v>4842</v>
      </c>
      <c r="J17334" t="s">
        <v>15</v>
      </c>
      <c r="K17334">
        <v>2319.84</v>
      </c>
      <c r="L17334">
        <v>0</v>
      </c>
      <c r="M17334">
        <v>11001</v>
      </c>
      <c r="N17334" t="s">
        <v>93</v>
      </c>
      <c r="O17334">
        <v>250102</v>
      </c>
      <c r="P17334">
        <v>2019.85</v>
      </c>
    </row>
    <row r="17335" spans="1:16" x14ac:dyDescent="0.25">
      <c r="A17335" t="s">
        <v>3296</v>
      </c>
      <c r="B17335" t="s">
        <v>2931</v>
      </c>
      <c r="C17335">
        <v>468</v>
      </c>
      <c r="D17335" t="str">
        <f>"25106081    "</f>
        <v xml:space="preserve">25106081    </v>
      </c>
      <c r="E17335" t="s">
        <v>161</v>
      </c>
      <c r="F17335" t="s">
        <v>163</v>
      </c>
      <c r="G17335">
        <v>1952.83</v>
      </c>
      <c r="H17335">
        <v>250201</v>
      </c>
      <c r="I17335">
        <v>4842</v>
      </c>
      <c r="J17335" t="s">
        <v>15</v>
      </c>
      <c r="K17335">
        <v>1952.83</v>
      </c>
      <c r="L17335">
        <v>0</v>
      </c>
      <c r="M17335">
        <v>11001</v>
      </c>
      <c r="N17335" t="s">
        <v>93</v>
      </c>
      <c r="O17335">
        <v>250123</v>
      </c>
      <c r="P17335">
        <v>1952.83</v>
      </c>
    </row>
    <row r="17336" spans="1:16" x14ac:dyDescent="0.25">
      <c r="A17336" t="s">
        <v>3296</v>
      </c>
      <c r="B17336" t="s">
        <v>2931</v>
      </c>
      <c r="C17336">
        <v>2299</v>
      </c>
      <c r="D17336" t="str">
        <f>"25116180    "</f>
        <v xml:space="preserve">25116180    </v>
      </c>
      <c r="E17336" t="s">
        <v>161</v>
      </c>
      <c r="F17336" t="s">
        <v>163</v>
      </c>
      <c r="G17336">
        <v>2020.74</v>
      </c>
      <c r="H17336">
        <v>250301</v>
      </c>
      <c r="I17336">
        <v>4842</v>
      </c>
      <c r="J17336" t="s">
        <v>15</v>
      </c>
      <c r="K17336">
        <v>2134.15</v>
      </c>
      <c r="L17336">
        <v>0</v>
      </c>
      <c r="M17336">
        <v>11001</v>
      </c>
      <c r="N17336" t="s">
        <v>93</v>
      </c>
      <c r="O17336">
        <v>250224</v>
      </c>
      <c r="P17336">
        <v>2020.74</v>
      </c>
    </row>
    <row r="17337" spans="1:16" x14ac:dyDescent="0.25">
      <c r="A17337" t="s">
        <v>3296</v>
      </c>
      <c r="B17337" t="s">
        <v>2931</v>
      </c>
      <c r="C17337">
        <v>3812</v>
      </c>
      <c r="D17337" t="str">
        <f>"25126198    "</f>
        <v xml:space="preserve">25126198    </v>
      </c>
      <c r="E17337" t="s">
        <v>161</v>
      </c>
      <c r="F17337" t="s">
        <v>163</v>
      </c>
      <c r="G17337">
        <v>1952.83</v>
      </c>
      <c r="H17337">
        <v>250401</v>
      </c>
      <c r="I17337">
        <v>4842</v>
      </c>
      <c r="J17337" t="s">
        <v>15</v>
      </c>
      <c r="K17337">
        <v>2047.83</v>
      </c>
      <c r="L17337">
        <v>0</v>
      </c>
      <c r="M17337">
        <v>11001</v>
      </c>
      <c r="N17337" t="s">
        <v>93</v>
      </c>
      <c r="O17337">
        <v>250402</v>
      </c>
      <c r="P17337">
        <v>1952.83</v>
      </c>
    </row>
    <row r="17338" spans="1:16" x14ac:dyDescent="0.25">
      <c r="A17338" t="s">
        <v>3296</v>
      </c>
      <c r="B17338" t="s">
        <v>2931</v>
      </c>
      <c r="C17338">
        <v>5540</v>
      </c>
      <c r="D17338" t="str">
        <f>"25136381    "</f>
        <v xml:space="preserve">25136381    </v>
      </c>
      <c r="E17338" t="s">
        <v>161</v>
      </c>
      <c r="F17338" t="s">
        <v>163</v>
      </c>
      <c r="G17338">
        <v>2023.11</v>
      </c>
      <c r="H17338">
        <v>250501</v>
      </c>
      <c r="I17338">
        <v>4842</v>
      </c>
      <c r="J17338" t="s">
        <v>15</v>
      </c>
      <c r="K17338">
        <v>2430.58</v>
      </c>
      <c r="L17338">
        <v>0</v>
      </c>
      <c r="M17338">
        <v>11001</v>
      </c>
      <c r="N17338" t="s">
        <v>93</v>
      </c>
      <c r="O17338">
        <v>250425</v>
      </c>
      <c r="P17338">
        <v>2023.11</v>
      </c>
    </row>
    <row r="17339" spans="1:16" x14ac:dyDescent="0.25">
      <c r="A17339" t="s">
        <v>3296</v>
      </c>
      <c r="B17339" t="s">
        <v>2931</v>
      </c>
      <c r="C17339">
        <v>7006</v>
      </c>
      <c r="D17339" t="str">
        <f>"25146427    "</f>
        <v xml:space="preserve">25146427    </v>
      </c>
      <c r="E17339" t="s">
        <v>161</v>
      </c>
      <c r="F17339" t="s">
        <v>163</v>
      </c>
      <c r="G17339">
        <v>2103.7399999999998</v>
      </c>
      <c r="H17339">
        <v>250601</v>
      </c>
      <c r="I17339">
        <v>4842</v>
      </c>
      <c r="J17339" t="s">
        <v>15</v>
      </c>
      <c r="K17339">
        <v>2103.7399999999998</v>
      </c>
      <c r="L17339">
        <v>0</v>
      </c>
      <c r="M17339">
        <v>11001</v>
      </c>
      <c r="N17339" t="s">
        <v>93</v>
      </c>
      <c r="O17339">
        <v>250521</v>
      </c>
      <c r="P17339">
        <v>2103.7399999999998</v>
      </c>
    </row>
    <row r="17340" spans="1:16" x14ac:dyDescent="0.25">
      <c r="A17340" t="s">
        <v>3296</v>
      </c>
      <c r="B17340" t="s">
        <v>2931</v>
      </c>
      <c r="C17340">
        <v>8886</v>
      </c>
      <c r="D17340" t="str">
        <f>"25156806    "</f>
        <v xml:space="preserve">25156806    </v>
      </c>
      <c r="E17340" t="s">
        <v>161</v>
      </c>
      <c r="F17340" t="s">
        <v>163</v>
      </c>
      <c r="G17340">
        <v>2018.83</v>
      </c>
      <c r="H17340">
        <v>250701</v>
      </c>
      <c r="I17340">
        <v>4842</v>
      </c>
      <c r="J17340" t="s">
        <v>15</v>
      </c>
      <c r="K17340">
        <v>2018.83</v>
      </c>
      <c r="L17340">
        <v>0</v>
      </c>
      <c r="M17340">
        <v>11001</v>
      </c>
      <c r="N17340" t="s">
        <v>93</v>
      </c>
      <c r="O17340">
        <v>250618</v>
      </c>
      <c r="P17340">
        <v>2018.83</v>
      </c>
    </row>
    <row r="17341" spans="1:16" x14ac:dyDescent="0.25">
      <c r="A17341" t="s">
        <v>3296</v>
      </c>
      <c r="B17341" t="s">
        <v>2931</v>
      </c>
      <c r="C17341">
        <v>9772</v>
      </c>
      <c r="D17341" t="str">
        <f>"25167266    "</f>
        <v xml:space="preserve">25167266    </v>
      </c>
      <c r="E17341" t="s">
        <v>161</v>
      </c>
      <c r="F17341" t="s">
        <v>163</v>
      </c>
      <c r="G17341">
        <v>1952.83</v>
      </c>
      <c r="H17341">
        <v>250801</v>
      </c>
      <c r="I17341">
        <v>4842</v>
      </c>
      <c r="J17341" t="s">
        <v>15</v>
      </c>
      <c r="K17341">
        <v>1952.83</v>
      </c>
      <c r="L17341">
        <v>0</v>
      </c>
      <c r="M17341">
        <v>11001</v>
      </c>
      <c r="N17341" t="s">
        <v>93</v>
      </c>
      <c r="O17341">
        <v>250728</v>
      </c>
      <c r="P17341">
        <v>1952.83</v>
      </c>
    </row>
    <row r="17342" spans="1:16" x14ac:dyDescent="0.25">
      <c r="A17342" t="s">
        <v>3296</v>
      </c>
      <c r="B17342" t="s">
        <v>2931</v>
      </c>
      <c r="C17342">
        <v>10871</v>
      </c>
      <c r="D17342" t="str">
        <f>"25177045    "</f>
        <v xml:space="preserve">25177045    </v>
      </c>
      <c r="E17342" t="s">
        <v>161</v>
      </c>
      <c r="F17342" t="s">
        <v>163</v>
      </c>
      <c r="G17342">
        <v>1952.83</v>
      </c>
      <c r="H17342">
        <v>250901</v>
      </c>
      <c r="I17342">
        <v>4842</v>
      </c>
      <c r="J17342" t="s">
        <v>15</v>
      </c>
      <c r="K17342">
        <v>2252.83</v>
      </c>
      <c r="L17342">
        <v>0</v>
      </c>
      <c r="M17342">
        <v>11001</v>
      </c>
      <c r="N17342" t="s">
        <v>93</v>
      </c>
      <c r="O17342">
        <v>250826</v>
      </c>
      <c r="P17342">
        <v>1952.83</v>
      </c>
    </row>
    <row r="17343" spans="1:16" x14ac:dyDescent="0.25">
      <c r="A17343" t="s">
        <v>3296</v>
      </c>
      <c r="B17343" t="s">
        <v>2931</v>
      </c>
      <c r="C17343">
        <v>12689</v>
      </c>
      <c r="D17343" t="str">
        <f>"25192612    "</f>
        <v xml:space="preserve">25192612    </v>
      </c>
      <c r="E17343" t="s">
        <v>161</v>
      </c>
      <c r="F17343" t="s">
        <v>163</v>
      </c>
      <c r="G17343">
        <v>2171.83</v>
      </c>
      <c r="H17343">
        <v>250922</v>
      </c>
      <c r="I17343">
        <v>4842</v>
      </c>
      <c r="J17343" t="s">
        <v>15</v>
      </c>
      <c r="K17343">
        <v>2171.83</v>
      </c>
      <c r="L17343">
        <v>0</v>
      </c>
      <c r="M17343">
        <v>11001</v>
      </c>
      <c r="N17343" t="s">
        <v>93</v>
      </c>
      <c r="O17343">
        <v>250929</v>
      </c>
      <c r="P17343">
        <v>2171.83</v>
      </c>
    </row>
    <row r="17344" spans="1:16" x14ac:dyDescent="0.25">
      <c r="A17344" t="s">
        <v>3296</v>
      </c>
      <c r="B17344" t="s">
        <v>2931</v>
      </c>
      <c r="C17344">
        <v>13215</v>
      </c>
      <c r="D17344" t="str">
        <f>"25192493    "</f>
        <v xml:space="preserve">25192493    </v>
      </c>
      <c r="E17344" t="s">
        <v>161</v>
      </c>
      <c r="F17344" t="s">
        <v>163</v>
      </c>
      <c r="G17344">
        <v>2172.0300000000002</v>
      </c>
      <c r="H17344">
        <v>251001</v>
      </c>
      <c r="I17344">
        <v>4842</v>
      </c>
      <c r="J17344" t="s">
        <v>15</v>
      </c>
      <c r="K17344">
        <v>2172.0300000000002</v>
      </c>
      <c r="L17344">
        <v>0</v>
      </c>
      <c r="M17344">
        <v>11001</v>
      </c>
      <c r="N17344" t="s">
        <v>93</v>
      </c>
      <c r="O17344">
        <v>251006</v>
      </c>
      <c r="P17344">
        <v>2172.0300000000002</v>
      </c>
    </row>
    <row r="17345" spans="1:16" x14ac:dyDescent="0.25">
      <c r="A17345" t="s">
        <v>3296</v>
      </c>
      <c r="B17345" t="s">
        <v>2931</v>
      </c>
      <c r="C17345">
        <v>13985</v>
      </c>
      <c r="D17345" t="str">
        <f>"25202387    "</f>
        <v xml:space="preserve">25202387    </v>
      </c>
      <c r="E17345" t="s">
        <v>161</v>
      </c>
      <c r="F17345" t="s">
        <v>163</v>
      </c>
      <c r="G17345">
        <v>2301.67</v>
      </c>
      <c r="H17345">
        <v>251101</v>
      </c>
      <c r="I17345">
        <v>4842</v>
      </c>
      <c r="J17345" t="s">
        <v>15</v>
      </c>
      <c r="K17345">
        <v>2387.25</v>
      </c>
      <c r="L17345">
        <v>0</v>
      </c>
      <c r="M17345">
        <v>11001</v>
      </c>
      <c r="N17345" t="s">
        <v>93</v>
      </c>
      <c r="O17345">
        <v>251021</v>
      </c>
      <c r="P17345">
        <v>2301.67</v>
      </c>
    </row>
    <row r="17346" spans="1:16" x14ac:dyDescent="0.25">
      <c r="A17346" t="s">
        <v>3296</v>
      </c>
      <c r="B17346" t="s">
        <v>2931</v>
      </c>
      <c r="C17346">
        <v>15493</v>
      </c>
      <c r="D17346" t="str">
        <f>"25212719    "</f>
        <v xml:space="preserve">25212719    </v>
      </c>
      <c r="E17346" t="s">
        <v>161</v>
      </c>
      <c r="F17346" t="s">
        <v>163</v>
      </c>
      <c r="G17346">
        <v>2102.29</v>
      </c>
      <c r="H17346">
        <v>251201</v>
      </c>
      <c r="I17346">
        <v>4842</v>
      </c>
      <c r="J17346" t="s">
        <v>15</v>
      </c>
      <c r="K17346">
        <v>2102.29</v>
      </c>
      <c r="L17346">
        <v>0</v>
      </c>
      <c r="M17346">
        <v>11001</v>
      </c>
      <c r="N17346" t="s">
        <v>93</v>
      </c>
      <c r="O17346">
        <v>251121</v>
      </c>
      <c r="P17346">
        <v>2102.29</v>
      </c>
    </row>
    <row r="17347" spans="1:16" x14ac:dyDescent="0.25">
      <c r="A17347" t="s">
        <v>3296</v>
      </c>
      <c r="B17347" t="s">
        <v>2931</v>
      </c>
      <c r="C17347">
        <v>18596</v>
      </c>
      <c r="D17347" t="str">
        <f>"26109912    "</f>
        <v xml:space="preserve">26109912    </v>
      </c>
      <c r="E17347" t="s">
        <v>161</v>
      </c>
      <c r="F17347" t="s">
        <v>163</v>
      </c>
      <c r="G17347">
        <v>2159.1999999999998</v>
      </c>
      <c r="H17347">
        <v>251231</v>
      </c>
      <c r="I17347">
        <v>4842</v>
      </c>
      <c r="J17347" t="s">
        <v>15</v>
      </c>
      <c r="K17347">
        <v>2159.1999999999998</v>
      </c>
      <c r="L17347">
        <v>0</v>
      </c>
      <c r="M17347">
        <v>11001</v>
      </c>
      <c r="N17347" t="s">
        <v>93</v>
      </c>
      <c r="O17347">
        <v>260119</v>
      </c>
      <c r="P17347">
        <v>2159.1999999999998</v>
      </c>
    </row>
    <row r="17348" spans="1:16" x14ac:dyDescent="0.25">
      <c r="A17348" t="s">
        <v>3296</v>
      </c>
      <c r="B17348" t="s">
        <v>2931</v>
      </c>
      <c r="C17348">
        <v>11440</v>
      </c>
      <c r="D17348" t="str">
        <f>"110607488   "</f>
        <v xml:space="preserve">110607488   </v>
      </c>
      <c r="E17348" t="s">
        <v>190</v>
      </c>
      <c r="F17348" t="s">
        <v>192</v>
      </c>
      <c r="G17348">
        <v>7.53</v>
      </c>
      <c r="H17348">
        <v>250822</v>
      </c>
      <c r="I17348">
        <v>4364</v>
      </c>
      <c r="J17348" t="s">
        <v>470</v>
      </c>
      <c r="K17348">
        <v>114.21</v>
      </c>
      <c r="L17348">
        <v>1.53</v>
      </c>
      <c r="M17348">
        <v>17950</v>
      </c>
      <c r="N17348" t="s">
        <v>132</v>
      </c>
      <c r="O17348">
        <v>250905</v>
      </c>
      <c r="P17348">
        <v>6</v>
      </c>
    </row>
    <row r="17349" spans="1:16" x14ac:dyDescent="0.25">
      <c r="A17349" t="s">
        <v>3296</v>
      </c>
      <c r="B17349" t="s">
        <v>2931</v>
      </c>
      <c r="C17349">
        <v>100</v>
      </c>
      <c r="D17349" t="str">
        <f t="shared" ref="D17349:D17354" si="289">"110425816   "</f>
        <v xml:space="preserve">110425816   </v>
      </c>
      <c r="E17349" t="s">
        <v>190</v>
      </c>
      <c r="F17349" t="s">
        <v>192</v>
      </c>
      <c r="G17349">
        <v>398.16</v>
      </c>
      <c r="H17349">
        <v>250101</v>
      </c>
      <c r="I17349">
        <v>4471</v>
      </c>
      <c r="J17349" t="s">
        <v>191</v>
      </c>
      <c r="K17349">
        <v>1525.06</v>
      </c>
      <c r="L17349">
        <v>80.900000000000006</v>
      </c>
      <c r="M17349">
        <v>59501</v>
      </c>
      <c r="N17349" t="s">
        <v>62</v>
      </c>
      <c r="O17349">
        <v>250108</v>
      </c>
      <c r="P17349">
        <v>317.26</v>
      </c>
    </row>
    <row r="17350" spans="1:16" x14ac:dyDescent="0.25">
      <c r="A17350" t="s">
        <v>3296</v>
      </c>
      <c r="B17350" t="s">
        <v>2931</v>
      </c>
      <c r="C17350">
        <v>100</v>
      </c>
      <c r="D17350" t="str">
        <f t="shared" si="289"/>
        <v xml:space="preserve">110425816   </v>
      </c>
      <c r="E17350" t="s">
        <v>190</v>
      </c>
      <c r="F17350" t="s">
        <v>192</v>
      </c>
      <c r="G17350">
        <v>278.70999999999998</v>
      </c>
      <c r="H17350">
        <v>250101</v>
      </c>
      <c r="I17350">
        <v>4471</v>
      </c>
      <c r="J17350" t="s">
        <v>191</v>
      </c>
      <c r="K17350">
        <v>1525.06</v>
      </c>
      <c r="L17350">
        <v>56.63</v>
      </c>
      <c r="M17350">
        <v>59502</v>
      </c>
      <c r="N17350" t="s">
        <v>63</v>
      </c>
      <c r="O17350">
        <v>250108</v>
      </c>
      <c r="P17350">
        <v>222.08</v>
      </c>
    </row>
    <row r="17351" spans="1:16" x14ac:dyDescent="0.25">
      <c r="A17351" t="s">
        <v>3296</v>
      </c>
      <c r="B17351" t="s">
        <v>2931</v>
      </c>
      <c r="C17351">
        <v>100</v>
      </c>
      <c r="D17351" t="str">
        <f t="shared" si="289"/>
        <v xml:space="preserve">110425816   </v>
      </c>
      <c r="E17351" t="s">
        <v>190</v>
      </c>
      <c r="F17351" t="s">
        <v>192</v>
      </c>
      <c r="G17351">
        <v>398.16</v>
      </c>
      <c r="H17351">
        <v>250101</v>
      </c>
      <c r="I17351">
        <v>4471</v>
      </c>
      <c r="J17351" t="s">
        <v>191</v>
      </c>
      <c r="K17351">
        <v>1525.06</v>
      </c>
      <c r="L17351">
        <v>80.900000000000006</v>
      </c>
      <c r="M17351">
        <v>59504</v>
      </c>
      <c r="N17351" t="s">
        <v>193</v>
      </c>
      <c r="O17351">
        <v>250108</v>
      </c>
      <c r="P17351">
        <v>317.26</v>
      </c>
    </row>
    <row r="17352" spans="1:16" x14ac:dyDescent="0.25">
      <c r="A17352" t="s">
        <v>3296</v>
      </c>
      <c r="B17352" t="s">
        <v>2931</v>
      </c>
      <c r="C17352">
        <v>100</v>
      </c>
      <c r="D17352" t="str">
        <f t="shared" si="289"/>
        <v xml:space="preserve">110425816   </v>
      </c>
      <c r="E17352" t="s">
        <v>190</v>
      </c>
      <c r="F17352" t="s">
        <v>192</v>
      </c>
      <c r="G17352">
        <v>290.92</v>
      </c>
      <c r="H17352">
        <v>250101</v>
      </c>
      <c r="I17352">
        <v>4471</v>
      </c>
      <c r="J17352" t="s">
        <v>191</v>
      </c>
      <c r="K17352">
        <v>1525.06</v>
      </c>
      <c r="L17352">
        <v>59.11</v>
      </c>
      <c r="M17352">
        <v>59505</v>
      </c>
      <c r="N17352" t="s">
        <v>194</v>
      </c>
      <c r="O17352">
        <v>250108</v>
      </c>
      <c r="P17352">
        <v>231.81</v>
      </c>
    </row>
    <row r="17353" spans="1:16" x14ac:dyDescent="0.25">
      <c r="A17353" t="s">
        <v>3296</v>
      </c>
      <c r="B17353" t="s">
        <v>2931</v>
      </c>
      <c r="C17353">
        <v>100</v>
      </c>
      <c r="D17353" t="str">
        <f t="shared" si="289"/>
        <v xml:space="preserve">110425816   </v>
      </c>
      <c r="E17353" t="s">
        <v>190</v>
      </c>
      <c r="F17353" t="s">
        <v>192</v>
      </c>
      <c r="G17353">
        <v>119.45</v>
      </c>
      <c r="H17353">
        <v>250101</v>
      </c>
      <c r="I17353">
        <v>4471</v>
      </c>
      <c r="J17353" t="s">
        <v>191</v>
      </c>
      <c r="K17353">
        <v>1525.06</v>
      </c>
      <c r="L17353">
        <v>24.27</v>
      </c>
      <c r="M17353">
        <v>59802</v>
      </c>
      <c r="N17353" t="s">
        <v>195</v>
      </c>
      <c r="O17353">
        <v>250108</v>
      </c>
      <c r="P17353">
        <v>95.18</v>
      </c>
    </row>
    <row r="17354" spans="1:16" x14ac:dyDescent="0.25">
      <c r="A17354" t="s">
        <v>3296</v>
      </c>
      <c r="B17354" t="s">
        <v>2931</v>
      </c>
      <c r="C17354">
        <v>100</v>
      </c>
      <c r="D17354" t="str">
        <f t="shared" si="289"/>
        <v xml:space="preserve">110425816   </v>
      </c>
      <c r="E17354" t="s">
        <v>190</v>
      </c>
      <c r="F17354" t="s">
        <v>192</v>
      </c>
      <c r="G17354">
        <v>39.659999999999997</v>
      </c>
      <c r="H17354">
        <v>250101</v>
      </c>
      <c r="I17354">
        <v>4471</v>
      </c>
      <c r="J17354" t="s">
        <v>191</v>
      </c>
      <c r="K17354">
        <v>1525.06</v>
      </c>
      <c r="L17354">
        <v>8.06</v>
      </c>
      <c r="M17354">
        <v>59812</v>
      </c>
      <c r="N17354" t="s">
        <v>196</v>
      </c>
      <c r="O17354">
        <v>250108</v>
      </c>
      <c r="P17354">
        <v>31.6</v>
      </c>
    </row>
    <row r="17355" spans="1:16" x14ac:dyDescent="0.25">
      <c r="A17355" t="s">
        <v>3296</v>
      </c>
      <c r="B17355" t="s">
        <v>2931</v>
      </c>
      <c r="C17355">
        <v>112</v>
      </c>
      <c r="D17355" t="str">
        <f t="shared" ref="D17355:D17360" si="290">"110429711   "</f>
        <v xml:space="preserve">110429711   </v>
      </c>
      <c r="E17355" t="s">
        <v>190</v>
      </c>
      <c r="F17355" t="s">
        <v>192</v>
      </c>
      <c r="G17355">
        <v>42.32</v>
      </c>
      <c r="H17355">
        <v>250101</v>
      </c>
      <c r="I17355">
        <v>4471</v>
      </c>
      <c r="J17355" t="s">
        <v>191</v>
      </c>
      <c r="K17355">
        <v>1345.94</v>
      </c>
      <c r="L17355">
        <v>8.6</v>
      </c>
      <c r="M17355">
        <v>13540</v>
      </c>
      <c r="N17355" t="s">
        <v>131</v>
      </c>
      <c r="O17355">
        <v>250110</v>
      </c>
      <c r="P17355">
        <v>33.72</v>
      </c>
    </row>
    <row r="17356" spans="1:16" x14ac:dyDescent="0.25">
      <c r="A17356" t="s">
        <v>3296</v>
      </c>
      <c r="B17356" t="s">
        <v>2931</v>
      </c>
      <c r="C17356">
        <v>112</v>
      </c>
      <c r="D17356" t="str">
        <f t="shared" si="290"/>
        <v xml:space="preserve">110429711   </v>
      </c>
      <c r="E17356" t="s">
        <v>190</v>
      </c>
      <c r="F17356" t="s">
        <v>192</v>
      </c>
      <c r="G17356">
        <v>7.17</v>
      </c>
      <c r="H17356">
        <v>250101</v>
      </c>
      <c r="I17356">
        <v>4471</v>
      </c>
      <c r="J17356" t="s">
        <v>191</v>
      </c>
      <c r="K17356">
        <v>1345.94</v>
      </c>
      <c r="L17356">
        <v>1.46</v>
      </c>
      <c r="M17356">
        <v>17950</v>
      </c>
      <c r="N17356" t="s">
        <v>132</v>
      </c>
      <c r="O17356">
        <v>250110</v>
      </c>
      <c r="P17356">
        <v>5.71</v>
      </c>
    </row>
    <row r="17357" spans="1:16" x14ac:dyDescent="0.25">
      <c r="A17357" t="s">
        <v>3296</v>
      </c>
      <c r="B17357" t="s">
        <v>2931</v>
      </c>
      <c r="C17357">
        <v>112</v>
      </c>
      <c r="D17357" t="str">
        <f t="shared" si="290"/>
        <v xml:space="preserve">110429711   </v>
      </c>
      <c r="E17357" t="s">
        <v>190</v>
      </c>
      <c r="F17357" t="s">
        <v>192</v>
      </c>
      <c r="G17357">
        <v>400.38</v>
      </c>
      <c r="H17357">
        <v>250101</v>
      </c>
      <c r="I17357">
        <v>4471</v>
      </c>
      <c r="J17357" t="s">
        <v>191</v>
      </c>
      <c r="K17357">
        <v>1345.94</v>
      </c>
      <c r="L17357">
        <v>81.349999999999994</v>
      </c>
      <c r="M17357">
        <v>17950</v>
      </c>
      <c r="N17357" t="s">
        <v>132</v>
      </c>
      <c r="O17357">
        <v>250110</v>
      </c>
      <c r="P17357">
        <v>319.02999999999997</v>
      </c>
    </row>
    <row r="17358" spans="1:16" x14ac:dyDescent="0.25">
      <c r="A17358" t="s">
        <v>3296</v>
      </c>
      <c r="B17358" t="s">
        <v>2931</v>
      </c>
      <c r="C17358">
        <v>112</v>
      </c>
      <c r="D17358" t="str">
        <f t="shared" si="290"/>
        <v xml:space="preserve">110429711   </v>
      </c>
      <c r="E17358" t="s">
        <v>190</v>
      </c>
      <c r="F17358" t="s">
        <v>192</v>
      </c>
      <c r="G17358">
        <v>302.51</v>
      </c>
      <c r="H17358">
        <v>250101</v>
      </c>
      <c r="I17358">
        <v>4471</v>
      </c>
      <c r="J17358" t="s">
        <v>191</v>
      </c>
      <c r="K17358">
        <v>1345.94</v>
      </c>
      <c r="L17358">
        <v>61.47</v>
      </c>
      <c r="M17358">
        <v>17951</v>
      </c>
      <c r="N17358" t="s">
        <v>207</v>
      </c>
      <c r="O17358">
        <v>250110</v>
      </c>
      <c r="P17358">
        <v>241.04</v>
      </c>
    </row>
    <row r="17359" spans="1:16" x14ac:dyDescent="0.25">
      <c r="A17359" t="s">
        <v>3296</v>
      </c>
      <c r="B17359" t="s">
        <v>2931</v>
      </c>
      <c r="C17359">
        <v>112</v>
      </c>
      <c r="D17359" t="str">
        <f t="shared" si="290"/>
        <v xml:space="preserve">110429711   </v>
      </c>
      <c r="E17359" t="s">
        <v>190</v>
      </c>
      <c r="F17359" t="s">
        <v>192</v>
      </c>
      <c r="G17359">
        <v>490.43</v>
      </c>
      <c r="H17359">
        <v>250101</v>
      </c>
      <c r="I17359">
        <v>4471</v>
      </c>
      <c r="J17359" t="s">
        <v>191</v>
      </c>
      <c r="K17359">
        <v>1345.94</v>
      </c>
      <c r="L17359">
        <v>99.65</v>
      </c>
      <c r="M17359">
        <v>17952</v>
      </c>
      <c r="N17359" t="s">
        <v>157</v>
      </c>
      <c r="O17359">
        <v>250110</v>
      </c>
      <c r="P17359">
        <v>390.78</v>
      </c>
    </row>
    <row r="17360" spans="1:16" x14ac:dyDescent="0.25">
      <c r="A17360" t="s">
        <v>3296</v>
      </c>
      <c r="B17360" t="s">
        <v>2931</v>
      </c>
      <c r="C17360">
        <v>112</v>
      </c>
      <c r="D17360" t="str">
        <f t="shared" si="290"/>
        <v xml:space="preserve">110429711   </v>
      </c>
      <c r="E17360" t="s">
        <v>190</v>
      </c>
      <c r="F17360" t="s">
        <v>192</v>
      </c>
      <c r="G17360">
        <v>103.13</v>
      </c>
      <c r="H17360">
        <v>250101</v>
      </c>
      <c r="I17360">
        <v>4471</v>
      </c>
      <c r="J17360" t="s">
        <v>191</v>
      </c>
      <c r="K17360">
        <v>1345.94</v>
      </c>
      <c r="L17360">
        <v>20.95</v>
      </c>
      <c r="M17360">
        <v>17956</v>
      </c>
      <c r="N17360" t="s">
        <v>170</v>
      </c>
      <c r="O17360">
        <v>250110</v>
      </c>
      <c r="P17360">
        <v>82.18</v>
      </c>
    </row>
    <row r="17361" spans="1:16" x14ac:dyDescent="0.25">
      <c r="A17361" t="s">
        <v>3296</v>
      </c>
      <c r="B17361" t="s">
        <v>2931</v>
      </c>
      <c r="C17361">
        <v>510</v>
      </c>
      <c r="D17361" t="str">
        <f>"110449300   "</f>
        <v xml:space="preserve">110449300   </v>
      </c>
      <c r="E17361" t="s">
        <v>190</v>
      </c>
      <c r="F17361" t="s">
        <v>192</v>
      </c>
      <c r="G17361">
        <v>6.9</v>
      </c>
      <c r="H17361">
        <v>250120</v>
      </c>
      <c r="I17361">
        <v>4471</v>
      </c>
      <c r="J17361" t="s">
        <v>191</v>
      </c>
      <c r="K17361">
        <v>195.78</v>
      </c>
      <c r="L17361">
        <v>1.4</v>
      </c>
      <c r="M17361">
        <v>13540</v>
      </c>
      <c r="N17361" t="s">
        <v>131</v>
      </c>
      <c r="O17361">
        <v>250123</v>
      </c>
      <c r="P17361">
        <v>5.5</v>
      </c>
    </row>
    <row r="17362" spans="1:16" x14ac:dyDescent="0.25">
      <c r="A17362" t="s">
        <v>3296</v>
      </c>
      <c r="B17362" t="s">
        <v>2931</v>
      </c>
      <c r="C17362">
        <v>510</v>
      </c>
      <c r="D17362" t="str">
        <f>"110449300   "</f>
        <v xml:space="preserve">110449300   </v>
      </c>
      <c r="E17362" t="s">
        <v>190</v>
      </c>
      <c r="F17362" t="s">
        <v>192</v>
      </c>
      <c r="G17362">
        <v>44.34</v>
      </c>
      <c r="H17362">
        <v>250120</v>
      </c>
      <c r="I17362">
        <v>4471</v>
      </c>
      <c r="J17362" t="s">
        <v>191</v>
      </c>
      <c r="K17362">
        <v>195.78</v>
      </c>
      <c r="L17362">
        <v>9.01</v>
      </c>
      <c r="M17362">
        <v>13540</v>
      </c>
      <c r="N17362" t="s">
        <v>131</v>
      </c>
      <c r="O17362">
        <v>250123</v>
      </c>
      <c r="P17362">
        <v>35.33</v>
      </c>
    </row>
    <row r="17363" spans="1:16" x14ac:dyDescent="0.25">
      <c r="A17363" t="s">
        <v>3296</v>
      </c>
      <c r="B17363" t="s">
        <v>2931</v>
      </c>
      <c r="C17363">
        <v>510</v>
      </c>
      <c r="D17363" t="str">
        <f>"110449300   "</f>
        <v xml:space="preserve">110449300   </v>
      </c>
      <c r="E17363" t="s">
        <v>190</v>
      </c>
      <c r="F17363" t="s">
        <v>192</v>
      </c>
      <c r="G17363">
        <v>55.85</v>
      </c>
      <c r="H17363">
        <v>250120</v>
      </c>
      <c r="I17363">
        <v>4471</v>
      </c>
      <c r="J17363" t="s">
        <v>191</v>
      </c>
      <c r="K17363">
        <v>195.78</v>
      </c>
      <c r="L17363">
        <v>11.35</v>
      </c>
      <c r="M17363">
        <v>17950</v>
      </c>
      <c r="N17363" t="s">
        <v>132</v>
      </c>
      <c r="O17363">
        <v>250123</v>
      </c>
      <c r="P17363">
        <v>44.5</v>
      </c>
    </row>
    <row r="17364" spans="1:16" x14ac:dyDescent="0.25">
      <c r="A17364" t="s">
        <v>3296</v>
      </c>
      <c r="B17364" t="s">
        <v>2931</v>
      </c>
      <c r="C17364">
        <v>510</v>
      </c>
      <c r="D17364" t="str">
        <f>"110449300   "</f>
        <v xml:space="preserve">110449300   </v>
      </c>
      <c r="E17364" t="s">
        <v>190</v>
      </c>
      <c r="F17364" t="s">
        <v>192</v>
      </c>
      <c r="G17364">
        <v>88.69</v>
      </c>
      <c r="H17364">
        <v>250120</v>
      </c>
      <c r="I17364">
        <v>4471</v>
      </c>
      <c r="J17364" t="s">
        <v>191</v>
      </c>
      <c r="K17364">
        <v>195.78</v>
      </c>
      <c r="L17364">
        <v>18.02</v>
      </c>
      <c r="M17364">
        <v>17950</v>
      </c>
      <c r="N17364" t="s">
        <v>132</v>
      </c>
      <c r="O17364">
        <v>250123</v>
      </c>
      <c r="P17364">
        <v>70.67</v>
      </c>
    </row>
    <row r="17365" spans="1:16" x14ac:dyDescent="0.25">
      <c r="A17365" t="s">
        <v>3296</v>
      </c>
      <c r="B17365" t="s">
        <v>2931</v>
      </c>
      <c r="C17365">
        <v>1001</v>
      </c>
      <c r="D17365" t="str">
        <f t="shared" ref="D17365:D17370" si="291">"110452034   "</f>
        <v xml:space="preserve">110452034   </v>
      </c>
      <c r="E17365" t="s">
        <v>190</v>
      </c>
      <c r="F17365" t="s">
        <v>192</v>
      </c>
      <c r="G17365">
        <v>398.16</v>
      </c>
      <c r="H17365">
        <v>250201</v>
      </c>
      <c r="I17365">
        <v>4471</v>
      </c>
      <c r="J17365" t="s">
        <v>191</v>
      </c>
      <c r="K17365">
        <v>1525.06</v>
      </c>
      <c r="L17365">
        <v>80.900000000000006</v>
      </c>
      <c r="M17365">
        <v>59501</v>
      </c>
      <c r="N17365" t="s">
        <v>62</v>
      </c>
      <c r="O17365">
        <v>250203</v>
      </c>
      <c r="P17365">
        <v>317.26</v>
      </c>
    </row>
    <row r="17366" spans="1:16" x14ac:dyDescent="0.25">
      <c r="A17366" t="s">
        <v>3296</v>
      </c>
      <c r="B17366" t="s">
        <v>2931</v>
      </c>
      <c r="C17366">
        <v>1001</v>
      </c>
      <c r="D17366" t="str">
        <f t="shared" si="291"/>
        <v xml:space="preserve">110452034   </v>
      </c>
      <c r="E17366" t="s">
        <v>190</v>
      </c>
      <c r="F17366" t="s">
        <v>192</v>
      </c>
      <c r="G17366">
        <v>278.70999999999998</v>
      </c>
      <c r="H17366">
        <v>250201</v>
      </c>
      <c r="I17366">
        <v>4471</v>
      </c>
      <c r="J17366" t="s">
        <v>191</v>
      </c>
      <c r="K17366">
        <v>1525.06</v>
      </c>
      <c r="L17366">
        <v>56.63</v>
      </c>
      <c r="M17366">
        <v>59502</v>
      </c>
      <c r="N17366" t="s">
        <v>63</v>
      </c>
      <c r="O17366">
        <v>250203</v>
      </c>
      <c r="P17366">
        <v>222.08</v>
      </c>
    </row>
    <row r="17367" spans="1:16" x14ac:dyDescent="0.25">
      <c r="A17367" t="s">
        <v>3296</v>
      </c>
      <c r="B17367" t="s">
        <v>2931</v>
      </c>
      <c r="C17367">
        <v>1001</v>
      </c>
      <c r="D17367" t="str">
        <f t="shared" si="291"/>
        <v xml:space="preserve">110452034   </v>
      </c>
      <c r="E17367" t="s">
        <v>190</v>
      </c>
      <c r="F17367" t="s">
        <v>192</v>
      </c>
      <c r="G17367">
        <v>398.16</v>
      </c>
      <c r="H17367">
        <v>250201</v>
      </c>
      <c r="I17367">
        <v>4471</v>
      </c>
      <c r="J17367" t="s">
        <v>191</v>
      </c>
      <c r="K17367">
        <v>1525.06</v>
      </c>
      <c r="L17367">
        <v>80.900000000000006</v>
      </c>
      <c r="M17367">
        <v>59504</v>
      </c>
      <c r="N17367" t="s">
        <v>193</v>
      </c>
      <c r="O17367">
        <v>250203</v>
      </c>
      <c r="P17367">
        <v>317.26</v>
      </c>
    </row>
    <row r="17368" spans="1:16" x14ac:dyDescent="0.25">
      <c r="A17368" t="s">
        <v>3296</v>
      </c>
      <c r="B17368" t="s">
        <v>2931</v>
      </c>
      <c r="C17368">
        <v>1001</v>
      </c>
      <c r="D17368" t="str">
        <f t="shared" si="291"/>
        <v xml:space="preserve">110452034   </v>
      </c>
      <c r="E17368" t="s">
        <v>190</v>
      </c>
      <c r="F17368" t="s">
        <v>192</v>
      </c>
      <c r="G17368">
        <v>290.92</v>
      </c>
      <c r="H17368">
        <v>250201</v>
      </c>
      <c r="I17368">
        <v>4471</v>
      </c>
      <c r="J17368" t="s">
        <v>191</v>
      </c>
      <c r="K17368">
        <v>1525.06</v>
      </c>
      <c r="L17368">
        <v>59.11</v>
      </c>
      <c r="M17368">
        <v>59505</v>
      </c>
      <c r="N17368" t="s">
        <v>194</v>
      </c>
      <c r="O17368">
        <v>250203</v>
      </c>
      <c r="P17368">
        <v>231.81</v>
      </c>
    </row>
    <row r="17369" spans="1:16" x14ac:dyDescent="0.25">
      <c r="A17369" t="s">
        <v>3296</v>
      </c>
      <c r="B17369" t="s">
        <v>2931</v>
      </c>
      <c r="C17369">
        <v>1001</v>
      </c>
      <c r="D17369" t="str">
        <f t="shared" si="291"/>
        <v xml:space="preserve">110452034   </v>
      </c>
      <c r="E17369" t="s">
        <v>190</v>
      </c>
      <c r="F17369" t="s">
        <v>192</v>
      </c>
      <c r="G17369">
        <v>119.45</v>
      </c>
      <c r="H17369">
        <v>250201</v>
      </c>
      <c r="I17369">
        <v>4471</v>
      </c>
      <c r="J17369" t="s">
        <v>191</v>
      </c>
      <c r="K17369">
        <v>1525.06</v>
      </c>
      <c r="L17369">
        <v>24.27</v>
      </c>
      <c r="M17369">
        <v>59802</v>
      </c>
      <c r="N17369" t="s">
        <v>195</v>
      </c>
      <c r="O17369">
        <v>250203</v>
      </c>
      <c r="P17369">
        <v>95.18</v>
      </c>
    </row>
    <row r="17370" spans="1:16" x14ac:dyDescent="0.25">
      <c r="A17370" t="s">
        <v>3296</v>
      </c>
      <c r="B17370" t="s">
        <v>2931</v>
      </c>
      <c r="C17370">
        <v>1001</v>
      </c>
      <c r="D17370" t="str">
        <f t="shared" si="291"/>
        <v xml:space="preserve">110452034   </v>
      </c>
      <c r="E17370" t="s">
        <v>190</v>
      </c>
      <c r="F17370" t="s">
        <v>192</v>
      </c>
      <c r="G17370">
        <v>39.659999999999997</v>
      </c>
      <c r="H17370">
        <v>250201</v>
      </c>
      <c r="I17370">
        <v>4471</v>
      </c>
      <c r="J17370" t="s">
        <v>191</v>
      </c>
      <c r="K17370">
        <v>1525.06</v>
      </c>
      <c r="L17370">
        <v>8.06</v>
      </c>
      <c r="M17370">
        <v>59812</v>
      </c>
      <c r="N17370" t="s">
        <v>196</v>
      </c>
      <c r="O17370">
        <v>250203</v>
      </c>
      <c r="P17370">
        <v>31.6</v>
      </c>
    </row>
    <row r="17371" spans="1:16" x14ac:dyDescent="0.25">
      <c r="A17371" t="s">
        <v>3296</v>
      </c>
      <c r="B17371" t="s">
        <v>2931</v>
      </c>
      <c r="C17371">
        <v>1005</v>
      </c>
      <c r="D17371" t="str">
        <f>"110454114   "</f>
        <v xml:space="preserve">110454114   </v>
      </c>
      <c r="E17371" t="s">
        <v>190</v>
      </c>
      <c r="F17371" t="s">
        <v>192</v>
      </c>
      <c r="G17371">
        <v>40.65</v>
      </c>
      <c r="H17371">
        <v>250201</v>
      </c>
      <c r="I17371">
        <v>4471</v>
      </c>
      <c r="J17371" t="s">
        <v>191</v>
      </c>
      <c r="K17371">
        <v>1345.94</v>
      </c>
      <c r="L17371">
        <v>8.26</v>
      </c>
      <c r="M17371">
        <v>13540</v>
      </c>
      <c r="N17371" t="s">
        <v>131</v>
      </c>
      <c r="O17371">
        <v>250203</v>
      </c>
      <c r="P17371">
        <v>32.39</v>
      </c>
    </row>
    <row r="17372" spans="1:16" x14ac:dyDescent="0.25">
      <c r="A17372" t="s">
        <v>3296</v>
      </c>
      <c r="B17372" t="s">
        <v>2931</v>
      </c>
      <c r="C17372">
        <v>1005</v>
      </c>
      <c r="D17372" t="str">
        <f>"110454114   "</f>
        <v xml:space="preserve">110454114   </v>
      </c>
      <c r="E17372" t="s">
        <v>190</v>
      </c>
      <c r="F17372" t="s">
        <v>192</v>
      </c>
      <c r="G17372">
        <v>328.87</v>
      </c>
      <c r="H17372">
        <v>250201</v>
      </c>
      <c r="I17372">
        <v>4471</v>
      </c>
      <c r="J17372" t="s">
        <v>191</v>
      </c>
      <c r="K17372">
        <v>1345.94</v>
      </c>
      <c r="L17372">
        <v>66.819999999999993</v>
      </c>
      <c r="M17372">
        <v>17950</v>
      </c>
      <c r="N17372" t="s">
        <v>132</v>
      </c>
      <c r="O17372">
        <v>250203</v>
      </c>
      <c r="P17372">
        <v>262.05</v>
      </c>
    </row>
    <row r="17373" spans="1:16" x14ac:dyDescent="0.25">
      <c r="A17373" t="s">
        <v>3296</v>
      </c>
      <c r="B17373" t="s">
        <v>2931</v>
      </c>
      <c r="C17373">
        <v>1005</v>
      </c>
      <c r="D17373" t="str">
        <f>"110454114   "</f>
        <v xml:space="preserve">110454114   </v>
      </c>
      <c r="E17373" t="s">
        <v>190</v>
      </c>
      <c r="F17373" t="s">
        <v>192</v>
      </c>
      <c r="G17373">
        <v>302.51</v>
      </c>
      <c r="H17373">
        <v>250201</v>
      </c>
      <c r="I17373">
        <v>4471</v>
      </c>
      <c r="J17373" t="s">
        <v>191</v>
      </c>
      <c r="K17373">
        <v>1345.94</v>
      </c>
      <c r="L17373">
        <v>61.47</v>
      </c>
      <c r="M17373">
        <v>17951</v>
      </c>
      <c r="N17373" t="s">
        <v>207</v>
      </c>
      <c r="O17373">
        <v>250203</v>
      </c>
      <c r="P17373">
        <v>241.04</v>
      </c>
    </row>
    <row r="17374" spans="1:16" x14ac:dyDescent="0.25">
      <c r="A17374" t="s">
        <v>3296</v>
      </c>
      <c r="B17374" t="s">
        <v>2931</v>
      </c>
      <c r="C17374">
        <v>1005</v>
      </c>
      <c r="D17374" t="str">
        <f>"110454114   "</f>
        <v xml:space="preserve">110454114   </v>
      </c>
      <c r="E17374" t="s">
        <v>190</v>
      </c>
      <c r="F17374" t="s">
        <v>192</v>
      </c>
      <c r="G17374">
        <v>490.43</v>
      </c>
      <c r="H17374">
        <v>250201</v>
      </c>
      <c r="I17374">
        <v>4471</v>
      </c>
      <c r="J17374" t="s">
        <v>191</v>
      </c>
      <c r="K17374">
        <v>1345.94</v>
      </c>
      <c r="L17374">
        <v>99.65</v>
      </c>
      <c r="M17374">
        <v>17952</v>
      </c>
      <c r="N17374" t="s">
        <v>157</v>
      </c>
      <c r="O17374">
        <v>250203</v>
      </c>
      <c r="P17374">
        <v>390.78</v>
      </c>
    </row>
    <row r="17375" spans="1:16" x14ac:dyDescent="0.25">
      <c r="A17375" t="s">
        <v>3296</v>
      </c>
      <c r="B17375" t="s">
        <v>2931</v>
      </c>
      <c r="C17375">
        <v>1005</v>
      </c>
      <c r="D17375" t="str">
        <f>"110454114   "</f>
        <v xml:space="preserve">110454114   </v>
      </c>
      <c r="E17375" t="s">
        <v>190</v>
      </c>
      <c r="F17375" t="s">
        <v>192</v>
      </c>
      <c r="G17375">
        <v>183.48</v>
      </c>
      <c r="H17375">
        <v>250201</v>
      </c>
      <c r="I17375">
        <v>4471</v>
      </c>
      <c r="J17375" t="s">
        <v>191</v>
      </c>
      <c r="K17375">
        <v>1345.94</v>
      </c>
      <c r="L17375">
        <v>37.28</v>
      </c>
      <c r="M17375">
        <v>17956</v>
      </c>
      <c r="N17375" t="s">
        <v>170</v>
      </c>
      <c r="O17375">
        <v>250203</v>
      </c>
      <c r="P17375">
        <v>146.19999999999999</v>
      </c>
    </row>
    <row r="17376" spans="1:16" x14ac:dyDescent="0.25">
      <c r="A17376" t="s">
        <v>3296</v>
      </c>
      <c r="B17376" t="s">
        <v>2931</v>
      </c>
      <c r="C17376">
        <v>1573</v>
      </c>
      <c r="D17376" t="str">
        <f>"110466073   "</f>
        <v xml:space="preserve">110466073   </v>
      </c>
      <c r="E17376" t="s">
        <v>190</v>
      </c>
      <c r="F17376" t="s">
        <v>192</v>
      </c>
      <c r="G17376">
        <v>114.21</v>
      </c>
      <c r="H17376">
        <v>250131</v>
      </c>
      <c r="I17376">
        <v>4471</v>
      </c>
      <c r="J17376" t="s">
        <v>191</v>
      </c>
      <c r="K17376">
        <v>114.21</v>
      </c>
      <c r="L17376">
        <v>23.21</v>
      </c>
      <c r="M17376">
        <v>17524</v>
      </c>
      <c r="N17376" t="s">
        <v>139</v>
      </c>
      <c r="O17376">
        <v>250211</v>
      </c>
      <c r="P17376">
        <v>91</v>
      </c>
    </row>
    <row r="17377" spans="1:16" x14ac:dyDescent="0.25">
      <c r="A17377" t="s">
        <v>3296</v>
      </c>
      <c r="B17377" t="s">
        <v>2931</v>
      </c>
      <c r="C17377">
        <v>1940</v>
      </c>
      <c r="D17377" t="str">
        <f>"110466074   "</f>
        <v xml:space="preserve">110466074   </v>
      </c>
      <c r="E17377" t="s">
        <v>190</v>
      </c>
      <c r="F17377" t="s">
        <v>192</v>
      </c>
      <c r="G17377">
        <v>70.28</v>
      </c>
      <c r="H17377">
        <v>250131</v>
      </c>
      <c r="I17377">
        <v>4471</v>
      </c>
      <c r="J17377" t="s">
        <v>191</v>
      </c>
      <c r="K17377">
        <v>70.28</v>
      </c>
      <c r="L17377">
        <v>14.28</v>
      </c>
      <c r="M17377">
        <v>13540</v>
      </c>
      <c r="N17377" t="s">
        <v>131</v>
      </c>
      <c r="O17377">
        <v>250218</v>
      </c>
      <c r="P17377">
        <v>56</v>
      </c>
    </row>
    <row r="17378" spans="1:16" x14ac:dyDescent="0.25">
      <c r="A17378" t="s">
        <v>3296</v>
      </c>
      <c r="B17378" t="s">
        <v>2931</v>
      </c>
      <c r="C17378">
        <v>2221</v>
      </c>
      <c r="D17378" t="str">
        <f>"110468227   "</f>
        <v xml:space="preserve">110468227   </v>
      </c>
      <c r="E17378" t="s">
        <v>190</v>
      </c>
      <c r="F17378" t="s">
        <v>192</v>
      </c>
      <c r="G17378">
        <v>65.260000000000005</v>
      </c>
      <c r="H17378">
        <v>250219</v>
      </c>
      <c r="I17378">
        <v>4471</v>
      </c>
      <c r="J17378" t="s">
        <v>191</v>
      </c>
      <c r="K17378">
        <v>65.260000000000005</v>
      </c>
      <c r="L17378">
        <v>13.26</v>
      </c>
      <c r="M17378">
        <v>59504</v>
      </c>
      <c r="N17378" t="s">
        <v>193</v>
      </c>
      <c r="O17378">
        <v>250221</v>
      </c>
      <c r="P17378">
        <v>52</v>
      </c>
    </row>
    <row r="17379" spans="1:16" x14ac:dyDescent="0.25">
      <c r="A17379" t="s">
        <v>3296</v>
      </c>
      <c r="B17379" t="s">
        <v>2931</v>
      </c>
      <c r="C17379">
        <v>2225</v>
      </c>
      <c r="D17379" t="str">
        <f>"110469620   "</f>
        <v xml:space="preserve">110469620   </v>
      </c>
      <c r="E17379" t="s">
        <v>190</v>
      </c>
      <c r="F17379" t="s">
        <v>192</v>
      </c>
      <c r="G17379">
        <v>70.28</v>
      </c>
      <c r="H17379">
        <v>250219</v>
      </c>
      <c r="I17379">
        <v>4471</v>
      </c>
      <c r="J17379" t="s">
        <v>191</v>
      </c>
      <c r="K17379">
        <v>70.28</v>
      </c>
      <c r="L17379">
        <v>14.28</v>
      </c>
      <c r="M17379">
        <v>17951</v>
      </c>
      <c r="N17379" t="s">
        <v>207</v>
      </c>
      <c r="O17379">
        <v>250221</v>
      </c>
      <c r="P17379">
        <v>56</v>
      </c>
    </row>
    <row r="17380" spans="1:16" x14ac:dyDescent="0.25">
      <c r="A17380" t="s">
        <v>3296</v>
      </c>
      <c r="B17380" t="s">
        <v>2931</v>
      </c>
      <c r="C17380">
        <v>2540</v>
      </c>
      <c r="D17380" t="str">
        <f t="shared" ref="D17380:D17385" si="292">"110471857   "</f>
        <v xml:space="preserve">110471857   </v>
      </c>
      <c r="E17380" t="s">
        <v>190</v>
      </c>
      <c r="F17380" t="s">
        <v>192</v>
      </c>
      <c r="G17380">
        <v>398.16</v>
      </c>
      <c r="H17380">
        <v>250301</v>
      </c>
      <c r="I17380">
        <v>4471</v>
      </c>
      <c r="J17380" t="s">
        <v>191</v>
      </c>
      <c r="K17380">
        <v>1525.06</v>
      </c>
      <c r="L17380">
        <v>80.900000000000006</v>
      </c>
      <c r="M17380">
        <v>59501</v>
      </c>
      <c r="N17380" t="s">
        <v>62</v>
      </c>
      <c r="O17380">
        <v>250303</v>
      </c>
      <c r="P17380">
        <v>317.26</v>
      </c>
    </row>
    <row r="17381" spans="1:16" x14ac:dyDescent="0.25">
      <c r="A17381" t="s">
        <v>3296</v>
      </c>
      <c r="B17381" t="s">
        <v>2931</v>
      </c>
      <c r="C17381">
        <v>2540</v>
      </c>
      <c r="D17381" t="str">
        <f t="shared" si="292"/>
        <v xml:space="preserve">110471857   </v>
      </c>
      <c r="E17381" t="s">
        <v>190</v>
      </c>
      <c r="F17381" t="s">
        <v>192</v>
      </c>
      <c r="G17381">
        <v>278.70999999999998</v>
      </c>
      <c r="H17381">
        <v>250301</v>
      </c>
      <c r="I17381">
        <v>4471</v>
      </c>
      <c r="J17381" t="s">
        <v>191</v>
      </c>
      <c r="K17381">
        <v>1525.06</v>
      </c>
      <c r="L17381">
        <v>56.63</v>
      </c>
      <c r="M17381">
        <v>59502</v>
      </c>
      <c r="N17381" t="s">
        <v>63</v>
      </c>
      <c r="O17381">
        <v>250303</v>
      </c>
      <c r="P17381">
        <v>222.08</v>
      </c>
    </row>
    <row r="17382" spans="1:16" x14ac:dyDescent="0.25">
      <c r="A17382" t="s">
        <v>3296</v>
      </c>
      <c r="B17382" t="s">
        <v>2931</v>
      </c>
      <c r="C17382">
        <v>2540</v>
      </c>
      <c r="D17382" t="str">
        <f t="shared" si="292"/>
        <v xml:space="preserve">110471857   </v>
      </c>
      <c r="E17382" t="s">
        <v>190</v>
      </c>
      <c r="F17382" t="s">
        <v>192</v>
      </c>
      <c r="G17382">
        <v>398.15</v>
      </c>
      <c r="H17382">
        <v>250301</v>
      </c>
      <c r="I17382">
        <v>4471</v>
      </c>
      <c r="J17382" t="s">
        <v>191</v>
      </c>
      <c r="K17382">
        <v>1525.06</v>
      </c>
      <c r="L17382">
        <v>80.900000000000006</v>
      </c>
      <c r="M17382">
        <v>59504</v>
      </c>
      <c r="N17382" t="s">
        <v>193</v>
      </c>
      <c r="O17382">
        <v>250303</v>
      </c>
      <c r="P17382">
        <v>317.25</v>
      </c>
    </row>
    <row r="17383" spans="1:16" x14ac:dyDescent="0.25">
      <c r="A17383" t="s">
        <v>3296</v>
      </c>
      <c r="B17383" t="s">
        <v>2931</v>
      </c>
      <c r="C17383">
        <v>2540</v>
      </c>
      <c r="D17383" t="str">
        <f t="shared" si="292"/>
        <v xml:space="preserve">110471857   </v>
      </c>
      <c r="E17383" t="s">
        <v>190</v>
      </c>
      <c r="F17383" t="s">
        <v>192</v>
      </c>
      <c r="G17383">
        <v>290.94</v>
      </c>
      <c r="H17383">
        <v>250301</v>
      </c>
      <c r="I17383">
        <v>4471</v>
      </c>
      <c r="J17383" t="s">
        <v>191</v>
      </c>
      <c r="K17383">
        <v>1525.06</v>
      </c>
      <c r="L17383">
        <v>59.12</v>
      </c>
      <c r="M17383">
        <v>59505</v>
      </c>
      <c r="N17383" t="s">
        <v>194</v>
      </c>
      <c r="O17383">
        <v>250303</v>
      </c>
      <c r="P17383">
        <v>231.82</v>
      </c>
    </row>
    <row r="17384" spans="1:16" x14ac:dyDescent="0.25">
      <c r="A17384" t="s">
        <v>3296</v>
      </c>
      <c r="B17384" t="s">
        <v>2931</v>
      </c>
      <c r="C17384">
        <v>2540</v>
      </c>
      <c r="D17384" t="str">
        <f t="shared" si="292"/>
        <v xml:space="preserve">110471857   </v>
      </c>
      <c r="E17384" t="s">
        <v>190</v>
      </c>
      <c r="F17384" t="s">
        <v>192</v>
      </c>
      <c r="G17384">
        <v>119.44</v>
      </c>
      <c r="H17384">
        <v>250301</v>
      </c>
      <c r="I17384">
        <v>4471</v>
      </c>
      <c r="J17384" t="s">
        <v>191</v>
      </c>
      <c r="K17384">
        <v>1525.06</v>
      </c>
      <c r="L17384">
        <v>24.27</v>
      </c>
      <c r="M17384">
        <v>59802</v>
      </c>
      <c r="N17384" t="s">
        <v>195</v>
      </c>
      <c r="O17384">
        <v>250303</v>
      </c>
      <c r="P17384">
        <v>95.17</v>
      </c>
    </row>
    <row r="17385" spans="1:16" x14ac:dyDescent="0.25">
      <c r="A17385" t="s">
        <v>3296</v>
      </c>
      <c r="B17385" t="s">
        <v>2931</v>
      </c>
      <c r="C17385">
        <v>2540</v>
      </c>
      <c r="D17385" t="str">
        <f t="shared" si="292"/>
        <v xml:space="preserve">110471857   </v>
      </c>
      <c r="E17385" t="s">
        <v>190</v>
      </c>
      <c r="F17385" t="s">
        <v>192</v>
      </c>
      <c r="G17385">
        <v>39.659999999999997</v>
      </c>
      <c r="H17385">
        <v>250301</v>
      </c>
      <c r="I17385">
        <v>4471</v>
      </c>
      <c r="J17385" t="s">
        <v>191</v>
      </c>
      <c r="K17385">
        <v>1525.06</v>
      </c>
      <c r="L17385">
        <v>8.06</v>
      </c>
      <c r="M17385">
        <v>59812</v>
      </c>
      <c r="N17385" t="s">
        <v>196</v>
      </c>
      <c r="O17385">
        <v>250303</v>
      </c>
      <c r="P17385">
        <v>31.6</v>
      </c>
    </row>
    <row r="17386" spans="1:16" x14ac:dyDescent="0.25">
      <c r="A17386" t="s">
        <v>3296</v>
      </c>
      <c r="B17386" t="s">
        <v>2931</v>
      </c>
      <c r="C17386">
        <v>2818</v>
      </c>
      <c r="D17386" t="str">
        <f>"110473935   "</f>
        <v xml:space="preserve">110473935   </v>
      </c>
      <c r="E17386" t="s">
        <v>190</v>
      </c>
      <c r="F17386" t="s">
        <v>192</v>
      </c>
      <c r="G17386">
        <v>40.65</v>
      </c>
      <c r="H17386">
        <v>250301</v>
      </c>
      <c r="I17386">
        <v>4471</v>
      </c>
      <c r="J17386" t="s">
        <v>191</v>
      </c>
      <c r="K17386">
        <v>1345.94</v>
      </c>
      <c r="L17386">
        <v>8.26</v>
      </c>
      <c r="M17386">
        <v>13540</v>
      </c>
      <c r="N17386" t="s">
        <v>131</v>
      </c>
      <c r="O17386">
        <v>250312</v>
      </c>
      <c r="P17386">
        <v>32.39</v>
      </c>
    </row>
    <row r="17387" spans="1:16" x14ac:dyDescent="0.25">
      <c r="A17387" t="s">
        <v>3296</v>
      </c>
      <c r="B17387" t="s">
        <v>2931</v>
      </c>
      <c r="C17387">
        <v>2818</v>
      </c>
      <c r="D17387" t="str">
        <f>"110473935   "</f>
        <v xml:space="preserve">110473935   </v>
      </c>
      <c r="E17387" t="s">
        <v>190</v>
      </c>
      <c r="F17387" t="s">
        <v>192</v>
      </c>
      <c r="G17387">
        <v>328.87</v>
      </c>
      <c r="H17387">
        <v>250301</v>
      </c>
      <c r="I17387">
        <v>4471</v>
      </c>
      <c r="J17387" t="s">
        <v>191</v>
      </c>
      <c r="K17387">
        <v>1345.94</v>
      </c>
      <c r="L17387">
        <v>66.819999999999993</v>
      </c>
      <c r="M17387">
        <v>17950</v>
      </c>
      <c r="N17387" t="s">
        <v>132</v>
      </c>
      <c r="O17387">
        <v>250312</v>
      </c>
      <c r="P17387">
        <v>262.05</v>
      </c>
    </row>
    <row r="17388" spans="1:16" x14ac:dyDescent="0.25">
      <c r="A17388" t="s">
        <v>3296</v>
      </c>
      <c r="B17388" t="s">
        <v>2931</v>
      </c>
      <c r="C17388">
        <v>2818</v>
      </c>
      <c r="D17388" t="str">
        <f>"110473935   "</f>
        <v xml:space="preserve">110473935   </v>
      </c>
      <c r="E17388" t="s">
        <v>190</v>
      </c>
      <c r="F17388" t="s">
        <v>192</v>
      </c>
      <c r="G17388">
        <v>302.51</v>
      </c>
      <c r="H17388">
        <v>250301</v>
      </c>
      <c r="I17388">
        <v>4471</v>
      </c>
      <c r="J17388" t="s">
        <v>191</v>
      </c>
      <c r="K17388">
        <v>1345.94</v>
      </c>
      <c r="L17388">
        <v>61.47</v>
      </c>
      <c r="M17388">
        <v>17951</v>
      </c>
      <c r="N17388" t="s">
        <v>207</v>
      </c>
      <c r="O17388">
        <v>250312</v>
      </c>
      <c r="P17388">
        <v>241.04</v>
      </c>
    </row>
    <row r="17389" spans="1:16" x14ac:dyDescent="0.25">
      <c r="A17389" t="s">
        <v>3296</v>
      </c>
      <c r="B17389" t="s">
        <v>2931</v>
      </c>
      <c r="C17389">
        <v>2818</v>
      </c>
      <c r="D17389" t="str">
        <f>"110473935   "</f>
        <v xml:space="preserve">110473935   </v>
      </c>
      <c r="E17389" t="s">
        <v>190</v>
      </c>
      <c r="F17389" t="s">
        <v>192</v>
      </c>
      <c r="G17389">
        <v>490.43</v>
      </c>
      <c r="H17389">
        <v>250301</v>
      </c>
      <c r="I17389">
        <v>4471</v>
      </c>
      <c r="J17389" t="s">
        <v>191</v>
      </c>
      <c r="K17389">
        <v>1345.94</v>
      </c>
      <c r="L17389">
        <v>99.65</v>
      </c>
      <c r="M17389">
        <v>17952</v>
      </c>
      <c r="N17389" t="s">
        <v>157</v>
      </c>
      <c r="O17389">
        <v>250312</v>
      </c>
      <c r="P17389">
        <v>390.78</v>
      </c>
    </row>
    <row r="17390" spans="1:16" x14ac:dyDescent="0.25">
      <c r="A17390" t="s">
        <v>3296</v>
      </c>
      <c r="B17390" t="s">
        <v>2931</v>
      </c>
      <c r="C17390">
        <v>2818</v>
      </c>
      <c r="D17390" t="str">
        <f>"110473935   "</f>
        <v xml:space="preserve">110473935   </v>
      </c>
      <c r="E17390" t="s">
        <v>190</v>
      </c>
      <c r="F17390" t="s">
        <v>192</v>
      </c>
      <c r="G17390">
        <v>183.48</v>
      </c>
      <c r="H17390">
        <v>250301</v>
      </c>
      <c r="I17390">
        <v>4471</v>
      </c>
      <c r="J17390" t="s">
        <v>191</v>
      </c>
      <c r="K17390">
        <v>1345.94</v>
      </c>
      <c r="L17390">
        <v>37.28</v>
      </c>
      <c r="M17390">
        <v>17956</v>
      </c>
      <c r="N17390" t="s">
        <v>170</v>
      </c>
      <c r="O17390">
        <v>250312</v>
      </c>
      <c r="P17390">
        <v>146.19999999999999</v>
      </c>
    </row>
    <row r="17391" spans="1:16" x14ac:dyDescent="0.25">
      <c r="A17391" t="s">
        <v>3296</v>
      </c>
      <c r="B17391" t="s">
        <v>2931</v>
      </c>
      <c r="C17391">
        <v>3553</v>
      </c>
      <c r="D17391" t="str">
        <f>"110487010   "</f>
        <v xml:space="preserve">110487010   </v>
      </c>
      <c r="E17391" t="s">
        <v>190</v>
      </c>
      <c r="F17391" t="s">
        <v>192</v>
      </c>
      <c r="G17391">
        <v>46.69</v>
      </c>
      <c r="H17391">
        <v>250313</v>
      </c>
      <c r="I17391">
        <v>4471</v>
      </c>
      <c r="J17391" t="s">
        <v>191</v>
      </c>
      <c r="K17391">
        <v>46.69</v>
      </c>
      <c r="L17391">
        <v>9.49</v>
      </c>
      <c r="M17391">
        <v>17950</v>
      </c>
      <c r="N17391" t="s">
        <v>132</v>
      </c>
      <c r="O17391">
        <v>250325</v>
      </c>
      <c r="P17391">
        <v>37.200000000000003</v>
      </c>
    </row>
    <row r="17392" spans="1:16" x14ac:dyDescent="0.25">
      <c r="A17392" t="s">
        <v>3296</v>
      </c>
      <c r="B17392" t="s">
        <v>2931</v>
      </c>
      <c r="C17392">
        <v>3621</v>
      </c>
      <c r="D17392" t="str">
        <f>"110487108   "</f>
        <v xml:space="preserve">110487108   </v>
      </c>
      <c r="E17392" t="s">
        <v>190</v>
      </c>
      <c r="F17392" t="s">
        <v>192</v>
      </c>
      <c r="G17392">
        <v>122.99</v>
      </c>
      <c r="H17392">
        <v>250317</v>
      </c>
      <c r="I17392">
        <v>4471</v>
      </c>
      <c r="J17392" t="s">
        <v>191</v>
      </c>
      <c r="K17392">
        <v>122.99</v>
      </c>
      <c r="L17392">
        <v>24.99</v>
      </c>
      <c r="M17392">
        <v>59501</v>
      </c>
      <c r="N17392" t="s">
        <v>62</v>
      </c>
      <c r="O17392">
        <v>250326</v>
      </c>
      <c r="P17392">
        <v>98</v>
      </c>
    </row>
    <row r="17393" spans="1:16" x14ac:dyDescent="0.25">
      <c r="A17393" t="s">
        <v>3296</v>
      </c>
      <c r="B17393" t="s">
        <v>2931</v>
      </c>
      <c r="C17393">
        <v>3739</v>
      </c>
      <c r="D17393" t="str">
        <f>"110487757   "</f>
        <v xml:space="preserve">110487757   </v>
      </c>
      <c r="E17393" t="s">
        <v>190</v>
      </c>
      <c r="F17393" t="s">
        <v>192</v>
      </c>
      <c r="G17393">
        <v>65.260000000000005</v>
      </c>
      <c r="H17393">
        <v>250319</v>
      </c>
      <c r="I17393">
        <v>4471</v>
      </c>
      <c r="J17393" t="s">
        <v>191</v>
      </c>
      <c r="K17393">
        <v>65.260000000000005</v>
      </c>
      <c r="L17393">
        <v>13.26</v>
      </c>
      <c r="M17393">
        <v>59504</v>
      </c>
      <c r="N17393" t="s">
        <v>193</v>
      </c>
      <c r="O17393">
        <v>250401</v>
      </c>
      <c r="P17393">
        <v>52</v>
      </c>
    </row>
    <row r="17394" spans="1:16" x14ac:dyDescent="0.25">
      <c r="A17394" t="s">
        <v>3296</v>
      </c>
      <c r="B17394" t="s">
        <v>2931</v>
      </c>
      <c r="C17394">
        <v>3750</v>
      </c>
      <c r="D17394" t="str">
        <f>"110489007   "</f>
        <v xml:space="preserve">110489007   </v>
      </c>
      <c r="E17394" t="s">
        <v>190</v>
      </c>
      <c r="F17394" t="s">
        <v>192</v>
      </c>
      <c r="G17394">
        <v>70.28</v>
      </c>
      <c r="H17394">
        <v>250319</v>
      </c>
      <c r="I17394">
        <v>4471</v>
      </c>
      <c r="J17394" t="s">
        <v>191</v>
      </c>
      <c r="K17394">
        <v>70.28</v>
      </c>
      <c r="L17394">
        <v>14.28</v>
      </c>
      <c r="M17394">
        <v>17950</v>
      </c>
      <c r="N17394" t="s">
        <v>132</v>
      </c>
      <c r="O17394">
        <v>250401</v>
      </c>
      <c r="P17394">
        <v>56</v>
      </c>
    </row>
    <row r="17395" spans="1:16" x14ac:dyDescent="0.25">
      <c r="A17395" t="s">
        <v>3296</v>
      </c>
      <c r="B17395" t="s">
        <v>2931</v>
      </c>
      <c r="C17395">
        <v>3762</v>
      </c>
      <c r="D17395" t="str">
        <f>"110489008   "</f>
        <v xml:space="preserve">110489008   </v>
      </c>
      <c r="E17395" t="s">
        <v>190</v>
      </c>
      <c r="F17395" t="s">
        <v>192</v>
      </c>
      <c r="G17395">
        <v>41.83</v>
      </c>
      <c r="H17395">
        <v>250319</v>
      </c>
      <c r="I17395">
        <v>4471</v>
      </c>
      <c r="J17395" t="s">
        <v>191</v>
      </c>
      <c r="K17395">
        <v>258.52999999999997</v>
      </c>
      <c r="L17395">
        <v>8.5</v>
      </c>
      <c r="M17395">
        <v>13540</v>
      </c>
      <c r="N17395" t="s">
        <v>131</v>
      </c>
      <c r="O17395">
        <v>250401</v>
      </c>
      <c r="P17395">
        <v>33.33</v>
      </c>
    </row>
    <row r="17396" spans="1:16" x14ac:dyDescent="0.25">
      <c r="A17396" t="s">
        <v>3296</v>
      </c>
      <c r="B17396" t="s">
        <v>2931</v>
      </c>
      <c r="C17396">
        <v>3762</v>
      </c>
      <c r="D17396" t="str">
        <f>"110489008   "</f>
        <v xml:space="preserve">110489008   </v>
      </c>
      <c r="E17396" t="s">
        <v>190</v>
      </c>
      <c r="F17396" t="s">
        <v>192</v>
      </c>
      <c r="G17396">
        <v>44.34</v>
      </c>
      <c r="H17396">
        <v>250319</v>
      </c>
      <c r="I17396">
        <v>4471</v>
      </c>
      <c r="J17396" t="s">
        <v>191</v>
      </c>
      <c r="K17396">
        <v>258.52999999999997</v>
      </c>
      <c r="L17396">
        <v>9.01</v>
      </c>
      <c r="M17396">
        <v>13540</v>
      </c>
      <c r="N17396" t="s">
        <v>131</v>
      </c>
      <c r="O17396">
        <v>250401</v>
      </c>
      <c r="P17396">
        <v>35.33</v>
      </c>
    </row>
    <row r="17397" spans="1:16" x14ac:dyDescent="0.25">
      <c r="A17397" t="s">
        <v>3296</v>
      </c>
      <c r="B17397" t="s">
        <v>2931</v>
      </c>
      <c r="C17397">
        <v>3762</v>
      </c>
      <c r="D17397" t="str">
        <f>"110489008   "</f>
        <v xml:space="preserve">110489008   </v>
      </c>
      <c r="E17397" t="s">
        <v>190</v>
      </c>
      <c r="F17397" t="s">
        <v>192</v>
      </c>
      <c r="G17397">
        <v>83.67</v>
      </c>
      <c r="H17397">
        <v>250319</v>
      </c>
      <c r="I17397">
        <v>4471</v>
      </c>
      <c r="J17397" t="s">
        <v>191</v>
      </c>
      <c r="K17397">
        <v>258.52999999999997</v>
      </c>
      <c r="L17397">
        <v>17</v>
      </c>
      <c r="M17397">
        <v>17950</v>
      </c>
      <c r="N17397" t="s">
        <v>132</v>
      </c>
      <c r="O17397">
        <v>250401</v>
      </c>
      <c r="P17397">
        <v>66.67</v>
      </c>
    </row>
    <row r="17398" spans="1:16" x14ac:dyDescent="0.25">
      <c r="A17398" t="s">
        <v>3296</v>
      </c>
      <c r="B17398" t="s">
        <v>2931</v>
      </c>
      <c r="C17398">
        <v>3762</v>
      </c>
      <c r="D17398" t="str">
        <f>"110489008   "</f>
        <v xml:space="preserve">110489008   </v>
      </c>
      <c r="E17398" t="s">
        <v>190</v>
      </c>
      <c r="F17398" t="s">
        <v>192</v>
      </c>
      <c r="G17398">
        <v>88.69</v>
      </c>
      <c r="H17398">
        <v>250319</v>
      </c>
      <c r="I17398">
        <v>4471</v>
      </c>
      <c r="J17398" t="s">
        <v>191</v>
      </c>
      <c r="K17398">
        <v>258.52999999999997</v>
      </c>
      <c r="L17398">
        <v>18.02</v>
      </c>
      <c r="M17398">
        <v>17950</v>
      </c>
      <c r="N17398" t="s">
        <v>132</v>
      </c>
      <c r="O17398">
        <v>250401</v>
      </c>
      <c r="P17398">
        <v>70.67</v>
      </c>
    </row>
    <row r="17399" spans="1:16" x14ac:dyDescent="0.25">
      <c r="A17399" t="s">
        <v>3296</v>
      </c>
      <c r="B17399" t="s">
        <v>2931</v>
      </c>
      <c r="C17399">
        <v>4252</v>
      </c>
      <c r="D17399" t="str">
        <f t="shared" ref="D17399:D17404" si="293">"110493831   "</f>
        <v xml:space="preserve">110493831   </v>
      </c>
      <c r="E17399" t="s">
        <v>190</v>
      </c>
      <c r="F17399" t="s">
        <v>192</v>
      </c>
      <c r="G17399">
        <v>398.16</v>
      </c>
      <c r="H17399">
        <v>250401</v>
      </c>
      <c r="I17399">
        <v>4471</v>
      </c>
      <c r="J17399" t="s">
        <v>191</v>
      </c>
      <c r="K17399">
        <v>1525.06</v>
      </c>
      <c r="L17399">
        <v>80.900000000000006</v>
      </c>
      <c r="M17399">
        <v>59501</v>
      </c>
      <c r="N17399" t="s">
        <v>62</v>
      </c>
      <c r="O17399">
        <v>250409</v>
      </c>
      <c r="P17399">
        <v>317.26</v>
      </c>
    </row>
    <row r="17400" spans="1:16" x14ac:dyDescent="0.25">
      <c r="A17400" t="s">
        <v>3296</v>
      </c>
      <c r="B17400" t="s">
        <v>2931</v>
      </c>
      <c r="C17400">
        <v>4252</v>
      </c>
      <c r="D17400" t="str">
        <f t="shared" si="293"/>
        <v xml:space="preserve">110493831   </v>
      </c>
      <c r="E17400" t="s">
        <v>190</v>
      </c>
      <c r="F17400" t="s">
        <v>192</v>
      </c>
      <c r="G17400">
        <v>278.74</v>
      </c>
      <c r="H17400">
        <v>250401</v>
      </c>
      <c r="I17400">
        <v>4471</v>
      </c>
      <c r="J17400" t="s">
        <v>191</v>
      </c>
      <c r="K17400">
        <v>1525.06</v>
      </c>
      <c r="L17400">
        <v>56.64</v>
      </c>
      <c r="M17400">
        <v>59502</v>
      </c>
      <c r="N17400" t="s">
        <v>63</v>
      </c>
      <c r="O17400">
        <v>250409</v>
      </c>
      <c r="P17400">
        <v>222.1</v>
      </c>
    </row>
    <row r="17401" spans="1:16" x14ac:dyDescent="0.25">
      <c r="A17401" t="s">
        <v>3296</v>
      </c>
      <c r="B17401" t="s">
        <v>2931</v>
      </c>
      <c r="C17401">
        <v>4252</v>
      </c>
      <c r="D17401" t="str">
        <f t="shared" si="293"/>
        <v xml:space="preserve">110493831   </v>
      </c>
      <c r="E17401" t="s">
        <v>190</v>
      </c>
      <c r="F17401" t="s">
        <v>192</v>
      </c>
      <c r="G17401">
        <v>398.15</v>
      </c>
      <c r="H17401">
        <v>250401</v>
      </c>
      <c r="I17401">
        <v>4471</v>
      </c>
      <c r="J17401" t="s">
        <v>191</v>
      </c>
      <c r="K17401">
        <v>1525.06</v>
      </c>
      <c r="L17401">
        <v>80.900000000000006</v>
      </c>
      <c r="M17401">
        <v>59504</v>
      </c>
      <c r="N17401" t="s">
        <v>193</v>
      </c>
      <c r="O17401">
        <v>250409</v>
      </c>
      <c r="P17401">
        <v>317.25</v>
      </c>
    </row>
    <row r="17402" spans="1:16" x14ac:dyDescent="0.25">
      <c r="A17402" t="s">
        <v>3296</v>
      </c>
      <c r="B17402" t="s">
        <v>2931</v>
      </c>
      <c r="C17402">
        <v>4252</v>
      </c>
      <c r="D17402" t="str">
        <f t="shared" si="293"/>
        <v xml:space="preserve">110493831   </v>
      </c>
      <c r="E17402" t="s">
        <v>190</v>
      </c>
      <c r="F17402" t="s">
        <v>192</v>
      </c>
      <c r="G17402">
        <v>290.91000000000003</v>
      </c>
      <c r="H17402">
        <v>250401</v>
      </c>
      <c r="I17402">
        <v>4471</v>
      </c>
      <c r="J17402" t="s">
        <v>191</v>
      </c>
      <c r="K17402">
        <v>1525.06</v>
      </c>
      <c r="L17402">
        <v>59.11</v>
      </c>
      <c r="M17402">
        <v>59505</v>
      </c>
      <c r="N17402" t="s">
        <v>194</v>
      </c>
      <c r="O17402">
        <v>250409</v>
      </c>
      <c r="P17402">
        <v>231.8</v>
      </c>
    </row>
    <row r="17403" spans="1:16" x14ac:dyDescent="0.25">
      <c r="A17403" t="s">
        <v>3296</v>
      </c>
      <c r="B17403" t="s">
        <v>2931</v>
      </c>
      <c r="C17403">
        <v>4252</v>
      </c>
      <c r="D17403" t="str">
        <f t="shared" si="293"/>
        <v xml:space="preserve">110493831   </v>
      </c>
      <c r="E17403" t="s">
        <v>190</v>
      </c>
      <c r="F17403" t="s">
        <v>192</v>
      </c>
      <c r="G17403">
        <v>119.44</v>
      </c>
      <c r="H17403">
        <v>250401</v>
      </c>
      <c r="I17403">
        <v>4471</v>
      </c>
      <c r="J17403" t="s">
        <v>191</v>
      </c>
      <c r="K17403">
        <v>1525.06</v>
      </c>
      <c r="L17403">
        <v>24.27</v>
      </c>
      <c r="M17403">
        <v>59802</v>
      </c>
      <c r="N17403" t="s">
        <v>195</v>
      </c>
      <c r="O17403">
        <v>250409</v>
      </c>
      <c r="P17403">
        <v>95.17</v>
      </c>
    </row>
    <row r="17404" spans="1:16" x14ac:dyDescent="0.25">
      <c r="A17404" t="s">
        <v>3296</v>
      </c>
      <c r="B17404" t="s">
        <v>2931</v>
      </c>
      <c r="C17404">
        <v>4252</v>
      </c>
      <c r="D17404" t="str">
        <f t="shared" si="293"/>
        <v xml:space="preserve">110493831   </v>
      </c>
      <c r="E17404" t="s">
        <v>190</v>
      </c>
      <c r="F17404" t="s">
        <v>192</v>
      </c>
      <c r="G17404">
        <v>39.659999999999997</v>
      </c>
      <c r="H17404">
        <v>250401</v>
      </c>
      <c r="I17404">
        <v>4471</v>
      </c>
      <c r="J17404" t="s">
        <v>191</v>
      </c>
      <c r="K17404">
        <v>1525.06</v>
      </c>
      <c r="L17404">
        <v>8.06</v>
      </c>
      <c r="M17404">
        <v>59812</v>
      </c>
      <c r="N17404" t="s">
        <v>196</v>
      </c>
      <c r="O17404">
        <v>250409</v>
      </c>
      <c r="P17404">
        <v>31.6</v>
      </c>
    </row>
    <row r="17405" spans="1:16" x14ac:dyDescent="0.25">
      <c r="A17405" t="s">
        <v>3296</v>
      </c>
      <c r="B17405" t="s">
        <v>2931</v>
      </c>
      <c r="C17405">
        <v>4373</v>
      </c>
      <c r="D17405" t="str">
        <f t="shared" ref="D17405:D17410" si="294">"110497593   "</f>
        <v xml:space="preserve">110497593   </v>
      </c>
      <c r="E17405" t="s">
        <v>190</v>
      </c>
      <c r="F17405" t="s">
        <v>192</v>
      </c>
      <c r="G17405">
        <v>40.65</v>
      </c>
      <c r="H17405">
        <v>250401</v>
      </c>
      <c r="I17405">
        <v>4471</v>
      </c>
      <c r="J17405" t="s">
        <v>191</v>
      </c>
      <c r="K17405">
        <v>1391.12</v>
      </c>
      <c r="L17405">
        <v>8.26</v>
      </c>
      <c r="M17405">
        <v>13540</v>
      </c>
      <c r="N17405" t="s">
        <v>131</v>
      </c>
      <c r="O17405">
        <v>250411</v>
      </c>
      <c r="P17405">
        <v>32.39</v>
      </c>
    </row>
    <row r="17406" spans="1:16" x14ac:dyDescent="0.25">
      <c r="A17406" t="s">
        <v>3296</v>
      </c>
      <c r="B17406" t="s">
        <v>2931</v>
      </c>
      <c r="C17406">
        <v>4373</v>
      </c>
      <c r="D17406" t="str">
        <f t="shared" si="294"/>
        <v xml:space="preserve">110497593   </v>
      </c>
      <c r="E17406" t="s">
        <v>190</v>
      </c>
      <c r="F17406" t="s">
        <v>192</v>
      </c>
      <c r="G17406">
        <v>45.18</v>
      </c>
      <c r="H17406">
        <v>250401</v>
      </c>
      <c r="I17406">
        <v>4471</v>
      </c>
      <c r="J17406" t="s">
        <v>191</v>
      </c>
      <c r="K17406">
        <v>1391.12</v>
      </c>
      <c r="L17406">
        <v>9.18</v>
      </c>
      <c r="M17406">
        <v>17950</v>
      </c>
      <c r="N17406" t="s">
        <v>132</v>
      </c>
      <c r="O17406">
        <v>250411</v>
      </c>
      <c r="P17406">
        <v>36</v>
      </c>
    </row>
    <row r="17407" spans="1:16" x14ac:dyDescent="0.25">
      <c r="A17407" t="s">
        <v>3296</v>
      </c>
      <c r="B17407" t="s">
        <v>2931</v>
      </c>
      <c r="C17407">
        <v>4373</v>
      </c>
      <c r="D17407" t="str">
        <f t="shared" si="294"/>
        <v xml:space="preserve">110497593   </v>
      </c>
      <c r="E17407" t="s">
        <v>190</v>
      </c>
      <c r="F17407" t="s">
        <v>192</v>
      </c>
      <c r="G17407">
        <v>328.87</v>
      </c>
      <c r="H17407">
        <v>250401</v>
      </c>
      <c r="I17407">
        <v>4471</v>
      </c>
      <c r="J17407" t="s">
        <v>191</v>
      </c>
      <c r="K17407">
        <v>1391.12</v>
      </c>
      <c r="L17407">
        <v>66.819999999999993</v>
      </c>
      <c r="M17407">
        <v>17950</v>
      </c>
      <c r="N17407" t="s">
        <v>132</v>
      </c>
      <c r="O17407">
        <v>250411</v>
      </c>
      <c r="P17407">
        <v>262.05</v>
      </c>
    </row>
    <row r="17408" spans="1:16" x14ac:dyDescent="0.25">
      <c r="A17408" t="s">
        <v>3296</v>
      </c>
      <c r="B17408" t="s">
        <v>2931</v>
      </c>
      <c r="C17408">
        <v>4373</v>
      </c>
      <c r="D17408" t="str">
        <f t="shared" si="294"/>
        <v xml:space="preserve">110497593   </v>
      </c>
      <c r="E17408" t="s">
        <v>190</v>
      </c>
      <c r="F17408" t="s">
        <v>192</v>
      </c>
      <c r="G17408">
        <v>302.51</v>
      </c>
      <c r="H17408">
        <v>250401</v>
      </c>
      <c r="I17408">
        <v>4471</v>
      </c>
      <c r="J17408" t="s">
        <v>191</v>
      </c>
      <c r="K17408">
        <v>1391.12</v>
      </c>
      <c r="L17408">
        <v>61.47</v>
      </c>
      <c r="M17408">
        <v>17951</v>
      </c>
      <c r="N17408" t="s">
        <v>207</v>
      </c>
      <c r="O17408">
        <v>250411</v>
      </c>
      <c r="P17408">
        <v>241.04</v>
      </c>
    </row>
    <row r="17409" spans="1:16" x14ac:dyDescent="0.25">
      <c r="A17409" t="s">
        <v>3296</v>
      </c>
      <c r="B17409" t="s">
        <v>2931</v>
      </c>
      <c r="C17409">
        <v>4373</v>
      </c>
      <c r="D17409" t="str">
        <f t="shared" si="294"/>
        <v xml:space="preserve">110497593   </v>
      </c>
      <c r="E17409" t="s">
        <v>190</v>
      </c>
      <c r="F17409" t="s">
        <v>192</v>
      </c>
      <c r="G17409">
        <v>490.43</v>
      </c>
      <c r="H17409">
        <v>250401</v>
      </c>
      <c r="I17409">
        <v>4471</v>
      </c>
      <c r="J17409" t="s">
        <v>191</v>
      </c>
      <c r="K17409">
        <v>1391.12</v>
      </c>
      <c r="L17409">
        <v>99.65</v>
      </c>
      <c r="M17409">
        <v>17952</v>
      </c>
      <c r="N17409" t="s">
        <v>157</v>
      </c>
      <c r="O17409">
        <v>250411</v>
      </c>
      <c r="P17409">
        <v>390.78</v>
      </c>
    </row>
    <row r="17410" spans="1:16" x14ac:dyDescent="0.25">
      <c r="A17410" t="s">
        <v>3296</v>
      </c>
      <c r="B17410" t="s">
        <v>2931</v>
      </c>
      <c r="C17410">
        <v>4373</v>
      </c>
      <c r="D17410" t="str">
        <f t="shared" si="294"/>
        <v xml:space="preserve">110497593   </v>
      </c>
      <c r="E17410" t="s">
        <v>190</v>
      </c>
      <c r="F17410" t="s">
        <v>192</v>
      </c>
      <c r="G17410">
        <v>183.48</v>
      </c>
      <c r="H17410">
        <v>250401</v>
      </c>
      <c r="I17410">
        <v>4471</v>
      </c>
      <c r="J17410" t="s">
        <v>191</v>
      </c>
      <c r="K17410">
        <v>1391.12</v>
      </c>
      <c r="L17410">
        <v>37.28</v>
      </c>
      <c r="M17410">
        <v>17956</v>
      </c>
      <c r="N17410" t="s">
        <v>170</v>
      </c>
      <c r="O17410">
        <v>250411</v>
      </c>
      <c r="P17410">
        <v>146.19999999999999</v>
      </c>
    </row>
    <row r="17411" spans="1:16" x14ac:dyDescent="0.25">
      <c r="A17411" t="s">
        <v>3296</v>
      </c>
      <c r="B17411" t="s">
        <v>2931</v>
      </c>
      <c r="C17411">
        <v>4633</v>
      </c>
      <c r="D17411" t="str">
        <f>"110513110   "</f>
        <v xml:space="preserve">110513110   </v>
      </c>
      <c r="E17411" t="s">
        <v>190</v>
      </c>
      <c r="F17411" t="s">
        <v>192</v>
      </c>
      <c r="G17411">
        <v>38.07</v>
      </c>
      <c r="H17411">
        <v>250331</v>
      </c>
      <c r="I17411">
        <v>4471</v>
      </c>
      <c r="J17411" t="s">
        <v>191</v>
      </c>
      <c r="K17411">
        <v>114.21</v>
      </c>
      <c r="L17411">
        <v>7.74</v>
      </c>
      <c r="M17411">
        <v>17950</v>
      </c>
      <c r="N17411" t="s">
        <v>132</v>
      </c>
      <c r="O17411">
        <v>250414</v>
      </c>
      <c r="P17411">
        <v>30.33</v>
      </c>
    </row>
    <row r="17412" spans="1:16" x14ac:dyDescent="0.25">
      <c r="A17412" t="s">
        <v>3296</v>
      </c>
      <c r="B17412" t="s">
        <v>2931</v>
      </c>
      <c r="C17412">
        <v>4633</v>
      </c>
      <c r="D17412" t="str">
        <f>"110513110   "</f>
        <v xml:space="preserve">110513110   </v>
      </c>
      <c r="E17412" t="s">
        <v>190</v>
      </c>
      <c r="F17412" t="s">
        <v>192</v>
      </c>
      <c r="G17412">
        <v>76.14</v>
      </c>
      <c r="H17412">
        <v>250331</v>
      </c>
      <c r="I17412">
        <v>4471</v>
      </c>
      <c r="J17412" t="s">
        <v>191</v>
      </c>
      <c r="K17412">
        <v>114.21</v>
      </c>
      <c r="L17412">
        <v>15.47</v>
      </c>
      <c r="M17412">
        <v>17950</v>
      </c>
      <c r="N17412" t="s">
        <v>132</v>
      </c>
      <c r="O17412">
        <v>250414</v>
      </c>
      <c r="P17412">
        <v>60.67</v>
      </c>
    </row>
    <row r="17413" spans="1:16" x14ac:dyDescent="0.25">
      <c r="A17413" t="s">
        <v>3296</v>
      </c>
      <c r="B17413" t="s">
        <v>2931</v>
      </c>
      <c r="C17413">
        <v>5573</v>
      </c>
      <c r="D17413" t="str">
        <f>"110516045   "</f>
        <v xml:space="preserve">110516045   </v>
      </c>
      <c r="E17413" t="s">
        <v>190</v>
      </c>
      <c r="F17413" t="s">
        <v>192</v>
      </c>
      <c r="G17413">
        <v>70.28</v>
      </c>
      <c r="H17413">
        <v>250422</v>
      </c>
      <c r="I17413">
        <v>4471</v>
      </c>
      <c r="J17413" t="s">
        <v>191</v>
      </c>
      <c r="K17413">
        <v>70.28</v>
      </c>
      <c r="L17413">
        <v>14.28</v>
      </c>
      <c r="M17413">
        <v>17950</v>
      </c>
      <c r="N17413" t="s">
        <v>132</v>
      </c>
      <c r="O17413">
        <v>250425</v>
      </c>
      <c r="P17413">
        <v>56</v>
      </c>
    </row>
    <row r="17414" spans="1:16" x14ac:dyDescent="0.25">
      <c r="A17414" t="s">
        <v>3296</v>
      </c>
      <c r="B17414" t="s">
        <v>2931</v>
      </c>
      <c r="C17414">
        <v>5591</v>
      </c>
      <c r="D17414" t="str">
        <f>"110516745   "</f>
        <v xml:space="preserve">110516745   </v>
      </c>
      <c r="E17414" t="s">
        <v>190</v>
      </c>
      <c r="F17414" t="s">
        <v>192</v>
      </c>
      <c r="G17414">
        <v>12.56</v>
      </c>
      <c r="H17414">
        <v>250422</v>
      </c>
      <c r="I17414">
        <v>4471</v>
      </c>
      <c r="J17414" t="s">
        <v>191</v>
      </c>
      <c r="K17414">
        <v>114.21</v>
      </c>
      <c r="L17414">
        <v>2.5499999999999998</v>
      </c>
      <c r="M17414">
        <v>17950</v>
      </c>
      <c r="N17414" t="s">
        <v>132</v>
      </c>
      <c r="O17414">
        <v>250425</v>
      </c>
      <c r="P17414">
        <v>10.01</v>
      </c>
    </row>
    <row r="17415" spans="1:16" x14ac:dyDescent="0.25">
      <c r="A17415" t="s">
        <v>3296</v>
      </c>
      <c r="B17415" t="s">
        <v>2931</v>
      </c>
      <c r="C17415">
        <v>5591</v>
      </c>
      <c r="D17415" t="str">
        <f>"110516745   "</f>
        <v xml:space="preserve">110516745   </v>
      </c>
      <c r="E17415" t="s">
        <v>190</v>
      </c>
      <c r="F17415" t="s">
        <v>192</v>
      </c>
      <c r="G17415">
        <v>101.65</v>
      </c>
      <c r="H17415">
        <v>250422</v>
      </c>
      <c r="I17415">
        <v>4471</v>
      </c>
      <c r="J17415" t="s">
        <v>191</v>
      </c>
      <c r="K17415">
        <v>114.21</v>
      </c>
      <c r="L17415">
        <v>20.65</v>
      </c>
      <c r="M17415">
        <v>17950</v>
      </c>
      <c r="N17415" t="s">
        <v>132</v>
      </c>
      <c r="O17415">
        <v>250425</v>
      </c>
      <c r="P17415">
        <v>81</v>
      </c>
    </row>
    <row r="17416" spans="1:16" x14ac:dyDescent="0.25">
      <c r="A17416" t="s">
        <v>3296</v>
      </c>
      <c r="B17416" t="s">
        <v>2931</v>
      </c>
      <c r="C17416">
        <v>5614</v>
      </c>
      <c r="D17416" t="str">
        <f>"110516744   "</f>
        <v xml:space="preserve">110516744   </v>
      </c>
      <c r="E17416" t="s">
        <v>190</v>
      </c>
      <c r="F17416" t="s">
        <v>192</v>
      </c>
      <c r="G17416">
        <v>70.28</v>
      </c>
      <c r="H17416">
        <v>250422</v>
      </c>
      <c r="I17416">
        <v>4471</v>
      </c>
      <c r="J17416" t="s">
        <v>191</v>
      </c>
      <c r="K17416">
        <v>70.28</v>
      </c>
      <c r="L17416">
        <v>14.28</v>
      </c>
      <c r="M17416">
        <v>17950</v>
      </c>
      <c r="N17416" t="s">
        <v>132</v>
      </c>
      <c r="O17416">
        <v>250425</v>
      </c>
      <c r="P17416">
        <v>56</v>
      </c>
    </row>
    <row r="17417" spans="1:16" x14ac:dyDescent="0.25">
      <c r="A17417" t="s">
        <v>3296</v>
      </c>
      <c r="B17417" t="s">
        <v>2931</v>
      </c>
      <c r="C17417">
        <v>5806</v>
      </c>
      <c r="D17417" t="str">
        <f t="shared" ref="D17417:D17422" si="295">"110519192   "</f>
        <v xml:space="preserve">110519192   </v>
      </c>
      <c r="E17417" t="s">
        <v>190</v>
      </c>
      <c r="F17417" t="s">
        <v>192</v>
      </c>
      <c r="G17417">
        <v>398.16</v>
      </c>
      <c r="H17417">
        <v>250501</v>
      </c>
      <c r="I17417">
        <v>4471</v>
      </c>
      <c r="J17417" t="s">
        <v>191</v>
      </c>
      <c r="K17417">
        <v>1525.06</v>
      </c>
      <c r="L17417">
        <v>80.900000000000006</v>
      </c>
      <c r="M17417">
        <v>59501</v>
      </c>
      <c r="N17417" t="s">
        <v>62</v>
      </c>
      <c r="O17417">
        <v>250505</v>
      </c>
      <c r="P17417">
        <v>317.26</v>
      </c>
    </row>
    <row r="17418" spans="1:16" x14ac:dyDescent="0.25">
      <c r="A17418" t="s">
        <v>3296</v>
      </c>
      <c r="B17418" t="s">
        <v>2931</v>
      </c>
      <c r="C17418">
        <v>5806</v>
      </c>
      <c r="D17418" t="str">
        <f t="shared" si="295"/>
        <v xml:space="preserve">110519192   </v>
      </c>
      <c r="E17418" t="s">
        <v>190</v>
      </c>
      <c r="F17418" t="s">
        <v>192</v>
      </c>
      <c r="G17418">
        <v>278.74</v>
      </c>
      <c r="H17418">
        <v>250501</v>
      </c>
      <c r="I17418">
        <v>4471</v>
      </c>
      <c r="J17418" t="s">
        <v>191</v>
      </c>
      <c r="K17418">
        <v>1525.06</v>
      </c>
      <c r="L17418">
        <v>56.64</v>
      </c>
      <c r="M17418">
        <v>59502</v>
      </c>
      <c r="N17418" t="s">
        <v>63</v>
      </c>
      <c r="O17418">
        <v>250505</v>
      </c>
      <c r="P17418">
        <v>222.1</v>
      </c>
    </row>
    <row r="17419" spans="1:16" x14ac:dyDescent="0.25">
      <c r="A17419" t="s">
        <v>3296</v>
      </c>
      <c r="B17419" t="s">
        <v>2931</v>
      </c>
      <c r="C17419">
        <v>5806</v>
      </c>
      <c r="D17419" t="str">
        <f t="shared" si="295"/>
        <v xml:space="preserve">110519192   </v>
      </c>
      <c r="E17419" t="s">
        <v>190</v>
      </c>
      <c r="F17419" t="s">
        <v>192</v>
      </c>
      <c r="G17419">
        <v>398.15</v>
      </c>
      <c r="H17419">
        <v>250501</v>
      </c>
      <c r="I17419">
        <v>4471</v>
      </c>
      <c r="J17419" t="s">
        <v>191</v>
      </c>
      <c r="K17419">
        <v>1525.06</v>
      </c>
      <c r="L17419">
        <v>80.900000000000006</v>
      </c>
      <c r="M17419">
        <v>59504</v>
      </c>
      <c r="N17419" t="s">
        <v>193</v>
      </c>
      <c r="O17419">
        <v>250505</v>
      </c>
      <c r="P17419">
        <v>317.25</v>
      </c>
    </row>
    <row r="17420" spans="1:16" x14ac:dyDescent="0.25">
      <c r="A17420" t="s">
        <v>3296</v>
      </c>
      <c r="B17420" t="s">
        <v>2931</v>
      </c>
      <c r="C17420">
        <v>5806</v>
      </c>
      <c r="D17420" t="str">
        <f t="shared" si="295"/>
        <v xml:space="preserve">110519192   </v>
      </c>
      <c r="E17420" t="s">
        <v>190</v>
      </c>
      <c r="F17420" t="s">
        <v>192</v>
      </c>
      <c r="G17420">
        <v>290.91000000000003</v>
      </c>
      <c r="H17420">
        <v>250501</v>
      </c>
      <c r="I17420">
        <v>4471</v>
      </c>
      <c r="J17420" t="s">
        <v>191</v>
      </c>
      <c r="K17420">
        <v>1525.06</v>
      </c>
      <c r="L17420">
        <v>59.11</v>
      </c>
      <c r="M17420">
        <v>59505</v>
      </c>
      <c r="N17420" t="s">
        <v>194</v>
      </c>
      <c r="O17420">
        <v>250505</v>
      </c>
      <c r="P17420">
        <v>231.8</v>
      </c>
    </row>
    <row r="17421" spans="1:16" x14ac:dyDescent="0.25">
      <c r="A17421" t="s">
        <v>3296</v>
      </c>
      <c r="B17421" t="s">
        <v>2931</v>
      </c>
      <c r="C17421">
        <v>5806</v>
      </c>
      <c r="D17421" t="str">
        <f t="shared" si="295"/>
        <v xml:space="preserve">110519192   </v>
      </c>
      <c r="E17421" t="s">
        <v>190</v>
      </c>
      <c r="F17421" t="s">
        <v>192</v>
      </c>
      <c r="G17421">
        <v>119.44</v>
      </c>
      <c r="H17421">
        <v>250501</v>
      </c>
      <c r="I17421">
        <v>4471</v>
      </c>
      <c r="J17421" t="s">
        <v>191</v>
      </c>
      <c r="K17421">
        <v>1525.06</v>
      </c>
      <c r="L17421">
        <v>24.27</v>
      </c>
      <c r="M17421">
        <v>59802</v>
      </c>
      <c r="N17421" t="s">
        <v>195</v>
      </c>
      <c r="O17421">
        <v>250505</v>
      </c>
      <c r="P17421">
        <v>95.17</v>
      </c>
    </row>
    <row r="17422" spans="1:16" x14ac:dyDescent="0.25">
      <c r="A17422" t="s">
        <v>3296</v>
      </c>
      <c r="B17422" t="s">
        <v>2931</v>
      </c>
      <c r="C17422">
        <v>5806</v>
      </c>
      <c r="D17422" t="str">
        <f t="shared" si="295"/>
        <v xml:space="preserve">110519192   </v>
      </c>
      <c r="E17422" t="s">
        <v>190</v>
      </c>
      <c r="F17422" t="s">
        <v>192</v>
      </c>
      <c r="G17422">
        <v>39.659999999999997</v>
      </c>
      <c r="H17422">
        <v>250501</v>
      </c>
      <c r="I17422">
        <v>4471</v>
      </c>
      <c r="J17422" t="s">
        <v>191</v>
      </c>
      <c r="K17422">
        <v>1525.06</v>
      </c>
      <c r="L17422">
        <v>8.06</v>
      </c>
      <c r="M17422">
        <v>59812</v>
      </c>
      <c r="N17422" t="s">
        <v>196</v>
      </c>
      <c r="O17422">
        <v>250505</v>
      </c>
      <c r="P17422">
        <v>31.6</v>
      </c>
    </row>
    <row r="17423" spans="1:16" x14ac:dyDescent="0.25">
      <c r="A17423" t="s">
        <v>3296</v>
      </c>
      <c r="B17423" t="s">
        <v>2931</v>
      </c>
      <c r="C17423">
        <v>5848</v>
      </c>
      <c r="D17423" t="str">
        <f>"110521230   "</f>
        <v xml:space="preserve">110521230   </v>
      </c>
      <c r="E17423" t="s">
        <v>190</v>
      </c>
      <c r="F17423" t="s">
        <v>192</v>
      </c>
      <c r="G17423">
        <v>40.61</v>
      </c>
      <c r="H17423">
        <v>250501</v>
      </c>
      <c r="I17423">
        <v>4471</v>
      </c>
      <c r="J17423" t="s">
        <v>191</v>
      </c>
      <c r="K17423">
        <v>1391.12</v>
      </c>
      <c r="L17423">
        <v>8.25</v>
      </c>
      <c r="M17423">
        <v>13540</v>
      </c>
      <c r="N17423" t="s">
        <v>131</v>
      </c>
      <c r="O17423">
        <v>250505</v>
      </c>
      <c r="P17423">
        <v>32.36</v>
      </c>
    </row>
    <row r="17424" spans="1:16" x14ac:dyDescent="0.25">
      <c r="A17424" t="s">
        <v>3296</v>
      </c>
      <c r="B17424" t="s">
        <v>2931</v>
      </c>
      <c r="C17424">
        <v>5848</v>
      </c>
      <c r="D17424" t="str">
        <f>"110521230   "</f>
        <v xml:space="preserve">110521230   </v>
      </c>
      <c r="E17424" t="s">
        <v>190</v>
      </c>
      <c r="F17424" t="s">
        <v>192</v>
      </c>
      <c r="G17424">
        <v>455.58</v>
      </c>
      <c r="H17424">
        <v>250501</v>
      </c>
      <c r="I17424">
        <v>4471</v>
      </c>
      <c r="J17424" t="s">
        <v>191</v>
      </c>
      <c r="K17424">
        <v>1391.12</v>
      </c>
      <c r="L17424">
        <v>92.57</v>
      </c>
      <c r="M17424">
        <v>17950</v>
      </c>
      <c r="N17424" t="s">
        <v>132</v>
      </c>
      <c r="O17424">
        <v>250505</v>
      </c>
      <c r="P17424">
        <v>363.01</v>
      </c>
    </row>
    <row r="17425" spans="1:16" x14ac:dyDescent="0.25">
      <c r="A17425" t="s">
        <v>3296</v>
      </c>
      <c r="B17425" t="s">
        <v>2931</v>
      </c>
      <c r="C17425">
        <v>5848</v>
      </c>
      <c r="D17425" t="str">
        <f>"110521230   "</f>
        <v xml:space="preserve">110521230   </v>
      </c>
      <c r="E17425" t="s">
        <v>190</v>
      </c>
      <c r="F17425" t="s">
        <v>192</v>
      </c>
      <c r="G17425">
        <v>302.13</v>
      </c>
      <c r="H17425">
        <v>250501</v>
      </c>
      <c r="I17425">
        <v>4471</v>
      </c>
      <c r="J17425" t="s">
        <v>191</v>
      </c>
      <c r="K17425">
        <v>1391.12</v>
      </c>
      <c r="L17425">
        <v>61.39</v>
      </c>
      <c r="M17425">
        <v>17951</v>
      </c>
      <c r="N17425" t="s">
        <v>207</v>
      </c>
      <c r="O17425">
        <v>250505</v>
      </c>
      <c r="P17425">
        <v>240.74</v>
      </c>
    </row>
    <row r="17426" spans="1:16" x14ac:dyDescent="0.25">
      <c r="A17426" t="s">
        <v>3296</v>
      </c>
      <c r="B17426" t="s">
        <v>2931</v>
      </c>
      <c r="C17426">
        <v>5848</v>
      </c>
      <c r="D17426" t="str">
        <f>"110521230   "</f>
        <v xml:space="preserve">110521230   </v>
      </c>
      <c r="E17426" t="s">
        <v>190</v>
      </c>
      <c r="F17426" t="s">
        <v>192</v>
      </c>
      <c r="G17426">
        <v>490.05</v>
      </c>
      <c r="H17426">
        <v>250501</v>
      </c>
      <c r="I17426">
        <v>4471</v>
      </c>
      <c r="J17426" t="s">
        <v>191</v>
      </c>
      <c r="K17426">
        <v>1391.12</v>
      </c>
      <c r="L17426">
        <v>99.57</v>
      </c>
      <c r="M17426">
        <v>17952</v>
      </c>
      <c r="N17426" t="s">
        <v>157</v>
      </c>
      <c r="O17426">
        <v>250505</v>
      </c>
      <c r="P17426">
        <v>390.48</v>
      </c>
    </row>
    <row r="17427" spans="1:16" x14ac:dyDescent="0.25">
      <c r="A17427" t="s">
        <v>3296</v>
      </c>
      <c r="B17427" t="s">
        <v>2931</v>
      </c>
      <c r="C17427">
        <v>5848</v>
      </c>
      <c r="D17427" t="str">
        <f>"110521230   "</f>
        <v xml:space="preserve">110521230   </v>
      </c>
      <c r="E17427" t="s">
        <v>190</v>
      </c>
      <c r="F17427" t="s">
        <v>192</v>
      </c>
      <c r="G17427">
        <v>102.75</v>
      </c>
      <c r="H17427">
        <v>250501</v>
      </c>
      <c r="I17427">
        <v>4471</v>
      </c>
      <c r="J17427" t="s">
        <v>191</v>
      </c>
      <c r="K17427">
        <v>1391.12</v>
      </c>
      <c r="L17427">
        <v>20.88</v>
      </c>
      <c r="M17427">
        <v>17956</v>
      </c>
      <c r="N17427" t="s">
        <v>170</v>
      </c>
      <c r="O17427">
        <v>250505</v>
      </c>
      <c r="P17427">
        <v>81.87</v>
      </c>
    </row>
    <row r="17428" spans="1:16" x14ac:dyDescent="0.25">
      <c r="A17428" t="s">
        <v>3296</v>
      </c>
      <c r="B17428" t="s">
        <v>2931</v>
      </c>
      <c r="C17428">
        <v>6167</v>
      </c>
      <c r="D17428" t="str">
        <f>"110532877   "</f>
        <v xml:space="preserve">110532877   </v>
      </c>
      <c r="E17428" t="s">
        <v>190</v>
      </c>
      <c r="F17428" t="s">
        <v>192</v>
      </c>
      <c r="G17428">
        <v>365.21</v>
      </c>
      <c r="H17428">
        <v>250430</v>
      </c>
      <c r="I17428">
        <v>4471</v>
      </c>
      <c r="J17428" t="s">
        <v>191</v>
      </c>
      <c r="K17428">
        <v>365.21</v>
      </c>
      <c r="L17428">
        <v>74.209999999999994</v>
      </c>
      <c r="M17428">
        <v>17950</v>
      </c>
      <c r="N17428" t="s">
        <v>132</v>
      </c>
      <c r="O17428">
        <v>250509</v>
      </c>
      <c r="P17428">
        <v>291</v>
      </c>
    </row>
    <row r="17429" spans="1:16" x14ac:dyDescent="0.25">
      <c r="A17429" t="s">
        <v>3296</v>
      </c>
      <c r="B17429" t="s">
        <v>2931</v>
      </c>
      <c r="C17429">
        <v>6173</v>
      </c>
      <c r="D17429" t="str">
        <f>"110533551   "</f>
        <v xml:space="preserve">110533551   </v>
      </c>
      <c r="E17429" t="s">
        <v>190</v>
      </c>
      <c r="F17429" t="s">
        <v>192</v>
      </c>
      <c r="G17429">
        <v>176.96</v>
      </c>
      <c r="H17429">
        <v>250430</v>
      </c>
      <c r="I17429">
        <v>4471</v>
      </c>
      <c r="J17429" t="s">
        <v>191</v>
      </c>
      <c r="K17429">
        <v>176.96</v>
      </c>
      <c r="L17429">
        <v>35.96</v>
      </c>
      <c r="M17429">
        <v>17950</v>
      </c>
      <c r="N17429" t="s">
        <v>132</v>
      </c>
      <c r="O17429">
        <v>250509</v>
      </c>
      <c r="P17429">
        <v>141</v>
      </c>
    </row>
    <row r="17430" spans="1:16" x14ac:dyDescent="0.25">
      <c r="A17430" t="s">
        <v>3296</v>
      </c>
      <c r="B17430" t="s">
        <v>2931</v>
      </c>
      <c r="C17430">
        <v>6219</v>
      </c>
      <c r="D17430" t="str">
        <f>"110533550   "</f>
        <v xml:space="preserve">110533550   </v>
      </c>
      <c r="E17430" t="s">
        <v>190</v>
      </c>
      <c r="F17430" t="s">
        <v>192</v>
      </c>
      <c r="G17430">
        <v>176.96</v>
      </c>
      <c r="H17430">
        <v>250430</v>
      </c>
      <c r="I17430">
        <v>4471</v>
      </c>
      <c r="J17430" t="s">
        <v>191</v>
      </c>
      <c r="K17430">
        <v>176.96</v>
      </c>
      <c r="L17430">
        <v>35.96</v>
      </c>
      <c r="M17430">
        <v>17950</v>
      </c>
      <c r="N17430" t="s">
        <v>132</v>
      </c>
      <c r="O17430">
        <v>250509</v>
      </c>
      <c r="P17430">
        <v>141</v>
      </c>
    </row>
    <row r="17431" spans="1:16" x14ac:dyDescent="0.25">
      <c r="A17431" t="s">
        <v>3296</v>
      </c>
      <c r="B17431" t="s">
        <v>2931</v>
      </c>
      <c r="C17431">
        <v>7115</v>
      </c>
      <c r="D17431" t="str">
        <f>"110537090   "</f>
        <v xml:space="preserve">110537090   </v>
      </c>
      <c r="E17431" t="s">
        <v>190</v>
      </c>
      <c r="F17431" t="s">
        <v>192</v>
      </c>
      <c r="G17431">
        <v>239.71</v>
      </c>
      <c r="H17431">
        <v>250521</v>
      </c>
      <c r="I17431">
        <v>4471</v>
      </c>
      <c r="J17431" t="s">
        <v>191</v>
      </c>
      <c r="K17431">
        <v>239.71</v>
      </c>
      <c r="L17431">
        <v>48.71</v>
      </c>
      <c r="M17431">
        <v>17950</v>
      </c>
      <c r="N17431" t="s">
        <v>132</v>
      </c>
      <c r="O17431">
        <v>250522</v>
      </c>
      <c r="P17431">
        <v>191</v>
      </c>
    </row>
    <row r="17432" spans="1:16" x14ac:dyDescent="0.25">
      <c r="A17432" t="s">
        <v>3296</v>
      </c>
      <c r="B17432" t="s">
        <v>2931</v>
      </c>
      <c r="C17432">
        <v>7116</v>
      </c>
      <c r="D17432" t="str">
        <f>"110536412   "</f>
        <v xml:space="preserve">110536412   </v>
      </c>
      <c r="E17432" t="s">
        <v>190</v>
      </c>
      <c r="F17432" t="s">
        <v>192</v>
      </c>
      <c r="G17432">
        <v>471.88</v>
      </c>
      <c r="H17432">
        <v>250521</v>
      </c>
      <c r="I17432">
        <v>4471</v>
      </c>
      <c r="J17432" t="s">
        <v>191</v>
      </c>
      <c r="K17432">
        <v>471.88</v>
      </c>
      <c r="L17432">
        <v>95.88</v>
      </c>
      <c r="M17432">
        <v>17950</v>
      </c>
      <c r="N17432" t="s">
        <v>132</v>
      </c>
      <c r="O17432">
        <v>250522</v>
      </c>
      <c r="P17432">
        <v>376</v>
      </c>
    </row>
    <row r="17433" spans="1:16" x14ac:dyDescent="0.25">
      <c r="A17433" t="s">
        <v>3296</v>
      </c>
      <c r="B17433" t="s">
        <v>2931</v>
      </c>
      <c r="C17433">
        <v>7117</v>
      </c>
      <c r="D17433" t="str">
        <f>"110537089   "</f>
        <v xml:space="preserve">110537089   </v>
      </c>
      <c r="E17433" t="s">
        <v>190</v>
      </c>
      <c r="F17433" t="s">
        <v>192</v>
      </c>
      <c r="G17433">
        <v>195.78</v>
      </c>
      <c r="H17433">
        <v>250521</v>
      </c>
      <c r="I17433">
        <v>4471</v>
      </c>
      <c r="J17433" t="s">
        <v>191</v>
      </c>
      <c r="K17433">
        <v>195.78</v>
      </c>
      <c r="L17433">
        <v>39.78</v>
      </c>
      <c r="M17433">
        <v>17950</v>
      </c>
      <c r="N17433" t="s">
        <v>132</v>
      </c>
      <c r="O17433">
        <v>250522</v>
      </c>
      <c r="P17433">
        <v>156</v>
      </c>
    </row>
    <row r="17434" spans="1:16" x14ac:dyDescent="0.25">
      <c r="A17434" t="s">
        <v>3296</v>
      </c>
      <c r="B17434" t="s">
        <v>2931</v>
      </c>
      <c r="C17434">
        <v>7577</v>
      </c>
      <c r="D17434" t="str">
        <f t="shared" ref="D17434:D17439" si="296">"110539387   "</f>
        <v xml:space="preserve">110539387   </v>
      </c>
      <c r="E17434" t="s">
        <v>190</v>
      </c>
      <c r="F17434" t="s">
        <v>192</v>
      </c>
      <c r="G17434">
        <v>398.19</v>
      </c>
      <c r="H17434">
        <v>250601</v>
      </c>
      <c r="I17434">
        <v>4471</v>
      </c>
      <c r="J17434" t="s">
        <v>191</v>
      </c>
      <c r="K17434">
        <v>1525.06</v>
      </c>
      <c r="L17434">
        <v>80.91</v>
      </c>
      <c r="M17434">
        <v>59501</v>
      </c>
      <c r="N17434" t="s">
        <v>62</v>
      </c>
      <c r="O17434">
        <v>250604</v>
      </c>
      <c r="P17434">
        <v>317.27999999999997</v>
      </c>
    </row>
    <row r="17435" spans="1:16" x14ac:dyDescent="0.25">
      <c r="A17435" t="s">
        <v>3296</v>
      </c>
      <c r="B17435" t="s">
        <v>2931</v>
      </c>
      <c r="C17435">
        <v>7577</v>
      </c>
      <c r="D17435" t="str">
        <f t="shared" si="296"/>
        <v xml:space="preserve">110539387   </v>
      </c>
      <c r="E17435" t="s">
        <v>190</v>
      </c>
      <c r="F17435" t="s">
        <v>192</v>
      </c>
      <c r="G17435">
        <v>278.70999999999998</v>
      </c>
      <c r="H17435">
        <v>250601</v>
      </c>
      <c r="I17435">
        <v>4471</v>
      </c>
      <c r="J17435" t="s">
        <v>191</v>
      </c>
      <c r="K17435">
        <v>1525.06</v>
      </c>
      <c r="L17435">
        <v>56.63</v>
      </c>
      <c r="M17435">
        <v>59502</v>
      </c>
      <c r="N17435" t="s">
        <v>63</v>
      </c>
      <c r="O17435">
        <v>250604</v>
      </c>
      <c r="P17435">
        <v>222.08</v>
      </c>
    </row>
    <row r="17436" spans="1:16" x14ac:dyDescent="0.25">
      <c r="A17436" t="s">
        <v>3296</v>
      </c>
      <c r="B17436" t="s">
        <v>2931</v>
      </c>
      <c r="C17436">
        <v>7577</v>
      </c>
      <c r="D17436" t="str">
        <f t="shared" si="296"/>
        <v xml:space="preserve">110539387   </v>
      </c>
      <c r="E17436" t="s">
        <v>190</v>
      </c>
      <c r="F17436" t="s">
        <v>192</v>
      </c>
      <c r="G17436">
        <v>398.15</v>
      </c>
      <c r="H17436">
        <v>250601</v>
      </c>
      <c r="I17436">
        <v>4471</v>
      </c>
      <c r="J17436" t="s">
        <v>191</v>
      </c>
      <c r="K17436">
        <v>1525.06</v>
      </c>
      <c r="L17436">
        <v>80.900000000000006</v>
      </c>
      <c r="M17436">
        <v>59504</v>
      </c>
      <c r="N17436" t="s">
        <v>193</v>
      </c>
      <c r="O17436">
        <v>250604</v>
      </c>
      <c r="P17436">
        <v>317.25</v>
      </c>
    </row>
    <row r="17437" spans="1:16" x14ac:dyDescent="0.25">
      <c r="A17437" t="s">
        <v>3296</v>
      </c>
      <c r="B17437" t="s">
        <v>2931</v>
      </c>
      <c r="C17437">
        <v>7577</v>
      </c>
      <c r="D17437" t="str">
        <f t="shared" si="296"/>
        <v xml:space="preserve">110539387   </v>
      </c>
      <c r="E17437" t="s">
        <v>190</v>
      </c>
      <c r="F17437" t="s">
        <v>192</v>
      </c>
      <c r="G17437">
        <v>290.91000000000003</v>
      </c>
      <c r="H17437">
        <v>250601</v>
      </c>
      <c r="I17437">
        <v>4471</v>
      </c>
      <c r="J17437" t="s">
        <v>191</v>
      </c>
      <c r="K17437">
        <v>1525.06</v>
      </c>
      <c r="L17437">
        <v>59.11</v>
      </c>
      <c r="M17437">
        <v>59505</v>
      </c>
      <c r="N17437" t="s">
        <v>194</v>
      </c>
      <c r="O17437">
        <v>250604</v>
      </c>
      <c r="P17437">
        <v>231.8</v>
      </c>
    </row>
    <row r="17438" spans="1:16" x14ac:dyDescent="0.25">
      <c r="A17438" t="s">
        <v>3296</v>
      </c>
      <c r="B17438" t="s">
        <v>2931</v>
      </c>
      <c r="C17438">
        <v>7577</v>
      </c>
      <c r="D17438" t="str">
        <f t="shared" si="296"/>
        <v xml:space="preserve">110539387   </v>
      </c>
      <c r="E17438" t="s">
        <v>190</v>
      </c>
      <c r="F17438" t="s">
        <v>192</v>
      </c>
      <c r="G17438">
        <v>119.44</v>
      </c>
      <c r="H17438">
        <v>250601</v>
      </c>
      <c r="I17438">
        <v>4471</v>
      </c>
      <c r="J17438" t="s">
        <v>191</v>
      </c>
      <c r="K17438">
        <v>1525.06</v>
      </c>
      <c r="L17438">
        <v>24.27</v>
      </c>
      <c r="M17438">
        <v>59802</v>
      </c>
      <c r="N17438" t="s">
        <v>195</v>
      </c>
      <c r="O17438">
        <v>250604</v>
      </c>
      <c r="P17438">
        <v>95.17</v>
      </c>
    </row>
    <row r="17439" spans="1:16" x14ac:dyDescent="0.25">
      <c r="A17439" t="s">
        <v>3296</v>
      </c>
      <c r="B17439" t="s">
        <v>2931</v>
      </c>
      <c r="C17439">
        <v>7577</v>
      </c>
      <c r="D17439" t="str">
        <f t="shared" si="296"/>
        <v xml:space="preserve">110539387   </v>
      </c>
      <c r="E17439" t="s">
        <v>190</v>
      </c>
      <c r="F17439" t="s">
        <v>192</v>
      </c>
      <c r="G17439">
        <v>39.659999999999997</v>
      </c>
      <c r="H17439">
        <v>250601</v>
      </c>
      <c r="I17439">
        <v>4471</v>
      </c>
      <c r="J17439" t="s">
        <v>191</v>
      </c>
      <c r="K17439">
        <v>1525.06</v>
      </c>
      <c r="L17439">
        <v>8.06</v>
      </c>
      <c r="M17439">
        <v>59812</v>
      </c>
      <c r="N17439" t="s">
        <v>196</v>
      </c>
      <c r="O17439">
        <v>250604</v>
      </c>
      <c r="P17439">
        <v>31.6</v>
      </c>
    </row>
    <row r="17440" spans="1:16" x14ac:dyDescent="0.25">
      <c r="A17440" t="s">
        <v>3296</v>
      </c>
      <c r="B17440" t="s">
        <v>2931</v>
      </c>
      <c r="C17440">
        <v>7966</v>
      </c>
      <c r="D17440" t="str">
        <f t="shared" ref="D17440:D17445" si="297">"110541352   "</f>
        <v xml:space="preserve">110541352   </v>
      </c>
      <c r="E17440" t="s">
        <v>190</v>
      </c>
      <c r="F17440" t="s">
        <v>192</v>
      </c>
      <c r="G17440">
        <v>40.61</v>
      </c>
      <c r="H17440">
        <v>250601</v>
      </c>
      <c r="I17440">
        <v>4471</v>
      </c>
      <c r="J17440" t="s">
        <v>191</v>
      </c>
      <c r="K17440">
        <v>1391.12</v>
      </c>
      <c r="L17440">
        <v>8.25</v>
      </c>
      <c r="M17440">
        <v>13540</v>
      </c>
      <c r="N17440" t="s">
        <v>131</v>
      </c>
      <c r="O17440">
        <v>250610</v>
      </c>
      <c r="P17440">
        <v>32.36</v>
      </c>
    </row>
    <row r="17441" spans="1:16" x14ac:dyDescent="0.25">
      <c r="A17441" t="s">
        <v>3296</v>
      </c>
      <c r="B17441" t="s">
        <v>2931</v>
      </c>
      <c r="C17441">
        <v>7966</v>
      </c>
      <c r="D17441" t="str">
        <f t="shared" si="297"/>
        <v xml:space="preserve">110541352   </v>
      </c>
      <c r="E17441" t="s">
        <v>190</v>
      </c>
      <c r="F17441" t="s">
        <v>192</v>
      </c>
      <c r="G17441">
        <v>127.04</v>
      </c>
      <c r="H17441">
        <v>250601</v>
      </c>
      <c r="I17441">
        <v>4471</v>
      </c>
      <c r="J17441" t="s">
        <v>191</v>
      </c>
      <c r="K17441">
        <v>1391.12</v>
      </c>
      <c r="L17441">
        <v>25.81</v>
      </c>
      <c r="M17441">
        <v>17950</v>
      </c>
      <c r="N17441" t="s">
        <v>132</v>
      </c>
      <c r="O17441">
        <v>250610</v>
      </c>
      <c r="P17441">
        <v>101.23</v>
      </c>
    </row>
    <row r="17442" spans="1:16" x14ac:dyDescent="0.25">
      <c r="A17442" t="s">
        <v>3296</v>
      </c>
      <c r="B17442" t="s">
        <v>2931</v>
      </c>
      <c r="C17442">
        <v>7966</v>
      </c>
      <c r="D17442" t="str">
        <f t="shared" si="297"/>
        <v xml:space="preserve">110541352   </v>
      </c>
      <c r="E17442" t="s">
        <v>190</v>
      </c>
      <c r="F17442" t="s">
        <v>192</v>
      </c>
      <c r="G17442">
        <v>328.54</v>
      </c>
      <c r="H17442">
        <v>250601</v>
      </c>
      <c r="I17442">
        <v>4471</v>
      </c>
      <c r="J17442" t="s">
        <v>191</v>
      </c>
      <c r="K17442">
        <v>1391.12</v>
      </c>
      <c r="L17442">
        <v>66.760000000000005</v>
      </c>
      <c r="M17442">
        <v>17950</v>
      </c>
      <c r="N17442" t="s">
        <v>132</v>
      </c>
      <c r="O17442">
        <v>250610</v>
      </c>
      <c r="P17442">
        <v>261.77999999999997</v>
      </c>
    </row>
    <row r="17443" spans="1:16" x14ac:dyDescent="0.25">
      <c r="A17443" t="s">
        <v>3296</v>
      </c>
      <c r="B17443" t="s">
        <v>2931</v>
      </c>
      <c r="C17443">
        <v>7966</v>
      </c>
      <c r="D17443" t="str">
        <f t="shared" si="297"/>
        <v xml:space="preserve">110541352   </v>
      </c>
      <c r="E17443" t="s">
        <v>190</v>
      </c>
      <c r="F17443" t="s">
        <v>192</v>
      </c>
      <c r="G17443">
        <v>302.13</v>
      </c>
      <c r="H17443">
        <v>250601</v>
      </c>
      <c r="I17443">
        <v>4471</v>
      </c>
      <c r="J17443" t="s">
        <v>191</v>
      </c>
      <c r="K17443">
        <v>1391.12</v>
      </c>
      <c r="L17443">
        <v>61.39</v>
      </c>
      <c r="M17443">
        <v>17951</v>
      </c>
      <c r="N17443" t="s">
        <v>207</v>
      </c>
      <c r="O17443">
        <v>250610</v>
      </c>
      <c r="P17443">
        <v>240.74</v>
      </c>
    </row>
    <row r="17444" spans="1:16" x14ac:dyDescent="0.25">
      <c r="A17444" t="s">
        <v>3296</v>
      </c>
      <c r="B17444" t="s">
        <v>2931</v>
      </c>
      <c r="C17444">
        <v>7966</v>
      </c>
      <c r="D17444" t="str">
        <f t="shared" si="297"/>
        <v xml:space="preserve">110541352   </v>
      </c>
      <c r="E17444" t="s">
        <v>190</v>
      </c>
      <c r="F17444" t="s">
        <v>192</v>
      </c>
      <c r="G17444">
        <v>490.05</v>
      </c>
      <c r="H17444">
        <v>250601</v>
      </c>
      <c r="I17444">
        <v>4471</v>
      </c>
      <c r="J17444" t="s">
        <v>191</v>
      </c>
      <c r="K17444">
        <v>1391.12</v>
      </c>
      <c r="L17444">
        <v>99.57</v>
      </c>
      <c r="M17444">
        <v>17952</v>
      </c>
      <c r="N17444" t="s">
        <v>157</v>
      </c>
      <c r="O17444">
        <v>250610</v>
      </c>
      <c r="P17444">
        <v>390.48</v>
      </c>
    </row>
    <row r="17445" spans="1:16" x14ac:dyDescent="0.25">
      <c r="A17445" t="s">
        <v>3296</v>
      </c>
      <c r="B17445" t="s">
        <v>2931</v>
      </c>
      <c r="C17445">
        <v>7966</v>
      </c>
      <c r="D17445" t="str">
        <f t="shared" si="297"/>
        <v xml:space="preserve">110541352   </v>
      </c>
      <c r="E17445" t="s">
        <v>190</v>
      </c>
      <c r="F17445" t="s">
        <v>192</v>
      </c>
      <c r="G17445">
        <v>102.75</v>
      </c>
      <c r="H17445">
        <v>250601</v>
      </c>
      <c r="I17445">
        <v>4471</v>
      </c>
      <c r="J17445" t="s">
        <v>191</v>
      </c>
      <c r="K17445">
        <v>1391.12</v>
      </c>
      <c r="L17445">
        <v>20.88</v>
      </c>
      <c r="M17445">
        <v>17956</v>
      </c>
      <c r="N17445" t="s">
        <v>170</v>
      </c>
      <c r="O17445">
        <v>250610</v>
      </c>
      <c r="P17445">
        <v>81.87</v>
      </c>
    </row>
    <row r="17446" spans="1:16" x14ac:dyDescent="0.25">
      <c r="A17446" t="s">
        <v>3296</v>
      </c>
      <c r="B17446" t="s">
        <v>2931</v>
      </c>
      <c r="C17446">
        <v>8193</v>
      </c>
      <c r="D17446" t="str">
        <f>"110554398   "</f>
        <v xml:space="preserve">110554398   </v>
      </c>
      <c r="E17446" t="s">
        <v>190</v>
      </c>
      <c r="F17446" t="s">
        <v>192</v>
      </c>
      <c r="G17446">
        <v>176.96</v>
      </c>
      <c r="H17446">
        <v>250530</v>
      </c>
      <c r="I17446">
        <v>4471</v>
      </c>
      <c r="J17446" t="s">
        <v>191</v>
      </c>
      <c r="K17446">
        <v>176.96</v>
      </c>
      <c r="L17446">
        <v>35.96</v>
      </c>
      <c r="M17446">
        <v>17950</v>
      </c>
      <c r="N17446" t="s">
        <v>132</v>
      </c>
      <c r="O17446">
        <v>250612</v>
      </c>
      <c r="P17446">
        <v>141</v>
      </c>
    </row>
    <row r="17447" spans="1:16" x14ac:dyDescent="0.25">
      <c r="A17447" t="s">
        <v>3296</v>
      </c>
      <c r="B17447" t="s">
        <v>2931</v>
      </c>
      <c r="C17447">
        <v>8925</v>
      </c>
      <c r="D17447" t="str">
        <f>"110557629   "</f>
        <v xml:space="preserve">110557629   </v>
      </c>
      <c r="E17447" t="s">
        <v>190</v>
      </c>
      <c r="F17447" t="s">
        <v>192</v>
      </c>
      <c r="G17447">
        <v>65.260000000000005</v>
      </c>
      <c r="H17447">
        <v>250618</v>
      </c>
      <c r="I17447">
        <v>4471</v>
      </c>
      <c r="J17447" t="s">
        <v>191</v>
      </c>
      <c r="K17447">
        <v>65.260000000000005</v>
      </c>
      <c r="L17447">
        <v>13.26</v>
      </c>
      <c r="M17447">
        <v>59502</v>
      </c>
      <c r="N17447" t="s">
        <v>63</v>
      </c>
      <c r="O17447">
        <v>250619</v>
      </c>
      <c r="P17447">
        <v>52</v>
      </c>
    </row>
    <row r="17448" spans="1:16" x14ac:dyDescent="0.25">
      <c r="A17448" t="s">
        <v>3296</v>
      </c>
      <c r="B17448" t="s">
        <v>2931</v>
      </c>
      <c r="C17448">
        <v>9137</v>
      </c>
      <c r="D17448" t="str">
        <f>"110557959   "</f>
        <v xml:space="preserve">110557959   </v>
      </c>
      <c r="E17448" t="s">
        <v>190</v>
      </c>
      <c r="F17448" t="s">
        <v>192</v>
      </c>
      <c r="G17448">
        <v>24.3</v>
      </c>
      <c r="H17448">
        <v>250618</v>
      </c>
      <c r="I17448">
        <v>4471</v>
      </c>
      <c r="J17448" t="s">
        <v>191</v>
      </c>
      <c r="K17448">
        <v>220.88</v>
      </c>
      <c r="L17448">
        <v>4.9400000000000004</v>
      </c>
      <c r="M17448">
        <v>13540</v>
      </c>
      <c r="N17448" t="s">
        <v>131</v>
      </c>
      <c r="O17448">
        <v>250627</v>
      </c>
      <c r="P17448">
        <v>19.36</v>
      </c>
    </row>
    <row r="17449" spans="1:16" x14ac:dyDescent="0.25">
      <c r="A17449" t="s">
        <v>3296</v>
      </c>
      <c r="B17449" t="s">
        <v>2931</v>
      </c>
      <c r="C17449">
        <v>9137</v>
      </c>
      <c r="D17449" t="str">
        <f>"110557959   "</f>
        <v xml:space="preserve">110557959   </v>
      </c>
      <c r="E17449" t="s">
        <v>190</v>
      </c>
      <c r="F17449" t="s">
        <v>192</v>
      </c>
      <c r="G17449">
        <v>196.58</v>
      </c>
      <c r="H17449">
        <v>250618</v>
      </c>
      <c r="I17449">
        <v>4471</v>
      </c>
      <c r="J17449" t="s">
        <v>191</v>
      </c>
      <c r="K17449">
        <v>220.88</v>
      </c>
      <c r="L17449">
        <v>39.94</v>
      </c>
      <c r="M17449">
        <v>17950</v>
      </c>
      <c r="N17449" t="s">
        <v>132</v>
      </c>
      <c r="O17449">
        <v>250627</v>
      </c>
      <c r="P17449">
        <v>156.63999999999999</v>
      </c>
    </row>
    <row r="17450" spans="1:16" x14ac:dyDescent="0.25">
      <c r="A17450" t="s">
        <v>3296</v>
      </c>
      <c r="B17450" t="s">
        <v>2931</v>
      </c>
      <c r="C17450">
        <v>9138</v>
      </c>
      <c r="D17450" t="str">
        <f>"110557206   "</f>
        <v xml:space="preserve">110557206   </v>
      </c>
      <c r="E17450" t="s">
        <v>190</v>
      </c>
      <c r="F17450" t="s">
        <v>192</v>
      </c>
      <c r="G17450">
        <v>283.63</v>
      </c>
      <c r="H17450">
        <v>250618</v>
      </c>
      <c r="I17450">
        <v>4471</v>
      </c>
      <c r="J17450" t="s">
        <v>191</v>
      </c>
      <c r="K17450">
        <v>283.63</v>
      </c>
      <c r="L17450">
        <v>57.63</v>
      </c>
      <c r="M17450">
        <v>17950</v>
      </c>
      <c r="N17450" t="s">
        <v>132</v>
      </c>
      <c r="O17450">
        <v>250627</v>
      </c>
      <c r="P17450">
        <v>226</v>
      </c>
    </row>
    <row r="17451" spans="1:16" x14ac:dyDescent="0.25">
      <c r="A17451" t="s">
        <v>3296</v>
      </c>
      <c r="B17451" t="s">
        <v>2931</v>
      </c>
      <c r="C17451">
        <v>9264</v>
      </c>
      <c r="D17451" t="str">
        <f t="shared" ref="D17451:D17456" si="298">"110562466   "</f>
        <v xml:space="preserve">110562466   </v>
      </c>
      <c r="E17451" t="s">
        <v>190</v>
      </c>
      <c r="F17451" t="s">
        <v>192</v>
      </c>
      <c r="G17451">
        <v>398.16</v>
      </c>
      <c r="H17451">
        <v>250701</v>
      </c>
      <c r="I17451">
        <v>4471</v>
      </c>
      <c r="J17451" t="s">
        <v>191</v>
      </c>
      <c r="K17451">
        <v>1525.06</v>
      </c>
      <c r="L17451">
        <v>80.900000000000006</v>
      </c>
      <c r="M17451">
        <v>59501</v>
      </c>
      <c r="N17451" t="s">
        <v>62</v>
      </c>
      <c r="O17451">
        <v>250701</v>
      </c>
      <c r="P17451">
        <v>317.26</v>
      </c>
    </row>
    <row r="17452" spans="1:16" x14ac:dyDescent="0.25">
      <c r="A17452" t="s">
        <v>3296</v>
      </c>
      <c r="B17452" t="s">
        <v>2931</v>
      </c>
      <c r="C17452">
        <v>9264</v>
      </c>
      <c r="D17452" t="str">
        <f t="shared" si="298"/>
        <v xml:space="preserve">110562466   </v>
      </c>
      <c r="E17452" t="s">
        <v>190</v>
      </c>
      <c r="F17452" t="s">
        <v>192</v>
      </c>
      <c r="G17452">
        <v>278.74</v>
      </c>
      <c r="H17452">
        <v>250701</v>
      </c>
      <c r="I17452">
        <v>4471</v>
      </c>
      <c r="J17452" t="s">
        <v>191</v>
      </c>
      <c r="K17452">
        <v>1525.06</v>
      </c>
      <c r="L17452">
        <v>56.64</v>
      </c>
      <c r="M17452">
        <v>59502</v>
      </c>
      <c r="N17452" t="s">
        <v>63</v>
      </c>
      <c r="O17452">
        <v>250701</v>
      </c>
      <c r="P17452">
        <v>222.1</v>
      </c>
    </row>
    <row r="17453" spans="1:16" x14ac:dyDescent="0.25">
      <c r="A17453" t="s">
        <v>3296</v>
      </c>
      <c r="B17453" t="s">
        <v>2931</v>
      </c>
      <c r="C17453">
        <v>9264</v>
      </c>
      <c r="D17453" t="str">
        <f t="shared" si="298"/>
        <v xml:space="preserve">110562466   </v>
      </c>
      <c r="E17453" t="s">
        <v>190</v>
      </c>
      <c r="F17453" t="s">
        <v>192</v>
      </c>
      <c r="G17453">
        <v>398.15</v>
      </c>
      <c r="H17453">
        <v>250701</v>
      </c>
      <c r="I17453">
        <v>4471</v>
      </c>
      <c r="J17453" t="s">
        <v>191</v>
      </c>
      <c r="K17453">
        <v>1525.06</v>
      </c>
      <c r="L17453">
        <v>80.900000000000006</v>
      </c>
      <c r="M17453">
        <v>59504</v>
      </c>
      <c r="N17453" t="s">
        <v>193</v>
      </c>
      <c r="O17453">
        <v>250701</v>
      </c>
      <c r="P17453">
        <v>317.25</v>
      </c>
    </row>
    <row r="17454" spans="1:16" x14ac:dyDescent="0.25">
      <c r="A17454" t="s">
        <v>3296</v>
      </c>
      <c r="B17454" t="s">
        <v>2931</v>
      </c>
      <c r="C17454">
        <v>9264</v>
      </c>
      <c r="D17454" t="str">
        <f t="shared" si="298"/>
        <v xml:space="preserve">110562466   </v>
      </c>
      <c r="E17454" t="s">
        <v>190</v>
      </c>
      <c r="F17454" t="s">
        <v>192</v>
      </c>
      <c r="G17454">
        <v>290.91000000000003</v>
      </c>
      <c r="H17454">
        <v>250701</v>
      </c>
      <c r="I17454">
        <v>4471</v>
      </c>
      <c r="J17454" t="s">
        <v>191</v>
      </c>
      <c r="K17454">
        <v>1525.06</v>
      </c>
      <c r="L17454">
        <v>59.11</v>
      </c>
      <c r="M17454">
        <v>59505</v>
      </c>
      <c r="N17454" t="s">
        <v>194</v>
      </c>
      <c r="O17454">
        <v>250701</v>
      </c>
      <c r="P17454">
        <v>231.8</v>
      </c>
    </row>
    <row r="17455" spans="1:16" x14ac:dyDescent="0.25">
      <c r="A17455" t="s">
        <v>3296</v>
      </c>
      <c r="B17455" t="s">
        <v>2931</v>
      </c>
      <c r="C17455">
        <v>9264</v>
      </c>
      <c r="D17455" t="str">
        <f t="shared" si="298"/>
        <v xml:space="preserve">110562466   </v>
      </c>
      <c r="E17455" t="s">
        <v>190</v>
      </c>
      <c r="F17455" t="s">
        <v>192</v>
      </c>
      <c r="G17455">
        <v>119.44</v>
      </c>
      <c r="H17455">
        <v>250701</v>
      </c>
      <c r="I17455">
        <v>4471</v>
      </c>
      <c r="J17455" t="s">
        <v>191</v>
      </c>
      <c r="K17455">
        <v>1525.06</v>
      </c>
      <c r="L17455">
        <v>24.27</v>
      </c>
      <c r="M17455">
        <v>59802</v>
      </c>
      <c r="N17455" t="s">
        <v>195</v>
      </c>
      <c r="O17455">
        <v>250701</v>
      </c>
      <c r="P17455">
        <v>95.17</v>
      </c>
    </row>
    <row r="17456" spans="1:16" x14ac:dyDescent="0.25">
      <c r="A17456" t="s">
        <v>3296</v>
      </c>
      <c r="B17456" t="s">
        <v>2931</v>
      </c>
      <c r="C17456">
        <v>9264</v>
      </c>
      <c r="D17456" t="str">
        <f t="shared" si="298"/>
        <v xml:space="preserve">110562466   </v>
      </c>
      <c r="E17456" t="s">
        <v>190</v>
      </c>
      <c r="F17456" t="s">
        <v>192</v>
      </c>
      <c r="G17456">
        <v>39.659999999999997</v>
      </c>
      <c r="H17456">
        <v>250701</v>
      </c>
      <c r="I17456">
        <v>4471</v>
      </c>
      <c r="J17456" t="s">
        <v>191</v>
      </c>
      <c r="K17456">
        <v>1525.06</v>
      </c>
      <c r="L17456">
        <v>8.06</v>
      </c>
      <c r="M17456">
        <v>59812</v>
      </c>
      <c r="N17456" t="s">
        <v>196</v>
      </c>
      <c r="O17456">
        <v>250701</v>
      </c>
      <c r="P17456">
        <v>31.6</v>
      </c>
    </row>
    <row r="17457" spans="1:16" x14ac:dyDescent="0.25">
      <c r="A17457" t="s">
        <v>3296</v>
      </c>
      <c r="B17457" t="s">
        <v>2931</v>
      </c>
      <c r="C17457">
        <v>9427</v>
      </c>
      <c r="D17457" t="str">
        <f>"110581866   "</f>
        <v xml:space="preserve">110581866   </v>
      </c>
      <c r="E17457" t="s">
        <v>190</v>
      </c>
      <c r="F17457" t="s">
        <v>192</v>
      </c>
      <c r="G17457">
        <v>65.260000000000005</v>
      </c>
      <c r="H17457">
        <v>250630</v>
      </c>
      <c r="I17457">
        <v>4471</v>
      </c>
      <c r="J17457" t="s">
        <v>191</v>
      </c>
      <c r="K17457">
        <v>65.260000000000005</v>
      </c>
      <c r="L17457">
        <v>13.26</v>
      </c>
      <c r="M17457">
        <v>59502</v>
      </c>
      <c r="N17457" t="s">
        <v>63</v>
      </c>
      <c r="O17457">
        <v>250707</v>
      </c>
      <c r="P17457">
        <v>52</v>
      </c>
    </row>
    <row r="17458" spans="1:16" x14ac:dyDescent="0.25">
      <c r="A17458" t="s">
        <v>3296</v>
      </c>
      <c r="B17458" t="s">
        <v>2931</v>
      </c>
      <c r="C17458">
        <v>9539</v>
      </c>
      <c r="D17458" t="str">
        <f t="shared" ref="D17458:D17463" si="299">"110566093   "</f>
        <v xml:space="preserve">110566093   </v>
      </c>
      <c r="E17458" t="s">
        <v>190</v>
      </c>
      <c r="F17458" t="s">
        <v>192</v>
      </c>
      <c r="G17458">
        <v>40.61</v>
      </c>
      <c r="H17458">
        <v>250701</v>
      </c>
      <c r="I17458">
        <v>4471</v>
      </c>
      <c r="J17458" t="s">
        <v>191</v>
      </c>
      <c r="K17458">
        <v>1391.12</v>
      </c>
      <c r="L17458">
        <v>8.25</v>
      </c>
      <c r="M17458">
        <v>13540</v>
      </c>
      <c r="N17458" t="s">
        <v>131</v>
      </c>
      <c r="O17458">
        <v>250711</v>
      </c>
      <c r="P17458">
        <v>32.36</v>
      </c>
    </row>
    <row r="17459" spans="1:16" x14ac:dyDescent="0.25">
      <c r="A17459" t="s">
        <v>3296</v>
      </c>
      <c r="B17459" t="s">
        <v>2931</v>
      </c>
      <c r="C17459">
        <v>9539</v>
      </c>
      <c r="D17459" t="str">
        <f t="shared" si="299"/>
        <v xml:space="preserve">110566093   </v>
      </c>
      <c r="E17459" t="s">
        <v>190</v>
      </c>
      <c r="F17459" t="s">
        <v>192</v>
      </c>
      <c r="G17459">
        <v>46.68</v>
      </c>
      <c r="H17459">
        <v>250701</v>
      </c>
      <c r="I17459">
        <v>4471</v>
      </c>
      <c r="J17459" t="s">
        <v>191</v>
      </c>
      <c r="K17459">
        <v>1391.12</v>
      </c>
      <c r="L17459">
        <v>9.48</v>
      </c>
      <c r="M17459">
        <v>17950</v>
      </c>
      <c r="N17459" t="s">
        <v>132</v>
      </c>
      <c r="O17459">
        <v>250711</v>
      </c>
      <c r="P17459">
        <v>37.200000000000003</v>
      </c>
    </row>
    <row r="17460" spans="1:16" x14ac:dyDescent="0.25">
      <c r="A17460" t="s">
        <v>3296</v>
      </c>
      <c r="B17460" t="s">
        <v>2931</v>
      </c>
      <c r="C17460">
        <v>9539</v>
      </c>
      <c r="D17460" t="str">
        <f t="shared" si="299"/>
        <v xml:space="preserve">110566093   </v>
      </c>
      <c r="E17460" t="s">
        <v>190</v>
      </c>
      <c r="F17460" t="s">
        <v>192</v>
      </c>
      <c r="G17460">
        <v>328.53</v>
      </c>
      <c r="H17460">
        <v>250701</v>
      </c>
      <c r="I17460">
        <v>4471</v>
      </c>
      <c r="J17460" t="s">
        <v>191</v>
      </c>
      <c r="K17460">
        <v>1391.12</v>
      </c>
      <c r="L17460">
        <v>66.75</v>
      </c>
      <c r="M17460">
        <v>17950</v>
      </c>
      <c r="N17460" t="s">
        <v>132</v>
      </c>
      <c r="O17460">
        <v>250711</v>
      </c>
      <c r="P17460">
        <v>261.77999999999997</v>
      </c>
    </row>
    <row r="17461" spans="1:16" x14ac:dyDescent="0.25">
      <c r="A17461" t="s">
        <v>3296</v>
      </c>
      <c r="B17461" t="s">
        <v>2931</v>
      </c>
      <c r="C17461">
        <v>9539</v>
      </c>
      <c r="D17461" t="str">
        <f t="shared" si="299"/>
        <v xml:space="preserve">110566093   </v>
      </c>
      <c r="E17461" t="s">
        <v>190</v>
      </c>
      <c r="F17461" t="s">
        <v>192</v>
      </c>
      <c r="G17461">
        <v>302.14</v>
      </c>
      <c r="H17461">
        <v>250701</v>
      </c>
      <c r="I17461">
        <v>4471</v>
      </c>
      <c r="J17461" t="s">
        <v>191</v>
      </c>
      <c r="K17461">
        <v>1391.12</v>
      </c>
      <c r="L17461">
        <v>61.39</v>
      </c>
      <c r="M17461">
        <v>17951</v>
      </c>
      <c r="N17461" t="s">
        <v>207</v>
      </c>
      <c r="O17461">
        <v>250711</v>
      </c>
      <c r="P17461">
        <v>240.75</v>
      </c>
    </row>
    <row r="17462" spans="1:16" x14ac:dyDescent="0.25">
      <c r="A17462" t="s">
        <v>3296</v>
      </c>
      <c r="B17462" t="s">
        <v>2931</v>
      </c>
      <c r="C17462">
        <v>9539</v>
      </c>
      <c r="D17462" t="str">
        <f t="shared" si="299"/>
        <v xml:space="preserve">110566093   </v>
      </c>
      <c r="E17462" t="s">
        <v>190</v>
      </c>
      <c r="F17462" t="s">
        <v>192</v>
      </c>
      <c r="G17462">
        <v>490.05</v>
      </c>
      <c r="H17462">
        <v>250701</v>
      </c>
      <c r="I17462">
        <v>4471</v>
      </c>
      <c r="J17462" t="s">
        <v>191</v>
      </c>
      <c r="K17462">
        <v>1391.12</v>
      </c>
      <c r="L17462">
        <v>99.57</v>
      </c>
      <c r="M17462">
        <v>17952</v>
      </c>
      <c r="N17462" t="s">
        <v>157</v>
      </c>
      <c r="O17462">
        <v>250711</v>
      </c>
      <c r="P17462">
        <v>390.48</v>
      </c>
    </row>
    <row r="17463" spans="1:16" x14ac:dyDescent="0.25">
      <c r="A17463" t="s">
        <v>3296</v>
      </c>
      <c r="B17463" t="s">
        <v>2931</v>
      </c>
      <c r="C17463">
        <v>9539</v>
      </c>
      <c r="D17463" t="str">
        <f t="shared" si="299"/>
        <v xml:space="preserve">110566093   </v>
      </c>
      <c r="E17463" t="s">
        <v>190</v>
      </c>
      <c r="F17463" t="s">
        <v>192</v>
      </c>
      <c r="G17463">
        <v>183.11</v>
      </c>
      <c r="H17463">
        <v>250701</v>
      </c>
      <c r="I17463">
        <v>4471</v>
      </c>
      <c r="J17463" t="s">
        <v>191</v>
      </c>
      <c r="K17463">
        <v>1391.12</v>
      </c>
      <c r="L17463">
        <v>37.21</v>
      </c>
      <c r="M17463">
        <v>17956</v>
      </c>
      <c r="N17463" t="s">
        <v>170</v>
      </c>
      <c r="O17463">
        <v>250711</v>
      </c>
      <c r="P17463">
        <v>145.9</v>
      </c>
    </row>
    <row r="17464" spans="1:16" x14ac:dyDescent="0.25">
      <c r="A17464" t="s">
        <v>3296</v>
      </c>
      <c r="B17464" t="s">
        <v>2931</v>
      </c>
      <c r="C17464">
        <v>9545</v>
      </c>
      <c r="D17464" t="str">
        <f>"110582219   "</f>
        <v xml:space="preserve">110582219   </v>
      </c>
      <c r="E17464" t="s">
        <v>190</v>
      </c>
      <c r="F17464" t="s">
        <v>192</v>
      </c>
      <c r="G17464">
        <v>12.56</v>
      </c>
      <c r="H17464">
        <v>250630</v>
      </c>
      <c r="I17464">
        <v>4471</v>
      </c>
      <c r="J17464" t="s">
        <v>191</v>
      </c>
      <c r="K17464">
        <v>114.21</v>
      </c>
      <c r="L17464">
        <v>2.5499999999999998</v>
      </c>
      <c r="M17464">
        <v>13540</v>
      </c>
      <c r="N17464" t="s">
        <v>131</v>
      </c>
      <c r="O17464">
        <v>250711</v>
      </c>
      <c r="P17464">
        <v>10.01</v>
      </c>
    </row>
    <row r="17465" spans="1:16" x14ac:dyDescent="0.25">
      <c r="A17465" t="s">
        <v>3296</v>
      </c>
      <c r="B17465" t="s">
        <v>2931</v>
      </c>
      <c r="C17465">
        <v>9545</v>
      </c>
      <c r="D17465" t="str">
        <f>"110582219   "</f>
        <v xml:space="preserve">110582219   </v>
      </c>
      <c r="E17465" t="s">
        <v>190</v>
      </c>
      <c r="F17465" t="s">
        <v>192</v>
      </c>
      <c r="G17465">
        <v>101.65</v>
      </c>
      <c r="H17465">
        <v>250630</v>
      </c>
      <c r="I17465">
        <v>4471</v>
      </c>
      <c r="J17465" t="s">
        <v>191</v>
      </c>
      <c r="K17465">
        <v>114.21</v>
      </c>
      <c r="L17465">
        <v>20.65</v>
      </c>
      <c r="M17465">
        <v>17950</v>
      </c>
      <c r="N17465" t="s">
        <v>132</v>
      </c>
      <c r="O17465">
        <v>250711</v>
      </c>
      <c r="P17465">
        <v>81</v>
      </c>
    </row>
    <row r="17466" spans="1:16" x14ac:dyDescent="0.25">
      <c r="A17466" t="s">
        <v>3296</v>
      </c>
      <c r="B17466" t="s">
        <v>2931</v>
      </c>
      <c r="C17466">
        <v>9769</v>
      </c>
      <c r="D17466" t="str">
        <f>"110586245   "</f>
        <v xml:space="preserve">110586245   </v>
      </c>
      <c r="E17466" t="s">
        <v>190</v>
      </c>
      <c r="F17466" t="s">
        <v>192</v>
      </c>
      <c r="G17466">
        <v>220.88</v>
      </c>
      <c r="H17466">
        <v>250718</v>
      </c>
      <c r="I17466">
        <v>4471</v>
      </c>
      <c r="J17466" t="s">
        <v>191</v>
      </c>
      <c r="K17466">
        <v>220.88</v>
      </c>
      <c r="L17466">
        <v>44.88</v>
      </c>
      <c r="M17466">
        <v>17950</v>
      </c>
      <c r="N17466" t="s">
        <v>132</v>
      </c>
      <c r="O17466">
        <v>250728</v>
      </c>
      <c r="P17466">
        <v>176</v>
      </c>
    </row>
    <row r="17467" spans="1:16" x14ac:dyDescent="0.25">
      <c r="A17467" t="s">
        <v>3296</v>
      </c>
      <c r="B17467" t="s">
        <v>2931</v>
      </c>
      <c r="C17467">
        <v>9912</v>
      </c>
      <c r="D17467" t="str">
        <f t="shared" ref="D17467:D17472" si="300">"110588832   "</f>
        <v xml:space="preserve">110588832   </v>
      </c>
      <c r="E17467" t="s">
        <v>190</v>
      </c>
      <c r="F17467" t="s">
        <v>192</v>
      </c>
      <c r="G17467">
        <v>398.16</v>
      </c>
      <c r="H17467">
        <v>250801</v>
      </c>
      <c r="I17467">
        <v>4471</v>
      </c>
      <c r="J17467" t="s">
        <v>191</v>
      </c>
      <c r="K17467">
        <v>1525.06</v>
      </c>
      <c r="L17467">
        <v>80.900000000000006</v>
      </c>
      <c r="M17467">
        <v>59501</v>
      </c>
      <c r="N17467" t="s">
        <v>62</v>
      </c>
      <c r="O17467">
        <v>250804</v>
      </c>
      <c r="P17467">
        <v>317.26</v>
      </c>
    </row>
    <row r="17468" spans="1:16" x14ac:dyDescent="0.25">
      <c r="A17468" t="s">
        <v>3296</v>
      </c>
      <c r="B17468" t="s">
        <v>2931</v>
      </c>
      <c r="C17468">
        <v>9912</v>
      </c>
      <c r="D17468" t="str">
        <f t="shared" si="300"/>
        <v xml:space="preserve">110588832   </v>
      </c>
      <c r="E17468" t="s">
        <v>190</v>
      </c>
      <c r="F17468" t="s">
        <v>192</v>
      </c>
      <c r="G17468">
        <v>278.74</v>
      </c>
      <c r="H17468">
        <v>250801</v>
      </c>
      <c r="I17468">
        <v>4471</v>
      </c>
      <c r="J17468" t="s">
        <v>191</v>
      </c>
      <c r="K17468">
        <v>1525.06</v>
      </c>
      <c r="L17468">
        <v>56.64</v>
      </c>
      <c r="M17468">
        <v>59502</v>
      </c>
      <c r="N17468" t="s">
        <v>63</v>
      </c>
      <c r="O17468">
        <v>250804</v>
      </c>
      <c r="P17468">
        <v>222.1</v>
      </c>
    </row>
    <row r="17469" spans="1:16" x14ac:dyDescent="0.25">
      <c r="A17469" t="s">
        <v>3296</v>
      </c>
      <c r="B17469" t="s">
        <v>2931</v>
      </c>
      <c r="C17469">
        <v>9912</v>
      </c>
      <c r="D17469" t="str">
        <f t="shared" si="300"/>
        <v xml:space="preserve">110588832   </v>
      </c>
      <c r="E17469" t="s">
        <v>190</v>
      </c>
      <c r="F17469" t="s">
        <v>192</v>
      </c>
      <c r="G17469">
        <v>398.15</v>
      </c>
      <c r="H17469">
        <v>250801</v>
      </c>
      <c r="I17469">
        <v>4471</v>
      </c>
      <c r="J17469" t="s">
        <v>191</v>
      </c>
      <c r="K17469">
        <v>1525.06</v>
      </c>
      <c r="L17469">
        <v>80.900000000000006</v>
      </c>
      <c r="M17469">
        <v>59504</v>
      </c>
      <c r="N17469" t="s">
        <v>193</v>
      </c>
      <c r="O17469">
        <v>250804</v>
      </c>
      <c r="P17469">
        <v>317.25</v>
      </c>
    </row>
    <row r="17470" spans="1:16" x14ac:dyDescent="0.25">
      <c r="A17470" t="s">
        <v>3296</v>
      </c>
      <c r="B17470" t="s">
        <v>2931</v>
      </c>
      <c r="C17470">
        <v>9912</v>
      </c>
      <c r="D17470" t="str">
        <f t="shared" si="300"/>
        <v xml:space="preserve">110588832   </v>
      </c>
      <c r="E17470" t="s">
        <v>190</v>
      </c>
      <c r="F17470" t="s">
        <v>192</v>
      </c>
      <c r="G17470">
        <v>290.91000000000003</v>
      </c>
      <c r="H17470">
        <v>250801</v>
      </c>
      <c r="I17470">
        <v>4471</v>
      </c>
      <c r="J17470" t="s">
        <v>191</v>
      </c>
      <c r="K17470">
        <v>1525.06</v>
      </c>
      <c r="L17470">
        <v>59.11</v>
      </c>
      <c r="M17470">
        <v>59505</v>
      </c>
      <c r="N17470" t="s">
        <v>194</v>
      </c>
      <c r="O17470">
        <v>250804</v>
      </c>
      <c r="P17470">
        <v>231.8</v>
      </c>
    </row>
    <row r="17471" spans="1:16" x14ac:dyDescent="0.25">
      <c r="A17471" t="s">
        <v>3296</v>
      </c>
      <c r="B17471" t="s">
        <v>2931</v>
      </c>
      <c r="C17471">
        <v>9912</v>
      </c>
      <c r="D17471" t="str">
        <f t="shared" si="300"/>
        <v xml:space="preserve">110588832   </v>
      </c>
      <c r="E17471" t="s">
        <v>190</v>
      </c>
      <c r="F17471" t="s">
        <v>192</v>
      </c>
      <c r="G17471">
        <v>119.44</v>
      </c>
      <c r="H17471">
        <v>250801</v>
      </c>
      <c r="I17471">
        <v>4471</v>
      </c>
      <c r="J17471" t="s">
        <v>191</v>
      </c>
      <c r="K17471">
        <v>1525.06</v>
      </c>
      <c r="L17471">
        <v>24.27</v>
      </c>
      <c r="M17471">
        <v>59802</v>
      </c>
      <c r="N17471" t="s">
        <v>195</v>
      </c>
      <c r="O17471">
        <v>250804</v>
      </c>
      <c r="P17471">
        <v>95.17</v>
      </c>
    </row>
    <row r="17472" spans="1:16" x14ac:dyDescent="0.25">
      <c r="A17472" t="s">
        <v>3296</v>
      </c>
      <c r="B17472" t="s">
        <v>2931</v>
      </c>
      <c r="C17472">
        <v>9912</v>
      </c>
      <c r="D17472" t="str">
        <f t="shared" si="300"/>
        <v xml:space="preserve">110588832   </v>
      </c>
      <c r="E17472" t="s">
        <v>190</v>
      </c>
      <c r="F17472" t="s">
        <v>192</v>
      </c>
      <c r="G17472">
        <v>39.659999999999997</v>
      </c>
      <c r="H17472">
        <v>250801</v>
      </c>
      <c r="I17472">
        <v>4471</v>
      </c>
      <c r="J17472" t="s">
        <v>191</v>
      </c>
      <c r="K17472">
        <v>1525.06</v>
      </c>
      <c r="L17472">
        <v>8.06</v>
      </c>
      <c r="M17472">
        <v>59812</v>
      </c>
      <c r="N17472" t="s">
        <v>196</v>
      </c>
      <c r="O17472">
        <v>250804</v>
      </c>
      <c r="P17472">
        <v>31.6</v>
      </c>
    </row>
    <row r="17473" spans="1:16" x14ac:dyDescent="0.25">
      <c r="A17473" t="s">
        <v>3296</v>
      </c>
      <c r="B17473" t="s">
        <v>2931</v>
      </c>
      <c r="C17473">
        <v>9979</v>
      </c>
      <c r="D17473" t="str">
        <f t="shared" ref="D17473:D17478" si="301">"110590804   "</f>
        <v xml:space="preserve">110590804   </v>
      </c>
      <c r="E17473" t="s">
        <v>190</v>
      </c>
      <c r="F17473" t="s">
        <v>192</v>
      </c>
      <c r="G17473">
        <v>40.6</v>
      </c>
      <c r="H17473">
        <v>250801</v>
      </c>
      <c r="I17473">
        <v>4471</v>
      </c>
      <c r="J17473" t="s">
        <v>191</v>
      </c>
      <c r="K17473">
        <v>1391.12</v>
      </c>
      <c r="L17473">
        <v>8.25</v>
      </c>
      <c r="M17473">
        <v>13540</v>
      </c>
      <c r="N17473" t="s">
        <v>131</v>
      </c>
      <c r="O17473">
        <v>250806</v>
      </c>
      <c r="P17473">
        <v>32.35</v>
      </c>
    </row>
    <row r="17474" spans="1:16" x14ac:dyDescent="0.25">
      <c r="A17474" t="s">
        <v>3296</v>
      </c>
      <c r="B17474" t="s">
        <v>2931</v>
      </c>
      <c r="C17474">
        <v>9979</v>
      </c>
      <c r="D17474" t="str">
        <f t="shared" si="301"/>
        <v xml:space="preserve">110590804   </v>
      </c>
      <c r="E17474" t="s">
        <v>190</v>
      </c>
      <c r="F17474" t="s">
        <v>192</v>
      </c>
      <c r="G17474">
        <v>127.04</v>
      </c>
      <c r="H17474">
        <v>250801</v>
      </c>
      <c r="I17474">
        <v>4471</v>
      </c>
      <c r="J17474" t="s">
        <v>191</v>
      </c>
      <c r="K17474">
        <v>1391.12</v>
      </c>
      <c r="L17474">
        <v>25.81</v>
      </c>
      <c r="M17474">
        <v>17950</v>
      </c>
      <c r="N17474" t="s">
        <v>132</v>
      </c>
      <c r="O17474">
        <v>250806</v>
      </c>
      <c r="P17474">
        <v>101.23</v>
      </c>
    </row>
    <row r="17475" spans="1:16" x14ac:dyDescent="0.25">
      <c r="A17475" t="s">
        <v>3296</v>
      </c>
      <c r="B17475" t="s">
        <v>2931</v>
      </c>
      <c r="C17475">
        <v>9979</v>
      </c>
      <c r="D17475" t="str">
        <f t="shared" si="301"/>
        <v xml:space="preserve">110590804   </v>
      </c>
      <c r="E17475" t="s">
        <v>190</v>
      </c>
      <c r="F17475" t="s">
        <v>192</v>
      </c>
      <c r="G17475">
        <v>328.53</v>
      </c>
      <c r="H17475">
        <v>250801</v>
      </c>
      <c r="I17475">
        <v>4471</v>
      </c>
      <c r="J17475" t="s">
        <v>191</v>
      </c>
      <c r="K17475">
        <v>1391.12</v>
      </c>
      <c r="L17475">
        <v>66.75</v>
      </c>
      <c r="M17475">
        <v>17950</v>
      </c>
      <c r="N17475" t="s">
        <v>132</v>
      </c>
      <c r="O17475">
        <v>250806</v>
      </c>
      <c r="P17475">
        <v>261.77999999999997</v>
      </c>
    </row>
    <row r="17476" spans="1:16" x14ac:dyDescent="0.25">
      <c r="A17476" t="s">
        <v>3296</v>
      </c>
      <c r="B17476" t="s">
        <v>2931</v>
      </c>
      <c r="C17476">
        <v>9979</v>
      </c>
      <c r="D17476" t="str">
        <f t="shared" si="301"/>
        <v xml:space="preserve">110590804   </v>
      </c>
      <c r="E17476" t="s">
        <v>190</v>
      </c>
      <c r="F17476" t="s">
        <v>192</v>
      </c>
      <c r="G17476">
        <v>302.14</v>
      </c>
      <c r="H17476">
        <v>250801</v>
      </c>
      <c r="I17476">
        <v>4471</v>
      </c>
      <c r="J17476" t="s">
        <v>191</v>
      </c>
      <c r="K17476">
        <v>1391.12</v>
      </c>
      <c r="L17476">
        <v>61.39</v>
      </c>
      <c r="M17476">
        <v>17951</v>
      </c>
      <c r="N17476" t="s">
        <v>207</v>
      </c>
      <c r="O17476">
        <v>250806</v>
      </c>
      <c r="P17476">
        <v>240.75</v>
      </c>
    </row>
    <row r="17477" spans="1:16" x14ac:dyDescent="0.25">
      <c r="A17477" t="s">
        <v>3296</v>
      </c>
      <c r="B17477" t="s">
        <v>2931</v>
      </c>
      <c r="C17477">
        <v>9979</v>
      </c>
      <c r="D17477" t="str">
        <f t="shared" si="301"/>
        <v xml:space="preserve">110590804   </v>
      </c>
      <c r="E17477" t="s">
        <v>190</v>
      </c>
      <c r="F17477" t="s">
        <v>192</v>
      </c>
      <c r="G17477">
        <v>490.06</v>
      </c>
      <c r="H17477">
        <v>250801</v>
      </c>
      <c r="I17477">
        <v>4471</v>
      </c>
      <c r="J17477" t="s">
        <v>191</v>
      </c>
      <c r="K17477">
        <v>1391.12</v>
      </c>
      <c r="L17477">
        <v>99.57</v>
      </c>
      <c r="M17477">
        <v>17952</v>
      </c>
      <c r="N17477" t="s">
        <v>157</v>
      </c>
      <c r="O17477">
        <v>250806</v>
      </c>
      <c r="P17477">
        <v>390.49</v>
      </c>
    </row>
    <row r="17478" spans="1:16" x14ac:dyDescent="0.25">
      <c r="A17478" t="s">
        <v>3296</v>
      </c>
      <c r="B17478" t="s">
        <v>2931</v>
      </c>
      <c r="C17478">
        <v>9979</v>
      </c>
      <c r="D17478" t="str">
        <f t="shared" si="301"/>
        <v xml:space="preserve">110590804   </v>
      </c>
      <c r="E17478" t="s">
        <v>190</v>
      </c>
      <c r="F17478" t="s">
        <v>192</v>
      </c>
      <c r="G17478">
        <v>102.75</v>
      </c>
      <c r="H17478">
        <v>250801</v>
      </c>
      <c r="I17478">
        <v>4471</v>
      </c>
      <c r="J17478" t="s">
        <v>191</v>
      </c>
      <c r="K17478">
        <v>1391.12</v>
      </c>
      <c r="L17478">
        <v>20.88</v>
      </c>
      <c r="M17478">
        <v>17956</v>
      </c>
      <c r="N17478" t="s">
        <v>170</v>
      </c>
      <c r="O17478">
        <v>250806</v>
      </c>
      <c r="P17478">
        <v>81.87</v>
      </c>
    </row>
    <row r="17479" spans="1:16" x14ac:dyDescent="0.25">
      <c r="A17479" t="s">
        <v>3296</v>
      </c>
      <c r="B17479" t="s">
        <v>2931</v>
      </c>
      <c r="C17479">
        <v>10092</v>
      </c>
      <c r="D17479" t="str">
        <f>"110604028   "</f>
        <v xml:space="preserve">110604028   </v>
      </c>
      <c r="E17479" t="s">
        <v>190</v>
      </c>
      <c r="F17479" t="s">
        <v>192</v>
      </c>
      <c r="G17479">
        <v>65.260000000000005</v>
      </c>
      <c r="H17479">
        <v>250805</v>
      </c>
      <c r="I17479">
        <v>4471</v>
      </c>
      <c r="J17479" t="s">
        <v>191</v>
      </c>
      <c r="K17479">
        <v>65.260000000000005</v>
      </c>
      <c r="L17479">
        <v>13.26</v>
      </c>
      <c r="M17479">
        <v>59502</v>
      </c>
      <c r="N17479" t="s">
        <v>63</v>
      </c>
      <c r="O17479">
        <v>250811</v>
      </c>
      <c r="P17479">
        <v>52</v>
      </c>
    </row>
    <row r="17480" spans="1:16" x14ac:dyDescent="0.25">
      <c r="A17480" t="s">
        <v>3296</v>
      </c>
      <c r="B17480" t="s">
        <v>2931</v>
      </c>
      <c r="C17480">
        <v>10137</v>
      </c>
      <c r="D17480" t="str">
        <f>"110603642   "</f>
        <v xml:space="preserve">110603642   </v>
      </c>
      <c r="E17480" t="s">
        <v>190</v>
      </c>
      <c r="F17480" t="s">
        <v>192</v>
      </c>
      <c r="G17480">
        <v>79.900000000000006</v>
      </c>
      <c r="H17480">
        <v>250731</v>
      </c>
      <c r="I17480">
        <v>4471</v>
      </c>
      <c r="J17480" t="s">
        <v>191</v>
      </c>
      <c r="K17480">
        <v>239.71</v>
      </c>
      <c r="L17480">
        <v>16.23</v>
      </c>
      <c r="M17480">
        <v>13540</v>
      </c>
      <c r="N17480" t="s">
        <v>131</v>
      </c>
      <c r="O17480">
        <v>250812</v>
      </c>
      <c r="P17480">
        <v>63.67</v>
      </c>
    </row>
    <row r="17481" spans="1:16" x14ac:dyDescent="0.25">
      <c r="A17481" t="s">
        <v>3296</v>
      </c>
      <c r="B17481" t="s">
        <v>2931</v>
      </c>
      <c r="C17481">
        <v>10137</v>
      </c>
      <c r="D17481" t="str">
        <f>"110603642   "</f>
        <v xml:space="preserve">110603642   </v>
      </c>
      <c r="E17481" t="s">
        <v>190</v>
      </c>
      <c r="F17481" t="s">
        <v>192</v>
      </c>
      <c r="G17481">
        <v>159.81</v>
      </c>
      <c r="H17481">
        <v>250731</v>
      </c>
      <c r="I17481">
        <v>4471</v>
      </c>
      <c r="J17481" t="s">
        <v>191</v>
      </c>
      <c r="K17481">
        <v>239.71</v>
      </c>
      <c r="L17481">
        <v>32.47</v>
      </c>
      <c r="M17481">
        <v>17950</v>
      </c>
      <c r="N17481" t="s">
        <v>132</v>
      </c>
      <c r="O17481">
        <v>250812</v>
      </c>
      <c r="P17481">
        <v>127.34</v>
      </c>
    </row>
    <row r="17482" spans="1:16" x14ac:dyDescent="0.25">
      <c r="A17482" t="s">
        <v>3296</v>
      </c>
      <c r="B17482" t="s">
        <v>2931</v>
      </c>
      <c r="C17482">
        <v>10781</v>
      </c>
      <c r="D17482" t="str">
        <f>"110605129   "</f>
        <v xml:space="preserve">110605129   </v>
      </c>
      <c r="E17482" t="s">
        <v>190</v>
      </c>
      <c r="F17482" t="s">
        <v>192</v>
      </c>
      <c r="G17482">
        <v>158.13</v>
      </c>
      <c r="H17482">
        <v>250820</v>
      </c>
      <c r="I17482">
        <v>4471</v>
      </c>
      <c r="J17482" t="s">
        <v>191</v>
      </c>
      <c r="K17482">
        <v>158.13</v>
      </c>
      <c r="L17482">
        <v>32.130000000000003</v>
      </c>
      <c r="M17482">
        <v>17950</v>
      </c>
      <c r="N17482" t="s">
        <v>132</v>
      </c>
      <c r="O17482">
        <v>250822</v>
      </c>
      <c r="P17482">
        <v>126</v>
      </c>
    </row>
    <row r="17483" spans="1:16" x14ac:dyDescent="0.25">
      <c r="A17483" t="s">
        <v>3296</v>
      </c>
      <c r="B17483" t="s">
        <v>2931</v>
      </c>
      <c r="C17483">
        <v>11098</v>
      </c>
      <c r="D17483" t="str">
        <f t="shared" ref="D17483:D17488" si="302">"110611566   "</f>
        <v xml:space="preserve">110611566   </v>
      </c>
      <c r="E17483" t="s">
        <v>190</v>
      </c>
      <c r="F17483" t="s">
        <v>192</v>
      </c>
      <c r="G17483">
        <v>40.61</v>
      </c>
      <c r="H17483">
        <v>250901</v>
      </c>
      <c r="I17483">
        <v>4471</v>
      </c>
      <c r="J17483" t="s">
        <v>191</v>
      </c>
      <c r="K17483">
        <v>1391.13</v>
      </c>
      <c r="L17483">
        <v>8.25</v>
      </c>
      <c r="M17483">
        <v>13540</v>
      </c>
      <c r="N17483" t="s">
        <v>131</v>
      </c>
      <c r="O17483">
        <v>250829</v>
      </c>
      <c r="P17483">
        <v>32.36</v>
      </c>
    </row>
    <row r="17484" spans="1:16" x14ac:dyDescent="0.25">
      <c r="A17484" t="s">
        <v>3296</v>
      </c>
      <c r="B17484" t="s">
        <v>2931</v>
      </c>
      <c r="C17484">
        <v>11098</v>
      </c>
      <c r="D17484" t="str">
        <f t="shared" si="302"/>
        <v xml:space="preserve">110611566   </v>
      </c>
      <c r="E17484" t="s">
        <v>190</v>
      </c>
      <c r="F17484" t="s">
        <v>192</v>
      </c>
      <c r="G17484">
        <v>127.04</v>
      </c>
      <c r="H17484">
        <v>250901</v>
      </c>
      <c r="I17484">
        <v>4471</v>
      </c>
      <c r="J17484" t="s">
        <v>191</v>
      </c>
      <c r="K17484">
        <v>1391.13</v>
      </c>
      <c r="L17484">
        <v>25.81</v>
      </c>
      <c r="M17484">
        <v>17950</v>
      </c>
      <c r="N17484" t="s">
        <v>132</v>
      </c>
      <c r="O17484">
        <v>250829</v>
      </c>
      <c r="P17484">
        <v>101.23</v>
      </c>
    </row>
    <row r="17485" spans="1:16" x14ac:dyDescent="0.25">
      <c r="A17485" t="s">
        <v>3296</v>
      </c>
      <c r="B17485" t="s">
        <v>2931</v>
      </c>
      <c r="C17485">
        <v>11098</v>
      </c>
      <c r="D17485" t="str">
        <f t="shared" si="302"/>
        <v xml:space="preserve">110611566   </v>
      </c>
      <c r="E17485" t="s">
        <v>190</v>
      </c>
      <c r="F17485" t="s">
        <v>192</v>
      </c>
      <c r="G17485">
        <v>328.53</v>
      </c>
      <c r="H17485">
        <v>250901</v>
      </c>
      <c r="I17485">
        <v>4471</v>
      </c>
      <c r="J17485" t="s">
        <v>191</v>
      </c>
      <c r="K17485">
        <v>1391.13</v>
      </c>
      <c r="L17485">
        <v>66.75</v>
      </c>
      <c r="M17485">
        <v>17950</v>
      </c>
      <c r="N17485" t="s">
        <v>132</v>
      </c>
      <c r="O17485">
        <v>250829</v>
      </c>
      <c r="P17485">
        <v>261.77999999999997</v>
      </c>
    </row>
    <row r="17486" spans="1:16" x14ac:dyDescent="0.25">
      <c r="A17486" t="s">
        <v>3296</v>
      </c>
      <c r="B17486" t="s">
        <v>2931</v>
      </c>
      <c r="C17486">
        <v>11098</v>
      </c>
      <c r="D17486" t="str">
        <f t="shared" si="302"/>
        <v xml:space="preserve">110611566   </v>
      </c>
      <c r="E17486" t="s">
        <v>190</v>
      </c>
      <c r="F17486" t="s">
        <v>192</v>
      </c>
      <c r="G17486">
        <v>302.13</v>
      </c>
      <c r="H17486">
        <v>250901</v>
      </c>
      <c r="I17486">
        <v>4471</v>
      </c>
      <c r="J17486" t="s">
        <v>191</v>
      </c>
      <c r="K17486">
        <v>1391.13</v>
      </c>
      <c r="L17486">
        <v>61.39</v>
      </c>
      <c r="M17486">
        <v>17951</v>
      </c>
      <c r="N17486" t="s">
        <v>207</v>
      </c>
      <c r="O17486">
        <v>250829</v>
      </c>
      <c r="P17486">
        <v>240.74</v>
      </c>
    </row>
    <row r="17487" spans="1:16" x14ac:dyDescent="0.25">
      <c r="A17487" t="s">
        <v>3296</v>
      </c>
      <c r="B17487" t="s">
        <v>2931</v>
      </c>
      <c r="C17487">
        <v>11098</v>
      </c>
      <c r="D17487" t="str">
        <f t="shared" si="302"/>
        <v xml:space="preserve">110611566   </v>
      </c>
      <c r="E17487" t="s">
        <v>190</v>
      </c>
      <c r="F17487" t="s">
        <v>192</v>
      </c>
      <c r="G17487">
        <v>490.06</v>
      </c>
      <c r="H17487">
        <v>250901</v>
      </c>
      <c r="I17487">
        <v>4471</v>
      </c>
      <c r="J17487" t="s">
        <v>191</v>
      </c>
      <c r="K17487">
        <v>1391.13</v>
      </c>
      <c r="L17487">
        <v>99.57</v>
      </c>
      <c r="M17487">
        <v>17952</v>
      </c>
      <c r="N17487" t="s">
        <v>157</v>
      </c>
      <c r="O17487">
        <v>250829</v>
      </c>
      <c r="P17487">
        <v>390.49</v>
      </c>
    </row>
    <row r="17488" spans="1:16" x14ac:dyDescent="0.25">
      <c r="A17488" t="s">
        <v>3296</v>
      </c>
      <c r="B17488" t="s">
        <v>2931</v>
      </c>
      <c r="C17488">
        <v>11098</v>
      </c>
      <c r="D17488" t="str">
        <f t="shared" si="302"/>
        <v xml:space="preserve">110611566   </v>
      </c>
      <c r="E17488" t="s">
        <v>190</v>
      </c>
      <c r="F17488" t="s">
        <v>192</v>
      </c>
      <c r="G17488">
        <v>102.76</v>
      </c>
      <c r="H17488">
        <v>250901</v>
      </c>
      <c r="I17488">
        <v>4471</v>
      </c>
      <c r="J17488" t="s">
        <v>191</v>
      </c>
      <c r="K17488">
        <v>1391.13</v>
      </c>
      <c r="L17488">
        <v>20.88</v>
      </c>
      <c r="M17488">
        <v>17956</v>
      </c>
      <c r="N17488" t="s">
        <v>170</v>
      </c>
      <c r="O17488">
        <v>250829</v>
      </c>
      <c r="P17488">
        <v>81.88</v>
      </c>
    </row>
    <row r="17489" spans="1:16" x14ac:dyDescent="0.25">
      <c r="A17489" t="s">
        <v>3296</v>
      </c>
      <c r="B17489" t="s">
        <v>2931</v>
      </c>
      <c r="C17489">
        <v>11130</v>
      </c>
      <c r="D17489" t="str">
        <f>"110607489   "</f>
        <v xml:space="preserve">110607489   </v>
      </c>
      <c r="E17489" t="s">
        <v>190</v>
      </c>
      <c r="F17489" t="s">
        <v>192</v>
      </c>
      <c r="G17489">
        <v>73.63</v>
      </c>
      <c r="H17489">
        <v>250822</v>
      </c>
      <c r="I17489">
        <v>4471</v>
      </c>
      <c r="J17489" t="s">
        <v>191</v>
      </c>
      <c r="K17489">
        <v>220.89</v>
      </c>
      <c r="L17489">
        <v>14.96</v>
      </c>
      <c r="M17489">
        <v>13540</v>
      </c>
      <c r="N17489" t="s">
        <v>131</v>
      </c>
      <c r="O17489">
        <v>250901</v>
      </c>
      <c r="P17489">
        <v>58.67</v>
      </c>
    </row>
    <row r="17490" spans="1:16" x14ac:dyDescent="0.25">
      <c r="A17490" t="s">
        <v>3296</v>
      </c>
      <c r="B17490" t="s">
        <v>2931</v>
      </c>
      <c r="C17490">
        <v>11130</v>
      </c>
      <c r="D17490" t="str">
        <f>"110607489   "</f>
        <v xml:space="preserve">110607489   </v>
      </c>
      <c r="E17490" t="s">
        <v>190</v>
      </c>
      <c r="F17490" t="s">
        <v>192</v>
      </c>
      <c r="G17490">
        <v>147.26</v>
      </c>
      <c r="H17490">
        <v>250822</v>
      </c>
      <c r="I17490">
        <v>4471</v>
      </c>
      <c r="J17490" t="s">
        <v>191</v>
      </c>
      <c r="K17490">
        <v>220.89</v>
      </c>
      <c r="L17490">
        <v>29.92</v>
      </c>
      <c r="M17490">
        <v>17950</v>
      </c>
      <c r="N17490" t="s">
        <v>132</v>
      </c>
      <c r="O17490">
        <v>250901</v>
      </c>
      <c r="P17490">
        <v>117.34</v>
      </c>
    </row>
    <row r="17491" spans="1:16" x14ac:dyDescent="0.25">
      <c r="A17491" t="s">
        <v>3296</v>
      </c>
      <c r="B17491" t="s">
        <v>2931</v>
      </c>
      <c r="C17491">
        <v>11295</v>
      </c>
      <c r="D17491" t="str">
        <f t="shared" ref="D17491:D17496" si="303">"110609609   "</f>
        <v xml:space="preserve">110609609   </v>
      </c>
      <c r="E17491" t="s">
        <v>190</v>
      </c>
      <c r="F17491" t="s">
        <v>192</v>
      </c>
      <c r="G17491">
        <v>398.16</v>
      </c>
      <c r="H17491">
        <v>250901</v>
      </c>
      <c r="I17491">
        <v>4471</v>
      </c>
      <c r="J17491" t="s">
        <v>191</v>
      </c>
      <c r="K17491">
        <v>1525.05</v>
      </c>
      <c r="L17491">
        <v>80.900000000000006</v>
      </c>
      <c r="M17491">
        <v>59501</v>
      </c>
      <c r="N17491" t="s">
        <v>62</v>
      </c>
      <c r="O17491">
        <v>250903</v>
      </c>
      <c r="P17491">
        <v>317.26</v>
      </c>
    </row>
    <row r="17492" spans="1:16" x14ac:dyDescent="0.25">
      <c r="A17492" t="s">
        <v>3296</v>
      </c>
      <c r="B17492" t="s">
        <v>2931</v>
      </c>
      <c r="C17492">
        <v>11295</v>
      </c>
      <c r="D17492" t="str">
        <f t="shared" si="303"/>
        <v xml:space="preserve">110609609   </v>
      </c>
      <c r="E17492" t="s">
        <v>190</v>
      </c>
      <c r="F17492" t="s">
        <v>192</v>
      </c>
      <c r="G17492">
        <v>278.72000000000003</v>
      </c>
      <c r="H17492">
        <v>250901</v>
      </c>
      <c r="I17492">
        <v>4471</v>
      </c>
      <c r="J17492" t="s">
        <v>191</v>
      </c>
      <c r="K17492">
        <v>1525.05</v>
      </c>
      <c r="L17492">
        <v>56.63</v>
      </c>
      <c r="M17492">
        <v>59502</v>
      </c>
      <c r="N17492" t="s">
        <v>63</v>
      </c>
      <c r="O17492">
        <v>250903</v>
      </c>
      <c r="P17492">
        <v>222.09</v>
      </c>
    </row>
    <row r="17493" spans="1:16" x14ac:dyDescent="0.25">
      <c r="A17493" t="s">
        <v>3296</v>
      </c>
      <c r="B17493" t="s">
        <v>2931</v>
      </c>
      <c r="C17493">
        <v>11295</v>
      </c>
      <c r="D17493" t="str">
        <f t="shared" si="303"/>
        <v xml:space="preserve">110609609   </v>
      </c>
      <c r="E17493" t="s">
        <v>190</v>
      </c>
      <c r="F17493" t="s">
        <v>192</v>
      </c>
      <c r="G17493">
        <v>398.16</v>
      </c>
      <c r="H17493">
        <v>250901</v>
      </c>
      <c r="I17493">
        <v>4471</v>
      </c>
      <c r="J17493" t="s">
        <v>191</v>
      </c>
      <c r="K17493">
        <v>1525.05</v>
      </c>
      <c r="L17493">
        <v>80.900000000000006</v>
      </c>
      <c r="M17493">
        <v>59504</v>
      </c>
      <c r="N17493" t="s">
        <v>193</v>
      </c>
      <c r="O17493">
        <v>250903</v>
      </c>
      <c r="P17493">
        <v>317.26</v>
      </c>
    </row>
    <row r="17494" spans="1:16" x14ac:dyDescent="0.25">
      <c r="A17494" t="s">
        <v>3296</v>
      </c>
      <c r="B17494" t="s">
        <v>2931</v>
      </c>
      <c r="C17494">
        <v>11295</v>
      </c>
      <c r="D17494" t="str">
        <f t="shared" si="303"/>
        <v xml:space="preserve">110609609   </v>
      </c>
      <c r="E17494" t="s">
        <v>190</v>
      </c>
      <c r="F17494" t="s">
        <v>192</v>
      </c>
      <c r="G17494">
        <v>290.91000000000003</v>
      </c>
      <c r="H17494">
        <v>250901</v>
      </c>
      <c r="I17494">
        <v>4471</v>
      </c>
      <c r="J17494" t="s">
        <v>191</v>
      </c>
      <c r="K17494">
        <v>1525.05</v>
      </c>
      <c r="L17494">
        <v>59.11</v>
      </c>
      <c r="M17494">
        <v>59505</v>
      </c>
      <c r="N17494" t="s">
        <v>194</v>
      </c>
      <c r="O17494">
        <v>250903</v>
      </c>
      <c r="P17494">
        <v>231.8</v>
      </c>
    </row>
    <row r="17495" spans="1:16" x14ac:dyDescent="0.25">
      <c r="A17495" t="s">
        <v>3296</v>
      </c>
      <c r="B17495" t="s">
        <v>2931</v>
      </c>
      <c r="C17495">
        <v>11295</v>
      </c>
      <c r="D17495" t="str">
        <f t="shared" si="303"/>
        <v xml:space="preserve">110609609   </v>
      </c>
      <c r="E17495" t="s">
        <v>190</v>
      </c>
      <c r="F17495" t="s">
        <v>192</v>
      </c>
      <c r="G17495">
        <v>119.44</v>
      </c>
      <c r="H17495">
        <v>250901</v>
      </c>
      <c r="I17495">
        <v>4471</v>
      </c>
      <c r="J17495" t="s">
        <v>191</v>
      </c>
      <c r="K17495">
        <v>1525.05</v>
      </c>
      <c r="L17495">
        <v>24.27</v>
      </c>
      <c r="M17495">
        <v>59802</v>
      </c>
      <c r="N17495" t="s">
        <v>195</v>
      </c>
      <c r="O17495">
        <v>250903</v>
      </c>
      <c r="P17495">
        <v>95.17</v>
      </c>
    </row>
    <row r="17496" spans="1:16" x14ac:dyDescent="0.25">
      <c r="A17496" t="s">
        <v>3296</v>
      </c>
      <c r="B17496" t="s">
        <v>2931</v>
      </c>
      <c r="C17496">
        <v>11295</v>
      </c>
      <c r="D17496" t="str">
        <f t="shared" si="303"/>
        <v xml:space="preserve">110609609   </v>
      </c>
      <c r="E17496" t="s">
        <v>190</v>
      </c>
      <c r="F17496" t="s">
        <v>192</v>
      </c>
      <c r="G17496">
        <v>39.659999999999997</v>
      </c>
      <c r="H17496">
        <v>250901</v>
      </c>
      <c r="I17496">
        <v>4471</v>
      </c>
      <c r="J17496" t="s">
        <v>191</v>
      </c>
      <c r="K17496">
        <v>1525.05</v>
      </c>
      <c r="L17496">
        <v>8.06</v>
      </c>
      <c r="M17496">
        <v>59812</v>
      </c>
      <c r="N17496" t="s">
        <v>196</v>
      </c>
      <c r="O17496">
        <v>250903</v>
      </c>
      <c r="P17496">
        <v>31.6</v>
      </c>
    </row>
    <row r="17497" spans="1:16" x14ac:dyDescent="0.25">
      <c r="A17497" t="s">
        <v>3296</v>
      </c>
      <c r="B17497" t="s">
        <v>2931</v>
      </c>
      <c r="C17497">
        <v>11440</v>
      </c>
      <c r="D17497" t="str">
        <f>"110607488   "</f>
        <v xml:space="preserve">110607488   </v>
      </c>
      <c r="E17497" t="s">
        <v>190</v>
      </c>
      <c r="F17497" t="s">
        <v>192</v>
      </c>
      <c r="G17497">
        <v>106.68</v>
      </c>
      <c r="H17497">
        <v>250822</v>
      </c>
      <c r="I17497">
        <v>4471</v>
      </c>
      <c r="J17497" t="s">
        <v>191</v>
      </c>
      <c r="K17497">
        <v>114.21</v>
      </c>
      <c r="L17497">
        <v>21.68</v>
      </c>
      <c r="M17497">
        <v>17950</v>
      </c>
      <c r="N17497" t="s">
        <v>132</v>
      </c>
      <c r="O17497">
        <v>250905</v>
      </c>
      <c r="P17497">
        <v>85</v>
      </c>
    </row>
    <row r="17498" spans="1:16" x14ac:dyDescent="0.25">
      <c r="A17498" t="s">
        <v>3296</v>
      </c>
      <c r="B17498" t="s">
        <v>2931</v>
      </c>
      <c r="C17498">
        <v>12597</v>
      </c>
      <c r="D17498" t="str">
        <f>"110628173   "</f>
        <v xml:space="preserve">110628173   </v>
      </c>
      <c r="E17498" t="s">
        <v>190</v>
      </c>
      <c r="F17498" t="s">
        <v>192</v>
      </c>
      <c r="G17498">
        <v>114.21</v>
      </c>
      <c r="H17498">
        <v>250918</v>
      </c>
      <c r="I17498">
        <v>4471</v>
      </c>
      <c r="J17498" t="s">
        <v>191</v>
      </c>
      <c r="K17498">
        <v>114.21</v>
      </c>
      <c r="L17498">
        <v>23.21</v>
      </c>
      <c r="M17498">
        <v>13540</v>
      </c>
      <c r="N17498" t="s">
        <v>131</v>
      </c>
      <c r="O17498">
        <v>250926</v>
      </c>
      <c r="P17498">
        <v>91</v>
      </c>
    </row>
    <row r="17499" spans="1:16" x14ac:dyDescent="0.25">
      <c r="A17499" t="s">
        <v>3296</v>
      </c>
      <c r="B17499" t="s">
        <v>2931</v>
      </c>
      <c r="C17499">
        <v>12600</v>
      </c>
      <c r="D17499" t="str">
        <f>"110626756   "</f>
        <v xml:space="preserve">110626756   </v>
      </c>
      <c r="E17499" t="s">
        <v>190</v>
      </c>
      <c r="F17499" t="s">
        <v>192</v>
      </c>
      <c r="G17499">
        <v>65.260000000000005</v>
      </c>
      <c r="H17499">
        <v>250918</v>
      </c>
      <c r="I17499">
        <v>4471</v>
      </c>
      <c r="J17499" t="s">
        <v>191</v>
      </c>
      <c r="K17499">
        <v>65.260000000000005</v>
      </c>
      <c r="L17499">
        <v>13.26</v>
      </c>
      <c r="M17499">
        <v>59504</v>
      </c>
      <c r="N17499" t="s">
        <v>193</v>
      </c>
      <c r="O17499">
        <v>250926</v>
      </c>
      <c r="P17499">
        <v>52</v>
      </c>
    </row>
    <row r="17500" spans="1:16" x14ac:dyDescent="0.25">
      <c r="A17500" t="s">
        <v>3296</v>
      </c>
      <c r="B17500" t="s">
        <v>2931</v>
      </c>
      <c r="C17500">
        <v>12601</v>
      </c>
      <c r="D17500" t="str">
        <f>"110628172   "</f>
        <v xml:space="preserve">110628172   </v>
      </c>
      <c r="E17500" t="s">
        <v>190</v>
      </c>
      <c r="F17500" t="s">
        <v>192</v>
      </c>
      <c r="G17500">
        <v>110.45</v>
      </c>
      <c r="H17500">
        <v>250918</v>
      </c>
      <c r="I17500">
        <v>4471</v>
      </c>
      <c r="J17500" t="s">
        <v>191</v>
      </c>
      <c r="K17500">
        <v>220.89</v>
      </c>
      <c r="L17500">
        <v>22.44</v>
      </c>
      <c r="M17500">
        <v>13540</v>
      </c>
      <c r="N17500" t="s">
        <v>131</v>
      </c>
      <c r="O17500">
        <v>250926</v>
      </c>
      <c r="P17500">
        <v>88.01</v>
      </c>
    </row>
    <row r="17501" spans="1:16" x14ac:dyDescent="0.25">
      <c r="A17501" t="s">
        <v>3296</v>
      </c>
      <c r="B17501" t="s">
        <v>2931</v>
      </c>
      <c r="C17501">
        <v>12601</v>
      </c>
      <c r="D17501" t="str">
        <f>"110628172   "</f>
        <v xml:space="preserve">110628172   </v>
      </c>
      <c r="E17501" t="s">
        <v>190</v>
      </c>
      <c r="F17501" t="s">
        <v>192</v>
      </c>
      <c r="G17501">
        <v>110.44</v>
      </c>
      <c r="H17501">
        <v>250918</v>
      </c>
      <c r="I17501">
        <v>4471</v>
      </c>
      <c r="J17501" t="s">
        <v>191</v>
      </c>
      <c r="K17501">
        <v>220.89</v>
      </c>
      <c r="L17501">
        <v>22.44</v>
      </c>
      <c r="M17501">
        <v>17950</v>
      </c>
      <c r="N17501" t="s">
        <v>132</v>
      </c>
      <c r="O17501">
        <v>250926</v>
      </c>
      <c r="P17501">
        <v>88</v>
      </c>
    </row>
    <row r="17502" spans="1:16" x14ac:dyDescent="0.25">
      <c r="A17502" t="s">
        <v>3296</v>
      </c>
      <c r="B17502" t="s">
        <v>2931</v>
      </c>
      <c r="C17502">
        <v>12828</v>
      </c>
      <c r="D17502" t="str">
        <f t="shared" ref="D17502:D17507" si="304">"110632848   "</f>
        <v xml:space="preserve">110632848   </v>
      </c>
      <c r="E17502" t="s">
        <v>190</v>
      </c>
      <c r="F17502" t="s">
        <v>192</v>
      </c>
      <c r="G17502">
        <v>398.18</v>
      </c>
      <c r="H17502">
        <v>251001</v>
      </c>
      <c r="I17502">
        <v>4471</v>
      </c>
      <c r="J17502" t="s">
        <v>191</v>
      </c>
      <c r="K17502">
        <v>1525.05</v>
      </c>
      <c r="L17502">
        <v>80.91</v>
      </c>
      <c r="M17502">
        <v>59501</v>
      </c>
      <c r="N17502" t="s">
        <v>62</v>
      </c>
      <c r="O17502">
        <v>250930</v>
      </c>
      <c r="P17502">
        <v>317.27</v>
      </c>
    </row>
    <row r="17503" spans="1:16" x14ac:dyDescent="0.25">
      <c r="A17503" t="s">
        <v>3296</v>
      </c>
      <c r="B17503" t="s">
        <v>2931</v>
      </c>
      <c r="C17503">
        <v>12828</v>
      </c>
      <c r="D17503" t="str">
        <f t="shared" si="304"/>
        <v xml:space="preserve">110632848   </v>
      </c>
      <c r="E17503" t="s">
        <v>190</v>
      </c>
      <c r="F17503" t="s">
        <v>192</v>
      </c>
      <c r="G17503">
        <v>278.70999999999998</v>
      </c>
      <c r="H17503">
        <v>251001</v>
      </c>
      <c r="I17503">
        <v>4471</v>
      </c>
      <c r="J17503" t="s">
        <v>191</v>
      </c>
      <c r="K17503">
        <v>1525.05</v>
      </c>
      <c r="L17503">
        <v>56.63</v>
      </c>
      <c r="M17503">
        <v>59502</v>
      </c>
      <c r="N17503" t="s">
        <v>63</v>
      </c>
      <c r="O17503">
        <v>250930</v>
      </c>
      <c r="P17503">
        <v>222.08</v>
      </c>
    </row>
    <row r="17504" spans="1:16" x14ac:dyDescent="0.25">
      <c r="A17504" t="s">
        <v>3296</v>
      </c>
      <c r="B17504" t="s">
        <v>2931</v>
      </c>
      <c r="C17504">
        <v>12828</v>
      </c>
      <c r="D17504" t="str">
        <f t="shared" si="304"/>
        <v xml:space="preserve">110632848   </v>
      </c>
      <c r="E17504" t="s">
        <v>190</v>
      </c>
      <c r="F17504" t="s">
        <v>192</v>
      </c>
      <c r="G17504">
        <v>398.15</v>
      </c>
      <c r="H17504">
        <v>251001</v>
      </c>
      <c r="I17504">
        <v>4471</v>
      </c>
      <c r="J17504" t="s">
        <v>191</v>
      </c>
      <c r="K17504">
        <v>1525.05</v>
      </c>
      <c r="L17504">
        <v>80.900000000000006</v>
      </c>
      <c r="M17504">
        <v>59504</v>
      </c>
      <c r="N17504" t="s">
        <v>193</v>
      </c>
      <c r="O17504">
        <v>250930</v>
      </c>
      <c r="P17504">
        <v>317.25</v>
      </c>
    </row>
    <row r="17505" spans="1:16" x14ac:dyDescent="0.25">
      <c r="A17505" t="s">
        <v>3296</v>
      </c>
      <c r="B17505" t="s">
        <v>2931</v>
      </c>
      <c r="C17505">
        <v>12828</v>
      </c>
      <c r="D17505" t="str">
        <f t="shared" si="304"/>
        <v xml:space="preserve">110632848   </v>
      </c>
      <c r="E17505" t="s">
        <v>190</v>
      </c>
      <c r="F17505" t="s">
        <v>192</v>
      </c>
      <c r="G17505">
        <v>290.91000000000003</v>
      </c>
      <c r="H17505">
        <v>251001</v>
      </c>
      <c r="I17505">
        <v>4471</v>
      </c>
      <c r="J17505" t="s">
        <v>191</v>
      </c>
      <c r="K17505">
        <v>1525.05</v>
      </c>
      <c r="L17505">
        <v>59.11</v>
      </c>
      <c r="M17505">
        <v>59505</v>
      </c>
      <c r="N17505" t="s">
        <v>194</v>
      </c>
      <c r="O17505">
        <v>250930</v>
      </c>
      <c r="P17505">
        <v>231.8</v>
      </c>
    </row>
    <row r="17506" spans="1:16" x14ac:dyDescent="0.25">
      <c r="A17506" t="s">
        <v>3296</v>
      </c>
      <c r="B17506" t="s">
        <v>2931</v>
      </c>
      <c r="C17506">
        <v>12828</v>
      </c>
      <c r="D17506" t="str">
        <f t="shared" si="304"/>
        <v xml:space="preserve">110632848   </v>
      </c>
      <c r="E17506" t="s">
        <v>190</v>
      </c>
      <c r="F17506" t="s">
        <v>192</v>
      </c>
      <c r="G17506">
        <v>119.44</v>
      </c>
      <c r="H17506">
        <v>251001</v>
      </c>
      <c r="I17506">
        <v>4471</v>
      </c>
      <c r="J17506" t="s">
        <v>191</v>
      </c>
      <c r="K17506">
        <v>1525.05</v>
      </c>
      <c r="L17506">
        <v>24.27</v>
      </c>
      <c r="M17506">
        <v>59802</v>
      </c>
      <c r="N17506" t="s">
        <v>195</v>
      </c>
      <c r="O17506">
        <v>250930</v>
      </c>
      <c r="P17506">
        <v>95.17</v>
      </c>
    </row>
    <row r="17507" spans="1:16" x14ac:dyDescent="0.25">
      <c r="A17507" t="s">
        <v>3296</v>
      </c>
      <c r="B17507" t="s">
        <v>2931</v>
      </c>
      <c r="C17507">
        <v>12828</v>
      </c>
      <c r="D17507" t="str">
        <f t="shared" si="304"/>
        <v xml:space="preserve">110632848   </v>
      </c>
      <c r="E17507" t="s">
        <v>190</v>
      </c>
      <c r="F17507" t="s">
        <v>192</v>
      </c>
      <c r="G17507">
        <v>39.659999999999997</v>
      </c>
      <c r="H17507">
        <v>251001</v>
      </c>
      <c r="I17507">
        <v>4471</v>
      </c>
      <c r="J17507" t="s">
        <v>191</v>
      </c>
      <c r="K17507">
        <v>1525.05</v>
      </c>
      <c r="L17507">
        <v>8.06</v>
      </c>
      <c r="M17507">
        <v>59812</v>
      </c>
      <c r="N17507" t="s">
        <v>196</v>
      </c>
      <c r="O17507">
        <v>250930</v>
      </c>
      <c r="P17507">
        <v>31.6</v>
      </c>
    </row>
    <row r="17508" spans="1:16" x14ac:dyDescent="0.25">
      <c r="A17508" t="s">
        <v>3296</v>
      </c>
      <c r="B17508" t="s">
        <v>2931</v>
      </c>
      <c r="C17508">
        <v>13004</v>
      </c>
      <c r="D17508" t="str">
        <f t="shared" ref="D17508:D17513" si="305">"110636396   "</f>
        <v xml:space="preserve">110636396   </v>
      </c>
      <c r="E17508" t="s">
        <v>190</v>
      </c>
      <c r="F17508" t="s">
        <v>192</v>
      </c>
      <c r="G17508">
        <v>40.61</v>
      </c>
      <c r="H17508">
        <v>251001</v>
      </c>
      <c r="I17508">
        <v>4471</v>
      </c>
      <c r="J17508" t="s">
        <v>191</v>
      </c>
      <c r="K17508">
        <v>1391.13</v>
      </c>
      <c r="L17508">
        <v>8.25</v>
      </c>
      <c r="M17508">
        <v>13540</v>
      </c>
      <c r="N17508" t="s">
        <v>131</v>
      </c>
      <c r="O17508">
        <v>251003</v>
      </c>
      <c r="P17508">
        <v>32.36</v>
      </c>
    </row>
    <row r="17509" spans="1:16" x14ac:dyDescent="0.25">
      <c r="A17509" t="s">
        <v>3296</v>
      </c>
      <c r="B17509" t="s">
        <v>2931</v>
      </c>
      <c r="C17509">
        <v>13004</v>
      </c>
      <c r="D17509" t="str">
        <f t="shared" si="305"/>
        <v xml:space="preserve">110636396   </v>
      </c>
      <c r="E17509" t="s">
        <v>190</v>
      </c>
      <c r="F17509" t="s">
        <v>192</v>
      </c>
      <c r="G17509">
        <v>46.69</v>
      </c>
      <c r="H17509">
        <v>251001</v>
      </c>
      <c r="I17509">
        <v>4471</v>
      </c>
      <c r="J17509" t="s">
        <v>191</v>
      </c>
      <c r="K17509">
        <v>1391.13</v>
      </c>
      <c r="L17509">
        <v>9.49</v>
      </c>
      <c r="M17509">
        <v>17950</v>
      </c>
      <c r="N17509" t="s">
        <v>132</v>
      </c>
      <c r="O17509">
        <v>251003</v>
      </c>
      <c r="P17509">
        <v>37.200000000000003</v>
      </c>
    </row>
    <row r="17510" spans="1:16" x14ac:dyDescent="0.25">
      <c r="A17510" t="s">
        <v>3296</v>
      </c>
      <c r="B17510" t="s">
        <v>2931</v>
      </c>
      <c r="C17510">
        <v>13004</v>
      </c>
      <c r="D17510" t="str">
        <f t="shared" si="305"/>
        <v xml:space="preserve">110636396   </v>
      </c>
      <c r="E17510" t="s">
        <v>190</v>
      </c>
      <c r="F17510" t="s">
        <v>192</v>
      </c>
      <c r="G17510">
        <v>328.54</v>
      </c>
      <c r="H17510">
        <v>251001</v>
      </c>
      <c r="I17510">
        <v>4471</v>
      </c>
      <c r="J17510" t="s">
        <v>191</v>
      </c>
      <c r="K17510">
        <v>1391.13</v>
      </c>
      <c r="L17510">
        <v>66.760000000000005</v>
      </c>
      <c r="M17510">
        <v>17950</v>
      </c>
      <c r="N17510" t="s">
        <v>132</v>
      </c>
      <c r="O17510">
        <v>251003</v>
      </c>
      <c r="P17510">
        <v>261.77999999999997</v>
      </c>
    </row>
    <row r="17511" spans="1:16" x14ac:dyDescent="0.25">
      <c r="A17511" t="s">
        <v>3296</v>
      </c>
      <c r="B17511" t="s">
        <v>2931</v>
      </c>
      <c r="C17511">
        <v>13004</v>
      </c>
      <c r="D17511" t="str">
        <f t="shared" si="305"/>
        <v xml:space="preserve">110636396   </v>
      </c>
      <c r="E17511" t="s">
        <v>190</v>
      </c>
      <c r="F17511" t="s">
        <v>192</v>
      </c>
      <c r="G17511">
        <v>302.13</v>
      </c>
      <c r="H17511">
        <v>251001</v>
      </c>
      <c r="I17511">
        <v>4471</v>
      </c>
      <c r="J17511" t="s">
        <v>191</v>
      </c>
      <c r="K17511">
        <v>1391.13</v>
      </c>
      <c r="L17511">
        <v>61.39</v>
      </c>
      <c r="M17511">
        <v>17951</v>
      </c>
      <c r="N17511" t="s">
        <v>207</v>
      </c>
      <c r="O17511">
        <v>251003</v>
      </c>
      <c r="P17511">
        <v>240.74</v>
      </c>
    </row>
    <row r="17512" spans="1:16" x14ac:dyDescent="0.25">
      <c r="A17512" t="s">
        <v>3296</v>
      </c>
      <c r="B17512" t="s">
        <v>2931</v>
      </c>
      <c r="C17512">
        <v>13004</v>
      </c>
      <c r="D17512" t="str">
        <f t="shared" si="305"/>
        <v xml:space="preserve">110636396   </v>
      </c>
      <c r="E17512" t="s">
        <v>190</v>
      </c>
      <c r="F17512" t="s">
        <v>192</v>
      </c>
      <c r="G17512">
        <v>490.05</v>
      </c>
      <c r="H17512">
        <v>251001</v>
      </c>
      <c r="I17512">
        <v>4471</v>
      </c>
      <c r="J17512" t="s">
        <v>191</v>
      </c>
      <c r="K17512">
        <v>1391.13</v>
      </c>
      <c r="L17512">
        <v>99.57</v>
      </c>
      <c r="M17512">
        <v>17952</v>
      </c>
      <c r="N17512" t="s">
        <v>157</v>
      </c>
      <c r="O17512">
        <v>251003</v>
      </c>
      <c r="P17512">
        <v>390.48</v>
      </c>
    </row>
    <row r="17513" spans="1:16" x14ac:dyDescent="0.25">
      <c r="A17513" t="s">
        <v>3296</v>
      </c>
      <c r="B17513" t="s">
        <v>2931</v>
      </c>
      <c r="C17513">
        <v>13004</v>
      </c>
      <c r="D17513" t="str">
        <f t="shared" si="305"/>
        <v xml:space="preserve">110636396   </v>
      </c>
      <c r="E17513" t="s">
        <v>190</v>
      </c>
      <c r="F17513" t="s">
        <v>192</v>
      </c>
      <c r="G17513">
        <v>183.11</v>
      </c>
      <c r="H17513">
        <v>251001</v>
      </c>
      <c r="I17513">
        <v>4471</v>
      </c>
      <c r="J17513" t="s">
        <v>191</v>
      </c>
      <c r="K17513">
        <v>1391.13</v>
      </c>
      <c r="L17513">
        <v>37.21</v>
      </c>
      <c r="M17513">
        <v>17956</v>
      </c>
      <c r="N17513" t="s">
        <v>170</v>
      </c>
      <c r="O17513">
        <v>251003</v>
      </c>
      <c r="P17513">
        <v>145.9</v>
      </c>
    </row>
    <row r="17514" spans="1:16" x14ac:dyDescent="0.25">
      <c r="A17514" t="s">
        <v>3296</v>
      </c>
      <c r="B17514" t="s">
        <v>2931</v>
      </c>
      <c r="C17514">
        <v>13268</v>
      </c>
      <c r="D17514" t="str">
        <f>"110651436   "</f>
        <v xml:space="preserve">110651436   </v>
      </c>
      <c r="E17514" t="s">
        <v>190</v>
      </c>
      <c r="F17514" t="s">
        <v>192</v>
      </c>
      <c r="G17514">
        <v>65.260000000000005</v>
      </c>
      <c r="H17514">
        <v>250930</v>
      </c>
      <c r="I17514">
        <v>4471</v>
      </c>
      <c r="J17514" t="s">
        <v>191</v>
      </c>
      <c r="K17514">
        <v>65.260000000000005</v>
      </c>
      <c r="L17514">
        <v>13.26</v>
      </c>
      <c r="M17514">
        <v>59504</v>
      </c>
      <c r="N17514" t="s">
        <v>193</v>
      </c>
      <c r="O17514">
        <v>251007</v>
      </c>
      <c r="P17514">
        <v>52</v>
      </c>
    </row>
    <row r="17515" spans="1:16" x14ac:dyDescent="0.25">
      <c r="A17515" t="s">
        <v>3296</v>
      </c>
      <c r="B17515" t="s">
        <v>2931</v>
      </c>
      <c r="C17515">
        <v>13269</v>
      </c>
      <c r="D17515" t="str">
        <f>"110652849   "</f>
        <v xml:space="preserve">110652849   </v>
      </c>
      <c r="E17515" t="s">
        <v>190</v>
      </c>
      <c r="F17515" t="s">
        <v>192</v>
      </c>
      <c r="G17515">
        <v>70.28</v>
      </c>
      <c r="H17515">
        <v>250930</v>
      </c>
      <c r="I17515">
        <v>4471</v>
      </c>
      <c r="J17515" t="s">
        <v>191</v>
      </c>
      <c r="K17515">
        <v>70.28</v>
      </c>
      <c r="L17515">
        <v>14.28</v>
      </c>
      <c r="M17515">
        <v>17950</v>
      </c>
      <c r="N17515" t="s">
        <v>132</v>
      </c>
      <c r="O17515">
        <v>251007</v>
      </c>
      <c r="P17515">
        <v>56</v>
      </c>
    </row>
    <row r="17516" spans="1:16" x14ac:dyDescent="0.25">
      <c r="A17516" t="s">
        <v>3296</v>
      </c>
      <c r="B17516" t="s">
        <v>2931</v>
      </c>
      <c r="C17516">
        <v>14076</v>
      </c>
      <c r="D17516" t="str">
        <f>"110656431   "</f>
        <v xml:space="preserve">110656431   </v>
      </c>
      <c r="E17516" t="s">
        <v>190</v>
      </c>
      <c r="F17516" t="s">
        <v>192</v>
      </c>
      <c r="G17516">
        <v>122.99</v>
      </c>
      <c r="H17516">
        <v>251021</v>
      </c>
      <c r="I17516">
        <v>4471</v>
      </c>
      <c r="J17516" t="s">
        <v>191</v>
      </c>
      <c r="K17516">
        <v>122.99</v>
      </c>
      <c r="L17516">
        <v>24.99</v>
      </c>
      <c r="M17516">
        <v>59501</v>
      </c>
      <c r="N17516" t="s">
        <v>62</v>
      </c>
      <c r="O17516">
        <v>251023</v>
      </c>
      <c r="P17516">
        <v>98</v>
      </c>
    </row>
    <row r="17517" spans="1:16" x14ac:dyDescent="0.25">
      <c r="A17517" t="s">
        <v>3296</v>
      </c>
      <c r="B17517" t="s">
        <v>2931</v>
      </c>
      <c r="C17517">
        <v>14101</v>
      </c>
      <c r="D17517" t="str">
        <f>"110655410   "</f>
        <v xml:space="preserve">110655410   </v>
      </c>
      <c r="E17517" t="s">
        <v>190</v>
      </c>
      <c r="F17517" t="s">
        <v>192</v>
      </c>
      <c r="G17517">
        <v>258.52999999999997</v>
      </c>
      <c r="H17517">
        <v>251021</v>
      </c>
      <c r="I17517">
        <v>4471</v>
      </c>
      <c r="J17517" t="s">
        <v>191</v>
      </c>
      <c r="K17517">
        <v>258.52999999999997</v>
      </c>
      <c r="L17517">
        <v>52.53</v>
      </c>
      <c r="M17517">
        <v>17521</v>
      </c>
      <c r="N17517" t="s">
        <v>136</v>
      </c>
      <c r="O17517">
        <v>251024</v>
      </c>
      <c r="P17517">
        <v>206</v>
      </c>
    </row>
    <row r="17518" spans="1:16" x14ac:dyDescent="0.25">
      <c r="A17518" t="s">
        <v>3296</v>
      </c>
      <c r="B17518" t="s">
        <v>2931</v>
      </c>
      <c r="C17518">
        <v>14385</v>
      </c>
      <c r="D17518" t="str">
        <f t="shared" ref="D17518:D17523" si="306">"110658557   "</f>
        <v xml:space="preserve">110658557   </v>
      </c>
      <c r="E17518" t="s">
        <v>190</v>
      </c>
      <c r="F17518" t="s">
        <v>192</v>
      </c>
      <c r="G17518">
        <v>398.16</v>
      </c>
      <c r="H17518">
        <v>251101</v>
      </c>
      <c r="I17518">
        <v>4471</v>
      </c>
      <c r="J17518" t="s">
        <v>191</v>
      </c>
      <c r="K17518">
        <v>1525.06</v>
      </c>
      <c r="L17518">
        <v>80.900000000000006</v>
      </c>
      <c r="M17518">
        <v>59501</v>
      </c>
      <c r="N17518" t="s">
        <v>62</v>
      </c>
      <c r="O17518">
        <v>251031</v>
      </c>
      <c r="P17518">
        <v>317.26</v>
      </c>
    </row>
    <row r="17519" spans="1:16" x14ac:dyDescent="0.25">
      <c r="A17519" t="s">
        <v>3296</v>
      </c>
      <c r="B17519" t="s">
        <v>2931</v>
      </c>
      <c r="C17519">
        <v>14385</v>
      </c>
      <c r="D17519" t="str">
        <f t="shared" si="306"/>
        <v xml:space="preserve">110658557   </v>
      </c>
      <c r="E17519" t="s">
        <v>190</v>
      </c>
      <c r="F17519" t="s">
        <v>192</v>
      </c>
      <c r="G17519">
        <v>278.74</v>
      </c>
      <c r="H17519">
        <v>251101</v>
      </c>
      <c r="I17519">
        <v>4471</v>
      </c>
      <c r="J17519" t="s">
        <v>191</v>
      </c>
      <c r="K17519">
        <v>1525.06</v>
      </c>
      <c r="L17519">
        <v>56.64</v>
      </c>
      <c r="M17519">
        <v>59502</v>
      </c>
      <c r="N17519" t="s">
        <v>63</v>
      </c>
      <c r="O17519">
        <v>251031</v>
      </c>
      <c r="P17519">
        <v>222.1</v>
      </c>
    </row>
    <row r="17520" spans="1:16" x14ac:dyDescent="0.25">
      <c r="A17520" t="s">
        <v>3296</v>
      </c>
      <c r="B17520" t="s">
        <v>2931</v>
      </c>
      <c r="C17520">
        <v>14385</v>
      </c>
      <c r="D17520" t="str">
        <f t="shared" si="306"/>
        <v xml:space="preserve">110658557   </v>
      </c>
      <c r="E17520" t="s">
        <v>190</v>
      </c>
      <c r="F17520" t="s">
        <v>192</v>
      </c>
      <c r="G17520">
        <v>398.15</v>
      </c>
      <c r="H17520">
        <v>251101</v>
      </c>
      <c r="I17520">
        <v>4471</v>
      </c>
      <c r="J17520" t="s">
        <v>191</v>
      </c>
      <c r="K17520">
        <v>1525.06</v>
      </c>
      <c r="L17520">
        <v>80.900000000000006</v>
      </c>
      <c r="M17520">
        <v>59504</v>
      </c>
      <c r="N17520" t="s">
        <v>193</v>
      </c>
      <c r="O17520">
        <v>251031</v>
      </c>
      <c r="P17520">
        <v>317.25</v>
      </c>
    </row>
    <row r="17521" spans="1:16" x14ac:dyDescent="0.25">
      <c r="A17521" t="s">
        <v>3296</v>
      </c>
      <c r="B17521" t="s">
        <v>2931</v>
      </c>
      <c r="C17521">
        <v>14385</v>
      </c>
      <c r="D17521" t="str">
        <f t="shared" si="306"/>
        <v xml:space="preserve">110658557   </v>
      </c>
      <c r="E17521" t="s">
        <v>190</v>
      </c>
      <c r="F17521" t="s">
        <v>192</v>
      </c>
      <c r="G17521">
        <v>290.91000000000003</v>
      </c>
      <c r="H17521">
        <v>251101</v>
      </c>
      <c r="I17521">
        <v>4471</v>
      </c>
      <c r="J17521" t="s">
        <v>191</v>
      </c>
      <c r="K17521">
        <v>1525.06</v>
      </c>
      <c r="L17521">
        <v>59.11</v>
      </c>
      <c r="M17521">
        <v>59505</v>
      </c>
      <c r="N17521" t="s">
        <v>194</v>
      </c>
      <c r="O17521">
        <v>251031</v>
      </c>
      <c r="P17521">
        <v>231.8</v>
      </c>
    </row>
    <row r="17522" spans="1:16" x14ac:dyDescent="0.25">
      <c r="A17522" t="s">
        <v>3296</v>
      </c>
      <c r="B17522" t="s">
        <v>2931</v>
      </c>
      <c r="C17522">
        <v>14385</v>
      </c>
      <c r="D17522" t="str">
        <f t="shared" si="306"/>
        <v xml:space="preserve">110658557   </v>
      </c>
      <c r="E17522" t="s">
        <v>190</v>
      </c>
      <c r="F17522" t="s">
        <v>192</v>
      </c>
      <c r="G17522">
        <v>119.44</v>
      </c>
      <c r="H17522">
        <v>251101</v>
      </c>
      <c r="I17522">
        <v>4471</v>
      </c>
      <c r="J17522" t="s">
        <v>191</v>
      </c>
      <c r="K17522">
        <v>1525.06</v>
      </c>
      <c r="L17522">
        <v>24.27</v>
      </c>
      <c r="M17522">
        <v>59802</v>
      </c>
      <c r="N17522" t="s">
        <v>195</v>
      </c>
      <c r="O17522">
        <v>251031</v>
      </c>
      <c r="P17522">
        <v>95.17</v>
      </c>
    </row>
    <row r="17523" spans="1:16" x14ac:dyDescent="0.25">
      <c r="A17523" t="s">
        <v>3296</v>
      </c>
      <c r="B17523" t="s">
        <v>2931</v>
      </c>
      <c r="C17523">
        <v>14385</v>
      </c>
      <c r="D17523" t="str">
        <f t="shared" si="306"/>
        <v xml:space="preserve">110658557   </v>
      </c>
      <c r="E17523" t="s">
        <v>190</v>
      </c>
      <c r="F17523" t="s">
        <v>192</v>
      </c>
      <c r="G17523">
        <v>39.659999999999997</v>
      </c>
      <c r="H17523">
        <v>251101</v>
      </c>
      <c r="I17523">
        <v>4471</v>
      </c>
      <c r="J17523" t="s">
        <v>191</v>
      </c>
      <c r="K17523">
        <v>1525.06</v>
      </c>
      <c r="L17523">
        <v>8.06</v>
      </c>
      <c r="M17523">
        <v>59812</v>
      </c>
      <c r="N17523" t="s">
        <v>196</v>
      </c>
      <c r="O17523">
        <v>251031</v>
      </c>
      <c r="P17523">
        <v>31.6</v>
      </c>
    </row>
    <row r="17524" spans="1:16" x14ac:dyDescent="0.25">
      <c r="A17524" t="s">
        <v>3296</v>
      </c>
      <c r="B17524" t="s">
        <v>2931</v>
      </c>
      <c r="C17524">
        <v>14521</v>
      </c>
      <c r="D17524" t="str">
        <f t="shared" ref="D17524:D17529" si="307">"110660489   "</f>
        <v xml:space="preserve">110660489   </v>
      </c>
      <c r="E17524" t="s">
        <v>190</v>
      </c>
      <c r="F17524" t="s">
        <v>192</v>
      </c>
      <c r="G17524">
        <v>40.61</v>
      </c>
      <c r="H17524">
        <v>251101</v>
      </c>
      <c r="I17524">
        <v>4471</v>
      </c>
      <c r="J17524" t="s">
        <v>191</v>
      </c>
      <c r="K17524">
        <v>1391.12</v>
      </c>
      <c r="L17524">
        <v>8.25</v>
      </c>
      <c r="M17524">
        <v>13540</v>
      </c>
      <c r="N17524" t="s">
        <v>131</v>
      </c>
      <c r="O17524">
        <v>251104</v>
      </c>
      <c r="P17524">
        <v>32.36</v>
      </c>
    </row>
    <row r="17525" spans="1:16" x14ac:dyDescent="0.25">
      <c r="A17525" t="s">
        <v>3296</v>
      </c>
      <c r="B17525" t="s">
        <v>2931</v>
      </c>
      <c r="C17525">
        <v>14521</v>
      </c>
      <c r="D17525" t="str">
        <f t="shared" si="307"/>
        <v xml:space="preserve">110660489   </v>
      </c>
      <c r="E17525" t="s">
        <v>190</v>
      </c>
      <c r="F17525" t="s">
        <v>192</v>
      </c>
      <c r="G17525">
        <v>46.69</v>
      </c>
      <c r="H17525">
        <v>251101</v>
      </c>
      <c r="I17525">
        <v>4471</v>
      </c>
      <c r="J17525" t="s">
        <v>191</v>
      </c>
      <c r="K17525">
        <v>1391.12</v>
      </c>
      <c r="L17525">
        <v>9.49</v>
      </c>
      <c r="M17525">
        <v>17950</v>
      </c>
      <c r="N17525" t="s">
        <v>132</v>
      </c>
      <c r="O17525">
        <v>251104</v>
      </c>
      <c r="P17525">
        <v>37.200000000000003</v>
      </c>
    </row>
    <row r="17526" spans="1:16" x14ac:dyDescent="0.25">
      <c r="A17526" t="s">
        <v>3296</v>
      </c>
      <c r="B17526" t="s">
        <v>2931</v>
      </c>
      <c r="C17526">
        <v>14521</v>
      </c>
      <c r="D17526" t="str">
        <f t="shared" si="307"/>
        <v xml:space="preserve">110660489   </v>
      </c>
      <c r="E17526" t="s">
        <v>190</v>
      </c>
      <c r="F17526" t="s">
        <v>192</v>
      </c>
      <c r="G17526">
        <v>328.54</v>
      </c>
      <c r="H17526">
        <v>251101</v>
      </c>
      <c r="I17526">
        <v>4471</v>
      </c>
      <c r="J17526" t="s">
        <v>191</v>
      </c>
      <c r="K17526">
        <v>1391.12</v>
      </c>
      <c r="L17526">
        <v>66.760000000000005</v>
      </c>
      <c r="M17526">
        <v>17950</v>
      </c>
      <c r="N17526" t="s">
        <v>132</v>
      </c>
      <c r="O17526">
        <v>251104</v>
      </c>
      <c r="P17526">
        <v>261.77999999999997</v>
      </c>
    </row>
    <row r="17527" spans="1:16" x14ac:dyDescent="0.25">
      <c r="A17527" t="s">
        <v>3296</v>
      </c>
      <c r="B17527" t="s">
        <v>2931</v>
      </c>
      <c r="C17527">
        <v>14521</v>
      </c>
      <c r="D17527" t="str">
        <f t="shared" si="307"/>
        <v xml:space="preserve">110660489   </v>
      </c>
      <c r="E17527" t="s">
        <v>190</v>
      </c>
      <c r="F17527" t="s">
        <v>192</v>
      </c>
      <c r="G17527">
        <v>302.12</v>
      </c>
      <c r="H17527">
        <v>251101</v>
      </c>
      <c r="I17527">
        <v>4471</v>
      </c>
      <c r="J17527" t="s">
        <v>191</v>
      </c>
      <c r="K17527">
        <v>1391.12</v>
      </c>
      <c r="L17527">
        <v>61.39</v>
      </c>
      <c r="M17527">
        <v>17951</v>
      </c>
      <c r="N17527" t="s">
        <v>207</v>
      </c>
      <c r="O17527">
        <v>251104</v>
      </c>
      <c r="P17527">
        <v>240.73</v>
      </c>
    </row>
    <row r="17528" spans="1:16" x14ac:dyDescent="0.25">
      <c r="A17528" t="s">
        <v>3296</v>
      </c>
      <c r="B17528" t="s">
        <v>2931</v>
      </c>
      <c r="C17528">
        <v>14521</v>
      </c>
      <c r="D17528" t="str">
        <f t="shared" si="307"/>
        <v xml:space="preserve">110660489   </v>
      </c>
      <c r="E17528" t="s">
        <v>190</v>
      </c>
      <c r="F17528" t="s">
        <v>192</v>
      </c>
      <c r="G17528">
        <v>490.05</v>
      </c>
      <c r="H17528">
        <v>251101</v>
      </c>
      <c r="I17528">
        <v>4471</v>
      </c>
      <c r="J17528" t="s">
        <v>191</v>
      </c>
      <c r="K17528">
        <v>1391.12</v>
      </c>
      <c r="L17528">
        <v>99.57</v>
      </c>
      <c r="M17528">
        <v>17952</v>
      </c>
      <c r="N17528" t="s">
        <v>157</v>
      </c>
      <c r="O17528">
        <v>251104</v>
      </c>
      <c r="P17528">
        <v>390.48</v>
      </c>
    </row>
    <row r="17529" spans="1:16" x14ac:dyDescent="0.25">
      <c r="A17529" t="s">
        <v>3296</v>
      </c>
      <c r="B17529" t="s">
        <v>2931</v>
      </c>
      <c r="C17529">
        <v>14521</v>
      </c>
      <c r="D17529" t="str">
        <f t="shared" si="307"/>
        <v xml:space="preserve">110660489   </v>
      </c>
      <c r="E17529" t="s">
        <v>190</v>
      </c>
      <c r="F17529" t="s">
        <v>192</v>
      </c>
      <c r="G17529">
        <v>183.11</v>
      </c>
      <c r="H17529">
        <v>251101</v>
      </c>
      <c r="I17529">
        <v>4471</v>
      </c>
      <c r="J17529" t="s">
        <v>191</v>
      </c>
      <c r="K17529">
        <v>1391.12</v>
      </c>
      <c r="L17529">
        <v>37.21</v>
      </c>
      <c r="M17529">
        <v>17956</v>
      </c>
      <c r="N17529" t="s">
        <v>170</v>
      </c>
      <c r="O17529">
        <v>251104</v>
      </c>
      <c r="P17529">
        <v>145.9</v>
      </c>
    </row>
    <row r="17530" spans="1:16" x14ac:dyDescent="0.25">
      <c r="A17530" t="s">
        <v>3296</v>
      </c>
      <c r="B17530" t="s">
        <v>2931</v>
      </c>
      <c r="C17530">
        <v>14744</v>
      </c>
      <c r="D17530" t="str">
        <f>"110672682   "</f>
        <v xml:space="preserve">110672682   </v>
      </c>
      <c r="E17530" t="s">
        <v>190</v>
      </c>
      <c r="F17530" t="s">
        <v>192</v>
      </c>
      <c r="G17530">
        <v>133.03</v>
      </c>
      <c r="H17530">
        <v>251031</v>
      </c>
      <c r="I17530">
        <v>4471</v>
      </c>
      <c r="J17530" t="s">
        <v>191</v>
      </c>
      <c r="K17530">
        <v>133.03</v>
      </c>
      <c r="L17530">
        <v>27.03</v>
      </c>
      <c r="M17530">
        <v>17950</v>
      </c>
      <c r="N17530" t="s">
        <v>132</v>
      </c>
      <c r="O17530">
        <v>251106</v>
      </c>
      <c r="P17530">
        <v>106</v>
      </c>
    </row>
    <row r="17531" spans="1:16" x14ac:dyDescent="0.25">
      <c r="A17531" t="s">
        <v>3296</v>
      </c>
      <c r="B17531" t="s">
        <v>2931</v>
      </c>
      <c r="C17531">
        <v>15500</v>
      </c>
      <c r="D17531" t="str">
        <f>"110676861   "</f>
        <v xml:space="preserve">110676861   </v>
      </c>
      <c r="E17531" t="s">
        <v>190</v>
      </c>
      <c r="F17531" t="s">
        <v>192</v>
      </c>
      <c r="G17531">
        <v>65.260000000000005</v>
      </c>
      <c r="H17531">
        <v>251119</v>
      </c>
      <c r="I17531">
        <v>4471</v>
      </c>
      <c r="J17531" t="s">
        <v>191</v>
      </c>
      <c r="K17531">
        <v>65.260000000000005</v>
      </c>
      <c r="L17531">
        <v>13.26</v>
      </c>
      <c r="M17531">
        <v>59501</v>
      </c>
      <c r="N17531" t="s">
        <v>62</v>
      </c>
      <c r="O17531">
        <v>251121</v>
      </c>
      <c r="P17531">
        <v>52</v>
      </c>
    </row>
    <row r="17532" spans="1:16" x14ac:dyDescent="0.25">
      <c r="A17532" t="s">
        <v>3296</v>
      </c>
      <c r="B17532" t="s">
        <v>2931</v>
      </c>
      <c r="C17532">
        <v>15505</v>
      </c>
      <c r="D17532" t="str">
        <f>"110676612   "</f>
        <v xml:space="preserve">110676612   </v>
      </c>
      <c r="E17532" t="s">
        <v>190</v>
      </c>
      <c r="F17532" t="s">
        <v>192</v>
      </c>
      <c r="G17532">
        <v>220.88</v>
      </c>
      <c r="H17532">
        <v>251119</v>
      </c>
      <c r="I17532">
        <v>4471</v>
      </c>
      <c r="J17532" t="s">
        <v>191</v>
      </c>
      <c r="K17532">
        <v>220.88</v>
      </c>
      <c r="L17532">
        <v>44.88</v>
      </c>
      <c r="M17532">
        <v>17950</v>
      </c>
      <c r="N17532" t="s">
        <v>132</v>
      </c>
      <c r="O17532">
        <v>251121</v>
      </c>
      <c r="P17532">
        <v>176</v>
      </c>
    </row>
    <row r="17533" spans="1:16" x14ac:dyDescent="0.25">
      <c r="A17533" t="s">
        <v>3296</v>
      </c>
      <c r="B17533" t="s">
        <v>2931</v>
      </c>
      <c r="C17533">
        <v>15943</v>
      </c>
      <c r="D17533" t="str">
        <f t="shared" ref="D17533:D17538" si="308">"110678955   "</f>
        <v xml:space="preserve">110678955   </v>
      </c>
      <c r="E17533" t="s">
        <v>190</v>
      </c>
      <c r="F17533" t="s">
        <v>192</v>
      </c>
      <c r="G17533">
        <v>398.16</v>
      </c>
      <c r="H17533">
        <v>251201</v>
      </c>
      <c r="I17533">
        <v>4471</v>
      </c>
      <c r="J17533" t="s">
        <v>191</v>
      </c>
      <c r="K17533">
        <v>1525.06</v>
      </c>
      <c r="L17533">
        <v>80.900000000000006</v>
      </c>
      <c r="M17533">
        <v>59501</v>
      </c>
      <c r="N17533" t="s">
        <v>62</v>
      </c>
      <c r="O17533">
        <v>251201</v>
      </c>
      <c r="P17533">
        <v>317.26</v>
      </c>
    </row>
    <row r="17534" spans="1:16" x14ac:dyDescent="0.25">
      <c r="A17534" t="s">
        <v>3296</v>
      </c>
      <c r="B17534" t="s">
        <v>2931</v>
      </c>
      <c r="C17534">
        <v>15943</v>
      </c>
      <c r="D17534" t="str">
        <f t="shared" si="308"/>
        <v xml:space="preserve">110678955   </v>
      </c>
      <c r="E17534" t="s">
        <v>190</v>
      </c>
      <c r="F17534" t="s">
        <v>192</v>
      </c>
      <c r="G17534">
        <v>278.74</v>
      </c>
      <c r="H17534">
        <v>251201</v>
      </c>
      <c r="I17534">
        <v>4471</v>
      </c>
      <c r="J17534" t="s">
        <v>191</v>
      </c>
      <c r="K17534">
        <v>1525.06</v>
      </c>
      <c r="L17534">
        <v>56.64</v>
      </c>
      <c r="M17534">
        <v>59502</v>
      </c>
      <c r="N17534" t="s">
        <v>63</v>
      </c>
      <c r="O17534">
        <v>251201</v>
      </c>
      <c r="P17534">
        <v>222.1</v>
      </c>
    </row>
    <row r="17535" spans="1:16" x14ac:dyDescent="0.25">
      <c r="A17535" t="s">
        <v>3296</v>
      </c>
      <c r="B17535" t="s">
        <v>2931</v>
      </c>
      <c r="C17535">
        <v>15943</v>
      </c>
      <c r="D17535" t="str">
        <f t="shared" si="308"/>
        <v xml:space="preserve">110678955   </v>
      </c>
      <c r="E17535" t="s">
        <v>190</v>
      </c>
      <c r="F17535" t="s">
        <v>192</v>
      </c>
      <c r="G17535">
        <v>398.15</v>
      </c>
      <c r="H17535">
        <v>251201</v>
      </c>
      <c r="I17535">
        <v>4471</v>
      </c>
      <c r="J17535" t="s">
        <v>191</v>
      </c>
      <c r="K17535">
        <v>1525.06</v>
      </c>
      <c r="L17535">
        <v>80.900000000000006</v>
      </c>
      <c r="M17535">
        <v>59504</v>
      </c>
      <c r="N17535" t="s">
        <v>193</v>
      </c>
      <c r="O17535">
        <v>251201</v>
      </c>
      <c r="P17535">
        <v>317.25</v>
      </c>
    </row>
    <row r="17536" spans="1:16" x14ac:dyDescent="0.25">
      <c r="A17536" t="s">
        <v>3296</v>
      </c>
      <c r="B17536" t="s">
        <v>2931</v>
      </c>
      <c r="C17536">
        <v>15943</v>
      </c>
      <c r="D17536" t="str">
        <f t="shared" si="308"/>
        <v xml:space="preserve">110678955   </v>
      </c>
      <c r="E17536" t="s">
        <v>190</v>
      </c>
      <c r="F17536" t="s">
        <v>192</v>
      </c>
      <c r="G17536">
        <v>290.91000000000003</v>
      </c>
      <c r="H17536">
        <v>251201</v>
      </c>
      <c r="I17536">
        <v>4471</v>
      </c>
      <c r="J17536" t="s">
        <v>191</v>
      </c>
      <c r="K17536">
        <v>1525.06</v>
      </c>
      <c r="L17536">
        <v>59.11</v>
      </c>
      <c r="M17536">
        <v>59505</v>
      </c>
      <c r="N17536" t="s">
        <v>194</v>
      </c>
      <c r="O17536">
        <v>251201</v>
      </c>
      <c r="P17536">
        <v>231.8</v>
      </c>
    </row>
    <row r="17537" spans="1:16" x14ac:dyDescent="0.25">
      <c r="A17537" t="s">
        <v>3296</v>
      </c>
      <c r="B17537" t="s">
        <v>2931</v>
      </c>
      <c r="C17537">
        <v>15943</v>
      </c>
      <c r="D17537" t="str">
        <f t="shared" si="308"/>
        <v xml:space="preserve">110678955   </v>
      </c>
      <c r="E17537" t="s">
        <v>190</v>
      </c>
      <c r="F17537" t="s">
        <v>192</v>
      </c>
      <c r="G17537">
        <v>119.44</v>
      </c>
      <c r="H17537">
        <v>251201</v>
      </c>
      <c r="I17537">
        <v>4471</v>
      </c>
      <c r="J17537" t="s">
        <v>191</v>
      </c>
      <c r="K17537">
        <v>1525.06</v>
      </c>
      <c r="L17537">
        <v>24.27</v>
      </c>
      <c r="M17537">
        <v>59802</v>
      </c>
      <c r="N17537" t="s">
        <v>195</v>
      </c>
      <c r="O17537">
        <v>251201</v>
      </c>
      <c r="P17537">
        <v>95.17</v>
      </c>
    </row>
    <row r="17538" spans="1:16" x14ac:dyDescent="0.25">
      <c r="A17538" t="s">
        <v>3296</v>
      </c>
      <c r="B17538" t="s">
        <v>2931</v>
      </c>
      <c r="C17538">
        <v>15943</v>
      </c>
      <c r="D17538" t="str">
        <f t="shared" si="308"/>
        <v xml:space="preserve">110678955   </v>
      </c>
      <c r="E17538" t="s">
        <v>190</v>
      </c>
      <c r="F17538" t="s">
        <v>192</v>
      </c>
      <c r="G17538">
        <v>39.659999999999997</v>
      </c>
      <c r="H17538">
        <v>251201</v>
      </c>
      <c r="I17538">
        <v>4471</v>
      </c>
      <c r="J17538" t="s">
        <v>191</v>
      </c>
      <c r="K17538">
        <v>1525.06</v>
      </c>
      <c r="L17538">
        <v>8.06</v>
      </c>
      <c r="M17538">
        <v>59812</v>
      </c>
      <c r="N17538" t="s">
        <v>196</v>
      </c>
      <c r="O17538">
        <v>251201</v>
      </c>
      <c r="P17538">
        <v>31.6</v>
      </c>
    </row>
    <row r="17539" spans="1:16" x14ac:dyDescent="0.25">
      <c r="A17539" t="s">
        <v>3296</v>
      </c>
      <c r="B17539" t="s">
        <v>2931</v>
      </c>
      <c r="C17539">
        <v>16072</v>
      </c>
      <c r="D17539" t="str">
        <f t="shared" ref="D17539:D17544" si="309">"110680793   "</f>
        <v xml:space="preserve">110680793   </v>
      </c>
      <c r="E17539" t="s">
        <v>190</v>
      </c>
      <c r="F17539" t="s">
        <v>192</v>
      </c>
      <c r="G17539">
        <v>40.61</v>
      </c>
      <c r="H17539">
        <v>251201</v>
      </c>
      <c r="I17539">
        <v>4471</v>
      </c>
      <c r="J17539" t="s">
        <v>191</v>
      </c>
      <c r="K17539">
        <v>1391.12</v>
      </c>
      <c r="L17539">
        <v>8.25</v>
      </c>
      <c r="M17539">
        <v>13540</v>
      </c>
      <c r="N17539" t="s">
        <v>131</v>
      </c>
      <c r="O17539">
        <v>251203</v>
      </c>
      <c r="P17539">
        <v>32.36</v>
      </c>
    </row>
    <row r="17540" spans="1:16" x14ac:dyDescent="0.25">
      <c r="A17540" t="s">
        <v>3296</v>
      </c>
      <c r="B17540" t="s">
        <v>2931</v>
      </c>
      <c r="C17540">
        <v>16072</v>
      </c>
      <c r="D17540" t="str">
        <f t="shared" si="309"/>
        <v xml:space="preserve">110680793   </v>
      </c>
      <c r="E17540" t="s">
        <v>190</v>
      </c>
      <c r="F17540" t="s">
        <v>192</v>
      </c>
      <c r="G17540">
        <v>46.69</v>
      </c>
      <c r="H17540">
        <v>251201</v>
      </c>
      <c r="I17540">
        <v>4471</v>
      </c>
      <c r="J17540" t="s">
        <v>191</v>
      </c>
      <c r="K17540">
        <v>1391.12</v>
      </c>
      <c r="L17540">
        <v>9.49</v>
      </c>
      <c r="M17540">
        <v>17950</v>
      </c>
      <c r="N17540" t="s">
        <v>132</v>
      </c>
      <c r="O17540">
        <v>251203</v>
      </c>
      <c r="P17540">
        <v>37.200000000000003</v>
      </c>
    </row>
    <row r="17541" spans="1:16" x14ac:dyDescent="0.25">
      <c r="A17541" t="s">
        <v>3296</v>
      </c>
      <c r="B17541" t="s">
        <v>2931</v>
      </c>
      <c r="C17541">
        <v>16072</v>
      </c>
      <c r="D17541" t="str">
        <f t="shared" si="309"/>
        <v xml:space="preserve">110680793   </v>
      </c>
      <c r="E17541" t="s">
        <v>190</v>
      </c>
      <c r="F17541" t="s">
        <v>192</v>
      </c>
      <c r="G17541">
        <v>328.54</v>
      </c>
      <c r="H17541">
        <v>251201</v>
      </c>
      <c r="I17541">
        <v>4471</v>
      </c>
      <c r="J17541" t="s">
        <v>191</v>
      </c>
      <c r="K17541">
        <v>1391.12</v>
      </c>
      <c r="L17541">
        <v>66.760000000000005</v>
      </c>
      <c r="M17541">
        <v>17950</v>
      </c>
      <c r="N17541" t="s">
        <v>132</v>
      </c>
      <c r="O17541">
        <v>251203</v>
      </c>
      <c r="P17541">
        <v>261.77999999999997</v>
      </c>
    </row>
    <row r="17542" spans="1:16" x14ac:dyDescent="0.25">
      <c r="A17542" t="s">
        <v>3296</v>
      </c>
      <c r="B17542" t="s">
        <v>2931</v>
      </c>
      <c r="C17542">
        <v>16072</v>
      </c>
      <c r="D17542" t="str">
        <f t="shared" si="309"/>
        <v xml:space="preserve">110680793   </v>
      </c>
      <c r="E17542" t="s">
        <v>190</v>
      </c>
      <c r="F17542" t="s">
        <v>192</v>
      </c>
      <c r="G17542">
        <v>302.13</v>
      </c>
      <c r="H17542">
        <v>251201</v>
      </c>
      <c r="I17542">
        <v>4471</v>
      </c>
      <c r="J17542" t="s">
        <v>191</v>
      </c>
      <c r="K17542">
        <v>1391.12</v>
      </c>
      <c r="L17542">
        <v>61.39</v>
      </c>
      <c r="M17542">
        <v>17951</v>
      </c>
      <c r="N17542" t="s">
        <v>207</v>
      </c>
      <c r="O17542">
        <v>251203</v>
      </c>
      <c r="P17542">
        <v>240.74</v>
      </c>
    </row>
    <row r="17543" spans="1:16" x14ac:dyDescent="0.25">
      <c r="A17543" t="s">
        <v>3296</v>
      </c>
      <c r="B17543" t="s">
        <v>2931</v>
      </c>
      <c r="C17543">
        <v>16072</v>
      </c>
      <c r="D17543" t="str">
        <f t="shared" si="309"/>
        <v xml:space="preserve">110680793   </v>
      </c>
      <c r="E17543" t="s">
        <v>190</v>
      </c>
      <c r="F17543" t="s">
        <v>192</v>
      </c>
      <c r="G17543">
        <v>490.05</v>
      </c>
      <c r="H17543">
        <v>251201</v>
      </c>
      <c r="I17543">
        <v>4471</v>
      </c>
      <c r="J17543" t="s">
        <v>191</v>
      </c>
      <c r="K17543">
        <v>1391.12</v>
      </c>
      <c r="L17543">
        <v>99.57</v>
      </c>
      <c r="M17543">
        <v>17952</v>
      </c>
      <c r="N17543" t="s">
        <v>157</v>
      </c>
      <c r="O17543">
        <v>251203</v>
      </c>
      <c r="P17543">
        <v>390.48</v>
      </c>
    </row>
    <row r="17544" spans="1:16" x14ac:dyDescent="0.25">
      <c r="A17544" t="s">
        <v>3296</v>
      </c>
      <c r="B17544" t="s">
        <v>2931</v>
      </c>
      <c r="C17544">
        <v>16072</v>
      </c>
      <c r="D17544" t="str">
        <f t="shared" si="309"/>
        <v xml:space="preserve">110680793   </v>
      </c>
      <c r="E17544" t="s">
        <v>190</v>
      </c>
      <c r="F17544" t="s">
        <v>192</v>
      </c>
      <c r="G17544">
        <v>183.1</v>
      </c>
      <c r="H17544">
        <v>251201</v>
      </c>
      <c r="I17544">
        <v>4471</v>
      </c>
      <c r="J17544" t="s">
        <v>191</v>
      </c>
      <c r="K17544">
        <v>1391.12</v>
      </c>
      <c r="L17544">
        <v>37.200000000000003</v>
      </c>
      <c r="M17544">
        <v>17956</v>
      </c>
      <c r="N17544" t="s">
        <v>170</v>
      </c>
      <c r="O17544">
        <v>251203</v>
      </c>
      <c r="P17544">
        <v>145.9</v>
      </c>
    </row>
    <row r="17545" spans="1:16" x14ac:dyDescent="0.25">
      <c r="A17545" t="s">
        <v>3296</v>
      </c>
      <c r="B17545" t="s">
        <v>2931</v>
      </c>
      <c r="C17545">
        <v>16273</v>
      </c>
      <c r="D17545" t="str">
        <f>"110693936   "</f>
        <v xml:space="preserve">110693936   </v>
      </c>
      <c r="E17545" t="s">
        <v>190</v>
      </c>
      <c r="F17545" t="s">
        <v>192</v>
      </c>
      <c r="G17545">
        <v>122.99</v>
      </c>
      <c r="H17545">
        <v>251130</v>
      </c>
      <c r="I17545">
        <v>4471</v>
      </c>
      <c r="J17545" t="s">
        <v>191</v>
      </c>
      <c r="K17545">
        <v>122.99</v>
      </c>
      <c r="L17545">
        <v>24.99</v>
      </c>
      <c r="M17545">
        <v>59501</v>
      </c>
      <c r="N17545" t="s">
        <v>62</v>
      </c>
      <c r="O17545">
        <v>251205</v>
      </c>
      <c r="P17545">
        <v>98</v>
      </c>
    </row>
    <row r="17546" spans="1:16" x14ac:dyDescent="0.25">
      <c r="A17546" t="s">
        <v>3296</v>
      </c>
      <c r="B17546" t="s">
        <v>2931</v>
      </c>
      <c r="C17546">
        <v>16278</v>
      </c>
      <c r="D17546" t="str">
        <f>"110693668   "</f>
        <v xml:space="preserve">110693668   </v>
      </c>
      <c r="E17546" t="s">
        <v>190</v>
      </c>
      <c r="F17546" t="s">
        <v>192</v>
      </c>
      <c r="G17546">
        <v>327.56</v>
      </c>
      <c r="H17546">
        <v>251130</v>
      </c>
      <c r="I17546">
        <v>4471</v>
      </c>
      <c r="J17546" t="s">
        <v>191</v>
      </c>
      <c r="K17546">
        <v>327.56</v>
      </c>
      <c r="L17546">
        <v>66.56</v>
      </c>
      <c r="M17546">
        <v>17950</v>
      </c>
      <c r="N17546" t="s">
        <v>132</v>
      </c>
      <c r="O17546">
        <v>251205</v>
      </c>
      <c r="P17546">
        <v>261</v>
      </c>
    </row>
    <row r="17547" spans="1:16" x14ac:dyDescent="0.25">
      <c r="A17547" t="s">
        <v>3296</v>
      </c>
      <c r="B17547" t="s">
        <v>2931</v>
      </c>
      <c r="C17547">
        <v>16353</v>
      </c>
      <c r="D17547" t="str">
        <f>"110693930   "</f>
        <v xml:space="preserve">110693930   </v>
      </c>
      <c r="E17547" t="s">
        <v>190</v>
      </c>
      <c r="F17547" t="s">
        <v>192</v>
      </c>
      <c r="G17547">
        <v>65.260000000000005</v>
      </c>
      <c r="H17547">
        <v>251130</v>
      </c>
      <c r="I17547">
        <v>4471</v>
      </c>
      <c r="J17547" t="s">
        <v>191</v>
      </c>
      <c r="K17547">
        <v>65.260000000000005</v>
      </c>
      <c r="L17547">
        <v>13.26</v>
      </c>
      <c r="M17547">
        <v>59501</v>
      </c>
      <c r="N17547" t="s">
        <v>62</v>
      </c>
      <c r="O17547">
        <v>251208</v>
      </c>
      <c r="P17547">
        <v>52</v>
      </c>
    </row>
    <row r="17548" spans="1:16" x14ac:dyDescent="0.25">
      <c r="A17548" t="s">
        <v>3296</v>
      </c>
      <c r="B17548" t="s">
        <v>2931</v>
      </c>
      <c r="C17548">
        <v>16356</v>
      </c>
      <c r="D17548" t="str">
        <f>"110693669   "</f>
        <v xml:space="preserve">110693669   </v>
      </c>
      <c r="E17548" t="s">
        <v>190</v>
      </c>
      <c r="F17548" t="s">
        <v>192</v>
      </c>
      <c r="G17548">
        <v>38.07</v>
      </c>
      <c r="H17548">
        <v>251130</v>
      </c>
      <c r="I17548">
        <v>4471</v>
      </c>
      <c r="J17548" t="s">
        <v>191</v>
      </c>
      <c r="K17548">
        <v>114.21</v>
      </c>
      <c r="L17548">
        <v>7.74</v>
      </c>
      <c r="M17548">
        <v>17950</v>
      </c>
      <c r="N17548" t="s">
        <v>132</v>
      </c>
      <c r="O17548">
        <v>251208</v>
      </c>
      <c r="P17548">
        <v>30.33</v>
      </c>
    </row>
    <row r="17549" spans="1:16" x14ac:dyDescent="0.25">
      <c r="A17549" t="s">
        <v>3296</v>
      </c>
      <c r="B17549" t="s">
        <v>2931</v>
      </c>
      <c r="C17549">
        <v>16356</v>
      </c>
      <c r="D17549" t="str">
        <f>"110693669   "</f>
        <v xml:space="preserve">110693669   </v>
      </c>
      <c r="E17549" t="s">
        <v>190</v>
      </c>
      <c r="F17549" t="s">
        <v>192</v>
      </c>
      <c r="G17549">
        <v>76.14</v>
      </c>
      <c r="H17549">
        <v>251130</v>
      </c>
      <c r="I17549">
        <v>4471</v>
      </c>
      <c r="J17549" t="s">
        <v>191</v>
      </c>
      <c r="K17549">
        <v>114.21</v>
      </c>
      <c r="L17549">
        <v>15.47</v>
      </c>
      <c r="M17549">
        <v>17950</v>
      </c>
      <c r="N17549" t="s">
        <v>132</v>
      </c>
      <c r="O17549">
        <v>251208</v>
      </c>
      <c r="P17549">
        <v>60.67</v>
      </c>
    </row>
    <row r="17550" spans="1:16" x14ac:dyDescent="0.25">
      <c r="A17550" t="s">
        <v>3296</v>
      </c>
      <c r="B17550" t="s">
        <v>2931</v>
      </c>
      <c r="C17550">
        <v>17647</v>
      </c>
      <c r="D17550" t="str">
        <f>"110697440   "</f>
        <v xml:space="preserve">110697440   </v>
      </c>
      <c r="E17550" t="s">
        <v>190</v>
      </c>
      <c r="F17550" t="s">
        <v>192</v>
      </c>
      <c r="G17550">
        <v>122.99</v>
      </c>
      <c r="H17550">
        <v>251219</v>
      </c>
      <c r="I17550">
        <v>4471</v>
      </c>
      <c r="J17550" t="s">
        <v>191</v>
      </c>
      <c r="K17550">
        <v>122.99</v>
      </c>
      <c r="L17550">
        <v>24.99</v>
      </c>
      <c r="M17550">
        <v>59501</v>
      </c>
      <c r="N17550" t="s">
        <v>62</v>
      </c>
      <c r="O17550">
        <v>251229</v>
      </c>
      <c r="P17550">
        <v>98</v>
      </c>
    </row>
    <row r="17551" spans="1:16" x14ac:dyDescent="0.25">
      <c r="A17551" t="s">
        <v>3296</v>
      </c>
      <c r="B17551" t="s">
        <v>2931</v>
      </c>
      <c r="C17551">
        <v>17653</v>
      </c>
      <c r="D17551" t="str">
        <f>"110697429   "</f>
        <v xml:space="preserve">110697429   </v>
      </c>
      <c r="E17551" t="s">
        <v>190</v>
      </c>
      <c r="F17551" t="s">
        <v>192</v>
      </c>
      <c r="G17551">
        <v>122.99</v>
      </c>
      <c r="H17551">
        <v>251219</v>
      </c>
      <c r="I17551">
        <v>4471</v>
      </c>
      <c r="J17551" t="s">
        <v>191</v>
      </c>
      <c r="K17551">
        <v>122.99</v>
      </c>
      <c r="L17551">
        <v>24.99</v>
      </c>
      <c r="M17551">
        <v>59501</v>
      </c>
      <c r="N17551" t="s">
        <v>62</v>
      </c>
      <c r="O17551">
        <v>251229</v>
      </c>
      <c r="P17551">
        <v>98</v>
      </c>
    </row>
    <row r="17552" spans="1:16" x14ac:dyDescent="0.25">
      <c r="A17552" t="s">
        <v>3296</v>
      </c>
      <c r="B17552" t="s">
        <v>2931</v>
      </c>
      <c r="C17552">
        <v>18106</v>
      </c>
      <c r="D17552" t="str">
        <f>"110721104   "</f>
        <v xml:space="preserve">110721104   </v>
      </c>
      <c r="E17552" t="s">
        <v>190</v>
      </c>
      <c r="F17552" t="s">
        <v>192</v>
      </c>
      <c r="G17552">
        <v>114.21</v>
      </c>
      <c r="H17552">
        <v>251231</v>
      </c>
      <c r="I17552">
        <v>4471</v>
      </c>
      <c r="J17552" t="s">
        <v>191</v>
      </c>
      <c r="K17552">
        <v>114.21</v>
      </c>
      <c r="L17552">
        <v>23.21</v>
      </c>
      <c r="M17552">
        <v>17950</v>
      </c>
      <c r="N17552" t="s">
        <v>132</v>
      </c>
      <c r="O17552">
        <v>260109</v>
      </c>
      <c r="P17552">
        <v>91</v>
      </c>
    </row>
    <row r="17553" spans="1:16" x14ac:dyDescent="0.25">
      <c r="A17553" t="s">
        <v>3296</v>
      </c>
      <c r="B17553" t="s">
        <v>2931</v>
      </c>
      <c r="C17553">
        <v>18109</v>
      </c>
      <c r="D17553" t="str">
        <f>"110722053   "</f>
        <v xml:space="preserve">110722053   </v>
      </c>
      <c r="E17553" t="s">
        <v>190</v>
      </c>
      <c r="F17553" t="s">
        <v>192</v>
      </c>
      <c r="G17553">
        <v>23.43</v>
      </c>
      <c r="H17553">
        <v>251231</v>
      </c>
      <c r="I17553">
        <v>4471</v>
      </c>
      <c r="J17553" t="s">
        <v>191</v>
      </c>
      <c r="K17553">
        <v>70.28</v>
      </c>
      <c r="L17553">
        <v>4.76</v>
      </c>
      <c r="M17553">
        <v>13540</v>
      </c>
      <c r="N17553" t="s">
        <v>131</v>
      </c>
      <c r="O17553">
        <v>260109</v>
      </c>
      <c r="P17553">
        <v>18.670000000000002</v>
      </c>
    </row>
    <row r="17554" spans="1:16" x14ac:dyDescent="0.25">
      <c r="A17554" t="s">
        <v>3296</v>
      </c>
      <c r="B17554" t="s">
        <v>2931</v>
      </c>
      <c r="C17554">
        <v>18109</v>
      </c>
      <c r="D17554" t="str">
        <f>"110722053   "</f>
        <v xml:space="preserve">110722053   </v>
      </c>
      <c r="E17554" t="s">
        <v>190</v>
      </c>
      <c r="F17554" t="s">
        <v>192</v>
      </c>
      <c r="G17554">
        <v>46.85</v>
      </c>
      <c r="H17554">
        <v>251231</v>
      </c>
      <c r="I17554">
        <v>4471</v>
      </c>
      <c r="J17554" t="s">
        <v>191</v>
      </c>
      <c r="K17554">
        <v>70.28</v>
      </c>
      <c r="L17554">
        <v>9.52</v>
      </c>
      <c r="M17554">
        <v>17950</v>
      </c>
      <c r="N17554" t="s">
        <v>132</v>
      </c>
      <c r="O17554">
        <v>260109</v>
      </c>
      <c r="P17554">
        <v>37.33</v>
      </c>
    </row>
    <row r="17555" spans="1:16" x14ac:dyDescent="0.25">
      <c r="A17555" t="s">
        <v>3296</v>
      </c>
      <c r="B17555" t="s">
        <v>2931</v>
      </c>
      <c r="C17555">
        <v>7521</v>
      </c>
      <c r="D17555" t="str">
        <f>"17114       "</f>
        <v xml:space="preserve">17114       </v>
      </c>
      <c r="E17555" t="s">
        <v>1974</v>
      </c>
      <c r="F17555" t="s">
        <v>1975</v>
      </c>
      <c r="G17555">
        <v>1115.95</v>
      </c>
      <c r="H17555">
        <v>250526</v>
      </c>
      <c r="I17555">
        <v>4400</v>
      </c>
      <c r="J17555" t="s">
        <v>162</v>
      </c>
      <c r="K17555">
        <v>1115.95</v>
      </c>
      <c r="L17555">
        <v>226.75</v>
      </c>
      <c r="M17555">
        <v>17526</v>
      </c>
      <c r="N17555" t="s">
        <v>141</v>
      </c>
      <c r="O17555">
        <v>250604</v>
      </c>
      <c r="P17555">
        <v>889.2</v>
      </c>
    </row>
    <row r="17556" spans="1:16" x14ac:dyDescent="0.25">
      <c r="A17556" t="s">
        <v>3296</v>
      </c>
      <c r="B17556" t="s">
        <v>2931</v>
      </c>
      <c r="C17556">
        <v>7841</v>
      </c>
      <c r="D17556" t="str">
        <f>"17115       "</f>
        <v xml:space="preserve">17115       </v>
      </c>
      <c r="E17556" t="s">
        <v>1974</v>
      </c>
      <c r="F17556" t="s">
        <v>1975</v>
      </c>
      <c r="G17556">
        <v>1538</v>
      </c>
      <c r="H17556">
        <v>250530</v>
      </c>
      <c r="I17556">
        <v>4600</v>
      </c>
      <c r="J17556" t="s">
        <v>278</v>
      </c>
      <c r="K17556">
        <v>1538</v>
      </c>
      <c r="L17556">
        <v>312.5</v>
      </c>
      <c r="M17556">
        <v>17524</v>
      </c>
      <c r="N17556" t="s">
        <v>139</v>
      </c>
      <c r="O17556">
        <v>250609</v>
      </c>
      <c r="P17556">
        <v>1225.5</v>
      </c>
    </row>
    <row r="17557" spans="1:16" x14ac:dyDescent="0.25">
      <c r="A17557" t="s">
        <v>3296</v>
      </c>
      <c r="B17557" t="s">
        <v>2931</v>
      </c>
      <c r="C17557">
        <v>2335</v>
      </c>
      <c r="D17557" t="str">
        <f>"61076220    "</f>
        <v xml:space="preserve">61076220    </v>
      </c>
      <c r="E17557" t="s">
        <v>1239</v>
      </c>
      <c r="F17557" t="s">
        <v>1240</v>
      </c>
      <c r="G17557">
        <v>191.14</v>
      </c>
      <c r="H17557">
        <v>250212</v>
      </c>
      <c r="I17557">
        <v>4470</v>
      </c>
      <c r="J17557" t="s">
        <v>203</v>
      </c>
      <c r="K17557">
        <v>191.14</v>
      </c>
      <c r="L17557">
        <v>38.840000000000003</v>
      </c>
      <c r="M17557">
        <v>17711</v>
      </c>
      <c r="N17557" t="s">
        <v>155</v>
      </c>
      <c r="O17557">
        <v>250224</v>
      </c>
      <c r="P17557">
        <v>152.30000000000001</v>
      </c>
    </row>
    <row r="17558" spans="1:16" x14ac:dyDescent="0.25">
      <c r="A17558" t="s">
        <v>3296</v>
      </c>
      <c r="B17558" t="s">
        <v>2931</v>
      </c>
      <c r="C17558">
        <v>11420</v>
      </c>
      <c r="D17558" t="str">
        <f>"61080911    "</f>
        <v xml:space="preserve">61080911    </v>
      </c>
      <c r="E17558" t="s">
        <v>1239</v>
      </c>
      <c r="F17558" t="s">
        <v>1240</v>
      </c>
      <c r="G17558">
        <v>154.36000000000001</v>
      </c>
      <c r="H17558">
        <v>250829</v>
      </c>
      <c r="I17558">
        <v>4470</v>
      </c>
      <c r="J17558" t="s">
        <v>203</v>
      </c>
      <c r="K17558">
        <v>308.73</v>
      </c>
      <c r="L17558">
        <v>31.36</v>
      </c>
      <c r="M17558">
        <v>67522</v>
      </c>
      <c r="N17558" t="s">
        <v>121</v>
      </c>
      <c r="O17558">
        <v>250904</v>
      </c>
      <c r="P17558">
        <v>123</v>
      </c>
    </row>
    <row r="17559" spans="1:16" x14ac:dyDescent="0.25">
      <c r="A17559" t="s">
        <v>3296</v>
      </c>
      <c r="B17559" t="s">
        <v>2931</v>
      </c>
      <c r="C17559">
        <v>11420</v>
      </c>
      <c r="D17559" t="str">
        <f>"61080911    "</f>
        <v xml:space="preserve">61080911    </v>
      </c>
      <c r="E17559" t="s">
        <v>1239</v>
      </c>
      <c r="F17559" t="s">
        <v>1240</v>
      </c>
      <c r="G17559">
        <v>154.37</v>
      </c>
      <c r="H17559">
        <v>250829</v>
      </c>
      <c r="I17559">
        <v>4470</v>
      </c>
      <c r="J17559" t="s">
        <v>203</v>
      </c>
      <c r="K17559">
        <v>308.73</v>
      </c>
      <c r="L17559">
        <v>31.37</v>
      </c>
      <c r="M17559">
        <v>67554</v>
      </c>
      <c r="N17559" t="s">
        <v>317</v>
      </c>
      <c r="O17559">
        <v>250904</v>
      </c>
      <c r="P17559">
        <v>123</v>
      </c>
    </row>
    <row r="17560" spans="1:16" x14ac:dyDescent="0.25">
      <c r="A17560" t="s">
        <v>3296</v>
      </c>
      <c r="B17560" t="s">
        <v>2931</v>
      </c>
      <c r="C17560">
        <v>2005</v>
      </c>
      <c r="D17560" t="str">
        <f>"800/523856  "</f>
        <v xml:space="preserve">800/523856  </v>
      </c>
      <c r="E17560" t="s">
        <v>2938</v>
      </c>
      <c r="F17560" t="s">
        <v>2939</v>
      </c>
      <c r="G17560">
        <v>658.88</v>
      </c>
      <c r="H17560">
        <v>250131</v>
      </c>
      <c r="I17560">
        <v>4347</v>
      </c>
      <c r="J17560" t="s">
        <v>328</v>
      </c>
      <c r="K17560">
        <v>1317.75</v>
      </c>
      <c r="L17560">
        <v>133.88</v>
      </c>
      <c r="M17560">
        <v>13461</v>
      </c>
      <c r="N17560" t="s">
        <v>1544</v>
      </c>
      <c r="O17560">
        <v>250218</v>
      </c>
      <c r="P17560">
        <v>525</v>
      </c>
    </row>
    <row r="17561" spans="1:16" x14ac:dyDescent="0.25">
      <c r="A17561" t="s">
        <v>3296</v>
      </c>
      <c r="B17561" t="s">
        <v>2931</v>
      </c>
      <c r="C17561">
        <v>2005</v>
      </c>
      <c r="D17561" t="str">
        <f>"800/523856  "</f>
        <v xml:space="preserve">800/523856  </v>
      </c>
      <c r="E17561" t="s">
        <v>2938</v>
      </c>
      <c r="F17561" t="s">
        <v>2939</v>
      </c>
      <c r="G17561">
        <v>658.87</v>
      </c>
      <c r="H17561">
        <v>250131</v>
      </c>
      <c r="I17561">
        <v>4347</v>
      </c>
      <c r="J17561" t="s">
        <v>328</v>
      </c>
      <c r="K17561">
        <v>1317.75</v>
      </c>
      <c r="L17561">
        <v>133.87</v>
      </c>
      <c r="M17561">
        <v>17974</v>
      </c>
      <c r="N17561" t="s">
        <v>153</v>
      </c>
      <c r="O17561">
        <v>250218</v>
      </c>
      <c r="P17561">
        <v>525</v>
      </c>
    </row>
    <row r="17562" spans="1:16" x14ac:dyDescent="0.25">
      <c r="A17562" t="s">
        <v>3296</v>
      </c>
      <c r="B17562" t="s">
        <v>2931</v>
      </c>
      <c r="C17562">
        <v>9188</v>
      </c>
      <c r="D17562" t="str">
        <f>"800/524279  "</f>
        <v xml:space="preserve">800/524279  </v>
      </c>
      <c r="E17562" t="s">
        <v>2938</v>
      </c>
      <c r="F17562" t="s">
        <v>2939</v>
      </c>
      <c r="G17562">
        <v>112.95</v>
      </c>
      <c r="H17562">
        <v>250616</v>
      </c>
      <c r="I17562">
        <v>4425</v>
      </c>
      <c r="J17562" t="s">
        <v>870</v>
      </c>
      <c r="K17562">
        <v>112.95</v>
      </c>
      <c r="L17562">
        <v>22.95</v>
      </c>
      <c r="M17562">
        <v>59702</v>
      </c>
      <c r="N17562" t="s">
        <v>45</v>
      </c>
      <c r="O17562">
        <v>250627</v>
      </c>
      <c r="P17562">
        <v>90</v>
      </c>
    </row>
    <row r="17563" spans="1:16" x14ac:dyDescent="0.25">
      <c r="A17563" t="s">
        <v>3296</v>
      </c>
      <c r="B17563" t="s">
        <v>2931</v>
      </c>
      <c r="C17563">
        <v>5708</v>
      </c>
      <c r="D17563" t="str">
        <f>"176738      "</f>
        <v xml:space="preserve">176738      </v>
      </c>
      <c r="E17563" t="s">
        <v>1789</v>
      </c>
      <c r="F17563" t="s">
        <v>1790</v>
      </c>
      <c r="G17563">
        <v>341.48</v>
      </c>
      <c r="H17563">
        <v>250410</v>
      </c>
      <c r="I17563">
        <v>4530</v>
      </c>
      <c r="J17563" t="s">
        <v>293</v>
      </c>
      <c r="K17563">
        <v>341.48</v>
      </c>
      <c r="L17563">
        <v>69.38</v>
      </c>
      <c r="M17563">
        <v>17522</v>
      </c>
      <c r="N17563" t="s">
        <v>137</v>
      </c>
      <c r="O17563">
        <v>250429</v>
      </c>
      <c r="P17563">
        <v>272.10000000000002</v>
      </c>
    </row>
    <row r="17564" spans="1:16" x14ac:dyDescent="0.25">
      <c r="A17564" t="s">
        <v>3296</v>
      </c>
      <c r="B17564" t="s">
        <v>2931</v>
      </c>
      <c r="C17564">
        <v>8923</v>
      </c>
      <c r="D17564" t="str">
        <f>"9151/2      "</f>
        <v xml:space="preserve">9151/2      </v>
      </c>
      <c r="E17564" t="s">
        <v>2063</v>
      </c>
      <c r="F17564" t="s">
        <v>2064</v>
      </c>
      <c r="G17564">
        <v>519.33000000000004</v>
      </c>
      <c r="H17564">
        <v>250612</v>
      </c>
      <c r="I17564">
        <v>4534</v>
      </c>
      <c r="J17564" t="s">
        <v>349</v>
      </c>
      <c r="K17564">
        <v>519.33000000000004</v>
      </c>
      <c r="L17564">
        <v>105.52</v>
      </c>
      <c r="M17564">
        <v>17711</v>
      </c>
      <c r="N17564" t="s">
        <v>155</v>
      </c>
      <c r="O17564">
        <v>250619</v>
      </c>
      <c r="P17564">
        <v>413.81</v>
      </c>
    </row>
    <row r="17565" spans="1:16" x14ac:dyDescent="0.25">
      <c r="A17565" t="s">
        <v>3296</v>
      </c>
      <c r="B17565" t="s">
        <v>2931</v>
      </c>
      <c r="C17565">
        <v>10347</v>
      </c>
      <c r="D17565" t="str">
        <f>"9376        "</f>
        <v xml:space="preserve">9376        </v>
      </c>
      <c r="E17565" t="s">
        <v>2063</v>
      </c>
      <c r="F17565" t="s">
        <v>2064</v>
      </c>
      <c r="G17565">
        <v>124</v>
      </c>
      <c r="H17565">
        <v>250813</v>
      </c>
      <c r="I17565">
        <v>4534</v>
      </c>
      <c r="J17565" t="s">
        <v>349</v>
      </c>
      <c r="K17565">
        <v>333.3</v>
      </c>
      <c r="L17565">
        <v>25.2</v>
      </c>
      <c r="M17565">
        <v>17711</v>
      </c>
      <c r="N17565" t="s">
        <v>155</v>
      </c>
      <c r="O17565">
        <v>250818</v>
      </c>
      <c r="P17565">
        <v>98.8</v>
      </c>
    </row>
    <row r="17566" spans="1:16" x14ac:dyDescent="0.25">
      <c r="A17566" t="s">
        <v>3296</v>
      </c>
      <c r="B17566" t="s">
        <v>2931</v>
      </c>
      <c r="C17566">
        <v>10347</v>
      </c>
      <c r="D17566" t="str">
        <f>"9376        "</f>
        <v xml:space="preserve">9376        </v>
      </c>
      <c r="E17566" t="s">
        <v>2063</v>
      </c>
      <c r="F17566" t="s">
        <v>2064</v>
      </c>
      <c r="G17566">
        <v>209.3</v>
      </c>
      <c r="H17566">
        <v>250813</v>
      </c>
      <c r="I17566">
        <v>4534</v>
      </c>
      <c r="J17566" t="s">
        <v>349</v>
      </c>
      <c r="K17566">
        <v>333.3</v>
      </c>
      <c r="L17566">
        <v>42.53</v>
      </c>
      <c r="M17566">
        <v>17711</v>
      </c>
      <c r="N17566" t="s">
        <v>155</v>
      </c>
      <c r="O17566">
        <v>250818</v>
      </c>
      <c r="P17566">
        <v>166.77</v>
      </c>
    </row>
    <row r="17567" spans="1:16" x14ac:dyDescent="0.25">
      <c r="A17567" t="s">
        <v>3296</v>
      </c>
      <c r="B17567" t="s">
        <v>2931</v>
      </c>
      <c r="C17567">
        <v>846</v>
      </c>
      <c r="D17567" t="str">
        <f>"3025225     "</f>
        <v xml:space="preserve">3025225     </v>
      </c>
      <c r="E17567" t="s">
        <v>753</v>
      </c>
      <c r="F17567" t="s">
        <v>755</v>
      </c>
      <c r="G17567">
        <v>1454.56</v>
      </c>
      <c r="H17567">
        <v>250127</v>
      </c>
      <c r="I17567">
        <v>4384</v>
      </c>
      <c r="J17567" t="s">
        <v>754</v>
      </c>
      <c r="K17567">
        <v>1454.56</v>
      </c>
      <c r="L17567">
        <v>295.55</v>
      </c>
      <c r="M17567">
        <v>17737</v>
      </c>
      <c r="N17567" t="s">
        <v>156</v>
      </c>
      <c r="O17567">
        <v>250129</v>
      </c>
      <c r="P17567">
        <v>1159.01</v>
      </c>
    </row>
    <row r="17568" spans="1:16" x14ac:dyDescent="0.25">
      <c r="A17568" t="s">
        <v>3296</v>
      </c>
      <c r="B17568" t="s">
        <v>2931</v>
      </c>
      <c r="C17568">
        <v>5726</v>
      </c>
      <c r="D17568" t="str">
        <f>"30251200    "</f>
        <v xml:space="preserve">30251200    </v>
      </c>
      <c r="E17568" t="s">
        <v>753</v>
      </c>
      <c r="F17568" t="s">
        <v>755</v>
      </c>
      <c r="G17568">
        <v>48.95</v>
      </c>
      <c r="H17568">
        <v>250422</v>
      </c>
      <c r="I17568">
        <v>4384</v>
      </c>
      <c r="J17568" t="s">
        <v>754</v>
      </c>
      <c r="K17568">
        <v>48.95</v>
      </c>
      <c r="L17568">
        <v>9.9499999999999993</v>
      </c>
      <c r="M17568">
        <v>17737</v>
      </c>
      <c r="N17568" t="s">
        <v>156</v>
      </c>
      <c r="O17568">
        <v>250429</v>
      </c>
      <c r="P17568">
        <v>39</v>
      </c>
    </row>
    <row r="17569" spans="1:16" x14ac:dyDescent="0.25">
      <c r="A17569" t="s">
        <v>3296</v>
      </c>
      <c r="B17569" t="s">
        <v>2931</v>
      </c>
      <c r="C17569">
        <v>9897</v>
      </c>
      <c r="D17569" t="str">
        <f>"30252119    "</f>
        <v xml:space="preserve">30252119    </v>
      </c>
      <c r="E17569" t="s">
        <v>753</v>
      </c>
      <c r="F17569" t="s">
        <v>755</v>
      </c>
      <c r="G17569">
        <v>48.95</v>
      </c>
      <c r="H17569">
        <v>250714</v>
      </c>
      <c r="I17569">
        <v>4470</v>
      </c>
      <c r="J17569" t="s">
        <v>203</v>
      </c>
      <c r="K17569">
        <v>48.95</v>
      </c>
      <c r="L17569">
        <v>9.9499999999999993</v>
      </c>
      <c r="M17569">
        <v>17737</v>
      </c>
      <c r="N17569" t="s">
        <v>156</v>
      </c>
      <c r="O17569">
        <v>250801</v>
      </c>
      <c r="P17569">
        <v>39</v>
      </c>
    </row>
    <row r="17570" spans="1:16" x14ac:dyDescent="0.25">
      <c r="A17570" t="s">
        <v>3296</v>
      </c>
      <c r="B17570" t="s">
        <v>2931</v>
      </c>
      <c r="C17570">
        <v>5765</v>
      </c>
      <c r="D17570" t="str">
        <f>"1302        "</f>
        <v xml:space="preserve">1302        </v>
      </c>
      <c r="E17570" t="s">
        <v>377</v>
      </c>
      <c r="F17570" t="s">
        <v>378</v>
      </c>
      <c r="G17570">
        <v>375</v>
      </c>
      <c r="H17570">
        <v>250429</v>
      </c>
      <c r="I17570">
        <v>1198</v>
      </c>
      <c r="J17570" t="s">
        <v>610</v>
      </c>
      <c r="K17570">
        <v>375</v>
      </c>
      <c r="L17570">
        <v>76.2</v>
      </c>
      <c r="M17570">
        <v>97629</v>
      </c>
      <c r="N17570" t="s">
        <v>1110</v>
      </c>
      <c r="O17570">
        <v>250430</v>
      </c>
      <c r="P17570">
        <v>298.8</v>
      </c>
    </row>
    <row r="17571" spans="1:16" x14ac:dyDescent="0.25">
      <c r="A17571" t="s">
        <v>3296</v>
      </c>
      <c r="B17571" t="s">
        <v>2931</v>
      </c>
      <c r="C17571">
        <v>10341</v>
      </c>
      <c r="D17571" t="str">
        <f>"1385        "</f>
        <v xml:space="preserve">1385        </v>
      </c>
      <c r="E17571" t="s">
        <v>377</v>
      </c>
      <c r="F17571" t="s">
        <v>378</v>
      </c>
      <c r="G17571">
        <v>407</v>
      </c>
      <c r="H17571">
        <v>250807</v>
      </c>
      <c r="I17571">
        <v>1198</v>
      </c>
      <c r="J17571" t="s">
        <v>610</v>
      </c>
      <c r="K17571">
        <v>407</v>
      </c>
      <c r="L17571">
        <v>82.7</v>
      </c>
      <c r="M17571">
        <v>97629</v>
      </c>
      <c r="N17571" t="s">
        <v>1110</v>
      </c>
      <c r="O17571">
        <v>250818</v>
      </c>
      <c r="P17571">
        <v>324.3</v>
      </c>
    </row>
    <row r="17572" spans="1:16" x14ac:dyDescent="0.25">
      <c r="A17572" t="s">
        <v>3296</v>
      </c>
      <c r="B17572" t="s">
        <v>2931</v>
      </c>
      <c r="C17572">
        <v>251</v>
      </c>
      <c r="D17572" t="str">
        <f>"1216        "</f>
        <v xml:space="preserve">1216        </v>
      </c>
      <c r="E17572" t="s">
        <v>377</v>
      </c>
      <c r="F17572" t="s">
        <v>378</v>
      </c>
      <c r="G17572">
        <v>81</v>
      </c>
      <c r="H17572">
        <v>250117</v>
      </c>
      <c r="I17572">
        <v>4390</v>
      </c>
      <c r="J17572" t="s">
        <v>232</v>
      </c>
      <c r="K17572">
        <v>81</v>
      </c>
      <c r="L17572">
        <v>16.46</v>
      </c>
      <c r="M17572">
        <v>17956</v>
      </c>
      <c r="N17572" t="s">
        <v>170</v>
      </c>
      <c r="O17572">
        <v>250120</v>
      </c>
      <c r="P17572">
        <v>64.540000000000006</v>
      </c>
    </row>
    <row r="17573" spans="1:16" x14ac:dyDescent="0.25">
      <c r="A17573" t="s">
        <v>3296</v>
      </c>
      <c r="B17573" t="s">
        <v>2931</v>
      </c>
      <c r="C17573">
        <v>5764</v>
      </c>
      <c r="D17573" t="str">
        <f>"1311        "</f>
        <v xml:space="preserve">1311        </v>
      </c>
      <c r="E17573" t="s">
        <v>377</v>
      </c>
      <c r="F17573" t="s">
        <v>378</v>
      </c>
      <c r="G17573">
        <v>11</v>
      </c>
      <c r="H17573">
        <v>250429</v>
      </c>
      <c r="I17573">
        <v>4390</v>
      </c>
      <c r="J17573" t="s">
        <v>232</v>
      </c>
      <c r="K17573">
        <v>48</v>
      </c>
      <c r="L17573">
        <v>2.2400000000000002</v>
      </c>
      <c r="M17573">
        <v>13540</v>
      </c>
      <c r="N17573" t="s">
        <v>131</v>
      </c>
      <c r="O17573">
        <v>250430</v>
      </c>
      <c r="P17573">
        <v>8.76</v>
      </c>
    </row>
    <row r="17574" spans="1:16" x14ac:dyDescent="0.25">
      <c r="A17574" t="s">
        <v>3296</v>
      </c>
      <c r="B17574" t="s">
        <v>2931</v>
      </c>
      <c r="C17574">
        <v>5764</v>
      </c>
      <c r="D17574" t="str">
        <f>"1311        "</f>
        <v xml:space="preserve">1311        </v>
      </c>
      <c r="E17574" t="s">
        <v>377</v>
      </c>
      <c r="F17574" t="s">
        <v>378</v>
      </c>
      <c r="G17574">
        <v>37</v>
      </c>
      <c r="H17574">
        <v>250429</v>
      </c>
      <c r="I17574">
        <v>4390</v>
      </c>
      <c r="J17574" t="s">
        <v>232</v>
      </c>
      <c r="K17574">
        <v>48</v>
      </c>
      <c r="L17574">
        <v>7.52</v>
      </c>
      <c r="M17574">
        <v>17950</v>
      </c>
      <c r="N17574" t="s">
        <v>132</v>
      </c>
      <c r="O17574">
        <v>250430</v>
      </c>
      <c r="P17574">
        <v>29.48</v>
      </c>
    </row>
    <row r="17575" spans="1:16" x14ac:dyDescent="0.25">
      <c r="A17575" t="s">
        <v>3296</v>
      </c>
      <c r="B17575" t="s">
        <v>2931</v>
      </c>
      <c r="C17575">
        <v>6216</v>
      </c>
      <c r="D17575" t="str">
        <f>"1319        "</f>
        <v xml:space="preserve">1319        </v>
      </c>
      <c r="E17575" t="s">
        <v>377</v>
      </c>
      <c r="F17575" t="s">
        <v>378</v>
      </c>
      <c r="G17575">
        <v>66</v>
      </c>
      <c r="H17575">
        <v>250509</v>
      </c>
      <c r="I17575">
        <v>4390</v>
      </c>
      <c r="J17575" t="s">
        <v>232</v>
      </c>
      <c r="K17575">
        <v>66</v>
      </c>
      <c r="L17575">
        <v>13.41</v>
      </c>
      <c r="M17575">
        <v>17956</v>
      </c>
      <c r="N17575" t="s">
        <v>170</v>
      </c>
      <c r="O17575">
        <v>250509</v>
      </c>
      <c r="P17575">
        <v>52.59</v>
      </c>
    </row>
    <row r="17576" spans="1:16" x14ac:dyDescent="0.25">
      <c r="A17576" t="s">
        <v>3296</v>
      </c>
      <c r="B17576" t="s">
        <v>2931</v>
      </c>
      <c r="C17576">
        <v>5878</v>
      </c>
      <c r="D17576" t="str">
        <f>"1308        "</f>
        <v xml:space="preserve">1308        </v>
      </c>
      <c r="E17576" t="s">
        <v>377</v>
      </c>
      <c r="F17576" t="s">
        <v>378</v>
      </c>
      <c r="G17576">
        <v>244</v>
      </c>
      <c r="H17576">
        <v>250429</v>
      </c>
      <c r="I17576">
        <v>4400</v>
      </c>
      <c r="J17576" t="s">
        <v>162</v>
      </c>
      <c r="K17576">
        <v>732</v>
      </c>
      <c r="L17576">
        <v>49.58</v>
      </c>
      <c r="M17576">
        <v>13540</v>
      </c>
      <c r="N17576" t="s">
        <v>131</v>
      </c>
      <c r="O17576">
        <v>250507</v>
      </c>
      <c r="P17576">
        <v>194.42</v>
      </c>
    </row>
    <row r="17577" spans="1:16" x14ac:dyDescent="0.25">
      <c r="A17577" t="s">
        <v>3296</v>
      </c>
      <c r="B17577" t="s">
        <v>2931</v>
      </c>
      <c r="C17577">
        <v>5878</v>
      </c>
      <c r="D17577" t="str">
        <f>"1308        "</f>
        <v xml:space="preserve">1308        </v>
      </c>
      <c r="E17577" t="s">
        <v>377</v>
      </c>
      <c r="F17577" t="s">
        <v>378</v>
      </c>
      <c r="G17577">
        <v>244</v>
      </c>
      <c r="H17577">
        <v>250429</v>
      </c>
      <c r="I17577">
        <v>4400</v>
      </c>
      <c r="J17577" t="s">
        <v>162</v>
      </c>
      <c r="K17577">
        <v>732</v>
      </c>
      <c r="L17577">
        <v>49.58</v>
      </c>
      <c r="M17577">
        <v>17950</v>
      </c>
      <c r="N17577" t="s">
        <v>132</v>
      </c>
      <c r="O17577">
        <v>250507</v>
      </c>
      <c r="P17577">
        <v>194.42</v>
      </c>
    </row>
    <row r="17578" spans="1:16" x14ac:dyDescent="0.25">
      <c r="A17578" t="s">
        <v>3296</v>
      </c>
      <c r="B17578" t="s">
        <v>2931</v>
      </c>
      <c r="C17578">
        <v>5878</v>
      </c>
      <c r="D17578" t="str">
        <f>"1308        "</f>
        <v xml:space="preserve">1308        </v>
      </c>
      <c r="E17578" t="s">
        <v>377</v>
      </c>
      <c r="F17578" t="s">
        <v>378</v>
      </c>
      <c r="G17578">
        <v>244</v>
      </c>
      <c r="H17578">
        <v>250429</v>
      </c>
      <c r="I17578">
        <v>4400</v>
      </c>
      <c r="J17578" t="s">
        <v>162</v>
      </c>
      <c r="K17578">
        <v>732</v>
      </c>
      <c r="L17578">
        <v>49.58</v>
      </c>
      <c r="M17578">
        <v>17950</v>
      </c>
      <c r="N17578" t="s">
        <v>132</v>
      </c>
      <c r="O17578">
        <v>250507</v>
      </c>
      <c r="P17578">
        <v>194.42</v>
      </c>
    </row>
    <row r="17579" spans="1:16" x14ac:dyDescent="0.25">
      <c r="A17579" t="s">
        <v>3296</v>
      </c>
      <c r="B17579" t="s">
        <v>2931</v>
      </c>
      <c r="C17579">
        <v>9905</v>
      </c>
      <c r="D17579" t="str">
        <f>"1378        "</f>
        <v xml:space="preserve">1378        </v>
      </c>
      <c r="E17579" t="s">
        <v>377</v>
      </c>
      <c r="F17579" t="s">
        <v>378</v>
      </c>
      <c r="G17579">
        <v>95.7</v>
      </c>
      <c r="H17579">
        <v>250730</v>
      </c>
      <c r="I17579">
        <v>4580</v>
      </c>
      <c r="J17579" t="s">
        <v>126</v>
      </c>
      <c r="K17579">
        <v>870</v>
      </c>
      <c r="L17579">
        <v>19.45</v>
      </c>
      <c r="M17579">
        <v>13552</v>
      </c>
      <c r="N17579" t="s">
        <v>133</v>
      </c>
      <c r="O17579">
        <v>250804</v>
      </c>
      <c r="P17579">
        <v>76.25</v>
      </c>
    </row>
    <row r="17580" spans="1:16" x14ac:dyDescent="0.25">
      <c r="A17580" t="s">
        <v>3296</v>
      </c>
      <c r="B17580" t="s">
        <v>2931</v>
      </c>
      <c r="C17580">
        <v>9905</v>
      </c>
      <c r="D17580" t="str">
        <f>"1378        "</f>
        <v xml:space="preserve">1378        </v>
      </c>
      <c r="E17580" t="s">
        <v>377</v>
      </c>
      <c r="F17580" t="s">
        <v>378</v>
      </c>
      <c r="G17580">
        <v>774.3</v>
      </c>
      <c r="H17580">
        <v>250730</v>
      </c>
      <c r="I17580">
        <v>4580</v>
      </c>
      <c r="J17580" t="s">
        <v>126</v>
      </c>
      <c r="K17580">
        <v>870</v>
      </c>
      <c r="L17580">
        <v>157.33000000000001</v>
      </c>
      <c r="M17580">
        <v>17918</v>
      </c>
      <c r="N17580" t="s">
        <v>152</v>
      </c>
      <c r="O17580">
        <v>250804</v>
      </c>
      <c r="P17580">
        <v>616.97</v>
      </c>
    </row>
    <row r="17581" spans="1:16" x14ac:dyDescent="0.25">
      <c r="A17581" t="s">
        <v>3296</v>
      </c>
      <c r="B17581" t="s">
        <v>2931</v>
      </c>
      <c r="C17581">
        <v>13371</v>
      </c>
      <c r="D17581" t="str">
        <f>"1476        "</f>
        <v xml:space="preserve">1476        </v>
      </c>
      <c r="E17581" t="s">
        <v>377</v>
      </c>
      <c r="F17581" t="s">
        <v>378</v>
      </c>
      <c r="G17581">
        <v>2137</v>
      </c>
      <c r="H17581">
        <v>251007</v>
      </c>
      <c r="I17581">
        <v>4580</v>
      </c>
      <c r="J17581" t="s">
        <v>126</v>
      </c>
      <c r="K17581">
        <v>2137</v>
      </c>
      <c r="L17581">
        <v>434.21</v>
      </c>
      <c r="M17581">
        <v>17521</v>
      </c>
      <c r="N17581" t="s">
        <v>136</v>
      </c>
      <c r="O17581">
        <v>251008</v>
      </c>
      <c r="P17581">
        <v>1702.79</v>
      </c>
    </row>
    <row r="17582" spans="1:16" x14ac:dyDescent="0.25">
      <c r="A17582" t="s">
        <v>3296</v>
      </c>
      <c r="B17582" t="s">
        <v>2931</v>
      </c>
      <c r="C17582">
        <v>297</v>
      </c>
      <c r="D17582" t="str">
        <f>"1217        "</f>
        <v xml:space="preserve">1217        </v>
      </c>
      <c r="E17582" t="s">
        <v>377</v>
      </c>
      <c r="F17582" t="s">
        <v>378</v>
      </c>
      <c r="G17582">
        <v>80</v>
      </c>
      <c r="H17582">
        <v>250117</v>
      </c>
      <c r="I17582">
        <v>4590</v>
      </c>
      <c r="J17582" t="s">
        <v>388</v>
      </c>
      <c r="K17582">
        <v>80</v>
      </c>
      <c r="L17582">
        <v>16.25</v>
      </c>
      <c r="M17582">
        <v>17952</v>
      </c>
      <c r="N17582" t="s">
        <v>157</v>
      </c>
      <c r="O17582">
        <v>250121</v>
      </c>
      <c r="P17582">
        <v>63.75</v>
      </c>
    </row>
    <row r="17583" spans="1:16" x14ac:dyDescent="0.25">
      <c r="A17583" t="s">
        <v>3296</v>
      </c>
      <c r="B17583" t="s">
        <v>2931</v>
      </c>
      <c r="C17583">
        <v>1230</v>
      </c>
      <c r="D17583" t="str">
        <f>"1234        "</f>
        <v xml:space="preserve">1234        </v>
      </c>
      <c r="E17583" t="s">
        <v>377</v>
      </c>
      <c r="F17583" t="s">
        <v>378</v>
      </c>
      <c r="G17583">
        <v>15</v>
      </c>
      <c r="H17583">
        <v>250128</v>
      </c>
      <c r="I17583">
        <v>4600</v>
      </c>
      <c r="J17583" t="s">
        <v>278</v>
      </c>
      <c r="K17583">
        <v>15</v>
      </c>
      <c r="L17583">
        <v>3.05</v>
      </c>
      <c r="M17583">
        <v>17526</v>
      </c>
      <c r="N17583" t="s">
        <v>141</v>
      </c>
      <c r="O17583">
        <v>250206</v>
      </c>
      <c r="P17583">
        <v>11.95</v>
      </c>
    </row>
    <row r="17584" spans="1:16" x14ac:dyDescent="0.25">
      <c r="A17584" t="s">
        <v>3296</v>
      </c>
      <c r="B17584" t="s">
        <v>2931</v>
      </c>
      <c r="C17584">
        <v>14626</v>
      </c>
      <c r="D17584" t="str">
        <f>"1491        "</f>
        <v xml:space="preserve">1491        </v>
      </c>
      <c r="E17584" t="s">
        <v>377</v>
      </c>
      <c r="F17584" t="s">
        <v>378</v>
      </c>
      <c r="G17584">
        <v>40</v>
      </c>
      <c r="H17584">
        <v>251028</v>
      </c>
      <c r="I17584">
        <v>4600</v>
      </c>
      <c r="J17584" t="s">
        <v>278</v>
      </c>
      <c r="K17584">
        <v>40</v>
      </c>
      <c r="L17584">
        <v>8.1300000000000008</v>
      </c>
      <c r="M17584">
        <v>17526</v>
      </c>
      <c r="N17584" t="s">
        <v>141</v>
      </c>
      <c r="O17584">
        <v>251105</v>
      </c>
      <c r="P17584">
        <v>31.87</v>
      </c>
    </row>
    <row r="17585" spans="1:16" x14ac:dyDescent="0.25">
      <c r="A17585" t="s">
        <v>3296</v>
      </c>
      <c r="B17585" t="s">
        <v>2931</v>
      </c>
      <c r="C17585">
        <v>2502</v>
      </c>
      <c r="D17585" t="str">
        <f>"182765      "</f>
        <v xml:space="preserve">182765      </v>
      </c>
      <c r="E17585" t="s">
        <v>1292</v>
      </c>
      <c r="F17585" t="s">
        <v>1293</v>
      </c>
      <c r="G17585">
        <v>24.66</v>
      </c>
      <c r="H17585">
        <v>250224</v>
      </c>
      <c r="I17585">
        <v>4380</v>
      </c>
      <c r="J17585" t="s">
        <v>211</v>
      </c>
      <c r="K17585">
        <v>98.62</v>
      </c>
      <c r="L17585">
        <v>5.01</v>
      </c>
      <c r="M17585">
        <v>13901</v>
      </c>
      <c r="N17585" t="s">
        <v>116</v>
      </c>
      <c r="O17585">
        <v>250303</v>
      </c>
      <c r="P17585">
        <v>19.649999999999999</v>
      </c>
    </row>
    <row r="17586" spans="1:16" x14ac:dyDescent="0.25">
      <c r="A17586" t="s">
        <v>3296</v>
      </c>
      <c r="B17586" t="s">
        <v>2931</v>
      </c>
      <c r="C17586">
        <v>2502</v>
      </c>
      <c r="D17586" t="str">
        <f>"182765      "</f>
        <v xml:space="preserve">182765      </v>
      </c>
      <c r="E17586" t="s">
        <v>1292</v>
      </c>
      <c r="F17586" t="s">
        <v>1293</v>
      </c>
      <c r="G17586">
        <v>24.65</v>
      </c>
      <c r="H17586">
        <v>250224</v>
      </c>
      <c r="I17586">
        <v>4380</v>
      </c>
      <c r="J17586" t="s">
        <v>211</v>
      </c>
      <c r="K17586">
        <v>98.62</v>
      </c>
      <c r="L17586">
        <v>5.01</v>
      </c>
      <c r="M17586">
        <v>13901</v>
      </c>
      <c r="N17586" t="s">
        <v>116</v>
      </c>
      <c r="O17586">
        <v>250303</v>
      </c>
      <c r="P17586">
        <v>19.64</v>
      </c>
    </row>
    <row r="17587" spans="1:16" x14ac:dyDescent="0.25">
      <c r="A17587" t="s">
        <v>3296</v>
      </c>
      <c r="B17587" t="s">
        <v>2931</v>
      </c>
      <c r="C17587">
        <v>2502</v>
      </c>
      <c r="D17587" t="str">
        <f>"182765      "</f>
        <v xml:space="preserve">182765      </v>
      </c>
      <c r="E17587" t="s">
        <v>1292</v>
      </c>
      <c r="F17587" t="s">
        <v>1293</v>
      </c>
      <c r="G17587">
        <v>49.31</v>
      </c>
      <c r="H17587">
        <v>250224</v>
      </c>
      <c r="I17587">
        <v>4380</v>
      </c>
      <c r="J17587" t="s">
        <v>211</v>
      </c>
      <c r="K17587">
        <v>98.62</v>
      </c>
      <c r="L17587">
        <v>10.02</v>
      </c>
      <c r="M17587">
        <v>16951</v>
      </c>
      <c r="N17587" t="s">
        <v>488</v>
      </c>
      <c r="O17587">
        <v>250303</v>
      </c>
      <c r="P17587">
        <v>39.29</v>
      </c>
    </row>
    <row r="17588" spans="1:16" x14ac:dyDescent="0.25">
      <c r="A17588" t="s">
        <v>3296</v>
      </c>
      <c r="B17588" t="s">
        <v>2931</v>
      </c>
      <c r="C17588">
        <v>6990</v>
      </c>
      <c r="D17588" t="str">
        <f>"183667      "</f>
        <v xml:space="preserve">183667      </v>
      </c>
      <c r="E17588" t="s">
        <v>1292</v>
      </c>
      <c r="F17588" t="s">
        <v>1293</v>
      </c>
      <c r="G17588">
        <v>98.62</v>
      </c>
      <c r="H17588">
        <v>250514</v>
      </c>
      <c r="I17588">
        <v>4380</v>
      </c>
      <c r="J17588" t="s">
        <v>211</v>
      </c>
      <c r="K17588">
        <v>98.62</v>
      </c>
      <c r="L17588">
        <v>20.04</v>
      </c>
      <c r="M17588">
        <v>13901</v>
      </c>
      <c r="N17588" t="s">
        <v>116</v>
      </c>
      <c r="O17588">
        <v>250521</v>
      </c>
      <c r="P17588">
        <v>78.58</v>
      </c>
    </row>
    <row r="17589" spans="1:16" x14ac:dyDescent="0.25">
      <c r="A17589" t="s">
        <v>3296</v>
      </c>
      <c r="B17589" t="s">
        <v>2931</v>
      </c>
      <c r="C17589">
        <v>16279</v>
      </c>
      <c r="D17589" t="str">
        <f>"185960      "</f>
        <v xml:space="preserve">185960      </v>
      </c>
      <c r="E17589" t="s">
        <v>1292</v>
      </c>
      <c r="F17589" t="s">
        <v>1293</v>
      </c>
      <c r="G17589">
        <v>105.55</v>
      </c>
      <c r="H17589">
        <v>251202</v>
      </c>
      <c r="I17589">
        <v>4380</v>
      </c>
      <c r="J17589" t="s">
        <v>211</v>
      </c>
      <c r="K17589">
        <v>105.55</v>
      </c>
      <c r="L17589">
        <v>21.45</v>
      </c>
      <c r="M17589">
        <v>13921</v>
      </c>
      <c r="N17589" t="s">
        <v>325</v>
      </c>
      <c r="O17589">
        <v>251205</v>
      </c>
      <c r="P17589">
        <v>84.1</v>
      </c>
    </row>
    <row r="17590" spans="1:16" x14ac:dyDescent="0.25">
      <c r="A17590" t="s">
        <v>3296</v>
      </c>
      <c r="B17590" t="s">
        <v>2931</v>
      </c>
      <c r="C17590">
        <v>10828</v>
      </c>
      <c r="D17590" t="str">
        <f>"12414       "</f>
        <v xml:space="preserve">12414       </v>
      </c>
      <c r="E17590" t="s">
        <v>3264</v>
      </c>
      <c r="F17590" t="s">
        <v>3265</v>
      </c>
      <c r="G17590">
        <v>72.05</v>
      </c>
      <c r="H17590">
        <v>250812</v>
      </c>
      <c r="I17590">
        <v>4369</v>
      </c>
      <c r="J17590" t="s">
        <v>188</v>
      </c>
      <c r="K17590">
        <v>655</v>
      </c>
      <c r="L17590">
        <v>0</v>
      </c>
      <c r="M17590">
        <v>13540</v>
      </c>
      <c r="N17590" t="s">
        <v>131</v>
      </c>
      <c r="O17590">
        <v>250825</v>
      </c>
      <c r="P17590">
        <v>72.05</v>
      </c>
    </row>
    <row r="17591" spans="1:16" x14ac:dyDescent="0.25">
      <c r="A17591" t="s">
        <v>3296</v>
      </c>
      <c r="B17591" t="s">
        <v>2931</v>
      </c>
      <c r="C17591">
        <v>10828</v>
      </c>
      <c r="D17591" t="str">
        <f>"12414       "</f>
        <v xml:space="preserve">12414       </v>
      </c>
      <c r="E17591" t="s">
        <v>3264</v>
      </c>
      <c r="F17591" t="s">
        <v>3265</v>
      </c>
      <c r="G17591">
        <v>582.95000000000005</v>
      </c>
      <c r="H17591">
        <v>250812</v>
      </c>
      <c r="I17591">
        <v>4369</v>
      </c>
      <c r="J17591" t="s">
        <v>188</v>
      </c>
      <c r="K17591">
        <v>655</v>
      </c>
      <c r="L17591">
        <v>0</v>
      </c>
      <c r="M17591">
        <v>17950</v>
      </c>
      <c r="N17591" t="s">
        <v>132</v>
      </c>
      <c r="O17591">
        <v>250825</v>
      </c>
      <c r="P17591">
        <v>582.95000000000005</v>
      </c>
    </row>
    <row r="17592" spans="1:16" x14ac:dyDescent="0.25">
      <c r="A17592" t="s">
        <v>3296</v>
      </c>
      <c r="B17592" t="s">
        <v>2931</v>
      </c>
      <c r="C17592">
        <v>15155</v>
      </c>
      <c r="D17592" t="str">
        <f>"4006022     "</f>
        <v xml:space="preserve">4006022     </v>
      </c>
      <c r="E17592" t="s">
        <v>670</v>
      </c>
      <c r="F17592" t="s">
        <v>671</v>
      </c>
      <c r="G17592">
        <v>40</v>
      </c>
      <c r="H17592">
        <v>251104</v>
      </c>
      <c r="I17592">
        <v>4364</v>
      </c>
      <c r="J17592" t="s">
        <v>470</v>
      </c>
      <c r="K17592">
        <v>585.09</v>
      </c>
      <c r="L17592">
        <v>8.1300000000000008</v>
      </c>
      <c r="M17592">
        <v>17530</v>
      </c>
      <c r="N17592" t="s">
        <v>144</v>
      </c>
      <c r="O17592">
        <v>251113</v>
      </c>
      <c r="P17592">
        <v>31.87</v>
      </c>
    </row>
    <row r="17593" spans="1:16" x14ac:dyDescent="0.25">
      <c r="A17593" t="s">
        <v>3296</v>
      </c>
      <c r="B17593" t="s">
        <v>2931</v>
      </c>
      <c r="C17593">
        <v>772</v>
      </c>
      <c r="D17593" t="str">
        <f>"398110      "</f>
        <v xml:space="preserve">398110      </v>
      </c>
      <c r="E17593" t="s">
        <v>670</v>
      </c>
      <c r="F17593" t="s">
        <v>671</v>
      </c>
      <c r="G17593">
        <v>1493.45</v>
      </c>
      <c r="H17593">
        <v>250122</v>
      </c>
      <c r="I17593">
        <v>4367</v>
      </c>
      <c r="J17593" t="s">
        <v>159</v>
      </c>
      <c r="K17593">
        <v>1493.45</v>
      </c>
      <c r="L17593">
        <v>303.45</v>
      </c>
      <c r="M17593">
        <v>56564</v>
      </c>
      <c r="N17593" t="s">
        <v>56</v>
      </c>
      <c r="O17593">
        <v>250129</v>
      </c>
      <c r="P17593">
        <v>1190</v>
      </c>
    </row>
    <row r="17594" spans="1:16" x14ac:dyDescent="0.25">
      <c r="A17594" t="s">
        <v>3296</v>
      </c>
      <c r="B17594" t="s">
        <v>2931</v>
      </c>
      <c r="C17594">
        <v>692</v>
      </c>
      <c r="D17594" t="str">
        <f>"398074      "</f>
        <v xml:space="preserve">398074      </v>
      </c>
      <c r="E17594" t="s">
        <v>670</v>
      </c>
      <c r="F17594" t="s">
        <v>671</v>
      </c>
      <c r="G17594">
        <v>-25.1</v>
      </c>
      <c r="H17594">
        <v>250121</v>
      </c>
      <c r="I17594">
        <v>4369</v>
      </c>
      <c r="J17594" t="s">
        <v>188</v>
      </c>
      <c r="K17594">
        <v>-25.1</v>
      </c>
      <c r="L17594">
        <v>-5.0999999999999996</v>
      </c>
      <c r="M17594">
        <v>17530</v>
      </c>
      <c r="N17594" t="s">
        <v>144</v>
      </c>
      <c r="O17594">
        <v>250128</v>
      </c>
      <c r="P17594">
        <v>-20</v>
      </c>
    </row>
    <row r="17595" spans="1:16" x14ac:dyDescent="0.25">
      <c r="A17595" t="s">
        <v>3296</v>
      </c>
      <c r="B17595" t="s">
        <v>2931</v>
      </c>
      <c r="C17595">
        <v>696</v>
      </c>
      <c r="D17595" t="str">
        <f>"397772      "</f>
        <v xml:space="preserve">397772      </v>
      </c>
      <c r="E17595" t="s">
        <v>670</v>
      </c>
      <c r="F17595" t="s">
        <v>671</v>
      </c>
      <c r="G17595">
        <v>1046.67</v>
      </c>
      <c r="H17595">
        <v>250101</v>
      </c>
      <c r="I17595">
        <v>4369</v>
      </c>
      <c r="J17595" t="s">
        <v>188</v>
      </c>
      <c r="K17595">
        <v>1046.67</v>
      </c>
      <c r="L17595">
        <v>212.67</v>
      </c>
      <c r="M17595">
        <v>17530</v>
      </c>
      <c r="N17595" t="s">
        <v>144</v>
      </c>
      <c r="O17595">
        <v>250128</v>
      </c>
      <c r="P17595">
        <v>834</v>
      </c>
    </row>
    <row r="17596" spans="1:16" x14ac:dyDescent="0.25">
      <c r="A17596" t="s">
        <v>3296</v>
      </c>
      <c r="B17596" t="s">
        <v>2931</v>
      </c>
      <c r="C17596">
        <v>695</v>
      </c>
      <c r="D17596" t="str">
        <f>"397773      "</f>
        <v xml:space="preserve">397773      </v>
      </c>
      <c r="E17596" t="s">
        <v>670</v>
      </c>
      <c r="F17596" t="s">
        <v>671</v>
      </c>
      <c r="G17596">
        <v>1046.67</v>
      </c>
      <c r="H17596">
        <v>250101</v>
      </c>
      <c r="I17596">
        <v>4400</v>
      </c>
      <c r="J17596" t="s">
        <v>162</v>
      </c>
      <c r="K17596">
        <v>1046.67</v>
      </c>
      <c r="L17596">
        <v>212.67</v>
      </c>
      <c r="M17596">
        <v>17530</v>
      </c>
      <c r="N17596" t="s">
        <v>144</v>
      </c>
      <c r="O17596">
        <v>250128</v>
      </c>
      <c r="P17596">
        <v>834</v>
      </c>
    </row>
    <row r="17597" spans="1:16" x14ac:dyDescent="0.25">
      <c r="A17597" t="s">
        <v>3296</v>
      </c>
      <c r="B17597" t="s">
        <v>2931</v>
      </c>
      <c r="C17597">
        <v>704</v>
      </c>
      <c r="D17597" t="str">
        <f>"398095      "</f>
        <v xml:space="preserve">398095      </v>
      </c>
      <c r="E17597" t="s">
        <v>670</v>
      </c>
      <c r="F17597" t="s">
        <v>671</v>
      </c>
      <c r="G17597">
        <v>1073.3900000000001</v>
      </c>
      <c r="H17597">
        <v>250121</v>
      </c>
      <c r="I17597">
        <v>4500</v>
      </c>
      <c r="J17597" t="s">
        <v>312</v>
      </c>
      <c r="K17597">
        <v>3220.18</v>
      </c>
      <c r="L17597">
        <v>218.1</v>
      </c>
      <c r="M17597">
        <v>17530</v>
      </c>
      <c r="N17597" t="s">
        <v>144</v>
      </c>
      <c r="O17597">
        <v>250128</v>
      </c>
      <c r="P17597">
        <v>855.29</v>
      </c>
    </row>
    <row r="17598" spans="1:16" x14ac:dyDescent="0.25">
      <c r="A17598" t="s">
        <v>3296</v>
      </c>
      <c r="B17598" t="s">
        <v>2931</v>
      </c>
      <c r="C17598">
        <v>704</v>
      </c>
      <c r="D17598" t="str">
        <f>"398095      "</f>
        <v xml:space="preserve">398095      </v>
      </c>
      <c r="E17598" t="s">
        <v>670</v>
      </c>
      <c r="F17598" t="s">
        <v>671</v>
      </c>
      <c r="G17598">
        <v>1073.3900000000001</v>
      </c>
      <c r="H17598">
        <v>250121</v>
      </c>
      <c r="I17598">
        <v>4500</v>
      </c>
      <c r="J17598" t="s">
        <v>312</v>
      </c>
      <c r="K17598">
        <v>3220.18</v>
      </c>
      <c r="L17598">
        <v>218.1</v>
      </c>
      <c r="M17598">
        <v>17537</v>
      </c>
      <c r="N17598" t="s">
        <v>151</v>
      </c>
      <c r="O17598">
        <v>250128</v>
      </c>
      <c r="P17598">
        <v>855.29</v>
      </c>
    </row>
    <row r="17599" spans="1:16" x14ac:dyDescent="0.25">
      <c r="A17599" t="s">
        <v>3296</v>
      </c>
      <c r="B17599" t="s">
        <v>2931</v>
      </c>
      <c r="C17599">
        <v>704</v>
      </c>
      <c r="D17599" t="str">
        <f>"398095      "</f>
        <v xml:space="preserve">398095      </v>
      </c>
      <c r="E17599" t="s">
        <v>670</v>
      </c>
      <c r="F17599" t="s">
        <v>671</v>
      </c>
      <c r="G17599">
        <v>1073.4000000000001</v>
      </c>
      <c r="H17599">
        <v>250121</v>
      </c>
      <c r="I17599">
        <v>4500</v>
      </c>
      <c r="J17599" t="s">
        <v>312</v>
      </c>
      <c r="K17599">
        <v>3220.18</v>
      </c>
      <c r="L17599">
        <v>218.1</v>
      </c>
      <c r="M17599">
        <v>17538</v>
      </c>
      <c r="N17599" t="s">
        <v>129</v>
      </c>
      <c r="O17599">
        <v>250128</v>
      </c>
      <c r="P17599">
        <v>855.3</v>
      </c>
    </row>
    <row r="17600" spans="1:16" x14ac:dyDescent="0.25">
      <c r="A17600" t="s">
        <v>3296</v>
      </c>
      <c r="B17600" t="s">
        <v>2931</v>
      </c>
      <c r="C17600">
        <v>7889</v>
      </c>
      <c r="D17600" t="str">
        <f>"4001894     "</f>
        <v xml:space="preserve">4001894     </v>
      </c>
      <c r="E17600" t="s">
        <v>670</v>
      </c>
      <c r="F17600" t="s">
        <v>671</v>
      </c>
      <c r="G17600">
        <v>411.78</v>
      </c>
      <c r="H17600">
        <v>250530</v>
      </c>
      <c r="I17600">
        <v>4500</v>
      </c>
      <c r="J17600" t="s">
        <v>312</v>
      </c>
      <c r="K17600">
        <v>411.78</v>
      </c>
      <c r="L17600">
        <v>83.67</v>
      </c>
      <c r="M17600">
        <v>17530</v>
      </c>
      <c r="N17600" t="s">
        <v>144</v>
      </c>
      <c r="O17600">
        <v>250610</v>
      </c>
      <c r="P17600">
        <v>328.11</v>
      </c>
    </row>
    <row r="17601" spans="1:16" x14ac:dyDescent="0.25">
      <c r="A17601" t="s">
        <v>3296</v>
      </c>
      <c r="B17601" t="s">
        <v>2931</v>
      </c>
      <c r="C17601">
        <v>11441</v>
      </c>
      <c r="D17601" t="str">
        <f>"4003978     "</f>
        <v xml:space="preserve">4003978     </v>
      </c>
      <c r="E17601" t="s">
        <v>670</v>
      </c>
      <c r="F17601" t="s">
        <v>671</v>
      </c>
      <c r="G17601">
        <v>363.35</v>
      </c>
      <c r="H17601">
        <v>250825</v>
      </c>
      <c r="I17601">
        <v>4500</v>
      </c>
      <c r="J17601" t="s">
        <v>312</v>
      </c>
      <c r="K17601">
        <v>727.9</v>
      </c>
      <c r="L17601">
        <v>73.83</v>
      </c>
      <c r="M17601">
        <v>17530</v>
      </c>
      <c r="N17601" t="s">
        <v>144</v>
      </c>
      <c r="O17601">
        <v>250905</v>
      </c>
      <c r="P17601">
        <v>289.52</v>
      </c>
    </row>
    <row r="17602" spans="1:16" x14ac:dyDescent="0.25">
      <c r="A17602" t="s">
        <v>3296</v>
      </c>
      <c r="B17602" t="s">
        <v>2931</v>
      </c>
      <c r="C17602">
        <v>11441</v>
      </c>
      <c r="D17602" t="str">
        <f>"4003978     "</f>
        <v xml:space="preserve">4003978     </v>
      </c>
      <c r="E17602" t="s">
        <v>670</v>
      </c>
      <c r="F17602" t="s">
        <v>671</v>
      </c>
      <c r="G17602">
        <v>364.55</v>
      </c>
      <c r="H17602">
        <v>250825</v>
      </c>
      <c r="I17602">
        <v>4500</v>
      </c>
      <c r="J17602" t="s">
        <v>312</v>
      </c>
      <c r="K17602">
        <v>727.9</v>
      </c>
      <c r="L17602">
        <v>74.069999999999993</v>
      </c>
      <c r="M17602">
        <v>17537</v>
      </c>
      <c r="N17602" t="s">
        <v>151</v>
      </c>
      <c r="O17602">
        <v>250905</v>
      </c>
      <c r="P17602">
        <v>290.48</v>
      </c>
    </row>
    <row r="17603" spans="1:16" x14ac:dyDescent="0.25">
      <c r="A17603" t="s">
        <v>3296</v>
      </c>
      <c r="B17603" t="s">
        <v>2931</v>
      </c>
      <c r="C17603">
        <v>18003</v>
      </c>
      <c r="D17603" t="str">
        <f>"4007164     "</f>
        <v xml:space="preserve">4007164     </v>
      </c>
      <c r="E17603" t="s">
        <v>670</v>
      </c>
      <c r="F17603" t="s">
        <v>671</v>
      </c>
      <c r="G17603">
        <v>103.52</v>
      </c>
      <c r="H17603">
        <v>251217</v>
      </c>
      <c r="I17603">
        <v>4500</v>
      </c>
      <c r="J17603" t="s">
        <v>312</v>
      </c>
      <c r="K17603">
        <v>207.04</v>
      </c>
      <c r="L17603">
        <v>21.03</v>
      </c>
      <c r="M17603">
        <v>17530</v>
      </c>
      <c r="N17603" t="s">
        <v>144</v>
      </c>
      <c r="O17603">
        <v>260108</v>
      </c>
      <c r="P17603">
        <v>82.49</v>
      </c>
    </row>
    <row r="17604" spans="1:16" x14ac:dyDescent="0.25">
      <c r="A17604" t="s">
        <v>3296</v>
      </c>
      <c r="B17604" t="s">
        <v>2931</v>
      </c>
      <c r="C17604">
        <v>18003</v>
      </c>
      <c r="D17604" t="str">
        <f>"4007164     "</f>
        <v xml:space="preserve">4007164     </v>
      </c>
      <c r="E17604" t="s">
        <v>670</v>
      </c>
      <c r="F17604" t="s">
        <v>671</v>
      </c>
      <c r="G17604">
        <v>103.52</v>
      </c>
      <c r="H17604">
        <v>251217</v>
      </c>
      <c r="I17604">
        <v>4500</v>
      </c>
      <c r="J17604" t="s">
        <v>312</v>
      </c>
      <c r="K17604">
        <v>207.04</v>
      </c>
      <c r="L17604">
        <v>21.03</v>
      </c>
      <c r="M17604">
        <v>17537</v>
      </c>
      <c r="N17604" t="s">
        <v>151</v>
      </c>
      <c r="O17604">
        <v>260108</v>
      </c>
      <c r="P17604">
        <v>82.49</v>
      </c>
    </row>
    <row r="17605" spans="1:16" x14ac:dyDescent="0.25">
      <c r="A17605" t="s">
        <v>3296</v>
      </c>
      <c r="B17605" t="s">
        <v>2931</v>
      </c>
      <c r="C17605">
        <v>15155</v>
      </c>
      <c r="D17605" t="str">
        <f>"4006022     "</f>
        <v xml:space="preserve">4006022     </v>
      </c>
      <c r="E17605" t="s">
        <v>670</v>
      </c>
      <c r="F17605" t="s">
        <v>671</v>
      </c>
      <c r="G17605">
        <v>320.13</v>
      </c>
      <c r="H17605">
        <v>251104</v>
      </c>
      <c r="I17605">
        <v>4600</v>
      </c>
      <c r="J17605" t="s">
        <v>278</v>
      </c>
      <c r="K17605">
        <v>585.09</v>
      </c>
      <c r="L17605">
        <v>65.05</v>
      </c>
      <c r="M17605">
        <v>17530</v>
      </c>
      <c r="N17605" t="s">
        <v>144</v>
      </c>
      <c r="O17605">
        <v>251113</v>
      </c>
      <c r="P17605">
        <v>255.08</v>
      </c>
    </row>
    <row r="17606" spans="1:16" x14ac:dyDescent="0.25">
      <c r="A17606" t="s">
        <v>3296</v>
      </c>
      <c r="B17606" t="s">
        <v>2931</v>
      </c>
      <c r="C17606">
        <v>15155</v>
      </c>
      <c r="D17606" t="str">
        <f>"4006022     "</f>
        <v xml:space="preserve">4006022     </v>
      </c>
      <c r="E17606" t="s">
        <v>670</v>
      </c>
      <c r="F17606" t="s">
        <v>671</v>
      </c>
      <c r="G17606">
        <v>224.96</v>
      </c>
      <c r="H17606">
        <v>251104</v>
      </c>
      <c r="I17606">
        <v>4600</v>
      </c>
      <c r="J17606" t="s">
        <v>278</v>
      </c>
      <c r="K17606">
        <v>585.09</v>
      </c>
      <c r="L17606">
        <v>45.71</v>
      </c>
      <c r="M17606">
        <v>17644</v>
      </c>
      <c r="N17606" t="s">
        <v>2551</v>
      </c>
      <c r="O17606">
        <v>251113</v>
      </c>
      <c r="P17606">
        <v>179.25</v>
      </c>
    </row>
    <row r="17607" spans="1:16" x14ac:dyDescent="0.25">
      <c r="A17607" t="s">
        <v>3296</v>
      </c>
      <c r="B17607" t="s">
        <v>2931</v>
      </c>
      <c r="C17607">
        <v>214</v>
      </c>
      <c r="D17607" t="str">
        <f>"6025010001  "</f>
        <v xml:space="preserve">6025010001  </v>
      </c>
      <c r="E17607" t="s">
        <v>339</v>
      </c>
      <c r="F17607" t="s">
        <v>342</v>
      </c>
      <c r="G17607">
        <v>853.4</v>
      </c>
      <c r="H17607">
        <v>250106</v>
      </c>
      <c r="I17607">
        <v>1196</v>
      </c>
      <c r="J17607" t="s">
        <v>340</v>
      </c>
      <c r="K17607">
        <v>853.4</v>
      </c>
      <c r="L17607">
        <v>173.4</v>
      </c>
      <c r="M17607">
        <v>97604</v>
      </c>
      <c r="N17607" t="s">
        <v>341</v>
      </c>
      <c r="O17607">
        <v>250116</v>
      </c>
      <c r="P17607">
        <v>680</v>
      </c>
    </row>
    <row r="17608" spans="1:16" x14ac:dyDescent="0.25">
      <c r="A17608" t="s">
        <v>3296</v>
      </c>
      <c r="B17608" t="s">
        <v>2931</v>
      </c>
      <c r="C17608">
        <v>13244</v>
      </c>
      <c r="D17608" t="str">
        <f>"6025100001  "</f>
        <v xml:space="preserve">6025100001  </v>
      </c>
      <c r="E17608" t="s">
        <v>339</v>
      </c>
      <c r="F17608" t="s">
        <v>342</v>
      </c>
      <c r="G17608">
        <v>4507.0200000000004</v>
      </c>
      <c r="H17608">
        <v>250930</v>
      </c>
      <c r="I17608">
        <v>1196</v>
      </c>
      <c r="J17608" t="s">
        <v>340</v>
      </c>
      <c r="K17608">
        <v>5327.42</v>
      </c>
      <c r="L17608">
        <v>915.77</v>
      </c>
      <c r="M17608">
        <v>97603</v>
      </c>
      <c r="N17608" t="s">
        <v>2289</v>
      </c>
      <c r="O17608">
        <v>251007</v>
      </c>
      <c r="P17608">
        <v>3591.25</v>
      </c>
    </row>
    <row r="17609" spans="1:16" x14ac:dyDescent="0.25">
      <c r="A17609" t="s">
        <v>3296</v>
      </c>
      <c r="B17609" t="s">
        <v>2931</v>
      </c>
      <c r="C17609">
        <v>13244</v>
      </c>
      <c r="D17609" t="str">
        <f>"6025100001  "</f>
        <v xml:space="preserve">6025100001  </v>
      </c>
      <c r="E17609" t="s">
        <v>339</v>
      </c>
      <c r="F17609" t="s">
        <v>342</v>
      </c>
      <c r="G17609">
        <v>480.04</v>
      </c>
      <c r="H17609">
        <v>250930</v>
      </c>
      <c r="I17609">
        <v>1196</v>
      </c>
      <c r="J17609" t="s">
        <v>340</v>
      </c>
      <c r="K17609">
        <v>5327.42</v>
      </c>
      <c r="L17609">
        <v>97.54</v>
      </c>
      <c r="M17609">
        <v>97603</v>
      </c>
      <c r="N17609" t="s">
        <v>2289</v>
      </c>
      <c r="O17609">
        <v>251007</v>
      </c>
      <c r="P17609">
        <v>382.5</v>
      </c>
    </row>
    <row r="17610" spans="1:16" x14ac:dyDescent="0.25">
      <c r="A17610" t="s">
        <v>3296</v>
      </c>
      <c r="B17610" t="s">
        <v>2931</v>
      </c>
      <c r="C17610">
        <v>13244</v>
      </c>
      <c r="D17610" t="str">
        <f>"6025100001  "</f>
        <v xml:space="preserve">6025100001  </v>
      </c>
      <c r="E17610" t="s">
        <v>339</v>
      </c>
      <c r="F17610" t="s">
        <v>342</v>
      </c>
      <c r="G17610">
        <v>340.36</v>
      </c>
      <c r="H17610">
        <v>250930</v>
      </c>
      <c r="I17610">
        <v>1196</v>
      </c>
      <c r="J17610" t="s">
        <v>340</v>
      </c>
      <c r="K17610">
        <v>5327.42</v>
      </c>
      <c r="L17610">
        <v>69.16</v>
      </c>
      <c r="M17610">
        <v>97603</v>
      </c>
      <c r="N17610" t="s">
        <v>2289</v>
      </c>
      <c r="O17610">
        <v>251007</v>
      </c>
      <c r="P17610">
        <v>271.2</v>
      </c>
    </row>
    <row r="17611" spans="1:16" x14ac:dyDescent="0.25">
      <c r="A17611" t="s">
        <v>3296</v>
      </c>
      <c r="B17611" t="s">
        <v>2931</v>
      </c>
      <c r="C17611">
        <v>14490</v>
      </c>
      <c r="D17611" t="str">
        <f>"6025100011  "</f>
        <v xml:space="preserve">6025100011  </v>
      </c>
      <c r="E17611" t="s">
        <v>339</v>
      </c>
      <c r="F17611" t="s">
        <v>342</v>
      </c>
      <c r="G17611">
        <v>7530</v>
      </c>
      <c r="H17611">
        <v>251027</v>
      </c>
      <c r="I17611">
        <v>1196</v>
      </c>
      <c r="J17611" t="s">
        <v>340</v>
      </c>
      <c r="K17611">
        <v>7530</v>
      </c>
      <c r="L17611">
        <v>1530</v>
      </c>
      <c r="M17611">
        <v>97603</v>
      </c>
      <c r="N17611" t="s">
        <v>2289</v>
      </c>
      <c r="O17611">
        <v>251103</v>
      </c>
      <c r="P17611">
        <v>6000</v>
      </c>
    </row>
    <row r="17612" spans="1:16" x14ac:dyDescent="0.25">
      <c r="A17612" t="s">
        <v>3296</v>
      </c>
      <c r="B17612" t="s">
        <v>2931</v>
      </c>
      <c r="C17612">
        <v>14491</v>
      </c>
      <c r="D17612" t="str">
        <f>"6025100012  "</f>
        <v xml:space="preserve">6025100012  </v>
      </c>
      <c r="E17612" t="s">
        <v>339</v>
      </c>
      <c r="F17612" t="s">
        <v>342</v>
      </c>
      <c r="G17612">
        <v>2510</v>
      </c>
      <c r="H17612">
        <v>251027</v>
      </c>
      <c r="I17612">
        <v>1196</v>
      </c>
      <c r="J17612" t="s">
        <v>340</v>
      </c>
      <c r="K17612">
        <v>2510</v>
      </c>
      <c r="L17612">
        <v>510</v>
      </c>
      <c r="M17612">
        <v>97603</v>
      </c>
      <c r="N17612" t="s">
        <v>2289</v>
      </c>
      <c r="O17612">
        <v>251103</v>
      </c>
      <c r="P17612">
        <v>2000</v>
      </c>
    </row>
    <row r="17613" spans="1:16" x14ac:dyDescent="0.25">
      <c r="A17613" t="s">
        <v>3296</v>
      </c>
      <c r="B17613" t="s">
        <v>2931</v>
      </c>
      <c r="C17613">
        <v>18160</v>
      </c>
      <c r="D17613" t="str">
        <f>"6025120022  "</f>
        <v xml:space="preserve">6025120022  </v>
      </c>
      <c r="E17613" t="s">
        <v>339</v>
      </c>
      <c r="F17613" t="s">
        <v>342</v>
      </c>
      <c r="G17613">
        <v>6560.51</v>
      </c>
      <c r="H17613">
        <v>251231</v>
      </c>
      <c r="I17613">
        <v>1196</v>
      </c>
      <c r="J17613" t="s">
        <v>340</v>
      </c>
      <c r="K17613">
        <v>6560.51</v>
      </c>
      <c r="L17613">
        <v>1333.01</v>
      </c>
      <c r="M17613">
        <v>97603</v>
      </c>
      <c r="N17613" t="s">
        <v>2289</v>
      </c>
      <c r="O17613">
        <v>260109</v>
      </c>
      <c r="P17613">
        <v>5227.5</v>
      </c>
    </row>
    <row r="17614" spans="1:16" x14ac:dyDescent="0.25">
      <c r="A17614" t="s">
        <v>3296</v>
      </c>
      <c r="B17614" t="s">
        <v>2931</v>
      </c>
      <c r="C17614">
        <v>3882</v>
      </c>
      <c r="D17614" t="str">
        <f>"45500       "</f>
        <v xml:space="preserve">45500       </v>
      </c>
      <c r="E17614" t="s">
        <v>1523</v>
      </c>
      <c r="F17614" t="s">
        <v>1524</v>
      </c>
      <c r="G17614">
        <v>2706.63</v>
      </c>
      <c r="H17614">
        <v>250313</v>
      </c>
      <c r="I17614">
        <v>4555</v>
      </c>
      <c r="J17614" t="s">
        <v>352</v>
      </c>
      <c r="K17614">
        <v>2706.63</v>
      </c>
      <c r="L17614">
        <v>549.95000000000005</v>
      </c>
      <c r="M17614">
        <v>44453</v>
      </c>
      <c r="N17614" t="s">
        <v>100</v>
      </c>
      <c r="O17614">
        <v>250403</v>
      </c>
      <c r="P17614">
        <v>2156.6799999999998</v>
      </c>
    </row>
    <row r="17615" spans="1:16" x14ac:dyDescent="0.25">
      <c r="A17615" t="s">
        <v>3296</v>
      </c>
      <c r="B17615" t="s">
        <v>2931</v>
      </c>
      <c r="C17615">
        <v>5836</v>
      </c>
      <c r="D17615" t="str">
        <f>"49654       "</f>
        <v xml:space="preserve">49654       </v>
      </c>
      <c r="E17615" t="s">
        <v>1523</v>
      </c>
      <c r="F17615" t="s">
        <v>1524</v>
      </c>
      <c r="G17615">
        <v>341.66</v>
      </c>
      <c r="H17615">
        <v>250422</v>
      </c>
      <c r="I17615">
        <v>4555</v>
      </c>
      <c r="J17615" t="s">
        <v>352</v>
      </c>
      <c r="K17615">
        <v>341.66</v>
      </c>
      <c r="L17615">
        <v>69.42</v>
      </c>
      <c r="M17615">
        <v>44453</v>
      </c>
      <c r="N17615" t="s">
        <v>100</v>
      </c>
      <c r="O17615">
        <v>250505</v>
      </c>
      <c r="P17615">
        <v>272.24</v>
      </c>
    </row>
    <row r="17616" spans="1:16" x14ac:dyDescent="0.25">
      <c r="A17616" t="s">
        <v>3296</v>
      </c>
      <c r="B17616" t="s">
        <v>2931</v>
      </c>
      <c r="C17616">
        <v>6751</v>
      </c>
      <c r="D17616" t="str">
        <f>"49804       "</f>
        <v xml:space="preserve">49804       </v>
      </c>
      <c r="E17616" t="s">
        <v>1523</v>
      </c>
      <c r="F17616" t="s">
        <v>1524</v>
      </c>
      <c r="G17616">
        <v>617.26</v>
      </c>
      <c r="H17616">
        <v>250430</v>
      </c>
      <c r="I17616">
        <v>4555</v>
      </c>
      <c r="J17616" t="s">
        <v>352</v>
      </c>
      <c r="K17616">
        <v>617.26</v>
      </c>
      <c r="L17616">
        <v>125.42</v>
      </c>
      <c r="M17616">
        <v>44453</v>
      </c>
      <c r="N17616" t="s">
        <v>100</v>
      </c>
      <c r="O17616">
        <v>250516</v>
      </c>
      <c r="P17616">
        <v>491.84</v>
      </c>
    </row>
    <row r="17617" spans="1:16" x14ac:dyDescent="0.25">
      <c r="A17617" t="s">
        <v>3296</v>
      </c>
      <c r="B17617" t="s">
        <v>2931</v>
      </c>
      <c r="C17617">
        <v>6806</v>
      </c>
      <c r="D17617" t="str">
        <f>"49911       "</f>
        <v xml:space="preserve">49911       </v>
      </c>
      <c r="E17617" t="s">
        <v>1523</v>
      </c>
      <c r="F17617" t="s">
        <v>1524</v>
      </c>
      <c r="G17617">
        <v>592.09</v>
      </c>
      <c r="H17617">
        <v>250506</v>
      </c>
      <c r="I17617">
        <v>4555</v>
      </c>
      <c r="J17617" t="s">
        <v>352</v>
      </c>
      <c r="K17617">
        <v>592.09</v>
      </c>
      <c r="L17617">
        <v>120.31</v>
      </c>
      <c r="M17617">
        <v>44453</v>
      </c>
      <c r="N17617" t="s">
        <v>100</v>
      </c>
      <c r="O17617">
        <v>250516</v>
      </c>
      <c r="P17617">
        <v>471.78</v>
      </c>
    </row>
    <row r="17618" spans="1:16" x14ac:dyDescent="0.25">
      <c r="A17618" t="s">
        <v>3296</v>
      </c>
      <c r="B17618" t="s">
        <v>2931</v>
      </c>
      <c r="C17618">
        <v>12733</v>
      </c>
      <c r="D17618" t="str">
        <f>"54095       "</f>
        <v xml:space="preserve">54095       </v>
      </c>
      <c r="E17618" t="s">
        <v>1523</v>
      </c>
      <c r="F17618" t="s">
        <v>1524</v>
      </c>
      <c r="G17618">
        <v>2489.1</v>
      </c>
      <c r="H17618">
        <v>250915</v>
      </c>
      <c r="I17618">
        <v>4555</v>
      </c>
      <c r="J17618" t="s">
        <v>352</v>
      </c>
      <c r="K17618">
        <v>2489.1</v>
      </c>
      <c r="L17618">
        <v>505.75</v>
      </c>
      <c r="M17618">
        <v>44453</v>
      </c>
      <c r="N17618" t="s">
        <v>100</v>
      </c>
      <c r="O17618">
        <v>250929</v>
      </c>
      <c r="P17618">
        <v>1983.35</v>
      </c>
    </row>
    <row r="17619" spans="1:16" x14ac:dyDescent="0.25">
      <c r="A17619" t="s">
        <v>3296</v>
      </c>
      <c r="B17619" t="s">
        <v>2931</v>
      </c>
      <c r="C17619">
        <v>12794</v>
      </c>
      <c r="D17619" t="str">
        <f>"54551       "</f>
        <v xml:space="preserve">54551       </v>
      </c>
      <c r="E17619" t="s">
        <v>1523</v>
      </c>
      <c r="F17619" t="s">
        <v>1524</v>
      </c>
      <c r="G17619">
        <v>653.32000000000005</v>
      </c>
      <c r="H17619">
        <v>250917</v>
      </c>
      <c r="I17619">
        <v>4555</v>
      </c>
      <c r="J17619" t="s">
        <v>352</v>
      </c>
      <c r="K17619">
        <v>653.32000000000005</v>
      </c>
      <c r="L17619">
        <v>132.75</v>
      </c>
      <c r="M17619">
        <v>44453</v>
      </c>
      <c r="N17619" t="s">
        <v>100</v>
      </c>
      <c r="O17619">
        <v>250930</v>
      </c>
      <c r="P17619">
        <v>520.57000000000005</v>
      </c>
    </row>
    <row r="17620" spans="1:16" x14ac:dyDescent="0.25">
      <c r="A17620" t="s">
        <v>3296</v>
      </c>
      <c r="B17620" t="s">
        <v>2931</v>
      </c>
      <c r="C17620">
        <v>16420</v>
      </c>
      <c r="D17620" t="str">
        <f>"57391       "</f>
        <v xml:space="preserve">57391       </v>
      </c>
      <c r="E17620" t="s">
        <v>1523</v>
      </c>
      <c r="F17620" t="s">
        <v>1524</v>
      </c>
      <c r="G17620">
        <v>2268.2199999999998</v>
      </c>
      <c r="H17620">
        <v>251112</v>
      </c>
      <c r="I17620">
        <v>4555</v>
      </c>
      <c r="J17620" t="s">
        <v>352</v>
      </c>
      <c r="K17620">
        <v>2268.2199999999998</v>
      </c>
      <c r="L17620">
        <v>460.87</v>
      </c>
      <c r="M17620">
        <v>44453</v>
      </c>
      <c r="N17620" t="s">
        <v>100</v>
      </c>
      <c r="O17620">
        <v>251208</v>
      </c>
      <c r="P17620">
        <v>1807.35</v>
      </c>
    </row>
    <row r="17621" spans="1:16" x14ac:dyDescent="0.25">
      <c r="A17621" t="s">
        <v>3296</v>
      </c>
      <c r="B17621" t="s">
        <v>2931</v>
      </c>
      <c r="C17621">
        <v>5742</v>
      </c>
      <c r="D17621" t="str">
        <f>"25000097    "</f>
        <v xml:space="preserve">25000097    </v>
      </c>
      <c r="E17621" t="s">
        <v>1793</v>
      </c>
      <c r="F17621" t="s">
        <v>1794</v>
      </c>
      <c r="G17621">
        <v>422.11</v>
      </c>
      <c r="H17621">
        <v>250417</v>
      </c>
      <c r="I17621">
        <v>4600</v>
      </c>
      <c r="J17621" t="s">
        <v>278</v>
      </c>
      <c r="K17621">
        <v>422.11</v>
      </c>
      <c r="L17621">
        <v>85.77</v>
      </c>
      <c r="M17621">
        <v>44422</v>
      </c>
      <c r="N17621" t="s">
        <v>97</v>
      </c>
      <c r="O17621">
        <v>250430</v>
      </c>
      <c r="P17621">
        <v>336.34</v>
      </c>
    </row>
    <row r="17622" spans="1:16" x14ac:dyDescent="0.25">
      <c r="A17622" t="s">
        <v>3296</v>
      </c>
      <c r="B17622" t="s">
        <v>2931</v>
      </c>
      <c r="C17622">
        <v>6941</v>
      </c>
      <c r="D17622" t="str">
        <f>"25000118    "</f>
        <v xml:space="preserve">25000118    </v>
      </c>
      <c r="E17622" t="s">
        <v>1793</v>
      </c>
      <c r="F17622" t="s">
        <v>1794</v>
      </c>
      <c r="G17622">
        <v>514.54999999999995</v>
      </c>
      <c r="H17622">
        <v>250515</v>
      </c>
      <c r="I17622">
        <v>4600</v>
      </c>
      <c r="J17622" t="s">
        <v>278</v>
      </c>
      <c r="K17622">
        <v>1029.0999999999999</v>
      </c>
      <c r="L17622">
        <v>104.55</v>
      </c>
      <c r="M17622">
        <v>54222</v>
      </c>
      <c r="N17622" t="s">
        <v>48</v>
      </c>
      <c r="O17622">
        <v>250521</v>
      </c>
      <c r="P17622">
        <v>410</v>
      </c>
    </row>
    <row r="17623" spans="1:16" x14ac:dyDescent="0.25">
      <c r="A17623" t="s">
        <v>3296</v>
      </c>
      <c r="B17623" t="s">
        <v>2931</v>
      </c>
      <c r="C17623">
        <v>6941</v>
      </c>
      <c r="D17623" t="str">
        <f>"25000118    "</f>
        <v xml:space="preserve">25000118    </v>
      </c>
      <c r="E17623" t="s">
        <v>1793</v>
      </c>
      <c r="F17623" t="s">
        <v>1794</v>
      </c>
      <c r="G17623">
        <v>514.54999999999995</v>
      </c>
      <c r="H17623">
        <v>250515</v>
      </c>
      <c r="I17623">
        <v>4600</v>
      </c>
      <c r="J17623" t="s">
        <v>278</v>
      </c>
      <c r="K17623">
        <v>1029.0999999999999</v>
      </c>
      <c r="L17623">
        <v>104.55</v>
      </c>
      <c r="M17623">
        <v>54222</v>
      </c>
      <c r="N17623" t="s">
        <v>48</v>
      </c>
      <c r="O17623">
        <v>250521</v>
      </c>
      <c r="P17623">
        <v>410</v>
      </c>
    </row>
    <row r="17624" spans="1:16" x14ac:dyDescent="0.25">
      <c r="A17624" t="s">
        <v>3296</v>
      </c>
      <c r="B17624" t="s">
        <v>2931</v>
      </c>
      <c r="C17624">
        <v>386</v>
      </c>
      <c r="D17624" t="str">
        <f>"4289        "</f>
        <v xml:space="preserve">4289        </v>
      </c>
      <c r="E17624" t="s">
        <v>477</v>
      </c>
      <c r="F17624" t="s">
        <v>478</v>
      </c>
      <c r="G17624">
        <v>1849.87</v>
      </c>
      <c r="H17624">
        <v>250117</v>
      </c>
      <c r="I17624">
        <v>4380</v>
      </c>
      <c r="J17624" t="s">
        <v>211</v>
      </c>
      <c r="K17624">
        <v>1849.87</v>
      </c>
      <c r="L17624">
        <v>375.87</v>
      </c>
      <c r="M17624">
        <v>13841</v>
      </c>
      <c r="N17624" t="s">
        <v>178</v>
      </c>
      <c r="O17624">
        <v>250122</v>
      </c>
      <c r="P17624">
        <v>1474</v>
      </c>
    </row>
    <row r="17625" spans="1:16" x14ac:dyDescent="0.25">
      <c r="A17625" t="s">
        <v>3296</v>
      </c>
      <c r="B17625" t="s">
        <v>2931</v>
      </c>
      <c r="C17625">
        <v>2332</v>
      </c>
      <c r="D17625" t="str">
        <f>"4374        "</f>
        <v xml:space="preserve">4374        </v>
      </c>
      <c r="E17625" t="s">
        <v>477</v>
      </c>
      <c r="F17625" t="s">
        <v>478</v>
      </c>
      <c r="G17625">
        <v>1453.3</v>
      </c>
      <c r="H17625">
        <v>250214</v>
      </c>
      <c r="I17625">
        <v>4380</v>
      </c>
      <c r="J17625" t="s">
        <v>211</v>
      </c>
      <c r="K17625">
        <v>1453.3</v>
      </c>
      <c r="L17625">
        <v>295.29000000000002</v>
      </c>
      <c r="M17625">
        <v>13841</v>
      </c>
      <c r="N17625" t="s">
        <v>178</v>
      </c>
      <c r="O17625">
        <v>250224</v>
      </c>
      <c r="P17625">
        <v>1158.01</v>
      </c>
    </row>
    <row r="17626" spans="1:16" x14ac:dyDescent="0.25">
      <c r="A17626" t="s">
        <v>3296</v>
      </c>
      <c r="B17626" t="s">
        <v>2931</v>
      </c>
      <c r="C17626">
        <v>3695</v>
      </c>
      <c r="D17626" t="str">
        <f>"4458        "</f>
        <v xml:space="preserve">4458        </v>
      </c>
      <c r="E17626" t="s">
        <v>477</v>
      </c>
      <c r="F17626" t="s">
        <v>478</v>
      </c>
      <c r="G17626">
        <v>1711.82</v>
      </c>
      <c r="H17626">
        <v>250317</v>
      </c>
      <c r="I17626">
        <v>4380</v>
      </c>
      <c r="J17626" t="s">
        <v>211</v>
      </c>
      <c r="K17626">
        <v>1711.82</v>
      </c>
      <c r="L17626">
        <v>347.82</v>
      </c>
      <c r="M17626">
        <v>13841</v>
      </c>
      <c r="N17626" t="s">
        <v>178</v>
      </c>
      <c r="O17626">
        <v>250328</v>
      </c>
      <c r="P17626">
        <v>1364</v>
      </c>
    </row>
    <row r="17627" spans="1:16" x14ac:dyDescent="0.25">
      <c r="A17627" t="s">
        <v>3296</v>
      </c>
      <c r="B17627" t="s">
        <v>2931</v>
      </c>
      <c r="C17627">
        <v>5404</v>
      </c>
      <c r="D17627" t="str">
        <f>"4531        "</f>
        <v xml:space="preserve">4531        </v>
      </c>
      <c r="E17627" t="s">
        <v>477</v>
      </c>
      <c r="F17627" t="s">
        <v>478</v>
      </c>
      <c r="G17627">
        <v>1512.29</v>
      </c>
      <c r="H17627">
        <v>250415</v>
      </c>
      <c r="I17627">
        <v>4380</v>
      </c>
      <c r="J17627" t="s">
        <v>211</v>
      </c>
      <c r="K17627">
        <v>1512.29</v>
      </c>
      <c r="L17627">
        <v>307.27999999999997</v>
      </c>
      <c r="M17627">
        <v>13841</v>
      </c>
      <c r="N17627" t="s">
        <v>178</v>
      </c>
      <c r="O17627">
        <v>250424</v>
      </c>
      <c r="P17627">
        <v>1205.01</v>
      </c>
    </row>
    <row r="17628" spans="1:16" x14ac:dyDescent="0.25">
      <c r="A17628" t="s">
        <v>3296</v>
      </c>
      <c r="B17628" t="s">
        <v>2931</v>
      </c>
      <c r="C17628">
        <v>6915</v>
      </c>
      <c r="D17628" t="str">
        <f>"4634        "</f>
        <v xml:space="preserve">4634        </v>
      </c>
      <c r="E17628" t="s">
        <v>477</v>
      </c>
      <c r="F17628" t="s">
        <v>478</v>
      </c>
      <c r="G17628">
        <v>552.20000000000005</v>
      </c>
      <c r="H17628">
        <v>250516</v>
      </c>
      <c r="I17628">
        <v>4380</v>
      </c>
      <c r="J17628" t="s">
        <v>211</v>
      </c>
      <c r="K17628">
        <v>552.20000000000005</v>
      </c>
      <c r="L17628">
        <v>112.2</v>
      </c>
      <c r="M17628">
        <v>13841</v>
      </c>
      <c r="N17628" t="s">
        <v>178</v>
      </c>
      <c r="O17628">
        <v>250520</v>
      </c>
      <c r="P17628">
        <v>440</v>
      </c>
    </row>
    <row r="17629" spans="1:16" x14ac:dyDescent="0.25">
      <c r="A17629" t="s">
        <v>3296</v>
      </c>
      <c r="B17629" t="s">
        <v>2931</v>
      </c>
      <c r="C17629">
        <v>8600</v>
      </c>
      <c r="D17629" t="str">
        <f>"4696        "</f>
        <v xml:space="preserve">4696        </v>
      </c>
      <c r="E17629" t="s">
        <v>477</v>
      </c>
      <c r="F17629" t="s">
        <v>478</v>
      </c>
      <c r="G17629">
        <v>102.91</v>
      </c>
      <c r="H17629">
        <v>250531</v>
      </c>
      <c r="I17629">
        <v>4380</v>
      </c>
      <c r="J17629" t="s">
        <v>211</v>
      </c>
      <c r="K17629">
        <v>102.91</v>
      </c>
      <c r="L17629">
        <v>20.91</v>
      </c>
      <c r="M17629">
        <v>13841</v>
      </c>
      <c r="N17629" t="s">
        <v>178</v>
      </c>
      <c r="O17629">
        <v>250617</v>
      </c>
      <c r="P17629">
        <v>82</v>
      </c>
    </row>
    <row r="17630" spans="1:16" x14ac:dyDescent="0.25">
      <c r="A17630" t="s">
        <v>3296</v>
      </c>
      <c r="B17630" t="s">
        <v>2931</v>
      </c>
      <c r="C17630">
        <v>9255</v>
      </c>
      <c r="D17630" t="str">
        <f>"4754        "</f>
        <v xml:space="preserve">4754        </v>
      </c>
      <c r="E17630" t="s">
        <v>477</v>
      </c>
      <c r="F17630" t="s">
        <v>478</v>
      </c>
      <c r="G17630">
        <v>400.35</v>
      </c>
      <c r="H17630">
        <v>250624</v>
      </c>
      <c r="I17630">
        <v>4380</v>
      </c>
      <c r="J17630" t="s">
        <v>211</v>
      </c>
      <c r="K17630">
        <v>400.35</v>
      </c>
      <c r="L17630">
        <v>81.349999999999994</v>
      </c>
      <c r="M17630">
        <v>13841</v>
      </c>
      <c r="N17630" t="s">
        <v>178</v>
      </c>
      <c r="O17630">
        <v>250701</v>
      </c>
      <c r="P17630">
        <v>319</v>
      </c>
    </row>
    <row r="17631" spans="1:16" x14ac:dyDescent="0.25">
      <c r="A17631" t="s">
        <v>3296</v>
      </c>
      <c r="B17631" t="s">
        <v>2931</v>
      </c>
      <c r="C17631">
        <v>9626</v>
      </c>
      <c r="D17631" t="str">
        <f>"4786        "</f>
        <v xml:space="preserve">4786        </v>
      </c>
      <c r="E17631" t="s">
        <v>477</v>
      </c>
      <c r="F17631" t="s">
        <v>478</v>
      </c>
      <c r="G17631">
        <v>2729.63</v>
      </c>
      <c r="H17631">
        <v>250708</v>
      </c>
      <c r="I17631">
        <v>4380</v>
      </c>
      <c r="J17631" t="s">
        <v>211</v>
      </c>
      <c r="K17631">
        <v>2729.63</v>
      </c>
      <c r="L17631">
        <v>554.63</v>
      </c>
      <c r="M17631">
        <v>13841</v>
      </c>
      <c r="N17631" t="s">
        <v>178</v>
      </c>
      <c r="O17631">
        <v>250721</v>
      </c>
      <c r="P17631">
        <v>2175</v>
      </c>
    </row>
    <row r="17632" spans="1:16" x14ac:dyDescent="0.25">
      <c r="A17632" t="s">
        <v>3296</v>
      </c>
      <c r="B17632" t="s">
        <v>2931</v>
      </c>
      <c r="C17632">
        <v>2708</v>
      </c>
      <c r="D17632" t="str">
        <f>"828428      "</f>
        <v xml:space="preserve">828428      </v>
      </c>
      <c r="E17632" t="s">
        <v>602</v>
      </c>
      <c r="F17632" t="s">
        <v>603</v>
      </c>
      <c r="G17632">
        <v>36.01</v>
      </c>
      <c r="H17632">
        <v>250227</v>
      </c>
      <c r="I17632">
        <v>4500</v>
      </c>
      <c r="J17632" t="s">
        <v>312</v>
      </c>
      <c r="K17632">
        <v>275.02999999999997</v>
      </c>
      <c r="L17632">
        <v>7.32</v>
      </c>
      <c r="M17632">
        <v>66754</v>
      </c>
      <c r="N17632" t="s">
        <v>119</v>
      </c>
      <c r="O17632">
        <v>250311</v>
      </c>
      <c r="P17632">
        <v>28.69</v>
      </c>
    </row>
    <row r="17633" spans="1:16" x14ac:dyDescent="0.25">
      <c r="A17633" t="s">
        <v>3296</v>
      </c>
      <c r="B17633" t="s">
        <v>2931</v>
      </c>
      <c r="C17633">
        <v>1881</v>
      </c>
      <c r="D17633" t="str">
        <f>"828254      "</f>
        <v xml:space="preserve">828254      </v>
      </c>
      <c r="E17633" t="s">
        <v>602</v>
      </c>
      <c r="F17633" t="s">
        <v>603</v>
      </c>
      <c r="G17633">
        <v>31.36</v>
      </c>
      <c r="H17633">
        <v>250211</v>
      </c>
      <c r="I17633">
        <v>4551</v>
      </c>
      <c r="J17633" t="s">
        <v>1127</v>
      </c>
      <c r="K17633">
        <v>361.39</v>
      </c>
      <c r="L17633">
        <v>6.37</v>
      </c>
      <c r="M17633">
        <v>66754</v>
      </c>
      <c r="N17633" t="s">
        <v>119</v>
      </c>
      <c r="O17633">
        <v>250214</v>
      </c>
      <c r="P17633">
        <v>24.99</v>
      </c>
    </row>
    <row r="17634" spans="1:16" x14ac:dyDescent="0.25">
      <c r="A17634" t="s">
        <v>3296</v>
      </c>
      <c r="B17634" t="s">
        <v>2931</v>
      </c>
      <c r="C17634">
        <v>1881</v>
      </c>
      <c r="D17634" t="str">
        <f>"828254      "</f>
        <v xml:space="preserve">828254      </v>
      </c>
      <c r="E17634" t="s">
        <v>602</v>
      </c>
      <c r="F17634" t="s">
        <v>603</v>
      </c>
      <c r="G17634">
        <v>71.16</v>
      </c>
      <c r="H17634">
        <v>250211</v>
      </c>
      <c r="I17634">
        <v>4557</v>
      </c>
      <c r="J17634" t="s">
        <v>1152</v>
      </c>
      <c r="K17634">
        <v>361.39</v>
      </c>
      <c r="L17634">
        <v>14.46</v>
      </c>
      <c r="M17634">
        <v>66754</v>
      </c>
      <c r="N17634" t="s">
        <v>119</v>
      </c>
      <c r="O17634">
        <v>250214</v>
      </c>
      <c r="P17634">
        <v>56.7</v>
      </c>
    </row>
    <row r="17635" spans="1:16" x14ac:dyDescent="0.25">
      <c r="A17635" t="s">
        <v>3296</v>
      </c>
      <c r="B17635" t="s">
        <v>2931</v>
      </c>
      <c r="C17635">
        <v>588</v>
      </c>
      <c r="D17635" t="str">
        <f>"827897      "</f>
        <v xml:space="preserve">827897      </v>
      </c>
      <c r="E17635" t="s">
        <v>602</v>
      </c>
      <c r="F17635" t="s">
        <v>603</v>
      </c>
      <c r="G17635">
        <v>141.02000000000001</v>
      </c>
      <c r="H17635">
        <v>250110</v>
      </c>
      <c r="I17635">
        <v>4600</v>
      </c>
      <c r="J17635" t="s">
        <v>278</v>
      </c>
      <c r="K17635">
        <v>141.02000000000001</v>
      </c>
      <c r="L17635">
        <v>28.65</v>
      </c>
      <c r="M17635">
        <v>65422</v>
      </c>
      <c r="N17635" t="s">
        <v>117</v>
      </c>
      <c r="O17635">
        <v>250124</v>
      </c>
      <c r="P17635">
        <v>112.37</v>
      </c>
    </row>
    <row r="17636" spans="1:16" x14ac:dyDescent="0.25">
      <c r="A17636" t="s">
        <v>3296</v>
      </c>
      <c r="B17636" t="s">
        <v>2931</v>
      </c>
      <c r="C17636">
        <v>1881</v>
      </c>
      <c r="D17636" t="str">
        <f>"828254      "</f>
        <v xml:space="preserve">828254      </v>
      </c>
      <c r="E17636" t="s">
        <v>602</v>
      </c>
      <c r="F17636" t="s">
        <v>603</v>
      </c>
      <c r="G17636">
        <v>258.87</v>
      </c>
      <c r="H17636">
        <v>250211</v>
      </c>
      <c r="I17636">
        <v>4600</v>
      </c>
      <c r="J17636" t="s">
        <v>278</v>
      </c>
      <c r="K17636">
        <v>361.39</v>
      </c>
      <c r="L17636">
        <v>52.6</v>
      </c>
      <c r="M17636">
        <v>66754</v>
      </c>
      <c r="N17636" t="s">
        <v>119</v>
      </c>
      <c r="O17636">
        <v>250214</v>
      </c>
      <c r="P17636">
        <v>206.27</v>
      </c>
    </row>
    <row r="17637" spans="1:16" x14ac:dyDescent="0.25">
      <c r="A17637" t="s">
        <v>3296</v>
      </c>
      <c r="B17637" t="s">
        <v>2931</v>
      </c>
      <c r="C17637">
        <v>2708</v>
      </c>
      <c r="D17637" t="str">
        <f>"828428      "</f>
        <v xml:space="preserve">828428      </v>
      </c>
      <c r="E17637" t="s">
        <v>602</v>
      </c>
      <c r="F17637" t="s">
        <v>603</v>
      </c>
      <c r="G17637">
        <v>91.87</v>
      </c>
      <c r="H17637">
        <v>250227</v>
      </c>
      <c r="I17637">
        <v>4600</v>
      </c>
      <c r="J17637" t="s">
        <v>278</v>
      </c>
      <c r="K17637">
        <v>275.02999999999997</v>
      </c>
      <c r="L17637">
        <v>18.670000000000002</v>
      </c>
      <c r="M17637">
        <v>66754</v>
      </c>
      <c r="N17637" t="s">
        <v>119</v>
      </c>
      <c r="O17637">
        <v>250311</v>
      </c>
      <c r="P17637">
        <v>73.2</v>
      </c>
    </row>
    <row r="17638" spans="1:16" x14ac:dyDescent="0.25">
      <c r="A17638" t="s">
        <v>3296</v>
      </c>
      <c r="B17638" t="s">
        <v>2931</v>
      </c>
      <c r="C17638">
        <v>2708</v>
      </c>
      <c r="D17638" t="str">
        <f>"828428      "</f>
        <v xml:space="preserve">828428      </v>
      </c>
      <c r="E17638" t="s">
        <v>602</v>
      </c>
      <c r="F17638" t="s">
        <v>603</v>
      </c>
      <c r="G17638">
        <v>147.15</v>
      </c>
      <c r="H17638">
        <v>250227</v>
      </c>
      <c r="I17638">
        <v>4600</v>
      </c>
      <c r="J17638" t="s">
        <v>278</v>
      </c>
      <c r="K17638">
        <v>275.02999999999997</v>
      </c>
      <c r="L17638">
        <v>29.9</v>
      </c>
      <c r="M17638">
        <v>66754</v>
      </c>
      <c r="N17638" t="s">
        <v>119</v>
      </c>
      <c r="O17638">
        <v>250311</v>
      </c>
      <c r="P17638">
        <v>117.25</v>
      </c>
    </row>
    <row r="17639" spans="1:16" x14ac:dyDescent="0.25">
      <c r="A17639" t="s">
        <v>3296</v>
      </c>
      <c r="B17639" t="s">
        <v>2931</v>
      </c>
      <c r="C17639">
        <v>2721</v>
      </c>
      <c r="D17639" t="str">
        <f>"828427      "</f>
        <v xml:space="preserve">828427      </v>
      </c>
      <c r="E17639" t="s">
        <v>602</v>
      </c>
      <c r="F17639" t="s">
        <v>603</v>
      </c>
      <c r="G17639">
        <v>569.73</v>
      </c>
      <c r="H17639">
        <v>250227</v>
      </c>
      <c r="I17639">
        <v>4600</v>
      </c>
      <c r="J17639" t="s">
        <v>278</v>
      </c>
      <c r="K17639">
        <v>569.73</v>
      </c>
      <c r="L17639">
        <v>115.76</v>
      </c>
      <c r="M17639">
        <v>66754</v>
      </c>
      <c r="N17639" t="s">
        <v>119</v>
      </c>
      <c r="O17639">
        <v>250311</v>
      </c>
      <c r="P17639">
        <v>453.97</v>
      </c>
    </row>
    <row r="17640" spans="1:16" x14ac:dyDescent="0.25">
      <c r="A17640" t="s">
        <v>3296</v>
      </c>
      <c r="B17640" t="s">
        <v>2931</v>
      </c>
      <c r="C17640">
        <v>4104</v>
      </c>
      <c r="D17640" t="str">
        <f>"828706      "</f>
        <v xml:space="preserve">828706      </v>
      </c>
      <c r="E17640" t="s">
        <v>602</v>
      </c>
      <c r="F17640" t="s">
        <v>603</v>
      </c>
      <c r="G17640">
        <v>37.590000000000003</v>
      </c>
      <c r="H17640">
        <v>250325</v>
      </c>
      <c r="I17640">
        <v>4600</v>
      </c>
      <c r="J17640" t="s">
        <v>278</v>
      </c>
      <c r="K17640">
        <v>37.590000000000003</v>
      </c>
      <c r="L17640">
        <v>7.64</v>
      </c>
      <c r="M17640">
        <v>66754</v>
      </c>
      <c r="N17640" t="s">
        <v>119</v>
      </c>
      <c r="O17640">
        <v>250407</v>
      </c>
      <c r="P17640">
        <v>29.95</v>
      </c>
    </row>
    <row r="17641" spans="1:16" x14ac:dyDescent="0.25">
      <c r="A17641" t="s">
        <v>3296</v>
      </c>
      <c r="B17641" t="s">
        <v>2931</v>
      </c>
      <c r="C17641">
        <v>4114</v>
      </c>
      <c r="D17641" t="str">
        <f>"828708      "</f>
        <v xml:space="preserve">828708      </v>
      </c>
      <c r="E17641" t="s">
        <v>602</v>
      </c>
      <c r="F17641" t="s">
        <v>603</v>
      </c>
      <c r="G17641">
        <v>12.65</v>
      </c>
      <c r="H17641">
        <v>250325</v>
      </c>
      <c r="I17641">
        <v>4600</v>
      </c>
      <c r="J17641" t="s">
        <v>278</v>
      </c>
      <c r="K17641">
        <v>12.65</v>
      </c>
      <c r="L17641">
        <v>2.57</v>
      </c>
      <c r="M17641">
        <v>66754</v>
      </c>
      <c r="N17641" t="s">
        <v>119</v>
      </c>
      <c r="O17641">
        <v>250407</v>
      </c>
      <c r="P17641">
        <v>10.08</v>
      </c>
    </row>
    <row r="17642" spans="1:16" x14ac:dyDescent="0.25">
      <c r="A17642" t="s">
        <v>3296</v>
      </c>
      <c r="B17642" t="s">
        <v>2931</v>
      </c>
      <c r="C17642">
        <v>4116</v>
      </c>
      <c r="D17642" t="str">
        <f>"828707      "</f>
        <v xml:space="preserve">828707      </v>
      </c>
      <c r="E17642" t="s">
        <v>602</v>
      </c>
      <c r="F17642" t="s">
        <v>603</v>
      </c>
      <c r="G17642">
        <v>217.17</v>
      </c>
      <c r="H17642">
        <v>250325</v>
      </c>
      <c r="I17642">
        <v>4600</v>
      </c>
      <c r="J17642" t="s">
        <v>278</v>
      </c>
      <c r="K17642">
        <v>217.17</v>
      </c>
      <c r="L17642">
        <v>44.13</v>
      </c>
      <c r="M17642">
        <v>66754</v>
      </c>
      <c r="N17642" t="s">
        <v>119</v>
      </c>
      <c r="O17642">
        <v>250407</v>
      </c>
      <c r="P17642">
        <v>173.04</v>
      </c>
    </row>
    <row r="17643" spans="1:16" x14ac:dyDescent="0.25">
      <c r="A17643" t="s">
        <v>3296</v>
      </c>
      <c r="B17643" t="s">
        <v>2931</v>
      </c>
      <c r="C17643">
        <v>6037</v>
      </c>
      <c r="D17643" t="str">
        <f>"829146      "</f>
        <v xml:space="preserve">829146      </v>
      </c>
      <c r="E17643" t="s">
        <v>602</v>
      </c>
      <c r="F17643" t="s">
        <v>603</v>
      </c>
      <c r="G17643">
        <v>111.82</v>
      </c>
      <c r="H17643">
        <v>250430</v>
      </c>
      <c r="I17643">
        <v>4600</v>
      </c>
      <c r="J17643" t="s">
        <v>278</v>
      </c>
      <c r="K17643">
        <v>111.82</v>
      </c>
      <c r="L17643">
        <v>22.72</v>
      </c>
      <c r="M17643">
        <v>66754</v>
      </c>
      <c r="N17643" t="s">
        <v>119</v>
      </c>
      <c r="O17643">
        <v>250508</v>
      </c>
      <c r="P17643">
        <v>89.1</v>
      </c>
    </row>
    <row r="17644" spans="1:16" x14ac:dyDescent="0.25">
      <c r="A17644" t="s">
        <v>3296</v>
      </c>
      <c r="B17644" t="s">
        <v>2931</v>
      </c>
      <c r="C17644">
        <v>6857</v>
      </c>
      <c r="D17644" t="str">
        <f>"829299      "</f>
        <v xml:space="preserve">829299      </v>
      </c>
      <c r="E17644" t="s">
        <v>602</v>
      </c>
      <c r="F17644" t="s">
        <v>603</v>
      </c>
      <c r="G17644">
        <v>34.79</v>
      </c>
      <c r="H17644">
        <v>250514</v>
      </c>
      <c r="I17644">
        <v>4600</v>
      </c>
      <c r="J17644" t="s">
        <v>278</v>
      </c>
      <c r="K17644">
        <v>34.79</v>
      </c>
      <c r="L17644">
        <v>7.07</v>
      </c>
      <c r="M17644">
        <v>66754</v>
      </c>
      <c r="N17644" t="s">
        <v>119</v>
      </c>
      <c r="O17644">
        <v>250519</v>
      </c>
      <c r="P17644">
        <v>27.72</v>
      </c>
    </row>
    <row r="17645" spans="1:16" x14ac:dyDescent="0.25">
      <c r="A17645" t="s">
        <v>3296</v>
      </c>
      <c r="B17645" t="s">
        <v>2931</v>
      </c>
      <c r="C17645">
        <v>8098</v>
      </c>
      <c r="D17645" t="str">
        <f>"829331      "</f>
        <v xml:space="preserve">829331      </v>
      </c>
      <c r="E17645" t="s">
        <v>602</v>
      </c>
      <c r="F17645" t="s">
        <v>603</v>
      </c>
      <c r="G17645">
        <v>35.79</v>
      </c>
      <c r="H17645">
        <v>250515</v>
      </c>
      <c r="I17645">
        <v>4600</v>
      </c>
      <c r="J17645" t="s">
        <v>278</v>
      </c>
      <c r="K17645">
        <v>35.79</v>
      </c>
      <c r="L17645">
        <v>7.27</v>
      </c>
      <c r="M17645">
        <v>65422</v>
      </c>
      <c r="N17645" t="s">
        <v>117</v>
      </c>
      <c r="O17645">
        <v>250611</v>
      </c>
      <c r="P17645">
        <v>28.52</v>
      </c>
    </row>
    <row r="17646" spans="1:16" x14ac:dyDescent="0.25">
      <c r="A17646" t="s">
        <v>3296</v>
      </c>
      <c r="B17646" t="s">
        <v>2931</v>
      </c>
      <c r="C17646">
        <v>11206</v>
      </c>
      <c r="D17646" t="str">
        <f>"870305      "</f>
        <v xml:space="preserve">870305      </v>
      </c>
      <c r="E17646" t="s">
        <v>602</v>
      </c>
      <c r="F17646" t="s">
        <v>603</v>
      </c>
      <c r="G17646">
        <v>135.59</v>
      </c>
      <c r="H17646">
        <v>250828</v>
      </c>
      <c r="I17646">
        <v>4600</v>
      </c>
      <c r="J17646" t="s">
        <v>278</v>
      </c>
      <c r="K17646">
        <v>135.59</v>
      </c>
      <c r="L17646">
        <v>27.55</v>
      </c>
      <c r="M17646">
        <v>66722</v>
      </c>
      <c r="N17646" t="s">
        <v>118</v>
      </c>
      <c r="O17646">
        <v>250901</v>
      </c>
      <c r="P17646">
        <v>108.04</v>
      </c>
    </row>
    <row r="17647" spans="1:16" x14ac:dyDescent="0.25">
      <c r="A17647" t="s">
        <v>3296</v>
      </c>
      <c r="B17647" t="s">
        <v>2931</v>
      </c>
      <c r="C17647">
        <v>14365</v>
      </c>
      <c r="D17647" t="str">
        <f>"871018      "</f>
        <v xml:space="preserve">871018      </v>
      </c>
      <c r="E17647" t="s">
        <v>602</v>
      </c>
      <c r="F17647" t="s">
        <v>603</v>
      </c>
      <c r="G17647">
        <v>1739.77</v>
      </c>
      <c r="H17647">
        <v>251028</v>
      </c>
      <c r="I17647">
        <v>4600</v>
      </c>
      <c r="J17647" t="s">
        <v>278</v>
      </c>
      <c r="K17647">
        <v>1739.77</v>
      </c>
      <c r="L17647">
        <v>353.5</v>
      </c>
      <c r="M17647">
        <v>66754</v>
      </c>
      <c r="N17647" t="s">
        <v>119</v>
      </c>
      <c r="O17647">
        <v>251030</v>
      </c>
      <c r="P17647">
        <v>1386.27</v>
      </c>
    </row>
    <row r="17648" spans="1:16" x14ac:dyDescent="0.25">
      <c r="A17648" t="s">
        <v>3296</v>
      </c>
      <c r="B17648" t="s">
        <v>2931</v>
      </c>
      <c r="C17648">
        <v>14443</v>
      </c>
      <c r="D17648" t="str">
        <f>"871068      "</f>
        <v xml:space="preserve">871068      </v>
      </c>
      <c r="E17648" t="s">
        <v>602</v>
      </c>
      <c r="F17648" t="s">
        <v>603</v>
      </c>
      <c r="G17648">
        <v>135.15</v>
      </c>
      <c r="H17648">
        <v>251030</v>
      </c>
      <c r="I17648">
        <v>4600</v>
      </c>
      <c r="J17648" t="s">
        <v>278</v>
      </c>
      <c r="K17648">
        <v>231.07</v>
      </c>
      <c r="L17648">
        <v>27.46</v>
      </c>
      <c r="M17648">
        <v>66722</v>
      </c>
      <c r="N17648" t="s">
        <v>118</v>
      </c>
      <c r="O17648">
        <v>251031</v>
      </c>
      <c r="P17648">
        <v>107.69</v>
      </c>
    </row>
    <row r="17649" spans="1:16" x14ac:dyDescent="0.25">
      <c r="A17649" t="s">
        <v>3296</v>
      </c>
      <c r="B17649" t="s">
        <v>2931</v>
      </c>
      <c r="C17649">
        <v>14443</v>
      </c>
      <c r="D17649" t="str">
        <f>"871068      "</f>
        <v xml:space="preserve">871068      </v>
      </c>
      <c r="E17649" t="s">
        <v>602</v>
      </c>
      <c r="F17649" t="s">
        <v>603</v>
      </c>
      <c r="G17649">
        <v>95.92</v>
      </c>
      <c r="H17649">
        <v>251030</v>
      </c>
      <c r="I17649">
        <v>4600</v>
      </c>
      <c r="J17649" t="s">
        <v>278</v>
      </c>
      <c r="K17649">
        <v>231.07</v>
      </c>
      <c r="L17649">
        <v>19.489999999999998</v>
      </c>
      <c r="M17649">
        <v>66754</v>
      </c>
      <c r="N17649" t="s">
        <v>119</v>
      </c>
      <c r="O17649">
        <v>251031</v>
      </c>
      <c r="P17649">
        <v>76.430000000000007</v>
      </c>
    </row>
    <row r="17650" spans="1:16" x14ac:dyDescent="0.25">
      <c r="A17650" t="s">
        <v>3296</v>
      </c>
      <c r="B17650" t="s">
        <v>2931</v>
      </c>
      <c r="C17650">
        <v>15883</v>
      </c>
      <c r="D17650" t="str">
        <f>"871435      "</f>
        <v xml:space="preserve">871435      </v>
      </c>
      <c r="E17650" t="s">
        <v>602</v>
      </c>
      <c r="F17650" t="s">
        <v>603</v>
      </c>
      <c r="G17650">
        <v>341.6</v>
      </c>
      <c r="H17650">
        <v>251126</v>
      </c>
      <c r="I17650">
        <v>4600</v>
      </c>
      <c r="J17650" t="s">
        <v>278</v>
      </c>
      <c r="K17650">
        <v>341.6</v>
      </c>
      <c r="L17650">
        <v>69.41</v>
      </c>
      <c r="M17650">
        <v>66754</v>
      </c>
      <c r="N17650" t="s">
        <v>119</v>
      </c>
      <c r="O17650">
        <v>251127</v>
      </c>
      <c r="P17650">
        <v>272.19</v>
      </c>
    </row>
    <row r="17651" spans="1:16" x14ac:dyDescent="0.25">
      <c r="A17651" t="s">
        <v>3296</v>
      </c>
      <c r="B17651" t="s">
        <v>2931</v>
      </c>
      <c r="C17651">
        <v>16049</v>
      </c>
      <c r="D17651" t="str">
        <f>"871305      "</f>
        <v xml:space="preserve">871305      </v>
      </c>
      <c r="E17651" t="s">
        <v>602</v>
      </c>
      <c r="F17651" t="s">
        <v>603</v>
      </c>
      <c r="G17651">
        <v>106.8</v>
      </c>
      <c r="H17651">
        <v>251117</v>
      </c>
      <c r="I17651">
        <v>4600</v>
      </c>
      <c r="J17651" t="s">
        <v>278</v>
      </c>
      <c r="K17651">
        <v>148.88</v>
      </c>
      <c r="L17651">
        <v>21.7</v>
      </c>
      <c r="M17651">
        <v>56524</v>
      </c>
      <c r="N17651" t="s">
        <v>69</v>
      </c>
      <c r="O17651">
        <v>251202</v>
      </c>
      <c r="P17651">
        <v>85.1</v>
      </c>
    </row>
    <row r="17652" spans="1:16" x14ac:dyDescent="0.25">
      <c r="A17652" t="s">
        <v>3296</v>
      </c>
      <c r="B17652" t="s">
        <v>2931</v>
      </c>
      <c r="C17652">
        <v>16049</v>
      </c>
      <c r="D17652" t="str">
        <f>"871305      "</f>
        <v xml:space="preserve">871305      </v>
      </c>
      <c r="E17652" t="s">
        <v>602</v>
      </c>
      <c r="F17652" t="s">
        <v>603</v>
      </c>
      <c r="G17652">
        <v>42.08</v>
      </c>
      <c r="H17652">
        <v>251117</v>
      </c>
      <c r="I17652">
        <v>4600</v>
      </c>
      <c r="J17652" t="s">
        <v>278</v>
      </c>
      <c r="K17652">
        <v>148.88</v>
      </c>
      <c r="L17652">
        <v>8.5500000000000007</v>
      </c>
      <c r="M17652">
        <v>56553</v>
      </c>
      <c r="N17652" t="s">
        <v>2654</v>
      </c>
      <c r="O17652">
        <v>251202</v>
      </c>
      <c r="P17652">
        <v>33.53</v>
      </c>
    </row>
    <row r="17653" spans="1:16" x14ac:dyDescent="0.25">
      <c r="A17653" t="s">
        <v>3296</v>
      </c>
      <c r="B17653" t="s">
        <v>2931</v>
      </c>
      <c r="C17653">
        <v>16377</v>
      </c>
      <c r="D17653" t="str">
        <f>"871436      "</f>
        <v xml:space="preserve">871436      </v>
      </c>
      <c r="E17653" t="s">
        <v>602</v>
      </c>
      <c r="F17653" t="s">
        <v>603</v>
      </c>
      <c r="G17653">
        <v>74.55</v>
      </c>
      <c r="H17653">
        <v>251126</v>
      </c>
      <c r="I17653">
        <v>4600</v>
      </c>
      <c r="J17653" t="s">
        <v>278</v>
      </c>
      <c r="K17653">
        <v>74.55</v>
      </c>
      <c r="L17653">
        <v>15.15</v>
      </c>
      <c r="M17653">
        <v>66754</v>
      </c>
      <c r="N17653" t="s">
        <v>119</v>
      </c>
      <c r="O17653">
        <v>251208</v>
      </c>
      <c r="P17653">
        <v>59.4</v>
      </c>
    </row>
    <row r="17654" spans="1:16" x14ac:dyDescent="0.25">
      <c r="A17654" t="s">
        <v>3296</v>
      </c>
      <c r="B17654" t="s">
        <v>2931</v>
      </c>
      <c r="C17654">
        <v>16378</v>
      </c>
      <c r="D17654" t="str">
        <f>"871434      "</f>
        <v xml:space="preserve">871434      </v>
      </c>
      <c r="E17654" t="s">
        <v>602</v>
      </c>
      <c r="F17654" t="s">
        <v>603</v>
      </c>
      <c r="G17654">
        <v>305.57</v>
      </c>
      <c r="H17654">
        <v>251126</v>
      </c>
      <c r="I17654">
        <v>4600</v>
      </c>
      <c r="J17654" t="s">
        <v>278</v>
      </c>
      <c r="K17654">
        <v>305.57</v>
      </c>
      <c r="L17654">
        <v>62.09</v>
      </c>
      <c r="M17654">
        <v>66754</v>
      </c>
      <c r="N17654" t="s">
        <v>119</v>
      </c>
      <c r="O17654">
        <v>251208</v>
      </c>
      <c r="P17654">
        <v>243.48</v>
      </c>
    </row>
    <row r="17655" spans="1:16" x14ac:dyDescent="0.25">
      <c r="A17655" t="s">
        <v>3296</v>
      </c>
      <c r="B17655" t="s">
        <v>2931</v>
      </c>
      <c r="C17655">
        <v>10317</v>
      </c>
      <c r="D17655" t="str">
        <f>"4500071840  "</f>
        <v xml:space="preserve">4500071840  </v>
      </c>
      <c r="E17655" t="s">
        <v>1853</v>
      </c>
      <c r="F17655" t="s">
        <v>1854</v>
      </c>
      <c r="G17655">
        <v>15847.17</v>
      </c>
      <c r="H17655">
        <v>250808</v>
      </c>
      <c r="I17655">
        <v>1198</v>
      </c>
      <c r="J17655" t="s">
        <v>610</v>
      </c>
      <c r="K17655">
        <v>15847.17</v>
      </c>
      <c r="L17655">
        <v>3219.94</v>
      </c>
      <c r="M17655">
        <v>97627</v>
      </c>
      <c r="N17655" t="s">
        <v>1351</v>
      </c>
      <c r="O17655">
        <v>250814</v>
      </c>
      <c r="P17655">
        <v>12627.23</v>
      </c>
    </row>
    <row r="17656" spans="1:16" x14ac:dyDescent="0.25">
      <c r="A17656" t="s">
        <v>3296</v>
      </c>
      <c r="B17656" t="s">
        <v>2931</v>
      </c>
      <c r="C17656">
        <v>10431</v>
      </c>
      <c r="D17656" t="str">
        <f>"4500071886  "</f>
        <v xml:space="preserve">4500071886  </v>
      </c>
      <c r="E17656" t="s">
        <v>1853</v>
      </c>
      <c r="F17656" t="s">
        <v>1854</v>
      </c>
      <c r="G17656">
        <v>646.16</v>
      </c>
      <c r="H17656">
        <v>250811</v>
      </c>
      <c r="I17656">
        <v>1198</v>
      </c>
      <c r="J17656" t="s">
        <v>610</v>
      </c>
      <c r="K17656">
        <v>646.16</v>
      </c>
      <c r="L17656">
        <v>131.29</v>
      </c>
      <c r="M17656">
        <v>97627</v>
      </c>
      <c r="N17656" t="s">
        <v>1351</v>
      </c>
      <c r="O17656">
        <v>250819</v>
      </c>
      <c r="P17656">
        <v>514.87</v>
      </c>
    </row>
    <row r="17657" spans="1:16" x14ac:dyDescent="0.25">
      <c r="A17657" t="s">
        <v>3296</v>
      </c>
      <c r="B17657" t="s">
        <v>2931</v>
      </c>
      <c r="C17657">
        <v>10449</v>
      </c>
      <c r="D17657" t="str">
        <f>"4500071926  "</f>
        <v xml:space="preserve">4500071926  </v>
      </c>
      <c r="E17657" t="s">
        <v>1853</v>
      </c>
      <c r="F17657" t="s">
        <v>1854</v>
      </c>
      <c r="G17657">
        <v>961.47</v>
      </c>
      <c r="H17657">
        <v>250812</v>
      </c>
      <c r="I17657">
        <v>1198</v>
      </c>
      <c r="J17657" t="s">
        <v>610</v>
      </c>
      <c r="K17657">
        <v>961.47</v>
      </c>
      <c r="L17657">
        <v>195.36</v>
      </c>
      <c r="M17657">
        <v>97627</v>
      </c>
      <c r="N17657" t="s">
        <v>1351</v>
      </c>
      <c r="O17657">
        <v>250819</v>
      </c>
      <c r="P17657">
        <v>766.11</v>
      </c>
    </row>
    <row r="17658" spans="1:16" x14ac:dyDescent="0.25">
      <c r="A17658" t="s">
        <v>3296</v>
      </c>
      <c r="B17658" t="s">
        <v>2931</v>
      </c>
      <c r="C17658">
        <v>10491</v>
      </c>
      <c r="D17658" t="str">
        <f>"4500072023  "</f>
        <v xml:space="preserve">4500072023  </v>
      </c>
      <c r="E17658" t="s">
        <v>1853</v>
      </c>
      <c r="F17658" t="s">
        <v>1854</v>
      </c>
      <c r="G17658">
        <v>805.89</v>
      </c>
      <c r="H17658">
        <v>250814</v>
      </c>
      <c r="I17658">
        <v>1198</v>
      </c>
      <c r="J17658" t="s">
        <v>610</v>
      </c>
      <c r="K17658">
        <v>805.89</v>
      </c>
      <c r="L17658">
        <v>163.75</v>
      </c>
      <c r="M17658">
        <v>97627</v>
      </c>
      <c r="N17658" t="s">
        <v>1351</v>
      </c>
      <c r="O17658">
        <v>250820</v>
      </c>
      <c r="P17658">
        <v>642.14</v>
      </c>
    </row>
    <row r="17659" spans="1:16" x14ac:dyDescent="0.25">
      <c r="A17659" t="s">
        <v>3296</v>
      </c>
      <c r="B17659" t="s">
        <v>2931</v>
      </c>
      <c r="C17659">
        <v>11226</v>
      </c>
      <c r="D17659" t="str">
        <f>"4500072390  "</f>
        <v xml:space="preserve">4500072390  </v>
      </c>
      <c r="E17659" t="s">
        <v>1853</v>
      </c>
      <c r="F17659" t="s">
        <v>1854</v>
      </c>
      <c r="G17659">
        <v>519.58000000000004</v>
      </c>
      <c r="H17659">
        <v>250826</v>
      </c>
      <c r="I17659">
        <v>1198</v>
      </c>
      <c r="J17659" t="s">
        <v>610</v>
      </c>
      <c r="K17659">
        <v>519.58000000000004</v>
      </c>
      <c r="L17659">
        <v>105.57</v>
      </c>
      <c r="M17659">
        <v>97627</v>
      </c>
      <c r="N17659" t="s">
        <v>1351</v>
      </c>
      <c r="O17659">
        <v>250902</v>
      </c>
      <c r="P17659">
        <v>414.01</v>
      </c>
    </row>
    <row r="17660" spans="1:16" x14ac:dyDescent="0.25">
      <c r="A17660" t="s">
        <v>3296</v>
      </c>
      <c r="B17660" t="s">
        <v>2931</v>
      </c>
      <c r="C17660">
        <v>11229</v>
      </c>
      <c r="D17660" t="str">
        <f>"4500072433  "</f>
        <v xml:space="preserve">4500072433  </v>
      </c>
      <c r="E17660" t="s">
        <v>1853</v>
      </c>
      <c r="F17660" t="s">
        <v>1854</v>
      </c>
      <c r="G17660">
        <v>1428.87</v>
      </c>
      <c r="H17660">
        <v>250827</v>
      </c>
      <c r="I17660">
        <v>1198</v>
      </c>
      <c r="J17660" t="s">
        <v>610</v>
      </c>
      <c r="K17660">
        <v>1428.87</v>
      </c>
      <c r="L17660">
        <v>290.33</v>
      </c>
      <c r="M17660">
        <v>97627</v>
      </c>
      <c r="N17660" t="s">
        <v>1351</v>
      </c>
      <c r="O17660">
        <v>250902</v>
      </c>
      <c r="P17660">
        <v>1138.54</v>
      </c>
    </row>
    <row r="17661" spans="1:16" x14ac:dyDescent="0.25">
      <c r="A17661" t="s">
        <v>3296</v>
      </c>
      <c r="B17661" t="s">
        <v>2931</v>
      </c>
      <c r="C17661">
        <v>11231</v>
      </c>
      <c r="D17661" t="str">
        <f>"4500072479  "</f>
        <v xml:space="preserve">4500072479  </v>
      </c>
      <c r="E17661" t="s">
        <v>1853</v>
      </c>
      <c r="F17661" t="s">
        <v>1854</v>
      </c>
      <c r="G17661">
        <v>215.13</v>
      </c>
      <c r="H17661">
        <v>250828</v>
      </c>
      <c r="I17661">
        <v>1198</v>
      </c>
      <c r="J17661" t="s">
        <v>610</v>
      </c>
      <c r="K17661">
        <v>215.13</v>
      </c>
      <c r="L17661">
        <v>43.71</v>
      </c>
      <c r="M17661">
        <v>97627</v>
      </c>
      <c r="N17661" t="s">
        <v>1351</v>
      </c>
      <c r="O17661">
        <v>250902</v>
      </c>
      <c r="P17661">
        <v>171.42</v>
      </c>
    </row>
    <row r="17662" spans="1:16" x14ac:dyDescent="0.25">
      <c r="A17662" t="s">
        <v>3296</v>
      </c>
      <c r="B17662" t="s">
        <v>2931</v>
      </c>
      <c r="C17662">
        <v>12175</v>
      </c>
      <c r="D17662" t="str">
        <f>"4500072834  "</f>
        <v xml:space="preserve">4500072834  </v>
      </c>
      <c r="E17662" t="s">
        <v>1853</v>
      </c>
      <c r="F17662" t="s">
        <v>1854</v>
      </c>
      <c r="G17662">
        <v>825.6</v>
      </c>
      <c r="H17662">
        <v>250910</v>
      </c>
      <c r="I17662">
        <v>1198</v>
      </c>
      <c r="J17662" t="s">
        <v>610</v>
      </c>
      <c r="K17662">
        <v>825.6</v>
      </c>
      <c r="L17662">
        <v>167.75</v>
      </c>
      <c r="M17662">
        <v>97627</v>
      </c>
      <c r="N17662" t="s">
        <v>1351</v>
      </c>
      <c r="O17662">
        <v>250917</v>
      </c>
      <c r="P17662">
        <v>657.85</v>
      </c>
    </row>
    <row r="17663" spans="1:16" x14ac:dyDescent="0.25">
      <c r="A17663" t="s">
        <v>3296</v>
      </c>
      <c r="B17663" t="s">
        <v>2931</v>
      </c>
      <c r="C17663">
        <v>12917</v>
      </c>
      <c r="D17663" t="str">
        <f>"4500073181  "</f>
        <v xml:space="preserve">4500073181  </v>
      </c>
      <c r="E17663" t="s">
        <v>1853</v>
      </c>
      <c r="F17663" t="s">
        <v>1854</v>
      </c>
      <c r="G17663">
        <v>5316.19</v>
      </c>
      <c r="H17663">
        <v>250922</v>
      </c>
      <c r="I17663">
        <v>1198</v>
      </c>
      <c r="J17663" t="s">
        <v>610</v>
      </c>
      <c r="K17663">
        <v>5316.19</v>
      </c>
      <c r="L17663">
        <v>1080.18</v>
      </c>
      <c r="M17663">
        <v>97627</v>
      </c>
      <c r="N17663" t="s">
        <v>1351</v>
      </c>
      <c r="O17663">
        <v>251002</v>
      </c>
      <c r="P17663">
        <v>4236.01</v>
      </c>
    </row>
    <row r="17664" spans="1:16" x14ac:dyDescent="0.25">
      <c r="A17664" t="s">
        <v>3296</v>
      </c>
      <c r="B17664" t="s">
        <v>2931</v>
      </c>
      <c r="C17664">
        <v>16599</v>
      </c>
      <c r="D17664" t="str">
        <f>"4500075561  "</f>
        <v xml:space="preserve">4500075561  </v>
      </c>
      <c r="E17664" t="s">
        <v>1853</v>
      </c>
      <c r="F17664" t="s">
        <v>1854</v>
      </c>
      <c r="G17664">
        <v>224.19</v>
      </c>
      <c r="H17664">
        <v>251204</v>
      </c>
      <c r="I17664">
        <v>4580</v>
      </c>
      <c r="J17664" t="s">
        <v>126</v>
      </c>
      <c r="K17664">
        <v>224.19</v>
      </c>
      <c r="L17664">
        <v>45.55</v>
      </c>
      <c r="M17664">
        <v>17805</v>
      </c>
      <c r="N17664" t="s">
        <v>21</v>
      </c>
      <c r="O17664">
        <v>251210</v>
      </c>
      <c r="P17664">
        <v>178.64</v>
      </c>
    </row>
    <row r="17665" spans="1:16" x14ac:dyDescent="0.25">
      <c r="A17665" t="s">
        <v>3296</v>
      </c>
      <c r="B17665" t="s">
        <v>2931</v>
      </c>
      <c r="C17665">
        <v>6179</v>
      </c>
      <c r="D17665" t="str">
        <f>"4500068948  "</f>
        <v xml:space="preserve">4500068948  </v>
      </c>
      <c r="E17665" t="s">
        <v>1853</v>
      </c>
      <c r="F17665" t="s">
        <v>1854</v>
      </c>
      <c r="G17665">
        <v>56.1</v>
      </c>
      <c r="H17665">
        <v>250505</v>
      </c>
      <c r="I17665">
        <v>4600</v>
      </c>
      <c r="J17665" t="s">
        <v>278</v>
      </c>
      <c r="K17665">
        <v>56.1</v>
      </c>
      <c r="L17665">
        <v>11.4</v>
      </c>
      <c r="M17665">
        <v>17807</v>
      </c>
      <c r="N17665" t="s">
        <v>23</v>
      </c>
      <c r="O17665">
        <v>250509</v>
      </c>
      <c r="P17665">
        <v>44.7</v>
      </c>
    </row>
    <row r="17666" spans="1:16" x14ac:dyDescent="0.25">
      <c r="A17666" t="s">
        <v>3296</v>
      </c>
      <c r="B17666" t="s">
        <v>2931</v>
      </c>
      <c r="C17666">
        <v>18180</v>
      </c>
      <c r="D17666" t="str">
        <f>"752176      "</f>
        <v xml:space="preserve">752176      </v>
      </c>
      <c r="E17666" t="s">
        <v>2795</v>
      </c>
      <c r="F17666" t="s">
        <v>2796</v>
      </c>
      <c r="G17666">
        <v>359.6</v>
      </c>
      <c r="H17666">
        <v>251205</v>
      </c>
      <c r="I17666">
        <v>4552</v>
      </c>
      <c r="J17666" t="s">
        <v>1025</v>
      </c>
      <c r="K17666">
        <v>359.6</v>
      </c>
      <c r="L17666">
        <v>73.069999999999993</v>
      </c>
      <c r="M17666">
        <v>17737</v>
      </c>
      <c r="N17666" t="s">
        <v>156</v>
      </c>
      <c r="O17666">
        <v>260109</v>
      </c>
      <c r="P17666">
        <v>286.52999999999997</v>
      </c>
    </row>
    <row r="17667" spans="1:16" x14ac:dyDescent="0.25">
      <c r="A17667" t="s">
        <v>3296</v>
      </c>
      <c r="B17667" t="s">
        <v>2931</v>
      </c>
      <c r="C17667">
        <v>18117</v>
      </c>
      <c r="D17667" t="str">
        <f>"755372      "</f>
        <v xml:space="preserve">755372      </v>
      </c>
      <c r="E17667" t="s">
        <v>2795</v>
      </c>
      <c r="F17667" t="s">
        <v>2796</v>
      </c>
      <c r="G17667">
        <v>349.65</v>
      </c>
      <c r="H17667">
        <v>251205</v>
      </c>
      <c r="I17667">
        <v>4940</v>
      </c>
      <c r="J17667" t="s">
        <v>250</v>
      </c>
      <c r="K17667">
        <v>349.65</v>
      </c>
      <c r="L17667">
        <v>71.040000000000006</v>
      </c>
      <c r="M17667">
        <v>67554</v>
      </c>
      <c r="N17667" t="s">
        <v>317</v>
      </c>
      <c r="O17667">
        <v>260109</v>
      </c>
      <c r="P17667">
        <v>278.61</v>
      </c>
    </row>
    <row r="17668" spans="1:16" x14ac:dyDescent="0.25">
      <c r="A17668" t="s">
        <v>3296</v>
      </c>
      <c r="B17668" t="s">
        <v>2931</v>
      </c>
      <c r="C17668">
        <v>8199</v>
      </c>
      <c r="D17668" t="str">
        <f>"105941      "</f>
        <v xml:space="preserve">105941      </v>
      </c>
      <c r="E17668" t="s">
        <v>814</v>
      </c>
      <c r="F17668" t="s">
        <v>815</v>
      </c>
      <c r="G17668">
        <v>1162.1300000000001</v>
      </c>
      <c r="H17668">
        <v>250603</v>
      </c>
      <c r="I17668">
        <v>4530</v>
      </c>
      <c r="J17668" t="s">
        <v>293</v>
      </c>
      <c r="K17668">
        <v>1162.1300000000001</v>
      </c>
      <c r="L17668">
        <v>236.13</v>
      </c>
      <c r="M17668">
        <v>66754</v>
      </c>
      <c r="N17668" t="s">
        <v>119</v>
      </c>
      <c r="O17668">
        <v>250612</v>
      </c>
      <c r="P17668">
        <v>926</v>
      </c>
    </row>
    <row r="17669" spans="1:16" x14ac:dyDescent="0.25">
      <c r="A17669" t="s">
        <v>3296</v>
      </c>
      <c r="B17669" t="s">
        <v>2931</v>
      </c>
      <c r="C17669">
        <v>1530</v>
      </c>
      <c r="D17669" t="str">
        <f>"104669      "</f>
        <v xml:space="preserve">104669      </v>
      </c>
      <c r="E17669" t="s">
        <v>814</v>
      </c>
      <c r="F17669" t="s">
        <v>815</v>
      </c>
      <c r="G17669">
        <v>1085.8</v>
      </c>
      <c r="H17669">
        <v>250131</v>
      </c>
      <c r="I17669">
        <v>4552</v>
      </c>
      <c r="J17669" t="s">
        <v>1025</v>
      </c>
      <c r="K17669">
        <v>1085.8</v>
      </c>
      <c r="L17669">
        <v>220.62</v>
      </c>
      <c r="M17669">
        <v>66754</v>
      </c>
      <c r="N17669" t="s">
        <v>119</v>
      </c>
      <c r="O17669">
        <v>250211</v>
      </c>
      <c r="P17669">
        <v>865.18</v>
      </c>
    </row>
    <row r="17670" spans="1:16" x14ac:dyDescent="0.25">
      <c r="A17670" t="s">
        <v>3296</v>
      </c>
      <c r="B17670" t="s">
        <v>2931</v>
      </c>
      <c r="C17670">
        <v>1009</v>
      </c>
      <c r="D17670" t="str">
        <f>"104620      "</f>
        <v xml:space="preserve">104620      </v>
      </c>
      <c r="E17670" t="s">
        <v>814</v>
      </c>
      <c r="F17670" t="s">
        <v>815</v>
      </c>
      <c r="G17670">
        <v>2085.2399999999998</v>
      </c>
      <c r="H17670">
        <v>250122</v>
      </c>
      <c r="I17670">
        <v>4600</v>
      </c>
      <c r="J17670" t="s">
        <v>278</v>
      </c>
      <c r="K17670">
        <v>4376.51</v>
      </c>
      <c r="L17670">
        <v>423.69</v>
      </c>
      <c r="M17670">
        <v>66754</v>
      </c>
      <c r="N17670" t="s">
        <v>119</v>
      </c>
      <c r="O17670">
        <v>250203</v>
      </c>
      <c r="P17670">
        <v>1661.55</v>
      </c>
    </row>
    <row r="17671" spans="1:16" x14ac:dyDescent="0.25">
      <c r="A17671" t="s">
        <v>3296</v>
      </c>
      <c r="B17671" t="s">
        <v>2931</v>
      </c>
      <c r="C17671">
        <v>1009</v>
      </c>
      <c r="D17671" t="str">
        <f>"104620      "</f>
        <v xml:space="preserve">104620      </v>
      </c>
      <c r="E17671" t="s">
        <v>814</v>
      </c>
      <c r="F17671" t="s">
        <v>815</v>
      </c>
      <c r="G17671">
        <v>103.01</v>
      </c>
      <c r="H17671">
        <v>250122</v>
      </c>
      <c r="I17671">
        <v>4600</v>
      </c>
      <c r="J17671" t="s">
        <v>278</v>
      </c>
      <c r="K17671">
        <v>4376.51</v>
      </c>
      <c r="L17671">
        <v>20.93</v>
      </c>
      <c r="M17671">
        <v>66754</v>
      </c>
      <c r="N17671" t="s">
        <v>119</v>
      </c>
      <c r="O17671">
        <v>250203</v>
      </c>
      <c r="P17671">
        <v>82.08</v>
      </c>
    </row>
    <row r="17672" spans="1:16" x14ac:dyDescent="0.25">
      <c r="A17672" t="s">
        <v>3296</v>
      </c>
      <c r="B17672" t="s">
        <v>2931</v>
      </c>
      <c r="C17672">
        <v>11903</v>
      </c>
      <c r="D17672" t="str">
        <f>"106528      "</f>
        <v xml:space="preserve">106528      </v>
      </c>
      <c r="E17672" t="s">
        <v>814</v>
      </c>
      <c r="F17672" t="s">
        <v>815</v>
      </c>
      <c r="G17672">
        <v>555.34</v>
      </c>
      <c r="H17672">
        <v>250909</v>
      </c>
      <c r="I17672">
        <v>4600</v>
      </c>
      <c r="J17672" t="s">
        <v>278</v>
      </c>
      <c r="K17672">
        <v>555.34</v>
      </c>
      <c r="L17672">
        <v>112.84</v>
      </c>
      <c r="M17672">
        <v>66754</v>
      </c>
      <c r="N17672" t="s">
        <v>119</v>
      </c>
      <c r="O17672">
        <v>250912</v>
      </c>
      <c r="P17672">
        <v>442.5</v>
      </c>
    </row>
    <row r="17673" spans="1:16" x14ac:dyDescent="0.25">
      <c r="A17673" t="s">
        <v>3296</v>
      </c>
      <c r="B17673" t="s">
        <v>2931</v>
      </c>
      <c r="C17673">
        <v>14279</v>
      </c>
      <c r="D17673" t="str">
        <f>"106726      "</f>
        <v xml:space="preserve">106726      </v>
      </c>
      <c r="E17673" t="s">
        <v>814</v>
      </c>
      <c r="F17673" t="s">
        <v>815</v>
      </c>
      <c r="G17673">
        <v>223.39</v>
      </c>
      <c r="H17673">
        <v>251024</v>
      </c>
      <c r="I17673">
        <v>4600</v>
      </c>
      <c r="J17673" t="s">
        <v>278</v>
      </c>
      <c r="K17673">
        <v>223.39</v>
      </c>
      <c r="L17673">
        <v>45.39</v>
      </c>
      <c r="M17673">
        <v>66754</v>
      </c>
      <c r="N17673" t="s">
        <v>119</v>
      </c>
      <c r="O17673">
        <v>251028</v>
      </c>
      <c r="P17673">
        <v>178</v>
      </c>
    </row>
    <row r="17674" spans="1:16" x14ac:dyDescent="0.25">
      <c r="A17674" t="s">
        <v>3296</v>
      </c>
      <c r="B17674" t="s">
        <v>2931</v>
      </c>
      <c r="C17674">
        <v>197</v>
      </c>
      <c r="D17674" t="str">
        <f>"649250048576"</f>
        <v>649250048576</v>
      </c>
      <c r="E17674" t="s">
        <v>2822</v>
      </c>
      <c r="F17674" t="s">
        <v>2823</v>
      </c>
      <c r="G17674">
        <v>10</v>
      </c>
      <c r="H17674">
        <v>250101</v>
      </c>
      <c r="I17674">
        <v>4347</v>
      </c>
      <c r="J17674" t="s">
        <v>328</v>
      </c>
      <c r="K17674">
        <v>1524.06</v>
      </c>
      <c r="L17674">
        <v>2.0299999999999998</v>
      </c>
      <c r="M17674">
        <v>13940</v>
      </c>
      <c r="N17674" t="s">
        <v>14</v>
      </c>
      <c r="O17674">
        <v>250116</v>
      </c>
      <c r="P17674">
        <v>7.97</v>
      </c>
    </row>
    <row r="17675" spans="1:16" x14ac:dyDescent="0.25">
      <c r="A17675" t="s">
        <v>3296</v>
      </c>
      <c r="B17675" t="s">
        <v>2931</v>
      </c>
      <c r="C17675">
        <v>198</v>
      </c>
      <c r="D17675" t="str">
        <f>"649250048575"</f>
        <v>649250048575</v>
      </c>
      <c r="E17675" t="s">
        <v>2822</v>
      </c>
      <c r="F17675" t="s">
        <v>2823</v>
      </c>
      <c r="G17675">
        <v>313.75</v>
      </c>
      <c r="H17675">
        <v>250101</v>
      </c>
      <c r="I17675">
        <v>4347</v>
      </c>
      <c r="J17675" t="s">
        <v>328</v>
      </c>
      <c r="K17675">
        <v>313.75</v>
      </c>
      <c r="L17675">
        <v>63.75</v>
      </c>
      <c r="M17675">
        <v>13940</v>
      </c>
      <c r="N17675" t="s">
        <v>14</v>
      </c>
      <c r="O17675">
        <v>250116</v>
      </c>
      <c r="P17675">
        <v>250</v>
      </c>
    </row>
    <row r="17676" spans="1:16" x14ac:dyDescent="0.25">
      <c r="A17676" t="s">
        <v>3296</v>
      </c>
      <c r="B17676" t="s">
        <v>2931</v>
      </c>
      <c r="C17676">
        <v>3800</v>
      </c>
      <c r="D17676" t="str">
        <f>"649250088710"</f>
        <v>649250088710</v>
      </c>
      <c r="E17676" t="s">
        <v>2822</v>
      </c>
      <c r="F17676" t="s">
        <v>2823</v>
      </c>
      <c r="G17676">
        <v>10</v>
      </c>
      <c r="H17676">
        <v>250401</v>
      </c>
      <c r="I17676">
        <v>4347</v>
      </c>
      <c r="J17676" t="s">
        <v>328</v>
      </c>
      <c r="K17676">
        <v>1524.06</v>
      </c>
      <c r="L17676">
        <v>2.0299999999999998</v>
      </c>
      <c r="M17676">
        <v>13940</v>
      </c>
      <c r="N17676" t="s">
        <v>14</v>
      </c>
      <c r="O17676">
        <v>250401</v>
      </c>
      <c r="P17676">
        <v>7.97</v>
      </c>
    </row>
    <row r="17677" spans="1:16" x14ac:dyDescent="0.25">
      <c r="A17677" t="s">
        <v>3296</v>
      </c>
      <c r="B17677" t="s">
        <v>2931</v>
      </c>
      <c r="C17677">
        <v>72</v>
      </c>
      <c r="D17677" t="str">
        <f>"649250033203"</f>
        <v>649250033203</v>
      </c>
      <c r="E17677" t="s">
        <v>2822</v>
      </c>
      <c r="F17677" t="s">
        <v>2823</v>
      </c>
      <c r="G17677">
        <v>51.6</v>
      </c>
      <c r="H17677">
        <v>250101</v>
      </c>
      <c r="I17677">
        <v>4370</v>
      </c>
      <c r="J17677" t="s">
        <v>198</v>
      </c>
      <c r="K17677">
        <v>498.93</v>
      </c>
      <c r="L17677">
        <v>0</v>
      </c>
      <c r="M17677">
        <v>59702</v>
      </c>
      <c r="N17677" t="s">
        <v>45</v>
      </c>
      <c r="O17677">
        <v>250103</v>
      </c>
      <c r="P17677">
        <v>51.6</v>
      </c>
    </row>
    <row r="17678" spans="1:16" x14ac:dyDescent="0.25">
      <c r="A17678" t="s">
        <v>3296</v>
      </c>
      <c r="B17678" t="s">
        <v>2931</v>
      </c>
      <c r="C17678">
        <v>197</v>
      </c>
      <c r="D17678" t="str">
        <f>"649250048576"</f>
        <v>649250048576</v>
      </c>
      <c r="E17678" t="s">
        <v>2822</v>
      </c>
      <c r="F17678" t="s">
        <v>2823</v>
      </c>
      <c r="G17678">
        <v>118.62</v>
      </c>
      <c r="H17678">
        <v>250101</v>
      </c>
      <c r="I17678">
        <v>4370</v>
      </c>
      <c r="J17678" t="s">
        <v>198</v>
      </c>
      <c r="K17678">
        <v>1524.06</v>
      </c>
      <c r="L17678">
        <v>0</v>
      </c>
      <c r="M17678">
        <v>13940</v>
      </c>
      <c r="N17678" t="s">
        <v>14</v>
      </c>
      <c r="O17678">
        <v>250116</v>
      </c>
      <c r="P17678">
        <v>118.62</v>
      </c>
    </row>
    <row r="17679" spans="1:16" x14ac:dyDescent="0.25">
      <c r="A17679" t="s">
        <v>3296</v>
      </c>
      <c r="B17679" t="s">
        <v>2931</v>
      </c>
      <c r="C17679">
        <v>3800</v>
      </c>
      <c r="D17679" t="str">
        <f>"649250088710"</f>
        <v>649250088710</v>
      </c>
      <c r="E17679" t="s">
        <v>2822</v>
      </c>
      <c r="F17679" t="s">
        <v>2823</v>
      </c>
      <c r="G17679">
        <v>118.62</v>
      </c>
      <c r="H17679">
        <v>250401</v>
      </c>
      <c r="I17679">
        <v>4370</v>
      </c>
      <c r="J17679" t="s">
        <v>198</v>
      </c>
      <c r="K17679">
        <v>1524.06</v>
      </c>
      <c r="L17679">
        <v>0</v>
      </c>
      <c r="M17679">
        <v>13940</v>
      </c>
      <c r="N17679" t="s">
        <v>14</v>
      </c>
      <c r="O17679">
        <v>250401</v>
      </c>
      <c r="P17679">
        <v>118.62</v>
      </c>
    </row>
    <row r="17680" spans="1:16" x14ac:dyDescent="0.25">
      <c r="A17680" t="s">
        <v>3296</v>
      </c>
      <c r="B17680" t="s">
        <v>2931</v>
      </c>
      <c r="C17680">
        <v>197</v>
      </c>
      <c r="D17680" t="str">
        <f t="shared" ref="D17680:D17689" si="310">"649250048576"</f>
        <v>649250048576</v>
      </c>
      <c r="E17680" t="s">
        <v>2822</v>
      </c>
      <c r="F17680" t="s">
        <v>2823</v>
      </c>
      <c r="G17680">
        <v>181.4</v>
      </c>
      <c r="H17680">
        <v>250101</v>
      </c>
      <c r="I17680">
        <v>4841</v>
      </c>
      <c r="J17680" t="s">
        <v>9</v>
      </c>
      <c r="K17680">
        <v>1524.06</v>
      </c>
      <c r="L17680">
        <v>36.86</v>
      </c>
      <c r="M17680">
        <v>13901</v>
      </c>
      <c r="N17680" t="s">
        <v>116</v>
      </c>
      <c r="O17680">
        <v>250116</v>
      </c>
      <c r="P17680">
        <v>144.54</v>
      </c>
    </row>
    <row r="17681" spans="1:16" x14ac:dyDescent="0.25">
      <c r="A17681" t="s">
        <v>3296</v>
      </c>
      <c r="B17681" t="s">
        <v>2931</v>
      </c>
      <c r="C17681">
        <v>197</v>
      </c>
      <c r="D17681" t="str">
        <f t="shared" si="310"/>
        <v>649250048576</v>
      </c>
      <c r="E17681" t="s">
        <v>2822</v>
      </c>
      <c r="F17681" t="s">
        <v>2823</v>
      </c>
      <c r="G17681">
        <v>181.4</v>
      </c>
      <c r="H17681">
        <v>250101</v>
      </c>
      <c r="I17681">
        <v>4841</v>
      </c>
      <c r="J17681" t="s">
        <v>9</v>
      </c>
      <c r="K17681">
        <v>1524.06</v>
      </c>
      <c r="L17681">
        <v>36.86</v>
      </c>
      <c r="M17681">
        <v>13901</v>
      </c>
      <c r="N17681" t="s">
        <v>116</v>
      </c>
      <c r="O17681">
        <v>250116</v>
      </c>
      <c r="P17681">
        <v>144.54</v>
      </c>
    </row>
    <row r="17682" spans="1:16" x14ac:dyDescent="0.25">
      <c r="A17682" t="s">
        <v>3296</v>
      </c>
      <c r="B17682" t="s">
        <v>2931</v>
      </c>
      <c r="C17682">
        <v>197</v>
      </c>
      <c r="D17682" t="str">
        <f t="shared" si="310"/>
        <v>649250048576</v>
      </c>
      <c r="E17682" t="s">
        <v>2822</v>
      </c>
      <c r="F17682" t="s">
        <v>2823</v>
      </c>
      <c r="G17682">
        <v>181.4</v>
      </c>
      <c r="H17682">
        <v>250101</v>
      </c>
      <c r="I17682">
        <v>4841</v>
      </c>
      <c r="J17682" t="s">
        <v>9</v>
      </c>
      <c r="K17682">
        <v>1524.06</v>
      </c>
      <c r="L17682">
        <v>36.86</v>
      </c>
      <c r="M17682">
        <v>13901</v>
      </c>
      <c r="N17682" t="s">
        <v>116</v>
      </c>
      <c r="O17682">
        <v>250116</v>
      </c>
      <c r="P17682">
        <v>144.54</v>
      </c>
    </row>
    <row r="17683" spans="1:16" x14ac:dyDescent="0.25">
      <c r="A17683" t="s">
        <v>3296</v>
      </c>
      <c r="B17683" t="s">
        <v>2931</v>
      </c>
      <c r="C17683">
        <v>197</v>
      </c>
      <c r="D17683" t="str">
        <f t="shared" si="310"/>
        <v>649250048576</v>
      </c>
      <c r="E17683" t="s">
        <v>2822</v>
      </c>
      <c r="F17683" t="s">
        <v>2823</v>
      </c>
      <c r="G17683">
        <v>181.4</v>
      </c>
      <c r="H17683">
        <v>250101</v>
      </c>
      <c r="I17683">
        <v>4841</v>
      </c>
      <c r="J17683" t="s">
        <v>9</v>
      </c>
      <c r="K17683">
        <v>1524.06</v>
      </c>
      <c r="L17683">
        <v>36.86</v>
      </c>
      <c r="M17683">
        <v>13901</v>
      </c>
      <c r="N17683" t="s">
        <v>116</v>
      </c>
      <c r="O17683">
        <v>250116</v>
      </c>
      <c r="P17683">
        <v>144.54</v>
      </c>
    </row>
    <row r="17684" spans="1:16" x14ac:dyDescent="0.25">
      <c r="A17684" t="s">
        <v>3296</v>
      </c>
      <c r="B17684" t="s">
        <v>2931</v>
      </c>
      <c r="C17684">
        <v>197</v>
      </c>
      <c r="D17684" t="str">
        <f t="shared" si="310"/>
        <v>649250048576</v>
      </c>
      <c r="E17684" t="s">
        <v>2822</v>
      </c>
      <c r="F17684" t="s">
        <v>2823</v>
      </c>
      <c r="G17684">
        <v>244.2</v>
      </c>
      <c r="H17684">
        <v>250101</v>
      </c>
      <c r="I17684">
        <v>4841</v>
      </c>
      <c r="J17684" t="s">
        <v>9</v>
      </c>
      <c r="K17684">
        <v>1524.06</v>
      </c>
      <c r="L17684">
        <v>49.62</v>
      </c>
      <c r="M17684">
        <v>13901</v>
      </c>
      <c r="N17684" t="s">
        <v>116</v>
      </c>
      <c r="O17684">
        <v>250116</v>
      </c>
      <c r="P17684">
        <v>194.58</v>
      </c>
    </row>
    <row r="17685" spans="1:16" x14ac:dyDescent="0.25">
      <c r="A17685" t="s">
        <v>3296</v>
      </c>
      <c r="B17685" t="s">
        <v>2931</v>
      </c>
      <c r="C17685">
        <v>197</v>
      </c>
      <c r="D17685" t="str">
        <f t="shared" si="310"/>
        <v>649250048576</v>
      </c>
      <c r="E17685" t="s">
        <v>2822</v>
      </c>
      <c r="F17685" t="s">
        <v>2823</v>
      </c>
      <c r="G17685">
        <v>181.4</v>
      </c>
      <c r="H17685">
        <v>250101</v>
      </c>
      <c r="I17685">
        <v>4841</v>
      </c>
      <c r="J17685" t="s">
        <v>9</v>
      </c>
      <c r="K17685">
        <v>1524.06</v>
      </c>
      <c r="L17685">
        <v>36.86</v>
      </c>
      <c r="M17685">
        <v>13901</v>
      </c>
      <c r="N17685" t="s">
        <v>116</v>
      </c>
      <c r="O17685">
        <v>250116</v>
      </c>
      <c r="P17685">
        <v>144.54</v>
      </c>
    </row>
    <row r="17686" spans="1:16" x14ac:dyDescent="0.25">
      <c r="A17686" t="s">
        <v>3296</v>
      </c>
      <c r="B17686" t="s">
        <v>2931</v>
      </c>
      <c r="C17686">
        <v>197</v>
      </c>
      <c r="D17686" t="str">
        <f t="shared" si="310"/>
        <v>649250048576</v>
      </c>
      <c r="E17686" t="s">
        <v>2822</v>
      </c>
      <c r="F17686" t="s">
        <v>2823</v>
      </c>
      <c r="G17686">
        <v>64.2</v>
      </c>
      <c r="H17686">
        <v>250101</v>
      </c>
      <c r="I17686">
        <v>4841</v>
      </c>
      <c r="J17686" t="s">
        <v>9</v>
      </c>
      <c r="K17686">
        <v>1524.06</v>
      </c>
      <c r="L17686">
        <v>13.04</v>
      </c>
      <c r="M17686">
        <v>13940</v>
      </c>
      <c r="N17686" t="s">
        <v>14</v>
      </c>
      <c r="O17686">
        <v>250116</v>
      </c>
      <c r="P17686">
        <v>51.16</v>
      </c>
    </row>
    <row r="17687" spans="1:16" x14ac:dyDescent="0.25">
      <c r="A17687" t="s">
        <v>3296</v>
      </c>
      <c r="B17687" t="s">
        <v>2931</v>
      </c>
      <c r="C17687">
        <v>197</v>
      </c>
      <c r="D17687" t="str">
        <f t="shared" si="310"/>
        <v>649250048576</v>
      </c>
      <c r="E17687" t="s">
        <v>2822</v>
      </c>
      <c r="F17687" t="s">
        <v>2823</v>
      </c>
      <c r="G17687">
        <v>60.02</v>
      </c>
      <c r="H17687">
        <v>250101</v>
      </c>
      <c r="I17687">
        <v>4841</v>
      </c>
      <c r="J17687" t="s">
        <v>9</v>
      </c>
      <c r="K17687">
        <v>1524.06</v>
      </c>
      <c r="L17687">
        <v>12.2</v>
      </c>
      <c r="M17687">
        <v>17132</v>
      </c>
      <c r="N17687" t="s">
        <v>174</v>
      </c>
      <c r="O17687">
        <v>250116</v>
      </c>
      <c r="P17687">
        <v>47.82</v>
      </c>
    </row>
    <row r="17688" spans="1:16" x14ac:dyDescent="0.25">
      <c r="A17688" t="s">
        <v>3296</v>
      </c>
      <c r="B17688" t="s">
        <v>2931</v>
      </c>
      <c r="C17688">
        <v>197</v>
      </c>
      <c r="D17688" t="str">
        <f t="shared" si="310"/>
        <v>649250048576</v>
      </c>
      <c r="E17688" t="s">
        <v>2822</v>
      </c>
      <c r="F17688" t="s">
        <v>2823</v>
      </c>
      <c r="G17688">
        <v>60.01</v>
      </c>
      <c r="H17688">
        <v>250101</v>
      </c>
      <c r="I17688">
        <v>4841</v>
      </c>
      <c r="J17688" t="s">
        <v>9</v>
      </c>
      <c r="K17688">
        <v>1524.06</v>
      </c>
      <c r="L17688">
        <v>12.19</v>
      </c>
      <c r="M17688">
        <v>18125</v>
      </c>
      <c r="N17688" t="s">
        <v>1230</v>
      </c>
      <c r="O17688">
        <v>250116</v>
      </c>
      <c r="P17688">
        <v>47.82</v>
      </c>
    </row>
    <row r="17689" spans="1:16" x14ac:dyDescent="0.25">
      <c r="A17689" t="s">
        <v>3296</v>
      </c>
      <c r="B17689" t="s">
        <v>2931</v>
      </c>
      <c r="C17689">
        <v>197</v>
      </c>
      <c r="D17689" t="str">
        <f t="shared" si="310"/>
        <v>649250048576</v>
      </c>
      <c r="E17689" t="s">
        <v>2822</v>
      </c>
      <c r="F17689" t="s">
        <v>2823</v>
      </c>
      <c r="G17689">
        <v>60.01</v>
      </c>
      <c r="H17689">
        <v>250101</v>
      </c>
      <c r="I17689">
        <v>4841</v>
      </c>
      <c r="J17689" t="s">
        <v>9</v>
      </c>
      <c r="K17689">
        <v>1524.06</v>
      </c>
      <c r="L17689">
        <v>12.19</v>
      </c>
      <c r="M17689">
        <v>18125</v>
      </c>
      <c r="N17689" t="s">
        <v>1230</v>
      </c>
      <c r="O17689">
        <v>250116</v>
      </c>
      <c r="P17689">
        <v>47.82</v>
      </c>
    </row>
    <row r="17690" spans="1:16" x14ac:dyDescent="0.25">
      <c r="A17690" t="s">
        <v>3296</v>
      </c>
      <c r="B17690" t="s">
        <v>2931</v>
      </c>
      <c r="C17690">
        <v>3800</v>
      </c>
      <c r="D17690" t="str">
        <f t="shared" ref="D17690:D17698" si="311">"649250088710"</f>
        <v>649250088710</v>
      </c>
      <c r="E17690" t="s">
        <v>2822</v>
      </c>
      <c r="F17690" t="s">
        <v>2823</v>
      </c>
      <c r="G17690">
        <v>181.4</v>
      </c>
      <c r="H17690">
        <v>250401</v>
      </c>
      <c r="I17690">
        <v>4841</v>
      </c>
      <c r="J17690" t="s">
        <v>9</v>
      </c>
      <c r="K17690">
        <v>1524.06</v>
      </c>
      <c r="L17690">
        <v>36.86</v>
      </c>
      <c r="M17690">
        <v>13901</v>
      </c>
      <c r="N17690" t="s">
        <v>116</v>
      </c>
      <c r="O17690">
        <v>250401</v>
      </c>
      <c r="P17690">
        <v>144.54</v>
      </c>
    </row>
    <row r="17691" spans="1:16" x14ac:dyDescent="0.25">
      <c r="A17691" t="s">
        <v>3296</v>
      </c>
      <c r="B17691" t="s">
        <v>2931</v>
      </c>
      <c r="C17691">
        <v>3800</v>
      </c>
      <c r="D17691" t="str">
        <f t="shared" si="311"/>
        <v>649250088710</v>
      </c>
      <c r="E17691" t="s">
        <v>2822</v>
      </c>
      <c r="F17691" t="s">
        <v>2823</v>
      </c>
      <c r="G17691">
        <v>181.4</v>
      </c>
      <c r="H17691">
        <v>250401</v>
      </c>
      <c r="I17691">
        <v>4841</v>
      </c>
      <c r="J17691" t="s">
        <v>9</v>
      </c>
      <c r="K17691">
        <v>1524.06</v>
      </c>
      <c r="L17691">
        <v>36.86</v>
      </c>
      <c r="M17691">
        <v>13901</v>
      </c>
      <c r="N17691" t="s">
        <v>116</v>
      </c>
      <c r="O17691">
        <v>250401</v>
      </c>
      <c r="P17691">
        <v>144.54</v>
      </c>
    </row>
    <row r="17692" spans="1:16" x14ac:dyDescent="0.25">
      <c r="A17692" t="s">
        <v>3296</v>
      </c>
      <c r="B17692" t="s">
        <v>2931</v>
      </c>
      <c r="C17692">
        <v>3800</v>
      </c>
      <c r="D17692" t="str">
        <f t="shared" si="311"/>
        <v>649250088710</v>
      </c>
      <c r="E17692" t="s">
        <v>2822</v>
      </c>
      <c r="F17692" t="s">
        <v>2823</v>
      </c>
      <c r="G17692">
        <v>181.4</v>
      </c>
      <c r="H17692">
        <v>250401</v>
      </c>
      <c r="I17692">
        <v>4841</v>
      </c>
      <c r="J17692" t="s">
        <v>9</v>
      </c>
      <c r="K17692">
        <v>1524.06</v>
      </c>
      <c r="L17692">
        <v>36.86</v>
      </c>
      <c r="M17692">
        <v>13901</v>
      </c>
      <c r="N17692" t="s">
        <v>116</v>
      </c>
      <c r="O17692">
        <v>250401</v>
      </c>
      <c r="P17692">
        <v>144.54</v>
      </c>
    </row>
    <row r="17693" spans="1:16" x14ac:dyDescent="0.25">
      <c r="A17693" t="s">
        <v>3296</v>
      </c>
      <c r="B17693" t="s">
        <v>2931</v>
      </c>
      <c r="C17693">
        <v>3800</v>
      </c>
      <c r="D17693" t="str">
        <f t="shared" si="311"/>
        <v>649250088710</v>
      </c>
      <c r="E17693" t="s">
        <v>2822</v>
      </c>
      <c r="F17693" t="s">
        <v>2823</v>
      </c>
      <c r="G17693">
        <v>181.4</v>
      </c>
      <c r="H17693">
        <v>250401</v>
      </c>
      <c r="I17693">
        <v>4841</v>
      </c>
      <c r="J17693" t="s">
        <v>9</v>
      </c>
      <c r="K17693">
        <v>1524.06</v>
      </c>
      <c r="L17693">
        <v>36.86</v>
      </c>
      <c r="M17693">
        <v>13901</v>
      </c>
      <c r="N17693" t="s">
        <v>116</v>
      </c>
      <c r="O17693">
        <v>250401</v>
      </c>
      <c r="P17693">
        <v>144.54</v>
      </c>
    </row>
    <row r="17694" spans="1:16" x14ac:dyDescent="0.25">
      <c r="A17694" t="s">
        <v>3296</v>
      </c>
      <c r="B17694" t="s">
        <v>2931</v>
      </c>
      <c r="C17694">
        <v>3800</v>
      </c>
      <c r="D17694" t="str">
        <f t="shared" si="311"/>
        <v>649250088710</v>
      </c>
      <c r="E17694" t="s">
        <v>2822</v>
      </c>
      <c r="F17694" t="s">
        <v>2823</v>
      </c>
      <c r="G17694">
        <v>244.2</v>
      </c>
      <c r="H17694">
        <v>250401</v>
      </c>
      <c r="I17694">
        <v>4841</v>
      </c>
      <c r="J17694" t="s">
        <v>9</v>
      </c>
      <c r="K17694">
        <v>1524.06</v>
      </c>
      <c r="L17694">
        <v>49.62</v>
      </c>
      <c r="M17694">
        <v>13901</v>
      </c>
      <c r="N17694" t="s">
        <v>116</v>
      </c>
      <c r="O17694">
        <v>250401</v>
      </c>
      <c r="P17694">
        <v>194.58</v>
      </c>
    </row>
    <row r="17695" spans="1:16" x14ac:dyDescent="0.25">
      <c r="A17695" t="s">
        <v>3296</v>
      </c>
      <c r="B17695" t="s">
        <v>2931</v>
      </c>
      <c r="C17695">
        <v>3800</v>
      </c>
      <c r="D17695" t="str">
        <f t="shared" si="311"/>
        <v>649250088710</v>
      </c>
      <c r="E17695" t="s">
        <v>2822</v>
      </c>
      <c r="F17695" t="s">
        <v>2823</v>
      </c>
      <c r="G17695">
        <v>181.4</v>
      </c>
      <c r="H17695">
        <v>250401</v>
      </c>
      <c r="I17695">
        <v>4841</v>
      </c>
      <c r="J17695" t="s">
        <v>9</v>
      </c>
      <c r="K17695">
        <v>1524.06</v>
      </c>
      <c r="L17695">
        <v>36.86</v>
      </c>
      <c r="M17695">
        <v>13901</v>
      </c>
      <c r="N17695" t="s">
        <v>116</v>
      </c>
      <c r="O17695">
        <v>250401</v>
      </c>
      <c r="P17695">
        <v>144.54</v>
      </c>
    </row>
    <row r="17696" spans="1:16" x14ac:dyDescent="0.25">
      <c r="A17696" t="s">
        <v>3296</v>
      </c>
      <c r="B17696" t="s">
        <v>2931</v>
      </c>
      <c r="C17696">
        <v>3800</v>
      </c>
      <c r="D17696" t="str">
        <f t="shared" si="311"/>
        <v>649250088710</v>
      </c>
      <c r="E17696" t="s">
        <v>2822</v>
      </c>
      <c r="F17696" t="s">
        <v>2823</v>
      </c>
      <c r="G17696">
        <v>64.2</v>
      </c>
      <c r="H17696">
        <v>250401</v>
      </c>
      <c r="I17696">
        <v>4841</v>
      </c>
      <c r="J17696" t="s">
        <v>9</v>
      </c>
      <c r="K17696">
        <v>1524.06</v>
      </c>
      <c r="L17696">
        <v>13.04</v>
      </c>
      <c r="M17696">
        <v>13940</v>
      </c>
      <c r="N17696" t="s">
        <v>14</v>
      </c>
      <c r="O17696">
        <v>250401</v>
      </c>
      <c r="P17696">
        <v>51.16</v>
      </c>
    </row>
    <row r="17697" spans="1:16" x14ac:dyDescent="0.25">
      <c r="A17697" t="s">
        <v>3296</v>
      </c>
      <c r="B17697" t="s">
        <v>2931</v>
      </c>
      <c r="C17697">
        <v>3800</v>
      </c>
      <c r="D17697" t="str">
        <f t="shared" si="311"/>
        <v>649250088710</v>
      </c>
      <c r="E17697" t="s">
        <v>2822</v>
      </c>
      <c r="F17697" t="s">
        <v>2823</v>
      </c>
      <c r="G17697">
        <v>60.02</v>
      </c>
      <c r="H17697">
        <v>250401</v>
      </c>
      <c r="I17697">
        <v>4841</v>
      </c>
      <c r="J17697" t="s">
        <v>9</v>
      </c>
      <c r="K17697">
        <v>1524.06</v>
      </c>
      <c r="L17697">
        <v>12.2</v>
      </c>
      <c r="M17697">
        <v>17132</v>
      </c>
      <c r="N17697" t="s">
        <v>174</v>
      </c>
      <c r="O17697">
        <v>250401</v>
      </c>
      <c r="P17697">
        <v>47.82</v>
      </c>
    </row>
    <row r="17698" spans="1:16" x14ac:dyDescent="0.25">
      <c r="A17698" t="s">
        <v>3296</v>
      </c>
      <c r="B17698" t="s">
        <v>2931</v>
      </c>
      <c r="C17698">
        <v>3800</v>
      </c>
      <c r="D17698" t="str">
        <f t="shared" si="311"/>
        <v>649250088710</v>
      </c>
      <c r="E17698" t="s">
        <v>2822</v>
      </c>
      <c r="F17698" t="s">
        <v>2823</v>
      </c>
      <c r="G17698">
        <v>120.02</v>
      </c>
      <c r="H17698">
        <v>250401</v>
      </c>
      <c r="I17698">
        <v>4841</v>
      </c>
      <c r="J17698" t="s">
        <v>9</v>
      </c>
      <c r="K17698">
        <v>1524.06</v>
      </c>
      <c r="L17698">
        <v>24.39</v>
      </c>
      <c r="M17698">
        <v>18125</v>
      </c>
      <c r="N17698" t="s">
        <v>1230</v>
      </c>
      <c r="O17698">
        <v>250401</v>
      </c>
      <c r="P17698">
        <v>95.63</v>
      </c>
    </row>
    <row r="17699" spans="1:16" x14ac:dyDescent="0.25">
      <c r="A17699" t="s">
        <v>3296</v>
      </c>
      <c r="B17699" t="s">
        <v>2931</v>
      </c>
      <c r="C17699">
        <v>9107</v>
      </c>
      <c r="D17699" t="str">
        <f>"060625      "</f>
        <v xml:space="preserve">060625      </v>
      </c>
      <c r="E17699" t="s">
        <v>2822</v>
      </c>
      <c r="F17699" t="s">
        <v>2823</v>
      </c>
      <c r="G17699">
        <v>5659</v>
      </c>
      <c r="H17699">
        <v>250606</v>
      </c>
      <c r="I17699">
        <v>4841</v>
      </c>
      <c r="J17699" t="s">
        <v>9</v>
      </c>
      <c r="K17699">
        <v>5659</v>
      </c>
      <c r="L17699">
        <v>1149.8399999999999</v>
      </c>
      <c r="M17699">
        <v>18993</v>
      </c>
      <c r="N17699" t="s">
        <v>540</v>
      </c>
      <c r="O17699">
        <v>250626</v>
      </c>
      <c r="P17699">
        <v>4509.16</v>
      </c>
    </row>
    <row r="17700" spans="1:16" x14ac:dyDescent="0.25">
      <c r="A17700" t="s">
        <v>3296</v>
      </c>
      <c r="B17700" t="s">
        <v>2931</v>
      </c>
      <c r="C17700">
        <v>64</v>
      </c>
      <c r="D17700" t="str">
        <f>"649250033202"</f>
        <v>649250033202</v>
      </c>
      <c r="E17700" t="s">
        <v>2822</v>
      </c>
      <c r="F17700" t="s">
        <v>2823</v>
      </c>
      <c r="G17700">
        <v>891.07</v>
      </c>
      <c r="H17700">
        <v>250101</v>
      </c>
      <c r="I17700">
        <v>4842</v>
      </c>
      <c r="J17700" t="s">
        <v>15</v>
      </c>
      <c r="K17700">
        <v>891.07</v>
      </c>
      <c r="L17700">
        <v>181.05</v>
      </c>
      <c r="M17700">
        <v>17913</v>
      </c>
      <c r="N17700" t="s">
        <v>26</v>
      </c>
      <c r="O17700">
        <v>250102</v>
      </c>
      <c r="P17700">
        <v>710.02</v>
      </c>
    </row>
    <row r="17701" spans="1:16" x14ac:dyDescent="0.25">
      <c r="A17701" t="s">
        <v>3296</v>
      </c>
      <c r="B17701" t="s">
        <v>2931</v>
      </c>
      <c r="C17701">
        <v>72</v>
      </c>
      <c r="D17701" t="str">
        <f>"649250033203"</f>
        <v>649250033203</v>
      </c>
      <c r="E17701" t="s">
        <v>2822</v>
      </c>
      <c r="F17701" t="s">
        <v>2823</v>
      </c>
      <c r="G17701">
        <v>447.33</v>
      </c>
      <c r="H17701">
        <v>250101</v>
      </c>
      <c r="I17701">
        <v>4842</v>
      </c>
      <c r="J17701" t="s">
        <v>15</v>
      </c>
      <c r="K17701">
        <v>498.93</v>
      </c>
      <c r="L17701">
        <v>90.89</v>
      </c>
      <c r="M17701">
        <v>59702</v>
      </c>
      <c r="N17701" t="s">
        <v>45</v>
      </c>
      <c r="O17701">
        <v>250103</v>
      </c>
      <c r="P17701">
        <v>356.44</v>
      </c>
    </row>
    <row r="17702" spans="1:16" x14ac:dyDescent="0.25">
      <c r="A17702" t="s">
        <v>3296</v>
      </c>
      <c r="B17702" t="s">
        <v>2931</v>
      </c>
      <c r="C17702">
        <v>1995</v>
      </c>
      <c r="D17702" t="str">
        <f>"649250067283"</f>
        <v>649250067283</v>
      </c>
      <c r="E17702" t="s">
        <v>2822</v>
      </c>
      <c r="F17702" t="s">
        <v>2823</v>
      </c>
      <c r="G17702">
        <v>660.74</v>
      </c>
      <c r="H17702">
        <v>250301</v>
      </c>
      <c r="I17702">
        <v>4842</v>
      </c>
      <c r="J17702" t="s">
        <v>15</v>
      </c>
      <c r="K17702">
        <v>734.16</v>
      </c>
      <c r="L17702">
        <v>134.25</v>
      </c>
      <c r="M17702">
        <v>69113</v>
      </c>
      <c r="N17702" t="s">
        <v>122</v>
      </c>
      <c r="O17702">
        <v>250218</v>
      </c>
      <c r="P17702">
        <v>526.49</v>
      </c>
    </row>
    <row r="17703" spans="1:16" x14ac:dyDescent="0.25">
      <c r="A17703" t="s">
        <v>3296</v>
      </c>
      <c r="B17703" t="s">
        <v>2931</v>
      </c>
      <c r="C17703">
        <v>1995</v>
      </c>
      <c r="D17703" t="str">
        <f>"649250067283"</f>
        <v>649250067283</v>
      </c>
      <c r="E17703" t="s">
        <v>2822</v>
      </c>
      <c r="F17703" t="s">
        <v>2823</v>
      </c>
      <c r="G17703">
        <v>36.71</v>
      </c>
      <c r="H17703">
        <v>250301</v>
      </c>
      <c r="I17703">
        <v>4842</v>
      </c>
      <c r="J17703" t="s">
        <v>15</v>
      </c>
      <c r="K17703">
        <v>734.16</v>
      </c>
      <c r="L17703">
        <v>7.46</v>
      </c>
      <c r="M17703">
        <v>69802</v>
      </c>
      <c r="N17703" t="s">
        <v>375</v>
      </c>
      <c r="O17703">
        <v>250218</v>
      </c>
      <c r="P17703">
        <v>29.25</v>
      </c>
    </row>
    <row r="17704" spans="1:16" x14ac:dyDescent="0.25">
      <c r="A17704" t="s">
        <v>3296</v>
      </c>
      <c r="B17704" t="s">
        <v>2931</v>
      </c>
      <c r="C17704">
        <v>1995</v>
      </c>
      <c r="D17704" t="str">
        <f>"649250067283"</f>
        <v>649250067283</v>
      </c>
      <c r="E17704" t="s">
        <v>2822</v>
      </c>
      <c r="F17704" t="s">
        <v>2823</v>
      </c>
      <c r="G17704">
        <v>36.71</v>
      </c>
      <c r="H17704">
        <v>250301</v>
      </c>
      <c r="I17704">
        <v>4842</v>
      </c>
      <c r="J17704" t="s">
        <v>15</v>
      </c>
      <c r="K17704">
        <v>734.16</v>
      </c>
      <c r="L17704">
        <v>7.46</v>
      </c>
      <c r="M17704">
        <v>69804</v>
      </c>
      <c r="N17704" t="s">
        <v>376</v>
      </c>
      <c r="O17704">
        <v>250218</v>
      </c>
      <c r="P17704">
        <v>29.25</v>
      </c>
    </row>
    <row r="17705" spans="1:16" x14ac:dyDescent="0.25">
      <c r="A17705" t="s">
        <v>3296</v>
      </c>
      <c r="B17705" t="s">
        <v>2931</v>
      </c>
      <c r="C17705">
        <v>8876</v>
      </c>
      <c r="D17705" t="str">
        <f>"649250139421"</f>
        <v>649250139421</v>
      </c>
      <c r="E17705" t="s">
        <v>2822</v>
      </c>
      <c r="F17705" t="s">
        <v>2823</v>
      </c>
      <c r="G17705">
        <v>702.82</v>
      </c>
      <c r="H17705">
        <v>250701</v>
      </c>
      <c r="I17705">
        <v>4842</v>
      </c>
      <c r="J17705" t="s">
        <v>15</v>
      </c>
      <c r="K17705">
        <v>702.82</v>
      </c>
      <c r="L17705">
        <v>142.80000000000001</v>
      </c>
      <c r="M17705">
        <v>17913</v>
      </c>
      <c r="N17705" t="s">
        <v>26</v>
      </c>
      <c r="O17705">
        <v>250618</v>
      </c>
      <c r="P17705">
        <v>560.02</v>
      </c>
    </row>
    <row r="17706" spans="1:16" x14ac:dyDescent="0.25">
      <c r="A17706" t="s">
        <v>3296</v>
      </c>
      <c r="B17706" t="s">
        <v>2931</v>
      </c>
      <c r="C17706">
        <v>10554</v>
      </c>
      <c r="D17706" t="str">
        <f>"649250172957"</f>
        <v>649250172957</v>
      </c>
      <c r="E17706" t="s">
        <v>2822</v>
      </c>
      <c r="F17706" t="s">
        <v>2823</v>
      </c>
      <c r="G17706">
        <v>445.37</v>
      </c>
      <c r="H17706">
        <v>250804</v>
      </c>
      <c r="I17706">
        <v>4842</v>
      </c>
      <c r="J17706" t="s">
        <v>15</v>
      </c>
      <c r="K17706">
        <v>734.16</v>
      </c>
      <c r="L17706">
        <v>90.49</v>
      </c>
      <c r="M17706">
        <v>69113</v>
      </c>
      <c r="N17706" t="s">
        <v>122</v>
      </c>
      <c r="O17706">
        <v>250820</v>
      </c>
      <c r="P17706">
        <v>354.88</v>
      </c>
    </row>
    <row r="17707" spans="1:16" x14ac:dyDescent="0.25">
      <c r="A17707" t="s">
        <v>3296</v>
      </c>
      <c r="B17707" t="s">
        <v>2931</v>
      </c>
      <c r="C17707">
        <v>10554</v>
      </c>
      <c r="D17707" t="str">
        <f>"649250172957"</f>
        <v>649250172957</v>
      </c>
      <c r="E17707" t="s">
        <v>2822</v>
      </c>
      <c r="F17707" t="s">
        <v>2823</v>
      </c>
      <c r="G17707">
        <v>24.74</v>
      </c>
      <c r="H17707">
        <v>250804</v>
      </c>
      <c r="I17707">
        <v>4842</v>
      </c>
      <c r="J17707" t="s">
        <v>15</v>
      </c>
      <c r="K17707">
        <v>734.16</v>
      </c>
      <c r="L17707">
        <v>5.03</v>
      </c>
      <c r="M17707">
        <v>69802</v>
      </c>
      <c r="N17707" t="s">
        <v>375</v>
      </c>
      <c r="O17707">
        <v>250820</v>
      </c>
      <c r="P17707">
        <v>19.71</v>
      </c>
    </row>
    <row r="17708" spans="1:16" x14ac:dyDescent="0.25">
      <c r="A17708" t="s">
        <v>3296</v>
      </c>
      <c r="B17708" t="s">
        <v>2931</v>
      </c>
      <c r="C17708">
        <v>10554</v>
      </c>
      <c r="D17708" t="str">
        <f>"649250172957"</f>
        <v>649250172957</v>
      </c>
      <c r="E17708" t="s">
        <v>2822</v>
      </c>
      <c r="F17708" t="s">
        <v>2823</v>
      </c>
      <c r="G17708">
        <v>24.74</v>
      </c>
      <c r="H17708">
        <v>250804</v>
      </c>
      <c r="I17708">
        <v>4842</v>
      </c>
      <c r="J17708" t="s">
        <v>15</v>
      </c>
      <c r="K17708">
        <v>734.16</v>
      </c>
      <c r="L17708">
        <v>5.03</v>
      </c>
      <c r="M17708">
        <v>69804</v>
      </c>
      <c r="N17708" t="s">
        <v>376</v>
      </c>
      <c r="O17708">
        <v>250820</v>
      </c>
      <c r="P17708">
        <v>19.71</v>
      </c>
    </row>
    <row r="17709" spans="1:16" x14ac:dyDescent="0.25">
      <c r="A17709" t="s">
        <v>3296</v>
      </c>
      <c r="B17709" t="s">
        <v>2931</v>
      </c>
      <c r="C17709">
        <v>911</v>
      </c>
      <c r="D17709" t="str">
        <f>"22139       "</f>
        <v xml:space="preserve">22139       </v>
      </c>
      <c r="E17709" t="s">
        <v>774</v>
      </c>
      <c r="F17709" t="s">
        <v>775</v>
      </c>
      <c r="G17709">
        <v>2080</v>
      </c>
      <c r="H17709">
        <v>250129</v>
      </c>
      <c r="I17709">
        <v>4380</v>
      </c>
      <c r="J17709" t="s">
        <v>211</v>
      </c>
      <c r="K17709">
        <v>2080</v>
      </c>
      <c r="L17709">
        <v>422.63</v>
      </c>
      <c r="M17709">
        <v>13841</v>
      </c>
      <c r="N17709" t="s">
        <v>178</v>
      </c>
      <c r="O17709">
        <v>250131</v>
      </c>
      <c r="P17709">
        <v>1657.37</v>
      </c>
    </row>
    <row r="17710" spans="1:16" x14ac:dyDescent="0.25">
      <c r="A17710" t="s">
        <v>3296</v>
      </c>
      <c r="B17710" t="s">
        <v>2931</v>
      </c>
      <c r="C17710">
        <v>2718</v>
      </c>
      <c r="D17710" t="str">
        <f>"22256       "</f>
        <v xml:space="preserve">22256       </v>
      </c>
      <c r="E17710" t="s">
        <v>774</v>
      </c>
      <c r="F17710" t="s">
        <v>775</v>
      </c>
      <c r="G17710">
        <v>2080</v>
      </c>
      <c r="H17710">
        <v>250227</v>
      </c>
      <c r="I17710">
        <v>4380</v>
      </c>
      <c r="J17710" t="s">
        <v>211</v>
      </c>
      <c r="K17710">
        <v>2080</v>
      </c>
      <c r="L17710">
        <v>422.63</v>
      </c>
      <c r="M17710">
        <v>13841</v>
      </c>
      <c r="N17710" t="s">
        <v>178</v>
      </c>
      <c r="O17710">
        <v>250311</v>
      </c>
      <c r="P17710">
        <v>1657.37</v>
      </c>
    </row>
    <row r="17711" spans="1:16" x14ac:dyDescent="0.25">
      <c r="A17711" t="s">
        <v>3296</v>
      </c>
      <c r="B17711" t="s">
        <v>2931</v>
      </c>
      <c r="C17711">
        <v>4292</v>
      </c>
      <c r="D17711" t="str">
        <f>"22380       "</f>
        <v xml:space="preserve">22380       </v>
      </c>
      <c r="E17711" t="s">
        <v>774</v>
      </c>
      <c r="F17711" t="s">
        <v>775</v>
      </c>
      <c r="G17711">
        <v>2080</v>
      </c>
      <c r="H17711">
        <v>250328</v>
      </c>
      <c r="I17711">
        <v>4380</v>
      </c>
      <c r="J17711" t="s">
        <v>211</v>
      </c>
      <c r="K17711">
        <v>2080</v>
      </c>
      <c r="L17711">
        <v>422.63</v>
      </c>
      <c r="M17711">
        <v>13841</v>
      </c>
      <c r="N17711" t="s">
        <v>178</v>
      </c>
      <c r="O17711">
        <v>250410</v>
      </c>
      <c r="P17711">
        <v>1657.37</v>
      </c>
    </row>
    <row r="17712" spans="1:16" x14ac:dyDescent="0.25">
      <c r="A17712" t="s">
        <v>3296</v>
      </c>
      <c r="B17712" t="s">
        <v>2931</v>
      </c>
      <c r="C17712">
        <v>5943</v>
      </c>
      <c r="D17712" t="str">
        <f>"22519       "</f>
        <v xml:space="preserve">22519       </v>
      </c>
      <c r="E17712" t="s">
        <v>774</v>
      </c>
      <c r="F17712" t="s">
        <v>775</v>
      </c>
      <c r="G17712">
        <v>2220.0100000000002</v>
      </c>
      <c r="H17712">
        <v>250430</v>
      </c>
      <c r="I17712">
        <v>4380</v>
      </c>
      <c r="J17712" t="s">
        <v>211</v>
      </c>
      <c r="K17712">
        <v>2220.0100000000002</v>
      </c>
      <c r="L17712">
        <v>451.08</v>
      </c>
      <c r="M17712">
        <v>13841</v>
      </c>
      <c r="N17712" t="s">
        <v>178</v>
      </c>
      <c r="O17712">
        <v>250507</v>
      </c>
      <c r="P17712">
        <v>1768.93</v>
      </c>
    </row>
    <row r="17713" spans="1:16" x14ac:dyDescent="0.25">
      <c r="A17713" t="s">
        <v>3296</v>
      </c>
      <c r="B17713" t="s">
        <v>2931</v>
      </c>
      <c r="C17713">
        <v>7594</v>
      </c>
      <c r="D17713" t="str">
        <f>"22672       "</f>
        <v xml:space="preserve">22672       </v>
      </c>
      <c r="E17713" t="s">
        <v>774</v>
      </c>
      <c r="F17713" t="s">
        <v>775</v>
      </c>
      <c r="G17713">
        <v>2080</v>
      </c>
      <c r="H17713">
        <v>250528</v>
      </c>
      <c r="I17713">
        <v>4380</v>
      </c>
      <c r="J17713" t="s">
        <v>211</v>
      </c>
      <c r="K17713">
        <v>2080</v>
      </c>
      <c r="L17713">
        <v>422.63</v>
      </c>
      <c r="M17713">
        <v>13841</v>
      </c>
      <c r="N17713" t="s">
        <v>178</v>
      </c>
      <c r="O17713">
        <v>250604</v>
      </c>
      <c r="P17713">
        <v>1657.37</v>
      </c>
    </row>
    <row r="17714" spans="1:16" x14ac:dyDescent="0.25">
      <c r="A17714" t="s">
        <v>3296</v>
      </c>
      <c r="B17714" t="s">
        <v>2931</v>
      </c>
      <c r="C17714">
        <v>9384</v>
      </c>
      <c r="D17714" t="str">
        <f>"22815       "</f>
        <v xml:space="preserve">22815       </v>
      </c>
      <c r="E17714" t="s">
        <v>774</v>
      </c>
      <c r="F17714" t="s">
        <v>775</v>
      </c>
      <c r="G17714">
        <v>1995.45</v>
      </c>
      <c r="H17714">
        <v>250629</v>
      </c>
      <c r="I17714">
        <v>4380</v>
      </c>
      <c r="J17714" t="s">
        <v>211</v>
      </c>
      <c r="K17714">
        <v>1995.45</v>
      </c>
      <c r="L17714">
        <v>405.45</v>
      </c>
      <c r="M17714">
        <v>13841</v>
      </c>
      <c r="N17714" t="s">
        <v>178</v>
      </c>
      <c r="O17714">
        <v>250707</v>
      </c>
      <c r="P17714">
        <v>1590</v>
      </c>
    </row>
    <row r="17715" spans="1:16" x14ac:dyDescent="0.25">
      <c r="A17715" t="s">
        <v>3296</v>
      </c>
      <c r="B17715" t="s">
        <v>2931</v>
      </c>
      <c r="C17715">
        <v>11173</v>
      </c>
      <c r="D17715" t="str">
        <f>"23126       "</f>
        <v xml:space="preserve">23126       </v>
      </c>
      <c r="E17715" t="s">
        <v>774</v>
      </c>
      <c r="F17715" t="s">
        <v>775</v>
      </c>
      <c r="G17715">
        <v>2080</v>
      </c>
      <c r="H17715">
        <v>250829</v>
      </c>
      <c r="I17715">
        <v>4380</v>
      </c>
      <c r="J17715" t="s">
        <v>211</v>
      </c>
      <c r="K17715">
        <v>2080</v>
      </c>
      <c r="L17715">
        <v>422.63</v>
      </c>
      <c r="M17715">
        <v>13841</v>
      </c>
      <c r="N17715" t="s">
        <v>178</v>
      </c>
      <c r="O17715">
        <v>250901</v>
      </c>
      <c r="P17715">
        <v>1657.37</v>
      </c>
    </row>
    <row r="17716" spans="1:16" x14ac:dyDescent="0.25">
      <c r="A17716" t="s">
        <v>3296</v>
      </c>
      <c r="B17716" t="s">
        <v>2931</v>
      </c>
      <c r="C17716">
        <v>2811</v>
      </c>
      <c r="D17716" t="str">
        <f>"105255      "</f>
        <v xml:space="preserve">105255      </v>
      </c>
      <c r="E17716" t="s">
        <v>1364</v>
      </c>
      <c r="F17716" t="s">
        <v>1365</v>
      </c>
      <c r="G17716">
        <v>85</v>
      </c>
      <c r="H17716">
        <v>250228</v>
      </c>
      <c r="I17716">
        <v>4510</v>
      </c>
      <c r="J17716" t="s">
        <v>240</v>
      </c>
      <c r="K17716">
        <v>85</v>
      </c>
      <c r="L17716">
        <v>7.73</v>
      </c>
      <c r="M17716">
        <v>54622</v>
      </c>
      <c r="N17716" t="s">
        <v>42</v>
      </c>
      <c r="O17716">
        <v>250312</v>
      </c>
      <c r="P17716">
        <v>77.27</v>
      </c>
    </row>
    <row r="17717" spans="1:16" x14ac:dyDescent="0.25">
      <c r="A17717" t="s">
        <v>3296</v>
      </c>
      <c r="B17717" t="s">
        <v>2931</v>
      </c>
      <c r="C17717">
        <v>5630</v>
      </c>
      <c r="D17717" t="str">
        <f>"114611      "</f>
        <v xml:space="preserve">114611      </v>
      </c>
      <c r="E17717" t="s">
        <v>1772</v>
      </c>
      <c r="F17717" t="s">
        <v>1773</v>
      </c>
      <c r="G17717">
        <v>460.6</v>
      </c>
      <c r="H17717">
        <v>250422</v>
      </c>
      <c r="I17717">
        <v>4600</v>
      </c>
      <c r="J17717" t="s">
        <v>278</v>
      </c>
      <c r="K17717">
        <v>460.6</v>
      </c>
      <c r="L17717">
        <v>93.59</v>
      </c>
      <c r="M17717">
        <v>59501</v>
      </c>
      <c r="N17717" t="s">
        <v>62</v>
      </c>
      <c r="O17717">
        <v>250428</v>
      </c>
      <c r="P17717">
        <v>367.01</v>
      </c>
    </row>
    <row r="17718" spans="1:16" x14ac:dyDescent="0.25">
      <c r="A17718" t="s">
        <v>3296</v>
      </c>
      <c r="B17718" t="s">
        <v>2931</v>
      </c>
      <c r="C17718">
        <v>2208</v>
      </c>
      <c r="D17718" t="str">
        <f>"125/8233    "</f>
        <v xml:space="preserve">125/8233    </v>
      </c>
      <c r="E17718" t="s">
        <v>1187</v>
      </c>
      <c r="F17718" t="s">
        <v>1188</v>
      </c>
      <c r="G17718">
        <v>155.25</v>
      </c>
      <c r="H17718">
        <v>250217</v>
      </c>
      <c r="I17718">
        <v>4532</v>
      </c>
      <c r="J17718" t="s">
        <v>296</v>
      </c>
      <c r="K17718">
        <v>155.25</v>
      </c>
      <c r="L17718">
        <v>31.54</v>
      </c>
      <c r="M17718">
        <v>59815</v>
      </c>
      <c r="N17718" t="s">
        <v>1001</v>
      </c>
      <c r="O17718">
        <v>250221</v>
      </c>
      <c r="P17718">
        <v>123.71</v>
      </c>
    </row>
    <row r="17719" spans="1:16" x14ac:dyDescent="0.25">
      <c r="A17719" t="s">
        <v>3296</v>
      </c>
      <c r="B17719" t="s">
        <v>2931</v>
      </c>
      <c r="C17719">
        <v>13938</v>
      </c>
      <c r="D17719" t="str">
        <f>"125/56722   "</f>
        <v xml:space="preserve">125/56722   </v>
      </c>
      <c r="E17719" t="s">
        <v>1187</v>
      </c>
      <c r="F17719" t="s">
        <v>1188</v>
      </c>
      <c r="G17719">
        <v>300</v>
      </c>
      <c r="H17719">
        <v>251007</v>
      </c>
      <c r="I17719">
        <v>4532</v>
      </c>
      <c r="J17719" t="s">
        <v>296</v>
      </c>
      <c r="K17719">
        <v>300</v>
      </c>
      <c r="L17719">
        <v>60.96</v>
      </c>
      <c r="M17719">
        <v>17527</v>
      </c>
      <c r="N17719" t="s">
        <v>142</v>
      </c>
      <c r="O17719">
        <v>251021</v>
      </c>
      <c r="P17719">
        <v>239.04</v>
      </c>
    </row>
    <row r="17720" spans="1:16" x14ac:dyDescent="0.25">
      <c r="A17720" t="s">
        <v>3296</v>
      </c>
      <c r="B17720" t="s">
        <v>2931</v>
      </c>
      <c r="C17720">
        <v>14198</v>
      </c>
      <c r="D17720" t="str">
        <f>"125/58796   "</f>
        <v xml:space="preserve">125/58796   </v>
      </c>
      <c r="E17720" t="s">
        <v>1187</v>
      </c>
      <c r="F17720" t="s">
        <v>1188</v>
      </c>
      <c r="G17720">
        <v>412.9</v>
      </c>
      <c r="H17720">
        <v>251016</v>
      </c>
      <c r="I17720">
        <v>4532</v>
      </c>
      <c r="J17720" t="s">
        <v>296</v>
      </c>
      <c r="K17720">
        <v>412.9</v>
      </c>
      <c r="L17720">
        <v>83.9</v>
      </c>
      <c r="M17720">
        <v>59704</v>
      </c>
      <c r="N17720" t="s">
        <v>46</v>
      </c>
      <c r="O17720">
        <v>251027</v>
      </c>
      <c r="P17720">
        <v>329</v>
      </c>
    </row>
    <row r="17721" spans="1:16" x14ac:dyDescent="0.25">
      <c r="A17721" t="s">
        <v>3296</v>
      </c>
      <c r="B17721" t="s">
        <v>2931</v>
      </c>
      <c r="C17721">
        <v>2018</v>
      </c>
      <c r="D17721" t="str">
        <f>"125/5866    "</f>
        <v xml:space="preserve">125/5866    </v>
      </c>
      <c r="E17721" t="s">
        <v>1187</v>
      </c>
      <c r="F17721" t="s">
        <v>1188</v>
      </c>
      <c r="G17721">
        <v>519.29999999999995</v>
      </c>
      <c r="H17721">
        <v>250205</v>
      </c>
      <c r="I17721">
        <v>4600</v>
      </c>
      <c r="J17721" t="s">
        <v>278</v>
      </c>
      <c r="K17721">
        <v>519.29999999999995</v>
      </c>
      <c r="L17721">
        <v>105.52</v>
      </c>
      <c r="M17721">
        <v>13861</v>
      </c>
      <c r="N17721" t="s">
        <v>604</v>
      </c>
      <c r="O17721">
        <v>250219</v>
      </c>
      <c r="P17721">
        <v>413.78</v>
      </c>
    </row>
    <row r="17722" spans="1:16" x14ac:dyDescent="0.25">
      <c r="A17722" t="s">
        <v>3296</v>
      </c>
      <c r="B17722" t="s">
        <v>2931</v>
      </c>
      <c r="C17722">
        <v>2800</v>
      </c>
      <c r="D17722" t="str">
        <f>"125/10913   "</f>
        <v xml:space="preserve">125/10913   </v>
      </c>
      <c r="E17722" t="s">
        <v>1187</v>
      </c>
      <c r="F17722" t="s">
        <v>1188</v>
      </c>
      <c r="G17722">
        <v>412.9</v>
      </c>
      <c r="H17722">
        <v>250228</v>
      </c>
      <c r="I17722">
        <v>4600</v>
      </c>
      <c r="J17722" t="s">
        <v>278</v>
      </c>
      <c r="K17722">
        <v>412.9</v>
      </c>
      <c r="L17722">
        <v>83.9</v>
      </c>
      <c r="M17722">
        <v>13801</v>
      </c>
      <c r="N17722" t="s">
        <v>33</v>
      </c>
      <c r="O17722">
        <v>250312</v>
      </c>
      <c r="P17722">
        <v>329</v>
      </c>
    </row>
    <row r="17723" spans="1:16" x14ac:dyDescent="0.25">
      <c r="A17723" t="s">
        <v>3296</v>
      </c>
      <c r="B17723" t="s">
        <v>2931</v>
      </c>
      <c r="C17723">
        <v>5714</v>
      </c>
      <c r="D17723" t="str">
        <f>"125/20836   "</f>
        <v xml:space="preserve">125/20836   </v>
      </c>
      <c r="E17723" t="s">
        <v>1187</v>
      </c>
      <c r="F17723" t="s">
        <v>1188</v>
      </c>
      <c r="G17723">
        <v>569.85</v>
      </c>
      <c r="H17723">
        <v>250415</v>
      </c>
      <c r="I17723">
        <v>4600</v>
      </c>
      <c r="J17723" t="s">
        <v>278</v>
      </c>
      <c r="K17723">
        <v>569.85</v>
      </c>
      <c r="L17723">
        <v>115.79</v>
      </c>
      <c r="M17723">
        <v>11501</v>
      </c>
      <c r="N17723" t="s">
        <v>13</v>
      </c>
      <c r="O17723">
        <v>250429</v>
      </c>
      <c r="P17723">
        <v>454.06</v>
      </c>
    </row>
    <row r="17724" spans="1:16" x14ac:dyDescent="0.25">
      <c r="A17724" t="s">
        <v>3296</v>
      </c>
      <c r="B17724" t="s">
        <v>2931</v>
      </c>
      <c r="C17724">
        <v>12649</v>
      </c>
      <c r="D17724" t="str">
        <f>"125/52754   "</f>
        <v xml:space="preserve">125/52754   </v>
      </c>
      <c r="E17724" t="s">
        <v>1187</v>
      </c>
      <c r="F17724" t="s">
        <v>1188</v>
      </c>
      <c r="G17724">
        <v>412.9</v>
      </c>
      <c r="H17724">
        <v>250922</v>
      </c>
      <c r="I17724">
        <v>4600</v>
      </c>
      <c r="J17724" t="s">
        <v>278</v>
      </c>
      <c r="K17724">
        <v>412.9</v>
      </c>
      <c r="L17724">
        <v>83.9</v>
      </c>
      <c r="M17724">
        <v>17974</v>
      </c>
      <c r="N17724" t="s">
        <v>153</v>
      </c>
      <c r="O17724">
        <v>250929</v>
      </c>
      <c r="P17724">
        <v>329</v>
      </c>
    </row>
    <row r="17725" spans="1:16" x14ac:dyDescent="0.25">
      <c r="A17725" t="s">
        <v>3296</v>
      </c>
      <c r="B17725" t="s">
        <v>2931</v>
      </c>
      <c r="C17725">
        <v>17886</v>
      </c>
      <c r="D17725" t="str">
        <f>"125/74109   "</f>
        <v xml:space="preserve">125/74109   </v>
      </c>
      <c r="E17725" t="s">
        <v>1187</v>
      </c>
      <c r="F17725" t="s">
        <v>1188</v>
      </c>
      <c r="G17725">
        <v>300</v>
      </c>
      <c r="H17725">
        <v>251222</v>
      </c>
      <c r="I17725">
        <v>4600</v>
      </c>
      <c r="J17725" t="s">
        <v>278</v>
      </c>
      <c r="K17725">
        <v>300</v>
      </c>
      <c r="L17725">
        <v>60.96</v>
      </c>
      <c r="M17725">
        <v>46557</v>
      </c>
      <c r="N17725" t="s">
        <v>104</v>
      </c>
      <c r="O17725">
        <v>251231</v>
      </c>
      <c r="P17725">
        <v>239.04</v>
      </c>
    </row>
    <row r="17726" spans="1:16" x14ac:dyDescent="0.25">
      <c r="A17726" t="s">
        <v>3296</v>
      </c>
      <c r="B17726" t="s">
        <v>2931</v>
      </c>
      <c r="C17726">
        <v>2010</v>
      </c>
      <c r="D17726" t="str">
        <f>"180225      "</f>
        <v xml:space="preserve">180225      </v>
      </c>
      <c r="E17726" t="s">
        <v>1183</v>
      </c>
      <c r="F17726" t="s">
        <v>1184</v>
      </c>
      <c r="G17726">
        <v>1650.32</v>
      </c>
      <c r="H17726">
        <v>250217</v>
      </c>
      <c r="I17726">
        <v>4600</v>
      </c>
      <c r="J17726" t="s">
        <v>278</v>
      </c>
      <c r="K17726">
        <v>1650.32</v>
      </c>
      <c r="L17726">
        <v>335.32</v>
      </c>
      <c r="M17726">
        <v>56528</v>
      </c>
      <c r="N17726" t="s">
        <v>70</v>
      </c>
      <c r="O17726">
        <v>250219</v>
      </c>
      <c r="P17726">
        <v>1315</v>
      </c>
    </row>
    <row r="17727" spans="1:16" x14ac:dyDescent="0.25">
      <c r="A17727" t="s">
        <v>3296</v>
      </c>
      <c r="B17727" t="s">
        <v>2931</v>
      </c>
      <c r="C17727">
        <v>6639</v>
      </c>
      <c r="D17727" t="str">
        <f>"391         "</f>
        <v xml:space="preserve">391         </v>
      </c>
      <c r="E17727" t="s">
        <v>1183</v>
      </c>
      <c r="F17727" t="s">
        <v>1184</v>
      </c>
      <c r="G17727">
        <v>120</v>
      </c>
      <c r="H17727">
        <v>250502</v>
      </c>
      <c r="I17727">
        <v>4600</v>
      </c>
      <c r="J17727" t="s">
        <v>278</v>
      </c>
      <c r="K17727">
        <v>120</v>
      </c>
      <c r="L17727">
        <v>0</v>
      </c>
      <c r="M17727">
        <v>13802</v>
      </c>
      <c r="N17727" t="s">
        <v>34</v>
      </c>
      <c r="O17727">
        <v>250514</v>
      </c>
      <c r="P17727">
        <v>120</v>
      </c>
    </row>
    <row r="17728" spans="1:16" x14ac:dyDescent="0.25">
      <c r="A17728" t="s">
        <v>3296</v>
      </c>
      <c r="B17728" t="s">
        <v>2931</v>
      </c>
      <c r="C17728">
        <v>413</v>
      </c>
      <c r="D17728" t="str">
        <f>"775908      "</f>
        <v xml:space="preserve">775908      </v>
      </c>
      <c r="E17728" t="s">
        <v>483</v>
      </c>
      <c r="F17728" t="s">
        <v>484</v>
      </c>
      <c r="G17728">
        <v>803.87</v>
      </c>
      <c r="H17728">
        <v>250109</v>
      </c>
      <c r="I17728">
        <v>4555</v>
      </c>
      <c r="J17728" t="s">
        <v>352</v>
      </c>
      <c r="K17728">
        <v>803.87</v>
      </c>
      <c r="L17728">
        <v>163.34</v>
      </c>
      <c r="M17728">
        <v>44422</v>
      </c>
      <c r="N17728" t="s">
        <v>97</v>
      </c>
      <c r="O17728">
        <v>250122</v>
      </c>
      <c r="P17728">
        <v>640.53</v>
      </c>
    </row>
    <row r="17729" spans="1:16" x14ac:dyDescent="0.25">
      <c r="A17729" t="s">
        <v>3296</v>
      </c>
      <c r="B17729" t="s">
        <v>2931</v>
      </c>
      <c r="C17729">
        <v>1121</v>
      </c>
      <c r="D17729" t="str">
        <f>"777784      "</f>
        <v xml:space="preserve">777784      </v>
      </c>
      <c r="E17729" t="s">
        <v>483</v>
      </c>
      <c r="F17729" t="s">
        <v>484</v>
      </c>
      <c r="G17729">
        <v>284.54000000000002</v>
      </c>
      <c r="H17729">
        <v>250130</v>
      </c>
      <c r="I17729">
        <v>4555</v>
      </c>
      <c r="J17729" t="s">
        <v>352</v>
      </c>
      <c r="K17729">
        <v>284.54000000000002</v>
      </c>
      <c r="L17729">
        <v>57.81</v>
      </c>
      <c r="M17729">
        <v>44453</v>
      </c>
      <c r="N17729" t="s">
        <v>100</v>
      </c>
      <c r="O17729">
        <v>250204</v>
      </c>
      <c r="P17729">
        <v>226.73</v>
      </c>
    </row>
    <row r="17730" spans="1:16" x14ac:dyDescent="0.25">
      <c r="A17730" t="s">
        <v>3296</v>
      </c>
      <c r="B17730" t="s">
        <v>2931</v>
      </c>
      <c r="C17730">
        <v>2397</v>
      </c>
      <c r="D17730" t="str">
        <f>"779034      "</f>
        <v xml:space="preserve">779034      </v>
      </c>
      <c r="E17730" t="s">
        <v>483</v>
      </c>
      <c r="F17730" t="s">
        <v>484</v>
      </c>
      <c r="G17730">
        <v>130.35</v>
      </c>
      <c r="H17730">
        <v>250217</v>
      </c>
      <c r="I17730">
        <v>4555</v>
      </c>
      <c r="J17730" t="s">
        <v>352</v>
      </c>
      <c r="K17730">
        <v>130.35</v>
      </c>
      <c r="L17730">
        <v>26.49</v>
      </c>
      <c r="M17730">
        <v>44453</v>
      </c>
      <c r="N17730" t="s">
        <v>100</v>
      </c>
      <c r="O17730">
        <v>250225</v>
      </c>
      <c r="P17730">
        <v>103.86</v>
      </c>
    </row>
    <row r="17731" spans="1:16" x14ac:dyDescent="0.25">
      <c r="A17731" t="s">
        <v>3296</v>
      </c>
      <c r="B17731" t="s">
        <v>2931</v>
      </c>
      <c r="C17731">
        <v>5336</v>
      </c>
      <c r="D17731" t="str">
        <f>"783063      "</f>
        <v xml:space="preserve">783063      </v>
      </c>
      <c r="E17731" t="s">
        <v>483</v>
      </c>
      <c r="F17731" t="s">
        <v>484</v>
      </c>
      <c r="G17731">
        <v>672.07</v>
      </c>
      <c r="H17731">
        <v>250407</v>
      </c>
      <c r="I17731">
        <v>4555</v>
      </c>
      <c r="J17731" t="s">
        <v>352</v>
      </c>
      <c r="K17731">
        <v>672.07</v>
      </c>
      <c r="L17731">
        <v>136.56</v>
      </c>
      <c r="M17731">
        <v>44453</v>
      </c>
      <c r="N17731" t="s">
        <v>100</v>
      </c>
      <c r="O17731">
        <v>250423</v>
      </c>
      <c r="P17731">
        <v>535.51</v>
      </c>
    </row>
    <row r="17732" spans="1:16" x14ac:dyDescent="0.25">
      <c r="A17732" t="s">
        <v>3296</v>
      </c>
      <c r="B17732" t="s">
        <v>2931</v>
      </c>
      <c r="C17732">
        <v>13617</v>
      </c>
      <c r="D17732" t="str">
        <f>"794888      "</f>
        <v xml:space="preserve">794888      </v>
      </c>
      <c r="E17732" t="s">
        <v>483</v>
      </c>
      <c r="F17732" t="s">
        <v>484</v>
      </c>
      <c r="G17732">
        <v>387.33</v>
      </c>
      <c r="H17732">
        <v>250908</v>
      </c>
      <c r="I17732">
        <v>4555</v>
      </c>
      <c r="J17732" t="s">
        <v>352</v>
      </c>
      <c r="K17732">
        <v>677.23</v>
      </c>
      <c r="L17732">
        <v>78.7</v>
      </c>
      <c r="M17732">
        <v>44453</v>
      </c>
      <c r="N17732" t="s">
        <v>100</v>
      </c>
      <c r="O17732">
        <v>251013</v>
      </c>
      <c r="P17732">
        <v>308.63</v>
      </c>
    </row>
    <row r="17733" spans="1:16" x14ac:dyDescent="0.25">
      <c r="A17733" t="s">
        <v>3296</v>
      </c>
      <c r="B17733" t="s">
        <v>2931</v>
      </c>
      <c r="C17733">
        <v>15508</v>
      </c>
      <c r="D17733" t="str">
        <f>"800354      "</f>
        <v xml:space="preserve">800354      </v>
      </c>
      <c r="E17733" t="s">
        <v>483</v>
      </c>
      <c r="F17733" t="s">
        <v>484</v>
      </c>
      <c r="G17733">
        <v>539.82000000000005</v>
      </c>
      <c r="H17733">
        <v>251112</v>
      </c>
      <c r="I17733">
        <v>4555</v>
      </c>
      <c r="J17733" t="s">
        <v>352</v>
      </c>
      <c r="K17733">
        <v>539.82000000000005</v>
      </c>
      <c r="L17733">
        <v>109.68</v>
      </c>
      <c r="M17733">
        <v>44453</v>
      </c>
      <c r="N17733" t="s">
        <v>100</v>
      </c>
      <c r="O17733">
        <v>251121</v>
      </c>
      <c r="P17733">
        <v>430.14</v>
      </c>
    </row>
    <row r="17734" spans="1:16" x14ac:dyDescent="0.25">
      <c r="A17734" t="s">
        <v>3296</v>
      </c>
      <c r="B17734" t="s">
        <v>2931</v>
      </c>
      <c r="C17734">
        <v>13617</v>
      </c>
      <c r="D17734" t="str">
        <f>"794888      "</f>
        <v xml:space="preserve">794888      </v>
      </c>
      <c r="E17734" t="s">
        <v>483</v>
      </c>
      <c r="F17734" t="s">
        <v>484</v>
      </c>
      <c r="G17734">
        <v>234.37</v>
      </c>
      <c r="H17734">
        <v>250908</v>
      </c>
      <c r="I17734">
        <v>4580</v>
      </c>
      <c r="J17734" t="s">
        <v>126</v>
      </c>
      <c r="K17734">
        <v>677.23</v>
      </c>
      <c r="L17734">
        <v>47.62</v>
      </c>
      <c r="M17734">
        <v>44422</v>
      </c>
      <c r="N17734" t="s">
        <v>97</v>
      </c>
      <c r="O17734">
        <v>251013</v>
      </c>
      <c r="P17734">
        <v>186.75</v>
      </c>
    </row>
    <row r="17735" spans="1:16" x14ac:dyDescent="0.25">
      <c r="A17735" t="s">
        <v>3296</v>
      </c>
      <c r="B17735" t="s">
        <v>2931</v>
      </c>
      <c r="C17735">
        <v>392</v>
      </c>
      <c r="D17735" t="str">
        <f>"776062      "</f>
        <v xml:space="preserve">776062      </v>
      </c>
      <c r="E17735" t="s">
        <v>483</v>
      </c>
      <c r="F17735" t="s">
        <v>484</v>
      </c>
      <c r="G17735">
        <v>294.52</v>
      </c>
      <c r="H17735">
        <v>250113</v>
      </c>
      <c r="I17735">
        <v>4600</v>
      </c>
      <c r="J17735" t="s">
        <v>278</v>
      </c>
      <c r="K17735">
        <v>589.04</v>
      </c>
      <c r="L17735">
        <v>59.84</v>
      </c>
      <c r="M17735">
        <v>54222</v>
      </c>
      <c r="N17735" t="s">
        <v>48</v>
      </c>
      <c r="O17735">
        <v>250122</v>
      </c>
      <c r="P17735">
        <v>234.68</v>
      </c>
    </row>
    <row r="17736" spans="1:16" x14ac:dyDescent="0.25">
      <c r="A17736" t="s">
        <v>3296</v>
      </c>
      <c r="B17736" t="s">
        <v>2931</v>
      </c>
      <c r="C17736">
        <v>392</v>
      </c>
      <c r="D17736" t="str">
        <f>"776062      "</f>
        <v xml:space="preserve">776062      </v>
      </c>
      <c r="E17736" t="s">
        <v>483</v>
      </c>
      <c r="F17736" t="s">
        <v>484</v>
      </c>
      <c r="G17736">
        <v>294.52</v>
      </c>
      <c r="H17736">
        <v>250113</v>
      </c>
      <c r="I17736">
        <v>4600</v>
      </c>
      <c r="J17736" t="s">
        <v>278</v>
      </c>
      <c r="K17736">
        <v>589.04</v>
      </c>
      <c r="L17736">
        <v>59.84</v>
      </c>
      <c r="M17736">
        <v>54251</v>
      </c>
      <c r="N17736" t="s">
        <v>485</v>
      </c>
      <c r="O17736">
        <v>250122</v>
      </c>
      <c r="P17736">
        <v>234.68</v>
      </c>
    </row>
    <row r="17737" spans="1:16" x14ac:dyDescent="0.25">
      <c r="A17737" t="s">
        <v>3296</v>
      </c>
      <c r="B17737" t="s">
        <v>2931</v>
      </c>
      <c r="C17737">
        <v>1307</v>
      </c>
      <c r="D17737" t="str">
        <f>"778054      "</f>
        <v xml:space="preserve">778054      </v>
      </c>
      <c r="E17737" t="s">
        <v>483</v>
      </c>
      <c r="F17737" t="s">
        <v>484</v>
      </c>
      <c r="G17737">
        <v>165.3</v>
      </c>
      <c r="H17737">
        <v>250203</v>
      </c>
      <c r="I17737">
        <v>4600</v>
      </c>
      <c r="J17737" t="s">
        <v>278</v>
      </c>
      <c r="K17737">
        <v>330.6</v>
      </c>
      <c r="L17737">
        <v>33.590000000000003</v>
      </c>
      <c r="M17737">
        <v>54222</v>
      </c>
      <c r="N17737" t="s">
        <v>48</v>
      </c>
      <c r="O17737">
        <v>250206</v>
      </c>
      <c r="P17737">
        <v>131.71</v>
      </c>
    </row>
    <row r="17738" spans="1:16" x14ac:dyDescent="0.25">
      <c r="A17738" t="s">
        <v>3296</v>
      </c>
      <c r="B17738" t="s">
        <v>2931</v>
      </c>
      <c r="C17738">
        <v>1307</v>
      </c>
      <c r="D17738" t="str">
        <f>"778054      "</f>
        <v xml:space="preserve">778054      </v>
      </c>
      <c r="E17738" t="s">
        <v>483</v>
      </c>
      <c r="F17738" t="s">
        <v>484</v>
      </c>
      <c r="G17738">
        <v>165.3</v>
      </c>
      <c r="H17738">
        <v>250203</v>
      </c>
      <c r="I17738">
        <v>4600</v>
      </c>
      <c r="J17738" t="s">
        <v>278</v>
      </c>
      <c r="K17738">
        <v>330.6</v>
      </c>
      <c r="L17738">
        <v>33.590000000000003</v>
      </c>
      <c r="M17738">
        <v>54251</v>
      </c>
      <c r="N17738" t="s">
        <v>485</v>
      </c>
      <c r="O17738">
        <v>250206</v>
      </c>
      <c r="P17738">
        <v>131.71</v>
      </c>
    </row>
    <row r="17739" spans="1:16" x14ac:dyDescent="0.25">
      <c r="A17739" t="s">
        <v>3296</v>
      </c>
      <c r="B17739" t="s">
        <v>2931</v>
      </c>
      <c r="C17739">
        <v>1587</v>
      </c>
      <c r="D17739" t="str">
        <f>"778286      "</f>
        <v xml:space="preserve">778286      </v>
      </c>
      <c r="E17739" t="s">
        <v>483</v>
      </c>
      <c r="F17739" t="s">
        <v>484</v>
      </c>
      <c r="G17739">
        <v>161.15</v>
      </c>
      <c r="H17739">
        <v>250205</v>
      </c>
      <c r="I17739">
        <v>4600</v>
      </c>
      <c r="J17739" t="s">
        <v>278</v>
      </c>
      <c r="K17739">
        <v>322.3</v>
      </c>
      <c r="L17739">
        <v>32.74</v>
      </c>
      <c r="M17739">
        <v>54222</v>
      </c>
      <c r="N17739" t="s">
        <v>48</v>
      </c>
      <c r="O17739">
        <v>250211</v>
      </c>
      <c r="P17739">
        <v>128.41</v>
      </c>
    </row>
    <row r="17740" spans="1:16" x14ac:dyDescent="0.25">
      <c r="A17740" t="s">
        <v>3296</v>
      </c>
      <c r="B17740" t="s">
        <v>2931</v>
      </c>
      <c r="C17740">
        <v>1587</v>
      </c>
      <c r="D17740" t="str">
        <f>"778286      "</f>
        <v xml:space="preserve">778286      </v>
      </c>
      <c r="E17740" t="s">
        <v>483</v>
      </c>
      <c r="F17740" t="s">
        <v>484</v>
      </c>
      <c r="G17740">
        <v>161.15</v>
      </c>
      <c r="H17740">
        <v>250205</v>
      </c>
      <c r="I17740">
        <v>4600</v>
      </c>
      <c r="J17740" t="s">
        <v>278</v>
      </c>
      <c r="K17740">
        <v>322.3</v>
      </c>
      <c r="L17740">
        <v>32.74</v>
      </c>
      <c r="M17740">
        <v>54251</v>
      </c>
      <c r="N17740" t="s">
        <v>485</v>
      </c>
      <c r="O17740">
        <v>250211</v>
      </c>
      <c r="P17740">
        <v>128.41</v>
      </c>
    </row>
    <row r="17741" spans="1:16" x14ac:dyDescent="0.25">
      <c r="A17741" t="s">
        <v>3296</v>
      </c>
      <c r="B17741" t="s">
        <v>2931</v>
      </c>
      <c r="C17741">
        <v>3498</v>
      </c>
      <c r="D17741" t="str">
        <f>"780341      "</f>
        <v xml:space="preserve">780341      </v>
      </c>
      <c r="E17741" t="s">
        <v>483</v>
      </c>
      <c r="F17741" t="s">
        <v>484</v>
      </c>
      <c r="G17741">
        <v>281.63</v>
      </c>
      <c r="H17741">
        <v>250304</v>
      </c>
      <c r="I17741">
        <v>4600</v>
      </c>
      <c r="J17741" t="s">
        <v>278</v>
      </c>
      <c r="K17741">
        <v>563.25</v>
      </c>
      <c r="L17741">
        <v>57.22</v>
      </c>
      <c r="M17741">
        <v>54222</v>
      </c>
      <c r="N17741" t="s">
        <v>48</v>
      </c>
      <c r="O17741">
        <v>250324</v>
      </c>
      <c r="P17741">
        <v>224.41</v>
      </c>
    </row>
    <row r="17742" spans="1:16" x14ac:dyDescent="0.25">
      <c r="A17742" t="s">
        <v>3296</v>
      </c>
      <c r="B17742" t="s">
        <v>2931</v>
      </c>
      <c r="C17742">
        <v>3498</v>
      </c>
      <c r="D17742" t="str">
        <f>"780341      "</f>
        <v xml:space="preserve">780341      </v>
      </c>
      <c r="E17742" t="s">
        <v>483</v>
      </c>
      <c r="F17742" t="s">
        <v>484</v>
      </c>
      <c r="G17742">
        <v>281.62</v>
      </c>
      <c r="H17742">
        <v>250304</v>
      </c>
      <c r="I17742">
        <v>4600</v>
      </c>
      <c r="J17742" t="s">
        <v>278</v>
      </c>
      <c r="K17742">
        <v>563.25</v>
      </c>
      <c r="L17742">
        <v>57.22</v>
      </c>
      <c r="M17742">
        <v>54251</v>
      </c>
      <c r="N17742" t="s">
        <v>485</v>
      </c>
      <c r="O17742">
        <v>250324</v>
      </c>
      <c r="P17742">
        <v>224.4</v>
      </c>
    </row>
    <row r="17743" spans="1:16" x14ac:dyDescent="0.25">
      <c r="A17743" t="s">
        <v>3296</v>
      </c>
      <c r="B17743" t="s">
        <v>2931</v>
      </c>
      <c r="C17743">
        <v>5284</v>
      </c>
      <c r="D17743" t="str">
        <f>"782913      "</f>
        <v xml:space="preserve">782913      </v>
      </c>
      <c r="E17743" t="s">
        <v>483</v>
      </c>
      <c r="F17743" t="s">
        <v>484</v>
      </c>
      <c r="G17743">
        <v>545.94000000000005</v>
      </c>
      <c r="H17743">
        <v>250404</v>
      </c>
      <c r="I17743">
        <v>4600</v>
      </c>
      <c r="J17743" t="s">
        <v>278</v>
      </c>
      <c r="K17743">
        <v>1091.8800000000001</v>
      </c>
      <c r="L17743">
        <v>110.93</v>
      </c>
      <c r="M17743">
        <v>54222</v>
      </c>
      <c r="N17743" t="s">
        <v>48</v>
      </c>
      <c r="O17743">
        <v>250423</v>
      </c>
      <c r="P17743">
        <v>435.01</v>
      </c>
    </row>
    <row r="17744" spans="1:16" x14ac:dyDescent="0.25">
      <c r="A17744" t="s">
        <v>3296</v>
      </c>
      <c r="B17744" t="s">
        <v>2931</v>
      </c>
      <c r="C17744">
        <v>5284</v>
      </c>
      <c r="D17744" t="str">
        <f>"782913      "</f>
        <v xml:space="preserve">782913      </v>
      </c>
      <c r="E17744" t="s">
        <v>483</v>
      </c>
      <c r="F17744" t="s">
        <v>484</v>
      </c>
      <c r="G17744">
        <v>545.94000000000005</v>
      </c>
      <c r="H17744">
        <v>250404</v>
      </c>
      <c r="I17744">
        <v>4600</v>
      </c>
      <c r="J17744" t="s">
        <v>278</v>
      </c>
      <c r="K17744">
        <v>1091.8800000000001</v>
      </c>
      <c r="L17744">
        <v>110.93</v>
      </c>
      <c r="M17744">
        <v>54251</v>
      </c>
      <c r="N17744" t="s">
        <v>485</v>
      </c>
      <c r="O17744">
        <v>250423</v>
      </c>
      <c r="P17744">
        <v>435.01</v>
      </c>
    </row>
    <row r="17745" spans="1:16" x14ac:dyDescent="0.25">
      <c r="A17745" t="s">
        <v>3296</v>
      </c>
      <c r="B17745" t="s">
        <v>2931</v>
      </c>
      <c r="C17745">
        <v>8032</v>
      </c>
      <c r="D17745" t="str">
        <f>"787116      "</f>
        <v xml:space="preserve">787116      </v>
      </c>
      <c r="E17745" t="s">
        <v>483</v>
      </c>
      <c r="F17745" t="s">
        <v>484</v>
      </c>
      <c r="G17745">
        <v>444.87</v>
      </c>
      <c r="H17745">
        <v>250526</v>
      </c>
      <c r="I17745">
        <v>4600</v>
      </c>
      <c r="J17745" t="s">
        <v>278</v>
      </c>
      <c r="K17745">
        <v>889.74</v>
      </c>
      <c r="L17745">
        <v>90.39</v>
      </c>
      <c r="M17745">
        <v>54222</v>
      </c>
      <c r="N17745" t="s">
        <v>48</v>
      </c>
      <c r="O17745">
        <v>250611</v>
      </c>
      <c r="P17745">
        <v>354.48</v>
      </c>
    </row>
    <row r="17746" spans="1:16" x14ac:dyDescent="0.25">
      <c r="A17746" t="s">
        <v>3296</v>
      </c>
      <c r="B17746" t="s">
        <v>2931</v>
      </c>
      <c r="C17746">
        <v>8032</v>
      </c>
      <c r="D17746" t="str">
        <f>"787116      "</f>
        <v xml:space="preserve">787116      </v>
      </c>
      <c r="E17746" t="s">
        <v>483</v>
      </c>
      <c r="F17746" t="s">
        <v>484</v>
      </c>
      <c r="G17746">
        <v>444.87</v>
      </c>
      <c r="H17746">
        <v>250526</v>
      </c>
      <c r="I17746">
        <v>4600</v>
      </c>
      <c r="J17746" t="s">
        <v>278</v>
      </c>
      <c r="K17746">
        <v>889.74</v>
      </c>
      <c r="L17746">
        <v>90.39</v>
      </c>
      <c r="M17746">
        <v>54251</v>
      </c>
      <c r="N17746" t="s">
        <v>485</v>
      </c>
      <c r="O17746">
        <v>250611</v>
      </c>
      <c r="P17746">
        <v>354.48</v>
      </c>
    </row>
    <row r="17747" spans="1:16" x14ac:dyDescent="0.25">
      <c r="A17747" t="s">
        <v>3296</v>
      </c>
      <c r="B17747" t="s">
        <v>2931</v>
      </c>
      <c r="C17747">
        <v>10817</v>
      </c>
      <c r="D17747" t="str">
        <f>"793015      "</f>
        <v xml:space="preserve">793015      </v>
      </c>
      <c r="E17747" t="s">
        <v>483</v>
      </c>
      <c r="F17747" t="s">
        <v>484</v>
      </c>
      <c r="G17747">
        <v>323.10000000000002</v>
      </c>
      <c r="H17747">
        <v>250815</v>
      </c>
      <c r="I17747">
        <v>4600</v>
      </c>
      <c r="J17747" t="s">
        <v>278</v>
      </c>
      <c r="K17747">
        <v>646.19000000000005</v>
      </c>
      <c r="L17747">
        <v>65.650000000000006</v>
      </c>
      <c r="M17747">
        <v>54222</v>
      </c>
      <c r="N17747" t="s">
        <v>48</v>
      </c>
      <c r="O17747">
        <v>250825</v>
      </c>
      <c r="P17747">
        <v>257.45</v>
      </c>
    </row>
    <row r="17748" spans="1:16" x14ac:dyDescent="0.25">
      <c r="A17748" t="s">
        <v>3296</v>
      </c>
      <c r="B17748" t="s">
        <v>2931</v>
      </c>
      <c r="C17748">
        <v>10817</v>
      </c>
      <c r="D17748" t="str">
        <f>"793015      "</f>
        <v xml:space="preserve">793015      </v>
      </c>
      <c r="E17748" t="s">
        <v>483</v>
      </c>
      <c r="F17748" t="s">
        <v>484</v>
      </c>
      <c r="G17748">
        <v>323.08999999999997</v>
      </c>
      <c r="H17748">
        <v>250815</v>
      </c>
      <c r="I17748">
        <v>4600</v>
      </c>
      <c r="J17748" t="s">
        <v>278</v>
      </c>
      <c r="K17748">
        <v>646.19000000000005</v>
      </c>
      <c r="L17748">
        <v>65.650000000000006</v>
      </c>
      <c r="M17748">
        <v>54251</v>
      </c>
      <c r="N17748" t="s">
        <v>485</v>
      </c>
      <c r="O17748">
        <v>250825</v>
      </c>
      <c r="P17748">
        <v>257.44</v>
      </c>
    </row>
    <row r="17749" spans="1:16" x14ac:dyDescent="0.25">
      <c r="A17749" t="s">
        <v>3296</v>
      </c>
      <c r="B17749" t="s">
        <v>2931</v>
      </c>
      <c r="C17749">
        <v>12836</v>
      </c>
      <c r="D17749" t="str">
        <f>"795958      "</f>
        <v xml:space="preserve">795958      </v>
      </c>
      <c r="E17749" t="s">
        <v>483</v>
      </c>
      <c r="F17749" t="s">
        <v>484</v>
      </c>
      <c r="G17749">
        <v>548.70000000000005</v>
      </c>
      <c r="H17749">
        <v>250922</v>
      </c>
      <c r="I17749">
        <v>4600</v>
      </c>
      <c r="J17749" t="s">
        <v>278</v>
      </c>
      <c r="K17749">
        <v>1097.4000000000001</v>
      </c>
      <c r="L17749">
        <v>111.49</v>
      </c>
      <c r="M17749">
        <v>54222</v>
      </c>
      <c r="N17749" t="s">
        <v>48</v>
      </c>
      <c r="O17749">
        <v>250930</v>
      </c>
      <c r="P17749">
        <v>437.21</v>
      </c>
    </row>
    <row r="17750" spans="1:16" x14ac:dyDescent="0.25">
      <c r="A17750" t="s">
        <v>3296</v>
      </c>
      <c r="B17750" t="s">
        <v>2931</v>
      </c>
      <c r="C17750">
        <v>12836</v>
      </c>
      <c r="D17750" t="str">
        <f>"795958      "</f>
        <v xml:space="preserve">795958      </v>
      </c>
      <c r="E17750" t="s">
        <v>483</v>
      </c>
      <c r="F17750" t="s">
        <v>484</v>
      </c>
      <c r="G17750">
        <v>548.70000000000005</v>
      </c>
      <c r="H17750">
        <v>250922</v>
      </c>
      <c r="I17750">
        <v>4600</v>
      </c>
      <c r="J17750" t="s">
        <v>278</v>
      </c>
      <c r="K17750">
        <v>1097.4000000000001</v>
      </c>
      <c r="L17750">
        <v>111.49</v>
      </c>
      <c r="M17750">
        <v>54251</v>
      </c>
      <c r="N17750" t="s">
        <v>485</v>
      </c>
      <c r="O17750">
        <v>250930</v>
      </c>
      <c r="P17750">
        <v>437.21</v>
      </c>
    </row>
    <row r="17751" spans="1:16" x14ac:dyDescent="0.25">
      <c r="A17751" t="s">
        <v>3296</v>
      </c>
      <c r="B17751" t="s">
        <v>2931</v>
      </c>
      <c r="C17751">
        <v>13617</v>
      </c>
      <c r="D17751" t="str">
        <f>"794888      "</f>
        <v xml:space="preserve">794888      </v>
      </c>
      <c r="E17751" t="s">
        <v>483</v>
      </c>
      <c r="F17751" t="s">
        <v>484</v>
      </c>
      <c r="G17751">
        <v>55.53</v>
      </c>
      <c r="H17751">
        <v>250908</v>
      </c>
      <c r="I17751">
        <v>4600</v>
      </c>
      <c r="J17751" t="s">
        <v>278</v>
      </c>
      <c r="K17751">
        <v>677.23</v>
      </c>
      <c r="L17751">
        <v>11.28</v>
      </c>
      <c r="M17751">
        <v>44422</v>
      </c>
      <c r="N17751" t="s">
        <v>97</v>
      </c>
      <c r="O17751">
        <v>251013</v>
      </c>
      <c r="P17751">
        <v>44.25</v>
      </c>
    </row>
    <row r="17752" spans="1:16" x14ac:dyDescent="0.25">
      <c r="A17752" t="s">
        <v>3296</v>
      </c>
      <c r="B17752" t="s">
        <v>2931</v>
      </c>
      <c r="C17752">
        <v>14228</v>
      </c>
      <c r="D17752" t="str">
        <f>"798423      "</f>
        <v xml:space="preserve">798423      </v>
      </c>
      <c r="E17752" t="s">
        <v>483</v>
      </c>
      <c r="F17752" t="s">
        <v>484</v>
      </c>
      <c r="G17752">
        <v>717.84</v>
      </c>
      <c r="H17752">
        <v>251021</v>
      </c>
      <c r="I17752">
        <v>4600</v>
      </c>
      <c r="J17752" t="s">
        <v>278</v>
      </c>
      <c r="K17752">
        <v>1435.68</v>
      </c>
      <c r="L17752">
        <v>145.86000000000001</v>
      </c>
      <c r="M17752">
        <v>54222</v>
      </c>
      <c r="N17752" t="s">
        <v>48</v>
      </c>
      <c r="O17752">
        <v>251027</v>
      </c>
      <c r="P17752">
        <v>571.98</v>
      </c>
    </row>
    <row r="17753" spans="1:16" x14ac:dyDescent="0.25">
      <c r="A17753" t="s">
        <v>3296</v>
      </c>
      <c r="B17753" t="s">
        <v>2931</v>
      </c>
      <c r="C17753">
        <v>14228</v>
      </c>
      <c r="D17753" t="str">
        <f>"798423      "</f>
        <v xml:space="preserve">798423      </v>
      </c>
      <c r="E17753" t="s">
        <v>483</v>
      </c>
      <c r="F17753" t="s">
        <v>484</v>
      </c>
      <c r="G17753">
        <v>717.84</v>
      </c>
      <c r="H17753">
        <v>251021</v>
      </c>
      <c r="I17753">
        <v>4600</v>
      </c>
      <c r="J17753" t="s">
        <v>278</v>
      </c>
      <c r="K17753">
        <v>1435.68</v>
      </c>
      <c r="L17753">
        <v>145.86000000000001</v>
      </c>
      <c r="M17753">
        <v>54251</v>
      </c>
      <c r="N17753" t="s">
        <v>485</v>
      </c>
      <c r="O17753">
        <v>251027</v>
      </c>
      <c r="P17753">
        <v>571.98</v>
      </c>
    </row>
    <row r="17754" spans="1:16" x14ac:dyDescent="0.25">
      <c r="A17754" t="s">
        <v>3296</v>
      </c>
      <c r="B17754" t="s">
        <v>2931</v>
      </c>
      <c r="C17754">
        <v>17021</v>
      </c>
      <c r="D17754" t="str">
        <f>"802634      "</f>
        <v xml:space="preserve">802634      </v>
      </c>
      <c r="E17754" t="s">
        <v>483</v>
      </c>
      <c r="F17754" t="s">
        <v>484</v>
      </c>
      <c r="G17754">
        <v>529.24</v>
      </c>
      <c r="H17754">
        <v>251209</v>
      </c>
      <c r="I17754">
        <v>4600</v>
      </c>
      <c r="J17754" t="s">
        <v>278</v>
      </c>
      <c r="K17754">
        <v>1058.48</v>
      </c>
      <c r="L17754">
        <v>107.53</v>
      </c>
      <c r="M17754">
        <v>54222</v>
      </c>
      <c r="N17754" t="s">
        <v>48</v>
      </c>
      <c r="O17754">
        <v>251216</v>
      </c>
      <c r="P17754">
        <v>421.71</v>
      </c>
    </row>
    <row r="17755" spans="1:16" x14ac:dyDescent="0.25">
      <c r="A17755" t="s">
        <v>3296</v>
      </c>
      <c r="B17755" t="s">
        <v>2931</v>
      </c>
      <c r="C17755">
        <v>17021</v>
      </c>
      <c r="D17755" t="str">
        <f>"802634      "</f>
        <v xml:space="preserve">802634      </v>
      </c>
      <c r="E17755" t="s">
        <v>483</v>
      </c>
      <c r="F17755" t="s">
        <v>484</v>
      </c>
      <c r="G17755">
        <v>529.24</v>
      </c>
      <c r="H17755">
        <v>251209</v>
      </c>
      <c r="I17755">
        <v>4600</v>
      </c>
      <c r="J17755" t="s">
        <v>278</v>
      </c>
      <c r="K17755">
        <v>1058.48</v>
      </c>
      <c r="L17755">
        <v>107.53</v>
      </c>
      <c r="M17755">
        <v>54251</v>
      </c>
      <c r="N17755" t="s">
        <v>485</v>
      </c>
      <c r="O17755">
        <v>251216</v>
      </c>
      <c r="P17755">
        <v>421.71</v>
      </c>
    </row>
    <row r="17756" spans="1:16" x14ac:dyDescent="0.25">
      <c r="A17756" t="s">
        <v>3296</v>
      </c>
      <c r="B17756" t="s">
        <v>2931</v>
      </c>
      <c r="C17756">
        <v>11921</v>
      </c>
      <c r="D17756" t="str">
        <f>"008579      "</f>
        <v xml:space="preserve">008579      </v>
      </c>
      <c r="E17756" t="s">
        <v>2300</v>
      </c>
      <c r="F17756" t="s">
        <v>2301</v>
      </c>
      <c r="G17756">
        <v>262.3</v>
      </c>
      <c r="H17756">
        <v>250831</v>
      </c>
      <c r="I17756">
        <v>4400</v>
      </c>
      <c r="J17756" t="s">
        <v>162</v>
      </c>
      <c r="K17756">
        <v>262.3</v>
      </c>
      <c r="L17756">
        <v>53.3</v>
      </c>
      <c r="M17756">
        <v>17804</v>
      </c>
      <c r="N17756" t="s">
        <v>20</v>
      </c>
      <c r="O17756">
        <v>250912</v>
      </c>
      <c r="P17756">
        <v>209</v>
      </c>
    </row>
    <row r="17757" spans="1:16" x14ac:dyDescent="0.25">
      <c r="A17757" t="s">
        <v>3296</v>
      </c>
      <c r="B17757" t="s">
        <v>2931</v>
      </c>
      <c r="C17757">
        <v>11924</v>
      </c>
      <c r="D17757" t="str">
        <f>"008575      "</f>
        <v xml:space="preserve">008575      </v>
      </c>
      <c r="E17757" t="s">
        <v>2300</v>
      </c>
      <c r="F17757" t="s">
        <v>2301</v>
      </c>
      <c r="G17757">
        <v>589.85</v>
      </c>
      <c r="H17757">
        <v>250831</v>
      </c>
      <c r="I17757">
        <v>4400</v>
      </c>
      <c r="J17757" t="s">
        <v>162</v>
      </c>
      <c r="K17757">
        <v>589.85</v>
      </c>
      <c r="L17757">
        <v>119.85</v>
      </c>
      <c r="M17757">
        <v>17803</v>
      </c>
      <c r="N17757" t="s">
        <v>19</v>
      </c>
      <c r="O17757">
        <v>250912</v>
      </c>
      <c r="P17757">
        <v>470</v>
      </c>
    </row>
    <row r="17758" spans="1:16" x14ac:dyDescent="0.25">
      <c r="A17758" t="s">
        <v>3296</v>
      </c>
      <c r="B17758" t="s">
        <v>2931</v>
      </c>
      <c r="C17758">
        <v>309</v>
      </c>
      <c r="D17758" t="str">
        <f>"0880940824  "</f>
        <v xml:space="preserve">0880940824  </v>
      </c>
      <c r="E17758" t="s">
        <v>404</v>
      </c>
      <c r="F17758" t="s">
        <v>405</v>
      </c>
      <c r="G17758">
        <v>486.94</v>
      </c>
      <c r="H17758">
        <v>250113</v>
      </c>
      <c r="I17758">
        <v>4520</v>
      </c>
      <c r="J17758" t="s">
        <v>280</v>
      </c>
      <c r="K17758">
        <v>560.91</v>
      </c>
      <c r="L17758">
        <v>59.8</v>
      </c>
      <c r="M17758">
        <v>69804</v>
      </c>
      <c r="N17758" t="s">
        <v>376</v>
      </c>
      <c r="O17758">
        <v>250121</v>
      </c>
      <c r="P17758">
        <v>427.14</v>
      </c>
    </row>
    <row r="17759" spans="1:16" x14ac:dyDescent="0.25">
      <c r="A17759" t="s">
        <v>3296</v>
      </c>
      <c r="B17759" t="s">
        <v>2931</v>
      </c>
      <c r="C17759">
        <v>3562</v>
      </c>
      <c r="D17759" t="str">
        <f>"0881099695  "</f>
        <v xml:space="preserve">0881099695  </v>
      </c>
      <c r="E17759" t="s">
        <v>404</v>
      </c>
      <c r="F17759" t="s">
        <v>405</v>
      </c>
      <c r="G17759">
        <v>472.78</v>
      </c>
      <c r="H17759">
        <v>250313</v>
      </c>
      <c r="I17759">
        <v>4520</v>
      </c>
      <c r="J17759" t="s">
        <v>280</v>
      </c>
      <c r="K17759">
        <v>484.31</v>
      </c>
      <c r="L17759">
        <v>58.06</v>
      </c>
      <c r="M17759">
        <v>54451</v>
      </c>
      <c r="N17759" t="s">
        <v>218</v>
      </c>
      <c r="O17759">
        <v>250325</v>
      </c>
      <c r="P17759">
        <v>414.72</v>
      </c>
    </row>
    <row r="17760" spans="1:16" x14ac:dyDescent="0.25">
      <c r="A17760" t="s">
        <v>3296</v>
      </c>
      <c r="B17760" t="s">
        <v>2931</v>
      </c>
      <c r="C17760">
        <v>3736</v>
      </c>
      <c r="D17760" t="str">
        <f>"0881107505  "</f>
        <v xml:space="preserve">0881107505  </v>
      </c>
      <c r="E17760" t="s">
        <v>404</v>
      </c>
      <c r="F17760" t="s">
        <v>405</v>
      </c>
      <c r="G17760">
        <v>194.73</v>
      </c>
      <c r="H17760">
        <v>250318</v>
      </c>
      <c r="I17760">
        <v>4520</v>
      </c>
      <c r="J17760" t="s">
        <v>280</v>
      </c>
      <c r="K17760">
        <v>224.3</v>
      </c>
      <c r="L17760">
        <v>23.91</v>
      </c>
      <c r="M17760">
        <v>69811</v>
      </c>
      <c r="N17760" t="s">
        <v>230</v>
      </c>
      <c r="O17760">
        <v>250401</v>
      </c>
      <c r="P17760">
        <v>170.82</v>
      </c>
    </row>
    <row r="17761" spans="1:16" x14ac:dyDescent="0.25">
      <c r="A17761" t="s">
        <v>3296</v>
      </c>
      <c r="B17761" t="s">
        <v>2931</v>
      </c>
      <c r="C17761">
        <v>5507</v>
      </c>
      <c r="D17761" t="str">
        <f>"0881176346  "</f>
        <v xml:space="preserve">0881176346  </v>
      </c>
      <c r="E17761" t="s">
        <v>404</v>
      </c>
      <c r="F17761" t="s">
        <v>405</v>
      </c>
      <c r="G17761">
        <v>188.33</v>
      </c>
      <c r="H17761">
        <v>250416</v>
      </c>
      <c r="I17761">
        <v>4520</v>
      </c>
      <c r="J17761" t="s">
        <v>280</v>
      </c>
      <c r="K17761">
        <v>217.9</v>
      </c>
      <c r="L17761">
        <v>23.13</v>
      </c>
      <c r="M17761">
        <v>69804</v>
      </c>
      <c r="N17761" t="s">
        <v>376</v>
      </c>
      <c r="O17761">
        <v>250425</v>
      </c>
      <c r="P17761">
        <v>165.2</v>
      </c>
    </row>
    <row r="17762" spans="1:16" x14ac:dyDescent="0.25">
      <c r="A17762" t="s">
        <v>3296</v>
      </c>
      <c r="B17762" t="s">
        <v>2931</v>
      </c>
      <c r="C17762">
        <v>10400</v>
      </c>
      <c r="D17762" t="str">
        <f>"0881499376  "</f>
        <v xml:space="preserve">0881499376  </v>
      </c>
      <c r="E17762" t="s">
        <v>404</v>
      </c>
      <c r="F17762" t="s">
        <v>405</v>
      </c>
      <c r="G17762">
        <v>529.23</v>
      </c>
      <c r="H17762">
        <v>250807</v>
      </c>
      <c r="I17762">
        <v>4520</v>
      </c>
      <c r="J17762" t="s">
        <v>280</v>
      </c>
      <c r="K17762">
        <v>584.59</v>
      </c>
      <c r="L17762">
        <v>64.989999999999995</v>
      </c>
      <c r="M17762">
        <v>54451</v>
      </c>
      <c r="N17762" t="s">
        <v>218</v>
      </c>
      <c r="O17762">
        <v>250818</v>
      </c>
      <c r="P17762">
        <v>464.24</v>
      </c>
    </row>
    <row r="17763" spans="1:16" x14ac:dyDescent="0.25">
      <c r="A17763" t="s">
        <v>3296</v>
      </c>
      <c r="B17763" t="s">
        <v>2931</v>
      </c>
      <c r="C17763">
        <v>10408</v>
      </c>
      <c r="D17763" t="str">
        <f>"0881512660  "</f>
        <v xml:space="preserve">0881512660  </v>
      </c>
      <c r="E17763" t="s">
        <v>404</v>
      </c>
      <c r="F17763" t="s">
        <v>405</v>
      </c>
      <c r="G17763">
        <v>385.73</v>
      </c>
      <c r="H17763">
        <v>250813</v>
      </c>
      <c r="I17763">
        <v>4520</v>
      </c>
      <c r="J17763" t="s">
        <v>280</v>
      </c>
      <c r="K17763">
        <v>444.9</v>
      </c>
      <c r="L17763">
        <v>47.37</v>
      </c>
      <c r="M17763">
        <v>69804</v>
      </c>
      <c r="N17763" t="s">
        <v>376</v>
      </c>
      <c r="O17763">
        <v>250818</v>
      </c>
      <c r="P17763">
        <v>338.36</v>
      </c>
    </row>
    <row r="17764" spans="1:16" x14ac:dyDescent="0.25">
      <c r="A17764" t="s">
        <v>3296</v>
      </c>
      <c r="B17764" t="s">
        <v>2931</v>
      </c>
      <c r="C17764">
        <v>13756</v>
      </c>
      <c r="D17764" t="str">
        <f>"0881669581  "</f>
        <v xml:space="preserve">0881669581  </v>
      </c>
      <c r="E17764" t="s">
        <v>404</v>
      </c>
      <c r="F17764" t="s">
        <v>405</v>
      </c>
      <c r="G17764">
        <v>383.13</v>
      </c>
      <c r="H17764">
        <v>251009</v>
      </c>
      <c r="I17764">
        <v>4520</v>
      </c>
      <c r="J17764" t="s">
        <v>280</v>
      </c>
      <c r="K17764">
        <v>443.68</v>
      </c>
      <c r="L17764">
        <v>47.05</v>
      </c>
      <c r="M17764">
        <v>54451</v>
      </c>
      <c r="N17764" t="s">
        <v>218</v>
      </c>
      <c r="O17764">
        <v>251017</v>
      </c>
      <c r="P17764">
        <v>336.08</v>
      </c>
    </row>
    <row r="17765" spans="1:16" x14ac:dyDescent="0.25">
      <c r="A17765" t="s">
        <v>3296</v>
      </c>
      <c r="B17765" t="s">
        <v>2931</v>
      </c>
      <c r="C17765">
        <v>16507</v>
      </c>
      <c r="D17765" t="str">
        <f>"0881802200  "</f>
        <v xml:space="preserve">0881802200  </v>
      </c>
      <c r="E17765" t="s">
        <v>404</v>
      </c>
      <c r="F17765" t="s">
        <v>405</v>
      </c>
      <c r="G17765">
        <v>431.83</v>
      </c>
      <c r="H17765">
        <v>251201</v>
      </c>
      <c r="I17765">
        <v>4520</v>
      </c>
      <c r="J17765" t="s">
        <v>280</v>
      </c>
      <c r="K17765">
        <v>498.4</v>
      </c>
      <c r="L17765">
        <v>53.03</v>
      </c>
      <c r="M17765">
        <v>69804</v>
      </c>
      <c r="N17765" t="s">
        <v>376</v>
      </c>
      <c r="O17765">
        <v>251209</v>
      </c>
      <c r="P17765">
        <v>378.8</v>
      </c>
    </row>
    <row r="17766" spans="1:16" x14ac:dyDescent="0.25">
      <c r="A17766" t="s">
        <v>3296</v>
      </c>
      <c r="B17766" t="s">
        <v>2931</v>
      </c>
      <c r="C17766">
        <v>305</v>
      </c>
      <c r="D17766" t="str">
        <f>"0880940836  "</f>
        <v xml:space="preserve">0880940836  </v>
      </c>
      <c r="E17766" t="s">
        <v>404</v>
      </c>
      <c r="F17766" t="s">
        <v>405</v>
      </c>
      <c r="G17766">
        <v>-28.6</v>
      </c>
      <c r="H17766">
        <v>250113</v>
      </c>
      <c r="I17766">
        <v>4600</v>
      </c>
      <c r="J17766" t="s">
        <v>278</v>
      </c>
      <c r="K17766">
        <v>-28.6</v>
      </c>
      <c r="L17766">
        <v>-5.81</v>
      </c>
      <c r="M17766">
        <v>69804</v>
      </c>
      <c r="N17766" t="s">
        <v>376</v>
      </c>
      <c r="O17766">
        <v>250121</v>
      </c>
      <c r="P17766">
        <v>-22.79</v>
      </c>
    </row>
    <row r="17767" spans="1:16" x14ac:dyDescent="0.25">
      <c r="A17767" t="s">
        <v>3296</v>
      </c>
      <c r="B17767" t="s">
        <v>2931</v>
      </c>
      <c r="C17767">
        <v>309</v>
      </c>
      <c r="D17767" t="str">
        <f>"0880940824  "</f>
        <v xml:space="preserve">0880940824  </v>
      </c>
      <c r="E17767" t="s">
        <v>404</v>
      </c>
      <c r="F17767" t="s">
        <v>405</v>
      </c>
      <c r="G17767">
        <v>73.97</v>
      </c>
      <c r="H17767">
        <v>250113</v>
      </c>
      <c r="I17767">
        <v>4600</v>
      </c>
      <c r="J17767" t="s">
        <v>278</v>
      </c>
      <c r="K17767">
        <v>560.91</v>
      </c>
      <c r="L17767">
        <v>15.03</v>
      </c>
      <c r="M17767">
        <v>69804</v>
      </c>
      <c r="N17767" t="s">
        <v>376</v>
      </c>
      <c r="O17767">
        <v>250121</v>
      </c>
      <c r="P17767">
        <v>58.94</v>
      </c>
    </row>
    <row r="17768" spans="1:16" x14ac:dyDescent="0.25">
      <c r="A17768" t="s">
        <v>3296</v>
      </c>
      <c r="B17768" t="s">
        <v>2931</v>
      </c>
      <c r="C17768">
        <v>3562</v>
      </c>
      <c r="D17768" t="str">
        <f>"0881099695  "</f>
        <v xml:space="preserve">0881099695  </v>
      </c>
      <c r="E17768" t="s">
        <v>404</v>
      </c>
      <c r="F17768" t="s">
        <v>405</v>
      </c>
      <c r="G17768">
        <v>11.53</v>
      </c>
      <c r="H17768">
        <v>250313</v>
      </c>
      <c r="I17768">
        <v>4600</v>
      </c>
      <c r="J17768" t="s">
        <v>278</v>
      </c>
      <c r="K17768">
        <v>484.31</v>
      </c>
      <c r="L17768">
        <v>2.34</v>
      </c>
      <c r="M17768">
        <v>54451</v>
      </c>
      <c r="N17768" t="s">
        <v>218</v>
      </c>
      <c r="O17768">
        <v>250325</v>
      </c>
      <c r="P17768">
        <v>9.19</v>
      </c>
    </row>
    <row r="17769" spans="1:16" x14ac:dyDescent="0.25">
      <c r="A17769" t="s">
        <v>3296</v>
      </c>
      <c r="B17769" t="s">
        <v>2931</v>
      </c>
      <c r="C17769">
        <v>3736</v>
      </c>
      <c r="D17769" t="str">
        <f>"0881107505  "</f>
        <v xml:space="preserve">0881107505  </v>
      </c>
      <c r="E17769" t="s">
        <v>404</v>
      </c>
      <c r="F17769" t="s">
        <v>405</v>
      </c>
      <c r="G17769">
        <v>29.57</v>
      </c>
      <c r="H17769">
        <v>250318</v>
      </c>
      <c r="I17769">
        <v>4600</v>
      </c>
      <c r="J17769" t="s">
        <v>278</v>
      </c>
      <c r="K17769">
        <v>224.3</v>
      </c>
      <c r="L17769">
        <v>6.01</v>
      </c>
      <c r="M17769">
        <v>69811</v>
      </c>
      <c r="N17769" t="s">
        <v>230</v>
      </c>
      <c r="O17769">
        <v>250401</v>
      </c>
      <c r="P17769">
        <v>23.56</v>
      </c>
    </row>
    <row r="17770" spans="1:16" x14ac:dyDescent="0.25">
      <c r="A17770" t="s">
        <v>3296</v>
      </c>
      <c r="B17770" t="s">
        <v>2931</v>
      </c>
      <c r="C17770">
        <v>5506</v>
      </c>
      <c r="D17770" t="str">
        <f>"0881176348  "</f>
        <v xml:space="preserve">0881176348  </v>
      </c>
      <c r="E17770" t="s">
        <v>404</v>
      </c>
      <c r="F17770" t="s">
        <v>405</v>
      </c>
      <c r="G17770">
        <v>-26</v>
      </c>
      <c r="H17770">
        <v>250416</v>
      </c>
      <c r="I17770">
        <v>4600</v>
      </c>
      <c r="J17770" t="s">
        <v>278</v>
      </c>
      <c r="K17770">
        <v>-26</v>
      </c>
      <c r="L17770">
        <v>-5.28</v>
      </c>
      <c r="M17770">
        <v>69804</v>
      </c>
      <c r="N17770" t="s">
        <v>376</v>
      </c>
      <c r="O17770">
        <v>250425</v>
      </c>
      <c r="P17770">
        <v>-20.72</v>
      </c>
    </row>
    <row r="17771" spans="1:16" x14ac:dyDescent="0.25">
      <c r="A17771" t="s">
        <v>3296</v>
      </c>
      <c r="B17771" t="s">
        <v>2931</v>
      </c>
      <c r="C17771">
        <v>5507</v>
      </c>
      <c r="D17771" t="str">
        <f>"0881176346  "</f>
        <v xml:space="preserve">0881176346  </v>
      </c>
      <c r="E17771" t="s">
        <v>404</v>
      </c>
      <c r="F17771" t="s">
        <v>405</v>
      </c>
      <c r="G17771">
        <v>29.57</v>
      </c>
      <c r="H17771">
        <v>250416</v>
      </c>
      <c r="I17771">
        <v>4600</v>
      </c>
      <c r="J17771" t="s">
        <v>278</v>
      </c>
      <c r="K17771">
        <v>217.9</v>
      </c>
      <c r="L17771">
        <v>6.01</v>
      </c>
      <c r="M17771">
        <v>69804</v>
      </c>
      <c r="N17771" t="s">
        <v>376</v>
      </c>
      <c r="O17771">
        <v>250425</v>
      </c>
      <c r="P17771">
        <v>23.56</v>
      </c>
    </row>
    <row r="17772" spans="1:16" x14ac:dyDescent="0.25">
      <c r="A17772" t="s">
        <v>3296</v>
      </c>
      <c r="B17772" t="s">
        <v>2931</v>
      </c>
      <c r="C17772">
        <v>10400</v>
      </c>
      <c r="D17772" t="str">
        <f>"0881499376  "</f>
        <v xml:space="preserve">0881499376  </v>
      </c>
      <c r="E17772" t="s">
        <v>404</v>
      </c>
      <c r="F17772" t="s">
        <v>405</v>
      </c>
      <c r="G17772">
        <v>55.36</v>
      </c>
      <c r="H17772">
        <v>250807</v>
      </c>
      <c r="I17772">
        <v>4600</v>
      </c>
      <c r="J17772" t="s">
        <v>278</v>
      </c>
      <c r="K17772">
        <v>584.59</v>
      </c>
      <c r="L17772">
        <v>11.25</v>
      </c>
      <c r="M17772">
        <v>54451</v>
      </c>
      <c r="N17772" t="s">
        <v>218</v>
      </c>
      <c r="O17772">
        <v>250818</v>
      </c>
      <c r="P17772">
        <v>44.11</v>
      </c>
    </row>
    <row r="17773" spans="1:16" x14ac:dyDescent="0.25">
      <c r="A17773" t="s">
        <v>3296</v>
      </c>
      <c r="B17773" t="s">
        <v>2931</v>
      </c>
      <c r="C17773">
        <v>10408</v>
      </c>
      <c r="D17773" t="str">
        <f>"0881512660  "</f>
        <v xml:space="preserve">0881512660  </v>
      </c>
      <c r="E17773" t="s">
        <v>404</v>
      </c>
      <c r="F17773" t="s">
        <v>405</v>
      </c>
      <c r="G17773">
        <v>59.17</v>
      </c>
      <c r="H17773">
        <v>250813</v>
      </c>
      <c r="I17773">
        <v>4600</v>
      </c>
      <c r="J17773" t="s">
        <v>278</v>
      </c>
      <c r="K17773">
        <v>444.9</v>
      </c>
      <c r="L17773">
        <v>12.02</v>
      </c>
      <c r="M17773">
        <v>69804</v>
      </c>
      <c r="N17773" t="s">
        <v>376</v>
      </c>
      <c r="O17773">
        <v>250818</v>
      </c>
      <c r="P17773">
        <v>47.15</v>
      </c>
    </row>
    <row r="17774" spans="1:16" x14ac:dyDescent="0.25">
      <c r="A17774" t="s">
        <v>3296</v>
      </c>
      <c r="B17774" t="s">
        <v>2931</v>
      </c>
      <c r="C17774">
        <v>10409</v>
      </c>
      <c r="D17774" t="str">
        <f>"0881512615  "</f>
        <v xml:space="preserve">0881512615  </v>
      </c>
      <c r="E17774" t="s">
        <v>404</v>
      </c>
      <c r="F17774" t="s">
        <v>405</v>
      </c>
      <c r="G17774">
        <v>-10.4</v>
      </c>
      <c r="H17774">
        <v>250813</v>
      </c>
      <c r="I17774">
        <v>4600</v>
      </c>
      <c r="J17774" t="s">
        <v>278</v>
      </c>
      <c r="K17774">
        <v>-10.4</v>
      </c>
      <c r="L17774">
        <v>-2.11</v>
      </c>
      <c r="M17774">
        <v>69804</v>
      </c>
      <c r="N17774" t="s">
        <v>376</v>
      </c>
      <c r="O17774">
        <v>250818</v>
      </c>
      <c r="P17774">
        <v>-8.2899999999999991</v>
      </c>
    </row>
    <row r="17775" spans="1:16" x14ac:dyDescent="0.25">
      <c r="A17775" t="s">
        <v>3296</v>
      </c>
      <c r="B17775" t="s">
        <v>2931</v>
      </c>
      <c r="C17775">
        <v>13756</v>
      </c>
      <c r="D17775" t="str">
        <f>"0881669581  "</f>
        <v xml:space="preserve">0881669581  </v>
      </c>
      <c r="E17775" t="s">
        <v>404</v>
      </c>
      <c r="F17775" t="s">
        <v>405</v>
      </c>
      <c r="G17775">
        <v>60.55</v>
      </c>
      <c r="H17775">
        <v>251009</v>
      </c>
      <c r="I17775">
        <v>4600</v>
      </c>
      <c r="J17775" t="s">
        <v>278</v>
      </c>
      <c r="K17775">
        <v>443.68</v>
      </c>
      <c r="L17775">
        <v>12.3</v>
      </c>
      <c r="M17775">
        <v>54451</v>
      </c>
      <c r="N17775" t="s">
        <v>218</v>
      </c>
      <c r="O17775">
        <v>251017</v>
      </c>
      <c r="P17775">
        <v>48.25</v>
      </c>
    </row>
    <row r="17776" spans="1:16" x14ac:dyDescent="0.25">
      <c r="A17776" t="s">
        <v>3296</v>
      </c>
      <c r="B17776" t="s">
        <v>2931</v>
      </c>
      <c r="C17776">
        <v>16505</v>
      </c>
      <c r="D17776" t="str">
        <f>"0881802220  "</f>
        <v xml:space="preserve">0881802220  </v>
      </c>
      <c r="E17776" t="s">
        <v>404</v>
      </c>
      <c r="F17776" t="s">
        <v>405</v>
      </c>
      <c r="G17776">
        <v>-20.8</v>
      </c>
      <c r="H17776">
        <v>251201</v>
      </c>
      <c r="I17776">
        <v>4600</v>
      </c>
      <c r="J17776" t="s">
        <v>278</v>
      </c>
      <c r="K17776">
        <v>-20.8</v>
      </c>
      <c r="L17776">
        <v>-4.2300000000000004</v>
      </c>
      <c r="M17776">
        <v>69804</v>
      </c>
      <c r="N17776" t="s">
        <v>376</v>
      </c>
      <c r="O17776">
        <v>251209</v>
      </c>
      <c r="P17776">
        <v>-16.57</v>
      </c>
    </row>
    <row r="17777" spans="1:16" x14ac:dyDescent="0.25">
      <c r="A17777" t="s">
        <v>3296</v>
      </c>
      <c r="B17777" t="s">
        <v>2931</v>
      </c>
      <c r="C17777">
        <v>16507</v>
      </c>
      <c r="D17777" t="str">
        <f>"0881802200  "</f>
        <v xml:space="preserve">0881802200  </v>
      </c>
      <c r="E17777" t="s">
        <v>404</v>
      </c>
      <c r="F17777" t="s">
        <v>405</v>
      </c>
      <c r="G17777">
        <v>66.569999999999993</v>
      </c>
      <c r="H17777">
        <v>251201</v>
      </c>
      <c r="I17777">
        <v>4600</v>
      </c>
      <c r="J17777" t="s">
        <v>278</v>
      </c>
      <c r="K17777">
        <v>498.4</v>
      </c>
      <c r="L17777">
        <v>13.53</v>
      </c>
      <c r="M17777">
        <v>69804</v>
      </c>
      <c r="N17777" t="s">
        <v>376</v>
      </c>
      <c r="O17777">
        <v>251209</v>
      </c>
      <c r="P17777">
        <v>53.04</v>
      </c>
    </row>
    <row r="17778" spans="1:16" x14ac:dyDescent="0.25">
      <c r="A17778" t="s">
        <v>3296</v>
      </c>
      <c r="B17778" t="s">
        <v>2931</v>
      </c>
      <c r="C17778">
        <v>7059</v>
      </c>
      <c r="D17778" t="str">
        <f>"FT2025/761  "</f>
        <v xml:space="preserve">FT2025/761  </v>
      </c>
      <c r="E17778" t="s">
        <v>3252</v>
      </c>
      <c r="F17778" t="s">
        <v>3253</v>
      </c>
      <c r="G17778">
        <v>480</v>
      </c>
      <c r="H17778">
        <v>250515</v>
      </c>
      <c r="I17778">
        <v>4440</v>
      </c>
      <c r="J17778" t="s">
        <v>346</v>
      </c>
      <c r="K17778">
        <v>480</v>
      </c>
      <c r="L17778">
        <v>0</v>
      </c>
      <c r="M17778">
        <v>11902</v>
      </c>
      <c r="N17778" t="s">
        <v>329</v>
      </c>
      <c r="O17778">
        <v>250522</v>
      </c>
      <c r="P17778">
        <v>480</v>
      </c>
    </row>
    <row r="17779" spans="1:16" x14ac:dyDescent="0.25">
      <c r="A17779" t="s">
        <v>3296</v>
      </c>
      <c r="B17779" t="s">
        <v>2931</v>
      </c>
      <c r="C17779">
        <v>8977</v>
      </c>
      <c r="D17779" t="str">
        <f>"25027       "</f>
        <v xml:space="preserve">25027       </v>
      </c>
      <c r="E17779" t="s">
        <v>2074</v>
      </c>
      <c r="F17779" t="s">
        <v>2075</v>
      </c>
      <c r="G17779">
        <v>110.56</v>
      </c>
      <c r="H17779">
        <v>250615</v>
      </c>
      <c r="I17779">
        <v>4590</v>
      </c>
      <c r="J17779" t="s">
        <v>388</v>
      </c>
      <c r="K17779">
        <v>110.56</v>
      </c>
      <c r="L17779">
        <v>22.46</v>
      </c>
      <c r="M17779">
        <v>17951</v>
      </c>
      <c r="N17779" t="s">
        <v>207</v>
      </c>
      <c r="O17779">
        <v>250624</v>
      </c>
      <c r="P17779">
        <v>88.1</v>
      </c>
    </row>
    <row r="17780" spans="1:16" x14ac:dyDescent="0.25">
      <c r="A17780" t="s">
        <v>3296</v>
      </c>
      <c r="B17780" t="s">
        <v>2931</v>
      </c>
      <c r="C17780">
        <v>9050</v>
      </c>
      <c r="D17780" t="str">
        <f>"25078       "</f>
        <v xml:space="preserve">25078       </v>
      </c>
      <c r="E17780" t="s">
        <v>2074</v>
      </c>
      <c r="F17780" t="s">
        <v>2075</v>
      </c>
      <c r="G17780">
        <v>119</v>
      </c>
      <c r="H17780">
        <v>250622</v>
      </c>
      <c r="I17780">
        <v>4590</v>
      </c>
      <c r="J17780" t="s">
        <v>388</v>
      </c>
      <c r="K17780">
        <v>119</v>
      </c>
      <c r="L17780">
        <v>24.18</v>
      </c>
      <c r="M17780">
        <v>17951</v>
      </c>
      <c r="N17780" t="s">
        <v>207</v>
      </c>
      <c r="O17780">
        <v>250626</v>
      </c>
      <c r="P17780">
        <v>94.82</v>
      </c>
    </row>
    <row r="17781" spans="1:16" x14ac:dyDescent="0.25">
      <c r="A17781" t="s">
        <v>3296</v>
      </c>
      <c r="B17781" t="s">
        <v>2931</v>
      </c>
      <c r="C17781">
        <v>17157</v>
      </c>
      <c r="D17781" t="str">
        <f>"16443       "</f>
        <v xml:space="preserve">16443       </v>
      </c>
      <c r="E17781" t="s">
        <v>2738</v>
      </c>
      <c r="F17781" t="s">
        <v>2739</v>
      </c>
      <c r="G17781">
        <v>370</v>
      </c>
      <c r="H17781">
        <v>251130</v>
      </c>
      <c r="I17781">
        <v>4440</v>
      </c>
      <c r="J17781" t="s">
        <v>346</v>
      </c>
      <c r="K17781">
        <v>370</v>
      </c>
      <c r="L17781">
        <v>0</v>
      </c>
      <c r="M17781">
        <v>11605</v>
      </c>
      <c r="N17781" t="s">
        <v>1066</v>
      </c>
      <c r="O17781">
        <v>251218</v>
      </c>
      <c r="P17781">
        <v>370</v>
      </c>
    </row>
    <row r="17782" spans="1:16" x14ac:dyDescent="0.25">
      <c r="A17782" t="s">
        <v>3296</v>
      </c>
      <c r="B17782" t="s">
        <v>2931</v>
      </c>
      <c r="C17782">
        <v>499</v>
      </c>
      <c r="D17782" t="str">
        <f>"2503000255  "</f>
        <v xml:space="preserve">2503000255  </v>
      </c>
      <c r="E17782" t="s">
        <v>3294</v>
      </c>
      <c r="F17782" t="s">
        <v>3295</v>
      </c>
      <c r="G17782">
        <v>29.49</v>
      </c>
      <c r="H17782">
        <v>250121</v>
      </c>
      <c r="I17782">
        <v>4500</v>
      </c>
      <c r="J17782" t="s">
        <v>312</v>
      </c>
      <c r="K17782">
        <v>29.49</v>
      </c>
      <c r="L17782">
        <v>5.99</v>
      </c>
      <c r="M17782">
        <v>13502</v>
      </c>
      <c r="N17782" t="s">
        <v>302</v>
      </c>
      <c r="O17782">
        <v>250123</v>
      </c>
      <c r="P17782">
        <v>23.5</v>
      </c>
    </row>
    <row r="17783" spans="1:16" x14ac:dyDescent="0.25">
      <c r="A17783" t="s">
        <v>3296</v>
      </c>
      <c r="B17783" t="s">
        <v>2931</v>
      </c>
      <c r="C17783">
        <v>987</v>
      </c>
      <c r="D17783" t="str">
        <f>"2403003367  "</f>
        <v xml:space="preserve">2403003367  </v>
      </c>
      <c r="E17783" t="s">
        <v>3294</v>
      </c>
      <c r="F17783" t="s">
        <v>3295</v>
      </c>
      <c r="G17783">
        <v>203.48</v>
      </c>
      <c r="H17783">
        <v>250130</v>
      </c>
      <c r="I17783">
        <v>4500</v>
      </c>
      <c r="J17783" t="s">
        <v>312</v>
      </c>
      <c r="K17783">
        <v>203.48</v>
      </c>
      <c r="L17783">
        <v>41.34</v>
      </c>
      <c r="M17783">
        <v>13502</v>
      </c>
      <c r="N17783" t="s">
        <v>302</v>
      </c>
      <c r="O17783">
        <v>250131</v>
      </c>
      <c r="P17783">
        <v>162.13999999999999</v>
      </c>
    </row>
    <row r="17784" spans="1:16" x14ac:dyDescent="0.25">
      <c r="A17784" t="s">
        <v>3296</v>
      </c>
      <c r="B17784" t="s">
        <v>2931</v>
      </c>
      <c r="C17784">
        <v>1124</v>
      </c>
      <c r="D17784" t="str">
        <f>"8893023280  "</f>
        <v xml:space="preserve">8893023280  </v>
      </c>
      <c r="E17784" t="s">
        <v>2854</v>
      </c>
      <c r="F17784" t="s">
        <v>2851</v>
      </c>
      <c r="G17784">
        <v>50</v>
      </c>
      <c r="H17784">
        <v>250131</v>
      </c>
      <c r="I17784">
        <v>4470</v>
      </c>
      <c r="J17784" t="s">
        <v>203</v>
      </c>
      <c r="K17784">
        <v>50</v>
      </c>
      <c r="L17784">
        <v>0</v>
      </c>
      <c r="M17784">
        <v>13501</v>
      </c>
      <c r="N17784" t="s">
        <v>66</v>
      </c>
      <c r="O17784">
        <v>250204</v>
      </c>
      <c r="P17784">
        <v>50</v>
      </c>
    </row>
    <row r="17785" spans="1:16" x14ac:dyDescent="0.25">
      <c r="A17785" t="s">
        <v>3296</v>
      </c>
      <c r="B17785" t="s">
        <v>2931</v>
      </c>
      <c r="C17785">
        <v>1592</v>
      </c>
      <c r="D17785" t="str">
        <f>"8893023327  "</f>
        <v xml:space="preserve">8893023327  </v>
      </c>
      <c r="E17785" t="s">
        <v>2854</v>
      </c>
      <c r="F17785" t="s">
        <v>2851</v>
      </c>
      <c r="G17785">
        <v>50</v>
      </c>
      <c r="H17785">
        <v>250205</v>
      </c>
      <c r="I17785">
        <v>4940</v>
      </c>
      <c r="J17785" t="s">
        <v>250</v>
      </c>
      <c r="K17785">
        <v>50</v>
      </c>
      <c r="L17785">
        <v>0</v>
      </c>
      <c r="M17785">
        <v>13401</v>
      </c>
      <c r="N17785" t="s">
        <v>10</v>
      </c>
      <c r="O17785">
        <v>250211</v>
      </c>
      <c r="P17785">
        <v>50</v>
      </c>
    </row>
    <row r="17786" spans="1:16" x14ac:dyDescent="0.25">
      <c r="A17786" t="s">
        <v>3296</v>
      </c>
      <c r="B17786" t="s">
        <v>2931</v>
      </c>
      <c r="C17786">
        <v>16639</v>
      </c>
      <c r="D17786" t="str">
        <f>"64081953    "</f>
        <v xml:space="preserve">64081953    </v>
      </c>
      <c r="E17786" t="s">
        <v>2694</v>
      </c>
      <c r="F17786" t="s">
        <v>2695</v>
      </c>
      <c r="G17786">
        <v>719.12</v>
      </c>
      <c r="H17786">
        <v>251125</v>
      </c>
      <c r="I17786">
        <v>4390</v>
      </c>
      <c r="J17786" t="s">
        <v>232</v>
      </c>
      <c r="K17786">
        <v>719.12</v>
      </c>
      <c r="L17786">
        <v>146.12</v>
      </c>
      <c r="M17786">
        <v>59501</v>
      </c>
      <c r="N17786" t="s">
        <v>62</v>
      </c>
      <c r="O17786">
        <v>251211</v>
      </c>
      <c r="P17786">
        <v>573</v>
      </c>
    </row>
    <row r="17787" spans="1:16" x14ac:dyDescent="0.25">
      <c r="A17787" t="s">
        <v>3296</v>
      </c>
      <c r="B17787" t="s">
        <v>2931</v>
      </c>
      <c r="C17787">
        <v>8085</v>
      </c>
      <c r="D17787" t="str">
        <f>"3244        "</f>
        <v xml:space="preserve">3244        </v>
      </c>
      <c r="E17787" t="s">
        <v>2015</v>
      </c>
      <c r="F17787" t="s">
        <v>2016</v>
      </c>
      <c r="G17787">
        <v>225</v>
      </c>
      <c r="H17787">
        <v>250528</v>
      </c>
      <c r="I17787">
        <v>4820</v>
      </c>
      <c r="J17787" t="s">
        <v>169</v>
      </c>
      <c r="K17787">
        <v>225</v>
      </c>
      <c r="L17787">
        <v>45.72</v>
      </c>
      <c r="M17787">
        <v>13901</v>
      </c>
      <c r="N17787" t="s">
        <v>116</v>
      </c>
      <c r="O17787">
        <v>250611</v>
      </c>
      <c r="P17787">
        <v>179.28</v>
      </c>
    </row>
    <row r="17788" spans="1:16" x14ac:dyDescent="0.25">
      <c r="A17788" t="s">
        <v>3296</v>
      </c>
      <c r="B17788" t="s">
        <v>2931</v>
      </c>
      <c r="C17788">
        <v>7245</v>
      </c>
      <c r="D17788" t="str">
        <f>"1724        "</f>
        <v xml:space="preserve">1724        </v>
      </c>
      <c r="E17788" t="s">
        <v>3027</v>
      </c>
      <c r="F17788" t="s">
        <v>3028</v>
      </c>
      <c r="G17788">
        <v>7450</v>
      </c>
      <c r="H17788">
        <v>250513</v>
      </c>
      <c r="I17788">
        <v>4440</v>
      </c>
      <c r="J17788" t="s">
        <v>346</v>
      </c>
      <c r="K17788">
        <v>7450</v>
      </c>
      <c r="L17788">
        <v>0</v>
      </c>
      <c r="M17788">
        <v>18992</v>
      </c>
      <c r="N17788" t="s">
        <v>3094</v>
      </c>
      <c r="O17788">
        <v>250528</v>
      </c>
      <c r="P17788">
        <v>7450</v>
      </c>
    </row>
    <row r="17789" spans="1:16" x14ac:dyDescent="0.25">
      <c r="A17789" t="s">
        <v>3296</v>
      </c>
      <c r="B17789" t="s">
        <v>2931</v>
      </c>
      <c r="C17789">
        <v>3200</v>
      </c>
      <c r="D17789" t="str">
        <f>"1694        "</f>
        <v xml:space="preserve">1694        </v>
      </c>
      <c r="E17789" t="s">
        <v>3027</v>
      </c>
      <c r="F17789" t="s">
        <v>3028</v>
      </c>
      <c r="G17789">
        <v>8750</v>
      </c>
      <c r="H17789">
        <v>250304</v>
      </c>
      <c r="I17789">
        <v>4470</v>
      </c>
      <c r="J17789" t="s">
        <v>203</v>
      </c>
      <c r="K17789">
        <v>8750</v>
      </c>
      <c r="L17789">
        <v>0</v>
      </c>
      <c r="M17789">
        <v>18972</v>
      </c>
      <c r="N17789" t="s">
        <v>39</v>
      </c>
      <c r="O17789">
        <v>250317</v>
      </c>
      <c r="P17789">
        <v>8750</v>
      </c>
    </row>
    <row r="17790" spans="1:16" x14ac:dyDescent="0.25">
      <c r="A17790" t="s">
        <v>3296</v>
      </c>
      <c r="B17790" t="s">
        <v>2931</v>
      </c>
      <c r="C17790">
        <v>14900</v>
      </c>
      <c r="D17790" t="str">
        <f>"334         "</f>
        <v xml:space="preserve">334         </v>
      </c>
      <c r="E17790" t="s">
        <v>2534</v>
      </c>
      <c r="F17790" t="s">
        <v>2535</v>
      </c>
      <c r="G17790">
        <v>5591.03</v>
      </c>
      <c r="H17790">
        <v>251031</v>
      </c>
      <c r="I17790">
        <v>4470</v>
      </c>
      <c r="J17790" t="s">
        <v>203</v>
      </c>
      <c r="K17790">
        <v>5591.03</v>
      </c>
      <c r="L17790">
        <v>1136.03</v>
      </c>
      <c r="M17790">
        <v>67554</v>
      </c>
      <c r="N17790" t="s">
        <v>317</v>
      </c>
      <c r="O17790">
        <v>251107</v>
      </c>
      <c r="P17790">
        <v>4455</v>
      </c>
    </row>
    <row r="17791" spans="1:16" x14ac:dyDescent="0.25">
      <c r="A17791" t="s">
        <v>3296</v>
      </c>
      <c r="B17791" t="s">
        <v>2931</v>
      </c>
      <c r="C17791">
        <v>15555</v>
      </c>
      <c r="D17791" t="str">
        <f>"1003611108/2"</f>
        <v>1003611108/2</v>
      </c>
      <c r="E17791" t="s">
        <v>2595</v>
      </c>
      <c r="F17791" t="s">
        <v>2596</v>
      </c>
      <c r="G17791">
        <v>92.7</v>
      </c>
      <c r="H17791">
        <v>251110</v>
      </c>
      <c r="I17791">
        <v>4580</v>
      </c>
      <c r="J17791" t="s">
        <v>126</v>
      </c>
      <c r="K17791">
        <v>248.19</v>
      </c>
      <c r="L17791">
        <v>18.84</v>
      </c>
      <c r="M17791">
        <v>17525</v>
      </c>
      <c r="N17791" t="s">
        <v>140</v>
      </c>
      <c r="O17791">
        <v>251121</v>
      </c>
      <c r="P17791">
        <v>73.86</v>
      </c>
    </row>
    <row r="17792" spans="1:16" x14ac:dyDescent="0.25">
      <c r="A17792" t="s">
        <v>3296</v>
      </c>
      <c r="B17792" t="s">
        <v>2931</v>
      </c>
      <c r="C17792">
        <v>15555</v>
      </c>
      <c r="D17792" t="str">
        <f>"1003611108/2"</f>
        <v>1003611108/2</v>
      </c>
      <c r="E17792" t="s">
        <v>2595</v>
      </c>
      <c r="F17792" t="s">
        <v>2596</v>
      </c>
      <c r="G17792">
        <v>155.49</v>
      </c>
      <c r="H17792">
        <v>251110</v>
      </c>
      <c r="I17792">
        <v>4600</v>
      </c>
      <c r="J17792" t="s">
        <v>278</v>
      </c>
      <c r="K17792">
        <v>248.19</v>
      </c>
      <c r="L17792">
        <v>31.59</v>
      </c>
      <c r="M17792">
        <v>17525</v>
      </c>
      <c r="N17792" t="s">
        <v>140</v>
      </c>
      <c r="O17792">
        <v>251121</v>
      </c>
      <c r="P17792">
        <v>123.9</v>
      </c>
    </row>
    <row r="17793" spans="1:16" x14ac:dyDescent="0.25">
      <c r="A17793" t="s">
        <v>3296</v>
      </c>
      <c r="B17793" t="s">
        <v>2931</v>
      </c>
      <c r="C17793">
        <v>13813</v>
      </c>
      <c r="D17793" t="str">
        <f>"63364       "</f>
        <v xml:space="preserve">63364       </v>
      </c>
      <c r="E17793" t="s">
        <v>910</v>
      </c>
      <c r="F17793" t="s">
        <v>911</v>
      </c>
      <c r="G17793">
        <v>365.08</v>
      </c>
      <c r="H17793">
        <v>251006</v>
      </c>
      <c r="I17793">
        <v>4400</v>
      </c>
      <c r="J17793" t="s">
        <v>162</v>
      </c>
      <c r="K17793">
        <v>1680.57</v>
      </c>
      <c r="L17793">
        <v>74.180000000000007</v>
      </c>
      <c r="M17793">
        <v>17531</v>
      </c>
      <c r="N17793" t="s">
        <v>145</v>
      </c>
      <c r="O17793">
        <v>251020</v>
      </c>
      <c r="P17793">
        <v>290.89999999999998</v>
      </c>
    </row>
    <row r="17794" spans="1:16" x14ac:dyDescent="0.25">
      <c r="A17794" t="s">
        <v>3296</v>
      </c>
      <c r="B17794" t="s">
        <v>2931</v>
      </c>
      <c r="C17794">
        <v>13813</v>
      </c>
      <c r="D17794" t="str">
        <f>"63364       "</f>
        <v xml:space="preserve">63364       </v>
      </c>
      <c r="E17794" t="s">
        <v>910</v>
      </c>
      <c r="F17794" t="s">
        <v>911</v>
      </c>
      <c r="G17794">
        <v>1240.19</v>
      </c>
      <c r="H17794">
        <v>251006</v>
      </c>
      <c r="I17794">
        <v>4400</v>
      </c>
      <c r="J17794" t="s">
        <v>162</v>
      </c>
      <c r="K17794">
        <v>1680.57</v>
      </c>
      <c r="L17794">
        <v>251.99</v>
      </c>
      <c r="M17794">
        <v>17533</v>
      </c>
      <c r="N17794" t="s">
        <v>147</v>
      </c>
      <c r="O17794">
        <v>251020</v>
      </c>
      <c r="P17794">
        <v>988.2</v>
      </c>
    </row>
    <row r="17795" spans="1:16" x14ac:dyDescent="0.25">
      <c r="A17795" t="s">
        <v>3296</v>
      </c>
      <c r="B17795" t="s">
        <v>2931</v>
      </c>
      <c r="C17795">
        <v>17052</v>
      </c>
      <c r="D17795" t="str">
        <f>"63525       "</f>
        <v xml:space="preserve">63525       </v>
      </c>
      <c r="E17795" t="s">
        <v>910</v>
      </c>
      <c r="F17795" t="s">
        <v>911</v>
      </c>
      <c r="G17795">
        <v>343.37</v>
      </c>
      <c r="H17795">
        <v>251204</v>
      </c>
      <c r="I17795">
        <v>4400</v>
      </c>
      <c r="J17795" t="s">
        <v>162</v>
      </c>
      <c r="K17795">
        <v>1561.47</v>
      </c>
      <c r="L17795">
        <v>69.77</v>
      </c>
      <c r="M17795">
        <v>17533</v>
      </c>
      <c r="N17795" t="s">
        <v>147</v>
      </c>
      <c r="O17795">
        <v>251216</v>
      </c>
      <c r="P17795">
        <v>273.60000000000002</v>
      </c>
    </row>
    <row r="17796" spans="1:16" x14ac:dyDescent="0.25">
      <c r="A17796" t="s">
        <v>3296</v>
      </c>
      <c r="B17796" t="s">
        <v>2931</v>
      </c>
      <c r="C17796">
        <v>17052</v>
      </c>
      <c r="D17796" t="str">
        <f>"63525       "</f>
        <v xml:space="preserve">63525       </v>
      </c>
      <c r="E17796" t="s">
        <v>910</v>
      </c>
      <c r="F17796" t="s">
        <v>911</v>
      </c>
      <c r="G17796">
        <v>249.24</v>
      </c>
      <c r="H17796">
        <v>251204</v>
      </c>
      <c r="I17796">
        <v>4580</v>
      </c>
      <c r="J17796" t="s">
        <v>126</v>
      </c>
      <c r="K17796">
        <v>1561.47</v>
      </c>
      <c r="L17796">
        <v>50.64</v>
      </c>
      <c r="M17796">
        <v>17532</v>
      </c>
      <c r="N17796" t="s">
        <v>146</v>
      </c>
      <c r="O17796">
        <v>251216</v>
      </c>
      <c r="P17796">
        <v>198.6</v>
      </c>
    </row>
    <row r="17797" spans="1:16" x14ac:dyDescent="0.25">
      <c r="A17797" t="s">
        <v>3296</v>
      </c>
      <c r="B17797" t="s">
        <v>2931</v>
      </c>
      <c r="C17797">
        <v>17052</v>
      </c>
      <c r="D17797" t="str">
        <f>"63525       "</f>
        <v xml:space="preserve">63525       </v>
      </c>
      <c r="E17797" t="s">
        <v>910</v>
      </c>
      <c r="F17797" t="s">
        <v>911</v>
      </c>
      <c r="G17797">
        <v>893.56</v>
      </c>
      <c r="H17797">
        <v>251204</v>
      </c>
      <c r="I17797">
        <v>4580</v>
      </c>
      <c r="J17797" t="s">
        <v>126</v>
      </c>
      <c r="K17797">
        <v>1561.47</v>
      </c>
      <c r="L17797">
        <v>181.56</v>
      </c>
      <c r="M17797">
        <v>17533</v>
      </c>
      <c r="N17797" t="s">
        <v>147</v>
      </c>
      <c r="O17797">
        <v>251216</v>
      </c>
      <c r="P17797">
        <v>712</v>
      </c>
    </row>
    <row r="17798" spans="1:16" x14ac:dyDescent="0.25">
      <c r="A17798" t="s">
        <v>3296</v>
      </c>
      <c r="B17798" t="s">
        <v>2931</v>
      </c>
      <c r="C17798">
        <v>17053</v>
      </c>
      <c r="D17798" t="str">
        <f>"63529       "</f>
        <v xml:space="preserve">63529       </v>
      </c>
      <c r="E17798" t="s">
        <v>910</v>
      </c>
      <c r="F17798" t="s">
        <v>911</v>
      </c>
      <c r="G17798">
        <v>-446.78</v>
      </c>
      <c r="H17798">
        <v>251208</v>
      </c>
      <c r="I17798">
        <v>4580</v>
      </c>
      <c r="J17798" t="s">
        <v>126</v>
      </c>
      <c r="K17798">
        <v>-446.78</v>
      </c>
      <c r="L17798">
        <v>-90.78</v>
      </c>
      <c r="M17798">
        <v>17533</v>
      </c>
      <c r="N17798" t="s">
        <v>147</v>
      </c>
      <c r="O17798">
        <v>251216</v>
      </c>
      <c r="P17798">
        <v>-356</v>
      </c>
    </row>
    <row r="17799" spans="1:16" x14ac:dyDescent="0.25">
      <c r="A17799" t="s">
        <v>3296</v>
      </c>
      <c r="B17799" t="s">
        <v>2931</v>
      </c>
      <c r="C17799">
        <v>1239</v>
      </c>
      <c r="D17799" t="str">
        <f>"62746       "</f>
        <v xml:space="preserve">62746       </v>
      </c>
      <c r="E17799" t="s">
        <v>910</v>
      </c>
      <c r="F17799" t="s">
        <v>911</v>
      </c>
      <c r="G17799">
        <v>28.74</v>
      </c>
      <c r="H17799">
        <v>250130</v>
      </c>
      <c r="I17799">
        <v>4600</v>
      </c>
      <c r="J17799" t="s">
        <v>278</v>
      </c>
      <c r="K17799">
        <v>28.74</v>
      </c>
      <c r="L17799">
        <v>5.84</v>
      </c>
      <c r="M17799">
        <v>17533</v>
      </c>
      <c r="N17799" t="s">
        <v>147</v>
      </c>
      <c r="O17799">
        <v>250206</v>
      </c>
      <c r="P17799">
        <v>22.9</v>
      </c>
    </row>
    <row r="17800" spans="1:16" x14ac:dyDescent="0.25">
      <c r="A17800" t="s">
        <v>3296</v>
      </c>
      <c r="B17800" t="s">
        <v>2931</v>
      </c>
      <c r="C17800">
        <v>10467</v>
      </c>
      <c r="D17800" t="str">
        <f>"63229       "</f>
        <v xml:space="preserve">63229       </v>
      </c>
      <c r="E17800" t="s">
        <v>910</v>
      </c>
      <c r="F17800" t="s">
        <v>911</v>
      </c>
      <c r="G17800">
        <v>87.85</v>
      </c>
      <c r="H17800">
        <v>250813</v>
      </c>
      <c r="I17800">
        <v>4600</v>
      </c>
      <c r="J17800" t="s">
        <v>278</v>
      </c>
      <c r="K17800">
        <v>87.85</v>
      </c>
      <c r="L17800">
        <v>17.850000000000001</v>
      </c>
      <c r="M17800">
        <v>17533</v>
      </c>
      <c r="N17800" t="s">
        <v>147</v>
      </c>
      <c r="O17800">
        <v>250820</v>
      </c>
      <c r="P17800">
        <v>70</v>
      </c>
    </row>
    <row r="17801" spans="1:16" x14ac:dyDescent="0.25">
      <c r="A17801" t="s">
        <v>3296</v>
      </c>
      <c r="B17801" t="s">
        <v>2931</v>
      </c>
      <c r="C17801">
        <v>13813</v>
      </c>
      <c r="D17801" t="str">
        <f>"63364       "</f>
        <v xml:space="preserve">63364       </v>
      </c>
      <c r="E17801" t="s">
        <v>910</v>
      </c>
      <c r="F17801" t="s">
        <v>911</v>
      </c>
      <c r="G17801">
        <v>75.3</v>
      </c>
      <c r="H17801">
        <v>251006</v>
      </c>
      <c r="I17801">
        <v>4600</v>
      </c>
      <c r="J17801" t="s">
        <v>278</v>
      </c>
      <c r="K17801">
        <v>1680.57</v>
      </c>
      <c r="L17801">
        <v>15.3</v>
      </c>
      <c r="M17801">
        <v>17647</v>
      </c>
      <c r="N17801" t="s">
        <v>907</v>
      </c>
      <c r="O17801">
        <v>251020</v>
      </c>
      <c r="P17801">
        <v>60</v>
      </c>
    </row>
    <row r="17802" spans="1:16" x14ac:dyDescent="0.25">
      <c r="A17802" t="s">
        <v>3296</v>
      </c>
      <c r="B17802" t="s">
        <v>2931</v>
      </c>
      <c r="C17802">
        <v>17052</v>
      </c>
      <c r="D17802" t="str">
        <f>"63525       "</f>
        <v xml:space="preserve">63525       </v>
      </c>
      <c r="E17802" t="s">
        <v>910</v>
      </c>
      <c r="F17802" t="s">
        <v>911</v>
      </c>
      <c r="G17802">
        <v>75.3</v>
      </c>
      <c r="H17802">
        <v>251204</v>
      </c>
      <c r="I17802">
        <v>4600</v>
      </c>
      <c r="J17802" t="s">
        <v>278</v>
      </c>
      <c r="K17802">
        <v>1561.47</v>
      </c>
      <c r="L17802">
        <v>15.3</v>
      </c>
      <c r="M17802">
        <v>17647</v>
      </c>
      <c r="N17802" t="s">
        <v>907</v>
      </c>
      <c r="O17802">
        <v>251216</v>
      </c>
      <c r="P17802">
        <v>60</v>
      </c>
    </row>
    <row r="17803" spans="1:16" x14ac:dyDescent="0.25">
      <c r="A17803" t="s">
        <v>3296</v>
      </c>
      <c r="B17803" t="s">
        <v>2931</v>
      </c>
      <c r="C17803">
        <v>17896</v>
      </c>
      <c r="D17803" t="str">
        <f>"1783        "</f>
        <v xml:space="preserve">1783        </v>
      </c>
      <c r="E17803" t="s">
        <v>2787</v>
      </c>
      <c r="F17803" t="s">
        <v>2788</v>
      </c>
      <c r="G17803">
        <v>12521.14</v>
      </c>
      <c r="H17803">
        <v>251229</v>
      </c>
      <c r="I17803">
        <v>4400</v>
      </c>
      <c r="J17803" t="s">
        <v>162</v>
      </c>
      <c r="K17803">
        <v>12521.14</v>
      </c>
      <c r="L17803">
        <v>2544.14</v>
      </c>
      <c r="M17803">
        <v>18993</v>
      </c>
      <c r="N17803" t="s">
        <v>540</v>
      </c>
      <c r="O17803">
        <v>260107</v>
      </c>
      <c r="P17803">
        <v>9977</v>
      </c>
    </row>
    <row r="17804" spans="1:16" x14ac:dyDescent="0.25">
      <c r="A17804" t="s">
        <v>3296</v>
      </c>
      <c r="B17804" t="s">
        <v>2931</v>
      </c>
      <c r="C17804">
        <v>17960</v>
      </c>
      <c r="D17804" t="str">
        <f>"1784        "</f>
        <v xml:space="preserve">1784        </v>
      </c>
      <c r="E17804" t="s">
        <v>2787</v>
      </c>
      <c r="F17804" t="s">
        <v>2788</v>
      </c>
      <c r="G17804">
        <v>1129.5</v>
      </c>
      <c r="H17804">
        <v>251229</v>
      </c>
      <c r="I17804">
        <v>4400</v>
      </c>
      <c r="J17804" t="s">
        <v>162</v>
      </c>
      <c r="K17804">
        <v>1543.65</v>
      </c>
      <c r="L17804">
        <v>229.5</v>
      </c>
      <c r="M17804">
        <v>16951</v>
      </c>
      <c r="N17804" t="s">
        <v>488</v>
      </c>
      <c r="O17804">
        <v>260107</v>
      </c>
      <c r="P17804">
        <v>900</v>
      </c>
    </row>
    <row r="17805" spans="1:16" x14ac:dyDescent="0.25">
      <c r="A17805" t="s">
        <v>3296</v>
      </c>
      <c r="B17805" t="s">
        <v>2931</v>
      </c>
      <c r="C17805">
        <v>17960</v>
      </c>
      <c r="D17805" t="str">
        <f>"1784        "</f>
        <v xml:space="preserve">1784        </v>
      </c>
      <c r="E17805" t="s">
        <v>2787</v>
      </c>
      <c r="F17805" t="s">
        <v>2788</v>
      </c>
      <c r="G17805">
        <v>414.15</v>
      </c>
      <c r="H17805">
        <v>251229</v>
      </c>
      <c r="I17805">
        <v>4580</v>
      </c>
      <c r="J17805" t="s">
        <v>126</v>
      </c>
      <c r="K17805">
        <v>1543.65</v>
      </c>
      <c r="L17805">
        <v>84.15</v>
      </c>
      <c r="M17805">
        <v>16951</v>
      </c>
      <c r="N17805" t="s">
        <v>488</v>
      </c>
      <c r="O17805">
        <v>260107</v>
      </c>
      <c r="P17805">
        <v>330</v>
      </c>
    </row>
    <row r="17806" spans="1:16" x14ac:dyDescent="0.25">
      <c r="A17806" t="s">
        <v>3296</v>
      </c>
      <c r="B17806" t="s">
        <v>2931</v>
      </c>
      <c r="C17806">
        <v>7384</v>
      </c>
      <c r="D17806" t="str">
        <f>"250003255   "</f>
        <v xml:space="preserve">250003255   </v>
      </c>
      <c r="E17806" t="s">
        <v>1957</v>
      </c>
      <c r="F17806" t="s">
        <v>1958</v>
      </c>
      <c r="G17806">
        <v>3159.85</v>
      </c>
      <c r="H17806">
        <v>250522</v>
      </c>
      <c r="I17806">
        <v>4600</v>
      </c>
      <c r="J17806" t="s">
        <v>278</v>
      </c>
      <c r="K17806">
        <v>3159.85</v>
      </c>
      <c r="L17806">
        <v>642.04</v>
      </c>
      <c r="M17806">
        <v>17807</v>
      </c>
      <c r="N17806" t="s">
        <v>23</v>
      </c>
      <c r="O17806">
        <v>250603</v>
      </c>
      <c r="P17806">
        <v>2517.81</v>
      </c>
    </row>
    <row r="17807" spans="1:16" x14ac:dyDescent="0.25">
      <c r="A17807" t="s">
        <v>3296</v>
      </c>
      <c r="B17807" t="s">
        <v>2931</v>
      </c>
      <c r="C17807">
        <v>7406</v>
      </c>
      <c r="D17807" t="str">
        <f>"250003350   "</f>
        <v xml:space="preserve">250003350   </v>
      </c>
      <c r="E17807" t="s">
        <v>1957</v>
      </c>
      <c r="F17807" t="s">
        <v>1958</v>
      </c>
      <c r="G17807">
        <v>108.36</v>
      </c>
      <c r="H17807">
        <v>250523</v>
      </c>
      <c r="I17807">
        <v>4600</v>
      </c>
      <c r="J17807" t="s">
        <v>278</v>
      </c>
      <c r="K17807">
        <v>108.36</v>
      </c>
      <c r="L17807">
        <v>22.02</v>
      </c>
      <c r="M17807">
        <v>17807</v>
      </c>
      <c r="N17807" t="s">
        <v>23</v>
      </c>
      <c r="O17807">
        <v>250603</v>
      </c>
      <c r="P17807">
        <v>86.34</v>
      </c>
    </row>
    <row r="17808" spans="1:16" x14ac:dyDescent="0.25">
      <c r="A17808" t="s">
        <v>3296</v>
      </c>
      <c r="B17808" t="s">
        <v>2931</v>
      </c>
      <c r="C17808">
        <v>7518</v>
      </c>
      <c r="D17808" t="str">
        <f>"250003422   "</f>
        <v xml:space="preserve">250003422   </v>
      </c>
      <c r="E17808" t="s">
        <v>1957</v>
      </c>
      <c r="F17808" t="s">
        <v>1958</v>
      </c>
      <c r="G17808">
        <v>96.96</v>
      </c>
      <c r="H17808">
        <v>250526</v>
      </c>
      <c r="I17808">
        <v>4600</v>
      </c>
      <c r="J17808" t="s">
        <v>278</v>
      </c>
      <c r="K17808">
        <v>96.96</v>
      </c>
      <c r="L17808">
        <v>19.7</v>
      </c>
      <c r="M17808">
        <v>17807</v>
      </c>
      <c r="N17808" t="s">
        <v>23</v>
      </c>
      <c r="O17808">
        <v>250604</v>
      </c>
      <c r="P17808">
        <v>77.260000000000005</v>
      </c>
    </row>
    <row r="17809" spans="1:16" x14ac:dyDescent="0.25">
      <c r="A17809" t="s">
        <v>3296</v>
      </c>
      <c r="B17809" t="s">
        <v>2931</v>
      </c>
      <c r="C17809">
        <v>7781</v>
      </c>
      <c r="D17809" t="str">
        <f>"250003635   "</f>
        <v xml:space="preserve">250003635   </v>
      </c>
      <c r="E17809" t="s">
        <v>1957</v>
      </c>
      <c r="F17809" t="s">
        <v>1958</v>
      </c>
      <c r="G17809">
        <v>93.72</v>
      </c>
      <c r="H17809">
        <v>250528</v>
      </c>
      <c r="I17809">
        <v>4600</v>
      </c>
      <c r="J17809" t="s">
        <v>278</v>
      </c>
      <c r="K17809">
        <v>93.72</v>
      </c>
      <c r="L17809">
        <v>19.04</v>
      </c>
      <c r="M17809">
        <v>17807</v>
      </c>
      <c r="N17809" t="s">
        <v>23</v>
      </c>
      <c r="O17809">
        <v>250609</v>
      </c>
      <c r="P17809">
        <v>74.680000000000007</v>
      </c>
    </row>
    <row r="17810" spans="1:16" x14ac:dyDescent="0.25">
      <c r="A17810" t="s">
        <v>3296</v>
      </c>
      <c r="B17810" t="s">
        <v>2931</v>
      </c>
      <c r="C17810">
        <v>9774</v>
      </c>
      <c r="D17810" t="str">
        <f>"325/633     "</f>
        <v xml:space="preserve">325/633     </v>
      </c>
      <c r="E17810" t="s">
        <v>3124</v>
      </c>
      <c r="F17810" t="s">
        <v>3125</v>
      </c>
      <c r="G17810">
        <v>383.9</v>
      </c>
      <c r="H17810">
        <v>250627</v>
      </c>
      <c r="I17810">
        <v>4440</v>
      </c>
      <c r="J17810" t="s">
        <v>346</v>
      </c>
      <c r="K17810">
        <v>383.9</v>
      </c>
      <c r="L17810">
        <v>78</v>
      </c>
      <c r="M17810">
        <v>13401</v>
      </c>
      <c r="N17810" t="s">
        <v>10</v>
      </c>
      <c r="O17810">
        <v>250728</v>
      </c>
      <c r="P17810">
        <v>305.89999999999998</v>
      </c>
    </row>
    <row r="17811" spans="1:16" x14ac:dyDescent="0.25">
      <c r="A17811" t="s">
        <v>3296</v>
      </c>
      <c r="B17811" t="s">
        <v>2931</v>
      </c>
      <c r="C17811">
        <v>151</v>
      </c>
      <c r="D17811" t="str">
        <f>"02478       "</f>
        <v xml:space="preserve">02478       </v>
      </c>
      <c r="E17811" t="s">
        <v>275</v>
      </c>
      <c r="F17811" t="s">
        <v>276</v>
      </c>
      <c r="G17811">
        <v>504.67</v>
      </c>
      <c r="H17811">
        <v>250103</v>
      </c>
      <c r="I17811">
        <v>4400</v>
      </c>
      <c r="J17811" t="s">
        <v>162</v>
      </c>
      <c r="K17811">
        <v>504.67</v>
      </c>
      <c r="L17811">
        <v>102.54</v>
      </c>
      <c r="M17811">
        <v>17523</v>
      </c>
      <c r="N17811" t="s">
        <v>138</v>
      </c>
      <c r="O17811">
        <v>250114</v>
      </c>
      <c r="P17811">
        <v>402.13</v>
      </c>
    </row>
    <row r="17812" spans="1:16" x14ac:dyDescent="0.25">
      <c r="A17812" t="s">
        <v>3296</v>
      </c>
      <c r="B17812" t="s">
        <v>2931</v>
      </c>
      <c r="C17812">
        <v>5514</v>
      </c>
      <c r="D17812" t="str">
        <f>"02777       "</f>
        <v xml:space="preserve">02777       </v>
      </c>
      <c r="E17812" t="s">
        <v>275</v>
      </c>
      <c r="F17812" t="s">
        <v>276</v>
      </c>
      <c r="G17812">
        <v>37.28</v>
      </c>
      <c r="H17812">
        <v>250417</v>
      </c>
      <c r="I17812">
        <v>4400</v>
      </c>
      <c r="J17812" t="s">
        <v>162</v>
      </c>
      <c r="K17812">
        <v>174.13</v>
      </c>
      <c r="L17812">
        <v>7.57</v>
      </c>
      <c r="M17812">
        <v>17523</v>
      </c>
      <c r="N17812" t="s">
        <v>138</v>
      </c>
      <c r="O17812">
        <v>250425</v>
      </c>
      <c r="P17812">
        <v>29.71</v>
      </c>
    </row>
    <row r="17813" spans="1:16" x14ac:dyDescent="0.25">
      <c r="A17813" t="s">
        <v>3296</v>
      </c>
      <c r="B17813" t="s">
        <v>2931</v>
      </c>
      <c r="C17813">
        <v>5514</v>
      </c>
      <c r="D17813" t="str">
        <f>"02777       "</f>
        <v xml:space="preserve">02777       </v>
      </c>
      <c r="E17813" t="s">
        <v>275</v>
      </c>
      <c r="F17813" t="s">
        <v>276</v>
      </c>
      <c r="G17813">
        <v>136.85</v>
      </c>
      <c r="H17813">
        <v>250417</v>
      </c>
      <c r="I17813">
        <v>4400</v>
      </c>
      <c r="J17813" t="s">
        <v>162</v>
      </c>
      <c r="K17813">
        <v>174.13</v>
      </c>
      <c r="L17813">
        <v>27.81</v>
      </c>
      <c r="M17813">
        <v>17526</v>
      </c>
      <c r="N17813" t="s">
        <v>141</v>
      </c>
      <c r="O17813">
        <v>250425</v>
      </c>
      <c r="P17813">
        <v>109.04</v>
      </c>
    </row>
    <row r="17814" spans="1:16" x14ac:dyDescent="0.25">
      <c r="A17814" t="s">
        <v>3296</v>
      </c>
      <c r="B17814" t="s">
        <v>2931</v>
      </c>
      <c r="C17814">
        <v>631</v>
      </c>
      <c r="D17814" t="str">
        <f>"02516       "</f>
        <v xml:space="preserve">02516       </v>
      </c>
      <c r="E17814" t="s">
        <v>275</v>
      </c>
      <c r="F17814" t="s">
        <v>276</v>
      </c>
      <c r="G17814">
        <v>5124.8900000000003</v>
      </c>
      <c r="H17814">
        <v>250117</v>
      </c>
      <c r="I17814">
        <v>4600</v>
      </c>
      <c r="J17814" t="s">
        <v>278</v>
      </c>
      <c r="K17814">
        <v>5124.8900000000003</v>
      </c>
      <c r="L17814">
        <v>1041.31</v>
      </c>
      <c r="M17814">
        <v>17634</v>
      </c>
      <c r="N17814" t="s">
        <v>634</v>
      </c>
      <c r="O17814">
        <v>250124</v>
      </c>
      <c r="P17814">
        <v>4083.58</v>
      </c>
    </row>
    <row r="17815" spans="1:16" x14ac:dyDescent="0.25">
      <c r="A17815" t="s">
        <v>3296</v>
      </c>
      <c r="B17815" t="s">
        <v>2931</v>
      </c>
      <c r="C17815">
        <v>2127</v>
      </c>
      <c r="D17815" t="str">
        <f>"02581       "</f>
        <v xml:space="preserve">02581       </v>
      </c>
      <c r="E17815" t="s">
        <v>275</v>
      </c>
      <c r="F17815" t="s">
        <v>276</v>
      </c>
      <c r="G17815">
        <v>980.42</v>
      </c>
      <c r="H17815">
        <v>250213</v>
      </c>
      <c r="I17815">
        <v>4600</v>
      </c>
      <c r="J17815" t="s">
        <v>278</v>
      </c>
      <c r="K17815">
        <v>980.42</v>
      </c>
      <c r="L17815">
        <v>199.21</v>
      </c>
      <c r="M17815">
        <v>17634</v>
      </c>
      <c r="N17815" t="s">
        <v>634</v>
      </c>
      <c r="O17815">
        <v>250220</v>
      </c>
      <c r="P17815">
        <v>781.21</v>
      </c>
    </row>
    <row r="17816" spans="1:16" x14ac:dyDescent="0.25">
      <c r="A17816" t="s">
        <v>3296</v>
      </c>
      <c r="B17816" t="s">
        <v>2931</v>
      </c>
      <c r="C17816">
        <v>402</v>
      </c>
      <c r="D17816" t="str">
        <f>"9099295611  "</f>
        <v xml:space="preserve">9099295611  </v>
      </c>
      <c r="E17816" t="s">
        <v>491</v>
      </c>
      <c r="F17816" t="s">
        <v>492</v>
      </c>
      <c r="G17816">
        <v>50.89</v>
      </c>
      <c r="H17816">
        <v>250120</v>
      </c>
      <c r="I17816">
        <v>1196</v>
      </c>
      <c r="J17816" t="s">
        <v>340</v>
      </c>
      <c r="K17816">
        <v>50.89</v>
      </c>
      <c r="L17816">
        <v>6.25</v>
      </c>
      <c r="M17816">
        <v>97604</v>
      </c>
      <c r="N17816" t="s">
        <v>341</v>
      </c>
      <c r="O17816">
        <v>250122</v>
      </c>
      <c r="P17816">
        <v>44.64</v>
      </c>
    </row>
    <row r="17817" spans="1:16" x14ac:dyDescent="0.25">
      <c r="A17817" t="s">
        <v>3296</v>
      </c>
      <c r="B17817" t="s">
        <v>2931</v>
      </c>
      <c r="C17817">
        <v>634</v>
      </c>
      <c r="D17817" t="str">
        <f>"9099295610  "</f>
        <v xml:space="preserve">9099295610  </v>
      </c>
      <c r="E17817" t="s">
        <v>491</v>
      </c>
      <c r="F17817" t="s">
        <v>492</v>
      </c>
      <c r="G17817">
        <v>179.99</v>
      </c>
      <c r="H17817">
        <v>250120</v>
      </c>
      <c r="I17817">
        <v>4410</v>
      </c>
      <c r="J17817" t="s">
        <v>165</v>
      </c>
      <c r="K17817">
        <v>179.99</v>
      </c>
      <c r="L17817">
        <v>22.1</v>
      </c>
      <c r="M17817">
        <v>17538</v>
      </c>
      <c r="N17817" t="s">
        <v>129</v>
      </c>
      <c r="O17817">
        <v>250124</v>
      </c>
      <c r="P17817">
        <v>157.88999999999999</v>
      </c>
    </row>
    <row r="17818" spans="1:16" x14ac:dyDescent="0.25">
      <c r="A17818" t="s">
        <v>3296</v>
      </c>
      <c r="B17818" t="s">
        <v>2931</v>
      </c>
      <c r="C17818">
        <v>1600</v>
      </c>
      <c r="D17818" t="str">
        <f>"9099296164  "</f>
        <v xml:space="preserve">9099296164  </v>
      </c>
      <c r="E17818" t="s">
        <v>491</v>
      </c>
      <c r="F17818" t="s">
        <v>492</v>
      </c>
      <c r="G17818">
        <v>4530.75</v>
      </c>
      <c r="H17818">
        <v>250131</v>
      </c>
      <c r="I17818">
        <v>4410</v>
      </c>
      <c r="J17818" t="s">
        <v>165</v>
      </c>
      <c r="K17818">
        <v>4530.75</v>
      </c>
      <c r="L17818">
        <v>0</v>
      </c>
      <c r="M17818">
        <v>13552</v>
      </c>
      <c r="N17818" t="s">
        <v>133</v>
      </c>
      <c r="O17818">
        <v>250211</v>
      </c>
      <c r="P17818">
        <v>4530.75</v>
      </c>
    </row>
    <row r="17819" spans="1:16" x14ac:dyDescent="0.25">
      <c r="A17819" t="s">
        <v>3296</v>
      </c>
      <c r="B17819" t="s">
        <v>2931</v>
      </c>
      <c r="C17819">
        <v>1601</v>
      </c>
      <c r="D17819" t="str">
        <f>"9099296159  "</f>
        <v xml:space="preserve">9099296159  </v>
      </c>
      <c r="E17819" t="s">
        <v>491</v>
      </c>
      <c r="F17819" t="s">
        <v>492</v>
      </c>
      <c r="G17819">
        <v>10.5</v>
      </c>
      <c r="H17819">
        <v>250131</v>
      </c>
      <c r="I17819">
        <v>4410</v>
      </c>
      <c r="J17819" t="s">
        <v>165</v>
      </c>
      <c r="K17819">
        <v>10.5</v>
      </c>
      <c r="L17819">
        <v>0</v>
      </c>
      <c r="M17819">
        <v>13561</v>
      </c>
      <c r="N17819" t="s">
        <v>241</v>
      </c>
      <c r="O17819">
        <v>250211</v>
      </c>
      <c r="P17819">
        <v>10.5</v>
      </c>
    </row>
    <row r="17820" spans="1:16" x14ac:dyDescent="0.25">
      <c r="A17820" t="s">
        <v>3296</v>
      </c>
      <c r="B17820" t="s">
        <v>2931</v>
      </c>
      <c r="C17820">
        <v>1708</v>
      </c>
      <c r="D17820" t="str">
        <f>"9099296158  "</f>
        <v xml:space="preserve">9099296158  </v>
      </c>
      <c r="E17820" t="s">
        <v>491</v>
      </c>
      <c r="F17820" t="s">
        <v>492</v>
      </c>
      <c r="G17820">
        <v>20.2</v>
      </c>
      <c r="H17820">
        <v>250131</v>
      </c>
      <c r="I17820">
        <v>4410</v>
      </c>
      <c r="J17820" t="s">
        <v>165</v>
      </c>
      <c r="K17820">
        <v>136.05000000000001</v>
      </c>
      <c r="L17820">
        <v>2.48</v>
      </c>
      <c r="M17820">
        <v>11941</v>
      </c>
      <c r="N17820" t="s">
        <v>426</v>
      </c>
      <c r="O17820">
        <v>250212</v>
      </c>
      <c r="P17820">
        <v>17.72</v>
      </c>
    </row>
    <row r="17821" spans="1:16" x14ac:dyDescent="0.25">
      <c r="A17821" t="s">
        <v>3296</v>
      </c>
      <c r="B17821" t="s">
        <v>2931</v>
      </c>
      <c r="C17821">
        <v>1708</v>
      </c>
      <c r="D17821" t="str">
        <f>"9099296158  "</f>
        <v xml:space="preserve">9099296158  </v>
      </c>
      <c r="E17821" t="s">
        <v>491</v>
      </c>
      <c r="F17821" t="s">
        <v>492</v>
      </c>
      <c r="G17821">
        <v>86.25</v>
      </c>
      <c r="H17821">
        <v>250131</v>
      </c>
      <c r="I17821">
        <v>4410</v>
      </c>
      <c r="J17821" t="s">
        <v>165</v>
      </c>
      <c r="K17821">
        <v>136.05000000000001</v>
      </c>
      <c r="L17821">
        <v>0</v>
      </c>
      <c r="M17821">
        <v>11941</v>
      </c>
      <c r="N17821" t="s">
        <v>426</v>
      </c>
      <c r="O17821">
        <v>250212</v>
      </c>
      <c r="P17821">
        <v>86.25</v>
      </c>
    </row>
    <row r="17822" spans="1:16" x14ac:dyDescent="0.25">
      <c r="A17822" t="s">
        <v>3296</v>
      </c>
      <c r="B17822" t="s">
        <v>2931</v>
      </c>
      <c r="C17822">
        <v>1708</v>
      </c>
      <c r="D17822" t="str">
        <f>"9099296158  "</f>
        <v xml:space="preserve">9099296158  </v>
      </c>
      <c r="E17822" t="s">
        <v>491</v>
      </c>
      <c r="F17822" t="s">
        <v>492</v>
      </c>
      <c r="G17822">
        <v>5.6</v>
      </c>
      <c r="H17822">
        <v>250131</v>
      </c>
      <c r="I17822">
        <v>4410</v>
      </c>
      <c r="J17822" t="s">
        <v>165</v>
      </c>
      <c r="K17822">
        <v>136.05000000000001</v>
      </c>
      <c r="L17822">
        <v>0.69</v>
      </c>
      <c r="M17822">
        <v>11951</v>
      </c>
      <c r="N17822" t="s">
        <v>428</v>
      </c>
      <c r="O17822">
        <v>250212</v>
      </c>
      <c r="P17822">
        <v>4.91</v>
      </c>
    </row>
    <row r="17823" spans="1:16" x14ac:dyDescent="0.25">
      <c r="A17823" t="s">
        <v>3296</v>
      </c>
      <c r="B17823" t="s">
        <v>2931</v>
      </c>
      <c r="C17823">
        <v>1708</v>
      </c>
      <c r="D17823" t="str">
        <f>"9099296158  "</f>
        <v xml:space="preserve">9099296158  </v>
      </c>
      <c r="E17823" t="s">
        <v>491</v>
      </c>
      <c r="F17823" t="s">
        <v>492</v>
      </c>
      <c r="G17823">
        <v>24</v>
      </c>
      <c r="H17823">
        <v>250131</v>
      </c>
      <c r="I17823">
        <v>4410</v>
      </c>
      <c r="J17823" t="s">
        <v>165</v>
      </c>
      <c r="K17823">
        <v>136.05000000000001</v>
      </c>
      <c r="L17823">
        <v>0</v>
      </c>
      <c r="M17823">
        <v>11951</v>
      </c>
      <c r="N17823" t="s">
        <v>428</v>
      </c>
      <c r="O17823">
        <v>250212</v>
      </c>
      <c r="P17823">
        <v>24</v>
      </c>
    </row>
    <row r="17824" spans="1:16" x14ac:dyDescent="0.25">
      <c r="A17824" t="s">
        <v>3296</v>
      </c>
      <c r="B17824" t="s">
        <v>2931</v>
      </c>
      <c r="C17824">
        <v>1787</v>
      </c>
      <c r="D17824" t="str">
        <f>"9099296163  "</f>
        <v xml:space="preserve">9099296163  </v>
      </c>
      <c r="E17824" t="s">
        <v>491</v>
      </c>
      <c r="F17824" t="s">
        <v>492</v>
      </c>
      <c r="G17824">
        <v>18632.25</v>
      </c>
      <c r="H17824">
        <v>250131</v>
      </c>
      <c r="I17824">
        <v>4410</v>
      </c>
      <c r="J17824" t="s">
        <v>165</v>
      </c>
      <c r="K17824">
        <v>18632.25</v>
      </c>
      <c r="L17824">
        <v>0</v>
      </c>
      <c r="M17824">
        <v>17918</v>
      </c>
      <c r="N17824" t="s">
        <v>152</v>
      </c>
      <c r="O17824">
        <v>250214</v>
      </c>
      <c r="P17824">
        <v>18632.25</v>
      </c>
    </row>
    <row r="17825" spans="1:16" x14ac:dyDescent="0.25">
      <c r="A17825" t="s">
        <v>3296</v>
      </c>
      <c r="B17825" t="s">
        <v>2931</v>
      </c>
      <c r="C17825">
        <v>1788</v>
      </c>
      <c r="D17825" t="str">
        <f>"9099296162  "</f>
        <v xml:space="preserve">9099296162  </v>
      </c>
      <c r="E17825" t="s">
        <v>491</v>
      </c>
      <c r="F17825" t="s">
        <v>492</v>
      </c>
      <c r="G17825">
        <v>62.94</v>
      </c>
      <c r="H17825">
        <v>250131</v>
      </c>
      <c r="I17825">
        <v>4410</v>
      </c>
      <c r="J17825" t="s">
        <v>165</v>
      </c>
      <c r="K17825">
        <v>62.94</v>
      </c>
      <c r="L17825">
        <v>7.73</v>
      </c>
      <c r="M17825">
        <v>16930</v>
      </c>
      <c r="N17825" t="s">
        <v>135</v>
      </c>
      <c r="O17825">
        <v>250214</v>
      </c>
      <c r="P17825">
        <v>55.21</v>
      </c>
    </row>
    <row r="17826" spans="1:16" x14ac:dyDescent="0.25">
      <c r="A17826" t="s">
        <v>3296</v>
      </c>
      <c r="B17826" t="s">
        <v>2931</v>
      </c>
      <c r="C17826">
        <v>1789</v>
      </c>
      <c r="D17826" t="str">
        <f>"9099296155  "</f>
        <v xml:space="preserve">9099296155  </v>
      </c>
      <c r="E17826" t="s">
        <v>491</v>
      </c>
      <c r="F17826" t="s">
        <v>492</v>
      </c>
      <c r="G17826">
        <v>8.4</v>
      </c>
      <c r="H17826">
        <v>250131</v>
      </c>
      <c r="I17826">
        <v>4410</v>
      </c>
      <c r="J17826" t="s">
        <v>165</v>
      </c>
      <c r="K17826">
        <v>8.4</v>
      </c>
      <c r="L17826">
        <v>1.03</v>
      </c>
      <c r="M17826">
        <v>17974</v>
      </c>
      <c r="N17826" t="s">
        <v>153</v>
      </c>
      <c r="O17826">
        <v>250214</v>
      </c>
      <c r="P17826">
        <v>7.37</v>
      </c>
    </row>
    <row r="17827" spans="1:16" x14ac:dyDescent="0.25">
      <c r="A17827" t="s">
        <v>3296</v>
      </c>
      <c r="B17827" t="s">
        <v>2931</v>
      </c>
      <c r="C17827">
        <v>1790</v>
      </c>
      <c r="D17827" t="str">
        <f>"9099296160  "</f>
        <v xml:space="preserve">9099296160  </v>
      </c>
      <c r="E17827" t="s">
        <v>491</v>
      </c>
      <c r="F17827" t="s">
        <v>492</v>
      </c>
      <c r="G17827">
        <v>39.9</v>
      </c>
      <c r="H17827">
        <v>250131</v>
      </c>
      <c r="I17827">
        <v>4410</v>
      </c>
      <c r="J17827" t="s">
        <v>165</v>
      </c>
      <c r="K17827">
        <v>39.9</v>
      </c>
      <c r="L17827">
        <v>4.9000000000000004</v>
      </c>
      <c r="M17827">
        <v>17971</v>
      </c>
      <c r="N17827" t="s">
        <v>27</v>
      </c>
      <c r="O17827">
        <v>250214</v>
      </c>
      <c r="P17827">
        <v>35</v>
      </c>
    </row>
    <row r="17828" spans="1:16" x14ac:dyDescent="0.25">
      <c r="A17828" t="s">
        <v>3296</v>
      </c>
      <c r="B17828" t="s">
        <v>2931</v>
      </c>
      <c r="C17828">
        <v>1791</v>
      </c>
      <c r="D17828" t="str">
        <f>"9099296161  "</f>
        <v xml:space="preserve">9099296161  </v>
      </c>
      <c r="E17828" t="s">
        <v>491</v>
      </c>
      <c r="F17828" t="s">
        <v>492</v>
      </c>
      <c r="G17828">
        <v>42.75</v>
      </c>
      <c r="H17828">
        <v>250131</v>
      </c>
      <c r="I17828">
        <v>4410</v>
      </c>
      <c r="J17828" t="s">
        <v>165</v>
      </c>
      <c r="K17828">
        <v>42.75</v>
      </c>
      <c r="L17828">
        <v>5.25</v>
      </c>
      <c r="M17828">
        <v>17523</v>
      </c>
      <c r="N17828" t="s">
        <v>138</v>
      </c>
      <c r="O17828">
        <v>250214</v>
      </c>
      <c r="P17828">
        <v>37.5</v>
      </c>
    </row>
    <row r="17829" spans="1:16" x14ac:dyDescent="0.25">
      <c r="A17829" t="s">
        <v>3296</v>
      </c>
      <c r="B17829" t="s">
        <v>2931</v>
      </c>
      <c r="C17829">
        <v>1792</v>
      </c>
      <c r="D17829" t="str">
        <f>"9099296156  "</f>
        <v xml:space="preserve">9099296156  </v>
      </c>
      <c r="E17829" t="s">
        <v>491</v>
      </c>
      <c r="F17829" t="s">
        <v>492</v>
      </c>
      <c r="G17829">
        <v>51.5</v>
      </c>
      <c r="H17829">
        <v>250131</v>
      </c>
      <c r="I17829">
        <v>4410</v>
      </c>
      <c r="J17829" t="s">
        <v>165</v>
      </c>
      <c r="K17829">
        <v>51.5</v>
      </c>
      <c r="L17829">
        <v>6.32</v>
      </c>
      <c r="M17829">
        <v>17538</v>
      </c>
      <c r="N17829" t="s">
        <v>129</v>
      </c>
      <c r="O17829">
        <v>250214</v>
      </c>
      <c r="P17829">
        <v>45.18</v>
      </c>
    </row>
    <row r="17830" spans="1:16" x14ac:dyDescent="0.25">
      <c r="A17830" t="s">
        <v>3296</v>
      </c>
      <c r="B17830" t="s">
        <v>2931</v>
      </c>
      <c r="C17830">
        <v>1942</v>
      </c>
      <c r="D17830" t="str">
        <f>"9099296154  "</f>
        <v xml:space="preserve">9099296154  </v>
      </c>
      <c r="E17830" t="s">
        <v>491</v>
      </c>
      <c r="F17830" t="s">
        <v>492</v>
      </c>
      <c r="G17830">
        <v>144</v>
      </c>
      <c r="H17830">
        <v>250131</v>
      </c>
      <c r="I17830">
        <v>4410</v>
      </c>
      <c r="J17830" t="s">
        <v>165</v>
      </c>
      <c r="K17830">
        <v>144</v>
      </c>
      <c r="L17830">
        <v>17.68</v>
      </c>
      <c r="M17830">
        <v>11605</v>
      </c>
      <c r="N17830" t="s">
        <v>1066</v>
      </c>
      <c r="O17830">
        <v>250218</v>
      </c>
      <c r="P17830">
        <v>126.32</v>
      </c>
    </row>
    <row r="17831" spans="1:16" x14ac:dyDescent="0.25">
      <c r="A17831" t="s">
        <v>3296</v>
      </c>
      <c r="B17831" t="s">
        <v>2931</v>
      </c>
      <c r="C17831">
        <v>2239</v>
      </c>
      <c r="D17831" t="str">
        <f>"9099298684  "</f>
        <v xml:space="preserve">9099298684  </v>
      </c>
      <c r="E17831" t="s">
        <v>491</v>
      </c>
      <c r="F17831" t="s">
        <v>492</v>
      </c>
      <c r="G17831">
        <v>6.45</v>
      </c>
      <c r="H17831">
        <v>250219</v>
      </c>
      <c r="I17831">
        <v>4410</v>
      </c>
      <c r="J17831" t="s">
        <v>165</v>
      </c>
      <c r="K17831">
        <v>6.45</v>
      </c>
      <c r="L17831">
        <v>0.79</v>
      </c>
      <c r="M17831">
        <v>17533</v>
      </c>
      <c r="N17831" t="s">
        <v>147</v>
      </c>
      <c r="O17831">
        <v>250221</v>
      </c>
      <c r="P17831">
        <v>5.66</v>
      </c>
    </row>
    <row r="17832" spans="1:16" x14ac:dyDescent="0.25">
      <c r="A17832" t="s">
        <v>3296</v>
      </c>
      <c r="B17832" t="s">
        <v>2931</v>
      </c>
      <c r="C17832">
        <v>2241</v>
      </c>
      <c r="D17832" t="str">
        <f>"9099298686  "</f>
        <v xml:space="preserve">9099298686  </v>
      </c>
      <c r="E17832" t="s">
        <v>491</v>
      </c>
      <c r="F17832" t="s">
        <v>492</v>
      </c>
      <c r="G17832">
        <v>26.25</v>
      </c>
      <c r="H17832">
        <v>250219</v>
      </c>
      <c r="I17832">
        <v>4410</v>
      </c>
      <c r="J17832" t="s">
        <v>165</v>
      </c>
      <c r="K17832">
        <v>26.25</v>
      </c>
      <c r="L17832">
        <v>0</v>
      </c>
      <c r="M17832">
        <v>17918</v>
      </c>
      <c r="N17832" t="s">
        <v>152</v>
      </c>
      <c r="O17832">
        <v>250221</v>
      </c>
      <c r="P17832">
        <v>26.25</v>
      </c>
    </row>
    <row r="17833" spans="1:16" x14ac:dyDescent="0.25">
      <c r="A17833" t="s">
        <v>3296</v>
      </c>
      <c r="B17833" t="s">
        <v>2931</v>
      </c>
      <c r="C17833">
        <v>2257</v>
      </c>
      <c r="D17833" t="str">
        <f>"9099298681  "</f>
        <v xml:space="preserve">9099298681  </v>
      </c>
      <c r="E17833" t="s">
        <v>491</v>
      </c>
      <c r="F17833" t="s">
        <v>492</v>
      </c>
      <c r="G17833">
        <v>144</v>
      </c>
      <c r="H17833">
        <v>250219</v>
      </c>
      <c r="I17833">
        <v>4410</v>
      </c>
      <c r="J17833" t="s">
        <v>165</v>
      </c>
      <c r="K17833">
        <v>144</v>
      </c>
      <c r="L17833">
        <v>17.68</v>
      </c>
      <c r="M17833">
        <v>11605</v>
      </c>
      <c r="N17833" t="s">
        <v>1066</v>
      </c>
      <c r="O17833">
        <v>250221</v>
      </c>
      <c r="P17833">
        <v>126.32</v>
      </c>
    </row>
    <row r="17834" spans="1:16" x14ac:dyDescent="0.25">
      <c r="A17834" t="s">
        <v>3296</v>
      </c>
      <c r="B17834" t="s">
        <v>2931</v>
      </c>
      <c r="C17834">
        <v>2327</v>
      </c>
      <c r="D17834" t="str">
        <f>"9099298683  "</f>
        <v xml:space="preserve">9099298683  </v>
      </c>
      <c r="E17834" t="s">
        <v>491</v>
      </c>
      <c r="F17834" t="s">
        <v>492</v>
      </c>
      <c r="G17834">
        <v>284</v>
      </c>
      <c r="H17834">
        <v>250219</v>
      </c>
      <c r="I17834">
        <v>4410</v>
      </c>
      <c r="J17834" t="s">
        <v>165</v>
      </c>
      <c r="K17834">
        <v>284</v>
      </c>
      <c r="L17834">
        <v>0</v>
      </c>
      <c r="M17834">
        <v>17527</v>
      </c>
      <c r="N17834" t="s">
        <v>142</v>
      </c>
      <c r="O17834">
        <v>250224</v>
      </c>
      <c r="P17834">
        <v>284</v>
      </c>
    </row>
    <row r="17835" spans="1:16" x14ac:dyDescent="0.25">
      <c r="A17835" t="s">
        <v>3296</v>
      </c>
      <c r="B17835" t="s">
        <v>2931</v>
      </c>
      <c r="C17835">
        <v>2336</v>
      </c>
      <c r="D17835" t="str">
        <f>"9099298685  "</f>
        <v xml:space="preserve">9099298685  </v>
      </c>
      <c r="E17835" t="s">
        <v>491</v>
      </c>
      <c r="F17835" t="s">
        <v>492</v>
      </c>
      <c r="G17835">
        <v>35.21</v>
      </c>
      <c r="H17835">
        <v>250219</v>
      </c>
      <c r="I17835">
        <v>4410</v>
      </c>
      <c r="J17835" t="s">
        <v>165</v>
      </c>
      <c r="K17835">
        <v>35.21</v>
      </c>
      <c r="L17835">
        <v>4.32</v>
      </c>
      <c r="M17835">
        <v>17521</v>
      </c>
      <c r="N17835" t="s">
        <v>136</v>
      </c>
      <c r="O17835">
        <v>250224</v>
      </c>
      <c r="P17835">
        <v>30.89</v>
      </c>
    </row>
    <row r="17836" spans="1:16" x14ac:dyDescent="0.25">
      <c r="A17836" t="s">
        <v>3296</v>
      </c>
      <c r="B17836" t="s">
        <v>2931</v>
      </c>
      <c r="C17836">
        <v>2382</v>
      </c>
      <c r="D17836" t="str">
        <f>"9099298682  "</f>
        <v xml:space="preserve">9099298682  </v>
      </c>
      <c r="E17836" t="s">
        <v>491</v>
      </c>
      <c r="F17836" t="s">
        <v>492</v>
      </c>
      <c r="G17836">
        <v>96.75</v>
      </c>
      <c r="H17836">
        <v>250219</v>
      </c>
      <c r="I17836">
        <v>4410</v>
      </c>
      <c r="J17836" t="s">
        <v>165</v>
      </c>
      <c r="K17836">
        <v>96.75</v>
      </c>
      <c r="L17836">
        <v>11.88</v>
      </c>
      <c r="M17836">
        <v>13501</v>
      </c>
      <c r="N17836" t="s">
        <v>66</v>
      </c>
      <c r="O17836">
        <v>250225</v>
      </c>
      <c r="P17836">
        <v>84.87</v>
      </c>
    </row>
    <row r="17837" spans="1:16" x14ac:dyDescent="0.25">
      <c r="A17837" t="s">
        <v>3296</v>
      </c>
      <c r="B17837" t="s">
        <v>2931</v>
      </c>
      <c r="C17837">
        <v>2981</v>
      </c>
      <c r="D17837" t="str">
        <f>"9099299023  "</f>
        <v xml:space="preserve">9099299023  </v>
      </c>
      <c r="E17837" t="s">
        <v>491</v>
      </c>
      <c r="F17837" t="s">
        <v>492</v>
      </c>
      <c r="G17837">
        <v>40.700000000000003</v>
      </c>
      <c r="H17837">
        <v>250228</v>
      </c>
      <c r="I17837">
        <v>4410</v>
      </c>
      <c r="J17837" t="s">
        <v>165</v>
      </c>
      <c r="K17837">
        <v>40.700000000000003</v>
      </c>
      <c r="L17837">
        <v>5</v>
      </c>
      <c r="M17837">
        <v>12982</v>
      </c>
      <c r="N17837" t="s">
        <v>1384</v>
      </c>
      <c r="O17837">
        <v>250313</v>
      </c>
      <c r="P17837">
        <v>35.700000000000003</v>
      </c>
    </row>
    <row r="17838" spans="1:16" x14ac:dyDescent="0.25">
      <c r="A17838" t="s">
        <v>3296</v>
      </c>
      <c r="B17838" t="s">
        <v>2931</v>
      </c>
      <c r="C17838">
        <v>3059</v>
      </c>
      <c r="D17838" t="str">
        <f>"9099299024  "</f>
        <v xml:space="preserve">9099299024  </v>
      </c>
      <c r="E17838" t="s">
        <v>491</v>
      </c>
      <c r="F17838" t="s">
        <v>492</v>
      </c>
      <c r="G17838">
        <v>8.4</v>
      </c>
      <c r="H17838">
        <v>250228</v>
      </c>
      <c r="I17838">
        <v>4410</v>
      </c>
      <c r="J17838" t="s">
        <v>165</v>
      </c>
      <c r="K17838">
        <v>16.8</v>
      </c>
      <c r="L17838">
        <v>1.03</v>
      </c>
      <c r="M17838">
        <v>13540</v>
      </c>
      <c r="N17838" t="s">
        <v>131</v>
      </c>
      <c r="O17838">
        <v>250314</v>
      </c>
      <c r="P17838">
        <v>7.37</v>
      </c>
    </row>
    <row r="17839" spans="1:16" x14ac:dyDescent="0.25">
      <c r="A17839" t="s">
        <v>3296</v>
      </c>
      <c r="B17839" t="s">
        <v>2931</v>
      </c>
      <c r="C17839">
        <v>3059</v>
      </c>
      <c r="D17839" t="str">
        <f>"9099299024  "</f>
        <v xml:space="preserve">9099299024  </v>
      </c>
      <c r="E17839" t="s">
        <v>491</v>
      </c>
      <c r="F17839" t="s">
        <v>492</v>
      </c>
      <c r="G17839">
        <v>8.4</v>
      </c>
      <c r="H17839">
        <v>250228</v>
      </c>
      <c r="I17839">
        <v>4410</v>
      </c>
      <c r="J17839" t="s">
        <v>165</v>
      </c>
      <c r="K17839">
        <v>16.8</v>
      </c>
      <c r="L17839">
        <v>1.03</v>
      </c>
      <c r="M17839">
        <v>17950</v>
      </c>
      <c r="N17839" t="s">
        <v>132</v>
      </c>
      <c r="O17839">
        <v>250314</v>
      </c>
      <c r="P17839">
        <v>7.37</v>
      </c>
    </row>
    <row r="17840" spans="1:16" x14ac:dyDescent="0.25">
      <c r="A17840" t="s">
        <v>3296</v>
      </c>
      <c r="B17840" t="s">
        <v>2931</v>
      </c>
      <c r="C17840">
        <v>3097</v>
      </c>
      <c r="D17840" t="str">
        <f>"9099299022  "</f>
        <v xml:space="preserve">9099299022  </v>
      </c>
      <c r="E17840" t="s">
        <v>491</v>
      </c>
      <c r="F17840" t="s">
        <v>492</v>
      </c>
      <c r="G17840">
        <v>75.599999999999994</v>
      </c>
      <c r="H17840">
        <v>250228</v>
      </c>
      <c r="I17840">
        <v>4410</v>
      </c>
      <c r="J17840" t="s">
        <v>165</v>
      </c>
      <c r="K17840">
        <v>75.599999999999994</v>
      </c>
      <c r="L17840">
        <v>9.2799999999999994</v>
      </c>
      <c r="M17840">
        <v>11001</v>
      </c>
      <c r="N17840" t="s">
        <v>93</v>
      </c>
      <c r="O17840">
        <v>250314</v>
      </c>
      <c r="P17840">
        <v>66.319999999999993</v>
      </c>
    </row>
    <row r="17841" spans="1:16" x14ac:dyDescent="0.25">
      <c r="A17841" t="s">
        <v>3296</v>
      </c>
      <c r="B17841" t="s">
        <v>2931</v>
      </c>
      <c r="C17841">
        <v>3116</v>
      </c>
      <c r="D17841" t="str">
        <f>"9099299025  "</f>
        <v xml:space="preserve">9099299025  </v>
      </c>
      <c r="E17841" t="s">
        <v>491</v>
      </c>
      <c r="F17841" t="s">
        <v>492</v>
      </c>
      <c r="G17841">
        <v>3192</v>
      </c>
      <c r="H17841">
        <v>250228</v>
      </c>
      <c r="I17841">
        <v>4410</v>
      </c>
      <c r="J17841" t="s">
        <v>165</v>
      </c>
      <c r="K17841">
        <v>3192</v>
      </c>
      <c r="L17841">
        <v>0</v>
      </c>
      <c r="M17841">
        <v>13552</v>
      </c>
      <c r="N17841" t="s">
        <v>133</v>
      </c>
      <c r="O17841">
        <v>250314</v>
      </c>
      <c r="P17841">
        <v>3192</v>
      </c>
    </row>
    <row r="17842" spans="1:16" x14ac:dyDescent="0.25">
      <c r="A17842" t="s">
        <v>3296</v>
      </c>
      <c r="B17842" t="s">
        <v>2931</v>
      </c>
      <c r="C17842">
        <v>3290</v>
      </c>
      <c r="D17842" t="str">
        <f>"9099299026  "</f>
        <v xml:space="preserve">9099299026  </v>
      </c>
      <c r="E17842" t="s">
        <v>491</v>
      </c>
      <c r="F17842" t="s">
        <v>492</v>
      </c>
      <c r="G17842">
        <v>14721</v>
      </c>
      <c r="H17842">
        <v>250228</v>
      </c>
      <c r="I17842">
        <v>4410</v>
      </c>
      <c r="J17842" t="s">
        <v>165</v>
      </c>
      <c r="K17842">
        <v>14721</v>
      </c>
      <c r="L17842">
        <v>0</v>
      </c>
      <c r="M17842">
        <v>17918</v>
      </c>
      <c r="N17842" t="s">
        <v>152</v>
      </c>
      <c r="O17842">
        <v>250318</v>
      </c>
      <c r="P17842">
        <v>14721</v>
      </c>
    </row>
    <row r="17843" spans="1:16" x14ac:dyDescent="0.25">
      <c r="A17843" t="s">
        <v>3296</v>
      </c>
      <c r="B17843" t="s">
        <v>2931</v>
      </c>
      <c r="C17843">
        <v>3831</v>
      </c>
      <c r="D17843" t="str">
        <f>"9099300937  "</f>
        <v xml:space="preserve">9099300937  </v>
      </c>
      <c r="E17843" t="s">
        <v>491</v>
      </c>
      <c r="F17843" t="s">
        <v>492</v>
      </c>
      <c r="G17843">
        <v>6.45</v>
      </c>
      <c r="H17843">
        <v>250319</v>
      </c>
      <c r="I17843">
        <v>4410</v>
      </c>
      <c r="J17843" t="s">
        <v>165</v>
      </c>
      <c r="K17843">
        <v>6.45</v>
      </c>
      <c r="L17843">
        <v>0.79</v>
      </c>
      <c r="M17843">
        <v>17521</v>
      </c>
      <c r="N17843" t="s">
        <v>136</v>
      </c>
      <c r="O17843">
        <v>250402</v>
      </c>
      <c r="P17843">
        <v>5.66</v>
      </c>
    </row>
    <row r="17844" spans="1:16" x14ac:dyDescent="0.25">
      <c r="A17844" t="s">
        <v>3296</v>
      </c>
      <c r="B17844" t="s">
        <v>2931</v>
      </c>
      <c r="C17844">
        <v>3834</v>
      </c>
      <c r="D17844" t="str">
        <f>"9099300939  "</f>
        <v xml:space="preserve">9099300939  </v>
      </c>
      <c r="E17844" t="s">
        <v>491</v>
      </c>
      <c r="F17844" t="s">
        <v>492</v>
      </c>
      <c r="G17844">
        <v>144</v>
      </c>
      <c r="H17844">
        <v>250319</v>
      </c>
      <c r="I17844">
        <v>4410</v>
      </c>
      <c r="J17844" t="s">
        <v>165</v>
      </c>
      <c r="K17844">
        <v>144</v>
      </c>
      <c r="L17844">
        <v>17.68</v>
      </c>
      <c r="M17844">
        <v>17538</v>
      </c>
      <c r="N17844" t="s">
        <v>129</v>
      </c>
      <c r="O17844">
        <v>250402</v>
      </c>
      <c r="P17844">
        <v>126.32</v>
      </c>
    </row>
    <row r="17845" spans="1:16" x14ac:dyDescent="0.25">
      <c r="A17845" t="s">
        <v>3296</v>
      </c>
      <c r="B17845" t="s">
        <v>2931</v>
      </c>
      <c r="C17845">
        <v>3851</v>
      </c>
      <c r="D17845" t="str">
        <f>"9099300936  "</f>
        <v xml:space="preserve">9099300936  </v>
      </c>
      <c r="E17845" t="s">
        <v>491</v>
      </c>
      <c r="F17845" t="s">
        <v>492</v>
      </c>
      <c r="G17845">
        <v>144</v>
      </c>
      <c r="H17845">
        <v>250319</v>
      </c>
      <c r="I17845">
        <v>4410</v>
      </c>
      <c r="J17845" t="s">
        <v>165</v>
      </c>
      <c r="K17845">
        <v>144</v>
      </c>
      <c r="L17845">
        <v>17.68</v>
      </c>
      <c r="M17845">
        <v>11605</v>
      </c>
      <c r="N17845" t="s">
        <v>1066</v>
      </c>
      <c r="O17845">
        <v>250402</v>
      </c>
      <c r="P17845">
        <v>126.32</v>
      </c>
    </row>
    <row r="17846" spans="1:16" x14ac:dyDescent="0.25">
      <c r="A17846" t="s">
        <v>3296</v>
      </c>
      <c r="B17846" t="s">
        <v>2931</v>
      </c>
      <c r="C17846">
        <v>3860</v>
      </c>
      <c r="D17846" t="str">
        <f>"9099300938  "</f>
        <v xml:space="preserve">9099300938  </v>
      </c>
      <c r="E17846" t="s">
        <v>491</v>
      </c>
      <c r="F17846" t="s">
        <v>492</v>
      </c>
      <c r="G17846">
        <v>98.69</v>
      </c>
      <c r="H17846">
        <v>250319</v>
      </c>
      <c r="I17846">
        <v>4410</v>
      </c>
      <c r="J17846" t="s">
        <v>165</v>
      </c>
      <c r="K17846">
        <v>98.69</v>
      </c>
      <c r="L17846">
        <v>12.12</v>
      </c>
      <c r="M17846">
        <v>17538</v>
      </c>
      <c r="N17846" t="s">
        <v>129</v>
      </c>
      <c r="O17846">
        <v>250402</v>
      </c>
      <c r="P17846">
        <v>86.57</v>
      </c>
    </row>
    <row r="17847" spans="1:16" x14ac:dyDescent="0.25">
      <c r="A17847" t="s">
        <v>3296</v>
      </c>
      <c r="B17847" t="s">
        <v>2931</v>
      </c>
      <c r="C17847">
        <v>4033</v>
      </c>
      <c r="D17847" t="str">
        <f>"9099301716  "</f>
        <v xml:space="preserve">9099301716  </v>
      </c>
      <c r="E17847" t="s">
        <v>491</v>
      </c>
      <c r="F17847" t="s">
        <v>492</v>
      </c>
      <c r="G17847">
        <v>12.9</v>
      </c>
      <c r="H17847">
        <v>250331</v>
      </c>
      <c r="I17847">
        <v>4410</v>
      </c>
      <c r="J17847" t="s">
        <v>165</v>
      </c>
      <c r="K17847">
        <v>12.9</v>
      </c>
      <c r="L17847">
        <v>1.58</v>
      </c>
      <c r="M17847">
        <v>13561</v>
      </c>
      <c r="N17847" t="s">
        <v>241</v>
      </c>
      <c r="O17847">
        <v>250407</v>
      </c>
      <c r="P17847">
        <v>11.32</v>
      </c>
    </row>
    <row r="17848" spans="1:16" x14ac:dyDescent="0.25">
      <c r="A17848" t="s">
        <v>3296</v>
      </c>
      <c r="B17848" t="s">
        <v>2931</v>
      </c>
      <c r="C17848">
        <v>4740</v>
      </c>
      <c r="D17848" t="str">
        <f>"9099301724  "</f>
        <v xml:space="preserve">9099301724  </v>
      </c>
      <c r="E17848" t="s">
        <v>491</v>
      </c>
      <c r="F17848" t="s">
        <v>492</v>
      </c>
      <c r="G17848">
        <v>17566.5</v>
      </c>
      <c r="H17848">
        <v>250331</v>
      </c>
      <c r="I17848">
        <v>4410</v>
      </c>
      <c r="J17848" t="s">
        <v>165</v>
      </c>
      <c r="K17848">
        <v>17566.5</v>
      </c>
      <c r="L17848">
        <v>0</v>
      </c>
      <c r="M17848">
        <v>17918</v>
      </c>
      <c r="N17848" t="s">
        <v>152</v>
      </c>
      <c r="O17848">
        <v>250415</v>
      </c>
      <c r="P17848">
        <v>17566.5</v>
      </c>
    </row>
    <row r="17849" spans="1:16" x14ac:dyDescent="0.25">
      <c r="A17849" t="s">
        <v>3296</v>
      </c>
      <c r="B17849" t="s">
        <v>2931</v>
      </c>
      <c r="C17849">
        <v>4742</v>
      </c>
      <c r="D17849" t="str">
        <f>"9099301722  "</f>
        <v xml:space="preserve">9099301722  </v>
      </c>
      <c r="E17849" t="s">
        <v>491</v>
      </c>
      <c r="F17849" t="s">
        <v>492</v>
      </c>
      <c r="G17849">
        <v>268.5</v>
      </c>
      <c r="H17849">
        <v>250331</v>
      </c>
      <c r="I17849">
        <v>4410</v>
      </c>
      <c r="J17849" t="s">
        <v>165</v>
      </c>
      <c r="K17849">
        <v>268.5</v>
      </c>
      <c r="L17849">
        <v>32.97</v>
      </c>
      <c r="M17849">
        <v>10002</v>
      </c>
      <c r="N17849" t="s">
        <v>513</v>
      </c>
      <c r="O17849">
        <v>250415</v>
      </c>
      <c r="P17849">
        <v>235.53</v>
      </c>
    </row>
    <row r="17850" spans="1:16" x14ac:dyDescent="0.25">
      <c r="A17850" t="s">
        <v>3296</v>
      </c>
      <c r="B17850" t="s">
        <v>2931</v>
      </c>
      <c r="C17850">
        <v>4749</v>
      </c>
      <c r="D17850" t="str">
        <f>"9099301725  "</f>
        <v xml:space="preserve">9099301725  </v>
      </c>
      <c r="E17850" t="s">
        <v>491</v>
      </c>
      <c r="F17850" t="s">
        <v>492</v>
      </c>
      <c r="G17850">
        <v>3811.5</v>
      </c>
      <c r="H17850">
        <v>250331</v>
      </c>
      <c r="I17850">
        <v>4410</v>
      </c>
      <c r="J17850" t="s">
        <v>165</v>
      </c>
      <c r="K17850">
        <v>3811.5</v>
      </c>
      <c r="L17850">
        <v>0</v>
      </c>
      <c r="M17850">
        <v>13552</v>
      </c>
      <c r="N17850" t="s">
        <v>133</v>
      </c>
      <c r="O17850">
        <v>250415</v>
      </c>
      <c r="P17850">
        <v>3811.5</v>
      </c>
    </row>
    <row r="17851" spans="1:16" x14ac:dyDescent="0.25">
      <c r="A17851" t="s">
        <v>3296</v>
      </c>
      <c r="B17851" t="s">
        <v>2931</v>
      </c>
      <c r="C17851">
        <v>4860</v>
      </c>
      <c r="D17851" t="str">
        <f>"9099301717  "</f>
        <v xml:space="preserve">9099301717  </v>
      </c>
      <c r="E17851" t="s">
        <v>491</v>
      </c>
      <c r="F17851" t="s">
        <v>492</v>
      </c>
      <c r="G17851">
        <v>12.1</v>
      </c>
      <c r="H17851">
        <v>250331</v>
      </c>
      <c r="I17851">
        <v>4410</v>
      </c>
      <c r="J17851" t="s">
        <v>165</v>
      </c>
      <c r="K17851">
        <v>12.1</v>
      </c>
      <c r="L17851">
        <v>1.49</v>
      </c>
      <c r="M17851">
        <v>17974</v>
      </c>
      <c r="N17851" t="s">
        <v>153</v>
      </c>
      <c r="O17851">
        <v>250416</v>
      </c>
      <c r="P17851">
        <v>10.61</v>
      </c>
    </row>
    <row r="17852" spans="1:16" x14ac:dyDescent="0.25">
      <c r="A17852" t="s">
        <v>3296</v>
      </c>
      <c r="B17852" t="s">
        <v>2931</v>
      </c>
      <c r="C17852">
        <v>4861</v>
      </c>
      <c r="D17852" t="str">
        <f>"9099301723  "</f>
        <v xml:space="preserve">9099301723  </v>
      </c>
      <c r="E17852" t="s">
        <v>491</v>
      </c>
      <c r="F17852" t="s">
        <v>492</v>
      </c>
      <c r="G17852">
        <v>32.74</v>
      </c>
      <c r="H17852">
        <v>250331</v>
      </c>
      <c r="I17852">
        <v>4410</v>
      </c>
      <c r="J17852" t="s">
        <v>165</v>
      </c>
      <c r="K17852">
        <v>32.74</v>
      </c>
      <c r="L17852">
        <v>4.0199999999999996</v>
      </c>
      <c r="M17852">
        <v>17538</v>
      </c>
      <c r="N17852" t="s">
        <v>129</v>
      </c>
      <c r="O17852">
        <v>250416</v>
      </c>
      <c r="P17852">
        <v>28.72</v>
      </c>
    </row>
    <row r="17853" spans="1:16" x14ac:dyDescent="0.25">
      <c r="A17853" t="s">
        <v>3296</v>
      </c>
      <c r="B17853" t="s">
        <v>2931</v>
      </c>
      <c r="C17853">
        <v>4863</v>
      </c>
      <c r="D17853" t="str">
        <f>"9099301719  "</f>
        <v xml:space="preserve">9099301719  </v>
      </c>
      <c r="E17853" t="s">
        <v>491</v>
      </c>
      <c r="F17853" t="s">
        <v>492</v>
      </c>
      <c r="G17853">
        <v>18.8</v>
      </c>
      <c r="H17853">
        <v>250331</v>
      </c>
      <c r="I17853">
        <v>4410</v>
      </c>
      <c r="J17853" t="s">
        <v>165</v>
      </c>
      <c r="K17853">
        <v>18.8</v>
      </c>
      <c r="L17853">
        <v>2.31</v>
      </c>
      <c r="M17853">
        <v>17521</v>
      </c>
      <c r="N17853" t="s">
        <v>136</v>
      </c>
      <c r="O17853">
        <v>250416</v>
      </c>
      <c r="P17853">
        <v>16.489999999999998</v>
      </c>
    </row>
    <row r="17854" spans="1:16" x14ac:dyDescent="0.25">
      <c r="A17854" t="s">
        <v>3296</v>
      </c>
      <c r="B17854" t="s">
        <v>2931</v>
      </c>
      <c r="C17854">
        <v>4864</v>
      </c>
      <c r="D17854" t="str">
        <f>"9099301720  "</f>
        <v xml:space="preserve">9099301720  </v>
      </c>
      <c r="E17854" t="s">
        <v>491</v>
      </c>
      <c r="F17854" t="s">
        <v>492</v>
      </c>
      <c r="G17854">
        <v>12.9</v>
      </c>
      <c r="H17854">
        <v>250331</v>
      </c>
      <c r="I17854">
        <v>4410</v>
      </c>
      <c r="J17854" t="s">
        <v>165</v>
      </c>
      <c r="K17854">
        <v>25.8</v>
      </c>
      <c r="L17854">
        <v>1.58</v>
      </c>
      <c r="M17854">
        <v>17534</v>
      </c>
      <c r="N17854" t="s">
        <v>148</v>
      </c>
      <c r="O17854">
        <v>250416</v>
      </c>
      <c r="P17854">
        <v>11.32</v>
      </c>
    </row>
    <row r="17855" spans="1:16" x14ac:dyDescent="0.25">
      <c r="A17855" t="s">
        <v>3296</v>
      </c>
      <c r="B17855" t="s">
        <v>2931</v>
      </c>
      <c r="C17855">
        <v>4864</v>
      </c>
      <c r="D17855" t="str">
        <f>"9099301720  "</f>
        <v xml:space="preserve">9099301720  </v>
      </c>
      <c r="E17855" t="s">
        <v>491</v>
      </c>
      <c r="F17855" t="s">
        <v>492</v>
      </c>
      <c r="G17855">
        <v>12.9</v>
      </c>
      <c r="H17855">
        <v>250331</v>
      </c>
      <c r="I17855">
        <v>4410</v>
      </c>
      <c r="J17855" t="s">
        <v>165</v>
      </c>
      <c r="K17855">
        <v>25.8</v>
      </c>
      <c r="L17855">
        <v>1.58</v>
      </c>
      <c r="M17855">
        <v>17535</v>
      </c>
      <c r="N17855" t="s">
        <v>149</v>
      </c>
      <c r="O17855">
        <v>250416</v>
      </c>
      <c r="P17855">
        <v>11.32</v>
      </c>
    </row>
    <row r="17856" spans="1:16" x14ac:dyDescent="0.25">
      <c r="A17856" t="s">
        <v>3296</v>
      </c>
      <c r="B17856" t="s">
        <v>2931</v>
      </c>
      <c r="C17856">
        <v>4865</v>
      </c>
      <c r="D17856" t="str">
        <f>"9099301718  "</f>
        <v xml:space="preserve">9099301718  </v>
      </c>
      <c r="E17856" t="s">
        <v>491</v>
      </c>
      <c r="F17856" t="s">
        <v>492</v>
      </c>
      <c r="G17856">
        <v>37.58</v>
      </c>
      <c r="H17856">
        <v>250331</v>
      </c>
      <c r="I17856">
        <v>4410</v>
      </c>
      <c r="J17856" t="s">
        <v>165</v>
      </c>
      <c r="K17856">
        <v>37.58</v>
      </c>
      <c r="L17856">
        <v>4.62</v>
      </c>
      <c r="M17856">
        <v>17521</v>
      </c>
      <c r="N17856" t="s">
        <v>136</v>
      </c>
      <c r="O17856">
        <v>250416</v>
      </c>
      <c r="P17856">
        <v>32.96</v>
      </c>
    </row>
    <row r="17857" spans="1:16" x14ac:dyDescent="0.25">
      <c r="A17857" t="s">
        <v>3296</v>
      </c>
      <c r="B17857" t="s">
        <v>2931</v>
      </c>
      <c r="C17857">
        <v>5243</v>
      </c>
      <c r="D17857" t="str">
        <f>"9099301721  "</f>
        <v xml:space="preserve">9099301721  </v>
      </c>
      <c r="E17857" t="s">
        <v>491</v>
      </c>
      <c r="F17857" t="s">
        <v>492</v>
      </c>
      <c r="G17857">
        <v>7.43</v>
      </c>
      <c r="H17857">
        <v>250401</v>
      </c>
      <c r="I17857">
        <v>4410</v>
      </c>
      <c r="J17857" t="s">
        <v>165</v>
      </c>
      <c r="K17857">
        <v>67.56</v>
      </c>
      <c r="L17857">
        <v>0.91</v>
      </c>
      <c r="M17857">
        <v>13561</v>
      </c>
      <c r="N17857" t="s">
        <v>241</v>
      </c>
      <c r="O17857">
        <v>250423</v>
      </c>
      <c r="P17857">
        <v>6.52</v>
      </c>
    </row>
    <row r="17858" spans="1:16" x14ac:dyDescent="0.25">
      <c r="A17858" t="s">
        <v>3296</v>
      </c>
      <c r="B17858" t="s">
        <v>2931</v>
      </c>
      <c r="C17858">
        <v>5243</v>
      </c>
      <c r="D17858" t="str">
        <f>"9099301721  "</f>
        <v xml:space="preserve">9099301721  </v>
      </c>
      <c r="E17858" t="s">
        <v>491</v>
      </c>
      <c r="F17858" t="s">
        <v>492</v>
      </c>
      <c r="G17858">
        <v>60.13</v>
      </c>
      <c r="H17858">
        <v>250401</v>
      </c>
      <c r="I17858">
        <v>4410</v>
      </c>
      <c r="J17858" t="s">
        <v>165</v>
      </c>
      <c r="K17858">
        <v>67.56</v>
      </c>
      <c r="L17858">
        <v>7.38</v>
      </c>
      <c r="M17858">
        <v>17971</v>
      </c>
      <c r="N17858" t="s">
        <v>27</v>
      </c>
      <c r="O17858">
        <v>250423</v>
      </c>
      <c r="P17858">
        <v>52.75</v>
      </c>
    </row>
    <row r="17859" spans="1:16" x14ac:dyDescent="0.25">
      <c r="A17859" t="s">
        <v>3296</v>
      </c>
      <c r="B17859" t="s">
        <v>2931</v>
      </c>
      <c r="C17859">
        <v>5576</v>
      </c>
      <c r="D17859" t="str">
        <f>"9099303865  "</f>
        <v xml:space="preserve">9099303865  </v>
      </c>
      <c r="E17859" t="s">
        <v>491</v>
      </c>
      <c r="F17859" t="s">
        <v>492</v>
      </c>
      <c r="G17859">
        <v>47.25</v>
      </c>
      <c r="H17859">
        <v>250422</v>
      </c>
      <c r="I17859">
        <v>4410</v>
      </c>
      <c r="J17859" t="s">
        <v>165</v>
      </c>
      <c r="K17859">
        <v>94.5</v>
      </c>
      <c r="L17859">
        <v>5.8</v>
      </c>
      <c r="M17859">
        <v>13461</v>
      </c>
      <c r="N17859" t="s">
        <v>1544</v>
      </c>
      <c r="O17859">
        <v>250425</v>
      </c>
      <c r="P17859">
        <v>41.45</v>
      </c>
    </row>
    <row r="17860" spans="1:16" x14ac:dyDescent="0.25">
      <c r="A17860" t="s">
        <v>3296</v>
      </c>
      <c r="B17860" t="s">
        <v>2931</v>
      </c>
      <c r="C17860">
        <v>5576</v>
      </c>
      <c r="D17860" t="str">
        <f>"9099303865  "</f>
        <v xml:space="preserve">9099303865  </v>
      </c>
      <c r="E17860" t="s">
        <v>491</v>
      </c>
      <c r="F17860" t="s">
        <v>492</v>
      </c>
      <c r="G17860">
        <v>47.25</v>
      </c>
      <c r="H17860">
        <v>250422</v>
      </c>
      <c r="I17860">
        <v>4410</v>
      </c>
      <c r="J17860" t="s">
        <v>165</v>
      </c>
      <c r="K17860">
        <v>94.5</v>
      </c>
      <c r="L17860">
        <v>5.8</v>
      </c>
      <c r="M17860">
        <v>13561</v>
      </c>
      <c r="N17860" t="s">
        <v>241</v>
      </c>
      <c r="O17860">
        <v>250425</v>
      </c>
      <c r="P17860">
        <v>41.45</v>
      </c>
    </row>
    <row r="17861" spans="1:16" x14ac:dyDescent="0.25">
      <c r="A17861" t="s">
        <v>3296</v>
      </c>
      <c r="B17861" t="s">
        <v>2931</v>
      </c>
      <c r="C17861">
        <v>5578</v>
      </c>
      <c r="D17861" t="str">
        <f>"9099303863  "</f>
        <v xml:space="preserve">9099303863  </v>
      </c>
      <c r="E17861" t="s">
        <v>491</v>
      </c>
      <c r="F17861" t="s">
        <v>492</v>
      </c>
      <c r="G17861">
        <v>144</v>
      </c>
      <c r="H17861">
        <v>250422</v>
      </c>
      <c r="I17861">
        <v>4410</v>
      </c>
      <c r="J17861" t="s">
        <v>165</v>
      </c>
      <c r="K17861">
        <v>144</v>
      </c>
      <c r="L17861">
        <v>17.68</v>
      </c>
      <c r="M17861">
        <v>17538</v>
      </c>
      <c r="N17861" t="s">
        <v>129</v>
      </c>
      <c r="O17861">
        <v>250425</v>
      </c>
      <c r="P17861">
        <v>126.32</v>
      </c>
    </row>
    <row r="17862" spans="1:16" x14ac:dyDescent="0.25">
      <c r="A17862" t="s">
        <v>3296</v>
      </c>
      <c r="B17862" t="s">
        <v>2931</v>
      </c>
      <c r="C17862">
        <v>5579</v>
      </c>
      <c r="D17862" t="str">
        <f>"9099303866  "</f>
        <v xml:space="preserve">9099303866  </v>
      </c>
      <c r="E17862" t="s">
        <v>491</v>
      </c>
      <c r="F17862" t="s">
        <v>492</v>
      </c>
      <c r="G17862">
        <v>144</v>
      </c>
      <c r="H17862">
        <v>250422</v>
      </c>
      <c r="I17862">
        <v>4410</v>
      </c>
      <c r="J17862" t="s">
        <v>165</v>
      </c>
      <c r="K17862">
        <v>144</v>
      </c>
      <c r="L17862">
        <v>17.68</v>
      </c>
      <c r="M17862">
        <v>11605</v>
      </c>
      <c r="N17862" t="s">
        <v>1066</v>
      </c>
      <c r="O17862">
        <v>250425</v>
      </c>
      <c r="P17862">
        <v>126.32</v>
      </c>
    </row>
    <row r="17863" spans="1:16" x14ac:dyDescent="0.25">
      <c r="A17863" t="s">
        <v>3296</v>
      </c>
      <c r="B17863" t="s">
        <v>2931</v>
      </c>
      <c r="C17863">
        <v>5583</v>
      </c>
      <c r="D17863" t="str">
        <f>"9099303864  "</f>
        <v xml:space="preserve">9099303864  </v>
      </c>
      <c r="E17863" t="s">
        <v>491</v>
      </c>
      <c r="F17863" t="s">
        <v>492</v>
      </c>
      <c r="G17863">
        <v>45.16</v>
      </c>
      <c r="H17863">
        <v>250422</v>
      </c>
      <c r="I17863">
        <v>4410</v>
      </c>
      <c r="J17863" t="s">
        <v>165</v>
      </c>
      <c r="K17863">
        <v>213.91</v>
      </c>
      <c r="L17863">
        <v>5.55</v>
      </c>
      <c r="M17863">
        <v>11903</v>
      </c>
      <c r="N17863" t="s">
        <v>32</v>
      </c>
      <c r="O17863">
        <v>250425</v>
      </c>
      <c r="P17863">
        <v>39.61</v>
      </c>
    </row>
    <row r="17864" spans="1:16" x14ac:dyDescent="0.25">
      <c r="A17864" t="s">
        <v>3296</v>
      </c>
      <c r="B17864" t="s">
        <v>2931</v>
      </c>
      <c r="C17864">
        <v>5583</v>
      </c>
      <c r="D17864" t="str">
        <f>"9099303864  "</f>
        <v xml:space="preserve">9099303864  </v>
      </c>
      <c r="E17864" t="s">
        <v>491</v>
      </c>
      <c r="F17864" t="s">
        <v>492</v>
      </c>
      <c r="G17864">
        <v>168.75</v>
      </c>
      <c r="H17864">
        <v>250422</v>
      </c>
      <c r="I17864">
        <v>4410</v>
      </c>
      <c r="J17864" t="s">
        <v>165</v>
      </c>
      <c r="K17864">
        <v>213.91</v>
      </c>
      <c r="L17864">
        <v>0</v>
      </c>
      <c r="M17864">
        <v>11903</v>
      </c>
      <c r="N17864" t="s">
        <v>32</v>
      </c>
      <c r="O17864">
        <v>250425</v>
      </c>
      <c r="P17864">
        <v>168.75</v>
      </c>
    </row>
    <row r="17865" spans="1:16" x14ac:dyDescent="0.25">
      <c r="A17865" t="s">
        <v>3296</v>
      </c>
      <c r="B17865" t="s">
        <v>2931</v>
      </c>
      <c r="C17865">
        <v>6271</v>
      </c>
      <c r="D17865" t="str">
        <f>"9099304592  "</f>
        <v xml:space="preserve">9099304592  </v>
      </c>
      <c r="E17865" t="s">
        <v>491</v>
      </c>
      <c r="F17865" t="s">
        <v>492</v>
      </c>
      <c r="G17865">
        <v>63</v>
      </c>
      <c r="H17865">
        <v>250430</v>
      </c>
      <c r="I17865">
        <v>4410</v>
      </c>
      <c r="J17865" t="s">
        <v>165</v>
      </c>
      <c r="K17865">
        <v>63</v>
      </c>
      <c r="L17865">
        <v>0</v>
      </c>
      <c r="M17865">
        <v>17918</v>
      </c>
      <c r="N17865" t="s">
        <v>152</v>
      </c>
      <c r="O17865">
        <v>250512</v>
      </c>
      <c r="P17865">
        <v>63</v>
      </c>
    </row>
    <row r="17866" spans="1:16" x14ac:dyDescent="0.25">
      <c r="A17866" t="s">
        <v>3296</v>
      </c>
      <c r="B17866" t="s">
        <v>2931</v>
      </c>
      <c r="C17866">
        <v>6280</v>
      </c>
      <c r="D17866" t="str">
        <f>"9099304591  "</f>
        <v xml:space="preserve">9099304591  </v>
      </c>
      <c r="E17866" t="s">
        <v>491</v>
      </c>
      <c r="F17866" t="s">
        <v>492</v>
      </c>
      <c r="G17866">
        <v>15.95</v>
      </c>
      <c r="H17866">
        <v>250430</v>
      </c>
      <c r="I17866">
        <v>4410</v>
      </c>
      <c r="J17866" t="s">
        <v>165</v>
      </c>
      <c r="K17866">
        <v>15.95</v>
      </c>
      <c r="L17866">
        <v>1.96</v>
      </c>
      <c r="M17866">
        <v>17538</v>
      </c>
      <c r="N17866" t="s">
        <v>129</v>
      </c>
      <c r="O17866">
        <v>250512</v>
      </c>
      <c r="P17866">
        <v>13.99</v>
      </c>
    </row>
    <row r="17867" spans="1:16" x14ac:dyDescent="0.25">
      <c r="A17867" t="s">
        <v>3296</v>
      </c>
      <c r="B17867" t="s">
        <v>2931</v>
      </c>
      <c r="C17867">
        <v>6284</v>
      </c>
      <c r="D17867" t="str">
        <f>"9099304595  "</f>
        <v xml:space="preserve">9099304595  </v>
      </c>
      <c r="E17867" t="s">
        <v>491</v>
      </c>
      <c r="F17867" t="s">
        <v>492</v>
      </c>
      <c r="G17867">
        <v>3648.75</v>
      </c>
      <c r="H17867">
        <v>250430</v>
      </c>
      <c r="I17867">
        <v>4410</v>
      </c>
      <c r="J17867" t="s">
        <v>165</v>
      </c>
      <c r="K17867">
        <v>3648.75</v>
      </c>
      <c r="L17867">
        <v>0</v>
      </c>
      <c r="M17867">
        <v>13552</v>
      </c>
      <c r="N17867" t="s">
        <v>133</v>
      </c>
      <c r="O17867">
        <v>250512</v>
      </c>
      <c r="P17867">
        <v>3648.75</v>
      </c>
    </row>
    <row r="17868" spans="1:16" x14ac:dyDescent="0.25">
      <c r="A17868" t="s">
        <v>3296</v>
      </c>
      <c r="B17868" t="s">
        <v>2931</v>
      </c>
      <c r="C17868">
        <v>6291</v>
      </c>
      <c r="D17868" t="str">
        <f>"9099304594  "</f>
        <v xml:space="preserve">9099304594  </v>
      </c>
      <c r="E17868" t="s">
        <v>491</v>
      </c>
      <c r="F17868" t="s">
        <v>492</v>
      </c>
      <c r="G17868">
        <v>15513.75</v>
      </c>
      <c r="H17868">
        <v>250430</v>
      </c>
      <c r="I17868">
        <v>4410</v>
      </c>
      <c r="J17868" t="s">
        <v>165</v>
      </c>
      <c r="K17868">
        <v>15513.75</v>
      </c>
      <c r="L17868">
        <v>0</v>
      </c>
      <c r="M17868">
        <v>17918</v>
      </c>
      <c r="N17868" t="s">
        <v>152</v>
      </c>
      <c r="O17868">
        <v>250512</v>
      </c>
      <c r="P17868">
        <v>15513.75</v>
      </c>
    </row>
    <row r="17869" spans="1:16" x14ac:dyDescent="0.25">
      <c r="A17869" t="s">
        <v>3296</v>
      </c>
      <c r="B17869" t="s">
        <v>2931</v>
      </c>
      <c r="C17869">
        <v>6546</v>
      </c>
      <c r="D17869" t="str">
        <f>"9099304593  "</f>
        <v xml:space="preserve">9099304593  </v>
      </c>
      <c r="E17869" t="s">
        <v>491</v>
      </c>
      <c r="F17869" t="s">
        <v>492</v>
      </c>
      <c r="G17869">
        <v>136.5</v>
      </c>
      <c r="H17869">
        <v>250430</v>
      </c>
      <c r="I17869">
        <v>4410</v>
      </c>
      <c r="J17869" t="s">
        <v>165</v>
      </c>
      <c r="K17869">
        <v>136.5</v>
      </c>
      <c r="L17869">
        <v>0</v>
      </c>
      <c r="M17869">
        <v>17913</v>
      </c>
      <c r="N17869" t="s">
        <v>26</v>
      </c>
      <c r="O17869">
        <v>250514</v>
      </c>
      <c r="P17869">
        <v>136.5</v>
      </c>
    </row>
    <row r="17870" spans="1:16" x14ac:dyDescent="0.25">
      <c r="A17870" t="s">
        <v>3296</v>
      </c>
      <c r="B17870" t="s">
        <v>2931</v>
      </c>
      <c r="C17870">
        <v>7296</v>
      </c>
      <c r="D17870" t="str">
        <f>"9099306618  "</f>
        <v xml:space="preserve">9099306618  </v>
      </c>
      <c r="E17870" t="s">
        <v>491</v>
      </c>
      <c r="F17870" t="s">
        <v>492</v>
      </c>
      <c r="G17870">
        <v>231</v>
      </c>
      <c r="H17870">
        <v>250520</v>
      </c>
      <c r="I17870">
        <v>4410</v>
      </c>
      <c r="J17870" t="s">
        <v>165</v>
      </c>
      <c r="K17870">
        <v>231</v>
      </c>
      <c r="L17870">
        <v>0</v>
      </c>
      <c r="M17870">
        <v>13552</v>
      </c>
      <c r="N17870" t="s">
        <v>133</v>
      </c>
      <c r="O17870">
        <v>250602</v>
      </c>
      <c r="P17870">
        <v>231</v>
      </c>
    </row>
    <row r="17871" spans="1:16" x14ac:dyDescent="0.25">
      <c r="A17871" t="s">
        <v>3296</v>
      </c>
      <c r="B17871" t="s">
        <v>2931</v>
      </c>
      <c r="C17871">
        <v>7300</v>
      </c>
      <c r="D17871" t="str">
        <f>"9099306619  "</f>
        <v xml:space="preserve">9099306619  </v>
      </c>
      <c r="E17871" t="s">
        <v>491</v>
      </c>
      <c r="F17871" t="s">
        <v>492</v>
      </c>
      <c r="G17871">
        <v>19.350000000000001</v>
      </c>
      <c r="H17871">
        <v>250520</v>
      </c>
      <c r="I17871">
        <v>4410</v>
      </c>
      <c r="J17871" t="s">
        <v>165</v>
      </c>
      <c r="K17871">
        <v>32.25</v>
      </c>
      <c r="L17871">
        <v>2.38</v>
      </c>
      <c r="M17871">
        <v>17534</v>
      </c>
      <c r="N17871" t="s">
        <v>148</v>
      </c>
      <c r="O17871">
        <v>250602</v>
      </c>
      <c r="P17871">
        <v>16.97</v>
      </c>
    </row>
    <row r="17872" spans="1:16" x14ac:dyDescent="0.25">
      <c r="A17872" t="s">
        <v>3296</v>
      </c>
      <c r="B17872" t="s">
        <v>2931</v>
      </c>
      <c r="C17872">
        <v>7300</v>
      </c>
      <c r="D17872" t="str">
        <f>"9099306619  "</f>
        <v xml:space="preserve">9099306619  </v>
      </c>
      <c r="E17872" t="s">
        <v>491</v>
      </c>
      <c r="F17872" t="s">
        <v>492</v>
      </c>
      <c r="G17872">
        <v>12.9</v>
      </c>
      <c r="H17872">
        <v>250520</v>
      </c>
      <c r="I17872">
        <v>4410</v>
      </c>
      <c r="J17872" t="s">
        <v>165</v>
      </c>
      <c r="K17872">
        <v>32.25</v>
      </c>
      <c r="L17872">
        <v>1.58</v>
      </c>
      <c r="M17872">
        <v>17537</v>
      </c>
      <c r="N17872" t="s">
        <v>151</v>
      </c>
      <c r="O17872">
        <v>250602</v>
      </c>
      <c r="P17872">
        <v>11.32</v>
      </c>
    </row>
    <row r="17873" spans="1:16" x14ac:dyDescent="0.25">
      <c r="A17873" t="s">
        <v>3296</v>
      </c>
      <c r="B17873" t="s">
        <v>2931</v>
      </c>
      <c r="C17873">
        <v>7302</v>
      </c>
      <c r="D17873" t="str">
        <f>"9099306617  "</f>
        <v xml:space="preserve">9099306617  </v>
      </c>
      <c r="E17873" t="s">
        <v>491</v>
      </c>
      <c r="F17873" t="s">
        <v>492</v>
      </c>
      <c r="G17873">
        <v>144</v>
      </c>
      <c r="H17873">
        <v>250520</v>
      </c>
      <c r="I17873">
        <v>4410</v>
      </c>
      <c r="J17873" t="s">
        <v>165</v>
      </c>
      <c r="K17873">
        <v>144</v>
      </c>
      <c r="L17873">
        <v>17.68</v>
      </c>
      <c r="M17873">
        <v>11605</v>
      </c>
      <c r="N17873" t="s">
        <v>1066</v>
      </c>
      <c r="O17873">
        <v>250602</v>
      </c>
      <c r="P17873">
        <v>126.32</v>
      </c>
    </row>
    <row r="17874" spans="1:16" x14ac:dyDescent="0.25">
      <c r="A17874" t="s">
        <v>3296</v>
      </c>
      <c r="B17874" t="s">
        <v>2931</v>
      </c>
      <c r="C17874">
        <v>7312</v>
      </c>
      <c r="D17874" t="str">
        <f>"9099306620  "</f>
        <v xml:space="preserve">9099306620  </v>
      </c>
      <c r="E17874" t="s">
        <v>491</v>
      </c>
      <c r="F17874" t="s">
        <v>492</v>
      </c>
      <c r="G17874">
        <v>72</v>
      </c>
      <c r="H17874">
        <v>250520</v>
      </c>
      <c r="I17874">
        <v>4410</v>
      </c>
      <c r="J17874" t="s">
        <v>165</v>
      </c>
      <c r="K17874">
        <v>72</v>
      </c>
      <c r="L17874">
        <v>8.84</v>
      </c>
      <c r="M17874">
        <v>17521</v>
      </c>
      <c r="N17874" t="s">
        <v>136</v>
      </c>
      <c r="O17874">
        <v>250603</v>
      </c>
      <c r="P17874">
        <v>63.16</v>
      </c>
    </row>
    <row r="17875" spans="1:16" x14ac:dyDescent="0.25">
      <c r="A17875" t="s">
        <v>3296</v>
      </c>
      <c r="B17875" t="s">
        <v>2931</v>
      </c>
      <c r="C17875">
        <v>7315</v>
      </c>
      <c r="D17875" t="str">
        <f>"9099306622  "</f>
        <v xml:space="preserve">9099306622  </v>
      </c>
      <c r="E17875" t="s">
        <v>491</v>
      </c>
      <c r="F17875" t="s">
        <v>492</v>
      </c>
      <c r="G17875">
        <v>6.45</v>
      </c>
      <c r="H17875">
        <v>250520</v>
      </c>
      <c r="I17875">
        <v>4410</v>
      </c>
      <c r="J17875" t="s">
        <v>165</v>
      </c>
      <c r="K17875">
        <v>6.45</v>
      </c>
      <c r="L17875">
        <v>0.79</v>
      </c>
      <c r="M17875">
        <v>13561</v>
      </c>
      <c r="N17875" t="s">
        <v>241</v>
      </c>
      <c r="O17875">
        <v>250603</v>
      </c>
      <c r="P17875">
        <v>5.66</v>
      </c>
    </row>
    <row r="17876" spans="1:16" x14ac:dyDescent="0.25">
      <c r="A17876" t="s">
        <v>3296</v>
      </c>
      <c r="B17876" t="s">
        <v>2931</v>
      </c>
      <c r="C17876">
        <v>7319</v>
      </c>
      <c r="D17876" t="str">
        <f>"9099306621  "</f>
        <v xml:space="preserve">9099306621  </v>
      </c>
      <c r="E17876" t="s">
        <v>491</v>
      </c>
      <c r="F17876" t="s">
        <v>492</v>
      </c>
      <c r="G17876">
        <v>263.81</v>
      </c>
      <c r="H17876">
        <v>250520</v>
      </c>
      <c r="I17876">
        <v>4410</v>
      </c>
      <c r="J17876" t="s">
        <v>165</v>
      </c>
      <c r="K17876">
        <v>263.81</v>
      </c>
      <c r="L17876">
        <v>32.4</v>
      </c>
      <c r="M17876">
        <v>17538</v>
      </c>
      <c r="N17876" t="s">
        <v>129</v>
      </c>
      <c r="O17876">
        <v>250603</v>
      </c>
      <c r="P17876">
        <v>231.41</v>
      </c>
    </row>
    <row r="17877" spans="1:16" x14ac:dyDescent="0.25">
      <c r="A17877" t="s">
        <v>3296</v>
      </c>
      <c r="B17877" t="s">
        <v>2931</v>
      </c>
      <c r="C17877">
        <v>8246</v>
      </c>
      <c r="D17877" t="str">
        <f>"9099307616  "</f>
        <v xml:space="preserve">9099307616  </v>
      </c>
      <c r="E17877" t="s">
        <v>491</v>
      </c>
      <c r="F17877" t="s">
        <v>492</v>
      </c>
      <c r="G17877">
        <v>5.25</v>
      </c>
      <c r="H17877">
        <v>250531</v>
      </c>
      <c r="I17877">
        <v>4410</v>
      </c>
      <c r="J17877" t="s">
        <v>165</v>
      </c>
      <c r="K17877">
        <v>5.25</v>
      </c>
      <c r="L17877">
        <v>0</v>
      </c>
      <c r="M17877">
        <v>17918</v>
      </c>
      <c r="N17877" t="s">
        <v>152</v>
      </c>
      <c r="O17877">
        <v>250612</v>
      </c>
      <c r="P17877">
        <v>5.25</v>
      </c>
    </row>
    <row r="17878" spans="1:16" x14ac:dyDescent="0.25">
      <c r="A17878" t="s">
        <v>3296</v>
      </c>
      <c r="B17878" t="s">
        <v>2931</v>
      </c>
      <c r="C17878">
        <v>8310</v>
      </c>
      <c r="D17878" t="str">
        <f>"9099307622  "</f>
        <v xml:space="preserve">9099307622  </v>
      </c>
      <c r="E17878" t="s">
        <v>491</v>
      </c>
      <c r="F17878" t="s">
        <v>492</v>
      </c>
      <c r="G17878">
        <v>2357.25</v>
      </c>
      <c r="H17878">
        <v>250531</v>
      </c>
      <c r="I17878">
        <v>4410</v>
      </c>
      <c r="J17878" t="s">
        <v>165</v>
      </c>
      <c r="K17878">
        <v>2357.25</v>
      </c>
      <c r="L17878">
        <v>0</v>
      </c>
      <c r="M17878">
        <v>13552</v>
      </c>
      <c r="N17878" t="s">
        <v>133</v>
      </c>
      <c r="O17878">
        <v>250612</v>
      </c>
      <c r="P17878">
        <v>2357.25</v>
      </c>
    </row>
    <row r="17879" spans="1:16" x14ac:dyDescent="0.25">
      <c r="A17879" t="s">
        <v>3296</v>
      </c>
      <c r="B17879" t="s">
        <v>2931</v>
      </c>
      <c r="C17879">
        <v>8328</v>
      </c>
      <c r="D17879" t="str">
        <f>"9099307612  "</f>
        <v xml:space="preserve">9099307612  </v>
      </c>
      <c r="E17879" t="s">
        <v>491</v>
      </c>
      <c r="F17879" t="s">
        <v>492</v>
      </c>
      <c r="G17879">
        <v>255.45</v>
      </c>
      <c r="H17879">
        <v>250531</v>
      </c>
      <c r="I17879">
        <v>4410</v>
      </c>
      <c r="J17879" t="s">
        <v>165</v>
      </c>
      <c r="K17879">
        <v>255.45</v>
      </c>
      <c r="L17879">
        <v>0</v>
      </c>
      <c r="M17879">
        <v>17918</v>
      </c>
      <c r="N17879" t="s">
        <v>152</v>
      </c>
      <c r="O17879">
        <v>250612</v>
      </c>
      <c r="P17879">
        <v>255.45</v>
      </c>
    </row>
    <row r="17880" spans="1:16" x14ac:dyDescent="0.25">
      <c r="A17880" t="s">
        <v>3296</v>
      </c>
      <c r="B17880" t="s">
        <v>2931</v>
      </c>
      <c r="C17880">
        <v>8332</v>
      </c>
      <c r="D17880" t="str">
        <f>"9099307621  "</f>
        <v xml:space="preserve">9099307621  </v>
      </c>
      <c r="E17880" t="s">
        <v>491</v>
      </c>
      <c r="F17880" t="s">
        <v>492</v>
      </c>
      <c r="G17880">
        <v>13067.25</v>
      </c>
      <c r="H17880">
        <v>250531</v>
      </c>
      <c r="I17880">
        <v>4410</v>
      </c>
      <c r="J17880" t="s">
        <v>165</v>
      </c>
      <c r="K17880">
        <v>13067.25</v>
      </c>
      <c r="L17880">
        <v>0</v>
      </c>
      <c r="M17880">
        <v>17918</v>
      </c>
      <c r="N17880" t="s">
        <v>152</v>
      </c>
      <c r="O17880">
        <v>250613</v>
      </c>
      <c r="P17880">
        <v>13067.25</v>
      </c>
    </row>
    <row r="17881" spans="1:16" x14ac:dyDescent="0.25">
      <c r="A17881" t="s">
        <v>3296</v>
      </c>
      <c r="B17881" t="s">
        <v>2931</v>
      </c>
      <c r="C17881">
        <v>8345</v>
      </c>
      <c r="D17881" t="str">
        <f>"9099307618  "</f>
        <v xml:space="preserve">9099307618  </v>
      </c>
      <c r="E17881" t="s">
        <v>491</v>
      </c>
      <c r="F17881" t="s">
        <v>492</v>
      </c>
      <c r="G17881">
        <v>7.6</v>
      </c>
      <c r="H17881">
        <v>250604</v>
      </c>
      <c r="I17881">
        <v>4410</v>
      </c>
      <c r="J17881" t="s">
        <v>165</v>
      </c>
      <c r="K17881">
        <v>7.6</v>
      </c>
      <c r="L17881">
        <v>0.93</v>
      </c>
      <c r="M17881">
        <v>17538</v>
      </c>
      <c r="N17881" t="s">
        <v>129</v>
      </c>
      <c r="O17881">
        <v>250613</v>
      </c>
      <c r="P17881">
        <v>6.67</v>
      </c>
    </row>
    <row r="17882" spans="1:16" x14ac:dyDescent="0.25">
      <c r="A17882" t="s">
        <v>3296</v>
      </c>
      <c r="B17882" t="s">
        <v>2931</v>
      </c>
      <c r="C17882">
        <v>8347</v>
      </c>
      <c r="D17882" t="str">
        <f>"9099307614  "</f>
        <v xml:space="preserve">9099307614  </v>
      </c>
      <c r="E17882" t="s">
        <v>491</v>
      </c>
      <c r="F17882" t="s">
        <v>492</v>
      </c>
      <c r="G17882">
        <v>12.86</v>
      </c>
      <c r="H17882">
        <v>250531</v>
      </c>
      <c r="I17882">
        <v>4410</v>
      </c>
      <c r="J17882" t="s">
        <v>165</v>
      </c>
      <c r="K17882">
        <v>12.86</v>
      </c>
      <c r="L17882">
        <v>1.58</v>
      </c>
      <c r="M17882">
        <v>17521</v>
      </c>
      <c r="N17882" t="s">
        <v>136</v>
      </c>
      <c r="O17882">
        <v>250613</v>
      </c>
      <c r="P17882">
        <v>11.28</v>
      </c>
    </row>
    <row r="17883" spans="1:16" x14ac:dyDescent="0.25">
      <c r="A17883" t="s">
        <v>3296</v>
      </c>
      <c r="B17883" t="s">
        <v>2931</v>
      </c>
      <c r="C17883">
        <v>8348</v>
      </c>
      <c r="D17883" t="str">
        <f>"9099307610  "</f>
        <v xml:space="preserve">9099307610  </v>
      </c>
      <c r="E17883" t="s">
        <v>491</v>
      </c>
      <c r="F17883" t="s">
        <v>492</v>
      </c>
      <c r="G17883">
        <v>144</v>
      </c>
      <c r="H17883">
        <v>250531</v>
      </c>
      <c r="I17883">
        <v>4410</v>
      </c>
      <c r="J17883" t="s">
        <v>165</v>
      </c>
      <c r="K17883">
        <v>144</v>
      </c>
      <c r="L17883">
        <v>17.68</v>
      </c>
      <c r="M17883">
        <v>17538</v>
      </c>
      <c r="N17883" t="s">
        <v>129</v>
      </c>
      <c r="O17883">
        <v>250613</v>
      </c>
      <c r="P17883">
        <v>126.32</v>
      </c>
    </row>
    <row r="17884" spans="1:16" x14ac:dyDescent="0.25">
      <c r="A17884" t="s">
        <v>3296</v>
      </c>
      <c r="B17884" t="s">
        <v>2931</v>
      </c>
      <c r="C17884">
        <v>8357</v>
      </c>
      <c r="D17884" t="str">
        <f>"9099307620  "</f>
        <v xml:space="preserve">9099307620  </v>
      </c>
      <c r="E17884" t="s">
        <v>491</v>
      </c>
      <c r="F17884" t="s">
        <v>492</v>
      </c>
      <c r="G17884">
        <v>26.1</v>
      </c>
      <c r="H17884">
        <v>250531</v>
      </c>
      <c r="I17884">
        <v>4410</v>
      </c>
      <c r="J17884" t="s">
        <v>165</v>
      </c>
      <c r="K17884">
        <v>26.1</v>
      </c>
      <c r="L17884">
        <v>3.21</v>
      </c>
      <c r="M17884">
        <v>16930</v>
      </c>
      <c r="N17884" t="s">
        <v>135</v>
      </c>
      <c r="O17884">
        <v>250613</v>
      </c>
      <c r="P17884">
        <v>22.89</v>
      </c>
    </row>
    <row r="17885" spans="1:16" x14ac:dyDescent="0.25">
      <c r="A17885" t="s">
        <v>3296</v>
      </c>
      <c r="B17885" t="s">
        <v>2931</v>
      </c>
      <c r="C17885">
        <v>8360</v>
      </c>
      <c r="D17885" t="str">
        <f>"9099307609  "</f>
        <v xml:space="preserve">9099307609  </v>
      </c>
      <c r="E17885" t="s">
        <v>491</v>
      </c>
      <c r="F17885" t="s">
        <v>492</v>
      </c>
      <c r="G17885">
        <v>28.8</v>
      </c>
      <c r="H17885">
        <v>250531</v>
      </c>
      <c r="I17885">
        <v>4410</v>
      </c>
      <c r="J17885" t="s">
        <v>165</v>
      </c>
      <c r="K17885">
        <v>28.8</v>
      </c>
      <c r="L17885">
        <v>0</v>
      </c>
      <c r="M17885">
        <v>17971</v>
      </c>
      <c r="N17885" t="s">
        <v>27</v>
      </c>
      <c r="O17885">
        <v>250613</v>
      </c>
      <c r="P17885">
        <v>28.8</v>
      </c>
    </row>
    <row r="17886" spans="1:16" x14ac:dyDescent="0.25">
      <c r="A17886" t="s">
        <v>3296</v>
      </c>
      <c r="B17886" t="s">
        <v>2931</v>
      </c>
      <c r="C17886">
        <v>8362</v>
      </c>
      <c r="D17886" t="str">
        <f>"9099307613  "</f>
        <v xml:space="preserve">9099307613  </v>
      </c>
      <c r="E17886" t="s">
        <v>491</v>
      </c>
      <c r="F17886" t="s">
        <v>492</v>
      </c>
      <c r="G17886">
        <v>7.5</v>
      </c>
      <c r="H17886">
        <v>250531</v>
      </c>
      <c r="I17886">
        <v>4410</v>
      </c>
      <c r="J17886" t="s">
        <v>165</v>
      </c>
      <c r="K17886">
        <v>70.5</v>
      </c>
      <c r="L17886">
        <v>0</v>
      </c>
      <c r="M17886">
        <v>17521</v>
      </c>
      <c r="N17886" t="s">
        <v>136</v>
      </c>
      <c r="O17886">
        <v>250613</v>
      </c>
      <c r="P17886">
        <v>7.5</v>
      </c>
    </row>
    <row r="17887" spans="1:16" x14ac:dyDescent="0.25">
      <c r="A17887" t="s">
        <v>3296</v>
      </c>
      <c r="B17887" t="s">
        <v>2931</v>
      </c>
      <c r="C17887">
        <v>8362</v>
      </c>
      <c r="D17887" t="str">
        <f>"9099307613  "</f>
        <v xml:space="preserve">9099307613  </v>
      </c>
      <c r="E17887" t="s">
        <v>491</v>
      </c>
      <c r="F17887" t="s">
        <v>492</v>
      </c>
      <c r="G17887">
        <v>63</v>
      </c>
      <c r="H17887">
        <v>250531</v>
      </c>
      <c r="I17887">
        <v>4410</v>
      </c>
      <c r="J17887" t="s">
        <v>165</v>
      </c>
      <c r="K17887">
        <v>70.5</v>
      </c>
      <c r="L17887">
        <v>0</v>
      </c>
      <c r="M17887">
        <v>17918</v>
      </c>
      <c r="N17887" t="s">
        <v>152</v>
      </c>
      <c r="O17887">
        <v>250613</v>
      </c>
      <c r="P17887">
        <v>63</v>
      </c>
    </row>
    <row r="17888" spans="1:16" x14ac:dyDescent="0.25">
      <c r="A17888" t="s">
        <v>3296</v>
      </c>
      <c r="B17888" t="s">
        <v>2931</v>
      </c>
      <c r="C17888">
        <v>8364</v>
      </c>
      <c r="D17888" t="str">
        <f>"9099307617  "</f>
        <v xml:space="preserve">9099307617  </v>
      </c>
      <c r="E17888" t="s">
        <v>491</v>
      </c>
      <c r="F17888" t="s">
        <v>492</v>
      </c>
      <c r="G17888">
        <v>15.8</v>
      </c>
      <c r="H17888">
        <v>250531</v>
      </c>
      <c r="I17888">
        <v>4410</v>
      </c>
      <c r="J17888" t="s">
        <v>165</v>
      </c>
      <c r="K17888">
        <v>15.8</v>
      </c>
      <c r="L17888">
        <v>1.94</v>
      </c>
      <c r="M17888">
        <v>17538</v>
      </c>
      <c r="N17888" t="s">
        <v>129</v>
      </c>
      <c r="O17888">
        <v>250613</v>
      </c>
      <c r="P17888">
        <v>13.86</v>
      </c>
    </row>
    <row r="17889" spans="1:16" x14ac:dyDescent="0.25">
      <c r="A17889" t="s">
        <v>3296</v>
      </c>
      <c r="B17889" t="s">
        <v>2931</v>
      </c>
      <c r="C17889">
        <v>8367</v>
      </c>
      <c r="D17889" t="str">
        <f>"9099307615  "</f>
        <v xml:space="preserve">9099307615  </v>
      </c>
      <c r="E17889" t="s">
        <v>491</v>
      </c>
      <c r="F17889" t="s">
        <v>492</v>
      </c>
      <c r="G17889">
        <v>12.9</v>
      </c>
      <c r="H17889">
        <v>250531</v>
      </c>
      <c r="I17889">
        <v>4410</v>
      </c>
      <c r="J17889" t="s">
        <v>165</v>
      </c>
      <c r="K17889">
        <v>12.9</v>
      </c>
      <c r="L17889">
        <v>1.58</v>
      </c>
      <c r="M17889">
        <v>17532</v>
      </c>
      <c r="N17889" t="s">
        <v>146</v>
      </c>
      <c r="O17889">
        <v>250613</v>
      </c>
      <c r="P17889">
        <v>11.32</v>
      </c>
    </row>
    <row r="17890" spans="1:16" x14ac:dyDescent="0.25">
      <c r="A17890" t="s">
        <v>3296</v>
      </c>
      <c r="B17890" t="s">
        <v>2931</v>
      </c>
      <c r="C17890">
        <v>8371</v>
      </c>
      <c r="D17890" t="str">
        <f>"9099307611  "</f>
        <v xml:space="preserve">9099307611  </v>
      </c>
      <c r="E17890" t="s">
        <v>491</v>
      </c>
      <c r="F17890" t="s">
        <v>492</v>
      </c>
      <c r="G17890">
        <v>42</v>
      </c>
      <c r="H17890">
        <v>250531</v>
      </c>
      <c r="I17890">
        <v>4410</v>
      </c>
      <c r="J17890" t="s">
        <v>165</v>
      </c>
      <c r="K17890">
        <v>42</v>
      </c>
      <c r="L17890">
        <v>0</v>
      </c>
      <c r="M17890">
        <v>17918</v>
      </c>
      <c r="N17890" t="s">
        <v>152</v>
      </c>
      <c r="O17890">
        <v>250613</v>
      </c>
      <c r="P17890">
        <v>42</v>
      </c>
    </row>
    <row r="17891" spans="1:16" x14ac:dyDescent="0.25">
      <c r="A17891" t="s">
        <v>3296</v>
      </c>
      <c r="B17891" t="s">
        <v>2931</v>
      </c>
      <c r="C17891">
        <v>8788</v>
      </c>
      <c r="D17891" t="str">
        <f>"9099307619  "</f>
        <v xml:space="preserve">9099307619  </v>
      </c>
      <c r="E17891" t="s">
        <v>491</v>
      </c>
      <c r="F17891" t="s">
        <v>492</v>
      </c>
      <c r="G17891">
        <v>268.62</v>
      </c>
      <c r="H17891">
        <v>250531</v>
      </c>
      <c r="I17891">
        <v>4410</v>
      </c>
      <c r="J17891" t="s">
        <v>165</v>
      </c>
      <c r="K17891">
        <v>1520</v>
      </c>
      <c r="L17891">
        <v>32.99</v>
      </c>
      <c r="M17891">
        <v>16121</v>
      </c>
      <c r="N17891" t="s">
        <v>127</v>
      </c>
      <c r="O17891">
        <v>250618</v>
      </c>
      <c r="P17891">
        <v>235.63</v>
      </c>
    </row>
    <row r="17892" spans="1:16" x14ac:dyDescent="0.25">
      <c r="A17892" t="s">
        <v>3296</v>
      </c>
      <c r="B17892" t="s">
        <v>2931</v>
      </c>
      <c r="C17892">
        <v>8788</v>
      </c>
      <c r="D17892" t="str">
        <f>"9099307619  "</f>
        <v xml:space="preserve">9099307619  </v>
      </c>
      <c r="E17892" t="s">
        <v>491</v>
      </c>
      <c r="F17892" t="s">
        <v>492</v>
      </c>
      <c r="G17892">
        <v>81.260000000000005</v>
      </c>
      <c r="H17892">
        <v>250531</v>
      </c>
      <c r="I17892">
        <v>4410</v>
      </c>
      <c r="J17892" t="s">
        <v>165</v>
      </c>
      <c r="K17892">
        <v>1520</v>
      </c>
      <c r="L17892">
        <v>9.98</v>
      </c>
      <c r="M17892">
        <v>16322</v>
      </c>
      <c r="N17892" t="s">
        <v>331</v>
      </c>
      <c r="O17892">
        <v>250618</v>
      </c>
      <c r="P17892">
        <v>71.28</v>
      </c>
    </row>
    <row r="17893" spans="1:16" x14ac:dyDescent="0.25">
      <c r="A17893" t="s">
        <v>3296</v>
      </c>
      <c r="B17893" t="s">
        <v>2931</v>
      </c>
      <c r="C17893">
        <v>8788</v>
      </c>
      <c r="D17893" t="str">
        <f>"9099307619  "</f>
        <v xml:space="preserve">9099307619  </v>
      </c>
      <c r="E17893" t="s">
        <v>491</v>
      </c>
      <c r="F17893" t="s">
        <v>492</v>
      </c>
      <c r="G17893">
        <v>70</v>
      </c>
      <c r="H17893">
        <v>250531</v>
      </c>
      <c r="I17893">
        <v>4410</v>
      </c>
      <c r="J17893" t="s">
        <v>165</v>
      </c>
      <c r="K17893">
        <v>1520</v>
      </c>
      <c r="L17893">
        <v>8.6</v>
      </c>
      <c r="M17893">
        <v>16820</v>
      </c>
      <c r="N17893" t="s">
        <v>128</v>
      </c>
      <c r="O17893">
        <v>250618</v>
      </c>
      <c r="P17893">
        <v>61.4</v>
      </c>
    </row>
    <row r="17894" spans="1:16" x14ac:dyDescent="0.25">
      <c r="A17894" t="s">
        <v>3296</v>
      </c>
      <c r="B17894" t="s">
        <v>2931</v>
      </c>
      <c r="C17894">
        <v>8788</v>
      </c>
      <c r="D17894" t="str">
        <f>"9099307619  "</f>
        <v xml:space="preserve">9099307619  </v>
      </c>
      <c r="E17894" t="s">
        <v>491</v>
      </c>
      <c r="F17894" t="s">
        <v>492</v>
      </c>
      <c r="G17894">
        <v>1064</v>
      </c>
      <c r="H17894">
        <v>250531</v>
      </c>
      <c r="I17894">
        <v>4410</v>
      </c>
      <c r="J17894" t="s">
        <v>165</v>
      </c>
      <c r="K17894">
        <v>1520</v>
      </c>
      <c r="L17894">
        <v>130.66999999999999</v>
      </c>
      <c r="M17894">
        <v>17538</v>
      </c>
      <c r="N17894" t="s">
        <v>129</v>
      </c>
      <c r="O17894">
        <v>250618</v>
      </c>
      <c r="P17894">
        <v>933.33</v>
      </c>
    </row>
    <row r="17895" spans="1:16" x14ac:dyDescent="0.25">
      <c r="A17895" t="s">
        <v>3296</v>
      </c>
      <c r="B17895" t="s">
        <v>2931</v>
      </c>
      <c r="C17895">
        <v>8788</v>
      </c>
      <c r="D17895" t="str">
        <f>"9099307619  "</f>
        <v xml:space="preserve">9099307619  </v>
      </c>
      <c r="E17895" t="s">
        <v>491</v>
      </c>
      <c r="F17895" t="s">
        <v>492</v>
      </c>
      <c r="G17895">
        <v>36.119999999999997</v>
      </c>
      <c r="H17895">
        <v>250531</v>
      </c>
      <c r="I17895">
        <v>4410</v>
      </c>
      <c r="J17895" t="s">
        <v>165</v>
      </c>
      <c r="K17895">
        <v>1520</v>
      </c>
      <c r="L17895">
        <v>4.4400000000000004</v>
      </c>
      <c r="M17895">
        <v>17862</v>
      </c>
      <c r="N17895" t="s">
        <v>130</v>
      </c>
      <c r="O17895">
        <v>250618</v>
      </c>
      <c r="P17895">
        <v>31.68</v>
      </c>
    </row>
    <row r="17896" spans="1:16" x14ac:dyDescent="0.25">
      <c r="A17896" t="s">
        <v>3296</v>
      </c>
      <c r="B17896" t="s">
        <v>2931</v>
      </c>
      <c r="C17896">
        <v>10832</v>
      </c>
      <c r="D17896" t="str">
        <f>"9099313206  "</f>
        <v xml:space="preserve">9099313206  </v>
      </c>
      <c r="E17896" t="s">
        <v>491</v>
      </c>
      <c r="F17896" t="s">
        <v>492</v>
      </c>
      <c r="G17896">
        <v>92.1</v>
      </c>
      <c r="H17896">
        <v>250820</v>
      </c>
      <c r="I17896">
        <v>4410</v>
      </c>
      <c r="J17896" t="s">
        <v>165</v>
      </c>
      <c r="K17896">
        <v>92.1</v>
      </c>
      <c r="L17896">
        <v>11.31</v>
      </c>
      <c r="M17896">
        <v>13561</v>
      </c>
      <c r="N17896" t="s">
        <v>241</v>
      </c>
      <c r="O17896">
        <v>250825</v>
      </c>
      <c r="P17896">
        <v>80.790000000000006</v>
      </c>
    </row>
    <row r="17897" spans="1:16" x14ac:dyDescent="0.25">
      <c r="A17897" t="s">
        <v>3296</v>
      </c>
      <c r="B17897" t="s">
        <v>2931</v>
      </c>
      <c r="C17897">
        <v>11010</v>
      </c>
      <c r="D17897" t="str">
        <f>"9099313207  "</f>
        <v xml:space="preserve">9099313207  </v>
      </c>
      <c r="E17897" t="s">
        <v>491</v>
      </c>
      <c r="F17897" t="s">
        <v>492</v>
      </c>
      <c r="G17897">
        <v>144</v>
      </c>
      <c r="H17897">
        <v>250820</v>
      </c>
      <c r="I17897">
        <v>4410</v>
      </c>
      <c r="J17897" t="s">
        <v>165</v>
      </c>
      <c r="K17897">
        <v>144</v>
      </c>
      <c r="L17897">
        <v>17.68</v>
      </c>
      <c r="M17897">
        <v>11605</v>
      </c>
      <c r="N17897" t="s">
        <v>1066</v>
      </c>
      <c r="O17897">
        <v>250829</v>
      </c>
      <c r="P17897">
        <v>126.32</v>
      </c>
    </row>
    <row r="17898" spans="1:16" x14ac:dyDescent="0.25">
      <c r="A17898" t="s">
        <v>3296</v>
      </c>
      <c r="B17898" t="s">
        <v>2931</v>
      </c>
      <c r="C17898">
        <v>11011</v>
      </c>
      <c r="D17898" t="str">
        <f>"9099313205  "</f>
        <v xml:space="preserve">9099313205  </v>
      </c>
      <c r="E17898" t="s">
        <v>491</v>
      </c>
      <c r="F17898" t="s">
        <v>492</v>
      </c>
      <c r="G17898">
        <v>144</v>
      </c>
      <c r="H17898">
        <v>250820</v>
      </c>
      <c r="I17898">
        <v>4410</v>
      </c>
      <c r="J17898" t="s">
        <v>165</v>
      </c>
      <c r="K17898">
        <v>144</v>
      </c>
      <c r="L17898">
        <v>17.68</v>
      </c>
      <c r="M17898">
        <v>17538</v>
      </c>
      <c r="N17898" t="s">
        <v>129</v>
      </c>
      <c r="O17898">
        <v>250829</v>
      </c>
      <c r="P17898">
        <v>126.32</v>
      </c>
    </row>
    <row r="17899" spans="1:16" x14ac:dyDescent="0.25">
      <c r="A17899" t="s">
        <v>3296</v>
      </c>
      <c r="B17899" t="s">
        <v>2931</v>
      </c>
      <c r="C17899">
        <v>11409</v>
      </c>
      <c r="D17899" t="str">
        <f>"9099313548  "</f>
        <v xml:space="preserve">9099313548  </v>
      </c>
      <c r="E17899" t="s">
        <v>491</v>
      </c>
      <c r="F17899" t="s">
        <v>492</v>
      </c>
      <c r="G17899">
        <v>5790.75</v>
      </c>
      <c r="H17899">
        <v>250903</v>
      </c>
      <c r="I17899">
        <v>4410</v>
      </c>
      <c r="J17899" t="s">
        <v>165</v>
      </c>
      <c r="K17899">
        <v>5790.75</v>
      </c>
      <c r="L17899">
        <v>0</v>
      </c>
      <c r="M17899">
        <v>13552</v>
      </c>
      <c r="N17899" t="s">
        <v>133</v>
      </c>
      <c r="O17899">
        <v>250904</v>
      </c>
      <c r="P17899">
        <v>5790.75</v>
      </c>
    </row>
    <row r="17900" spans="1:16" x14ac:dyDescent="0.25">
      <c r="A17900" t="s">
        <v>3296</v>
      </c>
      <c r="B17900" t="s">
        <v>2931</v>
      </c>
      <c r="C17900">
        <v>11410</v>
      </c>
      <c r="D17900" t="str">
        <f>"9099313545  "</f>
        <v xml:space="preserve">9099313545  </v>
      </c>
      <c r="E17900" t="s">
        <v>491</v>
      </c>
      <c r="F17900" t="s">
        <v>492</v>
      </c>
      <c r="G17900">
        <v>315</v>
      </c>
      <c r="H17900">
        <v>250831</v>
      </c>
      <c r="I17900">
        <v>4410</v>
      </c>
      <c r="J17900" t="s">
        <v>165</v>
      </c>
      <c r="K17900">
        <v>373.05</v>
      </c>
      <c r="L17900">
        <v>0</v>
      </c>
      <c r="M17900">
        <v>13552</v>
      </c>
      <c r="N17900" t="s">
        <v>133</v>
      </c>
      <c r="O17900">
        <v>250904</v>
      </c>
      <c r="P17900">
        <v>315</v>
      </c>
    </row>
    <row r="17901" spans="1:16" x14ac:dyDescent="0.25">
      <c r="A17901" t="s">
        <v>3296</v>
      </c>
      <c r="B17901" t="s">
        <v>2931</v>
      </c>
      <c r="C17901">
        <v>11410</v>
      </c>
      <c r="D17901" t="str">
        <f>"9099313545  "</f>
        <v xml:space="preserve">9099313545  </v>
      </c>
      <c r="E17901" t="s">
        <v>491</v>
      </c>
      <c r="F17901" t="s">
        <v>492</v>
      </c>
      <c r="G17901">
        <v>58.05</v>
      </c>
      <c r="H17901">
        <v>250831</v>
      </c>
      <c r="I17901">
        <v>4410</v>
      </c>
      <c r="J17901" t="s">
        <v>165</v>
      </c>
      <c r="K17901">
        <v>373.05</v>
      </c>
      <c r="L17901">
        <v>7.13</v>
      </c>
      <c r="M17901">
        <v>13561</v>
      </c>
      <c r="N17901" t="s">
        <v>241</v>
      </c>
      <c r="O17901">
        <v>250904</v>
      </c>
      <c r="P17901">
        <v>50.92</v>
      </c>
    </row>
    <row r="17902" spans="1:16" x14ac:dyDescent="0.25">
      <c r="A17902" t="s">
        <v>3296</v>
      </c>
      <c r="B17902" t="s">
        <v>2931</v>
      </c>
      <c r="C17902">
        <v>11412</v>
      </c>
      <c r="D17902" t="str">
        <f>"9099313549  "</f>
        <v xml:space="preserve">9099313549  </v>
      </c>
      <c r="E17902" t="s">
        <v>491</v>
      </c>
      <c r="F17902" t="s">
        <v>492</v>
      </c>
      <c r="G17902">
        <v>17183.25</v>
      </c>
      <c r="H17902">
        <v>250831</v>
      </c>
      <c r="I17902">
        <v>4410</v>
      </c>
      <c r="J17902" t="s">
        <v>165</v>
      </c>
      <c r="K17902">
        <v>17183.25</v>
      </c>
      <c r="L17902">
        <v>0</v>
      </c>
      <c r="M17902">
        <v>17918</v>
      </c>
      <c r="N17902" t="s">
        <v>152</v>
      </c>
      <c r="O17902">
        <v>250904</v>
      </c>
      <c r="P17902">
        <v>17183.25</v>
      </c>
    </row>
    <row r="17903" spans="1:16" x14ac:dyDescent="0.25">
      <c r="A17903" t="s">
        <v>3296</v>
      </c>
      <c r="B17903" t="s">
        <v>2931</v>
      </c>
      <c r="C17903">
        <v>11457</v>
      </c>
      <c r="D17903" t="str">
        <f>"9099313544  "</f>
        <v xml:space="preserve">9099313544  </v>
      </c>
      <c r="E17903" t="s">
        <v>491</v>
      </c>
      <c r="F17903" t="s">
        <v>492</v>
      </c>
      <c r="G17903">
        <v>12.9</v>
      </c>
      <c r="H17903">
        <v>250831</v>
      </c>
      <c r="I17903">
        <v>4410</v>
      </c>
      <c r="J17903" t="s">
        <v>165</v>
      </c>
      <c r="K17903">
        <v>12.9</v>
      </c>
      <c r="L17903">
        <v>1.58</v>
      </c>
      <c r="M17903">
        <v>17521</v>
      </c>
      <c r="N17903" t="s">
        <v>136</v>
      </c>
      <c r="O17903">
        <v>250905</v>
      </c>
      <c r="P17903">
        <v>11.32</v>
      </c>
    </row>
    <row r="17904" spans="1:16" x14ac:dyDescent="0.25">
      <c r="A17904" t="s">
        <v>3296</v>
      </c>
      <c r="B17904" t="s">
        <v>2931</v>
      </c>
      <c r="C17904">
        <v>11458</v>
      </c>
      <c r="D17904" t="str">
        <f>"9099313541  "</f>
        <v xml:space="preserve">9099313541  </v>
      </c>
      <c r="E17904" t="s">
        <v>491</v>
      </c>
      <c r="F17904" t="s">
        <v>492</v>
      </c>
      <c r="G17904">
        <v>126</v>
      </c>
      <c r="H17904">
        <v>250831</v>
      </c>
      <c r="I17904">
        <v>4410</v>
      </c>
      <c r="J17904" t="s">
        <v>165</v>
      </c>
      <c r="K17904">
        <v>126</v>
      </c>
      <c r="L17904">
        <v>0</v>
      </c>
      <c r="M17904">
        <v>17918</v>
      </c>
      <c r="N17904" t="s">
        <v>152</v>
      </c>
      <c r="O17904">
        <v>250905</v>
      </c>
      <c r="P17904">
        <v>126</v>
      </c>
    </row>
    <row r="17905" spans="1:16" x14ac:dyDescent="0.25">
      <c r="A17905" t="s">
        <v>3296</v>
      </c>
      <c r="B17905" t="s">
        <v>2931</v>
      </c>
      <c r="C17905">
        <v>11460</v>
      </c>
      <c r="D17905" t="str">
        <f>"9099313542  "</f>
        <v xml:space="preserve">9099313542  </v>
      </c>
      <c r="E17905" t="s">
        <v>491</v>
      </c>
      <c r="F17905" t="s">
        <v>492</v>
      </c>
      <c r="G17905">
        <v>57.75</v>
      </c>
      <c r="H17905">
        <v>250831</v>
      </c>
      <c r="I17905">
        <v>4410</v>
      </c>
      <c r="J17905" t="s">
        <v>165</v>
      </c>
      <c r="K17905">
        <v>57.75</v>
      </c>
      <c r="L17905">
        <v>0</v>
      </c>
      <c r="M17905">
        <v>17918</v>
      </c>
      <c r="N17905" t="s">
        <v>152</v>
      </c>
      <c r="O17905">
        <v>250905</v>
      </c>
      <c r="P17905">
        <v>57.75</v>
      </c>
    </row>
    <row r="17906" spans="1:16" x14ac:dyDescent="0.25">
      <c r="A17906" t="s">
        <v>3296</v>
      </c>
      <c r="B17906" t="s">
        <v>2931</v>
      </c>
      <c r="C17906">
        <v>11461</v>
      </c>
      <c r="D17906" t="str">
        <f>"9099313543  "</f>
        <v xml:space="preserve">9099313543  </v>
      </c>
      <c r="E17906" t="s">
        <v>491</v>
      </c>
      <c r="F17906" t="s">
        <v>492</v>
      </c>
      <c r="G17906">
        <v>36.75</v>
      </c>
      <c r="H17906">
        <v>250831</v>
      </c>
      <c r="I17906">
        <v>4410</v>
      </c>
      <c r="J17906" t="s">
        <v>165</v>
      </c>
      <c r="K17906">
        <v>36.75</v>
      </c>
      <c r="L17906">
        <v>0</v>
      </c>
      <c r="M17906">
        <v>17918</v>
      </c>
      <c r="N17906" t="s">
        <v>152</v>
      </c>
      <c r="O17906">
        <v>250905</v>
      </c>
      <c r="P17906">
        <v>36.75</v>
      </c>
    </row>
    <row r="17907" spans="1:16" x14ac:dyDescent="0.25">
      <c r="A17907" t="s">
        <v>3296</v>
      </c>
      <c r="B17907" t="s">
        <v>2931</v>
      </c>
      <c r="C17907">
        <v>11462</v>
      </c>
      <c r="D17907" t="str">
        <f>"9099313547  "</f>
        <v xml:space="preserve">9099313547  </v>
      </c>
      <c r="E17907" t="s">
        <v>491</v>
      </c>
      <c r="F17907" t="s">
        <v>492</v>
      </c>
      <c r="G17907">
        <v>9.8800000000000008</v>
      </c>
      <c r="H17907">
        <v>250831</v>
      </c>
      <c r="I17907">
        <v>4410</v>
      </c>
      <c r="J17907" t="s">
        <v>165</v>
      </c>
      <c r="K17907">
        <v>9.8800000000000008</v>
      </c>
      <c r="L17907">
        <v>1.21</v>
      </c>
      <c r="M17907">
        <v>16930</v>
      </c>
      <c r="N17907" t="s">
        <v>135</v>
      </c>
      <c r="O17907">
        <v>250905</v>
      </c>
      <c r="P17907">
        <v>8.67</v>
      </c>
    </row>
    <row r="17908" spans="1:16" x14ac:dyDescent="0.25">
      <c r="A17908" t="s">
        <v>3296</v>
      </c>
      <c r="B17908" t="s">
        <v>2931</v>
      </c>
      <c r="C17908">
        <v>11463</v>
      </c>
      <c r="D17908" t="str">
        <f>"9099313546  "</f>
        <v xml:space="preserve">9099313546  </v>
      </c>
      <c r="E17908" t="s">
        <v>491</v>
      </c>
      <c r="F17908" t="s">
        <v>492</v>
      </c>
      <c r="G17908">
        <v>8</v>
      </c>
      <c r="H17908">
        <v>250831</v>
      </c>
      <c r="I17908">
        <v>4410</v>
      </c>
      <c r="J17908" t="s">
        <v>165</v>
      </c>
      <c r="K17908">
        <v>8</v>
      </c>
      <c r="L17908">
        <v>0.98</v>
      </c>
      <c r="M17908">
        <v>17527</v>
      </c>
      <c r="N17908" t="s">
        <v>142</v>
      </c>
      <c r="O17908">
        <v>250905</v>
      </c>
      <c r="P17908">
        <v>7.02</v>
      </c>
    </row>
    <row r="17909" spans="1:16" x14ac:dyDescent="0.25">
      <c r="A17909" t="s">
        <v>3296</v>
      </c>
      <c r="B17909" t="s">
        <v>2931</v>
      </c>
      <c r="C17909">
        <v>12349</v>
      </c>
      <c r="D17909" t="str">
        <f>"9099315383  "</f>
        <v xml:space="preserve">9099315383  </v>
      </c>
      <c r="E17909" t="s">
        <v>491</v>
      </c>
      <c r="F17909" t="s">
        <v>492</v>
      </c>
      <c r="G17909">
        <v>199.5</v>
      </c>
      <c r="H17909">
        <v>250918</v>
      </c>
      <c r="I17909">
        <v>4410</v>
      </c>
      <c r="J17909" t="s">
        <v>165</v>
      </c>
      <c r="K17909">
        <v>199.5</v>
      </c>
      <c r="L17909">
        <v>0</v>
      </c>
      <c r="M17909">
        <v>13552</v>
      </c>
      <c r="N17909" t="s">
        <v>133</v>
      </c>
      <c r="O17909">
        <v>250919</v>
      </c>
      <c r="P17909">
        <v>199.5</v>
      </c>
    </row>
    <row r="17910" spans="1:16" x14ac:dyDescent="0.25">
      <c r="A17910" t="s">
        <v>3296</v>
      </c>
      <c r="B17910" t="s">
        <v>2931</v>
      </c>
      <c r="C17910">
        <v>12607</v>
      </c>
      <c r="D17910" t="str">
        <f>"9099315381  "</f>
        <v xml:space="preserve">9099315381  </v>
      </c>
      <c r="E17910" t="s">
        <v>491</v>
      </c>
      <c r="F17910" t="s">
        <v>492</v>
      </c>
      <c r="G17910">
        <v>107.21</v>
      </c>
      <c r="H17910">
        <v>250918</v>
      </c>
      <c r="I17910">
        <v>4410</v>
      </c>
      <c r="J17910" t="s">
        <v>165</v>
      </c>
      <c r="K17910">
        <v>181.99</v>
      </c>
      <c r="L17910">
        <v>13.17</v>
      </c>
      <c r="M17910">
        <v>16121</v>
      </c>
      <c r="N17910" t="s">
        <v>127</v>
      </c>
      <c r="O17910">
        <v>250926</v>
      </c>
      <c r="P17910">
        <v>94.04</v>
      </c>
    </row>
    <row r="17911" spans="1:16" x14ac:dyDescent="0.25">
      <c r="A17911" t="s">
        <v>3296</v>
      </c>
      <c r="B17911" t="s">
        <v>2931</v>
      </c>
      <c r="C17911">
        <v>12607</v>
      </c>
      <c r="D17911" t="str">
        <f>"9099315381  "</f>
        <v xml:space="preserve">9099315381  </v>
      </c>
      <c r="E17911" t="s">
        <v>491</v>
      </c>
      <c r="F17911" t="s">
        <v>492</v>
      </c>
      <c r="G17911">
        <v>32.43</v>
      </c>
      <c r="H17911">
        <v>250918</v>
      </c>
      <c r="I17911">
        <v>4410</v>
      </c>
      <c r="J17911" t="s">
        <v>165</v>
      </c>
      <c r="K17911">
        <v>181.99</v>
      </c>
      <c r="L17911">
        <v>3.98</v>
      </c>
      <c r="M17911">
        <v>16322</v>
      </c>
      <c r="N17911" t="s">
        <v>331</v>
      </c>
      <c r="O17911">
        <v>250926</v>
      </c>
      <c r="P17911">
        <v>28.45</v>
      </c>
    </row>
    <row r="17912" spans="1:16" x14ac:dyDescent="0.25">
      <c r="A17912" t="s">
        <v>3296</v>
      </c>
      <c r="B17912" t="s">
        <v>2931</v>
      </c>
      <c r="C17912">
        <v>12607</v>
      </c>
      <c r="D17912" t="str">
        <f>"9099315381  "</f>
        <v xml:space="preserve">9099315381  </v>
      </c>
      <c r="E17912" t="s">
        <v>491</v>
      </c>
      <c r="F17912" t="s">
        <v>492</v>
      </c>
      <c r="G17912">
        <v>27.94</v>
      </c>
      <c r="H17912">
        <v>250918</v>
      </c>
      <c r="I17912">
        <v>4410</v>
      </c>
      <c r="J17912" t="s">
        <v>165</v>
      </c>
      <c r="K17912">
        <v>181.99</v>
      </c>
      <c r="L17912">
        <v>3.43</v>
      </c>
      <c r="M17912">
        <v>16820</v>
      </c>
      <c r="N17912" t="s">
        <v>128</v>
      </c>
      <c r="O17912">
        <v>250926</v>
      </c>
      <c r="P17912">
        <v>24.51</v>
      </c>
    </row>
    <row r="17913" spans="1:16" x14ac:dyDescent="0.25">
      <c r="A17913" t="s">
        <v>3296</v>
      </c>
      <c r="B17913" t="s">
        <v>2931</v>
      </c>
      <c r="C17913">
        <v>12607</v>
      </c>
      <c r="D17913" t="str">
        <f>"9099315381  "</f>
        <v xml:space="preserve">9099315381  </v>
      </c>
      <c r="E17913" t="s">
        <v>491</v>
      </c>
      <c r="F17913" t="s">
        <v>492</v>
      </c>
      <c r="G17913">
        <v>14.41</v>
      </c>
      <c r="H17913">
        <v>250918</v>
      </c>
      <c r="I17913">
        <v>4410</v>
      </c>
      <c r="J17913" t="s">
        <v>165</v>
      </c>
      <c r="K17913">
        <v>181.99</v>
      </c>
      <c r="L17913">
        <v>1.77</v>
      </c>
      <c r="M17913">
        <v>17862</v>
      </c>
      <c r="N17913" t="s">
        <v>130</v>
      </c>
      <c r="O17913">
        <v>250926</v>
      </c>
      <c r="P17913">
        <v>12.64</v>
      </c>
    </row>
    <row r="17914" spans="1:16" x14ac:dyDescent="0.25">
      <c r="A17914" t="s">
        <v>3296</v>
      </c>
      <c r="B17914" t="s">
        <v>2931</v>
      </c>
      <c r="C17914">
        <v>12613</v>
      </c>
      <c r="D17914" t="str">
        <f>"9099315386  "</f>
        <v xml:space="preserve">9099315386  </v>
      </c>
      <c r="E17914" t="s">
        <v>491</v>
      </c>
      <c r="F17914" t="s">
        <v>492</v>
      </c>
      <c r="G17914">
        <v>52.35</v>
      </c>
      <c r="H17914">
        <v>250918</v>
      </c>
      <c r="I17914">
        <v>4410</v>
      </c>
      <c r="J17914" t="s">
        <v>165</v>
      </c>
      <c r="K17914">
        <v>52.35</v>
      </c>
      <c r="L17914">
        <v>6.43</v>
      </c>
      <c r="M17914">
        <v>17521</v>
      </c>
      <c r="N17914" t="s">
        <v>136</v>
      </c>
      <c r="O17914">
        <v>250926</v>
      </c>
      <c r="P17914">
        <v>45.92</v>
      </c>
    </row>
    <row r="17915" spans="1:16" x14ac:dyDescent="0.25">
      <c r="A17915" t="s">
        <v>3296</v>
      </c>
      <c r="B17915" t="s">
        <v>2931</v>
      </c>
      <c r="C17915">
        <v>12614</v>
      </c>
      <c r="D17915" t="str">
        <f>"9099315385  "</f>
        <v xml:space="preserve">9099315385  </v>
      </c>
      <c r="E17915" t="s">
        <v>491</v>
      </c>
      <c r="F17915" t="s">
        <v>492</v>
      </c>
      <c r="G17915">
        <v>710</v>
      </c>
      <c r="H17915">
        <v>250918</v>
      </c>
      <c r="I17915">
        <v>4410</v>
      </c>
      <c r="J17915" t="s">
        <v>165</v>
      </c>
      <c r="K17915">
        <v>710</v>
      </c>
      <c r="L17915">
        <v>87.19</v>
      </c>
      <c r="M17915">
        <v>17971</v>
      </c>
      <c r="N17915" t="s">
        <v>27</v>
      </c>
      <c r="O17915">
        <v>250926</v>
      </c>
      <c r="P17915">
        <v>622.80999999999995</v>
      </c>
    </row>
    <row r="17916" spans="1:16" x14ac:dyDescent="0.25">
      <c r="A17916" t="s">
        <v>3296</v>
      </c>
      <c r="B17916" t="s">
        <v>2931</v>
      </c>
      <c r="C17916">
        <v>12618</v>
      </c>
      <c r="D17916" t="str">
        <f>"9099315382  "</f>
        <v xml:space="preserve">9099315382  </v>
      </c>
      <c r="E17916" t="s">
        <v>491</v>
      </c>
      <c r="F17916" t="s">
        <v>492</v>
      </c>
      <c r="G17916">
        <v>110.25</v>
      </c>
      <c r="H17916">
        <v>250918</v>
      </c>
      <c r="I17916">
        <v>4410</v>
      </c>
      <c r="J17916" t="s">
        <v>165</v>
      </c>
      <c r="K17916">
        <v>110.25</v>
      </c>
      <c r="L17916">
        <v>0</v>
      </c>
      <c r="M17916">
        <v>17918</v>
      </c>
      <c r="N17916" t="s">
        <v>152</v>
      </c>
      <c r="O17916">
        <v>250929</v>
      </c>
      <c r="P17916">
        <v>110.25</v>
      </c>
    </row>
    <row r="17917" spans="1:16" x14ac:dyDescent="0.25">
      <c r="A17917" t="s">
        <v>3296</v>
      </c>
      <c r="B17917" t="s">
        <v>2931</v>
      </c>
      <c r="C17917">
        <v>12636</v>
      </c>
      <c r="D17917" t="str">
        <f>"9099315384  "</f>
        <v xml:space="preserve">9099315384  </v>
      </c>
      <c r="E17917" t="s">
        <v>491</v>
      </c>
      <c r="F17917" t="s">
        <v>492</v>
      </c>
      <c r="G17917">
        <v>54.08</v>
      </c>
      <c r="H17917">
        <v>250918</v>
      </c>
      <c r="I17917">
        <v>4410</v>
      </c>
      <c r="J17917" t="s">
        <v>165</v>
      </c>
      <c r="K17917">
        <v>83.2</v>
      </c>
      <c r="L17917">
        <v>6.64</v>
      </c>
      <c r="M17917">
        <v>16121</v>
      </c>
      <c r="N17917" t="s">
        <v>127</v>
      </c>
      <c r="O17917">
        <v>250929</v>
      </c>
      <c r="P17917">
        <v>47.44</v>
      </c>
    </row>
    <row r="17918" spans="1:16" x14ac:dyDescent="0.25">
      <c r="A17918" t="s">
        <v>3296</v>
      </c>
      <c r="B17918" t="s">
        <v>2931</v>
      </c>
      <c r="C17918">
        <v>12636</v>
      </c>
      <c r="D17918" t="str">
        <f>"9099315384  "</f>
        <v xml:space="preserve">9099315384  </v>
      </c>
      <c r="E17918" t="s">
        <v>491</v>
      </c>
      <c r="F17918" t="s">
        <v>492</v>
      </c>
      <c r="G17918">
        <v>12.48</v>
      </c>
      <c r="H17918">
        <v>250918</v>
      </c>
      <c r="I17918">
        <v>4410</v>
      </c>
      <c r="J17918" t="s">
        <v>165</v>
      </c>
      <c r="K17918">
        <v>83.2</v>
      </c>
      <c r="L17918">
        <v>1.53</v>
      </c>
      <c r="M17918">
        <v>16322</v>
      </c>
      <c r="N17918" t="s">
        <v>331</v>
      </c>
      <c r="O17918">
        <v>250929</v>
      </c>
      <c r="P17918">
        <v>10.95</v>
      </c>
    </row>
    <row r="17919" spans="1:16" x14ac:dyDescent="0.25">
      <c r="A17919" t="s">
        <v>3296</v>
      </c>
      <c r="B17919" t="s">
        <v>2931</v>
      </c>
      <c r="C17919">
        <v>12636</v>
      </c>
      <c r="D17919" t="str">
        <f>"9099315384  "</f>
        <v xml:space="preserve">9099315384  </v>
      </c>
      <c r="E17919" t="s">
        <v>491</v>
      </c>
      <c r="F17919" t="s">
        <v>492</v>
      </c>
      <c r="G17919">
        <v>16.64</v>
      </c>
      <c r="H17919">
        <v>250918</v>
      </c>
      <c r="I17919">
        <v>4410</v>
      </c>
      <c r="J17919" t="s">
        <v>165</v>
      </c>
      <c r="K17919">
        <v>83.2</v>
      </c>
      <c r="L17919">
        <v>2.04</v>
      </c>
      <c r="M17919">
        <v>16820</v>
      </c>
      <c r="N17919" t="s">
        <v>128</v>
      </c>
      <c r="O17919">
        <v>250929</v>
      </c>
      <c r="P17919">
        <v>14.6</v>
      </c>
    </row>
    <row r="17920" spans="1:16" x14ac:dyDescent="0.25">
      <c r="A17920" t="s">
        <v>3296</v>
      </c>
      <c r="B17920" t="s">
        <v>2931</v>
      </c>
      <c r="C17920">
        <v>12639</v>
      </c>
      <c r="D17920" t="str">
        <f>"9099315380  "</f>
        <v xml:space="preserve">9099315380  </v>
      </c>
      <c r="E17920" t="s">
        <v>491</v>
      </c>
      <c r="F17920" t="s">
        <v>492</v>
      </c>
      <c r="G17920">
        <v>144</v>
      </c>
      <c r="H17920">
        <v>250918</v>
      </c>
      <c r="I17920">
        <v>4410</v>
      </c>
      <c r="J17920" t="s">
        <v>165</v>
      </c>
      <c r="K17920">
        <v>144</v>
      </c>
      <c r="L17920">
        <v>17.68</v>
      </c>
      <c r="M17920">
        <v>11605</v>
      </c>
      <c r="N17920" t="s">
        <v>1066</v>
      </c>
      <c r="O17920">
        <v>250929</v>
      </c>
      <c r="P17920">
        <v>126.32</v>
      </c>
    </row>
    <row r="17921" spans="1:16" x14ac:dyDescent="0.25">
      <c r="A17921" t="s">
        <v>3296</v>
      </c>
      <c r="B17921" t="s">
        <v>2931</v>
      </c>
      <c r="C17921">
        <v>13178</v>
      </c>
      <c r="D17921" t="str">
        <f>"9099316197  "</f>
        <v xml:space="preserve">9099316197  </v>
      </c>
      <c r="E17921" t="s">
        <v>491</v>
      </c>
      <c r="F17921" t="s">
        <v>492</v>
      </c>
      <c r="G17921">
        <v>5617.5</v>
      </c>
      <c r="H17921">
        <v>250930</v>
      </c>
      <c r="I17921">
        <v>4410</v>
      </c>
      <c r="J17921" t="s">
        <v>165</v>
      </c>
      <c r="K17921">
        <v>5617.5</v>
      </c>
      <c r="L17921">
        <v>0</v>
      </c>
      <c r="M17921">
        <v>13552</v>
      </c>
      <c r="N17921" t="s">
        <v>133</v>
      </c>
      <c r="O17921">
        <v>251006</v>
      </c>
      <c r="P17921">
        <v>5617.5</v>
      </c>
    </row>
    <row r="17922" spans="1:16" x14ac:dyDescent="0.25">
      <c r="A17922" t="s">
        <v>3296</v>
      </c>
      <c r="B17922" t="s">
        <v>2931</v>
      </c>
      <c r="C17922">
        <v>13454</v>
      </c>
      <c r="D17922" t="str">
        <f>"9099316198  "</f>
        <v xml:space="preserve">9099316198  </v>
      </c>
      <c r="E17922" t="s">
        <v>491</v>
      </c>
      <c r="F17922" t="s">
        <v>492</v>
      </c>
      <c r="G17922">
        <v>21504</v>
      </c>
      <c r="H17922">
        <v>250930</v>
      </c>
      <c r="I17922">
        <v>4410</v>
      </c>
      <c r="J17922" t="s">
        <v>165</v>
      </c>
      <c r="K17922">
        <v>21504</v>
      </c>
      <c r="L17922">
        <v>0</v>
      </c>
      <c r="M17922">
        <v>17918</v>
      </c>
      <c r="N17922" t="s">
        <v>152</v>
      </c>
      <c r="O17922">
        <v>251010</v>
      </c>
      <c r="P17922">
        <v>21504</v>
      </c>
    </row>
    <row r="17923" spans="1:16" x14ac:dyDescent="0.25">
      <c r="A17923" t="s">
        <v>3296</v>
      </c>
      <c r="B17923" t="s">
        <v>2931</v>
      </c>
      <c r="C17923">
        <v>13455</v>
      </c>
      <c r="D17923" t="str">
        <f>"9099316192  "</f>
        <v xml:space="preserve">9099316192  </v>
      </c>
      <c r="E17923" t="s">
        <v>491</v>
      </c>
      <c r="F17923" t="s">
        <v>492</v>
      </c>
      <c r="G17923">
        <v>19.2</v>
      </c>
      <c r="H17923">
        <v>250930</v>
      </c>
      <c r="I17923">
        <v>4410</v>
      </c>
      <c r="J17923" t="s">
        <v>165</v>
      </c>
      <c r="K17923">
        <v>19.2</v>
      </c>
      <c r="L17923">
        <v>2.36</v>
      </c>
      <c r="M17923">
        <v>17521</v>
      </c>
      <c r="N17923" t="s">
        <v>136</v>
      </c>
      <c r="O17923">
        <v>251010</v>
      </c>
      <c r="P17923">
        <v>16.84</v>
      </c>
    </row>
    <row r="17924" spans="1:16" x14ac:dyDescent="0.25">
      <c r="A17924" t="s">
        <v>3296</v>
      </c>
      <c r="B17924" t="s">
        <v>2931</v>
      </c>
      <c r="C17924">
        <v>13457</v>
      </c>
      <c r="D17924" t="str">
        <f>"9099316194  "</f>
        <v xml:space="preserve">9099316194  </v>
      </c>
      <c r="E17924" t="s">
        <v>491</v>
      </c>
      <c r="F17924" t="s">
        <v>492</v>
      </c>
      <c r="G17924">
        <v>14.33</v>
      </c>
      <c r="H17924">
        <v>250930</v>
      </c>
      <c r="I17924">
        <v>4410</v>
      </c>
      <c r="J17924" t="s">
        <v>165</v>
      </c>
      <c r="K17924">
        <v>42.4</v>
      </c>
      <c r="L17924">
        <v>0</v>
      </c>
      <c r="M17924">
        <v>17522</v>
      </c>
      <c r="N17924" t="s">
        <v>137</v>
      </c>
      <c r="O17924">
        <v>251010</v>
      </c>
      <c r="P17924">
        <v>14.33</v>
      </c>
    </row>
    <row r="17925" spans="1:16" x14ac:dyDescent="0.25">
      <c r="A17925" t="s">
        <v>3296</v>
      </c>
      <c r="B17925" t="s">
        <v>2931</v>
      </c>
      <c r="C17925">
        <v>13457</v>
      </c>
      <c r="D17925" t="str">
        <f>"9099316194  "</f>
        <v xml:space="preserve">9099316194  </v>
      </c>
      <c r="E17925" t="s">
        <v>491</v>
      </c>
      <c r="F17925" t="s">
        <v>492</v>
      </c>
      <c r="G17925">
        <v>28.07</v>
      </c>
      <c r="H17925">
        <v>250930</v>
      </c>
      <c r="I17925">
        <v>4410</v>
      </c>
      <c r="J17925" t="s">
        <v>165</v>
      </c>
      <c r="K17925">
        <v>42.4</v>
      </c>
      <c r="L17925">
        <v>0</v>
      </c>
      <c r="M17925">
        <v>17533</v>
      </c>
      <c r="N17925" t="s">
        <v>147</v>
      </c>
      <c r="O17925">
        <v>251010</v>
      </c>
      <c r="P17925">
        <v>28.07</v>
      </c>
    </row>
    <row r="17926" spans="1:16" x14ac:dyDescent="0.25">
      <c r="A17926" t="s">
        <v>3296</v>
      </c>
      <c r="B17926" t="s">
        <v>2931</v>
      </c>
      <c r="C17926">
        <v>13477</v>
      </c>
      <c r="D17926" t="str">
        <f>"9099316193  "</f>
        <v xml:space="preserve">9099316193  </v>
      </c>
      <c r="E17926" t="s">
        <v>491</v>
      </c>
      <c r="F17926" t="s">
        <v>492</v>
      </c>
      <c r="G17926">
        <v>19.350000000000001</v>
      </c>
      <c r="H17926">
        <v>250930</v>
      </c>
      <c r="I17926">
        <v>4410</v>
      </c>
      <c r="J17926" t="s">
        <v>165</v>
      </c>
      <c r="K17926">
        <v>19.350000000000001</v>
      </c>
      <c r="L17926">
        <v>2.38</v>
      </c>
      <c r="M17926">
        <v>17971</v>
      </c>
      <c r="N17926" t="s">
        <v>27</v>
      </c>
      <c r="O17926">
        <v>251010</v>
      </c>
      <c r="P17926">
        <v>16.97</v>
      </c>
    </row>
    <row r="17927" spans="1:16" x14ac:dyDescent="0.25">
      <c r="A17927" t="s">
        <v>3296</v>
      </c>
      <c r="B17927" t="s">
        <v>2931</v>
      </c>
      <c r="C17927">
        <v>13478</v>
      </c>
      <c r="D17927" t="str">
        <f>"9099316195  "</f>
        <v xml:space="preserve">9099316195  </v>
      </c>
      <c r="E17927" t="s">
        <v>491</v>
      </c>
      <c r="F17927" t="s">
        <v>492</v>
      </c>
      <c r="G17927">
        <v>32.17</v>
      </c>
      <c r="H17927">
        <v>250930</v>
      </c>
      <c r="I17927">
        <v>4410</v>
      </c>
      <c r="J17927" t="s">
        <v>165</v>
      </c>
      <c r="K17927">
        <v>292.5</v>
      </c>
      <c r="L17927">
        <v>3.95</v>
      </c>
      <c r="M17927">
        <v>13552</v>
      </c>
      <c r="N17927" t="s">
        <v>133</v>
      </c>
      <c r="O17927">
        <v>251010</v>
      </c>
      <c r="P17927">
        <v>28.22</v>
      </c>
    </row>
    <row r="17928" spans="1:16" x14ac:dyDescent="0.25">
      <c r="A17928" t="s">
        <v>3296</v>
      </c>
      <c r="B17928" t="s">
        <v>2931</v>
      </c>
      <c r="C17928">
        <v>13478</v>
      </c>
      <c r="D17928" t="str">
        <f>"9099316195  "</f>
        <v xml:space="preserve">9099316195  </v>
      </c>
      <c r="E17928" t="s">
        <v>491</v>
      </c>
      <c r="F17928" t="s">
        <v>492</v>
      </c>
      <c r="G17928">
        <v>260.33</v>
      </c>
      <c r="H17928">
        <v>250930</v>
      </c>
      <c r="I17928">
        <v>4410</v>
      </c>
      <c r="J17928" t="s">
        <v>165</v>
      </c>
      <c r="K17928">
        <v>292.5</v>
      </c>
      <c r="L17928">
        <v>31.97</v>
      </c>
      <c r="M17928">
        <v>17971</v>
      </c>
      <c r="N17928" t="s">
        <v>27</v>
      </c>
      <c r="O17928">
        <v>251010</v>
      </c>
      <c r="P17928">
        <v>228.36</v>
      </c>
    </row>
    <row r="17929" spans="1:16" x14ac:dyDescent="0.25">
      <c r="A17929" t="s">
        <v>3296</v>
      </c>
      <c r="B17929" t="s">
        <v>2931</v>
      </c>
      <c r="C17929">
        <v>13480</v>
      </c>
      <c r="D17929" t="str">
        <f>"9099316196  "</f>
        <v xml:space="preserve">9099316196  </v>
      </c>
      <c r="E17929" t="s">
        <v>491</v>
      </c>
      <c r="F17929" t="s">
        <v>492</v>
      </c>
      <c r="G17929">
        <v>12.9</v>
      </c>
      <c r="H17929">
        <v>250930</v>
      </c>
      <c r="I17929">
        <v>4410</v>
      </c>
      <c r="J17929" t="s">
        <v>165</v>
      </c>
      <c r="K17929">
        <v>12.9</v>
      </c>
      <c r="L17929">
        <v>1.58</v>
      </c>
      <c r="M17929">
        <v>17533</v>
      </c>
      <c r="N17929" t="s">
        <v>147</v>
      </c>
      <c r="O17929">
        <v>251010</v>
      </c>
      <c r="P17929">
        <v>11.32</v>
      </c>
    </row>
    <row r="17930" spans="1:16" x14ac:dyDescent="0.25">
      <c r="A17930" t="s">
        <v>3296</v>
      </c>
      <c r="B17930" t="s">
        <v>2931</v>
      </c>
      <c r="C17930">
        <v>13482</v>
      </c>
      <c r="D17930" t="str">
        <f>"9099316191  "</f>
        <v xml:space="preserve">9099316191  </v>
      </c>
      <c r="E17930" t="s">
        <v>491</v>
      </c>
      <c r="F17930" t="s">
        <v>492</v>
      </c>
      <c r="G17930">
        <v>24.15</v>
      </c>
      <c r="H17930">
        <v>250930</v>
      </c>
      <c r="I17930">
        <v>4410</v>
      </c>
      <c r="J17930" t="s">
        <v>165</v>
      </c>
      <c r="K17930">
        <v>24.15</v>
      </c>
      <c r="L17930">
        <v>2.97</v>
      </c>
      <c r="M17930">
        <v>17538</v>
      </c>
      <c r="N17930" t="s">
        <v>129</v>
      </c>
      <c r="O17930">
        <v>251010</v>
      </c>
      <c r="P17930">
        <v>21.18</v>
      </c>
    </row>
    <row r="17931" spans="1:16" x14ac:dyDescent="0.25">
      <c r="A17931" t="s">
        <v>3296</v>
      </c>
      <c r="B17931" t="s">
        <v>2931</v>
      </c>
      <c r="C17931">
        <v>14083</v>
      </c>
      <c r="D17931" t="str">
        <f>"9099318317  "</f>
        <v xml:space="preserve">9099318317  </v>
      </c>
      <c r="E17931" t="s">
        <v>491</v>
      </c>
      <c r="F17931" t="s">
        <v>492</v>
      </c>
      <c r="G17931">
        <v>144</v>
      </c>
      <c r="H17931">
        <v>251020</v>
      </c>
      <c r="I17931">
        <v>4410</v>
      </c>
      <c r="J17931" t="s">
        <v>165</v>
      </c>
      <c r="K17931">
        <v>144</v>
      </c>
      <c r="L17931">
        <v>17.68</v>
      </c>
      <c r="M17931">
        <v>11605</v>
      </c>
      <c r="N17931" t="s">
        <v>1066</v>
      </c>
      <c r="O17931">
        <v>251023</v>
      </c>
      <c r="P17931">
        <v>126.32</v>
      </c>
    </row>
    <row r="17932" spans="1:16" x14ac:dyDescent="0.25">
      <c r="A17932" t="s">
        <v>3296</v>
      </c>
      <c r="B17932" t="s">
        <v>2931</v>
      </c>
      <c r="C17932">
        <v>14104</v>
      </c>
      <c r="D17932" t="str">
        <f>"9099318315  "</f>
        <v xml:space="preserve">9099318315  </v>
      </c>
      <c r="E17932" t="s">
        <v>491</v>
      </c>
      <c r="F17932" t="s">
        <v>492</v>
      </c>
      <c r="G17932">
        <v>22.49</v>
      </c>
      <c r="H17932">
        <v>251020</v>
      </c>
      <c r="I17932">
        <v>4410</v>
      </c>
      <c r="J17932" t="s">
        <v>165</v>
      </c>
      <c r="K17932">
        <v>22.49</v>
      </c>
      <c r="L17932">
        <v>2.76</v>
      </c>
      <c r="M17932">
        <v>17521</v>
      </c>
      <c r="N17932" t="s">
        <v>136</v>
      </c>
      <c r="O17932">
        <v>251024</v>
      </c>
      <c r="P17932">
        <v>19.73</v>
      </c>
    </row>
    <row r="17933" spans="1:16" x14ac:dyDescent="0.25">
      <c r="A17933" t="s">
        <v>3296</v>
      </c>
      <c r="B17933" t="s">
        <v>2931</v>
      </c>
      <c r="C17933">
        <v>14106</v>
      </c>
      <c r="D17933" t="str">
        <f>"9099318318  "</f>
        <v xml:space="preserve">9099318318  </v>
      </c>
      <c r="E17933" t="s">
        <v>491</v>
      </c>
      <c r="F17933" t="s">
        <v>492</v>
      </c>
      <c r="G17933">
        <v>34.659999999999997</v>
      </c>
      <c r="H17933">
        <v>251020</v>
      </c>
      <c r="I17933">
        <v>4410</v>
      </c>
      <c r="J17933" t="s">
        <v>165</v>
      </c>
      <c r="K17933">
        <v>34.659999999999997</v>
      </c>
      <c r="L17933">
        <v>4.26</v>
      </c>
      <c r="M17933">
        <v>17974</v>
      </c>
      <c r="N17933" t="s">
        <v>153</v>
      </c>
      <c r="O17933">
        <v>251024</v>
      </c>
      <c r="P17933">
        <v>30.4</v>
      </c>
    </row>
    <row r="17934" spans="1:16" x14ac:dyDescent="0.25">
      <c r="A17934" t="s">
        <v>3296</v>
      </c>
      <c r="B17934" t="s">
        <v>2931</v>
      </c>
      <c r="C17934">
        <v>14317</v>
      </c>
      <c r="D17934" t="str">
        <f>"9099318314  "</f>
        <v xml:space="preserve">9099318314  </v>
      </c>
      <c r="E17934" t="s">
        <v>491</v>
      </c>
      <c r="F17934" t="s">
        <v>492</v>
      </c>
      <c r="G17934">
        <v>149.62</v>
      </c>
      <c r="H17934">
        <v>251020</v>
      </c>
      <c r="I17934">
        <v>4410</v>
      </c>
      <c r="J17934" t="s">
        <v>165</v>
      </c>
      <c r="K17934">
        <v>299.25</v>
      </c>
      <c r="L17934">
        <v>0</v>
      </c>
      <c r="M17934">
        <v>17918</v>
      </c>
      <c r="N17934" t="s">
        <v>152</v>
      </c>
      <c r="O17934">
        <v>251029</v>
      </c>
      <c r="P17934">
        <v>149.62</v>
      </c>
    </row>
    <row r="17935" spans="1:16" x14ac:dyDescent="0.25">
      <c r="A17935" t="s">
        <v>3296</v>
      </c>
      <c r="B17935" t="s">
        <v>2931</v>
      </c>
      <c r="C17935">
        <v>14317</v>
      </c>
      <c r="D17935" t="str">
        <f>"9099318314  "</f>
        <v xml:space="preserve">9099318314  </v>
      </c>
      <c r="E17935" t="s">
        <v>491</v>
      </c>
      <c r="F17935" t="s">
        <v>492</v>
      </c>
      <c r="G17935">
        <v>149.63</v>
      </c>
      <c r="H17935">
        <v>251020</v>
      </c>
      <c r="I17935">
        <v>4410</v>
      </c>
      <c r="J17935" t="s">
        <v>165</v>
      </c>
      <c r="K17935">
        <v>299.25</v>
      </c>
      <c r="L17935">
        <v>0</v>
      </c>
      <c r="M17935">
        <v>17918</v>
      </c>
      <c r="N17935" t="s">
        <v>152</v>
      </c>
      <c r="O17935">
        <v>251029</v>
      </c>
      <c r="P17935">
        <v>149.63</v>
      </c>
    </row>
    <row r="17936" spans="1:16" x14ac:dyDescent="0.25">
      <c r="A17936" t="s">
        <v>3296</v>
      </c>
      <c r="B17936" t="s">
        <v>2931</v>
      </c>
      <c r="C17936">
        <v>14320</v>
      </c>
      <c r="D17936" t="str">
        <f>"9099318316  "</f>
        <v xml:space="preserve">9099318316  </v>
      </c>
      <c r="E17936" t="s">
        <v>491</v>
      </c>
      <c r="F17936" t="s">
        <v>492</v>
      </c>
      <c r="G17936">
        <v>96.75</v>
      </c>
      <c r="H17936">
        <v>251020</v>
      </c>
      <c r="I17936">
        <v>4410</v>
      </c>
      <c r="J17936" t="s">
        <v>165</v>
      </c>
      <c r="K17936">
        <v>96.75</v>
      </c>
      <c r="L17936">
        <v>11.88</v>
      </c>
      <c r="M17936">
        <v>17972</v>
      </c>
      <c r="N17936" t="s">
        <v>28</v>
      </c>
      <c r="O17936">
        <v>251029</v>
      </c>
      <c r="P17936">
        <v>84.87</v>
      </c>
    </row>
    <row r="17937" spans="1:16" x14ac:dyDescent="0.25">
      <c r="A17937" t="s">
        <v>3296</v>
      </c>
      <c r="B17937" t="s">
        <v>2931</v>
      </c>
      <c r="C17937">
        <v>14980</v>
      </c>
      <c r="D17937" t="str">
        <f>"9099319195  "</f>
        <v xml:space="preserve">9099319195  </v>
      </c>
      <c r="E17937" t="s">
        <v>491</v>
      </c>
      <c r="F17937" t="s">
        <v>492</v>
      </c>
      <c r="G17937">
        <v>204</v>
      </c>
      <c r="H17937">
        <v>251031</v>
      </c>
      <c r="I17937">
        <v>4410</v>
      </c>
      <c r="J17937" t="s">
        <v>165</v>
      </c>
      <c r="K17937">
        <v>204</v>
      </c>
      <c r="L17937">
        <v>25.05</v>
      </c>
      <c r="M17937">
        <v>17538</v>
      </c>
      <c r="N17937" t="s">
        <v>129</v>
      </c>
      <c r="O17937">
        <v>251110</v>
      </c>
      <c r="P17937">
        <v>178.95</v>
      </c>
    </row>
    <row r="17938" spans="1:16" x14ac:dyDescent="0.25">
      <c r="A17938" t="s">
        <v>3296</v>
      </c>
      <c r="B17938" t="s">
        <v>2931</v>
      </c>
      <c r="C17938">
        <v>15000</v>
      </c>
      <c r="D17938" t="str">
        <f>"9099319196  "</f>
        <v xml:space="preserve">9099319196  </v>
      </c>
      <c r="E17938" t="s">
        <v>491</v>
      </c>
      <c r="F17938" t="s">
        <v>492</v>
      </c>
      <c r="G17938">
        <v>16007.25</v>
      </c>
      <c r="H17938">
        <v>251031</v>
      </c>
      <c r="I17938">
        <v>4410</v>
      </c>
      <c r="J17938" t="s">
        <v>165</v>
      </c>
      <c r="K17938">
        <v>16007.25</v>
      </c>
      <c r="L17938">
        <v>0</v>
      </c>
      <c r="M17938">
        <v>17918</v>
      </c>
      <c r="N17938" t="s">
        <v>152</v>
      </c>
      <c r="O17938">
        <v>251110</v>
      </c>
      <c r="P17938">
        <v>16007.25</v>
      </c>
    </row>
    <row r="17939" spans="1:16" x14ac:dyDescent="0.25">
      <c r="A17939" t="s">
        <v>3296</v>
      </c>
      <c r="B17939" t="s">
        <v>2931</v>
      </c>
      <c r="C17939">
        <v>15001</v>
      </c>
      <c r="D17939" t="str">
        <f>"9099319197  "</f>
        <v xml:space="preserve">9099319197  </v>
      </c>
      <c r="E17939" t="s">
        <v>491</v>
      </c>
      <c r="F17939" t="s">
        <v>492</v>
      </c>
      <c r="G17939">
        <v>4583.25</v>
      </c>
      <c r="H17939">
        <v>251031</v>
      </c>
      <c r="I17939">
        <v>4410</v>
      </c>
      <c r="J17939" t="s">
        <v>165</v>
      </c>
      <c r="K17939">
        <v>4583.25</v>
      </c>
      <c r="L17939">
        <v>0</v>
      </c>
      <c r="M17939">
        <v>13552</v>
      </c>
      <c r="N17939" t="s">
        <v>133</v>
      </c>
      <c r="O17939">
        <v>251110</v>
      </c>
      <c r="P17939">
        <v>4583.25</v>
      </c>
    </row>
    <row r="17940" spans="1:16" x14ac:dyDescent="0.25">
      <c r="A17940" t="s">
        <v>3296</v>
      </c>
      <c r="B17940" t="s">
        <v>2931</v>
      </c>
      <c r="C17940">
        <v>15161</v>
      </c>
      <c r="D17940" t="str">
        <f>"9099319194  "</f>
        <v xml:space="preserve">9099319194  </v>
      </c>
      <c r="E17940" t="s">
        <v>491</v>
      </c>
      <c r="F17940" t="s">
        <v>492</v>
      </c>
      <c r="G17940">
        <v>73.2</v>
      </c>
      <c r="H17940">
        <v>251031</v>
      </c>
      <c r="I17940">
        <v>4410</v>
      </c>
      <c r="J17940" t="s">
        <v>165</v>
      </c>
      <c r="K17940">
        <v>73.2</v>
      </c>
      <c r="L17940">
        <v>8.99</v>
      </c>
      <c r="M17940">
        <v>11001</v>
      </c>
      <c r="N17940" t="s">
        <v>93</v>
      </c>
      <c r="O17940">
        <v>251113</v>
      </c>
      <c r="P17940">
        <v>64.209999999999994</v>
      </c>
    </row>
    <row r="17941" spans="1:16" x14ac:dyDescent="0.25">
      <c r="A17941" t="s">
        <v>3296</v>
      </c>
      <c r="B17941" t="s">
        <v>2931</v>
      </c>
      <c r="C17941">
        <v>15176</v>
      </c>
      <c r="D17941" t="str">
        <f>"9099319193  "</f>
        <v xml:space="preserve">9099319193  </v>
      </c>
      <c r="E17941" t="s">
        <v>491</v>
      </c>
      <c r="F17941" t="s">
        <v>492</v>
      </c>
      <c r="G17941">
        <v>27.45</v>
      </c>
      <c r="H17941">
        <v>251031</v>
      </c>
      <c r="I17941">
        <v>4410</v>
      </c>
      <c r="J17941" t="s">
        <v>165</v>
      </c>
      <c r="K17941">
        <v>27.45</v>
      </c>
      <c r="L17941">
        <v>0</v>
      </c>
      <c r="M17941">
        <v>17918</v>
      </c>
      <c r="N17941" t="s">
        <v>152</v>
      </c>
      <c r="O17941">
        <v>251113</v>
      </c>
      <c r="P17941">
        <v>27.45</v>
      </c>
    </row>
    <row r="17942" spans="1:16" x14ac:dyDescent="0.25">
      <c r="A17942" t="s">
        <v>3296</v>
      </c>
      <c r="B17942" t="s">
        <v>2931</v>
      </c>
      <c r="C17942">
        <v>15692</v>
      </c>
      <c r="D17942" t="str">
        <f>"9099321352  "</f>
        <v xml:space="preserve">9099321352  </v>
      </c>
      <c r="E17942" t="s">
        <v>491</v>
      </c>
      <c r="F17942" t="s">
        <v>492</v>
      </c>
      <c r="G17942">
        <v>288.75</v>
      </c>
      <c r="H17942">
        <v>251119</v>
      </c>
      <c r="I17942">
        <v>4410</v>
      </c>
      <c r="J17942" t="s">
        <v>165</v>
      </c>
      <c r="K17942">
        <v>288.75</v>
      </c>
      <c r="L17942">
        <v>0</v>
      </c>
      <c r="M17942">
        <v>17918</v>
      </c>
      <c r="N17942" t="s">
        <v>152</v>
      </c>
      <c r="O17942">
        <v>251125</v>
      </c>
      <c r="P17942">
        <v>288.75</v>
      </c>
    </row>
    <row r="17943" spans="1:16" x14ac:dyDescent="0.25">
      <c r="A17943" t="s">
        <v>3296</v>
      </c>
      <c r="B17943" t="s">
        <v>2931</v>
      </c>
      <c r="C17943">
        <v>15694</v>
      </c>
      <c r="D17943" t="str">
        <f>"9099321356  "</f>
        <v xml:space="preserve">9099321356  </v>
      </c>
      <c r="E17943" t="s">
        <v>491</v>
      </c>
      <c r="F17943" t="s">
        <v>492</v>
      </c>
      <c r="G17943">
        <v>26.25</v>
      </c>
      <c r="H17943">
        <v>251119</v>
      </c>
      <c r="I17943">
        <v>4410</v>
      </c>
      <c r="J17943" t="s">
        <v>165</v>
      </c>
      <c r="K17943">
        <v>26.25</v>
      </c>
      <c r="L17943">
        <v>0</v>
      </c>
      <c r="M17943">
        <v>17918</v>
      </c>
      <c r="N17943" t="s">
        <v>152</v>
      </c>
      <c r="O17943">
        <v>251125</v>
      </c>
      <c r="P17943">
        <v>26.25</v>
      </c>
    </row>
    <row r="17944" spans="1:16" x14ac:dyDescent="0.25">
      <c r="A17944" t="s">
        <v>3296</v>
      </c>
      <c r="B17944" t="s">
        <v>2931</v>
      </c>
      <c r="C17944">
        <v>15797</v>
      </c>
      <c r="D17944" t="str">
        <f>"9099321355  "</f>
        <v xml:space="preserve">9099321355  </v>
      </c>
      <c r="E17944" t="s">
        <v>491</v>
      </c>
      <c r="F17944" t="s">
        <v>492</v>
      </c>
      <c r="G17944">
        <v>21</v>
      </c>
      <c r="H17944">
        <v>251119</v>
      </c>
      <c r="I17944">
        <v>4410</v>
      </c>
      <c r="J17944" t="s">
        <v>165</v>
      </c>
      <c r="K17944">
        <v>21</v>
      </c>
      <c r="L17944">
        <v>0</v>
      </c>
      <c r="M17944">
        <v>17918</v>
      </c>
      <c r="N17944" t="s">
        <v>152</v>
      </c>
      <c r="O17944">
        <v>251127</v>
      </c>
      <c r="P17944">
        <v>21</v>
      </c>
    </row>
    <row r="17945" spans="1:16" x14ac:dyDescent="0.25">
      <c r="A17945" t="s">
        <v>3296</v>
      </c>
      <c r="B17945" t="s">
        <v>2931</v>
      </c>
      <c r="C17945">
        <v>15801</v>
      </c>
      <c r="D17945" t="str">
        <f>"9099321353  "</f>
        <v xml:space="preserve">9099321353  </v>
      </c>
      <c r="E17945" t="s">
        <v>491</v>
      </c>
      <c r="F17945" t="s">
        <v>492</v>
      </c>
      <c r="G17945">
        <v>52.5</v>
      </c>
      <c r="H17945">
        <v>251119</v>
      </c>
      <c r="I17945">
        <v>4410</v>
      </c>
      <c r="J17945" t="s">
        <v>165</v>
      </c>
      <c r="K17945">
        <v>52.5</v>
      </c>
      <c r="L17945">
        <v>6.45</v>
      </c>
      <c r="M17945">
        <v>17538</v>
      </c>
      <c r="N17945" t="s">
        <v>129</v>
      </c>
      <c r="O17945">
        <v>251127</v>
      </c>
      <c r="P17945">
        <v>46.05</v>
      </c>
    </row>
    <row r="17946" spans="1:16" x14ac:dyDescent="0.25">
      <c r="A17946" t="s">
        <v>3296</v>
      </c>
      <c r="B17946" t="s">
        <v>2931</v>
      </c>
      <c r="C17946">
        <v>15802</v>
      </c>
      <c r="D17946" t="str">
        <f>"9099321354  "</f>
        <v xml:space="preserve">9099321354  </v>
      </c>
      <c r="E17946" t="s">
        <v>491</v>
      </c>
      <c r="F17946" t="s">
        <v>492</v>
      </c>
      <c r="G17946">
        <v>36</v>
      </c>
      <c r="H17946">
        <v>251119</v>
      </c>
      <c r="I17946">
        <v>4410</v>
      </c>
      <c r="J17946" t="s">
        <v>165</v>
      </c>
      <c r="K17946">
        <v>36</v>
      </c>
      <c r="L17946">
        <v>0</v>
      </c>
      <c r="M17946">
        <v>17971</v>
      </c>
      <c r="N17946" t="s">
        <v>27</v>
      </c>
      <c r="O17946">
        <v>251127</v>
      </c>
      <c r="P17946">
        <v>36</v>
      </c>
    </row>
    <row r="17947" spans="1:16" x14ac:dyDescent="0.25">
      <c r="A17947" t="s">
        <v>3296</v>
      </c>
      <c r="B17947" t="s">
        <v>2931</v>
      </c>
      <c r="C17947">
        <v>15841</v>
      </c>
      <c r="D17947" t="str">
        <f>"9099321350  "</f>
        <v xml:space="preserve">9099321350  </v>
      </c>
      <c r="E17947" t="s">
        <v>491</v>
      </c>
      <c r="F17947" t="s">
        <v>492</v>
      </c>
      <c r="G17947">
        <v>144</v>
      </c>
      <c r="H17947">
        <v>251119</v>
      </c>
      <c r="I17947">
        <v>4410</v>
      </c>
      <c r="J17947" t="s">
        <v>165</v>
      </c>
      <c r="K17947">
        <v>144</v>
      </c>
      <c r="L17947">
        <v>17.68</v>
      </c>
      <c r="M17947">
        <v>11605</v>
      </c>
      <c r="N17947" t="s">
        <v>1066</v>
      </c>
      <c r="O17947">
        <v>251127</v>
      </c>
      <c r="P17947">
        <v>126.32</v>
      </c>
    </row>
    <row r="17948" spans="1:16" x14ac:dyDescent="0.25">
      <c r="A17948" t="s">
        <v>3296</v>
      </c>
      <c r="B17948" t="s">
        <v>2931</v>
      </c>
      <c r="C17948">
        <v>16221</v>
      </c>
      <c r="D17948" t="str">
        <f>"9099322181  "</f>
        <v xml:space="preserve">9099322181  </v>
      </c>
      <c r="E17948" t="s">
        <v>491</v>
      </c>
      <c r="F17948" t="s">
        <v>492</v>
      </c>
      <c r="G17948">
        <v>336</v>
      </c>
      <c r="H17948">
        <v>251130</v>
      </c>
      <c r="I17948">
        <v>4410</v>
      </c>
      <c r="J17948" t="s">
        <v>165</v>
      </c>
      <c r="K17948">
        <v>336</v>
      </c>
      <c r="L17948">
        <v>0</v>
      </c>
      <c r="M17948">
        <v>13552</v>
      </c>
      <c r="N17948" t="s">
        <v>133</v>
      </c>
      <c r="O17948">
        <v>251204</v>
      </c>
      <c r="P17948">
        <v>336</v>
      </c>
    </row>
    <row r="17949" spans="1:16" x14ac:dyDescent="0.25">
      <c r="A17949" t="s">
        <v>3296</v>
      </c>
      <c r="B17949" t="s">
        <v>2931</v>
      </c>
      <c r="C17949">
        <v>16231</v>
      </c>
      <c r="D17949" t="str">
        <f>"9099322185  "</f>
        <v xml:space="preserve">9099322185  </v>
      </c>
      <c r="E17949" t="s">
        <v>491</v>
      </c>
      <c r="F17949" t="s">
        <v>492</v>
      </c>
      <c r="G17949">
        <v>6021.75</v>
      </c>
      <c r="H17949">
        <v>251130</v>
      </c>
      <c r="I17949">
        <v>4410</v>
      </c>
      <c r="J17949" t="s">
        <v>165</v>
      </c>
      <c r="K17949">
        <v>6021.75</v>
      </c>
      <c r="L17949">
        <v>0</v>
      </c>
      <c r="M17949">
        <v>13552</v>
      </c>
      <c r="N17949" t="s">
        <v>133</v>
      </c>
      <c r="O17949">
        <v>251204</v>
      </c>
      <c r="P17949">
        <v>6021.75</v>
      </c>
    </row>
    <row r="17950" spans="1:16" x14ac:dyDescent="0.25">
      <c r="A17950" t="s">
        <v>3296</v>
      </c>
      <c r="B17950" t="s">
        <v>2931</v>
      </c>
      <c r="C17950">
        <v>16233</v>
      </c>
      <c r="D17950" t="str">
        <f>"9099322183  "</f>
        <v xml:space="preserve">9099322183  </v>
      </c>
      <c r="E17950" t="s">
        <v>491</v>
      </c>
      <c r="F17950" t="s">
        <v>492</v>
      </c>
      <c r="G17950">
        <v>12.9</v>
      </c>
      <c r="H17950">
        <v>251130</v>
      </c>
      <c r="I17950">
        <v>4410</v>
      </c>
      <c r="J17950" t="s">
        <v>165</v>
      </c>
      <c r="K17950">
        <v>12.9</v>
      </c>
      <c r="L17950">
        <v>1.58</v>
      </c>
      <c r="M17950">
        <v>13561</v>
      </c>
      <c r="N17950" t="s">
        <v>241</v>
      </c>
      <c r="O17950">
        <v>251204</v>
      </c>
      <c r="P17950">
        <v>11.32</v>
      </c>
    </row>
    <row r="17951" spans="1:16" x14ac:dyDescent="0.25">
      <c r="A17951" t="s">
        <v>3296</v>
      </c>
      <c r="B17951" t="s">
        <v>2931</v>
      </c>
      <c r="C17951">
        <v>16245</v>
      </c>
      <c r="D17951" t="str">
        <f>"9099322180  "</f>
        <v xml:space="preserve">9099322180  </v>
      </c>
      <c r="E17951" t="s">
        <v>491</v>
      </c>
      <c r="F17951" t="s">
        <v>492</v>
      </c>
      <c r="G17951">
        <v>31.5</v>
      </c>
      <c r="H17951">
        <v>251130</v>
      </c>
      <c r="I17951">
        <v>4410</v>
      </c>
      <c r="J17951" t="s">
        <v>165</v>
      </c>
      <c r="K17951">
        <v>31.5</v>
      </c>
      <c r="L17951">
        <v>0</v>
      </c>
      <c r="M17951">
        <v>17918</v>
      </c>
      <c r="N17951" t="s">
        <v>152</v>
      </c>
      <c r="O17951">
        <v>251205</v>
      </c>
      <c r="P17951">
        <v>31.5</v>
      </c>
    </row>
    <row r="17952" spans="1:16" x14ac:dyDescent="0.25">
      <c r="A17952" t="s">
        <v>3296</v>
      </c>
      <c r="B17952" t="s">
        <v>2931</v>
      </c>
      <c r="C17952">
        <v>16281</v>
      </c>
      <c r="D17952" t="str">
        <f>"9099322176  "</f>
        <v xml:space="preserve">9099322176  </v>
      </c>
      <c r="E17952" t="s">
        <v>491</v>
      </c>
      <c r="F17952" t="s">
        <v>492</v>
      </c>
      <c r="G17952">
        <v>248.39</v>
      </c>
      <c r="H17952">
        <v>251130</v>
      </c>
      <c r="I17952">
        <v>4410</v>
      </c>
      <c r="J17952" t="s">
        <v>165</v>
      </c>
      <c r="K17952">
        <v>248.39</v>
      </c>
      <c r="L17952">
        <v>30.5</v>
      </c>
      <c r="M17952">
        <v>17918</v>
      </c>
      <c r="N17952" t="s">
        <v>152</v>
      </c>
      <c r="O17952">
        <v>251205</v>
      </c>
      <c r="P17952">
        <v>217.89</v>
      </c>
    </row>
    <row r="17953" spans="1:16" x14ac:dyDescent="0.25">
      <c r="A17953" t="s">
        <v>3296</v>
      </c>
      <c r="B17953" t="s">
        <v>2931</v>
      </c>
      <c r="C17953">
        <v>16537</v>
      </c>
      <c r="D17953" t="str">
        <f>"9099322184  "</f>
        <v xml:space="preserve">9099322184  </v>
      </c>
      <c r="E17953" t="s">
        <v>491</v>
      </c>
      <c r="F17953" t="s">
        <v>492</v>
      </c>
      <c r="G17953">
        <v>18721.5</v>
      </c>
      <c r="H17953">
        <v>251130</v>
      </c>
      <c r="I17953">
        <v>4410</v>
      </c>
      <c r="J17953" t="s">
        <v>165</v>
      </c>
      <c r="K17953">
        <v>18721.5</v>
      </c>
      <c r="L17953">
        <v>0</v>
      </c>
      <c r="M17953">
        <v>17918</v>
      </c>
      <c r="N17953" t="s">
        <v>152</v>
      </c>
      <c r="O17953">
        <v>251209</v>
      </c>
      <c r="P17953">
        <v>18721.5</v>
      </c>
    </row>
    <row r="17954" spans="1:16" x14ac:dyDescent="0.25">
      <c r="A17954" t="s">
        <v>3296</v>
      </c>
      <c r="B17954" t="s">
        <v>2931</v>
      </c>
      <c r="C17954">
        <v>16555</v>
      </c>
      <c r="D17954" t="str">
        <f>"9099322178  "</f>
        <v xml:space="preserve">9099322178  </v>
      </c>
      <c r="E17954" t="s">
        <v>491</v>
      </c>
      <c r="F17954" t="s">
        <v>492</v>
      </c>
      <c r="G17954">
        <v>52.5</v>
      </c>
      <c r="H17954">
        <v>251130</v>
      </c>
      <c r="I17954">
        <v>4410</v>
      </c>
      <c r="J17954" t="s">
        <v>165</v>
      </c>
      <c r="K17954">
        <v>52.5</v>
      </c>
      <c r="L17954">
        <v>0</v>
      </c>
      <c r="M17954">
        <v>17918</v>
      </c>
      <c r="N17954" t="s">
        <v>152</v>
      </c>
      <c r="O17954">
        <v>251210</v>
      </c>
      <c r="P17954">
        <v>52.5</v>
      </c>
    </row>
    <row r="17955" spans="1:16" x14ac:dyDescent="0.25">
      <c r="A17955" t="s">
        <v>3296</v>
      </c>
      <c r="B17955" t="s">
        <v>2931</v>
      </c>
      <c r="C17955">
        <v>16556</v>
      </c>
      <c r="D17955" t="str">
        <f>"9099322182  "</f>
        <v xml:space="preserve">9099322182  </v>
      </c>
      <c r="E17955" t="s">
        <v>491</v>
      </c>
      <c r="F17955" t="s">
        <v>492</v>
      </c>
      <c r="G17955">
        <v>12.9</v>
      </c>
      <c r="H17955">
        <v>251130</v>
      </c>
      <c r="I17955">
        <v>4410</v>
      </c>
      <c r="J17955" t="s">
        <v>165</v>
      </c>
      <c r="K17955">
        <v>12.9</v>
      </c>
      <c r="L17955">
        <v>1.58</v>
      </c>
      <c r="M17955">
        <v>16925</v>
      </c>
      <c r="N17955" t="s">
        <v>2681</v>
      </c>
      <c r="O17955">
        <v>251210</v>
      </c>
      <c r="P17955">
        <v>11.32</v>
      </c>
    </row>
    <row r="17956" spans="1:16" x14ac:dyDescent="0.25">
      <c r="A17956" t="s">
        <v>3296</v>
      </c>
      <c r="B17956" t="s">
        <v>2931</v>
      </c>
      <c r="C17956">
        <v>16587</v>
      </c>
      <c r="D17956" t="str">
        <f>"9099322177  "</f>
        <v xml:space="preserve">9099322177  </v>
      </c>
      <c r="E17956" t="s">
        <v>491</v>
      </c>
      <c r="F17956" t="s">
        <v>492</v>
      </c>
      <c r="G17956">
        <v>52.5</v>
      </c>
      <c r="H17956">
        <v>251130</v>
      </c>
      <c r="I17956">
        <v>4410</v>
      </c>
      <c r="J17956" t="s">
        <v>165</v>
      </c>
      <c r="K17956">
        <v>52.5</v>
      </c>
      <c r="L17956">
        <v>0</v>
      </c>
      <c r="M17956">
        <v>17918</v>
      </c>
      <c r="N17956" t="s">
        <v>152</v>
      </c>
      <c r="O17956">
        <v>251210</v>
      </c>
      <c r="P17956">
        <v>52.5</v>
      </c>
    </row>
    <row r="17957" spans="1:16" x14ac:dyDescent="0.25">
      <c r="A17957" t="s">
        <v>3296</v>
      </c>
      <c r="B17957" t="s">
        <v>2931</v>
      </c>
      <c r="C17957">
        <v>16589</v>
      </c>
      <c r="D17957" t="str">
        <f>"9099322179  "</f>
        <v xml:space="preserve">9099322179  </v>
      </c>
      <c r="E17957" t="s">
        <v>491</v>
      </c>
      <c r="F17957" t="s">
        <v>492</v>
      </c>
      <c r="G17957">
        <v>73.5</v>
      </c>
      <c r="H17957">
        <v>251130</v>
      </c>
      <c r="I17957">
        <v>4410</v>
      </c>
      <c r="J17957" t="s">
        <v>165</v>
      </c>
      <c r="K17957">
        <v>73.5</v>
      </c>
      <c r="L17957">
        <v>0</v>
      </c>
      <c r="M17957">
        <v>17918</v>
      </c>
      <c r="N17957" t="s">
        <v>152</v>
      </c>
      <c r="O17957">
        <v>251210</v>
      </c>
      <c r="P17957">
        <v>73.5</v>
      </c>
    </row>
    <row r="17958" spans="1:16" x14ac:dyDescent="0.25">
      <c r="A17958" t="s">
        <v>3296</v>
      </c>
      <c r="B17958" t="s">
        <v>2931</v>
      </c>
      <c r="C17958">
        <v>17720</v>
      </c>
      <c r="D17958" t="str">
        <f>"9099324495  "</f>
        <v xml:space="preserve">9099324495  </v>
      </c>
      <c r="E17958" t="s">
        <v>491</v>
      </c>
      <c r="F17958" t="s">
        <v>492</v>
      </c>
      <c r="G17958">
        <v>167.64</v>
      </c>
      <c r="H17958">
        <v>251219</v>
      </c>
      <c r="I17958">
        <v>4410</v>
      </c>
      <c r="J17958" t="s">
        <v>165</v>
      </c>
      <c r="K17958">
        <v>167.64</v>
      </c>
      <c r="L17958">
        <v>0</v>
      </c>
      <c r="M17958">
        <v>10003</v>
      </c>
      <c r="N17958" t="s">
        <v>734</v>
      </c>
      <c r="O17958">
        <v>251229</v>
      </c>
      <c r="P17958">
        <v>167.64</v>
      </c>
    </row>
    <row r="17959" spans="1:16" x14ac:dyDescent="0.25">
      <c r="A17959" t="s">
        <v>3296</v>
      </c>
      <c r="B17959" t="s">
        <v>2931</v>
      </c>
      <c r="C17959">
        <v>17816</v>
      </c>
      <c r="D17959" t="str">
        <f>"9099324497  "</f>
        <v xml:space="preserve">9099324497  </v>
      </c>
      <c r="E17959" t="s">
        <v>491</v>
      </c>
      <c r="F17959" t="s">
        <v>492</v>
      </c>
      <c r="G17959">
        <v>148.5</v>
      </c>
      <c r="H17959">
        <v>251219</v>
      </c>
      <c r="I17959">
        <v>4410</v>
      </c>
      <c r="J17959" t="s">
        <v>165</v>
      </c>
      <c r="K17959">
        <v>148.5</v>
      </c>
      <c r="L17959">
        <v>18.239999999999998</v>
      </c>
      <c r="M17959">
        <v>13561</v>
      </c>
      <c r="N17959" t="s">
        <v>241</v>
      </c>
      <c r="O17959">
        <v>251230</v>
      </c>
      <c r="P17959">
        <v>130.26</v>
      </c>
    </row>
    <row r="17960" spans="1:16" x14ac:dyDescent="0.25">
      <c r="A17960" t="s">
        <v>3296</v>
      </c>
      <c r="B17960" t="s">
        <v>2931</v>
      </c>
      <c r="C17960">
        <v>17904</v>
      </c>
      <c r="D17960" t="str">
        <f>"9099324496  "</f>
        <v xml:space="preserve">9099324496  </v>
      </c>
      <c r="E17960" t="s">
        <v>491</v>
      </c>
      <c r="F17960" t="s">
        <v>492</v>
      </c>
      <c r="G17960">
        <v>445.5</v>
      </c>
      <c r="H17960">
        <v>251219</v>
      </c>
      <c r="I17960">
        <v>4410</v>
      </c>
      <c r="J17960" t="s">
        <v>165</v>
      </c>
      <c r="K17960">
        <v>445.5</v>
      </c>
      <c r="L17960">
        <v>54.71</v>
      </c>
      <c r="M17960">
        <v>17972</v>
      </c>
      <c r="N17960" t="s">
        <v>28</v>
      </c>
      <c r="O17960">
        <v>260107</v>
      </c>
      <c r="P17960">
        <v>390.79</v>
      </c>
    </row>
    <row r="17961" spans="1:16" x14ac:dyDescent="0.25">
      <c r="A17961" t="s">
        <v>3296</v>
      </c>
      <c r="B17961" t="s">
        <v>2931</v>
      </c>
      <c r="C17961">
        <v>17905</v>
      </c>
      <c r="D17961" t="str">
        <f>"9099324492  "</f>
        <v xml:space="preserve">9099324492  </v>
      </c>
      <c r="E17961" t="s">
        <v>491</v>
      </c>
      <c r="F17961" t="s">
        <v>492</v>
      </c>
      <c r="G17961">
        <v>12.9</v>
      </c>
      <c r="H17961">
        <v>251219</v>
      </c>
      <c r="I17961">
        <v>4410</v>
      </c>
      <c r="J17961" t="s">
        <v>165</v>
      </c>
      <c r="K17961">
        <v>12.9</v>
      </c>
      <c r="L17961">
        <v>0</v>
      </c>
      <c r="M17961">
        <v>16925</v>
      </c>
      <c r="N17961" t="s">
        <v>2681</v>
      </c>
      <c r="O17961">
        <v>260107</v>
      </c>
      <c r="P17961">
        <v>12.9</v>
      </c>
    </row>
    <row r="17962" spans="1:16" x14ac:dyDescent="0.25">
      <c r="A17962" t="s">
        <v>3296</v>
      </c>
      <c r="B17962" t="s">
        <v>2931</v>
      </c>
      <c r="C17962">
        <v>17906</v>
      </c>
      <c r="D17962" t="str">
        <f>"9099324494  "</f>
        <v xml:space="preserve">9099324494  </v>
      </c>
      <c r="E17962" t="s">
        <v>491</v>
      </c>
      <c r="F17962" t="s">
        <v>492</v>
      </c>
      <c r="G17962">
        <v>52.5</v>
      </c>
      <c r="H17962">
        <v>251219</v>
      </c>
      <c r="I17962">
        <v>4410</v>
      </c>
      <c r="J17962" t="s">
        <v>165</v>
      </c>
      <c r="K17962">
        <v>52.5</v>
      </c>
      <c r="L17962">
        <v>10.67</v>
      </c>
      <c r="M17962">
        <v>17538</v>
      </c>
      <c r="N17962" t="s">
        <v>129</v>
      </c>
      <c r="O17962">
        <v>260107</v>
      </c>
      <c r="P17962">
        <v>41.83</v>
      </c>
    </row>
    <row r="17963" spans="1:16" x14ac:dyDescent="0.25">
      <c r="A17963" t="s">
        <v>3296</v>
      </c>
      <c r="B17963" t="s">
        <v>2931</v>
      </c>
      <c r="C17963">
        <v>17908</v>
      </c>
      <c r="D17963" t="str">
        <f>"9099324493  "</f>
        <v xml:space="preserve">9099324493  </v>
      </c>
      <c r="E17963" t="s">
        <v>491</v>
      </c>
      <c r="F17963" t="s">
        <v>492</v>
      </c>
      <c r="G17963">
        <v>52.5</v>
      </c>
      <c r="H17963">
        <v>251219</v>
      </c>
      <c r="I17963">
        <v>4410</v>
      </c>
      <c r="J17963" t="s">
        <v>165</v>
      </c>
      <c r="K17963">
        <v>52.5</v>
      </c>
      <c r="L17963">
        <v>0</v>
      </c>
      <c r="M17963">
        <v>17918</v>
      </c>
      <c r="N17963" t="s">
        <v>152</v>
      </c>
      <c r="O17963">
        <v>260107</v>
      </c>
      <c r="P17963">
        <v>52.5</v>
      </c>
    </row>
    <row r="17964" spans="1:16" x14ac:dyDescent="0.25">
      <c r="A17964" t="s">
        <v>3296</v>
      </c>
      <c r="B17964" t="s">
        <v>2931</v>
      </c>
      <c r="C17964">
        <v>17909</v>
      </c>
      <c r="D17964" t="str">
        <f>"9099324491  "</f>
        <v xml:space="preserve">9099324491  </v>
      </c>
      <c r="E17964" t="s">
        <v>491</v>
      </c>
      <c r="F17964" t="s">
        <v>492</v>
      </c>
      <c r="G17964">
        <v>144</v>
      </c>
      <c r="H17964">
        <v>251219</v>
      </c>
      <c r="I17964">
        <v>4410</v>
      </c>
      <c r="J17964" t="s">
        <v>165</v>
      </c>
      <c r="K17964">
        <v>144</v>
      </c>
      <c r="L17964">
        <v>0</v>
      </c>
      <c r="M17964">
        <v>11605</v>
      </c>
      <c r="N17964" t="s">
        <v>1066</v>
      </c>
      <c r="O17964">
        <v>260107</v>
      </c>
      <c r="P17964">
        <v>144</v>
      </c>
    </row>
    <row r="17965" spans="1:16" x14ac:dyDescent="0.25">
      <c r="A17965" t="s">
        <v>3296</v>
      </c>
      <c r="B17965" t="s">
        <v>2931</v>
      </c>
      <c r="C17965">
        <v>17910</v>
      </c>
      <c r="D17965" t="str">
        <f>"9099324500  "</f>
        <v xml:space="preserve">9099324500  </v>
      </c>
      <c r="E17965" t="s">
        <v>491</v>
      </c>
      <c r="F17965" t="s">
        <v>492</v>
      </c>
      <c r="G17965">
        <v>31.5</v>
      </c>
      <c r="H17965">
        <v>251219</v>
      </c>
      <c r="I17965">
        <v>4410</v>
      </c>
      <c r="J17965" t="s">
        <v>165</v>
      </c>
      <c r="K17965">
        <v>31.5</v>
      </c>
      <c r="L17965">
        <v>0</v>
      </c>
      <c r="M17965">
        <v>17918</v>
      </c>
      <c r="N17965" t="s">
        <v>152</v>
      </c>
      <c r="O17965">
        <v>260107</v>
      </c>
      <c r="P17965">
        <v>31.5</v>
      </c>
    </row>
    <row r="17966" spans="1:16" x14ac:dyDescent="0.25">
      <c r="A17966" t="s">
        <v>3296</v>
      </c>
      <c r="B17966" t="s">
        <v>2931</v>
      </c>
      <c r="C17966">
        <v>17911</v>
      </c>
      <c r="D17966" t="str">
        <f>"9099324499  "</f>
        <v xml:space="preserve">9099324499  </v>
      </c>
      <c r="E17966" t="s">
        <v>491</v>
      </c>
      <c r="F17966" t="s">
        <v>492</v>
      </c>
      <c r="G17966">
        <v>430.65</v>
      </c>
      <c r="H17966">
        <v>251219</v>
      </c>
      <c r="I17966">
        <v>4410</v>
      </c>
      <c r="J17966" t="s">
        <v>165</v>
      </c>
      <c r="K17966">
        <v>430.65</v>
      </c>
      <c r="L17966">
        <v>0</v>
      </c>
      <c r="M17966">
        <v>17972</v>
      </c>
      <c r="N17966" t="s">
        <v>28</v>
      </c>
      <c r="O17966">
        <v>260107</v>
      </c>
      <c r="P17966">
        <v>430.65</v>
      </c>
    </row>
    <row r="17967" spans="1:16" x14ac:dyDescent="0.25">
      <c r="A17967" t="s">
        <v>3296</v>
      </c>
      <c r="B17967" t="s">
        <v>2931</v>
      </c>
      <c r="C17967">
        <v>17937</v>
      </c>
      <c r="D17967" t="str">
        <f>"9099324498  "</f>
        <v xml:space="preserve">9099324498  </v>
      </c>
      <c r="E17967" t="s">
        <v>491</v>
      </c>
      <c r="F17967" t="s">
        <v>492</v>
      </c>
      <c r="G17967">
        <v>148.5</v>
      </c>
      <c r="H17967">
        <v>251219</v>
      </c>
      <c r="I17967">
        <v>4410</v>
      </c>
      <c r="J17967" t="s">
        <v>165</v>
      </c>
      <c r="K17967">
        <v>148.5</v>
      </c>
      <c r="L17967">
        <v>18.239999999999998</v>
      </c>
      <c r="M17967">
        <v>17971</v>
      </c>
      <c r="N17967" t="s">
        <v>27</v>
      </c>
      <c r="O17967">
        <v>260107</v>
      </c>
      <c r="P17967">
        <v>130.26</v>
      </c>
    </row>
    <row r="17968" spans="1:16" x14ac:dyDescent="0.25">
      <c r="A17968" t="s">
        <v>3296</v>
      </c>
      <c r="B17968" t="s">
        <v>2931</v>
      </c>
      <c r="C17968">
        <v>18172</v>
      </c>
      <c r="D17968" t="str">
        <f>"9099325466  "</f>
        <v xml:space="preserve">9099325466  </v>
      </c>
      <c r="E17968" t="s">
        <v>491</v>
      </c>
      <c r="F17968" t="s">
        <v>492</v>
      </c>
      <c r="G17968">
        <v>3669.75</v>
      </c>
      <c r="H17968">
        <v>251231</v>
      </c>
      <c r="I17968">
        <v>4410</v>
      </c>
      <c r="J17968" t="s">
        <v>165</v>
      </c>
      <c r="K17968">
        <v>3669.75</v>
      </c>
      <c r="L17968">
        <v>0</v>
      </c>
      <c r="M17968">
        <v>13552</v>
      </c>
      <c r="N17968" t="s">
        <v>133</v>
      </c>
      <c r="O17968">
        <v>260109</v>
      </c>
      <c r="P17968">
        <v>3669.75</v>
      </c>
    </row>
    <row r="17969" spans="1:16" x14ac:dyDescent="0.25">
      <c r="A17969" t="s">
        <v>3296</v>
      </c>
      <c r="B17969" t="s">
        <v>2931</v>
      </c>
      <c r="C17969">
        <v>18191</v>
      </c>
      <c r="D17969" t="str">
        <f>"9099325462  "</f>
        <v xml:space="preserve">9099325462  </v>
      </c>
      <c r="E17969" t="s">
        <v>491</v>
      </c>
      <c r="F17969" t="s">
        <v>492</v>
      </c>
      <c r="G17969">
        <v>5.21</v>
      </c>
      <c r="H17969">
        <v>251231</v>
      </c>
      <c r="I17969">
        <v>4410</v>
      </c>
      <c r="J17969" t="s">
        <v>165</v>
      </c>
      <c r="K17969">
        <v>5.21</v>
      </c>
      <c r="L17969">
        <v>0.64</v>
      </c>
      <c r="M17969">
        <v>17918</v>
      </c>
      <c r="N17969" t="s">
        <v>152</v>
      </c>
      <c r="O17969">
        <v>260109</v>
      </c>
      <c r="P17969">
        <v>4.57</v>
      </c>
    </row>
    <row r="17970" spans="1:16" x14ac:dyDescent="0.25">
      <c r="A17970" t="s">
        <v>3296</v>
      </c>
      <c r="B17970" t="s">
        <v>2931</v>
      </c>
      <c r="C17970">
        <v>18495</v>
      </c>
      <c r="D17970" t="str">
        <f>"9099325464  "</f>
        <v xml:space="preserve">9099325464  </v>
      </c>
      <c r="E17970" t="s">
        <v>491</v>
      </c>
      <c r="F17970" t="s">
        <v>492</v>
      </c>
      <c r="G17970">
        <v>19</v>
      </c>
      <c r="H17970">
        <v>251231</v>
      </c>
      <c r="I17970">
        <v>4410</v>
      </c>
      <c r="J17970" t="s">
        <v>165</v>
      </c>
      <c r="K17970">
        <v>19</v>
      </c>
      <c r="L17970">
        <v>2.33</v>
      </c>
      <c r="M17970">
        <v>17538</v>
      </c>
      <c r="N17970" t="s">
        <v>129</v>
      </c>
      <c r="O17970">
        <v>260114</v>
      </c>
      <c r="P17970">
        <v>16.670000000000002</v>
      </c>
    </row>
    <row r="17971" spans="1:16" x14ac:dyDescent="0.25">
      <c r="A17971" t="s">
        <v>3296</v>
      </c>
      <c r="B17971" t="s">
        <v>2931</v>
      </c>
      <c r="C17971">
        <v>18496</v>
      </c>
      <c r="D17971" t="str">
        <f>"9099325461  "</f>
        <v xml:space="preserve">9099325461  </v>
      </c>
      <c r="E17971" t="s">
        <v>491</v>
      </c>
      <c r="F17971" t="s">
        <v>492</v>
      </c>
      <c r="G17971">
        <v>684</v>
      </c>
      <c r="H17971">
        <v>251231</v>
      </c>
      <c r="I17971">
        <v>4410</v>
      </c>
      <c r="J17971" t="s">
        <v>165</v>
      </c>
      <c r="K17971">
        <v>988.01</v>
      </c>
      <c r="L17971">
        <v>84</v>
      </c>
      <c r="M17971">
        <v>17538</v>
      </c>
      <c r="N17971" t="s">
        <v>129</v>
      </c>
      <c r="O17971">
        <v>260114</v>
      </c>
      <c r="P17971">
        <v>600</v>
      </c>
    </row>
    <row r="17972" spans="1:16" x14ac:dyDescent="0.25">
      <c r="A17972" t="s">
        <v>3296</v>
      </c>
      <c r="B17972" t="s">
        <v>2931</v>
      </c>
      <c r="C17972">
        <v>18496</v>
      </c>
      <c r="D17972" t="str">
        <f>"9099325461  "</f>
        <v xml:space="preserve">9099325461  </v>
      </c>
      <c r="E17972" t="s">
        <v>491</v>
      </c>
      <c r="F17972" t="s">
        <v>492</v>
      </c>
      <c r="G17972">
        <v>152</v>
      </c>
      <c r="H17972">
        <v>251231</v>
      </c>
      <c r="I17972">
        <v>4410</v>
      </c>
      <c r="J17972" t="s">
        <v>165</v>
      </c>
      <c r="K17972">
        <v>988.01</v>
      </c>
      <c r="L17972">
        <v>18.670000000000002</v>
      </c>
      <c r="M17972">
        <v>17918</v>
      </c>
      <c r="N17972" t="s">
        <v>152</v>
      </c>
      <c r="O17972">
        <v>260114</v>
      </c>
      <c r="P17972">
        <v>133.33000000000001</v>
      </c>
    </row>
    <row r="17973" spans="1:16" x14ac:dyDescent="0.25">
      <c r="A17973" t="s">
        <v>3296</v>
      </c>
      <c r="B17973" t="s">
        <v>2931</v>
      </c>
      <c r="C17973">
        <v>18496</v>
      </c>
      <c r="D17973" t="str">
        <f>"9099325461  "</f>
        <v xml:space="preserve">9099325461  </v>
      </c>
      <c r="E17973" t="s">
        <v>491</v>
      </c>
      <c r="F17973" t="s">
        <v>492</v>
      </c>
      <c r="G17973">
        <v>152.01</v>
      </c>
      <c r="H17973">
        <v>251231</v>
      </c>
      <c r="I17973">
        <v>4410</v>
      </c>
      <c r="J17973" t="s">
        <v>165</v>
      </c>
      <c r="K17973">
        <v>988.01</v>
      </c>
      <c r="L17973">
        <v>18.670000000000002</v>
      </c>
      <c r="M17973">
        <v>17918</v>
      </c>
      <c r="N17973" t="s">
        <v>152</v>
      </c>
      <c r="O17973">
        <v>260114</v>
      </c>
      <c r="P17973">
        <v>133.34</v>
      </c>
    </row>
    <row r="17974" spans="1:16" x14ac:dyDescent="0.25">
      <c r="A17974" t="s">
        <v>3296</v>
      </c>
      <c r="B17974" t="s">
        <v>2931</v>
      </c>
      <c r="C17974">
        <v>18497</v>
      </c>
      <c r="D17974" t="str">
        <f>"9099325465  "</f>
        <v xml:space="preserve">9099325465  </v>
      </c>
      <c r="E17974" t="s">
        <v>491</v>
      </c>
      <c r="F17974" t="s">
        <v>492</v>
      </c>
      <c r="G17974">
        <v>62.51</v>
      </c>
      <c r="H17974">
        <v>251231</v>
      </c>
      <c r="I17974">
        <v>4410</v>
      </c>
      <c r="J17974" t="s">
        <v>165</v>
      </c>
      <c r="K17974">
        <v>62.51</v>
      </c>
      <c r="L17974">
        <v>7.68</v>
      </c>
      <c r="M17974">
        <v>16930</v>
      </c>
      <c r="N17974" t="s">
        <v>135</v>
      </c>
      <c r="O17974">
        <v>260114</v>
      </c>
      <c r="P17974">
        <v>54.83</v>
      </c>
    </row>
    <row r="17975" spans="1:16" x14ac:dyDescent="0.25">
      <c r="A17975" t="s">
        <v>3296</v>
      </c>
      <c r="B17975" t="s">
        <v>2931</v>
      </c>
      <c r="C17975">
        <v>18498</v>
      </c>
      <c r="D17975" t="str">
        <f>"9099325460  "</f>
        <v xml:space="preserve">9099325460  </v>
      </c>
      <c r="E17975" t="s">
        <v>491</v>
      </c>
      <c r="F17975" t="s">
        <v>492</v>
      </c>
      <c r="G17975">
        <v>6.45</v>
      </c>
      <c r="H17975">
        <v>251231</v>
      </c>
      <c r="I17975">
        <v>4410</v>
      </c>
      <c r="J17975" t="s">
        <v>165</v>
      </c>
      <c r="K17975">
        <v>6.45</v>
      </c>
      <c r="L17975">
        <v>0.79</v>
      </c>
      <c r="M17975">
        <v>17521</v>
      </c>
      <c r="N17975" t="s">
        <v>136</v>
      </c>
      <c r="O17975">
        <v>260114</v>
      </c>
      <c r="P17975">
        <v>5.66</v>
      </c>
    </row>
    <row r="17976" spans="1:16" x14ac:dyDescent="0.25">
      <c r="A17976" t="s">
        <v>3296</v>
      </c>
      <c r="B17976" t="s">
        <v>2931</v>
      </c>
      <c r="C17976">
        <v>18499</v>
      </c>
      <c r="D17976" t="str">
        <f>"9099325467  "</f>
        <v xml:space="preserve">9099325467  </v>
      </c>
      <c r="E17976" t="s">
        <v>491</v>
      </c>
      <c r="F17976" t="s">
        <v>492</v>
      </c>
      <c r="G17976">
        <v>12164.25</v>
      </c>
      <c r="H17976">
        <v>251231</v>
      </c>
      <c r="I17976">
        <v>4410</v>
      </c>
      <c r="J17976" t="s">
        <v>165</v>
      </c>
      <c r="K17976">
        <v>12164.25</v>
      </c>
      <c r="L17976">
        <v>0</v>
      </c>
      <c r="M17976">
        <v>17918</v>
      </c>
      <c r="N17976" t="s">
        <v>152</v>
      </c>
      <c r="O17976">
        <v>260114</v>
      </c>
      <c r="P17976">
        <v>12164.25</v>
      </c>
    </row>
    <row r="17977" spans="1:16" x14ac:dyDescent="0.25">
      <c r="A17977" t="s">
        <v>3296</v>
      </c>
      <c r="B17977" t="s">
        <v>2931</v>
      </c>
      <c r="C17977">
        <v>18504</v>
      </c>
      <c r="D17977" t="str">
        <f>"9099325463  "</f>
        <v xml:space="preserve">9099325463  </v>
      </c>
      <c r="E17977" t="s">
        <v>491</v>
      </c>
      <c r="F17977" t="s">
        <v>492</v>
      </c>
      <c r="G17977">
        <v>15.8</v>
      </c>
      <c r="H17977">
        <v>251231</v>
      </c>
      <c r="I17977">
        <v>4410</v>
      </c>
      <c r="J17977" t="s">
        <v>165</v>
      </c>
      <c r="K17977">
        <v>15.8</v>
      </c>
      <c r="L17977">
        <v>1.94</v>
      </c>
      <c r="M17977">
        <v>17538</v>
      </c>
      <c r="N17977" t="s">
        <v>129</v>
      </c>
      <c r="O17977">
        <v>260114</v>
      </c>
      <c r="P17977">
        <v>13.86</v>
      </c>
    </row>
    <row r="17978" spans="1:16" x14ac:dyDescent="0.25">
      <c r="A17978" t="s">
        <v>3296</v>
      </c>
      <c r="B17978" t="s">
        <v>2931</v>
      </c>
      <c r="C17978">
        <v>18505</v>
      </c>
      <c r="D17978" t="str">
        <f>"9099325459  "</f>
        <v xml:space="preserve">9099325459  </v>
      </c>
      <c r="E17978" t="s">
        <v>491</v>
      </c>
      <c r="F17978" t="s">
        <v>492</v>
      </c>
      <c r="G17978">
        <v>6.3</v>
      </c>
      <c r="H17978">
        <v>251231</v>
      </c>
      <c r="I17978">
        <v>4410</v>
      </c>
      <c r="J17978" t="s">
        <v>165</v>
      </c>
      <c r="K17978">
        <v>6.3</v>
      </c>
      <c r="L17978">
        <v>0.77</v>
      </c>
      <c r="M17978">
        <v>17950</v>
      </c>
      <c r="N17978" t="s">
        <v>132</v>
      </c>
      <c r="O17978">
        <v>260114</v>
      </c>
      <c r="P17978">
        <v>5.53</v>
      </c>
    </row>
    <row r="17979" spans="1:16" x14ac:dyDescent="0.25">
      <c r="A17979" t="s">
        <v>3296</v>
      </c>
      <c r="B17979" t="s">
        <v>2931</v>
      </c>
      <c r="C17979">
        <v>1287</v>
      </c>
      <c r="D17979" t="str">
        <f>"9099296157  "</f>
        <v xml:space="preserve">9099296157  </v>
      </c>
      <c r="E17979" t="s">
        <v>491</v>
      </c>
      <c r="F17979" t="s">
        <v>492</v>
      </c>
      <c r="G17979">
        <v>12.9</v>
      </c>
      <c r="H17979">
        <v>250131</v>
      </c>
      <c r="I17979">
        <v>4420</v>
      </c>
      <c r="J17979" t="s">
        <v>330</v>
      </c>
      <c r="K17979">
        <v>12.9</v>
      </c>
      <c r="L17979">
        <v>1.58</v>
      </c>
      <c r="M17979">
        <v>13561</v>
      </c>
      <c r="N17979" t="s">
        <v>241</v>
      </c>
      <c r="O17979">
        <v>250206</v>
      </c>
      <c r="P17979">
        <v>11.32</v>
      </c>
    </row>
    <row r="17980" spans="1:16" x14ac:dyDescent="0.25">
      <c r="A17980" t="s">
        <v>3296</v>
      </c>
      <c r="B17980" t="s">
        <v>2931</v>
      </c>
      <c r="C17980">
        <v>15606</v>
      </c>
      <c r="D17980" t="str">
        <f>"9099321351  "</f>
        <v xml:space="preserve">9099321351  </v>
      </c>
      <c r="E17980" t="s">
        <v>491</v>
      </c>
      <c r="F17980" t="s">
        <v>492</v>
      </c>
      <c r="G17980">
        <v>116.12</v>
      </c>
      <c r="H17980">
        <v>251119</v>
      </c>
      <c r="I17980">
        <v>4420</v>
      </c>
      <c r="J17980" t="s">
        <v>330</v>
      </c>
      <c r="K17980">
        <v>116.12</v>
      </c>
      <c r="L17980">
        <v>14.26</v>
      </c>
      <c r="M17980">
        <v>13561</v>
      </c>
      <c r="N17980" t="s">
        <v>241</v>
      </c>
      <c r="O17980">
        <v>251121</v>
      </c>
      <c r="P17980">
        <v>101.86</v>
      </c>
    </row>
    <row r="17981" spans="1:16" x14ac:dyDescent="0.25">
      <c r="A17981" t="s">
        <v>3296</v>
      </c>
      <c r="B17981" t="s">
        <v>2931</v>
      </c>
      <c r="C17981">
        <v>15666</v>
      </c>
      <c r="D17981" t="str">
        <f>"2025/123403 "</f>
        <v xml:space="preserve">2025/123403 </v>
      </c>
      <c r="E17981" t="s">
        <v>2604</v>
      </c>
      <c r="F17981" t="s">
        <v>2605</v>
      </c>
      <c r="G17981">
        <v>2495</v>
      </c>
      <c r="H17981">
        <v>251111</v>
      </c>
      <c r="I17981">
        <v>4390</v>
      </c>
      <c r="J17981" t="s">
        <v>232</v>
      </c>
      <c r="K17981">
        <v>2495</v>
      </c>
      <c r="L17981">
        <v>0</v>
      </c>
      <c r="M17981">
        <v>59501</v>
      </c>
      <c r="N17981" t="s">
        <v>62</v>
      </c>
      <c r="O17981">
        <v>251124</v>
      </c>
      <c r="P17981">
        <v>2495</v>
      </c>
    </row>
    <row r="17982" spans="1:16" x14ac:dyDescent="0.25">
      <c r="A17982" t="s">
        <v>3296</v>
      </c>
      <c r="B17982" t="s">
        <v>2931</v>
      </c>
      <c r="C17982">
        <v>15667</v>
      </c>
      <c r="D17982" t="str">
        <f>"2025/123605 "</f>
        <v xml:space="preserve">2025/123605 </v>
      </c>
      <c r="E17982" t="s">
        <v>2604</v>
      </c>
      <c r="F17982" t="s">
        <v>2605</v>
      </c>
      <c r="G17982">
        <v>2495</v>
      </c>
      <c r="H17982">
        <v>251114</v>
      </c>
      <c r="I17982">
        <v>4390</v>
      </c>
      <c r="J17982" t="s">
        <v>232</v>
      </c>
      <c r="K17982">
        <v>2495</v>
      </c>
      <c r="L17982">
        <v>0</v>
      </c>
      <c r="M17982">
        <v>59501</v>
      </c>
      <c r="N17982" t="s">
        <v>62</v>
      </c>
      <c r="O17982">
        <v>251124</v>
      </c>
      <c r="P17982">
        <v>2495</v>
      </c>
    </row>
    <row r="17983" spans="1:16" x14ac:dyDescent="0.25">
      <c r="A17983" t="s">
        <v>3296</v>
      </c>
      <c r="B17983" t="s">
        <v>2931</v>
      </c>
      <c r="C17983">
        <v>2117</v>
      </c>
      <c r="D17983" t="str">
        <f>"10087989    "</f>
        <v xml:space="preserve">10087989    </v>
      </c>
      <c r="E17983" t="s">
        <v>455</v>
      </c>
      <c r="F17983" t="s">
        <v>456</v>
      </c>
      <c r="G17983">
        <v>327.58</v>
      </c>
      <c r="H17983">
        <v>250213</v>
      </c>
      <c r="I17983">
        <v>1196</v>
      </c>
      <c r="J17983" t="s">
        <v>340</v>
      </c>
      <c r="K17983">
        <v>327.58</v>
      </c>
      <c r="L17983">
        <v>66.56</v>
      </c>
      <c r="M17983">
        <v>97604</v>
      </c>
      <c r="N17983" t="s">
        <v>341</v>
      </c>
      <c r="O17983">
        <v>250220</v>
      </c>
      <c r="P17983">
        <v>261.02</v>
      </c>
    </row>
    <row r="17984" spans="1:16" x14ac:dyDescent="0.25">
      <c r="A17984" t="s">
        <v>3296</v>
      </c>
      <c r="B17984" t="s">
        <v>2931</v>
      </c>
      <c r="C17984">
        <v>3661</v>
      </c>
      <c r="D17984" t="str">
        <f>"10089870    "</f>
        <v xml:space="preserve">10089870    </v>
      </c>
      <c r="E17984" t="s">
        <v>455</v>
      </c>
      <c r="F17984" t="s">
        <v>456</v>
      </c>
      <c r="G17984">
        <v>327.58</v>
      </c>
      <c r="H17984">
        <v>250317</v>
      </c>
      <c r="I17984">
        <v>1196</v>
      </c>
      <c r="J17984" t="s">
        <v>340</v>
      </c>
      <c r="K17984">
        <v>327.58</v>
      </c>
      <c r="L17984">
        <v>66.56</v>
      </c>
      <c r="M17984">
        <v>97604</v>
      </c>
      <c r="N17984" t="s">
        <v>341</v>
      </c>
      <c r="O17984">
        <v>250328</v>
      </c>
      <c r="P17984">
        <v>261.02</v>
      </c>
    </row>
    <row r="17985" spans="1:16" x14ac:dyDescent="0.25">
      <c r="A17985" t="s">
        <v>3296</v>
      </c>
      <c r="B17985" t="s">
        <v>2931</v>
      </c>
      <c r="C17985">
        <v>5605</v>
      </c>
      <c r="D17985" t="str">
        <f>"10091128    "</f>
        <v xml:space="preserve">10091128    </v>
      </c>
      <c r="E17985" t="s">
        <v>455</v>
      </c>
      <c r="F17985" t="s">
        <v>456</v>
      </c>
      <c r="G17985">
        <v>337.1</v>
      </c>
      <c r="H17985">
        <v>250423</v>
      </c>
      <c r="I17985">
        <v>1196</v>
      </c>
      <c r="J17985" t="s">
        <v>340</v>
      </c>
      <c r="K17985">
        <v>337.1</v>
      </c>
      <c r="L17985">
        <v>68.489999999999995</v>
      </c>
      <c r="M17985">
        <v>97604</v>
      </c>
      <c r="N17985" t="s">
        <v>341</v>
      </c>
      <c r="O17985">
        <v>250425</v>
      </c>
      <c r="P17985">
        <v>268.61</v>
      </c>
    </row>
    <row r="17986" spans="1:16" x14ac:dyDescent="0.25">
      <c r="A17986" t="s">
        <v>3296</v>
      </c>
      <c r="B17986" t="s">
        <v>2931</v>
      </c>
      <c r="C17986">
        <v>6993</v>
      </c>
      <c r="D17986" t="str">
        <f>"10095306    "</f>
        <v xml:space="preserve">10095306    </v>
      </c>
      <c r="E17986" t="s">
        <v>455</v>
      </c>
      <c r="F17986" t="s">
        <v>456</v>
      </c>
      <c r="G17986">
        <v>337.1</v>
      </c>
      <c r="H17986">
        <v>250514</v>
      </c>
      <c r="I17986">
        <v>1196</v>
      </c>
      <c r="J17986" t="s">
        <v>340</v>
      </c>
      <c r="K17986">
        <v>337.1</v>
      </c>
      <c r="L17986">
        <v>68.489999999999995</v>
      </c>
      <c r="M17986">
        <v>97604</v>
      </c>
      <c r="N17986" t="s">
        <v>341</v>
      </c>
      <c r="O17986">
        <v>250521</v>
      </c>
      <c r="P17986">
        <v>268.61</v>
      </c>
    </row>
    <row r="17987" spans="1:16" x14ac:dyDescent="0.25">
      <c r="A17987" t="s">
        <v>3296</v>
      </c>
      <c r="B17987" t="s">
        <v>2931</v>
      </c>
      <c r="C17987">
        <v>8813</v>
      </c>
      <c r="D17987" t="str">
        <f>"10097258    "</f>
        <v xml:space="preserve">10097258    </v>
      </c>
      <c r="E17987" t="s">
        <v>455</v>
      </c>
      <c r="F17987" t="s">
        <v>456</v>
      </c>
      <c r="G17987">
        <v>337.1</v>
      </c>
      <c r="H17987">
        <v>250612</v>
      </c>
      <c r="I17987">
        <v>1196</v>
      </c>
      <c r="J17987" t="s">
        <v>340</v>
      </c>
      <c r="K17987">
        <v>337.1</v>
      </c>
      <c r="L17987">
        <v>68.489999999999995</v>
      </c>
      <c r="M17987">
        <v>97604</v>
      </c>
      <c r="N17987" t="s">
        <v>341</v>
      </c>
      <c r="O17987">
        <v>250618</v>
      </c>
      <c r="P17987">
        <v>268.61</v>
      </c>
    </row>
    <row r="17988" spans="1:16" x14ac:dyDescent="0.25">
      <c r="A17988" t="s">
        <v>3296</v>
      </c>
      <c r="B17988" t="s">
        <v>2931</v>
      </c>
      <c r="C17988">
        <v>9731</v>
      </c>
      <c r="D17988" t="str">
        <f>"10099747    "</f>
        <v xml:space="preserve">10099747    </v>
      </c>
      <c r="E17988" t="s">
        <v>455</v>
      </c>
      <c r="F17988" t="s">
        <v>456</v>
      </c>
      <c r="G17988">
        <v>337.1</v>
      </c>
      <c r="H17988">
        <v>250716</v>
      </c>
      <c r="I17988">
        <v>1196</v>
      </c>
      <c r="J17988" t="s">
        <v>340</v>
      </c>
      <c r="K17988">
        <v>337.1</v>
      </c>
      <c r="L17988">
        <v>68.489999999999995</v>
      </c>
      <c r="M17988">
        <v>97604</v>
      </c>
      <c r="N17988" t="s">
        <v>341</v>
      </c>
      <c r="O17988">
        <v>250725</v>
      </c>
      <c r="P17988">
        <v>268.61</v>
      </c>
    </row>
    <row r="17989" spans="1:16" x14ac:dyDescent="0.25">
      <c r="A17989" t="s">
        <v>3296</v>
      </c>
      <c r="B17989" t="s">
        <v>2931</v>
      </c>
      <c r="C17989">
        <v>10512</v>
      </c>
      <c r="D17989" t="str">
        <f>"10102010    "</f>
        <v xml:space="preserve">10102010    </v>
      </c>
      <c r="E17989" t="s">
        <v>455</v>
      </c>
      <c r="F17989" t="s">
        <v>456</v>
      </c>
      <c r="G17989">
        <v>337.1</v>
      </c>
      <c r="H17989">
        <v>250815</v>
      </c>
      <c r="I17989">
        <v>1196</v>
      </c>
      <c r="J17989" t="s">
        <v>340</v>
      </c>
      <c r="K17989">
        <v>337.1</v>
      </c>
      <c r="L17989">
        <v>68.489999999999995</v>
      </c>
      <c r="M17989">
        <v>97604</v>
      </c>
      <c r="N17989" t="s">
        <v>341</v>
      </c>
      <c r="O17989">
        <v>250820</v>
      </c>
      <c r="P17989">
        <v>268.61</v>
      </c>
    </row>
    <row r="17990" spans="1:16" x14ac:dyDescent="0.25">
      <c r="A17990" t="s">
        <v>3296</v>
      </c>
      <c r="B17990" t="s">
        <v>2931</v>
      </c>
      <c r="C17990">
        <v>12025</v>
      </c>
      <c r="D17990" t="str">
        <f>"10103829    "</f>
        <v xml:space="preserve">10103829    </v>
      </c>
      <c r="E17990" t="s">
        <v>455</v>
      </c>
      <c r="F17990" t="s">
        <v>456</v>
      </c>
      <c r="G17990">
        <v>337.1</v>
      </c>
      <c r="H17990">
        <v>250915</v>
      </c>
      <c r="I17990">
        <v>1196</v>
      </c>
      <c r="J17990" t="s">
        <v>340</v>
      </c>
      <c r="K17990">
        <v>337.1</v>
      </c>
      <c r="L17990">
        <v>68.489999999999995</v>
      </c>
      <c r="M17990">
        <v>97604</v>
      </c>
      <c r="N17990" t="s">
        <v>341</v>
      </c>
      <c r="O17990">
        <v>250915</v>
      </c>
      <c r="P17990">
        <v>268.61</v>
      </c>
    </row>
    <row r="17991" spans="1:16" x14ac:dyDescent="0.25">
      <c r="A17991" t="s">
        <v>3296</v>
      </c>
      <c r="B17991" t="s">
        <v>2931</v>
      </c>
      <c r="C17991">
        <v>14096</v>
      </c>
      <c r="D17991" t="str">
        <f>"10106505    "</f>
        <v xml:space="preserve">10106505    </v>
      </c>
      <c r="E17991" t="s">
        <v>455</v>
      </c>
      <c r="F17991" t="s">
        <v>456</v>
      </c>
      <c r="G17991">
        <v>337.1</v>
      </c>
      <c r="H17991">
        <v>251016</v>
      </c>
      <c r="I17991">
        <v>1196</v>
      </c>
      <c r="J17991" t="s">
        <v>340</v>
      </c>
      <c r="K17991">
        <v>337.1</v>
      </c>
      <c r="L17991">
        <v>68.489999999999995</v>
      </c>
      <c r="M17991">
        <v>97604</v>
      </c>
      <c r="N17991" t="s">
        <v>341</v>
      </c>
      <c r="O17991">
        <v>251024</v>
      </c>
      <c r="P17991">
        <v>268.61</v>
      </c>
    </row>
    <row r="17992" spans="1:16" x14ac:dyDescent="0.25">
      <c r="A17992" t="s">
        <v>3296</v>
      </c>
      <c r="B17992" t="s">
        <v>2931</v>
      </c>
      <c r="C17992">
        <v>15414</v>
      </c>
      <c r="D17992" t="str">
        <f>"10109001    "</f>
        <v xml:space="preserve">10109001    </v>
      </c>
      <c r="E17992" t="s">
        <v>455</v>
      </c>
      <c r="F17992" t="s">
        <v>456</v>
      </c>
      <c r="G17992">
        <v>337.1</v>
      </c>
      <c r="H17992">
        <v>251113</v>
      </c>
      <c r="I17992">
        <v>1196</v>
      </c>
      <c r="J17992" t="s">
        <v>340</v>
      </c>
      <c r="K17992">
        <v>337.1</v>
      </c>
      <c r="L17992">
        <v>68.489999999999995</v>
      </c>
      <c r="M17992">
        <v>97604</v>
      </c>
      <c r="N17992" t="s">
        <v>341</v>
      </c>
      <c r="O17992">
        <v>251120</v>
      </c>
      <c r="P17992">
        <v>268.61</v>
      </c>
    </row>
    <row r="17993" spans="1:16" x14ac:dyDescent="0.25">
      <c r="A17993" t="s">
        <v>3296</v>
      </c>
      <c r="B17993" t="s">
        <v>2931</v>
      </c>
      <c r="C17993">
        <v>17260</v>
      </c>
      <c r="D17993" t="str">
        <f>"10110907    "</f>
        <v xml:space="preserve">10110907    </v>
      </c>
      <c r="E17993" t="s">
        <v>455</v>
      </c>
      <c r="F17993" t="s">
        <v>456</v>
      </c>
      <c r="G17993">
        <v>337.1</v>
      </c>
      <c r="H17993">
        <v>251217</v>
      </c>
      <c r="I17993">
        <v>1196</v>
      </c>
      <c r="J17993" t="s">
        <v>340</v>
      </c>
      <c r="K17993">
        <v>337.1</v>
      </c>
      <c r="L17993">
        <v>68.489999999999995</v>
      </c>
      <c r="M17993">
        <v>97604</v>
      </c>
      <c r="N17993" t="s">
        <v>341</v>
      </c>
      <c r="O17993">
        <v>251218</v>
      </c>
      <c r="P17993">
        <v>268.61</v>
      </c>
    </row>
    <row r="17994" spans="1:16" x14ac:dyDescent="0.25">
      <c r="A17994" t="s">
        <v>3296</v>
      </c>
      <c r="B17994" t="s">
        <v>2931</v>
      </c>
      <c r="C17994">
        <v>13972</v>
      </c>
      <c r="D17994" t="str">
        <f>"10104639    "</f>
        <v xml:space="preserve">10104639    </v>
      </c>
      <c r="E17994" t="s">
        <v>455</v>
      </c>
      <c r="F17994" t="s">
        <v>456</v>
      </c>
      <c r="G17994">
        <v>62.75</v>
      </c>
      <c r="H17994">
        <v>251016</v>
      </c>
      <c r="I17994">
        <v>4347</v>
      </c>
      <c r="J17994" t="s">
        <v>328</v>
      </c>
      <c r="K17994">
        <v>62.75</v>
      </c>
      <c r="L17994">
        <v>12.75</v>
      </c>
      <c r="M17994">
        <v>11401</v>
      </c>
      <c r="N17994" t="s">
        <v>91</v>
      </c>
      <c r="O17994">
        <v>251021</v>
      </c>
      <c r="P17994">
        <v>50</v>
      </c>
    </row>
    <row r="17995" spans="1:16" x14ac:dyDescent="0.25">
      <c r="A17995" t="s">
        <v>3296</v>
      </c>
      <c r="B17995" t="s">
        <v>2931</v>
      </c>
      <c r="C17995">
        <v>366</v>
      </c>
      <c r="D17995" t="str">
        <f>"10082844    "</f>
        <v xml:space="preserve">10082844    </v>
      </c>
      <c r="E17995" t="s">
        <v>455</v>
      </c>
      <c r="F17995" t="s">
        <v>456</v>
      </c>
      <c r="G17995">
        <v>327.58</v>
      </c>
      <c r="H17995">
        <v>250116</v>
      </c>
      <c r="I17995">
        <v>4367</v>
      </c>
      <c r="J17995" t="s">
        <v>159</v>
      </c>
      <c r="K17995">
        <v>327.58</v>
      </c>
      <c r="L17995">
        <v>66.56</v>
      </c>
      <c r="M17995">
        <v>17950</v>
      </c>
      <c r="N17995" t="s">
        <v>132</v>
      </c>
      <c r="O17995">
        <v>250122</v>
      </c>
      <c r="P17995">
        <v>261.02</v>
      </c>
    </row>
    <row r="17996" spans="1:16" x14ac:dyDescent="0.25">
      <c r="A17996" t="s">
        <v>3296</v>
      </c>
      <c r="B17996" t="s">
        <v>2931</v>
      </c>
      <c r="C17996">
        <v>15410</v>
      </c>
      <c r="D17996" t="str">
        <f>"10107497    "</f>
        <v xml:space="preserve">10107497    </v>
      </c>
      <c r="E17996" t="s">
        <v>455</v>
      </c>
      <c r="F17996" t="s">
        <v>456</v>
      </c>
      <c r="G17996">
        <v>62.75</v>
      </c>
      <c r="H17996">
        <v>251113</v>
      </c>
      <c r="I17996">
        <v>4367</v>
      </c>
      <c r="J17996" t="s">
        <v>159</v>
      </c>
      <c r="K17996">
        <v>62.75</v>
      </c>
      <c r="L17996">
        <v>12.75</v>
      </c>
      <c r="M17996">
        <v>11401</v>
      </c>
      <c r="N17996" t="s">
        <v>91</v>
      </c>
      <c r="O17996">
        <v>251120</v>
      </c>
      <c r="P17996">
        <v>50</v>
      </c>
    </row>
    <row r="17997" spans="1:16" x14ac:dyDescent="0.25">
      <c r="A17997" t="s">
        <v>3296</v>
      </c>
      <c r="B17997" t="s">
        <v>2931</v>
      </c>
      <c r="C17997">
        <v>17461</v>
      </c>
      <c r="D17997" t="str">
        <f>"10109436    "</f>
        <v xml:space="preserve">10109436    </v>
      </c>
      <c r="E17997" t="s">
        <v>455</v>
      </c>
      <c r="F17997" t="s">
        <v>456</v>
      </c>
      <c r="G17997">
        <v>62.75</v>
      </c>
      <c r="H17997">
        <v>251217</v>
      </c>
      <c r="I17997">
        <v>4367</v>
      </c>
      <c r="J17997" t="s">
        <v>159</v>
      </c>
      <c r="K17997">
        <v>62.75</v>
      </c>
      <c r="L17997">
        <v>12.75</v>
      </c>
      <c r="M17997">
        <v>11401</v>
      </c>
      <c r="N17997" t="s">
        <v>91</v>
      </c>
      <c r="O17997">
        <v>251219</v>
      </c>
      <c r="P17997">
        <v>50</v>
      </c>
    </row>
    <row r="17998" spans="1:16" x14ac:dyDescent="0.25">
      <c r="A17998" t="s">
        <v>3296</v>
      </c>
      <c r="B17998" t="s">
        <v>2931</v>
      </c>
      <c r="C17998">
        <v>467</v>
      </c>
      <c r="D17998" t="str">
        <f>"10082845    "</f>
        <v xml:space="preserve">10082845    </v>
      </c>
      <c r="E17998" t="s">
        <v>455</v>
      </c>
      <c r="F17998" t="s">
        <v>456</v>
      </c>
      <c r="G17998">
        <v>98.27</v>
      </c>
      <c r="H17998">
        <v>250116</v>
      </c>
      <c r="I17998">
        <v>4369</v>
      </c>
      <c r="J17998" t="s">
        <v>188</v>
      </c>
      <c r="K17998">
        <v>327.58</v>
      </c>
      <c r="L17998">
        <v>19.97</v>
      </c>
      <c r="M17998">
        <v>14952</v>
      </c>
      <c r="N17998" t="s">
        <v>213</v>
      </c>
      <c r="O17998">
        <v>250123</v>
      </c>
      <c r="P17998">
        <v>78.3</v>
      </c>
    </row>
    <row r="17999" spans="1:16" x14ac:dyDescent="0.25">
      <c r="A17999" t="s">
        <v>3296</v>
      </c>
      <c r="B17999" t="s">
        <v>2931</v>
      </c>
      <c r="C17999">
        <v>467</v>
      </c>
      <c r="D17999" t="str">
        <f>"10082845    "</f>
        <v xml:space="preserve">10082845    </v>
      </c>
      <c r="E17999" t="s">
        <v>455</v>
      </c>
      <c r="F17999" t="s">
        <v>456</v>
      </c>
      <c r="G17999">
        <v>229.31</v>
      </c>
      <c r="H17999">
        <v>250116</v>
      </c>
      <c r="I17999">
        <v>4369</v>
      </c>
      <c r="J17999" t="s">
        <v>188</v>
      </c>
      <c r="K17999">
        <v>327.58</v>
      </c>
      <c r="L17999">
        <v>46.59</v>
      </c>
      <c r="M17999">
        <v>14981</v>
      </c>
      <c r="N17999" t="s">
        <v>252</v>
      </c>
      <c r="O17999">
        <v>250123</v>
      </c>
      <c r="P17999">
        <v>182.72</v>
      </c>
    </row>
    <row r="18000" spans="1:16" x14ac:dyDescent="0.25">
      <c r="A18000" t="s">
        <v>3296</v>
      </c>
      <c r="B18000" t="s">
        <v>2931</v>
      </c>
      <c r="C18000">
        <v>483</v>
      </c>
      <c r="D18000" t="str">
        <f>"10082843    "</f>
        <v xml:space="preserve">10082843    </v>
      </c>
      <c r="E18000" t="s">
        <v>455</v>
      </c>
      <c r="F18000" t="s">
        <v>456</v>
      </c>
      <c r="G18000">
        <v>101.69</v>
      </c>
      <c r="H18000">
        <v>250116</v>
      </c>
      <c r="I18000">
        <v>4369</v>
      </c>
      <c r="J18000" t="s">
        <v>188</v>
      </c>
      <c r="K18000">
        <v>305.08999999999997</v>
      </c>
      <c r="L18000">
        <v>20.66</v>
      </c>
      <c r="M18000">
        <v>11401</v>
      </c>
      <c r="N18000" t="s">
        <v>91</v>
      </c>
      <c r="O18000">
        <v>250123</v>
      </c>
      <c r="P18000">
        <v>81.03</v>
      </c>
    </row>
    <row r="18001" spans="1:16" x14ac:dyDescent="0.25">
      <c r="A18001" t="s">
        <v>3296</v>
      </c>
      <c r="B18001" t="s">
        <v>2931</v>
      </c>
      <c r="C18001">
        <v>483</v>
      </c>
      <c r="D18001" t="str">
        <f>"10082843    "</f>
        <v xml:space="preserve">10082843    </v>
      </c>
      <c r="E18001" t="s">
        <v>455</v>
      </c>
      <c r="F18001" t="s">
        <v>456</v>
      </c>
      <c r="G18001">
        <v>203.4</v>
      </c>
      <c r="H18001">
        <v>250116</v>
      </c>
      <c r="I18001">
        <v>4369</v>
      </c>
      <c r="J18001" t="s">
        <v>188</v>
      </c>
      <c r="K18001">
        <v>305.08999999999997</v>
      </c>
      <c r="L18001">
        <v>41.33</v>
      </c>
      <c r="M18001">
        <v>14952</v>
      </c>
      <c r="N18001" t="s">
        <v>213</v>
      </c>
      <c r="O18001">
        <v>250123</v>
      </c>
      <c r="P18001">
        <v>162.07</v>
      </c>
    </row>
    <row r="18002" spans="1:16" x14ac:dyDescent="0.25">
      <c r="A18002" t="s">
        <v>3296</v>
      </c>
      <c r="B18002" t="s">
        <v>2931</v>
      </c>
      <c r="C18002">
        <v>2270</v>
      </c>
      <c r="D18002" t="str">
        <f>"10087990    "</f>
        <v xml:space="preserve">10087990    </v>
      </c>
      <c r="E18002" t="s">
        <v>455</v>
      </c>
      <c r="F18002" t="s">
        <v>456</v>
      </c>
      <c r="G18002">
        <v>98.27</v>
      </c>
      <c r="H18002">
        <v>250213</v>
      </c>
      <c r="I18002">
        <v>4369</v>
      </c>
      <c r="J18002" t="s">
        <v>188</v>
      </c>
      <c r="K18002">
        <v>327.58</v>
      </c>
      <c r="L18002">
        <v>19.97</v>
      </c>
      <c r="M18002">
        <v>14952</v>
      </c>
      <c r="N18002" t="s">
        <v>213</v>
      </c>
      <c r="O18002">
        <v>250224</v>
      </c>
      <c r="P18002">
        <v>78.3</v>
      </c>
    </row>
    <row r="18003" spans="1:16" x14ac:dyDescent="0.25">
      <c r="A18003" t="s">
        <v>3296</v>
      </c>
      <c r="B18003" t="s">
        <v>2931</v>
      </c>
      <c r="C18003">
        <v>2270</v>
      </c>
      <c r="D18003" t="str">
        <f>"10087990    "</f>
        <v xml:space="preserve">10087990    </v>
      </c>
      <c r="E18003" t="s">
        <v>455</v>
      </c>
      <c r="F18003" t="s">
        <v>456</v>
      </c>
      <c r="G18003">
        <v>229.31</v>
      </c>
      <c r="H18003">
        <v>250213</v>
      </c>
      <c r="I18003">
        <v>4369</v>
      </c>
      <c r="J18003" t="s">
        <v>188</v>
      </c>
      <c r="K18003">
        <v>327.58</v>
      </c>
      <c r="L18003">
        <v>46.59</v>
      </c>
      <c r="M18003">
        <v>14981</v>
      </c>
      <c r="N18003" t="s">
        <v>252</v>
      </c>
      <c r="O18003">
        <v>250224</v>
      </c>
      <c r="P18003">
        <v>182.72</v>
      </c>
    </row>
    <row r="18004" spans="1:16" x14ac:dyDescent="0.25">
      <c r="A18004" t="s">
        <v>3296</v>
      </c>
      <c r="B18004" t="s">
        <v>2931</v>
      </c>
      <c r="C18004">
        <v>2271</v>
      </c>
      <c r="D18004" t="str">
        <f>"10087988    "</f>
        <v xml:space="preserve">10087988    </v>
      </c>
      <c r="E18004" t="s">
        <v>455</v>
      </c>
      <c r="F18004" t="s">
        <v>456</v>
      </c>
      <c r="G18004">
        <v>101.69</v>
      </c>
      <c r="H18004">
        <v>250213</v>
      </c>
      <c r="I18004">
        <v>4369</v>
      </c>
      <c r="J18004" t="s">
        <v>188</v>
      </c>
      <c r="K18004">
        <v>305.08999999999997</v>
      </c>
      <c r="L18004">
        <v>20.66</v>
      </c>
      <c r="M18004">
        <v>11401</v>
      </c>
      <c r="N18004" t="s">
        <v>91</v>
      </c>
      <c r="O18004">
        <v>250224</v>
      </c>
      <c r="P18004">
        <v>81.03</v>
      </c>
    </row>
    <row r="18005" spans="1:16" x14ac:dyDescent="0.25">
      <c r="A18005" t="s">
        <v>3296</v>
      </c>
      <c r="B18005" t="s">
        <v>2931</v>
      </c>
      <c r="C18005">
        <v>2271</v>
      </c>
      <c r="D18005" t="str">
        <f>"10087988    "</f>
        <v xml:space="preserve">10087988    </v>
      </c>
      <c r="E18005" t="s">
        <v>455</v>
      </c>
      <c r="F18005" t="s">
        <v>456</v>
      </c>
      <c r="G18005">
        <v>203.4</v>
      </c>
      <c r="H18005">
        <v>250213</v>
      </c>
      <c r="I18005">
        <v>4369</v>
      </c>
      <c r="J18005" t="s">
        <v>188</v>
      </c>
      <c r="K18005">
        <v>305.08999999999997</v>
      </c>
      <c r="L18005">
        <v>41.33</v>
      </c>
      <c r="M18005">
        <v>14952</v>
      </c>
      <c r="N18005" t="s">
        <v>213</v>
      </c>
      <c r="O18005">
        <v>250224</v>
      </c>
      <c r="P18005">
        <v>162.07</v>
      </c>
    </row>
    <row r="18006" spans="1:16" x14ac:dyDescent="0.25">
      <c r="A18006" t="s">
        <v>3296</v>
      </c>
      <c r="B18006" t="s">
        <v>2931</v>
      </c>
      <c r="C18006">
        <v>3641</v>
      </c>
      <c r="D18006" t="str">
        <f>"10089871    "</f>
        <v xml:space="preserve">10089871    </v>
      </c>
      <c r="E18006" t="s">
        <v>455</v>
      </c>
      <c r="F18006" t="s">
        <v>456</v>
      </c>
      <c r="G18006">
        <v>98.27</v>
      </c>
      <c r="H18006">
        <v>250317</v>
      </c>
      <c r="I18006">
        <v>4369</v>
      </c>
      <c r="J18006" t="s">
        <v>188</v>
      </c>
      <c r="K18006">
        <v>327.58</v>
      </c>
      <c r="L18006">
        <v>19.97</v>
      </c>
      <c r="M18006">
        <v>14952</v>
      </c>
      <c r="N18006" t="s">
        <v>213</v>
      </c>
      <c r="O18006">
        <v>250327</v>
      </c>
      <c r="P18006">
        <v>78.3</v>
      </c>
    </row>
    <row r="18007" spans="1:16" x14ac:dyDescent="0.25">
      <c r="A18007" t="s">
        <v>3296</v>
      </c>
      <c r="B18007" t="s">
        <v>2931</v>
      </c>
      <c r="C18007">
        <v>3641</v>
      </c>
      <c r="D18007" t="str">
        <f>"10089871    "</f>
        <v xml:space="preserve">10089871    </v>
      </c>
      <c r="E18007" t="s">
        <v>455</v>
      </c>
      <c r="F18007" t="s">
        <v>456</v>
      </c>
      <c r="G18007">
        <v>229.31</v>
      </c>
      <c r="H18007">
        <v>250317</v>
      </c>
      <c r="I18007">
        <v>4369</v>
      </c>
      <c r="J18007" t="s">
        <v>188</v>
      </c>
      <c r="K18007">
        <v>327.58</v>
      </c>
      <c r="L18007">
        <v>46.59</v>
      </c>
      <c r="M18007">
        <v>14981</v>
      </c>
      <c r="N18007" t="s">
        <v>252</v>
      </c>
      <c r="O18007">
        <v>250327</v>
      </c>
      <c r="P18007">
        <v>182.72</v>
      </c>
    </row>
    <row r="18008" spans="1:16" x14ac:dyDescent="0.25">
      <c r="A18008" t="s">
        <v>3296</v>
      </c>
      <c r="B18008" t="s">
        <v>2931</v>
      </c>
      <c r="C18008">
        <v>3710</v>
      </c>
      <c r="D18008" t="str">
        <f>"10089869    "</f>
        <v xml:space="preserve">10089869    </v>
      </c>
      <c r="E18008" t="s">
        <v>455</v>
      </c>
      <c r="F18008" t="s">
        <v>456</v>
      </c>
      <c r="G18008">
        <v>101.69</v>
      </c>
      <c r="H18008">
        <v>250317</v>
      </c>
      <c r="I18008">
        <v>4369</v>
      </c>
      <c r="J18008" t="s">
        <v>188</v>
      </c>
      <c r="K18008">
        <v>305.08999999999997</v>
      </c>
      <c r="L18008">
        <v>20.66</v>
      </c>
      <c r="M18008">
        <v>11401</v>
      </c>
      <c r="N18008" t="s">
        <v>91</v>
      </c>
      <c r="O18008">
        <v>250328</v>
      </c>
      <c r="P18008">
        <v>81.03</v>
      </c>
    </row>
    <row r="18009" spans="1:16" x14ac:dyDescent="0.25">
      <c r="A18009" t="s">
        <v>3296</v>
      </c>
      <c r="B18009" t="s">
        <v>2931</v>
      </c>
      <c r="C18009">
        <v>3710</v>
      </c>
      <c r="D18009" t="str">
        <f>"10089869    "</f>
        <v xml:space="preserve">10089869    </v>
      </c>
      <c r="E18009" t="s">
        <v>455</v>
      </c>
      <c r="F18009" t="s">
        <v>456</v>
      </c>
      <c r="G18009">
        <v>203.4</v>
      </c>
      <c r="H18009">
        <v>250317</v>
      </c>
      <c r="I18009">
        <v>4369</v>
      </c>
      <c r="J18009" t="s">
        <v>188</v>
      </c>
      <c r="K18009">
        <v>305.08999999999997</v>
      </c>
      <c r="L18009">
        <v>41.33</v>
      </c>
      <c r="M18009">
        <v>14952</v>
      </c>
      <c r="N18009" t="s">
        <v>213</v>
      </c>
      <c r="O18009">
        <v>250328</v>
      </c>
      <c r="P18009">
        <v>162.07</v>
      </c>
    </row>
    <row r="18010" spans="1:16" x14ac:dyDescent="0.25">
      <c r="A18010" t="s">
        <v>3296</v>
      </c>
      <c r="B18010" t="s">
        <v>2931</v>
      </c>
      <c r="C18010">
        <v>5728</v>
      </c>
      <c r="D18010" t="str">
        <f>"10091129    "</f>
        <v xml:space="preserve">10091129    </v>
      </c>
      <c r="E18010" t="s">
        <v>455</v>
      </c>
      <c r="F18010" t="s">
        <v>456</v>
      </c>
      <c r="G18010">
        <v>101.13</v>
      </c>
      <c r="H18010">
        <v>250423</v>
      </c>
      <c r="I18010">
        <v>4369</v>
      </c>
      <c r="J18010" t="s">
        <v>188</v>
      </c>
      <c r="K18010">
        <v>337.1</v>
      </c>
      <c r="L18010">
        <v>20.55</v>
      </c>
      <c r="M18010">
        <v>14952</v>
      </c>
      <c r="N18010" t="s">
        <v>213</v>
      </c>
      <c r="O18010">
        <v>250429</v>
      </c>
      <c r="P18010">
        <v>80.58</v>
      </c>
    </row>
    <row r="18011" spans="1:16" x14ac:dyDescent="0.25">
      <c r="A18011" t="s">
        <v>3296</v>
      </c>
      <c r="B18011" t="s">
        <v>2931</v>
      </c>
      <c r="C18011">
        <v>5728</v>
      </c>
      <c r="D18011" t="str">
        <f>"10091129    "</f>
        <v xml:space="preserve">10091129    </v>
      </c>
      <c r="E18011" t="s">
        <v>455</v>
      </c>
      <c r="F18011" t="s">
        <v>456</v>
      </c>
      <c r="G18011">
        <v>235.97</v>
      </c>
      <c r="H18011">
        <v>250423</v>
      </c>
      <c r="I18011">
        <v>4369</v>
      </c>
      <c r="J18011" t="s">
        <v>188</v>
      </c>
      <c r="K18011">
        <v>337.1</v>
      </c>
      <c r="L18011">
        <v>47.95</v>
      </c>
      <c r="M18011">
        <v>14981</v>
      </c>
      <c r="N18011" t="s">
        <v>252</v>
      </c>
      <c r="O18011">
        <v>250429</v>
      </c>
      <c r="P18011">
        <v>188.02</v>
      </c>
    </row>
    <row r="18012" spans="1:16" x14ac:dyDescent="0.25">
      <c r="A18012" t="s">
        <v>3296</v>
      </c>
      <c r="B18012" t="s">
        <v>2931</v>
      </c>
      <c r="C18012">
        <v>5729</v>
      </c>
      <c r="D18012" t="str">
        <f>"10090731    "</f>
        <v xml:space="preserve">10090731    </v>
      </c>
      <c r="E18012" t="s">
        <v>455</v>
      </c>
      <c r="F18012" t="s">
        <v>456</v>
      </c>
      <c r="G18012">
        <v>104.65</v>
      </c>
      <c r="H18012">
        <v>250423</v>
      </c>
      <c r="I18012">
        <v>4369</v>
      </c>
      <c r="J18012" t="s">
        <v>188</v>
      </c>
      <c r="K18012">
        <v>313.95</v>
      </c>
      <c r="L18012">
        <v>21.26</v>
      </c>
      <c r="M18012">
        <v>11401</v>
      </c>
      <c r="N18012" t="s">
        <v>91</v>
      </c>
      <c r="O18012">
        <v>250429</v>
      </c>
      <c r="P18012">
        <v>83.39</v>
      </c>
    </row>
    <row r="18013" spans="1:16" x14ac:dyDescent="0.25">
      <c r="A18013" t="s">
        <v>3296</v>
      </c>
      <c r="B18013" t="s">
        <v>2931</v>
      </c>
      <c r="C18013">
        <v>5729</v>
      </c>
      <c r="D18013" t="str">
        <f>"10090731    "</f>
        <v xml:space="preserve">10090731    </v>
      </c>
      <c r="E18013" t="s">
        <v>455</v>
      </c>
      <c r="F18013" t="s">
        <v>456</v>
      </c>
      <c r="G18013">
        <v>209.3</v>
      </c>
      <c r="H18013">
        <v>250423</v>
      </c>
      <c r="I18013">
        <v>4369</v>
      </c>
      <c r="J18013" t="s">
        <v>188</v>
      </c>
      <c r="K18013">
        <v>313.95</v>
      </c>
      <c r="L18013">
        <v>42.53</v>
      </c>
      <c r="M18013">
        <v>14952</v>
      </c>
      <c r="N18013" t="s">
        <v>213</v>
      </c>
      <c r="O18013">
        <v>250429</v>
      </c>
      <c r="P18013">
        <v>166.77</v>
      </c>
    </row>
    <row r="18014" spans="1:16" x14ac:dyDescent="0.25">
      <c r="A18014" t="s">
        <v>3296</v>
      </c>
      <c r="B18014" t="s">
        <v>2931</v>
      </c>
      <c r="C18014">
        <v>6861</v>
      </c>
      <c r="D18014" t="str">
        <f>"10095307    "</f>
        <v xml:space="preserve">10095307    </v>
      </c>
      <c r="E18014" t="s">
        <v>455</v>
      </c>
      <c r="F18014" t="s">
        <v>456</v>
      </c>
      <c r="G18014">
        <v>101.13</v>
      </c>
      <c r="H18014">
        <v>250514</v>
      </c>
      <c r="I18014">
        <v>4369</v>
      </c>
      <c r="J18014" t="s">
        <v>188</v>
      </c>
      <c r="K18014">
        <v>337.1</v>
      </c>
      <c r="L18014">
        <v>20.55</v>
      </c>
      <c r="M18014">
        <v>14952</v>
      </c>
      <c r="N18014" t="s">
        <v>213</v>
      </c>
      <c r="O18014">
        <v>250519</v>
      </c>
      <c r="P18014">
        <v>80.58</v>
      </c>
    </row>
    <row r="18015" spans="1:16" x14ac:dyDescent="0.25">
      <c r="A18015" t="s">
        <v>3296</v>
      </c>
      <c r="B18015" t="s">
        <v>2931</v>
      </c>
      <c r="C18015">
        <v>6861</v>
      </c>
      <c r="D18015" t="str">
        <f>"10095307    "</f>
        <v xml:space="preserve">10095307    </v>
      </c>
      <c r="E18015" t="s">
        <v>455</v>
      </c>
      <c r="F18015" t="s">
        <v>456</v>
      </c>
      <c r="G18015">
        <v>235.97</v>
      </c>
      <c r="H18015">
        <v>250514</v>
      </c>
      <c r="I18015">
        <v>4369</v>
      </c>
      <c r="J18015" t="s">
        <v>188</v>
      </c>
      <c r="K18015">
        <v>337.1</v>
      </c>
      <c r="L18015">
        <v>47.95</v>
      </c>
      <c r="M18015">
        <v>14981</v>
      </c>
      <c r="N18015" t="s">
        <v>252</v>
      </c>
      <c r="O18015">
        <v>250519</v>
      </c>
      <c r="P18015">
        <v>188.02</v>
      </c>
    </row>
    <row r="18016" spans="1:16" x14ac:dyDescent="0.25">
      <c r="A18016" t="s">
        <v>3296</v>
      </c>
      <c r="B18016" t="s">
        <v>2931</v>
      </c>
      <c r="C18016">
        <v>6864</v>
      </c>
      <c r="D18016" t="str">
        <f>"10095237    "</f>
        <v xml:space="preserve">10095237    </v>
      </c>
      <c r="E18016" t="s">
        <v>455</v>
      </c>
      <c r="F18016" t="s">
        <v>456</v>
      </c>
      <c r="G18016">
        <v>104.65</v>
      </c>
      <c r="H18016">
        <v>250514</v>
      </c>
      <c r="I18016">
        <v>4369</v>
      </c>
      <c r="J18016" t="s">
        <v>188</v>
      </c>
      <c r="K18016">
        <v>313.95</v>
      </c>
      <c r="L18016">
        <v>21.26</v>
      </c>
      <c r="M18016">
        <v>11401</v>
      </c>
      <c r="N18016" t="s">
        <v>91</v>
      </c>
      <c r="O18016">
        <v>250519</v>
      </c>
      <c r="P18016">
        <v>83.39</v>
      </c>
    </row>
    <row r="18017" spans="1:16" x14ac:dyDescent="0.25">
      <c r="A18017" t="s">
        <v>3296</v>
      </c>
      <c r="B18017" t="s">
        <v>2931</v>
      </c>
      <c r="C18017">
        <v>6864</v>
      </c>
      <c r="D18017" t="str">
        <f>"10095237    "</f>
        <v xml:space="preserve">10095237    </v>
      </c>
      <c r="E18017" t="s">
        <v>455</v>
      </c>
      <c r="F18017" t="s">
        <v>456</v>
      </c>
      <c r="G18017">
        <v>209.3</v>
      </c>
      <c r="H18017">
        <v>250514</v>
      </c>
      <c r="I18017">
        <v>4369</v>
      </c>
      <c r="J18017" t="s">
        <v>188</v>
      </c>
      <c r="K18017">
        <v>313.95</v>
      </c>
      <c r="L18017">
        <v>42.53</v>
      </c>
      <c r="M18017">
        <v>14952</v>
      </c>
      <c r="N18017" t="s">
        <v>213</v>
      </c>
      <c r="O18017">
        <v>250519</v>
      </c>
      <c r="P18017">
        <v>166.77</v>
      </c>
    </row>
    <row r="18018" spans="1:16" x14ac:dyDescent="0.25">
      <c r="A18018" t="s">
        <v>3296</v>
      </c>
      <c r="B18018" t="s">
        <v>2931</v>
      </c>
      <c r="C18018">
        <v>8958</v>
      </c>
      <c r="D18018" t="str">
        <f>"10097259    "</f>
        <v xml:space="preserve">10097259    </v>
      </c>
      <c r="E18018" t="s">
        <v>455</v>
      </c>
      <c r="F18018" t="s">
        <v>456</v>
      </c>
      <c r="G18018">
        <v>101.13</v>
      </c>
      <c r="H18018">
        <v>250612</v>
      </c>
      <c r="I18018">
        <v>4369</v>
      </c>
      <c r="J18018" t="s">
        <v>188</v>
      </c>
      <c r="K18018">
        <v>337.1</v>
      </c>
      <c r="L18018">
        <v>20.55</v>
      </c>
      <c r="M18018">
        <v>14952</v>
      </c>
      <c r="N18018" t="s">
        <v>213</v>
      </c>
      <c r="O18018">
        <v>250619</v>
      </c>
      <c r="P18018">
        <v>80.58</v>
      </c>
    </row>
    <row r="18019" spans="1:16" x14ac:dyDescent="0.25">
      <c r="A18019" t="s">
        <v>3296</v>
      </c>
      <c r="B18019" t="s">
        <v>2931</v>
      </c>
      <c r="C18019">
        <v>8958</v>
      </c>
      <c r="D18019" t="str">
        <f>"10097259    "</f>
        <v xml:space="preserve">10097259    </v>
      </c>
      <c r="E18019" t="s">
        <v>455</v>
      </c>
      <c r="F18019" t="s">
        <v>456</v>
      </c>
      <c r="G18019">
        <v>235.97</v>
      </c>
      <c r="H18019">
        <v>250612</v>
      </c>
      <c r="I18019">
        <v>4369</v>
      </c>
      <c r="J18019" t="s">
        <v>188</v>
      </c>
      <c r="K18019">
        <v>337.1</v>
      </c>
      <c r="L18019">
        <v>47.95</v>
      </c>
      <c r="M18019">
        <v>14981</v>
      </c>
      <c r="N18019" t="s">
        <v>252</v>
      </c>
      <c r="O18019">
        <v>250619</v>
      </c>
      <c r="P18019">
        <v>188.02</v>
      </c>
    </row>
    <row r="18020" spans="1:16" x14ac:dyDescent="0.25">
      <c r="A18020" t="s">
        <v>3296</v>
      </c>
      <c r="B18020" t="s">
        <v>2931</v>
      </c>
      <c r="C18020">
        <v>9015</v>
      </c>
      <c r="D18020" t="str">
        <f>"10097188    "</f>
        <v xml:space="preserve">10097188    </v>
      </c>
      <c r="E18020" t="s">
        <v>455</v>
      </c>
      <c r="F18020" t="s">
        <v>456</v>
      </c>
      <c r="G18020">
        <v>104.65</v>
      </c>
      <c r="H18020">
        <v>250612</v>
      </c>
      <c r="I18020">
        <v>4369</v>
      </c>
      <c r="J18020" t="s">
        <v>188</v>
      </c>
      <c r="K18020">
        <v>313.95</v>
      </c>
      <c r="L18020">
        <v>21.26</v>
      </c>
      <c r="M18020">
        <v>11401</v>
      </c>
      <c r="N18020" t="s">
        <v>91</v>
      </c>
      <c r="O18020">
        <v>250625</v>
      </c>
      <c r="P18020">
        <v>83.39</v>
      </c>
    </row>
    <row r="18021" spans="1:16" x14ac:dyDescent="0.25">
      <c r="A18021" t="s">
        <v>3296</v>
      </c>
      <c r="B18021" t="s">
        <v>2931</v>
      </c>
      <c r="C18021">
        <v>9015</v>
      </c>
      <c r="D18021" t="str">
        <f>"10097188    "</f>
        <v xml:space="preserve">10097188    </v>
      </c>
      <c r="E18021" t="s">
        <v>455</v>
      </c>
      <c r="F18021" t="s">
        <v>456</v>
      </c>
      <c r="G18021">
        <v>209.3</v>
      </c>
      <c r="H18021">
        <v>250612</v>
      </c>
      <c r="I18021">
        <v>4369</v>
      </c>
      <c r="J18021" t="s">
        <v>188</v>
      </c>
      <c r="K18021">
        <v>313.95</v>
      </c>
      <c r="L18021">
        <v>42.53</v>
      </c>
      <c r="M18021">
        <v>14952</v>
      </c>
      <c r="N18021" t="s">
        <v>213</v>
      </c>
      <c r="O18021">
        <v>250625</v>
      </c>
      <c r="P18021">
        <v>166.77</v>
      </c>
    </row>
    <row r="18022" spans="1:16" x14ac:dyDescent="0.25">
      <c r="A18022" t="s">
        <v>3296</v>
      </c>
      <c r="B18022" t="s">
        <v>2931</v>
      </c>
      <c r="C18022">
        <v>9851</v>
      </c>
      <c r="D18022" t="str">
        <f>"10099748    "</f>
        <v xml:space="preserve">10099748    </v>
      </c>
      <c r="E18022" t="s">
        <v>455</v>
      </c>
      <c r="F18022" t="s">
        <v>456</v>
      </c>
      <c r="G18022">
        <v>101.13</v>
      </c>
      <c r="H18022">
        <v>250716</v>
      </c>
      <c r="I18022">
        <v>4369</v>
      </c>
      <c r="J18022" t="s">
        <v>188</v>
      </c>
      <c r="K18022">
        <v>337.1</v>
      </c>
      <c r="L18022">
        <v>20.55</v>
      </c>
      <c r="M18022">
        <v>14952</v>
      </c>
      <c r="N18022" t="s">
        <v>213</v>
      </c>
      <c r="O18022">
        <v>250730</v>
      </c>
      <c r="P18022">
        <v>80.58</v>
      </c>
    </row>
    <row r="18023" spans="1:16" x14ac:dyDescent="0.25">
      <c r="A18023" t="s">
        <v>3296</v>
      </c>
      <c r="B18023" t="s">
        <v>2931</v>
      </c>
      <c r="C18023">
        <v>9851</v>
      </c>
      <c r="D18023" t="str">
        <f>"10099748    "</f>
        <v xml:space="preserve">10099748    </v>
      </c>
      <c r="E18023" t="s">
        <v>455</v>
      </c>
      <c r="F18023" t="s">
        <v>456</v>
      </c>
      <c r="G18023">
        <v>235.97</v>
      </c>
      <c r="H18023">
        <v>250716</v>
      </c>
      <c r="I18023">
        <v>4369</v>
      </c>
      <c r="J18023" t="s">
        <v>188</v>
      </c>
      <c r="K18023">
        <v>337.1</v>
      </c>
      <c r="L18023">
        <v>47.95</v>
      </c>
      <c r="M18023">
        <v>14981</v>
      </c>
      <c r="N18023" t="s">
        <v>252</v>
      </c>
      <c r="O18023">
        <v>250730</v>
      </c>
      <c r="P18023">
        <v>188.02</v>
      </c>
    </row>
    <row r="18024" spans="1:16" x14ac:dyDescent="0.25">
      <c r="A18024" t="s">
        <v>3296</v>
      </c>
      <c r="B18024" t="s">
        <v>2931</v>
      </c>
      <c r="C18024">
        <v>9852</v>
      </c>
      <c r="D18024" t="str">
        <f>"10099649    "</f>
        <v xml:space="preserve">10099649    </v>
      </c>
      <c r="E18024" t="s">
        <v>455</v>
      </c>
      <c r="F18024" t="s">
        <v>456</v>
      </c>
      <c r="G18024">
        <v>104.65</v>
      </c>
      <c r="H18024">
        <v>250716</v>
      </c>
      <c r="I18024">
        <v>4369</v>
      </c>
      <c r="J18024" t="s">
        <v>188</v>
      </c>
      <c r="K18024">
        <v>313.95</v>
      </c>
      <c r="L18024">
        <v>21.26</v>
      </c>
      <c r="M18024">
        <v>11401</v>
      </c>
      <c r="N18024" t="s">
        <v>91</v>
      </c>
      <c r="O18024">
        <v>250730</v>
      </c>
      <c r="P18024">
        <v>83.39</v>
      </c>
    </row>
    <row r="18025" spans="1:16" x14ac:dyDescent="0.25">
      <c r="A18025" t="s">
        <v>3296</v>
      </c>
      <c r="B18025" t="s">
        <v>2931</v>
      </c>
      <c r="C18025">
        <v>9852</v>
      </c>
      <c r="D18025" t="str">
        <f>"10099649    "</f>
        <v xml:space="preserve">10099649    </v>
      </c>
      <c r="E18025" t="s">
        <v>455</v>
      </c>
      <c r="F18025" t="s">
        <v>456</v>
      </c>
      <c r="G18025">
        <v>209.3</v>
      </c>
      <c r="H18025">
        <v>250716</v>
      </c>
      <c r="I18025">
        <v>4369</v>
      </c>
      <c r="J18025" t="s">
        <v>188</v>
      </c>
      <c r="K18025">
        <v>313.95</v>
      </c>
      <c r="L18025">
        <v>42.53</v>
      </c>
      <c r="M18025">
        <v>14952</v>
      </c>
      <c r="N18025" t="s">
        <v>213</v>
      </c>
      <c r="O18025">
        <v>250730</v>
      </c>
      <c r="P18025">
        <v>166.77</v>
      </c>
    </row>
    <row r="18026" spans="1:16" x14ac:dyDescent="0.25">
      <c r="A18026" t="s">
        <v>3296</v>
      </c>
      <c r="B18026" t="s">
        <v>2931</v>
      </c>
      <c r="C18026">
        <v>10746</v>
      </c>
      <c r="D18026" t="str">
        <f>"10102012    "</f>
        <v xml:space="preserve">10102012    </v>
      </c>
      <c r="E18026" t="s">
        <v>455</v>
      </c>
      <c r="F18026" t="s">
        <v>456</v>
      </c>
      <c r="G18026">
        <v>104.65</v>
      </c>
      <c r="H18026">
        <v>250815</v>
      </c>
      <c r="I18026">
        <v>4369</v>
      </c>
      <c r="J18026" t="s">
        <v>188</v>
      </c>
      <c r="K18026">
        <v>313.95</v>
      </c>
      <c r="L18026">
        <v>21.26</v>
      </c>
      <c r="M18026">
        <v>11401</v>
      </c>
      <c r="N18026" t="s">
        <v>91</v>
      </c>
      <c r="O18026">
        <v>250821</v>
      </c>
      <c r="P18026">
        <v>83.39</v>
      </c>
    </row>
    <row r="18027" spans="1:16" x14ac:dyDescent="0.25">
      <c r="A18027" t="s">
        <v>3296</v>
      </c>
      <c r="B18027" t="s">
        <v>2931</v>
      </c>
      <c r="C18027">
        <v>10746</v>
      </c>
      <c r="D18027" t="str">
        <f>"10102012    "</f>
        <v xml:space="preserve">10102012    </v>
      </c>
      <c r="E18027" t="s">
        <v>455</v>
      </c>
      <c r="F18027" t="s">
        <v>456</v>
      </c>
      <c r="G18027">
        <v>209.3</v>
      </c>
      <c r="H18027">
        <v>250815</v>
      </c>
      <c r="I18027">
        <v>4369</v>
      </c>
      <c r="J18027" t="s">
        <v>188</v>
      </c>
      <c r="K18027">
        <v>313.95</v>
      </c>
      <c r="L18027">
        <v>42.53</v>
      </c>
      <c r="M18027">
        <v>14952</v>
      </c>
      <c r="N18027" t="s">
        <v>213</v>
      </c>
      <c r="O18027">
        <v>250821</v>
      </c>
      <c r="P18027">
        <v>166.77</v>
      </c>
    </row>
    <row r="18028" spans="1:16" x14ac:dyDescent="0.25">
      <c r="A18028" t="s">
        <v>3296</v>
      </c>
      <c r="B18028" t="s">
        <v>2931</v>
      </c>
      <c r="C18028">
        <v>10788</v>
      </c>
      <c r="D18028" t="str">
        <f>"10102011    "</f>
        <v xml:space="preserve">10102011    </v>
      </c>
      <c r="E18028" t="s">
        <v>455</v>
      </c>
      <c r="F18028" t="s">
        <v>456</v>
      </c>
      <c r="G18028">
        <v>101.13</v>
      </c>
      <c r="H18028">
        <v>250815</v>
      </c>
      <c r="I18028">
        <v>4369</v>
      </c>
      <c r="J18028" t="s">
        <v>188</v>
      </c>
      <c r="K18028">
        <v>337.1</v>
      </c>
      <c r="L18028">
        <v>20.55</v>
      </c>
      <c r="M18028">
        <v>14952</v>
      </c>
      <c r="N18028" t="s">
        <v>213</v>
      </c>
      <c r="O18028">
        <v>250822</v>
      </c>
      <c r="P18028">
        <v>80.58</v>
      </c>
    </row>
    <row r="18029" spans="1:16" x14ac:dyDescent="0.25">
      <c r="A18029" t="s">
        <v>3296</v>
      </c>
      <c r="B18029" t="s">
        <v>2931</v>
      </c>
      <c r="C18029">
        <v>10788</v>
      </c>
      <c r="D18029" t="str">
        <f>"10102011    "</f>
        <v xml:space="preserve">10102011    </v>
      </c>
      <c r="E18029" t="s">
        <v>455</v>
      </c>
      <c r="F18029" t="s">
        <v>456</v>
      </c>
      <c r="G18029">
        <v>235.97</v>
      </c>
      <c r="H18029">
        <v>250815</v>
      </c>
      <c r="I18029">
        <v>4369</v>
      </c>
      <c r="J18029" t="s">
        <v>188</v>
      </c>
      <c r="K18029">
        <v>337.1</v>
      </c>
      <c r="L18029">
        <v>47.95</v>
      </c>
      <c r="M18029">
        <v>14981</v>
      </c>
      <c r="N18029" t="s">
        <v>252</v>
      </c>
      <c r="O18029">
        <v>250822</v>
      </c>
      <c r="P18029">
        <v>188.02</v>
      </c>
    </row>
    <row r="18030" spans="1:16" x14ac:dyDescent="0.25">
      <c r="A18030" t="s">
        <v>3296</v>
      </c>
      <c r="B18030" t="s">
        <v>2931</v>
      </c>
      <c r="C18030">
        <v>12134</v>
      </c>
      <c r="D18030" t="str">
        <f>"10103830    "</f>
        <v xml:space="preserve">10103830    </v>
      </c>
      <c r="E18030" t="s">
        <v>455</v>
      </c>
      <c r="F18030" t="s">
        <v>456</v>
      </c>
      <c r="G18030">
        <v>101.13</v>
      </c>
      <c r="H18030">
        <v>250915</v>
      </c>
      <c r="I18030">
        <v>4369</v>
      </c>
      <c r="J18030" t="s">
        <v>188</v>
      </c>
      <c r="K18030">
        <v>337.1</v>
      </c>
      <c r="L18030">
        <v>20.55</v>
      </c>
      <c r="M18030">
        <v>14952</v>
      </c>
      <c r="N18030" t="s">
        <v>213</v>
      </c>
      <c r="O18030">
        <v>250916</v>
      </c>
      <c r="P18030">
        <v>80.58</v>
      </c>
    </row>
    <row r="18031" spans="1:16" x14ac:dyDescent="0.25">
      <c r="A18031" t="s">
        <v>3296</v>
      </c>
      <c r="B18031" t="s">
        <v>2931</v>
      </c>
      <c r="C18031">
        <v>12134</v>
      </c>
      <c r="D18031" t="str">
        <f>"10103830    "</f>
        <v xml:space="preserve">10103830    </v>
      </c>
      <c r="E18031" t="s">
        <v>455</v>
      </c>
      <c r="F18031" t="s">
        <v>456</v>
      </c>
      <c r="G18031">
        <v>235.97</v>
      </c>
      <c r="H18031">
        <v>250915</v>
      </c>
      <c r="I18031">
        <v>4369</v>
      </c>
      <c r="J18031" t="s">
        <v>188</v>
      </c>
      <c r="K18031">
        <v>337.1</v>
      </c>
      <c r="L18031">
        <v>47.95</v>
      </c>
      <c r="M18031">
        <v>14981</v>
      </c>
      <c r="N18031" t="s">
        <v>252</v>
      </c>
      <c r="O18031">
        <v>250916</v>
      </c>
      <c r="P18031">
        <v>188.02</v>
      </c>
    </row>
    <row r="18032" spans="1:16" x14ac:dyDescent="0.25">
      <c r="A18032" t="s">
        <v>3296</v>
      </c>
      <c r="B18032" t="s">
        <v>2931</v>
      </c>
      <c r="C18032">
        <v>12138</v>
      </c>
      <c r="D18032" t="str">
        <f>"10103365    "</f>
        <v xml:space="preserve">10103365    </v>
      </c>
      <c r="E18032" t="s">
        <v>455</v>
      </c>
      <c r="F18032" t="s">
        <v>456</v>
      </c>
      <c r="G18032">
        <v>94.18</v>
      </c>
      <c r="H18032">
        <v>250915</v>
      </c>
      <c r="I18032">
        <v>4369</v>
      </c>
      <c r="J18032" t="s">
        <v>188</v>
      </c>
      <c r="K18032">
        <v>313.95</v>
      </c>
      <c r="L18032">
        <v>19.14</v>
      </c>
      <c r="M18032">
        <v>11401</v>
      </c>
      <c r="N18032" t="s">
        <v>91</v>
      </c>
      <c r="O18032">
        <v>250916</v>
      </c>
      <c r="P18032">
        <v>75.040000000000006</v>
      </c>
    </row>
    <row r="18033" spans="1:16" x14ac:dyDescent="0.25">
      <c r="A18033" t="s">
        <v>3296</v>
      </c>
      <c r="B18033" t="s">
        <v>2931</v>
      </c>
      <c r="C18033">
        <v>12138</v>
      </c>
      <c r="D18033" t="str">
        <f>"10103365    "</f>
        <v xml:space="preserve">10103365    </v>
      </c>
      <c r="E18033" t="s">
        <v>455</v>
      </c>
      <c r="F18033" t="s">
        <v>456</v>
      </c>
      <c r="G18033">
        <v>219.77</v>
      </c>
      <c r="H18033">
        <v>250915</v>
      </c>
      <c r="I18033">
        <v>4369</v>
      </c>
      <c r="J18033" t="s">
        <v>188</v>
      </c>
      <c r="K18033">
        <v>313.95</v>
      </c>
      <c r="L18033">
        <v>44.65</v>
      </c>
      <c r="M18033">
        <v>14952</v>
      </c>
      <c r="N18033" t="s">
        <v>213</v>
      </c>
      <c r="O18033">
        <v>250916</v>
      </c>
      <c r="P18033">
        <v>175.12</v>
      </c>
    </row>
    <row r="18034" spans="1:16" x14ac:dyDescent="0.25">
      <c r="A18034" t="s">
        <v>3296</v>
      </c>
      <c r="B18034" t="s">
        <v>2931</v>
      </c>
      <c r="C18034">
        <v>14196</v>
      </c>
      <c r="D18034" t="str">
        <f>"10106416    "</f>
        <v xml:space="preserve">10106416    </v>
      </c>
      <c r="E18034" t="s">
        <v>455</v>
      </c>
      <c r="F18034" t="s">
        <v>456</v>
      </c>
      <c r="G18034">
        <v>94.18</v>
      </c>
      <c r="H18034">
        <v>251016</v>
      </c>
      <c r="I18034">
        <v>4369</v>
      </c>
      <c r="J18034" t="s">
        <v>188</v>
      </c>
      <c r="K18034">
        <v>313.95</v>
      </c>
      <c r="L18034">
        <v>19.14</v>
      </c>
      <c r="M18034">
        <v>11401</v>
      </c>
      <c r="N18034" t="s">
        <v>91</v>
      </c>
      <c r="O18034">
        <v>251027</v>
      </c>
      <c r="P18034">
        <v>75.040000000000006</v>
      </c>
    </row>
    <row r="18035" spans="1:16" x14ac:dyDescent="0.25">
      <c r="A18035" t="s">
        <v>3296</v>
      </c>
      <c r="B18035" t="s">
        <v>2931</v>
      </c>
      <c r="C18035">
        <v>14196</v>
      </c>
      <c r="D18035" t="str">
        <f>"10106416    "</f>
        <v xml:space="preserve">10106416    </v>
      </c>
      <c r="E18035" t="s">
        <v>455</v>
      </c>
      <c r="F18035" t="s">
        <v>456</v>
      </c>
      <c r="G18035">
        <v>219.77</v>
      </c>
      <c r="H18035">
        <v>251016</v>
      </c>
      <c r="I18035">
        <v>4369</v>
      </c>
      <c r="J18035" t="s">
        <v>188</v>
      </c>
      <c r="K18035">
        <v>313.95</v>
      </c>
      <c r="L18035">
        <v>44.65</v>
      </c>
      <c r="M18035">
        <v>14952</v>
      </c>
      <c r="N18035" t="s">
        <v>213</v>
      </c>
      <c r="O18035">
        <v>251027</v>
      </c>
      <c r="P18035">
        <v>175.12</v>
      </c>
    </row>
    <row r="18036" spans="1:16" x14ac:dyDescent="0.25">
      <c r="A18036" t="s">
        <v>3296</v>
      </c>
      <c r="B18036" t="s">
        <v>2931</v>
      </c>
      <c r="C18036">
        <v>14197</v>
      </c>
      <c r="D18036" t="str">
        <f>"10106506    "</f>
        <v xml:space="preserve">10106506    </v>
      </c>
      <c r="E18036" t="s">
        <v>455</v>
      </c>
      <c r="F18036" t="s">
        <v>456</v>
      </c>
      <c r="G18036">
        <v>101.13</v>
      </c>
      <c r="H18036">
        <v>251016</v>
      </c>
      <c r="I18036">
        <v>4369</v>
      </c>
      <c r="J18036" t="s">
        <v>188</v>
      </c>
      <c r="K18036">
        <v>337.1</v>
      </c>
      <c r="L18036">
        <v>20.55</v>
      </c>
      <c r="M18036">
        <v>14952</v>
      </c>
      <c r="N18036" t="s">
        <v>213</v>
      </c>
      <c r="O18036">
        <v>251027</v>
      </c>
      <c r="P18036">
        <v>80.58</v>
      </c>
    </row>
    <row r="18037" spans="1:16" x14ac:dyDescent="0.25">
      <c r="A18037" t="s">
        <v>3296</v>
      </c>
      <c r="B18037" t="s">
        <v>2931</v>
      </c>
      <c r="C18037">
        <v>14197</v>
      </c>
      <c r="D18037" t="str">
        <f>"10106506    "</f>
        <v xml:space="preserve">10106506    </v>
      </c>
      <c r="E18037" t="s">
        <v>455</v>
      </c>
      <c r="F18037" t="s">
        <v>456</v>
      </c>
      <c r="G18037">
        <v>235.97</v>
      </c>
      <c r="H18037">
        <v>251016</v>
      </c>
      <c r="I18037">
        <v>4369</v>
      </c>
      <c r="J18037" t="s">
        <v>188</v>
      </c>
      <c r="K18037">
        <v>337.1</v>
      </c>
      <c r="L18037">
        <v>47.95</v>
      </c>
      <c r="M18037">
        <v>14981</v>
      </c>
      <c r="N18037" t="s">
        <v>252</v>
      </c>
      <c r="O18037">
        <v>251027</v>
      </c>
      <c r="P18037">
        <v>188.02</v>
      </c>
    </row>
    <row r="18038" spans="1:16" x14ac:dyDescent="0.25">
      <c r="A18038" t="s">
        <v>3296</v>
      </c>
      <c r="B18038" t="s">
        <v>2931</v>
      </c>
      <c r="C18038">
        <v>15682</v>
      </c>
      <c r="D18038" t="str">
        <f>"10108911    "</f>
        <v xml:space="preserve">10108911    </v>
      </c>
      <c r="E18038" t="s">
        <v>455</v>
      </c>
      <c r="F18038" t="s">
        <v>456</v>
      </c>
      <c r="G18038">
        <v>94.18</v>
      </c>
      <c r="H18038">
        <v>251113</v>
      </c>
      <c r="I18038">
        <v>4369</v>
      </c>
      <c r="J18038" t="s">
        <v>188</v>
      </c>
      <c r="K18038">
        <v>313.95</v>
      </c>
      <c r="L18038">
        <v>19.14</v>
      </c>
      <c r="M18038">
        <v>11401</v>
      </c>
      <c r="N18038" t="s">
        <v>91</v>
      </c>
      <c r="O18038">
        <v>251125</v>
      </c>
      <c r="P18038">
        <v>75.040000000000006</v>
      </c>
    </row>
    <row r="18039" spans="1:16" x14ac:dyDescent="0.25">
      <c r="A18039" t="s">
        <v>3296</v>
      </c>
      <c r="B18039" t="s">
        <v>2931</v>
      </c>
      <c r="C18039">
        <v>15682</v>
      </c>
      <c r="D18039" t="str">
        <f>"10108911    "</f>
        <v xml:space="preserve">10108911    </v>
      </c>
      <c r="E18039" t="s">
        <v>455</v>
      </c>
      <c r="F18039" t="s">
        <v>456</v>
      </c>
      <c r="G18039">
        <v>219.77</v>
      </c>
      <c r="H18039">
        <v>251113</v>
      </c>
      <c r="I18039">
        <v>4369</v>
      </c>
      <c r="J18039" t="s">
        <v>188</v>
      </c>
      <c r="K18039">
        <v>313.95</v>
      </c>
      <c r="L18039">
        <v>44.65</v>
      </c>
      <c r="M18039">
        <v>14952</v>
      </c>
      <c r="N18039" t="s">
        <v>213</v>
      </c>
      <c r="O18039">
        <v>251125</v>
      </c>
      <c r="P18039">
        <v>175.12</v>
      </c>
    </row>
    <row r="18040" spans="1:16" x14ac:dyDescent="0.25">
      <c r="A18040" t="s">
        <v>3296</v>
      </c>
      <c r="B18040" t="s">
        <v>2931</v>
      </c>
      <c r="C18040">
        <v>15684</v>
      </c>
      <c r="D18040" t="str">
        <f>"10109002    "</f>
        <v xml:space="preserve">10109002    </v>
      </c>
      <c r="E18040" t="s">
        <v>455</v>
      </c>
      <c r="F18040" t="s">
        <v>456</v>
      </c>
      <c r="G18040">
        <v>101.13</v>
      </c>
      <c r="H18040">
        <v>251113</v>
      </c>
      <c r="I18040">
        <v>4369</v>
      </c>
      <c r="J18040" t="s">
        <v>188</v>
      </c>
      <c r="K18040">
        <v>337.1</v>
      </c>
      <c r="L18040">
        <v>20.55</v>
      </c>
      <c r="M18040">
        <v>14952</v>
      </c>
      <c r="N18040" t="s">
        <v>213</v>
      </c>
      <c r="O18040">
        <v>251125</v>
      </c>
      <c r="P18040">
        <v>80.58</v>
      </c>
    </row>
    <row r="18041" spans="1:16" x14ac:dyDescent="0.25">
      <c r="A18041" t="s">
        <v>3296</v>
      </c>
      <c r="B18041" t="s">
        <v>2931</v>
      </c>
      <c r="C18041">
        <v>15684</v>
      </c>
      <c r="D18041" t="str">
        <f>"10109002    "</f>
        <v xml:space="preserve">10109002    </v>
      </c>
      <c r="E18041" t="s">
        <v>455</v>
      </c>
      <c r="F18041" t="s">
        <v>456</v>
      </c>
      <c r="G18041">
        <v>235.97</v>
      </c>
      <c r="H18041">
        <v>251113</v>
      </c>
      <c r="I18041">
        <v>4369</v>
      </c>
      <c r="J18041" t="s">
        <v>188</v>
      </c>
      <c r="K18041">
        <v>337.1</v>
      </c>
      <c r="L18041">
        <v>47.95</v>
      </c>
      <c r="M18041">
        <v>14981</v>
      </c>
      <c r="N18041" t="s">
        <v>252</v>
      </c>
      <c r="O18041">
        <v>251125</v>
      </c>
      <c r="P18041">
        <v>188.02</v>
      </c>
    </row>
    <row r="18042" spans="1:16" x14ac:dyDescent="0.25">
      <c r="A18042" t="s">
        <v>3296</v>
      </c>
      <c r="B18042" t="s">
        <v>2931</v>
      </c>
      <c r="C18042">
        <v>17378</v>
      </c>
      <c r="D18042" t="str">
        <f>"10110908    "</f>
        <v xml:space="preserve">10110908    </v>
      </c>
      <c r="E18042" t="s">
        <v>455</v>
      </c>
      <c r="F18042" t="s">
        <v>456</v>
      </c>
      <c r="G18042">
        <v>101.13</v>
      </c>
      <c r="H18042">
        <v>251217</v>
      </c>
      <c r="I18042">
        <v>4369</v>
      </c>
      <c r="J18042" t="s">
        <v>188</v>
      </c>
      <c r="K18042">
        <v>337.1</v>
      </c>
      <c r="L18042">
        <v>20.55</v>
      </c>
      <c r="M18042">
        <v>14952</v>
      </c>
      <c r="N18042" t="s">
        <v>213</v>
      </c>
      <c r="O18042">
        <v>251219</v>
      </c>
      <c r="P18042">
        <v>80.58</v>
      </c>
    </row>
    <row r="18043" spans="1:16" x14ac:dyDescent="0.25">
      <c r="A18043" t="s">
        <v>3296</v>
      </c>
      <c r="B18043" t="s">
        <v>2931</v>
      </c>
      <c r="C18043">
        <v>17378</v>
      </c>
      <c r="D18043" t="str">
        <f>"10110908    "</f>
        <v xml:space="preserve">10110908    </v>
      </c>
      <c r="E18043" t="s">
        <v>455</v>
      </c>
      <c r="F18043" t="s">
        <v>456</v>
      </c>
      <c r="G18043">
        <v>235.97</v>
      </c>
      <c r="H18043">
        <v>251217</v>
      </c>
      <c r="I18043">
        <v>4369</v>
      </c>
      <c r="J18043" t="s">
        <v>188</v>
      </c>
      <c r="K18043">
        <v>337.1</v>
      </c>
      <c r="L18043">
        <v>47.95</v>
      </c>
      <c r="M18043">
        <v>14981</v>
      </c>
      <c r="N18043" t="s">
        <v>252</v>
      </c>
      <c r="O18043">
        <v>251219</v>
      </c>
      <c r="P18043">
        <v>188.02</v>
      </c>
    </row>
    <row r="18044" spans="1:16" x14ac:dyDescent="0.25">
      <c r="A18044" t="s">
        <v>3296</v>
      </c>
      <c r="B18044" t="s">
        <v>2931</v>
      </c>
      <c r="C18044">
        <v>17562</v>
      </c>
      <c r="D18044" t="str">
        <f>"10110820    "</f>
        <v xml:space="preserve">10110820    </v>
      </c>
      <c r="E18044" t="s">
        <v>455</v>
      </c>
      <c r="F18044" t="s">
        <v>456</v>
      </c>
      <c r="G18044">
        <v>94.18</v>
      </c>
      <c r="H18044">
        <v>251217</v>
      </c>
      <c r="I18044">
        <v>4369</v>
      </c>
      <c r="J18044" t="s">
        <v>188</v>
      </c>
      <c r="K18044">
        <v>313.95</v>
      </c>
      <c r="L18044">
        <v>19.14</v>
      </c>
      <c r="M18044">
        <v>11401</v>
      </c>
      <c r="N18044" t="s">
        <v>91</v>
      </c>
      <c r="O18044">
        <v>251222</v>
      </c>
      <c r="P18044">
        <v>75.040000000000006</v>
      </c>
    </row>
    <row r="18045" spans="1:16" x14ac:dyDescent="0.25">
      <c r="A18045" t="s">
        <v>3296</v>
      </c>
      <c r="B18045" t="s">
        <v>2931</v>
      </c>
      <c r="C18045">
        <v>17562</v>
      </c>
      <c r="D18045" t="str">
        <f>"10110820    "</f>
        <v xml:space="preserve">10110820    </v>
      </c>
      <c r="E18045" t="s">
        <v>455</v>
      </c>
      <c r="F18045" t="s">
        <v>456</v>
      </c>
      <c r="G18045">
        <v>219.77</v>
      </c>
      <c r="H18045">
        <v>251217</v>
      </c>
      <c r="I18045">
        <v>4369</v>
      </c>
      <c r="J18045" t="s">
        <v>188</v>
      </c>
      <c r="K18045">
        <v>313.95</v>
      </c>
      <c r="L18045">
        <v>44.65</v>
      </c>
      <c r="M18045">
        <v>14952</v>
      </c>
      <c r="N18045" t="s">
        <v>213</v>
      </c>
      <c r="O18045">
        <v>251222</v>
      </c>
      <c r="P18045">
        <v>175.12</v>
      </c>
    </row>
    <row r="18046" spans="1:16" x14ac:dyDescent="0.25">
      <c r="A18046" t="s">
        <v>3296</v>
      </c>
      <c r="B18046" t="s">
        <v>2931</v>
      </c>
      <c r="C18046">
        <v>8847</v>
      </c>
      <c r="D18046" t="str">
        <f>"3004831444  "</f>
        <v xml:space="preserve">3004831444  </v>
      </c>
      <c r="E18046" t="s">
        <v>1592</v>
      </c>
      <c r="F18046" t="s">
        <v>1593</v>
      </c>
      <c r="G18046">
        <v>15</v>
      </c>
      <c r="H18046">
        <v>250606</v>
      </c>
      <c r="I18046">
        <v>4347</v>
      </c>
      <c r="J18046" t="s">
        <v>328</v>
      </c>
      <c r="K18046">
        <v>166.06</v>
      </c>
      <c r="L18046">
        <v>3.05</v>
      </c>
      <c r="M18046">
        <v>11101</v>
      </c>
      <c r="N18046" t="s">
        <v>67</v>
      </c>
      <c r="O18046">
        <v>250618</v>
      </c>
      <c r="P18046">
        <v>11.95</v>
      </c>
    </row>
    <row r="18047" spans="1:16" x14ac:dyDescent="0.25">
      <c r="A18047" t="s">
        <v>3296</v>
      </c>
      <c r="B18047" t="s">
        <v>2931</v>
      </c>
      <c r="C18047">
        <v>4209</v>
      </c>
      <c r="D18047" t="str">
        <f>"3004637514  "</f>
        <v xml:space="preserve">3004637514  </v>
      </c>
      <c r="E18047" t="s">
        <v>1592</v>
      </c>
      <c r="F18047" t="s">
        <v>1593</v>
      </c>
      <c r="G18047">
        <v>9</v>
      </c>
      <c r="H18047">
        <v>250319</v>
      </c>
      <c r="I18047">
        <v>4410</v>
      </c>
      <c r="J18047" t="s">
        <v>165</v>
      </c>
      <c r="K18047">
        <v>127.64</v>
      </c>
      <c r="L18047">
        <v>0</v>
      </c>
      <c r="M18047">
        <v>47522</v>
      </c>
      <c r="N18047" t="s">
        <v>106</v>
      </c>
      <c r="O18047">
        <v>250409</v>
      </c>
      <c r="P18047">
        <v>9</v>
      </c>
    </row>
    <row r="18048" spans="1:16" x14ac:dyDescent="0.25">
      <c r="A18048" t="s">
        <v>3296</v>
      </c>
      <c r="B18048" t="s">
        <v>2931</v>
      </c>
      <c r="C18048">
        <v>4209</v>
      </c>
      <c r="D18048" t="str">
        <f>"3004637514  "</f>
        <v xml:space="preserve">3004637514  </v>
      </c>
      <c r="E18048" t="s">
        <v>1592</v>
      </c>
      <c r="F18048" t="s">
        <v>1593</v>
      </c>
      <c r="G18048">
        <v>15</v>
      </c>
      <c r="H18048">
        <v>250319</v>
      </c>
      <c r="I18048">
        <v>4410</v>
      </c>
      <c r="J18048" t="s">
        <v>165</v>
      </c>
      <c r="K18048">
        <v>127.64</v>
      </c>
      <c r="L18048">
        <v>3.05</v>
      </c>
      <c r="M18048">
        <v>47522</v>
      </c>
      <c r="N18048" t="s">
        <v>106</v>
      </c>
      <c r="O18048">
        <v>250409</v>
      </c>
      <c r="P18048">
        <v>11.95</v>
      </c>
    </row>
    <row r="18049" spans="1:16" x14ac:dyDescent="0.25">
      <c r="A18049" t="s">
        <v>3296</v>
      </c>
      <c r="B18049" t="s">
        <v>2931</v>
      </c>
      <c r="C18049">
        <v>4209</v>
      </c>
      <c r="D18049" t="str">
        <f>"3004637514  "</f>
        <v xml:space="preserve">3004637514  </v>
      </c>
      <c r="E18049" t="s">
        <v>1592</v>
      </c>
      <c r="F18049" t="s">
        <v>1593</v>
      </c>
      <c r="G18049">
        <v>103.64</v>
      </c>
      <c r="H18049">
        <v>250319</v>
      </c>
      <c r="I18049">
        <v>4410</v>
      </c>
      <c r="J18049" t="s">
        <v>165</v>
      </c>
      <c r="K18049">
        <v>127.64</v>
      </c>
      <c r="L18049">
        <v>12.73</v>
      </c>
      <c r="M18049">
        <v>47522</v>
      </c>
      <c r="N18049" t="s">
        <v>106</v>
      </c>
      <c r="O18049">
        <v>250409</v>
      </c>
      <c r="P18049">
        <v>90.91</v>
      </c>
    </row>
    <row r="18050" spans="1:16" x14ac:dyDescent="0.25">
      <c r="A18050" t="s">
        <v>3296</v>
      </c>
      <c r="B18050" t="s">
        <v>2931</v>
      </c>
      <c r="C18050">
        <v>5492</v>
      </c>
      <c r="D18050" t="str">
        <f>"3004675460  "</f>
        <v xml:space="preserve">3004675460  </v>
      </c>
      <c r="E18050" t="s">
        <v>1592</v>
      </c>
      <c r="F18050" t="s">
        <v>1593</v>
      </c>
      <c r="G18050">
        <v>6.8</v>
      </c>
      <c r="H18050">
        <v>250403</v>
      </c>
      <c r="I18050">
        <v>4410</v>
      </c>
      <c r="J18050" t="s">
        <v>165</v>
      </c>
      <c r="K18050">
        <v>166.06</v>
      </c>
      <c r="L18050">
        <v>0</v>
      </c>
      <c r="M18050">
        <v>12500</v>
      </c>
      <c r="N18050" t="s">
        <v>1502</v>
      </c>
      <c r="O18050">
        <v>250425</v>
      </c>
      <c r="P18050">
        <v>6.8</v>
      </c>
    </row>
    <row r="18051" spans="1:16" x14ac:dyDescent="0.25">
      <c r="A18051" t="s">
        <v>3296</v>
      </c>
      <c r="B18051" t="s">
        <v>2931</v>
      </c>
      <c r="C18051">
        <v>5492</v>
      </c>
      <c r="D18051" t="str">
        <f>"3004675460  "</f>
        <v xml:space="preserve">3004675460  </v>
      </c>
      <c r="E18051" t="s">
        <v>1592</v>
      </c>
      <c r="F18051" t="s">
        <v>1593</v>
      </c>
      <c r="G18051">
        <v>159.26</v>
      </c>
      <c r="H18051">
        <v>250403</v>
      </c>
      <c r="I18051">
        <v>4410</v>
      </c>
      <c r="J18051" t="s">
        <v>165</v>
      </c>
      <c r="K18051">
        <v>166.06</v>
      </c>
      <c r="L18051">
        <v>19.559999999999999</v>
      </c>
      <c r="M18051">
        <v>12500</v>
      </c>
      <c r="N18051" t="s">
        <v>1502</v>
      </c>
      <c r="O18051">
        <v>250425</v>
      </c>
      <c r="P18051">
        <v>139.69999999999999</v>
      </c>
    </row>
    <row r="18052" spans="1:16" x14ac:dyDescent="0.25">
      <c r="A18052" t="s">
        <v>3296</v>
      </c>
      <c r="B18052" t="s">
        <v>2931</v>
      </c>
      <c r="C18052">
        <v>5532</v>
      </c>
      <c r="D18052" t="str">
        <f>"3004695935  "</f>
        <v xml:space="preserve">3004695935  </v>
      </c>
      <c r="E18052" t="s">
        <v>1592</v>
      </c>
      <c r="F18052" t="s">
        <v>1593</v>
      </c>
      <c r="G18052">
        <v>9</v>
      </c>
      <c r="H18052">
        <v>250409</v>
      </c>
      <c r="I18052">
        <v>4410</v>
      </c>
      <c r="J18052" t="s">
        <v>165</v>
      </c>
      <c r="K18052">
        <v>149.63999999999999</v>
      </c>
      <c r="L18052">
        <v>0</v>
      </c>
      <c r="M18052">
        <v>47522</v>
      </c>
      <c r="N18052" t="s">
        <v>106</v>
      </c>
      <c r="O18052">
        <v>250425</v>
      </c>
      <c r="P18052">
        <v>9</v>
      </c>
    </row>
    <row r="18053" spans="1:16" x14ac:dyDescent="0.25">
      <c r="A18053" t="s">
        <v>3296</v>
      </c>
      <c r="B18053" t="s">
        <v>2931</v>
      </c>
      <c r="C18053">
        <v>5532</v>
      </c>
      <c r="D18053" t="str">
        <f>"3004695935  "</f>
        <v xml:space="preserve">3004695935  </v>
      </c>
      <c r="E18053" t="s">
        <v>1592</v>
      </c>
      <c r="F18053" t="s">
        <v>1593</v>
      </c>
      <c r="G18053">
        <v>22</v>
      </c>
      <c r="H18053">
        <v>250409</v>
      </c>
      <c r="I18053">
        <v>4410</v>
      </c>
      <c r="J18053" t="s">
        <v>165</v>
      </c>
      <c r="K18053">
        <v>149.63999999999999</v>
      </c>
      <c r="L18053">
        <v>4.47</v>
      </c>
      <c r="M18053">
        <v>47522</v>
      </c>
      <c r="N18053" t="s">
        <v>106</v>
      </c>
      <c r="O18053">
        <v>250425</v>
      </c>
      <c r="P18053">
        <v>17.53</v>
      </c>
    </row>
    <row r="18054" spans="1:16" x14ac:dyDescent="0.25">
      <c r="A18054" t="s">
        <v>3296</v>
      </c>
      <c r="B18054" t="s">
        <v>2931</v>
      </c>
      <c r="C18054">
        <v>5532</v>
      </c>
      <c r="D18054" t="str">
        <f>"3004695935  "</f>
        <v xml:space="preserve">3004695935  </v>
      </c>
      <c r="E18054" t="s">
        <v>1592</v>
      </c>
      <c r="F18054" t="s">
        <v>1593</v>
      </c>
      <c r="G18054">
        <v>118.64</v>
      </c>
      <c r="H18054">
        <v>250409</v>
      </c>
      <c r="I18054">
        <v>4410</v>
      </c>
      <c r="J18054" t="s">
        <v>165</v>
      </c>
      <c r="K18054">
        <v>149.63999999999999</v>
      </c>
      <c r="L18054">
        <v>14.57</v>
      </c>
      <c r="M18054">
        <v>47522</v>
      </c>
      <c r="N18054" t="s">
        <v>106</v>
      </c>
      <c r="O18054">
        <v>250425</v>
      </c>
      <c r="P18054">
        <v>104.07</v>
      </c>
    </row>
    <row r="18055" spans="1:16" x14ac:dyDescent="0.25">
      <c r="A18055" t="s">
        <v>3296</v>
      </c>
      <c r="B18055" t="s">
        <v>2931</v>
      </c>
      <c r="C18055">
        <v>5315</v>
      </c>
      <c r="D18055" t="str">
        <f>"3004675461  "</f>
        <v xml:space="preserve">3004675461  </v>
      </c>
      <c r="E18055" t="s">
        <v>1592</v>
      </c>
      <c r="F18055" t="s">
        <v>1593</v>
      </c>
      <c r="G18055">
        <v>6.8</v>
      </c>
      <c r="H18055">
        <v>250403</v>
      </c>
      <c r="I18055">
        <v>4412</v>
      </c>
      <c r="J18055" t="s">
        <v>884</v>
      </c>
      <c r="K18055">
        <v>166.06</v>
      </c>
      <c r="L18055">
        <v>0</v>
      </c>
      <c r="M18055">
        <v>11903</v>
      </c>
      <c r="N18055" t="s">
        <v>32</v>
      </c>
      <c r="O18055">
        <v>250423</v>
      </c>
      <c r="P18055">
        <v>6.8</v>
      </c>
    </row>
    <row r="18056" spans="1:16" x14ac:dyDescent="0.25">
      <c r="A18056" t="s">
        <v>3296</v>
      </c>
      <c r="B18056" t="s">
        <v>2931</v>
      </c>
      <c r="C18056">
        <v>5315</v>
      </c>
      <c r="D18056" t="str">
        <f>"3004675461  "</f>
        <v xml:space="preserve">3004675461  </v>
      </c>
      <c r="E18056" t="s">
        <v>1592</v>
      </c>
      <c r="F18056" t="s">
        <v>1593</v>
      </c>
      <c r="G18056">
        <v>144.26</v>
      </c>
      <c r="H18056">
        <v>250403</v>
      </c>
      <c r="I18056">
        <v>4412</v>
      </c>
      <c r="J18056" t="s">
        <v>884</v>
      </c>
      <c r="K18056">
        <v>166.06</v>
      </c>
      <c r="L18056">
        <v>17.72</v>
      </c>
      <c r="M18056">
        <v>11903</v>
      </c>
      <c r="N18056" t="s">
        <v>32</v>
      </c>
      <c r="O18056">
        <v>250423</v>
      </c>
      <c r="P18056">
        <v>126.54</v>
      </c>
    </row>
    <row r="18057" spans="1:16" x14ac:dyDescent="0.25">
      <c r="A18057" t="s">
        <v>3296</v>
      </c>
      <c r="B18057" t="s">
        <v>2931</v>
      </c>
      <c r="C18057">
        <v>8847</v>
      </c>
      <c r="D18057" t="str">
        <f>"3004831444  "</f>
        <v xml:space="preserve">3004831444  </v>
      </c>
      <c r="E18057" t="s">
        <v>1592</v>
      </c>
      <c r="F18057" t="s">
        <v>1593</v>
      </c>
      <c r="G18057">
        <v>6.8</v>
      </c>
      <c r="H18057">
        <v>250606</v>
      </c>
      <c r="I18057">
        <v>4412</v>
      </c>
      <c r="J18057" t="s">
        <v>884</v>
      </c>
      <c r="K18057">
        <v>166.06</v>
      </c>
      <c r="L18057">
        <v>0</v>
      </c>
      <c r="M18057">
        <v>11101</v>
      </c>
      <c r="N18057" t="s">
        <v>67</v>
      </c>
      <c r="O18057">
        <v>250618</v>
      </c>
      <c r="P18057">
        <v>6.8</v>
      </c>
    </row>
    <row r="18058" spans="1:16" x14ac:dyDescent="0.25">
      <c r="A18058" t="s">
        <v>3296</v>
      </c>
      <c r="B18058" t="s">
        <v>2931</v>
      </c>
      <c r="C18058">
        <v>8847</v>
      </c>
      <c r="D18058" t="str">
        <f>"3004831444  "</f>
        <v xml:space="preserve">3004831444  </v>
      </c>
      <c r="E18058" t="s">
        <v>1592</v>
      </c>
      <c r="F18058" t="s">
        <v>1593</v>
      </c>
      <c r="G18058">
        <v>144.26</v>
      </c>
      <c r="H18058">
        <v>250606</v>
      </c>
      <c r="I18058">
        <v>4412</v>
      </c>
      <c r="J18058" t="s">
        <v>884</v>
      </c>
      <c r="K18058">
        <v>166.06</v>
      </c>
      <c r="L18058">
        <v>17.72</v>
      </c>
      <c r="M18058">
        <v>11101</v>
      </c>
      <c r="N18058" t="s">
        <v>67</v>
      </c>
      <c r="O18058">
        <v>250618</v>
      </c>
      <c r="P18058">
        <v>126.54</v>
      </c>
    </row>
    <row r="18059" spans="1:16" x14ac:dyDescent="0.25">
      <c r="A18059" t="s">
        <v>3296</v>
      </c>
      <c r="B18059" t="s">
        <v>2931</v>
      </c>
      <c r="C18059">
        <v>5315</v>
      </c>
      <c r="D18059" t="str">
        <f>"3004675461  "</f>
        <v xml:space="preserve">3004675461  </v>
      </c>
      <c r="E18059" t="s">
        <v>1592</v>
      </c>
      <c r="F18059" t="s">
        <v>1593</v>
      </c>
      <c r="G18059">
        <v>15</v>
      </c>
      <c r="H18059">
        <v>250403</v>
      </c>
      <c r="I18059">
        <v>4470</v>
      </c>
      <c r="J18059" t="s">
        <v>203</v>
      </c>
      <c r="K18059">
        <v>166.06</v>
      </c>
      <c r="L18059">
        <v>3.05</v>
      </c>
      <c r="M18059">
        <v>11903</v>
      </c>
      <c r="N18059" t="s">
        <v>32</v>
      </c>
      <c r="O18059">
        <v>250423</v>
      </c>
      <c r="P18059">
        <v>11.95</v>
      </c>
    </row>
    <row r="18060" spans="1:16" x14ac:dyDescent="0.25">
      <c r="A18060" t="s">
        <v>3296</v>
      </c>
      <c r="B18060" t="s">
        <v>2931</v>
      </c>
      <c r="C18060">
        <v>1170</v>
      </c>
      <c r="D18060" t="str">
        <f>"530250      "</f>
        <v xml:space="preserve">530250      </v>
      </c>
      <c r="E18060" t="s">
        <v>591</v>
      </c>
      <c r="F18060" t="s">
        <v>592</v>
      </c>
      <c r="G18060">
        <v>412.9</v>
      </c>
      <c r="H18060">
        <v>250122</v>
      </c>
      <c r="I18060">
        <v>4550</v>
      </c>
      <c r="J18060" t="s">
        <v>226</v>
      </c>
      <c r="K18060">
        <v>567.26</v>
      </c>
      <c r="L18060">
        <v>83.9</v>
      </c>
      <c r="M18060">
        <v>17802</v>
      </c>
      <c r="N18060" t="s">
        <v>18</v>
      </c>
      <c r="O18060">
        <v>250205</v>
      </c>
      <c r="P18060">
        <v>329</v>
      </c>
    </row>
    <row r="18061" spans="1:16" x14ac:dyDescent="0.25">
      <c r="A18061" t="s">
        <v>3296</v>
      </c>
      <c r="B18061" t="s">
        <v>2931</v>
      </c>
      <c r="C18061">
        <v>566</v>
      </c>
      <c r="D18061" t="str">
        <f>"530251      "</f>
        <v xml:space="preserve">530251      </v>
      </c>
      <c r="E18061" t="s">
        <v>591</v>
      </c>
      <c r="F18061" t="s">
        <v>592</v>
      </c>
      <c r="G18061">
        <v>981.41</v>
      </c>
      <c r="H18061">
        <v>250122</v>
      </c>
      <c r="I18061">
        <v>4560</v>
      </c>
      <c r="J18061" t="s">
        <v>390</v>
      </c>
      <c r="K18061">
        <v>981.41</v>
      </c>
      <c r="L18061">
        <v>199.41</v>
      </c>
      <c r="M18061">
        <v>17804</v>
      </c>
      <c r="N18061" t="s">
        <v>20</v>
      </c>
      <c r="O18061">
        <v>250124</v>
      </c>
      <c r="P18061">
        <v>782</v>
      </c>
    </row>
    <row r="18062" spans="1:16" x14ac:dyDescent="0.25">
      <c r="A18062" t="s">
        <v>3296</v>
      </c>
      <c r="B18062" t="s">
        <v>2931</v>
      </c>
      <c r="C18062">
        <v>1170</v>
      </c>
      <c r="D18062" t="str">
        <f>"530250      "</f>
        <v xml:space="preserve">530250      </v>
      </c>
      <c r="E18062" t="s">
        <v>591</v>
      </c>
      <c r="F18062" t="s">
        <v>592</v>
      </c>
      <c r="G18062">
        <v>154.36000000000001</v>
      </c>
      <c r="H18062">
        <v>250122</v>
      </c>
      <c r="I18062">
        <v>4600</v>
      </c>
      <c r="J18062" t="s">
        <v>278</v>
      </c>
      <c r="K18062">
        <v>567.26</v>
      </c>
      <c r="L18062">
        <v>31.36</v>
      </c>
      <c r="M18062">
        <v>17802</v>
      </c>
      <c r="N18062" t="s">
        <v>18</v>
      </c>
      <c r="O18062">
        <v>250205</v>
      </c>
      <c r="P18062">
        <v>123</v>
      </c>
    </row>
    <row r="18063" spans="1:16" x14ac:dyDescent="0.25">
      <c r="A18063" t="s">
        <v>3296</v>
      </c>
      <c r="B18063" t="s">
        <v>2931</v>
      </c>
      <c r="C18063">
        <v>7399</v>
      </c>
      <c r="D18063" t="str">
        <f>"77          "</f>
        <v xml:space="preserve">77          </v>
      </c>
      <c r="E18063" t="s">
        <v>1961</v>
      </c>
      <c r="F18063" t="s">
        <v>1962</v>
      </c>
      <c r="G18063">
        <v>2823.37</v>
      </c>
      <c r="H18063">
        <v>250522</v>
      </c>
      <c r="I18063">
        <v>4590</v>
      </c>
      <c r="J18063" t="s">
        <v>388</v>
      </c>
      <c r="K18063">
        <v>2823.37</v>
      </c>
      <c r="L18063">
        <v>573.66999999999996</v>
      </c>
      <c r="M18063">
        <v>69501</v>
      </c>
      <c r="N18063" t="s">
        <v>123</v>
      </c>
      <c r="O18063">
        <v>250603</v>
      </c>
      <c r="P18063">
        <v>2249.6999999999998</v>
      </c>
    </row>
    <row r="18064" spans="1:16" x14ac:dyDescent="0.25">
      <c r="A18064" t="s">
        <v>3296</v>
      </c>
      <c r="B18064" t="s">
        <v>2931</v>
      </c>
      <c r="C18064">
        <v>12124</v>
      </c>
      <c r="D18064" t="str">
        <f>"918839      "</f>
        <v xml:space="preserve">918839      </v>
      </c>
      <c r="E18064" t="s">
        <v>2322</v>
      </c>
      <c r="F18064" t="s">
        <v>2323</v>
      </c>
      <c r="G18064">
        <v>8038.2</v>
      </c>
      <c r="H18064">
        <v>250912</v>
      </c>
      <c r="I18064">
        <v>4390</v>
      </c>
      <c r="J18064" t="s">
        <v>232</v>
      </c>
      <c r="K18064">
        <v>8038.2</v>
      </c>
      <c r="L18064">
        <v>0</v>
      </c>
      <c r="M18064">
        <v>17952</v>
      </c>
      <c r="N18064" t="s">
        <v>157</v>
      </c>
      <c r="O18064">
        <v>250916</v>
      </c>
      <c r="P18064">
        <v>8038.2</v>
      </c>
    </row>
    <row r="18065" spans="1:16" x14ac:dyDescent="0.25">
      <c r="A18065" t="s">
        <v>3296</v>
      </c>
      <c r="B18065" t="s">
        <v>2931</v>
      </c>
      <c r="C18065">
        <v>17140</v>
      </c>
      <c r="D18065" t="str">
        <f>"13520       "</f>
        <v xml:space="preserve">13520       </v>
      </c>
      <c r="E18065" t="s">
        <v>2736</v>
      </c>
      <c r="F18065" t="s">
        <v>2737</v>
      </c>
      <c r="G18065">
        <v>4332.26</v>
      </c>
      <c r="H18065">
        <v>251204</v>
      </c>
      <c r="I18065">
        <v>1196</v>
      </c>
      <c r="J18065" t="s">
        <v>340</v>
      </c>
      <c r="K18065">
        <v>4332.26</v>
      </c>
      <c r="L18065">
        <v>880.26</v>
      </c>
      <c r="M18065">
        <v>97603</v>
      </c>
      <c r="N18065" t="s">
        <v>2289</v>
      </c>
      <c r="O18065">
        <v>251217</v>
      </c>
      <c r="P18065">
        <v>3452</v>
      </c>
    </row>
    <row r="18066" spans="1:16" x14ac:dyDescent="0.25">
      <c r="A18066" t="s">
        <v>3296</v>
      </c>
      <c r="B18066" t="s">
        <v>2931</v>
      </c>
      <c r="C18066">
        <v>17828</v>
      </c>
      <c r="D18066" t="str">
        <f>"13525       "</f>
        <v xml:space="preserve">13525       </v>
      </c>
      <c r="E18066" t="s">
        <v>2736</v>
      </c>
      <c r="F18066" t="s">
        <v>2737</v>
      </c>
      <c r="G18066">
        <v>239.58</v>
      </c>
      <c r="H18066">
        <v>251227</v>
      </c>
      <c r="I18066">
        <v>1196</v>
      </c>
      <c r="J18066" t="s">
        <v>340</v>
      </c>
      <c r="K18066">
        <v>239.58</v>
      </c>
      <c r="L18066">
        <v>48.68</v>
      </c>
      <c r="M18066">
        <v>97603</v>
      </c>
      <c r="N18066" t="s">
        <v>2289</v>
      </c>
      <c r="O18066">
        <v>251230</v>
      </c>
      <c r="P18066">
        <v>190.9</v>
      </c>
    </row>
    <row r="18067" spans="1:16" x14ac:dyDescent="0.25">
      <c r="A18067" t="s">
        <v>3296</v>
      </c>
      <c r="B18067" t="s">
        <v>2931</v>
      </c>
      <c r="C18067">
        <v>17242</v>
      </c>
      <c r="D18067" t="str">
        <f>"13519       "</f>
        <v xml:space="preserve">13519       </v>
      </c>
      <c r="E18067" t="s">
        <v>2736</v>
      </c>
      <c r="F18067" t="s">
        <v>2737</v>
      </c>
      <c r="G18067">
        <v>758.4</v>
      </c>
      <c r="H18067">
        <v>251204</v>
      </c>
      <c r="I18067">
        <v>4470</v>
      </c>
      <c r="J18067" t="s">
        <v>203</v>
      </c>
      <c r="K18067">
        <v>758.4</v>
      </c>
      <c r="L18067">
        <v>154.1</v>
      </c>
      <c r="M18067">
        <v>59501</v>
      </c>
      <c r="N18067" t="s">
        <v>62</v>
      </c>
      <c r="O18067">
        <v>251218</v>
      </c>
      <c r="P18067">
        <v>604.29999999999995</v>
      </c>
    </row>
    <row r="18068" spans="1:16" x14ac:dyDescent="0.25">
      <c r="A18068" t="s">
        <v>3296</v>
      </c>
      <c r="B18068" t="s">
        <v>2931</v>
      </c>
      <c r="C18068">
        <v>16114</v>
      </c>
      <c r="D18068" t="str">
        <f>"100         "</f>
        <v xml:space="preserve">100         </v>
      </c>
      <c r="E18068" t="s">
        <v>1170</v>
      </c>
      <c r="F18068" t="s">
        <v>1171</v>
      </c>
      <c r="G18068">
        <v>15</v>
      </c>
      <c r="H18068">
        <v>251128</v>
      </c>
      <c r="I18068">
        <v>4364</v>
      </c>
      <c r="J18068" t="s">
        <v>470</v>
      </c>
      <c r="K18068">
        <v>97.82</v>
      </c>
      <c r="L18068">
        <v>3.05</v>
      </c>
      <c r="M18068">
        <v>17526</v>
      </c>
      <c r="N18068" t="s">
        <v>141</v>
      </c>
      <c r="O18068">
        <v>251203</v>
      </c>
      <c r="P18068">
        <v>11.95</v>
      </c>
    </row>
    <row r="18069" spans="1:16" x14ac:dyDescent="0.25">
      <c r="A18069" t="s">
        <v>3296</v>
      </c>
      <c r="B18069" t="s">
        <v>2931</v>
      </c>
      <c r="C18069">
        <v>10030</v>
      </c>
      <c r="D18069" t="str">
        <f>"89          "</f>
        <v xml:space="preserve">89          </v>
      </c>
      <c r="E18069" t="s">
        <v>1170</v>
      </c>
      <c r="F18069" t="s">
        <v>1171</v>
      </c>
      <c r="G18069">
        <v>409</v>
      </c>
      <c r="H18069">
        <v>250731</v>
      </c>
      <c r="I18069">
        <v>4400</v>
      </c>
      <c r="J18069" t="s">
        <v>162</v>
      </c>
      <c r="K18069">
        <v>485</v>
      </c>
      <c r="L18069">
        <v>83.1</v>
      </c>
      <c r="M18069">
        <v>17523</v>
      </c>
      <c r="N18069" t="s">
        <v>138</v>
      </c>
      <c r="O18069">
        <v>250808</v>
      </c>
      <c r="P18069">
        <v>325.89999999999998</v>
      </c>
    </row>
    <row r="18070" spans="1:16" x14ac:dyDescent="0.25">
      <c r="A18070" t="s">
        <v>3296</v>
      </c>
      <c r="B18070" t="s">
        <v>2931</v>
      </c>
      <c r="C18070">
        <v>10030</v>
      </c>
      <c r="D18070" t="str">
        <f>"89          "</f>
        <v xml:space="preserve">89          </v>
      </c>
      <c r="E18070" t="s">
        <v>1170</v>
      </c>
      <c r="F18070" t="s">
        <v>1171</v>
      </c>
      <c r="G18070">
        <v>76</v>
      </c>
      <c r="H18070">
        <v>250731</v>
      </c>
      <c r="I18070">
        <v>4400</v>
      </c>
      <c r="J18070" t="s">
        <v>162</v>
      </c>
      <c r="K18070">
        <v>485</v>
      </c>
      <c r="L18070">
        <v>15.44</v>
      </c>
      <c r="M18070">
        <v>17526</v>
      </c>
      <c r="N18070" t="s">
        <v>141</v>
      </c>
      <c r="O18070">
        <v>250808</v>
      </c>
      <c r="P18070">
        <v>60.56</v>
      </c>
    </row>
    <row r="18071" spans="1:16" x14ac:dyDescent="0.25">
      <c r="A18071" t="s">
        <v>3296</v>
      </c>
      <c r="B18071" t="s">
        <v>2931</v>
      </c>
      <c r="C18071">
        <v>16114</v>
      </c>
      <c r="D18071" t="str">
        <f>"100         "</f>
        <v xml:space="preserve">100         </v>
      </c>
      <c r="E18071" t="s">
        <v>1170</v>
      </c>
      <c r="F18071" t="s">
        <v>1171</v>
      </c>
      <c r="G18071">
        <v>32</v>
      </c>
      <c r="H18071">
        <v>251128</v>
      </c>
      <c r="I18071">
        <v>4400</v>
      </c>
      <c r="J18071" t="s">
        <v>162</v>
      </c>
      <c r="K18071">
        <v>97.82</v>
      </c>
      <c r="L18071">
        <v>6.5</v>
      </c>
      <c r="M18071">
        <v>17523</v>
      </c>
      <c r="N18071" t="s">
        <v>138</v>
      </c>
      <c r="O18071">
        <v>251203</v>
      </c>
      <c r="P18071">
        <v>25.5</v>
      </c>
    </row>
    <row r="18072" spans="1:16" x14ac:dyDescent="0.25">
      <c r="A18072" t="s">
        <v>3296</v>
      </c>
      <c r="B18072" t="s">
        <v>2931</v>
      </c>
      <c r="C18072">
        <v>16114</v>
      </c>
      <c r="D18072" t="str">
        <f>"100         "</f>
        <v xml:space="preserve">100         </v>
      </c>
      <c r="E18072" t="s">
        <v>1170</v>
      </c>
      <c r="F18072" t="s">
        <v>1171</v>
      </c>
      <c r="G18072">
        <v>50.82</v>
      </c>
      <c r="H18072">
        <v>251128</v>
      </c>
      <c r="I18072">
        <v>4400</v>
      </c>
      <c r="J18072" t="s">
        <v>162</v>
      </c>
      <c r="K18072">
        <v>97.82</v>
      </c>
      <c r="L18072">
        <v>10.33</v>
      </c>
      <c r="M18072">
        <v>17526</v>
      </c>
      <c r="N18072" t="s">
        <v>141</v>
      </c>
      <c r="O18072">
        <v>251203</v>
      </c>
      <c r="P18072">
        <v>40.49</v>
      </c>
    </row>
    <row r="18073" spans="1:16" x14ac:dyDescent="0.25">
      <c r="A18073" t="s">
        <v>3296</v>
      </c>
      <c r="B18073" t="s">
        <v>2931</v>
      </c>
      <c r="C18073">
        <v>1959</v>
      </c>
      <c r="D18073" t="str">
        <f>"63          "</f>
        <v xml:space="preserve">63          </v>
      </c>
      <c r="E18073" t="s">
        <v>1170</v>
      </c>
      <c r="F18073" t="s">
        <v>1171</v>
      </c>
      <c r="G18073">
        <v>587</v>
      </c>
      <c r="H18073">
        <v>250213</v>
      </c>
      <c r="I18073">
        <v>4600</v>
      </c>
      <c r="J18073" t="s">
        <v>278</v>
      </c>
      <c r="K18073">
        <v>587</v>
      </c>
      <c r="L18073">
        <v>119.27</v>
      </c>
      <c r="M18073">
        <v>17526</v>
      </c>
      <c r="N18073" t="s">
        <v>141</v>
      </c>
      <c r="O18073">
        <v>250218</v>
      </c>
      <c r="P18073">
        <v>467.73</v>
      </c>
    </row>
    <row r="18074" spans="1:16" x14ac:dyDescent="0.25">
      <c r="A18074" t="s">
        <v>3296</v>
      </c>
      <c r="B18074" t="s">
        <v>2931</v>
      </c>
      <c r="C18074">
        <v>824</v>
      </c>
      <c r="D18074" t="str">
        <f>"106649      "</f>
        <v xml:space="preserve">106649      </v>
      </c>
      <c r="E18074" t="s">
        <v>740</v>
      </c>
      <c r="F18074" t="s">
        <v>741</v>
      </c>
      <c r="G18074">
        <v>131.49</v>
      </c>
      <c r="H18074">
        <v>250122</v>
      </c>
      <c r="I18074">
        <v>4534</v>
      </c>
      <c r="J18074" t="s">
        <v>349</v>
      </c>
      <c r="K18074">
        <v>262.98</v>
      </c>
      <c r="L18074">
        <v>26.72</v>
      </c>
      <c r="M18074">
        <v>54222</v>
      </c>
      <c r="N18074" t="s">
        <v>48</v>
      </c>
      <c r="O18074">
        <v>250129</v>
      </c>
      <c r="P18074">
        <v>104.77</v>
      </c>
    </row>
    <row r="18075" spans="1:16" x14ac:dyDescent="0.25">
      <c r="A18075" t="s">
        <v>3296</v>
      </c>
      <c r="B18075" t="s">
        <v>2931</v>
      </c>
      <c r="C18075">
        <v>824</v>
      </c>
      <c r="D18075" t="str">
        <f>"106649      "</f>
        <v xml:space="preserve">106649      </v>
      </c>
      <c r="E18075" t="s">
        <v>740</v>
      </c>
      <c r="F18075" t="s">
        <v>741</v>
      </c>
      <c r="G18075">
        <v>131.49</v>
      </c>
      <c r="H18075">
        <v>250122</v>
      </c>
      <c r="I18075">
        <v>4534</v>
      </c>
      <c r="J18075" t="s">
        <v>349</v>
      </c>
      <c r="K18075">
        <v>262.98</v>
      </c>
      <c r="L18075">
        <v>26.72</v>
      </c>
      <c r="M18075">
        <v>54252</v>
      </c>
      <c r="N18075" t="s">
        <v>742</v>
      </c>
      <c r="O18075">
        <v>250129</v>
      </c>
      <c r="P18075">
        <v>104.77</v>
      </c>
    </row>
    <row r="18076" spans="1:16" x14ac:dyDescent="0.25">
      <c r="A18076" t="s">
        <v>3296</v>
      </c>
      <c r="B18076" t="s">
        <v>2931</v>
      </c>
      <c r="C18076">
        <v>15521</v>
      </c>
      <c r="D18076" t="str">
        <f>"3005161470  "</f>
        <v xml:space="preserve">3005161470  </v>
      </c>
      <c r="E18076" t="s">
        <v>2843</v>
      </c>
      <c r="F18076" t="s">
        <v>2844</v>
      </c>
      <c r="G18076">
        <v>10</v>
      </c>
      <c r="H18076">
        <v>251119</v>
      </c>
      <c r="I18076">
        <v>4470</v>
      </c>
      <c r="J18076" t="s">
        <v>203</v>
      </c>
      <c r="K18076">
        <v>310</v>
      </c>
      <c r="L18076">
        <v>0</v>
      </c>
      <c r="M18076">
        <v>17803</v>
      </c>
      <c r="N18076" t="s">
        <v>19</v>
      </c>
      <c r="O18076">
        <v>251121</v>
      </c>
      <c r="P18076">
        <v>10</v>
      </c>
    </row>
    <row r="18077" spans="1:16" x14ac:dyDescent="0.25">
      <c r="A18077" t="s">
        <v>3296</v>
      </c>
      <c r="B18077" t="s">
        <v>2931</v>
      </c>
      <c r="C18077">
        <v>15521</v>
      </c>
      <c r="D18077" t="str">
        <f>"3005161470  "</f>
        <v xml:space="preserve">3005161470  </v>
      </c>
      <c r="E18077" t="s">
        <v>2843</v>
      </c>
      <c r="F18077" t="s">
        <v>2844</v>
      </c>
      <c r="G18077">
        <v>150</v>
      </c>
      <c r="H18077">
        <v>251119</v>
      </c>
      <c r="I18077">
        <v>4600</v>
      </c>
      <c r="J18077" t="s">
        <v>278</v>
      </c>
      <c r="K18077">
        <v>310</v>
      </c>
      <c r="L18077">
        <v>0</v>
      </c>
      <c r="M18077">
        <v>17803</v>
      </c>
      <c r="N18077" t="s">
        <v>19</v>
      </c>
      <c r="O18077">
        <v>251121</v>
      </c>
      <c r="P18077">
        <v>150</v>
      </c>
    </row>
    <row r="18078" spans="1:16" x14ac:dyDescent="0.25">
      <c r="A18078" t="s">
        <v>3296</v>
      </c>
      <c r="B18078" t="s">
        <v>2931</v>
      </c>
      <c r="C18078">
        <v>15521</v>
      </c>
      <c r="D18078" t="str">
        <f>"3005161470  "</f>
        <v xml:space="preserve">3005161470  </v>
      </c>
      <c r="E18078" t="s">
        <v>2843</v>
      </c>
      <c r="F18078" t="s">
        <v>2844</v>
      </c>
      <c r="G18078">
        <v>150</v>
      </c>
      <c r="H18078">
        <v>251119</v>
      </c>
      <c r="I18078">
        <v>4600</v>
      </c>
      <c r="J18078" t="s">
        <v>278</v>
      </c>
      <c r="K18078">
        <v>310</v>
      </c>
      <c r="L18078">
        <v>0</v>
      </c>
      <c r="M18078">
        <v>17804</v>
      </c>
      <c r="N18078" t="s">
        <v>20</v>
      </c>
      <c r="O18078">
        <v>251121</v>
      </c>
      <c r="P18078">
        <v>150</v>
      </c>
    </row>
    <row r="18079" spans="1:16" x14ac:dyDescent="0.25">
      <c r="A18079" t="s">
        <v>3296</v>
      </c>
      <c r="B18079" t="s">
        <v>2931</v>
      </c>
      <c r="C18079">
        <v>12458</v>
      </c>
      <c r="D18079" t="str">
        <f>"115109      "</f>
        <v xml:space="preserve">115109      </v>
      </c>
      <c r="E18079" t="s">
        <v>2350</v>
      </c>
      <c r="F18079" t="s">
        <v>2351</v>
      </c>
      <c r="G18079">
        <v>1882.5</v>
      </c>
      <c r="H18079">
        <v>250911</v>
      </c>
      <c r="I18079">
        <v>4410</v>
      </c>
      <c r="J18079" t="s">
        <v>165</v>
      </c>
      <c r="K18079">
        <v>1882.5</v>
      </c>
      <c r="L18079">
        <v>382.5</v>
      </c>
      <c r="M18079">
        <v>11605</v>
      </c>
      <c r="N18079" t="s">
        <v>1066</v>
      </c>
      <c r="O18079">
        <v>250923</v>
      </c>
      <c r="P18079">
        <v>1500</v>
      </c>
    </row>
    <row r="18080" spans="1:16" x14ac:dyDescent="0.25">
      <c r="A18080" t="s">
        <v>3296</v>
      </c>
      <c r="B18080" t="s">
        <v>2931</v>
      </c>
      <c r="C18080">
        <v>16657</v>
      </c>
      <c r="D18080" t="str">
        <f>"115749      "</f>
        <v xml:space="preserve">115749      </v>
      </c>
      <c r="E18080" t="s">
        <v>2350</v>
      </c>
      <c r="F18080" t="s">
        <v>2351</v>
      </c>
      <c r="G18080">
        <v>1882.5</v>
      </c>
      <c r="H18080">
        <v>251205</v>
      </c>
      <c r="I18080">
        <v>4410</v>
      </c>
      <c r="J18080" t="s">
        <v>165</v>
      </c>
      <c r="K18080">
        <v>1882.5</v>
      </c>
      <c r="L18080">
        <v>382.5</v>
      </c>
      <c r="M18080">
        <v>11605</v>
      </c>
      <c r="N18080" t="s">
        <v>1066</v>
      </c>
      <c r="O18080">
        <v>251211</v>
      </c>
      <c r="P18080">
        <v>1500</v>
      </c>
    </row>
    <row r="18081" spans="1:16" x14ac:dyDescent="0.25">
      <c r="A18081" t="s">
        <v>3296</v>
      </c>
      <c r="B18081" t="s">
        <v>2931</v>
      </c>
      <c r="C18081">
        <v>18592</v>
      </c>
      <c r="D18081" t="str">
        <f>"115885      "</f>
        <v xml:space="preserve">115885      </v>
      </c>
      <c r="E18081" t="s">
        <v>2350</v>
      </c>
      <c r="F18081" t="s">
        <v>2351</v>
      </c>
      <c r="G18081">
        <v>230.92</v>
      </c>
      <c r="H18081">
        <v>251231</v>
      </c>
      <c r="I18081">
        <v>4470</v>
      </c>
      <c r="J18081" t="s">
        <v>203</v>
      </c>
      <c r="K18081">
        <v>230.92</v>
      </c>
      <c r="L18081">
        <v>46.92</v>
      </c>
      <c r="M18081">
        <v>11605</v>
      </c>
      <c r="N18081" t="s">
        <v>1066</v>
      </c>
      <c r="O18081">
        <v>260116</v>
      </c>
      <c r="P18081">
        <v>184</v>
      </c>
    </row>
    <row r="18082" spans="1:16" x14ac:dyDescent="0.25">
      <c r="A18082" t="s">
        <v>3296</v>
      </c>
      <c r="B18082" t="s">
        <v>2931</v>
      </c>
      <c r="C18082">
        <v>5286</v>
      </c>
      <c r="D18082" t="str">
        <f>"1890        "</f>
        <v xml:space="preserve">1890        </v>
      </c>
      <c r="E18082" t="s">
        <v>1707</v>
      </c>
      <c r="F18082" t="s">
        <v>1514</v>
      </c>
      <c r="G18082">
        <v>117.5</v>
      </c>
      <c r="H18082">
        <v>250410</v>
      </c>
      <c r="I18082">
        <v>4600</v>
      </c>
      <c r="J18082" t="s">
        <v>278</v>
      </c>
      <c r="K18082">
        <v>117.5</v>
      </c>
      <c r="L18082">
        <v>23.87</v>
      </c>
      <c r="M18082">
        <v>17635</v>
      </c>
      <c r="N18082" t="s">
        <v>1264</v>
      </c>
      <c r="O18082">
        <v>250423</v>
      </c>
      <c r="P18082">
        <v>93.63</v>
      </c>
    </row>
    <row r="18083" spans="1:16" x14ac:dyDescent="0.25">
      <c r="A18083" t="s">
        <v>3296</v>
      </c>
      <c r="B18083" t="s">
        <v>2931</v>
      </c>
      <c r="C18083">
        <v>219</v>
      </c>
      <c r="D18083" t="str">
        <f>"AU250026    "</f>
        <v xml:space="preserve">AU250026    </v>
      </c>
      <c r="E18083" t="s">
        <v>3203</v>
      </c>
      <c r="F18083" t="s">
        <v>3204</v>
      </c>
      <c r="G18083">
        <v>3164.92</v>
      </c>
      <c r="H18083">
        <v>250115</v>
      </c>
      <c r="I18083">
        <v>4580</v>
      </c>
      <c r="J18083" t="s">
        <v>126</v>
      </c>
      <c r="K18083">
        <v>3164.92</v>
      </c>
      <c r="L18083">
        <v>0</v>
      </c>
      <c r="M18083">
        <v>17534</v>
      </c>
      <c r="N18083" t="s">
        <v>148</v>
      </c>
      <c r="O18083">
        <v>250120</v>
      </c>
      <c r="P18083">
        <v>3164.92</v>
      </c>
    </row>
    <row r="18084" spans="1:16" x14ac:dyDescent="0.25">
      <c r="A18084" t="s">
        <v>3296</v>
      </c>
      <c r="B18084" t="s">
        <v>2931</v>
      </c>
      <c r="C18084">
        <v>6225</v>
      </c>
      <c r="D18084" t="str">
        <f>"AU250372    "</f>
        <v xml:space="preserve">AU250372    </v>
      </c>
      <c r="E18084" t="s">
        <v>3203</v>
      </c>
      <c r="F18084" t="s">
        <v>3204</v>
      </c>
      <c r="G18084">
        <v>3183.6</v>
      </c>
      <c r="H18084">
        <v>250430</v>
      </c>
      <c r="I18084">
        <v>4600</v>
      </c>
      <c r="J18084" t="s">
        <v>278</v>
      </c>
      <c r="K18084">
        <v>3183.6</v>
      </c>
      <c r="L18084">
        <v>0</v>
      </c>
      <c r="M18084">
        <v>17534</v>
      </c>
      <c r="N18084" t="s">
        <v>148</v>
      </c>
      <c r="O18084">
        <v>250512</v>
      </c>
      <c r="P18084">
        <v>3183.6</v>
      </c>
    </row>
    <row r="18085" spans="1:16" x14ac:dyDescent="0.25">
      <c r="A18085" t="s">
        <v>3296</v>
      </c>
      <c r="B18085" t="s">
        <v>2931</v>
      </c>
      <c r="C18085">
        <v>17471</v>
      </c>
      <c r="D18085" t="str">
        <f>"1039proforma"</f>
        <v>1039proforma</v>
      </c>
      <c r="E18085" t="s">
        <v>3203</v>
      </c>
      <c r="F18085" t="s">
        <v>3204</v>
      </c>
      <c r="G18085">
        <v>3167</v>
      </c>
      <c r="H18085">
        <v>251218</v>
      </c>
      <c r="I18085">
        <v>4600</v>
      </c>
      <c r="J18085" t="s">
        <v>278</v>
      </c>
      <c r="K18085">
        <v>3167</v>
      </c>
      <c r="L18085">
        <v>0</v>
      </c>
      <c r="M18085">
        <v>17534</v>
      </c>
      <c r="N18085" t="s">
        <v>148</v>
      </c>
      <c r="O18085">
        <v>251222</v>
      </c>
      <c r="P18085">
        <v>3167</v>
      </c>
    </row>
    <row r="18086" spans="1:16" x14ac:dyDescent="0.25">
      <c r="A18086" t="s">
        <v>3296</v>
      </c>
      <c r="B18086" t="s">
        <v>2931</v>
      </c>
      <c r="C18086">
        <v>5259</v>
      </c>
      <c r="D18086" t="str">
        <f>"1436        "</f>
        <v xml:space="preserve">1436        </v>
      </c>
      <c r="E18086" t="s">
        <v>1699</v>
      </c>
      <c r="F18086" t="s">
        <v>1700</v>
      </c>
      <c r="G18086">
        <v>106.68</v>
      </c>
      <c r="H18086">
        <v>250401</v>
      </c>
      <c r="I18086">
        <v>4600</v>
      </c>
      <c r="J18086" t="s">
        <v>278</v>
      </c>
      <c r="K18086">
        <v>106.68</v>
      </c>
      <c r="L18086">
        <v>21.68</v>
      </c>
      <c r="M18086">
        <v>16322</v>
      </c>
      <c r="N18086" t="s">
        <v>331</v>
      </c>
      <c r="O18086">
        <v>250423</v>
      </c>
      <c r="P18086">
        <v>85</v>
      </c>
    </row>
    <row r="18087" spans="1:16" x14ac:dyDescent="0.25">
      <c r="A18087" t="s">
        <v>3296</v>
      </c>
      <c r="B18087" t="s">
        <v>2931</v>
      </c>
      <c r="C18087">
        <v>17993</v>
      </c>
      <c r="D18087" t="str">
        <f>"7329        "</f>
        <v xml:space="preserve">7329        </v>
      </c>
      <c r="E18087" t="s">
        <v>2402</v>
      </c>
      <c r="F18087" t="s">
        <v>2403</v>
      </c>
      <c r="G18087">
        <v>6</v>
      </c>
      <c r="H18087">
        <v>251231</v>
      </c>
      <c r="I18087">
        <v>4440</v>
      </c>
      <c r="J18087" t="s">
        <v>346</v>
      </c>
      <c r="K18087">
        <v>48</v>
      </c>
      <c r="L18087">
        <v>1.22</v>
      </c>
      <c r="M18087">
        <v>59806</v>
      </c>
      <c r="N18087" t="s">
        <v>2599</v>
      </c>
      <c r="O18087">
        <v>260107</v>
      </c>
      <c r="P18087">
        <v>4.78</v>
      </c>
    </row>
    <row r="18088" spans="1:16" x14ac:dyDescent="0.25">
      <c r="A18088" t="s">
        <v>3296</v>
      </c>
      <c r="B18088" t="s">
        <v>2931</v>
      </c>
      <c r="C18088">
        <v>17993</v>
      </c>
      <c r="D18088" t="str">
        <f>"7329        "</f>
        <v xml:space="preserve">7329        </v>
      </c>
      <c r="E18088" t="s">
        <v>2402</v>
      </c>
      <c r="F18088" t="s">
        <v>2403</v>
      </c>
      <c r="G18088">
        <v>42</v>
      </c>
      <c r="H18088">
        <v>251231</v>
      </c>
      <c r="I18088">
        <v>4440</v>
      </c>
      <c r="J18088" t="s">
        <v>346</v>
      </c>
      <c r="K18088">
        <v>48</v>
      </c>
      <c r="L18088">
        <v>5.16</v>
      </c>
      <c r="M18088">
        <v>59806</v>
      </c>
      <c r="N18088" t="s">
        <v>2599</v>
      </c>
      <c r="O18088">
        <v>260107</v>
      </c>
      <c r="P18088">
        <v>36.840000000000003</v>
      </c>
    </row>
    <row r="18089" spans="1:16" x14ac:dyDescent="0.25">
      <c r="A18089" t="s">
        <v>3296</v>
      </c>
      <c r="B18089" t="s">
        <v>2931</v>
      </c>
      <c r="C18089">
        <v>12883</v>
      </c>
      <c r="D18089" t="str">
        <f>"7008        "</f>
        <v xml:space="preserve">7008        </v>
      </c>
      <c r="E18089" t="s">
        <v>2402</v>
      </c>
      <c r="F18089" t="s">
        <v>2403</v>
      </c>
      <c r="G18089">
        <v>30</v>
      </c>
      <c r="H18089">
        <v>250922</v>
      </c>
      <c r="I18089">
        <v>4470</v>
      </c>
      <c r="J18089" t="s">
        <v>203</v>
      </c>
      <c r="K18089">
        <v>82</v>
      </c>
      <c r="L18089">
        <v>3.68</v>
      </c>
      <c r="M18089">
        <v>14422</v>
      </c>
      <c r="N18089" t="s">
        <v>73</v>
      </c>
      <c r="O18089">
        <v>251001</v>
      </c>
      <c r="P18089">
        <v>26.32</v>
      </c>
    </row>
    <row r="18090" spans="1:16" x14ac:dyDescent="0.25">
      <c r="A18090" t="s">
        <v>3296</v>
      </c>
      <c r="B18090" t="s">
        <v>2931</v>
      </c>
      <c r="C18090">
        <v>12883</v>
      </c>
      <c r="D18090" t="str">
        <f>"7008        "</f>
        <v xml:space="preserve">7008        </v>
      </c>
      <c r="E18090" t="s">
        <v>2402</v>
      </c>
      <c r="F18090" t="s">
        <v>2403</v>
      </c>
      <c r="G18090">
        <v>30</v>
      </c>
      <c r="H18090">
        <v>250922</v>
      </c>
      <c r="I18090">
        <v>4470</v>
      </c>
      <c r="J18090" t="s">
        <v>203</v>
      </c>
      <c r="K18090">
        <v>82</v>
      </c>
      <c r="L18090">
        <v>3.68</v>
      </c>
      <c r="M18090">
        <v>14640</v>
      </c>
      <c r="N18090" t="s">
        <v>78</v>
      </c>
      <c r="O18090">
        <v>251001</v>
      </c>
      <c r="P18090">
        <v>26.32</v>
      </c>
    </row>
    <row r="18091" spans="1:16" x14ac:dyDescent="0.25">
      <c r="A18091" t="s">
        <v>3296</v>
      </c>
      <c r="B18091" t="s">
        <v>2931</v>
      </c>
      <c r="C18091">
        <v>12883</v>
      </c>
      <c r="D18091" t="str">
        <f>"7008        "</f>
        <v xml:space="preserve">7008        </v>
      </c>
      <c r="E18091" t="s">
        <v>2402</v>
      </c>
      <c r="F18091" t="s">
        <v>2403</v>
      </c>
      <c r="G18091">
        <v>11</v>
      </c>
      <c r="H18091">
        <v>250922</v>
      </c>
      <c r="I18091">
        <v>4600</v>
      </c>
      <c r="J18091" t="s">
        <v>278</v>
      </c>
      <c r="K18091">
        <v>82</v>
      </c>
      <c r="L18091">
        <v>2.2400000000000002</v>
      </c>
      <c r="M18091">
        <v>14422</v>
      </c>
      <c r="N18091" t="s">
        <v>73</v>
      </c>
      <c r="O18091">
        <v>251001</v>
      </c>
      <c r="P18091">
        <v>8.76</v>
      </c>
    </row>
    <row r="18092" spans="1:16" x14ac:dyDescent="0.25">
      <c r="A18092" t="s">
        <v>3296</v>
      </c>
      <c r="B18092" t="s">
        <v>2931</v>
      </c>
      <c r="C18092">
        <v>12883</v>
      </c>
      <c r="D18092" t="str">
        <f>"7008        "</f>
        <v xml:space="preserve">7008        </v>
      </c>
      <c r="E18092" t="s">
        <v>2402</v>
      </c>
      <c r="F18092" t="s">
        <v>2403</v>
      </c>
      <c r="G18092">
        <v>11</v>
      </c>
      <c r="H18092">
        <v>250922</v>
      </c>
      <c r="I18092">
        <v>4600</v>
      </c>
      <c r="J18092" t="s">
        <v>278</v>
      </c>
      <c r="K18092">
        <v>82</v>
      </c>
      <c r="L18092">
        <v>2.2400000000000002</v>
      </c>
      <c r="M18092">
        <v>14640</v>
      </c>
      <c r="N18092" t="s">
        <v>78</v>
      </c>
      <c r="O18092">
        <v>251001</v>
      </c>
      <c r="P18092">
        <v>8.76</v>
      </c>
    </row>
    <row r="18093" spans="1:16" x14ac:dyDescent="0.25">
      <c r="A18093" t="s">
        <v>3296</v>
      </c>
      <c r="B18093" t="s">
        <v>2931</v>
      </c>
      <c r="C18093">
        <v>1254</v>
      </c>
      <c r="D18093" t="str">
        <f>"8301341132  "</f>
        <v xml:space="preserve">8301341132  </v>
      </c>
      <c r="E18093" t="s">
        <v>921</v>
      </c>
      <c r="F18093" t="s">
        <v>922</v>
      </c>
      <c r="G18093">
        <v>127.27</v>
      </c>
      <c r="H18093">
        <v>250131</v>
      </c>
      <c r="I18093">
        <v>4560</v>
      </c>
      <c r="J18093" t="s">
        <v>390</v>
      </c>
      <c r="K18093">
        <v>254.53</v>
      </c>
      <c r="L18093">
        <v>25.86</v>
      </c>
      <c r="M18093">
        <v>17131</v>
      </c>
      <c r="N18093" t="s">
        <v>154</v>
      </c>
      <c r="O18093">
        <v>250206</v>
      </c>
      <c r="P18093">
        <v>101.41</v>
      </c>
    </row>
    <row r="18094" spans="1:16" x14ac:dyDescent="0.25">
      <c r="A18094" t="s">
        <v>3296</v>
      </c>
      <c r="B18094" t="s">
        <v>2931</v>
      </c>
      <c r="C18094">
        <v>1254</v>
      </c>
      <c r="D18094" t="str">
        <f>"8301341132  "</f>
        <v xml:space="preserve">8301341132  </v>
      </c>
      <c r="E18094" t="s">
        <v>921</v>
      </c>
      <c r="F18094" t="s">
        <v>922</v>
      </c>
      <c r="G18094">
        <v>127.26</v>
      </c>
      <c r="H18094">
        <v>250131</v>
      </c>
      <c r="I18094">
        <v>4560</v>
      </c>
      <c r="J18094" t="s">
        <v>390</v>
      </c>
      <c r="K18094">
        <v>254.53</v>
      </c>
      <c r="L18094">
        <v>25.86</v>
      </c>
      <c r="M18094">
        <v>17711</v>
      </c>
      <c r="N18094" t="s">
        <v>155</v>
      </c>
      <c r="O18094">
        <v>250206</v>
      </c>
      <c r="P18094">
        <v>101.4</v>
      </c>
    </row>
    <row r="18095" spans="1:16" x14ac:dyDescent="0.25">
      <c r="A18095" t="s">
        <v>3296</v>
      </c>
      <c r="B18095" t="s">
        <v>2931</v>
      </c>
      <c r="C18095">
        <v>1256</v>
      </c>
      <c r="D18095" t="str">
        <f>"8301341100  "</f>
        <v xml:space="preserve">8301341100  </v>
      </c>
      <c r="E18095" t="s">
        <v>921</v>
      </c>
      <c r="F18095" t="s">
        <v>922</v>
      </c>
      <c r="G18095">
        <v>76.25</v>
      </c>
      <c r="H18095">
        <v>250131</v>
      </c>
      <c r="I18095">
        <v>4560</v>
      </c>
      <c r="J18095" t="s">
        <v>390</v>
      </c>
      <c r="K18095">
        <v>260.79000000000002</v>
      </c>
      <c r="L18095">
        <v>15.49</v>
      </c>
      <c r="M18095">
        <v>17804</v>
      </c>
      <c r="N18095" t="s">
        <v>20</v>
      </c>
      <c r="O18095">
        <v>250206</v>
      </c>
      <c r="P18095">
        <v>60.76</v>
      </c>
    </row>
    <row r="18096" spans="1:16" x14ac:dyDescent="0.25">
      <c r="A18096" t="s">
        <v>3296</v>
      </c>
      <c r="B18096" t="s">
        <v>2931</v>
      </c>
      <c r="C18096">
        <v>1256</v>
      </c>
      <c r="D18096" t="str">
        <f>"8301341100  "</f>
        <v xml:space="preserve">8301341100  </v>
      </c>
      <c r="E18096" t="s">
        <v>921</v>
      </c>
      <c r="F18096" t="s">
        <v>922</v>
      </c>
      <c r="G18096">
        <v>156.66999999999999</v>
      </c>
      <c r="H18096">
        <v>250131</v>
      </c>
      <c r="I18096">
        <v>4560</v>
      </c>
      <c r="J18096" t="s">
        <v>390</v>
      </c>
      <c r="K18096">
        <v>260.79000000000002</v>
      </c>
      <c r="L18096">
        <v>31.83</v>
      </c>
      <c r="M18096">
        <v>17809</v>
      </c>
      <c r="N18096" t="s">
        <v>25</v>
      </c>
      <c r="O18096">
        <v>250206</v>
      </c>
      <c r="P18096">
        <v>124.84</v>
      </c>
    </row>
    <row r="18097" spans="1:16" x14ac:dyDescent="0.25">
      <c r="A18097" t="s">
        <v>3296</v>
      </c>
      <c r="B18097" t="s">
        <v>2931</v>
      </c>
      <c r="C18097">
        <v>1256</v>
      </c>
      <c r="D18097" t="str">
        <f>"8301341100  "</f>
        <v xml:space="preserve">8301341100  </v>
      </c>
      <c r="E18097" t="s">
        <v>921</v>
      </c>
      <c r="F18097" t="s">
        <v>922</v>
      </c>
      <c r="G18097">
        <v>27.87</v>
      </c>
      <c r="H18097">
        <v>250131</v>
      </c>
      <c r="I18097">
        <v>4560</v>
      </c>
      <c r="J18097" t="s">
        <v>390</v>
      </c>
      <c r="K18097">
        <v>260.79000000000002</v>
      </c>
      <c r="L18097">
        <v>5.66</v>
      </c>
      <c r="M18097">
        <v>17951</v>
      </c>
      <c r="N18097" t="s">
        <v>207</v>
      </c>
      <c r="O18097">
        <v>250206</v>
      </c>
      <c r="P18097">
        <v>22.21</v>
      </c>
    </row>
    <row r="18098" spans="1:16" x14ac:dyDescent="0.25">
      <c r="A18098" t="s">
        <v>3296</v>
      </c>
      <c r="B18098" t="s">
        <v>2931</v>
      </c>
      <c r="C18098">
        <v>2826</v>
      </c>
      <c r="D18098" t="str">
        <f>"8301374360  "</f>
        <v xml:space="preserve">8301374360  </v>
      </c>
      <c r="E18098" t="s">
        <v>921</v>
      </c>
      <c r="F18098" t="s">
        <v>922</v>
      </c>
      <c r="G18098">
        <v>52.89</v>
      </c>
      <c r="H18098">
        <v>250228</v>
      </c>
      <c r="I18098">
        <v>4560</v>
      </c>
      <c r="J18098" t="s">
        <v>390</v>
      </c>
      <c r="K18098">
        <v>52.89</v>
      </c>
      <c r="L18098">
        <v>10.75</v>
      </c>
      <c r="M18098">
        <v>17951</v>
      </c>
      <c r="N18098" t="s">
        <v>207</v>
      </c>
      <c r="O18098">
        <v>250312</v>
      </c>
      <c r="P18098">
        <v>42.14</v>
      </c>
    </row>
    <row r="18099" spans="1:16" x14ac:dyDescent="0.25">
      <c r="A18099" t="s">
        <v>3296</v>
      </c>
      <c r="B18099" t="s">
        <v>2931</v>
      </c>
      <c r="C18099">
        <v>2905</v>
      </c>
      <c r="D18099" t="str">
        <f>"8301374390  "</f>
        <v xml:space="preserve">8301374390  </v>
      </c>
      <c r="E18099" t="s">
        <v>921</v>
      </c>
      <c r="F18099" t="s">
        <v>922</v>
      </c>
      <c r="G18099">
        <v>128.63999999999999</v>
      </c>
      <c r="H18099">
        <v>250228</v>
      </c>
      <c r="I18099">
        <v>4560</v>
      </c>
      <c r="J18099" t="s">
        <v>390</v>
      </c>
      <c r="K18099">
        <v>257.27999999999997</v>
      </c>
      <c r="L18099">
        <v>26.14</v>
      </c>
      <c r="M18099">
        <v>17131</v>
      </c>
      <c r="N18099" t="s">
        <v>154</v>
      </c>
      <c r="O18099">
        <v>250313</v>
      </c>
      <c r="P18099">
        <v>102.5</v>
      </c>
    </row>
    <row r="18100" spans="1:16" x14ac:dyDescent="0.25">
      <c r="A18100" t="s">
        <v>3296</v>
      </c>
      <c r="B18100" t="s">
        <v>2931</v>
      </c>
      <c r="C18100">
        <v>2905</v>
      </c>
      <c r="D18100" t="str">
        <f>"8301374390  "</f>
        <v xml:space="preserve">8301374390  </v>
      </c>
      <c r="E18100" t="s">
        <v>921</v>
      </c>
      <c r="F18100" t="s">
        <v>922</v>
      </c>
      <c r="G18100">
        <v>128.63999999999999</v>
      </c>
      <c r="H18100">
        <v>250228</v>
      </c>
      <c r="I18100">
        <v>4560</v>
      </c>
      <c r="J18100" t="s">
        <v>390</v>
      </c>
      <c r="K18100">
        <v>257.27999999999997</v>
      </c>
      <c r="L18100">
        <v>26.14</v>
      </c>
      <c r="M18100">
        <v>17711</v>
      </c>
      <c r="N18100" t="s">
        <v>155</v>
      </c>
      <c r="O18100">
        <v>250313</v>
      </c>
      <c r="P18100">
        <v>102.5</v>
      </c>
    </row>
    <row r="18101" spans="1:16" x14ac:dyDescent="0.25">
      <c r="A18101" t="s">
        <v>3296</v>
      </c>
      <c r="B18101" t="s">
        <v>2931</v>
      </c>
      <c r="C18101">
        <v>4577</v>
      </c>
      <c r="D18101" t="str">
        <f>"8301407921  "</f>
        <v xml:space="preserve">8301407921  </v>
      </c>
      <c r="E18101" t="s">
        <v>921</v>
      </c>
      <c r="F18101" t="s">
        <v>922</v>
      </c>
      <c r="G18101">
        <v>393.8</v>
      </c>
      <c r="H18101">
        <v>250331</v>
      </c>
      <c r="I18101">
        <v>4560</v>
      </c>
      <c r="J18101" t="s">
        <v>390</v>
      </c>
      <c r="K18101">
        <v>787.6</v>
      </c>
      <c r="L18101">
        <v>80.02</v>
      </c>
      <c r="M18101">
        <v>17131</v>
      </c>
      <c r="N18101" t="s">
        <v>154</v>
      </c>
      <c r="O18101">
        <v>250414</v>
      </c>
      <c r="P18101">
        <v>313.77999999999997</v>
      </c>
    </row>
    <row r="18102" spans="1:16" x14ac:dyDescent="0.25">
      <c r="A18102" t="s">
        <v>3296</v>
      </c>
      <c r="B18102" t="s">
        <v>2931</v>
      </c>
      <c r="C18102">
        <v>4577</v>
      </c>
      <c r="D18102" t="str">
        <f>"8301407921  "</f>
        <v xml:space="preserve">8301407921  </v>
      </c>
      <c r="E18102" t="s">
        <v>921</v>
      </c>
      <c r="F18102" t="s">
        <v>922</v>
      </c>
      <c r="G18102">
        <v>393.8</v>
      </c>
      <c r="H18102">
        <v>250331</v>
      </c>
      <c r="I18102">
        <v>4560</v>
      </c>
      <c r="J18102" t="s">
        <v>390</v>
      </c>
      <c r="K18102">
        <v>787.6</v>
      </c>
      <c r="L18102">
        <v>80.02</v>
      </c>
      <c r="M18102">
        <v>17711</v>
      </c>
      <c r="N18102" t="s">
        <v>155</v>
      </c>
      <c r="O18102">
        <v>250414</v>
      </c>
      <c r="P18102">
        <v>313.77999999999997</v>
      </c>
    </row>
    <row r="18103" spans="1:16" x14ac:dyDescent="0.25">
      <c r="A18103" t="s">
        <v>3296</v>
      </c>
      <c r="B18103" t="s">
        <v>2931</v>
      </c>
      <c r="C18103">
        <v>5967</v>
      </c>
      <c r="D18103" t="str">
        <f>"8301442441  "</f>
        <v xml:space="preserve">8301442441  </v>
      </c>
      <c r="E18103" t="s">
        <v>921</v>
      </c>
      <c r="F18103" t="s">
        <v>922</v>
      </c>
      <c r="G18103">
        <v>89</v>
      </c>
      <c r="H18103">
        <v>250430</v>
      </c>
      <c r="I18103">
        <v>4560</v>
      </c>
      <c r="J18103" t="s">
        <v>390</v>
      </c>
      <c r="K18103">
        <v>89</v>
      </c>
      <c r="L18103">
        <v>18.079999999999998</v>
      </c>
      <c r="M18103">
        <v>17803</v>
      </c>
      <c r="N18103" t="s">
        <v>19</v>
      </c>
      <c r="O18103">
        <v>250507</v>
      </c>
      <c r="P18103">
        <v>70.92</v>
      </c>
    </row>
    <row r="18104" spans="1:16" x14ac:dyDescent="0.25">
      <c r="A18104" t="s">
        <v>3296</v>
      </c>
      <c r="B18104" t="s">
        <v>2931</v>
      </c>
      <c r="C18104">
        <v>6091</v>
      </c>
      <c r="D18104" t="str">
        <f>"8301442467  "</f>
        <v xml:space="preserve">8301442467  </v>
      </c>
      <c r="E18104" t="s">
        <v>921</v>
      </c>
      <c r="F18104" t="s">
        <v>922</v>
      </c>
      <c r="G18104">
        <v>142.16</v>
      </c>
      <c r="H18104">
        <v>250430</v>
      </c>
      <c r="I18104">
        <v>4560</v>
      </c>
      <c r="J18104" t="s">
        <v>390</v>
      </c>
      <c r="K18104">
        <v>284.32</v>
      </c>
      <c r="L18104">
        <v>28.89</v>
      </c>
      <c r="M18104">
        <v>17131</v>
      </c>
      <c r="N18104" t="s">
        <v>154</v>
      </c>
      <c r="O18104">
        <v>250508</v>
      </c>
      <c r="P18104">
        <v>113.27</v>
      </c>
    </row>
    <row r="18105" spans="1:16" x14ac:dyDescent="0.25">
      <c r="A18105" t="s">
        <v>3296</v>
      </c>
      <c r="B18105" t="s">
        <v>2931</v>
      </c>
      <c r="C18105">
        <v>6091</v>
      </c>
      <c r="D18105" t="str">
        <f>"8301442467  "</f>
        <v xml:space="preserve">8301442467  </v>
      </c>
      <c r="E18105" t="s">
        <v>921</v>
      </c>
      <c r="F18105" t="s">
        <v>922</v>
      </c>
      <c r="G18105">
        <v>142.16</v>
      </c>
      <c r="H18105">
        <v>250430</v>
      </c>
      <c r="I18105">
        <v>4560</v>
      </c>
      <c r="J18105" t="s">
        <v>390</v>
      </c>
      <c r="K18105">
        <v>284.32</v>
      </c>
      <c r="L18105">
        <v>28.89</v>
      </c>
      <c r="M18105">
        <v>17711</v>
      </c>
      <c r="N18105" t="s">
        <v>155</v>
      </c>
      <c r="O18105">
        <v>250508</v>
      </c>
      <c r="P18105">
        <v>113.27</v>
      </c>
    </row>
    <row r="18106" spans="1:16" x14ac:dyDescent="0.25">
      <c r="A18106" t="s">
        <v>3296</v>
      </c>
      <c r="B18106" t="s">
        <v>2931</v>
      </c>
      <c r="C18106">
        <v>8033</v>
      </c>
      <c r="D18106" t="str">
        <f>"8301476291  "</f>
        <v xml:space="preserve">8301476291  </v>
      </c>
      <c r="E18106" t="s">
        <v>921</v>
      </c>
      <c r="F18106" t="s">
        <v>922</v>
      </c>
      <c r="G18106">
        <v>241.94</v>
      </c>
      <c r="H18106">
        <v>250529</v>
      </c>
      <c r="I18106">
        <v>4560</v>
      </c>
      <c r="J18106" t="s">
        <v>390</v>
      </c>
      <c r="K18106">
        <v>483.87</v>
      </c>
      <c r="L18106">
        <v>49.16</v>
      </c>
      <c r="M18106">
        <v>17131</v>
      </c>
      <c r="N18106" t="s">
        <v>154</v>
      </c>
      <c r="O18106">
        <v>250611</v>
      </c>
      <c r="P18106">
        <v>192.78</v>
      </c>
    </row>
    <row r="18107" spans="1:16" x14ac:dyDescent="0.25">
      <c r="A18107" t="s">
        <v>3296</v>
      </c>
      <c r="B18107" t="s">
        <v>2931</v>
      </c>
      <c r="C18107">
        <v>8033</v>
      </c>
      <c r="D18107" t="str">
        <f>"8301476291  "</f>
        <v xml:space="preserve">8301476291  </v>
      </c>
      <c r="E18107" t="s">
        <v>921</v>
      </c>
      <c r="F18107" t="s">
        <v>922</v>
      </c>
      <c r="G18107">
        <v>241.93</v>
      </c>
      <c r="H18107">
        <v>250529</v>
      </c>
      <c r="I18107">
        <v>4560</v>
      </c>
      <c r="J18107" t="s">
        <v>390</v>
      </c>
      <c r="K18107">
        <v>483.87</v>
      </c>
      <c r="L18107">
        <v>49.16</v>
      </c>
      <c r="M18107">
        <v>17711</v>
      </c>
      <c r="N18107" t="s">
        <v>155</v>
      </c>
      <c r="O18107">
        <v>250611</v>
      </c>
      <c r="P18107">
        <v>192.77</v>
      </c>
    </row>
    <row r="18108" spans="1:16" x14ac:dyDescent="0.25">
      <c r="A18108" t="s">
        <v>3296</v>
      </c>
      <c r="B18108" t="s">
        <v>2931</v>
      </c>
      <c r="C18108">
        <v>9415</v>
      </c>
      <c r="D18108" t="str">
        <f>"8301510701  "</f>
        <v xml:space="preserve">8301510701  </v>
      </c>
      <c r="E18108" t="s">
        <v>921</v>
      </c>
      <c r="F18108" t="s">
        <v>922</v>
      </c>
      <c r="G18108">
        <v>249.94</v>
      </c>
      <c r="H18108">
        <v>250630</v>
      </c>
      <c r="I18108">
        <v>4560</v>
      </c>
      <c r="J18108" t="s">
        <v>390</v>
      </c>
      <c r="K18108">
        <v>499.88</v>
      </c>
      <c r="L18108">
        <v>50.78</v>
      </c>
      <c r="M18108">
        <v>17131</v>
      </c>
      <c r="N18108" t="s">
        <v>154</v>
      </c>
      <c r="O18108">
        <v>250707</v>
      </c>
      <c r="P18108">
        <v>199.16</v>
      </c>
    </row>
    <row r="18109" spans="1:16" x14ac:dyDescent="0.25">
      <c r="A18109" t="s">
        <v>3296</v>
      </c>
      <c r="B18109" t="s">
        <v>2931</v>
      </c>
      <c r="C18109">
        <v>9415</v>
      </c>
      <c r="D18109" t="str">
        <f>"8301510701  "</f>
        <v xml:space="preserve">8301510701  </v>
      </c>
      <c r="E18109" t="s">
        <v>921</v>
      </c>
      <c r="F18109" t="s">
        <v>922</v>
      </c>
      <c r="G18109">
        <v>249.94</v>
      </c>
      <c r="H18109">
        <v>250630</v>
      </c>
      <c r="I18109">
        <v>4560</v>
      </c>
      <c r="J18109" t="s">
        <v>390</v>
      </c>
      <c r="K18109">
        <v>499.88</v>
      </c>
      <c r="L18109">
        <v>50.78</v>
      </c>
      <c r="M18109">
        <v>17711</v>
      </c>
      <c r="N18109" t="s">
        <v>155</v>
      </c>
      <c r="O18109">
        <v>250707</v>
      </c>
      <c r="P18109">
        <v>199.16</v>
      </c>
    </row>
    <row r="18110" spans="1:16" x14ac:dyDescent="0.25">
      <c r="A18110" t="s">
        <v>3296</v>
      </c>
      <c r="B18110" t="s">
        <v>2931</v>
      </c>
      <c r="C18110">
        <v>10072</v>
      </c>
      <c r="D18110" t="str">
        <f>"8301544720  "</f>
        <v xml:space="preserve">8301544720  </v>
      </c>
      <c r="E18110" t="s">
        <v>921</v>
      </c>
      <c r="F18110" t="s">
        <v>922</v>
      </c>
      <c r="G18110">
        <v>117.95</v>
      </c>
      <c r="H18110">
        <v>250731</v>
      </c>
      <c r="I18110">
        <v>4560</v>
      </c>
      <c r="J18110" t="s">
        <v>390</v>
      </c>
      <c r="K18110">
        <v>235.9</v>
      </c>
      <c r="L18110">
        <v>23.97</v>
      </c>
      <c r="M18110">
        <v>17131</v>
      </c>
      <c r="N18110" t="s">
        <v>154</v>
      </c>
      <c r="O18110">
        <v>250811</v>
      </c>
      <c r="P18110">
        <v>93.98</v>
      </c>
    </row>
    <row r="18111" spans="1:16" x14ac:dyDescent="0.25">
      <c r="A18111" t="s">
        <v>3296</v>
      </c>
      <c r="B18111" t="s">
        <v>2931</v>
      </c>
      <c r="C18111">
        <v>10072</v>
      </c>
      <c r="D18111" t="str">
        <f>"8301544720  "</f>
        <v xml:space="preserve">8301544720  </v>
      </c>
      <c r="E18111" t="s">
        <v>921</v>
      </c>
      <c r="F18111" t="s">
        <v>922</v>
      </c>
      <c r="G18111">
        <v>117.95</v>
      </c>
      <c r="H18111">
        <v>250731</v>
      </c>
      <c r="I18111">
        <v>4560</v>
      </c>
      <c r="J18111" t="s">
        <v>390</v>
      </c>
      <c r="K18111">
        <v>235.9</v>
      </c>
      <c r="L18111">
        <v>23.97</v>
      </c>
      <c r="M18111">
        <v>17711</v>
      </c>
      <c r="N18111" t="s">
        <v>155</v>
      </c>
      <c r="O18111">
        <v>250811</v>
      </c>
      <c r="P18111">
        <v>93.98</v>
      </c>
    </row>
    <row r="18112" spans="1:16" x14ac:dyDescent="0.25">
      <c r="A18112" t="s">
        <v>3296</v>
      </c>
      <c r="B18112" t="s">
        <v>2931</v>
      </c>
      <c r="C18112">
        <v>11324</v>
      </c>
      <c r="D18112" t="str">
        <f>"8301578581  "</f>
        <v xml:space="preserve">8301578581  </v>
      </c>
      <c r="E18112" t="s">
        <v>921</v>
      </c>
      <c r="F18112" t="s">
        <v>922</v>
      </c>
      <c r="G18112">
        <v>115.27</v>
      </c>
      <c r="H18112">
        <v>250831</v>
      </c>
      <c r="I18112">
        <v>4560</v>
      </c>
      <c r="J18112" t="s">
        <v>390</v>
      </c>
      <c r="K18112">
        <v>115.27</v>
      </c>
      <c r="L18112">
        <v>23.42</v>
      </c>
      <c r="M18112">
        <v>17809</v>
      </c>
      <c r="N18112" t="s">
        <v>25</v>
      </c>
      <c r="O18112">
        <v>250903</v>
      </c>
      <c r="P18112">
        <v>91.85</v>
      </c>
    </row>
    <row r="18113" spans="1:16" x14ac:dyDescent="0.25">
      <c r="A18113" t="s">
        <v>3296</v>
      </c>
      <c r="B18113" t="s">
        <v>2931</v>
      </c>
      <c r="C18113">
        <v>11389</v>
      </c>
      <c r="D18113" t="str">
        <f>"8301578607  "</f>
        <v xml:space="preserve">8301578607  </v>
      </c>
      <c r="E18113" t="s">
        <v>921</v>
      </c>
      <c r="F18113" t="s">
        <v>922</v>
      </c>
      <c r="G18113">
        <v>277.33</v>
      </c>
      <c r="H18113">
        <v>250831</v>
      </c>
      <c r="I18113">
        <v>4560</v>
      </c>
      <c r="J18113" t="s">
        <v>390</v>
      </c>
      <c r="K18113">
        <v>554.66</v>
      </c>
      <c r="L18113">
        <v>56.35</v>
      </c>
      <c r="M18113">
        <v>17131</v>
      </c>
      <c r="N18113" t="s">
        <v>154</v>
      </c>
      <c r="O18113">
        <v>250904</v>
      </c>
      <c r="P18113">
        <v>220.98</v>
      </c>
    </row>
    <row r="18114" spans="1:16" x14ac:dyDescent="0.25">
      <c r="A18114" t="s">
        <v>3296</v>
      </c>
      <c r="B18114" t="s">
        <v>2931</v>
      </c>
      <c r="C18114">
        <v>11389</v>
      </c>
      <c r="D18114" t="str">
        <f>"8301578607  "</f>
        <v xml:space="preserve">8301578607  </v>
      </c>
      <c r="E18114" t="s">
        <v>921</v>
      </c>
      <c r="F18114" t="s">
        <v>922</v>
      </c>
      <c r="G18114">
        <v>277.33</v>
      </c>
      <c r="H18114">
        <v>250831</v>
      </c>
      <c r="I18114">
        <v>4560</v>
      </c>
      <c r="J18114" t="s">
        <v>390</v>
      </c>
      <c r="K18114">
        <v>554.66</v>
      </c>
      <c r="L18114">
        <v>56.35</v>
      </c>
      <c r="M18114">
        <v>17711</v>
      </c>
      <c r="N18114" t="s">
        <v>155</v>
      </c>
      <c r="O18114">
        <v>250904</v>
      </c>
      <c r="P18114">
        <v>220.98</v>
      </c>
    </row>
    <row r="18115" spans="1:16" x14ac:dyDescent="0.25">
      <c r="A18115" t="s">
        <v>3296</v>
      </c>
      <c r="B18115" t="s">
        <v>2931</v>
      </c>
      <c r="C18115">
        <v>13018</v>
      </c>
      <c r="D18115" t="str">
        <f>"8301612871  "</f>
        <v xml:space="preserve">8301612871  </v>
      </c>
      <c r="E18115" t="s">
        <v>921</v>
      </c>
      <c r="F18115" t="s">
        <v>922</v>
      </c>
      <c r="G18115">
        <v>650.86</v>
      </c>
      <c r="H18115">
        <v>250930</v>
      </c>
      <c r="I18115">
        <v>4560</v>
      </c>
      <c r="J18115" t="s">
        <v>390</v>
      </c>
      <c r="K18115">
        <v>1301.73</v>
      </c>
      <c r="L18115">
        <v>132.25</v>
      </c>
      <c r="M18115">
        <v>17131</v>
      </c>
      <c r="N18115" t="s">
        <v>154</v>
      </c>
      <c r="O18115">
        <v>251003</v>
      </c>
      <c r="P18115">
        <v>518.61</v>
      </c>
    </row>
    <row r="18116" spans="1:16" x14ac:dyDescent="0.25">
      <c r="A18116" t="s">
        <v>3296</v>
      </c>
      <c r="B18116" t="s">
        <v>2931</v>
      </c>
      <c r="C18116">
        <v>13018</v>
      </c>
      <c r="D18116" t="str">
        <f>"8301612871  "</f>
        <v xml:space="preserve">8301612871  </v>
      </c>
      <c r="E18116" t="s">
        <v>921</v>
      </c>
      <c r="F18116" t="s">
        <v>922</v>
      </c>
      <c r="G18116">
        <v>650.87</v>
      </c>
      <c r="H18116">
        <v>250930</v>
      </c>
      <c r="I18116">
        <v>4560</v>
      </c>
      <c r="J18116" t="s">
        <v>390</v>
      </c>
      <c r="K18116">
        <v>1301.73</v>
      </c>
      <c r="L18116">
        <v>132.25</v>
      </c>
      <c r="M18116">
        <v>17711</v>
      </c>
      <c r="N18116" t="s">
        <v>155</v>
      </c>
      <c r="O18116">
        <v>251003</v>
      </c>
      <c r="P18116">
        <v>518.62</v>
      </c>
    </row>
    <row r="18117" spans="1:16" x14ac:dyDescent="0.25">
      <c r="A18117" t="s">
        <v>3296</v>
      </c>
      <c r="B18117" t="s">
        <v>2931</v>
      </c>
      <c r="C18117">
        <v>13224</v>
      </c>
      <c r="D18117" t="str">
        <f>"8301612845  "</f>
        <v xml:space="preserve">8301612845  </v>
      </c>
      <c r="E18117" t="s">
        <v>921</v>
      </c>
      <c r="F18117" t="s">
        <v>922</v>
      </c>
      <c r="G18117">
        <v>57.54</v>
      </c>
      <c r="H18117">
        <v>250930</v>
      </c>
      <c r="I18117">
        <v>4560</v>
      </c>
      <c r="J18117" t="s">
        <v>390</v>
      </c>
      <c r="K18117">
        <v>57.54</v>
      </c>
      <c r="L18117">
        <v>11.69</v>
      </c>
      <c r="M18117">
        <v>17808</v>
      </c>
      <c r="N18117" t="s">
        <v>24</v>
      </c>
      <c r="O18117">
        <v>251006</v>
      </c>
      <c r="P18117">
        <v>45.85</v>
      </c>
    </row>
    <row r="18118" spans="1:16" x14ac:dyDescent="0.25">
      <c r="A18118" t="s">
        <v>3296</v>
      </c>
      <c r="B18118" t="s">
        <v>2931</v>
      </c>
      <c r="C18118">
        <v>14542</v>
      </c>
      <c r="D18118" t="str">
        <f>"8301648023  "</f>
        <v xml:space="preserve">8301648023  </v>
      </c>
      <c r="E18118" t="s">
        <v>921</v>
      </c>
      <c r="F18118" t="s">
        <v>922</v>
      </c>
      <c r="G18118">
        <v>136.26</v>
      </c>
      <c r="H18118">
        <v>251031</v>
      </c>
      <c r="I18118">
        <v>4560</v>
      </c>
      <c r="J18118" t="s">
        <v>390</v>
      </c>
      <c r="K18118">
        <v>136.26</v>
      </c>
      <c r="L18118">
        <v>27.69</v>
      </c>
      <c r="M18118">
        <v>17809</v>
      </c>
      <c r="N18118" t="s">
        <v>25</v>
      </c>
      <c r="O18118">
        <v>251104</v>
      </c>
      <c r="P18118">
        <v>108.57</v>
      </c>
    </row>
    <row r="18119" spans="1:16" x14ac:dyDescent="0.25">
      <c r="A18119" t="s">
        <v>3296</v>
      </c>
      <c r="B18119" t="s">
        <v>2931</v>
      </c>
      <c r="C18119">
        <v>14591</v>
      </c>
      <c r="D18119" t="str">
        <f>"8301648053  "</f>
        <v xml:space="preserve">8301648053  </v>
      </c>
      <c r="E18119" t="s">
        <v>921</v>
      </c>
      <c r="F18119" t="s">
        <v>922</v>
      </c>
      <c r="G18119">
        <v>76.58</v>
      </c>
      <c r="H18119">
        <v>251031</v>
      </c>
      <c r="I18119">
        <v>4560</v>
      </c>
      <c r="J18119" t="s">
        <v>390</v>
      </c>
      <c r="K18119">
        <v>153.16999999999999</v>
      </c>
      <c r="L18119">
        <v>15.56</v>
      </c>
      <c r="M18119">
        <v>17131</v>
      </c>
      <c r="N18119" t="s">
        <v>154</v>
      </c>
      <c r="O18119">
        <v>251105</v>
      </c>
      <c r="P18119">
        <v>61.02</v>
      </c>
    </row>
    <row r="18120" spans="1:16" x14ac:dyDescent="0.25">
      <c r="A18120" t="s">
        <v>3296</v>
      </c>
      <c r="B18120" t="s">
        <v>2931</v>
      </c>
      <c r="C18120">
        <v>14591</v>
      </c>
      <c r="D18120" t="str">
        <f>"8301648053  "</f>
        <v xml:space="preserve">8301648053  </v>
      </c>
      <c r="E18120" t="s">
        <v>921</v>
      </c>
      <c r="F18120" t="s">
        <v>922</v>
      </c>
      <c r="G18120">
        <v>76.59</v>
      </c>
      <c r="H18120">
        <v>251031</v>
      </c>
      <c r="I18120">
        <v>4560</v>
      </c>
      <c r="J18120" t="s">
        <v>390</v>
      </c>
      <c r="K18120">
        <v>153.16999999999999</v>
      </c>
      <c r="L18120">
        <v>15.56</v>
      </c>
      <c r="M18120">
        <v>17711</v>
      </c>
      <c r="N18120" t="s">
        <v>155</v>
      </c>
      <c r="O18120">
        <v>251105</v>
      </c>
      <c r="P18120">
        <v>61.03</v>
      </c>
    </row>
    <row r="18121" spans="1:16" x14ac:dyDescent="0.25">
      <c r="A18121" t="s">
        <v>3296</v>
      </c>
      <c r="B18121" t="s">
        <v>2931</v>
      </c>
      <c r="C18121">
        <v>16087</v>
      </c>
      <c r="D18121" t="str">
        <f>"8301684183  "</f>
        <v xml:space="preserve">8301684183  </v>
      </c>
      <c r="E18121" t="s">
        <v>921</v>
      </c>
      <c r="F18121" t="s">
        <v>922</v>
      </c>
      <c r="G18121">
        <v>156.44</v>
      </c>
      <c r="H18121">
        <v>251130</v>
      </c>
      <c r="I18121">
        <v>4560</v>
      </c>
      <c r="J18121" t="s">
        <v>390</v>
      </c>
      <c r="K18121">
        <v>312.88</v>
      </c>
      <c r="L18121">
        <v>31.79</v>
      </c>
      <c r="M18121">
        <v>17131</v>
      </c>
      <c r="N18121" t="s">
        <v>154</v>
      </c>
      <c r="O18121">
        <v>251203</v>
      </c>
      <c r="P18121">
        <v>124.65</v>
      </c>
    </row>
    <row r="18122" spans="1:16" x14ac:dyDescent="0.25">
      <c r="A18122" t="s">
        <v>3296</v>
      </c>
      <c r="B18122" t="s">
        <v>2931</v>
      </c>
      <c r="C18122">
        <v>16087</v>
      </c>
      <c r="D18122" t="str">
        <f>"8301684183  "</f>
        <v xml:space="preserve">8301684183  </v>
      </c>
      <c r="E18122" t="s">
        <v>921</v>
      </c>
      <c r="F18122" t="s">
        <v>922</v>
      </c>
      <c r="G18122">
        <v>156.44</v>
      </c>
      <c r="H18122">
        <v>251130</v>
      </c>
      <c r="I18122">
        <v>4560</v>
      </c>
      <c r="J18122" t="s">
        <v>390</v>
      </c>
      <c r="K18122">
        <v>312.88</v>
      </c>
      <c r="L18122">
        <v>31.79</v>
      </c>
      <c r="M18122">
        <v>17711</v>
      </c>
      <c r="N18122" t="s">
        <v>155</v>
      </c>
      <c r="O18122">
        <v>251203</v>
      </c>
      <c r="P18122">
        <v>124.65</v>
      </c>
    </row>
    <row r="18123" spans="1:16" x14ac:dyDescent="0.25">
      <c r="A18123" t="s">
        <v>3296</v>
      </c>
      <c r="B18123" t="s">
        <v>2931</v>
      </c>
      <c r="C18123">
        <v>18061</v>
      </c>
      <c r="D18123" t="str">
        <f>"8301733957  "</f>
        <v xml:space="preserve">8301733957  </v>
      </c>
      <c r="E18123" t="s">
        <v>921</v>
      </c>
      <c r="F18123" t="s">
        <v>922</v>
      </c>
      <c r="G18123">
        <v>180.68</v>
      </c>
      <c r="H18123">
        <v>251231</v>
      </c>
      <c r="I18123">
        <v>4560</v>
      </c>
      <c r="J18123" t="s">
        <v>390</v>
      </c>
      <c r="K18123">
        <v>361.37</v>
      </c>
      <c r="L18123">
        <v>36.71</v>
      </c>
      <c r="M18123">
        <v>17131</v>
      </c>
      <c r="N18123" t="s">
        <v>154</v>
      </c>
      <c r="O18123">
        <v>260108</v>
      </c>
      <c r="P18123">
        <v>143.97</v>
      </c>
    </row>
    <row r="18124" spans="1:16" x14ac:dyDescent="0.25">
      <c r="A18124" t="s">
        <v>3296</v>
      </c>
      <c r="B18124" t="s">
        <v>2931</v>
      </c>
      <c r="C18124">
        <v>18061</v>
      </c>
      <c r="D18124" t="str">
        <f>"8301733957  "</f>
        <v xml:space="preserve">8301733957  </v>
      </c>
      <c r="E18124" t="s">
        <v>921</v>
      </c>
      <c r="F18124" t="s">
        <v>922</v>
      </c>
      <c r="G18124">
        <v>180.69</v>
      </c>
      <c r="H18124">
        <v>251231</v>
      </c>
      <c r="I18124">
        <v>4560</v>
      </c>
      <c r="J18124" t="s">
        <v>390</v>
      </c>
      <c r="K18124">
        <v>361.37</v>
      </c>
      <c r="L18124">
        <v>36.71</v>
      </c>
      <c r="M18124">
        <v>17711</v>
      </c>
      <c r="N18124" t="s">
        <v>155</v>
      </c>
      <c r="O18124">
        <v>260108</v>
      </c>
      <c r="P18124">
        <v>143.97999999999999</v>
      </c>
    </row>
    <row r="18125" spans="1:16" x14ac:dyDescent="0.25">
      <c r="A18125" t="s">
        <v>3296</v>
      </c>
      <c r="B18125" t="s">
        <v>2931</v>
      </c>
      <c r="C18125">
        <v>12482</v>
      </c>
      <c r="D18125" t="str">
        <f>"25190       "</f>
        <v xml:space="preserve">25190       </v>
      </c>
      <c r="E18125" t="s">
        <v>3269</v>
      </c>
      <c r="F18125" t="s">
        <v>3270</v>
      </c>
      <c r="G18125">
        <v>2476.87</v>
      </c>
      <c r="H18125">
        <v>250918</v>
      </c>
      <c r="I18125">
        <v>4410</v>
      </c>
      <c r="J18125" t="s">
        <v>165</v>
      </c>
      <c r="K18125">
        <v>2528.34</v>
      </c>
      <c r="L18125">
        <v>0</v>
      </c>
      <c r="M18125">
        <v>11902</v>
      </c>
      <c r="N18125" t="s">
        <v>329</v>
      </c>
      <c r="O18125">
        <v>250925</v>
      </c>
      <c r="P18125">
        <v>2476.87</v>
      </c>
    </row>
    <row r="18126" spans="1:16" x14ac:dyDescent="0.25">
      <c r="A18126" t="s">
        <v>3296</v>
      </c>
      <c r="B18126" t="s">
        <v>2931</v>
      </c>
      <c r="C18126">
        <v>12482</v>
      </c>
      <c r="D18126" t="str">
        <f>"25190       "</f>
        <v xml:space="preserve">25190       </v>
      </c>
      <c r="E18126" t="s">
        <v>3269</v>
      </c>
      <c r="F18126" t="s">
        <v>3270</v>
      </c>
      <c r="G18126">
        <v>51.47</v>
      </c>
      <c r="H18126">
        <v>250918</v>
      </c>
      <c r="I18126">
        <v>4420</v>
      </c>
      <c r="J18126" t="s">
        <v>330</v>
      </c>
      <c r="K18126">
        <v>2528.34</v>
      </c>
      <c r="L18126">
        <v>0</v>
      </c>
      <c r="M18126">
        <v>11902</v>
      </c>
      <c r="N18126" t="s">
        <v>329</v>
      </c>
      <c r="O18126">
        <v>250925</v>
      </c>
      <c r="P18126">
        <v>51.47</v>
      </c>
    </row>
    <row r="18127" spans="1:16" x14ac:dyDescent="0.25">
      <c r="A18127" t="s">
        <v>3296</v>
      </c>
      <c r="B18127" t="s">
        <v>2931</v>
      </c>
      <c r="C18127">
        <v>4396</v>
      </c>
      <c r="D18127" t="str">
        <f>"4164961     "</f>
        <v xml:space="preserve">4164961     </v>
      </c>
      <c r="E18127" t="s">
        <v>1626</v>
      </c>
      <c r="F18127" t="s">
        <v>1627</v>
      </c>
      <c r="G18127">
        <v>2676.15</v>
      </c>
      <c r="H18127">
        <v>250331</v>
      </c>
      <c r="I18127">
        <v>4590</v>
      </c>
      <c r="J18127" t="s">
        <v>388</v>
      </c>
      <c r="K18127">
        <v>2676.15</v>
      </c>
      <c r="L18127">
        <v>543.76</v>
      </c>
      <c r="M18127">
        <v>17806</v>
      </c>
      <c r="N18127" t="s">
        <v>22</v>
      </c>
      <c r="O18127">
        <v>250411</v>
      </c>
      <c r="P18127">
        <v>2132.39</v>
      </c>
    </row>
    <row r="18128" spans="1:16" x14ac:dyDescent="0.25">
      <c r="A18128" t="s">
        <v>3296</v>
      </c>
      <c r="B18128" t="s">
        <v>2931</v>
      </c>
      <c r="C18128">
        <v>10462</v>
      </c>
      <c r="D18128" t="str">
        <f>"4444503     "</f>
        <v xml:space="preserve">4444503     </v>
      </c>
      <c r="E18128" t="s">
        <v>1626</v>
      </c>
      <c r="F18128" t="s">
        <v>1627</v>
      </c>
      <c r="G18128">
        <v>2613.08</v>
      </c>
      <c r="H18128">
        <v>250812</v>
      </c>
      <c r="I18128">
        <v>4590</v>
      </c>
      <c r="J18128" t="s">
        <v>388</v>
      </c>
      <c r="K18128">
        <v>2613.08</v>
      </c>
      <c r="L18128">
        <v>530.94000000000005</v>
      </c>
      <c r="M18128">
        <v>17806</v>
      </c>
      <c r="N18128" t="s">
        <v>22</v>
      </c>
      <c r="O18128">
        <v>250820</v>
      </c>
      <c r="P18128">
        <v>2082.14</v>
      </c>
    </row>
    <row r="18129" spans="1:16" x14ac:dyDescent="0.25">
      <c r="A18129" t="s">
        <v>3296</v>
      </c>
      <c r="B18129" t="s">
        <v>2931</v>
      </c>
      <c r="C18129">
        <v>11827</v>
      </c>
      <c r="D18129" t="str">
        <f>"4494713     "</f>
        <v xml:space="preserve">4494713     </v>
      </c>
      <c r="E18129" t="s">
        <v>1626</v>
      </c>
      <c r="F18129" t="s">
        <v>1627</v>
      </c>
      <c r="G18129">
        <v>1608.75</v>
      </c>
      <c r="H18129">
        <v>250901</v>
      </c>
      <c r="I18129">
        <v>4590</v>
      </c>
      <c r="J18129" t="s">
        <v>388</v>
      </c>
      <c r="K18129">
        <v>1608.75</v>
      </c>
      <c r="L18129">
        <v>326.88</v>
      </c>
      <c r="M18129">
        <v>17806</v>
      </c>
      <c r="N18129" t="s">
        <v>22</v>
      </c>
      <c r="O18129">
        <v>250911</v>
      </c>
      <c r="P18129">
        <v>1281.8699999999999</v>
      </c>
    </row>
    <row r="18130" spans="1:16" x14ac:dyDescent="0.25">
      <c r="A18130" t="s">
        <v>3296</v>
      </c>
      <c r="B18130" t="s">
        <v>2931</v>
      </c>
      <c r="C18130">
        <v>11907</v>
      </c>
      <c r="D18130" t="str">
        <f>"4506908     "</f>
        <v xml:space="preserve">4506908     </v>
      </c>
      <c r="E18130" t="s">
        <v>1626</v>
      </c>
      <c r="F18130" t="s">
        <v>1627</v>
      </c>
      <c r="G18130">
        <v>2708.28</v>
      </c>
      <c r="H18130">
        <v>250909</v>
      </c>
      <c r="I18130">
        <v>4590</v>
      </c>
      <c r="J18130" t="s">
        <v>388</v>
      </c>
      <c r="K18130">
        <v>2708.28</v>
      </c>
      <c r="L18130">
        <v>550.29</v>
      </c>
      <c r="M18130">
        <v>17806</v>
      </c>
      <c r="N18130" t="s">
        <v>22</v>
      </c>
      <c r="O18130">
        <v>250912</v>
      </c>
      <c r="P18130">
        <v>2157.9899999999998</v>
      </c>
    </row>
    <row r="18131" spans="1:16" x14ac:dyDescent="0.25">
      <c r="A18131" t="s">
        <v>3296</v>
      </c>
      <c r="B18131" t="s">
        <v>2931</v>
      </c>
      <c r="C18131">
        <v>6246</v>
      </c>
      <c r="D18131" t="str">
        <f>"4228996     "</f>
        <v xml:space="preserve">4228996     </v>
      </c>
      <c r="E18131" t="s">
        <v>1626</v>
      </c>
      <c r="F18131" t="s">
        <v>1627</v>
      </c>
      <c r="G18131">
        <v>90.35</v>
      </c>
      <c r="H18131">
        <v>250502</v>
      </c>
      <c r="I18131">
        <v>4600</v>
      </c>
      <c r="J18131" t="s">
        <v>278</v>
      </c>
      <c r="K18131">
        <v>90.35</v>
      </c>
      <c r="L18131">
        <v>18.36</v>
      </c>
      <c r="M18131">
        <v>17638</v>
      </c>
      <c r="N18131" t="s">
        <v>1182</v>
      </c>
      <c r="O18131">
        <v>250512</v>
      </c>
      <c r="P18131">
        <v>71.989999999999995</v>
      </c>
    </row>
    <row r="18132" spans="1:16" x14ac:dyDescent="0.25">
      <c r="A18132" t="s">
        <v>3296</v>
      </c>
      <c r="B18132" t="s">
        <v>2931</v>
      </c>
      <c r="C18132">
        <v>15316</v>
      </c>
      <c r="D18132" t="str">
        <f>"4646707     "</f>
        <v xml:space="preserve">4646707     </v>
      </c>
      <c r="E18132" t="s">
        <v>1626</v>
      </c>
      <c r="F18132" t="s">
        <v>1627</v>
      </c>
      <c r="G18132">
        <v>95.95</v>
      </c>
      <c r="H18132">
        <v>251111</v>
      </c>
      <c r="I18132">
        <v>4600</v>
      </c>
      <c r="J18132" t="s">
        <v>278</v>
      </c>
      <c r="K18132">
        <v>95.95</v>
      </c>
      <c r="L18132">
        <v>19.5</v>
      </c>
      <c r="M18132">
        <v>17523</v>
      </c>
      <c r="N18132" t="s">
        <v>138</v>
      </c>
      <c r="O18132">
        <v>251118</v>
      </c>
      <c r="P18132">
        <v>76.45</v>
      </c>
    </row>
    <row r="18133" spans="1:16" x14ac:dyDescent="0.25">
      <c r="A18133" t="s">
        <v>3296</v>
      </c>
      <c r="B18133" t="s">
        <v>2931</v>
      </c>
      <c r="C18133">
        <v>11219</v>
      </c>
      <c r="D18133" t="str">
        <f>"1089203     "</f>
        <v xml:space="preserve">1089203     </v>
      </c>
      <c r="E18133" t="s">
        <v>1203</v>
      </c>
      <c r="F18133" t="s">
        <v>1204</v>
      </c>
      <c r="G18133">
        <v>146.77000000000001</v>
      </c>
      <c r="H18133">
        <v>250827</v>
      </c>
      <c r="I18133">
        <v>4580</v>
      </c>
      <c r="J18133" t="s">
        <v>126</v>
      </c>
      <c r="K18133">
        <v>146.77000000000001</v>
      </c>
      <c r="L18133">
        <v>29.82</v>
      </c>
      <c r="M18133">
        <v>17521</v>
      </c>
      <c r="N18133" t="s">
        <v>136</v>
      </c>
      <c r="O18133">
        <v>250902</v>
      </c>
      <c r="P18133">
        <v>116.95</v>
      </c>
    </row>
    <row r="18134" spans="1:16" x14ac:dyDescent="0.25">
      <c r="A18134" t="s">
        <v>3296</v>
      </c>
      <c r="B18134" t="s">
        <v>2931</v>
      </c>
      <c r="C18134">
        <v>2129</v>
      </c>
      <c r="D18134" t="str">
        <f>"1086413     "</f>
        <v xml:space="preserve">1086413     </v>
      </c>
      <c r="E18134" t="s">
        <v>1203</v>
      </c>
      <c r="F18134" t="s">
        <v>1204</v>
      </c>
      <c r="G18134">
        <v>432.04</v>
      </c>
      <c r="H18134">
        <v>250214</v>
      </c>
      <c r="I18134">
        <v>4600</v>
      </c>
      <c r="J18134" t="s">
        <v>278</v>
      </c>
      <c r="K18134">
        <v>1440.12</v>
      </c>
      <c r="L18134">
        <v>87.79</v>
      </c>
      <c r="M18134">
        <v>17522</v>
      </c>
      <c r="N18134" t="s">
        <v>137</v>
      </c>
      <c r="O18134">
        <v>250220</v>
      </c>
      <c r="P18134">
        <v>344.25</v>
      </c>
    </row>
    <row r="18135" spans="1:16" x14ac:dyDescent="0.25">
      <c r="A18135" t="s">
        <v>3296</v>
      </c>
      <c r="B18135" t="s">
        <v>2931</v>
      </c>
      <c r="C18135">
        <v>2129</v>
      </c>
      <c r="D18135" t="str">
        <f>"1086413     "</f>
        <v xml:space="preserve">1086413     </v>
      </c>
      <c r="E18135" t="s">
        <v>1203</v>
      </c>
      <c r="F18135" t="s">
        <v>1204</v>
      </c>
      <c r="G18135">
        <v>1008.08</v>
      </c>
      <c r="H18135">
        <v>250214</v>
      </c>
      <c r="I18135">
        <v>4600</v>
      </c>
      <c r="J18135" t="s">
        <v>278</v>
      </c>
      <c r="K18135">
        <v>1440.12</v>
      </c>
      <c r="L18135">
        <v>204.83</v>
      </c>
      <c r="M18135">
        <v>17633</v>
      </c>
      <c r="N18135" t="s">
        <v>628</v>
      </c>
      <c r="O18135">
        <v>250220</v>
      </c>
      <c r="P18135">
        <v>803.25</v>
      </c>
    </row>
    <row r="18136" spans="1:16" x14ac:dyDescent="0.25">
      <c r="A18136" t="s">
        <v>3296</v>
      </c>
      <c r="B18136" t="s">
        <v>2931</v>
      </c>
      <c r="C18136">
        <v>2643</v>
      </c>
      <c r="D18136" t="str">
        <f>"1086408     "</f>
        <v xml:space="preserve">1086408     </v>
      </c>
      <c r="E18136" t="s">
        <v>1203</v>
      </c>
      <c r="F18136" t="s">
        <v>1204</v>
      </c>
      <c r="G18136">
        <v>556.55999999999995</v>
      </c>
      <c r="H18136">
        <v>250214</v>
      </c>
      <c r="I18136">
        <v>4600</v>
      </c>
      <c r="J18136" t="s">
        <v>278</v>
      </c>
      <c r="K18136">
        <v>556.55999999999995</v>
      </c>
      <c r="L18136">
        <v>113.09</v>
      </c>
      <c r="M18136">
        <v>17632</v>
      </c>
      <c r="N18136" t="s">
        <v>615</v>
      </c>
      <c r="O18136">
        <v>250310</v>
      </c>
      <c r="P18136">
        <v>443.47</v>
      </c>
    </row>
    <row r="18137" spans="1:16" x14ac:dyDescent="0.25">
      <c r="A18137" t="s">
        <v>3296</v>
      </c>
      <c r="B18137" t="s">
        <v>2931</v>
      </c>
      <c r="C18137">
        <v>3545</v>
      </c>
      <c r="D18137" t="str">
        <f>"1086842     "</f>
        <v xml:space="preserve">1086842     </v>
      </c>
      <c r="E18137" t="s">
        <v>1203</v>
      </c>
      <c r="F18137" t="s">
        <v>1204</v>
      </c>
      <c r="G18137">
        <v>839.98</v>
      </c>
      <c r="H18137">
        <v>250312</v>
      </c>
      <c r="I18137">
        <v>4600</v>
      </c>
      <c r="J18137" t="s">
        <v>278</v>
      </c>
      <c r="K18137">
        <v>839.98</v>
      </c>
      <c r="L18137">
        <v>170.67</v>
      </c>
      <c r="M18137">
        <v>17521</v>
      </c>
      <c r="N18137" t="s">
        <v>136</v>
      </c>
      <c r="O18137">
        <v>250325</v>
      </c>
      <c r="P18137">
        <v>669.31</v>
      </c>
    </row>
    <row r="18138" spans="1:16" x14ac:dyDescent="0.25">
      <c r="A18138" t="s">
        <v>3296</v>
      </c>
      <c r="B18138" t="s">
        <v>2931</v>
      </c>
      <c r="C18138">
        <v>6744</v>
      </c>
      <c r="D18138" t="str">
        <f>"1087572     "</f>
        <v xml:space="preserve">1087572     </v>
      </c>
      <c r="E18138" t="s">
        <v>1203</v>
      </c>
      <c r="F18138" t="s">
        <v>1204</v>
      </c>
      <c r="G18138">
        <v>575.29</v>
      </c>
      <c r="H18138">
        <v>250429</v>
      </c>
      <c r="I18138">
        <v>4600</v>
      </c>
      <c r="J18138" t="s">
        <v>278</v>
      </c>
      <c r="K18138">
        <v>575.29</v>
      </c>
      <c r="L18138">
        <v>116.89</v>
      </c>
      <c r="M18138">
        <v>17632</v>
      </c>
      <c r="N18138" t="s">
        <v>615</v>
      </c>
      <c r="O18138">
        <v>250516</v>
      </c>
      <c r="P18138">
        <v>458.4</v>
      </c>
    </row>
    <row r="18139" spans="1:16" x14ac:dyDescent="0.25">
      <c r="A18139" t="s">
        <v>3296</v>
      </c>
      <c r="B18139" t="s">
        <v>2931</v>
      </c>
      <c r="C18139">
        <v>12678</v>
      </c>
      <c r="D18139" t="str">
        <f>"1089606     "</f>
        <v xml:space="preserve">1089606     </v>
      </c>
      <c r="E18139" t="s">
        <v>1203</v>
      </c>
      <c r="F18139" t="s">
        <v>1204</v>
      </c>
      <c r="G18139">
        <v>865.41</v>
      </c>
      <c r="H18139">
        <v>250922</v>
      </c>
      <c r="I18139">
        <v>4600</v>
      </c>
      <c r="J18139" t="s">
        <v>278</v>
      </c>
      <c r="K18139">
        <v>865.41</v>
      </c>
      <c r="L18139">
        <v>175.84</v>
      </c>
      <c r="M18139">
        <v>17521</v>
      </c>
      <c r="N18139" t="s">
        <v>136</v>
      </c>
      <c r="O18139">
        <v>250929</v>
      </c>
      <c r="P18139">
        <v>689.57</v>
      </c>
    </row>
    <row r="18140" spans="1:16" x14ac:dyDescent="0.25">
      <c r="A18140" t="s">
        <v>3296</v>
      </c>
      <c r="B18140" t="s">
        <v>2931</v>
      </c>
      <c r="C18140">
        <v>15893</v>
      </c>
      <c r="D18140" t="str">
        <f>"1090710     "</f>
        <v xml:space="preserve">1090710     </v>
      </c>
      <c r="E18140" t="s">
        <v>1203</v>
      </c>
      <c r="F18140" t="s">
        <v>1204</v>
      </c>
      <c r="G18140">
        <v>356.36</v>
      </c>
      <c r="H18140">
        <v>251124</v>
      </c>
      <c r="I18140">
        <v>4600</v>
      </c>
      <c r="J18140" t="s">
        <v>278</v>
      </c>
      <c r="K18140">
        <v>356.36</v>
      </c>
      <c r="L18140">
        <v>72.41</v>
      </c>
      <c r="M18140">
        <v>17521</v>
      </c>
      <c r="N18140" t="s">
        <v>136</v>
      </c>
      <c r="O18140">
        <v>251128</v>
      </c>
      <c r="P18140">
        <v>283.95</v>
      </c>
    </row>
    <row r="18141" spans="1:16" x14ac:dyDescent="0.25">
      <c r="A18141" t="s">
        <v>3296</v>
      </c>
      <c r="B18141" t="s">
        <v>2931</v>
      </c>
      <c r="C18141">
        <v>14937</v>
      </c>
      <c r="D18141" t="str">
        <f>"1017983     "</f>
        <v xml:space="preserve">1017983     </v>
      </c>
      <c r="E18141" t="s">
        <v>2003</v>
      </c>
      <c r="F18141" t="s">
        <v>2004</v>
      </c>
      <c r="G18141">
        <v>18.829999999999998</v>
      </c>
      <c r="H18141">
        <v>251031</v>
      </c>
      <c r="I18141">
        <v>4347</v>
      </c>
      <c r="J18141" t="s">
        <v>328</v>
      </c>
      <c r="K18141">
        <v>120.33</v>
      </c>
      <c r="L18141">
        <v>3.83</v>
      </c>
      <c r="M18141">
        <v>13561</v>
      </c>
      <c r="N18141" t="s">
        <v>241</v>
      </c>
      <c r="O18141">
        <v>251110</v>
      </c>
      <c r="P18141">
        <v>15</v>
      </c>
    </row>
    <row r="18142" spans="1:16" x14ac:dyDescent="0.25">
      <c r="A18142" t="s">
        <v>3296</v>
      </c>
      <c r="B18142" t="s">
        <v>2931</v>
      </c>
      <c r="C18142">
        <v>14937</v>
      </c>
      <c r="D18142" t="str">
        <f>"1017983     "</f>
        <v xml:space="preserve">1017983     </v>
      </c>
      <c r="E18142" t="s">
        <v>2003</v>
      </c>
      <c r="F18142" t="s">
        <v>2004</v>
      </c>
      <c r="G18142">
        <v>101.5</v>
      </c>
      <c r="H18142">
        <v>251031</v>
      </c>
      <c r="I18142">
        <v>4347</v>
      </c>
      <c r="J18142" t="s">
        <v>328</v>
      </c>
      <c r="K18142">
        <v>120.33</v>
      </c>
      <c r="L18142">
        <v>20.62</v>
      </c>
      <c r="M18142">
        <v>17971</v>
      </c>
      <c r="N18142" t="s">
        <v>27</v>
      </c>
      <c r="O18142">
        <v>251110</v>
      </c>
      <c r="P18142">
        <v>80.88</v>
      </c>
    </row>
    <row r="18143" spans="1:16" x14ac:dyDescent="0.25">
      <c r="A18143" t="s">
        <v>3296</v>
      </c>
      <c r="B18143" t="s">
        <v>2931</v>
      </c>
      <c r="C18143">
        <v>16547</v>
      </c>
      <c r="D18143" t="str">
        <f>"1021046     "</f>
        <v xml:space="preserve">1021046     </v>
      </c>
      <c r="E18143" t="s">
        <v>2003</v>
      </c>
      <c r="F18143" t="s">
        <v>2004</v>
      </c>
      <c r="G18143">
        <v>120.33</v>
      </c>
      <c r="H18143">
        <v>251130</v>
      </c>
      <c r="I18143">
        <v>4347</v>
      </c>
      <c r="J18143" t="s">
        <v>328</v>
      </c>
      <c r="K18143">
        <v>120.33</v>
      </c>
      <c r="L18143">
        <v>24.45</v>
      </c>
      <c r="M18143">
        <v>17538</v>
      </c>
      <c r="N18143" t="s">
        <v>129</v>
      </c>
      <c r="O18143">
        <v>251210</v>
      </c>
      <c r="P18143">
        <v>95.88</v>
      </c>
    </row>
    <row r="18144" spans="1:16" x14ac:dyDescent="0.25">
      <c r="A18144" t="s">
        <v>3296</v>
      </c>
      <c r="B18144" t="s">
        <v>2931</v>
      </c>
      <c r="C18144">
        <v>7951</v>
      </c>
      <c r="D18144" t="str">
        <f>"1001358     "</f>
        <v xml:space="preserve">1001358     </v>
      </c>
      <c r="E18144" t="s">
        <v>2003</v>
      </c>
      <c r="F18144" t="s">
        <v>2004</v>
      </c>
      <c r="G18144">
        <v>144.49</v>
      </c>
      <c r="H18144">
        <v>250531</v>
      </c>
      <c r="I18144">
        <v>4380</v>
      </c>
      <c r="J18144" t="s">
        <v>211</v>
      </c>
      <c r="K18144">
        <v>144.49</v>
      </c>
      <c r="L18144">
        <v>29.36</v>
      </c>
      <c r="M18144">
        <v>17971</v>
      </c>
      <c r="N18144" t="s">
        <v>27</v>
      </c>
      <c r="O18144">
        <v>250610</v>
      </c>
      <c r="P18144">
        <v>115.13</v>
      </c>
    </row>
    <row r="18145" spans="1:16" x14ac:dyDescent="0.25">
      <c r="A18145" t="s">
        <v>3296</v>
      </c>
      <c r="B18145" t="s">
        <v>2931</v>
      </c>
      <c r="C18145">
        <v>8342</v>
      </c>
      <c r="D18145" t="str">
        <f>"1002134     "</f>
        <v xml:space="preserve">1002134     </v>
      </c>
      <c r="E18145" t="s">
        <v>2003</v>
      </c>
      <c r="F18145" t="s">
        <v>2004</v>
      </c>
      <c r="G18145">
        <v>28.11</v>
      </c>
      <c r="H18145">
        <v>250531</v>
      </c>
      <c r="I18145">
        <v>4380</v>
      </c>
      <c r="J18145" t="s">
        <v>211</v>
      </c>
      <c r="K18145">
        <v>28.11</v>
      </c>
      <c r="L18145">
        <v>5.71</v>
      </c>
      <c r="M18145">
        <v>17950</v>
      </c>
      <c r="N18145" t="s">
        <v>132</v>
      </c>
      <c r="O18145">
        <v>250613</v>
      </c>
      <c r="P18145">
        <v>22.4</v>
      </c>
    </row>
    <row r="18146" spans="1:16" x14ac:dyDescent="0.25">
      <c r="A18146" t="s">
        <v>3296</v>
      </c>
      <c r="B18146" t="s">
        <v>2931</v>
      </c>
      <c r="C18146">
        <v>9357</v>
      </c>
      <c r="D18146" t="str">
        <f>"1007770     "</f>
        <v xml:space="preserve">1007770     </v>
      </c>
      <c r="E18146" t="s">
        <v>2003</v>
      </c>
      <c r="F18146" t="s">
        <v>2004</v>
      </c>
      <c r="G18146">
        <v>28.11</v>
      </c>
      <c r="H18146">
        <v>250630</v>
      </c>
      <c r="I18146">
        <v>4380</v>
      </c>
      <c r="J18146" t="s">
        <v>211</v>
      </c>
      <c r="K18146">
        <v>28.11</v>
      </c>
      <c r="L18146">
        <v>5.71</v>
      </c>
      <c r="M18146">
        <v>17950</v>
      </c>
      <c r="N18146" t="s">
        <v>132</v>
      </c>
      <c r="O18146">
        <v>250704</v>
      </c>
      <c r="P18146">
        <v>22.4</v>
      </c>
    </row>
    <row r="18147" spans="1:16" x14ac:dyDescent="0.25">
      <c r="A18147" t="s">
        <v>3296</v>
      </c>
      <c r="B18147" t="s">
        <v>2931</v>
      </c>
      <c r="C18147">
        <v>9360</v>
      </c>
      <c r="D18147" t="str">
        <f>"1007147     "</f>
        <v xml:space="preserve">1007147     </v>
      </c>
      <c r="E18147" t="s">
        <v>2003</v>
      </c>
      <c r="F18147" t="s">
        <v>2004</v>
      </c>
      <c r="G18147">
        <v>28.11</v>
      </c>
      <c r="H18147">
        <v>250630</v>
      </c>
      <c r="I18147">
        <v>4380</v>
      </c>
      <c r="J18147" t="s">
        <v>211</v>
      </c>
      <c r="K18147">
        <v>28.11</v>
      </c>
      <c r="L18147">
        <v>5.71</v>
      </c>
      <c r="M18147">
        <v>17971</v>
      </c>
      <c r="N18147" t="s">
        <v>27</v>
      </c>
      <c r="O18147">
        <v>250704</v>
      </c>
      <c r="P18147">
        <v>22.4</v>
      </c>
    </row>
    <row r="18148" spans="1:16" x14ac:dyDescent="0.25">
      <c r="A18148" t="s">
        <v>3296</v>
      </c>
      <c r="B18148" t="s">
        <v>2931</v>
      </c>
      <c r="C18148">
        <v>10339</v>
      </c>
      <c r="D18148" t="str">
        <f>"1011246     "</f>
        <v xml:space="preserve">1011246     </v>
      </c>
      <c r="E18148" t="s">
        <v>2003</v>
      </c>
      <c r="F18148" t="s">
        <v>2004</v>
      </c>
      <c r="G18148">
        <v>131.44</v>
      </c>
      <c r="H18148">
        <v>250731</v>
      </c>
      <c r="I18148">
        <v>4380</v>
      </c>
      <c r="J18148" t="s">
        <v>211</v>
      </c>
      <c r="K18148">
        <v>131.44</v>
      </c>
      <c r="L18148">
        <v>26.71</v>
      </c>
      <c r="M18148">
        <v>18972</v>
      </c>
      <c r="N18148" t="s">
        <v>39</v>
      </c>
      <c r="O18148">
        <v>250818</v>
      </c>
      <c r="P18148">
        <v>104.73</v>
      </c>
    </row>
    <row r="18149" spans="1:16" x14ac:dyDescent="0.25">
      <c r="A18149" t="s">
        <v>3296</v>
      </c>
      <c r="B18149" t="s">
        <v>2931</v>
      </c>
      <c r="C18149">
        <v>10343</v>
      </c>
      <c r="D18149" t="str">
        <f>"1011452     "</f>
        <v xml:space="preserve">1011452     </v>
      </c>
      <c r="E18149" t="s">
        <v>2003</v>
      </c>
      <c r="F18149" t="s">
        <v>2004</v>
      </c>
      <c r="G18149">
        <v>356.66</v>
      </c>
      <c r="H18149">
        <v>250731</v>
      </c>
      <c r="I18149">
        <v>4380</v>
      </c>
      <c r="J18149" t="s">
        <v>211</v>
      </c>
      <c r="K18149">
        <v>356.66</v>
      </c>
      <c r="L18149">
        <v>72.47</v>
      </c>
      <c r="M18149">
        <v>18972</v>
      </c>
      <c r="N18149" t="s">
        <v>39</v>
      </c>
      <c r="O18149">
        <v>250818</v>
      </c>
      <c r="P18149">
        <v>284.19</v>
      </c>
    </row>
    <row r="18150" spans="1:16" x14ac:dyDescent="0.25">
      <c r="A18150" t="s">
        <v>3296</v>
      </c>
      <c r="B18150" t="s">
        <v>2931</v>
      </c>
      <c r="C18150">
        <v>11376</v>
      </c>
      <c r="D18150" t="str">
        <f>"1013755     "</f>
        <v xml:space="preserve">1013755     </v>
      </c>
      <c r="E18150" t="s">
        <v>2003</v>
      </c>
      <c r="F18150" t="s">
        <v>2004</v>
      </c>
      <c r="G18150">
        <v>230.43</v>
      </c>
      <c r="H18150">
        <v>250831</v>
      </c>
      <c r="I18150">
        <v>4380</v>
      </c>
      <c r="J18150" t="s">
        <v>211</v>
      </c>
      <c r="K18150">
        <v>230.43</v>
      </c>
      <c r="L18150">
        <v>46.82</v>
      </c>
      <c r="M18150">
        <v>17971</v>
      </c>
      <c r="N18150" t="s">
        <v>27</v>
      </c>
      <c r="O18150">
        <v>250904</v>
      </c>
      <c r="P18150">
        <v>183.61</v>
      </c>
    </row>
    <row r="18151" spans="1:16" x14ac:dyDescent="0.25">
      <c r="A18151" t="s">
        <v>3296</v>
      </c>
      <c r="B18151" t="s">
        <v>2931</v>
      </c>
      <c r="C18151">
        <v>11516</v>
      </c>
      <c r="D18151" t="str">
        <f>"1013959     "</f>
        <v xml:space="preserve">1013959     </v>
      </c>
      <c r="E18151" t="s">
        <v>2003</v>
      </c>
      <c r="F18151" t="s">
        <v>2004</v>
      </c>
      <c r="G18151">
        <v>4.33</v>
      </c>
      <c r="H18151">
        <v>250831</v>
      </c>
      <c r="I18151">
        <v>4380</v>
      </c>
      <c r="J18151" t="s">
        <v>211</v>
      </c>
      <c r="K18151">
        <v>76.38</v>
      </c>
      <c r="L18151">
        <v>0.88</v>
      </c>
      <c r="M18151">
        <v>13540</v>
      </c>
      <c r="N18151" t="s">
        <v>131</v>
      </c>
      <c r="O18151">
        <v>250908</v>
      </c>
      <c r="P18151">
        <v>3.45</v>
      </c>
    </row>
    <row r="18152" spans="1:16" x14ac:dyDescent="0.25">
      <c r="A18152" t="s">
        <v>3296</v>
      </c>
      <c r="B18152" t="s">
        <v>2931</v>
      </c>
      <c r="C18152">
        <v>11516</v>
      </c>
      <c r="D18152" t="str">
        <f>"1013959     "</f>
        <v xml:space="preserve">1013959     </v>
      </c>
      <c r="E18152" t="s">
        <v>2003</v>
      </c>
      <c r="F18152" t="s">
        <v>2004</v>
      </c>
      <c r="G18152">
        <v>29.56</v>
      </c>
      <c r="H18152">
        <v>250831</v>
      </c>
      <c r="I18152">
        <v>4380</v>
      </c>
      <c r="J18152" t="s">
        <v>211</v>
      </c>
      <c r="K18152">
        <v>76.38</v>
      </c>
      <c r="L18152">
        <v>6.01</v>
      </c>
      <c r="M18152">
        <v>17950</v>
      </c>
      <c r="N18152" t="s">
        <v>132</v>
      </c>
      <c r="O18152">
        <v>250908</v>
      </c>
      <c r="P18152">
        <v>23.55</v>
      </c>
    </row>
    <row r="18153" spans="1:16" x14ac:dyDescent="0.25">
      <c r="A18153" t="s">
        <v>3296</v>
      </c>
      <c r="B18153" t="s">
        <v>2931</v>
      </c>
      <c r="C18153">
        <v>11516</v>
      </c>
      <c r="D18153" t="str">
        <f>"1013959     "</f>
        <v xml:space="preserve">1013959     </v>
      </c>
      <c r="E18153" t="s">
        <v>2003</v>
      </c>
      <c r="F18153" t="s">
        <v>2004</v>
      </c>
      <c r="G18153">
        <v>5.52</v>
      </c>
      <c r="H18153">
        <v>250831</v>
      </c>
      <c r="I18153">
        <v>4380</v>
      </c>
      <c r="J18153" t="s">
        <v>211</v>
      </c>
      <c r="K18153">
        <v>76.38</v>
      </c>
      <c r="L18153">
        <v>1.1200000000000001</v>
      </c>
      <c r="M18153">
        <v>17956</v>
      </c>
      <c r="N18153" t="s">
        <v>170</v>
      </c>
      <c r="O18153">
        <v>250908</v>
      </c>
      <c r="P18153">
        <v>4.4000000000000004</v>
      </c>
    </row>
    <row r="18154" spans="1:16" x14ac:dyDescent="0.25">
      <c r="A18154" t="s">
        <v>3296</v>
      </c>
      <c r="B18154" t="s">
        <v>2931</v>
      </c>
      <c r="C18154">
        <v>12996</v>
      </c>
      <c r="D18154" t="str">
        <f>"1016984     "</f>
        <v xml:space="preserve">1016984     </v>
      </c>
      <c r="E18154" t="s">
        <v>2003</v>
      </c>
      <c r="F18154" t="s">
        <v>2004</v>
      </c>
      <c r="G18154">
        <v>72.099999999999994</v>
      </c>
      <c r="H18154">
        <v>250930</v>
      </c>
      <c r="I18154">
        <v>4380</v>
      </c>
      <c r="J18154" t="s">
        <v>211</v>
      </c>
      <c r="K18154">
        <v>72.099999999999994</v>
      </c>
      <c r="L18154">
        <v>14.65</v>
      </c>
      <c r="M18154">
        <v>17972</v>
      </c>
      <c r="N18154" t="s">
        <v>28</v>
      </c>
      <c r="O18154">
        <v>251003</v>
      </c>
      <c r="P18154">
        <v>57.45</v>
      </c>
    </row>
    <row r="18155" spans="1:16" x14ac:dyDescent="0.25">
      <c r="A18155" t="s">
        <v>3296</v>
      </c>
      <c r="B18155" t="s">
        <v>2931</v>
      </c>
      <c r="C18155">
        <v>13353</v>
      </c>
      <c r="D18155" t="str">
        <f>"1016191     "</f>
        <v xml:space="preserve">1016191     </v>
      </c>
      <c r="E18155" t="s">
        <v>2003</v>
      </c>
      <c r="F18155" t="s">
        <v>2004</v>
      </c>
      <c r="G18155">
        <v>30.79</v>
      </c>
      <c r="H18155">
        <v>250930</v>
      </c>
      <c r="I18155">
        <v>4380</v>
      </c>
      <c r="J18155" t="s">
        <v>211</v>
      </c>
      <c r="K18155">
        <v>303.20999999999998</v>
      </c>
      <c r="L18155">
        <v>6.26</v>
      </c>
      <c r="M18155">
        <v>13540</v>
      </c>
      <c r="N18155" t="s">
        <v>131</v>
      </c>
      <c r="O18155">
        <v>251008</v>
      </c>
      <c r="P18155">
        <v>24.53</v>
      </c>
    </row>
    <row r="18156" spans="1:16" x14ac:dyDescent="0.25">
      <c r="A18156" t="s">
        <v>3296</v>
      </c>
      <c r="B18156" t="s">
        <v>2931</v>
      </c>
      <c r="C18156">
        <v>13353</v>
      </c>
      <c r="D18156" t="str">
        <f>"1016191     "</f>
        <v xml:space="preserve">1016191     </v>
      </c>
      <c r="E18156" t="s">
        <v>2003</v>
      </c>
      <c r="F18156" t="s">
        <v>2004</v>
      </c>
      <c r="G18156">
        <v>209.9</v>
      </c>
      <c r="H18156">
        <v>250930</v>
      </c>
      <c r="I18156">
        <v>4380</v>
      </c>
      <c r="J18156" t="s">
        <v>211</v>
      </c>
      <c r="K18156">
        <v>303.20999999999998</v>
      </c>
      <c r="L18156">
        <v>42.65</v>
      </c>
      <c r="M18156">
        <v>17950</v>
      </c>
      <c r="N18156" t="s">
        <v>132</v>
      </c>
      <c r="O18156">
        <v>251008</v>
      </c>
      <c r="P18156">
        <v>167.25</v>
      </c>
    </row>
    <row r="18157" spans="1:16" x14ac:dyDescent="0.25">
      <c r="A18157" t="s">
        <v>3296</v>
      </c>
      <c r="B18157" t="s">
        <v>2931</v>
      </c>
      <c r="C18157">
        <v>13353</v>
      </c>
      <c r="D18157" t="str">
        <f>"1016191     "</f>
        <v xml:space="preserve">1016191     </v>
      </c>
      <c r="E18157" t="s">
        <v>2003</v>
      </c>
      <c r="F18157" t="s">
        <v>2004</v>
      </c>
      <c r="G18157">
        <v>39.18</v>
      </c>
      <c r="H18157">
        <v>250930</v>
      </c>
      <c r="I18157">
        <v>4380</v>
      </c>
      <c r="J18157" t="s">
        <v>211</v>
      </c>
      <c r="K18157">
        <v>303.20999999999998</v>
      </c>
      <c r="L18157">
        <v>7.96</v>
      </c>
      <c r="M18157">
        <v>17956</v>
      </c>
      <c r="N18157" t="s">
        <v>170</v>
      </c>
      <c r="O18157">
        <v>251008</v>
      </c>
      <c r="P18157">
        <v>31.22</v>
      </c>
    </row>
    <row r="18158" spans="1:16" x14ac:dyDescent="0.25">
      <c r="A18158" t="s">
        <v>3296</v>
      </c>
      <c r="B18158" t="s">
        <v>2931</v>
      </c>
      <c r="C18158">
        <v>14588</v>
      </c>
      <c r="D18158" t="str">
        <f>"1018396     "</f>
        <v xml:space="preserve">1018396     </v>
      </c>
      <c r="E18158" t="s">
        <v>2003</v>
      </c>
      <c r="F18158" t="s">
        <v>2004</v>
      </c>
      <c r="G18158">
        <v>182.48</v>
      </c>
      <c r="H18158">
        <v>251031</v>
      </c>
      <c r="I18158">
        <v>4380</v>
      </c>
      <c r="J18158" t="s">
        <v>211</v>
      </c>
      <c r="K18158">
        <v>182.48</v>
      </c>
      <c r="L18158">
        <v>37.08</v>
      </c>
      <c r="M18158">
        <v>17971</v>
      </c>
      <c r="N18158" t="s">
        <v>27</v>
      </c>
      <c r="O18158">
        <v>251105</v>
      </c>
      <c r="P18158">
        <v>145.4</v>
      </c>
    </row>
    <row r="18159" spans="1:16" x14ac:dyDescent="0.25">
      <c r="A18159" t="s">
        <v>3296</v>
      </c>
      <c r="B18159" t="s">
        <v>2931</v>
      </c>
      <c r="C18159">
        <v>14790</v>
      </c>
      <c r="D18159" t="str">
        <f>"1018399     "</f>
        <v xml:space="preserve">1018399     </v>
      </c>
      <c r="E18159" t="s">
        <v>2003</v>
      </c>
      <c r="F18159" t="s">
        <v>2004</v>
      </c>
      <c r="G18159">
        <v>255.77</v>
      </c>
      <c r="H18159">
        <v>251031</v>
      </c>
      <c r="I18159">
        <v>4380</v>
      </c>
      <c r="J18159" t="s">
        <v>211</v>
      </c>
      <c r="K18159">
        <v>268.88</v>
      </c>
      <c r="L18159">
        <v>51.97</v>
      </c>
      <c r="M18159">
        <v>69701</v>
      </c>
      <c r="N18159" t="s">
        <v>1030</v>
      </c>
      <c r="O18159">
        <v>251106</v>
      </c>
      <c r="P18159">
        <v>203.8</v>
      </c>
    </row>
    <row r="18160" spans="1:16" x14ac:dyDescent="0.25">
      <c r="A18160" t="s">
        <v>3296</v>
      </c>
      <c r="B18160" t="s">
        <v>2931</v>
      </c>
      <c r="C18160">
        <v>16071</v>
      </c>
      <c r="D18160" t="str">
        <f>"1021036     "</f>
        <v xml:space="preserve">1021036     </v>
      </c>
      <c r="E18160" t="s">
        <v>2003</v>
      </c>
      <c r="F18160" t="s">
        <v>2004</v>
      </c>
      <c r="G18160">
        <v>41.42</v>
      </c>
      <c r="H18160">
        <v>251130</v>
      </c>
      <c r="I18160">
        <v>4380</v>
      </c>
      <c r="J18160" t="s">
        <v>211</v>
      </c>
      <c r="K18160">
        <v>41.42</v>
      </c>
      <c r="L18160">
        <v>8.42</v>
      </c>
      <c r="M18160">
        <v>17971</v>
      </c>
      <c r="N18160" t="s">
        <v>27</v>
      </c>
      <c r="O18160">
        <v>251203</v>
      </c>
      <c r="P18160">
        <v>33</v>
      </c>
    </row>
    <row r="18161" spans="1:16" x14ac:dyDescent="0.25">
      <c r="A18161" t="s">
        <v>3296</v>
      </c>
      <c r="B18161" t="s">
        <v>2931</v>
      </c>
      <c r="C18161">
        <v>16073</v>
      </c>
      <c r="D18161" t="str">
        <f>"1021033     "</f>
        <v xml:space="preserve">1021033     </v>
      </c>
      <c r="E18161" t="s">
        <v>2003</v>
      </c>
      <c r="F18161" t="s">
        <v>2004</v>
      </c>
      <c r="G18161">
        <v>3.76</v>
      </c>
      <c r="H18161">
        <v>251130</v>
      </c>
      <c r="I18161">
        <v>4380</v>
      </c>
      <c r="J18161" t="s">
        <v>211</v>
      </c>
      <c r="K18161">
        <v>34.119999999999997</v>
      </c>
      <c r="L18161">
        <v>0.76</v>
      </c>
      <c r="M18161">
        <v>13540</v>
      </c>
      <c r="N18161" t="s">
        <v>131</v>
      </c>
      <c r="O18161">
        <v>251203</v>
      </c>
      <c r="P18161">
        <v>3</v>
      </c>
    </row>
    <row r="18162" spans="1:16" x14ac:dyDescent="0.25">
      <c r="A18162" t="s">
        <v>3296</v>
      </c>
      <c r="B18162" t="s">
        <v>2931</v>
      </c>
      <c r="C18162">
        <v>16073</v>
      </c>
      <c r="D18162" t="str">
        <f>"1021033     "</f>
        <v xml:space="preserve">1021033     </v>
      </c>
      <c r="E18162" t="s">
        <v>2003</v>
      </c>
      <c r="F18162" t="s">
        <v>2004</v>
      </c>
      <c r="G18162">
        <v>25.59</v>
      </c>
      <c r="H18162">
        <v>251130</v>
      </c>
      <c r="I18162">
        <v>4380</v>
      </c>
      <c r="J18162" t="s">
        <v>211</v>
      </c>
      <c r="K18162">
        <v>34.119999999999997</v>
      </c>
      <c r="L18162">
        <v>5.2</v>
      </c>
      <c r="M18162">
        <v>17950</v>
      </c>
      <c r="N18162" t="s">
        <v>132</v>
      </c>
      <c r="O18162">
        <v>251203</v>
      </c>
      <c r="P18162">
        <v>20.39</v>
      </c>
    </row>
    <row r="18163" spans="1:16" x14ac:dyDescent="0.25">
      <c r="A18163" t="s">
        <v>3296</v>
      </c>
      <c r="B18163" t="s">
        <v>2931</v>
      </c>
      <c r="C18163">
        <v>16073</v>
      </c>
      <c r="D18163" t="str">
        <f>"1021033     "</f>
        <v xml:space="preserve">1021033     </v>
      </c>
      <c r="E18163" t="s">
        <v>2003</v>
      </c>
      <c r="F18163" t="s">
        <v>2004</v>
      </c>
      <c r="G18163">
        <v>4.7699999999999996</v>
      </c>
      <c r="H18163">
        <v>251130</v>
      </c>
      <c r="I18163">
        <v>4380</v>
      </c>
      <c r="J18163" t="s">
        <v>211</v>
      </c>
      <c r="K18163">
        <v>34.119999999999997</v>
      </c>
      <c r="L18163">
        <v>0.97</v>
      </c>
      <c r="M18163">
        <v>17956</v>
      </c>
      <c r="N18163" t="s">
        <v>170</v>
      </c>
      <c r="O18163">
        <v>251203</v>
      </c>
      <c r="P18163">
        <v>3.8</v>
      </c>
    </row>
    <row r="18164" spans="1:16" x14ac:dyDescent="0.25">
      <c r="A18164" t="s">
        <v>3296</v>
      </c>
      <c r="B18164" t="s">
        <v>2931</v>
      </c>
      <c r="C18164">
        <v>18048</v>
      </c>
      <c r="D18164" t="str">
        <f>"1025775     "</f>
        <v xml:space="preserve">1025775     </v>
      </c>
      <c r="E18164" t="s">
        <v>2003</v>
      </c>
      <c r="F18164" t="s">
        <v>2004</v>
      </c>
      <c r="G18164">
        <v>159.88999999999999</v>
      </c>
      <c r="H18164">
        <v>251231</v>
      </c>
      <c r="I18164">
        <v>4380</v>
      </c>
      <c r="J18164" t="s">
        <v>211</v>
      </c>
      <c r="K18164">
        <v>159.88999999999999</v>
      </c>
      <c r="L18164">
        <v>32.49</v>
      </c>
      <c r="M18164">
        <v>17971</v>
      </c>
      <c r="N18164" t="s">
        <v>27</v>
      </c>
      <c r="O18164">
        <v>260108</v>
      </c>
      <c r="P18164">
        <v>127.4</v>
      </c>
    </row>
    <row r="18165" spans="1:16" x14ac:dyDescent="0.25">
      <c r="A18165" t="s">
        <v>3296</v>
      </c>
      <c r="B18165" t="s">
        <v>2931</v>
      </c>
      <c r="C18165">
        <v>9579</v>
      </c>
      <c r="D18165" t="str">
        <f>"1008734     "</f>
        <v xml:space="preserve">1008734     </v>
      </c>
      <c r="E18165" t="s">
        <v>2003</v>
      </c>
      <c r="F18165" t="s">
        <v>2004</v>
      </c>
      <c r="G18165">
        <v>150.35</v>
      </c>
      <c r="H18165">
        <v>250630</v>
      </c>
      <c r="I18165">
        <v>4470</v>
      </c>
      <c r="J18165" t="s">
        <v>203</v>
      </c>
      <c r="K18165">
        <v>150.35</v>
      </c>
      <c r="L18165">
        <v>30.55</v>
      </c>
      <c r="M18165">
        <v>13401</v>
      </c>
      <c r="N18165" t="s">
        <v>10</v>
      </c>
      <c r="O18165">
        <v>250721</v>
      </c>
      <c r="P18165">
        <v>119.8</v>
      </c>
    </row>
    <row r="18166" spans="1:16" x14ac:dyDescent="0.25">
      <c r="A18166" t="s">
        <v>3296</v>
      </c>
      <c r="B18166" t="s">
        <v>2931</v>
      </c>
      <c r="C18166">
        <v>9988</v>
      </c>
      <c r="D18166" t="str">
        <f>"1012136     "</f>
        <v xml:space="preserve">1012136     </v>
      </c>
      <c r="E18166" t="s">
        <v>2003</v>
      </c>
      <c r="F18166" t="s">
        <v>2004</v>
      </c>
      <c r="G18166">
        <v>255.77</v>
      </c>
      <c r="H18166">
        <v>250731</v>
      </c>
      <c r="I18166">
        <v>4470</v>
      </c>
      <c r="J18166" t="s">
        <v>203</v>
      </c>
      <c r="K18166">
        <v>255.77</v>
      </c>
      <c r="L18166">
        <v>51.97</v>
      </c>
      <c r="M18166">
        <v>69704</v>
      </c>
      <c r="N18166" t="s">
        <v>89</v>
      </c>
      <c r="O18166">
        <v>250806</v>
      </c>
      <c r="P18166">
        <v>203.8</v>
      </c>
    </row>
    <row r="18167" spans="1:16" x14ac:dyDescent="0.25">
      <c r="A18167" t="s">
        <v>3296</v>
      </c>
      <c r="B18167" t="s">
        <v>2931</v>
      </c>
      <c r="C18167">
        <v>10021</v>
      </c>
      <c r="D18167" t="str">
        <f>"1012559     "</f>
        <v xml:space="preserve">1012559     </v>
      </c>
      <c r="E18167" t="s">
        <v>2003</v>
      </c>
      <c r="F18167" t="s">
        <v>2004</v>
      </c>
      <c r="G18167">
        <v>137.30000000000001</v>
      </c>
      <c r="H18167">
        <v>250731</v>
      </c>
      <c r="I18167">
        <v>4470</v>
      </c>
      <c r="J18167" t="s">
        <v>203</v>
      </c>
      <c r="K18167">
        <v>137.30000000000001</v>
      </c>
      <c r="L18167">
        <v>27.9</v>
      </c>
      <c r="M18167">
        <v>17971</v>
      </c>
      <c r="N18167" t="s">
        <v>27</v>
      </c>
      <c r="O18167">
        <v>250807</v>
      </c>
      <c r="P18167">
        <v>109.4</v>
      </c>
    </row>
    <row r="18168" spans="1:16" x14ac:dyDescent="0.25">
      <c r="A18168" t="s">
        <v>3296</v>
      </c>
      <c r="B18168" t="s">
        <v>2931</v>
      </c>
      <c r="C18168">
        <v>14586</v>
      </c>
      <c r="D18168" t="str">
        <f>"1018417     "</f>
        <v xml:space="preserve">1018417     </v>
      </c>
      <c r="E18168" t="s">
        <v>2003</v>
      </c>
      <c r="F18168" t="s">
        <v>2004</v>
      </c>
      <c r="G18168">
        <v>159.88999999999999</v>
      </c>
      <c r="H18168">
        <v>251031</v>
      </c>
      <c r="I18168">
        <v>4470</v>
      </c>
      <c r="J18168" t="s">
        <v>203</v>
      </c>
      <c r="K18168">
        <v>159.88999999999999</v>
      </c>
      <c r="L18168">
        <v>32.49</v>
      </c>
      <c r="M18168">
        <v>17971</v>
      </c>
      <c r="N18168" t="s">
        <v>27</v>
      </c>
      <c r="O18168">
        <v>251105</v>
      </c>
      <c r="P18168">
        <v>127.4</v>
      </c>
    </row>
    <row r="18169" spans="1:16" x14ac:dyDescent="0.25">
      <c r="A18169" t="s">
        <v>3296</v>
      </c>
      <c r="B18169" t="s">
        <v>2931</v>
      </c>
      <c r="C18169">
        <v>16485</v>
      </c>
      <c r="D18169" t="str">
        <f>"1021116     "</f>
        <v xml:space="preserve">1021116     </v>
      </c>
      <c r="E18169" t="s">
        <v>2003</v>
      </c>
      <c r="F18169" t="s">
        <v>2004</v>
      </c>
      <c r="G18169">
        <v>176.7</v>
      </c>
      <c r="H18169">
        <v>251130</v>
      </c>
      <c r="I18169">
        <v>4470</v>
      </c>
      <c r="J18169" t="s">
        <v>203</v>
      </c>
      <c r="K18169">
        <v>176.7</v>
      </c>
      <c r="L18169">
        <v>35.9</v>
      </c>
      <c r="M18169">
        <v>59701</v>
      </c>
      <c r="N18169" t="s">
        <v>64</v>
      </c>
      <c r="O18169">
        <v>251209</v>
      </c>
      <c r="P18169">
        <v>140.80000000000001</v>
      </c>
    </row>
    <row r="18170" spans="1:16" x14ac:dyDescent="0.25">
      <c r="A18170" t="s">
        <v>3296</v>
      </c>
      <c r="B18170" t="s">
        <v>2931</v>
      </c>
      <c r="C18170">
        <v>11516</v>
      </c>
      <c r="D18170" t="str">
        <f>"1013959     "</f>
        <v xml:space="preserve">1013959     </v>
      </c>
      <c r="E18170" t="s">
        <v>2003</v>
      </c>
      <c r="F18170" t="s">
        <v>2004</v>
      </c>
      <c r="G18170">
        <v>4.07</v>
      </c>
      <c r="H18170">
        <v>250831</v>
      </c>
      <c r="I18170">
        <v>4842</v>
      </c>
      <c r="J18170" t="s">
        <v>15</v>
      </c>
      <c r="K18170">
        <v>76.38</v>
      </c>
      <c r="L18170">
        <v>0.83</v>
      </c>
      <c r="M18170">
        <v>13540</v>
      </c>
      <c r="N18170" t="s">
        <v>131</v>
      </c>
      <c r="O18170">
        <v>250908</v>
      </c>
      <c r="P18170">
        <v>3.24</v>
      </c>
    </row>
    <row r="18171" spans="1:16" x14ac:dyDescent="0.25">
      <c r="A18171" t="s">
        <v>3296</v>
      </c>
      <c r="B18171" t="s">
        <v>2931</v>
      </c>
      <c r="C18171">
        <v>11516</v>
      </c>
      <c r="D18171" t="str">
        <f>"1013959     "</f>
        <v xml:space="preserve">1013959     </v>
      </c>
      <c r="E18171" t="s">
        <v>2003</v>
      </c>
      <c r="F18171" t="s">
        <v>2004</v>
      </c>
      <c r="G18171">
        <v>27.73</v>
      </c>
      <c r="H18171">
        <v>250831</v>
      </c>
      <c r="I18171">
        <v>4842</v>
      </c>
      <c r="J18171" t="s">
        <v>15</v>
      </c>
      <c r="K18171">
        <v>76.38</v>
      </c>
      <c r="L18171">
        <v>5.63</v>
      </c>
      <c r="M18171">
        <v>17950</v>
      </c>
      <c r="N18171" t="s">
        <v>132</v>
      </c>
      <c r="O18171">
        <v>250908</v>
      </c>
      <c r="P18171">
        <v>22.1</v>
      </c>
    </row>
    <row r="18172" spans="1:16" x14ac:dyDescent="0.25">
      <c r="A18172" t="s">
        <v>3296</v>
      </c>
      <c r="B18172" t="s">
        <v>2931</v>
      </c>
      <c r="C18172">
        <v>11516</v>
      </c>
      <c r="D18172" t="str">
        <f>"1013959     "</f>
        <v xml:space="preserve">1013959     </v>
      </c>
      <c r="E18172" t="s">
        <v>2003</v>
      </c>
      <c r="F18172" t="s">
        <v>2004</v>
      </c>
      <c r="G18172">
        <v>5.17</v>
      </c>
      <c r="H18172">
        <v>250831</v>
      </c>
      <c r="I18172">
        <v>4842</v>
      </c>
      <c r="J18172" t="s">
        <v>15</v>
      </c>
      <c r="K18172">
        <v>76.38</v>
      </c>
      <c r="L18172">
        <v>1.05</v>
      </c>
      <c r="M18172">
        <v>17956</v>
      </c>
      <c r="N18172" t="s">
        <v>170</v>
      </c>
      <c r="O18172">
        <v>250908</v>
      </c>
      <c r="P18172">
        <v>4.12</v>
      </c>
    </row>
    <row r="18173" spans="1:16" x14ac:dyDescent="0.25">
      <c r="A18173" t="s">
        <v>3296</v>
      </c>
      <c r="B18173" t="s">
        <v>2931</v>
      </c>
      <c r="C18173">
        <v>13353</v>
      </c>
      <c r="D18173" t="str">
        <f>"1016191     "</f>
        <v xml:space="preserve">1016191     </v>
      </c>
      <c r="E18173" t="s">
        <v>2003</v>
      </c>
      <c r="F18173" t="s">
        <v>2004</v>
      </c>
      <c r="G18173">
        <v>2.57</v>
      </c>
      <c r="H18173">
        <v>250930</v>
      </c>
      <c r="I18173">
        <v>4842</v>
      </c>
      <c r="J18173" t="s">
        <v>15</v>
      </c>
      <c r="K18173">
        <v>303.20999999999998</v>
      </c>
      <c r="L18173">
        <v>0.52</v>
      </c>
      <c r="M18173">
        <v>13540</v>
      </c>
      <c r="N18173" t="s">
        <v>131</v>
      </c>
      <c r="O18173">
        <v>251008</v>
      </c>
      <c r="P18173">
        <v>2.0499999999999998</v>
      </c>
    </row>
    <row r="18174" spans="1:16" x14ac:dyDescent="0.25">
      <c r="A18174" t="s">
        <v>3296</v>
      </c>
      <c r="B18174" t="s">
        <v>2931</v>
      </c>
      <c r="C18174">
        <v>13353</v>
      </c>
      <c r="D18174" t="str">
        <f>"1016191     "</f>
        <v xml:space="preserve">1016191     </v>
      </c>
      <c r="E18174" t="s">
        <v>2003</v>
      </c>
      <c r="F18174" t="s">
        <v>2004</v>
      </c>
      <c r="G18174">
        <v>17.5</v>
      </c>
      <c r="H18174">
        <v>250930</v>
      </c>
      <c r="I18174">
        <v>4842</v>
      </c>
      <c r="J18174" t="s">
        <v>15</v>
      </c>
      <c r="K18174">
        <v>303.20999999999998</v>
      </c>
      <c r="L18174">
        <v>3.56</v>
      </c>
      <c r="M18174">
        <v>17950</v>
      </c>
      <c r="N18174" t="s">
        <v>132</v>
      </c>
      <c r="O18174">
        <v>251008</v>
      </c>
      <c r="P18174">
        <v>13.94</v>
      </c>
    </row>
    <row r="18175" spans="1:16" x14ac:dyDescent="0.25">
      <c r="A18175" t="s">
        <v>3296</v>
      </c>
      <c r="B18175" t="s">
        <v>2931</v>
      </c>
      <c r="C18175">
        <v>13353</v>
      </c>
      <c r="D18175" t="str">
        <f>"1016191     "</f>
        <v xml:space="preserve">1016191     </v>
      </c>
      <c r="E18175" t="s">
        <v>2003</v>
      </c>
      <c r="F18175" t="s">
        <v>2004</v>
      </c>
      <c r="G18175">
        <v>3.27</v>
      </c>
      <c r="H18175">
        <v>250930</v>
      </c>
      <c r="I18175">
        <v>4842</v>
      </c>
      <c r="J18175" t="s">
        <v>15</v>
      </c>
      <c r="K18175">
        <v>303.20999999999998</v>
      </c>
      <c r="L18175">
        <v>0.66</v>
      </c>
      <c r="M18175">
        <v>17956</v>
      </c>
      <c r="N18175" t="s">
        <v>170</v>
      </c>
      <c r="O18175">
        <v>251008</v>
      </c>
      <c r="P18175">
        <v>2.61</v>
      </c>
    </row>
    <row r="18176" spans="1:16" x14ac:dyDescent="0.25">
      <c r="A18176" t="s">
        <v>3296</v>
      </c>
      <c r="B18176" t="s">
        <v>2931</v>
      </c>
      <c r="C18176">
        <v>7964</v>
      </c>
      <c r="D18176" t="str">
        <f>"1005345     "</f>
        <v xml:space="preserve">1005345     </v>
      </c>
      <c r="E18176" t="s">
        <v>2003</v>
      </c>
      <c r="F18176" t="s">
        <v>2004</v>
      </c>
      <c r="G18176">
        <v>28.11</v>
      </c>
      <c r="H18176">
        <v>250531</v>
      </c>
      <c r="I18176">
        <v>4860</v>
      </c>
      <c r="J18176" t="s">
        <v>286</v>
      </c>
      <c r="K18176">
        <v>28.11</v>
      </c>
      <c r="L18176">
        <v>5.71</v>
      </c>
      <c r="M18176">
        <v>18971</v>
      </c>
      <c r="N18176" t="s">
        <v>38</v>
      </c>
      <c r="O18176">
        <v>250610</v>
      </c>
      <c r="P18176">
        <v>22.4</v>
      </c>
    </row>
    <row r="18177" spans="1:16" x14ac:dyDescent="0.25">
      <c r="A18177" t="s">
        <v>3296</v>
      </c>
      <c r="B18177" t="s">
        <v>2931</v>
      </c>
      <c r="C18177">
        <v>8225</v>
      </c>
      <c r="D18177" t="str">
        <f>"1001493     "</f>
        <v xml:space="preserve">1001493     </v>
      </c>
      <c r="E18177" t="s">
        <v>2003</v>
      </c>
      <c r="F18177" t="s">
        <v>2004</v>
      </c>
      <c r="G18177">
        <v>28.11</v>
      </c>
      <c r="H18177">
        <v>250531</v>
      </c>
      <c r="I18177">
        <v>4860</v>
      </c>
      <c r="J18177" t="s">
        <v>286</v>
      </c>
      <c r="K18177">
        <v>28.11</v>
      </c>
      <c r="L18177">
        <v>5.71</v>
      </c>
      <c r="M18177">
        <v>59701</v>
      </c>
      <c r="N18177" t="s">
        <v>64</v>
      </c>
      <c r="O18177">
        <v>250612</v>
      </c>
      <c r="P18177">
        <v>22.4</v>
      </c>
    </row>
    <row r="18178" spans="1:16" x14ac:dyDescent="0.25">
      <c r="A18178" t="s">
        <v>3296</v>
      </c>
      <c r="B18178" t="s">
        <v>2931</v>
      </c>
      <c r="C18178">
        <v>9460</v>
      </c>
      <c r="D18178" t="str">
        <f>"1009943     "</f>
        <v xml:space="preserve">1009943     </v>
      </c>
      <c r="E18178" t="s">
        <v>2003</v>
      </c>
      <c r="F18178" t="s">
        <v>2004</v>
      </c>
      <c r="G18178">
        <v>28.11</v>
      </c>
      <c r="H18178">
        <v>250630</v>
      </c>
      <c r="I18178">
        <v>4860</v>
      </c>
      <c r="J18178" t="s">
        <v>286</v>
      </c>
      <c r="K18178">
        <v>28.11</v>
      </c>
      <c r="L18178">
        <v>5.71</v>
      </c>
      <c r="M18178">
        <v>18971</v>
      </c>
      <c r="N18178" t="s">
        <v>38</v>
      </c>
      <c r="O18178">
        <v>250708</v>
      </c>
      <c r="P18178">
        <v>22.4</v>
      </c>
    </row>
    <row r="18179" spans="1:16" x14ac:dyDescent="0.25">
      <c r="A18179" t="s">
        <v>3296</v>
      </c>
      <c r="B18179" t="s">
        <v>2931</v>
      </c>
      <c r="C18179">
        <v>9495</v>
      </c>
      <c r="D18179" t="str">
        <f>"1007071     "</f>
        <v xml:space="preserve">1007071     </v>
      </c>
      <c r="E18179" t="s">
        <v>2003</v>
      </c>
      <c r="F18179" t="s">
        <v>2004</v>
      </c>
      <c r="G18179">
        <v>28.11</v>
      </c>
      <c r="H18179">
        <v>250630</v>
      </c>
      <c r="I18179">
        <v>4860</v>
      </c>
      <c r="J18179" t="s">
        <v>286</v>
      </c>
      <c r="K18179">
        <v>28.11</v>
      </c>
      <c r="L18179">
        <v>5.71</v>
      </c>
      <c r="M18179">
        <v>59701</v>
      </c>
      <c r="N18179" t="s">
        <v>64</v>
      </c>
      <c r="O18179">
        <v>250709</v>
      </c>
      <c r="P18179">
        <v>22.4</v>
      </c>
    </row>
    <row r="18180" spans="1:16" x14ac:dyDescent="0.25">
      <c r="A18180" t="s">
        <v>3296</v>
      </c>
      <c r="B18180" t="s">
        <v>2931</v>
      </c>
      <c r="C18180">
        <v>11315</v>
      </c>
      <c r="D18180" t="str">
        <f>"1013947     "</f>
        <v xml:space="preserve">1013947     </v>
      </c>
      <c r="E18180" t="s">
        <v>2003</v>
      </c>
      <c r="F18180" t="s">
        <v>2004</v>
      </c>
      <c r="G18180">
        <v>81.39</v>
      </c>
      <c r="H18180">
        <v>250831</v>
      </c>
      <c r="I18180">
        <v>4860</v>
      </c>
      <c r="J18180" t="s">
        <v>286</v>
      </c>
      <c r="K18180">
        <v>81.39</v>
      </c>
      <c r="L18180">
        <v>16.54</v>
      </c>
      <c r="M18180">
        <v>69703</v>
      </c>
      <c r="N18180" t="s">
        <v>88</v>
      </c>
      <c r="O18180">
        <v>250903</v>
      </c>
      <c r="P18180">
        <v>64.849999999999994</v>
      </c>
    </row>
    <row r="18181" spans="1:16" x14ac:dyDescent="0.25">
      <c r="A18181" t="s">
        <v>3296</v>
      </c>
      <c r="B18181" t="s">
        <v>2931</v>
      </c>
      <c r="C18181">
        <v>13005</v>
      </c>
      <c r="D18181" t="str">
        <f>"1017075     "</f>
        <v xml:space="preserve">1017075     </v>
      </c>
      <c r="E18181" t="s">
        <v>2003</v>
      </c>
      <c r="F18181" t="s">
        <v>2004</v>
      </c>
      <c r="G18181">
        <v>73.290000000000006</v>
      </c>
      <c r="H18181">
        <v>250930</v>
      </c>
      <c r="I18181">
        <v>4860</v>
      </c>
      <c r="J18181" t="s">
        <v>286</v>
      </c>
      <c r="K18181">
        <v>73.290000000000006</v>
      </c>
      <c r="L18181">
        <v>14.89</v>
      </c>
      <c r="M18181">
        <v>59701</v>
      </c>
      <c r="N18181" t="s">
        <v>64</v>
      </c>
      <c r="O18181">
        <v>251003</v>
      </c>
      <c r="P18181">
        <v>58.4</v>
      </c>
    </row>
    <row r="18182" spans="1:16" x14ac:dyDescent="0.25">
      <c r="A18182" t="s">
        <v>3296</v>
      </c>
      <c r="B18182" t="s">
        <v>2931</v>
      </c>
      <c r="C18182">
        <v>13196</v>
      </c>
      <c r="D18182" t="str">
        <f>"1016546     "</f>
        <v xml:space="preserve">1016546     </v>
      </c>
      <c r="E18182" t="s">
        <v>2003</v>
      </c>
      <c r="F18182" t="s">
        <v>2004</v>
      </c>
      <c r="G18182">
        <v>73.290000000000006</v>
      </c>
      <c r="H18182">
        <v>250930</v>
      </c>
      <c r="I18182">
        <v>4860</v>
      </c>
      <c r="J18182" t="s">
        <v>286</v>
      </c>
      <c r="K18182">
        <v>73.290000000000006</v>
      </c>
      <c r="L18182">
        <v>14.89</v>
      </c>
      <c r="M18182">
        <v>18971</v>
      </c>
      <c r="N18182" t="s">
        <v>38</v>
      </c>
      <c r="O18182">
        <v>251006</v>
      </c>
      <c r="P18182">
        <v>58.4</v>
      </c>
    </row>
    <row r="18183" spans="1:16" x14ac:dyDescent="0.25">
      <c r="A18183" t="s">
        <v>3296</v>
      </c>
      <c r="B18183" t="s">
        <v>2931</v>
      </c>
      <c r="C18183">
        <v>14790</v>
      </c>
      <c r="D18183" t="str">
        <f>"1018399     "</f>
        <v xml:space="preserve">1018399     </v>
      </c>
      <c r="E18183" t="s">
        <v>2003</v>
      </c>
      <c r="F18183" t="s">
        <v>2004</v>
      </c>
      <c r="G18183">
        <v>13.11</v>
      </c>
      <c r="H18183">
        <v>251031</v>
      </c>
      <c r="I18183">
        <v>4860</v>
      </c>
      <c r="J18183" t="s">
        <v>286</v>
      </c>
      <c r="K18183">
        <v>268.88</v>
      </c>
      <c r="L18183">
        <v>2.66</v>
      </c>
      <c r="M18183">
        <v>69701</v>
      </c>
      <c r="N18183" t="s">
        <v>1030</v>
      </c>
      <c r="O18183">
        <v>251106</v>
      </c>
      <c r="P18183">
        <v>10.45</v>
      </c>
    </row>
    <row r="18184" spans="1:16" x14ac:dyDescent="0.25">
      <c r="A18184" t="s">
        <v>3296</v>
      </c>
      <c r="B18184" t="s">
        <v>2931</v>
      </c>
      <c r="C18184">
        <v>16070</v>
      </c>
      <c r="D18184" t="str">
        <f>"1021066     "</f>
        <v xml:space="preserve">1021066     </v>
      </c>
      <c r="E18184" t="s">
        <v>2003</v>
      </c>
      <c r="F18184" t="s">
        <v>2004</v>
      </c>
      <c r="G18184">
        <v>64.010000000000005</v>
      </c>
      <c r="H18184">
        <v>251130</v>
      </c>
      <c r="I18184">
        <v>4860</v>
      </c>
      <c r="J18184" t="s">
        <v>286</v>
      </c>
      <c r="K18184">
        <v>64.010000000000005</v>
      </c>
      <c r="L18184">
        <v>13.01</v>
      </c>
      <c r="M18184">
        <v>18971</v>
      </c>
      <c r="N18184" t="s">
        <v>38</v>
      </c>
      <c r="O18184">
        <v>251203</v>
      </c>
      <c r="P18184">
        <v>51</v>
      </c>
    </row>
    <row r="18185" spans="1:16" x14ac:dyDescent="0.25">
      <c r="A18185" t="s">
        <v>3296</v>
      </c>
      <c r="B18185" t="s">
        <v>2931</v>
      </c>
      <c r="C18185">
        <v>16134</v>
      </c>
      <c r="D18185" t="str">
        <f>"1021027     "</f>
        <v xml:space="preserve">1021027     </v>
      </c>
      <c r="E18185" t="s">
        <v>2003</v>
      </c>
      <c r="F18185" t="s">
        <v>2004</v>
      </c>
      <c r="G18185">
        <v>32.01</v>
      </c>
      <c r="H18185">
        <v>251130</v>
      </c>
      <c r="I18185">
        <v>4860</v>
      </c>
      <c r="J18185" t="s">
        <v>286</v>
      </c>
      <c r="K18185">
        <v>64.010000000000005</v>
      </c>
      <c r="L18185">
        <v>6.5</v>
      </c>
      <c r="M18185">
        <v>11501</v>
      </c>
      <c r="N18185" t="s">
        <v>13</v>
      </c>
      <c r="O18185">
        <v>251204</v>
      </c>
      <c r="P18185">
        <v>25.51</v>
      </c>
    </row>
    <row r="18186" spans="1:16" x14ac:dyDescent="0.25">
      <c r="A18186" t="s">
        <v>3296</v>
      </c>
      <c r="B18186" t="s">
        <v>2931</v>
      </c>
      <c r="C18186">
        <v>16134</v>
      </c>
      <c r="D18186" t="str">
        <f>"1021027     "</f>
        <v xml:space="preserve">1021027     </v>
      </c>
      <c r="E18186" t="s">
        <v>2003</v>
      </c>
      <c r="F18186" t="s">
        <v>2004</v>
      </c>
      <c r="G18186">
        <v>32</v>
      </c>
      <c r="H18186">
        <v>251130</v>
      </c>
      <c r="I18186">
        <v>4860</v>
      </c>
      <c r="J18186" t="s">
        <v>286</v>
      </c>
      <c r="K18186">
        <v>64.010000000000005</v>
      </c>
      <c r="L18186">
        <v>6.5</v>
      </c>
      <c r="M18186">
        <v>18972</v>
      </c>
      <c r="N18186" t="s">
        <v>39</v>
      </c>
      <c r="O18186">
        <v>251204</v>
      </c>
      <c r="P18186">
        <v>25.5</v>
      </c>
    </row>
    <row r="18187" spans="1:16" x14ac:dyDescent="0.25">
      <c r="A18187" t="s">
        <v>3296</v>
      </c>
      <c r="B18187" t="s">
        <v>2931</v>
      </c>
      <c r="C18187">
        <v>16170</v>
      </c>
      <c r="D18187" t="str">
        <f>"1021143     "</f>
        <v xml:space="preserve">1021143     </v>
      </c>
      <c r="E18187" t="s">
        <v>2003</v>
      </c>
      <c r="F18187" t="s">
        <v>2004</v>
      </c>
      <c r="G18187">
        <v>41.42</v>
      </c>
      <c r="H18187">
        <v>251130</v>
      </c>
      <c r="I18187">
        <v>4860</v>
      </c>
      <c r="J18187" t="s">
        <v>286</v>
      </c>
      <c r="K18187">
        <v>41.42</v>
      </c>
      <c r="L18187">
        <v>8.42</v>
      </c>
      <c r="M18187">
        <v>17971</v>
      </c>
      <c r="N18187" t="s">
        <v>27</v>
      </c>
      <c r="O18187">
        <v>251204</v>
      </c>
      <c r="P18187">
        <v>33</v>
      </c>
    </row>
    <row r="18188" spans="1:16" x14ac:dyDescent="0.25">
      <c r="A18188" t="s">
        <v>3296</v>
      </c>
      <c r="B18188" t="s">
        <v>2931</v>
      </c>
      <c r="C18188">
        <v>16179</v>
      </c>
      <c r="D18188" t="str">
        <f>"1021015     "</f>
        <v xml:space="preserve">1021015     </v>
      </c>
      <c r="E18188" t="s">
        <v>2003</v>
      </c>
      <c r="F18188" t="s">
        <v>2004</v>
      </c>
      <c r="G18188">
        <v>109.19</v>
      </c>
      <c r="H18188">
        <v>251130</v>
      </c>
      <c r="I18188">
        <v>4860</v>
      </c>
      <c r="J18188" t="s">
        <v>286</v>
      </c>
      <c r="K18188">
        <v>109.19</v>
      </c>
      <c r="L18188">
        <v>22.19</v>
      </c>
      <c r="M18188">
        <v>13461</v>
      </c>
      <c r="N18188" t="s">
        <v>1544</v>
      </c>
      <c r="O18188">
        <v>251204</v>
      </c>
      <c r="P18188">
        <v>87</v>
      </c>
    </row>
    <row r="18189" spans="1:16" x14ac:dyDescent="0.25">
      <c r="A18189" t="s">
        <v>3296</v>
      </c>
      <c r="B18189" t="s">
        <v>2931</v>
      </c>
      <c r="C18189">
        <v>16388</v>
      </c>
      <c r="D18189" t="str">
        <f>"1021082     "</f>
        <v xml:space="preserve">1021082     </v>
      </c>
      <c r="E18189" t="s">
        <v>2003</v>
      </c>
      <c r="F18189" t="s">
        <v>2004</v>
      </c>
      <c r="G18189">
        <v>64.010000000000005</v>
      </c>
      <c r="H18189">
        <v>251130</v>
      </c>
      <c r="I18189">
        <v>4860</v>
      </c>
      <c r="J18189" t="s">
        <v>286</v>
      </c>
      <c r="K18189">
        <v>64.010000000000005</v>
      </c>
      <c r="L18189">
        <v>13.01</v>
      </c>
      <c r="M18189">
        <v>69701</v>
      </c>
      <c r="N18189" t="s">
        <v>1030</v>
      </c>
      <c r="O18189">
        <v>251208</v>
      </c>
      <c r="P18189">
        <v>51</v>
      </c>
    </row>
    <row r="18190" spans="1:16" x14ac:dyDescent="0.25">
      <c r="A18190" t="s">
        <v>3296</v>
      </c>
      <c r="B18190" t="s">
        <v>2931</v>
      </c>
      <c r="C18190">
        <v>16424</v>
      </c>
      <c r="D18190" t="str">
        <f>"1021023     "</f>
        <v xml:space="preserve">1021023     </v>
      </c>
      <c r="E18190" t="s">
        <v>2003</v>
      </c>
      <c r="F18190" t="s">
        <v>2004</v>
      </c>
      <c r="G18190">
        <v>154.37</v>
      </c>
      <c r="H18190">
        <v>251130</v>
      </c>
      <c r="I18190">
        <v>4860</v>
      </c>
      <c r="J18190" t="s">
        <v>286</v>
      </c>
      <c r="K18190">
        <v>154.37</v>
      </c>
      <c r="L18190">
        <v>31.37</v>
      </c>
      <c r="M18190">
        <v>69703</v>
      </c>
      <c r="N18190" t="s">
        <v>88</v>
      </c>
      <c r="O18190">
        <v>251208</v>
      </c>
      <c r="P18190">
        <v>123</v>
      </c>
    </row>
    <row r="18191" spans="1:16" x14ac:dyDescent="0.25">
      <c r="A18191" t="s">
        <v>3296</v>
      </c>
      <c r="B18191" t="s">
        <v>2931</v>
      </c>
      <c r="C18191">
        <v>5242</v>
      </c>
      <c r="D18191" t="str">
        <f>"150029116   "</f>
        <v xml:space="preserve">150029116   </v>
      </c>
      <c r="E18191" t="s">
        <v>925</v>
      </c>
      <c r="F18191" t="s">
        <v>926</v>
      </c>
      <c r="G18191">
        <v>11.16</v>
      </c>
      <c r="H18191">
        <v>250401</v>
      </c>
      <c r="I18191">
        <v>4347</v>
      </c>
      <c r="J18191" t="s">
        <v>328</v>
      </c>
      <c r="K18191">
        <v>140.44999999999999</v>
      </c>
      <c r="L18191">
        <v>2.27</v>
      </c>
      <c r="M18191">
        <v>13561</v>
      </c>
      <c r="N18191" t="s">
        <v>241</v>
      </c>
      <c r="O18191">
        <v>250423</v>
      </c>
      <c r="P18191">
        <v>8.89</v>
      </c>
    </row>
    <row r="18192" spans="1:16" x14ac:dyDescent="0.25">
      <c r="A18192" t="s">
        <v>3296</v>
      </c>
      <c r="B18192" t="s">
        <v>2931</v>
      </c>
      <c r="C18192">
        <v>5242</v>
      </c>
      <c r="D18192" t="str">
        <f>"150029116   "</f>
        <v xml:space="preserve">150029116   </v>
      </c>
      <c r="E18192" t="s">
        <v>925</v>
      </c>
      <c r="F18192" t="s">
        <v>926</v>
      </c>
      <c r="G18192">
        <v>90.32</v>
      </c>
      <c r="H18192">
        <v>250401</v>
      </c>
      <c r="I18192">
        <v>4347</v>
      </c>
      <c r="J18192" t="s">
        <v>328</v>
      </c>
      <c r="K18192">
        <v>140.44999999999999</v>
      </c>
      <c r="L18192">
        <v>18.350000000000001</v>
      </c>
      <c r="M18192">
        <v>17971</v>
      </c>
      <c r="N18192" t="s">
        <v>27</v>
      </c>
      <c r="O18192">
        <v>250423</v>
      </c>
      <c r="P18192">
        <v>71.97</v>
      </c>
    </row>
    <row r="18193" spans="1:16" x14ac:dyDescent="0.25">
      <c r="A18193" t="s">
        <v>3296</v>
      </c>
      <c r="B18193" t="s">
        <v>2931</v>
      </c>
      <c r="C18193">
        <v>6218</v>
      </c>
      <c r="D18193" t="str">
        <f>"150034676   "</f>
        <v xml:space="preserve">150034676   </v>
      </c>
      <c r="E18193" t="s">
        <v>925</v>
      </c>
      <c r="F18193" t="s">
        <v>926</v>
      </c>
      <c r="G18193">
        <v>161.18</v>
      </c>
      <c r="H18193">
        <v>250430</v>
      </c>
      <c r="I18193">
        <v>4347</v>
      </c>
      <c r="J18193" t="s">
        <v>328</v>
      </c>
      <c r="K18193">
        <v>161.18</v>
      </c>
      <c r="L18193">
        <v>32.75</v>
      </c>
      <c r="M18193">
        <v>11501</v>
      </c>
      <c r="N18193" t="s">
        <v>13</v>
      </c>
      <c r="O18193">
        <v>250509</v>
      </c>
      <c r="P18193">
        <v>128.43</v>
      </c>
    </row>
    <row r="18194" spans="1:16" x14ac:dyDescent="0.25">
      <c r="A18194" t="s">
        <v>3296</v>
      </c>
      <c r="B18194" t="s">
        <v>2931</v>
      </c>
      <c r="C18194">
        <v>5242</v>
      </c>
      <c r="D18194" t="str">
        <f>"150029116   "</f>
        <v xml:space="preserve">150029116   </v>
      </c>
      <c r="E18194" t="s">
        <v>925</v>
      </c>
      <c r="F18194" t="s">
        <v>926</v>
      </c>
      <c r="G18194">
        <v>7.4</v>
      </c>
      <c r="H18194">
        <v>250401</v>
      </c>
      <c r="I18194">
        <v>4364</v>
      </c>
      <c r="J18194" t="s">
        <v>470</v>
      </c>
      <c r="K18194">
        <v>140.44999999999999</v>
      </c>
      <c r="L18194">
        <v>1.5</v>
      </c>
      <c r="M18194">
        <v>17971</v>
      </c>
      <c r="N18194" t="s">
        <v>27</v>
      </c>
      <c r="O18194">
        <v>250423</v>
      </c>
      <c r="P18194">
        <v>5.9</v>
      </c>
    </row>
    <row r="18195" spans="1:16" x14ac:dyDescent="0.25">
      <c r="A18195" t="s">
        <v>3296</v>
      </c>
      <c r="B18195" t="s">
        <v>2931</v>
      </c>
      <c r="C18195">
        <v>1320</v>
      </c>
      <c r="D18195" t="str">
        <f>"198088      "</f>
        <v xml:space="preserve">198088      </v>
      </c>
      <c r="E18195" t="s">
        <v>925</v>
      </c>
      <c r="F18195" t="s">
        <v>926</v>
      </c>
      <c r="G18195">
        <v>30.18</v>
      </c>
      <c r="H18195">
        <v>250113</v>
      </c>
      <c r="I18195">
        <v>4380</v>
      </c>
      <c r="J18195" t="s">
        <v>211</v>
      </c>
      <c r="K18195">
        <v>274.38</v>
      </c>
      <c r="L18195">
        <v>6.13</v>
      </c>
      <c r="M18195">
        <v>13540</v>
      </c>
      <c r="N18195" t="s">
        <v>131</v>
      </c>
      <c r="O18195">
        <v>250207</v>
      </c>
      <c r="P18195">
        <v>24.05</v>
      </c>
    </row>
    <row r="18196" spans="1:16" x14ac:dyDescent="0.25">
      <c r="A18196" t="s">
        <v>3296</v>
      </c>
      <c r="B18196" t="s">
        <v>2931</v>
      </c>
      <c r="C18196">
        <v>1320</v>
      </c>
      <c r="D18196" t="str">
        <f>"198088      "</f>
        <v xml:space="preserve">198088      </v>
      </c>
      <c r="E18196" t="s">
        <v>925</v>
      </c>
      <c r="F18196" t="s">
        <v>926</v>
      </c>
      <c r="G18196">
        <v>122.1</v>
      </c>
      <c r="H18196">
        <v>250113</v>
      </c>
      <c r="I18196">
        <v>4380</v>
      </c>
      <c r="J18196" t="s">
        <v>211</v>
      </c>
      <c r="K18196">
        <v>274.38</v>
      </c>
      <c r="L18196">
        <v>24.81</v>
      </c>
      <c r="M18196">
        <v>16820</v>
      </c>
      <c r="N18196" t="s">
        <v>128</v>
      </c>
      <c r="O18196">
        <v>250207</v>
      </c>
      <c r="P18196">
        <v>97.29</v>
      </c>
    </row>
    <row r="18197" spans="1:16" x14ac:dyDescent="0.25">
      <c r="A18197" t="s">
        <v>3296</v>
      </c>
      <c r="B18197" t="s">
        <v>2931</v>
      </c>
      <c r="C18197">
        <v>1320</v>
      </c>
      <c r="D18197" t="str">
        <f>"198088      "</f>
        <v xml:space="preserve">198088      </v>
      </c>
      <c r="E18197" t="s">
        <v>925</v>
      </c>
      <c r="F18197" t="s">
        <v>926</v>
      </c>
      <c r="G18197">
        <v>122.1</v>
      </c>
      <c r="H18197">
        <v>250113</v>
      </c>
      <c r="I18197">
        <v>4380</v>
      </c>
      <c r="J18197" t="s">
        <v>211</v>
      </c>
      <c r="K18197">
        <v>274.38</v>
      </c>
      <c r="L18197">
        <v>24.81</v>
      </c>
      <c r="M18197">
        <v>17538</v>
      </c>
      <c r="N18197" t="s">
        <v>129</v>
      </c>
      <c r="O18197">
        <v>250207</v>
      </c>
      <c r="P18197">
        <v>97.29</v>
      </c>
    </row>
    <row r="18198" spans="1:16" x14ac:dyDescent="0.25">
      <c r="A18198" t="s">
        <v>3296</v>
      </c>
      <c r="B18198" t="s">
        <v>2931</v>
      </c>
      <c r="C18198">
        <v>1762</v>
      </c>
      <c r="D18198" t="str">
        <f>"150019926   "</f>
        <v xml:space="preserve">150019926   </v>
      </c>
      <c r="E18198" t="s">
        <v>925</v>
      </c>
      <c r="F18198" t="s">
        <v>926</v>
      </c>
      <c r="G18198">
        <v>5.78</v>
      </c>
      <c r="H18198">
        <v>250131</v>
      </c>
      <c r="I18198">
        <v>4380</v>
      </c>
      <c r="J18198" t="s">
        <v>211</v>
      </c>
      <c r="K18198">
        <v>53.84</v>
      </c>
      <c r="L18198">
        <v>1.17</v>
      </c>
      <c r="M18198">
        <v>13540</v>
      </c>
      <c r="N18198" t="s">
        <v>131</v>
      </c>
      <c r="O18198">
        <v>250213</v>
      </c>
      <c r="P18198">
        <v>4.6100000000000003</v>
      </c>
    </row>
    <row r="18199" spans="1:16" x14ac:dyDescent="0.25">
      <c r="A18199" t="s">
        <v>3296</v>
      </c>
      <c r="B18199" t="s">
        <v>2931</v>
      </c>
      <c r="C18199">
        <v>1762</v>
      </c>
      <c r="D18199" t="str">
        <f>"150019926   "</f>
        <v xml:space="preserve">150019926   </v>
      </c>
      <c r="E18199" t="s">
        <v>925</v>
      </c>
      <c r="F18199" t="s">
        <v>926</v>
      </c>
      <c r="G18199">
        <v>40.380000000000003</v>
      </c>
      <c r="H18199">
        <v>250131</v>
      </c>
      <c r="I18199">
        <v>4380</v>
      </c>
      <c r="J18199" t="s">
        <v>211</v>
      </c>
      <c r="K18199">
        <v>53.84</v>
      </c>
      <c r="L18199">
        <v>8.1999999999999993</v>
      </c>
      <c r="M18199">
        <v>17950</v>
      </c>
      <c r="N18199" t="s">
        <v>132</v>
      </c>
      <c r="O18199">
        <v>250213</v>
      </c>
      <c r="P18199">
        <v>32.18</v>
      </c>
    </row>
    <row r="18200" spans="1:16" x14ac:dyDescent="0.25">
      <c r="A18200" t="s">
        <v>3296</v>
      </c>
      <c r="B18200" t="s">
        <v>2931</v>
      </c>
      <c r="C18200">
        <v>1762</v>
      </c>
      <c r="D18200" t="str">
        <f>"150019926   "</f>
        <v xml:space="preserve">150019926   </v>
      </c>
      <c r="E18200" t="s">
        <v>925</v>
      </c>
      <c r="F18200" t="s">
        <v>926</v>
      </c>
      <c r="G18200">
        <v>7.68</v>
      </c>
      <c r="H18200">
        <v>250131</v>
      </c>
      <c r="I18200">
        <v>4380</v>
      </c>
      <c r="J18200" t="s">
        <v>211</v>
      </c>
      <c r="K18200">
        <v>53.84</v>
      </c>
      <c r="L18200">
        <v>1.56</v>
      </c>
      <c r="M18200">
        <v>17956</v>
      </c>
      <c r="N18200" t="s">
        <v>170</v>
      </c>
      <c r="O18200">
        <v>250213</v>
      </c>
      <c r="P18200">
        <v>6.12</v>
      </c>
    </row>
    <row r="18201" spans="1:16" x14ac:dyDescent="0.25">
      <c r="A18201" t="s">
        <v>3296</v>
      </c>
      <c r="B18201" t="s">
        <v>2931</v>
      </c>
      <c r="C18201">
        <v>3206</v>
      </c>
      <c r="D18201" t="str">
        <f>"150023239   "</f>
        <v xml:space="preserve">150023239   </v>
      </c>
      <c r="E18201" t="s">
        <v>925</v>
      </c>
      <c r="F18201" t="s">
        <v>926</v>
      </c>
      <c r="G18201">
        <v>163.02000000000001</v>
      </c>
      <c r="H18201">
        <v>250228</v>
      </c>
      <c r="I18201">
        <v>4380</v>
      </c>
      <c r="J18201" t="s">
        <v>211</v>
      </c>
      <c r="K18201">
        <v>163.02000000000001</v>
      </c>
      <c r="L18201">
        <v>33.119999999999997</v>
      </c>
      <c r="M18201">
        <v>17971</v>
      </c>
      <c r="N18201" t="s">
        <v>27</v>
      </c>
      <c r="O18201">
        <v>250317</v>
      </c>
      <c r="P18201">
        <v>129.9</v>
      </c>
    </row>
    <row r="18202" spans="1:16" x14ac:dyDescent="0.25">
      <c r="A18202" t="s">
        <v>3296</v>
      </c>
      <c r="B18202" t="s">
        <v>2931</v>
      </c>
      <c r="C18202">
        <v>4694</v>
      </c>
      <c r="D18202" t="str">
        <f>"150030048   "</f>
        <v xml:space="preserve">150030048   </v>
      </c>
      <c r="E18202" t="s">
        <v>925</v>
      </c>
      <c r="F18202" t="s">
        <v>926</v>
      </c>
      <c r="G18202">
        <v>118.47</v>
      </c>
      <c r="H18202">
        <v>250331</v>
      </c>
      <c r="I18202">
        <v>4380</v>
      </c>
      <c r="J18202" t="s">
        <v>211</v>
      </c>
      <c r="K18202">
        <v>153.74</v>
      </c>
      <c r="L18202">
        <v>24.07</v>
      </c>
      <c r="M18202">
        <v>18972</v>
      </c>
      <c r="N18202" t="s">
        <v>39</v>
      </c>
      <c r="O18202">
        <v>250414</v>
      </c>
      <c r="P18202">
        <v>94.4</v>
      </c>
    </row>
    <row r="18203" spans="1:16" x14ac:dyDescent="0.25">
      <c r="A18203" t="s">
        <v>3296</v>
      </c>
      <c r="B18203" t="s">
        <v>2931</v>
      </c>
      <c r="C18203">
        <v>4719</v>
      </c>
      <c r="D18203" t="str">
        <f>"150029106   "</f>
        <v xml:space="preserve">150029106   </v>
      </c>
      <c r="E18203" t="s">
        <v>925</v>
      </c>
      <c r="F18203" t="s">
        <v>926</v>
      </c>
      <c r="G18203">
        <v>163.02000000000001</v>
      </c>
      <c r="H18203">
        <v>250331</v>
      </c>
      <c r="I18203">
        <v>4380</v>
      </c>
      <c r="J18203" t="s">
        <v>211</v>
      </c>
      <c r="K18203">
        <v>163.02000000000001</v>
      </c>
      <c r="L18203">
        <v>33.119999999999997</v>
      </c>
      <c r="M18203">
        <v>17971</v>
      </c>
      <c r="N18203" t="s">
        <v>27</v>
      </c>
      <c r="O18203">
        <v>250415</v>
      </c>
      <c r="P18203">
        <v>129.9</v>
      </c>
    </row>
    <row r="18204" spans="1:16" x14ac:dyDescent="0.25">
      <c r="A18204" t="s">
        <v>3296</v>
      </c>
      <c r="B18204" t="s">
        <v>2931</v>
      </c>
      <c r="C18204">
        <v>6279</v>
      </c>
      <c r="D18204" t="str">
        <f>"150037752   "</f>
        <v xml:space="preserve">150037752   </v>
      </c>
      <c r="E18204" t="s">
        <v>925</v>
      </c>
      <c r="F18204" t="s">
        <v>926</v>
      </c>
      <c r="G18204">
        <v>18.57</v>
      </c>
      <c r="H18204">
        <v>250430</v>
      </c>
      <c r="I18204">
        <v>4380</v>
      </c>
      <c r="J18204" t="s">
        <v>211</v>
      </c>
      <c r="K18204">
        <v>18.57</v>
      </c>
      <c r="L18204">
        <v>3.77</v>
      </c>
      <c r="M18204">
        <v>17971</v>
      </c>
      <c r="N18204" t="s">
        <v>27</v>
      </c>
      <c r="O18204">
        <v>250512</v>
      </c>
      <c r="P18204">
        <v>14.8</v>
      </c>
    </row>
    <row r="18205" spans="1:16" x14ac:dyDescent="0.25">
      <c r="A18205" t="s">
        <v>3296</v>
      </c>
      <c r="B18205" t="s">
        <v>2931</v>
      </c>
      <c r="C18205">
        <v>6285</v>
      </c>
      <c r="D18205" t="str">
        <f>"150038006   "</f>
        <v xml:space="preserve">150038006   </v>
      </c>
      <c r="E18205" t="s">
        <v>925</v>
      </c>
      <c r="F18205" t="s">
        <v>926</v>
      </c>
      <c r="G18205">
        <v>9.2899999999999991</v>
      </c>
      <c r="H18205">
        <v>250430</v>
      </c>
      <c r="I18205">
        <v>4380</v>
      </c>
      <c r="J18205" t="s">
        <v>211</v>
      </c>
      <c r="K18205">
        <v>9.2899999999999991</v>
      </c>
      <c r="L18205">
        <v>1.89</v>
      </c>
      <c r="M18205">
        <v>17971</v>
      </c>
      <c r="N18205" t="s">
        <v>27</v>
      </c>
      <c r="O18205">
        <v>250512</v>
      </c>
      <c r="P18205">
        <v>7.4</v>
      </c>
    </row>
    <row r="18206" spans="1:16" x14ac:dyDescent="0.25">
      <c r="A18206" t="s">
        <v>3296</v>
      </c>
      <c r="B18206" t="s">
        <v>2931</v>
      </c>
      <c r="C18206">
        <v>13195</v>
      </c>
      <c r="D18206" t="str">
        <f>"202041      "</f>
        <v xml:space="preserve">202041      </v>
      </c>
      <c r="E18206" t="s">
        <v>925</v>
      </c>
      <c r="F18206" t="s">
        <v>926</v>
      </c>
      <c r="G18206">
        <v>31.05</v>
      </c>
      <c r="H18206">
        <v>250930</v>
      </c>
      <c r="I18206">
        <v>4380</v>
      </c>
      <c r="J18206" t="s">
        <v>211</v>
      </c>
      <c r="K18206">
        <v>282.26</v>
      </c>
      <c r="L18206">
        <v>6.31</v>
      </c>
      <c r="M18206">
        <v>13540</v>
      </c>
      <c r="N18206" t="s">
        <v>131</v>
      </c>
      <c r="O18206">
        <v>251006</v>
      </c>
      <c r="P18206">
        <v>24.74</v>
      </c>
    </row>
    <row r="18207" spans="1:16" x14ac:dyDescent="0.25">
      <c r="A18207" t="s">
        <v>3296</v>
      </c>
      <c r="B18207" t="s">
        <v>2931</v>
      </c>
      <c r="C18207">
        <v>13195</v>
      </c>
      <c r="D18207" t="str">
        <f>"202041      "</f>
        <v xml:space="preserve">202041      </v>
      </c>
      <c r="E18207" t="s">
        <v>925</v>
      </c>
      <c r="F18207" t="s">
        <v>926</v>
      </c>
      <c r="G18207">
        <v>125.6</v>
      </c>
      <c r="H18207">
        <v>250930</v>
      </c>
      <c r="I18207">
        <v>4380</v>
      </c>
      <c r="J18207" t="s">
        <v>211</v>
      </c>
      <c r="K18207">
        <v>282.26</v>
      </c>
      <c r="L18207">
        <v>25.52</v>
      </c>
      <c r="M18207">
        <v>16820</v>
      </c>
      <c r="N18207" t="s">
        <v>128</v>
      </c>
      <c r="O18207">
        <v>251006</v>
      </c>
      <c r="P18207">
        <v>100.08</v>
      </c>
    </row>
    <row r="18208" spans="1:16" x14ac:dyDescent="0.25">
      <c r="A18208" t="s">
        <v>3296</v>
      </c>
      <c r="B18208" t="s">
        <v>2931</v>
      </c>
      <c r="C18208">
        <v>13195</v>
      </c>
      <c r="D18208" t="str">
        <f>"202041      "</f>
        <v xml:space="preserve">202041      </v>
      </c>
      <c r="E18208" t="s">
        <v>925</v>
      </c>
      <c r="F18208" t="s">
        <v>926</v>
      </c>
      <c r="G18208">
        <v>125.61</v>
      </c>
      <c r="H18208">
        <v>250930</v>
      </c>
      <c r="I18208">
        <v>4380</v>
      </c>
      <c r="J18208" t="s">
        <v>211</v>
      </c>
      <c r="K18208">
        <v>282.26</v>
      </c>
      <c r="L18208">
        <v>25.52</v>
      </c>
      <c r="M18208">
        <v>17538</v>
      </c>
      <c r="N18208" t="s">
        <v>129</v>
      </c>
      <c r="O18208">
        <v>251006</v>
      </c>
      <c r="P18208">
        <v>100.09</v>
      </c>
    </row>
    <row r="18209" spans="1:16" x14ac:dyDescent="0.25">
      <c r="A18209" t="s">
        <v>3296</v>
      </c>
      <c r="B18209" t="s">
        <v>2931</v>
      </c>
      <c r="C18209">
        <v>15748</v>
      </c>
      <c r="D18209" t="str">
        <f>"202862      "</f>
        <v xml:space="preserve">202862      </v>
      </c>
      <c r="E18209" t="s">
        <v>925</v>
      </c>
      <c r="F18209" t="s">
        <v>926</v>
      </c>
      <c r="G18209">
        <v>221.44</v>
      </c>
      <c r="H18209">
        <v>251124</v>
      </c>
      <c r="I18209">
        <v>4380</v>
      </c>
      <c r="J18209" t="s">
        <v>211</v>
      </c>
      <c r="K18209">
        <v>221.44</v>
      </c>
      <c r="L18209">
        <v>44.99</v>
      </c>
      <c r="M18209">
        <v>17951</v>
      </c>
      <c r="N18209" t="s">
        <v>207</v>
      </c>
      <c r="O18209">
        <v>251126</v>
      </c>
      <c r="P18209">
        <v>176.45</v>
      </c>
    </row>
    <row r="18210" spans="1:16" x14ac:dyDescent="0.25">
      <c r="A18210" t="s">
        <v>3296</v>
      </c>
      <c r="B18210" t="s">
        <v>2931</v>
      </c>
      <c r="C18210">
        <v>6282</v>
      </c>
      <c r="D18210" t="str">
        <f>"150038066   "</f>
        <v xml:space="preserve">150038066   </v>
      </c>
      <c r="E18210" t="s">
        <v>925</v>
      </c>
      <c r="F18210" t="s">
        <v>926</v>
      </c>
      <c r="G18210">
        <v>4.51</v>
      </c>
      <c r="H18210">
        <v>250430</v>
      </c>
      <c r="I18210">
        <v>4470</v>
      </c>
      <c r="J18210" t="s">
        <v>203</v>
      </c>
      <c r="K18210">
        <v>4.51</v>
      </c>
      <c r="L18210">
        <v>0.92</v>
      </c>
      <c r="M18210">
        <v>17971</v>
      </c>
      <c r="N18210" t="s">
        <v>27</v>
      </c>
      <c r="O18210">
        <v>250512</v>
      </c>
      <c r="P18210">
        <v>3.59</v>
      </c>
    </row>
    <row r="18211" spans="1:16" x14ac:dyDescent="0.25">
      <c r="A18211" t="s">
        <v>3296</v>
      </c>
      <c r="B18211" t="s">
        <v>2931</v>
      </c>
      <c r="C18211">
        <v>6270</v>
      </c>
      <c r="D18211" t="str">
        <f>"150038608   "</f>
        <v xml:space="preserve">150038608   </v>
      </c>
      <c r="E18211" t="s">
        <v>925</v>
      </c>
      <c r="F18211" t="s">
        <v>926</v>
      </c>
      <c r="G18211">
        <v>3.06</v>
      </c>
      <c r="H18211">
        <v>250430</v>
      </c>
      <c r="I18211">
        <v>4842</v>
      </c>
      <c r="J18211" t="s">
        <v>15</v>
      </c>
      <c r="K18211">
        <v>27.86</v>
      </c>
      <c r="L18211">
        <v>0.62</v>
      </c>
      <c r="M18211">
        <v>13540</v>
      </c>
      <c r="N18211" t="s">
        <v>131</v>
      </c>
      <c r="O18211">
        <v>250512</v>
      </c>
      <c r="P18211">
        <v>2.44</v>
      </c>
    </row>
    <row r="18212" spans="1:16" x14ac:dyDescent="0.25">
      <c r="A18212" t="s">
        <v>3296</v>
      </c>
      <c r="B18212" t="s">
        <v>2931</v>
      </c>
      <c r="C18212">
        <v>6270</v>
      </c>
      <c r="D18212" t="str">
        <f>"150038608   "</f>
        <v xml:space="preserve">150038608   </v>
      </c>
      <c r="E18212" t="s">
        <v>925</v>
      </c>
      <c r="F18212" t="s">
        <v>926</v>
      </c>
      <c r="G18212">
        <v>20.9</v>
      </c>
      <c r="H18212">
        <v>250430</v>
      </c>
      <c r="I18212">
        <v>4842</v>
      </c>
      <c r="J18212" t="s">
        <v>15</v>
      </c>
      <c r="K18212">
        <v>27.86</v>
      </c>
      <c r="L18212">
        <v>4.25</v>
      </c>
      <c r="M18212">
        <v>17950</v>
      </c>
      <c r="N18212" t="s">
        <v>132</v>
      </c>
      <c r="O18212">
        <v>250512</v>
      </c>
      <c r="P18212">
        <v>16.649999999999999</v>
      </c>
    </row>
    <row r="18213" spans="1:16" x14ac:dyDescent="0.25">
      <c r="A18213" t="s">
        <v>3296</v>
      </c>
      <c r="B18213" t="s">
        <v>2931</v>
      </c>
      <c r="C18213">
        <v>6270</v>
      </c>
      <c r="D18213" t="str">
        <f>"150038608   "</f>
        <v xml:space="preserve">150038608   </v>
      </c>
      <c r="E18213" t="s">
        <v>925</v>
      </c>
      <c r="F18213" t="s">
        <v>926</v>
      </c>
      <c r="G18213">
        <v>3.9</v>
      </c>
      <c r="H18213">
        <v>250430</v>
      </c>
      <c r="I18213">
        <v>4842</v>
      </c>
      <c r="J18213" t="s">
        <v>15</v>
      </c>
      <c r="K18213">
        <v>27.86</v>
      </c>
      <c r="L18213">
        <v>0.79</v>
      </c>
      <c r="M18213">
        <v>17956</v>
      </c>
      <c r="N18213" t="s">
        <v>170</v>
      </c>
      <c r="O18213">
        <v>250512</v>
      </c>
      <c r="P18213">
        <v>3.11</v>
      </c>
    </row>
    <row r="18214" spans="1:16" x14ac:dyDescent="0.25">
      <c r="A18214" t="s">
        <v>3296</v>
      </c>
      <c r="B18214" t="s">
        <v>2931</v>
      </c>
      <c r="C18214">
        <v>1264</v>
      </c>
      <c r="D18214" t="str">
        <f>"150019314   "</f>
        <v xml:space="preserve">150019314   </v>
      </c>
      <c r="E18214" t="s">
        <v>925</v>
      </c>
      <c r="F18214" t="s">
        <v>926</v>
      </c>
      <c r="G18214">
        <v>53.84</v>
      </c>
      <c r="H18214">
        <v>250131</v>
      </c>
      <c r="I18214">
        <v>4860</v>
      </c>
      <c r="J18214" t="s">
        <v>286</v>
      </c>
      <c r="K18214">
        <v>53.84</v>
      </c>
      <c r="L18214">
        <v>10.94</v>
      </c>
      <c r="M18214">
        <v>59505</v>
      </c>
      <c r="N18214" t="s">
        <v>194</v>
      </c>
      <c r="O18214">
        <v>250206</v>
      </c>
      <c r="P18214">
        <v>42.9</v>
      </c>
    </row>
    <row r="18215" spans="1:16" x14ac:dyDescent="0.25">
      <c r="A18215" t="s">
        <v>3296</v>
      </c>
      <c r="B18215" t="s">
        <v>2931</v>
      </c>
      <c r="C18215">
        <v>1272</v>
      </c>
      <c r="D18215" t="str">
        <f>"150019336   "</f>
        <v xml:space="preserve">150019336   </v>
      </c>
      <c r="E18215" t="s">
        <v>925</v>
      </c>
      <c r="F18215" t="s">
        <v>926</v>
      </c>
      <c r="G18215">
        <v>53.84</v>
      </c>
      <c r="H18215">
        <v>250131</v>
      </c>
      <c r="I18215">
        <v>4860</v>
      </c>
      <c r="J18215" t="s">
        <v>286</v>
      </c>
      <c r="K18215">
        <v>53.84</v>
      </c>
      <c r="L18215">
        <v>10.94</v>
      </c>
      <c r="M18215">
        <v>59502</v>
      </c>
      <c r="N18215" t="s">
        <v>63</v>
      </c>
      <c r="O18215">
        <v>250206</v>
      </c>
      <c r="P18215">
        <v>42.9</v>
      </c>
    </row>
    <row r="18216" spans="1:16" x14ac:dyDescent="0.25">
      <c r="A18216" t="s">
        <v>3296</v>
      </c>
      <c r="B18216" t="s">
        <v>2931</v>
      </c>
      <c r="C18216">
        <v>1276</v>
      </c>
      <c r="D18216" t="str">
        <f>"150019925   "</f>
        <v xml:space="preserve">150019925   </v>
      </c>
      <c r="E18216" t="s">
        <v>925</v>
      </c>
      <c r="F18216" t="s">
        <v>926</v>
      </c>
      <c r="G18216">
        <v>53.84</v>
      </c>
      <c r="H18216">
        <v>250131</v>
      </c>
      <c r="I18216">
        <v>4860</v>
      </c>
      <c r="J18216" t="s">
        <v>286</v>
      </c>
      <c r="K18216">
        <v>53.84</v>
      </c>
      <c r="L18216">
        <v>10.94</v>
      </c>
      <c r="M18216">
        <v>59701</v>
      </c>
      <c r="N18216" t="s">
        <v>64</v>
      </c>
      <c r="O18216">
        <v>250206</v>
      </c>
      <c r="P18216">
        <v>42.9</v>
      </c>
    </row>
    <row r="18217" spans="1:16" x14ac:dyDescent="0.25">
      <c r="A18217" t="s">
        <v>3296</v>
      </c>
      <c r="B18217" t="s">
        <v>2931</v>
      </c>
      <c r="C18217">
        <v>1832</v>
      </c>
      <c r="D18217" t="str">
        <f>"150019922   "</f>
        <v xml:space="preserve">150019922   </v>
      </c>
      <c r="E18217" t="s">
        <v>925</v>
      </c>
      <c r="F18217" t="s">
        <v>926</v>
      </c>
      <c r="G18217">
        <v>53.84</v>
      </c>
      <c r="H18217">
        <v>250131</v>
      </c>
      <c r="I18217">
        <v>4860</v>
      </c>
      <c r="J18217" t="s">
        <v>286</v>
      </c>
      <c r="K18217">
        <v>53.84</v>
      </c>
      <c r="L18217">
        <v>10.94</v>
      </c>
      <c r="M18217">
        <v>18971</v>
      </c>
      <c r="N18217" t="s">
        <v>38</v>
      </c>
      <c r="O18217">
        <v>250214</v>
      </c>
      <c r="P18217">
        <v>42.9</v>
      </c>
    </row>
    <row r="18218" spans="1:16" x14ac:dyDescent="0.25">
      <c r="A18218" t="s">
        <v>3296</v>
      </c>
      <c r="B18218" t="s">
        <v>2931</v>
      </c>
      <c r="C18218">
        <v>1833</v>
      </c>
      <c r="D18218" t="str">
        <f>"150019267   "</f>
        <v xml:space="preserve">150019267   </v>
      </c>
      <c r="E18218" t="s">
        <v>925</v>
      </c>
      <c r="F18218" t="s">
        <v>926</v>
      </c>
      <c r="G18218">
        <v>5.38</v>
      </c>
      <c r="H18218">
        <v>250131</v>
      </c>
      <c r="I18218">
        <v>4860</v>
      </c>
      <c r="J18218" t="s">
        <v>286</v>
      </c>
      <c r="K18218">
        <v>53.84</v>
      </c>
      <c r="L18218">
        <v>1.0900000000000001</v>
      </c>
      <c r="M18218">
        <v>11501</v>
      </c>
      <c r="N18218" t="s">
        <v>13</v>
      </c>
      <c r="O18218">
        <v>250214</v>
      </c>
      <c r="P18218">
        <v>4.29</v>
      </c>
    </row>
    <row r="18219" spans="1:16" x14ac:dyDescent="0.25">
      <c r="A18219" t="s">
        <v>3296</v>
      </c>
      <c r="B18219" t="s">
        <v>2931</v>
      </c>
      <c r="C18219">
        <v>1833</v>
      </c>
      <c r="D18219" t="str">
        <f>"150019267   "</f>
        <v xml:space="preserve">150019267   </v>
      </c>
      <c r="E18219" t="s">
        <v>925</v>
      </c>
      <c r="F18219" t="s">
        <v>926</v>
      </c>
      <c r="G18219">
        <v>5.38</v>
      </c>
      <c r="H18219">
        <v>250131</v>
      </c>
      <c r="I18219">
        <v>4860</v>
      </c>
      <c r="J18219" t="s">
        <v>286</v>
      </c>
      <c r="K18219">
        <v>53.84</v>
      </c>
      <c r="L18219">
        <v>1.0900000000000001</v>
      </c>
      <c r="M18219">
        <v>18972</v>
      </c>
      <c r="N18219" t="s">
        <v>39</v>
      </c>
      <c r="O18219">
        <v>250214</v>
      </c>
      <c r="P18219">
        <v>4.29</v>
      </c>
    </row>
    <row r="18220" spans="1:16" x14ac:dyDescent="0.25">
      <c r="A18220" t="s">
        <v>3296</v>
      </c>
      <c r="B18220" t="s">
        <v>2931</v>
      </c>
      <c r="C18220">
        <v>1833</v>
      </c>
      <c r="D18220" t="str">
        <f>"150019267   "</f>
        <v xml:space="preserve">150019267   </v>
      </c>
      <c r="E18220" t="s">
        <v>925</v>
      </c>
      <c r="F18220" t="s">
        <v>926</v>
      </c>
      <c r="G18220">
        <v>10.77</v>
      </c>
      <c r="H18220">
        <v>250131</v>
      </c>
      <c r="I18220">
        <v>4860</v>
      </c>
      <c r="J18220" t="s">
        <v>286</v>
      </c>
      <c r="K18220">
        <v>53.84</v>
      </c>
      <c r="L18220">
        <v>2.19</v>
      </c>
      <c r="M18220">
        <v>59501</v>
      </c>
      <c r="N18220" t="s">
        <v>62</v>
      </c>
      <c r="O18220">
        <v>250214</v>
      </c>
      <c r="P18220">
        <v>8.58</v>
      </c>
    </row>
    <row r="18221" spans="1:16" x14ac:dyDescent="0.25">
      <c r="A18221" t="s">
        <v>3296</v>
      </c>
      <c r="B18221" t="s">
        <v>2931</v>
      </c>
      <c r="C18221">
        <v>1833</v>
      </c>
      <c r="D18221" t="str">
        <f>"150019267   "</f>
        <v xml:space="preserve">150019267   </v>
      </c>
      <c r="E18221" t="s">
        <v>925</v>
      </c>
      <c r="F18221" t="s">
        <v>926</v>
      </c>
      <c r="G18221">
        <v>32.31</v>
      </c>
      <c r="H18221">
        <v>250131</v>
      </c>
      <c r="I18221">
        <v>4860</v>
      </c>
      <c r="J18221" t="s">
        <v>286</v>
      </c>
      <c r="K18221">
        <v>53.84</v>
      </c>
      <c r="L18221">
        <v>6.56</v>
      </c>
      <c r="M18221">
        <v>59701</v>
      </c>
      <c r="N18221" t="s">
        <v>64</v>
      </c>
      <c r="O18221">
        <v>250214</v>
      </c>
      <c r="P18221">
        <v>25.75</v>
      </c>
    </row>
    <row r="18222" spans="1:16" x14ac:dyDescent="0.25">
      <c r="A18222" t="s">
        <v>3296</v>
      </c>
      <c r="B18222" t="s">
        <v>2931</v>
      </c>
      <c r="C18222">
        <v>3203</v>
      </c>
      <c r="D18222" t="str">
        <f>"150023441   "</f>
        <v xml:space="preserve">150023441   </v>
      </c>
      <c r="E18222" t="s">
        <v>925</v>
      </c>
      <c r="F18222" t="s">
        <v>926</v>
      </c>
      <c r="G18222">
        <v>63.13</v>
      </c>
      <c r="H18222">
        <v>250228</v>
      </c>
      <c r="I18222">
        <v>4860</v>
      </c>
      <c r="J18222" t="s">
        <v>286</v>
      </c>
      <c r="K18222">
        <v>63.13</v>
      </c>
      <c r="L18222">
        <v>12.83</v>
      </c>
      <c r="M18222">
        <v>69703</v>
      </c>
      <c r="N18222" t="s">
        <v>88</v>
      </c>
      <c r="O18222">
        <v>250317</v>
      </c>
      <c r="P18222">
        <v>50.3</v>
      </c>
    </row>
    <row r="18223" spans="1:16" x14ac:dyDescent="0.25">
      <c r="A18223" t="s">
        <v>3296</v>
      </c>
      <c r="B18223" t="s">
        <v>2931</v>
      </c>
      <c r="C18223">
        <v>3212</v>
      </c>
      <c r="D18223" t="str">
        <f>"150023235   "</f>
        <v xml:space="preserve">150023235   </v>
      </c>
      <c r="E18223" t="s">
        <v>925</v>
      </c>
      <c r="F18223" t="s">
        <v>926</v>
      </c>
      <c r="G18223">
        <v>5.39</v>
      </c>
      <c r="H18223">
        <v>250228</v>
      </c>
      <c r="I18223">
        <v>4860</v>
      </c>
      <c r="J18223" t="s">
        <v>286</v>
      </c>
      <c r="K18223">
        <v>53.84</v>
      </c>
      <c r="L18223">
        <v>1.1000000000000001</v>
      </c>
      <c r="M18223">
        <v>11501</v>
      </c>
      <c r="N18223" t="s">
        <v>13</v>
      </c>
      <c r="O18223">
        <v>250317</v>
      </c>
      <c r="P18223">
        <v>4.29</v>
      </c>
    </row>
    <row r="18224" spans="1:16" x14ac:dyDescent="0.25">
      <c r="A18224" t="s">
        <v>3296</v>
      </c>
      <c r="B18224" t="s">
        <v>2931</v>
      </c>
      <c r="C18224">
        <v>3212</v>
      </c>
      <c r="D18224" t="str">
        <f>"150023235   "</f>
        <v xml:space="preserve">150023235   </v>
      </c>
      <c r="E18224" t="s">
        <v>925</v>
      </c>
      <c r="F18224" t="s">
        <v>926</v>
      </c>
      <c r="G18224">
        <v>5.38</v>
      </c>
      <c r="H18224">
        <v>250228</v>
      </c>
      <c r="I18224">
        <v>4860</v>
      </c>
      <c r="J18224" t="s">
        <v>286</v>
      </c>
      <c r="K18224">
        <v>53.84</v>
      </c>
      <c r="L18224">
        <v>1.0900000000000001</v>
      </c>
      <c r="M18224">
        <v>18972</v>
      </c>
      <c r="N18224" t="s">
        <v>39</v>
      </c>
      <c r="O18224">
        <v>250317</v>
      </c>
      <c r="P18224">
        <v>4.29</v>
      </c>
    </row>
    <row r="18225" spans="1:16" x14ac:dyDescent="0.25">
      <c r="A18225" t="s">
        <v>3296</v>
      </c>
      <c r="B18225" t="s">
        <v>2931</v>
      </c>
      <c r="C18225">
        <v>3212</v>
      </c>
      <c r="D18225" t="str">
        <f>"150023235   "</f>
        <v xml:space="preserve">150023235   </v>
      </c>
      <c r="E18225" t="s">
        <v>925</v>
      </c>
      <c r="F18225" t="s">
        <v>926</v>
      </c>
      <c r="G18225">
        <v>10.77</v>
      </c>
      <c r="H18225">
        <v>250228</v>
      </c>
      <c r="I18225">
        <v>4860</v>
      </c>
      <c r="J18225" t="s">
        <v>286</v>
      </c>
      <c r="K18225">
        <v>53.84</v>
      </c>
      <c r="L18225">
        <v>2.19</v>
      </c>
      <c r="M18225">
        <v>59501</v>
      </c>
      <c r="N18225" t="s">
        <v>62</v>
      </c>
      <c r="O18225">
        <v>250317</v>
      </c>
      <c r="P18225">
        <v>8.58</v>
      </c>
    </row>
    <row r="18226" spans="1:16" x14ac:dyDescent="0.25">
      <c r="A18226" t="s">
        <v>3296</v>
      </c>
      <c r="B18226" t="s">
        <v>2931</v>
      </c>
      <c r="C18226">
        <v>3212</v>
      </c>
      <c r="D18226" t="str">
        <f>"150023235   "</f>
        <v xml:space="preserve">150023235   </v>
      </c>
      <c r="E18226" t="s">
        <v>925</v>
      </c>
      <c r="F18226" t="s">
        <v>926</v>
      </c>
      <c r="G18226">
        <v>32.299999999999997</v>
      </c>
      <c r="H18226">
        <v>250228</v>
      </c>
      <c r="I18226">
        <v>4860</v>
      </c>
      <c r="J18226" t="s">
        <v>286</v>
      </c>
      <c r="K18226">
        <v>53.84</v>
      </c>
      <c r="L18226">
        <v>6.56</v>
      </c>
      <c r="M18226">
        <v>59701</v>
      </c>
      <c r="N18226" t="s">
        <v>64</v>
      </c>
      <c r="O18226">
        <v>250317</v>
      </c>
      <c r="P18226">
        <v>25.74</v>
      </c>
    </row>
    <row r="18227" spans="1:16" x14ac:dyDescent="0.25">
      <c r="A18227" t="s">
        <v>3296</v>
      </c>
      <c r="B18227" t="s">
        <v>2931</v>
      </c>
      <c r="C18227">
        <v>4694</v>
      </c>
      <c r="D18227" t="str">
        <f>"150030048   "</f>
        <v xml:space="preserve">150030048   </v>
      </c>
      <c r="E18227" t="s">
        <v>925</v>
      </c>
      <c r="F18227" t="s">
        <v>926</v>
      </c>
      <c r="G18227">
        <v>35.270000000000003</v>
      </c>
      <c r="H18227">
        <v>250331</v>
      </c>
      <c r="I18227">
        <v>4860</v>
      </c>
      <c r="J18227" t="s">
        <v>286</v>
      </c>
      <c r="K18227">
        <v>153.74</v>
      </c>
      <c r="L18227">
        <v>7.17</v>
      </c>
      <c r="M18227">
        <v>18972</v>
      </c>
      <c r="N18227" t="s">
        <v>39</v>
      </c>
      <c r="O18227">
        <v>250414</v>
      </c>
      <c r="P18227">
        <v>28.1</v>
      </c>
    </row>
    <row r="18228" spans="1:16" x14ac:dyDescent="0.25">
      <c r="A18228" t="s">
        <v>3296</v>
      </c>
      <c r="B18228" t="s">
        <v>2931</v>
      </c>
      <c r="C18228">
        <v>4702</v>
      </c>
      <c r="D18228" t="str">
        <f>"150029218   "</f>
        <v xml:space="preserve">150029218   </v>
      </c>
      <c r="E18228" t="s">
        <v>925</v>
      </c>
      <c r="F18228" t="s">
        <v>926</v>
      </c>
      <c r="G18228">
        <v>63.13</v>
      </c>
      <c r="H18228">
        <v>250331</v>
      </c>
      <c r="I18228">
        <v>4860</v>
      </c>
      <c r="J18228" t="s">
        <v>286</v>
      </c>
      <c r="K18228">
        <v>63.13</v>
      </c>
      <c r="L18228">
        <v>12.83</v>
      </c>
      <c r="M18228">
        <v>69701</v>
      </c>
      <c r="N18228" t="s">
        <v>1030</v>
      </c>
      <c r="O18228">
        <v>250414</v>
      </c>
      <c r="P18228">
        <v>50.3</v>
      </c>
    </row>
    <row r="18229" spans="1:16" x14ac:dyDescent="0.25">
      <c r="A18229" t="s">
        <v>3296</v>
      </c>
      <c r="B18229" t="s">
        <v>2931</v>
      </c>
      <c r="C18229">
        <v>4710</v>
      </c>
      <c r="D18229" t="str">
        <f>"150029065   "</f>
        <v xml:space="preserve">150029065   </v>
      </c>
      <c r="E18229" t="s">
        <v>925</v>
      </c>
      <c r="F18229" t="s">
        <v>926</v>
      </c>
      <c r="G18229">
        <v>5.39</v>
      </c>
      <c r="H18229">
        <v>250331</v>
      </c>
      <c r="I18229">
        <v>4860</v>
      </c>
      <c r="J18229" t="s">
        <v>286</v>
      </c>
      <c r="K18229">
        <v>53.84</v>
      </c>
      <c r="L18229">
        <v>1.1000000000000001</v>
      </c>
      <c r="M18229">
        <v>11501</v>
      </c>
      <c r="N18229" t="s">
        <v>13</v>
      </c>
      <c r="O18229">
        <v>250414</v>
      </c>
      <c r="P18229">
        <v>4.29</v>
      </c>
    </row>
    <row r="18230" spans="1:16" x14ac:dyDescent="0.25">
      <c r="A18230" t="s">
        <v>3296</v>
      </c>
      <c r="B18230" t="s">
        <v>2931</v>
      </c>
      <c r="C18230">
        <v>4710</v>
      </c>
      <c r="D18230" t="str">
        <f>"150029065   "</f>
        <v xml:space="preserve">150029065   </v>
      </c>
      <c r="E18230" t="s">
        <v>925</v>
      </c>
      <c r="F18230" t="s">
        <v>926</v>
      </c>
      <c r="G18230">
        <v>5.38</v>
      </c>
      <c r="H18230">
        <v>250331</v>
      </c>
      <c r="I18230">
        <v>4860</v>
      </c>
      <c r="J18230" t="s">
        <v>286</v>
      </c>
      <c r="K18230">
        <v>53.84</v>
      </c>
      <c r="L18230">
        <v>1.0900000000000001</v>
      </c>
      <c r="M18230">
        <v>18972</v>
      </c>
      <c r="N18230" t="s">
        <v>39</v>
      </c>
      <c r="O18230">
        <v>250414</v>
      </c>
      <c r="P18230">
        <v>4.29</v>
      </c>
    </row>
    <row r="18231" spans="1:16" x14ac:dyDescent="0.25">
      <c r="A18231" t="s">
        <v>3296</v>
      </c>
      <c r="B18231" t="s">
        <v>2931</v>
      </c>
      <c r="C18231">
        <v>4710</v>
      </c>
      <c r="D18231" t="str">
        <f>"150029065   "</f>
        <v xml:space="preserve">150029065   </v>
      </c>
      <c r="E18231" t="s">
        <v>925</v>
      </c>
      <c r="F18231" t="s">
        <v>926</v>
      </c>
      <c r="G18231">
        <v>10.77</v>
      </c>
      <c r="H18231">
        <v>250331</v>
      </c>
      <c r="I18231">
        <v>4860</v>
      </c>
      <c r="J18231" t="s">
        <v>286</v>
      </c>
      <c r="K18231">
        <v>53.84</v>
      </c>
      <c r="L18231">
        <v>2.19</v>
      </c>
      <c r="M18231">
        <v>59501</v>
      </c>
      <c r="N18231" t="s">
        <v>62</v>
      </c>
      <c r="O18231">
        <v>250414</v>
      </c>
      <c r="P18231">
        <v>8.58</v>
      </c>
    </row>
    <row r="18232" spans="1:16" x14ac:dyDescent="0.25">
      <c r="A18232" t="s">
        <v>3296</v>
      </c>
      <c r="B18232" t="s">
        <v>2931</v>
      </c>
      <c r="C18232">
        <v>4710</v>
      </c>
      <c r="D18232" t="str">
        <f>"150029065   "</f>
        <v xml:space="preserve">150029065   </v>
      </c>
      <c r="E18232" t="s">
        <v>925</v>
      </c>
      <c r="F18232" t="s">
        <v>926</v>
      </c>
      <c r="G18232">
        <v>32.299999999999997</v>
      </c>
      <c r="H18232">
        <v>250331</v>
      </c>
      <c r="I18232">
        <v>4860</v>
      </c>
      <c r="J18232" t="s">
        <v>286</v>
      </c>
      <c r="K18232">
        <v>53.84</v>
      </c>
      <c r="L18232">
        <v>6.56</v>
      </c>
      <c r="M18232">
        <v>59701</v>
      </c>
      <c r="N18232" t="s">
        <v>64</v>
      </c>
      <c r="O18232">
        <v>250414</v>
      </c>
      <c r="P18232">
        <v>25.74</v>
      </c>
    </row>
    <row r="18233" spans="1:16" x14ac:dyDescent="0.25">
      <c r="A18233" t="s">
        <v>3296</v>
      </c>
      <c r="B18233" t="s">
        <v>2931</v>
      </c>
      <c r="C18233">
        <v>5242</v>
      </c>
      <c r="D18233" t="str">
        <f>"150029116   "</f>
        <v xml:space="preserve">150029116   </v>
      </c>
      <c r="E18233" t="s">
        <v>925</v>
      </c>
      <c r="F18233" t="s">
        <v>926</v>
      </c>
      <c r="G18233">
        <v>3.47</v>
      </c>
      <c r="H18233">
        <v>250401</v>
      </c>
      <c r="I18233">
        <v>4860</v>
      </c>
      <c r="J18233" t="s">
        <v>286</v>
      </c>
      <c r="K18233">
        <v>140.44999999999999</v>
      </c>
      <c r="L18233">
        <v>0.71</v>
      </c>
      <c r="M18233">
        <v>13561</v>
      </c>
      <c r="N18233" t="s">
        <v>241</v>
      </c>
      <c r="O18233">
        <v>250423</v>
      </c>
      <c r="P18233">
        <v>2.76</v>
      </c>
    </row>
    <row r="18234" spans="1:16" x14ac:dyDescent="0.25">
      <c r="A18234" t="s">
        <v>3296</v>
      </c>
      <c r="B18234" t="s">
        <v>2931</v>
      </c>
      <c r="C18234">
        <v>5242</v>
      </c>
      <c r="D18234" t="str">
        <f>"150029116   "</f>
        <v xml:space="preserve">150029116   </v>
      </c>
      <c r="E18234" t="s">
        <v>925</v>
      </c>
      <c r="F18234" t="s">
        <v>926</v>
      </c>
      <c r="G18234">
        <v>28.1</v>
      </c>
      <c r="H18234">
        <v>250401</v>
      </c>
      <c r="I18234">
        <v>4860</v>
      </c>
      <c r="J18234" t="s">
        <v>286</v>
      </c>
      <c r="K18234">
        <v>140.44999999999999</v>
      </c>
      <c r="L18234">
        <v>5.71</v>
      </c>
      <c r="M18234">
        <v>17971</v>
      </c>
      <c r="N18234" t="s">
        <v>27</v>
      </c>
      <c r="O18234">
        <v>250423</v>
      </c>
      <c r="P18234">
        <v>22.39</v>
      </c>
    </row>
    <row r="18235" spans="1:16" x14ac:dyDescent="0.25">
      <c r="A18235" t="s">
        <v>3296</v>
      </c>
      <c r="B18235" t="s">
        <v>2931</v>
      </c>
      <c r="C18235">
        <v>6260</v>
      </c>
      <c r="D18235" t="str">
        <f>"150033599   "</f>
        <v xml:space="preserve">150033599   </v>
      </c>
      <c r="E18235" t="s">
        <v>925</v>
      </c>
      <c r="F18235" t="s">
        <v>926</v>
      </c>
      <c r="G18235">
        <v>5.39</v>
      </c>
      <c r="H18235">
        <v>250430</v>
      </c>
      <c r="I18235">
        <v>4860</v>
      </c>
      <c r="J18235" t="s">
        <v>286</v>
      </c>
      <c r="K18235">
        <v>53.84</v>
      </c>
      <c r="L18235">
        <v>1.1000000000000001</v>
      </c>
      <c r="M18235">
        <v>11501</v>
      </c>
      <c r="N18235" t="s">
        <v>13</v>
      </c>
      <c r="O18235">
        <v>250512</v>
      </c>
      <c r="P18235">
        <v>4.29</v>
      </c>
    </row>
    <row r="18236" spans="1:16" x14ac:dyDescent="0.25">
      <c r="A18236" t="s">
        <v>3296</v>
      </c>
      <c r="B18236" t="s">
        <v>2931</v>
      </c>
      <c r="C18236">
        <v>6260</v>
      </c>
      <c r="D18236" t="str">
        <f>"150033599   "</f>
        <v xml:space="preserve">150033599   </v>
      </c>
      <c r="E18236" t="s">
        <v>925</v>
      </c>
      <c r="F18236" t="s">
        <v>926</v>
      </c>
      <c r="G18236">
        <v>5.38</v>
      </c>
      <c r="H18236">
        <v>250430</v>
      </c>
      <c r="I18236">
        <v>4860</v>
      </c>
      <c r="J18236" t="s">
        <v>286</v>
      </c>
      <c r="K18236">
        <v>53.84</v>
      </c>
      <c r="L18236">
        <v>1.0900000000000001</v>
      </c>
      <c r="M18236">
        <v>18972</v>
      </c>
      <c r="N18236" t="s">
        <v>39</v>
      </c>
      <c r="O18236">
        <v>250512</v>
      </c>
      <c r="P18236">
        <v>4.29</v>
      </c>
    </row>
    <row r="18237" spans="1:16" x14ac:dyDescent="0.25">
      <c r="A18237" t="s">
        <v>3296</v>
      </c>
      <c r="B18237" t="s">
        <v>2931</v>
      </c>
      <c r="C18237">
        <v>6260</v>
      </c>
      <c r="D18237" t="str">
        <f>"150033599   "</f>
        <v xml:space="preserve">150033599   </v>
      </c>
      <c r="E18237" t="s">
        <v>925</v>
      </c>
      <c r="F18237" t="s">
        <v>926</v>
      </c>
      <c r="G18237">
        <v>10.77</v>
      </c>
      <c r="H18237">
        <v>250430</v>
      </c>
      <c r="I18237">
        <v>4860</v>
      </c>
      <c r="J18237" t="s">
        <v>286</v>
      </c>
      <c r="K18237">
        <v>53.84</v>
      </c>
      <c r="L18237">
        <v>2.19</v>
      </c>
      <c r="M18237">
        <v>59501</v>
      </c>
      <c r="N18237" t="s">
        <v>62</v>
      </c>
      <c r="O18237">
        <v>250512</v>
      </c>
      <c r="P18237">
        <v>8.58</v>
      </c>
    </row>
    <row r="18238" spans="1:16" x14ac:dyDescent="0.25">
      <c r="A18238" t="s">
        <v>3296</v>
      </c>
      <c r="B18238" t="s">
        <v>2931</v>
      </c>
      <c r="C18238">
        <v>6260</v>
      </c>
      <c r="D18238" t="str">
        <f>"150033599   "</f>
        <v xml:space="preserve">150033599   </v>
      </c>
      <c r="E18238" t="s">
        <v>925</v>
      </c>
      <c r="F18238" t="s">
        <v>926</v>
      </c>
      <c r="G18238">
        <v>32.299999999999997</v>
      </c>
      <c r="H18238">
        <v>250430</v>
      </c>
      <c r="I18238">
        <v>4860</v>
      </c>
      <c r="J18238" t="s">
        <v>286</v>
      </c>
      <c r="K18238">
        <v>53.84</v>
      </c>
      <c r="L18238">
        <v>6.56</v>
      </c>
      <c r="M18238">
        <v>59701</v>
      </c>
      <c r="N18238" t="s">
        <v>64</v>
      </c>
      <c r="O18238">
        <v>250512</v>
      </c>
      <c r="P18238">
        <v>25.74</v>
      </c>
    </row>
    <row r="18239" spans="1:16" x14ac:dyDescent="0.25">
      <c r="A18239" t="s">
        <v>3296</v>
      </c>
      <c r="B18239" t="s">
        <v>2931</v>
      </c>
      <c r="C18239">
        <v>6272</v>
      </c>
      <c r="D18239" t="str">
        <f>"150038592   "</f>
        <v xml:space="preserve">150038592   </v>
      </c>
      <c r="E18239" t="s">
        <v>925</v>
      </c>
      <c r="F18239" t="s">
        <v>926</v>
      </c>
      <c r="G18239">
        <v>27.86</v>
      </c>
      <c r="H18239">
        <v>250430</v>
      </c>
      <c r="I18239">
        <v>4860</v>
      </c>
      <c r="J18239" t="s">
        <v>286</v>
      </c>
      <c r="K18239">
        <v>27.86</v>
      </c>
      <c r="L18239">
        <v>5.66</v>
      </c>
      <c r="M18239">
        <v>18971</v>
      </c>
      <c r="N18239" t="s">
        <v>38</v>
      </c>
      <c r="O18239">
        <v>250512</v>
      </c>
      <c r="P18239">
        <v>22.2</v>
      </c>
    </row>
    <row r="18240" spans="1:16" x14ac:dyDescent="0.25">
      <c r="A18240" t="s">
        <v>3296</v>
      </c>
      <c r="B18240" t="s">
        <v>2931</v>
      </c>
      <c r="C18240">
        <v>6283</v>
      </c>
      <c r="D18240" t="str">
        <f>"150038598   "</f>
        <v xml:space="preserve">150038598   </v>
      </c>
      <c r="E18240" t="s">
        <v>925</v>
      </c>
      <c r="F18240" t="s">
        <v>926</v>
      </c>
      <c r="G18240">
        <v>18.57</v>
      </c>
      <c r="H18240">
        <v>250430</v>
      </c>
      <c r="I18240">
        <v>4860</v>
      </c>
      <c r="J18240" t="s">
        <v>286</v>
      </c>
      <c r="K18240">
        <v>18.57</v>
      </c>
      <c r="L18240">
        <v>3.77</v>
      </c>
      <c r="M18240">
        <v>69702</v>
      </c>
      <c r="N18240" t="s">
        <v>124</v>
      </c>
      <c r="O18240">
        <v>250512</v>
      </c>
      <c r="P18240">
        <v>14.8</v>
      </c>
    </row>
    <row r="18241" spans="1:16" x14ac:dyDescent="0.25">
      <c r="A18241" t="s">
        <v>3296</v>
      </c>
      <c r="B18241" t="s">
        <v>2931</v>
      </c>
      <c r="C18241">
        <v>6425</v>
      </c>
      <c r="D18241" t="str">
        <f>"150038600   "</f>
        <v xml:space="preserve">150038600   </v>
      </c>
      <c r="E18241" t="s">
        <v>925</v>
      </c>
      <c r="F18241" t="s">
        <v>926</v>
      </c>
      <c r="G18241">
        <v>37.15</v>
      </c>
      <c r="H18241">
        <v>250430</v>
      </c>
      <c r="I18241">
        <v>4860</v>
      </c>
      <c r="J18241" t="s">
        <v>286</v>
      </c>
      <c r="K18241">
        <v>37.15</v>
      </c>
      <c r="L18241">
        <v>7.55</v>
      </c>
      <c r="M18241">
        <v>69703</v>
      </c>
      <c r="N18241" t="s">
        <v>88</v>
      </c>
      <c r="O18241">
        <v>250513</v>
      </c>
      <c r="P18241">
        <v>29.6</v>
      </c>
    </row>
    <row r="18242" spans="1:16" x14ac:dyDescent="0.25">
      <c r="A18242" t="s">
        <v>3296</v>
      </c>
      <c r="B18242" t="s">
        <v>2931</v>
      </c>
      <c r="C18242">
        <v>6429</v>
      </c>
      <c r="D18242" t="str">
        <f>"150040374   "</f>
        <v xml:space="preserve">150040374   </v>
      </c>
      <c r="E18242" t="s">
        <v>925</v>
      </c>
      <c r="F18242" t="s">
        <v>926</v>
      </c>
      <c r="G18242">
        <v>9.2899999999999991</v>
      </c>
      <c r="H18242">
        <v>250430</v>
      </c>
      <c r="I18242">
        <v>4860</v>
      </c>
      <c r="J18242" t="s">
        <v>286</v>
      </c>
      <c r="K18242">
        <v>9.2899999999999991</v>
      </c>
      <c r="L18242">
        <v>1.89</v>
      </c>
      <c r="M18242">
        <v>18972</v>
      </c>
      <c r="N18242" t="s">
        <v>39</v>
      </c>
      <c r="O18242">
        <v>250513</v>
      </c>
      <c r="P18242">
        <v>7.4</v>
      </c>
    </row>
    <row r="18243" spans="1:16" x14ac:dyDescent="0.25">
      <c r="A18243" t="s">
        <v>3296</v>
      </c>
      <c r="B18243" t="s">
        <v>2931</v>
      </c>
      <c r="C18243">
        <v>6615</v>
      </c>
      <c r="D18243" t="str">
        <f>"150037794   "</f>
        <v xml:space="preserve">150037794   </v>
      </c>
      <c r="E18243" t="s">
        <v>925</v>
      </c>
      <c r="F18243" t="s">
        <v>926</v>
      </c>
      <c r="G18243">
        <v>27.86</v>
      </c>
      <c r="H18243">
        <v>250430</v>
      </c>
      <c r="I18243">
        <v>4860</v>
      </c>
      <c r="J18243" t="s">
        <v>286</v>
      </c>
      <c r="K18243">
        <v>27.86</v>
      </c>
      <c r="L18243">
        <v>5.66</v>
      </c>
      <c r="M18243">
        <v>59505</v>
      </c>
      <c r="N18243" t="s">
        <v>194</v>
      </c>
      <c r="O18243">
        <v>250514</v>
      </c>
      <c r="P18243">
        <v>22.2</v>
      </c>
    </row>
    <row r="18244" spans="1:16" x14ac:dyDescent="0.25">
      <c r="A18244" t="s">
        <v>3296</v>
      </c>
      <c r="B18244" t="s">
        <v>2931</v>
      </c>
      <c r="C18244">
        <v>6624</v>
      </c>
      <c r="D18244" t="str">
        <f>"150037828   "</f>
        <v xml:space="preserve">150037828   </v>
      </c>
      <c r="E18244" t="s">
        <v>925</v>
      </c>
      <c r="F18244" t="s">
        <v>926</v>
      </c>
      <c r="G18244">
        <v>27.86</v>
      </c>
      <c r="H18244">
        <v>250430</v>
      </c>
      <c r="I18244">
        <v>4860</v>
      </c>
      <c r="J18244" t="s">
        <v>286</v>
      </c>
      <c r="K18244">
        <v>27.86</v>
      </c>
      <c r="L18244">
        <v>5.66</v>
      </c>
      <c r="M18244">
        <v>59502</v>
      </c>
      <c r="N18244" t="s">
        <v>63</v>
      </c>
      <c r="O18244">
        <v>250514</v>
      </c>
      <c r="P18244">
        <v>22.2</v>
      </c>
    </row>
    <row r="18245" spans="1:16" x14ac:dyDescent="0.25">
      <c r="A18245" t="s">
        <v>3296</v>
      </c>
      <c r="B18245" t="s">
        <v>2931</v>
      </c>
      <c r="C18245">
        <v>6629</v>
      </c>
      <c r="D18245" t="str">
        <f>"150038604   "</f>
        <v xml:space="preserve">150038604   </v>
      </c>
      <c r="E18245" t="s">
        <v>925</v>
      </c>
      <c r="F18245" t="s">
        <v>926</v>
      </c>
      <c r="G18245">
        <v>27.86</v>
      </c>
      <c r="H18245">
        <v>250430</v>
      </c>
      <c r="I18245">
        <v>4860</v>
      </c>
      <c r="J18245" t="s">
        <v>286</v>
      </c>
      <c r="K18245">
        <v>27.86</v>
      </c>
      <c r="L18245">
        <v>5.66</v>
      </c>
      <c r="M18245">
        <v>59701</v>
      </c>
      <c r="N18245" t="s">
        <v>64</v>
      </c>
      <c r="O18245">
        <v>250514</v>
      </c>
      <c r="P18245">
        <v>22.2</v>
      </c>
    </row>
    <row r="18246" spans="1:16" x14ac:dyDescent="0.25">
      <c r="A18246" t="s">
        <v>3296</v>
      </c>
      <c r="B18246" t="s">
        <v>2931</v>
      </c>
      <c r="C18246">
        <v>12224</v>
      </c>
      <c r="D18246" t="str">
        <f>"INV525152699"</f>
        <v>INV525152699</v>
      </c>
      <c r="E18246" t="s">
        <v>306</v>
      </c>
      <c r="F18246" t="s">
        <v>308</v>
      </c>
      <c r="G18246">
        <v>9.9</v>
      </c>
      <c r="H18246">
        <v>250902</v>
      </c>
      <c r="I18246">
        <v>4364</v>
      </c>
      <c r="J18246" t="s">
        <v>470</v>
      </c>
      <c r="K18246">
        <v>9.9</v>
      </c>
      <c r="L18246">
        <v>2.0099999999999998</v>
      </c>
      <c r="M18246">
        <v>49702</v>
      </c>
      <c r="N18246" t="s">
        <v>112</v>
      </c>
      <c r="O18246">
        <v>250917</v>
      </c>
      <c r="P18246">
        <v>7.89</v>
      </c>
    </row>
    <row r="18247" spans="1:16" x14ac:dyDescent="0.25">
      <c r="A18247" t="s">
        <v>3296</v>
      </c>
      <c r="B18247" t="s">
        <v>2931</v>
      </c>
      <c r="C18247">
        <v>2657</v>
      </c>
      <c r="D18247" t="str">
        <f>"INV525031953"</f>
        <v>INV525031953</v>
      </c>
      <c r="E18247" t="s">
        <v>306</v>
      </c>
      <c r="F18247" t="s">
        <v>308</v>
      </c>
      <c r="G18247">
        <v>122.8</v>
      </c>
      <c r="H18247">
        <v>250225</v>
      </c>
      <c r="I18247">
        <v>4500</v>
      </c>
      <c r="J18247" t="s">
        <v>312</v>
      </c>
      <c r="K18247">
        <v>122.8</v>
      </c>
      <c r="L18247">
        <v>15.08</v>
      </c>
      <c r="M18247">
        <v>13801</v>
      </c>
      <c r="N18247" t="s">
        <v>33</v>
      </c>
      <c r="O18247">
        <v>250310</v>
      </c>
      <c r="P18247">
        <v>107.72</v>
      </c>
    </row>
    <row r="18248" spans="1:16" x14ac:dyDescent="0.25">
      <c r="A18248" t="s">
        <v>3296</v>
      </c>
      <c r="B18248" t="s">
        <v>2931</v>
      </c>
      <c r="C18248">
        <v>5350</v>
      </c>
      <c r="D18248" t="str">
        <f>"INV525055310"</f>
        <v>INV525055310</v>
      </c>
      <c r="E18248" t="s">
        <v>306</v>
      </c>
      <c r="F18248" t="s">
        <v>308</v>
      </c>
      <c r="G18248">
        <v>30.02</v>
      </c>
      <c r="H18248">
        <v>250407</v>
      </c>
      <c r="I18248">
        <v>4500</v>
      </c>
      <c r="J18248" t="s">
        <v>312</v>
      </c>
      <c r="K18248">
        <v>30.02</v>
      </c>
      <c r="L18248">
        <v>6.1</v>
      </c>
      <c r="M18248">
        <v>16431</v>
      </c>
      <c r="N18248" t="s">
        <v>17</v>
      </c>
      <c r="O18248">
        <v>250423</v>
      </c>
      <c r="P18248">
        <v>23.92</v>
      </c>
    </row>
    <row r="18249" spans="1:16" x14ac:dyDescent="0.25">
      <c r="A18249" t="s">
        <v>3296</v>
      </c>
      <c r="B18249" t="s">
        <v>2931</v>
      </c>
      <c r="C18249">
        <v>6334</v>
      </c>
      <c r="D18249" t="str">
        <f t="shared" ref="D18249:D18259" si="312">"INV525064435"</f>
        <v>INV525064435</v>
      </c>
      <c r="E18249" t="s">
        <v>306</v>
      </c>
      <c r="F18249" t="s">
        <v>308</v>
      </c>
      <c r="G18249">
        <v>60.04</v>
      </c>
      <c r="H18249">
        <v>250421</v>
      </c>
      <c r="I18249">
        <v>4500</v>
      </c>
      <c r="J18249" t="s">
        <v>312</v>
      </c>
      <c r="K18249">
        <v>430.67</v>
      </c>
      <c r="L18249">
        <v>12.2</v>
      </c>
      <c r="M18249">
        <v>41126</v>
      </c>
      <c r="N18249" t="s">
        <v>94</v>
      </c>
      <c r="O18249">
        <v>250512</v>
      </c>
      <c r="P18249">
        <v>47.84</v>
      </c>
    </row>
    <row r="18250" spans="1:16" x14ac:dyDescent="0.25">
      <c r="A18250" t="s">
        <v>3296</v>
      </c>
      <c r="B18250" t="s">
        <v>2931</v>
      </c>
      <c r="C18250">
        <v>6334</v>
      </c>
      <c r="D18250" t="str">
        <f t="shared" si="312"/>
        <v>INV525064435</v>
      </c>
      <c r="E18250" t="s">
        <v>306</v>
      </c>
      <c r="F18250" t="s">
        <v>308</v>
      </c>
      <c r="G18250">
        <v>45.03</v>
      </c>
      <c r="H18250">
        <v>250421</v>
      </c>
      <c r="I18250">
        <v>4500</v>
      </c>
      <c r="J18250" t="s">
        <v>312</v>
      </c>
      <c r="K18250">
        <v>430.67</v>
      </c>
      <c r="L18250">
        <v>9.15</v>
      </c>
      <c r="M18250">
        <v>43222</v>
      </c>
      <c r="N18250" t="s">
        <v>95</v>
      </c>
      <c r="O18250">
        <v>250512</v>
      </c>
      <c r="P18250">
        <v>35.880000000000003</v>
      </c>
    </row>
    <row r="18251" spans="1:16" x14ac:dyDescent="0.25">
      <c r="A18251" t="s">
        <v>3296</v>
      </c>
      <c r="B18251" t="s">
        <v>2931</v>
      </c>
      <c r="C18251">
        <v>6334</v>
      </c>
      <c r="D18251" t="str">
        <f t="shared" si="312"/>
        <v>INV525064435</v>
      </c>
      <c r="E18251" t="s">
        <v>306</v>
      </c>
      <c r="F18251" t="s">
        <v>308</v>
      </c>
      <c r="G18251">
        <v>15.01</v>
      </c>
      <c r="H18251">
        <v>250421</v>
      </c>
      <c r="I18251">
        <v>4500</v>
      </c>
      <c r="J18251" t="s">
        <v>312</v>
      </c>
      <c r="K18251">
        <v>430.67</v>
      </c>
      <c r="L18251">
        <v>3.05</v>
      </c>
      <c r="M18251">
        <v>44222</v>
      </c>
      <c r="N18251" t="s">
        <v>96</v>
      </c>
      <c r="O18251">
        <v>250512</v>
      </c>
      <c r="P18251">
        <v>11.96</v>
      </c>
    </row>
    <row r="18252" spans="1:16" x14ac:dyDescent="0.25">
      <c r="A18252" t="s">
        <v>3296</v>
      </c>
      <c r="B18252" t="s">
        <v>2931</v>
      </c>
      <c r="C18252">
        <v>6334</v>
      </c>
      <c r="D18252" t="str">
        <f t="shared" si="312"/>
        <v>INV525064435</v>
      </c>
      <c r="E18252" t="s">
        <v>306</v>
      </c>
      <c r="F18252" t="s">
        <v>308</v>
      </c>
      <c r="G18252">
        <v>75.05</v>
      </c>
      <c r="H18252">
        <v>250421</v>
      </c>
      <c r="I18252">
        <v>4500</v>
      </c>
      <c r="J18252" t="s">
        <v>312</v>
      </c>
      <c r="K18252">
        <v>430.67</v>
      </c>
      <c r="L18252">
        <v>15.25</v>
      </c>
      <c r="M18252">
        <v>44222</v>
      </c>
      <c r="N18252" t="s">
        <v>96</v>
      </c>
      <c r="O18252">
        <v>250512</v>
      </c>
      <c r="P18252">
        <v>59.8</v>
      </c>
    </row>
    <row r="18253" spans="1:16" x14ac:dyDescent="0.25">
      <c r="A18253" t="s">
        <v>3296</v>
      </c>
      <c r="B18253" t="s">
        <v>2931</v>
      </c>
      <c r="C18253">
        <v>6334</v>
      </c>
      <c r="D18253" t="str">
        <f t="shared" si="312"/>
        <v>INV525064435</v>
      </c>
      <c r="E18253" t="s">
        <v>306</v>
      </c>
      <c r="F18253" t="s">
        <v>308</v>
      </c>
      <c r="G18253">
        <v>15.01</v>
      </c>
      <c r="H18253">
        <v>250421</v>
      </c>
      <c r="I18253">
        <v>4500</v>
      </c>
      <c r="J18253" t="s">
        <v>312</v>
      </c>
      <c r="K18253">
        <v>430.67</v>
      </c>
      <c r="L18253">
        <v>3.05</v>
      </c>
      <c r="M18253">
        <v>44422</v>
      </c>
      <c r="N18253" t="s">
        <v>97</v>
      </c>
      <c r="O18253">
        <v>250512</v>
      </c>
      <c r="P18253">
        <v>11.96</v>
      </c>
    </row>
    <row r="18254" spans="1:16" x14ac:dyDescent="0.25">
      <c r="A18254" t="s">
        <v>3296</v>
      </c>
      <c r="B18254" t="s">
        <v>2931</v>
      </c>
      <c r="C18254">
        <v>6334</v>
      </c>
      <c r="D18254" t="str">
        <f t="shared" si="312"/>
        <v>INV525064435</v>
      </c>
      <c r="E18254" t="s">
        <v>306</v>
      </c>
      <c r="F18254" t="s">
        <v>308</v>
      </c>
      <c r="G18254">
        <v>15.01</v>
      </c>
      <c r="H18254">
        <v>250421</v>
      </c>
      <c r="I18254">
        <v>4500</v>
      </c>
      <c r="J18254" t="s">
        <v>312</v>
      </c>
      <c r="K18254">
        <v>430.67</v>
      </c>
      <c r="L18254">
        <v>3.05</v>
      </c>
      <c r="M18254">
        <v>46556</v>
      </c>
      <c r="N18254" t="s">
        <v>458</v>
      </c>
      <c r="O18254">
        <v>250512</v>
      </c>
      <c r="P18254">
        <v>11.96</v>
      </c>
    </row>
    <row r="18255" spans="1:16" x14ac:dyDescent="0.25">
      <c r="A18255" t="s">
        <v>3296</v>
      </c>
      <c r="B18255" t="s">
        <v>2931</v>
      </c>
      <c r="C18255">
        <v>6334</v>
      </c>
      <c r="D18255" t="str">
        <f t="shared" si="312"/>
        <v>INV525064435</v>
      </c>
      <c r="E18255" t="s">
        <v>306</v>
      </c>
      <c r="F18255" t="s">
        <v>308</v>
      </c>
      <c r="G18255">
        <v>15.01</v>
      </c>
      <c r="H18255">
        <v>250421</v>
      </c>
      <c r="I18255">
        <v>4500</v>
      </c>
      <c r="J18255" t="s">
        <v>312</v>
      </c>
      <c r="K18255">
        <v>430.67</v>
      </c>
      <c r="L18255">
        <v>3.05</v>
      </c>
      <c r="M18255">
        <v>47522</v>
      </c>
      <c r="N18255" t="s">
        <v>106</v>
      </c>
      <c r="O18255">
        <v>250512</v>
      </c>
      <c r="P18255">
        <v>11.96</v>
      </c>
    </row>
    <row r="18256" spans="1:16" x14ac:dyDescent="0.25">
      <c r="A18256" t="s">
        <v>3296</v>
      </c>
      <c r="B18256" t="s">
        <v>2931</v>
      </c>
      <c r="C18256">
        <v>6334</v>
      </c>
      <c r="D18256" t="str">
        <f t="shared" si="312"/>
        <v>INV525064435</v>
      </c>
      <c r="E18256" t="s">
        <v>306</v>
      </c>
      <c r="F18256" t="s">
        <v>308</v>
      </c>
      <c r="G18256">
        <v>15.01</v>
      </c>
      <c r="H18256">
        <v>250421</v>
      </c>
      <c r="I18256">
        <v>4500</v>
      </c>
      <c r="J18256" t="s">
        <v>312</v>
      </c>
      <c r="K18256">
        <v>430.67</v>
      </c>
      <c r="L18256">
        <v>3.05</v>
      </c>
      <c r="M18256">
        <v>48601</v>
      </c>
      <c r="N18256" t="s">
        <v>107</v>
      </c>
      <c r="O18256">
        <v>250512</v>
      </c>
      <c r="P18256">
        <v>11.96</v>
      </c>
    </row>
    <row r="18257" spans="1:16" x14ac:dyDescent="0.25">
      <c r="A18257" t="s">
        <v>3296</v>
      </c>
      <c r="B18257" t="s">
        <v>2931</v>
      </c>
      <c r="C18257">
        <v>6334</v>
      </c>
      <c r="D18257" t="str">
        <f t="shared" si="312"/>
        <v>INV525064435</v>
      </c>
      <c r="E18257" t="s">
        <v>306</v>
      </c>
      <c r="F18257" t="s">
        <v>308</v>
      </c>
      <c r="G18257">
        <v>15.01</v>
      </c>
      <c r="H18257">
        <v>250421</v>
      </c>
      <c r="I18257">
        <v>4500</v>
      </c>
      <c r="J18257" t="s">
        <v>312</v>
      </c>
      <c r="K18257">
        <v>430.67</v>
      </c>
      <c r="L18257">
        <v>3.05</v>
      </c>
      <c r="M18257">
        <v>48601</v>
      </c>
      <c r="N18257" t="s">
        <v>107</v>
      </c>
      <c r="O18257">
        <v>250512</v>
      </c>
      <c r="P18257">
        <v>11.96</v>
      </c>
    </row>
    <row r="18258" spans="1:16" x14ac:dyDescent="0.25">
      <c r="A18258" t="s">
        <v>3296</v>
      </c>
      <c r="B18258" t="s">
        <v>2931</v>
      </c>
      <c r="C18258">
        <v>6334</v>
      </c>
      <c r="D18258" t="str">
        <f t="shared" si="312"/>
        <v>INV525064435</v>
      </c>
      <c r="E18258" t="s">
        <v>306</v>
      </c>
      <c r="F18258" t="s">
        <v>308</v>
      </c>
      <c r="G18258">
        <v>15.01</v>
      </c>
      <c r="H18258">
        <v>250421</v>
      </c>
      <c r="I18258">
        <v>4500</v>
      </c>
      <c r="J18258" t="s">
        <v>312</v>
      </c>
      <c r="K18258">
        <v>430.67</v>
      </c>
      <c r="L18258">
        <v>3.05</v>
      </c>
      <c r="M18258">
        <v>49111</v>
      </c>
      <c r="N18258" t="s">
        <v>108</v>
      </c>
      <c r="O18258">
        <v>250512</v>
      </c>
      <c r="P18258">
        <v>11.96</v>
      </c>
    </row>
    <row r="18259" spans="1:16" x14ac:dyDescent="0.25">
      <c r="A18259" t="s">
        <v>3296</v>
      </c>
      <c r="B18259" t="s">
        <v>2931</v>
      </c>
      <c r="C18259">
        <v>6334</v>
      </c>
      <c r="D18259" t="str">
        <f t="shared" si="312"/>
        <v>INV525064435</v>
      </c>
      <c r="E18259" t="s">
        <v>306</v>
      </c>
      <c r="F18259" t="s">
        <v>308</v>
      </c>
      <c r="G18259">
        <v>60.04</v>
      </c>
      <c r="H18259">
        <v>250421</v>
      </c>
      <c r="I18259">
        <v>4500</v>
      </c>
      <c r="J18259" t="s">
        <v>312</v>
      </c>
      <c r="K18259">
        <v>430.67</v>
      </c>
      <c r="L18259">
        <v>12.2</v>
      </c>
      <c r="M18259">
        <v>49702</v>
      </c>
      <c r="N18259" t="s">
        <v>112</v>
      </c>
      <c r="O18259">
        <v>250512</v>
      </c>
      <c r="P18259">
        <v>47.84</v>
      </c>
    </row>
    <row r="18260" spans="1:16" x14ac:dyDescent="0.25">
      <c r="A18260" t="s">
        <v>3296</v>
      </c>
      <c r="B18260" t="s">
        <v>2931</v>
      </c>
      <c r="C18260">
        <v>185</v>
      </c>
      <c r="D18260" t="str">
        <f>"INV525004430"</f>
        <v>INV525004430</v>
      </c>
      <c r="E18260" t="s">
        <v>306</v>
      </c>
      <c r="F18260" t="s">
        <v>308</v>
      </c>
      <c r="G18260">
        <v>474</v>
      </c>
      <c r="H18260">
        <v>250113</v>
      </c>
      <c r="I18260">
        <v>4510</v>
      </c>
      <c r="J18260" t="s">
        <v>240</v>
      </c>
      <c r="K18260">
        <v>474</v>
      </c>
      <c r="L18260">
        <v>58.21</v>
      </c>
      <c r="M18260">
        <v>13402</v>
      </c>
      <c r="N18260" t="s">
        <v>307</v>
      </c>
      <c r="O18260">
        <v>250115</v>
      </c>
      <c r="P18260">
        <v>415.79</v>
      </c>
    </row>
    <row r="18261" spans="1:16" x14ac:dyDescent="0.25">
      <c r="A18261" t="s">
        <v>3296</v>
      </c>
      <c r="B18261" t="s">
        <v>2931</v>
      </c>
      <c r="C18261">
        <v>310</v>
      </c>
      <c r="D18261" t="str">
        <f>"INV525004923"</f>
        <v>INV525004923</v>
      </c>
      <c r="E18261" t="s">
        <v>306</v>
      </c>
      <c r="F18261" t="s">
        <v>308</v>
      </c>
      <c r="G18261">
        <v>122.8</v>
      </c>
      <c r="H18261">
        <v>250114</v>
      </c>
      <c r="I18261">
        <v>4510</v>
      </c>
      <c r="J18261" t="s">
        <v>240</v>
      </c>
      <c r="K18261">
        <v>245.6</v>
      </c>
      <c r="L18261">
        <v>15.08</v>
      </c>
      <c r="M18261">
        <v>44222</v>
      </c>
      <c r="N18261" t="s">
        <v>96</v>
      </c>
      <c r="O18261">
        <v>250121</v>
      </c>
      <c r="P18261">
        <v>107.72</v>
      </c>
    </row>
    <row r="18262" spans="1:16" x14ac:dyDescent="0.25">
      <c r="A18262" t="s">
        <v>3296</v>
      </c>
      <c r="B18262" t="s">
        <v>2931</v>
      </c>
      <c r="C18262">
        <v>310</v>
      </c>
      <c r="D18262" t="str">
        <f>"INV525004923"</f>
        <v>INV525004923</v>
      </c>
      <c r="E18262" t="s">
        <v>306</v>
      </c>
      <c r="F18262" t="s">
        <v>308</v>
      </c>
      <c r="G18262">
        <v>122.8</v>
      </c>
      <c r="H18262">
        <v>250114</v>
      </c>
      <c r="I18262">
        <v>4510</v>
      </c>
      <c r="J18262" t="s">
        <v>240</v>
      </c>
      <c r="K18262">
        <v>245.6</v>
      </c>
      <c r="L18262">
        <v>15.08</v>
      </c>
      <c r="M18262">
        <v>48601</v>
      </c>
      <c r="N18262" t="s">
        <v>107</v>
      </c>
      <c r="O18262">
        <v>250121</v>
      </c>
      <c r="P18262">
        <v>107.72</v>
      </c>
    </row>
    <row r="18263" spans="1:16" x14ac:dyDescent="0.25">
      <c r="A18263" t="s">
        <v>3296</v>
      </c>
      <c r="B18263" t="s">
        <v>2931</v>
      </c>
      <c r="C18263">
        <v>396</v>
      </c>
      <c r="D18263" t="str">
        <f>"INV525004428"</f>
        <v>INV525004428</v>
      </c>
      <c r="E18263" t="s">
        <v>306</v>
      </c>
      <c r="F18263" t="s">
        <v>308</v>
      </c>
      <c r="G18263">
        <v>38.76</v>
      </c>
      <c r="H18263">
        <v>250113</v>
      </c>
      <c r="I18263">
        <v>4510</v>
      </c>
      <c r="J18263" t="s">
        <v>240</v>
      </c>
      <c r="K18263">
        <v>38.76</v>
      </c>
      <c r="L18263">
        <v>4.76</v>
      </c>
      <c r="M18263">
        <v>13502</v>
      </c>
      <c r="N18263" t="s">
        <v>302</v>
      </c>
      <c r="O18263">
        <v>250122</v>
      </c>
      <c r="P18263">
        <v>34</v>
      </c>
    </row>
    <row r="18264" spans="1:16" x14ac:dyDescent="0.25">
      <c r="A18264" t="s">
        <v>3296</v>
      </c>
      <c r="B18264" t="s">
        <v>2931</v>
      </c>
      <c r="C18264">
        <v>439</v>
      </c>
      <c r="D18264" t="str">
        <f>"INV525009075"</f>
        <v>INV525009075</v>
      </c>
      <c r="E18264" t="s">
        <v>306</v>
      </c>
      <c r="F18264" t="s">
        <v>308</v>
      </c>
      <c r="G18264">
        <v>211.7</v>
      </c>
      <c r="H18264">
        <v>250120</v>
      </c>
      <c r="I18264">
        <v>4510</v>
      </c>
      <c r="J18264" t="s">
        <v>240</v>
      </c>
      <c r="K18264">
        <v>211.7</v>
      </c>
      <c r="L18264">
        <v>26</v>
      </c>
      <c r="M18264">
        <v>65422</v>
      </c>
      <c r="N18264" t="s">
        <v>117</v>
      </c>
      <c r="O18264">
        <v>250122</v>
      </c>
      <c r="P18264">
        <v>185.7</v>
      </c>
    </row>
    <row r="18265" spans="1:16" x14ac:dyDescent="0.25">
      <c r="A18265" t="s">
        <v>3296</v>
      </c>
      <c r="B18265" t="s">
        <v>2931</v>
      </c>
      <c r="C18265">
        <v>466</v>
      </c>
      <c r="D18265" t="str">
        <f>"INV525006979"</f>
        <v>INV525006979</v>
      </c>
      <c r="E18265" t="s">
        <v>306</v>
      </c>
      <c r="F18265" t="s">
        <v>308</v>
      </c>
      <c r="G18265">
        <v>101.4</v>
      </c>
      <c r="H18265">
        <v>250116</v>
      </c>
      <c r="I18265">
        <v>4510</v>
      </c>
      <c r="J18265" t="s">
        <v>240</v>
      </c>
      <c r="K18265">
        <v>101.4</v>
      </c>
      <c r="L18265">
        <v>12.45</v>
      </c>
      <c r="M18265">
        <v>13801</v>
      </c>
      <c r="N18265" t="s">
        <v>33</v>
      </c>
      <c r="O18265">
        <v>250123</v>
      </c>
      <c r="P18265">
        <v>88.95</v>
      </c>
    </row>
    <row r="18266" spans="1:16" x14ac:dyDescent="0.25">
      <c r="A18266" t="s">
        <v>3296</v>
      </c>
      <c r="B18266" t="s">
        <v>2931</v>
      </c>
      <c r="C18266">
        <v>485</v>
      </c>
      <c r="D18266" t="str">
        <f>"INV525000062"</f>
        <v>INV525000062</v>
      </c>
      <c r="E18266" t="s">
        <v>306</v>
      </c>
      <c r="F18266" t="s">
        <v>308</v>
      </c>
      <c r="G18266">
        <v>279.89999999999998</v>
      </c>
      <c r="H18266">
        <v>250107</v>
      </c>
      <c r="I18266">
        <v>4510</v>
      </c>
      <c r="J18266" t="s">
        <v>240</v>
      </c>
      <c r="K18266">
        <v>279.89999999999998</v>
      </c>
      <c r="L18266">
        <v>34.369999999999997</v>
      </c>
      <c r="M18266">
        <v>11903</v>
      </c>
      <c r="N18266" t="s">
        <v>32</v>
      </c>
      <c r="O18266">
        <v>250123</v>
      </c>
      <c r="P18266">
        <v>245.53</v>
      </c>
    </row>
    <row r="18267" spans="1:16" x14ac:dyDescent="0.25">
      <c r="A18267" t="s">
        <v>3296</v>
      </c>
      <c r="B18267" t="s">
        <v>2931</v>
      </c>
      <c r="C18267">
        <v>548</v>
      </c>
      <c r="D18267" t="str">
        <f>"INV525008977"</f>
        <v>INV525008977</v>
      </c>
      <c r="E18267" t="s">
        <v>306</v>
      </c>
      <c r="F18267" t="s">
        <v>308</v>
      </c>
      <c r="G18267">
        <v>106.42</v>
      </c>
      <c r="H18267">
        <v>250120</v>
      </c>
      <c r="I18267">
        <v>4510</v>
      </c>
      <c r="J18267" t="s">
        <v>240</v>
      </c>
      <c r="K18267">
        <v>106.42</v>
      </c>
      <c r="L18267">
        <v>13.07</v>
      </c>
      <c r="M18267">
        <v>17808</v>
      </c>
      <c r="N18267" t="s">
        <v>24</v>
      </c>
      <c r="O18267">
        <v>250123</v>
      </c>
      <c r="P18267">
        <v>93.35</v>
      </c>
    </row>
    <row r="18268" spans="1:16" x14ac:dyDescent="0.25">
      <c r="A18268" t="s">
        <v>3296</v>
      </c>
      <c r="B18268" t="s">
        <v>2931</v>
      </c>
      <c r="C18268">
        <v>586</v>
      </c>
      <c r="D18268" t="str">
        <f>"INV525009077"</f>
        <v>INV525009077</v>
      </c>
      <c r="E18268" t="s">
        <v>306</v>
      </c>
      <c r="F18268" t="s">
        <v>308</v>
      </c>
      <c r="G18268">
        <v>47.78</v>
      </c>
      <c r="H18268">
        <v>250120</v>
      </c>
      <c r="I18268">
        <v>4510</v>
      </c>
      <c r="J18268" t="s">
        <v>240</v>
      </c>
      <c r="K18268">
        <v>47.78</v>
      </c>
      <c r="L18268">
        <v>5.87</v>
      </c>
      <c r="M18268">
        <v>13202</v>
      </c>
      <c r="N18268" t="s">
        <v>601</v>
      </c>
      <c r="O18268">
        <v>250124</v>
      </c>
      <c r="P18268">
        <v>41.91</v>
      </c>
    </row>
    <row r="18269" spans="1:16" x14ac:dyDescent="0.25">
      <c r="A18269" t="s">
        <v>3296</v>
      </c>
      <c r="B18269" t="s">
        <v>2931</v>
      </c>
      <c r="C18269">
        <v>590</v>
      </c>
      <c r="D18269" t="str">
        <f>"INV525009076"</f>
        <v>INV525009076</v>
      </c>
      <c r="E18269" t="s">
        <v>306</v>
      </c>
      <c r="F18269" t="s">
        <v>308</v>
      </c>
      <c r="G18269">
        <v>140.81</v>
      </c>
      <c r="H18269">
        <v>250120</v>
      </c>
      <c r="I18269">
        <v>4510</v>
      </c>
      <c r="J18269" t="s">
        <v>240</v>
      </c>
      <c r="K18269">
        <v>140.81</v>
      </c>
      <c r="L18269">
        <v>17.29</v>
      </c>
      <c r="M18269">
        <v>13502</v>
      </c>
      <c r="N18269" t="s">
        <v>302</v>
      </c>
      <c r="O18269">
        <v>250124</v>
      </c>
      <c r="P18269">
        <v>123.52</v>
      </c>
    </row>
    <row r="18270" spans="1:16" x14ac:dyDescent="0.25">
      <c r="A18270" t="s">
        <v>3296</v>
      </c>
      <c r="B18270" t="s">
        <v>2931</v>
      </c>
      <c r="C18270">
        <v>599</v>
      </c>
      <c r="D18270" t="str">
        <f>"INV525004487"</f>
        <v>INV525004487</v>
      </c>
      <c r="E18270" t="s">
        <v>306</v>
      </c>
      <c r="F18270" t="s">
        <v>308</v>
      </c>
      <c r="G18270">
        <v>248.8</v>
      </c>
      <c r="H18270">
        <v>250113</v>
      </c>
      <c r="I18270">
        <v>4510</v>
      </c>
      <c r="J18270" t="s">
        <v>240</v>
      </c>
      <c r="K18270">
        <v>378.88</v>
      </c>
      <c r="L18270">
        <v>30.55</v>
      </c>
      <c r="M18270">
        <v>11903</v>
      </c>
      <c r="N18270" t="s">
        <v>32</v>
      </c>
      <c r="O18270">
        <v>250124</v>
      </c>
      <c r="P18270">
        <v>218.25</v>
      </c>
    </row>
    <row r="18271" spans="1:16" x14ac:dyDescent="0.25">
      <c r="A18271" t="s">
        <v>3296</v>
      </c>
      <c r="B18271" t="s">
        <v>2931</v>
      </c>
      <c r="C18271">
        <v>599</v>
      </c>
      <c r="D18271" t="str">
        <f>"INV525004487"</f>
        <v>INV525004487</v>
      </c>
      <c r="E18271" t="s">
        <v>306</v>
      </c>
      <c r="F18271" t="s">
        <v>308</v>
      </c>
      <c r="G18271">
        <v>130.08000000000001</v>
      </c>
      <c r="H18271">
        <v>250113</v>
      </c>
      <c r="I18271">
        <v>4510</v>
      </c>
      <c r="J18271" t="s">
        <v>240</v>
      </c>
      <c r="K18271">
        <v>378.88</v>
      </c>
      <c r="L18271">
        <v>15.97</v>
      </c>
      <c r="M18271">
        <v>14321</v>
      </c>
      <c r="N18271" t="s">
        <v>72</v>
      </c>
      <c r="O18271">
        <v>250124</v>
      </c>
      <c r="P18271">
        <v>114.11</v>
      </c>
    </row>
    <row r="18272" spans="1:16" x14ac:dyDescent="0.25">
      <c r="A18272" t="s">
        <v>3296</v>
      </c>
      <c r="B18272" t="s">
        <v>2931</v>
      </c>
      <c r="C18272">
        <v>802</v>
      </c>
      <c r="D18272" t="str">
        <f>"INV525008979"</f>
        <v>INV525008979</v>
      </c>
      <c r="E18272" t="s">
        <v>306</v>
      </c>
      <c r="F18272" t="s">
        <v>308</v>
      </c>
      <c r="G18272">
        <v>61.52</v>
      </c>
      <c r="H18272">
        <v>250120</v>
      </c>
      <c r="I18272">
        <v>4510</v>
      </c>
      <c r="J18272" t="s">
        <v>240</v>
      </c>
      <c r="K18272">
        <v>61.52</v>
      </c>
      <c r="L18272">
        <v>7.56</v>
      </c>
      <c r="M18272">
        <v>14321</v>
      </c>
      <c r="N18272" t="s">
        <v>72</v>
      </c>
      <c r="O18272">
        <v>250129</v>
      </c>
      <c r="P18272">
        <v>53.96</v>
      </c>
    </row>
    <row r="18273" spans="1:16" x14ac:dyDescent="0.25">
      <c r="A18273" t="s">
        <v>3296</v>
      </c>
      <c r="B18273" t="s">
        <v>2931</v>
      </c>
      <c r="C18273">
        <v>832</v>
      </c>
      <c r="D18273" t="str">
        <f>"INV525014020"</f>
        <v>INV525014020</v>
      </c>
      <c r="E18273" t="s">
        <v>306</v>
      </c>
      <c r="F18273" t="s">
        <v>308</v>
      </c>
      <c r="G18273">
        <v>56.98</v>
      </c>
      <c r="H18273">
        <v>250127</v>
      </c>
      <c r="I18273">
        <v>4510</v>
      </c>
      <c r="J18273" t="s">
        <v>240</v>
      </c>
      <c r="K18273">
        <v>56.98</v>
      </c>
      <c r="L18273">
        <v>7</v>
      </c>
      <c r="M18273">
        <v>13202</v>
      </c>
      <c r="N18273" t="s">
        <v>601</v>
      </c>
      <c r="O18273">
        <v>250129</v>
      </c>
      <c r="P18273">
        <v>49.98</v>
      </c>
    </row>
    <row r="18274" spans="1:16" x14ac:dyDescent="0.25">
      <c r="A18274" t="s">
        <v>3296</v>
      </c>
      <c r="B18274" t="s">
        <v>2931</v>
      </c>
      <c r="C18274">
        <v>844</v>
      </c>
      <c r="D18274" t="str">
        <f>"INV525014116"</f>
        <v>INV525014116</v>
      </c>
      <c r="E18274" t="s">
        <v>306</v>
      </c>
      <c r="F18274" t="s">
        <v>308</v>
      </c>
      <c r="G18274">
        <v>319.26</v>
      </c>
      <c r="H18274">
        <v>250127</v>
      </c>
      <c r="I18274">
        <v>4510</v>
      </c>
      <c r="J18274" t="s">
        <v>240</v>
      </c>
      <c r="K18274">
        <v>319.26</v>
      </c>
      <c r="L18274">
        <v>39.21</v>
      </c>
      <c r="M18274">
        <v>17808</v>
      </c>
      <c r="N18274" t="s">
        <v>24</v>
      </c>
      <c r="O18274">
        <v>250129</v>
      </c>
      <c r="P18274">
        <v>280.05</v>
      </c>
    </row>
    <row r="18275" spans="1:16" x14ac:dyDescent="0.25">
      <c r="A18275" t="s">
        <v>3296</v>
      </c>
      <c r="B18275" t="s">
        <v>2931</v>
      </c>
      <c r="C18275">
        <v>845</v>
      </c>
      <c r="D18275" t="str">
        <f>"INV525014117"</f>
        <v>INV525014117</v>
      </c>
      <c r="E18275" t="s">
        <v>306</v>
      </c>
      <c r="F18275" t="s">
        <v>308</v>
      </c>
      <c r="G18275">
        <v>61.76</v>
      </c>
      <c r="H18275">
        <v>250127</v>
      </c>
      <c r="I18275">
        <v>4510</v>
      </c>
      <c r="J18275" t="s">
        <v>240</v>
      </c>
      <c r="K18275">
        <v>61.76</v>
      </c>
      <c r="L18275">
        <v>7.58</v>
      </c>
      <c r="M18275">
        <v>53222</v>
      </c>
      <c r="N18275" t="s">
        <v>41</v>
      </c>
      <c r="O18275">
        <v>250129</v>
      </c>
      <c r="P18275">
        <v>54.18</v>
      </c>
    </row>
    <row r="18276" spans="1:16" x14ac:dyDescent="0.25">
      <c r="A18276" t="s">
        <v>3296</v>
      </c>
      <c r="B18276" t="s">
        <v>2931</v>
      </c>
      <c r="C18276">
        <v>884</v>
      </c>
      <c r="D18276" t="str">
        <f>"INV525014118"</f>
        <v>INV525014118</v>
      </c>
      <c r="E18276" t="s">
        <v>306</v>
      </c>
      <c r="F18276" t="s">
        <v>308</v>
      </c>
      <c r="G18276">
        <v>167.88</v>
      </c>
      <c r="H18276">
        <v>250127</v>
      </c>
      <c r="I18276">
        <v>4510</v>
      </c>
      <c r="J18276" t="s">
        <v>240</v>
      </c>
      <c r="K18276">
        <v>167.88</v>
      </c>
      <c r="L18276">
        <v>20.62</v>
      </c>
      <c r="M18276">
        <v>11903</v>
      </c>
      <c r="N18276" t="s">
        <v>32</v>
      </c>
      <c r="O18276">
        <v>250130</v>
      </c>
      <c r="P18276">
        <v>147.26</v>
      </c>
    </row>
    <row r="18277" spans="1:16" x14ac:dyDescent="0.25">
      <c r="A18277" t="s">
        <v>3296</v>
      </c>
      <c r="B18277" t="s">
        <v>2931</v>
      </c>
      <c r="C18277">
        <v>1217</v>
      </c>
      <c r="D18277" t="str">
        <f>"INV525017792"</f>
        <v>INV525017792</v>
      </c>
      <c r="E18277" t="s">
        <v>306</v>
      </c>
      <c r="F18277" t="s">
        <v>308</v>
      </c>
      <c r="G18277">
        <v>23.32</v>
      </c>
      <c r="H18277">
        <v>250131</v>
      </c>
      <c r="I18277">
        <v>4510</v>
      </c>
      <c r="J18277" t="s">
        <v>240</v>
      </c>
      <c r="K18277">
        <v>23.32</v>
      </c>
      <c r="L18277">
        <v>2.86</v>
      </c>
      <c r="M18277">
        <v>13202</v>
      </c>
      <c r="N18277" t="s">
        <v>601</v>
      </c>
      <c r="O18277">
        <v>250205</v>
      </c>
      <c r="P18277">
        <v>20.46</v>
      </c>
    </row>
    <row r="18278" spans="1:16" x14ac:dyDescent="0.25">
      <c r="A18278" t="s">
        <v>3296</v>
      </c>
      <c r="B18278" t="s">
        <v>2931</v>
      </c>
      <c r="C18278">
        <v>1596</v>
      </c>
      <c r="D18278" t="str">
        <f>"INV525014119"</f>
        <v>INV525014119</v>
      </c>
      <c r="E18278" t="s">
        <v>306</v>
      </c>
      <c r="F18278" t="s">
        <v>308</v>
      </c>
      <c r="G18278">
        <v>157.86000000000001</v>
      </c>
      <c r="H18278">
        <v>250127</v>
      </c>
      <c r="I18278">
        <v>4510</v>
      </c>
      <c r="J18278" t="s">
        <v>240</v>
      </c>
      <c r="K18278">
        <v>157.86000000000001</v>
      </c>
      <c r="L18278">
        <v>19.39</v>
      </c>
      <c r="M18278">
        <v>13402</v>
      </c>
      <c r="N18278" t="s">
        <v>307</v>
      </c>
      <c r="O18278">
        <v>250211</v>
      </c>
      <c r="P18278">
        <v>138.47</v>
      </c>
    </row>
    <row r="18279" spans="1:16" x14ac:dyDescent="0.25">
      <c r="A18279" t="s">
        <v>3296</v>
      </c>
      <c r="B18279" t="s">
        <v>2931</v>
      </c>
      <c r="C18279">
        <v>1758</v>
      </c>
      <c r="D18279" t="str">
        <f>"CM825005779 "</f>
        <v xml:space="preserve">CM825005779 </v>
      </c>
      <c r="E18279" t="s">
        <v>306</v>
      </c>
      <c r="F18279" t="s">
        <v>308</v>
      </c>
      <c r="G18279">
        <v>-68.86</v>
      </c>
      <c r="H18279">
        <v>250213</v>
      </c>
      <c r="I18279">
        <v>4510</v>
      </c>
      <c r="J18279" t="s">
        <v>240</v>
      </c>
      <c r="K18279">
        <v>-68.86</v>
      </c>
      <c r="L18279">
        <v>-8.4600000000000009</v>
      </c>
      <c r="M18279">
        <v>13402</v>
      </c>
      <c r="N18279" t="s">
        <v>307</v>
      </c>
      <c r="O18279">
        <v>250213</v>
      </c>
      <c r="P18279">
        <v>-60.4</v>
      </c>
    </row>
    <row r="18280" spans="1:16" x14ac:dyDescent="0.25">
      <c r="A18280" t="s">
        <v>3296</v>
      </c>
      <c r="B18280" t="s">
        <v>2931</v>
      </c>
      <c r="C18280">
        <v>1878</v>
      </c>
      <c r="D18280" t="str">
        <f>"INV525022929"</f>
        <v>INV525022929</v>
      </c>
      <c r="E18280" t="s">
        <v>306</v>
      </c>
      <c r="F18280" t="s">
        <v>308</v>
      </c>
      <c r="G18280">
        <v>23.32</v>
      </c>
      <c r="H18280">
        <v>250210</v>
      </c>
      <c r="I18280">
        <v>4510</v>
      </c>
      <c r="J18280" t="s">
        <v>240</v>
      </c>
      <c r="K18280">
        <v>23.32</v>
      </c>
      <c r="L18280">
        <v>2.86</v>
      </c>
      <c r="M18280">
        <v>13202</v>
      </c>
      <c r="N18280" t="s">
        <v>601</v>
      </c>
      <c r="O18280">
        <v>250214</v>
      </c>
      <c r="P18280">
        <v>20.46</v>
      </c>
    </row>
    <row r="18281" spans="1:16" x14ac:dyDescent="0.25">
      <c r="A18281" t="s">
        <v>3296</v>
      </c>
      <c r="B18281" t="s">
        <v>2931</v>
      </c>
      <c r="C18281">
        <v>1897</v>
      </c>
      <c r="D18281" t="str">
        <f>"INV525023016"</f>
        <v>INV525023016</v>
      </c>
      <c r="E18281" t="s">
        <v>306</v>
      </c>
      <c r="F18281" t="s">
        <v>308</v>
      </c>
      <c r="G18281">
        <v>783.55</v>
      </c>
      <c r="H18281">
        <v>250210</v>
      </c>
      <c r="I18281">
        <v>4510</v>
      </c>
      <c r="J18281" t="s">
        <v>240</v>
      </c>
      <c r="K18281">
        <v>1702.72</v>
      </c>
      <c r="L18281">
        <v>96.23</v>
      </c>
      <c r="M18281">
        <v>17808</v>
      </c>
      <c r="N18281" t="s">
        <v>24</v>
      </c>
      <c r="O18281">
        <v>250214</v>
      </c>
      <c r="P18281">
        <v>687.32</v>
      </c>
    </row>
    <row r="18282" spans="1:16" x14ac:dyDescent="0.25">
      <c r="A18282" t="s">
        <v>3296</v>
      </c>
      <c r="B18282" t="s">
        <v>2931</v>
      </c>
      <c r="C18282">
        <v>2368</v>
      </c>
      <c r="D18282" t="str">
        <f>"INV525027371"</f>
        <v>INV525027371</v>
      </c>
      <c r="E18282" t="s">
        <v>306</v>
      </c>
      <c r="F18282" t="s">
        <v>308</v>
      </c>
      <c r="G18282">
        <v>34.92</v>
      </c>
      <c r="H18282">
        <v>250217</v>
      </c>
      <c r="I18282">
        <v>4510</v>
      </c>
      <c r="J18282" t="s">
        <v>240</v>
      </c>
      <c r="K18282">
        <v>34.92</v>
      </c>
      <c r="L18282">
        <v>4.29</v>
      </c>
      <c r="M18282">
        <v>13202</v>
      </c>
      <c r="N18282" t="s">
        <v>601</v>
      </c>
      <c r="O18282">
        <v>250224</v>
      </c>
      <c r="P18282">
        <v>30.63</v>
      </c>
    </row>
    <row r="18283" spans="1:16" x14ac:dyDescent="0.25">
      <c r="A18283" t="s">
        <v>3296</v>
      </c>
      <c r="B18283" t="s">
        <v>2931</v>
      </c>
      <c r="C18283">
        <v>2422</v>
      </c>
      <c r="D18283" t="str">
        <f>"INV525031168"</f>
        <v>INV525031168</v>
      </c>
      <c r="E18283" t="s">
        <v>306</v>
      </c>
      <c r="F18283" t="s">
        <v>308</v>
      </c>
      <c r="G18283">
        <v>44.25</v>
      </c>
      <c r="H18283">
        <v>250224</v>
      </c>
      <c r="I18283">
        <v>4510</v>
      </c>
      <c r="J18283" t="s">
        <v>240</v>
      </c>
      <c r="K18283">
        <v>44.25</v>
      </c>
      <c r="L18283">
        <v>5.43</v>
      </c>
      <c r="M18283">
        <v>13202</v>
      </c>
      <c r="N18283" t="s">
        <v>601</v>
      </c>
      <c r="O18283">
        <v>250225</v>
      </c>
      <c r="P18283">
        <v>38.82</v>
      </c>
    </row>
    <row r="18284" spans="1:16" x14ac:dyDescent="0.25">
      <c r="A18284" t="s">
        <v>3296</v>
      </c>
      <c r="B18284" t="s">
        <v>2931</v>
      </c>
      <c r="C18284">
        <v>3340</v>
      </c>
      <c r="D18284" t="str">
        <f>"INV525035311"</f>
        <v>INV525035311</v>
      </c>
      <c r="E18284" t="s">
        <v>306</v>
      </c>
      <c r="F18284" t="s">
        <v>308</v>
      </c>
      <c r="G18284">
        <v>13.17</v>
      </c>
      <c r="H18284">
        <v>250228</v>
      </c>
      <c r="I18284">
        <v>4510</v>
      </c>
      <c r="J18284" t="s">
        <v>240</v>
      </c>
      <c r="K18284">
        <v>13.17</v>
      </c>
      <c r="L18284">
        <v>1.62</v>
      </c>
      <c r="M18284">
        <v>13202</v>
      </c>
      <c r="N18284" t="s">
        <v>601</v>
      </c>
      <c r="O18284">
        <v>250318</v>
      </c>
      <c r="P18284">
        <v>11.55</v>
      </c>
    </row>
    <row r="18285" spans="1:16" x14ac:dyDescent="0.25">
      <c r="A18285" t="s">
        <v>3296</v>
      </c>
      <c r="B18285" t="s">
        <v>2931</v>
      </c>
      <c r="C18285">
        <v>3693</v>
      </c>
      <c r="D18285" t="str">
        <f>"INV525039377"</f>
        <v>INV525039377</v>
      </c>
      <c r="E18285" t="s">
        <v>306</v>
      </c>
      <c r="F18285" t="s">
        <v>308</v>
      </c>
      <c r="G18285">
        <v>58.98</v>
      </c>
      <c r="H18285">
        <v>250310</v>
      </c>
      <c r="I18285">
        <v>4510</v>
      </c>
      <c r="J18285" t="s">
        <v>240</v>
      </c>
      <c r="K18285">
        <v>58.98</v>
      </c>
      <c r="L18285">
        <v>7.24</v>
      </c>
      <c r="M18285">
        <v>13202</v>
      </c>
      <c r="N18285" t="s">
        <v>601</v>
      </c>
      <c r="O18285">
        <v>250328</v>
      </c>
      <c r="P18285">
        <v>51.74</v>
      </c>
    </row>
    <row r="18286" spans="1:16" x14ac:dyDescent="0.25">
      <c r="A18286" t="s">
        <v>3296</v>
      </c>
      <c r="B18286" t="s">
        <v>2931</v>
      </c>
      <c r="C18286">
        <v>4030</v>
      </c>
      <c r="D18286" t="str">
        <f>"INV525043298"</f>
        <v>INV525043298</v>
      </c>
      <c r="E18286" t="s">
        <v>306</v>
      </c>
      <c r="F18286" t="s">
        <v>308</v>
      </c>
      <c r="G18286">
        <v>38.65</v>
      </c>
      <c r="H18286">
        <v>250317</v>
      </c>
      <c r="I18286">
        <v>4510</v>
      </c>
      <c r="J18286" t="s">
        <v>240</v>
      </c>
      <c r="K18286">
        <v>38.65</v>
      </c>
      <c r="L18286">
        <v>4.75</v>
      </c>
      <c r="M18286">
        <v>13202</v>
      </c>
      <c r="N18286" t="s">
        <v>601</v>
      </c>
      <c r="O18286">
        <v>250407</v>
      </c>
      <c r="P18286">
        <v>33.9</v>
      </c>
    </row>
    <row r="18287" spans="1:16" x14ac:dyDescent="0.25">
      <c r="A18287" t="s">
        <v>3296</v>
      </c>
      <c r="B18287" t="s">
        <v>2931</v>
      </c>
      <c r="C18287">
        <v>4448</v>
      </c>
      <c r="D18287" t="str">
        <f>"INV525046097"</f>
        <v>INV525046097</v>
      </c>
      <c r="E18287" t="s">
        <v>306</v>
      </c>
      <c r="F18287" t="s">
        <v>308</v>
      </c>
      <c r="G18287">
        <v>96.83</v>
      </c>
      <c r="H18287">
        <v>250324</v>
      </c>
      <c r="I18287">
        <v>4510</v>
      </c>
      <c r="J18287" t="s">
        <v>240</v>
      </c>
      <c r="K18287">
        <v>96.83</v>
      </c>
      <c r="L18287">
        <v>11.89</v>
      </c>
      <c r="M18287">
        <v>13502</v>
      </c>
      <c r="N18287" t="s">
        <v>302</v>
      </c>
      <c r="O18287">
        <v>250411</v>
      </c>
      <c r="P18287">
        <v>84.94</v>
      </c>
    </row>
    <row r="18288" spans="1:16" x14ac:dyDescent="0.25">
      <c r="A18288" t="s">
        <v>3296</v>
      </c>
      <c r="B18288" t="s">
        <v>2931</v>
      </c>
      <c r="C18288">
        <v>4653</v>
      </c>
      <c r="D18288" t="str">
        <f>"INV525043337"</f>
        <v>INV525043337</v>
      </c>
      <c r="E18288" t="s">
        <v>306</v>
      </c>
      <c r="F18288" t="s">
        <v>308</v>
      </c>
      <c r="G18288">
        <v>165.43</v>
      </c>
      <c r="H18288">
        <v>250317</v>
      </c>
      <c r="I18288">
        <v>4510</v>
      </c>
      <c r="J18288" t="s">
        <v>240</v>
      </c>
      <c r="K18288">
        <v>165.43</v>
      </c>
      <c r="L18288">
        <v>20.32</v>
      </c>
      <c r="M18288">
        <v>16121</v>
      </c>
      <c r="N18288" t="s">
        <v>127</v>
      </c>
      <c r="O18288">
        <v>250414</v>
      </c>
      <c r="P18288">
        <v>145.11000000000001</v>
      </c>
    </row>
    <row r="18289" spans="1:16" x14ac:dyDescent="0.25">
      <c r="A18289" t="s">
        <v>3296</v>
      </c>
      <c r="B18289" t="s">
        <v>2931</v>
      </c>
      <c r="C18289">
        <v>4704</v>
      </c>
      <c r="D18289" t="str">
        <f>"INV525043336"</f>
        <v>INV525043336</v>
      </c>
      <c r="E18289" t="s">
        <v>306</v>
      </c>
      <c r="F18289" t="s">
        <v>308</v>
      </c>
      <c r="G18289">
        <v>31.08</v>
      </c>
      <c r="H18289">
        <v>250317</v>
      </c>
      <c r="I18289">
        <v>4510</v>
      </c>
      <c r="J18289" t="s">
        <v>240</v>
      </c>
      <c r="K18289">
        <v>31.08</v>
      </c>
      <c r="L18289">
        <v>3.82</v>
      </c>
      <c r="M18289">
        <v>13402</v>
      </c>
      <c r="N18289" t="s">
        <v>307</v>
      </c>
      <c r="O18289">
        <v>250414</v>
      </c>
      <c r="P18289">
        <v>27.26</v>
      </c>
    </row>
    <row r="18290" spans="1:16" x14ac:dyDescent="0.25">
      <c r="A18290" t="s">
        <v>3296</v>
      </c>
      <c r="B18290" t="s">
        <v>2931</v>
      </c>
      <c r="C18290">
        <v>4837</v>
      </c>
      <c r="D18290" t="str">
        <f>"INV525051507"</f>
        <v>INV525051507</v>
      </c>
      <c r="E18290" t="s">
        <v>306</v>
      </c>
      <c r="F18290" t="s">
        <v>308</v>
      </c>
      <c r="G18290">
        <v>48.75</v>
      </c>
      <c r="H18290">
        <v>250331</v>
      </c>
      <c r="I18290">
        <v>4510</v>
      </c>
      <c r="J18290" t="s">
        <v>240</v>
      </c>
      <c r="K18290">
        <v>48.75</v>
      </c>
      <c r="L18290">
        <v>5.99</v>
      </c>
      <c r="M18290">
        <v>13502</v>
      </c>
      <c r="N18290" t="s">
        <v>302</v>
      </c>
      <c r="O18290">
        <v>250415</v>
      </c>
      <c r="P18290">
        <v>42.76</v>
      </c>
    </row>
    <row r="18291" spans="1:16" x14ac:dyDescent="0.25">
      <c r="A18291" t="s">
        <v>3296</v>
      </c>
      <c r="B18291" t="s">
        <v>2931</v>
      </c>
      <c r="C18291">
        <v>4839</v>
      </c>
      <c r="D18291" t="str">
        <f>"INV525051508"</f>
        <v>INV525051508</v>
      </c>
      <c r="E18291" t="s">
        <v>306</v>
      </c>
      <c r="F18291" t="s">
        <v>308</v>
      </c>
      <c r="G18291">
        <v>83.56</v>
      </c>
      <c r="H18291">
        <v>250331</v>
      </c>
      <c r="I18291">
        <v>4510</v>
      </c>
      <c r="J18291" t="s">
        <v>240</v>
      </c>
      <c r="K18291">
        <v>342.87</v>
      </c>
      <c r="L18291">
        <v>10.26</v>
      </c>
      <c r="M18291">
        <v>17807</v>
      </c>
      <c r="N18291" t="s">
        <v>23</v>
      </c>
      <c r="O18291">
        <v>250415</v>
      </c>
      <c r="P18291">
        <v>73.3</v>
      </c>
    </row>
    <row r="18292" spans="1:16" x14ac:dyDescent="0.25">
      <c r="A18292" t="s">
        <v>3296</v>
      </c>
      <c r="B18292" t="s">
        <v>2931</v>
      </c>
      <c r="C18292">
        <v>4839</v>
      </c>
      <c r="D18292" t="str">
        <f>"INV525051508"</f>
        <v>INV525051508</v>
      </c>
      <c r="E18292" t="s">
        <v>306</v>
      </c>
      <c r="F18292" t="s">
        <v>308</v>
      </c>
      <c r="G18292">
        <v>259.31</v>
      </c>
      <c r="H18292">
        <v>250331</v>
      </c>
      <c r="I18292">
        <v>4510</v>
      </c>
      <c r="J18292" t="s">
        <v>240</v>
      </c>
      <c r="K18292">
        <v>342.87</v>
      </c>
      <c r="L18292">
        <v>31.85</v>
      </c>
      <c r="M18292">
        <v>17808</v>
      </c>
      <c r="N18292" t="s">
        <v>24</v>
      </c>
      <c r="O18292">
        <v>250415</v>
      </c>
      <c r="P18292">
        <v>227.46</v>
      </c>
    </row>
    <row r="18293" spans="1:16" x14ac:dyDescent="0.25">
      <c r="A18293" t="s">
        <v>3296</v>
      </c>
      <c r="B18293" t="s">
        <v>2931</v>
      </c>
      <c r="C18293">
        <v>4989</v>
      </c>
      <c r="D18293" t="str">
        <f>"INV525046139"</f>
        <v>INV525046139</v>
      </c>
      <c r="E18293" t="s">
        <v>306</v>
      </c>
      <c r="F18293" t="s">
        <v>308</v>
      </c>
      <c r="G18293">
        <v>108.82</v>
      </c>
      <c r="H18293">
        <v>250324</v>
      </c>
      <c r="I18293">
        <v>4510</v>
      </c>
      <c r="J18293" t="s">
        <v>240</v>
      </c>
      <c r="K18293">
        <v>108.82</v>
      </c>
      <c r="L18293">
        <v>13.36</v>
      </c>
      <c r="M18293">
        <v>11903</v>
      </c>
      <c r="N18293" t="s">
        <v>32</v>
      </c>
      <c r="O18293">
        <v>250416</v>
      </c>
      <c r="P18293">
        <v>95.46</v>
      </c>
    </row>
    <row r="18294" spans="1:16" x14ac:dyDescent="0.25">
      <c r="A18294" t="s">
        <v>3296</v>
      </c>
      <c r="B18294" t="s">
        <v>2931</v>
      </c>
      <c r="C18294">
        <v>5188</v>
      </c>
      <c r="D18294" t="str">
        <f>"INV525056395"</f>
        <v>INV525056395</v>
      </c>
      <c r="E18294" t="s">
        <v>306</v>
      </c>
      <c r="F18294" t="s">
        <v>308</v>
      </c>
      <c r="G18294">
        <v>120</v>
      </c>
      <c r="H18294">
        <v>250409</v>
      </c>
      <c r="I18294">
        <v>4510</v>
      </c>
      <c r="J18294" t="s">
        <v>240</v>
      </c>
      <c r="K18294">
        <v>120</v>
      </c>
      <c r="L18294">
        <v>14.74</v>
      </c>
      <c r="M18294">
        <v>49702</v>
      </c>
      <c r="N18294" t="s">
        <v>112</v>
      </c>
      <c r="O18294">
        <v>250417</v>
      </c>
      <c r="P18294">
        <v>105.26</v>
      </c>
    </row>
    <row r="18295" spans="1:16" x14ac:dyDescent="0.25">
      <c r="A18295" t="s">
        <v>3296</v>
      </c>
      <c r="B18295" t="s">
        <v>2931</v>
      </c>
      <c r="C18295">
        <v>5349</v>
      </c>
      <c r="D18295" t="str">
        <f>"INV525055311"</f>
        <v>INV525055311</v>
      </c>
      <c r="E18295" t="s">
        <v>306</v>
      </c>
      <c r="F18295" t="s">
        <v>308</v>
      </c>
      <c r="G18295">
        <v>59.28</v>
      </c>
      <c r="H18295">
        <v>250407</v>
      </c>
      <c r="I18295">
        <v>4510</v>
      </c>
      <c r="J18295" t="s">
        <v>240</v>
      </c>
      <c r="K18295">
        <v>59.28</v>
      </c>
      <c r="L18295">
        <v>7.28</v>
      </c>
      <c r="M18295">
        <v>13202</v>
      </c>
      <c r="N18295" t="s">
        <v>601</v>
      </c>
      <c r="O18295">
        <v>250423</v>
      </c>
      <c r="P18295">
        <v>52</v>
      </c>
    </row>
    <row r="18296" spans="1:16" x14ac:dyDescent="0.25">
      <c r="A18296" t="s">
        <v>3296</v>
      </c>
      <c r="B18296" t="s">
        <v>2931</v>
      </c>
      <c r="C18296">
        <v>5619</v>
      </c>
      <c r="D18296" t="str">
        <f>"INV525060184"</f>
        <v>INV525060184</v>
      </c>
      <c r="E18296" t="s">
        <v>306</v>
      </c>
      <c r="F18296" t="s">
        <v>308</v>
      </c>
      <c r="G18296">
        <v>89.93</v>
      </c>
      <c r="H18296">
        <v>250414</v>
      </c>
      <c r="I18296">
        <v>4510</v>
      </c>
      <c r="J18296" t="s">
        <v>240</v>
      </c>
      <c r="K18296">
        <v>89.93</v>
      </c>
      <c r="L18296">
        <v>11.04</v>
      </c>
      <c r="M18296">
        <v>13202</v>
      </c>
      <c r="N18296" t="s">
        <v>601</v>
      </c>
      <c r="O18296">
        <v>250425</v>
      </c>
      <c r="P18296">
        <v>78.89</v>
      </c>
    </row>
    <row r="18297" spans="1:16" x14ac:dyDescent="0.25">
      <c r="A18297" t="s">
        <v>3296</v>
      </c>
      <c r="B18297" t="s">
        <v>2931</v>
      </c>
      <c r="C18297">
        <v>6200</v>
      </c>
      <c r="D18297" t="str">
        <f>"INV525068768"</f>
        <v>INV525068768</v>
      </c>
      <c r="E18297" t="s">
        <v>306</v>
      </c>
      <c r="F18297" t="s">
        <v>308</v>
      </c>
      <c r="G18297">
        <v>90.14</v>
      </c>
      <c r="H18297">
        <v>250428</v>
      </c>
      <c r="I18297">
        <v>4510</v>
      </c>
      <c r="J18297" t="s">
        <v>240</v>
      </c>
      <c r="K18297">
        <v>90.14</v>
      </c>
      <c r="L18297">
        <v>11.07</v>
      </c>
      <c r="M18297">
        <v>13202</v>
      </c>
      <c r="N18297" t="s">
        <v>601</v>
      </c>
      <c r="O18297">
        <v>250509</v>
      </c>
      <c r="P18297">
        <v>79.069999999999993</v>
      </c>
    </row>
    <row r="18298" spans="1:16" x14ac:dyDescent="0.25">
      <c r="A18298" t="s">
        <v>3296</v>
      </c>
      <c r="B18298" t="s">
        <v>2931</v>
      </c>
      <c r="C18298">
        <v>6323</v>
      </c>
      <c r="D18298" t="str">
        <f>"INV525071353"</f>
        <v>INV525071353</v>
      </c>
      <c r="E18298" t="s">
        <v>306</v>
      </c>
      <c r="F18298" t="s">
        <v>308</v>
      </c>
      <c r="G18298">
        <v>38.76</v>
      </c>
      <c r="H18298">
        <v>250430</v>
      </c>
      <c r="I18298">
        <v>4510</v>
      </c>
      <c r="J18298" t="s">
        <v>240</v>
      </c>
      <c r="K18298">
        <v>38.76</v>
      </c>
      <c r="L18298">
        <v>4.76</v>
      </c>
      <c r="M18298">
        <v>13202</v>
      </c>
      <c r="N18298" t="s">
        <v>601</v>
      </c>
      <c r="O18298">
        <v>250512</v>
      </c>
      <c r="P18298">
        <v>34</v>
      </c>
    </row>
    <row r="18299" spans="1:16" x14ac:dyDescent="0.25">
      <c r="A18299" t="s">
        <v>3296</v>
      </c>
      <c r="B18299" t="s">
        <v>2931</v>
      </c>
      <c r="C18299">
        <v>6334</v>
      </c>
      <c r="D18299" t="str">
        <f>"INV525064435"</f>
        <v>INV525064435</v>
      </c>
      <c r="E18299" t="s">
        <v>306</v>
      </c>
      <c r="F18299" t="s">
        <v>308</v>
      </c>
      <c r="G18299">
        <v>85.44</v>
      </c>
      <c r="H18299">
        <v>250421</v>
      </c>
      <c r="I18299">
        <v>4510</v>
      </c>
      <c r="J18299" t="s">
        <v>240</v>
      </c>
      <c r="K18299">
        <v>430.67</v>
      </c>
      <c r="L18299">
        <v>10.49</v>
      </c>
      <c r="M18299">
        <v>44222</v>
      </c>
      <c r="N18299" t="s">
        <v>96</v>
      </c>
      <c r="O18299">
        <v>250512</v>
      </c>
      <c r="P18299">
        <v>74.95</v>
      </c>
    </row>
    <row r="18300" spans="1:16" x14ac:dyDescent="0.25">
      <c r="A18300" t="s">
        <v>3296</v>
      </c>
      <c r="B18300" t="s">
        <v>2931</v>
      </c>
      <c r="C18300">
        <v>6580</v>
      </c>
      <c r="D18300" t="str">
        <f>"INV525068692"</f>
        <v>INV525068692</v>
      </c>
      <c r="E18300" t="s">
        <v>306</v>
      </c>
      <c r="F18300" t="s">
        <v>308</v>
      </c>
      <c r="G18300">
        <v>570.38</v>
      </c>
      <c r="H18300">
        <v>250428</v>
      </c>
      <c r="I18300">
        <v>4510</v>
      </c>
      <c r="J18300" t="s">
        <v>240</v>
      </c>
      <c r="K18300">
        <v>570.38</v>
      </c>
      <c r="L18300">
        <v>115.89</v>
      </c>
      <c r="M18300">
        <v>59702</v>
      </c>
      <c r="N18300" t="s">
        <v>45</v>
      </c>
      <c r="O18300">
        <v>250514</v>
      </c>
      <c r="P18300">
        <v>454.49</v>
      </c>
    </row>
    <row r="18301" spans="1:16" x14ac:dyDescent="0.25">
      <c r="A18301" t="s">
        <v>3296</v>
      </c>
      <c r="B18301" t="s">
        <v>2931</v>
      </c>
      <c r="C18301">
        <v>6935</v>
      </c>
      <c r="D18301" t="str">
        <f>"INV525076076"</f>
        <v>INV525076076</v>
      </c>
      <c r="E18301" t="s">
        <v>306</v>
      </c>
      <c r="F18301" t="s">
        <v>308</v>
      </c>
      <c r="G18301">
        <v>94.2</v>
      </c>
      <c r="H18301">
        <v>250512</v>
      </c>
      <c r="I18301">
        <v>4510</v>
      </c>
      <c r="J18301" t="s">
        <v>240</v>
      </c>
      <c r="K18301">
        <v>94.2</v>
      </c>
      <c r="L18301">
        <v>11.57</v>
      </c>
      <c r="M18301">
        <v>13202</v>
      </c>
      <c r="N18301" t="s">
        <v>601</v>
      </c>
      <c r="O18301">
        <v>250520</v>
      </c>
      <c r="P18301">
        <v>82.63</v>
      </c>
    </row>
    <row r="18302" spans="1:16" x14ac:dyDescent="0.25">
      <c r="A18302" t="s">
        <v>3296</v>
      </c>
      <c r="B18302" t="s">
        <v>2931</v>
      </c>
      <c r="C18302">
        <v>7776</v>
      </c>
      <c r="D18302" t="str">
        <f>"INV525076108"</f>
        <v>INV525076108</v>
      </c>
      <c r="E18302" t="s">
        <v>306</v>
      </c>
      <c r="F18302" t="s">
        <v>308</v>
      </c>
      <c r="G18302">
        <v>1328.72</v>
      </c>
      <c r="H18302">
        <v>250512</v>
      </c>
      <c r="I18302">
        <v>4510</v>
      </c>
      <c r="J18302" t="s">
        <v>240</v>
      </c>
      <c r="K18302">
        <v>1328.72</v>
      </c>
      <c r="L18302">
        <v>163.18</v>
      </c>
      <c r="M18302">
        <v>14321</v>
      </c>
      <c r="N18302" t="s">
        <v>72</v>
      </c>
      <c r="O18302">
        <v>250609</v>
      </c>
      <c r="P18302">
        <v>1165.54</v>
      </c>
    </row>
    <row r="18303" spans="1:16" x14ac:dyDescent="0.25">
      <c r="A18303" t="s">
        <v>3296</v>
      </c>
      <c r="B18303" t="s">
        <v>2931</v>
      </c>
      <c r="C18303">
        <v>8087</v>
      </c>
      <c r="D18303" t="str">
        <f>"INV525086713"</f>
        <v>INV525086713</v>
      </c>
      <c r="E18303" t="s">
        <v>306</v>
      </c>
      <c r="F18303" t="s">
        <v>308</v>
      </c>
      <c r="G18303">
        <v>56.98</v>
      </c>
      <c r="H18303">
        <v>250526</v>
      </c>
      <c r="I18303">
        <v>4510</v>
      </c>
      <c r="J18303" t="s">
        <v>240</v>
      </c>
      <c r="K18303">
        <v>56.98</v>
      </c>
      <c r="L18303">
        <v>7</v>
      </c>
      <c r="M18303">
        <v>13202</v>
      </c>
      <c r="N18303" t="s">
        <v>601</v>
      </c>
      <c r="O18303">
        <v>250611</v>
      </c>
      <c r="P18303">
        <v>49.98</v>
      </c>
    </row>
    <row r="18304" spans="1:16" x14ac:dyDescent="0.25">
      <c r="A18304" t="s">
        <v>3296</v>
      </c>
      <c r="B18304" t="s">
        <v>2931</v>
      </c>
      <c r="C18304">
        <v>8114</v>
      </c>
      <c r="D18304" t="str">
        <f>"INV525086712"</f>
        <v>INV525086712</v>
      </c>
      <c r="E18304" t="s">
        <v>306</v>
      </c>
      <c r="F18304" t="s">
        <v>308</v>
      </c>
      <c r="G18304">
        <v>239.07</v>
      </c>
      <c r="H18304">
        <v>250526</v>
      </c>
      <c r="I18304">
        <v>4510</v>
      </c>
      <c r="J18304" t="s">
        <v>240</v>
      </c>
      <c r="K18304">
        <v>239.07</v>
      </c>
      <c r="L18304">
        <v>29.36</v>
      </c>
      <c r="M18304">
        <v>13502</v>
      </c>
      <c r="N18304" t="s">
        <v>302</v>
      </c>
      <c r="O18304">
        <v>250611</v>
      </c>
      <c r="P18304">
        <v>209.71</v>
      </c>
    </row>
    <row r="18305" spans="1:16" x14ac:dyDescent="0.25">
      <c r="A18305" t="s">
        <v>3296</v>
      </c>
      <c r="B18305" t="s">
        <v>2931</v>
      </c>
      <c r="C18305">
        <v>8271</v>
      </c>
      <c r="D18305" t="str">
        <f>"INV525081651"</f>
        <v>INV525081651</v>
      </c>
      <c r="E18305" t="s">
        <v>306</v>
      </c>
      <c r="F18305" t="s">
        <v>308</v>
      </c>
      <c r="G18305">
        <v>25.65</v>
      </c>
      <c r="H18305">
        <v>250519</v>
      </c>
      <c r="I18305">
        <v>4510</v>
      </c>
      <c r="J18305" t="s">
        <v>240</v>
      </c>
      <c r="K18305">
        <v>25.65</v>
      </c>
      <c r="L18305">
        <v>3.15</v>
      </c>
      <c r="M18305">
        <v>13402</v>
      </c>
      <c r="N18305" t="s">
        <v>307</v>
      </c>
      <c r="O18305">
        <v>250612</v>
      </c>
      <c r="P18305">
        <v>22.5</v>
      </c>
    </row>
    <row r="18306" spans="1:16" x14ac:dyDescent="0.25">
      <c r="A18306" t="s">
        <v>3296</v>
      </c>
      <c r="B18306" t="s">
        <v>2931</v>
      </c>
      <c r="C18306">
        <v>8438</v>
      </c>
      <c r="D18306" t="str">
        <f>"INV525090794"</f>
        <v>INV525090794</v>
      </c>
      <c r="E18306" t="s">
        <v>306</v>
      </c>
      <c r="F18306" t="s">
        <v>308</v>
      </c>
      <c r="G18306">
        <v>310.24</v>
      </c>
      <c r="H18306">
        <v>250531</v>
      </c>
      <c r="I18306">
        <v>4510</v>
      </c>
      <c r="J18306" t="s">
        <v>240</v>
      </c>
      <c r="K18306">
        <v>310.24</v>
      </c>
      <c r="L18306">
        <v>38.1</v>
      </c>
      <c r="M18306">
        <v>13502</v>
      </c>
      <c r="N18306" t="s">
        <v>302</v>
      </c>
      <c r="O18306">
        <v>250613</v>
      </c>
      <c r="P18306">
        <v>272.14</v>
      </c>
    </row>
    <row r="18307" spans="1:16" x14ac:dyDescent="0.25">
      <c r="A18307" t="s">
        <v>3296</v>
      </c>
      <c r="B18307" t="s">
        <v>2931</v>
      </c>
      <c r="C18307">
        <v>8508</v>
      </c>
      <c r="D18307" t="str">
        <f>"INV525090795"</f>
        <v>INV525090795</v>
      </c>
      <c r="E18307" t="s">
        <v>306</v>
      </c>
      <c r="F18307" t="s">
        <v>308</v>
      </c>
      <c r="G18307">
        <v>315.77999999999997</v>
      </c>
      <c r="H18307">
        <v>250531</v>
      </c>
      <c r="I18307">
        <v>4510</v>
      </c>
      <c r="J18307" t="s">
        <v>240</v>
      </c>
      <c r="K18307">
        <v>631.55999999999995</v>
      </c>
      <c r="L18307">
        <v>38.78</v>
      </c>
      <c r="M18307">
        <v>13402</v>
      </c>
      <c r="N18307" t="s">
        <v>307</v>
      </c>
      <c r="O18307">
        <v>250617</v>
      </c>
      <c r="P18307">
        <v>277</v>
      </c>
    </row>
    <row r="18308" spans="1:16" x14ac:dyDescent="0.25">
      <c r="A18308" t="s">
        <v>3296</v>
      </c>
      <c r="B18308" t="s">
        <v>2931</v>
      </c>
      <c r="C18308">
        <v>8658</v>
      </c>
      <c r="D18308" t="str">
        <f>"INV525090861"</f>
        <v>INV525090861</v>
      </c>
      <c r="E18308" t="s">
        <v>306</v>
      </c>
      <c r="F18308" t="s">
        <v>308</v>
      </c>
      <c r="G18308">
        <v>42.88</v>
      </c>
      <c r="H18308">
        <v>250531</v>
      </c>
      <c r="I18308">
        <v>4510</v>
      </c>
      <c r="J18308" t="s">
        <v>240</v>
      </c>
      <c r="K18308">
        <v>42.88</v>
      </c>
      <c r="L18308">
        <v>5.27</v>
      </c>
      <c r="M18308">
        <v>16321</v>
      </c>
      <c r="N18308" t="s">
        <v>16</v>
      </c>
      <c r="O18308">
        <v>250617</v>
      </c>
      <c r="P18308">
        <v>37.61</v>
      </c>
    </row>
    <row r="18309" spans="1:16" x14ac:dyDescent="0.25">
      <c r="A18309" t="s">
        <v>3296</v>
      </c>
      <c r="B18309" t="s">
        <v>2931</v>
      </c>
      <c r="C18309">
        <v>8699</v>
      </c>
      <c r="D18309" t="str">
        <f>"INV525090862"</f>
        <v>INV525090862</v>
      </c>
      <c r="E18309" t="s">
        <v>306</v>
      </c>
      <c r="F18309" t="s">
        <v>308</v>
      </c>
      <c r="G18309">
        <v>1198.73</v>
      </c>
      <c r="H18309">
        <v>250531</v>
      </c>
      <c r="I18309">
        <v>4510</v>
      </c>
      <c r="J18309" t="s">
        <v>240</v>
      </c>
      <c r="K18309">
        <v>2397.46</v>
      </c>
      <c r="L18309">
        <v>147.21</v>
      </c>
      <c r="M18309">
        <v>13402</v>
      </c>
      <c r="N18309" t="s">
        <v>307</v>
      </c>
      <c r="O18309">
        <v>250617</v>
      </c>
      <c r="P18309">
        <v>1051.52</v>
      </c>
    </row>
    <row r="18310" spans="1:16" x14ac:dyDescent="0.25">
      <c r="A18310" t="s">
        <v>3296</v>
      </c>
      <c r="B18310" t="s">
        <v>2931</v>
      </c>
      <c r="C18310">
        <v>8839</v>
      </c>
      <c r="D18310" t="str">
        <f>"INV525094373"</f>
        <v>INV525094373</v>
      </c>
      <c r="E18310" t="s">
        <v>306</v>
      </c>
      <c r="F18310" t="s">
        <v>308</v>
      </c>
      <c r="G18310">
        <v>260.52999999999997</v>
      </c>
      <c r="H18310">
        <v>250609</v>
      </c>
      <c r="I18310">
        <v>4510</v>
      </c>
      <c r="J18310" t="s">
        <v>240</v>
      </c>
      <c r="K18310">
        <v>521.05999999999995</v>
      </c>
      <c r="L18310">
        <v>31.99</v>
      </c>
      <c r="M18310">
        <v>16321</v>
      </c>
      <c r="N18310" t="s">
        <v>16</v>
      </c>
      <c r="O18310">
        <v>250618</v>
      </c>
      <c r="P18310">
        <v>228.54</v>
      </c>
    </row>
    <row r="18311" spans="1:16" x14ac:dyDescent="0.25">
      <c r="A18311" t="s">
        <v>3296</v>
      </c>
      <c r="B18311" t="s">
        <v>2931</v>
      </c>
      <c r="C18311">
        <v>8840</v>
      </c>
      <c r="D18311" t="str">
        <f>"INV525094374"</f>
        <v>INV525094374</v>
      </c>
      <c r="E18311" t="s">
        <v>306</v>
      </c>
      <c r="F18311" t="s">
        <v>308</v>
      </c>
      <c r="G18311">
        <v>1154.2</v>
      </c>
      <c r="H18311">
        <v>250609</v>
      </c>
      <c r="I18311">
        <v>4510</v>
      </c>
      <c r="J18311" t="s">
        <v>240</v>
      </c>
      <c r="K18311">
        <v>4616.83</v>
      </c>
      <c r="L18311">
        <v>141.74</v>
      </c>
      <c r="M18311">
        <v>13502</v>
      </c>
      <c r="N18311" t="s">
        <v>302</v>
      </c>
      <c r="O18311">
        <v>250618</v>
      </c>
      <c r="P18311">
        <v>1012.46</v>
      </c>
    </row>
    <row r="18312" spans="1:16" x14ac:dyDescent="0.25">
      <c r="A18312" t="s">
        <v>3296</v>
      </c>
      <c r="B18312" t="s">
        <v>2931</v>
      </c>
      <c r="C18312">
        <v>10196</v>
      </c>
      <c r="D18312" t="str">
        <f>"INV525120508"</f>
        <v>INV525120508</v>
      </c>
      <c r="E18312" t="s">
        <v>306</v>
      </c>
      <c r="F18312" t="s">
        <v>308</v>
      </c>
      <c r="G18312">
        <v>15.54</v>
      </c>
      <c r="H18312">
        <v>250731</v>
      </c>
      <c r="I18312">
        <v>4510</v>
      </c>
      <c r="J18312" t="s">
        <v>240</v>
      </c>
      <c r="K18312">
        <v>15.54</v>
      </c>
      <c r="L18312">
        <v>1.91</v>
      </c>
      <c r="M18312">
        <v>13202</v>
      </c>
      <c r="N18312" t="s">
        <v>601</v>
      </c>
      <c r="O18312">
        <v>250813</v>
      </c>
      <c r="P18312">
        <v>13.63</v>
      </c>
    </row>
    <row r="18313" spans="1:16" x14ac:dyDescent="0.25">
      <c r="A18313" t="s">
        <v>3296</v>
      </c>
      <c r="B18313" t="s">
        <v>2931</v>
      </c>
      <c r="C18313">
        <v>10199</v>
      </c>
      <c r="D18313" t="str">
        <f>"INV525120506"</f>
        <v>INV525120506</v>
      </c>
      <c r="E18313" t="s">
        <v>306</v>
      </c>
      <c r="F18313" t="s">
        <v>308</v>
      </c>
      <c r="G18313">
        <v>737.3</v>
      </c>
      <c r="H18313">
        <v>250731</v>
      </c>
      <c r="I18313">
        <v>4510</v>
      </c>
      <c r="J18313" t="s">
        <v>240</v>
      </c>
      <c r="K18313">
        <v>737.3</v>
      </c>
      <c r="L18313">
        <v>90.55</v>
      </c>
      <c r="M18313">
        <v>67522</v>
      </c>
      <c r="N18313" t="s">
        <v>121</v>
      </c>
      <c r="O18313">
        <v>250813</v>
      </c>
      <c r="P18313">
        <v>646.75</v>
      </c>
    </row>
    <row r="18314" spans="1:16" x14ac:dyDescent="0.25">
      <c r="A18314" t="s">
        <v>3296</v>
      </c>
      <c r="B18314" t="s">
        <v>2931</v>
      </c>
      <c r="C18314">
        <v>10210</v>
      </c>
      <c r="D18314" t="str">
        <f>"INV525120507"</f>
        <v>INV525120507</v>
      </c>
      <c r="E18314" t="s">
        <v>306</v>
      </c>
      <c r="F18314" t="s">
        <v>308</v>
      </c>
      <c r="G18314">
        <v>2829.77</v>
      </c>
      <c r="H18314">
        <v>250731</v>
      </c>
      <c r="I18314">
        <v>4510</v>
      </c>
      <c r="J18314" t="s">
        <v>240</v>
      </c>
      <c r="K18314">
        <v>11018.02</v>
      </c>
      <c r="L18314">
        <v>347.52</v>
      </c>
      <c r="M18314">
        <v>16321</v>
      </c>
      <c r="N18314" t="s">
        <v>16</v>
      </c>
      <c r="O18314">
        <v>250813</v>
      </c>
      <c r="P18314">
        <v>2482.25</v>
      </c>
    </row>
    <row r="18315" spans="1:16" x14ac:dyDescent="0.25">
      <c r="A18315" t="s">
        <v>3296</v>
      </c>
      <c r="B18315" t="s">
        <v>2931</v>
      </c>
      <c r="C18315">
        <v>10210</v>
      </c>
      <c r="D18315" t="str">
        <f>"INV525120507"</f>
        <v>INV525120507</v>
      </c>
      <c r="E18315" t="s">
        <v>306</v>
      </c>
      <c r="F18315" t="s">
        <v>308</v>
      </c>
      <c r="G18315">
        <v>1577.44</v>
      </c>
      <c r="H18315">
        <v>250731</v>
      </c>
      <c r="I18315">
        <v>4510</v>
      </c>
      <c r="J18315" t="s">
        <v>240</v>
      </c>
      <c r="K18315">
        <v>11018.02</v>
      </c>
      <c r="L18315">
        <v>193.72</v>
      </c>
      <c r="M18315">
        <v>17802</v>
      </c>
      <c r="N18315" t="s">
        <v>18</v>
      </c>
      <c r="O18315">
        <v>250813</v>
      </c>
      <c r="P18315">
        <v>1383.72</v>
      </c>
    </row>
    <row r="18316" spans="1:16" x14ac:dyDescent="0.25">
      <c r="A18316" t="s">
        <v>3296</v>
      </c>
      <c r="B18316" t="s">
        <v>2931</v>
      </c>
      <c r="C18316">
        <v>10294</v>
      </c>
      <c r="D18316" t="str">
        <f>"INV525120581"</f>
        <v>INV525120581</v>
      </c>
      <c r="E18316" t="s">
        <v>306</v>
      </c>
      <c r="F18316" t="s">
        <v>308</v>
      </c>
      <c r="G18316">
        <v>44.48</v>
      </c>
      <c r="H18316">
        <v>250731</v>
      </c>
      <c r="I18316">
        <v>4510</v>
      </c>
      <c r="J18316" t="s">
        <v>240</v>
      </c>
      <c r="K18316">
        <v>2684.61</v>
      </c>
      <c r="L18316">
        <v>5.46</v>
      </c>
      <c r="M18316">
        <v>16121</v>
      </c>
      <c r="N18316" t="s">
        <v>127</v>
      </c>
      <c r="O18316">
        <v>250813</v>
      </c>
      <c r="P18316">
        <v>39.020000000000003</v>
      </c>
    </row>
    <row r="18317" spans="1:16" x14ac:dyDescent="0.25">
      <c r="A18317" t="s">
        <v>3296</v>
      </c>
      <c r="B18317" t="s">
        <v>2931</v>
      </c>
      <c r="C18317">
        <v>10294</v>
      </c>
      <c r="D18317" t="str">
        <f>"INV525120581"</f>
        <v>INV525120581</v>
      </c>
      <c r="E18317" t="s">
        <v>306</v>
      </c>
      <c r="F18317" t="s">
        <v>308</v>
      </c>
      <c r="G18317">
        <v>2640.13</v>
      </c>
      <c r="H18317">
        <v>250731</v>
      </c>
      <c r="I18317">
        <v>4510</v>
      </c>
      <c r="J18317" t="s">
        <v>240</v>
      </c>
      <c r="K18317">
        <v>2684.61</v>
      </c>
      <c r="L18317">
        <v>324.23</v>
      </c>
      <c r="M18317">
        <v>16121</v>
      </c>
      <c r="N18317" t="s">
        <v>127</v>
      </c>
      <c r="O18317">
        <v>250813</v>
      </c>
      <c r="P18317">
        <v>2315.9</v>
      </c>
    </row>
    <row r="18318" spans="1:16" x14ac:dyDescent="0.25">
      <c r="A18318" t="s">
        <v>3296</v>
      </c>
      <c r="B18318" t="s">
        <v>2931</v>
      </c>
      <c r="C18318">
        <v>10310</v>
      </c>
      <c r="D18318" t="str">
        <f>"INV525120509"</f>
        <v>INV525120509</v>
      </c>
      <c r="E18318" t="s">
        <v>306</v>
      </c>
      <c r="F18318" t="s">
        <v>308</v>
      </c>
      <c r="G18318">
        <v>2018.12</v>
      </c>
      <c r="H18318">
        <v>250731</v>
      </c>
      <c r="I18318">
        <v>4510</v>
      </c>
      <c r="J18318" t="s">
        <v>240</v>
      </c>
      <c r="K18318">
        <v>8072.49</v>
      </c>
      <c r="L18318">
        <v>247.84</v>
      </c>
      <c r="M18318">
        <v>13502</v>
      </c>
      <c r="N18318" t="s">
        <v>302</v>
      </c>
      <c r="O18318">
        <v>250814</v>
      </c>
      <c r="P18318">
        <v>1770.28</v>
      </c>
    </row>
    <row r="18319" spans="1:16" x14ac:dyDescent="0.25">
      <c r="A18319" t="s">
        <v>3296</v>
      </c>
      <c r="B18319" t="s">
        <v>2931</v>
      </c>
      <c r="C18319">
        <v>10328</v>
      </c>
      <c r="D18319" t="str">
        <f>"INV525120583"</f>
        <v>INV525120583</v>
      </c>
      <c r="E18319" t="s">
        <v>306</v>
      </c>
      <c r="F18319" t="s">
        <v>308</v>
      </c>
      <c r="G18319">
        <v>546.29999999999995</v>
      </c>
      <c r="H18319">
        <v>250731</v>
      </c>
      <c r="I18319">
        <v>4510</v>
      </c>
      <c r="J18319" t="s">
        <v>240</v>
      </c>
      <c r="K18319">
        <v>14103.61</v>
      </c>
      <c r="L18319">
        <v>67.09</v>
      </c>
      <c r="M18319">
        <v>16321</v>
      </c>
      <c r="N18319" t="s">
        <v>16</v>
      </c>
      <c r="O18319">
        <v>250814</v>
      </c>
      <c r="P18319">
        <v>479.21</v>
      </c>
    </row>
    <row r="18320" spans="1:16" x14ac:dyDescent="0.25">
      <c r="A18320" t="s">
        <v>3296</v>
      </c>
      <c r="B18320" t="s">
        <v>2931</v>
      </c>
      <c r="C18320">
        <v>10328</v>
      </c>
      <c r="D18320" t="str">
        <f>"INV525120583"</f>
        <v>INV525120583</v>
      </c>
      <c r="E18320" t="s">
        <v>306</v>
      </c>
      <c r="F18320" t="s">
        <v>308</v>
      </c>
      <c r="G18320">
        <v>4603.1099999999997</v>
      </c>
      <c r="H18320">
        <v>250731</v>
      </c>
      <c r="I18320">
        <v>4510</v>
      </c>
      <c r="J18320" t="s">
        <v>240</v>
      </c>
      <c r="K18320">
        <v>14103.61</v>
      </c>
      <c r="L18320">
        <v>565.29</v>
      </c>
      <c r="M18320">
        <v>17808</v>
      </c>
      <c r="N18320" t="s">
        <v>24</v>
      </c>
      <c r="O18320">
        <v>250814</v>
      </c>
      <c r="P18320">
        <v>4037.82</v>
      </c>
    </row>
    <row r="18321" spans="1:16" x14ac:dyDescent="0.25">
      <c r="A18321" t="s">
        <v>3296</v>
      </c>
      <c r="B18321" t="s">
        <v>2931</v>
      </c>
      <c r="C18321">
        <v>10328</v>
      </c>
      <c r="D18321" t="str">
        <f>"INV525120583"</f>
        <v>INV525120583</v>
      </c>
      <c r="E18321" t="s">
        <v>306</v>
      </c>
      <c r="F18321" t="s">
        <v>308</v>
      </c>
      <c r="G18321">
        <v>362.52</v>
      </c>
      <c r="H18321">
        <v>250731</v>
      </c>
      <c r="I18321">
        <v>4510</v>
      </c>
      <c r="J18321" t="s">
        <v>240</v>
      </c>
      <c r="K18321">
        <v>14103.61</v>
      </c>
      <c r="L18321">
        <v>44.52</v>
      </c>
      <c r="M18321">
        <v>17808</v>
      </c>
      <c r="N18321" t="s">
        <v>24</v>
      </c>
      <c r="O18321">
        <v>250814</v>
      </c>
      <c r="P18321">
        <v>318</v>
      </c>
    </row>
    <row r="18322" spans="1:16" x14ac:dyDescent="0.25">
      <c r="A18322" t="s">
        <v>3296</v>
      </c>
      <c r="B18322" t="s">
        <v>2931</v>
      </c>
      <c r="C18322">
        <v>10328</v>
      </c>
      <c r="D18322" t="str">
        <f>"INV525120583"</f>
        <v>INV525120583</v>
      </c>
      <c r="E18322" t="s">
        <v>306</v>
      </c>
      <c r="F18322" t="s">
        <v>308</v>
      </c>
      <c r="G18322">
        <v>129.51</v>
      </c>
      <c r="H18322">
        <v>250731</v>
      </c>
      <c r="I18322">
        <v>4510</v>
      </c>
      <c r="J18322" t="s">
        <v>240</v>
      </c>
      <c r="K18322">
        <v>14103.61</v>
      </c>
      <c r="L18322">
        <v>15.9</v>
      </c>
      <c r="M18322">
        <v>17974</v>
      </c>
      <c r="N18322" t="s">
        <v>153</v>
      </c>
      <c r="O18322">
        <v>250814</v>
      </c>
      <c r="P18322">
        <v>113.61</v>
      </c>
    </row>
    <row r="18323" spans="1:16" x14ac:dyDescent="0.25">
      <c r="A18323" t="s">
        <v>3296</v>
      </c>
      <c r="B18323" t="s">
        <v>2931</v>
      </c>
      <c r="C18323">
        <v>10389</v>
      </c>
      <c r="D18323" t="str">
        <f>"INV525120582"</f>
        <v>INV525120582</v>
      </c>
      <c r="E18323" t="s">
        <v>306</v>
      </c>
      <c r="F18323" t="s">
        <v>308</v>
      </c>
      <c r="G18323">
        <v>2354.4699999999998</v>
      </c>
      <c r="H18323">
        <v>250731</v>
      </c>
      <c r="I18323">
        <v>4510</v>
      </c>
      <c r="J18323" t="s">
        <v>240</v>
      </c>
      <c r="K18323">
        <v>4708.9399999999996</v>
      </c>
      <c r="L18323">
        <v>289.14999999999998</v>
      </c>
      <c r="M18323">
        <v>13402</v>
      </c>
      <c r="N18323" t="s">
        <v>307</v>
      </c>
      <c r="O18323">
        <v>250818</v>
      </c>
      <c r="P18323">
        <v>2065.3200000000002</v>
      </c>
    </row>
    <row r="18324" spans="1:16" x14ac:dyDescent="0.25">
      <c r="A18324" t="s">
        <v>3296</v>
      </c>
      <c r="B18324" t="s">
        <v>2931</v>
      </c>
      <c r="C18324">
        <v>10551</v>
      </c>
      <c r="D18324" t="str">
        <f>"INV525127424"</f>
        <v>INV525127424</v>
      </c>
      <c r="E18324" t="s">
        <v>306</v>
      </c>
      <c r="F18324" t="s">
        <v>308</v>
      </c>
      <c r="G18324">
        <v>209.32</v>
      </c>
      <c r="H18324">
        <v>250811</v>
      </c>
      <c r="I18324">
        <v>4510</v>
      </c>
      <c r="J18324" t="s">
        <v>240</v>
      </c>
      <c r="K18324">
        <v>627.95000000000005</v>
      </c>
      <c r="L18324">
        <v>25.71</v>
      </c>
      <c r="M18324">
        <v>17807</v>
      </c>
      <c r="N18324" t="s">
        <v>23</v>
      </c>
      <c r="O18324">
        <v>250820</v>
      </c>
      <c r="P18324">
        <v>183.61</v>
      </c>
    </row>
    <row r="18325" spans="1:16" x14ac:dyDescent="0.25">
      <c r="A18325" t="s">
        <v>3296</v>
      </c>
      <c r="B18325" t="s">
        <v>2931</v>
      </c>
      <c r="C18325">
        <v>10570</v>
      </c>
      <c r="D18325" t="str">
        <f>"INV525127425"</f>
        <v>INV525127425</v>
      </c>
      <c r="E18325" t="s">
        <v>306</v>
      </c>
      <c r="F18325" t="s">
        <v>308</v>
      </c>
      <c r="G18325">
        <v>100.7</v>
      </c>
      <c r="H18325">
        <v>250811</v>
      </c>
      <c r="I18325">
        <v>4510</v>
      </c>
      <c r="J18325" t="s">
        <v>240</v>
      </c>
      <c r="K18325">
        <v>100.7</v>
      </c>
      <c r="L18325">
        <v>12.37</v>
      </c>
      <c r="M18325">
        <v>13502</v>
      </c>
      <c r="N18325" t="s">
        <v>302</v>
      </c>
      <c r="O18325">
        <v>250820</v>
      </c>
      <c r="P18325">
        <v>88.33</v>
      </c>
    </row>
    <row r="18326" spans="1:16" x14ac:dyDescent="0.25">
      <c r="A18326" t="s">
        <v>3296</v>
      </c>
      <c r="B18326" t="s">
        <v>2931</v>
      </c>
      <c r="C18326">
        <v>10586</v>
      </c>
      <c r="D18326" t="str">
        <f>"INV525127428"</f>
        <v>INV525127428</v>
      </c>
      <c r="E18326" t="s">
        <v>306</v>
      </c>
      <c r="F18326" t="s">
        <v>308</v>
      </c>
      <c r="G18326">
        <v>79.099999999999994</v>
      </c>
      <c r="H18326">
        <v>250811</v>
      </c>
      <c r="I18326">
        <v>4510</v>
      </c>
      <c r="J18326" t="s">
        <v>240</v>
      </c>
      <c r="K18326">
        <v>189.84</v>
      </c>
      <c r="L18326">
        <v>9.7100000000000009</v>
      </c>
      <c r="M18326">
        <v>13402</v>
      </c>
      <c r="N18326" t="s">
        <v>307</v>
      </c>
      <c r="O18326">
        <v>250820</v>
      </c>
      <c r="P18326">
        <v>69.39</v>
      </c>
    </row>
    <row r="18327" spans="1:16" x14ac:dyDescent="0.25">
      <c r="A18327" t="s">
        <v>3296</v>
      </c>
      <c r="B18327" t="s">
        <v>2931</v>
      </c>
      <c r="C18327">
        <v>10604</v>
      </c>
      <c r="D18327" t="str">
        <f>"INV525134126"</f>
        <v>INV525134126</v>
      </c>
      <c r="E18327" t="s">
        <v>306</v>
      </c>
      <c r="F18327" t="s">
        <v>308</v>
      </c>
      <c r="G18327">
        <v>42.84</v>
      </c>
      <c r="H18327">
        <v>250813</v>
      </c>
      <c r="I18327">
        <v>4510</v>
      </c>
      <c r="J18327" t="s">
        <v>240</v>
      </c>
      <c r="K18327">
        <v>514.08000000000004</v>
      </c>
      <c r="L18327">
        <v>5.26</v>
      </c>
      <c r="M18327">
        <v>17808</v>
      </c>
      <c r="N18327" t="s">
        <v>24</v>
      </c>
      <c r="O18327">
        <v>250820</v>
      </c>
      <c r="P18327">
        <v>37.58</v>
      </c>
    </row>
    <row r="18328" spans="1:16" x14ac:dyDescent="0.25">
      <c r="A18328" t="s">
        <v>3296</v>
      </c>
      <c r="B18328" t="s">
        <v>2931</v>
      </c>
      <c r="C18328">
        <v>10605</v>
      </c>
      <c r="D18328" t="str">
        <f>"INV525134127"</f>
        <v>INV525134127</v>
      </c>
      <c r="E18328" t="s">
        <v>306</v>
      </c>
      <c r="F18328" t="s">
        <v>308</v>
      </c>
      <c r="G18328">
        <v>152.30000000000001</v>
      </c>
      <c r="H18328">
        <v>250813</v>
      </c>
      <c r="I18328">
        <v>4510</v>
      </c>
      <c r="J18328" t="s">
        <v>240</v>
      </c>
      <c r="K18328">
        <v>152.30000000000001</v>
      </c>
      <c r="L18328">
        <v>18.7</v>
      </c>
      <c r="M18328">
        <v>13502</v>
      </c>
      <c r="N18328" t="s">
        <v>302</v>
      </c>
      <c r="O18328">
        <v>250820</v>
      </c>
      <c r="P18328">
        <v>133.6</v>
      </c>
    </row>
    <row r="18329" spans="1:16" x14ac:dyDescent="0.25">
      <c r="A18329" t="s">
        <v>3296</v>
      </c>
      <c r="B18329" t="s">
        <v>2931</v>
      </c>
      <c r="C18329">
        <v>10654</v>
      </c>
      <c r="D18329" t="str">
        <f>"INV525127535"</f>
        <v>INV525127535</v>
      </c>
      <c r="E18329" t="s">
        <v>306</v>
      </c>
      <c r="F18329" t="s">
        <v>308</v>
      </c>
      <c r="G18329">
        <v>490.7</v>
      </c>
      <c r="H18329">
        <v>250811</v>
      </c>
      <c r="I18329">
        <v>4510</v>
      </c>
      <c r="J18329" t="s">
        <v>240</v>
      </c>
      <c r="K18329">
        <v>490.7</v>
      </c>
      <c r="L18329">
        <v>60.26</v>
      </c>
      <c r="M18329">
        <v>54222</v>
      </c>
      <c r="N18329" t="s">
        <v>48</v>
      </c>
      <c r="O18329">
        <v>250821</v>
      </c>
      <c r="P18329">
        <v>430.44</v>
      </c>
    </row>
    <row r="18330" spans="1:16" x14ac:dyDescent="0.25">
      <c r="A18330" t="s">
        <v>3296</v>
      </c>
      <c r="B18330" t="s">
        <v>2931</v>
      </c>
      <c r="C18330">
        <v>10655</v>
      </c>
      <c r="D18330" t="str">
        <f>"INV525127531"</f>
        <v>INV525127531</v>
      </c>
      <c r="E18330" t="s">
        <v>306</v>
      </c>
      <c r="F18330" t="s">
        <v>308</v>
      </c>
      <c r="G18330">
        <v>250.69</v>
      </c>
      <c r="H18330">
        <v>250811</v>
      </c>
      <c r="I18330">
        <v>4510</v>
      </c>
      <c r="J18330" t="s">
        <v>240</v>
      </c>
      <c r="K18330">
        <v>250.69</v>
      </c>
      <c r="L18330">
        <v>30.79</v>
      </c>
      <c r="M18330">
        <v>16121</v>
      </c>
      <c r="N18330" t="s">
        <v>127</v>
      </c>
      <c r="O18330">
        <v>250821</v>
      </c>
      <c r="P18330">
        <v>219.9</v>
      </c>
    </row>
    <row r="18331" spans="1:16" x14ac:dyDescent="0.25">
      <c r="A18331" t="s">
        <v>3296</v>
      </c>
      <c r="B18331" t="s">
        <v>2931</v>
      </c>
      <c r="C18331">
        <v>10660</v>
      </c>
      <c r="D18331" t="str">
        <f>"INV525127538"</f>
        <v>INV525127538</v>
      </c>
      <c r="E18331" t="s">
        <v>306</v>
      </c>
      <c r="F18331" t="s">
        <v>308</v>
      </c>
      <c r="G18331">
        <v>237.92</v>
      </c>
      <c r="H18331">
        <v>250811</v>
      </c>
      <c r="I18331">
        <v>4510</v>
      </c>
      <c r="J18331" t="s">
        <v>240</v>
      </c>
      <c r="K18331">
        <v>3586.32</v>
      </c>
      <c r="L18331">
        <v>29.22</v>
      </c>
      <c r="M18331">
        <v>11903</v>
      </c>
      <c r="N18331" t="s">
        <v>32</v>
      </c>
      <c r="O18331">
        <v>250821</v>
      </c>
      <c r="P18331">
        <v>208.7</v>
      </c>
    </row>
    <row r="18332" spans="1:16" x14ac:dyDescent="0.25">
      <c r="A18332" t="s">
        <v>3296</v>
      </c>
      <c r="B18332" t="s">
        <v>2931</v>
      </c>
      <c r="C18332">
        <v>10660</v>
      </c>
      <c r="D18332" t="str">
        <f>"INV525127538"</f>
        <v>INV525127538</v>
      </c>
      <c r="E18332" t="s">
        <v>306</v>
      </c>
      <c r="F18332" t="s">
        <v>308</v>
      </c>
      <c r="G18332">
        <v>3348.4</v>
      </c>
      <c r="H18332">
        <v>250811</v>
      </c>
      <c r="I18332">
        <v>4510</v>
      </c>
      <c r="J18332" t="s">
        <v>240</v>
      </c>
      <c r="K18332">
        <v>3586.32</v>
      </c>
      <c r="L18332">
        <v>411.21</v>
      </c>
      <c r="M18332">
        <v>43222</v>
      </c>
      <c r="N18332" t="s">
        <v>95</v>
      </c>
      <c r="O18332">
        <v>250821</v>
      </c>
      <c r="P18332">
        <v>2937.19</v>
      </c>
    </row>
    <row r="18333" spans="1:16" x14ac:dyDescent="0.25">
      <c r="A18333" t="s">
        <v>3296</v>
      </c>
      <c r="B18333" t="s">
        <v>2931</v>
      </c>
      <c r="C18333">
        <v>10661</v>
      </c>
      <c r="D18333" t="str">
        <f>"INV525127537"</f>
        <v>INV525127537</v>
      </c>
      <c r="E18333" t="s">
        <v>306</v>
      </c>
      <c r="F18333" t="s">
        <v>308</v>
      </c>
      <c r="G18333">
        <v>55.47</v>
      </c>
      <c r="H18333">
        <v>250811</v>
      </c>
      <c r="I18333">
        <v>4510</v>
      </c>
      <c r="J18333" t="s">
        <v>240</v>
      </c>
      <c r="K18333">
        <v>588.99</v>
      </c>
      <c r="L18333">
        <v>11.27</v>
      </c>
      <c r="M18333">
        <v>13402</v>
      </c>
      <c r="N18333" t="s">
        <v>307</v>
      </c>
      <c r="O18333">
        <v>250821</v>
      </c>
      <c r="P18333">
        <v>44.2</v>
      </c>
    </row>
    <row r="18334" spans="1:16" x14ac:dyDescent="0.25">
      <c r="A18334" t="s">
        <v>3296</v>
      </c>
      <c r="B18334" t="s">
        <v>2931</v>
      </c>
      <c r="C18334">
        <v>10661</v>
      </c>
      <c r="D18334" t="str">
        <f>"INV525127537"</f>
        <v>INV525127537</v>
      </c>
      <c r="E18334" t="s">
        <v>306</v>
      </c>
      <c r="F18334" t="s">
        <v>308</v>
      </c>
      <c r="G18334">
        <v>88.92</v>
      </c>
      <c r="H18334">
        <v>250811</v>
      </c>
      <c r="I18334">
        <v>4510</v>
      </c>
      <c r="J18334" t="s">
        <v>240</v>
      </c>
      <c r="K18334">
        <v>588.99</v>
      </c>
      <c r="L18334">
        <v>10.92</v>
      </c>
      <c r="M18334">
        <v>13402</v>
      </c>
      <c r="N18334" t="s">
        <v>307</v>
      </c>
      <c r="O18334">
        <v>250821</v>
      </c>
      <c r="P18334">
        <v>78</v>
      </c>
    </row>
    <row r="18335" spans="1:16" x14ac:dyDescent="0.25">
      <c r="A18335" t="s">
        <v>3296</v>
      </c>
      <c r="B18335" t="s">
        <v>2931</v>
      </c>
      <c r="C18335">
        <v>10662</v>
      </c>
      <c r="D18335" t="str">
        <f>"INV525127532"</f>
        <v>INV525127532</v>
      </c>
      <c r="E18335" t="s">
        <v>306</v>
      </c>
      <c r="F18335" t="s">
        <v>308</v>
      </c>
      <c r="G18335">
        <v>193.89</v>
      </c>
      <c r="H18335">
        <v>250811</v>
      </c>
      <c r="I18335">
        <v>4510</v>
      </c>
      <c r="J18335" t="s">
        <v>240</v>
      </c>
      <c r="K18335">
        <v>813.98</v>
      </c>
      <c r="L18335">
        <v>23.81</v>
      </c>
      <c r="M18335">
        <v>16321</v>
      </c>
      <c r="N18335" t="s">
        <v>16</v>
      </c>
      <c r="O18335">
        <v>250821</v>
      </c>
      <c r="P18335">
        <v>170.08</v>
      </c>
    </row>
    <row r="18336" spans="1:16" x14ac:dyDescent="0.25">
      <c r="A18336" t="s">
        <v>3296</v>
      </c>
      <c r="B18336" t="s">
        <v>2931</v>
      </c>
      <c r="C18336">
        <v>10662</v>
      </c>
      <c r="D18336" t="str">
        <f>"INV525127532"</f>
        <v>INV525127532</v>
      </c>
      <c r="E18336" t="s">
        <v>306</v>
      </c>
      <c r="F18336" t="s">
        <v>308</v>
      </c>
      <c r="G18336">
        <v>77.44</v>
      </c>
      <c r="H18336">
        <v>250811</v>
      </c>
      <c r="I18336">
        <v>4510</v>
      </c>
      <c r="J18336" t="s">
        <v>240</v>
      </c>
      <c r="K18336">
        <v>813.98</v>
      </c>
      <c r="L18336">
        <v>9.51</v>
      </c>
      <c r="M18336">
        <v>17808</v>
      </c>
      <c r="N18336" t="s">
        <v>24</v>
      </c>
      <c r="O18336">
        <v>250821</v>
      </c>
      <c r="P18336">
        <v>67.930000000000007</v>
      </c>
    </row>
    <row r="18337" spans="1:16" x14ac:dyDescent="0.25">
      <c r="A18337" t="s">
        <v>3296</v>
      </c>
      <c r="B18337" t="s">
        <v>2931</v>
      </c>
      <c r="C18337">
        <v>10667</v>
      </c>
      <c r="D18337" t="str">
        <f>"INV525127536"</f>
        <v>INV525127536</v>
      </c>
      <c r="E18337" t="s">
        <v>306</v>
      </c>
      <c r="F18337" t="s">
        <v>308</v>
      </c>
      <c r="G18337">
        <v>148.69999999999999</v>
      </c>
      <c r="H18337">
        <v>250811</v>
      </c>
      <c r="I18337">
        <v>4510</v>
      </c>
      <c r="J18337" t="s">
        <v>240</v>
      </c>
      <c r="K18337">
        <v>183.45</v>
      </c>
      <c r="L18337">
        <v>18.260000000000002</v>
      </c>
      <c r="M18337">
        <v>11903</v>
      </c>
      <c r="N18337" t="s">
        <v>32</v>
      </c>
      <c r="O18337">
        <v>250821</v>
      </c>
      <c r="P18337">
        <v>130.44</v>
      </c>
    </row>
    <row r="18338" spans="1:16" x14ac:dyDescent="0.25">
      <c r="A18338" t="s">
        <v>3296</v>
      </c>
      <c r="B18338" t="s">
        <v>2931</v>
      </c>
      <c r="C18338">
        <v>10667</v>
      </c>
      <c r="D18338" t="str">
        <f>"INV525127536"</f>
        <v>INV525127536</v>
      </c>
      <c r="E18338" t="s">
        <v>306</v>
      </c>
      <c r="F18338" t="s">
        <v>308</v>
      </c>
      <c r="G18338">
        <v>34.75</v>
      </c>
      <c r="H18338">
        <v>250811</v>
      </c>
      <c r="I18338">
        <v>4510</v>
      </c>
      <c r="J18338" t="s">
        <v>240</v>
      </c>
      <c r="K18338">
        <v>183.45</v>
      </c>
      <c r="L18338">
        <v>4.2699999999999996</v>
      </c>
      <c r="M18338">
        <v>14321</v>
      </c>
      <c r="N18338" t="s">
        <v>72</v>
      </c>
      <c r="O18338">
        <v>250821</v>
      </c>
      <c r="P18338">
        <v>30.48</v>
      </c>
    </row>
    <row r="18339" spans="1:16" x14ac:dyDescent="0.25">
      <c r="A18339" t="s">
        <v>3296</v>
      </c>
      <c r="B18339" t="s">
        <v>2931</v>
      </c>
      <c r="C18339">
        <v>10685</v>
      </c>
      <c r="D18339" t="str">
        <f>"INV525134235"</f>
        <v>INV525134235</v>
      </c>
      <c r="E18339" t="s">
        <v>306</v>
      </c>
      <c r="F18339" t="s">
        <v>308</v>
      </c>
      <c r="G18339">
        <v>256.44</v>
      </c>
      <c r="H18339">
        <v>250813</v>
      </c>
      <c r="I18339">
        <v>4510</v>
      </c>
      <c r="J18339" t="s">
        <v>240</v>
      </c>
      <c r="K18339">
        <v>256.44</v>
      </c>
      <c r="L18339">
        <v>31.49</v>
      </c>
      <c r="M18339">
        <v>14422</v>
      </c>
      <c r="N18339" t="s">
        <v>73</v>
      </c>
      <c r="O18339">
        <v>250821</v>
      </c>
      <c r="P18339">
        <v>224.95</v>
      </c>
    </row>
    <row r="18340" spans="1:16" x14ac:dyDescent="0.25">
      <c r="A18340" t="s">
        <v>3296</v>
      </c>
      <c r="B18340" t="s">
        <v>2931</v>
      </c>
      <c r="C18340">
        <v>10688</v>
      </c>
      <c r="D18340" t="str">
        <f>"INV525134234"</f>
        <v>INV525134234</v>
      </c>
      <c r="E18340" t="s">
        <v>306</v>
      </c>
      <c r="F18340" t="s">
        <v>308</v>
      </c>
      <c r="G18340">
        <v>366.06</v>
      </c>
      <c r="H18340">
        <v>250813</v>
      </c>
      <c r="I18340">
        <v>4510</v>
      </c>
      <c r="J18340" t="s">
        <v>240</v>
      </c>
      <c r="K18340">
        <v>915.16</v>
      </c>
      <c r="L18340">
        <v>44.95</v>
      </c>
      <c r="M18340">
        <v>17808</v>
      </c>
      <c r="N18340" t="s">
        <v>24</v>
      </c>
      <c r="O18340">
        <v>250821</v>
      </c>
      <c r="P18340">
        <v>321.11</v>
      </c>
    </row>
    <row r="18341" spans="1:16" x14ac:dyDescent="0.25">
      <c r="A18341" t="s">
        <v>3296</v>
      </c>
      <c r="B18341" t="s">
        <v>2931</v>
      </c>
      <c r="C18341">
        <v>10904</v>
      </c>
      <c r="D18341" t="str">
        <f>"INV525145631"</f>
        <v>INV525145631</v>
      </c>
      <c r="E18341" t="s">
        <v>306</v>
      </c>
      <c r="F18341" t="s">
        <v>308</v>
      </c>
      <c r="G18341">
        <v>58.29</v>
      </c>
      <c r="H18341">
        <v>250825</v>
      </c>
      <c r="I18341">
        <v>4510</v>
      </c>
      <c r="J18341" t="s">
        <v>240</v>
      </c>
      <c r="K18341">
        <v>518.9</v>
      </c>
      <c r="L18341">
        <v>7.16</v>
      </c>
      <c r="M18341">
        <v>17808</v>
      </c>
      <c r="N18341" t="s">
        <v>24</v>
      </c>
      <c r="O18341">
        <v>250827</v>
      </c>
      <c r="P18341">
        <v>51.13</v>
      </c>
    </row>
    <row r="18342" spans="1:16" x14ac:dyDescent="0.25">
      <c r="A18342" t="s">
        <v>3296</v>
      </c>
      <c r="B18342" t="s">
        <v>2931</v>
      </c>
      <c r="C18342">
        <v>10943</v>
      </c>
      <c r="D18342" t="str">
        <f>"INV525145632"</f>
        <v>INV525145632</v>
      </c>
      <c r="E18342" t="s">
        <v>306</v>
      </c>
      <c r="F18342" t="s">
        <v>308</v>
      </c>
      <c r="G18342">
        <v>38.76</v>
      </c>
      <c r="H18342">
        <v>250825</v>
      </c>
      <c r="I18342">
        <v>4510</v>
      </c>
      <c r="J18342" t="s">
        <v>240</v>
      </c>
      <c r="K18342">
        <v>38.76</v>
      </c>
      <c r="L18342">
        <v>4.76</v>
      </c>
      <c r="M18342">
        <v>13202</v>
      </c>
      <c r="N18342" t="s">
        <v>601</v>
      </c>
      <c r="O18342">
        <v>250827</v>
      </c>
      <c r="P18342">
        <v>34</v>
      </c>
    </row>
    <row r="18343" spans="1:16" x14ac:dyDescent="0.25">
      <c r="A18343" t="s">
        <v>3296</v>
      </c>
      <c r="B18343" t="s">
        <v>2931</v>
      </c>
      <c r="C18343">
        <v>10953</v>
      </c>
      <c r="D18343" t="str">
        <f>"INV525145783"</f>
        <v>INV525145783</v>
      </c>
      <c r="E18343" t="s">
        <v>306</v>
      </c>
      <c r="F18343" t="s">
        <v>308</v>
      </c>
      <c r="G18343">
        <v>255.96</v>
      </c>
      <c r="H18343">
        <v>250825</v>
      </c>
      <c r="I18343">
        <v>4510</v>
      </c>
      <c r="J18343" t="s">
        <v>240</v>
      </c>
      <c r="K18343">
        <v>1676.38</v>
      </c>
      <c r="L18343">
        <v>31.43</v>
      </c>
      <c r="M18343">
        <v>17808</v>
      </c>
      <c r="N18343" t="s">
        <v>24</v>
      </c>
      <c r="O18343">
        <v>250827</v>
      </c>
      <c r="P18343">
        <v>224.53</v>
      </c>
    </row>
    <row r="18344" spans="1:16" x14ac:dyDescent="0.25">
      <c r="A18344" t="s">
        <v>3296</v>
      </c>
      <c r="B18344" t="s">
        <v>2931</v>
      </c>
      <c r="C18344">
        <v>11082</v>
      </c>
      <c r="D18344" t="str">
        <f>"INV525134236"</f>
        <v>INV525134236</v>
      </c>
      <c r="E18344" t="s">
        <v>306</v>
      </c>
      <c r="F18344" t="s">
        <v>308</v>
      </c>
      <c r="G18344">
        <v>63.26</v>
      </c>
      <c r="H18344">
        <v>250813</v>
      </c>
      <c r="I18344">
        <v>4510</v>
      </c>
      <c r="J18344" t="s">
        <v>240</v>
      </c>
      <c r="K18344">
        <v>456.36</v>
      </c>
      <c r="L18344">
        <v>7.77</v>
      </c>
      <c r="M18344">
        <v>13402</v>
      </c>
      <c r="N18344" t="s">
        <v>307</v>
      </c>
      <c r="O18344">
        <v>250829</v>
      </c>
      <c r="P18344">
        <v>55.49</v>
      </c>
    </row>
    <row r="18345" spans="1:16" x14ac:dyDescent="0.25">
      <c r="A18345" t="s">
        <v>3296</v>
      </c>
      <c r="B18345" t="s">
        <v>2931</v>
      </c>
      <c r="C18345">
        <v>11082</v>
      </c>
      <c r="D18345" t="str">
        <f>"INV525134236"</f>
        <v>INV525134236</v>
      </c>
      <c r="E18345" t="s">
        <v>306</v>
      </c>
      <c r="F18345" t="s">
        <v>308</v>
      </c>
      <c r="G18345">
        <v>76.84</v>
      </c>
      <c r="H18345">
        <v>250813</v>
      </c>
      <c r="I18345">
        <v>4510</v>
      </c>
      <c r="J18345" t="s">
        <v>240</v>
      </c>
      <c r="K18345">
        <v>456.36</v>
      </c>
      <c r="L18345">
        <v>9.44</v>
      </c>
      <c r="M18345">
        <v>13402</v>
      </c>
      <c r="N18345" t="s">
        <v>307</v>
      </c>
      <c r="O18345">
        <v>250829</v>
      </c>
      <c r="P18345">
        <v>67.400000000000006</v>
      </c>
    </row>
    <row r="18346" spans="1:16" x14ac:dyDescent="0.25">
      <c r="A18346" t="s">
        <v>3296</v>
      </c>
      <c r="B18346" t="s">
        <v>2931</v>
      </c>
      <c r="C18346">
        <v>11176</v>
      </c>
      <c r="D18346" t="str">
        <f>"INV525145633"</f>
        <v>INV525145633</v>
      </c>
      <c r="E18346" t="s">
        <v>306</v>
      </c>
      <c r="F18346" t="s">
        <v>308</v>
      </c>
      <c r="G18346">
        <v>4715.4799999999996</v>
      </c>
      <c r="H18346">
        <v>250825</v>
      </c>
      <c r="I18346">
        <v>4510</v>
      </c>
      <c r="J18346" t="s">
        <v>240</v>
      </c>
      <c r="K18346">
        <v>18861.919999999998</v>
      </c>
      <c r="L18346">
        <v>579.09</v>
      </c>
      <c r="M18346">
        <v>13502</v>
      </c>
      <c r="N18346" t="s">
        <v>302</v>
      </c>
      <c r="O18346">
        <v>250901</v>
      </c>
      <c r="P18346">
        <v>4136.3900000000003</v>
      </c>
    </row>
    <row r="18347" spans="1:16" x14ac:dyDescent="0.25">
      <c r="A18347" t="s">
        <v>3296</v>
      </c>
      <c r="B18347" t="s">
        <v>2931</v>
      </c>
      <c r="C18347">
        <v>11423</v>
      </c>
      <c r="D18347" t="str">
        <f>"INV525151387"</f>
        <v>INV525151387</v>
      </c>
      <c r="E18347" t="s">
        <v>306</v>
      </c>
      <c r="F18347" t="s">
        <v>308</v>
      </c>
      <c r="G18347">
        <v>59.62</v>
      </c>
      <c r="H18347">
        <v>250831</v>
      </c>
      <c r="I18347">
        <v>4510</v>
      </c>
      <c r="J18347" t="s">
        <v>240</v>
      </c>
      <c r="K18347">
        <v>59.62</v>
      </c>
      <c r="L18347">
        <v>7.32</v>
      </c>
      <c r="M18347">
        <v>13202</v>
      </c>
      <c r="N18347" t="s">
        <v>601</v>
      </c>
      <c r="O18347">
        <v>250904</v>
      </c>
      <c r="P18347">
        <v>52.3</v>
      </c>
    </row>
    <row r="18348" spans="1:16" x14ac:dyDescent="0.25">
      <c r="A18348" t="s">
        <v>3296</v>
      </c>
      <c r="B18348" t="s">
        <v>2931</v>
      </c>
      <c r="C18348">
        <v>11628</v>
      </c>
      <c r="D18348" t="str">
        <f>"INV525145782"</f>
        <v>INV525145782</v>
      </c>
      <c r="E18348" t="s">
        <v>306</v>
      </c>
      <c r="F18348" t="s">
        <v>308</v>
      </c>
      <c r="G18348">
        <v>68.28</v>
      </c>
      <c r="H18348">
        <v>250825</v>
      </c>
      <c r="I18348">
        <v>4510</v>
      </c>
      <c r="J18348" t="s">
        <v>240</v>
      </c>
      <c r="K18348">
        <v>938.04</v>
      </c>
      <c r="L18348">
        <v>8.39</v>
      </c>
      <c r="M18348">
        <v>41127</v>
      </c>
      <c r="N18348" t="s">
        <v>2273</v>
      </c>
      <c r="O18348">
        <v>250909</v>
      </c>
      <c r="P18348">
        <v>59.89</v>
      </c>
    </row>
    <row r="18349" spans="1:16" x14ac:dyDescent="0.25">
      <c r="A18349" t="s">
        <v>3296</v>
      </c>
      <c r="B18349" t="s">
        <v>2931</v>
      </c>
      <c r="C18349">
        <v>11628</v>
      </c>
      <c r="D18349" t="str">
        <f>"INV525145782"</f>
        <v>INV525145782</v>
      </c>
      <c r="E18349" t="s">
        <v>306</v>
      </c>
      <c r="F18349" t="s">
        <v>308</v>
      </c>
      <c r="G18349">
        <v>869.76</v>
      </c>
      <c r="H18349">
        <v>250825</v>
      </c>
      <c r="I18349">
        <v>4510</v>
      </c>
      <c r="J18349" t="s">
        <v>240</v>
      </c>
      <c r="K18349">
        <v>938.04</v>
      </c>
      <c r="L18349">
        <v>106.81</v>
      </c>
      <c r="M18349">
        <v>44222</v>
      </c>
      <c r="N18349" t="s">
        <v>96</v>
      </c>
      <c r="O18349">
        <v>250909</v>
      </c>
      <c r="P18349">
        <v>762.95</v>
      </c>
    </row>
    <row r="18350" spans="1:16" x14ac:dyDescent="0.25">
      <c r="A18350" t="s">
        <v>3296</v>
      </c>
      <c r="B18350" t="s">
        <v>2931</v>
      </c>
      <c r="C18350">
        <v>11640</v>
      </c>
      <c r="D18350" t="str">
        <f>"INV525145787"</f>
        <v>INV525145787</v>
      </c>
      <c r="E18350" t="s">
        <v>306</v>
      </c>
      <c r="F18350" t="s">
        <v>308</v>
      </c>
      <c r="G18350">
        <v>1317.34</v>
      </c>
      <c r="H18350">
        <v>250825</v>
      </c>
      <c r="I18350">
        <v>4510</v>
      </c>
      <c r="J18350" t="s">
        <v>240</v>
      </c>
      <c r="K18350">
        <v>7904.04</v>
      </c>
      <c r="L18350">
        <v>161.78</v>
      </c>
      <c r="M18350">
        <v>13402</v>
      </c>
      <c r="N18350" t="s">
        <v>307</v>
      </c>
      <c r="O18350">
        <v>250909</v>
      </c>
      <c r="P18350">
        <v>1155.56</v>
      </c>
    </row>
    <row r="18351" spans="1:16" x14ac:dyDescent="0.25">
      <c r="A18351" t="s">
        <v>3296</v>
      </c>
      <c r="B18351" t="s">
        <v>2931</v>
      </c>
      <c r="C18351">
        <v>11796</v>
      </c>
      <c r="D18351" t="str">
        <f>"INV525151467"</f>
        <v>INV525151467</v>
      </c>
      <c r="E18351" t="s">
        <v>306</v>
      </c>
      <c r="F18351" t="s">
        <v>308</v>
      </c>
      <c r="G18351">
        <v>7.15</v>
      </c>
      <c r="H18351">
        <v>250831</v>
      </c>
      <c r="I18351">
        <v>4510</v>
      </c>
      <c r="J18351" t="s">
        <v>240</v>
      </c>
      <c r="K18351">
        <v>68.02</v>
      </c>
      <c r="L18351">
        <v>1.45</v>
      </c>
      <c r="M18351">
        <v>13402</v>
      </c>
      <c r="N18351" t="s">
        <v>307</v>
      </c>
      <c r="O18351">
        <v>250910</v>
      </c>
      <c r="P18351">
        <v>5.7</v>
      </c>
    </row>
    <row r="18352" spans="1:16" x14ac:dyDescent="0.25">
      <c r="A18352" t="s">
        <v>3296</v>
      </c>
      <c r="B18352" t="s">
        <v>2931</v>
      </c>
      <c r="C18352">
        <v>11796</v>
      </c>
      <c r="D18352" t="str">
        <f>"INV525151467"</f>
        <v>INV525151467</v>
      </c>
      <c r="E18352" t="s">
        <v>306</v>
      </c>
      <c r="F18352" t="s">
        <v>308</v>
      </c>
      <c r="G18352">
        <v>60.87</v>
      </c>
      <c r="H18352">
        <v>250831</v>
      </c>
      <c r="I18352">
        <v>4510</v>
      </c>
      <c r="J18352" t="s">
        <v>240</v>
      </c>
      <c r="K18352">
        <v>68.02</v>
      </c>
      <c r="L18352">
        <v>7.48</v>
      </c>
      <c r="M18352">
        <v>13402</v>
      </c>
      <c r="N18352" t="s">
        <v>307</v>
      </c>
      <c r="O18352">
        <v>250910</v>
      </c>
      <c r="P18352">
        <v>53.39</v>
      </c>
    </row>
    <row r="18353" spans="1:16" x14ac:dyDescent="0.25">
      <c r="A18353" t="s">
        <v>3296</v>
      </c>
      <c r="B18353" t="s">
        <v>2931</v>
      </c>
      <c r="C18353">
        <v>11805</v>
      </c>
      <c r="D18353" t="str">
        <f>"INV525151464"</f>
        <v>INV525151464</v>
      </c>
      <c r="E18353" t="s">
        <v>306</v>
      </c>
      <c r="F18353" t="s">
        <v>308</v>
      </c>
      <c r="G18353">
        <v>369.55</v>
      </c>
      <c r="H18353">
        <v>250831</v>
      </c>
      <c r="I18353">
        <v>4510</v>
      </c>
      <c r="J18353" t="s">
        <v>240</v>
      </c>
      <c r="K18353">
        <v>369.55</v>
      </c>
      <c r="L18353">
        <v>45.38</v>
      </c>
      <c r="M18353">
        <v>16121</v>
      </c>
      <c r="N18353" t="s">
        <v>127</v>
      </c>
      <c r="O18353">
        <v>250910</v>
      </c>
      <c r="P18353">
        <v>324.17</v>
      </c>
    </row>
    <row r="18354" spans="1:16" x14ac:dyDescent="0.25">
      <c r="A18354" t="s">
        <v>3296</v>
      </c>
      <c r="B18354" t="s">
        <v>2931</v>
      </c>
      <c r="C18354">
        <v>11915</v>
      </c>
      <c r="D18354" t="str">
        <f>"INV525152624"</f>
        <v>INV525152624</v>
      </c>
      <c r="E18354" t="s">
        <v>306</v>
      </c>
      <c r="F18354" t="s">
        <v>308</v>
      </c>
      <c r="G18354">
        <v>74.75</v>
      </c>
      <c r="H18354">
        <v>250902</v>
      </c>
      <c r="I18354">
        <v>4510</v>
      </c>
      <c r="J18354" t="s">
        <v>240</v>
      </c>
      <c r="K18354">
        <v>224.2</v>
      </c>
      <c r="L18354">
        <v>9.18</v>
      </c>
      <c r="M18354">
        <v>13801</v>
      </c>
      <c r="N18354" t="s">
        <v>33</v>
      </c>
      <c r="O18354">
        <v>250912</v>
      </c>
      <c r="P18354">
        <v>65.569999999999993</v>
      </c>
    </row>
    <row r="18355" spans="1:16" x14ac:dyDescent="0.25">
      <c r="A18355" t="s">
        <v>3296</v>
      </c>
      <c r="B18355" t="s">
        <v>2931</v>
      </c>
      <c r="C18355">
        <v>11931</v>
      </c>
      <c r="D18355" t="str">
        <f>"INV525157422"</f>
        <v>INV525157422</v>
      </c>
      <c r="E18355" t="s">
        <v>306</v>
      </c>
      <c r="F18355" t="s">
        <v>308</v>
      </c>
      <c r="G18355">
        <v>99.11</v>
      </c>
      <c r="H18355">
        <v>250908</v>
      </c>
      <c r="I18355">
        <v>4510</v>
      </c>
      <c r="J18355" t="s">
        <v>240</v>
      </c>
      <c r="K18355">
        <v>99.11</v>
      </c>
      <c r="L18355">
        <v>12.17</v>
      </c>
      <c r="M18355">
        <v>13202</v>
      </c>
      <c r="N18355" t="s">
        <v>601</v>
      </c>
      <c r="O18355">
        <v>250912</v>
      </c>
      <c r="P18355">
        <v>86.94</v>
      </c>
    </row>
    <row r="18356" spans="1:16" x14ac:dyDescent="0.25">
      <c r="A18356" t="s">
        <v>3296</v>
      </c>
      <c r="B18356" t="s">
        <v>2931</v>
      </c>
      <c r="C18356">
        <v>12101</v>
      </c>
      <c r="D18356" t="str">
        <f>"INV525145781"</f>
        <v>INV525145781</v>
      </c>
      <c r="E18356" t="s">
        <v>306</v>
      </c>
      <c r="F18356" t="s">
        <v>308</v>
      </c>
      <c r="G18356">
        <v>85.44</v>
      </c>
      <c r="H18356">
        <v>250825</v>
      </c>
      <c r="I18356">
        <v>4510</v>
      </c>
      <c r="J18356" t="s">
        <v>240</v>
      </c>
      <c r="K18356">
        <v>722.52</v>
      </c>
      <c r="L18356">
        <v>10.49</v>
      </c>
      <c r="M18356">
        <v>54622</v>
      </c>
      <c r="N18356" t="s">
        <v>42</v>
      </c>
      <c r="O18356">
        <v>250916</v>
      </c>
      <c r="P18356">
        <v>74.95</v>
      </c>
    </row>
    <row r="18357" spans="1:16" x14ac:dyDescent="0.25">
      <c r="A18357" t="s">
        <v>3296</v>
      </c>
      <c r="B18357" t="s">
        <v>2931</v>
      </c>
      <c r="C18357">
        <v>12101</v>
      </c>
      <c r="D18357" t="str">
        <f>"INV525145781"</f>
        <v>INV525145781</v>
      </c>
      <c r="E18357" t="s">
        <v>306</v>
      </c>
      <c r="F18357" t="s">
        <v>308</v>
      </c>
      <c r="G18357">
        <v>637.08000000000004</v>
      </c>
      <c r="H18357">
        <v>250825</v>
      </c>
      <c r="I18357">
        <v>4510</v>
      </c>
      <c r="J18357" t="s">
        <v>240</v>
      </c>
      <c r="K18357">
        <v>722.52</v>
      </c>
      <c r="L18357">
        <v>78.239999999999995</v>
      </c>
      <c r="M18357">
        <v>56560</v>
      </c>
      <c r="N18357" t="s">
        <v>52</v>
      </c>
      <c r="O18357">
        <v>250916</v>
      </c>
      <c r="P18357">
        <v>558.84</v>
      </c>
    </row>
    <row r="18358" spans="1:16" x14ac:dyDescent="0.25">
      <c r="A18358" t="s">
        <v>3296</v>
      </c>
      <c r="B18358" t="s">
        <v>2931</v>
      </c>
      <c r="C18358">
        <v>12105</v>
      </c>
      <c r="D18358" t="str">
        <f>"INV525151466"</f>
        <v>INV525151466</v>
      </c>
      <c r="E18358" t="s">
        <v>306</v>
      </c>
      <c r="F18358" t="s">
        <v>308</v>
      </c>
      <c r="G18358">
        <v>2180.59</v>
      </c>
      <c r="H18358">
        <v>250831</v>
      </c>
      <c r="I18358">
        <v>4510</v>
      </c>
      <c r="J18358" t="s">
        <v>240</v>
      </c>
      <c r="K18358">
        <v>3722.84</v>
      </c>
      <c r="L18358">
        <v>267.79000000000002</v>
      </c>
      <c r="M18358">
        <v>56558</v>
      </c>
      <c r="N18358" t="s">
        <v>50</v>
      </c>
      <c r="O18358">
        <v>250916</v>
      </c>
      <c r="P18358">
        <v>1912.8</v>
      </c>
    </row>
    <row r="18359" spans="1:16" x14ac:dyDescent="0.25">
      <c r="A18359" t="s">
        <v>3296</v>
      </c>
      <c r="B18359" t="s">
        <v>2931</v>
      </c>
      <c r="C18359">
        <v>12105</v>
      </c>
      <c r="D18359" t="str">
        <f>"INV525151466"</f>
        <v>INV525151466</v>
      </c>
      <c r="E18359" t="s">
        <v>306</v>
      </c>
      <c r="F18359" t="s">
        <v>308</v>
      </c>
      <c r="G18359">
        <v>1542.25</v>
      </c>
      <c r="H18359">
        <v>250831</v>
      </c>
      <c r="I18359">
        <v>4510</v>
      </c>
      <c r="J18359" t="s">
        <v>240</v>
      </c>
      <c r="K18359">
        <v>3722.84</v>
      </c>
      <c r="L18359">
        <v>189.4</v>
      </c>
      <c r="M18359">
        <v>56560</v>
      </c>
      <c r="N18359" t="s">
        <v>52</v>
      </c>
      <c r="O18359">
        <v>250916</v>
      </c>
      <c r="P18359">
        <v>1352.85</v>
      </c>
    </row>
    <row r="18360" spans="1:16" x14ac:dyDescent="0.25">
      <c r="A18360" t="s">
        <v>3296</v>
      </c>
      <c r="B18360" t="s">
        <v>2931</v>
      </c>
      <c r="C18360">
        <v>12230</v>
      </c>
      <c r="D18360" t="str">
        <f>"INV525152698"</f>
        <v>INV525152698</v>
      </c>
      <c r="E18360" t="s">
        <v>306</v>
      </c>
      <c r="F18360" t="s">
        <v>308</v>
      </c>
      <c r="G18360">
        <v>92.24</v>
      </c>
      <c r="H18360">
        <v>250902</v>
      </c>
      <c r="I18360">
        <v>4510</v>
      </c>
      <c r="J18360" t="s">
        <v>240</v>
      </c>
      <c r="K18360">
        <v>92.24</v>
      </c>
      <c r="L18360">
        <v>11.33</v>
      </c>
      <c r="M18360">
        <v>49702</v>
      </c>
      <c r="N18360" t="s">
        <v>112</v>
      </c>
      <c r="O18360">
        <v>250917</v>
      </c>
      <c r="P18360">
        <v>80.91</v>
      </c>
    </row>
    <row r="18361" spans="1:16" x14ac:dyDescent="0.25">
      <c r="A18361" t="s">
        <v>3296</v>
      </c>
      <c r="B18361" t="s">
        <v>2931</v>
      </c>
      <c r="C18361">
        <v>12362</v>
      </c>
      <c r="D18361" t="str">
        <f>"INV525157362"</f>
        <v>INV525157362</v>
      </c>
      <c r="E18361" t="s">
        <v>306</v>
      </c>
      <c r="F18361" t="s">
        <v>308</v>
      </c>
      <c r="G18361">
        <v>29.74</v>
      </c>
      <c r="H18361">
        <v>250908</v>
      </c>
      <c r="I18361">
        <v>4510</v>
      </c>
      <c r="J18361" t="s">
        <v>240</v>
      </c>
      <c r="K18361">
        <v>29.74</v>
      </c>
      <c r="L18361">
        <v>3.65</v>
      </c>
      <c r="M18361">
        <v>11903</v>
      </c>
      <c r="N18361" t="s">
        <v>32</v>
      </c>
      <c r="O18361">
        <v>250919</v>
      </c>
      <c r="P18361">
        <v>26.09</v>
      </c>
    </row>
    <row r="18362" spans="1:16" x14ac:dyDescent="0.25">
      <c r="A18362" t="s">
        <v>3296</v>
      </c>
      <c r="B18362" t="s">
        <v>2931</v>
      </c>
      <c r="C18362">
        <v>12391</v>
      </c>
      <c r="D18362" t="str">
        <f>"INV525162075"</f>
        <v>INV525162075</v>
      </c>
      <c r="E18362" t="s">
        <v>306</v>
      </c>
      <c r="F18362" t="s">
        <v>308</v>
      </c>
      <c r="G18362">
        <v>34.92</v>
      </c>
      <c r="H18362">
        <v>250915</v>
      </c>
      <c r="I18362">
        <v>4510</v>
      </c>
      <c r="J18362" t="s">
        <v>240</v>
      </c>
      <c r="K18362">
        <v>34.92</v>
      </c>
      <c r="L18362">
        <v>4.29</v>
      </c>
      <c r="M18362">
        <v>13202</v>
      </c>
      <c r="N18362" t="s">
        <v>601</v>
      </c>
      <c r="O18362">
        <v>250919</v>
      </c>
      <c r="P18362">
        <v>30.63</v>
      </c>
    </row>
    <row r="18363" spans="1:16" x14ac:dyDescent="0.25">
      <c r="A18363" t="s">
        <v>3296</v>
      </c>
      <c r="B18363" t="s">
        <v>2931</v>
      </c>
      <c r="C18363">
        <v>12423</v>
      </c>
      <c r="D18363" t="str">
        <f>"INV525162126"</f>
        <v>INV525162126</v>
      </c>
      <c r="E18363" t="s">
        <v>306</v>
      </c>
      <c r="F18363" t="s">
        <v>308</v>
      </c>
      <c r="G18363">
        <v>784.8</v>
      </c>
      <c r="H18363">
        <v>250915</v>
      </c>
      <c r="I18363">
        <v>4510</v>
      </c>
      <c r="J18363" t="s">
        <v>240</v>
      </c>
      <c r="K18363">
        <v>784.8</v>
      </c>
      <c r="L18363">
        <v>96.38</v>
      </c>
      <c r="M18363">
        <v>17538</v>
      </c>
      <c r="N18363" t="s">
        <v>129</v>
      </c>
      <c r="O18363">
        <v>250919</v>
      </c>
      <c r="P18363">
        <v>688.42</v>
      </c>
    </row>
    <row r="18364" spans="1:16" x14ac:dyDescent="0.25">
      <c r="A18364" t="s">
        <v>3296</v>
      </c>
      <c r="B18364" t="s">
        <v>2931</v>
      </c>
      <c r="C18364">
        <v>12451</v>
      </c>
      <c r="D18364" t="str">
        <f>"INV525160196"</f>
        <v>INV525160196</v>
      </c>
      <c r="E18364" t="s">
        <v>306</v>
      </c>
      <c r="F18364" t="s">
        <v>308</v>
      </c>
      <c r="G18364">
        <v>33.799999999999997</v>
      </c>
      <c r="H18364">
        <v>250912</v>
      </c>
      <c r="I18364">
        <v>4510</v>
      </c>
      <c r="J18364" t="s">
        <v>240</v>
      </c>
      <c r="K18364">
        <v>101.4</v>
      </c>
      <c r="L18364">
        <v>4.1500000000000004</v>
      </c>
      <c r="M18364">
        <v>13801</v>
      </c>
      <c r="N18364" t="s">
        <v>33</v>
      </c>
      <c r="O18364">
        <v>250922</v>
      </c>
      <c r="P18364">
        <v>29.65</v>
      </c>
    </row>
    <row r="18365" spans="1:16" x14ac:dyDescent="0.25">
      <c r="A18365" t="s">
        <v>3296</v>
      </c>
      <c r="B18365" t="s">
        <v>2931</v>
      </c>
      <c r="C18365">
        <v>12476</v>
      </c>
      <c r="D18365" t="str">
        <f>"INV525168112"</f>
        <v>INV525168112</v>
      </c>
      <c r="E18365" t="s">
        <v>306</v>
      </c>
      <c r="F18365" t="s">
        <v>308</v>
      </c>
      <c r="G18365">
        <v>69.02</v>
      </c>
      <c r="H18365">
        <v>250922</v>
      </c>
      <c r="I18365">
        <v>4510</v>
      </c>
      <c r="J18365" t="s">
        <v>240</v>
      </c>
      <c r="K18365">
        <v>276.08</v>
      </c>
      <c r="L18365">
        <v>8.48</v>
      </c>
      <c r="M18365">
        <v>13402</v>
      </c>
      <c r="N18365" t="s">
        <v>307</v>
      </c>
      <c r="O18365">
        <v>250924</v>
      </c>
      <c r="P18365">
        <v>60.54</v>
      </c>
    </row>
    <row r="18366" spans="1:16" x14ac:dyDescent="0.25">
      <c r="A18366" t="s">
        <v>3296</v>
      </c>
      <c r="B18366" t="s">
        <v>2931</v>
      </c>
      <c r="C18366">
        <v>12527</v>
      </c>
      <c r="D18366" t="str">
        <f>"INV525151465"</f>
        <v>INV525151465</v>
      </c>
      <c r="E18366" t="s">
        <v>306</v>
      </c>
      <c r="F18366" t="s">
        <v>308</v>
      </c>
      <c r="G18366">
        <v>170.88</v>
      </c>
      <c r="H18366">
        <v>250901</v>
      </c>
      <c r="I18366">
        <v>4510</v>
      </c>
      <c r="J18366" t="s">
        <v>240</v>
      </c>
      <c r="K18366">
        <v>170.88</v>
      </c>
      <c r="L18366">
        <v>20.99</v>
      </c>
      <c r="M18366">
        <v>51147</v>
      </c>
      <c r="N18366" t="s">
        <v>2363</v>
      </c>
      <c r="O18366">
        <v>250926</v>
      </c>
      <c r="P18366">
        <v>149.88999999999999</v>
      </c>
    </row>
    <row r="18367" spans="1:16" x14ac:dyDescent="0.25">
      <c r="A18367" t="s">
        <v>3296</v>
      </c>
      <c r="B18367" t="s">
        <v>2931</v>
      </c>
      <c r="C18367">
        <v>12546</v>
      </c>
      <c r="D18367" t="str">
        <f>"INV525164079"</f>
        <v>INV525164079</v>
      </c>
      <c r="E18367" t="s">
        <v>306</v>
      </c>
      <c r="F18367" t="s">
        <v>308</v>
      </c>
      <c r="G18367">
        <v>40.950000000000003</v>
      </c>
      <c r="H18367">
        <v>250916</v>
      </c>
      <c r="I18367">
        <v>4510</v>
      </c>
      <c r="J18367" t="s">
        <v>240</v>
      </c>
      <c r="K18367">
        <v>122.8</v>
      </c>
      <c r="L18367">
        <v>5.03</v>
      </c>
      <c r="M18367">
        <v>13801</v>
      </c>
      <c r="N18367" t="s">
        <v>33</v>
      </c>
      <c r="O18367">
        <v>250926</v>
      </c>
      <c r="P18367">
        <v>35.92</v>
      </c>
    </row>
    <row r="18368" spans="1:16" x14ac:dyDescent="0.25">
      <c r="A18368" t="s">
        <v>3296</v>
      </c>
      <c r="B18368" t="s">
        <v>2931</v>
      </c>
      <c r="C18368">
        <v>12578</v>
      </c>
      <c r="D18368" t="str">
        <f>"INV525165092"</f>
        <v>INV525165092</v>
      </c>
      <c r="E18368" t="s">
        <v>306</v>
      </c>
      <c r="F18368" t="s">
        <v>308</v>
      </c>
      <c r="G18368">
        <v>67.599999999999994</v>
      </c>
      <c r="H18368">
        <v>250917</v>
      </c>
      <c r="I18368">
        <v>4510</v>
      </c>
      <c r="J18368" t="s">
        <v>240</v>
      </c>
      <c r="K18368">
        <v>202.8</v>
      </c>
      <c r="L18368">
        <v>8.3000000000000007</v>
      </c>
      <c r="M18368">
        <v>13801</v>
      </c>
      <c r="N18368" t="s">
        <v>33</v>
      </c>
      <c r="O18368">
        <v>250926</v>
      </c>
      <c r="P18368">
        <v>59.3</v>
      </c>
    </row>
    <row r="18369" spans="1:16" x14ac:dyDescent="0.25">
      <c r="A18369" t="s">
        <v>3296</v>
      </c>
      <c r="B18369" t="s">
        <v>2931</v>
      </c>
      <c r="C18369">
        <v>12657</v>
      </c>
      <c r="D18369" t="str">
        <f>"INV525162074"</f>
        <v>INV525162074</v>
      </c>
      <c r="E18369" t="s">
        <v>306</v>
      </c>
      <c r="F18369" t="s">
        <v>308</v>
      </c>
      <c r="G18369">
        <v>96.9</v>
      </c>
      <c r="H18369">
        <v>250915</v>
      </c>
      <c r="I18369">
        <v>4510</v>
      </c>
      <c r="J18369" t="s">
        <v>240</v>
      </c>
      <c r="K18369">
        <v>96.9</v>
      </c>
      <c r="L18369">
        <v>11.9</v>
      </c>
      <c r="M18369">
        <v>17808</v>
      </c>
      <c r="N18369" t="s">
        <v>24</v>
      </c>
      <c r="O18369">
        <v>250929</v>
      </c>
      <c r="P18369">
        <v>85</v>
      </c>
    </row>
    <row r="18370" spans="1:16" x14ac:dyDescent="0.25">
      <c r="A18370" t="s">
        <v>3296</v>
      </c>
      <c r="B18370" t="s">
        <v>2931</v>
      </c>
      <c r="C18370">
        <v>12826</v>
      </c>
      <c r="D18370" t="str">
        <f>"INV525168108"</f>
        <v>INV525168108</v>
      </c>
      <c r="E18370" t="s">
        <v>306</v>
      </c>
      <c r="F18370" t="s">
        <v>308</v>
      </c>
      <c r="G18370">
        <v>113.77</v>
      </c>
      <c r="H18370">
        <v>250922</v>
      </c>
      <c r="I18370">
        <v>4510</v>
      </c>
      <c r="J18370" t="s">
        <v>240</v>
      </c>
      <c r="K18370">
        <v>113.77</v>
      </c>
      <c r="L18370">
        <v>13.97</v>
      </c>
      <c r="M18370">
        <v>47522</v>
      </c>
      <c r="N18370" t="s">
        <v>106</v>
      </c>
      <c r="O18370">
        <v>250930</v>
      </c>
      <c r="P18370">
        <v>99.8</v>
      </c>
    </row>
    <row r="18371" spans="1:16" x14ac:dyDescent="0.25">
      <c r="A18371" t="s">
        <v>3296</v>
      </c>
      <c r="B18371" t="s">
        <v>2931</v>
      </c>
      <c r="C18371">
        <v>13069</v>
      </c>
      <c r="D18371" t="str">
        <f>"INV525172363"</f>
        <v>INV525172363</v>
      </c>
      <c r="E18371" t="s">
        <v>306</v>
      </c>
      <c r="F18371" t="s">
        <v>308</v>
      </c>
      <c r="G18371">
        <v>26.71</v>
      </c>
      <c r="H18371">
        <v>250929</v>
      </c>
      <c r="I18371">
        <v>4510</v>
      </c>
      <c r="J18371" t="s">
        <v>240</v>
      </c>
      <c r="K18371">
        <v>184.07</v>
      </c>
      <c r="L18371">
        <v>5.43</v>
      </c>
      <c r="M18371">
        <v>13402</v>
      </c>
      <c r="N18371" t="s">
        <v>307</v>
      </c>
      <c r="O18371">
        <v>251003</v>
      </c>
      <c r="P18371">
        <v>21.28</v>
      </c>
    </row>
    <row r="18372" spans="1:16" x14ac:dyDescent="0.25">
      <c r="A18372" t="s">
        <v>3296</v>
      </c>
      <c r="B18372" t="s">
        <v>2931</v>
      </c>
      <c r="C18372">
        <v>13069</v>
      </c>
      <c r="D18372" t="str">
        <f>"INV525172363"</f>
        <v>INV525172363</v>
      </c>
      <c r="E18372" t="s">
        <v>306</v>
      </c>
      <c r="F18372" t="s">
        <v>308</v>
      </c>
      <c r="G18372">
        <v>104.52</v>
      </c>
      <c r="H18372">
        <v>250929</v>
      </c>
      <c r="I18372">
        <v>4510</v>
      </c>
      <c r="J18372" t="s">
        <v>240</v>
      </c>
      <c r="K18372">
        <v>184.07</v>
      </c>
      <c r="L18372">
        <v>12.84</v>
      </c>
      <c r="M18372">
        <v>13402</v>
      </c>
      <c r="N18372" t="s">
        <v>307</v>
      </c>
      <c r="O18372">
        <v>251003</v>
      </c>
      <c r="P18372">
        <v>91.68</v>
      </c>
    </row>
    <row r="18373" spans="1:16" x14ac:dyDescent="0.25">
      <c r="A18373" t="s">
        <v>3296</v>
      </c>
      <c r="B18373" t="s">
        <v>2931</v>
      </c>
      <c r="C18373">
        <v>13069</v>
      </c>
      <c r="D18373" t="str">
        <f>"INV525172363"</f>
        <v>INV525172363</v>
      </c>
      <c r="E18373" t="s">
        <v>306</v>
      </c>
      <c r="F18373" t="s">
        <v>308</v>
      </c>
      <c r="G18373">
        <v>26.13</v>
      </c>
      <c r="H18373">
        <v>250929</v>
      </c>
      <c r="I18373">
        <v>4510</v>
      </c>
      <c r="J18373" t="s">
        <v>240</v>
      </c>
      <c r="K18373">
        <v>184.07</v>
      </c>
      <c r="L18373">
        <v>3.21</v>
      </c>
      <c r="M18373">
        <v>13502</v>
      </c>
      <c r="N18373" t="s">
        <v>302</v>
      </c>
      <c r="O18373">
        <v>251003</v>
      </c>
      <c r="P18373">
        <v>22.92</v>
      </c>
    </row>
    <row r="18374" spans="1:16" x14ac:dyDescent="0.25">
      <c r="A18374" t="s">
        <v>3296</v>
      </c>
      <c r="B18374" t="s">
        <v>2931</v>
      </c>
      <c r="C18374">
        <v>13069</v>
      </c>
      <c r="D18374" t="str">
        <f>"INV525172363"</f>
        <v>INV525172363</v>
      </c>
      <c r="E18374" t="s">
        <v>306</v>
      </c>
      <c r="F18374" t="s">
        <v>308</v>
      </c>
      <c r="G18374">
        <v>26.71</v>
      </c>
      <c r="H18374">
        <v>250929</v>
      </c>
      <c r="I18374">
        <v>4510</v>
      </c>
      <c r="J18374" t="s">
        <v>240</v>
      </c>
      <c r="K18374">
        <v>184.07</v>
      </c>
      <c r="L18374">
        <v>5.43</v>
      </c>
      <c r="M18374">
        <v>13502</v>
      </c>
      <c r="N18374" t="s">
        <v>302</v>
      </c>
      <c r="O18374">
        <v>251003</v>
      </c>
      <c r="P18374">
        <v>21.28</v>
      </c>
    </row>
    <row r="18375" spans="1:16" x14ac:dyDescent="0.25">
      <c r="A18375" t="s">
        <v>3296</v>
      </c>
      <c r="B18375" t="s">
        <v>2931</v>
      </c>
      <c r="C18375">
        <v>13302</v>
      </c>
      <c r="D18375" t="str">
        <f>"INV525178487"</f>
        <v>INV525178487</v>
      </c>
      <c r="E18375" t="s">
        <v>306</v>
      </c>
      <c r="F18375" t="s">
        <v>308</v>
      </c>
      <c r="G18375">
        <v>26.13</v>
      </c>
      <c r="H18375">
        <v>251006</v>
      </c>
      <c r="I18375">
        <v>4510</v>
      </c>
      <c r="J18375" t="s">
        <v>240</v>
      </c>
      <c r="K18375">
        <v>26.13</v>
      </c>
      <c r="L18375">
        <v>3.21</v>
      </c>
      <c r="M18375">
        <v>13502</v>
      </c>
      <c r="N18375" t="s">
        <v>302</v>
      </c>
      <c r="O18375">
        <v>251007</v>
      </c>
      <c r="P18375">
        <v>22.92</v>
      </c>
    </row>
    <row r="18376" spans="1:16" x14ac:dyDescent="0.25">
      <c r="A18376" t="s">
        <v>3296</v>
      </c>
      <c r="B18376" t="s">
        <v>2931</v>
      </c>
      <c r="C18376">
        <v>13568</v>
      </c>
      <c r="D18376" t="str">
        <f>"INV525162127"</f>
        <v>INV525162127</v>
      </c>
      <c r="E18376" t="s">
        <v>306</v>
      </c>
      <c r="F18376" t="s">
        <v>308</v>
      </c>
      <c r="G18376">
        <v>48.75</v>
      </c>
      <c r="H18376">
        <v>250915</v>
      </c>
      <c r="I18376">
        <v>4510</v>
      </c>
      <c r="J18376" t="s">
        <v>240</v>
      </c>
      <c r="K18376">
        <v>48.75</v>
      </c>
      <c r="L18376">
        <v>5.99</v>
      </c>
      <c r="M18376">
        <v>56560</v>
      </c>
      <c r="N18376" t="s">
        <v>52</v>
      </c>
      <c r="O18376">
        <v>251013</v>
      </c>
      <c r="P18376">
        <v>42.76</v>
      </c>
    </row>
    <row r="18377" spans="1:16" x14ac:dyDescent="0.25">
      <c r="A18377" t="s">
        <v>3296</v>
      </c>
      <c r="B18377" t="s">
        <v>2931</v>
      </c>
      <c r="C18377">
        <v>13576</v>
      </c>
      <c r="D18377" t="str">
        <f>"INV525168110"</f>
        <v>INV525168110</v>
      </c>
      <c r="E18377" t="s">
        <v>306</v>
      </c>
      <c r="F18377" t="s">
        <v>308</v>
      </c>
      <c r="G18377">
        <v>926.25</v>
      </c>
      <c r="H18377">
        <v>250922</v>
      </c>
      <c r="I18377">
        <v>4510</v>
      </c>
      <c r="J18377" t="s">
        <v>240</v>
      </c>
      <c r="K18377">
        <v>926.25</v>
      </c>
      <c r="L18377">
        <v>113.75</v>
      </c>
      <c r="M18377">
        <v>56560</v>
      </c>
      <c r="N18377" t="s">
        <v>52</v>
      </c>
      <c r="O18377">
        <v>251013</v>
      </c>
      <c r="P18377">
        <v>812.5</v>
      </c>
    </row>
    <row r="18378" spans="1:16" x14ac:dyDescent="0.25">
      <c r="A18378" t="s">
        <v>3296</v>
      </c>
      <c r="B18378" t="s">
        <v>2931</v>
      </c>
      <c r="C18378">
        <v>13927</v>
      </c>
      <c r="D18378" t="str">
        <f>"INV525183332"</f>
        <v>INV525183332</v>
      </c>
      <c r="E18378" t="s">
        <v>306</v>
      </c>
      <c r="F18378" t="s">
        <v>308</v>
      </c>
      <c r="G18378">
        <v>142.24</v>
      </c>
      <c r="H18378">
        <v>251013</v>
      </c>
      <c r="I18378">
        <v>4510</v>
      </c>
      <c r="J18378" t="s">
        <v>240</v>
      </c>
      <c r="K18378">
        <v>142.24</v>
      </c>
      <c r="L18378">
        <v>17.47</v>
      </c>
      <c r="M18378">
        <v>13402</v>
      </c>
      <c r="N18378" t="s">
        <v>307</v>
      </c>
      <c r="O18378">
        <v>251020</v>
      </c>
      <c r="P18378">
        <v>124.77</v>
      </c>
    </row>
    <row r="18379" spans="1:16" x14ac:dyDescent="0.25">
      <c r="A18379" t="s">
        <v>3296</v>
      </c>
      <c r="B18379" t="s">
        <v>2931</v>
      </c>
      <c r="C18379">
        <v>13928</v>
      </c>
      <c r="D18379" t="str">
        <f>"INV525183331"</f>
        <v>INV525183331</v>
      </c>
      <c r="E18379" t="s">
        <v>306</v>
      </c>
      <c r="F18379" t="s">
        <v>308</v>
      </c>
      <c r="G18379">
        <v>1611.06</v>
      </c>
      <c r="H18379">
        <v>251013</v>
      </c>
      <c r="I18379">
        <v>4510</v>
      </c>
      <c r="J18379" t="s">
        <v>240</v>
      </c>
      <c r="K18379">
        <v>1611.06</v>
      </c>
      <c r="L18379">
        <v>197.85</v>
      </c>
      <c r="M18379">
        <v>17808</v>
      </c>
      <c r="N18379" t="s">
        <v>24</v>
      </c>
      <c r="O18379">
        <v>251020</v>
      </c>
      <c r="P18379">
        <v>1413.21</v>
      </c>
    </row>
    <row r="18380" spans="1:16" x14ac:dyDescent="0.25">
      <c r="A18380" t="s">
        <v>3296</v>
      </c>
      <c r="B18380" t="s">
        <v>2931</v>
      </c>
      <c r="C18380">
        <v>13944</v>
      </c>
      <c r="D18380" t="str">
        <f>"INV525184573"</f>
        <v>INV525184573</v>
      </c>
      <c r="E18380" t="s">
        <v>306</v>
      </c>
      <c r="F18380" t="s">
        <v>308</v>
      </c>
      <c r="G18380">
        <v>25.35</v>
      </c>
      <c r="H18380">
        <v>251015</v>
      </c>
      <c r="I18380">
        <v>4510</v>
      </c>
      <c r="J18380" t="s">
        <v>240</v>
      </c>
      <c r="K18380">
        <v>101.4</v>
      </c>
      <c r="L18380">
        <v>3.11</v>
      </c>
      <c r="M18380">
        <v>13801</v>
      </c>
      <c r="N18380" t="s">
        <v>33</v>
      </c>
      <c r="O18380">
        <v>251021</v>
      </c>
      <c r="P18380">
        <v>22.24</v>
      </c>
    </row>
    <row r="18381" spans="1:16" x14ac:dyDescent="0.25">
      <c r="A18381" t="s">
        <v>3296</v>
      </c>
      <c r="B18381" t="s">
        <v>2931</v>
      </c>
      <c r="C18381">
        <v>13996</v>
      </c>
      <c r="D18381" t="str">
        <f>"INV525183264"</f>
        <v>INV525183264</v>
      </c>
      <c r="E18381" t="s">
        <v>306</v>
      </c>
      <c r="F18381" t="s">
        <v>308</v>
      </c>
      <c r="G18381">
        <v>74.819999999999993</v>
      </c>
      <c r="H18381">
        <v>251013</v>
      </c>
      <c r="I18381">
        <v>4510</v>
      </c>
      <c r="J18381" t="s">
        <v>240</v>
      </c>
      <c r="K18381">
        <v>74.819999999999993</v>
      </c>
      <c r="L18381">
        <v>9.19</v>
      </c>
      <c r="M18381">
        <v>13202</v>
      </c>
      <c r="N18381" t="s">
        <v>601</v>
      </c>
      <c r="O18381">
        <v>251021</v>
      </c>
      <c r="P18381">
        <v>65.63</v>
      </c>
    </row>
    <row r="18382" spans="1:16" x14ac:dyDescent="0.25">
      <c r="A18382" t="s">
        <v>3296</v>
      </c>
      <c r="B18382" t="s">
        <v>2931</v>
      </c>
      <c r="C18382">
        <v>14339</v>
      </c>
      <c r="D18382" t="str">
        <f>"INV525192290"</f>
        <v>INV525192290</v>
      </c>
      <c r="E18382" t="s">
        <v>306</v>
      </c>
      <c r="F18382" t="s">
        <v>308</v>
      </c>
      <c r="G18382">
        <v>87.69</v>
      </c>
      <c r="H18382">
        <v>251027</v>
      </c>
      <c r="I18382">
        <v>4510</v>
      </c>
      <c r="J18382" t="s">
        <v>240</v>
      </c>
      <c r="K18382">
        <v>87.69</v>
      </c>
      <c r="L18382">
        <v>10.77</v>
      </c>
      <c r="M18382">
        <v>13202</v>
      </c>
      <c r="N18382" t="s">
        <v>601</v>
      </c>
      <c r="O18382">
        <v>251029</v>
      </c>
      <c r="P18382">
        <v>76.92</v>
      </c>
    </row>
    <row r="18383" spans="1:16" x14ac:dyDescent="0.25">
      <c r="A18383" t="s">
        <v>3296</v>
      </c>
      <c r="B18383" t="s">
        <v>2931</v>
      </c>
      <c r="C18383">
        <v>14516</v>
      </c>
      <c r="D18383" t="str">
        <f>"INV525194190"</f>
        <v>INV525194190</v>
      </c>
      <c r="E18383" t="s">
        <v>306</v>
      </c>
      <c r="F18383" t="s">
        <v>308</v>
      </c>
      <c r="G18383">
        <v>25.35</v>
      </c>
      <c r="H18383">
        <v>251029</v>
      </c>
      <c r="I18383">
        <v>4510</v>
      </c>
      <c r="J18383" t="s">
        <v>240</v>
      </c>
      <c r="K18383">
        <v>101.4</v>
      </c>
      <c r="L18383">
        <v>3.11</v>
      </c>
      <c r="M18383">
        <v>13801</v>
      </c>
      <c r="N18383" t="s">
        <v>33</v>
      </c>
      <c r="O18383">
        <v>251104</v>
      </c>
      <c r="P18383">
        <v>22.24</v>
      </c>
    </row>
    <row r="18384" spans="1:16" x14ac:dyDescent="0.25">
      <c r="A18384" t="s">
        <v>3296</v>
      </c>
      <c r="B18384" t="s">
        <v>2931</v>
      </c>
      <c r="C18384">
        <v>14752</v>
      </c>
      <c r="D18384" t="str">
        <f>"INV525197181"</f>
        <v>INV525197181</v>
      </c>
      <c r="E18384" t="s">
        <v>306</v>
      </c>
      <c r="F18384" t="s">
        <v>308</v>
      </c>
      <c r="G18384">
        <v>389.2</v>
      </c>
      <c r="H18384">
        <v>251031</v>
      </c>
      <c r="I18384">
        <v>4510</v>
      </c>
      <c r="J18384" t="s">
        <v>240</v>
      </c>
      <c r="K18384">
        <v>389.2</v>
      </c>
      <c r="L18384">
        <v>47.8</v>
      </c>
      <c r="M18384">
        <v>17808</v>
      </c>
      <c r="N18384" t="s">
        <v>24</v>
      </c>
      <c r="O18384">
        <v>251106</v>
      </c>
      <c r="P18384">
        <v>341.4</v>
      </c>
    </row>
    <row r="18385" spans="1:16" x14ac:dyDescent="0.25">
      <c r="A18385" t="s">
        <v>3296</v>
      </c>
      <c r="B18385" t="s">
        <v>2931</v>
      </c>
      <c r="C18385">
        <v>14864</v>
      </c>
      <c r="D18385" t="str">
        <f>"INV525192323"</f>
        <v>INV525192323</v>
      </c>
      <c r="E18385" t="s">
        <v>306</v>
      </c>
      <c r="F18385" t="s">
        <v>308</v>
      </c>
      <c r="G18385">
        <v>137.59</v>
      </c>
      <c r="H18385">
        <v>251027</v>
      </c>
      <c r="I18385">
        <v>4510</v>
      </c>
      <c r="J18385" t="s">
        <v>240</v>
      </c>
      <c r="K18385">
        <v>550.38</v>
      </c>
      <c r="L18385">
        <v>16.899999999999999</v>
      </c>
      <c r="M18385">
        <v>13502</v>
      </c>
      <c r="N18385" t="s">
        <v>302</v>
      </c>
      <c r="O18385">
        <v>251107</v>
      </c>
      <c r="P18385">
        <v>120.69</v>
      </c>
    </row>
    <row r="18386" spans="1:16" x14ac:dyDescent="0.25">
      <c r="A18386" t="s">
        <v>3296</v>
      </c>
      <c r="B18386" t="s">
        <v>2931</v>
      </c>
      <c r="C18386">
        <v>15047</v>
      </c>
      <c r="D18386" t="str">
        <f>"INV525187240"</f>
        <v>INV525187240</v>
      </c>
      <c r="E18386" t="s">
        <v>306</v>
      </c>
      <c r="F18386" t="s">
        <v>308</v>
      </c>
      <c r="G18386">
        <v>28.99</v>
      </c>
      <c r="H18386">
        <v>251020</v>
      </c>
      <c r="I18386">
        <v>4510</v>
      </c>
      <c r="J18386" t="s">
        <v>240</v>
      </c>
      <c r="K18386">
        <v>115.95</v>
      </c>
      <c r="L18386">
        <v>3.56</v>
      </c>
      <c r="M18386">
        <v>13502</v>
      </c>
      <c r="N18386" t="s">
        <v>302</v>
      </c>
      <c r="O18386">
        <v>251111</v>
      </c>
      <c r="P18386">
        <v>25.43</v>
      </c>
    </row>
    <row r="18387" spans="1:16" x14ac:dyDescent="0.25">
      <c r="A18387" t="s">
        <v>3296</v>
      </c>
      <c r="B18387" t="s">
        <v>2931</v>
      </c>
      <c r="C18387">
        <v>15489</v>
      </c>
      <c r="D18387" t="str">
        <f>"INV525201858"</f>
        <v>INV525201858</v>
      </c>
      <c r="E18387" t="s">
        <v>306</v>
      </c>
      <c r="F18387" t="s">
        <v>308</v>
      </c>
      <c r="G18387">
        <v>34.369999999999997</v>
      </c>
      <c r="H18387">
        <v>251110</v>
      </c>
      <c r="I18387">
        <v>4510</v>
      </c>
      <c r="J18387" t="s">
        <v>240</v>
      </c>
      <c r="K18387">
        <v>34.369999999999997</v>
      </c>
      <c r="L18387">
        <v>4.22</v>
      </c>
      <c r="M18387">
        <v>13502</v>
      </c>
      <c r="N18387" t="s">
        <v>302</v>
      </c>
      <c r="O18387">
        <v>251121</v>
      </c>
      <c r="P18387">
        <v>30.15</v>
      </c>
    </row>
    <row r="18388" spans="1:16" x14ac:dyDescent="0.25">
      <c r="A18388" t="s">
        <v>3296</v>
      </c>
      <c r="B18388" t="s">
        <v>2931</v>
      </c>
      <c r="C18388">
        <v>15574</v>
      </c>
      <c r="D18388" t="str">
        <f>"INV525206191"</f>
        <v>INV525206191</v>
      </c>
      <c r="E18388" t="s">
        <v>306</v>
      </c>
      <c r="F18388" t="s">
        <v>308</v>
      </c>
      <c r="G18388">
        <v>13.17</v>
      </c>
      <c r="H18388">
        <v>251117</v>
      </c>
      <c r="I18388">
        <v>4510</v>
      </c>
      <c r="J18388" t="s">
        <v>240</v>
      </c>
      <c r="K18388">
        <v>13.17</v>
      </c>
      <c r="L18388">
        <v>1.62</v>
      </c>
      <c r="M18388">
        <v>13202</v>
      </c>
      <c r="N18388" t="s">
        <v>601</v>
      </c>
      <c r="O18388">
        <v>251121</v>
      </c>
      <c r="P18388">
        <v>11.55</v>
      </c>
    </row>
    <row r="18389" spans="1:16" x14ac:dyDescent="0.25">
      <c r="A18389" t="s">
        <v>3296</v>
      </c>
      <c r="B18389" t="s">
        <v>2931</v>
      </c>
      <c r="C18389">
        <v>15575</v>
      </c>
      <c r="D18389" t="str">
        <f>"INV525206190"</f>
        <v>INV525206190</v>
      </c>
      <c r="E18389" t="s">
        <v>306</v>
      </c>
      <c r="F18389" t="s">
        <v>308</v>
      </c>
      <c r="G18389">
        <v>19.38</v>
      </c>
      <c r="H18389">
        <v>251117</v>
      </c>
      <c r="I18389">
        <v>4510</v>
      </c>
      <c r="J18389" t="s">
        <v>240</v>
      </c>
      <c r="K18389">
        <v>19.38</v>
      </c>
      <c r="L18389">
        <v>2.38</v>
      </c>
      <c r="M18389">
        <v>13502</v>
      </c>
      <c r="N18389" t="s">
        <v>302</v>
      </c>
      <c r="O18389">
        <v>251121</v>
      </c>
      <c r="P18389">
        <v>17</v>
      </c>
    </row>
    <row r="18390" spans="1:16" x14ac:dyDescent="0.25">
      <c r="A18390" t="s">
        <v>3296</v>
      </c>
      <c r="B18390" t="s">
        <v>2931</v>
      </c>
      <c r="C18390">
        <v>15855</v>
      </c>
      <c r="D18390" t="str">
        <f>"INV525211895"</f>
        <v>INV525211895</v>
      </c>
      <c r="E18390" t="s">
        <v>306</v>
      </c>
      <c r="F18390" t="s">
        <v>308</v>
      </c>
      <c r="G18390">
        <v>15.54</v>
      </c>
      <c r="H18390">
        <v>251124</v>
      </c>
      <c r="I18390">
        <v>4510</v>
      </c>
      <c r="J18390" t="s">
        <v>240</v>
      </c>
      <c r="K18390">
        <v>15.54</v>
      </c>
      <c r="L18390">
        <v>1.91</v>
      </c>
      <c r="M18390">
        <v>13202</v>
      </c>
      <c r="N18390" t="s">
        <v>601</v>
      </c>
      <c r="O18390">
        <v>251127</v>
      </c>
      <c r="P18390">
        <v>13.63</v>
      </c>
    </row>
    <row r="18391" spans="1:16" x14ac:dyDescent="0.25">
      <c r="A18391" t="s">
        <v>3296</v>
      </c>
      <c r="B18391" t="s">
        <v>2931</v>
      </c>
      <c r="C18391">
        <v>16291</v>
      </c>
      <c r="D18391" t="str">
        <f>"INV525216856"</f>
        <v>INV525216856</v>
      </c>
      <c r="E18391" t="s">
        <v>306</v>
      </c>
      <c r="F18391" t="s">
        <v>308</v>
      </c>
      <c r="G18391">
        <v>19.38</v>
      </c>
      <c r="H18391">
        <v>251130</v>
      </c>
      <c r="I18391">
        <v>4510</v>
      </c>
      <c r="J18391" t="s">
        <v>240</v>
      </c>
      <c r="K18391">
        <v>19.38</v>
      </c>
      <c r="L18391">
        <v>2.38</v>
      </c>
      <c r="M18391">
        <v>13502</v>
      </c>
      <c r="N18391" t="s">
        <v>302</v>
      </c>
      <c r="O18391">
        <v>251205</v>
      </c>
      <c r="P18391">
        <v>17</v>
      </c>
    </row>
    <row r="18392" spans="1:16" x14ac:dyDescent="0.25">
      <c r="A18392" t="s">
        <v>3296</v>
      </c>
      <c r="B18392" t="s">
        <v>2931</v>
      </c>
      <c r="C18392">
        <v>16307</v>
      </c>
      <c r="D18392" t="str">
        <f>"INV525216933"</f>
        <v>INV525216933</v>
      </c>
      <c r="E18392" t="s">
        <v>306</v>
      </c>
      <c r="F18392" t="s">
        <v>308</v>
      </c>
      <c r="G18392">
        <v>60.13</v>
      </c>
      <c r="H18392">
        <v>251130</v>
      </c>
      <c r="I18392">
        <v>4510</v>
      </c>
      <c r="J18392" t="s">
        <v>240</v>
      </c>
      <c r="K18392">
        <v>101.43</v>
      </c>
      <c r="L18392">
        <v>7.38</v>
      </c>
      <c r="M18392">
        <v>41127</v>
      </c>
      <c r="N18392" t="s">
        <v>2273</v>
      </c>
      <c r="O18392">
        <v>251205</v>
      </c>
      <c r="P18392">
        <v>52.75</v>
      </c>
    </row>
    <row r="18393" spans="1:16" x14ac:dyDescent="0.25">
      <c r="A18393" t="s">
        <v>3296</v>
      </c>
      <c r="B18393" t="s">
        <v>2931</v>
      </c>
      <c r="C18393">
        <v>16307</v>
      </c>
      <c r="D18393" t="str">
        <f>"INV525216933"</f>
        <v>INV525216933</v>
      </c>
      <c r="E18393" t="s">
        <v>306</v>
      </c>
      <c r="F18393" t="s">
        <v>308</v>
      </c>
      <c r="G18393">
        <v>41.3</v>
      </c>
      <c r="H18393">
        <v>251130</v>
      </c>
      <c r="I18393">
        <v>4510</v>
      </c>
      <c r="J18393" t="s">
        <v>240</v>
      </c>
      <c r="K18393">
        <v>101.43</v>
      </c>
      <c r="L18393">
        <v>5.07</v>
      </c>
      <c r="M18393">
        <v>49702</v>
      </c>
      <c r="N18393" t="s">
        <v>112</v>
      </c>
      <c r="O18393">
        <v>251205</v>
      </c>
      <c r="P18393">
        <v>36.229999999999997</v>
      </c>
    </row>
    <row r="18394" spans="1:16" x14ac:dyDescent="0.25">
      <c r="A18394" t="s">
        <v>3296</v>
      </c>
      <c r="B18394" t="s">
        <v>2931</v>
      </c>
      <c r="C18394">
        <v>16308</v>
      </c>
      <c r="D18394" t="str">
        <f>"INV525216935"</f>
        <v>INV525216935</v>
      </c>
      <c r="E18394" t="s">
        <v>306</v>
      </c>
      <c r="F18394" t="s">
        <v>308</v>
      </c>
      <c r="G18394">
        <v>20.29</v>
      </c>
      <c r="H18394">
        <v>251130</v>
      </c>
      <c r="I18394">
        <v>4510</v>
      </c>
      <c r="J18394" t="s">
        <v>240</v>
      </c>
      <c r="K18394">
        <v>20.29</v>
      </c>
      <c r="L18394">
        <v>2.4900000000000002</v>
      </c>
      <c r="M18394">
        <v>13402</v>
      </c>
      <c r="N18394" t="s">
        <v>307</v>
      </c>
      <c r="O18394">
        <v>251205</v>
      </c>
      <c r="P18394">
        <v>17.8</v>
      </c>
    </row>
    <row r="18395" spans="1:16" x14ac:dyDescent="0.25">
      <c r="A18395" t="s">
        <v>3296</v>
      </c>
      <c r="B18395" t="s">
        <v>2931</v>
      </c>
      <c r="C18395">
        <v>16760</v>
      </c>
      <c r="D18395" t="str">
        <f>"INV525216934"</f>
        <v>INV525216934</v>
      </c>
      <c r="E18395" t="s">
        <v>306</v>
      </c>
      <c r="F18395" t="s">
        <v>308</v>
      </c>
      <c r="G18395">
        <v>62.24</v>
      </c>
      <c r="H18395">
        <v>251130</v>
      </c>
      <c r="I18395">
        <v>4510</v>
      </c>
      <c r="J18395" t="s">
        <v>240</v>
      </c>
      <c r="K18395">
        <v>62.24</v>
      </c>
      <c r="L18395">
        <v>7.64</v>
      </c>
      <c r="M18395">
        <v>18972</v>
      </c>
      <c r="N18395" t="s">
        <v>39</v>
      </c>
      <c r="O18395">
        <v>251211</v>
      </c>
      <c r="P18395">
        <v>54.6</v>
      </c>
    </row>
    <row r="18396" spans="1:16" x14ac:dyDescent="0.25">
      <c r="A18396" t="s">
        <v>3296</v>
      </c>
      <c r="B18396" t="s">
        <v>2931</v>
      </c>
      <c r="C18396">
        <v>16765</v>
      </c>
      <c r="D18396" t="str">
        <f>"INV525226478"</f>
        <v>INV525226478</v>
      </c>
      <c r="E18396" t="s">
        <v>306</v>
      </c>
      <c r="F18396" t="s">
        <v>308</v>
      </c>
      <c r="G18396">
        <v>295.98</v>
      </c>
      <c r="H18396">
        <v>251210</v>
      </c>
      <c r="I18396">
        <v>4510</v>
      </c>
      <c r="J18396" t="s">
        <v>240</v>
      </c>
      <c r="K18396">
        <v>295.98</v>
      </c>
      <c r="L18396">
        <v>36.35</v>
      </c>
      <c r="M18396">
        <v>13801</v>
      </c>
      <c r="N18396" t="s">
        <v>33</v>
      </c>
      <c r="O18396">
        <v>251211</v>
      </c>
      <c r="P18396">
        <v>259.63</v>
      </c>
    </row>
    <row r="18397" spans="1:16" x14ac:dyDescent="0.25">
      <c r="A18397" t="s">
        <v>3296</v>
      </c>
      <c r="B18397" t="s">
        <v>2931</v>
      </c>
      <c r="C18397">
        <v>16918</v>
      </c>
      <c r="D18397" t="str">
        <f>"INV525211961"</f>
        <v>INV525211961</v>
      </c>
      <c r="E18397" t="s">
        <v>306</v>
      </c>
      <c r="F18397" t="s">
        <v>308</v>
      </c>
      <c r="G18397">
        <v>24.5</v>
      </c>
      <c r="H18397">
        <v>251124</v>
      </c>
      <c r="I18397">
        <v>4510</v>
      </c>
      <c r="J18397" t="s">
        <v>240</v>
      </c>
      <c r="K18397">
        <v>24.5</v>
      </c>
      <c r="L18397">
        <v>3.01</v>
      </c>
      <c r="M18397">
        <v>49702</v>
      </c>
      <c r="N18397" t="s">
        <v>112</v>
      </c>
      <c r="O18397">
        <v>251215</v>
      </c>
      <c r="P18397">
        <v>21.49</v>
      </c>
    </row>
    <row r="18398" spans="1:16" x14ac:dyDescent="0.25">
      <c r="A18398" t="s">
        <v>3296</v>
      </c>
      <c r="B18398" t="s">
        <v>2931</v>
      </c>
      <c r="C18398">
        <v>17703</v>
      </c>
      <c r="D18398" t="str">
        <f>"INV525231093"</f>
        <v>INV525231093</v>
      </c>
      <c r="E18398" t="s">
        <v>306</v>
      </c>
      <c r="F18398" t="s">
        <v>308</v>
      </c>
      <c r="G18398">
        <v>138.88</v>
      </c>
      <c r="H18398">
        <v>251215</v>
      </c>
      <c r="I18398">
        <v>4510</v>
      </c>
      <c r="J18398" t="s">
        <v>240</v>
      </c>
      <c r="K18398">
        <v>138.88</v>
      </c>
      <c r="L18398">
        <v>17.059999999999999</v>
      </c>
      <c r="M18398">
        <v>13502</v>
      </c>
      <c r="N18398" t="s">
        <v>302</v>
      </c>
      <c r="O18398">
        <v>251229</v>
      </c>
      <c r="P18398">
        <v>121.82</v>
      </c>
    </row>
    <row r="18399" spans="1:16" x14ac:dyDescent="0.25">
      <c r="A18399" t="s">
        <v>3296</v>
      </c>
      <c r="B18399" t="s">
        <v>2931</v>
      </c>
      <c r="C18399">
        <v>17754</v>
      </c>
      <c r="D18399" t="str">
        <f>"INV525225342"</f>
        <v>INV525225342</v>
      </c>
      <c r="E18399" t="s">
        <v>306</v>
      </c>
      <c r="F18399" t="s">
        <v>308</v>
      </c>
      <c r="G18399">
        <v>18.829999999999998</v>
      </c>
      <c r="H18399">
        <v>251208</v>
      </c>
      <c r="I18399">
        <v>4510</v>
      </c>
      <c r="J18399" t="s">
        <v>240</v>
      </c>
      <c r="K18399">
        <v>18.829999999999998</v>
      </c>
      <c r="L18399">
        <v>2.31</v>
      </c>
      <c r="M18399">
        <v>54222</v>
      </c>
      <c r="N18399" t="s">
        <v>48</v>
      </c>
      <c r="O18399">
        <v>251230</v>
      </c>
      <c r="P18399">
        <v>16.52</v>
      </c>
    </row>
    <row r="18400" spans="1:16" x14ac:dyDescent="0.25">
      <c r="A18400" t="s">
        <v>3296</v>
      </c>
      <c r="B18400" t="s">
        <v>2931</v>
      </c>
      <c r="C18400">
        <v>17755</v>
      </c>
      <c r="D18400" t="str">
        <f>"INV525225341"</f>
        <v>INV525225341</v>
      </c>
      <c r="E18400" t="s">
        <v>306</v>
      </c>
      <c r="F18400" t="s">
        <v>308</v>
      </c>
      <c r="G18400">
        <v>127.75</v>
      </c>
      <c r="H18400">
        <v>251208</v>
      </c>
      <c r="I18400">
        <v>4510</v>
      </c>
      <c r="J18400" t="s">
        <v>240</v>
      </c>
      <c r="K18400">
        <v>127.75</v>
      </c>
      <c r="L18400">
        <v>15.69</v>
      </c>
      <c r="M18400">
        <v>49702</v>
      </c>
      <c r="N18400" t="s">
        <v>112</v>
      </c>
      <c r="O18400">
        <v>251230</v>
      </c>
      <c r="P18400">
        <v>112.06</v>
      </c>
    </row>
    <row r="18401" spans="1:16" x14ac:dyDescent="0.25">
      <c r="A18401" t="s">
        <v>3296</v>
      </c>
      <c r="B18401" t="s">
        <v>2931</v>
      </c>
      <c r="C18401">
        <v>17779</v>
      </c>
      <c r="D18401" t="str">
        <f>"INV525235615"</f>
        <v>INV525235615</v>
      </c>
      <c r="E18401" t="s">
        <v>306</v>
      </c>
      <c r="F18401" t="s">
        <v>308</v>
      </c>
      <c r="G18401">
        <v>122.8</v>
      </c>
      <c r="H18401">
        <v>251218</v>
      </c>
      <c r="I18401">
        <v>4510</v>
      </c>
      <c r="J18401" t="s">
        <v>240</v>
      </c>
      <c r="K18401">
        <v>122.8</v>
      </c>
      <c r="L18401">
        <v>15.08</v>
      </c>
      <c r="M18401">
        <v>48601</v>
      </c>
      <c r="N18401" t="s">
        <v>107</v>
      </c>
      <c r="O18401">
        <v>251230</v>
      </c>
      <c r="P18401">
        <v>107.72</v>
      </c>
    </row>
    <row r="18402" spans="1:16" x14ac:dyDescent="0.25">
      <c r="A18402" t="s">
        <v>3296</v>
      </c>
      <c r="B18402" t="s">
        <v>2931</v>
      </c>
      <c r="C18402">
        <v>18047</v>
      </c>
      <c r="D18402" t="str">
        <f>"INV525231153"</f>
        <v>INV525231153</v>
      </c>
      <c r="E18402" t="s">
        <v>306</v>
      </c>
      <c r="F18402" t="s">
        <v>308</v>
      </c>
      <c r="G18402">
        <v>12.46</v>
      </c>
      <c r="H18402">
        <v>251215</v>
      </c>
      <c r="I18402">
        <v>4510</v>
      </c>
      <c r="J18402" t="s">
        <v>240</v>
      </c>
      <c r="K18402">
        <v>87.21</v>
      </c>
      <c r="L18402">
        <v>1.53</v>
      </c>
      <c r="M18402">
        <v>13402</v>
      </c>
      <c r="N18402" t="s">
        <v>307</v>
      </c>
      <c r="O18402">
        <v>260108</v>
      </c>
      <c r="P18402">
        <v>10.93</v>
      </c>
    </row>
    <row r="18403" spans="1:16" x14ac:dyDescent="0.25">
      <c r="A18403" t="s">
        <v>3296</v>
      </c>
      <c r="B18403" t="s">
        <v>2931</v>
      </c>
      <c r="C18403">
        <v>18167</v>
      </c>
      <c r="D18403" t="str">
        <f>"INV525237228"</f>
        <v>INV525237228</v>
      </c>
      <c r="E18403" t="s">
        <v>306</v>
      </c>
      <c r="F18403" t="s">
        <v>308</v>
      </c>
      <c r="G18403">
        <v>163.59</v>
      </c>
      <c r="H18403">
        <v>251222</v>
      </c>
      <c r="I18403">
        <v>4510</v>
      </c>
      <c r="J18403" t="s">
        <v>240</v>
      </c>
      <c r="K18403">
        <v>163.59</v>
      </c>
      <c r="L18403">
        <v>20.09</v>
      </c>
      <c r="M18403">
        <v>13402</v>
      </c>
      <c r="N18403" t="s">
        <v>307</v>
      </c>
      <c r="O18403">
        <v>260109</v>
      </c>
      <c r="P18403">
        <v>143.5</v>
      </c>
    </row>
    <row r="18404" spans="1:16" x14ac:dyDescent="0.25">
      <c r="A18404" t="s">
        <v>3296</v>
      </c>
      <c r="B18404" t="s">
        <v>2931</v>
      </c>
      <c r="C18404">
        <v>11005</v>
      </c>
      <c r="D18404" t="str">
        <f>"INV525145784"</f>
        <v>INV525145784</v>
      </c>
      <c r="E18404" t="s">
        <v>306</v>
      </c>
      <c r="F18404" t="s">
        <v>308</v>
      </c>
      <c r="G18404">
        <v>1418.68</v>
      </c>
      <c r="H18404">
        <v>250825</v>
      </c>
      <c r="I18404">
        <v>4600</v>
      </c>
      <c r="J18404" t="s">
        <v>278</v>
      </c>
      <c r="K18404">
        <v>1418.68</v>
      </c>
      <c r="L18404">
        <v>174.22</v>
      </c>
      <c r="M18404">
        <v>54222</v>
      </c>
      <c r="N18404" t="s">
        <v>48</v>
      </c>
      <c r="O18404">
        <v>250829</v>
      </c>
      <c r="P18404">
        <v>1244.46</v>
      </c>
    </row>
    <row r="18405" spans="1:16" x14ac:dyDescent="0.25">
      <c r="A18405" t="s">
        <v>3296</v>
      </c>
      <c r="B18405" t="s">
        <v>2931</v>
      </c>
      <c r="C18405">
        <v>354</v>
      </c>
      <c r="D18405" t="str">
        <f>"5556958     "</f>
        <v xml:space="preserve">5556958     </v>
      </c>
      <c r="E18405" t="s">
        <v>451</v>
      </c>
      <c r="F18405" t="s">
        <v>452</v>
      </c>
      <c r="G18405">
        <v>56.61</v>
      </c>
      <c r="H18405">
        <v>250115</v>
      </c>
      <c r="I18405">
        <v>4600</v>
      </c>
      <c r="J18405" t="s">
        <v>278</v>
      </c>
      <c r="K18405">
        <v>56.61</v>
      </c>
      <c r="L18405">
        <v>11.5</v>
      </c>
      <c r="M18405">
        <v>56565</v>
      </c>
      <c r="N18405" t="s">
        <v>57</v>
      </c>
      <c r="O18405">
        <v>250122</v>
      </c>
      <c r="P18405">
        <v>45.11</v>
      </c>
    </row>
    <row r="18406" spans="1:16" x14ac:dyDescent="0.25">
      <c r="A18406" t="s">
        <v>3296</v>
      </c>
      <c r="B18406" t="s">
        <v>2931</v>
      </c>
      <c r="C18406">
        <v>14115</v>
      </c>
      <c r="D18406" t="str">
        <f>"5625065     "</f>
        <v xml:space="preserve">5625065     </v>
      </c>
      <c r="E18406" t="s">
        <v>451</v>
      </c>
      <c r="F18406" t="s">
        <v>452</v>
      </c>
      <c r="G18406">
        <v>109.34</v>
      </c>
      <c r="H18406">
        <v>251021</v>
      </c>
      <c r="I18406">
        <v>4600</v>
      </c>
      <c r="J18406" t="s">
        <v>278</v>
      </c>
      <c r="K18406">
        <v>109.34</v>
      </c>
      <c r="L18406">
        <v>22.22</v>
      </c>
      <c r="M18406">
        <v>56565</v>
      </c>
      <c r="N18406" t="s">
        <v>57</v>
      </c>
      <c r="O18406">
        <v>251024</v>
      </c>
      <c r="P18406">
        <v>87.12</v>
      </c>
    </row>
    <row r="18407" spans="1:16" x14ac:dyDescent="0.25">
      <c r="A18407" t="s">
        <v>3296</v>
      </c>
      <c r="B18407" t="s">
        <v>2931</v>
      </c>
      <c r="C18407">
        <v>9862</v>
      </c>
      <c r="D18407" t="str">
        <f>"01072025    "</f>
        <v xml:space="preserve">01072025    </v>
      </c>
      <c r="E18407" t="s">
        <v>3255</v>
      </c>
      <c r="G18407">
        <v>680</v>
      </c>
      <c r="H18407">
        <v>250706</v>
      </c>
      <c r="I18407">
        <v>4440</v>
      </c>
      <c r="J18407" t="s">
        <v>346</v>
      </c>
      <c r="K18407">
        <v>680</v>
      </c>
      <c r="L18407">
        <v>0</v>
      </c>
      <c r="M18407">
        <v>17131</v>
      </c>
      <c r="N18407" t="s">
        <v>154</v>
      </c>
      <c r="O18407">
        <v>250731</v>
      </c>
      <c r="P18407">
        <v>680</v>
      </c>
    </row>
    <row r="18408" spans="1:16" x14ac:dyDescent="0.25">
      <c r="A18408" t="s">
        <v>3296</v>
      </c>
      <c r="B18408" t="s">
        <v>2931</v>
      </c>
      <c r="C18408">
        <v>2112</v>
      </c>
      <c r="D18408" t="str">
        <f>"1213969     "</f>
        <v xml:space="preserve">1213969     </v>
      </c>
      <c r="E18408" t="s">
        <v>1199</v>
      </c>
      <c r="F18408" t="s">
        <v>1200</v>
      </c>
      <c r="G18408">
        <v>38</v>
      </c>
      <c r="H18408">
        <v>250212</v>
      </c>
      <c r="I18408">
        <v>4400</v>
      </c>
      <c r="J18408" t="s">
        <v>162</v>
      </c>
      <c r="K18408">
        <v>38</v>
      </c>
      <c r="L18408">
        <v>7.72</v>
      </c>
      <c r="M18408">
        <v>49501</v>
      </c>
      <c r="N18408" t="s">
        <v>110</v>
      </c>
      <c r="O18408">
        <v>250220</v>
      </c>
      <c r="P18408">
        <v>30.28</v>
      </c>
    </row>
    <row r="18409" spans="1:16" x14ac:dyDescent="0.25">
      <c r="A18409" t="s">
        <v>3296</v>
      </c>
      <c r="B18409" t="s">
        <v>2931</v>
      </c>
      <c r="C18409">
        <v>2303</v>
      </c>
      <c r="D18409" t="str">
        <f>"1213978     "</f>
        <v xml:space="preserve">1213978     </v>
      </c>
      <c r="E18409" t="s">
        <v>1199</v>
      </c>
      <c r="F18409" t="s">
        <v>1200</v>
      </c>
      <c r="G18409">
        <v>823.04</v>
      </c>
      <c r="H18409">
        <v>250218</v>
      </c>
      <c r="I18409">
        <v>4600</v>
      </c>
      <c r="J18409" t="s">
        <v>278</v>
      </c>
      <c r="K18409">
        <v>823.04</v>
      </c>
      <c r="L18409">
        <v>167.23</v>
      </c>
      <c r="M18409">
        <v>47522</v>
      </c>
      <c r="N18409" t="s">
        <v>106</v>
      </c>
      <c r="O18409">
        <v>250224</v>
      </c>
      <c r="P18409">
        <v>655.81</v>
      </c>
    </row>
    <row r="18410" spans="1:16" x14ac:dyDescent="0.25">
      <c r="A18410" t="s">
        <v>3296</v>
      </c>
      <c r="B18410" t="s">
        <v>2931</v>
      </c>
      <c r="C18410">
        <v>13223</v>
      </c>
      <c r="D18410" t="str">
        <f>"1214458     "</f>
        <v xml:space="preserve">1214458     </v>
      </c>
      <c r="E18410" t="s">
        <v>1199</v>
      </c>
      <c r="F18410" t="s">
        <v>1200</v>
      </c>
      <c r="G18410">
        <v>15</v>
      </c>
      <c r="H18410">
        <v>250930</v>
      </c>
      <c r="I18410">
        <v>4600</v>
      </c>
      <c r="J18410" t="s">
        <v>278</v>
      </c>
      <c r="K18410">
        <v>15</v>
      </c>
      <c r="L18410">
        <v>3.05</v>
      </c>
      <c r="M18410">
        <v>47522</v>
      </c>
      <c r="N18410" t="s">
        <v>106</v>
      </c>
      <c r="O18410">
        <v>251006</v>
      </c>
      <c r="P18410">
        <v>11.95</v>
      </c>
    </row>
    <row r="18411" spans="1:16" x14ac:dyDescent="0.25">
      <c r="A18411" t="s">
        <v>3296</v>
      </c>
      <c r="B18411" t="s">
        <v>2931</v>
      </c>
      <c r="C18411">
        <v>14134</v>
      </c>
      <c r="D18411" t="str">
        <f>"1214481     "</f>
        <v xml:space="preserve">1214481     </v>
      </c>
      <c r="E18411" t="s">
        <v>1199</v>
      </c>
      <c r="F18411" t="s">
        <v>1200</v>
      </c>
      <c r="G18411">
        <v>102</v>
      </c>
      <c r="H18411">
        <v>251010</v>
      </c>
      <c r="I18411">
        <v>4600</v>
      </c>
      <c r="J18411" t="s">
        <v>278</v>
      </c>
      <c r="K18411">
        <v>102</v>
      </c>
      <c r="L18411">
        <v>20.73</v>
      </c>
      <c r="M18411">
        <v>44222</v>
      </c>
      <c r="N18411" t="s">
        <v>96</v>
      </c>
      <c r="O18411">
        <v>251024</v>
      </c>
      <c r="P18411">
        <v>81.27</v>
      </c>
    </row>
    <row r="18412" spans="1:16" x14ac:dyDescent="0.25">
      <c r="A18412" t="s">
        <v>3296</v>
      </c>
      <c r="B18412" t="s">
        <v>2931</v>
      </c>
      <c r="C18412">
        <v>9872</v>
      </c>
      <c r="D18412" t="str">
        <f>"ML935217    "</f>
        <v xml:space="preserve">ML935217    </v>
      </c>
      <c r="E18412" t="s">
        <v>2152</v>
      </c>
      <c r="F18412" t="s">
        <v>2153</v>
      </c>
      <c r="G18412">
        <v>995.22</v>
      </c>
      <c r="H18412">
        <v>250722</v>
      </c>
      <c r="I18412">
        <v>4400</v>
      </c>
      <c r="J18412" t="s">
        <v>162</v>
      </c>
      <c r="K18412">
        <v>995.22</v>
      </c>
      <c r="L18412">
        <v>202.22</v>
      </c>
      <c r="M18412">
        <v>17951</v>
      </c>
      <c r="N18412" t="s">
        <v>207</v>
      </c>
      <c r="O18412">
        <v>250731</v>
      </c>
      <c r="P18412">
        <v>793</v>
      </c>
    </row>
    <row r="18413" spans="1:16" x14ac:dyDescent="0.25">
      <c r="A18413" t="s">
        <v>3296</v>
      </c>
      <c r="B18413" t="s">
        <v>2931</v>
      </c>
      <c r="C18413">
        <v>15160</v>
      </c>
      <c r="D18413" t="str">
        <f>"425895      "</f>
        <v xml:space="preserve">425895      </v>
      </c>
      <c r="E18413" t="s">
        <v>2552</v>
      </c>
      <c r="F18413" t="s">
        <v>2553</v>
      </c>
      <c r="G18413">
        <v>125.84</v>
      </c>
      <c r="H18413">
        <v>251104</v>
      </c>
      <c r="I18413">
        <v>4600</v>
      </c>
      <c r="J18413" t="s">
        <v>278</v>
      </c>
      <c r="K18413">
        <v>125.84</v>
      </c>
      <c r="L18413">
        <v>25.57</v>
      </c>
      <c r="M18413">
        <v>49501</v>
      </c>
      <c r="N18413" t="s">
        <v>110</v>
      </c>
      <c r="O18413">
        <v>251113</v>
      </c>
      <c r="P18413">
        <v>100.27</v>
      </c>
    </row>
    <row r="18414" spans="1:16" x14ac:dyDescent="0.25">
      <c r="A18414" t="s">
        <v>3296</v>
      </c>
      <c r="B18414" t="s">
        <v>2931</v>
      </c>
      <c r="C18414">
        <v>3584</v>
      </c>
      <c r="D18414" t="str">
        <f>"2134        "</f>
        <v xml:space="preserve">2134        </v>
      </c>
      <c r="E18414" t="s">
        <v>1475</v>
      </c>
      <c r="F18414" t="s">
        <v>1476</v>
      </c>
      <c r="G18414">
        <v>169</v>
      </c>
      <c r="H18414">
        <v>250314</v>
      </c>
      <c r="I18414">
        <v>4600</v>
      </c>
      <c r="J18414" t="s">
        <v>278</v>
      </c>
      <c r="K18414">
        <v>169</v>
      </c>
      <c r="L18414">
        <v>34.340000000000003</v>
      </c>
      <c r="M18414">
        <v>13801</v>
      </c>
      <c r="N18414" t="s">
        <v>33</v>
      </c>
      <c r="O18414">
        <v>250325</v>
      </c>
      <c r="P18414">
        <v>134.66</v>
      </c>
    </row>
    <row r="18415" spans="1:16" x14ac:dyDescent="0.25">
      <c r="A18415" t="s">
        <v>3296</v>
      </c>
      <c r="B18415" t="s">
        <v>2931</v>
      </c>
      <c r="C18415">
        <v>13737</v>
      </c>
      <c r="D18415" t="str">
        <f>"201951      "</f>
        <v xml:space="preserve">201951      </v>
      </c>
      <c r="E18415" t="s">
        <v>1736</v>
      </c>
      <c r="F18415" t="s">
        <v>1737</v>
      </c>
      <c r="G18415">
        <v>962.59</v>
      </c>
      <c r="H18415">
        <v>251001</v>
      </c>
      <c r="I18415">
        <v>4580</v>
      </c>
      <c r="J18415" t="s">
        <v>126</v>
      </c>
      <c r="K18415">
        <v>962.59</v>
      </c>
      <c r="L18415">
        <v>195.59</v>
      </c>
      <c r="M18415">
        <v>17529</v>
      </c>
      <c r="N18415" t="s">
        <v>143</v>
      </c>
      <c r="O18415">
        <v>251017</v>
      </c>
      <c r="P18415">
        <v>767</v>
      </c>
    </row>
    <row r="18416" spans="1:16" x14ac:dyDescent="0.25">
      <c r="A18416" t="s">
        <v>3296</v>
      </c>
      <c r="B18416" t="s">
        <v>2931</v>
      </c>
      <c r="C18416">
        <v>5411</v>
      </c>
      <c r="D18416" t="str">
        <f>"201877      "</f>
        <v xml:space="preserve">201877      </v>
      </c>
      <c r="E18416" t="s">
        <v>1736</v>
      </c>
      <c r="F18416" t="s">
        <v>1737</v>
      </c>
      <c r="G18416">
        <v>112.53</v>
      </c>
      <c r="H18416">
        <v>250415</v>
      </c>
      <c r="I18416">
        <v>4600</v>
      </c>
      <c r="J18416" t="s">
        <v>278</v>
      </c>
      <c r="K18416">
        <v>112.53</v>
      </c>
      <c r="L18416">
        <v>22.86</v>
      </c>
      <c r="M18416">
        <v>46555</v>
      </c>
      <c r="N18416" t="s">
        <v>103</v>
      </c>
      <c r="O18416">
        <v>250424</v>
      </c>
      <c r="P18416">
        <v>89.67</v>
      </c>
    </row>
    <row r="18417" spans="1:16" x14ac:dyDescent="0.25">
      <c r="A18417" t="s">
        <v>3296</v>
      </c>
      <c r="B18417" t="s">
        <v>2931</v>
      </c>
      <c r="C18417">
        <v>1985</v>
      </c>
      <c r="D18417" t="str">
        <f>"814558      "</f>
        <v xml:space="preserve">814558      </v>
      </c>
      <c r="E18417" t="s">
        <v>1178</v>
      </c>
      <c r="F18417" t="s">
        <v>1179</v>
      </c>
      <c r="G18417">
        <v>258.5</v>
      </c>
      <c r="H18417">
        <v>250205</v>
      </c>
      <c r="I18417">
        <v>4400</v>
      </c>
      <c r="J18417" t="s">
        <v>162</v>
      </c>
      <c r="K18417">
        <v>258.5</v>
      </c>
      <c r="L18417">
        <v>52.52</v>
      </c>
      <c r="M18417">
        <v>49501</v>
      </c>
      <c r="N18417" t="s">
        <v>110</v>
      </c>
      <c r="O18417">
        <v>250218</v>
      </c>
      <c r="P18417">
        <v>205.98</v>
      </c>
    </row>
    <row r="18418" spans="1:16" x14ac:dyDescent="0.25">
      <c r="A18418" t="s">
        <v>3296</v>
      </c>
      <c r="B18418" t="s">
        <v>2931</v>
      </c>
      <c r="C18418">
        <v>10469</v>
      </c>
      <c r="D18418" t="str">
        <f>"705731      "</f>
        <v xml:space="preserve">705731      </v>
      </c>
      <c r="E18418" t="s">
        <v>1178</v>
      </c>
      <c r="F18418" t="s">
        <v>1179</v>
      </c>
      <c r="G18418">
        <v>84.5</v>
      </c>
      <c r="H18418">
        <v>250813</v>
      </c>
      <c r="I18418">
        <v>4400</v>
      </c>
      <c r="J18418" t="s">
        <v>162</v>
      </c>
      <c r="K18418">
        <v>84.5</v>
      </c>
      <c r="L18418">
        <v>17.170000000000002</v>
      </c>
      <c r="M18418">
        <v>17803</v>
      </c>
      <c r="N18418" t="s">
        <v>19</v>
      </c>
      <c r="O18418">
        <v>250820</v>
      </c>
      <c r="P18418">
        <v>67.33</v>
      </c>
    </row>
    <row r="18419" spans="1:16" x14ac:dyDescent="0.25">
      <c r="A18419" t="s">
        <v>3296</v>
      </c>
      <c r="B18419" t="s">
        <v>2931</v>
      </c>
      <c r="C18419">
        <v>12004</v>
      </c>
      <c r="D18419" t="str">
        <f>"73758       "</f>
        <v xml:space="preserve">73758       </v>
      </c>
      <c r="E18419" t="s">
        <v>1178</v>
      </c>
      <c r="F18419" t="s">
        <v>1179</v>
      </c>
      <c r="G18419">
        <v>155.5</v>
      </c>
      <c r="H18419">
        <v>250901</v>
      </c>
      <c r="I18419">
        <v>4400</v>
      </c>
      <c r="J18419" t="s">
        <v>162</v>
      </c>
      <c r="K18419">
        <v>155.5</v>
      </c>
      <c r="L18419">
        <v>31.6</v>
      </c>
      <c r="M18419">
        <v>49501</v>
      </c>
      <c r="N18419" t="s">
        <v>110</v>
      </c>
      <c r="O18419">
        <v>250915</v>
      </c>
      <c r="P18419">
        <v>123.9</v>
      </c>
    </row>
    <row r="18420" spans="1:16" x14ac:dyDescent="0.25">
      <c r="A18420" t="s">
        <v>3296</v>
      </c>
      <c r="B18420" t="s">
        <v>2931</v>
      </c>
      <c r="C18420">
        <v>5692</v>
      </c>
      <c r="D18420" t="str">
        <f>"71158       "</f>
        <v xml:space="preserve">71158       </v>
      </c>
      <c r="E18420" t="s">
        <v>1178</v>
      </c>
      <c r="F18420" t="s">
        <v>1179</v>
      </c>
      <c r="G18420">
        <v>116</v>
      </c>
      <c r="H18420">
        <v>250423</v>
      </c>
      <c r="I18420">
        <v>4600</v>
      </c>
      <c r="J18420" t="s">
        <v>278</v>
      </c>
      <c r="K18420">
        <v>116</v>
      </c>
      <c r="L18420">
        <v>23.57</v>
      </c>
      <c r="M18420">
        <v>49501</v>
      </c>
      <c r="N18420" t="s">
        <v>110</v>
      </c>
      <c r="O18420">
        <v>250429</v>
      </c>
      <c r="P18420">
        <v>92.43</v>
      </c>
    </row>
    <row r="18421" spans="1:16" x14ac:dyDescent="0.25">
      <c r="A18421" t="s">
        <v>3296</v>
      </c>
      <c r="B18421" t="s">
        <v>2931</v>
      </c>
      <c r="C18421">
        <v>16687</v>
      </c>
      <c r="D18421" t="str">
        <f t="shared" ref="D18421:D18431" si="313">"1512        "</f>
        <v xml:space="preserve">1512        </v>
      </c>
      <c r="E18421" t="s">
        <v>2011</v>
      </c>
      <c r="F18421" t="s">
        <v>2012</v>
      </c>
      <c r="G18421">
        <v>1002.75</v>
      </c>
      <c r="H18421">
        <v>251130</v>
      </c>
      <c r="I18421">
        <v>4440</v>
      </c>
      <c r="J18421" t="s">
        <v>346</v>
      </c>
      <c r="K18421">
        <v>5324.97</v>
      </c>
      <c r="L18421">
        <v>203.75</v>
      </c>
      <c r="M18421">
        <v>66722</v>
      </c>
      <c r="N18421" t="s">
        <v>118</v>
      </c>
      <c r="O18421">
        <v>251211</v>
      </c>
      <c r="P18421">
        <v>799</v>
      </c>
    </row>
    <row r="18422" spans="1:16" x14ac:dyDescent="0.25">
      <c r="A18422" t="s">
        <v>3296</v>
      </c>
      <c r="B18422" t="s">
        <v>2931</v>
      </c>
      <c r="C18422">
        <v>16687</v>
      </c>
      <c r="D18422" t="str">
        <f t="shared" si="313"/>
        <v xml:space="preserve">1512        </v>
      </c>
      <c r="E18422" t="s">
        <v>2011</v>
      </c>
      <c r="F18422" t="s">
        <v>2012</v>
      </c>
      <c r="G18422">
        <v>876</v>
      </c>
      <c r="H18422">
        <v>251130</v>
      </c>
      <c r="I18422">
        <v>4440</v>
      </c>
      <c r="J18422" t="s">
        <v>346</v>
      </c>
      <c r="K18422">
        <v>5324.97</v>
      </c>
      <c r="L18422">
        <v>177.99</v>
      </c>
      <c r="M18422">
        <v>66756</v>
      </c>
      <c r="N18422" t="s">
        <v>120</v>
      </c>
      <c r="O18422">
        <v>251211</v>
      </c>
      <c r="P18422">
        <v>698.01</v>
      </c>
    </row>
    <row r="18423" spans="1:16" x14ac:dyDescent="0.25">
      <c r="A18423" t="s">
        <v>3296</v>
      </c>
      <c r="B18423" t="s">
        <v>2931</v>
      </c>
      <c r="C18423">
        <v>16687</v>
      </c>
      <c r="D18423" t="str">
        <f t="shared" si="313"/>
        <v xml:space="preserve">1512        </v>
      </c>
      <c r="E18423" t="s">
        <v>2011</v>
      </c>
      <c r="F18423" t="s">
        <v>2012</v>
      </c>
      <c r="G18423">
        <v>2005.5</v>
      </c>
      <c r="H18423">
        <v>251130</v>
      </c>
      <c r="I18423">
        <v>4440</v>
      </c>
      <c r="J18423" t="s">
        <v>346</v>
      </c>
      <c r="K18423">
        <v>5324.97</v>
      </c>
      <c r="L18423">
        <v>407.49</v>
      </c>
      <c r="M18423">
        <v>67522</v>
      </c>
      <c r="N18423" t="s">
        <v>121</v>
      </c>
      <c r="O18423">
        <v>251211</v>
      </c>
      <c r="P18423">
        <v>1598.01</v>
      </c>
    </row>
    <row r="18424" spans="1:16" x14ac:dyDescent="0.25">
      <c r="A18424" t="s">
        <v>3296</v>
      </c>
      <c r="B18424" t="s">
        <v>2931</v>
      </c>
      <c r="C18424">
        <v>16687</v>
      </c>
      <c r="D18424" t="str">
        <f t="shared" si="313"/>
        <v xml:space="preserve">1512        </v>
      </c>
      <c r="E18424" t="s">
        <v>2011</v>
      </c>
      <c r="F18424" t="s">
        <v>2012</v>
      </c>
      <c r="G18424">
        <v>1002.72</v>
      </c>
      <c r="H18424">
        <v>251130</v>
      </c>
      <c r="I18424">
        <v>4440</v>
      </c>
      <c r="J18424" t="s">
        <v>346</v>
      </c>
      <c r="K18424">
        <v>5324.97</v>
      </c>
      <c r="L18424">
        <v>203.74</v>
      </c>
      <c r="M18424">
        <v>67522</v>
      </c>
      <c r="N18424" t="s">
        <v>121</v>
      </c>
      <c r="O18424">
        <v>251211</v>
      </c>
      <c r="P18424">
        <v>798.98</v>
      </c>
    </row>
    <row r="18425" spans="1:16" x14ac:dyDescent="0.25">
      <c r="A18425" t="s">
        <v>3296</v>
      </c>
      <c r="B18425" t="s">
        <v>2931</v>
      </c>
      <c r="C18425">
        <v>16687</v>
      </c>
      <c r="D18425" t="str">
        <f t="shared" si="313"/>
        <v xml:space="preserve">1512        </v>
      </c>
      <c r="E18425" t="s">
        <v>2011</v>
      </c>
      <c r="F18425" t="s">
        <v>2012</v>
      </c>
      <c r="G18425">
        <v>156.44999999999999</v>
      </c>
      <c r="H18425">
        <v>251130</v>
      </c>
      <c r="I18425">
        <v>4441</v>
      </c>
      <c r="J18425" t="s">
        <v>234</v>
      </c>
      <c r="K18425">
        <v>5324.97</v>
      </c>
      <c r="L18425">
        <v>31.79</v>
      </c>
      <c r="M18425">
        <v>61122</v>
      </c>
      <c r="N18425" t="s">
        <v>86</v>
      </c>
      <c r="O18425">
        <v>251211</v>
      </c>
      <c r="P18425">
        <v>124.66</v>
      </c>
    </row>
    <row r="18426" spans="1:16" x14ac:dyDescent="0.25">
      <c r="A18426" t="s">
        <v>3296</v>
      </c>
      <c r="B18426" t="s">
        <v>2931</v>
      </c>
      <c r="C18426">
        <v>16687</v>
      </c>
      <c r="D18426" t="str">
        <f t="shared" si="313"/>
        <v xml:space="preserve">1512        </v>
      </c>
      <c r="E18426" t="s">
        <v>2011</v>
      </c>
      <c r="F18426" t="s">
        <v>2012</v>
      </c>
      <c r="G18426">
        <v>31.29</v>
      </c>
      <c r="H18426">
        <v>251130</v>
      </c>
      <c r="I18426">
        <v>4441</v>
      </c>
      <c r="J18426" t="s">
        <v>234</v>
      </c>
      <c r="K18426">
        <v>5324.97</v>
      </c>
      <c r="L18426">
        <v>6.36</v>
      </c>
      <c r="M18426">
        <v>61122</v>
      </c>
      <c r="N18426" t="s">
        <v>86</v>
      </c>
      <c r="O18426">
        <v>251211</v>
      </c>
      <c r="P18426">
        <v>24.93</v>
      </c>
    </row>
    <row r="18427" spans="1:16" x14ac:dyDescent="0.25">
      <c r="A18427" t="s">
        <v>3296</v>
      </c>
      <c r="B18427" t="s">
        <v>2931</v>
      </c>
      <c r="C18427">
        <v>16687</v>
      </c>
      <c r="D18427" t="str">
        <f t="shared" si="313"/>
        <v xml:space="preserve">1512        </v>
      </c>
      <c r="E18427" t="s">
        <v>2011</v>
      </c>
      <c r="F18427" t="s">
        <v>2012</v>
      </c>
      <c r="G18427">
        <v>125.1</v>
      </c>
      <c r="H18427">
        <v>251130</v>
      </c>
      <c r="I18427">
        <v>4441</v>
      </c>
      <c r="J18427" t="s">
        <v>234</v>
      </c>
      <c r="K18427">
        <v>5324.97</v>
      </c>
      <c r="L18427">
        <v>25.42</v>
      </c>
      <c r="M18427">
        <v>65222</v>
      </c>
      <c r="N18427" t="s">
        <v>87</v>
      </c>
      <c r="O18427">
        <v>251211</v>
      </c>
      <c r="P18427">
        <v>99.68</v>
      </c>
    </row>
    <row r="18428" spans="1:16" x14ac:dyDescent="0.25">
      <c r="A18428" t="s">
        <v>3296</v>
      </c>
      <c r="B18428" t="s">
        <v>2931</v>
      </c>
      <c r="C18428">
        <v>16687</v>
      </c>
      <c r="D18428" t="str">
        <f t="shared" si="313"/>
        <v xml:space="preserve">1512        </v>
      </c>
      <c r="E18428" t="s">
        <v>2011</v>
      </c>
      <c r="F18428" t="s">
        <v>2012</v>
      </c>
      <c r="G18428">
        <v>31.29</v>
      </c>
      <c r="H18428">
        <v>251130</v>
      </c>
      <c r="I18428">
        <v>4441</v>
      </c>
      <c r="J18428" t="s">
        <v>234</v>
      </c>
      <c r="K18428">
        <v>5324.97</v>
      </c>
      <c r="L18428">
        <v>6.36</v>
      </c>
      <c r="M18428">
        <v>68601</v>
      </c>
      <c r="N18428" t="s">
        <v>1031</v>
      </c>
      <c r="O18428">
        <v>251211</v>
      </c>
      <c r="P18428">
        <v>24.93</v>
      </c>
    </row>
    <row r="18429" spans="1:16" x14ac:dyDescent="0.25">
      <c r="A18429" t="s">
        <v>3296</v>
      </c>
      <c r="B18429" t="s">
        <v>2931</v>
      </c>
      <c r="C18429">
        <v>16687</v>
      </c>
      <c r="D18429" t="str">
        <f t="shared" si="313"/>
        <v xml:space="preserve">1512        </v>
      </c>
      <c r="E18429" t="s">
        <v>2011</v>
      </c>
      <c r="F18429" t="s">
        <v>2012</v>
      </c>
      <c r="G18429">
        <v>31.29</v>
      </c>
      <c r="H18429">
        <v>251130</v>
      </c>
      <c r="I18429">
        <v>4441</v>
      </c>
      <c r="J18429" t="s">
        <v>234</v>
      </c>
      <c r="K18429">
        <v>5324.97</v>
      </c>
      <c r="L18429">
        <v>6.36</v>
      </c>
      <c r="M18429">
        <v>69703</v>
      </c>
      <c r="N18429" t="s">
        <v>88</v>
      </c>
      <c r="O18429">
        <v>251211</v>
      </c>
      <c r="P18429">
        <v>24.93</v>
      </c>
    </row>
    <row r="18430" spans="1:16" x14ac:dyDescent="0.25">
      <c r="A18430" t="s">
        <v>3296</v>
      </c>
      <c r="B18430" t="s">
        <v>2931</v>
      </c>
      <c r="C18430">
        <v>16687</v>
      </c>
      <c r="D18430" t="str">
        <f t="shared" si="313"/>
        <v xml:space="preserve">1512        </v>
      </c>
      <c r="E18430" t="s">
        <v>2011</v>
      </c>
      <c r="F18430" t="s">
        <v>2012</v>
      </c>
      <c r="G18430">
        <v>31.29</v>
      </c>
      <c r="H18430">
        <v>251130</v>
      </c>
      <c r="I18430">
        <v>4441</v>
      </c>
      <c r="J18430" t="s">
        <v>234</v>
      </c>
      <c r="K18430">
        <v>5324.97</v>
      </c>
      <c r="L18430">
        <v>6.36</v>
      </c>
      <c r="M18430">
        <v>69704</v>
      </c>
      <c r="N18430" t="s">
        <v>89</v>
      </c>
      <c r="O18430">
        <v>251211</v>
      </c>
      <c r="P18430">
        <v>24.93</v>
      </c>
    </row>
    <row r="18431" spans="1:16" x14ac:dyDescent="0.25">
      <c r="A18431" t="s">
        <v>3296</v>
      </c>
      <c r="B18431" t="s">
        <v>2931</v>
      </c>
      <c r="C18431">
        <v>16687</v>
      </c>
      <c r="D18431" t="str">
        <f t="shared" si="313"/>
        <v xml:space="preserve">1512        </v>
      </c>
      <c r="E18431" t="s">
        <v>2011</v>
      </c>
      <c r="F18431" t="s">
        <v>2012</v>
      </c>
      <c r="G18431">
        <v>31.29</v>
      </c>
      <c r="H18431">
        <v>251130</v>
      </c>
      <c r="I18431">
        <v>4441</v>
      </c>
      <c r="J18431" t="s">
        <v>234</v>
      </c>
      <c r="K18431">
        <v>5324.97</v>
      </c>
      <c r="L18431">
        <v>6.36</v>
      </c>
      <c r="M18431">
        <v>69708</v>
      </c>
      <c r="N18431" t="s">
        <v>125</v>
      </c>
      <c r="O18431">
        <v>251211</v>
      </c>
      <c r="P18431">
        <v>24.93</v>
      </c>
    </row>
    <row r="18432" spans="1:16" x14ac:dyDescent="0.25">
      <c r="A18432" t="s">
        <v>3296</v>
      </c>
      <c r="B18432" t="s">
        <v>2931</v>
      </c>
      <c r="C18432">
        <v>8044</v>
      </c>
      <c r="D18432" t="str">
        <f t="shared" ref="D18432:D18437" si="314">"1502        "</f>
        <v xml:space="preserve">1502        </v>
      </c>
      <c r="E18432" t="s">
        <v>2011</v>
      </c>
      <c r="F18432" t="s">
        <v>2012</v>
      </c>
      <c r="G18432">
        <v>1694.25</v>
      </c>
      <c r="H18432">
        <v>250523</v>
      </c>
      <c r="I18432">
        <v>4470</v>
      </c>
      <c r="J18432" t="s">
        <v>203</v>
      </c>
      <c r="K18432">
        <v>8471.25</v>
      </c>
      <c r="L18432">
        <v>344.25</v>
      </c>
      <c r="M18432">
        <v>56558</v>
      </c>
      <c r="N18432" t="s">
        <v>50</v>
      </c>
      <c r="O18432">
        <v>250611</v>
      </c>
      <c r="P18432">
        <v>1350</v>
      </c>
    </row>
    <row r="18433" spans="1:16" x14ac:dyDescent="0.25">
      <c r="A18433" t="s">
        <v>3296</v>
      </c>
      <c r="B18433" t="s">
        <v>2931</v>
      </c>
      <c r="C18433">
        <v>8044</v>
      </c>
      <c r="D18433" t="str">
        <f t="shared" si="314"/>
        <v xml:space="preserve">1502        </v>
      </c>
      <c r="E18433" t="s">
        <v>2011</v>
      </c>
      <c r="F18433" t="s">
        <v>2012</v>
      </c>
      <c r="G18433">
        <v>1694.25</v>
      </c>
      <c r="H18433">
        <v>250523</v>
      </c>
      <c r="I18433">
        <v>4470</v>
      </c>
      <c r="J18433" t="s">
        <v>203</v>
      </c>
      <c r="K18433">
        <v>8471.25</v>
      </c>
      <c r="L18433">
        <v>344.25</v>
      </c>
      <c r="M18433">
        <v>56559</v>
      </c>
      <c r="N18433" t="s">
        <v>51</v>
      </c>
      <c r="O18433">
        <v>250611</v>
      </c>
      <c r="P18433">
        <v>1350</v>
      </c>
    </row>
    <row r="18434" spans="1:16" x14ac:dyDescent="0.25">
      <c r="A18434" t="s">
        <v>3296</v>
      </c>
      <c r="B18434" t="s">
        <v>2931</v>
      </c>
      <c r="C18434">
        <v>8044</v>
      </c>
      <c r="D18434" t="str">
        <f t="shared" si="314"/>
        <v xml:space="preserve">1502        </v>
      </c>
      <c r="E18434" t="s">
        <v>2011</v>
      </c>
      <c r="F18434" t="s">
        <v>2012</v>
      </c>
      <c r="G18434">
        <v>1694.25</v>
      </c>
      <c r="H18434">
        <v>250523</v>
      </c>
      <c r="I18434">
        <v>4470</v>
      </c>
      <c r="J18434" t="s">
        <v>203</v>
      </c>
      <c r="K18434">
        <v>8471.25</v>
      </c>
      <c r="L18434">
        <v>344.25</v>
      </c>
      <c r="M18434">
        <v>56560</v>
      </c>
      <c r="N18434" t="s">
        <v>52</v>
      </c>
      <c r="O18434">
        <v>250611</v>
      </c>
      <c r="P18434">
        <v>1350</v>
      </c>
    </row>
    <row r="18435" spans="1:16" x14ac:dyDescent="0.25">
      <c r="A18435" t="s">
        <v>3296</v>
      </c>
      <c r="B18435" t="s">
        <v>2931</v>
      </c>
      <c r="C18435">
        <v>8044</v>
      </c>
      <c r="D18435" t="str">
        <f t="shared" si="314"/>
        <v xml:space="preserve">1502        </v>
      </c>
      <c r="E18435" t="s">
        <v>2011</v>
      </c>
      <c r="F18435" t="s">
        <v>2012</v>
      </c>
      <c r="G18435">
        <v>1694.25</v>
      </c>
      <c r="H18435">
        <v>250523</v>
      </c>
      <c r="I18435">
        <v>4470</v>
      </c>
      <c r="J18435" t="s">
        <v>203</v>
      </c>
      <c r="K18435">
        <v>8471.25</v>
      </c>
      <c r="L18435">
        <v>344.25</v>
      </c>
      <c r="M18435">
        <v>56562</v>
      </c>
      <c r="N18435" t="s">
        <v>54</v>
      </c>
      <c r="O18435">
        <v>250611</v>
      </c>
      <c r="P18435">
        <v>1350</v>
      </c>
    </row>
    <row r="18436" spans="1:16" x14ac:dyDescent="0.25">
      <c r="A18436" t="s">
        <v>3296</v>
      </c>
      <c r="B18436" t="s">
        <v>2931</v>
      </c>
      <c r="C18436">
        <v>8044</v>
      </c>
      <c r="D18436" t="str">
        <f t="shared" si="314"/>
        <v xml:space="preserve">1502        </v>
      </c>
      <c r="E18436" t="s">
        <v>2011</v>
      </c>
      <c r="F18436" t="s">
        <v>2012</v>
      </c>
      <c r="G18436">
        <v>847.12</v>
      </c>
      <c r="H18436">
        <v>250523</v>
      </c>
      <c r="I18436">
        <v>4470</v>
      </c>
      <c r="J18436" t="s">
        <v>203</v>
      </c>
      <c r="K18436">
        <v>8471.25</v>
      </c>
      <c r="L18436">
        <v>172.12</v>
      </c>
      <c r="M18436">
        <v>56563</v>
      </c>
      <c r="N18436" t="s">
        <v>55</v>
      </c>
      <c r="O18436">
        <v>250611</v>
      </c>
      <c r="P18436">
        <v>675</v>
      </c>
    </row>
    <row r="18437" spans="1:16" x14ac:dyDescent="0.25">
      <c r="A18437" t="s">
        <v>3296</v>
      </c>
      <c r="B18437" t="s">
        <v>2931</v>
      </c>
      <c r="C18437">
        <v>8044</v>
      </c>
      <c r="D18437" t="str">
        <f t="shared" si="314"/>
        <v xml:space="preserve">1502        </v>
      </c>
      <c r="E18437" t="s">
        <v>2011</v>
      </c>
      <c r="F18437" t="s">
        <v>2012</v>
      </c>
      <c r="G18437">
        <v>847.13</v>
      </c>
      <c r="H18437">
        <v>250523</v>
      </c>
      <c r="I18437">
        <v>4470</v>
      </c>
      <c r="J18437" t="s">
        <v>203</v>
      </c>
      <c r="K18437">
        <v>8471.25</v>
      </c>
      <c r="L18437">
        <v>172.13</v>
      </c>
      <c r="M18437">
        <v>56564</v>
      </c>
      <c r="N18437" t="s">
        <v>56</v>
      </c>
      <c r="O18437">
        <v>250611</v>
      </c>
      <c r="P18437">
        <v>675</v>
      </c>
    </row>
    <row r="18438" spans="1:16" x14ac:dyDescent="0.25">
      <c r="A18438" t="s">
        <v>3296</v>
      </c>
      <c r="B18438" t="s">
        <v>2931</v>
      </c>
      <c r="C18438">
        <v>1779</v>
      </c>
      <c r="D18438" t="str">
        <f>"39907       "</f>
        <v xml:space="preserve">39907       </v>
      </c>
      <c r="E18438" t="s">
        <v>1115</v>
      </c>
      <c r="F18438" t="s">
        <v>1116</v>
      </c>
      <c r="G18438">
        <v>5722.8</v>
      </c>
      <c r="H18438">
        <v>250211</v>
      </c>
      <c r="I18438">
        <v>1198</v>
      </c>
      <c r="J18438" t="s">
        <v>610</v>
      </c>
      <c r="K18438">
        <v>5722.8</v>
      </c>
      <c r="L18438">
        <v>1162.8</v>
      </c>
      <c r="M18438">
        <v>97628</v>
      </c>
      <c r="N18438" t="s">
        <v>737</v>
      </c>
      <c r="O18438">
        <v>250213</v>
      </c>
      <c r="P18438">
        <v>4560</v>
      </c>
    </row>
    <row r="18439" spans="1:16" x14ac:dyDescent="0.25">
      <c r="A18439" t="s">
        <v>3296</v>
      </c>
      <c r="B18439" t="s">
        <v>2931</v>
      </c>
      <c r="C18439">
        <v>3631</v>
      </c>
      <c r="D18439" t="str">
        <f>"40178       "</f>
        <v xml:space="preserve">40178       </v>
      </c>
      <c r="E18439" t="s">
        <v>1115</v>
      </c>
      <c r="F18439" t="s">
        <v>1116</v>
      </c>
      <c r="G18439">
        <v>5559.65</v>
      </c>
      <c r="H18439">
        <v>250317</v>
      </c>
      <c r="I18439">
        <v>1198</v>
      </c>
      <c r="J18439" t="s">
        <v>610</v>
      </c>
      <c r="K18439">
        <v>5559.65</v>
      </c>
      <c r="L18439">
        <v>1129.6500000000001</v>
      </c>
      <c r="M18439">
        <v>97629</v>
      </c>
      <c r="N18439" t="s">
        <v>1110</v>
      </c>
      <c r="O18439">
        <v>250327</v>
      </c>
      <c r="P18439">
        <v>4430</v>
      </c>
    </row>
    <row r="18440" spans="1:16" x14ac:dyDescent="0.25">
      <c r="A18440" t="s">
        <v>3296</v>
      </c>
      <c r="B18440" t="s">
        <v>2931</v>
      </c>
      <c r="C18440">
        <v>4181</v>
      </c>
      <c r="D18440" t="str">
        <f>"40234       "</f>
        <v xml:space="preserve">40234       </v>
      </c>
      <c r="E18440" t="s">
        <v>1115</v>
      </c>
      <c r="F18440" t="s">
        <v>1116</v>
      </c>
      <c r="G18440">
        <v>36.450000000000003</v>
      </c>
      <c r="H18440">
        <v>250327</v>
      </c>
      <c r="I18440">
        <v>4550</v>
      </c>
      <c r="J18440" t="s">
        <v>226</v>
      </c>
      <c r="K18440">
        <v>331.32</v>
      </c>
      <c r="L18440">
        <v>7.41</v>
      </c>
      <c r="M18440">
        <v>13540</v>
      </c>
      <c r="N18440" t="s">
        <v>131</v>
      </c>
      <c r="O18440">
        <v>250408</v>
      </c>
      <c r="P18440">
        <v>29.04</v>
      </c>
    </row>
    <row r="18441" spans="1:16" x14ac:dyDescent="0.25">
      <c r="A18441" t="s">
        <v>3296</v>
      </c>
      <c r="B18441" t="s">
        <v>2931</v>
      </c>
      <c r="C18441">
        <v>4181</v>
      </c>
      <c r="D18441" t="str">
        <f>"40234       "</f>
        <v xml:space="preserve">40234       </v>
      </c>
      <c r="E18441" t="s">
        <v>1115</v>
      </c>
      <c r="F18441" t="s">
        <v>1116</v>
      </c>
      <c r="G18441">
        <v>248.49</v>
      </c>
      <c r="H18441">
        <v>250327</v>
      </c>
      <c r="I18441">
        <v>4550</v>
      </c>
      <c r="J18441" t="s">
        <v>226</v>
      </c>
      <c r="K18441">
        <v>331.32</v>
      </c>
      <c r="L18441">
        <v>50.49</v>
      </c>
      <c r="M18441">
        <v>17950</v>
      </c>
      <c r="N18441" t="s">
        <v>132</v>
      </c>
      <c r="O18441">
        <v>250408</v>
      </c>
      <c r="P18441">
        <v>198</v>
      </c>
    </row>
    <row r="18442" spans="1:16" x14ac:dyDescent="0.25">
      <c r="A18442" t="s">
        <v>3296</v>
      </c>
      <c r="B18442" t="s">
        <v>2931</v>
      </c>
      <c r="C18442">
        <v>4181</v>
      </c>
      <c r="D18442" t="str">
        <f>"40234       "</f>
        <v xml:space="preserve">40234       </v>
      </c>
      <c r="E18442" t="s">
        <v>1115</v>
      </c>
      <c r="F18442" t="s">
        <v>1116</v>
      </c>
      <c r="G18442">
        <v>46.38</v>
      </c>
      <c r="H18442">
        <v>250327</v>
      </c>
      <c r="I18442">
        <v>4550</v>
      </c>
      <c r="J18442" t="s">
        <v>226</v>
      </c>
      <c r="K18442">
        <v>331.32</v>
      </c>
      <c r="L18442">
        <v>9.42</v>
      </c>
      <c r="M18442">
        <v>17956</v>
      </c>
      <c r="N18442" t="s">
        <v>170</v>
      </c>
      <c r="O18442">
        <v>250408</v>
      </c>
      <c r="P18442">
        <v>36.96</v>
      </c>
    </row>
    <row r="18443" spans="1:16" x14ac:dyDescent="0.25">
      <c r="A18443" t="s">
        <v>3296</v>
      </c>
      <c r="B18443" t="s">
        <v>2931</v>
      </c>
      <c r="C18443">
        <v>3677</v>
      </c>
      <c r="D18443" t="str">
        <f>"12590       "</f>
        <v xml:space="preserve">12590       </v>
      </c>
      <c r="E18443" t="s">
        <v>2983</v>
      </c>
      <c r="F18443" t="s">
        <v>2984</v>
      </c>
      <c r="G18443">
        <v>243</v>
      </c>
      <c r="H18443">
        <v>250317</v>
      </c>
      <c r="I18443">
        <v>4410</v>
      </c>
      <c r="J18443" t="s">
        <v>165</v>
      </c>
      <c r="K18443">
        <v>243</v>
      </c>
      <c r="L18443">
        <v>0</v>
      </c>
      <c r="M18443">
        <v>17913</v>
      </c>
      <c r="N18443" t="s">
        <v>26</v>
      </c>
      <c r="O18443">
        <v>250328</v>
      </c>
      <c r="P18443">
        <v>243</v>
      </c>
    </row>
    <row r="18444" spans="1:16" x14ac:dyDescent="0.25">
      <c r="A18444" t="s">
        <v>3296</v>
      </c>
      <c r="B18444" t="s">
        <v>2931</v>
      </c>
      <c r="C18444">
        <v>7130</v>
      </c>
      <c r="D18444" t="str">
        <f>"12671       "</f>
        <v xml:space="preserve">12671       </v>
      </c>
      <c r="E18444" t="s">
        <v>2983</v>
      </c>
      <c r="F18444" t="s">
        <v>2984</v>
      </c>
      <c r="G18444">
        <v>81</v>
      </c>
      <c r="H18444">
        <v>250520</v>
      </c>
      <c r="I18444">
        <v>4410</v>
      </c>
      <c r="J18444" t="s">
        <v>165</v>
      </c>
      <c r="K18444">
        <v>256</v>
      </c>
      <c r="L18444">
        <v>0</v>
      </c>
      <c r="M18444">
        <v>18972</v>
      </c>
      <c r="N18444" t="s">
        <v>39</v>
      </c>
      <c r="O18444">
        <v>250523</v>
      </c>
      <c r="P18444">
        <v>81</v>
      </c>
    </row>
    <row r="18445" spans="1:16" x14ac:dyDescent="0.25">
      <c r="A18445" t="s">
        <v>3296</v>
      </c>
      <c r="B18445" t="s">
        <v>2931</v>
      </c>
      <c r="C18445">
        <v>7977</v>
      </c>
      <c r="D18445" t="str">
        <f>"12685       "</f>
        <v xml:space="preserve">12685       </v>
      </c>
      <c r="E18445" t="s">
        <v>2983</v>
      </c>
      <c r="F18445" t="s">
        <v>2984</v>
      </c>
      <c r="G18445">
        <v>480</v>
      </c>
      <c r="H18445">
        <v>250520</v>
      </c>
      <c r="I18445">
        <v>4410</v>
      </c>
      <c r="J18445" t="s">
        <v>165</v>
      </c>
      <c r="K18445">
        <v>480</v>
      </c>
      <c r="L18445">
        <v>0</v>
      </c>
      <c r="M18445">
        <v>11301</v>
      </c>
      <c r="N18445" t="s">
        <v>92</v>
      </c>
      <c r="O18445">
        <v>250610</v>
      </c>
      <c r="P18445">
        <v>480</v>
      </c>
    </row>
    <row r="18446" spans="1:16" x14ac:dyDescent="0.25">
      <c r="A18446" t="s">
        <v>3296</v>
      </c>
      <c r="B18446" t="s">
        <v>2931</v>
      </c>
      <c r="C18446">
        <v>7978</v>
      </c>
      <c r="D18446" t="str">
        <f>"12683       "</f>
        <v xml:space="preserve">12683       </v>
      </c>
      <c r="E18446" t="s">
        <v>2983</v>
      </c>
      <c r="F18446" t="s">
        <v>2984</v>
      </c>
      <c r="G18446">
        <v>-1248</v>
      </c>
      <c r="H18446">
        <v>250520</v>
      </c>
      <c r="I18446">
        <v>4420</v>
      </c>
      <c r="J18446" t="s">
        <v>330</v>
      </c>
      <c r="K18446">
        <v>-1248</v>
      </c>
      <c r="L18446">
        <v>0</v>
      </c>
      <c r="M18446">
        <v>11605</v>
      </c>
      <c r="N18446" t="s">
        <v>1066</v>
      </c>
      <c r="O18446">
        <v>250610</v>
      </c>
      <c r="P18446">
        <v>-1248</v>
      </c>
    </row>
    <row r="18447" spans="1:16" x14ac:dyDescent="0.25">
      <c r="A18447" t="s">
        <v>3296</v>
      </c>
      <c r="B18447" t="s">
        <v>2931</v>
      </c>
      <c r="C18447">
        <v>7979</v>
      </c>
      <c r="D18447" t="str">
        <f>"12684       "</f>
        <v xml:space="preserve">12684       </v>
      </c>
      <c r="E18447" t="s">
        <v>2983</v>
      </c>
      <c r="F18447" t="s">
        <v>2984</v>
      </c>
      <c r="G18447">
        <v>768</v>
      </c>
      <c r="H18447">
        <v>250520</v>
      </c>
      <c r="I18447">
        <v>4420</v>
      </c>
      <c r="J18447" t="s">
        <v>330</v>
      </c>
      <c r="K18447">
        <v>768</v>
      </c>
      <c r="L18447">
        <v>0</v>
      </c>
      <c r="M18447">
        <v>11605</v>
      </c>
      <c r="N18447" t="s">
        <v>1066</v>
      </c>
      <c r="O18447">
        <v>250610</v>
      </c>
      <c r="P18447">
        <v>768</v>
      </c>
    </row>
    <row r="18448" spans="1:16" x14ac:dyDescent="0.25">
      <c r="A18448" t="s">
        <v>3296</v>
      </c>
      <c r="B18448" t="s">
        <v>2931</v>
      </c>
      <c r="C18448">
        <v>7980</v>
      </c>
      <c r="D18448" t="str">
        <f>"12549       "</f>
        <v xml:space="preserve">12549       </v>
      </c>
      <c r="E18448" t="s">
        <v>2983</v>
      </c>
      <c r="F18448" t="s">
        <v>2984</v>
      </c>
      <c r="G18448">
        <v>1248</v>
      </c>
      <c r="H18448">
        <v>250501</v>
      </c>
      <c r="I18448">
        <v>4420</v>
      </c>
      <c r="J18448" t="s">
        <v>330</v>
      </c>
      <c r="K18448">
        <v>1248</v>
      </c>
      <c r="L18448">
        <v>0</v>
      </c>
      <c r="M18448">
        <v>11605</v>
      </c>
      <c r="N18448" t="s">
        <v>1066</v>
      </c>
      <c r="O18448">
        <v>250610</v>
      </c>
      <c r="P18448">
        <v>1248</v>
      </c>
    </row>
    <row r="18449" spans="1:16" x14ac:dyDescent="0.25">
      <c r="A18449" t="s">
        <v>3296</v>
      </c>
      <c r="B18449" t="s">
        <v>2931</v>
      </c>
      <c r="C18449">
        <v>12166</v>
      </c>
      <c r="D18449" t="str">
        <f>"12738       "</f>
        <v xml:space="preserve">12738       </v>
      </c>
      <c r="E18449" t="s">
        <v>2983</v>
      </c>
      <c r="F18449" t="s">
        <v>2984</v>
      </c>
      <c r="G18449">
        <v>1040</v>
      </c>
      <c r="H18449">
        <v>250909</v>
      </c>
      <c r="I18449">
        <v>4420</v>
      </c>
      <c r="J18449" t="s">
        <v>330</v>
      </c>
      <c r="K18449">
        <v>1040</v>
      </c>
      <c r="L18449">
        <v>0</v>
      </c>
      <c r="M18449">
        <v>18972</v>
      </c>
      <c r="N18449" t="s">
        <v>39</v>
      </c>
      <c r="O18449">
        <v>250917</v>
      </c>
      <c r="P18449">
        <v>1040</v>
      </c>
    </row>
    <row r="18450" spans="1:16" x14ac:dyDescent="0.25">
      <c r="A18450" t="s">
        <v>3296</v>
      </c>
      <c r="B18450" t="s">
        <v>2931</v>
      </c>
      <c r="C18450">
        <v>4613</v>
      </c>
      <c r="D18450" t="str">
        <f>"12604       "</f>
        <v xml:space="preserve">12604       </v>
      </c>
      <c r="E18450" t="s">
        <v>2983</v>
      </c>
      <c r="F18450" t="s">
        <v>2984</v>
      </c>
      <c r="G18450">
        <v>300</v>
      </c>
      <c r="H18450">
        <v>250331</v>
      </c>
      <c r="I18450">
        <v>4440</v>
      </c>
      <c r="J18450" t="s">
        <v>346</v>
      </c>
      <c r="K18450">
        <v>560</v>
      </c>
      <c r="L18450">
        <v>0</v>
      </c>
      <c r="M18450">
        <v>17975</v>
      </c>
      <c r="N18450" t="s">
        <v>29</v>
      </c>
      <c r="O18450">
        <v>250414</v>
      </c>
      <c r="P18450">
        <v>300</v>
      </c>
    </row>
    <row r="18451" spans="1:16" x14ac:dyDescent="0.25">
      <c r="A18451" t="s">
        <v>3296</v>
      </c>
      <c r="B18451" t="s">
        <v>2931</v>
      </c>
      <c r="C18451">
        <v>4613</v>
      </c>
      <c r="D18451" t="str">
        <f>"12604       "</f>
        <v xml:space="preserve">12604       </v>
      </c>
      <c r="E18451" t="s">
        <v>2983</v>
      </c>
      <c r="F18451" t="s">
        <v>2984</v>
      </c>
      <c r="G18451">
        <v>260</v>
      </c>
      <c r="H18451">
        <v>250331</v>
      </c>
      <c r="I18451">
        <v>4440</v>
      </c>
      <c r="J18451" t="s">
        <v>346</v>
      </c>
      <c r="K18451">
        <v>560</v>
      </c>
      <c r="L18451">
        <v>0</v>
      </c>
      <c r="M18451">
        <v>59702</v>
      </c>
      <c r="N18451" t="s">
        <v>45</v>
      </c>
      <c r="O18451">
        <v>250414</v>
      </c>
      <c r="P18451">
        <v>260</v>
      </c>
    </row>
    <row r="18452" spans="1:16" x14ac:dyDescent="0.25">
      <c r="A18452" t="s">
        <v>3296</v>
      </c>
      <c r="B18452" t="s">
        <v>2931</v>
      </c>
      <c r="C18452">
        <v>7130</v>
      </c>
      <c r="D18452" t="str">
        <f>"12671       "</f>
        <v xml:space="preserve">12671       </v>
      </c>
      <c r="E18452" t="s">
        <v>2983</v>
      </c>
      <c r="F18452" t="s">
        <v>2984</v>
      </c>
      <c r="G18452">
        <v>175</v>
      </c>
      <c r="H18452">
        <v>250520</v>
      </c>
      <c r="I18452">
        <v>4440</v>
      </c>
      <c r="J18452" t="s">
        <v>346</v>
      </c>
      <c r="K18452">
        <v>256</v>
      </c>
      <c r="L18452">
        <v>0</v>
      </c>
      <c r="M18452">
        <v>18972</v>
      </c>
      <c r="N18452" t="s">
        <v>39</v>
      </c>
      <c r="O18452">
        <v>250523</v>
      </c>
      <c r="P18452">
        <v>175</v>
      </c>
    </row>
    <row r="18453" spans="1:16" x14ac:dyDescent="0.25">
      <c r="A18453" t="s">
        <v>3296</v>
      </c>
      <c r="B18453" t="s">
        <v>2931</v>
      </c>
      <c r="C18453">
        <v>7595</v>
      </c>
      <c r="D18453" t="str">
        <f>"12696       "</f>
        <v xml:space="preserve">12696       </v>
      </c>
      <c r="E18453" t="s">
        <v>2983</v>
      </c>
      <c r="F18453" t="s">
        <v>2984</v>
      </c>
      <c r="G18453">
        <v>650</v>
      </c>
      <c r="H18453">
        <v>250528</v>
      </c>
      <c r="I18453">
        <v>4440</v>
      </c>
      <c r="J18453" t="s">
        <v>346</v>
      </c>
      <c r="K18453">
        <v>650</v>
      </c>
      <c r="L18453">
        <v>0</v>
      </c>
      <c r="M18453">
        <v>11903</v>
      </c>
      <c r="N18453" t="s">
        <v>32</v>
      </c>
      <c r="O18453">
        <v>250604</v>
      </c>
      <c r="P18453">
        <v>650</v>
      </c>
    </row>
    <row r="18454" spans="1:16" x14ac:dyDescent="0.25">
      <c r="A18454" t="s">
        <v>3296</v>
      </c>
      <c r="B18454" t="s">
        <v>2931</v>
      </c>
      <c r="C18454">
        <v>7769</v>
      </c>
      <c r="D18454" t="str">
        <f>"12691       "</f>
        <v xml:space="preserve">12691       </v>
      </c>
      <c r="E18454" t="s">
        <v>2983</v>
      </c>
      <c r="F18454" t="s">
        <v>2984</v>
      </c>
      <c r="G18454">
        <v>60</v>
      </c>
      <c r="H18454">
        <v>250528</v>
      </c>
      <c r="I18454">
        <v>4440</v>
      </c>
      <c r="J18454" t="s">
        <v>346</v>
      </c>
      <c r="K18454">
        <v>300</v>
      </c>
      <c r="L18454">
        <v>0</v>
      </c>
      <c r="M18454">
        <v>55222</v>
      </c>
      <c r="N18454" t="s">
        <v>43</v>
      </c>
      <c r="O18454">
        <v>250609</v>
      </c>
      <c r="P18454">
        <v>60</v>
      </c>
    </row>
    <row r="18455" spans="1:16" x14ac:dyDescent="0.25">
      <c r="A18455" t="s">
        <v>3296</v>
      </c>
      <c r="B18455" t="s">
        <v>2931</v>
      </c>
      <c r="C18455">
        <v>7769</v>
      </c>
      <c r="D18455" t="str">
        <f>"12691       "</f>
        <v xml:space="preserve">12691       </v>
      </c>
      <c r="E18455" t="s">
        <v>2983</v>
      </c>
      <c r="F18455" t="s">
        <v>2984</v>
      </c>
      <c r="G18455">
        <v>60</v>
      </c>
      <c r="H18455">
        <v>250528</v>
      </c>
      <c r="I18455">
        <v>4440</v>
      </c>
      <c r="J18455" t="s">
        <v>346</v>
      </c>
      <c r="K18455">
        <v>300</v>
      </c>
      <c r="L18455">
        <v>0</v>
      </c>
      <c r="M18455">
        <v>56528</v>
      </c>
      <c r="N18455" t="s">
        <v>70</v>
      </c>
      <c r="O18455">
        <v>250609</v>
      </c>
      <c r="P18455">
        <v>60</v>
      </c>
    </row>
    <row r="18456" spans="1:16" x14ac:dyDescent="0.25">
      <c r="A18456" t="s">
        <v>3296</v>
      </c>
      <c r="B18456" t="s">
        <v>2931</v>
      </c>
      <c r="C18456">
        <v>7769</v>
      </c>
      <c r="D18456" t="str">
        <f>"12691       "</f>
        <v xml:space="preserve">12691       </v>
      </c>
      <c r="E18456" t="s">
        <v>2983</v>
      </c>
      <c r="F18456" t="s">
        <v>2984</v>
      </c>
      <c r="G18456">
        <v>60</v>
      </c>
      <c r="H18456">
        <v>250528</v>
      </c>
      <c r="I18456">
        <v>4440</v>
      </c>
      <c r="J18456" t="s">
        <v>346</v>
      </c>
      <c r="K18456">
        <v>300</v>
      </c>
      <c r="L18456">
        <v>0</v>
      </c>
      <c r="M18456">
        <v>56559</v>
      </c>
      <c r="N18456" t="s">
        <v>51</v>
      </c>
      <c r="O18456">
        <v>250609</v>
      </c>
      <c r="P18456">
        <v>60</v>
      </c>
    </row>
    <row r="18457" spans="1:16" x14ac:dyDescent="0.25">
      <c r="A18457" t="s">
        <v>3296</v>
      </c>
      <c r="B18457" t="s">
        <v>2931</v>
      </c>
      <c r="C18457">
        <v>7769</v>
      </c>
      <c r="D18457" t="str">
        <f>"12691       "</f>
        <v xml:space="preserve">12691       </v>
      </c>
      <c r="E18457" t="s">
        <v>2983</v>
      </c>
      <c r="F18457" t="s">
        <v>2984</v>
      </c>
      <c r="G18457">
        <v>60</v>
      </c>
      <c r="H18457">
        <v>250528</v>
      </c>
      <c r="I18457">
        <v>4440</v>
      </c>
      <c r="J18457" t="s">
        <v>346</v>
      </c>
      <c r="K18457">
        <v>300</v>
      </c>
      <c r="L18457">
        <v>0</v>
      </c>
      <c r="M18457">
        <v>56560</v>
      </c>
      <c r="N18457" t="s">
        <v>52</v>
      </c>
      <c r="O18457">
        <v>250609</v>
      </c>
      <c r="P18457">
        <v>60</v>
      </c>
    </row>
    <row r="18458" spans="1:16" x14ac:dyDescent="0.25">
      <c r="A18458" t="s">
        <v>3296</v>
      </c>
      <c r="B18458" t="s">
        <v>2931</v>
      </c>
      <c r="C18458">
        <v>7769</v>
      </c>
      <c r="D18458" t="str">
        <f>"12691       "</f>
        <v xml:space="preserve">12691       </v>
      </c>
      <c r="E18458" t="s">
        <v>2983</v>
      </c>
      <c r="F18458" t="s">
        <v>2984</v>
      </c>
      <c r="G18458">
        <v>60</v>
      </c>
      <c r="H18458">
        <v>250528</v>
      </c>
      <c r="I18458">
        <v>4440</v>
      </c>
      <c r="J18458" t="s">
        <v>346</v>
      </c>
      <c r="K18458">
        <v>300</v>
      </c>
      <c r="L18458">
        <v>0</v>
      </c>
      <c r="M18458">
        <v>56565</v>
      </c>
      <c r="N18458" t="s">
        <v>57</v>
      </c>
      <c r="O18458">
        <v>250609</v>
      </c>
      <c r="P18458">
        <v>60</v>
      </c>
    </row>
    <row r="18459" spans="1:16" x14ac:dyDescent="0.25">
      <c r="A18459" t="s">
        <v>3296</v>
      </c>
      <c r="B18459" t="s">
        <v>2931</v>
      </c>
      <c r="C18459">
        <v>12677</v>
      </c>
      <c r="D18459" t="str">
        <f>"12760       "</f>
        <v xml:space="preserve">12760       </v>
      </c>
      <c r="E18459" t="s">
        <v>2983</v>
      </c>
      <c r="F18459" t="s">
        <v>2984</v>
      </c>
      <c r="G18459">
        <v>450</v>
      </c>
      <c r="H18459">
        <v>250916</v>
      </c>
      <c r="I18459">
        <v>4440</v>
      </c>
      <c r="J18459" t="s">
        <v>346</v>
      </c>
      <c r="K18459">
        <v>450</v>
      </c>
      <c r="L18459">
        <v>0</v>
      </c>
      <c r="M18459">
        <v>59702</v>
      </c>
      <c r="N18459" t="s">
        <v>45</v>
      </c>
      <c r="O18459">
        <v>250929</v>
      </c>
      <c r="P18459">
        <v>450</v>
      </c>
    </row>
    <row r="18460" spans="1:16" x14ac:dyDescent="0.25">
      <c r="A18460" t="s">
        <v>3296</v>
      </c>
      <c r="B18460" t="s">
        <v>2931</v>
      </c>
      <c r="C18460">
        <v>7297</v>
      </c>
      <c r="D18460" t="str">
        <f>"12681       "</f>
        <v xml:space="preserve">12681       </v>
      </c>
      <c r="E18460" t="s">
        <v>2983</v>
      </c>
      <c r="F18460" t="s">
        <v>2984</v>
      </c>
      <c r="G18460">
        <v>72</v>
      </c>
      <c r="H18460">
        <v>250520</v>
      </c>
      <c r="I18460">
        <v>4441</v>
      </c>
      <c r="J18460" t="s">
        <v>234</v>
      </c>
      <c r="K18460">
        <v>72</v>
      </c>
      <c r="L18460">
        <v>0</v>
      </c>
      <c r="M18460">
        <v>11001</v>
      </c>
      <c r="N18460" t="s">
        <v>93</v>
      </c>
      <c r="O18460">
        <v>250602</v>
      </c>
      <c r="P18460">
        <v>72</v>
      </c>
    </row>
    <row r="18461" spans="1:16" x14ac:dyDescent="0.25">
      <c r="A18461" t="s">
        <v>3296</v>
      </c>
      <c r="B18461" t="s">
        <v>2931</v>
      </c>
      <c r="C18461">
        <v>11188</v>
      </c>
      <c r="D18461" t="str">
        <f>"12713       "</f>
        <v xml:space="preserve">12713       </v>
      </c>
      <c r="E18461" t="s">
        <v>2983</v>
      </c>
      <c r="F18461" t="s">
        <v>2984</v>
      </c>
      <c r="G18461">
        <v>315</v>
      </c>
      <c r="H18461">
        <v>250828</v>
      </c>
      <c r="I18461">
        <v>4441</v>
      </c>
      <c r="J18461" t="s">
        <v>234</v>
      </c>
      <c r="K18461">
        <v>315</v>
      </c>
      <c r="L18461">
        <v>0</v>
      </c>
      <c r="M18461">
        <v>18972</v>
      </c>
      <c r="N18461" t="s">
        <v>39</v>
      </c>
      <c r="O18461">
        <v>250901</v>
      </c>
      <c r="P18461">
        <v>315</v>
      </c>
    </row>
    <row r="18462" spans="1:16" x14ac:dyDescent="0.25">
      <c r="A18462" t="s">
        <v>3296</v>
      </c>
      <c r="B18462" t="s">
        <v>2931</v>
      </c>
      <c r="C18462">
        <v>11583</v>
      </c>
      <c r="D18462" t="str">
        <f>"12720       "</f>
        <v xml:space="preserve">12720       </v>
      </c>
      <c r="E18462" t="s">
        <v>2983</v>
      </c>
      <c r="F18462" t="s">
        <v>2984</v>
      </c>
      <c r="G18462">
        <v>160</v>
      </c>
      <c r="H18462">
        <v>250831</v>
      </c>
      <c r="I18462">
        <v>4441</v>
      </c>
      <c r="J18462" t="s">
        <v>234</v>
      </c>
      <c r="K18462">
        <v>474</v>
      </c>
      <c r="L18462">
        <v>0</v>
      </c>
      <c r="M18462">
        <v>17975</v>
      </c>
      <c r="N18462" t="s">
        <v>29</v>
      </c>
      <c r="O18462">
        <v>250909</v>
      </c>
      <c r="P18462">
        <v>160</v>
      </c>
    </row>
    <row r="18463" spans="1:16" x14ac:dyDescent="0.25">
      <c r="A18463" t="s">
        <v>3296</v>
      </c>
      <c r="B18463" t="s">
        <v>2931</v>
      </c>
      <c r="C18463">
        <v>11583</v>
      </c>
      <c r="D18463" t="str">
        <f>"12720       "</f>
        <v xml:space="preserve">12720       </v>
      </c>
      <c r="E18463" t="s">
        <v>2983</v>
      </c>
      <c r="F18463" t="s">
        <v>2984</v>
      </c>
      <c r="G18463">
        <v>314</v>
      </c>
      <c r="H18463">
        <v>250831</v>
      </c>
      <c r="I18463">
        <v>4441</v>
      </c>
      <c r="J18463" t="s">
        <v>234</v>
      </c>
      <c r="K18463">
        <v>474</v>
      </c>
      <c r="L18463">
        <v>0</v>
      </c>
      <c r="M18463">
        <v>59702</v>
      </c>
      <c r="N18463" t="s">
        <v>45</v>
      </c>
      <c r="O18463">
        <v>250909</v>
      </c>
      <c r="P18463">
        <v>314</v>
      </c>
    </row>
    <row r="18464" spans="1:16" x14ac:dyDescent="0.25">
      <c r="A18464" t="s">
        <v>3296</v>
      </c>
      <c r="B18464" t="s">
        <v>2931</v>
      </c>
      <c r="C18464">
        <v>16895</v>
      </c>
      <c r="D18464" t="str">
        <f>"12863       "</f>
        <v xml:space="preserve">12863       </v>
      </c>
      <c r="E18464" t="s">
        <v>2983</v>
      </c>
      <c r="F18464" t="s">
        <v>2984</v>
      </c>
      <c r="G18464">
        <v>290</v>
      </c>
      <c r="H18464">
        <v>251125</v>
      </c>
      <c r="I18464">
        <v>4441</v>
      </c>
      <c r="J18464" t="s">
        <v>234</v>
      </c>
      <c r="K18464">
        <v>870</v>
      </c>
      <c r="L18464">
        <v>0</v>
      </c>
      <c r="M18464">
        <v>11903</v>
      </c>
      <c r="N18464" t="s">
        <v>32</v>
      </c>
      <c r="O18464">
        <v>251215</v>
      </c>
      <c r="P18464">
        <v>290</v>
      </c>
    </row>
    <row r="18465" spans="1:16" x14ac:dyDescent="0.25">
      <c r="A18465" t="s">
        <v>3296</v>
      </c>
      <c r="B18465" t="s">
        <v>2931</v>
      </c>
      <c r="C18465">
        <v>16895</v>
      </c>
      <c r="D18465" t="str">
        <f>"12863       "</f>
        <v xml:space="preserve">12863       </v>
      </c>
      <c r="E18465" t="s">
        <v>2983</v>
      </c>
      <c r="F18465" t="s">
        <v>2984</v>
      </c>
      <c r="G18465">
        <v>290</v>
      </c>
      <c r="H18465">
        <v>251125</v>
      </c>
      <c r="I18465">
        <v>4441</v>
      </c>
      <c r="J18465" t="s">
        <v>234</v>
      </c>
      <c r="K18465">
        <v>870</v>
      </c>
      <c r="L18465">
        <v>0</v>
      </c>
      <c r="M18465">
        <v>58601</v>
      </c>
      <c r="N18465" t="s">
        <v>59</v>
      </c>
      <c r="O18465">
        <v>251215</v>
      </c>
      <c r="P18465">
        <v>290</v>
      </c>
    </row>
    <row r="18466" spans="1:16" x14ac:dyDescent="0.25">
      <c r="A18466" t="s">
        <v>3296</v>
      </c>
      <c r="B18466" t="s">
        <v>2931</v>
      </c>
      <c r="C18466">
        <v>16895</v>
      </c>
      <c r="D18466" t="str">
        <f>"12863       "</f>
        <v xml:space="preserve">12863       </v>
      </c>
      <c r="E18466" t="s">
        <v>2983</v>
      </c>
      <c r="F18466" t="s">
        <v>2984</v>
      </c>
      <c r="G18466">
        <v>290</v>
      </c>
      <c r="H18466">
        <v>251125</v>
      </c>
      <c r="I18466">
        <v>4441</v>
      </c>
      <c r="J18466" t="s">
        <v>234</v>
      </c>
      <c r="K18466">
        <v>870</v>
      </c>
      <c r="L18466">
        <v>0</v>
      </c>
      <c r="M18466">
        <v>59705</v>
      </c>
      <c r="N18466" t="s">
        <v>47</v>
      </c>
      <c r="O18466">
        <v>251215</v>
      </c>
      <c r="P18466">
        <v>290</v>
      </c>
    </row>
    <row r="18467" spans="1:16" x14ac:dyDescent="0.25">
      <c r="A18467" t="s">
        <v>3296</v>
      </c>
      <c r="B18467" t="s">
        <v>2931</v>
      </c>
      <c r="C18467">
        <v>363</v>
      </c>
      <c r="D18467" t="str">
        <f>"12443       "</f>
        <v xml:space="preserve">12443       </v>
      </c>
      <c r="E18467" t="s">
        <v>2983</v>
      </c>
      <c r="F18467" t="s">
        <v>2984</v>
      </c>
      <c r="G18467">
        <v>160</v>
      </c>
      <c r="H18467">
        <v>250116</v>
      </c>
      <c r="I18467">
        <v>4470</v>
      </c>
      <c r="J18467" t="s">
        <v>203</v>
      </c>
      <c r="K18467">
        <v>160</v>
      </c>
      <c r="L18467">
        <v>0</v>
      </c>
      <c r="M18467">
        <v>17808</v>
      </c>
      <c r="N18467" t="s">
        <v>24</v>
      </c>
      <c r="O18467">
        <v>250122</v>
      </c>
      <c r="P18467">
        <v>160</v>
      </c>
    </row>
    <row r="18468" spans="1:16" x14ac:dyDescent="0.25">
      <c r="A18468" t="s">
        <v>3296</v>
      </c>
      <c r="B18468" t="s">
        <v>2931</v>
      </c>
      <c r="C18468">
        <v>12877</v>
      </c>
      <c r="D18468" t="str">
        <f>"12750       "</f>
        <v xml:space="preserve">12750       </v>
      </c>
      <c r="E18468" t="s">
        <v>2983</v>
      </c>
      <c r="F18468" t="s">
        <v>2984</v>
      </c>
      <c r="G18468">
        <v>135</v>
      </c>
      <c r="H18468">
        <v>250915</v>
      </c>
      <c r="I18468">
        <v>4470</v>
      </c>
      <c r="J18468" t="s">
        <v>203</v>
      </c>
      <c r="K18468">
        <v>135</v>
      </c>
      <c r="L18468">
        <v>0</v>
      </c>
      <c r="M18468">
        <v>18995</v>
      </c>
      <c r="N18468" t="s">
        <v>2317</v>
      </c>
      <c r="O18468">
        <v>251001</v>
      </c>
      <c r="P18468">
        <v>135</v>
      </c>
    </row>
    <row r="18469" spans="1:16" x14ac:dyDescent="0.25">
      <c r="A18469" t="s">
        <v>3296</v>
      </c>
      <c r="B18469" t="s">
        <v>2931</v>
      </c>
      <c r="C18469">
        <v>15479</v>
      </c>
      <c r="D18469" t="str">
        <f>"12819       "</f>
        <v xml:space="preserve">12819       </v>
      </c>
      <c r="E18469" t="s">
        <v>2983</v>
      </c>
      <c r="F18469" t="s">
        <v>2984</v>
      </c>
      <c r="G18469">
        <v>160</v>
      </c>
      <c r="H18469">
        <v>251117</v>
      </c>
      <c r="I18469">
        <v>4470</v>
      </c>
      <c r="J18469" t="s">
        <v>203</v>
      </c>
      <c r="K18469">
        <v>160</v>
      </c>
      <c r="L18469">
        <v>0</v>
      </c>
      <c r="M18469">
        <v>17808</v>
      </c>
      <c r="N18469" t="s">
        <v>24</v>
      </c>
      <c r="O18469">
        <v>251121</v>
      </c>
      <c r="P18469">
        <v>160</v>
      </c>
    </row>
    <row r="18470" spans="1:16" x14ac:dyDescent="0.25">
      <c r="A18470" t="s">
        <v>3296</v>
      </c>
      <c r="B18470" t="s">
        <v>2931</v>
      </c>
      <c r="C18470">
        <v>15835</v>
      </c>
      <c r="D18470" t="str">
        <f>"12876       "</f>
        <v xml:space="preserve">12876       </v>
      </c>
      <c r="E18470" t="s">
        <v>2983</v>
      </c>
      <c r="F18470" t="s">
        <v>2984</v>
      </c>
      <c r="G18470">
        <v>350</v>
      </c>
      <c r="H18470">
        <v>251125</v>
      </c>
      <c r="I18470">
        <v>4470</v>
      </c>
      <c r="J18470" t="s">
        <v>203</v>
      </c>
      <c r="K18470">
        <v>350</v>
      </c>
      <c r="L18470">
        <v>0</v>
      </c>
      <c r="M18470">
        <v>17711</v>
      </c>
      <c r="N18470" t="s">
        <v>155</v>
      </c>
      <c r="O18470">
        <v>251127</v>
      </c>
      <c r="P18470">
        <v>350</v>
      </c>
    </row>
    <row r="18471" spans="1:16" x14ac:dyDescent="0.25">
      <c r="A18471" t="s">
        <v>3296</v>
      </c>
      <c r="B18471" t="s">
        <v>2931</v>
      </c>
      <c r="C18471">
        <v>12256</v>
      </c>
      <c r="D18471" t="str">
        <f>"12756       "</f>
        <v xml:space="preserve">12756       </v>
      </c>
      <c r="E18471" t="s">
        <v>2983</v>
      </c>
      <c r="F18471" t="s">
        <v>2984</v>
      </c>
      <c r="G18471">
        <v>29</v>
      </c>
      <c r="H18471">
        <v>250915</v>
      </c>
      <c r="I18471">
        <v>4500</v>
      </c>
      <c r="J18471" t="s">
        <v>312</v>
      </c>
      <c r="K18471">
        <v>29</v>
      </c>
      <c r="L18471">
        <v>0</v>
      </c>
      <c r="M18471">
        <v>14972</v>
      </c>
      <c r="N18471" t="s">
        <v>82</v>
      </c>
      <c r="O18471">
        <v>250918</v>
      </c>
      <c r="P18471">
        <v>29</v>
      </c>
    </row>
    <row r="18472" spans="1:16" x14ac:dyDescent="0.25">
      <c r="A18472" t="s">
        <v>3296</v>
      </c>
      <c r="B18472" t="s">
        <v>2931</v>
      </c>
      <c r="C18472">
        <v>12516</v>
      </c>
      <c r="D18472" t="str">
        <f>"12752       "</f>
        <v xml:space="preserve">12752       </v>
      </c>
      <c r="E18472" t="s">
        <v>2983</v>
      </c>
      <c r="F18472" t="s">
        <v>2984</v>
      </c>
      <c r="G18472">
        <v>29</v>
      </c>
      <c r="H18472">
        <v>250915</v>
      </c>
      <c r="I18472">
        <v>4500</v>
      </c>
      <c r="J18472" t="s">
        <v>312</v>
      </c>
      <c r="K18472">
        <v>29</v>
      </c>
      <c r="L18472">
        <v>0</v>
      </c>
      <c r="M18472">
        <v>59702</v>
      </c>
      <c r="N18472" t="s">
        <v>45</v>
      </c>
      <c r="O18472">
        <v>250925</v>
      </c>
      <c r="P18472">
        <v>29</v>
      </c>
    </row>
    <row r="18473" spans="1:16" x14ac:dyDescent="0.25">
      <c r="A18473" t="s">
        <v>3296</v>
      </c>
      <c r="B18473" t="s">
        <v>2931</v>
      </c>
      <c r="C18473">
        <v>5251</v>
      </c>
      <c r="D18473" t="str">
        <f>"NV/2025/0534"</f>
        <v>NV/2025/0534</v>
      </c>
      <c r="E18473" t="s">
        <v>1697</v>
      </c>
      <c r="F18473" t="s">
        <v>1698</v>
      </c>
      <c r="G18473">
        <v>75.3</v>
      </c>
      <c r="H18473">
        <v>250407</v>
      </c>
      <c r="I18473">
        <v>4440</v>
      </c>
      <c r="J18473" t="s">
        <v>346</v>
      </c>
      <c r="K18473">
        <v>75.3</v>
      </c>
      <c r="L18473">
        <v>15.3</v>
      </c>
      <c r="M18473">
        <v>18972</v>
      </c>
      <c r="N18473" t="s">
        <v>39</v>
      </c>
      <c r="O18473">
        <v>250423</v>
      </c>
      <c r="P18473">
        <v>60</v>
      </c>
    </row>
    <row r="18474" spans="1:16" x14ac:dyDescent="0.25">
      <c r="A18474" t="s">
        <v>3296</v>
      </c>
      <c r="B18474" t="s">
        <v>2931</v>
      </c>
      <c r="C18474">
        <v>15789</v>
      </c>
      <c r="D18474" t="str">
        <f>"109587      "</f>
        <v xml:space="preserve">109587      </v>
      </c>
      <c r="E18474" t="s">
        <v>1090</v>
      </c>
      <c r="F18474" t="s">
        <v>1091</v>
      </c>
      <c r="G18474">
        <v>3.14</v>
      </c>
      <c r="H18474">
        <v>251118</v>
      </c>
      <c r="I18474">
        <v>4347</v>
      </c>
      <c r="J18474" t="s">
        <v>328</v>
      </c>
      <c r="K18474">
        <v>48.97</v>
      </c>
      <c r="L18474">
        <v>0.64</v>
      </c>
      <c r="M18474">
        <v>17950</v>
      </c>
      <c r="N18474" t="s">
        <v>132</v>
      </c>
      <c r="O18474">
        <v>251127</v>
      </c>
      <c r="P18474">
        <v>2.5</v>
      </c>
    </row>
    <row r="18475" spans="1:16" x14ac:dyDescent="0.25">
      <c r="A18475" t="s">
        <v>3296</v>
      </c>
      <c r="B18475" t="s">
        <v>2931</v>
      </c>
      <c r="C18475">
        <v>15789</v>
      </c>
      <c r="D18475" t="str">
        <f>"109587      "</f>
        <v xml:space="preserve">109587      </v>
      </c>
      <c r="E18475" t="s">
        <v>1090</v>
      </c>
      <c r="F18475" t="s">
        <v>1091</v>
      </c>
      <c r="G18475">
        <v>11.48</v>
      </c>
      <c r="H18475">
        <v>251118</v>
      </c>
      <c r="I18475">
        <v>4364</v>
      </c>
      <c r="J18475" t="s">
        <v>470</v>
      </c>
      <c r="K18475">
        <v>48.97</v>
      </c>
      <c r="L18475">
        <v>2.33</v>
      </c>
      <c r="M18475">
        <v>17950</v>
      </c>
      <c r="N18475" t="s">
        <v>132</v>
      </c>
      <c r="O18475">
        <v>251127</v>
      </c>
      <c r="P18475">
        <v>9.15</v>
      </c>
    </row>
    <row r="18476" spans="1:16" x14ac:dyDescent="0.25">
      <c r="A18476" t="s">
        <v>3296</v>
      </c>
      <c r="B18476" t="s">
        <v>2931</v>
      </c>
      <c r="C18476">
        <v>5928</v>
      </c>
      <c r="D18476" t="str">
        <f>"109207      "</f>
        <v xml:space="preserve">109207      </v>
      </c>
      <c r="E18476" t="s">
        <v>1090</v>
      </c>
      <c r="F18476" t="s">
        <v>1091</v>
      </c>
      <c r="G18476">
        <v>1065.19</v>
      </c>
      <c r="H18476">
        <v>250430</v>
      </c>
      <c r="I18476">
        <v>4470</v>
      </c>
      <c r="J18476" t="s">
        <v>203</v>
      </c>
      <c r="K18476">
        <v>1065.19</v>
      </c>
      <c r="L18476">
        <v>216.43</v>
      </c>
      <c r="M18476">
        <v>17952</v>
      </c>
      <c r="N18476" t="s">
        <v>157</v>
      </c>
      <c r="O18476">
        <v>250507</v>
      </c>
      <c r="P18476">
        <v>848.76</v>
      </c>
    </row>
    <row r="18477" spans="1:16" x14ac:dyDescent="0.25">
      <c r="A18477" t="s">
        <v>3296</v>
      </c>
      <c r="B18477" t="s">
        <v>2931</v>
      </c>
      <c r="C18477">
        <v>1728</v>
      </c>
      <c r="D18477" t="str">
        <f>"109033      "</f>
        <v xml:space="preserve">109033      </v>
      </c>
      <c r="E18477" t="s">
        <v>1090</v>
      </c>
      <c r="F18477" t="s">
        <v>1091</v>
      </c>
      <c r="G18477">
        <v>100.5</v>
      </c>
      <c r="H18477">
        <v>250210</v>
      </c>
      <c r="I18477">
        <v>4600</v>
      </c>
      <c r="J18477" t="s">
        <v>278</v>
      </c>
      <c r="K18477">
        <v>100.5</v>
      </c>
      <c r="L18477">
        <v>20.420000000000002</v>
      </c>
      <c r="M18477">
        <v>49111</v>
      </c>
      <c r="N18477" t="s">
        <v>108</v>
      </c>
      <c r="O18477">
        <v>250213</v>
      </c>
      <c r="P18477">
        <v>80.08</v>
      </c>
    </row>
    <row r="18478" spans="1:16" x14ac:dyDescent="0.25">
      <c r="A18478" t="s">
        <v>3296</v>
      </c>
      <c r="B18478" t="s">
        <v>2931</v>
      </c>
      <c r="C18478">
        <v>15789</v>
      </c>
      <c r="D18478" t="str">
        <f>"109587      "</f>
        <v xml:space="preserve">109587      </v>
      </c>
      <c r="E18478" t="s">
        <v>1090</v>
      </c>
      <c r="F18478" t="s">
        <v>1091</v>
      </c>
      <c r="G18478">
        <v>5.39</v>
      </c>
      <c r="H18478">
        <v>251118</v>
      </c>
      <c r="I18478">
        <v>4600</v>
      </c>
      <c r="J18478" t="s">
        <v>278</v>
      </c>
      <c r="K18478">
        <v>48.97</v>
      </c>
      <c r="L18478">
        <v>1.1000000000000001</v>
      </c>
      <c r="M18478">
        <v>13540</v>
      </c>
      <c r="N18478" t="s">
        <v>131</v>
      </c>
      <c r="O18478">
        <v>251127</v>
      </c>
      <c r="P18478">
        <v>4.29</v>
      </c>
    </row>
    <row r="18479" spans="1:16" x14ac:dyDescent="0.25">
      <c r="A18479" t="s">
        <v>3296</v>
      </c>
      <c r="B18479" t="s">
        <v>2931</v>
      </c>
      <c r="C18479">
        <v>15789</v>
      </c>
      <c r="D18479" t="str">
        <f>"109587      "</f>
        <v xml:space="preserve">109587      </v>
      </c>
      <c r="E18479" t="s">
        <v>1090</v>
      </c>
      <c r="F18479" t="s">
        <v>1091</v>
      </c>
      <c r="G18479">
        <v>28.96</v>
      </c>
      <c r="H18479">
        <v>251118</v>
      </c>
      <c r="I18479">
        <v>4600</v>
      </c>
      <c r="J18479" t="s">
        <v>278</v>
      </c>
      <c r="K18479">
        <v>48.97</v>
      </c>
      <c r="L18479">
        <v>5.88</v>
      </c>
      <c r="M18479">
        <v>17950</v>
      </c>
      <c r="N18479" t="s">
        <v>132</v>
      </c>
      <c r="O18479">
        <v>251127</v>
      </c>
      <c r="P18479">
        <v>23.08</v>
      </c>
    </row>
    <row r="18480" spans="1:16" x14ac:dyDescent="0.25">
      <c r="A18480" t="s">
        <v>3296</v>
      </c>
      <c r="B18480" t="s">
        <v>2931</v>
      </c>
      <c r="C18480">
        <v>2446</v>
      </c>
      <c r="D18480" t="str">
        <f>"3934        "</f>
        <v xml:space="preserve">3934        </v>
      </c>
      <c r="E18480" t="s">
        <v>1278</v>
      </c>
      <c r="F18480" t="s">
        <v>1279</v>
      </c>
      <c r="G18480">
        <v>45.8</v>
      </c>
      <c r="H18480">
        <v>250218</v>
      </c>
      <c r="I18480">
        <v>4600</v>
      </c>
      <c r="J18480" t="s">
        <v>278</v>
      </c>
      <c r="K18480">
        <v>45.8</v>
      </c>
      <c r="L18480">
        <v>9.31</v>
      </c>
      <c r="M18480">
        <v>17912</v>
      </c>
      <c r="N18480" t="s">
        <v>505</v>
      </c>
      <c r="O18480">
        <v>250227</v>
      </c>
      <c r="P18480">
        <v>36.49</v>
      </c>
    </row>
    <row r="18481" spans="1:16" x14ac:dyDescent="0.25">
      <c r="A18481" t="s">
        <v>3296</v>
      </c>
      <c r="B18481" t="s">
        <v>2931</v>
      </c>
      <c r="C18481">
        <v>18593</v>
      </c>
      <c r="D18481" t="str">
        <f>"4605        "</f>
        <v xml:space="preserve">4605        </v>
      </c>
      <c r="E18481" t="s">
        <v>2810</v>
      </c>
      <c r="F18481" t="s">
        <v>2811</v>
      </c>
      <c r="G18481">
        <v>131.78</v>
      </c>
      <c r="H18481">
        <v>251231</v>
      </c>
      <c r="I18481">
        <v>4369</v>
      </c>
      <c r="J18481" t="s">
        <v>188</v>
      </c>
      <c r="K18481">
        <v>131.78</v>
      </c>
      <c r="L18481">
        <v>26.78</v>
      </c>
      <c r="M18481">
        <v>67554</v>
      </c>
      <c r="N18481" t="s">
        <v>317</v>
      </c>
      <c r="O18481">
        <v>260116</v>
      </c>
      <c r="P18481">
        <v>105</v>
      </c>
    </row>
    <row r="18482" spans="1:16" x14ac:dyDescent="0.25">
      <c r="A18482" t="s">
        <v>3296</v>
      </c>
      <c r="B18482" t="s">
        <v>2931</v>
      </c>
      <c r="C18482">
        <v>4821</v>
      </c>
      <c r="D18482" t="str">
        <f>"30721       "</f>
        <v xml:space="preserve">30721       </v>
      </c>
      <c r="E18482" t="s">
        <v>849</v>
      </c>
      <c r="F18482" t="s">
        <v>850</v>
      </c>
      <c r="G18482">
        <v>667.03</v>
      </c>
      <c r="H18482">
        <v>250404</v>
      </c>
      <c r="I18482">
        <v>4580</v>
      </c>
      <c r="J18482" t="s">
        <v>126</v>
      </c>
      <c r="K18482">
        <v>1003.71</v>
      </c>
      <c r="L18482">
        <v>135.53</v>
      </c>
      <c r="M18482">
        <v>46555</v>
      </c>
      <c r="N18482" t="s">
        <v>103</v>
      </c>
      <c r="O18482">
        <v>250415</v>
      </c>
      <c r="P18482">
        <v>531.5</v>
      </c>
    </row>
    <row r="18483" spans="1:16" x14ac:dyDescent="0.25">
      <c r="A18483" t="s">
        <v>3296</v>
      </c>
      <c r="B18483" t="s">
        <v>2931</v>
      </c>
      <c r="C18483">
        <v>1101</v>
      </c>
      <c r="D18483" t="str">
        <f>"30055       "</f>
        <v xml:space="preserve">30055       </v>
      </c>
      <c r="E18483" t="s">
        <v>849</v>
      </c>
      <c r="F18483" t="s">
        <v>850</v>
      </c>
      <c r="G18483">
        <v>81.5</v>
      </c>
      <c r="H18483">
        <v>250131</v>
      </c>
      <c r="I18483">
        <v>4600</v>
      </c>
      <c r="J18483" t="s">
        <v>278</v>
      </c>
      <c r="K18483">
        <v>81.5</v>
      </c>
      <c r="L18483">
        <v>16.559999999999999</v>
      </c>
      <c r="M18483">
        <v>59702</v>
      </c>
      <c r="N18483" t="s">
        <v>45</v>
      </c>
      <c r="O18483">
        <v>250204</v>
      </c>
      <c r="P18483">
        <v>64.94</v>
      </c>
    </row>
    <row r="18484" spans="1:16" x14ac:dyDescent="0.25">
      <c r="A18484" t="s">
        <v>3296</v>
      </c>
      <c r="B18484" t="s">
        <v>2931</v>
      </c>
      <c r="C18484">
        <v>4821</v>
      </c>
      <c r="D18484" t="str">
        <f>"30721       "</f>
        <v xml:space="preserve">30721       </v>
      </c>
      <c r="E18484" t="s">
        <v>849</v>
      </c>
      <c r="F18484" t="s">
        <v>850</v>
      </c>
      <c r="G18484">
        <v>336.68</v>
      </c>
      <c r="H18484">
        <v>250404</v>
      </c>
      <c r="I18484">
        <v>4600</v>
      </c>
      <c r="J18484" t="s">
        <v>278</v>
      </c>
      <c r="K18484">
        <v>1003.71</v>
      </c>
      <c r="L18484">
        <v>68.41</v>
      </c>
      <c r="M18484">
        <v>46554</v>
      </c>
      <c r="N18484" t="s">
        <v>102</v>
      </c>
      <c r="O18484">
        <v>250415</v>
      </c>
      <c r="P18484">
        <v>268.27</v>
      </c>
    </row>
    <row r="18485" spans="1:16" x14ac:dyDescent="0.25">
      <c r="A18485" t="s">
        <v>3296</v>
      </c>
      <c r="B18485" t="s">
        <v>2931</v>
      </c>
      <c r="C18485">
        <v>5195</v>
      </c>
      <c r="D18485" t="str">
        <f>"30467       "</f>
        <v xml:space="preserve">30467       </v>
      </c>
      <c r="E18485" t="s">
        <v>849</v>
      </c>
      <c r="F18485" t="s">
        <v>850</v>
      </c>
      <c r="G18485">
        <v>107.55</v>
      </c>
      <c r="H18485">
        <v>250312</v>
      </c>
      <c r="I18485">
        <v>4600</v>
      </c>
      <c r="J18485" t="s">
        <v>278</v>
      </c>
      <c r="K18485">
        <v>115.23</v>
      </c>
      <c r="L18485">
        <v>21.85</v>
      </c>
      <c r="M18485">
        <v>46555</v>
      </c>
      <c r="N18485" t="s">
        <v>103</v>
      </c>
      <c r="O18485">
        <v>250422</v>
      </c>
      <c r="P18485">
        <v>85.7</v>
      </c>
    </row>
    <row r="18486" spans="1:16" x14ac:dyDescent="0.25">
      <c r="A18486" t="s">
        <v>3296</v>
      </c>
      <c r="B18486" t="s">
        <v>2931</v>
      </c>
      <c r="C18486">
        <v>5195</v>
      </c>
      <c r="D18486" t="str">
        <f>"30467       "</f>
        <v xml:space="preserve">30467       </v>
      </c>
      <c r="E18486" t="s">
        <v>849</v>
      </c>
      <c r="F18486" t="s">
        <v>850</v>
      </c>
      <c r="G18486">
        <v>7.68</v>
      </c>
      <c r="H18486">
        <v>250312</v>
      </c>
      <c r="I18486">
        <v>4600</v>
      </c>
      <c r="J18486" t="s">
        <v>278</v>
      </c>
      <c r="K18486">
        <v>115.23</v>
      </c>
      <c r="L18486">
        <v>1.56</v>
      </c>
      <c r="M18486">
        <v>55222</v>
      </c>
      <c r="N18486" t="s">
        <v>43</v>
      </c>
      <c r="O18486">
        <v>250422</v>
      </c>
      <c r="P18486">
        <v>6.12</v>
      </c>
    </row>
    <row r="18487" spans="1:16" x14ac:dyDescent="0.25">
      <c r="A18487" t="s">
        <v>3296</v>
      </c>
      <c r="B18487" t="s">
        <v>2931</v>
      </c>
      <c r="C18487">
        <v>7410</v>
      </c>
      <c r="D18487" t="str">
        <f>"31259       "</f>
        <v xml:space="preserve">31259       </v>
      </c>
      <c r="E18487" t="s">
        <v>849</v>
      </c>
      <c r="F18487" t="s">
        <v>850</v>
      </c>
      <c r="G18487">
        <v>31.55</v>
      </c>
      <c r="H18487">
        <v>250523</v>
      </c>
      <c r="I18487">
        <v>4600</v>
      </c>
      <c r="J18487" t="s">
        <v>278</v>
      </c>
      <c r="K18487">
        <v>31.55</v>
      </c>
      <c r="L18487">
        <v>6.41</v>
      </c>
      <c r="M18487">
        <v>55222</v>
      </c>
      <c r="N18487" t="s">
        <v>43</v>
      </c>
      <c r="O18487">
        <v>250603</v>
      </c>
      <c r="P18487">
        <v>25.14</v>
      </c>
    </row>
    <row r="18488" spans="1:16" x14ac:dyDescent="0.25">
      <c r="A18488" t="s">
        <v>3296</v>
      </c>
      <c r="B18488" t="s">
        <v>2931</v>
      </c>
      <c r="C18488">
        <v>7716</v>
      </c>
      <c r="D18488" t="str">
        <f>"31302       "</f>
        <v xml:space="preserve">31302       </v>
      </c>
      <c r="E18488" t="s">
        <v>849</v>
      </c>
      <c r="F18488" t="s">
        <v>850</v>
      </c>
      <c r="G18488">
        <v>122.05</v>
      </c>
      <c r="H18488">
        <v>250528</v>
      </c>
      <c r="I18488">
        <v>4600</v>
      </c>
      <c r="J18488" t="s">
        <v>278</v>
      </c>
      <c r="K18488">
        <v>122.05</v>
      </c>
      <c r="L18488">
        <v>24.8</v>
      </c>
      <c r="M18488">
        <v>56560</v>
      </c>
      <c r="N18488" t="s">
        <v>52</v>
      </c>
      <c r="O18488">
        <v>250609</v>
      </c>
      <c r="P18488">
        <v>97.25</v>
      </c>
    </row>
    <row r="18489" spans="1:16" x14ac:dyDescent="0.25">
      <c r="A18489" t="s">
        <v>3296</v>
      </c>
      <c r="B18489" t="s">
        <v>2931</v>
      </c>
      <c r="C18489">
        <v>12991</v>
      </c>
      <c r="D18489" t="str">
        <f>"32443       "</f>
        <v xml:space="preserve">32443       </v>
      </c>
      <c r="E18489" t="s">
        <v>849</v>
      </c>
      <c r="F18489" t="s">
        <v>850</v>
      </c>
      <c r="G18489">
        <v>13.48</v>
      </c>
      <c r="H18489">
        <v>250925</v>
      </c>
      <c r="I18489">
        <v>4600</v>
      </c>
      <c r="J18489" t="s">
        <v>278</v>
      </c>
      <c r="K18489">
        <v>13.48</v>
      </c>
      <c r="L18489">
        <v>2.74</v>
      </c>
      <c r="M18489">
        <v>55222</v>
      </c>
      <c r="N18489" t="s">
        <v>43</v>
      </c>
      <c r="O18489">
        <v>251003</v>
      </c>
      <c r="P18489">
        <v>10.74</v>
      </c>
    </row>
    <row r="18490" spans="1:16" x14ac:dyDescent="0.25">
      <c r="A18490" t="s">
        <v>3296</v>
      </c>
      <c r="B18490" t="s">
        <v>2931</v>
      </c>
      <c r="C18490">
        <v>15526</v>
      </c>
      <c r="D18490" t="str">
        <f>"1474        "</f>
        <v xml:space="preserve">1474        </v>
      </c>
      <c r="E18490" t="s">
        <v>2344</v>
      </c>
      <c r="F18490" t="s">
        <v>2345</v>
      </c>
      <c r="G18490">
        <v>160</v>
      </c>
      <c r="H18490">
        <v>251112</v>
      </c>
      <c r="I18490">
        <v>4440</v>
      </c>
      <c r="J18490" t="s">
        <v>346</v>
      </c>
      <c r="K18490">
        <v>160</v>
      </c>
      <c r="L18490">
        <v>0</v>
      </c>
      <c r="M18490">
        <v>13201</v>
      </c>
      <c r="N18490" t="s">
        <v>269</v>
      </c>
      <c r="O18490">
        <v>251121</v>
      </c>
      <c r="P18490">
        <v>160</v>
      </c>
    </row>
    <row r="18491" spans="1:16" x14ac:dyDescent="0.25">
      <c r="A18491" t="s">
        <v>3296</v>
      </c>
      <c r="B18491" t="s">
        <v>2931</v>
      </c>
      <c r="C18491">
        <v>12339</v>
      </c>
      <c r="D18491" t="str">
        <f>"1250        "</f>
        <v xml:space="preserve">1250        </v>
      </c>
      <c r="E18491" t="s">
        <v>2344</v>
      </c>
      <c r="F18491" t="s">
        <v>2345</v>
      </c>
      <c r="G18491">
        <v>150</v>
      </c>
      <c r="H18491">
        <v>250908</v>
      </c>
      <c r="I18491">
        <v>4600</v>
      </c>
      <c r="J18491" t="s">
        <v>278</v>
      </c>
      <c r="K18491">
        <v>150</v>
      </c>
      <c r="L18491">
        <v>0</v>
      </c>
      <c r="M18491">
        <v>13401</v>
      </c>
      <c r="N18491" t="s">
        <v>10</v>
      </c>
      <c r="O18491">
        <v>250919</v>
      </c>
      <c r="P18491">
        <v>150</v>
      </c>
    </row>
    <row r="18492" spans="1:16" x14ac:dyDescent="0.25">
      <c r="A18492" t="s">
        <v>3296</v>
      </c>
      <c r="B18492" t="s">
        <v>2931</v>
      </c>
      <c r="C18492">
        <v>3433</v>
      </c>
      <c r="D18492" t="str">
        <f t="shared" ref="D18492:D18503" si="315">"168917      "</f>
        <v xml:space="preserve">168917      </v>
      </c>
      <c r="E18492" t="s">
        <v>1231</v>
      </c>
      <c r="F18492" t="s">
        <v>1232</v>
      </c>
      <c r="G18492">
        <v>45.18</v>
      </c>
      <c r="H18492">
        <v>250307</v>
      </c>
      <c r="I18492">
        <v>4441</v>
      </c>
      <c r="J18492" t="s">
        <v>234</v>
      </c>
      <c r="K18492">
        <v>677.7</v>
      </c>
      <c r="L18492">
        <v>9.18</v>
      </c>
      <c r="M18492">
        <v>66722</v>
      </c>
      <c r="N18492" t="s">
        <v>118</v>
      </c>
      <c r="O18492">
        <v>250321</v>
      </c>
      <c r="P18492">
        <v>36</v>
      </c>
    </row>
    <row r="18493" spans="1:16" x14ac:dyDescent="0.25">
      <c r="A18493" t="s">
        <v>3296</v>
      </c>
      <c r="B18493" t="s">
        <v>2931</v>
      </c>
      <c r="C18493">
        <v>3433</v>
      </c>
      <c r="D18493" t="str">
        <f t="shared" si="315"/>
        <v xml:space="preserve">168917      </v>
      </c>
      <c r="E18493" t="s">
        <v>1231</v>
      </c>
      <c r="F18493" t="s">
        <v>1232</v>
      </c>
      <c r="G18493">
        <v>45.18</v>
      </c>
      <c r="H18493">
        <v>250307</v>
      </c>
      <c r="I18493">
        <v>4441</v>
      </c>
      <c r="J18493" t="s">
        <v>234</v>
      </c>
      <c r="K18493">
        <v>677.7</v>
      </c>
      <c r="L18493">
        <v>9.18</v>
      </c>
      <c r="M18493">
        <v>66754</v>
      </c>
      <c r="N18493" t="s">
        <v>119</v>
      </c>
      <c r="O18493">
        <v>250321</v>
      </c>
      <c r="P18493">
        <v>36</v>
      </c>
    </row>
    <row r="18494" spans="1:16" x14ac:dyDescent="0.25">
      <c r="A18494" t="s">
        <v>3296</v>
      </c>
      <c r="B18494" t="s">
        <v>2931</v>
      </c>
      <c r="C18494">
        <v>3433</v>
      </c>
      <c r="D18494" t="str">
        <f t="shared" si="315"/>
        <v xml:space="preserve">168917      </v>
      </c>
      <c r="E18494" t="s">
        <v>1231</v>
      </c>
      <c r="F18494" t="s">
        <v>1232</v>
      </c>
      <c r="G18494">
        <v>45.18</v>
      </c>
      <c r="H18494">
        <v>250307</v>
      </c>
      <c r="I18494">
        <v>4441</v>
      </c>
      <c r="J18494" t="s">
        <v>234</v>
      </c>
      <c r="K18494">
        <v>677.7</v>
      </c>
      <c r="L18494">
        <v>9.18</v>
      </c>
      <c r="M18494">
        <v>66754</v>
      </c>
      <c r="N18494" t="s">
        <v>119</v>
      </c>
      <c r="O18494">
        <v>250321</v>
      </c>
      <c r="P18494">
        <v>36</v>
      </c>
    </row>
    <row r="18495" spans="1:16" x14ac:dyDescent="0.25">
      <c r="A18495" t="s">
        <v>3296</v>
      </c>
      <c r="B18495" t="s">
        <v>2931</v>
      </c>
      <c r="C18495">
        <v>3433</v>
      </c>
      <c r="D18495" t="str">
        <f t="shared" si="315"/>
        <v xml:space="preserve">168917      </v>
      </c>
      <c r="E18495" t="s">
        <v>1231</v>
      </c>
      <c r="F18495" t="s">
        <v>1232</v>
      </c>
      <c r="G18495">
        <v>45.18</v>
      </c>
      <c r="H18495">
        <v>250307</v>
      </c>
      <c r="I18495">
        <v>4441</v>
      </c>
      <c r="J18495" t="s">
        <v>234</v>
      </c>
      <c r="K18495">
        <v>677.7</v>
      </c>
      <c r="L18495">
        <v>9.18</v>
      </c>
      <c r="M18495">
        <v>66754</v>
      </c>
      <c r="N18495" t="s">
        <v>119</v>
      </c>
      <c r="O18495">
        <v>250321</v>
      </c>
      <c r="P18495">
        <v>36</v>
      </c>
    </row>
    <row r="18496" spans="1:16" x14ac:dyDescent="0.25">
      <c r="A18496" t="s">
        <v>3296</v>
      </c>
      <c r="B18496" t="s">
        <v>2931</v>
      </c>
      <c r="C18496">
        <v>3433</v>
      </c>
      <c r="D18496" t="str">
        <f t="shared" si="315"/>
        <v xml:space="preserve">168917      </v>
      </c>
      <c r="E18496" t="s">
        <v>1231</v>
      </c>
      <c r="F18496" t="s">
        <v>1232</v>
      </c>
      <c r="G18496">
        <v>45.18</v>
      </c>
      <c r="H18496">
        <v>250307</v>
      </c>
      <c r="I18496">
        <v>4441</v>
      </c>
      <c r="J18496" t="s">
        <v>234</v>
      </c>
      <c r="K18496">
        <v>677.7</v>
      </c>
      <c r="L18496">
        <v>9.18</v>
      </c>
      <c r="M18496">
        <v>66754</v>
      </c>
      <c r="N18496" t="s">
        <v>119</v>
      </c>
      <c r="O18496">
        <v>250321</v>
      </c>
      <c r="P18496">
        <v>36</v>
      </c>
    </row>
    <row r="18497" spans="1:16" x14ac:dyDescent="0.25">
      <c r="A18497" t="s">
        <v>3296</v>
      </c>
      <c r="B18497" t="s">
        <v>2931</v>
      </c>
      <c r="C18497">
        <v>3433</v>
      </c>
      <c r="D18497" t="str">
        <f t="shared" si="315"/>
        <v xml:space="preserve">168917      </v>
      </c>
      <c r="E18497" t="s">
        <v>1231</v>
      </c>
      <c r="F18497" t="s">
        <v>1232</v>
      </c>
      <c r="G18497">
        <v>90.36</v>
      </c>
      <c r="H18497">
        <v>250307</v>
      </c>
      <c r="I18497">
        <v>4441</v>
      </c>
      <c r="J18497" t="s">
        <v>234</v>
      </c>
      <c r="K18497">
        <v>677.7</v>
      </c>
      <c r="L18497">
        <v>18.36</v>
      </c>
      <c r="M18497">
        <v>67522</v>
      </c>
      <c r="N18497" t="s">
        <v>121</v>
      </c>
      <c r="O18497">
        <v>250321</v>
      </c>
      <c r="P18497">
        <v>72</v>
      </c>
    </row>
    <row r="18498" spans="1:16" x14ac:dyDescent="0.25">
      <c r="A18498" t="s">
        <v>3296</v>
      </c>
      <c r="B18498" t="s">
        <v>2931</v>
      </c>
      <c r="C18498">
        <v>3433</v>
      </c>
      <c r="D18498" t="str">
        <f t="shared" si="315"/>
        <v xml:space="preserve">168917      </v>
      </c>
      <c r="E18498" t="s">
        <v>1231</v>
      </c>
      <c r="F18498" t="s">
        <v>1232</v>
      </c>
      <c r="G18498">
        <v>45.18</v>
      </c>
      <c r="H18498">
        <v>250307</v>
      </c>
      <c r="I18498">
        <v>4441</v>
      </c>
      <c r="J18498" t="s">
        <v>234</v>
      </c>
      <c r="K18498">
        <v>677.7</v>
      </c>
      <c r="L18498">
        <v>9.18</v>
      </c>
      <c r="M18498">
        <v>67554</v>
      </c>
      <c r="N18498" t="s">
        <v>317</v>
      </c>
      <c r="O18498">
        <v>250321</v>
      </c>
      <c r="P18498">
        <v>36</v>
      </c>
    </row>
    <row r="18499" spans="1:16" x14ac:dyDescent="0.25">
      <c r="A18499" t="s">
        <v>3296</v>
      </c>
      <c r="B18499" t="s">
        <v>2931</v>
      </c>
      <c r="C18499">
        <v>3433</v>
      </c>
      <c r="D18499" t="str">
        <f t="shared" si="315"/>
        <v xml:space="preserve">168917      </v>
      </c>
      <c r="E18499" t="s">
        <v>1231</v>
      </c>
      <c r="F18499" t="s">
        <v>1232</v>
      </c>
      <c r="G18499">
        <v>45.18</v>
      </c>
      <c r="H18499">
        <v>250307</v>
      </c>
      <c r="I18499">
        <v>4441</v>
      </c>
      <c r="J18499" t="s">
        <v>234</v>
      </c>
      <c r="K18499">
        <v>677.7</v>
      </c>
      <c r="L18499">
        <v>9.18</v>
      </c>
      <c r="M18499">
        <v>69112</v>
      </c>
      <c r="N18499" t="s">
        <v>227</v>
      </c>
      <c r="O18499">
        <v>250321</v>
      </c>
      <c r="P18499">
        <v>36</v>
      </c>
    </row>
    <row r="18500" spans="1:16" x14ac:dyDescent="0.25">
      <c r="A18500" t="s">
        <v>3296</v>
      </c>
      <c r="B18500" t="s">
        <v>2931</v>
      </c>
      <c r="C18500">
        <v>3433</v>
      </c>
      <c r="D18500" t="str">
        <f t="shared" si="315"/>
        <v xml:space="preserve">168917      </v>
      </c>
      <c r="E18500" t="s">
        <v>1231</v>
      </c>
      <c r="F18500" t="s">
        <v>1232</v>
      </c>
      <c r="G18500">
        <v>45.18</v>
      </c>
      <c r="H18500">
        <v>250307</v>
      </c>
      <c r="I18500">
        <v>4441</v>
      </c>
      <c r="J18500" t="s">
        <v>234</v>
      </c>
      <c r="K18500">
        <v>677.7</v>
      </c>
      <c r="L18500">
        <v>9.18</v>
      </c>
      <c r="M18500">
        <v>69113</v>
      </c>
      <c r="N18500" t="s">
        <v>122</v>
      </c>
      <c r="O18500">
        <v>250321</v>
      </c>
      <c r="P18500">
        <v>36</v>
      </c>
    </row>
    <row r="18501" spans="1:16" x14ac:dyDescent="0.25">
      <c r="A18501" t="s">
        <v>3296</v>
      </c>
      <c r="B18501" t="s">
        <v>2931</v>
      </c>
      <c r="C18501">
        <v>3433</v>
      </c>
      <c r="D18501" t="str">
        <f t="shared" si="315"/>
        <v xml:space="preserve">168917      </v>
      </c>
      <c r="E18501" t="s">
        <v>1231</v>
      </c>
      <c r="F18501" t="s">
        <v>1232</v>
      </c>
      <c r="G18501">
        <v>135.54</v>
      </c>
      <c r="H18501">
        <v>250307</v>
      </c>
      <c r="I18501">
        <v>4441</v>
      </c>
      <c r="J18501" t="s">
        <v>234</v>
      </c>
      <c r="K18501">
        <v>677.7</v>
      </c>
      <c r="L18501">
        <v>27.54</v>
      </c>
      <c r="M18501">
        <v>69501</v>
      </c>
      <c r="N18501" t="s">
        <v>123</v>
      </c>
      <c r="O18501">
        <v>250321</v>
      </c>
      <c r="P18501">
        <v>108</v>
      </c>
    </row>
    <row r="18502" spans="1:16" x14ac:dyDescent="0.25">
      <c r="A18502" t="s">
        <v>3296</v>
      </c>
      <c r="B18502" t="s">
        <v>2931</v>
      </c>
      <c r="C18502">
        <v>3433</v>
      </c>
      <c r="D18502" t="str">
        <f t="shared" si="315"/>
        <v xml:space="preserve">168917      </v>
      </c>
      <c r="E18502" t="s">
        <v>1231</v>
      </c>
      <c r="F18502" t="s">
        <v>1232</v>
      </c>
      <c r="G18502">
        <v>45.18</v>
      </c>
      <c r="H18502">
        <v>250307</v>
      </c>
      <c r="I18502">
        <v>4441</v>
      </c>
      <c r="J18502" t="s">
        <v>234</v>
      </c>
      <c r="K18502">
        <v>677.7</v>
      </c>
      <c r="L18502">
        <v>9.18</v>
      </c>
      <c r="M18502">
        <v>69707</v>
      </c>
      <c r="N18502" t="s">
        <v>90</v>
      </c>
      <c r="O18502">
        <v>250321</v>
      </c>
      <c r="P18502">
        <v>36</v>
      </c>
    </row>
    <row r="18503" spans="1:16" x14ac:dyDescent="0.25">
      <c r="A18503" t="s">
        <v>3296</v>
      </c>
      <c r="B18503" t="s">
        <v>2931</v>
      </c>
      <c r="C18503">
        <v>3433</v>
      </c>
      <c r="D18503" t="str">
        <f t="shared" si="315"/>
        <v xml:space="preserve">168917      </v>
      </c>
      <c r="E18503" t="s">
        <v>1231</v>
      </c>
      <c r="F18503" t="s">
        <v>1232</v>
      </c>
      <c r="G18503">
        <v>45.18</v>
      </c>
      <c r="H18503">
        <v>250307</v>
      </c>
      <c r="I18503">
        <v>4441</v>
      </c>
      <c r="J18503" t="s">
        <v>234</v>
      </c>
      <c r="K18503">
        <v>677.7</v>
      </c>
      <c r="L18503">
        <v>9.18</v>
      </c>
      <c r="M18503">
        <v>69708</v>
      </c>
      <c r="N18503" t="s">
        <v>125</v>
      </c>
      <c r="O18503">
        <v>250321</v>
      </c>
      <c r="P18503">
        <v>36</v>
      </c>
    </row>
    <row r="18504" spans="1:16" x14ac:dyDescent="0.25">
      <c r="A18504" t="s">
        <v>3296</v>
      </c>
      <c r="B18504" t="s">
        <v>2931</v>
      </c>
      <c r="C18504">
        <v>2263</v>
      </c>
      <c r="D18504" t="str">
        <f>"513749      "</f>
        <v xml:space="preserve">513749      </v>
      </c>
      <c r="E18504" t="s">
        <v>1231</v>
      </c>
      <c r="F18504" t="s">
        <v>1232</v>
      </c>
      <c r="G18504">
        <v>116.97</v>
      </c>
      <c r="H18504">
        <v>250206</v>
      </c>
      <c r="I18504">
        <v>4534</v>
      </c>
      <c r="J18504" t="s">
        <v>349</v>
      </c>
      <c r="K18504">
        <v>584.84</v>
      </c>
      <c r="L18504">
        <v>23.77</v>
      </c>
      <c r="M18504">
        <v>17521</v>
      </c>
      <c r="N18504" t="s">
        <v>136</v>
      </c>
      <c r="O18504">
        <v>250224</v>
      </c>
      <c r="P18504">
        <v>93.2</v>
      </c>
    </row>
    <row r="18505" spans="1:16" x14ac:dyDescent="0.25">
      <c r="A18505" t="s">
        <v>3296</v>
      </c>
      <c r="B18505" t="s">
        <v>2931</v>
      </c>
      <c r="C18505">
        <v>2263</v>
      </c>
      <c r="D18505" t="str">
        <f>"513749      "</f>
        <v xml:space="preserve">513749      </v>
      </c>
      <c r="E18505" t="s">
        <v>1231</v>
      </c>
      <c r="F18505" t="s">
        <v>1232</v>
      </c>
      <c r="G18505">
        <v>116.97</v>
      </c>
      <c r="H18505">
        <v>250206</v>
      </c>
      <c r="I18505">
        <v>4534</v>
      </c>
      <c r="J18505" t="s">
        <v>349</v>
      </c>
      <c r="K18505">
        <v>584.84</v>
      </c>
      <c r="L18505">
        <v>23.77</v>
      </c>
      <c r="M18505">
        <v>17522</v>
      </c>
      <c r="N18505" t="s">
        <v>137</v>
      </c>
      <c r="O18505">
        <v>250224</v>
      </c>
      <c r="P18505">
        <v>93.2</v>
      </c>
    </row>
    <row r="18506" spans="1:16" x14ac:dyDescent="0.25">
      <c r="A18506" t="s">
        <v>3296</v>
      </c>
      <c r="B18506" t="s">
        <v>2931</v>
      </c>
      <c r="C18506">
        <v>2263</v>
      </c>
      <c r="D18506" t="str">
        <f>"513749      "</f>
        <v xml:space="preserve">513749      </v>
      </c>
      <c r="E18506" t="s">
        <v>1231</v>
      </c>
      <c r="F18506" t="s">
        <v>1232</v>
      </c>
      <c r="G18506">
        <v>116.96</v>
      </c>
      <c r="H18506">
        <v>250206</v>
      </c>
      <c r="I18506">
        <v>4534</v>
      </c>
      <c r="J18506" t="s">
        <v>349</v>
      </c>
      <c r="K18506">
        <v>584.84</v>
      </c>
      <c r="L18506">
        <v>23.76</v>
      </c>
      <c r="M18506">
        <v>17523</v>
      </c>
      <c r="N18506" t="s">
        <v>138</v>
      </c>
      <c r="O18506">
        <v>250224</v>
      </c>
      <c r="P18506">
        <v>93.2</v>
      </c>
    </row>
    <row r="18507" spans="1:16" x14ac:dyDescent="0.25">
      <c r="A18507" t="s">
        <v>3296</v>
      </c>
      <c r="B18507" t="s">
        <v>2931</v>
      </c>
      <c r="C18507">
        <v>2263</v>
      </c>
      <c r="D18507" t="str">
        <f>"513749      "</f>
        <v xml:space="preserve">513749      </v>
      </c>
      <c r="E18507" t="s">
        <v>1231</v>
      </c>
      <c r="F18507" t="s">
        <v>1232</v>
      </c>
      <c r="G18507">
        <v>116.97</v>
      </c>
      <c r="H18507">
        <v>250206</v>
      </c>
      <c r="I18507">
        <v>4534</v>
      </c>
      <c r="J18507" t="s">
        <v>349</v>
      </c>
      <c r="K18507">
        <v>584.84</v>
      </c>
      <c r="L18507">
        <v>23.77</v>
      </c>
      <c r="M18507">
        <v>17524</v>
      </c>
      <c r="N18507" t="s">
        <v>139</v>
      </c>
      <c r="O18507">
        <v>250224</v>
      </c>
      <c r="P18507">
        <v>93.2</v>
      </c>
    </row>
    <row r="18508" spans="1:16" x14ac:dyDescent="0.25">
      <c r="A18508" t="s">
        <v>3296</v>
      </c>
      <c r="B18508" t="s">
        <v>2931</v>
      </c>
      <c r="C18508">
        <v>2263</v>
      </c>
      <c r="D18508" t="str">
        <f>"513749      "</f>
        <v xml:space="preserve">513749      </v>
      </c>
      <c r="E18508" t="s">
        <v>1231</v>
      </c>
      <c r="F18508" t="s">
        <v>1232</v>
      </c>
      <c r="G18508">
        <v>116.97</v>
      </c>
      <c r="H18508">
        <v>250206</v>
      </c>
      <c r="I18508">
        <v>4534</v>
      </c>
      <c r="J18508" t="s">
        <v>349</v>
      </c>
      <c r="K18508">
        <v>584.84</v>
      </c>
      <c r="L18508">
        <v>23.77</v>
      </c>
      <c r="M18508">
        <v>17527</v>
      </c>
      <c r="N18508" t="s">
        <v>142</v>
      </c>
      <c r="O18508">
        <v>250224</v>
      </c>
      <c r="P18508">
        <v>93.2</v>
      </c>
    </row>
    <row r="18509" spans="1:16" x14ac:dyDescent="0.25">
      <c r="A18509" t="s">
        <v>3296</v>
      </c>
      <c r="B18509" t="s">
        <v>2931</v>
      </c>
      <c r="C18509">
        <v>14442</v>
      </c>
      <c r="D18509" t="str">
        <f>"518545      "</f>
        <v xml:space="preserve">518545      </v>
      </c>
      <c r="E18509" t="s">
        <v>1231</v>
      </c>
      <c r="F18509" t="s">
        <v>1232</v>
      </c>
      <c r="G18509">
        <v>1909.93</v>
      </c>
      <c r="H18509">
        <v>251024</v>
      </c>
      <c r="I18509">
        <v>4534</v>
      </c>
      <c r="J18509" t="s">
        <v>349</v>
      </c>
      <c r="K18509">
        <v>1909.93</v>
      </c>
      <c r="L18509">
        <v>388.07</v>
      </c>
      <c r="M18509">
        <v>49501</v>
      </c>
      <c r="N18509" t="s">
        <v>110</v>
      </c>
      <c r="O18509">
        <v>251031</v>
      </c>
      <c r="P18509">
        <v>1521.86</v>
      </c>
    </row>
    <row r="18510" spans="1:16" x14ac:dyDescent="0.25">
      <c r="A18510" t="s">
        <v>3296</v>
      </c>
      <c r="B18510" t="s">
        <v>2931</v>
      </c>
      <c r="C18510">
        <v>16922</v>
      </c>
      <c r="D18510" t="str">
        <f>"6200        "</f>
        <v xml:space="preserve">6200        </v>
      </c>
      <c r="E18510" t="s">
        <v>3189</v>
      </c>
      <c r="F18510" t="s">
        <v>3190</v>
      </c>
      <c r="G18510">
        <v>663.99</v>
      </c>
      <c r="H18510">
        <v>251208</v>
      </c>
      <c r="I18510">
        <v>4440</v>
      </c>
      <c r="J18510" t="s">
        <v>346</v>
      </c>
      <c r="K18510">
        <v>663.99</v>
      </c>
      <c r="L18510">
        <v>0</v>
      </c>
      <c r="M18510">
        <v>49702</v>
      </c>
      <c r="N18510" t="s">
        <v>112</v>
      </c>
      <c r="O18510">
        <v>251215</v>
      </c>
      <c r="P18510">
        <v>663.99</v>
      </c>
    </row>
    <row r="18511" spans="1:16" x14ac:dyDescent="0.25">
      <c r="A18511" t="s">
        <v>3296</v>
      </c>
      <c r="B18511" t="s">
        <v>2931</v>
      </c>
      <c r="C18511">
        <v>1800</v>
      </c>
      <c r="D18511" t="str">
        <f>"2473596     "</f>
        <v xml:space="preserve">2473596     </v>
      </c>
      <c r="E18511" t="s">
        <v>1123</v>
      </c>
      <c r="F18511" t="s">
        <v>1124</v>
      </c>
      <c r="G18511">
        <v>113.5</v>
      </c>
      <c r="H18511">
        <v>250209</v>
      </c>
      <c r="I18511">
        <v>4510</v>
      </c>
      <c r="J18511" t="s">
        <v>240</v>
      </c>
      <c r="K18511">
        <v>227</v>
      </c>
      <c r="L18511">
        <v>10.32</v>
      </c>
      <c r="M18511">
        <v>17131</v>
      </c>
      <c r="N18511" t="s">
        <v>154</v>
      </c>
      <c r="O18511">
        <v>250214</v>
      </c>
      <c r="P18511">
        <v>103.18</v>
      </c>
    </row>
    <row r="18512" spans="1:16" x14ac:dyDescent="0.25">
      <c r="A18512" t="s">
        <v>3296</v>
      </c>
      <c r="B18512" t="s">
        <v>2931</v>
      </c>
      <c r="C18512">
        <v>1800</v>
      </c>
      <c r="D18512" t="str">
        <f>"2473596     "</f>
        <v xml:space="preserve">2473596     </v>
      </c>
      <c r="E18512" t="s">
        <v>1123</v>
      </c>
      <c r="F18512" t="s">
        <v>1124</v>
      </c>
      <c r="G18512">
        <v>113.5</v>
      </c>
      <c r="H18512">
        <v>250209</v>
      </c>
      <c r="I18512">
        <v>4510</v>
      </c>
      <c r="J18512" t="s">
        <v>240</v>
      </c>
      <c r="K18512">
        <v>227</v>
      </c>
      <c r="L18512">
        <v>10.32</v>
      </c>
      <c r="M18512">
        <v>17711</v>
      </c>
      <c r="N18512" t="s">
        <v>155</v>
      </c>
      <c r="O18512">
        <v>250214</v>
      </c>
      <c r="P18512">
        <v>103.18</v>
      </c>
    </row>
    <row r="18513" spans="1:16" x14ac:dyDescent="0.25">
      <c r="A18513" t="s">
        <v>3296</v>
      </c>
      <c r="B18513" t="s">
        <v>2931</v>
      </c>
      <c r="C18513">
        <v>247</v>
      </c>
      <c r="D18513" t="str">
        <f>"277693271092"</f>
        <v>277693271092</v>
      </c>
      <c r="E18513" t="s">
        <v>2973</v>
      </c>
      <c r="F18513" t="s">
        <v>2974</v>
      </c>
      <c r="G18513">
        <v>44</v>
      </c>
      <c r="H18513">
        <v>250110</v>
      </c>
      <c r="I18513">
        <v>4470</v>
      </c>
      <c r="J18513" t="s">
        <v>203</v>
      </c>
      <c r="K18513">
        <v>44</v>
      </c>
      <c r="L18513">
        <v>0</v>
      </c>
      <c r="M18513">
        <v>17711</v>
      </c>
      <c r="N18513" t="s">
        <v>155</v>
      </c>
      <c r="O18513">
        <v>250120</v>
      </c>
      <c r="P18513">
        <v>44</v>
      </c>
    </row>
    <row r="18514" spans="1:16" x14ac:dyDescent="0.25">
      <c r="A18514" t="s">
        <v>3296</v>
      </c>
      <c r="B18514" t="s">
        <v>2931</v>
      </c>
      <c r="C18514">
        <v>7765</v>
      </c>
      <c r="D18514" t="str">
        <f>"883879227980"</f>
        <v>883879227980</v>
      </c>
      <c r="E18514" t="s">
        <v>2973</v>
      </c>
      <c r="F18514" t="s">
        <v>2974</v>
      </c>
      <c r="G18514">
        <v>42</v>
      </c>
      <c r="H18514">
        <v>250528</v>
      </c>
      <c r="I18514">
        <v>4470</v>
      </c>
      <c r="J18514" t="s">
        <v>203</v>
      </c>
      <c r="K18514">
        <v>42</v>
      </c>
      <c r="L18514">
        <v>0</v>
      </c>
      <c r="M18514">
        <v>17711</v>
      </c>
      <c r="N18514" t="s">
        <v>155</v>
      </c>
      <c r="O18514">
        <v>250609</v>
      </c>
      <c r="P18514">
        <v>42</v>
      </c>
    </row>
    <row r="18515" spans="1:16" x14ac:dyDescent="0.25">
      <c r="A18515" t="s">
        <v>3296</v>
      </c>
      <c r="B18515" t="s">
        <v>2931</v>
      </c>
      <c r="C18515">
        <v>10486</v>
      </c>
      <c r="D18515" t="str">
        <f>"272865473602"</f>
        <v>272865473602</v>
      </c>
      <c r="E18515" t="s">
        <v>2973</v>
      </c>
      <c r="F18515" t="s">
        <v>2974</v>
      </c>
      <c r="G18515">
        <v>55</v>
      </c>
      <c r="H18515">
        <v>250813</v>
      </c>
      <c r="I18515">
        <v>4470</v>
      </c>
      <c r="J18515" t="s">
        <v>203</v>
      </c>
      <c r="K18515">
        <v>55</v>
      </c>
      <c r="L18515">
        <v>0</v>
      </c>
      <c r="M18515">
        <v>17711</v>
      </c>
      <c r="N18515" t="s">
        <v>155</v>
      </c>
      <c r="O18515">
        <v>250820</v>
      </c>
      <c r="P18515">
        <v>55</v>
      </c>
    </row>
    <row r="18516" spans="1:16" x14ac:dyDescent="0.25">
      <c r="A18516" t="s">
        <v>3296</v>
      </c>
      <c r="B18516" t="s">
        <v>2931</v>
      </c>
      <c r="C18516">
        <v>328</v>
      </c>
      <c r="D18516" t="str">
        <f>"7742        "</f>
        <v xml:space="preserve">7742        </v>
      </c>
      <c r="E18516" t="s">
        <v>423</v>
      </c>
      <c r="F18516" t="s">
        <v>424</v>
      </c>
      <c r="G18516">
        <v>88</v>
      </c>
      <c r="H18516">
        <v>250115</v>
      </c>
      <c r="I18516">
        <v>4510</v>
      </c>
      <c r="J18516" t="s">
        <v>240</v>
      </c>
      <c r="K18516">
        <v>88</v>
      </c>
      <c r="L18516">
        <v>8</v>
      </c>
      <c r="M18516">
        <v>17803</v>
      </c>
      <c r="N18516" t="s">
        <v>19</v>
      </c>
      <c r="O18516">
        <v>250121</v>
      </c>
      <c r="P18516">
        <v>80</v>
      </c>
    </row>
    <row r="18517" spans="1:16" x14ac:dyDescent="0.25">
      <c r="A18517" t="s">
        <v>3296</v>
      </c>
      <c r="B18517" t="s">
        <v>2931</v>
      </c>
      <c r="C18517">
        <v>4815</v>
      </c>
      <c r="D18517" t="str">
        <f>"400581      "</f>
        <v xml:space="preserve">400581      </v>
      </c>
      <c r="E18517" t="s">
        <v>565</v>
      </c>
      <c r="F18517" t="s">
        <v>566</v>
      </c>
      <c r="G18517">
        <v>219.53</v>
      </c>
      <c r="H18517">
        <v>250321</v>
      </c>
      <c r="I18517">
        <v>4534</v>
      </c>
      <c r="J18517" t="s">
        <v>349</v>
      </c>
      <c r="K18517">
        <v>439.06</v>
      </c>
      <c r="L18517">
        <v>44.61</v>
      </c>
      <c r="M18517">
        <v>54222</v>
      </c>
      <c r="N18517" t="s">
        <v>48</v>
      </c>
      <c r="O18517">
        <v>250415</v>
      </c>
      <c r="P18517">
        <v>174.92</v>
      </c>
    </row>
    <row r="18518" spans="1:16" x14ac:dyDescent="0.25">
      <c r="A18518" t="s">
        <v>3296</v>
      </c>
      <c r="B18518" t="s">
        <v>2931</v>
      </c>
      <c r="C18518">
        <v>4815</v>
      </c>
      <c r="D18518" t="str">
        <f>"400581      "</f>
        <v xml:space="preserve">400581      </v>
      </c>
      <c r="E18518" t="s">
        <v>565</v>
      </c>
      <c r="F18518" t="s">
        <v>566</v>
      </c>
      <c r="G18518">
        <v>219.53</v>
      </c>
      <c r="H18518">
        <v>250321</v>
      </c>
      <c r="I18518">
        <v>4534</v>
      </c>
      <c r="J18518" t="s">
        <v>349</v>
      </c>
      <c r="K18518">
        <v>439.06</v>
      </c>
      <c r="L18518">
        <v>44.61</v>
      </c>
      <c r="M18518">
        <v>54252</v>
      </c>
      <c r="N18518" t="s">
        <v>742</v>
      </c>
      <c r="O18518">
        <v>250415</v>
      </c>
      <c r="P18518">
        <v>174.92</v>
      </c>
    </row>
    <row r="18519" spans="1:16" x14ac:dyDescent="0.25">
      <c r="A18519" t="s">
        <v>3296</v>
      </c>
      <c r="B18519" t="s">
        <v>2931</v>
      </c>
      <c r="C18519">
        <v>6471</v>
      </c>
      <c r="D18519" t="str">
        <f>"402277      "</f>
        <v xml:space="preserve">402277      </v>
      </c>
      <c r="E18519" t="s">
        <v>565</v>
      </c>
      <c r="F18519" t="s">
        <v>566</v>
      </c>
      <c r="G18519">
        <v>341.07</v>
      </c>
      <c r="H18519">
        <v>250423</v>
      </c>
      <c r="I18519">
        <v>4534</v>
      </c>
      <c r="J18519" t="s">
        <v>349</v>
      </c>
      <c r="K18519">
        <v>682.14</v>
      </c>
      <c r="L18519">
        <v>69.3</v>
      </c>
      <c r="M18519">
        <v>54222</v>
      </c>
      <c r="N18519" t="s">
        <v>48</v>
      </c>
      <c r="O18519">
        <v>250513</v>
      </c>
      <c r="P18519">
        <v>271.77</v>
      </c>
    </row>
    <row r="18520" spans="1:16" x14ac:dyDescent="0.25">
      <c r="A18520" t="s">
        <v>3296</v>
      </c>
      <c r="B18520" t="s">
        <v>2931</v>
      </c>
      <c r="C18520">
        <v>6471</v>
      </c>
      <c r="D18520" t="str">
        <f>"402277      "</f>
        <v xml:space="preserve">402277      </v>
      </c>
      <c r="E18520" t="s">
        <v>565</v>
      </c>
      <c r="F18520" t="s">
        <v>566</v>
      </c>
      <c r="G18520">
        <v>341.07</v>
      </c>
      <c r="H18520">
        <v>250423</v>
      </c>
      <c r="I18520">
        <v>4534</v>
      </c>
      <c r="J18520" t="s">
        <v>349</v>
      </c>
      <c r="K18520">
        <v>682.14</v>
      </c>
      <c r="L18520">
        <v>69.3</v>
      </c>
      <c r="M18520">
        <v>54252</v>
      </c>
      <c r="N18520" t="s">
        <v>742</v>
      </c>
      <c r="O18520">
        <v>250513</v>
      </c>
      <c r="P18520">
        <v>271.77</v>
      </c>
    </row>
    <row r="18521" spans="1:16" x14ac:dyDescent="0.25">
      <c r="A18521" t="s">
        <v>3296</v>
      </c>
      <c r="B18521" t="s">
        <v>2931</v>
      </c>
      <c r="C18521">
        <v>514</v>
      </c>
      <c r="D18521" t="str">
        <f>"397294      "</f>
        <v xml:space="preserve">397294      </v>
      </c>
      <c r="E18521" t="s">
        <v>565</v>
      </c>
      <c r="F18521" t="s">
        <v>566</v>
      </c>
      <c r="G18521">
        <v>432.15</v>
      </c>
      <c r="H18521">
        <v>250115</v>
      </c>
      <c r="I18521">
        <v>4600</v>
      </c>
      <c r="J18521" t="s">
        <v>278</v>
      </c>
      <c r="K18521">
        <v>432.15</v>
      </c>
      <c r="L18521">
        <v>87.81</v>
      </c>
      <c r="M18521">
        <v>54222</v>
      </c>
      <c r="N18521" t="s">
        <v>48</v>
      </c>
      <c r="O18521">
        <v>250123</v>
      </c>
      <c r="P18521">
        <v>344.34</v>
      </c>
    </row>
    <row r="18522" spans="1:16" x14ac:dyDescent="0.25">
      <c r="A18522" t="s">
        <v>3296</v>
      </c>
      <c r="B18522" t="s">
        <v>2931</v>
      </c>
      <c r="C18522">
        <v>12416</v>
      </c>
      <c r="D18522" t="str">
        <f>"409011      "</f>
        <v xml:space="preserve">409011      </v>
      </c>
      <c r="E18522" t="s">
        <v>565</v>
      </c>
      <c r="F18522" t="s">
        <v>566</v>
      </c>
      <c r="G18522">
        <v>371.44</v>
      </c>
      <c r="H18522">
        <v>250912</v>
      </c>
      <c r="I18522">
        <v>4600</v>
      </c>
      <c r="J18522" t="s">
        <v>278</v>
      </c>
      <c r="K18522">
        <v>371.44</v>
      </c>
      <c r="L18522">
        <v>75.47</v>
      </c>
      <c r="M18522">
        <v>54222</v>
      </c>
      <c r="N18522" t="s">
        <v>48</v>
      </c>
      <c r="O18522">
        <v>250919</v>
      </c>
      <c r="P18522">
        <v>295.97000000000003</v>
      </c>
    </row>
    <row r="18523" spans="1:16" x14ac:dyDescent="0.25">
      <c r="A18523" t="s">
        <v>3296</v>
      </c>
      <c r="B18523" t="s">
        <v>2931</v>
      </c>
      <c r="C18523">
        <v>15870</v>
      </c>
      <c r="D18523" t="str">
        <f>"412412      "</f>
        <v xml:space="preserve">412412      </v>
      </c>
      <c r="E18523" t="s">
        <v>565</v>
      </c>
      <c r="F18523" t="s">
        <v>566</v>
      </c>
      <c r="G18523">
        <v>1608.45</v>
      </c>
      <c r="H18523">
        <v>251124</v>
      </c>
      <c r="I18523">
        <v>4600</v>
      </c>
      <c r="J18523" t="s">
        <v>278</v>
      </c>
      <c r="K18523">
        <v>1608.45</v>
      </c>
      <c r="L18523">
        <v>326.82</v>
      </c>
      <c r="M18523">
        <v>54252</v>
      </c>
      <c r="N18523" t="s">
        <v>742</v>
      </c>
      <c r="O18523">
        <v>251127</v>
      </c>
      <c r="P18523">
        <v>1281.6300000000001</v>
      </c>
    </row>
    <row r="18524" spans="1:16" x14ac:dyDescent="0.25">
      <c r="A18524" t="s">
        <v>3296</v>
      </c>
      <c r="B18524" t="s">
        <v>2931</v>
      </c>
      <c r="C18524">
        <v>14020</v>
      </c>
      <c r="D18524" t="str">
        <f>"120         "</f>
        <v xml:space="preserve">120         </v>
      </c>
      <c r="E18524" t="s">
        <v>3147</v>
      </c>
      <c r="F18524" t="s">
        <v>3148</v>
      </c>
      <c r="G18524">
        <v>88</v>
      </c>
      <c r="H18524">
        <v>251010</v>
      </c>
      <c r="I18524">
        <v>4440</v>
      </c>
      <c r="J18524" t="s">
        <v>346</v>
      </c>
      <c r="K18524">
        <v>193</v>
      </c>
      <c r="L18524">
        <v>17.88</v>
      </c>
      <c r="M18524">
        <v>47522</v>
      </c>
      <c r="N18524" t="s">
        <v>106</v>
      </c>
      <c r="O18524">
        <v>251022</v>
      </c>
      <c r="P18524">
        <v>70.12</v>
      </c>
    </row>
    <row r="18525" spans="1:16" x14ac:dyDescent="0.25">
      <c r="A18525" t="s">
        <v>3296</v>
      </c>
      <c r="B18525" t="s">
        <v>2931</v>
      </c>
      <c r="C18525">
        <v>14020</v>
      </c>
      <c r="D18525" t="str">
        <f>"120         "</f>
        <v xml:space="preserve">120         </v>
      </c>
      <c r="E18525" t="s">
        <v>3147</v>
      </c>
      <c r="F18525" t="s">
        <v>3148</v>
      </c>
      <c r="G18525">
        <v>105</v>
      </c>
      <c r="H18525">
        <v>251010</v>
      </c>
      <c r="I18525">
        <v>4440</v>
      </c>
      <c r="J18525" t="s">
        <v>346</v>
      </c>
      <c r="K18525">
        <v>193</v>
      </c>
      <c r="L18525">
        <v>12.89</v>
      </c>
      <c r="M18525">
        <v>47522</v>
      </c>
      <c r="N18525" t="s">
        <v>106</v>
      </c>
      <c r="O18525">
        <v>251022</v>
      </c>
      <c r="P18525">
        <v>92.11</v>
      </c>
    </row>
    <row r="18526" spans="1:16" x14ac:dyDescent="0.25">
      <c r="A18526" t="s">
        <v>3296</v>
      </c>
      <c r="B18526" t="s">
        <v>2931</v>
      </c>
      <c r="C18526">
        <v>1678</v>
      </c>
      <c r="D18526" t="str">
        <f>"1001011010  "</f>
        <v xml:space="preserve">1001011010  </v>
      </c>
      <c r="E18526" t="s">
        <v>1086</v>
      </c>
      <c r="F18526" t="s">
        <v>1087</v>
      </c>
      <c r="G18526">
        <v>542.16</v>
      </c>
      <c r="H18526">
        <v>250131</v>
      </c>
      <c r="I18526">
        <v>4580</v>
      </c>
      <c r="J18526" t="s">
        <v>126</v>
      </c>
      <c r="K18526">
        <v>542.16</v>
      </c>
      <c r="L18526">
        <v>110.16</v>
      </c>
      <c r="M18526">
        <v>17522</v>
      </c>
      <c r="N18526" t="s">
        <v>137</v>
      </c>
      <c r="O18526">
        <v>250212</v>
      </c>
      <c r="P18526">
        <v>432</v>
      </c>
    </row>
    <row r="18527" spans="1:16" x14ac:dyDescent="0.25">
      <c r="A18527" t="s">
        <v>3296</v>
      </c>
      <c r="B18527" t="s">
        <v>2931</v>
      </c>
      <c r="C18527">
        <v>6556</v>
      </c>
      <c r="D18527" t="str">
        <f>"3138        "</f>
        <v xml:space="preserve">3138        </v>
      </c>
      <c r="E18527" t="s">
        <v>3080</v>
      </c>
      <c r="F18527" t="s">
        <v>3081</v>
      </c>
      <c r="G18527">
        <v>30</v>
      </c>
      <c r="H18527">
        <v>250502</v>
      </c>
      <c r="I18527">
        <v>4510</v>
      </c>
      <c r="J18527" t="s">
        <v>240</v>
      </c>
      <c r="K18527">
        <v>30</v>
      </c>
      <c r="L18527">
        <v>0</v>
      </c>
      <c r="M18527">
        <v>17524</v>
      </c>
      <c r="N18527" t="s">
        <v>139</v>
      </c>
      <c r="O18527">
        <v>250514</v>
      </c>
      <c r="P18527">
        <v>30</v>
      </c>
    </row>
    <row r="18528" spans="1:16" x14ac:dyDescent="0.25">
      <c r="A18528" t="s">
        <v>3296</v>
      </c>
      <c r="B18528" t="s">
        <v>2931</v>
      </c>
      <c r="C18528">
        <v>6607</v>
      </c>
      <c r="D18528" t="str">
        <f>"3293        "</f>
        <v xml:space="preserve">3293        </v>
      </c>
      <c r="E18528" t="s">
        <v>3074</v>
      </c>
      <c r="F18528" t="s">
        <v>3075</v>
      </c>
      <c r="G18528">
        <v>300</v>
      </c>
      <c r="H18528">
        <v>250430</v>
      </c>
      <c r="I18528">
        <v>4412</v>
      </c>
      <c r="J18528" t="s">
        <v>884</v>
      </c>
      <c r="K18528">
        <v>300</v>
      </c>
      <c r="L18528">
        <v>0</v>
      </c>
      <c r="M18528">
        <v>13940</v>
      </c>
      <c r="N18528" t="s">
        <v>14</v>
      </c>
      <c r="O18528">
        <v>250514</v>
      </c>
      <c r="P18528">
        <v>300</v>
      </c>
    </row>
    <row r="18529" spans="1:16" x14ac:dyDescent="0.25">
      <c r="A18529" t="s">
        <v>3296</v>
      </c>
      <c r="B18529" t="s">
        <v>2931</v>
      </c>
      <c r="C18529">
        <v>15737</v>
      </c>
      <c r="D18529" t="str">
        <f>"3438        "</f>
        <v xml:space="preserve">3438        </v>
      </c>
      <c r="E18529" t="s">
        <v>3074</v>
      </c>
      <c r="F18529" t="s">
        <v>3075</v>
      </c>
      <c r="G18529">
        <v>250</v>
      </c>
      <c r="H18529">
        <v>251111</v>
      </c>
      <c r="I18529">
        <v>4441</v>
      </c>
      <c r="J18529" t="s">
        <v>234</v>
      </c>
      <c r="K18529">
        <v>250</v>
      </c>
      <c r="L18529">
        <v>0</v>
      </c>
      <c r="M18529">
        <v>13940</v>
      </c>
      <c r="N18529" t="s">
        <v>14</v>
      </c>
      <c r="O18529">
        <v>251126</v>
      </c>
      <c r="P18529">
        <v>250</v>
      </c>
    </row>
    <row r="18530" spans="1:16" x14ac:dyDescent="0.25">
      <c r="A18530" t="s">
        <v>3296</v>
      </c>
      <c r="B18530" t="s">
        <v>2931</v>
      </c>
      <c r="C18530">
        <v>17086</v>
      </c>
      <c r="D18530" t="str">
        <f>"3533        "</f>
        <v xml:space="preserve">3533        </v>
      </c>
      <c r="E18530" t="s">
        <v>3074</v>
      </c>
      <c r="F18530" t="s">
        <v>3075</v>
      </c>
      <c r="G18530">
        <v>170</v>
      </c>
      <c r="H18530">
        <v>251215</v>
      </c>
      <c r="I18530">
        <v>4441</v>
      </c>
      <c r="J18530" t="s">
        <v>234</v>
      </c>
      <c r="K18530">
        <v>170</v>
      </c>
      <c r="L18530">
        <v>0</v>
      </c>
      <c r="M18530">
        <v>13940</v>
      </c>
      <c r="N18530" t="s">
        <v>14</v>
      </c>
      <c r="O18530">
        <v>251217</v>
      </c>
      <c r="P18530">
        <v>170</v>
      </c>
    </row>
    <row r="18531" spans="1:16" x14ac:dyDescent="0.25">
      <c r="A18531" t="s">
        <v>3296</v>
      </c>
      <c r="B18531" t="s">
        <v>2931</v>
      </c>
      <c r="C18531">
        <v>14247</v>
      </c>
      <c r="D18531" t="str">
        <f>"3358        "</f>
        <v xml:space="preserve">3358        </v>
      </c>
      <c r="E18531" t="s">
        <v>3074</v>
      </c>
      <c r="F18531" t="s">
        <v>3075</v>
      </c>
      <c r="G18531">
        <v>2453.62</v>
      </c>
      <c r="H18531">
        <v>251014</v>
      </c>
      <c r="I18531">
        <v>4460</v>
      </c>
      <c r="J18531" t="s">
        <v>2952</v>
      </c>
      <c r="K18531">
        <v>2453.62</v>
      </c>
      <c r="L18531">
        <v>0</v>
      </c>
      <c r="M18531">
        <v>13940</v>
      </c>
      <c r="N18531" t="s">
        <v>14</v>
      </c>
      <c r="O18531">
        <v>251028</v>
      </c>
      <c r="P18531">
        <v>2453.62</v>
      </c>
    </row>
    <row r="18532" spans="1:16" x14ac:dyDescent="0.25">
      <c r="A18532" t="s">
        <v>3296</v>
      </c>
      <c r="B18532" t="s">
        <v>2931</v>
      </c>
      <c r="C18532">
        <v>9257</v>
      </c>
      <c r="D18532" t="str">
        <f>"3298        "</f>
        <v xml:space="preserve">3298        </v>
      </c>
      <c r="E18532" t="s">
        <v>3074</v>
      </c>
      <c r="F18532" t="s">
        <v>3075</v>
      </c>
      <c r="G18532">
        <v>83.1</v>
      </c>
      <c r="H18532">
        <v>250625</v>
      </c>
      <c r="I18532">
        <v>4600</v>
      </c>
      <c r="J18532" t="s">
        <v>278</v>
      </c>
      <c r="K18532">
        <v>83.1</v>
      </c>
      <c r="L18532">
        <v>0</v>
      </c>
      <c r="M18532">
        <v>13940</v>
      </c>
      <c r="N18532" t="s">
        <v>14</v>
      </c>
      <c r="O18532">
        <v>250701</v>
      </c>
      <c r="P18532">
        <v>83.1</v>
      </c>
    </row>
    <row r="18533" spans="1:16" x14ac:dyDescent="0.25">
      <c r="A18533" t="s">
        <v>3296</v>
      </c>
      <c r="B18533" t="s">
        <v>2931</v>
      </c>
      <c r="C18533">
        <v>12498</v>
      </c>
      <c r="D18533" t="str">
        <f>"1111        "</f>
        <v xml:space="preserve">1111        </v>
      </c>
      <c r="E18533" t="s">
        <v>2360</v>
      </c>
      <c r="F18533" t="s">
        <v>2361</v>
      </c>
      <c r="G18533">
        <v>500</v>
      </c>
      <c r="H18533">
        <v>250915</v>
      </c>
      <c r="I18533">
        <v>4470</v>
      </c>
      <c r="J18533" t="s">
        <v>203</v>
      </c>
      <c r="K18533">
        <v>500</v>
      </c>
      <c r="L18533">
        <v>0</v>
      </c>
      <c r="M18533">
        <v>18995</v>
      </c>
      <c r="N18533" t="s">
        <v>2317</v>
      </c>
      <c r="O18533">
        <v>250925</v>
      </c>
      <c r="P18533">
        <v>500</v>
      </c>
    </row>
    <row r="18534" spans="1:16" x14ac:dyDescent="0.25">
      <c r="A18534" t="s">
        <v>3296</v>
      </c>
      <c r="B18534" t="s">
        <v>2931</v>
      </c>
      <c r="C18534">
        <v>742</v>
      </c>
      <c r="D18534" t="str">
        <f>"12207       "</f>
        <v xml:space="preserve">12207       </v>
      </c>
      <c r="E18534" t="s">
        <v>702</v>
      </c>
      <c r="F18534" t="s">
        <v>703</v>
      </c>
      <c r="G18534">
        <v>13915.5</v>
      </c>
      <c r="H18534">
        <v>250121</v>
      </c>
      <c r="I18534">
        <v>4530</v>
      </c>
      <c r="J18534" t="s">
        <v>293</v>
      </c>
      <c r="K18534">
        <v>13915.5</v>
      </c>
      <c r="L18534">
        <v>2827.45</v>
      </c>
      <c r="M18534">
        <v>11301</v>
      </c>
      <c r="N18534" t="s">
        <v>92</v>
      </c>
      <c r="O18534">
        <v>250128</v>
      </c>
      <c r="P18534">
        <v>11088.05</v>
      </c>
    </row>
    <row r="18535" spans="1:16" x14ac:dyDescent="0.25">
      <c r="A18535" t="s">
        <v>3296</v>
      </c>
      <c r="B18535" t="s">
        <v>2931</v>
      </c>
      <c r="C18535">
        <v>1316</v>
      </c>
      <c r="D18535" t="str">
        <f>"12333       "</f>
        <v xml:space="preserve">12333       </v>
      </c>
      <c r="E18535" t="s">
        <v>702</v>
      </c>
      <c r="F18535" t="s">
        <v>703</v>
      </c>
      <c r="G18535">
        <v>-680.34</v>
      </c>
      <c r="H18535">
        <v>250131</v>
      </c>
      <c r="I18535">
        <v>4530</v>
      </c>
      <c r="J18535" t="s">
        <v>293</v>
      </c>
      <c r="K18535">
        <v>-680.34</v>
      </c>
      <c r="L18535">
        <v>-138.24</v>
      </c>
      <c r="M18535">
        <v>11301</v>
      </c>
      <c r="N18535" t="s">
        <v>92</v>
      </c>
      <c r="O18535">
        <v>250207</v>
      </c>
      <c r="P18535">
        <v>-542.1</v>
      </c>
    </row>
    <row r="18536" spans="1:16" x14ac:dyDescent="0.25">
      <c r="A18536" t="s">
        <v>3296</v>
      </c>
      <c r="B18536" t="s">
        <v>2931</v>
      </c>
      <c r="C18536">
        <v>12177</v>
      </c>
      <c r="D18536" t="str">
        <f>"13602       "</f>
        <v xml:space="preserve">13602       </v>
      </c>
      <c r="E18536" t="s">
        <v>702</v>
      </c>
      <c r="F18536" t="s">
        <v>703</v>
      </c>
      <c r="G18536">
        <v>1927.8</v>
      </c>
      <c r="H18536">
        <v>250905</v>
      </c>
      <c r="I18536">
        <v>4530</v>
      </c>
      <c r="J18536" t="s">
        <v>293</v>
      </c>
      <c r="K18536">
        <v>1927.8</v>
      </c>
      <c r="L18536">
        <v>391.7</v>
      </c>
      <c r="M18536">
        <v>18995</v>
      </c>
      <c r="N18536" t="s">
        <v>2317</v>
      </c>
      <c r="O18536">
        <v>250917</v>
      </c>
      <c r="P18536">
        <v>1536.1</v>
      </c>
    </row>
    <row r="18537" spans="1:16" x14ac:dyDescent="0.25">
      <c r="A18537" t="s">
        <v>3296</v>
      </c>
      <c r="B18537" t="s">
        <v>2931</v>
      </c>
      <c r="C18537">
        <v>12185</v>
      </c>
      <c r="D18537" t="str">
        <f>"13669       "</f>
        <v xml:space="preserve">13669       </v>
      </c>
      <c r="E18537" t="s">
        <v>702</v>
      </c>
      <c r="F18537" t="s">
        <v>703</v>
      </c>
      <c r="G18537">
        <v>546.33000000000004</v>
      </c>
      <c r="H18537">
        <v>250908</v>
      </c>
      <c r="I18537">
        <v>4530</v>
      </c>
      <c r="J18537" t="s">
        <v>293</v>
      </c>
      <c r="K18537">
        <v>546.33000000000004</v>
      </c>
      <c r="L18537">
        <v>111.01</v>
      </c>
      <c r="M18537">
        <v>18995</v>
      </c>
      <c r="N18537" t="s">
        <v>2317</v>
      </c>
      <c r="O18537">
        <v>250917</v>
      </c>
      <c r="P18537">
        <v>435.32</v>
      </c>
    </row>
    <row r="18538" spans="1:16" x14ac:dyDescent="0.25">
      <c r="A18538" t="s">
        <v>3296</v>
      </c>
      <c r="B18538" t="s">
        <v>2931</v>
      </c>
      <c r="C18538">
        <v>8790</v>
      </c>
      <c r="D18538" t="str">
        <f>"6938        "</f>
        <v xml:space="preserve">6938        </v>
      </c>
      <c r="E18538" t="s">
        <v>1815</v>
      </c>
      <c r="F18538" t="s">
        <v>1816</v>
      </c>
      <c r="G18538">
        <v>759.8</v>
      </c>
      <c r="H18538">
        <v>250610</v>
      </c>
      <c r="I18538">
        <v>4400</v>
      </c>
      <c r="J18538" t="s">
        <v>162</v>
      </c>
      <c r="K18538">
        <v>1898.96</v>
      </c>
      <c r="L18538">
        <v>154.38</v>
      </c>
      <c r="M18538">
        <v>67554</v>
      </c>
      <c r="N18538" t="s">
        <v>317</v>
      </c>
      <c r="O18538">
        <v>250618</v>
      </c>
      <c r="P18538">
        <v>605.41999999999996</v>
      </c>
    </row>
    <row r="18539" spans="1:16" x14ac:dyDescent="0.25">
      <c r="A18539" t="s">
        <v>3296</v>
      </c>
      <c r="B18539" t="s">
        <v>2931</v>
      </c>
      <c r="C18539">
        <v>8790</v>
      </c>
      <c r="D18539" t="str">
        <f>"6938        "</f>
        <v xml:space="preserve">6938        </v>
      </c>
      <c r="E18539" t="s">
        <v>1815</v>
      </c>
      <c r="F18539" t="s">
        <v>1816</v>
      </c>
      <c r="G18539">
        <v>269.26</v>
      </c>
      <c r="H18539">
        <v>250610</v>
      </c>
      <c r="I18539">
        <v>4560</v>
      </c>
      <c r="J18539" t="s">
        <v>390</v>
      </c>
      <c r="K18539">
        <v>1898.96</v>
      </c>
      <c r="L18539">
        <v>54.71</v>
      </c>
      <c r="M18539">
        <v>67554</v>
      </c>
      <c r="N18539" t="s">
        <v>317</v>
      </c>
      <c r="O18539">
        <v>250618</v>
      </c>
      <c r="P18539">
        <v>214.55</v>
      </c>
    </row>
    <row r="18540" spans="1:16" x14ac:dyDescent="0.25">
      <c r="A18540" t="s">
        <v>3296</v>
      </c>
      <c r="B18540" t="s">
        <v>2931</v>
      </c>
      <c r="C18540">
        <v>8790</v>
      </c>
      <c r="D18540" t="str">
        <f>"6938        "</f>
        <v xml:space="preserve">6938        </v>
      </c>
      <c r="E18540" t="s">
        <v>1815</v>
      </c>
      <c r="F18540" t="s">
        <v>1816</v>
      </c>
      <c r="G18540">
        <v>869.9</v>
      </c>
      <c r="H18540">
        <v>250610</v>
      </c>
      <c r="I18540">
        <v>4600</v>
      </c>
      <c r="J18540" t="s">
        <v>278</v>
      </c>
      <c r="K18540">
        <v>1898.96</v>
      </c>
      <c r="L18540">
        <v>176.75</v>
      </c>
      <c r="M18540">
        <v>67554</v>
      </c>
      <c r="N18540" t="s">
        <v>317</v>
      </c>
      <c r="O18540">
        <v>250618</v>
      </c>
      <c r="P18540">
        <v>693.15</v>
      </c>
    </row>
    <row r="18541" spans="1:16" x14ac:dyDescent="0.25">
      <c r="A18541" t="s">
        <v>3296</v>
      </c>
      <c r="B18541" t="s">
        <v>2931</v>
      </c>
      <c r="C18541">
        <v>13545</v>
      </c>
      <c r="D18541" t="str">
        <f>"86436       "</f>
        <v xml:space="preserve">86436       </v>
      </c>
      <c r="E18541" t="s">
        <v>1568</v>
      </c>
      <c r="F18541" t="s">
        <v>1569</v>
      </c>
      <c r="G18541">
        <v>24.97</v>
      </c>
      <c r="H18541">
        <v>250930</v>
      </c>
      <c r="I18541">
        <v>4553</v>
      </c>
      <c r="J18541" t="s">
        <v>1972</v>
      </c>
      <c r="K18541">
        <v>895.09</v>
      </c>
      <c r="L18541">
        <v>5.07</v>
      </c>
      <c r="M18541">
        <v>66754</v>
      </c>
      <c r="N18541" t="s">
        <v>119</v>
      </c>
      <c r="O18541">
        <v>251010</v>
      </c>
      <c r="P18541">
        <v>19.899999999999999</v>
      </c>
    </row>
    <row r="18542" spans="1:16" x14ac:dyDescent="0.25">
      <c r="A18542" t="s">
        <v>3296</v>
      </c>
      <c r="B18542" t="s">
        <v>2931</v>
      </c>
      <c r="C18542">
        <v>17694</v>
      </c>
      <c r="D18542" t="str">
        <f>"88066       "</f>
        <v xml:space="preserve">88066       </v>
      </c>
      <c r="E18542" t="s">
        <v>1568</v>
      </c>
      <c r="F18542" t="s">
        <v>1569</v>
      </c>
      <c r="G18542">
        <v>242.77</v>
      </c>
      <c r="H18542">
        <v>251222</v>
      </c>
      <c r="I18542">
        <v>4580</v>
      </c>
      <c r="J18542" t="s">
        <v>126</v>
      </c>
      <c r="K18542">
        <v>242.77</v>
      </c>
      <c r="L18542">
        <v>49.33</v>
      </c>
      <c r="M18542">
        <v>66722</v>
      </c>
      <c r="N18542" t="s">
        <v>118</v>
      </c>
      <c r="O18542">
        <v>251229</v>
      </c>
      <c r="P18542">
        <v>193.44</v>
      </c>
    </row>
    <row r="18543" spans="1:16" x14ac:dyDescent="0.25">
      <c r="A18543" t="s">
        <v>3296</v>
      </c>
      <c r="B18543" t="s">
        <v>2931</v>
      </c>
      <c r="C18543">
        <v>17699</v>
      </c>
      <c r="D18543" t="str">
        <f>"88044       "</f>
        <v xml:space="preserve">88044       </v>
      </c>
      <c r="E18543" t="s">
        <v>1568</v>
      </c>
      <c r="F18543" t="s">
        <v>1569</v>
      </c>
      <c r="G18543">
        <v>446.52</v>
      </c>
      <c r="H18543">
        <v>251222</v>
      </c>
      <c r="I18543">
        <v>4580</v>
      </c>
      <c r="J18543" t="s">
        <v>126</v>
      </c>
      <c r="K18543">
        <v>621.09</v>
      </c>
      <c r="L18543">
        <v>90.73</v>
      </c>
      <c r="M18543">
        <v>66722</v>
      </c>
      <c r="N18543" t="s">
        <v>118</v>
      </c>
      <c r="O18543">
        <v>251229</v>
      </c>
      <c r="P18543">
        <v>355.79</v>
      </c>
    </row>
    <row r="18544" spans="1:16" x14ac:dyDescent="0.25">
      <c r="A18544" t="s">
        <v>3296</v>
      </c>
      <c r="B18544" t="s">
        <v>2931</v>
      </c>
      <c r="C18544">
        <v>4107</v>
      </c>
      <c r="D18544" t="str">
        <f>"83621       "</f>
        <v xml:space="preserve">83621       </v>
      </c>
      <c r="E18544" t="s">
        <v>1568</v>
      </c>
      <c r="F18544" t="s">
        <v>1569</v>
      </c>
      <c r="G18544">
        <v>215.52</v>
      </c>
      <c r="H18544">
        <v>250325</v>
      </c>
      <c r="I18544">
        <v>4600</v>
      </c>
      <c r="J18544" t="s">
        <v>278</v>
      </c>
      <c r="K18544">
        <v>538.79</v>
      </c>
      <c r="L18544">
        <v>43.79</v>
      </c>
      <c r="M18544">
        <v>66722</v>
      </c>
      <c r="N18544" t="s">
        <v>118</v>
      </c>
      <c r="O18544">
        <v>250407</v>
      </c>
      <c r="P18544">
        <v>171.73</v>
      </c>
    </row>
    <row r="18545" spans="1:16" x14ac:dyDescent="0.25">
      <c r="A18545" t="s">
        <v>3296</v>
      </c>
      <c r="B18545" t="s">
        <v>2931</v>
      </c>
      <c r="C18545">
        <v>4107</v>
      </c>
      <c r="D18545" t="str">
        <f>"83621       "</f>
        <v xml:space="preserve">83621       </v>
      </c>
      <c r="E18545" t="s">
        <v>1568</v>
      </c>
      <c r="F18545" t="s">
        <v>1569</v>
      </c>
      <c r="G18545">
        <v>323.27</v>
      </c>
      <c r="H18545">
        <v>250325</v>
      </c>
      <c r="I18545">
        <v>4600</v>
      </c>
      <c r="J18545" t="s">
        <v>278</v>
      </c>
      <c r="K18545">
        <v>538.79</v>
      </c>
      <c r="L18545">
        <v>65.680000000000007</v>
      </c>
      <c r="M18545">
        <v>66754</v>
      </c>
      <c r="N18545" t="s">
        <v>119</v>
      </c>
      <c r="O18545">
        <v>250407</v>
      </c>
      <c r="P18545">
        <v>257.58999999999997</v>
      </c>
    </row>
    <row r="18546" spans="1:16" x14ac:dyDescent="0.25">
      <c r="A18546" t="s">
        <v>3296</v>
      </c>
      <c r="B18546" t="s">
        <v>2931</v>
      </c>
      <c r="C18546">
        <v>6565</v>
      </c>
      <c r="D18546" t="str">
        <f>"84262       "</f>
        <v xml:space="preserve">84262       </v>
      </c>
      <c r="E18546" t="s">
        <v>1568</v>
      </c>
      <c r="F18546" t="s">
        <v>1569</v>
      </c>
      <c r="G18546">
        <v>314.25</v>
      </c>
      <c r="H18546">
        <v>250430</v>
      </c>
      <c r="I18546">
        <v>4600</v>
      </c>
      <c r="J18546" t="s">
        <v>278</v>
      </c>
      <c r="K18546">
        <v>314.25</v>
      </c>
      <c r="L18546">
        <v>63.85</v>
      </c>
      <c r="M18546">
        <v>66754</v>
      </c>
      <c r="N18546" t="s">
        <v>119</v>
      </c>
      <c r="O18546">
        <v>250514</v>
      </c>
      <c r="P18546">
        <v>250.4</v>
      </c>
    </row>
    <row r="18547" spans="1:16" x14ac:dyDescent="0.25">
      <c r="A18547" t="s">
        <v>3296</v>
      </c>
      <c r="B18547" t="s">
        <v>2931</v>
      </c>
      <c r="C18547">
        <v>9246</v>
      </c>
      <c r="D18547" t="str">
        <f>"85039       "</f>
        <v xml:space="preserve">85039       </v>
      </c>
      <c r="E18547" t="s">
        <v>1568</v>
      </c>
      <c r="F18547" t="s">
        <v>1569</v>
      </c>
      <c r="G18547">
        <v>292.92</v>
      </c>
      <c r="H18547">
        <v>250619</v>
      </c>
      <c r="I18547">
        <v>4600</v>
      </c>
      <c r="J18547" t="s">
        <v>278</v>
      </c>
      <c r="K18547">
        <v>292.92</v>
      </c>
      <c r="L18547">
        <v>59.52</v>
      </c>
      <c r="M18547">
        <v>66754</v>
      </c>
      <c r="N18547" t="s">
        <v>119</v>
      </c>
      <c r="O18547">
        <v>250701</v>
      </c>
      <c r="P18547">
        <v>233.4</v>
      </c>
    </row>
    <row r="18548" spans="1:16" x14ac:dyDescent="0.25">
      <c r="A18548" t="s">
        <v>3296</v>
      </c>
      <c r="B18548" t="s">
        <v>2931</v>
      </c>
      <c r="C18548">
        <v>10587</v>
      </c>
      <c r="D18548" t="str">
        <f>"85620       "</f>
        <v xml:space="preserve">85620       </v>
      </c>
      <c r="E18548" t="s">
        <v>1568</v>
      </c>
      <c r="F18548" t="s">
        <v>1569</v>
      </c>
      <c r="G18548">
        <v>66.069999999999993</v>
      </c>
      <c r="H18548">
        <v>250818</v>
      </c>
      <c r="I18548">
        <v>4600</v>
      </c>
      <c r="J18548" t="s">
        <v>278</v>
      </c>
      <c r="K18548">
        <v>132.15</v>
      </c>
      <c r="L18548">
        <v>13.42</v>
      </c>
      <c r="M18548">
        <v>65422</v>
      </c>
      <c r="N18548" t="s">
        <v>117</v>
      </c>
      <c r="O18548">
        <v>250820</v>
      </c>
      <c r="P18548">
        <v>52.65</v>
      </c>
    </row>
    <row r="18549" spans="1:16" x14ac:dyDescent="0.25">
      <c r="A18549" t="s">
        <v>3296</v>
      </c>
      <c r="B18549" t="s">
        <v>2931</v>
      </c>
      <c r="C18549">
        <v>10587</v>
      </c>
      <c r="D18549" t="str">
        <f>"85620       "</f>
        <v xml:space="preserve">85620       </v>
      </c>
      <c r="E18549" t="s">
        <v>1568</v>
      </c>
      <c r="F18549" t="s">
        <v>1569</v>
      </c>
      <c r="G18549">
        <v>66.08</v>
      </c>
      <c r="H18549">
        <v>250818</v>
      </c>
      <c r="I18549">
        <v>4600</v>
      </c>
      <c r="J18549" t="s">
        <v>278</v>
      </c>
      <c r="K18549">
        <v>132.15</v>
      </c>
      <c r="L18549">
        <v>13.43</v>
      </c>
      <c r="M18549">
        <v>66722</v>
      </c>
      <c r="N18549" t="s">
        <v>118</v>
      </c>
      <c r="O18549">
        <v>250820</v>
      </c>
      <c r="P18549">
        <v>52.65</v>
      </c>
    </row>
    <row r="18550" spans="1:16" x14ac:dyDescent="0.25">
      <c r="A18550" t="s">
        <v>3296</v>
      </c>
      <c r="B18550" t="s">
        <v>2931</v>
      </c>
      <c r="C18550">
        <v>10648</v>
      </c>
      <c r="D18550" t="str">
        <f>"85621       "</f>
        <v xml:space="preserve">85621       </v>
      </c>
      <c r="E18550" t="s">
        <v>1568</v>
      </c>
      <c r="F18550" t="s">
        <v>1569</v>
      </c>
      <c r="G18550">
        <v>297.79000000000002</v>
      </c>
      <c r="H18550">
        <v>250818</v>
      </c>
      <c r="I18550">
        <v>4600</v>
      </c>
      <c r="J18550" t="s">
        <v>278</v>
      </c>
      <c r="K18550">
        <v>297.79000000000002</v>
      </c>
      <c r="L18550">
        <v>60.51</v>
      </c>
      <c r="M18550">
        <v>66754</v>
      </c>
      <c r="N18550" t="s">
        <v>119</v>
      </c>
      <c r="O18550">
        <v>250821</v>
      </c>
      <c r="P18550">
        <v>237.28</v>
      </c>
    </row>
    <row r="18551" spans="1:16" x14ac:dyDescent="0.25">
      <c r="A18551" t="s">
        <v>3296</v>
      </c>
      <c r="B18551" t="s">
        <v>2931</v>
      </c>
      <c r="C18551">
        <v>13545</v>
      </c>
      <c r="D18551" t="str">
        <f>"86436       "</f>
        <v xml:space="preserve">86436       </v>
      </c>
      <c r="E18551" t="s">
        <v>1568</v>
      </c>
      <c r="F18551" t="s">
        <v>1569</v>
      </c>
      <c r="G18551">
        <v>870.12</v>
      </c>
      <c r="H18551">
        <v>250930</v>
      </c>
      <c r="I18551">
        <v>4600</v>
      </c>
      <c r="J18551" t="s">
        <v>278</v>
      </c>
      <c r="K18551">
        <v>895.09</v>
      </c>
      <c r="L18551">
        <v>176.8</v>
      </c>
      <c r="M18551">
        <v>66754</v>
      </c>
      <c r="N18551" t="s">
        <v>119</v>
      </c>
      <c r="O18551">
        <v>251010</v>
      </c>
      <c r="P18551">
        <v>693.32</v>
      </c>
    </row>
    <row r="18552" spans="1:16" x14ac:dyDescent="0.25">
      <c r="A18552" t="s">
        <v>3296</v>
      </c>
      <c r="B18552" t="s">
        <v>2931</v>
      </c>
      <c r="C18552">
        <v>15881</v>
      </c>
      <c r="D18552" t="str">
        <f>"87148       "</f>
        <v xml:space="preserve">87148       </v>
      </c>
      <c r="E18552" t="s">
        <v>1568</v>
      </c>
      <c r="F18552" t="s">
        <v>1569</v>
      </c>
      <c r="G18552">
        <v>587.5</v>
      </c>
      <c r="H18552">
        <v>251117</v>
      </c>
      <c r="I18552">
        <v>4600</v>
      </c>
      <c r="J18552" t="s">
        <v>278</v>
      </c>
      <c r="K18552">
        <v>954.89</v>
      </c>
      <c r="L18552">
        <v>119.37</v>
      </c>
      <c r="M18552">
        <v>66722</v>
      </c>
      <c r="N18552" t="s">
        <v>118</v>
      </c>
      <c r="O18552">
        <v>251127</v>
      </c>
      <c r="P18552">
        <v>468.13</v>
      </c>
    </row>
    <row r="18553" spans="1:16" x14ac:dyDescent="0.25">
      <c r="A18553" t="s">
        <v>3296</v>
      </c>
      <c r="B18553" t="s">
        <v>2931</v>
      </c>
      <c r="C18553">
        <v>15881</v>
      </c>
      <c r="D18553" t="str">
        <f>"87148       "</f>
        <v xml:space="preserve">87148       </v>
      </c>
      <c r="E18553" t="s">
        <v>1568</v>
      </c>
      <c r="F18553" t="s">
        <v>1569</v>
      </c>
      <c r="G18553">
        <v>367.39</v>
      </c>
      <c r="H18553">
        <v>251117</v>
      </c>
      <c r="I18553">
        <v>4600</v>
      </c>
      <c r="J18553" t="s">
        <v>278</v>
      </c>
      <c r="K18553">
        <v>954.89</v>
      </c>
      <c r="L18553">
        <v>74.650000000000006</v>
      </c>
      <c r="M18553">
        <v>66754</v>
      </c>
      <c r="N18553" t="s">
        <v>119</v>
      </c>
      <c r="O18553">
        <v>251127</v>
      </c>
      <c r="P18553">
        <v>292.74</v>
      </c>
    </row>
    <row r="18554" spans="1:16" x14ac:dyDescent="0.25">
      <c r="A18554" t="s">
        <v>3296</v>
      </c>
      <c r="B18554" t="s">
        <v>2931</v>
      </c>
      <c r="C18554">
        <v>17686</v>
      </c>
      <c r="D18554" t="str">
        <f>"88068       "</f>
        <v xml:space="preserve">88068       </v>
      </c>
      <c r="E18554" t="s">
        <v>1568</v>
      </c>
      <c r="F18554" t="s">
        <v>1569</v>
      </c>
      <c r="G18554">
        <v>195.36</v>
      </c>
      <c r="H18554">
        <v>251222</v>
      </c>
      <c r="I18554">
        <v>4600</v>
      </c>
      <c r="J18554" t="s">
        <v>278</v>
      </c>
      <c r="K18554">
        <v>195.36</v>
      </c>
      <c r="L18554">
        <v>39.69</v>
      </c>
      <c r="M18554">
        <v>66754</v>
      </c>
      <c r="N18554" t="s">
        <v>119</v>
      </c>
      <c r="O18554">
        <v>251229</v>
      </c>
      <c r="P18554">
        <v>155.66999999999999</v>
      </c>
    </row>
    <row r="18555" spans="1:16" x14ac:dyDescent="0.25">
      <c r="A18555" t="s">
        <v>3296</v>
      </c>
      <c r="B18555" t="s">
        <v>2931</v>
      </c>
      <c r="C18555">
        <v>17699</v>
      </c>
      <c r="D18555" t="str">
        <f>"88044       "</f>
        <v xml:space="preserve">88044       </v>
      </c>
      <c r="E18555" t="s">
        <v>1568</v>
      </c>
      <c r="F18555" t="s">
        <v>1569</v>
      </c>
      <c r="G18555">
        <v>174.57</v>
      </c>
      <c r="H18555">
        <v>251222</v>
      </c>
      <c r="I18555">
        <v>4600</v>
      </c>
      <c r="J18555" t="s">
        <v>278</v>
      </c>
      <c r="K18555">
        <v>621.09</v>
      </c>
      <c r="L18555">
        <v>35.47</v>
      </c>
      <c r="M18555">
        <v>66722</v>
      </c>
      <c r="N18555" t="s">
        <v>118</v>
      </c>
      <c r="O18555">
        <v>251229</v>
      </c>
      <c r="P18555">
        <v>139.1</v>
      </c>
    </row>
    <row r="18556" spans="1:16" x14ac:dyDescent="0.25">
      <c r="A18556" t="s">
        <v>3296</v>
      </c>
      <c r="B18556" t="s">
        <v>2931</v>
      </c>
      <c r="C18556">
        <v>1258</v>
      </c>
      <c r="D18556" t="str">
        <f>"82952       "</f>
        <v xml:space="preserve">82952       </v>
      </c>
      <c r="E18556" t="s">
        <v>3312</v>
      </c>
      <c r="F18556" t="s">
        <v>1569</v>
      </c>
      <c r="G18556">
        <v>443.94</v>
      </c>
      <c r="H18556">
        <v>250131</v>
      </c>
      <c r="I18556">
        <v>4600</v>
      </c>
      <c r="J18556" t="s">
        <v>278</v>
      </c>
      <c r="K18556">
        <v>443.94</v>
      </c>
      <c r="L18556">
        <v>90.2</v>
      </c>
      <c r="M18556">
        <v>66722</v>
      </c>
      <c r="N18556" t="s">
        <v>118</v>
      </c>
      <c r="O18556">
        <v>250206</v>
      </c>
      <c r="P18556">
        <v>353.74</v>
      </c>
    </row>
    <row r="18557" spans="1:16" x14ac:dyDescent="0.25">
      <c r="A18557" t="s">
        <v>3296</v>
      </c>
      <c r="B18557" t="s">
        <v>2931</v>
      </c>
      <c r="C18557">
        <v>1724</v>
      </c>
      <c r="D18557" t="str">
        <f>"82950       "</f>
        <v xml:space="preserve">82950       </v>
      </c>
      <c r="E18557" t="s">
        <v>3312</v>
      </c>
      <c r="F18557" t="s">
        <v>1569</v>
      </c>
      <c r="G18557">
        <v>521.84</v>
      </c>
      <c r="H18557">
        <v>250131</v>
      </c>
      <c r="I18557">
        <v>4600</v>
      </c>
      <c r="J18557" t="s">
        <v>278</v>
      </c>
      <c r="K18557">
        <v>521.84</v>
      </c>
      <c r="L18557">
        <v>106.03</v>
      </c>
      <c r="M18557">
        <v>66754</v>
      </c>
      <c r="N18557" t="s">
        <v>119</v>
      </c>
      <c r="O18557">
        <v>250213</v>
      </c>
      <c r="P18557">
        <v>415.81</v>
      </c>
    </row>
    <row r="18558" spans="1:16" x14ac:dyDescent="0.25">
      <c r="A18558" t="s">
        <v>3296</v>
      </c>
      <c r="B18558" t="s">
        <v>2931</v>
      </c>
      <c r="C18558">
        <v>901</v>
      </c>
      <c r="D18558" t="str">
        <f>"90104419    "</f>
        <v xml:space="preserve">90104419    </v>
      </c>
      <c r="E18558" t="s">
        <v>2950</v>
      </c>
      <c r="F18558" t="s">
        <v>2951</v>
      </c>
      <c r="G18558">
        <v>1295.1600000000001</v>
      </c>
      <c r="H18558">
        <v>250124</v>
      </c>
      <c r="I18558">
        <v>4460</v>
      </c>
      <c r="J18558" t="s">
        <v>2952</v>
      </c>
      <c r="K18558">
        <v>5180.7</v>
      </c>
      <c r="L18558">
        <v>0</v>
      </c>
      <c r="M18558">
        <v>11501</v>
      </c>
      <c r="N18558" t="s">
        <v>13</v>
      </c>
      <c r="O18558">
        <v>250130</v>
      </c>
      <c r="P18558">
        <v>1295.1600000000001</v>
      </c>
    </row>
    <row r="18559" spans="1:16" x14ac:dyDescent="0.25">
      <c r="A18559" t="s">
        <v>3296</v>
      </c>
      <c r="B18559" t="s">
        <v>2931</v>
      </c>
      <c r="C18559">
        <v>3037</v>
      </c>
      <c r="D18559" t="str">
        <f>"11206330    "</f>
        <v xml:space="preserve">11206330    </v>
      </c>
      <c r="E18559" t="s">
        <v>2950</v>
      </c>
      <c r="F18559" t="s">
        <v>2951</v>
      </c>
      <c r="G18559">
        <v>200</v>
      </c>
      <c r="H18559">
        <v>250303</v>
      </c>
      <c r="I18559">
        <v>4600</v>
      </c>
      <c r="J18559" t="s">
        <v>278</v>
      </c>
      <c r="K18559">
        <v>200</v>
      </c>
      <c r="L18559">
        <v>0</v>
      </c>
      <c r="M18559">
        <v>11501</v>
      </c>
      <c r="N18559" t="s">
        <v>13</v>
      </c>
      <c r="O18559">
        <v>250314</v>
      </c>
      <c r="P18559">
        <v>200</v>
      </c>
    </row>
    <row r="18560" spans="1:16" x14ac:dyDescent="0.25">
      <c r="A18560" t="s">
        <v>3296</v>
      </c>
      <c r="B18560" t="s">
        <v>2931</v>
      </c>
      <c r="C18560">
        <v>8995</v>
      </c>
      <c r="D18560" t="str">
        <f>"11206508    "</f>
        <v xml:space="preserve">11206508    </v>
      </c>
      <c r="E18560" t="s">
        <v>2950</v>
      </c>
      <c r="F18560" t="s">
        <v>2951</v>
      </c>
      <c r="G18560">
        <v>560</v>
      </c>
      <c r="H18560">
        <v>250612</v>
      </c>
      <c r="I18560">
        <v>4600</v>
      </c>
      <c r="J18560" t="s">
        <v>278</v>
      </c>
      <c r="K18560">
        <v>720</v>
      </c>
      <c r="L18560">
        <v>0</v>
      </c>
      <c r="M18560">
        <v>17972</v>
      </c>
      <c r="N18560" t="s">
        <v>28</v>
      </c>
      <c r="O18560">
        <v>250624</v>
      </c>
      <c r="P18560">
        <v>560</v>
      </c>
    </row>
    <row r="18561" spans="1:16" x14ac:dyDescent="0.25">
      <c r="A18561" t="s">
        <v>3296</v>
      </c>
      <c r="B18561" t="s">
        <v>2931</v>
      </c>
      <c r="C18561">
        <v>8995</v>
      </c>
      <c r="D18561" t="str">
        <f>"11206508    "</f>
        <v xml:space="preserve">11206508    </v>
      </c>
      <c r="E18561" t="s">
        <v>2950</v>
      </c>
      <c r="F18561" t="s">
        <v>2951</v>
      </c>
      <c r="G18561">
        <v>160</v>
      </c>
      <c r="H18561">
        <v>250612</v>
      </c>
      <c r="I18561">
        <v>4600</v>
      </c>
      <c r="J18561" t="s">
        <v>278</v>
      </c>
      <c r="K18561">
        <v>720</v>
      </c>
      <c r="L18561">
        <v>0</v>
      </c>
      <c r="M18561">
        <v>18972</v>
      </c>
      <c r="N18561" t="s">
        <v>39</v>
      </c>
      <c r="O18561">
        <v>250624</v>
      </c>
      <c r="P18561">
        <v>160</v>
      </c>
    </row>
    <row r="18562" spans="1:16" x14ac:dyDescent="0.25">
      <c r="A18562" t="s">
        <v>3296</v>
      </c>
      <c r="B18562" t="s">
        <v>2931</v>
      </c>
      <c r="C18562">
        <v>11210</v>
      </c>
      <c r="D18562" t="str">
        <f>"30253438    "</f>
        <v xml:space="preserve">30253438    </v>
      </c>
      <c r="E18562" t="s">
        <v>2261</v>
      </c>
      <c r="F18562" t="s">
        <v>2262</v>
      </c>
      <c r="G18562">
        <v>74.58</v>
      </c>
      <c r="H18562">
        <v>250827</v>
      </c>
      <c r="I18562">
        <v>4580</v>
      </c>
      <c r="J18562" t="s">
        <v>126</v>
      </c>
      <c r="K18562">
        <v>74.58</v>
      </c>
      <c r="L18562">
        <v>15.15</v>
      </c>
      <c r="M18562">
        <v>17521</v>
      </c>
      <c r="N18562" t="s">
        <v>136</v>
      </c>
      <c r="O18562">
        <v>250902</v>
      </c>
      <c r="P18562">
        <v>59.43</v>
      </c>
    </row>
    <row r="18563" spans="1:16" x14ac:dyDescent="0.25">
      <c r="A18563" t="s">
        <v>3296</v>
      </c>
      <c r="B18563" t="s">
        <v>2931</v>
      </c>
      <c r="C18563">
        <v>11413</v>
      </c>
      <c r="D18563" t="str">
        <f>"30253540    "</f>
        <v xml:space="preserve">30253540    </v>
      </c>
      <c r="E18563" t="s">
        <v>2261</v>
      </c>
      <c r="F18563" t="s">
        <v>2262</v>
      </c>
      <c r="G18563">
        <v>78.709999999999994</v>
      </c>
      <c r="H18563">
        <v>250903</v>
      </c>
      <c r="I18563">
        <v>4580</v>
      </c>
      <c r="J18563" t="s">
        <v>126</v>
      </c>
      <c r="K18563">
        <v>78.709999999999994</v>
      </c>
      <c r="L18563">
        <v>15.99</v>
      </c>
      <c r="M18563">
        <v>17521</v>
      </c>
      <c r="N18563" t="s">
        <v>136</v>
      </c>
      <c r="O18563">
        <v>250904</v>
      </c>
      <c r="P18563">
        <v>62.72</v>
      </c>
    </row>
    <row r="18564" spans="1:16" x14ac:dyDescent="0.25">
      <c r="A18564" t="s">
        <v>3296</v>
      </c>
      <c r="B18564" t="s">
        <v>2931</v>
      </c>
      <c r="C18564">
        <v>7771</v>
      </c>
      <c r="D18564" t="str">
        <f>"25173       "</f>
        <v xml:space="preserve">25173       </v>
      </c>
      <c r="E18564" t="s">
        <v>1989</v>
      </c>
      <c r="F18564" t="s">
        <v>1990</v>
      </c>
      <c r="G18564">
        <v>48.44</v>
      </c>
      <c r="H18564">
        <v>250512</v>
      </c>
      <c r="I18564">
        <v>4600</v>
      </c>
      <c r="J18564" t="s">
        <v>278</v>
      </c>
      <c r="K18564">
        <v>48.44</v>
      </c>
      <c r="L18564">
        <v>9.84</v>
      </c>
      <c r="M18564">
        <v>17523</v>
      </c>
      <c r="N18564" t="s">
        <v>138</v>
      </c>
      <c r="O18564">
        <v>250609</v>
      </c>
      <c r="P18564">
        <v>38.6</v>
      </c>
    </row>
    <row r="18565" spans="1:16" x14ac:dyDescent="0.25">
      <c r="A18565" t="s">
        <v>3296</v>
      </c>
      <c r="B18565" t="s">
        <v>2931</v>
      </c>
      <c r="C18565">
        <v>16001</v>
      </c>
      <c r="D18565" t="str">
        <f>"4           "</f>
        <v xml:space="preserve">4           </v>
      </c>
      <c r="E18565" t="s">
        <v>3171</v>
      </c>
      <c r="F18565" t="s">
        <v>3172</v>
      </c>
      <c r="G18565">
        <v>100</v>
      </c>
      <c r="H18565">
        <v>251126</v>
      </c>
      <c r="I18565">
        <v>4350</v>
      </c>
      <c r="J18565" t="s">
        <v>290</v>
      </c>
      <c r="K18565">
        <v>300</v>
      </c>
      <c r="L18565">
        <v>0</v>
      </c>
      <c r="M18565">
        <v>17534</v>
      </c>
      <c r="N18565" t="s">
        <v>148</v>
      </c>
      <c r="O18565">
        <v>251201</v>
      </c>
      <c r="P18565">
        <v>100</v>
      </c>
    </row>
    <row r="18566" spans="1:16" x14ac:dyDescent="0.25">
      <c r="A18566" t="s">
        <v>3296</v>
      </c>
      <c r="B18566" t="s">
        <v>2931</v>
      </c>
      <c r="C18566">
        <v>16001</v>
      </c>
      <c r="D18566" t="str">
        <f>"4           "</f>
        <v xml:space="preserve">4           </v>
      </c>
      <c r="E18566" t="s">
        <v>3171</v>
      </c>
      <c r="F18566" t="s">
        <v>3172</v>
      </c>
      <c r="G18566">
        <v>100</v>
      </c>
      <c r="H18566">
        <v>251126</v>
      </c>
      <c r="I18566">
        <v>4350</v>
      </c>
      <c r="J18566" t="s">
        <v>290</v>
      </c>
      <c r="K18566">
        <v>300</v>
      </c>
      <c r="L18566">
        <v>0</v>
      </c>
      <c r="M18566">
        <v>17535</v>
      </c>
      <c r="N18566" t="s">
        <v>149</v>
      </c>
      <c r="O18566">
        <v>251201</v>
      </c>
      <c r="P18566">
        <v>100</v>
      </c>
    </row>
    <row r="18567" spans="1:16" x14ac:dyDescent="0.25">
      <c r="A18567" t="s">
        <v>3296</v>
      </c>
      <c r="B18567" t="s">
        <v>2931</v>
      </c>
      <c r="C18567">
        <v>16001</v>
      </c>
      <c r="D18567" t="str">
        <f>"4           "</f>
        <v xml:space="preserve">4           </v>
      </c>
      <c r="E18567" t="s">
        <v>3171</v>
      </c>
      <c r="F18567" t="s">
        <v>3172</v>
      </c>
      <c r="G18567">
        <v>100</v>
      </c>
      <c r="H18567">
        <v>251126</v>
      </c>
      <c r="I18567">
        <v>4350</v>
      </c>
      <c r="J18567" t="s">
        <v>290</v>
      </c>
      <c r="K18567">
        <v>300</v>
      </c>
      <c r="L18567">
        <v>0</v>
      </c>
      <c r="M18567">
        <v>17536</v>
      </c>
      <c r="N18567" t="s">
        <v>150</v>
      </c>
      <c r="O18567">
        <v>251201</v>
      </c>
      <c r="P18567">
        <v>100</v>
      </c>
    </row>
    <row r="18568" spans="1:16" x14ac:dyDescent="0.25">
      <c r="A18568" t="s">
        <v>3296</v>
      </c>
      <c r="B18568" t="s">
        <v>2931</v>
      </c>
      <c r="C18568">
        <v>388</v>
      </c>
      <c r="D18568" t="str">
        <f>"170125      "</f>
        <v xml:space="preserve">170125      </v>
      </c>
      <c r="E18568" t="s">
        <v>2985</v>
      </c>
      <c r="F18568" t="s">
        <v>2986</v>
      </c>
      <c r="G18568">
        <v>60</v>
      </c>
      <c r="H18568">
        <v>250117</v>
      </c>
      <c r="I18568">
        <v>4460</v>
      </c>
      <c r="J18568" t="s">
        <v>2952</v>
      </c>
      <c r="K18568">
        <v>60</v>
      </c>
      <c r="L18568">
        <v>0</v>
      </c>
      <c r="M18568">
        <v>17535</v>
      </c>
      <c r="N18568" t="s">
        <v>149</v>
      </c>
      <c r="O18568">
        <v>250122</v>
      </c>
      <c r="P18568">
        <v>60</v>
      </c>
    </row>
    <row r="18569" spans="1:16" x14ac:dyDescent="0.25">
      <c r="A18569" t="s">
        <v>3296</v>
      </c>
      <c r="B18569" t="s">
        <v>2931</v>
      </c>
      <c r="C18569">
        <v>2341</v>
      </c>
      <c r="D18569" t="str">
        <f>"154192      "</f>
        <v xml:space="preserve">154192      </v>
      </c>
      <c r="E18569" t="s">
        <v>1243</v>
      </c>
      <c r="F18569" t="s">
        <v>1244</v>
      </c>
      <c r="G18569">
        <v>71.5</v>
      </c>
      <c r="H18569">
        <v>250220</v>
      </c>
      <c r="I18569">
        <v>4510</v>
      </c>
      <c r="J18569" t="s">
        <v>240</v>
      </c>
      <c r="K18569">
        <v>71.5</v>
      </c>
      <c r="L18569">
        <v>6.5</v>
      </c>
      <c r="M18569">
        <v>56563</v>
      </c>
      <c r="N18569" t="s">
        <v>55</v>
      </c>
      <c r="O18569">
        <v>250224</v>
      </c>
      <c r="P18569">
        <v>65</v>
      </c>
    </row>
    <row r="18570" spans="1:16" x14ac:dyDescent="0.25">
      <c r="A18570" t="s">
        <v>3296</v>
      </c>
      <c r="B18570" t="s">
        <v>2931</v>
      </c>
      <c r="C18570">
        <v>14931</v>
      </c>
      <c r="D18570" t="str">
        <f>"1713        "</f>
        <v xml:space="preserve">1713        </v>
      </c>
      <c r="E18570" t="s">
        <v>3063</v>
      </c>
      <c r="F18570" t="s">
        <v>3064</v>
      </c>
      <c r="G18570">
        <v>59</v>
      </c>
      <c r="H18570">
        <v>251030</v>
      </c>
      <c r="I18570">
        <v>4441</v>
      </c>
      <c r="J18570" t="s">
        <v>234</v>
      </c>
      <c r="K18570">
        <v>59</v>
      </c>
      <c r="L18570">
        <v>0</v>
      </c>
      <c r="M18570">
        <v>17131</v>
      </c>
      <c r="N18570" t="s">
        <v>154</v>
      </c>
      <c r="O18570">
        <v>251110</v>
      </c>
      <c r="P18570">
        <v>59</v>
      </c>
    </row>
    <row r="18571" spans="1:16" x14ac:dyDescent="0.25">
      <c r="A18571" t="s">
        <v>3296</v>
      </c>
      <c r="B18571" t="s">
        <v>2931</v>
      </c>
      <c r="C18571">
        <v>14583</v>
      </c>
      <c r="D18571" t="str">
        <f>"1702        "</f>
        <v xml:space="preserve">1702        </v>
      </c>
      <c r="E18571" t="s">
        <v>3063</v>
      </c>
      <c r="F18571" t="s">
        <v>3064</v>
      </c>
      <c r="G18571">
        <v>108</v>
      </c>
      <c r="H18571">
        <v>251101</v>
      </c>
      <c r="I18571">
        <v>4470</v>
      </c>
      <c r="J18571" t="s">
        <v>203</v>
      </c>
      <c r="K18571">
        <v>108</v>
      </c>
      <c r="L18571">
        <v>0</v>
      </c>
      <c r="M18571">
        <v>17972</v>
      </c>
      <c r="N18571" t="s">
        <v>28</v>
      </c>
      <c r="O18571">
        <v>251105</v>
      </c>
      <c r="P18571">
        <v>108</v>
      </c>
    </row>
    <row r="18572" spans="1:16" x14ac:dyDescent="0.25">
      <c r="A18572" t="s">
        <v>3296</v>
      </c>
      <c r="B18572" t="s">
        <v>2931</v>
      </c>
      <c r="C18572">
        <v>800</v>
      </c>
      <c r="D18572" t="str">
        <f>"213778      "</f>
        <v xml:space="preserve">213778      </v>
      </c>
      <c r="E18572" t="s">
        <v>225</v>
      </c>
      <c r="F18572" t="s">
        <v>228</v>
      </c>
      <c r="G18572">
        <v>967.52</v>
      </c>
      <c r="H18572">
        <v>250127</v>
      </c>
      <c r="I18572">
        <v>1198</v>
      </c>
      <c r="J18572" t="s">
        <v>610</v>
      </c>
      <c r="K18572">
        <v>2367.5500000000002</v>
      </c>
      <c r="L18572">
        <v>196.59</v>
      </c>
      <c r="M18572">
        <v>97628</v>
      </c>
      <c r="N18572" t="s">
        <v>737</v>
      </c>
      <c r="O18572">
        <v>250129</v>
      </c>
      <c r="P18572">
        <v>770.93</v>
      </c>
    </row>
    <row r="18573" spans="1:16" x14ac:dyDescent="0.25">
      <c r="A18573" t="s">
        <v>3296</v>
      </c>
      <c r="B18573" t="s">
        <v>2931</v>
      </c>
      <c r="C18573">
        <v>2196</v>
      </c>
      <c r="D18573" t="str">
        <f>"213793      "</f>
        <v xml:space="preserve">213793      </v>
      </c>
      <c r="E18573" t="s">
        <v>225</v>
      </c>
      <c r="F18573" t="s">
        <v>228</v>
      </c>
      <c r="G18573">
        <v>235</v>
      </c>
      <c r="H18573">
        <v>250201</v>
      </c>
      <c r="I18573">
        <v>1198</v>
      </c>
      <c r="J18573" t="s">
        <v>610</v>
      </c>
      <c r="K18573">
        <v>2011.56</v>
      </c>
      <c r="L18573">
        <v>47.75</v>
      </c>
      <c r="M18573">
        <v>97629</v>
      </c>
      <c r="N18573" t="s">
        <v>1110</v>
      </c>
      <c r="O18573">
        <v>250221</v>
      </c>
      <c r="P18573">
        <v>187.25</v>
      </c>
    </row>
    <row r="18574" spans="1:16" x14ac:dyDescent="0.25">
      <c r="A18574" t="s">
        <v>3296</v>
      </c>
      <c r="B18574" t="s">
        <v>2931</v>
      </c>
      <c r="C18574">
        <v>3555</v>
      </c>
      <c r="D18574" t="str">
        <f>"219740      "</f>
        <v xml:space="preserve">219740      </v>
      </c>
      <c r="E18574" t="s">
        <v>225</v>
      </c>
      <c r="F18574" t="s">
        <v>228</v>
      </c>
      <c r="G18574">
        <v>501.98</v>
      </c>
      <c r="H18574">
        <v>250306</v>
      </c>
      <c r="I18574">
        <v>4380</v>
      </c>
      <c r="J18574" t="s">
        <v>211</v>
      </c>
      <c r="K18574">
        <v>501.98</v>
      </c>
      <c r="L18574">
        <v>102</v>
      </c>
      <c r="M18574">
        <v>17951</v>
      </c>
      <c r="N18574" t="s">
        <v>207</v>
      </c>
      <c r="O18574">
        <v>250325</v>
      </c>
      <c r="P18574">
        <v>399.98</v>
      </c>
    </row>
    <row r="18575" spans="1:16" x14ac:dyDescent="0.25">
      <c r="A18575" t="s">
        <v>3296</v>
      </c>
      <c r="B18575" t="s">
        <v>2931</v>
      </c>
      <c r="C18575">
        <v>14340</v>
      </c>
      <c r="D18575" t="str">
        <f>"250993      "</f>
        <v xml:space="preserve">250993      </v>
      </c>
      <c r="E18575" t="s">
        <v>225</v>
      </c>
      <c r="F18575" t="s">
        <v>228</v>
      </c>
      <c r="G18575">
        <v>457.77</v>
      </c>
      <c r="H18575">
        <v>251027</v>
      </c>
      <c r="I18575">
        <v>4380</v>
      </c>
      <c r="J18575" t="s">
        <v>211</v>
      </c>
      <c r="K18575">
        <v>457.77</v>
      </c>
      <c r="L18575">
        <v>93.01</v>
      </c>
      <c r="M18575">
        <v>17951</v>
      </c>
      <c r="N18575" t="s">
        <v>207</v>
      </c>
      <c r="O18575">
        <v>251029</v>
      </c>
      <c r="P18575">
        <v>364.76</v>
      </c>
    </row>
    <row r="18576" spans="1:16" x14ac:dyDescent="0.25">
      <c r="A18576" t="s">
        <v>3296</v>
      </c>
      <c r="B18576" t="s">
        <v>2931</v>
      </c>
      <c r="C18576">
        <v>9924</v>
      </c>
      <c r="D18576" t="str">
        <f>"238103      "</f>
        <v xml:space="preserve">238103      </v>
      </c>
      <c r="E18576" t="s">
        <v>225</v>
      </c>
      <c r="F18576" t="s">
        <v>228</v>
      </c>
      <c r="G18576">
        <v>42.48</v>
      </c>
      <c r="H18576">
        <v>250731</v>
      </c>
      <c r="I18576">
        <v>4420</v>
      </c>
      <c r="J18576" t="s">
        <v>330</v>
      </c>
      <c r="K18576">
        <v>1104.6600000000001</v>
      </c>
      <c r="L18576">
        <v>8.6300000000000008</v>
      </c>
      <c r="M18576">
        <v>49112</v>
      </c>
      <c r="N18576" t="s">
        <v>109</v>
      </c>
      <c r="O18576">
        <v>250804</v>
      </c>
      <c r="P18576">
        <v>33.85</v>
      </c>
    </row>
    <row r="18577" spans="1:16" x14ac:dyDescent="0.25">
      <c r="A18577" t="s">
        <v>3296</v>
      </c>
      <c r="B18577" t="s">
        <v>2931</v>
      </c>
      <c r="C18577">
        <v>3535</v>
      </c>
      <c r="D18577" t="str">
        <f>"218830      "</f>
        <v xml:space="preserve">218830      </v>
      </c>
      <c r="E18577" t="s">
        <v>225</v>
      </c>
      <c r="F18577" t="s">
        <v>228</v>
      </c>
      <c r="G18577">
        <v>22.41</v>
      </c>
      <c r="H18577">
        <v>250303</v>
      </c>
      <c r="I18577">
        <v>4520</v>
      </c>
      <c r="J18577" t="s">
        <v>280</v>
      </c>
      <c r="K18577">
        <v>675.56</v>
      </c>
      <c r="L18577">
        <v>2.75</v>
      </c>
      <c r="M18577">
        <v>59501</v>
      </c>
      <c r="N18577" t="s">
        <v>62</v>
      </c>
      <c r="O18577">
        <v>250325</v>
      </c>
      <c r="P18577">
        <v>19.66</v>
      </c>
    </row>
    <row r="18578" spans="1:16" x14ac:dyDescent="0.25">
      <c r="A18578" t="s">
        <v>3296</v>
      </c>
      <c r="B18578" t="s">
        <v>2931</v>
      </c>
      <c r="C18578">
        <v>12842</v>
      </c>
      <c r="D18578" t="str">
        <f>"245996      "</f>
        <v xml:space="preserve">245996      </v>
      </c>
      <c r="E18578" t="s">
        <v>225</v>
      </c>
      <c r="F18578" t="s">
        <v>228</v>
      </c>
      <c r="G18578">
        <v>6.07</v>
      </c>
      <c r="H18578">
        <v>250923</v>
      </c>
      <c r="I18578">
        <v>4530</v>
      </c>
      <c r="J18578" t="s">
        <v>293</v>
      </c>
      <c r="K18578">
        <v>246.59</v>
      </c>
      <c r="L18578">
        <v>1.23</v>
      </c>
      <c r="M18578">
        <v>17531</v>
      </c>
      <c r="N18578" t="s">
        <v>145</v>
      </c>
      <c r="O18578">
        <v>250930</v>
      </c>
      <c r="P18578">
        <v>4.84</v>
      </c>
    </row>
    <row r="18579" spans="1:16" x14ac:dyDescent="0.25">
      <c r="A18579" t="s">
        <v>3296</v>
      </c>
      <c r="B18579" t="s">
        <v>2931</v>
      </c>
      <c r="C18579">
        <v>2196</v>
      </c>
      <c r="D18579" t="str">
        <f>"213793      "</f>
        <v xml:space="preserve">213793      </v>
      </c>
      <c r="E18579" t="s">
        <v>225</v>
      </c>
      <c r="F18579" t="s">
        <v>228</v>
      </c>
      <c r="G18579">
        <v>16.87</v>
      </c>
      <c r="H18579">
        <v>250201</v>
      </c>
      <c r="I18579">
        <v>4534</v>
      </c>
      <c r="J18579" t="s">
        <v>349</v>
      </c>
      <c r="K18579">
        <v>2011.56</v>
      </c>
      <c r="L18579">
        <v>3.43</v>
      </c>
      <c r="M18579">
        <v>13540</v>
      </c>
      <c r="N18579" t="s">
        <v>131</v>
      </c>
      <c r="O18579">
        <v>250221</v>
      </c>
      <c r="P18579">
        <v>13.44</v>
      </c>
    </row>
    <row r="18580" spans="1:16" x14ac:dyDescent="0.25">
      <c r="A18580" t="s">
        <v>3296</v>
      </c>
      <c r="B18580" t="s">
        <v>2931</v>
      </c>
      <c r="C18580">
        <v>2196</v>
      </c>
      <c r="D18580" t="str">
        <f>"213793      "</f>
        <v xml:space="preserve">213793      </v>
      </c>
      <c r="E18580" t="s">
        <v>225</v>
      </c>
      <c r="F18580" t="s">
        <v>228</v>
      </c>
      <c r="G18580">
        <v>42.04</v>
      </c>
      <c r="H18580">
        <v>250201</v>
      </c>
      <c r="I18580">
        <v>4534</v>
      </c>
      <c r="J18580" t="s">
        <v>349</v>
      </c>
      <c r="K18580">
        <v>2011.56</v>
      </c>
      <c r="L18580">
        <v>8.5399999999999991</v>
      </c>
      <c r="M18580">
        <v>17521</v>
      </c>
      <c r="N18580" t="s">
        <v>136</v>
      </c>
      <c r="O18580">
        <v>250221</v>
      </c>
      <c r="P18580">
        <v>33.5</v>
      </c>
    </row>
    <row r="18581" spans="1:16" x14ac:dyDescent="0.25">
      <c r="A18581" t="s">
        <v>3296</v>
      </c>
      <c r="B18581" t="s">
        <v>2931</v>
      </c>
      <c r="C18581">
        <v>2196</v>
      </c>
      <c r="D18581" t="str">
        <f>"213793      "</f>
        <v xml:space="preserve">213793      </v>
      </c>
      <c r="E18581" t="s">
        <v>225</v>
      </c>
      <c r="F18581" t="s">
        <v>228</v>
      </c>
      <c r="G18581">
        <v>84.09</v>
      </c>
      <c r="H18581">
        <v>250201</v>
      </c>
      <c r="I18581">
        <v>4534</v>
      </c>
      <c r="J18581" t="s">
        <v>349</v>
      </c>
      <c r="K18581">
        <v>2011.56</v>
      </c>
      <c r="L18581">
        <v>17.09</v>
      </c>
      <c r="M18581">
        <v>17538</v>
      </c>
      <c r="N18581" t="s">
        <v>129</v>
      </c>
      <c r="O18581">
        <v>250221</v>
      </c>
      <c r="P18581">
        <v>67</v>
      </c>
    </row>
    <row r="18582" spans="1:16" x14ac:dyDescent="0.25">
      <c r="A18582" t="s">
        <v>3296</v>
      </c>
      <c r="B18582" t="s">
        <v>2931</v>
      </c>
      <c r="C18582">
        <v>2196</v>
      </c>
      <c r="D18582" t="str">
        <f>"213793      "</f>
        <v xml:space="preserve">213793      </v>
      </c>
      <c r="E18582" t="s">
        <v>225</v>
      </c>
      <c r="F18582" t="s">
        <v>228</v>
      </c>
      <c r="G18582">
        <v>115.03</v>
      </c>
      <c r="H18582">
        <v>250201</v>
      </c>
      <c r="I18582">
        <v>4534</v>
      </c>
      <c r="J18582" t="s">
        <v>349</v>
      </c>
      <c r="K18582">
        <v>2011.56</v>
      </c>
      <c r="L18582">
        <v>23.37</v>
      </c>
      <c r="M18582">
        <v>17950</v>
      </c>
      <c r="N18582" t="s">
        <v>132</v>
      </c>
      <c r="O18582">
        <v>250221</v>
      </c>
      <c r="P18582">
        <v>91.66</v>
      </c>
    </row>
    <row r="18583" spans="1:16" x14ac:dyDescent="0.25">
      <c r="A18583" t="s">
        <v>3296</v>
      </c>
      <c r="B18583" t="s">
        <v>2931</v>
      </c>
      <c r="C18583">
        <v>2196</v>
      </c>
      <c r="D18583" t="str">
        <f>"213793      "</f>
        <v xml:space="preserve">213793      </v>
      </c>
      <c r="E18583" t="s">
        <v>225</v>
      </c>
      <c r="F18583" t="s">
        <v>228</v>
      </c>
      <c r="G18583">
        <v>21.47</v>
      </c>
      <c r="H18583">
        <v>250201</v>
      </c>
      <c r="I18583">
        <v>4534</v>
      </c>
      <c r="J18583" t="s">
        <v>349</v>
      </c>
      <c r="K18583">
        <v>2011.56</v>
      </c>
      <c r="L18583">
        <v>4.3600000000000003</v>
      </c>
      <c r="M18583">
        <v>17956</v>
      </c>
      <c r="N18583" t="s">
        <v>170</v>
      </c>
      <c r="O18583">
        <v>250221</v>
      </c>
      <c r="P18583">
        <v>17.11</v>
      </c>
    </row>
    <row r="18584" spans="1:16" x14ac:dyDescent="0.25">
      <c r="A18584" t="s">
        <v>3296</v>
      </c>
      <c r="B18584" t="s">
        <v>2931</v>
      </c>
      <c r="C18584">
        <v>7055</v>
      </c>
      <c r="D18584" t="str">
        <f>"227953      "</f>
        <v xml:space="preserve">227953      </v>
      </c>
      <c r="E18584" t="s">
        <v>225</v>
      </c>
      <c r="F18584" t="s">
        <v>228</v>
      </c>
      <c r="G18584">
        <v>25</v>
      </c>
      <c r="H18584">
        <v>250507</v>
      </c>
      <c r="I18584">
        <v>4534</v>
      </c>
      <c r="J18584" t="s">
        <v>349</v>
      </c>
      <c r="K18584">
        <v>1218.83</v>
      </c>
      <c r="L18584">
        <v>5.08</v>
      </c>
      <c r="M18584">
        <v>13540</v>
      </c>
      <c r="N18584" t="s">
        <v>131</v>
      </c>
      <c r="O18584">
        <v>250522</v>
      </c>
      <c r="P18584">
        <v>19.920000000000002</v>
      </c>
    </row>
    <row r="18585" spans="1:16" x14ac:dyDescent="0.25">
      <c r="A18585" t="s">
        <v>3296</v>
      </c>
      <c r="B18585" t="s">
        <v>2931</v>
      </c>
      <c r="C18585">
        <v>7055</v>
      </c>
      <c r="D18585" t="str">
        <f>"227953      "</f>
        <v xml:space="preserve">227953      </v>
      </c>
      <c r="E18585" t="s">
        <v>225</v>
      </c>
      <c r="F18585" t="s">
        <v>228</v>
      </c>
      <c r="G18585">
        <v>170.52</v>
      </c>
      <c r="H18585">
        <v>250507</v>
      </c>
      <c r="I18585">
        <v>4534</v>
      </c>
      <c r="J18585" t="s">
        <v>349</v>
      </c>
      <c r="K18585">
        <v>1218.83</v>
      </c>
      <c r="L18585">
        <v>34.65</v>
      </c>
      <c r="M18585">
        <v>17950</v>
      </c>
      <c r="N18585" t="s">
        <v>132</v>
      </c>
      <c r="O18585">
        <v>250522</v>
      </c>
      <c r="P18585">
        <v>135.87</v>
      </c>
    </row>
    <row r="18586" spans="1:16" x14ac:dyDescent="0.25">
      <c r="A18586" t="s">
        <v>3296</v>
      </c>
      <c r="B18586" t="s">
        <v>2931</v>
      </c>
      <c r="C18586">
        <v>7055</v>
      </c>
      <c r="D18586" t="str">
        <f>"227953      "</f>
        <v xml:space="preserve">227953      </v>
      </c>
      <c r="E18586" t="s">
        <v>225</v>
      </c>
      <c r="F18586" t="s">
        <v>228</v>
      </c>
      <c r="G18586">
        <v>31.83</v>
      </c>
      <c r="H18586">
        <v>250507</v>
      </c>
      <c r="I18586">
        <v>4534</v>
      </c>
      <c r="J18586" t="s">
        <v>349</v>
      </c>
      <c r="K18586">
        <v>1218.83</v>
      </c>
      <c r="L18586">
        <v>6.47</v>
      </c>
      <c r="M18586">
        <v>17956</v>
      </c>
      <c r="N18586" t="s">
        <v>170</v>
      </c>
      <c r="O18586">
        <v>250522</v>
      </c>
      <c r="P18586">
        <v>25.36</v>
      </c>
    </row>
    <row r="18587" spans="1:16" x14ac:dyDescent="0.25">
      <c r="A18587" t="s">
        <v>3296</v>
      </c>
      <c r="B18587" t="s">
        <v>2931</v>
      </c>
      <c r="C18587">
        <v>15924</v>
      </c>
      <c r="D18587" t="str">
        <f>"253486      "</f>
        <v xml:space="preserve">253486      </v>
      </c>
      <c r="E18587" t="s">
        <v>225</v>
      </c>
      <c r="F18587" t="s">
        <v>228</v>
      </c>
      <c r="G18587">
        <v>20.04</v>
      </c>
      <c r="H18587">
        <v>251113</v>
      </c>
      <c r="I18587">
        <v>4534</v>
      </c>
      <c r="J18587" t="s">
        <v>349</v>
      </c>
      <c r="K18587">
        <v>1893.74</v>
      </c>
      <c r="L18587">
        <v>4.07</v>
      </c>
      <c r="M18587">
        <v>13540</v>
      </c>
      <c r="N18587" t="s">
        <v>131</v>
      </c>
      <c r="O18587">
        <v>251201</v>
      </c>
      <c r="P18587">
        <v>15.97</v>
      </c>
    </row>
    <row r="18588" spans="1:16" x14ac:dyDescent="0.25">
      <c r="A18588" t="s">
        <v>3296</v>
      </c>
      <c r="B18588" t="s">
        <v>2931</v>
      </c>
      <c r="C18588">
        <v>15924</v>
      </c>
      <c r="D18588" t="str">
        <f>"253486      "</f>
        <v xml:space="preserve">253486      </v>
      </c>
      <c r="E18588" t="s">
        <v>225</v>
      </c>
      <c r="F18588" t="s">
        <v>228</v>
      </c>
      <c r="G18588">
        <v>136.6</v>
      </c>
      <c r="H18588">
        <v>251113</v>
      </c>
      <c r="I18588">
        <v>4534</v>
      </c>
      <c r="J18588" t="s">
        <v>349</v>
      </c>
      <c r="K18588">
        <v>1893.74</v>
      </c>
      <c r="L18588">
        <v>27.76</v>
      </c>
      <c r="M18588">
        <v>17950</v>
      </c>
      <c r="N18588" t="s">
        <v>132</v>
      </c>
      <c r="O18588">
        <v>251201</v>
      </c>
      <c r="P18588">
        <v>108.84</v>
      </c>
    </row>
    <row r="18589" spans="1:16" x14ac:dyDescent="0.25">
      <c r="A18589" t="s">
        <v>3296</v>
      </c>
      <c r="B18589" t="s">
        <v>2931</v>
      </c>
      <c r="C18589">
        <v>15924</v>
      </c>
      <c r="D18589" t="str">
        <f>"253486      "</f>
        <v xml:space="preserve">253486      </v>
      </c>
      <c r="E18589" t="s">
        <v>225</v>
      </c>
      <c r="F18589" t="s">
        <v>228</v>
      </c>
      <c r="G18589">
        <v>25.5</v>
      </c>
      <c r="H18589">
        <v>251113</v>
      </c>
      <c r="I18589">
        <v>4534</v>
      </c>
      <c r="J18589" t="s">
        <v>349</v>
      </c>
      <c r="K18589">
        <v>1893.74</v>
      </c>
      <c r="L18589">
        <v>5.18</v>
      </c>
      <c r="M18589">
        <v>17956</v>
      </c>
      <c r="N18589" t="s">
        <v>170</v>
      </c>
      <c r="O18589">
        <v>251201</v>
      </c>
      <c r="P18589">
        <v>20.32</v>
      </c>
    </row>
    <row r="18590" spans="1:16" x14ac:dyDescent="0.25">
      <c r="A18590" t="s">
        <v>3296</v>
      </c>
      <c r="B18590" t="s">
        <v>2931</v>
      </c>
      <c r="C18590">
        <v>122</v>
      </c>
      <c r="D18590" t="str">
        <f>"210309      "</f>
        <v xml:space="preserve">210309      </v>
      </c>
      <c r="E18590" t="s">
        <v>225</v>
      </c>
      <c r="F18590" t="s">
        <v>228</v>
      </c>
      <c r="G18590">
        <v>278.72000000000003</v>
      </c>
      <c r="H18590">
        <v>250102</v>
      </c>
      <c r="I18590">
        <v>4550</v>
      </c>
      <c r="J18590" t="s">
        <v>226</v>
      </c>
      <c r="K18590">
        <v>309.69</v>
      </c>
      <c r="L18590">
        <v>56.63</v>
      </c>
      <c r="M18590">
        <v>69112</v>
      </c>
      <c r="N18590" t="s">
        <v>227</v>
      </c>
      <c r="O18590">
        <v>250113</v>
      </c>
      <c r="P18590">
        <v>222.09</v>
      </c>
    </row>
    <row r="18591" spans="1:16" x14ac:dyDescent="0.25">
      <c r="A18591" t="s">
        <v>3296</v>
      </c>
      <c r="B18591" t="s">
        <v>2931</v>
      </c>
      <c r="C18591">
        <v>122</v>
      </c>
      <c r="D18591" t="str">
        <f>"210309      "</f>
        <v xml:space="preserve">210309      </v>
      </c>
      <c r="E18591" t="s">
        <v>225</v>
      </c>
      <c r="F18591" t="s">
        <v>228</v>
      </c>
      <c r="G18591">
        <v>15.49</v>
      </c>
      <c r="H18591">
        <v>250102</v>
      </c>
      <c r="I18591">
        <v>4550</v>
      </c>
      <c r="J18591" t="s">
        <v>226</v>
      </c>
      <c r="K18591">
        <v>309.69</v>
      </c>
      <c r="L18591">
        <v>3.15</v>
      </c>
      <c r="M18591">
        <v>69810</v>
      </c>
      <c r="N18591" t="s">
        <v>229</v>
      </c>
      <c r="O18591">
        <v>250113</v>
      </c>
      <c r="P18591">
        <v>12.34</v>
      </c>
    </row>
    <row r="18592" spans="1:16" x14ac:dyDescent="0.25">
      <c r="A18592" t="s">
        <v>3296</v>
      </c>
      <c r="B18592" t="s">
        <v>2931</v>
      </c>
      <c r="C18592">
        <v>122</v>
      </c>
      <c r="D18592" t="str">
        <f>"210309      "</f>
        <v xml:space="preserve">210309      </v>
      </c>
      <c r="E18592" t="s">
        <v>225</v>
      </c>
      <c r="F18592" t="s">
        <v>228</v>
      </c>
      <c r="G18592">
        <v>15.48</v>
      </c>
      <c r="H18592">
        <v>250102</v>
      </c>
      <c r="I18592">
        <v>4550</v>
      </c>
      <c r="J18592" t="s">
        <v>226</v>
      </c>
      <c r="K18592">
        <v>309.69</v>
      </c>
      <c r="L18592">
        <v>3.15</v>
      </c>
      <c r="M18592">
        <v>69811</v>
      </c>
      <c r="N18592" t="s">
        <v>230</v>
      </c>
      <c r="O18592">
        <v>250113</v>
      </c>
      <c r="P18592">
        <v>12.33</v>
      </c>
    </row>
    <row r="18593" spans="1:16" x14ac:dyDescent="0.25">
      <c r="A18593" t="s">
        <v>3296</v>
      </c>
      <c r="B18593" t="s">
        <v>2931</v>
      </c>
      <c r="C18593">
        <v>487</v>
      </c>
      <c r="D18593" t="str">
        <f>"211988      "</f>
        <v xml:space="preserve">211988      </v>
      </c>
      <c r="E18593" t="s">
        <v>225</v>
      </c>
      <c r="F18593" t="s">
        <v>228</v>
      </c>
      <c r="G18593">
        <v>690.34</v>
      </c>
      <c r="H18593">
        <v>250116</v>
      </c>
      <c r="I18593">
        <v>4550</v>
      </c>
      <c r="J18593" t="s">
        <v>226</v>
      </c>
      <c r="K18593">
        <v>690.34</v>
      </c>
      <c r="L18593">
        <v>140.27000000000001</v>
      </c>
      <c r="M18593">
        <v>54451</v>
      </c>
      <c r="N18593" t="s">
        <v>218</v>
      </c>
      <c r="O18593">
        <v>250123</v>
      </c>
      <c r="P18593">
        <v>550.07000000000005</v>
      </c>
    </row>
    <row r="18594" spans="1:16" x14ac:dyDescent="0.25">
      <c r="A18594" t="s">
        <v>3296</v>
      </c>
      <c r="B18594" t="s">
        <v>2931</v>
      </c>
      <c r="C18594">
        <v>576</v>
      </c>
      <c r="D18594" t="str">
        <f>"212731      "</f>
        <v xml:space="preserve">212731      </v>
      </c>
      <c r="E18594" t="s">
        <v>225</v>
      </c>
      <c r="F18594" t="s">
        <v>228</v>
      </c>
      <c r="G18594">
        <v>812.41</v>
      </c>
      <c r="H18594">
        <v>250118</v>
      </c>
      <c r="I18594">
        <v>4550</v>
      </c>
      <c r="J18594" t="s">
        <v>226</v>
      </c>
      <c r="K18594">
        <v>812.41</v>
      </c>
      <c r="L18594">
        <v>165.07</v>
      </c>
      <c r="M18594">
        <v>49501</v>
      </c>
      <c r="N18594" t="s">
        <v>110</v>
      </c>
      <c r="O18594">
        <v>250124</v>
      </c>
      <c r="P18594">
        <v>647.34</v>
      </c>
    </row>
    <row r="18595" spans="1:16" x14ac:dyDescent="0.25">
      <c r="A18595" t="s">
        <v>3296</v>
      </c>
      <c r="B18595" t="s">
        <v>2931</v>
      </c>
      <c r="C18595">
        <v>581</v>
      </c>
      <c r="D18595" t="str">
        <f>"212736      "</f>
        <v xml:space="preserve">212736      </v>
      </c>
      <c r="E18595" t="s">
        <v>225</v>
      </c>
      <c r="F18595" t="s">
        <v>228</v>
      </c>
      <c r="G18595">
        <v>1293.8800000000001</v>
      </c>
      <c r="H18595">
        <v>250118</v>
      </c>
      <c r="I18595">
        <v>4550</v>
      </c>
      <c r="J18595" t="s">
        <v>226</v>
      </c>
      <c r="K18595">
        <v>1293.8800000000001</v>
      </c>
      <c r="L18595">
        <v>262.89999999999998</v>
      </c>
      <c r="M18595">
        <v>49501</v>
      </c>
      <c r="N18595" t="s">
        <v>110</v>
      </c>
      <c r="O18595">
        <v>250124</v>
      </c>
      <c r="P18595">
        <v>1030.98</v>
      </c>
    </row>
    <row r="18596" spans="1:16" x14ac:dyDescent="0.25">
      <c r="A18596" t="s">
        <v>3296</v>
      </c>
      <c r="B18596" t="s">
        <v>2931</v>
      </c>
      <c r="C18596">
        <v>747</v>
      </c>
      <c r="D18596" t="str">
        <f>"213176      "</f>
        <v xml:space="preserve">213176      </v>
      </c>
      <c r="E18596" t="s">
        <v>225</v>
      </c>
      <c r="F18596" t="s">
        <v>228</v>
      </c>
      <c r="G18596">
        <v>58.97</v>
      </c>
      <c r="H18596">
        <v>250122</v>
      </c>
      <c r="I18596">
        <v>4550</v>
      </c>
      <c r="J18596" t="s">
        <v>226</v>
      </c>
      <c r="K18596">
        <v>176.92</v>
      </c>
      <c r="L18596">
        <v>11.98</v>
      </c>
      <c r="M18596">
        <v>11401</v>
      </c>
      <c r="N18596" t="s">
        <v>91</v>
      </c>
      <c r="O18596">
        <v>250128</v>
      </c>
      <c r="P18596">
        <v>46.99</v>
      </c>
    </row>
    <row r="18597" spans="1:16" x14ac:dyDescent="0.25">
      <c r="A18597" t="s">
        <v>3296</v>
      </c>
      <c r="B18597" t="s">
        <v>2931</v>
      </c>
      <c r="C18597">
        <v>747</v>
      </c>
      <c r="D18597" t="str">
        <f>"213176      "</f>
        <v xml:space="preserve">213176      </v>
      </c>
      <c r="E18597" t="s">
        <v>225</v>
      </c>
      <c r="F18597" t="s">
        <v>228</v>
      </c>
      <c r="G18597">
        <v>117.95</v>
      </c>
      <c r="H18597">
        <v>250122</v>
      </c>
      <c r="I18597">
        <v>4550</v>
      </c>
      <c r="J18597" t="s">
        <v>226</v>
      </c>
      <c r="K18597">
        <v>176.92</v>
      </c>
      <c r="L18597">
        <v>23.97</v>
      </c>
      <c r="M18597">
        <v>14952</v>
      </c>
      <c r="N18597" t="s">
        <v>213</v>
      </c>
      <c r="O18597">
        <v>250128</v>
      </c>
      <c r="P18597">
        <v>93.98</v>
      </c>
    </row>
    <row r="18598" spans="1:16" x14ac:dyDescent="0.25">
      <c r="A18598" t="s">
        <v>3296</v>
      </c>
      <c r="B18598" t="s">
        <v>2931</v>
      </c>
      <c r="C18598">
        <v>800</v>
      </c>
      <c r="D18598" t="str">
        <f>"213778      "</f>
        <v xml:space="preserve">213778      </v>
      </c>
      <c r="E18598" t="s">
        <v>225</v>
      </c>
      <c r="F18598" t="s">
        <v>228</v>
      </c>
      <c r="G18598">
        <v>1400.03</v>
      </c>
      <c r="H18598">
        <v>250127</v>
      </c>
      <c r="I18598">
        <v>4550</v>
      </c>
      <c r="J18598" t="s">
        <v>226</v>
      </c>
      <c r="K18598">
        <v>2367.5500000000002</v>
      </c>
      <c r="L18598">
        <v>284.47000000000003</v>
      </c>
      <c r="M18598">
        <v>17952</v>
      </c>
      <c r="N18598" t="s">
        <v>157</v>
      </c>
      <c r="O18598">
        <v>250129</v>
      </c>
      <c r="P18598">
        <v>1115.56</v>
      </c>
    </row>
    <row r="18599" spans="1:16" x14ac:dyDescent="0.25">
      <c r="A18599" t="s">
        <v>3296</v>
      </c>
      <c r="B18599" t="s">
        <v>2931</v>
      </c>
      <c r="C18599">
        <v>878</v>
      </c>
      <c r="D18599" t="str">
        <f>"214215      "</f>
        <v xml:space="preserve">214215      </v>
      </c>
      <c r="E18599" t="s">
        <v>225</v>
      </c>
      <c r="F18599" t="s">
        <v>228</v>
      </c>
      <c r="G18599">
        <v>54.12</v>
      </c>
      <c r="H18599">
        <v>250129</v>
      </c>
      <c r="I18599">
        <v>4550</v>
      </c>
      <c r="J18599" t="s">
        <v>226</v>
      </c>
      <c r="K18599">
        <v>54.12</v>
      </c>
      <c r="L18599">
        <v>11</v>
      </c>
      <c r="M18599">
        <v>59504</v>
      </c>
      <c r="N18599" t="s">
        <v>193</v>
      </c>
      <c r="O18599">
        <v>250130</v>
      </c>
      <c r="P18599">
        <v>43.12</v>
      </c>
    </row>
    <row r="18600" spans="1:16" x14ac:dyDescent="0.25">
      <c r="A18600" t="s">
        <v>3296</v>
      </c>
      <c r="B18600" t="s">
        <v>2931</v>
      </c>
      <c r="C18600">
        <v>1015</v>
      </c>
      <c r="D18600" t="str">
        <f>"214127      "</f>
        <v xml:space="preserve">214127      </v>
      </c>
      <c r="E18600" t="s">
        <v>225</v>
      </c>
      <c r="F18600" t="s">
        <v>228</v>
      </c>
      <c r="G18600">
        <v>123.06</v>
      </c>
      <c r="H18600">
        <v>250129</v>
      </c>
      <c r="I18600">
        <v>4550</v>
      </c>
      <c r="J18600" t="s">
        <v>226</v>
      </c>
      <c r="K18600">
        <v>216.68</v>
      </c>
      <c r="L18600">
        <v>25</v>
      </c>
      <c r="M18600">
        <v>17913</v>
      </c>
      <c r="N18600" t="s">
        <v>26</v>
      </c>
      <c r="O18600">
        <v>250203</v>
      </c>
      <c r="P18600">
        <v>98.06</v>
      </c>
    </row>
    <row r="18601" spans="1:16" x14ac:dyDescent="0.25">
      <c r="A18601" t="s">
        <v>3296</v>
      </c>
      <c r="B18601" t="s">
        <v>2931</v>
      </c>
      <c r="C18601">
        <v>1015</v>
      </c>
      <c r="D18601" t="str">
        <f>"214127      "</f>
        <v xml:space="preserve">214127      </v>
      </c>
      <c r="E18601" t="s">
        <v>225</v>
      </c>
      <c r="F18601" t="s">
        <v>228</v>
      </c>
      <c r="G18601">
        <v>93.62</v>
      </c>
      <c r="H18601">
        <v>250129</v>
      </c>
      <c r="I18601">
        <v>4550</v>
      </c>
      <c r="J18601" t="s">
        <v>226</v>
      </c>
      <c r="K18601">
        <v>216.68</v>
      </c>
      <c r="L18601">
        <v>19.02</v>
      </c>
      <c r="M18601">
        <v>17915</v>
      </c>
      <c r="N18601" t="s">
        <v>305</v>
      </c>
      <c r="O18601">
        <v>250203</v>
      </c>
      <c r="P18601">
        <v>74.599999999999994</v>
      </c>
    </row>
    <row r="18602" spans="1:16" x14ac:dyDescent="0.25">
      <c r="A18602" t="s">
        <v>3296</v>
      </c>
      <c r="B18602" t="s">
        <v>2931</v>
      </c>
      <c r="C18602">
        <v>1038</v>
      </c>
      <c r="D18602" t="str">
        <f>"214199      "</f>
        <v xml:space="preserve">214199      </v>
      </c>
      <c r="E18602" t="s">
        <v>225</v>
      </c>
      <c r="F18602" t="s">
        <v>228</v>
      </c>
      <c r="G18602">
        <v>83.03</v>
      </c>
      <c r="H18602">
        <v>250129</v>
      </c>
      <c r="I18602">
        <v>4550</v>
      </c>
      <c r="J18602" t="s">
        <v>226</v>
      </c>
      <c r="K18602">
        <v>83.03</v>
      </c>
      <c r="L18602">
        <v>16.87</v>
      </c>
      <c r="M18602">
        <v>54222</v>
      </c>
      <c r="N18602" t="s">
        <v>48</v>
      </c>
      <c r="O18602">
        <v>250203</v>
      </c>
      <c r="P18602">
        <v>66.16</v>
      </c>
    </row>
    <row r="18603" spans="1:16" x14ac:dyDescent="0.25">
      <c r="A18603" t="s">
        <v>3296</v>
      </c>
      <c r="B18603" t="s">
        <v>2931</v>
      </c>
      <c r="C18603">
        <v>1214</v>
      </c>
      <c r="D18603" t="str">
        <f>"214701      "</f>
        <v xml:space="preserve">214701      </v>
      </c>
      <c r="E18603" t="s">
        <v>225</v>
      </c>
      <c r="F18603" t="s">
        <v>228</v>
      </c>
      <c r="G18603">
        <v>92.82</v>
      </c>
      <c r="H18603">
        <v>250131</v>
      </c>
      <c r="I18603">
        <v>4550</v>
      </c>
      <c r="J18603" t="s">
        <v>226</v>
      </c>
      <c r="K18603">
        <v>92.82</v>
      </c>
      <c r="L18603">
        <v>18.86</v>
      </c>
      <c r="M18603">
        <v>17951</v>
      </c>
      <c r="N18603" t="s">
        <v>207</v>
      </c>
      <c r="O18603">
        <v>250205</v>
      </c>
      <c r="P18603">
        <v>73.959999999999994</v>
      </c>
    </row>
    <row r="18604" spans="1:16" x14ac:dyDescent="0.25">
      <c r="A18604" t="s">
        <v>3296</v>
      </c>
      <c r="B18604" t="s">
        <v>2931</v>
      </c>
      <c r="C18604">
        <v>1374</v>
      </c>
      <c r="D18604" t="str">
        <f>"215024      "</f>
        <v xml:space="preserve">215024      </v>
      </c>
      <c r="E18604" t="s">
        <v>225</v>
      </c>
      <c r="F18604" t="s">
        <v>228</v>
      </c>
      <c r="G18604">
        <v>222.41</v>
      </c>
      <c r="H18604">
        <v>250203</v>
      </c>
      <c r="I18604">
        <v>4550</v>
      </c>
      <c r="J18604" t="s">
        <v>226</v>
      </c>
      <c r="K18604">
        <v>222.41</v>
      </c>
      <c r="L18604">
        <v>45.19</v>
      </c>
      <c r="M18604">
        <v>59114</v>
      </c>
      <c r="N18604" t="s">
        <v>299</v>
      </c>
      <c r="O18604">
        <v>250207</v>
      </c>
      <c r="P18604">
        <v>177.22</v>
      </c>
    </row>
    <row r="18605" spans="1:16" x14ac:dyDescent="0.25">
      <c r="A18605" t="s">
        <v>3296</v>
      </c>
      <c r="B18605" t="s">
        <v>2931</v>
      </c>
      <c r="C18605">
        <v>1477</v>
      </c>
      <c r="D18605" t="str">
        <f>"215493      "</f>
        <v xml:space="preserve">215493      </v>
      </c>
      <c r="E18605" t="s">
        <v>225</v>
      </c>
      <c r="F18605" t="s">
        <v>228</v>
      </c>
      <c r="G18605">
        <v>10.44</v>
      </c>
      <c r="H18605">
        <v>250205</v>
      </c>
      <c r="I18605">
        <v>4550</v>
      </c>
      <c r="J18605" t="s">
        <v>226</v>
      </c>
      <c r="K18605">
        <v>10.44</v>
      </c>
      <c r="L18605">
        <v>2.12</v>
      </c>
      <c r="M18605">
        <v>49111</v>
      </c>
      <c r="N18605" t="s">
        <v>108</v>
      </c>
      <c r="O18605">
        <v>250210</v>
      </c>
      <c r="P18605">
        <v>8.32</v>
      </c>
    </row>
    <row r="18606" spans="1:16" x14ac:dyDescent="0.25">
      <c r="A18606" t="s">
        <v>3296</v>
      </c>
      <c r="B18606" t="s">
        <v>2931</v>
      </c>
      <c r="C18606">
        <v>1591</v>
      </c>
      <c r="D18606" t="str">
        <f>"215494      "</f>
        <v xml:space="preserve">215494      </v>
      </c>
      <c r="E18606" t="s">
        <v>225</v>
      </c>
      <c r="F18606" t="s">
        <v>228</v>
      </c>
      <c r="G18606">
        <v>1036.3800000000001</v>
      </c>
      <c r="H18606">
        <v>250205</v>
      </c>
      <c r="I18606">
        <v>4550</v>
      </c>
      <c r="J18606" t="s">
        <v>226</v>
      </c>
      <c r="K18606">
        <v>1036.3800000000001</v>
      </c>
      <c r="L18606">
        <v>210.58</v>
      </c>
      <c r="M18606">
        <v>49501</v>
      </c>
      <c r="N18606" t="s">
        <v>110</v>
      </c>
      <c r="O18606">
        <v>250211</v>
      </c>
      <c r="P18606">
        <v>825.8</v>
      </c>
    </row>
    <row r="18607" spans="1:16" x14ac:dyDescent="0.25">
      <c r="A18607" t="s">
        <v>3296</v>
      </c>
      <c r="B18607" t="s">
        <v>2931</v>
      </c>
      <c r="C18607">
        <v>1595</v>
      </c>
      <c r="D18607" t="str">
        <f>"215491      "</f>
        <v xml:space="preserve">215491      </v>
      </c>
      <c r="E18607" t="s">
        <v>225</v>
      </c>
      <c r="F18607" t="s">
        <v>228</v>
      </c>
      <c r="G18607">
        <v>213.75</v>
      </c>
      <c r="H18607">
        <v>250205</v>
      </c>
      <c r="I18607">
        <v>4550</v>
      </c>
      <c r="J18607" t="s">
        <v>226</v>
      </c>
      <c r="K18607">
        <v>213.75</v>
      </c>
      <c r="L18607">
        <v>43.43</v>
      </c>
      <c r="M18607">
        <v>49111</v>
      </c>
      <c r="N18607" t="s">
        <v>108</v>
      </c>
      <c r="O18607">
        <v>250211</v>
      </c>
      <c r="P18607">
        <v>170.32</v>
      </c>
    </row>
    <row r="18608" spans="1:16" x14ac:dyDescent="0.25">
      <c r="A18608" t="s">
        <v>3296</v>
      </c>
      <c r="B18608" t="s">
        <v>2931</v>
      </c>
      <c r="C18608">
        <v>1608</v>
      </c>
      <c r="D18608" t="str">
        <f>"215490      "</f>
        <v xml:space="preserve">215490      </v>
      </c>
      <c r="E18608" t="s">
        <v>225</v>
      </c>
      <c r="F18608" t="s">
        <v>228</v>
      </c>
      <c r="G18608">
        <v>219.17</v>
      </c>
      <c r="H18608">
        <v>250205</v>
      </c>
      <c r="I18608">
        <v>4550</v>
      </c>
      <c r="J18608" t="s">
        <v>226</v>
      </c>
      <c r="K18608">
        <v>219.17</v>
      </c>
      <c r="L18608">
        <v>44.53</v>
      </c>
      <c r="M18608">
        <v>49501</v>
      </c>
      <c r="N18608" t="s">
        <v>110</v>
      </c>
      <c r="O18608">
        <v>250211</v>
      </c>
      <c r="P18608">
        <v>174.64</v>
      </c>
    </row>
    <row r="18609" spans="1:16" x14ac:dyDescent="0.25">
      <c r="A18609" t="s">
        <v>3296</v>
      </c>
      <c r="B18609" t="s">
        <v>2931</v>
      </c>
      <c r="C18609">
        <v>1609</v>
      </c>
      <c r="D18609" t="str">
        <f>"215492      "</f>
        <v xml:space="preserve">215492      </v>
      </c>
      <c r="E18609" t="s">
        <v>225</v>
      </c>
      <c r="F18609" t="s">
        <v>228</v>
      </c>
      <c r="G18609">
        <v>18.899999999999999</v>
      </c>
      <c r="H18609">
        <v>250205</v>
      </c>
      <c r="I18609">
        <v>4550</v>
      </c>
      <c r="J18609" t="s">
        <v>226</v>
      </c>
      <c r="K18609">
        <v>18.899999999999999</v>
      </c>
      <c r="L18609">
        <v>3.84</v>
      </c>
      <c r="M18609">
        <v>49501</v>
      </c>
      <c r="N18609" t="s">
        <v>110</v>
      </c>
      <c r="O18609">
        <v>250211</v>
      </c>
      <c r="P18609">
        <v>15.06</v>
      </c>
    </row>
    <row r="18610" spans="1:16" x14ac:dyDescent="0.25">
      <c r="A18610" t="s">
        <v>3296</v>
      </c>
      <c r="B18610" t="s">
        <v>2931</v>
      </c>
      <c r="C18610">
        <v>1865</v>
      </c>
      <c r="D18610" t="str">
        <f>"215856      "</f>
        <v xml:space="preserve">215856      </v>
      </c>
      <c r="E18610" t="s">
        <v>225</v>
      </c>
      <c r="F18610" t="s">
        <v>228</v>
      </c>
      <c r="G18610">
        <v>1109.52</v>
      </c>
      <c r="H18610">
        <v>250207</v>
      </c>
      <c r="I18610">
        <v>4550</v>
      </c>
      <c r="J18610" t="s">
        <v>226</v>
      </c>
      <c r="K18610">
        <v>1109.52</v>
      </c>
      <c r="L18610">
        <v>225.44</v>
      </c>
      <c r="M18610">
        <v>49501</v>
      </c>
      <c r="N18610" t="s">
        <v>110</v>
      </c>
      <c r="O18610">
        <v>250214</v>
      </c>
      <c r="P18610">
        <v>884.08</v>
      </c>
    </row>
    <row r="18611" spans="1:16" x14ac:dyDescent="0.25">
      <c r="A18611" t="s">
        <v>3296</v>
      </c>
      <c r="B18611" t="s">
        <v>2931</v>
      </c>
      <c r="C18611">
        <v>1877</v>
      </c>
      <c r="D18611" t="str">
        <f>"216054      "</f>
        <v xml:space="preserve">216054      </v>
      </c>
      <c r="E18611" t="s">
        <v>225</v>
      </c>
      <c r="F18611" t="s">
        <v>228</v>
      </c>
      <c r="G18611">
        <v>481.8</v>
      </c>
      <c r="H18611">
        <v>250210</v>
      </c>
      <c r="I18611">
        <v>4550</v>
      </c>
      <c r="J18611" t="s">
        <v>226</v>
      </c>
      <c r="K18611">
        <v>481.8</v>
      </c>
      <c r="L18611">
        <v>97.9</v>
      </c>
      <c r="M18611">
        <v>59505</v>
      </c>
      <c r="N18611" t="s">
        <v>194</v>
      </c>
      <c r="O18611">
        <v>250214</v>
      </c>
      <c r="P18611">
        <v>383.9</v>
      </c>
    </row>
    <row r="18612" spans="1:16" x14ac:dyDescent="0.25">
      <c r="A18612" t="s">
        <v>3296</v>
      </c>
      <c r="B18612" t="s">
        <v>2931</v>
      </c>
      <c r="C18612">
        <v>1879</v>
      </c>
      <c r="D18612" t="str">
        <f>"216067      "</f>
        <v xml:space="preserve">216067      </v>
      </c>
      <c r="E18612" t="s">
        <v>225</v>
      </c>
      <c r="F18612" t="s">
        <v>228</v>
      </c>
      <c r="G18612">
        <v>887.33</v>
      </c>
      <c r="H18612">
        <v>250210</v>
      </c>
      <c r="I18612">
        <v>4550</v>
      </c>
      <c r="J18612" t="s">
        <v>226</v>
      </c>
      <c r="K18612">
        <v>887.33</v>
      </c>
      <c r="L18612">
        <v>180.29</v>
      </c>
      <c r="M18612">
        <v>59504</v>
      </c>
      <c r="N18612" t="s">
        <v>193</v>
      </c>
      <c r="O18612">
        <v>250214</v>
      </c>
      <c r="P18612">
        <v>707.04</v>
      </c>
    </row>
    <row r="18613" spans="1:16" x14ac:dyDescent="0.25">
      <c r="A18613" t="s">
        <v>3296</v>
      </c>
      <c r="B18613" t="s">
        <v>2931</v>
      </c>
      <c r="C18613">
        <v>1888</v>
      </c>
      <c r="D18613" t="str">
        <f>"216459      "</f>
        <v xml:space="preserve">216459      </v>
      </c>
      <c r="E18613" t="s">
        <v>225</v>
      </c>
      <c r="F18613" t="s">
        <v>228</v>
      </c>
      <c r="G18613">
        <v>117.58</v>
      </c>
      <c r="H18613">
        <v>250212</v>
      </c>
      <c r="I18613">
        <v>4550</v>
      </c>
      <c r="J18613" t="s">
        <v>226</v>
      </c>
      <c r="K18613">
        <v>117.58</v>
      </c>
      <c r="L18613">
        <v>23.89</v>
      </c>
      <c r="M18613">
        <v>59503</v>
      </c>
      <c r="N18613" t="s">
        <v>766</v>
      </c>
      <c r="O18613">
        <v>250214</v>
      </c>
      <c r="P18613">
        <v>93.69</v>
      </c>
    </row>
    <row r="18614" spans="1:16" x14ac:dyDescent="0.25">
      <c r="A18614" t="s">
        <v>3296</v>
      </c>
      <c r="B18614" t="s">
        <v>2931</v>
      </c>
      <c r="C18614">
        <v>1890</v>
      </c>
      <c r="D18614" t="str">
        <f>"216631      "</f>
        <v xml:space="preserve">216631      </v>
      </c>
      <c r="E18614" t="s">
        <v>225</v>
      </c>
      <c r="F18614" t="s">
        <v>228</v>
      </c>
      <c r="G18614">
        <v>772</v>
      </c>
      <c r="H18614">
        <v>250212</v>
      </c>
      <c r="I18614">
        <v>4550</v>
      </c>
      <c r="J18614" t="s">
        <v>226</v>
      </c>
      <c r="K18614">
        <v>1265.78</v>
      </c>
      <c r="L18614">
        <v>156.86000000000001</v>
      </c>
      <c r="M18614">
        <v>59502</v>
      </c>
      <c r="N18614" t="s">
        <v>63</v>
      </c>
      <c r="O18614">
        <v>250214</v>
      </c>
      <c r="P18614">
        <v>615.14</v>
      </c>
    </row>
    <row r="18615" spans="1:16" x14ac:dyDescent="0.25">
      <c r="A18615" t="s">
        <v>3296</v>
      </c>
      <c r="B18615" t="s">
        <v>2931</v>
      </c>
      <c r="C18615">
        <v>1890</v>
      </c>
      <c r="D18615" t="str">
        <f>"216631      "</f>
        <v xml:space="preserve">216631      </v>
      </c>
      <c r="E18615" t="s">
        <v>225</v>
      </c>
      <c r="F18615" t="s">
        <v>228</v>
      </c>
      <c r="G18615">
        <v>493.78</v>
      </c>
      <c r="H18615">
        <v>250212</v>
      </c>
      <c r="I18615">
        <v>4550</v>
      </c>
      <c r="J18615" t="s">
        <v>226</v>
      </c>
      <c r="K18615">
        <v>1265.78</v>
      </c>
      <c r="L18615">
        <v>100.33</v>
      </c>
      <c r="M18615">
        <v>59802</v>
      </c>
      <c r="N18615" t="s">
        <v>195</v>
      </c>
      <c r="O18615">
        <v>250214</v>
      </c>
      <c r="P18615">
        <v>393.45</v>
      </c>
    </row>
    <row r="18616" spans="1:16" x14ac:dyDescent="0.25">
      <c r="A18616" t="s">
        <v>3296</v>
      </c>
      <c r="B18616" t="s">
        <v>2931</v>
      </c>
      <c r="C18616">
        <v>2196</v>
      </c>
      <c r="D18616" t="str">
        <f>"213793      "</f>
        <v xml:space="preserve">213793      </v>
      </c>
      <c r="E18616" t="s">
        <v>225</v>
      </c>
      <c r="F18616" t="s">
        <v>228</v>
      </c>
      <c r="G18616">
        <v>162.56</v>
      </c>
      <c r="H18616">
        <v>250201</v>
      </c>
      <c r="I18616">
        <v>4550</v>
      </c>
      <c r="J18616" t="s">
        <v>226</v>
      </c>
      <c r="K18616">
        <v>2011.56</v>
      </c>
      <c r="L18616">
        <v>33.03</v>
      </c>
      <c r="M18616">
        <v>13540</v>
      </c>
      <c r="N18616" t="s">
        <v>131</v>
      </c>
      <c r="O18616">
        <v>250221</v>
      </c>
      <c r="P18616">
        <v>129.53</v>
      </c>
    </row>
    <row r="18617" spans="1:16" x14ac:dyDescent="0.25">
      <c r="A18617" t="s">
        <v>3296</v>
      </c>
      <c r="B18617" t="s">
        <v>2931</v>
      </c>
      <c r="C18617">
        <v>2196</v>
      </c>
      <c r="D18617" t="str">
        <f>"213793      "</f>
        <v xml:space="preserve">213793      </v>
      </c>
      <c r="E18617" t="s">
        <v>225</v>
      </c>
      <c r="F18617" t="s">
        <v>228</v>
      </c>
      <c r="G18617">
        <v>19.2</v>
      </c>
      <c r="H18617">
        <v>250201</v>
      </c>
      <c r="I18617">
        <v>4550</v>
      </c>
      <c r="J18617" t="s">
        <v>226</v>
      </c>
      <c r="K18617">
        <v>2011.56</v>
      </c>
      <c r="L18617">
        <v>3.9</v>
      </c>
      <c r="M18617">
        <v>17533</v>
      </c>
      <c r="N18617" t="s">
        <v>147</v>
      </c>
      <c r="O18617">
        <v>250221</v>
      </c>
      <c r="P18617">
        <v>15.3</v>
      </c>
    </row>
    <row r="18618" spans="1:16" x14ac:dyDescent="0.25">
      <c r="A18618" t="s">
        <v>3296</v>
      </c>
      <c r="B18618" t="s">
        <v>2931</v>
      </c>
      <c r="C18618">
        <v>2196</v>
      </c>
      <c r="D18618" t="str">
        <f>"213793      "</f>
        <v xml:space="preserve">213793      </v>
      </c>
      <c r="E18618" t="s">
        <v>225</v>
      </c>
      <c r="F18618" t="s">
        <v>228</v>
      </c>
      <c r="G18618">
        <v>1108.4000000000001</v>
      </c>
      <c r="H18618">
        <v>250201</v>
      </c>
      <c r="I18618">
        <v>4550</v>
      </c>
      <c r="J18618" t="s">
        <v>226</v>
      </c>
      <c r="K18618">
        <v>2011.56</v>
      </c>
      <c r="L18618">
        <v>225.21</v>
      </c>
      <c r="M18618">
        <v>17950</v>
      </c>
      <c r="N18618" t="s">
        <v>132</v>
      </c>
      <c r="O18618">
        <v>250221</v>
      </c>
      <c r="P18618">
        <v>883.19</v>
      </c>
    </row>
    <row r="18619" spans="1:16" x14ac:dyDescent="0.25">
      <c r="A18619" t="s">
        <v>3296</v>
      </c>
      <c r="B18619" t="s">
        <v>2931</v>
      </c>
      <c r="C18619">
        <v>2196</v>
      </c>
      <c r="D18619" t="str">
        <f>"213793      "</f>
        <v xml:space="preserve">213793      </v>
      </c>
      <c r="E18619" t="s">
        <v>225</v>
      </c>
      <c r="F18619" t="s">
        <v>228</v>
      </c>
      <c r="G18619">
        <v>206.9</v>
      </c>
      <c r="H18619">
        <v>250201</v>
      </c>
      <c r="I18619">
        <v>4550</v>
      </c>
      <c r="J18619" t="s">
        <v>226</v>
      </c>
      <c r="K18619">
        <v>2011.56</v>
      </c>
      <c r="L18619">
        <v>42.04</v>
      </c>
      <c r="M18619">
        <v>17956</v>
      </c>
      <c r="N18619" t="s">
        <v>170</v>
      </c>
      <c r="O18619">
        <v>250221</v>
      </c>
      <c r="P18619">
        <v>164.86</v>
      </c>
    </row>
    <row r="18620" spans="1:16" x14ac:dyDescent="0.25">
      <c r="A18620" t="s">
        <v>3296</v>
      </c>
      <c r="B18620" t="s">
        <v>2931</v>
      </c>
      <c r="C18620">
        <v>2363</v>
      </c>
      <c r="D18620" t="str">
        <f>"217013      "</f>
        <v xml:space="preserve">217013      </v>
      </c>
      <c r="E18620" t="s">
        <v>225</v>
      </c>
      <c r="F18620" t="s">
        <v>228</v>
      </c>
      <c r="G18620">
        <v>1971.44</v>
      </c>
      <c r="H18620">
        <v>250217</v>
      </c>
      <c r="I18620">
        <v>4550</v>
      </c>
      <c r="J18620" t="s">
        <v>226</v>
      </c>
      <c r="K18620">
        <v>1971.44</v>
      </c>
      <c r="L18620">
        <v>400.57</v>
      </c>
      <c r="M18620">
        <v>59501</v>
      </c>
      <c r="N18620" t="s">
        <v>62</v>
      </c>
      <c r="O18620">
        <v>250224</v>
      </c>
      <c r="P18620">
        <v>1570.87</v>
      </c>
    </row>
    <row r="18621" spans="1:16" x14ac:dyDescent="0.25">
      <c r="A18621" t="s">
        <v>3296</v>
      </c>
      <c r="B18621" t="s">
        <v>2931</v>
      </c>
      <c r="C18621">
        <v>2366</v>
      </c>
      <c r="D18621" t="str">
        <f>"217045      "</f>
        <v xml:space="preserve">217045      </v>
      </c>
      <c r="E18621" t="s">
        <v>225</v>
      </c>
      <c r="F18621" t="s">
        <v>228</v>
      </c>
      <c r="G18621">
        <v>600.79999999999995</v>
      </c>
      <c r="H18621">
        <v>250217</v>
      </c>
      <c r="I18621">
        <v>4550</v>
      </c>
      <c r="J18621" t="s">
        <v>226</v>
      </c>
      <c r="K18621">
        <v>600.79999999999995</v>
      </c>
      <c r="L18621">
        <v>122.07</v>
      </c>
      <c r="M18621">
        <v>14951</v>
      </c>
      <c r="N18621" t="s">
        <v>186</v>
      </c>
      <c r="O18621">
        <v>250224</v>
      </c>
      <c r="P18621">
        <v>478.73</v>
      </c>
    </row>
    <row r="18622" spans="1:16" x14ac:dyDescent="0.25">
      <c r="A18622" t="s">
        <v>3296</v>
      </c>
      <c r="B18622" t="s">
        <v>2931</v>
      </c>
      <c r="C18622">
        <v>2771</v>
      </c>
      <c r="D18622" t="str">
        <f>"217822      "</f>
        <v xml:space="preserve">217822      </v>
      </c>
      <c r="E18622" t="s">
        <v>225</v>
      </c>
      <c r="F18622" t="s">
        <v>228</v>
      </c>
      <c r="G18622">
        <v>61.02</v>
      </c>
      <c r="H18622">
        <v>250221</v>
      </c>
      <c r="I18622">
        <v>4550</v>
      </c>
      <c r="J18622" t="s">
        <v>226</v>
      </c>
      <c r="K18622">
        <v>183.06</v>
      </c>
      <c r="L18622">
        <v>12.4</v>
      </c>
      <c r="M18622">
        <v>11401</v>
      </c>
      <c r="N18622" t="s">
        <v>91</v>
      </c>
      <c r="O18622">
        <v>250311</v>
      </c>
      <c r="P18622">
        <v>48.62</v>
      </c>
    </row>
    <row r="18623" spans="1:16" x14ac:dyDescent="0.25">
      <c r="A18623" t="s">
        <v>3296</v>
      </c>
      <c r="B18623" t="s">
        <v>2931</v>
      </c>
      <c r="C18623">
        <v>2771</v>
      </c>
      <c r="D18623" t="str">
        <f>"217822      "</f>
        <v xml:space="preserve">217822      </v>
      </c>
      <c r="E18623" t="s">
        <v>225</v>
      </c>
      <c r="F18623" t="s">
        <v>228</v>
      </c>
      <c r="G18623">
        <v>122.04</v>
      </c>
      <c r="H18623">
        <v>250221</v>
      </c>
      <c r="I18623">
        <v>4550</v>
      </c>
      <c r="J18623" t="s">
        <v>226</v>
      </c>
      <c r="K18623">
        <v>183.06</v>
      </c>
      <c r="L18623">
        <v>24.8</v>
      </c>
      <c r="M18623">
        <v>14952</v>
      </c>
      <c r="N18623" t="s">
        <v>213</v>
      </c>
      <c r="O18623">
        <v>250311</v>
      </c>
      <c r="P18623">
        <v>97.24</v>
      </c>
    </row>
    <row r="18624" spans="1:16" x14ac:dyDescent="0.25">
      <c r="A18624" t="s">
        <v>3296</v>
      </c>
      <c r="B18624" t="s">
        <v>2931</v>
      </c>
      <c r="C18624">
        <v>2870</v>
      </c>
      <c r="D18624" t="str">
        <f>"217907      "</f>
        <v xml:space="preserve">217907      </v>
      </c>
      <c r="E18624" t="s">
        <v>225</v>
      </c>
      <c r="F18624" t="s">
        <v>228</v>
      </c>
      <c r="G18624">
        <v>67.87</v>
      </c>
      <c r="H18624">
        <v>250224</v>
      </c>
      <c r="I18624">
        <v>4550</v>
      </c>
      <c r="J18624" t="s">
        <v>226</v>
      </c>
      <c r="K18624">
        <v>67.87</v>
      </c>
      <c r="L18624">
        <v>13.79</v>
      </c>
      <c r="M18624">
        <v>49501</v>
      </c>
      <c r="N18624" t="s">
        <v>110</v>
      </c>
      <c r="O18624">
        <v>250312</v>
      </c>
      <c r="P18624">
        <v>54.08</v>
      </c>
    </row>
    <row r="18625" spans="1:16" x14ac:dyDescent="0.25">
      <c r="A18625" t="s">
        <v>3296</v>
      </c>
      <c r="B18625" t="s">
        <v>2931</v>
      </c>
      <c r="C18625">
        <v>3481</v>
      </c>
      <c r="D18625" t="str">
        <f>"218849      "</f>
        <v xml:space="preserve">218849      </v>
      </c>
      <c r="E18625" t="s">
        <v>225</v>
      </c>
      <c r="F18625" t="s">
        <v>228</v>
      </c>
      <c r="G18625">
        <v>152.31</v>
      </c>
      <c r="H18625">
        <v>250303</v>
      </c>
      <c r="I18625">
        <v>4550</v>
      </c>
      <c r="J18625" t="s">
        <v>226</v>
      </c>
      <c r="K18625">
        <v>152.31</v>
      </c>
      <c r="L18625">
        <v>30.95</v>
      </c>
      <c r="M18625">
        <v>59505</v>
      </c>
      <c r="N18625" t="s">
        <v>194</v>
      </c>
      <c r="O18625">
        <v>250324</v>
      </c>
      <c r="P18625">
        <v>121.36</v>
      </c>
    </row>
    <row r="18626" spans="1:16" x14ac:dyDescent="0.25">
      <c r="A18626" t="s">
        <v>3296</v>
      </c>
      <c r="B18626" t="s">
        <v>2931</v>
      </c>
      <c r="C18626">
        <v>3535</v>
      </c>
      <c r="D18626" t="str">
        <f>"218830      "</f>
        <v xml:space="preserve">218830      </v>
      </c>
      <c r="E18626" t="s">
        <v>225</v>
      </c>
      <c r="F18626" t="s">
        <v>228</v>
      </c>
      <c r="G18626">
        <v>653.15</v>
      </c>
      <c r="H18626">
        <v>250303</v>
      </c>
      <c r="I18626">
        <v>4550</v>
      </c>
      <c r="J18626" t="s">
        <v>226</v>
      </c>
      <c r="K18626">
        <v>675.56</v>
      </c>
      <c r="L18626">
        <v>132.71</v>
      </c>
      <c r="M18626">
        <v>59501</v>
      </c>
      <c r="N18626" t="s">
        <v>62</v>
      </c>
      <c r="O18626">
        <v>250325</v>
      </c>
      <c r="P18626">
        <v>520.44000000000005</v>
      </c>
    </row>
    <row r="18627" spans="1:16" x14ac:dyDescent="0.25">
      <c r="A18627" t="s">
        <v>3296</v>
      </c>
      <c r="B18627" t="s">
        <v>2931</v>
      </c>
      <c r="C18627">
        <v>3571</v>
      </c>
      <c r="D18627" t="str">
        <f>"219560      "</f>
        <v xml:space="preserve">219560      </v>
      </c>
      <c r="E18627" t="s">
        <v>225</v>
      </c>
      <c r="F18627" t="s">
        <v>228</v>
      </c>
      <c r="G18627">
        <v>806.53</v>
      </c>
      <c r="H18627">
        <v>250306</v>
      </c>
      <c r="I18627">
        <v>4550</v>
      </c>
      <c r="J18627" t="s">
        <v>226</v>
      </c>
      <c r="K18627">
        <v>806.53</v>
      </c>
      <c r="L18627">
        <v>163.88</v>
      </c>
      <c r="M18627">
        <v>49501</v>
      </c>
      <c r="N18627" t="s">
        <v>110</v>
      </c>
      <c r="O18627">
        <v>250325</v>
      </c>
      <c r="P18627">
        <v>642.65</v>
      </c>
    </row>
    <row r="18628" spans="1:16" x14ac:dyDescent="0.25">
      <c r="A18628" t="s">
        <v>3296</v>
      </c>
      <c r="B18628" t="s">
        <v>2931</v>
      </c>
      <c r="C18628">
        <v>3580</v>
      </c>
      <c r="D18628" t="str">
        <f>"219778      "</f>
        <v xml:space="preserve">219778      </v>
      </c>
      <c r="E18628" t="s">
        <v>225</v>
      </c>
      <c r="F18628" t="s">
        <v>228</v>
      </c>
      <c r="G18628">
        <v>125.15</v>
      </c>
      <c r="H18628">
        <v>250307</v>
      </c>
      <c r="I18628">
        <v>4550</v>
      </c>
      <c r="J18628" t="s">
        <v>226</v>
      </c>
      <c r="K18628">
        <v>125.15</v>
      </c>
      <c r="L18628">
        <v>25.43</v>
      </c>
      <c r="M18628">
        <v>54222</v>
      </c>
      <c r="N18628" t="s">
        <v>48</v>
      </c>
      <c r="O18628">
        <v>250325</v>
      </c>
      <c r="P18628">
        <v>99.72</v>
      </c>
    </row>
    <row r="18629" spans="1:16" x14ac:dyDescent="0.25">
      <c r="A18629" t="s">
        <v>3296</v>
      </c>
      <c r="B18629" t="s">
        <v>2931</v>
      </c>
      <c r="C18629">
        <v>4139</v>
      </c>
      <c r="D18629" t="str">
        <f>"221419      "</f>
        <v xml:space="preserve">221419      </v>
      </c>
      <c r="E18629" t="s">
        <v>225</v>
      </c>
      <c r="F18629" t="s">
        <v>228</v>
      </c>
      <c r="G18629">
        <v>155.02000000000001</v>
      </c>
      <c r="H18629">
        <v>250319</v>
      </c>
      <c r="I18629">
        <v>4550</v>
      </c>
      <c r="J18629" t="s">
        <v>226</v>
      </c>
      <c r="K18629">
        <v>155.02000000000001</v>
      </c>
      <c r="L18629">
        <v>31.5</v>
      </c>
      <c r="M18629">
        <v>59505</v>
      </c>
      <c r="N18629" t="s">
        <v>194</v>
      </c>
      <c r="O18629">
        <v>250407</v>
      </c>
      <c r="P18629">
        <v>123.52</v>
      </c>
    </row>
    <row r="18630" spans="1:16" x14ac:dyDescent="0.25">
      <c r="A18630" t="s">
        <v>3296</v>
      </c>
      <c r="B18630" t="s">
        <v>2931</v>
      </c>
      <c r="C18630">
        <v>4148</v>
      </c>
      <c r="D18630" t="str">
        <f>"221281      "</f>
        <v xml:space="preserve">221281      </v>
      </c>
      <c r="E18630" t="s">
        <v>225</v>
      </c>
      <c r="F18630" t="s">
        <v>228</v>
      </c>
      <c r="G18630">
        <v>487.97</v>
      </c>
      <c r="H18630">
        <v>250319</v>
      </c>
      <c r="I18630">
        <v>4550</v>
      </c>
      <c r="J18630" t="s">
        <v>226</v>
      </c>
      <c r="K18630">
        <v>487.97</v>
      </c>
      <c r="L18630">
        <v>99.15</v>
      </c>
      <c r="M18630">
        <v>17952</v>
      </c>
      <c r="N18630" t="s">
        <v>157</v>
      </c>
      <c r="O18630">
        <v>250408</v>
      </c>
      <c r="P18630">
        <v>388.82</v>
      </c>
    </row>
    <row r="18631" spans="1:16" x14ac:dyDescent="0.25">
      <c r="A18631" t="s">
        <v>3296</v>
      </c>
      <c r="B18631" t="s">
        <v>2931</v>
      </c>
      <c r="C18631">
        <v>4318</v>
      </c>
      <c r="D18631" t="str">
        <f>"221714      "</f>
        <v xml:space="preserve">221714      </v>
      </c>
      <c r="E18631" t="s">
        <v>225</v>
      </c>
      <c r="F18631" t="s">
        <v>228</v>
      </c>
      <c r="G18631">
        <v>73.55</v>
      </c>
      <c r="H18631">
        <v>250320</v>
      </c>
      <c r="I18631">
        <v>4550</v>
      </c>
      <c r="J18631" t="s">
        <v>226</v>
      </c>
      <c r="K18631">
        <v>813.27</v>
      </c>
      <c r="L18631">
        <v>14.94</v>
      </c>
      <c r="M18631">
        <v>13540</v>
      </c>
      <c r="N18631" t="s">
        <v>131</v>
      </c>
      <c r="O18631">
        <v>250410</v>
      </c>
      <c r="P18631">
        <v>58.61</v>
      </c>
    </row>
    <row r="18632" spans="1:16" x14ac:dyDescent="0.25">
      <c r="A18632" t="s">
        <v>3296</v>
      </c>
      <c r="B18632" t="s">
        <v>2931</v>
      </c>
      <c r="C18632">
        <v>4318</v>
      </c>
      <c r="D18632" t="str">
        <f>"221714      "</f>
        <v xml:space="preserve">221714      </v>
      </c>
      <c r="E18632" t="s">
        <v>225</v>
      </c>
      <c r="F18632" t="s">
        <v>228</v>
      </c>
      <c r="G18632">
        <v>501.46</v>
      </c>
      <c r="H18632">
        <v>250320</v>
      </c>
      <c r="I18632">
        <v>4550</v>
      </c>
      <c r="J18632" t="s">
        <v>226</v>
      </c>
      <c r="K18632">
        <v>813.27</v>
      </c>
      <c r="L18632">
        <v>101.89</v>
      </c>
      <c r="M18632">
        <v>17950</v>
      </c>
      <c r="N18632" t="s">
        <v>132</v>
      </c>
      <c r="O18632">
        <v>250410</v>
      </c>
      <c r="P18632">
        <v>399.57</v>
      </c>
    </row>
    <row r="18633" spans="1:16" x14ac:dyDescent="0.25">
      <c r="A18633" t="s">
        <v>3296</v>
      </c>
      <c r="B18633" t="s">
        <v>2931</v>
      </c>
      <c r="C18633">
        <v>4318</v>
      </c>
      <c r="D18633" t="str">
        <f>"221714      "</f>
        <v xml:space="preserve">221714      </v>
      </c>
      <c r="E18633" t="s">
        <v>225</v>
      </c>
      <c r="F18633" t="s">
        <v>228</v>
      </c>
      <c r="G18633">
        <v>93.61</v>
      </c>
      <c r="H18633">
        <v>250320</v>
      </c>
      <c r="I18633">
        <v>4550</v>
      </c>
      <c r="J18633" t="s">
        <v>226</v>
      </c>
      <c r="K18633">
        <v>813.27</v>
      </c>
      <c r="L18633">
        <v>19.02</v>
      </c>
      <c r="M18633">
        <v>17956</v>
      </c>
      <c r="N18633" t="s">
        <v>170</v>
      </c>
      <c r="O18633">
        <v>250410</v>
      </c>
      <c r="P18633">
        <v>74.59</v>
      </c>
    </row>
    <row r="18634" spans="1:16" x14ac:dyDescent="0.25">
      <c r="A18634" t="s">
        <v>3296</v>
      </c>
      <c r="B18634" t="s">
        <v>2931</v>
      </c>
      <c r="C18634">
        <v>4550</v>
      </c>
      <c r="D18634" t="str">
        <f>"222159      "</f>
        <v xml:space="preserve">222159      </v>
      </c>
      <c r="E18634" t="s">
        <v>225</v>
      </c>
      <c r="F18634" t="s">
        <v>228</v>
      </c>
      <c r="G18634">
        <v>263.07</v>
      </c>
      <c r="H18634">
        <v>250325</v>
      </c>
      <c r="I18634">
        <v>4550</v>
      </c>
      <c r="J18634" t="s">
        <v>226</v>
      </c>
      <c r="K18634">
        <v>263.07</v>
      </c>
      <c r="L18634">
        <v>53.45</v>
      </c>
      <c r="M18634">
        <v>59504</v>
      </c>
      <c r="N18634" t="s">
        <v>193</v>
      </c>
      <c r="O18634">
        <v>250414</v>
      </c>
      <c r="P18634">
        <v>209.62</v>
      </c>
    </row>
    <row r="18635" spans="1:16" x14ac:dyDescent="0.25">
      <c r="A18635" t="s">
        <v>3296</v>
      </c>
      <c r="B18635" t="s">
        <v>2931</v>
      </c>
      <c r="C18635">
        <v>5401</v>
      </c>
      <c r="D18635" t="str">
        <f>"223896      "</f>
        <v xml:space="preserve">223896      </v>
      </c>
      <c r="E18635" t="s">
        <v>225</v>
      </c>
      <c r="F18635" t="s">
        <v>228</v>
      </c>
      <c r="G18635">
        <v>60.68</v>
      </c>
      <c r="H18635">
        <v>250408</v>
      </c>
      <c r="I18635">
        <v>4550</v>
      </c>
      <c r="J18635" t="s">
        <v>226</v>
      </c>
      <c r="K18635">
        <v>182.04</v>
      </c>
      <c r="L18635">
        <v>12.33</v>
      </c>
      <c r="M18635">
        <v>11401</v>
      </c>
      <c r="N18635" t="s">
        <v>91</v>
      </c>
      <c r="O18635">
        <v>250424</v>
      </c>
      <c r="P18635">
        <v>48.35</v>
      </c>
    </row>
    <row r="18636" spans="1:16" x14ac:dyDescent="0.25">
      <c r="A18636" t="s">
        <v>3296</v>
      </c>
      <c r="B18636" t="s">
        <v>2931</v>
      </c>
      <c r="C18636">
        <v>5401</v>
      </c>
      <c r="D18636" t="str">
        <f>"223896      "</f>
        <v xml:space="preserve">223896      </v>
      </c>
      <c r="E18636" t="s">
        <v>225</v>
      </c>
      <c r="F18636" t="s">
        <v>228</v>
      </c>
      <c r="G18636">
        <v>121.36</v>
      </c>
      <c r="H18636">
        <v>250408</v>
      </c>
      <c r="I18636">
        <v>4550</v>
      </c>
      <c r="J18636" t="s">
        <v>226</v>
      </c>
      <c r="K18636">
        <v>182.04</v>
      </c>
      <c r="L18636">
        <v>24.66</v>
      </c>
      <c r="M18636">
        <v>14952</v>
      </c>
      <c r="N18636" t="s">
        <v>213</v>
      </c>
      <c r="O18636">
        <v>250424</v>
      </c>
      <c r="P18636">
        <v>96.7</v>
      </c>
    </row>
    <row r="18637" spans="1:16" x14ac:dyDescent="0.25">
      <c r="A18637" t="s">
        <v>3296</v>
      </c>
      <c r="B18637" t="s">
        <v>2931</v>
      </c>
      <c r="C18637">
        <v>5479</v>
      </c>
      <c r="D18637" t="str">
        <f>"224007      "</f>
        <v xml:space="preserve">224007      </v>
      </c>
      <c r="E18637" t="s">
        <v>225</v>
      </c>
      <c r="F18637" t="s">
        <v>228</v>
      </c>
      <c r="G18637">
        <v>448.02</v>
      </c>
      <c r="H18637">
        <v>250409</v>
      </c>
      <c r="I18637">
        <v>4550</v>
      </c>
      <c r="J18637" t="s">
        <v>226</v>
      </c>
      <c r="K18637">
        <v>448.02</v>
      </c>
      <c r="L18637">
        <v>91.03</v>
      </c>
      <c r="M18637">
        <v>54451</v>
      </c>
      <c r="N18637" t="s">
        <v>218</v>
      </c>
      <c r="O18637">
        <v>250424</v>
      </c>
      <c r="P18637">
        <v>356.99</v>
      </c>
    </row>
    <row r="18638" spans="1:16" x14ac:dyDescent="0.25">
      <c r="A18638" t="s">
        <v>3296</v>
      </c>
      <c r="B18638" t="s">
        <v>2931</v>
      </c>
      <c r="C18638">
        <v>5705</v>
      </c>
      <c r="D18638" t="str">
        <f>"225912      "</f>
        <v xml:space="preserve">225912      </v>
      </c>
      <c r="E18638" t="s">
        <v>225</v>
      </c>
      <c r="F18638" t="s">
        <v>228</v>
      </c>
      <c r="G18638">
        <v>65.7</v>
      </c>
      <c r="H18638">
        <v>250423</v>
      </c>
      <c r="I18638">
        <v>4550</v>
      </c>
      <c r="J18638" t="s">
        <v>226</v>
      </c>
      <c r="K18638">
        <v>65.7</v>
      </c>
      <c r="L18638">
        <v>13.35</v>
      </c>
      <c r="M18638">
        <v>59505</v>
      </c>
      <c r="N18638" t="s">
        <v>194</v>
      </c>
      <c r="O18638">
        <v>250429</v>
      </c>
      <c r="P18638">
        <v>52.35</v>
      </c>
    </row>
    <row r="18639" spans="1:16" x14ac:dyDescent="0.25">
      <c r="A18639" t="s">
        <v>3296</v>
      </c>
      <c r="B18639" t="s">
        <v>2931</v>
      </c>
      <c r="C18639">
        <v>6389</v>
      </c>
      <c r="D18639" t="str">
        <f>"225952      "</f>
        <v xml:space="preserve">225952      </v>
      </c>
      <c r="E18639" t="s">
        <v>225</v>
      </c>
      <c r="F18639" t="s">
        <v>228</v>
      </c>
      <c r="G18639">
        <v>229.14</v>
      </c>
      <c r="H18639">
        <v>250424</v>
      </c>
      <c r="I18639">
        <v>4550</v>
      </c>
      <c r="J18639" t="s">
        <v>226</v>
      </c>
      <c r="K18639">
        <v>229.14</v>
      </c>
      <c r="L18639">
        <v>46.56</v>
      </c>
      <c r="M18639">
        <v>14952</v>
      </c>
      <c r="N18639" t="s">
        <v>213</v>
      </c>
      <c r="O18639">
        <v>250513</v>
      </c>
      <c r="P18639">
        <v>182.58</v>
      </c>
    </row>
    <row r="18640" spans="1:16" x14ac:dyDescent="0.25">
      <c r="A18640" t="s">
        <v>3296</v>
      </c>
      <c r="B18640" t="s">
        <v>2931</v>
      </c>
      <c r="C18640">
        <v>6634</v>
      </c>
      <c r="D18640" t="str">
        <f>"227233      "</f>
        <v xml:space="preserve">227233      </v>
      </c>
      <c r="E18640" t="s">
        <v>225</v>
      </c>
      <c r="F18640" t="s">
        <v>228</v>
      </c>
      <c r="G18640">
        <v>1026.6500000000001</v>
      </c>
      <c r="H18640">
        <v>250502</v>
      </c>
      <c r="I18640">
        <v>4550</v>
      </c>
      <c r="J18640" t="s">
        <v>226</v>
      </c>
      <c r="K18640">
        <v>1064.17</v>
      </c>
      <c r="L18640">
        <v>208.6</v>
      </c>
      <c r="M18640">
        <v>49501</v>
      </c>
      <c r="N18640" t="s">
        <v>110</v>
      </c>
      <c r="O18640">
        <v>250514</v>
      </c>
      <c r="P18640">
        <v>818.05</v>
      </c>
    </row>
    <row r="18641" spans="1:16" x14ac:dyDescent="0.25">
      <c r="A18641" t="s">
        <v>3296</v>
      </c>
      <c r="B18641" t="s">
        <v>2931</v>
      </c>
      <c r="C18641">
        <v>6634</v>
      </c>
      <c r="D18641" t="str">
        <f>"227233      "</f>
        <v xml:space="preserve">227233      </v>
      </c>
      <c r="E18641" t="s">
        <v>225</v>
      </c>
      <c r="F18641" t="s">
        <v>228</v>
      </c>
      <c r="G18641">
        <v>37.520000000000003</v>
      </c>
      <c r="H18641">
        <v>250502</v>
      </c>
      <c r="I18641">
        <v>4550</v>
      </c>
      <c r="J18641" t="s">
        <v>226</v>
      </c>
      <c r="K18641">
        <v>1064.17</v>
      </c>
      <c r="L18641">
        <v>7.62</v>
      </c>
      <c r="M18641">
        <v>49503</v>
      </c>
      <c r="N18641" t="s">
        <v>267</v>
      </c>
      <c r="O18641">
        <v>250514</v>
      </c>
      <c r="P18641">
        <v>29.9</v>
      </c>
    </row>
    <row r="18642" spans="1:16" x14ac:dyDescent="0.25">
      <c r="A18642" t="s">
        <v>3296</v>
      </c>
      <c r="B18642" t="s">
        <v>2931</v>
      </c>
      <c r="C18642">
        <v>6636</v>
      </c>
      <c r="D18642" t="str">
        <f>"227231      "</f>
        <v xml:space="preserve">227231      </v>
      </c>
      <c r="E18642" t="s">
        <v>225</v>
      </c>
      <c r="F18642" t="s">
        <v>228</v>
      </c>
      <c r="G18642">
        <v>2720.64</v>
      </c>
      <c r="H18642">
        <v>250502</v>
      </c>
      <c r="I18642">
        <v>4550</v>
      </c>
      <c r="J18642" t="s">
        <v>226</v>
      </c>
      <c r="K18642">
        <v>2826.99</v>
      </c>
      <c r="L18642">
        <v>552.79999999999995</v>
      </c>
      <c r="M18642">
        <v>49501</v>
      </c>
      <c r="N18642" t="s">
        <v>110</v>
      </c>
      <c r="O18642">
        <v>250514</v>
      </c>
      <c r="P18642">
        <v>2167.84</v>
      </c>
    </row>
    <row r="18643" spans="1:16" x14ac:dyDescent="0.25">
      <c r="A18643" t="s">
        <v>3296</v>
      </c>
      <c r="B18643" t="s">
        <v>2931</v>
      </c>
      <c r="C18643">
        <v>6636</v>
      </c>
      <c r="D18643" t="str">
        <f>"227231      "</f>
        <v xml:space="preserve">227231      </v>
      </c>
      <c r="E18643" t="s">
        <v>225</v>
      </c>
      <c r="F18643" t="s">
        <v>228</v>
      </c>
      <c r="G18643">
        <v>106.35</v>
      </c>
      <c r="H18643">
        <v>250502</v>
      </c>
      <c r="I18643">
        <v>4550</v>
      </c>
      <c r="J18643" t="s">
        <v>226</v>
      </c>
      <c r="K18643">
        <v>2826.99</v>
      </c>
      <c r="L18643">
        <v>21.61</v>
      </c>
      <c r="M18643">
        <v>49503</v>
      </c>
      <c r="N18643" t="s">
        <v>267</v>
      </c>
      <c r="O18643">
        <v>250514</v>
      </c>
      <c r="P18643">
        <v>84.74</v>
      </c>
    </row>
    <row r="18644" spans="1:16" x14ac:dyDescent="0.25">
      <c r="A18644" t="s">
        <v>3296</v>
      </c>
      <c r="B18644" t="s">
        <v>2931</v>
      </c>
      <c r="C18644">
        <v>6808</v>
      </c>
      <c r="D18644" t="str">
        <f>"227982      "</f>
        <v xml:space="preserve">227982      </v>
      </c>
      <c r="E18644" t="s">
        <v>225</v>
      </c>
      <c r="F18644" t="s">
        <v>228</v>
      </c>
      <c r="G18644">
        <v>127.48</v>
      </c>
      <c r="H18644">
        <v>250507</v>
      </c>
      <c r="I18644">
        <v>4550</v>
      </c>
      <c r="J18644" t="s">
        <v>226</v>
      </c>
      <c r="K18644">
        <v>260.08</v>
      </c>
      <c r="L18644">
        <v>25.9</v>
      </c>
      <c r="M18644">
        <v>49501</v>
      </c>
      <c r="N18644" t="s">
        <v>110</v>
      </c>
      <c r="O18644">
        <v>250516</v>
      </c>
      <c r="P18644">
        <v>101.58</v>
      </c>
    </row>
    <row r="18645" spans="1:16" x14ac:dyDescent="0.25">
      <c r="A18645" t="s">
        <v>3296</v>
      </c>
      <c r="B18645" t="s">
        <v>2931</v>
      </c>
      <c r="C18645">
        <v>6808</v>
      </c>
      <c r="D18645" t="str">
        <f>"227982      "</f>
        <v xml:space="preserve">227982      </v>
      </c>
      <c r="E18645" t="s">
        <v>225</v>
      </c>
      <c r="F18645" t="s">
        <v>228</v>
      </c>
      <c r="G18645">
        <v>132.6</v>
      </c>
      <c r="H18645">
        <v>250507</v>
      </c>
      <c r="I18645">
        <v>4550</v>
      </c>
      <c r="J18645" t="s">
        <v>226</v>
      </c>
      <c r="K18645">
        <v>260.08</v>
      </c>
      <c r="L18645">
        <v>26.94</v>
      </c>
      <c r="M18645">
        <v>49503</v>
      </c>
      <c r="N18645" t="s">
        <v>267</v>
      </c>
      <c r="O18645">
        <v>250516</v>
      </c>
      <c r="P18645">
        <v>105.66</v>
      </c>
    </row>
    <row r="18646" spans="1:16" x14ac:dyDescent="0.25">
      <c r="A18646" t="s">
        <v>3296</v>
      </c>
      <c r="B18646" t="s">
        <v>2931</v>
      </c>
      <c r="C18646">
        <v>6810</v>
      </c>
      <c r="D18646" t="str">
        <f>"227809      "</f>
        <v xml:space="preserve">227809      </v>
      </c>
      <c r="E18646" t="s">
        <v>225</v>
      </c>
      <c r="F18646" t="s">
        <v>228</v>
      </c>
      <c r="G18646">
        <v>422.06</v>
      </c>
      <c r="H18646">
        <v>250507</v>
      </c>
      <c r="I18646">
        <v>4550</v>
      </c>
      <c r="J18646" t="s">
        <v>226</v>
      </c>
      <c r="K18646">
        <v>422.06</v>
      </c>
      <c r="L18646">
        <v>85.76</v>
      </c>
      <c r="M18646">
        <v>49501</v>
      </c>
      <c r="N18646" t="s">
        <v>110</v>
      </c>
      <c r="O18646">
        <v>250516</v>
      </c>
      <c r="P18646">
        <v>336.3</v>
      </c>
    </row>
    <row r="18647" spans="1:16" x14ac:dyDescent="0.25">
      <c r="A18647" t="s">
        <v>3296</v>
      </c>
      <c r="B18647" t="s">
        <v>2931</v>
      </c>
      <c r="C18647">
        <v>7055</v>
      </c>
      <c r="D18647" t="str">
        <f>"227953      "</f>
        <v xml:space="preserve">227953      </v>
      </c>
      <c r="E18647" t="s">
        <v>225</v>
      </c>
      <c r="F18647" t="s">
        <v>228</v>
      </c>
      <c r="G18647">
        <v>107.51</v>
      </c>
      <c r="H18647">
        <v>250507</v>
      </c>
      <c r="I18647">
        <v>4550</v>
      </c>
      <c r="J18647" t="s">
        <v>226</v>
      </c>
      <c r="K18647">
        <v>1218.83</v>
      </c>
      <c r="L18647">
        <v>21.84</v>
      </c>
      <c r="M18647">
        <v>13540</v>
      </c>
      <c r="N18647" t="s">
        <v>131</v>
      </c>
      <c r="O18647">
        <v>250522</v>
      </c>
      <c r="P18647">
        <v>85.67</v>
      </c>
    </row>
    <row r="18648" spans="1:16" x14ac:dyDescent="0.25">
      <c r="A18648" t="s">
        <v>3296</v>
      </c>
      <c r="B18648" t="s">
        <v>2931</v>
      </c>
      <c r="C18648">
        <v>7055</v>
      </c>
      <c r="D18648" t="str">
        <f>"227953      "</f>
        <v xml:space="preserve">227953      </v>
      </c>
      <c r="E18648" t="s">
        <v>225</v>
      </c>
      <c r="F18648" t="s">
        <v>228</v>
      </c>
      <c r="G18648">
        <v>733.04</v>
      </c>
      <c r="H18648">
        <v>250507</v>
      </c>
      <c r="I18648">
        <v>4550</v>
      </c>
      <c r="J18648" t="s">
        <v>226</v>
      </c>
      <c r="K18648">
        <v>1218.83</v>
      </c>
      <c r="L18648">
        <v>148.94</v>
      </c>
      <c r="M18648">
        <v>17950</v>
      </c>
      <c r="N18648" t="s">
        <v>132</v>
      </c>
      <c r="O18648">
        <v>250522</v>
      </c>
      <c r="P18648">
        <v>584.1</v>
      </c>
    </row>
    <row r="18649" spans="1:16" x14ac:dyDescent="0.25">
      <c r="A18649" t="s">
        <v>3296</v>
      </c>
      <c r="B18649" t="s">
        <v>2931</v>
      </c>
      <c r="C18649">
        <v>7055</v>
      </c>
      <c r="D18649" t="str">
        <f>"227953      "</f>
        <v xml:space="preserve">227953      </v>
      </c>
      <c r="E18649" t="s">
        <v>225</v>
      </c>
      <c r="F18649" t="s">
        <v>228</v>
      </c>
      <c r="G18649">
        <v>136.83000000000001</v>
      </c>
      <c r="H18649">
        <v>250507</v>
      </c>
      <c r="I18649">
        <v>4550</v>
      </c>
      <c r="J18649" t="s">
        <v>226</v>
      </c>
      <c r="K18649">
        <v>1218.83</v>
      </c>
      <c r="L18649">
        <v>27.8</v>
      </c>
      <c r="M18649">
        <v>17956</v>
      </c>
      <c r="N18649" t="s">
        <v>170</v>
      </c>
      <c r="O18649">
        <v>250522</v>
      </c>
      <c r="P18649">
        <v>109.03</v>
      </c>
    </row>
    <row r="18650" spans="1:16" x14ac:dyDescent="0.25">
      <c r="A18650" t="s">
        <v>3296</v>
      </c>
      <c r="B18650" t="s">
        <v>2931</v>
      </c>
      <c r="C18650">
        <v>7077</v>
      </c>
      <c r="D18650" t="str">
        <f>"228425      "</f>
        <v xml:space="preserve">228425      </v>
      </c>
      <c r="E18650" t="s">
        <v>225</v>
      </c>
      <c r="F18650" t="s">
        <v>228</v>
      </c>
      <c r="G18650">
        <v>150</v>
      </c>
      <c r="H18650">
        <v>250512</v>
      </c>
      <c r="I18650">
        <v>4550</v>
      </c>
      <c r="J18650" t="s">
        <v>226</v>
      </c>
      <c r="K18650">
        <v>840.8</v>
      </c>
      <c r="L18650">
        <v>30.48</v>
      </c>
      <c r="M18650">
        <v>16431</v>
      </c>
      <c r="N18650" t="s">
        <v>17</v>
      </c>
      <c r="O18650">
        <v>250522</v>
      </c>
      <c r="P18650">
        <v>119.52</v>
      </c>
    </row>
    <row r="18651" spans="1:16" x14ac:dyDescent="0.25">
      <c r="A18651" t="s">
        <v>3296</v>
      </c>
      <c r="B18651" t="s">
        <v>2931</v>
      </c>
      <c r="C18651">
        <v>7077</v>
      </c>
      <c r="D18651" t="str">
        <f>"228425      "</f>
        <v xml:space="preserve">228425      </v>
      </c>
      <c r="E18651" t="s">
        <v>225</v>
      </c>
      <c r="F18651" t="s">
        <v>228</v>
      </c>
      <c r="G18651">
        <v>472.61</v>
      </c>
      <c r="H18651">
        <v>250512</v>
      </c>
      <c r="I18651">
        <v>4550</v>
      </c>
      <c r="J18651" t="s">
        <v>226</v>
      </c>
      <c r="K18651">
        <v>840.8</v>
      </c>
      <c r="L18651">
        <v>96.03</v>
      </c>
      <c r="M18651">
        <v>17913</v>
      </c>
      <c r="N18651" t="s">
        <v>26</v>
      </c>
      <c r="O18651">
        <v>250522</v>
      </c>
      <c r="P18651">
        <v>376.58</v>
      </c>
    </row>
    <row r="18652" spans="1:16" x14ac:dyDescent="0.25">
      <c r="A18652" t="s">
        <v>3296</v>
      </c>
      <c r="B18652" t="s">
        <v>2931</v>
      </c>
      <c r="C18652">
        <v>7077</v>
      </c>
      <c r="D18652" t="str">
        <f>"228425      "</f>
        <v xml:space="preserve">228425      </v>
      </c>
      <c r="E18652" t="s">
        <v>225</v>
      </c>
      <c r="F18652" t="s">
        <v>228</v>
      </c>
      <c r="G18652">
        <v>218.19</v>
      </c>
      <c r="H18652">
        <v>250512</v>
      </c>
      <c r="I18652">
        <v>4550</v>
      </c>
      <c r="J18652" t="s">
        <v>226</v>
      </c>
      <c r="K18652">
        <v>840.8</v>
      </c>
      <c r="L18652">
        <v>44.33</v>
      </c>
      <c r="M18652">
        <v>17951</v>
      </c>
      <c r="N18652" t="s">
        <v>207</v>
      </c>
      <c r="O18652">
        <v>250522</v>
      </c>
      <c r="P18652">
        <v>173.86</v>
      </c>
    </row>
    <row r="18653" spans="1:16" x14ac:dyDescent="0.25">
      <c r="A18653" t="s">
        <v>3296</v>
      </c>
      <c r="B18653" t="s">
        <v>2931</v>
      </c>
      <c r="C18653">
        <v>7079</v>
      </c>
      <c r="D18653" t="str">
        <f>"228427      "</f>
        <v xml:space="preserve">228427      </v>
      </c>
      <c r="E18653" t="s">
        <v>225</v>
      </c>
      <c r="F18653" t="s">
        <v>228</v>
      </c>
      <c r="G18653">
        <v>84.09</v>
      </c>
      <c r="H18653">
        <v>250512</v>
      </c>
      <c r="I18653">
        <v>4550</v>
      </c>
      <c r="J18653" t="s">
        <v>226</v>
      </c>
      <c r="K18653">
        <v>105.78</v>
      </c>
      <c r="L18653">
        <v>17.09</v>
      </c>
      <c r="M18653">
        <v>16431</v>
      </c>
      <c r="N18653" t="s">
        <v>17</v>
      </c>
      <c r="O18653">
        <v>250522</v>
      </c>
      <c r="P18653">
        <v>67</v>
      </c>
    </row>
    <row r="18654" spans="1:16" x14ac:dyDescent="0.25">
      <c r="A18654" t="s">
        <v>3296</v>
      </c>
      <c r="B18654" t="s">
        <v>2931</v>
      </c>
      <c r="C18654">
        <v>7079</v>
      </c>
      <c r="D18654" t="str">
        <f>"228427      "</f>
        <v xml:space="preserve">228427      </v>
      </c>
      <c r="E18654" t="s">
        <v>225</v>
      </c>
      <c r="F18654" t="s">
        <v>228</v>
      </c>
      <c r="G18654">
        <v>21.69</v>
      </c>
      <c r="H18654">
        <v>250512</v>
      </c>
      <c r="I18654">
        <v>4550</v>
      </c>
      <c r="J18654" t="s">
        <v>226</v>
      </c>
      <c r="K18654">
        <v>105.78</v>
      </c>
      <c r="L18654">
        <v>4.41</v>
      </c>
      <c r="M18654">
        <v>17913</v>
      </c>
      <c r="N18654" t="s">
        <v>26</v>
      </c>
      <c r="O18654">
        <v>250522</v>
      </c>
      <c r="P18654">
        <v>17.28</v>
      </c>
    </row>
    <row r="18655" spans="1:16" x14ac:dyDescent="0.25">
      <c r="A18655" t="s">
        <v>3296</v>
      </c>
      <c r="B18655" t="s">
        <v>2931</v>
      </c>
      <c r="C18655">
        <v>7089</v>
      </c>
      <c r="D18655" t="str">
        <f>"228554      "</f>
        <v xml:space="preserve">228554      </v>
      </c>
      <c r="E18655" t="s">
        <v>225</v>
      </c>
      <c r="F18655" t="s">
        <v>228</v>
      </c>
      <c r="G18655">
        <v>352.38</v>
      </c>
      <c r="H18655">
        <v>250512</v>
      </c>
      <c r="I18655">
        <v>4550</v>
      </c>
      <c r="J18655" t="s">
        <v>226</v>
      </c>
      <c r="K18655">
        <v>391.53</v>
      </c>
      <c r="L18655">
        <v>71.599999999999994</v>
      </c>
      <c r="M18655">
        <v>69112</v>
      </c>
      <c r="N18655" t="s">
        <v>227</v>
      </c>
      <c r="O18655">
        <v>250522</v>
      </c>
      <c r="P18655">
        <v>280.77999999999997</v>
      </c>
    </row>
    <row r="18656" spans="1:16" x14ac:dyDescent="0.25">
      <c r="A18656" t="s">
        <v>3296</v>
      </c>
      <c r="B18656" t="s">
        <v>2931</v>
      </c>
      <c r="C18656">
        <v>7089</v>
      </c>
      <c r="D18656" t="str">
        <f>"228554      "</f>
        <v xml:space="preserve">228554      </v>
      </c>
      <c r="E18656" t="s">
        <v>225</v>
      </c>
      <c r="F18656" t="s">
        <v>228</v>
      </c>
      <c r="G18656">
        <v>19.579999999999998</v>
      </c>
      <c r="H18656">
        <v>250512</v>
      </c>
      <c r="I18656">
        <v>4550</v>
      </c>
      <c r="J18656" t="s">
        <v>226</v>
      </c>
      <c r="K18656">
        <v>391.53</v>
      </c>
      <c r="L18656">
        <v>3.98</v>
      </c>
      <c r="M18656">
        <v>69810</v>
      </c>
      <c r="N18656" t="s">
        <v>229</v>
      </c>
      <c r="O18656">
        <v>250522</v>
      </c>
      <c r="P18656">
        <v>15.6</v>
      </c>
    </row>
    <row r="18657" spans="1:16" x14ac:dyDescent="0.25">
      <c r="A18657" t="s">
        <v>3296</v>
      </c>
      <c r="B18657" t="s">
        <v>2931</v>
      </c>
      <c r="C18657">
        <v>7089</v>
      </c>
      <c r="D18657" t="str">
        <f>"228554      "</f>
        <v xml:space="preserve">228554      </v>
      </c>
      <c r="E18657" t="s">
        <v>225</v>
      </c>
      <c r="F18657" t="s">
        <v>228</v>
      </c>
      <c r="G18657">
        <v>19.57</v>
      </c>
      <c r="H18657">
        <v>250512</v>
      </c>
      <c r="I18657">
        <v>4550</v>
      </c>
      <c r="J18657" t="s">
        <v>226</v>
      </c>
      <c r="K18657">
        <v>391.53</v>
      </c>
      <c r="L18657">
        <v>3.98</v>
      </c>
      <c r="M18657">
        <v>69811</v>
      </c>
      <c r="N18657" t="s">
        <v>230</v>
      </c>
      <c r="O18657">
        <v>250522</v>
      </c>
      <c r="P18657">
        <v>15.59</v>
      </c>
    </row>
    <row r="18658" spans="1:16" x14ac:dyDescent="0.25">
      <c r="A18658" t="s">
        <v>3296</v>
      </c>
      <c r="B18658" t="s">
        <v>2931</v>
      </c>
      <c r="C18658">
        <v>8183</v>
      </c>
      <c r="D18658" t="str">
        <f>"231064      "</f>
        <v xml:space="preserve">231064      </v>
      </c>
      <c r="E18658" t="s">
        <v>225</v>
      </c>
      <c r="F18658" t="s">
        <v>228</v>
      </c>
      <c r="G18658">
        <v>47.85</v>
      </c>
      <c r="H18658">
        <v>250527</v>
      </c>
      <c r="I18658">
        <v>4550</v>
      </c>
      <c r="J18658" t="s">
        <v>226</v>
      </c>
      <c r="K18658">
        <v>180.18</v>
      </c>
      <c r="L18658">
        <v>9.7200000000000006</v>
      </c>
      <c r="M18658">
        <v>11401</v>
      </c>
      <c r="N18658" t="s">
        <v>91</v>
      </c>
      <c r="O18658">
        <v>250611</v>
      </c>
      <c r="P18658">
        <v>38.130000000000003</v>
      </c>
    </row>
    <row r="18659" spans="1:16" x14ac:dyDescent="0.25">
      <c r="A18659" t="s">
        <v>3296</v>
      </c>
      <c r="B18659" t="s">
        <v>2931</v>
      </c>
      <c r="C18659">
        <v>8183</v>
      </c>
      <c r="D18659" t="str">
        <f>"231064      "</f>
        <v xml:space="preserve">231064      </v>
      </c>
      <c r="E18659" t="s">
        <v>225</v>
      </c>
      <c r="F18659" t="s">
        <v>228</v>
      </c>
      <c r="G18659">
        <v>132.33000000000001</v>
      </c>
      <c r="H18659">
        <v>250527</v>
      </c>
      <c r="I18659">
        <v>4550</v>
      </c>
      <c r="J18659" t="s">
        <v>226</v>
      </c>
      <c r="K18659">
        <v>180.18</v>
      </c>
      <c r="L18659">
        <v>26.89</v>
      </c>
      <c r="M18659">
        <v>14952</v>
      </c>
      <c r="N18659" t="s">
        <v>213</v>
      </c>
      <c r="O18659">
        <v>250611</v>
      </c>
      <c r="P18659">
        <v>105.44</v>
      </c>
    </row>
    <row r="18660" spans="1:16" x14ac:dyDescent="0.25">
      <c r="A18660" t="s">
        <v>3296</v>
      </c>
      <c r="B18660" t="s">
        <v>2931</v>
      </c>
      <c r="C18660">
        <v>8411</v>
      </c>
      <c r="D18660" t="str">
        <f>"231710      "</f>
        <v xml:space="preserve">231710      </v>
      </c>
      <c r="E18660" t="s">
        <v>225</v>
      </c>
      <c r="F18660" t="s">
        <v>228</v>
      </c>
      <c r="G18660">
        <v>26.3</v>
      </c>
      <c r="H18660">
        <v>250531</v>
      </c>
      <c r="I18660">
        <v>4550</v>
      </c>
      <c r="J18660" t="s">
        <v>226</v>
      </c>
      <c r="K18660">
        <v>26.3</v>
      </c>
      <c r="L18660">
        <v>5.34</v>
      </c>
      <c r="M18660">
        <v>49501</v>
      </c>
      <c r="N18660" t="s">
        <v>110</v>
      </c>
      <c r="O18660">
        <v>250613</v>
      </c>
      <c r="P18660">
        <v>20.96</v>
      </c>
    </row>
    <row r="18661" spans="1:16" x14ac:dyDescent="0.25">
      <c r="A18661" t="s">
        <v>3296</v>
      </c>
      <c r="B18661" t="s">
        <v>2931</v>
      </c>
      <c r="C18661">
        <v>8436</v>
      </c>
      <c r="D18661" t="str">
        <f>"232243      "</f>
        <v xml:space="preserve">232243      </v>
      </c>
      <c r="E18661" t="s">
        <v>225</v>
      </c>
      <c r="F18661" t="s">
        <v>228</v>
      </c>
      <c r="G18661">
        <v>121.92</v>
      </c>
      <c r="H18661">
        <v>250531</v>
      </c>
      <c r="I18661">
        <v>4550</v>
      </c>
      <c r="J18661" t="s">
        <v>226</v>
      </c>
      <c r="K18661">
        <v>121.92</v>
      </c>
      <c r="L18661">
        <v>24.77</v>
      </c>
      <c r="M18661">
        <v>49501</v>
      </c>
      <c r="N18661" t="s">
        <v>110</v>
      </c>
      <c r="O18661">
        <v>250613</v>
      </c>
      <c r="P18661">
        <v>97.15</v>
      </c>
    </row>
    <row r="18662" spans="1:16" x14ac:dyDescent="0.25">
      <c r="A18662" t="s">
        <v>3296</v>
      </c>
      <c r="B18662" t="s">
        <v>2931</v>
      </c>
      <c r="C18662">
        <v>8729</v>
      </c>
      <c r="D18662" t="str">
        <f>"231855      "</f>
        <v xml:space="preserve">231855      </v>
      </c>
      <c r="E18662" t="s">
        <v>225</v>
      </c>
      <c r="F18662" t="s">
        <v>228</v>
      </c>
      <c r="G18662">
        <v>287.7</v>
      </c>
      <c r="H18662">
        <v>250602</v>
      </c>
      <c r="I18662">
        <v>4550</v>
      </c>
      <c r="J18662" t="s">
        <v>226</v>
      </c>
      <c r="K18662">
        <v>1438.5</v>
      </c>
      <c r="L18662">
        <v>58.46</v>
      </c>
      <c r="M18662">
        <v>69111</v>
      </c>
      <c r="N18662" t="s">
        <v>657</v>
      </c>
      <c r="O18662">
        <v>250617</v>
      </c>
      <c r="P18662">
        <v>229.24</v>
      </c>
    </row>
    <row r="18663" spans="1:16" x14ac:dyDescent="0.25">
      <c r="A18663" t="s">
        <v>3296</v>
      </c>
      <c r="B18663" t="s">
        <v>2931</v>
      </c>
      <c r="C18663">
        <v>8729</v>
      </c>
      <c r="D18663" t="str">
        <f>"231855      "</f>
        <v xml:space="preserve">231855      </v>
      </c>
      <c r="E18663" t="s">
        <v>225</v>
      </c>
      <c r="F18663" t="s">
        <v>228</v>
      </c>
      <c r="G18663">
        <v>1150.8</v>
      </c>
      <c r="H18663">
        <v>250602</v>
      </c>
      <c r="I18663">
        <v>4550</v>
      </c>
      <c r="J18663" t="s">
        <v>226</v>
      </c>
      <c r="K18663">
        <v>1438.5</v>
      </c>
      <c r="L18663">
        <v>233.83</v>
      </c>
      <c r="M18663">
        <v>69501</v>
      </c>
      <c r="N18663" t="s">
        <v>123</v>
      </c>
      <c r="O18663">
        <v>250617</v>
      </c>
      <c r="P18663">
        <v>916.97</v>
      </c>
    </row>
    <row r="18664" spans="1:16" x14ac:dyDescent="0.25">
      <c r="A18664" t="s">
        <v>3296</v>
      </c>
      <c r="B18664" t="s">
        <v>2931</v>
      </c>
      <c r="C18664">
        <v>8731</v>
      </c>
      <c r="D18664" t="str">
        <f>"232055      "</f>
        <v xml:space="preserve">232055      </v>
      </c>
      <c r="E18664" t="s">
        <v>225</v>
      </c>
      <c r="F18664" t="s">
        <v>228</v>
      </c>
      <c r="G18664">
        <v>701.69</v>
      </c>
      <c r="H18664">
        <v>250603</v>
      </c>
      <c r="I18664">
        <v>4550</v>
      </c>
      <c r="J18664" t="s">
        <v>226</v>
      </c>
      <c r="K18664">
        <v>701.69</v>
      </c>
      <c r="L18664">
        <v>142.57</v>
      </c>
      <c r="M18664">
        <v>59501</v>
      </c>
      <c r="N18664" t="s">
        <v>62</v>
      </c>
      <c r="O18664">
        <v>250617</v>
      </c>
      <c r="P18664">
        <v>559.12</v>
      </c>
    </row>
    <row r="18665" spans="1:16" x14ac:dyDescent="0.25">
      <c r="A18665" t="s">
        <v>3296</v>
      </c>
      <c r="B18665" t="s">
        <v>2931</v>
      </c>
      <c r="C18665">
        <v>8739</v>
      </c>
      <c r="D18665" t="str">
        <f>"232133      "</f>
        <v xml:space="preserve">232133      </v>
      </c>
      <c r="E18665" t="s">
        <v>225</v>
      </c>
      <c r="F18665" t="s">
        <v>228</v>
      </c>
      <c r="G18665">
        <v>420.89</v>
      </c>
      <c r="H18665">
        <v>250604</v>
      </c>
      <c r="I18665">
        <v>4550</v>
      </c>
      <c r="J18665" t="s">
        <v>226</v>
      </c>
      <c r="K18665">
        <v>690.1</v>
      </c>
      <c r="L18665">
        <v>85.52</v>
      </c>
      <c r="M18665">
        <v>59502</v>
      </c>
      <c r="N18665" t="s">
        <v>63</v>
      </c>
      <c r="O18665">
        <v>250617</v>
      </c>
      <c r="P18665">
        <v>335.37</v>
      </c>
    </row>
    <row r="18666" spans="1:16" x14ac:dyDescent="0.25">
      <c r="A18666" t="s">
        <v>3296</v>
      </c>
      <c r="B18666" t="s">
        <v>2931</v>
      </c>
      <c r="C18666">
        <v>8739</v>
      </c>
      <c r="D18666" t="str">
        <f>"232133      "</f>
        <v xml:space="preserve">232133      </v>
      </c>
      <c r="E18666" t="s">
        <v>225</v>
      </c>
      <c r="F18666" t="s">
        <v>228</v>
      </c>
      <c r="G18666">
        <v>269.20999999999998</v>
      </c>
      <c r="H18666">
        <v>250604</v>
      </c>
      <c r="I18666">
        <v>4550</v>
      </c>
      <c r="J18666" t="s">
        <v>226</v>
      </c>
      <c r="K18666">
        <v>690.1</v>
      </c>
      <c r="L18666">
        <v>54.7</v>
      </c>
      <c r="M18666">
        <v>59802</v>
      </c>
      <c r="N18666" t="s">
        <v>195</v>
      </c>
      <c r="O18666">
        <v>250617</v>
      </c>
      <c r="P18666">
        <v>214.51</v>
      </c>
    </row>
    <row r="18667" spans="1:16" x14ac:dyDescent="0.25">
      <c r="A18667" t="s">
        <v>3296</v>
      </c>
      <c r="B18667" t="s">
        <v>2931</v>
      </c>
      <c r="C18667">
        <v>8824</v>
      </c>
      <c r="D18667" t="str">
        <f>"232454      "</f>
        <v xml:space="preserve">232454      </v>
      </c>
      <c r="E18667" t="s">
        <v>225</v>
      </c>
      <c r="F18667" t="s">
        <v>228</v>
      </c>
      <c r="G18667">
        <v>30.68</v>
      </c>
      <c r="H18667">
        <v>250605</v>
      </c>
      <c r="I18667">
        <v>4550</v>
      </c>
      <c r="J18667" t="s">
        <v>226</v>
      </c>
      <c r="K18667">
        <v>30.68</v>
      </c>
      <c r="L18667">
        <v>6.23</v>
      </c>
      <c r="M18667">
        <v>69501</v>
      </c>
      <c r="N18667" t="s">
        <v>123</v>
      </c>
      <c r="O18667">
        <v>250618</v>
      </c>
      <c r="P18667">
        <v>24.45</v>
      </c>
    </row>
    <row r="18668" spans="1:16" x14ac:dyDescent="0.25">
      <c r="A18668" t="s">
        <v>3296</v>
      </c>
      <c r="B18668" t="s">
        <v>2931</v>
      </c>
      <c r="C18668">
        <v>8830</v>
      </c>
      <c r="D18668" t="str">
        <f>"232585      "</f>
        <v xml:space="preserve">232585      </v>
      </c>
      <c r="E18668" t="s">
        <v>225</v>
      </c>
      <c r="F18668" t="s">
        <v>228</v>
      </c>
      <c r="G18668">
        <v>340.54</v>
      </c>
      <c r="H18668">
        <v>250606</v>
      </c>
      <c r="I18668">
        <v>4550</v>
      </c>
      <c r="J18668" t="s">
        <v>226</v>
      </c>
      <c r="K18668">
        <v>340.54</v>
      </c>
      <c r="L18668">
        <v>69.19</v>
      </c>
      <c r="M18668">
        <v>49501</v>
      </c>
      <c r="N18668" t="s">
        <v>110</v>
      </c>
      <c r="O18668">
        <v>250618</v>
      </c>
      <c r="P18668">
        <v>271.35000000000002</v>
      </c>
    </row>
    <row r="18669" spans="1:16" x14ac:dyDescent="0.25">
      <c r="A18669" t="s">
        <v>3296</v>
      </c>
      <c r="B18669" t="s">
        <v>2931</v>
      </c>
      <c r="C18669">
        <v>8907</v>
      </c>
      <c r="D18669" t="str">
        <f>"232912      "</f>
        <v xml:space="preserve">232912      </v>
      </c>
      <c r="E18669" t="s">
        <v>225</v>
      </c>
      <c r="F18669" t="s">
        <v>228</v>
      </c>
      <c r="G18669">
        <v>1302.24</v>
      </c>
      <c r="H18669">
        <v>250610</v>
      </c>
      <c r="I18669">
        <v>4550</v>
      </c>
      <c r="J18669" t="s">
        <v>226</v>
      </c>
      <c r="K18669">
        <v>1302.24</v>
      </c>
      <c r="L18669">
        <v>264.60000000000002</v>
      </c>
      <c r="M18669">
        <v>17952</v>
      </c>
      <c r="N18669" t="s">
        <v>157</v>
      </c>
      <c r="O18669">
        <v>250618</v>
      </c>
      <c r="P18669">
        <v>1037.6400000000001</v>
      </c>
    </row>
    <row r="18670" spans="1:16" x14ac:dyDescent="0.25">
      <c r="A18670" t="s">
        <v>3296</v>
      </c>
      <c r="B18670" t="s">
        <v>2931</v>
      </c>
      <c r="C18670">
        <v>8944</v>
      </c>
      <c r="D18670" t="str">
        <f>"233779      "</f>
        <v xml:space="preserve">233779      </v>
      </c>
      <c r="E18670" t="s">
        <v>225</v>
      </c>
      <c r="F18670" t="s">
        <v>228</v>
      </c>
      <c r="G18670">
        <v>193.43</v>
      </c>
      <c r="H18670">
        <v>250616</v>
      </c>
      <c r="I18670">
        <v>4550</v>
      </c>
      <c r="J18670" t="s">
        <v>226</v>
      </c>
      <c r="K18670">
        <v>193.43</v>
      </c>
      <c r="L18670">
        <v>39.299999999999997</v>
      </c>
      <c r="M18670">
        <v>59501</v>
      </c>
      <c r="N18670" t="s">
        <v>62</v>
      </c>
      <c r="O18670">
        <v>250619</v>
      </c>
      <c r="P18670">
        <v>154.13</v>
      </c>
    </row>
    <row r="18671" spans="1:16" x14ac:dyDescent="0.25">
      <c r="A18671" t="s">
        <v>3296</v>
      </c>
      <c r="B18671" t="s">
        <v>2931</v>
      </c>
      <c r="C18671">
        <v>9167</v>
      </c>
      <c r="D18671" t="str">
        <f>"233615      "</f>
        <v xml:space="preserve">233615      </v>
      </c>
      <c r="E18671" t="s">
        <v>225</v>
      </c>
      <c r="F18671" t="s">
        <v>228</v>
      </c>
      <c r="G18671">
        <v>37.270000000000003</v>
      </c>
      <c r="H18671">
        <v>250613</v>
      </c>
      <c r="I18671">
        <v>4550</v>
      </c>
      <c r="J18671" t="s">
        <v>226</v>
      </c>
      <c r="K18671">
        <v>37.270000000000003</v>
      </c>
      <c r="L18671">
        <v>7.57</v>
      </c>
      <c r="M18671">
        <v>49501</v>
      </c>
      <c r="N18671" t="s">
        <v>110</v>
      </c>
      <c r="O18671">
        <v>250627</v>
      </c>
      <c r="P18671">
        <v>29.7</v>
      </c>
    </row>
    <row r="18672" spans="1:16" x14ac:dyDescent="0.25">
      <c r="A18672" t="s">
        <v>3296</v>
      </c>
      <c r="B18672" t="s">
        <v>2931</v>
      </c>
      <c r="C18672">
        <v>9171</v>
      </c>
      <c r="D18672" t="str">
        <f>"233564      "</f>
        <v xml:space="preserve">233564      </v>
      </c>
      <c r="E18672" t="s">
        <v>225</v>
      </c>
      <c r="F18672" t="s">
        <v>228</v>
      </c>
      <c r="G18672">
        <v>133.33000000000001</v>
      </c>
      <c r="H18672">
        <v>250613</v>
      </c>
      <c r="I18672">
        <v>4550</v>
      </c>
      <c r="J18672" t="s">
        <v>226</v>
      </c>
      <c r="K18672">
        <v>133.33000000000001</v>
      </c>
      <c r="L18672">
        <v>27.09</v>
      </c>
      <c r="M18672">
        <v>49501</v>
      </c>
      <c r="N18672" t="s">
        <v>110</v>
      </c>
      <c r="O18672">
        <v>250627</v>
      </c>
      <c r="P18672">
        <v>106.24</v>
      </c>
    </row>
    <row r="18673" spans="1:16" x14ac:dyDescent="0.25">
      <c r="A18673" t="s">
        <v>3296</v>
      </c>
      <c r="B18673" t="s">
        <v>2931</v>
      </c>
      <c r="C18673">
        <v>9840</v>
      </c>
      <c r="D18673" t="str">
        <f>"237004      "</f>
        <v xml:space="preserve">237004      </v>
      </c>
      <c r="E18673" t="s">
        <v>225</v>
      </c>
      <c r="F18673" t="s">
        <v>228</v>
      </c>
      <c r="G18673">
        <v>280.83999999999997</v>
      </c>
      <c r="H18673">
        <v>250718</v>
      </c>
      <c r="I18673">
        <v>4550</v>
      </c>
      <c r="J18673" t="s">
        <v>226</v>
      </c>
      <c r="K18673">
        <v>280.83999999999997</v>
      </c>
      <c r="L18673">
        <v>57.06</v>
      </c>
      <c r="M18673">
        <v>59501</v>
      </c>
      <c r="N18673" t="s">
        <v>62</v>
      </c>
      <c r="O18673">
        <v>250729</v>
      </c>
      <c r="P18673">
        <v>223.78</v>
      </c>
    </row>
    <row r="18674" spans="1:16" x14ac:dyDescent="0.25">
      <c r="A18674" t="s">
        <v>3296</v>
      </c>
      <c r="B18674" t="s">
        <v>2931</v>
      </c>
      <c r="C18674">
        <v>9924</v>
      </c>
      <c r="D18674" t="str">
        <f>"238103      "</f>
        <v xml:space="preserve">238103      </v>
      </c>
      <c r="E18674" t="s">
        <v>225</v>
      </c>
      <c r="F18674" t="s">
        <v>228</v>
      </c>
      <c r="G18674">
        <v>1062.18</v>
      </c>
      <c r="H18674">
        <v>250731</v>
      </c>
      <c r="I18674">
        <v>4550</v>
      </c>
      <c r="J18674" t="s">
        <v>226</v>
      </c>
      <c r="K18674">
        <v>1104.6600000000001</v>
      </c>
      <c r="L18674">
        <v>215.82</v>
      </c>
      <c r="M18674">
        <v>49112</v>
      </c>
      <c r="N18674" t="s">
        <v>109</v>
      </c>
      <c r="O18674">
        <v>250804</v>
      </c>
      <c r="P18674">
        <v>846.36</v>
      </c>
    </row>
    <row r="18675" spans="1:16" x14ac:dyDescent="0.25">
      <c r="A18675" t="s">
        <v>3296</v>
      </c>
      <c r="B18675" t="s">
        <v>2931</v>
      </c>
      <c r="C18675">
        <v>10267</v>
      </c>
      <c r="D18675" t="str">
        <f>"238730      "</f>
        <v xml:space="preserve">238730      </v>
      </c>
      <c r="E18675" t="s">
        <v>225</v>
      </c>
      <c r="F18675" t="s">
        <v>228</v>
      </c>
      <c r="G18675">
        <v>651.14</v>
      </c>
      <c r="H18675">
        <v>250805</v>
      </c>
      <c r="I18675">
        <v>4550</v>
      </c>
      <c r="J18675" t="s">
        <v>226</v>
      </c>
      <c r="K18675">
        <v>651.14</v>
      </c>
      <c r="L18675">
        <v>132.30000000000001</v>
      </c>
      <c r="M18675">
        <v>17951</v>
      </c>
      <c r="N18675" t="s">
        <v>207</v>
      </c>
      <c r="O18675">
        <v>250813</v>
      </c>
      <c r="P18675">
        <v>518.84</v>
      </c>
    </row>
    <row r="18676" spans="1:16" x14ac:dyDescent="0.25">
      <c r="A18676" t="s">
        <v>3296</v>
      </c>
      <c r="B18676" t="s">
        <v>2931</v>
      </c>
      <c r="C18676">
        <v>10280</v>
      </c>
      <c r="D18676" t="str">
        <f>"239065      "</f>
        <v xml:space="preserve">239065      </v>
      </c>
      <c r="E18676" t="s">
        <v>225</v>
      </c>
      <c r="F18676" t="s">
        <v>228</v>
      </c>
      <c r="G18676">
        <v>257.66000000000003</v>
      </c>
      <c r="H18676">
        <v>250807</v>
      </c>
      <c r="I18676">
        <v>4550</v>
      </c>
      <c r="J18676" t="s">
        <v>226</v>
      </c>
      <c r="K18676">
        <v>829.53</v>
      </c>
      <c r="L18676">
        <v>52.35</v>
      </c>
      <c r="M18676">
        <v>17913</v>
      </c>
      <c r="N18676" t="s">
        <v>26</v>
      </c>
      <c r="O18676">
        <v>250813</v>
      </c>
      <c r="P18676">
        <v>205.31</v>
      </c>
    </row>
    <row r="18677" spans="1:16" x14ac:dyDescent="0.25">
      <c r="A18677" t="s">
        <v>3296</v>
      </c>
      <c r="B18677" t="s">
        <v>2931</v>
      </c>
      <c r="C18677">
        <v>10280</v>
      </c>
      <c r="D18677" t="str">
        <f>"239065      "</f>
        <v xml:space="preserve">239065      </v>
      </c>
      <c r="E18677" t="s">
        <v>225</v>
      </c>
      <c r="F18677" t="s">
        <v>228</v>
      </c>
      <c r="G18677">
        <v>571.87</v>
      </c>
      <c r="H18677">
        <v>250807</v>
      </c>
      <c r="I18677">
        <v>4550</v>
      </c>
      <c r="J18677" t="s">
        <v>226</v>
      </c>
      <c r="K18677">
        <v>829.53</v>
      </c>
      <c r="L18677">
        <v>116.2</v>
      </c>
      <c r="M18677">
        <v>17915</v>
      </c>
      <c r="N18677" t="s">
        <v>305</v>
      </c>
      <c r="O18677">
        <v>250813</v>
      </c>
      <c r="P18677">
        <v>455.67</v>
      </c>
    </row>
    <row r="18678" spans="1:16" x14ac:dyDescent="0.25">
      <c r="A18678" t="s">
        <v>3296</v>
      </c>
      <c r="B18678" t="s">
        <v>2931</v>
      </c>
      <c r="C18678">
        <v>10291</v>
      </c>
      <c r="D18678" t="str">
        <f>"239106      "</f>
        <v xml:space="preserve">239106      </v>
      </c>
      <c r="E18678" t="s">
        <v>225</v>
      </c>
      <c r="F18678" t="s">
        <v>228</v>
      </c>
      <c r="G18678">
        <v>229.3</v>
      </c>
      <c r="H18678">
        <v>250808</v>
      </c>
      <c r="I18678">
        <v>4550</v>
      </c>
      <c r="J18678" t="s">
        <v>226</v>
      </c>
      <c r="K18678">
        <v>229.3</v>
      </c>
      <c r="L18678">
        <v>46.59</v>
      </c>
      <c r="M18678">
        <v>17913</v>
      </c>
      <c r="N18678" t="s">
        <v>26</v>
      </c>
      <c r="O18678">
        <v>250813</v>
      </c>
      <c r="P18678">
        <v>182.71</v>
      </c>
    </row>
    <row r="18679" spans="1:16" x14ac:dyDescent="0.25">
      <c r="A18679" t="s">
        <v>3296</v>
      </c>
      <c r="B18679" t="s">
        <v>2931</v>
      </c>
      <c r="C18679">
        <v>10550</v>
      </c>
      <c r="D18679" t="str">
        <f>"239329      "</f>
        <v xml:space="preserve">239329      </v>
      </c>
      <c r="E18679" t="s">
        <v>225</v>
      </c>
      <c r="F18679" t="s">
        <v>228</v>
      </c>
      <c r="G18679">
        <v>944.73</v>
      </c>
      <c r="H18679">
        <v>250811</v>
      </c>
      <c r="I18679">
        <v>4550</v>
      </c>
      <c r="J18679" t="s">
        <v>226</v>
      </c>
      <c r="K18679">
        <v>944.73</v>
      </c>
      <c r="L18679">
        <v>191.96</v>
      </c>
      <c r="M18679">
        <v>54451</v>
      </c>
      <c r="N18679" t="s">
        <v>218</v>
      </c>
      <c r="O18679">
        <v>250820</v>
      </c>
      <c r="P18679">
        <v>752.77</v>
      </c>
    </row>
    <row r="18680" spans="1:16" x14ac:dyDescent="0.25">
      <c r="A18680" t="s">
        <v>3296</v>
      </c>
      <c r="B18680" t="s">
        <v>2931</v>
      </c>
      <c r="C18680">
        <v>10561</v>
      </c>
      <c r="D18680" t="str">
        <f>"240217      "</f>
        <v xml:space="preserve">240217      </v>
      </c>
      <c r="E18680" t="s">
        <v>225</v>
      </c>
      <c r="F18680" t="s">
        <v>228</v>
      </c>
      <c r="G18680">
        <v>85.33</v>
      </c>
      <c r="H18680">
        <v>250815</v>
      </c>
      <c r="I18680">
        <v>4550</v>
      </c>
      <c r="J18680" t="s">
        <v>226</v>
      </c>
      <c r="K18680">
        <v>775.7</v>
      </c>
      <c r="L18680">
        <v>17.34</v>
      </c>
      <c r="M18680">
        <v>13540</v>
      </c>
      <c r="N18680" t="s">
        <v>131</v>
      </c>
      <c r="O18680">
        <v>250820</v>
      </c>
      <c r="P18680">
        <v>67.989999999999995</v>
      </c>
    </row>
    <row r="18681" spans="1:16" x14ac:dyDescent="0.25">
      <c r="A18681" t="s">
        <v>3296</v>
      </c>
      <c r="B18681" t="s">
        <v>2931</v>
      </c>
      <c r="C18681">
        <v>10561</v>
      </c>
      <c r="D18681" t="str">
        <f>"240217      "</f>
        <v xml:space="preserve">240217      </v>
      </c>
      <c r="E18681" t="s">
        <v>225</v>
      </c>
      <c r="F18681" t="s">
        <v>228</v>
      </c>
      <c r="G18681">
        <v>581.77</v>
      </c>
      <c r="H18681">
        <v>250815</v>
      </c>
      <c r="I18681">
        <v>4550</v>
      </c>
      <c r="J18681" t="s">
        <v>226</v>
      </c>
      <c r="K18681">
        <v>775.7</v>
      </c>
      <c r="L18681">
        <v>118.21</v>
      </c>
      <c r="M18681">
        <v>17950</v>
      </c>
      <c r="N18681" t="s">
        <v>132</v>
      </c>
      <c r="O18681">
        <v>250820</v>
      </c>
      <c r="P18681">
        <v>463.56</v>
      </c>
    </row>
    <row r="18682" spans="1:16" x14ac:dyDescent="0.25">
      <c r="A18682" t="s">
        <v>3296</v>
      </c>
      <c r="B18682" t="s">
        <v>2931</v>
      </c>
      <c r="C18682">
        <v>10561</v>
      </c>
      <c r="D18682" t="str">
        <f>"240217      "</f>
        <v xml:space="preserve">240217      </v>
      </c>
      <c r="E18682" t="s">
        <v>225</v>
      </c>
      <c r="F18682" t="s">
        <v>228</v>
      </c>
      <c r="G18682">
        <v>108.6</v>
      </c>
      <c r="H18682">
        <v>250815</v>
      </c>
      <c r="I18682">
        <v>4550</v>
      </c>
      <c r="J18682" t="s">
        <v>226</v>
      </c>
      <c r="K18682">
        <v>775.7</v>
      </c>
      <c r="L18682">
        <v>22.07</v>
      </c>
      <c r="M18682">
        <v>17956</v>
      </c>
      <c r="N18682" t="s">
        <v>170</v>
      </c>
      <c r="O18682">
        <v>250820</v>
      </c>
      <c r="P18682">
        <v>86.53</v>
      </c>
    </row>
    <row r="18683" spans="1:16" x14ac:dyDescent="0.25">
      <c r="A18683" t="s">
        <v>3296</v>
      </c>
      <c r="B18683" t="s">
        <v>2931</v>
      </c>
      <c r="C18683">
        <v>10632</v>
      </c>
      <c r="D18683" t="str">
        <f>"240231      "</f>
        <v xml:space="preserve">240231      </v>
      </c>
      <c r="E18683" t="s">
        <v>225</v>
      </c>
      <c r="F18683" t="s">
        <v>228</v>
      </c>
      <c r="G18683">
        <v>200.15</v>
      </c>
      <c r="H18683">
        <v>250815</v>
      </c>
      <c r="I18683">
        <v>4550</v>
      </c>
      <c r="J18683" t="s">
        <v>226</v>
      </c>
      <c r="K18683">
        <v>200.15</v>
      </c>
      <c r="L18683">
        <v>40.67</v>
      </c>
      <c r="M18683">
        <v>59113</v>
      </c>
      <c r="N18683" t="s">
        <v>61</v>
      </c>
      <c r="O18683">
        <v>250821</v>
      </c>
      <c r="P18683">
        <v>159.47999999999999</v>
      </c>
    </row>
    <row r="18684" spans="1:16" x14ac:dyDescent="0.25">
      <c r="A18684" t="s">
        <v>3296</v>
      </c>
      <c r="B18684" t="s">
        <v>2931</v>
      </c>
      <c r="C18684">
        <v>10651</v>
      </c>
      <c r="D18684" t="str">
        <f>"240737      "</f>
        <v xml:space="preserve">240737      </v>
      </c>
      <c r="E18684" t="s">
        <v>225</v>
      </c>
      <c r="F18684" t="s">
        <v>228</v>
      </c>
      <c r="G18684">
        <v>685.58</v>
      </c>
      <c r="H18684">
        <v>250819</v>
      </c>
      <c r="I18684">
        <v>4550</v>
      </c>
      <c r="J18684" t="s">
        <v>226</v>
      </c>
      <c r="K18684">
        <v>685.58</v>
      </c>
      <c r="L18684">
        <v>139.30000000000001</v>
      </c>
      <c r="M18684">
        <v>59505</v>
      </c>
      <c r="N18684" t="s">
        <v>194</v>
      </c>
      <c r="O18684">
        <v>250821</v>
      </c>
      <c r="P18684">
        <v>546.28</v>
      </c>
    </row>
    <row r="18685" spans="1:16" x14ac:dyDescent="0.25">
      <c r="A18685" t="s">
        <v>3296</v>
      </c>
      <c r="B18685" t="s">
        <v>2931</v>
      </c>
      <c r="C18685">
        <v>10653</v>
      </c>
      <c r="D18685" t="str">
        <f>"240629      "</f>
        <v xml:space="preserve">240629      </v>
      </c>
      <c r="E18685" t="s">
        <v>225</v>
      </c>
      <c r="F18685" t="s">
        <v>228</v>
      </c>
      <c r="G18685">
        <v>919.44</v>
      </c>
      <c r="H18685">
        <v>250819</v>
      </c>
      <c r="I18685">
        <v>4550</v>
      </c>
      <c r="J18685" t="s">
        <v>226</v>
      </c>
      <c r="K18685">
        <v>919.44</v>
      </c>
      <c r="L18685">
        <v>186.82</v>
      </c>
      <c r="M18685">
        <v>59501</v>
      </c>
      <c r="N18685" t="s">
        <v>62</v>
      </c>
      <c r="O18685">
        <v>250821</v>
      </c>
      <c r="P18685">
        <v>732.62</v>
      </c>
    </row>
    <row r="18686" spans="1:16" x14ac:dyDescent="0.25">
      <c r="A18686" t="s">
        <v>3296</v>
      </c>
      <c r="B18686" t="s">
        <v>2931</v>
      </c>
      <c r="C18686">
        <v>10882</v>
      </c>
      <c r="D18686" t="str">
        <f>"240878      "</f>
        <v xml:space="preserve">240878      </v>
      </c>
      <c r="E18686" t="s">
        <v>225</v>
      </c>
      <c r="F18686" t="s">
        <v>228</v>
      </c>
      <c r="G18686">
        <v>388.23</v>
      </c>
      <c r="H18686">
        <v>250820</v>
      </c>
      <c r="I18686">
        <v>4550</v>
      </c>
      <c r="J18686" t="s">
        <v>226</v>
      </c>
      <c r="K18686">
        <v>388.23</v>
      </c>
      <c r="L18686">
        <v>78.88</v>
      </c>
      <c r="M18686">
        <v>49112</v>
      </c>
      <c r="N18686" t="s">
        <v>109</v>
      </c>
      <c r="O18686">
        <v>250826</v>
      </c>
      <c r="P18686">
        <v>309.35000000000002</v>
      </c>
    </row>
    <row r="18687" spans="1:16" x14ac:dyDescent="0.25">
      <c r="A18687" t="s">
        <v>3296</v>
      </c>
      <c r="B18687" t="s">
        <v>2931</v>
      </c>
      <c r="C18687">
        <v>10898</v>
      </c>
      <c r="D18687" t="str">
        <f>"241580      "</f>
        <v xml:space="preserve">241580      </v>
      </c>
      <c r="E18687" t="s">
        <v>225</v>
      </c>
      <c r="F18687" t="s">
        <v>228</v>
      </c>
      <c r="G18687">
        <v>345.82</v>
      </c>
      <c r="H18687">
        <v>250825</v>
      </c>
      <c r="I18687">
        <v>4550</v>
      </c>
      <c r="J18687" t="s">
        <v>226</v>
      </c>
      <c r="K18687">
        <v>345.82</v>
      </c>
      <c r="L18687">
        <v>70.27</v>
      </c>
      <c r="M18687">
        <v>59504</v>
      </c>
      <c r="N18687" t="s">
        <v>193</v>
      </c>
      <c r="O18687">
        <v>250826</v>
      </c>
      <c r="P18687">
        <v>275.55</v>
      </c>
    </row>
    <row r="18688" spans="1:16" x14ac:dyDescent="0.25">
      <c r="A18688" t="s">
        <v>3296</v>
      </c>
      <c r="B18688" t="s">
        <v>2931</v>
      </c>
      <c r="C18688">
        <v>11077</v>
      </c>
      <c r="D18688" t="str">
        <f>"240529      "</f>
        <v xml:space="preserve">240529      </v>
      </c>
      <c r="E18688" t="s">
        <v>225</v>
      </c>
      <c r="F18688" t="s">
        <v>228</v>
      </c>
      <c r="G18688">
        <v>1053.3</v>
      </c>
      <c r="H18688">
        <v>250818</v>
      </c>
      <c r="I18688">
        <v>4550</v>
      </c>
      <c r="J18688" t="s">
        <v>226</v>
      </c>
      <c r="K18688">
        <v>1053.3</v>
      </c>
      <c r="L18688">
        <v>214.02</v>
      </c>
      <c r="M18688">
        <v>14951</v>
      </c>
      <c r="N18688" t="s">
        <v>186</v>
      </c>
      <c r="O18688">
        <v>250829</v>
      </c>
      <c r="P18688">
        <v>839.28</v>
      </c>
    </row>
    <row r="18689" spans="1:16" x14ac:dyDescent="0.25">
      <c r="A18689" t="s">
        <v>3296</v>
      </c>
      <c r="B18689" t="s">
        <v>2931</v>
      </c>
      <c r="C18689">
        <v>11179</v>
      </c>
      <c r="D18689" t="str">
        <f>"242156      "</f>
        <v xml:space="preserve">242156      </v>
      </c>
      <c r="E18689" t="s">
        <v>225</v>
      </c>
      <c r="F18689" t="s">
        <v>228</v>
      </c>
      <c r="G18689">
        <v>24.67</v>
      </c>
      <c r="H18689">
        <v>250827</v>
      </c>
      <c r="I18689">
        <v>4550</v>
      </c>
      <c r="J18689" t="s">
        <v>226</v>
      </c>
      <c r="K18689">
        <v>24.67</v>
      </c>
      <c r="L18689">
        <v>5.01</v>
      </c>
      <c r="M18689">
        <v>59504</v>
      </c>
      <c r="N18689" t="s">
        <v>193</v>
      </c>
      <c r="O18689">
        <v>250901</v>
      </c>
      <c r="P18689">
        <v>19.66</v>
      </c>
    </row>
    <row r="18690" spans="1:16" x14ac:dyDescent="0.25">
      <c r="A18690" t="s">
        <v>3296</v>
      </c>
      <c r="B18690" t="s">
        <v>2931</v>
      </c>
      <c r="C18690">
        <v>11180</v>
      </c>
      <c r="D18690" t="str">
        <f>"242029      "</f>
        <v xml:space="preserve">242029      </v>
      </c>
      <c r="E18690" t="s">
        <v>225</v>
      </c>
      <c r="F18690" t="s">
        <v>228</v>
      </c>
      <c r="G18690">
        <v>940.58</v>
      </c>
      <c r="H18690">
        <v>250827</v>
      </c>
      <c r="I18690">
        <v>4550</v>
      </c>
      <c r="J18690" t="s">
        <v>226</v>
      </c>
      <c r="K18690">
        <v>1106.57</v>
      </c>
      <c r="L18690">
        <v>191.11</v>
      </c>
      <c r="M18690">
        <v>59113</v>
      </c>
      <c r="N18690" t="s">
        <v>61</v>
      </c>
      <c r="O18690">
        <v>250901</v>
      </c>
      <c r="P18690">
        <v>749.47</v>
      </c>
    </row>
    <row r="18691" spans="1:16" x14ac:dyDescent="0.25">
      <c r="A18691" t="s">
        <v>3296</v>
      </c>
      <c r="B18691" t="s">
        <v>2931</v>
      </c>
      <c r="C18691">
        <v>11180</v>
      </c>
      <c r="D18691" t="str">
        <f>"242029      "</f>
        <v xml:space="preserve">242029      </v>
      </c>
      <c r="E18691" t="s">
        <v>225</v>
      </c>
      <c r="F18691" t="s">
        <v>228</v>
      </c>
      <c r="G18691">
        <v>165.99</v>
      </c>
      <c r="H18691">
        <v>250827</v>
      </c>
      <c r="I18691">
        <v>4550</v>
      </c>
      <c r="J18691" t="s">
        <v>226</v>
      </c>
      <c r="K18691">
        <v>1106.57</v>
      </c>
      <c r="L18691">
        <v>33.729999999999997</v>
      </c>
      <c r="M18691">
        <v>59803</v>
      </c>
      <c r="N18691" t="s">
        <v>282</v>
      </c>
      <c r="O18691">
        <v>250901</v>
      </c>
      <c r="P18691">
        <v>132.26</v>
      </c>
    </row>
    <row r="18692" spans="1:16" x14ac:dyDescent="0.25">
      <c r="A18692" t="s">
        <v>3296</v>
      </c>
      <c r="B18692" t="s">
        <v>2931</v>
      </c>
      <c r="C18692">
        <v>11419</v>
      </c>
      <c r="D18692" t="str">
        <f>"242450      "</f>
        <v xml:space="preserve">242450      </v>
      </c>
      <c r="E18692" t="s">
        <v>225</v>
      </c>
      <c r="F18692" t="s">
        <v>228</v>
      </c>
      <c r="G18692">
        <v>720.95</v>
      </c>
      <c r="H18692">
        <v>250829</v>
      </c>
      <c r="I18692">
        <v>4550</v>
      </c>
      <c r="J18692" t="s">
        <v>226</v>
      </c>
      <c r="K18692">
        <v>720.95</v>
      </c>
      <c r="L18692">
        <v>146.49</v>
      </c>
      <c r="M18692">
        <v>49501</v>
      </c>
      <c r="N18692" t="s">
        <v>110</v>
      </c>
      <c r="O18692">
        <v>250904</v>
      </c>
      <c r="P18692">
        <v>574.46</v>
      </c>
    </row>
    <row r="18693" spans="1:16" x14ac:dyDescent="0.25">
      <c r="A18693" t="s">
        <v>3296</v>
      </c>
      <c r="B18693" t="s">
        <v>2931</v>
      </c>
      <c r="C18693">
        <v>11421</v>
      </c>
      <c r="D18693" t="str">
        <f>"242456      "</f>
        <v xml:space="preserve">242456      </v>
      </c>
      <c r="E18693" t="s">
        <v>225</v>
      </c>
      <c r="F18693" t="s">
        <v>228</v>
      </c>
      <c r="G18693">
        <v>1317.12</v>
      </c>
      <c r="H18693">
        <v>250829</v>
      </c>
      <c r="I18693">
        <v>4550</v>
      </c>
      <c r="J18693" t="s">
        <v>226</v>
      </c>
      <c r="K18693">
        <v>1452.37</v>
      </c>
      <c r="L18693">
        <v>267.62</v>
      </c>
      <c r="M18693">
        <v>49501</v>
      </c>
      <c r="N18693" t="s">
        <v>110</v>
      </c>
      <c r="O18693">
        <v>250904</v>
      </c>
      <c r="P18693">
        <v>1049.5</v>
      </c>
    </row>
    <row r="18694" spans="1:16" x14ac:dyDescent="0.25">
      <c r="A18694" t="s">
        <v>3296</v>
      </c>
      <c r="B18694" t="s">
        <v>2931</v>
      </c>
      <c r="C18694">
        <v>11421</v>
      </c>
      <c r="D18694" t="str">
        <f>"242456      "</f>
        <v xml:space="preserve">242456      </v>
      </c>
      <c r="E18694" t="s">
        <v>225</v>
      </c>
      <c r="F18694" t="s">
        <v>228</v>
      </c>
      <c r="G18694">
        <v>135.25</v>
      </c>
      <c r="H18694">
        <v>250829</v>
      </c>
      <c r="I18694">
        <v>4550</v>
      </c>
      <c r="J18694" t="s">
        <v>226</v>
      </c>
      <c r="K18694">
        <v>1452.37</v>
      </c>
      <c r="L18694">
        <v>27.48</v>
      </c>
      <c r="M18694">
        <v>49503</v>
      </c>
      <c r="N18694" t="s">
        <v>267</v>
      </c>
      <c r="O18694">
        <v>250904</v>
      </c>
      <c r="P18694">
        <v>107.77</v>
      </c>
    </row>
    <row r="18695" spans="1:16" x14ac:dyDescent="0.25">
      <c r="A18695" t="s">
        <v>3296</v>
      </c>
      <c r="B18695" t="s">
        <v>2931</v>
      </c>
      <c r="C18695">
        <v>11492</v>
      </c>
      <c r="D18695" t="str">
        <f>"242889      "</f>
        <v xml:space="preserve">242889      </v>
      </c>
      <c r="E18695" t="s">
        <v>225</v>
      </c>
      <c r="F18695" t="s">
        <v>228</v>
      </c>
      <c r="G18695">
        <v>66.84</v>
      </c>
      <c r="H18695">
        <v>250902</v>
      </c>
      <c r="I18695">
        <v>4550</v>
      </c>
      <c r="J18695" t="s">
        <v>226</v>
      </c>
      <c r="K18695">
        <v>66.84</v>
      </c>
      <c r="L18695">
        <v>13.58</v>
      </c>
      <c r="M18695">
        <v>54222</v>
      </c>
      <c r="N18695" t="s">
        <v>48</v>
      </c>
      <c r="O18695">
        <v>250905</v>
      </c>
      <c r="P18695">
        <v>53.26</v>
      </c>
    </row>
    <row r="18696" spans="1:16" x14ac:dyDescent="0.25">
      <c r="A18696" t="s">
        <v>3296</v>
      </c>
      <c r="B18696" t="s">
        <v>2931</v>
      </c>
      <c r="C18696">
        <v>11631</v>
      </c>
      <c r="D18696" t="str">
        <f>"243065      "</f>
        <v xml:space="preserve">243065      </v>
      </c>
      <c r="E18696" t="s">
        <v>225</v>
      </c>
      <c r="F18696" t="s">
        <v>228</v>
      </c>
      <c r="G18696">
        <v>598.98</v>
      </c>
      <c r="H18696">
        <v>250903</v>
      </c>
      <c r="I18696">
        <v>4550</v>
      </c>
      <c r="J18696" t="s">
        <v>226</v>
      </c>
      <c r="K18696">
        <v>598.98</v>
      </c>
      <c r="L18696">
        <v>121.71</v>
      </c>
      <c r="M18696">
        <v>13841</v>
      </c>
      <c r="N18696" t="s">
        <v>178</v>
      </c>
      <c r="O18696">
        <v>250909</v>
      </c>
      <c r="P18696">
        <v>477.27</v>
      </c>
    </row>
    <row r="18697" spans="1:16" x14ac:dyDescent="0.25">
      <c r="A18697" t="s">
        <v>3296</v>
      </c>
      <c r="B18697" t="s">
        <v>2931</v>
      </c>
      <c r="C18697">
        <v>12132</v>
      </c>
      <c r="D18697" t="str">
        <f>"243782      "</f>
        <v xml:space="preserve">243782      </v>
      </c>
      <c r="E18697" t="s">
        <v>225</v>
      </c>
      <c r="F18697" t="s">
        <v>228</v>
      </c>
      <c r="G18697">
        <v>1069.82</v>
      </c>
      <c r="H18697">
        <v>250908</v>
      </c>
      <c r="I18697">
        <v>4550</v>
      </c>
      <c r="J18697" t="s">
        <v>226</v>
      </c>
      <c r="K18697">
        <v>1069.82</v>
      </c>
      <c r="L18697">
        <v>217.37</v>
      </c>
      <c r="M18697">
        <v>49501</v>
      </c>
      <c r="N18697" t="s">
        <v>110</v>
      </c>
      <c r="O18697">
        <v>250916</v>
      </c>
      <c r="P18697">
        <v>852.45</v>
      </c>
    </row>
    <row r="18698" spans="1:16" x14ac:dyDescent="0.25">
      <c r="A18698" t="s">
        <v>3296</v>
      </c>
      <c r="B18698" t="s">
        <v>2931</v>
      </c>
      <c r="C18698">
        <v>12325</v>
      </c>
      <c r="D18698" t="str">
        <f t="shared" ref="D18698:D18703" si="316">"244114      "</f>
        <v xml:space="preserve">244114      </v>
      </c>
      <c r="E18698" t="s">
        <v>225</v>
      </c>
      <c r="F18698" t="s">
        <v>228</v>
      </c>
      <c r="G18698">
        <v>23.9</v>
      </c>
      <c r="H18698">
        <v>250910</v>
      </c>
      <c r="I18698">
        <v>4550</v>
      </c>
      <c r="J18698" t="s">
        <v>226</v>
      </c>
      <c r="K18698">
        <v>617.63</v>
      </c>
      <c r="L18698">
        <v>4.8600000000000003</v>
      </c>
      <c r="M18698">
        <v>13540</v>
      </c>
      <c r="N18698" t="s">
        <v>131</v>
      </c>
      <c r="O18698">
        <v>250919</v>
      </c>
      <c r="P18698">
        <v>19.04</v>
      </c>
    </row>
    <row r="18699" spans="1:16" x14ac:dyDescent="0.25">
      <c r="A18699" t="s">
        <v>3296</v>
      </c>
      <c r="B18699" t="s">
        <v>2931</v>
      </c>
      <c r="C18699">
        <v>12325</v>
      </c>
      <c r="D18699" t="str">
        <f t="shared" si="316"/>
        <v xml:space="preserve">244114      </v>
      </c>
      <c r="E18699" t="s">
        <v>225</v>
      </c>
      <c r="F18699" t="s">
        <v>228</v>
      </c>
      <c r="G18699">
        <v>170.35</v>
      </c>
      <c r="H18699">
        <v>250910</v>
      </c>
      <c r="I18699">
        <v>4550</v>
      </c>
      <c r="J18699" t="s">
        <v>226</v>
      </c>
      <c r="K18699">
        <v>617.63</v>
      </c>
      <c r="L18699">
        <v>34.61</v>
      </c>
      <c r="M18699">
        <v>17523</v>
      </c>
      <c r="N18699" t="s">
        <v>138</v>
      </c>
      <c r="O18699">
        <v>250919</v>
      </c>
      <c r="P18699">
        <v>135.74</v>
      </c>
    </row>
    <row r="18700" spans="1:16" x14ac:dyDescent="0.25">
      <c r="A18700" t="s">
        <v>3296</v>
      </c>
      <c r="B18700" t="s">
        <v>2931</v>
      </c>
      <c r="C18700">
        <v>12325</v>
      </c>
      <c r="D18700" t="str">
        <f t="shared" si="316"/>
        <v xml:space="preserve">244114      </v>
      </c>
      <c r="E18700" t="s">
        <v>225</v>
      </c>
      <c r="F18700" t="s">
        <v>228</v>
      </c>
      <c r="G18700">
        <v>51.7</v>
      </c>
      <c r="H18700">
        <v>250910</v>
      </c>
      <c r="I18700">
        <v>4550</v>
      </c>
      <c r="J18700" t="s">
        <v>226</v>
      </c>
      <c r="K18700">
        <v>617.63</v>
      </c>
      <c r="L18700">
        <v>10.5</v>
      </c>
      <c r="M18700">
        <v>17534</v>
      </c>
      <c r="N18700" t="s">
        <v>148</v>
      </c>
      <c r="O18700">
        <v>250919</v>
      </c>
      <c r="P18700">
        <v>41.2</v>
      </c>
    </row>
    <row r="18701" spans="1:16" x14ac:dyDescent="0.25">
      <c r="A18701" t="s">
        <v>3296</v>
      </c>
      <c r="B18701" t="s">
        <v>2931</v>
      </c>
      <c r="C18701">
        <v>12325</v>
      </c>
      <c r="D18701" t="str">
        <f t="shared" si="316"/>
        <v xml:space="preserve">244114      </v>
      </c>
      <c r="E18701" t="s">
        <v>225</v>
      </c>
      <c r="F18701" t="s">
        <v>228</v>
      </c>
      <c r="G18701">
        <v>162.63999999999999</v>
      </c>
      <c r="H18701">
        <v>250910</v>
      </c>
      <c r="I18701">
        <v>4550</v>
      </c>
      <c r="J18701" t="s">
        <v>226</v>
      </c>
      <c r="K18701">
        <v>617.63</v>
      </c>
      <c r="L18701">
        <v>33.049999999999997</v>
      </c>
      <c r="M18701">
        <v>17950</v>
      </c>
      <c r="N18701" t="s">
        <v>132</v>
      </c>
      <c r="O18701">
        <v>250919</v>
      </c>
      <c r="P18701">
        <v>129.59</v>
      </c>
    </row>
    <row r="18702" spans="1:16" x14ac:dyDescent="0.25">
      <c r="A18702" t="s">
        <v>3296</v>
      </c>
      <c r="B18702" t="s">
        <v>2931</v>
      </c>
      <c r="C18702">
        <v>12325</v>
      </c>
      <c r="D18702" t="str">
        <f t="shared" si="316"/>
        <v xml:space="preserve">244114      </v>
      </c>
      <c r="E18702" t="s">
        <v>225</v>
      </c>
      <c r="F18702" t="s">
        <v>228</v>
      </c>
      <c r="G18702">
        <v>178.67</v>
      </c>
      <c r="H18702">
        <v>250910</v>
      </c>
      <c r="I18702">
        <v>4550</v>
      </c>
      <c r="J18702" t="s">
        <v>226</v>
      </c>
      <c r="K18702">
        <v>617.63</v>
      </c>
      <c r="L18702">
        <v>36.299999999999997</v>
      </c>
      <c r="M18702">
        <v>17955</v>
      </c>
      <c r="N18702" t="s">
        <v>899</v>
      </c>
      <c r="O18702">
        <v>250919</v>
      </c>
      <c r="P18702">
        <v>142.37</v>
      </c>
    </row>
    <row r="18703" spans="1:16" x14ac:dyDescent="0.25">
      <c r="A18703" t="s">
        <v>3296</v>
      </c>
      <c r="B18703" t="s">
        <v>2931</v>
      </c>
      <c r="C18703">
        <v>12325</v>
      </c>
      <c r="D18703" t="str">
        <f t="shared" si="316"/>
        <v xml:space="preserve">244114      </v>
      </c>
      <c r="E18703" t="s">
        <v>225</v>
      </c>
      <c r="F18703" t="s">
        <v>228</v>
      </c>
      <c r="G18703">
        <v>30.37</v>
      </c>
      <c r="H18703">
        <v>250910</v>
      </c>
      <c r="I18703">
        <v>4550</v>
      </c>
      <c r="J18703" t="s">
        <v>226</v>
      </c>
      <c r="K18703">
        <v>617.63</v>
      </c>
      <c r="L18703">
        <v>6.17</v>
      </c>
      <c r="M18703">
        <v>17956</v>
      </c>
      <c r="N18703" t="s">
        <v>170</v>
      </c>
      <c r="O18703">
        <v>250919</v>
      </c>
      <c r="P18703">
        <v>24.2</v>
      </c>
    </row>
    <row r="18704" spans="1:16" x14ac:dyDescent="0.25">
      <c r="A18704" t="s">
        <v>3296</v>
      </c>
      <c r="B18704" t="s">
        <v>2931</v>
      </c>
      <c r="C18704">
        <v>12686</v>
      </c>
      <c r="D18704" t="str">
        <f>"244589      "</f>
        <v xml:space="preserve">244589      </v>
      </c>
      <c r="E18704" t="s">
        <v>225</v>
      </c>
      <c r="F18704" t="s">
        <v>228</v>
      </c>
      <c r="G18704">
        <v>639.84</v>
      </c>
      <c r="H18704">
        <v>250915</v>
      </c>
      <c r="I18704">
        <v>4550</v>
      </c>
      <c r="J18704" t="s">
        <v>226</v>
      </c>
      <c r="K18704">
        <v>710.93</v>
      </c>
      <c r="L18704">
        <v>130.01</v>
      </c>
      <c r="M18704">
        <v>69113</v>
      </c>
      <c r="N18704" t="s">
        <v>122</v>
      </c>
      <c r="O18704">
        <v>250929</v>
      </c>
      <c r="P18704">
        <v>509.83</v>
      </c>
    </row>
    <row r="18705" spans="1:16" x14ac:dyDescent="0.25">
      <c r="A18705" t="s">
        <v>3296</v>
      </c>
      <c r="B18705" t="s">
        <v>2931</v>
      </c>
      <c r="C18705">
        <v>12686</v>
      </c>
      <c r="D18705" t="str">
        <f>"244589      "</f>
        <v xml:space="preserve">244589      </v>
      </c>
      <c r="E18705" t="s">
        <v>225</v>
      </c>
      <c r="F18705" t="s">
        <v>228</v>
      </c>
      <c r="G18705">
        <v>71.09</v>
      </c>
      <c r="H18705">
        <v>250915</v>
      </c>
      <c r="I18705">
        <v>4550</v>
      </c>
      <c r="J18705" t="s">
        <v>226</v>
      </c>
      <c r="K18705">
        <v>710.93</v>
      </c>
      <c r="L18705">
        <v>14.44</v>
      </c>
      <c r="M18705">
        <v>69802</v>
      </c>
      <c r="N18705" t="s">
        <v>375</v>
      </c>
      <c r="O18705">
        <v>250929</v>
      </c>
      <c r="P18705">
        <v>56.65</v>
      </c>
    </row>
    <row r="18706" spans="1:16" x14ac:dyDescent="0.25">
      <c r="A18706" t="s">
        <v>3296</v>
      </c>
      <c r="B18706" t="s">
        <v>2931</v>
      </c>
      <c r="C18706">
        <v>12842</v>
      </c>
      <c r="D18706" t="str">
        <f>"245996      "</f>
        <v xml:space="preserve">245996      </v>
      </c>
      <c r="E18706" t="s">
        <v>225</v>
      </c>
      <c r="F18706" t="s">
        <v>228</v>
      </c>
      <c r="G18706">
        <v>9.06</v>
      </c>
      <c r="H18706">
        <v>250923</v>
      </c>
      <c r="I18706">
        <v>4550</v>
      </c>
      <c r="J18706" t="s">
        <v>226</v>
      </c>
      <c r="K18706">
        <v>246.59</v>
      </c>
      <c r="L18706">
        <v>1.84</v>
      </c>
      <c r="M18706">
        <v>13540</v>
      </c>
      <c r="N18706" t="s">
        <v>131</v>
      </c>
      <c r="O18706">
        <v>250930</v>
      </c>
      <c r="P18706">
        <v>7.22</v>
      </c>
    </row>
    <row r="18707" spans="1:16" x14ac:dyDescent="0.25">
      <c r="A18707" t="s">
        <v>3296</v>
      </c>
      <c r="B18707" t="s">
        <v>2931</v>
      </c>
      <c r="C18707">
        <v>12842</v>
      </c>
      <c r="D18707" t="str">
        <f>"245996      "</f>
        <v xml:space="preserve">245996      </v>
      </c>
      <c r="E18707" t="s">
        <v>225</v>
      </c>
      <c r="F18707" t="s">
        <v>228</v>
      </c>
      <c r="G18707">
        <v>158.19999999999999</v>
      </c>
      <c r="H18707">
        <v>250923</v>
      </c>
      <c r="I18707">
        <v>4550</v>
      </c>
      <c r="J18707" t="s">
        <v>226</v>
      </c>
      <c r="K18707">
        <v>246.59</v>
      </c>
      <c r="L18707">
        <v>32.14</v>
      </c>
      <c r="M18707">
        <v>17521</v>
      </c>
      <c r="N18707" t="s">
        <v>136</v>
      </c>
      <c r="O18707">
        <v>250930</v>
      </c>
      <c r="P18707">
        <v>126.06</v>
      </c>
    </row>
    <row r="18708" spans="1:16" x14ac:dyDescent="0.25">
      <c r="A18708" t="s">
        <v>3296</v>
      </c>
      <c r="B18708" t="s">
        <v>2931</v>
      </c>
      <c r="C18708">
        <v>12842</v>
      </c>
      <c r="D18708" t="str">
        <f>"245996      "</f>
        <v xml:space="preserve">245996      </v>
      </c>
      <c r="E18708" t="s">
        <v>225</v>
      </c>
      <c r="F18708" t="s">
        <v>228</v>
      </c>
      <c r="G18708">
        <v>61.74</v>
      </c>
      <c r="H18708">
        <v>250923</v>
      </c>
      <c r="I18708">
        <v>4550</v>
      </c>
      <c r="J18708" t="s">
        <v>226</v>
      </c>
      <c r="K18708">
        <v>246.59</v>
      </c>
      <c r="L18708">
        <v>12.54</v>
      </c>
      <c r="M18708">
        <v>17950</v>
      </c>
      <c r="N18708" t="s">
        <v>132</v>
      </c>
      <c r="O18708">
        <v>250930</v>
      </c>
      <c r="P18708">
        <v>49.2</v>
      </c>
    </row>
    <row r="18709" spans="1:16" x14ac:dyDescent="0.25">
      <c r="A18709" t="s">
        <v>3296</v>
      </c>
      <c r="B18709" t="s">
        <v>2931</v>
      </c>
      <c r="C18709">
        <v>12842</v>
      </c>
      <c r="D18709" t="str">
        <f>"245996      "</f>
        <v xml:space="preserve">245996      </v>
      </c>
      <c r="E18709" t="s">
        <v>225</v>
      </c>
      <c r="F18709" t="s">
        <v>228</v>
      </c>
      <c r="G18709">
        <v>11.52</v>
      </c>
      <c r="H18709">
        <v>250923</v>
      </c>
      <c r="I18709">
        <v>4550</v>
      </c>
      <c r="J18709" t="s">
        <v>226</v>
      </c>
      <c r="K18709">
        <v>246.59</v>
      </c>
      <c r="L18709">
        <v>2.34</v>
      </c>
      <c r="M18709">
        <v>17956</v>
      </c>
      <c r="N18709" t="s">
        <v>170</v>
      </c>
      <c r="O18709">
        <v>250930</v>
      </c>
      <c r="P18709">
        <v>9.18</v>
      </c>
    </row>
    <row r="18710" spans="1:16" x14ac:dyDescent="0.25">
      <c r="A18710" t="s">
        <v>3296</v>
      </c>
      <c r="B18710" t="s">
        <v>2931</v>
      </c>
      <c r="C18710">
        <v>13071</v>
      </c>
      <c r="D18710" t="str">
        <f>"246964      "</f>
        <v xml:space="preserve">246964      </v>
      </c>
      <c r="E18710" t="s">
        <v>225</v>
      </c>
      <c r="F18710" t="s">
        <v>228</v>
      </c>
      <c r="G18710">
        <v>768.47</v>
      </c>
      <c r="H18710">
        <v>250930</v>
      </c>
      <c r="I18710">
        <v>4550</v>
      </c>
      <c r="J18710" t="s">
        <v>226</v>
      </c>
      <c r="K18710">
        <v>768.47</v>
      </c>
      <c r="L18710">
        <v>156.13999999999999</v>
      </c>
      <c r="M18710">
        <v>54451</v>
      </c>
      <c r="N18710" t="s">
        <v>218</v>
      </c>
      <c r="O18710">
        <v>251003</v>
      </c>
      <c r="P18710">
        <v>612.33000000000004</v>
      </c>
    </row>
    <row r="18711" spans="1:16" x14ac:dyDescent="0.25">
      <c r="A18711" t="s">
        <v>3296</v>
      </c>
      <c r="B18711" t="s">
        <v>2931</v>
      </c>
      <c r="C18711">
        <v>13072</v>
      </c>
      <c r="D18711" t="str">
        <f>"247023      "</f>
        <v xml:space="preserve">247023      </v>
      </c>
      <c r="E18711" t="s">
        <v>225</v>
      </c>
      <c r="F18711" t="s">
        <v>228</v>
      </c>
      <c r="G18711">
        <v>181.34</v>
      </c>
      <c r="H18711">
        <v>250930</v>
      </c>
      <c r="I18711">
        <v>4550</v>
      </c>
      <c r="J18711" t="s">
        <v>226</v>
      </c>
      <c r="K18711">
        <v>181.34</v>
      </c>
      <c r="L18711">
        <v>36.85</v>
      </c>
      <c r="M18711">
        <v>59114</v>
      </c>
      <c r="N18711" t="s">
        <v>299</v>
      </c>
      <c r="O18711">
        <v>251003</v>
      </c>
      <c r="P18711">
        <v>144.49</v>
      </c>
    </row>
    <row r="18712" spans="1:16" x14ac:dyDescent="0.25">
      <c r="A18712" t="s">
        <v>3296</v>
      </c>
      <c r="B18712" t="s">
        <v>2931</v>
      </c>
      <c r="C18712">
        <v>13181</v>
      </c>
      <c r="D18712" t="str">
        <f>"247651      "</f>
        <v xml:space="preserve">247651      </v>
      </c>
      <c r="E18712" t="s">
        <v>225</v>
      </c>
      <c r="F18712" t="s">
        <v>228</v>
      </c>
      <c r="G18712">
        <v>682.7</v>
      </c>
      <c r="H18712">
        <v>251003</v>
      </c>
      <c r="I18712">
        <v>4550</v>
      </c>
      <c r="J18712" t="s">
        <v>226</v>
      </c>
      <c r="K18712">
        <v>1119.3599999999999</v>
      </c>
      <c r="L18712">
        <v>138.72</v>
      </c>
      <c r="M18712">
        <v>59502</v>
      </c>
      <c r="N18712" t="s">
        <v>63</v>
      </c>
      <c r="O18712">
        <v>251006</v>
      </c>
      <c r="P18712">
        <v>543.98</v>
      </c>
    </row>
    <row r="18713" spans="1:16" x14ac:dyDescent="0.25">
      <c r="A18713" t="s">
        <v>3296</v>
      </c>
      <c r="B18713" t="s">
        <v>2931</v>
      </c>
      <c r="C18713">
        <v>13181</v>
      </c>
      <c r="D18713" t="str">
        <f>"247651      "</f>
        <v xml:space="preserve">247651      </v>
      </c>
      <c r="E18713" t="s">
        <v>225</v>
      </c>
      <c r="F18713" t="s">
        <v>228</v>
      </c>
      <c r="G18713">
        <v>436.66</v>
      </c>
      <c r="H18713">
        <v>251003</v>
      </c>
      <c r="I18713">
        <v>4550</v>
      </c>
      <c r="J18713" t="s">
        <v>226</v>
      </c>
      <c r="K18713">
        <v>1119.3599999999999</v>
      </c>
      <c r="L18713">
        <v>88.72</v>
      </c>
      <c r="M18713">
        <v>59802</v>
      </c>
      <c r="N18713" t="s">
        <v>195</v>
      </c>
      <c r="O18713">
        <v>251006</v>
      </c>
      <c r="P18713">
        <v>347.94</v>
      </c>
    </row>
    <row r="18714" spans="1:16" x14ac:dyDescent="0.25">
      <c r="A18714" t="s">
        <v>3296</v>
      </c>
      <c r="B18714" t="s">
        <v>2931</v>
      </c>
      <c r="C18714">
        <v>14002</v>
      </c>
      <c r="D18714" t="str">
        <f>"249285      "</f>
        <v xml:space="preserve">249285      </v>
      </c>
      <c r="E18714" t="s">
        <v>225</v>
      </c>
      <c r="F18714" t="s">
        <v>228</v>
      </c>
      <c r="G18714">
        <v>1289.26</v>
      </c>
      <c r="H18714">
        <v>251015</v>
      </c>
      <c r="I18714">
        <v>4550</v>
      </c>
      <c r="J18714" t="s">
        <v>226</v>
      </c>
      <c r="K18714">
        <v>1289.26</v>
      </c>
      <c r="L18714">
        <v>261.95999999999998</v>
      </c>
      <c r="M18714">
        <v>59501</v>
      </c>
      <c r="N18714" t="s">
        <v>62</v>
      </c>
      <c r="O18714">
        <v>251021</v>
      </c>
      <c r="P18714">
        <v>1027.3</v>
      </c>
    </row>
    <row r="18715" spans="1:16" x14ac:dyDescent="0.25">
      <c r="A18715" t="s">
        <v>3296</v>
      </c>
      <c r="B18715" t="s">
        <v>2931</v>
      </c>
      <c r="C18715">
        <v>14031</v>
      </c>
      <c r="D18715" t="str">
        <f t="shared" ref="D18715:D18720" si="317">"248848      "</f>
        <v xml:space="preserve">248848      </v>
      </c>
      <c r="E18715" t="s">
        <v>225</v>
      </c>
      <c r="F18715" t="s">
        <v>228</v>
      </c>
      <c r="G18715">
        <v>40.340000000000003</v>
      </c>
      <c r="H18715">
        <v>251010</v>
      </c>
      <c r="I18715">
        <v>4550</v>
      </c>
      <c r="J18715" t="s">
        <v>226</v>
      </c>
      <c r="K18715">
        <v>308.47000000000003</v>
      </c>
      <c r="L18715">
        <v>4.95</v>
      </c>
      <c r="M18715">
        <v>69112</v>
      </c>
      <c r="N18715" t="s">
        <v>227</v>
      </c>
      <c r="O18715">
        <v>251022</v>
      </c>
      <c r="P18715">
        <v>35.39</v>
      </c>
    </row>
    <row r="18716" spans="1:16" x14ac:dyDescent="0.25">
      <c r="A18716" t="s">
        <v>3296</v>
      </c>
      <c r="B18716" t="s">
        <v>2931</v>
      </c>
      <c r="C18716">
        <v>14031</v>
      </c>
      <c r="D18716" t="str">
        <f t="shared" si="317"/>
        <v xml:space="preserve">248848      </v>
      </c>
      <c r="E18716" t="s">
        <v>225</v>
      </c>
      <c r="F18716" t="s">
        <v>228</v>
      </c>
      <c r="G18716">
        <v>237.28</v>
      </c>
      <c r="H18716">
        <v>251010</v>
      </c>
      <c r="I18716">
        <v>4550</v>
      </c>
      <c r="J18716" t="s">
        <v>226</v>
      </c>
      <c r="K18716">
        <v>308.47000000000003</v>
      </c>
      <c r="L18716">
        <v>48.21</v>
      </c>
      <c r="M18716">
        <v>69112</v>
      </c>
      <c r="N18716" t="s">
        <v>227</v>
      </c>
      <c r="O18716">
        <v>251022</v>
      </c>
      <c r="P18716">
        <v>189.07</v>
      </c>
    </row>
    <row r="18717" spans="1:16" x14ac:dyDescent="0.25">
      <c r="A18717" t="s">
        <v>3296</v>
      </c>
      <c r="B18717" t="s">
        <v>2931</v>
      </c>
      <c r="C18717">
        <v>14031</v>
      </c>
      <c r="D18717" t="str">
        <f t="shared" si="317"/>
        <v xml:space="preserve">248848      </v>
      </c>
      <c r="E18717" t="s">
        <v>225</v>
      </c>
      <c r="F18717" t="s">
        <v>228</v>
      </c>
      <c r="G18717">
        <v>2.2400000000000002</v>
      </c>
      <c r="H18717">
        <v>251010</v>
      </c>
      <c r="I18717">
        <v>4550</v>
      </c>
      <c r="J18717" t="s">
        <v>226</v>
      </c>
      <c r="K18717">
        <v>308.47000000000003</v>
      </c>
      <c r="L18717">
        <v>0.28000000000000003</v>
      </c>
      <c r="M18717">
        <v>69810</v>
      </c>
      <c r="N18717" t="s">
        <v>229</v>
      </c>
      <c r="O18717">
        <v>251022</v>
      </c>
      <c r="P18717">
        <v>1.96</v>
      </c>
    </row>
    <row r="18718" spans="1:16" x14ac:dyDescent="0.25">
      <c r="A18718" t="s">
        <v>3296</v>
      </c>
      <c r="B18718" t="s">
        <v>2931</v>
      </c>
      <c r="C18718">
        <v>14031</v>
      </c>
      <c r="D18718" t="str">
        <f t="shared" si="317"/>
        <v xml:space="preserve">248848      </v>
      </c>
      <c r="E18718" t="s">
        <v>225</v>
      </c>
      <c r="F18718" t="s">
        <v>228</v>
      </c>
      <c r="G18718">
        <v>13.18</v>
      </c>
      <c r="H18718">
        <v>251010</v>
      </c>
      <c r="I18718">
        <v>4550</v>
      </c>
      <c r="J18718" t="s">
        <v>226</v>
      </c>
      <c r="K18718">
        <v>308.47000000000003</v>
      </c>
      <c r="L18718">
        <v>2.68</v>
      </c>
      <c r="M18718">
        <v>69810</v>
      </c>
      <c r="N18718" t="s">
        <v>229</v>
      </c>
      <c r="O18718">
        <v>251022</v>
      </c>
      <c r="P18718">
        <v>10.5</v>
      </c>
    </row>
    <row r="18719" spans="1:16" x14ac:dyDescent="0.25">
      <c r="A18719" t="s">
        <v>3296</v>
      </c>
      <c r="B18719" t="s">
        <v>2931</v>
      </c>
      <c r="C18719">
        <v>14031</v>
      </c>
      <c r="D18719" t="str">
        <f t="shared" si="317"/>
        <v xml:space="preserve">248848      </v>
      </c>
      <c r="E18719" t="s">
        <v>225</v>
      </c>
      <c r="F18719" t="s">
        <v>228</v>
      </c>
      <c r="G18719">
        <v>2.2400000000000002</v>
      </c>
      <c r="H18719">
        <v>251010</v>
      </c>
      <c r="I18719">
        <v>4550</v>
      </c>
      <c r="J18719" t="s">
        <v>226</v>
      </c>
      <c r="K18719">
        <v>308.47000000000003</v>
      </c>
      <c r="L18719">
        <v>0.28000000000000003</v>
      </c>
      <c r="M18719">
        <v>69811</v>
      </c>
      <c r="N18719" t="s">
        <v>230</v>
      </c>
      <c r="O18719">
        <v>251022</v>
      </c>
      <c r="P18719">
        <v>1.96</v>
      </c>
    </row>
    <row r="18720" spans="1:16" x14ac:dyDescent="0.25">
      <c r="A18720" t="s">
        <v>3296</v>
      </c>
      <c r="B18720" t="s">
        <v>2931</v>
      </c>
      <c r="C18720">
        <v>14031</v>
      </c>
      <c r="D18720" t="str">
        <f t="shared" si="317"/>
        <v xml:space="preserve">248848      </v>
      </c>
      <c r="E18720" t="s">
        <v>225</v>
      </c>
      <c r="F18720" t="s">
        <v>228</v>
      </c>
      <c r="G18720">
        <v>13.19</v>
      </c>
      <c r="H18720">
        <v>251010</v>
      </c>
      <c r="I18720">
        <v>4550</v>
      </c>
      <c r="J18720" t="s">
        <v>226</v>
      </c>
      <c r="K18720">
        <v>308.47000000000003</v>
      </c>
      <c r="L18720">
        <v>2.68</v>
      </c>
      <c r="M18720">
        <v>69811</v>
      </c>
      <c r="N18720" t="s">
        <v>230</v>
      </c>
      <c r="O18720">
        <v>251022</v>
      </c>
      <c r="P18720">
        <v>10.51</v>
      </c>
    </row>
    <row r="18721" spans="1:16" x14ac:dyDescent="0.25">
      <c r="A18721" t="s">
        <v>3296</v>
      </c>
      <c r="B18721" t="s">
        <v>2931</v>
      </c>
      <c r="C18721">
        <v>14146</v>
      </c>
      <c r="D18721" t="str">
        <f>"249498      "</f>
        <v xml:space="preserve">249498      </v>
      </c>
      <c r="E18721" t="s">
        <v>225</v>
      </c>
      <c r="F18721" t="s">
        <v>228</v>
      </c>
      <c r="G18721">
        <v>161.18</v>
      </c>
      <c r="H18721">
        <v>251016</v>
      </c>
      <c r="I18721">
        <v>4550</v>
      </c>
      <c r="J18721" t="s">
        <v>226</v>
      </c>
      <c r="K18721">
        <v>409.74</v>
      </c>
      <c r="L18721">
        <v>32.75</v>
      </c>
      <c r="M18721">
        <v>49111</v>
      </c>
      <c r="N18721" t="s">
        <v>108</v>
      </c>
      <c r="O18721">
        <v>251024</v>
      </c>
      <c r="P18721">
        <v>128.43</v>
      </c>
    </row>
    <row r="18722" spans="1:16" x14ac:dyDescent="0.25">
      <c r="A18722" t="s">
        <v>3296</v>
      </c>
      <c r="B18722" t="s">
        <v>2931</v>
      </c>
      <c r="C18722">
        <v>14146</v>
      </c>
      <c r="D18722" t="str">
        <f>"249498      "</f>
        <v xml:space="preserve">249498      </v>
      </c>
      <c r="E18722" t="s">
        <v>225</v>
      </c>
      <c r="F18722" t="s">
        <v>228</v>
      </c>
      <c r="G18722">
        <v>248.56</v>
      </c>
      <c r="H18722">
        <v>251016</v>
      </c>
      <c r="I18722">
        <v>4550</v>
      </c>
      <c r="J18722" t="s">
        <v>226</v>
      </c>
      <c r="K18722">
        <v>409.74</v>
      </c>
      <c r="L18722">
        <v>50.5</v>
      </c>
      <c r="M18722">
        <v>49501</v>
      </c>
      <c r="N18722" t="s">
        <v>110</v>
      </c>
      <c r="O18722">
        <v>251024</v>
      </c>
      <c r="P18722">
        <v>198.06</v>
      </c>
    </row>
    <row r="18723" spans="1:16" x14ac:dyDescent="0.25">
      <c r="A18723" t="s">
        <v>3296</v>
      </c>
      <c r="B18723" t="s">
        <v>2931</v>
      </c>
      <c r="C18723">
        <v>14209</v>
      </c>
      <c r="D18723" t="str">
        <f>"249061      "</f>
        <v xml:space="preserve">249061      </v>
      </c>
      <c r="E18723" t="s">
        <v>225</v>
      </c>
      <c r="F18723" t="s">
        <v>228</v>
      </c>
      <c r="G18723">
        <v>138.37</v>
      </c>
      <c r="H18723">
        <v>251014</v>
      </c>
      <c r="I18723">
        <v>4550</v>
      </c>
      <c r="J18723" t="s">
        <v>226</v>
      </c>
      <c r="K18723">
        <v>138.37</v>
      </c>
      <c r="L18723">
        <v>28.12</v>
      </c>
      <c r="M18723">
        <v>54222</v>
      </c>
      <c r="N18723" t="s">
        <v>48</v>
      </c>
      <c r="O18723">
        <v>251027</v>
      </c>
      <c r="P18723">
        <v>110.25</v>
      </c>
    </row>
    <row r="18724" spans="1:16" x14ac:dyDescent="0.25">
      <c r="A18724" t="s">
        <v>3296</v>
      </c>
      <c r="B18724" t="s">
        <v>2931</v>
      </c>
      <c r="C18724">
        <v>14291</v>
      </c>
      <c r="D18724" t="str">
        <f>"250760      "</f>
        <v xml:space="preserve">250760      </v>
      </c>
      <c r="E18724" t="s">
        <v>225</v>
      </c>
      <c r="F18724" t="s">
        <v>228</v>
      </c>
      <c r="G18724">
        <v>311.5</v>
      </c>
      <c r="H18724">
        <v>251024</v>
      </c>
      <c r="I18724">
        <v>4550</v>
      </c>
      <c r="J18724" t="s">
        <v>226</v>
      </c>
      <c r="K18724">
        <v>890.16</v>
      </c>
      <c r="L18724">
        <v>63.29</v>
      </c>
      <c r="M18724">
        <v>16431</v>
      </c>
      <c r="N18724" t="s">
        <v>17</v>
      </c>
      <c r="O18724">
        <v>251028</v>
      </c>
      <c r="P18724">
        <v>248.21</v>
      </c>
    </row>
    <row r="18725" spans="1:16" x14ac:dyDescent="0.25">
      <c r="A18725" t="s">
        <v>3296</v>
      </c>
      <c r="B18725" t="s">
        <v>2931</v>
      </c>
      <c r="C18725">
        <v>14291</v>
      </c>
      <c r="D18725" t="str">
        <f>"250760      "</f>
        <v xml:space="preserve">250760      </v>
      </c>
      <c r="E18725" t="s">
        <v>225</v>
      </c>
      <c r="F18725" t="s">
        <v>228</v>
      </c>
      <c r="G18725">
        <v>578.66</v>
      </c>
      <c r="H18725">
        <v>251024</v>
      </c>
      <c r="I18725">
        <v>4550</v>
      </c>
      <c r="J18725" t="s">
        <v>226</v>
      </c>
      <c r="K18725">
        <v>890.16</v>
      </c>
      <c r="L18725">
        <v>117.58</v>
      </c>
      <c r="M18725">
        <v>17913</v>
      </c>
      <c r="N18725" t="s">
        <v>26</v>
      </c>
      <c r="O18725">
        <v>251028</v>
      </c>
      <c r="P18725">
        <v>461.08</v>
      </c>
    </row>
    <row r="18726" spans="1:16" x14ac:dyDescent="0.25">
      <c r="A18726" t="s">
        <v>3296</v>
      </c>
      <c r="B18726" t="s">
        <v>2931</v>
      </c>
      <c r="C18726">
        <v>14292</v>
      </c>
      <c r="D18726" t="str">
        <f>"250759      "</f>
        <v xml:space="preserve">250759      </v>
      </c>
      <c r="E18726" t="s">
        <v>225</v>
      </c>
      <c r="F18726" t="s">
        <v>228</v>
      </c>
      <c r="G18726">
        <v>41.54</v>
      </c>
      <c r="H18726">
        <v>251024</v>
      </c>
      <c r="I18726">
        <v>4550</v>
      </c>
      <c r="J18726" t="s">
        <v>226</v>
      </c>
      <c r="K18726">
        <v>282.52999999999997</v>
      </c>
      <c r="L18726">
        <v>8.44</v>
      </c>
      <c r="M18726">
        <v>16431</v>
      </c>
      <c r="N18726" t="s">
        <v>17</v>
      </c>
      <c r="O18726">
        <v>251028</v>
      </c>
      <c r="P18726">
        <v>33.1</v>
      </c>
    </row>
    <row r="18727" spans="1:16" x14ac:dyDescent="0.25">
      <c r="A18727" t="s">
        <v>3296</v>
      </c>
      <c r="B18727" t="s">
        <v>2931</v>
      </c>
      <c r="C18727">
        <v>14292</v>
      </c>
      <c r="D18727" t="str">
        <f>"250759      "</f>
        <v xml:space="preserve">250759      </v>
      </c>
      <c r="E18727" t="s">
        <v>225</v>
      </c>
      <c r="F18727" t="s">
        <v>228</v>
      </c>
      <c r="G18727">
        <v>240.99</v>
      </c>
      <c r="H18727">
        <v>251024</v>
      </c>
      <c r="I18727">
        <v>4550</v>
      </c>
      <c r="J18727" t="s">
        <v>226</v>
      </c>
      <c r="K18727">
        <v>282.52999999999997</v>
      </c>
      <c r="L18727">
        <v>48.97</v>
      </c>
      <c r="M18727">
        <v>17913</v>
      </c>
      <c r="N18727" t="s">
        <v>26</v>
      </c>
      <c r="O18727">
        <v>251028</v>
      </c>
      <c r="P18727">
        <v>192.02</v>
      </c>
    </row>
    <row r="18728" spans="1:16" x14ac:dyDescent="0.25">
      <c r="A18728" t="s">
        <v>3296</v>
      </c>
      <c r="B18728" t="s">
        <v>2931</v>
      </c>
      <c r="C18728">
        <v>14394</v>
      </c>
      <c r="D18728" t="str">
        <f>"251330      "</f>
        <v xml:space="preserve">251330      </v>
      </c>
      <c r="E18728" t="s">
        <v>225</v>
      </c>
      <c r="F18728" t="s">
        <v>228</v>
      </c>
      <c r="G18728">
        <v>-219.46</v>
      </c>
      <c r="H18728">
        <v>251029</v>
      </c>
      <c r="I18728">
        <v>4550</v>
      </c>
      <c r="J18728" t="s">
        <v>226</v>
      </c>
      <c r="K18728">
        <v>-359.83</v>
      </c>
      <c r="L18728">
        <v>-44.59</v>
      </c>
      <c r="M18728">
        <v>59502</v>
      </c>
      <c r="N18728" t="s">
        <v>63</v>
      </c>
      <c r="O18728">
        <v>251031</v>
      </c>
      <c r="P18728">
        <v>-174.87</v>
      </c>
    </row>
    <row r="18729" spans="1:16" x14ac:dyDescent="0.25">
      <c r="A18729" t="s">
        <v>3296</v>
      </c>
      <c r="B18729" t="s">
        <v>2931</v>
      </c>
      <c r="C18729">
        <v>14394</v>
      </c>
      <c r="D18729" t="str">
        <f>"251330      "</f>
        <v xml:space="preserve">251330      </v>
      </c>
      <c r="E18729" t="s">
        <v>225</v>
      </c>
      <c r="F18729" t="s">
        <v>228</v>
      </c>
      <c r="G18729">
        <v>-140.37</v>
      </c>
      <c r="H18729">
        <v>251029</v>
      </c>
      <c r="I18729">
        <v>4550</v>
      </c>
      <c r="J18729" t="s">
        <v>226</v>
      </c>
      <c r="K18729">
        <v>-359.83</v>
      </c>
      <c r="L18729">
        <v>-28.52</v>
      </c>
      <c r="M18729">
        <v>59802</v>
      </c>
      <c r="N18729" t="s">
        <v>195</v>
      </c>
      <c r="O18729">
        <v>251031</v>
      </c>
      <c r="P18729">
        <v>-111.85</v>
      </c>
    </row>
    <row r="18730" spans="1:16" x14ac:dyDescent="0.25">
      <c r="A18730" t="s">
        <v>3296</v>
      </c>
      <c r="B18730" t="s">
        <v>2931</v>
      </c>
      <c r="C18730">
        <v>14395</v>
      </c>
      <c r="D18730" t="str">
        <f>"251314      "</f>
        <v xml:space="preserve">251314      </v>
      </c>
      <c r="E18730" t="s">
        <v>225</v>
      </c>
      <c r="F18730" t="s">
        <v>228</v>
      </c>
      <c r="G18730">
        <v>193.91</v>
      </c>
      <c r="H18730">
        <v>251029</v>
      </c>
      <c r="I18730">
        <v>4550</v>
      </c>
      <c r="J18730" t="s">
        <v>226</v>
      </c>
      <c r="K18730">
        <v>317.94</v>
      </c>
      <c r="L18730">
        <v>39.4</v>
      </c>
      <c r="M18730">
        <v>59502</v>
      </c>
      <c r="N18730" t="s">
        <v>63</v>
      </c>
      <c r="O18730">
        <v>251031</v>
      </c>
      <c r="P18730">
        <v>154.51</v>
      </c>
    </row>
    <row r="18731" spans="1:16" x14ac:dyDescent="0.25">
      <c r="A18731" t="s">
        <v>3296</v>
      </c>
      <c r="B18731" t="s">
        <v>2931</v>
      </c>
      <c r="C18731">
        <v>14395</v>
      </c>
      <c r="D18731" t="str">
        <f>"251314      "</f>
        <v xml:space="preserve">251314      </v>
      </c>
      <c r="E18731" t="s">
        <v>225</v>
      </c>
      <c r="F18731" t="s">
        <v>228</v>
      </c>
      <c r="G18731">
        <v>124.03</v>
      </c>
      <c r="H18731">
        <v>251029</v>
      </c>
      <c r="I18731">
        <v>4550</v>
      </c>
      <c r="J18731" t="s">
        <v>226</v>
      </c>
      <c r="K18731">
        <v>317.94</v>
      </c>
      <c r="L18731">
        <v>25.2</v>
      </c>
      <c r="M18731">
        <v>59802</v>
      </c>
      <c r="N18731" t="s">
        <v>195</v>
      </c>
      <c r="O18731">
        <v>251031</v>
      </c>
      <c r="P18731">
        <v>98.83</v>
      </c>
    </row>
    <row r="18732" spans="1:16" x14ac:dyDescent="0.25">
      <c r="A18732" t="s">
        <v>3296</v>
      </c>
      <c r="B18732" t="s">
        <v>2931</v>
      </c>
      <c r="C18732">
        <v>14501</v>
      </c>
      <c r="D18732" t="str">
        <f>"251538      "</f>
        <v xml:space="preserve">251538      </v>
      </c>
      <c r="E18732" t="s">
        <v>225</v>
      </c>
      <c r="F18732" t="s">
        <v>228</v>
      </c>
      <c r="G18732">
        <v>136.07</v>
      </c>
      <c r="H18732">
        <v>251030</v>
      </c>
      <c r="I18732">
        <v>4550</v>
      </c>
      <c r="J18732" t="s">
        <v>226</v>
      </c>
      <c r="K18732">
        <v>223.11</v>
      </c>
      <c r="L18732">
        <v>27.65</v>
      </c>
      <c r="M18732">
        <v>59502</v>
      </c>
      <c r="N18732" t="s">
        <v>63</v>
      </c>
      <c r="O18732">
        <v>251103</v>
      </c>
      <c r="P18732">
        <v>108.42</v>
      </c>
    </row>
    <row r="18733" spans="1:16" x14ac:dyDescent="0.25">
      <c r="A18733" t="s">
        <v>3296</v>
      </c>
      <c r="B18733" t="s">
        <v>2931</v>
      </c>
      <c r="C18733">
        <v>14501</v>
      </c>
      <c r="D18733" t="str">
        <f>"251538      "</f>
        <v xml:space="preserve">251538      </v>
      </c>
      <c r="E18733" t="s">
        <v>225</v>
      </c>
      <c r="F18733" t="s">
        <v>228</v>
      </c>
      <c r="G18733">
        <v>87.04</v>
      </c>
      <c r="H18733">
        <v>251030</v>
      </c>
      <c r="I18733">
        <v>4550</v>
      </c>
      <c r="J18733" t="s">
        <v>226</v>
      </c>
      <c r="K18733">
        <v>223.11</v>
      </c>
      <c r="L18733">
        <v>17.690000000000001</v>
      </c>
      <c r="M18733">
        <v>59802</v>
      </c>
      <c r="N18733" t="s">
        <v>195</v>
      </c>
      <c r="O18733">
        <v>251103</v>
      </c>
      <c r="P18733">
        <v>69.349999999999994</v>
      </c>
    </row>
    <row r="18734" spans="1:16" x14ac:dyDescent="0.25">
      <c r="A18734" t="s">
        <v>3296</v>
      </c>
      <c r="B18734" t="s">
        <v>2931</v>
      </c>
      <c r="C18734">
        <v>14663</v>
      </c>
      <c r="D18734" t="str">
        <f>"251608      "</f>
        <v xml:space="preserve">251608      </v>
      </c>
      <c r="E18734" t="s">
        <v>225</v>
      </c>
      <c r="F18734" t="s">
        <v>228</v>
      </c>
      <c r="G18734">
        <v>113.75</v>
      </c>
      <c r="H18734">
        <v>251031</v>
      </c>
      <c r="I18734">
        <v>4550</v>
      </c>
      <c r="J18734" t="s">
        <v>226</v>
      </c>
      <c r="K18734">
        <v>113.75</v>
      </c>
      <c r="L18734">
        <v>23.11</v>
      </c>
      <c r="M18734">
        <v>54222</v>
      </c>
      <c r="N18734" t="s">
        <v>48</v>
      </c>
      <c r="O18734">
        <v>251105</v>
      </c>
      <c r="P18734">
        <v>90.64</v>
      </c>
    </row>
    <row r="18735" spans="1:16" x14ac:dyDescent="0.25">
      <c r="A18735" t="s">
        <v>3296</v>
      </c>
      <c r="B18735" t="s">
        <v>2931</v>
      </c>
      <c r="C18735">
        <v>14727</v>
      </c>
      <c r="D18735" t="str">
        <f>"251092      "</f>
        <v xml:space="preserve">251092      </v>
      </c>
      <c r="E18735" t="s">
        <v>225</v>
      </c>
      <c r="F18735" t="s">
        <v>228</v>
      </c>
      <c r="G18735">
        <v>340.89</v>
      </c>
      <c r="H18735">
        <v>251028</v>
      </c>
      <c r="I18735">
        <v>4550</v>
      </c>
      <c r="J18735" t="s">
        <v>226</v>
      </c>
      <c r="K18735">
        <v>340.89</v>
      </c>
      <c r="L18735">
        <v>69.260000000000005</v>
      </c>
      <c r="M18735">
        <v>49112</v>
      </c>
      <c r="N18735" t="s">
        <v>109</v>
      </c>
      <c r="O18735">
        <v>251106</v>
      </c>
      <c r="P18735">
        <v>271.63</v>
      </c>
    </row>
    <row r="18736" spans="1:16" x14ac:dyDescent="0.25">
      <c r="A18736" t="s">
        <v>3296</v>
      </c>
      <c r="B18736" t="s">
        <v>2931</v>
      </c>
      <c r="C18736">
        <v>14950</v>
      </c>
      <c r="D18736" t="str">
        <f>"251282      "</f>
        <v xml:space="preserve">251282      </v>
      </c>
      <c r="E18736" t="s">
        <v>225</v>
      </c>
      <c r="F18736" t="s">
        <v>228</v>
      </c>
      <c r="G18736">
        <v>178.46</v>
      </c>
      <c r="H18736">
        <v>251029</v>
      </c>
      <c r="I18736">
        <v>4550</v>
      </c>
      <c r="J18736" t="s">
        <v>226</v>
      </c>
      <c r="K18736">
        <v>1948.15</v>
      </c>
      <c r="L18736">
        <v>36.26</v>
      </c>
      <c r="M18736">
        <v>67554</v>
      </c>
      <c r="N18736" t="s">
        <v>317</v>
      </c>
      <c r="O18736">
        <v>251110</v>
      </c>
      <c r="P18736">
        <v>142.19999999999999</v>
      </c>
    </row>
    <row r="18737" spans="1:16" x14ac:dyDescent="0.25">
      <c r="A18737" t="s">
        <v>3296</v>
      </c>
      <c r="B18737" t="s">
        <v>2931</v>
      </c>
      <c r="C18737">
        <v>14950</v>
      </c>
      <c r="D18737" t="str">
        <f>"251282      "</f>
        <v xml:space="preserve">251282      </v>
      </c>
      <c r="E18737" t="s">
        <v>225</v>
      </c>
      <c r="F18737" t="s">
        <v>228</v>
      </c>
      <c r="G18737">
        <v>353.94</v>
      </c>
      <c r="H18737">
        <v>251029</v>
      </c>
      <c r="I18737">
        <v>4550</v>
      </c>
      <c r="J18737" t="s">
        <v>226</v>
      </c>
      <c r="K18737">
        <v>1948.15</v>
      </c>
      <c r="L18737">
        <v>71.92</v>
      </c>
      <c r="M18737">
        <v>69111</v>
      </c>
      <c r="N18737" t="s">
        <v>657</v>
      </c>
      <c r="O18737">
        <v>251110</v>
      </c>
      <c r="P18737">
        <v>282.02</v>
      </c>
    </row>
    <row r="18738" spans="1:16" x14ac:dyDescent="0.25">
      <c r="A18738" t="s">
        <v>3296</v>
      </c>
      <c r="B18738" t="s">
        <v>2931</v>
      </c>
      <c r="C18738">
        <v>14950</v>
      </c>
      <c r="D18738" t="str">
        <f>"251282      "</f>
        <v xml:space="preserve">251282      </v>
      </c>
      <c r="E18738" t="s">
        <v>225</v>
      </c>
      <c r="F18738" t="s">
        <v>228</v>
      </c>
      <c r="G18738">
        <v>1415.75</v>
      </c>
      <c r="H18738">
        <v>251029</v>
      </c>
      <c r="I18738">
        <v>4550</v>
      </c>
      <c r="J18738" t="s">
        <v>226</v>
      </c>
      <c r="K18738">
        <v>1948.15</v>
      </c>
      <c r="L18738">
        <v>287.66000000000003</v>
      </c>
      <c r="M18738">
        <v>69501</v>
      </c>
      <c r="N18738" t="s">
        <v>123</v>
      </c>
      <c r="O18738">
        <v>251110</v>
      </c>
      <c r="P18738">
        <v>1128.0899999999999</v>
      </c>
    </row>
    <row r="18739" spans="1:16" x14ac:dyDescent="0.25">
      <c r="A18739" t="s">
        <v>3296</v>
      </c>
      <c r="B18739" t="s">
        <v>2931</v>
      </c>
      <c r="C18739">
        <v>15426</v>
      </c>
      <c r="D18739" t="str">
        <f>"252639      "</f>
        <v xml:space="preserve">252639      </v>
      </c>
      <c r="E18739" t="s">
        <v>225</v>
      </c>
      <c r="F18739" t="s">
        <v>228</v>
      </c>
      <c r="G18739">
        <v>230.38</v>
      </c>
      <c r="H18739">
        <v>251107</v>
      </c>
      <c r="I18739">
        <v>4550</v>
      </c>
      <c r="J18739" t="s">
        <v>226</v>
      </c>
      <c r="K18739">
        <v>377.73</v>
      </c>
      <c r="L18739">
        <v>46.81</v>
      </c>
      <c r="M18739">
        <v>59502</v>
      </c>
      <c r="N18739" t="s">
        <v>63</v>
      </c>
      <c r="O18739">
        <v>251120</v>
      </c>
      <c r="P18739">
        <v>183.57</v>
      </c>
    </row>
    <row r="18740" spans="1:16" x14ac:dyDescent="0.25">
      <c r="A18740" t="s">
        <v>3296</v>
      </c>
      <c r="B18740" t="s">
        <v>2931</v>
      </c>
      <c r="C18740">
        <v>15426</v>
      </c>
      <c r="D18740" t="str">
        <f>"252639      "</f>
        <v xml:space="preserve">252639      </v>
      </c>
      <c r="E18740" t="s">
        <v>225</v>
      </c>
      <c r="F18740" t="s">
        <v>228</v>
      </c>
      <c r="G18740">
        <v>147.35</v>
      </c>
      <c r="H18740">
        <v>251107</v>
      </c>
      <c r="I18740">
        <v>4550</v>
      </c>
      <c r="J18740" t="s">
        <v>226</v>
      </c>
      <c r="K18740">
        <v>377.73</v>
      </c>
      <c r="L18740">
        <v>29.94</v>
      </c>
      <c r="M18740">
        <v>59802</v>
      </c>
      <c r="N18740" t="s">
        <v>195</v>
      </c>
      <c r="O18740">
        <v>251120</v>
      </c>
      <c r="P18740">
        <v>117.41</v>
      </c>
    </row>
    <row r="18741" spans="1:16" x14ac:dyDescent="0.25">
      <c r="A18741" t="s">
        <v>3296</v>
      </c>
      <c r="B18741" t="s">
        <v>2931</v>
      </c>
      <c r="C18741">
        <v>15458</v>
      </c>
      <c r="D18741" t="str">
        <f>"252921      "</f>
        <v xml:space="preserve">252921      </v>
      </c>
      <c r="E18741" t="s">
        <v>225</v>
      </c>
      <c r="F18741" t="s">
        <v>228</v>
      </c>
      <c r="G18741">
        <v>80.03</v>
      </c>
      <c r="H18741">
        <v>251110</v>
      </c>
      <c r="I18741">
        <v>4550</v>
      </c>
      <c r="J18741" t="s">
        <v>226</v>
      </c>
      <c r="K18741">
        <v>266.77</v>
      </c>
      <c r="L18741">
        <v>16.260000000000002</v>
      </c>
      <c r="M18741">
        <v>11401</v>
      </c>
      <c r="N18741" t="s">
        <v>91</v>
      </c>
      <c r="O18741">
        <v>251120</v>
      </c>
      <c r="P18741">
        <v>63.77</v>
      </c>
    </row>
    <row r="18742" spans="1:16" x14ac:dyDescent="0.25">
      <c r="A18742" t="s">
        <v>3296</v>
      </c>
      <c r="B18742" t="s">
        <v>2931</v>
      </c>
      <c r="C18742">
        <v>15458</v>
      </c>
      <c r="D18742" t="str">
        <f>"252921      "</f>
        <v xml:space="preserve">252921      </v>
      </c>
      <c r="E18742" t="s">
        <v>225</v>
      </c>
      <c r="F18742" t="s">
        <v>228</v>
      </c>
      <c r="G18742">
        <v>186.74</v>
      </c>
      <c r="H18742">
        <v>251110</v>
      </c>
      <c r="I18742">
        <v>4550</v>
      </c>
      <c r="J18742" t="s">
        <v>226</v>
      </c>
      <c r="K18742">
        <v>266.77</v>
      </c>
      <c r="L18742">
        <v>37.94</v>
      </c>
      <c r="M18742">
        <v>14952</v>
      </c>
      <c r="N18742" t="s">
        <v>213</v>
      </c>
      <c r="O18742">
        <v>251120</v>
      </c>
      <c r="P18742">
        <v>148.80000000000001</v>
      </c>
    </row>
    <row r="18743" spans="1:16" x14ac:dyDescent="0.25">
      <c r="A18743" t="s">
        <v>3296</v>
      </c>
      <c r="B18743" t="s">
        <v>2931</v>
      </c>
      <c r="C18743">
        <v>15494</v>
      </c>
      <c r="D18743" t="str">
        <f>"252903      "</f>
        <v xml:space="preserve">252903      </v>
      </c>
      <c r="E18743" t="s">
        <v>225</v>
      </c>
      <c r="F18743" t="s">
        <v>228</v>
      </c>
      <c r="G18743">
        <v>178.44</v>
      </c>
      <c r="H18743">
        <v>251110</v>
      </c>
      <c r="I18743">
        <v>4550</v>
      </c>
      <c r="J18743" t="s">
        <v>226</v>
      </c>
      <c r="K18743">
        <v>178.44</v>
      </c>
      <c r="L18743">
        <v>36.26</v>
      </c>
      <c r="M18743">
        <v>59114</v>
      </c>
      <c r="N18743" t="s">
        <v>299</v>
      </c>
      <c r="O18743">
        <v>251121</v>
      </c>
      <c r="P18743">
        <v>142.18</v>
      </c>
    </row>
    <row r="18744" spans="1:16" x14ac:dyDescent="0.25">
      <c r="A18744" t="s">
        <v>3296</v>
      </c>
      <c r="B18744" t="s">
        <v>2931</v>
      </c>
      <c r="C18744">
        <v>15504</v>
      </c>
      <c r="D18744" t="str">
        <f>"252826      "</f>
        <v xml:space="preserve">252826      </v>
      </c>
      <c r="E18744" t="s">
        <v>225</v>
      </c>
      <c r="F18744" t="s">
        <v>228</v>
      </c>
      <c r="G18744">
        <v>-193.91</v>
      </c>
      <c r="H18744">
        <v>251110</v>
      </c>
      <c r="I18744">
        <v>4550</v>
      </c>
      <c r="J18744" t="s">
        <v>226</v>
      </c>
      <c r="K18744">
        <v>-317.94</v>
      </c>
      <c r="L18744">
        <v>-39.4</v>
      </c>
      <c r="M18744">
        <v>59502</v>
      </c>
      <c r="N18744" t="s">
        <v>63</v>
      </c>
      <c r="O18744">
        <v>251121</v>
      </c>
      <c r="P18744">
        <v>-154.51</v>
      </c>
    </row>
    <row r="18745" spans="1:16" x14ac:dyDescent="0.25">
      <c r="A18745" t="s">
        <v>3296</v>
      </c>
      <c r="B18745" t="s">
        <v>2931</v>
      </c>
      <c r="C18745">
        <v>15504</v>
      </c>
      <c r="D18745" t="str">
        <f>"252826      "</f>
        <v xml:space="preserve">252826      </v>
      </c>
      <c r="E18745" t="s">
        <v>225</v>
      </c>
      <c r="F18745" t="s">
        <v>228</v>
      </c>
      <c r="G18745">
        <v>-124.03</v>
      </c>
      <c r="H18745">
        <v>251110</v>
      </c>
      <c r="I18745">
        <v>4550</v>
      </c>
      <c r="J18745" t="s">
        <v>226</v>
      </c>
      <c r="K18745">
        <v>-317.94</v>
      </c>
      <c r="L18745">
        <v>-25.2</v>
      </c>
      <c r="M18745">
        <v>59802</v>
      </c>
      <c r="N18745" t="s">
        <v>195</v>
      </c>
      <c r="O18745">
        <v>251121</v>
      </c>
      <c r="P18745">
        <v>-98.83</v>
      </c>
    </row>
    <row r="18746" spans="1:16" x14ac:dyDescent="0.25">
      <c r="A18746" t="s">
        <v>3296</v>
      </c>
      <c r="B18746" t="s">
        <v>2931</v>
      </c>
      <c r="C18746">
        <v>15857</v>
      </c>
      <c r="D18746" t="str">
        <f>"255120      "</f>
        <v xml:space="preserve">255120      </v>
      </c>
      <c r="E18746" t="s">
        <v>225</v>
      </c>
      <c r="F18746" t="s">
        <v>228</v>
      </c>
      <c r="G18746">
        <v>167.22</v>
      </c>
      <c r="H18746">
        <v>251125</v>
      </c>
      <c r="I18746">
        <v>4550</v>
      </c>
      <c r="J18746" t="s">
        <v>226</v>
      </c>
      <c r="K18746">
        <v>167.22</v>
      </c>
      <c r="L18746">
        <v>33.979999999999997</v>
      </c>
      <c r="M18746">
        <v>59504</v>
      </c>
      <c r="N18746" t="s">
        <v>193</v>
      </c>
      <c r="O18746">
        <v>251127</v>
      </c>
      <c r="P18746">
        <v>133.24</v>
      </c>
    </row>
    <row r="18747" spans="1:16" x14ac:dyDescent="0.25">
      <c r="A18747" t="s">
        <v>3296</v>
      </c>
      <c r="B18747" t="s">
        <v>2931</v>
      </c>
      <c r="C18747">
        <v>15913</v>
      </c>
      <c r="D18747" t="str">
        <f>"255259      "</f>
        <v xml:space="preserve">255259      </v>
      </c>
      <c r="E18747" t="s">
        <v>225</v>
      </c>
      <c r="F18747" t="s">
        <v>228</v>
      </c>
      <c r="G18747">
        <v>1260.99</v>
      </c>
      <c r="H18747">
        <v>251125</v>
      </c>
      <c r="I18747">
        <v>4550</v>
      </c>
      <c r="J18747" t="s">
        <v>226</v>
      </c>
      <c r="K18747">
        <v>1260.99</v>
      </c>
      <c r="L18747">
        <v>256.22000000000003</v>
      </c>
      <c r="M18747">
        <v>54451</v>
      </c>
      <c r="N18747" t="s">
        <v>218</v>
      </c>
      <c r="O18747">
        <v>251128</v>
      </c>
      <c r="P18747">
        <v>1004.77</v>
      </c>
    </row>
    <row r="18748" spans="1:16" x14ac:dyDescent="0.25">
      <c r="A18748" t="s">
        <v>3296</v>
      </c>
      <c r="B18748" t="s">
        <v>2931</v>
      </c>
      <c r="C18748">
        <v>15924</v>
      </c>
      <c r="D18748" t="str">
        <f>"253486      "</f>
        <v xml:space="preserve">253486      </v>
      </c>
      <c r="E18748" t="s">
        <v>225</v>
      </c>
      <c r="F18748" t="s">
        <v>228</v>
      </c>
      <c r="G18748">
        <v>171.05</v>
      </c>
      <c r="H18748">
        <v>251113</v>
      </c>
      <c r="I18748">
        <v>4550</v>
      </c>
      <c r="J18748" t="s">
        <v>226</v>
      </c>
      <c r="K18748">
        <v>1893.74</v>
      </c>
      <c r="L18748">
        <v>34.76</v>
      </c>
      <c r="M18748">
        <v>13540</v>
      </c>
      <c r="N18748" t="s">
        <v>131</v>
      </c>
      <c r="O18748">
        <v>251201</v>
      </c>
      <c r="P18748">
        <v>136.29</v>
      </c>
    </row>
    <row r="18749" spans="1:16" x14ac:dyDescent="0.25">
      <c r="A18749" t="s">
        <v>3296</v>
      </c>
      <c r="B18749" t="s">
        <v>2931</v>
      </c>
      <c r="C18749">
        <v>15924</v>
      </c>
      <c r="D18749" t="str">
        <f>"253486      "</f>
        <v xml:space="preserve">253486      </v>
      </c>
      <c r="E18749" t="s">
        <v>225</v>
      </c>
      <c r="F18749" t="s">
        <v>228</v>
      </c>
      <c r="G18749">
        <v>1166.27</v>
      </c>
      <c r="H18749">
        <v>251113</v>
      </c>
      <c r="I18749">
        <v>4550</v>
      </c>
      <c r="J18749" t="s">
        <v>226</v>
      </c>
      <c r="K18749">
        <v>1893.74</v>
      </c>
      <c r="L18749">
        <v>236.97</v>
      </c>
      <c r="M18749">
        <v>17950</v>
      </c>
      <c r="N18749" t="s">
        <v>132</v>
      </c>
      <c r="O18749">
        <v>251201</v>
      </c>
      <c r="P18749">
        <v>929.3</v>
      </c>
    </row>
    <row r="18750" spans="1:16" x14ac:dyDescent="0.25">
      <c r="A18750" t="s">
        <v>3296</v>
      </c>
      <c r="B18750" t="s">
        <v>2931</v>
      </c>
      <c r="C18750">
        <v>15924</v>
      </c>
      <c r="D18750" t="str">
        <f>"253486      "</f>
        <v xml:space="preserve">253486      </v>
      </c>
      <c r="E18750" t="s">
        <v>225</v>
      </c>
      <c r="F18750" t="s">
        <v>228</v>
      </c>
      <c r="G18750">
        <v>156.58000000000001</v>
      </c>
      <c r="H18750">
        <v>251113</v>
      </c>
      <c r="I18750">
        <v>4550</v>
      </c>
      <c r="J18750" t="s">
        <v>226</v>
      </c>
      <c r="K18750">
        <v>1893.74</v>
      </c>
      <c r="L18750">
        <v>31.82</v>
      </c>
      <c r="M18750">
        <v>17955</v>
      </c>
      <c r="N18750" t="s">
        <v>899</v>
      </c>
      <c r="O18750">
        <v>251201</v>
      </c>
      <c r="P18750">
        <v>124.76</v>
      </c>
    </row>
    <row r="18751" spans="1:16" x14ac:dyDescent="0.25">
      <c r="A18751" t="s">
        <v>3296</v>
      </c>
      <c r="B18751" t="s">
        <v>2931</v>
      </c>
      <c r="C18751">
        <v>15924</v>
      </c>
      <c r="D18751" t="str">
        <f>"253486      "</f>
        <v xml:space="preserve">253486      </v>
      </c>
      <c r="E18751" t="s">
        <v>225</v>
      </c>
      <c r="F18751" t="s">
        <v>228</v>
      </c>
      <c r="G18751">
        <v>217.7</v>
      </c>
      <c r="H18751">
        <v>251113</v>
      </c>
      <c r="I18751">
        <v>4550</v>
      </c>
      <c r="J18751" t="s">
        <v>226</v>
      </c>
      <c r="K18751">
        <v>1893.74</v>
      </c>
      <c r="L18751">
        <v>44.23</v>
      </c>
      <c r="M18751">
        <v>17956</v>
      </c>
      <c r="N18751" t="s">
        <v>170</v>
      </c>
      <c r="O18751">
        <v>251201</v>
      </c>
      <c r="P18751">
        <v>173.47</v>
      </c>
    </row>
    <row r="18752" spans="1:16" x14ac:dyDescent="0.25">
      <c r="A18752" t="s">
        <v>3296</v>
      </c>
      <c r="B18752" t="s">
        <v>2931</v>
      </c>
      <c r="C18752">
        <v>16758</v>
      </c>
      <c r="D18752" t="str">
        <f>"256947      "</f>
        <v xml:space="preserve">256947      </v>
      </c>
      <c r="E18752" t="s">
        <v>225</v>
      </c>
      <c r="F18752" t="s">
        <v>228</v>
      </c>
      <c r="G18752">
        <v>1149.18</v>
      </c>
      <c r="H18752">
        <v>251208</v>
      </c>
      <c r="I18752">
        <v>4550</v>
      </c>
      <c r="J18752" t="s">
        <v>226</v>
      </c>
      <c r="K18752">
        <v>1149.18</v>
      </c>
      <c r="L18752">
        <v>233.5</v>
      </c>
      <c r="M18752">
        <v>17952</v>
      </c>
      <c r="N18752" t="s">
        <v>157</v>
      </c>
      <c r="O18752">
        <v>251211</v>
      </c>
      <c r="P18752">
        <v>915.68</v>
      </c>
    </row>
    <row r="18753" spans="1:16" x14ac:dyDescent="0.25">
      <c r="A18753" t="s">
        <v>3296</v>
      </c>
      <c r="B18753" t="s">
        <v>2931</v>
      </c>
      <c r="C18753">
        <v>17098</v>
      </c>
      <c r="D18753" t="str">
        <f>"257281      "</f>
        <v xml:space="preserve">257281      </v>
      </c>
      <c r="E18753" t="s">
        <v>225</v>
      </c>
      <c r="F18753" t="s">
        <v>228</v>
      </c>
      <c r="G18753">
        <v>244.25</v>
      </c>
      <c r="H18753">
        <v>251209</v>
      </c>
      <c r="I18753">
        <v>4550</v>
      </c>
      <c r="J18753" t="s">
        <v>226</v>
      </c>
      <c r="K18753">
        <v>244.25</v>
      </c>
      <c r="L18753">
        <v>49.63</v>
      </c>
      <c r="M18753">
        <v>59113</v>
      </c>
      <c r="N18753" t="s">
        <v>61</v>
      </c>
      <c r="O18753">
        <v>251217</v>
      </c>
      <c r="P18753">
        <v>194.62</v>
      </c>
    </row>
    <row r="18754" spans="1:16" x14ac:dyDescent="0.25">
      <c r="A18754" t="s">
        <v>3296</v>
      </c>
      <c r="B18754" t="s">
        <v>2931</v>
      </c>
      <c r="C18754">
        <v>17741</v>
      </c>
      <c r="D18754" t="str">
        <f>"257988      "</f>
        <v xml:space="preserve">257988      </v>
      </c>
      <c r="E18754" t="s">
        <v>225</v>
      </c>
      <c r="F18754" t="s">
        <v>228</v>
      </c>
      <c r="G18754">
        <v>83</v>
      </c>
      <c r="H18754">
        <v>251216</v>
      </c>
      <c r="I18754">
        <v>4550</v>
      </c>
      <c r="J18754" t="s">
        <v>226</v>
      </c>
      <c r="K18754">
        <v>3246.43</v>
      </c>
      <c r="L18754">
        <v>16.86</v>
      </c>
      <c r="M18754">
        <v>44222</v>
      </c>
      <c r="N18754" t="s">
        <v>96</v>
      </c>
      <c r="O18754">
        <v>251230</v>
      </c>
      <c r="P18754">
        <v>66.14</v>
      </c>
    </row>
    <row r="18755" spans="1:16" x14ac:dyDescent="0.25">
      <c r="A18755" t="s">
        <v>3296</v>
      </c>
      <c r="B18755" t="s">
        <v>2931</v>
      </c>
      <c r="C18755">
        <v>17741</v>
      </c>
      <c r="D18755" t="str">
        <f>"257988      "</f>
        <v xml:space="preserve">257988      </v>
      </c>
      <c r="E18755" t="s">
        <v>225</v>
      </c>
      <c r="F18755" t="s">
        <v>228</v>
      </c>
      <c r="G18755">
        <v>3163.43</v>
      </c>
      <c r="H18755">
        <v>251216</v>
      </c>
      <c r="I18755">
        <v>4550</v>
      </c>
      <c r="J18755" t="s">
        <v>226</v>
      </c>
      <c r="K18755">
        <v>3246.43</v>
      </c>
      <c r="L18755">
        <v>642.77</v>
      </c>
      <c r="M18755">
        <v>49501</v>
      </c>
      <c r="N18755" t="s">
        <v>110</v>
      </c>
      <c r="O18755">
        <v>251230</v>
      </c>
      <c r="P18755">
        <v>2520.66</v>
      </c>
    </row>
    <row r="18756" spans="1:16" x14ac:dyDescent="0.25">
      <c r="A18756" t="s">
        <v>3296</v>
      </c>
      <c r="B18756" t="s">
        <v>2931</v>
      </c>
      <c r="C18756">
        <v>18224</v>
      </c>
      <c r="D18756" t="str">
        <f>"259274      "</f>
        <v xml:space="preserve">259274      </v>
      </c>
      <c r="E18756" t="s">
        <v>225</v>
      </c>
      <c r="F18756" t="s">
        <v>228</v>
      </c>
      <c r="G18756">
        <v>276.89</v>
      </c>
      <c r="H18756">
        <v>251231</v>
      </c>
      <c r="I18756">
        <v>4550</v>
      </c>
      <c r="J18756" t="s">
        <v>226</v>
      </c>
      <c r="K18756">
        <v>307.64999999999998</v>
      </c>
      <c r="L18756">
        <v>56.26</v>
      </c>
      <c r="M18756">
        <v>69112</v>
      </c>
      <c r="N18756" t="s">
        <v>227</v>
      </c>
      <c r="O18756">
        <v>260112</v>
      </c>
      <c r="P18756">
        <v>220.63</v>
      </c>
    </row>
    <row r="18757" spans="1:16" x14ac:dyDescent="0.25">
      <c r="A18757" t="s">
        <v>3296</v>
      </c>
      <c r="B18757" t="s">
        <v>2931</v>
      </c>
      <c r="C18757">
        <v>18224</v>
      </c>
      <c r="D18757" t="str">
        <f>"259274      "</f>
        <v xml:space="preserve">259274      </v>
      </c>
      <c r="E18757" t="s">
        <v>225</v>
      </c>
      <c r="F18757" t="s">
        <v>228</v>
      </c>
      <c r="G18757">
        <v>15.38</v>
      </c>
      <c r="H18757">
        <v>251231</v>
      </c>
      <c r="I18757">
        <v>4550</v>
      </c>
      <c r="J18757" t="s">
        <v>226</v>
      </c>
      <c r="K18757">
        <v>307.64999999999998</v>
      </c>
      <c r="L18757">
        <v>3.13</v>
      </c>
      <c r="M18757">
        <v>69810</v>
      </c>
      <c r="N18757" t="s">
        <v>229</v>
      </c>
      <c r="O18757">
        <v>260112</v>
      </c>
      <c r="P18757">
        <v>12.25</v>
      </c>
    </row>
    <row r="18758" spans="1:16" x14ac:dyDescent="0.25">
      <c r="A18758" t="s">
        <v>3296</v>
      </c>
      <c r="B18758" t="s">
        <v>2931</v>
      </c>
      <c r="C18758">
        <v>18224</v>
      </c>
      <c r="D18758" t="str">
        <f>"259274      "</f>
        <v xml:space="preserve">259274      </v>
      </c>
      <c r="E18758" t="s">
        <v>225</v>
      </c>
      <c r="F18758" t="s">
        <v>228</v>
      </c>
      <c r="G18758">
        <v>15.38</v>
      </c>
      <c r="H18758">
        <v>251231</v>
      </c>
      <c r="I18758">
        <v>4550</v>
      </c>
      <c r="J18758" t="s">
        <v>226</v>
      </c>
      <c r="K18758">
        <v>307.64999999999998</v>
      </c>
      <c r="L18758">
        <v>3.13</v>
      </c>
      <c r="M18758">
        <v>69811</v>
      </c>
      <c r="N18758" t="s">
        <v>230</v>
      </c>
      <c r="O18758">
        <v>260112</v>
      </c>
      <c r="P18758">
        <v>12.25</v>
      </c>
    </row>
    <row r="18759" spans="1:16" x14ac:dyDescent="0.25">
      <c r="A18759" t="s">
        <v>3296</v>
      </c>
      <c r="B18759" t="s">
        <v>2931</v>
      </c>
      <c r="C18759">
        <v>4318</v>
      </c>
      <c r="D18759" t="str">
        <f>"221714      "</f>
        <v xml:space="preserve">221714      </v>
      </c>
      <c r="E18759" t="s">
        <v>225</v>
      </c>
      <c r="F18759" t="s">
        <v>228</v>
      </c>
      <c r="G18759">
        <v>144.65</v>
      </c>
      <c r="H18759">
        <v>250320</v>
      </c>
      <c r="I18759">
        <v>4580</v>
      </c>
      <c r="J18759" t="s">
        <v>126</v>
      </c>
      <c r="K18759">
        <v>813.27</v>
      </c>
      <c r="L18759">
        <v>29.39</v>
      </c>
      <c r="M18759">
        <v>17524</v>
      </c>
      <c r="N18759" t="s">
        <v>139</v>
      </c>
      <c r="O18759">
        <v>250410</v>
      </c>
      <c r="P18759">
        <v>115.26</v>
      </c>
    </row>
    <row r="18760" spans="1:16" x14ac:dyDescent="0.25">
      <c r="A18760" t="s">
        <v>3296</v>
      </c>
      <c r="B18760" t="s">
        <v>2931</v>
      </c>
      <c r="C18760">
        <v>12960</v>
      </c>
      <c r="D18760" t="str">
        <f>"244992      "</f>
        <v xml:space="preserve">244992      </v>
      </c>
      <c r="E18760" t="s">
        <v>225</v>
      </c>
      <c r="F18760" t="s">
        <v>228</v>
      </c>
      <c r="G18760">
        <v>49.37</v>
      </c>
      <c r="H18760">
        <v>250916</v>
      </c>
      <c r="I18760">
        <v>4580</v>
      </c>
      <c r="J18760" t="s">
        <v>126</v>
      </c>
      <c r="K18760">
        <v>1892.39</v>
      </c>
      <c r="L18760">
        <v>10.029999999999999</v>
      </c>
      <c r="M18760">
        <v>11401</v>
      </c>
      <c r="N18760" t="s">
        <v>91</v>
      </c>
      <c r="O18760">
        <v>251003</v>
      </c>
      <c r="P18760">
        <v>39.340000000000003</v>
      </c>
    </row>
    <row r="18761" spans="1:16" x14ac:dyDescent="0.25">
      <c r="A18761" t="s">
        <v>3296</v>
      </c>
      <c r="B18761" t="s">
        <v>2931</v>
      </c>
      <c r="C18761">
        <v>12960</v>
      </c>
      <c r="D18761" t="str">
        <f>"244992      "</f>
        <v xml:space="preserve">244992      </v>
      </c>
      <c r="E18761" t="s">
        <v>225</v>
      </c>
      <c r="F18761" t="s">
        <v>228</v>
      </c>
      <c r="G18761">
        <v>1727.83</v>
      </c>
      <c r="H18761">
        <v>250916</v>
      </c>
      <c r="I18761">
        <v>4580</v>
      </c>
      <c r="J18761" t="s">
        <v>126</v>
      </c>
      <c r="K18761">
        <v>1892.39</v>
      </c>
      <c r="L18761">
        <v>351.07</v>
      </c>
      <c r="M18761">
        <v>14951</v>
      </c>
      <c r="N18761" t="s">
        <v>186</v>
      </c>
      <c r="O18761">
        <v>251003</v>
      </c>
      <c r="P18761">
        <v>1376.76</v>
      </c>
    </row>
    <row r="18762" spans="1:16" x14ac:dyDescent="0.25">
      <c r="A18762" t="s">
        <v>3296</v>
      </c>
      <c r="B18762" t="s">
        <v>2931</v>
      </c>
      <c r="C18762">
        <v>12960</v>
      </c>
      <c r="D18762" t="str">
        <f>"244992      "</f>
        <v xml:space="preserve">244992      </v>
      </c>
      <c r="E18762" t="s">
        <v>225</v>
      </c>
      <c r="F18762" t="s">
        <v>228</v>
      </c>
      <c r="G18762">
        <v>115.19</v>
      </c>
      <c r="H18762">
        <v>250916</v>
      </c>
      <c r="I18762">
        <v>4580</v>
      </c>
      <c r="J18762" t="s">
        <v>126</v>
      </c>
      <c r="K18762">
        <v>1892.39</v>
      </c>
      <c r="L18762">
        <v>23.41</v>
      </c>
      <c r="M18762">
        <v>14952</v>
      </c>
      <c r="N18762" t="s">
        <v>213</v>
      </c>
      <c r="O18762">
        <v>251003</v>
      </c>
      <c r="P18762">
        <v>91.78</v>
      </c>
    </row>
    <row r="18763" spans="1:16" x14ac:dyDescent="0.25">
      <c r="A18763" t="s">
        <v>3296</v>
      </c>
      <c r="B18763" t="s">
        <v>2931</v>
      </c>
      <c r="C18763">
        <v>7055</v>
      </c>
      <c r="D18763" t="str">
        <f>"227953      "</f>
        <v xml:space="preserve">227953      </v>
      </c>
      <c r="E18763" t="s">
        <v>225</v>
      </c>
      <c r="F18763" t="s">
        <v>228</v>
      </c>
      <c r="G18763">
        <v>14.1</v>
      </c>
      <c r="H18763">
        <v>250507</v>
      </c>
      <c r="I18763">
        <v>4600</v>
      </c>
      <c r="J18763" t="s">
        <v>278</v>
      </c>
      <c r="K18763">
        <v>1218.83</v>
      </c>
      <c r="L18763">
        <v>2.86</v>
      </c>
      <c r="M18763">
        <v>17538</v>
      </c>
      <c r="N18763" t="s">
        <v>129</v>
      </c>
      <c r="O18763">
        <v>250522</v>
      </c>
      <c r="P18763">
        <v>11.24</v>
      </c>
    </row>
    <row r="18764" spans="1:16" x14ac:dyDescent="0.25">
      <c r="A18764" t="s">
        <v>3296</v>
      </c>
      <c r="B18764" t="s">
        <v>2931</v>
      </c>
      <c r="C18764">
        <v>14551</v>
      </c>
      <c r="D18764" t="str">
        <f>"5223        "</f>
        <v xml:space="preserve">5223        </v>
      </c>
      <c r="E18764" t="s">
        <v>3155</v>
      </c>
      <c r="F18764" t="s">
        <v>3156</v>
      </c>
      <c r="G18764">
        <v>180</v>
      </c>
      <c r="H18764">
        <v>251029</v>
      </c>
      <c r="I18764">
        <v>4440</v>
      </c>
      <c r="J18764" t="s">
        <v>346</v>
      </c>
      <c r="K18764">
        <v>180</v>
      </c>
      <c r="L18764">
        <v>0</v>
      </c>
      <c r="M18764">
        <v>17131</v>
      </c>
      <c r="N18764" t="s">
        <v>154</v>
      </c>
      <c r="O18764">
        <v>251104</v>
      </c>
      <c r="P18764">
        <v>180</v>
      </c>
    </row>
    <row r="18765" spans="1:16" x14ac:dyDescent="0.25">
      <c r="A18765" t="s">
        <v>3296</v>
      </c>
      <c r="B18765" t="s">
        <v>2931</v>
      </c>
      <c r="C18765">
        <v>14218</v>
      </c>
      <c r="D18765" t="str">
        <f>"176098      "</f>
        <v xml:space="preserve">176098      </v>
      </c>
      <c r="E18765" t="s">
        <v>2485</v>
      </c>
      <c r="F18765" t="s">
        <v>2486</v>
      </c>
      <c r="G18765">
        <v>164.9</v>
      </c>
      <c r="H18765">
        <v>251022</v>
      </c>
      <c r="I18765">
        <v>4440</v>
      </c>
      <c r="J18765" t="s">
        <v>346</v>
      </c>
      <c r="K18765">
        <v>164.9</v>
      </c>
      <c r="L18765">
        <v>20.25</v>
      </c>
      <c r="M18765">
        <v>67522</v>
      </c>
      <c r="N18765" t="s">
        <v>121</v>
      </c>
      <c r="O18765">
        <v>251027</v>
      </c>
      <c r="P18765">
        <v>144.65</v>
      </c>
    </row>
    <row r="18766" spans="1:16" x14ac:dyDescent="0.25">
      <c r="A18766" t="s">
        <v>3296</v>
      </c>
      <c r="B18766" t="s">
        <v>2931</v>
      </c>
      <c r="C18766">
        <v>6065</v>
      </c>
      <c r="D18766" t="str">
        <f>"25147       "</f>
        <v xml:space="preserve">25147       </v>
      </c>
      <c r="E18766" t="s">
        <v>2969</v>
      </c>
      <c r="F18766" t="s">
        <v>2970</v>
      </c>
      <c r="G18766">
        <v>57.2</v>
      </c>
      <c r="H18766">
        <v>250430</v>
      </c>
      <c r="I18766">
        <v>4412</v>
      </c>
      <c r="J18766" t="s">
        <v>884</v>
      </c>
      <c r="K18766">
        <v>57.2</v>
      </c>
      <c r="L18766">
        <v>0</v>
      </c>
      <c r="M18766">
        <v>13601</v>
      </c>
      <c r="N18766" t="s">
        <v>115</v>
      </c>
      <c r="O18766">
        <v>250508</v>
      </c>
      <c r="P18766">
        <v>57.2</v>
      </c>
    </row>
    <row r="18767" spans="1:16" x14ac:dyDescent="0.25">
      <c r="A18767" t="s">
        <v>3296</v>
      </c>
      <c r="B18767" t="s">
        <v>2931</v>
      </c>
      <c r="C18767">
        <v>16619</v>
      </c>
      <c r="D18767" t="str">
        <f>"25214       "</f>
        <v xml:space="preserve">25214       </v>
      </c>
      <c r="E18767" t="s">
        <v>2969</v>
      </c>
      <c r="F18767" t="s">
        <v>2970</v>
      </c>
      <c r="G18767">
        <v>84</v>
      </c>
      <c r="H18767">
        <v>251127</v>
      </c>
      <c r="I18767">
        <v>4412</v>
      </c>
      <c r="J18767" t="s">
        <v>884</v>
      </c>
      <c r="K18767">
        <v>84</v>
      </c>
      <c r="L18767">
        <v>0</v>
      </c>
      <c r="M18767">
        <v>13661</v>
      </c>
      <c r="N18767" t="s">
        <v>243</v>
      </c>
      <c r="O18767">
        <v>251211</v>
      </c>
      <c r="P18767">
        <v>84</v>
      </c>
    </row>
    <row r="18768" spans="1:16" x14ac:dyDescent="0.25">
      <c r="A18768" t="s">
        <v>3296</v>
      </c>
      <c r="B18768" t="s">
        <v>2931</v>
      </c>
      <c r="C18768">
        <v>15395</v>
      </c>
      <c r="D18768" t="str">
        <f>"25176       "</f>
        <v xml:space="preserve">25176       </v>
      </c>
      <c r="E18768" t="s">
        <v>2969</v>
      </c>
      <c r="F18768" t="s">
        <v>2970</v>
      </c>
      <c r="G18768">
        <v>66.900000000000006</v>
      </c>
      <c r="H18768">
        <v>251111</v>
      </c>
      <c r="I18768">
        <v>4940</v>
      </c>
      <c r="J18768" t="s">
        <v>250</v>
      </c>
      <c r="K18768">
        <v>66.900000000000006</v>
      </c>
      <c r="L18768">
        <v>0</v>
      </c>
      <c r="M18768">
        <v>13661</v>
      </c>
      <c r="N18768" t="s">
        <v>243</v>
      </c>
      <c r="O18768">
        <v>251120</v>
      </c>
      <c r="P18768">
        <v>66.900000000000006</v>
      </c>
    </row>
    <row r="18769" spans="1:16" x14ac:dyDescent="0.25">
      <c r="A18769" t="s">
        <v>3296</v>
      </c>
      <c r="B18769" t="s">
        <v>2931</v>
      </c>
      <c r="C18769">
        <v>2339</v>
      </c>
      <c r="D18769" t="str">
        <f>"5315        "</f>
        <v xml:space="preserve">5315        </v>
      </c>
      <c r="E18769" t="s">
        <v>3013</v>
      </c>
      <c r="F18769" t="s">
        <v>3014</v>
      </c>
      <c r="G18769">
        <v>50</v>
      </c>
      <c r="H18769">
        <v>250220</v>
      </c>
      <c r="I18769">
        <v>4510</v>
      </c>
      <c r="J18769" t="s">
        <v>240</v>
      </c>
      <c r="K18769">
        <v>50</v>
      </c>
      <c r="L18769">
        <v>0</v>
      </c>
      <c r="M18769">
        <v>16930</v>
      </c>
      <c r="N18769" t="s">
        <v>135</v>
      </c>
      <c r="O18769">
        <v>250224</v>
      </c>
      <c r="P18769">
        <v>50</v>
      </c>
    </row>
    <row r="18770" spans="1:16" x14ac:dyDescent="0.25">
      <c r="A18770" t="s">
        <v>3296</v>
      </c>
      <c r="B18770" t="s">
        <v>2931</v>
      </c>
      <c r="C18770">
        <v>13967</v>
      </c>
      <c r="D18770" t="str">
        <f>"3150        "</f>
        <v xml:space="preserve">3150        </v>
      </c>
      <c r="E18770" t="s">
        <v>2977</v>
      </c>
      <c r="F18770" t="s">
        <v>2978</v>
      </c>
      <c r="G18770">
        <v>195</v>
      </c>
      <c r="H18770">
        <v>251008</v>
      </c>
      <c r="I18770">
        <v>4367</v>
      </c>
      <c r="J18770" t="s">
        <v>159</v>
      </c>
      <c r="K18770">
        <v>195</v>
      </c>
      <c r="L18770">
        <v>23.95</v>
      </c>
      <c r="M18770">
        <v>13901</v>
      </c>
      <c r="N18770" t="s">
        <v>116</v>
      </c>
      <c r="O18770">
        <v>251021</v>
      </c>
      <c r="P18770">
        <v>171.05</v>
      </c>
    </row>
    <row r="18771" spans="1:16" x14ac:dyDescent="0.25">
      <c r="A18771" t="s">
        <v>3296</v>
      </c>
      <c r="B18771" t="s">
        <v>2931</v>
      </c>
      <c r="C18771">
        <v>329</v>
      </c>
      <c r="D18771" t="str">
        <f>"131433      "</f>
        <v xml:space="preserve">131433      </v>
      </c>
      <c r="E18771" t="s">
        <v>2977</v>
      </c>
      <c r="F18771" t="s">
        <v>2978</v>
      </c>
      <c r="G18771">
        <v>85.5</v>
      </c>
      <c r="H18771">
        <v>250115</v>
      </c>
      <c r="I18771">
        <v>4470</v>
      </c>
      <c r="J18771" t="s">
        <v>203</v>
      </c>
      <c r="K18771">
        <v>85.5</v>
      </c>
      <c r="L18771">
        <v>10.5</v>
      </c>
      <c r="M18771">
        <v>13901</v>
      </c>
      <c r="N18771" t="s">
        <v>116</v>
      </c>
      <c r="O18771">
        <v>250121</v>
      </c>
      <c r="P18771">
        <v>75</v>
      </c>
    </row>
    <row r="18772" spans="1:16" x14ac:dyDescent="0.25">
      <c r="A18772" t="s">
        <v>3296</v>
      </c>
      <c r="B18772" t="s">
        <v>2931</v>
      </c>
      <c r="C18772">
        <v>349</v>
      </c>
      <c r="D18772" t="str">
        <f>"3143201     "</f>
        <v xml:space="preserve">3143201     </v>
      </c>
      <c r="E18772" t="s">
        <v>2977</v>
      </c>
      <c r="F18772" t="s">
        <v>2978</v>
      </c>
      <c r="G18772">
        <v>114</v>
      </c>
      <c r="H18772">
        <v>250115</v>
      </c>
      <c r="I18772">
        <v>4470</v>
      </c>
      <c r="J18772" t="s">
        <v>203</v>
      </c>
      <c r="K18772">
        <v>114</v>
      </c>
      <c r="L18772">
        <v>14</v>
      </c>
      <c r="M18772">
        <v>13901</v>
      </c>
      <c r="N18772" t="s">
        <v>116</v>
      </c>
      <c r="O18772">
        <v>250122</v>
      </c>
      <c r="P18772">
        <v>100</v>
      </c>
    </row>
    <row r="18773" spans="1:16" x14ac:dyDescent="0.25">
      <c r="A18773" t="s">
        <v>3296</v>
      </c>
      <c r="B18773" t="s">
        <v>2931</v>
      </c>
      <c r="C18773">
        <v>351</v>
      </c>
      <c r="D18773" t="str">
        <f>"131432      "</f>
        <v xml:space="preserve">131432      </v>
      </c>
      <c r="E18773" t="s">
        <v>2977</v>
      </c>
      <c r="F18773" t="s">
        <v>2978</v>
      </c>
      <c r="G18773">
        <v>85.5</v>
      </c>
      <c r="H18773">
        <v>250115</v>
      </c>
      <c r="I18773">
        <v>4470</v>
      </c>
      <c r="J18773" t="s">
        <v>203</v>
      </c>
      <c r="K18773">
        <v>85.5</v>
      </c>
      <c r="L18773">
        <v>10.5</v>
      </c>
      <c r="M18773">
        <v>13901</v>
      </c>
      <c r="N18773" t="s">
        <v>116</v>
      </c>
      <c r="O18773">
        <v>250122</v>
      </c>
      <c r="P18773">
        <v>75</v>
      </c>
    </row>
    <row r="18774" spans="1:16" x14ac:dyDescent="0.25">
      <c r="A18774" t="s">
        <v>3296</v>
      </c>
      <c r="B18774" t="s">
        <v>2931</v>
      </c>
      <c r="C18774">
        <v>432</v>
      </c>
      <c r="D18774" t="str">
        <f>"3143301     "</f>
        <v xml:space="preserve">3143301     </v>
      </c>
      <c r="E18774" t="s">
        <v>2977</v>
      </c>
      <c r="F18774" t="s">
        <v>2978</v>
      </c>
      <c r="G18774">
        <v>171</v>
      </c>
      <c r="H18774">
        <v>250115</v>
      </c>
      <c r="I18774">
        <v>4470</v>
      </c>
      <c r="J18774" t="s">
        <v>203</v>
      </c>
      <c r="K18774">
        <v>171</v>
      </c>
      <c r="L18774">
        <v>21</v>
      </c>
      <c r="M18774">
        <v>13901</v>
      </c>
      <c r="N18774" t="s">
        <v>116</v>
      </c>
      <c r="O18774">
        <v>250122</v>
      </c>
      <c r="P18774">
        <v>150</v>
      </c>
    </row>
    <row r="18775" spans="1:16" x14ac:dyDescent="0.25">
      <c r="A18775" t="s">
        <v>3296</v>
      </c>
      <c r="B18775" t="s">
        <v>2931</v>
      </c>
      <c r="C18775">
        <v>12165</v>
      </c>
      <c r="D18775" t="str">
        <f>"3089        "</f>
        <v xml:space="preserve">3089        </v>
      </c>
      <c r="E18775" t="s">
        <v>2977</v>
      </c>
      <c r="F18775" t="s">
        <v>2978</v>
      </c>
      <c r="G18775">
        <v>125</v>
      </c>
      <c r="H18775">
        <v>250912</v>
      </c>
      <c r="I18775">
        <v>4500</v>
      </c>
      <c r="J18775" t="s">
        <v>312</v>
      </c>
      <c r="K18775">
        <v>125</v>
      </c>
      <c r="L18775">
        <v>15.35</v>
      </c>
      <c r="M18775">
        <v>13901</v>
      </c>
      <c r="N18775" t="s">
        <v>116</v>
      </c>
      <c r="O18775">
        <v>250917</v>
      </c>
      <c r="P18775">
        <v>109.65</v>
      </c>
    </row>
    <row r="18776" spans="1:16" x14ac:dyDescent="0.25">
      <c r="A18776" t="s">
        <v>3296</v>
      </c>
      <c r="B18776" t="s">
        <v>2931</v>
      </c>
      <c r="C18776">
        <v>16484</v>
      </c>
      <c r="D18776" t="str">
        <f>"344         "</f>
        <v xml:space="preserve">344         </v>
      </c>
      <c r="E18776" t="s">
        <v>3181</v>
      </c>
      <c r="F18776" t="s">
        <v>3182</v>
      </c>
      <c r="G18776">
        <v>625</v>
      </c>
      <c r="H18776">
        <v>251101</v>
      </c>
      <c r="I18776">
        <v>4350</v>
      </c>
      <c r="J18776" t="s">
        <v>290</v>
      </c>
      <c r="K18776">
        <v>625</v>
      </c>
      <c r="L18776">
        <v>126.99</v>
      </c>
      <c r="M18776">
        <v>13201</v>
      </c>
      <c r="N18776" t="s">
        <v>269</v>
      </c>
      <c r="O18776">
        <v>251209</v>
      </c>
      <c r="P18776">
        <v>498.01</v>
      </c>
    </row>
    <row r="18777" spans="1:16" x14ac:dyDescent="0.25">
      <c r="A18777" t="s">
        <v>3296</v>
      </c>
      <c r="B18777" t="s">
        <v>2931</v>
      </c>
      <c r="C18777">
        <v>17159</v>
      </c>
      <c r="D18777" t="str">
        <f>"1201        "</f>
        <v xml:space="preserve">1201        </v>
      </c>
      <c r="E18777" t="s">
        <v>3163</v>
      </c>
      <c r="F18777" t="s">
        <v>3164</v>
      </c>
      <c r="G18777">
        <v>320</v>
      </c>
      <c r="H18777">
        <v>251130</v>
      </c>
      <c r="I18777">
        <v>4441</v>
      </c>
      <c r="J18777" t="s">
        <v>234</v>
      </c>
      <c r="K18777">
        <v>320</v>
      </c>
      <c r="L18777">
        <v>0</v>
      </c>
      <c r="M18777">
        <v>18972</v>
      </c>
      <c r="N18777" t="s">
        <v>39</v>
      </c>
      <c r="O18777">
        <v>251218</v>
      </c>
      <c r="P18777">
        <v>320</v>
      </c>
    </row>
    <row r="18778" spans="1:16" x14ac:dyDescent="0.25">
      <c r="A18778" t="s">
        <v>3296</v>
      </c>
      <c r="B18778" t="s">
        <v>2931</v>
      </c>
      <c r="C18778">
        <v>5327</v>
      </c>
      <c r="D18778" t="str">
        <f>"2249882     "</f>
        <v xml:space="preserve">2249882     </v>
      </c>
      <c r="E18778" t="s">
        <v>1716</v>
      </c>
      <c r="F18778" t="s">
        <v>1717</v>
      </c>
      <c r="G18778">
        <v>-27.5</v>
      </c>
      <c r="H18778">
        <v>250401</v>
      </c>
      <c r="I18778">
        <v>4600</v>
      </c>
      <c r="J18778" t="s">
        <v>278</v>
      </c>
      <c r="K18778">
        <v>-27.5</v>
      </c>
      <c r="L18778">
        <v>-5.59</v>
      </c>
      <c r="M18778">
        <v>54451</v>
      </c>
      <c r="N18778" t="s">
        <v>218</v>
      </c>
      <c r="O18778">
        <v>250423</v>
      </c>
      <c r="P18778">
        <v>-21.91</v>
      </c>
    </row>
    <row r="18779" spans="1:16" x14ac:dyDescent="0.25">
      <c r="A18779" t="s">
        <v>3296</v>
      </c>
      <c r="B18779" t="s">
        <v>2931</v>
      </c>
      <c r="C18779">
        <v>12475</v>
      </c>
      <c r="D18779" t="str">
        <f>"2324266     "</f>
        <v xml:space="preserve">2324266     </v>
      </c>
      <c r="E18779" t="s">
        <v>1716</v>
      </c>
      <c r="F18779" t="s">
        <v>1717</v>
      </c>
      <c r="G18779">
        <v>-18.8</v>
      </c>
      <c r="H18779">
        <v>250901</v>
      </c>
      <c r="I18779">
        <v>4600</v>
      </c>
      <c r="J18779" t="s">
        <v>278</v>
      </c>
      <c r="K18779">
        <v>-18.8</v>
      </c>
      <c r="L18779">
        <v>-3.82</v>
      </c>
      <c r="M18779">
        <v>54451</v>
      </c>
      <c r="N18779" t="s">
        <v>218</v>
      </c>
      <c r="O18779">
        <v>250924</v>
      </c>
      <c r="P18779">
        <v>-14.98</v>
      </c>
    </row>
    <row r="18780" spans="1:16" x14ac:dyDescent="0.25">
      <c r="A18780" t="s">
        <v>3296</v>
      </c>
      <c r="B18780" t="s">
        <v>2931</v>
      </c>
      <c r="C18780">
        <v>15098</v>
      </c>
      <c r="D18780" t="str">
        <f>"6003906     "</f>
        <v xml:space="preserve">6003906     </v>
      </c>
      <c r="E18780" t="s">
        <v>2543</v>
      </c>
      <c r="F18780" t="s">
        <v>2544</v>
      </c>
      <c r="G18780">
        <v>259.36</v>
      </c>
      <c r="H18780">
        <v>251027</v>
      </c>
      <c r="I18780">
        <v>4441</v>
      </c>
      <c r="J18780" t="s">
        <v>234</v>
      </c>
      <c r="K18780">
        <v>778.1</v>
      </c>
      <c r="L18780">
        <v>52.7</v>
      </c>
      <c r="M18780">
        <v>46554</v>
      </c>
      <c r="N18780" t="s">
        <v>102</v>
      </c>
      <c r="O18780">
        <v>251111</v>
      </c>
      <c r="P18780">
        <v>206.66</v>
      </c>
    </row>
    <row r="18781" spans="1:16" x14ac:dyDescent="0.25">
      <c r="A18781" t="s">
        <v>3296</v>
      </c>
      <c r="B18781" t="s">
        <v>2931</v>
      </c>
      <c r="C18781">
        <v>15098</v>
      </c>
      <c r="D18781" t="str">
        <f>"6003906     "</f>
        <v xml:space="preserve">6003906     </v>
      </c>
      <c r="E18781" t="s">
        <v>2543</v>
      </c>
      <c r="F18781" t="s">
        <v>2544</v>
      </c>
      <c r="G18781">
        <v>259.38</v>
      </c>
      <c r="H18781">
        <v>251027</v>
      </c>
      <c r="I18781">
        <v>4441</v>
      </c>
      <c r="J18781" t="s">
        <v>234</v>
      </c>
      <c r="K18781">
        <v>778.1</v>
      </c>
      <c r="L18781">
        <v>52.7</v>
      </c>
      <c r="M18781">
        <v>46555</v>
      </c>
      <c r="N18781" t="s">
        <v>103</v>
      </c>
      <c r="O18781">
        <v>251111</v>
      </c>
      <c r="P18781">
        <v>206.68</v>
      </c>
    </row>
    <row r="18782" spans="1:16" x14ac:dyDescent="0.25">
      <c r="A18782" t="s">
        <v>3296</v>
      </c>
      <c r="B18782" t="s">
        <v>2931</v>
      </c>
      <c r="C18782">
        <v>15098</v>
      </c>
      <c r="D18782" t="str">
        <f>"6003906     "</f>
        <v xml:space="preserve">6003906     </v>
      </c>
      <c r="E18782" t="s">
        <v>2543</v>
      </c>
      <c r="F18782" t="s">
        <v>2544</v>
      </c>
      <c r="G18782">
        <v>259.36</v>
      </c>
      <c r="H18782">
        <v>251027</v>
      </c>
      <c r="I18782">
        <v>4441</v>
      </c>
      <c r="J18782" t="s">
        <v>234</v>
      </c>
      <c r="K18782">
        <v>778.1</v>
      </c>
      <c r="L18782">
        <v>52.7</v>
      </c>
      <c r="M18782">
        <v>46557</v>
      </c>
      <c r="N18782" t="s">
        <v>104</v>
      </c>
      <c r="O18782">
        <v>251111</v>
      </c>
      <c r="P18782">
        <v>206.66</v>
      </c>
    </row>
    <row r="18783" spans="1:16" x14ac:dyDescent="0.25">
      <c r="A18783" t="s">
        <v>3296</v>
      </c>
      <c r="B18783" t="s">
        <v>2931</v>
      </c>
      <c r="C18783">
        <v>684</v>
      </c>
      <c r="D18783" t="str">
        <f>"50352179    "</f>
        <v xml:space="preserve">50352179    </v>
      </c>
      <c r="E18783" t="s">
        <v>2991</v>
      </c>
      <c r="F18783" t="s">
        <v>2992</v>
      </c>
      <c r="G18783">
        <v>101.83</v>
      </c>
      <c r="H18783">
        <v>250123</v>
      </c>
      <c r="I18783">
        <v>4440</v>
      </c>
      <c r="J18783" t="s">
        <v>346</v>
      </c>
      <c r="K18783">
        <v>305.48</v>
      </c>
      <c r="L18783">
        <v>20.69</v>
      </c>
      <c r="M18783">
        <v>66756</v>
      </c>
      <c r="N18783" t="s">
        <v>120</v>
      </c>
      <c r="O18783">
        <v>250127</v>
      </c>
      <c r="P18783">
        <v>81.14</v>
      </c>
    </row>
    <row r="18784" spans="1:16" x14ac:dyDescent="0.25">
      <c r="A18784" t="s">
        <v>3296</v>
      </c>
      <c r="B18784" t="s">
        <v>2931</v>
      </c>
      <c r="C18784">
        <v>684</v>
      </c>
      <c r="D18784" t="str">
        <f>"50352179    "</f>
        <v xml:space="preserve">50352179    </v>
      </c>
      <c r="E18784" t="s">
        <v>2991</v>
      </c>
      <c r="F18784" t="s">
        <v>2992</v>
      </c>
      <c r="G18784">
        <v>50.9</v>
      </c>
      <c r="H18784">
        <v>250123</v>
      </c>
      <c r="I18784">
        <v>4440</v>
      </c>
      <c r="J18784" t="s">
        <v>346</v>
      </c>
      <c r="K18784">
        <v>305.48</v>
      </c>
      <c r="L18784">
        <v>10.34</v>
      </c>
      <c r="M18784">
        <v>66756</v>
      </c>
      <c r="N18784" t="s">
        <v>120</v>
      </c>
      <c r="O18784">
        <v>250127</v>
      </c>
      <c r="P18784">
        <v>40.56</v>
      </c>
    </row>
    <row r="18785" spans="1:16" x14ac:dyDescent="0.25">
      <c r="A18785" t="s">
        <v>3296</v>
      </c>
      <c r="B18785" t="s">
        <v>2931</v>
      </c>
      <c r="C18785">
        <v>684</v>
      </c>
      <c r="D18785" t="str">
        <f>"50352179    "</f>
        <v xml:space="preserve">50352179    </v>
      </c>
      <c r="E18785" t="s">
        <v>2991</v>
      </c>
      <c r="F18785" t="s">
        <v>2992</v>
      </c>
      <c r="G18785">
        <v>101.85</v>
      </c>
      <c r="H18785">
        <v>250123</v>
      </c>
      <c r="I18785">
        <v>4440</v>
      </c>
      <c r="J18785" t="s">
        <v>346</v>
      </c>
      <c r="K18785">
        <v>305.48</v>
      </c>
      <c r="L18785">
        <v>20.69</v>
      </c>
      <c r="M18785">
        <v>67522</v>
      </c>
      <c r="N18785" t="s">
        <v>121</v>
      </c>
      <c r="O18785">
        <v>250127</v>
      </c>
      <c r="P18785">
        <v>81.16</v>
      </c>
    </row>
    <row r="18786" spans="1:16" x14ac:dyDescent="0.25">
      <c r="A18786" t="s">
        <v>3296</v>
      </c>
      <c r="B18786" t="s">
        <v>2931</v>
      </c>
      <c r="C18786">
        <v>684</v>
      </c>
      <c r="D18786" t="str">
        <f>"50352179    "</f>
        <v xml:space="preserve">50352179    </v>
      </c>
      <c r="E18786" t="s">
        <v>2991</v>
      </c>
      <c r="F18786" t="s">
        <v>2992</v>
      </c>
      <c r="G18786">
        <v>50.9</v>
      </c>
      <c r="H18786">
        <v>250123</v>
      </c>
      <c r="I18786">
        <v>4440</v>
      </c>
      <c r="J18786" t="s">
        <v>346</v>
      </c>
      <c r="K18786">
        <v>305.48</v>
      </c>
      <c r="L18786">
        <v>10.34</v>
      </c>
      <c r="M18786">
        <v>69501</v>
      </c>
      <c r="N18786" t="s">
        <v>123</v>
      </c>
      <c r="O18786">
        <v>250127</v>
      </c>
      <c r="P18786">
        <v>40.56</v>
      </c>
    </row>
    <row r="18787" spans="1:16" x14ac:dyDescent="0.25">
      <c r="A18787" t="s">
        <v>3296</v>
      </c>
      <c r="B18787" t="s">
        <v>2931</v>
      </c>
      <c r="C18787">
        <v>880</v>
      </c>
      <c r="D18787" t="str">
        <f>"50352448    "</f>
        <v xml:space="preserve">50352448    </v>
      </c>
      <c r="E18787" t="s">
        <v>2991</v>
      </c>
      <c r="F18787" t="s">
        <v>2992</v>
      </c>
      <c r="G18787">
        <v>81.84</v>
      </c>
      <c r="H18787">
        <v>250130</v>
      </c>
      <c r="I18787">
        <v>4440</v>
      </c>
      <c r="J18787" t="s">
        <v>346</v>
      </c>
      <c r="K18787">
        <v>81.84</v>
      </c>
      <c r="L18787">
        <v>16.63</v>
      </c>
      <c r="M18787">
        <v>17808</v>
      </c>
      <c r="N18787" t="s">
        <v>24</v>
      </c>
      <c r="O18787">
        <v>250130</v>
      </c>
      <c r="P18787">
        <v>65.209999999999994</v>
      </c>
    </row>
    <row r="18788" spans="1:16" x14ac:dyDescent="0.25">
      <c r="A18788" t="s">
        <v>3296</v>
      </c>
      <c r="B18788" t="s">
        <v>2931</v>
      </c>
      <c r="C18788">
        <v>2120</v>
      </c>
      <c r="D18788" t="str">
        <f>"50352830    "</f>
        <v xml:space="preserve">50352830    </v>
      </c>
      <c r="E18788" t="s">
        <v>2991</v>
      </c>
      <c r="F18788" t="s">
        <v>2992</v>
      </c>
      <c r="G18788">
        <v>106.69</v>
      </c>
      <c r="H18788">
        <v>250213</v>
      </c>
      <c r="I18788">
        <v>4440</v>
      </c>
      <c r="J18788" t="s">
        <v>346</v>
      </c>
      <c r="K18788">
        <v>106.69</v>
      </c>
      <c r="L18788">
        <v>21.68</v>
      </c>
      <c r="M18788">
        <v>56562</v>
      </c>
      <c r="N18788" t="s">
        <v>54</v>
      </c>
      <c r="O18788">
        <v>250220</v>
      </c>
      <c r="P18788">
        <v>85.01</v>
      </c>
    </row>
    <row r="18789" spans="1:16" x14ac:dyDescent="0.25">
      <c r="A18789" t="s">
        <v>3296</v>
      </c>
      <c r="B18789" t="s">
        <v>2931</v>
      </c>
      <c r="C18789">
        <v>2720</v>
      </c>
      <c r="D18789" t="str">
        <f>"50353213    "</f>
        <v xml:space="preserve">50353213    </v>
      </c>
      <c r="E18789" t="s">
        <v>2991</v>
      </c>
      <c r="F18789" t="s">
        <v>2992</v>
      </c>
      <c r="G18789">
        <v>380.03</v>
      </c>
      <c r="H18789">
        <v>250227</v>
      </c>
      <c r="I18789">
        <v>4440</v>
      </c>
      <c r="J18789" t="s">
        <v>346</v>
      </c>
      <c r="K18789">
        <v>380.03</v>
      </c>
      <c r="L18789">
        <v>77.22</v>
      </c>
      <c r="M18789">
        <v>56528</v>
      </c>
      <c r="N18789" t="s">
        <v>70</v>
      </c>
      <c r="O18789">
        <v>250311</v>
      </c>
      <c r="P18789">
        <v>302.81</v>
      </c>
    </row>
    <row r="18790" spans="1:16" x14ac:dyDescent="0.25">
      <c r="A18790" t="s">
        <v>3296</v>
      </c>
      <c r="B18790" t="s">
        <v>2931</v>
      </c>
      <c r="C18790">
        <v>4744</v>
      </c>
      <c r="D18790" t="str">
        <f>"50354187    "</f>
        <v xml:space="preserve">50354187    </v>
      </c>
      <c r="E18790" t="s">
        <v>2991</v>
      </c>
      <c r="F18790" t="s">
        <v>2992</v>
      </c>
      <c r="G18790">
        <v>230.93</v>
      </c>
      <c r="H18790">
        <v>250331</v>
      </c>
      <c r="I18790">
        <v>4440</v>
      </c>
      <c r="J18790" t="s">
        <v>346</v>
      </c>
      <c r="K18790">
        <v>230.93</v>
      </c>
      <c r="L18790">
        <v>46.92</v>
      </c>
      <c r="M18790">
        <v>56564</v>
      </c>
      <c r="N18790" t="s">
        <v>56</v>
      </c>
      <c r="O18790">
        <v>250415</v>
      </c>
      <c r="P18790">
        <v>184.01</v>
      </c>
    </row>
    <row r="18791" spans="1:16" x14ac:dyDescent="0.25">
      <c r="A18791" t="s">
        <v>3296</v>
      </c>
      <c r="B18791" t="s">
        <v>2931</v>
      </c>
      <c r="C18791">
        <v>5295</v>
      </c>
      <c r="D18791" t="str">
        <f>"50354459    "</f>
        <v xml:space="preserve">50354459    </v>
      </c>
      <c r="E18791" t="s">
        <v>2991</v>
      </c>
      <c r="F18791" t="s">
        <v>2992</v>
      </c>
      <c r="G18791">
        <v>13.42</v>
      </c>
      <c r="H18791">
        <v>250411</v>
      </c>
      <c r="I18791">
        <v>4440</v>
      </c>
      <c r="J18791" t="s">
        <v>346</v>
      </c>
      <c r="K18791">
        <v>13.42</v>
      </c>
      <c r="L18791">
        <v>2.73</v>
      </c>
      <c r="M18791">
        <v>56528</v>
      </c>
      <c r="N18791" t="s">
        <v>70</v>
      </c>
      <c r="O18791">
        <v>250423</v>
      </c>
      <c r="P18791">
        <v>10.69</v>
      </c>
    </row>
    <row r="18792" spans="1:16" x14ac:dyDescent="0.25">
      <c r="A18792" t="s">
        <v>3296</v>
      </c>
      <c r="B18792" t="s">
        <v>2931</v>
      </c>
      <c r="C18792">
        <v>6873</v>
      </c>
      <c r="D18792" t="str">
        <f>"50355352    "</f>
        <v xml:space="preserve">50355352    </v>
      </c>
      <c r="E18792" t="s">
        <v>2991</v>
      </c>
      <c r="F18792" t="s">
        <v>2992</v>
      </c>
      <c r="G18792">
        <v>131.54</v>
      </c>
      <c r="H18792">
        <v>250515</v>
      </c>
      <c r="I18792">
        <v>4440</v>
      </c>
      <c r="J18792" t="s">
        <v>346</v>
      </c>
      <c r="K18792">
        <v>131.54</v>
      </c>
      <c r="L18792">
        <v>26.73</v>
      </c>
      <c r="M18792">
        <v>17808</v>
      </c>
      <c r="N18792" t="s">
        <v>24</v>
      </c>
      <c r="O18792">
        <v>250520</v>
      </c>
      <c r="P18792">
        <v>104.81</v>
      </c>
    </row>
    <row r="18793" spans="1:16" x14ac:dyDescent="0.25">
      <c r="A18793" t="s">
        <v>3296</v>
      </c>
      <c r="B18793" t="s">
        <v>2931</v>
      </c>
      <c r="C18793">
        <v>6879</v>
      </c>
      <c r="D18793" t="str">
        <f>"50355351    "</f>
        <v xml:space="preserve">50355351    </v>
      </c>
      <c r="E18793" t="s">
        <v>2991</v>
      </c>
      <c r="F18793" t="s">
        <v>2992</v>
      </c>
      <c r="G18793">
        <v>106.69</v>
      </c>
      <c r="H18793">
        <v>250515</v>
      </c>
      <c r="I18793">
        <v>4440</v>
      </c>
      <c r="J18793" t="s">
        <v>346</v>
      </c>
      <c r="K18793">
        <v>106.69</v>
      </c>
      <c r="L18793">
        <v>21.68</v>
      </c>
      <c r="M18793">
        <v>17808</v>
      </c>
      <c r="N18793" t="s">
        <v>24</v>
      </c>
      <c r="O18793">
        <v>250520</v>
      </c>
      <c r="P18793">
        <v>85.01</v>
      </c>
    </row>
    <row r="18794" spans="1:16" x14ac:dyDescent="0.25">
      <c r="A18794" t="s">
        <v>3296</v>
      </c>
      <c r="B18794" t="s">
        <v>2931</v>
      </c>
      <c r="C18794">
        <v>11698</v>
      </c>
      <c r="D18794" t="str">
        <f>"50357484    "</f>
        <v xml:space="preserve">50357484    </v>
      </c>
      <c r="E18794" t="s">
        <v>2991</v>
      </c>
      <c r="F18794" t="s">
        <v>2992</v>
      </c>
      <c r="G18794">
        <v>230.93</v>
      </c>
      <c r="H18794">
        <v>250831</v>
      </c>
      <c r="I18794">
        <v>4440</v>
      </c>
      <c r="J18794" t="s">
        <v>346</v>
      </c>
      <c r="K18794">
        <v>230.93</v>
      </c>
      <c r="L18794">
        <v>46.92</v>
      </c>
      <c r="M18794">
        <v>46554</v>
      </c>
      <c r="N18794" t="s">
        <v>102</v>
      </c>
      <c r="O18794">
        <v>250910</v>
      </c>
      <c r="P18794">
        <v>184.01</v>
      </c>
    </row>
    <row r="18795" spans="1:16" x14ac:dyDescent="0.25">
      <c r="A18795" t="s">
        <v>3296</v>
      </c>
      <c r="B18795" t="s">
        <v>2931</v>
      </c>
      <c r="C18795">
        <v>12103</v>
      </c>
      <c r="D18795" t="str">
        <f>"50358266    "</f>
        <v xml:space="preserve">50358266    </v>
      </c>
      <c r="E18795" t="s">
        <v>2991</v>
      </c>
      <c r="F18795" t="s">
        <v>2992</v>
      </c>
      <c r="G18795">
        <v>345.13</v>
      </c>
      <c r="H18795">
        <v>250911</v>
      </c>
      <c r="I18795">
        <v>4440</v>
      </c>
      <c r="J18795" t="s">
        <v>346</v>
      </c>
      <c r="K18795">
        <v>345.13</v>
      </c>
      <c r="L18795">
        <v>70.13</v>
      </c>
      <c r="M18795">
        <v>56566</v>
      </c>
      <c r="N18795" t="s">
        <v>58</v>
      </c>
      <c r="O18795">
        <v>250916</v>
      </c>
      <c r="P18795">
        <v>275</v>
      </c>
    </row>
    <row r="18796" spans="1:16" x14ac:dyDescent="0.25">
      <c r="A18796" t="s">
        <v>3296</v>
      </c>
      <c r="B18796" t="s">
        <v>2931</v>
      </c>
      <c r="C18796">
        <v>12116</v>
      </c>
      <c r="D18796" t="str">
        <f>"50358142    "</f>
        <v xml:space="preserve">50358142    </v>
      </c>
      <c r="E18796" t="s">
        <v>2991</v>
      </c>
      <c r="F18796" t="s">
        <v>2992</v>
      </c>
      <c r="G18796">
        <v>345.13</v>
      </c>
      <c r="H18796">
        <v>250911</v>
      </c>
      <c r="I18796">
        <v>4440</v>
      </c>
      <c r="J18796" t="s">
        <v>346</v>
      </c>
      <c r="K18796">
        <v>345.13</v>
      </c>
      <c r="L18796">
        <v>70.13</v>
      </c>
      <c r="M18796">
        <v>56566</v>
      </c>
      <c r="N18796" t="s">
        <v>58</v>
      </c>
      <c r="O18796">
        <v>250916</v>
      </c>
      <c r="P18796">
        <v>275</v>
      </c>
    </row>
    <row r="18797" spans="1:16" x14ac:dyDescent="0.25">
      <c r="A18797" t="s">
        <v>3296</v>
      </c>
      <c r="B18797" t="s">
        <v>2931</v>
      </c>
      <c r="C18797">
        <v>12173</v>
      </c>
      <c r="D18797" t="str">
        <f>"50357757    "</f>
        <v xml:space="preserve">50357757    </v>
      </c>
      <c r="E18797" t="s">
        <v>2991</v>
      </c>
      <c r="F18797" t="s">
        <v>2992</v>
      </c>
      <c r="G18797">
        <v>345.13</v>
      </c>
      <c r="H18797">
        <v>250910</v>
      </c>
      <c r="I18797">
        <v>4440</v>
      </c>
      <c r="J18797" t="s">
        <v>346</v>
      </c>
      <c r="K18797">
        <v>345.13</v>
      </c>
      <c r="L18797">
        <v>70.13</v>
      </c>
      <c r="M18797">
        <v>17808</v>
      </c>
      <c r="N18797" t="s">
        <v>24</v>
      </c>
      <c r="O18797">
        <v>250917</v>
      </c>
      <c r="P18797">
        <v>275</v>
      </c>
    </row>
    <row r="18798" spans="1:16" x14ac:dyDescent="0.25">
      <c r="A18798" t="s">
        <v>3296</v>
      </c>
      <c r="B18798" t="s">
        <v>2931</v>
      </c>
      <c r="C18798">
        <v>12442</v>
      </c>
      <c r="D18798" t="str">
        <f>"50358366    "</f>
        <v xml:space="preserve">50358366    </v>
      </c>
      <c r="E18798" t="s">
        <v>2991</v>
      </c>
      <c r="F18798" t="s">
        <v>2992</v>
      </c>
      <c r="G18798">
        <v>345.13</v>
      </c>
      <c r="H18798">
        <v>250911</v>
      </c>
      <c r="I18798">
        <v>4440</v>
      </c>
      <c r="J18798" t="s">
        <v>346</v>
      </c>
      <c r="K18798">
        <v>345.13</v>
      </c>
      <c r="L18798">
        <v>70.13</v>
      </c>
      <c r="M18798">
        <v>46554</v>
      </c>
      <c r="N18798" t="s">
        <v>102</v>
      </c>
      <c r="O18798">
        <v>250922</v>
      </c>
      <c r="P18798">
        <v>275</v>
      </c>
    </row>
    <row r="18799" spans="1:16" x14ac:dyDescent="0.25">
      <c r="A18799" t="s">
        <v>3296</v>
      </c>
      <c r="B18799" t="s">
        <v>2931</v>
      </c>
      <c r="C18799">
        <v>12637</v>
      </c>
      <c r="D18799" t="str">
        <f>"50358586    "</f>
        <v xml:space="preserve">50358586    </v>
      </c>
      <c r="E18799" t="s">
        <v>2991</v>
      </c>
      <c r="F18799" t="s">
        <v>2992</v>
      </c>
      <c r="G18799">
        <v>156.38</v>
      </c>
      <c r="H18799">
        <v>250918</v>
      </c>
      <c r="I18799">
        <v>4440</v>
      </c>
      <c r="J18799" t="s">
        <v>346</v>
      </c>
      <c r="K18799">
        <v>156.38</v>
      </c>
      <c r="L18799">
        <v>31.77</v>
      </c>
      <c r="M18799">
        <v>56562</v>
      </c>
      <c r="N18799" t="s">
        <v>54</v>
      </c>
      <c r="O18799">
        <v>250929</v>
      </c>
      <c r="P18799">
        <v>124.61</v>
      </c>
    </row>
    <row r="18800" spans="1:16" x14ac:dyDescent="0.25">
      <c r="A18800" t="s">
        <v>3296</v>
      </c>
      <c r="B18800" t="s">
        <v>2931</v>
      </c>
      <c r="C18800">
        <v>12954</v>
      </c>
      <c r="D18800" t="str">
        <f>"50357949    "</f>
        <v xml:space="preserve">50357949    </v>
      </c>
      <c r="E18800" t="s">
        <v>2991</v>
      </c>
      <c r="F18800" t="s">
        <v>2992</v>
      </c>
      <c r="G18800">
        <v>115.13</v>
      </c>
      <c r="H18800">
        <v>250910</v>
      </c>
      <c r="I18800">
        <v>4440</v>
      </c>
      <c r="J18800" t="s">
        <v>346</v>
      </c>
      <c r="K18800">
        <v>345.13</v>
      </c>
      <c r="L18800">
        <v>23.39</v>
      </c>
      <c r="M18800">
        <v>46554</v>
      </c>
      <c r="N18800" t="s">
        <v>102</v>
      </c>
      <c r="O18800">
        <v>251003</v>
      </c>
      <c r="P18800">
        <v>91.74</v>
      </c>
    </row>
    <row r="18801" spans="1:16" x14ac:dyDescent="0.25">
      <c r="A18801" t="s">
        <v>3296</v>
      </c>
      <c r="B18801" t="s">
        <v>2931</v>
      </c>
      <c r="C18801">
        <v>12954</v>
      </c>
      <c r="D18801" t="str">
        <f>"50357949    "</f>
        <v xml:space="preserve">50357949    </v>
      </c>
      <c r="E18801" t="s">
        <v>2991</v>
      </c>
      <c r="F18801" t="s">
        <v>2992</v>
      </c>
      <c r="G18801">
        <v>115</v>
      </c>
      <c r="H18801">
        <v>250910</v>
      </c>
      <c r="I18801">
        <v>4440</v>
      </c>
      <c r="J18801" t="s">
        <v>346</v>
      </c>
      <c r="K18801">
        <v>345.13</v>
      </c>
      <c r="L18801">
        <v>23.37</v>
      </c>
      <c r="M18801">
        <v>46555</v>
      </c>
      <c r="N18801" t="s">
        <v>103</v>
      </c>
      <c r="O18801">
        <v>251003</v>
      </c>
      <c r="P18801">
        <v>91.63</v>
      </c>
    </row>
    <row r="18802" spans="1:16" x14ac:dyDescent="0.25">
      <c r="A18802" t="s">
        <v>3296</v>
      </c>
      <c r="B18802" t="s">
        <v>2931</v>
      </c>
      <c r="C18802">
        <v>12954</v>
      </c>
      <c r="D18802" t="str">
        <f>"50357949    "</f>
        <v xml:space="preserve">50357949    </v>
      </c>
      <c r="E18802" t="s">
        <v>2991</v>
      </c>
      <c r="F18802" t="s">
        <v>2992</v>
      </c>
      <c r="G18802">
        <v>115</v>
      </c>
      <c r="H18802">
        <v>250910</v>
      </c>
      <c r="I18802">
        <v>4440</v>
      </c>
      <c r="J18802" t="s">
        <v>346</v>
      </c>
      <c r="K18802">
        <v>345.13</v>
      </c>
      <c r="L18802">
        <v>23.37</v>
      </c>
      <c r="M18802">
        <v>46557</v>
      </c>
      <c r="N18802" t="s">
        <v>104</v>
      </c>
      <c r="O18802">
        <v>251003</v>
      </c>
      <c r="P18802">
        <v>91.63</v>
      </c>
    </row>
    <row r="18803" spans="1:16" x14ac:dyDescent="0.25">
      <c r="A18803" t="s">
        <v>3296</v>
      </c>
      <c r="B18803" t="s">
        <v>2931</v>
      </c>
      <c r="C18803">
        <v>14097</v>
      </c>
      <c r="D18803" t="str">
        <f>"50359473    "</f>
        <v xml:space="preserve">50359473    </v>
      </c>
      <c r="E18803" t="s">
        <v>2991</v>
      </c>
      <c r="F18803" t="s">
        <v>2992</v>
      </c>
      <c r="G18803">
        <v>32.14</v>
      </c>
      <c r="H18803">
        <v>251016</v>
      </c>
      <c r="I18803">
        <v>4440</v>
      </c>
      <c r="J18803" t="s">
        <v>346</v>
      </c>
      <c r="K18803">
        <v>32.14</v>
      </c>
      <c r="L18803">
        <v>6.53</v>
      </c>
      <c r="M18803">
        <v>46554</v>
      </c>
      <c r="N18803" t="s">
        <v>102</v>
      </c>
      <c r="O18803">
        <v>251024</v>
      </c>
      <c r="P18803">
        <v>25.61</v>
      </c>
    </row>
    <row r="18804" spans="1:16" x14ac:dyDescent="0.25">
      <c r="A18804" t="s">
        <v>3296</v>
      </c>
      <c r="B18804" t="s">
        <v>2931</v>
      </c>
      <c r="C18804">
        <v>14518</v>
      </c>
      <c r="D18804" t="str">
        <f>"50359824    "</f>
        <v xml:space="preserve">50359824    </v>
      </c>
      <c r="E18804" t="s">
        <v>2991</v>
      </c>
      <c r="F18804" t="s">
        <v>2992</v>
      </c>
      <c r="G18804">
        <v>56.99</v>
      </c>
      <c r="H18804">
        <v>251030</v>
      </c>
      <c r="I18804">
        <v>4440</v>
      </c>
      <c r="J18804" t="s">
        <v>346</v>
      </c>
      <c r="K18804">
        <v>56.99</v>
      </c>
      <c r="L18804">
        <v>11.58</v>
      </c>
      <c r="M18804">
        <v>17808</v>
      </c>
      <c r="N18804" t="s">
        <v>24</v>
      </c>
      <c r="O18804">
        <v>251104</v>
      </c>
      <c r="P18804">
        <v>45.41</v>
      </c>
    </row>
    <row r="18805" spans="1:16" x14ac:dyDescent="0.25">
      <c r="A18805" t="s">
        <v>3296</v>
      </c>
      <c r="B18805" t="s">
        <v>2931</v>
      </c>
      <c r="C18805">
        <v>14519</v>
      </c>
      <c r="D18805" t="str">
        <f>"50359825    "</f>
        <v xml:space="preserve">50359825    </v>
      </c>
      <c r="E18805" t="s">
        <v>2991</v>
      </c>
      <c r="F18805" t="s">
        <v>2992</v>
      </c>
      <c r="G18805">
        <v>56.99</v>
      </c>
      <c r="H18805">
        <v>251030</v>
      </c>
      <c r="I18805">
        <v>4440</v>
      </c>
      <c r="J18805" t="s">
        <v>346</v>
      </c>
      <c r="K18805">
        <v>56.99</v>
      </c>
      <c r="L18805">
        <v>11.58</v>
      </c>
      <c r="M18805">
        <v>17808</v>
      </c>
      <c r="N18805" t="s">
        <v>24</v>
      </c>
      <c r="O18805">
        <v>251104</v>
      </c>
      <c r="P18805">
        <v>45.41</v>
      </c>
    </row>
    <row r="18806" spans="1:16" x14ac:dyDescent="0.25">
      <c r="A18806" t="s">
        <v>3296</v>
      </c>
      <c r="B18806" t="s">
        <v>2931</v>
      </c>
      <c r="C18806">
        <v>15478</v>
      </c>
      <c r="D18806" t="str">
        <f>"50360269    "</f>
        <v xml:space="preserve">50360269    </v>
      </c>
      <c r="E18806" t="s">
        <v>2991</v>
      </c>
      <c r="F18806" t="s">
        <v>2992</v>
      </c>
      <c r="G18806">
        <v>280.63</v>
      </c>
      <c r="H18806">
        <v>251113</v>
      </c>
      <c r="I18806">
        <v>4440</v>
      </c>
      <c r="J18806" t="s">
        <v>346</v>
      </c>
      <c r="K18806">
        <v>280.63</v>
      </c>
      <c r="L18806">
        <v>57.02</v>
      </c>
      <c r="M18806">
        <v>46555</v>
      </c>
      <c r="N18806" t="s">
        <v>103</v>
      </c>
      <c r="O18806">
        <v>251121</v>
      </c>
      <c r="P18806">
        <v>223.61</v>
      </c>
    </row>
    <row r="18807" spans="1:16" x14ac:dyDescent="0.25">
      <c r="A18807" t="s">
        <v>3296</v>
      </c>
      <c r="B18807" t="s">
        <v>2931</v>
      </c>
      <c r="C18807">
        <v>15669</v>
      </c>
      <c r="D18807" t="str">
        <f>"50360270    "</f>
        <v xml:space="preserve">50360270    </v>
      </c>
      <c r="E18807" t="s">
        <v>2991</v>
      </c>
      <c r="F18807" t="s">
        <v>2992</v>
      </c>
      <c r="G18807">
        <v>280.63</v>
      </c>
      <c r="H18807">
        <v>251101</v>
      </c>
      <c r="I18807">
        <v>4440</v>
      </c>
      <c r="J18807" t="s">
        <v>346</v>
      </c>
      <c r="K18807">
        <v>280.63</v>
      </c>
      <c r="L18807">
        <v>57.02</v>
      </c>
      <c r="M18807">
        <v>47522</v>
      </c>
      <c r="N18807" t="s">
        <v>106</v>
      </c>
      <c r="O18807">
        <v>251124</v>
      </c>
      <c r="P18807">
        <v>223.61</v>
      </c>
    </row>
    <row r="18808" spans="1:16" x14ac:dyDescent="0.25">
      <c r="A18808" t="s">
        <v>3296</v>
      </c>
      <c r="B18808" t="s">
        <v>2931</v>
      </c>
      <c r="C18808">
        <v>17894</v>
      </c>
      <c r="D18808" t="str">
        <f>"50361284    "</f>
        <v xml:space="preserve">50361284    </v>
      </c>
      <c r="E18808" t="s">
        <v>2991</v>
      </c>
      <c r="F18808" t="s">
        <v>2992</v>
      </c>
      <c r="G18808">
        <v>179.04</v>
      </c>
      <c r="H18808">
        <v>251218</v>
      </c>
      <c r="I18808">
        <v>4440</v>
      </c>
      <c r="J18808" t="s">
        <v>346</v>
      </c>
      <c r="K18808">
        <v>255.78</v>
      </c>
      <c r="L18808">
        <v>36.380000000000003</v>
      </c>
      <c r="M18808">
        <v>46554</v>
      </c>
      <c r="N18808" t="s">
        <v>102</v>
      </c>
      <c r="O18808">
        <v>260102</v>
      </c>
      <c r="P18808">
        <v>142.66</v>
      </c>
    </row>
    <row r="18809" spans="1:16" x14ac:dyDescent="0.25">
      <c r="A18809" t="s">
        <v>3296</v>
      </c>
      <c r="B18809" t="s">
        <v>2931</v>
      </c>
      <c r="C18809">
        <v>17894</v>
      </c>
      <c r="D18809" t="str">
        <f>"50361284    "</f>
        <v xml:space="preserve">50361284    </v>
      </c>
      <c r="E18809" t="s">
        <v>2991</v>
      </c>
      <c r="F18809" t="s">
        <v>2992</v>
      </c>
      <c r="G18809">
        <v>25.58</v>
      </c>
      <c r="H18809">
        <v>251218</v>
      </c>
      <c r="I18809">
        <v>4440</v>
      </c>
      <c r="J18809" t="s">
        <v>346</v>
      </c>
      <c r="K18809">
        <v>255.78</v>
      </c>
      <c r="L18809">
        <v>5.2</v>
      </c>
      <c r="M18809">
        <v>46554</v>
      </c>
      <c r="N18809" t="s">
        <v>102</v>
      </c>
      <c r="O18809">
        <v>260102</v>
      </c>
      <c r="P18809">
        <v>20.38</v>
      </c>
    </row>
    <row r="18810" spans="1:16" x14ac:dyDescent="0.25">
      <c r="A18810" t="s">
        <v>3296</v>
      </c>
      <c r="B18810" t="s">
        <v>2931</v>
      </c>
      <c r="C18810">
        <v>17894</v>
      </c>
      <c r="D18810" t="str">
        <f>"50361284    "</f>
        <v xml:space="preserve">50361284    </v>
      </c>
      <c r="E18810" t="s">
        <v>2991</v>
      </c>
      <c r="F18810" t="s">
        <v>2992</v>
      </c>
      <c r="G18810">
        <v>25.58</v>
      </c>
      <c r="H18810">
        <v>251218</v>
      </c>
      <c r="I18810">
        <v>4440</v>
      </c>
      <c r="J18810" t="s">
        <v>346</v>
      </c>
      <c r="K18810">
        <v>255.78</v>
      </c>
      <c r="L18810">
        <v>5.2</v>
      </c>
      <c r="M18810">
        <v>46555</v>
      </c>
      <c r="N18810" t="s">
        <v>103</v>
      </c>
      <c r="O18810">
        <v>260102</v>
      </c>
      <c r="P18810">
        <v>20.38</v>
      </c>
    </row>
    <row r="18811" spans="1:16" x14ac:dyDescent="0.25">
      <c r="A18811" t="s">
        <v>3296</v>
      </c>
      <c r="B18811" t="s">
        <v>2931</v>
      </c>
      <c r="C18811">
        <v>17894</v>
      </c>
      <c r="D18811" t="str">
        <f>"50361284    "</f>
        <v xml:space="preserve">50361284    </v>
      </c>
      <c r="E18811" t="s">
        <v>2991</v>
      </c>
      <c r="F18811" t="s">
        <v>2992</v>
      </c>
      <c r="G18811">
        <v>25.58</v>
      </c>
      <c r="H18811">
        <v>251218</v>
      </c>
      <c r="I18811">
        <v>4440</v>
      </c>
      <c r="J18811" t="s">
        <v>346</v>
      </c>
      <c r="K18811">
        <v>255.78</v>
      </c>
      <c r="L18811">
        <v>5.2</v>
      </c>
      <c r="M18811">
        <v>47522</v>
      </c>
      <c r="N18811" t="s">
        <v>106</v>
      </c>
      <c r="O18811">
        <v>260102</v>
      </c>
      <c r="P18811">
        <v>20.38</v>
      </c>
    </row>
    <row r="18812" spans="1:16" x14ac:dyDescent="0.25">
      <c r="A18812" t="s">
        <v>3296</v>
      </c>
      <c r="B18812" t="s">
        <v>2931</v>
      </c>
      <c r="C18812">
        <v>12016</v>
      </c>
      <c r="D18812" t="str">
        <f>"50357687    "</f>
        <v xml:space="preserve">50357687    </v>
      </c>
      <c r="E18812" t="s">
        <v>2991</v>
      </c>
      <c r="F18812" t="s">
        <v>2992</v>
      </c>
      <c r="G18812">
        <v>345.13</v>
      </c>
      <c r="H18812">
        <v>250910</v>
      </c>
      <c r="I18812">
        <v>4441</v>
      </c>
      <c r="J18812" t="s">
        <v>234</v>
      </c>
      <c r="K18812">
        <v>345.13</v>
      </c>
      <c r="L18812">
        <v>70.13</v>
      </c>
      <c r="M18812">
        <v>17522</v>
      </c>
      <c r="N18812" t="s">
        <v>137</v>
      </c>
      <c r="O18812">
        <v>250915</v>
      </c>
      <c r="P18812">
        <v>275</v>
      </c>
    </row>
    <row r="18813" spans="1:16" x14ac:dyDescent="0.25">
      <c r="A18813" t="s">
        <v>3296</v>
      </c>
      <c r="B18813" t="s">
        <v>2931</v>
      </c>
      <c r="C18813">
        <v>7789</v>
      </c>
      <c r="D18813" t="str">
        <f>"50355853    "</f>
        <v xml:space="preserve">50355853    </v>
      </c>
      <c r="E18813" t="s">
        <v>2991</v>
      </c>
      <c r="F18813" t="s">
        <v>2992</v>
      </c>
      <c r="G18813">
        <v>101.2</v>
      </c>
      <c r="H18813">
        <v>250529</v>
      </c>
      <c r="I18813">
        <v>4470</v>
      </c>
      <c r="J18813" t="s">
        <v>203</v>
      </c>
      <c r="K18813">
        <v>404.87</v>
      </c>
      <c r="L18813">
        <v>20.56</v>
      </c>
      <c r="M18813">
        <v>46555</v>
      </c>
      <c r="N18813" t="s">
        <v>103</v>
      </c>
      <c r="O18813">
        <v>250609</v>
      </c>
      <c r="P18813">
        <v>80.64</v>
      </c>
    </row>
    <row r="18814" spans="1:16" x14ac:dyDescent="0.25">
      <c r="A18814" t="s">
        <v>3296</v>
      </c>
      <c r="B18814" t="s">
        <v>2931</v>
      </c>
      <c r="C18814">
        <v>7789</v>
      </c>
      <c r="D18814" t="str">
        <f>"50355853    "</f>
        <v xml:space="preserve">50355853    </v>
      </c>
      <c r="E18814" t="s">
        <v>2991</v>
      </c>
      <c r="F18814" t="s">
        <v>2992</v>
      </c>
      <c r="G18814">
        <v>50.6</v>
      </c>
      <c r="H18814">
        <v>250529</v>
      </c>
      <c r="I18814">
        <v>4470</v>
      </c>
      <c r="J18814" t="s">
        <v>203</v>
      </c>
      <c r="K18814">
        <v>404.87</v>
      </c>
      <c r="L18814">
        <v>10.28</v>
      </c>
      <c r="M18814">
        <v>46556</v>
      </c>
      <c r="N18814" t="s">
        <v>458</v>
      </c>
      <c r="O18814">
        <v>250609</v>
      </c>
      <c r="P18814">
        <v>40.32</v>
      </c>
    </row>
    <row r="18815" spans="1:16" x14ac:dyDescent="0.25">
      <c r="A18815" t="s">
        <v>3296</v>
      </c>
      <c r="B18815" t="s">
        <v>2931</v>
      </c>
      <c r="C18815">
        <v>7789</v>
      </c>
      <c r="D18815" t="str">
        <f>"50355853    "</f>
        <v xml:space="preserve">50355853    </v>
      </c>
      <c r="E18815" t="s">
        <v>2991</v>
      </c>
      <c r="F18815" t="s">
        <v>2992</v>
      </c>
      <c r="G18815">
        <v>101.2</v>
      </c>
      <c r="H18815">
        <v>250529</v>
      </c>
      <c r="I18815">
        <v>4470</v>
      </c>
      <c r="J18815" t="s">
        <v>203</v>
      </c>
      <c r="K18815">
        <v>404.87</v>
      </c>
      <c r="L18815">
        <v>20.56</v>
      </c>
      <c r="M18815">
        <v>46557</v>
      </c>
      <c r="N18815" t="s">
        <v>104</v>
      </c>
      <c r="O18815">
        <v>250609</v>
      </c>
      <c r="P18815">
        <v>80.64</v>
      </c>
    </row>
    <row r="18816" spans="1:16" x14ac:dyDescent="0.25">
      <c r="A18816" t="s">
        <v>3296</v>
      </c>
      <c r="B18816" t="s">
        <v>2931</v>
      </c>
      <c r="C18816">
        <v>7789</v>
      </c>
      <c r="D18816" t="str">
        <f>"50355853    "</f>
        <v xml:space="preserve">50355853    </v>
      </c>
      <c r="E18816" t="s">
        <v>2991</v>
      </c>
      <c r="F18816" t="s">
        <v>2992</v>
      </c>
      <c r="G18816">
        <v>151.87</v>
      </c>
      <c r="H18816">
        <v>250529</v>
      </c>
      <c r="I18816">
        <v>4470</v>
      </c>
      <c r="J18816" t="s">
        <v>203</v>
      </c>
      <c r="K18816">
        <v>404.87</v>
      </c>
      <c r="L18816">
        <v>30.86</v>
      </c>
      <c r="M18816">
        <v>46557</v>
      </c>
      <c r="N18816" t="s">
        <v>104</v>
      </c>
      <c r="O18816">
        <v>250609</v>
      </c>
      <c r="P18816">
        <v>121.01</v>
      </c>
    </row>
    <row r="18817" spans="1:16" x14ac:dyDescent="0.25">
      <c r="A18817" t="s">
        <v>3296</v>
      </c>
      <c r="B18817" t="s">
        <v>2931</v>
      </c>
      <c r="C18817">
        <v>8447</v>
      </c>
      <c r="D18817" t="str">
        <f>"50355997    "</f>
        <v xml:space="preserve">50355997    </v>
      </c>
      <c r="E18817" t="s">
        <v>2991</v>
      </c>
      <c r="F18817" t="s">
        <v>2992</v>
      </c>
      <c r="G18817">
        <v>56.99</v>
      </c>
      <c r="H18817">
        <v>250531</v>
      </c>
      <c r="I18817">
        <v>4470</v>
      </c>
      <c r="J18817" t="s">
        <v>203</v>
      </c>
      <c r="K18817">
        <v>56.99</v>
      </c>
      <c r="L18817">
        <v>11.58</v>
      </c>
      <c r="M18817">
        <v>17803</v>
      </c>
      <c r="N18817" t="s">
        <v>19</v>
      </c>
      <c r="O18817">
        <v>250613</v>
      </c>
      <c r="P18817">
        <v>45.41</v>
      </c>
    </row>
    <row r="18818" spans="1:16" x14ac:dyDescent="0.25">
      <c r="A18818" t="s">
        <v>3296</v>
      </c>
      <c r="B18818" t="s">
        <v>2931</v>
      </c>
      <c r="C18818">
        <v>11845</v>
      </c>
      <c r="D18818" t="str">
        <f>"50357469    "</f>
        <v xml:space="preserve">50357469    </v>
      </c>
      <c r="E18818" t="s">
        <v>2991</v>
      </c>
      <c r="F18818" t="s">
        <v>2992</v>
      </c>
      <c r="G18818">
        <v>56.99</v>
      </c>
      <c r="H18818">
        <v>250831</v>
      </c>
      <c r="I18818">
        <v>4470</v>
      </c>
      <c r="J18818" t="s">
        <v>203</v>
      </c>
      <c r="K18818">
        <v>56.99</v>
      </c>
      <c r="L18818">
        <v>11.58</v>
      </c>
      <c r="M18818">
        <v>56559</v>
      </c>
      <c r="N18818" t="s">
        <v>51</v>
      </c>
      <c r="O18818">
        <v>250911</v>
      </c>
      <c r="P18818">
        <v>45.41</v>
      </c>
    </row>
    <row r="18819" spans="1:16" x14ac:dyDescent="0.25">
      <c r="A18819" t="s">
        <v>3296</v>
      </c>
      <c r="B18819" t="s">
        <v>2931</v>
      </c>
      <c r="C18819">
        <v>13957</v>
      </c>
      <c r="D18819" t="str">
        <f>"50359518    "</f>
        <v xml:space="preserve">50359518    </v>
      </c>
      <c r="E18819" t="s">
        <v>2991</v>
      </c>
      <c r="F18819" t="s">
        <v>2992</v>
      </c>
      <c r="G18819">
        <v>39.299999999999997</v>
      </c>
      <c r="H18819">
        <v>251017</v>
      </c>
      <c r="I18819">
        <v>4470</v>
      </c>
      <c r="J18819" t="s">
        <v>203</v>
      </c>
      <c r="K18819">
        <v>39.299999999999997</v>
      </c>
      <c r="L18819">
        <v>7.99</v>
      </c>
      <c r="M18819">
        <v>17809</v>
      </c>
      <c r="N18819" t="s">
        <v>25</v>
      </c>
      <c r="O18819">
        <v>251021</v>
      </c>
      <c r="P18819">
        <v>31.31</v>
      </c>
    </row>
    <row r="18820" spans="1:16" x14ac:dyDescent="0.25">
      <c r="A18820" t="s">
        <v>3296</v>
      </c>
      <c r="B18820" t="s">
        <v>2931</v>
      </c>
      <c r="C18820">
        <v>14094</v>
      </c>
      <c r="D18820" t="str">
        <f>"50359377    "</f>
        <v xml:space="preserve">50359377    </v>
      </c>
      <c r="E18820" t="s">
        <v>2991</v>
      </c>
      <c r="F18820" t="s">
        <v>2992</v>
      </c>
      <c r="G18820">
        <v>203.28</v>
      </c>
      <c r="H18820">
        <v>251016</v>
      </c>
      <c r="I18820">
        <v>4470</v>
      </c>
      <c r="J18820" t="s">
        <v>203</v>
      </c>
      <c r="K18820">
        <v>330.33</v>
      </c>
      <c r="L18820">
        <v>41.3</v>
      </c>
      <c r="M18820">
        <v>17534</v>
      </c>
      <c r="N18820" t="s">
        <v>148</v>
      </c>
      <c r="O18820">
        <v>251024</v>
      </c>
      <c r="P18820">
        <v>161.97999999999999</v>
      </c>
    </row>
    <row r="18821" spans="1:16" x14ac:dyDescent="0.25">
      <c r="A18821" t="s">
        <v>3296</v>
      </c>
      <c r="B18821" t="s">
        <v>2931</v>
      </c>
      <c r="C18821">
        <v>14094</v>
      </c>
      <c r="D18821" t="str">
        <f>"50359377    "</f>
        <v xml:space="preserve">50359377    </v>
      </c>
      <c r="E18821" t="s">
        <v>2991</v>
      </c>
      <c r="F18821" t="s">
        <v>2992</v>
      </c>
      <c r="G18821">
        <v>50.82</v>
      </c>
      <c r="H18821">
        <v>251016</v>
      </c>
      <c r="I18821">
        <v>4470</v>
      </c>
      <c r="J18821" t="s">
        <v>203</v>
      </c>
      <c r="K18821">
        <v>330.33</v>
      </c>
      <c r="L18821">
        <v>10.33</v>
      </c>
      <c r="M18821">
        <v>17535</v>
      </c>
      <c r="N18821" t="s">
        <v>149</v>
      </c>
      <c r="O18821">
        <v>251024</v>
      </c>
      <c r="P18821">
        <v>40.49</v>
      </c>
    </row>
    <row r="18822" spans="1:16" x14ac:dyDescent="0.25">
      <c r="A18822" t="s">
        <v>3296</v>
      </c>
      <c r="B18822" t="s">
        <v>2931</v>
      </c>
      <c r="C18822">
        <v>14094</v>
      </c>
      <c r="D18822" t="str">
        <f>"50359377    "</f>
        <v xml:space="preserve">50359377    </v>
      </c>
      <c r="E18822" t="s">
        <v>2991</v>
      </c>
      <c r="F18822" t="s">
        <v>2992</v>
      </c>
      <c r="G18822">
        <v>76.23</v>
      </c>
      <c r="H18822">
        <v>251016</v>
      </c>
      <c r="I18822">
        <v>4470</v>
      </c>
      <c r="J18822" t="s">
        <v>203</v>
      </c>
      <c r="K18822">
        <v>330.33</v>
      </c>
      <c r="L18822">
        <v>15.49</v>
      </c>
      <c r="M18822">
        <v>17536</v>
      </c>
      <c r="N18822" t="s">
        <v>150</v>
      </c>
      <c r="O18822">
        <v>251024</v>
      </c>
      <c r="P18822">
        <v>60.74</v>
      </c>
    </row>
    <row r="18823" spans="1:16" x14ac:dyDescent="0.25">
      <c r="A18823" t="s">
        <v>3296</v>
      </c>
      <c r="B18823" t="s">
        <v>2931</v>
      </c>
      <c r="C18823">
        <v>1232</v>
      </c>
      <c r="D18823" t="str">
        <f>"50352280    "</f>
        <v xml:space="preserve">50352280    </v>
      </c>
      <c r="E18823" t="s">
        <v>2991</v>
      </c>
      <c r="F18823" t="s">
        <v>2992</v>
      </c>
      <c r="G18823">
        <v>29.95</v>
      </c>
      <c r="H18823">
        <v>250124</v>
      </c>
      <c r="I18823">
        <v>4510</v>
      </c>
      <c r="J18823" t="s">
        <v>240</v>
      </c>
      <c r="K18823">
        <v>29.95</v>
      </c>
      <c r="L18823">
        <v>3.68</v>
      </c>
      <c r="M18823">
        <v>17522</v>
      </c>
      <c r="N18823" t="s">
        <v>137</v>
      </c>
      <c r="O18823">
        <v>250206</v>
      </c>
      <c r="P18823">
        <v>26.27</v>
      </c>
    </row>
    <row r="18824" spans="1:16" x14ac:dyDescent="0.25">
      <c r="A18824" t="s">
        <v>3296</v>
      </c>
      <c r="B18824" t="s">
        <v>2931</v>
      </c>
      <c r="C18824">
        <v>12644</v>
      </c>
      <c r="D18824" t="str">
        <f>"50358659    "</f>
        <v xml:space="preserve">50358659    </v>
      </c>
      <c r="E18824" t="s">
        <v>2991</v>
      </c>
      <c r="F18824" t="s">
        <v>2992</v>
      </c>
      <c r="G18824">
        <v>34.950000000000003</v>
      </c>
      <c r="H18824">
        <v>250919</v>
      </c>
      <c r="I18824">
        <v>4510</v>
      </c>
      <c r="J18824" t="s">
        <v>240</v>
      </c>
      <c r="K18824">
        <v>34.950000000000003</v>
      </c>
      <c r="L18824">
        <v>4.29</v>
      </c>
      <c r="M18824">
        <v>46554</v>
      </c>
      <c r="N18824" t="s">
        <v>102</v>
      </c>
      <c r="O18824">
        <v>250929</v>
      </c>
      <c r="P18824">
        <v>30.66</v>
      </c>
    </row>
    <row r="18825" spans="1:16" x14ac:dyDescent="0.25">
      <c r="A18825" t="s">
        <v>3296</v>
      </c>
      <c r="B18825" t="s">
        <v>2931</v>
      </c>
      <c r="C18825">
        <v>2119</v>
      </c>
      <c r="D18825" t="str">
        <f>"50352762    "</f>
        <v xml:space="preserve">50352762    </v>
      </c>
      <c r="E18825" t="s">
        <v>2991</v>
      </c>
      <c r="F18825" t="s">
        <v>2992</v>
      </c>
      <c r="G18825">
        <v>154.26</v>
      </c>
      <c r="H18825">
        <v>250213</v>
      </c>
      <c r="I18825">
        <v>4600</v>
      </c>
      <c r="J18825" t="s">
        <v>278</v>
      </c>
      <c r="K18825">
        <v>230.93</v>
      </c>
      <c r="L18825">
        <v>31.34</v>
      </c>
      <c r="M18825">
        <v>17527</v>
      </c>
      <c r="N18825" t="s">
        <v>142</v>
      </c>
      <c r="O18825">
        <v>250220</v>
      </c>
      <c r="P18825">
        <v>122.92</v>
      </c>
    </row>
    <row r="18826" spans="1:16" x14ac:dyDescent="0.25">
      <c r="A18826" t="s">
        <v>3296</v>
      </c>
      <c r="B18826" t="s">
        <v>2931</v>
      </c>
      <c r="C18826">
        <v>2119</v>
      </c>
      <c r="D18826" t="str">
        <f>"50352762    "</f>
        <v xml:space="preserve">50352762    </v>
      </c>
      <c r="E18826" t="s">
        <v>2991</v>
      </c>
      <c r="F18826" t="s">
        <v>2992</v>
      </c>
      <c r="G18826">
        <v>76.67</v>
      </c>
      <c r="H18826">
        <v>250213</v>
      </c>
      <c r="I18826">
        <v>4600</v>
      </c>
      <c r="J18826" t="s">
        <v>278</v>
      </c>
      <c r="K18826">
        <v>230.93</v>
      </c>
      <c r="L18826">
        <v>15.58</v>
      </c>
      <c r="M18826">
        <v>17633</v>
      </c>
      <c r="N18826" t="s">
        <v>628</v>
      </c>
      <c r="O18826">
        <v>250220</v>
      </c>
      <c r="P18826">
        <v>61.09</v>
      </c>
    </row>
    <row r="18827" spans="1:16" x14ac:dyDescent="0.25">
      <c r="A18827" t="s">
        <v>3296</v>
      </c>
      <c r="B18827" t="s">
        <v>2931</v>
      </c>
      <c r="C18827">
        <v>7810</v>
      </c>
      <c r="D18827" t="str">
        <f>"50355748    "</f>
        <v xml:space="preserve">50355748    </v>
      </c>
      <c r="E18827" t="s">
        <v>2991</v>
      </c>
      <c r="F18827" t="s">
        <v>2992</v>
      </c>
      <c r="G18827">
        <v>156.38</v>
      </c>
      <c r="H18827">
        <v>250529</v>
      </c>
      <c r="I18827">
        <v>4600</v>
      </c>
      <c r="J18827" t="s">
        <v>278</v>
      </c>
      <c r="K18827">
        <v>156.38</v>
      </c>
      <c r="L18827">
        <v>31.77</v>
      </c>
      <c r="M18827">
        <v>17633</v>
      </c>
      <c r="N18827" t="s">
        <v>628</v>
      </c>
      <c r="O18827">
        <v>250609</v>
      </c>
      <c r="P18827">
        <v>124.61</v>
      </c>
    </row>
    <row r="18828" spans="1:16" x14ac:dyDescent="0.25">
      <c r="A18828" t="s">
        <v>3296</v>
      </c>
      <c r="B18828" t="s">
        <v>2931</v>
      </c>
      <c r="C18828">
        <v>11923</v>
      </c>
      <c r="D18828" t="str">
        <f>"50358253    "</f>
        <v xml:space="preserve">50358253    </v>
      </c>
      <c r="E18828" t="s">
        <v>2991</v>
      </c>
      <c r="F18828" t="s">
        <v>2992</v>
      </c>
      <c r="G18828">
        <v>345.13</v>
      </c>
      <c r="H18828">
        <v>250911</v>
      </c>
      <c r="I18828">
        <v>4600</v>
      </c>
      <c r="J18828" t="s">
        <v>278</v>
      </c>
      <c r="K18828">
        <v>345.13</v>
      </c>
      <c r="L18828">
        <v>70.13</v>
      </c>
      <c r="M18828">
        <v>17808</v>
      </c>
      <c r="N18828" t="s">
        <v>24</v>
      </c>
      <c r="O18828">
        <v>250912</v>
      </c>
      <c r="P18828">
        <v>275</v>
      </c>
    </row>
    <row r="18829" spans="1:16" x14ac:dyDescent="0.25">
      <c r="A18829" t="s">
        <v>3296</v>
      </c>
      <c r="B18829" t="s">
        <v>2931</v>
      </c>
      <c r="C18829">
        <v>2342</v>
      </c>
      <c r="D18829" t="str">
        <f>"50353025    "</f>
        <v xml:space="preserve">50353025    </v>
      </c>
      <c r="E18829" t="s">
        <v>2991</v>
      </c>
      <c r="F18829" t="s">
        <v>2992</v>
      </c>
      <c r="G18829">
        <v>230.93</v>
      </c>
      <c r="H18829">
        <v>250220</v>
      </c>
      <c r="I18829">
        <v>4940</v>
      </c>
      <c r="J18829" t="s">
        <v>250</v>
      </c>
      <c r="K18829">
        <v>230.93</v>
      </c>
      <c r="L18829">
        <v>46.92</v>
      </c>
      <c r="M18829">
        <v>55222</v>
      </c>
      <c r="N18829" t="s">
        <v>43</v>
      </c>
      <c r="O18829">
        <v>250224</v>
      </c>
      <c r="P18829">
        <v>184.01</v>
      </c>
    </row>
    <row r="18830" spans="1:16" x14ac:dyDescent="0.25">
      <c r="A18830" t="s">
        <v>3296</v>
      </c>
      <c r="B18830" t="s">
        <v>2931</v>
      </c>
      <c r="C18830">
        <v>9844</v>
      </c>
      <c r="D18830" t="str">
        <f>"25110454    "</f>
        <v xml:space="preserve">25110454    </v>
      </c>
      <c r="E18830" t="s">
        <v>2150</v>
      </c>
      <c r="F18830" t="s">
        <v>2151</v>
      </c>
      <c r="G18830">
        <v>202.31</v>
      </c>
      <c r="H18830">
        <v>250723</v>
      </c>
      <c r="I18830">
        <v>4600</v>
      </c>
      <c r="J18830" t="s">
        <v>278</v>
      </c>
      <c r="K18830">
        <v>202.31</v>
      </c>
      <c r="L18830">
        <v>41.11</v>
      </c>
      <c r="M18830">
        <v>67554</v>
      </c>
      <c r="N18830" t="s">
        <v>317</v>
      </c>
      <c r="O18830">
        <v>250729</v>
      </c>
      <c r="P18830">
        <v>161.19999999999999</v>
      </c>
    </row>
    <row r="18831" spans="1:16" x14ac:dyDescent="0.25">
      <c r="A18831" t="s">
        <v>3296</v>
      </c>
      <c r="B18831" t="s">
        <v>2931</v>
      </c>
      <c r="C18831">
        <v>12606</v>
      </c>
      <c r="D18831" t="str">
        <f>"6125090107  "</f>
        <v xml:space="preserve">6125090107  </v>
      </c>
      <c r="E18831" t="s">
        <v>1257</v>
      </c>
      <c r="F18831" t="s">
        <v>1258</v>
      </c>
      <c r="G18831">
        <v>52</v>
      </c>
      <c r="H18831">
        <v>250917</v>
      </c>
      <c r="I18831">
        <v>4412</v>
      </c>
      <c r="J18831" t="s">
        <v>884</v>
      </c>
      <c r="K18831">
        <v>52</v>
      </c>
      <c r="L18831">
        <v>0</v>
      </c>
      <c r="M18831">
        <v>13281</v>
      </c>
      <c r="N18831" t="s">
        <v>476</v>
      </c>
      <c r="O18831">
        <v>250926</v>
      </c>
      <c r="P18831">
        <v>52</v>
      </c>
    </row>
    <row r="18832" spans="1:16" x14ac:dyDescent="0.25">
      <c r="A18832" t="s">
        <v>3296</v>
      </c>
      <c r="B18832" t="s">
        <v>2931</v>
      </c>
      <c r="C18832">
        <v>2380</v>
      </c>
      <c r="D18832" t="str">
        <f>"6125020087  "</f>
        <v xml:space="preserve">6125020087  </v>
      </c>
      <c r="E18832" t="s">
        <v>1257</v>
      </c>
      <c r="F18832" t="s">
        <v>1258</v>
      </c>
      <c r="G18832">
        <v>106.68</v>
      </c>
      <c r="H18832">
        <v>250218</v>
      </c>
      <c r="I18832">
        <v>4440</v>
      </c>
      <c r="J18832" t="s">
        <v>346</v>
      </c>
      <c r="K18832">
        <v>106.68</v>
      </c>
      <c r="L18832">
        <v>21.68</v>
      </c>
      <c r="M18832">
        <v>13281</v>
      </c>
      <c r="N18832" t="s">
        <v>476</v>
      </c>
      <c r="O18832">
        <v>250225</v>
      </c>
      <c r="P18832">
        <v>85</v>
      </c>
    </row>
    <row r="18833" spans="1:16" x14ac:dyDescent="0.25">
      <c r="A18833" t="s">
        <v>3296</v>
      </c>
      <c r="B18833" t="s">
        <v>2931</v>
      </c>
      <c r="C18833">
        <v>2381</v>
      </c>
      <c r="D18833" t="str">
        <f>"6125020080  "</f>
        <v xml:space="preserve">6125020080  </v>
      </c>
      <c r="E18833" t="s">
        <v>1257</v>
      </c>
      <c r="F18833" t="s">
        <v>1258</v>
      </c>
      <c r="G18833">
        <v>106.68</v>
      </c>
      <c r="H18833">
        <v>250218</v>
      </c>
      <c r="I18833">
        <v>4440</v>
      </c>
      <c r="J18833" t="s">
        <v>346</v>
      </c>
      <c r="K18833">
        <v>106.68</v>
      </c>
      <c r="L18833">
        <v>21.68</v>
      </c>
      <c r="M18833">
        <v>13281</v>
      </c>
      <c r="N18833" t="s">
        <v>476</v>
      </c>
      <c r="O18833">
        <v>250225</v>
      </c>
      <c r="P18833">
        <v>85</v>
      </c>
    </row>
    <row r="18834" spans="1:16" x14ac:dyDescent="0.25">
      <c r="A18834" t="s">
        <v>3296</v>
      </c>
      <c r="B18834" t="s">
        <v>2931</v>
      </c>
      <c r="C18834">
        <v>14943</v>
      </c>
      <c r="D18834" t="str">
        <f>"1848        "</f>
        <v xml:space="preserve">1848        </v>
      </c>
      <c r="E18834" t="s">
        <v>2538</v>
      </c>
      <c r="F18834" t="s">
        <v>2539</v>
      </c>
      <c r="G18834">
        <v>150</v>
      </c>
      <c r="H18834">
        <v>251104</v>
      </c>
      <c r="I18834">
        <v>4440</v>
      </c>
      <c r="J18834" t="s">
        <v>346</v>
      </c>
      <c r="K18834">
        <v>150</v>
      </c>
      <c r="L18834">
        <v>0</v>
      </c>
      <c r="M18834">
        <v>13201</v>
      </c>
      <c r="N18834" t="s">
        <v>269</v>
      </c>
      <c r="O18834">
        <v>251110</v>
      </c>
      <c r="P18834">
        <v>150</v>
      </c>
    </row>
    <row r="18835" spans="1:16" x14ac:dyDescent="0.25">
      <c r="A18835" t="s">
        <v>3296</v>
      </c>
      <c r="B18835" t="s">
        <v>2931</v>
      </c>
      <c r="C18835">
        <v>15931</v>
      </c>
      <c r="D18835" t="str">
        <f>"11-2025     "</f>
        <v xml:space="preserve">11-2025     </v>
      </c>
      <c r="E18835" t="s">
        <v>2634</v>
      </c>
      <c r="F18835" t="s">
        <v>2635</v>
      </c>
      <c r="G18835">
        <v>145</v>
      </c>
      <c r="H18835">
        <v>251104</v>
      </c>
      <c r="I18835">
        <v>4440</v>
      </c>
      <c r="J18835" t="s">
        <v>346</v>
      </c>
      <c r="K18835">
        <v>145</v>
      </c>
      <c r="L18835">
        <v>0</v>
      </c>
      <c r="M18835">
        <v>13201</v>
      </c>
      <c r="N18835" t="s">
        <v>269</v>
      </c>
      <c r="O18835">
        <v>251201</v>
      </c>
      <c r="P18835">
        <v>145</v>
      </c>
    </row>
    <row r="18836" spans="1:16" x14ac:dyDescent="0.25">
      <c r="A18836" t="s">
        <v>3296</v>
      </c>
      <c r="B18836" t="s">
        <v>2931</v>
      </c>
      <c r="C18836">
        <v>5893</v>
      </c>
      <c r="D18836" t="str">
        <f>"15580       "</f>
        <v xml:space="preserve">15580       </v>
      </c>
      <c r="E18836" t="s">
        <v>1813</v>
      </c>
      <c r="F18836" t="s">
        <v>1814</v>
      </c>
      <c r="G18836">
        <v>1445.95</v>
      </c>
      <c r="H18836">
        <v>250425</v>
      </c>
      <c r="I18836">
        <v>1198</v>
      </c>
      <c r="J18836" t="s">
        <v>610</v>
      </c>
      <c r="K18836">
        <v>1445.95</v>
      </c>
      <c r="L18836">
        <v>293.8</v>
      </c>
      <c r="M18836">
        <v>97628</v>
      </c>
      <c r="N18836" t="s">
        <v>737</v>
      </c>
      <c r="O18836">
        <v>250507</v>
      </c>
      <c r="P18836">
        <v>1152.1500000000001</v>
      </c>
    </row>
    <row r="18837" spans="1:16" x14ac:dyDescent="0.25">
      <c r="A18837" t="s">
        <v>3296</v>
      </c>
      <c r="B18837" t="s">
        <v>2931</v>
      </c>
      <c r="C18837">
        <v>12433</v>
      </c>
      <c r="D18837" t="str">
        <f>"15627       "</f>
        <v xml:space="preserve">15627       </v>
      </c>
      <c r="E18837" t="s">
        <v>1813</v>
      </c>
      <c r="F18837" t="s">
        <v>1814</v>
      </c>
      <c r="G18837">
        <v>661.9</v>
      </c>
      <c r="H18837">
        <v>250909</v>
      </c>
      <c r="I18837">
        <v>4580</v>
      </c>
      <c r="J18837" t="s">
        <v>126</v>
      </c>
      <c r="K18837">
        <v>661.9</v>
      </c>
      <c r="L18837">
        <v>134.49</v>
      </c>
      <c r="M18837">
        <v>14990</v>
      </c>
      <c r="N18837" t="s">
        <v>85</v>
      </c>
      <c r="O18837">
        <v>250922</v>
      </c>
      <c r="P18837">
        <v>527.41</v>
      </c>
    </row>
    <row r="18838" spans="1:16" x14ac:dyDescent="0.25">
      <c r="A18838" t="s">
        <v>3296</v>
      </c>
      <c r="B18838" t="s">
        <v>2931</v>
      </c>
      <c r="C18838">
        <v>17243</v>
      </c>
      <c r="D18838" t="str">
        <f>"325/5544    "</f>
        <v xml:space="preserve">325/5544    </v>
      </c>
      <c r="E18838" t="s">
        <v>2750</v>
      </c>
      <c r="F18838" t="s">
        <v>2751</v>
      </c>
      <c r="G18838">
        <v>249.74</v>
      </c>
      <c r="H18838">
        <v>251212</v>
      </c>
      <c r="I18838">
        <v>4441</v>
      </c>
      <c r="J18838" t="s">
        <v>234</v>
      </c>
      <c r="K18838">
        <v>249.74</v>
      </c>
      <c r="L18838">
        <v>50.74</v>
      </c>
      <c r="M18838">
        <v>61122</v>
      </c>
      <c r="N18838" t="s">
        <v>86</v>
      </c>
      <c r="O18838">
        <v>251218</v>
      </c>
      <c r="P18838">
        <v>199</v>
      </c>
    </row>
    <row r="18839" spans="1:16" x14ac:dyDescent="0.25">
      <c r="A18839" t="s">
        <v>3296</v>
      </c>
      <c r="B18839" t="s">
        <v>2931</v>
      </c>
      <c r="C18839">
        <v>14117</v>
      </c>
      <c r="D18839" t="str">
        <f>"231778      "</f>
        <v xml:space="preserve">231778      </v>
      </c>
      <c r="E18839" t="s">
        <v>2481</v>
      </c>
      <c r="F18839" t="s">
        <v>2482</v>
      </c>
      <c r="G18839">
        <v>374.42</v>
      </c>
      <c r="H18839">
        <v>251021</v>
      </c>
      <c r="I18839">
        <v>4580</v>
      </c>
      <c r="J18839" t="s">
        <v>126</v>
      </c>
      <c r="K18839">
        <v>374.42</v>
      </c>
      <c r="L18839">
        <v>76.08</v>
      </c>
      <c r="M18839">
        <v>17521</v>
      </c>
      <c r="N18839" t="s">
        <v>136</v>
      </c>
      <c r="O18839">
        <v>251024</v>
      </c>
      <c r="P18839">
        <v>298.33999999999997</v>
      </c>
    </row>
    <row r="18840" spans="1:16" x14ac:dyDescent="0.25">
      <c r="A18840" t="s">
        <v>3296</v>
      </c>
      <c r="B18840" t="s">
        <v>2931</v>
      </c>
      <c r="C18840">
        <v>16698</v>
      </c>
      <c r="D18840" t="str">
        <f>"232399      "</f>
        <v xml:space="preserve">232399      </v>
      </c>
      <c r="E18840" t="s">
        <v>2481</v>
      </c>
      <c r="F18840" t="s">
        <v>2482</v>
      </c>
      <c r="G18840">
        <v>380.6</v>
      </c>
      <c r="H18840">
        <v>251208</v>
      </c>
      <c r="I18840">
        <v>4580</v>
      </c>
      <c r="J18840" t="s">
        <v>126</v>
      </c>
      <c r="K18840">
        <v>380.6</v>
      </c>
      <c r="L18840">
        <v>77.33</v>
      </c>
      <c r="M18840">
        <v>17521</v>
      </c>
      <c r="N18840" t="s">
        <v>136</v>
      </c>
      <c r="O18840">
        <v>251211</v>
      </c>
      <c r="P18840">
        <v>303.27</v>
      </c>
    </row>
    <row r="18841" spans="1:16" x14ac:dyDescent="0.25">
      <c r="A18841" t="s">
        <v>3296</v>
      </c>
      <c r="B18841" t="s">
        <v>2931</v>
      </c>
      <c r="C18841">
        <v>2578</v>
      </c>
      <c r="D18841" t="str">
        <f>"258034      "</f>
        <v xml:space="preserve">258034      </v>
      </c>
      <c r="E18841" t="s">
        <v>1316</v>
      </c>
      <c r="F18841" t="s">
        <v>1317</v>
      </c>
      <c r="G18841">
        <v>308.25</v>
      </c>
      <c r="H18841">
        <v>250220</v>
      </c>
      <c r="I18841">
        <v>4580</v>
      </c>
      <c r="J18841" t="s">
        <v>126</v>
      </c>
      <c r="K18841">
        <v>308.25</v>
      </c>
      <c r="L18841">
        <v>62.63</v>
      </c>
      <c r="M18841">
        <v>56558</v>
      </c>
      <c r="N18841" t="s">
        <v>50</v>
      </c>
      <c r="O18841">
        <v>250306</v>
      </c>
      <c r="P18841">
        <v>245.62</v>
      </c>
    </row>
    <row r="18842" spans="1:16" x14ac:dyDescent="0.25">
      <c r="A18842" t="s">
        <v>3296</v>
      </c>
      <c r="B18842" t="s">
        <v>2931</v>
      </c>
      <c r="C18842">
        <v>6163</v>
      </c>
      <c r="D18842" t="str">
        <f>"259179      "</f>
        <v xml:space="preserve">259179      </v>
      </c>
      <c r="E18842" t="s">
        <v>1316</v>
      </c>
      <c r="F18842" t="s">
        <v>1317</v>
      </c>
      <c r="G18842">
        <v>601.91999999999996</v>
      </c>
      <c r="H18842">
        <v>250505</v>
      </c>
      <c r="I18842">
        <v>4580</v>
      </c>
      <c r="J18842" t="s">
        <v>126</v>
      </c>
      <c r="K18842">
        <v>601.91999999999996</v>
      </c>
      <c r="L18842">
        <v>122.3</v>
      </c>
      <c r="M18842">
        <v>56558</v>
      </c>
      <c r="N18842" t="s">
        <v>50</v>
      </c>
      <c r="O18842">
        <v>250509</v>
      </c>
      <c r="P18842">
        <v>479.62</v>
      </c>
    </row>
    <row r="18843" spans="1:16" x14ac:dyDescent="0.25">
      <c r="A18843" t="s">
        <v>3296</v>
      </c>
      <c r="B18843" t="s">
        <v>2931</v>
      </c>
      <c r="C18843">
        <v>11163</v>
      </c>
      <c r="D18843" t="str">
        <f>"260835      "</f>
        <v xml:space="preserve">260835      </v>
      </c>
      <c r="E18843" t="s">
        <v>1316</v>
      </c>
      <c r="F18843" t="s">
        <v>1317</v>
      </c>
      <c r="G18843">
        <v>486.01</v>
      </c>
      <c r="H18843">
        <v>250828</v>
      </c>
      <c r="I18843">
        <v>4580</v>
      </c>
      <c r="J18843" t="s">
        <v>126</v>
      </c>
      <c r="K18843">
        <v>486.01</v>
      </c>
      <c r="L18843">
        <v>98.75</v>
      </c>
      <c r="M18843">
        <v>17803</v>
      </c>
      <c r="N18843" t="s">
        <v>19</v>
      </c>
      <c r="O18843">
        <v>250901</v>
      </c>
      <c r="P18843">
        <v>387.26</v>
      </c>
    </row>
    <row r="18844" spans="1:16" x14ac:dyDescent="0.25">
      <c r="A18844" t="s">
        <v>3296</v>
      </c>
      <c r="B18844" t="s">
        <v>2931</v>
      </c>
      <c r="C18844">
        <v>11399</v>
      </c>
      <c r="D18844" t="str">
        <f>"260914      "</f>
        <v xml:space="preserve">260914      </v>
      </c>
      <c r="E18844" t="s">
        <v>1316</v>
      </c>
      <c r="F18844" t="s">
        <v>1317</v>
      </c>
      <c r="G18844">
        <v>478.8</v>
      </c>
      <c r="H18844">
        <v>250902</v>
      </c>
      <c r="I18844">
        <v>4580</v>
      </c>
      <c r="J18844" t="s">
        <v>126</v>
      </c>
      <c r="K18844">
        <v>478.8</v>
      </c>
      <c r="L18844">
        <v>97.29</v>
      </c>
      <c r="M18844">
        <v>17803</v>
      </c>
      <c r="N18844" t="s">
        <v>19</v>
      </c>
      <c r="O18844">
        <v>250904</v>
      </c>
      <c r="P18844">
        <v>381.51</v>
      </c>
    </row>
    <row r="18845" spans="1:16" x14ac:dyDescent="0.25">
      <c r="A18845" t="s">
        <v>3296</v>
      </c>
      <c r="B18845" t="s">
        <v>2931</v>
      </c>
      <c r="C18845">
        <v>12176</v>
      </c>
      <c r="D18845" t="str">
        <f>"261060      "</f>
        <v xml:space="preserve">261060      </v>
      </c>
      <c r="E18845" t="s">
        <v>1316</v>
      </c>
      <c r="F18845" t="s">
        <v>1317</v>
      </c>
      <c r="G18845">
        <v>95.76</v>
      </c>
      <c r="H18845">
        <v>250911</v>
      </c>
      <c r="I18845">
        <v>4580</v>
      </c>
      <c r="J18845" t="s">
        <v>126</v>
      </c>
      <c r="K18845">
        <v>95.76</v>
      </c>
      <c r="L18845">
        <v>19.46</v>
      </c>
      <c r="M18845">
        <v>17803</v>
      </c>
      <c r="N18845" t="s">
        <v>19</v>
      </c>
      <c r="O18845">
        <v>250917</v>
      </c>
      <c r="P18845">
        <v>76.3</v>
      </c>
    </row>
    <row r="18846" spans="1:16" x14ac:dyDescent="0.25">
      <c r="A18846" t="s">
        <v>3296</v>
      </c>
      <c r="B18846" t="s">
        <v>2931</v>
      </c>
      <c r="C18846">
        <v>10913</v>
      </c>
      <c r="D18846" t="str">
        <f>"260750      "</f>
        <v xml:space="preserve">260750      </v>
      </c>
      <c r="E18846" t="s">
        <v>1316</v>
      </c>
      <c r="F18846" t="s">
        <v>1317</v>
      </c>
      <c r="G18846">
        <v>164.16</v>
      </c>
      <c r="H18846">
        <v>250822</v>
      </c>
      <c r="I18846">
        <v>4600</v>
      </c>
      <c r="J18846" t="s">
        <v>278</v>
      </c>
      <c r="K18846">
        <v>164.16</v>
      </c>
      <c r="L18846">
        <v>33.36</v>
      </c>
      <c r="M18846">
        <v>56558</v>
      </c>
      <c r="N18846" t="s">
        <v>50</v>
      </c>
      <c r="O18846">
        <v>250827</v>
      </c>
      <c r="P18846">
        <v>130.80000000000001</v>
      </c>
    </row>
    <row r="18847" spans="1:16" x14ac:dyDescent="0.25">
      <c r="A18847" t="s">
        <v>3296</v>
      </c>
      <c r="B18847" t="s">
        <v>2931</v>
      </c>
      <c r="C18847">
        <v>3668</v>
      </c>
      <c r="D18847" t="str">
        <f>"1000        "</f>
        <v xml:space="preserve">1000        </v>
      </c>
      <c r="E18847" t="s">
        <v>3313</v>
      </c>
      <c r="F18847" t="s">
        <v>3314</v>
      </c>
      <c r="G18847">
        <v>1029.0999999999999</v>
      </c>
      <c r="H18847">
        <v>250301</v>
      </c>
      <c r="I18847">
        <v>4600</v>
      </c>
      <c r="J18847" t="s">
        <v>278</v>
      </c>
      <c r="K18847">
        <v>1089.0999999999999</v>
      </c>
      <c r="L18847">
        <v>209.1</v>
      </c>
      <c r="M18847">
        <v>59501</v>
      </c>
      <c r="N18847" t="s">
        <v>62</v>
      </c>
      <c r="O18847">
        <v>250328</v>
      </c>
      <c r="P18847">
        <v>820</v>
      </c>
    </row>
    <row r="18848" spans="1:16" x14ac:dyDescent="0.25">
      <c r="A18848" t="s">
        <v>3296</v>
      </c>
      <c r="B18848" t="s">
        <v>2931</v>
      </c>
      <c r="C18848">
        <v>14473</v>
      </c>
      <c r="D18848" t="str">
        <f>"389216      "</f>
        <v xml:space="preserve">389216      </v>
      </c>
      <c r="E18848" t="s">
        <v>3153</v>
      </c>
      <c r="F18848" t="s">
        <v>3154</v>
      </c>
      <c r="G18848">
        <v>250</v>
      </c>
      <c r="H18848">
        <v>251006</v>
      </c>
      <c r="I18848">
        <v>4940</v>
      </c>
      <c r="J18848" t="s">
        <v>250</v>
      </c>
      <c r="K18848">
        <v>250</v>
      </c>
      <c r="L18848">
        <v>0</v>
      </c>
      <c r="M18848">
        <v>11001</v>
      </c>
      <c r="N18848" t="s">
        <v>93</v>
      </c>
      <c r="O18848">
        <v>251103</v>
      </c>
      <c r="P18848">
        <v>250</v>
      </c>
    </row>
    <row r="18849" spans="1:16" x14ac:dyDescent="0.25">
      <c r="A18849" t="s">
        <v>3296</v>
      </c>
      <c r="B18849" t="s">
        <v>2931</v>
      </c>
      <c r="C18849">
        <v>12642</v>
      </c>
      <c r="D18849" t="str">
        <f>"1419        "</f>
        <v xml:space="preserve">1419        </v>
      </c>
      <c r="E18849" t="s">
        <v>1647</v>
      </c>
      <c r="F18849" t="s">
        <v>1648</v>
      </c>
      <c r="G18849">
        <v>313.75</v>
      </c>
      <c r="H18849">
        <v>250919</v>
      </c>
      <c r="I18849">
        <v>4369</v>
      </c>
      <c r="J18849" t="s">
        <v>188</v>
      </c>
      <c r="K18849">
        <v>313.75</v>
      </c>
      <c r="L18849">
        <v>63.75</v>
      </c>
      <c r="M18849">
        <v>14321</v>
      </c>
      <c r="N18849" t="s">
        <v>72</v>
      </c>
      <c r="O18849">
        <v>250929</v>
      </c>
      <c r="P18849">
        <v>250</v>
      </c>
    </row>
    <row r="18850" spans="1:16" x14ac:dyDescent="0.25">
      <c r="A18850" t="s">
        <v>3296</v>
      </c>
      <c r="B18850" t="s">
        <v>2931</v>
      </c>
      <c r="C18850">
        <v>4687</v>
      </c>
      <c r="D18850" t="str">
        <f>"1339        "</f>
        <v xml:space="preserve">1339        </v>
      </c>
      <c r="E18850" t="s">
        <v>1647</v>
      </c>
      <c r="F18850" t="s">
        <v>1648</v>
      </c>
      <c r="G18850">
        <v>51.52</v>
      </c>
      <c r="H18850">
        <v>250402</v>
      </c>
      <c r="I18850">
        <v>4390</v>
      </c>
      <c r="J18850" t="s">
        <v>232</v>
      </c>
      <c r="K18850">
        <v>171.75</v>
      </c>
      <c r="L18850">
        <v>10.47</v>
      </c>
      <c r="M18850">
        <v>14952</v>
      </c>
      <c r="N18850" t="s">
        <v>213</v>
      </c>
      <c r="O18850">
        <v>250414</v>
      </c>
      <c r="P18850">
        <v>41.05</v>
      </c>
    </row>
    <row r="18851" spans="1:16" x14ac:dyDescent="0.25">
      <c r="A18851" t="s">
        <v>3296</v>
      </c>
      <c r="B18851" t="s">
        <v>2931</v>
      </c>
      <c r="C18851">
        <v>4687</v>
      </c>
      <c r="D18851" t="str">
        <f>"1339        "</f>
        <v xml:space="preserve">1339        </v>
      </c>
      <c r="E18851" t="s">
        <v>1647</v>
      </c>
      <c r="F18851" t="s">
        <v>1648</v>
      </c>
      <c r="G18851">
        <v>120.23</v>
      </c>
      <c r="H18851">
        <v>250402</v>
      </c>
      <c r="I18851">
        <v>4390</v>
      </c>
      <c r="J18851" t="s">
        <v>232</v>
      </c>
      <c r="K18851">
        <v>171.75</v>
      </c>
      <c r="L18851">
        <v>24.43</v>
      </c>
      <c r="M18851">
        <v>14981</v>
      </c>
      <c r="N18851" t="s">
        <v>252</v>
      </c>
      <c r="O18851">
        <v>250414</v>
      </c>
      <c r="P18851">
        <v>95.8</v>
      </c>
    </row>
    <row r="18852" spans="1:16" x14ac:dyDescent="0.25">
      <c r="A18852" t="s">
        <v>3296</v>
      </c>
      <c r="B18852" t="s">
        <v>2931</v>
      </c>
      <c r="C18852">
        <v>18508</v>
      </c>
      <c r="D18852" t="str">
        <f>"1550690090  "</f>
        <v xml:space="preserve">1550690090  </v>
      </c>
      <c r="E18852" t="s">
        <v>2878</v>
      </c>
      <c r="F18852" t="s">
        <v>2879</v>
      </c>
      <c r="G18852">
        <v>37</v>
      </c>
      <c r="H18852">
        <v>251231</v>
      </c>
      <c r="I18852">
        <v>1196</v>
      </c>
      <c r="J18852" t="s">
        <v>340</v>
      </c>
      <c r="K18852">
        <v>37</v>
      </c>
      <c r="L18852">
        <v>0</v>
      </c>
      <c r="M18852">
        <v>97701</v>
      </c>
      <c r="N18852" t="s">
        <v>1017</v>
      </c>
      <c r="O18852">
        <v>260114</v>
      </c>
      <c r="P18852">
        <v>37</v>
      </c>
    </row>
    <row r="18853" spans="1:16" x14ac:dyDescent="0.25">
      <c r="A18853" t="s">
        <v>3296</v>
      </c>
      <c r="B18853" t="s">
        <v>2931</v>
      </c>
      <c r="C18853">
        <v>8819</v>
      </c>
      <c r="D18853" t="str">
        <f>"2243014743  "</f>
        <v xml:space="preserve">2243014743  </v>
      </c>
      <c r="E18853" t="s">
        <v>2850</v>
      </c>
      <c r="F18853" t="s">
        <v>2851</v>
      </c>
      <c r="G18853">
        <v>21</v>
      </c>
      <c r="H18853">
        <v>250605</v>
      </c>
      <c r="I18853">
        <v>4346</v>
      </c>
      <c r="J18853" t="s">
        <v>334</v>
      </c>
      <c r="K18853">
        <v>21</v>
      </c>
      <c r="L18853">
        <v>0</v>
      </c>
      <c r="M18853">
        <v>17521</v>
      </c>
      <c r="N18853" t="s">
        <v>136</v>
      </c>
      <c r="O18853">
        <v>250618</v>
      </c>
      <c r="P18853">
        <v>21</v>
      </c>
    </row>
    <row r="18854" spans="1:16" x14ac:dyDescent="0.25">
      <c r="A18854" t="s">
        <v>3296</v>
      </c>
      <c r="B18854" t="s">
        <v>2931</v>
      </c>
      <c r="C18854">
        <v>8822</v>
      </c>
      <c r="D18854" t="str">
        <f>"2243014744  "</f>
        <v xml:space="preserve">2243014744  </v>
      </c>
      <c r="E18854" t="s">
        <v>2850</v>
      </c>
      <c r="F18854" t="s">
        <v>2851</v>
      </c>
      <c r="G18854">
        <v>45.18</v>
      </c>
      <c r="H18854">
        <v>250605</v>
      </c>
      <c r="I18854">
        <v>4346</v>
      </c>
      <c r="J18854" t="s">
        <v>334</v>
      </c>
      <c r="K18854">
        <v>45.18</v>
      </c>
      <c r="L18854">
        <v>9.18</v>
      </c>
      <c r="M18854">
        <v>17521</v>
      </c>
      <c r="N18854" t="s">
        <v>136</v>
      </c>
      <c r="O18854">
        <v>250618</v>
      </c>
      <c r="P18854">
        <v>36</v>
      </c>
    </row>
    <row r="18855" spans="1:16" x14ac:dyDescent="0.25">
      <c r="A18855" t="s">
        <v>3296</v>
      </c>
      <c r="B18855" t="s">
        <v>2931</v>
      </c>
      <c r="C18855">
        <v>9845</v>
      </c>
      <c r="D18855" t="str">
        <f>"2243014828  "</f>
        <v xml:space="preserve">2243014828  </v>
      </c>
      <c r="E18855" t="s">
        <v>2850</v>
      </c>
      <c r="F18855" t="s">
        <v>2851</v>
      </c>
      <c r="G18855">
        <v>240.96</v>
      </c>
      <c r="H18855">
        <v>250724</v>
      </c>
      <c r="I18855">
        <v>4346</v>
      </c>
      <c r="J18855" t="s">
        <v>334</v>
      </c>
      <c r="K18855">
        <v>240.96</v>
      </c>
      <c r="L18855">
        <v>48.96</v>
      </c>
      <c r="M18855">
        <v>17521</v>
      </c>
      <c r="N18855" t="s">
        <v>136</v>
      </c>
      <c r="O18855">
        <v>250729</v>
      </c>
      <c r="P18855">
        <v>192</v>
      </c>
    </row>
    <row r="18856" spans="1:16" x14ac:dyDescent="0.25">
      <c r="A18856" t="s">
        <v>3296</v>
      </c>
      <c r="B18856" t="s">
        <v>2931</v>
      </c>
      <c r="C18856">
        <v>9846</v>
      </c>
      <c r="D18856" t="str">
        <f>"2243014827  "</f>
        <v xml:space="preserve">2243014827  </v>
      </c>
      <c r="E18856" t="s">
        <v>2850</v>
      </c>
      <c r="F18856" t="s">
        <v>2851</v>
      </c>
      <c r="G18856">
        <v>675</v>
      </c>
      <c r="H18856">
        <v>250724</v>
      </c>
      <c r="I18856">
        <v>4346</v>
      </c>
      <c r="J18856" t="s">
        <v>334</v>
      </c>
      <c r="K18856">
        <v>675</v>
      </c>
      <c r="L18856">
        <v>0</v>
      </c>
      <c r="M18856">
        <v>17521</v>
      </c>
      <c r="N18856" t="s">
        <v>136</v>
      </c>
      <c r="O18856">
        <v>250729</v>
      </c>
      <c r="P18856">
        <v>675</v>
      </c>
    </row>
    <row r="18857" spans="1:16" x14ac:dyDescent="0.25">
      <c r="A18857" t="s">
        <v>3296</v>
      </c>
      <c r="B18857" t="s">
        <v>2931</v>
      </c>
      <c r="C18857">
        <v>7193</v>
      </c>
      <c r="D18857" t="str">
        <f>"2243014649  "</f>
        <v xml:space="preserve">2243014649  </v>
      </c>
      <c r="E18857" t="s">
        <v>2850</v>
      </c>
      <c r="F18857" t="s">
        <v>2851</v>
      </c>
      <c r="G18857">
        <v>15.06</v>
      </c>
      <c r="H18857">
        <v>250501</v>
      </c>
      <c r="I18857">
        <v>4470</v>
      </c>
      <c r="J18857" t="s">
        <v>203</v>
      </c>
      <c r="K18857">
        <v>15.06</v>
      </c>
      <c r="L18857">
        <v>3.06</v>
      </c>
      <c r="M18857">
        <v>17521</v>
      </c>
      <c r="N18857" t="s">
        <v>136</v>
      </c>
      <c r="O18857">
        <v>250527</v>
      </c>
      <c r="P18857">
        <v>12</v>
      </c>
    </row>
    <row r="18858" spans="1:16" x14ac:dyDescent="0.25">
      <c r="A18858" t="s">
        <v>3296</v>
      </c>
      <c r="B18858" t="s">
        <v>2931</v>
      </c>
      <c r="C18858">
        <v>14182</v>
      </c>
      <c r="D18858" t="str">
        <f>"2243015045  "</f>
        <v xml:space="preserve">2243015045  </v>
      </c>
      <c r="E18858" t="s">
        <v>2850</v>
      </c>
      <c r="F18858" t="s">
        <v>2851</v>
      </c>
      <c r="G18858">
        <v>270</v>
      </c>
      <c r="H18858">
        <v>251023</v>
      </c>
      <c r="I18858">
        <v>4470</v>
      </c>
      <c r="J18858" t="s">
        <v>203</v>
      </c>
      <c r="K18858">
        <v>270</v>
      </c>
      <c r="L18858">
        <v>0</v>
      </c>
      <c r="M18858">
        <v>17521</v>
      </c>
      <c r="N18858" t="s">
        <v>136</v>
      </c>
      <c r="O18858">
        <v>251024</v>
      </c>
      <c r="P18858">
        <v>270</v>
      </c>
    </row>
    <row r="18859" spans="1:16" x14ac:dyDescent="0.25">
      <c r="A18859" t="s">
        <v>3296</v>
      </c>
      <c r="B18859" t="s">
        <v>2931</v>
      </c>
      <c r="C18859">
        <v>7727</v>
      </c>
      <c r="D18859" t="str">
        <f>"2243014681  "</f>
        <v xml:space="preserve">2243014681  </v>
      </c>
      <c r="E18859" t="s">
        <v>2850</v>
      </c>
      <c r="F18859" t="s">
        <v>2851</v>
      </c>
      <c r="G18859">
        <v>54</v>
      </c>
      <c r="H18859">
        <v>250521</v>
      </c>
      <c r="I18859">
        <v>4600</v>
      </c>
      <c r="J18859" t="s">
        <v>278</v>
      </c>
      <c r="K18859">
        <v>54</v>
      </c>
      <c r="L18859">
        <v>10.97</v>
      </c>
      <c r="M18859">
        <v>17521</v>
      </c>
      <c r="N18859" t="s">
        <v>136</v>
      </c>
      <c r="O18859">
        <v>250609</v>
      </c>
      <c r="P18859">
        <v>43.03</v>
      </c>
    </row>
    <row r="18860" spans="1:16" x14ac:dyDescent="0.25">
      <c r="A18860" t="s">
        <v>3296</v>
      </c>
      <c r="B18860" t="s">
        <v>2931</v>
      </c>
      <c r="C18860">
        <v>13570</v>
      </c>
      <c r="D18860" t="str">
        <f>"2243014980  "</f>
        <v xml:space="preserve">2243014980  </v>
      </c>
      <c r="E18860" t="s">
        <v>2850</v>
      </c>
      <c r="F18860" t="s">
        <v>2851</v>
      </c>
      <c r="G18860">
        <v>54</v>
      </c>
      <c r="H18860">
        <v>250926</v>
      </c>
      <c r="I18860">
        <v>4600</v>
      </c>
      <c r="J18860" t="s">
        <v>278</v>
      </c>
      <c r="K18860">
        <v>54</v>
      </c>
      <c r="L18860">
        <v>0</v>
      </c>
      <c r="M18860">
        <v>17632</v>
      </c>
      <c r="N18860" t="s">
        <v>615</v>
      </c>
      <c r="O18860">
        <v>251013</v>
      </c>
      <c r="P18860">
        <v>54</v>
      </c>
    </row>
    <row r="18861" spans="1:16" x14ac:dyDescent="0.25">
      <c r="A18861" t="s">
        <v>3296</v>
      </c>
      <c r="B18861" t="s">
        <v>2931</v>
      </c>
      <c r="C18861">
        <v>620</v>
      </c>
      <c r="D18861" t="str">
        <f>"2243014375  "</f>
        <v xml:space="preserve">2243014375  </v>
      </c>
      <c r="E18861" t="s">
        <v>2850</v>
      </c>
      <c r="F18861" t="s">
        <v>2851</v>
      </c>
      <c r="G18861">
        <v>195</v>
      </c>
      <c r="H18861">
        <v>250101</v>
      </c>
      <c r="I18861">
        <v>4940</v>
      </c>
      <c r="J18861" t="s">
        <v>250</v>
      </c>
      <c r="K18861">
        <v>195</v>
      </c>
      <c r="L18861">
        <v>0</v>
      </c>
      <c r="M18861">
        <v>17521</v>
      </c>
      <c r="N18861" t="s">
        <v>136</v>
      </c>
      <c r="O18861">
        <v>250124</v>
      </c>
      <c r="P18861">
        <v>195</v>
      </c>
    </row>
    <row r="18862" spans="1:16" x14ac:dyDescent="0.25">
      <c r="A18862" t="s">
        <v>3296</v>
      </c>
      <c r="B18862" t="s">
        <v>2931</v>
      </c>
      <c r="C18862">
        <v>621</v>
      </c>
      <c r="D18862" t="str">
        <f>"2243014376  "</f>
        <v xml:space="preserve">2243014376  </v>
      </c>
      <c r="E18862" t="s">
        <v>2850</v>
      </c>
      <c r="F18862" t="s">
        <v>2851</v>
      </c>
      <c r="G18862">
        <v>69.03</v>
      </c>
      <c r="H18862">
        <v>250101</v>
      </c>
      <c r="I18862">
        <v>4940</v>
      </c>
      <c r="J18862" t="s">
        <v>250</v>
      </c>
      <c r="K18862">
        <v>69.03</v>
      </c>
      <c r="L18862">
        <v>14.03</v>
      </c>
      <c r="M18862">
        <v>17521</v>
      </c>
      <c r="N18862" t="s">
        <v>136</v>
      </c>
      <c r="O18862">
        <v>250124</v>
      </c>
      <c r="P18862">
        <v>55</v>
      </c>
    </row>
    <row r="18863" spans="1:16" x14ac:dyDescent="0.25">
      <c r="A18863" t="s">
        <v>3296</v>
      </c>
      <c r="B18863" t="s">
        <v>2931</v>
      </c>
      <c r="C18863">
        <v>7192</v>
      </c>
      <c r="D18863" t="str">
        <f>"2243014648  "</f>
        <v xml:space="preserve">2243014648  </v>
      </c>
      <c r="E18863" t="s">
        <v>2850</v>
      </c>
      <c r="F18863" t="s">
        <v>2851</v>
      </c>
      <c r="G18863">
        <v>63</v>
      </c>
      <c r="H18863">
        <v>250501</v>
      </c>
      <c r="I18863">
        <v>4940</v>
      </c>
      <c r="J18863" t="s">
        <v>250</v>
      </c>
      <c r="K18863">
        <v>63</v>
      </c>
      <c r="L18863">
        <v>0</v>
      </c>
      <c r="M18863">
        <v>17521</v>
      </c>
      <c r="N18863" t="s">
        <v>136</v>
      </c>
      <c r="O18863">
        <v>250527</v>
      </c>
      <c r="P18863">
        <v>63</v>
      </c>
    </row>
    <row r="18864" spans="1:16" x14ac:dyDescent="0.25">
      <c r="A18864" t="s">
        <v>3296</v>
      </c>
      <c r="B18864" t="s">
        <v>2931</v>
      </c>
      <c r="C18864">
        <v>17695</v>
      </c>
      <c r="D18864" t="str">
        <f>"2243015471  "</f>
        <v xml:space="preserve">2243015471  </v>
      </c>
      <c r="E18864" t="s">
        <v>2850</v>
      </c>
      <c r="F18864" t="s">
        <v>2851</v>
      </c>
      <c r="G18864">
        <v>30.12</v>
      </c>
      <c r="H18864">
        <v>251212</v>
      </c>
      <c r="I18864">
        <v>4940</v>
      </c>
      <c r="J18864" t="s">
        <v>250</v>
      </c>
      <c r="K18864">
        <v>30.12</v>
      </c>
      <c r="L18864">
        <v>6.12</v>
      </c>
      <c r="M18864">
        <v>17521</v>
      </c>
      <c r="N18864" t="s">
        <v>136</v>
      </c>
      <c r="O18864">
        <v>251229</v>
      </c>
      <c r="P18864">
        <v>24</v>
      </c>
    </row>
    <row r="18865" spans="1:16" x14ac:dyDescent="0.25">
      <c r="A18865" t="s">
        <v>3296</v>
      </c>
      <c r="B18865" t="s">
        <v>2931</v>
      </c>
      <c r="C18865">
        <v>17696</v>
      </c>
      <c r="D18865" t="str">
        <f>"2243015470  "</f>
        <v xml:space="preserve">2243015470  </v>
      </c>
      <c r="E18865" t="s">
        <v>2850</v>
      </c>
      <c r="F18865" t="s">
        <v>2851</v>
      </c>
      <c r="G18865">
        <v>21</v>
      </c>
      <c r="H18865">
        <v>251212</v>
      </c>
      <c r="I18865">
        <v>4940</v>
      </c>
      <c r="J18865" t="s">
        <v>250</v>
      </c>
      <c r="K18865">
        <v>21</v>
      </c>
      <c r="L18865">
        <v>0</v>
      </c>
      <c r="M18865">
        <v>17521</v>
      </c>
      <c r="N18865" t="s">
        <v>136</v>
      </c>
      <c r="O18865">
        <v>251229</v>
      </c>
      <c r="P18865">
        <v>21</v>
      </c>
    </row>
    <row r="18866" spans="1:16" x14ac:dyDescent="0.25">
      <c r="A18866" t="s">
        <v>3296</v>
      </c>
      <c r="B18866" t="s">
        <v>2931</v>
      </c>
      <c r="C18866">
        <v>6276</v>
      </c>
      <c r="D18866" t="str">
        <f>"790         "</f>
        <v xml:space="preserve">790         </v>
      </c>
      <c r="E18866" t="s">
        <v>3072</v>
      </c>
      <c r="F18866" t="s">
        <v>3073</v>
      </c>
      <c r="G18866">
        <v>220</v>
      </c>
      <c r="H18866">
        <v>250506</v>
      </c>
      <c r="I18866">
        <v>4350</v>
      </c>
      <c r="J18866" t="s">
        <v>290</v>
      </c>
      <c r="K18866">
        <v>220</v>
      </c>
      <c r="L18866">
        <v>0</v>
      </c>
      <c r="M18866">
        <v>59701</v>
      </c>
      <c r="N18866" t="s">
        <v>64</v>
      </c>
      <c r="O18866">
        <v>250512</v>
      </c>
      <c r="P18866">
        <v>220</v>
      </c>
    </row>
    <row r="18867" spans="1:16" x14ac:dyDescent="0.25">
      <c r="A18867" t="s">
        <v>3296</v>
      </c>
      <c r="B18867" t="s">
        <v>2931</v>
      </c>
      <c r="C18867">
        <v>10909</v>
      </c>
      <c r="D18867" t="str">
        <f>"55287       "</f>
        <v xml:space="preserve">55287       </v>
      </c>
      <c r="E18867" t="s">
        <v>1470</v>
      </c>
      <c r="F18867" t="s">
        <v>1471</v>
      </c>
      <c r="G18867">
        <v>286.02</v>
      </c>
      <c r="H18867">
        <v>250819</v>
      </c>
      <c r="I18867">
        <v>4580</v>
      </c>
      <c r="J18867" t="s">
        <v>126</v>
      </c>
      <c r="K18867">
        <v>286.02</v>
      </c>
      <c r="L18867">
        <v>58.12</v>
      </c>
      <c r="M18867">
        <v>17521</v>
      </c>
      <c r="N18867" t="s">
        <v>136</v>
      </c>
      <c r="O18867">
        <v>250827</v>
      </c>
      <c r="P18867">
        <v>227.9</v>
      </c>
    </row>
    <row r="18868" spans="1:16" x14ac:dyDescent="0.25">
      <c r="A18868" t="s">
        <v>3296</v>
      </c>
      <c r="B18868" t="s">
        <v>2931</v>
      </c>
      <c r="C18868">
        <v>3575</v>
      </c>
      <c r="D18868" t="str">
        <f>"50798       "</f>
        <v xml:space="preserve">50798       </v>
      </c>
      <c r="E18868" t="s">
        <v>1470</v>
      </c>
      <c r="F18868" t="s">
        <v>1471</v>
      </c>
      <c r="G18868">
        <v>179.14</v>
      </c>
      <c r="H18868">
        <v>250313</v>
      </c>
      <c r="I18868">
        <v>4600</v>
      </c>
      <c r="J18868" t="s">
        <v>278</v>
      </c>
      <c r="K18868">
        <v>179.14</v>
      </c>
      <c r="L18868">
        <v>36.4</v>
      </c>
      <c r="M18868">
        <v>17711</v>
      </c>
      <c r="N18868" t="s">
        <v>155</v>
      </c>
      <c r="O18868">
        <v>250325</v>
      </c>
      <c r="P18868">
        <v>142.74</v>
      </c>
    </row>
    <row r="18869" spans="1:16" x14ac:dyDescent="0.25">
      <c r="A18869" t="s">
        <v>3296</v>
      </c>
      <c r="B18869" t="s">
        <v>2931</v>
      </c>
      <c r="C18869">
        <v>1741</v>
      </c>
      <c r="D18869" t="str">
        <f>"4773        "</f>
        <v xml:space="preserve">4773        </v>
      </c>
      <c r="E18869" t="s">
        <v>3003</v>
      </c>
      <c r="F18869" t="s">
        <v>3004</v>
      </c>
      <c r="G18869">
        <v>700</v>
      </c>
      <c r="H18869">
        <v>250131</v>
      </c>
      <c r="I18869">
        <v>4440</v>
      </c>
      <c r="J18869" t="s">
        <v>346</v>
      </c>
      <c r="K18869">
        <v>700</v>
      </c>
      <c r="L18869">
        <v>0</v>
      </c>
      <c r="M18869">
        <v>18122</v>
      </c>
      <c r="N18869" t="s">
        <v>176</v>
      </c>
      <c r="O18869">
        <v>250213</v>
      </c>
      <c r="P18869">
        <v>700</v>
      </c>
    </row>
    <row r="18870" spans="1:16" x14ac:dyDescent="0.25">
      <c r="A18870" t="s">
        <v>3296</v>
      </c>
      <c r="B18870" t="s">
        <v>2931</v>
      </c>
      <c r="C18870">
        <v>5388</v>
      </c>
      <c r="D18870" t="str">
        <f>"4876        "</f>
        <v xml:space="preserve">4876        </v>
      </c>
      <c r="E18870" t="s">
        <v>3003</v>
      </c>
      <c r="F18870" t="s">
        <v>3004</v>
      </c>
      <c r="G18870">
        <v>700</v>
      </c>
      <c r="H18870">
        <v>250401</v>
      </c>
      <c r="I18870">
        <v>4440</v>
      </c>
      <c r="J18870" t="s">
        <v>346</v>
      </c>
      <c r="K18870">
        <v>700</v>
      </c>
      <c r="L18870">
        <v>0</v>
      </c>
      <c r="M18870">
        <v>18122</v>
      </c>
      <c r="N18870" t="s">
        <v>176</v>
      </c>
      <c r="O18870">
        <v>250424</v>
      </c>
      <c r="P18870">
        <v>700</v>
      </c>
    </row>
    <row r="18871" spans="1:16" x14ac:dyDescent="0.25">
      <c r="A18871" t="s">
        <v>3296</v>
      </c>
      <c r="B18871" t="s">
        <v>2931</v>
      </c>
      <c r="C18871">
        <v>8901</v>
      </c>
      <c r="D18871" t="str">
        <f>"5036        "</f>
        <v xml:space="preserve">5036        </v>
      </c>
      <c r="E18871" t="s">
        <v>3003</v>
      </c>
      <c r="F18871" t="s">
        <v>3004</v>
      </c>
      <c r="G18871">
        <v>900</v>
      </c>
      <c r="H18871">
        <v>250610</v>
      </c>
      <c r="I18871">
        <v>4440</v>
      </c>
      <c r="J18871" t="s">
        <v>346</v>
      </c>
      <c r="K18871">
        <v>900</v>
      </c>
      <c r="L18871">
        <v>0</v>
      </c>
      <c r="M18871">
        <v>18122</v>
      </c>
      <c r="N18871" t="s">
        <v>176</v>
      </c>
      <c r="O18871">
        <v>250618</v>
      </c>
      <c r="P18871">
        <v>900</v>
      </c>
    </row>
    <row r="18872" spans="1:16" x14ac:dyDescent="0.25">
      <c r="A18872" t="s">
        <v>3296</v>
      </c>
      <c r="B18872" t="s">
        <v>2931</v>
      </c>
      <c r="C18872">
        <v>4714</v>
      </c>
      <c r="D18872" t="str">
        <f>"03250330    "</f>
        <v xml:space="preserve">03250330    </v>
      </c>
      <c r="E18872" t="s">
        <v>3057</v>
      </c>
      <c r="F18872" t="s">
        <v>3058</v>
      </c>
      <c r="G18872">
        <v>700</v>
      </c>
      <c r="H18872">
        <v>250327</v>
      </c>
      <c r="I18872">
        <v>4440</v>
      </c>
      <c r="J18872" t="s">
        <v>346</v>
      </c>
      <c r="K18872">
        <v>700</v>
      </c>
      <c r="L18872">
        <v>0</v>
      </c>
      <c r="M18872">
        <v>18120</v>
      </c>
      <c r="N18872" t="s">
        <v>37</v>
      </c>
      <c r="O18872">
        <v>250414</v>
      </c>
      <c r="P18872">
        <v>700</v>
      </c>
    </row>
    <row r="18873" spans="1:16" x14ac:dyDescent="0.25">
      <c r="A18873" t="s">
        <v>3296</v>
      </c>
      <c r="B18873" t="s">
        <v>2931</v>
      </c>
      <c r="C18873">
        <v>4894</v>
      </c>
      <c r="D18873" t="str">
        <f>"03250340    "</f>
        <v xml:space="preserve">03250340    </v>
      </c>
      <c r="E18873" t="s">
        <v>3057</v>
      </c>
      <c r="F18873" t="s">
        <v>3058</v>
      </c>
      <c r="G18873">
        <v>460</v>
      </c>
      <c r="H18873">
        <v>250331</v>
      </c>
      <c r="I18873">
        <v>4440</v>
      </c>
      <c r="J18873" t="s">
        <v>346</v>
      </c>
      <c r="K18873">
        <v>460</v>
      </c>
      <c r="L18873">
        <v>0</v>
      </c>
      <c r="M18873">
        <v>18120</v>
      </c>
      <c r="N18873" t="s">
        <v>37</v>
      </c>
      <c r="O18873">
        <v>250416</v>
      </c>
      <c r="P18873">
        <v>460</v>
      </c>
    </row>
    <row r="18874" spans="1:16" x14ac:dyDescent="0.25">
      <c r="A18874" t="s">
        <v>3296</v>
      </c>
      <c r="B18874" t="s">
        <v>2931</v>
      </c>
      <c r="C18874">
        <v>9275</v>
      </c>
      <c r="D18874" t="str">
        <f>"03250628    "</f>
        <v xml:space="preserve">03250628    </v>
      </c>
      <c r="E18874" t="s">
        <v>3057</v>
      </c>
      <c r="F18874" t="s">
        <v>3058</v>
      </c>
      <c r="G18874">
        <v>800</v>
      </c>
      <c r="H18874">
        <v>250626</v>
      </c>
      <c r="I18874">
        <v>4440</v>
      </c>
      <c r="J18874" t="s">
        <v>346</v>
      </c>
      <c r="K18874">
        <v>800</v>
      </c>
      <c r="L18874">
        <v>0</v>
      </c>
      <c r="M18874">
        <v>18120</v>
      </c>
      <c r="N18874" t="s">
        <v>37</v>
      </c>
      <c r="O18874">
        <v>250701</v>
      </c>
      <c r="P18874">
        <v>800</v>
      </c>
    </row>
    <row r="18875" spans="1:16" x14ac:dyDescent="0.25">
      <c r="A18875" t="s">
        <v>3296</v>
      </c>
      <c r="B18875" t="s">
        <v>2931</v>
      </c>
      <c r="C18875">
        <v>9293</v>
      </c>
      <c r="D18875" t="str">
        <f>"03250635    "</f>
        <v xml:space="preserve">03250635    </v>
      </c>
      <c r="E18875" t="s">
        <v>3057</v>
      </c>
      <c r="F18875" t="s">
        <v>3058</v>
      </c>
      <c r="G18875">
        <v>460</v>
      </c>
      <c r="H18875">
        <v>250630</v>
      </c>
      <c r="I18875">
        <v>4440</v>
      </c>
      <c r="J18875" t="s">
        <v>346</v>
      </c>
      <c r="K18875">
        <v>460</v>
      </c>
      <c r="L18875">
        <v>0</v>
      </c>
      <c r="M18875">
        <v>18120</v>
      </c>
      <c r="N18875" t="s">
        <v>37</v>
      </c>
      <c r="O18875">
        <v>250702</v>
      </c>
      <c r="P18875">
        <v>460</v>
      </c>
    </row>
    <row r="18876" spans="1:16" x14ac:dyDescent="0.25">
      <c r="A18876" t="s">
        <v>3296</v>
      </c>
      <c r="B18876" t="s">
        <v>2931</v>
      </c>
      <c r="C18876">
        <v>14495</v>
      </c>
      <c r="D18876" t="str">
        <f>"03251023    "</f>
        <v xml:space="preserve">03251023    </v>
      </c>
      <c r="E18876" t="s">
        <v>3057</v>
      </c>
      <c r="F18876" t="s">
        <v>3058</v>
      </c>
      <c r="G18876">
        <v>460</v>
      </c>
      <c r="H18876">
        <v>251030</v>
      </c>
      <c r="I18876">
        <v>4440</v>
      </c>
      <c r="J18876" t="s">
        <v>346</v>
      </c>
      <c r="K18876">
        <v>460</v>
      </c>
      <c r="L18876">
        <v>0</v>
      </c>
      <c r="M18876">
        <v>18120</v>
      </c>
      <c r="N18876" t="s">
        <v>37</v>
      </c>
      <c r="O18876">
        <v>251103</v>
      </c>
      <c r="P18876">
        <v>460</v>
      </c>
    </row>
    <row r="18877" spans="1:16" x14ac:dyDescent="0.25">
      <c r="A18877" t="s">
        <v>3296</v>
      </c>
      <c r="B18877" t="s">
        <v>2931</v>
      </c>
      <c r="C18877">
        <v>18448</v>
      </c>
      <c r="D18877" t="str">
        <f>"03251252    "</f>
        <v xml:space="preserve">03251252    </v>
      </c>
      <c r="E18877" t="s">
        <v>3057</v>
      </c>
      <c r="F18877" t="s">
        <v>3058</v>
      </c>
      <c r="G18877">
        <v>460</v>
      </c>
      <c r="H18877">
        <v>251231</v>
      </c>
      <c r="I18877">
        <v>4440</v>
      </c>
      <c r="J18877" t="s">
        <v>346</v>
      </c>
      <c r="K18877">
        <v>460</v>
      </c>
      <c r="L18877">
        <v>0</v>
      </c>
      <c r="M18877">
        <v>18120</v>
      </c>
      <c r="N18877" t="s">
        <v>37</v>
      </c>
      <c r="O18877">
        <v>260113</v>
      </c>
      <c r="P18877">
        <v>460</v>
      </c>
    </row>
    <row r="18878" spans="1:16" x14ac:dyDescent="0.25">
      <c r="A18878" t="s">
        <v>3296</v>
      </c>
      <c r="B18878" t="s">
        <v>2931</v>
      </c>
      <c r="C18878">
        <v>1860</v>
      </c>
      <c r="D18878" t="str">
        <f>"279659      "</f>
        <v xml:space="preserve">279659      </v>
      </c>
      <c r="E18878" t="s">
        <v>1146</v>
      </c>
      <c r="F18878" t="s">
        <v>1147</v>
      </c>
      <c r="G18878">
        <v>439.25</v>
      </c>
      <c r="H18878">
        <v>250213</v>
      </c>
      <c r="I18878">
        <v>4470</v>
      </c>
      <c r="J18878" t="s">
        <v>203</v>
      </c>
      <c r="K18878">
        <v>439.25</v>
      </c>
      <c r="L18878">
        <v>89.25</v>
      </c>
      <c r="M18878">
        <v>17737</v>
      </c>
      <c r="N18878" t="s">
        <v>156</v>
      </c>
      <c r="O18878">
        <v>250214</v>
      </c>
      <c r="P18878">
        <v>350</v>
      </c>
    </row>
    <row r="18879" spans="1:16" x14ac:dyDescent="0.25">
      <c r="A18879" t="s">
        <v>3296</v>
      </c>
      <c r="B18879" t="s">
        <v>2931</v>
      </c>
      <c r="C18879">
        <v>10728</v>
      </c>
      <c r="D18879" t="str">
        <f>"2017019296  "</f>
        <v xml:space="preserve">2017019296  </v>
      </c>
      <c r="E18879" t="s">
        <v>2211</v>
      </c>
      <c r="F18879" t="s">
        <v>2212</v>
      </c>
      <c r="G18879">
        <v>1255</v>
      </c>
      <c r="H18879">
        <v>250815</v>
      </c>
      <c r="I18879">
        <v>4400</v>
      </c>
      <c r="J18879" t="s">
        <v>162</v>
      </c>
      <c r="K18879">
        <v>1255</v>
      </c>
      <c r="L18879">
        <v>255</v>
      </c>
      <c r="M18879">
        <v>17803</v>
      </c>
      <c r="N18879" t="s">
        <v>19</v>
      </c>
      <c r="O18879">
        <v>250821</v>
      </c>
      <c r="P18879">
        <v>1000</v>
      </c>
    </row>
    <row r="18880" spans="1:16" x14ac:dyDescent="0.25">
      <c r="A18880" t="s">
        <v>3296</v>
      </c>
      <c r="B18880" t="s">
        <v>2931</v>
      </c>
      <c r="C18880">
        <v>5584</v>
      </c>
      <c r="D18880" t="str">
        <f>"230425      "</f>
        <v xml:space="preserve">230425      </v>
      </c>
      <c r="E18880" t="s">
        <v>3067</v>
      </c>
      <c r="F18880" t="s">
        <v>3068</v>
      </c>
      <c r="G18880">
        <v>50</v>
      </c>
      <c r="H18880">
        <v>250422</v>
      </c>
      <c r="I18880">
        <v>4470</v>
      </c>
      <c r="J18880" t="s">
        <v>203</v>
      </c>
      <c r="K18880">
        <v>50</v>
      </c>
      <c r="L18880">
        <v>0</v>
      </c>
      <c r="M18880">
        <v>49807</v>
      </c>
      <c r="N18880" t="s">
        <v>852</v>
      </c>
      <c r="O18880">
        <v>250425</v>
      </c>
      <c r="P18880">
        <v>50</v>
      </c>
    </row>
    <row r="18881" spans="1:16" x14ac:dyDescent="0.25">
      <c r="A18881" t="s">
        <v>3296</v>
      </c>
      <c r="B18881" t="s">
        <v>2931</v>
      </c>
      <c r="C18881">
        <v>7712</v>
      </c>
      <c r="D18881" t="str">
        <f>"6025050002  "</f>
        <v xml:space="preserve">6025050002  </v>
      </c>
      <c r="E18881" t="s">
        <v>3098</v>
      </c>
      <c r="F18881" t="s">
        <v>3099</v>
      </c>
      <c r="G18881">
        <v>165</v>
      </c>
      <c r="H18881">
        <v>250528</v>
      </c>
      <c r="I18881">
        <v>4820</v>
      </c>
      <c r="J18881" t="s">
        <v>169</v>
      </c>
      <c r="K18881">
        <v>165</v>
      </c>
      <c r="L18881">
        <v>0</v>
      </c>
      <c r="M18881">
        <v>14972</v>
      </c>
      <c r="N18881" t="s">
        <v>82</v>
      </c>
      <c r="O18881">
        <v>250609</v>
      </c>
      <c r="P18881">
        <v>165</v>
      </c>
    </row>
    <row r="18882" spans="1:16" x14ac:dyDescent="0.25">
      <c r="A18882" t="s">
        <v>3296</v>
      </c>
      <c r="B18882" t="s">
        <v>2931</v>
      </c>
      <c r="C18882">
        <v>10360</v>
      </c>
      <c r="D18882" t="str">
        <f>"P2025172/2  "</f>
        <v xml:space="preserve">P2025172/2  </v>
      </c>
      <c r="E18882" t="s">
        <v>3254</v>
      </c>
      <c r="G18882">
        <v>1754</v>
      </c>
      <c r="H18882">
        <v>250701</v>
      </c>
      <c r="I18882">
        <v>4410</v>
      </c>
      <c r="J18882" t="s">
        <v>165</v>
      </c>
      <c r="K18882">
        <v>2264</v>
      </c>
      <c r="L18882">
        <v>0</v>
      </c>
      <c r="M18882">
        <v>11902</v>
      </c>
      <c r="N18882" t="s">
        <v>329</v>
      </c>
      <c r="O18882">
        <v>250818</v>
      </c>
      <c r="P18882">
        <v>1754</v>
      </c>
    </row>
    <row r="18883" spans="1:16" x14ac:dyDescent="0.25">
      <c r="A18883" t="s">
        <v>3296</v>
      </c>
      <c r="B18883" t="s">
        <v>2931</v>
      </c>
      <c r="C18883">
        <v>12305</v>
      </c>
      <c r="D18883" t="str">
        <f>"P2025232/2  "</f>
        <v xml:space="preserve">P2025232/2  </v>
      </c>
      <c r="E18883" t="s">
        <v>3254</v>
      </c>
      <c r="G18883">
        <v>2610</v>
      </c>
      <c r="H18883">
        <v>250905</v>
      </c>
      <c r="I18883">
        <v>4410</v>
      </c>
      <c r="J18883" t="s">
        <v>165</v>
      </c>
      <c r="K18883">
        <v>3010</v>
      </c>
      <c r="L18883">
        <v>0</v>
      </c>
      <c r="M18883">
        <v>11902</v>
      </c>
      <c r="N18883" t="s">
        <v>329</v>
      </c>
      <c r="O18883">
        <v>250919</v>
      </c>
      <c r="P18883">
        <v>2610</v>
      </c>
    </row>
    <row r="18884" spans="1:16" x14ac:dyDescent="0.25">
      <c r="A18884" t="s">
        <v>3296</v>
      </c>
      <c r="B18884" t="s">
        <v>2931</v>
      </c>
      <c r="C18884">
        <v>9012</v>
      </c>
      <c r="D18884" t="str">
        <f>"P2025172    "</f>
        <v xml:space="preserve">P2025172    </v>
      </c>
      <c r="E18884" t="s">
        <v>3254</v>
      </c>
      <c r="G18884">
        <v>566</v>
      </c>
      <c r="H18884">
        <v>250618</v>
      </c>
      <c r="I18884">
        <v>4440</v>
      </c>
      <c r="J18884" t="s">
        <v>346</v>
      </c>
      <c r="K18884">
        <v>566</v>
      </c>
      <c r="L18884">
        <v>0</v>
      </c>
      <c r="M18884">
        <v>11902</v>
      </c>
      <c r="N18884" t="s">
        <v>329</v>
      </c>
      <c r="O18884">
        <v>250625</v>
      </c>
      <c r="P18884">
        <v>566</v>
      </c>
    </row>
    <row r="18885" spans="1:16" x14ac:dyDescent="0.25">
      <c r="A18885" t="s">
        <v>3296</v>
      </c>
      <c r="B18885" t="s">
        <v>2931</v>
      </c>
      <c r="C18885">
        <v>10360</v>
      </c>
      <c r="D18885" t="str">
        <f>"P2025172/2  "</f>
        <v xml:space="preserve">P2025172/2  </v>
      </c>
      <c r="E18885" t="s">
        <v>3254</v>
      </c>
      <c r="G18885">
        <v>510</v>
      </c>
      <c r="H18885">
        <v>250701</v>
      </c>
      <c r="I18885">
        <v>4440</v>
      </c>
      <c r="J18885" t="s">
        <v>346</v>
      </c>
      <c r="K18885">
        <v>2264</v>
      </c>
      <c r="L18885">
        <v>0</v>
      </c>
      <c r="M18885">
        <v>11902</v>
      </c>
      <c r="N18885" t="s">
        <v>329</v>
      </c>
      <c r="O18885">
        <v>250818</v>
      </c>
      <c r="P18885">
        <v>510</v>
      </c>
    </row>
    <row r="18886" spans="1:16" x14ac:dyDescent="0.25">
      <c r="A18886" t="s">
        <v>3296</v>
      </c>
      <c r="B18886" t="s">
        <v>2931</v>
      </c>
      <c r="C18886">
        <v>12305</v>
      </c>
      <c r="D18886" t="str">
        <f>"P2025232/2  "</f>
        <v xml:space="preserve">P2025232/2  </v>
      </c>
      <c r="E18886" t="s">
        <v>3254</v>
      </c>
      <c r="G18886">
        <v>200</v>
      </c>
      <c r="H18886">
        <v>250905</v>
      </c>
      <c r="I18886">
        <v>4440</v>
      </c>
      <c r="J18886" t="s">
        <v>346</v>
      </c>
      <c r="K18886">
        <v>3010</v>
      </c>
      <c r="L18886">
        <v>0</v>
      </c>
      <c r="M18886">
        <v>11902</v>
      </c>
      <c r="N18886" t="s">
        <v>329</v>
      </c>
      <c r="O18886">
        <v>250919</v>
      </c>
      <c r="P18886">
        <v>200</v>
      </c>
    </row>
    <row r="18887" spans="1:16" x14ac:dyDescent="0.25">
      <c r="A18887" t="s">
        <v>3296</v>
      </c>
      <c r="B18887" t="s">
        <v>2931</v>
      </c>
      <c r="C18887">
        <v>12305</v>
      </c>
      <c r="D18887" t="str">
        <f>"P2025232/2  "</f>
        <v xml:space="preserve">P2025232/2  </v>
      </c>
      <c r="E18887" t="s">
        <v>3254</v>
      </c>
      <c r="G18887">
        <v>200</v>
      </c>
      <c r="H18887">
        <v>250905</v>
      </c>
      <c r="I18887">
        <v>4440</v>
      </c>
      <c r="J18887" t="s">
        <v>346</v>
      </c>
      <c r="K18887">
        <v>3010</v>
      </c>
      <c r="L18887">
        <v>0</v>
      </c>
      <c r="M18887">
        <v>11902</v>
      </c>
      <c r="N18887" t="s">
        <v>329</v>
      </c>
      <c r="O18887">
        <v>250919</v>
      </c>
      <c r="P18887">
        <v>200</v>
      </c>
    </row>
    <row r="18888" spans="1:16" x14ac:dyDescent="0.25">
      <c r="A18888" t="s">
        <v>3296</v>
      </c>
      <c r="B18888" t="s">
        <v>2931</v>
      </c>
      <c r="C18888">
        <v>10157</v>
      </c>
      <c r="D18888" t="str">
        <f>"12049292    "</f>
        <v xml:space="preserve">12049292    </v>
      </c>
      <c r="E18888" t="s">
        <v>2169</v>
      </c>
      <c r="F18888" t="s">
        <v>2170</v>
      </c>
      <c r="G18888">
        <v>165.35</v>
      </c>
      <c r="H18888">
        <v>250806</v>
      </c>
      <c r="I18888">
        <v>4600</v>
      </c>
      <c r="J18888" t="s">
        <v>278</v>
      </c>
      <c r="K18888">
        <v>165.35</v>
      </c>
      <c r="L18888">
        <v>33.6</v>
      </c>
      <c r="M18888">
        <v>17809</v>
      </c>
      <c r="N18888" t="s">
        <v>25</v>
      </c>
      <c r="O18888">
        <v>250812</v>
      </c>
      <c r="P18888">
        <v>131.75</v>
      </c>
    </row>
    <row r="18889" spans="1:16" x14ac:dyDescent="0.25">
      <c r="A18889" t="s">
        <v>3296</v>
      </c>
      <c r="B18889" t="s">
        <v>2931</v>
      </c>
      <c r="C18889">
        <v>389</v>
      </c>
      <c r="D18889" t="str">
        <f>"50860       "</f>
        <v xml:space="preserve">50860       </v>
      </c>
      <c r="E18889" t="s">
        <v>481</v>
      </c>
      <c r="F18889" t="s">
        <v>482</v>
      </c>
      <c r="G18889">
        <v>11.2</v>
      </c>
      <c r="H18889">
        <v>250117</v>
      </c>
      <c r="I18889">
        <v>4364</v>
      </c>
      <c r="J18889" t="s">
        <v>470</v>
      </c>
      <c r="K18889">
        <v>326.39999999999998</v>
      </c>
      <c r="L18889">
        <v>2.2799999999999998</v>
      </c>
      <c r="M18889">
        <v>17737</v>
      </c>
      <c r="N18889" t="s">
        <v>156</v>
      </c>
      <c r="O18889">
        <v>250122</v>
      </c>
      <c r="P18889">
        <v>8.92</v>
      </c>
    </row>
    <row r="18890" spans="1:16" x14ac:dyDescent="0.25">
      <c r="A18890" t="s">
        <v>3296</v>
      </c>
      <c r="B18890" t="s">
        <v>2931</v>
      </c>
      <c r="C18890">
        <v>15296</v>
      </c>
      <c r="D18890" t="str">
        <f>"54009       "</f>
        <v xml:space="preserve">54009       </v>
      </c>
      <c r="E18890" t="s">
        <v>481</v>
      </c>
      <c r="F18890" t="s">
        <v>482</v>
      </c>
      <c r="G18890">
        <v>11.9</v>
      </c>
      <c r="H18890">
        <v>251104</v>
      </c>
      <c r="I18890">
        <v>4364</v>
      </c>
      <c r="J18890" t="s">
        <v>470</v>
      </c>
      <c r="K18890">
        <v>83.68</v>
      </c>
      <c r="L18890">
        <v>2.42</v>
      </c>
      <c r="M18890">
        <v>17711</v>
      </c>
      <c r="N18890" t="s">
        <v>155</v>
      </c>
      <c r="O18890">
        <v>251117</v>
      </c>
      <c r="P18890">
        <v>9.48</v>
      </c>
    </row>
    <row r="18891" spans="1:16" x14ac:dyDescent="0.25">
      <c r="A18891" t="s">
        <v>3296</v>
      </c>
      <c r="B18891" t="s">
        <v>2931</v>
      </c>
      <c r="C18891">
        <v>15296</v>
      </c>
      <c r="D18891" t="str">
        <f>"54009       "</f>
        <v xml:space="preserve">54009       </v>
      </c>
      <c r="E18891" t="s">
        <v>481</v>
      </c>
      <c r="F18891" t="s">
        <v>482</v>
      </c>
      <c r="G18891">
        <v>71.78</v>
      </c>
      <c r="H18891">
        <v>251104</v>
      </c>
      <c r="I18891">
        <v>4580</v>
      </c>
      <c r="J18891" t="s">
        <v>126</v>
      </c>
      <c r="K18891">
        <v>83.68</v>
      </c>
      <c r="L18891">
        <v>14.58</v>
      </c>
      <c r="M18891">
        <v>17711</v>
      </c>
      <c r="N18891" t="s">
        <v>155</v>
      </c>
      <c r="O18891">
        <v>251117</v>
      </c>
      <c r="P18891">
        <v>57.2</v>
      </c>
    </row>
    <row r="18892" spans="1:16" x14ac:dyDescent="0.25">
      <c r="A18892" t="s">
        <v>3296</v>
      </c>
      <c r="B18892" t="s">
        <v>2931</v>
      </c>
      <c r="C18892">
        <v>17211</v>
      </c>
      <c r="D18892" t="str">
        <f>"54189       "</f>
        <v xml:space="preserve">54189       </v>
      </c>
      <c r="E18892" t="s">
        <v>481</v>
      </c>
      <c r="F18892" t="s">
        <v>482</v>
      </c>
      <c r="G18892">
        <v>335.68</v>
      </c>
      <c r="H18892">
        <v>251201</v>
      </c>
      <c r="I18892">
        <v>4580</v>
      </c>
      <c r="J18892" t="s">
        <v>126</v>
      </c>
      <c r="K18892">
        <v>570.38</v>
      </c>
      <c r="L18892">
        <v>68.209999999999994</v>
      </c>
      <c r="M18892">
        <v>67554</v>
      </c>
      <c r="N18892" t="s">
        <v>317</v>
      </c>
      <c r="O18892">
        <v>251218</v>
      </c>
      <c r="P18892">
        <v>267.47000000000003</v>
      </c>
    </row>
    <row r="18893" spans="1:16" x14ac:dyDescent="0.25">
      <c r="A18893" t="s">
        <v>3296</v>
      </c>
      <c r="B18893" t="s">
        <v>2931</v>
      </c>
      <c r="C18893">
        <v>17211</v>
      </c>
      <c r="D18893" t="str">
        <f>"54189       "</f>
        <v xml:space="preserve">54189       </v>
      </c>
      <c r="E18893" t="s">
        <v>481</v>
      </c>
      <c r="F18893" t="s">
        <v>482</v>
      </c>
      <c r="G18893">
        <v>159.9</v>
      </c>
      <c r="H18893">
        <v>251201</v>
      </c>
      <c r="I18893">
        <v>4580</v>
      </c>
      <c r="J18893" t="s">
        <v>126</v>
      </c>
      <c r="K18893">
        <v>570.38</v>
      </c>
      <c r="L18893">
        <v>32.49</v>
      </c>
      <c r="M18893">
        <v>67554</v>
      </c>
      <c r="N18893" t="s">
        <v>317</v>
      </c>
      <c r="O18893">
        <v>251218</v>
      </c>
      <c r="P18893">
        <v>127.41</v>
      </c>
    </row>
    <row r="18894" spans="1:16" x14ac:dyDescent="0.25">
      <c r="A18894" t="s">
        <v>3296</v>
      </c>
      <c r="B18894" t="s">
        <v>2931</v>
      </c>
      <c r="C18894">
        <v>389</v>
      </c>
      <c r="D18894" t="str">
        <f>"50860       "</f>
        <v xml:space="preserve">50860       </v>
      </c>
      <c r="E18894" t="s">
        <v>481</v>
      </c>
      <c r="F18894" t="s">
        <v>482</v>
      </c>
      <c r="G18894">
        <v>315.2</v>
      </c>
      <c r="H18894">
        <v>250117</v>
      </c>
      <c r="I18894">
        <v>4600</v>
      </c>
      <c r="J18894" t="s">
        <v>278</v>
      </c>
      <c r="K18894">
        <v>326.39999999999998</v>
      </c>
      <c r="L18894">
        <v>64.040000000000006</v>
      </c>
      <c r="M18894">
        <v>17737</v>
      </c>
      <c r="N18894" t="s">
        <v>156</v>
      </c>
      <c r="O18894">
        <v>250122</v>
      </c>
      <c r="P18894">
        <v>251.16</v>
      </c>
    </row>
    <row r="18895" spans="1:16" x14ac:dyDescent="0.25">
      <c r="A18895" t="s">
        <v>3296</v>
      </c>
      <c r="B18895" t="s">
        <v>2931</v>
      </c>
      <c r="C18895">
        <v>3760</v>
      </c>
      <c r="D18895" t="str">
        <f>"51496       "</f>
        <v xml:space="preserve">51496       </v>
      </c>
      <c r="E18895" t="s">
        <v>481</v>
      </c>
      <c r="F18895" t="s">
        <v>482</v>
      </c>
      <c r="G18895">
        <v>173.6</v>
      </c>
      <c r="H18895">
        <v>250318</v>
      </c>
      <c r="I18895">
        <v>4600</v>
      </c>
      <c r="J18895" t="s">
        <v>278</v>
      </c>
      <c r="K18895">
        <v>173.6</v>
      </c>
      <c r="L18895">
        <v>35.270000000000003</v>
      </c>
      <c r="M18895">
        <v>17737</v>
      </c>
      <c r="N18895" t="s">
        <v>156</v>
      </c>
      <c r="O18895">
        <v>250401</v>
      </c>
      <c r="P18895">
        <v>138.33000000000001</v>
      </c>
    </row>
    <row r="18896" spans="1:16" x14ac:dyDescent="0.25">
      <c r="A18896" t="s">
        <v>3296</v>
      </c>
      <c r="B18896" t="s">
        <v>2931</v>
      </c>
      <c r="C18896">
        <v>7529</v>
      </c>
      <c r="D18896" t="str">
        <f>"52453       "</f>
        <v xml:space="preserve">52453       </v>
      </c>
      <c r="E18896" t="s">
        <v>481</v>
      </c>
      <c r="F18896" t="s">
        <v>482</v>
      </c>
      <c r="G18896">
        <v>345</v>
      </c>
      <c r="H18896">
        <v>250526</v>
      </c>
      <c r="I18896">
        <v>4600</v>
      </c>
      <c r="J18896" t="s">
        <v>278</v>
      </c>
      <c r="K18896">
        <v>1036.8800000000001</v>
      </c>
      <c r="L18896">
        <v>70.099999999999994</v>
      </c>
      <c r="M18896">
        <v>17737</v>
      </c>
      <c r="N18896" t="s">
        <v>156</v>
      </c>
      <c r="O18896">
        <v>250604</v>
      </c>
      <c r="P18896">
        <v>274.89999999999998</v>
      </c>
    </row>
    <row r="18897" spans="1:16" x14ac:dyDescent="0.25">
      <c r="A18897" t="s">
        <v>3296</v>
      </c>
      <c r="B18897" t="s">
        <v>2931</v>
      </c>
      <c r="C18897">
        <v>7529</v>
      </c>
      <c r="D18897" t="str">
        <f>"52453       "</f>
        <v xml:space="preserve">52453       </v>
      </c>
      <c r="E18897" t="s">
        <v>481</v>
      </c>
      <c r="F18897" t="s">
        <v>482</v>
      </c>
      <c r="G18897">
        <v>691.88</v>
      </c>
      <c r="H18897">
        <v>250526</v>
      </c>
      <c r="I18897">
        <v>4600</v>
      </c>
      <c r="J18897" t="s">
        <v>278</v>
      </c>
      <c r="K18897">
        <v>1036.8800000000001</v>
      </c>
      <c r="L18897">
        <v>140.58000000000001</v>
      </c>
      <c r="M18897">
        <v>17737</v>
      </c>
      <c r="N18897" t="s">
        <v>156</v>
      </c>
      <c r="O18897">
        <v>250604</v>
      </c>
      <c r="P18897">
        <v>551.29999999999995</v>
      </c>
    </row>
    <row r="18898" spans="1:16" x14ac:dyDescent="0.25">
      <c r="A18898" t="s">
        <v>3296</v>
      </c>
      <c r="B18898" t="s">
        <v>2931</v>
      </c>
      <c r="C18898">
        <v>17211</v>
      </c>
      <c r="D18898" t="str">
        <f>"54189       "</f>
        <v xml:space="preserve">54189       </v>
      </c>
      <c r="E18898" t="s">
        <v>481</v>
      </c>
      <c r="F18898" t="s">
        <v>482</v>
      </c>
      <c r="G18898">
        <v>74.8</v>
      </c>
      <c r="H18898">
        <v>251201</v>
      </c>
      <c r="I18898">
        <v>4600</v>
      </c>
      <c r="J18898" t="s">
        <v>278</v>
      </c>
      <c r="K18898">
        <v>570.38</v>
      </c>
      <c r="L18898">
        <v>15.2</v>
      </c>
      <c r="M18898">
        <v>67554</v>
      </c>
      <c r="N18898" t="s">
        <v>317</v>
      </c>
      <c r="O18898">
        <v>251218</v>
      </c>
      <c r="P18898">
        <v>59.6</v>
      </c>
    </row>
    <row r="18899" spans="1:16" x14ac:dyDescent="0.25">
      <c r="A18899" t="s">
        <v>3296</v>
      </c>
      <c r="B18899" t="s">
        <v>2931</v>
      </c>
      <c r="C18899">
        <v>8139</v>
      </c>
      <c r="D18899" t="str">
        <f>"8917        "</f>
        <v xml:space="preserve">8917        </v>
      </c>
      <c r="E18899" t="s">
        <v>3102</v>
      </c>
      <c r="F18899" t="s">
        <v>3103</v>
      </c>
      <c r="G18899">
        <v>200</v>
      </c>
      <c r="H18899">
        <v>250530</v>
      </c>
      <c r="I18899">
        <v>4600</v>
      </c>
      <c r="J18899" t="s">
        <v>278</v>
      </c>
      <c r="K18899">
        <v>200</v>
      </c>
      <c r="L18899">
        <v>0</v>
      </c>
      <c r="M18899">
        <v>16322</v>
      </c>
      <c r="N18899" t="s">
        <v>331</v>
      </c>
      <c r="O18899">
        <v>250611</v>
      </c>
      <c r="P18899">
        <v>200</v>
      </c>
    </row>
    <row r="18900" spans="1:16" x14ac:dyDescent="0.25">
      <c r="A18900" t="s">
        <v>3296</v>
      </c>
      <c r="B18900" t="s">
        <v>2931</v>
      </c>
      <c r="C18900">
        <v>5749</v>
      </c>
      <c r="D18900" t="str">
        <f>"E5065475    "</f>
        <v xml:space="preserve">E5065475    </v>
      </c>
      <c r="E18900" t="s">
        <v>1783</v>
      </c>
      <c r="F18900" t="s">
        <v>1784</v>
      </c>
      <c r="G18900">
        <v>350</v>
      </c>
      <c r="H18900">
        <v>250423</v>
      </c>
      <c r="I18900">
        <v>4600</v>
      </c>
      <c r="J18900" t="s">
        <v>278</v>
      </c>
      <c r="K18900">
        <v>350</v>
      </c>
      <c r="L18900">
        <v>0</v>
      </c>
      <c r="M18900">
        <v>56560</v>
      </c>
      <c r="N18900" t="s">
        <v>52</v>
      </c>
      <c r="O18900">
        <v>250430</v>
      </c>
      <c r="P18900">
        <v>350</v>
      </c>
    </row>
    <row r="18901" spans="1:16" x14ac:dyDescent="0.25">
      <c r="A18901" t="s">
        <v>3296</v>
      </c>
      <c r="B18901" t="s">
        <v>2931</v>
      </c>
      <c r="C18901">
        <v>4062</v>
      </c>
      <c r="D18901" t="str">
        <f>"1001000365  "</f>
        <v xml:space="preserve">1001000365  </v>
      </c>
      <c r="E18901" t="s">
        <v>1555</v>
      </c>
      <c r="F18901" t="s">
        <v>1556</v>
      </c>
      <c r="G18901">
        <v>1074.9100000000001</v>
      </c>
      <c r="H18901">
        <v>250320</v>
      </c>
      <c r="I18901">
        <v>4390</v>
      </c>
      <c r="J18901" t="s">
        <v>232</v>
      </c>
      <c r="K18901">
        <v>1074.9100000000001</v>
      </c>
      <c r="L18901">
        <v>218.41</v>
      </c>
      <c r="M18901">
        <v>69501</v>
      </c>
      <c r="N18901" t="s">
        <v>123</v>
      </c>
      <c r="O18901">
        <v>250407</v>
      </c>
      <c r="P18901">
        <v>856.5</v>
      </c>
    </row>
    <row r="18902" spans="1:16" x14ac:dyDescent="0.25">
      <c r="A18902" t="s">
        <v>3296</v>
      </c>
      <c r="B18902" t="s">
        <v>2931</v>
      </c>
      <c r="C18902">
        <v>11686</v>
      </c>
      <c r="D18902" t="str">
        <f>"648304      "</f>
        <v xml:space="preserve">648304      </v>
      </c>
      <c r="E18902" t="s">
        <v>2287</v>
      </c>
      <c r="F18902" t="s">
        <v>2288</v>
      </c>
      <c r="G18902">
        <v>45.23</v>
      </c>
      <c r="H18902">
        <v>250829</v>
      </c>
      <c r="I18902">
        <v>4580</v>
      </c>
      <c r="J18902" t="s">
        <v>126</v>
      </c>
      <c r="K18902">
        <v>45.23</v>
      </c>
      <c r="L18902">
        <v>9.19</v>
      </c>
      <c r="M18902">
        <v>17527</v>
      </c>
      <c r="N18902" t="s">
        <v>142</v>
      </c>
      <c r="O18902">
        <v>250910</v>
      </c>
      <c r="P18902">
        <v>36.04</v>
      </c>
    </row>
    <row r="18903" spans="1:16" x14ac:dyDescent="0.25">
      <c r="A18903" t="s">
        <v>3296</v>
      </c>
      <c r="B18903" t="s">
        <v>2931</v>
      </c>
      <c r="C18903">
        <v>15420</v>
      </c>
      <c r="D18903" t="str">
        <f>"L1266765    "</f>
        <v xml:space="preserve">L1266765    </v>
      </c>
      <c r="E18903" t="s">
        <v>431</v>
      </c>
      <c r="F18903" t="s">
        <v>432</v>
      </c>
      <c r="G18903">
        <v>470.63</v>
      </c>
      <c r="H18903">
        <v>251113</v>
      </c>
      <c r="I18903">
        <v>4440</v>
      </c>
      <c r="J18903" t="s">
        <v>346</v>
      </c>
      <c r="K18903">
        <v>470.63</v>
      </c>
      <c r="L18903">
        <v>95.63</v>
      </c>
      <c r="M18903">
        <v>17807</v>
      </c>
      <c r="N18903" t="s">
        <v>23</v>
      </c>
      <c r="O18903">
        <v>251120</v>
      </c>
      <c r="P18903">
        <v>375</v>
      </c>
    </row>
    <row r="18904" spans="1:16" x14ac:dyDescent="0.25">
      <c r="A18904" t="s">
        <v>3296</v>
      </c>
      <c r="B18904" t="s">
        <v>2931</v>
      </c>
      <c r="C18904">
        <v>869</v>
      </c>
      <c r="D18904" t="str">
        <f>"L1256430    "</f>
        <v xml:space="preserve">L1256430    </v>
      </c>
      <c r="E18904" t="s">
        <v>431</v>
      </c>
      <c r="F18904" t="s">
        <v>432</v>
      </c>
      <c r="G18904">
        <v>343.56</v>
      </c>
      <c r="H18904">
        <v>250127</v>
      </c>
      <c r="I18904">
        <v>4441</v>
      </c>
      <c r="J18904" t="s">
        <v>234</v>
      </c>
      <c r="K18904">
        <v>343.56</v>
      </c>
      <c r="L18904">
        <v>69.81</v>
      </c>
      <c r="M18904">
        <v>17807</v>
      </c>
      <c r="N18904" t="s">
        <v>23</v>
      </c>
      <c r="O18904">
        <v>250130</v>
      </c>
      <c r="P18904">
        <v>273.75</v>
      </c>
    </row>
    <row r="18905" spans="1:16" x14ac:dyDescent="0.25">
      <c r="A18905" t="s">
        <v>3296</v>
      </c>
      <c r="B18905" t="s">
        <v>2931</v>
      </c>
      <c r="C18905">
        <v>3512</v>
      </c>
      <c r="D18905" t="str">
        <f>"L1258321    "</f>
        <v xml:space="preserve">L1258321    </v>
      </c>
      <c r="E18905" t="s">
        <v>431</v>
      </c>
      <c r="F18905" t="s">
        <v>432</v>
      </c>
      <c r="G18905">
        <v>149.11000000000001</v>
      </c>
      <c r="H18905">
        <v>250311</v>
      </c>
      <c r="I18905">
        <v>4510</v>
      </c>
      <c r="J18905" t="s">
        <v>240</v>
      </c>
      <c r="K18905">
        <v>149.11000000000001</v>
      </c>
      <c r="L18905">
        <v>18.309999999999999</v>
      </c>
      <c r="M18905">
        <v>17807</v>
      </c>
      <c r="N18905" t="s">
        <v>23</v>
      </c>
      <c r="O18905">
        <v>250325</v>
      </c>
      <c r="P18905">
        <v>130.80000000000001</v>
      </c>
    </row>
    <row r="18906" spans="1:16" x14ac:dyDescent="0.25">
      <c r="A18906" t="s">
        <v>3296</v>
      </c>
      <c r="B18906" t="s">
        <v>2931</v>
      </c>
      <c r="C18906">
        <v>3980</v>
      </c>
      <c r="D18906" t="str">
        <f>"L1259403    "</f>
        <v xml:space="preserve">L1259403    </v>
      </c>
      <c r="E18906" t="s">
        <v>431</v>
      </c>
      <c r="F18906" t="s">
        <v>432</v>
      </c>
      <c r="G18906">
        <v>914.85</v>
      </c>
      <c r="H18906">
        <v>250321</v>
      </c>
      <c r="I18906">
        <v>4510</v>
      </c>
      <c r="J18906" t="s">
        <v>240</v>
      </c>
      <c r="K18906">
        <v>914.85</v>
      </c>
      <c r="L18906">
        <v>112.35</v>
      </c>
      <c r="M18906">
        <v>17807</v>
      </c>
      <c r="N18906" t="s">
        <v>23</v>
      </c>
      <c r="O18906">
        <v>250404</v>
      </c>
      <c r="P18906">
        <v>802.5</v>
      </c>
    </row>
    <row r="18907" spans="1:16" x14ac:dyDescent="0.25">
      <c r="A18907" t="s">
        <v>3296</v>
      </c>
      <c r="B18907" t="s">
        <v>2931</v>
      </c>
      <c r="C18907">
        <v>5255</v>
      </c>
      <c r="D18907" t="str">
        <f>"L1260030    "</f>
        <v xml:space="preserve">L1260030    </v>
      </c>
      <c r="E18907" t="s">
        <v>431</v>
      </c>
      <c r="F18907" t="s">
        <v>432</v>
      </c>
      <c r="G18907">
        <v>735.3</v>
      </c>
      <c r="H18907">
        <v>250409</v>
      </c>
      <c r="I18907">
        <v>4510</v>
      </c>
      <c r="J18907" t="s">
        <v>240</v>
      </c>
      <c r="K18907">
        <v>735.3</v>
      </c>
      <c r="L18907">
        <v>90.3</v>
      </c>
      <c r="M18907">
        <v>17807</v>
      </c>
      <c r="N18907" t="s">
        <v>23</v>
      </c>
      <c r="O18907">
        <v>250423</v>
      </c>
      <c r="P18907">
        <v>645</v>
      </c>
    </row>
    <row r="18908" spans="1:16" x14ac:dyDescent="0.25">
      <c r="A18908" t="s">
        <v>3296</v>
      </c>
      <c r="B18908" t="s">
        <v>2931</v>
      </c>
      <c r="C18908">
        <v>5741</v>
      </c>
      <c r="D18908" t="str">
        <f>"L1260026    "</f>
        <v xml:space="preserve">L1260026    </v>
      </c>
      <c r="E18908" t="s">
        <v>431</v>
      </c>
      <c r="F18908" t="s">
        <v>432</v>
      </c>
      <c r="G18908">
        <v>-914.85</v>
      </c>
      <c r="H18908">
        <v>250409</v>
      </c>
      <c r="I18908">
        <v>4510</v>
      </c>
      <c r="J18908" t="s">
        <v>240</v>
      </c>
      <c r="K18908">
        <v>-914.85</v>
      </c>
      <c r="L18908">
        <v>-112.35</v>
      </c>
      <c r="M18908">
        <v>17807</v>
      </c>
      <c r="N18908" t="s">
        <v>23</v>
      </c>
      <c r="O18908">
        <v>250429</v>
      </c>
      <c r="P18908">
        <v>-802.5</v>
      </c>
    </row>
    <row r="18909" spans="1:16" x14ac:dyDescent="0.25">
      <c r="A18909" t="s">
        <v>3296</v>
      </c>
      <c r="B18909" t="s">
        <v>2931</v>
      </c>
      <c r="C18909">
        <v>15025</v>
      </c>
      <c r="D18909" t="str">
        <f>"L1266540    "</f>
        <v xml:space="preserve">L1266540    </v>
      </c>
      <c r="E18909" t="s">
        <v>431</v>
      </c>
      <c r="F18909" t="s">
        <v>432</v>
      </c>
      <c r="G18909">
        <v>393.19</v>
      </c>
      <c r="H18909">
        <v>251107</v>
      </c>
      <c r="I18909">
        <v>4510</v>
      </c>
      <c r="J18909" t="s">
        <v>240</v>
      </c>
      <c r="K18909">
        <v>393.19</v>
      </c>
      <c r="L18909">
        <v>48.29</v>
      </c>
      <c r="M18909">
        <v>17807</v>
      </c>
      <c r="N18909" t="s">
        <v>23</v>
      </c>
      <c r="O18909">
        <v>251110</v>
      </c>
      <c r="P18909">
        <v>344.9</v>
      </c>
    </row>
    <row r="18910" spans="1:16" x14ac:dyDescent="0.25">
      <c r="A18910" t="s">
        <v>3296</v>
      </c>
      <c r="B18910" t="s">
        <v>2931</v>
      </c>
      <c r="C18910">
        <v>336</v>
      </c>
      <c r="D18910" t="str">
        <f>"L1253911    "</f>
        <v xml:space="preserve">L1253911    </v>
      </c>
      <c r="E18910" t="s">
        <v>431</v>
      </c>
      <c r="F18910" t="s">
        <v>432</v>
      </c>
      <c r="G18910">
        <v>607.45000000000005</v>
      </c>
      <c r="H18910">
        <v>250113</v>
      </c>
      <c r="I18910">
        <v>4600</v>
      </c>
      <c r="J18910" t="s">
        <v>278</v>
      </c>
      <c r="K18910">
        <v>1822.26</v>
      </c>
      <c r="L18910">
        <v>123.43</v>
      </c>
      <c r="M18910">
        <v>17807</v>
      </c>
      <c r="N18910" t="s">
        <v>23</v>
      </c>
      <c r="O18910">
        <v>250122</v>
      </c>
      <c r="P18910">
        <v>484.02</v>
      </c>
    </row>
    <row r="18911" spans="1:16" x14ac:dyDescent="0.25">
      <c r="A18911" t="s">
        <v>3296</v>
      </c>
      <c r="B18911" t="s">
        <v>2931</v>
      </c>
      <c r="C18911">
        <v>336</v>
      </c>
      <c r="D18911" t="str">
        <f>"L1253911    "</f>
        <v xml:space="preserve">L1253911    </v>
      </c>
      <c r="E18911" t="s">
        <v>431</v>
      </c>
      <c r="F18911" t="s">
        <v>432</v>
      </c>
      <c r="G18911">
        <v>607.36</v>
      </c>
      <c r="H18911">
        <v>250113</v>
      </c>
      <c r="I18911">
        <v>4600</v>
      </c>
      <c r="J18911" t="s">
        <v>278</v>
      </c>
      <c r="K18911">
        <v>1822.26</v>
      </c>
      <c r="L18911">
        <v>123.41</v>
      </c>
      <c r="M18911">
        <v>46555</v>
      </c>
      <c r="N18911" t="s">
        <v>103</v>
      </c>
      <c r="O18911">
        <v>250122</v>
      </c>
      <c r="P18911">
        <v>483.95</v>
      </c>
    </row>
    <row r="18912" spans="1:16" x14ac:dyDescent="0.25">
      <c r="A18912" t="s">
        <v>3296</v>
      </c>
      <c r="B18912" t="s">
        <v>2931</v>
      </c>
      <c r="C18912">
        <v>336</v>
      </c>
      <c r="D18912" t="str">
        <f>"L1253911    "</f>
        <v xml:space="preserve">L1253911    </v>
      </c>
      <c r="E18912" t="s">
        <v>431</v>
      </c>
      <c r="F18912" t="s">
        <v>432</v>
      </c>
      <c r="G18912">
        <v>607.45000000000005</v>
      </c>
      <c r="H18912">
        <v>250113</v>
      </c>
      <c r="I18912">
        <v>4600</v>
      </c>
      <c r="J18912" t="s">
        <v>278</v>
      </c>
      <c r="K18912">
        <v>1822.26</v>
      </c>
      <c r="L18912">
        <v>123.43</v>
      </c>
      <c r="M18912">
        <v>56560</v>
      </c>
      <c r="N18912" t="s">
        <v>52</v>
      </c>
      <c r="O18912">
        <v>250122</v>
      </c>
      <c r="P18912">
        <v>484.02</v>
      </c>
    </row>
    <row r="18913" spans="1:16" x14ac:dyDescent="0.25">
      <c r="A18913" t="s">
        <v>3296</v>
      </c>
      <c r="B18913" t="s">
        <v>2931</v>
      </c>
      <c r="C18913">
        <v>773</v>
      </c>
      <c r="D18913" t="str">
        <f>"L1255465    "</f>
        <v xml:space="preserve">L1255465    </v>
      </c>
      <c r="E18913" t="s">
        <v>431</v>
      </c>
      <c r="F18913" t="s">
        <v>432</v>
      </c>
      <c r="G18913">
        <v>80.94</v>
      </c>
      <c r="H18913">
        <v>250122</v>
      </c>
      <c r="I18913">
        <v>4600</v>
      </c>
      <c r="J18913" t="s">
        <v>278</v>
      </c>
      <c r="K18913">
        <v>80.94</v>
      </c>
      <c r="L18913">
        <v>9.94</v>
      </c>
      <c r="M18913">
        <v>56560</v>
      </c>
      <c r="N18913" t="s">
        <v>52</v>
      </c>
      <c r="O18913">
        <v>250129</v>
      </c>
      <c r="P18913">
        <v>71</v>
      </c>
    </row>
    <row r="18914" spans="1:16" x14ac:dyDescent="0.25">
      <c r="A18914" t="s">
        <v>3296</v>
      </c>
      <c r="B18914" t="s">
        <v>2931</v>
      </c>
      <c r="C18914">
        <v>7121</v>
      </c>
      <c r="D18914" t="str">
        <f>"L1261586    "</f>
        <v xml:space="preserve">L1261586    </v>
      </c>
      <c r="E18914" t="s">
        <v>431</v>
      </c>
      <c r="F18914" t="s">
        <v>432</v>
      </c>
      <c r="G18914">
        <v>200.64</v>
      </c>
      <c r="H18914">
        <v>250508</v>
      </c>
      <c r="I18914">
        <v>4600</v>
      </c>
      <c r="J18914" t="s">
        <v>278</v>
      </c>
      <c r="K18914">
        <v>200.64</v>
      </c>
      <c r="L18914">
        <v>24.64</v>
      </c>
      <c r="M18914">
        <v>56560</v>
      </c>
      <c r="N18914" t="s">
        <v>52</v>
      </c>
      <c r="O18914">
        <v>250523</v>
      </c>
      <c r="P18914">
        <v>176</v>
      </c>
    </row>
    <row r="18915" spans="1:16" x14ac:dyDescent="0.25">
      <c r="A18915" t="s">
        <v>3296</v>
      </c>
      <c r="B18915" t="s">
        <v>2931</v>
      </c>
      <c r="C18915">
        <v>334</v>
      </c>
      <c r="D18915" t="str">
        <f>"1309        "</f>
        <v xml:space="preserve">1309        </v>
      </c>
      <c r="E18915" t="s">
        <v>2981</v>
      </c>
      <c r="F18915" t="s">
        <v>2982</v>
      </c>
      <c r="G18915">
        <v>75</v>
      </c>
      <c r="H18915">
        <v>250110</v>
      </c>
      <c r="I18915">
        <v>4510</v>
      </c>
      <c r="J18915" t="s">
        <v>240</v>
      </c>
      <c r="K18915">
        <v>75</v>
      </c>
      <c r="L18915">
        <v>0</v>
      </c>
      <c r="M18915">
        <v>46555</v>
      </c>
      <c r="N18915" t="s">
        <v>103</v>
      </c>
      <c r="O18915">
        <v>250122</v>
      </c>
      <c r="P18915">
        <v>75</v>
      </c>
    </row>
    <row r="18916" spans="1:16" x14ac:dyDescent="0.25">
      <c r="A18916" t="s">
        <v>3296</v>
      </c>
      <c r="B18916" t="s">
        <v>2931</v>
      </c>
      <c r="C18916">
        <v>9373</v>
      </c>
      <c r="D18916" t="str">
        <f>"504627      "</f>
        <v xml:space="preserve">504627      </v>
      </c>
      <c r="E18916" t="s">
        <v>621</v>
      </c>
      <c r="F18916" t="s">
        <v>622</v>
      </c>
      <c r="G18916">
        <v>1015.31</v>
      </c>
      <c r="H18916">
        <v>250626</v>
      </c>
      <c r="I18916">
        <v>1196</v>
      </c>
      <c r="J18916" t="s">
        <v>340</v>
      </c>
      <c r="K18916">
        <v>1015.31</v>
      </c>
      <c r="L18916">
        <v>0</v>
      </c>
      <c r="M18916">
        <v>97604</v>
      </c>
      <c r="N18916" t="s">
        <v>341</v>
      </c>
      <c r="O18916">
        <v>250707</v>
      </c>
      <c r="P18916">
        <v>1015.31</v>
      </c>
    </row>
    <row r="18917" spans="1:16" x14ac:dyDescent="0.25">
      <c r="A18917" t="s">
        <v>3296</v>
      </c>
      <c r="B18917" t="s">
        <v>2931</v>
      </c>
      <c r="C18917">
        <v>12999</v>
      </c>
      <c r="D18917" t="str">
        <f>"504964      "</f>
        <v xml:space="preserve">504964      </v>
      </c>
      <c r="E18917" t="s">
        <v>621</v>
      </c>
      <c r="F18917" t="s">
        <v>622</v>
      </c>
      <c r="G18917">
        <v>14551.7</v>
      </c>
      <c r="H18917">
        <v>250930</v>
      </c>
      <c r="I18917">
        <v>1196</v>
      </c>
      <c r="J18917" t="s">
        <v>340</v>
      </c>
      <c r="K18917">
        <v>14551.7</v>
      </c>
      <c r="L18917">
        <v>0</v>
      </c>
      <c r="M18917">
        <v>97604</v>
      </c>
      <c r="N18917" t="s">
        <v>341</v>
      </c>
      <c r="O18917">
        <v>251003</v>
      </c>
      <c r="P18917">
        <v>14551.7</v>
      </c>
    </row>
    <row r="18918" spans="1:16" x14ac:dyDescent="0.25">
      <c r="A18918" t="s">
        <v>3296</v>
      </c>
      <c r="B18918" t="s">
        <v>2931</v>
      </c>
      <c r="C18918">
        <v>13124</v>
      </c>
      <c r="D18918" t="str">
        <f>"504997      "</f>
        <v xml:space="preserve">504997      </v>
      </c>
      <c r="E18918" t="s">
        <v>621</v>
      </c>
      <c r="F18918" t="s">
        <v>622</v>
      </c>
      <c r="G18918">
        <v>256.70999999999998</v>
      </c>
      <c r="H18918">
        <v>250930</v>
      </c>
      <c r="I18918">
        <v>1196</v>
      </c>
      <c r="J18918" t="s">
        <v>340</v>
      </c>
      <c r="K18918">
        <v>256.70999999999998</v>
      </c>
      <c r="L18918">
        <v>0</v>
      </c>
      <c r="M18918">
        <v>97604</v>
      </c>
      <c r="N18918" t="s">
        <v>341</v>
      </c>
      <c r="O18918">
        <v>251006</v>
      </c>
      <c r="P18918">
        <v>256.70999999999998</v>
      </c>
    </row>
    <row r="18919" spans="1:16" x14ac:dyDescent="0.25">
      <c r="A18919" t="s">
        <v>3296</v>
      </c>
      <c r="B18919" t="s">
        <v>2931</v>
      </c>
      <c r="C18919">
        <v>7835</v>
      </c>
      <c r="D18919" t="str">
        <f>"504485      "</f>
        <v xml:space="preserve">504485      </v>
      </c>
      <c r="E18919" t="s">
        <v>621</v>
      </c>
      <c r="F18919" t="s">
        <v>622</v>
      </c>
      <c r="G18919">
        <v>1790.47</v>
      </c>
      <c r="H18919">
        <v>250530</v>
      </c>
      <c r="I18919">
        <v>1198</v>
      </c>
      <c r="J18919" t="s">
        <v>610</v>
      </c>
      <c r="K18919">
        <v>1790.47</v>
      </c>
      <c r="L18919">
        <v>0</v>
      </c>
      <c r="M18919">
        <v>97629</v>
      </c>
      <c r="N18919" t="s">
        <v>1110</v>
      </c>
      <c r="O18919">
        <v>250609</v>
      </c>
      <c r="P18919">
        <v>1790.47</v>
      </c>
    </row>
    <row r="18920" spans="1:16" x14ac:dyDescent="0.25">
      <c r="A18920" t="s">
        <v>3296</v>
      </c>
      <c r="B18920" t="s">
        <v>2931</v>
      </c>
      <c r="C18920">
        <v>10325</v>
      </c>
      <c r="D18920" t="str">
        <f>"504817      "</f>
        <v xml:space="preserve">504817      </v>
      </c>
      <c r="E18920" t="s">
        <v>621</v>
      </c>
      <c r="F18920" t="s">
        <v>622</v>
      </c>
      <c r="G18920">
        <v>893.15</v>
      </c>
      <c r="H18920">
        <v>250813</v>
      </c>
      <c r="I18920">
        <v>1198</v>
      </c>
      <c r="J18920" t="s">
        <v>610</v>
      </c>
      <c r="K18920">
        <v>893.15</v>
      </c>
      <c r="L18920">
        <v>181.48</v>
      </c>
      <c r="M18920">
        <v>97629</v>
      </c>
      <c r="N18920" t="s">
        <v>1110</v>
      </c>
      <c r="O18920">
        <v>250814</v>
      </c>
      <c r="P18920">
        <v>711.67</v>
      </c>
    </row>
    <row r="18921" spans="1:16" x14ac:dyDescent="0.25">
      <c r="A18921" t="s">
        <v>3296</v>
      </c>
      <c r="B18921" t="s">
        <v>2931</v>
      </c>
      <c r="C18921">
        <v>875</v>
      </c>
      <c r="D18921" t="str">
        <f>"504052      "</f>
        <v xml:space="preserve">504052      </v>
      </c>
      <c r="E18921" t="s">
        <v>621</v>
      </c>
      <c r="F18921" t="s">
        <v>622</v>
      </c>
      <c r="G18921">
        <v>122.75</v>
      </c>
      <c r="H18921">
        <v>250129</v>
      </c>
      <c r="I18921">
        <v>4390</v>
      </c>
      <c r="J18921" t="s">
        <v>232</v>
      </c>
      <c r="K18921">
        <v>122.75</v>
      </c>
      <c r="L18921">
        <v>0</v>
      </c>
      <c r="M18921">
        <v>17950</v>
      </c>
      <c r="N18921" t="s">
        <v>132</v>
      </c>
      <c r="O18921">
        <v>250130</v>
      </c>
      <c r="P18921">
        <v>122.75</v>
      </c>
    </row>
    <row r="18922" spans="1:16" x14ac:dyDescent="0.25">
      <c r="A18922" t="s">
        <v>3296</v>
      </c>
      <c r="B18922" t="s">
        <v>2931</v>
      </c>
      <c r="C18922">
        <v>2451</v>
      </c>
      <c r="D18922" t="str">
        <f>"504163      "</f>
        <v xml:space="preserve">504163      </v>
      </c>
      <c r="E18922" t="s">
        <v>621</v>
      </c>
      <c r="F18922" t="s">
        <v>622</v>
      </c>
      <c r="G18922">
        <v>160</v>
      </c>
      <c r="H18922">
        <v>250226</v>
      </c>
      <c r="I18922">
        <v>4390</v>
      </c>
      <c r="J18922" t="s">
        <v>232</v>
      </c>
      <c r="K18922">
        <v>160</v>
      </c>
      <c r="L18922">
        <v>32.51</v>
      </c>
      <c r="M18922">
        <v>17950</v>
      </c>
      <c r="N18922" t="s">
        <v>132</v>
      </c>
      <c r="O18922">
        <v>250227</v>
      </c>
      <c r="P18922">
        <v>127.49</v>
      </c>
    </row>
    <row r="18923" spans="1:16" x14ac:dyDescent="0.25">
      <c r="A18923" t="s">
        <v>3296</v>
      </c>
      <c r="B18923" t="s">
        <v>2931</v>
      </c>
      <c r="C18923">
        <v>2665</v>
      </c>
      <c r="D18923" t="str">
        <f>"504119      "</f>
        <v xml:space="preserve">504119      </v>
      </c>
      <c r="E18923" t="s">
        <v>621</v>
      </c>
      <c r="F18923" t="s">
        <v>622</v>
      </c>
      <c r="G18923">
        <v>30.17</v>
      </c>
      <c r="H18923">
        <v>250226</v>
      </c>
      <c r="I18923">
        <v>4390</v>
      </c>
      <c r="J18923" t="s">
        <v>232</v>
      </c>
      <c r="K18923">
        <v>274.25</v>
      </c>
      <c r="L18923">
        <v>0</v>
      </c>
      <c r="M18923">
        <v>13540</v>
      </c>
      <c r="N18923" t="s">
        <v>131</v>
      </c>
      <c r="O18923">
        <v>250310</v>
      </c>
      <c r="P18923">
        <v>30.17</v>
      </c>
    </row>
    <row r="18924" spans="1:16" x14ac:dyDescent="0.25">
      <c r="A18924" t="s">
        <v>3296</v>
      </c>
      <c r="B18924" t="s">
        <v>2931</v>
      </c>
      <c r="C18924">
        <v>2665</v>
      </c>
      <c r="D18924" t="str">
        <f>"504119      "</f>
        <v xml:space="preserve">504119      </v>
      </c>
      <c r="E18924" t="s">
        <v>621</v>
      </c>
      <c r="F18924" t="s">
        <v>622</v>
      </c>
      <c r="G18924">
        <v>244.08</v>
      </c>
      <c r="H18924">
        <v>250226</v>
      </c>
      <c r="I18924">
        <v>4390</v>
      </c>
      <c r="J18924" t="s">
        <v>232</v>
      </c>
      <c r="K18924">
        <v>274.25</v>
      </c>
      <c r="L18924">
        <v>0</v>
      </c>
      <c r="M18924">
        <v>17950</v>
      </c>
      <c r="N18924" t="s">
        <v>132</v>
      </c>
      <c r="O18924">
        <v>250310</v>
      </c>
      <c r="P18924">
        <v>244.08</v>
      </c>
    </row>
    <row r="18925" spans="1:16" x14ac:dyDescent="0.25">
      <c r="A18925" t="s">
        <v>3296</v>
      </c>
      <c r="B18925" t="s">
        <v>2931</v>
      </c>
      <c r="C18925">
        <v>2731</v>
      </c>
      <c r="D18925" t="str">
        <f>"504201      "</f>
        <v xml:space="preserve">504201      </v>
      </c>
      <c r="E18925" t="s">
        <v>621</v>
      </c>
      <c r="F18925" t="s">
        <v>622</v>
      </c>
      <c r="G18925">
        <v>6.13</v>
      </c>
      <c r="H18925">
        <v>250227</v>
      </c>
      <c r="I18925">
        <v>4390</v>
      </c>
      <c r="J18925" t="s">
        <v>232</v>
      </c>
      <c r="K18925">
        <v>55.75</v>
      </c>
      <c r="L18925">
        <v>0</v>
      </c>
      <c r="M18925">
        <v>13540</v>
      </c>
      <c r="N18925" t="s">
        <v>131</v>
      </c>
      <c r="O18925">
        <v>250311</v>
      </c>
      <c r="P18925">
        <v>6.13</v>
      </c>
    </row>
    <row r="18926" spans="1:16" x14ac:dyDescent="0.25">
      <c r="A18926" t="s">
        <v>3296</v>
      </c>
      <c r="B18926" t="s">
        <v>2931</v>
      </c>
      <c r="C18926">
        <v>2731</v>
      </c>
      <c r="D18926" t="str">
        <f>"504201      "</f>
        <v xml:space="preserve">504201      </v>
      </c>
      <c r="E18926" t="s">
        <v>621</v>
      </c>
      <c r="F18926" t="s">
        <v>622</v>
      </c>
      <c r="G18926">
        <v>49.62</v>
      </c>
      <c r="H18926">
        <v>250227</v>
      </c>
      <c r="I18926">
        <v>4390</v>
      </c>
      <c r="J18926" t="s">
        <v>232</v>
      </c>
      <c r="K18926">
        <v>55.75</v>
      </c>
      <c r="L18926">
        <v>0</v>
      </c>
      <c r="M18926">
        <v>17950</v>
      </c>
      <c r="N18926" t="s">
        <v>132</v>
      </c>
      <c r="O18926">
        <v>250311</v>
      </c>
      <c r="P18926">
        <v>49.62</v>
      </c>
    </row>
    <row r="18927" spans="1:16" x14ac:dyDescent="0.25">
      <c r="A18927" t="s">
        <v>3296</v>
      </c>
      <c r="B18927" t="s">
        <v>2931</v>
      </c>
      <c r="C18927">
        <v>3569</v>
      </c>
      <c r="D18927" t="str">
        <f>"504253      "</f>
        <v xml:space="preserve">504253      </v>
      </c>
      <c r="E18927" t="s">
        <v>621</v>
      </c>
      <c r="F18927" t="s">
        <v>622</v>
      </c>
      <c r="G18927">
        <v>48.38</v>
      </c>
      <c r="H18927">
        <v>250313</v>
      </c>
      <c r="I18927">
        <v>4390</v>
      </c>
      <c r="J18927" t="s">
        <v>232</v>
      </c>
      <c r="K18927">
        <v>439.79</v>
      </c>
      <c r="L18927">
        <v>0</v>
      </c>
      <c r="M18927">
        <v>13540</v>
      </c>
      <c r="N18927" t="s">
        <v>131</v>
      </c>
      <c r="O18927">
        <v>250325</v>
      </c>
      <c r="P18927">
        <v>48.38</v>
      </c>
    </row>
    <row r="18928" spans="1:16" x14ac:dyDescent="0.25">
      <c r="A18928" t="s">
        <v>3296</v>
      </c>
      <c r="B18928" t="s">
        <v>2931</v>
      </c>
      <c r="C18928">
        <v>3569</v>
      </c>
      <c r="D18928" t="str">
        <f>"504253      "</f>
        <v xml:space="preserve">504253      </v>
      </c>
      <c r="E18928" t="s">
        <v>621</v>
      </c>
      <c r="F18928" t="s">
        <v>622</v>
      </c>
      <c r="G18928">
        <v>391.41</v>
      </c>
      <c r="H18928">
        <v>250313</v>
      </c>
      <c r="I18928">
        <v>4390</v>
      </c>
      <c r="J18928" t="s">
        <v>232</v>
      </c>
      <c r="K18928">
        <v>439.79</v>
      </c>
      <c r="L18928">
        <v>0</v>
      </c>
      <c r="M18928">
        <v>17950</v>
      </c>
      <c r="N18928" t="s">
        <v>132</v>
      </c>
      <c r="O18928">
        <v>250325</v>
      </c>
      <c r="P18928">
        <v>391.41</v>
      </c>
    </row>
    <row r="18929" spans="1:16" x14ac:dyDescent="0.25">
      <c r="A18929" t="s">
        <v>3296</v>
      </c>
      <c r="B18929" t="s">
        <v>2931</v>
      </c>
      <c r="C18929">
        <v>5831</v>
      </c>
      <c r="D18929" t="str">
        <f>"504363      "</f>
        <v xml:space="preserve">504363      </v>
      </c>
      <c r="E18929" t="s">
        <v>621</v>
      </c>
      <c r="F18929" t="s">
        <v>622</v>
      </c>
      <c r="G18929">
        <v>2401.7600000000002</v>
      </c>
      <c r="H18929">
        <v>250429</v>
      </c>
      <c r="I18929">
        <v>4390</v>
      </c>
      <c r="J18929" t="s">
        <v>232</v>
      </c>
      <c r="K18929">
        <v>2401.7600000000002</v>
      </c>
      <c r="L18929">
        <v>0</v>
      </c>
      <c r="M18929">
        <v>17951</v>
      </c>
      <c r="N18929" t="s">
        <v>207</v>
      </c>
      <c r="O18929">
        <v>250505</v>
      </c>
      <c r="P18929">
        <v>2401.7600000000002</v>
      </c>
    </row>
    <row r="18930" spans="1:16" x14ac:dyDescent="0.25">
      <c r="A18930" t="s">
        <v>3296</v>
      </c>
      <c r="B18930" t="s">
        <v>2931</v>
      </c>
      <c r="C18930">
        <v>5840</v>
      </c>
      <c r="D18930" t="str">
        <f>"504341      "</f>
        <v xml:space="preserve">504341      </v>
      </c>
      <c r="E18930" t="s">
        <v>621</v>
      </c>
      <c r="F18930" t="s">
        <v>622</v>
      </c>
      <c r="G18930">
        <v>29.91</v>
      </c>
      <c r="H18930">
        <v>250429</v>
      </c>
      <c r="I18930">
        <v>4390</v>
      </c>
      <c r="J18930" t="s">
        <v>232</v>
      </c>
      <c r="K18930">
        <v>271.92</v>
      </c>
      <c r="L18930">
        <v>0</v>
      </c>
      <c r="M18930">
        <v>13540</v>
      </c>
      <c r="N18930" t="s">
        <v>131</v>
      </c>
      <c r="O18930">
        <v>250505</v>
      </c>
      <c r="P18930">
        <v>29.91</v>
      </c>
    </row>
    <row r="18931" spans="1:16" x14ac:dyDescent="0.25">
      <c r="A18931" t="s">
        <v>3296</v>
      </c>
      <c r="B18931" t="s">
        <v>2931</v>
      </c>
      <c r="C18931">
        <v>5840</v>
      </c>
      <c r="D18931" t="str">
        <f>"504341      "</f>
        <v xml:space="preserve">504341      </v>
      </c>
      <c r="E18931" t="s">
        <v>621</v>
      </c>
      <c r="F18931" t="s">
        <v>622</v>
      </c>
      <c r="G18931">
        <v>242.01</v>
      </c>
      <c r="H18931">
        <v>250429</v>
      </c>
      <c r="I18931">
        <v>4390</v>
      </c>
      <c r="J18931" t="s">
        <v>232</v>
      </c>
      <c r="K18931">
        <v>271.92</v>
      </c>
      <c r="L18931">
        <v>0</v>
      </c>
      <c r="M18931">
        <v>17950</v>
      </c>
      <c r="N18931" t="s">
        <v>132</v>
      </c>
      <c r="O18931">
        <v>250505</v>
      </c>
      <c r="P18931">
        <v>242.01</v>
      </c>
    </row>
    <row r="18932" spans="1:16" x14ac:dyDescent="0.25">
      <c r="A18932" t="s">
        <v>3296</v>
      </c>
      <c r="B18932" t="s">
        <v>2931</v>
      </c>
      <c r="C18932">
        <v>5841</v>
      </c>
      <c r="D18932" t="str">
        <f>"504373      "</f>
        <v xml:space="preserve">504373      </v>
      </c>
      <c r="E18932" t="s">
        <v>621</v>
      </c>
      <c r="F18932" t="s">
        <v>622</v>
      </c>
      <c r="G18932">
        <v>381.53</v>
      </c>
      <c r="H18932">
        <v>250429</v>
      </c>
      <c r="I18932">
        <v>4390</v>
      </c>
      <c r="J18932" t="s">
        <v>232</v>
      </c>
      <c r="K18932">
        <v>381.53</v>
      </c>
      <c r="L18932">
        <v>0</v>
      </c>
      <c r="M18932">
        <v>17956</v>
      </c>
      <c r="N18932" t="s">
        <v>170</v>
      </c>
      <c r="O18932">
        <v>250505</v>
      </c>
      <c r="P18932">
        <v>381.53</v>
      </c>
    </row>
    <row r="18933" spans="1:16" x14ac:dyDescent="0.25">
      <c r="A18933" t="s">
        <v>3296</v>
      </c>
      <c r="B18933" t="s">
        <v>2931</v>
      </c>
      <c r="C18933">
        <v>5929</v>
      </c>
      <c r="D18933" t="str">
        <f>"504388      "</f>
        <v xml:space="preserve">504388      </v>
      </c>
      <c r="E18933" t="s">
        <v>621</v>
      </c>
      <c r="F18933" t="s">
        <v>622</v>
      </c>
      <c r="G18933">
        <v>11</v>
      </c>
      <c r="H18933">
        <v>250429</v>
      </c>
      <c r="I18933">
        <v>4390</v>
      </c>
      <c r="J18933" t="s">
        <v>232</v>
      </c>
      <c r="K18933">
        <v>237.04</v>
      </c>
      <c r="L18933">
        <v>0</v>
      </c>
      <c r="M18933">
        <v>13540</v>
      </c>
      <c r="N18933" t="s">
        <v>131</v>
      </c>
      <c r="O18933">
        <v>250507</v>
      </c>
      <c r="P18933">
        <v>11</v>
      </c>
    </row>
    <row r="18934" spans="1:16" x14ac:dyDescent="0.25">
      <c r="A18934" t="s">
        <v>3296</v>
      </c>
      <c r="B18934" t="s">
        <v>2931</v>
      </c>
      <c r="C18934">
        <v>5929</v>
      </c>
      <c r="D18934" t="str">
        <f>"504388      "</f>
        <v xml:space="preserve">504388      </v>
      </c>
      <c r="E18934" t="s">
        <v>621</v>
      </c>
      <c r="F18934" t="s">
        <v>622</v>
      </c>
      <c r="G18934">
        <v>226.04</v>
      </c>
      <c r="H18934">
        <v>250429</v>
      </c>
      <c r="I18934">
        <v>4390</v>
      </c>
      <c r="J18934" t="s">
        <v>232</v>
      </c>
      <c r="K18934">
        <v>237.04</v>
      </c>
      <c r="L18934">
        <v>0</v>
      </c>
      <c r="M18934">
        <v>17950</v>
      </c>
      <c r="N18934" t="s">
        <v>132</v>
      </c>
      <c r="O18934">
        <v>250507</v>
      </c>
      <c r="P18934">
        <v>226.04</v>
      </c>
    </row>
    <row r="18935" spans="1:16" x14ac:dyDescent="0.25">
      <c r="A18935" t="s">
        <v>3296</v>
      </c>
      <c r="B18935" t="s">
        <v>2931</v>
      </c>
      <c r="C18935">
        <v>6623</v>
      </c>
      <c r="D18935" t="str">
        <f>"504451      "</f>
        <v xml:space="preserve">504451      </v>
      </c>
      <c r="E18935" t="s">
        <v>621</v>
      </c>
      <c r="F18935" t="s">
        <v>622</v>
      </c>
      <c r="G18935">
        <v>765.41</v>
      </c>
      <c r="H18935">
        <v>250430</v>
      </c>
      <c r="I18935">
        <v>4390</v>
      </c>
      <c r="J18935" t="s">
        <v>232</v>
      </c>
      <c r="K18935">
        <v>765.41</v>
      </c>
      <c r="L18935">
        <v>0</v>
      </c>
      <c r="M18935">
        <v>17950</v>
      </c>
      <c r="N18935" t="s">
        <v>132</v>
      </c>
      <c r="O18935">
        <v>250514</v>
      </c>
      <c r="P18935">
        <v>765.41</v>
      </c>
    </row>
    <row r="18936" spans="1:16" x14ac:dyDescent="0.25">
      <c r="A18936" t="s">
        <v>3296</v>
      </c>
      <c r="B18936" t="s">
        <v>2931</v>
      </c>
      <c r="C18936">
        <v>7838</v>
      </c>
      <c r="D18936" t="str">
        <f>"504476      "</f>
        <v xml:space="preserve">504476      </v>
      </c>
      <c r="E18936" t="s">
        <v>621</v>
      </c>
      <c r="F18936" t="s">
        <v>622</v>
      </c>
      <c r="G18936">
        <v>9.73</v>
      </c>
      <c r="H18936">
        <v>250530</v>
      </c>
      <c r="I18936">
        <v>4390</v>
      </c>
      <c r="J18936" t="s">
        <v>232</v>
      </c>
      <c r="K18936">
        <v>88.41</v>
      </c>
      <c r="L18936">
        <v>0</v>
      </c>
      <c r="M18936">
        <v>13540</v>
      </c>
      <c r="N18936" t="s">
        <v>131</v>
      </c>
      <c r="O18936">
        <v>250609</v>
      </c>
      <c r="P18936">
        <v>9.73</v>
      </c>
    </row>
    <row r="18937" spans="1:16" x14ac:dyDescent="0.25">
      <c r="A18937" t="s">
        <v>3296</v>
      </c>
      <c r="B18937" t="s">
        <v>2931</v>
      </c>
      <c r="C18937">
        <v>7838</v>
      </c>
      <c r="D18937" t="str">
        <f>"504476      "</f>
        <v xml:space="preserve">504476      </v>
      </c>
      <c r="E18937" t="s">
        <v>621</v>
      </c>
      <c r="F18937" t="s">
        <v>622</v>
      </c>
      <c r="G18937">
        <v>78.680000000000007</v>
      </c>
      <c r="H18937">
        <v>250530</v>
      </c>
      <c r="I18937">
        <v>4390</v>
      </c>
      <c r="J18937" t="s">
        <v>232</v>
      </c>
      <c r="K18937">
        <v>88.41</v>
      </c>
      <c r="L18937">
        <v>0</v>
      </c>
      <c r="M18937">
        <v>17950</v>
      </c>
      <c r="N18937" t="s">
        <v>132</v>
      </c>
      <c r="O18937">
        <v>250609</v>
      </c>
      <c r="P18937">
        <v>78.680000000000007</v>
      </c>
    </row>
    <row r="18938" spans="1:16" x14ac:dyDescent="0.25">
      <c r="A18938" t="s">
        <v>3296</v>
      </c>
      <c r="B18938" t="s">
        <v>2931</v>
      </c>
      <c r="C18938">
        <v>7848</v>
      </c>
      <c r="D18938" t="str">
        <f>"504477      "</f>
        <v xml:space="preserve">504477      </v>
      </c>
      <c r="E18938" t="s">
        <v>621</v>
      </c>
      <c r="F18938" t="s">
        <v>622</v>
      </c>
      <c r="G18938">
        <v>95.08</v>
      </c>
      <c r="H18938">
        <v>250530</v>
      </c>
      <c r="I18938">
        <v>4390</v>
      </c>
      <c r="J18938" t="s">
        <v>232</v>
      </c>
      <c r="K18938">
        <v>285.24</v>
      </c>
      <c r="L18938">
        <v>0</v>
      </c>
      <c r="M18938">
        <v>13540</v>
      </c>
      <c r="N18938" t="s">
        <v>131</v>
      </c>
      <c r="O18938">
        <v>250609</v>
      </c>
      <c r="P18938">
        <v>95.08</v>
      </c>
    </row>
    <row r="18939" spans="1:16" x14ac:dyDescent="0.25">
      <c r="A18939" t="s">
        <v>3296</v>
      </c>
      <c r="B18939" t="s">
        <v>2931</v>
      </c>
      <c r="C18939">
        <v>7848</v>
      </c>
      <c r="D18939" t="str">
        <f>"504477      "</f>
        <v xml:space="preserve">504477      </v>
      </c>
      <c r="E18939" t="s">
        <v>621</v>
      </c>
      <c r="F18939" t="s">
        <v>622</v>
      </c>
      <c r="G18939">
        <v>190.16</v>
      </c>
      <c r="H18939">
        <v>250530</v>
      </c>
      <c r="I18939">
        <v>4390</v>
      </c>
      <c r="J18939" t="s">
        <v>232</v>
      </c>
      <c r="K18939">
        <v>285.24</v>
      </c>
      <c r="L18939">
        <v>0</v>
      </c>
      <c r="M18939">
        <v>17950</v>
      </c>
      <c r="N18939" t="s">
        <v>132</v>
      </c>
      <c r="O18939">
        <v>250609</v>
      </c>
      <c r="P18939">
        <v>190.16</v>
      </c>
    </row>
    <row r="18940" spans="1:16" x14ac:dyDescent="0.25">
      <c r="A18940" t="s">
        <v>3296</v>
      </c>
      <c r="B18940" t="s">
        <v>2931</v>
      </c>
      <c r="C18940">
        <v>7884</v>
      </c>
      <c r="D18940" t="str">
        <f>"504491      "</f>
        <v xml:space="preserve">504491      </v>
      </c>
      <c r="E18940" t="s">
        <v>621</v>
      </c>
      <c r="F18940" t="s">
        <v>622</v>
      </c>
      <c r="G18940">
        <v>39.01</v>
      </c>
      <c r="H18940">
        <v>250530</v>
      </c>
      <c r="I18940">
        <v>4390</v>
      </c>
      <c r="J18940" t="s">
        <v>232</v>
      </c>
      <c r="K18940">
        <v>354.61</v>
      </c>
      <c r="L18940">
        <v>0</v>
      </c>
      <c r="M18940">
        <v>13540</v>
      </c>
      <c r="N18940" t="s">
        <v>131</v>
      </c>
      <c r="O18940">
        <v>250610</v>
      </c>
      <c r="P18940">
        <v>39.01</v>
      </c>
    </row>
    <row r="18941" spans="1:16" x14ac:dyDescent="0.25">
      <c r="A18941" t="s">
        <v>3296</v>
      </c>
      <c r="B18941" t="s">
        <v>2931</v>
      </c>
      <c r="C18941">
        <v>7884</v>
      </c>
      <c r="D18941" t="str">
        <f>"504491      "</f>
        <v xml:space="preserve">504491      </v>
      </c>
      <c r="E18941" t="s">
        <v>621</v>
      </c>
      <c r="F18941" t="s">
        <v>622</v>
      </c>
      <c r="G18941">
        <v>315.60000000000002</v>
      </c>
      <c r="H18941">
        <v>250530</v>
      </c>
      <c r="I18941">
        <v>4390</v>
      </c>
      <c r="J18941" t="s">
        <v>232</v>
      </c>
      <c r="K18941">
        <v>354.61</v>
      </c>
      <c r="L18941">
        <v>0</v>
      </c>
      <c r="M18941">
        <v>17950</v>
      </c>
      <c r="N18941" t="s">
        <v>132</v>
      </c>
      <c r="O18941">
        <v>250610</v>
      </c>
      <c r="P18941">
        <v>315.60000000000002</v>
      </c>
    </row>
    <row r="18942" spans="1:16" x14ac:dyDescent="0.25">
      <c r="A18942" t="s">
        <v>3296</v>
      </c>
      <c r="B18942" t="s">
        <v>2931</v>
      </c>
      <c r="C18942">
        <v>9290</v>
      </c>
      <c r="D18942" t="str">
        <f>"504561      "</f>
        <v xml:space="preserve">504561      </v>
      </c>
      <c r="E18942" t="s">
        <v>621</v>
      </c>
      <c r="F18942" t="s">
        <v>622</v>
      </c>
      <c r="G18942">
        <v>113.14</v>
      </c>
      <c r="H18942">
        <v>250626</v>
      </c>
      <c r="I18942">
        <v>4390</v>
      </c>
      <c r="J18942" t="s">
        <v>232</v>
      </c>
      <c r="K18942">
        <v>1028.57</v>
      </c>
      <c r="L18942">
        <v>0</v>
      </c>
      <c r="M18942">
        <v>13540</v>
      </c>
      <c r="N18942" t="s">
        <v>131</v>
      </c>
      <c r="O18942">
        <v>250702</v>
      </c>
      <c r="P18942">
        <v>113.14</v>
      </c>
    </row>
    <row r="18943" spans="1:16" x14ac:dyDescent="0.25">
      <c r="A18943" t="s">
        <v>3296</v>
      </c>
      <c r="B18943" t="s">
        <v>2931</v>
      </c>
      <c r="C18943">
        <v>9290</v>
      </c>
      <c r="D18943" t="str">
        <f>"504561      "</f>
        <v xml:space="preserve">504561      </v>
      </c>
      <c r="E18943" t="s">
        <v>621</v>
      </c>
      <c r="F18943" t="s">
        <v>622</v>
      </c>
      <c r="G18943">
        <v>915.43</v>
      </c>
      <c r="H18943">
        <v>250626</v>
      </c>
      <c r="I18943">
        <v>4390</v>
      </c>
      <c r="J18943" t="s">
        <v>232</v>
      </c>
      <c r="K18943">
        <v>1028.57</v>
      </c>
      <c r="L18943">
        <v>0</v>
      </c>
      <c r="M18943">
        <v>17950</v>
      </c>
      <c r="N18943" t="s">
        <v>132</v>
      </c>
      <c r="O18943">
        <v>250702</v>
      </c>
      <c r="P18943">
        <v>915.43</v>
      </c>
    </row>
    <row r="18944" spans="1:16" x14ac:dyDescent="0.25">
      <c r="A18944" t="s">
        <v>3296</v>
      </c>
      <c r="B18944" t="s">
        <v>2931</v>
      </c>
      <c r="C18944">
        <v>9984</v>
      </c>
      <c r="D18944" t="str">
        <f>"504791      "</f>
        <v xml:space="preserve">504791      </v>
      </c>
      <c r="E18944" t="s">
        <v>621</v>
      </c>
      <c r="F18944" t="s">
        <v>622</v>
      </c>
      <c r="G18944">
        <v>166.44</v>
      </c>
      <c r="H18944">
        <v>250731</v>
      </c>
      <c r="I18944">
        <v>4390</v>
      </c>
      <c r="J18944" t="s">
        <v>232</v>
      </c>
      <c r="K18944">
        <v>152.75</v>
      </c>
      <c r="L18944">
        <v>33.82</v>
      </c>
      <c r="M18944">
        <v>17950</v>
      </c>
      <c r="N18944" t="s">
        <v>132</v>
      </c>
      <c r="O18944">
        <v>250806</v>
      </c>
      <c r="P18944">
        <v>132.62</v>
      </c>
    </row>
    <row r="18945" spans="1:16" x14ac:dyDescent="0.25">
      <c r="A18945" t="s">
        <v>3296</v>
      </c>
      <c r="B18945" t="s">
        <v>2931</v>
      </c>
      <c r="C18945">
        <v>10324</v>
      </c>
      <c r="D18945" t="str">
        <f>"504815      "</f>
        <v xml:space="preserve">504815      </v>
      </c>
      <c r="E18945" t="s">
        <v>621</v>
      </c>
      <c r="F18945" t="s">
        <v>622</v>
      </c>
      <c r="G18945">
        <v>243.69</v>
      </c>
      <c r="H18945">
        <v>250813</v>
      </c>
      <c r="I18945">
        <v>4390</v>
      </c>
      <c r="J18945" t="s">
        <v>232</v>
      </c>
      <c r="K18945">
        <v>243.69</v>
      </c>
      <c r="L18945">
        <v>0</v>
      </c>
      <c r="M18945">
        <v>17952</v>
      </c>
      <c r="N18945" t="s">
        <v>157</v>
      </c>
      <c r="O18945">
        <v>250814</v>
      </c>
      <c r="P18945">
        <v>243.69</v>
      </c>
    </row>
    <row r="18946" spans="1:16" x14ac:dyDescent="0.25">
      <c r="A18946" t="s">
        <v>3296</v>
      </c>
      <c r="B18946" t="s">
        <v>2931</v>
      </c>
      <c r="C18946">
        <v>10472</v>
      </c>
      <c r="D18946" t="str">
        <f>"504816      "</f>
        <v xml:space="preserve">504816      </v>
      </c>
      <c r="E18946" t="s">
        <v>621</v>
      </c>
      <c r="F18946" t="s">
        <v>622</v>
      </c>
      <c r="G18946">
        <v>107.06</v>
      </c>
      <c r="H18946">
        <v>250813</v>
      </c>
      <c r="I18946">
        <v>4390</v>
      </c>
      <c r="J18946" t="s">
        <v>232</v>
      </c>
      <c r="K18946">
        <v>107.06</v>
      </c>
      <c r="L18946">
        <v>0</v>
      </c>
      <c r="M18946">
        <v>17950</v>
      </c>
      <c r="N18946" t="s">
        <v>132</v>
      </c>
      <c r="O18946">
        <v>250820</v>
      </c>
      <c r="P18946">
        <v>107.06</v>
      </c>
    </row>
    <row r="18947" spans="1:16" x14ac:dyDescent="0.25">
      <c r="A18947" t="s">
        <v>3296</v>
      </c>
      <c r="B18947" t="s">
        <v>2931</v>
      </c>
      <c r="C18947">
        <v>11909</v>
      </c>
      <c r="D18947" t="str">
        <f>"504904      "</f>
        <v xml:space="preserve">504904      </v>
      </c>
      <c r="E18947" t="s">
        <v>621</v>
      </c>
      <c r="F18947" t="s">
        <v>622</v>
      </c>
      <c r="G18947">
        <v>43.18</v>
      </c>
      <c r="H18947">
        <v>250831</v>
      </c>
      <c r="I18947">
        <v>4390</v>
      </c>
      <c r="J18947" t="s">
        <v>232</v>
      </c>
      <c r="K18947">
        <v>129.55000000000001</v>
      </c>
      <c r="L18947">
        <v>0</v>
      </c>
      <c r="M18947">
        <v>13540</v>
      </c>
      <c r="N18947" t="s">
        <v>131</v>
      </c>
      <c r="O18947">
        <v>250912</v>
      </c>
      <c r="P18947">
        <v>43.18</v>
      </c>
    </row>
    <row r="18948" spans="1:16" x14ac:dyDescent="0.25">
      <c r="A18948" t="s">
        <v>3296</v>
      </c>
      <c r="B18948" t="s">
        <v>2931</v>
      </c>
      <c r="C18948">
        <v>11909</v>
      </c>
      <c r="D18948" t="str">
        <f>"504904      "</f>
        <v xml:space="preserve">504904      </v>
      </c>
      <c r="E18948" t="s">
        <v>621</v>
      </c>
      <c r="F18948" t="s">
        <v>622</v>
      </c>
      <c r="G18948">
        <v>86.37</v>
      </c>
      <c r="H18948">
        <v>250831</v>
      </c>
      <c r="I18948">
        <v>4390</v>
      </c>
      <c r="J18948" t="s">
        <v>232</v>
      </c>
      <c r="K18948">
        <v>129.55000000000001</v>
      </c>
      <c r="L18948">
        <v>0</v>
      </c>
      <c r="M18948">
        <v>17950</v>
      </c>
      <c r="N18948" t="s">
        <v>132</v>
      </c>
      <c r="O18948">
        <v>250912</v>
      </c>
      <c r="P18948">
        <v>86.37</v>
      </c>
    </row>
    <row r="18949" spans="1:16" x14ac:dyDescent="0.25">
      <c r="A18949" t="s">
        <v>3296</v>
      </c>
      <c r="B18949" t="s">
        <v>2931</v>
      </c>
      <c r="C18949">
        <v>14110</v>
      </c>
      <c r="D18949" t="str">
        <f>"505080      "</f>
        <v xml:space="preserve">505080      </v>
      </c>
      <c r="E18949" t="s">
        <v>621</v>
      </c>
      <c r="F18949" t="s">
        <v>622</v>
      </c>
      <c r="G18949">
        <v>75.650000000000006</v>
      </c>
      <c r="H18949">
        <v>251021</v>
      </c>
      <c r="I18949">
        <v>4390</v>
      </c>
      <c r="J18949" t="s">
        <v>232</v>
      </c>
      <c r="K18949">
        <v>75.650000000000006</v>
      </c>
      <c r="L18949">
        <v>0</v>
      </c>
      <c r="M18949">
        <v>17950</v>
      </c>
      <c r="N18949" t="s">
        <v>132</v>
      </c>
      <c r="O18949">
        <v>251024</v>
      </c>
      <c r="P18949">
        <v>75.650000000000006</v>
      </c>
    </row>
    <row r="18950" spans="1:16" x14ac:dyDescent="0.25">
      <c r="A18950" t="s">
        <v>3296</v>
      </c>
      <c r="B18950" t="s">
        <v>2931</v>
      </c>
      <c r="C18950">
        <v>14116</v>
      </c>
      <c r="D18950" t="str">
        <f>"505088      "</f>
        <v xml:space="preserve">505088      </v>
      </c>
      <c r="E18950" t="s">
        <v>621</v>
      </c>
      <c r="F18950" t="s">
        <v>622</v>
      </c>
      <c r="G18950">
        <v>122.32</v>
      </c>
      <c r="H18950">
        <v>251021</v>
      </c>
      <c r="I18950">
        <v>4390</v>
      </c>
      <c r="J18950" t="s">
        <v>232</v>
      </c>
      <c r="K18950">
        <v>122.32</v>
      </c>
      <c r="L18950">
        <v>0</v>
      </c>
      <c r="M18950">
        <v>17950</v>
      </c>
      <c r="N18950" t="s">
        <v>132</v>
      </c>
      <c r="O18950">
        <v>251024</v>
      </c>
      <c r="P18950">
        <v>122.32</v>
      </c>
    </row>
    <row r="18951" spans="1:16" x14ac:dyDescent="0.25">
      <c r="A18951" t="s">
        <v>3296</v>
      </c>
      <c r="B18951" t="s">
        <v>2931</v>
      </c>
      <c r="C18951">
        <v>14118</v>
      </c>
      <c r="D18951" t="str">
        <f>"505046      "</f>
        <v xml:space="preserve">505046      </v>
      </c>
      <c r="E18951" t="s">
        <v>621</v>
      </c>
      <c r="F18951" t="s">
        <v>622</v>
      </c>
      <c r="G18951">
        <v>9.84</v>
      </c>
      <c r="H18951">
        <v>251021</v>
      </c>
      <c r="I18951">
        <v>4390</v>
      </c>
      <c r="J18951" t="s">
        <v>232</v>
      </c>
      <c r="K18951">
        <v>89.5</v>
      </c>
      <c r="L18951">
        <v>0</v>
      </c>
      <c r="M18951">
        <v>13540</v>
      </c>
      <c r="N18951" t="s">
        <v>131</v>
      </c>
      <c r="O18951">
        <v>251024</v>
      </c>
      <c r="P18951">
        <v>9.84</v>
      </c>
    </row>
    <row r="18952" spans="1:16" x14ac:dyDescent="0.25">
      <c r="A18952" t="s">
        <v>3296</v>
      </c>
      <c r="B18952" t="s">
        <v>2931</v>
      </c>
      <c r="C18952">
        <v>14118</v>
      </c>
      <c r="D18952" t="str">
        <f>"505046      "</f>
        <v xml:space="preserve">505046      </v>
      </c>
      <c r="E18952" t="s">
        <v>621</v>
      </c>
      <c r="F18952" t="s">
        <v>622</v>
      </c>
      <c r="G18952">
        <v>79.66</v>
      </c>
      <c r="H18952">
        <v>251021</v>
      </c>
      <c r="I18952">
        <v>4390</v>
      </c>
      <c r="J18952" t="s">
        <v>232</v>
      </c>
      <c r="K18952">
        <v>89.5</v>
      </c>
      <c r="L18952">
        <v>0</v>
      </c>
      <c r="M18952">
        <v>17950</v>
      </c>
      <c r="N18952" t="s">
        <v>132</v>
      </c>
      <c r="O18952">
        <v>251024</v>
      </c>
      <c r="P18952">
        <v>79.66</v>
      </c>
    </row>
    <row r="18953" spans="1:16" x14ac:dyDescent="0.25">
      <c r="A18953" t="s">
        <v>3296</v>
      </c>
      <c r="B18953" t="s">
        <v>2931</v>
      </c>
      <c r="C18953">
        <v>14122</v>
      </c>
      <c r="D18953" t="str">
        <f>"505056      "</f>
        <v xml:space="preserve">505056      </v>
      </c>
      <c r="E18953" t="s">
        <v>621</v>
      </c>
      <c r="F18953" t="s">
        <v>622</v>
      </c>
      <c r="G18953">
        <v>731.29</v>
      </c>
      <c r="H18953">
        <v>251021</v>
      </c>
      <c r="I18953">
        <v>4390</v>
      </c>
      <c r="J18953" t="s">
        <v>232</v>
      </c>
      <c r="K18953">
        <v>731.29</v>
      </c>
      <c r="L18953">
        <v>0</v>
      </c>
      <c r="M18953">
        <v>17950</v>
      </c>
      <c r="N18953" t="s">
        <v>132</v>
      </c>
      <c r="O18953">
        <v>251024</v>
      </c>
      <c r="P18953">
        <v>731.29</v>
      </c>
    </row>
    <row r="18954" spans="1:16" x14ac:dyDescent="0.25">
      <c r="A18954" t="s">
        <v>3296</v>
      </c>
      <c r="B18954" t="s">
        <v>2931</v>
      </c>
      <c r="C18954">
        <v>15253</v>
      </c>
      <c r="D18954" t="str">
        <f>"505202      "</f>
        <v xml:space="preserve">505202      </v>
      </c>
      <c r="E18954" t="s">
        <v>621</v>
      </c>
      <c r="F18954" t="s">
        <v>622</v>
      </c>
      <c r="G18954">
        <v>360.81</v>
      </c>
      <c r="H18954">
        <v>251031</v>
      </c>
      <c r="I18954">
        <v>4390</v>
      </c>
      <c r="J18954" t="s">
        <v>232</v>
      </c>
      <c r="K18954">
        <v>360.81</v>
      </c>
      <c r="L18954">
        <v>0</v>
      </c>
      <c r="M18954">
        <v>17951</v>
      </c>
      <c r="N18954" t="s">
        <v>207</v>
      </c>
      <c r="O18954">
        <v>251117</v>
      </c>
      <c r="P18954">
        <v>360.81</v>
      </c>
    </row>
    <row r="18955" spans="1:16" x14ac:dyDescent="0.25">
      <c r="A18955" t="s">
        <v>3296</v>
      </c>
      <c r="B18955" t="s">
        <v>2931</v>
      </c>
      <c r="C18955">
        <v>15254</v>
      </c>
      <c r="D18955" t="str">
        <f>"505221      "</f>
        <v xml:space="preserve">505221      </v>
      </c>
      <c r="E18955" t="s">
        <v>621</v>
      </c>
      <c r="F18955" t="s">
        <v>622</v>
      </c>
      <c r="G18955">
        <v>8.09</v>
      </c>
      <c r="H18955">
        <v>251111</v>
      </c>
      <c r="I18955">
        <v>4390</v>
      </c>
      <c r="J18955" t="s">
        <v>232</v>
      </c>
      <c r="K18955">
        <v>73.540000000000006</v>
      </c>
      <c r="L18955">
        <v>0</v>
      </c>
      <c r="M18955">
        <v>13540</v>
      </c>
      <c r="N18955" t="s">
        <v>131</v>
      </c>
      <c r="O18955">
        <v>251117</v>
      </c>
      <c r="P18955">
        <v>8.09</v>
      </c>
    </row>
    <row r="18956" spans="1:16" x14ac:dyDescent="0.25">
      <c r="A18956" t="s">
        <v>3296</v>
      </c>
      <c r="B18956" t="s">
        <v>2931</v>
      </c>
      <c r="C18956">
        <v>15254</v>
      </c>
      <c r="D18956" t="str">
        <f>"505221      "</f>
        <v xml:space="preserve">505221      </v>
      </c>
      <c r="E18956" t="s">
        <v>621</v>
      </c>
      <c r="F18956" t="s">
        <v>622</v>
      </c>
      <c r="G18956">
        <v>65.45</v>
      </c>
      <c r="H18956">
        <v>251111</v>
      </c>
      <c r="I18956">
        <v>4390</v>
      </c>
      <c r="J18956" t="s">
        <v>232</v>
      </c>
      <c r="K18956">
        <v>73.540000000000006</v>
      </c>
      <c r="L18956">
        <v>0</v>
      </c>
      <c r="M18956">
        <v>17950</v>
      </c>
      <c r="N18956" t="s">
        <v>132</v>
      </c>
      <c r="O18956">
        <v>251117</v>
      </c>
      <c r="P18956">
        <v>65.45</v>
      </c>
    </row>
    <row r="18957" spans="1:16" x14ac:dyDescent="0.25">
      <c r="A18957" t="s">
        <v>3296</v>
      </c>
      <c r="B18957" t="s">
        <v>2931</v>
      </c>
      <c r="C18957">
        <v>15255</v>
      </c>
      <c r="D18957" t="str">
        <f>"505208      "</f>
        <v xml:space="preserve">505208      </v>
      </c>
      <c r="E18957" t="s">
        <v>621</v>
      </c>
      <c r="F18957" t="s">
        <v>622</v>
      </c>
      <c r="G18957">
        <v>30.11</v>
      </c>
      <c r="H18957">
        <v>251031</v>
      </c>
      <c r="I18957">
        <v>4390</v>
      </c>
      <c r="J18957" t="s">
        <v>232</v>
      </c>
      <c r="K18957">
        <v>273.74</v>
      </c>
      <c r="L18957">
        <v>0</v>
      </c>
      <c r="M18957">
        <v>13540</v>
      </c>
      <c r="N18957" t="s">
        <v>131</v>
      </c>
      <c r="O18957">
        <v>251117</v>
      </c>
      <c r="P18957">
        <v>30.11</v>
      </c>
    </row>
    <row r="18958" spans="1:16" x14ac:dyDescent="0.25">
      <c r="A18958" t="s">
        <v>3296</v>
      </c>
      <c r="B18958" t="s">
        <v>2931</v>
      </c>
      <c r="C18958">
        <v>15255</v>
      </c>
      <c r="D18958" t="str">
        <f>"505208      "</f>
        <v xml:space="preserve">505208      </v>
      </c>
      <c r="E18958" t="s">
        <v>621</v>
      </c>
      <c r="F18958" t="s">
        <v>622</v>
      </c>
      <c r="G18958">
        <v>243.63</v>
      </c>
      <c r="H18958">
        <v>251031</v>
      </c>
      <c r="I18958">
        <v>4390</v>
      </c>
      <c r="J18958" t="s">
        <v>232</v>
      </c>
      <c r="K18958">
        <v>273.74</v>
      </c>
      <c r="L18958">
        <v>0</v>
      </c>
      <c r="M18958">
        <v>17950</v>
      </c>
      <c r="N18958" t="s">
        <v>132</v>
      </c>
      <c r="O18958">
        <v>251117</v>
      </c>
      <c r="P18958">
        <v>243.63</v>
      </c>
    </row>
    <row r="18959" spans="1:16" x14ac:dyDescent="0.25">
      <c r="A18959" t="s">
        <v>3296</v>
      </c>
      <c r="B18959" t="s">
        <v>2931</v>
      </c>
      <c r="C18959">
        <v>15257</v>
      </c>
      <c r="D18959" t="str">
        <f>"505190      "</f>
        <v xml:space="preserve">505190      </v>
      </c>
      <c r="E18959" t="s">
        <v>621</v>
      </c>
      <c r="F18959" t="s">
        <v>622</v>
      </c>
      <c r="G18959">
        <v>9.91</v>
      </c>
      <c r="H18959">
        <v>251031</v>
      </c>
      <c r="I18959">
        <v>4390</v>
      </c>
      <c r="J18959" t="s">
        <v>232</v>
      </c>
      <c r="K18959">
        <v>90.06</v>
      </c>
      <c r="L18959">
        <v>0</v>
      </c>
      <c r="M18959">
        <v>13540</v>
      </c>
      <c r="N18959" t="s">
        <v>131</v>
      </c>
      <c r="O18959">
        <v>251117</v>
      </c>
      <c r="P18959">
        <v>9.91</v>
      </c>
    </row>
    <row r="18960" spans="1:16" x14ac:dyDescent="0.25">
      <c r="A18960" t="s">
        <v>3296</v>
      </c>
      <c r="B18960" t="s">
        <v>2931</v>
      </c>
      <c r="C18960">
        <v>15257</v>
      </c>
      <c r="D18960" t="str">
        <f>"505190      "</f>
        <v xml:space="preserve">505190      </v>
      </c>
      <c r="E18960" t="s">
        <v>621</v>
      </c>
      <c r="F18960" t="s">
        <v>622</v>
      </c>
      <c r="G18960">
        <v>80.150000000000006</v>
      </c>
      <c r="H18960">
        <v>251031</v>
      </c>
      <c r="I18960">
        <v>4390</v>
      </c>
      <c r="J18960" t="s">
        <v>232</v>
      </c>
      <c r="K18960">
        <v>90.06</v>
      </c>
      <c r="L18960">
        <v>0</v>
      </c>
      <c r="M18960">
        <v>17950</v>
      </c>
      <c r="N18960" t="s">
        <v>132</v>
      </c>
      <c r="O18960">
        <v>251117</v>
      </c>
      <c r="P18960">
        <v>80.150000000000006</v>
      </c>
    </row>
    <row r="18961" spans="1:16" x14ac:dyDescent="0.25">
      <c r="A18961" t="s">
        <v>3296</v>
      </c>
      <c r="B18961" t="s">
        <v>2931</v>
      </c>
      <c r="C18961">
        <v>15258</v>
      </c>
      <c r="D18961" t="str">
        <f>"505205      "</f>
        <v xml:space="preserve">505205      </v>
      </c>
      <c r="E18961" t="s">
        <v>621</v>
      </c>
      <c r="F18961" t="s">
        <v>622</v>
      </c>
      <c r="G18961">
        <v>62.65</v>
      </c>
      <c r="H18961">
        <v>251031</v>
      </c>
      <c r="I18961">
        <v>4390</v>
      </c>
      <c r="J18961" t="s">
        <v>232</v>
      </c>
      <c r="K18961">
        <v>62.65</v>
      </c>
      <c r="L18961">
        <v>0</v>
      </c>
      <c r="M18961">
        <v>17950</v>
      </c>
      <c r="N18961" t="s">
        <v>132</v>
      </c>
      <c r="O18961">
        <v>251117</v>
      </c>
      <c r="P18961">
        <v>62.65</v>
      </c>
    </row>
    <row r="18962" spans="1:16" x14ac:dyDescent="0.25">
      <c r="A18962" t="s">
        <v>3296</v>
      </c>
      <c r="B18962" t="s">
        <v>2931</v>
      </c>
      <c r="C18962">
        <v>15260</v>
      </c>
      <c r="D18962" t="str">
        <f>"505196      "</f>
        <v xml:space="preserve">505196      </v>
      </c>
      <c r="E18962" t="s">
        <v>621</v>
      </c>
      <c r="F18962" t="s">
        <v>622</v>
      </c>
      <c r="G18962">
        <v>67.569999999999993</v>
      </c>
      <c r="H18962">
        <v>251031</v>
      </c>
      <c r="I18962">
        <v>4390</v>
      </c>
      <c r="J18962" t="s">
        <v>232</v>
      </c>
      <c r="K18962">
        <v>67.569999999999993</v>
      </c>
      <c r="L18962">
        <v>0</v>
      </c>
      <c r="M18962">
        <v>17956</v>
      </c>
      <c r="N18962" t="s">
        <v>170</v>
      </c>
      <c r="O18962">
        <v>251117</v>
      </c>
      <c r="P18962">
        <v>67.569999999999993</v>
      </c>
    </row>
    <row r="18963" spans="1:16" x14ac:dyDescent="0.25">
      <c r="A18963" t="s">
        <v>3296</v>
      </c>
      <c r="B18963" t="s">
        <v>2931</v>
      </c>
      <c r="C18963">
        <v>15261</v>
      </c>
      <c r="D18963" t="str">
        <f>"505192      "</f>
        <v xml:space="preserve">505192      </v>
      </c>
      <c r="E18963" t="s">
        <v>621</v>
      </c>
      <c r="F18963" t="s">
        <v>622</v>
      </c>
      <c r="G18963">
        <v>127.96</v>
      </c>
      <c r="H18963">
        <v>251031</v>
      </c>
      <c r="I18963">
        <v>4390</v>
      </c>
      <c r="J18963" t="s">
        <v>232</v>
      </c>
      <c r="K18963">
        <v>127.96</v>
      </c>
      <c r="L18963">
        <v>0</v>
      </c>
      <c r="M18963">
        <v>17950</v>
      </c>
      <c r="N18963" t="s">
        <v>132</v>
      </c>
      <c r="O18963">
        <v>251117</v>
      </c>
      <c r="P18963">
        <v>127.96</v>
      </c>
    </row>
    <row r="18964" spans="1:16" x14ac:dyDescent="0.25">
      <c r="A18964" t="s">
        <v>3296</v>
      </c>
      <c r="B18964" t="s">
        <v>2931</v>
      </c>
      <c r="C18964">
        <v>15263</v>
      </c>
      <c r="D18964" t="str">
        <f>"505199      "</f>
        <v xml:space="preserve">505199      </v>
      </c>
      <c r="E18964" t="s">
        <v>621</v>
      </c>
      <c r="F18964" t="s">
        <v>622</v>
      </c>
      <c r="G18964">
        <v>578.39</v>
      </c>
      <c r="H18964">
        <v>251031</v>
      </c>
      <c r="I18964">
        <v>4390</v>
      </c>
      <c r="J18964" t="s">
        <v>232</v>
      </c>
      <c r="K18964">
        <v>578.39</v>
      </c>
      <c r="L18964">
        <v>0</v>
      </c>
      <c r="M18964">
        <v>17950</v>
      </c>
      <c r="N18964" t="s">
        <v>132</v>
      </c>
      <c r="O18964">
        <v>251117</v>
      </c>
      <c r="P18964">
        <v>578.39</v>
      </c>
    </row>
    <row r="18965" spans="1:16" x14ac:dyDescent="0.25">
      <c r="A18965" t="s">
        <v>3296</v>
      </c>
      <c r="B18965" t="s">
        <v>2931</v>
      </c>
      <c r="C18965">
        <v>17226</v>
      </c>
      <c r="D18965" t="str">
        <f>"505380      "</f>
        <v xml:space="preserve">505380      </v>
      </c>
      <c r="E18965" t="s">
        <v>621</v>
      </c>
      <c r="F18965" t="s">
        <v>622</v>
      </c>
      <c r="G18965">
        <v>255.22</v>
      </c>
      <c r="H18965">
        <v>251216</v>
      </c>
      <c r="I18965">
        <v>4390</v>
      </c>
      <c r="J18965" t="s">
        <v>232</v>
      </c>
      <c r="K18965">
        <v>2320.1999999999998</v>
      </c>
      <c r="L18965">
        <v>0</v>
      </c>
      <c r="M18965">
        <v>13540</v>
      </c>
      <c r="N18965" t="s">
        <v>131</v>
      </c>
      <c r="O18965">
        <v>251218</v>
      </c>
      <c r="P18965">
        <v>255.22</v>
      </c>
    </row>
    <row r="18966" spans="1:16" x14ac:dyDescent="0.25">
      <c r="A18966" t="s">
        <v>3296</v>
      </c>
      <c r="B18966" t="s">
        <v>2931</v>
      </c>
      <c r="C18966">
        <v>17226</v>
      </c>
      <c r="D18966" t="str">
        <f>"505380      "</f>
        <v xml:space="preserve">505380      </v>
      </c>
      <c r="E18966" t="s">
        <v>621</v>
      </c>
      <c r="F18966" t="s">
        <v>622</v>
      </c>
      <c r="G18966">
        <v>2064.98</v>
      </c>
      <c r="H18966">
        <v>251216</v>
      </c>
      <c r="I18966">
        <v>4390</v>
      </c>
      <c r="J18966" t="s">
        <v>232</v>
      </c>
      <c r="K18966">
        <v>2320.1999999999998</v>
      </c>
      <c r="L18966">
        <v>0</v>
      </c>
      <c r="M18966">
        <v>17950</v>
      </c>
      <c r="N18966" t="s">
        <v>132</v>
      </c>
      <c r="O18966">
        <v>251218</v>
      </c>
      <c r="P18966">
        <v>2064.98</v>
      </c>
    </row>
    <row r="18967" spans="1:16" x14ac:dyDescent="0.25">
      <c r="A18967" t="s">
        <v>3296</v>
      </c>
      <c r="B18967" t="s">
        <v>2931</v>
      </c>
      <c r="C18967">
        <v>17227</v>
      </c>
      <c r="D18967" t="str">
        <f>"505339      "</f>
        <v xml:space="preserve">505339      </v>
      </c>
      <c r="E18967" t="s">
        <v>621</v>
      </c>
      <c r="F18967" t="s">
        <v>622</v>
      </c>
      <c r="G18967">
        <v>980.64</v>
      </c>
      <c r="H18967">
        <v>251216</v>
      </c>
      <c r="I18967">
        <v>4390</v>
      </c>
      <c r="J18967" t="s">
        <v>232</v>
      </c>
      <c r="K18967">
        <v>980.64</v>
      </c>
      <c r="L18967">
        <v>0</v>
      </c>
      <c r="M18967">
        <v>17950</v>
      </c>
      <c r="N18967" t="s">
        <v>132</v>
      </c>
      <c r="O18967">
        <v>251218</v>
      </c>
      <c r="P18967">
        <v>980.64</v>
      </c>
    </row>
    <row r="18968" spans="1:16" x14ac:dyDescent="0.25">
      <c r="A18968" t="s">
        <v>3296</v>
      </c>
      <c r="B18968" t="s">
        <v>2931</v>
      </c>
      <c r="C18968">
        <v>17228</v>
      </c>
      <c r="D18968" t="str">
        <f>"505353      "</f>
        <v xml:space="preserve">505353      </v>
      </c>
      <c r="E18968" t="s">
        <v>621</v>
      </c>
      <c r="F18968" t="s">
        <v>622</v>
      </c>
      <c r="G18968">
        <v>18.95</v>
      </c>
      <c r="H18968">
        <v>251216</v>
      </c>
      <c r="I18968">
        <v>4390</v>
      </c>
      <c r="J18968" t="s">
        <v>232</v>
      </c>
      <c r="K18968">
        <v>172.25</v>
      </c>
      <c r="L18968">
        <v>0</v>
      </c>
      <c r="M18968">
        <v>13540</v>
      </c>
      <c r="N18968" t="s">
        <v>131</v>
      </c>
      <c r="O18968">
        <v>251218</v>
      </c>
      <c r="P18968">
        <v>18.95</v>
      </c>
    </row>
    <row r="18969" spans="1:16" x14ac:dyDescent="0.25">
      <c r="A18969" t="s">
        <v>3296</v>
      </c>
      <c r="B18969" t="s">
        <v>2931</v>
      </c>
      <c r="C18969">
        <v>17228</v>
      </c>
      <c r="D18969" t="str">
        <f>"505353      "</f>
        <v xml:space="preserve">505353      </v>
      </c>
      <c r="E18969" t="s">
        <v>621</v>
      </c>
      <c r="F18969" t="s">
        <v>622</v>
      </c>
      <c r="G18969">
        <v>153.30000000000001</v>
      </c>
      <c r="H18969">
        <v>251216</v>
      </c>
      <c r="I18969">
        <v>4390</v>
      </c>
      <c r="J18969" t="s">
        <v>232</v>
      </c>
      <c r="K18969">
        <v>172.25</v>
      </c>
      <c r="L18969">
        <v>0</v>
      </c>
      <c r="M18969">
        <v>17950</v>
      </c>
      <c r="N18969" t="s">
        <v>132</v>
      </c>
      <c r="O18969">
        <v>251218</v>
      </c>
      <c r="P18969">
        <v>153.30000000000001</v>
      </c>
    </row>
    <row r="18970" spans="1:16" x14ac:dyDescent="0.25">
      <c r="A18970" t="s">
        <v>3296</v>
      </c>
      <c r="B18970" t="s">
        <v>2931</v>
      </c>
      <c r="C18970">
        <v>17229</v>
      </c>
      <c r="D18970" t="str">
        <f>"505395      "</f>
        <v xml:space="preserve">505395      </v>
      </c>
      <c r="E18970" t="s">
        <v>621</v>
      </c>
      <c r="F18970" t="s">
        <v>622</v>
      </c>
      <c r="G18970">
        <v>110.88</v>
      </c>
      <c r="H18970">
        <v>251216</v>
      </c>
      <c r="I18970">
        <v>4390</v>
      </c>
      <c r="J18970" t="s">
        <v>232</v>
      </c>
      <c r="K18970">
        <v>110.88</v>
      </c>
      <c r="L18970">
        <v>22.53</v>
      </c>
      <c r="M18970">
        <v>17956</v>
      </c>
      <c r="N18970" t="s">
        <v>170</v>
      </c>
      <c r="O18970">
        <v>251218</v>
      </c>
      <c r="P18970">
        <v>88.35</v>
      </c>
    </row>
    <row r="18971" spans="1:16" x14ac:dyDescent="0.25">
      <c r="A18971" t="s">
        <v>3296</v>
      </c>
      <c r="B18971" t="s">
        <v>2931</v>
      </c>
      <c r="C18971">
        <v>17233</v>
      </c>
      <c r="D18971" t="str">
        <f>"505349      "</f>
        <v xml:space="preserve">505349      </v>
      </c>
      <c r="E18971" t="s">
        <v>621</v>
      </c>
      <c r="F18971" t="s">
        <v>622</v>
      </c>
      <c r="G18971">
        <v>205.69</v>
      </c>
      <c r="H18971">
        <v>251216</v>
      </c>
      <c r="I18971">
        <v>4390</v>
      </c>
      <c r="J18971" t="s">
        <v>232</v>
      </c>
      <c r="K18971">
        <v>205.69</v>
      </c>
      <c r="L18971">
        <v>0</v>
      </c>
      <c r="M18971">
        <v>17950</v>
      </c>
      <c r="N18971" t="s">
        <v>132</v>
      </c>
      <c r="O18971">
        <v>251218</v>
      </c>
      <c r="P18971">
        <v>205.69</v>
      </c>
    </row>
    <row r="18972" spans="1:16" x14ac:dyDescent="0.25">
      <c r="A18972" t="s">
        <v>3296</v>
      </c>
      <c r="B18972" t="s">
        <v>2931</v>
      </c>
      <c r="C18972">
        <v>17238</v>
      </c>
      <c r="D18972" t="str">
        <f>"505341      "</f>
        <v xml:space="preserve">505341      </v>
      </c>
      <c r="E18972" t="s">
        <v>621</v>
      </c>
      <c r="F18972" t="s">
        <v>622</v>
      </c>
      <c r="G18972">
        <v>2581.75</v>
      </c>
      <c r="H18972">
        <v>251216</v>
      </c>
      <c r="I18972">
        <v>4390</v>
      </c>
      <c r="J18972" t="s">
        <v>232</v>
      </c>
      <c r="K18972">
        <v>2581.75</v>
      </c>
      <c r="L18972">
        <v>0</v>
      </c>
      <c r="M18972">
        <v>17950</v>
      </c>
      <c r="N18972" t="s">
        <v>132</v>
      </c>
      <c r="O18972">
        <v>251218</v>
      </c>
      <c r="P18972">
        <v>2581.75</v>
      </c>
    </row>
    <row r="18973" spans="1:16" x14ac:dyDescent="0.25">
      <c r="A18973" t="s">
        <v>3296</v>
      </c>
      <c r="B18973" t="s">
        <v>2931</v>
      </c>
      <c r="C18973">
        <v>17421</v>
      </c>
      <c r="D18973" t="str">
        <f>"505418      "</f>
        <v xml:space="preserve">505418      </v>
      </c>
      <c r="E18973" t="s">
        <v>621</v>
      </c>
      <c r="F18973" t="s">
        <v>622</v>
      </c>
      <c r="G18973">
        <v>561.44000000000005</v>
      </c>
      <c r="H18973">
        <v>251216</v>
      </c>
      <c r="I18973">
        <v>4390</v>
      </c>
      <c r="J18973" t="s">
        <v>232</v>
      </c>
      <c r="K18973">
        <v>561.44000000000005</v>
      </c>
      <c r="L18973">
        <v>0</v>
      </c>
      <c r="M18973">
        <v>18993</v>
      </c>
      <c r="N18973" t="s">
        <v>540</v>
      </c>
      <c r="O18973">
        <v>251219</v>
      </c>
      <c r="P18973">
        <v>561.44000000000005</v>
      </c>
    </row>
    <row r="18974" spans="1:16" x14ac:dyDescent="0.25">
      <c r="A18974" t="s">
        <v>3296</v>
      </c>
      <c r="B18974" t="s">
        <v>2931</v>
      </c>
      <c r="C18974">
        <v>17981</v>
      </c>
      <c r="D18974" t="str">
        <f>"505491      "</f>
        <v xml:space="preserve">505491      </v>
      </c>
      <c r="E18974" t="s">
        <v>621</v>
      </c>
      <c r="F18974" t="s">
        <v>622</v>
      </c>
      <c r="G18974">
        <v>59.21</v>
      </c>
      <c r="H18974">
        <v>251231</v>
      </c>
      <c r="I18974">
        <v>4390</v>
      </c>
      <c r="J18974" t="s">
        <v>232</v>
      </c>
      <c r="K18974">
        <v>538.30999999999995</v>
      </c>
      <c r="L18974">
        <v>0</v>
      </c>
      <c r="M18974">
        <v>13540</v>
      </c>
      <c r="N18974" t="s">
        <v>131</v>
      </c>
      <c r="O18974">
        <v>260107</v>
      </c>
      <c r="P18974">
        <v>59.21</v>
      </c>
    </row>
    <row r="18975" spans="1:16" x14ac:dyDescent="0.25">
      <c r="A18975" t="s">
        <v>3296</v>
      </c>
      <c r="B18975" t="s">
        <v>2931</v>
      </c>
      <c r="C18975">
        <v>17981</v>
      </c>
      <c r="D18975" t="str">
        <f>"505491      "</f>
        <v xml:space="preserve">505491      </v>
      </c>
      <c r="E18975" t="s">
        <v>621</v>
      </c>
      <c r="F18975" t="s">
        <v>622</v>
      </c>
      <c r="G18975">
        <v>479.1</v>
      </c>
      <c r="H18975">
        <v>251231</v>
      </c>
      <c r="I18975">
        <v>4390</v>
      </c>
      <c r="J18975" t="s">
        <v>232</v>
      </c>
      <c r="K18975">
        <v>538.30999999999995</v>
      </c>
      <c r="L18975">
        <v>0</v>
      </c>
      <c r="M18975">
        <v>17950</v>
      </c>
      <c r="N18975" t="s">
        <v>132</v>
      </c>
      <c r="O18975">
        <v>260107</v>
      </c>
      <c r="P18975">
        <v>479.1</v>
      </c>
    </row>
    <row r="18976" spans="1:16" x14ac:dyDescent="0.25">
      <c r="A18976" t="s">
        <v>3296</v>
      </c>
      <c r="B18976" t="s">
        <v>2931</v>
      </c>
      <c r="C18976">
        <v>18022</v>
      </c>
      <c r="D18976" t="str">
        <f>"505459      "</f>
        <v xml:space="preserve">505459      </v>
      </c>
      <c r="E18976" t="s">
        <v>621</v>
      </c>
      <c r="F18976" t="s">
        <v>622</v>
      </c>
      <c r="G18976">
        <v>3.98</v>
      </c>
      <c r="H18976">
        <v>251231</v>
      </c>
      <c r="I18976">
        <v>4390</v>
      </c>
      <c r="J18976" t="s">
        <v>232</v>
      </c>
      <c r="K18976">
        <v>36.200000000000003</v>
      </c>
      <c r="L18976">
        <v>0</v>
      </c>
      <c r="M18976">
        <v>13540</v>
      </c>
      <c r="N18976" t="s">
        <v>131</v>
      </c>
      <c r="O18976">
        <v>260108</v>
      </c>
      <c r="P18976">
        <v>3.98</v>
      </c>
    </row>
    <row r="18977" spans="1:16" x14ac:dyDescent="0.25">
      <c r="A18977" t="s">
        <v>3296</v>
      </c>
      <c r="B18977" t="s">
        <v>2931</v>
      </c>
      <c r="C18977">
        <v>18022</v>
      </c>
      <c r="D18977" t="str">
        <f>"505459      "</f>
        <v xml:space="preserve">505459      </v>
      </c>
      <c r="E18977" t="s">
        <v>621</v>
      </c>
      <c r="F18977" t="s">
        <v>622</v>
      </c>
      <c r="G18977">
        <v>32.22</v>
      </c>
      <c r="H18977">
        <v>251231</v>
      </c>
      <c r="I18977">
        <v>4390</v>
      </c>
      <c r="J18977" t="s">
        <v>232</v>
      </c>
      <c r="K18977">
        <v>36.200000000000003</v>
      </c>
      <c r="L18977">
        <v>0</v>
      </c>
      <c r="M18977">
        <v>17950</v>
      </c>
      <c r="N18977" t="s">
        <v>132</v>
      </c>
      <c r="O18977">
        <v>260108</v>
      </c>
      <c r="P18977">
        <v>32.22</v>
      </c>
    </row>
    <row r="18978" spans="1:16" x14ac:dyDescent="0.25">
      <c r="A18978" t="s">
        <v>3296</v>
      </c>
      <c r="B18978" t="s">
        <v>2931</v>
      </c>
      <c r="C18978">
        <v>18041</v>
      </c>
      <c r="D18978" t="str">
        <f>"505462      "</f>
        <v xml:space="preserve">505462      </v>
      </c>
      <c r="E18978" t="s">
        <v>621</v>
      </c>
      <c r="F18978" t="s">
        <v>622</v>
      </c>
      <c r="G18978">
        <v>58.9</v>
      </c>
      <c r="H18978">
        <v>251231</v>
      </c>
      <c r="I18978">
        <v>4390</v>
      </c>
      <c r="J18978" t="s">
        <v>232</v>
      </c>
      <c r="K18978">
        <v>58.9</v>
      </c>
      <c r="L18978">
        <v>0</v>
      </c>
      <c r="M18978">
        <v>17950</v>
      </c>
      <c r="N18978" t="s">
        <v>132</v>
      </c>
      <c r="O18978">
        <v>260108</v>
      </c>
      <c r="P18978">
        <v>58.9</v>
      </c>
    </row>
    <row r="18979" spans="1:16" x14ac:dyDescent="0.25">
      <c r="A18979" t="s">
        <v>3296</v>
      </c>
      <c r="B18979" t="s">
        <v>2931</v>
      </c>
      <c r="C18979">
        <v>18530</v>
      </c>
      <c r="D18979" t="str">
        <f>"505565      "</f>
        <v xml:space="preserve">505565      </v>
      </c>
      <c r="E18979" t="s">
        <v>621</v>
      </c>
      <c r="F18979" t="s">
        <v>622</v>
      </c>
      <c r="G18979">
        <v>349.32</v>
      </c>
      <c r="H18979">
        <v>251231</v>
      </c>
      <c r="I18979">
        <v>4390</v>
      </c>
      <c r="J18979" t="s">
        <v>232</v>
      </c>
      <c r="K18979">
        <v>1047.98</v>
      </c>
      <c r="L18979">
        <v>0</v>
      </c>
      <c r="M18979">
        <v>13540</v>
      </c>
      <c r="N18979" t="s">
        <v>131</v>
      </c>
      <c r="O18979">
        <v>260115</v>
      </c>
      <c r="P18979">
        <v>349.32</v>
      </c>
    </row>
    <row r="18980" spans="1:16" x14ac:dyDescent="0.25">
      <c r="A18980" t="s">
        <v>3296</v>
      </c>
      <c r="B18980" t="s">
        <v>2931</v>
      </c>
      <c r="C18980">
        <v>18530</v>
      </c>
      <c r="D18980" t="str">
        <f>"505565      "</f>
        <v xml:space="preserve">505565      </v>
      </c>
      <c r="E18980" t="s">
        <v>621</v>
      </c>
      <c r="F18980" t="s">
        <v>622</v>
      </c>
      <c r="G18980">
        <v>698.66</v>
      </c>
      <c r="H18980">
        <v>251231</v>
      </c>
      <c r="I18980">
        <v>4390</v>
      </c>
      <c r="J18980" t="s">
        <v>232</v>
      </c>
      <c r="K18980">
        <v>1047.98</v>
      </c>
      <c r="L18980">
        <v>0</v>
      </c>
      <c r="M18980">
        <v>17950</v>
      </c>
      <c r="N18980" t="s">
        <v>132</v>
      </c>
      <c r="O18980">
        <v>260115</v>
      </c>
      <c r="P18980">
        <v>698.66</v>
      </c>
    </row>
    <row r="18981" spans="1:16" x14ac:dyDescent="0.25">
      <c r="A18981" t="s">
        <v>3296</v>
      </c>
      <c r="B18981" t="s">
        <v>2931</v>
      </c>
      <c r="C18981">
        <v>625</v>
      </c>
      <c r="D18981" t="str">
        <f>"504002      "</f>
        <v xml:space="preserve">504002      </v>
      </c>
      <c r="E18981" t="s">
        <v>621</v>
      </c>
      <c r="F18981" t="s">
        <v>622</v>
      </c>
      <c r="G18981">
        <v>376.85</v>
      </c>
      <c r="H18981">
        <v>250114</v>
      </c>
      <c r="I18981">
        <v>4400</v>
      </c>
      <c r="J18981" t="s">
        <v>162</v>
      </c>
      <c r="K18981">
        <v>376.85</v>
      </c>
      <c r="L18981">
        <v>76.569999999999993</v>
      </c>
      <c r="M18981">
        <v>17522</v>
      </c>
      <c r="N18981" t="s">
        <v>137</v>
      </c>
      <c r="O18981">
        <v>250124</v>
      </c>
      <c r="P18981">
        <v>300.27999999999997</v>
      </c>
    </row>
    <row r="18982" spans="1:16" x14ac:dyDescent="0.25">
      <c r="A18982" t="s">
        <v>3296</v>
      </c>
      <c r="B18982" t="s">
        <v>2931</v>
      </c>
      <c r="C18982">
        <v>1031</v>
      </c>
      <c r="D18982" t="str">
        <f>"504079      "</f>
        <v xml:space="preserve">504079      </v>
      </c>
      <c r="E18982" t="s">
        <v>621</v>
      </c>
      <c r="F18982" t="s">
        <v>622</v>
      </c>
      <c r="G18982">
        <v>2814.05</v>
      </c>
      <c r="H18982">
        <v>250129</v>
      </c>
      <c r="I18982">
        <v>4400</v>
      </c>
      <c r="J18982" t="s">
        <v>162</v>
      </c>
      <c r="K18982">
        <v>2814.05</v>
      </c>
      <c r="L18982">
        <v>571.78</v>
      </c>
      <c r="M18982">
        <v>17522</v>
      </c>
      <c r="N18982" t="s">
        <v>137</v>
      </c>
      <c r="O18982">
        <v>250203</v>
      </c>
      <c r="P18982">
        <v>2242.27</v>
      </c>
    </row>
    <row r="18983" spans="1:16" x14ac:dyDescent="0.25">
      <c r="A18983" t="s">
        <v>3296</v>
      </c>
      <c r="B18983" t="s">
        <v>2931</v>
      </c>
      <c r="C18983">
        <v>3566</v>
      </c>
      <c r="D18983" t="str">
        <f>"504243      "</f>
        <v xml:space="preserve">504243      </v>
      </c>
      <c r="E18983" t="s">
        <v>621</v>
      </c>
      <c r="F18983" t="s">
        <v>622</v>
      </c>
      <c r="G18983">
        <v>516.85</v>
      </c>
      <c r="H18983">
        <v>250313</v>
      </c>
      <c r="I18983">
        <v>4400</v>
      </c>
      <c r="J18983" t="s">
        <v>162</v>
      </c>
      <c r="K18983">
        <v>516.85</v>
      </c>
      <c r="L18983">
        <v>105.02</v>
      </c>
      <c r="M18983">
        <v>17524</v>
      </c>
      <c r="N18983" t="s">
        <v>139</v>
      </c>
      <c r="O18983">
        <v>250325</v>
      </c>
      <c r="P18983">
        <v>411.83</v>
      </c>
    </row>
    <row r="18984" spans="1:16" x14ac:dyDescent="0.25">
      <c r="A18984" t="s">
        <v>3296</v>
      </c>
      <c r="B18984" t="s">
        <v>2931</v>
      </c>
      <c r="C18984">
        <v>3733</v>
      </c>
      <c r="D18984" t="str">
        <f>"504232      "</f>
        <v xml:space="preserve">504232      </v>
      </c>
      <c r="E18984" t="s">
        <v>621</v>
      </c>
      <c r="F18984" t="s">
        <v>622</v>
      </c>
      <c r="G18984">
        <v>498.57</v>
      </c>
      <c r="H18984">
        <v>250313</v>
      </c>
      <c r="I18984">
        <v>4400</v>
      </c>
      <c r="J18984" t="s">
        <v>162</v>
      </c>
      <c r="K18984">
        <v>498.57</v>
      </c>
      <c r="L18984">
        <v>101.3</v>
      </c>
      <c r="M18984">
        <v>17521</v>
      </c>
      <c r="N18984" t="s">
        <v>136</v>
      </c>
      <c r="O18984">
        <v>250401</v>
      </c>
      <c r="P18984">
        <v>397.27</v>
      </c>
    </row>
    <row r="18985" spans="1:16" x14ac:dyDescent="0.25">
      <c r="A18985" t="s">
        <v>3296</v>
      </c>
      <c r="B18985" t="s">
        <v>2931</v>
      </c>
      <c r="C18985">
        <v>4186</v>
      </c>
      <c r="D18985" t="str">
        <f>"504277      "</f>
        <v xml:space="preserve">504277      </v>
      </c>
      <c r="E18985" t="s">
        <v>621</v>
      </c>
      <c r="F18985" t="s">
        <v>622</v>
      </c>
      <c r="G18985">
        <v>13.65</v>
      </c>
      <c r="H18985">
        <v>250327</v>
      </c>
      <c r="I18985">
        <v>4400</v>
      </c>
      <c r="J18985" t="s">
        <v>162</v>
      </c>
      <c r="K18985">
        <v>124.08</v>
      </c>
      <c r="L18985">
        <v>0</v>
      </c>
      <c r="M18985">
        <v>13552</v>
      </c>
      <c r="N18985" t="s">
        <v>133</v>
      </c>
      <c r="O18985">
        <v>250408</v>
      </c>
      <c r="P18985">
        <v>13.65</v>
      </c>
    </row>
    <row r="18986" spans="1:16" x14ac:dyDescent="0.25">
      <c r="A18986" t="s">
        <v>3296</v>
      </c>
      <c r="B18986" t="s">
        <v>2931</v>
      </c>
      <c r="C18986">
        <v>4186</v>
      </c>
      <c r="D18986" t="str">
        <f>"504277      "</f>
        <v xml:space="preserve">504277      </v>
      </c>
      <c r="E18986" t="s">
        <v>621</v>
      </c>
      <c r="F18986" t="s">
        <v>622</v>
      </c>
      <c r="G18986">
        <v>110.43</v>
      </c>
      <c r="H18986">
        <v>250327</v>
      </c>
      <c r="I18986">
        <v>4400</v>
      </c>
      <c r="J18986" t="s">
        <v>162</v>
      </c>
      <c r="K18986">
        <v>124.08</v>
      </c>
      <c r="L18986">
        <v>0</v>
      </c>
      <c r="M18986">
        <v>17918</v>
      </c>
      <c r="N18986" t="s">
        <v>152</v>
      </c>
      <c r="O18986">
        <v>250408</v>
      </c>
      <c r="P18986">
        <v>110.43</v>
      </c>
    </row>
    <row r="18987" spans="1:16" x14ac:dyDescent="0.25">
      <c r="A18987" t="s">
        <v>3296</v>
      </c>
      <c r="B18987" t="s">
        <v>2931</v>
      </c>
      <c r="C18987">
        <v>5839</v>
      </c>
      <c r="D18987" t="str">
        <f>"504367      "</f>
        <v xml:space="preserve">504367      </v>
      </c>
      <c r="E18987" t="s">
        <v>621</v>
      </c>
      <c r="F18987" t="s">
        <v>622</v>
      </c>
      <c r="G18987">
        <v>93.2</v>
      </c>
      <c r="H18987">
        <v>250429</v>
      </c>
      <c r="I18987">
        <v>4400</v>
      </c>
      <c r="J18987" t="s">
        <v>162</v>
      </c>
      <c r="K18987">
        <v>93.2</v>
      </c>
      <c r="L18987">
        <v>0</v>
      </c>
      <c r="M18987">
        <v>17526</v>
      </c>
      <c r="N18987" t="s">
        <v>141</v>
      </c>
      <c r="O18987">
        <v>250505</v>
      </c>
      <c r="P18987">
        <v>93.2</v>
      </c>
    </row>
    <row r="18988" spans="1:16" x14ac:dyDescent="0.25">
      <c r="A18988" t="s">
        <v>3296</v>
      </c>
      <c r="B18988" t="s">
        <v>2931</v>
      </c>
      <c r="C18988">
        <v>5843</v>
      </c>
      <c r="D18988" t="str">
        <f>"504379      "</f>
        <v xml:space="preserve">504379      </v>
      </c>
      <c r="E18988" t="s">
        <v>621</v>
      </c>
      <c r="F18988" t="s">
        <v>622</v>
      </c>
      <c r="G18988">
        <v>44.87</v>
      </c>
      <c r="H18988">
        <v>250429</v>
      </c>
      <c r="I18988">
        <v>4400</v>
      </c>
      <c r="J18988" t="s">
        <v>162</v>
      </c>
      <c r="K18988">
        <v>44.87</v>
      </c>
      <c r="L18988">
        <v>9.1199999999999992</v>
      </c>
      <c r="M18988">
        <v>17525</v>
      </c>
      <c r="N18988" t="s">
        <v>140</v>
      </c>
      <c r="O18988">
        <v>250505</v>
      </c>
      <c r="P18988">
        <v>35.75</v>
      </c>
    </row>
    <row r="18989" spans="1:16" x14ac:dyDescent="0.25">
      <c r="A18989" t="s">
        <v>3296</v>
      </c>
      <c r="B18989" t="s">
        <v>2931</v>
      </c>
      <c r="C18989">
        <v>6650</v>
      </c>
      <c r="D18989" t="str">
        <f>"504460      "</f>
        <v xml:space="preserve">504460      </v>
      </c>
      <c r="E18989" t="s">
        <v>621</v>
      </c>
      <c r="F18989" t="s">
        <v>622</v>
      </c>
      <c r="G18989">
        <v>336.03</v>
      </c>
      <c r="H18989">
        <v>250430</v>
      </c>
      <c r="I18989">
        <v>4400</v>
      </c>
      <c r="J18989" t="s">
        <v>162</v>
      </c>
      <c r="K18989">
        <v>336.03</v>
      </c>
      <c r="L18989">
        <v>68.28</v>
      </c>
      <c r="M18989">
        <v>17524</v>
      </c>
      <c r="N18989" t="s">
        <v>139</v>
      </c>
      <c r="O18989">
        <v>250514</v>
      </c>
      <c r="P18989">
        <v>267.75</v>
      </c>
    </row>
    <row r="18990" spans="1:16" x14ac:dyDescent="0.25">
      <c r="A18990" t="s">
        <v>3296</v>
      </c>
      <c r="B18990" t="s">
        <v>2931</v>
      </c>
      <c r="C18990">
        <v>7827</v>
      </c>
      <c r="D18990" t="str">
        <f>"504494      "</f>
        <v xml:space="preserve">504494      </v>
      </c>
      <c r="E18990" t="s">
        <v>621</v>
      </c>
      <c r="F18990" t="s">
        <v>622</v>
      </c>
      <c r="G18990">
        <v>87.94</v>
      </c>
      <c r="H18990">
        <v>250530</v>
      </c>
      <c r="I18990">
        <v>4400</v>
      </c>
      <c r="J18990" t="s">
        <v>162</v>
      </c>
      <c r="K18990">
        <v>87.94</v>
      </c>
      <c r="L18990">
        <v>17.87</v>
      </c>
      <c r="M18990">
        <v>17521</v>
      </c>
      <c r="N18990" t="s">
        <v>136</v>
      </c>
      <c r="O18990">
        <v>250609</v>
      </c>
      <c r="P18990">
        <v>70.069999999999993</v>
      </c>
    </row>
    <row r="18991" spans="1:16" x14ac:dyDescent="0.25">
      <c r="A18991" t="s">
        <v>3296</v>
      </c>
      <c r="B18991" t="s">
        <v>2931</v>
      </c>
      <c r="C18991">
        <v>9226</v>
      </c>
      <c r="D18991" t="str">
        <f>"504584      "</f>
        <v xml:space="preserve">504584      </v>
      </c>
      <c r="E18991" t="s">
        <v>621</v>
      </c>
      <c r="F18991" t="s">
        <v>622</v>
      </c>
      <c r="G18991">
        <v>84.73</v>
      </c>
      <c r="H18991">
        <v>250626</v>
      </c>
      <c r="I18991">
        <v>4400</v>
      </c>
      <c r="J18991" t="s">
        <v>162</v>
      </c>
      <c r="K18991">
        <v>84.73</v>
      </c>
      <c r="L18991">
        <v>0</v>
      </c>
      <c r="M18991">
        <v>17527</v>
      </c>
      <c r="N18991" t="s">
        <v>142</v>
      </c>
      <c r="O18991">
        <v>250627</v>
      </c>
      <c r="P18991">
        <v>84.73</v>
      </c>
    </row>
    <row r="18992" spans="1:16" x14ac:dyDescent="0.25">
      <c r="A18992" t="s">
        <v>3296</v>
      </c>
      <c r="B18992" t="s">
        <v>2931</v>
      </c>
      <c r="C18992">
        <v>9763</v>
      </c>
      <c r="D18992" t="str">
        <f>"504705      "</f>
        <v xml:space="preserve">504705      </v>
      </c>
      <c r="E18992" t="s">
        <v>621</v>
      </c>
      <c r="F18992" t="s">
        <v>622</v>
      </c>
      <c r="G18992">
        <v>4.5999999999999996</v>
      </c>
      <c r="H18992">
        <v>250716</v>
      </c>
      <c r="I18992">
        <v>4400</v>
      </c>
      <c r="J18992" t="s">
        <v>162</v>
      </c>
      <c r="K18992">
        <v>41.8</v>
      </c>
      <c r="L18992">
        <v>0.93</v>
      </c>
      <c r="M18992">
        <v>13540</v>
      </c>
      <c r="N18992" t="s">
        <v>131</v>
      </c>
      <c r="O18992">
        <v>250728</v>
      </c>
      <c r="P18992">
        <v>3.67</v>
      </c>
    </row>
    <row r="18993" spans="1:16" x14ac:dyDescent="0.25">
      <c r="A18993" t="s">
        <v>3296</v>
      </c>
      <c r="B18993" t="s">
        <v>2931</v>
      </c>
      <c r="C18993">
        <v>9763</v>
      </c>
      <c r="D18993" t="str">
        <f>"504705      "</f>
        <v xml:space="preserve">504705      </v>
      </c>
      <c r="E18993" t="s">
        <v>621</v>
      </c>
      <c r="F18993" t="s">
        <v>622</v>
      </c>
      <c r="G18993">
        <v>37.200000000000003</v>
      </c>
      <c r="H18993">
        <v>250716</v>
      </c>
      <c r="I18993">
        <v>4400</v>
      </c>
      <c r="J18993" t="s">
        <v>162</v>
      </c>
      <c r="K18993">
        <v>41.8</v>
      </c>
      <c r="L18993">
        <v>7.56</v>
      </c>
      <c r="M18993">
        <v>17950</v>
      </c>
      <c r="N18993" t="s">
        <v>132</v>
      </c>
      <c r="O18993">
        <v>250728</v>
      </c>
      <c r="P18993">
        <v>29.64</v>
      </c>
    </row>
    <row r="18994" spans="1:16" x14ac:dyDescent="0.25">
      <c r="A18994" t="s">
        <v>3296</v>
      </c>
      <c r="B18994" t="s">
        <v>2931</v>
      </c>
      <c r="C18994">
        <v>11442</v>
      </c>
      <c r="D18994" t="str">
        <f>"504840      "</f>
        <v xml:space="preserve">504840      </v>
      </c>
      <c r="E18994" t="s">
        <v>621</v>
      </c>
      <c r="F18994" t="s">
        <v>622</v>
      </c>
      <c r="G18994">
        <v>88.75</v>
      </c>
      <c r="H18994">
        <v>250827</v>
      </c>
      <c r="I18994">
        <v>4400</v>
      </c>
      <c r="J18994" t="s">
        <v>162</v>
      </c>
      <c r="K18994">
        <v>88.75</v>
      </c>
      <c r="L18994">
        <v>18.03</v>
      </c>
      <c r="M18994">
        <v>17522</v>
      </c>
      <c r="N18994" t="s">
        <v>137</v>
      </c>
      <c r="O18994">
        <v>250905</v>
      </c>
      <c r="P18994">
        <v>70.72</v>
      </c>
    </row>
    <row r="18995" spans="1:16" x14ac:dyDescent="0.25">
      <c r="A18995" t="s">
        <v>3296</v>
      </c>
      <c r="B18995" t="s">
        <v>2931</v>
      </c>
      <c r="C18995">
        <v>11872</v>
      </c>
      <c r="D18995" t="str">
        <f>"504841      "</f>
        <v xml:space="preserve">504841      </v>
      </c>
      <c r="E18995" t="s">
        <v>621</v>
      </c>
      <c r="F18995" t="s">
        <v>622</v>
      </c>
      <c r="G18995">
        <v>156.31</v>
      </c>
      <c r="H18995">
        <v>250827</v>
      </c>
      <c r="I18995">
        <v>4400</v>
      </c>
      <c r="J18995" t="s">
        <v>162</v>
      </c>
      <c r="K18995">
        <v>156.31</v>
      </c>
      <c r="L18995">
        <v>31.76</v>
      </c>
      <c r="M18995">
        <v>17521</v>
      </c>
      <c r="N18995" t="s">
        <v>136</v>
      </c>
      <c r="O18995">
        <v>250911</v>
      </c>
      <c r="P18995">
        <v>124.55</v>
      </c>
    </row>
    <row r="18996" spans="1:16" x14ac:dyDescent="0.25">
      <c r="A18996" t="s">
        <v>3296</v>
      </c>
      <c r="B18996" t="s">
        <v>2931</v>
      </c>
      <c r="C18996">
        <v>13199</v>
      </c>
      <c r="D18996" t="str">
        <f>"505018      "</f>
        <v xml:space="preserve">505018      </v>
      </c>
      <c r="E18996" t="s">
        <v>621</v>
      </c>
      <c r="F18996" t="s">
        <v>622</v>
      </c>
      <c r="G18996">
        <v>750.14</v>
      </c>
      <c r="H18996">
        <v>250930</v>
      </c>
      <c r="I18996">
        <v>4400</v>
      </c>
      <c r="J18996" t="s">
        <v>162</v>
      </c>
      <c r="K18996">
        <v>750.14</v>
      </c>
      <c r="L18996">
        <v>0</v>
      </c>
      <c r="M18996">
        <v>18993</v>
      </c>
      <c r="N18996" t="s">
        <v>540</v>
      </c>
      <c r="O18996">
        <v>251006</v>
      </c>
      <c r="P18996">
        <v>750.14</v>
      </c>
    </row>
    <row r="18997" spans="1:16" x14ac:dyDescent="0.25">
      <c r="A18997" t="s">
        <v>3296</v>
      </c>
      <c r="B18997" t="s">
        <v>2931</v>
      </c>
      <c r="C18997">
        <v>13565</v>
      </c>
      <c r="D18997" t="str">
        <f>"504990      "</f>
        <v xml:space="preserve">504990      </v>
      </c>
      <c r="E18997" t="s">
        <v>621</v>
      </c>
      <c r="F18997" t="s">
        <v>622</v>
      </c>
      <c r="G18997">
        <v>128.80000000000001</v>
      </c>
      <c r="H18997">
        <v>250930</v>
      </c>
      <c r="I18997">
        <v>4400</v>
      </c>
      <c r="J18997" t="s">
        <v>162</v>
      </c>
      <c r="K18997">
        <v>128.80000000000001</v>
      </c>
      <c r="L18997">
        <v>26.17</v>
      </c>
      <c r="M18997">
        <v>17526</v>
      </c>
      <c r="N18997" t="s">
        <v>141</v>
      </c>
      <c r="O18997">
        <v>251013</v>
      </c>
      <c r="P18997">
        <v>102.63</v>
      </c>
    </row>
    <row r="18998" spans="1:16" x14ac:dyDescent="0.25">
      <c r="A18998" t="s">
        <v>3296</v>
      </c>
      <c r="B18998" t="s">
        <v>2931</v>
      </c>
      <c r="C18998">
        <v>14259</v>
      </c>
      <c r="D18998" t="str">
        <f>"505066      "</f>
        <v xml:space="preserve">505066      </v>
      </c>
      <c r="E18998" t="s">
        <v>621</v>
      </c>
      <c r="F18998" t="s">
        <v>622</v>
      </c>
      <c r="G18998">
        <v>260.61</v>
      </c>
      <c r="H18998">
        <v>251021</v>
      </c>
      <c r="I18998">
        <v>4400</v>
      </c>
      <c r="J18998" t="s">
        <v>162</v>
      </c>
      <c r="K18998">
        <v>260.61</v>
      </c>
      <c r="L18998">
        <v>0</v>
      </c>
      <c r="M18998">
        <v>17526</v>
      </c>
      <c r="N18998" t="s">
        <v>141</v>
      </c>
      <c r="O18998">
        <v>251028</v>
      </c>
      <c r="P18998">
        <v>260.61</v>
      </c>
    </row>
    <row r="18999" spans="1:16" x14ac:dyDescent="0.25">
      <c r="A18999" t="s">
        <v>3296</v>
      </c>
      <c r="B18999" t="s">
        <v>2931</v>
      </c>
      <c r="C18999">
        <v>15286</v>
      </c>
      <c r="D18999" t="str">
        <f>"505212      "</f>
        <v xml:space="preserve">505212      </v>
      </c>
      <c r="E18999" t="s">
        <v>621</v>
      </c>
      <c r="F18999" t="s">
        <v>622</v>
      </c>
      <c r="G18999">
        <v>47.57</v>
      </c>
      <c r="H18999">
        <v>251031</v>
      </c>
      <c r="I18999">
        <v>4400</v>
      </c>
      <c r="J18999" t="s">
        <v>162</v>
      </c>
      <c r="K18999">
        <v>47.57</v>
      </c>
      <c r="L18999">
        <v>9.67</v>
      </c>
      <c r="M18999">
        <v>17524</v>
      </c>
      <c r="N18999" t="s">
        <v>139</v>
      </c>
      <c r="O18999">
        <v>251117</v>
      </c>
      <c r="P18999">
        <v>37.9</v>
      </c>
    </row>
    <row r="19000" spans="1:16" x14ac:dyDescent="0.25">
      <c r="A19000" t="s">
        <v>3296</v>
      </c>
      <c r="B19000" t="s">
        <v>2931</v>
      </c>
      <c r="C19000">
        <v>16159</v>
      </c>
      <c r="D19000" t="str">
        <f>"505311      "</f>
        <v xml:space="preserve">505311      </v>
      </c>
      <c r="E19000" t="s">
        <v>621</v>
      </c>
      <c r="F19000" t="s">
        <v>622</v>
      </c>
      <c r="G19000">
        <v>92.95</v>
      </c>
      <c r="H19000">
        <v>251128</v>
      </c>
      <c r="I19000">
        <v>4400</v>
      </c>
      <c r="J19000" t="s">
        <v>162</v>
      </c>
      <c r="K19000">
        <v>295.14999999999998</v>
      </c>
      <c r="L19000">
        <v>18.89</v>
      </c>
      <c r="M19000">
        <v>17521</v>
      </c>
      <c r="N19000" t="s">
        <v>136</v>
      </c>
      <c r="O19000">
        <v>251204</v>
      </c>
      <c r="P19000">
        <v>74.06</v>
      </c>
    </row>
    <row r="19001" spans="1:16" x14ac:dyDescent="0.25">
      <c r="A19001" t="s">
        <v>3296</v>
      </c>
      <c r="B19001" t="s">
        <v>2931</v>
      </c>
      <c r="C19001">
        <v>16159</v>
      </c>
      <c r="D19001" t="str">
        <f>"505311      "</f>
        <v xml:space="preserve">505311      </v>
      </c>
      <c r="E19001" t="s">
        <v>621</v>
      </c>
      <c r="F19001" t="s">
        <v>622</v>
      </c>
      <c r="G19001">
        <v>108.27</v>
      </c>
      <c r="H19001">
        <v>251128</v>
      </c>
      <c r="I19001">
        <v>4400</v>
      </c>
      <c r="J19001" t="s">
        <v>162</v>
      </c>
      <c r="K19001">
        <v>295.14999999999998</v>
      </c>
      <c r="L19001">
        <v>22</v>
      </c>
      <c r="M19001">
        <v>17521</v>
      </c>
      <c r="N19001" t="s">
        <v>136</v>
      </c>
      <c r="O19001">
        <v>251204</v>
      </c>
      <c r="P19001">
        <v>86.27</v>
      </c>
    </row>
    <row r="19002" spans="1:16" x14ac:dyDescent="0.25">
      <c r="A19002" t="s">
        <v>3296</v>
      </c>
      <c r="B19002" t="s">
        <v>2931</v>
      </c>
      <c r="C19002">
        <v>16159</v>
      </c>
      <c r="D19002" t="str">
        <f>"505311      "</f>
        <v xml:space="preserve">505311      </v>
      </c>
      <c r="E19002" t="s">
        <v>621</v>
      </c>
      <c r="F19002" t="s">
        <v>622</v>
      </c>
      <c r="G19002">
        <v>79.959999999999994</v>
      </c>
      <c r="H19002">
        <v>251128</v>
      </c>
      <c r="I19002">
        <v>4400</v>
      </c>
      <c r="J19002" t="s">
        <v>162</v>
      </c>
      <c r="K19002">
        <v>295.14999999999998</v>
      </c>
      <c r="L19002">
        <v>16.25</v>
      </c>
      <c r="M19002">
        <v>17536</v>
      </c>
      <c r="N19002" t="s">
        <v>150</v>
      </c>
      <c r="O19002">
        <v>251204</v>
      </c>
      <c r="P19002">
        <v>63.71</v>
      </c>
    </row>
    <row r="19003" spans="1:16" x14ac:dyDescent="0.25">
      <c r="A19003" t="s">
        <v>3296</v>
      </c>
      <c r="B19003" t="s">
        <v>2931</v>
      </c>
      <c r="C19003">
        <v>17231</v>
      </c>
      <c r="D19003" t="str">
        <f>"505347      "</f>
        <v xml:space="preserve">505347      </v>
      </c>
      <c r="E19003" t="s">
        <v>621</v>
      </c>
      <c r="F19003" t="s">
        <v>622</v>
      </c>
      <c r="G19003">
        <v>44.69</v>
      </c>
      <c r="H19003">
        <v>251216</v>
      </c>
      <c r="I19003">
        <v>4400</v>
      </c>
      <c r="J19003" t="s">
        <v>162</v>
      </c>
      <c r="K19003">
        <v>44.69</v>
      </c>
      <c r="L19003">
        <v>9.08</v>
      </c>
      <c r="M19003">
        <v>17526</v>
      </c>
      <c r="N19003" t="s">
        <v>141</v>
      </c>
      <c r="O19003">
        <v>251218</v>
      </c>
      <c r="P19003">
        <v>35.61</v>
      </c>
    </row>
    <row r="19004" spans="1:16" x14ac:dyDescent="0.25">
      <c r="A19004" t="s">
        <v>3296</v>
      </c>
      <c r="B19004" t="s">
        <v>2931</v>
      </c>
      <c r="C19004">
        <v>17232</v>
      </c>
      <c r="D19004" t="str">
        <f>"505367      "</f>
        <v xml:space="preserve">505367      </v>
      </c>
      <c r="E19004" t="s">
        <v>621</v>
      </c>
      <c r="F19004" t="s">
        <v>622</v>
      </c>
      <c r="G19004">
        <v>184.09</v>
      </c>
      <c r="H19004">
        <v>251216</v>
      </c>
      <c r="I19004">
        <v>4400</v>
      </c>
      <c r="J19004" t="s">
        <v>162</v>
      </c>
      <c r="K19004">
        <v>184.09</v>
      </c>
      <c r="L19004">
        <v>37.4</v>
      </c>
      <c r="M19004">
        <v>17521</v>
      </c>
      <c r="N19004" t="s">
        <v>136</v>
      </c>
      <c r="O19004">
        <v>251218</v>
      </c>
      <c r="P19004">
        <v>146.69</v>
      </c>
    </row>
    <row r="19005" spans="1:16" x14ac:dyDescent="0.25">
      <c r="A19005" t="s">
        <v>3296</v>
      </c>
      <c r="B19005" t="s">
        <v>2931</v>
      </c>
      <c r="C19005">
        <v>17989</v>
      </c>
      <c r="D19005" t="str">
        <f>"505465      "</f>
        <v xml:space="preserve">505465      </v>
      </c>
      <c r="E19005" t="s">
        <v>621</v>
      </c>
      <c r="F19005" t="s">
        <v>622</v>
      </c>
      <c r="G19005">
        <v>117.01</v>
      </c>
      <c r="H19005">
        <v>251231</v>
      </c>
      <c r="I19005">
        <v>4400</v>
      </c>
      <c r="J19005" t="s">
        <v>162</v>
      </c>
      <c r="K19005">
        <v>117.01</v>
      </c>
      <c r="L19005">
        <v>23.77</v>
      </c>
      <c r="M19005">
        <v>17522</v>
      </c>
      <c r="N19005" t="s">
        <v>137</v>
      </c>
      <c r="O19005">
        <v>260107</v>
      </c>
      <c r="P19005">
        <v>93.24</v>
      </c>
    </row>
    <row r="19006" spans="1:16" x14ac:dyDescent="0.25">
      <c r="A19006" t="s">
        <v>3296</v>
      </c>
      <c r="B19006" t="s">
        <v>2931</v>
      </c>
      <c r="C19006">
        <v>7847</v>
      </c>
      <c r="D19006" t="str">
        <f>"504482      "</f>
        <v xml:space="preserve">504482      </v>
      </c>
      <c r="E19006" t="s">
        <v>621</v>
      </c>
      <c r="F19006" t="s">
        <v>622</v>
      </c>
      <c r="G19006">
        <v>509.54</v>
      </c>
      <c r="H19006">
        <v>250530</v>
      </c>
      <c r="I19006">
        <v>4470</v>
      </c>
      <c r="J19006" t="s">
        <v>203</v>
      </c>
      <c r="K19006">
        <v>509.54</v>
      </c>
      <c r="L19006">
        <v>103.53</v>
      </c>
      <c r="M19006">
        <v>17951</v>
      </c>
      <c r="N19006" t="s">
        <v>207</v>
      </c>
      <c r="O19006">
        <v>250609</v>
      </c>
      <c r="P19006">
        <v>406.01</v>
      </c>
    </row>
    <row r="19007" spans="1:16" x14ac:dyDescent="0.25">
      <c r="A19007" t="s">
        <v>3296</v>
      </c>
      <c r="B19007" t="s">
        <v>2931</v>
      </c>
      <c r="C19007">
        <v>983</v>
      </c>
      <c r="D19007" t="str">
        <f>"504097      "</f>
        <v xml:space="preserve">504097      </v>
      </c>
      <c r="E19007" t="s">
        <v>621</v>
      </c>
      <c r="F19007" t="s">
        <v>622</v>
      </c>
      <c r="G19007">
        <v>16.09</v>
      </c>
      <c r="H19007">
        <v>250129</v>
      </c>
      <c r="I19007">
        <v>4572</v>
      </c>
      <c r="J19007" t="s">
        <v>173</v>
      </c>
      <c r="K19007">
        <v>97.19</v>
      </c>
      <c r="L19007">
        <v>3.27</v>
      </c>
      <c r="M19007">
        <v>17521</v>
      </c>
      <c r="N19007" t="s">
        <v>136</v>
      </c>
      <c r="O19007">
        <v>250131</v>
      </c>
      <c r="P19007">
        <v>12.82</v>
      </c>
    </row>
    <row r="19008" spans="1:16" x14ac:dyDescent="0.25">
      <c r="A19008" t="s">
        <v>3296</v>
      </c>
      <c r="B19008" t="s">
        <v>2931</v>
      </c>
      <c r="C19008">
        <v>983</v>
      </c>
      <c r="D19008" t="str">
        <f>"504097      "</f>
        <v xml:space="preserve">504097      </v>
      </c>
      <c r="E19008" t="s">
        <v>621</v>
      </c>
      <c r="F19008" t="s">
        <v>622</v>
      </c>
      <c r="G19008">
        <v>81.099999999999994</v>
      </c>
      <c r="H19008">
        <v>250129</v>
      </c>
      <c r="I19008">
        <v>4572</v>
      </c>
      <c r="J19008" t="s">
        <v>173</v>
      </c>
      <c r="K19008">
        <v>97.19</v>
      </c>
      <c r="L19008">
        <v>16.48</v>
      </c>
      <c r="M19008">
        <v>17956</v>
      </c>
      <c r="N19008" t="s">
        <v>170</v>
      </c>
      <c r="O19008">
        <v>250131</v>
      </c>
      <c r="P19008">
        <v>64.62</v>
      </c>
    </row>
    <row r="19009" spans="1:16" x14ac:dyDescent="0.25">
      <c r="A19009" t="s">
        <v>3296</v>
      </c>
      <c r="B19009" t="s">
        <v>2931</v>
      </c>
      <c r="C19009">
        <v>5925</v>
      </c>
      <c r="D19009" t="str">
        <f>"504331      "</f>
        <v xml:space="preserve">504331      </v>
      </c>
      <c r="E19009" t="s">
        <v>621</v>
      </c>
      <c r="F19009" t="s">
        <v>622</v>
      </c>
      <c r="G19009">
        <v>61.26</v>
      </c>
      <c r="H19009">
        <v>250429</v>
      </c>
      <c r="I19009">
        <v>4572</v>
      </c>
      <c r="J19009" t="s">
        <v>173</v>
      </c>
      <c r="K19009">
        <v>61.26</v>
      </c>
      <c r="L19009">
        <v>0</v>
      </c>
      <c r="M19009">
        <v>17956</v>
      </c>
      <c r="N19009" t="s">
        <v>170</v>
      </c>
      <c r="O19009">
        <v>250507</v>
      </c>
      <c r="P19009">
        <v>61.26</v>
      </c>
    </row>
    <row r="19010" spans="1:16" x14ac:dyDescent="0.25">
      <c r="A19010" t="s">
        <v>3296</v>
      </c>
      <c r="B19010" t="s">
        <v>2931</v>
      </c>
      <c r="C19010">
        <v>9223</v>
      </c>
      <c r="D19010" t="str">
        <f>"504580      "</f>
        <v xml:space="preserve">504580      </v>
      </c>
      <c r="E19010" t="s">
        <v>621</v>
      </c>
      <c r="F19010" t="s">
        <v>622</v>
      </c>
      <c r="G19010">
        <v>395.98</v>
      </c>
      <c r="H19010">
        <v>250626</v>
      </c>
      <c r="I19010">
        <v>4572</v>
      </c>
      <c r="J19010" t="s">
        <v>173</v>
      </c>
      <c r="K19010">
        <v>395.98</v>
      </c>
      <c r="L19010">
        <v>0</v>
      </c>
      <c r="M19010">
        <v>17950</v>
      </c>
      <c r="N19010" t="s">
        <v>132</v>
      </c>
      <c r="O19010">
        <v>250627</v>
      </c>
      <c r="P19010">
        <v>395.98</v>
      </c>
    </row>
    <row r="19011" spans="1:16" x14ac:dyDescent="0.25">
      <c r="A19011" t="s">
        <v>3296</v>
      </c>
      <c r="B19011" t="s">
        <v>2931</v>
      </c>
      <c r="C19011">
        <v>9224</v>
      </c>
      <c r="D19011" t="str">
        <f>"504594      "</f>
        <v xml:space="preserve">504594      </v>
      </c>
      <c r="E19011" t="s">
        <v>621</v>
      </c>
      <c r="F19011" t="s">
        <v>622</v>
      </c>
      <c r="G19011">
        <v>372.17</v>
      </c>
      <c r="H19011">
        <v>250626</v>
      </c>
      <c r="I19011">
        <v>4572</v>
      </c>
      <c r="J19011" t="s">
        <v>173</v>
      </c>
      <c r="K19011">
        <v>372.17</v>
      </c>
      <c r="L19011">
        <v>0</v>
      </c>
      <c r="M19011">
        <v>17950</v>
      </c>
      <c r="N19011" t="s">
        <v>132</v>
      </c>
      <c r="O19011">
        <v>250627</v>
      </c>
      <c r="P19011">
        <v>372.17</v>
      </c>
    </row>
    <row r="19012" spans="1:16" x14ac:dyDescent="0.25">
      <c r="A19012" t="s">
        <v>3296</v>
      </c>
      <c r="B19012" t="s">
        <v>2931</v>
      </c>
      <c r="C19012">
        <v>9356</v>
      </c>
      <c r="D19012" t="str">
        <f>"504665      "</f>
        <v xml:space="preserve">504665      </v>
      </c>
      <c r="E19012" t="s">
        <v>621</v>
      </c>
      <c r="F19012" t="s">
        <v>622</v>
      </c>
      <c r="G19012">
        <v>305.5</v>
      </c>
      <c r="H19012">
        <v>250627</v>
      </c>
      <c r="I19012">
        <v>4572</v>
      </c>
      <c r="J19012" t="s">
        <v>173</v>
      </c>
      <c r="K19012">
        <v>305.5</v>
      </c>
      <c r="L19012">
        <v>62.07</v>
      </c>
      <c r="M19012">
        <v>17950</v>
      </c>
      <c r="N19012" t="s">
        <v>132</v>
      </c>
      <c r="O19012">
        <v>250704</v>
      </c>
      <c r="P19012">
        <v>243.43</v>
      </c>
    </row>
    <row r="19013" spans="1:16" x14ac:dyDescent="0.25">
      <c r="A19013" t="s">
        <v>3296</v>
      </c>
      <c r="B19013" t="s">
        <v>2931</v>
      </c>
      <c r="C19013">
        <v>14472</v>
      </c>
      <c r="D19013" t="str">
        <f>"505172      "</f>
        <v xml:space="preserve">505172      </v>
      </c>
      <c r="E19013" t="s">
        <v>621</v>
      </c>
      <c r="F19013" t="s">
        <v>622</v>
      </c>
      <c r="G19013">
        <v>14.38</v>
      </c>
      <c r="H19013">
        <v>251029</v>
      </c>
      <c r="I19013">
        <v>4572</v>
      </c>
      <c r="J19013" t="s">
        <v>173</v>
      </c>
      <c r="K19013">
        <v>156.53</v>
      </c>
      <c r="L19013">
        <v>2.92</v>
      </c>
      <c r="M19013">
        <v>13540</v>
      </c>
      <c r="N19013" t="s">
        <v>131</v>
      </c>
      <c r="O19013">
        <v>251103</v>
      </c>
      <c r="P19013">
        <v>11.46</v>
      </c>
    </row>
    <row r="19014" spans="1:16" x14ac:dyDescent="0.25">
      <c r="A19014" t="s">
        <v>3296</v>
      </c>
      <c r="B19014" t="s">
        <v>2931</v>
      </c>
      <c r="C19014">
        <v>14472</v>
      </c>
      <c r="D19014" t="str">
        <f>"505172      "</f>
        <v xml:space="preserve">505172      </v>
      </c>
      <c r="E19014" t="s">
        <v>621</v>
      </c>
      <c r="F19014" t="s">
        <v>622</v>
      </c>
      <c r="G19014">
        <v>116.34</v>
      </c>
      <c r="H19014">
        <v>251029</v>
      </c>
      <c r="I19014">
        <v>4572</v>
      </c>
      <c r="J19014" t="s">
        <v>173</v>
      </c>
      <c r="K19014">
        <v>156.53</v>
      </c>
      <c r="L19014">
        <v>23.64</v>
      </c>
      <c r="M19014">
        <v>17950</v>
      </c>
      <c r="N19014" t="s">
        <v>132</v>
      </c>
      <c r="O19014">
        <v>251103</v>
      </c>
      <c r="P19014">
        <v>92.7</v>
      </c>
    </row>
    <row r="19015" spans="1:16" x14ac:dyDescent="0.25">
      <c r="A19015" t="s">
        <v>3296</v>
      </c>
      <c r="B19015" t="s">
        <v>2931</v>
      </c>
      <c r="C19015">
        <v>17430</v>
      </c>
      <c r="D19015" t="str">
        <f>"505415      "</f>
        <v xml:space="preserve">505415      </v>
      </c>
      <c r="E19015" t="s">
        <v>621</v>
      </c>
      <c r="F19015" t="s">
        <v>622</v>
      </c>
      <c r="G19015">
        <v>6.24</v>
      </c>
      <c r="H19015">
        <v>251216</v>
      </c>
      <c r="I19015">
        <v>4572</v>
      </c>
      <c r="J19015" t="s">
        <v>173</v>
      </c>
      <c r="K19015">
        <v>253.81</v>
      </c>
      <c r="L19015">
        <v>1.27</v>
      </c>
      <c r="M19015">
        <v>17950</v>
      </c>
      <c r="N19015" t="s">
        <v>132</v>
      </c>
      <c r="O19015">
        <v>251219</v>
      </c>
      <c r="P19015">
        <v>4.97</v>
      </c>
    </row>
    <row r="19016" spans="1:16" x14ac:dyDescent="0.25">
      <c r="A19016" t="s">
        <v>3296</v>
      </c>
      <c r="B19016" t="s">
        <v>2931</v>
      </c>
      <c r="C19016">
        <v>4258</v>
      </c>
      <c r="D19016" t="str">
        <f>"504310      "</f>
        <v xml:space="preserve">504310      </v>
      </c>
      <c r="E19016" t="s">
        <v>621</v>
      </c>
      <c r="F19016" t="s">
        <v>622</v>
      </c>
      <c r="G19016">
        <v>187.44</v>
      </c>
      <c r="H19016">
        <v>250327</v>
      </c>
      <c r="I19016">
        <v>4580</v>
      </c>
      <c r="J19016" t="s">
        <v>126</v>
      </c>
      <c r="K19016">
        <v>203.36</v>
      </c>
      <c r="L19016">
        <v>38.090000000000003</v>
      </c>
      <c r="M19016">
        <v>17521</v>
      </c>
      <c r="N19016" t="s">
        <v>136</v>
      </c>
      <c r="O19016">
        <v>250409</v>
      </c>
      <c r="P19016">
        <v>149.35</v>
      </c>
    </row>
    <row r="19017" spans="1:16" x14ac:dyDescent="0.25">
      <c r="A19017" t="s">
        <v>3296</v>
      </c>
      <c r="B19017" t="s">
        <v>2931</v>
      </c>
      <c r="C19017">
        <v>4258</v>
      </c>
      <c r="D19017" t="str">
        <f>"504310      "</f>
        <v xml:space="preserve">504310      </v>
      </c>
      <c r="E19017" t="s">
        <v>621</v>
      </c>
      <c r="F19017" t="s">
        <v>622</v>
      </c>
      <c r="G19017">
        <v>15.92</v>
      </c>
      <c r="H19017">
        <v>250327</v>
      </c>
      <c r="I19017">
        <v>4580</v>
      </c>
      <c r="J19017" t="s">
        <v>126</v>
      </c>
      <c r="K19017">
        <v>203.36</v>
      </c>
      <c r="L19017">
        <v>3.23</v>
      </c>
      <c r="M19017">
        <v>17523</v>
      </c>
      <c r="N19017" t="s">
        <v>138</v>
      </c>
      <c r="O19017">
        <v>250409</v>
      </c>
      <c r="P19017">
        <v>12.69</v>
      </c>
    </row>
    <row r="19018" spans="1:16" x14ac:dyDescent="0.25">
      <c r="A19018" t="s">
        <v>3296</v>
      </c>
      <c r="B19018" t="s">
        <v>2931</v>
      </c>
      <c r="C19018">
        <v>5842</v>
      </c>
      <c r="D19018" t="str">
        <f>"504422      "</f>
        <v xml:space="preserve">504422      </v>
      </c>
      <c r="E19018" t="s">
        <v>621</v>
      </c>
      <c r="F19018" t="s">
        <v>622</v>
      </c>
      <c r="G19018">
        <v>109.34</v>
      </c>
      <c r="H19018">
        <v>250429</v>
      </c>
      <c r="I19018">
        <v>4580</v>
      </c>
      <c r="J19018" t="s">
        <v>126</v>
      </c>
      <c r="K19018">
        <v>109.34</v>
      </c>
      <c r="L19018">
        <v>22.22</v>
      </c>
      <c r="M19018">
        <v>17521</v>
      </c>
      <c r="N19018" t="s">
        <v>136</v>
      </c>
      <c r="O19018">
        <v>250505</v>
      </c>
      <c r="P19018">
        <v>87.12</v>
      </c>
    </row>
    <row r="19019" spans="1:16" x14ac:dyDescent="0.25">
      <c r="A19019" t="s">
        <v>3296</v>
      </c>
      <c r="B19019" t="s">
        <v>2931</v>
      </c>
      <c r="C19019">
        <v>9573</v>
      </c>
      <c r="D19019" t="str">
        <f>"504666      "</f>
        <v xml:space="preserve">504666      </v>
      </c>
      <c r="E19019" t="s">
        <v>621</v>
      </c>
      <c r="F19019" t="s">
        <v>622</v>
      </c>
      <c r="G19019">
        <v>29.35</v>
      </c>
      <c r="H19019">
        <v>250627</v>
      </c>
      <c r="I19019">
        <v>4580</v>
      </c>
      <c r="J19019" t="s">
        <v>126</v>
      </c>
      <c r="K19019">
        <v>29.35</v>
      </c>
      <c r="L19019">
        <v>5.96</v>
      </c>
      <c r="M19019">
        <v>17807</v>
      </c>
      <c r="N19019" t="s">
        <v>23</v>
      </c>
      <c r="O19019">
        <v>250721</v>
      </c>
      <c r="P19019">
        <v>23.39</v>
      </c>
    </row>
    <row r="19020" spans="1:16" x14ac:dyDescent="0.25">
      <c r="A19020" t="s">
        <v>3296</v>
      </c>
      <c r="B19020" t="s">
        <v>2931</v>
      </c>
      <c r="C19020">
        <v>12906</v>
      </c>
      <c r="D19020" t="str">
        <f>"504968      "</f>
        <v xml:space="preserve">504968      </v>
      </c>
      <c r="E19020" t="s">
        <v>621</v>
      </c>
      <c r="F19020" t="s">
        <v>622</v>
      </c>
      <c r="G19020">
        <v>55.62</v>
      </c>
      <c r="H19020">
        <v>250930</v>
      </c>
      <c r="I19020">
        <v>4580</v>
      </c>
      <c r="J19020" t="s">
        <v>126</v>
      </c>
      <c r="K19020">
        <v>55.62</v>
      </c>
      <c r="L19020">
        <v>11.3</v>
      </c>
      <c r="M19020">
        <v>17521</v>
      </c>
      <c r="N19020" t="s">
        <v>136</v>
      </c>
      <c r="O19020">
        <v>251001</v>
      </c>
      <c r="P19020">
        <v>44.32</v>
      </c>
    </row>
    <row r="19021" spans="1:16" x14ac:dyDescent="0.25">
      <c r="A19021" t="s">
        <v>3296</v>
      </c>
      <c r="B19021" t="s">
        <v>2931</v>
      </c>
      <c r="C19021">
        <v>13218</v>
      </c>
      <c r="D19021" t="str">
        <f>"504979      "</f>
        <v xml:space="preserve">504979      </v>
      </c>
      <c r="E19021" t="s">
        <v>621</v>
      </c>
      <c r="F19021" t="s">
        <v>622</v>
      </c>
      <c r="G19021">
        <v>255.33</v>
      </c>
      <c r="H19021">
        <v>250930</v>
      </c>
      <c r="I19021">
        <v>4580</v>
      </c>
      <c r="J19021" t="s">
        <v>126</v>
      </c>
      <c r="K19021">
        <v>255.33</v>
      </c>
      <c r="L19021">
        <v>51.88</v>
      </c>
      <c r="M19021">
        <v>17521</v>
      </c>
      <c r="N19021" t="s">
        <v>136</v>
      </c>
      <c r="O19021">
        <v>251006</v>
      </c>
      <c r="P19021">
        <v>203.45</v>
      </c>
    </row>
    <row r="19022" spans="1:16" x14ac:dyDescent="0.25">
      <c r="A19022" t="s">
        <v>3296</v>
      </c>
      <c r="B19022" t="s">
        <v>2931</v>
      </c>
      <c r="C19022">
        <v>13562</v>
      </c>
      <c r="D19022" t="str">
        <f>"504969      "</f>
        <v xml:space="preserve">504969      </v>
      </c>
      <c r="E19022" t="s">
        <v>621</v>
      </c>
      <c r="F19022" t="s">
        <v>622</v>
      </c>
      <c r="G19022">
        <v>243.56</v>
      </c>
      <c r="H19022">
        <v>250930</v>
      </c>
      <c r="I19022">
        <v>4580</v>
      </c>
      <c r="J19022" t="s">
        <v>126</v>
      </c>
      <c r="K19022">
        <v>243.56</v>
      </c>
      <c r="L19022">
        <v>0</v>
      </c>
      <c r="M19022">
        <v>17521</v>
      </c>
      <c r="N19022" t="s">
        <v>136</v>
      </c>
      <c r="O19022">
        <v>251013</v>
      </c>
      <c r="P19022">
        <v>243.56</v>
      </c>
    </row>
    <row r="19023" spans="1:16" x14ac:dyDescent="0.25">
      <c r="A19023" t="s">
        <v>3296</v>
      </c>
      <c r="B19023" t="s">
        <v>2931</v>
      </c>
      <c r="C19023">
        <v>17430</v>
      </c>
      <c r="D19023" t="str">
        <f>"505415      "</f>
        <v xml:space="preserve">505415      </v>
      </c>
      <c r="E19023" t="s">
        <v>621</v>
      </c>
      <c r="F19023" t="s">
        <v>622</v>
      </c>
      <c r="G19023">
        <v>26.44</v>
      </c>
      <c r="H19023">
        <v>251216</v>
      </c>
      <c r="I19023">
        <v>4580</v>
      </c>
      <c r="J19023" t="s">
        <v>126</v>
      </c>
      <c r="K19023">
        <v>253.81</v>
      </c>
      <c r="L19023">
        <v>5.37</v>
      </c>
      <c r="M19023">
        <v>13540</v>
      </c>
      <c r="N19023" t="s">
        <v>131</v>
      </c>
      <c r="O19023">
        <v>251219</v>
      </c>
      <c r="P19023">
        <v>21.07</v>
      </c>
    </row>
    <row r="19024" spans="1:16" x14ac:dyDescent="0.25">
      <c r="A19024" t="s">
        <v>3296</v>
      </c>
      <c r="B19024" t="s">
        <v>2931</v>
      </c>
      <c r="C19024">
        <v>17430</v>
      </c>
      <c r="D19024" t="str">
        <f>"505415      "</f>
        <v xml:space="preserve">505415      </v>
      </c>
      <c r="E19024" t="s">
        <v>621</v>
      </c>
      <c r="F19024" t="s">
        <v>622</v>
      </c>
      <c r="G19024">
        <v>213.89</v>
      </c>
      <c r="H19024">
        <v>251216</v>
      </c>
      <c r="I19024">
        <v>4580</v>
      </c>
      <c r="J19024" t="s">
        <v>126</v>
      </c>
      <c r="K19024">
        <v>253.81</v>
      </c>
      <c r="L19024">
        <v>43.46</v>
      </c>
      <c r="M19024">
        <v>17950</v>
      </c>
      <c r="N19024" t="s">
        <v>132</v>
      </c>
      <c r="O19024">
        <v>251219</v>
      </c>
      <c r="P19024">
        <v>170.43</v>
      </c>
    </row>
    <row r="19025" spans="1:16" x14ac:dyDescent="0.25">
      <c r="A19025" t="s">
        <v>3296</v>
      </c>
      <c r="B19025" t="s">
        <v>2931</v>
      </c>
      <c r="C19025">
        <v>9984</v>
      </c>
      <c r="D19025" t="str">
        <f>"504791      "</f>
        <v xml:space="preserve">504791      </v>
      </c>
      <c r="E19025" t="s">
        <v>621</v>
      </c>
      <c r="F19025" t="s">
        <v>622</v>
      </c>
      <c r="G19025">
        <v>-13.69</v>
      </c>
      <c r="H19025">
        <v>250731</v>
      </c>
      <c r="I19025">
        <v>4600</v>
      </c>
      <c r="J19025" t="s">
        <v>278</v>
      </c>
      <c r="K19025">
        <v>152.75</v>
      </c>
      <c r="L19025">
        <v>-2.78</v>
      </c>
      <c r="M19025">
        <v>17521</v>
      </c>
      <c r="N19025" t="s">
        <v>136</v>
      </c>
      <c r="O19025">
        <v>250806</v>
      </c>
      <c r="P19025">
        <v>-10.91</v>
      </c>
    </row>
    <row r="19026" spans="1:16" x14ac:dyDescent="0.25">
      <c r="A19026" t="s">
        <v>3296</v>
      </c>
      <c r="B19026" t="s">
        <v>2931</v>
      </c>
      <c r="C19026">
        <v>14472</v>
      </c>
      <c r="D19026" t="str">
        <f>"505172      "</f>
        <v xml:space="preserve">505172      </v>
      </c>
      <c r="E19026" t="s">
        <v>621</v>
      </c>
      <c r="F19026" t="s">
        <v>622</v>
      </c>
      <c r="G19026">
        <v>25.81</v>
      </c>
      <c r="H19026">
        <v>251029</v>
      </c>
      <c r="I19026">
        <v>4600</v>
      </c>
      <c r="J19026" t="s">
        <v>278</v>
      </c>
      <c r="K19026">
        <v>156.53</v>
      </c>
      <c r="L19026">
        <v>5.24</v>
      </c>
      <c r="M19026">
        <v>17521</v>
      </c>
      <c r="N19026" t="s">
        <v>136</v>
      </c>
      <c r="O19026">
        <v>251103</v>
      </c>
      <c r="P19026">
        <v>20.57</v>
      </c>
    </row>
    <row r="19027" spans="1:16" x14ac:dyDescent="0.25">
      <c r="A19027" t="s">
        <v>3296</v>
      </c>
      <c r="B19027" t="s">
        <v>2931</v>
      </c>
      <c r="C19027">
        <v>16159</v>
      </c>
      <c r="D19027" t="str">
        <f>"505311      "</f>
        <v xml:space="preserve">505311      </v>
      </c>
      <c r="E19027" t="s">
        <v>621</v>
      </c>
      <c r="F19027" t="s">
        <v>622</v>
      </c>
      <c r="G19027">
        <v>13.97</v>
      </c>
      <c r="H19027">
        <v>251128</v>
      </c>
      <c r="I19027">
        <v>4600</v>
      </c>
      <c r="J19027" t="s">
        <v>278</v>
      </c>
      <c r="K19027">
        <v>295.14999999999998</v>
      </c>
      <c r="L19027">
        <v>2.84</v>
      </c>
      <c r="M19027">
        <v>17522</v>
      </c>
      <c r="N19027" t="s">
        <v>137</v>
      </c>
      <c r="O19027">
        <v>251204</v>
      </c>
      <c r="P19027">
        <v>11.13</v>
      </c>
    </row>
    <row r="19028" spans="1:16" x14ac:dyDescent="0.25">
      <c r="A19028" t="s">
        <v>3296</v>
      </c>
      <c r="B19028" t="s">
        <v>2931</v>
      </c>
      <c r="C19028">
        <v>17430</v>
      </c>
      <c r="D19028" t="str">
        <f>"505415      "</f>
        <v xml:space="preserve">505415      </v>
      </c>
      <c r="E19028" t="s">
        <v>621</v>
      </c>
      <c r="F19028" t="s">
        <v>622</v>
      </c>
      <c r="G19028">
        <v>0.8</v>
      </c>
      <c r="H19028">
        <v>251216</v>
      </c>
      <c r="I19028">
        <v>4600</v>
      </c>
      <c r="J19028" t="s">
        <v>278</v>
      </c>
      <c r="K19028">
        <v>253.81</v>
      </c>
      <c r="L19028">
        <v>0.16</v>
      </c>
      <c r="M19028">
        <v>13540</v>
      </c>
      <c r="N19028" t="s">
        <v>131</v>
      </c>
      <c r="O19028">
        <v>251219</v>
      </c>
      <c r="P19028">
        <v>0.64</v>
      </c>
    </row>
    <row r="19029" spans="1:16" x14ac:dyDescent="0.25">
      <c r="A19029" t="s">
        <v>3296</v>
      </c>
      <c r="B19029" t="s">
        <v>2931</v>
      </c>
      <c r="C19029">
        <v>17430</v>
      </c>
      <c r="D19029" t="str">
        <f>"505415      "</f>
        <v xml:space="preserve">505415      </v>
      </c>
      <c r="E19029" t="s">
        <v>621</v>
      </c>
      <c r="F19029" t="s">
        <v>622</v>
      </c>
      <c r="G19029">
        <v>6.44</v>
      </c>
      <c r="H19029">
        <v>251216</v>
      </c>
      <c r="I19029">
        <v>4600</v>
      </c>
      <c r="J19029" t="s">
        <v>278</v>
      </c>
      <c r="K19029">
        <v>253.81</v>
      </c>
      <c r="L19029">
        <v>1.31</v>
      </c>
      <c r="M19029">
        <v>17950</v>
      </c>
      <c r="N19029" t="s">
        <v>132</v>
      </c>
      <c r="O19029">
        <v>251219</v>
      </c>
      <c r="P19029">
        <v>5.13</v>
      </c>
    </row>
    <row r="19030" spans="1:16" x14ac:dyDescent="0.25">
      <c r="A19030" t="s">
        <v>3296</v>
      </c>
      <c r="B19030" t="s">
        <v>2931</v>
      </c>
      <c r="C19030">
        <v>11675</v>
      </c>
      <c r="D19030" t="str">
        <f>"1001000657  "</f>
        <v xml:space="preserve">1001000657  </v>
      </c>
      <c r="E19030" t="s">
        <v>2285</v>
      </c>
      <c r="F19030" t="s">
        <v>2286</v>
      </c>
      <c r="G19030">
        <v>73.42</v>
      </c>
      <c r="H19030">
        <v>250904</v>
      </c>
      <c r="I19030">
        <v>4400</v>
      </c>
      <c r="J19030" t="s">
        <v>162</v>
      </c>
      <c r="K19030">
        <v>73.42</v>
      </c>
      <c r="L19030">
        <v>14.92</v>
      </c>
      <c r="M19030">
        <v>13801</v>
      </c>
      <c r="N19030" t="s">
        <v>33</v>
      </c>
      <c r="O19030">
        <v>250910</v>
      </c>
      <c r="P19030">
        <v>58.5</v>
      </c>
    </row>
    <row r="19031" spans="1:16" x14ac:dyDescent="0.25">
      <c r="A19031" t="s">
        <v>3296</v>
      </c>
      <c r="B19031" t="s">
        <v>2931</v>
      </c>
      <c r="C19031">
        <v>18134</v>
      </c>
      <c r="D19031" t="str">
        <f>"17955       "</f>
        <v xml:space="preserve">17955       </v>
      </c>
      <c r="E19031" t="s">
        <v>2765</v>
      </c>
      <c r="F19031" t="s">
        <v>2766</v>
      </c>
      <c r="G19031">
        <v>2778.95</v>
      </c>
      <c r="H19031">
        <v>251230</v>
      </c>
      <c r="I19031">
        <v>1198</v>
      </c>
      <c r="J19031" t="s">
        <v>610</v>
      </c>
      <c r="K19031">
        <v>2778.95</v>
      </c>
      <c r="L19031">
        <v>564.65</v>
      </c>
      <c r="M19031">
        <v>98511</v>
      </c>
      <c r="N19031" t="s">
        <v>2047</v>
      </c>
      <c r="O19031">
        <v>260109</v>
      </c>
      <c r="P19031">
        <v>2214.3000000000002</v>
      </c>
    </row>
    <row r="19032" spans="1:16" x14ac:dyDescent="0.25">
      <c r="A19032" t="s">
        <v>3296</v>
      </c>
      <c r="B19032" t="s">
        <v>2931</v>
      </c>
      <c r="C19032">
        <v>18135</v>
      </c>
      <c r="D19032" t="str">
        <f>"17954       "</f>
        <v xml:space="preserve">17954       </v>
      </c>
      <c r="E19032" t="s">
        <v>2765</v>
      </c>
      <c r="F19032" t="s">
        <v>2766</v>
      </c>
      <c r="G19032">
        <v>4728.07</v>
      </c>
      <c r="H19032">
        <v>251230</v>
      </c>
      <c r="I19032">
        <v>1198</v>
      </c>
      <c r="J19032" t="s">
        <v>610</v>
      </c>
      <c r="K19032">
        <v>4728.07</v>
      </c>
      <c r="L19032">
        <v>960.68</v>
      </c>
      <c r="M19032">
        <v>98511</v>
      </c>
      <c r="N19032" t="s">
        <v>2047</v>
      </c>
      <c r="O19032">
        <v>260109</v>
      </c>
      <c r="P19032">
        <v>3767.39</v>
      </c>
    </row>
    <row r="19033" spans="1:16" x14ac:dyDescent="0.25">
      <c r="A19033" t="s">
        <v>3296</v>
      </c>
      <c r="B19033" t="s">
        <v>2931</v>
      </c>
      <c r="C19033">
        <v>18054</v>
      </c>
      <c r="D19033" t="str">
        <f>"17956       "</f>
        <v xml:space="preserve">17956       </v>
      </c>
      <c r="E19033" t="s">
        <v>2765</v>
      </c>
      <c r="F19033" t="s">
        <v>2766</v>
      </c>
      <c r="G19033">
        <v>5900</v>
      </c>
      <c r="H19033">
        <v>251230</v>
      </c>
      <c r="I19033">
        <v>4390</v>
      </c>
      <c r="J19033" t="s">
        <v>232</v>
      </c>
      <c r="K19033">
        <v>5900</v>
      </c>
      <c r="L19033">
        <v>0</v>
      </c>
      <c r="M19033">
        <v>49501</v>
      </c>
      <c r="N19033" t="s">
        <v>110</v>
      </c>
      <c r="O19033">
        <v>260108</v>
      </c>
      <c r="P19033">
        <v>5900</v>
      </c>
    </row>
    <row r="19034" spans="1:16" x14ac:dyDescent="0.25">
      <c r="A19034" t="s">
        <v>3296</v>
      </c>
      <c r="B19034" t="s">
        <v>2931</v>
      </c>
      <c r="C19034">
        <v>17651</v>
      </c>
      <c r="D19034" t="str">
        <f>"17838       "</f>
        <v xml:space="preserve">17838       </v>
      </c>
      <c r="E19034" t="s">
        <v>2765</v>
      </c>
      <c r="F19034" t="s">
        <v>2766</v>
      </c>
      <c r="G19034">
        <v>566.23</v>
      </c>
      <c r="H19034">
        <v>251201</v>
      </c>
      <c r="I19034">
        <v>4400</v>
      </c>
      <c r="J19034" t="s">
        <v>162</v>
      </c>
      <c r="K19034">
        <v>566.23</v>
      </c>
      <c r="L19034">
        <v>115.05</v>
      </c>
      <c r="M19034">
        <v>49501</v>
      </c>
      <c r="N19034" t="s">
        <v>110</v>
      </c>
      <c r="O19034">
        <v>251229</v>
      </c>
      <c r="P19034">
        <v>451.18</v>
      </c>
    </row>
    <row r="19035" spans="1:16" x14ac:dyDescent="0.25">
      <c r="A19035" t="s">
        <v>3296</v>
      </c>
      <c r="B19035" t="s">
        <v>2931</v>
      </c>
      <c r="C19035">
        <v>3125</v>
      </c>
      <c r="D19035" t="str">
        <f>"776417      "</f>
        <v xml:space="preserve">776417      </v>
      </c>
      <c r="E19035" t="s">
        <v>2912</v>
      </c>
      <c r="F19035" t="s">
        <v>2913</v>
      </c>
      <c r="G19035">
        <v>120</v>
      </c>
      <c r="H19035">
        <v>250228</v>
      </c>
      <c r="I19035">
        <v>4470</v>
      </c>
      <c r="J19035" t="s">
        <v>203</v>
      </c>
      <c r="K19035">
        <v>150</v>
      </c>
      <c r="L19035">
        <v>0</v>
      </c>
      <c r="M19035">
        <v>69113</v>
      </c>
      <c r="N19035" t="s">
        <v>122</v>
      </c>
      <c r="O19035">
        <v>250314</v>
      </c>
      <c r="P19035">
        <v>120</v>
      </c>
    </row>
    <row r="19036" spans="1:16" x14ac:dyDescent="0.25">
      <c r="A19036" t="s">
        <v>3296</v>
      </c>
      <c r="B19036" t="s">
        <v>2931</v>
      </c>
      <c r="C19036">
        <v>3125</v>
      </c>
      <c r="D19036" t="str">
        <f>"776417      "</f>
        <v xml:space="preserve">776417      </v>
      </c>
      <c r="E19036" t="s">
        <v>2912</v>
      </c>
      <c r="F19036" t="s">
        <v>2913</v>
      </c>
      <c r="G19036">
        <v>15</v>
      </c>
      <c r="H19036">
        <v>250228</v>
      </c>
      <c r="I19036">
        <v>4470</v>
      </c>
      <c r="J19036" t="s">
        <v>203</v>
      </c>
      <c r="K19036">
        <v>150</v>
      </c>
      <c r="L19036">
        <v>0</v>
      </c>
      <c r="M19036">
        <v>69802</v>
      </c>
      <c r="N19036" t="s">
        <v>375</v>
      </c>
      <c r="O19036">
        <v>250314</v>
      </c>
      <c r="P19036">
        <v>15</v>
      </c>
    </row>
    <row r="19037" spans="1:16" x14ac:dyDescent="0.25">
      <c r="A19037" t="s">
        <v>3296</v>
      </c>
      <c r="B19037" t="s">
        <v>2931</v>
      </c>
      <c r="C19037">
        <v>3125</v>
      </c>
      <c r="D19037" t="str">
        <f>"776417      "</f>
        <v xml:space="preserve">776417      </v>
      </c>
      <c r="E19037" t="s">
        <v>2912</v>
      </c>
      <c r="F19037" t="s">
        <v>2913</v>
      </c>
      <c r="G19037">
        <v>15</v>
      </c>
      <c r="H19037">
        <v>250228</v>
      </c>
      <c r="I19037">
        <v>4470</v>
      </c>
      <c r="J19037" t="s">
        <v>203</v>
      </c>
      <c r="K19037">
        <v>150</v>
      </c>
      <c r="L19037">
        <v>0</v>
      </c>
      <c r="M19037">
        <v>69804</v>
      </c>
      <c r="N19037" t="s">
        <v>376</v>
      </c>
      <c r="O19037">
        <v>250314</v>
      </c>
      <c r="P19037">
        <v>15</v>
      </c>
    </row>
    <row r="19038" spans="1:16" x14ac:dyDescent="0.25">
      <c r="A19038" t="s">
        <v>3296</v>
      </c>
      <c r="B19038" t="s">
        <v>2931</v>
      </c>
      <c r="C19038">
        <v>3157</v>
      </c>
      <c r="D19038" t="str">
        <f>"776624      "</f>
        <v xml:space="preserve">776624      </v>
      </c>
      <c r="E19038" t="s">
        <v>2912</v>
      </c>
      <c r="F19038" t="s">
        <v>2913</v>
      </c>
      <c r="G19038">
        <v>150</v>
      </c>
      <c r="H19038">
        <v>250228</v>
      </c>
      <c r="I19038">
        <v>4470</v>
      </c>
      <c r="J19038" t="s">
        <v>203</v>
      </c>
      <c r="K19038">
        <v>150</v>
      </c>
      <c r="L19038">
        <v>0</v>
      </c>
      <c r="M19038">
        <v>69703</v>
      </c>
      <c r="N19038" t="s">
        <v>88</v>
      </c>
      <c r="O19038">
        <v>250314</v>
      </c>
      <c r="P19038">
        <v>150</v>
      </c>
    </row>
    <row r="19039" spans="1:16" x14ac:dyDescent="0.25">
      <c r="A19039" t="s">
        <v>3296</v>
      </c>
      <c r="B19039" t="s">
        <v>2931</v>
      </c>
      <c r="C19039">
        <v>3164</v>
      </c>
      <c r="D19039" t="str">
        <f>"776625      "</f>
        <v xml:space="preserve">776625      </v>
      </c>
      <c r="E19039" t="s">
        <v>2912</v>
      </c>
      <c r="F19039" t="s">
        <v>2913</v>
      </c>
      <c r="G19039">
        <v>150</v>
      </c>
      <c r="H19039">
        <v>250228</v>
      </c>
      <c r="I19039">
        <v>4470</v>
      </c>
      <c r="J19039" t="s">
        <v>203</v>
      </c>
      <c r="K19039">
        <v>150</v>
      </c>
      <c r="L19039">
        <v>0</v>
      </c>
      <c r="M19039">
        <v>69701</v>
      </c>
      <c r="N19039" t="s">
        <v>1030</v>
      </c>
      <c r="O19039">
        <v>250314</v>
      </c>
      <c r="P19039">
        <v>150</v>
      </c>
    </row>
    <row r="19040" spans="1:16" x14ac:dyDescent="0.25">
      <c r="A19040" t="s">
        <v>3296</v>
      </c>
      <c r="B19040" t="s">
        <v>2931</v>
      </c>
      <c r="C19040">
        <v>3536</v>
      </c>
      <c r="D19040" t="str">
        <f>"776709      "</f>
        <v xml:space="preserve">776709      </v>
      </c>
      <c r="E19040" t="s">
        <v>2912</v>
      </c>
      <c r="F19040" t="s">
        <v>2913</v>
      </c>
      <c r="G19040">
        <v>120</v>
      </c>
      <c r="H19040">
        <v>250306</v>
      </c>
      <c r="I19040">
        <v>4470</v>
      </c>
      <c r="J19040" t="s">
        <v>203</v>
      </c>
      <c r="K19040">
        <v>150</v>
      </c>
      <c r="L19040">
        <v>0</v>
      </c>
      <c r="M19040">
        <v>69112</v>
      </c>
      <c r="N19040" t="s">
        <v>227</v>
      </c>
      <c r="O19040">
        <v>250325</v>
      </c>
      <c r="P19040">
        <v>120</v>
      </c>
    </row>
    <row r="19041" spans="1:16" x14ac:dyDescent="0.25">
      <c r="A19041" t="s">
        <v>3296</v>
      </c>
      <c r="B19041" t="s">
        <v>2931</v>
      </c>
      <c r="C19041">
        <v>3536</v>
      </c>
      <c r="D19041" t="str">
        <f>"776709      "</f>
        <v xml:space="preserve">776709      </v>
      </c>
      <c r="E19041" t="s">
        <v>2912</v>
      </c>
      <c r="F19041" t="s">
        <v>2913</v>
      </c>
      <c r="G19041">
        <v>15</v>
      </c>
      <c r="H19041">
        <v>250306</v>
      </c>
      <c r="I19041">
        <v>4470</v>
      </c>
      <c r="J19041" t="s">
        <v>203</v>
      </c>
      <c r="K19041">
        <v>150</v>
      </c>
      <c r="L19041">
        <v>0</v>
      </c>
      <c r="M19041">
        <v>69810</v>
      </c>
      <c r="N19041" t="s">
        <v>229</v>
      </c>
      <c r="O19041">
        <v>250325</v>
      </c>
      <c r="P19041">
        <v>15</v>
      </c>
    </row>
    <row r="19042" spans="1:16" x14ac:dyDescent="0.25">
      <c r="A19042" t="s">
        <v>3296</v>
      </c>
      <c r="B19042" t="s">
        <v>2931</v>
      </c>
      <c r="C19042">
        <v>3536</v>
      </c>
      <c r="D19042" t="str">
        <f>"776709      "</f>
        <v xml:space="preserve">776709      </v>
      </c>
      <c r="E19042" t="s">
        <v>2912</v>
      </c>
      <c r="F19042" t="s">
        <v>2913</v>
      </c>
      <c r="G19042">
        <v>15</v>
      </c>
      <c r="H19042">
        <v>250306</v>
      </c>
      <c r="I19042">
        <v>4470</v>
      </c>
      <c r="J19042" t="s">
        <v>203</v>
      </c>
      <c r="K19042">
        <v>150</v>
      </c>
      <c r="L19042">
        <v>0</v>
      </c>
      <c r="M19042">
        <v>69811</v>
      </c>
      <c r="N19042" t="s">
        <v>230</v>
      </c>
      <c r="O19042">
        <v>250325</v>
      </c>
      <c r="P19042">
        <v>15</v>
      </c>
    </row>
    <row r="19043" spans="1:16" x14ac:dyDescent="0.25">
      <c r="A19043" t="s">
        <v>3296</v>
      </c>
      <c r="B19043" t="s">
        <v>2931</v>
      </c>
      <c r="C19043">
        <v>13642</v>
      </c>
      <c r="D19043" t="str">
        <f>"777846      "</f>
        <v xml:space="preserve">777846      </v>
      </c>
      <c r="E19043" t="s">
        <v>2912</v>
      </c>
      <c r="F19043" t="s">
        <v>2913</v>
      </c>
      <c r="G19043">
        <v>288</v>
      </c>
      <c r="H19043">
        <v>250930</v>
      </c>
      <c r="I19043">
        <v>4470</v>
      </c>
      <c r="J19043" t="s">
        <v>203</v>
      </c>
      <c r="K19043">
        <v>320</v>
      </c>
      <c r="L19043">
        <v>0</v>
      </c>
      <c r="M19043">
        <v>69112</v>
      </c>
      <c r="N19043" t="s">
        <v>227</v>
      </c>
      <c r="O19043">
        <v>251013</v>
      </c>
      <c r="P19043">
        <v>288</v>
      </c>
    </row>
    <row r="19044" spans="1:16" x14ac:dyDescent="0.25">
      <c r="A19044" t="s">
        <v>3296</v>
      </c>
      <c r="B19044" t="s">
        <v>2931</v>
      </c>
      <c r="C19044">
        <v>13642</v>
      </c>
      <c r="D19044" t="str">
        <f>"777846      "</f>
        <v xml:space="preserve">777846      </v>
      </c>
      <c r="E19044" t="s">
        <v>2912</v>
      </c>
      <c r="F19044" t="s">
        <v>2913</v>
      </c>
      <c r="G19044">
        <v>16</v>
      </c>
      <c r="H19044">
        <v>250930</v>
      </c>
      <c r="I19044">
        <v>4470</v>
      </c>
      <c r="J19044" t="s">
        <v>203</v>
      </c>
      <c r="K19044">
        <v>320</v>
      </c>
      <c r="L19044">
        <v>0</v>
      </c>
      <c r="M19044">
        <v>69810</v>
      </c>
      <c r="N19044" t="s">
        <v>229</v>
      </c>
      <c r="O19044">
        <v>251013</v>
      </c>
      <c r="P19044">
        <v>16</v>
      </c>
    </row>
    <row r="19045" spans="1:16" x14ac:dyDescent="0.25">
      <c r="A19045" t="s">
        <v>3296</v>
      </c>
      <c r="B19045" t="s">
        <v>2931</v>
      </c>
      <c r="C19045">
        <v>13642</v>
      </c>
      <c r="D19045" t="str">
        <f>"777846      "</f>
        <v xml:space="preserve">777846      </v>
      </c>
      <c r="E19045" t="s">
        <v>2912</v>
      </c>
      <c r="F19045" t="s">
        <v>2913</v>
      </c>
      <c r="G19045">
        <v>16</v>
      </c>
      <c r="H19045">
        <v>250930</v>
      </c>
      <c r="I19045">
        <v>4470</v>
      </c>
      <c r="J19045" t="s">
        <v>203</v>
      </c>
      <c r="K19045">
        <v>320</v>
      </c>
      <c r="L19045">
        <v>0</v>
      </c>
      <c r="M19045">
        <v>69811</v>
      </c>
      <c r="N19045" t="s">
        <v>230</v>
      </c>
      <c r="O19045">
        <v>251013</v>
      </c>
      <c r="P19045">
        <v>16</v>
      </c>
    </row>
    <row r="19046" spans="1:16" x14ac:dyDescent="0.25">
      <c r="A19046" t="s">
        <v>3296</v>
      </c>
      <c r="B19046" t="s">
        <v>2931</v>
      </c>
      <c r="C19046">
        <v>15045</v>
      </c>
      <c r="D19046" t="str">
        <f>"777943      "</f>
        <v xml:space="preserve">777943      </v>
      </c>
      <c r="E19046" t="s">
        <v>2912</v>
      </c>
      <c r="F19046" t="s">
        <v>2913</v>
      </c>
      <c r="G19046">
        <v>400</v>
      </c>
      <c r="H19046">
        <v>251031</v>
      </c>
      <c r="I19046">
        <v>4470</v>
      </c>
      <c r="J19046" t="s">
        <v>203</v>
      </c>
      <c r="K19046">
        <v>400</v>
      </c>
      <c r="L19046">
        <v>0</v>
      </c>
      <c r="M19046">
        <v>69703</v>
      </c>
      <c r="N19046" t="s">
        <v>88</v>
      </c>
      <c r="O19046">
        <v>251110</v>
      </c>
      <c r="P19046">
        <v>400</v>
      </c>
    </row>
    <row r="19047" spans="1:16" x14ac:dyDescent="0.25">
      <c r="A19047" t="s">
        <v>3296</v>
      </c>
      <c r="B19047" t="s">
        <v>2931</v>
      </c>
      <c r="C19047">
        <v>4034</v>
      </c>
      <c r="D19047" t="str">
        <f>"229984      "</f>
        <v xml:space="preserve">229984      </v>
      </c>
      <c r="E19047" t="s">
        <v>1546</v>
      </c>
      <c r="F19047" t="s">
        <v>1547</v>
      </c>
      <c r="G19047">
        <v>265.07</v>
      </c>
      <c r="H19047">
        <v>250317</v>
      </c>
      <c r="I19047">
        <v>4369</v>
      </c>
      <c r="J19047" t="s">
        <v>188</v>
      </c>
      <c r="K19047">
        <v>265.07</v>
      </c>
      <c r="L19047">
        <v>32.549999999999997</v>
      </c>
      <c r="M19047">
        <v>13901</v>
      </c>
      <c r="N19047" t="s">
        <v>116</v>
      </c>
      <c r="O19047">
        <v>250407</v>
      </c>
      <c r="P19047">
        <v>232.52</v>
      </c>
    </row>
    <row r="19048" spans="1:16" x14ac:dyDescent="0.25">
      <c r="A19048" t="s">
        <v>3296</v>
      </c>
      <c r="B19048" t="s">
        <v>2931</v>
      </c>
      <c r="C19048">
        <v>5245</v>
      </c>
      <c r="D19048" t="str">
        <f>"234135      "</f>
        <v xml:space="preserve">234135      </v>
      </c>
      <c r="E19048" t="s">
        <v>1546</v>
      </c>
      <c r="F19048" t="s">
        <v>1547</v>
      </c>
      <c r="G19048">
        <v>105.05</v>
      </c>
      <c r="H19048">
        <v>250404</v>
      </c>
      <c r="I19048">
        <v>4470</v>
      </c>
      <c r="J19048" t="s">
        <v>203</v>
      </c>
      <c r="K19048">
        <v>955.01</v>
      </c>
      <c r="L19048">
        <v>12.9</v>
      </c>
      <c r="M19048">
        <v>13561</v>
      </c>
      <c r="N19048" t="s">
        <v>241</v>
      </c>
      <c r="O19048">
        <v>250423</v>
      </c>
      <c r="P19048">
        <v>92.15</v>
      </c>
    </row>
    <row r="19049" spans="1:16" x14ac:dyDescent="0.25">
      <c r="A19049" t="s">
        <v>3296</v>
      </c>
      <c r="B19049" t="s">
        <v>2931</v>
      </c>
      <c r="C19049">
        <v>5245</v>
      </c>
      <c r="D19049" t="str">
        <f>"234135      "</f>
        <v xml:space="preserve">234135      </v>
      </c>
      <c r="E19049" t="s">
        <v>1546</v>
      </c>
      <c r="F19049" t="s">
        <v>1547</v>
      </c>
      <c r="G19049">
        <v>849.96</v>
      </c>
      <c r="H19049">
        <v>250404</v>
      </c>
      <c r="I19049">
        <v>4470</v>
      </c>
      <c r="J19049" t="s">
        <v>203</v>
      </c>
      <c r="K19049">
        <v>955.01</v>
      </c>
      <c r="L19049">
        <v>104.38</v>
      </c>
      <c r="M19049">
        <v>17538</v>
      </c>
      <c r="N19049" t="s">
        <v>129</v>
      </c>
      <c r="O19049">
        <v>250423</v>
      </c>
      <c r="P19049">
        <v>745.58</v>
      </c>
    </row>
    <row r="19050" spans="1:16" x14ac:dyDescent="0.25">
      <c r="A19050" t="s">
        <v>3296</v>
      </c>
      <c r="B19050" t="s">
        <v>2931</v>
      </c>
      <c r="C19050">
        <v>5424</v>
      </c>
      <c r="D19050" t="str">
        <f>"235551      "</f>
        <v xml:space="preserve">235551      </v>
      </c>
      <c r="E19050" t="s">
        <v>1546</v>
      </c>
      <c r="F19050" t="s">
        <v>1547</v>
      </c>
      <c r="G19050">
        <v>59.14</v>
      </c>
      <c r="H19050">
        <v>250416</v>
      </c>
      <c r="I19050">
        <v>4470</v>
      </c>
      <c r="J19050" t="s">
        <v>203</v>
      </c>
      <c r="K19050">
        <v>59.14</v>
      </c>
      <c r="L19050">
        <v>7.26</v>
      </c>
      <c r="M19050">
        <v>13801</v>
      </c>
      <c r="N19050" t="s">
        <v>33</v>
      </c>
      <c r="O19050">
        <v>250424</v>
      </c>
      <c r="P19050">
        <v>51.88</v>
      </c>
    </row>
    <row r="19051" spans="1:16" x14ac:dyDescent="0.25">
      <c r="A19051" t="s">
        <v>3296</v>
      </c>
      <c r="B19051" t="s">
        <v>2931</v>
      </c>
      <c r="C19051">
        <v>13479</v>
      </c>
      <c r="D19051" t="str">
        <f>"244780      "</f>
        <v xml:space="preserve">244780      </v>
      </c>
      <c r="E19051" t="s">
        <v>1546</v>
      </c>
      <c r="F19051" t="s">
        <v>1547</v>
      </c>
      <c r="G19051">
        <v>955.01</v>
      </c>
      <c r="H19051">
        <v>251003</v>
      </c>
      <c r="I19051">
        <v>4470</v>
      </c>
      <c r="J19051" t="s">
        <v>203</v>
      </c>
      <c r="K19051">
        <v>955.01</v>
      </c>
      <c r="L19051">
        <v>117.28</v>
      </c>
      <c r="M19051">
        <v>17538</v>
      </c>
      <c r="N19051" t="s">
        <v>129</v>
      </c>
      <c r="O19051">
        <v>251010</v>
      </c>
      <c r="P19051">
        <v>837.73</v>
      </c>
    </row>
    <row r="19052" spans="1:16" x14ac:dyDescent="0.25">
      <c r="A19052" t="s">
        <v>3296</v>
      </c>
      <c r="B19052" t="s">
        <v>2931</v>
      </c>
      <c r="C19052">
        <v>16117</v>
      </c>
      <c r="D19052" t="str">
        <f>"248484      "</f>
        <v xml:space="preserve">248484      </v>
      </c>
      <c r="E19052" t="s">
        <v>1546</v>
      </c>
      <c r="F19052" t="s">
        <v>1547</v>
      </c>
      <c r="G19052">
        <v>542.4</v>
      </c>
      <c r="H19052">
        <v>251201</v>
      </c>
      <c r="I19052">
        <v>4470</v>
      </c>
      <c r="J19052" t="s">
        <v>203</v>
      </c>
      <c r="K19052">
        <v>542.4</v>
      </c>
      <c r="L19052">
        <v>66.61</v>
      </c>
      <c r="M19052">
        <v>13601</v>
      </c>
      <c r="N19052" t="s">
        <v>115</v>
      </c>
      <c r="O19052">
        <v>251203</v>
      </c>
      <c r="P19052">
        <v>475.79</v>
      </c>
    </row>
    <row r="19053" spans="1:16" x14ac:dyDescent="0.25">
      <c r="A19053" t="s">
        <v>3296</v>
      </c>
      <c r="B19053" t="s">
        <v>2931</v>
      </c>
      <c r="C19053">
        <v>17016</v>
      </c>
      <c r="D19053" t="str">
        <f>"249029      "</f>
        <v xml:space="preserve">249029      </v>
      </c>
      <c r="E19053" t="s">
        <v>1546</v>
      </c>
      <c r="F19053" t="s">
        <v>1547</v>
      </c>
      <c r="G19053">
        <v>44.35</v>
      </c>
      <c r="H19053">
        <v>251210</v>
      </c>
      <c r="I19053">
        <v>4470</v>
      </c>
      <c r="J19053" t="s">
        <v>203</v>
      </c>
      <c r="K19053">
        <v>44.35</v>
      </c>
      <c r="L19053">
        <v>5.45</v>
      </c>
      <c r="M19053">
        <v>13801</v>
      </c>
      <c r="N19053" t="s">
        <v>33</v>
      </c>
      <c r="O19053">
        <v>251216</v>
      </c>
      <c r="P19053">
        <v>38.9</v>
      </c>
    </row>
    <row r="19054" spans="1:16" x14ac:dyDescent="0.25">
      <c r="A19054" t="s">
        <v>3296</v>
      </c>
      <c r="B19054" t="s">
        <v>2931</v>
      </c>
      <c r="C19054">
        <v>1928</v>
      </c>
      <c r="D19054" t="str">
        <f>"30244       "</f>
        <v xml:space="preserve">30244       </v>
      </c>
      <c r="E19054" t="s">
        <v>1155</v>
      </c>
      <c r="F19054" t="s">
        <v>1156</v>
      </c>
      <c r="G19054">
        <v>112.95</v>
      </c>
      <c r="H19054">
        <v>250131</v>
      </c>
      <c r="I19054">
        <v>4367</v>
      </c>
      <c r="J19054" t="s">
        <v>159</v>
      </c>
      <c r="K19054">
        <v>112.95</v>
      </c>
      <c r="L19054">
        <v>22.95</v>
      </c>
      <c r="M19054">
        <v>44251</v>
      </c>
      <c r="N19054" t="s">
        <v>215</v>
      </c>
      <c r="O19054">
        <v>250217</v>
      </c>
      <c r="P19054">
        <v>90</v>
      </c>
    </row>
    <row r="19055" spans="1:16" x14ac:dyDescent="0.25">
      <c r="A19055" t="s">
        <v>3296</v>
      </c>
      <c r="B19055" t="s">
        <v>2931</v>
      </c>
      <c r="C19055">
        <v>3284</v>
      </c>
      <c r="D19055" t="str">
        <f>"30600       "</f>
        <v xml:space="preserve">30600       </v>
      </c>
      <c r="E19055" t="s">
        <v>1155</v>
      </c>
      <c r="F19055" t="s">
        <v>1156</v>
      </c>
      <c r="G19055">
        <v>200.81</v>
      </c>
      <c r="H19055">
        <v>250305</v>
      </c>
      <c r="I19055">
        <v>4367</v>
      </c>
      <c r="J19055" t="s">
        <v>159</v>
      </c>
      <c r="K19055">
        <v>200.81</v>
      </c>
      <c r="L19055">
        <v>40.799999999999997</v>
      </c>
      <c r="M19055">
        <v>44251</v>
      </c>
      <c r="N19055" t="s">
        <v>215</v>
      </c>
      <c r="O19055">
        <v>250318</v>
      </c>
      <c r="P19055">
        <v>160.01</v>
      </c>
    </row>
    <row r="19056" spans="1:16" x14ac:dyDescent="0.25">
      <c r="A19056" t="s">
        <v>3296</v>
      </c>
      <c r="B19056" t="s">
        <v>2931</v>
      </c>
      <c r="C19056">
        <v>8540</v>
      </c>
      <c r="D19056" t="str">
        <f>"31975       "</f>
        <v xml:space="preserve">31975       </v>
      </c>
      <c r="E19056" t="s">
        <v>1155</v>
      </c>
      <c r="F19056" t="s">
        <v>1156</v>
      </c>
      <c r="G19056">
        <v>160.65</v>
      </c>
      <c r="H19056">
        <v>250601</v>
      </c>
      <c r="I19056">
        <v>4367</v>
      </c>
      <c r="J19056" t="s">
        <v>159</v>
      </c>
      <c r="K19056">
        <v>160.65</v>
      </c>
      <c r="L19056">
        <v>32.64</v>
      </c>
      <c r="M19056">
        <v>44251</v>
      </c>
      <c r="N19056" t="s">
        <v>215</v>
      </c>
      <c r="O19056">
        <v>250617</v>
      </c>
      <c r="P19056">
        <v>128.01</v>
      </c>
    </row>
    <row r="19057" spans="1:16" x14ac:dyDescent="0.25">
      <c r="A19057" t="s">
        <v>3296</v>
      </c>
      <c r="B19057" t="s">
        <v>2931</v>
      </c>
      <c r="C19057">
        <v>12494</v>
      </c>
      <c r="D19057" t="str">
        <f>"33223       "</f>
        <v xml:space="preserve">33223       </v>
      </c>
      <c r="E19057" t="s">
        <v>1155</v>
      </c>
      <c r="F19057" t="s">
        <v>1156</v>
      </c>
      <c r="G19057">
        <v>146.84</v>
      </c>
      <c r="H19057">
        <v>250915</v>
      </c>
      <c r="I19057">
        <v>4367</v>
      </c>
      <c r="J19057" t="s">
        <v>159</v>
      </c>
      <c r="K19057">
        <v>146.84</v>
      </c>
      <c r="L19057">
        <v>29.84</v>
      </c>
      <c r="M19057">
        <v>44251</v>
      </c>
      <c r="N19057" t="s">
        <v>215</v>
      </c>
      <c r="O19057">
        <v>250925</v>
      </c>
      <c r="P19057">
        <v>117</v>
      </c>
    </row>
    <row r="19058" spans="1:16" x14ac:dyDescent="0.25">
      <c r="A19058" t="s">
        <v>3296</v>
      </c>
      <c r="B19058" t="s">
        <v>2931</v>
      </c>
      <c r="C19058">
        <v>13649</v>
      </c>
      <c r="D19058" t="str">
        <f>"33626       "</f>
        <v xml:space="preserve">33626       </v>
      </c>
      <c r="E19058" t="s">
        <v>1155</v>
      </c>
      <c r="F19058" t="s">
        <v>1156</v>
      </c>
      <c r="G19058">
        <v>50.2</v>
      </c>
      <c r="H19058">
        <v>250930</v>
      </c>
      <c r="I19058">
        <v>4367</v>
      </c>
      <c r="J19058" t="s">
        <v>159</v>
      </c>
      <c r="K19058">
        <v>50.2</v>
      </c>
      <c r="L19058">
        <v>10.199999999999999</v>
      </c>
      <c r="M19058">
        <v>44251</v>
      </c>
      <c r="N19058" t="s">
        <v>215</v>
      </c>
      <c r="O19058">
        <v>251013</v>
      </c>
      <c r="P19058">
        <v>40</v>
      </c>
    </row>
    <row r="19059" spans="1:16" x14ac:dyDescent="0.25">
      <c r="A19059" t="s">
        <v>3296</v>
      </c>
      <c r="B19059" t="s">
        <v>2931</v>
      </c>
      <c r="C19059">
        <v>15285</v>
      </c>
      <c r="D19059" t="str">
        <f>"34029       "</f>
        <v xml:space="preserve">34029       </v>
      </c>
      <c r="E19059" t="s">
        <v>1155</v>
      </c>
      <c r="F19059" t="s">
        <v>1156</v>
      </c>
      <c r="G19059">
        <v>90.36</v>
      </c>
      <c r="H19059">
        <v>251031</v>
      </c>
      <c r="I19059">
        <v>4367</v>
      </c>
      <c r="J19059" t="s">
        <v>159</v>
      </c>
      <c r="K19059">
        <v>90.36</v>
      </c>
      <c r="L19059">
        <v>18.36</v>
      </c>
      <c r="M19059">
        <v>44251</v>
      </c>
      <c r="N19059" t="s">
        <v>215</v>
      </c>
      <c r="O19059">
        <v>251117</v>
      </c>
      <c r="P19059">
        <v>72</v>
      </c>
    </row>
    <row r="19060" spans="1:16" x14ac:dyDescent="0.25">
      <c r="A19060" t="s">
        <v>3296</v>
      </c>
      <c r="B19060" t="s">
        <v>2931</v>
      </c>
      <c r="C19060">
        <v>17192</v>
      </c>
      <c r="D19060" t="str">
        <f>"34614       "</f>
        <v xml:space="preserve">34614       </v>
      </c>
      <c r="E19060" t="s">
        <v>1155</v>
      </c>
      <c r="F19060" t="s">
        <v>1156</v>
      </c>
      <c r="G19060">
        <v>239.71</v>
      </c>
      <c r="H19060">
        <v>251215</v>
      </c>
      <c r="I19060">
        <v>4367</v>
      </c>
      <c r="J19060" t="s">
        <v>159</v>
      </c>
      <c r="K19060">
        <v>239.71</v>
      </c>
      <c r="L19060">
        <v>48.71</v>
      </c>
      <c r="M19060">
        <v>44251</v>
      </c>
      <c r="N19060" t="s">
        <v>215</v>
      </c>
      <c r="O19060">
        <v>251218</v>
      </c>
      <c r="P19060">
        <v>191</v>
      </c>
    </row>
    <row r="19061" spans="1:16" x14ac:dyDescent="0.25">
      <c r="A19061" t="s">
        <v>3296</v>
      </c>
      <c r="B19061" t="s">
        <v>2931</v>
      </c>
      <c r="C19061">
        <v>18550</v>
      </c>
      <c r="D19061" t="str">
        <f>"34993       "</f>
        <v xml:space="preserve">34993       </v>
      </c>
      <c r="E19061" t="s">
        <v>1155</v>
      </c>
      <c r="F19061" t="s">
        <v>1156</v>
      </c>
      <c r="G19061">
        <v>47.69</v>
      </c>
      <c r="H19061">
        <v>251231</v>
      </c>
      <c r="I19061">
        <v>4367</v>
      </c>
      <c r="J19061" t="s">
        <v>159</v>
      </c>
      <c r="K19061">
        <v>47.69</v>
      </c>
      <c r="L19061">
        <v>9.69</v>
      </c>
      <c r="M19061">
        <v>44251</v>
      </c>
      <c r="N19061" t="s">
        <v>215</v>
      </c>
      <c r="O19061">
        <v>260115</v>
      </c>
      <c r="P19061">
        <v>38</v>
      </c>
    </row>
    <row r="19062" spans="1:16" x14ac:dyDescent="0.25">
      <c r="A19062" t="s">
        <v>3296</v>
      </c>
      <c r="B19062" t="s">
        <v>2931</v>
      </c>
      <c r="C19062">
        <v>8998</v>
      </c>
      <c r="D19062" t="str">
        <f>"5691        "</f>
        <v xml:space="preserve">5691        </v>
      </c>
      <c r="E19062" t="s">
        <v>2082</v>
      </c>
      <c r="F19062" t="s">
        <v>2083</v>
      </c>
      <c r="G19062">
        <v>546.98</v>
      </c>
      <c r="H19062">
        <v>250601</v>
      </c>
      <c r="I19062">
        <v>4440</v>
      </c>
      <c r="J19062" t="s">
        <v>346</v>
      </c>
      <c r="K19062">
        <v>546.98</v>
      </c>
      <c r="L19062">
        <v>111.14</v>
      </c>
      <c r="M19062">
        <v>17530</v>
      </c>
      <c r="N19062" t="s">
        <v>144</v>
      </c>
      <c r="O19062">
        <v>250625</v>
      </c>
      <c r="P19062">
        <v>435.84</v>
      </c>
    </row>
    <row r="19063" spans="1:16" x14ac:dyDescent="0.25">
      <c r="A19063" t="s">
        <v>3296</v>
      </c>
      <c r="B19063" t="s">
        <v>2931</v>
      </c>
      <c r="C19063">
        <v>16598</v>
      </c>
      <c r="D19063" t="str">
        <f>"25000059    "</f>
        <v xml:space="preserve">25000059    </v>
      </c>
      <c r="E19063" t="s">
        <v>2686</v>
      </c>
      <c r="F19063" t="s">
        <v>2687</v>
      </c>
      <c r="G19063">
        <v>4</v>
      </c>
      <c r="H19063">
        <v>251130</v>
      </c>
      <c r="I19063">
        <v>4347</v>
      </c>
      <c r="J19063" t="s">
        <v>328</v>
      </c>
      <c r="K19063">
        <v>109</v>
      </c>
      <c r="L19063">
        <v>0.81</v>
      </c>
      <c r="M19063">
        <v>11981</v>
      </c>
      <c r="N19063" t="s">
        <v>2404</v>
      </c>
      <c r="O19063">
        <v>251210</v>
      </c>
      <c r="P19063">
        <v>3.19</v>
      </c>
    </row>
    <row r="19064" spans="1:16" x14ac:dyDescent="0.25">
      <c r="A19064" t="s">
        <v>3296</v>
      </c>
      <c r="B19064" t="s">
        <v>2931</v>
      </c>
      <c r="C19064">
        <v>16598</v>
      </c>
      <c r="D19064" t="str">
        <f>"25000059    "</f>
        <v xml:space="preserve">25000059    </v>
      </c>
      <c r="E19064" t="s">
        <v>2686</v>
      </c>
      <c r="F19064" t="s">
        <v>2687</v>
      </c>
      <c r="G19064">
        <v>105</v>
      </c>
      <c r="H19064">
        <v>251130</v>
      </c>
      <c r="I19064">
        <v>4410</v>
      </c>
      <c r="J19064" t="s">
        <v>165</v>
      </c>
      <c r="K19064">
        <v>109</v>
      </c>
      <c r="L19064">
        <v>12.89</v>
      </c>
      <c r="M19064">
        <v>11981</v>
      </c>
      <c r="N19064" t="s">
        <v>2404</v>
      </c>
      <c r="O19064">
        <v>251210</v>
      </c>
      <c r="P19064">
        <v>92.11</v>
      </c>
    </row>
    <row r="19065" spans="1:16" x14ac:dyDescent="0.25">
      <c r="A19065" t="s">
        <v>3296</v>
      </c>
      <c r="B19065" t="s">
        <v>2931</v>
      </c>
      <c r="C19065">
        <v>14712</v>
      </c>
      <c r="D19065" t="str">
        <f>"505356      "</f>
        <v xml:space="preserve">505356      </v>
      </c>
      <c r="E19065" t="s">
        <v>3159</v>
      </c>
      <c r="F19065" t="s">
        <v>3160</v>
      </c>
      <c r="G19065">
        <v>160.91</v>
      </c>
      <c r="H19065">
        <v>251031</v>
      </c>
      <c r="I19065">
        <v>4600</v>
      </c>
      <c r="J19065" t="s">
        <v>278</v>
      </c>
      <c r="K19065">
        <v>160.91</v>
      </c>
      <c r="L19065">
        <v>32.69</v>
      </c>
      <c r="M19065">
        <v>11903</v>
      </c>
      <c r="N19065" t="s">
        <v>32</v>
      </c>
      <c r="O19065">
        <v>251106</v>
      </c>
      <c r="P19065">
        <v>128.22</v>
      </c>
    </row>
    <row r="19066" spans="1:16" x14ac:dyDescent="0.25">
      <c r="A19066" t="s">
        <v>3296</v>
      </c>
      <c r="B19066" t="s">
        <v>2931</v>
      </c>
      <c r="C19066">
        <v>3424</v>
      </c>
      <c r="D19066" t="str">
        <f>"6855        "</f>
        <v xml:space="preserve">6855        </v>
      </c>
      <c r="E19066" t="s">
        <v>1427</v>
      </c>
      <c r="F19066" t="s">
        <v>1428</v>
      </c>
      <c r="G19066">
        <v>90.36</v>
      </c>
      <c r="H19066">
        <v>250307</v>
      </c>
      <c r="I19066">
        <v>4600</v>
      </c>
      <c r="J19066" t="s">
        <v>278</v>
      </c>
      <c r="K19066">
        <v>90.36</v>
      </c>
      <c r="L19066">
        <v>18.36</v>
      </c>
      <c r="M19066">
        <v>55222</v>
      </c>
      <c r="N19066" t="s">
        <v>43</v>
      </c>
      <c r="O19066">
        <v>250321</v>
      </c>
      <c r="P19066">
        <v>72</v>
      </c>
    </row>
    <row r="19067" spans="1:16" x14ac:dyDescent="0.25">
      <c r="A19067" t="s">
        <v>3296</v>
      </c>
      <c r="B19067" t="s">
        <v>2931</v>
      </c>
      <c r="C19067">
        <v>118</v>
      </c>
      <c r="D19067" t="str">
        <f>"5082        "</f>
        <v xml:space="preserve">5082        </v>
      </c>
      <c r="E19067" t="s">
        <v>219</v>
      </c>
      <c r="F19067" t="s">
        <v>220</v>
      </c>
      <c r="G19067">
        <v>3456.27</v>
      </c>
      <c r="H19067">
        <v>250101</v>
      </c>
      <c r="I19067">
        <v>4367</v>
      </c>
      <c r="J19067" t="s">
        <v>159</v>
      </c>
      <c r="K19067">
        <v>6912.54</v>
      </c>
      <c r="L19067">
        <v>702.27</v>
      </c>
      <c r="M19067">
        <v>11801</v>
      </c>
      <c r="N19067" t="s">
        <v>40</v>
      </c>
      <c r="O19067">
        <v>250113</v>
      </c>
      <c r="P19067">
        <v>2754</v>
      </c>
    </row>
    <row r="19068" spans="1:16" x14ac:dyDescent="0.25">
      <c r="A19068" t="s">
        <v>3296</v>
      </c>
      <c r="B19068" t="s">
        <v>2931</v>
      </c>
      <c r="C19068">
        <v>9351</v>
      </c>
      <c r="D19068" t="str">
        <f>"6748        "</f>
        <v xml:space="preserve">6748        </v>
      </c>
      <c r="E19068" t="s">
        <v>219</v>
      </c>
      <c r="F19068" t="s">
        <v>220</v>
      </c>
      <c r="G19068">
        <v>6912.54</v>
      </c>
      <c r="H19068">
        <v>250701</v>
      </c>
      <c r="I19068">
        <v>4367</v>
      </c>
      <c r="J19068" t="s">
        <v>159</v>
      </c>
      <c r="K19068">
        <v>6912.54</v>
      </c>
      <c r="L19068">
        <v>1404.54</v>
      </c>
      <c r="M19068">
        <v>11801</v>
      </c>
      <c r="N19068" t="s">
        <v>40</v>
      </c>
      <c r="O19068">
        <v>250704</v>
      </c>
      <c r="P19068">
        <v>5508</v>
      </c>
    </row>
    <row r="19069" spans="1:16" x14ac:dyDescent="0.25">
      <c r="A19069" t="s">
        <v>3296</v>
      </c>
      <c r="B19069" t="s">
        <v>2931</v>
      </c>
      <c r="C19069">
        <v>128</v>
      </c>
      <c r="D19069" t="str">
        <f>"4747        "</f>
        <v xml:space="preserve">4747        </v>
      </c>
      <c r="E19069" t="s">
        <v>219</v>
      </c>
      <c r="F19069" t="s">
        <v>220</v>
      </c>
      <c r="G19069">
        <v>62.75</v>
      </c>
      <c r="H19069">
        <v>250101</v>
      </c>
      <c r="I19069">
        <v>4441</v>
      </c>
      <c r="J19069" t="s">
        <v>234</v>
      </c>
      <c r="K19069">
        <v>62.75</v>
      </c>
      <c r="L19069">
        <v>12.75</v>
      </c>
      <c r="M19069">
        <v>11101</v>
      </c>
      <c r="N19069" t="s">
        <v>67</v>
      </c>
      <c r="O19069">
        <v>250113</v>
      </c>
      <c r="P19069">
        <v>50</v>
      </c>
    </row>
    <row r="19070" spans="1:16" x14ac:dyDescent="0.25">
      <c r="A19070" t="s">
        <v>3296</v>
      </c>
      <c r="B19070" t="s">
        <v>2931</v>
      </c>
      <c r="C19070">
        <v>793</v>
      </c>
      <c r="D19070" t="str">
        <f>"5460        "</f>
        <v xml:space="preserve">5460        </v>
      </c>
      <c r="E19070" t="s">
        <v>219</v>
      </c>
      <c r="F19070" t="s">
        <v>220</v>
      </c>
      <c r="G19070">
        <v>62.75</v>
      </c>
      <c r="H19070">
        <v>250201</v>
      </c>
      <c r="I19070">
        <v>4441</v>
      </c>
      <c r="J19070" t="s">
        <v>234</v>
      </c>
      <c r="K19070">
        <v>62.75</v>
      </c>
      <c r="L19070">
        <v>12.75</v>
      </c>
      <c r="M19070">
        <v>11101</v>
      </c>
      <c r="N19070" t="s">
        <v>67</v>
      </c>
      <c r="O19070">
        <v>250129</v>
      </c>
      <c r="P19070">
        <v>50</v>
      </c>
    </row>
    <row r="19071" spans="1:16" x14ac:dyDescent="0.25">
      <c r="A19071" t="s">
        <v>3296</v>
      </c>
      <c r="B19071" t="s">
        <v>2931</v>
      </c>
      <c r="C19071">
        <v>2839</v>
      </c>
      <c r="D19071" t="str">
        <f>"5651        "</f>
        <v xml:space="preserve">5651        </v>
      </c>
      <c r="E19071" t="s">
        <v>219</v>
      </c>
      <c r="F19071" t="s">
        <v>220</v>
      </c>
      <c r="G19071">
        <v>62.75</v>
      </c>
      <c r="H19071">
        <v>250301</v>
      </c>
      <c r="I19071">
        <v>4441</v>
      </c>
      <c r="J19071" t="s">
        <v>234</v>
      </c>
      <c r="K19071">
        <v>62.75</v>
      </c>
      <c r="L19071">
        <v>12.75</v>
      </c>
      <c r="M19071">
        <v>11101</v>
      </c>
      <c r="N19071" t="s">
        <v>67</v>
      </c>
      <c r="O19071">
        <v>250312</v>
      </c>
      <c r="P19071">
        <v>50</v>
      </c>
    </row>
    <row r="19072" spans="1:16" x14ac:dyDescent="0.25">
      <c r="A19072" t="s">
        <v>3296</v>
      </c>
      <c r="B19072" t="s">
        <v>2931</v>
      </c>
      <c r="C19072">
        <v>4502</v>
      </c>
      <c r="D19072" t="str">
        <f>"5890        "</f>
        <v xml:space="preserve">5890        </v>
      </c>
      <c r="E19072" t="s">
        <v>219</v>
      </c>
      <c r="F19072" t="s">
        <v>220</v>
      </c>
      <c r="G19072">
        <v>62.75</v>
      </c>
      <c r="H19072">
        <v>250401</v>
      </c>
      <c r="I19072">
        <v>4441</v>
      </c>
      <c r="J19072" t="s">
        <v>234</v>
      </c>
      <c r="K19072">
        <v>62.75</v>
      </c>
      <c r="L19072">
        <v>12.75</v>
      </c>
      <c r="M19072">
        <v>11101</v>
      </c>
      <c r="N19072" t="s">
        <v>67</v>
      </c>
      <c r="O19072">
        <v>250414</v>
      </c>
      <c r="P19072">
        <v>50</v>
      </c>
    </row>
    <row r="19073" spans="1:16" x14ac:dyDescent="0.25">
      <c r="A19073" t="s">
        <v>3296</v>
      </c>
      <c r="B19073" t="s">
        <v>2931</v>
      </c>
      <c r="C19073">
        <v>5969</v>
      </c>
      <c r="D19073" t="str">
        <f>"6061        "</f>
        <v xml:space="preserve">6061        </v>
      </c>
      <c r="E19073" t="s">
        <v>219</v>
      </c>
      <c r="F19073" t="s">
        <v>220</v>
      </c>
      <c r="G19073">
        <v>62.75</v>
      </c>
      <c r="H19073">
        <v>250501</v>
      </c>
      <c r="I19073">
        <v>4441</v>
      </c>
      <c r="J19073" t="s">
        <v>234</v>
      </c>
      <c r="K19073">
        <v>62.75</v>
      </c>
      <c r="L19073">
        <v>12.75</v>
      </c>
      <c r="M19073">
        <v>11101</v>
      </c>
      <c r="N19073" t="s">
        <v>67</v>
      </c>
      <c r="O19073">
        <v>250507</v>
      </c>
      <c r="P19073">
        <v>50</v>
      </c>
    </row>
    <row r="19074" spans="1:16" x14ac:dyDescent="0.25">
      <c r="A19074" t="s">
        <v>3296</v>
      </c>
      <c r="B19074" t="s">
        <v>2931</v>
      </c>
      <c r="C19074">
        <v>8060</v>
      </c>
      <c r="D19074" t="str">
        <f>"6247        "</f>
        <v xml:space="preserve">6247        </v>
      </c>
      <c r="E19074" t="s">
        <v>219</v>
      </c>
      <c r="F19074" t="s">
        <v>220</v>
      </c>
      <c r="G19074">
        <v>62.75</v>
      </c>
      <c r="H19074">
        <v>250601</v>
      </c>
      <c r="I19074">
        <v>4441</v>
      </c>
      <c r="J19074" t="s">
        <v>234</v>
      </c>
      <c r="K19074">
        <v>62.75</v>
      </c>
      <c r="L19074">
        <v>12.75</v>
      </c>
      <c r="M19074">
        <v>11101</v>
      </c>
      <c r="N19074" t="s">
        <v>67</v>
      </c>
      <c r="O19074">
        <v>250611</v>
      </c>
      <c r="P19074">
        <v>50</v>
      </c>
    </row>
    <row r="19075" spans="1:16" x14ac:dyDescent="0.25">
      <c r="A19075" t="s">
        <v>3296</v>
      </c>
      <c r="B19075" t="s">
        <v>2931</v>
      </c>
      <c r="C19075">
        <v>9320</v>
      </c>
      <c r="D19075" t="str">
        <f>"6959        "</f>
        <v xml:space="preserve">6959        </v>
      </c>
      <c r="E19075" t="s">
        <v>219</v>
      </c>
      <c r="F19075" t="s">
        <v>220</v>
      </c>
      <c r="G19075">
        <v>62.75</v>
      </c>
      <c r="H19075">
        <v>250701</v>
      </c>
      <c r="I19075">
        <v>4441</v>
      </c>
      <c r="J19075" t="s">
        <v>234</v>
      </c>
      <c r="K19075">
        <v>62.75</v>
      </c>
      <c r="L19075">
        <v>12.75</v>
      </c>
      <c r="M19075">
        <v>11101</v>
      </c>
      <c r="N19075" t="s">
        <v>67</v>
      </c>
      <c r="O19075">
        <v>250703</v>
      </c>
      <c r="P19075">
        <v>50</v>
      </c>
    </row>
    <row r="19076" spans="1:16" x14ac:dyDescent="0.25">
      <c r="A19076" t="s">
        <v>3296</v>
      </c>
      <c r="B19076" t="s">
        <v>2931</v>
      </c>
      <c r="C19076">
        <v>9918</v>
      </c>
      <c r="D19076" t="str">
        <f>"7129        "</f>
        <v xml:space="preserve">7129        </v>
      </c>
      <c r="E19076" t="s">
        <v>219</v>
      </c>
      <c r="F19076" t="s">
        <v>220</v>
      </c>
      <c r="G19076">
        <v>62.75</v>
      </c>
      <c r="H19076">
        <v>250801</v>
      </c>
      <c r="I19076">
        <v>4441</v>
      </c>
      <c r="J19076" t="s">
        <v>234</v>
      </c>
      <c r="K19076">
        <v>62.75</v>
      </c>
      <c r="L19076">
        <v>12.75</v>
      </c>
      <c r="M19076">
        <v>11101</v>
      </c>
      <c r="N19076" t="s">
        <v>67</v>
      </c>
      <c r="O19076">
        <v>250804</v>
      </c>
      <c r="P19076">
        <v>50</v>
      </c>
    </row>
    <row r="19077" spans="1:16" x14ac:dyDescent="0.25">
      <c r="A19077" t="s">
        <v>3296</v>
      </c>
      <c r="B19077" t="s">
        <v>2931</v>
      </c>
      <c r="C19077">
        <v>11388</v>
      </c>
      <c r="D19077" t="str">
        <f>"7355        "</f>
        <v xml:space="preserve">7355        </v>
      </c>
      <c r="E19077" t="s">
        <v>219</v>
      </c>
      <c r="F19077" t="s">
        <v>220</v>
      </c>
      <c r="G19077">
        <v>62.75</v>
      </c>
      <c r="H19077">
        <v>250901</v>
      </c>
      <c r="I19077">
        <v>4441</v>
      </c>
      <c r="J19077" t="s">
        <v>234</v>
      </c>
      <c r="K19077">
        <v>62.75</v>
      </c>
      <c r="L19077">
        <v>12.75</v>
      </c>
      <c r="M19077">
        <v>11101</v>
      </c>
      <c r="N19077" t="s">
        <v>67</v>
      </c>
      <c r="O19077">
        <v>250904</v>
      </c>
      <c r="P19077">
        <v>50</v>
      </c>
    </row>
    <row r="19078" spans="1:16" x14ac:dyDescent="0.25">
      <c r="A19078" t="s">
        <v>3296</v>
      </c>
      <c r="B19078" t="s">
        <v>2931</v>
      </c>
      <c r="C19078">
        <v>13213</v>
      </c>
      <c r="D19078" t="str">
        <f>"7575        "</f>
        <v xml:space="preserve">7575        </v>
      </c>
      <c r="E19078" t="s">
        <v>219</v>
      </c>
      <c r="F19078" t="s">
        <v>220</v>
      </c>
      <c r="G19078">
        <v>62.75</v>
      </c>
      <c r="H19078">
        <v>251001</v>
      </c>
      <c r="I19078">
        <v>4441</v>
      </c>
      <c r="J19078" t="s">
        <v>234</v>
      </c>
      <c r="K19078">
        <v>62.75</v>
      </c>
      <c r="L19078">
        <v>12.75</v>
      </c>
      <c r="M19078">
        <v>11101</v>
      </c>
      <c r="N19078" t="s">
        <v>67</v>
      </c>
      <c r="O19078">
        <v>251006</v>
      </c>
      <c r="P19078">
        <v>50</v>
      </c>
    </row>
    <row r="19079" spans="1:16" x14ac:dyDescent="0.25">
      <c r="A19079" t="s">
        <v>3296</v>
      </c>
      <c r="B19079" t="s">
        <v>2931</v>
      </c>
      <c r="C19079">
        <v>14667</v>
      </c>
      <c r="D19079" t="str">
        <f>"7864        "</f>
        <v xml:space="preserve">7864        </v>
      </c>
      <c r="E19079" t="s">
        <v>219</v>
      </c>
      <c r="F19079" t="s">
        <v>220</v>
      </c>
      <c r="G19079">
        <v>62.75</v>
      </c>
      <c r="H19079">
        <v>251101</v>
      </c>
      <c r="I19079">
        <v>4441</v>
      </c>
      <c r="J19079" t="s">
        <v>234</v>
      </c>
      <c r="K19079">
        <v>62.75</v>
      </c>
      <c r="L19079">
        <v>12.75</v>
      </c>
      <c r="M19079">
        <v>11101</v>
      </c>
      <c r="N19079" t="s">
        <v>67</v>
      </c>
      <c r="O19079">
        <v>251105</v>
      </c>
      <c r="P19079">
        <v>50</v>
      </c>
    </row>
    <row r="19080" spans="1:16" x14ac:dyDescent="0.25">
      <c r="A19080" t="s">
        <v>3296</v>
      </c>
      <c r="B19080" t="s">
        <v>2931</v>
      </c>
      <c r="C19080">
        <v>16083</v>
      </c>
      <c r="D19080" t="str">
        <f>"8091        "</f>
        <v xml:space="preserve">8091        </v>
      </c>
      <c r="E19080" t="s">
        <v>219</v>
      </c>
      <c r="F19080" t="s">
        <v>220</v>
      </c>
      <c r="G19080">
        <v>62.75</v>
      </c>
      <c r="H19080">
        <v>251201</v>
      </c>
      <c r="I19080">
        <v>4441</v>
      </c>
      <c r="J19080" t="s">
        <v>234</v>
      </c>
      <c r="K19080">
        <v>62.75</v>
      </c>
      <c r="L19080">
        <v>12.75</v>
      </c>
      <c r="M19080">
        <v>11101</v>
      </c>
      <c r="N19080" t="s">
        <v>67</v>
      </c>
      <c r="O19080">
        <v>251203</v>
      </c>
      <c r="P19080">
        <v>50</v>
      </c>
    </row>
    <row r="19081" spans="1:16" x14ac:dyDescent="0.25">
      <c r="A19081" t="s">
        <v>3296</v>
      </c>
      <c r="B19081" t="s">
        <v>2931</v>
      </c>
      <c r="C19081">
        <v>2646</v>
      </c>
      <c r="D19081" t="str">
        <f>"3413        "</f>
        <v xml:space="preserve">3413        </v>
      </c>
      <c r="E19081" t="s">
        <v>1328</v>
      </c>
      <c r="F19081" t="s">
        <v>1329</v>
      </c>
      <c r="G19081">
        <v>235.95</v>
      </c>
      <c r="H19081">
        <v>250225</v>
      </c>
      <c r="I19081">
        <v>4390</v>
      </c>
      <c r="J19081" t="s">
        <v>232</v>
      </c>
      <c r="K19081">
        <v>235.95</v>
      </c>
      <c r="L19081">
        <v>47.94</v>
      </c>
      <c r="M19081">
        <v>14951</v>
      </c>
      <c r="N19081" t="s">
        <v>186</v>
      </c>
      <c r="O19081">
        <v>250310</v>
      </c>
      <c r="P19081">
        <v>188.01</v>
      </c>
    </row>
    <row r="19082" spans="1:16" x14ac:dyDescent="0.25">
      <c r="A19082" t="s">
        <v>3296</v>
      </c>
      <c r="B19082" t="s">
        <v>2931</v>
      </c>
      <c r="C19082">
        <v>10450</v>
      </c>
      <c r="D19082" t="str">
        <f>"3532        "</f>
        <v xml:space="preserve">3532        </v>
      </c>
      <c r="E19082" t="s">
        <v>1328</v>
      </c>
      <c r="F19082" t="s">
        <v>1329</v>
      </c>
      <c r="G19082">
        <v>345.45</v>
      </c>
      <c r="H19082">
        <v>250812</v>
      </c>
      <c r="I19082">
        <v>4390</v>
      </c>
      <c r="J19082" t="s">
        <v>232</v>
      </c>
      <c r="K19082">
        <v>345.45</v>
      </c>
      <c r="L19082">
        <v>70.19</v>
      </c>
      <c r="M19082">
        <v>14951</v>
      </c>
      <c r="N19082" t="s">
        <v>186</v>
      </c>
      <c r="O19082">
        <v>250819</v>
      </c>
      <c r="P19082">
        <v>275.26</v>
      </c>
    </row>
    <row r="19083" spans="1:16" x14ac:dyDescent="0.25">
      <c r="A19083" t="s">
        <v>3296</v>
      </c>
      <c r="B19083" t="s">
        <v>2931</v>
      </c>
      <c r="C19083">
        <v>10793</v>
      </c>
      <c r="D19083" t="str">
        <f>"3541        "</f>
        <v xml:space="preserve">3541        </v>
      </c>
      <c r="E19083" t="s">
        <v>1328</v>
      </c>
      <c r="F19083" t="s">
        <v>1329</v>
      </c>
      <c r="G19083">
        <v>124.24</v>
      </c>
      <c r="H19083">
        <v>250820</v>
      </c>
      <c r="I19083">
        <v>4400</v>
      </c>
      <c r="J19083" t="s">
        <v>162</v>
      </c>
      <c r="K19083">
        <v>124.24</v>
      </c>
      <c r="L19083">
        <v>25.24</v>
      </c>
      <c r="M19083">
        <v>14951</v>
      </c>
      <c r="N19083" t="s">
        <v>186</v>
      </c>
      <c r="O19083">
        <v>250822</v>
      </c>
      <c r="P19083">
        <v>99</v>
      </c>
    </row>
    <row r="19084" spans="1:16" x14ac:dyDescent="0.25">
      <c r="A19084" t="s">
        <v>3296</v>
      </c>
      <c r="B19084" t="s">
        <v>2931</v>
      </c>
      <c r="C19084">
        <v>9184</v>
      </c>
      <c r="D19084" t="str">
        <f>"126695      "</f>
        <v xml:space="preserve">126695      </v>
      </c>
      <c r="E19084" t="s">
        <v>2105</v>
      </c>
      <c r="F19084" t="s">
        <v>2106</v>
      </c>
      <c r="G19084">
        <v>1036.3900000000001</v>
      </c>
      <c r="H19084">
        <v>250623</v>
      </c>
      <c r="I19084">
        <v>4390</v>
      </c>
      <c r="J19084" t="s">
        <v>232</v>
      </c>
      <c r="K19084">
        <v>1036.3900000000001</v>
      </c>
      <c r="L19084">
        <v>210.58</v>
      </c>
      <c r="M19084">
        <v>17951</v>
      </c>
      <c r="N19084" t="s">
        <v>207</v>
      </c>
      <c r="O19084">
        <v>250627</v>
      </c>
      <c r="P19084">
        <v>825.81</v>
      </c>
    </row>
    <row r="19085" spans="1:16" x14ac:dyDescent="0.25">
      <c r="A19085" t="s">
        <v>3296</v>
      </c>
      <c r="B19085" t="s">
        <v>2931</v>
      </c>
      <c r="C19085">
        <v>9722</v>
      </c>
      <c r="D19085" t="str">
        <f>"127677      "</f>
        <v xml:space="preserve">127677      </v>
      </c>
      <c r="E19085" t="s">
        <v>2105</v>
      </c>
      <c r="F19085" t="s">
        <v>2106</v>
      </c>
      <c r="G19085">
        <v>518.19000000000005</v>
      </c>
      <c r="H19085">
        <v>250708</v>
      </c>
      <c r="I19085">
        <v>4390</v>
      </c>
      <c r="J19085" t="s">
        <v>232</v>
      </c>
      <c r="K19085">
        <v>518.19000000000005</v>
      </c>
      <c r="L19085">
        <v>105.29</v>
      </c>
      <c r="M19085">
        <v>17952</v>
      </c>
      <c r="N19085" t="s">
        <v>157</v>
      </c>
      <c r="O19085">
        <v>250725</v>
      </c>
      <c r="P19085">
        <v>412.9</v>
      </c>
    </row>
    <row r="19086" spans="1:16" x14ac:dyDescent="0.25">
      <c r="A19086" t="s">
        <v>3296</v>
      </c>
      <c r="B19086" t="s">
        <v>2931</v>
      </c>
      <c r="C19086">
        <v>11434</v>
      </c>
      <c r="D19086" t="str">
        <f>"8611830     "</f>
        <v xml:space="preserve">8611830     </v>
      </c>
      <c r="E19086" t="s">
        <v>2274</v>
      </c>
      <c r="F19086" t="s">
        <v>2275</v>
      </c>
      <c r="G19086">
        <v>41.6</v>
      </c>
      <c r="H19086">
        <v>250831</v>
      </c>
      <c r="I19086">
        <v>4510</v>
      </c>
      <c r="J19086" t="s">
        <v>240</v>
      </c>
      <c r="K19086">
        <v>99.9</v>
      </c>
      <c r="L19086">
        <v>3.78</v>
      </c>
      <c r="M19086">
        <v>66756</v>
      </c>
      <c r="N19086" t="s">
        <v>120</v>
      </c>
      <c r="O19086">
        <v>250905</v>
      </c>
      <c r="P19086">
        <v>37.82</v>
      </c>
    </row>
    <row r="19087" spans="1:16" x14ac:dyDescent="0.25">
      <c r="A19087" t="s">
        <v>3296</v>
      </c>
      <c r="B19087" t="s">
        <v>2931</v>
      </c>
      <c r="C19087">
        <v>16564</v>
      </c>
      <c r="D19087" t="str">
        <f>"6549        "</f>
        <v xml:space="preserve">6549        </v>
      </c>
      <c r="E19087" t="s">
        <v>865</v>
      </c>
      <c r="F19087" t="s">
        <v>866</v>
      </c>
      <c r="G19087">
        <v>367.72</v>
      </c>
      <c r="H19087">
        <v>251203</v>
      </c>
      <c r="I19087">
        <v>4580</v>
      </c>
      <c r="J19087" t="s">
        <v>126</v>
      </c>
      <c r="K19087">
        <v>367.72</v>
      </c>
      <c r="L19087">
        <v>74.72</v>
      </c>
      <c r="M19087">
        <v>17805</v>
      </c>
      <c r="N19087" t="s">
        <v>21</v>
      </c>
      <c r="O19087">
        <v>251210</v>
      </c>
      <c r="P19087">
        <v>293</v>
      </c>
    </row>
    <row r="19088" spans="1:16" x14ac:dyDescent="0.25">
      <c r="A19088" t="s">
        <v>3296</v>
      </c>
      <c r="B19088" t="s">
        <v>2931</v>
      </c>
      <c r="C19088">
        <v>1155</v>
      </c>
      <c r="D19088" t="str">
        <f>"5370        "</f>
        <v xml:space="preserve">5370        </v>
      </c>
      <c r="E19088" t="s">
        <v>865</v>
      </c>
      <c r="F19088" t="s">
        <v>866</v>
      </c>
      <c r="G19088">
        <v>665.07</v>
      </c>
      <c r="H19088">
        <v>250203</v>
      </c>
      <c r="I19088">
        <v>4600</v>
      </c>
      <c r="J19088" t="s">
        <v>278</v>
      </c>
      <c r="K19088">
        <v>665.07</v>
      </c>
      <c r="L19088">
        <v>135.13</v>
      </c>
      <c r="M19088">
        <v>17807</v>
      </c>
      <c r="N19088" t="s">
        <v>23</v>
      </c>
      <c r="O19088">
        <v>250205</v>
      </c>
      <c r="P19088">
        <v>529.94000000000005</v>
      </c>
    </row>
    <row r="19089" spans="1:16" x14ac:dyDescent="0.25">
      <c r="A19089" t="s">
        <v>3296</v>
      </c>
      <c r="B19089" t="s">
        <v>2931</v>
      </c>
      <c r="C19089">
        <v>1438</v>
      </c>
      <c r="D19089" t="str">
        <f>"5379        "</f>
        <v xml:space="preserve">5379        </v>
      </c>
      <c r="E19089" t="s">
        <v>865</v>
      </c>
      <c r="F19089" t="s">
        <v>866</v>
      </c>
      <c r="G19089">
        <v>217.12</v>
      </c>
      <c r="H19089">
        <v>250205</v>
      </c>
      <c r="I19089">
        <v>4600</v>
      </c>
      <c r="J19089" t="s">
        <v>278</v>
      </c>
      <c r="K19089">
        <v>217.12</v>
      </c>
      <c r="L19089">
        <v>44.12</v>
      </c>
      <c r="M19089">
        <v>17807</v>
      </c>
      <c r="N19089" t="s">
        <v>23</v>
      </c>
      <c r="O19089">
        <v>250210</v>
      </c>
      <c r="P19089">
        <v>173</v>
      </c>
    </row>
    <row r="19090" spans="1:16" x14ac:dyDescent="0.25">
      <c r="A19090" t="s">
        <v>3296</v>
      </c>
      <c r="B19090" t="s">
        <v>2931</v>
      </c>
      <c r="C19090">
        <v>4311</v>
      </c>
      <c r="D19090" t="str">
        <f>"5580        "</f>
        <v xml:space="preserve">5580        </v>
      </c>
      <c r="E19090" t="s">
        <v>865</v>
      </c>
      <c r="F19090" t="s">
        <v>866</v>
      </c>
      <c r="G19090">
        <v>884.65</v>
      </c>
      <c r="H19090">
        <v>250328</v>
      </c>
      <c r="I19090">
        <v>4600</v>
      </c>
      <c r="J19090" t="s">
        <v>278</v>
      </c>
      <c r="K19090">
        <v>884.65</v>
      </c>
      <c r="L19090">
        <v>179.75</v>
      </c>
      <c r="M19090">
        <v>17807</v>
      </c>
      <c r="N19090" t="s">
        <v>23</v>
      </c>
      <c r="O19090">
        <v>250410</v>
      </c>
      <c r="P19090">
        <v>704.9</v>
      </c>
    </row>
    <row r="19091" spans="1:16" x14ac:dyDescent="0.25">
      <c r="A19091" t="s">
        <v>3296</v>
      </c>
      <c r="B19091" t="s">
        <v>2931</v>
      </c>
      <c r="C19091">
        <v>4913</v>
      </c>
      <c r="D19091" t="str">
        <f>"5624        "</f>
        <v xml:space="preserve">5624        </v>
      </c>
      <c r="E19091" t="s">
        <v>865</v>
      </c>
      <c r="F19091" t="s">
        <v>866</v>
      </c>
      <c r="G19091">
        <v>725.16</v>
      </c>
      <c r="H19091">
        <v>250408</v>
      </c>
      <c r="I19091">
        <v>4600</v>
      </c>
      <c r="J19091" t="s">
        <v>278</v>
      </c>
      <c r="K19091">
        <v>725.16</v>
      </c>
      <c r="L19091">
        <v>147.34</v>
      </c>
      <c r="M19091">
        <v>17807</v>
      </c>
      <c r="N19091" t="s">
        <v>23</v>
      </c>
      <c r="O19091">
        <v>250416</v>
      </c>
      <c r="P19091">
        <v>577.82000000000005</v>
      </c>
    </row>
    <row r="19092" spans="1:16" x14ac:dyDescent="0.25">
      <c r="A19092" t="s">
        <v>3296</v>
      </c>
      <c r="B19092" t="s">
        <v>2931</v>
      </c>
      <c r="C19092">
        <v>11337</v>
      </c>
      <c r="D19092" t="str">
        <f>"6070        "</f>
        <v xml:space="preserve">6070        </v>
      </c>
      <c r="E19092" t="s">
        <v>865</v>
      </c>
      <c r="F19092" t="s">
        <v>866</v>
      </c>
      <c r="G19092">
        <v>140.75</v>
      </c>
      <c r="H19092">
        <v>250819</v>
      </c>
      <c r="I19092">
        <v>4600</v>
      </c>
      <c r="J19092" t="s">
        <v>278</v>
      </c>
      <c r="K19092">
        <v>292.74</v>
      </c>
      <c r="L19092">
        <v>28.6</v>
      </c>
      <c r="M19092">
        <v>17807</v>
      </c>
      <c r="N19092" t="s">
        <v>23</v>
      </c>
      <c r="O19092">
        <v>250903</v>
      </c>
      <c r="P19092">
        <v>112.15</v>
      </c>
    </row>
    <row r="19093" spans="1:16" x14ac:dyDescent="0.25">
      <c r="A19093" t="s">
        <v>3296</v>
      </c>
      <c r="B19093" t="s">
        <v>2931</v>
      </c>
      <c r="C19093">
        <v>11723</v>
      </c>
      <c r="D19093" t="str">
        <f>"6166        "</f>
        <v xml:space="preserve">6166        </v>
      </c>
      <c r="E19093" t="s">
        <v>865</v>
      </c>
      <c r="F19093" t="s">
        <v>866</v>
      </c>
      <c r="G19093">
        <v>971.08</v>
      </c>
      <c r="H19093">
        <v>250909</v>
      </c>
      <c r="I19093">
        <v>4600</v>
      </c>
      <c r="J19093" t="s">
        <v>278</v>
      </c>
      <c r="K19093">
        <v>971.08</v>
      </c>
      <c r="L19093">
        <v>197.31</v>
      </c>
      <c r="M19093">
        <v>17807</v>
      </c>
      <c r="N19093" t="s">
        <v>23</v>
      </c>
      <c r="O19093">
        <v>250910</v>
      </c>
      <c r="P19093">
        <v>773.77</v>
      </c>
    </row>
    <row r="19094" spans="1:16" x14ac:dyDescent="0.25">
      <c r="A19094" t="s">
        <v>3296</v>
      </c>
      <c r="B19094" t="s">
        <v>2931</v>
      </c>
      <c r="C19094">
        <v>13115</v>
      </c>
      <c r="D19094" t="str">
        <f>"6233        "</f>
        <v xml:space="preserve">6233        </v>
      </c>
      <c r="E19094" t="s">
        <v>865</v>
      </c>
      <c r="F19094" t="s">
        <v>866</v>
      </c>
      <c r="G19094">
        <v>750.53</v>
      </c>
      <c r="H19094">
        <v>250929</v>
      </c>
      <c r="I19094">
        <v>4600</v>
      </c>
      <c r="J19094" t="s">
        <v>278</v>
      </c>
      <c r="K19094">
        <v>750.53</v>
      </c>
      <c r="L19094">
        <v>152.5</v>
      </c>
      <c r="M19094">
        <v>17807</v>
      </c>
      <c r="N19094" t="s">
        <v>23</v>
      </c>
      <c r="O19094">
        <v>251006</v>
      </c>
      <c r="P19094">
        <v>598.03</v>
      </c>
    </row>
    <row r="19095" spans="1:16" x14ac:dyDescent="0.25">
      <c r="A19095" t="s">
        <v>3296</v>
      </c>
      <c r="B19095" t="s">
        <v>2931</v>
      </c>
      <c r="C19095">
        <v>13392</v>
      </c>
      <c r="D19095" t="str">
        <f>"6290        "</f>
        <v xml:space="preserve">6290        </v>
      </c>
      <c r="E19095" t="s">
        <v>865</v>
      </c>
      <c r="F19095" t="s">
        <v>866</v>
      </c>
      <c r="G19095">
        <v>392.82</v>
      </c>
      <c r="H19095">
        <v>250930</v>
      </c>
      <c r="I19095">
        <v>4600</v>
      </c>
      <c r="J19095" t="s">
        <v>278</v>
      </c>
      <c r="K19095">
        <v>392.82</v>
      </c>
      <c r="L19095">
        <v>79.819999999999993</v>
      </c>
      <c r="M19095">
        <v>17807</v>
      </c>
      <c r="N19095" t="s">
        <v>23</v>
      </c>
      <c r="O19095">
        <v>251008</v>
      </c>
      <c r="P19095">
        <v>313</v>
      </c>
    </row>
    <row r="19096" spans="1:16" x14ac:dyDescent="0.25">
      <c r="A19096" t="s">
        <v>3296</v>
      </c>
      <c r="B19096" t="s">
        <v>2931</v>
      </c>
      <c r="C19096">
        <v>15411</v>
      </c>
      <c r="D19096" t="str">
        <f>"6469        "</f>
        <v xml:space="preserve">6469        </v>
      </c>
      <c r="E19096" t="s">
        <v>865</v>
      </c>
      <c r="F19096" t="s">
        <v>866</v>
      </c>
      <c r="G19096">
        <v>483.07</v>
      </c>
      <c r="H19096">
        <v>251113</v>
      </c>
      <c r="I19096">
        <v>4600</v>
      </c>
      <c r="J19096" t="s">
        <v>278</v>
      </c>
      <c r="K19096">
        <v>483.07</v>
      </c>
      <c r="L19096">
        <v>98.15</v>
      </c>
      <c r="M19096">
        <v>17807</v>
      </c>
      <c r="N19096" t="s">
        <v>23</v>
      </c>
      <c r="O19096">
        <v>251120</v>
      </c>
      <c r="P19096">
        <v>384.92</v>
      </c>
    </row>
    <row r="19097" spans="1:16" x14ac:dyDescent="0.25">
      <c r="A19097" t="s">
        <v>3296</v>
      </c>
      <c r="B19097" t="s">
        <v>2931</v>
      </c>
      <c r="C19097">
        <v>11337</v>
      </c>
      <c r="D19097" t="str">
        <f>"6070        "</f>
        <v xml:space="preserve">6070        </v>
      </c>
      <c r="E19097" t="s">
        <v>865</v>
      </c>
      <c r="F19097" t="s">
        <v>866</v>
      </c>
      <c r="G19097">
        <v>151.99</v>
      </c>
      <c r="H19097">
        <v>250819</v>
      </c>
      <c r="I19097">
        <v>4940</v>
      </c>
      <c r="J19097" t="s">
        <v>250</v>
      </c>
      <c r="K19097">
        <v>292.74</v>
      </c>
      <c r="L19097">
        <v>30.88</v>
      </c>
      <c r="M19097">
        <v>17951</v>
      </c>
      <c r="N19097" t="s">
        <v>207</v>
      </c>
      <c r="O19097">
        <v>250903</v>
      </c>
      <c r="P19097">
        <v>121.11</v>
      </c>
    </row>
    <row r="19098" spans="1:16" x14ac:dyDescent="0.25">
      <c r="A19098" t="s">
        <v>3296</v>
      </c>
      <c r="B19098" t="s">
        <v>2931</v>
      </c>
      <c r="C19098">
        <v>15969</v>
      </c>
      <c r="D19098" t="str">
        <f>"6514        "</f>
        <v xml:space="preserve">6514        </v>
      </c>
      <c r="E19098" t="s">
        <v>865</v>
      </c>
      <c r="F19098" t="s">
        <v>866</v>
      </c>
      <c r="G19098">
        <v>156.31</v>
      </c>
      <c r="H19098">
        <v>251128</v>
      </c>
      <c r="I19098">
        <v>4940</v>
      </c>
      <c r="J19098" t="s">
        <v>250</v>
      </c>
      <c r="K19098">
        <v>156.31</v>
      </c>
      <c r="L19098">
        <v>31.76</v>
      </c>
      <c r="M19098">
        <v>17951</v>
      </c>
      <c r="N19098" t="s">
        <v>207</v>
      </c>
      <c r="O19098">
        <v>251201</v>
      </c>
      <c r="P19098">
        <v>124.55</v>
      </c>
    </row>
    <row r="19099" spans="1:16" x14ac:dyDescent="0.25">
      <c r="A19099" t="s">
        <v>3296</v>
      </c>
      <c r="B19099" t="s">
        <v>2931</v>
      </c>
      <c r="C19099">
        <v>380</v>
      </c>
      <c r="D19099" t="str">
        <f>"20012998    "</f>
        <v xml:space="preserve">20012998    </v>
      </c>
      <c r="E19099" t="s">
        <v>425</v>
      </c>
      <c r="F19099" t="s">
        <v>427</v>
      </c>
      <c r="G19099">
        <v>18750</v>
      </c>
      <c r="H19099">
        <v>250117</v>
      </c>
      <c r="I19099">
        <v>4350</v>
      </c>
      <c r="J19099" t="s">
        <v>290</v>
      </c>
      <c r="K19099">
        <v>18750</v>
      </c>
      <c r="L19099">
        <v>3809.76</v>
      </c>
      <c r="M19099">
        <v>11301</v>
      </c>
      <c r="N19099" t="s">
        <v>92</v>
      </c>
      <c r="O19099">
        <v>250122</v>
      </c>
      <c r="P19099">
        <v>14940.24</v>
      </c>
    </row>
    <row r="19100" spans="1:16" x14ac:dyDescent="0.25">
      <c r="A19100" t="s">
        <v>3296</v>
      </c>
      <c r="B19100" t="s">
        <v>2931</v>
      </c>
      <c r="C19100">
        <v>3526</v>
      </c>
      <c r="D19100" t="str">
        <f>"20013651    "</f>
        <v xml:space="preserve">20013651    </v>
      </c>
      <c r="E19100" t="s">
        <v>425</v>
      </c>
      <c r="F19100" t="s">
        <v>427</v>
      </c>
      <c r="G19100">
        <v>5020</v>
      </c>
      <c r="H19100">
        <v>250311</v>
      </c>
      <c r="I19100">
        <v>4350</v>
      </c>
      <c r="J19100" t="s">
        <v>290</v>
      </c>
      <c r="K19100">
        <v>5020</v>
      </c>
      <c r="L19100">
        <v>1020</v>
      </c>
      <c r="M19100">
        <v>11301</v>
      </c>
      <c r="N19100" t="s">
        <v>92</v>
      </c>
      <c r="O19100">
        <v>250325</v>
      </c>
      <c r="P19100">
        <v>4000</v>
      </c>
    </row>
    <row r="19101" spans="1:16" x14ac:dyDescent="0.25">
      <c r="A19101" t="s">
        <v>3296</v>
      </c>
      <c r="B19101" t="s">
        <v>2931</v>
      </c>
      <c r="C19101">
        <v>331</v>
      </c>
      <c r="D19101" t="str">
        <f>"20012942    "</f>
        <v xml:space="preserve">20012942    </v>
      </c>
      <c r="E19101" t="s">
        <v>425</v>
      </c>
      <c r="F19101" t="s">
        <v>427</v>
      </c>
      <c r="G19101">
        <v>562</v>
      </c>
      <c r="H19101">
        <v>250115</v>
      </c>
      <c r="I19101">
        <v>4440</v>
      </c>
      <c r="J19101" t="s">
        <v>346</v>
      </c>
      <c r="K19101">
        <v>718</v>
      </c>
      <c r="L19101">
        <v>69.02</v>
      </c>
      <c r="M19101">
        <v>11941</v>
      </c>
      <c r="N19101" t="s">
        <v>426</v>
      </c>
      <c r="O19101">
        <v>250121</v>
      </c>
      <c r="P19101">
        <v>492.98</v>
      </c>
    </row>
    <row r="19102" spans="1:16" x14ac:dyDescent="0.25">
      <c r="A19102" t="s">
        <v>3296</v>
      </c>
      <c r="B19102" t="s">
        <v>2931</v>
      </c>
      <c r="C19102">
        <v>331</v>
      </c>
      <c r="D19102" t="str">
        <f>"20012942    "</f>
        <v xml:space="preserve">20012942    </v>
      </c>
      <c r="E19102" t="s">
        <v>425</v>
      </c>
      <c r="F19102" t="s">
        <v>427</v>
      </c>
      <c r="G19102">
        <v>156</v>
      </c>
      <c r="H19102">
        <v>250115</v>
      </c>
      <c r="I19102">
        <v>4440</v>
      </c>
      <c r="J19102" t="s">
        <v>346</v>
      </c>
      <c r="K19102">
        <v>718</v>
      </c>
      <c r="L19102">
        <v>19.16</v>
      </c>
      <c r="M19102">
        <v>11951</v>
      </c>
      <c r="N19102" t="s">
        <v>428</v>
      </c>
      <c r="O19102">
        <v>250121</v>
      </c>
      <c r="P19102">
        <v>136.84</v>
      </c>
    </row>
    <row r="19103" spans="1:16" x14ac:dyDescent="0.25">
      <c r="A19103" t="s">
        <v>3296</v>
      </c>
      <c r="B19103" t="s">
        <v>2931</v>
      </c>
      <c r="C19103">
        <v>16552</v>
      </c>
      <c r="D19103" t="str">
        <f>"3375        "</f>
        <v xml:space="preserve">3375        </v>
      </c>
      <c r="E19103" t="s">
        <v>2532</v>
      </c>
      <c r="F19103" t="s">
        <v>2533</v>
      </c>
      <c r="G19103">
        <v>19.18</v>
      </c>
      <c r="H19103">
        <v>251130</v>
      </c>
      <c r="I19103">
        <v>4510</v>
      </c>
      <c r="J19103" t="s">
        <v>240</v>
      </c>
      <c r="K19103">
        <v>19.18</v>
      </c>
      <c r="L19103">
        <v>3.9</v>
      </c>
      <c r="M19103">
        <v>17524</v>
      </c>
      <c r="N19103" t="s">
        <v>139</v>
      </c>
      <c r="O19103">
        <v>251210</v>
      </c>
      <c r="P19103">
        <v>15.28</v>
      </c>
    </row>
    <row r="19104" spans="1:16" x14ac:dyDescent="0.25">
      <c r="A19104" t="s">
        <v>3296</v>
      </c>
      <c r="B19104" t="s">
        <v>2931</v>
      </c>
      <c r="C19104">
        <v>14835</v>
      </c>
      <c r="D19104" t="str">
        <f>"3156        "</f>
        <v xml:space="preserve">3156        </v>
      </c>
      <c r="E19104" t="s">
        <v>2532</v>
      </c>
      <c r="F19104" t="s">
        <v>2533</v>
      </c>
      <c r="G19104">
        <v>38.020000000000003</v>
      </c>
      <c r="H19104">
        <v>251031</v>
      </c>
      <c r="I19104">
        <v>4600</v>
      </c>
      <c r="J19104" t="s">
        <v>278</v>
      </c>
      <c r="K19104">
        <v>38.020000000000003</v>
      </c>
      <c r="L19104">
        <v>7.73</v>
      </c>
      <c r="M19104">
        <v>17524</v>
      </c>
      <c r="N19104" t="s">
        <v>139</v>
      </c>
      <c r="O19104">
        <v>251107</v>
      </c>
      <c r="P19104">
        <v>30.29</v>
      </c>
    </row>
    <row r="19105" spans="1:16" x14ac:dyDescent="0.25">
      <c r="A19105" t="s">
        <v>3296</v>
      </c>
      <c r="B19105" t="s">
        <v>2931</v>
      </c>
      <c r="C19105">
        <v>16989</v>
      </c>
      <c r="D19105" t="str">
        <f>"3388        "</f>
        <v xml:space="preserve">3388        </v>
      </c>
      <c r="E19105" t="s">
        <v>2532</v>
      </c>
      <c r="F19105" t="s">
        <v>2533</v>
      </c>
      <c r="G19105">
        <v>76.569999999999993</v>
      </c>
      <c r="H19105">
        <v>251215</v>
      </c>
      <c r="I19105">
        <v>4600</v>
      </c>
      <c r="J19105" t="s">
        <v>278</v>
      </c>
      <c r="K19105">
        <v>76.569999999999993</v>
      </c>
      <c r="L19105">
        <v>15.56</v>
      </c>
      <c r="M19105">
        <v>17524</v>
      </c>
      <c r="N19105" t="s">
        <v>139</v>
      </c>
      <c r="O19105">
        <v>251216</v>
      </c>
      <c r="P19105">
        <v>61.01</v>
      </c>
    </row>
    <row r="19106" spans="1:16" x14ac:dyDescent="0.25">
      <c r="A19106" t="s">
        <v>3296</v>
      </c>
      <c r="B19106" t="s">
        <v>2931</v>
      </c>
      <c r="C19106">
        <v>3538</v>
      </c>
      <c r="D19106" t="str">
        <f>"5525        "</f>
        <v xml:space="preserve">5525        </v>
      </c>
      <c r="E19106" t="s">
        <v>1453</v>
      </c>
      <c r="F19106" t="s">
        <v>1454</v>
      </c>
      <c r="G19106">
        <v>121.11</v>
      </c>
      <c r="H19106">
        <v>250312</v>
      </c>
      <c r="I19106">
        <v>4534</v>
      </c>
      <c r="J19106" t="s">
        <v>349</v>
      </c>
      <c r="K19106">
        <v>121.11</v>
      </c>
      <c r="L19106">
        <v>24.61</v>
      </c>
      <c r="M19106">
        <v>53222</v>
      </c>
      <c r="N19106" t="s">
        <v>41</v>
      </c>
      <c r="O19106">
        <v>250325</v>
      </c>
      <c r="P19106">
        <v>96.5</v>
      </c>
    </row>
    <row r="19107" spans="1:16" x14ac:dyDescent="0.25">
      <c r="A19107" t="s">
        <v>3296</v>
      </c>
      <c r="B19107" t="s">
        <v>2931</v>
      </c>
      <c r="C19107">
        <v>10791</v>
      </c>
      <c r="D19107" t="str">
        <f>"6025080005  "</f>
        <v xml:space="preserve">6025080005  </v>
      </c>
      <c r="E19107" t="s">
        <v>2215</v>
      </c>
      <c r="F19107" t="s">
        <v>2216</v>
      </c>
      <c r="G19107">
        <v>226.27</v>
      </c>
      <c r="H19107">
        <v>250818</v>
      </c>
      <c r="I19107">
        <v>4390</v>
      </c>
      <c r="J19107" t="s">
        <v>232</v>
      </c>
      <c r="K19107">
        <v>1052.25</v>
      </c>
      <c r="L19107">
        <v>45.98</v>
      </c>
      <c r="M19107">
        <v>11401</v>
      </c>
      <c r="N19107" t="s">
        <v>91</v>
      </c>
      <c r="O19107">
        <v>250822</v>
      </c>
      <c r="P19107">
        <v>180.29</v>
      </c>
    </row>
    <row r="19108" spans="1:16" x14ac:dyDescent="0.25">
      <c r="A19108" t="s">
        <v>3296</v>
      </c>
      <c r="B19108" t="s">
        <v>2931</v>
      </c>
      <c r="C19108">
        <v>10791</v>
      </c>
      <c r="D19108" t="str">
        <f>"6025080005  "</f>
        <v xml:space="preserve">6025080005  </v>
      </c>
      <c r="E19108" t="s">
        <v>2215</v>
      </c>
      <c r="F19108" t="s">
        <v>2216</v>
      </c>
      <c r="G19108">
        <v>453.75</v>
      </c>
      <c r="H19108">
        <v>250818</v>
      </c>
      <c r="I19108">
        <v>4390</v>
      </c>
      <c r="J19108" t="s">
        <v>232</v>
      </c>
      <c r="K19108">
        <v>1052.25</v>
      </c>
      <c r="L19108">
        <v>92.2</v>
      </c>
      <c r="M19108">
        <v>14952</v>
      </c>
      <c r="N19108" t="s">
        <v>213</v>
      </c>
      <c r="O19108">
        <v>250822</v>
      </c>
      <c r="P19108">
        <v>361.55</v>
      </c>
    </row>
    <row r="19109" spans="1:16" x14ac:dyDescent="0.25">
      <c r="A19109" t="s">
        <v>3296</v>
      </c>
      <c r="B19109" t="s">
        <v>2931</v>
      </c>
      <c r="C19109">
        <v>11285</v>
      </c>
      <c r="D19109" t="str">
        <f>"6025080012  "</f>
        <v xml:space="preserve">6025080012  </v>
      </c>
      <c r="E19109" t="s">
        <v>2215</v>
      </c>
      <c r="F19109" t="s">
        <v>2216</v>
      </c>
      <c r="G19109">
        <v>348</v>
      </c>
      <c r="H19109">
        <v>250824</v>
      </c>
      <c r="I19109">
        <v>4390</v>
      </c>
      <c r="J19109" t="s">
        <v>232</v>
      </c>
      <c r="K19109">
        <v>1160</v>
      </c>
      <c r="L19109">
        <v>70.709999999999994</v>
      </c>
      <c r="M19109">
        <v>11401</v>
      </c>
      <c r="N19109" t="s">
        <v>91</v>
      </c>
      <c r="O19109">
        <v>250903</v>
      </c>
      <c r="P19109">
        <v>277.29000000000002</v>
      </c>
    </row>
    <row r="19110" spans="1:16" x14ac:dyDescent="0.25">
      <c r="A19110" t="s">
        <v>3296</v>
      </c>
      <c r="B19110" t="s">
        <v>2931</v>
      </c>
      <c r="C19110">
        <v>11285</v>
      </c>
      <c r="D19110" t="str">
        <f>"6025080012  "</f>
        <v xml:space="preserve">6025080012  </v>
      </c>
      <c r="E19110" t="s">
        <v>2215</v>
      </c>
      <c r="F19110" t="s">
        <v>2216</v>
      </c>
      <c r="G19110">
        <v>812</v>
      </c>
      <c r="H19110">
        <v>250824</v>
      </c>
      <c r="I19110">
        <v>4390</v>
      </c>
      <c r="J19110" t="s">
        <v>232</v>
      </c>
      <c r="K19110">
        <v>1160</v>
      </c>
      <c r="L19110">
        <v>164.99</v>
      </c>
      <c r="M19110">
        <v>14952</v>
      </c>
      <c r="N19110" t="s">
        <v>213</v>
      </c>
      <c r="O19110">
        <v>250903</v>
      </c>
      <c r="P19110">
        <v>647.01</v>
      </c>
    </row>
    <row r="19111" spans="1:16" x14ac:dyDescent="0.25">
      <c r="A19111" t="s">
        <v>3296</v>
      </c>
      <c r="B19111" t="s">
        <v>2931</v>
      </c>
      <c r="C19111">
        <v>12955</v>
      </c>
      <c r="D19111" t="str">
        <f>"6025090015  "</f>
        <v xml:space="preserve">6025090015  </v>
      </c>
      <c r="E19111" t="s">
        <v>2215</v>
      </c>
      <c r="F19111" t="s">
        <v>2216</v>
      </c>
      <c r="G19111">
        <v>476</v>
      </c>
      <c r="H19111">
        <v>250922</v>
      </c>
      <c r="I19111">
        <v>4390</v>
      </c>
      <c r="J19111" t="s">
        <v>232</v>
      </c>
      <c r="K19111">
        <v>680</v>
      </c>
      <c r="L19111">
        <v>96.72</v>
      </c>
      <c r="M19111">
        <v>11401</v>
      </c>
      <c r="N19111" t="s">
        <v>91</v>
      </c>
      <c r="O19111">
        <v>251003</v>
      </c>
      <c r="P19111">
        <v>379.28</v>
      </c>
    </row>
    <row r="19112" spans="1:16" x14ac:dyDescent="0.25">
      <c r="A19112" t="s">
        <v>3296</v>
      </c>
      <c r="B19112" t="s">
        <v>2931</v>
      </c>
      <c r="C19112">
        <v>12955</v>
      </c>
      <c r="D19112" t="str">
        <f>"6025090015  "</f>
        <v xml:space="preserve">6025090015  </v>
      </c>
      <c r="E19112" t="s">
        <v>2215</v>
      </c>
      <c r="F19112" t="s">
        <v>2216</v>
      </c>
      <c r="G19112">
        <v>204</v>
      </c>
      <c r="H19112">
        <v>250922</v>
      </c>
      <c r="I19112">
        <v>4390</v>
      </c>
      <c r="J19112" t="s">
        <v>232</v>
      </c>
      <c r="K19112">
        <v>680</v>
      </c>
      <c r="L19112">
        <v>41.45</v>
      </c>
      <c r="M19112">
        <v>14952</v>
      </c>
      <c r="N19112" t="s">
        <v>213</v>
      </c>
      <c r="O19112">
        <v>251003</v>
      </c>
      <c r="P19112">
        <v>162.55000000000001</v>
      </c>
    </row>
    <row r="19113" spans="1:16" x14ac:dyDescent="0.25">
      <c r="A19113" t="s">
        <v>3296</v>
      </c>
      <c r="B19113" t="s">
        <v>2931</v>
      </c>
      <c r="C19113">
        <v>14203</v>
      </c>
      <c r="D19113" t="str">
        <f>"6025100013  "</f>
        <v xml:space="preserve">6025100013  </v>
      </c>
      <c r="E19113" t="s">
        <v>2215</v>
      </c>
      <c r="F19113" t="s">
        <v>2216</v>
      </c>
      <c r="G19113">
        <v>296.39999999999998</v>
      </c>
      <c r="H19113">
        <v>251019</v>
      </c>
      <c r="I19113">
        <v>4390</v>
      </c>
      <c r="J19113" t="s">
        <v>232</v>
      </c>
      <c r="K19113">
        <v>988</v>
      </c>
      <c r="L19113">
        <v>60.22</v>
      </c>
      <c r="M19113">
        <v>11401</v>
      </c>
      <c r="N19113" t="s">
        <v>91</v>
      </c>
      <c r="O19113">
        <v>251027</v>
      </c>
      <c r="P19113">
        <v>236.18</v>
      </c>
    </row>
    <row r="19114" spans="1:16" x14ac:dyDescent="0.25">
      <c r="A19114" t="s">
        <v>3296</v>
      </c>
      <c r="B19114" t="s">
        <v>2931</v>
      </c>
      <c r="C19114">
        <v>14203</v>
      </c>
      <c r="D19114" t="str">
        <f>"6025100013  "</f>
        <v xml:space="preserve">6025100013  </v>
      </c>
      <c r="E19114" t="s">
        <v>2215</v>
      </c>
      <c r="F19114" t="s">
        <v>2216</v>
      </c>
      <c r="G19114">
        <v>691.6</v>
      </c>
      <c r="H19114">
        <v>251019</v>
      </c>
      <c r="I19114">
        <v>4390</v>
      </c>
      <c r="J19114" t="s">
        <v>232</v>
      </c>
      <c r="K19114">
        <v>988</v>
      </c>
      <c r="L19114">
        <v>140.52000000000001</v>
      </c>
      <c r="M19114">
        <v>14952</v>
      </c>
      <c r="N19114" t="s">
        <v>213</v>
      </c>
      <c r="O19114">
        <v>251027</v>
      </c>
      <c r="P19114">
        <v>551.08000000000004</v>
      </c>
    </row>
    <row r="19115" spans="1:16" x14ac:dyDescent="0.25">
      <c r="A19115" t="s">
        <v>3296</v>
      </c>
      <c r="B19115" t="s">
        <v>2931</v>
      </c>
      <c r="C19115">
        <v>15364</v>
      </c>
      <c r="D19115" t="str">
        <f>"6025110020  "</f>
        <v xml:space="preserve">6025110020  </v>
      </c>
      <c r="E19115" t="s">
        <v>2215</v>
      </c>
      <c r="F19115" t="s">
        <v>2216</v>
      </c>
      <c r="G19115">
        <v>476</v>
      </c>
      <c r="H19115">
        <v>251031</v>
      </c>
      <c r="I19115">
        <v>4390</v>
      </c>
      <c r="J19115" t="s">
        <v>232</v>
      </c>
      <c r="K19115">
        <v>680</v>
      </c>
      <c r="L19115">
        <v>96.72</v>
      </c>
      <c r="M19115">
        <v>11401</v>
      </c>
      <c r="N19115" t="s">
        <v>91</v>
      </c>
      <c r="O19115">
        <v>251119</v>
      </c>
      <c r="P19115">
        <v>379.28</v>
      </c>
    </row>
    <row r="19116" spans="1:16" x14ac:dyDescent="0.25">
      <c r="A19116" t="s">
        <v>3296</v>
      </c>
      <c r="B19116" t="s">
        <v>2931</v>
      </c>
      <c r="C19116">
        <v>15364</v>
      </c>
      <c r="D19116" t="str">
        <f>"6025110020  "</f>
        <v xml:space="preserve">6025110020  </v>
      </c>
      <c r="E19116" t="s">
        <v>2215</v>
      </c>
      <c r="F19116" t="s">
        <v>2216</v>
      </c>
      <c r="G19116">
        <v>204</v>
      </c>
      <c r="H19116">
        <v>251031</v>
      </c>
      <c r="I19116">
        <v>4390</v>
      </c>
      <c r="J19116" t="s">
        <v>232</v>
      </c>
      <c r="K19116">
        <v>680</v>
      </c>
      <c r="L19116">
        <v>41.45</v>
      </c>
      <c r="M19116">
        <v>14952</v>
      </c>
      <c r="N19116" t="s">
        <v>213</v>
      </c>
      <c r="O19116">
        <v>251119</v>
      </c>
      <c r="P19116">
        <v>162.55000000000001</v>
      </c>
    </row>
    <row r="19117" spans="1:16" x14ac:dyDescent="0.25">
      <c r="A19117" t="s">
        <v>3296</v>
      </c>
      <c r="B19117" t="s">
        <v>2931</v>
      </c>
      <c r="C19117">
        <v>17955</v>
      </c>
      <c r="D19117" t="str">
        <f>"6025120011  "</f>
        <v xml:space="preserve">6025120011  </v>
      </c>
      <c r="E19117" t="s">
        <v>2215</v>
      </c>
      <c r="F19117" t="s">
        <v>2216</v>
      </c>
      <c r="G19117">
        <v>204</v>
      </c>
      <c r="H19117">
        <v>251229</v>
      </c>
      <c r="I19117">
        <v>4390</v>
      </c>
      <c r="J19117" t="s">
        <v>232</v>
      </c>
      <c r="K19117">
        <v>680</v>
      </c>
      <c r="L19117">
        <v>41.45</v>
      </c>
      <c r="M19117">
        <v>11401</v>
      </c>
      <c r="N19117" t="s">
        <v>91</v>
      </c>
      <c r="O19117">
        <v>260107</v>
      </c>
      <c r="P19117">
        <v>162.55000000000001</v>
      </c>
    </row>
    <row r="19118" spans="1:16" x14ac:dyDescent="0.25">
      <c r="A19118" t="s">
        <v>3296</v>
      </c>
      <c r="B19118" t="s">
        <v>2931</v>
      </c>
      <c r="C19118">
        <v>17955</v>
      </c>
      <c r="D19118" t="str">
        <f>"6025120011  "</f>
        <v xml:space="preserve">6025120011  </v>
      </c>
      <c r="E19118" t="s">
        <v>2215</v>
      </c>
      <c r="F19118" t="s">
        <v>2216</v>
      </c>
      <c r="G19118">
        <v>476</v>
      </c>
      <c r="H19118">
        <v>251229</v>
      </c>
      <c r="I19118">
        <v>4390</v>
      </c>
      <c r="J19118" t="s">
        <v>232</v>
      </c>
      <c r="K19118">
        <v>680</v>
      </c>
      <c r="L19118">
        <v>96.72</v>
      </c>
      <c r="M19118">
        <v>14952</v>
      </c>
      <c r="N19118" t="s">
        <v>213</v>
      </c>
      <c r="O19118">
        <v>260107</v>
      </c>
      <c r="P19118">
        <v>379.28</v>
      </c>
    </row>
    <row r="19119" spans="1:16" x14ac:dyDescent="0.25">
      <c r="A19119" t="s">
        <v>3296</v>
      </c>
      <c r="B19119" t="s">
        <v>2931</v>
      </c>
      <c r="C19119">
        <v>10791</v>
      </c>
      <c r="D19119" t="str">
        <f>"6025080005  "</f>
        <v xml:space="preserve">6025080005  </v>
      </c>
      <c r="E19119" t="s">
        <v>2215</v>
      </c>
      <c r="F19119" t="s">
        <v>2216</v>
      </c>
      <c r="G19119">
        <v>124.07</v>
      </c>
      <c r="H19119">
        <v>250818</v>
      </c>
      <c r="I19119">
        <v>4600</v>
      </c>
      <c r="J19119" t="s">
        <v>278</v>
      </c>
      <c r="K19119">
        <v>1052.25</v>
      </c>
      <c r="L19119">
        <v>25.21</v>
      </c>
      <c r="M19119">
        <v>11401</v>
      </c>
      <c r="N19119" t="s">
        <v>91</v>
      </c>
      <c r="O19119">
        <v>250822</v>
      </c>
      <c r="P19119">
        <v>98.86</v>
      </c>
    </row>
    <row r="19120" spans="1:16" x14ac:dyDescent="0.25">
      <c r="A19120" t="s">
        <v>3296</v>
      </c>
      <c r="B19120" t="s">
        <v>2931</v>
      </c>
      <c r="C19120">
        <v>10791</v>
      </c>
      <c r="D19120" t="str">
        <f>"6025080005  "</f>
        <v xml:space="preserve">6025080005  </v>
      </c>
      <c r="E19120" t="s">
        <v>2215</v>
      </c>
      <c r="F19120" t="s">
        <v>2216</v>
      </c>
      <c r="G19120">
        <v>248.16</v>
      </c>
      <c r="H19120">
        <v>250818</v>
      </c>
      <c r="I19120">
        <v>4600</v>
      </c>
      <c r="J19120" t="s">
        <v>278</v>
      </c>
      <c r="K19120">
        <v>1052.25</v>
      </c>
      <c r="L19120">
        <v>50.42</v>
      </c>
      <c r="M19120">
        <v>14952</v>
      </c>
      <c r="N19120" t="s">
        <v>213</v>
      </c>
      <c r="O19120">
        <v>250822</v>
      </c>
      <c r="P19120">
        <v>197.74</v>
      </c>
    </row>
    <row r="19121" spans="1:16" x14ac:dyDescent="0.25">
      <c r="A19121" t="s">
        <v>3296</v>
      </c>
      <c r="B19121" t="s">
        <v>2931</v>
      </c>
      <c r="C19121">
        <v>2534</v>
      </c>
      <c r="D19121" t="str">
        <f>"6037        "</f>
        <v xml:space="preserve">6037        </v>
      </c>
      <c r="E19121" t="s">
        <v>1135</v>
      </c>
      <c r="F19121" t="s">
        <v>1136</v>
      </c>
      <c r="G19121">
        <v>12550</v>
      </c>
      <c r="H19121">
        <v>250220</v>
      </c>
      <c r="I19121">
        <v>4440</v>
      </c>
      <c r="J19121" t="s">
        <v>346</v>
      </c>
      <c r="K19121">
        <v>12550</v>
      </c>
      <c r="L19121">
        <v>2550</v>
      </c>
      <c r="M19121">
        <v>18122</v>
      </c>
      <c r="N19121" t="s">
        <v>176</v>
      </c>
      <c r="O19121">
        <v>250303</v>
      </c>
      <c r="P19121">
        <v>10000</v>
      </c>
    </row>
    <row r="19122" spans="1:16" x14ac:dyDescent="0.25">
      <c r="A19122" t="s">
        <v>3296</v>
      </c>
      <c r="B19122" t="s">
        <v>2931</v>
      </c>
      <c r="C19122">
        <v>2579</v>
      </c>
      <c r="D19122" t="str">
        <f>"6029        "</f>
        <v xml:space="preserve">6029        </v>
      </c>
      <c r="E19122" t="s">
        <v>1135</v>
      </c>
      <c r="F19122" t="s">
        <v>1136</v>
      </c>
      <c r="G19122">
        <v>8232.7999999999993</v>
      </c>
      <c r="H19122">
        <v>250214</v>
      </c>
      <c r="I19122">
        <v>4440</v>
      </c>
      <c r="J19122" t="s">
        <v>346</v>
      </c>
      <c r="K19122">
        <v>8232.7999999999993</v>
      </c>
      <c r="L19122">
        <v>1672.8</v>
      </c>
      <c r="M19122">
        <v>18122</v>
      </c>
      <c r="N19122" t="s">
        <v>176</v>
      </c>
      <c r="O19122">
        <v>250306</v>
      </c>
      <c r="P19122">
        <v>6560</v>
      </c>
    </row>
    <row r="19123" spans="1:16" x14ac:dyDescent="0.25">
      <c r="A19123" t="s">
        <v>3296</v>
      </c>
      <c r="B19123" t="s">
        <v>2931</v>
      </c>
      <c r="C19123">
        <v>2778</v>
      </c>
      <c r="D19123" t="str">
        <f>"6047        "</f>
        <v xml:space="preserve">6047        </v>
      </c>
      <c r="E19123" t="s">
        <v>1135</v>
      </c>
      <c r="F19123" t="s">
        <v>1136</v>
      </c>
      <c r="G19123">
        <v>6808.38</v>
      </c>
      <c r="H19123">
        <v>250228</v>
      </c>
      <c r="I19123">
        <v>4440</v>
      </c>
      <c r="J19123" t="s">
        <v>346</v>
      </c>
      <c r="K19123">
        <v>6808.38</v>
      </c>
      <c r="L19123">
        <v>1383.38</v>
      </c>
      <c r="M19123">
        <v>18982</v>
      </c>
      <c r="N19123" t="s">
        <v>736</v>
      </c>
      <c r="O19123">
        <v>250312</v>
      </c>
      <c r="P19123">
        <v>5425</v>
      </c>
    </row>
    <row r="19124" spans="1:16" x14ac:dyDescent="0.25">
      <c r="A19124" t="s">
        <v>3296</v>
      </c>
      <c r="B19124" t="s">
        <v>2931</v>
      </c>
      <c r="C19124">
        <v>2816</v>
      </c>
      <c r="D19124" t="str">
        <f>"6045        "</f>
        <v xml:space="preserve">6045        </v>
      </c>
      <c r="E19124" t="s">
        <v>1135</v>
      </c>
      <c r="F19124" t="s">
        <v>1136</v>
      </c>
      <c r="G19124">
        <v>15951.05</v>
      </c>
      <c r="H19124">
        <v>250228</v>
      </c>
      <c r="I19124">
        <v>4440</v>
      </c>
      <c r="J19124" t="s">
        <v>346</v>
      </c>
      <c r="K19124">
        <v>15951.05</v>
      </c>
      <c r="L19124">
        <v>3241.05</v>
      </c>
      <c r="M19124">
        <v>18122</v>
      </c>
      <c r="N19124" t="s">
        <v>176</v>
      </c>
      <c r="O19124">
        <v>250312</v>
      </c>
      <c r="P19124">
        <v>12710</v>
      </c>
    </row>
    <row r="19125" spans="1:16" x14ac:dyDescent="0.25">
      <c r="A19125" t="s">
        <v>3296</v>
      </c>
      <c r="B19125" t="s">
        <v>2931</v>
      </c>
      <c r="C19125">
        <v>4266</v>
      </c>
      <c r="D19125" t="str">
        <f>"6075        "</f>
        <v xml:space="preserve">6075        </v>
      </c>
      <c r="E19125" t="s">
        <v>1135</v>
      </c>
      <c r="F19125" t="s">
        <v>1136</v>
      </c>
      <c r="G19125">
        <v>8785</v>
      </c>
      <c r="H19125">
        <v>250328</v>
      </c>
      <c r="I19125">
        <v>4440</v>
      </c>
      <c r="J19125" t="s">
        <v>346</v>
      </c>
      <c r="K19125">
        <v>8785</v>
      </c>
      <c r="L19125">
        <v>1785</v>
      </c>
      <c r="M19125">
        <v>18982</v>
      </c>
      <c r="N19125" t="s">
        <v>736</v>
      </c>
      <c r="O19125">
        <v>250409</v>
      </c>
      <c r="P19125">
        <v>7000</v>
      </c>
    </row>
    <row r="19126" spans="1:16" x14ac:dyDescent="0.25">
      <c r="A19126" t="s">
        <v>3296</v>
      </c>
      <c r="B19126" t="s">
        <v>2931</v>
      </c>
      <c r="C19126">
        <v>7509</v>
      </c>
      <c r="D19126" t="str">
        <f>"6125        "</f>
        <v xml:space="preserve">6125        </v>
      </c>
      <c r="E19126" t="s">
        <v>1135</v>
      </c>
      <c r="F19126" t="s">
        <v>1136</v>
      </c>
      <c r="G19126">
        <v>6682.88</v>
      </c>
      <c r="H19126">
        <v>250509</v>
      </c>
      <c r="I19126">
        <v>4440</v>
      </c>
      <c r="J19126" t="s">
        <v>346</v>
      </c>
      <c r="K19126">
        <v>6682.88</v>
      </c>
      <c r="L19126">
        <v>1357.88</v>
      </c>
      <c r="M19126">
        <v>18982</v>
      </c>
      <c r="N19126" t="s">
        <v>736</v>
      </c>
      <c r="O19126">
        <v>250604</v>
      </c>
      <c r="P19126">
        <v>5325</v>
      </c>
    </row>
    <row r="19127" spans="1:16" x14ac:dyDescent="0.25">
      <c r="A19127" t="s">
        <v>3296</v>
      </c>
      <c r="B19127" t="s">
        <v>2931</v>
      </c>
      <c r="C19127">
        <v>9062</v>
      </c>
      <c r="D19127" t="str">
        <f>"6171        "</f>
        <v xml:space="preserve">6171        </v>
      </c>
      <c r="E19127" t="s">
        <v>1135</v>
      </c>
      <c r="F19127" t="s">
        <v>1136</v>
      </c>
      <c r="G19127">
        <v>12550</v>
      </c>
      <c r="H19127">
        <v>250616</v>
      </c>
      <c r="I19127">
        <v>4440</v>
      </c>
      <c r="J19127" t="s">
        <v>346</v>
      </c>
      <c r="K19127">
        <v>12550</v>
      </c>
      <c r="L19127">
        <v>2550</v>
      </c>
      <c r="M19127">
        <v>18122</v>
      </c>
      <c r="N19127" t="s">
        <v>176</v>
      </c>
      <c r="O19127">
        <v>250626</v>
      </c>
      <c r="P19127">
        <v>10000</v>
      </c>
    </row>
    <row r="19128" spans="1:16" x14ac:dyDescent="0.25">
      <c r="A19128" t="s">
        <v>3296</v>
      </c>
      <c r="B19128" t="s">
        <v>2931</v>
      </c>
      <c r="C19128">
        <v>9093</v>
      </c>
      <c r="D19128" t="str">
        <f>"6169        "</f>
        <v xml:space="preserve">6169        </v>
      </c>
      <c r="E19128" t="s">
        <v>1135</v>
      </c>
      <c r="F19128" t="s">
        <v>1136</v>
      </c>
      <c r="G19128">
        <v>15323.55</v>
      </c>
      <c r="H19128">
        <v>250616</v>
      </c>
      <c r="I19128">
        <v>4440</v>
      </c>
      <c r="J19128" t="s">
        <v>346</v>
      </c>
      <c r="K19128">
        <v>15323.55</v>
      </c>
      <c r="L19128">
        <v>3113.55</v>
      </c>
      <c r="M19128">
        <v>18982</v>
      </c>
      <c r="N19128" t="s">
        <v>736</v>
      </c>
      <c r="O19128">
        <v>250626</v>
      </c>
      <c r="P19128">
        <v>12210</v>
      </c>
    </row>
    <row r="19129" spans="1:16" x14ac:dyDescent="0.25">
      <c r="A19129" t="s">
        <v>3296</v>
      </c>
      <c r="B19129" t="s">
        <v>2931</v>
      </c>
      <c r="C19129">
        <v>9163</v>
      </c>
      <c r="D19129" t="str">
        <f>"6184        "</f>
        <v xml:space="preserve">6184        </v>
      </c>
      <c r="E19129" t="s">
        <v>1135</v>
      </c>
      <c r="F19129" t="s">
        <v>1136</v>
      </c>
      <c r="G19129">
        <v>9856.77</v>
      </c>
      <c r="H19129">
        <v>250619</v>
      </c>
      <c r="I19129">
        <v>4440</v>
      </c>
      <c r="J19129" t="s">
        <v>346</v>
      </c>
      <c r="K19129">
        <v>9856.77</v>
      </c>
      <c r="L19129">
        <v>2002.77</v>
      </c>
      <c r="M19129">
        <v>18122</v>
      </c>
      <c r="N19129" t="s">
        <v>176</v>
      </c>
      <c r="O19129">
        <v>250627</v>
      </c>
      <c r="P19129">
        <v>7854</v>
      </c>
    </row>
    <row r="19130" spans="1:16" x14ac:dyDescent="0.25">
      <c r="A19130" t="s">
        <v>3296</v>
      </c>
      <c r="B19130" t="s">
        <v>2931</v>
      </c>
      <c r="C19130">
        <v>10901</v>
      </c>
      <c r="D19130" t="str">
        <f>"6196        "</f>
        <v xml:space="preserve">6196        </v>
      </c>
      <c r="E19130" t="s">
        <v>1135</v>
      </c>
      <c r="F19130" t="s">
        <v>1136</v>
      </c>
      <c r="G19130">
        <v>10604.75</v>
      </c>
      <c r="H19130">
        <v>250821</v>
      </c>
      <c r="I19130">
        <v>4440</v>
      </c>
      <c r="J19130" t="s">
        <v>346</v>
      </c>
      <c r="K19130">
        <v>10604.75</v>
      </c>
      <c r="L19130">
        <v>2154.75</v>
      </c>
      <c r="M19130">
        <v>18982</v>
      </c>
      <c r="N19130" t="s">
        <v>736</v>
      </c>
      <c r="O19130">
        <v>250827</v>
      </c>
      <c r="P19130">
        <v>8450</v>
      </c>
    </row>
    <row r="19131" spans="1:16" x14ac:dyDescent="0.25">
      <c r="A19131" t="s">
        <v>3296</v>
      </c>
      <c r="B19131" t="s">
        <v>2931</v>
      </c>
      <c r="C19131">
        <v>11674</v>
      </c>
      <c r="D19131" t="str">
        <f>"6202        "</f>
        <v xml:space="preserve">6202        </v>
      </c>
      <c r="E19131" t="s">
        <v>1135</v>
      </c>
      <c r="F19131" t="s">
        <v>1136</v>
      </c>
      <c r="G19131">
        <v>7868.85</v>
      </c>
      <c r="H19131">
        <v>250828</v>
      </c>
      <c r="I19131">
        <v>4440</v>
      </c>
      <c r="J19131" t="s">
        <v>346</v>
      </c>
      <c r="K19131">
        <v>7868.85</v>
      </c>
      <c r="L19131">
        <v>1598.85</v>
      </c>
      <c r="M19131">
        <v>18982</v>
      </c>
      <c r="N19131" t="s">
        <v>736</v>
      </c>
      <c r="O19131">
        <v>250910</v>
      </c>
      <c r="P19131">
        <v>6270</v>
      </c>
    </row>
    <row r="19132" spans="1:16" x14ac:dyDescent="0.25">
      <c r="A19132" t="s">
        <v>3296</v>
      </c>
      <c r="B19132" t="s">
        <v>2931</v>
      </c>
      <c r="C19132">
        <v>12266</v>
      </c>
      <c r="D19132" t="str">
        <f>"6210        "</f>
        <v xml:space="preserve">6210        </v>
      </c>
      <c r="E19132" t="s">
        <v>1135</v>
      </c>
      <c r="F19132" t="s">
        <v>1136</v>
      </c>
      <c r="G19132">
        <v>6933.88</v>
      </c>
      <c r="H19132">
        <v>250904</v>
      </c>
      <c r="I19132">
        <v>4440</v>
      </c>
      <c r="J19132" t="s">
        <v>346</v>
      </c>
      <c r="K19132">
        <v>6933.88</v>
      </c>
      <c r="L19132">
        <v>1408.88</v>
      </c>
      <c r="M19132">
        <v>18982</v>
      </c>
      <c r="N19132" t="s">
        <v>736</v>
      </c>
      <c r="O19132">
        <v>250918</v>
      </c>
      <c r="P19132">
        <v>5525</v>
      </c>
    </row>
    <row r="19133" spans="1:16" x14ac:dyDescent="0.25">
      <c r="A19133" t="s">
        <v>3296</v>
      </c>
      <c r="B19133" t="s">
        <v>2931</v>
      </c>
      <c r="C19133">
        <v>12628</v>
      </c>
      <c r="D19133" t="str">
        <f>"6225        "</f>
        <v xml:space="preserve">6225        </v>
      </c>
      <c r="E19133" t="s">
        <v>1135</v>
      </c>
      <c r="F19133" t="s">
        <v>1136</v>
      </c>
      <c r="G19133">
        <v>8945.64</v>
      </c>
      <c r="H19133">
        <v>250918</v>
      </c>
      <c r="I19133">
        <v>4440</v>
      </c>
      <c r="J19133" t="s">
        <v>346</v>
      </c>
      <c r="K19133">
        <v>8945.64</v>
      </c>
      <c r="L19133">
        <v>1817.64</v>
      </c>
      <c r="M19133">
        <v>18122</v>
      </c>
      <c r="N19133" t="s">
        <v>176</v>
      </c>
      <c r="O19133">
        <v>250929</v>
      </c>
      <c r="P19133">
        <v>7128</v>
      </c>
    </row>
    <row r="19134" spans="1:16" x14ac:dyDescent="0.25">
      <c r="A19134" t="s">
        <v>3296</v>
      </c>
      <c r="B19134" t="s">
        <v>2931</v>
      </c>
      <c r="C19134">
        <v>13128</v>
      </c>
      <c r="D19134" t="str">
        <f>"6236        "</f>
        <v xml:space="preserve">6236        </v>
      </c>
      <c r="E19134" t="s">
        <v>1135</v>
      </c>
      <c r="F19134" t="s">
        <v>1136</v>
      </c>
      <c r="G19134">
        <v>11044</v>
      </c>
      <c r="H19134">
        <v>250930</v>
      </c>
      <c r="I19134">
        <v>4440</v>
      </c>
      <c r="J19134" t="s">
        <v>346</v>
      </c>
      <c r="K19134">
        <v>11044</v>
      </c>
      <c r="L19134">
        <v>2244</v>
      </c>
      <c r="M19134">
        <v>18122</v>
      </c>
      <c r="N19134" t="s">
        <v>176</v>
      </c>
      <c r="O19134">
        <v>251006</v>
      </c>
      <c r="P19134">
        <v>8800</v>
      </c>
    </row>
    <row r="19135" spans="1:16" x14ac:dyDescent="0.25">
      <c r="A19135" t="s">
        <v>3296</v>
      </c>
      <c r="B19135" t="s">
        <v>2931</v>
      </c>
      <c r="C19135">
        <v>14010</v>
      </c>
      <c r="D19135" t="str">
        <f>"6250        "</f>
        <v xml:space="preserve">6250        </v>
      </c>
      <c r="E19135" t="s">
        <v>1135</v>
      </c>
      <c r="F19135" t="s">
        <v>1136</v>
      </c>
      <c r="G19135">
        <v>10968.7</v>
      </c>
      <c r="H19135">
        <v>251007</v>
      </c>
      <c r="I19135">
        <v>4440</v>
      </c>
      <c r="J19135" t="s">
        <v>346</v>
      </c>
      <c r="K19135">
        <v>10968.7</v>
      </c>
      <c r="L19135">
        <v>2228.6999999999998</v>
      </c>
      <c r="M19135">
        <v>18122</v>
      </c>
      <c r="N19135" t="s">
        <v>176</v>
      </c>
      <c r="O19135">
        <v>251021</v>
      </c>
      <c r="P19135">
        <v>8740</v>
      </c>
    </row>
    <row r="19136" spans="1:16" x14ac:dyDescent="0.25">
      <c r="A19136" t="s">
        <v>3296</v>
      </c>
      <c r="B19136" t="s">
        <v>2931</v>
      </c>
      <c r="C19136">
        <v>15199</v>
      </c>
      <c r="D19136" t="str">
        <f>"6272        "</f>
        <v xml:space="preserve">6272        </v>
      </c>
      <c r="E19136" t="s">
        <v>1135</v>
      </c>
      <c r="F19136" t="s">
        <v>1136</v>
      </c>
      <c r="G19136">
        <v>5302.44</v>
      </c>
      <c r="H19136">
        <v>251031</v>
      </c>
      <c r="I19136">
        <v>4440</v>
      </c>
      <c r="J19136" t="s">
        <v>346</v>
      </c>
      <c r="K19136">
        <v>5302.44</v>
      </c>
      <c r="L19136">
        <v>1077.3900000000001</v>
      </c>
      <c r="M19136">
        <v>18982</v>
      </c>
      <c r="N19136" t="s">
        <v>736</v>
      </c>
      <c r="O19136">
        <v>251114</v>
      </c>
      <c r="P19136">
        <v>4225.05</v>
      </c>
    </row>
    <row r="19137" spans="1:16" x14ac:dyDescent="0.25">
      <c r="A19137" t="s">
        <v>3296</v>
      </c>
      <c r="B19137" t="s">
        <v>2931</v>
      </c>
      <c r="C19137">
        <v>15431</v>
      </c>
      <c r="D19137" t="str">
        <f>"6279        "</f>
        <v xml:space="preserve">6279        </v>
      </c>
      <c r="E19137" t="s">
        <v>1135</v>
      </c>
      <c r="F19137" t="s">
        <v>1136</v>
      </c>
      <c r="G19137">
        <v>9939.6</v>
      </c>
      <c r="H19137">
        <v>251114</v>
      </c>
      <c r="I19137">
        <v>4440</v>
      </c>
      <c r="J19137" t="s">
        <v>346</v>
      </c>
      <c r="K19137">
        <v>9939.6</v>
      </c>
      <c r="L19137">
        <v>2019.6</v>
      </c>
      <c r="M19137">
        <v>18122</v>
      </c>
      <c r="N19137" t="s">
        <v>176</v>
      </c>
      <c r="O19137">
        <v>251120</v>
      </c>
      <c r="P19137">
        <v>7920</v>
      </c>
    </row>
    <row r="19138" spans="1:16" x14ac:dyDescent="0.25">
      <c r="A19138" t="s">
        <v>3296</v>
      </c>
      <c r="B19138" t="s">
        <v>2931</v>
      </c>
      <c r="C19138">
        <v>17285</v>
      </c>
      <c r="D19138" t="str">
        <f>"6311        "</f>
        <v xml:space="preserve">6311        </v>
      </c>
      <c r="E19138" t="s">
        <v>1135</v>
      </c>
      <c r="F19138" t="s">
        <v>1136</v>
      </c>
      <c r="G19138">
        <v>13177.6</v>
      </c>
      <c r="H19138">
        <v>251208</v>
      </c>
      <c r="I19138">
        <v>4440</v>
      </c>
      <c r="J19138" t="s">
        <v>346</v>
      </c>
      <c r="K19138">
        <v>13177.6</v>
      </c>
      <c r="L19138">
        <v>2677.52</v>
      </c>
      <c r="M19138">
        <v>18122</v>
      </c>
      <c r="N19138" t="s">
        <v>176</v>
      </c>
      <c r="O19138">
        <v>251219</v>
      </c>
      <c r="P19138">
        <v>10500.08</v>
      </c>
    </row>
    <row r="19139" spans="1:16" x14ac:dyDescent="0.25">
      <c r="A19139" t="s">
        <v>3296</v>
      </c>
      <c r="B19139" t="s">
        <v>2931</v>
      </c>
      <c r="C19139">
        <v>17555</v>
      </c>
      <c r="D19139" t="str">
        <f>"6324        "</f>
        <v xml:space="preserve">6324        </v>
      </c>
      <c r="E19139" t="s">
        <v>1135</v>
      </c>
      <c r="F19139" t="s">
        <v>1136</v>
      </c>
      <c r="G19139">
        <v>15323.55</v>
      </c>
      <c r="H19139">
        <v>251211</v>
      </c>
      <c r="I19139">
        <v>4440</v>
      </c>
      <c r="J19139" t="s">
        <v>346</v>
      </c>
      <c r="K19139">
        <v>15323.55</v>
      </c>
      <c r="L19139">
        <v>3113.55</v>
      </c>
      <c r="M19139">
        <v>18982</v>
      </c>
      <c r="N19139" t="s">
        <v>736</v>
      </c>
      <c r="O19139">
        <v>251222</v>
      </c>
      <c r="P19139">
        <v>12210</v>
      </c>
    </row>
    <row r="19140" spans="1:16" x14ac:dyDescent="0.25">
      <c r="A19140" t="s">
        <v>3296</v>
      </c>
      <c r="B19140" t="s">
        <v>2931</v>
      </c>
      <c r="C19140">
        <v>1827</v>
      </c>
      <c r="D19140" t="str">
        <f>"6025        "</f>
        <v xml:space="preserve">6025        </v>
      </c>
      <c r="E19140" t="s">
        <v>1135</v>
      </c>
      <c r="F19140" t="s">
        <v>1136</v>
      </c>
      <c r="G19140">
        <v>2004.24</v>
      </c>
      <c r="H19140">
        <v>250212</v>
      </c>
      <c r="I19140">
        <v>4441</v>
      </c>
      <c r="J19140" t="s">
        <v>234</v>
      </c>
      <c r="K19140">
        <v>2004.24</v>
      </c>
      <c r="L19140">
        <v>407.24</v>
      </c>
      <c r="M19140">
        <v>11201</v>
      </c>
      <c r="N19140" t="s">
        <v>35</v>
      </c>
      <c r="O19140">
        <v>250214</v>
      </c>
      <c r="P19140">
        <v>1597</v>
      </c>
    </row>
    <row r="19141" spans="1:16" x14ac:dyDescent="0.25">
      <c r="A19141" t="s">
        <v>3296</v>
      </c>
      <c r="B19141" t="s">
        <v>2931</v>
      </c>
      <c r="C19141">
        <v>4140</v>
      </c>
      <c r="D19141" t="str">
        <f>"LASK 70027  "</f>
        <v xml:space="preserve">LASK 70027  </v>
      </c>
      <c r="E19141" t="s">
        <v>2989</v>
      </c>
      <c r="F19141" t="s">
        <v>2990</v>
      </c>
      <c r="G19141">
        <v>886</v>
      </c>
      <c r="H19141">
        <v>250326</v>
      </c>
      <c r="I19141">
        <v>4440</v>
      </c>
      <c r="J19141" t="s">
        <v>346</v>
      </c>
      <c r="K19141">
        <v>886</v>
      </c>
      <c r="L19141">
        <v>0</v>
      </c>
      <c r="M19141">
        <v>18122</v>
      </c>
      <c r="N19141" t="s">
        <v>176</v>
      </c>
      <c r="O19141">
        <v>250407</v>
      </c>
      <c r="P19141">
        <v>886</v>
      </c>
    </row>
    <row r="19142" spans="1:16" x14ac:dyDescent="0.25">
      <c r="A19142" t="s">
        <v>3296</v>
      </c>
      <c r="B19142" t="s">
        <v>2931</v>
      </c>
      <c r="C19142">
        <v>505</v>
      </c>
      <c r="D19142" t="str">
        <f>"AVLA 33320  "</f>
        <v xml:space="preserve">AVLA 33320  </v>
      </c>
      <c r="E19142" t="s">
        <v>2989</v>
      </c>
      <c r="F19142" t="s">
        <v>2990</v>
      </c>
      <c r="G19142">
        <v>891.05</v>
      </c>
      <c r="H19142">
        <v>250117</v>
      </c>
      <c r="I19142">
        <v>4441</v>
      </c>
      <c r="J19142" t="s">
        <v>234</v>
      </c>
      <c r="K19142">
        <v>891.05</v>
      </c>
      <c r="L19142">
        <v>181.05</v>
      </c>
      <c r="M19142">
        <v>46555</v>
      </c>
      <c r="N19142" t="s">
        <v>103</v>
      </c>
      <c r="O19142">
        <v>250123</v>
      </c>
      <c r="P19142">
        <v>710</v>
      </c>
    </row>
    <row r="19143" spans="1:16" x14ac:dyDescent="0.25">
      <c r="A19143" t="s">
        <v>3296</v>
      </c>
      <c r="B19143" t="s">
        <v>2931</v>
      </c>
      <c r="C19143">
        <v>4045</v>
      </c>
      <c r="D19143" t="str">
        <f t="shared" ref="D19143:D19148" si="318">"369         "</f>
        <v xml:space="preserve">369         </v>
      </c>
      <c r="E19143" t="s">
        <v>1551</v>
      </c>
      <c r="F19143" t="s">
        <v>1552</v>
      </c>
      <c r="G19143">
        <v>62.8</v>
      </c>
      <c r="H19143">
        <v>250327</v>
      </c>
      <c r="I19143">
        <v>4410</v>
      </c>
      <c r="J19143" t="s">
        <v>165</v>
      </c>
      <c r="K19143">
        <v>423.9</v>
      </c>
      <c r="L19143">
        <v>7.71</v>
      </c>
      <c r="M19143">
        <v>44422</v>
      </c>
      <c r="N19143" t="s">
        <v>97</v>
      </c>
      <c r="O19143">
        <v>250407</v>
      </c>
      <c r="P19143">
        <v>55.09</v>
      </c>
    </row>
    <row r="19144" spans="1:16" x14ac:dyDescent="0.25">
      <c r="A19144" t="s">
        <v>3296</v>
      </c>
      <c r="B19144" t="s">
        <v>2931</v>
      </c>
      <c r="C19144">
        <v>4045</v>
      </c>
      <c r="D19144" t="str">
        <f t="shared" si="318"/>
        <v xml:space="preserve">369         </v>
      </c>
      <c r="E19144" t="s">
        <v>1551</v>
      </c>
      <c r="F19144" t="s">
        <v>1552</v>
      </c>
      <c r="G19144">
        <v>49.33</v>
      </c>
      <c r="H19144">
        <v>250327</v>
      </c>
      <c r="I19144">
        <v>4410</v>
      </c>
      <c r="J19144" t="s">
        <v>165</v>
      </c>
      <c r="K19144">
        <v>423.9</v>
      </c>
      <c r="L19144">
        <v>6.06</v>
      </c>
      <c r="M19144">
        <v>54222</v>
      </c>
      <c r="N19144" t="s">
        <v>48</v>
      </c>
      <c r="O19144">
        <v>250407</v>
      </c>
      <c r="P19144">
        <v>43.27</v>
      </c>
    </row>
    <row r="19145" spans="1:16" x14ac:dyDescent="0.25">
      <c r="A19145" t="s">
        <v>3296</v>
      </c>
      <c r="B19145" t="s">
        <v>2931</v>
      </c>
      <c r="C19145">
        <v>4045</v>
      </c>
      <c r="D19145" t="str">
        <f t="shared" si="318"/>
        <v xml:space="preserve">369         </v>
      </c>
      <c r="E19145" t="s">
        <v>1551</v>
      </c>
      <c r="F19145" t="s">
        <v>1552</v>
      </c>
      <c r="G19145">
        <v>65.760000000000005</v>
      </c>
      <c r="H19145">
        <v>250327</v>
      </c>
      <c r="I19145">
        <v>4410</v>
      </c>
      <c r="J19145" t="s">
        <v>165</v>
      </c>
      <c r="K19145">
        <v>423.9</v>
      </c>
      <c r="L19145">
        <v>8.08</v>
      </c>
      <c r="M19145">
        <v>54222</v>
      </c>
      <c r="N19145" t="s">
        <v>48</v>
      </c>
      <c r="O19145">
        <v>250407</v>
      </c>
      <c r="P19145">
        <v>57.68</v>
      </c>
    </row>
    <row r="19146" spans="1:16" x14ac:dyDescent="0.25">
      <c r="A19146" t="s">
        <v>3296</v>
      </c>
      <c r="B19146" t="s">
        <v>2931</v>
      </c>
      <c r="C19146">
        <v>4045</v>
      </c>
      <c r="D19146" t="str">
        <f t="shared" si="318"/>
        <v xml:space="preserve">369         </v>
      </c>
      <c r="E19146" t="s">
        <v>1551</v>
      </c>
      <c r="F19146" t="s">
        <v>1552</v>
      </c>
      <c r="G19146">
        <v>136.11000000000001</v>
      </c>
      <c r="H19146">
        <v>250327</v>
      </c>
      <c r="I19146">
        <v>4820</v>
      </c>
      <c r="J19146" t="s">
        <v>169</v>
      </c>
      <c r="K19146">
        <v>423.9</v>
      </c>
      <c r="L19146">
        <v>27.66</v>
      </c>
      <c r="M19146">
        <v>44423</v>
      </c>
      <c r="N19146" t="s">
        <v>98</v>
      </c>
      <c r="O19146">
        <v>250407</v>
      </c>
      <c r="P19146">
        <v>108.45</v>
      </c>
    </row>
    <row r="19147" spans="1:16" x14ac:dyDescent="0.25">
      <c r="A19147" t="s">
        <v>3296</v>
      </c>
      <c r="B19147" t="s">
        <v>2931</v>
      </c>
      <c r="C19147">
        <v>4045</v>
      </c>
      <c r="D19147" t="str">
        <f t="shared" si="318"/>
        <v xml:space="preserve">369         </v>
      </c>
      <c r="E19147" t="s">
        <v>1551</v>
      </c>
      <c r="F19147" t="s">
        <v>1552</v>
      </c>
      <c r="G19147">
        <v>47.1</v>
      </c>
      <c r="H19147">
        <v>250327</v>
      </c>
      <c r="I19147">
        <v>4820</v>
      </c>
      <c r="J19147" t="s">
        <v>169</v>
      </c>
      <c r="K19147">
        <v>423.9</v>
      </c>
      <c r="L19147">
        <v>9.57</v>
      </c>
      <c r="M19147">
        <v>54222</v>
      </c>
      <c r="N19147" t="s">
        <v>48</v>
      </c>
      <c r="O19147">
        <v>250407</v>
      </c>
      <c r="P19147">
        <v>37.53</v>
      </c>
    </row>
    <row r="19148" spans="1:16" x14ac:dyDescent="0.25">
      <c r="A19148" t="s">
        <v>3296</v>
      </c>
      <c r="B19148" t="s">
        <v>2931</v>
      </c>
      <c r="C19148">
        <v>4045</v>
      </c>
      <c r="D19148" t="str">
        <f t="shared" si="318"/>
        <v xml:space="preserve">369         </v>
      </c>
      <c r="E19148" t="s">
        <v>1551</v>
      </c>
      <c r="F19148" t="s">
        <v>1552</v>
      </c>
      <c r="G19148">
        <v>62.8</v>
      </c>
      <c r="H19148">
        <v>250327</v>
      </c>
      <c r="I19148">
        <v>4820</v>
      </c>
      <c r="J19148" t="s">
        <v>169</v>
      </c>
      <c r="K19148">
        <v>423.9</v>
      </c>
      <c r="L19148">
        <v>12.76</v>
      </c>
      <c r="M19148">
        <v>54222</v>
      </c>
      <c r="N19148" t="s">
        <v>48</v>
      </c>
      <c r="O19148">
        <v>250407</v>
      </c>
      <c r="P19148">
        <v>50.04</v>
      </c>
    </row>
    <row r="19149" spans="1:16" x14ac:dyDescent="0.25">
      <c r="A19149" t="s">
        <v>3296</v>
      </c>
      <c r="B19149" t="s">
        <v>2931</v>
      </c>
      <c r="C19149">
        <v>4789</v>
      </c>
      <c r="D19149" t="str">
        <f>"965         "</f>
        <v xml:space="preserve">965         </v>
      </c>
      <c r="E19149" t="s">
        <v>3059</v>
      </c>
      <c r="F19149" t="s">
        <v>3060</v>
      </c>
      <c r="G19149">
        <v>600</v>
      </c>
      <c r="H19149">
        <v>250410</v>
      </c>
      <c r="I19149">
        <v>4940</v>
      </c>
      <c r="J19149" t="s">
        <v>250</v>
      </c>
      <c r="K19149">
        <v>600</v>
      </c>
      <c r="L19149">
        <v>121.91</v>
      </c>
      <c r="M19149">
        <v>13901</v>
      </c>
      <c r="N19149" t="s">
        <v>116</v>
      </c>
      <c r="O19149">
        <v>250415</v>
      </c>
      <c r="P19149">
        <v>478.09</v>
      </c>
    </row>
    <row r="19150" spans="1:16" x14ac:dyDescent="0.25">
      <c r="A19150" t="s">
        <v>3296</v>
      </c>
      <c r="B19150" t="s">
        <v>2931</v>
      </c>
      <c r="C19150">
        <v>1351</v>
      </c>
      <c r="D19150" t="str">
        <f>"6003473098  "</f>
        <v xml:space="preserve">6003473098  </v>
      </c>
      <c r="E19150" t="s">
        <v>959</v>
      </c>
      <c r="F19150" t="s">
        <v>960</v>
      </c>
      <c r="G19150">
        <v>3780.26</v>
      </c>
      <c r="H19150">
        <v>250131</v>
      </c>
      <c r="I19150">
        <v>4571</v>
      </c>
      <c r="J19150" t="s">
        <v>223</v>
      </c>
      <c r="K19150">
        <v>12600.87</v>
      </c>
      <c r="L19150">
        <v>768.1</v>
      </c>
      <c r="M19150">
        <v>14952</v>
      </c>
      <c r="N19150" t="s">
        <v>213</v>
      </c>
      <c r="O19150">
        <v>250207</v>
      </c>
      <c r="P19150">
        <v>3012.16</v>
      </c>
    </row>
    <row r="19151" spans="1:16" x14ac:dyDescent="0.25">
      <c r="A19151" t="s">
        <v>3296</v>
      </c>
      <c r="B19151" t="s">
        <v>2931</v>
      </c>
      <c r="C19151">
        <v>1351</v>
      </c>
      <c r="D19151" t="str">
        <f>"6003473098  "</f>
        <v xml:space="preserve">6003473098  </v>
      </c>
      <c r="E19151" t="s">
        <v>959</v>
      </c>
      <c r="F19151" t="s">
        <v>960</v>
      </c>
      <c r="G19151">
        <v>8820.61</v>
      </c>
      <c r="H19151">
        <v>250131</v>
      </c>
      <c r="I19151">
        <v>4571</v>
      </c>
      <c r="J19151" t="s">
        <v>223</v>
      </c>
      <c r="K19151">
        <v>12600.87</v>
      </c>
      <c r="L19151">
        <v>1792.24</v>
      </c>
      <c r="M19151">
        <v>14981</v>
      </c>
      <c r="N19151" t="s">
        <v>252</v>
      </c>
      <c r="O19151">
        <v>250207</v>
      </c>
      <c r="P19151">
        <v>7028.37</v>
      </c>
    </row>
    <row r="19152" spans="1:16" x14ac:dyDescent="0.25">
      <c r="A19152" t="s">
        <v>3296</v>
      </c>
      <c r="B19152" t="s">
        <v>2931</v>
      </c>
      <c r="C19152">
        <v>1605</v>
      </c>
      <c r="D19152" t="str">
        <f>"6003472679  "</f>
        <v xml:space="preserve">6003472679  </v>
      </c>
      <c r="E19152" t="s">
        <v>959</v>
      </c>
      <c r="F19152" t="s">
        <v>960</v>
      </c>
      <c r="G19152">
        <v>1068.7</v>
      </c>
      <c r="H19152">
        <v>250131</v>
      </c>
      <c r="I19152">
        <v>4571</v>
      </c>
      <c r="J19152" t="s">
        <v>223</v>
      </c>
      <c r="K19152">
        <v>3206.11</v>
      </c>
      <c r="L19152">
        <v>217.15</v>
      </c>
      <c r="M19152">
        <v>11401</v>
      </c>
      <c r="N19152" t="s">
        <v>91</v>
      </c>
      <c r="O19152">
        <v>250211</v>
      </c>
      <c r="P19152">
        <v>851.55</v>
      </c>
    </row>
    <row r="19153" spans="1:16" x14ac:dyDescent="0.25">
      <c r="A19153" t="s">
        <v>3296</v>
      </c>
      <c r="B19153" t="s">
        <v>2931</v>
      </c>
      <c r="C19153">
        <v>1605</v>
      </c>
      <c r="D19153" t="str">
        <f>"6003472679  "</f>
        <v xml:space="preserve">6003472679  </v>
      </c>
      <c r="E19153" t="s">
        <v>959</v>
      </c>
      <c r="F19153" t="s">
        <v>960</v>
      </c>
      <c r="G19153">
        <v>2137.41</v>
      </c>
      <c r="H19153">
        <v>250131</v>
      </c>
      <c r="I19153">
        <v>4571</v>
      </c>
      <c r="J19153" t="s">
        <v>223</v>
      </c>
      <c r="K19153">
        <v>3206.11</v>
      </c>
      <c r="L19153">
        <v>434.29</v>
      </c>
      <c r="M19153">
        <v>14952</v>
      </c>
      <c r="N19153" t="s">
        <v>213</v>
      </c>
      <c r="O19153">
        <v>250211</v>
      </c>
      <c r="P19153">
        <v>1703.12</v>
      </c>
    </row>
    <row r="19154" spans="1:16" x14ac:dyDescent="0.25">
      <c r="A19154" t="s">
        <v>3296</v>
      </c>
      <c r="B19154" t="s">
        <v>2931</v>
      </c>
      <c r="C19154">
        <v>3067</v>
      </c>
      <c r="D19154" t="str">
        <f>"6003474256  "</f>
        <v xml:space="preserve">6003474256  </v>
      </c>
      <c r="E19154" t="s">
        <v>959</v>
      </c>
      <c r="F19154" t="s">
        <v>960</v>
      </c>
      <c r="G19154">
        <v>1003.3</v>
      </c>
      <c r="H19154">
        <v>250228</v>
      </c>
      <c r="I19154">
        <v>4571</v>
      </c>
      <c r="J19154" t="s">
        <v>223</v>
      </c>
      <c r="K19154">
        <v>3009.9</v>
      </c>
      <c r="L19154">
        <v>203.86</v>
      </c>
      <c r="M19154">
        <v>11401</v>
      </c>
      <c r="N19154" t="s">
        <v>91</v>
      </c>
      <c r="O19154">
        <v>250314</v>
      </c>
      <c r="P19154">
        <v>799.44</v>
      </c>
    </row>
    <row r="19155" spans="1:16" x14ac:dyDescent="0.25">
      <c r="A19155" t="s">
        <v>3296</v>
      </c>
      <c r="B19155" t="s">
        <v>2931</v>
      </c>
      <c r="C19155">
        <v>3067</v>
      </c>
      <c r="D19155" t="str">
        <f>"6003474256  "</f>
        <v xml:space="preserve">6003474256  </v>
      </c>
      <c r="E19155" t="s">
        <v>959</v>
      </c>
      <c r="F19155" t="s">
        <v>960</v>
      </c>
      <c r="G19155">
        <v>2006.6</v>
      </c>
      <c r="H19155">
        <v>250228</v>
      </c>
      <c r="I19155">
        <v>4571</v>
      </c>
      <c r="J19155" t="s">
        <v>223</v>
      </c>
      <c r="K19155">
        <v>3009.9</v>
      </c>
      <c r="L19155">
        <v>407.72</v>
      </c>
      <c r="M19155">
        <v>14952</v>
      </c>
      <c r="N19155" t="s">
        <v>213</v>
      </c>
      <c r="O19155">
        <v>250314</v>
      </c>
      <c r="P19155">
        <v>1598.88</v>
      </c>
    </row>
    <row r="19156" spans="1:16" x14ac:dyDescent="0.25">
      <c r="A19156" t="s">
        <v>3296</v>
      </c>
      <c r="B19156" t="s">
        <v>2931</v>
      </c>
      <c r="C19156">
        <v>3291</v>
      </c>
      <c r="D19156" t="str">
        <f>"6003475419  "</f>
        <v xml:space="preserve">6003475419  </v>
      </c>
      <c r="E19156" t="s">
        <v>959</v>
      </c>
      <c r="F19156" t="s">
        <v>960</v>
      </c>
      <c r="G19156">
        <v>3601.16</v>
      </c>
      <c r="H19156">
        <v>250228</v>
      </c>
      <c r="I19156">
        <v>4571</v>
      </c>
      <c r="J19156" t="s">
        <v>223</v>
      </c>
      <c r="K19156">
        <v>12003.87</v>
      </c>
      <c r="L19156">
        <v>731.71</v>
      </c>
      <c r="M19156">
        <v>14952</v>
      </c>
      <c r="N19156" t="s">
        <v>213</v>
      </c>
      <c r="O19156">
        <v>250318</v>
      </c>
      <c r="P19156">
        <v>2869.45</v>
      </c>
    </row>
    <row r="19157" spans="1:16" x14ac:dyDescent="0.25">
      <c r="A19157" t="s">
        <v>3296</v>
      </c>
      <c r="B19157" t="s">
        <v>2931</v>
      </c>
      <c r="C19157">
        <v>3291</v>
      </c>
      <c r="D19157" t="str">
        <f>"6003475419  "</f>
        <v xml:space="preserve">6003475419  </v>
      </c>
      <c r="E19157" t="s">
        <v>959</v>
      </c>
      <c r="F19157" t="s">
        <v>960</v>
      </c>
      <c r="G19157">
        <v>8402.7099999999991</v>
      </c>
      <c r="H19157">
        <v>250228</v>
      </c>
      <c r="I19157">
        <v>4571</v>
      </c>
      <c r="J19157" t="s">
        <v>223</v>
      </c>
      <c r="K19157">
        <v>12003.87</v>
      </c>
      <c r="L19157">
        <v>1707.32</v>
      </c>
      <c r="M19157">
        <v>14981</v>
      </c>
      <c r="N19157" t="s">
        <v>252</v>
      </c>
      <c r="O19157">
        <v>250318</v>
      </c>
      <c r="P19157">
        <v>6695.39</v>
      </c>
    </row>
    <row r="19158" spans="1:16" x14ac:dyDescent="0.25">
      <c r="A19158" t="s">
        <v>3296</v>
      </c>
      <c r="B19158" t="s">
        <v>2931</v>
      </c>
      <c r="C19158">
        <v>4699</v>
      </c>
      <c r="D19158" t="str">
        <f>"6003482635  "</f>
        <v xml:space="preserve">6003482635  </v>
      </c>
      <c r="E19158" t="s">
        <v>959</v>
      </c>
      <c r="F19158" t="s">
        <v>960</v>
      </c>
      <c r="G19158">
        <v>852.24</v>
      </c>
      <c r="H19158">
        <v>250331</v>
      </c>
      <c r="I19158">
        <v>4571</v>
      </c>
      <c r="J19158" t="s">
        <v>223</v>
      </c>
      <c r="K19158">
        <v>2556.7399999999998</v>
      </c>
      <c r="L19158">
        <v>173.16</v>
      </c>
      <c r="M19158">
        <v>11401</v>
      </c>
      <c r="N19158" t="s">
        <v>91</v>
      </c>
      <c r="O19158">
        <v>250414</v>
      </c>
      <c r="P19158">
        <v>679.08</v>
      </c>
    </row>
    <row r="19159" spans="1:16" x14ac:dyDescent="0.25">
      <c r="A19159" t="s">
        <v>3296</v>
      </c>
      <c r="B19159" t="s">
        <v>2931</v>
      </c>
      <c r="C19159">
        <v>4699</v>
      </c>
      <c r="D19159" t="str">
        <f>"6003482635  "</f>
        <v xml:space="preserve">6003482635  </v>
      </c>
      <c r="E19159" t="s">
        <v>959</v>
      </c>
      <c r="F19159" t="s">
        <v>960</v>
      </c>
      <c r="G19159">
        <v>1704.5</v>
      </c>
      <c r="H19159">
        <v>250331</v>
      </c>
      <c r="I19159">
        <v>4571</v>
      </c>
      <c r="J19159" t="s">
        <v>223</v>
      </c>
      <c r="K19159">
        <v>2556.7399999999998</v>
      </c>
      <c r="L19159">
        <v>346.33</v>
      </c>
      <c r="M19159">
        <v>14952</v>
      </c>
      <c r="N19159" t="s">
        <v>213</v>
      </c>
      <c r="O19159">
        <v>250414</v>
      </c>
      <c r="P19159">
        <v>1358.17</v>
      </c>
    </row>
    <row r="19160" spans="1:16" x14ac:dyDescent="0.25">
      <c r="A19160" t="s">
        <v>3296</v>
      </c>
      <c r="B19160" t="s">
        <v>2931</v>
      </c>
      <c r="C19160">
        <v>4765</v>
      </c>
      <c r="D19160" t="str">
        <f>"6003485461  "</f>
        <v xml:space="preserve">6003485461  </v>
      </c>
      <c r="E19160" t="s">
        <v>959</v>
      </c>
      <c r="F19160" t="s">
        <v>960</v>
      </c>
      <c r="G19160">
        <v>2752.51</v>
      </c>
      <c r="H19160">
        <v>250331</v>
      </c>
      <c r="I19160">
        <v>4571</v>
      </c>
      <c r="J19160" t="s">
        <v>223</v>
      </c>
      <c r="K19160">
        <v>9175.0499999999993</v>
      </c>
      <c r="L19160">
        <v>559.27</v>
      </c>
      <c r="M19160">
        <v>14952</v>
      </c>
      <c r="N19160" t="s">
        <v>213</v>
      </c>
      <c r="O19160">
        <v>250415</v>
      </c>
      <c r="P19160">
        <v>2193.2399999999998</v>
      </c>
    </row>
    <row r="19161" spans="1:16" x14ac:dyDescent="0.25">
      <c r="A19161" t="s">
        <v>3296</v>
      </c>
      <c r="B19161" t="s">
        <v>2931</v>
      </c>
      <c r="C19161">
        <v>4765</v>
      </c>
      <c r="D19161" t="str">
        <f>"6003485461  "</f>
        <v xml:space="preserve">6003485461  </v>
      </c>
      <c r="E19161" t="s">
        <v>959</v>
      </c>
      <c r="F19161" t="s">
        <v>960</v>
      </c>
      <c r="G19161">
        <v>6422.54</v>
      </c>
      <c r="H19161">
        <v>250331</v>
      </c>
      <c r="I19161">
        <v>4571</v>
      </c>
      <c r="J19161" t="s">
        <v>223</v>
      </c>
      <c r="K19161">
        <v>9175.0499999999993</v>
      </c>
      <c r="L19161">
        <v>1304.98</v>
      </c>
      <c r="M19161">
        <v>14981</v>
      </c>
      <c r="N19161" t="s">
        <v>252</v>
      </c>
      <c r="O19161">
        <v>250415</v>
      </c>
      <c r="P19161">
        <v>5117.5600000000004</v>
      </c>
    </row>
    <row r="19162" spans="1:16" x14ac:dyDescent="0.25">
      <c r="A19162" t="s">
        <v>3296</v>
      </c>
      <c r="B19162" t="s">
        <v>2931</v>
      </c>
      <c r="C19162">
        <v>6406</v>
      </c>
      <c r="D19162" t="str">
        <f>"6003487180  "</f>
        <v xml:space="preserve">6003487180  </v>
      </c>
      <c r="E19162" t="s">
        <v>959</v>
      </c>
      <c r="F19162" t="s">
        <v>960</v>
      </c>
      <c r="G19162">
        <v>617.29</v>
      </c>
      <c r="H19162">
        <v>250430</v>
      </c>
      <c r="I19162">
        <v>4571</v>
      </c>
      <c r="J19162" t="s">
        <v>223</v>
      </c>
      <c r="K19162">
        <v>1851.87</v>
      </c>
      <c r="L19162">
        <v>125.43</v>
      </c>
      <c r="M19162">
        <v>11401</v>
      </c>
      <c r="N19162" t="s">
        <v>91</v>
      </c>
      <c r="O19162">
        <v>250513</v>
      </c>
      <c r="P19162">
        <v>491.86</v>
      </c>
    </row>
    <row r="19163" spans="1:16" x14ac:dyDescent="0.25">
      <c r="A19163" t="s">
        <v>3296</v>
      </c>
      <c r="B19163" t="s">
        <v>2931</v>
      </c>
      <c r="C19163">
        <v>6406</v>
      </c>
      <c r="D19163" t="str">
        <f>"6003487180  "</f>
        <v xml:space="preserve">6003487180  </v>
      </c>
      <c r="E19163" t="s">
        <v>959</v>
      </c>
      <c r="F19163" t="s">
        <v>960</v>
      </c>
      <c r="G19163">
        <v>1234.58</v>
      </c>
      <c r="H19163">
        <v>250430</v>
      </c>
      <c r="I19163">
        <v>4571</v>
      </c>
      <c r="J19163" t="s">
        <v>223</v>
      </c>
      <c r="K19163">
        <v>1851.87</v>
      </c>
      <c r="L19163">
        <v>250.85</v>
      </c>
      <c r="M19163">
        <v>14952</v>
      </c>
      <c r="N19163" t="s">
        <v>213</v>
      </c>
      <c r="O19163">
        <v>250513</v>
      </c>
      <c r="P19163">
        <v>983.73</v>
      </c>
    </row>
    <row r="19164" spans="1:16" x14ac:dyDescent="0.25">
      <c r="A19164" t="s">
        <v>3296</v>
      </c>
      <c r="B19164" t="s">
        <v>2931</v>
      </c>
      <c r="C19164">
        <v>6416</v>
      </c>
      <c r="D19164" t="str">
        <f>"6003488809  "</f>
        <v xml:space="preserve">6003488809  </v>
      </c>
      <c r="E19164" t="s">
        <v>959</v>
      </c>
      <c r="F19164" t="s">
        <v>960</v>
      </c>
      <c r="G19164">
        <v>1840.98</v>
      </c>
      <c r="H19164">
        <v>250430</v>
      </c>
      <c r="I19164">
        <v>4571</v>
      </c>
      <c r="J19164" t="s">
        <v>223</v>
      </c>
      <c r="K19164">
        <v>6136.61</v>
      </c>
      <c r="L19164">
        <v>374.06</v>
      </c>
      <c r="M19164">
        <v>14952</v>
      </c>
      <c r="N19164" t="s">
        <v>213</v>
      </c>
      <c r="O19164">
        <v>250513</v>
      </c>
      <c r="P19164">
        <v>1466.92</v>
      </c>
    </row>
    <row r="19165" spans="1:16" x14ac:dyDescent="0.25">
      <c r="A19165" t="s">
        <v>3296</v>
      </c>
      <c r="B19165" t="s">
        <v>2931</v>
      </c>
      <c r="C19165">
        <v>6416</v>
      </c>
      <c r="D19165" t="str">
        <f>"6003488809  "</f>
        <v xml:space="preserve">6003488809  </v>
      </c>
      <c r="E19165" t="s">
        <v>959</v>
      </c>
      <c r="F19165" t="s">
        <v>960</v>
      </c>
      <c r="G19165">
        <v>4295.63</v>
      </c>
      <c r="H19165">
        <v>250430</v>
      </c>
      <c r="I19165">
        <v>4571</v>
      </c>
      <c r="J19165" t="s">
        <v>223</v>
      </c>
      <c r="K19165">
        <v>6136.61</v>
      </c>
      <c r="L19165">
        <v>872.82</v>
      </c>
      <c r="M19165">
        <v>14981</v>
      </c>
      <c r="N19165" t="s">
        <v>252</v>
      </c>
      <c r="O19165">
        <v>250513</v>
      </c>
      <c r="P19165">
        <v>3422.81</v>
      </c>
    </row>
    <row r="19166" spans="1:16" x14ac:dyDescent="0.25">
      <c r="A19166" t="s">
        <v>3296</v>
      </c>
      <c r="B19166" t="s">
        <v>2931</v>
      </c>
      <c r="C19166">
        <v>8248</v>
      </c>
      <c r="D19166" t="str">
        <f>"6003497538  "</f>
        <v xml:space="preserve">6003497538  </v>
      </c>
      <c r="E19166" t="s">
        <v>959</v>
      </c>
      <c r="F19166" t="s">
        <v>960</v>
      </c>
      <c r="G19166">
        <v>374.84</v>
      </c>
      <c r="H19166">
        <v>250530</v>
      </c>
      <c r="I19166">
        <v>4571</v>
      </c>
      <c r="J19166" t="s">
        <v>223</v>
      </c>
      <c r="K19166">
        <v>1124.53</v>
      </c>
      <c r="L19166">
        <v>76.16</v>
      </c>
      <c r="M19166">
        <v>11401</v>
      </c>
      <c r="N19166" t="s">
        <v>91</v>
      </c>
      <c r="O19166">
        <v>250612</v>
      </c>
      <c r="P19166">
        <v>298.68</v>
      </c>
    </row>
    <row r="19167" spans="1:16" x14ac:dyDescent="0.25">
      <c r="A19167" t="s">
        <v>3296</v>
      </c>
      <c r="B19167" t="s">
        <v>2931</v>
      </c>
      <c r="C19167">
        <v>8248</v>
      </c>
      <c r="D19167" t="str">
        <f>"6003497538  "</f>
        <v xml:space="preserve">6003497538  </v>
      </c>
      <c r="E19167" t="s">
        <v>959</v>
      </c>
      <c r="F19167" t="s">
        <v>960</v>
      </c>
      <c r="G19167">
        <v>749.69</v>
      </c>
      <c r="H19167">
        <v>250530</v>
      </c>
      <c r="I19167">
        <v>4571</v>
      </c>
      <c r="J19167" t="s">
        <v>223</v>
      </c>
      <c r="K19167">
        <v>1124.53</v>
      </c>
      <c r="L19167">
        <v>152.33000000000001</v>
      </c>
      <c r="M19167">
        <v>14952</v>
      </c>
      <c r="N19167" t="s">
        <v>213</v>
      </c>
      <c r="O19167">
        <v>250612</v>
      </c>
      <c r="P19167">
        <v>597.36</v>
      </c>
    </row>
    <row r="19168" spans="1:16" x14ac:dyDescent="0.25">
      <c r="A19168" t="s">
        <v>3296</v>
      </c>
      <c r="B19168" t="s">
        <v>2931</v>
      </c>
      <c r="C19168">
        <v>8331</v>
      </c>
      <c r="D19168" t="str">
        <f>"6003493253  "</f>
        <v xml:space="preserve">6003493253  </v>
      </c>
      <c r="E19168" t="s">
        <v>959</v>
      </c>
      <c r="F19168" t="s">
        <v>960</v>
      </c>
      <c r="G19168">
        <v>1064.46</v>
      </c>
      <c r="H19168">
        <v>250531</v>
      </c>
      <c r="I19168">
        <v>4571</v>
      </c>
      <c r="J19168" t="s">
        <v>223</v>
      </c>
      <c r="K19168">
        <v>3548.2</v>
      </c>
      <c r="L19168">
        <v>216.28</v>
      </c>
      <c r="M19168">
        <v>14952</v>
      </c>
      <c r="N19168" t="s">
        <v>213</v>
      </c>
      <c r="O19168">
        <v>250612</v>
      </c>
      <c r="P19168">
        <v>848.18</v>
      </c>
    </row>
    <row r="19169" spans="1:16" x14ac:dyDescent="0.25">
      <c r="A19169" t="s">
        <v>3296</v>
      </c>
      <c r="B19169" t="s">
        <v>2931</v>
      </c>
      <c r="C19169">
        <v>8331</v>
      </c>
      <c r="D19169" t="str">
        <f>"6003493253  "</f>
        <v xml:space="preserve">6003493253  </v>
      </c>
      <c r="E19169" t="s">
        <v>959</v>
      </c>
      <c r="F19169" t="s">
        <v>960</v>
      </c>
      <c r="G19169">
        <v>2483.7399999999998</v>
      </c>
      <c r="H19169">
        <v>250531</v>
      </c>
      <c r="I19169">
        <v>4571</v>
      </c>
      <c r="J19169" t="s">
        <v>223</v>
      </c>
      <c r="K19169">
        <v>3548.2</v>
      </c>
      <c r="L19169">
        <v>504.66</v>
      </c>
      <c r="M19169">
        <v>14981</v>
      </c>
      <c r="N19169" t="s">
        <v>252</v>
      </c>
      <c r="O19169">
        <v>250612</v>
      </c>
      <c r="P19169">
        <v>1979.08</v>
      </c>
    </row>
    <row r="19170" spans="1:16" x14ac:dyDescent="0.25">
      <c r="A19170" t="s">
        <v>3296</v>
      </c>
      <c r="B19170" t="s">
        <v>2931</v>
      </c>
      <c r="C19170">
        <v>9322</v>
      </c>
      <c r="D19170" t="str">
        <f>"6003500855  "</f>
        <v xml:space="preserve">6003500855  </v>
      </c>
      <c r="E19170" t="s">
        <v>959</v>
      </c>
      <c r="F19170" t="s">
        <v>960</v>
      </c>
      <c r="G19170">
        <v>793.87</v>
      </c>
      <c r="H19170">
        <v>250630</v>
      </c>
      <c r="I19170">
        <v>4571</v>
      </c>
      <c r="J19170" t="s">
        <v>223</v>
      </c>
      <c r="K19170">
        <v>2646.23</v>
      </c>
      <c r="L19170">
        <v>161.30000000000001</v>
      </c>
      <c r="M19170">
        <v>14952</v>
      </c>
      <c r="N19170" t="s">
        <v>213</v>
      </c>
      <c r="O19170">
        <v>250703</v>
      </c>
      <c r="P19170">
        <v>632.57000000000005</v>
      </c>
    </row>
    <row r="19171" spans="1:16" x14ac:dyDescent="0.25">
      <c r="A19171" t="s">
        <v>3296</v>
      </c>
      <c r="B19171" t="s">
        <v>2931</v>
      </c>
      <c r="C19171">
        <v>9322</v>
      </c>
      <c r="D19171" t="str">
        <f>"6003500855  "</f>
        <v xml:space="preserve">6003500855  </v>
      </c>
      <c r="E19171" t="s">
        <v>959</v>
      </c>
      <c r="F19171" t="s">
        <v>960</v>
      </c>
      <c r="G19171">
        <v>1852.36</v>
      </c>
      <c r="H19171">
        <v>250630</v>
      </c>
      <c r="I19171">
        <v>4571</v>
      </c>
      <c r="J19171" t="s">
        <v>223</v>
      </c>
      <c r="K19171">
        <v>2646.23</v>
      </c>
      <c r="L19171">
        <v>376.38</v>
      </c>
      <c r="M19171">
        <v>14981</v>
      </c>
      <c r="N19171" t="s">
        <v>252</v>
      </c>
      <c r="O19171">
        <v>250703</v>
      </c>
      <c r="P19171">
        <v>1475.98</v>
      </c>
    </row>
    <row r="19172" spans="1:16" x14ac:dyDescent="0.25">
      <c r="A19172" t="s">
        <v>3296</v>
      </c>
      <c r="B19172" t="s">
        <v>2931</v>
      </c>
      <c r="C19172">
        <v>9336</v>
      </c>
      <c r="D19172" t="str">
        <f>"6003503069  "</f>
        <v xml:space="preserve">6003503069  </v>
      </c>
      <c r="E19172" t="s">
        <v>959</v>
      </c>
      <c r="F19172" t="s">
        <v>960</v>
      </c>
      <c r="G19172">
        <v>284.93</v>
      </c>
      <c r="H19172">
        <v>250630</v>
      </c>
      <c r="I19172">
        <v>4571</v>
      </c>
      <c r="J19172" t="s">
        <v>223</v>
      </c>
      <c r="K19172">
        <v>854.79</v>
      </c>
      <c r="L19172">
        <v>57.89</v>
      </c>
      <c r="M19172">
        <v>11401</v>
      </c>
      <c r="N19172" t="s">
        <v>91</v>
      </c>
      <c r="O19172">
        <v>250703</v>
      </c>
      <c r="P19172">
        <v>227.04</v>
      </c>
    </row>
    <row r="19173" spans="1:16" x14ac:dyDescent="0.25">
      <c r="A19173" t="s">
        <v>3296</v>
      </c>
      <c r="B19173" t="s">
        <v>2931</v>
      </c>
      <c r="C19173">
        <v>9336</v>
      </c>
      <c r="D19173" t="str">
        <f>"6003503069  "</f>
        <v xml:space="preserve">6003503069  </v>
      </c>
      <c r="E19173" t="s">
        <v>959</v>
      </c>
      <c r="F19173" t="s">
        <v>960</v>
      </c>
      <c r="G19173">
        <v>569.86</v>
      </c>
      <c r="H19173">
        <v>250630</v>
      </c>
      <c r="I19173">
        <v>4571</v>
      </c>
      <c r="J19173" t="s">
        <v>223</v>
      </c>
      <c r="K19173">
        <v>854.79</v>
      </c>
      <c r="L19173">
        <v>115.79</v>
      </c>
      <c r="M19173">
        <v>14952</v>
      </c>
      <c r="N19173" t="s">
        <v>213</v>
      </c>
      <c r="O19173">
        <v>250703</v>
      </c>
      <c r="P19173">
        <v>454.07</v>
      </c>
    </row>
    <row r="19174" spans="1:16" x14ac:dyDescent="0.25">
      <c r="A19174" t="s">
        <v>3296</v>
      </c>
      <c r="B19174" t="s">
        <v>2931</v>
      </c>
      <c r="C19174">
        <v>10120</v>
      </c>
      <c r="D19174" t="str">
        <f>"6003505053  "</f>
        <v xml:space="preserve">6003505053  </v>
      </c>
      <c r="E19174" t="s">
        <v>959</v>
      </c>
      <c r="F19174" t="s">
        <v>960</v>
      </c>
      <c r="G19174">
        <v>622.69000000000005</v>
      </c>
      <c r="H19174">
        <v>250731</v>
      </c>
      <c r="I19174">
        <v>4571</v>
      </c>
      <c r="J19174" t="s">
        <v>223</v>
      </c>
      <c r="K19174">
        <v>2075.62</v>
      </c>
      <c r="L19174">
        <v>126.52</v>
      </c>
      <c r="M19174">
        <v>14952</v>
      </c>
      <c r="N19174" t="s">
        <v>213</v>
      </c>
      <c r="O19174">
        <v>250812</v>
      </c>
      <c r="P19174">
        <v>496.17</v>
      </c>
    </row>
    <row r="19175" spans="1:16" x14ac:dyDescent="0.25">
      <c r="A19175" t="s">
        <v>3296</v>
      </c>
      <c r="B19175" t="s">
        <v>2931</v>
      </c>
      <c r="C19175">
        <v>10120</v>
      </c>
      <c r="D19175" t="str">
        <f>"6003505053  "</f>
        <v xml:space="preserve">6003505053  </v>
      </c>
      <c r="E19175" t="s">
        <v>959</v>
      </c>
      <c r="F19175" t="s">
        <v>960</v>
      </c>
      <c r="G19175">
        <v>1452.93</v>
      </c>
      <c r="H19175">
        <v>250731</v>
      </c>
      <c r="I19175">
        <v>4571</v>
      </c>
      <c r="J19175" t="s">
        <v>223</v>
      </c>
      <c r="K19175">
        <v>2075.62</v>
      </c>
      <c r="L19175">
        <v>295.22000000000003</v>
      </c>
      <c r="M19175">
        <v>14981</v>
      </c>
      <c r="N19175" t="s">
        <v>252</v>
      </c>
      <c r="O19175">
        <v>250812</v>
      </c>
      <c r="P19175">
        <v>1157.71</v>
      </c>
    </row>
    <row r="19176" spans="1:16" x14ac:dyDescent="0.25">
      <c r="A19176" t="s">
        <v>3296</v>
      </c>
      <c r="B19176" t="s">
        <v>2931</v>
      </c>
      <c r="C19176">
        <v>10124</v>
      </c>
      <c r="D19176" t="str">
        <f>"6003504420  "</f>
        <v xml:space="preserve">6003504420  </v>
      </c>
      <c r="E19176" t="s">
        <v>959</v>
      </c>
      <c r="F19176" t="s">
        <v>960</v>
      </c>
      <c r="G19176">
        <v>235.18</v>
      </c>
      <c r="H19176">
        <v>250731</v>
      </c>
      <c r="I19176">
        <v>4571</v>
      </c>
      <c r="J19176" t="s">
        <v>223</v>
      </c>
      <c r="K19176">
        <v>705.55</v>
      </c>
      <c r="L19176">
        <v>47.79</v>
      </c>
      <c r="M19176">
        <v>11401</v>
      </c>
      <c r="N19176" t="s">
        <v>91</v>
      </c>
      <c r="O19176">
        <v>250812</v>
      </c>
      <c r="P19176">
        <v>187.39</v>
      </c>
    </row>
    <row r="19177" spans="1:16" x14ac:dyDescent="0.25">
      <c r="A19177" t="s">
        <v>3296</v>
      </c>
      <c r="B19177" t="s">
        <v>2931</v>
      </c>
      <c r="C19177">
        <v>10124</v>
      </c>
      <c r="D19177" t="str">
        <f>"6003504420  "</f>
        <v xml:space="preserve">6003504420  </v>
      </c>
      <c r="E19177" t="s">
        <v>959</v>
      </c>
      <c r="F19177" t="s">
        <v>960</v>
      </c>
      <c r="G19177">
        <v>470.37</v>
      </c>
      <c r="H19177">
        <v>250731</v>
      </c>
      <c r="I19177">
        <v>4571</v>
      </c>
      <c r="J19177" t="s">
        <v>223</v>
      </c>
      <c r="K19177">
        <v>705.55</v>
      </c>
      <c r="L19177">
        <v>95.57</v>
      </c>
      <c r="M19177">
        <v>14952</v>
      </c>
      <c r="N19177" t="s">
        <v>213</v>
      </c>
      <c r="O19177">
        <v>250812</v>
      </c>
      <c r="P19177">
        <v>374.8</v>
      </c>
    </row>
    <row r="19178" spans="1:16" x14ac:dyDescent="0.25">
      <c r="A19178" t="s">
        <v>3296</v>
      </c>
      <c r="B19178" t="s">
        <v>2931</v>
      </c>
      <c r="C19178">
        <v>11690</v>
      </c>
      <c r="D19178" t="str">
        <f>"6003515472  "</f>
        <v xml:space="preserve">6003515472  </v>
      </c>
      <c r="E19178" t="s">
        <v>959</v>
      </c>
      <c r="F19178" t="s">
        <v>960</v>
      </c>
      <c r="G19178">
        <v>766.59</v>
      </c>
      <c r="H19178">
        <v>250831</v>
      </c>
      <c r="I19178">
        <v>4571</v>
      </c>
      <c r="J19178" t="s">
        <v>223</v>
      </c>
      <c r="K19178">
        <v>2555.31</v>
      </c>
      <c r="L19178">
        <v>155.76</v>
      </c>
      <c r="M19178">
        <v>14952</v>
      </c>
      <c r="N19178" t="s">
        <v>213</v>
      </c>
      <c r="O19178">
        <v>250910</v>
      </c>
      <c r="P19178">
        <v>610.83000000000004</v>
      </c>
    </row>
    <row r="19179" spans="1:16" x14ac:dyDescent="0.25">
      <c r="A19179" t="s">
        <v>3296</v>
      </c>
      <c r="B19179" t="s">
        <v>2931</v>
      </c>
      <c r="C19179">
        <v>11690</v>
      </c>
      <c r="D19179" t="str">
        <f>"6003515472  "</f>
        <v xml:space="preserve">6003515472  </v>
      </c>
      <c r="E19179" t="s">
        <v>959</v>
      </c>
      <c r="F19179" t="s">
        <v>960</v>
      </c>
      <c r="G19179">
        <v>1788.72</v>
      </c>
      <c r="H19179">
        <v>250831</v>
      </c>
      <c r="I19179">
        <v>4571</v>
      </c>
      <c r="J19179" t="s">
        <v>223</v>
      </c>
      <c r="K19179">
        <v>2555.31</v>
      </c>
      <c r="L19179">
        <v>363.45</v>
      </c>
      <c r="M19179">
        <v>14981</v>
      </c>
      <c r="N19179" t="s">
        <v>252</v>
      </c>
      <c r="O19179">
        <v>250910</v>
      </c>
      <c r="P19179">
        <v>1425.27</v>
      </c>
    </row>
    <row r="19180" spans="1:16" x14ac:dyDescent="0.25">
      <c r="A19180" t="s">
        <v>3296</v>
      </c>
      <c r="B19180" t="s">
        <v>2931</v>
      </c>
      <c r="C19180">
        <v>11691</v>
      </c>
      <c r="D19180" t="str">
        <f>"6003513641  "</f>
        <v xml:space="preserve">6003513641  </v>
      </c>
      <c r="E19180" t="s">
        <v>959</v>
      </c>
      <c r="F19180" t="s">
        <v>960</v>
      </c>
      <c r="G19180">
        <v>248.51</v>
      </c>
      <c r="H19180">
        <v>250831</v>
      </c>
      <c r="I19180">
        <v>4571</v>
      </c>
      <c r="J19180" t="s">
        <v>223</v>
      </c>
      <c r="K19180">
        <v>828.36</v>
      </c>
      <c r="L19180">
        <v>50.49</v>
      </c>
      <c r="M19180">
        <v>11401</v>
      </c>
      <c r="N19180" t="s">
        <v>91</v>
      </c>
      <c r="O19180">
        <v>250910</v>
      </c>
      <c r="P19180">
        <v>198.02</v>
      </c>
    </row>
    <row r="19181" spans="1:16" x14ac:dyDescent="0.25">
      <c r="A19181" t="s">
        <v>3296</v>
      </c>
      <c r="B19181" t="s">
        <v>2931</v>
      </c>
      <c r="C19181">
        <v>11691</v>
      </c>
      <c r="D19181" t="str">
        <f>"6003513641  "</f>
        <v xml:space="preserve">6003513641  </v>
      </c>
      <c r="E19181" t="s">
        <v>959</v>
      </c>
      <c r="F19181" t="s">
        <v>960</v>
      </c>
      <c r="G19181">
        <v>579.85</v>
      </c>
      <c r="H19181">
        <v>250831</v>
      </c>
      <c r="I19181">
        <v>4571</v>
      </c>
      <c r="J19181" t="s">
        <v>223</v>
      </c>
      <c r="K19181">
        <v>828.36</v>
      </c>
      <c r="L19181">
        <v>117.82</v>
      </c>
      <c r="M19181">
        <v>14952</v>
      </c>
      <c r="N19181" t="s">
        <v>213</v>
      </c>
      <c r="O19181">
        <v>250910</v>
      </c>
      <c r="P19181">
        <v>462.03</v>
      </c>
    </row>
    <row r="19182" spans="1:16" x14ac:dyDescent="0.25">
      <c r="A19182" t="s">
        <v>3296</v>
      </c>
      <c r="B19182" t="s">
        <v>2931</v>
      </c>
      <c r="C19182">
        <v>13034</v>
      </c>
      <c r="D19182" t="str">
        <f>"6003519416  "</f>
        <v xml:space="preserve">6003519416  </v>
      </c>
      <c r="E19182" t="s">
        <v>959</v>
      </c>
      <c r="F19182" t="s">
        <v>960</v>
      </c>
      <c r="G19182">
        <v>806.72</v>
      </c>
      <c r="H19182">
        <v>250930</v>
      </c>
      <c r="I19182">
        <v>4571</v>
      </c>
      <c r="J19182" t="s">
        <v>223</v>
      </c>
      <c r="K19182">
        <v>2689.06</v>
      </c>
      <c r="L19182">
        <v>163.92</v>
      </c>
      <c r="M19182">
        <v>14952</v>
      </c>
      <c r="N19182" t="s">
        <v>213</v>
      </c>
      <c r="O19182">
        <v>251003</v>
      </c>
      <c r="P19182">
        <v>642.79999999999995</v>
      </c>
    </row>
    <row r="19183" spans="1:16" x14ac:dyDescent="0.25">
      <c r="A19183" t="s">
        <v>3296</v>
      </c>
      <c r="B19183" t="s">
        <v>2931</v>
      </c>
      <c r="C19183">
        <v>13034</v>
      </c>
      <c r="D19183" t="str">
        <f>"6003519416  "</f>
        <v xml:space="preserve">6003519416  </v>
      </c>
      <c r="E19183" t="s">
        <v>959</v>
      </c>
      <c r="F19183" t="s">
        <v>960</v>
      </c>
      <c r="G19183">
        <v>1882.34</v>
      </c>
      <c r="H19183">
        <v>250930</v>
      </c>
      <c r="I19183">
        <v>4571</v>
      </c>
      <c r="J19183" t="s">
        <v>223</v>
      </c>
      <c r="K19183">
        <v>2689.06</v>
      </c>
      <c r="L19183">
        <v>382.47</v>
      </c>
      <c r="M19183">
        <v>14981</v>
      </c>
      <c r="N19183" t="s">
        <v>252</v>
      </c>
      <c r="O19183">
        <v>251003</v>
      </c>
      <c r="P19183">
        <v>1499.87</v>
      </c>
    </row>
    <row r="19184" spans="1:16" x14ac:dyDescent="0.25">
      <c r="A19184" t="s">
        <v>3296</v>
      </c>
      <c r="B19184" t="s">
        <v>2931</v>
      </c>
      <c r="C19184">
        <v>13037</v>
      </c>
      <c r="D19184" t="str">
        <f>"6003518979  "</f>
        <v xml:space="preserve">6003518979  </v>
      </c>
      <c r="E19184" t="s">
        <v>959</v>
      </c>
      <c r="F19184" t="s">
        <v>960</v>
      </c>
      <c r="G19184">
        <v>272.57</v>
      </c>
      <c r="H19184">
        <v>250930</v>
      </c>
      <c r="I19184">
        <v>4571</v>
      </c>
      <c r="J19184" t="s">
        <v>223</v>
      </c>
      <c r="K19184">
        <v>908.57</v>
      </c>
      <c r="L19184">
        <v>55.38</v>
      </c>
      <c r="M19184">
        <v>11401</v>
      </c>
      <c r="N19184" t="s">
        <v>91</v>
      </c>
      <c r="O19184">
        <v>251003</v>
      </c>
      <c r="P19184">
        <v>217.19</v>
      </c>
    </row>
    <row r="19185" spans="1:16" x14ac:dyDescent="0.25">
      <c r="A19185" t="s">
        <v>3296</v>
      </c>
      <c r="B19185" t="s">
        <v>2931</v>
      </c>
      <c r="C19185">
        <v>13037</v>
      </c>
      <c r="D19185" t="str">
        <f>"6003518979  "</f>
        <v xml:space="preserve">6003518979  </v>
      </c>
      <c r="E19185" t="s">
        <v>959</v>
      </c>
      <c r="F19185" t="s">
        <v>960</v>
      </c>
      <c r="G19185">
        <v>636</v>
      </c>
      <c r="H19185">
        <v>250930</v>
      </c>
      <c r="I19185">
        <v>4571</v>
      </c>
      <c r="J19185" t="s">
        <v>223</v>
      </c>
      <c r="K19185">
        <v>908.57</v>
      </c>
      <c r="L19185">
        <v>129.22999999999999</v>
      </c>
      <c r="M19185">
        <v>14952</v>
      </c>
      <c r="N19185" t="s">
        <v>213</v>
      </c>
      <c r="O19185">
        <v>251003</v>
      </c>
      <c r="P19185">
        <v>506.77</v>
      </c>
    </row>
    <row r="19186" spans="1:16" x14ac:dyDescent="0.25">
      <c r="A19186" t="s">
        <v>3296</v>
      </c>
      <c r="B19186" t="s">
        <v>2931</v>
      </c>
      <c r="C19186">
        <v>14925</v>
      </c>
      <c r="D19186" t="str">
        <f>"6003523338  "</f>
        <v xml:space="preserve">6003523338  </v>
      </c>
      <c r="E19186" t="s">
        <v>959</v>
      </c>
      <c r="F19186" t="s">
        <v>960</v>
      </c>
      <c r="G19186">
        <v>1579.29</v>
      </c>
      <c r="H19186">
        <v>251031</v>
      </c>
      <c r="I19186">
        <v>4571</v>
      </c>
      <c r="J19186" t="s">
        <v>223</v>
      </c>
      <c r="K19186">
        <v>5264.31</v>
      </c>
      <c r="L19186">
        <v>320.89</v>
      </c>
      <c r="M19186">
        <v>14952</v>
      </c>
      <c r="N19186" t="s">
        <v>213</v>
      </c>
      <c r="O19186">
        <v>251110</v>
      </c>
      <c r="P19186">
        <v>1258.4000000000001</v>
      </c>
    </row>
    <row r="19187" spans="1:16" x14ac:dyDescent="0.25">
      <c r="A19187" t="s">
        <v>3296</v>
      </c>
      <c r="B19187" t="s">
        <v>2931</v>
      </c>
      <c r="C19187">
        <v>14925</v>
      </c>
      <c r="D19187" t="str">
        <f>"6003523338  "</f>
        <v xml:space="preserve">6003523338  </v>
      </c>
      <c r="E19187" t="s">
        <v>959</v>
      </c>
      <c r="F19187" t="s">
        <v>960</v>
      </c>
      <c r="G19187">
        <v>3685.02</v>
      </c>
      <c r="H19187">
        <v>251031</v>
      </c>
      <c r="I19187">
        <v>4571</v>
      </c>
      <c r="J19187" t="s">
        <v>223</v>
      </c>
      <c r="K19187">
        <v>5264.31</v>
      </c>
      <c r="L19187">
        <v>748.75</v>
      </c>
      <c r="M19187">
        <v>14981</v>
      </c>
      <c r="N19187" t="s">
        <v>252</v>
      </c>
      <c r="O19187">
        <v>251110</v>
      </c>
      <c r="P19187">
        <v>2936.27</v>
      </c>
    </row>
    <row r="19188" spans="1:16" x14ac:dyDescent="0.25">
      <c r="A19188" t="s">
        <v>3296</v>
      </c>
      <c r="B19188" t="s">
        <v>2931</v>
      </c>
      <c r="C19188">
        <v>14928</v>
      </c>
      <c r="D19188" t="str">
        <f>"6003527079  "</f>
        <v xml:space="preserve">6003527079  </v>
      </c>
      <c r="E19188" t="s">
        <v>959</v>
      </c>
      <c r="F19188" t="s">
        <v>960</v>
      </c>
      <c r="G19188">
        <v>588.89</v>
      </c>
      <c r="H19188">
        <v>251031</v>
      </c>
      <c r="I19188">
        <v>4571</v>
      </c>
      <c r="J19188" t="s">
        <v>223</v>
      </c>
      <c r="K19188">
        <v>1766.69</v>
      </c>
      <c r="L19188">
        <v>119.65</v>
      </c>
      <c r="M19188">
        <v>11401</v>
      </c>
      <c r="N19188" t="s">
        <v>91</v>
      </c>
      <c r="O19188">
        <v>251110</v>
      </c>
      <c r="P19188">
        <v>469.24</v>
      </c>
    </row>
    <row r="19189" spans="1:16" x14ac:dyDescent="0.25">
      <c r="A19189" t="s">
        <v>3296</v>
      </c>
      <c r="B19189" t="s">
        <v>2931</v>
      </c>
      <c r="C19189">
        <v>14928</v>
      </c>
      <c r="D19189" t="str">
        <f>"6003527079  "</f>
        <v xml:space="preserve">6003527079  </v>
      </c>
      <c r="E19189" t="s">
        <v>959</v>
      </c>
      <c r="F19189" t="s">
        <v>960</v>
      </c>
      <c r="G19189">
        <v>1177.8</v>
      </c>
      <c r="H19189">
        <v>251031</v>
      </c>
      <c r="I19189">
        <v>4571</v>
      </c>
      <c r="J19189" t="s">
        <v>223</v>
      </c>
      <c r="K19189">
        <v>1766.69</v>
      </c>
      <c r="L19189">
        <v>239.31</v>
      </c>
      <c r="M19189">
        <v>14952</v>
      </c>
      <c r="N19189" t="s">
        <v>213</v>
      </c>
      <c r="O19189">
        <v>251110</v>
      </c>
      <c r="P19189">
        <v>938.49</v>
      </c>
    </row>
    <row r="19190" spans="1:16" x14ac:dyDescent="0.25">
      <c r="A19190" t="s">
        <v>3296</v>
      </c>
      <c r="B19190" t="s">
        <v>2931</v>
      </c>
      <c r="C19190">
        <v>16519</v>
      </c>
      <c r="D19190" t="str">
        <f>"6003530852  "</f>
        <v xml:space="preserve">6003530852  </v>
      </c>
      <c r="E19190" t="s">
        <v>959</v>
      </c>
      <c r="F19190" t="s">
        <v>960</v>
      </c>
      <c r="G19190">
        <v>2468.81</v>
      </c>
      <c r="H19190">
        <v>251130</v>
      </c>
      <c r="I19190">
        <v>4571</v>
      </c>
      <c r="J19190" t="s">
        <v>223</v>
      </c>
      <c r="K19190">
        <v>8229.36</v>
      </c>
      <c r="L19190">
        <v>501.63</v>
      </c>
      <c r="M19190">
        <v>14952</v>
      </c>
      <c r="N19190" t="s">
        <v>213</v>
      </c>
      <c r="O19190">
        <v>251209</v>
      </c>
      <c r="P19190">
        <v>1967.18</v>
      </c>
    </row>
    <row r="19191" spans="1:16" x14ac:dyDescent="0.25">
      <c r="A19191" t="s">
        <v>3296</v>
      </c>
      <c r="B19191" t="s">
        <v>2931</v>
      </c>
      <c r="C19191">
        <v>16519</v>
      </c>
      <c r="D19191" t="str">
        <f>"6003530852  "</f>
        <v xml:space="preserve">6003530852  </v>
      </c>
      <c r="E19191" t="s">
        <v>959</v>
      </c>
      <c r="F19191" t="s">
        <v>960</v>
      </c>
      <c r="G19191">
        <v>5760.55</v>
      </c>
      <c r="H19191">
        <v>251130</v>
      </c>
      <c r="I19191">
        <v>4571</v>
      </c>
      <c r="J19191" t="s">
        <v>223</v>
      </c>
      <c r="K19191">
        <v>8229.36</v>
      </c>
      <c r="L19191">
        <v>1170.47</v>
      </c>
      <c r="M19191">
        <v>14981</v>
      </c>
      <c r="N19191" t="s">
        <v>252</v>
      </c>
      <c r="O19191">
        <v>251209</v>
      </c>
      <c r="P19191">
        <v>4590.08</v>
      </c>
    </row>
    <row r="19192" spans="1:16" x14ac:dyDescent="0.25">
      <c r="A19192" t="s">
        <v>3296</v>
      </c>
      <c r="B19192" t="s">
        <v>2931</v>
      </c>
      <c r="C19192">
        <v>16521</v>
      </c>
      <c r="D19192" t="str">
        <f>"6003532476  "</f>
        <v xml:space="preserve">6003532476  </v>
      </c>
      <c r="E19192" t="s">
        <v>959</v>
      </c>
      <c r="F19192" t="s">
        <v>960</v>
      </c>
      <c r="G19192">
        <v>683.68</v>
      </c>
      <c r="H19192">
        <v>251130</v>
      </c>
      <c r="I19192">
        <v>4571</v>
      </c>
      <c r="J19192" t="s">
        <v>223</v>
      </c>
      <c r="K19192">
        <v>2278.92</v>
      </c>
      <c r="L19192">
        <v>138.91999999999999</v>
      </c>
      <c r="M19192">
        <v>11401</v>
      </c>
      <c r="N19192" t="s">
        <v>91</v>
      </c>
      <c r="O19192">
        <v>251209</v>
      </c>
      <c r="P19192">
        <v>544.76</v>
      </c>
    </row>
    <row r="19193" spans="1:16" x14ac:dyDescent="0.25">
      <c r="A19193" t="s">
        <v>3296</v>
      </c>
      <c r="B19193" t="s">
        <v>2931</v>
      </c>
      <c r="C19193">
        <v>16521</v>
      </c>
      <c r="D19193" t="str">
        <f>"6003532476  "</f>
        <v xml:space="preserve">6003532476  </v>
      </c>
      <c r="E19193" t="s">
        <v>959</v>
      </c>
      <c r="F19193" t="s">
        <v>960</v>
      </c>
      <c r="G19193">
        <v>1595.24</v>
      </c>
      <c r="H19193">
        <v>251130</v>
      </c>
      <c r="I19193">
        <v>4571</v>
      </c>
      <c r="J19193" t="s">
        <v>223</v>
      </c>
      <c r="K19193">
        <v>2278.92</v>
      </c>
      <c r="L19193">
        <v>324.13</v>
      </c>
      <c r="M19193">
        <v>14952</v>
      </c>
      <c r="N19193" t="s">
        <v>213</v>
      </c>
      <c r="O19193">
        <v>251209</v>
      </c>
      <c r="P19193">
        <v>1271.1099999999999</v>
      </c>
    </row>
    <row r="19194" spans="1:16" x14ac:dyDescent="0.25">
      <c r="A19194" t="s">
        <v>3296</v>
      </c>
      <c r="B19194" t="s">
        <v>2931</v>
      </c>
      <c r="C19194">
        <v>18523</v>
      </c>
      <c r="D19194" t="str">
        <f>"6003539160  "</f>
        <v xml:space="preserve">6003539160  </v>
      </c>
      <c r="E19194" t="s">
        <v>959</v>
      </c>
      <c r="F19194" t="s">
        <v>960</v>
      </c>
      <c r="G19194">
        <v>3184.14</v>
      </c>
      <c r="H19194">
        <v>251231</v>
      </c>
      <c r="I19194">
        <v>4572</v>
      </c>
      <c r="J19194" t="s">
        <v>173</v>
      </c>
      <c r="K19194">
        <v>10613.79</v>
      </c>
      <c r="L19194">
        <v>646.98</v>
      </c>
      <c r="M19194">
        <v>14952</v>
      </c>
      <c r="N19194" t="s">
        <v>213</v>
      </c>
      <c r="O19194">
        <v>260115</v>
      </c>
      <c r="P19194">
        <v>2537.16</v>
      </c>
    </row>
    <row r="19195" spans="1:16" x14ac:dyDescent="0.25">
      <c r="A19195" t="s">
        <v>3296</v>
      </c>
      <c r="B19195" t="s">
        <v>2931</v>
      </c>
      <c r="C19195">
        <v>18523</v>
      </c>
      <c r="D19195" t="str">
        <f>"6003539160  "</f>
        <v xml:space="preserve">6003539160  </v>
      </c>
      <c r="E19195" t="s">
        <v>959</v>
      </c>
      <c r="F19195" t="s">
        <v>960</v>
      </c>
      <c r="G19195">
        <v>7429.65</v>
      </c>
      <c r="H19195">
        <v>251231</v>
      </c>
      <c r="I19195">
        <v>4572</v>
      </c>
      <c r="J19195" t="s">
        <v>173</v>
      </c>
      <c r="K19195">
        <v>10613.79</v>
      </c>
      <c r="L19195">
        <v>1509.61</v>
      </c>
      <c r="M19195">
        <v>14981</v>
      </c>
      <c r="N19195" t="s">
        <v>252</v>
      </c>
      <c r="O19195">
        <v>260115</v>
      </c>
      <c r="P19195">
        <v>5920.04</v>
      </c>
    </row>
    <row r="19196" spans="1:16" x14ac:dyDescent="0.25">
      <c r="A19196" t="s">
        <v>3296</v>
      </c>
      <c r="B19196" t="s">
        <v>2931</v>
      </c>
      <c r="C19196">
        <v>18552</v>
      </c>
      <c r="D19196" t="str">
        <f>"6003538959  "</f>
        <v xml:space="preserve">6003538959  </v>
      </c>
      <c r="E19196" t="s">
        <v>959</v>
      </c>
      <c r="F19196" t="s">
        <v>960</v>
      </c>
      <c r="G19196">
        <v>830.26</v>
      </c>
      <c r="H19196">
        <v>251231</v>
      </c>
      <c r="I19196">
        <v>4572</v>
      </c>
      <c r="J19196" t="s">
        <v>173</v>
      </c>
      <c r="K19196">
        <v>2767.55</v>
      </c>
      <c r="L19196">
        <v>168.7</v>
      </c>
      <c r="M19196">
        <v>11401</v>
      </c>
      <c r="N19196" t="s">
        <v>91</v>
      </c>
      <c r="O19196">
        <v>260115</v>
      </c>
      <c r="P19196">
        <v>661.56</v>
      </c>
    </row>
    <row r="19197" spans="1:16" x14ac:dyDescent="0.25">
      <c r="A19197" t="s">
        <v>3296</v>
      </c>
      <c r="B19197" t="s">
        <v>2931</v>
      </c>
      <c r="C19197">
        <v>18552</v>
      </c>
      <c r="D19197" t="str">
        <f>"6003538959  "</f>
        <v xml:space="preserve">6003538959  </v>
      </c>
      <c r="E19197" t="s">
        <v>959</v>
      </c>
      <c r="F19197" t="s">
        <v>960</v>
      </c>
      <c r="G19197">
        <v>1937.29</v>
      </c>
      <c r="H19197">
        <v>251231</v>
      </c>
      <c r="I19197">
        <v>4572</v>
      </c>
      <c r="J19197" t="s">
        <v>173</v>
      </c>
      <c r="K19197">
        <v>2767.55</v>
      </c>
      <c r="L19197">
        <v>393.63</v>
      </c>
      <c r="M19197">
        <v>14952</v>
      </c>
      <c r="N19197" t="s">
        <v>213</v>
      </c>
      <c r="O19197">
        <v>260115</v>
      </c>
      <c r="P19197">
        <v>1543.66</v>
      </c>
    </row>
    <row r="19198" spans="1:16" x14ac:dyDescent="0.25">
      <c r="A19198" t="s">
        <v>3296</v>
      </c>
      <c r="B19198" t="s">
        <v>2931</v>
      </c>
      <c r="C19198">
        <v>1506</v>
      </c>
      <c r="D19198" t="str">
        <f>"5002558200  "</f>
        <v xml:space="preserve">5002558200  </v>
      </c>
      <c r="E19198" t="s">
        <v>1014</v>
      </c>
      <c r="F19198" t="s">
        <v>1015</v>
      </c>
      <c r="G19198">
        <v>182.9</v>
      </c>
      <c r="H19198">
        <v>250131</v>
      </c>
      <c r="I19198">
        <v>4572</v>
      </c>
      <c r="J19198" t="s">
        <v>173</v>
      </c>
      <c r="K19198">
        <v>609.67999999999995</v>
      </c>
      <c r="L19198">
        <v>37.159999999999997</v>
      </c>
      <c r="M19198">
        <v>14952</v>
      </c>
      <c r="N19198" t="s">
        <v>213</v>
      </c>
      <c r="O19198">
        <v>250210</v>
      </c>
      <c r="P19198">
        <v>145.74</v>
      </c>
    </row>
    <row r="19199" spans="1:16" x14ac:dyDescent="0.25">
      <c r="A19199" t="s">
        <v>3296</v>
      </c>
      <c r="B19199" t="s">
        <v>2931</v>
      </c>
      <c r="C19199">
        <v>1506</v>
      </c>
      <c r="D19199" t="str">
        <f>"5002558200  "</f>
        <v xml:space="preserve">5002558200  </v>
      </c>
      <c r="E19199" t="s">
        <v>1014</v>
      </c>
      <c r="F19199" t="s">
        <v>1015</v>
      </c>
      <c r="G19199">
        <v>426.78</v>
      </c>
      <c r="H19199">
        <v>250131</v>
      </c>
      <c r="I19199">
        <v>4572</v>
      </c>
      <c r="J19199" t="s">
        <v>173</v>
      </c>
      <c r="K19199">
        <v>609.67999999999995</v>
      </c>
      <c r="L19199">
        <v>86.72</v>
      </c>
      <c r="M19199">
        <v>14981</v>
      </c>
      <c r="N19199" t="s">
        <v>252</v>
      </c>
      <c r="O19199">
        <v>250210</v>
      </c>
      <c r="P19199">
        <v>340.06</v>
      </c>
    </row>
    <row r="19200" spans="1:16" x14ac:dyDescent="0.25">
      <c r="A19200" t="s">
        <v>3296</v>
      </c>
      <c r="B19200" t="s">
        <v>2931</v>
      </c>
      <c r="C19200">
        <v>1507</v>
      </c>
      <c r="D19200" t="str">
        <f>"5002568581  "</f>
        <v xml:space="preserve">5002568581  </v>
      </c>
      <c r="E19200" t="s">
        <v>1014</v>
      </c>
      <c r="F19200" t="s">
        <v>1015</v>
      </c>
      <c r="G19200">
        <v>2099.36</v>
      </c>
      <c r="H19200">
        <v>250131</v>
      </c>
      <c r="I19200">
        <v>4572</v>
      </c>
      <c r="J19200" t="s">
        <v>173</v>
      </c>
      <c r="K19200">
        <v>2099.36</v>
      </c>
      <c r="L19200">
        <v>426.56</v>
      </c>
      <c r="M19200">
        <v>14951</v>
      </c>
      <c r="N19200" t="s">
        <v>186</v>
      </c>
      <c r="O19200">
        <v>250210</v>
      </c>
      <c r="P19200">
        <v>1672.8</v>
      </c>
    </row>
    <row r="19201" spans="1:16" x14ac:dyDescent="0.25">
      <c r="A19201" t="s">
        <v>3296</v>
      </c>
      <c r="B19201" t="s">
        <v>2931</v>
      </c>
      <c r="C19201">
        <v>1603</v>
      </c>
      <c r="D19201" t="str">
        <f>"5002568641  "</f>
        <v xml:space="preserve">5002568641  </v>
      </c>
      <c r="E19201" t="s">
        <v>1014</v>
      </c>
      <c r="F19201" t="s">
        <v>1015</v>
      </c>
      <c r="G19201">
        <v>154.6</v>
      </c>
      <c r="H19201">
        <v>250130</v>
      </c>
      <c r="I19201">
        <v>4572</v>
      </c>
      <c r="J19201" t="s">
        <v>173</v>
      </c>
      <c r="K19201">
        <v>463.81</v>
      </c>
      <c r="L19201">
        <v>31.41</v>
      </c>
      <c r="M19201">
        <v>11401</v>
      </c>
      <c r="N19201" t="s">
        <v>91</v>
      </c>
      <c r="O19201">
        <v>250211</v>
      </c>
      <c r="P19201">
        <v>123.19</v>
      </c>
    </row>
    <row r="19202" spans="1:16" x14ac:dyDescent="0.25">
      <c r="A19202" t="s">
        <v>3296</v>
      </c>
      <c r="B19202" t="s">
        <v>2931</v>
      </c>
      <c r="C19202">
        <v>1603</v>
      </c>
      <c r="D19202" t="str">
        <f>"5002568641  "</f>
        <v xml:space="preserve">5002568641  </v>
      </c>
      <c r="E19202" t="s">
        <v>1014</v>
      </c>
      <c r="F19202" t="s">
        <v>1015</v>
      </c>
      <c r="G19202">
        <v>309.20999999999998</v>
      </c>
      <c r="H19202">
        <v>250130</v>
      </c>
      <c r="I19202">
        <v>4572</v>
      </c>
      <c r="J19202" t="s">
        <v>173</v>
      </c>
      <c r="K19202">
        <v>463.81</v>
      </c>
      <c r="L19202">
        <v>62.83</v>
      </c>
      <c r="M19202">
        <v>14952</v>
      </c>
      <c r="N19202" t="s">
        <v>213</v>
      </c>
      <c r="O19202">
        <v>250211</v>
      </c>
      <c r="P19202">
        <v>246.38</v>
      </c>
    </row>
    <row r="19203" spans="1:16" x14ac:dyDescent="0.25">
      <c r="A19203" t="s">
        <v>3296</v>
      </c>
      <c r="B19203" t="s">
        <v>2931</v>
      </c>
      <c r="C19203">
        <v>3065</v>
      </c>
      <c r="D19203" t="str">
        <f>"5002589439  "</f>
        <v xml:space="preserve">5002589439  </v>
      </c>
      <c r="E19203" t="s">
        <v>1014</v>
      </c>
      <c r="F19203" t="s">
        <v>1015</v>
      </c>
      <c r="G19203">
        <v>1920.41</v>
      </c>
      <c r="H19203">
        <v>250228</v>
      </c>
      <c r="I19203">
        <v>4572</v>
      </c>
      <c r="J19203" t="s">
        <v>173</v>
      </c>
      <c r="K19203">
        <v>1920.41</v>
      </c>
      <c r="L19203">
        <v>390.2</v>
      </c>
      <c r="M19203">
        <v>14951</v>
      </c>
      <c r="N19203" t="s">
        <v>186</v>
      </c>
      <c r="O19203">
        <v>250314</v>
      </c>
      <c r="P19203">
        <v>1530.21</v>
      </c>
    </row>
    <row r="19204" spans="1:16" x14ac:dyDescent="0.25">
      <c r="A19204" t="s">
        <v>3296</v>
      </c>
      <c r="B19204" t="s">
        <v>2931</v>
      </c>
      <c r="C19204">
        <v>3136</v>
      </c>
      <c r="D19204" t="str">
        <f>"5002608255  "</f>
        <v xml:space="preserve">5002608255  </v>
      </c>
      <c r="E19204" t="s">
        <v>1014</v>
      </c>
      <c r="F19204" t="s">
        <v>1015</v>
      </c>
      <c r="G19204">
        <v>22.95</v>
      </c>
      <c r="H19204">
        <v>250228</v>
      </c>
      <c r="I19204">
        <v>4572</v>
      </c>
      <c r="J19204" t="s">
        <v>173</v>
      </c>
      <c r="K19204">
        <v>76.489999999999995</v>
      </c>
      <c r="L19204">
        <v>4.66</v>
      </c>
      <c r="M19204">
        <v>14952</v>
      </c>
      <c r="N19204" t="s">
        <v>213</v>
      </c>
      <c r="O19204">
        <v>250314</v>
      </c>
      <c r="P19204">
        <v>18.29</v>
      </c>
    </row>
    <row r="19205" spans="1:16" x14ac:dyDescent="0.25">
      <c r="A19205" t="s">
        <v>3296</v>
      </c>
      <c r="B19205" t="s">
        <v>2931</v>
      </c>
      <c r="C19205">
        <v>3136</v>
      </c>
      <c r="D19205" t="str">
        <f>"5002608255  "</f>
        <v xml:space="preserve">5002608255  </v>
      </c>
      <c r="E19205" t="s">
        <v>1014</v>
      </c>
      <c r="F19205" t="s">
        <v>1015</v>
      </c>
      <c r="G19205">
        <v>53.54</v>
      </c>
      <c r="H19205">
        <v>250228</v>
      </c>
      <c r="I19205">
        <v>4572</v>
      </c>
      <c r="J19205" t="s">
        <v>173</v>
      </c>
      <c r="K19205">
        <v>76.489999999999995</v>
      </c>
      <c r="L19205">
        <v>10.88</v>
      </c>
      <c r="M19205">
        <v>14981</v>
      </c>
      <c r="N19205" t="s">
        <v>252</v>
      </c>
      <c r="O19205">
        <v>250314</v>
      </c>
      <c r="P19205">
        <v>42.66</v>
      </c>
    </row>
    <row r="19206" spans="1:16" x14ac:dyDescent="0.25">
      <c r="A19206" t="s">
        <v>3296</v>
      </c>
      <c r="B19206" t="s">
        <v>2931</v>
      </c>
      <c r="C19206">
        <v>3141</v>
      </c>
      <c r="D19206" t="str">
        <f>"5002607523  "</f>
        <v xml:space="preserve">5002607523  </v>
      </c>
      <c r="E19206" t="s">
        <v>1014</v>
      </c>
      <c r="F19206" t="s">
        <v>1015</v>
      </c>
      <c r="G19206">
        <v>57.65</v>
      </c>
      <c r="H19206">
        <v>250228</v>
      </c>
      <c r="I19206">
        <v>4572</v>
      </c>
      <c r="J19206" t="s">
        <v>173</v>
      </c>
      <c r="K19206">
        <v>192.17</v>
      </c>
      <c r="L19206">
        <v>11.71</v>
      </c>
      <c r="M19206">
        <v>14952</v>
      </c>
      <c r="N19206" t="s">
        <v>213</v>
      </c>
      <c r="O19206">
        <v>250314</v>
      </c>
      <c r="P19206">
        <v>45.94</v>
      </c>
    </row>
    <row r="19207" spans="1:16" x14ac:dyDescent="0.25">
      <c r="A19207" t="s">
        <v>3296</v>
      </c>
      <c r="B19207" t="s">
        <v>2931</v>
      </c>
      <c r="C19207">
        <v>3141</v>
      </c>
      <c r="D19207" t="str">
        <f>"5002607523  "</f>
        <v xml:space="preserve">5002607523  </v>
      </c>
      <c r="E19207" t="s">
        <v>1014</v>
      </c>
      <c r="F19207" t="s">
        <v>1015</v>
      </c>
      <c r="G19207">
        <v>134.52000000000001</v>
      </c>
      <c r="H19207">
        <v>250228</v>
      </c>
      <c r="I19207">
        <v>4572</v>
      </c>
      <c r="J19207" t="s">
        <v>173</v>
      </c>
      <c r="K19207">
        <v>192.17</v>
      </c>
      <c r="L19207">
        <v>27.33</v>
      </c>
      <c r="M19207">
        <v>14981</v>
      </c>
      <c r="N19207" t="s">
        <v>252</v>
      </c>
      <c r="O19207">
        <v>250314</v>
      </c>
      <c r="P19207">
        <v>107.19</v>
      </c>
    </row>
    <row r="19208" spans="1:16" x14ac:dyDescent="0.25">
      <c r="A19208" t="s">
        <v>3296</v>
      </c>
      <c r="B19208" t="s">
        <v>2931</v>
      </c>
      <c r="C19208">
        <v>3142</v>
      </c>
      <c r="D19208" t="str">
        <f>"5002609766  "</f>
        <v xml:space="preserve">5002609766  </v>
      </c>
      <c r="E19208" t="s">
        <v>1014</v>
      </c>
      <c r="F19208" t="s">
        <v>1015</v>
      </c>
      <c r="G19208">
        <v>138.59</v>
      </c>
      <c r="H19208">
        <v>250228</v>
      </c>
      <c r="I19208">
        <v>4572</v>
      </c>
      <c r="J19208" t="s">
        <v>173</v>
      </c>
      <c r="K19208">
        <v>416.07</v>
      </c>
      <c r="L19208">
        <v>28.16</v>
      </c>
      <c r="M19208">
        <v>11401</v>
      </c>
      <c r="N19208" t="s">
        <v>91</v>
      </c>
      <c r="O19208">
        <v>250314</v>
      </c>
      <c r="P19208">
        <v>110.43</v>
      </c>
    </row>
    <row r="19209" spans="1:16" x14ac:dyDescent="0.25">
      <c r="A19209" t="s">
        <v>3296</v>
      </c>
      <c r="B19209" t="s">
        <v>2931</v>
      </c>
      <c r="C19209">
        <v>3142</v>
      </c>
      <c r="D19209" t="str">
        <f>"5002609766  "</f>
        <v xml:space="preserve">5002609766  </v>
      </c>
      <c r="E19209" t="s">
        <v>1014</v>
      </c>
      <c r="F19209" t="s">
        <v>1015</v>
      </c>
      <c r="G19209">
        <v>277.48</v>
      </c>
      <c r="H19209">
        <v>250228</v>
      </c>
      <c r="I19209">
        <v>4572</v>
      </c>
      <c r="J19209" t="s">
        <v>173</v>
      </c>
      <c r="K19209">
        <v>416.07</v>
      </c>
      <c r="L19209">
        <v>56.38</v>
      </c>
      <c r="M19209">
        <v>14952</v>
      </c>
      <c r="N19209" t="s">
        <v>213</v>
      </c>
      <c r="O19209">
        <v>250314</v>
      </c>
      <c r="P19209">
        <v>221.1</v>
      </c>
    </row>
    <row r="19210" spans="1:16" x14ac:dyDescent="0.25">
      <c r="A19210" t="s">
        <v>3296</v>
      </c>
      <c r="B19210" t="s">
        <v>2931</v>
      </c>
      <c r="C19210">
        <v>3251</v>
      </c>
      <c r="D19210" t="str">
        <f>"5002598364  "</f>
        <v xml:space="preserve">5002598364  </v>
      </c>
      <c r="E19210" t="s">
        <v>1014</v>
      </c>
      <c r="F19210" t="s">
        <v>1015</v>
      </c>
      <c r="G19210">
        <v>166.66</v>
      </c>
      <c r="H19210">
        <v>250228</v>
      </c>
      <c r="I19210">
        <v>4572</v>
      </c>
      <c r="J19210" t="s">
        <v>173</v>
      </c>
      <c r="K19210">
        <v>555.53</v>
      </c>
      <c r="L19210">
        <v>33.86</v>
      </c>
      <c r="M19210">
        <v>14952</v>
      </c>
      <c r="N19210" t="s">
        <v>213</v>
      </c>
      <c r="O19210">
        <v>250317</v>
      </c>
      <c r="P19210">
        <v>132.80000000000001</v>
      </c>
    </row>
    <row r="19211" spans="1:16" x14ac:dyDescent="0.25">
      <c r="A19211" t="s">
        <v>3296</v>
      </c>
      <c r="B19211" t="s">
        <v>2931</v>
      </c>
      <c r="C19211">
        <v>3251</v>
      </c>
      <c r="D19211" t="str">
        <f>"5002598364  "</f>
        <v xml:space="preserve">5002598364  </v>
      </c>
      <c r="E19211" t="s">
        <v>1014</v>
      </c>
      <c r="F19211" t="s">
        <v>1015</v>
      </c>
      <c r="G19211">
        <v>388.87</v>
      </c>
      <c r="H19211">
        <v>250228</v>
      </c>
      <c r="I19211">
        <v>4572</v>
      </c>
      <c r="J19211" t="s">
        <v>173</v>
      </c>
      <c r="K19211">
        <v>555.53</v>
      </c>
      <c r="L19211">
        <v>79.010000000000005</v>
      </c>
      <c r="M19211">
        <v>14981</v>
      </c>
      <c r="N19211" t="s">
        <v>252</v>
      </c>
      <c r="O19211">
        <v>250317</v>
      </c>
      <c r="P19211">
        <v>309.86</v>
      </c>
    </row>
    <row r="19212" spans="1:16" x14ac:dyDescent="0.25">
      <c r="A19212" t="s">
        <v>3296</v>
      </c>
      <c r="B19212" t="s">
        <v>2931</v>
      </c>
      <c r="C19212">
        <v>4715</v>
      </c>
      <c r="D19212" t="str">
        <f>"5002692144  "</f>
        <v xml:space="preserve">5002692144  </v>
      </c>
      <c r="E19212" t="s">
        <v>1014</v>
      </c>
      <c r="F19212" t="s">
        <v>1015</v>
      </c>
      <c r="G19212">
        <v>23.69</v>
      </c>
      <c r="H19212">
        <v>250331</v>
      </c>
      <c r="I19212">
        <v>4572</v>
      </c>
      <c r="J19212" t="s">
        <v>173</v>
      </c>
      <c r="K19212">
        <v>78.98</v>
      </c>
      <c r="L19212">
        <v>4.8099999999999996</v>
      </c>
      <c r="M19212">
        <v>14952</v>
      </c>
      <c r="N19212" t="s">
        <v>213</v>
      </c>
      <c r="O19212">
        <v>250414</v>
      </c>
      <c r="P19212">
        <v>18.88</v>
      </c>
    </row>
    <row r="19213" spans="1:16" x14ac:dyDescent="0.25">
      <c r="A19213" t="s">
        <v>3296</v>
      </c>
      <c r="B19213" t="s">
        <v>2931</v>
      </c>
      <c r="C19213">
        <v>4715</v>
      </c>
      <c r="D19213" t="str">
        <f>"5002692144  "</f>
        <v xml:space="preserve">5002692144  </v>
      </c>
      <c r="E19213" t="s">
        <v>1014</v>
      </c>
      <c r="F19213" t="s">
        <v>1015</v>
      </c>
      <c r="G19213">
        <v>55.29</v>
      </c>
      <c r="H19213">
        <v>250331</v>
      </c>
      <c r="I19213">
        <v>4572</v>
      </c>
      <c r="J19213" t="s">
        <v>173</v>
      </c>
      <c r="K19213">
        <v>78.98</v>
      </c>
      <c r="L19213">
        <v>11.23</v>
      </c>
      <c r="M19213">
        <v>14981</v>
      </c>
      <c r="N19213" t="s">
        <v>252</v>
      </c>
      <c r="O19213">
        <v>250414</v>
      </c>
      <c r="P19213">
        <v>44.06</v>
      </c>
    </row>
    <row r="19214" spans="1:16" x14ac:dyDescent="0.25">
      <c r="A19214" t="s">
        <v>3296</v>
      </c>
      <c r="B19214" t="s">
        <v>2931</v>
      </c>
      <c r="C19214">
        <v>4736</v>
      </c>
      <c r="D19214" t="str">
        <f>"5002688121  "</f>
        <v xml:space="preserve">5002688121  </v>
      </c>
      <c r="E19214" t="s">
        <v>1014</v>
      </c>
      <c r="F19214" t="s">
        <v>1015</v>
      </c>
      <c r="G19214">
        <v>122.64</v>
      </c>
      <c r="H19214">
        <v>250331</v>
      </c>
      <c r="I19214">
        <v>4572</v>
      </c>
      <c r="J19214" t="s">
        <v>173</v>
      </c>
      <c r="K19214">
        <v>367.93</v>
      </c>
      <c r="L19214">
        <v>24.92</v>
      </c>
      <c r="M19214">
        <v>11401</v>
      </c>
      <c r="N19214" t="s">
        <v>91</v>
      </c>
      <c r="O19214">
        <v>250415</v>
      </c>
      <c r="P19214">
        <v>97.72</v>
      </c>
    </row>
    <row r="19215" spans="1:16" x14ac:dyDescent="0.25">
      <c r="A19215" t="s">
        <v>3296</v>
      </c>
      <c r="B19215" t="s">
        <v>2931</v>
      </c>
      <c r="C19215">
        <v>4736</v>
      </c>
      <c r="D19215" t="str">
        <f>"5002688121  "</f>
        <v xml:space="preserve">5002688121  </v>
      </c>
      <c r="E19215" t="s">
        <v>1014</v>
      </c>
      <c r="F19215" t="s">
        <v>1015</v>
      </c>
      <c r="G19215">
        <v>245.29</v>
      </c>
      <c r="H19215">
        <v>250331</v>
      </c>
      <c r="I19215">
        <v>4572</v>
      </c>
      <c r="J19215" t="s">
        <v>173</v>
      </c>
      <c r="K19215">
        <v>367.93</v>
      </c>
      <c r="L19215">
        <v>49.84</v>
      </c>
      <c r="M19215">
        <v>14952</v>
      </c>
      <c r="N19215" t="s">
        <v>213</v>
      </c>
      <c r="O19215">
        <v>250415</v>
      </c>
      <c r="P19215">
        <v>195.45</v>
      </c>
    </row>
    <row r="19216" spans="1:16" x14ac:dyDescent="0.25">
      <c r="A19216" t="s">
        <v>3296</v>
      </c>
      <c r="B19216" t="s">
        <v>2931</v>
      </c>
      <c r="C19216">
        <v>4771</v>
      </c>
      <c r="D19216" t="str">
        <f>"5002675385  "</f>
        <v xml:space="preserve">5002675385  </v>
      </c>
      <c r="E19216" t="s">
        <v>1014</v>
      </c>
      <c r="F19216" t="s">
        <v>1015</v>
      </c>
      <c r="G19216">
        <v>91.32</v>
      </c>
      <c r="H19216">
        <v>250331</v>
      </c>
      <c r="I19216">
        <v>4572</v>
      </c>
      <c r="J19216" t="s">
        <v>173</v>
      </c>
      <c r="K19216">
        <v>273.95999999999998</v>
      </c>
      <c r="L19216">
        <v>18.559999999999999</v>
      </c>
      <c r="M19216">
        <v>11401</v>
      </c>
      <c r="N19216" t="s">
        <v>91</v>
      </c>
      <c r="O19216">
        <v>250415</v>
      </c>
      <c r="P19216">
        <v>72.760000000000005</v>
      </c>
    </row>
    <row r="19217" spans="1:16" x14ac:dyDescent="0.25">
      <c r="A19217" t="s">
        <v>3296</v>
      </c>
      <c r="B19217" t="s">
        <v>2931</v>
      </c>
      <c r="C19217">
        <v>4771</v>
      </c>
      <c r="D19217" t="str">
        <f>"5002675385  "</f>
        <v xml:space="preserve">5002675385  </v>
      </c>
      <c r="E19217" t="s">
        <v>1014</v>
      </c>
      <c r="F19217" t="s">
        <v>1015</v>
      </c>
      <c r="G19217">
        <v>182.64</v>
      </c>
      <c r="H19217">
        <v>250331</v>
      </c>
      <c r="I19217">
        <v>4572</v>
      </c>
      <c r="J19217" t="s">
        <v>173</v>
      </c>
      <c r="K19217">
        <v>273.95999999999998</v>
      </c>
      <c r="L19217">
        <v>37.11</v>
      </c>
      <c r="M19217">
        <v>14952</v>
      </c>
      <c r="N19217" t="s">
        <v>213</v>
      </c>
      <c r="O19217">
        <v>250415</v>
      </c>
      <c r="P19217">
        <v>145.53</v>
      </c>
    </row>
    <row r="19218" spans="1:16" x14ac:dyDescent="0.25">
      <c r="A19218" t="s">
        <v>3296</v>
      </c>
      <c r="B19218" t="s">
        <v>2931</v>
      </c>
      <c r="C19218">
        <v>4774</v>
      </c>
      <c r="D19218" t="str">
        <f>"5002696624  "</f>
        <v xml:space="preserve">5002696624  </v>
      </c>
      <c r="E19218" t="s">
        <v>1014</v>
      </c>
      <c r="F19218" t="s">
        <v>1015</v>
      </c>
      <c r="G19218">
        <v>32.26</v>
      </c>
      <c r="H19218">
        <v>250331</v>
      </c>
      <c r="I19218">
        <v>4572</v>
      </c>
      <c r="J19218" t="s">
        <v>173</v>
      </c>
      <c r="K19218">
        <v>107.52</v>
      </c>
      <c r="L19218">
        <v>6.55</v>
      </c>
      <c r="M19218">
        <v>14952</v>
      </c>
      <c r="N19218" t="s">
        <v>213</v>
      </c>
      <c r="O19218">
        <v>250415</v>
      </c>
      <c r="P19218">
        <v>25.71</v>
      </c>
    </row>
    <row r="19219" spans="1:16" x14ac:dyDescent="0.25">
      <c r="A19219" t="s">
        <v>3296</v>
      </c>
      <c r="B19219" t="s">
        <v>2931</v>
      </c>
      <c r="C19219">
        <v>4774</v>
      </c>
      <c r="D19219" t="str">
        <f>"5002696624  "</f>
        <v xml:space="preserve">5002696624  </v>
      </c>
      <c r="E19219" t="s">
        <v>1014</v>
      </c>
      <c r="F19219" t="s">
        <v>1015</v>
      </c>
      <c r="G19219">
        <v>75.260000000000005</v>
      </c>
      <c r="H19219">
        <v>250331</v>
      </c>
      <c r="I19219">
        <v>4572</v>
      </c>
      <c r="J19219" t="s">
        <v>173</v>
      </c>
      <c r="K19219">
        <v>107.52</v>
      </c>
      <c r="L19219">
        <v>15.29</v>
      </c>
      <c r="M19219">
        <v>14981</v>
      </c>
      <c r="N19219" t="s">
        <v>252</v>
      </c>
      <c r="O19219">
        <v>250415</v>
      </c>
      <c r="P19219">
        <v>59.97</v>
      </c>
    </row>
    <row r="19220" spans="1:16" x14ac:dyDescent="0.25">
      <c r="A19220" t="s">
        <v>3296</v>
      </c>
      <c r="B19220" t="s">
        <v>2931</v>
      </c>
      <c r="C19220">
        <v>4775</v>
      </c>
      <c r="D19220" t="str">
        <f>"5002674354  "</f>
        <v xml:space="preserve">5002674354  </v>
      </c>
      <c r="E19220" t="s">
        <v>1014</v>
      </c>
      <c r="F19220" t="s">
        <v>1015</v>
      </c>
      <c r="G19220">
        <v>176.38</v>
      </c>
      <c r="H19220">
        <v>250331</v>
      </c>
      <c r="I19220">
        <v>4572</v>
      </c>
      <c r="J19220" t="s">
        <v>173</v>
      </c>
      <c r="K19220">
        <v>587.91999999999996</v>
      </c>
      <c r="L19220">
        <v>35.840000000000003</v>
      </c>
      <c r="M19220">
        <v>14952</v>
      </c>
      <c r="N19220" t="s">
        <v>213</v>
      </c>
      <c r="O19220">
        <v>250415</v>
      </c>
      <c r="P19220">
        <v>140.54</v>
      </c>
    </row>
    <row r="19221" spans="1:16" x14ac:dyDescent="0.25">
      <c r="A19221" t="s">
        <v>3296</v>
      </c>
      <c r="B19221" t="s">
        <v>2931</v>
      </c>
      <c r="C19221">
        <v>4775</v>
      </c>
      <c r="D19221" t="str">
        <f>"5002674354  "</f>
        <v xml:space="preserve">5002674354  </v>
      </c>
      <c r="E19221" t="s">
        <v>1014</v>
      </c>
      <c r="F19221" t="s">
        <v>1015</v>
      </c>
      <c r="G19221">
        <v>411.54</v>
      </c>
      <c r="H19221">
        <v>250331</v>
      </c>
      <c r="I19221">
        <v>4572</v>
      </c>
      <c r="J19221" t="s">
        <v>173</v>
      </c>
      <c r="K19221">
        <v>587.91999999999996</v>
      </c>
      <c r="L19221">
        <v>83.62</v>
      </c>
      <c r="M19221">
        <v>14981</v>
      </c>
      <c r="N19221" t="s">
        <v>252</v>
      </c>
      <c r="O19221">
        <v>250415</v>
      </c>
      <c r="P19221">
        <v>327.92</v>
      </c>
    </row>
    <row r="19222" spans="1:16" x14ac:dyDescent="0.25">
      <c r="A19222" t="s">
        <v>3296</v>
      </c>
      <c r="B19222" t="s">
        <v>2931</v>
      </c>
      <c r="C19222">
        <v>4782</v>
      </c>
      <c r="D19222" t="str">
        <f>"5002700963  "</f>
        <v xml:space="preserve">5002700963  </v>
      </c>
      <c r="E19222" t="s">
        <v>1014</v>
      </c>
      <c r="F19222" t="s">
        <v>1015</v>
      </c>
      <c r="G19222">
        <v>2206.2800000000002</v>
      </c>
      <c r="H19222">
        <v>250331</v>
      </c>
      <c r="I19222">
        <v>4572</v>
      </c>
      <c r="J19222" t="s">
        <v>173</v>
      </c>
      <c r="K19222">
        <v>2206.2800000000002</v>
      </c>
      <c r="L19222">
        <v>448.29</v>
      </c>
      <c r="M19222">
        <v>14951</v>
      </c>
      <c r="N19222" t="s">
        <v>186</v>
      </c>
      <c r="O19222">
        <v>250415</v>
      </c>
      <c r="P19222">
        <v>1757.99</v>
      </c>
    </row>
    <row r="19223" spans="1:16" x14ac:dyDescent="0.25">
      <c r="A19223" t="s">
        <v>3296</v>
      </c>
      <c r="B19223" t="s">
        <v>2931</v>
      </c>
      <c r="C19223">
        <v>6401</v>
      </c>
      <c r="D19223" t="str">
        <f>"5002805446  "</f>
        <v xml:space="preserve">5002805446  </v>
      </c>
      <c r="E19223" t="s">
        <v>1014</v>
      </c>
      <c r="F19223" t="s">
        <v>1015</v>
      </c>
      <c r="G19223">
        <v>167.7</v>
      </c>
      <c r="H19223">
        <v>250430</v>
      </c>
      <c r="I19223">
        <v>4572</v>
      </c>
      <c r="J19223" t="s">
        <v>173</v>
      </c>
      <c r="K19223">
        <v>559.01</v>
      </c>
      <c r="L19223">
        <v>34.07</v>
      </c>
      <c r="M19223">
        <v>14952</v>
      </c>
      <c r="N19223" t="s">
        <v>213</v>
      </c>
      <c r="O19223">
        <v>250513</v>
      </c>
      <c r="P19223">
        <v>133.63</v>
      </c>
    </row>
    <row r="19224" spans="1:16" x14ac:dyDescent="0.25">
      <c r="A19224" t="s">
        <v>3296</v>
      </c>
      <c r="B19224" t="s">
        <v>2931</v>
      </c>
      <c r="C19224">
        <v>6401</v>
      </c>
      <c r="D19224" t="str">
        <f>"5002805446  "</f>
        <v xml:space="preserve">5002805446  </v>
      </c>
      <c r="E19224" t="s">
        <v>1014</v>
      </c>
      <c r="F19224" t="s">
        <v>1015</v>
      </c>
      <c r="G19224">
        <v>391.31</v>
      </c>
      <c r="H19224">
        <v>250430</v>
      </c>
      <c r="I19224">
        <v>4572</v>
      </c>
      <c r="J19224" t="s">
        <v>173</v>
      </c>
      <c r="K19224">
        <v>559.01</v>
      </c>
      <c r="L19224">
        <v>79.510000000000005</v>
      </c>
      <c r="M19224">
        <v>14981</v>
      </c>
      <c r="N19224" t="s">
        <v>252</v>
      </c>
      <c r="O19224">
        <v>250513</v>
      </c>
      <c r="P19224">
        <v>311.8</v>
      </c>
    </row>
    <row r="19225" spans="1:16" x14ac:dyDescent="0.25">
      <c r="A19225" t="s">
        <v>3296</v>
      </c>
      <c r="B19225" t="s">
        <v>2931</v>
      </c>
      <c r="C19225">
        <v>6408</v>
      </c>
      <c r="D19225" t="str">
        <f>"5002800884  "</f>
        <v xml:space="preserve">5002800884  </v>
      </c>
      <c r="E19225" t="s">
        <v>1014</v>
      </c>
      <c r="F19225" t="s">
        <v>1015</v>
      </c>
      <c r="G19225">
        <v>57.46</v>
      </c>
      <c r="H19225">
        <v>250430</v>
      </c>
      <c r="I19225">
        <v>4572</v>
      </c>
      <c r="J19225" t="s">
        <v>173</v>
      </c>
      <c r="K19225">
        <v>191.55</v>
      </c>
      <c r="L19225">
        <v>11.68</v>
      </c>
      <c r="M19225">
        <v>14952</v>
      </c>
      <c r="N19225" t="s">
        <v>213</v>
      </c>
      <c r="O19225">
        <v>250513</v>
      </c>
      <c r="P19225">
        <v>45.78</v>
      </c>
    </row>
    <row r="19226" spans="1:16" x14ac:dyDescent="0.25">
      <c r="A19226" t="s">
        <v>3296</v>
      </c>
      <c r="B19226" t="s">
        <v>2931</v>
      </c>
      <c r="C19226">
        <v>6408</v>
      </c>
      <c r="D19226" t="str">
        <f>"5002800884  "</f>
        <v xml:space="preserve">5002800884  </v>
      </c>
      <c r="E19226" t="s">
        <v>1014</v>
      </c>
      <c r="F19226" t="s">
        <v>1015</v>
      </c>
      <c r="G19226">
        <v>134.09</v>
      </c>
      <c r="H19226">
        <v>250430</v>
      </c>
      <c r="I19226">
        <v>4572</v>
      </c>
      <c r="J19226" t="s">
        <v>173</v>
      </c>
      <c r="K19226">
        <v>191.55</v>
      </c>
      <c r="L19226">
        <v>27.25</v>
      </c>
      <c r="M19226">
        <v>14981</v>
      </c>
      <c r="N19226" t="s">
        <v>252</v>
      </c>
      <c r="O19226">
        <v>250513</v>
      </c>
      <c r="P19226">
        <v>106.84</v>
      </c>
    </row>
    <row r="19227" spans="1:16" x14ac:dyDescent="0.25">
      <c r="A19227" t="s">
        <v>3296</v>
      </c>
      <c r="B19227" t="s">
        <v>2931</v>
      </c>
      <c r="C19227">
        <v>6412</v>
      </c>
      <c r="D19227" t="str">
        <f>"5002795046  "</f>
        <v xml:space="preserve">5002795046  </v>
      </c>
      <c r="E19227" t="s">
        <v>1014</v>
      </c>
      <c r="F19227" t="s">
        <v>1015</v>
      </c>
      <c r="G19227">
        <v>20.78</v>
      </c>
      <c r="H19227">
        <v>250430</v>
      </c>
      <c r="I19227">
        <v>4572</v>
      </c>
      <c r="J19227" t="s">
        <v>173</v>
      </c>
      <c r="K19227">
        <v>69.260000000000005</v>
      </c>
      <c r="L19227">
        <v>4.22</v>
      </c>
      <c r="M19227">
        <v>14952</v>
      </c>
      <c r="N19227" t="s">
        <v>213</v>
      </c>
      <c r="O19227">
        <v>250513</v>
      </c>
      <c r="P19227">
        <v>16.559999999999999</v>
      </c>
    </row>
    <row r="19228" spans="1:16" x14ac:dyDescent="0.25">
      <c r="A19228" t="s">
        <v>3296</v>
      </c>
      <c r="B19228" t="s">
        <v>2931</v>
      </c>
      <c r="C19228">
        <v>6412</v>
      </c>
      <c r="D19228" t="str">
        <f>"5002795046  "</f>
        <v xml:space="preserve">5002795046  </v>
      </c>
      <c r="E19228" t="s">
        <v>1014</v>
      </c>
      <c r="F19228" t="s">
        <v>1015</v>
      </c>
      <c r="G19228">
        <v>48.48</v>
      </c>
      <c r="H19228">
        <v>250430</v>
      </c>
      <c r="I19228">
        <v>4572</v>
      </c>
      <c r="J19228" t="s">
        <v>173</v>
      </c>
      <c r="K19228">
        <v>69.260000000000005</v>
      </c>
      <c r="L19228">
        <v>9.85</v>
      </c>
      <c r="M19228">
        <v>14981</v>
      </c>
      <c r="N19228" t="s">
        <v>252</v>
      </c>
      <c r="O19228">
        <v>250513</v>
      </c>
      <c r="P19228">
        <v>38.630000000000003</v>
      </c>
    </row>
    <row r="19229" spans="1:16" x14ac:dyDescent="0.25">
      <c r="A19229" t="s">
        <v>3296</v>
      </c>
      <c r="B19229" t="s">
        <v>2931</v>
      </c>
      <c r="C19229">
        <v>6414</v>
      </c>
      <c r="D19229" t="str">
        <f>"5002797514  "</f>
        <v xml:space="preserve">5002797514  </v>
      </c>
      <c r="E19229" t="s">
        <v>1014</v>
      </c>
      <c r="F19229" t="s">
        <v>1015</v>
      </c>
      <c r="G19229">
        <v>87.98</v>
      </c>
      <c r="H19229">
        <v>250430</v>
      </c>
      <c r="I19229">
        <v>4572</v>
      </c>
      <c r="J19229" t="s">
        <v>173</v>
      </c>
      <c r="K19229">
        <v>293.27999999999997</v>
      </c>
      <c r="L19229">
        <v>17.88</v>
      </c>
      <c r="M19229">
        <v>14952</v>
      </c>
      <c r="N19229" t="s">
        <v>213</v>
      </c>
      <c r="O19229">
        <v>250513</v>
      </c>
      <c r="P19229">
        <v>70.099999999999994</v>
      </c>
    </row>
    <row r="19230" spans="1:16" x14ac:dyDescent="0.25">
      <c r="A19230" t="s">
        <v>3296</v>
      </c>
      <c r="B19230" t="s">
        <v>2931</v>
      </c>
      <c r="C19230">
        <v>6414</v>
      </c>
      <c r="D19230" t="str">
        <f>"5002797514  "</f>
        <v xml:space="preserve">5002797514  </v>
      </c>
      <c r="E19230" t="s">
        <v>1014</v>
      </c>
      <c r="F19230" t="s">
        <v>1015</v>
      </c>
      <c r="G19230">
        <v>205.3</v>
      </c>
      <c r="H19230">
        <v>250430</v>
      </c>
      <c r="I19230">
        <v>4572</v>
      </c>
      <c r="J19230" t="s">
        <v>173</v>
      </c>
      <c r="K19230">
        <v>293.27999999999997</v>
      </c>
      <c r="L19230">
        <v>41.71</v>
      </c>
      <c r="M19230">
        <v>14981</v>
      </c>
      <c r="N19230" t="s">
        <v>252</v>
      </c>
      <c r="O19230">
        <v>250513</v>
      </c>
      <c r="P19230">
        <v>163.59</v>
      </c>
    </row>
    <row r="19231" spans="1:16" x14ac:dyDescent="0.25">
      <c r="A19231" t="s">
        <v>3296</v>
      </c>
      <c r="B19231" t="s">
        <v>2931</v>
      </c>
      <c r="C19231">
        <v>6422</v>
      </c>
      <c r="D19231" t="str">
        <f>"5002810052  "</f>
        <v xml:space="preserve">5002810052  </v>
      </c>
      <c r="E19231" t="s">
        <v>1014</v>
      </c>
      <c r="F19231" t="s">
        <v>1015</v>
      </c>
      <c r="G19231">
        <v>2125.56</v>
      </c>
      <c r="H19231">
        <v>250430</v>
      </c>
      <c r="I19231">
        <v>4572</v>
      </c>
      <c r="J19231" t="s">
        <v>173</v>
      </c>
      <c r="K19231">
        <v>2125.56</v>
      </c>
      <c r="L19231">
        <v>431.89</v>
      </c>
      <c r="M19231">
        <v>14951</v>
      </c>
      <c r="N19231" t="s">
        <v>186</v>
      </c>
      <c r="O19231">
        <v>250513</v>
      </c>
      <c r="P19231">
        <v>1693.67</v>
      </c>
    </row>
    <row r="19232" spans="1:16" x14ac:dyDescent="0.25">
      <c r="A19232" t="s">
        <v>3296</v>
      </c>
      <c r="B19232" t="s">
        <v>2931</v>
      </c>
      <c r="C19232">
        <v>8187</v>
      </c>
      <c r="D19232" t="str">
        <f>"5002830176  "</f>
        <v xml:space="preserve">5002830176  </v>
      </c>
      <c r="E19232" t="s">
        <v>1014</v>
      </c>
      <c r="F19232" t="s">
        <v>1015</v>
      </c>
      <c r="G19232">
        <v>20.79</v>
      </c>
      <c r="H19232">
        <v>250531</v>
      </c>
      <c r="I19232">
        <v>4572</v>
      </c>
      <c r="J19232" t="s">
        <v>173</v>
      </c>
      <c r="K19232">
        <v>69.290000000000006</v>
      </c>
      <c r="L19232">
        <v>4.22</v>
      </c>
      <c r="M19232">
        <v>14952</v>
      </c>
      <c r="N19232" t="s">
        <v>213</v>
      </c>
      <c r="O19232">
        <v>250612</v>
      </c>
      <c r="P19232">
        <v>16.57</v>
      </c>
    </row>
    <row r="19233" spans="1:16" x14ac:dyDescent="0.25">
      <c r="A19233" t="s">
        <v>3296</v>
      </c>
      <c r="B19233" t="s">
        <v>2931</v>
      </c>
      <c r="C19233">
        <v>8187</v>
      </c>
      <c r="D19233" t="str">
        <f>"5002830176  "</f>
        <v xml:space="preserve">5002830176  </v>
      </c>
      <c r="E19233" t="s">
        <v>1014</v>
      </c>
      <c r="F19233" t="s">
        <v>1015</v>
      </c>
      <c r="G19233">
        <v>48.5</v>
      </c>
      <c r="H19233">
        <v>250531</v>
      </c>
      <c r="I19233">
        <v>4572</v>
      </c>
      <c r="J19233" t="s">
        <v>173</v>
      </c>
      <c r="K19233">
        <v>69.290000000000006</v>
      </c>
      <c r="L19233">
        <v>9.85</v>
      </c>
      <c r="M19233">
        <v>14981</v>
      </c>
      <c r="N19233" t="s">
        <v>252</v>
      </c>
      <c r="O19233">
        <v>250612</v>
      </c>
      <c r="P19233">
        <v>38.65</v>
      </c>
    </row>
    <row r="19234" spans="1:16" x14ac:dyDescent="0.25">
      <c r="A19234" t="s">
        <v>3296</v>
      </c>
      <c r="B19234" t="s">
        <v>2931</v>
      </c>
      <c r="C19234">
        <v>8261</v>
      </c>
      <c r="D19234" t="str">
        <f>"5002836107  "</f>
        <v xml:space="preserve">5002836107  </v>
      </c>
      <c r="E19234" t="s">
        <v>1014</v>
      </c>
      <c r="F19234" t="s">
        <v>1015</v>
      </c>
      <c r="G19234">
        <v>2027.03</v>
      </c>
      <c r="H19234">
        <v>250531</v>
      </c>
      <c r="I19234">
        <v>4572</v>
      </c>
      <c r="J19234" t="s">
        <v>173</v>
      </c>
      <c r="K19234">
        <v>2027.03</v>
      </c>
      <c r="L19234">
        <v>411.87</v>
      </c>
      <c r="M19234">
        <v>14951</v>
      </c>
      <c r="N19234" t="s">
        <v>186</v>
      </c>
      <c r="O19234">
        <v>250612</v>
      </c>
      <c r="P19234">
        <v>1615.16</v>
      </c>
    </row>
    <row r="19235" spans="1:16" x14ac:dyDescent="0.25">
      <c r="A19235" t="s">
        <v>3296</v>
      </c>
      <c r="B19235" t="s">
        <v>2931</v>
      </c>
      <c r="C19235">
        <v>8263</v>
      </c>
      <c r="D19235" t="str">
        <f>"5002837262  "</f>
        <v xml:space="preserve">5002837262  </v>
      </c>
      <c r="E19235" t="s">
        <v>1014</v>
      </c>
      <c r="F19235" t="s">
        <v>1015</v>
      </c>
      <c r="G19235">
        <v>84.23</v>
      </c>
      <c r="H19235">
        <v>250531</v>
      </c>
      <c r="I19235">
        <v>4572</v>
      </c>
      <c r="J19235" t="s">
        <v>173</v>
      </c>
      <c r="K19235">
        <v>252.69</v>
      </c>
      <c r="L19235">
        <v>17.11</v>
      </c>
      <c r="M19235">
        <v>11401</v>
      </c>
      <c r="N19235" t="s">
        <v>91</v>
      </c>
      <c r="O19235">
        <v>250612</v>
      </c>
      <c r="P19235">
        <v>67.12</v>
      </c>
    </row>
    <row r="19236" spans="1:16" x14ac:dyDescent="0.25">
      <c r="A19236" t="s">
        <v>3296</v>
      </c>
      <c r="B19236" t="s">
        <v>2931</v>
      </c>
      <c r="C19236">
        <v>8263</v>
      </c>
      <c r="D19236" t="str">
        <f>"5002837262  "</f>
        <v xml:space="preserve">5002837262  </v>
      </c>
      <c r="E19236" t="s">
        <v>1014</v>
      </c>
      <c r="F19236" t="s">
        <v>1015</v>
      </c>
      <c r="G19236">
        <v>168.46</v>
      </c>
      <c r="H19236">
        <v>250531</v>
      </c>
      <c r="I19236">
        <v>4572</v>
      </c>
      <c r="J19236" t="s">
        <v>173</v>
      </c>
      <c r="K19236">
        <v>252.69</v>
      </c>
      <c r="L19236">
        <v>34.229999999999997</v>
      </c>
      <c r="M19236">
        <v>14952</v>
      </c>
      <c r="N19236" t="s">
        <v>213</v>
      </c>
      <c r="O19236">
        <v>250612</v>
      </c>
      <c r="P19236">
        <v>134.22999999999999</v>
      </c>
    </row>
    <row r="19237" spans="1:16" x14ac:dyDescent="0.25">
      <c r="A19237" t="s">
        <v>3296</v>
      </c>
      <c r="B19237" t="s">
        <v>2931</v>
      </c>
      <c r="C19237">
        <v>8339</v>
      </c>
      <c r="D19237" t="str">
        <f>"5002839519  "</f>
        <v xml:space="preserve">5002839519  </v>
      </c>
      <c r="E19237" t="s">
        <v>1014</v>
      </c>
      <c r="F19237" t="s">
        <v>1015</v>
      </c>
      <c r="G19237">
        <v>169.6</v>
      </c>
      <c r="H19237">
        <v>250531</v>
      </c>
      <c r="I19237">
        <v>4572</v>
      </c>
      <c r="J19237" t="s">
        <v>173</v>
      </c>
      <c r="K19237">
        <v>565.35</v>
      </c>
      <c r="L19237">
        <v>34.46</v>
      </c>
      <c r="M19237">
        <v>14952</v>
      </c>
      <c r="N19237" t="s">
        <v>213</v>
      </c>
      <c r="O19237">
        <v>250613</v>
      </c>
      <c r="P19237">
        <v>135.13999999999999</v>
      </c>
    </row>
    <row r="19238" spans="1:16" x14ac:dyDescent="0.25">
      <c r="A19238" t="s">
        <v>3296</v>
      </c>
      <c r="B19238" t="s">
        <v>2931</v>
      </c>
      <c r="C19238">
        <v>8339</v>
      </c>
      <c r="D19238" t="str">
        <f>"5002839519  "</f>
        <v xml:space="preserve">5002839519  </v>
      </c>
      <c r="E19238" t="s">
        <v>1014</v>
      </c>
      <c r="F19238" t="s">
        <v>1015</v>
      </c>
      <c r="G19238">
        <v>395.75</v>
      </c>
      <c r="H19238">
        <v>250531</v>
      </c>
      <c r="I19238">
        <v>4572</v>
      </c>
      <c r="J19238" t="s">
        <v>173</v>
      </c>
      <c r="K19238">
        <v>565.35</v>
      </c>
      <c r="L19238">
        <v>80.41</v>
      </c>
      <c r="M19238">
        <v>14981</v>
      </c>
      <c r="N19238" t="s">
        <v>252</v>
      </c>
      <c r="O19238">
        <v>250613</v>
      </c>
      <c r="P19238">
        <v>315.33999999999997</v>
      </c>
    </row>
    <row r="19239" spans="1:16" x14ac:dyDescent="0.25">
      <c r="A19239" t="s">
        <v>3296</v>
      </c>
      <c r="B19239" t="s">
        <v>2931</v>
      </c>
      <c r="C19239">
        <v>9465</v>
      </c>
      <c r="D19239" t="str">
        <f>"5002864234  "</f>
        <v xml:space="preserve">5002864234  </v>
      </c>
      <c r="E19239" t="s">
        <v>1014</v>
      </c>
      <c r="F19239" t="s">
        <v>1015</v>
      </c>
      <c r="G19239">
        <v>73.37</v>
      </c>
      <c r="H19239">
        <v>250630</v>
      </c>
      <c r="I19239">
        <v>4572</v>
      </c>
      <c r="J19239" t="s">
        <v>173</v>
      </c>
      <c r="K19239">
        <v>220.13</v>
      </c>
      <c r="L19239">
        <v>14.91</v>
      </c>
      <c r="M19239">
        <v>11401</v>
      </c>
      <c r="N19239" t="s">
        <v>91</v>
      </c>
      <c r="O19239">
        <v>250708</v>
      </c>
      <c r="P19239">
        <v>58.46</v>
      </c>
    </row>
    <row r="19240" spans="1:16" x14ac:dyDescent="0.25">
      <c r="A19240" t="s">
        <v>3296</v>
      </c>
      <c r="B19240" t="s">
        <v>2931</v>
      </c>
      <c r="C19240">
        <v>9465</v>
      </c>
      <c r="D19240" t="str">
        <f>"5002864234  "</f>
        <v xml:space="preserve">5002864234  </v>
      </c>
      <c r="E19240" t="s">
        <v>1014</v>
      </c>
      <c r="F19240" t="s">
        <v>1015</v>
      </c>
      <c r="G19240">
        <v>146.76</v>
      </c>
      <c r="H19240">
        <v>250630</v>
      </c>
      <c r="I19240">
        <v>4572</v>
      </c>
      <c r="J19240" t="s">
        <v>173</v>
      </c>
      <c r="K19240">
        <v>220.13</v>
      </c>
      <c r="L19240">
        <v>29.82</v>
      </c>
      <c r="M19240">
        <v>14952</v>
      </c>
      <c r="N19240" t="s">
        <v>213</v>
      </c>
      <c r="O19240">
        <v>250708</v>
      </c>
      <c r="P19240">
        <v>116.94</v>
      </c>
    </row>
    <row r="19241" spans="1:16" x14ac:dyDescent="0.25">
      <c r="A19241" t="s">
        <v>3296</v>
      </c>
      <c r="B19241" t="s">
        <v>2931</v>
      </c>
      <c r="C19241">
        <v>9466</v>
      </c>
      <c r="D19241" t="str">
        <f>"5002861311  "</f>
        <v xml:space="preserve">5002861311  </v>
      </c>
      <c r="E19241" t="s">
        <v>1014</v>
      </c>
      <c r="F19241" t="s">
        <v>1015</v>
      </c>
      <c r="G19241">
        <v>20.6</v>
      </c>
      <c r="H19241">
        <v>250630</v>
      </c>
      <c r="I19241">
        <v>4572</v>
      </c>
      <c r="J19241" t="s">
        <v>173</v>
      </c>
      <c r="K19241">
        <v>68.67</v>
      </c>
      <c r="L19241">
        <v>4.1900000000000004</v>
      </c>
      <c r="M19241">
        <v>14952</v>
      </c>
      <c r="N19241" t="s">
        <v>213</v>
      </c>
      <c r="O19241">
        <v>250708</v>
      </c>
      <c r="P19241">
        <v>16.41</v>
      </c>
    </row>
    <row r="19242" spans="1:16" x14ac:dyDescent="0.25">
      <c r="A19242" t="s">
        <v>3296</v>
      </c>
      <c r="B19242" t="s">
        <v>2931</v>
      </c>
      <c r="C19242">
        <v>9466</v>
      </c>
      <c r="D19242" t="str">
        <f>"5002861311  "</f>
        <v xml:space="preserve">5002861311  </v>
      </c>
      <c r="E19242" t="s">
        <v>1014</v>
      </c>
      <c r="F19242" t="s">
        <v>1015</v>
      </c>
      <c r="G19242">
        <v>48.07</v>
      </c>
      <c r="H19242">
        <v>250630</v>
      </c>
      <c r="I19242">
        <v>4572</v>
      </c>
      <c r="J19242" t="s">
        <v>173</v>
      </c>
      <c r="K19242">
        <v>68.67</v>
      </c>
      <c r="L19242">
        <v>9.77</v>
      </c>
      <c r="M19242">
        <v>14981</v>
      </c>
      <c r="N19242" t="s">
        <v>252</v>
      </c>
      <c r="O19242">
        <v>250708</v>
      </c>
      <c r="P19242">
        <v>38.299999999999997</v>
      </c>
    </row>
    <row r="19243" spans="1:16" x14ac:dyDescent="0.25">
      <c r="A19243" t="s">
        <v>3296</v>
      </c>
      <c r="B19243" t="s">
        <v>2931</v>
      </c>
      <c r="C19243">
        <v>9467</v>
      </c>
      <c r="D19243" t="str">
        <f>"5002865893  "</f>
        <v xml:space="preserve">5002865893  </v>
      </c>
      <c r="E19243" t="s">
        <v>1014</v>
      </c>
      <c r="F19243" t="s">
        <v>1015</v>
      </c>
      <c r="G19243">
        <v>55.66</v>
      </c>
      <c r="H19243">
        <v>250630</v>
      </c>
      <c r="I19243">
        <v>4572</v>
      </c>
      <c r="J19243" t="s">
        <v>173</v>
      </c>
      <c r="K19243">
        <v>185.55</v>
      </c>
      <c r="L19243">
        <v>11.31</v>
      </c>
      <c r="M19243">
        <v>14952</v>
      </c>
      <c r="N19243" t="s">
        <v>213</v>
      </c>
      <c r="O19243">
        <v>250708</v>
      </c>
      <c r="P19243">
        <v>44.35</v>
      </c>
    </row>
    <row r="19244" spans="1:16" x14ac:dyDescent="0.25">
      <c r="A19244" t="s">
        <v>3296</v>
      </c>
      <c r="B19244" t="s">
        <v>2931</v>
      </c>
      <c r="C19244">
        <v>9467</v>
      </c>
      <c r="D19244" t="str">
        <f>"5002865893  "</f>
        <v xml:space="preserve">5002865893  </v>
      </c>
      <c r="E19244" t="s">
        <v>1014</v>
      </c>
      <c r="F19244" t="s">
        <v>1015</v>
      </c>
      <c r="G19244">
        <v>129.88999999999999</v>
      </c>
      <c r="H19244">
        <v>250630</v>
      </c>
      <c r="I19244">
        <v>4572</v>
      </c>
      <c r="J19244" t="s">
        <v>173</v>
      </c>
      <c r="K19244">
        <v>185.55</v>
      </c>
      <c r="L19244">
        <v>26.39</v>
      </c>
      <c r="M19244">
        <v>14981</v>
      </c>
      <c r="N19244" t="s">
        <v>252</v>
      </c>
      <c r="O19244">
        <v>250708</v>
      </c>
      <c r="P19244">
        <v>103.5</v>
      </c>
    </row>
    <row r="19245" spans="1:16" x14ac:dyDescent="0.25">
      <c r="A19245" t="s">
        <v>3296</v>
      </c>
      <c r="B19245" t="s">
        <v>2931</v>
      </c>
      <c r="C19245">
        <v>9468</v>
      </c>
      <c r="D19245" t="str">
        <f>"5002857037  "</f>
        <v xml:space="preserve">5002857037  </v>
      </c>
      <c r="E19245" t="s">
        <v>1014</v>
      </c>
      <c r="F19245" t="s">
        <v>1015</v>
      </c>
      <c r="G19245">
        <v>159.66999999999999</v>
      </c>
      <c r="H19245">
        <v>250630</v>
      </c>
      <c r="I19245">
        <v>4572</v>
      </c>
      <c r="J19245" t="s">
        <v>173</v>
      </c>
      <c r="K19245">
        <v>532.23</v>
      </c>
      <c r="L19245">
        <v>32.44</v>
      </c>
      <c r="M19245">
        <v>14952</v>
      </c>
      <c r="N19245" t="s">
        <v>213</v>
      </c>
      <c r="O19245">
        <v>250708</v>
      </c>
      <c r="P19245">
        <v>127.23</v>
      </c>
    </row>
    <row r="19246" spans="1:16" x14ac:dyDescent="0.25">
      <c r="A19246" t="s">
        <v>3296</v>
      </c>
      <c r="B19246" t="s">
        <v>2931</v>
      </c>
      <c r="C19246">
        <v>9468</v>
      </c>
      <c r="D19246" t="str">
        <f>"5002857037  "</f>
        <v xml:space="preserve">5002857037  </v>
      </c>
      <c r="E19246" t="s">
        <v>1014</v>
      </c>
      <c r="F19246" t="s">
        <v>1015</v>
      </c>
      <c r="G19246">
        <v>372.56</v>
      </c>
      <c r="H19246">
        <v>250630</v>
      </c>
      <c r="I19246">
        <v>4572</v>
      </c>
      <c r="J19246" t="s">
        <v>173</v>
      </c>
      <c r="K19246">
        <v>532.23</v>
      </c>
      <c r="L19246">
        <v>75.7</v>
      </c>
      <c r="M19246">
        <v>14981</v>
      </c>
      <c r="N19246" t="s">
        <v>252</v>
      </c>
      <c r="O19246">
        <v>250708</v>
      </c>
      <c r="P19246">
        <v>296.86</v>
      </c>
    </row>
    <row r="19247" spans="1:16" x14ac:dyDescent="0.25">
      <c r="A19247" t="s">
        <v>3296</v>
      </c>
      <c r="B19247" t="s">
        <v>2931</v>
      </c>
      <c r="C19247">
        <v>9469</v>
      </c>
      <c r="D19247" t="str">
        <f>"5002883542  "</f>
        <v xml:space="preserve">5002883542  </v>
      </c>
      <c r="E19247" t="s">
        <v>1014</v>
      </c>
      <c r="F19247" t="s">
        <v>1015</v>
      </c>
      <c r="G19247">
        <v>37.51</v>
      </c>
      <c r="H19247">
        <v>250630</v>
      </c>
      <c r="I19247">
        <v>4572</v>
      </c>
      <c r="J19247" t="s">
        <v>173</v>
      </c>
      <c r="K19247">
        <v>125.05</v>
      </c>
      <c r="L19247">
        <v>7.62</v>
      </c>
      <c r="M19247">
        <v>14952</v>
      </c>
      <c r="N19247" t="s">
        <v>213</v>
      </c>
      <c r="O19247">
        <v>250708</v>
      </c>
      <c r="P19247">
        <v>29.89</v>
      </c>
    </row>
    <row r="19248" spans="1:16" x14ac:dyDescent="0.25">
      <c r="A19248" t="s">
        <v>3296</v>
      </c>
      <c r="B19248" t="s">
        <v>2931</v>
      </c>
      <c r="C19248">
        <v>9469</v>
      </c>
      <c r="D19248" t="str">
        <f>"5002883542  "</f>
        <v xml:space="preserve">5002883542  </v>
      </c>
      <c r="E19248" t="s">
        <v>1014</v>
      </c>
      <c r="F19248" t="s">
        <v>1015</v>
      </c>
      <c r="G19248">
        <v>87.54</v>
      </c>
      <c r="H19248">
        <v>250630</v>
      </c>
      <c r="I19248">
        <v>4572</v>
      </c>
      <c r="J19248" t="s">
        <v>173</v>
      </c>
      <c r="K19248">
        <v>125.05</v>
      </c>
      <c r="L19248">
        <v>17.79</v>
      </c>
      <c r="M19248">
        <v>14981</v>
      </c>
      <c r="N19248" t="s">
        <v>252</v>
      </c>
      <c r="O19248">
        <v>250708</v>
      </c>
      <c r="P19248">
        <v>69.75</v>
      </c>
    </row>
    <row r="19249" spans="1:16" x14ac:dyDescent="0.25">
      <c r="A19249" t="s">
        <v>3296</v>
      </c>
      <c r="B19249" t="s">
        <v>2931</v>
      </c>
      <c r="C19249">
        <v>9473</v>
      </c>
      <c r="D19249" t="str">
        <f>"5002943675  "</f>
        <v xml:space="preserve">5002943675  </v>
      </c>
      <c r="E19249" t="s">
        <v>1014</v>
      </c>
      <c r="F19249" t="s">
        <v>1015</v>
      </c>
      <c r="G19249">
        <v>72</v>
      </c>
      <c r="H19249">
        <v>250630</v>
      </c>
      <c r="I19249">
        <v>4572</v>
      </c>
      <c r="J19249" t="s">
        <v>173</v>
      </c>
      <c r="K19249">
        <v>216.01</v>
      </c>
      <c r="L19249">
        <v>14.63</v>
      </c>
      <c r="M19249">
        <v>11401</v>
      </c>
      <c r="N19249" t="s">
        <v>91</v>
      </c>
      <c r="O19249">
        <v>250708</v>
      </c>
      <c r="P19249">
        <v>57.37</v>
      </c>
    </row>
    <row r="19250" spans="1:16" x14ac:dyDescent="0.25">
      <c r="A19250" t="s">
        <v>3296</v>
      </c>
      <c r="B19250" t="s">
        <v>2931</v>
      </c>
      <c r="C19250">
        <v>9473</v>
      </c>
      <c r="D19250" t="str">
        <f>"5002943675  "</f>
        <v xml:space="preserve">5002943675  </v>
      </c>
      <c r="E19250" t="s">
        <v>1014</v>
      </c>
      <c r="F19250" t="s">
        <v>1015</v>
      </c>
      <c r="G19250">
        <v>144.01</v>
      </c>
      <c r="H19250">
        <v>250630</v>
      </c>
      <c r="I19250">
        <v>4572</v>
      </c>
      <c r="J19250" t="s">
        <v>173</v>
      </c>
      <c r="K19250">
        <v>216.01</v>
      </c>
      <c r="L19250">
        <v>29.26</v>
      </c>
      <c r="M19250">
        <v>14952</v>
      </c>
      <c r="N19250" t="s">
        <v>213</v>
      </c>
      <c r="O19250">
        <v>250708</v>
      </c>
      <c r="P19250">
        <v>114.75</v>
      </c>
    </row>
    <row r="19251" spans="1:16" x14ac:dyDescent="0.25">
      <c r="A19251" t="s">
        <v>3296</v>
      </c>
      <c r="B19251" t="s">
        <v>2931</v>
      </c>
      <c r="C19251">
        <v>9533</v>
      </c>
      <c r="D19251" t="str">
        <f>"5002979167  "</f>
        <v xml:space="preserve">5002979167  </v>
      </c>
      <c r="E19251" t="s">
        <v>1014</v>
      </c>
      <c r="F19251" t="s">
        <v>1015</v>
      </c>
      <c r="G19251">
        <v>1770.2</v>
      </c>
      <c r="H19251">
        <v>250630</v>
      </c>
      <c r="I19251">
        <v>4572</v>
      </c>
      <c r="J19251" t="s">
        <v>173</v>
      </c>
      <c r="K19251">
        <v>1770.2</v>
      </c>
      <c r="L19251">
        <v>359.68</v>
      </c>
      <c r="M19251">
        <v>14951</v>
      </c>
      <c r="N19251" t="s">
        <v>186</v>
      </c>
      <c r="O19251">
        <v>250709</v>
      </c>
      <c r="P19251">
        <v>1410.52</v>
      </c>
    </row>
    <row r="19252" spans="1:16" x14ac:dyDescent="0.25">
      <c r="A19252" t="s">
        <v>3296</v>
      </c>
      <c r="B19252" t="s">
        <v>2931</v>
      </c>
      <c r="C19252">
        <v>10147</v>
      </c>
      <c r="D19252" t="str">
        <f>"5003039164  "</f>
        <v xml:space="preserve">5003039164  </v>
      </c>
      <c r="E19252" t="s">
        <v>1014</v>
      </c>
      <c r="F19252" t="s">
        <v>1015</v>
      </c>
      <c r="G19252">
        <v>71.28</v>
      </c>
      <c r="H19252">
        <v>250731</v>
      </c>
      <c r="I19252">
        <v>4572</v>
      </c>
      <c r="J19252" t="s">
        <v>173</v>
      </c>
      <c r="K19252">
        <v>213.85</v>
      </c>
      <c r="L19252">
        <v>14.48</v>
      </c>
      <c r="M19252">
        <v>11401</v>
      </c>
      <c r="N19252" t="s">
        <v>91</v>
      </c>
      <c r="O19252">
        <v>250812</v>
      </c>
      <c r="P19252">
        <v>56.8</v>
      </c>
    </row>
    <row r="19253" spans="1:16" x14ac:dyDescent="0.25">
      <c r="A19253" t="s">
        <v>3296</v>
      </c>
      <c r="B19253" t="s">
        <v>2931</v>
      </c>
      <c r="C19253">
        <v>10147</v>
      </c>
      <c r="D19253" t="str">
        <f>"5003039164  "</f>
        <v xml:space="preserve">5003039164  </v>
      </c>
      <c r="E19253" t="s">
        <v>1014</v>
      </c>
      <c r="F19253" t="s">
        <v>1015</v>
      </c>
      <c r="G19253">
        <v>142.57</v>
      </c>
      <c r="H19253">
        <v>250731</v>
      </c>
      <c r="I19253">
        <v>4572</v>
      </c>
      <c r="J19253" t="s">
        <v>173</v>
      </c>
      <c r="K19253">
        <v>213.85</v>
      </c>
      <c r="L19253">
        <v>28.97</v>
      </c>
      <c r="M19253">
        <v>14952</v>
      </c>
      <c r="N19253" t="s">
        <v>213</v>
      </c>
      <c r="O19253">
        <v>250812</v>
      </c>
      <c r="P19253">
        <v>113.6</v>
      </c>
    </row>
    <row r="19254" spans="1:16" x14ac:dyDescent="0.25">
      <c r="A19254" t="s">
        <v>3296</v>
      </c>
      <c r="B19254" t="s">
        <v>2931</v>
      </c>
      <c r="C19254">
        <v>10148</v>
      </c>
      <c r="D19254" t="str">
        <f>"5003031288  "</f>
        <v xml:space="preserve">5003031288  </v>
      </c>
      <c r="E19254" t="s">
        <v>1014</v>
      </c>
      <c r="F19254" t="s">
        <v>1015</v>
      </c>
      <c r="G19254">
        <v>1799.27</v>
      </c>
      <c r="H19254">
        <v>250731</v>
      </c>
      <c r="I19254">
        <v>4572</v>
      </c>
      <c r="J19254" t="s">
        <v>173</v>
      </c>
      <c r="K19254">
        <v>1799.27</v>
      </c>
      <c r="L19254">
        <v>365.59</v>
      </c>
      <c r="M19254">
        <v>14951</v>
      </c>
      <c r="N19254" t="s">
        <v>186</v>
      </c>
      <c r="O19254">
        <v>250812</v>
      </c>
      <c r="P19254">
        <v>1433.68</v>
      </c>
    </row>
    <row r="19255" spans="1:16" x14ac:dyDescent="0.25">
      <c r="A19255" t="s">
        <v>3296</v>
      </c>
      <c r="B19255" t="s">
        <v>2931</v>
      </c>
      <c r="C19255">
        <v>10149</v>
      </c>
      <c r="D19255" t="str">
        <f>"5003036505  "</f>
        <v xml:space="preserve">5003036505  </v>
      </c>
      <c r="E19255" t="s">
        <v>1014</v>
      </c>
      <c r="F19255" t="s">
        <v>1015</v>
      </c>
      <c r="G19255">
        <v>20.68</v>
      </c>
      <c r="H19255">
        <v>250730</v>
      </c>
      <c r="I19255">
        <v>4572</v>
      </c>
      <c r="J19255" t="s">
        <v>173</v>
      </c>
      <c r="K19255">
        <v>68.94</v>
      </c>
      <c r="L19255">
        <v>4.2</v>
      </c>
      <c r="M19255">
        <v>14952</v>
      </c>
      <c r="N19255" t="s">
        <v>213</v>
      </c>
      <c r="O19255">
        <v>250812</v>
      </c>
      <c r="P19255">
        <v>16.48</v>
      </c>
    </row>
    <row r="19256" spans="1:16" x14ac:dyDescent="0.25">
      <c r="A19256" t="s">
        <v>3296</v>
      </c>
      <c r="B19256" t="s">
        <v>2931</v>
      </c>
      <c r="C19256">
        <v>10149</v>
      </c>
      <c r="D19256" t="str">
        <f>"5003036505  "</f>
        <v xml:space="preserve">5003036505  </v>
      </c>
      <c r="E19256" t="s">
        <v>1014</v>
      </c>
      <c r="F19256" t="s">
        <v>1015</v>
      </c>
      <c r="G19256">
        <v>48.26</v>
      </c>
      <c r="H19256">
        <v>250730</v>
      </c>
      <c r="I19256">
        <v>4572</v>
      </c>
      <c r="J19256" t="s">
        <v>173</v>
      </c>
      <c r="K19256">
        <v>68.94</v>
      </c>
      <c r="L19256">
        <v>9.81</v>
      </c>
      <c r="M19256">
        <v>14981</v>
      </c>
      <c r="N19256" t="s">
        <v>252</v>
      </c>
      <c r="O19256">
        <v>250812</v>
      </c>
      <c r="P19256">
        <v>38.450000000000003</v>
      </c>
    </row>
    <row r="19257" spans="1:16" x14ac:dyDescent="0.25">
      <c r="A19257" t="s">
        <v>3296</v>
      </c>
      <c r="B19257" t="s">
        <v>2931</v>
      </c>
      <c r="C19257">
        <v>10153</v>
      </c>
      <c r="D19257" t="str">
        <f>"5003028635  "</f>
        <v xml:space="preserve">5003028635  </v>
      </c>
      <c r="E19257" t="s">
        <v>1014</v>
      </c>
      <c r="F19257" t="s">
        <v>1015</v>
      </c>
      <c r="G19257">
        <v>157.13</v>
      </c>
      <c r="H19257">
        <v>250730</v>
      </c>
      <c r="I19257">
        <v>4572</v>
      </c>
      <c r="J19257" t="s">
        <v>173</v>
      </c>
      <c r="K19257">
        <v>523.76</v>
      </c>
      <c r="L19257">
        <v>31.93</v>
      </c>
      <c r="M19257">
        <v>14952</v>
      </c>
      <c r="N19257" t="s">
        <v>213</v>
      </c>
      <c r="O19257">
        <v>250812</v>
      </c>
      <c r="P19257">
        <v>125.2</v>
      </c>
    </row>
    <row r="19258" spans="1:16" x14ac:dyDescent="0.25">
      <c r="A19258" t="s">
        <v>3296</v>
      </c>
      <c r="B19258" t="s">
        <v>2931</v>
      </c>
      <c r="C19258">
        <v>10153</v>
      </c>
      <c r="D19258" t="str">
        <f>"5003028635  "</f>
        <v xml:space="preserve">5003028635  </v>
      </c>
      <c r="E19258" t="s">
        <v>1014</v>
      </c>
      <c r="F19258" t="s">
        <v>1015</v>
      </c>
      <c r="G19258">
        <v>366.63</v>
      </c>
      <c r="H19258">
        <v>250730</v>
      </c>
      <c r="I19258">
        <v>4572</v>
      </c>
      <c r="J19258" t="s">
        <v>173</v>
      </c>
      <c r="K19258">
        <v>523.76</v>
      </c>
      <c r="L19258">
        <v>74.489999999999995</v>
      </c>
      <c r="M19258">
        <v>14981</v>
      </c>
      <c r="N19258" t="s">
        <v>252</v>
      </c>
      <c r="O19258">
        <v>250812</v>
      </c>
      <c r="P19258">
        <v>292.14</v>
      </c>
    </row>
    <row r="19259" spans="1:16" x14ac:dyDescent="0.25">
      <c r="A19259" t="s">
        <v>3296</v>
      </c>
      <c r="B19259" t="s">
        <v>2931</v>
      </c>
      <c r="C19259">
        <v>11724</v>
      </c>
      <c r="D19259" t="str">
        <f>"5003087267  "</f>
        <v xml:space="preserve">5003087267  </v>
      </c>
      <c r="E19259" t="s">
        <v>1014</v>
      </c>
      <c r="F19259" t="s">
        <v>1015</v>
      </c>
      <c r="G19259">
        <v>162.81</v>
      </c>
      <c r="H19259">
        <v>250831</v>
      </c>
      <c r="I19259">
        <v>4572</v>
      </c>
      <c r="J19259" t="s">
        <v>173</v>
      </c>
      <c r="K19259">
        <v>542.70000000000005</v>
      </c>
      <c r="L19259">
        <v>33.08</v>
      </c>
      <c r="M19259">
        <v>14952</v>
      </c>
      <c r="N19259" t="s">
        <v>213</v>
      </c>
      <c r="O19259">
        <v>250910</v>
      </c>
      <c r="P19259">
        <v>129.72999999999999</v>
      </c>
    </row>
    <row r="19260" spans="1:16" x14ac:dyDescent="0.25">
      <c r="A19260" t="s">
        <v>3296</v>
      </c>
      <c r="B19260" t="s">
        <v>2931</v>
      </c>
      <c r="C19260">
        <v>11724</v>
      </c>
      <c r="D19260" t="str">
        <f>"5003087267  "</f>
        <v xml:space="preserve">5003087267  </v>
      </c>
      <c r="E19260" t="s">
        <v>1014</v>
      </c>
      <c r="F19260" t="s">
        <v>1015</v>
      </c>
      <c r="G19260">
        <v>379.89</v>
      </c>
      <c r="H19260">
        <v>250831</v>
      </c>
      <c r="I19260">
        <v>4572</v>
      </c>
      <c r="J19260" t="s">
        <v>173</v>
      </c>
      <c r="K19260">
        <v>542.70000000000005</v>
      </c>
      <c r="L19260">
        <v>77.19</v>
      </c>
      <c r="M19260">
        <v>14981</v>
      </c>
      <c r="N19260" t="s">
        <v>252</v>
      </c>
      <c r="O19260">
        <v>250910</v>
      </c>
      <c r="P19260">
        <v>302.7</v>
      </c>
    </row>
    <row r="19261" spans="1:16" x14ac:dyDescent="0.25">
      <c r="A19261" t="s">
        <v>3296</v>
      </c>
      <c r="B19261" t="s">
        <v>2931</v>
      </c>
      <c r="C19261">
        <v>11854</v>
      </c>
      <c r="D19261" t="str">
        <f>"5003062551  "</f>
        <v xml:space="preserve">5003062551  </v>
      </c>
      <c r="E19261" t="s">
        <v>1014</v>
      </c>
      <c r="F19261" t="s">
        <v>1015</v>
      </c>
      <c r="G19261">
        <v>74.930000000000007</v>
      </c>
      <c r="H19261">
        <v>250831</v>
      </c>
      <c r="I19261">
        <v>4572</v>
      </c>
      <c r="J19261" t="s">
        <v>173</v>
      </c>
      <c r="K19261">
        <v>249.77</v>
      </c>
      <c r="L19261">
        <v>15.22</v>
      </c>
      <c r="M19261">
        <v>11401</v>
      </c>
      <c r="N19261" t="s">
        <v>91</v>
      </c>
      <c r="O19261">
        <v>250911</v>
      </c>
      <c r="P19261">
        <v>59.71</v>
      </c>
    </row>
    <row r="19262" spans="1:16" x14ac:dyDescent="0.25">
      <c r="A19262" t="s">
        <v>3296</v>
      </c>
      <c r="B19262" t="s">
        <v>2931</v>
      </c>
      <c r="C19262">
        <v>11854</v>
      </c>
      <c r="D19262" t="str">
        <f>"5003062551  "</f>
        <v xml:space="preserve">5003062551  </v>
      </c>
      <c r="E19262" t="s">
        <v>1014</v>
      </c>
      <c r="F19262" t="s">
        <v>1015</v>
      </c>
      <c r="G19262">
        <v>174.84</v>
      </c>
      <c r="H19262">
        <v>250831</v>
      </c>
      <c r="I19262">
        <v>4572</v>
      </c>
      <c r="J19262" t="s">
        <v>173</v>
      </c>
      <c r="K19262">
        <v>249.77</v>
      </c>
      <c r="L19262">
        <v>35.53</v>
      </c>
      <c r="M19262">
        <v>14952</v>
      </c>
      <c r="N19262" t="s">
        <v>213</v>
      </c>
      <c r="O19262">
        <v>250911</v>
      </c>
      <c r="P19262">
        <v>139.31</v>
      </c>
    </row>
    <row r="19263" spans="1:16" x14ac:dyDescent="0.25">
      <c r="A19263" t="s">
        <v>3296</v>
      </c>
      <c r="B19263" t="s">
        <v>2931</v>
      </c>
      <c r="C19263">
        <v>11855</v>
      </c>
      <c r="D19263" t="str">
        <f>"5003072720  "</f>
        <v xml:space="preserve">5003072720  </v>
      </c>
      <c r="E19263" t="s">
        <v>1014</v>
      </c>
      <c r="F19263" t="s">
        <v>1015</v>
      </c>
      <c r="G19263">
        <v>20.7</v>
      </c>
      <c r="H19263">
        <v>250831</v>
      </c>
      <c r="I19263">
        <v>4572</v>
      </c>
      <c r="J19263" t="s">
        <v>173</v>
      </c>
      <c r="K19263">
        <v>69.010000000000005</v>
      </c>
      <c r="L19263">
        <v>4.21</v>
      </c>
      <c r="M19263">
        <v>14952</v>
      </c>
      <c r="N19263" t="s">
        <v>213</v>
      </c>
      <c r="O19263">
        <v>250911</v>
      </c>
      <c r="P19263">
        <v>16.489999999999998</v>
      </c>
    </row>
    <row r="19264" spans="1:16" x14ac:dyDescent="0.25">
      <c r="A19264" t="s">
        <v>3296</v>
      </c>
      <c r="B19264" t="s">
        <v>2931</v>
      </c>
      <c r="C19264">
        <v>11855</v>
      </c>
      <c r="D19264" t="str">
        <f>"5003072720  "</f>
        <v xml:space="preserve">5003072720  </v>
      </c>
      <c r="E19264" t="s">
        <v>1014</v>
      </c>
      <c r="F19264" t="s">
        <v>1015</v>
      </c>
      <c r="G19264">
        <v>48.31</v>
      </c>
      <c r="H19264">
        <v>250831</v>
      </c>
      <c r="I19264">
        <v>4572</v>
      </c>
      <c r="J19264" t="s">
        <v>173</v>
      </c>
      <c r="K19264">
        <v>69.010000000000005</v>
      </c>
      <c r="L19264">
        <v>9.82</v>
      </c>
      <c r="M19264">
        <v>14981</v>
      </c>
      <c r="N19264" t="s">
        <v>252</v>
      </c>
      <c r="O19264">
        <v>250911</v>
      </c>
      <c r="P19264">
        <v>38.49</v>
      </c>
    </row>
    <row r="19265" spans="1:16" x14ac:dyDescent="0.25">
      <c r="A19265" t="s">
        <v>3296</v>
      </c>
      <c r="B19265" t="s">
        <v>2931</v>
      </c>
      <c r="C19265">
        <v>11975</v>
      </c>
      <c r="D19265" t="str">
        <f>"5003073448  "</f>
        <v xml:space="preserve">5003073448  </v>
      </c>
      <c r="E19265" t="s">
        <v>1014</v>
      </c>
      <c r="F19265" t="s">
        <v>1015</v>
      </c>
      <c r="G19265">
        <v>49.16</v>
      </c>
      <c r="H19265">
        <v>250831</v>
      </c>
      <c r="I19265">
        <v>4572</v>
      </c>
      <c r="J19265" t="s">
        <v>173</v>
      </c>
      <c r="K19265">
        <v>163.86</v>
      </c>
      <c r="L19265">
        <v>9.99</v>
      </c>
      <c r="M19265">
        <v>14952</v>
      </c>
      <c r="N19265" t="s">
        <v>213</v>
      </c>
      <c r="O19265">
        <v>250915</v>
      </c>
      <c r="P19265">
        <v>39.17</v>
      </c>
    </row>
    <row r="19266" spans="1:16" x14ac:dyDescent="0.25">
      <c r="A19266" t="s">
        <v>3296</v>
      </c>
      <c r="B19266" t="s">
        <v>2931</v>
      </c>
      <c r="C19266">
        <v>11975</v>
      </c>
      <c r="D19266" t="str">
        <f>"5003073448  "</f>
        <v xml:space="preserve">5003073448  </v>
      </c>
      <c r="E19266" t="s">
        <v>1014</v>
      </c>
      <c r="F19266" t="s">
        <v>1015</v>
      </c>
      <c r="G19266">
        <v>114.7</v>
      </c>
      <c r="H19266">
        <v>250831</v>
      </c>
      <c r="I19266">
        <v>4572</v>
      </c>
      <c r="J19266" t="s">
        <v>173</v>
      </c>
      <c r="K19266">
        <v>163.86</v>
      </c>
      <c r="L19266">
        <v>23.31</v>
      </c>
      <c r="M19266">
        <v>14981</v>
      </c>
      <c r="N19266" t="s">
        <v>252</v>
      </c>
      <c r="O19266">
        <v>250915</v>
      </c>
      <c r="P19266">
        <v>91.39</v>
      </c>
    </row>
    <row r="19267" spans="1:16" x14ac:dyDescent="0.25">
      <c r="A19267" t="s">
        <v>3296</v>
      </c>
      <c r="B19267" t="s">
        <v>2931</v>
      </c>
      <c r="C19267">
        <v>11976</v>
      </c>
      <c r="D19267" t="str">
        <f>"5003075257  "</f>
        <v xml:space="preserve">5003075257  </v>
      </c>
      <c r="E19267" t="s">
        <v>1014</v>
      </c>
      <c r="F19267" t="s">
        <v>1015</v>
      </c>
      <c r="G19267">
        <v>2005.18</v>
      </c>
      <c r="H19267">
        <v>250831</v>
      </c>
      <c r="I19267">
        <v>4572</v>
      </c>
      <c r="J19267" t="s">
        <v>173</v>
      </c>
      <c r="K19267">
        <v>2005.18</v>
      </c>
      <c r="L19267">
        <v>407.43</v>
      </c>
      <c r="M19267">
        <v>14951</v>
      </c>
      <c r="N19267" t="s">
        <v>186</v>
      </c>
      <c r="O19267">
        <v>250915</v>
      </c>
      <c r="P19267">
        <v>1597.75</v>
      </c>
    </row>
    <row r="19268" spans="1:16" x14ac:dyDescent="0.25">
      <c r="A19268" t="s">
        <v>3296</v>
      </c>
      <c r="B19268" t="s">
        <v>2931</v>
      </c>
      <c r="C19268">
        <v>13261</v>
      </c>
      <c r="D19268" t="str">
        <f>"5003127472  "</f>
        <v xml:space="preserve">5003127472  </v>
      </c>
      <c r="E19268" t="s">
        <v>1014</v>
      </c>
      <c r="F19268" t="s">
        <v>1015</v>
      </c>
      <c r="G19268">
        <v>2020.56</v>
      </c>
      <c r="H19268">
        <v>250930</v>
      </c>
      <c r="I19268">
        <v>4572</v>
      </c>
      <c r="J19268" t="s">
        <v>173</v>
      </c>
      <c r="K19268">
        <v>2020.56</v>
      </c>
      <c r="L19268">
        <v>410.55</v>
      </c>
      <c r="M19268">
        <v>14951</v>
      </c>
      <c r="N19268" t="s">
        <v>186</v>
      </c>
      <c r="O19268">
        <v>251007</v>
      </c>
      <c r="P19268">
        <v>1610.01</v>
      </c>
    </row>
    <row r="19269" spans="1:16" x14ac:dyDescent="0.25">
      <c r="A19269" t="s">
        <v>3296</v>
      </c>
      <c r="B19269" t="s">
        <v>2931</v>
      </c>
      <c r="C19269">
        <v>13262</v>
      </c>
      <c r="D19269" t="str">
        <f>"5003110664  "</f>
        <v xml:space="preserve">5003110664  </v>
      </c>
      <c r="E19269" t="s">
        <v>1014</v>
      </c>
      <c r="F19269" t="s">
        <v>1015</v>
      </c>
      <c r="G19269">
        <v>78.599999999999994</v>
      </c>
      <c r="H19269">
        <v>250930</v>
      </c>
      <c r="I19269">
        <v>4572</v>
      </c>
      <c r="J19269" t="s">
        <v>173</v>
      </c>
      <c r="K19269">
        <v>262.01</v>
      </c>
      <c r="L19269">
        <v>15.97</v>
      </c>
      <c r="M19269">
        <v>11401</v>
      </c>
      <c r="N19269" t="s">
        <v>91</v>
      </c>
      <c r="O19269">
        <v>251007</v>
      </c>
      <c r="P19269">
        <v>62.63</v>
      </c>
    </row>
    <row r="19270" spans="1:16" x14ac:dyDescent="0.25">
      <c r="A19270" t="s">
        <v>3296</v>
      </c>
      <c r="B19270" t="s">
        <v>2931</v>
      </c>
      <c r="C19270">
        <v>13262</v>
      </c>
      <c r="D19270" t="str">
        <f>"5003110664  "</f>
        <v xml:space="preserve">5003110664  </v>
      </c>
      <c r="E19270" t="s">
        <v>1014</v>
      </c>
      <c r="F19270" t="s">
        <v>1015</v>
      </c>
      <c r="G19270">
        <v>183.41</v>
      </c>
      <c r="H19270">
        <v>250930</v>
      </c>
      <c r="I19270">
        <v>4572</v>
      </c>
      <c r="J19270" t="s">
        <v>173</v>
      </c>
      <c r="K19270">
        <v>262.01</v>
      </c>
      <c r="L19270">
        <v>37.270000000000003</v>
      </c>
      <c r="M19270">
        <v>14952</v>
      </c>
      <c r="N19270" t="s">
        <v>213</v>
      </c>
      <c r="O19270">
        <v>251007</v>
      </c>
      <c r="P19270">
        <v>146.13999999999999</v>
      </c>
    </row>
    <row r="19271" spans="1:16" x14ac:dyDescent="0.25">
      <c r="A19271" t="s">
        <v>3296</v>
      </c>
      <c r="B19271" t="s">
        <v>2931</v>
      </c>
      <c r="C19271">
        <v>13264</v>
      </c>
      <c r="D19271" t="str">
        <f>"5003120010  "</f>
        <v xml:space="preserve">5003120010  </v>
      </c>
      <c r="E19271" t="s">
        <v>1014</v>
      </c>
      <c r="F19271" t="s">
        <v>1015</v>
      </c>
      <c r="G19271">
        <v>59.64</v>
      </c>
      <c r="H19271">
        <v>250930</v>
      </c>
      <c r="I19271">
        <v>4572</v>
      </c>
      <c r="J19271" t="s">
        <v>173</v>
      </c>
      <c r="K19271">
        <v>198.8</v>
      </c>
      <c r="L19271">
        <v>12.12</v>
      </c>
      <c r="M19271">
        <v>11401</v>
      </c>
      <c r="N19271" t="s">
        <v>91</v>
      </c>
      <c r="O19271">
        <v>251007</v>
      </c>
      <c r="P19271">
        <v>47.52</v>
      </c>
    </row>
    <row r="19272" spans="1:16" x14ac:dyDescent="0.25">
      <c r="A19272" t="s">
        <v>3296</v>
      </c>
      <c r="B19272" t="s">
        <v>2931</v>
      </c>
      <c r="C19272">
        <v>13264</v>
      </c>
      <c r="D19272" t="str">
        <f>"5003120010  "</f>
        <v xml:space="preserve">5003120010  </v>
      </c>
      <c r="E19272" t="s">
        <v>1014</v>
      </c>
      <c r="F19272" t="s">
        <v>1015</v>
      </c>
      <c r="G19272">
        <v>139.16</v>
      </c>
      <c r="H19272">
        <v>250930</v>
      </c>
      <c r="I19272">
        <v>4572</v>
      </c>
      <c r="J19272" t="s">
        <v>173</v>
      </c>
      <c r="K19272">
        <v>198.8</v>
      </c>
      <c r="L19272">
        <v>28.28</v>
      </c>
      <c r="M19272">
        <v>14952</v>
      </c>
      <c r="N19272" t="s">
        <v>213</v>
      </c>
      <c r="O19272">
        <v>251007</v>
      </c>
      <c r="P19272">
        <v>110.88</v>
      </c>
    </row>
    <row r="19273" spans="1:16" x14ac:dyDescent="0.25">
      <c r="A19273" t="s">
        <v>3296</v>
      </c>
      <c r="B19273" t="s">
        <v>2931</v>
      </c>
      <c r="C19273">
        <v>13265</v>
      </c>
      <c r="D19273" t="str">
        <f>"5003108394  "</f>
        <v xml:space="preserve">5003108394  </v>
      </c>
      <c r="E19273" t="s">
        <v>1014</v>
      </c>
      <c r="F19273" t="s">
        <v>1015</v>
      </c>
      <c r="G19273">
        <v>164.99</v>
      </c>
      <c r="H19273">
        <v>250930</v>
      </c>
      <c r="I19273">
        <v>4572</v>
      </c>
      <c r="J19273" t="s">
        <v>173</v>
      </c>
      <c r="K19273">
        <v>549.98</v>
      </c>
      <c r="L19273">
        <v>33.520000000000003</v>
      </c>
      <c r="M19273">
        <v>14952</v>
      </c>
      <c r="N19273" t="s">
        <v>213</v>
      </c>
      <c r="O19273">
        <v>251007</v>
      </c>
      <c r="P19273">
        <v>131.47</v>
      </c>
    </row>
    <row r="19274" spans="1:16" x14ac:dyDescent="0.25">
      <c r="A19274" t="s">
        <v>3296</v>
      </c>
      <c r="B19274" t="s">
        <v>2931</v>
      </c>
      <c r="C19274">
        <v>13265</v>
      </c>
      <c r="D19274" t="str">
        <f>"5003108394  "</f>
        <v xml:space="preserve">5003108394  </v>
      </c>
      <c r="E19274" t="s">
        <v>1014</v>
      </c>
      <c r="F19274" t="s">
        <v>1015</v>
      </c>
      <c r="G19274">
        <v>384.99</v>
      </c>
      <c r="H19274">
        <v>250930</v>
      </c>
      <c r="I19274">
        <v>4572</v>
      </c>
      <c r="J19274" t="s">
        <v>173</v>
      </c>
      <c r="K19274">
        <v>549.98</v>
      </c>
      <c r="L19274">
        <v>78.23</v>
      </c>
      <c r="M19274">
        <v>14981</v>
      </c>
      <c r="N19274" t="s">
        <v>252</v>
      </c>
      <c r="O19274">
        <v>251007</v>
      </c>
      <c r="P19274">
        <v>306.76</v>
      </c>
    </row>
    <row r="19275" spans="1:16" x14ac:dyDescent="0.25">
      <c r="A19275" t="s">
        <v>3296</v>
      </c>
      <c r="B19275" t="s">
        <v>2931</v>
      </c>
      <c r="C19275">
        <v>13266</v>
      </c>
      <c r="D19275" t="str">
        <f>"5003104986  "</f>
        <v xml:space="preserve">5003104986  </v>
      </c>
      <c r="E19275" t="s">
        <v>1014</v>
      </c>
      <c r="F19275" t="s">
        <v>1015</v>
      </c>
      <c r="G19275">
        <v>20.64</v>
      </c>
      <c r="H19275">
        <v>250930</v>
      </c>
      <c r="I19275">
        <v>4572</v>
      </c>
      <c r="J19275" t="s">
        <v>173</v>
      </c>
      <c r="K19275">
        <v>68.790000000000006</v>
      </c>
      <c r="L19275">
        <v>4.1900000000000004</v>
      </c>
      <c r="M19275">
        <v>14952</v>
      </c>
      <c r="N19275" t="s">
        <v>213</v>
      </c>
      <c r="O19275">
        <v>251007</v>
      </c>
      <c r="P19275">
        <v>16.45</v>
      </c>
    </row>
    <row r="19276" spans="1:16" x14ac:dyDescent="0.25">
      <c r="A19276" t="s">
        <v>3296</v>
      </c>
      <c r="B19276" t="s">
        <v>2931</v>
      </c>
      <c r="C19276">
        <v>13266</v>
      </c>
      <c r="D19276" t="str">
        <f>"5003104986  "</f>
        <v xml:space="preserve">5003104986  </v>
      </c>
      <c r="E19276" t="s">
        <v>1014</v>
      </c>
      <c r="F19276" t="s">
        <v>1015</v>
      </c>
      <c r="G19276">
        <v>48.15</v>
      </c>
      <c r="H19276">
        <v>250930</v>
      </c>
      <c r="I19276">
        <v>4572</v>
      </c>
      <c r="J19276" t="s">
        <v>173</v>
      </c>
      <c r="K19276">
        <v>68.790000000000006</v>
      </c>
      <c r="L19276">
        <v>9.7799999999999994</v>
      </c>
      <c r="M19276">
        <v>14981</v>
      </c>
      <c r="N19276" t="s">
        <v>252</v>
      </c>
      <c r="O19276">
        <v>251007</v>
      </c>
      <c r="P19276">
        <v>38.369999999999997</v>
      </c>
    </row>
    <row r="19277" spans="1:16" x14ac:dyDescent="0.25">
      <c r="A19277" t="s">
        <v>3296</v>
      </c>
      <c r="B19277" t="s">
        <v>2931</v>
      </c>
      <c r="C19277">
        <v>13331</v>
      </c>
      <c r="D19277" t="str">
        <f>"5003206190  "</f>
        <v xml:space="preserve">5003206190  </v>
      </c>
      <c r="E19277" t="s">
        <v>1014</v>
      </c>
      <c r="F19277" t="s">
        <v>1015</v>
      </c>
      <c r="G19277">
        <v>41.64</v>
      </c>
      <c r="H19277">
        <v>250930</v>
      </c>
      <c r="I19277">
        <v>4572</v>
      </c>
      <c r="J19277" t="s">
        <v>173</v>
      </c>
      <c r="K19277">
        <v>138.79</v>
      </c>
      <c r="L19277">
        <v>8.4600000000000009</v>
      </c>
      <c r="M19277">
        <v>14952</v>
      </c>
      <c r="N19277" t="s">
        <v>213</v>
      </c>
      <c r="O19277">
        <v>251008</v>
      </c>
      <c r="P19277">
        <v>33.18</v>
      </c>
    </row>
    <row r="19278" spans="1:16" x14ac:dyDescent="0.25">
      <c r="A19278" t="s">
        <v>3296</v>
      </c>
      <c r="B19278" t="s">
        <v>2931</v>
      </c>
      <c r="C19278">
        <v>13331</v>
      </c>
      <c r="D19278" t="str">
        <f>"5003206190  "</f>
        <v xml:space="preserve">5003206190  </v>
      </c>
      <c r="E19278" t="s">
        <v>1014</v>
      </c>
      <c r="F19278" t="s">
        <v>1015</v>
      </c>
      <c r="G19278">
        <v>97.15</v>
      </c>
      <c r="H19278">
        <v>250930</v>
      </c>
      <c r="I19278">
        <v>4572</v>
      </c>
      <c r="J19278" t="s">
        <v>173</v>
      </c>
      <c r="K19278">
        <v>138.79</v>
      </c>
      <c r="L19278">
        <v>19.739999999999998</v>
      </c>
      <c r="M19278">
        <v>14981</v>
      </c>
      <c r="N19278" t="s">
        <v>252</v>
      </c>
      <c r="O19278">
        <v>251008</v>
      </c>
      <c r="P19278">
        <v>77.41</v>
      </c>
    </row>
    <row r="19279" spans="1:16" x14ac:dyDescent="0.25">
      <c r="A19279" t="s">
        <v>3296</v>
      </c>
      <c r="B19279" t="s">
        <v>2931</v>
      </c>
      <c r="C19279">
        <v>14924</v>
      </c>
      <c r="D19279" t="str">
        <f>"5003267553  "</f>
        <v xml:space="preserve">5003267553  </v>
      </c>
      <c r="E19279" t="s">
        <v>1014</v>
      </c>
      <c r="F19279" t="s">
        <v>1015</v>
      </c>
      <c r="G19279">
        <v>1972.97</v>
      </c>
      <c r="H19279">
        <v>251031</v>
      </c>
      <c r="I19279">
        <v>4572</v>
      </c>
      <c r="J19279" t="s">
        <v>173</v>
      </c>
      <c r="K19279">
        <v>1972.97</v>
      </c>
      <c r="L19279">
        <v>400.88</v>
      </c>
      <c r="M19279">
        <v>14951</v>
      </c>
      <c r="N19279" t="s">
        <v>186</v>
      </c>
      <c r="O19279">
        <v>251110</v>
      </c>
      <c r="P19279">
        <v>1572.09</v>
      </c>
    </row>
    <row r="19280" spans="1:16" x14ac:dyDescent="0.25">
      <c r="A19280" t="s">
        <v>3296</v>
      </c>
      <c r="B19280" t="s">
        <v>2931</v>
      </c>
      <c r="C19280">
        <v>15023</v>
      </c>
      <c r="D19280" t="str">
        <f>"5003282570  "</f>
        <v xml:space="preserve">5003282570  </v>
      </c>
      <c r="E19280" t="s">
        <v>1014</v>
      </c>
      <c r="F19280" t="s">
        <v>1015</v>
      </c>
      <c r="G19280">
        <v>21.01</v>
      </c>
      <c r="H19280">
        <v>251031</v>
      </c>
      <c r="I19280">
        <v>4572</v>
      </c>
      <c r="J19280" t="s">
        <v>173</v>
      </c>
      <c r="K19280">
        <v>70.05</v>
      </c>
      <c r="L19280">
        <v>4.2699999999999996</v>
      </c>
      <c r="M19280">
        <v>14952</v>
      </c>
      <c r="N19280" t="s">
        <v>213</v>
      </c>
      <c r="O19280">
        <v>251110</v>
      </c>
      <c r="P19280">
        <v>16.739999999999998</v>
      </c>
    </row>
    <row r="19281" spans="1:16" x14ac:dyDescent="0.25">
      <c r="A19281" t="s">
        <v>3296</v>
      </c>
      <c r="B19281" t="s">
        <v>2931</v>
      </c>
      <c r="C19281">
        <v>15023</v>
      </c>
      <c r="D19281" t="str">
        <f>"5003282570  "</f>
        <v xml:space="preserve">5003282570  </v>
      </c>
      <c r="E19281" t="s">
        <v>1014</v>
      </c>
      <c r="F19281" t="s">
        <v>1015</v>
      </c>
      <c r="G19281">
        <v>49.04</v>
      </c>
      <c r="H19281">
        <v>251031</v>
      </c>
      <c r="I19281">
        <v>4572</v>
      </c>
      <c r="J19281" t="s">
        <v>173</v>
      </c>
      <c r="K19281">
        <v>70.05</v>
      </c>
      <c r="L19281">
        <v>9.9600000000000009</v>
      </c>
      <c r="M19281">
        <v>14981</v>
      </c>
      <c r="N19281" t="s">
        <v>252</v>
      </c>
      <c r="O19281">
        <v>251110</v>
      </c>
      <c r="P19281">
        <v>39.08</v>
      </c>
    </row>
    <row r="19282" spans="1:16" x14ac:dyDescent="0.25">
      <c r="A19282" t="s">
        <v>3296</v>
      </c>
      <c r="B19282" t="s">
        <v>2931</v>
      </c>
      <c r="C19282">
        <v>15028</v>
      </c>
      <c r="D19282" t="str">
        <f>"5003284303  "</f>
        <v xml:space="preserve">5003284303  </v>
      </c>
      <c r="E19282" t="s">
        <v>1014</v>
      </c>
      <c r="F19282" t="s">
        <v>1015</v>
      </c>
      <c r="G19282">
        <v>83.84</v>
      </c>
      <c r="H19282">
        <v>251031</v>
      </c>
      <c r="I19282">
        <v>4572</v>
      </c>
      <c r="J19282" t="s">
        <v>173</v>
      </c>
      <c r="K19282">
        <v>279.48</v>
      </c>
      <c r="L19282">
        <v>17.04</v>
      </c>
      <c r="M19282">
        <v>11401</v>
      </c>
      <c r="N19282" t="s">
        <v>91</v>
      </c>
      <c r="O19282">
        <v>251110</v>
      </c>
      <c r="P19282">
        <v>66.8</v>
      </c>
    </row>
    <row r="19283" spans="1:16" x14ac:dyDescent="0.25">
      <c r="A19283" t="s">
        <v>3296</v>
      </c>
      <c r="B19283" t="s">
        <v>2931</v>
      </c>
      <c r="C19283">
        <v>15028</v>
      </c>
      <c r="D19283" t="str">
        <f>"5003284303  "</f>
        <v xml:space="preserve">5003284303  </v>
      </c>
      <c r="E19283" t="s">
        <v>1014</v>
      </c>
      <c r="F19283" t="s">
        <v>1015</v>
      </c>
      <c r="G19283">
        <v>195.64</v>
      </c>
      <c r="H19283">
        <v>251031</v>
      </c>
      <c r="I19283">
        <v>4572</v>
      </c>
      <c r="J19283" t="s">
        <v>173</v>
      </c>
      <c r="K19283">
        <v>279.48</v>
      </c>
      <c r="L19283">
        <v>39.75</v>
      </c>
      <c r="M19283">
        <v>14952</v>
      </c>
      <c r="N19283" t="s">
        <v>213</v>
      </c>
      <c r="O19283">
        <v>251110</v>
      </c>
      <c r="P19283">
        <v>155.88999999999999</v>
      </c>
    </row>
    <row r="19284" spans="1:16" x14ac:dyDescent="0.25">
      <c r="A19284" t="s">
        <v>3296</v>
      </c>
      <c r="B19284" t="s">
        <v>2931</v>
      </c>
      <c r="C19284">
        <v>15355</v>
      </c>
      <c r="D19284" t="str">
        <f>"5003286205  "</f>
        <v xml:space="preserve">5003286205  </v>
      </c>
      <c r="E19284" t="s">
        <v>1014</v>
      </c>
      <c r="F19284" t="s">
        <v>1015</v>
      </c>
      <c r="G19284">
        <v>175.01</v>
      </c>
      <c r="H19284">
        <v>251031</v>
      </c>
      <c r="I19284">
        <v>4572</v>
      </c>
      <c r="J19284" t="s">
        <v>173</v>
      </c>
      <c r="K19284">
        <v>583.36</v>
      </c>
      <c r="L19284">
        <v>35.56</v>
      </c>
      <c r="M19284">
        <v>14952</v>
      </c>
      <c r="N19284" t="s">
        <v>213</v>
      </c>
      <c r="O19284">
        <v>251119</v>
      </c>
      <c r="P19284">
        <v>139.44999999999999</v>
      </c>
    </row>
    <row r="19285" spans="1:16" x14ac:dyDescent="0.25">
      <c r="A19285" t="s">
        <v>3296</v>
      </c>
      <c r="B19285" t="s">
        <v>2931</v>
      </c>
      <c r="C19285">
        <v>15355</v>
      </c>
      <c r="D19285" t="str">
        <f>"5003286205  "</f>
        <v xml:space="preserve">5003286205  </v>
      </c>
      <c r="E19285" t="s">
        <v>1014</v>
      </c>
      <c r="F19285" t="s">
        <v>1015</v>
      </c>
      <c r="G19285">
        <v>408.35</v>
      </c>
      <c r="H19285">
        <v>251031</v>
      </c>
      <c r="I19285">
        <v>4572</v>
      </c>
      <c r="J19285" t="s">
        <v>173</v>
      </c>
      <c r="K19285">
        <v>583.36</v>
      </c>
      <c r="L19285">
        <v>82.97</v>
      </c>
      <c r="M19285">
        <v>14981</v>
      </c>
      <c r="N19285" t="s">
        <v>252</v>
      </c>
      <c r="O19285">
        <v>251119</v>
      </c>
      <c r="P19285">
        <v>325.38</v>
      </c>
    </row>
    <row r="19286" spans="1:16" x14ac:dyDescent="0.25">
      <c r="A19286" t="s">
        <v>3296</v>
      </c>
      <c r="B19286" t="s">
        <v>2931</v>
      </c>
      <c r="C19286">
        <v>15356</v>
      </c>
      <c r="D19286" t="str">
        <f>"5003279663  "</f>
        <v xml:space="preserve">5003279663  </v>
      </c>
      <c r="E19286" t="s">
        <v>1014</v>
      </c>
      <c r="F19286" t="s">
        <v>1015</v>
      </c>
      <c r="G19286">
        <v>30</v>
      </c>
      <c r="H19286">
        <v>251031</v>
      </c>
      <c r="I19286">
        <v>4572</v>
      </c>
      <c r="J19286" t="s">
        <v>173</v>
      </c>
      <c r="K19286">
        <v>185.37</v>
      </c>
      <c r="L19286">
        <v>6.1</v>
      </c>
      <c r="M19286">
        <v>14952</v>
      </c>
      <c r="N19286" t="s">
        <v>213</v>
      </c>
      <c r="O19286">
        <v>251119</v>
      </c>
      <c r="P19286">
        <v>23.9</v>
      </c>
    </row>
    <row r="19287" spans="1:16" x14ac:dyDescent="0.25">
      <c r="A19287" t="s">
        <v>3296</v>
      </c>
      <c r="B19287" t="s">
        <v>2931</v>
      </c>
      <c r="C19287">
        <v>15356</v>
      </c>
      <c r="D19287" t="str">
        <f>"5003279663  "</f>
        <v xml:space="preserve">5003279663  </v>
      </c>
      <c r="E19287" t="s">
        <v>1014</v>
      </c>
      <c r="F19287" t="s">
        <v>1015</v>
      </c>
      <c r="G19287">
        <v>155.37</v>
      </c>
      <c r="H19287">
        <v>251031</v>
      </c>
      <c r="I19287">
        <v>4572</v>
      </c>
      <c r="J19287" t="s">
        <v>173</v>
      </c>
      <c r="K19287">
        <v>185.37</v>
      </c>
      <c r="L19287">
        <v>31.57</v>
      </c>
      <c r="M19287">
        <v>14981</v>
      </c>
      <c r="N19287" t="s">
        <v>252</v>
      </c>
      <c r="O19287">
        <v>251119</v>
      </c>
      <c r="P19287">
        <v>123.8</v>
      </c>
    </row>
    <row r="19288" spans="1:16" x14ac:dyDescent="0.25">
      <c r="A19288" t="s">
        <v>3296</v>
      </c>
      <c r="B19288" t="s">
        <v>2931</v>
      </c>
      <c r="C19288">
        <v>16536</v>
      </c>
      <c r="D19288" t="str">
        <f>"5003303383  "</f>
        <v xml:space="preserve">5003303383  </v>
      </c>
      <c r="E19288" t="s">
        <v>1014</v>
      </c>
      <c r="F19288" t="s">
        <v>1015</v>
      </c>
      <c r="G19288">
        <v>103.42</v>
      </c>
      <c r="H19288">
        <v>251130</v>
      </c>
      <c r="I19288">
        <v>4572</v>
      </c>
      <c r="J19288" t="s">
        <v>173</v>
      </c>
      <c r="K19288">
        <v>344.75</v>
      </c>
      <c r="L19288">
        <v>21.01</v>
      </c>
      <c r="M19288">
        <v>11401</v>
      </c>
      <c r="N19288" t="s">
        <v>91</v>
      </c>
      <c r="O19288">
        <v>251209</v>
      </c>
      <c r="P19288">
        <v>82.41</v>
      </c>
    </row>
    <row r="19289" spans="1:16" x14ac:dyDescent="0.25">
      <c r="A19289" t="s">
        <v>3296</v>
      </c>
      <c r="B19289" t="s">
        <v>2931</v>
      </c>
      <c r="C19289">
        <v>16536</v>
      </c>
      <c r="D19289" t="str">
        <f>"5003303383  "</f>
        <v xml:space="preserve">5003303383  </v>
      </c>
      <c r="E19289" t="s">
        <v>1014</v>
      </c>
      <c r="F19289" t="s">
        <v>1015</v>
      </c>
      <c r="G19289">
        <v>241.33</v>
      </c>
      <c r="H19289">
        <v>251130</v>
      </c>
      <c r="I19289">
        <v>4572</v>
      </c>
      <c r="J19289" t="s">
        <v>173</v>
      </c>
      <c r="K19289">
        <v>344.75</v>
      </c>
      <c r="L19289">
        <v>49.04</v>
      </c>
      <c r="M19289">
        <v>14952</v>
      </c>
      <c r="N19289" t="s">
        <v>213</v>
      </c>
      <c r="O19289">
        <v>251209</v>
      </c>
      <c r="P19289">
        <v>192.29</v>
      </c>
    </row>
    <row r="19290" spans="1:16" x14ac:dyDescent="0.25">
      <c r="A19290" t="s">
        <v>3296</v>
      </c>
      <c r="B19290" t="s">
        <v>2931</v>
      </c>
      <c r="C19290">
        <v>16565</v>
      </c>
      <c r="D19290" t="str">
        <f>"5003303877  "</f>
        <v xml:space="preserve">5003303877  </v>
      </c>
      <c r="E19290" t="s">
        <v>1014</v>
      </c>
      <c r="F19290" t="s">
        <v>1015</v>
      </c>
      <c r="G19290">
        <v>171.49</v>
      </c>
      <c r="H19290">
        <v>251130</v>
      </c>
      <c r="I19290">
        <v>4572</v>
      </c>
      <c r="J19290" t="s">
        <v>173</v>
      </c>
      <c r="K19290">
        <v>571.65</v>
      </c>
      <c r="L19290">
        <v>34.840000000000003</v>
      </c>
      <c r="M19290">
        <v>14952</v>
      </c>
      <c r="N19290" t="s">
        <v>213</v>
      </c>
      <c r="O19290">
        <v>251210</v>
      </c>
      <c r="P19290">
        <v>136.65</v>
      </c>
    </row>
    <row r="19291" spans="1:16" x14ac:dyDescent="0.25">
      <c r="A19291" t="s">
        <v>3296</v>
      </c>
      <c r="B19291" t="s">
        <v>2931</v>
      </c>
      <c r="C19291">
        <v>16565</v>
      </c>
      <c r="D19291" t="str">
        <f>"5003303877  "</f>
        <v xml:space="preserve">5003303877  </v>
      </c>
      <c r="E19291" t="s">
        <v>1014</v>
      </c>
      <c r="F19291" t="s">
        <v>1015</v>
      </c>
      <c r="G19291">
        <v>400.16</v>
      </c>
      <c r="H19291">
        <v>251130</v>
      </c>
      <c r="I19291">
        <v>4572</v>
      </c>
      <c r="J19291" t="s">
        <v>173</v>
      </c>
      <c r="K19291">
        <v>571.65</v>
      </c>
      <c r="L19291">
        <v>81.31</v>
      </c>
      <c r="M19291">
        <v>14981</v>
      </c>
      <c r="N19291" t="s">
        <v>252</v>
      </c>
      <c r="O19291">
        <v>251210</v>
      </c>
      <c r="P19291">
        <v>318.85000000000002</v>
      </c>
    </row>
    <row r="19292" spans="1:16" x14ac:dyDescent="0.25">
      <c r="A19292" t="s">
        <v>3296</v>
      </c>
      <c r="B19292" t="s">
        <v>2931</v>
      </c>
      <c r="C19292">
        <v>16575</v>
      </c>
      <c r="D19292" t="str">
        <f>"5003300794  "</f>
        <v xml:space="preserve">5003300794  </v>
      </c>
      <c r="E19292" t="s">
        <v>1014</v>
      </c>
      <c r="F19292" t="s">
        <v>1015</v>
      </c>
      <c r="G19292">
        <v>20.7</v>
      </c>
      <c r="H19292">
        <v>251130</v>
      </c>
      <c r="I19292">
        <v>4572</v>
      </c>
      <c r="J19292" t="s">
        <v>173</v>
      </c>
      <c r="K19292">
        <v>69.010000000000005</v>
      </c>
      <c r="L19292">
        <v>4.21</v>
      </c>
      <c r="M19292">
        <v>14952</v>
      </c>
      <c r="N19292" t="s">
        <v>213</v>
      </c>
      <c r="O19292">
        <v>251210</v>
      </c>
      <c r="P19292">
        <v>16.489999999999998</v>
      </c>
    </row>
    <row r="19293" spans="1:16" x14ac:dyDescent="0.25">
      <c r="A19293" t="s">
        <v>3296</v>
      </c>
      <c r="B19293" t="s">
        <v>2931</v>
      </c>
      <c r="C19293">
        <v>16575</v>
      </c>
      <c r="D19293" t="str">
        <f>"5003300794  "</f>
        <v xml:space="preserve">5003300794  </v>
      </c>
      <c r="E19293" t="s">
        <v>1014</v>
      </c>
      <c r="F19293" t="s">
        <v>1015</v>
      </c>
      <c r="G19293">
        <v>48.31</v>
      </c>
      <c r="H19293">
        <v>251130</v>
      </c>
      <c r="I19293">
        <v>4572</v>
      </c>
      <c r="J19293" t="s">
        <v>173</v>
      </c>
      <c r="K19293">
        <v>69.010000000000005</v>
      </c>
      <c r="L19293">
        <v>9.82</v>
      </c>
      <c r="M19293">
        <v>14981</v>
      </c>
      <c r="N19293" t="s">
        <v>252</v>
      </c>
      <c r="O19293">
        <v>251210</v>
      </c>
      <c r="P19293">
        <v>38.49</v>
      </c>
    </row>
    <row r="19294" spans="1:16" x14ac:dyDescent="0.25">
      <c r="A19294" t="s">
        <v>3296</v>
      </c>
      <c r="B19294" t="s">
        <v>2931</v>
      </c>
      <c r="C19294">
        <v>16588</v>
      </c>
      <c r="D19294" t="str">
        <f>"5003303937  "</f>
        <v xml:space="preserve">5003303937  </v>
      </c>
      <c r="E19294" t="s">
        <v>1014</v>
      </c>
      <c r="F19294" t="s">
        <v>1015</v>
      </c>
      <c r="G19294">
        <v>1974.64</v>
      </c>
      <c r="H19294">
        <v>251130</v>
      </c>
      <c r="I19294">
        <v>4572</v>
      </c>
      <c r="J19294" t="s">
        <v>173</v>
      </c>
      <c r="K19294">
        <v>1974.64</v>
      </c>
      <c r="L19294">
        <v>401.22</v>
      </c>
      <c r="M19294">
        <v>14951</v>
      </c>
      <c r="N19294" t="s">
        <v>186</v>
      </c>
      <c r="O19294">
        <v>251210</v>
      </c>
      <c r="P19294">
        <v>1573.42</v>
      </c>
    </row>
    <row r="19295" spans="1:16" x14ac:dyDescent="0.25">
      <c r="A19295" t="s">
        <v>3296</v>
      </c>
      <c r="B19295" t="s">
        <v>2931</v>
      </c>
      <c r="C19295">
        <v>18402</v>
      </c>
      <c r="D19295" t="str">
        <f>"5003333059  "</f>
        <v xml:space="preserve">5003333059  </v>
      </c>
      <c r="E19295" t="s">
        <v>1014</v>
      </c>
      <c r="F19295" t="s">
        <v>1015</v>
      </c>
      <c r="G19295">
        <v>40.630000000000003</v>
      </c>
      <c r="H19295">
        <v>251231</v>
      </c>
      <c r="I19295">
        <v>4572</v>
      </c>
      <c r="J19295" t="s">
        <v>173</v>
      </c>
      <c r="K19295">
        <v>135.43</v>
      </c>
      <c r="L19295">
        <v>8.26</v>
      </c>
      <c r="M19295">
        <v>14952</v>
      </c>
      <c r="N19295" t="s">
        <v>213</v>
      </c>
      <c r="O19295">
        <v>260113</v>
      </c>
      <c r="P19295">
        <v>32.369999999999997</v>
      </c>
    </row>
    <row r="19296" spans="1:16" x14ac:dyDescent="0.25">
      <c r="A19296" t="s">
        <v>3296</v>
      </c>
      <c r="B19296" t="s">
        <v>2931</v>
      </c>
      <c r="C19296">
        <v>18402</v>
      </c>
      <c r="D19296" t="str">
        <f>"5003333059  "</f>
        <v xml:space="preserve">5003333059  </v>
      </c>
      <c r="E19296" t="s">
        <v>1014</v>
      </c>
      <c r="F19296" t="s">
        <v>1015</v>
      </c>
      <c r="G19296">
        <v>94.8</v>
      </c>
      <c r="H19296">
        <v>251231</v>
      </c>
      <c r="I19296">
        <v>4572</v>
      </c>
      <c r="J19296" t="s">
        <v>173</v>
      </c>
      <c r="K19296">
        <v>135.43</v>
      </c>
      <c r="L19296">
        <v>19.260000000000002</v>
      </c>
      <c r="M19296">
        <v>14981</v>
      </c>
      <c r="N19296" t="s">
        <v>252</v>
      </c>
      <c r="O19296">
        <v>260113</v>
      </c>
      <c r="P19296">
        <v>75.540000000000006</v>
      </c>
    </row>
    <row r="19297" spans="1:16" x14ac:dyDescent="0.25">
      <c r="A19297" t="s">
        <v>3296</v>
      </c>
      <c r="B19297" t="s">
        <v>2931</v>
      </c>
      <c r="C19297">
        <v>18506</v>
      </c>
      <c r="D19297" t="str">
        <f>"5003362660  "</f>
        <v xml:space="preserve">5003362660  </v>
      </c>
      <c r="E19297" t="s">
        <v>1014</v>
      </c>
      <c r="F19297" t="s">
        <v>1015</v>
      </c>
      <c r="G19297">
        <v>178.52</v>
      </c>
      <c r="H19297">
        <v>251231</v>
      </c>
      <c r="I19297">
        <v>4572</v>
      </c>
      <c r="J19297" t="s">
        <v>173</v>
      </c>
      <c r="K19297">
        <v>595.07000000000005</v>
      </c>
      <c r="L19297">
        <v>36.270000000000003</v>
      </c>
      <c r="M19297">
        <v>14952</v>
      </c>
      <c r="N19297" t="s">
        <v>213</v>
      </c>
      <c r="O19297">
        <v>260114</v>
      </c>
      <c r="P19297">
        <v>142.25</v>
      </c>
    </row>
    <row r="19298" spans="1:16" x14ac:dyDescent="0.25">
      <c r="A19298" t="s">
        <v>3296</v>
      </c>
      <c r="B19298" t="s">
        <v>2931</v>
      </c>
      <c r="C19298">
        <v>18506</v>
      </c>
      <c r="D19298" t="str">
        <f>"5003362660  "</f>
        <v xml:space="preserve">5003362660  </v>
      </c>
      <c r="E19298" t="s">
        <v>1014</v>
      </c>
      <c r="F19298" t="s">
        <v>1015</v>
      </c>
      <c r="G19298">
        <v>416.55</v>
      </c>
      <c r="H19298">
        <v>251231</v>
      </c>
      <c r="I19298">
        <v>4572</v>
      </c>
      <c r="J19298" t="s">
        <v>173</v>
      </c>
      <c r="K19298">
        <v>595.07000000000005</v>
      </c>
      <c r="L19298">
        <v>84.64</v>
      </c>
      <c r="M19298">
        <v>14981</v>
      </c>
      <c r="N19298" t="s">
        <v>252</v>
      </c>
      <c r="O19298">
        <v>260114</v>
      </c>
      <c r="P19298">
        <v>331.91</v>
      </c>
    </row>
    <row r="19299" spans="1:16" x14ac:dyDescent="0.25">
      <c r="A19299" t="s">
        <v>3296</v>
      </c>
      <c r="B19299" t="s">
        <v>2931</v>
      </c>
      <c r="C19299">
        <v>18507</v>
      </c>
      <c r="D19299" t="str">
        <f>"5003389089  "</f>
        <v xml:space="preserve">5003389089  </v>
      </c>
      <c r="E19299" t="s">
        <v>1014</v>
      </c>
      <c r="F19299" t="s">
        <v>1015</v>
      </c>
      <c r="G19299">
        <v>20.86</v>
      </c>
      <c r="H19299">
        <v>251231</v>
      </c>
      <c r="I19299">
        <v>4572</v>
      </c>
      <c r="J19299" t="s">
        <v>173</v>
      </c>
      <c r="K19299">
        <v>69.53</v>
      </c>
      <c r="L19299">
        <v>4.24</v>
      </c>
      <c r="M19299">
        <v>14952</v>
      </c>
      <c r="N19299" t="s">
        <v>213</v>
      </c>
      <c r="O19299">
        <v>260114</v>
      </c>
      <c r="P19299">
        <v>16.62</v>
      </c>
    </row>
    <row r="19300" spans="1:16" x14ac:dyDescent="0.25">
      <c r="A19300" t="s">
        <v>3296</v>
      </c>
      <c r="B19300" t="s">
        <v>2931</v>
      </c>
      <c r="C19300">
        <v>18507</v>
      </c>
      <c r="D19300" t="str">
        <f>"5003389089  "</f>
        <v xml:space="preserve">5003389089  </v>
      </c>
      <c r="E19300" t="s">
        <v>1014</v>
      </c>
      <c r="F19300" t="s">
        <v>1015</v>
      </c>
      <c r="G19300">
        <v>48.67</v>
      </c>
      <c r="H19300">
        <v>251231</v>
      </c>
      <c r="I19300">
        <v>4572</v>
      </c>
      <c r="J19300" t="s">
        <v>173</v>
      </c>
      <c r="K19300">
        <v>69.53</v>
      </c>
      <c r="L19300">
        <v>9.89</v>
      </c>
      <c r="M19300">
        <v>14981</v>
      </c>
      <c r="N19300" t="s">
        <v>252</v>
      </c>
      <c r="O19300">
        <v>260114</v>
      </c>
      <c r="P19300">
        <v>38.78</v>
      </c>
    </row>
    <row r="19301" spans="1:16" x14ac:dyDescent="0.25">
      <c r="A19301" t="s">
        <v>3296</v>
      </c>
      <c r="B19301" t="s">
        <v>2931</v>
      </c>
      <c r="C19301">
        <v>18541</v>
      </c>
      <c r="D19301" t="str">
        <f>"5003386763  "</f>
        <v xml:space="preserve">5003386763  </v>
      </c>
      <c r="E19301" t="s">
        <v>1014</v>
      </c>
      <c r="F19301" t="s">
        <v>1015</v>
      </c>
      <c r="G19301">
        <v>80.64</v>
      </c>
      <c r="H19301">
        <v>251231</v>
      </c>
      <c r="I19301">
        <v>4572</v>
      </c>
      <c r="J19301" t="s">
        <v>173</v>
      </c>
      <c r="K19301">
        <v>268.79000000000002</v>
      </c>
      <c r="L19301">
        <v>16.39</v>
      </c>
      <c r="M19301">
        <v>11401</v>
      </c>
      <c r="N19301" t="s">
        <v>91</v>
      </c>
      <c r="O19301">
        <v>260115</v>
      </c>
      <c r="P19301">
        <v>64.25</v>
      </c>
    </row>
    <row r="19302" spans="1:16" x14ac:dyDescent="0.25">
      <c r="A19302" t="s">
        <v>3296</v>
      </c>
      <c r="B19302" t="s">
        <v>2931</v>
      </c>
      <c r="C19302">
        <v>18541</v>
      </c>
      <c r="D19302" t="str">
        <f>"5003386763  "</f>
        <v xml:space="preserve">5003386763  </v>
      </c>
      <c r="E19302" t="s">
        <v>1014</v>
      </c>
      <c r="F19302" t="s">
        <v>1015</v>
      </c>
      <c r="G19302">
        <v>188.15</v>
      </c>
      <c r="H19302">
        <v>251231</v>
      </c>
      <c r="I19302">
        <v>4572</v>
      </c>
      <c r="J19302" t="s">
        <v>173</v>
      </c>
      <c r="K19302">
        <v>268.79000000000002</v>
      </c>
      <c r="L19302">
        <v>38.229999999999997</v>
      </c>
      <c r="M19302">
        <v>14952</v>
      </c>
      <c r="N19302" t="s">
        <v>213</v>
      </c>
      <c r="O19302">
        <v>260115</v>
      </c>
      <c r="P19302">
        <v>149.91999999999999</v>
      </c>
    </row>
    <row r="19303" spans="1:16" x14ac:dyDescent="0.25">
      <c r="A19303" t="s">
        <v>3296</v>
      </c>
      <c r="B19303" t="s">
        <v>2931</v>
      </c>
      <c r="C19303">
        <v>18553</v>
      </c>
      <c r="D19303" t="str">
        <f>"5003337429  "</f>
        <v xml:space="preserve">5003337429  </v>
      </c>
      <c r="E19303" t="s">
        <v>1014</v>
      </c>
      <c r="F19303" t="s">
        <v>1015</v>
      </c>
      <c r="G19303">
        <v>57.95</v>
      </c>
      <c r="H19303">
        <v>251231</v>
      </c>
      <c r="I19303">
        <v>4572</v>
      </c>
      <c r="J19303" t="s">
        <v>173</v>
      </c>
      <c r="K19303">
        <v>193.17</v>
      </c>
      <c r="L19303">
        <v>11.77</v>
      </c>
      <c r="M19303">
        <v>14952</v>
      </c>
      <c r="N19303" t="s">
        <v>213</v>
      </c>
      <c r="O19303">
        <v>260115</v>
      </c>
      <c r="P19303">
        <v>46.18</v>
      </c>
    </row>
    <row r="19304" spans="1:16" x14ac:dyDescent="0.25">
      <c r="A19304" t="s">
        <v>3296</v>
      </c>
      <c r="B19304" t="s">
        <v>2931</v>
      </c>
      <c r="C19304">
        <v>18553</v>
      </c>
      <c r="D19304" t="str">
        <f>"5003337429  "</f>
        <v xml:space="preserve">5003337429  </v>
      </c>
      <c r="E19304" t="s">
        <v>1014</v>
      </c>
      <c r="F19304" t="s">
        <v>1015</v>
      </c>
      <c r="G19304">
        <v>135.22</v>
      </c>
      <c r="H19304">
        <v>251231</v>
      </c>
      <c r="I19304">
        <v>4572</v>
      </c>
      <c r="J19304" t="s">
        <v>173</v>
      </c>
      <c r="K19304">
        <v>193.17</v>
      </c>
      <c r="L19304">
        <v>27.47</v>
      </c>
      <c r="M19304">
        <v>14981</v>
      </c>
      <c r="N19304" t="s">
        <v>252</v>
      </c>
      <c r="O19304">
        <v>260115</v>
      </c>
      <c r="P19304">
        <v>107.75</v>
      </c>
    </row>
    <row r="19305" spans="1:16" x14ac:dyDescent="0.25">
      <c r="A19305" t="s">
        <v>3296</v>
      </c>
      <c r="B19305" t="s">
        <v>2931</v>
      </c>
      <c r="C19305">
        <v>18554</v>
      </c>
      <c r="D19305" t="str">
        <f>"5003371549  "</f>
        <v xml:space="preserve">5003371549  </v>
      </c>
      <c r="E19305" t="s">
        <v>1014</v>
      </c>
      <c r="F19305" t="s">
        <v>1015</v>
      </c>
      <c r="G19305">
        <v>1994.22</v>
      </c>
      <c r="H19305">
        <v>251231</v>
      </c>
      <c r="I19305">
        <v>4572</v>
      </c>
      <c r="J19305" t="s">
        <v>173</v>
      </c>
      <c r="K19305">
        <v>1994.22</v>
      </c>
      <c r="L19305">
        <v>405.2</v>
      </c>
      <c r="M19305">
        <v>14951</v>
      </c>
      <c r="N19305" t="s">
        <v>186</v>
      </c>
      <c r="O19305">
        <v>260115</v>
      </c>
      <c r="P19305">
        <v>1589.02</v>
      </c>
    </row>
    <row r="19306" spans="1:16" x14ac:dyDescent="0.25">
      <c r="A19306" t="s">
        <v>3296</v>
      </c>
      <c r="B19306" t="s">
        <v>2931</v>
      </c>
      <c r="C19306">
        <v>18565</v>
      </c>
      <c r="D19306" t="str">
        <f>"5003350223  "</f>
        <v xml:space="preserve">5003350223  </v>
      </c>
      <c r="E19306" t="s">
        <v>1014</v>
      </c>
      <c r="F19306" t="s">
        <v>1015</v>
      </c>
      <c r="G19306">
        <v>110.75</v>
      </c>
      <c r="H19306">
        <v>251231</v>
      </c>
      <c r="I19306">
        <v>4572</v>
      </c>
      <c r="J19306" t="s">
        <v>173</v>
      </c>
      <c r="K19306">
        <v>369.18</v>
      </c>
      <c r="L19306">
        <v>22.5</v>
      </c>
      <c r="M19306">
        <v>11401</v>
      </c>
      <c r="N19306" t="s">
        <v>91</v>
      </c>
      <c r="O19306">
        <v>260116</v>
      </c>
      <c r="P19306">
        <v>88.25</v>
      </c>
    </row>
    <row r="19307" spans="1:16" x14ac:dyDescent="0.25">
      <c r="A19307" t="s">
        <v>3296</v>
      </c>
      <c r="B19307" t="s">
        <v>2931</v>
      </c>
      <c r="C19307">
        <v>18565</v>
      </c>
      <c r="D19307" t="str">
        <f>"5003350223  "</f>
        <v xml:space="preserve">5003350223  </v>
      </c>
      <c r="E19307" t="s">
        <v>1014</v>
      </c>
      <c r="F19307" t="s">
        <v>1015</v>
      </c>
      <c r="G19307">
        <v>258.43</v>
      </c>
      <c r="H19307">
        <v>251231</v>
      </c>
      <c r="I19307">
        <v>4572</v>
      </c>
      <c r="J19307" t="s">
        <v>173</v>
      </c>
      <c r="K19307">
        <v>369.18</v>
      </c>
      <c r="L19307">
        <v>52.51</v>
      </c>
      <c r="M19307">
        <v>14952</v>
      </c>
      <c r="N19307" t="s">
        <v>213</v>
      </c>
      <c r="O19307">
        <v>260116</v>
      </c>
      <c r="P19307">
        <v>205.92</v>
      </c>
    </row>
    <row r="19308" spans="1:16" x14ac:dyDescent="0.25">
      <c r="A19308" t="s">
        <v>3296</v>
      </c>
      <c r="B19308" t="s">
        <v>2931</v>
      </c>
      <c r="C19308">
        <v>1629</v>
      </c>
      <c r="D19308" t="str">
        <f>"112500735   "</f>
        <v xml:space="preserve">112500735   </v>
      </c>
      <c r="E19308" t="s">
        <v>1061</v>
      </c>
      <c r="F19308" t="s">
        <v>1063</v>
      </c>
      <c r="G19308">
        <v>95</v>
      </c>
      <c r="H19308">
        <v>250128</v>
      </c>
      <c r="I19308">
        <v>4385</v>
      </c>
      <c r="J19308" t="s">
        <v>1062</v>
      </c>
      <c r="K19308">
        <v>95</v>
      </c>
      <c r="L19308">
        <v>19.3</v>
      </c>
      <c r="M19308">
        <v>17711</v>
      </c>
      <c r="N19308" t="s">
        <v>155</v>
      </c>
      <c r="O19308">
        <v>250212</v>
      </c>
      <c r="P19308">
        <v>75.7</v>
      </c>
    </row>
    <row r="19309" spans="1:16" x14ac:dyDescent="0.25">
      <c r="A19309" t="s">
        <v>3296</v>
      </c>
      <c r="B19309" t="s">
        <v>2931</v>
      </c>
      <c r="C19309">
        <v>1630</v>
      </c>
      <c r="D19309" t="str">
        <f>"112500760   "</f>
        <v xml:space="preserve">112500760   </v>
      </c>
      <c r="E19309" t="s">
        <v>1061</v>
      </c>
      <c r="F19309" t="s">
        <v>1063</v>
      </c>
      <c r="G19309">
        <v>646.82000000000005</v>
      </c>
      <c r="H19309">
        <v>250129</v>
      </c>
      <c r="I19309">
        <v>4385</v>
      </c>
      <c r="J19309" t="s">
        <v>1062</v>
      </c>
      <c r="K19309">
        <v>851</v>
      </c>
      <c r="L19309">
        <v>131.43</v>
      </c>
      <c r="M19309">
        <v>17711</v>
      </c>
      <c r="N19309" t="s">
        <v>155</v>
      </c>
      <c r="O19309">
        <v>250212</v>
      </c>
      <c r="P19309">
        <v>515.39</v>
      </c>
    </row>
    <row r="19310" spans="1:16" x14ac:dyDescent="0.25">
      <c r="A19310" t="s">
        <v>3296</v>
      </c>
      <c r="B19310" t="s">
        <v>2931</v>
      </c>
      <c r="C19310">
        <v>3840</v>
      </c>
      <c r="D19310" t="str">
        <f>"11250000445 "</f>
        <v xml:space="preserve">11250000445 </v>
      </c>
      <c r="E19310" t="s">
        <v>1061</v>
      </c>
      <c r="F19310" t="s">
        <v>1063</v>
      </c>
      <c r="G19310">
        <v>521.17999999999995</v>
      </c>
      <c r="H19310">
        <v>250319</v>
      </c>
      <c r="I19310">
        <v>4385</v>
      </c>
      <c r="J19310" t="s">
        <v>1062</v>
      </c>
      <c r="K19310">
        <v>617</v>
      </c>
      <c r="L19310">
        <v>105.9</v>
      </c>
      <c r="M19310">
        <v>17711</v>
      </c>
      <c r="N19310" t="s">
        <v>155</v>
      </c>
      <c r="O19310">
        <v>250402</v>
      </c>
      <c r="P19310">
        <v>415.28</v>
      </c>
    </row>
    <row r="19311" spans="1:16" x14ac:dyDescent="0.25">
      <c r="A19311" t="s">
        <v>3296</v>
      </c>
      <c r="B19311" t="s">
        <v>2931</v>
      </c>
      <c r="C19311">
        <v>7369</v>
      </c>
      <c r="D19311" t="str">
        <f>"11250002423 "</f>
        <v xml:space="preserve">11250002423 </v>
      </c>
      <c r="E19311" t="s">
        <v>1061</v>
      </c>
      <c r="F19311" t="s">
        <v>1063</v>
      </c>
      <c r="G19311">
        <v>757.18</v>
      </c>
      <c r="H19311">
        <v>250522</v>
      </c>
      <c r="I19311">
        <v>4385</v>
      </c>
      <c r="J19311" t="s">
        <v>1062</v>
      </c>
      <c r="K19311">
        <v>791</v>
      </c>
      <c r="L19311">
        <v>153.85</v>
      </c>
      <c r="M19311">
        <v>17711</v>
      </c>
      <c r="N19311" t="s">
        <v>155</v>
      </c>
      <c r="O19311">
        <v>250603</v>
      </c>
      <c r="P19311">
        <v>603.33000000000004</v>
      </c>
    </row>
    <row r="19312" spans="1:16" x14ac:dyDescent="0.25">
      <c r="A19312" t="s">
        <v>3296</v>
      </c>
      <c r="B19312" t="s">
        <v>2931</v>
      </c>
      <c r="C19312">
        <v>14387</v>
      </c>
      <c r="D19312" t="str">
        <f>"11250006715 "</f>
        <v xml:space="preserve">11250006715 </v>
      </c>
      <c r="E19312" t="s">
        <v>1061</v>
      </c>
      <c r="F19312" t="s">
        <v>1063</v>
      </c>
      <c r="G19312">
        <v>182.18</v>
      </c>
      <c r="H19312">
        <v>251027</v>
      </c>
      <c r="I19312">
        <v>4385</v>
      </c>
      <c r="J19312" t="s">
        <v>1062</v>
      </c>
      <c r="K19312">
        <v>197</v>
      </c>
      <c r="L19312">
        <v>37.020000000000003</v>
      </c>
      <c r="M19312">
        <v>17711</v>
      </c>
      <c r="N19312" t="s">
        <v>155</v>
      </c>
      <c r="O19312">
        <v>251031</v>
      </c>
      <c r="P19312">
        <v>145.16</v>
      </c>
    </row>
    <row r="19313" spans="1:16" x14ac:dyDescent="0.25">
      <c r="A19313" t="s">
        <v>3296</v>
      </c>
      <c r="B19313" t="s">
        <v>2931</v>
      </c>
      <c r="C19313">
        <v>14389</v>
      </c>
      <c r="D19313" t="str">
        <f>"11250006714 "</f>
        <v xml:space="preserve">11250006714 </v>
      </c>
      <c r="E19313" t="s">
        <v>1061</v>
      </c>
      <c r="F19313" t="s">
        <v>1063</v>
      </c>
      <c r="G19313">
        <v>398.91</v>
      </c>
      <c r="H19313">
        <v>251027</v>
      </c>
      <c r="I19313">
        <v>4385</v>
      </c>
      <c r="J19313" t="s">
        <v>1062</v>
      </c>
      <c r="K19313">
        <v>425</v>
      </c>
      <c r="L19313">
        <v>81.05</v>
      </c>
      <c r="M19313">
        <v>17711</v>
      </c>
      <c r="N19313" t="s">
        <v>155</v>
      </c>
      <c r="O19313">
        <v>251031</v>
      </c>
      <c r="P19313">
        <v>317.86</v>
      </c>
    </row>
    <row r="19314" spans="1:16" x14ac:dyDescent="0.25">
      <c r="A19314" t="s">
        <v>3296</v>
      </c>
      <c r="B19314" t="s">
        <v>2931</v>
      </c>
      <c r="C19314">
        <v>15763</v>
      </c>
      <c r="D19314" t="str">
        <f>"11250007526 "</f>
        <v xml:space="preserve">11250007526 </v>
      </c>
      <c r="E19314" t="s">
        <v>1061</v>
      </c>
      <c r="F19314" t="s">
        <v>1063</v>
      </c>
      <c r="G19314">
        <v>114</v>
      </c>
      <c r="H19314">
        <v>251125</v>
      </c>
      <c r="I19314">
        <v>4385</v>
      </c>
      <c r="J19314" t="s">
        <v>1062</v>
      </c>
      <c r="K19314">
        <v>114</v>
      </c>
      <c r="L19314">
        <v>23.16</v>
      </c>
      <c r="M19314">
        <v>17711</v>
      </c>
      <c r="N19314" t="s">
        <v>155</v>
      </c>
      <c r="O19314">
        <v>251126</v>
      </c>
      <c r="P19314">
        <v>90.84</v>
      </c>
    </row>
    <row r="19315" spans="1:16" x14ac:dyDescent="0.25">
      <c r="A19315" t="s">
        <v>3296</v>
      </c>
      <c r="B19315" t="s">
        <v>2931</v>
      </c>
      <c r="C19315">
        <v>15764</v>
      </c>
      <c r="D19315" t="str">
        <f>"11250007527 "</f>
        <v xml:space="preserve">11250007527 </v>
      </c>
      <c r="E19315" t="s">
        <v>1061</v>
      </c>
      <c r="F19315" t="s">
        <v>1063</v>
      </c>
      <c r="G19315">
        <v>616.41999999999996</v>
      </c>
      <c r="H19315">
        <v>251126</v>
      </c>
      <c r="I19315">
        <v>4385</v>
      </c>
      <c r="J19315" t="s">
        <v>1062</v>
      </c>
      <c r="K19315">
        <v>668.5</v>
      </c>
      <c r="L19315">
        <v>125.25</v>
      </c>
      <c r="M19315">
        <v>17711</v>
      </c>
      <c r="N19315" t="s">
        <v>155</v>
      </c>
      <c r="O19315">
        <v>251126</v>
      </c>
      <c r="P19315">
        <v>491.17</v>
      </c>
    </row>
    <row r="19316" spans="1:16" x14ac:dyDescent="0.25">
      <c r="A19316" t="s">
        <v>3296</v>
      </c>
      <c r="B19316" t="s">
        <v>2931</v>
      </c>
      <c r="C19316">
        <v>16882</v>
      </c>
      <c r="D19316" t="str">
        <f>"11250007955 "</f>
        <v xml:space="preserve">11250007955 </v>
      </c>
      <c r="E19316" t="s">
        <v>1061</v>
      </c>
      <c r="F19316" t="s">
        <v>1063</v>
      </c>
      <c r="G19316">
        <v>120.71</v>
      </c>
      <c r="H19316">
        <v>251210</v>
      </c>
      <c r="I19316">
        <v>4385</v>
      </c>
      <c r="J19316" t="s">
        <v>1062</v>
      </c>
      <c r="K19316">
        <v>164.5</v>
      </c>
      <c r="L19316">
        <v>24.53</v>
      </c>
      <c r="M19316">
        <v>17711</v>
      </c>
      <c r="N19316" t="s">
        <v>155</v>
      </c>
      <c r="O19316">
        <v>251215</v>
      </c>
      <c r="P19316">
        <v>96.18</v>
      </c>
    </row>
    <row r="19317" spans="1:16" x14ac:dyDescent="0.25">
      <c r="A19317" t="s">
        <v>3296</v>
      </c>
      <c r="B19317" t="s">
        <v>2931</v>
      </c>
      <c r="C19317">
        <v>16883</v>
      </c>
      <c r="D19317" t="str">
        <f>"11250007954 "</f>
        <v xml:space="preserve">11250007954 </v>
      </c>
      <c r="E19317" t="s">
        <v>1061</v>
      </c>
      <c r="F19317" t="s">
        <v>1063</v>
      </c>
      <c r="G19317">
        <v>66</v>
      </c>
      <c r="H19317">
        <v>251211</v>
      </c>
      <c r="I19317">
        <v>4385</v>
      </c>
      <c r="J19317" t="s">
        <v>1062</v>
      </c>
      <c r="K19317">
        <v>90</v>
      </c>
      <c r="L19317">
        <v>13.41</v>
      </c>
      <c r="M19317">
        <v>17711</v>
      </c>
      <c r="N19317" t="s">
        <v>155</v>
      </c>
      <c r="O19317">
        <v>251215</v>
      </c>
      <c r="P19317">
        <v>52.59</v>
      </c>
    </row>
    <row r="19318" spans="1:16" x14ac:dyDescent="0.25">
      <c r="A19318" t="s">
        <v>3296</v>
      </c>
      <c r="B19318" t="s">
        <v>2931</v>
      </c>
      <c r="C19318">
        <v>17015</v>
      </c>
      <c r="D19318" t="str">
        <f>"11250007956 "</f>
        <v xml:space="preserve">11250007956 </v>
      </c>
      <c r="E19318" t="s">
        <v>1061</v>
      </c>
      <c r="F19318" t="s">
        <v>1063</v>
      </c>
      <c r="G19318">
        <v>227</v>
      </c>
      <c r="H19318">
        <v>251211</v>
      </c>
      <c r="I19318">
        <v>4385</v>
      </c>
      <c r="J19318" t="s">
        <v>1062</v>
      </c>
      <c r="K19318">
        <v>250</v>
      </c>
      <c r="L19318">
        <v>46.12</v>
      </c>
      <c r="M19318">
        <v>17711</v>
      </c>
      <c r="N19318" t="s">
        <v>155</v>
      </c>
      <c r="O19318">
        <v>251216</v>
      </c>
      <c r="P19318">
        <v>180.88</v>
      </c>
    </row>
    <row r="19319" spans="1:16" x14ac:dyDescent="0.25">
      <c r="A19319" t="s">
        <v>3296</v>
      </c>
      <c r="B19319" t="s">
        <v>2931</v>
      </c>
      <c r="C19319">
        <v>1630</v>
      </c>
      <c r="D19319" t="str">
        <f>"112500760   "</f>
        <v xml:space="preserve">112500760   </v>
      </c>
      <c r="E19319" t="s">
        <v>1061</v>
      </c>
      <c r="F19319" t="s">
        <v>1063</v>
      </c>
      <c r="G19319">
        <v>204.18</v>
      </c>
      <c r="H19319">
        <v>250129</v>
      </c>
      <c r="I19319">
        <v>4533</v>
      </c>
      <c r="J19319" t="s">
        <v>1064</v>
      </c>
      <c r="K19319">
        <v>851</v>
      </c>
      <c r="L19319">
        <v>25.07</v>
      </c>
      <c r="M19319">
        <v>17711</v>
      </c>
      <c r="N19319" t="s">
        <v>155</v>
      </c>
      <c r="O19319">
        <v>250212</v>
      </c>
      <c r="P19319">
        <v>179.11</v>
      </c>
    </row>
    <row r="19320" spans="1:16" x14ac:dyDescent="0.25">
      <c r="A19320" t="s">
        <v>3296</v>
      </c>
      <c r="B19320" t="s">
        <v>2931</v>
      </c>
      <c r="C19320">
        <v>3840</v>
      </c>
      <c r="D19320" t="str">
        <f>"11250000445 "</f>
        <v xml:space="preserve">11250000445 </v>
      </c>
      <c r="E19320" t="s">
        <v>1061</v>
      </c>
      <c r="F19320" t="s">
        <v>1063</v>
      </c>
      <c r="G19320">
        <v>95.82</v>
      </c>
      <c r="H19320">
        <v>250319</v>
      </c>
      <c r="I19320">
        <v>4533</v>
      </c>
      <c r="J19320" t="s">
        <v>1064</v>
      </c>
      <c r="K19320">
        <v>617</v>
      </c>
      <c r="L19320">
        <v>11.77</v>
      </c>
      <c r="M19320">
        <v>17711</v>
      </c>
      <c r="N19320" t="s">
        <v>155</v>
      </c>
      <c r="O19320">
        <v>250402</v>
      </c>
      <c r="P19320">
        <v>84.05</v>
      </c>
    </row>
    <row r="19321" spans="1:16" x14ac:dyDescent="0.25">
      <c r="A19321" t="s">
        <v>3296</v>
      </c>
      <c r="B19321" t="s">
        <v>2931</v>
      </c>
      <c r="C19321">
        <v>7369</v>
      </c>
      <c r="D19321" t="str">
        <f>"11250002423 "</f>
        <v xml:space="preserve">11250002423 </v>
      </c>
      <c r="E19321" t="s">
        <v>1061</v>
      </c>
      <c r="F19321" t="s">
        <v>1063</v>
      </c>
      <c r="G19321">
        <v>33.82</v>
      </c>
      <c r="H19321">
        <v>250522</v>
      </c>
      <c r="I19321">
        <v>4533</v>
      </c>
      <c r="J19321" t="s">
        <v>1064</v>
      </c>
      <c r="K19321">
        <v>791</v>
      </c>
      <c r="L19321">
        <v>4.1500000000000004</v>
      </c>
      <c r="M19321">
        <v>17711</v>
      </c>
      <c r="N19321" t="s">
        <v>155</v>
      </c>
      <c r="O19321">
        <v>250603</v>
      </c>
      <c r="P19321">
        <v>29.67</v>
      </c>
    </row>
    <row r="19322" spans="1:16" x14ac:dyDescent="0.25">
      <c r="A19322" t="s">
        <v>3296</v>
      </c>
      <c r="B19322" t="s">
        <v>2931</v>
      </c>
      <c r="C19322">
        <v>14387</v>
      </c>
      <c r="D19322" t="str">
        <f>"11250006715 "</f>
        <v xml:space="preserve">11250006715 </v>
      </c>
      <c r="E19322" t="s">
        <v>1061</v>
      </c>
      <c r="F19322" t="s">
        <v>1063</v>
      </c>
      <c r="G19322">
        <v>14.82</v>
      </c>
      <c r="H19322">
        <v>251027</v>
      </c>
      <c r="I19322">
        <v>4533</v>
      </c>
      <c r="J19322" t="s">
        <v>1064</v>
      </c>
      <c r="K19322">
        <v>197</v>
      </c>
      <c r="L19322">
        <v>1.82</v>
      </c>
      <c r="M19322">
        <v>17711</v>
      </c>
      <c r="N19322" t="s">
        <v>155</v>
      </c>
      <c r="O19322">
        <v>251031</v>
      </c>
      <c r="P19322">
        <v>13</v>
      </c>
    </row>
    <row r="19323" spans="1:16" x14ac:dyDescent="0.25">
      <c r="A19323" t="s">
        <v>3296</v>
      </c>
      <c r="B19323" t="s">
        <v>2931</v>
      </c>
      <c r="C19323">
        <v>14389</v>
      </c>
      <c r="D19323" t="str">
        <f>"11250006714 "</f>
        <v xml:space="preserve">11250006714 </v>
      </c>
      <c r="E19323" t="s">
        <v>1061</v>
      </c>
      <c r="F19323" t="s">
        <v>1063</v>
      </c>
      <c r="G19323">
        <v>26.09</v>
      </c>
      <c r="H19323">
        <v>251027</v>
      </c>
      <c r="I19323">
        <v>4533</v>
      </c>
      <c r="J19323" t="s">
        <v>1064</v>
      </c>
      <c r="K19323">
        <v>425</v>
      </c>
      <c r="L19323">
        <v>3.2</v>
      </c>
      <c r="M19323">
        <v>17711</v>
      </c>
      <c r="N19323" t="s">
        <v>155</v>
      </c>
      <c r="O19323">
        <v>251031</v>
      </c>
      <c r="P19323">
        <v>22.89</v>
      </c>
    </row>
    <row r="19324" spans="1:16" x14ac:dyDescent="0.25">
      <c r="A19324" t="s">
        <v>3296</v>
      </c>
      <c r="B19324" t="s">
        <v>2931</v>
      </c>
      <c r="C19324">
        <v>15764</v>
      </c>
      <c r="D19324" t="str">
        <f>"11250007527 "</f>
        <v xml:space="preserve">11250007527 </v>
      </c>
      <c r="E19324" t="s">
        <v>1061</v>
      </c>
      <c r="F19324" t="s">
        <v>1063</v>
      </c>
      <c r="G19324">
        <v>52.08</v>
      </c>
      <c r="H19324">
        <v>251126</v>
      </c>
      <c r="I19324">
        <v>4533</v>
      </c>
      <c r="J19324" t="s">
        <v>1064</v>
      </c>
      <c r="K19324">
        <v>668.5</v>
      </c>
      <c r="L19324">
        <v>6.4</v>
      </c>
      <c r="M19324">
        <v>17711</v>
      </c>
      <c r="N19324" t="s">
        <v>155</v>
      </c>
      <c r="O19324">
        <v>251126</v>
      </c>
      <c r="P19324">
        <v>45.68</v>
      </c>
    </row>
    <row r="19325" spans="1:16" x14ac:dyDescent="0.25">
      <c r="A19325" t="s">
        <v>3296</v>
      </c>
      <c r="B19325" t="s">
        <v>2931</v>
      </c>
      <c r="C19325">
        <v>16882</v>
      </c>
      <c r="D19325" t="str">
        <f>"11250007955 "</f>
        <v xml:space="preserve">11250007955 </v>
      </c>
      <c r="E19325" t="s">
        <v>1061</v>
      </c>
      <c r="F19325" t="s">
        <v>1063</v>
      </c>
      <c r="G19325">
        <v>43.79</v>
      </c>
      <c r="H19325">
        <v>251210</v>
      </c>
      <c r="I19325">
        <v>4533</v>
      </c>
      <c r="J19325" t="s">
        <v>1064</v>
      </c>
      <c r="K19325">
        <v>164.5</v>
      </c>
      <c r="L19325">
        <v>5.38</v>
      </c>
      <c r="M19325">
        <v>17711</v>
      </c>
      <c r="N19325" t="s">
        <v>155</v>
      </c>
      <c r="O19325">
        <v>251215</v>
      </c>
      <c r="P19325">
        <v>38.409999999999997</v>
      </c>
    </row>
    <row r="19326" spans="1:16" x14ac:dyDescent="0.25">
      <c r="A19326" t="s">
        <v>3296</v>
      </c>
      <c r="B19326" t="s">
        <v>2931</v>
      </c>
      <c r="C19326">
        <v>16883</v>
      </c>
      <c r="D19326" t="str">
        <f>"11250007954 "</f>
        <v xml:space="preserve">11250007954 </v>
      </c>
      <c r="E19326" t="s">
        <v>1061</v>
      </c>
      <c r="F19326" t="s">
        <v>1063</v>
      </c>
      <c r="G19326">
        <v>24</v>
      </c>
      <c r="H19326">
        <v>251211</v>
      </c>
      <c r="I19326">
        <v>4533</v>
      </c>
      <c r="J19326" t="s">
        <v>1064</v>
      </c>
      <c r="K19326">
        <v>90</v>
      </c>
      <c r="L19326">
        <v>2.95</v>
      </c>
      <c r="M19326">
        <v>17711</v>
      </c>
      <c r="N19326" t="s">
        <v>155</v>
      </c>
      <c r="O19326">
        <v>251215</v>
      </c>
      <c r="P19326">
        <v>21.05</v>
      </c>
    </row>
    <row r="19327" spans="1:16" x14ac:dyDescent="0.25">
      <c r="A19327" t="s">
        <v>3296</v>
      </c>
      <c r="B19327" t="s">
        <v>2931</v>
      </c>
      <c r="C19327">
        <v>17015</v>
      </c>
      <c r="D19327" t="str">
        <f>"11250007956 "</f>
        <v xml:space="preserve">11250007956 </v>
      </c>
      <c r="E19327" t="s">
        <v>1061</v>
      </c>
      <c r="F19327" t="s">
        <v>1063</v>
      </c>
      <c r="G19327">
        <v>23</v>
      </c>
      <c r="H19327">
        <v>251211</v>
      </c>
      <c r="I19327">
        <v>4533</v>
      </c>
      <c r="J19327" t="s">
        <v>1064</v>
      </c>
      <c r="K19327">
        <v>250</v>
      </c>
      <c r="L19327">
        <v>2.82</v>
      </c>
      <c r="M19327">
        <v>17711</v>
      </c>
      <c r="N19327" t="s">
        <v>155</v>
      </c>
      <c r="O19327">
        <v>251216</v>
      </c>
      <c r="P19327">
        <v>20.18</v>
      </c>
    </row>
    <row r="19328" spans="1:16" x14ac:dyDescent="0.25">
      <c r="A19328" t="s">
        <v>3296</v>
      </c>
      <c r="B19328" t="s">
        <v>2931</v>
      </c>
      <c r="C19328">
        <v>16859</v>
      </c>
      <c r="D19328" t="str">
        <f>"2983        "</f>
        <v xml:space="preserve">2983        </v>
      </c>
      <c r="E19328" t="s">
        <v>2708</v>
      </c>
      <c r="F19328" t="s">
        <v>2709</v>
      </c>
      <c r="G19328">
        <v>420.3</v>
      </c>
      <c r="H19328">
        <v>251128</v>
      </c>
      <c r="I19328">
        <v>4390</v>
      </c>
      <c r="J19328" t="s">
        <v>232</v>
      </c>
      <c r="K19328">
        <v>1401</v>
      </c>
      <c r="L19328">
        <v>0</v>
      </c>
      <c r="M19328">
        <v>14952</v>
      </c>
      <c r="N19328" t="s">
        <v>213</v>
      </c>
      <c r="O19328">
        <v>251215</v>
      </c>
      <c r="P19328">
        <v>420.3</v>
      </c>
    </row>
    <row r="19329" spans="1:16" x14ac:dyDescent="0.25">
      <c r="A19329" t="s">
        <v>3296</v>
      </c>
      <c r="B19329" t="s">
        <v>2931</v>
      </c>
      <c r="C19329">
        <v>16859</v>
      </c>
      <c r="D19329" t="str">
        <f>"2983        "</f>
        <v xml:space="preserve">2983        </v>
      </c>
      <c r="E19329" t="s">
        <v>2708</v>
      </c>
      <c r="F19329" t="s">
        <v>2709</v>
      </c>
      <c r="G19329">
        <v>980.7</v>
      </c>
      <c r="H19329">
        <v>251128</v>
      </c>
      <c r="I19329">
        <v>4390</v>
      </c>
      <c r="J19329" t="s">
        <v>232</v>
      </c>
      <c r="K19329">
        <v>1401</v>
      </c>
      <c r="L19329">
        <v>0</v>
      </c>
      <c r="M19329">
        <v>14981</v>
      </c>
      <c r="N19329" t="s">
        <v>252</v>
      </c>
      <c r="O19329">
        <v>251215</v>
      </c>
      <c r="P19329">
        <v>980.7</v>
      </c>
    </row>
    <row r="19330" spans="1:16" x14ac:dyDescent="0.25">
      <c r="A19330" t="s">
        <v>3296</v>
      </c>
      <c r="B19330" t="s">
        <v>2931</v>
      </c>
      <c r="C19330">
        <v>9850</v>
      </c>
      <c r="D19330" t="str">
        <f>"0106452012  "</f>
        <v xml:space="preserve">0106452012  </v>
      </c>
      <c r="E19330" t="s">
        <v>2896</v>
      </c>
      <c r="F19330" t="s">
        <v>2897</v>
      </c>
      <c r="G19330">
        <v>85</v>
      </c>
      <c r="H19330">
        <v>250708</v>
      </c>
      <c r="I19330">
        <v>1020</v>
      </c>
      <c r="J19330" t="s">
        <v>2923</v>
      </c>
      <c r="K19330">
        <v>85</v>
      </c>
      <c r="L19330">
        <v>0</v>
      </c>
      <c r="M19330">
        <v>97701</v>
      </c>
      <c r="N19330" t="s">
        <v>1017</v>
      </c>
      <c r="O19330">
        <v>250730</v>
      </c>
      <c r="P19330">
        <v>85</v>
      </c>
    </row>
    <row r="19331" spans="1:16" x14ac:dyDescent="0.25">
      <c r="A19331" t="s">
        <v>3296</v>
      </c>
      <c r="B19331" t="s">
        <v>2931</v>
      </c>
      <c r="C19331">
        <v>17748</v>
      </c>
      <c r="D19331" t="str">
        <f>"0106525493  "</f>
        <v xml:space="preserve">0106525493  </v>
      </c>
      <c r="E19331" t="s">
        <v>2896</v>
      </c>
      <c r="F19331" t="s">
        <v>2897</v>
      </c>
      <c r="G19331">
        <v>6400</v>
      </c>
      <c r="H19331">
        <v>251217</v>
      </c>
      <c r="I19331">
        <v>1196</v>
      </c>
      <c r="J19331" t="s">
        <v>340</v>
      </c>
      <c r="K19331">
        <v>6400</v>
      </c>
      <c r="L19331">
        <v>0</v>
      </c>
      <c r="M19331">
        <v>97701</v>
      </c>
      <c r="N19331" t="s">
        <v>1017</v>
      </c>
      <c r="O19331">
        <v>251230</v>
      </c>
      <c r="P19331">
        <v>6400</v>
      </c>
    </row>
    <row r="19332" spans="1:16" x14ac:dyDescent="0.25">
      <c r="A19332" t="s">
        <v>3296</v>
      </c>
      <c r="B19332" t="s">
        <v>2931</v>
      </c>
      <c r="C19332">
        <v>8717</v>
      </c>
      <c r="D19332" t="str">
        <f t="shared" ref="D19332:D19337" si="319">"0106447133  "</f>
        <v xml:space="preserve">0106447133  </v>
      </c>
      <c r="E19332" t="s">
        <v>2896</v>
      </c>
      <c r="F19332" t="s">
        <v>2897</v>
      </c>
      <c r="G19332">
        <v>72.73</v>
      </c>
      <c r="H19332">
        <v>250531</v>
      </c>
      <c r="I19332">
        <v>4345</v>
      </c>
      <c r="J19332" t="s">
        <v>2901</v>
      </c>
      <c r="K19332">
        <v>4566.0600000000004</v>
      </c>
      <c r="L19332">
        <v>8.93</v>
      </c>
      <c r="M19332">
        <v>14121</v>
      </c>
      <c r="N19332" t="s">
        <v>71</v>
      </c>
      <c r="O19332">
        <v>250617</v>
      </c>
      <c r="P19332">
        <v>63.8</v>
      </c>
    </row>
    <row r="19333" spans="1:16" x14ac:dyDescent="0.25">
      <c r="A19333" t="s">
        <v>3296</v>
      </c>
      <c r="B19333" t="s">
        <v>2931</v>
      </c>
      <c r="C19333">
        <v>8717</v>
      </c>
      <c r="D19333" t="str">
        <f t="shared" si="319"/>
        <v xml:space="preserve">0106447133  </v>
      </c>
      <c r="E19333" t="s">
        <v>2896</v>
      </c>
      <c r="F19333" t="s">
        <v>2897</v>
      </c>
      <c r="G19333">
        <v>960</v>
      </c>
      <c r="H19333">
        <v>250531</v>
      </c>
      <c r="I19333">
        <v>4345</v>
      </c>
      <c r="J19333" t="s">
        <v>2901</v>
      </c>
      <c r="K19333">
        <v>4566.0600000000004</v>
      </c>
      <c r="L19333">
        <v>0</v>
      </c>
      <c r="M19333">
        <v>14121</v>
      </c>
      <c r="N19333" t="s">
        <v>71</v>
      </c>
      <c r="O19333">
        <v>250617</v>
      </c>
      <c r="P19333">
        <v>960</v>
      </c>
    </row>
    <row r="19334" spans="1:16" x14ac:dyDescent="0.25">
      <c r="A19334" t="s">
        <v>3296</v>
      </c>
      <c r="B19334" t="s">
        <v>2931</v>
      </c>
      <c r="C19334">
        <v>8717</v>
      </c>
      <c r="D19334" t="str">
        <f t="shared" si="319"/>
        <v xml:space="preserve">0106447133  </v>
      </c>
      <c r="E19334" t="s">
        <v>2896</v>
      </c>
      <c r="F19334" t="s">
        <v>2897</v>
      </c>
      <c r="G19334">
        <v>38.549999999999997</v>
      </c>
      <c r="H19334">
        <v>250531</v>
      </c>
      <c r="I19334">
        <v>4345</v>
      </c>
      <c r="J19334" t="s">
        <v>2901</v>
      </c>
      <c r="K19334">
        <v>4566.0600000000004</v>
      </c>
      <c r="L19334">
        <v>4.7300000000000004</v>
      </c>
      <c r="M19334">
        <v>14541</v>
      </c>
      <c r="N19334" t="s">
        <v>76</v>
      </c>
      <c r="O19334">
        <v>250617</v>
      </c>
      <c r="P19334">
        <v>33.82</v>
      </c>
    </row>
    <row r="19335" spans="1:16" x14ac:dyDescent="0.25">
      <c r="A19335" t="s">
        <v>3296</v>
      </c>
      <c r="B19335" t="s">
        <v>2931</v>
      </c>
      <c r="C19335">
        <v>8717</v>
      </c>
      <c r="D19335" t="str">
        <f t="shared" si="319"/>
        <v xml:space="preserve">0106447133  </v>
      </c>
      <c r="E19335" t="s">
        <v>2896</v>
      </c>
      <c r="F19335" t="s">
        <v>2897</v>
      </c>
      <c r="G19335">
        <v>1280</v>
      </c>
      <c r="H19335">
        <v>250531</v>
      </c>
      <c r="I19335">
        <v>4345</v>
      </c>
      <c r="J19335" t="s">
        <v>2901</v>
      </c>
      <c r="K19335">
        <v>4566.0600000000004</v>
      </c>
      <c r="L19335">
        <v>0</v>
      </c>
      <c r="M19335">
        <v>14541</v>
      </c>
      <c r="N19335" t="s">
        <v>76</v>
      </c>
      <c r="O19335">
        <v>250617</v>
      </c>
      <c r="P19335">
        <v>1280</v>
      </c>
    </row>
    <row r="19336" spans="1:16" x14ac:dyDescent="0.25">
      <c r="A19336" t="s">
        <v>3296</v>
      </c>
      <c r="B19336" t="s">
        <v>2931</v>
      </c>
      <c r="C19336">
        <v>8717</v>
      </c>
      <c r="D19336" t="str">
        <f t="shared" si="319"/>
        <v xml:space="preserve">0106447133  </v>
      </c>
      <c r="E19336" t="s">
        <v>2896</v>
      </c>
      <c r="F19336" t="s">
        <v>2897</v>
      </c>
      <c r="G19336">
        <v>54.78</v>
      </c>
      <c r="H19336">
        <v>250531</v>
      </c>
      <c r="I19336">
        <v>4345</v>
      </c>
      <c r="J19336" t="s">
        <v>2901</v>
      </c>
      <c r="K19336">
        <v>4566.0600000000004</v>
      </c>
      <c r="L19336">
        <v>6.73</v>
      </c>
      <c r="M19336">
        <v>14622</v>
      </c>
      <c r="N19336" t="s">
        <v>77</v>
      </c>
      <c r="O19336">
        <v>250617</v>
      </c>
      <c r="P19336">
        <v>48.05</v>
      </c>
    </row>
    <row r="19337" spans="1:16" x14ac:dyDescent="0.25">
      <c r="A19337" t="s">
        <v>3296</v>
      </c>
      <c r="B19337" t="s">
        <v>2931</v>
      </c>
      <c r="C19337">
        <v>8717</v>
      </c>
      <c r="D19337" t="str">
        <f t="shared" si="319"/>
        <v xml:space="preserve">0106447133  </v>
      </c>
      <c r="E19337" t="s">
        <v>2896</v>
      </c>
      <c r="F19337" t="s">
        <v>2897</v>
      </c>
      <c r="G19337">
        <v>2160</v>
      </c>
      <c r="H19337">
        <v>250531</v>
      </c>
      <c r="I19337">
        <v>4345</v>
      </c>
      <c r="J19337" t="s">
        <v>2901</v>
      </c>
      <c r="K19337">
        <v>4566.0600000000004</v>
      </c>
      <c r="L19337">
        <v>0</v>
      </c>
      <c r="M19337">
        <v>14622</v>
      </c>
      <c r="N19337" t="s">
        <v>77</v>
      </c>
      <c r="O19337">
        <v>250617</v>
      </c>
      <c r="P19337">
        <v>2160</v>
      </c>
    </row>
    <row r="19338" spans="1:16" x14ac:dyDescent="0.25">
      <c r="A19338" t="s">
        <v>3296</v>
      </c>
      <c r="B19338" t="s">
        <v>2931</v>
      </c>
      <c r="C19338">
        <v>17819</v>
      </c>
      <c r="D19338" t="str">
        <f t="shared" ref="D19338:D19343" si="320">"0106526273  "</f>
        <v xml:space="preserve">0106526273  </v>
      </c>
      <c r="E19338" t="s">
        <v>2896</v>
      </c>
      <c r="F19338" t="s">
        <v>2897</v>
      </c>
      <c r="G19338">
        <v>160</v>
      </c>
      <c r="H19338">
        <v>251219</v>
      </c>
      <c r="I19338">
        <v>4345</v>
      </c>
      <c r="J19338" t="s">
        <v>2901</v>
      </c>
      <c r="K19338">
        <v>3193.45</v>
      </c>
      <c r="L19338">
        <v>0</v>
      </c>
      <c r="M19338">
        <v>14121</v>
      </c>
      <c r="N19338" t="s">
        <v>71</v>
      </c>
      <c r="O19338">
        <v>251230</v>
      </c>
      <c r="P19338">
        <v>160</v>
      </c>
    </row>
    <row r="19339" spans="1:16" x14ac:dyDescent="0.25">
      <c r="A19339" t="s">
        <v>3296</v>
      </c>
      <c r="B19339" t="s">
        <v>2931</v>
      </c>
      <c r="C19339">
        <v>17819</v>
      </c>
      <c r="D19339" t="str">
        <f t="shared" si="320"/>
        <v xml:space="preserve">0106526273  </v>
      </c>
      <c r="E19339" t="s">
        <v>2896</v>
      </c>
      <c r="F19339" t="s">
        <v>2897</v>
      </c>
      <c r="G19339">
        <v>560</v>
      </c>
      <c r="H19339">
        <v>251219</v>
      </c>
      <c r="I19339">
        <v>4345</v>
      </c>
      <c r="J19339" t="s">
        <v>2901</v>
      </c>
      <c r="K19339">
        <v>3193.45</v>
      </c>
      <c r="L19339">
        <v>0</v>
      </c>
      <c r="M19339">
        <v>14121</v>
      </c>
      <c r="N19339" t="s">
        <v>71</v>
      </c>
      <c r="O19339">
        <v>251230</v>
      </c>
      <c r="P19339">
        <v>560</v>
      </c>
    </row>
    <row r="19340" spans="1:16" x14ac:dyDescent="0.25">
      <c r="A19340" t="s">
        <v>3296</v>
      </c>
      <c r="B19340" t="s">
        <v>2931</v>
      </c>
      <c r="C19340">
        <v>17819</v>
      </c>
      <c r="D19340" t="str">
        <f t="shared" si="320"/>
        <v xml:space="preserve">0106526273  </v>
      </c>
      <c r="E19340" t="s">
        <v>2896</v>
      </c>
      <c r="F19340" t="s">
        <v>2897</v>
      </c>
      <c r="G19340">
        <v>160</v>
      </c>
      <c r="H19340">
        <v>251219</v>
      </c>
      <c r="I19340">
        <v>4345</v>
      </c>
      <c r="J19340" t="s">
        <v>2901</v>
      </c>
      <c r="K19340">
        <v>3193.45</v>
      </c>
      <c r="L19340">
        <v>0</v>
      </c>
      <c r="M19340">
        <v>14321</v>
      </c>
      <c r="N19340" t="s">
        <v>72</v>
      </c>
      <c r="O19340">
        <v>251230</v>
      </c>
      <c r="P19340">
        <v>160</v>
      </c>
    </row>
    <row r="19341" spans="1:16" x14ac:dyDescent="0.25">
      <c r="A19341" t="s">
        <v>3296</v>
      </c>
      <c r="B19341" t="s">
        <v>2931</v>
      </c>
      <c r="C19341">
        <v>17819</v>
      </c>
      <c r="D19341" t="str">
        <f t="shared" si="320"/>
        <v xml:space="preserve">0106526273  </v>
      </c>
      <c r="E19341" t="s">
        <v>2896</v>
      </c>
      <c r="F19341" t="s">
        <v>2897</v>
      </c>
      <c r="G19341">
        <v>480</v>
      </c>
      <c r="H19341">
        <v>251219</v>
      </c>
      <c r="I19341">
        <v>4345</v>
      </c>
      <c r="J19341" t="s">
        <v>2901</v>
      </c>
      <c r="K19341">
        <v>3193.45</v>
      </c>
      <c r="L19341">
        <v>0</v>
      </c>
      <c r="M19341">
        <v>14321</v>
      </c>
      <c r="N19341" t="s">
        <v>72</v>
      </c>
      <c r="O19341">
        <v>251230</v>
      </c>
      <c r="P19341">
        <v>480</v>
      </c>
    </row>
    <row r="19342" spans="1:16" x14ac:dyDescent="0.25">
      <c r="A19342" t="s">
        <v>3296</v>
      </c>
      <c r="B19342" t="s">
        <v>2931</v>
      </c>
      <c r="C19342">
        <v>17819</v>
      </c>
      <c r="D19342" t="str">
        <f t="shared" si="320"/>
        <v xml:space="preserve">0106526273  </v>
      </c>
      <c r="E19342" t="s">
        <v>2896</v>
      </c>
      <c r="F19342" t="s">
        <v>2897</v>
      </c>
      <c r="G19342">
        <v>960</v>
      </c>
      <c r="H19342">
        <v>251219</v>
      </c>
      <c r="I19342">
        <v>4345</v>
      </c>
      <c r="J19342" t="s">
        <v>2901</v>
      </c>
      <c r="K19342">
        <v>3193.45</v>
      </c>
      <c r="L19342">
        <v>0</v>
      </c>
      <c r="M19342">
        <v>14622</v>
      </c>
      <c r="N19342" t="s">
        <v>77</v>
      </c>
      <c r="O19342">
        <v>251230</v>
      </c>
      <c r="P19342">
        <v>960</v>
      </c>
    </row>
    <row r="19343" spans="1:16" x14ac:dyDescent="0.25">
      <c r="A19343" t="s">
        <v>3296</v>
      </c>
      <c r="B19343" t="s">
        <v>2931</v>
      </c>
      <c r="C19343">
        <v>17819</v>
      </c>
      <c r="D19343" t="str">
        <f t="shared" si="320"/>
        <v xml:space="preserve">0106526273  </v>
      </c>
      <c r="E19343" t="s">
        <v>2896</v>
      </c>
      <c r="F19343" t="s">
        <v>2897</v>
      </c>
      <c r="G19343">
        <v>560</v>
      </c>
      <c r="H19343">
        <v>251219</v>
      </c>
      <c r="I19343">
        <v>4345</v>
      </c>
      <c r="J19343" t="s">
        <v>2901</v>
      </c>
      <c r="K19343">
        <v>3193.45</v>
      </c>
      <c r="L19343">
        <v>0</v>
      </c>
      <c r="M19343">
        <v>14640</v>
      </c>
      <c r="N19343" t="s">
        <v>78</v>
      </c>
      <c r="O19343">
        <v>251230</v>
      </c>
      <c r="P19343">
        <v>560</v>
      </c>
    </row>
    <row r="19344" spans="1:16" x14ac:dyDescent="0.25">
      <c r="A19344" t="s">
        <v>3296</v>
      </c>
      <c r="B19344" t="s">
        <v>2931</v>
      </c>
      <c r="C19344">
        <v>4843</v>
      </c>
      <c r="D19344" t="str">
        <f>"0106428621  "</f>
        <v xml:space="preserve">0106428621  </v>
      </c>
      <c r="E19344" t="s">
        <v>2896</v>
      </c>
      <c r="F19344" t="s">
        <v>2897</v>
      </c>
      <c r="G19344">
        <v>440</v>
      </c>
      <c r="H19344">
        <v>250331</v>
      </c>
      <c r="I19344">
        <v>4346</v>
      </c>
      <c r="J19344" t="s">
        <v>334</v>
      </c>
      <c r="K19344">
        <v>440</v>
      </c>
      <c r="L19344">
        <v>0</v>
      </c>
      <c r="M19344">
        <v>14971</v>
      </c>
      <c r="N19344" t="s">
        <v>81</v>
      </c>
      <c r="O19344">
        <v>250415</v>
      </c>
      <c r="P19344">
        <v>440</v>
      </c>
    </row>
    <row r="19345" spans="1:16" x14ac:dyDescent="0.25">
      <c r="A19345" t="s">
        <v>3296</v>
      </c>
      <c r="B19345" t="s">
        <v>2931</v>
      </c>
      <c r="C19345">
        <v>15363</v>
      </c>
      <c r="D19345" t="str">
        <f>"0106507786  "</f>
        <v xml:space="preserve">0106507786  </v>
      </c>
      <c r="E19345" t="s">
        <v>2896</v>
      </c>
      <c r="F19345" t="s">
        <v>2897</v>
      </c>
      <c r="G19345">
        <v>360</v>
      </c>
      <c r="H19345">
        <v>251031</v>
      </c>
      <c r="I19345">
        <v>4346</v>
      </c>
      <c r="J19345" t="s">
        <v>334</v>
      </c>
      <c r="K19345">
        <v>360</v>
      </c>
      <c r="L19345">
        <v>0</v>
      </c>
      <c r="M19345">
        <v>14432</v>
      </c>
      <c r="N19345" t="s">
        <v>75</v>
      </c>
      <c r="O19345">
        <v>251119</v>
      </c>
      <c r="P19345">
        <v>360</v>
      </c>
    </row>
    <row r="19346" spans="1:16" x14ac:dyDescent="0.25">
      <c r="A19346" t="s">
        <v>3296</v>
      </c>
      <c r="B19346" t="s">
        <v>2931</v>
      </c>
      <c r="C19346">
        <v>18366</v>
      </c>
      <c r="D19346" t="str">
        <f>"0106528010  "</f>
        <v xml:space="preserve">0106528010  </v>
      </c>
      <c r="E19346" t="s">
        <v>2896</v>
      </c>
      <c r="F19346" t="s">
        <v>2897</v>
      </c>
      <c r="G19346">
        <v>1656.6</v>
      </c>
      <c r="H19346">
        <v>251230</v>
      </c>
      <c r="I19346">
        <v>4346</v>
      </c>
      <c r="J19346" t="s">
        <v>334</v>
      </c>
      <c r="K19346">
        <v>1656.6</v>
      </c>
      <c r="L19346">
        <v>336.6</v>
      </c>
      <c r="M19346">
        <v>47522</v>
      </c>
      <c r="N19346" t="s">
        <v>106</v>
      </c>
      <c r="O19346">
        <v>260113</v>
      </c>
      <c r="P19346">
        <v>1320</v>
      </c>
    </row>
    <row r="19347" spans="1:16" x14ac:dyDescent="0.25">
      <c r="A19347" t="s">
        <v>3296</v>
      </c>
      <c r="B19347" t="s">
        <v>2931</v>
      </c>
      <c r="C19347">
        <v>1447</v>
      </c>
      <c r="D19347" t="str">
        <f>"0106410255  "</f>
        <v xml:space="preserve">0106410255  </v>
      </c>
      <c r="E19347" t="s">
        <v>2896</v>
      </c>
      <c r="F19347" t="s">
        <v>2897</v>
      </c>
      <c r="G19347">
        <v>120</v>
      </c>
      <c r="H19347">
        <v>250131</v>
      </c>
      <c r="I19347">
        <v>4347</v>
      </c>
      <c r="J19347" t="s">
        <v>328</v>
      </c>
      <c r="K19347">
        <v>120</v>
      </c>
      <c r="L19347">
        <v>0</v>
      </c>
      <c r="M19347">
        <v>13940</v>
      </c>
      <c r="N19347" t="s">
        <v>14</v>
      </c>
      <c r="O19347">
        <v>250210</v>
      </c>
      <c r="P19347">
        <v>120</v>
      </c>
    </row>
    <row r="19348" spans="1:16" x14ac:dyDescent="0.25">
      <c r="A19348" t="s">
        <v>3296</v>
      </c>
      <c r="B19348" t="s">
        <v>2931</v>
      </c>
      <c r="C19348">
        <v>1616</v>
      </c>
      <c r="D19348" t="str">
        <f>"0106413499  "</f>
        <v xml:space="preserve">0106413499  </v>
      </c>
      <c r="E19348" t="s">
        <v>2896</v>
      </c>
      <c r="F19348" t="s">
        <v>2897</v>
      </c>
      <c r="G19348">
        <v>150</v>
      </c>
      <c r="H19348">
        <v>250206</v>
      </c>
      <c r="I19348">
        <v>4347</v>
      </c>
      <c r="J19348" t="s">
        <v>328</v>
      </c>
      <c r="K19348">
        <v>150</v>
      </c>
      <c r="L19348">
        <v>0</v>
      </c>
      <c r="M19348">
        <v>13940</v>
      </c>
      <c r="N19348" t="s">
        <v>14</v>
      </c>
      <c r="O19348">
        <v>250211</v>
      </c>
      <c r="P19348">
        <v>150</v>
      </c>
    </row>
    <row r="19349" spans="1:16" x14ac:dyDescent="0.25">
      <c r="A19349" t="s">
        <v>3296</v>
      </c>
      <c r="B19349" t="s">
        <v>2931</v>
      </c>
      <c r="C19349">
        <v>15856</v>
      </c>
      <c r="D19349" t="str">
        <f>"0106511311  "</f>
        <v xml:space="preserve">0106511311  </v>
      </c>
      <c r="E19349" t="s">
        <v>2896</v>
      </c>
      <c r="F19349" t="s">
        <v>2897</v>
      </c>
      <c r="G19349">
        <v>1200.01</v>
      </c>
      <c r="H19349">
        <v>251125</v>
      </c>
      <c r="I19349">
        <v>4350</v>
      </c>
      <c r="J19349" t="s">
        <v>290</v>
      </c>
      <c r="K19349">
        <v>1200.01</v>
      </c>
      <c r="L19349">
        <v>243.83</v>
      </c>
      <c r="M19349">
        <v>13501</v>
      </c>
      <c r="N19349" t="s">
        <v>66</v>
      </c>
      <c r="O19349">
        <v>251127</v>
      </c>
      <c r="P19349">
        <v>956.18</v>
      </c>
    </row>
    <row r="19350" spans="1:16" x14ac:dyDescent="0.25">
      <c r="A19350" t="s">
        <v>3296</v>
      </c>
      <c r="B19350" t="s">
        <v>2931</v>
      </c>
      <c r="C19350">
        <v>15858</v>
      </c>
      <c r="D19350" t="str">
        <f>"0106511278  "</f>
        <v xml:space="preserve">0106511278  </v>
      </c>
      <c r="E19350" t="s">
        <v>2896</v>
      </c>
      <c r="F19350" t="s">
        <v>2897</v>
      </c>
      <c r="G19350">
        <v>900</v>
      </c>
      <c r="H19350">
        <v>251125</v>
      </c>
      <c r="I19350">
        <v>4350</v>
      </c>
      <c r="J19350" t="s">
        <v>290</v>
      </c>
      <c r="K19350">
        <v>900</v>
      </c>
      <c r="L19350">
        <v>182.87</v>
      </c>
      <c r="M19350">
        <v>13201</v>
      </c>
      <c r="N19350" t="s">
        <v>269</v>
      </c>
      <c r="O19350">
        <v>251127</v>
      </c>
      <c r="P19350">
        <v>717.13</v>
      </c>
    </row>
    <row r="19351" spans="1:16" x14ac:dyDescent="0.25">
      <c r="A19351" t="s">
        <v>3296</v>
      </c>
      <c r="B19351" t="s">
        <v>2931</v>
      </c>
      <c r="C19351">
        <v>16200</v>
      </c>
      <c r="D19351" t="str">
        <f>"0106511326  "</f>
        <v xml:space="preserve">0106511326  </v>
      </c>
      <c r="E19351" t="s">
        <v>2896</v>
      </c>
      <c r="F19351" t="s">
        <v>2897</v>
      </c>
      <c r="G19351">
        <v>1200.01</v>
      </c>
      <c r="H19351">
        <v>251125</v>
      </c>
      <c r="I19351">
        <v>4350</v>
      </c>
      <c r="J19351" t="s">
        <v>290</v>
      </c>
      <c r="K19351">
        <v>1200.01</v>
      </c>
      <c r="L19351">
        <v>243.83</v>
      </c>
      <c r="M19351">
        <v>13401</v>
      </c>
      <c r="N19351" t="s">
        <v>10</v>
      </c>
      <c r="O19351">
        <v>251204</v>
      </c>
      <c r="P19351">
        <v>956.18</v>
      </c>
    </row>
    <row r="19352" spans="1:16" x14ac:dyDescent="0.25">
      <c r="A19352" t="s">
        <v>3296</v>
      </c>
      <c r="B19352" t="s">
        <v>2931</v>
      </c>
      <c r="C19352">
        <v>15707</v>
      </c>
      <c r="D19352" t="str">
        <f>"0106508560  "</f>
        <v xml:space="preserve">0106508560  </v>
      </c>
      <c r="E19352" t="s">
        <v>2896</v>
      </c>
      <c r="F19352" t="s">
        <v>2897</v>
      </c>
      <c r="G19352">
        <v>162.29</v>
      </c>
      <c r="H19352">
        <v>251112</v>
      </c>
      <c r="I19352">
        <v>4380</v>
      </c>
      <c r="J19352" t="s">
        <v>211</v>
      </c>
      <c r="K19352">
        <v>540.96</v>
      </c>
      <c r="L19352">
        <v>0</v>
      </c>
      <c r="M19352">
        <v>14952</v>
      </c>
      <c r="N19352" t="s">
        <v>213</v>
      </c>
      <c r="O19352">
        <v>251125</v>
      </c>
      <c r="P19352">
        <v>162.29</v>
      </c>
    </row>
    <row r="19353" spans="1:16" x14ac:dyDescent="0.25">
      <c r="A19353" t="s">
        <v>3296</v>
      </c>
      <c r="B19353" t="s">
        <v>2931</v>
      </c>
      <c r="C19353">
        <v>15707</v>
      </c>
      <c r="D19353" t="str">
        <f>"0106508560  "</f>
        <v xml:space="preserve">0106508560  </v>
      </c>
      <c r="E19353" t="s">
        <v>2896</v>
      </c>
      <c r="F19353" t="s">
        <v>2897</v>
      </c>
      <c r="G19353">
        <v>378.67</v>
      </c>
      <c r="H19353">
        <v>251112</v>
      </c>
      <c r="I19353">
        <v>4380</v>
      </c>
      <c r="J19353" t="s">
        <v>211</v>
      </c>
      <c r="K19353">
        <v>540.96</v>
      </c>
      <c r="L19353">
        <v>0</v>
      </c>
      <c r="M19353">
        <v>14981</v>
      </c>
      <c r="N19353" t="s">
        <v>252</v>
      </c>
      <c r="O19353">
        <v>251125</v>
      </c>
      <c r="P19353">
        <v>378.67</v>
      </c>
    </row>
    <row r="19354" spans="1:16" x14ac:dyDescent="0.25">
      <c r="A19354" t="s">
        <v>3296</v>
      </c>
      <c r="B19354" t="s">
        <v>2931</v>
      </c>
      <c r="C19354">
        <v>470</v>
      </c>
      <c r="D19354" t="str">
        <f>"0106403543  "</f>
        <v xml:space="preserve">0106403543  </v>
      </c>
      <c r="E19354" t="s">
        <v>2896</v>
      </c>
      <c r="F19354" t="s">
        <v>2897</v>
      </c>
      <c r="G19354">
        <v>152</v>
      </c>
      <c r="H19354">
        <v>250114</v>
      </c>
      <c r="I19354">
        <v>4410</v>
      </c>
      <c r="J19354" t="s">
        <v>165</v>
      </c>
      <c r="K19354">
        <v>217.71</v>
      </c>
      <c r="L19354">
        <v>18.670000000000002</v>
      </c>
      <c r="M19354">
        <v>49702</v>
      </c>
      <c r="N19354" t="s">
        <v>112</v>
      </c>
      <c r="O19354">
        <v>250123</v>
      </c>
      <c r="P19354">
        <v>133.33000000000001</v>
      </c>
    </row>
    <row r="19355" spans="1:16" x14ac:dyDescent="0.25">
      <c r="A19355" t="s">
        <v>3296</v>
      </c>
      <c r="B19355" t="s">
        <v>2931</v>
      </c>
      <c r="C19355">
        <v>5629</v>
      </c>
      <c r="D19355" t="str">
        <f>"0106430983  "</f>
        <v xml:space="preserve">0106430983  </v>
      </c>
      <c r="E19355" t="s">
        <v>2896</v>
      </c>
      <c r="F19355" t="s">
        <v>2897</v>
      </c>
      <c r="G19355">
        <v>2243.4699999999998</v>
      </c>
      <c r="H19355">
        <v>250415</v>
      </c>
      <c r="I19355">
        <v>4440</v>
      </c>
      <c r="J19355" t="s">
        <v>346</v>
      </c>
      <c r="K19355">
        <v>5982.59</v>
      </c>
      <c r="L19355">
        <v>455.84</v>
      </c>
      <c r="M19355">
        <v>46554</v>
      </c>
      <c r="N19355" t="s">
        <v>102</v>
      </c>
      <c r="O19355">
        <v>250428</v>
      </c>
      <c r="P19355">
        <v>1787.63</v>
      </c>
    </row>
    <row r="19356" spans="1:16" x14ac:dyDescent="0.25">
      <c r="A19356" t="s">
        <v>3296</v>
      </c>
      <c r="B19356" t="s">
        <v>2931</v>
      </c>
      <c r="C19356">
        <v>5629</v>
      </c>
      <c r="D19356" t="str">
        <f>"0106430983  "</f>
        <v xml:space="preserve">0106430983  </v>
      </c>
      <c r="E19356" t="s">
        <v>2896</v>
      </c>
      <c r="F19356" t="s">
        <v>2897</v>
      </c>
      <c r="G19356">
        <v>3739.12</v>
      </c>
      <c r="H19356">
        <v>250415</v>
      </c>
      <c r="I19356">
        <v>4440</v>
      </c>
      <c r="J19356" t="s">
        <v>346</v>
      </c>
      <c r="K19356">
        <v>5982.59</v>
      </c>
      <c r="L19356">
        <v>759.74</v>
      </c>
      <c r="M19356">
        <v>46555</v>
      </c>
      <c r="N19356" t="s">
        <v>103</v>
      </c>
      <c r="O19356">
        <v>250428</v>
      </c>
      <c r="P19356">
        <v>2979.38</v>
      </c>
    </row>
    <row r="19357" spans="1:16" x14ac:dyDescent="0.25">
      <c r="A19357" t="s">
        <v>3296</v>
      </c>
      <c r="B19357" t="s">
        <v>2931</v>
      </c>
      <c r="C19357">
        <v>8716</v>
      </c>
      <c r="D19357" t="str">
        <f>"0106446758  "</f>
        <v xml:space="preserve">0106446758  </v>
      </c>
      <c r="E19357" t="s">
        <v>2896</v>
      </c>
      <c r="F19357" t="s">
        <v>2897</v>
      </c>
      <c r="G19357">
        <v>100</v>
      </c>
      <c r="H19357">
        <v>250531</v>
      </c>
      <c r="I19357">
        <v>4441</v>
      </c>
      <c r="J19357" t="s">
        <v>234</v>
      </c>
      <c r="K19357">
        <v>100</v>
      </c>
      <c r="L19357">
        <v>20.32</v>
      </c>
      <c r="M19357">
        <v>17805</v>
      </c>
      <c r="N19357" t="s">
        <v>21</v>
      </c>
      <c r="O19357">
        <v>250617</v>
      </c>
      <c r="P19357">
        <v>79.680000000000007</v>
      </c>
    </row>
    <row r="19358" spans="1:16" x14ac:dyDescent="0.25">
      <c r="A19358" t="s">
        <v>3296</v>
      </c>
      <c r="B19358" t="s">
        <v>2931</v>
      </c>
      <c r="C19358">
        <v>7044</v>
      </c>
      <c r="D19358" t="str">
        <f>"0106435394  "</f>
        <v xml:space="preserve">0106435394  </v>
      </c>
      <c r="E19358" t="s">
        <v>2896</v>
      </c>
      <c r="F19358" t="s">
        <v>2897</v>
      </c>
      <c r="G19358">
        <v>161</v>
      </c>
      <c r="H19358">
        <v>250509</v>
      </c>
      <c r="I19358">
        <v>4500</v>
      </c>
      <c r="J19358" t="s">
        <v>312</v>
      </c>
      <c r="K19358">
        <v>161</v>
      </c>
      <c r="L19358">
        <v>32.71</v>
      </c>
      <c r="M19358">
        <v>13901</v>
      </c>
      <c r="N19358" t="s">
        <v>116</v>
      </c>
      <c r="O19358">
        <v>250522</v>
      </c>
      <c r="P19358">
        <v>128.29</v>
      </c>
    </row>
    <row r="19359" spans="1:16" x14ac:dyDescent="0.25">
      <c r="A19359" t="s">
        <v>3296</v>
      </c>
      <c r="B19359" t="s">
        <v>2931</v>
      </c>
      <c r="C19359">
        <v>17690</v>
      </c>
      <c r="D19359" t="str">
        <f>"0106524702  "</f>
        <v xml:space="preserve">0106524702  </v>
      </c>
      <c r="E19359" t="s">
        <v>2896</v>
      </c>
      <c r="F19359" t="s">
        <v>2897</v>
      </c>
      <c r="G19359">
        <v>95</v>
      </c>
      <c r="H19359">
        <v>251212</v>
      </c>
      <c r="I19359">
        <v>4500</v>
      </c>
      <c r="J19359" t="s">
        <v>312</v>
      </c>
      <c r="K19359">
        <v>95</v>
      </c>
      <c r="L19359">
        <v>19.3</v>
      </c>
      <c r="M19359">
        <v>13901</v>
      </c>
      <c r="N19359" t="s">
        <v>116</v>
      </c>
      <c r="O19359">
        <v>251229</v>
      </c>
      <c r="P19359">
        <v>75.7</v>
      </c>
    </row>
    <row r="19360" spans="1:16" x14ac:dyDescent="0.25">
      <c r="A19360" t="s">
        <v>3296</v>
      </c>
      <c r="B19360" t="s">
        <v>2931</v>
      </c>
      <c r="C19360">
        <v>17819</v>
      </c>
      <c r="D19360" t="str">
        <f>"0106526273  "</f>
        <v xml:space="preserve">0106526273  </v>
      </c>
      <c r="E19360" t="s">
        <v>2896</v>
      </c>
      <c r="F19360" t="s">
        <v>2897</v>
      </c>
      <c r="G19360">
        <v>19.38</v>
      </c>
      <c r="H19360">
        <v>251219</v>
      </c>
      <c r="I19360">
        <v>4510</v>
      </c>
      <c r="J19360" t="s">
        <v>240</v>
      </c>
      <c r="K19360">
        <v>3193.45</v>
      </c>
      <c r="L19360">
        <v>2.38</v>
      </c>
      <c r="M19360">
        <v>14121</v>
      </c>
      <c r="N19360" t="s">
        <v>71</v>
      </c>
      <c r="O19360">
        <v>251230</v>
      </c>
      <c r="P19360">
        <v>17</v>
      </c>
    </row>
    <row r="19361" spans="1:16" x14ac:dyDescent="0.25">
      <c r="A19361" t="s">
        <v>3296</v>
      </c>
      <c r="B19361" t="s">
        <v>2931</v>
      </c>
      <c r="C19361">
        <v>17819</v>
      </c>
      <c r="D19361" t="str">
        <f>"0106526273  "</f>
        <v xml:space="preserve">0106526273  </v>
      </c>
      <c r="E19361" t="s">
        <v>2896</v>
      </c>
      <c r="F19361" t="s">
        <v>2897</v>
      </c>
      <c r="G19361">
        <v>54.01</v>
      </c>
      <c r="H19361">
        <v>251219</v>
      </c>
      <c r="I19361">
        <v>4510</v>
      </c>
      <c r="J19361" t="s">
        <v>240</v>
      </c>
      <c r="K19361">
        <v>3193.45</v>
      </c>
      <c r="L19361">
        <v>6.63</v>
      </c>
      <c r="M19361">
        <v>14121</v>
      </c>
      <c r="N19361" t="s">
        <v>71</v>
      </c>
      <c r="O19361">
        <v>251230</v>
      </c>
      <c r="P19361">
        <v>47.38</v>
      </c>
    </row>
    <row r="19362" spans="1:16" x14ac:dyDescent="0.25">
      <c r="A19362" t="s">
        <v>3296</v>
      </c>
      <c r="B19362" t="s">
        <v>2931</v>
      </c>
      <c r="C19362">
        <v>17819</v>
      </c>
      <c r="D19362" t="str">
        <f>"0106526273  "</f>
        <v xml:space="preserve">0106526273  </v>
      </c>
      <c r="E19362" t="s">
        <v>2896</v>
      </c>
      <c r="F19362" t="s">
        <v>2897</v>
      </c>
      <c r="G19362">
        <v>54.01</v>
      </c>
      <c r="H19362">
        <v>251219</v>
      </c>
      <c r="I19362">
        <v>4510</v>
      </c>
      <c r="J19362" t="s">
        <v>240</v>
      </c>
      <c r="K19362">
        <v>3193.45</v>
      </c>
      <c r="L19362">
        <v>6.63</v>
      </c>
      <c r="M19362">
        <v>14321</v>
      </c>
      <c r="N19362" t="s">
        <v>72</v>
      </c>
      <c r="O19362">
        <v>251230</v>
      </c>
      <c r="P19362">
        <v>47.38</v>
      </c>
    </row>
    <row r="19363" spans="1:16" x14ac:dyDescent="0.25">
      <c r="A19363" t="s">
        <v>3296</v>
      </c>
      <c r="B19363" t="s">
        <v>2931</v>
      </c>
      <c r="C19363">
        <v>17819</v>
      </c>
      <c r="D19363" t="str">
        <f>"0106526273  "</f>
        <v xml:space="preserve">0106526273  </v>
      </c>
      <c r="E19363" t="s">
        <v>2896</v>
      </c>
      <c r="F19363" t="s">
        <v>2897</v>
      </c>
      <c r="G19363">
        <v>56.61</v>
      </c>
      <c r="H19363">
        <v>251219</v>
      </c>
      <c r="I19363">
        <v>4510</v>
      </c>
      <c r="J19363" t="s">
        <v>240</v>
      </c>
      <c r="K19363">
        <v>3193.45</v>
      </c>
      <c r="L19363">
        <v>6.95</v>
      </c>
      <c r="M19363">
        <v>14622</v>
      </c>
      <c r="N19363" t="s">
        <v>77</v>
      </c>
      <c r="O19363">
        <v>251230</v>
      </c>
      <c r="P19363">
        <v>49.66</v>
      </c>
    </row>
    <row r="19364" spans="1:16" x14ac:dyDescent="0.25">
      <c r="A19364" t="s">
        <v>3296</v>
      </c>
      <c r="B19364" t="s">
        <v>2931</v>
      </c>
      <c r="C19364">
        <v>17819</v>
      </c>
      <c r="D19364" t="str">
        <f>"0106526273  "</f>
        <v xml:space="preserve">0106526273  </v>
      </c>
      <c r="E19364" t="s">
        <v>2896</v>
      </c>
      <c r="F19364" t="s">
        <v>2897</v>
      </c>
      <c r="G19364">
        <v>129.44</v>
      </c>
      <c r="H19364">
        <v>251219</v>
      </c>
      <c r="I19364">
        <v>4510</v>
      </c>
      <c r="J19364" t="s">
        <v>240</v>
      </c>
      <c r="K19364">
        <v>3193.45</v>
      </c>
      <c r="L19364">
        <v>15.9</v>
      </c>
      <c r="M19364">
        <v>14640</v>
      </c>
      <c r="N19364" t="s">
        <v>78</v>
      </c>
      <c r="O19364">
        <v>251230</v>
      </c>
      <c r="P19364">
        <v>113.54</v>
      </c>
    </row>
    <row r="19365" spans="1:16" x14ac:dyDescent="0.25">
      <c r="A19365" t="s">
        <v>3296</v>
      </c>
      <c r="B19365" t="s">
        <v>2931</v>
      </c>
      <c r="C19365">
        <v>470</v>
      </c>
      <c r="D19365" t="str">
        <f>"0106403543  "</f>
        <v xml:space="preserve">0106403543  </v>
      </c>
      <c r="E19365" t="s">
        <v>2896</v>
      </c>
      <c r="F19365" t="s">
        <v>2897</v>
      </c>
      <c r="G19365">
        <v>48.57</v>
      </c>
      <c r="H19365">
        <v>250114</v>
      </c>
      <c r="I19365">
        <v>4600</v>
      </c>
      <c r="J19365" t="s">
        <v>278</v>
      </c>
      <c r="K19365">
        <v>217.71</v>
      </c>
      <c r="L19365">
        <v>9.8699999999999992</v>
      </c>
      <c r="M19365">
        <v>49702</v>
      </c>
      <c r="N19365" t="s">
        <v>112</v>
      </c>
      <c r="O19365">
        <v>250123</v>
      </c>
      <c r="P19365">
        <v>38.700000000000003</v>
      </c>
    </row>
    <row r="19366" spans="1:16" x14ac:dyDescent="0.25">
      <c r="A19366" t="s">
        <v>3296</v>
      </c>
      <c r="B19366" t="s">
        <v>2931</v>
      </c>
      <c r="C19366">
        <v>15611</v>
      </c>
      <c r="D19366" t="str">
        <f>"0106509257  "</f>
        <v xml:space="preserve">0106509257  </v>
      </c>
      <c r="E19366" t="s">
        <v>2896</v>
      </c>
      <c r="F19366" t="s">
        <v>2897</v>
      </c>
      <c r="G19366">
        <v>45</v>
      </c>
      <c r="H19366">
        <v>251114</v>
      </c>
      <c r="I19366">
        <v>4600</v>
      </c>
      <c r="J19366" t="s">
        <v>278</v>
      </c>
      <c r="K19366">
        <v>45</v>
      </c>
      <c r="L19366">
        <v>0</v>
      </c>
      <c r="M19366">
        <v>17538</v>
      </c>
      <c r="N19366" t="s">
        <v>129</v>
      </c>
      <c r="O19366">
        <v>251121</v>
      </c>
      <c r="P19366">
        <v>45</v>
      </c>
    </row>
    <row r="19367" spans="1:16" x14ac:dyDescent="0.25">
      <c r="A19367" t="s">
        <v>3296</v>
      </c>
      <c r="B19367" t="s">
        <v>2931</v>
      </c>
      <c r="C19367">
        <v>13202</v>
      </c>
      <c r="D19367" t="str">
        <f>"0106490187  "</f>
        <v xml:space="preserve">0106490187  </v>
      </c>
      <c r="E19367" t="s">
        <v>2896</v>
      </c>
      <c r="F19367" t="s">
        <v>2897</v>
      </c>
      <c r="G19367">
        <v>87.1</v>
      </c>
      <c r="H19367">
        <v>250923</v>
      </c>
      <c r="I19367">
        <v>4800</v>
      </c>
      <c r="J19367" t="s">
        <v>2919</v>
      </c>
      <c r="K19367">
        <v>87.1</v>
      </c>
      <c r="L19367">
        <v>10.7</v>
      </c>
      <c r="M19367">
        <v>18995</v>
      </c>
      <c r="N19367" t="s">
        <v>2317</v>
      </c>
      <c r="O19367">
        <v>251006</v>
      </c>
      <c r="P19367">
        <v>76.400000000000006</v>
      </c>
    </row>
    <row r="19368" spans="1:16" x14ac:dyDescent="0.25">
      <c r="A19368" t="s">
        <v>3296</v>
      </c>
      <c r="B19368" t="s">
        <v>2931</v>
      </c>
      <c r="C19368">
        <v>470</v>
      </c>
      <c r="D19368" t="str">
        <f>"0106403543  "</f>
        <v xml:space="preserve">0106403543  </v>
      </c>
      <c r="E19368" t="s">
        <v>2896</v>
      </c>
      <c r="F19368" t="s">
        <v>2897</v>
      </c>
      <c r="G19368">
        <v>17.14</v>
      </c>
      <c r="H19368">
        <v>250114</v>
      </c>
      <c r="I19368">
        <v>4820</v>
      </c>
      <c r="J19368" t="s">
        <v>169</v>
      </c>
      <c r="K19368">
        <v>217.71</v>
      </c>
      <c r="L19368">
        <v>3.48</v>
      </c>
      <c r="M19368">
        <v>49702</v>
      </c>
      <c r="N19368" t="s">
        <v>112</v>
      </c>
      <c r="O19368">
        <v>250123</v>
      </c>
      <c r="P19368">
        <v>13.66</v>
      </c>
    </row>
    <row r="19369" spans="1:16" x14ac:dyDescent="0.25">
      <c r="A19369" t="s">
        <v>3296</v>
      </c>
      <c r="B19369" t="s">
        <v>2931</v>
      </c>
      <c r="C19369">
        <v>8188</v>
      </c>
      <c r="D19369" t="str">
        <f>"0106437159  "</f>
        <v xml:space="preserve">0106437159  </v>
      </c>
      <c r="E19369" t="s">
        <v>2896</v>
      </c>
      <c r="F19369" t="s">
        <v>2897</v>
      </c>
      <c r="G19369">
        <v>300</v>
      </c>
      <c r="H19369">
        <v>250527</v>
      </c>
      <c r="I19369">
        <v>4820</v>
      </c>
      <c r="J19369" t="s">
        <v>169</v>
      </c>
      <c r="K19369">
        <v>300</v>
      </c>
      <c r="L19369">
        <v>60.96</v>
      </c>
      <c r="M19369">
        <v>13901</v>
      </c>
      <c r="N19369" t="s">
        <v>116</v>
      </c>
      <c r="O19369">
        <v>250612</v>
      </c>
      <c r="P19369">
        <v>239.04</v>
      </c>
    </row>
    <row r="19370" spans="1:16" x14ac:dyDescent="0.25">
      <c r="A19370" t="s">
        <v>3296</v>
      </c>
      <c r="B19370" t="s">
        <v>2931</v>
      </c>
      <c r="C19370">
        <v>1059</v>
      </c>
      <c r="D19370" t="str">
        <f>"0106404201  "</f>
        <v xml:space="preserve">0106404201  </v>
      </c>
      <c r="E19370" t="s">
        <v>2896</v>
      </c>
      <c r="F19370" t="s">
        <v>2897</v>
      </c>
      <c r="G19370">
        <v>75</v>
      </c>
      <c r="H19370">
        <v>250115</v>
      </c>
      <c r="I19370">
        <v>4940</v>
      </c>
      <c r="J19370" t="s">
        <v>250</v>
      </c>
      <c r="K19370">
        <v>150</v>
      </c>
      <c r="L19370">
        <v>0</v>
      </c>
      <c r="M19370">
        <v>14432</v>
      </c>
      <c r="N19370" t="s">
        <v>75</v>
      </c>
      <c r="O19370">
        <v>250204</v>
      </c>
      <c r="P19370">
        <v>75</v>
      </c>
    </row>
    <row r="19371" spans="1:16" x14ac:dyDescent="0.25">
      <c r="A19371" t="s">
        <v>3296</v>
      </c>
      <c r="B19371" t="s">
        <v>2931</v>
      </c>
      <c r="C19371">
        <v>1059</v>
      </c>
      <c r="D19371" t="str">
        <f>"0106404201  "</f>
        <v xml:space="preserve">0106404201  </v>
      </c>
      <c r="E19371" t="s">
        <v>2896</v>
      </c>
      <c r="F19371" t="s">
        <v>2897</v>
      </c>
      <c r="G19371">
        <v>75</v>
      </c>
      <c r="H19371">
        <v>250115</v>
      </c>
      <c r="I19371">
        <v>4940</v>
      </c>
      <c r="J19371" t="s">
        <v>250</v>
      </c>
      <c r="K19371">
        <v>150</v>
      </c>
      <c r="L19371">
        <v>0</v>
      </c>
      <c r="M19371">
        <v>14912</v>
      </c>
      <c r="N19371" t="s">
        <v>80</v>
      </c>
      <c r="O19371">
        <v>250204</v>
      </c>
      <c r="P19371">
        <v>75</v>
      </c>
    </row>
    <row r="19372" spans="1:16" x14ac:dyDescent="0.25">
      <c r="A19372" t="s">
        <v>3296</v>
      </c>
      <c r="B19372" t="s">
        <v>2931</v>
      </c>
      <c r="C19372">
        <v>2272</v>
      </c>
      <c r="D19372" t="str">
        <f>"0106413500  "</f>
        <v xml:space="preserve">0106413500  </v>
      </c>
      <c r="E19372" t="s">
        <v>2896</v>
      </c>
      <c r="F19372" t="s">
        <v>2897</v>
      </c>
      <c r="G19372">
        <v>150</v>
      </c>
      <c r="H19372">
        <v>250206</v>
      </c>
      <c r="I19372">
        <v>4940</v>
      </c>
      <c r="J19372" t="s">
        <v>250</v>
      </c>
      <c r="K19372">
        <v>150</v>
      </c>
      <c r="L19372">
        <v>0</v>
      </c>
      <c r="M19372">
        <v>14972</v>
      </c>
      <c r="N19372" t="s">
        <v>82</v>
      </c>
      <c r="O19372">
        <v>250224</v>
      </c>
      <c r="P19372">
        <v>150</v>
      </c>
    </row>
    <row r="19373" spans="1:16" x14ac:dyDescent="0.25">
      <c r="A19373" t="s">
        <v>3296</v>
      </c>
      <c r="B19373" t="s">
        <v>2931</v>
      </c>
      <c r="C19373">
        <v>2274</v>
      </c>
      <c r="D19373" t="str">
        <f>"0106413501  "</f>
        <v xml:space="preserve">0106413501  </v>
      </c>
      <c r="E19373" t="s">
        <v>2896</v>
      </c>
      <c r="F19373" t="s">
        <v>2897</v>
      </c>
      <c r="G19373">
        <v>150</v>
      </c>
      <c r="H19373">
        <v>250206</v>
      </c>
      <c r="I19373">
        <v>4940</v>
      </c>
      <c r="J19373" t="s">
        <v>250</v>
      </c>
      <c r="K19373">
        <v>150</v>
      </c>
      <c r="L19373">
        <v>0</v>
      </c>
      <c r="M19373">
        <v>14972</v>
      </c>
      <c r="N19373" t="s">
        <v>82</v>
      </c>
      <c r="O19373">
        <v>250224</v>
      </c>
      <c r="P19373">
        <v>150</v>
      </c>
    </row>
    <row r="19374" spans="1:16" x14ac:dyDescent="0.25">
      <c r="A19374" t="s">
        <v>3296</v>
      </c>
      <c r="B19374" t="s">
        <v>2931</v>
      </c>
      <c r="C19374">
        <v>2275</v>
      </c>
      <c r="D19374" t="str">
        <f>"0106413502  "</f>
        <v xml:space="preserve">0106413502  </v>
      </c>
      <c r="E19374" t="s">
        <v>2896</v>
      </c>
      <c r="F19374" t="s">
        <v>2897</v>
      </c>
      <c r="G19374">
        <v>150</v>
      </c>
      <c r="H19374">
        <v>250206</v>
      </c>
      <c r="I19374">
        <v>4940</v>
      </c>
      <c r="J19374" t="s">
        <v>250</v>
      </c>
      <c r="K19374">
        <v>150</v>
      </c>
      <c r="L19374">
        <v>0</v>
      </c>
      <c r="M19374">
        <v>14972</v>
      </c>
      <c r="N19374" t="s">
        <v>82</v>
      </c>
      <c r="O19374">
        <v>250224</v>
      </c>
      <c r="P19374">
        <v>150</v>
      </c>
    </row>
    <row r="19375" spans="1:16" x14ac:dyDescent="0.25">
      <c r="A19375" t="s">
        <v>3296</v>
      </c>
      <c r="B19375" t="s">
        <v>2931</v>
      </c>
      <c r="C19375">
        <v>17222</v>
      </c>
      <c r="D19375" t="str">
        <f>"8906        "</f>
        <v xml:space="preserve">8906        </v>
      </c>
      <c r="E19375" t="s">
        <v>3193</v>
      </c>
      <c r="F19375" t="s">
        <v>3194</v>
      </c>
      <c r="G19375">
        <v>300</v>
      </c>
      <c r="H19375">
        <v>251216</v>
      </c>
      <c r="I19375">
        <v>4440</v>
      </c>
      <c r="J19375" t="s">
        <v>346</v>
      </c>
      <c r="K19375">
        <v>300</v>
      </c>
      <c r="L19375">
        <v>0</v>
      </c>
      <c r="M19375">
        <v>44222</v>
      </c>
      <c r="N19375" t="s">
        <v>96</v>
      </c>
      <c r="O19375">
        <v>251218</v>
      </c>
      <c r="P19375">
        <v>300</v>
      </c>
    </row>
    <row r="19376" spans="1:16" x14ac:dyDescent="0.25">
      <c r="A19376" t="s">
        <v>3296</v>
      </c>
      <c r="B19376" t="s">
        <v>2931</v>
      </c>
      <c r="C19376">
        <v>17350</v>
      </c>
      <c r="D19376" t="str">
        <f>"8919        "</f>
        <v xml:space="preserve">8919        </v>
      </c>
      <c r="E19376" t="s">
        <v>3193</v>
      </c>
      <c r="F19376" t="s">
        <v>3194</v>
      </c>
      <c r="G19376">
        <v>210.78</v>
      </c>
      <c r="H19376">
        <v>251217</v>
      </c>
      <c r="I19376">
        <v>4440</v>
      </c>
      <c r="J19376" t="s">
        <v>346</v>
      </c>
      <c r="K19376">
        <v>210.78</v>
      </c>
      <c r="L19376">
        <v>0</v>
      </c>
      <c r="M19376">
        <v>13501</v>
      </c>
      <c r="N19376" t="s">
        <v>66</v>
      </c>
      <c r="O19376">
        <v>251219</v>
      </c>
      <c r="P19376">
        <v>210.78</v>
      </c>
    </row>
    <row r="19377" spans="1:16" x14ac:dyDescent="0.25">
      <c r="A19377" t="s">
        <v>3296</v>
      </c>
      <c r="B19377" t="s">
        <v>2931</v>
      </c>
      <c r="C19377">
        <v>17377</v>
      </c>
      <c r="D19377" t="str">
        <f>"8911        "</f>
        <v xml:space="preserve">8911        </v>
      </c>
      <c r="E19377" t="s">
        <v>3193</v>
      </c>
      <c r="F19377" t="s">
        <v>3194</v>
      </c>
      <c r="G19377">
        <v>440</v>
      </c>
      <c r="H19377">
        <v>251216</v>
      </c>
      <c r="I19377">
        <v>4440</v>
      </c>
      <c r="J19377" t="s">
        <v>346</v>
      </c>
      <c r="K19377">
        <v>440</v>
      </c>
      <c r="L19377">
        <v>0</v>
      </c>
      <c r="M19377">
        <v>14622</v>
      </c>
      <c r="N19377" t="s">
        <v>77</v>
      </c>
      <c r="O19377">
        <v>251219</v>
      </c>
      <c r="P19377">
        <v>440</v>
      </c>
    </row>
    <row r="19378" spans="1:16" x14ac:dyDescent="0.25">
      <c r="A19378" t="s">
        <v>3296</v>
      </c>
      <c r="B19378" t="s">
        <v>2931</v>
      </c>
      <c r="C19378">
        <v>3506</v>
      </c>
      <c r="D19378" t="str">
        <f>"30252       "</f>
        <v xml:space="preserve">30252       </v>
      </c>
      <c r="E19378" t="s">
        <v>1445</v>
      </c>
      <c r="F19378" t="s">
        <v>1446</v>
      </c>
      <c r="G19378">
        <v>332</v>
      </c>
      <c r="H19378">
        <v>250314</v>
      </c>
      <c r="I19378">
        <v>4580</v>
      </c>
      <c r="J19378" t="s">
        <v>126</v>
      </c>
      <c r="K19378">
        <v>332</v>
      </c>
      <c r="L19378">
        <v>67.459999999999994</v>
      </c>
      <c r="M19378">
        <v>14971</v>
      </c>
      <c r="N19378" t="s">
        <v>81</v>
      </c>
      <c r="O19378">
        <v>250325</v>
      </c>
      <c r="P19378">
        <v>264.54000000000002</v>
      </c>
    </row>
    <row r="19379" spans="1:16" x14ac:dyDescent="0.25">
      <c r="A19379" t="s">
        <v>3296</v>
      </c>
      <c r="B19379" t="s">
        <v>2931</v>
      </c>
      <c r="C19379">
        <v>15169</v>
      </c>
      <c r="D19379" t="str">
        <f>"9310048330  "</f>
        <v xml:space="preserve">9310048330  </v>
      </c>
      <c r="E19379" t="s">
        <v>2963</v>
      </c>
      <c r="F19379" t="s">
        <v>2964</v>
      </c>
      <c r="G19379">
        <v>275</v>
      </c>
      <c r="H19379">
        <v>251107</v>
      </c>
      <c r="I19379">
        <v>4346</v>
      </c>
      <c r="J19379" t="s">
        <v>334</v>
      </c>
      <c r="K19379">
        <v>275</v>
      </c>
      <c r="L19379">
        <v>0</v>
      </c>
      <c r="M19379">
        <v>13901</v>
      </c>
      <c r="N19379" t="s">
        <v>116</v>
      </c>
      <c r="O19379">
        <v>251113</v>
      </c>
      <c r="P19379">
        <v>275</v>
      </c>
    </row>
    <row r="19380" spans="1:16" x14ac:dyDescent="0.25">
      <c r="A19380" t="s">
        <v>3296</v>
      </c>
      <c r="B19380" t="s">
        <v>2931</v>
      </c>
      <c r="C19380">
        <v>9397</v>
      </c>
      <c r="D19380" t="str">
        <f>"9310046366  "</f>
        <v xml:space="preserve">9310046366  </v>
      </c>
      <c r="E19380" t="s">
        <v>2963</v>
      </c>
      <c r="F19380" t="s">
        <v>2964</v>
      </c>
      <c r="G19380">
        <v>462</v>
      </c>
      <c r="H19380">
        <v>250630</v>
      </c>
      <c r="I19380">
        <v>4440</v>
      </c>
      <c r="J19380" t="s">
        <v>346</v>
      </c>
      <c r="K19380">
        <v>462</v>
      </c>
      <c r="L19380">
        <v>0</v>
      </c>
      <c r="M19380">
        <v>13901</v>
      </c>
      <c r="N19380" t="s">
        <v>116</v>
      </c>
      <c r="O19380">
        <v>250707</v>
      </c>
      <c r="P19380">
        <v>462</v>
      </c>
    </row>
    <row r="19381" spans="1:16" x14ac:dyDescent="0.25">
      <c r="A19381" t="s">
        <v>3296</v>
      </c>
      <c r="B19381" t="s">
        <v>2931</v>
      </c>
      <c r="C19381">
        <v>455</v>
      </c>
      <c r="D19381" t="str">
        <f>"9310044018  "</f>
        <v xml:space="preserve">9310044018  </v>
      </c>
      <c r="E19381" t="s">
        <v>2963</v>
      </c>
      <c r="F19381" t="s">
        <v>2964</v>
      </c>
      <c r="G19381">
        <v>4128.5</v>
      </c>
      <c r="H19381">
        <v>250201</v>
      </c>
      <c r="I19381">
        <v>4820</v>
      </c>
      <c r="J19381" t="s">
        <v>169</v>
      </c>
      <c r="K19381">
        <v>4128.5</v>
      </c>
      <c r="L19381">
        <v>0</v>
      </c>
      <c r="M19381">
        <v>13921</v>
      </c>
      <c r="N19381" t="s">
        <v>325</v>
      </c>
      <c r="O19381">
        <v>250122</v>
      </c>
      <c r="P19381">
        <v>4128.5</v>
      </c>
    </row>
    <row r="19382" spans="1:16" x14ac:dyDescent="0.25">
      <c r="A19382" t="s">
        <v>3296</v>
      </c>
      <c r="B19382" t="s">
        <v>2931</v>
      </c>
      <c r="C19382">
        <v>794</v>
      </c>
      <c r="D19382" t="str">
        <f>"9310044019  "</f>
        <v xml:space="preserve">9310044019  </v>
      </c>
      <c r="E19382" t="s">
        <v>2963</v>
      </c>
      <c r="F19382" t="s">
        <v>2964</v>
      </c>
      <c r="G19382">
        <v>5371.2</v>
      </c>
      <c r="H19382">
        <v>250201</v>
      </c>
      <c r="I19382">
        <v>4820</v>
      </c>
      <c r="J19382" t="s">
        <v>169</v>
      </c>
      <c r="K19382">
        <v>34344.42</v>
      </c>
      <c r="L19382">
        <v>0</v>
      </c>
      <c r="M19382">
        <v>13913</v>
      </c>
      <c r="N19382" t="s">
        <v>2995</v>
      </c>
      <c r="O19382">
        <v>250129</v>
      </c>
      <c r="P19382">
        <v>5371.2</v>
      </c>
    </row>
    <row r="19383" spans="1:16" x14ac:dyDescent="0.25">
      <c r="A19383" t="s">
        <v>3296</v>
      </c>
      <c r="B19383" t="s">
        <v>2931</v>
      </c>
      <c r="C19383">
        <v>794</v>
      </c>
      <c r="D19383" t="str">
        <f>"9310044019  "</f>
        <v xml:space="preserve">9310044019  </v>
      </c>
      <c r="E19383" t="s">
        <v>2963</v>
      </c>
      <c r="F19383" t="s">
        <v>2964</v>
      </c>
      <c r="G19383">
        <v>20697.79</v>
      </c>
      <c r="H19383">
        <v>250201</v>
      </c>
      <c r="I19383">
        <v>4820</v>
      </c>
      <c r="J19383" t="s">
        <v>169</v>
      </c>
      <c r="K19383">
        <v>34344.42</v>
      </c>
      <c r="L19383">
        <v>0</v>
      </c>
      <c r="M19383">
        <v>13921</v>
      </c>
      <c r="N19383" t="s">
        <v>325</v>
      </c>
      <c r="O19383">
        <v>250129</v>
      </c>
      <c r="P19383">
        <v>20697.79</v>
      </c>
    </row>
    <row r="19384" spans="1:16" x14ac:dyDescent="0.25">
      <c r="A19384" t="s">
        <v>3296</v>
      </c>
      <c r="B19384" t="s">
        <v>2931</v>
      </c>
      <c r="C19384">
        <v>794</v>
      </c>
      <c r="D19384" t="str">
        <f>"9310044019  "</f>
        <v xml:space="preserve">9310044019  </v>
      </c>
      <c r="E19384" t="s">
        <v>2963</v>
      </c>
      <c r="F19384" t="s">
        <v>2964</v>
      </c>
      <c r="G19384">
        <v>8275.43</v>
      </c>
      <c r="H19384">
        <v>250201</v>
      </c>
      <c r="I19384">
        <v>4820</v>
      </c>
      <c r="J19384" t="s">
        <v>169</v>
      </c>
      <c r="K19384">
        <v>34344.42</v>
      </c>
      <c r="L19384">
        <v>0</v>
      </c>
      <c r="M19384">
        <v>17958</v>
      </c>
      <c r="N19384" t="s">
        <v>327</v>
      </c>
      <c r="O19384">
        <v>250129</v>
      </c>
      <c r="P19384">
        <v>8275.43</v>
      </c>
    </row>
    <row r="19385" spans="1:16" x14ac:dyDescent="0.25">
      <c r="A19385" t="s">
        <v>3296</v>
      </c>
      <c r="B19385" t="s">
        <v>2931</v>
      </c>
      <c r="C19385">
        <v>2911</v>
      </c>
      <c r="D19385" t="str">
        <f>"9310044612  "</f>
        <v xml:space="preserve">9310044612  </v>
      </c>
      <c r="E19385" t="s">
        <v>2963</v>
      </c>
      <c r="F19385" t="s">
        <v>2964</v>
      </c>
      <c r="G19385">
        <v>5371.2</v>
      </c>
      <c r="H19385">
        <v>250301</v>
      </c>
      <c r="I19385">
        <v>4820</v>
      </c>
      <c r="J19385" t="s">
        <v>169</v>
      </c>
      <c r="K19385">
        <v>38472.92</v>
      </c>
      <c r="L19385">
        <v>0</v>
      </c>
      <c r="M19385">
        <v>13913</v>
      </c>
      <c r="N19385" t="s">
        <v>2995</v>
      </c>
      <c r="O19385">
        <v>250313</v>
      </c>
      <c r="P19385">
        <v>5371.2</v>
      </c>
    </row>
    <row r="19386" spans="1:16" x14ac:dyDescent="0.25">
      <c r="A19386" t="s">
        <v>3296</v>
      </c>
      <c r="B19386" t="s">
        <v>2931</v>
      </c>
      <c r="C19386">
        <v>2911</v>
      </c>
      <c r="D19386" t="str">
        <f>"9310044612  "</f>
        <v xml:space="preserve">9310044612  </v>
      </c>
      <c r="E19386" t="s">
        <v>2963</v>
      </c>
      <c r="F19386" t="s">
        <v>2964</v>
      </c>
      <c r="G19386">
        <v>24826.29</v>
      </c>
      <c r="H19386">
        <v>250301</v>
      </c>
      <c r="I19386">
        <v>4820</v>
      </c>
      <c r="J19386" t="s">
        <v>169</v>
      </c>
      <c r="K19386">
        <v>38472.92</v>
      </c>
      <c r="L19386">
        <v>0</v>
      </c>
      <c r="M19386">
        <v>13921</v>
      </c>
      <c r="N19386" t="s">
        <v>325</v>
      </c>
      <c r="O19386">
        <v>250313</v>
      </c>
      <c r="P19386">
        <v>24826.29</v>
      </c>
    </row>
    <row r="19387" spans="1:16" x14ac:dyDescent="0.25">
      <c r="A19387" t="s">
        <v>3296</v>
      </c>
      <c r="B19387" t="s">
        <v>2931</v>
      </c>
      <c r="C19387">
        <v>2911</v>
      </c>
      <c r="D19387" t="str">
        <f>"9310044612  "</f>
        <v xml:space="preserve">9310044612  </v>
      </c>
      <c r="E19387" t="s">
        <v>2963</v>
      </c>
      <c r="F19387" t="s">
        <v>2964</v>
      </c>
      <c r="G19387">
        <v>8275.43</v>
      </c>
      <c r="H19387">
        <v>250301</v>
      </c>
      <c r="I19387">
        <v>4820</v>
      </c>
      <c r="J19387" t="s">
        <v>169</v>
      </c>
      <c r="K19387">
        <v>38472.92</v>
      </c>
      <c r="L19387">
        <v>0</v>
      </c>
      <c r="M19387">
        <v>17958</v>
      </c>
      <c r="N19387" t="s">
        <v>327</v>
      </c>
      <c r="O19387">
        <v>250313</v>
      </c>
      <c r="P19387">
        <v>8275.43</v>
      </c>
    </row>
    <row r="19388" spans="1:16" x14ac:dyDescent="0.25">
      <c r="A19388" t="s">
        <v>3296</v>
      </c>
      <c r="B19388" t="s">
        <v>2931</v>
      </c>
      <c r="C19388">
        <v>4548</v>
      </c>
      <c r="D19388" t="str">
        <f>"9310045030  "</f>
        <v xml:space="preserve">9310045030  </v>
      </c>
      <c r="E19388" t="s">
        <v>2963</v>
      </c>
      <c r="F19388" t="s">
        <v>2964</v>
      </c>
      <c r="G19388">
        <v>5366.97</v>
      </c>
      <c r="H19388">
        <v>250401</v>
      </c>
      <c r="I19388">
        <v>4820</v>
      </c>
      <c r="J19388" t="s">
        <v>169</v>
      </c>
      <c r="K19388">
        <v>38472.92</v>
      </c>
      <c r="L19388">
        <v>0</v>
      </c>
      <c r="M19388">
        <v>13913</v>
      </c>
      <c r="N19388" t="s">
        <v>2995</v>
      </c>
      <c r="O19388">
        <v>250414</v>
      </c>
      <c r="P19388">
        <v>5366.97</v>
      </c>
    </row>
    <row r="19389" spans="1:16" x14ac:dyDescent="0.25">
      <c r="A19389" t="s">
        <v>3296</v>
      </c>
      <c r="B19389" t="s">
        <v>2931</v>
      </c>
      <c r="C19389">
        <v>4548</v>
      </c>
      <c r="D19389" t="str">
        <f>"9310045030  "</f>
        <v xml:space="preserve">9310045030  </v>
      </c>
      <c r="E19389" t="s">
        <v>2963</v>
      </c>
      <c r="F19389" t="s">
        <v>2964</v>
      </c>
      <c r="G19389">
        <v>24826.58</v>
      </c>
      <c r="H19389">
        <v>250401</v>
      </c>
      <c r="I19389">
        <v>4820</v>
      </c>
      <c r="J19389" t="s">
        <v>169</v>
      </c>
      <c r="K19389">
        <v>38472.92</v>
      </c>
      <c r="L19389">
        <v>0</v>
      </c>
      <c r="M19389">
        <v>13921</v>
      </c>
      <c r="N19389" t="s">
        <v>325</v>
      </c>
      <c r="O19389">
        <v>250414</v>
      </c>
      <c r="P19389">
        <v>24826.58</v>
      </c>
    </row>
    <row r="19390" spans="1:16" x14ac:dyDescent="0.25">
      <c r="A19390" t="s">
        <v>3296</v>
      </c>
      <c r="B19390" t="s">
        <v>2931</v>
      </c>
      <c r="C19390">
        <v>4548</v>
      </c>
      <c r="D19390" t="str">
        <f>"9310045030  "</f>
        <v xml:space="preserve">9310045030  </v>
      </c>
      <c r="E19390" t="s">
        <v>2963</v>
      </c>
      <c r="F19390" t="s">
        <v>2964</v>
      </c>
      <c r="G19390">
        <v>8279.3700000000008</v>
      </c>
      <c r="H19390">
        <v>250401</v>
      </c>
      <c r="I19390">
        <v>4820</v>
      </c>
      <c r="J19390" t="s">
        <v>169</v>
      </c>
      <c r="K19390">
        <v>38472.92</v>
      </c>
      <c r="L19390">
        <v>0</v>
      </c>
      <c r="M19390">
        <v>17958</v>
      </c>
      <c r="N19390" t="s">
        <v>327</v>
      </c>
      <c r="O19390">
        <v>250414</v>
      </c>
      <c r="P19390">
        <v>8279.3700000000008</v>
      </c>
    </row>
    <row r="19391" spans="1:16" x14ac:dyDescent="0.25">
      <c r="A19391" t="s">
        <v>3296</v>
      </c>
      <c r="B19391" t="s">
        <v>2931</v>
      </c>
      <c r="C19391">
        <v>5719</v>
      </c>
      <c r="D19391" t="str">
        <f>"9310045373  "</f>
        <v xml:space="preserve">9310045373  </v>
      </c>
      <c r="E19391" t="s">
        <v>2963</v>
      </c>
      <c r="F19391" t="s">
        <v>2964</v>
      </c>
      <c r="G19391">
        <v>5366.97</v>
      </c>
      <c r="H19391">
        <v>250501</v>
      </c>
      <c r="I19391">
        <v>4820</v>
      </c>
      <c r="J19391" t="s">
        <v>169</v>
      </c>
      <c r="K19391">
        <v>38472.92</v>
      </c>
      <c r="L19391">
        <v>0</v>
      </c>
      <c r="M19391">
        <v>13913</v>
      </c>
      <c r="N19391" t="s">
        <v>2995</v>
      </c>
      <c r="O19391">
        <v>250429</v>
      </c>
      <c r="P19391">
        <v>5366.97</v>
      </c>
    </row>
    <row r="19392" spans="1:16" x14ac:dyDescent="0.25">
      <c r="A19392" t="s">
        <v>3296</v>
      </c>
      <c r="B19392" t="s">
        <v>2931</v>
      </c>
      <c r="C19392">
        <v>5719</v>
      </c>
      <c r="D19392" t="str">
        <f>"9310045373  "</f>
        <v xml:space="preserve">9310045373  </v>
      </c>
      <c r="E19392" t="s">
        <v>2963</v>
      </c>
      <c r="F19392" t="s">
        <v>2964</v>
      </c>
      <c r="G19392">
        <v>24826.58</v>
      </c>
      <c r="H19392">
        <v>250501</v>
      </c>
      <c r="I19392">
        <v>4820</v>
      </c>
      <c r="J19392" t="s">
        <v>169</v>
      </c>
      <c r="K19392">
        <v>38472.92</v>
      </c>
      <c r="L19392">
        <v>0</v>
      </c>
      <c r="M19392">
        <v>13921</v>
      </c>
      <c r="N19392" t="s">
        <v>325</v>
      </c>
      <c r="O19392">
        <v>250429</v>
      </c>
      <c r="P19392">
        <v>24826.58</v>
      </c>
    </row>
    <row r="19393" spans="1:16" x14ac:dyDescent="0.25">
      <c r="A19393" t="s">
        <v>3296</v>
      </c>
      <c r="B19393" t="s">
        <v>2931</v>
      </c>
      <c r="C19393">
        <v>5719</v>
      </c>
      <c r="D19393" t="str">
        <f>"9310045373  "</f>
        <v xml:space="preserve">9310045373  </v>
      </c>
      <c r="E19393" t="s">
        <v>2963</v>
      </c>
      <c r="F19393" t="s">
        <v>2964</v>
      </c>
      <c r="G19393">
        <v>8279.3700000000008</v>
      </c>
      <c r="H19393">
        <v>250501</v>
      </c>
      <c r="I19393">
        <v>4820</v>
      </c>
      <c r="J19393" t="s">
        <v>169</v>
      </c>
      <c r="K19393">
        <v>38472.92</v>
      </c>
      <c r="L19393">
        <v>0</v>
      </c>
      <c r="M19393">
        <v>17958</v>
      </c>
      <c r="N19393" t="s">
        <v>327</v>
      </c>
      <c r="O19393">
        <v>250429</v>
      </c>
      <c r="P19393">
        <v>8279.3700000000008</v>
      </c>
    </row>
    <row r="19394" spans="1:16" x14ac:dyDescent="0.25">
      <c r="A19394" t="s">
        <v>3296</v>
      </c>
      <c r="B19394" t="s">
        <v>2931</v>
      </c>
      <c r="C19394">
        <v>7374</v>
      </c>
      <c r="D19394" t="str">
        <f>"9310045724  "</f>
        <v xml:space="preserve">9310045724  </v>
      </c>
      <c r="E19394" t="s">
        <v>2963</v>
      </c>
      <c r="F19394" t="s">
        <v>2964</v>
      </c>
      <c r="G19394">
        <v>5371.2</v>
      </c>
      <c r="H19394">
        <v>250601</v>
      </c>
      <c r="I19394">
        <v>4820</v>
      </c>
      <c r="J19394" t="s">
        <v>169</v>
      </c>
      <c r="K19394">
        <v>38472.92</v>
      </c>
      <c r="L19394">
        <v>0</v>
      </c>
      <c r="M19394">
        <v>13913</v>
      </c>
      <c r="N19394" t="s">
        <v>2995</v>
      </c>
      <c r="O19394">
        <v>250603</v>
      </c>
      <c r="P19394">
        <v>5371.2</v>
      </c>
    </row>
    <row r="19395" spans="1:16" x14ac:dyDescent="0.25">
      <c r="A19395" t="s">
        <v>3296</v>
      </c>
      <c r="B19395" t="s">
        <v>2931</v>
      </c>
      <c r="C19395">
        <v>7374</v>
      </c>
      <c r="D19395" t="str">
        <f>"9310045724  "</f>
        <v xml:space="preserve">9310045724  </v>
      </c>
      <c r="E19395" t="s">
        <v>2963</v>
      </c>
      <c r="F19395" t="s">
        <v>2964</v>
      </c>
      <c r="G19395">
        <v>24826.29</v>
      </c>
      <c r="H19395">
        <v>250601</v>
      </c>
      <c r="I19395">
        <v>4820</v>
      </c>
      <c r="J19395" t="s">
        <v>169</v>
      </c>
      <c r="K19395">
        <v>38472.92</v>
      </c>
      <c r="L19395">
        <v>0</v>
      </c>
      <c r="M19395">
        <v>13921</v>
      </c>
      <c r="N19395" t="s">
        <v>325</v>
      </c>
      <c r="O19395">
        <v>250603</v>
      </c>
      <c r="P19395">
        <v>24826.29</v>
      </c>
    </row>
    <row r="19396" spans="1:16" x14ac:dyDescent="0.25">
      <c r="A19396" t="s">
        <v>3296</v>
      </c>
      <c r="B19396" t="s">
        <v>2931</v>
      </c>
      <c r="C19396">
        <v>7374</v>
      </c>
      <c r="D19396" t="str">
        <f>"9310045724  "</f>
        <v xml:space="preserve">9310045724  </v>
      </c>
      <c r="E19396" t="s">
        <v>2963</v>
      </c>
      <c r="F19396" t="s">
        <v>2964</v>
      </c>
      <c r="G19396">
        <v>8275.43</v>
      </c>
      <c r="H19396">
        <v>250601</v>
      </c>
      <c r="I19396">
        <v>4820</v>
      </c>
      <c r="J19396" t="s">
        <v>169</v>
      </c>
      <c r="K19396">
        <v>38472.92</v>
      </c>
      <c r="L19396">
        <v>0</v>
      </c>
      <c r="M19396">
        <v>17958</v>
      </c>
      <c r="N19396" t="s">
        <v>327</v>
      </c>
      <c r="O19396">
        <v>250603</v>
      </c>
      <c r="P19396">
        <v>8275.43</v>
      </c>
    </row>
    <row r="19397" spans="1:16" x14ac:dyDescent="0.25">
      <c r="A19397" t="s">
        <v>3296</v>
      </c>
      <c r="B19397" t="s">
        <v>2931</v>
      </c>
      <c r="C19397">
        <v>9413</v>
      </c>
      <c r="D19397" t="str">
        <f>"9310046332  "</f>
        <v xml:space="preserve">9310046332  </v>
      </c>
      <c r="E19397" t="s">
        <v>2963</v>
      </c>
      <c r="F19397" t="s">
        <v>2964</v>
      </c>
      <c r="G19397">
        <v>5371.2</v>
      </c>
      <c r="H19397">
        <v>250701</v>
      </c>
      <c r="I19397">
        <v>4820</v>
      </c>
      <c r="J19397" t="s">
        <v>169</v>
      </c>
      <c r="K19397">
        <v>38472.92</v>
      </c>
      <c r="L19397">
        <v>0</v>
      </c>
      <c r="M19397">
        <v>13913</v>
      </c>
      <c r="N19397" t="s">
        <v>2995</v>
      </c>
      <c r="O19397">
        <v>250707</v>
      </c>
      <c r="P19397">
        <v>5371.2</v>
      </c>
    </row>
    <row r="19398" spans="1:16" x14ac:dyDescent="0.25">
      <c r="A19398" t="s">
        <v>3296</v>
      </c>
      <c r="B19398" t="s">
        <v>2931</v>
      </c>
      <c r="C19398">
        <v>9413</v>
      </c>
      <c r="D19398" t="str">
        <f>"9310046332  "</f>
        <v xml:space="preserve">9310046332  </v>
      </c>
      <c r="E19398" t="s">
        <v>2963</v>
      </c>
      <c r="F19398" t="s">
        <v>2964</v>
      </c>
      <c r="G19398">
        <v>24826.29</v>
      </c>
      <c r="H19398">
        <v>250701</v>
      </c>
      <c r="I19398">
        <v>4820</v>
      </c>
      <c r="J19398" t="s">
        <v>169</v>
      </c>
      <c r="K19398">
        <v>38472.92</v>
      </c>
      <c r="L19398">
        <v>0</v>
      </c>
      <c r="M19398">
        <v>13921</v>
      </c>
      <c r="N19398" t="s">
        <v>325</v>
      </c>
      <c r="O19398">
        <v>250707</v>
      </c>
      <c r="P19398">
        <v>24826.29</v>
      </c>
    </row>
    <row r="19399" spans="1:16" x14ac:dyDescent="0.25">
      <c r="A19399" t="s">
        <v>3296</v>
      </c>
      <c r="B19399" t="s">
        <v>2931</v>
      </c>
      <c r="C19399">
        <v>9413</v>
      </c>
      <c r="D19399" t="str">
        <f>"9310046332  "</f>
        <v xml:space="preserve">9310046332  </v>
      </c>
      <c r="E19399" t="s">
        <v>2963</v>
      </c>
      <c r="F19399" t="s">
        <v>2964</v>
      </c>
      <c r="G19399">
        <v>8275.43</v>
      </c>
      <c r="H19399">
        <v>250701</v>
      </c>
      <c r="I19399">
        <v>4820</v>
      </c>
      <c r="J19399" t="s">
        <v>169</v>
      </c>
      <c r="K19399">
        <v>38472.92</v>
      </c>
      <c r="L19399">
        <v>0</v>
      </c>
      <c r="M19399">
        <v>17958</v>
      </c>
      <c r="N19399" t="s">
        <v>327</v>
      </c>
      <c r="O19399">
        <v>250707</v>
      </c>
      <c r="P19399">
        <v>8275.43</v>
      </c>
    </row>
    <row r="19400" spans="1:16" x14ac:dyDescent="0.25">
      <c r="A19400" t="s">
        <v>3296</v>
      </c>
      <c r="B19400" t="s">
        <v>2931</v>
      </c>
      <c r="C19400">
        <v>9812</v>
      </c>
      <c r="D19400" t="str">
        <f>"9310046456  "</f>
        <v xml:space="preserve">9310046456  </v>
      </c>
      <c r="E19400" t="s">
        <v>2963</v>
      </c>
      <c r="F19400" t="s">
        <v>2964</v>
      </c>
      <c r="G19400">
        <v>5371.2</v>
      </c>
      <c r="H19400">
        <v>250801</v>
      </c>
      <c r="I19400">
        <v>4820</v>
      </c>
      <c r="J19400" t="s">
        <v>169</v>
      </c>
      <c r="K19400">
        <v>38472.92</v>
      </c>
      <c r="L19400">
        <v>0</v>
      </c>
      <c r="M19400">
        <v>13913</v>
      </c>
      <c r="N19400" t="s">
        <v>2995</v>
      </c>
      <c r="O19400">
        <v>250729</v>
      </c>
      <c r="P19400">
        <v>5371.2</v>
      </c>
    </row>
    <row r="19401" spans="1:16" x14ac:dyDescent="0.25">
      <c r="A19401" t="s">
        <v>3296</v>
      </c>
      <c r="B19401" t="s">
        <v>2931</v>
      </c>
      <c r="C19401">
        <v>9812</v>
      </c>
      <c r="D19401" t="str">
        <f>"9310046456  "</f>
        <v xml:space="preserve">9310046456  </v>
      </c>
      <c r="E19401" t="s">
        <v>2963</v>
      </c>
      <c r="F19401" t="s">
        <v>2964</v>
      </c>
      <c r="G19401">
        <v>24826.29</v>
      </c>
      <c r="H19401">
        <v>250801</v>
      </c>
      <c r="I19401">
        <v>4820</v>
      </c>
      <c r="J19401" t="s">
        <v>169</v>
      </c>
      <c r="K19401">
        <v>38472.92</v>
      </c>
      <c r="L19401">
        <v>0</v>
      </c>
      <c r="M19401">
        <v>13921</v>
      </c>
      <c r="N19401" t="s">
        <v>325</v>
      </c>
      <c r="O19401">
        <v>250729</v>
      </c>
      <c r="P19401">
        <v>24826.29</v>
      </c>
    </row>
    <row r="19402" spans="1:16" x14ac:dyDescent="0.25">
      <c r="A19402" t="s">
        <v>3296</v>
      </c>
      <c r="B19402" t="s">
        <v>2931</v>
      </c>
      <c r="C19402">
        <v>9812</v>
      </c>
      <c r="D19402" t="str">
        <f>"9310046456  "</f>
        <v xml:space="preserve">9310046456  </v>
      </c>
      <c r="E19402" t="s">
        <v>2963</v>
      </c>
      <c r="F19402" t="s">
        <v>2964</v>
      </c>
      <c r="G19402">
        <v>8275.43</v>
      </c>
      <c r="H19402">
        <v>250801</v>
      </c>
      <c r="I19402">
        <v>4820</v>
      </c>
      <c r="J19402" t="s">
        <v>169</v>
      </c>
      <c r="K19402">
        <v>38472.92</v>
      </c>
      <c r="L19402">
        <v>0</v>
      </c>
      <c r="M19402">
        <v>17958</v>
      </c>
      <c r="N19402" t="s">
        <v>327</v>
      </c>
      <c r="O19402">
        <v>250729</v>
      </c>
      <c r="P19402">
        <v>8275.43</v>
      </c>
    </row>
    <row r="19403" spans="1:16" x14ac:dyDescent="0.25">
      <c r="A19403" t="s">
        <v>3296</v>
      </c>
      <c r="B19403" t="s">
        <v>2931</v>
      </c>
      <c r="C19403">
        <v>10896</v>
      </c>
      <c r="D19403" t="str">
        <f>"9310046609  "</f>
        <v xml:space="preserve">9310046609  </v>
      </c>
      <c r="E19403" t="s">
        <v>2963</v>
      </c>
      <c r="F19403" t="s">
        <v>2964</v>
      </c>
      <c r="G19403">
        <v>5371.2</v>
      </c>
      <c r="H19403">
        <v>250901</v>
      </c>
      <c r="I19403">
        <v>4820</v>
      </c>
      <c r="J19403" t="s">
        <v>169</v>
      </c>
      <c r="K19403">
        <v>38472.92</v>
      </c>
      <c r="L19403">
        <v>0</v>
      </c>
      <c r="M19403">
        <v>13921</v>
      </c>
      <c r="N19403" t="s">
        <v>325</v>
      </c>
      <c r="O19403">
        <v>250826</v>
      </c>
      <c r="P19403">
        <v>5371.2</v>
      </c>
    </row>
    <row r="19404" spans="1:16" x14ac:dyDescent="0.25">
      <c r="A19404" t="s">
        <v>3296</v>
      </c>
      <c r="B19404" t="s">
        <v>2931</v>
      </c>
      <c r="C19404">
        <v>10896</v>
      </c>
      <c r="D19404" t="str">
        <f>"9310046609  "</f>
        <v xml:space="preserve">9310046609  </v>
      </c>
      <c r="E19404" t="s">
        <v>2963</v>
      </c>
      <c r="F19404" t="s">
        <v>2964</v>
      </c>
      <c r="G19404">
        <v>24826.29</v>
      </c>
      <c r="H19404">
        <v>250901</v>
      </c>
      <c r="I19404">
        <v>4820</v>
      </c>
      <c r="J19404" t="s">
        <v>169</v>
      </c>
      <c r="K19404">
        <v>38472.92</v>
      </c>
      <c r="L19404">
        <v>0</v>
      </c>
      <c r="M19404">
        <v>13921</v>
      </c>
      <c r="N19404" t="s">
        <v>325</v>
      </c>
      <c r="O19404">
        <v>250826</v>
      </c>
      <c r="P19404">
        <v>24826.29</v>
      </c>
    </row>
    <row r="19405" spans="1:16" x14ac:dyDescent="0.25">
      <c r="A19405" t="s">
        <v>3296</v>
      </c>
      <c r="B19405" t="s">
        <v>2931</v>
      </c>
      <c r="C19405">
        <v>10896</v>
      </c>
      <c r="D19405" t="str">
        <f>"9310046609  "</f>
        <v xml:space="preserve">9310046609  </v>
      </c>
      <c r="E19405" t="s">
        <v>2963</v>
      </c>
      <c r="F19405" t="s">
        <v>2964</v>
      </c>
      <c r="G19405">
        <v>8275.43</v>
      </c>
      <c r="H19405">
        <v>250901</v>
      </c>
      <c r="I19405">
        <v>4820</v>
      </c>
      <c r="J19405" t="s">
        <v>169</v>
      </c>
      <c r="K19405">
        <v>38472.92</v>
      </c>
      <c r="L19405">
        <v>0</v>
      </c>
      <c r="M19405">
        <v>17958</v>
      </c>
      <c r="N19405" t="s">
        <v>327</v>
      </c>
      <c r="O19405">
        <v>250826</v>
      </c>
      <c r="P19405">
        <v>8275.43</v>
      </c>
    </row>
    <row r="19406" spans="1:16" x14ac:dyDescent="0.25">
      <c r="A19406" t="s">
        <v>3296</v>
      </c>
      <c r="B19406" t="s">
        <v>2931</v>
      </c>
      <c r="C19406">
        <v>12715</v>
      </c>
      <c r="D19406" t="str">
        <f>"9310047360  "</f>
        <v xml:space="preserve">9310047360  </v>
      </c>
      <c r="E19406" t="s">
        <v>2963</v>
      </c>
      <c r="F19406" t="s">
        <v>2964</v>
      </c>
      <c r="G19406">
        <v>5370.82</v>
      </c>
      <c r="H19406">
        <v>251001</v>
      </c>
      <c r="I19406">
        <v>4820</v>
      </c>
      <c r="J19406" t="s">
        <v>169</v>
      </c>
      <c r="K19406">
        <v>38472.92</v>
      </c>
      <c r="L19406">
        <v>0</v>
      </c>
      <c r="M19406">
        <v>13921</v>
      </c>
      <c r="N19406" t="s">
        <v>325</v>
      </c>
      <c r="O19406">
        <v>250929</v>
      </c>
      <c r="P19406">
        <v>5370.82</v>
      </c>
    </row>
    <row r="19407" spans="1:16" x14ac:dyDescent="0.25">
      <c r="A19407" t="s">
        <v>3296</v>
      </c>
      <c r="B19407" t="s">
        <v>2931</v>
      </c>
      <c r="C19407">
        <v>12715</v>
      </c>
      <c r="D19407" t="str">
        <f>"9310047360  "</f>
        <v xml:space="preserve">9310047360  </v>
      </c>
      <c r="E19407" t="s">
        <v>2963</v>
      </c>
      <c r="F19407" t="s">
        <v>2964</v>
      </c>
      <c r="G19407">
        <v>24830.42</v>
      </c>
      <c r="H19407">
        <v>251001</v>
      </c>
      <c r="I19407">
        <v>4820</v>
      </c>
      <c r="J19407" t="s">
        <v>169</v>
      </c>
      <c r="K19407">
        <v>38472.92</v>
      </c>
      <c r="L19407">
        <v>0</v>
      </c>
      <c r="M19407">
        <v>13921</v>
      </c>
      <c r="N19407" t="s">
        <v>325</v>
      </c>
      <c r="O19407">
        <v>250929</v>
      </c>
      <c r="P19407">
        <v>24830.42</v>
      </c>
    </row>
    <row r="19408" spans="1:16" x14ac:dyDescent="0.25">
      <c r="A19408" t="s">
        <v>3296</v>
      </c>
      <c r="B19408" t="s">
        <v>2931</v>
      </c>
      <c r="C19408">
        <v>12715</v>
      </c>
      <c r="D19408" t="str">
        <f>"9310047360  "</f>
        <v xml:space="preserve">9310047360  </v>
      </c>
      <c r="E19408" t="s">
        <v>2963</v>
      </c>
      <c r="F19408" t="s">
        <v>2964</v>
      </c>
      <c r="G19408">
        <v>8271.68</v>
      </c>
      <c r="H19408">
        <v>251001</v>
      </c>
      <c r="I19408">
        <v>4820</v>
      </c>
      <c r="J19408" t="s">
        <v>169</v>
      </c>
      <c r="K19408">
        <v>38472.92</v>
      </c>
      <c r="L19408">
        <v>0</v>
      </c>
      <c r="M19408">
        <v>17958</v>
      </c>
      <c r="N19408" t="s">
        <v>327</v>
      </c>
      <c r="O19408">
        <v>250929</v>
      </c>
      <c r="P19408">
        <v>8271.68</v>
      </c>
    </row>
    <row r="19409" spans="1:16" x14ac:dyDescent="0.25">
      <c r="A19409" t="s">
        <v>3296</v>
      </c>
      <c r="B19409" t="s">
        <v>2931</v>
      </c>
      <c r="C19409">
        <v>14003</v>
      </c>
      <c r="D19409" t="str">
        <f>"9310047960  "</f>
        <v xml:space="preserve">9310047960  </v>
      </c>
      <c r="E19409" t="s">
        <v>2963</v>
      </c>
      <c r="F19409" t="s">
        <v>2964</v>
      </c>
      <c r="G19409">
        <v>5370.82</v>
      </c>
      <c r="H19409">
        <v>251101</v>
      </c>
      <c r="I19409">
        <v>4820</v>
      </c>
      <c r="J19409" t="s">
        <v>169</v>
      </c>
      <c r="K19409">
        <v>38472.92</v>
      </c>
      <c r="L19409">
        <v>0</v>
      </c>
      <c r="M19409">
        <v>13921</v>
      </c>
      <c r="N19409" t="s">
        <v>325</v>
      </c>
      <c r="O19409">
        <v>251021</v>
      </c>
      <c r="P19409">
        <v>5370.82</v>
      </c>
    </row>
    <row r="19410" spans="1:16" x14ac:dyDescent="0.25">
      <c r="A19410" t="s">
        <v>3296</v>
      </c>
      <c r="B19410" t="s">
        <v>2931</v>
      </c>
      <c r="C19410">
        <v>14003</v>
      </c>
      <c r="D19410" t="str">
        <f>"9310047960  "</f>
        <v xml:space="preserve">9310047960  </v>
      </c>
      <c r="E19410" t="s">
        <v>2963</v>
      </c>
      <c r="F19410" t="s">
        <v>2964</v>
      </c>
      <c r="G19410">
        <v>24830.42</v>
      </c>
      <c r="H19410">
        <v>251101</v>
      </c>
      <c r="I19410">
        <v>4820</v>
      </c>
      <c r="J19410" t="s">
        <v>169</v>
      </c>
      <c r="K19410">
        <v>38472.92</v>
      </c>
      <c r="L19410">
        <v>0</v>
      </c>
      <c r="M19410">
        <v>13921</v>
      </c>
      <c r="N19410" t="s">
        <v>325</v>
      </c>
      <c r="O19410">
        <v>251021</v>
      </c>
      <c r="P19410">
        <v>24830.42</v>
      </c>
    </row>
    <row r="19411" spans="1:16" x14ac:dyDescent="0.25">
      <c r="A19411" t="s">
        <v>3296</v>
      </c>
      <c r="B19411" t="s">
        <v>2931</v>
      </c>
      <c r="C19411">
        <v>14003</v>
      </c>
      <c r="D19411" t="str">
        <f>"9310047960  "</f>
        <v xml:space="preserve">9310047960  </v>
      </c>
      <c r="E19411" t="s">
        <v>2963</v>
      </c>
      <c r="F19411" t="s">
        <v>2964</v>
      </c>
      <c r="G19411">
        <v>8271.68</v>
      </c>
      <c r="H19411">
        <v>251101</v>
      </c>
      <c r="I19411">
        <v>4820</v>
      </c>
      <c r="J19411" t="s">
        <v>169</v>
      </c>
      <c r="K19411">
        <v>38472.92</v>
      </c>
      <c r="L19411">
        <v>0</v>
      </c>
      <c r="M19411">
        <v>17958</v>
      </c>
      <c r="N19411" t="s">
        <v>327</v>
      </c>
      <c r="O19411">
        <v>251021</v>
      </c>
      <c r="P19411">
        <v>8271.68</v>
      </c>
    </row>
    <row r="19412" spans="1:16" x14ac:dyDescent="0.25">
      <c r="A19412" t="s">
        <v>3296</v>
      </c>
      <c r="B19412" t="s">
        <v>2931</v>
      </c>
      <c r="C19412">
        <v>15639</v>
      </c>
      <c r="D19412" t="str">
        <f>"9310048449  "</f>
        <v xml:space="preserve">9310048449  </v>
      </c>
      <c r="E19412" t="s">
        <v>2963</v>
      </c>
      <c r="F19412" t="s">
        <v>2964</v>
      </c>
      <c r="G19412">
        <v>5370.82</v>
      </c>
      <c r="H19412">
        <v>251201</v>
      </c>
      <c r="I19412">
        <v>4820</v>
      </c>
      <c r="J19412" t="s">
        <v>169</v>
      </c>
      <c r="K19412">
        <v>38472.92</v>
      </c>
      <c r="L19412">
        <v>0</v>
      </c>
      <c r="M19412">
        <v>13921</v>
      </c>
      <c r="N19412" t="s">
        <v>325</v>
      </c>
      <c r="O19412">
        <v>251124</v>
      </c>
      <c r="P19412">
        <v>5370.82</v>
      </c>
    </row>
    <row r="19413" spans="1:16" x14ac:dyDescent="0.25">
      <c r="A19413" t="s">
        <v>3296</v>
      </c>
      <c r="B19413" t="s">
        <v>2931</v>
      </c>
      <c r="C19413">
        <v>15639</v>
      </c>
      <c r="D19413" t="str">
        <f>"9310048449  "</f>
        <v xml:space="preserve">9310048449  </v>
      </c>
      <c r="E19413" t="s">
        <v>2963</v>
      </c>
      <c r="F19413" t="s">
        <v>2964</v>
      </c>
      <c r="G19413">
        <v>24830.42</v>
      </c>
      <c r="H19413">
        <v>251201</v>
      </c>
      <c r="I19413">
        <v>4820</v>
      </c>
      <c r="J19413" t="s">
        <v>169</v>
      </c>
      <c r="K19413">
        <v>38472.92</v>
      </c>
      <c r="L19413">
        <v>0</v>
      </c>
      <c r="M19413">
        <v>13921</v>
      </c>
      <c r="N19413" t="s">
        <v>325</v>
      </c>
      <c r="O19413">
        <v>251124</v>
      </c>
      <c r="P19413">
        <v>24830.42</v>
      </c>
    </row>
    <row r="19414" spans="1:16" x14ac:dyDescent="0.25">
      <c r="A19414" t="s">
        <v>3296</v>
      </c>
      <c r="B19414" t="s">
        <v>2931</v>
      </c>
      <c r="C19414">
        <v>15639</v>
      </c>
      <c r="D19414" t="str">
        <f>"9310048449  "</f>
        <v xml:space="preserve">9310048449  </v>
      </c>
      <c r="E19414" t="s">
        <v>2963</v>
      </c>
      <c r="F19414" t="s">
        <v>2964</v>
      </c>
      <c r="G19414">
        <v>8271.68</v>
      </c>
      <c r="H19414">
        <v>251201</v>
      </c>
      <c r="I19414">
        <v>4820</v>
      </c>
      <c r="J19414" t="s">
        <v>169</v>
      </c>
      <c r="K19414">
        <v>38472.92</v>
      </c>
      <c r="L19414">
        <v>0</v>
      </c>
      <c r="M19414">
        <v>17958</v>
      </c>
      <c r="N19414" t="s">
        <v>327</v>
      </c>
      <c r="O19414">
        <v>251124</v>
      </c>
      <c r="P19414">
        <v>8271.68</v>
      </c>
    </row>
    <row r="19415" spans="1:16" x14ac:dyDescent="0.25">
      <c r="A19415" t="s">
        <v>3296</v>
      </c>
      <c r="B19415" t="s">
        <v>2931</v>
      </c>
      <c r="C19415">
        <v>16147</v>
      </c>
      <c r="D19415" t="str">
        <f>"30794       "</f>
        <v xml:space="preserve">30794       </v>
      </c>
      <c r="E19415" t="s">
        <v>2088</v>
      </c>
      <c r="F19415" t="s">
        <v>2089</v>
      </c>
      <c r="G19415">
        <v>3231.63</v>
      </c>
      <c r="H19415">
        <v>251125</v>
      </c>
      <c r="I19415">
        <v>4350</v>
      </c>
      <c r="J19415" t="s">
        <v>290</v>
      </c>
      <c r="K19415">
        <v>4398.4399999999996</v>
      </c>
      <c r="L19415">
        <v>656.63</v>
      </c>
      <c r="M19415">
        <v>17538</v>
      </c>
      <c r="N19415" t="s">
        <v>129</v>
      </c>
      <c r="O19415">
        <v>251204</v>
      </c>
      <c r="P19415">
        <v>2575</v>
      </c>
    </row>
    <row r="19416" spans="1:16" x14ac:dyDescent="0.25">
      <c r="A19416" t="s">
        <v>3296</v>
      </c>
      <c r="B19416" t="s">
        <v>2931</v>
      </c>
      <c r="C19416">
        <v>9052</v>
      </c>
      <c r="D19416" t="str">
        <f>"27456       "</f>
        <v xml:space="preserve">27456       </v>
      </c>
      <c r="E19416" t="s">
        <v>2088</v>
      </c>
      <c r="F19416" t="s">
        <v>2089</v>
      </c>
      <c r="G19416">
        <v>1615.81</v>
      </c>
      <c r="H19416">
        <v>250616</v>
      </c>
      <c r="I19416">
        <v>4470</v>
      </c>
      <c r="J19416" t="s">
        <v>203</v>
      </c>
      <c r="K19416">
        <v>1615.81</v>
      </c>
      <c r="L19416">
        <v>328.31</v>
      </c>
      <c r="M19416">
        <v>17538</v>
      </c>
      <c r="N19416" t="s">
        <v>129</v>
      </c>
      <c r="O19416">
        <v>250626</v>
      </c>
      <c r="P19416">
        <v>1287.5</v>
      </c>
    </row>
    <row r="19417" spans="1:16" x14ac:dyDescent="0.25">
      <c r="A19417" t="s">
        <v>3296</v>
      </c>
      <c r="B19417" t="s">
        <v>2931</v>
      </c>
      <c r="C19417">
        <v>11385</v>
      </c>
      <c r="D19417" t="str">
        <f>"28286       "</f>
        <v xml:space="preserve">28286       </v>
      </c>
      <c r="E19417" t="s">
        <v>2088</v>
      </c>
      <c r="F19417" t="s">
        <v>2089</v>
      </c>
      <c r="G19417">
        <v>1454.23</v>
      </c>
      <c r="H19417">
        <v>250901</v>
      </c>
      <c r="I19417">
        <v>4470</v>
      </c>
      <c r="J19417" t="s">
        <v>203</v>
      </c>
      <c r="K19417">
        <v>1454.23</v>
      </c>
      <c r="L19417">
        <v>295.48</v>
      </c>
      <c r="M19417">
        <v>17538</v>
      </c>
      <c r="N19417" t="s">
        <v>129</v>
      </c>
      <c r="O19417">
        <v>250904</v>
      </c>
      <c r="P19417">
        <v>1158.75</v>
      </c>
    </row>
    <row r="19418" spans="1:16" x14ac:dyDescent="0.25">
      <c r="A19418" t="s">
        <v>3296</v>
      </c>
      <c r="B19418" t="s">
        <v>2931</v>
      </c>
      <c r="C19418">
        <v>16147</v>
      </c>
      <c r="D19418" t="str">
        <f>"30794       "</f>
        <v xml:space="preserve">30794       </v>
      </c>
      <c r="E19418" t="s">
        <v>2088</v>
      </c>
      <c r="F19418" t="s">
        <v>2089</v>
      </c>
      <c r="G19418">
        <v>1166.81</v>
      </c>
      <c r="H19418">
        <v>251125</v>
      </c>
      <c r="I19418">
        <v>4470</v>
      </c>
      <c r="J19418" t="s">
        <v>203</v>
      </c>
      <c r="K19418">
        <v>4398.4399999999996</v>
      </c>
      <c r="L19418">
        <v>237.08</v>
      </c>
      <c r="M19418">
        <v>17538</v>
      </c>
      <c r="N19418" t="s">
        <v>129</v>
      </c>
      <c r="O19418">
        <v>251204</v>
      </c>
      <c r="P19418">
        <v>929.73</v>
      </c>
    </row>
    <row r="19419" spans="1:16" x14ac:dyDescent="0.25">
      <c r="A19419" t="s">
        <v>3296</v>
      </c>
      <c r="B19419" t="s">
        <v>2931</v>
      </c>
      <c r="C19419">
        <v>10831</v>
      </c>
      <c r="D19419" t="str">
        <f>"22282       "</f>
        <v xml:space="preserve">22282       </v>
      </c>
      <c r="E19419" t="s">
        <v>2223</v>
      </c>
      <c r="F19419" t="s">
        <v>2224</v>
      </c>
      <c r="G19419">
        <v>263.55</v>
      </c>
      <c r="H19419">
        <v>250819</v>
      </c>
      <c r="I19419">
        <v>4580</v>
      </c>
      <c r="J19419" t="s">
        <v>126</v>
      </c>
      <c r="K19419">
        <v>263.55</v>
      </c>
      <c r="L19419">
        <v>53.55</v>
      </c>
      <c r="M19419">
        <v>13540</v>
      </c>
      <c r="N19419" t="s">
        <v>131</v>
      </c>
      <c r="O19419">
        <v>250825</v>
      </c>
      <c r="P19419">
        <v>210</v>
      </c>
    </row>
    <row r="19420" spans="1:16" x14ac:dyDescent="0.25">
      <c r="A19420" t="s">
        <v>3296</v>
      </c>
      <c r="B19420" t="s">
        <v>2931</v>
      </c>
      <c r="C19420">
        <v>14431</v>
      </c>
      <c r="D19420" t="str">
        <f>"197466      "</f>
        <v xml:space="preserve">197466      </v>
      </c>
      <c r="E19420" t="s">
        <v>2428</v>
      </c>
      <c r="F19420" t="s">
        <v>2429</v>
      </c>
      <c r="G19420">
        <v>849.64</v>
      </c>
      <c r="H19420">
        <v>251030</v>
      </c>
      <c r="I19420">
        <v>4580</v>
      </c>
      <c r="J19420" t="s">
        <v>126</v>
      </c>
      <c r="K19420">
        <v>849.64</v>
      </c>
      <c r="L19420">
        <v>172.64</v>
      </c>
      <c r="M19420">
        <v>17805</v>
      </c>
      <c r="N19420" t="s">
        <v>21</v>
      </c>
      <c r="O19420">
        <v>251031</v>
      </c>
      <c r="P19420">
        <v>677</v>
      </c>
    </row>
    <row r="19421" spans="1:16" x14ac:dyDescent="0.25">
      <c r="A19421" t="s">
        <v>3296</v>
      </c>
      <c r="B19421" t="s">
        <v>2931</v>
      </c>
      <c r="C19421">
        <v>13315</v>
      </c>
      <c r="D19421" t="str">
        <f>"197261      "</f>
        <v xml:space="preserve">197261      </v>
      </c>
      <c r="E19421" t="s">
        <v>2428</v>
      </c>
      <c r="F19421" t="s">
        <v>2429</v>
      </c>
      <c r="G19421">
        <v>180.72</v>
      </c>
      <c r="H19421">
        <v>251003</v>
      </c>
      <c r="I19421">
        <v>4600</v>
      </c>
      <c r="J19421" t="s">
        <v>278</v>
      </c>
      <c r="K19421">
        <v>180.72</v>
      </c>
      <c r="L19421">
        <v>36.72</v>
      </c>
      <c r="M19421">
        <v>17805</v>
      </c>
      <c r="N19421" t="s">
        <v>21</v>
      </c>
      <c r="O19421">
        <v>251007</v>
      </c>
      <c r="P19421">
        <v>144</v>
      </c>
    </row>
    <row r="19422" spans="1:16" x14ac:dyDescent="0.25">
      <c r="A19422" t="s">
        <v>3296</v>
      </c>
      <c r="B19422" t="s">
        <v>2931</v>
      </c>
      <c r="C19422">
        <v>5303</v>
      </c>
      <c r="D19422" t="str">
        <f>"34620       "</f>
        <v xml:space="preserve">34620       </v>
      </c>
      <c r="E19422" t="s">
        <v>793</v>
      </c>
      <c r="F19422" t="s">
        <v>794</v>
      </c>
      <c r="G19422">
        <v>399.09</v>
      </c>
      <c r="H19422">
        <v>250411</v>
      </c>
      <c r="I19422">
        <v>4400</v>
      </c>
      <c r="J19422" t="s">
        <v>162</v>
      </c>
      <c r="K19422">
        <v>399.09</v>
      </c>
      <c r="L19422">
        <v>81.09</v>
      </c>
      <c r="M19422">
        <v>51151</v>
      </c>
      <c r="N19422" t="s">
        <v>221</v>
      </c>
      <c r="O19422">
        <v>250423</v>
      </c>
      <c r="P19422">
        <v>318</v>
      </c>
    </row>
    <row r="19423" spans="1:16" x14ac:dyDescent="0.25">
      <c r="A19423" t="s">
        <v>3296</v>
      </c>
      <c r="B19423" t="s">
        <v>2931</v>
      </c>
      <c r="C19423">
        <v>960</v>
      </c>
      <c r="D19423" t="str">
        <f>"32801       "</f>
        <v xml:space="preserve">32801       </v>
      </c>
      <c r="E19423" t="s">
        <v>793</v>
      </c>
      <c r="F19423" t="s">
        <v>794</v>
      </c>
      <c r="G19423">
        <v>262.55</v>
      </c>
      <c r="H19423">
        <v>250128</v>
      </c>
      <c r="I19423">
        <v>4600</v>
      </c>
      <c r="J19423" t="s">
        <v>278</v>
      </c>
      <c r="K19423">
        <v>262.55</v>
      </c>
      <c r="L19423">
        <v>53.35</v>
      </c>
      <c r="M19423">
        <v>17522</v>
      </c>
      <c r="N19423" t="s">
        <v>137</v>
      </c>
      <c r="O19423">
        <v>250131</v>
      </c>
      <c r="P19423">
        <v>209.2</v>
      </c>
    </row>
    <row r="19424" spans="1:16" x14ac:dyDescent="0.25">
      <c r="A19424" t="s">
        <v>3296</v>
      </c>
      <c r="B19424" t="s">
        <v>2931</v>
      </c>
      <c r="C19424">
        <v>1734</v>
      </c>
      <c r="D19424" t="str">
        <f>"33043       "</f>
        <v xml:space="preserve">33043       </v>
      </c>
      <c r="E19424" t="s">
        <v>793</v>
      </c>
      <c r="F19424" t="s">
        <v>794</v>
      </c>
      <c r="G19424">
        <v>158</v>
      </c>
      <c r="H19424">
        <v>250206</v>
      </c>
      <c r="I19424">
        <v>4600</v>
      </c>
      <c r="J19424" t="s">
        <v>278</v>
      </c>
      <c r="K19424">
        <v>158</v>
      </c>
      <c r="L19424">
        <v>32.1</v>
      </c>
      <c r="M19424">
        <v>17522</v>
      </c>
      <c r="N19424" t="s">
        <v>137</v>
      </c>
      <c r="O19424">
        <v>250213</v>
      </c>
      <c r="P19424">
        <v>125.9</v>
      </c>
    </row>
    <row r="19425" spans="1:16" x14ac:dyDescent="0.25">
      <c r="A19425" t="s">
        <v>3296</v>
      </c>
      <c r="B19425" t="s">
        <v>2931</v>
      </c>
      <c r="C19425">
        <v>15061</v>
      </c>
      <c r="D19425" t="str">
        <f>"39136       "</f>
        <v xml:space="preserve">39136       </v>
      </c>
      <c r="E19425" t="s">
        <v>793</v>
      </c>
      <c r="F19425" t="s">
        <v>794</v>
      </c>
      <c r="G19425">
        <v>1498.73</v>
      </c>
      <c r="H19425">
        <v>251031</v>
      </c>
      <c r="I19425">
        <v>4600</v>
      </c>
      <c r="J19425" t="s">
        <v>278</v>
      </c>
      <c r="K19425">
        <v>1498.73</v>
      </c>
      <c r="L19425">
        <v>304.52</v>
      </c>
      <c r="M19425">
        <v>46554</v>
      </c>
      <c r="N19425" t="s">
        <v>102</v>
      </c>
      <c r="O19425">
        <v>251111</v>
      </c>
      <c r="P19425">
        <v>1194.21</v>
      </c>
    </row>
    <row r="19426" spans="1:16" x14ac:dyDescent="0.25">
      <c r="A19426" t="s">
        <v>3296</v>
      </c>
      <c r="B19426" t="s">
        <v>2931</v>
      </c>
      <c r="C19426">
        <v>15264</v>
      </c>
      <c r="D19426" t="str">
        <f>"39380       "</f>
        <v xml:space="preserve">39380       </v>
      </c>
      <c r="E19426" t="s">
        <v>793</v>
      </c>
      <c r="F19426" t="s">
        <v>794</v>
      </c>
      <c r="G19426">
        <v>316.7</v>
      </c>
      <c r="H19426">
        <v>251112</v>
      </c>
      <c r="I19426">
        <v>4600</v>
      </c>
      <c r="J19426" t="s">
        <v>278</v>
      </c>
      <c r="K19426">
        <v>316.7</v>
      </c>
      <c r="L19426">
        <v>64.349999999999994</v>
      </c>
      <c r="M19426">
        <v>46554</v>
      </c>
      <c r="N19426" t="s">
        <v>102</v>
      </c>
      <c r="O19426">
        <v>251117</v>
      </c>
      <c r="P19426">
        <v>252.35</v>
      </c>
    </row>
    <row r="19427" spans="1:16" x14ac:dyDescent="0.25">
      <c r="A19427" t="s">
        <v>3296</v>
      </c>
      <c r="B19427" t="s">
        <v>2931</v>
      </c>
      <c r="C19427">
        <v>16331</v>
      </c>
      <c r="D19427" t="str">
        <f>"202464707   "</f>
        <v xml:space="preserve">202464707   </v>
      </c>
      <c r="E19427" t="s">
        <v>3179</v>
      </c>
      <c r="F19427" t="s">
        <v>3180</v>
      </c>
      <c r="G19427">
        <v>1500</v>
      </c>
      <c r="H19427">
        <v>251124</v>
      </c>
      <c r="I19427">
        <v>4346</v>
      </c>
      <c r="J19427" t="s">
        <v>334</v>
      </c>
      <c r="K19427">
        <v>1500</v>
      </c>
      <c r="L19427">
        <v>0</v>
      </c>
      <c r="M19427">
        <v>18995</v>
      </c>
      <c r="N19427" t="s">
        <v>2317</v>
      </c>
      <c r="O19427">
        <v>251208</v>
      </c>
      <c r="P19427">
        <v>1500</v>
      </c>
    </row>
    <row r="19428" spans="1:16" x14ac:dyDescent="0.25">
      <c r="A19428" t="s">
        <v>3296</v>
      </c>
      <c r="B19428" t="s">
        <v>2931</v>
      </c>
      <c r="C19428">
        <v>5509</v>
      </c>
      <c r="D19428" t="str">
        <f>"6025040012  "</f>
        <v xml:space="preserve">6025040012  </v>
      </c>
      <c r="E19428" t="s">
        <v>1753</v>
      </c>
      <c r="F19428" t="s">
        <v>1754</v>
      </c>
      <c r="G19428">
        <v>160</v>
      </c>
      <c r="H19428">
        <v>250417</v>
      </c>
      <c r="I19428">
        <v>4441</v>
      </c>
      <c r="J19428" t="s">
        <v>234</v>
      </c>
      <c r="K19428">
        <v>160</v>
      </c>
      <c r="L19428">
        <v>19.649999999999999</v>
      </c>
      <c r="M19428">
        <v>17711</v>
      </c>
      <c r="N19428" t="s">
        <v>155</v>
      </c>
      <c r="O19428">
        <v>250425</v>
      </c>
      <c r="P19428">
        <v>140.35</v>
      </c>
    </row>
    <row r="19429" spans="1:16" x14ac:dyDescent="0.25">
      <c r="A19429" t="s">
        <v>3296</v>
      </c>
      <c r="B19429" t="s">
        <v>2931</v>
      </c>
      <c r="C19429">
        <v>8988</v>
      </c>
      <c r="D19429" t="str">
        <f>"6025060025  "</f>
        <v xml:space="preserve">6025060025  </v>
      </c>
      <c r="E19429" t="s">
        <v>1753</v>
      </c>
      <c r="F19429" t="s">
        <v>1754</v>
      </c>
      <c r="G19429">
        <v>60</v>
      </c>
      <c r="H19429">
        <v>250611</v>
      </c>
      <c r="I19429">
        <v>4860</v>
      </c>
      <c r="J19429" t="s">
        <v>286</v>
      </c>
      <c r="K19429">
        <v>60</v>
      </c>
      <c r="L19429">
        <v>12.19</v>
      </c>
      <c r="M19429">
        <v>17711</v>
      </c>
      <c r="N19429" t="s">
        <v>155</v>
      </c>
      <c r="O19429">
        <v>250624</v>
      </c>
      <c r="P19429">
        <v>47.81</v>
      </c>
    </row>
    <row r="19430" spans="1:16" x14ac:dyDescent="0.25">
      <c r="A19430" t="s">
        <v>3296</v>
      </c>
      <c r="B19430" t="s">
        <v>2931</v>
      </c>
      <c r="C19430">
        <v>1746</v>
      </c>
      <c r="D19430" t="str">
        <f>"204006      "</f>
        <v xml:space="preserve">204006      </v>
      </c>
      <c r="E19430" t="s">
        <v>3000</v>
      </c>
      <c r="F19430" t="s">
        <v>3315</v>
      </c>
      <c r="G19430">
        <v>154</v>
      </c>
      <c r="H19430">
        <v>250210</v>
      </c>
      <c r="I19430">
        <v>4842</v>
      </c>
      <c r="J19430" t="s">
        <v>15</v>
      </c>
      <c r="K19430">
        <v>154</v>
      </c>
      <c r="L19430">
        <v>0</v>
      </c>
      <c r="M19430">
        <v>17131</v>
      </c>
      <c r="N19430" t="s">
        <v>154</v>
      </c>
      <c r="O19430">
        <v>250213</v>
      </c>
      <c r="P19430">
        <v>154</v>
      </c>
    </row>
    <row r="19431" spans="1:16" x14ac:dyDescent="0.25">
      <c r="A19431" t="s">
        <v>3296</v>
      </c>
      <c r="B19431" t="s">
        <v>2931</v>
      </c>
      <c r="C19431">
        <v>1347</v>
      </c>
      <c r="D19431" t="str">
        <f>"204005      "</f>
        <v xml:space="preserve">204005      </v>
      </c>
      <c r="E19431" t="s">
        <v>3000</v>
      </c>
      <c r="F19431" t="s">
        <v>3315</v>
      </c>
      <c r="G19431">
        <v>328</v>
      </c>
      <c r="H19431">
        <v>250203</v>
      </c>
      <c r="I19431">
        <v>4860</v>
      </c>
      <c r="J19431" t="s">
        <v>286</v>
      </c>
      <c r="K19431">
        <v>328</v>
      </c>
      <c r="L19431">
        <v>0</v>
      </c>
      <c r="M19431">
        <v>17131</v>
      </c>
      <c r="N19431" t="s">
        <v>154</v>
      </c>
      <c r="O19431">
        <v>250207</v>
      </c>
      <c r="P19431">
        <v>328</v>
      </c>
    </row>
    <row r="19432" spans="1:16" x14ac:dyDescent="0.25">
      <c r="A19432" t="s">
        <v>3296</v>
      </c>
      <c r="B19432" t="s">
        <v>2931</v>
      </c>
      <c r="C19432">
        <v>12786</v>
      </c>
      <c r="D19432" t="str">
        <f>"250925      "</f>
        <v xml:space="preserve">250925      </v>
      </c>
      <c r="E19432" t="s">
        <v>3141</v>
      </c>
      <c r="F19432" t="s">
        <v>3142</v>
      </c>
      <c r="G19432">
        <v>350</v>
      </c>
      <c r="H19432">
        <v>250925</v>
      </c>
      <c r="I19432">
        <v>4441</v>
      </c>
      <c r="J19432" t="s">
        <v>234</v>
      </c>
      <c r="K19432">
        <v>350</v>
      </c>
      <c r="L19432">
        <v>0</v>
      </c>
      <c r="M19432">
        <v>11001</v>
      </c>
      <c r="N19432" t="s">
        <v>93</v>
      </c>
      <c r="O19432">
        <v>250930</v>
      </c>
      <c r="P19432">
        <v>350</v>
      </c>
    </row>
    <row r="19433" spans="1:16" x14ac:dyDescent="0.25">
      <c r="A19433" t="s">
        <v>3296</v>
      </c>
      <c r="B19433" t="s">
        <v>2931</v>
      </c>
      <c r="C19433">
        <v>139</v>
      </c>
      <c r="D19433" t="str">
        <f>"100125      "</f>
        <v xml:space="preserve">100125      </v>
      </c>
      <c r="E19433" t="s">
        <v>2967</v>
      </c>
      <c r="F19433" t="s">
        <v>2968</v>
      </c>
      <c r="G19433">
        <v>30509</v>
      </c>
      <c r="H19433">
        <v>250110</v>
      </c>
      <c r="I19433">
        <v>4820</v>
      </c>
      <c r="J19433" t="s">
        <v>169</v>
      </c>
      <c r="K19433">
        <v>30509</v>
      </c>
      <c r="L19433">
        <v>0</v>
      </c>
      <c r="M19433">
        <v>14951</v>
      </c>
      <c r="N19433" t="s">
        <v>186</v>
      </c>
      <c r="O19433">
        <v>250113</v>
      </c>
      <c r="P19433">
        <v>30509</v>
      </c>
    </row>
    <row r="19434" spans="1:16" x14ac:dyDescent="0.25">
      <c r="A19434" t="s">
        <v>3296</v>
      </c>
      <c r="B19434" t="s">
        <v>2931</v>
      </c>
      <c r="C19434">
        <v>610</v>
      </c>
      <c r="D19434" t="str">
        <f>"200125      "</f>
        <v xml:space="preserve">200125      </v>
      </c>
      <c r="E19434" t="s">
        <v>2967</v>
      </c>
      <c r="F19434" t="s">
        <v>2968</v>
      </c>
      <c r="G19434">
        <v>30509.3</v>
      </c>
      <c r="H19434">
        <v>250201</v>
      </c>
      <c r="I19434">
        <v>4820</v>
      </c>
      <c r="J19434" t="s">
        <v>169</v>
      </c>
      <c r="K19434">
        <v>30509.3</v>
      </c>
      <c r="L19434">
        <v>0</v>
      </c>
      <c r="M19434">
        <v>14951</v>
      </c>
      <c r="N19434" t="s">
        <v>186</v>
      </c>
      <c r="O19434">
        <v>250124</v>
      </c>
      <c r="P19434">
        <v>30509.3</v>
      </c>
    </row>
    <row r="19435" spans="1:16" x14ac:dyDescent="0.25">
      <c r="A19435" t="s">
        <v>3296</v>
      </c>
      <c r="B19435" t="s">
        <v>2931</v>
      </c>
      <c r="C19435">
        <v>2838</v>
      </c>
      <c r="D19435" t="str">
        <f>"200125/2    "</f>
        <v xml:space="preserve">200125/2    </v>
      </c>
      <c r="E19435" t="s">
        <v>2967</v>
      </c>
      <c r="F19435" t="s">
        <v>2968</v>
      </c>
      <c r="G19435">
        <v>30509.3</v>
      </c>
      <c r="H19435">
        <v>250301</v>
      </c>
      <c r="I19435">
        <v>4820</v>
      </c>
      <c r="J19435" t="s">
        <v>169</v>
      </c>
      <c r="K19435">
        <v>30509.3</v>
      </c>
      <c r="L19435">
        <v>0</v>
      </c>
      <c r="M19435">
        <v>14951</v>
      </c>
      <c r="N19435" t="s">
        <v>186</v>
      </c>
      <c r="O19435">
        <v>250312</v>
      </c>
      <c r="P19435">
        <v>30509.3</v>
      </c>
    </row>
    <row r="19436" spans="1:16" x14ac:dyDescent="0.25">
      <c r="A19436" t="s">
        <v>3296</v>
      </c>
      <c r="B19436" t="s">
        <v>2931</v>
      </c>
      <c r="C19436">
        <v>4614</v>
      </c>
      <c r="D19436" t="str">
        <f>"010425      "</f>
        <v xml:space="preserve">010425      </v>
      </c>
      <c r="E19436" t="s">
        <v>2967</v>
      </c>
      <c r="F19436" t="s">
        <v>2968</v>
      </c>
      <c r="G19436">
        <v>30509.3</v>
      </c>
      <c r="H19436">
        <v>250401</v>
      </c>
      <c r="I19436">
        <v>4820</v>
      </c>
      <c r="J19436" t="s">
        <v>169</v>
      </c>
      <c r="K19436">
        <v>30509.3</v>
      </c>
      <c r="L19436">
        <v>0</v>
      </c>
      <c r="M19436">
        <v>14951</v>
      </c>
      <c r="N19436" t="s">
        <v>186</v>
      </c>
      <c r="O19436">
        <v>250414</v>
      </c>
      <c r="P19436">
        <v>30509.3</v>
      </c>
    </row>
    <row r="19437" spans="1:16" x14ac:dyDescent="0.25">
      <c r="A19437" t="s">
        <v>3296</v>
      </c>
      <c r="B19437" t="s">
        <v>2931</v>
      </c>
      <c r="C19437">
        <v>6081</v>
      </c>
      <c r="D19437" t="str">
        <f>"010525      "</f>
        <v xml:space="preserve">010525      </v>
      </c>
      <c r="E19437" t="s">
        <v>2967</v>
      </c>
      <c r="F19437" t="s">
        <v>2968</v>
      </c>
      <c r="G19437">
        <v>30509.3</v>
      </c>
      <c r="H19437">
        <v>250501</v>
      </c>
      <c r="I19437">
        <v>4820</v>
      </c>
      <c r="J19437" t="s">
        <v>169</v>
      </c>
      <c r="K19437">
        <v>30509.3</v>
      </c>
      <c r="L19437">
        <v>0</v>
      </c>
      <c r="M19437">
        <v>14951</v>
      </c>
      <c r="N19437" t="s">
        <v>186</v>
      </c>
      <c r="O19437">
        <v>250508</v>
      </c>
      <c r="P19437">
        <v>30509.3</v>
      </c>
    </row>
    <row r="19438" spans="1:16" x14ac:dyDescent="0.25">
      <c r="A19438" t="s">
        <v>3296</v>
      </c>
      <c r="B19438" t="s">
        <v>2931</v>
      </c>
      <c r="C19438">
        <v>8037</v>
      </c>
      <c r="D19438" t="str">
        <f>"6/2025      "</f>
        <v xml:space="preserve">6/2025      </v>
      </c>
      <c r="E19438" t="s">
        <v>2967</v>
      </c>
      <c r="F19438" t="s">
        <v>2968</v>
      </c>
      <c r="G19438">
        <v>30509.3</v>
      </c>
      <c r="H19438">
        <v>250601</v>
      </c>
      <c r="I19438">
        <v>4820</v>
      </c>
      <c r="J19438" t="s">
        <v>169</v>
      </c>
      <c r="K19438">
        <v>30509.3</v>
      </c>
      <c r="L19438">
        <v>0</v>
      </c>
      <c r="M19438">
        <v>14951</v>
      </c>
      <c r="N19438" t="s">
        <v>186</v>
      </c>
      <c r="O19438">
        <v>250611</v>
      </c>
      <c r="P19438">
        <v>30509.3</v>
      </c>
    </row>
    <row r="19439" spans="1:16" x14ac:dyDescent="0.25">
      <c r="A19439" t="s">
        <v>3296</v>
      </c>
      <c r="B19439" t="s">
        <v>2931</v>
      </c>
      <c r="C19439">
        <v>9212</v>
      </c>
      <c r="D19439" t="str">
        <f>"7/2025      "</f>
        <v xml:space="preserve">7/2025      </v>
      </c>
      <c r="E19439" t="s">
        <v>2967</v>
      </c>
      <c r="F19439" t="s">
        <v>2968</v>
      </c>
      <c r="G19439">
        <v>30509.3</v>
      </c>
      <c r="H19439">
        <v>250701</v>
      </c>
      <c r="I19439">
        <v>4820</v>
      </c>
      <c r="J19439" t="s">
        <v>169</v>
      </c>
      <c r="K19439">
        <v>30509.3</v>
      </c>
      <c r="L19439">
        <v>0</v>
      </c>
      <c r="M19439">
        <v>14951</v>
      </c>
      <c r="N19439" t="s">
        <v>186</v>
      </c>
      <c r="O19439">
        <v>250627</v>
      </c>
      <c r="P19439">
        <v>30509.3</v>
      </c>
    </row>
    <row r="19440" spans="1:16" x14ac:dyDescent="0.25">
      <c r="A19440" t="s">
        <v>3296</v>
      </c>
      <c r="B19440" t="s">
        <v>2931</v>
      </c>
      <c r="C19440">
        <v>9920</v>
      </c>
      <c r="D19440" t="str">
        <f>"8/2025      "</f>
        <v xml:space="preserve">8/2025      </v>
      </c>
      <c r="E19440" t="s">
        <v>2967</v>
      </c>
      <c r="F19440" t="s">
        <v>2968</v>
      </c>
      <c r="G19440">
        <v>30509.3</v>
      </c>
      <c r="H19440">
        <v>250801</v>
      </c>
      <c r="I19440">
        <v>4820</v>
      </c>
      <c r="J19440" t="s">
        <v>169</v>
      </c>
      <c r="K19440">
        <v>30509.3</v>
      </c>
      <c r="L19440">
        <v>0</v>
      </c>
      <c r="M19440">
        <v>14951</v>
      </c>
      <c r="N19440" t="s">
        <v>186</v>
      </c>
      <c r="O19440">
        <v>250804</v>
      </c>
      <c r="P19440">
        <v>30509.3</v>
      </c>
    </row>
    <row r="19441" spans="1:16" x14ac:dyDescent="0.25">
      <c r="A19441" t="s">
        <v>3296</v>
      </c>
      <c r="B19441" t="s">
        <v>2931</v>
      </c>
      <c r="C19441">
        <v>11688</v>
      </c>
      <c r="D19441" t="str">
        <f>"010925      "</f>
        <v xml:space="preserve">010925      </v>
      </c>
      <c r="E19441" t="s">
        <v>2967</v>
      </c>
      <c r="F19441" t="s">
        <v>2968</v>
      </c>
      <c r="G19441">
        <v>30509.3</v>
      </c>
      <c r="H19441">
        <v>250901</v>
      </c>
      <c r="I19441">
        <v>4820</v>
      </c>
      <c r="J19441" t="s">
        <v>169</v>
      </c>
      <c r="K19441">
        <v>30509.3</v>
      </c>
      <c r="L19441">
        <v>0</v>
      </c>
      <c r="M19441">
        <v>14951</v>
      </c>
      <c r="N19441" t="s">
        <v>186</v>
      </c>
      <c r="O19441">
        <v>250910</v>
      </c>
      <c r="P19441">
        <v>30509.3</v>
      </c>
    </row>
    <row r="19442" spans="1:16" x14ac:dyDescent="0.25">
      <c r="A19442" t="s">
        <v>3296</v>
      </c>
      <c r="B19442" t="s">
        <v>2931</v>
      </c>
      <c r="C19442">
        <v>14248</v>
      </c>
      <c r="D19442" t="str">
        <f>"011025      "</f>
        <v xml:space="preserve">011025      </v>
      </c>
      <c r="E19442" t="s">
        <v>2967</v>
      </c>
      <c r="F19442" t="s">
        <v>2968</v>
      </c>
      <c r="G19442">
        <v>30248.6</v>
      </c>
      <c r="H19442">
        <v>251027</v>
      </c>
      <c r="I19442">
        <v>4820</v>
      </c>
      <c r="J19442" t="s">
        <v>169</v>
      </c>
      <c r="K19442">
        <v>30248.6</v>
      </c>
      <c r="L19442">
        <v>0</v>
      </c>
      <c r="M19442">
        <v>14951</v>
      </c>
      <c r="N19442" t="s">
        <v>186</v>
      </c>
      <c r="O19442">
        <v>251028</v>
      </c>
      <c r="P19442">
        <v>30248.6</v>
      </c>
    </row>
    <row r="19443" spans="1:16" x14ac:dyDescent="0.25">
      <c r="A19443" t="s">
        <v>3296</v>
      </c>
      <c r="B19443" t="s">
        <v>2931</v>
      </c>
      <c r="C19443">
        <v>14256</v>
      </c>
      <c r="D19443" t="str">
        <f>"011125      "</f>
        <v xml:space="preserve">011125      </v>
      </c>
      <c r="E19443" t="s">
        <v>2967</v>
      </c>
      <c r="F19443" t="s">
        <v>2968</v>
      </c>
      <c r="G19443">
        <v>30422.400000000001</v>
      </c>
      <c r="H19443">
        <v>251103</v>
      </c>
      <c r="I19443">
        <v>4820</v>
      </c>
      <c r="J19443" t="s">
        <v>169</v>
      </c>
      <c r="K19443">
        <v>30422.400000000001</v>
      </c>
      <c r="L19443">
        <v>0</v>
      </c>
      <c r="M19443">
        <v>14951</v>
      </c>
      <c r="N19443" t="s">
        <v>186</v>
      </c>
      <c r="O19443">
        <v>251028</v>
      </c>
      <c r="P19443">
        <v>30422.400000000001</v>
      </c>
    </row>
    <row r="19444" spans="1:16" x14ac:dyDescent="0.25">
      <c r="A19444" t="s">
        <v>3296</v>
      </c>
      <c r="B19444" t="s">
        <v>2931</v>
      </c>
      <c r="C19444">
        <v>15896</v>
      </c>
      <c r="D19444" t="str">
        <f>"241125      "</f>
        <v xml:space="preserve">241125      </v>
      </c>
      <c r="E19444" t="s">
        <v>2967</v>
      </c>
      <c r="F19444" t="s">
        <v>2968</v>
      </c>
      <c r="G19444">
        <v>30422.400000000001</v>
      </c>
      <c r="H19444">
        <v>251201</v>
      </c>
      <c r="I19444">
        <v>4820</v>
      </c>
      <c r="J19444" t="s">
        <v>169</v>
      </c>
      <c r="K19444">
        <v>30422.400000000001</v>
      </c>
      <c r="L19444">
        <v>0</v>
      </c>
      <c r="M19444">
        <v>14951</v>
      </c>
      <c r="N19444" t="s">
        <v>186</v>
      </c>
      <c r="O19444">
        <v>251128</v>
      </c>
      <c r="P19444">
        <v>30422.400000000001</v>
      </c>
    </row>
    <row r="19445" spans="1:16" x14ac:dyDescent="0.25">
      <c r="A19445" t="s">
        <v>3296</v>
      </c>
      <c r="B19445" t="s">
        <v>2931</v>
      </c>
      <c r="C19445">
        <v>14258</v>
      </c>
      <c r="D19445" t="str">
        <f>"2137        "</f>
        <v xml:space="preserve">2137        </v>
      </c>
      <c r="E19445" t="s">
        <v>3151</v>
      </c>
      <c r="F19445" t="s">
        <v>3152</v>
      </c>
      <c r="G19445">
        <v>8</v>
      </c>
      <c r="H19445">
        <v>251021</v>
      </c>
      <c r="I19445">
        <v>4940</v>
      </c>
      <c r="J19445" t="s">
        <v>250</v>
      </c>
      <c r="K19445">
        <v>188</v>
      </c>
      <c r="L19445">
        <v>1.63</v>
      </c>
      <c r="M19445">
        <v>13401</v>
      </c>
      <c r="N19445" t="s">
        <v>10</v>
      </c>
      <c r="O19445">
        <v>251028</v>
      </c>
      <c r="P19445">
        <v>6.37</v>
      </c>
    </row>
    <row r="19446" spans="1:16" x14ac:dyDescent="0.25">
      <c r="A19446" t="s">
        <v>3296</v>
      </c>
      <c r="B19446" t="s">
        <v>2931</v>
      </c>
      <c r="C19446">
        <v>14258</v>
      </c>
      <c r="D19446" t="str">
        <f>"2137        "</f>
        <v xml:space="preserve">2137        </v>
      </c>
      <c r="E19446" t="s">
        <v>3151</v>
      </c>
      <c r="F19446" t="s">
        <v>3152</v>
      </c>
      <c r="G19446">
        <v>180</v>
      </c>
      <c r="H19446">
        <v>251021</v>
      </c>
      <c r="I19446">
        <v>4940</v>
      </c>
      <c r="J19446" t="s">
        <v>250</v>
      </c>
      <c r="K19446">
        <v>188</v>
      </c>
      <c r="L19446">
        <v>22.11</v>
      </c>
      <c r="M19446">
        <v>13401</v>
      </c>
      <c r="N19446" t="s">
        <v>10</v>
      </c>
      <c r="O19446">
        <v>251028</v>
      </c>
      <c r="P19446">
        <v>157.88999999999999</v>
      </c>
    </row>
    <row r="19447" spans="1:16" x14ac:dyDescent="0.25">
      <c r="A19447" t="s">
        <v>3296</v>
      </c>
      <c r="B19447" t="s">
        <v>2931</v>
      </c>
      <c r="C19447">
        <v>1572</v>
      </c>
      <c r="D19447" t="str">
        <f>"13238       "</f>
        <v xml:space="preserve">13238       </v>
      </c>
      <c r="E19447" t="s">
        <v>379</v>
      </c>
      <c r="F19447" t="s">
        <v>380</v>
      </c>
      <c r="G19447">
        <v>27.11</v>
      </c>
      <c r="H19447">
        <v>250204</v>
      </c>
      <c r="I19447">
        <v>4400</v>
      </c>
      <c r="J19447" t="s">
        <v>162</v>
      </c>
      <c r="K19447">
        <v>27.11</v>
      </c>
      <c r="L19447">
        <v>5.51</v>
      </c>
      <c r="M19447">
        <v>17523</v>
      </c>
      <c r="N19447" t="s">
        <v>138</v>
      </c>
      <c r="O19447">
        <v>250211</v>
      </c>
      <c r="P19447">
        <v>21.6</v>
      </c>
    </row>
    <row r="19448" spans="1:16" x14ac:dyDescent="0.25">
      <c r="A19448" t="s">
        <v>3296</v>
      </c>
      <c r="B19448" t="s">
        <v>2931</v>
      </c>
      <c r="C19448">
        <v>6793</v>
      </c>
      <c r="D19448" t="str">
        <f>"13481       "</f>
        <v xml:space="preserve">13481       </v>
      </c>
      <c r="E19448" t="s">
        <v>379</v>
      </c>
      <c r="F19448" t="s">
        <v>380</v>
      </c>
      <c r="G19448">
        <v>45.31</v>
      </c>
      <c r="H19448">
        <v>250512</v>
      </c>
      <c r="I19448">
        <v>4400</v>
      </c>
      <c r="J19448" t="s">
        <v>162</v>
      </c>
      <c r="K19448">
        <v>45.31</v>
      </c>
      <c r="L19448">
        <v>9.2100000000000009</v>
      </c>
      <c r="M19448">
        <v>17523</v>
      </c>
      <c r="N19448" t="s">
        <v>138</v>
      </c>
      <c r="O19448">
        <v>250516</v>
      </c>
      <c r="P19448">
        <v>36.1</v>
      </c>
    </row>
    <row r="19449" spans="1:16" x14ac:dyDescent="0.25">
      <c r="A19449" t="s">
        <v>3296</v>
      </c>
      <c r="B19449" t="s">
        <v>2931</v>
      </c>
      <c r="C19449">
        <v>10468</v>
      </c>
      <c r="D19449" t="str">
        <f>"13642       "</f>
        <v xml:space="preserve">13642       </v>
      </c>
      <c r="E19449" t="s">
        <v>379</v>
      </c>
      <c r="F19449" t="s">
        <v>380</v>
      </c>
      <c r="G19449">
        <v>306.22000000000003</v>
      </c>
      <c r="H19449">
        <v>250813</v>
      </c>
      <c r="I19449">
        <v>4400</v>
      </c>
      <c r="J19449" t="s">
        <v>162</v>
      </c>
      <c r="K19449">
        <v>306.22000000000003</v>
      </c>
      <c r="L19449">
        <v>62.22</v>
      </c>
      <c r="M19449">
        <v>17523</v>
      </c>
      <c r="N19449" t="s">
        <v>138</v>
      </c>
      <c r="O19449">
        <v>250820</v>
      </c>
      <c r="P19449">
        <v>244</v>
      </c>
    </row>
    <row r="19450" spans="1:16" x14ac:dyDescent="0.25">
      <c r="A19450" t="s">
        <v>3296</v>
      </c>
      <c r="B19450" t="s">
        <v>2931</v>
      </c>
      <c r="C19450">
        <v>11147</v>
      </c>
      <c r="D19450" t="str">
        <f>"13671       "</f>
        <v xml:space="preserve">13671       </v>
      </c>
      <c r="E19450" t="s">
        <v>379</v>
      </c>
      <c r="F19450" t="s">
        <v>380</v>
      </c>
      <c r="G19450">
        <v>324.35000000000002</v>
      </c>
      <c r="H19450">
        <v>250822</v>
      </c>
      <c r="I19450">
        <v>4400</v>
      </c>
      <c r="J19450" t="s">
        <v>162</v>
      </c>
      <c r="K19450">
        <v>324.35000000000002</v>
      </c>
      <c r="L19450">
        <v>65.900000000000006</v>
      </c>
      <c r="M19450">
        <v>17524</v>
      </c>
      <c r="N19450" t="s">
        <v>139</v>
      </c>
      <c r="O19450">
        <v>250901</v>
      </c>
      <c r="P19450">
        <v>258.45</v>
      </c>
    </row>
    <row r="19451" spans="1:16" x14ac:dyDescent="0.25">
      <c r="A19451" t="s">
        <v>3296</v>
      </c>
      <c r="B19451" t="s">
        <v>2931</v>
      </c>
      <c r="C19451">
        <v>12899</v>
      </c>
      <c r="D19451" t="str">
        <f>"13754       "</f>
        <v xml:space="preserve">13754       </v>
      </c>
      <c r="E19451" t="s">
        <v>379</v>
      </c>
      <c r="F19451" t="s">
        <v>380</v>
      </c>
      <c r="G19451">
        <v>224.02</v>
      </c>
      <c r="H19451">
        <v>250922</v>
      </c>
      <c r="I19451">
        <v>4400</v>
      </c>
      <c r="J19451" t="s">
        <v>162</v>
      </c>
      <c r="K19451">
        <v>448.04</v>
      </c>
      <c r="L19451">
        <v>45.52</v>
      </c>
      <c r="M19451">
        <v>17525</v>
      </c>
      <c r="N19451" t="s">
        <v>140</v>
      </c>
      <c r="O19451">
        <v>251001</v>
      </c>
      <c r="P19451">
        <v>178.5</v>
      </c>
    </row>
    <row r="19452" spans="1:16" x14ac:dyDescent="0.25">
      <c r="A19452" t="s">
        <v>3296</v>
      </c>
      <c r="B19452" t="s">
        <v>2931</v>
      </c>
      <c r="C19452">
        <v>12899</v>
      </c>
      <c r="D19452" t="str">
        <f>"13754       "</f>
        <v xml:space="preserve">13754       </v>
      </c>
      <c r="E19452" t="s">
        <v>379</v>
      </c>
      <c r="F19452" t="s">
        <v>380</v>
      </c>
      <c r="G19452">
        <v>224.02</v>
      </c>
      <c r="H19452">
        <v>250922</v>
      </c>
      <c r="I19452">
        <v>4400</v>
      </c>
      <c r="J19452" t="s">
        <v>162</v>
      </c>
      <c r="K19452">
        <v>448.04</v>
      </c>
      <c r="L19452">
        <v>45.52</v>
      </c>
      <c r="M19452">
        <v>17529</v>
      </c>
      <c r="N19452" t="s">
        <v>143</v>
      </c>
      <c r="O19452">
        <v>251001</v>
      </c>
      <c r="P19452">
        <v>178.5</v>
      </c>
    </row>
    <row r="19453" spans="1:16" x14ac:dyDescent="0.25">
      <c r="A19453" t="s">
        <v>3296</v>
      </c>
      <c r="B19453" t="s">
        <v>2931</v>
      </c>
      <c r="C19453">
        <v>10494</v>
      </c>
      <c r="D19453" t="str">
        <f>"13644       "</f>
        <v xml:space="preserve">13644       </v>
      </c>
      <c r="E19453" t="s">
        <v>379</v>
      </c>
      <c r="F19453" t="s">
        <v>380</v>
      </c>
      <c r="G19453">
        <v>220.38</v>
      </c>
      <c r="H19453">
        <v>250814</v>
      </c>
      <c r="I19453">
        <v>4580</v>
      </c>
      <c r="J19453" t="s">
        <v>126</v>
      </c>
      <c r="K19453">
        <v>220.38</v>
      </c>
      <c r="L19453">
        <v>44.78</v>
      </c>
      <c r="M19453">
        <v>17523</v>
      </c>
      <c r="N19453" t="s">
        <v>138</v>
      </c>
      <c r="O19453">
        <v>250820</v>
      </c>
      <c r="P19453">
        <v>175.6</v>
      </c>
    </row>
    <row r="19454" spans="1:16" x14ac:dyDescent="0.25">
      <c r="A19454" t="s">
        <v>3296</v>
      </c>
      <c r="B19454" t="s">
        <v>2931</v>
      </c>
      <c r="C19454">
        <v>11968</v>
      </c>
      <c r="D19454" t="str">
        <f>"13739       "</f>
        <v xml:space="preserve">13739       </v>
      </c>
      <c r="E19454" t="s">
        <v>379</v>
      </c>
      <c r="F19454" t="s">
        <v>380</v>
      </c>
      <c r="G19454">
        <v>1907.47</v>
      </c>
      <c r="H19454">
        <v>250911</v>
      </c>
      <c r="I19454">
        <v>4580</v>
      </c>
      <c r="J19454" t="s">
        <v>126</v>
      </c>
      <c r="K19454">
        <v>1907.47</v>
      </c>
      <c r="L19454">
        <v>387.57</v>
      </c>
      <c r="M19454">
        <v>17523</v>
      </c>
      <c r="N19454" t="s">
        <v>138</v>
      </c>
      <c r="O19454">
        <v>250912</v>
      </c>
      <c r="P19454">
        <v>1519.9</v>
      </c>
    </row>
    <row r="19455" spans="1:16" x14ac:dyDescent="0.25">
      <c r="A19455" t="s">
        <v>3296</v>
      </c>
      <c r="B19455" t="s">
        <v>2931</v>
      </c>
      <c r="C19455">
        <v>12962</v>
      </c>
      <c r="D19455" t="str">
        <f>"13668       "</f>
        <v xml:space="preserve">13668       </v>
      </c>
      <c r="E19455" t="s">
        <v>379</v>
      </c>
      <c r="F19455" t="s">
        <v>380</v>
      </c>
      <c r="G19455">
        <v>435.26</v>
      </c>
      <c r="H19455">
        <v>250926</v>
      </c>
      <c r="I19455">
        <v>4580</v>
      </c>
      <c r="J19455" t="s">
        <v>126</v>
      </c>
      <c r="K19455">
        <v>435.26</v>
      </c>
      <c r="L19455">
        <v>88.44</v>
      </c>
      <c r="M19455">
        <v>17523</v>
      </c>
      <c r="N19455" t="s">
        <v>138</v>
      </c>
      <c r="O19455">
        <v>251003</v>
      </c>
      <c r="P19455">
        <v>346.82</v>
      </c>
    </row>
    <row r="19456" spans="1:16" x14ac:dyDescent="0.25">
      <c r="A19456" t="s">
        <v>3296</v>
      </c>
      <c r="B19456" t="s">
        <v>2931</v>
      </c>
      <c r="C19456">
        <v>252</v>
      </c>
      <c r="D19456" t="str">
        <f>"13165       "</f>
        <v xml:space="preserve">13165       </v>
      </c>
      <c r="E19456" t="s">
        <v>379</v>
      </c>
      <c r="F19456" t="s">
        <v>380</v>
      </c>
      <c r="G19456">
        <v>44.3</v>
      </c>
      <c r="H19456">
        <v>250110</v>
      </c>
      <c r="I19456">
        <v>4600</v>
      </c>
      <c r="J19456" t="s">
        <v>278</v>
      </c>
      <c r="K19456">
        <v>44.3</v>
      </c>
      <c r="L19456">
        <v>9</v>
      </c>
      <c r="M19456">
        <v>17526</v>
      </c>
      <c r="N19456" t="s">
        <v>141</v>
      </c>
      <c r="O19456">
        <v>250120</v>
      </c>
      <c r="P19456">
        <v>35.299999999999997</v>
      </c>
    </row>
    <row r="19457" spans="1:16" x14ac:dyDescent="0.25">
      <c r="A19457" t="s">
        <v>3296</v>
      </c>
      <c r="B19457" t="s">
        <v>2931</v>
      </c>
      <c r="C19457">
        <v>1487</v>
      </c>
      <c r="D19457" t="str">
        <f>"0430036082  "</f>
        <v xml:space="preserve">0430036082  </v>
      </c>
      <c r="E19457" t="s">
        <v>2948</v>
      </c>
      <c r="F19457" t="s">
        <v>2949</v>
      </c>
      <c r="G19457">
        <v>11.71</v>
      </c>
      <c r="H19457">
        <v>250131</v>
      </c>
      <c r="I19457">
        <v>4369</v>
      </c>
      <c r="J19457" t="s">
        <v>188</v>
      </c>
      <c r="K19457">
        <v>1402.32</v>
      </c>
      <c r="L19457">
        <v>2.38</v>
      </c>
      <c r="M19457">
        <v>14952</v>
      </c>
      <c r="N19457" t="s">
        <v>213</v>
      </c>
      <c r="O19457">
        <v>250210</v>
      </c>
      <c r="P19457">
        <v>9.33</v>
      </c>
    </row>
    <row r="19458" spans="1:16" x14ac:dyDescent="0.25">
      <c r="A19458" t="s">
        <v>3296</v>
      </c>
      <c r="B19458" t="s">
        <v>2931</v>
      </c>
      <c r="C19458">
        <v>1487</v>
      </c>
      <c r="D19458" t="str">
        <f>"0430036082  "</f>
        <v xml:space="preserve">0430036082  </v>
      </c>
      <c r="E19458" t="s">
        <v>2948</v>
      </c>
      <c r="F19458" t="s">
        <v>2949</v>
      </c>
      <c r="G19458">
        <v>27.32</v>
      </c>
      <c r="H19458">
        <v>250131</v>
      </c>
      <c r="I19458">
        <v>4369</v>
      </c>
      <c r="J19458" t="s">
        <v>188</v>
      </c>
      <c r="K19458">
        <v>1402.32</v>
      </c>
      <c r="L19458">
        <v>5.55</v>
      </c>
      <c r="M19458">
        <v>14981</v>
      </c>
      <c r="N19458" t="s">
        <v>252</v>
      </c>
      <c r="O19458">
        <v>250210</v>
      </c>
      <c r="P19458">
        <v>21.77</v>
      </c>
    </row>
    <row r="19459" spans="1:16" x14ac:dyDescent="0.25">
      <c r="A19459" t="s">
        <v>3296</v>
      </c>
      <c r="B19459" t="s">
        <v>2931</v>
      </c>
      <c r="C19459">
        <v>2738</v>
      </c>
      <c r="D19459" t="str">
        <f>"0430036273  "</f>
        <v xml:space="preserve">0430036273  </v>
      </c>
      <c r="E19459" t="s">
        <v>2948</v>
      </c>
      <c r="F19459" t="s">
        <v>2949</v>
      </c>
      <c r="G19459">
        <v>13.8</v>
      </c>
      <c r="H19459">
        <v>250228</v>
      </c>
      <c r="I19459">
        <v>4369</v>
      </c>
      <c r="J19459" t="s">
        <v>188</v>
      </c>
      <c r="K19459">
        <v>3199.41</v>
      </c>
      <c r="L19459">
        <v>2.8</v>
      </c>
      <c r="M19459">
        <v>14952</v>
      </c>
      <c r="N19459" t="s">
        <v>213</v>
      </c>
      <c r="O19459">
        <v>250311</v>
      </c>
      <c r="P19459">
        <v>11</v>
      </c>
    </row>
    <row r="19460" spans="1:16" x14ac:dyDescent="0.25">
      <c r="A19460" t="s">
        <v>3296</v>
      </c>
      <c r="B19460" t="s">
        <v>2931</v>
      </c>
      <c r="C19460">
        <v>2738</v>
      </c>
      <c r="D19460" t="str">
        <f>"0430036273  "</f>
        <v xml:space="preserve">0430036273  </v>
      </c>
      <c r="E19460" t="s">
        <v>2948</v>
      </c>
      <c r="F19460" t="s">
        <v>2949</v>
      </c>
      <c r="G19460">
        <v>32.19</v>
      </c>
      <c r="H19460">
        <v>250228</v>
      </c>
      <c r="I19460">
        <v>4369</v>
      </c>
      <c r="J19460" t="s">
        <v>188</v>
      </c>
      <c r="K19460">
        <v>3199.41</v>
      </c>
      <c r="L19460">
        <v>6.54</v>
      </c>
      <c r="M19460">
        <v>14981</v>
      </c>
      <c r="N19460" t="s">
        <v>252</v>
      </c>
      <c r="O19460">
        <v>250311</v>
      </c>
      <c r="P19460">
        <v>25.65</v>
      </c>
    </row>
    <row r="19461" spans="1:16" x14ac:dyDescent="0.25">
      <c r="A19461" t="s">
        <v>3296</v>
      </c>
      <c r="B19461" t="s">
        <v>2931</v>
      </c>
      <c r="C19461">
        <v>4356</v>
      </c>
      <c r="D19461" t="str">
        <f>"0430036835  "</f>
        <v xml:space="preserve">0430036835  </v>
      </c>
      <c r="E19461" t="s">
        <v>2948</v>
      </c>
      <c r="F19461" t="s">
        <v>2949</v>
      </c>
      <c r="G19461">
        <v>13.8</v>
      </c>
      <c r="H19461">
        <v>250331</v>
      </c>
      <c r="I19461">
        <v>4369</v>
      </c>
      <c r="J19461" t="s">
        <v>188</v>
      </c>
      <c r="K19461">
        <v>8263.59</v>
      </c>
      <c r="L19461">
        <v>2.8</v>
      </c>
      <c r="M19461">
        <v>14952</v>
      </c>
      <c r="N19461" t="s">
        <v>213</v>
      </c>
      <c r="O19461">
        <v>250411</v>
      </c>
      <c r="P19461">
        <v>11</v>
      </c>
    </row>
    <row r="19462" spans="1:16" x14ac:dyDescent="0.25">
      <c r="A19462" t="s">
        <v>3296</v>
      </c>
      <c r="B19462" t="s">
        <v>2931</v>
      </c>
      <c r="C19462">
        <v>4356</v>
      </c>
      <c r="D19462" t="str">
        <f>"0430036835  "</f>
        <v xml:space="preserve">0430036835  </v>
      </c>
      <c r="E19462" t="s">
        <v>2948</v>
      </c>
      <c r="F19462" t="s">
        <v>2949</v>
      </c>
      <c r="G19462">
        <v>32.19</v>
      </c>
      <c r="H19462">
        <v>250331</v>
      </c>
      <c r="I19462">
        <v>4369</v>
      </c>
      <c r="J19462" t="s">
        <v>188</v>
      </c>
      <c r="K19462">
        <v>8263.59</v>
      </c>
      <c r="L19462">
        <v>6.54</v>
      </c>
      <c r="M19462">
        <v>14981</v>
      </c>
      <c r="N19462" t="s">
        <v>252</v>
      </c>
      <c r="O19462">
        <v>250411</v>
      </c>
      <c r="P19462">
        <v>25.65</v>
      </c>
    </row>
    <row r="19463" spans="1:16" x14ac:dyDescent="0.25">
      <c r="A19463" t="s">
        <v>3296</v>
      </c>
      <c r="B19463" t="s">
        <v>2931</v>
      </c>
      <c r="C19463">
        <v>6372</v>
      </c>
      <c r="D19463" t="str">
        <f>"0430037296  "</f>
        <v xml:space="preserve">0430037296  </v>
      </c>
      <c r="E19463" t="s">
        <v>2948</v>
      </c>
      <c r="F19463" t="s">
        <v>2949</v>
      </c>
      <c r="G19463">
        <v>13.8</v>
      </c>
      <c r="H19463">
        <v>250430</v>
      </c>
      <c r="I19463">
        <v>4369</v>
      </c>
      <c r="J19463" t="s">
        <v>188</v>
      </c>
      <c r="K19463">
        <v>3728.82</v>
      </c>
      <c r="L19463">
        <v>2.8</v>
      </c>
      <c r="M19463">
        <v>14952</v>
      </c>
      <c r="N19463" t="s">
        <v>213</v>
      </c>
      <c r="O19463">
        <v>250513</v>
      </c>
      <c r="P19463">
        <v>11</v>
      </c>
    </row>
    <row r="19464" spans="1:16" x14ac:dyDescent="0.25">
      <c r="A19464" t="s">
        <v>3296</v>
      </c>
      <c r="B19464" t="s">
        <v>2931</v>
      </c>
      <c r="C19464">
        <v>6372</v>
      </c>
      <c r="D19464" t="str">
        <f>"0430037296  "</f>
        <v xml:space="preserve">0430037296  </v>
      </c>
      <c r="E19464" t="s">
        <v>2948</v>
      </c>
      <c r="F19464" t="s">
        <v>2949</v>
      </c>
      <c r="G19464">
        <v>32.19</v>
      </c>
      <c r="H19464">
        <v>250430</v>
      </c>
      <c r="I19464">
        <v>4369</v>
      </c>
      <c r="J19464" t="s">
        <v>188</v>
      </c>
      <c r="K19464">
        <v>3728.82</v>
      </c>
      <c r="L19464">
        <v>6.54</v>
      </c>
      <c r="M19464">
        <v>14981</v>
      </c>
      <c r="N19464" t="s">
        <v>252</v>
      </c>
      <c r="O19464">
        <v>250513</v>
      </c>
      <c r="P19464">
        <v>25.65</v>
      </c>
    </row>
    <row r="19465" spans="1:16" x14ac:dyDescent="0.25">
      <c r="A19465" t="s">
        <v>3296</v>
      </c>
      <c r="B19465" t="s">
        <v>2931</v>
      </c>
      <c r="C19465">
        <v>10211</v>
      </c>
      <c r="D19465" t="str">
        <f>"1001003     "</f>
        <v xml:space="preserve">1001003     </v>
      </c>
      <c r="E19465" t="s">
        <v>2948</v>
      </c>
      <c r="F19465" t="s">
        <v>2949</v>
      </c>
      <c r="G19465">
        <v>25.51</v>
      </c>
      <c r="H19465">
        <v>250731</v>
      </c>
      <c r="I19465">
        <v>4369</v>
      </c>
      <c r="J19465" t="s">
        <v>188</v>
      </c>
      <c r="K19465">
        <v>3249.09</v>
      </c>
      <c r="L19465">
        <v>5.18</v>
      </c>
      <c r="M19465">
        <v>14952</v>
      </c>
      <c r="N19465" t="s">
        <v>213</v>
      </c>
      <c r="O19465">
        <v>250813</v>
      </c>
      <c r="P19465">
        <v>20.329999999999998</v>
      </c>
    </row>
    <row r="19466" spans="1:16" x14ac:dyDescent="0.25">
      <c r="A19466" t="s">
        <v>3296</v>
      </c>
      <c r="B19466" t="s">
        <v>2931</v>
      </c>
      <c r="C19466">
        <v>10211</v>
      </c>
      <c r="D19466" t="str">
        <f>"1001003     "</f>
        <v xml:space="preserve">1001003     </v>
      </c>
      <c r="E19466" t="s">
        <v>2948</v>
      </c>
      <c r="F19466" t="s">
        <v>2949</v>
      </c>
      <c r="G19466">
        <v>59.52</v>
      </c>
      <c r="H19466">
        <v>250731</v>
      </c>
      <c r="I19466">
        <v>4369</v>
      </c>
      <c r="J19466" t="s">
        <v>188</v>
      </c>
      <c r="K19466">
        <v>3249.09</v>
      </c>
      <c r="L19466">
        <v>12.09</v>
      </c>
      <c r="M19466">
        <v>14981</v>
      </c>
      <c r="N19466" t="s">
        <v>252</v>
      </c>
      <c r="O19466">
        <v>250813</v>
      </c>
      <c r="P19466">
        <v>47.43</v>
      </c>
    </row>
    <row r="19467" spans="1:16" x14ac:dyDescent="0.25">
      <c r="A19467" t="s">
        <v>3296</v>
      </c>
      <c r="B19467" t="s">
        <v>2931</v>
      </c>
      <c r="C19467">
        <v>11988</v>
      </c>
      <c r="D19467" t="str">
        <f>"1001511     "</f>
        <v xml:space="preserve">1001511     </v>
      </c>
      <c r="E19467" t="s">
        <v>2948</v>
      </c>
      <c r="F19467" t="s">
        <v>2949</v>
      </c>
      <c r="G19467">
        <v>13.8</v>
      </c>
      <c r="H19467">
        <v>250831</v>
      </c>
      <c r="I19467">
        <v>4369</v>
      </c>
      <c r="J19467" t="s">
        <v>188</v>
      </c>
      <c r="K19467">
        <v>2792.94</v>
      </c>
      <c r="L19467">
        <v>2.8</v>
      </c>
      <c r="M19467">
        <v>14952</v>
      </c>
      <c r="N19467" t="s">
        <v>213</v>
      </c>
      <c r="O19467">
        <v>250915</v>
      </c>
      <c r="P19467">
        <v>11</v>
      </c>
    </row>
    <row r="19468" spans="1:16" x14ac:dyDescent="0.25">
      <c r="A19468" t="s">
        <v>3296</v>
      </c>
      <c r="B19468" t="s">
        <v>2931</v>
      </c>
      <c r="C19468">
        <v>11988</v>
      </c>
      <c r="D19468" t="str">
        <f>"1001511     "</f>
        <v xml:space="preserve">1001511     </v>
      </c>
      <c r="E19468" t="s">
        <v>2948</v>
      </c>
      <c r="F19468" t="s">
        <v>2949</v>
      </c>
      <c r="G19468">
        <v>32.21</v>
      </c>
      <c r="H19468">
        <v>250831</v>
      </c>
      <c r="I19468">
        <v>4369</v>
      </c>
      <c r="J19468" t="s">
        <v>188</v>
      </c>
      <c r="K19468">
        <v>2792.94</v>
      </c>
      <c r="L19468">
        <v>6.54</v>
      </c>
      <c r="M19468">
        <v>14981</v>
      </c>
      <c r="N19468" t="s">
        <v>252</v>
      </c>
      <c r="O19468">
        <v>250915</v>
      </c>
      <c r="P19468">
        <v>25.67</v>
      </c>
    </row>
    <row r="19469" spans="1:16" x14ac:dyDescent="0.25">
      <c r="A19469" t="s">
        <v>3296</v>
      </c>
      <c r="B19469" t="s">
        <v>2931</v>
      </c>
      <c r="C19469">
        <v>13443</v>
      </c>
      <c r="D19469" t="str">
        <f>"1002072     "</f>
        <v xml:space="preserve">1002072     </v>
      </c>
      <c r="E19469" t="s">
        <v>2948</v>
      </c>
      <c r="F19469" t="s">
        <v>2949</v>
      </c>
      <c r="G19469">
        <v>13.8</v>
      </c>
      <c r="H19469">
        <v>250930</v>
      </c>
      <c r="I19469">
        <v>4369</v>
      </c>
      <c r="J19469" t="s">
        <v>188</v>
      </c>
      <c r="K19469">
        <v>3166.52</v>
      </c>
      <c r="L19469">
        <v>2.8</v>
      </c>
      <c r="M19469">
        <v>14952</v>
      </c>
      <c r="N19469" t="s">
        <v>213</v>
      </c>
      <c r="O19469">
        <v>251010</v>
      </c>
      <c r="P19469">
        <v>11</v>
      </c>
    </row>
    <row r="19470" spans="1:16" x14ac:dyDescent="0.25">
      <c r="A19470" t="s">
        <v>3296</v>
      </c>
      <c r="B19470" t="s">
        <v>2931</v>
      </c>
      <c r="C19470">
        <v>13443</v>
      </c>
      <c r="D19470" t="str">
        <f>"1002072     "</f>
        <v xml:space="preserve">1002072     </v>
      </c>
      <c r="E19470" t="s">
        <v>2948</v>
      </c>
      <c r="F19470" t="s">
        <v>2949</v>
      </c>
      <c r="G19470">
        <v>32.21</v>
      </c>
      <c r="H19470">
        <v>250930</v>
      </c>
      <c r="I19470">
        <v>4369</v>
      </c>
      <c r="J19470" t="s">
        <v>188</v>
      </c>
      <c r="K19470">
        <v>3166.52</v>
      </c>
      <c r="L19470">
        <v>6.54</v>
      </c>
      <c r="M19470">
        <v>14981</v>
      </c>
      <c r="N19470" t="s">
        <v>252</v>
      </c>
      <c r="O19470">
        <v>251010</v>
      </c>
      <c r="P19470">
        <v>25.67</v>
      </c>
    </row>
    <row r="19471" spans="1:16" x14ac:dyDescent="0.25">
      <c r="A19471" t="s">
        <v>3296</v>
      </c>
      <c r="B19471" t="s">
        <v>2931</v>
      </c>
      <c r="C19471">
        <v>15233</v>
      </c>
      <c r="D19471" t="str">
        <f>"1002539     "</f>
        <v xml:space="preserve">1002539     </v>
      </c>
      <c r="E19471" t="s">
        <v>2948</v>
      </c>
      <c r="F19471" t="s">
        <v>2949</v>
      </c>
      <c r="G19471">
        <v>13.8</v>
      </c>
      <c r="H19471">
        <v>251031</v>
      </c>
      <c r="I19471">
        <v>4369</v>
      </c>
      <c r="J19471" t="s">
        <v>188</v>
      </c>
      <c r="K19471">
        <v>2898.17</v>
      </c>
      <c r="L19471">
        <v>2.8</v>
      </c>
      <c r="M19471">
        <v>14952</v>
      </c>
      <c r="N19471" t="s">
        <v>213</v>
      </c>
      <c r="O19471">
        <v>251117</v>
      </c>
      <c r="P19471">
        <v>11</v>
      </c>
    </row>
    <row r="19472" spans="1:16" x14ac:dyDescent="0.25">
      <c r="A19472" t="s">
        <v>3296</v>
      </c>
      <c r="B19472" t="s">
        <v>2931</v>
      </c>
      <c r="C19472">
        <v>15233</v>
      </c>
      <c r="D19472" t="str">
        <f>"1002539     "</f>
        <v xml:space="preserve">1002539     </v>
      </c>
      <c r="E19472" t="s">
        <v>2948</v>
      </c>
      <c r="F19472" t="s">
        <v>2949</v>
      </c>
      <c r="G19472">
        <v>32.21</v>
      </c>
      <c r="H19472">
        <v>251031</v>
      </c>
      <c r="I19472">
        <v>4369</v>
      </c>
      <c r="J19472" t="s">
        <v>188</v>
      </c>
      <c r="K19472">
        <v>2898.17</v>
      </c>
      <c r="L19472">
        <v>6.54</v>
      </c>
      <c r="M19472">
        <v>14981</v>
      </c>
      <c r="N19472" t="s">
        <v>252</v>
      </c>
      <c r="O19472">
        <v>251117</v>
      </c>
      <c r="P19472">
        <v>25.67</v>
      </c>
    </row>
    <row r="19473" spans="1:16" x14ac:dyDescent="0.25">
      <c r="A19473" t="s">
        <v>3296</v>
      </c>
      <c r="B19473" t="s">
        <v>2931</v>
      </c>
      <c r="C19473">
        <v>16615</v>
      </c>
      <c r="D19473" t="str">
        <f>"1003128     "</f>
        <v xml:space="preserve">1003128     </v>
      </c>
      <c r="E19473" t="s">
        <v>2948</v>
      </c>
      <c r="F19473" t="s">
        <v>2949</v>
      </c>
      <c r="G19473">
        <v>12.55</v>
      </c>
      <c r="H19473">
        <v>251130</v>
      </c>
      <c r="I19473">
        <v>4369</v>
      </c>
      <c r="J19473" t="s">
        <v>188</v>
      </c>
      <c r="K19473">
        <v>3383.79</v>
      </c>
      <c r="L19473">
        <v>2.5499999999999998</v>
      </c>
      <c r="M19473">
        <v>14952</v>
      </c>
      <c r="N19473" t="s">
        <v>213</v>
      </c>
      <c r="O19473">
        <v>251210</v>
      </c>
      <c r="P19473">
        <v>10</v>
      </c>
    </row>
    <row r="19474" spans="1:16" x14ac:dyDescent="0.25">
      <c r="A19474" t="s">
        <v>3296</v>
      </c>
      <c r="B19474" t="s">
        <v>2931</v>
      </c>
      <c r="C19474">
        <v>16615</v>
      </c>
      <c r="D19474" t="str">
        <f>"1003128     "</f>
        <v xml:space="preserve">1003128     </v>
      </c>
      <c r="E19474" t="s">
        <v>2948</v>
      </c>
      <c r="F19474" t="s">
        <v>2949</v>
      </c>
      <c r="G19474">
        <v>29.27</v>
      </c>
      <c r="H19474">
        <v>251130</v>
      </c>
      <c r="I19474">
        <v>4369</v>
      </c>
      <c r="J19474" t="s">
        <v>188</v>
      </c>
      <c r="K19474">
        <v>3383.79</v>
      </c>
      <c r="L19474">
        <v>5.95</v>
      </c>
      <c r="M19474">
        <v>14981</v>
      </c>
      <c r="N19474" t="s">
        <v>252</v>
      </c>
      <c r="O19474">
        <v>251210</v>
      </c>
      <c r="P19474">
        <v>23.32</v>
      </c>
    </row>
    <row r="19475" spans="1:16" x14ac:dyDescent="0.25">
      <c r="A19475" t="s">
        <v>3296</v>
      </c>
      <c r="B19475" t="s">
        <v>2931</v>
      </c>
      <c r="C19475">
        <v>18453</v>
      </c>
      <c r="D19475" t="str">
        <f>"1003864     "</f>
        <v xml:space="preserve">1003864     </v>
      </c>
      <c r="E19475" t="s">
        <v>2948</v>
      </c>
      <c r="F19475" t="s">
        <v>2949</v>
      </c>
      <c r="G19475">
        <v>14.44</v>
      </c>
      <c r="H19475">
        <v>251231</v>
      </c>
      <c r="I19475">
        <v>4369</v>
      </c>
      <c r="J19475" t="s">
        <v>188</v>
      </c>
      <c r="K19475">
        <v>5032.91</v>
      </c>
      <c r="L19475">
        <v>2.93</v>
      </c>
      <c r="M19475">
        <v>14952</v>
      </c>
      <c r="N19475" t="s">
        <v>213</v>
      </c>
      <c r="O19475">
        <v>260113</v>
      </c>
      <c r="P19475">
        <v>11.51</v>
      </c>
    </row>
    <row r="19476" spans="1:16" x14ac:dyDescent="0.25">
      <c r="A19476" t="s">
        <v>3296</v>
      </c>
      <c r="B19476" t="s">
        <v>2931</v>
      </c>
      <c r="C19476">
        <v>18453</v>
      </c>
      <c r="D19476" t="str">
        <f>"1003864     "</f>
        <v xml:space="preserve">1003864     </v>
      </c>
      <c r="E19476" t="s">
        <v>2948</v>
      </c>
      <c r="F19476" t="s">
        <v>2949</v>
      </c>
      <c r="G19476">
        <v>33.71</v>
      </c>
      <c r="H19476">
        <v>251231</v>
      </c>
      <c r="I19476">
        <v>4369</v>
      </c>
      <c r="J19476" t="s">
        <v>188</v>
      </c>
      <c r="K19476">
        <v>5032.91</v>
      </c>
      <c r="L19476">
        <v>6.85</v>
      </c>
      <c r="M19476">
        <v>14981</v>
      </c>
      <c r="N19476" t="s">
        <v>252</v>
      </c>
      <c r="O19476">
        <v>260113</v>
      </c>
      <c r="P19476">
        <v>26.86</v>
      </c>
    </row>
    <row r="19477" spans="1:16" x14ac:dyDescent="0.25">
      <c r="A19477" t="s">
        <v>3296</v>
      </c>
      <c r="B19477" t="s">
        <v>2931</v>
      </c>
      <c r="C19477">
        <v>2738</v>
      </c>
      <c r="D19477" t="str">
        <f>"0430036273  "</f>
        <v xml:space="preserve">0430036273  </v>
      </c>
      <c r="E19477" t="s">
        <v>2948</v>
      </c>
      <c r="F19477" t="s">
        <v>2949</v>
      </c>
      <c r="G19477">
        <v>583.80999999999995</v>
      </c>
      <c r="H19477">
        <v>250228</v>
      </c>
      <c r="I19477">
        <v>4380</v>
      </c>
      <c r="J19477" t="s">
        <v>211</v>
      </c>
      <c r="K19477">
        <v>3199.41</v>
      </c>
      <c r="L19477">
        <v>118.62</v>
      </c>
      <c r="M19477">
        <v>14952</v>
      </c>
      <c r="N19477" t="s">
        <v>213</v>
      </c>
      <c r="O19477">
        <v>250311</v>
      </c>
      <c r="P19477">
        <v>465.19</v>
      </c>
    </row>
    <row r="19478" spans="1:16" x14ac:dyDescent="0.25">
      <c r="A19478" t="s">
        <v>3296</v>
      </c>
      <c r="B19478" t="s">
        <v>2931</v>
      </c>
      <c r="C19478">
        <v>2738</v>
      </c>
      <c r="D19478" t="str">
        <f>"0430036273  "</f>
        <v xml:space="preserve">0430036273  </v>
      </c>
      <c r="E19478" t="s">
        <v>2948</v>
      </c>
      <c r="F19478" t="s">
        <v>2949</v>
      </c>
      <c r="G19478">
        <v>1362.23</v>
      </c>
      <c r="H19478">
        <v>250228</v>
      </c>
      <c r="I19478">
        <v>4380</v>
      </c>
      <c r="J19478" t="s">
        <v>211</v>
      </c>
      <c r="K19478">
        <v>3199.41</v>
      </c>
      <c r="L19478">
        <v>276.79000000000002</v>
      </c>
      <c r="M19478">
        <v>14981</v>
      </c>
      <c r="N19478" t="s">
        <v>252</v>
      </c>
      <c r="O19478">
        <v>250311</v>
      </c>
      <c r="P19478">
        <v>1085.44</v>
      </c>
    </row>
    <row r="19479" spans="1:16" x14ac:dyDescent="0.25">
      <c r="A19479" t="s">
        <v>3296</v>
      </c>
      <c r="B19479" t="s">
        <v>2931</v>
      </c>
      <c r="C19479">
        <v>4356</v>
      </c>
      <c r="D19479" t="str">
        <f>"0430036835  "</f>
        <v xml:space="preserve">0430036835  </v>
      </c>
      <c r="E19479" t="s">
        <v>2948</v>
      </c>
      <c r="F19479" t="s">
        <v>2949</v>
      </c>
      <c r="G19479">
        <v>714.3</v>
      </c>
      <c r="H19479">
        <v>250331</v>
      </c>
      <c r="I19479">
        <v>4380</v>
      </c>
      <c r="J19479" t="s">
        <v>211</v>
      </c>
      <c r="K19479">
        <v>8263.59</v>
      </c>
      <c r="L19479">
        <v>145.13999999999999</v>
      </c>
      <c r="M19479">
        <v>14952</v>
      </c>
      <c r="N19479" t="s">
        <v>213</v>
      </c>
      <c r="O19479">
        <v>250411</v>
      </c>
      <c r="P19479">
        <v>569.16</v>
      </c>
    </row>
    <row r="19480" spans="1:16" x14ac:dyDescent="0.25">
      <c r="A19480" t="s">
        <v>3296</v>
      </c>
      <c r="B19480" t="s">
        <v>2931</v>
      </c>
      <c r="C19480">
        <v>4356</v>
      </c>
      <c r="D19480" t="str">
        <f>"0430036835  "</f>
        <v xml:space="preserve">0430036835  </v>
      </c>
      <c r="E19480" t="s">
        <v>2948</v>
      </c>
      <c r="F19480" t="s">
        <v>2949</v>
      </c>
      <c r="G19480">
        <v>1666.7</v>
      </c>
      <c r="H19480">
        <v>250331</v>
      </c>
      <c r="I19480">
        <v>4380</v>
      </c>
      <c r="J19480" t="s">
        <v>211</v>
      </c>
      <c r="K19480">
        <v>8263.59</v>
      </c>
      <c r="L19480">
        <v>338.65</v>
      </c>
      <c r="M19480">
        <v>14981</v>
      </c>
      <c r="N19480" t="s">
        <v>252</v>
      </c>
      <c r="O19480">
        <v>250411</v>
      </c>
      <c r="P19480">
        <v>1328.05</v>
      </c>
    </row>
    <row r="19481" spans="1:16" x14ac:dyDescent="0.25">
      <c r="A19481" t="s">
        <v>3296</v>
      </c>
      <c r="B19481" t="s">
        <v>2931</v>
      </c>
      <c r="C19481">
        <v>6372</v>
      </c>
      <c r="D19481" t="str">
        <f>"0430037296  "</f>
        <v xml:space="preserve">0430037296  </v>
      </c>
      <c r="E19481" t="s">
        <v>2948</v>
      </c>
      <c r="F19481" t="s">
        <v>2949</v>
      </c>
      <c r="G19481">
        <v>517.39</v>
      </c>
      <c r="H19481">
        <v>250430</v>
      </c>
      <c r="I19481">
        <v>4380</v>
      </c>
      <c r="J19481" t="s">
        <v>211</v>
      </c>
      <c r="K19481">
        <v>3728.82</v>
      </c>
      <c r="L19481">
        <v>105.13</v>
      </c>
      <c r="M19481">
        <v>14952</v>
      </c>
      <c r="N19481" t="s">
        <v>213</v>
      </c>
      <c r="O19481">
        <v>250513</v>
      </c>
      <c r="P19481">
        <v>412.26</v>
      </c>
    </row>
    <row r="19482" spans="1:16" x14ac:dyDescent="0.25">
      <c r="A19482" t="s">
        <v>3296</v>
      </c>
      <c r="B19482" t="s">
        <v>2931</v>
      </c>
      <c r="C19482">
        <v>6372</v>
      </c>
      <c r="D19482" t="str">
        <f>"0430037296  "</f>
        <v xml:space="preserve">0430037296  </v>
      </c>
      <c r="E19482" t="s">
        <v>2948</v>
      </c>
      <c r="F19482" t="s">
        <v>2949</v>
      </c>
      <c r="G19482">
        <v>1207.25</v>
      </c>
      <c r="H19482">
        <v>250430</v>
      </c>
      <c r="I19482">
        <v>4380</v>
      </c>
      <c r="J19482" t="s">
        <v>211</v>
      </c>
      <c r="K19482">
        <v>3728.82</v>
      </c>
      <c r="L19482">
        <v>245.3</v>
      </c>
      <c r="M19482">
        <v>14981</v>
      </c>
      <c r="N19482" t="s">
        <v>252</v>
      </c>
      <c r="O19482">
        <v>250513</v>
      </c>
      <c r="P19482">
        <v>961.95</v>
      </c>
    </row>
    <row r="19483" spans="1:16" x14ac:dyDescent="0.25">
      <c r="A19483" t="s">
        <v>3296</v>
      </c>
      <c r="B19483" t="s">
        <v>2931</v>
      </c>
      <c r="C19483">
        <v>9297</v>
      </c>
      <c r="D19483" t="str">
        <f>"1000316     "</f>
        <v xml:space="preserve">1000316     </v>
      </c>
      <c r="E19483" t="s">
        <v>2948</v>
      </c>
      <c r="F19483" t="s">
        <v>2949</v>
      </c>
      <c r="G19483">
        <v>535.38</v>
      </c>
      <c r="H19483">
        <v>250601</v>
      </c>
      <c r="I19483">
        <v>4380</v>
      </c>
      <c r="J19483" t="s">
        <v>211</v>
      </c>
      <c r="K19483">
        <v>2259.92</v>
      </c>
      <c r="L19483">
        <v>108.78</v>
      </c>
      <c r="M19483">
        <v>14952</v>
      </c>
      <c r="N19483" t="s">
        <v>213</v>
      </c>
      <c r="O19483">
        <v>250703</v>
      </c>
      <c r="P19483">
        <v>426.6</v>
      </c>
    </row>
    <row r="19484" spans="1:16" x14ac:dyDescent="0.25">
      <c r="A19484" t="s">
        <v>3296</v>
      </c>
      <c r="B19484" t="s">
        <v>2931</v>
      </c>
      <c r="C19484">
        <v>9297</v>
      </c>
      <c r="D19484" t="str">
        <f>"1000316     "</f>
        <v xml:space="preserve">1000316     </v>
      </c>
      <c r="E19484" t="s">
        <v>2948</v>
      </c>
      <c r="F19484" t="s">
        <v>2949</v>
      </c>
      <c r="G19484">
        <v>1249.22</v>
      </c>
      <c r="H19484">
        <v>250601</v>
      </c>
      <c r="I19484">
        <v>4380</v>
      </c>
      <c r="J19484" t="s">
        <v>211</v>
      </c>
      <c r="K19484">
        <v>2259.92</v>
      </c>
      <c r="L19484">
        <v>253.83</v>
      </c>
      <c r="M19484">
        <v>14981</v>
      </c>
      <c r="N19484" t="s">
        <v>252</v>
      </c>
      <c r="O19484">
        <v>250703</v>
      </c>
      <c r="P19484">
        <v>995.39</v>
      </c>
    </row>
    <row r="19485" spans="1:16" x14ac:dyDescent="0.25">
      <c r="A19485" t="s">
        <v>3296</v>
      </c>
      <c r="B19485" t="s">
        <v>2931</v>
      </c>
      <c r="C19485">
        <v>9531</v>
      </c>
      <c r="D19485" t="str">
        <f>"1000676     "</f>
        <v xml:space="preserve">1000676     </v>
      </c>
      <c r="E19485" t="s">
        <v>2948</v>
      </c>
      <c r="F19485" t="s">
        <v>2949</v>
      </c>
      <c r="G19485">
        <v>507.25</v>
      </c>
      <c r="H19485">
        <v>250630</v>
      </c>
      <c r="I19485">
        <v>4380</v>
      </c>
      <c r="J19485" t="s">
        <v>211</v>
      </c>
      <c r="K19485">
        <v>3056.82</v>
      </c>
      <c r="L19485">
        <v>103.07</v>
      </c>
      <c r="M19485">
        <v>14952</v>
      </c>
      <c r="N19485" t="s">
        <v>213</v>
      </c>
      <c r="O19485">
        <v>250709</v>
      </c>
      <c r="P19485">
        <v>404.18</v>
      </c>
    </row>
    <row r="19486" spans="1:16" x14ac:dyDescent="0.25">
      <c r="A19486" t="s">
        <v>3296</v>
      </c>
      <c r="B19486" t="s">
        <v>2931</v>
      </c>
      <c r="C19486">
        <v>9531</v>
      </c>
      <c r="D19486" t="str">
        <f>"1000676     "</f>
        <v xml:space="preserve">1000676     </v>
      </c>
      <c r="E19486" t="s">
        <v>2948</v>
      </c>
      <c r="F19486" t="s">
        <v>2949</v>
      </c>
      <c r="G19486">
        <v>1183.5899999999999</v>
      </c>
      <c r="H19486">
        <v>250630</v>
      </c>
      <c r="I19486">
        <v>4380</v>
      </c>
      <c r="J19486" t="s">
        <v>211</v>
      </c>
      <c r="K19486">
        <v>3056.82</v>
      </c>
      <c r="L19486">
        <v>240.49</v>
      </c>
      <c r="M19486">
        <v>14981</v>
      </c>
      <c r="N19486" t="s">
        <v>252</v>
      </c>
      <c r="O19486">
        <v>250709</v>
      </c>
      <c r="P19486">
        <v>943.1</v>
      </c>
    </row>
    <row r="19487" spans="1:16" x14ac:dyDescent="0.25">
      <c r="A19487" t="s">
        <v>3296</v>
      </c>
      <c r="B19487" t="s">
        <v>2931</v>
      </c>
      <c r="C19487">
        <v>10211</v>
      </c>
      <c r="D19487" t="str">
        <f>"1001003     "</f>
        <v xml:space="preserve">1001003     </v>
      </c>
      <c r="E19487" t="s">
        <v>2948</v>
      </c>
      <c r="F19487" t="s">
        <v>2949</v>
      </c>
      <c r="G19487">
        <v>203.85</v>
      </c>
      <c r="H19487">
        <v>250731</v>
      </c>
      <c r="I19487">
        <v>4380</v>
      </c>
      <c r="J19487" t="s">
        <v>211</v>
      </c>
      <c r="K19487">
        <v>3249.09</v>
      </c>
      <c r="L19487">
        <v>41.42</v>
      </c>
      <c r="M19487">
        <v>14952</v>
      </c>
      <c r="N19487" t="s">
        <v>213</v>
      </c>
      <c r="O19487">
        <v>250813</v>
      </c>
      <c r="P19487">
        <v>162.43</v>
      </c>
    </row>
    <row r="19488" spans="1:16" x14ac:dyDescent="0.25">
      <c r="A19488" t="s">
        <v>3296</v>
      </c>
      <c r="B19488" t="s">
        <v>2931</v>
      </c>
      <c r="C19488">
        <v>10211</v>
      </c>
      <c r="D19488" t="str">
        <f>"1001003     "</f>
        <v xml:space="preserve">1001003     </v>
      </c>
      <c r="E19488" t="s">
        <v>2948</v>
      </c>
      <c r="F19488" t="s">
        <v>2949</v>
      </c>
      <c r="G19488">
        <v>301.57</v>
      </c>
      <c r="H19488">
        <v>250731</v>
      </c>
      <c r="I19488">
        <v>4380</v>
      </c>
      <c r="J19488" t="s">
        <v>211</v>
      </c>
      <c r="K19488">
        <v>3249.09</v>
      </c>
      <c r="L19488">
        <v>61.28</v>
      </c>
      <c r="M19488">
        <v>14952</v>
      </c>
      <c r="N19488" t="s">
        <v>213</v>
      </c>
      <c r="O19488">
        <v>250813</v>
      </c>
      <c r="P19488">
        <v>240.29</v>
      </c>
    </row>
    <row r="19489" spans="1:16" x14ac:dyDescent="0.25">
      <c r="A19489" t="s">
        <v>3296</v>
      </c>
      <c r="B19489" t="s">
        <v>2931</v>
      </c>
      <c r="C19489">
        <v>10211</v>
      </c>
      <c r="D19489" t="str">
        <f>"1001003     "</f>
        <v xml:space="preserve">1001003     </v>
      </c>
      <c r="E19489" t="s">
        <v>2948</v>
      </c>
      <c r="F19489" t="s">
        <v>2949</v>
      </c>
      <c r="G19489">
        <v>475.64</v>
      </c>
      <c r="H19489">
        <v>250731</v>
      </c>
      <c r="I19489">
        <v>4380</v>
      </c>
      <c r="J19489" t="s">
        <v>211</v>
      </c>
      <c r="K19489">
        <v>3249.09</v>
      </c>
      <c r="L19489">
        <v>96.64</v>
      </c>
      <c r="M19489">
        <v>14981</v>
      </c>
      <c r="N19489" t="s">
        <v>252</v>
      </c>
      <c r="O19489">
        <v>250813</v>
      </c>
      <c r="P19489">
        <v>379</v>
      </c>
    </row>
    <row r="19490" spans="1:16" x14ac:dyDescent="0.25">
      <c r="A19490" t="s">
        <v>3296</v>
      </c>
      <c r="B19490" t="s">
        <v>2931</v>
      </c>
      <c r="C19490">
        <v>10211</v>
      </c>
      <c r="D19490" t="str">
        <f>"1001003     "</f>
        <v xml:space="preserve">1001003     </v>
      </c>
      <c r="E19490" t="s">
        <v>2948</v>
      </c>
      <c r="F19490" t="s">
        <v>2949</v>
      </c>
      <c r="G19490">
        <v>703.65</v>
      </c>
      <c r="H19490">
        <v>250731</v>
      </c>
      <c r="I19490">
        <v>4380</v>
      </c>
      <c r="J19490" t="s">
        <v>211</v>
      </c>
      <c r="K19490">
        <v>3249.09</v>
      </c>
      <c r="L19490">
        <v>142.97</v>
      </c>
      <c r="M19490">
        <v>14981</v>
      </c>
      <c r="N19490" t="s">
        <v>252</v>
      </c>
      <c r="O19490">
        <v>250813</v>
      </c>
      <c r="P19490">
        <v>560.67999999999995</v>
      </c>
    </row>
    <row r="19491" spans="1:16" x14ac:dyDescent="0.25">
      <c r="A19491" t="s">
        <v>3296</v>
      </c>
      <c r="B19491" t="s">
        <v>2931</v>
      </c>
      <c r="C19491">
        <v>11988</v>
      </c>
      <c r="D19491" t="str">
        <f t="shared" ref="D19491:D19496" si="321">"1001511     "</f>
        <v xml:space="preserve">1001511     </v>
      </c>
      <c r="E19491" t="s">
        <v>2948</v>
      </c>
      <c r="F19491" t="s">
        <v>2949</v>
      </c>
      <c r="G19491">
        <v>2.0699999999999998</v>
      </c>
      <c r="H19491">
        <v>250831</v>
      </c>
      <c r="I19491">
        <v>4380</v>
      </c>
      <c r="J19491" t="s">
        <v>211</v>
      </c>
      <c r="K19491">
        <v>2792.94</v>
      </c>
      <c r="L19491">
        <v>0.42</v>
      </c>
      <c r="M19491">
        <v>14952</v>
      </c>
      <c r="N19491" t="s">
        <v>213</v>
      </c>
      <c r="O19491">
        <v>250915</v>
      </c>
      <c r="P19491">
        <v>1.65</v>
      </c>
    </row>
    <row r="19492" spans="1:16" x14ac:dyDescent="0.25">
      <c r="A19492" t="s">
        <v>3296</v>
      </c>
      <c r="B19492" t="s">
        <v>2931</v>
      </c>
      <c r="C19492">
        <v>11988</v>
      </c>
      <c r="D19492" t="str">
        <f t="shared" si="321"/>
        <v xml:space="preserve">1001511     </v>
      </c>
      <c r="E19492" t="s">
        <v>2948</v>
      </c>
      <c r="F19492" t="s">
        <v>2949</v>
      </c>
      <c r="G19492">
        <v>208.74</v>
      </c>
      <c r="H19492">
        <v>250831</v>
      </c>
      <c r="I19492">
        <v>4380</v>
      </c>
      <c r="J19492" t="s">
        <v>211</v>
      </c>
      <c r="K19492">
        <v>2792.94</v>
      </c>
      <c r="L19492">
        <v>42.41</v>
      </c>
      <c r="M19492">
        <v>14952</v>
      </c>
      <c r="N19492" t="s">
        <v>213</v>
      </c>
      <c r="O19492">
        <v>250915</v>
      </c>
      <c r="P19492">
        <v>166.33</v>
      </c>
    </row>
    <row r="19493" spans="1:16" x14ac:dyDescent="0.25">
      <c r="A19493" t="s">
        <v>3296</v>
      </c>
      <c r="B19493" t="s">
        <v>2931</v>
      </c>
      <c r="C19493">
        <v>11988</v>
      </c>
      <c r="D19493" t="str">
        <f t="shared" si="321"/>
        <v xml:space="preserve">1001511     </v>
      </c>
      <c r="E19493" t="s">
        <v>2948</v>
      </c>
      <c r="F19493" t="s">
        <v>2949</v>
      </c>
      <c r="G19493">
        <v>271.77999999999997</v>
      </c>
      <c r="H19493">
        <v>250831</v>
      </c>
      <c r="I19493">
        <v>4380</v>
      </c>
      <c r="J19493" t="s">
        <v>211</v>
      </c>
      <c r="K19493">
        <v>2792.94</v>
      </c>
      <c r="L19493">
        <v>55.22</v>
      </c>
      <c r="M19493">
        <v>14952</v>
      </c>
      <c r="N19493" t="s">
        <v>213</v>
      </c>
      <c r="O19493">
        <v>250915</v>
      </c>
      <c r="P19493">
        <v>216.56</v>
      </c>
    </row>
    <row r="19494" spans="1:16" x14ac:dyDescent="0.25">
      <c r="A19494" t="s">
        <v>3296</v>
      </c>
      <c r="B19494" t="s">
        <v>2931</v>
      </c>
      <c r="C19494">
        <v>11988</v>
      </c>
      <c r="D19494" t="str">
        <f t="shared" si="321"/>
        <v xml:space="preserve">1001511     </v>
      </c>
      <c r="E19494" t="s">
        <v>2948</v>
      </c>
      <c r="F19494" t="s">
        <v>2949</v>
      </c>
      <c r="G19494">
        <v>4.83</v>
      </c>
      <c r="H19494">
        <v>250831</v>
      </c>
      <c r="I19494">
        <v>4380</v>
      </c>
      <c r="J19494" t="s">
        <v>211</v>
      </c>
      <c r="K19494">
        <v>2792.94</v>
      </c>
      <c r="L19494">
        <v>0.98</v>
      </c>
      <c r="M19494">
        <v>14981</v>
      </c>
      <c r="N19494" t="s">
        <v>252</v>
      </c>
      <c r="O19494">
        <v>250915</v>
      </c>
      <c r="P19494">
        <v>3.85</v>
      </c>
    </row>
    <row r="19495" spans="1:16" x14ac:dyDescent="0.25">
      <c r="A19495" t="s">
        <v>3296</v>
      </c>
      <c r="B19495" t="s">
        <v>2931</v>
      </c>
      <c r="C19495">
        <v>11988</v>
      </c>
      <c r="D19495" t="str">
        <f t="shared" si="321"/>
        <v xml:space="preserve">1001511     </v>
      </c>
      <c r="E19495" t="s">
        <v>2948</v>
      </c>
      <c r="F19495" t="s">
        <v>2949</v>
      </c>
      <c r="G19495">
        <v>487.07</v>
      </c>
      <c r="H19495">
        <v>250831</v>
      </c>
      <c r="I19495">
        <v>4380</v>
      </c>
      <c r="J19495" t="s">
        <v>211</v>
      </c>
      <c r="K19495">
        <v>2792.94</v>
      </c>
      <c r="L19495">
        <v>98.97</v>
      </c>
      <c r="M19495">
        <v>14981</v>
      </c>
      <c r="N19495" t="s">
        <v>252</v>
      </c>
      <c r="O19495">
        <v>250915</v>
      </c>
      <c r="P19495">
        <v>388.1</v>
      </c>
    </row>
    <row r="19496" spans="1:16" x14ac:dyDescent="0.25">
      <c r="A19496" t="s">
        <v>3296</v>
      </c>
      <c r="B19496" t="s">
        <v>2931</v>
      </c>
      <c r="C19496">
        <v>11988</v>
      </c>
      <c r="D19496" t="str">
        <f t="shared" si="321"/>
        <v xml:space="preserve">1001511     </v>
      </c>
      <c r="E19496" t="s">
        <v>2948</v>
      </c>
      <c r="F19496" t="s">
        <v>2949</v>
      </c>
      <c r="G19496">
        <v>634.15</v>
      </c>
      <c r="H19496">
        <v>250831</v>
      </c>
      <c r="I19496">
        <v>4380</v>
      </c>
      <c r="J19496" t="s">
        <v>211</v>
      </c>
      <c r="K19496">
        <v>2792.94</v>
      </c>
      <c r="L19496">
        <v>128.85</v>
      </c>
      <c r="M19496">
        <v>14981</v>
      </c>
      <c r="N19496" t="s">
        <v>252</v>
      </c>
      <c r="O19496">
        <v>250915</v>
      </c>
      <c r="P19496">
        <v>505.3</v>
      </c>
    </row>
    <row r="19497" spans="1:16" x14ac:dyDescent="0.25">
      <c r="A19497" t="s">
        <v>3296</v>
      </c>
      <c r="B19497" t="s">
        <v>2931</v>
      </c>
      <c r="C19497">
        <v>13443</v>
      </c>
      <c r="D19497" t="str">
        <f>"1002072     "</f>
        <v xml:space="preserve">1002072     </v>
      </c>
      <c r="E19497" t="s">
        <v>2948</v>
      </c>
      <c r="F19497" t="s">
        <v>2949</v>
      </c>
      <c r="G19497">
        <v>30</v>
      </c>
      <c r="H19497">
        <v>250930</v>
      </c>
      <c r="I19497">
        <v>4380</v>
      </c>
      <c r="J19497" t="s">
        <v>211</v>
      </c>
      <c r="K19497">
        <v>3166.52</v>
      </c>
      <c r="L19497">
        <v>6.1</v>
      </c>
      <c r="M19497">
        <v>14952</v>
      </c>
      <c r="N19497" t="s">
        <v>213</v>
      </c>
      <c r="O19497">
        <v>251010</v>
      </c>
      <c r="P19497">
        <v>23.9</v>
      </c>
    </row>
    <row r="19498" spans="1:16" x14ac:dyDescent="0.25">
      <c r="A19498" t="s">
        <v>3296</v>
      </c>
      <c r="B19498" t="s">
        <v>2931</v>
      </c>
      <c r="C19498">
        <v>13443</v>
      </c>
      <c r="D19498" t="str">
        <f>"1002072     "</f>
        <v xml:space="preserve">1002072     </v>
      </c>
      <c r="E19498" t="s">
        <v>2948</v>
      </c>
      <c r="F19498" t="s">
        <v>2949</v>
      </c>
      <c r="G19498">
        <v>208.74</v>
      </c>
      <c r="H19498">
        <v>250930</v>
      </c>
      <c r="I19498">
        <v>4380</v>
      </c>
      <c r="J19498" t="s">
        <v>211</v>
      </c>
      <c r="K19498">
        <v>3166.52</v>
      </c>
      <c r="L19498">
        <v>42.41</v>
      </c>
      <c r="M19498">
        <v>14952</v>
      </c>
      <c r="N19498" t="s">
        <v>213</v>
      </c>
      <c r="O19498">
        <v>251010</v>
      </c>
      <c r="P19498">
        <v>166.33</v>
      </c>
    </row>
    <row r="19499" spans="1:16" x14ac:dyDescent="0.25">
      <c r="A19499" t="s">
        <v>3296</v>
      </c>
      <c r="B19499" t="s">
        <v>2931</v>
      </c>
      <c r="C19499">
        <v>13443</v>
      </c>
      <c r="D19499" t="str">
        <f>"1002072     "</f>
        <v xml:space="preserve">1002072     </v>
      </c>
      <c r="E19499" t="s">
        <v>2948</v>
      </c>
      <c r="F19499" t="s">
        <v>2949</v>
      </c>
      <c r="G19499">
        <v>487.07</v>
      </c>
      <c r="H19499">
        <v>250930</v>
      </c>
      <c r="I19499">
        <v>4380</v>
      </c>
      <c r="J19499" t="s">
        <v>211</v>
      </c>
      <c r="K19499">
        <v>3166.52</v>
      </c>
      <c r="L19499">
        <v>98.97</v>
      </c>
      <c r="M19499">
        <v>14981</v>
      </c>
      <c r="N19499" t="s">
        <v>252</v>
      </c>
      <c r="O19499">
        <v>251010</v>
      </c>
      <c r="P19499">
        <v>388.1</v>
      </c>
    </row>
    <row r="19500" spans="1:16" x14ac:dyDescent="0.25">
      <c r="A19500" t="s">
        <v>3296</v>
      </c>
      <c r="B19500" t="s">
        <v>2931</v>
      </c>
      <c r="C19500">
        <v>13443</v>
      </c>
      <c r="D19500" t="str">
        <f>"1002072     "</f>
        <v xml:space="preserve">1002072     </v>
      </c>
      <c r="E19500" t="s">
        <v>2948</v>
      </c>
      <c r="F19500" t="s">
        <v>2949</v>
      </c>
      <c r="G19500">
        <v>792.06</v>
      </c>
      <c r="H19500">
        <v>250930</v>
      </c>
      <c r="I19500">
        <v>4380</v>
      </c>
      <c r="J19500" t="s">
        <v>211</v>
      </c>
      <c r="K19500">
        <v>3166.52</v>
      </c>
      <c r="L19500">
        <v>160.94</v>
      </c>
      <c r="M19500">
        <v>14981</v>
      </c>
      <c r="N19500" t="s">
        <v>252</v>
      </c>
      <c r="O19500">
        <v>251010</v>
      </c>
      <c r="P19500">
        <v>631.12</v>
      </c>
    </row>
    <row r="19501" spans="1:16" x14ac:dyDescent="0.25">
      <c r="A19501" t="s">
        <v>3296</v>
      </c>
      <c r="B19501" t="s">
        <v>2931</v>
      </c>
      <c r="C19501">
        <v>15233</v>
      </c>
      <c r="D19501" t="str">
        <f>"1002539     "</f>
        <v xml:space="preserve">1002539     </v>
      </c>
      <c r="E19501" t="s">
        <v>2948</v>
      </c>
      <c r="F19501" t="s">
        <v>2949</v>
      </c>
      <c r="G19501">
        <v>219.62</v>
      </c>
      <c r="H19501">
        <v>251031</v>
      </c>
      <c r="I19501">
        <v>4380</v>
      </c>
      <c r="J19501" t="s">
        <v>211</v>
      </c>
      <c r="K19501">
        <v>2898.17</v>
      </c>
      <c r="L19501">
        <v>44.62</v>
      </c>
      <c r="M19501">
        <v>14952</v>
      </c>
      <c r="N19501" t="s">
        <v>213</v>
      </c>
      <c r="O19501">
        <v>251117</v>
      </c>
      <c r="P19501">
        <v>175</v>
      </c>
    </row>
    <row r="19502" spans="1:16" x14ac:dyDescent="0.25">
      <c r="A19502" t="s">
        <v>3296</v>
      </c>
      <c r="B19502" t="s">
        <v>2931</v>
      </c>
      <c r="C19502">
        <v>15233</v>
      </c>
      <c r="D19502" t="str">
        <f>"1002539     "</f>
        <v xml:space="preserve">1002539     </v>
      </c>
      <c r="E19502" t="s">
        <v>2948</v>
      </c>
      <c r="F19502" t="s">
        <v>2949</v>
      </c>
      <c r="G19502">
        <v>323.27</v>
      </c>
      <c r="H19502">
        <v>251031</v>
      </c>
      <c r="I19502">
        <v>4380</v>
      </c>
      <c r="J19502" t="s">
        <v>211</v>
      </c>
      <c r="K19502">
        <v>2898.17</v>
      </c>
      <c r="L19502">
        <v>65.680000000000007</v>
      </c>
      <c r="M19502">
        <v>14952</v>
      </c>
      <c r="N19502" t="s">
        <v>213</v>
      </c>
      <c r="O19502">
        <v>251117</v>
      </c>
      <c r="P19502">
        <v>257.58999999999997</v>
      </c>
    </row>
    <row r="19503" spans="1:16" x14ac:dyDescent="0.25">
      <c r="A19503" t="s">
        <v>3296</v>
      </c>
      <c r="B19503" t="s">
        <v>2931</v>
      </c>
      <c r="C19503">
        <v>15233</v>
      </c>
      <c r="D19503" t="str">
        <f>"1002539     "</f>
        <v xml:space="preserve">1002539     </v>
      </c>
      <c r="E19503" t="s">
        <v>2948</v>
      </c>
      <c r="F19503" t="s">
        <v>2949</v>
      </c>
      <c r="G19503">
        <v>512.46</v>
      </c>
      <c r="H19503">
        <v>251031</v>
      </c>
      <c r="I19503">
        <v>4380</v>
      </c>
      <c r="J19503" t="s">
        <v>211</v>
      </c>
      <c r="K19503">
        <v>2898.17</v>
      </c>
      <c r="L19503">
        <v>104.13</v>
      </c>
      <c r="M19503">
        <v>14981</v>
      </c>
      <c r="N19503" t="s">
        <v>252</v>
      </c>
      <c r="O19503">
        <v>251117</v>
      </c>
      <c r="P19503">
        <v>408.33</v>
      </c>
    </row>
    <row r="19504" spans="1:16" x14ac:dyDescent="0.25">
      <c r="A19504" t="s">
        <v>3296</v>
      </c>
      <c r="B19504" t="s">
        <v>2931</v>
      </c>
      <c r="C19504">
        <v>15233</v>
      </c>
      <c r="D19504" t="str">
        <f>"1002539     "</f>
        <v xml:space="preserve">1002539     </v>
      </c>
      <c r="E19504" t="s">
        <v>2948</v>
      </c>
      <c r="F19504" t="s">
        <v>2949</v>
      </c>
      <c r="G19504">
        <v>754.29</v>
      </c>
      <c r="H19504">
        <v>251031</v>
      </c>
      <c r="I19504">
        <v>4380</v>
      </c>
      <c r="J19504" t="s">
        <v>211</v>
      </c>
      <c r="K19504">
        <v>2898.17</v>
      </c>
      <c r="L19504">
        <v>153.26</v>
      </c>
      <c r="M19504">
        <v>14981</v>
      </c>
      <c r="N19504" t="s">
        <v>252</v>
      </c>
      <c r="O19504">
        <v>251117</v>
      </c>
      <c r="P19504">
        <v>601.03</v>
      </c>
    </row>
    <row r="19505" spans="1:16" x14ac:dyDescent="0.25">
      <c r="A19505" t="s">
        <v>3296</v>
      </c>
      <c r="B19505" t="s">
        <v>2931</v>
      </c>
      <c r="C19505">
        <v>15341</v>
      </c>
      <c r="D19505" t="str">
        <f>"1002540     "</f>
        <v xml:space="preserve">1002540     </v>
      </c>
      <c r="E19505" t="s">
        <v>2948</v>
      </c>
      <c r="F19505" t="s">
        <v>2949</v>
      </c>
      <c r="G19505">
        <v>1.65</v>
      </c>
      <c r="H19505">
        <v>251031</v>
      </c>
      <c r="I19505">
        <v>4380</v>
      </c>
      <c r="J19505" t="s">
        <v>211</v>
      </c>
      <c r="K19505">
        <v>856.89</v>
      </c>
      <c r="L19505">
        <v>0.34</v>
      </c>
      <c r="M19505">
        <v>14952</v>
      </c>
      <c r="N19505" t="s">
        <v>213</v>
      </c>
      <c r="O19505">
        <v>251119</v>
      </c>
      <c r="P19505">
        <v>1.31</v>
      </c>
    </row>
    <row r="19506" spans="1:16" x14ac:dyDescent="0.25">
      <c r="A19506" t="s">
        <v>3296</v>
      </c>
      <c r="B19506" t="s">
        <v>2931</v>
      </c>
      <c r="C19506">
        <v>15341</v>
      </c>
      <c r="D19506" t="str">
        <f>"1002540     "</f>
        <v xml:space="preserve">1002540     </v>
      </c>
      <c r="E19506" t="s">
        <v>2948</v>
      </c>
      <c r="F19506" t="s">
        <v>2949</v>
      </c>
      <c r="G19506">
        <v>3.85</v>
      </c>
      <c r="H19506">
        <v>251031</v>
      </c>
      <c r="I19506">
        <v>4380</v>
      </c>
      <c r="J19506" t="s">
        <v>211</v>
      </c>
      <c r="K19506">
        <v>856.89</v>
      </c>
      <c r="L19506">
        <v>0.78</v>
      </c>
      <c r="M19506">
        <v>14981</v>
      </c>
      <c r="N19506" t="s">
        <v>252</v>
      </c>
      <c r="O19506">
        <v>251119</v>
      </c>
      <c r="P19506">
        <v>3.07</v>
      </c>
    </row>
    <row r="19507" spans="1:16" x14ac:dyDescent="0.25">
      <c r="A19507" t="s">
        <v>3296</v>
      </c>
      <c r="B19507" t="s">
        <v>2931</v>
      </c>
      <c r="C19507">
        <v>16615</v>
      </c>
      <c r="D19507" t="str">
        <f>"1003128     "</f>
        <v xml:space="preserve">1003128     </v>
      </c>
      <c r="E19507" t="s">
        <v>2948</v>
      </c>
      <c r="F19507" t="s">
        <v>2949</v>
      </c>
      <c r="G19507">
        <v>189.77</v>
      </c>
      <c r="H19507">
        <v>251130</v>
      </c>
      <c r="I19507">
        <v>4380</v>
      </c>
      <c r="J19507" t="s">
        <v>211</v>
      </c>
      <c r="K19507">
        <v>3383.79</v>
      </c>
      <c r="L19507">
        <v>38.56</v>
      </c>
      <c r="M19507">
        <v>14952</v>
      </c>
      <c r="N19507" t="s">
        <v>213</v>
      </c>
      <c r="O19507">
        <v>251210</v>
      </c>
      <c r="P19507">
        <v>151.21</v>
      </c>
    </row>
    <row r="19508" spans="1:16" x14ac:dyDescent="0.25">
      <c r="A19508" t="s">
        <v>3296</v>
      </c>
      <c r="B19508" t="s">
        <v>2931</v>
      </c>
      <c r="C19508">
        <v>16615</v>
      </c>
      <c r="D19508" t="str">
        <f>"1003128     "</f>
        <v xml:space="preserve">1003128     </v>
      </c>
      <c r="E19508" t="s">
        <v>2948</v>
      </c>
      <c r="F19508" t="s">
        <v>2949</v>
      </c>
      <c r="G19508">
        <v>228.47</v>
      </c>
      <c r="H19508">
        <v>251130</v>
      </c>
      <c r="I19508">
        <v>4380</v>
      </c>
      <c r="J19508" t="s">
        <v>211</v>
      </c>
      <c r="K19508">
        <v>3383.79</v>
      </c>
      <c r="L19508">
        <v>46.42</v>
      </c>
      <c r="M19508">
        <v>14952</v>
      </c>
      <c r="N19508" t="s">
        <v>213</v>
      </c>
      <c r="O19508">
        <v>251210</v>
      </c>
      <c r="P19508">
        <v>182.05</v>
      </c>
    </row>
    <row r="19509" spans="1:16" x14ac:dyDescent="0.25">
      <c r="A19509" t="s">
        <v>3296</v>
      </c>
      <c r="B19509" t="s">
        <v>2931</v>
      </c>
      <c r="C19509">
        <v>16615</v>
      </c>
      <c r="D19509" t="str">
        <f>"1003128     "</f>
        <v xml:space="preserve">1003128     </v>
      </c>
      <c r="E19509" t="s">
        <v>2948</v>
      </c>
      <c r="F19509" t="s">
        <v>2949</v>
      </c>
      <c r="G19509">
        <v>442.79</v>
      </c>
      <c r="H19509">
        <v>251130</v>
      </c>
      <c r="I19509">
        <v>4380</v>
      </c>
      <c r="J19509" t="s">
        <v>211</v>
      </c>
      <c r="K19509">
        <v>3383.79</v>
      </c>
      <c r="L19509">
        <v>89.97</v>
      </c>
      <c r="M19509">
        <v>14981</v>
      </c>
      <c r="N19509" t="s">
        <v>252</v>
      </c>
      <c r="O19509">
        <v>251210</v>
      </c>
      <c r="P19509">
        <v>352.82</v>
      </c>
    </row>
    <row r="19510" spans="1:16" x14ac:dyDescent="0.25">
      <c r="A19510" t="s">
        <v>3296</v>
      </c>
      <c r="B19510" t="s">
        <v>2931</v>
      </c>
      <c r="C19510">
        <v>16615</v>
      </c>
      <c r="D19510" t="str">
        <f>"1003128     "</f>
        <v xml:space="preserve">1003128     </v>
      </c>
      <c r="E19510" t="s">
        <v>2948</v>
      </c>
      <c r="F19510" t="s">
        <v>2949</v>
      </c>
      <c r="G19510">
        <v>533.09</v>
      </c>
      <c r="H19510">
        <v>251130</v>
      </c>
      <c r="I19510">
        <v>4380</v>
      </c>
      <c r="J19510" t="s">
        <v>211</v>
      </c>
      <c r="K19510">
        <v>3383.79</v>
      </c>
      <c r="L19510">
        <v>108.32</v>
      </c>
      <c r="M19510">
        <v>14981</v>
      </c>
      <c r="N19510" t="s">
        <v>252</v>
      </c>
      <c r="O19510">
        <v>251210</v>
      </c>
      <c r="P19510">
        <v>424.77</v>
      </c>
    </row>
    <row r="19511" spans="1:16" x14ac:dyDescent="0.25">
      <c r="A19511" t="s">
        <v>3296</v>
      </c>
      <c r="B19511" t="s">
        <v>2931</v>
      </c>
      <c r="C19511">
        <v>18453</v>
      </c>
      <c r="D19511" t="str">
        <f>"1003864     "</f>
        <v xml:space="preserve">1003864     </v>
      </c>
      <c r="E19511" t="s">
        <v>2948</v>
      </c>
      <c r="F19511" t="s">
        <v>2949</v>
      </c>
      <c r="G19511">
        <v>564.29999999999995</v>
      </c>
      <c r="H19511">
        <v>251231</v>
      </c>
      <c r="I19511">
        <v>4380</v>
      </c>
      <c r="J19511" t="s">
        <v>211</v>
      </c>
      <c r="K19511">
        <v>5032.91</v>
      </c>
      <c r="L19511">
        <v>114.66</v>
      </c>
      <c r="M19511">
        <v>14952</v>
      </c>
      <c r="N19511" t="s">
        <v>213</v>
      </c>
      <c r="O19511">
        <v>260113</v>
      </c>
      <c r="P19511">
        <v>449.64</v>
      </c>
    </row>
    <row r="19512" spans="1:16" x14ac:dyDescent="0.25">
      <c r="A19512" t="s">
        <v>3296</v>
      </c>
      <c r="B19512" t="s">
        <v>2931</v>
      </c>
      <c r="C19512">
        <v>18453</v>
      </c>
      <c r="D19512" t="str">
        <f>"1003864     "</f>
        <v xml:space="preserve">1003864     </v>
      </c>
      <c r="E19512" t="s">
        <v>2948</v>
      </c>
      <c r="F19512" t="s">
        <v>2949</v>
      </c>
      <c r="G19512">
        <v>595.37</v>
      </c>
      <c r="H19512">
        <v>251231</v>
      </c>
      <c r="I19512">
        <v>4380</v>
      </c>
      <c r="J19512" t="s">
        <v>211</v>
      </c>
      <c r="K19512">
        <v>5032.91</v>
      </c>
      <c r="L19512">
        <v>120.97</v>
      </c>
      <c r="M19512">
        <v>14952</v>
      </c>
      <c r="N19512" t="s">
        <v>213</v>
      </c>
      <c r="O19512">
        <v>260113</v>
      </c>
      <c r="P19512">
        <v>474.4</v>
      </c>
    </row>
    <row r="19513" spans="1:16" x14ac:dyDescent="0.25">
      <c r="A19513" t="s">
        <v>3296</v>
      </c>
      <c r="B19513" t="s">
        <v>2931</v>
      </c>
      <c r="C19513">
        <v>18453</v>
      </c>
      <c r="D19513" t="str">
        <f>"1003864     "</f>
        <v xml:space="preserve">1003864     </v>
      </c>
      <c r="E19513" t="s">
        <v>2948</v>
      </c>
      <c r="F19513" t="s">
        <v>2949</v>
      </c>
      <c r="G19513">
        <v>1316.7</v>
      </c>
      <c r="H19513">
        <v>251231</v>
      </c>
      <c r="I19513">
        <v>4380</v>
      </c>
      <c r="J19513" t="s">
        <v>211</v>
      </c>
      <c r="K19513">
        <v>5032.91</v>
      </c>
      <c r="L19513">
        <v>267.54000000000002</v>
      </c>
      <c r="M19513">
        <v>14981</v>
      </c>
      <c r="N19513" t="s">
        <v>252</v>
      </c>
      <c r="O19513">
        <v>260113</v>
      </c>
      <c r="P19513">
        <v>1049.1600000000001</v>
      </c>
    </row>
    <row r="19514" spans="1:16" x14ac:dyDescent="0.25">
      <c r="A19514" t="s">
        <v>3296</v>
      </c>
      <c r="B19514" t="s">
        <v>2931</v>
      </c>
      <c r="C19514">
        <v>18453</v>
      </c>
      <c r="D19514" t="str">
        <f>"1003864     "</f>
        <v xml:space="preserve">1003864     </v>
      </c>
      <c r="E19514" t="s">
        <v>2948</v>
      </c>
      <c r="F19514" t="s">
        <v>2949</v>
      </c>
      <c r="G19514">
        <v>1389.2</v>
      </c>
      <c r="H19514">
        <v>251231</v>
      </c>
      <c r="I19514">
        <v>4380</v>
      </c>
      <c r="J19514" t="s">
        <v>211</v>
      </c>
      <c r="K19514">
        <v>5032.91</v>
      </c>
      <c r="L19514">
        <v>282.27</v>
      </c>
      <c r="M19514">
        <v>14981</v>
      </c>
      <c r="N19514" t="s">
        <v>252</v>
      </c>
      <c r="O19514">
        <v>260113</v>
      </c>
      <c r="P19514">
        <v>1106.93</v>
      </c>
    </row>
    <row r="19515" spans="1:16" x14ac:dyDescent="0.25">
      <c r="A19515" t="s">
        <v>3296</v>
      </c>
      <c r="B19515" t="s">
        <v>2931</v>
      </c>
      <c r="C19515">
        <v>127</v>
      </c>
      <c r="D19515" t="str">
        <f>"0106382650  "</f>
        <v xml:space="preserve">0106382650  </v>
      </c>
      <c r="E19515" t="s">
        <v>2948</v>
      </c>
      <c r="F19515" t="s">
        <v>2949</v>
      </c>
      <c r="G19515">
        <v>157.75</v>
      </c>
      <c r="H19515">
        <v>250101</v>
      </c>
      <c r="I19515">
        <v>4390</v>
      </c>
      <c r="J19515" t="s">
        <v>232</v>
      </c>
      <c r="K19515">
        <v>525.85</v>
      </c>
      <c r="L19515">
        <v>32.049999999999997</v>
      </c>
      <c r="M19515">
        <v>14952</v>
      </c>
      <c r="N19515" t="s">
        <v>213</v>
      </c>
      <c r="O19515">
        <v>250113</v>
      </c>
      <c r="P19515">
        <v>125.7</v>
      </c>
    </row>
    <row r="19516" spans="1:16" x14ac:dyDescent="0.25">
      <c r="A19516" t="s">
        <v>3296</v>
      </c>
      <c r="B19516" t="s">
        <v>2931</v>
      </c>
      <c r="C19516">
        <v>127</v>
      </c>
      <c r="D19516" t="str">
        <f>"0106382650  "</f>
        <v xml:space="preserve">0106382650  </v>
      </c>
      <c r="E19516" t="s">
        <v>2948</v>
      </c>
      <c r="F19516" t="s">
        <v>2949</v>
      </c>
      <c r="G19516">
        <v>368.1</v>
      </c>
      <c r="H19516">
        <v>250101</v>
      </c>
      <c r="I19516">
        <v>4390</v>
      </c>
      <c r="J19516" t="s">
        <v>232</v>
      </c>
      <c r="K19516">
        <v>525.85</v>
      </c>
      <c r="L19516">
        <v>74.790000000000006</v>
      </c>
      <c r="M19516">
        <v>14981</v>
      </c>
      <c r="N19516" t="s">
        <v>252</v>
      </c>
      <c r="O19516">
        <v>250113</v>
      </c>
      <c r="P19516">
        <v>293.31</v>
      </c>
    </row>
    <row r="19517" spans="1:16" x14ac:dyDescent="0.25">
      <c r="A19517" t="s">
        <v>3296</v>
      </c>
      <c r="B19517" t="s">
        <v>2931</v>
      </c>
      <c r="C19517">
        <v>1487</v>
      </c>
      <c r="D19517" t="str">
        <f>"0430036082  "</f>
        <v xml:space="preserve">0430036082  </v>
      </c>
      <c r="E19517" t="s">
        <v>2948</v>
      </c>
      <c r="F19517" t="s">
        <v>2949</v>
      </c>
      <c r="G19517">
        <v>388.69</v>
      </c>
      <c r="H19517">
        <v>250131</v>
      </c>
      <c r="I19517">
        <v>4390</v>
      </c>
      <c r="J19517" t="s">
        <v>232</v>
      </c>
      <c r="K19517">
        <v>1402.32</v>
      </c>
      <c r="L19517">
        <v>78.98</v>
      </c>
      <c r="M19517">
        <v>14952</v>
      </c>
      <c r="N19517" t="s">
        <v>213</v>
      </c>
      <c r="O19517">
        <v>250210</v>
      </c>
      <c r="P19517">
        <v>309.70999999999998</v>
      </c>
    </row>
    <row r="19518" spans="1:16" x14ac:dyDescent="0.25">
      <c r="A19518" t="s">
        <v>3296</v>
      </c>
      <c r="B19518" t="s">
        <v>2931</v>
      </c>
      <c r="C19518">
        <v>1487</v>
      </c>
      <c r="D19518" t="str">
        <f>"0430036082  "</f>
        <v xml:space="preserve">0430036082  </v>
      </c>
      <c r="E19518" t="s">
        <v>2948</v>
      </c>
      <c r="F19518" t="s">
        <v>2949</v>
      </c>
      <c r="G19518">
        <v>906.96</v>
      </c>
      <c r="H19518">
        <v>250131</v>
      </c>
      <c r="I19518">
        <v>4390</v>
      </c>
      <c r="J19518" t="s">
        <v>232</v>
      </c>
      <c r="K19518">
        <v>1402.32</v>
      </c>
      <c r="L19518">
        <v>184.28</v>
      </c>
      <c r="M19518">
        <v>14981</v>
      </c>
      <c r="N19518" t="s">
        <v>252</v>
      </c>
      <c r="O19518">
        <v>250210</v>
      </c>
      <c r="P19518">
        <v>722.68</v>
      </c>
    </row>
    <row r="19519" spans="1:16" x14ac:dyDescent="0.25">
      <c r="A19519" t="s">
        <v>3296</v>
      </c>
      <c r="B19519" t="s">
        <v>2931</v>
      </c>
      <c r="C19519">
        <v>1492</v>
      </c>
      <c r="D19519" t="str">
        <f>"0106411849  "</f>
        <v xml:space="preserve">0106411849  </v>
      </c>
      <c r="E19519" t="s">
        <v>2948</v>
      </c>
      <c r="F19519" t="s">
        <v>2949</v>
      </c>
      <c r="G19519">
        <v>157.75</v>
      </c>
      <c r="H19519">
        <v>250201</v>
      </c>
      <c r="I19519">
        <v>4390</v>
      </c>
      <c r="J19519" t="s">
        <v>232</v>
      </c>
      <c r="K19519">
        <v>525.85</v>
      </c>
      <c r="L19519">
        <v>32.049999999999997</v>
      </c>
      <c r="M19519">
        <v>14952</v>
      </c>
      <c r="N19519" t="s">
        <v>213</v>
      </c>
      <c r="O19519">
        <v>250210</v>
      </c>
      <c r="P19519">
        <v>125.7</v>
      </c>
    </row>
    <row r="19520" spans="1:16" x14ac:dyDescent="0.25">
      <c r="A19520" t="s">
        <v>3296</v>
      </c>
      <c r="B19520" t="s">
        <v>2931</v>
      </c>
      <c r="C19520">
        <v>1492</v>
      </c>
      <c r="D19520" t="str">
        <f>"0106411849  "</f>
        <v xml:space="preserve">0106411849  </v>
      </c>
      <c r="E19520" t="s">
        <v>2948</v>
      </c>
      <c r="F19520" t="s">
        <v>2949</v>
      </c>
      <c r="G19520">
        <v>368.1</v>
      </c>
      <c r="H19520">
        <v>250201</v>
      </c>
      <c r="I19520">
        <v>4390</v>
      </c>
      <c r="J19520" t="s">
        <v>232</v>
      </c>
      <c r="K19520">
        <v>525.85</v>
      </c>
      <c r="L19520">
        <v>74.790000000000006</v>
      </c>
      <c r="M19520">
        <v>14981</v>
      </c>
      <c r="N19520" t="s">
        <v>252</v>
      </c>
      <c r="O19520">
        <v>250210</v>
      </c>
      <c r="P19520">
        <v>293.31</v>
      </c>
    </row>
    <row r="19521" spans="1:16" x14ac:dyDescent="0.25">
      <c r="A19521" t="s">
        <v>3296</v>
      </c>
      <c r="B19521" t="s">
        <v>2931</v>
      </c>
      <c r="C19521">
        <v>2738</v>
      </c>
      <c r="D19521" t="str">
        <f>"0430036273  "</f>
        <v xml:space="preserve">0430036273  </v>
      </c>
      <c r="E19521" t="s">
        <v>2948</v>
      </c>
      <c r="F19521" t="s">
        <v>2949</v>
      </c>
      <c r="G19521">
        <v>216.83</v>
      </c>
      <c r="H19521">
        <v>250228</v>
      </c>
      <c r="I19521">
        <v>4390</v>
      </c>
      <c r="J19521" t="s">
        <v>232</v>
      </c>
      <c r="K19521">
        <v>3199.41</v>
      </c>
      <c r="L19521">
        <v>44.06</v>
      </c>
      <c r="M19521">
        <v>14952</v>
      </c>
      <c r="N19521" t="s">
        <v>213</v>
      </c>
      <c r="O19521">
        <v>250311</v>
      </c>
      <c r="P19521">
        <v>172.77</v>
      </c>
    </row>
    <row r="19522" spans="1:16" x14ac:dyDescent="0.25">
      <c r="A19522" t="s">
        <v>3296</v>
      </c>
      <c r="B19522" t="s">
        <v>2931</v>
      </c>
      <c r="C19522">
        <v>2738</v>
      </c>
      <c r="D19522" t="str">
        <f>"0430036273  "</f>
        <v xml:space="preserve">0430036273  </v>
      </c>
      <c r="E19522" t="s">
        <v>2948</v>
      </c>
      <c r="F19522" t="s">
        <v>2949</v>
      </c>
      <c r="G19522">
        <v>505.93</v>
      </c>
      <c r="H19522">
        <v>250228</v>
      </c>
      <c r="I19522">
        <v>4390</v>
      </c>
      <c r="J19522" t="s">
        <v>232</v>
      </c>
      <c r="K19522">
        <v>3199.41</v>
      </c>
      <c r="L19522">
        <v>102.8</v>
      </c>
      <c r="M19522">
        <v>14981</v>
      </c>
      <c r="N19522" t="s">
        <v>252</v>
      </c>
      <c r="O19522">
        <v>250311</v>
      </c>
      <c r="P19522">
        <v>403.13</v>
      </c>
    </row>
    <row r="19523" spans="1:16" x14ac:dyDescent="0.25">
      <c r="A19523" t="s">
        <v>3296</v>
      </c>
      <c r="B19523" t="s">
        <v>2931</v>
      </c>
      <c r="C19523">
        <v>2903</v>
      </c>
      <c r="D19523" t="str">
        <f>"0106424818  "</f>
        <v xml:space="preserve">0106424818  </v>
      </c>
      <c r="E19523" t="s">
        <v>2948</v>
      </c>
      <c r="F19523" t="s">
        <v>2949</v>
      </c>
      <c r="G19523">
        <v>157.75</v>
      </c>
      <c r="H19523">
        <v>250301</v>
      </c>
      <c r="I19523">
        <v>4390</v>
      </c>
      <c r="J19523" t="s">
        <v>232</v>
      </c>
      <c r="K19523">
        <v>525.85</v>
      </c>
      <c r="L19523">
        <v>32.049999999999997</v>
      </c>
      <c r="M19523">
        <v>14952</v>
      </c>
      <c r="N19523" t="s">
        <v>213</v>
      </c>
      <c r="O19523">
        <v>250313</v>
      </c>
      <c r="P19523">
        <v>125.7</v>
      </c>
    </row>
    <row r="19524" spans="1:16" x14ac:dyDescent="0.25">
      <c r="A19524" t="s">
        <v>3296</v>
      </c>
      <c r="B19524" t="s">
        <v>2931</v>
      </c>
      <c r="C19524">
        <v>2903</v>
      </c>
      <c r="D19524" t="str">
        <f>"0106424818  "</f>
        <v xml:space="preserve">0106424818  </v>
      </c>
      <c r="E19524" t="s">
        <v>2948</v>
      </c>
      <c r="F19524" t="s">
        <v>2949</v>
      </c>
      <c r="G19524">
        <v>368.1</v>
      </c>
      <c r="H19524">
        <v>250301</v>
      </c>
      <c r="I19524">
        <v>4390</v>
      </c>
      <c r="J19524" t="s">
        <v>232</v>
      </c>
      <c r="K19524">
        <v>525.85</v>
      </c>
      <c r="L19524">
        <v>74.790000000000006</v>
      </c>
      <c r="M19524">
        <v>14981</v>
      </c>
      <c r="N19524" t="s">
        <v>252</v>
      </c>
      <c r="O19524">
        <v>250313</v>
      </c>
      <c r="P19524">
        <v>293.31</v>
      </c>
    </row>
    <row r="19525" spans="1:16" x14ac:dyDescent="0.25">
      <c r="A19525" t="s">
        <v>3296</v>
      </c>
      <c r="B19525" t="s">
        <v>2931</v>
      </c>
      <c r="C19525">
        <v>4356</v>
      </c>
      <c r="D19525" t="str">
        <f>"0430036835  "</f>
        <v xml:space="preserve">0430036835  </v>
      </c>
      <c r="E19525" t="s">
        <v>2948</v>
      </c>
      <c r="F19525" t="s">
        <v>2949</v>
      </c>
      <c r="G19525">
        <v>38.119999999999997</v>
      </c>
      <c r="H19525">
        <v>250331</v>
      </c>
      <c r="I19525">
        <v>4390</v>
      </c>
      <c r="J19525" t="s">
        <v>232</v>
      </c>
      <c r="K19525">
        <v>8263.59</v>
      </c>
      <c r="L19525">
        <v>7.75</v>
      </c>
      <c r="M19525">
        <v>14952</v>
      </c>
      <c r="N19525" t="s">
        <v>213</v>
      </c>
      <c r="O19525">
        <v>250411</v>
      </c>
      <c r="P19525">
        <v>30.37</v>
      </c>
    </row>
    <row r="19526" spans="1:16" x14ac:dyDescent="0.25">
      <c r="A19526" t="s">
        <v>3296</v>
      </c>
      <c r="B19526" t="s">
        <v>2931</v>
      </c>
      <c r="C19526">
        <v>4356</v>
      </c>
      <c r="D19526" t="str">
        <f>"0430036835  "</f>
        <v xml:space="preserve">0430036835  </v>
      </c>
      <c r="E19526" t="s">
        <v>2948</v>
      </c>
      <c r="F19526" t="s">
        <v>2949</v>
      </c>
      <c r="G19526">
        <v>1574.98</v>
      </c>
      <c r="H19526">
        <v>250331</v>
      </c>
      <c r="I19526">
        <v>4390</v>
      </c>
      <c r="J19526" t="s">
        <v>232</v>
      </c>
      <c r="K19526">
        <v>8263.59</v>
      </c>
      <c r="L19526">
        <v>320.02</v>
      </c>
      <c r="M19526">
        <v>14952</v>
      </c>
      <c r="N19526" t="s">
        <v>213</v>
      </c>
      <c r="O19526">
        <v>250411</v>
      </c>
      <c r="P19526">
        <v>1254.96</v>
      </c>
    </row>
    <row r="19527" spans="1:16" x14ac:dyDescent="0.25">
      <c r="A19527" t="s">
        <v>3296</v>
      </c>
      <c r="B19527" t="s">
        <v>2931</v>
      </c>
      <c r="C19527">
        <v>4356</v>
      </c>
      <c r="D19527" t="str">
        <f>"0430036835  "</f>
        <v xml:space="preserve">0430036835  </v>
      </c>
      <c r="E19527" t="s">
        <v>2948</v>
      </c>
      <c r="F19527" t="s">
        <v>2949</v>
      </c>
      <c r="G19527">
        <v>88.94</v>
      </c>
      <c r="H19527">
        <v>250331</v>
      </c>
      <c r="I19527">
        <v>4390</v>
      </c>
      <c r="J19527" t="s">
        <v>232</v>
      </c>
      <c r="K19527">
        <v>8263.59</v>
      </c>
      <c r="L19527">
        <v>18.07</v>
      </c>
      <c r="M19527">
        <v>14981</v>
      </c>
      <c r="N19527" t="s">
        <v>252</v>
      </c>
      <c r="O19527">
        <v>250411</v>
      </c>
      <c r="P19527">
        <v>70.87</v>
      </c>
    </row>
    <row r="19528" spans="1:16" x14ac:dyDescent="0.25">
      <c r="A19528" t="s">
        <v>3296</v>
      </c>
      <c r="B19528" t="s">
        <v>2931</v>
      </c>
      <c r="C19528">
        <v>4356</v>
      </c>
      <c r="D19528" t="str">
        <f>"0430036835  "</f>
        <v xml:space="preserve">0430036835  </v>
      </c>
      <c r="E19528" t="s">
        <v>2948</v>
      </c>
      <c r="F19528" t="s">
        <v>2949</v>
      </c>
      <c r="G19528">
        <v>3674.95</v>
      </c>
      <c r="H19528">
        <v>250331</v>
      </c>
      <c r="I19528">
        <v>4390</v>
      </c>
      <c r="J19528" t="s">
        <v>232</v>
      </c>
      <c r="K19528">
        <v>8263.59</v>
      </c>
      <c r="L19528">
        <v>746.7</v>
      </c>
      <c r="M19528">
        <v>14981</v>
      </c>
      <c r="N19528" t="s">
        <v>252</v>
      </c>
      <c r="O19528">
        <v>250411</v>
      </c>
      <c r="P19528">
        <v>2928.25</v>
      </c>
    </row>
    <row r="19529" spans="1:16" x14ac:dyDescent="0.25">
      <c r="A19529" t="s">
        <v>3296</v>
      </c>
      <c r="B19529" t="s">
        <v>2931</v>
      </c>
      <c r="C19529">
        <v>4516</v>
      </c>
      <c r="D19529" t="str">
        <f>"0106429253  "</f>
        <v xml:space="preserve">0106429253  </v>
      </c>
      <c r="E19529" t="s">
        <v>2948</v>
      </c>
      <c r="F19529" t="s">
        <v>2949</v>
      </c>
      <c r="G19529">
        <v>157.75</v>
      </c>
      <c r="H19529">
        <v>250401</v>
      </c>
      <c r="I19529">
        <v>4390</v>
      </c>
      <c r="J19529" t="s">
        <v>232</v>
      </c>
      <c r="K19529">
        <v>525.85</v>
      </c>
      <c r="L19529">
        <v>32.049999999999997</v>
      </c>
      <c r="M19529">
        <v>14952</v>
      </c>
      <c r="N19529" t="s">
        <v>213</v>
      </c>
      <c r="O19529">
        <v>250414</v>
      </c>
      <c r="P19529">
        <v>125.7</v>
      </c>
    </row>
    <row r="19530" spans="1:16" x14ac:dyDescent="0.25">
      <c r="A19530" t="s">
        <v>3296</v>
      </c>
      <c r="B19530" t="s">
        <v>2931</v>
      </c>
      <c r="C19530">
        <v>4516</v>
      </c>
      <c r="D19530" t="str">
        <f>"0106429253  "</f>
        <v xml:space="preserve">0106429253  </v>
      </c>
      <c r="E19530" t="s">
        <v>2948</v>
      </c>
      <c r="F19530" t="s">
        <v>2949</v>
      </c>
      <c r="G19530">
        <v>368.1</v>
      </c>
      <c r="H19530">
        <v>250401</v>
      </c>
      <c r="I19530">
        <v>4390</v>
      </c>
      <c r="J19530" t="s">
        <v>232</v>
      </c>
      <c r="K19530">
        <v>525.85</v>
      </c>
      <c r="L19530">
        <v>74.790000000000006</v>
      </c>
      <c r="M19530">
        <v>14981</v>
      </c>
      <c r="N19530" t="s">
        <v>252</v>
      </c>
      <c r="O19530">
        <v>250414</v>
      </c>
      <c r="P19530">
        <v>293.31</v>
      </c>
    </row>
    <row r="19531" spans="1:16" x14ac:dyDescent="0.25">
      <c r="A19531" t="s">
        <v>3296</v>
      </c>
      <c r="B19531" t="s">
        <v>2931</v>
      </c>
      <c r="C19531">
        <v>5891</v>
      </c>
      <c r="D19531" t="str">
        <f>"1000021     "</f>
        <v xml:space="preserve">1000021     </v>
      </c>
      <c r="E19531" t="s">
        <v>2948</v>
      </c>
      <c r="F19531" t="s">
        <v>2949</v>
      </c>
      <c r="G19531">
        <v>157.75</v>
      </c>
      <c r="H19531">
        <v>250502</v>
      </c>
      <c r="I19531">
        <v>4390</v>
      </c>
      <c r="J19531" t="s">
        <v>232</v>
      </c>
      <c r="K19531">
        <v>525.85</v>
      </c>
      <c r="L19531">
        <v>32.049999999999997</v>
      </c>
      <c r="M19531">
        <v>14952</v>
      </c>
      <c r="N19531" t="s">
        <v>213</v>
      </c>
      <c r="O19531">
        <v>250507</v>
      </c>
      <c r="P19531">
        <v>125.7</v>
      </c>
    </row>
    <row r="19532" spans="1:16" x14ac:dyDescent="0.25">
      <c r="A19532" t="s">
        <v>3296</v>
      </c>
      <c r="B19532" t="s">
        <v>2931</v>
      </c>
      <c r="C19532">
        <v>5891</v>
      </c>
      <c r="D19532" t="str">
        <f>"1000021     "</f>
        <v xml:space="preserve">1000021     </v>
      </c>
      <c r="E19532" t="s">
        <v>2948</v>
      </c>
      <c r="F19532" t="s">
        <v>2949</v>
      </c>
      <c r="G19532">
        <v>368.1</v>
      </c>
      <c r="H19532">
        <v>250502</v>
      </c>
      <c r="I19532">
        <v>4390</v>
      </c>
      <c r="J19532" t="s">
        <v>232</v>
      </c>
      <c r="K19532">
        <v>525.85</v>
      </c>
      <c r="L19532">
        <v>74.790000000000006</v>
      </c>
      <c r="M19532">
        <v>14981</v>
      </c>
      <c r="N19532" t="s">
        <v>252</v>
      </c>
      <c r="O19532">
        <v>250507</v>
      </c>
      <c r="P19532">
        <v>293.31</v>
      </c>
    </row>
    <row r="19533" spans="1:16" x14ac:dyDescent="0.25">
      <c r="A19533" t="s">
        <v>3296</v>
      </c>
      <c r="B19533" t="s">
        <v>2931</v>
      </c>
      <c r="C19533">
        <v>6372</v>
      </c>
      <c r="D19533" t="str">
        <f>"0430037296  "</f>
        <v xml:space="preserve">0430037296  </v>
      </c>
      <c r="E19533" t="s">
        <v>2948</v>
      </c>
      <c r="F19533" t="s">
        <v>2949</v>
      </c>
      <c r="G19533">
        <v>442.07</v>
      </c>
      <c r="H19533">
        <v>250430</v>
      </c>
      <c r="I19533">
        <v>4390</v>
      </c>
      <c r="J19533" t="s">
        <v>232</v>
      </c>
      <c r="K19533">
        <v>3728.82</v>
      </c>
      <c r="L19533">
        <v>89.82</v>
      </c>
      <c r="M19533">
        <v>14952</v>
      </c>
      <c r="N19533" t="s">
        <v>213</v>
      </c>
      <c r="O19533">
        <v>250513</v>
      </c>
      <c r="P19533">
        <v>352.25</v>
      </c>
    </row>
    <row r="19534" spans="1:16" x14ac:dyDescent="0.25">
      <c r="A19534" t="s">
        <v>3296</v>
      </c>
      <c r="B19534" t="s">
        <v>2931</v>
      </c>
      <c r="C19534">
        <v>6372</v>
      </c>
      <c r="D19534" t="str">
        <f>"0430037296  "</f>
        <v xml:space="preserve">0430037296  </v>
      </c>
      <c r="E19534" t="s">
        <v>2948</v>
      </c>
      <c r="F19534" t="s">
        <v>2949</v>
      </c>
      <c r="G19534">
        <v>1031.5</v>
      </c>
      <c r="H19534">
        <v>250430</v>
      </c>
      <c r="I19534">
        <v>4390</v>
      </c>
      <c r="J19534" t="s">
        <v>232</v>
      </c>
      <c r="K19534">
        <v>3728.82</v>
      </c>
      <c r="L19534">
        <v>209.59</v>
      </c>
      <c r="M19534">
        <v>14981</v>
      </c>
      <c r="N19534" t="s">
        <v>252</v>
      </c>
      <c r="O19534">
        <v>250513</v>
      </c>
      <c r="P19534">
        <v>821.91</v>
      </c>
    </row>
    <row r="19535" spans="1:16" x14ac:dyDescent="0.25">
      <c r="A19535" t="s">
        <v>3296</v>
      </c>
      <c r="B19535" t="s">
        <v>2931</v>
      </c>
      <c r="C19535">
        <v>8107</v>
      </c>
      <c r="D19535" t="str">
        <f>"1000100     "</f>
        <v xml:space="preserve">1000100     </v>
      </c>
      <c r="E19535" t="s">
        <v>2948</v>
      </c>
      <c r="F19535" t="s">
        <v>2949</v>
      </c>
      <c r="G19535">
        <v>157.75</v>
      </c>
      <c r="H19535">
        <v>250602</v>
      </c>
      <c r="I19535">
        <v>4390</v>
      </c>
      <c r="J19535" t="s">
        <v>232</v>
      </c>
      <c r="K19535">
        <v>525.85</v>
      </c>
      <c r="L19535">
        <v>32.049999999999997</v>
      </c>
      <c r="M19535">
        <v>14952</v>
      </c>
      <c r="N19535" t="s">
        <v>213</v>
      </c>
      <c r="O19535">
        <v>250611</v>
      </c>
      <c r="P19535">
        <v>125.7</v>
      </c>
    </row>
    <row r="19536" spans="1:16" x14ac:dyDescent="0.25">
      <c r="A19536" t="s">
        <v>3296</v>
      </c>
      <c r="B19536" t="s">
        <v>2931</v>
      </c>
      <c r="C19536">
        <v>8107</v>
      </c>
      <c r="D19536" t="str">
        <f>"1000100     "</f>
        <v xml:space="preserve">1000100     </v>
      </c>
      <c r="E19536" t="s">
        <v>2948</v>
      </c>
      <c r="F19536" t="s">
        <v>2949</v>
      </c>
      <c r="G19536">
        <v>368.1</v>
      </c>
      <c r="H19536">
        <v>250602</v>
      </c>
      <c r="I19536">
        <v>4390</v>
      </c>
      <c r="J19536" t="s">
        <v>232</v>
      </c>
      <c r="K19536">
        <v>525.85</v>
      </c>
      <c r="L19536">
        <v>74.790000000000006</v>
      </c>
      <c r="M19536">
        <v>14981</v>
      </c>
      <c r="N19536" t="s">
        <v>252</v>
      </c>
      <c r="O19536">
        <v>250611</v>
      </c>
      <c r="P19536">
        <v>293.31</v>
      </c>
    </row>
    <row r="19537" spans="1:16" x14ac:dyDescent="0.25">
      <c r="A19537" t="s">
        <v>3296</v>
      </c>
      <c r="B19537" t="s">
        <v>2931</v>
      </c>
      <c r="C19537">
        <v>9297</v>
      </c>
      <c r="D19537" t="str">
        <f>"1000316     "</f>
        <v xml:space="preserve">1000316     </v>
      </c>
      <c r="E19537" t="s">
        <v>2948</v>
      </c>
      <c r="F19537" t="s">
        <v>2949</v>
      </c>
      <c r="G19537">
        <v>22.87</v>
      </c>
      <c r="H19537">
        <v>250601</v>
      </c>
      <c r="I19537">
        <v>4390</v>
      </c>
      <c r="J19537" t="s">
        <v>232</v>
      </c>
      <c r="K19537">
        <v>2259.92</v>
      </c>
      <c r="L19537">
        <v>4.6500000000000004</v>
      </c>
      <c r="M19537">
        <v>14952</v>
      </c>
      <c r="N19537" t="s">
        <v>213</v>
      </c>
      <c r="O19537">
        <v>250703</v>
      </c>
      <c r="P19537">
        <v>18.22</v>
      </c>
    </row>
    <row r="19538" spans="1:16" x14ac:dyDescent="0.25">
      <c r="A19538" t="s">
        <v>3296</v>
      </c>
      <c r="B19538" t="s">
        <v>2931</v>
      </c>
      <c r="C19538">
        <v>9297</v>
      </c>
      <c r="D19538" t="str">
        <f>"1000316     "</f>
        <v xml:space="preserve">1000316     </v>
      </c>
      <c r="E19538" t="s">
        <v>2948</v>
      </c>
      <c r="F19538" t="s">
        <v>2949</v>
      </c>
      <c r="G19538">
        <v>53.38</v>
      </c>
      <c r="H19538">
        <v>250601</v>
      </c>
      <c r="I19538">
        <v>4390</v>
      </c>
      <c r="J19538" t="s">
        <v>232</v>
      </c>
      <c r="K19538">
        <v>2259.92</v>
      </c>
      <c r="L19538">
        <v>10.85</v>
      </c>
      <c r="M19538">
        <v>14981</v>
      </c>
      <c r="N19538" t="s">
        <v>252</v>
      </c>
      <c r="O19538">
        <v>250703</v>
      </c>
      <c r="P19538">
        <v>42.53</v>
      </c>
    </row>
    <row r="19539" spans="1:16" x14ac:dyDescent="0.25">
      <c r="A19539" t="s">
        <v>3296</v>
      </c>
      <c r="B19539" t="s">
        <v>2931</v>
      </c>
      <c r="C19539">
        <v>9318</v>
      </c>
      <c r="D19539" t="str">
        <f>"1000445     "</f>
        <v xml:space="preserve">1000445     </v>
      </c>
      <c r="E19539" t="s">
        <v>2948</v>
      </c>
      <c r="F19539" t="s">
        <v>2949</v>
      </c>
      <c r="G19539">
        <v>76.430000000000007</v>
      </c>
      <c r="H19539">
        <v>250701</v>
      </c>
      <c r="I19539">
        <v>4390</v>
      </c>
      <c r="J19539" t="s">
        <v>232</v>
      </c>
      <c r="K19539">
        <v>254.77</v>
      </c>
      <c r="L19539">
        <v>15.53</v>
      </c>
      <c r="M19539">
        <v>14952</v>
      </c>
      <c r="N19539" t="s">
        <v>213</v>
      </c>
      <c r="O19539">
        <v>250703</v>
      </c>
      <c r="P19539">
        <v>60.9</v>
      </c>
    </row>
    <row r="19540" spans="1:16" x14ac:dyDescent="0.25">
      <c r="A19540" t="s">
        <v>3296</v>
      </c>
      <c r="B19540" t="s">
        <v>2931</v>
      </c>
      <c r="C19540">
        <v>9318</v>
      </c>
      <c r="D19540" t="str">
        <f>"1000445     "</f>
        <v xml:space="preserve">1000445     </v>
      </c>
      <c r="E19540" t="s">
        <v>2948</v>
      </c>
      <c r="F19540" t="s">
        <v>2949</v>
      </c>
      <c r="G19540">
        <v>178.34</v>
      </c>
      <c r="H19540">
        <v>250701</v>
      </c>
      <c r="I19540">
        <v>4390</v>
      </c>
      <c r="J19540" t="s">
        <v>232</v>
      </c>
      <c r="K19540">
        <v>254.77</v>
      </c>
      <c r="L19540">
        <v>36.24</v>
      </c>
      <c r="M19540">
        <v>14981</v>
      </c>
      <c r="N19540" t="s">
        <v>252</v>
      </c>
      <c r="O19540">
        <v>250703</v>
      </c>
      <c r="P19540">
        <v>142.1</v>
      </c>
    </row>
    <row r="19541" spans="1:16" x14ac:dyDescent="0.25">
      <c r="A19541" t="s">
        <v>3296</v>
      </c>
      <c r="B19541" t="s">
        <v>2931</v>
      </c>
      <c r="C19541">
        <v>9520</v>
      </c>
      <c r="D19541" t="str">
        <f>"1000677     "</f>
        <v xml:space="preserve">1000677     </v>
      </c>
      <c r="E19541" t="s">
        <v>2948</v>
      </c>
      <c r="F19541" t="s">
        <v>2949</v>
      </c>
      <c r="G19541">
        <v>451.42</v>
      </c>
      <c r="H19541">
        <v>250630</v>
      </c>
      <c r="I19541">
        <v>4390</v>
      </c>
      <c r="J19541" t="s">
        <v>232</v>
      </c>
      <c r="K19541">
        <v>1640.03</v>
      </c>
      <c r="L19541">
        <v>91.72</v>
      </c>
      <c r="M19541">
        <v>14952</v>
      </c>
      <c r="N19541" t="s">
        <v>213</v>
      </c>
      <c r="O19541">
        <v>250709</v>
      </c>
      <c r="P19541">
        <v>359.7</v>
      </c>
    </row>
    <row r="19542" spans="1:16" x14ac:dyDescent="0.25">
      <c r="A19542" t="s">
        <v>3296</v>
      </c>
      <c r="B19542" t="s">
        <v>2931</v>
      </c>
      <c r="C19542">
        <v>9520</v>
      </c>
      <c r="D19542" t="str">
        <f>"1000677     "</f>
        <v xml:space="preserve">1000677     </v>
      </c>
      <c r="E19542" t="s">
        <v>2948</v>
      </c>
      <c r="F19542" t="s">
        <v>2949</v>
      </c>
      <c r="G19542">
        <v>1053.33</v>
      </c>
      <c r="H19542">
        <v>250630</v>
      </c>
      <c r="I19542">
        <v>4390</v>
      </c>
      <c r="J19542" t="s">
        <v>232</v>
      </c>
      <c r="K19542">
        <v>1640.03</v>
      </c>
      <c r="L19542">
        <v>214.02</v>
      </c>
      <c r="M19542">
        <v>14981</v>
      </c>
      <c r="N19542" t="s">
        <v>252</v>
      </c>
      <c r="O19542">
        <v>250709</v>
      </c>
      <c r="P19542">
        <v>839.31</v>
      </c>
    </row>
    <row r="19543" spans="1:16" x14ac:dyDescent="0.25">
      <c r="A19543" t="s">
        <v>3296</v>
      </c>
      <c r="B19543" t="s">
        <v>2931</v>
      </c>
      <c r="C19543">
        <v>9531</v>
      </c>
      <c r="D19543" t="str">
        <f>"1000676     "</f>
        <v xml:space="preserve">1000676     </v>
      </c>
      <c r="E19543" t="s">
        <v>2948</v>
      </c>
      <c r="F19543" t="s">
        <v>2949</v>
      </c>
      <c r="G19543">
        <v>287.2</v>
      </c>
      <c r="H19543">
        <v>250630</v>
      </c>
      <c r="I19543">
        <v>4390</v>
      </c>
      <c r="J19543" t="s">
        <v>232</v>
      </c>
      <c r="K19543">
        <v>3056.82</v>
      </c>
      <c r="L19543">
        <v>58.36</v>
      </c>
      <c r="M19543">
        <v>14952</v>
      </c>
      <c r="N19543" t="s">
        <v>213</v>
      </c>
      <c r="O19543">
        <v>250709</v>
      </c>
      <c r="P19543">
        <v>228.84</v>
      </c>
    </row>
    <row r="19544" spans="1:16" x14ac:dyDescent="0.25">
      <c r="A19544" t="s">
        <v>3296</v>
      </c>
      <c r="B19544" t="s">
        <v>2931</v>
      </c>
      <c r="C19544">
        <v>9531</v>
      </c>
      <c r="D19544" t="str">
        <f>"1000676     "</f>
        <v xml:space="preserve">1000676     </v>
      </c>
      <c r="E19544" t="s">
        <v>2948</v>
      </c>
      <c r="F19544" t="s">
        <v>2949</v>
      </c>
      <c r="G19544">
        <v>670.14</v>
      </c>
      <c r="H19544">
        <v>250630</v>
      </c>
      <c r="I19544">
        <v>4390</v>
      </c>
      <c r="J19544" t="s">
        <v>232</v>
      </c>
      <c r="K19544">
        <v>3056.82</v>
      </c>
      <c r="L19544">
        <v>136.16</v>
      </c>
      <c r="M19544">
        <v>14981</v>
      </c>
      <c r="N19544" t="s">
        <v>252</v>
      </c>
      <c r="O19544">
        <v>250709</v>
      </c>
      <c r="P19544">
        <v>533.98</v>
      </c>
    </row>
    <row r="19545" spans="1:16" x14ac:dyDescent="0.25">
      <c r="A19545" t="s">
        <v>3296</v>
      </c>
      <c r="B19545" t="s">
        <v>2931</v>
      </c>
      <c r="C19545">
        <v>10066</v>
      </c>
      <c r="D19545" t="str">
        <f>"1000808     "</f>
        <v xml:space="preserve">1000808     </v>
      </c>
      <c r="E19545" t="s">
        <v>2948</v>
      </c>
      <c r="F19545" t="s">
        <v>2949</v>
      </c>
      <c r="G19545">
        <v>157.75</v>
      </c>
      <c r="H19545">
        <v>250801</v>
      </c>
      <c r="I19545">
        <v>4390</v>
      </c>
      <c r="J19545" t="s">
        <v>232</v>
      </c>
      <c r="K19545">
        <v>525.85</v>
      </c>
      <c r="L19545">
        <v>32.049999999999997</v>
      </c>
      <c r="M19545">
        <v>14952</v>
      </c>
      <c r="N19545" t="s">
        <v>213</v>
      </c>
      <c r="O19545">
        <v>250811</v>
      </c>
      <c r="P19545">
        <v>125.7</v>
      </c>
    </row>
    <row r="19546" spans="1:16" x14ac:dyDescent="0.25">
      <c r="A19546" t="s">
        <v>3296</v>
      </c>
      <c r="B19546" t="s">
        <v>2931</v>
      </c>
      <c r="C19546">
        <v>10066</v>
      </c>
      <c r="D19546" t="str">
        <f>"1000808     "</f>
        <v xml:space="preserve">1000808     </v>
      </c>
      <c r="E19546" t="s">
        <v>2948</v>
      </c>
      <c r="F19546" t="s">
        <v>2949</v>
      </c>
      <c r="G19546">
        <v>368.1</v>
      </c>
      <c r="H19546">
        <v>250801</v>
      </c>
      <c r="I19546">
        <v>4390</v>
      </c>
      <c r="J19546" t="s">
        <v>232</v>
      </c>
      <c r="K19546">
        <v>525.85</v>
      </c>
      <c r="L19546">
        <v>74.790000000000006</v>
      </c>
      <c r="M19546">
        <v>14981</v>
      </c>
      <c r="N19546" t="s">
        <v>252</v>
      </c>
      <c r="O19546">
        <v>250811</v>
      </c>
      <c r="P19546">
        <v>293.31</v>
      </c>
    </row>
    <row r="19547" spans="1:16" x14ac:dyDescent="0.25">
      <c r="A19547" t="s">
        <v>3296</v>
      </c>
      <c r="B19547" t="s">
        <v>2931</v>
      </c>
      <c r="C19547">
        <v>10211</v>
      </c>
      <c r="D19547" t="str">
        <f>"1001003     "</f>
        <v xml:space="preserve">1001003     </v>
      </c>
      <c r="E19547" t="s">
        <v>2948</v>
      </c>
      <c r="F19547" t="s">
        <v>2949</v>
      </c>
      <c r="G19547">
        <v>193.96</v>
      </c>
      <c r="H19547">
        <v>250731</v>
      </c>
      <c r="I19547">
        <v>4390</v>
      </c>
      <c r="J19547" t="s">
        <v>232</v>
      </c>
      <c r="K19547">
        <v>3249.09</v>
      </c>
      <c r="L19547">
        <v>39.409999999999997</v>
      </c>
      <c r="M19547">
        <v>14952</v>
      </c>
      <c r="N19547" t="s">
        <v>213</v>
      </c>
      <c r="O19547">
        <v>250813</v>
      </c>
      <c r="P19547">
        <v>154.55000000000001</v>
      </c>
    </row>
    <row r="19548" spans="1:16" x14ac:dyDescent="0.25">
      <c r="A19548" t="s">
        <v>3296</v>
      </c>
      <c r="B19548" t="s">
        <v>2931</v>
      </c>
      <c r="C19548">
        <v>10211</v>
      </c>
      <c r="D19548" t="str">
        <f>"1001003     "</f>
        <v xml:space="preserve">1001003     </v>
      </c>
      <c r="E19548" t="s">
        <v>2948</v>
      </c>
      <c r="F19548" t="s">
        <v>2949</v>
      </c>
      <c r="G19548">
        <v>452.57</v>
      </c>
      <c r="H19548">
        <v>250731</v>
      </c>
      <c r="I19548">
        <v>4390</v>
      </c>
      <c r="J19548" t="s">
        <v>232</v>
      </c>
      <c r="K19548">
        <v>3249.09</v>
      </c>
      <c r="L19548">
        <v>91.96</v>
      </c>
      <c r="M19548">
        <v>14981</v>
      </c>
      <c r="N19548" t="s">
        <v>252</v>
      </c>
      <c r="O19548">
        <v>250813</v>
      </c>
      <c r="P19548">
        <v>360.61</v>
      </c>
    </row>
    <row r="19549" spans="1:16" x14ac:dyDescent="0.25">
      <c r="A19549" t="s">
        <v>3296</v>
      </c>
      <c r="B19549" t="s">
        <v>2931</v>
      </c>
      <c r="C19549">
        <v>11685</v>
      </c>
      <c r="D19549" t="str">
        <f>"1001148     "</f>
        <v xml:space="preserve">1001148     </v>
      </c>
      <c r="E19549" t="s">
        <v>2948</v>
      </c>
      <c r="F19549" t="s">
        <v>2949</v>
      </c>
      <c r="G19549">
        <v>157.75</v>
      </c>
      <c r="H19549">
        <v>250901</v>
      </c>
      <c r="I19549">
        <v>4390</v>
      </c>
      <c r="J19549" t="s">
        <v>232</v>
      </c>
      <c r="K19549">
        <v>525.85</v>
      </c>
      <c r="L19549">
        <v>32.049999999999997</v>
      </c>
      <c r="M19549">
        <v>14952</v>
      </c>
      <c r="N19549" t="s">
        <v>213</v>
      </c>
      <c r="O19549">
        <v>250910</v>
      </c>
      <c r="P19549">
        <v>125.7</v>
      </c>
    </row>
    <row r="19550" spans="1:16" x14ac:dyDescent="0.25">
      <c r="A19550" t="s">
        <v>3296</v>
      </c>
      <c r="B19550" t="s">
        <v>2931</v>
      </c>
      <c r="C19550">
        <v>11685</v>
      </c>
      <c r="D19550" t="str">
        <f>"1001148     "</f>
        <v xml:space="preserve">1001148     </v>
      </c>
      <c r="E19550" t="s">
        <v>2948</v>
      </c>
      <c r="F19550" t="s">
        <v>2949</v>
      </c>
      <c r="G19550">
        <v>368.1</v>
      </c>
      <c r="H19550">
        <v>250901</v>
      </c>
      <c r="I19550">
        <v>4390</v>
      </c>
      <c r="J19550" t="s">
        <v>232</v>
      </c>
      <c r="K19550">
        <v>525.85</v>
      </c>
      <c r="L19550">
        <v>74.790000000000006</v>
      </c>
      <c r="M19550">
        <v>14981</v>
      </c>
      <c r="N19550" t="s">
        <v>252</v>
      </c>
      <c r="O19550">
        <v>250910</v>
      </c>
      <c r="P19550">
        <v>293.31</v>
      </c>
    </row>
    <row r="19551" spans="1:16" x14ac:dyDescent="0.25">
      <c r="A19551" t="s">
        <v>3296</v>
      </c>
      <c r="B19551" t="s">
        <v>2931</v>
      </c>
      <c r="C19551">
        <v>11988</v>
      </c>
      <c r="D19551" t="str">
        <f>"1001511     "</f>
        <v xml:space="preserve">1001511     </v>
      </c>
      <c r="E19551" t="s">
        <v>2948</v>
      </c>
      <c r="F19551" t="s">
        <v>2949</v>
      </c>
      <c r="G19551">
        <v>30.5</v>
      </c>
      <c r="H19551">
        <v>250831</v>
      </c>
      <c r="I19551">
        <v>4390</v>
      </c>
      <c r="J19551" t="s">
        <v>232</v>
      </c>
      <c r="K19551">
        <v>2792.94</v>
      </c>
      <c r="L19551">
        <v>6.2</v>
      </c>
      <c r="M19551">
        <v>14952</v>
      </c>
      <c r="N19551" t="s">
        <v>213</v>
      </c>
      <c r="O19551">
        <v>250915</v>
      </c>
      <c r="P19551">
        <v>24.3</v>
      </c>
    </row>
    <row r="19552" spans="1:16" x14ac:dyDescent="0.25">
      <c r="A19552" t="s">
        <v>3296</v>
      </c>
      <c r="B19552" t="s">
        <v>2931</v>
      </c>
      <c r="C19552">
        <v>11988</v>
      </c>
      <c r="D19552" t="str">
        <f>"1001511     "</f>
        <v xml:space="preserve">1001511     </v>
      </c>
      <c r="E19552" t="s">
        <v>2948</v>
      </c>
      <c r="F19552" t="s">
        <v>2949</v>
      </c>
      <c r="G19552">
        <v>186.33</v>
      </c>
      <c r="H19552">
        <v>250831</v>
      </c>
      <c r="I19552">
        <v>4390</v>
      </c>
      <c r="J19552" t="s">
        <v>232</v>
      </c>
      <c r="K19552">
        <v>2792.94</v>
      </c>
      <c r="L19552">
        <v>37.86</v>
      </c>
      <c r="M19552">
        <v>14952</v>
      </c>
      <c r="N19552" t="s">
        <v>213</v>
      </c>
      <c r="O19552">
        <v>250915</v>
      </c>
      <c r="P19552">
        <v>148.47</v>
      </c>
    </row>
    <row r="19553" spans="1:16" x14ac:dyDescent="0.25">
      <c r="A19553" t="s">
        <v>3296</v>
      </c>
      <c r="B19553" t="s">
        <v>2931</v>
      </c>
      <c r="C19553">
        <v>11988</v>
      </c>
      <c r="D19553" t="str">
        <f>"1001511     "</f>
        <v xml:space="preserve">1001511     </v>
      </c>
      <c r="E19553" t="s">
        <v>2948</v>
      </c>
      <c r="F19553" t="s">
        <v>2949</v>
      </c>
      <c r="G19553">
        <v>71.16</v>
      </c>
      <c r="H19553">
        <v>250831</v>
      </c>
      <c r="I19553">
        <v>4390</v>
      </c>
      <c r="J19553" t="s">
        <v>232</v>
      </c>
      <c r="K19553">
        <v>2792.94</v>
      </c>
      <c r="L19553">
        <v>14.46</v>
      </c>
      <c r="M19553">
        <v>14981</v>
      </c>
      <c r="N19553" t="s">
        <v>252</v>
      </c>
      <c r="O19553">
        <v>250915</v>
      </c>
      <c r="P19553">
        <v>56.7</v>
      </c>
    </row>
    <row r="19554" spans="1:16" x14ac:dyDescent="0.25">
      <c r="A19554" t="s">
        <v>3296</v>
      </c>
      <c r="B19554" t="s">
        <v>2931</v>
      </c>
      <c r="C19554">
        <v>11988</v>
      </c>
      <c r="D19554" t="str">
        <f>"1001511     "</f>
        <v xml:space="preserve">1001511     </v>
      </c>
      <c r="E19554" t="s">
        <v>2948</v>
      </c>
      <c r="F19554" t="s">
        <v>2949</v>
      </c>
      <c r="G19554">
        <v>434.76</v>
      </c>
      <c r="H19554">
        <v>250831</v>
      </c>
      <c r="I19554">
        <v>4390</v>
      </c>
      <c r="J19554" t="s">
        <v>232</v>
      </c>
      <c r="K19554">
        <v>2792.94</v>
      </c>
      <c r="L19554">
        <v>88.34</v>
      </c>
      <c r="M19554">
        <v>14981</v>
      </c>
      <c r="N19554" t="s">
        <v>252</v>
      </c>
      <c r="O19554">
        <v>250915</v>
      </c>
      <c r="P19554">
        <v>346.42</v>
      </c>
    </row>
    <row r="19555" spans="1:16" x14ac:dyDescent="0.25">
      <c r="A19555" t="s">
        <v>3296</v>
      </c>
      <c r="B19555" t="s">
        <v>2931</v>
      </c>
      <c r="C19555">
        <v>13029</v>
      </c>
      <c r="D19555" t="str">
        <f>"1001777     "</f>
        <v xml:space="preserve">1001777     </v>
      </c>
      <c r="E19555" t="s">
        <v>2948</v>
      </c>
      <c r="F19555" t="s">
        <v>2949</v>
      </c>
      <c r="G19555">
        <v>157.75</v>
      </c>
      <c r="H19555">
        <v>251001</v>
      </c>
      <c r="I19555">
        <v>4390</v>
      </c>
      <c r="J19555" t="s">
        <v>232</v>
      </c>
      <c r="K19555">
        <v>525.85</v>
      </c>
      <c r="L19555">
        <v>32.049999999999997</v>
      </c>
      <c r="M19555">
        <v>14952</v>
      </c>
      <c r="N19555" t="s">
        <v>213</v>
      </c>
      <c r="O19555">
        <v>251003</v>
      </c>
      <c r="P19555">
        <v>125.7</v>
      </c>
    </row>
    <row r="19556" spans="1:16" x14ac:dyDescent="0.25">
      <c r="A19556" t="s">
        <v>3296</v>
      </c>
      <c r="B19556" t="s">
        <v>2931</v>
      </c>
      <c r="C19556">
        <v>13029</v>
      </c>
      <c r="D19556" t="str">
        <f>"1001777     "</f>
        <v xml:space="preserve">1001777     </v>
      </c>
      <c r="E19556" t="s">
        <v>2948</v>
      </c>
      <c r="F19556" t="s">
        <v>2949</v>
      </c>
      <c r="G19556">
        <v>368.1</v>
      </c>
      <c r="H19556">
        <v>251001</v>
      </c>
      <c r="I19556">
        <v>4390</v>
      </c>
      <c r="J19556" t="s">
        <v>232</v>
      </c>
      <c r="K19556">
        <v>525.85</v>
      </c>
      <c r="L19556">
        <v>74.790000000000006</v>
      </c>
      <c r="M19556">
        <v>14981</v>
      </c>
      <c r="N19556" t="s">
        <v>252</v>
      </c>
      <c r="O19556">
        <v>251003</v>
      </c>
      <c r="P19556">
        <v>293.31</v>
      </c>
    </row>
    <row r="19557" spans="1:16" x14ac:dyDescent="0.25">
      <c r="A19557" t="s">
        <v>3296</v>
      </c>
      <c r="B19557" t="s">
        <v>2931</v>
      </c>
      <c r="C19557">
        <v>13443</v>
      </c>
      <c r="D19557" t="str">
        <f>"1002072     "</f>
        <v xml:space="preserve">1002072     </v>
      </c>
      <c r="E19557" t="s">
        <v>2948</v>
      </c>
      <c r="F19557" t="s">
        <v>2949</v>
      </c>
      <c r="G19557">
        <v>358.2</v>
      </c>
      <c r="H19557">
        <v>250930</v>
      </c>
      <c r="I19557">
        <v>4390</v>
      </c>
      <c r="J19557" t="s">
        <v>232</v>
      </c>
      <c r="K19557">
        <v>3166.52</v>
      </c>
      <c r="L19557">
        <v>72.78</v>
      </c>
      <c r="M19557">
        <v>14952</v>
      </c>
      <c r="N19557" t="s">
        <v>213</v>
      </c>
      <c r="O19557">
        <v>251010</v>
      </c>
      <c r="P19557">
        <v>285.42</v>
      </c>
    </row>
    <row r="19558" spans="1:16" x14ac:dyDescent="0.25">
      <c r="A19558" t="s">
        <v>3296</v>
      </c>
      <c r="B19558" t="s">
        <v>2931</v>
      </c>
      <c r="C19558">
        <v>13443</v>
      </c>
      <c r="D19558" t="str">
        <f>"1002072     "</f>
        <v xml:space="preserve">1002072     </v>
      </c>
      <c r="E19558" t="s">
        <v>2948</v>
      </c>
      <c r="F19558" t="s">
        <v>2949</v>
      </c>
      <c r="G19558">
        <v>835.8</v>
      </c>
      <c r="H19558">
        <v>250930</v>
      </c>
      <c r="I19558">
        <v>4390</v>
      </c>
      <c r="J19558" t="s">
        <v>232</v>
      </c>
      <c r="K19558">
        <v>3166.52</v>
      </c>
      <c r="L19558">
        <v>169.82</v>
      </c>
      <c r="M19558">
        <v>14981</v>
      </c>
      <c r="N19558" t="s">
        <v>252</v>
      </c>
      <c r="O19558">
        <v>251010</v>
      </c>
      <c r="P19558">
        <v>665.98</v>
      </c>
    </row>
    <row r="19559" spans="1:16" x14ac:dyDescent="0.25">
      <c r="A19559" t="s">
        <v>3296</v>
      </c>
      <c r="B19559" t="s">
        <v>2931</v>
      </c>
      <c r="C19559">
        <v>14903</v>
      </c>
      <c r="D19559" t="str">
        <f>"1002249     "</f>
        <v xml:space="preserve">1002249     </v>
      </c>
      <c r="E19559" t="s">
        <v>2948</v>
      </c>
      <c r="F19559" t="s">
        <v>2949</v>
      </c>
      <c r="G19559">
        <v>157.75</v>
      </c>
      <c r="H19559">
        <v>251103</v>
      </c>
      <c r="I19559">
        <v>4390</v>
      </c>
      <c r="J19559" t="s">
        <v>232</v>
      </c>
      <c r="K19559">
        <v>525.85</v>
      </c>
      <c r="L19559">
        <v>32.049999999999997</v>
      </c>
      <c r="M19559">
        <v>14952</v>
      </c>
      <c r="N19559" t="s">
        <v>213</v>
      </c>
      <c r="O19559">
        <v>251107</v>
      </c>
      <c r="P19559">
        <v>125.7</v>
      </c>
    </row>
    <row r="19560" spans="1:16" x14ac:dyDescent="0.25">
      <c r="A19560" t="s">
        <v>3296</v>
      </c>
      <c r="B19560" t="s">
        <v>2931</v>
      </c>
      <c r="C19560">
        <v>14903</v>
      </c>
      <c r="D19560" t="str">
        <f>"1002249     "</f>
        <v xml:space="preserve">1002249     </v>
      </c>
      <c r="E19560" t="s">
        <v>2948</v>
      </c>
      <c r="F19560" t="s">
        <v>2949</v>
      </c>
      <c r="G19560">
        <v>368.1</v>
      </c>
      <c r="H19560">
        <v>251103</v>
      </c>
      <c r="I19560">
        <v>4390</v>
      </c>
      <c r="J19560" t="s">
        <v>232</v>
      </c>
      <c r="K19560">
        <v>525.85</v>
      </c>
      <c r="L19560">
        <v>74.790000000000006</v>
      </c>
      <c r="M19560">
        <v>14981</v>
      </c>
      <c r="N19560" t="s">
        <v>252</v>
      </c>
      <c r="O19560">
        <v>251107</v>
      </c>
      <c r="P19560">
        <v>293.31</v>
      </c>
    </row>
    <row r="19561" spans="1:16" x14ac:dyDescent="0.25">
      <c r="A19561" t="s">
        <v>3296</v>
      </c>
      <c r="B19561" t="s">
        <v>2931</v>
      </c>
      <c r="C19561">
        <v>15233</v>
      </c>
      <c r="D19561" t="str">
        <f>"1002539     "</f>
        <v xml:space="preserve">1002539     </v>
      </c>
      <c r="E19561" t="s">
        <v>2948</v>
      </c>
      <c r="F19561" t="s">
        <v>2949</v>
      </c>
      <c r="G19561">
        <v>312.76</v>
      </c>
      <c r="H19561">
        <v>251031</v>
      </c>
      <c r="I19561">
        <v>4390</v>
      </c>
      <c r="J19561" t="s">
        <v>232</v>
      </c>
      <c r="K19561">
        <v>2898.17</v>
      </c>
      <c r="L19561">
        <v>63.55</v>
      </c>
      <c r="M19561">
        <v>14952</v>
      </c>
      <c r="N19561" t="s">
        <v>213</v>
      </c>
      <c r="O19561">
        <v>251117</v>
      </c>
      <c r="P19561">
        <v>249.21</v>
      </c>
    </row>
    <row r="19562" spans="1:16" x14ac:dyDescent="0.25">
      <c r="A19562" t="s">
        <v>3296</v>
      </c>
      <c r="B19562" t="s">
        <v>2931</v>
      </c>
      <c r="C19562">
        <v>15233</v>
      </c>
      <c r="D19562" t="str">
        <f>"1002539     "</f>
        <v xml:space="preserve">1002539     </v>
      </c>
      <c r="E19562" t="s">
        <v>2948</v>
      </c>
      <c r="F19562" t="s">
        <v>2949</v>
      </c>
      <c r="G19562">
        <v>729.76</v>
      </c>
      <c r="H19562">
        <v>251031</v>
      </c>
      <c r="I19562">
        <v>4390</v>
      </c>
      <c r="J19562" t="s">
        <v>232</v>
      </c>
      <c r="K19562">
        <v>2898.17</v>
      </c>
      <c r="L19562">
        <v>148.28</v>
      </c>
      <c r="M19562">
        <v>14981</v>
      </c>
      <c r="N19562" t="s">
        <v>252</v>
      </c>
      <c r="O19562">
        <v>251117</v>
      </c>
      <c r="P19562">
        <v>581.48</v>
      </c>
    </row>
    <row r="19563" spans="1:16" x14ac:dyDescent="0.25">
      <c r="A19563" t="s">
        <v>3296</v>
      </c>
      <c r="B19563" t="s">
        <v>2931</v>
      </c>
      <c r="C19563">
        <v>15341</v>
      </c>
      <c r="D19563" t="str">
        <f>"1002540     "</f>
        <v xml:space="preserve">1002540     </v>
      </c>
      <c r="E19563" t="s">
        <v>2948</v>
      </c>
      <c r="F19563" t="s">
        <v>2949</v>
      </c>
      <c r="G19563">
        <v>16.170000000000002</v>
      </c>
      <c r="H19563">
        <v>251031</v>
      </c>
      <c r="I19563">
        <v>4390</v>
      </c>
      <c r="J19563" t="s">
        <v>232</v>
      </c>
      <c r="K19563">
        <v>856.89</v>
      </c>
      <c r="L19563">
        <v>3.29</v>
      </c>
      <c r="M19563">
        <v>14952</v>
      </c>
      <c r="N19563" t="s">
        <v>213</v>
      </c>
      <c r="O19563">
        <v>251119</v>
      </c>
      <c r="P19563">
        <v>12.88</v>
      </c>
    </row>
    <row r="19564" spans="1:16" x14ac:dyDescent="0.25">
      <c r="A19564" t="s">
        <v>3296</v>
      </c>
      <c r="B19564" t="s">
        <v>2931</v>
      </c>
      <c r="C19564">
        <v>15341</v>
      </c>
      <c r="D19564" t="str">
        <f>"1002540     "</f>
        <v xml:space="preserve">1002540     </v>
      </c>
      <c r="E19564" t="s">
        <v>2948</v>
      </c>
      <c r="F19564" t="s">
        <v>2949</v>
      </c>
      <c r="G19564">
        <v>237.6</v>
      </c>
      <c r="H19564">
        <v>251031</v>
      </c>
      <c r="I19564">
        <v>4390</v>
      </c>
      <c r="J19564" t="s">
        <v>232</v>
      </c>
      <c r="K19564">
        <v>856.89</v>
      </c>
      <c r="L19564">
        <v>48.28</v>
      </c>
      <c r="M19564">
        <v>14952</v>
      </c>
      <c r="N19564" t="s">
        <v>213</v>
      </c>
      <c r="O19564">
        <v>251119</v>
      </c>
      <c r="P19564">
        <v>189.32</v>
      </c>
    </row>
    <row r="19565" spans="1:16" x14ac:dyDescent="0.25">
      <c r="A19565" t="s">
        <v>3296</v>
      </c>
      <c r="B19565" t="s">
        <v>2931</v>
      </c>
      <c r="C19565">
        <v>15341</v>
      </c>
      <c r="D19565" t="str">
        <f>"1002540     "</f>
        <v xml:space="preserve">1002540     </v>
      </c>
      <c r="E19565" t="s">
        <v>2948</v>
      </c>
      <c r="F19565" t="s">
        <v>2949</v>
      </c>
      <c r="G19565">
        <v>37.729999999999997</v>
      </c>
      <c r="H19565">
        <v>251031</v>
      </c>
      <c r="I19565">
        <v>4390</v>
      </c>
      <c r="J19565" t="s">
        <v>232</v>
      </c>
      <c r="K19565">
        <v>856.89</v>
      </c>
      <c r="L19565">
        <v>7.67</v>
      </c>
      <c r="M19565">
        <v>14981</v>
      </c>
      <c r="N19565" t="s">
        <v>252</v>
      </c>
      <c r="O19565">
        <v>251119</v>
      </c>
      <c r="P19565">
        <v>30.06</v>
      </c>
    </row>
    <row r="19566" spans="1:16" x14ac:dyDescent="0.25">
      <c r="A19566" t="s">
        <v>3296</v>
      </c>
      <c r="B19566" t="s">
        <v>2931</v>
      </c>
      <c r="C19566">
        <v>15341</v>
      </c>
      <c r="D19566" t="str">
        <f>"1002540     "</f>
        <v xml:space="preserve">1002540     </v>
      </c>
      <c r="E19566" t="s">
        <v>2948</v>
      </c>
      <c r="F19566" t="s">
        <v>2949</v>
      </c>
      <c r="G19566">
        <v>554.39</v>
      </c>
      <c r="H19566">
        <v>251031</v>
      </c>
      <c r="I19566">
        <v>4390</v>
      </c>
      <c r="J19566" t="s">
        <v>232</v>
      </c>
      <c r="K19566">
        <v>856.89</v>
      </c>
      <c r="L19566">
        <v>112.64</v>
      </c>
      <c r="M19566">
        <v>14981</v>
      </c>
      <c r="N19566" t="s">
        <v>252</v>
      </c>
      <c r="O19566">
        <v>251119</v>
      </c>
      <c r="P19566">
        <v>441.75</v>
      </c>
    </row>
    <row r="19567" spans="1:16" x14ac:dyDescent="0.25">
      <c r="A19567" t="s">
        <v>3296</v>
      </c>
      <c r="B19567" t="s">
        <v>2931</v>
      </c>
      <c r="C19567">
        <v>16614</v>
      </c>
      <c r="D19567" t="str">
        <f>"1003129     "</f>
        <v xml:space="preserve">1003129     </v>
      </c>
      <c r="E19567" t="s">
        <v>2948</v>
      </c>
      <c r="F19567" t="s">
        <v>2949</v>
      </c>
      <c r="G19567">
        <v>156.25</v>
      </c>
      <c r="H19567">
        <v>251130</v>
      </c>
      <c r="I19567">
        <v>4390</v>
      </c>
      <c r="J19567" t="s">
        <v>232</v>
      </c>
      <c r="K19567">
        <v>621.09</v>
      </c>
      <c r="L19567">
        <v>31.75</v>
      </c>
      <c r="M19567">
        <v>14952</v>
      </c>
      <c r="N19567" t="s">
        <v>213</v>
      </c>
      <c r="O19567">
        <v>251210</v>
      </c>
      <c r="P19567">
        <v>124.5</v>
      </c>
    </row>
    <row r="19568" spans="1:16" x14ac:dyDescent="0.25">
      <c r="A19568" t="s">
        <v>3296</v>
      </c>
      <c r="B19568" t="s">
        <v>2931</v>
      </c>
      <c r="C19568">
        <v>16614</v>
      </c>
      <c r="D19568" t="str">
        <f>"1003129     "</f>
        <v xml:space="preserve">1003129     </v>
      </c>
      <c r="E19568" t="s">
        <v>2948</v>
      </c>
      <c r="F19568" t="s">
        <v>2949</v>
      </c>
      <c r="G19568">
        <v>364.58</v>
      </c>
      <c r="H19568">
        <v>251130</v>
      </c>
      <c r="I19568">
        <v>4390</v>
      </c>
      <c r="J19568" t="s">
        <v>232</v>
      </c>
      <c r="K19568">
        <v>621.09</v>
      </c>
      <c r="L19568">
        <v>74.08</v>
      </c>
      <c r="M19568">
        <v>14981</v>
      </c>
      <c r="N19568" t="s">
        <v>252</v>
      </c>
      <c r="O19568">
        <v>251210</v>
      </c>
      <c r="P19568">
        <v>290.5</v>
      </c>
    </row>
    <row r="19569" spans="1:16" x14ac:dyDescent="0.25">
      <c r="A19569" t="s">
        <v>3296</v>
      </c>
      <c r="B19569" t="s">
        <v>2931</v>
      </c>
      <c r="C19569">
        <v>16615</v>
      </c>
      <c r="D19569" t="str">
        <f>"1003128     "</f>
        <v xml:space="preserve">1003128     </v>
      </c>
      <c r="E19569" t="s">
        <v>2948</v>
      </c>
      <c r="F19569" t="s">
        <v>2949</v>
      </c>
      <c r="G19569">
        <v>380.62</v>
      </c>
      <c r="H19569">
        <v>251130</v>
      </c>
      <c r="I19569">
        <v>4390</v>
      </c>
      <c r="J19569" t="s">
        <v>232</v>
      </c>
      <c r="K19569">
        <v>3383.79</v>
      </c>
      <c r="L19569">
        <v>77.34</v>
      </c>
      <c r="M19569">
        <v>14952</v>
      </c>
      <c r="N19569" t="s">
        <v>213</v>
      </c>
      <c r="O19569">
        <v>251210</v>
      </c>
      <c r="P19569">
        <v>303.27999999999997</v>
      </c>
    </row>
    <row r="19570" spans="1:16" x14ac:dyDescent="0.25">
      <c r="A19570" t="s">
        <v>3296</v>
      </c>
      <c r="B19570" t="s">
        <v>2931</v>
      </c>
      <c r="C19570">
        <v>16615</v>
      </c>
      <c r="D19570" t="str">
        <f>"1003128     "</f>
        <v xml:space="preserve">1003128     </v>
      </c>
      <c r="E19570" t="s">
        <v>2948</v>
      </c>
      <c r="F19570" t="s">
        <v>2949</v>
      </c>
      <c r="G19570">
        <v>888.12</v>
      </c>
      <c r="H19570">
        <v>251130</v>
      </c>
      <c r="I19570">
        <v>4390</v>
      </c>
      <c r="J19570" t="s">
        <v>232</v>
      </c>
      <c r="K19570">
        <v>3383.79</v>
      </c>
      <c r="L19570">
        <v>180.45</v>
      </c>
      <c r="M19570">
        <v>14981</v>
      </c>
      <c r="N19570" t="s">
        <v>252</v>
      </c>
      <c r="O19570">
        <v>251210</v>
      </c>
      <c r="P19570">
        <v>707.67</v>
      </c>
    </row>
    <row r="19571" spans="1:16" x14ac:dyDescent="0.25">
      <c r="A19571" t="s">
        <v>3296</v>
      </c>
      <c r="B19571" t="s">
        <v>2931</v>
      </c>
      <c r="C19571">
        <v>16839</v>
      </c>
      <c r="D19571" t="str">
        <f>"1002803     "</f>
        <v xml:space="preserve">1002803     </v>
      </c>
      <c r="E19571" t="s">
        <v>2948</v>
      </c>
      <c r="F19571" t="s">
        <v>2949</v>
      </c>
      <c r="G19571">
        <v>157.75</v>
      </c>
      <c r="H19571">
        <v>251201</v>
      </c>
      <c r="I19571">
        <v>4390</v>
      </c>
      <c r="J19571" t="s">
        <v>232</v>
      </c>
      <c r="K19571">
        <v>525.85</v>
      </c>
      <c r="L19571">
        <v>32.049999999999997</v>
      </c>
      <c r="M19571">
        <v>14952</v>
      </c>
      <c r="N19571" t="s">
        <v>213</v>
      </c>
      <c r="O19571">
        <v>251212</v>
      </c>
      <c r="P19571">
        <v>125.7</v>
      </c>
    </row>
    <row r="19572" spans="1:16" x14ac:dyDescent="0.25">
      <c r="A19572" t="s">
        <v>3296</v>
      </c>
      <c r="B19572" t="s">
        <v>2931</v>
      </c>
      <c r="C19572">
        <v>16839</v>
      </c>
      <c r="D19572" t="str">
        <f>"1002803     "</f>
        <v xml:space="preserve">1002803     </v>
      </c>
      <c r="E19572" t="s">
        <v>2948</v>
      </c>
      <c r="F19572" t="s">
        <v>2949</v>
      </c>
      <c r="G19572">
        <v>368.1</v>
      </c>
      <c r="H19572">
        <v>251201</v>
      </c>
      <c r="I19572">
        <v>4390</v>
      </c>
      <c r="J19572" t="s">
        <v>232</v>
      </c>
      <c r="K19572">
        <v>525.85</v>
      </c>
      <c r="L19572">
        <v>74.790000000000006</v>
      </c>
      <c r="M19572">
        <v>14981</v>
      </c>
      <c r="N19572" t="s">
        <v>252</v>
      </c>
      <c r="O19572">
        <v>251212</v>
      </c>
      <c r="P19572">
        <v>293.31</v>
      </c>
    </row>
    <row r="19573" spans="1:16" x14ac:dyDescent="0.25">
      <c r="A19573" t="s">
        <v>3296</v>
      </c>
      <c r="B19573" t="s">
        <v>2931</v>
      </c>
      <c r="C19573">
        <v>18453</v>
      </c>
      <c r="D19573" t="str">
        <f>"1003864     "</f>
        <v xml:space="preserve">1003864     </v>
      </c>
      <c r="E19573" t="s">
        <v>2948</v>
      </c>
      <c r="F19573" t="s">
        <v>2949</v>
      </c>
      <c r="G19573">
        <v>150.21</v>
      </c>
      <c r="H19573">
        <v>251231</v>
      </c>
      <c r="I19573">
        <v>4390</v>
      </c>
      <c r="J19573" t="s">
        <v>232</v>
      </c>
      <c r="K19573">
        <v>5032.91</v>
      </c>
      <c r="L19573">
        <v>30.52</v>
      </c>
      <c r="M19573">
        <v>14952</v>
      </c>
      <c r="N19573" t="s">
        <v>213</v>
      </c>
      <c r="O19573">
        <v>260113</v>
      </c>
      <c r="P19573">
        <v>119.69</v>
      </c>
    </row>
    <row r="19574" spans="1:16" x14ac:dyDescent="0.25">
      <c r="A19574" t="s">
        <v>3296</v>
      </c>
      <c r="B19574" t="s">
        <v>2931</v>
      </c>
      <c r="C19574">
        <v>18453</v>
      </c>
      <c r="D19574" t="str">
        <f>"1003864     "</f>
        <v xml:space="preserve">1003864     </v>
      </c>
      <c r="E19574" t="s">
        <v>2948</v>
      </c>
      <c r="F19574" t="s">
        <v>2949</v>
      </c>
      <c r="G19574">
        <v>200.54</v>
      </c>
      <c r="H19574">
        <v>251231</v>
      </c>
      <c r="I19574">
        <v>4390</v>
      </c>
      <c r="J19574" t="s">
        <v>232</v>
      </c>
      <c r="K19574">
        <v>5032.91</v>
      </c>
      <c r="L19574">
        <v>40.75</v>
      </c>
      <c r="M19574">
        <v>14952</v>
      </c>
      <c r="N19574" t="s">
        <v>213</v>
      </c>
      <c r="O19574">
        <v>260113</v>
      </c>
      <c r="P19574">
        <v>159.79</v>
      </c>
    </row>
    <row r="19575" spans="1:16" x14ac:dyDescent="0.25">
      <c r="A19575" t="s">
        <v>3296</v>
      </c>
      <c r="B19575" t="s">
        <v>2931</v>
      </c>
      <c r="C19575">
        <v>18453</v>
      </c>
      <c r="D19575" t="str">
        <f>"1003864     "</f>
        <v xml:space="preserve">1003864     </v>
      </c>
      <c r="E19575" t="s">
        <v>2948</v>
      </c>
      <c r="F19575" t="s">
        <v>2949</v>
      </c>
      <c r="G19575">
        <v>300.52999999999997</v>
      </c>
      <c r="H19575">
        <v>251231</v>
      </c>
      <c r="I19575">
        <v>4390</v>
      </c>
      <c r="J19575" t="s">
        <v>232</v>
      </c>
      <c r="K19575">
        <v>5032.91</v>
      </c>
      <c r="L19575">
        <v>61.06</v>
      </c>
      <c r="M19575">
        <v>14981</v>
      </c>
      <c r="N19575" t="s">
        <v>252</v>
      </c>
      <c r="O19575">
        <v>260113</v>
      </c>
      <c r="P19575">
        <v>239.47</v>
      </c>
    </row>
    <row r="19576" spans="1:16" x14ac:dyDescent="0.25">
      <c r="A19576" t="s">
        <v>3296</v>
      </c>
      <c r="B19576" t="s">
        <v>2931</v>
      </c>
      <c r="C19576">
        <v>18453</v>
      </c>
      <c r="D19576" t="str">
        <f>"1003864     "</f>
        <v xml:space="preserve">1003864     </v>
      </c>
      <c r="E19576" t="s">
        <v>2948</v>
      </c>
      <c r="F19576" t="s">
        <v>2949</v>
      </c>
      <c r="G19576">
        <v>467.91</v>
      </c>
      <c r="H19576">
        <v>251231</v>
      </c>
      <c r="I19576">
        <v>4390</v>
      </c>
      <c r="J19576" t="s">
        <v>232</v>
      </c>
      <c r="K19576">
        <v>5032.91</v>
      </c>
      <c r="L19576">
        <v>95.07</v>
      </c>
      <c r="M19576">
        <v>14981</v>
      </c>
      <c r="N19576" t="s">
        <v>252</v>
      </c>
      <c r="O19576">
        <v>260113</v>
      </c>
      <c r="P19576">
        <v>372.84</v>
      </c>
    </row>
    <row r="19577" spans="1:16" x14ac:dyDescent="0.25">
      <c r="A19577" t="s">
        <v>3296</v>
      </c>
      <c r="B19577" t="s">
        <v>2931</v>
      </c>
      <c r="C19577">
        <v>18467</v>
      </c>
      <c r="D19577" t="str">
        <f>"1003865     "</f>
        <v xml:space="preserve">1003865     </v>
      </c>
      <c r="E19577" t="s">
        <v>2948</v>
      </c>
      <c r="F19577" t="s">
        <v>2949</v>
      </c>
      <c r="G19577">
        <v>118.54</v>
      </c>
      <c r="H19577">
        <v>251231</v>
      </c>
      <c r="I19577">
        <v>4390</v>
      </c>
      <c r="J19577" t="s">
        <v>232</v>
      </c>
      <c r="K19577">
        <v>395.14</v>
      </c>
      <c r="L19577">
        <v>24.09</v>
      </c>
      <c r="M19577">
        <v>14952</v>
      </c>
      <c r="N19577" t="s">
        <v>213</v>
      </c>
      <c r="O19577">
        <v>260114</v>
      </c>
      <c r="P19577">
        <v>94.45</v>
      </c>
    </row>
    <row r="19578" spans="1:16" x14ac:dyDescent="0.25">
      <c r="A19578" t="s">
        <v>3296</v>
      </c>
      <c r="B19578" t="s">
        <v>2931</v>
      </c>
      <c r="C19578">
        <v>18467</v>
      </c>
      <c r="D19578" t="str">
        <f>"1003865     "</f>
        <v xml:space="preserve">1003865     </v>
      </c>
      <c r="E19578" t="s">
        <v>2948</v>
      </c>
      <c r="F19578" t="s">
        <v>2949</v>
      </c>
      <c r="G19578">
        <v>276.60000000000002</v>
      </c>
      <c r="H19578">
        <v>251231</v>
      </c>
      <c r="I19578">
        <v>4390</v>
      </c>
      <c r="J19578" t="s">
        <v>232</v>
      </c>
      <c r="K19578">
        <v>395.14</v>
      </c>
      <c r="L19578">
        <v>56.2</v>
      </c>
      <c r="M19578">
        <v>14981</v>
      </c>
      <c r="N19578" t="s">
        <v>252</v>
      </c>
      <c r="O19578">
        <v>260114</v>
      </c>
      <c r="P19578">
        <v>220.4</v>
      </c>
    </row>
    <row r="19579" spans="1:16" x14ac:dyDescent="0.25">
      <c r="A19579" t="s">
        <v>3296</v>
      </c>
      <c r="B19579" t="s">
        <v>2931</v>
      </c>
      <c r="C19579">
        <v>16614</v>
      </c>
      <c r="D19579" t="str">
        <f>"1003129     "</f>
        <v xml:space="preserve">1003129     </v>
      </c>
      <c r="E19579" t="s">
        <v>2948</v>
      </c>
      <c r="F19579" t="s">
        <v>2949</v>
      </c>
      <c r="G19579">
        <v>16.940000000000001</v>
      </c>
      <c r="H19579">
        <v>251130</v>
      </c>
      <c r="I19579">
        <v>4400</v>
      </c>
      <c r="J19579" t="s">
        <v>162</v>
      </c>
      <c r="K19579">
        <v>621.09</v>
      </c>
      <c r="L19579">
        <v>3.44</v>
      </c>
      <c r="M19579">
        <v>14952</v>
      </c>
      <c r="N19579" t="s">
        <v>213</v>
      </c>
      <c r="O19579">
        <v>251210</v>
      </c>
      <c r="P19579">
        <v>13.5</v>
      </c>
    </row>
    <row r="19580" spans="1:16" x14ac:dyDescent="0.25">
      <c r="A19580" t="s">
        <v>3296</v>
      </c>
      <c r="B19580" t="s">
        <v>2931</v>
      </c>
      <c r="C19580">
        <v>16614</v>
      </c>
      <c r="D19580" t="str">
        <f>"1003129     "</f>
        <v xml:space="preserve">1003129     </v>
      </c>
      <c r="E19580" t="s">
        <v>2948</v>
      </c>
      <c r="F19580" t="s">
        <v>2949</v>
      </c>
      <c r="G19580">
        <v>39.520000000000003</v>
      </c>
      <c r="H19580">
        <v>251130</v>
      </c>
      <c r="I19580">
        <v>4400</v>
      </c>
      <c r="J19580" t="s">
        <v>162</v>
      </c>
      <c r="K19580">
        <v>621.09</v>
      </c>
      <c r="L19580">
        <v>8.0299999999999994</v>
      </c>
      <c r="M19580">
        <v>14981</v>
      </c>
      <c r="N19580" t="s">
        <v>252</v>
      </c>
      <c r="O19580">
        <v>251210</v>
      </c>
      <c r="P19580">
        <v>31.49</v>
      </c>
    </row>
    <row r="19581" spans="1:16" x14ac:dyDescent="0.25">
      <c r="A19581" t="s">
        <v>3296</v>
      </c>
      <c r="B19581" t="s">
        <v>2931</v>
      </c>
      <c r="C19581">
        <v>16615</v>
      </c>
      <c r="D19581" t="str">
        <f>"1003128     "</f>
        <v xml:space="preserve">1003128     </v>
      </c>
      <c r="E19581" t="s">
        <v>2948</v>
      </c>
      <c r="F19581" t="s">
        <v>2949</v>
      </c>
      <c r="G19581">
        <v>92.29</v>
      </c>
      <c r="H19581">
        <v>251130</v>
      </c>
      <c r="I19581">
        <v>4400</v>
      </c>
      <c r="J19581" t="s">
        <v>162</v>
      </c>
      <c r="K19581">
        <v>3383.79</v>
      </c>
      <c r="L19581">
        <v>18.75</v>
      </c>
      <c r="M19581">
        <v>14952</v>
      </c>
      <c r="N19581" t="s">
        <v>213</v>
      </c>
      <c r="O19581">
        <v>251210</v>
      </c>
      <c r="P19581">
        <v>73.540000000000006</v>
      </c>
    </row>
    <row r="19582" spans="1:16" x14ac:dyDescent="0.25">
      <c r="A19582" t="s">
        <v>3296</v>
      </c>
      <c r="B19582" t="s">
        <v>2931</v>
      </c>
      <c r="C19582">
        <v>16615</v>
      </c>
      <c r="D19582" t="str">
        <f>"1003128     "</f>
        <v xml:space="preserve">1003128     </v>
      </c>
      <c r="E19582" t="s">
        <v>2948</v>
      </c>
      <c r="F19582" t="s">
        <v>2949</v>
      </c>
      <c r="G19582">
        <v>215.33</v>
      </c>
      <c r="H19582">
        <v>251130</v>
      </c>
      <c r="I19582">
        <v>4400</v>
      </c>
      <c r="J19582" t="s">
        <v>162</v>
      </c>
      <c r="K19582">
        <v>3383.79</v>
      </c>
      <c r="L19582">
        <v>43.75</v>
      </c>
      <c r="M19582">
        <v>14981</v>
      </c>
      <c r="N19582" t="s">
        <v>252</v>
      </c>
      <c r="O19582">
        <v>251210</v>
      </c>
      <c r="P19582">
        <v>171.58</v>
      </c>
    </row>
    <row r="19583" spans="1:16" x14ac:dyDescent="0.25">
      <c r="A19583" t="s">
        <v>3296</v>
      </c>
      <c r="B19583" t="s">
        <v>2931</v>
      </c>
      <c r="C19583">
        <v>2738</v>
      </c>
      <c r="D19583" t="str">
        <f>"0430036273  "</f>
        <v xml:space="preserve">0430036273  </v>
      </c>
      <c r="E19583" t="s">
        <v>2948</v>
      </c>
      <c r="F19583" t="s">
        <v>2949</v>
      </c>
      <c r="G19583">
        <v>125.09</v>
      </c>
      <c r="H19583">
        <v>250228</v>
      </c>
      <c r="I19583">
        <v>4573</v>
      </c>
      <c r="J19583" t="s">
        <v>646</v>
      </c>
      <c r="K19583">
        <v>3199.41</v>
      </c>
      <c r="L19583">
        <v>25.42</v>
      </c>
      <c r="M19583">
        <v>14952</v>
      </c>
      <c r="N19583" t="s">
        <v>213</v>
      </c>
      <c r="O19583">
        <v>250311</v>
      </c>
      <c r="P19583">
        <v>99.67</v>
      </c>
    </row>
    <row r="19584" spans="1:16" x14ac:dyDescent="0.25">
      <c r="A19584" t="s">
        <v>3296</v>
      </c>
      <c r="B19584" t="s">
        <v>2931</v>
      </c>
      <c r="C19584">
        <v>2738</v>
      </c>
      <c r="D19584" t="str">
        <f>"0430036273  "</f>
        <v xml:space="preserve">0430036273  </v>
      </c>
      <c r="E19584" t="s">
        <v>2948</v>
      </c>
      <c r="F19584" t="s">
        <v>2949</v>
      </c>
      <c r="G19584">
        <v>291.89</v>
      </c>
      <c r="H19584">
        <v>250228</v>
      </c>
      <c r="I19584">
        <v>4573</v>
      </c>
      <c r="J19584" t="s">
        <v>646</v>
      </c>
      <c r="K19584">
        <v>3199.41</v>
      </c>
      <c r="L19584">
        <v>59.31</v>
      </c>
      <c r="M19584">
        <v>14981</v>
      </c>
      <c r="N19584" t="s">
        <v>252</v>
      </c>
      <c r="O19584">
        <v>250311</v>
      </c>
      <c r="P19584">
        <v>232.58</v>
      </c>
    </row>
    <row r="19585" spans="1:16" x14ac:dyDescent="0.25">
      <c r="A19585" t="s">
        <v>3296</v>
      </c>
      <c r="B19585" t="s">
        <v>2931</v>
      </c>
      <c r="C19585">
        <v>4356</v>
      </c>
      <c r="D19585" t="str">
        <f>"0430036835  "</f>
        <v xml:space="preserve">0430036835  </v>
      </c>
      <c r="E19585" t="s">
        <v>2948</v>
      </c>
      <c r="F19585" t="s">
        <v>2949</v>
      </c>
      <c r="G19585">
        <v>117.59</v>
      </c>
      <c r="H19585">
        <v>250331</v>
      </c>
      <c r="I19585">
        <v>4573</v>
      </c>
      <c r="J19585" t="s">
        <v>646</v>
      </c>
      <c r="K19585">
        <v>8263.59</v>
      </c>
      <c r="L19585">
        <v>23.89</v>
      </c>
      <c r="M19585">
        <v>14952</v>
      </c>
      <c r="N19585" t="s">
        <v>213</v>
      </c>
      <c r="O19585">
        <v>250411</v>
      </c>
      <c r="P19585">
        <v>93.7</v>
      </c>
    </row>
    <row r="19586" spans="1:16" x14ac:dyDescent="0.25">
      <c r="A19586" t="s">
        <v>3296</v>
      </c>
      <c r="B19586" t="s">
        <v>2931</v>
      </c>
      <c r="C19586">
        <v>4356</v>
      </c>
      <c r="D19586" t="str">
        <f>"0430036835  "</f>
        <v xml:space="preserve">0430036835  </v>
      </c>
      <c r="E19586" t="s">
        <v>2948</v>
      </c>
      <c r="F19586" t="s">
        <v>2949</v>
      </c>
      <c r="G19586">
        <v>274.38</v>
      </c>
      <c r="H19586">
        <v>250331</v>
      </c>
      <c r="I19586">
        <v>4573</v>
      </c>
      <c r="J19586" t="s">
        <v>646</v>
      </c>
      <c r="K19586">
        <v>8263.59</v>
      </c>
      <c r="L19586">
        <v>55.75</v>
      </c>
      <c r="M19586">
        <v>14981</v>
      </c>
      <c r="N19586" t="s">
        <v>252</v>
      </c>
      <c r="O19586">
        <v>250411</v>
      </c>
      <c r="P19586">
        <v>218.63</v>
      </c>
    </row>
    <row r="19587" spans="1:16" x14ac:dyDescent="0.25">
      <c r="A19587" t="s">
        <v>3296</v>
      </c>
      <c r="B19587" t="s">
        <v>2931</v>
      </c>
      <c r="C19587">
        <v>6372</v>
      </c>
      <c r="D19587" t="str">
        <f>"0430037296  "</f>
        <v xml:space="preserve">0430037296  </v>
      </c>
      <c r="E19587" t="s">
        <v>2948</v>
      </c>
      <c r="F19587" t="s">
        <v>2949</v>
      </c>
      <c r="G19587">
        <v>125.09</v>
      </c>
      <c r="H19587">
        <v>250430</v>
      </c>
      <c r="I19587">
        <v>4573</v>
      </c>
      <c r="J19587" t="s">
        <v>646</v>
      </c>
      <c r="K19587">
        <v>3728.82</v>
      </c>
      <c r="L19587">
        <v>25.42</v>
      </c>
      <c r="M19587">
        <v>14952</v>
      </c>
      <c r="N19587" t="s">
        <v>213</v>
      </c>
      <c r="O19587">
        <v>250513</v>
      </c>
      <c r="P19587">
        <v>99.67</v>
      </c>
    </row>
    <row r="19588" spans="1:16" x14ac:dyDescent="0.25">
      <c r="A19588" t="s">
        <v>3296</v>
      </c>
      <c r="B19588" t="s">
        <v>2931</v>
      </c>
      <c r="C19588">
        <v>6372</v>
      </c>
      <c r="D19588" t="str">
        <f>"0430037296  "</f>
        <v xml:space="preserve">0430037296  </v>
      </c>
      <c r="E19588" t="s">
        <v>2948</v>
      </c>
      <c r="F19588" t="s">
        <v>2949</v>
      </c>
      <c r="G19588">
        <v>291.89</v>
      </c>
      <c r="H19588">
        <v>250430</v>
      </c>
      <c r="I19588">
        <v>4573</v>
      </c>
      <c r="J19588" t="s">
        <v>646</v>
      </c>
      <c r="K19588">
        <v>3728.82</v>
      </c>
      <c r="L19588">
        <v>59.31</v>
      </c>
      <c r="M19588">
        <v>14981</v>
      </c>
      <c r="N19588" t="s">
        <v>252</v>
      </c>
      <c r="O19588">
        <v>250513</v>
      </c>
      <c r="P19588">
        <v>232.58</v>
      </c>
    </row>
    <row r="19589" spans="1:16" x14ac:dyDescent="0.25">
      <c r="A19589" t="s">
        <v>3296</v>
      </c>
      <c r="B19589" t="s">
        <v>2931</v>
      </c>
      <c r="C19589">
        <v>9297</v>
      </c>
      <c r="D19589" t="str">
        <f>"1000316     "</f>
        <v xml:space="preserve">1000316     </v>
      </c>
      <c r="E19589" t="s">
        <v>2948</v>
      </c>
      <c r="F19589" t="s">
        <v>2949</v>
      </c>
      <c r="G19589">
        <v>119.72</v>
      </c>
      <c r="H19589">
        <v>250601</v>
      </c>
      <c r="I19589">
        <v>4573</v>
      </c>
      <c r="J19589" t="s">
        <v>646</v>
      </c>
      <c r="K19589">
        <v>2259.92</v>
      </c>
      <c r="L19589">
        <v>24.33</v>
      </c>
      <c r="M19589">
        <v>14952</v>
      </c>
      <c r="N19589" t="s">
        <v>213</v>
      </c>
      <c r="O19589">
        <v>250703</v>
      </c>
      <c r="P19589">
        <v>95.39</v>
      </c>
    </row>
    <row r="19590" spans="1:16" x14ac:dyDescent="0.25">
      <c r="A19590" t="s">
        <v>3296</v>
      </c>
      <c r="B19590" t="s">
        <v>2931</v>
      </c>
      <c r="C19590">
        <v>9297</v>
      </c>
      <c r="D19590" t="str">
        <f>"1000316     "</f>
        <v xml:space="preserve">1000316     </v>
      </c>
      <c r="E19590" t="s">
        <v>2948</v>
      </c>
      <c r="F19590" t="s">
        <v>2949</v>
      </c>
      <c r="G19590">
        <v>279.35000000000002</v>
      </c>
      <c r="H19590">
        <v>250601</v>
      </c>
      <c r="I19590">
        <v>4573</v>
      </c>
      <c r="J19590" t="s">
        <v>646</v>
      </c>
      <c r="K19590">
        <v>2259.92</v>
      </c>
      <c r="L19590">
        <v>56.76</v>
      </c>
      <c r="M19590">
        <v>14981</v>
      </c>
      <c r="N19590" t="s">
        <v>252</v>
      </c>
      <c r="O19590">
        <v>250703</v>
      </c>
      <c r="P19590">
        <v>222.59</v>
      </c>
    </row>
    <row r="19591" spans="1:16" x14ac:dyDescent="0.25">
      <c r="A19591" t="s">
        <v>3296</v>
      </c>
      <c r="B19591" t="s">
        <v>2931</v>
      </c>
      <c r="C19591">
        <v>9531</v>
      </c>
      <c r="D19591" t="str">
        <f>"1000676     "</f>
        <v xml:space="preserve">1000676     </v>
      </c>
      <c r="E19591" t="s">
        <v>2948</v>
      </c>
      <c r="F19591" t="s">
        <v>2949</v>
      </c>
      <c r="G19591">
        <v>122.59</v>
      </c>
      <c r="H19591">
        <v>250630</v>
      </c>
      <c r="I19591">
        <v>4573</v>
      </c>
      <c r="J19591" t="s">
        <v>646</v>
      </c>
      <c r="K19591">
        <v>3056.82</v>
      </c>
      <c r="L19591">
        <v>24.91</v>
      </c>
      <c r="M19591">
        <v>14952</v>
      </c>
      <c r="N19591" t="s">
        <v>213</v>
      </c>
      <c r="O19591">
        <v>250709</v>
      </c>
      <c r="P19591">
        <v>97.68</v>
      </c>
    </row>
    <row r="19592" spans="1:16" x14ac:dyDescent="0.25">
      <c r="A19592" t="s">
        <v>3296</v>
      </c>
      <c r="B19592" t="s">
        <v>2931</v>
      </c>
      <c r="C19592">
        <v>9531</v>
      </c>
      <c r="D19592" t="str">
        <f>"1000676     "</f>
        <v xml:space="preserve">1000676     </v>
      </c>
      <c r="E19592" t="s">
        <v>2948</v>
      </c>
      <c r="F19592" t="s">
        <v>2949</v>
      </c>
      <c r="G19592">
        <v>286.05</v>
      </c>
      <c r="H19592">
        <v>250630</v>
      </c>
      <c r="I19592">
        <v>4573</v>
      </c>
      <c r="J19592" t="s">
        <v>646</v>
      </c>
      <c r="K19592">
        <v>3056.82</v>
      </c>
      <c r="L19592">
        <v>58.12</v>
      </c>
      <c r="M19592">
        <v>14981</v>
      </c>
      <c r="N19592" t="s">
        <v>252</v>
      </c>
      <c r="O19592">
        <v>250709</v>
      </c>
      <c r="P19592">
        <v>227.93</v>
      </c>
    </row>
    <row r="19593" spans="1:16" x14ac:dyDescent="0.25">
      <c r="A19593" t="s">
        <v>3296</v>
      </c>
      <c r="B19593" t="s">
        <v>2931</v>
      </c>
      <c r="C19593">
        <v>10211</v>
      </c>
      <c r="D19593" t="str">
        <f>"1001003     "</f>
        <v xml:space="preserve">1001003     </v>
      </c>
      <c r="E19593" t="s">
        <v>2948</v>
      </c>
      <c r="F19593" t="s">
        <v>2949</v>
      </c>
      <c r="G19593">
        <v>119.72</v>
      </c>
      <c r="H19593">
        <v>250731</v>
      </c>
      <c r="I19593">
        <v>4573</v>
      </c>
      <c r="J19593" t="s">
        <v>646</v>
      </c>
      <c r="K19593">
        <v>3249.09</v>
      </c>
      <c r="L19593">
        <v>24.33</v>
      </c>
      <c r="M19593">
        <v>14952</v>
      </c>
      <c r="N19593" t="s">
        <v>213</v>
      </c>
      <c r="O19593">
        <v>250813</v>
      </c>
      <c r="P19593">
        <v>95.39</v>
      </c>
    </row>
    <row r="19594" spans="1:16" x14ac:dyDescent="0.25">
      <c r="A19594" t="s">
        <v>3296</v>
      </c>
      <c r="B19594" t="s">
        <v>2931</v>
      </c>
      <c r="C19594">
        <v>10211</v>
      </c>
      <c r="D19594" t="str">
        <f>"1001003     "</f>
        <v xml:space="preserve">1001003     </v>
      </c>
      <c r="E19594" t="s">
        <v>2948</v>
      </c>
      <c r="F19594" t="s">
        <v>2949</v>
      </c>
      <c r="G19594">
        <v>279.35000000000002</v>
      </c>
      <c r="H19594">
        <v>250731</v>
      </c>
      <c r="I19594">
        <v>4573</v>
      </c>
      <c r="J19594" t="s">
        <v>646</v>
      </c>
      <c r="K19594">
        <v>3249.09</v>
      </c>
      <c r="L19594">
        <v>56.76</v>
      </c>
      <c r="M19594">
        <v>14981</v>
      </c>
      <c r="N19594" t="s">
        <v>252</v>
      </c>
      <c r="O19594">
        <v>250813</v>
      </c>
      <c r="P19594">
        <v>222.59</v>
      </c>
    </row>
    <row r="19595" spans="1:16" x14ac:dyDescent="0.25">
      <c r="A19595" t="s">
        <v>3296</v>
      </c>
      <c r="B19595" t="s">
        <v>2931</v>
      </c>
      <c r="C19595">
        <v>11988</v>
      </c>
      <c r="D19595" t="str">
        <f>"1001511     "</f>
        <v xml:space="preserve">1001511     </v>
      </c>
      <c r="E19595" t="s">
        <v>2948</v>
      </c>
      <c r="F19595" t="s">
        <v>2949</v>
      </c>
      <c r="G19595">
        <v>122.59</v>
      </c>
      <c r="H19595">
        <v>250831</v>
      </c>
      <c r="I19595">
        <v>4573</v>
      </c>
      <c r="J19595" t="s">
        <v>646</v>
      </c>
      <c r="K19595">
        <v>2792.94</v>
      </c>
      <c r="L19595">
        <v>24.91</v>
      </c>
      <c r="M19595">
        <v>14952</v>
      </c>
      <c r="N19595" t="s">
        <v>213</v>
      </c>
      <c r="O19595">
        <v>250915</v>
      </c>
      <c r="P19595">
        <v>97.68</v>
      </c>
    </row>
    <row r="19596" spans="1:16" x14ac:dyDescent="0.25">
      <c r="A19596" t="s">
        <v>3296</v>
      </c>
      <c r="B19596" t="s">
        <v>2931</v>
      </c>
      <c r="C19596">
        <v>11988</v>
      </c>
      <c r="D19596" t="str">
        <f>"1001511     "</f>
        <v xml:space="preserve">1001511     </v>
      </c>
      <c r="E19596" t="s">
        <v>2948</v>
      </c>
      <c r="F19596" t="s">
        <v>2949</v>
      </c>
      <c r="G19596">
        <v>286.05</v>
      </c>
      <c r="H19596">
        <v>250831</v>
      </c>
      <c r="I19596">
        <v>4573</v>
      </c>
      <c r="J19596" t="s">
        <v>646</v>
      </c>
      <c r="K19596">
        <v>2792.94</v>
      </c>
      <c r="L19596">
        <v>58.12</v>
      </c>
      <c r="M19596">
        <v>14981</v>
      </c>
      <c r="N19596" t="s">
        <v>252</v>
      </c>
      <c r="O19596">
        <v>250915</v>
      </c>
      <c r="P19596">
        <v>227.93</v>
      </c>
    </row>
    <row r="19597" spans="1:16" x14ac:dyDescent="0.25">
      <c r="A19597" t="s">
        <v>3296</v>
      </c>
      <c r="B19597" t="s">
        <v>2931</v>
      </c>
      <c r="C19597">
        <v>13443</v>
      </c>
      <c r="D19597" t="str">
        <f>"1002072     "</f>
        <v xml:space="preserve">1002072     </v>
      </c>
      <c r="E19597" t="s">
        <v>2948</v>
      </c>
      <c r="F19597" t="s">
        <v>2949</v>
      </c>
      <c r="G19597">
        <v>122.59</v>
      </c>
      <c r="H19597">
        <v>250930</v>
      </c>
      <c r="I19597">
        <v>4573</v>
      </c>
      <c r="J19597" t="s">
        <v>646</v>
      </c>
      <c r="K19597">
        <v>3166.52</v>
      </c>
      <c r="L19597">
        <v>24.91</v>
      </c>
      <c r="M19597">
        <v>14952</v>
      </c>
      <c r="N19597" t="s">
        <v>213</v>
      </c>
      <c r="O19597">
        <v>251010</v>
      </c>
      <c r="P19597">
        <v>97.68</v>
      </c>
    </row>
    <row r="19598" spans="1:16" x14ac:dyDescent="0.25">
      <c r="A19598" t="s">
        <v>3296</v>
      </c>
      <c r="B19598" t="s">
        <v>2931</v>
      </c>
      <c r="C19598">
        <v>13443</v>
      </c>
      <c r="D19598" t="str">
        <f>"1002072     "</f>
        <v xml:space="preserve">1002072     </v>
      </c>
      <c r="E19598" t="s">
        <v>2948</v>
      </c>
      <c r="F19598" t="s">
        <v>2949</v>
      </c>
      <c r="G19598">
        <v>286.05</v>
      </c>
      <c r="H19598">
        <v>250930</v>
      </c>
      <c r="I19598">
        <v>4573</v>
      </c>
      <c r="J19598" t="s">
        <v>646</v>
      </c>
      <c r="K19598">
        <v>3166.52</v>
      </c>
      <c r="L19598">
        <v>58.12</v>
      </c>
      <c r="M19598">
        <v>14981</v>
      </c>
      <c r="N19598" t="s">
        <v>252</v>
      </c>
      <c r="O19598">
        <v>251010</v>
      </c>
      <c r="P19598">
        <v>227.93</v>
      </c>
    </row>
    <row r="19599" spans="1:16" x14ac:dyDescent="0.25">
      <c r="A19599" t="s">
        <v>3296</v>
      </c>
      <c r="B19599" t="s">
        <v>2931</v>
      </c>
      <c r="C19599">
        <v>16615</v>
      </c>
      <c r="D19599" t="str">
        <f>"1003128     "</f>
        <v xml:space="preserve">1003128     </v>
      </c>
      <c r="E19599" t="s">
        <v>2948</v>
      </c>
      <c r="F19599" t="s">
        <v>2949</v>
      </c>
      <c r="G19599">
        <v>111.45</v>
      </c>
      <c r="H19599">
        <v>251130</v>
      </c>
      <c r="I19599">
        <v>4573</v>
      </c>
      <c r="J19599" t="s">
        <v>646</v>
      </c>
      <c r="K19599">
        <v>3383.79</v>
      </c>
      <c r="L19599">
        <v>22.65</v>
      </c>
      <c r="M19599">
        <v>14952</v>
      </c>
      <c r="N19599" t="s">
        <v>213</v>
      </c>
      <c r="O19599">
        <v>251210</v>
      </c>
      <c r="P19599">
        <v>88.8</v>
      </c>
    </row>
    <row r="19600" spans="1:16" x14ac:dyDescent="0.25">
      <c r="A19600" t="s">
        <v>3296</v>
      </c>
      <c r="B19600" t="s">
        <v>2931</v>
      </c>
      <c r="C19600">
        <v>16615</v>
      </c>
      <c r="D19600" t="str">
        <f>"1003128     "</f>
        <v xml:space="preserve">1003128     </v>
      </c>
      <c r="E19600" t="s">
        <v>2948</v>
      </c>
      <c r="F19600" t="s">
        <v>2949</v>
      </c>
      <c r="G19600">
        <v>260.04000000000002</v>
      </c>
      <c r="H19600">
        <v>251130</v>
      </c>
      <c r="I19600">
        <v>4573</v>
      </c>
      <c r="J19600" t="s">
        <v>646</v>
      </c>
      <c r="K19600">
        <v>3383.79</v>
      </c>
      <c r="L19600">
        <v>52.84</v>
      </c>
      <c r="M19600">
        <v>14981</v>
      </c>
      <c r="N19600" t="s">
        <v>252</v>
      </c>
      <c r="O19600">
        <v>251210</v>
      </c>
      <c r="P19600">
        <v>207.2</v>
      </c>
    </row>
    <row r="19601" spans="1:16" x14ac:dyDescent="0.25">
      <c r="A19601" t="s">
        <v>3296</v>
      </c>
      <c r="B19601" t="s">
        <v>2931</v>
      </c>
      <c r="C19601">
        <v>10211</v>
      </c>
      <c r="D19601" t="str">
        <f>"1001003     "</f>
        <v xml:space="preserve">1001003     </v>
      </c>
      <c r="E19601" t="s">
        <v>2948</v>
      </c>
      <c r="F19601" t="s">
        <v>2949</v>
      </c>
      <c r="G19601">
        <v>130.12</v>
      </c>
      <c r="H19601">
        <v>250731</v>
      </c>
      <c r="I19601">
        <v>4590</v>
      </c>
      <c r="J19601" t="s">
        <v>388</v>
      </c>
      <c r="K19601">
        <v>3249.09</v>
      </c>
      <c r="L19601">
        <v>26.44</v>
      </c>
      <c r="M19601">
        <v>14952</v>
      </c>
      <c r="N19601" t="s">
        <v>213</v>
      </c>
      <c r="O19601">
        <v>250813</v>
      </c>
      <c r="P19601">
        <v>103.68</v>
      </c>
    </row>
    <row r="19602" spans="1:16" x14ac:dyDescent="0.25">
      <c r="A19602" t="s">
        <v>3296</v>
      </c>
      <c r="B19602" t="s">
        <v>2931</v>
      </c>
      <c r="C19602">
        <v>10211</v>
      </c>
      <c r="D19602" t="str">
        <f>"1001003     "</f>
        <v xml:space="preserve">1001003     </v>
      </c>
      <c r="E19602" t="s">
        <v>2948</v>
      </c>
      <c r="F19602" t="s">
        <v>2949</v>
      </c>
      <c r="G19602">
        <v>303.63</v>
      </c>
      <c r="H19602">
        <v>250731</v>
      </c>
      <c r="I19602">
        <v>4590</v>
      </c>
      <c r="J19602" t="s">
        <v>388</v>
      </c>
      <c r="K19602">
        <v>3249.09</v>
      </c>
      <c r="L19602">
        <v>61.69</v>
      </c>
      <c r="M19602">
        <v>14981</v>
      </c>
      <c r="N19602" t="s">
        <v>252</v>
      </c>
      <c r="O19602">
        <v>250813</v>
      </c>
      <c r="P19602">
        <v>241.94</v>
      </c>
    </row>
    <row r="19603" spans="1:16" x14ac:dyDescent="0.25">
      <c r="A19603" t="s">
        <v>3296</v>
      </c>
      <c r="B19603" t="s">
        <v>2931</v>
      </c>
      <c r="C19603">
        <v>15341</v>
      </c>
      <c r="D19603" t="str">
        <f>"1002540     "</f>
        <v xml:space="preserve">1002540     </v>
      </c>
      <c r="E19603" t="s">
        <v>2948</v>
      </c>
      <c r="F19603" t="s">
        <v>2949</v>
      </c>
      <c r="G19603">
        <v>1.65</v>
      </c>
      <c r="H19603">
        <v>251031</v>
      </c>
      <c r="I19603">
        <v>4590</v>
      </c>
      <c r="J19603" t="s">
        <v>388</v>
      </c>
      <c r="K19603">
        <v>856.89</v>
      </c>
      <c r="L19603">
        <v>0.34</v>
      </c>
      <c r="M19603">
        <v>14952</v>
      </c>
      <c r="N19603" t="s">
        <v>213</v>
      </c>
      <c r="O19603">
        <v>251119</v>
      </c>
      <c r="P19603">
        <v>1.31</v>
      </c>
    </row>
    <row r="19604" spans="1:16" x14ac:dyDescent="0.25">
      <c r="A19604" t="s">
        <v>3296</v>
      </c>
      <c r="B19604" t="s">
        <v>2931</v>
      </c>
      <c r="C19604">
        <v>15341</v>
      </c>
      <c r="D19604" t="str">
        <f>"1002540     "</f>
        <v xml:space="preserve">1002540     </v>
      </c>
      <c r="E19604" t="s">
        <v>2948</v>
      </c>
      <c r="F19604" t="s">
        <v>2949</v>
      </c>
      <c r="G19604">
        <v>3.85</v>
      </c>
      <c r="H19604">
        <v>251031</v>
      </c>
      <c r="I19604">
        <v>4590</v>
      </c>
      <c r="J19604" t="s">
        <v>388</v>
      </c>
      <c r="K19604">
        <v>856.89</v>
      </c>
      <c r="L19604">
        <v>0.78</v>
      </c>
      <c r="M19604">
        <v>14981</v>
      </c>
      <c r="N19604" t="s">
        <v>252</v>
      </c>
      <c r="O19604">
        <v>251119</v>
      </c>
      <c r="P19604">
        <v>3.07</v>
      </c>
    </row>
    <row r="19605" spans="1:16" x14ac:dyDescent="0.25">
      <c r="A19605" t="s">
        <v>3296</v>
      </c>
      <c r="B19605" t="s">
        <v>2931</v>
      </c>
      <c r="C19605">
        <v>11988</v>
      </c>
      <c r="D19605" t="str">
        <f>"1001511     "</f>
        <v xml:space="preserve">1001511     </v>
      </c>
      <c r="E19605" t="s">
        <v>2948</v>
      </c>
      <c r="F19605" t="s">
        <v>2949</v>
      </c>
      <c r="G19605">
        <v>2.0699999999999998</v>
      </c>
      <c r="H19605">
        <v>250831</v>
      </c>
      <c r="I19605">
        <v>4600</v>
      </c>
      <c r="J19605" t="s">
        <v>278</v>
      </c>
      <c r="K19605">
        <v>2792.94</v>
      </c>
      <c r="L19605">
        <v>0.42</v>
      </c>
      <c r="M19605">
        <v>14952</v>
      </c>
      <c r="N19605" t="s">
        <v>213</v>
      </c>
      <c r="O19605">
        <v>250915</v>
      </c>
      <c r="P19605">
        <v>1.65</v>
      </c>
    </row>
    <row r="19606" spans="1:16" x14ac:dyDescent="0.25">
      <c r="A19606" t="s">
        <v>3296</v>
      </c>
      <c r="B19606" t="s">
        <v>2931</v>
      </c>
      <c r="C19606">
        <v>11988</v>
      </c>
      <c r="D19606" t="str">
        <f>"1001511     "</f>
        <v xml:space="preserve">1001511     </v>
      </c>
      <c r="E19606" t="s">
        <v>2948</v>
      </c>
      <c r="F19606" t="s">
        <v>2949</v>
      </c>
      <c r="G19606">
        <v>4.83</v>
      </c>
      <c r="H19606">
        <v>250831</v>
      </c>
      <c r="I19606">
        <v>4600</v>
      </c>
      <c r="J19606" t="s">
        <v>278</v>
      </c>
      <c r="K19606">
        <v>2792.94</v>
      </c>
      <c r="L19606">
        <v>0.98</v>
      </c>
      <c r="M19606">
        <v>14981</v>
      </c>
      <c r="N19606" t="s">
        <v>252</v>
      </c>
      <c r="O19606">
        <v>250915</v>
      </c>
      <c r="P19606">
        <v>3.85</v>
      </c>
    </row>
    <row r="19607" spans="1:16" x14ac:dyDescent="0.25">
      <c r="A19607" t="s">
        <v>3296</v>
      </c>
      <c r="B19607" t="s">
        <v>2931</v>
      </c>
      <c r="C19607">
        <v>1487</v>
      </c>
      <c r="D19607" t="str">
        <f>"0430036082  "</f>
        <v xml:space="preserve">0430036082  </v>
      </c>
      <c r="E19607" t="s">
        <v>2948</v>
      </c>
      <c r="F19607" t="s">
        <v>2949</v>
      </c>
      <c r="G19607">
        <v>20.29</v>
      </c>
      <c r="H19607">
        <v>250131</v>
      </c>
      <c r="I19607">
        <v>4842</v>
      </c>
      <c r="J19607" t="s">
        <v>15</v>
      </c>
      <c r="K19607">
        <v>1402.32</v>
      </c>
      <c r="L19607">
        <v>4.12</v>
      </c>
      <c r="M19607">
        <v>14952</v>
      </c>
      <c r="N19607" t="s">
        <v>213</v>
      </c>
      <c r="O19607">
        <v>250210</v>
      </c>
      <c r="P19607">
        <v>16.170000000000002</v>
      </c>
    </row>
    <row r="19608" spans="1:16" x14ac:dyDescent="0.25">
      <c r="A19608" t="s">
        <v>3296</v>
      </c>
      <c r="B19608" t="s">
        <v>2931</v>
      </c>
      <c r="C19608">
        <v>1487</v>
      </c>
      <c r="D19608" t="str">
        <f>"0430036082  "</f>
        <v xml:space="preserve">0430036082  </v>
      </c>
      <c r="E19608" t="s">
        <v>2948</v>
      </c>
      <c r="F19608" t="s">
        <v>2949</v>
      </c>
      <c r="G19608">
        <v>47.35</v>
      </c>
      <c r="H19608">
        <v>250131</v>
      </c>
      <c r="I19608">
        <v>4842</v>
      </c>
      <c r="J19608" t="s">
        <v>15</v>
      </c>
      <c r="K19608">
        <v>1402.32</v>
      </c>
      <c r="L19608">
        <v>9.6199999999999992</v>
      </c>
      <c r="M19608">
        <v>14981</v>
      </c>
      <c r="N19608" t="s">
        <v>252</v>
      </c>
      <c r="O19608">
        <v>250210</v>
      </c>
      <c r="P19608">
        <v>37.729999999999997</v>
      </c>
    </row>
    <row r="19609" spans="1:16" x14ac:dyDescent="0.25">
      <c r="A19609" t="s">
        <v>3296</v>
      </c>
      <c r="B19609" t="s">
        <v>2931</v>
      </c>
      <c r="C19609">
        <v>2738</v>
      </c>
      <c r="D19609" t="str">
        <f>"0430036273  "</f>
        <v xml:space="preserve">0430036273  </v>
      </c>
      <c r="E19609" t="s">
        <v>2948</v>
      </c>
      <c r="F19609" t="s">
        <v>2949</v>
      </c>
      <c r="G19609">
        <v>20.29</v>
      </c>
      <c r="H19609">
        <v>250228</v>
      </c>
      <c r="I19609">
        <v>4842</v>
      </c>
      <c r="J19609" t="s">
        <v>15</v>
      </c>
      <c r="K19609">
        <v>3199.41</v>
      </c>
      <c r="L19609">
        <v>4.12</v>
      </c>
      <c r="M19609">
        <v>14952</v>
      </c>
      <c r="N19609" t="s">
        <v>213</v>
      </c>
      <c r="O19609">
        <v>250311</v>
      </c>
      <c r="P19609">
        <v>16.170000000000002</v>
      </c>
    </row>
    <row r="19610" spans="1:16" x14ac:dyDescent="0.25">
      <c r="A19610" t="s">
        <v>3296</v>
      </c>
      <c r="B19610" t="s">
        <v>2931</v>
      </c>
      <c r="C19610">
        <v>2738</v>
      </c>
      <c r="D19610" t="str">
        <f>"0430036273  "</f>
        <v xml:space="preserve">0430036273  </v>
      </c>
      <c r="E19610" t="s">
        <v>2948</v>
      </c>
      <c r="F19610" t="s">
        <v>2949</v>
      </c>
      <c r="G19610">
        <v>47.35</v>
      </c>
      <c r="H19610">
        <v>250228</v>
      </c>
      <c r="I19610">
        <v>4842</v>
      </c>
      <c r="J19610" t="s">
        <v>15</v>
      </c>
      <c r="K19610">
        <v>3199.41</v>
      </c>
      <c r="L19610">
        <v>9.6199999999999992</v>
      </c>
      <c r="M19610">
        <v>14981</v>
      </c>
      <c r="N19610" t="s">
        <v>252</v>
      </c>
      <c r="O19610">
        <v>250311</v>
      </c>
      <c r="P19610">
        <v>37.729999999999997</v>
      </c>
    </row>
    <row r="19611" spans="1:16" x14ac:dyDescent="0.25">
      <c r="A19611" t="s">
        <v>3296</v>
      </c>
      <c r="B19611" t="s">
        <v>2931</v>
      </c>
      <c r="C19611">
        <v>4356</v>
      </c>
      <c r="D19611" t="str">
        <f>"0430036835  "</f>
        <v xml:space="preserve">0430036835  </v>
      </c>
      <c r="E19611" t="s">
        <v>2948</v>
      </c>
      <c r="F19611" t="s">
        <v>2949</v>
      </c>
      <c r="G19611">
        <v>20.29</v>
      </c>
      <c r="H19611">
        <v>250331</v>
      </c>
      <c r="I19611">
        <v>4842</v>
      </c>
      <c r="J19611" t="s">
        <v>15</v>
      </c>
      <c r="K19611">
        <v>8263.59</v>
      </c>
      <c r="L19611">
        <v>4.12</v>
      </c>
      <c r="M19611">
        <v>14952</v>
      </c>
      <c r="N19611" t="s">
        <v>213</v>
      </c>
      <c r="O19611">
        <v>250411</v>
      </c>
      <c r="P19611">
        <v>16.170000000000002</v>
      </c>
    </row>
    <row r="19612" spans="1:16" x14ac:dyDescent="0.25">
      <c r="A19612" t="s">
        <v>3296</v>
      </c>
      <c r="B19612" t="s">
        <v>2931</v>
      </c>
      <c r="C19612">
        <v>4356</v>
      </c>
      <c r="D19612" t="str">
        <f>"0430036835  "</f>
        <v xml:space="preserve">0430036835  </v>
      </c>
      <c r="E19612" t="s">
        <v>2948</v>
      </c>
      <c r="F19612" t="s">
        <v>2949</v>
      </c>
      <c r="G19612">
        <v>47.35</v>
      </c>
      <c r="H19612">
        <v>250331</v>
      </c>
      <c r="I19612">
        <v>4842</v>
      </c>
      <c r="J19612" t="s">
        <v>15</v>
      </c>
      <c r="K19612">
        <v>8263.59</v>
      </c>
      <c r="L19612">
        <v>9.6199999999999992</v>
      </c>
      <c r="M19612">
        <v>14981</v>
      </c>
      <c r="N19612" t="s">
        <v>252</v>
      </c>
      <c r="O19612">
        <v>250411</v>
      </c>
      <c r="P19612">
        <v>37.729999999999997</v>
      </c>
    </row>
    <row r="19613" spans="1:16" x14ac:dyDescent="0.25">
      <c r="A19613" t="s">
        <v>3296</v>
      </c>
      <c r="B19613" t="s">
        <v>2931</v>
      </c>
      <c r="C19613">
        <v>6372</v>
      </c>
      <c r="D19613" t="str">
        <f>"0430037296  "</f>
        <v xml:space="preserve">0430037296  </v>
      </c>
      <c r="E19613" t="s">
        <v>2948</v>
      </c>
      <c r="F19613" t="s">
        <v>2949</v>
      </c>
      <c r="G19613">
        <v>20.29</v>
      </c>
      <c r="H19613">
        <v>250430</v>
      </c>
      <c r="I19613">
        <v>4842</v>
      </c>
      <c r="J19613" t="s">
        <v>15</v>
      </c>
      <c r="K19613">
        <v>3728.82</v>
      </c>
      <c r="L19613">
        <v>4.12</v>
      </c>
      <c r="M19613">
        <v>14952</v>
      </c>
      <c r="N19613" t="s">
        <v>213</v>
      </c>
      <c r="O19613">
        <v>250513</v>
      </c>
      <c r="P19613">
        <v>16.170000000000002</v>
      </c>
    </row>
    <row r="19614" spans="1:16" x14ac:dyDescent="0.25">
      <c r="A19614" t="s">
        <v>3296</v>
      </c>
      <c r="B19614" t="s">
        <v>2931</v>
      </c>
      <c r="C19614">
        <v>6372</v>
      </c>
      <c r="D19614" t="str">
        <f>"0430037296  "</f>
        <v xml:space="preserve">0430037296  </v>
      </c>
      <c r="E19614" t="s">
        <v>2948</v>
      </c>
      <c r="F19614" t="s">
        <v>2949</v>
      </c>
      <c r="G19614">
        <v>47.35</v>
      </c>
      <c r="H19614">
        <v>250430</v>
      </c>
      <c r="I19614">
        <v>4842</v>
      </c>
      <c r="J19614" t="s">
        <v>15</v>
      </c>
      <c r="K19614">
        <v>3728.82</v>
      </c>
      <c r="L19614">
        <v>9.6199999999999992</v>
      </c>
      <c r="M19614">
        <v>14981</v>
      </c>
      <c r="N19614" t="s">
        <v>252</v>
      </c>
      <c r="O19614">
        <v>250513</v>
      </c>
      <c r="P19614">
        <v>37.729999999999997</v>
      </c>
    </row>
    <row r="19615" spans="1:16" x14ac:dyDescent="0.25">
      <c r="A19615" t="s">
        <v>3296</v>
      </c>
      <c r="B19615" t="s">
        <v>2931</v>
      </c>
      <c r="C19615">
        <v>16614</v>
      </c>
      <c r="D19615" t="str">
        <f>"1003129     "</f>
        <v xml:space="preserve">1003129     </v>
      </c>
      <c r="E19615" t="s">
        <v>2948</v>
      </c>
      <c r="F19615" t="s">
        <v>2949</v>
      </c>
      <c r="G19615">
        <v>13.14</v>
      </c>
      <c r="H19615">
        <v>251130</v>
      </c>
      <c r="I19615">
        <v>4842</v>
      </c>
      <c r="J19615" t="s">
        <v>15</v>
      </c>
      <c r="K19615">
        <v>621.09</v>
      </c>
      <c r="L19615">
        <v>2.67</v>
      </c>
      <c r="M19615">
        <v>14952</v>
      </c>
      <c r="N19615" t="s">
        <v>213</v>
      </c>
      <c r="O19615">
        <v>251210</v>
      </c>
      <c r="P19615">
        <v>10.47</v>
      </c>
    </row>
    <row r="19616" spans="1:16" x14ac:dyDescent="0.25">
      <c r="A19616" t="s">
        <v>3296</v>
      </c>
      <c r="B19616" t="s">
        <v>2931</v>
      </c>
      <c r="C19616">
        <v>16614</v>
      </c>
      <c r="D19616" t="str">
        <f>"1003129     "</f>
        <v xml:space="preserve">1003129     </v>
      </c>
      <c r="E19616" t="s">
        <v>2948</v>
      </c>
      <c r="F19616" t="s">
        <v>2949</v>
      </c>
      <c r="G19616">
        <v>30.66</v>
      </c>
      <c r="H19616">
        <v>251130</v>
      </c>
      <c r="I19616">
        <v>4842</v>
      </c>
      <c r="J19616" t="s">
        <v>15</v>
      </c>
      <c r="K19616">
        <v>621.09</v>
      </c>
      <c r="L19616">
        <v>6.23</v>
      </c>
      <c r="M19616">
        <v>14981</v>
      </c>
      <c r="N19616" t="s">
        <v>252</v>
      </c>
      <c r="O19616">
        <v>251210</v>
      </c>
      <c r="P19616">
        <v>24.43</v>
      </c>
    </row>
    <row r="19617" spans="1:16" x14ac:dyDescent="0.25">
      <c r="A19617" t="s">
        <v>3296</v>
      </c>
      <c r="B19617" t="s">
        <v>2931</v>
      </c>
      <c r="C19617">
        <v>9520</v>
      </c>
      <c r="D19617" t="str">
        <f>"1000677     "</f>
        <v xml:space="preserve">1000677     </v>
      </c>
      <c r="E19617" t="s">
        <v>2948</v>
      </c>
      <c r="F19617" t="s">
        <v>2949</v>
      </c>
      <c r="G19617">
        <v>40.58</v>
      </c>
      <c r="H19617">
        <v>250630</v>
      </c>
      <c r="I19617">
        <v>4860</v>
      </c>
      <c r="J19617" t="s">
        <v>286</v>
      </c>
      <c r="K19617">
        <v>1640.03</v>
      </c>
      <c r="L19617">
        <v>8.25</v>
      </c>
      <c r="M19617">
        <v>14952</v>
      </c>
      <c r="N19617" t="s">
        <v>213</v>
      </c>
      <c r="O19617">
        <v>250709</v>
      </c>
      <c r="P19617">
        <v>32.33</v>
      </c>
    </row>
    <row r="19618" spans="1:16" x14ac:dyDescent="0.25">
      <c r="A19618" t="s">
        <v>3296</v>
      </c>
      <c r="B19618" t="s">
        <v>2931</v>
      </c>
      <c r="C19618">
        <v>9520</v>
      </c>
      <c r="D19618" t="str">
        <f>"1000677     "</f>
        <v xml:space="preserve">1000677     </v>
      </c>
      <c r="E19618" t="s">
        <v>2948</v>
      </c>
      <c r="F19618" t="s">
        <v>2949</v>
      </c>
      <c r="G19618">
        <v>94.7</v>
      </c>
      <c r="H19618">
        <v>250630</v>
      </c>
      <c r="I19618">
        <v>4860</v>
      </c>
      <c r="J19618" t="s">
        <v>286</v>
      </c>
      <c r="K19618">
        <v>1640.03</v>
      </c>
      <c r="L19618">
        <v>19.239999999999998</v>
      </c>
      <c r="M19618">
        <v>14981</v>
      </c>
      <c r="N19618" t="s">
        <v>252</v>
      </c>
      <c r="O19618">
        <v>250709</v>
      </c>
      <c r="P19618">
        <v>75.459999999999994</v>
      </c>
    </row>
    <row r="19619" spans="1:16" x14ac:dyDescent="0.25">
      <c r="A19619" t="s">
        <v>3296</v>
      </c>
      <c r="B19619" t="s">
        <v>2931</v>
      </c>
      <c r="C19619">
        <v>11990</v>
      </c>
      <c r="D19619" t="str">
        <f>"1001513     "</f>
        <v xml:space="preserve">1001513     </v>
      </c>
      <c r="E19619" t="s">
        <v>2948</v>
      </c>
      <c r="F19619" t="s">
        <v>2949</v>
      </c>
      <c r="G19619">
        <v>20.29</v>
      </c>
      <c r="H19619">
        <v>250831</v>
      </c>
      <c r="I19619">
        <v>4860</v>
      </c>
      <c r="J19619" t="s">
        <v>286</v>
      </c>
      <c r="K19619">
        <v>67.64</v>
      </c>
      <c r="L19619">
        <v>4.12</v>
      </c>
      <c r="M19619">
        <v>14952</v>
      </c>
      <c r="N19619" t="s">
        <v>213</v>
      </c>
      <c r="O19619">
        <v>250915</v>
      </c>
      <c r="P19619">
        <v>16.170000000000002</v>
      </c>
    </row>
    <row r="19620" spans="1:16" x14ac:dyDescent="0.25">
      <c r="A19620" t="s">
        <v>3296</v>
      </c>
      <c r="B19620" t="s">
        <v>2931</v>
      </c>
      <c r="C19620">
        <v>11990</v>
      </c>
      <c r="D19620" t="str">
        <f>"1001513     "</f>
        <v xml:space="preserve">1001513     </v>
      </c>
      <c r="E19620" t="s">
        <v>2948</v>
      </c>
      <c r="F19620" t="s">
        <v>2949</v>
      </c>
      <c r="G19620">
        <v>47.35</v>
      </c>
      <c r="H19620">
        <v>250831</v>
      </c>
      <c r="I19620">
        <v>4860</v>
      </c>
      <c r="J19620" t="s">
        <v>286</v>
      </c>
      <c r="K19620">
        <v>67.64</v>
      </c>
      <c r="L19620">
        <v>9.6199999999999992</v>
      </c>
      <c r="M19620">
        <v>14981</v>
      </c>
      <c r="N19620" t="s">
        <v>252</v>
      </c>
      <c r="O19620">
        <v>250915</v>
      </c>
      <c r="P19620">
        <v>37.729999999999997</v>
      </c>
    </row>
    <row r="19621" spans="1:16" x14ac:dyDescent="0.25">
      <c r="A19621" t="s">
        <v>3296</v>
      </c>
      <c r="B19621" t="s">
        <v>2931</v>
      </c>
      <c r="C19621">
        <v>13445</v>
      </c>
      <c r="D19621" t="str">
        <f>"1002060     "</f>
        <v xml:space="preserve">1002060     </v>
      </c>
      <c r="E19621" t="s">
        <v>2948</v>
      </c>
      <c r="F19621" t="s">
        <v>2949</v>
      </c>
      <c r="G19621">
        <v>40.590000000000003</v>
      </c>
      <c r="H19621">
        <v>250930</v>
      </c>
      <c r="I19621">
        <v>4860</v>
      </c>
      <c r="J19621" t="s">
        <v>286</v>
      </c>
      <c r="K19621">
        <v>135.29</v>
      </c>
      <c r="L19621">
        <v>8.25</v>
      </c>
      <c r="M19621">
        <v>14952</v>
      </c>
      <c r="N19621" t="s">
        <v>213</v>
      </c>
      <c r="O19621">
        <v>251010</v>
      </c>
      <c r="P19621">
        <v>32.340000000000003</v>
      </c>
    </row>
    <row r="19622" spans="1:16" x14ac:dyDescent="0.25">
      <c r="A19622" t="s">
        <v>3296</v>
      </c>
      <c r="B19622" t="s">
        <v>2931</v>
      </c>
      <c r="C19622">
        <v>13445</v>
      </c>
      <c r="D19622" t="str">
        <f>"1002060     "</f>
        <v xml:space="preserve">1002060     </v>
      </c>
      <c r="E19622" t="s">
        <v>2948</v>
      </c>
      <c r="F19622" t="s">
        <v>2949</v>
      </c>
      <c r="G19622">
        <v>94.7</v>
      </c>
      <c r="H19622">
        <v>250930</v>
      </c>
      <c r="I19622">
        <v>4860</v>
      </c>
      <c r="J19622" t="s">
        <v>286</v>
      </c>
      <c r="K19622">
        <v>135.29</v>
      </c>
      <c r="L19622">
        <v>19.239999999999998</v>
      </c>
      <c r="M19622">
        <v>14981</v>
      </c>
      <c r="N19622" t="s">
        <v>252</v>
      </c>
      <c r="O19622">
        <v>251010</v>
      </c>
      <c r="P19622">
        <v>75.459999999999994</v>
      </c>
    </row>
    <row r="19623" spans="1:16" x14ac:dyDescent="0.25">
      <c r="A19623" t="s">
        <v>3296</v>
      </c>
      <c r="B19623" t="s">
        <v>2931</v>
      </c>
      <c r="C19623">
        <v>5142</v>
      </c>
      <c r="D19623" t="str">
        <f>"291122261   "</f>
        <v xml:space="preserve">291122261   </v>
      </c>
      <c r="E19623" t="s">
        <v>1685</v>
      </c>
      <c r="F19623" t="s">
        <v>1686</v>
      </c>
      <c r="G19623">
        <v>17.05</v>
      </c>
      <c r="H19623">
        <v>250331</v>
      </c>
      <c r="I19623">
        <v>4380</v>
      </c>
      <c r="J19623" t="s">
        <v>211</v>
      </c>
      <c r="K19623">
        <v>95.86</v>
      </c>
      <c r="L19623">
        <v>3.46</v>
      </c>
      <c r="M19623">
        <v>11401</v>
      </c>
      <c r="N19623" t="s">
        <v>91</v>
      </c>
      <c r="O19623">
        <v>250417</v>
      </c>
      <c r="P19623">
        <v>13.59</v>
      </c>
    </row>
    <row r="19624" spans="1:16" x14ac:dyDescent="0.25">
      <c r="A19624" t="s">
        <v>3296</v>
      </c>
      <c r="B19624" t="s">
        <v>2931</v>
      </c>
      <c r="C19624">
        <v>5142</v>
      </c>
      <c r="D19624" t="str">
        <f>"291122261   "</f>
        <v xml:space="preserve">291122261   </v>
      </c>
      <c r="E19624" t="s">
        <v>1685</v>
      </c>
      <c r="F19624" t="s">
        <v>1686</v>
      </c>
      <c r="G19624">
        <v>35.1</v>
      </c>
      <c r="H19624">
        <v>250331</v>
      </c>
      <c r="I19624">
        <v>4380</v>
      </c>
      <c r="J19624" t="s">
        <v>211</v>
      </c>
      <c r="K19624">
        <v>95.86</v>
      </c>
      <c r="L19624">
        <v>7.13</v>
      </c>
      <c r="M19624">
        <v>14952</v>
      </c>
      <c r="N19624" t="s">
        <v>213</v>
      </c>
      <c r="O19624">
        <v>250417</v>
      </c>
      <c r="P19624">
        <v>27.97</v>
      </c>
    </row>
    <row r="19625" spans="1:16" x14ac:dyDescent="0.25">
      <c r="A19625" t="s">
        <v>3296</v>
      </c>
      <c r="B19625" t="s">
        <v>2931</v>
      </c>
      <c r="C19625">
        <v>5161</v>
      </c>
      <c r="D19625" t="str">
        <f>"291119519   "</f>
        <v xml:space="preserve">291119519   </v>
      </c>
      <c r="E19625" t="s">
        <v>1685</v>
      </c>
      <c r="F19625" t="s">
        <v>1686</v>
      </c>
      <c r="G19625">
        <v>1016.68</v>
      </c>
      <c r="H19625">
        <v>250331</v>
      </c>
      <c r="I19625">
        <v>4380</v>
      </c>
      <c r="J19625" t="s">
        <v>211</v>
      </c>
      <c r="K19625">
        <v>1673.63</v>
      </c>
      <c r="L19625">
        <v>206.58</v>
      </c>
      <c r="M19625">
        <v>14951</v>
      </c>
      <c r="N19625" t="s">
        <v>186</v>
      </c>
      <c r="O19625">
        <v>250417</v>
      </c>
      <c r="P19625">
        <v>810.1</v>
      </c>
    </row>
    <row r="19626" spans="1:16" x14ac:dyDescent="0.25">
      <c r="A19626" t="s">
        <v>3296</v>
      </c>
      <c r="B19626" t="s">
        <v>2931</v>
      </c>
      <c r="C19626">
        <v>9562</v>
      </c>
      <c r="D19626" t="str">
        <f>"291140915   "</f>
        <v xml:space="preserve">291140915   </v>
      </c>
      <c r="E19626" t="s">
        <v>1685</v>
      </c>
      <c r="F19626" t="s">
        <v>1686</v>
      </c>
      <c r="G19626">
        <v>17.38</v>
      </c>
      <c r="H19626">
        <v>250630</v>
      </c>
      <c r="I19626">
        <v>4380</v>
      </c>
      <c r="J19626" t="s">
        <v>211</v>
      </c>
      <c r="K19626">
        <v>95.86</v>
      </c>
      <c r="L19626">
        <v>3.53</v>
      </c>
      <c r="M19626">
        <v>11401</v>
      </c>
      <c r="N19626" t="s">
        <v>91</v>
      </c>
      <c r="O19626">
        <v>250711</v>
      </c>
      <c r="P19626">
        <v>13.85</v>
      </c>
    </row>
    <row r="19627" spans="1:16" x14ac:dyDescent="0.25">
      <c r="A19627" t="s">
        <v>3296</v>
      </c>
      <c r="B19627" t="s">
        <v>2931</v>
      </c>
      <c r="C19627">
        <v>9562</v>
      </c>
      <c r="D19627" t="str">
        <f>"291140915   "</f>
        <v xml:space="preserve">291140915   </v>
      </c>
      <c r="E19627" t="s">
        <v>1685</v>
      </c>
      <c r="F19627" t="s">
        <v>1686</v>
      </c>
      <c r="G19627">
        <v>34.770000000000003</v>
      </c>
      <c r="H19627">
        <v>250630</v>
      </c>
      <c r="I19627">
        <v>4380</v>
      </c>
      <c r="J19627" t="s">
        <v>211</v>
      </c>
      <c r="K19627">
        <v>95.86</v>
      </c>
      <c r="L19627">
        <v>7.06</v>
      </c>
      <c r="M19627">
        <v>14952</v>
      </c>
      <c r="N19627" t="s">
        <v>213</v>
      </c>
      <c r="O19627">
        <v>250711</v>
      </c>
      <c r="P19627">
        <v>27.71</v>
      </c>
    </row>
    <row r="19628" spans="1:16" x14ac:dyDescent="0.25">
      <c r="A19628" t="s">
        <v>3296</v>
      </c>
      <c r="B19628" t="s">
        <v>2931</v>
      </c>
      <c r="C19628">
        <v>9664</v>
      </c>
      <c r="D19628" t="str">
        <f>"291138687   "</f>
        <v xml:space="preserve">291138687   </v>
      </c>
      <c r="E19628" t="s">
        <v>1685</v>
      </c>
      <c r="F19628" t="s">
        <v>1686</v>
      </c>
      <c r="G19628">
        <v>1028.48</v>
      </c>
      <c r="H19628">
        <v>250630</v>
      </c>
      <c r="I19628">
        <v>4380</v>
      </c>
      <c r="J19628" t="s">
        <v>211</v>
      </c>
      <c r="K19628">
        <v>1692.45</v>
      </c>
      <c r="L19628">
        <v>208.97</v>
      </c>
      <c r="M19628">
        <v>14951</v>
      </c>
      <c r="N19628" t="s">
        <v>186</v>
      </c>
      <c r="O19628">
        <v>250724</v>
      </c>
      <c r="P19628">
        <v>819.51</v>
      </c>
    </row>
    <row r="19629" spans="1:16" x14ac:dyDescent="0.25">
      <c r="A19629" t="s">
        <v>3296</v>
      </c>
      <c r="B19629" t="s">
        <v>2931</v>
      </c>
      <c r="C19629">
        <v>13537</v>
      </c>
      <c r="D19629" t="str">
        <f>"291178885   "</f>
        <v xml:space="preserve">291178885   </v>
      </c>
      <c r="E19629" t="s">
        <v>1685</v>
      </c>
      <c r="F19629" t="s">
        <v>1686</v>
      </c>
      <c r="G19629">
        <v>1037.32</v>
      </c>
      <c r="H19629">
        <v>250930</v>
      </c>
      <c r="I19629">
        <v>4380</v>
      </c>
      <c r="J19629" t="s">
        <v>211</v>
      </c>
      <c r="K19629">
        <v>1706.56</v>
      </c>
      <c r="L19629">
        <v>210.77</v>
      </c>
      <c r="M19629">
        <v>14951</v>
      </c>
      <c r="N19629" t="s">
        <v>186</v>
      </c>
      <c r="O19629">
        <v>251010</v>
      </c>
      <c r="P19629">
        <v>826.55</v>
      </c>
    </row>
    <row r="19630" spans="1:16" x14ac:dyDescent="0.25">
      <c r="A19630" t="s">
        <v>3296</v>
      </c>
      <c r="B19630" t="s">
        <v>2931</v>
      </c>
      <c r="C19630">
        <v>13640</v>
      </c>
      <c r="D19630" t="str">
        <f>"291179872   "</f>
        <v xml:space="preserve">291179872   </v>
      </c>
      <c r="E19630" t="s">
        <v>1685</v>
      </c>
      <c r="F19630" t="s">
        <v>1686</v>
      </c>
      <c r="G19630">
        <v>16.53</v>
      </c>
      <c r="H19630">
        <v>250930</v>
      </c>
      <c r="I19630">
        <v>4380</v>
      </c>
      <c r="J19630" t="s">
        <v>211</v>
      </c>
      <c r="K19630">
        <v>100.56</v>
      </c>
      <c r="L19630">
        <v>3.36</v>
      </c>
      <c r="M19630">
        <v>11401</v>
      </c>
      <c r="N19630" t="s">
        <v>91</v>
      </c>
      <c r="O19630">
        <v>251013</v>
      </c>
      <c r="P19630">
        <v>13.17</v>
      </c>
    </row>
    <row r="19631" spans="1:16" x14ac:dyDescent="0.25">
      <c r="A19631" t="s">
        <v>3296</v>
      </c>
      <c r="B19631" t="s">
        <v>2931</v>
      </c>
      <c r="C19631">
        <v>13640</v>
      </c>
      <c r="D19631" t="str">
        <f>"291179872   "</f>
        <v xml:space="preserve">291179872   </v>
      </c>
      <c r="E19631" t="s">
        <v>1685</v>
      </c>
      <c r="F19631" t="s">
        <v>1686</v>
      </c>
      <c r="G19631">
        <v>38.56</v>
      </c>
      <c r="H19631">
        <v>250930</v>
      </c>
      <c r="I19631">
        <v>4380</v>
      </c>
      <c r="J19631" t="s">
        <v>211</v>
      </c>
      <c r="K19631">
        <v>100.56</v>
      </c>
      <c r="L19631">
        <v>7.83</v>
      </c>
      <c r="M19631">
        <v>14952</v>
      </c>
      <c r="N19631" t="s">
        <v>213</v>
      </c>
      <c r="O19631">
        <v>251013</v>
      </c>
      <c r="P19631">
        <v>30.73</v>
      </c>
    </row>
    <row r="19632" spans="1:16" x14ac:dyDescent="0.25">
      <c r="A19632" t="s">
        <v>3296</v>
      </c>
      <c r="B19632" t="s">
        <v>2931</v>
      </c>
      <c r="C19632">
        <v>18531</v>
      </c>
      <c r="D19632" t="str">
        <f>"291194475   "</f>
        <v xml:space="preserve">291194475   </v>
      </c>
      <c r="E19632" t="s">
        <v>1685</v>
      </c>
      <c r="F19632" t="s">
        <v>1686</v>
      </c>
      <c r="G19632">
        <v>1037.32</v>
      </c>
      <c r="H19632">
        <v>251231</v>
      </c>
      <c r="I19632">
        <v>4380</v>
      </c>
      <c r="J19632" t="s">
        <v>211</v>
      </c>
      <c r="K19632">
        <v>1706.56</v>
      </c>
      <c r="L19632">
        <v>210.77</v>
      </c>
      <c r="M19632">
        <v>14951</v>
      </c>
      <c r="N19632" t="s">
        <v>186</v>
      </c>
      <c r="O19632">
        <v>260115</v>
      </c>
      <c r="P19632">
        <v>826.55</v>
      </c>
    </row>
    <row r="19633" spans="1:16" x14ac:dyDescent="0.25">
      <c r="A19633" t="s">
        <v>3296</v>
      </c>
      <c r="B19633" t="s">
        <v>2931</v>
      </c>
      <c r="C19633">
        <v>18591</v>
      </c>
      <c r="D19633" t="str">
        <f>"291196681   "</f>
        <v xml:space="preserve">291196681   </v>
      </c>
      <c r="E19633" t="s">
        <v>1685</v>
      </c>
      <c r="F19633" t="s">
        <v>1686</v>
      </c>
      <c r="G19633">
        <v>13.64</v>
      </c>
      <c r="H19633">
        <v>251231</v>
      </c>
      <c r="I19633">
        <v>4380</v>
      </c>
      <c r="J19633" t="s">
        <v>211</v>
      </c>
      <c r="K19633">
        <v>100.56</v>
      </c>
      <c r="L19633">
        <v>2.77</v>
      </c>
      <c r="M19633">
        <v>11401</v>
      </c>
      <c r="N19633" t="s">
        <v>91</v>
      </c>
      <c r="O19633">
        <v>260116</v>
      </c>
      <c r="P19633">
        <v>10.87</v>
      </c>
    </row>
    <row r="19634" spans="1:16" x14ac:dyDescent="0.25">
      <c r="A19634" t="s">
        <v>3296</v>
      </c>
      <c r="B19634" t="s">
        <v>2931</v>
      </c>
      <c r="C19634">
        <v>18591</v>
      </c>
      <c r="D19634" t="str">
        <f>"291196681   "</f>
        <v xml:space="preserve">291196681   </v>
      </c>
      <c r="E19634" t="s">
        <v>1685</v>
      </c>
      <c r="F19634" t="s">
        <v>1686</v>
      </c>
      <c r="G19634">
        <v>31.83</v>
      </c>
      <c r="H19634">
        <v>251231</v>
      </c>
      <c r="I19634">
        <v>4380</v>
      </c>
      <c r="J19634" t="s">
        <v>211</v>
      </c>
      <c r="K19634">
        <v>100.56</v>
      </c>
      <c r="L19634">
        <v>6.47</v>
      </c>
      <c r="M19634">
        <v>14952</v>
      </c>
      <c r="N19634" t="s">
        <v>213</v>
      </c>
      <c r="O19634">
        <v>260116</v>
      </c>
      <c r="P19634">
        <v>25.36</v>
      </c>
    </row>
    <row r="19635" spans="1:16" x14ac:dyDescent="0.25">
      <c r="A19635" t="s">
        <v>3296</v>
      </c>
      <c r="B19635" t="s">
        <v>2931</v>
      </c>
      <c r="C19635">
        <v>5142</v>
      </c>
      <c r="D19635" t="str">
        <f>"291122261   "</f>
        <v xml:space="preserve">291122261   </v>
      </c>
      <c r="E19635" t="s">
        <v>1685</v>
      </c>
      <c r="F19635" t="s">
        <v>1686</v>
      </c>
      <c r="G19635">
        <v>14.57</v>
      </c>
      <c r="H19635">
        <v>250331</v>
      </c>
      <c r="I19635">
        <v>4573</v>
      </c>
      <c r="J19635" t="s">
        <v>646</v>
      </c>
      <c r="K19635">
        <v>95.86</v>
      </c>
      <c r="L19635">
        <v>2.96</v>
      </c>
      <c r="M19635">
        <v>11401</v>
      </c>
      <c r="N19635" t="s">
        <v>91</v>
      </c>
      <c r="O19635">
        <v>250417</v>
      </c>
      <c r="P19635">
        <v>11.61</v>
      </c>
    </row>
    <row r="19636" spans="1:16" x14ac:dyDescent="0.25">
      <c r="A19636" t="s">
        <v>3296</v>
      </c>
      <c r="B19636" t="s">
        <v>2931</v>
      </c>
      <c r="C19636">
        <v>5142</v>
      </c>
      <c r="D19636" t="str">
        <f>"291122261   "</f>
        <v xml:space="preserve">291122261   </v>
      </c>
      <c r="E19636" t="s">
        <v>1685</v>
      </c>
      <c r="F19636" t="s">
        <v>1686</v>
      </c>
      <c r="G19636">
        <v>29.14</v>
      </c>
      <c r="H19636">
        <v>250331</v>
      </c>
      <c r="I19636">
        <v>4573</v>
      </c>
      <c r="J19636" t="s">
        <v>646</v>
      </c>
      <c r="K19636">
        <v>95.86</v>
      </c>
      <c r="L19636">
        <v>5.92</v>
      </c>
      <c r="M19636">
        <v>14952</v>
      </c>
      <c r="N19636" t="s">
        <v>213</v>
      </c>
      <c r="O19636">
        <v>250417</v>
      </c>
      <c r="P19636">
        <v>23.22</v>
      </c>
    </row>
    <row r="19637" spans="1:16" x14ac:dyDescent="0.25">
      <c r="A19637" t="s">
        <v>3296</v>
      </c>
      <c r="B19637" t="s">
        <v>2931</v>
      </c>
      <c r="C19637">
        <v>5161</v>
      </c>
      <c r="D19637" t="str">
        <f>"291119519   "</f>
        <v xml:space="preserve">291119519   </v>
      </c>
      <c r="E19637" t="s">
        <v>1685</v>
      </c>
      <c r="F19637" t="s">
        <v>1686</v>
      </c>
      <c r="G19637">
        <v>656.95</v>
      </c>
      <c r="H19637">
        <v>250331</v>
      </c>
      <c r="I19637">
        <v>4573</v>
      </c>
      <c r="J19637" t="s">
        <v>646</v>
      </c>
      <c r="K19637">
        <v>1673.63</v>
      </c>
      <c r="L19637">
        <v>133.47999999999999</v>
      </c>
      <c r="M19637">
        <v>14951</v>
      </c>
      <c r="N19637" t="s">
        <v>186</v>
      </c>
      <c r="O19637">
        <v>250417</v>
      </c>
      <c r="P19637">
        <v>523.47</v>
      </c>
    </row>
    <row r="19638" spans="1:16" x14ac:dyDescent="0.25">
      <c r="A19638" t="s">
        <v>3296</v>
      </c>
      <c r="B19638" t="s">
        <v>2931</v>
      </c>
      <c r="C19638">
        <v>9562</v>
      </c>
      <c r="D19638" t="str">
        <f>"291140915   "</f>
        <v xml:space="preserve">291140915   </v>
      </c>
      <c r="E19638" t="s">
        <v>1685</v>
      </c>
      <c r="F19638" t="s">
        <v>1686</v>
      </c>
      <c r="G19638">
        <v>14.39</v>
      </c>
      <c r="H19638">
        <v>250630</v>
      </c>
      <c r="I19638">
        <v>4573</v>
      </c>
      <c r="J19638" t="s">
        <v>646</v>
      </c>
      <c r="K19638">
        <v>95.86</v>
      </c>
      <c r="L19638">
        <v>2.92</v>
      </c>
      <c r="M19638">
        <v>11401</v>
      </c>
      <c r="N19638" t="s">
        <v>91</v>
      </c>
      <c r="O19638">
        <v>250711</v>
      </c>
      <c r="P19638">
        <v>11.47</v>
      </c>
    </row>
    <row r="19639" spans="1:16" x14ac:dyDescent="0.25">
      <c r="A19639" t="s">
        <v>3296</v>
      </c>
      <c r="B19639" t="s">
        <v>2931</v>
      </c>
      <c r="C19639">
        <v>9562</v>
      </c>
      <c r="D19639" t="str">
        <f>"291140915   "</f>
        <v xml:space="preserve">291140915   </v>
      </c>
      <c r="E19639" t="s">
        <v>1685</v>
      </c>
      <c r="F19639" t="s">
        <v>1686</v>
      </c>
      <c r="G19639">
        <v>29.32</v>
      </c>
      <c r="H19639">
        <v>250630</v>
      </c>
      <c r="I19639">
        <v>4573</v>
      </c>
      <c r="J19639" t="s">
        <v>646</v>
      </c>
      <c r="K19639">
        <v>95.86</v>
      </c>
      <c r="L19639">
        <v>5.96</v>
      </c>
      <c r="M19639">
        <v>14952</v>
      </c>
      <c r="N19639" t="s">
        <v>213</v>
      </c>
      <c r="O19639">
        <v>250711</v>
      </c>
      <c r="P19639">
        <v>23.36</v>
      </c>
    </row>
    <row r="19640" spans="1:16" x14ac:dyDescent="0.25">
      <c r="A19640" t="s">
        <v>3296</v>
      </c>
      <c r="B19640" t="s">
        <v>2931</v>
      </c>
      <c r="C19640">
        <v>9664</v>
      </c>
      <c r="D19640" t="str">
        <f>"291138687   "</f>
        <v xml:space="preserve">291138687   </v>
      </c>
      <c r="E19640" t="s">
        <v>1685</v>
      </c>
      <c r="F19640" t="s">
        <v>1686</v>
      </c>
      <c r="G19640">
        <v>663.97</v>
      </c>
      <c r="H19640">
        <v>250630</v>
      </c>
      <c r="I19640">
        <v>4573</v>
      </c>
      <c r="J19640" t="s">
        <v>646</v>
      </c>
      <c r="K19640">
        <v>1692.45</v>
      </c>
      <c r="L19640">
        <v>134.91</v>
      </c>
      <c r="M19640">
        <v>14951</v>
      </c>
      <c r="N19640" t="s">
        <v>186</v>
      </c>
      <c r="O19640">
        <v>250724</v>
      </c>
      <c r="P19640">
        <v>529.05999999999995</v>
      </c>
    </row>
    <row r="19641" spans="1:16" x14ac:dyDescent="0.25">
      <c r="A19641" t="s">
        <v>3296</v>
      </c>
      <c r="B19641" t="s">
        <v>2931</v>
      </c>
      <c r="C19641">
        <v>13537</v>
      </c>
      <c r="D19641" t="str">
        <f>"291178885   "</f>
        <v xml:space="preserve">291178885   </v>
      </c>
      <c r="E19641" t="s">
        <v>1685</v>
      </c>
      <c r="F19641" t="s">
        <v>1686</v>
      </c>
      <c r="G19641">
        <v>669.24</v>
      </c>
      <c r="H19641">
        <v>250930</v>
      </c>
      <c r="I19641">
        <v>4573</v>
      </c>
      <c r="J19641" t="s">
        <v>646</v>
      </c>
      <c r="K19641">
        <v>1706.56</v>
      </c>
      <c r="L19641">
        <v>135.97999999999999</v>
      </c>
      <c r="M19641">
        <v>14951</v>
      </c>
      <c r="N19641" t="s">
        <v>186</v>
      </c>
      <c r="O19641">
        <v>251010</v>
      </c>
      <c r="P19641">
        <v>533.26</v>
      </c>
    </row>
    <row r="19642" spans="1:16" x14ac:dyDescent="0.25">
      <c r="A19642" t="s">
        <v>3296</v>
      </c>
      <c r="B19642" t="s">
        <v>2931</v>
      </c>
      <c r="C19642">
        <v>13640</v>
      </c>
      <c r="D19642" t="str">
        <f>"291179872   "</f>
        <v xml:space="preserve">291179872   </v>
      </c>
      <c r="E19642" t="s">
        <v>1685</v>
      </c>
      <c r="F19642" t="s">
        <v>1686</v>
      </c>
      <c r="G19642">
        <v>13.64</v>
      </c>
      <c r="H19642">
        <v>250930</v>
      </c>
      <c r="I19642">
        <v>4573</v>
      </c>
      <c r="J19642" t="s">
        <v>646</v>
      </c>
      <c r="K19642">
        <v>100.56</v>
      </c>
      <c r="L19642">
        <v>2.77</v>
      </c>
      <c r="M19642">
        <v>11401</v>
      </c>
      <c r="N19642" t="s">
        <v>91</v>
      </c>
      <c r="O19642">
        <v>251013</v>
      </c>
      <c r="P19642">
        <v>10.87</v>
      </c>
    </row>
    <row r="19643" spans="1:16" x14ac:dyDescent="0.25">
      <c r="A19643" t="s">
        <v>3296</v>
      </c>
      <c r="B19643" t="s">
        <v>2931</v>
      </c>
      <c r="C19643">
        <v>13640</v>
      </c>
      <c r="D19643" t="str">
        <f>"291179872   "</f>
        <v xml:space="preserve">291179872   </v>
      </c>
      <c r="E19643" t="s">
        <v>1685</v>
      </c>
      <c r="F19643" t="s">
        <v>1686</v>
      </c>
      <c r="G19643">
        <v>31.83</v>
      </c>
      <c r="H19643">
        <v>250930</v>
      </c>
      <c r="I19643">
        <v>4573</v>
      </c>
      <c r="J19643" t="s">
        <v>646</v>
      </c>
      <c r="K19643">
        <v>100.56</v>
      </c>
      <c r="L19643">
        <v>6.47</v>
      </c>
      <c r="M19643">
        <v>14952</v>
      </c>
      <c r="N19643" t="s">
        <v>213</v>
      </c>
      <c r="O19643">
        <v>251013</v>
      </c>
      <c r="P19643">
        <v>25.36</v>
      </c>
    </row>
    <row r="19644" spans="1:16" x14ac:dyDescent="0.25">
      <c r="A19644" t="s">
        <v>3296</v>
      </c>
      <c r="B19644" t="s">
        <v>2931</v>
      </c>
      <c r="C19644">
        <v>18531</v>
      </c>
      <c r="D19644" t="str">
        <f>"291194475   "</f>
        <v xml:space="preserve">291194475   </v>
      </c>
      <c r="E19644" t="s">
        <v>1685</v>
      </c>
      <c r="F19644" t="s">
        <v>1686</v>
      </c>
      <c r="G19644">
        <v>669.24</v>
      </c>
      <c r="H19644">
        <v>251231</v>
      </c>
      <c r="I19644">
        <v>4573</v>
      </c>
      <c r="J19644" t="s">
        <v>646</v>
      </c>
      <c r="K19644">
        <v>1706.56</v>
      </c>
      <c r="L19644">
        <v>135.97999999999999</v>
      </c>
      <c r="M19644">
        <v>14951</v>
      </c>
      <c r="N19644" t="s">
        <v>186</v>
      </c>
      <c r="O19644">
        <v>260115</v>
      </c>
      <c r="P19644">
        <v>533.26</v>
      </c>
    </row>
    <row r="19645" spans="1:16" x14ac:dyDescent="0.25">
      <c r="A19645" t="s">
        <v>3296</v>
      </c>
      <c r="B19645" t="s">
        <v>2931</v>
      </c>
      <c r="C19645">
        <v>18591</v>
      </c>
      <c r="D19645" t="str">
        <f>"291196681   "</f>
        <v xml:space="preserve">291196681   </v>
      </c>
      <c r="E19645" t="s">
        <v>1685</v>
      </c>
      <c r="F19645" t="s">
        <v>1686</v>
      </c>
      <c r="G19645">
        <v>16.53</v>
      </c>
      <c r="H19645">
        <v>251231</v>
      </c>
      <c r="I19645">
        <v>4573</v>
      </c>
      <c r="J19645" t="s">
        <v>646</v>
      </c>
      <c r="K19645">
        <v>100.56</v>
      </c>
      <c r="L19645">
        <v>3.36</v>
      </c>
      <c r="M19645">
        <v>11401</v>
      </c>
      <c r="N19645" t="s">
        <v>91</v>
      </c>
      <c r="O19645">
        <v>260116</v>
      </c>
      <c r="P19645">
        <v>13.17</v>
      </c>
    </row>
    <row r="19646" spans="1:16" x14ac:dyDescent="0.25">
      <c r="A19646" t="s">
        <v>3296</v>
      </c>
      <c r="B19646" t="s">
        <v>2931</v>
      </c>
      <c r="C19646">
        <v>18591</v>
      </c>
      <c r="D19646" t="str">
        <f>"291196681   "</f>
        <v xml:space="preserve">291196681   </v>
      </c>
      <c r="E19646" t="s">
        <v>1685</v>
      </c>
      <c r="F19646" t="s">
        <v>1686</v>
      </c>
      <c r="G19646">
        <v>38.56</v>
      </c>
      <c r="H19646">
        <v>251231</v>
      </c>
      <c r="I19646">
        <v>4573</v>
      </c>
      <c r="J19646" t="s">
        <v>646</v>
      </c>
      <c r="K19646">
        <v>100.56</v>
      </c>
      <c r="L19646">
        <v>7.83</v>
      </c>
      <c r="M19646">
        <v>14952</v>
      </c>
      <c r="N19646" t="s">
        <v>213</v>
      </c>
      <c r="O19646">
        <v>260116</v>
      </c>
      <c r="P19646">
        <v>30.73</v>
      </c>
    </row>
    <row r="19647" spans="1:16" x14ac:dyDescent="0.25">
      <c r="A19647" t="s">
        <v>3296</v>
      </c>
      <c r="B19647" t="s">
        <v>2931</v>
      </c>
      <c r="C19647">
        <v>17082</v>
      </c>
      <c r="D19647" t="str">
        <f>"10367       "</f>
        <v xml:space="preserve">10367       </v>
      </c>
      <c r="E19647" t="s">
        <v>2730</v>
      </c>
      <c r="F19647" t="s">
        <v>2731</v>
      </c>
      <c r="G19647">
        <v>60</v>
      </c>
      <c r="H19647">
        <v>251213</v>
      </c>
      <c r="I19647">
        <v>4600</v>
      </c>
      <c r="J19647" t="s">
        <v>278</v>
      </c>
      <c r="K19647">
        <v>119</v>
      </c>
      <c r="L19647">
        <v>12.19</v>
      </c>
      <c r="M19647">
        <v>17524</v>
      </c>
      <c r="N19647" t="s">
        <v>139</v>
      </c>
      <c r="O19647">
        <v>251217</v>
      </c>
      <c r="P19647">
        <v>47.81</v>
      </c>
    </row>
    <row r="19648" spans="1:16" x14ac:dyDescent="0.25">
      <c r="A19648" t="s">
        <v>3296</v>
      </c>
      <c r="B19648" t="s">
        <v>2931</v>
      </c>
      <c r="C19648">
        <v>17082</v>
      </c>
      <c r="D19648" t="str">
        <f>"10367       "</f>
        <v xml:space="preserve">10367       </v>
      </c>
      <c r="E19648" t="s">
        <v>2730</v>
      </c>
      <c r="F19648" t="s">
        <v>2731</v>
      </c>
      <c r="G19648">
        <v>59</v>
      </c>
      <c r="H19648">
        <v>251213</v>
      </c>
      <c r="I19648">
        <v>4600</v>
      </c>
      <c r="J19648" t="s">
        <v>278</v>
      </c>
      <c r="K19648">
        <v>119</v>
      </c>
      <c r="L19648">
        <v>11.99</v>
      </c>
      <c r="M19648">
        <v>17635</v>
      </c>
      <c r="N19648" t="s">
        <v>1264</v>
      </c>
      <c r="O19648">
        <v>251217</v>
      </c>
      <c r="P19648">
        <v>47.01</v>
      </c>
    </row>
    <row r="19649" spans="1:16" x14ac:dyDescent="0.25">
      <c r="A19649" t="s">
        <v>3296</v>
      </c>
      <c r="B19649" t="s">
        <v>2931</v>
      </c>
      <c r="C19649">
        <v>16190</v>
      </c>
      <c r="D19649" t="str">
        <f>"86          "</f>
        <v xml:space="preserve">86          </v>
      </c>
      <c r="E19649" t="s">
        <v>3175</v>
      </c>
      <c r="F19649" t="s">
        <v>3176</v>
      </c>
      <c r="G19649">
        <v>192.5</v>
      </c>
      <c r="H19649">
        <v>251201</v>
      </c>
      <c r="I19649">
        <v>4860</v>
      </c>
      <c r="J19649" t="s">
        <v>286</v>
      </c>
      <c r="K19649">
        <v>192.5</v>
      </c>
      <c r="L19649">
        <v>0</v>
      </c>
      <c r="M19649">
        <v>13901</v>
      </c>
      <c r="N19649" t="s">
        <v>116</v>
      </c>
      <c r="O19649">
        <v>251204</v>
      </c>
      <c r="P19649">
        <v>192.5</v>
      </c>
    </row>
    <row r="19650" spans="1:16" x14ac:dyDescent="0.25">
      <c r="A19650" t="s">
        <v>3296</v>
      </c>
      <c r="B19650" t="s">
        <v>2931</v>
      </c>
      <c r="C19650">
        <v>17380</v>
      </c>
      <c r="D19650" t="str">
        <f>"112         "</f>
        <v xml:space="preserve">112         </v>
      </c>
      <c r="E19650" t="s">
        <v>3175</v>
      </c>
      <c r="F19650" t="s">
        <v>3176</v>
      </c>
      <c r="G19650">
        <v>175</v>
      </c>
      <c r="H19650">
        <v>251201</v>
      </c>
      <c r="I19650">
        <v>4860</v>
      </c>
      <c r="J19650" t="s">
        <v>286</v>
      </c>
      <c r="K19650">
        <v>175</v>
      </c>
      <c r="L19650">
        <v>0</v>
      </c>
      <c r="M19650">
        <v>13901</v>
      </c>
      <c r="N19650" t="s">
        <v>116</v>
      </c>
      <c r="O19650">
        <v>251219</v>
      </c>
      <c r="P19650">
        <v>175</v>
      </c>
    </row>
    <row r="19651" spans="1:16" x14ac:dyDescent="0.25">
      <c r="A19651" t="s">
        <v>3296</v>
      </c>
      <c r="B19651" t="s">
        <v>2931</v>
      </c>
      <c r="C19651">
        <v>11217</v>
      </c>
      <c r="D19651" t="str">
        <f>"104282      "</f>
        <v xml:space="preserve">104282      </v>
      </c>
      <c r="E19651" t="s">
        <v>1407</v>
      </c>
      <c r="F19651" t="s">
        <v>1408</v>
      </c>
      <c r="G19651">
        <v>130.59</v>
      </c>
      <c r="H19651">
        <v>250815</v>
      </c>
      <c r="I19651">
        <v>4580</v>
      </c>
      <c r="J19651" t="s">
        <v>126</v>
      </c>
      <c r="K19651">
        <v>130.59</v>
      </c>
      <c r="L19651">
        <v>26.53</v>
      </c>
      <c r="M19651">
        <v>17521</v>
      </c>
      <c r="N19651" t="s">
        <v>136</v>
      </c>
      <c r="O19651">
        <v>250902</v>
      </c>
      <c r="P19651">
        <v>104.06</v>
      </c>
    </row>
    <row r="19652" spans="1:16" x14ac:dyDescent="0.25">
      <c r="A19652" t="s">
        <v>3296</v>
      </c>
      <c r="B19652" t="s">
        <v>2931</v>
      </c>
      <c r="C19652">
        <v>3292</v>
      </c>
      <c r="D19652" t="str">
        <f>"101899      "</f>
        <v xml:space="preserve">101899      </v>
      </c>
      <c r="E19652" t="s">
        <v>1407</v>
      </c>
      <c r="F19652" t="s">
        <v>1408</v>
      </c>
      <c r="G19652">
        <v>244.42</v>
      </c>
      <c r="H19652">
        <v>250305</v>
      </c>
      <c r="I19652">
        <v>4600</v>
      </c>
      <c r="J19652" t="s">
        <v>278</v>
      </c>
      <c r="K19652">
        <v>244.42</v>
      </c>
      <c r="L19652">
        <v>49.66</v>
      </c>
      <c r="M19652">
        <v>17521</v>
      </c>
      <c r="N19652" t="s">
        <v>136</v>
      </c>
      <c r="O19652">
        <v>250318</v>
      </c>
      <c r="P19652">
        <v>194.76</v>
      </c>
    </row>
    <row r="19653" spans="1:16" x14ac:dyDescent="0.25">
      <c r="A19653" t="s">
        <v>3296</v>
      </c>
      <c r="B19653" t="s">
        <v>2931</v>
      </c>
      <c r="C19653">
        <v>8784</v>
      </c>
      <c r="D19653" t="str">
        <f>"2847        "</f>
        <v xml:space="preserve">2847        </v>
      </c>
      <c r="E19653" t="s">
        <v>3112</v>
      </c>
      <c r="F19653" t="s">
        <v>3113</v>
      </c>
      <c r="G19653">
        <v>80.010000000000005</v>
      </c>
      <c r="H19653">
        <v>250609</v>
      </c>
      <c r="I19653">
        <v>4820</v>
      </c>
      <c r="J19653" t="s">
        <v>169</v>
      </c>
      <c r="K19653">
        <v>390.01</v>
      </c>
      <c r="L19653">
        <v>9.83</v>
      </c>
      <c r="M19653">
        <v>11605</v>
      </c>
      <c r="N19653" t="s">
        <v>1066</v>
      </c>
      <c r="O19653">
        <v>250618</v>
      </c>
      <c r="P19653">
        <v>70.180000000000007</v>
      </c>
    </row>
    <row r="19654" spans="1:16" x14ac:dyDescent="0.25">
      <c r="A19654" t="s">
        <v>3296</v>
      </c>
      <c r="B19654" t="s">
        <v>2931</v>
      </c>
      <c r="C19654">
        <v>8784</v>
      </c>
      <c r="D19654" t="str">
        <f>"2847        "</f>
        <v xml:space="preserve">2847        </v>
      </c>
      <c r="E19654" t="s">
        <v>3112</v>
      </c>
      <c r="F19654" t="s">
        <v>3113</v>
      </c>
      <c r="G19654">
        <v>300</v>
      </c>
      <c r="H19654">
        <v>250609</v>
      </c>
      <c r="I19654">
        <v>4820</v>
      </c>
      <c r="J19654" t="s">
        <v>169</v>
      </c>
      <c r="K19654">
        <v>390.01</v>
      </c>
      <c r="L19654">
        <v>0</v>
      </c>
      <c r="M19654">
        <v>11605</v>
      </c>
      <c r="N19654" t="s">
        <v>1066</v>
      </c>
      <c r="O19654">
        <v>250618</v>
      </c>
      <c r="P19654">
        <v>300</v>
      </c>
    </row>
    <row r="19655" spans="1:16" x14ac:dyDescent="0.25">
      <c r="A19655" t="s">
        <v>3296</v>
      </c>
      <c r="B19655" t="s">
        <v>2931</v>
      </c>
      <c r="C19655">
        <v>8784</v>
      </c>
      <c r="D19655" t="str">
        <f>"2847        "</f>
        <v xml:space="preserve">2847        </v>
      </c>
      <c r="E19655" t="s">
        <v>3112</v>
      </c>
      <c r="F19655" t="s">
        <v>3113</v>
      </c>
      <c r="G19655">
        <v>10</v>
      </c>
      <c r="H19655">
        <v>250609</v>
      </c>
      <c r="I19655">
        <v>4860</v>
      </c>
      <c r="J19655" t="s">
        <v>286</v>
      </c>
      <c r="K19655">
        <v>390.01</v>
      </c>
      <c r="L19655">
        <v>2.0299999999999998</v>
      </c>
      <c r="M19655">
        <v>11605</v>
      </c>
      <c r="N19655" t="s">
        <v>1066</v>
      </c>
      <c r="O19655">
        <v>250618</v>
      </c>
      <c r="P19655">
        <v>7.97</v>
      </c>
    </row>
    <row r="19656" spans="1:16" x14ac:dyDescent="0.25">
      <c r="A19656" t="s">
        <v>3296</v>
      </c>
      <c r="B19656" t="s">
        <v>2931</v>
      </c>
      <c r="C19656">
        <v>15340</v>
      </c>
      <c r="D19656" t="str">
        <f>"4235        "</f>
        <v xml:space="preserve">4235        </v>
      </c>
      <c r="E19656" t="s">
        <v>2578</v>
      </c>
      <c r="F19656" t="s">
        <v>2579</v>
      </c>
      <c r="G19656">
        <v>10</v>
      </c>
      <c r="H19656">
        <v>251107</v>
      </c>
      <c r="I19656">
        <v>4441</v>
      </c>
      <c r="J19656" t="s">
        <v>234</v>
      </c>
      <c r="K19656">
        <v>185</v>
      </c>
      <c r="L19656">
        <v>2.0299999999999998</v>
      </c>
      <c r="M19656">
        <v>14986</v>
      </c>
      <c r="N19656" t="s">
        <v>2405</v>
      </c>
      <c r="O19656">
        <v>251119</v>
      </c>
      <c r="P19656">
        <v>7.97</v>
      </c>
    </row>
    <row r="19657" spans="1:16" x14ac:dyDescent="0.25">
      <c r="A19657" t="s">
        <v>3296</v>
      </c>
      <c r="B19657" t="s">
        <v>2931</v>
      </c>
      <c r="C19657">
        <v>15340</v>
      </c>
      <c r="D19657" t="str">
        <f>"4235        "</f>
        <v xml:space="preserve">4235        </v>
      </c>
      <c r="E19657" t="s">
        <v>2578</v>
      </c>
      <c r="F19657" t="s">
        <v>2579</v>
      </c>
      <c r="G19657">
        <v>175</v>
      </c>
      <c r="H19657">
        <v>251107</v>
      </c>
      <c r="I19657">
        <v>4441</v>
      </c>
      <c r="J19657" t="s">
        <v>234</v>
      </c>
      <c r="K19657">
        <v>185</v>
      </c>
      <c r="L19657">
        <v>0</v>
      </c>
      <c r="M19657">
        <v>14986</v>
      </c>
      <c r="N19657" t="s">
        <v>2405</v>
      </c>
      <c r="O19657">
        <v>251119</v>
      </c>
      <c r="P19657">
        <v>175</v>
      </c>
    </row>
    <row r="19658" spans="1:16" x14ac:dyDescent="0.25">
      <c r="A19658" t="s">
        <v>3296</v>
      </c>
      <c r="B19658" t="s">
        <v>2931</v>
      </c>
      <c r="C19658">
        <v>9133</v>
      </c>
      <c r="D19658" t="str">
        <f>"2511187     "</f>
        <v xml:space="preserve">2511187     </v>
      </c>
      <c r="E19658" t="s">
        <v>618</v>
      </c>
      <c r="F19658" t="s">
        <v>619</v>
      </c>
      <c r="G19658">
        <v>27.86</v>
      </c>
      <c r="H19658">
        <v>250617</v>
      </c>
      <c r="I19658">
        <v>4400</v>
      </c>
      <c r="J19658" t="s">
        <v>162</v>
      </c>
      <c r="K19658">
        <v>92.87</v>
      </c>
      <c r="L19658">
        <v>5.66</v>
      </c>
      <c r="M19658">
        <v>14952</v>
      </c>
      <c r="N19658" t="s">
        <v>213</v>
      </c>
      <c r="O19658">
        <v>250627</v>
      </c>
      <c r="P19658">
        <v>22.2</v>
      </c>
    </row>
    <row r="19659" spans="1:16" x14ac:dyDescent="0.25">
      <c r="A19659" t="s">
        <v>3296</v>
      </c>
      <c r="B19659" t="s">
        <v>2931</v>
      </c>
      <c r="C19659">
        <v>9133</v>
      </c>
      <c r="D19659" t="str">
        <f>"2511187     "</f>
        <v xml:space="preserve">2511187     </v>
      </c>
      <c r="E19659" t="s">
        <v>618</v>
      </c>
      <c r="F19659" t="s">
        <v>619</v>
      </c>
      <c r="G19659">
        <v>65.010000000000005</v>
      </c>
      <c r="H19659">
        <v>250617</v>
      </c>
      <c r="I19659">
        <v>4400</v>
      </c>
      <c r="J19659" t="s">
        <v>162</v>
      </c>
      <c r="K19659">
        <v>92.87</v>
      </c>
      <c r="L19659">
        <v>13.21</v>
      </c>
      <c r="M19659">
        <v>14981</v>
      </c>
      <c r="N19659" t="s">
        <v>252</v>
      </c>
      <c r="O19659">
        <v>250627</v>
      </c>
      <c r="P19659">
        <v>51.8</v>
      </c>
    </row>
    <row r="19660" spans="1:16" x14ac:dyDescent="0.25">
      <c r="A19660" t="s">
        <v>3296</v>
      </c>
      <c r="B19660" t="s">
        <v>2931</v>
      </c>
      <c r="C19660">
        <v>623</v>
      </c>
      <c r="D19660" t="str">
        <f>"2501648     "</f>
        <v xml:space="preserve">2501648     </v>
      </c>
      <c r="E19660" t="s">
        <v>618</v>
      </c>
      <c r="F19660" t="s">
        <v>619</v>
      </c>
      <c r="G19660">
        <v>44.05</v>
      </c>
      <c r="H19660">
        <v>250113</v>
      </c>
      <c r="I19660">
        <v>4580</v>
      </c>
      <c r="J19660" t="s">
        <v>126</v>
      </c>
      <c r="K19660">
        <v>88.09</v>
      </c>
      <c r="L19660">
        <v>8.9499999999999993</v>
      </c>
      <c r="M19660">
        <v>17525</v>
      </c>
      <c r="N19660" t="s">
        <v>140</v>
      </c>
      <c r="O19660">
        <v>250124</v>
      </c>
      <c r="P19660">
        <v>35.1</v>
      </c>
    </row>
    <row r="19661" spans="1:16" x14ac:dyDescent="0.25">
      <c r="A19661" t="s">
        <v>3296</v>
      </c>
      <c r="B19661" t="s">
        <v>2931</v>
      </c>
      <c r="C19661">
        <v>623</v>
      </c>
      <c r="D19661" t="str">
        <f>"2501648     "</f>
        <v xml:space="preserve">2501648     </v>
      </c>
      <c r="E19661" t="s">
        <v>618</v>
      </c>
      <c r="F19661" t="s">
        <v>619</v>
      </c>
      <c r="G19661">
        <v>44.04</v>
      </c>
      <c r="H19661">
        <v>250113</v>
      </c>
      <c r="I19661">
        <v>4600</v>
      </c>
      <c r="J19661" t="s">
        <v>278</v>
      </c>
      <c r="K19661">
        <v>88.09</v>
      </c>
      <c r="L19661">
        <v>8.9499999999999993</v>
      </c>
      <c r="M19661">
        <v>17636</v>
      </c>
      <c r="N19661" t="s">
        <v>620</v>
      </c>
      <c r="O19661">
        <v>250124</v>
      </c>
      <c r="P19661">
        <v>35.090000000000003</v>
      </c>
    </row>
    <row r="19662" spans="1:16" x14ac:dyDescent="0.25">
      <c r="A19662" t="s">
        <v>3296</v>
      </c>
      <c r="B19662" t="s">
        <v>2931</v>
      </c>
      <c r="C19662">
        <v>5927</v>
      </c>
      <c r="D19662" t="str">
        <f>"6542391     "</f>
        <v xml:space="preserve">6542391     </v>
      </c>
      <c r="E19662" t="s">
        <v>1821</v>
      </c>
      <c r="F19662" t="s">
        <v>1822</v>
      </c>
      <c r="G19662">
        <v>130.18</v>
      </c>
      <c r="H19662">
        <v>250429</v>
      </c>
      <c r="I19662">
        <v>4600</v>
      </c>
      <c r="J19662" t="s">
        <v>278</v>
      </c>
      <c r="K19662">
        <v>130.18</v>
      </c>
      <c r="L19662">
        <v>26.45</v>
      </c>
      <c r="M19662">
        <v>17524</v>
      </c>
      <c r="N19662" t="s">
        <v>139</v>
      </c>
      <c r="O19662">
        <v>250507</v>
      </c>
      <c r="P19662">
        <v>103.73</v>
      </c>
    </row>
    <row r="19663" spans="1:16" x14ac:dyDescent="0.25">
      <c r="A19663" t="s">
        <v>3296</v>
      </c>
      <c r="B19663" t="s">
        <v>2931</v>
      </c>
      <c r="C19663">
        <v>5126</v>
      </c>
      <c r="D19663" t="str">
        <f>"2525        "</f>
        <v xml:space="preserve">2525        </v>
      </c>
      <c r="E19663" t="s">
        <v>3316</v>
      </c>
      <c r="F19663" t="s">
        <v>3317</v>
      </c>
      <c r="G19663">
        <v>30</v>
      </c>
      <c r="H19663">
        <v>250414</v>
      </c>
      <c r="I19663">
        <v>4470</v>
      </c>
      <c r="J19663" t="s">
        <v>203</v>
      </c>
      <c r="K19663">
        <v>30</v>
      </c>
      <c r="L19663">
        <v>6.1</v>
      </c>
      <c r="M19663">
        <v>13940</v>
      </c>
      <c r="N19663" t="s">
        <v>14</v>
      </c>
      <c r="O19663">
        <v>250417</v>
      </c>
      <c r="P19663">
        <v>23.9</v>
      </c>
    </row>
    <row r="19664" spans="1:16" x14ac:dyDescent="0.25">
      <c r="A19664" t="s">
        <v>3296</v>
      </c>
      <c r="B19664" t="s">
        <v>2931</v>
      </c>
      <c r="C19664">
        <v>3400</v>
      </c>
      <c r="D19664" t="str">
        <f>"1026        "</f>
        <v xml:space="preserve">1026        </v>
      </c>
      <c r="E19664" t="s">
        <v>1417</v>
      </c>
      <c r="F19664" t="s">
        <v>1418</v>
      </c>
      <c r="G19664">
        <v>220.02</v>
      </c>
      <c r="H19664">
        <v>250306</v>
      </c>
      <c r="I19664">
        <v>4420</v>
      </c>
      <c r="J19664" t="s">
        <v>330</v>
      </c>
      <c r="K19664">
        <v>1098.52</v>
      </c>
      <c r="L19664">
        <v>0</v>
      </c>
      <c r="M19664">
        <v>16930</v>
      </c>
      <c r="N19664" t="s">
        <v>135</v>
      </c>
      <c r="O19664">
        <v>250320</v>
      </c>
      <c r="P19664">
        <v>220.02</v>
      </c>
    </row>
    <row r="19665" spans="1:16" x14ac:dyDescent="0.25">
      <c r="A19665" t="s">
        <v>3296</v>
      </c>
      <c r="B19665" t="s">
        <v>2931</v>
      </c>
      <c r="C19665">
        <v>15150</v>
      </c>
      <c r="D19665" t="str">
        <f>"1051        "</f>
        <v xml:space="preserve">1051        </v>
      </c>
      <c r="E19665" t="s">
        <v>1417</v>
      </c>
      <c r="F19665" t="s">
        <v>1418</v>
      </c>
      <c r="G19665">
        <v>220.02</v>
      </c>
      <c r="H19665">
        <v>251031</v>
      </c>
      <c r="I19665">
        <v>4420</v>
      </c>
      <c r="J19665" t="s">
        <v>330</v>
      </c>
      <c r="K19665">
        <v>1098.52</v>
      </c>
      <c r="L19665">
        <v>0</v>
      </c>
      <c r="M19665">
        <v>16930</v>
      </c>
      <c r="N19665" t="s">
        <v>135</v>
      </c>
      <c r="O19665">
        <v>251113</v>
      </c>
      <c r="P19665">
        <v>220.02</v>
      </c>
    </row>
    <row r="19666" spans="1:16" x14ac:dyDescent="0.25">
      <c r="A19666" t="s">
        <v>3296</v>
      </c>
      <c r="B19666" t="s">
        <v>2931</v>
      </c>
      <c r="C19666">
        <v>3400</v>
      </c>
      <c r="D19666" t="str">
        <f>"1026        "</f>
        <v xml:space="preserve">1026        </v>
      </c>
      <c r="E19666" t="s">
        <v>1417</v>
      </c>
      <c r="F19666" t="s">
        <v>1418</v>
      </c>
      <c r="G19666">
        <v>878.5</v>
      </c>
      <c r="H19666">
        <v>250306</v>
      </c>
      <c r="I19666">
        <v>4440</v>
      </c>
      <c r="J19666" t="s">
        <v>346</v>
      </c>
      <c r="K19666">
        <v>1098.52</v>
      </c>
      <c r="L19666">
        <v>178.5</v>
      </c>
      <c r="M19666">
        <v>16930</v>
      </c>
      <c r="N19666" t="s">
        <v>135</v>
      </c>
      <c r="O19666">
        <v>250320</v>
      </c>
      <c r="P19666">
        <v>700</v>
      </c>
    </row>
    <row r="19667" spans="1:16" x14ac:dyDescent="0.25">
      <c r="A19667" t="s">
        <v>3296</v>
      </c>
      <c r="B19667" t="s">
        <v>2931</v>
      </c>
      <c r="C19667">
        <v>15150</v>
      </c>
      <c r="D19667" t="str">
        <f>"1051        "</f>
        <v xml:space="preserve">1051        </v>
      </c>
      <c r="E19667" t="s">
        <v>1417</v>
      </c>
      <c r="F19667" t="s">
        <v>1418</v>
      </c>
      <c r="G19667">
        <v>878.5</v>
      </c>
      <c r="H19667">
        <v>251031</v>
      </c>
      <c r="I19667">
        <v>4440</v>
      </c>
      <c r="J19667" t="s">
        <v>346</v>
      </c>
      <c r="K19667">
        <v>1098.52</v>
      </c>
      <c r="L19667">
        <v>178.5</v>
      </c>
      <c r="M19667">
        <v>16930</v>
      </c>
      <c r="N19667" t="s">
        <v>135</v>
      </c>
      <c r="O19667">
        <v>251113</v>
      </c>
      <c r="P19667">
        <v>700</v>
      </c>
    </row>
    <row r="19668" spans="1:16" x14ac:dyDescent="0.25">
      <c r="A19668" t="s">
        <v>3296</v>
      </c>
      <c r="B19668" t="s">
        <v>2931</v>
      </c>
      <c r="C19668">
        <v>15738</v>
      </c>
      <c r="D19668" t="str">
        <f>"1251100002  "</f>
        <v xml:space="preserve">1251100002  </v>
      </c>
      <c r="E19668" t="s">
        <v>3167</v>
      </c>
      <c r="F19668" t="s">
        <v>3168</v>
      </c>
      <c r="G19668">
        <v>32</v>
      </c>
      <c r="H19668">
        <v>251118</v>
      </c>
      <c r="I19668">
        <v>4440</v>
      </c>
      <c r="J19668" t="s">
        <v>346</v>
      </c>
      <c r="K19668">
        <v>32</v>
      </c>
      <c r="L19668">
        <v>3.93</v>
      </c>
      <c r="M19668">
        <v>13901</v>
      </c>
      <c r="N19668" t="s">
        <v>116</v>
      </c>
      <c r="O19668">
        <v>251126</v>
      </c>
      <c r="P19668">
        <v>28.07</v>
      </c>
    </row>
    <row r="19669" spans="1:16" x14ac:dyDescent="0.25">
      <c r="A19669" t="s">
        <v>3296</v>
      </c>
      <c r="B19669" t="s">
        <v>2931</v>
      </c>
      <c r="C19669">
        <v>15418</v>
      </c>
      <c r="D19669" t="str">
        <f>"21265       "</f>
        <v xml:space="preserve">21265       </v>
      </c>
      <c r="E19669" t="s">
        <v>2588</v>
      </c>
      <c r="F19669" t="s">
        <v>2589</v>
      </c>
      <c r="G19669">
        <v>84.59</v>
      </c>
      <c r="H19669">
        <v>251113</v>
      </c>
      <c r="I19669">
        <v>4510</v>
      </c>
      <c r="J19669" t="s">
        <v>240</v>
      </c>
      <c r="K19669">
        <v>84.59</v>
      </c>
      <c r="L19669">
        <v>17.190000000000001</v>
      </c>
      <c r="M19669">
        <v>66756</v>
      </c>
      <c r="N19669" t="s">
        <v>120</v>
      </c>
      <c r="O19669">
        <v>251120</v>
      </c>
      <c r="P19669">
        <v>67.400000000000006</v>
      </c>
    </row>
    <row r="19670" spans="1:16" x14ac:dyDescent="0.25">
      <c r="A19670" t="s">
        <v>3296</v>
      </c>
      <c r="B19670" t="s">
        <v>2931</v>
      </c>
      <c r="C19670">
        <v>11597</v>
      </c>
      <c r="D19670" t="str">
        <f>"2401003284  "</f>
        <v xml:space="preserve">2401003284  </v>
      </c>
      <c r="E19670" t="s">
        <v>2283</v>
      </c>
      <c r="F19670" t="s">
        <v>2284</v>
      </c>
      <c r="G19670">
        <v>220</v>
      </c>
      <c r="H19670">
        <v>250829</v>
      </c>
      <c r="I19670">
        <v>4600</v>
      </c>
      <c r="J19670" t="s">
        <v>278</v>
      </c>
      <c r="K19670">
        <v>220</v>
      </c>
      <c r="L19670">
        <v>44.7</v>
      </c>
      <c r="M19670">
        <v>17525</v>
      </c>
      <c r="N19670" t="s">
        <v>140</v>
      </c>
      <c r="O19670">
        <v>250909</v>
      </c>
      <c r="P19670">
        <v>175.3</v>
      </c>
    </row>
    <row r="19671" spans="1:16" x14ac:dyDescent="0.25">
      <c r="A19671" t="s">
        <v>3296</v>
      </c>
      <c r="B19671" t="s">
        <v>2931</v>
      </c>
      <c r="C19671">
        <v>11906</v>
      </c>
      <c r="D19671" t="str">
        <f>"9714837     "</f>
        <v xml:space="preserve">9714837     </v>
      </c>
      <c r="E19671" t="s">
        <v>2296</v>
      </c>
      <c r="F19671" t="s">
        <v>2297</v>
      </c>
      <c r="G19671">
        <v>26.21</v>
      </c>
      <c r="H19671">
        <v>250909</v>
      </c>
      <c r="I19671">
        <v>4510</v>
      </c>
      <c r="J19671" t="s">
        <v>240</v>
      </c>
      <c r="K19671">
        <v>156.80000000000001</v>
      </c>
      <c r="L19671">
        <v>2.38</v>
      </c>
      <c r="M19671">
        <v>17131</v>
      </c>
      <c r="N19671" t="s">
        <v>154</v>
      </c>
      <c r="O19671">
        <v>250912</v>
      </c>
      <c r="P19671">
        <v>23.83</v>
      </c>
    </row>
    <row r="19672" spans="1:16" x14ac:dyDescent="0.25">
      <c r="A19672" t="s">
        <v>3296</v>
      </c>
      <c r="B19672" t="s">
        <v>2931</v>
      </c>
      <c r="C19672">
        <v>11906</v>
      </c>
      <c r="D19672" t="str">
        <f>"9714837     "</f>
        <v xml:space="preserve">9714837     </v>
      </c>
      <c r="E19672" t="s">
        <v>2296</v>
      </c>
      <c r="F19672" t="s">
        <v>2297</v>
      </c>
      <c r="G19672">
        <v>26.2</v>
      </c>
      <c r="H19672">
        <v>250909</v>
      </c>
      <c r="I19672">
        <v>4510</v>
      </c>
      <c r="J19672" t="s">
        <v>240</v>
      </c>
      <c r="K19672">
        <v>156.80000000000001</v>
      </c>
      <c r="L19672">
        <v>2.38</v>
      </c>
      <c r="M19672">
        <v>17711</v>
      </c>
      <c r="N19672" t="s">
        <v>155</v>
      </c>
      <c r="O19672">
        <v>250912</v>
      </c>
      <c r="P19672">
        <v>23.82</v>
      </c>
    </row>
    <row r="19673" spans="1:16" x14ac:dyDescent="0.25">
      <c r="A19673" t="s">
        <v>3296</v>
      </c>
      <c r="B19673" t="s">
        <v>2931</v>
      </c>
      <c r="C19673">
        <v>14645</v>
      </c>
      <c r="D19673" t="str">
        <f>"13755       "</f>
        <v xml:space="preserve">13755       </v>
      </c>
      <c r="E19673" t="s">
        <v>2522</v>
      </c>
      <c r="F19673" t="s">
        <v>2523</v>
      </c>
      <c r="G19673">
        <v>156.88</v>
      </c>
      <c r="H19673">
        <v>251030</v>
      </c>
      <c r="I19673">
        <v>4580</v>
      </c>
      <c r="J19673" t="s">
        <v>126</v>
      </c>
      <c r="K19673">
        <v>156.88</v>
      </c>
      <c r="L19673">
        <v>31.88</v>
      </c>
      <c r="M19673">
        <v>46557</v>
      </c>
      <c r="N19673" t="s">
        <v>104</v>
      </c>
      <c r="O19673">
        <v>251105</v>
      </c>
      <c r="P19673">
        <v>125</v>
      </c>
    </row>
    <row r="19674" spans="1:16" x14ac:dyDescent="0.25">
      <c r="A19674" t="s">
        <v>3296</v>
      </c>
      <c r="B19674" t="s">
        <v>2931</v>
      </c>
      <c r="C19674">
        <v>3417</v>
      </c>
      <c r="D19674" t="str">
        <f>"446919      "</f>
        <v xml:space="preserve">446919      </v>
      </c>
      <c r="E19674" t="s">
        <v>1425</v>
      </c>
      <c r="F19674" t="s">
        <v>1426</v>
      </c>
      <c r="G19674">
        <v>379.03</v>
      </c>
      <c r="H19674">
        <v>250307</v>
      </c>
      <c r="I19674">
        <v>4520</v>
      </c>
      <c r="J19674" t="s">
        <v>280</v>
      </c>
      <c r="K19674">
        <v>421.14</v>
      </c>
      <c r="L19674">
        <v>46.55</v>
      </c>
      <c r="M19674">
        <v>17913</v>
      </c>
      <c r="N19674" t="s">
        <v>26</v>
      </c>
      <c r="O19674">
        <v>250321</v>
      </c>
      <c r="P19674">
        <v>332.48</v>
      </c>
    </row>
    <row r="19675" spans="1:16" x14ac:dyDescent="0.25">
      <c r="A19675" t="s">
        <v>3296</v>
      </c>
      <c r="B19675" t="s">
        <v>2931</v>
      </c>
      <c r="C19675">
        <v>3417</v>
      </c>
      <c r="D19675" t="str">
        <f>"446919      "</f>
        <v xml:space="preserve">446919      </v>
      </c>
      <c r="E19675" t="s">
        <v>1425</v>
      </c>
      <c r="F19675" t="s">
        <v>1426</v>
      </c>
      <c r="G19675">
        <v>42.11</v>
      </c>
      <c r="H19675">
        <v>250307</v>
      </c>
      <c r="I19675">
        <v>4520</v>
      </c>
      <c r="J19675" t="s">
        <v>280</v>
      </c>
      <c r="K19675">
        <v>421.14</v>
      </c>
      <c r="L19675">
        <v>5.17</v>
      </c>
      <c r="M19675">
        <v>17982</v>
      </c>
      <c r="N19675" t="s">
        <v>281</v>
      </c>
      <c r="O19675">
        <v>250321</v>
      </c>
      <c r="P19675">
        <v>36.94</v>
      </c>
    </row>
    <row r="19676" spans="1:16" x14ac:dyDescent="0.25">
      <c r="A19676" t="s">
        <v>3296</v>
      </c>
      <c r="B19676" t="s">
        <v>2931</v>
      </c>
      <c r="C19676">
        <v>10851</v>
      </c>
      <c r="D19676" t="str">
        <f>"450311      "</f>
        <v xml:space="preserve">450311      </v>
      </c>
      <c r="E19676" t="s">
        <v>1425</v>
      </c>
      <c r="F19676" t="s">
        <v>1426</v>
      </c>
      <c r="G19676">
        <v>441.44</v>
      </c>
      <c r="H19676">
        <v>250822</v>
      </c>
      <c r="I19676">
        <v>4520</v>
      </c>
      <c r="J19676" t="s">
        <v>280</v>
      </c>
      <c r="K19676">
        <v>490.54</v>
      </c>
      <c r="L19676">
        <v>54.21</v>
      </c>
      <c r="M19676">
        <v>17913</v>
      </c>
      <c r="N19676" t="s">
        <v>26</v>
      </c>
      <c r="O19676">
        <v>250825</v>
      </c>
      <c r="P19676">
        <v>387.23</v>
      </c>
    </row>
    <row r="19677" spans="1:16" x14ac:dyDescent="0.25">
      <c r="A19677" t="s">
        <v>3296</v>
      </c>
      <c r="B19677" t="s">
        <v>2931</v>
      </c>
      <c r="C19677">
        <v>10851</v>
      </c>
      <c r="D19677" t="str">
        <f>"450311      "</f>
        <v xml:space="preserve">450311      </v>
      </c>
      <c r="E19677" t="s">
        <v>1425</v>
      </c>
      <c r="F19677" t="s">
        <v>1426</v>
      </c>
      <c r="G19677">
        <v>49.1</v>
      </c>
      <c r="H19677">
        <v>250822</v>
      </c>
      <c r="I19677">
        <v>4520</v>
      </c>
      <c r="J19677" t="s">
        <v>280</v>
      </c>
      <c r="K19677">
        <v>490.54</v>
      </c>
      <c r="L19677">
        <v>6.03</v>
      </c>
      <c r="M19677">
        <v>17982</v>
      </c>
      <c r="N19677" t="s">
        <v>281</v>
      </c>
      <c r="O19677">
        <v>250825</v>
      </c>
      <c r="P19677">
        <v>43.07</v>
      </c>
    </row>
    <row r="19678" spans="1:16" x14ac:dyDescent="0.25">
      <c r="A19678" t="s">
        <v>3296</v>
      </c>
      <c r="B19678" t="s">
        <v>2931</v>
      </c>
      <c r="C19678">
        <v>9649</v>
      </c>
      <c r="D19678" t="str">
        <f>"17690       "</f>
        <v xml:space="preserve">17690       </v>
      </c>
      <c r="E19678" t="s">
        <v>2140</v>
      </c>
      <c r="F19678" t="s">
        <v>2141</v>
      </c>
      <c r="G19678">
        <v>634.99</v>
      </c>
      <c r="H19678">
        <v>250711</v>
      </c>
      <c r="I19678">
        <v>4580</v>
      </c>
      <c r="J19678" t="s">
        <v>126</v>
      </c>
      <c r="K19678">
        <v>634.99</v>
      </c>
      <c r="L19678">
        <v>129.02000000000001</v>
      </c>
      <c r="M19678">
        <v>17527</v>
      </c>
      <c r="N19678" t="s">
        <v>142</v>
      </c>
      <c r="O19678">
        <v>250724</v>
      </c>
      <c r="P19678">
        <v>505.97</v>
      </c>
    </row>
    <row r="19679" spans="1:16" x14ac:dyDescent="0.25">
      <c r="A19679" t="s">
        <v>3296</v>
      </c>
      <c r="B19679" t="s">
        <v>2931</v>
      </c>
      <c r="C19679">
        <v>10123</v>
      </c>
      <c r="D19679" t="str">
        <f>"380         "</f>
        <v xml:space="preserve">380         </v>
      </c>
      <c r="E19679" t="s">
        <v>2165</v>
      </c>
      <c r="F19679" t="s">
        <v>2166</v>
      </c>
      <c r="G19679">
        <v>627.5</v>
      </c>
      <c r="H19679">
        <v>250801</v>
      </c>
      <c r="I19679">
        <v>4367</v>
      </c>
      <c r="J19679" t="s">
        <v>159</v>
      </c>
      <c r="K19679">
        <v>3765</v>
      </c>
      <c r="L19679">
        <v>127.5</v>
      </c>
      <c r="M19679">
        <v>11801</v>
      </c>
      <c r="N19679" t="s">
        <v>40</v>
      </c>
      <c r="O19679">
        <v>250812</v>
      </c>
      <c r="P19679">
        <v>500</v>
      </c>
    </row>
    <row r="19680" spans="1:16" x14ac:dyDescent="0.25">
      <c r="A19680" t="s">
        <v>3296</v>
      </c>
      <c r="B19680" t="s">
        <v>2931</v>
      </c>
      <c r="C19680">
        <v>12298</v>
      </c>
      <c r="D19680" t="str">
        <f>"394         "</f>
        <v xml:space="preserve">394         </v>
      </c>
      <c r="E19680" t="s">
        <v>2165</v>
      </c>
      <c r="F19680" t="s">
        <v>2166</v>
      </c>
      <c r="G19680">
        <v>3953.25</v>
      </c>
      <c r="H19680">
        <v>250912</v>
      </c>
      <c r="I19680">
        <v>4368</v>
      </c>
      <c r="J19680" t="s">
        <v>1082</v>
      </c>
      <c r="K19680">
        <v>7115.85</v>
      </c>
      <c r="L19680">
        <v>803.25</v>
      </c>
      <c r="M19680">
        <v>11801</v>
      </c>
      <c r="N19680" t="s">
        <v>40</v>
      </c>
      <c r="O19680">
        <v>250918</v>
      </c>
      <c r="P19680">
        <v>3150</v>
      </c>
    </row>
    <row r="19681" spans="1:16" x14ac:dyDescent="0.25">
      <c r="A19681" t="s">
        <v>3296</v>
      </c>
      <c r="B19681" t="s">
        <v>2931</v>
      </c>
      <c r="C19681">
        <v>12298</v>
      </c>
      <c r="D19681" t="str">
        <f>"394         "</f>
        <v xml:space="preserve">394         </v>
      </c>
      <c r="E19681" t="s">
        <v>2165</v>
      </c>
      <c r="F19681" t="s">
        <v>2166</v>
      </c>
      <c r="G19681">
        <v>3162.6</v>
      </c>
      <c r="H19681">
        <v>250912</v>
      </c>
      <c r="I19681">
        <v>4368</v>
      </c>
      <c r="J19681" t="s">
        <v>1082</v>
      </c>
      <c r="K19681">
        <v>7115.85</v>
      </c>
      <c r="L19681">
        <v>642.6</v>
      </c>
      <c r="M19681">
        <v>18972</v>
      </c>
      <c r="N19681" t="s">
        <v>39</v>
      </c>
      <c r="O19681">
        <v>250918</v>
      </c>
      <c r="P19681">
        <v>2520</v>
      </c>
    </row>
    <row r="19682" spans="1:16" x14ac:dyDescent="0.25">
      <c r="A19682" t="s">
        <v>3296</v>
      </c>
      <c r="B19682" t="s">
        <v>2931</v>
      </c>
      <c r="C19682">
        <v>17160</v>
      </c>
      <c r="D19682" t="str">
        <f>"427         "</f>
        <v xml:space="preserve">427         </v>
      </c>
      <c r="E19682" t="s">
        <v>2165</v>
      </c>
      <c r="F19682" t="s">
        <v>2166</v>
      </c>
      <c r="G19682">
        <v>9205.43</v>
      </c>
      <c r="H19682">
        <v>251130</v>
      </c>
      <c r="I19682">
        <v>4368</v>
      </c>
      <c r="J19682" t="s">
        <v>1082</v>
      </c>
      <c r="K19682">
        <v>9205.43</v>
      </c>
      <c r="L19682">
        <v>1870.43</v>
      </c>
      <c r="M19682">
        <v>18972</v>
      </c>
      <c r="N19682" t="s">
        <v>39</v>
      </c>
      <c r="O19682">
        <v>251218</v>
      </c>
      <c r="P19682">
        <v>7335</v>
      </c>
    </row>
    <row r="19683" spans="1:16" x14ac:dyDescent="0.25">
      <c r="A19683" t="s">
        <v>3296</v>
      </c>
      <c r="B19683" t="s">
        <v>2931</v>
      </c>
      <c r="C19683">
        <v>16035</v>
      </c>
      <c r="D19683" t="str">
        <f>"413         "</f>
        <v xml:space="preserve">413         </v>
      </c>
      <c r="E19683" t="s">
        <v>2165</v>
      </c>
      <c r="F19683" t="s">
        <v>2166</v>
      </c>
      <c r="G19683">
        <v>9914.5</v>
      </c>
      <c r="H19683">
        <v>251114</v>
      </c>
      <c r="I19683">
        <v>4369</v>
      </c>
      <c r="J19683" t="s">
        <v>188</v>
      </c>
      <c r="K19683">
        <v>9914.5</v>
      </c>
      <c r="L19683">
        <v>2014.5</v>
      </c>
      <c r="M19683">
        <v>11801</v>
      </c>
      <c r="N19683" t="s">
        <v>40</v>
      </c>
      <c r="O19683">
        <v>251202</v>
      </c>
      <c r="P19683">
        <v>7900</v>
      </c>
    </row>
    <row r="19684" spans="1:16" x14ac:dyDescent="0.25">
      <c r="A19684" t="s">
        <v>3296</v>
      </c>
      <c r="B19684" t="s">
        <v>2931</v>
      </c>
      <c r="C19684">
        <v>8935</v>
      </c>
      <c r="D19684" t="str">
        <f>"434710      "</f>
        <v xml:space="preserve">434710      </v>
      </c>
      <c r="E19684" t="s">
        <v>2068</v>
      </c>
      <c r="F19684" t="s">
        <v>2069</v>
      </c>
      <c r="G19684">
        <v>1710.4</v>
      </c>
      <c r="H19684">
        <v>250605</v>
      </c>
      <c r="I19684">
        <v>4560</v>
      </c>
      <c r="J19684" t="s">
        <v>390</v>
      </c>
      <c r="K19684">
        <v>4210.3999999999996</v>
      </c>
      <c r="L19684">
        <v>347.53</v>
      </c>
      <c r="M19684">
        <v>17711</v>
      </c>
      <c r="N19684" t="s">
        <v>155</v>
      </c>
      <c r="O19684">
        <v>250619</v>
      </c>
      <c r="P19684">
        <v>1362.87</v>
      </c>
    </row>
    <row r="19685" spans="1:16" x14ac:dyDescent="0.25">
      <c r="A19685" t="s">
        <v>3296</v>
      </c>
      <c r="B19685" t="s">
        <v>2931</v>
      </c>
      <c r="C19685">
        <v>8935</v>
      </c>
      <c r="D19685" t="str">
        <f>"434710      "</f>
        <v xml:space="preserve">434710      </v>
      </c>
      <c r="E19685" t="s">
        <v>2068</v>
      </c>
      <c r="F19685" t="s">
        <v>2069</v>
      </c>
      <c r="G19685">
        <v>2000</v>
      </c>
      <c r="H19685">
        <v>250605</v>
      </c>
      <c r="I19685">
        <v>4560</v>
      </c>
      <c r="J19685" t="s">
        <v>390</v>
      </c>
      <c r="K19685">
        <v>4210.3999999999996</v>
      </c>
      <c r="L19685">
        <v>406.37</v>
      </c>
      <c r="M19685">
        <v>17737</v>
      </c>
      <c r="N19685" t="s">
        <v>156</v>
      </c>
      <c r="O19685">
        <v>250619</v>
      </c>
      <c r="P19685">
        <v>1593.63</v>
      </c>
    </row>
    <row r="19686" spans="1:16" x14ac:dyDescent="0.25">
      <c r="A19686" t="s">
        <v>3296</v>
      </c>
      <c r="B19686" t="s">
        <v>2931</v>
      </c>
      <c r="C19686">
        <v>8935</v>
      </c>
      <c r="D19686" t="str">
        <f>"434710      "</f>
        <v xml:space="preserve">434710      </v>
      </c>
      <c r="E19686" t="s">
        <v>2068</v>
      </c>
      <c r="F19686" t="s">
        <v>2069</v>
      </c>
      <c r="G19686">
        <v>500</v>
      </c>
      <c r="H19686">
        <v>250605</v>
      </c>
      <c r="I19686">
        <v>4560</v>
      </c>
      <c r="J19686" t="s">
        <v>390</v>
      </c>
      <c r="K19686">
        <v>4210.3999999999996</v>
      </c>
      <c r="L19686">
        <v>101.59</v>
      </c>
      <c r="M19686">
        <v>17737</v>
      </c>
      <c r="N19686" t="s">
        <v>156</v>
      </c>
      <c r="O19686">
        <v>250619</v>
      </c>
      <c r="P19686">
        <v>398.41</v>
      </c>
    </row>
    <row r="19687" spans="1:16" x14ac:dyDescent="0.25">
      <c r="A19687" t="s">
        <v>3296</v>
      </c>
      <c r="B19687" t="s">
        <v>2931</v>
      </c>
      <c r="C19687">
        <v>12112</v>
      </c>
      <c r="D19687" t="str">
        <f>"463378      "</f>
        <v xml:space="preserve">463378      </v>
      </c>
      <c r="E19687" t="s">
        <v>2068</v>
      </c>
      <c r="F19687" t="s">
        <v>2069</v>
      </c>
      <c r="G19687">
        <v>4554.71</v>
      </c>
      <c r="H19687">
        <v>250902</v>
      </c>
      <c r="I19687">
        <v>4560</v>
      </c>
      <c r="J19687" t="s">
        <v>390</v>
      </c>
      <c r="K19687">
        <v>4554.71</v>
      </c>
      <c r="L19687">
        <v>925.46</v>
      </c>
      <c r="M19687">
        <v>17737</v>
      </c>
      <c r="N19687" t="s">
        <v>156</v>
      </c>
      <c r="O19687">
        <v>250916</v>
      </c>
      <c r="P19687">
        <v>3629.25</v>
      </c>
    </row>
    <row r="19688" spans="1:16" x14ac:dyDescent="0.25">
      <c r="A19688" t="s">
        <v>3296</v>
      </c>
      <c r="B19688" t="s">
        <v>2931</v>
      </c>
      <c r="C19688">
        <v>14189</v>
      </c>
      <c r="D19688" t="str">
        <f>"481002      "</f>
        <v xml:space="preserve">481002      </v>
      </c>
      <c r="E19688" t="s">
        <v>2068</v>
      </c>
      <c r="F19688" t="s">
        <v>2069</v>
      </c>
      <c r="G19688">
        <v>3681.42</v>
      </c>
      <c r="H19688">
        <v>251017</v>
      </c>
      <c r="I19688">
        <v>4560</v>
      </c>
      <c r="J19688" t="s">
        <v>390</v>
      </c>
      <c r="K19688">
        <v>3681.42</v>
      </c>
      <c r="L19688">
        <v>748.02</v>
      </c>
      <c r="M19688">
        <v>17737</v>
      </c>
      <c r="N19688" t="s">
        <v>156</v>
      </c>
      <c r="O19688">
        <v>251024</v>
      </c>
      <c r="P19688">
        <v>2933.4</v>
      </c>
    </row>
    <row r="19689" spans="1:16" x14ac:dyDescent="0.25">
      <c r="A19689" t="s">
        <v>3296</v>
      </c>
      <c r="B19689" t="s">
        <v>2931</v>
      </c>
      <c r="C19689">
        <v>2449</v>
      </c>
      <c r="D19689" t="str">
        <f>"10041       "</f>
        <v xml:space="preserve">10041       </v>
      </c>
      <c r="E19689" t="s">
        <v>1280</v>
      </c>
      <c r="F19689" t="s">
        <v>1281</v>
      </c>
      <c r="G19689">
        <v>430</v>
      </c>
      <c r="H19689">
        <v>250224</v>
      </c>
      <c r="I19689">
        <v>4560</v>
      </c>
      <c r="J19689" t="s">
        <v>390</v>
      </c>
      <c r="K19689">
        <v>430</v>
      </c>
      <c r="L19689">
        <v>87.37</v>
      </c>
      <c r="M19689">
        <v>17803</v>
      </c>
      <c r="N19689" t="s">
        <v>19</v>
      </c>
      <c r="O19689">
        <v>250227</v>
      </c>
      <c r="P19689">
        <v>342.63</v>
      </c>
    </row>
    <row r="19690" spans="1:16" x14ac:dyDescent="0.25">
      <c r="A19690" t="s">
        <v>3296</v>
      </c>
      <c r="B19690" t="s">
        <v>2931</v>
      </c>
      <c r="C19690">
        <v>923</v>
      </c>
      <c r="D19690" t="str">
        <f>"3800209073  "</f>
        <v xml:space="preserve">3800209073  </v>
      </c>
      <c r="E19690" t="s">
        <v>787</v>
      </c>
      <c r="F19690" t="s">
        <v>788</v>
      </c>
      <c r="G19690">
        <v>2994.53</v>
      </c>
      <c r="H19690">
        <v>250118</v>
      </c>
      <c r="I19690">
        <v>4580</v>
      </c>
      <c r="J19690" t="s">
        <v>126</v>
      </c>
      <c r="K19690">
        <v>2994.53</v>
      </c>
      <c r="L19690">
        <v>608.45000000000005</v>
      </c>
      <c r="M19690">
        <v>46554</v>
      </c>
      <c r="N19690" t="s">
        <v>102</v>
      </c>
      <c r="O19690">
        <v>250131</v>
      </c>
      <c r="P19690">
        <v>2386.08</v>
      </c>
    </row>
    <row r="19691" spans="1:16" x14ac:dyDescent="0.25">
      <c r="A19691" t="s">
        <v>3296</v>
      </c>
      <c r="B19691" t="s">
        <v>2931</v>
      </c>
      <c r="C19691">
        <v>10033</v>
      </c>
      <c r="D19691" t="str">
        <f>"3210003024  "</f>
        <v xml:space="preserve">3210003024  </v>
      </c>
      <c r="E19691" t="s">
        <v>2163</v>
      </c>
      <c r="F19691" t="s">
        <v>2164</v>
      </c>
      <c r="G19691">
        <v>45393.39</v>
      </c>
      <c r="H19691">
        <v>250730</v>
      </c>
      <c r="I19691">
        <v>1198</v>
      </c>
      <c r="J19691" t="s">
        <v>610</v>
      </c>
      <c r="K19691">
        <v>45393.39</v>
      </c>
      <c r="L19691">
        <v>9223.36</v>
      </c>
      <c r="M19691">
        <v>97627</v>
      </c>
      <c r="N19691" t="s">
        <v>1351</v>
      </c>
      <c r="O19691">
        <v>250808</v>
      </c>
      <c r="P19691">
        <v>36170.03</v>
      </c>
    </row>
    <row r="19692" spans="1:16" x14ac:dyDescent="0.25">
      <c r="A19692" t="s">
        <v>3296</v>
      </c>
      <c r="B19692" t="s">
        <v>2931</v>
      </c>
      <c r="C19692">
        <v>10401</v>
      </c>
      <c r="D19692" t="str">
        <f>"34005913    "</f>
        <v xml:space="preserve">34005913    </v>
      </c>
      <c r="E19692" t="s">
        <v>2163</v>
      </c>
      <c r="F19692" t="s">
        <v>2164</v>
      </c>
      <c r="G19692">
        <v>4681.1499999999996</v>
      </c>
      <c r="H19692">
        <v>250808</v>
      </c>
      <c r="I19692">
        <v>1198</v>
      </c>
      <c r="J19692" t="s">
        <v>610</v>
      </c>
      <c r="K19692">
        <v>4681.1499999999996</v>
      </c>
      <c r="L19692">
        <v>951.15</v>
      </c>
      <c r="M19692">
        <v>97627</v>
      </c>
      <c r="N19692" t="s">
        <v>1351</v>
      </c>
      <c r="O19692">
        <v>250818</v>
      </c>
      <c r="P19692">
        <v>3730</v>
      </c>
    </row>
    <row r="19693" spans="1:16" x14ac:dyDescent="0.25">
      <c r="A19693" t="s">
        <v>3296</v>
      </c>
      <c r="B19693" t="s">
        <v>2931</v>
      </c>
      <c r="C19693">
        <v>10402</v>
      </c>
      <c r="D19693" t="str">
        <f>"34005944    "</f>
        <v xml:space="preserve">34005944    </v>
      </c>
      <c r="E19693" t="s">
        <v>2163</v>
      </c>
      <c r="F19693" t="s">
        <v>2164</v>
      </c>
      <c r="G19693">
        <v>-37.65</v>
      </c>
      <c r="H19693">
        <v>250813</v>
      </c>
      <c r="I19693">
        <v>1198</v>
      </c>
      <c r="J19693" t="s">
        <v>610</v>
      </c>
      <c r="K19693">
        <v>-37.65</v>
      </c>
      <c r="L19693">
        <v>-7.65</v>
      </c>
      <c r="M19693">
        <v>97627</v>
      </c>
      <c r="N19693" t="s">
        <v>1351</v>
      </c>
      <c r="O19693">
        <v>250818</v>
      </c>
      <c r="P19693">
        <v>-30</v>
      </c>
    </row>
    <row r="19694" spans="1:16" x14ac:dyDescent="0.25">
      <c r="A19694" t="s">
        <v>3296</v>
      </c>
      <c r="B19694" t="s">
        <v>2931</v>
      </c>
      <c r="C19694">
        <v>12310</v>
      </c>
      <c r="D19694" t="str">
        <f>"CD250003400 "</f>
        <v xml:space="preserve">CD250003400 </v>
      </c>
      <c r="E19694" t="s">
        <v>2338</v>
      </c>
      <c r="F19694" t="s">
        <v>2339</v>
      </c>
      <c r="G19694">
        <v>385.04</v>
      </c>
      <c r="H19694">
        <v>250910</v>
      </c>
      <c r="I19694">
        <v>4470</v>
      </c>
      <c r="J19694" t="s">
        <v>203</v>
      </c>
      <c r="K19694">
        <v>385.04</v>
      </c>
      <c r="L19694">
        <v>78.239999999999995</v>
      </c>
      <c r="M19694">
        <v>69501</v>
      </c>
      <c r="N19694" t="s">
        <v>123</v>
      </c>
      <c r="O19694">
        <v>250919</v>
      </c>
      <c r="P19694">
        <v>306.8</v>
      </c>
    </row>
    <row r="19695" spans="1:16" x14ac:dyDescent="0.25">
      <c r="A19695" t="s">
        <v>3296</v>
      </c>
      <c r="B19695" t="s">
        <v>2931</v>
      </c>
      <c r="C19695">
        <v>12743</v>
      </c>
      <c r="D19695" t="str">
        <f>"CD250003611 "</f>
        <v xml:space="preserve">CD250003611 </v>
      </c>
      <c r="E19695" t="s">
        <v>2338</v>
      </c>
      <c r="F19695" t="s">
        <v>2339</v>
      </c>
      <c r="G19695">
        <v>385.04</v>
      </c>
      <c r="H19695">
        <v>250923</v>
      </c>
      <c r="I19695">
        <v>4470</v>
      </c>
      <c r="J19695" t="s">
        <v>203</v>
      </c>
      <c r="K19695">
        <v>385.04</v>
      </c>
      <c r="L19695">
        <v>78.239999999999995</v>
      </c>
      <c r="M19695">
        <v>69501</v>
      </c>
      <c r="N19695" t="s">
        <v>123</v>
      </c>
      <c r="O19695">
        <v>250930</v>
      </c>
      <c r="P19695">
        <v>306.8</v>
      </c>
    </row>
    <row r="19696" spans="1:16" x14ac:dyDescent="0.25">
      <c r="A19696" t="s">
        <v>3296</v>
      </c>
      <c r="B19696" t="s">
        <v>2931</v>
      </c>
      <c r="C19696">
        <v>6311</v>
      </c>
      <c r="D19696" t="str">
        <f>"88000438    "</f>
        <v xml:space="preserve">88000438    </v>
      </c>
      <c r="E19696" t="s">
        <v>244</v>
      </c>
      <c r="F19696" t="s">
        <v>246</v>
      </c>
      <c r="G19696">
        <v>44328.98</v>
      </c>
      <c r="H19696">
        <v>250430</v>
      </c>
      <c r="I19696">
        <v>4390</v>
      </c>
      <c r="J19696" t="s">
        <v>232</v>
      </c>
      <c r="K19696">
        <v>44328.98</v>
      </c>
      <c r="L19696">
        <v>9007.08</v>
      </c>
      <c r="M19696">
        <v>56575</v>
      </c>
      <c r="N19696" t="s">
        <v>245</v>
      </c>
      <c r="O19696">
        <v>250512</v>
      </c>
      <c r="P19696">
        <v>35321.9</v>
      </c>
    </row>
    <row r="19697" spans="1:16" x14ac:dyDescent="0.25">
      <c r="A19697" t="s">
        <v>3296</v>
      </c>
      <c r="B19697" t="s">
        <v>2931</v>
      </c>
      <c r="C19697">
        <v>132</v>
      </c>
      <c r="D19697" t="str">
        <f>"88000397    "</f>
        <v xml:space="preserve">88000397    </v>
      </c>
      <c r="E19697" t="s">
        <v>244</v>
      </c>
      <c r="F19697" t="s">
        <v>246</v>
      </c>
      <c r="G19697">
        <v>1160.3699999999999</v>
      </c>
      <c r="H19697">
        <v>250101</v>
      </c>
      <c r="I19697">
        <v>4820</v>
      </c>
      <c r="J19697" t="s">
        <v>169</v>
      </c>
      <c r="K19697">
        <v>1160.3699999999999</v>
      </c>
      <c r="L19697">
        <v>235.77</v>
      </c>
      <c r="M19697">
        <v>56575</v>
      </c>
      <c r="N19697" t="s">
        <v>245</v>
      </c>
      <c r="O19697">
        <v>250113</v>
      </c>
      <c r="P19697">
        <v>924.6</v>
      </c>
    </row>
    <row r="19698" spans="1:16" x14ac:dyDescent="0.25">
      <c r="A19698" t="s">
        <v>3296</v>
      </c>
      <c r="B19698" t="s">
        <v>2931</v>
      </c>
      <c r="C19698">
        <v>133</v>
      </c>
      <c r="D19698" t="str">
        <f>"88000398    "</f>
        <v xml:space="preserve">88000398    </v>
      </c>
      <c r="E19698" t="s">
        <v>244</v>
      </c>
      <c r="F19698" t="s">
        <v>246</v>
      </c>
      <c r="G19698">
        <v>2997.63</v>
      </c>
      <c r="H19698">
        <v>250101</v>
      </c>
      <c r="I19698">
        <v>4820</v>
      </c>
      <c r="J19698" t="s">
        <v>169</v>
      </c>
      <c r="K19698">
        <v>2997.63</v>
      </c>
      <c r="L19698">
        <v>609.08000000000004</v>
      </c>
      <c r="M19698">
        <v>56575</v>
      </c>
      <c r="N19698" t="s">
        <v>245</v>
      </c>
      <c r="O19698">
        <v>250113</v>
      </c>
      <c r="P19698">
        <v>2388.5500000000002</v>
      </c>
    </row>
    <row r="19699" spans="1:16" x14ac:dyDescent="0.25">
      <c r="A19699" t="s">
        <v>3296</v>
      </c>
      <c r="B19699" t="s">
        <v>2931</v>
      </c>
      <c r="C19699">
        <v>792</v>
      </c>
      <c r="D19699" t="str">
        <f>"88000414    "</f>
        <v xml:space="preserve">88000414    </v>
      </c>
      <c r="E19699" t="s">
        <v>244</v>
      </c>
      <c r="F19699" t="s">
        <v>246</v>
      </c>
      <c r="G19699">
        <v>1160.3699999999999</v>
      </c>
      <c r="H19699">
        <v>250201</v>
      </c>
      <c r="I19699">
        <v>4820</v>
      </c>
      <c r="J19699" t="s">
        <v>169</v>
      </c>
      <c r="K19699">
        <v>1160.3699999999999</v>
      </c>
      <c r="L19699">
        <v>235.77</v>
      </c>
      <c r="M19699">
        <v>56575</v>
      </c>
      <c r="N19699" t="s">
        <v>245</v>
      </c>
      <c r="O19699">
        <v>250129</v>
      </c>
      <c r="P19699">
        <v>924.6</v>
      </c>
    </row>
    <row r="19700" spans="1:16" x14ac:dyDescent="0.25">
      <c r="A19700" t="s">
        <v>3296</v>
      </c>
      <c r="B19700" t="s">
        <v>2931</v>
      </c>
      <c r="C19700">
        <v>795</v>
      </c>
      <c r="D19700" t="str">
        <f>"88000415    "</f>
        <v xml:space="preserve">88000415    </v>
      </c>
      <c r="E19700" t="s">
        <v>244</v>
      </c>
      <c r="F19700" t="s">
        <v>246</v>
      </c>
      <c r="G19700">
        <v>2997.63</v>
      </c>
      <c r="H19700">
        <v>250201</v>
      </c>
      <c r="I19700">
        <v>4820</v>
      </c>
      <c r="J19700" t="s">
        <v>169</v>
      </c>
      <c r="K19700">
        <v>2997.63</v>
      </c>
      <c r="L19700">
        <v>609.08000000000004</v>
      </c>
      <c r="M19700">
        <v>56575</v>
      </c>
      <c r="N19700" t="s">
        <v>245</v>
      </c>
      <c r="O19700">
        <v>250129</v>
      </c>
      <c r="P19700">
        <v>2388.5500000000002</v>
      </c>
    </row>
    <row r="19701" spans="1:16" x14ac:dyDescent="0.25">
      <c r="A19701" t="s">
        <v>3296</v>
      </c>
      <c r="B19701" t="s">
        <v>2931</v>
      </c>
      <c r="C19701">
        <v>2906</v>
      </c>
      <c r="D19701" t="str">
        <f>"88000421    "</f>
        <v xml:space="preserve">88000421    </v>
      </c>
      <c r="E19701" t="s">
        <v>244</v>
      </c>
      <c r="F19701" t="s">
        <v>246</v>
      </c>
      <c r="G19701">
        <v>1160.3699999999999</v>
      </c>
      <c r="H19701">
        <v>250301</v>
      </c>
      <c r="I19701">
        <v>4820</v>
      </c>
      <c r="J19701" t="s">
        <v>169</v>
      </c>
      <c r="K19701">
        <v>1160.3699999999999</v>
      </c>
      <c r="L19701">
        <v>235.77</v>
      </c>
      <c r="M19701">
        <v>56575</v>
      </c>
      <c r="N19701" t="s">
        <v>245</v>
      </c>
      <c r="O19701">
        <v>250313</v>
      </c>
      <c r="P19701">
        <v>924.6</v>
      </c>
    </row>
    <row r="19702" spans="1:16" x14ac:dyDescent="0.25">
      <c r="A19702" t="s">
        <v>3296</v>
      </c>
      <c r="B19702" t="s">
        <v>2931</v>
      </c>
      <c r="C19702">
        <v>2910</v>
      </c>
      <c r="D19702" t="str">
        <f>"88000422    "</f>
        <v xml:space="preserve">88000422    </v>
      </c>
      <c r="E19702" t="s">
        <v>244</v>
      </c>
      <c r="F19702" t="s">
        <v>246</v>
      </c>
      <c r="G19702">
        <v>2997.63</v>
      </c>
      <c r="H19702">
        <v>250301</v>
      </c>
      <c r="I19702">
        <v>4820</v>
      </c>
      <c r="J19702" t="s">
        <v>169</v>
      </c>
      <c r="K19702">
        <v>2997.63</v>
      </c>
      <c r="L19702">
        <v>609.08000000000004</v>
      </c>
      <c r="M19702">
        <v>56575</v>
      </c>
      <c r="N19702" t="s">
        <v>245</v>
      </c>
      <c r="O19702">
        <v>250313</v>
      </c>
      <c r="P19702">
        <v>2388.5500000000002</v>
      </c>
    </row>
    <row r="19703" spans="1:16" x14ac:dyDescent="0.25">
      <c r="A19703" t="s">
        <v>3296</v>
      </c>
      <c r="B19703" t="s">
        <v>2931</v>
      </c>
      <c r="C19703">
        <v>11139</v>
      </c>
      <c r="D19703" t="str">
        <f>"3551        "</f>
        <v xml:space="preserve">3551        </v>
      </c>
      <c r="E19703" t="s">
        <v>2251</v>
      </c>
      <c r="F19703" t="s">
        <v>2252</v>
      </c>
      <c r="G19703">
        <v>236.84</v>
      </c>
      <c r="H19703">
        <v>250828</v>
      </c>
      <c r="I19703">
        <v>4350</v>
      </c>
      <c r="J19703" t="s">
        <v>290</v>
      </c>
      <c r="K19703">
        <v>236.84</v>
      </c>
      <c r="L19703">
        <v>48.12</v>
      </c>
      <c r="M19703">
        <v>54451</v>
      </c>
      <c r="N19703" t="s">
        <v>218</v>
      </c>
      <c r="O19703">
        <v>250901</v>
      </c>
      <c r="P19703">
        <v>188.72</v>
      </c>
    </row>
    <row r="19704" spans="1:16" x14ac:dyDescent="0.25">
      <c r="A19704" t="s">
        <v>3296</v>
      </c>
      <c r="B19704" t="s">
        <v>2931</v>
      </c>
      <c r="C19704">
        <v>15776</v>
      </c>
      <c r="D19704" t="str">
        <f>"3555        "</f>
        <v xml:space="preserve">3555        </v>
      </c>
      <c r="E19704" t="s">
        <v>2251</v>
      </c>
      <c r="F19704" t="s">
        <v>2252</v>
      </c>
      <c r="G19704">
        <v>233.43</v>
      </c>
      <c r="H19704">
        <v>251114</v>
      </c>
      <c r="I19704">
        <v>4350</v>
      </c>
      <c r="J19704" t="s">
        <v>290</v>
      </c>
      <c r="K19704">
        <v>233.43</v>
      </c>
      <c r="L19704">
        <v>47.43</v>
      </c>
      <c r="M19704">
        <v>59702</v>
      </c>
      <c r="N19704" t="s">
        <v>45</v>
      </c>
      <c r="O19704">
        <v>251127</v>
      </c>
      <c r="P19704">
        <v>186</v>
      </c>
    </row>
    <row r="19705" spans="1:16" x14ac:dyDescent="0.25">
      <c r="A19705" t="s">
        <v>3296</v>
      </c>
      <c r="B19705" t="s">
        <v>2931</v>
      </c>
      <c r="C19705">
        <v>10988</v>
      </c>
      <c r="D19705" t="str">
        <f>"14277       "</f>
        <v xml:space="preserve">14277       </v>
      </c>
      <c r="E19705" t="s">
        <v>906</v>
      </c>
      <c r="F19705" t="s">
        <v>908</v>
      </c>
      <c r="G19705">
        <v>23.72</v>
      </c>
      <c r="H19705">
        <v>250813</v>
      </c>
      <c r="I19705">
        <v>4364</v>
      </c>
      <c r="J19705" t="s">
        <v>470</v>
      </c>
      <c r="K19705">
        <v>347.51</v>
      </c>
      <c r="L19705">
        <v>4.82</v>
      </c>
      <c r="M19705">
        <v>17538</v>
      </c>
      <c r="N19705" t="s">
        <v>129</v>
      </c>
      <c r="O19705">
        <v>250828</v>
      </c>
      <c r="P19705">
        <v>18.899999999999999</v>
      </c>
    </row>
    <row r="19706" spans="1:16" x14ac:dyDescent="0.25">
      <c r="A19706" t="s">
        <v>3296</v>
      </c>
      <c r="B19706" t="s">
        <v>2931</v>
      </c>
      <c r="C19706">
        <v>10988</v>
      </c>
      <c r="D19706" t="str">
        <f>"14277       "</f>
        <v xml:space="preserve">14277       </v>
      </c>
      <c r="E19706" t="s">
        <v>906</v>
      </c>
      <c r="F19706" t="s">
        <v>908</v>
      </c>
      <c r="G19706">
        <v>323.79000000000002</v>
      </c>
      <c r="H19706">
        <v>250813</v>
      </c>
      <c r="I19706">
        <v>4530</v>
      </c>
      <c r="J19706" t="s">
        <v>293</v>
      </c>
      <c r="K19706">
        <v>347.51</v>
      </c>
      <c r="L19706">
        <v>65.790000000000006</v>
      </c>
      <c r="M19706">
        <v>17538</v>
      </c>
      <c r="N19706" t="s">
        <v>129</v>
      </c>
      <c r="O19706">
        <v>250828</v>
      </c>
      <c r="P19706">
        <v>258</v>
      </c>
    </row>
    <row r="19707" spans="1:16" x14ac:dyDescent="0.25">
      <c r="A19707" t="s">
        <v>3296</v>
      </c>
      <c r="B19707" t="s">
        <v>2931</v>
      </c>
      <c r="C19707">
        <v>14435</v>
      </c>
      <c r="D19707" t="str">
        <f>"15345       "</f>
        <v xml:space="preserve">15345       </v>
      </c>
      <c r="E19707" t="s">
        <v>906</v>
      </c>
      <c r="F19707" t="s">
        <v>908</v>
      </c>
      <c r="G19707">
        <v>175.45</v>
      </c>
      <c r="H19707">
        <v>251023</v>
      </c>
      <c r="I19707">
        <v>4530</v>
      </c>
      <c r="J19707" t="s">
        <v>293</v>
      </c>
      <c r="K19707">
        <v>175.45</v>
      </c>
      <c r="L19707">
        <v>35.65</v>
      </c>
      <c r="M19707">
        <v>11903</v>
      </c>
      <c r="N19707" t="s">
        <v>32</v>
      </c>
      <c r="O19707">
        <v>251031</v>
      </c>
      <c r="P19707">
        <v>139.80000000000001</v>
      </c>
    </row>
    <row r="19708" spans="1:16" x14ac:dyDescent="0.25">
      <c r="A19708" t="s">
        <v>3296</v>
      </c>
      <c r="B19708" t="s">
        <v>2931</v>
      </c>
      <c r="C19708">
        <v>1233</v>
      </c>
      <c r="D19708" t="str">
        <f>"12179       "</f>
        <v xml:space="preserve">12179       </v>
      </c>
      <c r="E19708" t="s">
        <v>906</v>
      </c>
      <c r="F19708" t="s">
        <v>908</v>
      </c>
      <c r="G19708">
        <v>90.11</v>
      </c>
      <c r="H19708">
        <v>250128</v>
      </c>
      <c r="I19708">
        <v>4600</v>
      </c>
      <c r="J19708" t="s">
        <v>278</v>
      </c>
      <c r="K19708">
        <v>90.11</v>
      </c>
      <c r="L19708">
        <v>18.309999999999999</v>
      </c>
      <c r="M19708">
        <v>17647</v>
      </c>
      <c r="N19708" t="s">
        <v>907</v>
      </c>
      <c r="O19708">
        <v>250206</v>
      </c>
      <c r="P19708">
        <v>71.8</v>
      </c>
    </row>
    <row r="19709" spans="1:16" x14ac:dyDescent="0.25">
      <c r="A19709" t="s">
        <v>3296</v>
      </c>
      <c r="B19709" t="s">
        <v>2931</v>
      </c>
      <c r="C19709">
        <v>4977</v>
      </c>
      <c r="D19709" t="str">
        <f>"13047       "</f>
        <v xml:space="preserve">13047       </v>
      </c>
      <c r="E19709" t="s">
        <v>906</v>
      </c>
      <c r="F19709" t="s">
        <v>908</v>
      </c>
      <c r="G19709">
        <v>90.11</v>
      </c>
      <c r="H19709">
        <v>250331</v>
      </c>
      <c r="I19709">
        <v>4600</v>
      </c>
      <c r="J19709" t="s">
        <v>278</v>
      </c>
      <c r="K19709">
        <v>90.11</v>
      </c>
      <c r="L19709">
        <v>18.309999999999999</v>
      </c>
      <c r="M19709">
        <v>17647</v>
      </c>
      <c r="N19709" t="s">
        <v>907</v>
      </c>
      <c r="O19709">
        <v>250416</v>
      </c>
      <c r="P19709">
        <v>71.8</v>
      </c>
    </row>
    <row r="19710" spans="1:16" x14ac:dyDescent="0.25">
      <c r="A19710" t="s">
        <v>3296</v>
      </c>
      <c r="B19710" t="s">
        <v>2931</v>
      </c>
      <c r="C19710">
        <v>6472</v>
      </c>
      <c r="D19710" t="str">
        <f>"13323       "</f>
        <v xml:space="preserve">13323       </v>
      </c>
      <c r="E19710" t="s">
        <v>906</v>
      </c>
      <c r="F19710" t="s">
        <v>908</v>
      </c>
      <c r="G19710">
        <v>353.41</v>
      </c>
      <c r="H19710">
        <v>250423</v>
      </c>
      <c r="I19710">
        <v>4600</v>
      </c>
      <c r="J19710" t="s">
        <v>278</v>
      </c>
      <c r="K19710">
        <v>353.41</v>
      </c>
      <c r="L19710">
        <v>71.81</v>
      </c>
      <c r="M19710">
        <v>17647</v>
      </c>
      <c r="N19710" t="s">
        <v>907</v>
      </c>
      <c r="O19710">
        <v>250513</v>
      </c>
      <c r="P19710">
        <v>281.60000000000002</v>
      </c>
    </row>
    <row r="19711" spans="1:16" x14ac:dyDescent="0.25">
      <c r="A19711" t="s">
        <v>3296</v>
      </c>
      <c r="B19711" t="s">
        <v>2931</v>
      </c>
      <c r="C19711">
        <v>8728</v>
      </c>
      <c r="D19711" t="str">
        <f>"13760       "</f>
        <v xml:space="preserve">13760       </v>
      </c>
      <c r="E19711" t="s">
        <v>906</v>
      </c>
      <c r="F19711" t="s">
        <v>908</v>
      </c>
      <c r="G19711">
        <v>291.66000000000003</v>
      </c>
      <c r="H19711">
        <v>250602</v>
      </c>
      <c r="I19711">
        <v>4600</v>
      </c>
      <c r="J19711" t="s">
        <v>278</v>
      </c>
      <c r="K19711">
        <v>291.66000000000003</v>
      </c>
      <c r="L19711">
        <v>59.26</v>
      </c>
      <c r="M19711">
        <v>17647</v>
      </c>
      <c r="N19711" t="s">
        <v>907</v>
      </c>
      <c r="O19711">
        <v>250617</v>
      </c>
      <c r="P19711">
        <v>232.4</v>
      </c>
    </row>
    <row r="19712" spans="1:16" x14ac:dyDescent="0.25">
      <c r="A19712" t="s">
        <v>3296</v>
      </c>
      <c r="B19712" t="s">
        <v>2931</v>
      </c>
      <c r="C19712">
        <v>11776</v>
      </c>
      <c r="D19712" t="str">
        <f>"14501       "</f>
        <v xml:space="preserve">14501       </v>
      </c>
      <c r="E19712" t="s">
        <v>906</v>
      </c>
      <c r="F19712" t="s">
        <v>908</v>
      </c>
      <c r="G19712">
        <v>131.33000000000001</v>
      </c>
      <c r="H19712">
        <v>250828</v>
      </c>
      <c r="I19712">
        <v>4600</v>
      </c>
      <c r="J19712" t="s">
        <v>278</v>
      </c>
      <c r="K19712">
        <v>2137.87</v>
      </c>
      <c r="L19712">
        <v>26.68</v>
      </c>
      <c r="M19712">
        <v>17532</v>
      </c>
      <c r="N19712" t="s">
        <v>146</v>
      </c>
      <c r="O19712">
        <v>250910</v>
      </c>
      <c r="P19712">
        <v>104.65</v>
      </c>
    </row>
    <row r="19713" spans="1:16" x14ac:dyDescent="0.25">
      <c r="A19713" t="s">
        <v>3296</v>
      </c>
      <c r="B19713" t="s">
        <v>2931</v>
      </c>
      <c r="C19713">
        <v>11776</v>
      </c>
      <c r="D19713" t="str">
        <f>"14501       "</f>
        <v xml:space="preserve">14501       </v>
      </c>
      <c r="E19713" t="s">
        <v>906</v>
      </c>
      <c r="F19713" t="s">
        <v>908</v>
      </c>
      <c r="G19713">
        <v>72.86</v>
      </c>
      <c r="H19713">
        <v>250828</v>
      </c>
      <c r="I19713">
        <v>4600</v>
      </c>
      <c r="J19713" t="s">
        <v>278</v>
      </c>
      <c r="K19713">
        <v>2137.87</v>
      </c>
      <c r="L19713">
        <v>14.8</v>
      </c>
      <c r="M19713">
        <v>17533</v>
      </c>
      <c r="N19713" t="s">
        <v>147</v>
      </c>
      <c r="O19713">
        <v>250910</v>
      </c>
      <c r="P19713">
        <v>58.06</v>
      </c>
    </row>
    <row r="19714" spans="1:16" x14ac:dyDescent="0.25">
      <c r="A19714" t="s">
        <v>3296</v>
      </c>
      <c r="B19714" t="s">
        <v>2931</v>
      </c>
      <c r="C19714">
        <v>11776</v>
      </c>
      <c r="D19714" t="str">
        <f>"14501       "</f>
        <v xml:space="preserve">14501       </v>
      </c>
      <c r="E19714" t="s">
        <v>906</v>
      </c>
      <c r="F19714" t="s">
        <v>908</v>
      </c>
      <c r="G19714">
        <v>151.66</v>
      </c>
      <c r="H19714">
        <v>250828</v>
      </c>
      <c r="I19714">
        <v>4600</v>
      </c>
      <c r="J19714" t="s">
        <v>278</v>
      </c>
      <c r="K19714">
        <v>2137.87</v>
      </c>
      <c r="L19714">
        <v>30.82</v>
      </c>
      <c r="M19714">
        <v>17533</v>
      </c>
      <c r="N19714" t="s">
        <v>147</v>
      </c>
      <c r="O19714">
        <v>250910</v>
      </c>
      <c r="P19714">
        <v>120.84</v>
      </c>
    </row>
    <row r="19715" spans="1:16" x14ac:dyDescent="0.25">
      <c r="A19715" t="s">
        <v>3296</v>
      </c>
      <c r="B19715" t="s">
        <v>2931</v>
      </c>
      <c r="C19715">
        <v>11776</v>
      </c>
      <c r="D19715" t="str">
        <f>"14501       "</f>
        <v xml:space="preserve">14501       </v>
      </c>
      <c r="E19715" t="s">
        <v>906</v>
      </c>
      <c r="F19715" t="s">
        <v>908</v>
      </c>
      <c r="G19715">
        <v>131.79</v>
      </c>
      <c r="H19715">
        <v>250828</v>
      </c>
      <c r="I19715">
        <v>4600</v>
      </c>
      <c r="J19715" t="s">
        <v>278</v>
      </c>
      <c r="K19715">
        <v>2137.87</v>
      </c>
      <c r="L19715">
        <v>26.78</v>
      </c>
      <c r="M19715">
        <v>17645</v>
      </c>
      <c r="N19715" t="s">
        <v>1561</v>
      </c>
      <c r="O19715">
        <v>250910</v>
      </c>
      <c r="P19715">
        <v>105.01</v>
      </c>
    </row>
    <row r="19716" spans="1:16" x14ac:dyDescent="0.25">
      <c r="A19716" t="s">
        <v>3296</v>
      </c>
      <c r="B19716" t="s">
        <v>2931</v>
      </c>
      <c r="C19716">
        <v>11776</v>
      </c>
      <c r="D19716" t="str">
        <f>"14501       "</f>
        <v xml:space="preserve">14501       </v>
      </c>
      <c r="E19716" t="s">
        <v>906</v>
      </c>
      <c r="F19716" t="s">
        <v>908</v>
      </c>
      <c r="G19716">
        <v>1650.23</v>
      </c>
      <c r="H19716">
        <v>250828</v>
      </c>
      <c r="I19716">
        <v>4600</v>
      </c>
      <c r="J19716" t="s">
        <v>278</v>
      </c>
      <c r="K19716">
        <v>2137.87</v>
      </c>
      <c r="L19716">
        <v>335.31</v>
      </c>
      <c r="M19716">
        <v>17647</v>
      </c>
      <c r="N19716" t="s">
        <v>907</v>
      </c>
      <c r="O19716">
        <v>250910</v>
      </c>
      <c r="P19716">
        <v>1314.92</v>
      </c>
    </row>
    <row r="19717" spans="1:16" x14ac:dyDescent="0.25">
      <c r="A19717" t="s">
        <v>3296</v>
      </c>
      <c r="B19717" t="s">
        <v>2931</v>
      </c>
      <c r="C19717">
        <v>15291</v>
      </c>
      <c r="D19717" t="str">
        <f>"15492       "</f>
        <v xml:space="preserve">15492       </v>
      </c>
      <c r="E19717" t="s">
        <v>906</v>
      </c>
      <c r="F19717" t="s">
        <v>908</v>
      </c>
      <c r="G19717">
        <v>117.49</v>
      </c>
      <c r="H19717">
        <v>251103</v>
      </c>
      <c r="I19717">
        <v>4600</v>
      </c>
      <c r="J19717" t="s">
        <v>278</v>
      </c>
      <c r="K19717">
        <v>117.49</v>
      </c>
      <c r="L19717">
        <v>23.87</v>
      </c>
      <c r="M19717">
        <v>56524</v>
      </c>
      <c r="N19717" t="s">
        <v>69</v>
      </c>
      <c r="O19717">
        <v>251117</v>
      </c>
      <c r="P19717">
        <v>93.62</v>
      </c>
    </row>
    <row r="19718" spans="1:16" x14ac:dyDescent="0.25">
      <c r="A19718" t="s">
        <v>3296</v>
      </c>
      <c r="B19718" t="s">
        <v>2931</v>
      </c>
      <c r="C19718">
        <v>17733</v>
      </c>
      <c r="D19718" t="str">
        <f>"15938       "</f>
        <v xml:space="preserve">15938       </v>
      </c>
      <c r="E19718" t="s">
        <v>906</v>
      </c>
      <c r="F19718" t="s">
        <v>908</v>
      </c>
      <c r="G19718">
        <v>176.2</v>
      </c>
      <c r="H19718">
        <v>251205</v>
      </c>
      <c r="I19718">
        <v>4600</v>
      </c>
      <c r="J19718" t="s">
        <v>278</v>
      </c>
      <c r="K19718">
        <v>176.2</v>
      </c>
      <c r="L19718">
        <v>35.799999999999997</v>
      </c>
      <c r="M19718">
        <v>56528</v>
      </c>
      <c r="N19718" t="s">
        <v>70</v>
      </c>
      <c r="O19718">
        <v>251230</v>
      </c>
      <c r="P19718">
        <v>140.4</v>
      </c>
    </row>
    <row r="19719" spans="1:16" x14ac:dyDescent="0.25">
      <c r="A19719" t="s">
        <v>3296</v>
      </c>
      <c r="B19719" t="s">
        <v>2931</v>
      </c>
      <c r="C19719">
        <v>4128</v>
      </c>
      <c r="D19719" t="str">
        <f>"3156        "</f>
        <v xml:space="preserve">3156        </v>
      </c>
      <c r="E19719" t="s">
        <v>1574</v>
      </c>
      <c r="F19719" t="s">
        <v>1575</v>
      </c>
      <c r="G19719">
        <v>376.5</v>
      </c>
      <c r="H19719">
        <v>250326</v>
      </c>
      <c r="I19719">
        <v>4580</v>
      </c>
      <c r="J19719" t="s">
        <v>126</v>
      </c>
      <c r="K19719">
        <v>376.5</v>
      </c>
      <c r="L19719">
        <v>76.5</v>
      </c>
      <c r="M19719">
        <v>17521</v>
      </c>
      <c r="N19719" t="s">
        <v>136</v>
      </c>
      <c r="O19719">
        <v>250407</v>
      </c>
      <c r="P19719">
        <v>300</v>
      </c>
    </row>
    <row r="19720" spans="1:16" x14ac:dyDescent="0.25">
      <c r="A19720" t="s">
        <v>3296</v>
      </c>
      <c r="B19720" t="s">
        <v>2931</v>
      </c>
      <c r="C19720">
        <v>748</v>
      </c>
      <c r="D19720" t="str">
        <f>"20130728    "</f>
        <v xml:space="preserve">20130728    </v>
      </c>
      <c r="E19720" t="s">
        <v>309</v>
      </c>
      <c r="F19720" t="s">
        <v>310</v>
      </c>
      <c r="G19720">
        <v>8.9</v>
      </c>
      <c r="H19720">
        <v>250124</v>
      </c>
      <c r="I19720">
        <v>4364</v>
      </c>
      <c r="J19720" t="s">
        <v>470</v>
      </c>
      <c r="K19720">
        <v>127.57</v>
      </c>
      <c r="L19720">
        <v>1.81</v>
      </c>
      <c r="M19720">
        <v>17711</v>
      </c>
      <c r="N19720" t="s">
        <v>155</v>
      </c>
      <c r="O19720">
        <v>250128</v>
      </c>
      <c r="P19720">
        <v>7.09</v>
      </c>
    </row>
    <row r="19721" spans="1:16" x14ac:dyDescent="0.25">
      <c r="A19721" t="s">
        <v>3296</v>
      </c>
      <c r="B19721" t="s">
        <v>2931</v>
      </c>
      <c r="C19721">
        <v>187</v>
      </c>
      <c r="D19721" t="str">
        <f>"105265725   "</f>
        <v xml:space="preserve">105265725   </v>
      </c>
      <c r="E19721" t="s">
        <v>309</v>
      </c>
      <c r="F19721" t="s">
        <v>310</v>
      </c>
      <c r="G19721">
        <v>150.6</v>
      </c>
      <c r="H19721">
        <v>250113</v>
      </c>
      <c r="I19721">
        <v>4369</v>
      </c>
      <c r="J19721" t="s">
        <v>188</v>
      </c>
      <c r="K19721">
        <v>150.6</v>
      </c>
      <c r="L19721">
        <v>30.6</v>
      </c>
      <c r="M19721">
        <v>18972</v>
      </c>
      <c r="N19721" t="s">
        <v>39</v>
      </c>
      <c r="O19721">
        <v>250115</v>
      </c>
      <c r="P19721">
        <v>120</v>
      </c>
    </row>
    <row r="19722" spans="1:16" x14ac:dyDescent="0.25">
      <c r="A19722" t="s">
        <v>3296</v>
      </c>
      <c r="B19722" t="s">
        <v>2931</v>
      </c>
      <c r="C19722">
        <v>196</v>
      </c>
      <c r="D19722" t="str">
        <f>"12502022111 "</f>
        <v xml:space="preserve">12502022111 </v>
      </c>
      <c r="E19722" t="s">
        <v>309</v>
      </c>
      <c r="F19722" t="s">
        <v>310</v>
      </c>
      <c r="G19722">
        <v>3.39</v>
      </c>
      <c r="H19722">
        <v>250101</v>
      </c>
      <c r="I19722">
        <v>4369</v>
      </c>
      <c r="J19722" t="s">
        <v>188</v>
      </c>
      <c r="K19722">
        <v>6.78</v>
      </c>
      <c r="L19722">
        <v>0.69</v>
      </c>
      <c r="M19722">
        <v>13901</v>
      </c>
      <c r="N19722" t="s">
        <v>116</v>
      </c>
      <c r="O19722">
        <v>250115</v>
      </c>
      <c r="P19722">
        <v>2.7</v>
      </c>
    </row>
    <row r="19723" spans="1:16" x14ac:dyDescent="0.25">
      <c r="A19723" t="s">
        <v>3296</v>
      </c>
      <c r="B19723" t="s">
        <v>2931</v>
      </c>
      <c r="C19723">
        <v>196</v>
      </c>
      <c r="D19723" t="str">
        <f>"12502022111 "</f>
        <v xml:space="preserve">12502022111 </v>
      </c>
      <c r="E19723" t="s">
        <v>309</v>
      </c>
      <c r="F19723" t="s">
        <v>310</v>
      </c>
      <c r="G19723">
        <v>3.39</v>
      </c>
      <c r="H19723">
        <v>250101</v>
      </c>
      <c r="I19723">
        <v>4369</v>
      </c>
      <c r="J19723" t="s">
        <v>188</v>
      </c>
      <c r="K19723">
        <v>6.78</v>
      </c>
      <c r="L19723">
        <v>0.69</v>
      </c>
      <c r="M19723">
        <v>18742</v>
      </c>
      <c r="N19723" t="s">
        <v>323</v>
      </c>
      <c r="O19723">
        <v>250115</v>
      </c>
      <c r="P19723">
        <v>2.7</v>
      </c>
    </row>
    <row r="19724" spans="1:16" x14ac:dyDescent="0.25">
      <c r="A19724" t="s">
        <v>3296</v>
      </c>
      <c r="B19724" t="s">
        <v>2931</v>
      </c>
      <c r="C19724">
        <v>643</v>
      </c>
      <c r="D19724" t="str">
        <f t="shared" ref="D19724:D19733" si="322">"12502022109 "</f>
        <v xml:space="preserve">12502022109 </v>
      </c>
      <c r="E19724" t="s">
        <v>309</v>
      </c>
      <c r="F19724" t="s">
        <v>310</v>
      </c>
      <c r="G19724">
        <v>3.38</v>
      </c>
      <c r="H19724">
        <v>250101</v>
      </c>
      <c r="I19724">
        <v>4369</v>
      </c>
      <c r="J19724" t="s">
        <v>188</v>
      </c>
      <c r="K19724">
        <v>61.06</v>
      </c>
      <c r="L19724">
        <v>0.69</v>
      </c>
      <c r="M19724">
        <v>11301</v>
      </c>
      <c r="N19724" t="s">
        <v>92</v>
      </c>
      <c r="O19724">
        <v>250127</v>
      </c>
      <c r="P19724">
        <v>2.69</v>
      </c>
    </row>
    <row r="19725" spans="1:16" x14ac:dyDescent="0.25">
      <c r="A19725" t="s">
        <v>3296</v>
      </c>
      <c r="B19725" t="s">
        <v>2931</v>
      </c>
      <c r="C19725">
        <v>643</v>
      </c>
      <c r="D19725" t="str">
        <f t="shared" si="322"/>
        <v xml:space="preserve">12502022109 </v>
      </c>
      <c r="E19725" t="s">
        <v>309</v>
      </c>
      <c r="F19725" t="s">
        <v>310</v>
      </c>
      <c r="G19725">
        <v>6.59</v>
      </c>
      <c r="H19725">
        <v>250101</v>
      </c>
      <c r="I19725">
        <v>4369</v>
      </c>
      <c r="J19725" t="s">
        <v>188</v>
      </c>
      <c r="K19725">
        <v>61.06</v>
      </c>
      <c r="L19725">
        <v>1.34</v>
      </c>
      <c r="M19725">
        <v>11301</v>
      </c>
      <c r="N19725" t="s">
        <v>92</v>
      </c>
      <c r="O19725">
        <v>250127</v>
      </c>
      <c r="P19725">
        <v>5.25</v>
      </c>
    </row>
    <row r="19726" spans="1:16" x14ac:dyDescent="0.25">
      <c r="A19726" t="s">
        <v>3296</v>
      </c>
      <c r="B19726" t="s">
        <v>2931</v>
      </c>
      <c r="C19726">
        <v>643</v>
      </c>
      <c r="D19726" t="str">
        <f t="shared" si="322"/>
        <v xml:space="preserve">12502022109 </v>
      </c>
      <c r="E19726" t="s">
        <v>309</v>
      </c>
      <c r="F19726" t="s">
        <v>310</v>
      </c>
      <c r="G19726">
        <v>3.74</v>
      </c>
      <c r="H19726">
        <v>250101</v>
      </c>
      <c r="I19726">
        <v>4369</v>
      </c>
      <c r="J19726" t="s">
        <v>188</v>
      </c>
      <c r="K19726">
        <v>61.06</v>
      </c>
      <c r="L19726">
        <v>0.76</v>
      </c>
      <c r="M19726">
        <v>11901</v>
      </c>
      <c r="N19726" t="s">
        <v>31</v>
      </c>
      <c r="O19726">
        <v>250127</v>
      </c>
      <c r="P19726">
        <v>2.98</v>
      </c>
    </row>
    <row r="19727" spans="1:16" x14ac:dyDescent="0.25">
      <c r="A19727" t="s">
        <v>3296</v>
      </c>
      <c r="B19727" t="s">
        <v>2931</v>
      </c>
      <c r="C19727">
        <v>643</v>
      </c>
      <c r="D19727" t="str">
        <f t="shared" si="322"/>
        <v xml:space="preserve">12502022109 </v>
      </c>
      <c r="E19727" t="s">
        <v>309</v>
      </c>
      <c r="F19727" t="s">
        <v>310</v>
      </c>
      <c r="G19727">
        <v>6.63</v>
      </c>
      <c r="H19727">
        <v>250101</v>
      </c>
      <c r="I19727">
        <v>4369</v>
      </c>
      <c r="J19727" t="s">
        <v>188</v>
      </c>
      <c r="K19727">
        <v>61.06</v>
      </c>
      <c r="L19727">
        <v>0</v>
      </c>
      <c r="M19727">
        <v>11901</v>
      </c>
      <c r="N19727" t="s">
        <v>31</v>
      </c>
      <c r="O19727">
        <v>250127</v>
      </c>
      <c r="P19727">
        <v>6.63</v>
      </c>
    </row>
    <row r="19728" spans="1:16" x14ac:dyDescent="0.25">
      <c r="A19728" t="s">
        <v>3296</v>
      </c>
      <c r="B19728" t="s">
        <v>2931</v>
      </c>
      <c r="C19728">
        <v>643</v>
      </c>
      <c r="D19728" t="str">
        <f t="shared" si="322"/>
        <v xml:space="preserve">12502022109 </v>
      </c>
      <c r="E19728" t="s">
        <v>309</v>
      </c>
      <c r="F19728" t="s">
        <v>310</v>
      </c>
      <c r="G19728">
        <v>7.32</v>
      </c>
      <c r="H19728">
        <v>250101</v>
      </c>
      <c r="I19728">
        <v>4369</v>
      </c>
      <c r="J19728" t="s">
        <v>188</v>
      </c>
      <c r="K19728">
        <v>61.06</v>
      </c>
      <c r="L19728">
        <v>1.49</v>
      </c>
      <c r="M19728">
        <v>11901</v>
      </c>
      <c r="N19728" t="s">
        <v>31</v>
      </c>
      <c r="O19728">
        <v>250127</v>
      </c>
      <c r="P19728">
        <v>5.83</v>
      </c>
    </row>
    <row r="19729" spans="1:16" x14ac:dyDescent="0.25">
      <c r="A19729" t="s">
        <v>3296</v>
      </c>
      <c r="B19729" t="s">
        <v>2931</v>
      </c>
      <c r="C19729">
        <v>643</v>
      </c>
      <c r="D19729" t="str">
        <f t="shared" si="322"/>
        <v xml:space="preserve">12502022109 </v>
      </c>
      <c r="E19729" t="s">
        <v>309</v>
      </c>
      <c r="F19729" t="s">
        <v>310</v>
      </c>
      <c r="G19729">
        <v>12.41</v>
      </c>
      <c r="H19729">
        <v>250101</v>
      </c>
      <c r="I19729">
        <v>4369</v>
      </c>
      <c r="J19729" t="s">
        <v>188</v>
      </c>
      <c r="K19729">
        <v>61.06</v>
      </c>
      <c r="L19729">
        <v>2.52</v>
      </c>
      <c r="M19729">
        <v>11901</v>
      </c>
      <c r="N19729" t="s">
        <v>31</v>
      </c>
      <c r="O19729">
        <v>250127</v>
      </c>
      <c r="P19729">
        <v>9.89</v>
      </c>
    </row>
    <row r="19730" spans="1:16" x14ac:dyDescent="0.25">
      <c r="A19730" t="s">
        <v>3296</v>
      </c>
      <c r="B19730" t="s">
        <v>2931</v>
      </c>
      <c r="C19730">
        <v>643</v>
      </c>
      <c r="D19730" t="str">
        <f t="shared" si="322"/>
        <v xml:space="preserve">12502022109 </v>
      </c>
      <c r="E19730" t="s">
        <v>309</v>
      </c>
      <c r="F19730" t="s">
        <v>310</v>
      </c>
      <c r="G19730">
        <v>3.39</v>
      </c>
      <c r="H19730">
        <v>250101</v>
      </c>
      <c r="I19730">
        <v>4369</v>
      </c>
      <c r="J19730" t="s">
        <v>188</v>
      </c>
      <c r="K19730">
        <v>61.06</v>
      </c>
      <c r="L19730">
        <v>0.69</v>
      </c>
      <c r="M19730">
        <v>11903</v>
      </c>
      <c r="N19730" t="s">
        <v>32</v>
      </c>
      <c r="O19730">
        <v>250127</v>
      </c>
      <c r="P19730">
        <v>2.7</v>
      </c>
    </row>
    <row r="19731" spans="1:16" x14ac:dyDescent="0.25">
      <c r="A19731" t="s">
        <v>3296</v>
      </c>
      <c r="B19731" t="s">
        <v>2931</v>
      </c>
      <c r="C19731">
        <v>643</v>
      </c>
      <c r="D19731" t="str">
        <f t="shared" si="322"/>
        <v xml:space="preserve">12502022109 </v>
      </c>
      <c r="E19731" t="s">
        <v>309</v>
      </c>
      <c r="F19731" t="s">
        <v>310</v>
      </c>
      <c r="G19731">
        <v>3.39</v>
      </c>
      <c r="H19731">
        <v>250101</v>
      </c>
      <c r="I19731">
        <v>4369</v>
      </c>
      <c r="J19731" t="s">
        <v>188</v>
      </c>
      <c r="K19731">
        <v>61.06</v>
      </c>
      <c r="L19731">
        <v>0.69</v>
      </c>
      <c r="M19731">
        <v>11903</v>
      </c>
      <c r="N19731" t="s">
        <v>32</v>
      </c>
      <c r="O19731">
        <v>250127</v>
      </c>
      <c r="P19731">
        <v>2.7</v>
      </c>
    </row>
    <row r="19732" spans="1:16" x14ac:dyDescent="0.25">
      <c r="A19732" t="s">
        <v>3296</v>
      </c>
      <c r="B19732" t="s">
        <v>2931</v>
      </c>
      <c r="C19732">
        <v>643</v>
      </c>
      <c r="D19732" t="str">
        <f t="shared" si="322"/>
        <v xml:space="preserve">12502022109 </v>
      </c>
      <c r="E19732" t="s">
        <v>309</v>
      </c>
      <c r="F19732" t="s">
        <v>310</v>
      </c>
      <c r="G19732">
        <v>10.17</v>
      </c>
      <c r="H19732">
        <v>250101</v>
      </c>
      <c r="I19732">
        <v>4369</v>
      </c>
      <c r="J19732" t="s">
        <v>188</v>
      </c>
      <c r="K19732">
        <v>61.06</v>
      </c>
      <c r="L19732">
        <v>2.0699999999999998</v>
      </c>
      <c r="M19732">
        <v>11903</v>
      </c>
      <c r="N19732" t="s">
        <v>32</v>
      </c>
      <c r="O19732">
        <v>250127</v>
      </c>
      <c r="P19732">
        <v>8.1</v>
      </c>
    </row>
    <row r="19733" spans="1:16" x14ac:dyDescent="0.25">
      <c r="A19733" t="s">
        <v>3296</v>
      </c>
      <c r="B19733" t="s">
        <v>2931</v>
      </c>
      <c r="C19733">
        <v>643</v>
      </c>
      <c r="D19733" t="str">
        <f t="shared" si="322"/>
        <v xml:space="preserve">12502022109 </v>
      </c>
      <c r="E19733" t="s">
        <v>309</v>
      </c>
      <c r="F19733" t="s">
        <v>310</v>
      </c>
      <c r="G19733">
        <v>4.04</v>
      </c>
      <c r="H19733">
        <v>250101</v>
      </c>
      <c r="I19733">
        <v>4369</v>
      </c>
      <c r="J19733" t="s">
        <v>188</v>
      </c>
      <c r="K19733">
        <v>61.06</v>
      </c>
      <c r="L19733">
        <v>0.82</v>
      </c>
      <c r="M19733">
        <v>11905</v>
      </c>
      <c r="N19733" t="s">
        <v>643</v>
      </c>
      <c r="O19733">
        <v>250127</v>
      </c>
      <c r="P19733">
        <v>3.22</v>
      </c>
    </row>
    <row r="19734" spans="1:16" x14ac:dyDescent="0.25">
      <c r="A19734" t="s">
        <v>3296</v>
      </c>
      <c r="B19734" t="s">
        <v>2931</v>
      </c>
      <c r="C19734">
        <v>1375</v>
      </c>
      <c r="D19734" t="str">
        <f>"12506021932 "</f>
        <v xml:space="preserve">12506021932 </v>
      </c>
      <c r="E19734" t="s">
        <v>309</v>
      </c>
      <c r="F19734" t="s">
        <v>310</v>
      </c>
      <c r="G19734">
        <v>6.78</v>
      </c>
      <c r="H19734">
        <v>250131</v>
      </c>
      <c r="I19734">
        <v>4369</v>
      </c>
      <c r="J19734" t="s">
        <v>188</v>
      </c>
      <c r="K19734">
        <v>6.78</v>
      </c>
      <c r="L19734">
        <v>1.38</v>
      </c>
      <c r="M19734">
        <v>46556</v>
      </c>
      <c r="N19734" t="s">
        <v>458</v>
      </c>
      <c r="O19734">
        <v>250207</v>
      </c>
      <c r="P19734">
        <v>5.4</v>
      </c>
    </row>
    <row r="19735" spans="1:16" x14ac:dyDescent="0.25">
      <c r="A19735" t="s">
        <v>3296</v>
      </c>
      <c r="B19735" t="s">
        <v>2931</v>
      </c>
      <c r="C19735">
        <v>1376</v>
      </c>
      <c r="D19735" t="str">
        <f>"12506021950 "</f>
        <v xml:space="preserve">12506021950 </v>
      </c>
      <c r="E19735" t="s">
        <v>309</v>
      </c>
      <c r="F19735" t="s">
        <v>310</v>
      </c>
      <c r="G19735">
        <v>6.9</v>
      </c>
      <c r="H19735">
        <v>250131</v>
      </c>
      <c r="I19735">
        <v>4369</v>
      </c>
      <c r="J19735" t="s">
        <v>188</v>
      </c>
      <c r="K19735">
        <v>6.9</v>
      </c>
      <c r="L19735">
        <v>1.4</v>
      </c>
      <c r="M19735">
        <v>46557</v>
      </c>
      <c r="N19735" t="s">
        <v>104</v>
      </c>
      <c r="O19735">
        <v>250207</v>
      </c>
      <c r="P19735">
        <v>5.5</v>
      </c>
    </row>
    <row r="19736" spans="1:16" x14ac:dyDescent="0.25">
      <c r="A19736" t="s">
        <v>3296</v>
      </c>
      <c r="B19736" t="s">
        <v>2931</v>
      </c>
      <c r="C19736">
        <v>1377</v>
      </c>
      <c r="D19736" t="str">
        <f>"12506021918 "</f>
        <v xml:space="preserve">12506021918 </v>
      </c>
      <c r="E19736" t="s">
        <v>309</v>
      </c>
      <c r="F19736" t="s">
        <v>310</v>
      </c>
      <c r="G19736">
        <v>3.61</v>
      </c>
      <c r="H19736">
        <v>250131</v>
      </c>
      <c r="I19736">
        <v>4369</v>
      </c>
      <c r="J19736" t="s">
        <v>188</v>
      </c>
      <c r="K19736">
        <v>30.35</v>
      </c>
      <c r="L19736">
        <v>0.73</v>
      </c>
      <c r="M19736">
        <v>56522</v>
      </c>
      <c r="N19736" t="s">
        <v>68</v>
      </c>
      <c r="O19736">
        <v>250207</v>
      </c>
      <c r="P19736">
        <v>2.88</v>
      </c>
    </row>
    <row r="19737" spans="1:16" x14ac:dyDescent="0.25">
      <c r="A19737" t="s">
        <v>3296</v>
      </c>
      <c r="B19737" t="s">
        <v>2931</v>
      </c>
      <c r="C19737">
        <v>1377</v>
      </c>
      <c r="D19737" t="str">
        <f>"12506021918 "</f>
        <v xml:space="preserve">12506021918 </v>
      </c>
      <c r="E19737" t="s">
        <v>309</v>
      </c>
      <c r="F19737" t="s">
        <v>310</v>
      </c>
      <c r="G19737">
        <v>13.18</v>
      </c>
      <c r="H19737">
        <v>250131</v>
      </c>
      <c r="I19737">
        <v>4369</v>
      </c>
      <c r="J19737" t="s">
        <v>188</v>
      </c>
      <c r="K19737">
        <v>30.35</v>
      </c>
      <c r="L19737">
        <v>2.68</v>
      </c>
      <c r="M19737">
        <v>56524</v>
      </c>
      <c r="N19737" t="s">
        <v>69</v>
      </c>
      <c r="O19737">
        <v>250207</v>
      </c>
      <c r="P19737">
        <v>10.5</v>
      </c>
    </row>
    <row r="19738" spans="1:16" x14ac:dyDescent="0.25">
      <c r="A19738" t="s">
        <v>3296</v>
      </c>
      <c r="B19738" t="s">
        <v>2931</v>
      </c>
      <c r="C19738">
        <v>1377</v>
      </c>
      <c r="D19738" t="str">
        <f>"12506021918 "</f>
        <v xml:space="preserve">12506021918 </v>
      </c>
      <c r="E19738" t="s">
        <v>309</v>
      </c>
      <c r="F19738" t="s">
        <v>310</v>
      </c>
      <c r="G19738">
        <v>13.56</v>
      </c>
      <c r="H19738">
        <v>250131</v>
      </c>
      <c r="I19738">
        <v>4369</v>
      </c>
      <c r="J19738" t="s">
        <v>188</v>
      </c>
      <c r="K19738">
        <v>30.35</v>
      </c>
      <c r="L19738">
        <v>2.76</v>
      </c>
      <c r="M19738">
        <v>56528</v>
      </c>
      <c r="N19738" t="s">
        <v>70</v>
      </c>
      <c r="O19738">
        <v>250207</v>
      </c>
      <c r="P19738">
        <v>10.8</v>
      </c>
    </row>
    <row r="19739" spans="1:16" x14ac:dyDescent="0.25">
      <c r="A19739" t="s">
        <v>3296</v>
      </c>
      <c r="B19739" t="s">
        <v>2931</v>
      </c>
      <c r="C19739">
        <v>1378</v>
      </c>
      <c r="D19739" t="str">
        <f>"12506021926 "</f>
        <v xml:space="preserve">12506021926 </v>
      </c>
      <c r="E19739" t="s">
        <v>309</v>
      </c>
      <c r="F19739" t="s">
        <v>310</v>
      </c>
      <c r="G19739">
        <v>36.549999999999997</v>
      </c>
      <c r="H19739">
        <v>250131</v>
      </c>
      <c r="I19739">
        <v>4369</v>
      </c>
      <c r="J19739" t="s">
        <v>188</v>
      </c>
      <c r="K19739">
        <v>49.91</v>
      </c>
      <c r="L19739">
        <v>7.43</v>
      </c>
      <c r="M19739">
        <v>41126</v>
      </c>
      <c r="N19739" t="s">
        <v>94</v>
      </c>
      <c r="O19739">
        <v>250207</v>
      </c>
      <c r="P19739">
        <v>29.12</v>
      </c>
    </row>
    <row r="19740" spans="1:16" x14ac:dyDescent="0.25">
      <c r="A19740" t="s">
        <v>3296</v>
      </c>
      <c r="B19740" t="s">
        <v>2931</v>
      </c>
      <c r="C19740">
        <v>1378</v>
      </c>
      <c r="D19740" t="str">
        <f>"12506021926 "</f>
        <v xml:space="preserve">12506021926 </v>
      </c>
      <c r="E19740" t="s">
        <v>309</v>
      </c>
      <c r="F19740" t="s">
        <v>310</v>
      </c>
      <c r="G19740">
        <v>13.36</v>
      </c>
      <c r="H19740">
        <v>250131</v>
      </c>
      <c r="I19740">
        <v>4369</v>
      </c>
      <c r="J19740" t="s">
        <v>188</v>
      </c>
      <c r="K19740">
        <v>49.91</v>
      </c>
      <c r="L19740">
        <v>2.71</v>
      </c>
      <c r="M19740">
        <v>46222</v>
      </c>
      <c r="N19740" t="s">
        <v>101</v>
      </c>
      <c r="O19740">
        <v>250207</v>
      </c>
      <c r="P19740">
        <v>10.65</v>
      </c>
    </row>
    <row r="19741" spans="1:16" x14ac:dyDescent="0.25">
      <c r="A19741" t="s">
        <v>3296</v>
      </c>
      <c r="B19741" t="s">
        <v>2931</v>
      </c>
      <c r="C19741">
        <v>1379</v>
      </c>
      <c r="D19741" t="str">
        <f>"12506021925 "</f>
        <v xml:space="preserve">12506021925 </v>
      </c>
      <c r="E19741" t="s">
        <v>309</v>
      </c>
      <c r="F19741" t="s">
        <v>310</v>
      </c>
      <c r="G19741">
        <v>32.17</v>
      </c>
      <c r="H19741">
        <v>250131</v>
      </c>
      <c r="I19741">
        <v>4369</v>
      </c>
      <c r="J19741" t="s">
        <v>188</v>
      </c>
      <c r="K19741">
        <v>32.17</v>
      </c>
      <c r="L19741">
        <v>6.54</v>
      </c>
      <c r="M19741">
        <v>49501</v>
      </c>
      <c r="N19741" t="s">
        <v>110</v>
      </c>
      <c r="O19741">
        <v>250207</v>
      </c>
      <c r="P19741">
        <v>25.63</v>
      </c>
    </row>
    <row r="19742" spans="1:16" x14ac:dyDescent="0.25">
      <c r="A19742" t="s">
        <v>3296</v>
      </c>
      <c r="B19742" t="s">
        <v>2931</v>
      </c>
      <c r="C19742">
        <v>1380</v>
      </c>
      <c r="D19742" t="str">
        <f>"12506021930 "</f>
        <v xml:space="preserve">12506021930 </v>
      </c>
      <c r="E19742" t="s">
        <v>309</v>
      </c>
      <c r="F19742" t="s">
        <v>310</v>
      </c>
      <c r="G19742">
        <v>3.92</v>
      </c>
      <c r="H19742">
        <v>250131</v>
      </c>
      <c r="I19742">
        <v>4369</v>
      </c>
      <c r="J19742" t="s">
        <v>188</v>
      </c>
      <c r="K19742">
        <v>41.1</v>
      </c>
      <c r="L19742">
        <v>0.8</v>
      </c>
      <c r="M19742">
        <v>48601</v>
      </c>
      <c r="N19742" t="s">
        <v>107</v>
      </c>
      <c r="O19742">
        <v>250207</v>
      </c>
      <c r="P19742">
        <v>3.12</v>
      </c>
    </row>
    <row r="19743" spans="1:16" x14ac:dyDescent="0.25">
      <c r="A19743" t="s">
        <v>3296</v>
      </c>
      <c r="B19743" t="s">
        <v>2931</v>
      </c>
      <c r="C19743">
        <v>1380</v>
      </c>
      <c r="D19743" t="str">
        <f>"12506021930 "</f>
        <v xml:space="preserve">12506021930 </v>
      </c>
      <c r="E19743" t="s">
        <v>309</v>
      </c>
      <c r="F19743" t="s">
        <v>310</v>
      </c>
      <c r="G19743">
        <v>3.39</v>
      </c>
      <c r="H19743">
        <v>250131</v>
      </c>
      <c r="I19743">
        <v>4369</v>
      </c>
      <c r="J19743" t="s">
        <v>188</v>
      </c>
      <c r="K19743">
        <v>41.1</v>
      </c>
      <c r="L19743">
        <v>0.69</v>
      </c>
      <c r="M19743">
        <v>49111</v>
      </c>
      <c r="N19743" t="s">
        <v>108</v>
      </c>
      <c r="O19743">
        <v>250207</v>
      </c>
      <c r="P19743">
        <v>2.7</v>
      </c>
    </row>
    <row r="19744" spans="1:16" x14ac:dyDescent="0.25">
      <c r="A19744" t="s">
        <v>3296</v>
      </c>
      <c r="B19744" t="s">
        <v>2931</v>
      </c>
      <c r="C19744">
        <v>1380</v>
      </c>
      <c r="D19744" t="str">
        <f>"12506021930 "</f>
        <v xml:space="preserve">12506021930 </v>
      </c>
      <c r="E19744" t="s">
        <v>309</v>
      </c>
      <c r="F19744" t="s">
        <v>310</v>
      </c>
      <c r="G19744">
        <v>3.39</v>
      </c>
      <c r="H19744">
        <v>250131</v>
      </c>
      <c r="I19744">
        <v>4369</v>
      </c>
      <c r="J19744" t="s">
        <v>188</v>
      </c>
      <c r="K19744">
        <v>41.1</v>
      </c>
      <c r="L19744">
        <v>0.69</v>
      </c>
      <c r="M19744">
        <v>49501</v>
      </c>
      <c r="N19744" t="s">
        <v>110</v>
      </c>
      <c r="O19744">
        <v>250207</v>
      </c>
      <c r="P19744">
        <v>2.7</v>
      </c>
    </row>
    <row r="19745" spans="1:16" x14ac:dyDescent="0.25">
      <c r="A19745" t="s">
        <v>3296</v>
      </c>
      <c r="B19745" t="s">
        <v>2931</v>
      </c>
      <c r="C19745">
        <v>1380</v>
      </c>
      <c r="D19745" t="str">
        <f>"12506021930 "</f>
        <v xml:space="preserve">12506021930 </v>
      </c>
      <c r="E19745" t="s">
        <v>309</v>
      </c>
      <c r="F19745" t="s">
        <v>310</v>
      </c>
      <c r="G19745">
        <v>9.98</v>
      </c>
      <c r="H19745">
        <v>250131</v>
      </c>
      <c r="I19745">
        <v>4369</v>
      </c>
      <c r="J19745" t="s">
        <v>188</v>
      </c>
      <c r="K19745">
        <v>41.1</v>
      </c>
      <c r="L19745">
        <v>2.0299999999999998</v>
      </c>
      <c r="M19745">
        <v>49704</v>
      </c>
      <c r="N19745" t="s">
        <v>113</v>
      </c>
      <c r="O19745">
        <v>250207</v>
      </c>
      <c r="P19745">
        <v>7.95</v>
      </c>
    </row>
    <row r="19746" spans="1:16" x14ac:dyDescent="0.25">
      <c r="A19746" t="s">
        <v>3296</v>
      </c>
      <c r="B19746" t="s">
        <v>2931</v>
      </c>
      <c r="C19746">
        <v>1380</v>
      </c>
      <c r="D19746" t="str">
        <f>"12506021930 "</f>
        <v xml:space="preserve">12506021930 </v>
      </c>
      <c r="E19746" t="s">
        <v>309</v>
      </c>
      <c r="F19746" t="s">
        <v>310</v>
      </c>
      <c r="G19746">
        <v>20.420000000000002</v>
      </c>
      <c r="H19746">
        <v>250131</v>
      </c>
      <c r="I19746">
        <v>4369</v>
      </c>
      <c r="J19746" t="s">
        <v>188</v>
      </c>
      <c r="K19746">
        <v>41.1</v>
      </c>
      <c r="L19746">
        <v>4.1500000000000004</v>
      </c>
      <c r="M19746">
        <v>49705</v>
      </c>
      <c r="N19746" t="s">
        <v>114</v>
      </c>
      <c r="O19746">
        <v>250207</v>
      </c>
      <c r="P19746">
        <v>16.27</v>
      </c>
    </row>
    <row r="19747" spans="1:16" x14ac:dyDescent="0.25">
      <c r="A19747" t="s">
        <v>3296</v>
      </c>
      <c r="B19747" t="s">
        <v>2931</v>
      </c>
      <c r="C19747">
        <v>1381</v>
      </c>
      <c r="D19747" t="str">
        <f>"12506021919 "</f>
        <v xml:space="preserve">12506021919 </v>
      </c>
      <c r="E19747" t="s">
        <v>309</v>
      </c>
      <c r="F19747" t="s">
        <v>310</v>
      </c>
      <c r="G19747">
        <v>3.39</v>
      </c>
      <c r="H19747">
        <v>250131</v>
      </c>
      <c r="I19747">
        <v>4369</v>
      </c>
      <c r="J19747" t="s">
        <v>188</v>
      </c>
      <c r="K19747">
        <v>23.29</v>
      </c>
      <c r="L19747">
        <v>0.69</v>
      </c>
      <c r="M19747">
        <v>59702</v>
      </c>
      <c r="N19747" t="s">
        <v>45</v>
      </c>
      <c r="O19747">
        <v>250207</v>
      </c>
      <c r="P19747">
        <v>2.7</v>
      </c>
    </row>
    <row r="19748" spans="1:16" x14ac:dyDescent="0.25">
      <c r="A19748" t="s">
        <v>3296</v>
      </c>
      <c r="B19748" t="s">
        <v>2931</v>
      </c>
      <c r="C19748">
        <v>1381</v>
      </c>
      <c r="D19748" t="str">
        <f>"12506021919 "</f>
        <v xml:space="preserve">12506021919 </v>
      </c>
      <c r="E19748" t="s">
        <v>309</v>
      </c>
      <c r="F19748" t="s">
        <v>310</v>
      </c>
      <c r="G19748">
        <v>9.7899999999999991</v>
      </c>
      <c r="H19748">
        <v>250131</v>
      </c>
      <c r="I19748">
        <v>4369</v>
      </c>
      <c r="J19748" t="s">
        <v>188</v>
      </c>
      <c r="K19748">
        <v>23.29</v>
      </c>
      <c r="L19748">
        <v>1.99</v>
      </c>
      <c r="M19748">
        <v>59702</v>
      </c>
      <c r="N19748" t="s">
        <v>45</v>
      </c>
      <c r="O19748">
        <v>250207</v>
      </c>
      <c r="P19748">
        <v>7.8</v>
      </c>
    </row>
    <row r="19749" spans="1:16" x14ac:dyDescent="0.25">
      <c r="A19749" t="s">
        <v>3296</v>
      </c>
      <c r="B19749" t="s">
        <v>2931</v>
      </c>
      <c r="C19749">
        <v>1381</v>
      </c>
      <c r="D19749" t="str">
        <f>"12506021919 "</f>
        <v xml:space="preserve">12506021919 </v>
      </c>
      <c r="E19749" t="s">
        <v>309</v>
      </c>
      <c r="F19749" t="s">
        <v>310</v>
      </c>
      <c r="G19749">
        <v>10.11</v>
      </c>
      <c r="H19749">
        <v>250131</v>
      </c>
      <c r="I19749">
        <v>4369</v>
      </c>
      <c r="J19749" t="s">
        <v>188</v>
      </c>
      <c r="K19749">
        <v>23.29</v>
      </c>
      <c r="L19749">
        <v>2.0499999999999998</v>
      </c>
      <c r="M19749">
        <v>59704</v>
      </c>
      <c r="N19749" t="s">
        <v>46</v>
      </c>
      <c r="O19749">
        <v>250207</v>
      </c>
      <c r="P19749">
        <v>8.06</v>
      </c>
    </row>
    <row r="19750" spans="1:16" x14ac:dyDescent="0.25">
      <c r="A19750" t="s">
        <v>3296</v>
      </c>
      <c r="B19750" t="s">
        <v>2931</v>
      </c>
      <c r="C19750">
        <v>1382</v>
      </c>
      <c r="D19750" t="str">
        <f>"12506021948 "</f>
        <v xml:space="preserve">12506021948 </v>
      </c>
      <c r="E19750" t="s">
        <v>309</v>
      </c>
      <c r="F19750" t="s">
        <v>310</v>
      </c>
      <c r="G19750">
        <v>2.5099999999999998</v>
      </c>
      <c r="H19750">
        <v>250131</v>
      </c>
      <c r="I19750">
        <v>4369</v>
      </c>
      <c r="J19750" t="s">
        <v>188</v>
      </c>
      <c r="K19750">
        <v>25.18</v>
      </c>
      <c r="L19750">
        <v>0.51</v>
      </c>
      <c r="M19750">
        <v>53222</v>
      </c>
      <c r="N19750" t="s">
        <v>41</v>
      </c>
      <c r="O19750">
        <v>250207</v>
      </c>
      <c r="P19750">
        <v>2</v>
      </c>
    </row>
    <row r="19751" spans="1:16" x14ac:dyDescent="0.25">
      <c r="A19751" t="s">
        <v>3296</v>
      </c>
      <c r="B19751" t="s">
        <v>2931</v>
      </c>
      <c r="C19751">
        <v>1382</v>
      </c>
      <c r="D19751" t="str">
        <f>"12506021948 "</f>
        <v xml:space="preserve">12506021948 </v>
      </c>
      <c r="E19751" t="s">
        <v>309</v>
      </c>
      <c r="F19751" t="s">
        <v>310</v>
      </c>
      <c r="G19751">
        <v>14.7</v>
      </c>
      <c r="H19751">
        <v>250131</v>
      </c>
      <c r="I19751">
        <v>4369</v>
      </c>
      <c r="J19751" t="s">
        <v>188</v>
      </c>
      <c r="K19751">
        <v>25.18</v>
      </c>
      <c r="L19751">
        <v>2.99</v>
      </c>
      <c r="M19751">
        <v>53222</v>
      </c>
      <c r="N19751" t="s">
        <v>41</v>
      </c>
      <c r="O19751">
        <v>250207</v>
      </c>
      <c r="P19751">
        <v>11.71</v>
      </c>
    </row>
    <row r="19752" spans="1:16" x14ac:dyDescent="0.25">
      <c r="A19752" t="s">
        <v>3296</v>
      </c>
      <c r="B19752" t="s">
        <v>2931</v>
      </c>
      <c r="C19752">
        <v>1382</v>
      </c>
      <c r="D19752" t="str">
        <f>"12506021948 "</f>
        <v xml:space="preserve">12506021948 </v>
      </c>
      <c r="E19752" t="s">
        <v>309</v>
      </c>
      <c r="F19752" t="s">
        <v>310</v>
      </c>
      <c r="G19752">
        <v>3.39</v>
      </c>
      <c r="H19752">
        <v>250131</v>
      </c>
      <c r="I19752">
        <v>4369</v>
      </c>
      <c r="J19752" t="s">
        <v>188</v>
      </c>
      <c r="K19752">
        <v>25.18</v>
      </c>
      <c r="L19752">
        <v>0.69</v>
      </c>
      <c r="M19752">
        <v>54622</v>
      </c>
      <c r="N19752" t="s">
        <v>42</v>
      </c>
      <c r="O19752">
        <v>250207</v>
      </c>
      <c r="P19752">
        <v>2.7</v>
      </c>
    </row>
    <row r="19753" spans="1:16" x14ac:dyDescent="0.25">
      <c r="A19753" t="s">
        <v>3296</v>
      </c>
      <c r="B19753" t="s">
        <v>2931</v>
      </c>
      <c r="C19753">
        <v>1382</v>
      </c>
      <c r="D19753" t="str">
        <f>"12506021948 "</f>
        <v xml:space="preserve">12506021948 </v>
      </c>
      <c r="E19753" t="s">
        <v>309</v>
      </c>
      <c r="F19753" t="s">
        <v>310</v>
      </c>
      <c r="G19753">
        <v>4.58</v>
      </c>
      <c r="H19753">
        <v>250131</v>
      </c>
      <c r="I19753">
        <v>4369</v>
      </c>
      <c r="J19753" t="s">
        <v>188</v>
      </c>
      <c r="K19753">
        <v>25.18</v>
      </c>
      <c r="L19753">
        <v>0.93</v>
      </c>
      <c r="M19753">
        <v>55222</v>
      </c>
      <c r="N19753" t="s">
        <v>43</v>
      </c>
      <c r="O19753">
        <v>250207</v>
      </c>
      <c r="P19753">
        <v>3.65</v>
      </c>
    </row>
    <row r="19754" spans="1:16" x14ac:dyDescent="0.25">
      <c r="A19754" t="s">
        <v>3296</v>
      </c>
      <c r="B19754" t="s">
        <v>2931</v>
      </c>
      <c r="C19754">
        <v>1383</v>
      </c>
      <c r="D19754" t="str">
        <f>"12506021946 "</f>
        <v xml:space="preserve">12506021946 </v>
      </c>
      <c r="E19754" t="s">
        <v>309</v>
      </c>
      <c r="F19754" t="s">
        <v>310</v>
      </c>
      <c r="G19754">
        <v>3.36</v>
      </c>
      <c r="H19754">
        <v>250131</v>
      </c>
      <c r="I19754">
        <v>4369</v>
      </c>
      <c r="J19754" t="s">
        <v>188</v>
      </c>
      <c r="K19754">
        <v>10.17</v>
      </c>
      <c r="L19754">
        <v>0.68</v>
      </c>
      <c r="M19754">
        <v>11901</v>
      </c>
      <c r="N19754" t="s">
        <v>31</v>
      </c>
      <c r="O19754">
        <v>250207</v>
      </c>
      <c r="P19754">
        <v>2.68</v>
      </c>
    </row>
    <row r="19755" spans="1:16" x14ac:dyDescent="0.25">
      <c r="A19755" t="s">
        <v>3296</v>
      </c>
      <c r="B19755" t="s">
        <v>2931</v>
      </c>
      <c r="C19755">
        <v>1383</v>
      </c>
      <c r="D19755" t="str">
        <f>"12506021946 "</f>
        <v xml:space="preserve">12506021946 </v>
      </c>
      <c r="E19755" t="s">
        <v>309</v>
      </c>
      <c r="F19755" t="s">
        <v>310</v>
      </c>
      <c r="G19755">
        <v>3.41</v>
      </c>
      <c r="H19755">
        <v>250131</v>
      </c>
      <c r="I19755">
        <v>4369</v>
      </c>
      <c r="J19755" t="s">
        <v>188</v>
      </c>
      <c r="K19755">
        <v>10.17</v>
      </c>
      <c r="L19755">
        <v>0.69</v>
      </c>
      <c r="M19755">
        <v>11903</v>
      </c>
      <c r="N19755" t="s">
        <v>32</v>
      </c>
      <c r="O19755">
        <v>250207</v>
      </c>
      <c r="P19755">
        <v>2.72</v>
      </c>
    </row>
    <row r="19756" spans="1:16" x14ac:dyDescent="0.25">
      <c r="A19756" t="s">
        <v>3296</v>
      </c>
      <c r="B19756" t="s">
        <v>2931</v>
      </c>
      <c r="C19756">
        <v>1383</v>
      </c>
      <c r="D19756" t="str">
        <f>"12506021946 "</f>
        <v xml:space="preserve">12506021946 </v>
      </c>
      <c r="E19756" t="s">
        <v>309</v>
      </c>
      <c r="F19756" t="s">
        <v>310</v>
      </c>
      <c r="G19756">
        <v>3.4</v>
      </c>
      <c r="H19756">
        <v>250131</v>
      </c>
      <c r="I19756">
        <v>4369</v>
      </c>
      <c r="J19756" t="s">
        <v>188</v>
      </c>
      <c r="K19756">
        <v>10.17</v>
      </c>
      <c r="L19756">
        <v>0.69</v>
      </c>
      <c r="M19756">
        <v>11903</v>
      </c>
      <c r="N19756" t="s">
        <v>32</v>
      </c>
      <c r="O19756">
        <v>250207</v>
      </c>
      <c r="P19756">
        <v>2.71</v>
      </c>
    </row>
    <row r="19757" spans="1:16" x14ac:dyDescent="0.25">
      <c r="A19757" t="s">
        <v>3296</v>
      </c>
      <c r="B19757" t="s">
        <v>2931</v>
      </c>
      <c r="C19757">
        <v>1384</v>
      </c>
      <c r="D19757" t="str">
        <f t="shared" ref="D19757:D19766" si="323">"12506021922 "</f>
        <v xml:space="preserve">12506021922 </v>
      </c>
      <c r="E19757" t="s">
        <v>309</v>
      </c>
      <c r="F19757" t="s">
        <v>310</v>
      </c>
      <c r="G19757">
        <v>3.39</v>
      </c>
      <c r="H19757">
        <v>250131</v>
      </c>
      <c r="I19757">
        <v>4369</v>
      </c>
      <c r="J19757" t="s">
        <v>188</v>
      </c>
      <c r="K19757">
        <v>65.2</v>
      </c>
      <c r="L19757">
        <v>0.69</v>
      </c>
      <c r="M19757">
        <v>11301</v>
      </c>
      <c r="N19757" t="s">
        <v>92</v>
      </c>
      <c r="O19757">
        <v>250207</v>
      </c>
      <c r="P19757">
        <v>2.7</v>
      </c>
    </row>
    <row r="19758" spans="1:16" x14ac:dyDescent="0.25">
      <c r="A19758" t="s">
        <v>3296</v>
      </c>
      <c r="B19758" t="s">
        <v>2931</v>
      </c>
      <c r="C19758">
        <v>1384</v>
      </c>
      <c r="D19758" t="str">
        <f t="shared" si="323"/>
        <v xml:space="preserve">12506021922 </v>
      </c>
      <c r="E19758" t="s">
        <v>309</v>
      </c>
      <c r="F19758" t="s">
        <v>310</v>
      </c>
      <c r="G19758">
        <v>6.59</v>
      </c>
      <c r="H19758">
        <v>250131</v>
      </c>
      <c r="I19758">
        <v>4369</v>
      </c>
      <c r="J19758" t="s">
        <v>188</v>
      </c>
      <c r="K19758">
        <v>65.2</v>
      </c>
      <c r="L19758">
        <v>1.34</v>
      </c>
      <c r="M19758">
        <v>11301</v>
      </c>
      <c r="N19758" t="s">
        <v>92</v>
      </c>
      <c r="O19758">
        <v>250207</v>
      </c>
      <c r="P19758">
        <v>5.25</v>
      </c>
    </row>
    <row r="19759" spans="1:16" x14ac:dyDescent="0.25">
      <c r="A19759" t="s">
        <v>3296</v>
      </c>
      <c r="B19759" t="s">
        <v>2931</v>
      </c>
      <c r="C19759">
        <v>1384</v>
      </c>
      <c r="D19759" t="str">
        <f t="shared" si="323"/>
        <v xml:space="preserve">12506021922 </v>
      </c>
      <c r="E19759" t="s">
        <v>309</v>
      </c>
      <c r="F19759" t="s">
        <v>310</v>
      </c>
      <c r="G19759">
        <v>8.48</v>
      </c>
      <c r="H19759">
        <v>250131</v>
      </c>
      <c r="I19759">
        <v>4369</v>
      </c>
      <c r="J19759" t="s">
        <v>188</v>
      </c>
      <c r="K19759">
        <v>65.2</v>
      </c>
      <c r="L19759">
        <v>1.72</v>
      </c>
      <c r="M19759">
        <v>11900</v>
      </c>
      <c r="N19759" t="s">
        <v>30</v>
      </c>
      <c r="O19759">
        <v>250207</v>
      </c>
      <c r="P19759">
        <v>6.76</v>
      </c>
    </row>
    <row r="19760" spans="1:16" x14ac:dyDescent="0.25">
      <c r="A19760" t="s">
        <v>3296</v>
      </c>
      <c r="B19760" t="s">
        <v>2931</v>
      </c>
      <c r="C19760">
        <v>1384</v>
      </c>
      <c r="D19760" t="str">
        <f t="shared" si="323"/>
        <v xml:space="preserve">12506021922 </v>
      </c>
      <c r="E19760" t="s">
        <v>309</v>
      </c>
      <c r="F19760" t="s">
        <v>310</v>
      </c>
      <c r="G19760">
        <v>6.59</v>
      </c>
      <c r="H19760">
        <v>250131</v>
      </c>
      <c r="I19760">
        <v>4369</v>
      </c>
      <c r="J19760" t="s">
        <v>188</v>
      </c>
      <c r="K19760">
        <v>65.2</v>
      </c>
      <c r="L19760">
        <v>0</v>
      </c>
      <c r="M19760">
        <v>11901</v>
      </c>
      <c r="N19760" t="s">
        <v>31</v>
      </c>
      <c r="O19760">
        <v>250207</v>
      </c>
      <c r="P19760">
        <v>6.59</v>
      </c>
    </row>
    <row r="19761" spans="1:16" x14ac:dyDescent="0.25">
      <c r="A19761" t="s">
        <v>3296</v>
      </c>
      <c r="B19761" t="s">
        <v>2931</v>
      </c>
      <c r="C19761">
        <v>1384</v>
      </c>
      <c r="D19761" t="str">
        <f t="shared" si="323"/>
        <v xml:space="preserve">12506021922 </v>
      </c>
      <c r="E19761" t="s">
        <v>309</v>
      </c>
      <c r="F19761" t="s">
        <v>310</v>
      </c>
      <c r="G19761">
        <v>16.04</v>
      </c>
      <c r="H19761">
        <v>250131</v>
      </c>
      <c r="I19761">
        <v>4369</v>
      </c>
      <c r="J19761" t="s">
        <v>188</v>
      </c>
      <c r="K19761">
        <v>65.2</v>
      </c>
      <c r="L19761">
        <v>3.26</v>
      </c>
      <c r="M19761">
        <v>11901</v>
      </c>
      <c r="N19761" t="s">
        <v>31</v>
      </c>
      <c r="O19761">
        <v>250207</v>
      </c>
      <c r="P19761">
        <v>12.78</v>
      </c>
    </row>
    <row r="19762" spans="1:16" x14ac:dyDescent="0.25">
      <c r="A19762" t="s">
        <v>3296</v>
      </c>
      <c r="B19762" t="s">
        <v>2931</v>
      </c>
      <c r="C19762">
        <v>1384</v>
      </c>
      <c r="D19762" t="str">
        <f t="shared" si="323"/>
        <v xml:space="preserve">12506021922 </v>
      </c>
      <c r="E19762" t="s">
        <v>309</v>
      </c>
      <c r="F19762" t="s">
        <v>310</v>
      </c>
      <c r="G19762">
        <v>3.39</v>
      </c>
      <c r="H19762">
        <v>250131</v>
      </c>
      <c r="I19762">
        <v>4369</v>
      </c>
      <c r="J19762" t="s">
        <v>188</v>
      </c>
      <c r="K19762">
        <v>65.2</v>
      </c>
      <c r="L19762">
        <v>0.69</v>
      </c>
      <c r="M19762">
        <v>11903</v>
      </c>
      <c r="N19762" t="s">
        <v>32</v>
      </c>
      <c r="O19762">
        <v>250207</v>
      </c>
      <c r="P19762">
        <v>2.7</v>
      </c>
    </row>
    <row r="19763" spans="1:16" x14ac:dyDescent="0.25">
      <c r="A19763" t="s">
        <v>3296</v>
      </c>
      <c r="B19763" t="s">
        <v>2931</v>
      </c>
      <c r="C19763">
        <v>1384</v>
      </c>
      <c r="D19763" t="str">
        <f t="shared" si="323"/>
        <v xml:space="preserve">12506021922 </v>
      </c>
      <c r="E19763" t="s">
        <v>309</v>
      </c>
      <c r="F19763" t="s">
        <v>310</v>
      </c>
      <c r="G19763">
        <v>3.39</v>
      </c>
      <c r="H19763">
        <v>250131</v>
      </c>
      <c r="I19763">
        <v>4369</v>
      </c>
      <c r="J19763" t="s">
        <v>188</v>
      </c>
      <c r="K19763">
        <v>65.2</v>
      </c>
      <c r="L19763">
        <v>0.69</v>
      </c>
      <c r="M19763">
        <v>11903</v>
      </c>
      <c r="N19763" t="s">
        <v>32</v>
      </c>
      <c r="O19763">
        <v>250207</v>
      </c>
      <c r="P19763">
        <v>2.7</v>
      </c>
    </row>
    <row r="19764" spans="1:16" x14ac:dyDescent="0.25">
      <c r="A19764" t="s">
        <v>3296</v>
      </c>
      <c r="B19764" t="s">
        <v>2931</v>
      </c>
      <c r="C19764">
        <v>1384</v>
      </c>
      <c r="D19764" t="str">
        <f t="shared" si="323"/>
        <v xml:space="preserve">12506021922 </v>
      </c>
      <c r="E19764" t="s">
        <v>309</v>
      </c>
      <c r="F19764" t="s">
        <v>310</v>
      </c>
      <c r="G19764">
        <v>3.39</v>
      </c>
      <c r="H19764">
        <v>250131</v>
      </c>
      <c r="I19764">
        <v>4369</v>
      </c>
      <c r="J19764" t="s">
        <v>188</v>
      </c>
      <c r="K19764">
        <v>65.2</v>
      </c>
      <c r="L19764">
        <v>0.69</v>
      </c>
      <c r="M19764">
        <v>11903</v>
      </c>
      <c r="N19764" t="s">
        <v>32</v>
      </c>
      <c r="O19764">
        <v>250207</v>
      </c>
      <c r="P19764">
        <v>2.7</v>
      </c>
    </row>
    <row r="19765" spans="1:16" x14ac:dyDescent="0.25">
      <c r="A19765" t="s">
        <v>3296</v>
      </c>
      <c r="B19765" t="s">
        <v>2931</v>
      </c>
      <c r="C19765">
        <v>1384</v>
      </c>
      <c r="D19765" t="str">
        <f t="shared" si="323"/>
        <v xml:space="preserve">12506021922 </v>
      </c>
      <c r="E19765" t="s">
        <v>309</v>
      </c>
      <c r="F19765" t="s">
        <v>310</v>
      </c>
      <c r="G19765">
        <v>10.55</v>
      </c>
      <c r="H19765">
        <v>250131</v>
      </c>
      <c r="I19765">
        <v>4369</v>
      </c>
      <c r="J19765" t="s">
        <v>188</v>
      </c>
      <c r="K19765">
        <v>65.2</v>
      </c>
      <c r="L19765">
        <v>2.14</v>
      </c>
      <c r="M19765">
        <v>11903</v>
      </c>
      <c r="N19765" t="s">
        <v>32</v>
      </c>
      <c r="O19765">
        <v>250207</v>
      </c>
      <c r="P19765">
        <v>8.41</v>
      </c>
    </row>
    <row r="19766" spans="1:16" x14ac:dyDescent="0.25">
      <c r="A19766" t="s">
        <v>3296</v>
      </c>
      <c r="B19766" t="s">
        <v>2931</v>
      </c>
      <c r="C19766">
        <v>1384</v>
      </c>
      <c r="D19766" t="str">
        <f t="shared" si="323"/>
        <v xml:space="preserve">12506021922 </v>
      </c>
      <c r="E19766" t="s">
        <v>309</v>
      </c>
      <c r="F19766" t="s">
        <v>310</v>
      </c>
      <c r="G19766">
        <v>3.39</v>
      </c>
      <c r="H19766">
        <v>250131</v>
      </c>
      <c r="I19766">
        <v>4369</v>
      </c>
      <c r="J19766" t="s">
        <v>188</v>
      </c>
      <c r="K19766">
        <v>65.2</v>
      </c>
      <c r="L19766">
        <v>0.69</v>
      </c>
      <c r="M19766">
        <v>11905</v>
      </c>
      <c r="N19766" t="s">
        <v>643</v>
      </c>
      <c r="O19766">
        <v>250207</v>
      </c>
      <c r="P19766">
        <v>2.7</v>
      </c>
    </row>
    <row r="19767" spans="1:16" x14ac:dyDescent="0.25">
      <c r="A19767" t="s">
        <v>3296</v>
      </c>
      <c r="B19767" t="s">
        <v>2931</v>
      </c>
      <c r="C19767">
        <v>1385</v>
      </c>
      <c r="D19767" t="str">
        <f>"12506021933 "</f>
        <v xml:space="preserve">12506021933 </v>
      </c>
      <c r="E19767" t="s">
        <v>309</v>
      </c>
      <c r="F19767" t="s">
        <v>310</v>
      </c>
      <c r="G19767">
        <v>6.74</v>
      </c>
      <c r="H19767">
        <v>250131</v>
      </c>
      <c r="I19767">
        <v>4369</v>
      </c>
      <c r="J19767" t="s">
        <v>188</v>
      </c>
      <c r="K19767">
        <v>44.33</v>
      </c>
      <c r="L19767">
        <v>1.37</v>
      </c>
      <c r="M19767">
        <v>44222</v>
      </c>
      <c r="N19767" t="s">
        <v>96</v>
      </c>
      <c r="O19767">
        <v>250207</v>
      </c>
      <c r="P19767">
        <v>5.37</v>
      </c>
    </row>
    <row r="19768" spans="1:16" x14ac:dyDescent="0.25">
      <c r="A19768" t="s">
        <v>3296</v>
      </c>
      <c r="B19768" t="s">
        <v>2931</v>
      </c>
      <c r="C19768">
        <v>1385</v>
      </c>
      <c r="D19768" t="str">
        <f>"12506021933 "</f>
        <v xml:space="preserve">12506021933 </v>
      </c>
      <c r="E19768" t="s">
        <v>309</v>
      </c>
      <c r="F19768" t="s">
        <v>310</v>
      </c>
      <c r="G19768">
        <v>24.41</v>
      </c>
      <c r="H19768">
        <v>250131</v>
      </c>
      <c r="I19768">
        <v>4369</v>
      </c>
      <c r="J19768" t="s">
        <v>188</v>
      </c>
      <c r="K19768">
        <v>44.33</v>
      </c>
      <c r="L19768">
        <v>4.96</v>
      </c>
      <c r="M19768">
        <v>44222</v>
      </c>
      <c r="N19768" t="s">
        <v>96</v>
      </c>
      <c r="O19768">
        <v>250207</v>
      </c>
      <c r="P19768">
        <v>19.45</v>
      </c>
    </row>
    <row r="19769" spans="1:16" x14ac:dyDescent="0.25">
      <c r="A19769" t="s">
        <v>3296</v>
      </c>
      <c r="B19769" t="s">
        <v>2931</v>
      </c>
      <c r="C19769">
        <v>1385</v>
      </c>
      <c r="D19769" t="str">
        <f>"12506021933 "</f>
        <v xml:space="preserve">12506021933 </v>
      </c>
      <c r="E19769" t="s">
        <v>309</v>
      </c>
      <c r="F19769" t="s">
        <v>310</v>
      </c>
      <c r="G19769">
        <v>3.39</v>
      </c>
      <c r="H19769">
        <v>250131</v>
      </c>
      <c r="I19769">
        <v>4369</v>
      </c>
      <c r="J19769" t="s">
        <v>188</v>
      </c>
      <c r="K19769">
        <v>44.33</v>
      </c>
      <c r="L19769">
        <v>0.69</v>
      </c>
      <c r="M19769">
        <v>44251</v>
      </c>
      <c r="N19769" t="s">
        <v>215</v>
      </c>
      <c r="O19769">
        <v>250207</v>
      </c>
      <c r="P19769">
        <v>2.7</v>
      </c>
    </row>
    <row r="19770" spans="1:16" x14ac:dyDescent="0.25">
      <c r="A19770" t="s">
        <v>3296</v>
      </c>
      <c r="B19770" t="s">
        <v>2931</v>
      </c>
      <c r="C19770">
        <v>1385</v>
      </c>
      <c r="D19770" t="str">
        <f>"12506021933 "</f>
        <v xml:space="preserve">12506021933 </v>
      </c>
      <c r="E19770" t="s">
        <v>309</v>
      </c>
      <c r="F19770" t="s">
        <v>310</v>
      </c>
      <c r="G19770">
        <v>3.2</v>
      </c>
      <c r="H19770">
        <v>250131</v>
      </c>
      <c r="I19770">
        <v>4369</v>
      </c>
      <c r="J19770" t="s">
        <v>188</v>
      </c>
      <c r="K19770">
        <v>44.33</v>
      </c>
      <c r="L19770">
        <v>0.65</v>
      </c>
      <c r="M19770">
        <v>44253</v>
      </c>
      <c r="N19770" t="s">
        <v>403</v>
      </c>
      <c r="O19770">
        <v>250207</v>
      </c>
      <c r="P19770">
        <v>2.5499999999999998</v>
      </c>
    </row>
    <row r="19771" spans="1:16" x14ac:dyDescent="0.25">
      <c r="A19771" t="s">
        <v>3296</v>
      </c>
      <c r="B19771" t="s">
        <v>2931</v>
      </c>
      <c r="C19771">
        <v>1385</v>
      </c>
      <c r="D19771" t="str">
        <f>"12506021933 "</f>
        <v xml:space="preserve">12506021933 </v>
      </c>
      <c r="E19771" t="s">
        <v>309</v>
      </c>
      <c r="F19771" t="s">
        <v>310</v>
      </c>
      <c r="G19771">
        <v>6.59</v>
      </c>
      <c r="H19771">
        <v>250131</v>
      </c>
      <c r="I19771">
        <v>4369</v>
      </c>
      <c r="J19771" t="s">
        <v>188</v>
      </c>
      <c r="K19771">
        <v>44.33</v>
      </c>
      <c r="L19771">
        <v>0</v>
      </c>
      <c r="M19771">
        <v>49702</v>
      </c>
      <c r="N19771" t="s">
        <v>112</v>
      </c>
      <c r="O19771">
        <v>250207</v>
      </c>
      <c r="P19771">
        <v>6.59</v>
      </c>
    </row>
    <row r="19772" spans="1:16" x14ac:dyDescent="0.25">
      <c r="A19772" t="s">
        <v>3296</v>
      </c>
      <c r="B19772" t="s">
        <v>2931</v>
      </c>
      <c r="C19772">
        <v>1462</v>
      </c>
      <c r="D19772" t="str">
        <f t="shared" ref="D19772:D19781" si="324">"12506021942 "</f>
        <v xml:space="preserve">12506021942 </v>
      </c>
      <c r="E19772" t="s">
        <v>309</v>
      </c>
      <c r="F19772" t="s">
        <v>310</v>
      </c>
      <c r="G19772">
        <v>23.99</v>
      </c>
      <c r="H19772">
        <v>250131</v>
      </c>
      <c r="I19772">
        <v>4369</v>
      </c>
      <c r="J19772" t="s">
        <v>188</v>
      </c>
      <c r="K19772">
        <v>61.55</v>
      </c>
      <c r="L19772">
        <v>4.87</v>
      </c>
      <c r="M19772">
        <v>16121</v>
      </c>
      <c r="N19772" t="s">
        <v>127</v>
      </c>
      <c r="O19772">
        <v>250210</v>
      </c>
      <c r="P19772">
        <v>19.12</v>
      </c>
    </row>
    <row r="19773" spans="1:16" x14ac:dyDescent="0.25">
      <c r="A19773" t="s">
        <v>3296</v>
      </c>
      <c r="B19773" t="s">
        <v>2931</v>
      </c>
      <c r="C19773">
        <v>1462</v>
      </c>
      <c r="D19773" t="str">
        <f t="shared" si="324"/>
        <v xml:space="preserve">12506021942 </v>
      </c>
      <c r="E19773" t="s">
        <v>309</v>
      </c>
      <c r="F19773" t="s">
        <v>310</v>
      </c>
      <c r="G19773">
        <v>6.78</v>
      </c>
      <c r="H19773">
        <v>250131</v>
      </c>
      <c r="I19773">
        <v>4369</v>
      </c>
      <c r="J19773" t="s">
        <v>188</v>
      </c>
      <c r="K19773">
        <v>61.55</v>
      </c>
      <c r="L19773">
        <v>1.38</v>
      </c>
      <c r="M19773">
        <v>16322</v>
      </c>
      <c r="N19773" t="s">
        <v>331</v>
      </c>
      <c r="O19773">
        <v>250210</v>
      </c>
      <c r="P19773">
        <v>5.4</v>
      </c>
    </row>
    <row r="19774" spans="1:16" x14ac:dyDescent="0.25">
      <c r="A19774" t="s">
        <v>3296</v>
      </c>
      <c r="B19774" t="s">
        <v>2931</v>
      </c>
      <c r="C19774">
        <v>1462</v>
      </c>
      <c r="D19774" t="str">
        <f t="shared" si="324"/>
        <v xml:space="preserve">12506021942 </v>
      </c>
      <c r="E19774" t="s">
        <v>309</v>
      </c>
      <c r="F19774" t="s">
        <v>310</v>
      </c>
      <c r="G19774">
        <v>3.39</v>
      </c>
      <c r="H19774">
        <v>250131</v>
      </c>
      <c r="I19774">
        <v>4369</v>
      </c>
      <c r="J19774" t="s">
        <v>188</v>
      </c>
      <c r="K19774">
        <v>61.55</v>
      </c>
      <c r="L19774">
        <v>0.69</v>
      </c>
      <c r="M19774">
        <v>16820</v>
      </c>
      <c r="N19774" t="s">
        <v>128</v>
      </c>
      <c r="O19774">
        <v>250210</v>
      </c>
      <c r="P19774">
        <v>2.7</v>
      </c>
    </row>
    <row r="19775" spans="1:16" x14ac:dyDescent="0.25">
      <c r="A19775" t="s">
        <v>3296</v>
      </c>
      <c r="B19775" t="s">
        <v>2931</v>
      </c>
      <c r="C19775">
        <v>1462</v>
      </c>
      <c r="D19775" t="str">
        <f t="shared" si="324"/>
        <v xml:space="preserve">12506021942 </v>
      </c>
      <c r="E19775" t="s">
        <v>309</v>
      </c>
      <c r="F19775" t="s">
        <v>310</v>
      </c>
      <c r="G19775">
        <v>7.24</v>
      </c>
      <c r="H19775">
        <v>250131</v>
      </c>
      <c r="I19775">
        <v>4369</v>
      </c>
      <c r="J19775" t="s">
        <v>188</v>
      </c>
      <c r="K19775">
        <v>61.55</v>
      </c>
      <c r="L19775">
        <v>1.47</v>
      </c>
      <c r="M19775">
        <v>16820</v>
      </c>
      <c r="N19775" t="s">
        <v>128</v>
      </c>
      <c r="O19775">
        <v>250210</v>
      </c>
      <c r="P19775">
        <v>5.77</v>
      </c>
    </row>
    <row r="19776" spans="1:16" x14ac:dyDescent="0.25">
      <c r="A19776" t="s">
        <v>3296</v>
      </c>
      <c r="B19776" t="s">
        <v>2931</v>
      </c>
      <c r="C19776">
        <v>1462</v>
      </c>
      <c r="D19776" t="str">
        <f t="shared" si="324"/>
        <v xml:space="preserve">12506021942 </v>
      </c>
      <c r="E19776" t="s">
        <v>309</v>
      </c>
      <c r="F19776" t="s">
        <v>310</v>
      </c>
      <c r="G19776">
        <v>3.39</v>
      </c>
      <c r="H19776">
        <v>250131</v>
      </c>
      <c r="I19776">
        <v>4369</v>
      </c>
      <c r="J19776" t="s">
        <v>188</v>
      </c>
      <c r="K19776">
        <v>61.55</v>
      </c>
      <c r="L19776">
        <v>0.69</v>
      </c>
      <c r="M19776">
        <v>17862</v>
      </c>
      <c r="N19776" t="s">
        <v>130</v>
      </c>
      <c r="O19776">
        <v>250210</v>
      </c>
      <c r="P19776">
        <v>2.7</v>
      </c>
    </row>
    <row r="19777" spans="1:16" x14ac:dyDescent="0.25">
      <c r="A19777" t="s">
        <v>3296</v>
      </c>
      <c r="B19777" t="s">
        <v>2931</v>
      </c>
      <c r="C19777">
        <v>1462</v>
      </c>
      <c r="D19777" t="str">
        <f t="shared" si="324"/>
        <v xml:space="preserve">12506021942 </v>
      </c>
      <c r="E19777" t="s">
        <v>309</v>
      </c>
      <c r="F19777" t="s">
        <v>310</v>
      </c>
      <c r="G19777">
        <v>3.39</v>
      </c>
      <c r="H19777">
        <v>250131</v>
      </c>
      <c r="I19777">
        <v>4369</v>
      </c>
      <c r="J19777" t="s">
        <v>188</v>
      </c>
      <c r="K19777">
        <v>61.55</v>
      </c>
      <c r="L19777">
        <v>0.69</v>
      </c>
      <c r="M19777">
        <v>17950</v>
      </c>
      <c r="N19777" t="s">
        <v>132</v>
      </c>
      <c r="O19777">
        <v>250210</v>
      </c>
      <c r="P19777">
        <v>2.7</v>
      </c>
    </row>
    <row r="19778" spans="1:16" x14ac:dyDescent="0.25">
      <c r="A19778" t="s">
        <v>3296</v>
      </c>
      <c r="B19778" t="s">
        <v>2931</v>
      </c>
      <c r="C19778">
        <v>1462</v>
      </c>
      <c r="D19778" t="str">
        <f t="shared" si="324"/>
        <v xml:space="preserve">12506021942 </v>
      </c>
      <c r="E19778" t="s">
        <v>309</v>
      </c>
      <c r="F19778" t="s">
        <v>310</v>
      </c>
      <c r="G19778">
        <v>3.39</v>
      </c>
      <c r="H19778">
        <v>250131</v>
      </c>
      <c r="I19778">
        <v>4369</v>
      </c>
      <c r="J19778" t="s">
        <v>188</v>
      </c>
      <c r="K19778">
        <v>61.55</v>
      </c>
      <c r="L19778">
        <v>0.69</v>
      </c>
      <c r="M19778">
        <v>17971</v>
      </c>
      <c r="N19778" t="s">
        <v>27</v>
      </c>
      <c r="O19778">
        <v>250210</v>
      </c>
      <c r="P19778">
        <v>2.7</v>
      </c>
    </row>
    <row r="19779" spans="1:16" x14ac:dyDescent="0.25">
      <c r="A19779" t="s">
        <v>3296</v>
      </c>
      <c r="B19779" t="s">
        <v>2931</v>
      </c>
      <c r="C19779">
        <v>1462</v>
      </c>
      <c r="D19779" t="str">
        <f t="shared" si="324"/>
        <v xml:space="preserve">12506021942 </v>
      </c>
      <c r="E19779" t="s">
        <v>309</v>
      </c>
      <c r="F19779" t="s">
        <v>310</v>
      </c>
      <c r="G19779">
        <v>3.39</v>
      </c>
      <c r="H19779">
        <v>250131</v>
      </c>
      <c r="I19779">
        <v>4369</v>
      </c>
      <c r="J19779" t="s">
        <v>188</v>
      </c>
      <c r="K19779">
        <v>61.55</v>
      </c>
      <c r="L19779">
        <v>0.69</v>
      </c>
      <c r="M19779">
        <v>17972</v>
      </c>
      <c r="N19779" t="s">
        <v>28</v>
      </c>
      <c r="O19779">
        <v>250210</v>
      </c>
      <c r="P19779">
        <v>2.7</v>
      </c>
    </row>
    <row r="19780" spans="1:16" x14ac:dyDescent="0.25">
      <c r="A19780" t="s">
        <v>3296</v>
      </c>
      <c r="B19780" t="s">
        <v>2931</v>
      </c>
      <c r="C19780">
        <v>1462</v>
      </c>
      <c r="D19780" t="str">
        <f t="shared" si="324"/>
        <v xml:space="preserve">12506021942 </v>
      </c>
      <c r="E19780" t="s">
        <v>309</v>
      </c>
      <c r="F19780" t="s">
        <v>310</v>
      </c>
      <c r="G19780">
        <v>3.2</v>
      </c>
      <c r="H19780">
        <v>250131</v>
      </c>
      <c r="I19780">
        <v>4369</v>
      </c>
      <c r="J19780" t="s">
        <v>188</v>
      </c>
      <c r="K19780">
        <v>61.55</v>
      </c>
      <c r="L19780">
        <v>0.65</v>
      </c>
      <c r="M19780">
        <v>17974</v>
      </c>
      <c r="N19780" t="s">
        <v>153</v>
      </c>
      <c r="O19780">
        <v>250210</v>
      </c>
      <c r="P19780">
        <v>2.5499999999999998</v>
      </c>
    </row>
    <row r="19781" spans="1:16" x14ac:dyDescent="0.25">
      <c r="A19781" t="s">
        <v>3296</v>
      </c>
      <c r="B19781" t="s">
        <v>2931</v>
      </c>
      <c r="C19781">
        <v>1462</v>
      </c>
      <c r="D19781" t="str">
        <f t="shared" si="324"/>
        <v xml:space="preserve">12506021942 </v>
      </c>
      <c r="E19781" t="s">
        <v>309</v>
      </c>
      <c r="F19781" t="s">
        <v>310</v>
      </c>
      <c r="G19781">
        <v>3.39</v>
      </c>
      <c r="H19781">
        <v>250131</v>
      </c>
      <c r="I19781">
        <v>4369</v>
      </c>
      <c r="J19781" t="s">
        <v>188</v>
      </c>
      <c r="K19781">
        <v>61.55</v>
      </c>
      <c r="L19781">
        <v>0.69</v>
      </c>
      <c r="M19781">
        <v>17974</v>
      </c>
      <c r="N19781" t="s">
        <v>153</v>
      </c>
      <c r="O19781">
        <v>250210</v>
      </c>
      <c r="P19781">
        <v>2.7</v>
      </c>
    </row>
    <row r="19782" spans="1:16" x14ac:dyDescent="0.25">
      <c r="A19782" t="s">
        <v>3296</v>
      </c>
      <c r="B19782" t="s">
        <v>2931</v>
      </c>
      <c r="C19782">
        <v>1466</v>
      </c>
      <c r="D19782" t="str">
        <f t="shared" ref="D19782:D19792" si="325">"12506021923 "</f>
        <v xml:space="preserve">12506021923 </v>
      </c>
      <c r="E19782" t="s">
        <v>309</v>
      </c>
      <c r="F19782" t="s">
        <v>310</v>
      </c>
      <c r="G19782">
        <v>3.39</v>
      </c>
      <c r="H19782">
        <v>250131</v>
      </c>
      <c r="I19782">
        <v>4369</v>
      </c>
      <c r="J19782" t="s">
        <v>188</v>
      </c>
      <c r="K19782">
        <v>84.12</v>
      </c>
      <c r="L19782">
        <v>0.69</v>
      </c>
      <c r="M19782">
        <v>51157</v>
      </c>
      <c r="N19782" t="s">
        <v>998</v>
      </c>
      <c r="O19782">
        <v>250210</v>
      </c>
      <c r="P19782">
        <v>2.7</v>
      </c>
    </row>
    <row r="19783" spans="1:16" x14ac:dyDescent="0.25">
      <c r="A19783" t="s">
        <v>3296</v>
      </c>
      <c r="B19783" t="s">
        <v>2931</v>
      </c>
      <c r="C19783">
        <v>1466</v>
      </c>
      <c r="D19783" t="str">
        <f t="shared" si="325"/>
        <v xml:space="preserve">12506021923 </v>
      </c>
      <c r="E19783" t="s">
        <v>309</v>
      </c>
      <c r="F19783" t="s">
        <v>310</v>
      </c>
      <c r="G19783">
        <v>3.39</v>
      </c>
      <c r="H19783">
        <v>250131</v>
      </c>
      <c r="I19783">
        <v>4369</v>
      </c>
      <c r="J19783" t="s">
        <v>188</v>
      </c>
      <c r="K19783">
        <v>84.12</v>
      </c>
      <c r="L19783">
        <v>0.69</v>
      </c>
      <c r="M19783">
        <v>56526</v>
      </c>
      <c r="N19783" t="s">
        <v>506</v>
      </c>
      <c r="O19783">
        <v>250210</v>
      </c>
      <c r="P19783">
        <v>2.7</v>
      </c>
    </row>
    <row r="19784" spans="1:16" x14ac:dyDescent="0.25">
      <c r="A19784" t="s">
        <v>3296</v>
      </c>
      <c r="B19784" t="s">
        <v>2931</v>
      </c>
      <c r="C19784">
        <v>1466</v>
      </c>
      <c r="D19784" t="str">
        <f t="shared" si="325"/>
        <v xml:space="preserve">12506021923 </v>
      </c>
      <c r="E19784" t="s">
        <v>309</v>
      </c>
      <c r="F19784" t="s">
        <v>310</v>
      </c>
      <c r="G19784">
        <v>16.940000000000001</v>
      </c>
      <c r="H19784">
        <v>250131</v>
      </c>
      <c r="I19784">
        <v>4369</v>
      </c>
      <c r="J19784" t="s">
        <v>188</v>
      </c>
      <c r="K19784">
        <v>84.12</v>
      </c>
      <c r="L19784">
        <v>3.44</v>
      </c>
      <c r="M19784">
        <v>56558</v>
      </c>
      <c r="N19784" t="s">
        <v>50</v>
      </c>
      <c r="O19784">
        <v>250210</v>
      </c>
      <c r="P19784">
        <v>13.5</v>
      </c>
    </row>
    <row r="19785" spans="1:16" x14ac:dyDescent="0.25">
      <c r="A19785" t="s">
        <v>3296</v>
      </c>
      <c r="B19785" t="s">
        <v>2931</v>
      </c>
      <c r="C19785">
        <v>1466</v>
      </c>
      <c r="D19785" t="str">
        <f t="shared" si="325"/>
        <v xml:space="preserve">12506021923 </v>
      </c>
      <c r="E19785" t="s">
        <v>309</v>
      </c>
      <c r="F19785" t="s">
        <v>310</v>
      </c>
      <c r="G19785">
        <v>11.06</v>
      </c>
      <c r="H19785">
        <v>250131</v>
      </c>
      <c r="I19785">
        <v>4369</v>
      </c>
      <c r="J19785" t="s">
        <v>188</v>
      </c>
      <c r="K19785">
        <v>84.12</v>
      </c>
      <c r="L19785">
        <v>2.25</v>
      </c>
      <c r="M19785">
        <v>56559</v>
      </c>
      <c r="N19785" t="s">
        <v>51</v>
      </c>
      <c r="O19785">
        <v>250210</v>
      </c>
      <c r="P19785">
        <v>8.81</v>
      </c>
    </row>
    <row r="19786" spans="1:16" x14ac:dyDescent="0.25">
      <c r="A19786" t="s">
        <v>3296</v>
      </c>
      <c r="B19786" t="s">
        <v>2931</v>
      </c>
      <c r="C19786">
        <v>1466</v>
      </c>
      <c r="D19786" t="str">
        <f t="shared" si="325"/>
        <v xml:space="preserve">12506021923 </v>
      </c>
      <c r="E19786" t="s">
        <v>309</v>
      </c>
      <c r="F19786" t="s">
        <v>310</v>
      </c>
      <c r="G19786">
        <v>6.78</v>
      </c>
      <c r="H19786">
        <v>250131</v>
      </c>
      <c r="I19786">
        <v>4369</v>
      </c>
      <c r="J19786" t="s">
        <v>188</v>
      </c>
      <c r="K19786">
        <v>84.12</v>
      </c>
      <c r="L19786">
        <v>1.38</v>
      </c>
      <c r="M19786">
        <v>56560</v>
      </c>
      <c r="N19786" t="s">
        <v>52</v>
      </c>
      <c r="O19786">
        <v>250210</v>
      </c>
      <c r="P19786">
        <v>5.4</v>
      </c>
    </row>
    <row r="19787" spans="1:16" x14ac:dyDescent="0.25">
      <c r="A19787" t="s">
        <v>3296</v>
      </c>
      <c r="B19787" t="s">
        <v>2931</v>
      </c>
      <c r="C19787">
        <v>1466</v>
      </c>
      <c r="D19787" t="str">
        <f t="shared" si="325"/>
        <v xml:space="preserve">12506021923 </v>
      </c>
      <c r="E19787" t="s">
        <v>309</v>
      </c>
      <c r="F19787" t="s">
        <v>310</v>
      </c>
      <c r="G19787">
        <v>3.6</v>
      </c>
      <c r="H19787">
        <v>250131</v>
      </c>
      <c r="I19787">
        <v>4369</v>
      </c>
      <c r="J19787" t="s">
        <v>188</v>
      </c>
      <c r="K19787">
        <v>84.12</v>
      </c>
      <c r="L19787">
        <v>0.73</v>
      </c>
      <c r="M19787">
        <v>56561</v>
      </c>
      <c r="N19787" t="s">
        <v>53</v>
      </c>
      <c r="O19787">
        <v>250210</v>
      </c>
      <c r="P19787">
        <v>2.87</v>
      </c>
    </row>
    <row r="19788" spans="1:16" x14ac:dyDescent="0.25">
      <c r="A19788" t="s">
        <v>3296</v>
      </c>
      <c r="B19788" t="s">
        <v>2931</v>
      </c>
      <c r="C19788">
        <v>1466</v>
      </c>
      <c r="D19788" t="str">
        <f t="shared" si="325"/>
        <v xml:space="preserve">12506021923 </v>
      </c>
      <c r="E19788" t="s">
        <v>309</v>
      </c>
      <c r="F19788" t="s">
        <v>310</v>
      </c>
      <c r="G19788">
        <v>10.17</v>
      </c>
      <c r="H19788">
        <v>250131</v>
      </c>
      <c r="I19788">
        <v>4369</v>
      </c>
      <c r="J19788" t="s">
        <v>188</v>
      </c>
      <c r="K19788">
        <v>84.12</v>
      </c>
      <c r="L19788">
        <v>2.0699999999999998</v>
      </c>
      <c r="M19788">
        <v>56562</v>
      </c>
      <c r="N19788" t="s">
        <v>54</v>
      </c>
      <c r="O19788">
        <v>250210</v>
      </c>
      <c r="P19788">
        <v>8.1</v>
      </c>
    </row>
    <row r="19789" spans="1:16" x14ac:dyDescent="0.25">
      <c r="A19789" t="s">
        <v>3296</v>
      </c>
      <c r="B19789" t="s">
        <v>2931</v>
      </c>
      <c r="C19789">
        <v>1466</v>
      </c>
      <c r="D19789" t="str">
        <f t="shared" si="325"/>
        <v xml:space="preserve">12506021923 </v>
      </c>
      <c r="E19789" t="s">
        <v>309</v>
      </c>
      <c r="F19789" t="s">
        <v>310</v>
      </c>
      <c r="G19789">
        <v>15.25</v>
      </c>
      <c r="H19789">
        <v>250131</v>
      </c>
      <c r="I19789">
        <v>4369</v>
      </c>
      <c r="J19789" t="s">
        <v>188</v>
      </c>
      <c r="K19789">
        <v>84.12</v>
      </c>
      <c r="L19789">
        <v>3.1</v>
      </c>
      <c r="M19789">
        <v>56564</v>
      </c>
      <c r="N19789" t="s">
        <v>56</v>
      </c>
      <c r="O19789">
        <v>250210</v>
      </c>
      <c r="P19789">
        <v>12.15</v>
      </c>
    </row>
    <row r="19790" spans="1:16" x14ac:dyDescent="0.25">
      <c r="A19790" t="s">
        <v>3296</v>
      </c>
      <c r="B19790" t="s">
        <v>2931</v>
      </c>
      <c r="C19790">
        <v>1466</v>
      </c>
      <c r="D19790" t="str">
        <f t="shared" si="325"/>
        <v xml:space="preserve">12506021923 </v>
      </c>
      <c r="E19790" t="s">
        <v>309</v>
      </c>
      <c r="F19790" t="s">
        <v>310</v>
      </c>
      <c r="G19790">
        <v>3.38</v>
      </c>
      <c r="H19790">
        <v>250131</v>
      </c>
      <c r="I19790">
        <v>4369</v>
      </c>
      <c r="J19790" t="s">
        <v>188</v>
      </c>
      <c r="K19790">
        <v>84.12</v>
      </c>
      <c r="L19790">
        <v>0.69</v>
      </c>
      <c r="M19790">
        <v>56565</v>
      </c>
      <c r="N19790" t="s">
        <v>57</v>
      </c>
      <c r="O19790">
        <v>250210</v>
      </c>
      <c r="P19790">
        <v>2.69</v>
      </c>
    </row>
    <row r="19791" spans="1:16" x14ac:dyDescent="0.25">
      <c r="A19791" t="s">
        <v>3296</v>
      </c>
      <c r="B19791" t="s">
        <v>2931</v>
      </c>
      <c r="C19791">
        <v>1466</v>
      </c>
      <c r="D19791" t="str">
        <f t="shared" si="325"/>
        <v xml:space="preserve">12506021923 </v>
      </c>
      <c r="E19791" t="s">
        <v>309</v>
      </c>
      <c r="F19791" t="s">
        <v>310</v>
      </c>
      <c r="G19791">
        <v>6.78</v>
      </c>
      <c r="H19791">
        <v>250131</v>
      </c>
      <c r="I19791">
        <v>4369</v>
      </c>
      <c r="J19791" t="s">
        <v>188</v>
      </c>
      <c r="K19791">
        <v>84.12</v>
      </c>
      <c r="L19791">
        <v>1.38</v>
      </c>
      <c r="M19791">
        <v>56566</v>
      </c>
      <c r="N19791" t="s">
        <v>58</v>
      </c>
      <c r="O19791">
        <v>250210</v>
      </c>
      <c r="P19791">
        <v>5.4</v>
      </c>
    </row>
    <row r="19792" spans="1:16" x14ac:dyDescent="0.25">
      <c r="A19792" t="s">
        <v>3296</v>
      </c>
      <c r="B19792" t="s">
        <v>2931</v>
      </c>
      <c r="C19792">
        <v>1466</v>
      </c>
      <c r="D19792" t="str">
        <f t="shared" si="325"/>
        <v xml:space="preserve">12506021923 </v>
      </c>
      <c r="E19792" t="s">
        <v>309</v>
      </c>
      <c r="F19792" t="s">
        <v>310</v>
      </c>
      <c r="G19792">
        <v>3.38</v>
      </c>
      <c r="H19792">
        <v>250131</v>
      </c>
      <c r="I19792">
        <v>4369</v>
      </c>
      <c r="J19792" t="s">
        <v>188</v>
      </c>
      <c r="K19792">
        <v>84.12</v>
      </c>
      <c r="L19792">
        <v>0.69</v>
      </c>
      <c r="M19792">
        <v>56568</v>
      </c>
      <c r="N19792" t="s">
        <v>354</v>
      </c>
      <c r="O19792">
        <v>250210</v>
      </c>
      <c r="P19792">
        <v>2.69</v>
      </c>
    </row>
    <row r="19793" spans="1:16" x14ac:dyDescent="0.25">
      <c r="A19793" t="s">
        <v>3296</v>
      </c>
      <c r="B19793" t="s">
        <v>2931</v>
      </c>
      <c r="C19793">
        <v>1468</v>
      </c>
      <c r="D19793" t="str">
        <f>"12506021944 "</f>
        <v xml:space="preserve">12506021944 </v>
      </c>
      <c r="E19793" t="s">
        <v>309</v>
      </c>
      <c r="F19793" t="s">
        <v>310</v>
      </c>
      <c r="G19793">
        <v>26.92</v>
      </c>
      <c r="H19793">
        <v>250131</v>
      </c>
      <c r="I19793">
        <v>4369</v>
      </c>
      <c r="J19793" t="s">
        <v>188</v>
      </c>
      <c r="K19793">
        <v>26.92</v>
      </c>
      <c r="L19793">
        <v>5.47</v>
      </c>
      <c r="M19793">
        <v>13601</v>
      </c>
      <c r="N19793" t="s">
        <v>115</v>
      </c>
      <c r="O19793">
        <v>250210</v>
      </c>
      <c r="P19793">
        <v>21.45</v>
      </c>
    </row>
    <row r="19794" spans="1:16" x14ac:dyDescent="0.25">
      <c r="A19794" t="s">
        <v>3296</v>
      </c>
      <c r="B19794" t="s">
        <v>2931</v>
      </c>
      <c r="C19794">
        <v>1474</v>
      </c>
      <c r="D19794" t="str">
        <f t="shared" ref="D19794:D19799" si="326">"12506021931 "</f>
        <v xml:space="preserve">12506021931 </v>
      </c>
      <c r="E19794" t="s">
        <v>309</v>
      </c>
      <c r="F19794" t="s">
        <v>310</v>
      </c>
      <c r="G19794">
        <v>10.16</v>
      </c>
      <c r="H19794">
        <v>250131</v>
      </c>
      <c r="I19794">
        <v>4369</v>
      </c>
      <c r="J19794" t="s">
        <v>188</v>
      </c>
      <c r="K19794">
        <v>97.02</v>
      </c>
      <c r="L19794">
        <v>2.06</v>
      </c>
      <c r="M19794">
        <v>43222</v>
      </c>
      <c r="N19794" t="s">
        <v>95</v>
      </c>
      <c r="O19794">
        <v>250210</v>
      </c>
      <c r="P19794">
        <v>8.1</v>
      </c>
    </row>
    <row r="19795" spans="1:16" x14ac:dyDescent="0.25">
      <c r="A19795" t="s">
        <v>3296</v>
      </c>
      <c r="B19795" t="s">
        <v>2931</v>
      </c>
      <c r="C19795">
        <v>1474</v>
      </c>
      <c r="D19795" t="str">
        <f t="shared" si="326"/>
        <v xml:space="preserve">12506021931 </v>
      </c>
      <c r="E19795" t="s">
        <v>309</v>
      </c>
      <c r="F19795" t="s">
        <v>310</v>
      </c>
      <c r="G19795">
        <v>4.05</v>
      </c>
      <c r="H19795">
        <v>250131</v>
      </c>
      <c r="I19795">
        <v>4369</v>
      </c>
      <c r="J19795" t="s">
        <v>188</v>
      </c>
      <c r="K19795">
        <v>97.02</v>
      </c>
      <c r="L19795">
        <v>0.82</v>
      </c>
      <c r="M19795">
        <v>44422</v>
      </c>
      <c r="N19795" t="s">
        <v>97</v>
      </c>
      <c r="O19795">
        <v>250210</v>
      </c>
      <c r="P19795">
        <v>3.23</v>
      </c>
    </row>
    <row r="19796" spans="1:16" x14ac:dyDescent="0.25">
      <c r="A19796" t="s">
        <v>3296</v>
      </c>
      <c r="B19796" t="s">
        <v>2931</v>
      </c>
      <c r="C19796">
        <v>1474</v>
      </c>
      <c r="D19796" t="str">
        <f t="shared" si="326"/>
        <v xml:space="preserve">12506021931 </v>
      </c>
      <c r="E19796" t="s">
        <v>309</v>
      </c>
      <c r="F19796" t="s">
        <v>310</v>
      </c>
      <c r="G19796">
        <v>6.98</v>
      </c>
      <c r="H19796">
        <v>250131</v>
      </c>
      <c r="I19796">
        <v>4369</v>
      </c>
      <c r="J19796" t="s">
        <v>188</v>
      </c>
      <c r="K19796">
        <v>97.02</v>
      </c>
      <c r="L19796">
        <v>1.42</v>
      </c>
      <c r="M19796">
        <v>44423</v>
      </c>
      <c r="N19796" t="s">
        <v>98</v>
      </c>
      <c r="O19796">
        <v>250210</v>
      </c>
      <c r="P19796">
        <v>5.56</v>
      </c>
    </row>
    <row r="19797" spans="1:16" x14ac:dyDescent="0.25">
      <c r="A19797" t="s">
        <v>3296</v>
      </c>
      <c r="B19797" t="s">
        <v>2931</v>
      </c>
      <c r="C19797">
        <v>1474</v>
      </c>
      <c r="D19797" t="str">
        <f t="shared" si="326"/>
        <v xml:space="preserve">12506021931 </v>
      </c>
      <c r="E19797" t="s">
        <v>309</v>
      </c>
      <c r="F19797" t="s">
        <v>310</v>
      </c>
      <c r="G19797">
        <v>3.39</v>
      </c>
      <c r="H19797">
        <v>250131</v>
      </c>
      <c r="I19797">
        <v>4369</v>
      </c>
      <c r="J19797" t="s">
        <v>188</v>
      </c>
      <c r="K19797">
        <v>97.02</v>
      </c>
      <c r="L19797">
        <v>0.69</v>
      </c>
      <c r="M19797">
        <v>44453</v>
      </c>
      <c r="N19797" t="s">
        <v>100</v>
      </c>
      <c r="O19797">
        <v>250210</v>
      </c>
      <c r="P19797">
        <v>2.7</v>
      </c>
    </row>
    <row r="19798" spans="1:16" x14ac:dyDescent="0.25">
      <c r="A19798" t="s">
        <v>3296</v>
      </c>
      <c r="B19798" t="s">
        <v>2931</v>
      </c>
      <c r="C19798">
        <v>1474</v>
      </c>
      <c r="D19798" t="str">
        <f t="shared" si="326"/>
        <v xml:space="preserve">12506021931 </v>
      </c>
      <c r="E19798" t="s">
        <v>309</v>
      </c>
      <c r="F19798" t="s">
        <v>310</v>
      </c>
      <c r="G19798">
        <v>3.39</v>
      </c>
      <c r="H19798">
        <v>250131</v>
      </c>
      <c r="I19798">
        <v>4369</v>
      </c>
      <c r="J19798" t="s">
        <v>188</v>
      </c>
      <c r="K19798">
        <v>97.02</v>
      </c>
      <c r="L19798">
        <v>0.69</v>
      </c>
      <c r="M19798">
        <v>48601</v>
      </c>
      <c r="N19798" t="s">
        <v>107</v>
      </c>
      <c r="O19798">
        <v>250210</v>
      </c>
      <c r="P19798">
        <v>2.7</v>
      </c>
    </row>
    <row r="19799" spans="1:16" x14ac:dyDescent="0.25">
      <c r="A19799" t="s">
        <v>3296</v>
      </c>
      <c r="B19799" t="s">
        <v>2931</v>
      </c>
      <c r="C19799">
        <v>1474</v>
      </c>
      <c r="D19799" t="str">
        <f t="shared" si="326"/>
        <v xml:space="preserve">12506021931 </v>
      </c>
      <c r="E19799" t="s">
        <v>309</v>
      </c>
      <c r="F19799" t="s">
        <v>310</v>
      </c>
      <c r="G19799">
        <v>69.05</v>
      </c>
      <c r="H19799">
        <v>250131</v>
      </c>
      <c r="I19799">
        <v>4369</v>
      </c>
      <c r="J19799" t="s">
        <v>188</v>
      </c>
      <c r="K19799">
        <v>97.02</v>
      </c>
      <c r="L19799">
        <v>0</v>
      </c>
      <c r="M19799">
        <v>49702</v>
      </c>
      <c r="N19799" t="s">
        <v>112</v>
      </c>
      <c r="O19799">
        <v>250210</v>
      </c>
      <c r="P19799">
        <v>69.05</v>
      </c>
    </row>
    <row r="19800" spans="1:16" x14ac:dyDescent="0.25">
      <c r="A19800" t="s">
        <v>3296</v>
      </c>
      <c r="B19800" t="s">
        <v>2931</v>
      </c>
      <c r="C19800">
        <v>1475</v>
      </c>
      <c r="D19800" t="str">
        <f t="shared" ref="D19800:D19816" si="327">"12506021917 "</f>
        <v xml:space="preserve">12506021917 </v>
      </c>
      <c r="E19800" t="s">
        <v>309</v>
      </c>
      <c r="F19800" t="s">
        <v>310</v>
      </c>
      <c r="G19800">
        <v>3.59</v>
      </c>
      <c r="H19800">
        <v>250131</v>
      </c>
      <c r="I19800">
        <v>4369</v>
      </c>
      <c r="J19800" t="s">
        <v>188</v>
      </c>
      <c r="K19800">
        <v>271.36</v>
      </c>
      <c r="L19800">
        <v>0.73</v>
      </c>
      <c r="M19800">
        <v>54422</v>
      </c>
      <c r="N19800" t="s">
        <v>49</v>
      </c>
      <c r="O19800">
        <v>250210</v>
      </c>
      <c r="P19800">
        <v>2.86</v>
      </c>
    </row>
    <row r="19801" spans="1:16" x14ac:dyDescent="0.25">
      <c r="A19801" t="s">
        <v>3296</v>
      </c>
      <c r="B19801" t="s">
        <v>2931</v>
      </c>
      <c r="C19801">
        <v>1475</v>
      </c>
      <c r="D19801" t="str">
        <f t="shared" si="327"/>
        <v xml:space="preserve">12506021917 </v>
      </c>
      <c r="E19801" t="s">
        <v>309</v>
      </c>
      <c r="F19801" t="s">
        <v>310</v>
      </c>
      <c r="G19801">
        <v>3.39</v>
      </c>
      <c r="H19801">
        <v>250131</v>
      </c>
      <c r="I19801">
        <v>4369</v>
      </c>
      <c r="J19801" t="s">
        <v>188</v>
      </c>
      <c r="K19801">
        <v>271.36</v>
      </c>
      <c r="L19801">
        <v>0.69</v>
      </c>
      <c r="M19801">
        <v>54451</v>
      </c>
      <c r="N19801" t="s">
        <v>218</v>
      </c>
      <c r="O19801">
        <v>250210</v>
      </c>
      <c r="P19801">
        <v>2.7</v>
      </c>
    </row>
    <row r="19802" spans="1:16" x14ac:dyDescent="0.25">
      <c r="A19802" t="s">
        <v>3296</v>
      </c>
      <c r="B19802" t="s">
        <v>2931</v>
      </c>
      <c r="C19802">
        <v>1475</v>
      </c>
      <c r="D19802" t="str">
        <f t="shared" si="327"/>
        <v xml:space="preserve">12506021917 </v>
      </c>
      <c r="E19802" t="s">
        <v>309</v>
      </c>
      <c r="F19802" t="s">
        <v>310</v>
      </c>
      <c r="G19802">
        <v>27.9</v>
      </c>
      <c r="H19802">
        <v>250131</v>
      </c>
      <c r="I19802">
        <v>4369</v>
      </c>
      <c r="J19802" t="s">
        <v>188</v>
      </c>
      <c r="K19802">
        <v>271.36</v>
      </c>
      <c r="L19802">
        <v>5.67</v>
      </c>
      <c r="M19802">
        <v>59111</v>
      </c>
      <c r="N19802" t="s">
        <v>60</v>
      </c>
      <c r="O19802">
        <v>250210</v>
      </c>
      <c r="P19802">
        <v>22.23</v>
      </c>
    </row>
    <row r="19803" spans="1:16" x14ac:dyDescent="0.25">
      <c r="A19803" t="s">
        <v>3296</v>
      </c>
      <c r="B19803" t="s">
        <v>2931</v>
      </c>
      <c r="C19803">
        <v>1475</v>
      </c>
      <c r="D19803" t="str">
        <f t="shared" si="327"/>
        <v xml:space="preserve">12506021917 </v>
      </c>
      <c r="E19803" t="s">
        <v>309</v>
      </c>
      <c r="F19803" t="s">
        <v>310</v>
      </c>
      <c r="G19803">
        <v>3.39</v>
      </c>
      <c r="H19803">
        <v>250131</v>
      </c>
      <c r="I19803">
        <v>4369</v>
      </c>
      <c r="J19803" t="s">
        <v>188</v>
      </c>
      <c r="K19803">
        <v>271.36</v>
      </c>
      <c r="L19803">
        <v>0.69</v>
      </c>
      <c r="M19803">
        <v>59112</v>
      </c>
      <c r="N19803" t="s">
        <v>44</v>
      </c>
      <c r="O19803">
        <v>250210</v>
      </c>
      <c r="P19803">
        <v>2.7</v>
      </c>
    </row>
    <row r="19804" spans="1:16" x14ac:dyDescent="0.25">
      <c r="A19804" t="s">
        <v>3296</v>
      </c>
      <c r="B19804" t="s">
        <v>2931</v>
      </c>
      <c r="C19804">
        <v>1475</v>
      </c>
      <c r="D19804" t="str">
        <f t="shared" si="327"/>
        <v xml:space="preserve">12506021917 </v>
      </c>
      <c r="E19804" t="s">
        <v>309</v>
      </c>
      <c r="F19804" t="s">
        <v>310</v>
      </c>
      <c r="G19804">
        <v>10.5</v>
      </c>
      <c r="H19804">
        <v>250131</v>
      </c>
      <c r="I19804">
        <v>4369</v>
      </c>
      <c r="J19804" t="s">
        <v>188</v>
      </c>
      <c r="K19804">
        <v>271.36</v>
      </c>
      <c r="L19804">
        <v>2.13</v>
      </c>
      <c r="M19804">
        <v>59113</v>
      </c>
      <c r="N19804" t="s">
        <v>61</v>
      </c>
      <c r="O19804">
        <v>250210</v>
      </c>
      <c r="P19804">
        <v>8.3699999999999992</v>
      </c>
    </row>
    <row r="19805" spans="1:16" x14ac:dyDescent="0.25">
      <c r="A19805" t="s">
        <v>3296</v>
      </c>
      <c r="B19805" t="s">
        <v>2931</v>
      </c>
      <c r="C19805">
        <v>1475</v>
      </c>
      <c r="D19805" t="str">
        <f t="shared" si="327"/>
        <v xml:space="preserve">12506021917 </v>
      </c>
      <c r="E19805" t="s">
        <v>309</v>
      </c>
      <c r="F19805" t="s">
        <v>310</v>
      </c>
      <c r="G19805">
        <v>3.39</v>
      </c>
      <c r="H19805">
        <v>250131</v>
      </c>
      <c r="I19805">
        <v>4369</v>
      </c>
      <c r="J19805" t="s">
        <v>188</v>
      </c>
      <c r="K19805">
        <v>271.36</v>
      </c>
      <c r="L19805">
        <v>0.69</v>
      </c>
      <c r="M19805">
        <v>59114</v>
      </c>
      <c r="N19805" t="s">
        <v>299</v>
      </c>
      <c r="O19805">
        <v>250210</v>
      </c>
      <c r="P19805">
        <v>2.7</v>
      </c>
    </row>
    <row r="19806" spans="1:16" x14ac:dyDescent="0.25">
      <c r="A19806" t="s">
        <v>3296</v>
      </c>
      <c r="B19806" t="s">
        <v>2931</v>
      </c>
      <c r="C19806">
        <v>1475</v>
      </c>
      <c r="D19806" t="str">
        <f t="shared" si="327"/>
        <v xml:space="preserve">12506021917 </v>
      </c>
      <c r="E19806" t="s">
        <v>309</v>
      </c>
      <c r="F19806" t="s">
        <v>310</v>
      </c>
      <c r="G19806">
        <v>68.13</v>
      </c>
      <c r="H19806">
        <v>250131</v>
      </c>
      <c r="I19806">
        <v>4369</v>
      </c>
      <c r="J19806" t="s">
        <v>188</v>
      </c>
      <c r="K19806">
        <v>271.36</v>
      </c>
      <c r="L19806">
        <v>13.84</v>
      </c>
      <c r="M19806">
        <v>59501</v>
      </c>
      <c r="N19806" t="s">
        <v>62</v>
      </c>
      <c r="O19806">
        <v>250210</v>
      </c>
      <c r="P19806">
        <v>54.29</v>
      </c>
    </row>
    <row r="19807" spans="1:16" x14ac:dyDescent="0.25">
      <c r="A19807" t="s">
        <v>3296</v>
      </c>
      <c r="B19807" t="s">
        <v>2931</v>
      </c>
      <c r="C19807">
        <v>1475</v>
      </c>
      <c r="D19807" t="str">
        <f t="shared" si="327"/>
        <v xml:space="preserve">12506021917 </v>
      </c>
      <c r="E19807" t="s">
        <v>309</v>
      </c>
      <c r="F19807" t="s">
        <v>310</v>
      </c>
      <c r="G19807">
        <v>40.03</v>
      </c>
      <c r="H19807">
        <v>250131</v>
      </c>
      <c r="I19807">
        <v>4369</v>
      </c>
      <c r="J19807" t="s">
        <v>188</v>
      </c>
      <c r="K19807">
        <v>271.36</v>
      </c>
      <c r="L19807">
        <v>8.1300000000000008</v>
      </c>
      <c r="M19807">
        <v>59502</v>
      </c>
      <c r="N19807" t="s">
        <v>63</v>
      </c>
      <c r="O19807">
        <v>250210</v>
      </c>
      <c r="P19807">
        <v>31.9</v>
      </c>
    </row>
    <row r="19808" spans="1:16" x14ac:dyDescent="0.25">
      <c r="A19808" t="s">
        <v>3296</v>
      </c>
      <c r="B19808" t="s">
        <v>2931</v>
      </c>
      <c r="C19808">
        <v>1475</v>
      </c>
      <c r="D19808" t="str">
        <f t="shared" si="327"/>
        <v xml:space="preserve">12506021917 </v>
      </c>
      <c r="E19808" t="s">
        <v>309</v>
      </c>
      <c r="F19808" t="s">
        <v>310</v>
      </c>
      <c r="G19808">
        <v>10.54</v>
      </c>
      <c r="H19808">
        <v>250131</v>
      </c>
      <c r="I19808">
        <v>4369</v>
      </c>
      <c r="J19808" t="s">
        <v>188</v>
      </c>
      <c r="K19808">
        <v>271.36</v>
      </c>
      <c r="L19808">
        <v>2.14</v>
      </c>
      <c r="M19808">
        <v>59504</v>
      </c>
      <c r="N19808" t="s">
        <v>193</v>
      </c>
      <c r="O19808">
        <v>250210</v>
      </c>
      <c r="P19808">
        <v>8.4</v>
      </c>
    </row>
    <row r="19809" spans="1:16" x14ac:dyDescent="0.25">
      <c r="A19809" t="s">
        <v>3296</v>
      </c>
      <c r="B19809" t="s">
        <v>2931</v>
      </c>
      <c r="C19809">
        <v>1475</v>
      </c>
      <c r="D19809" t="str">
        <f t="shared" si="327"/>
        <v xml:space="preserve">12506021917 </v>
      </c>
      <c r="E19809" t="s">
        <v>309</v>
      </c>
      <c r="F19809" t="s">
        <v>310</v>
      </c>
      <c r="G19809">
        <v>6.78</v>
      </c>
      <c r="H19809">
        <v>250131</v>
      </c>
      <c r="I19809">
        <v>4369</v>
      </c>
      <c r="J19809" t="s">
        <v>188</v>
      </c>
      <c r="K19809">
        <v>271.36</v>
      </c>
      <c r="L19809">
        <v>1.38</v>
      </c>
      <c r="M19809">
        <v>59505</v>
      </c>
      <c r="N19809" t="s">
        <v>194</v>
      </c>
      <c r="O19809">
        <v>250210</v>
      </c>
      <c r="P19809">
        <v>5.4</v>
      </c>
    </row>
    <row r="19810" spans="1:16" x14ac:dyDescent="0.25">
      <c r="A19810" t="s">
        <v>3296</v>
      </c>
      <c r="B19810" t="s">
        <v>2931</v>
      </c>
      <c r="C19810">
        <v>1475</v>
      </c>
      <c r="D19810" t="str">
        <f t="shared" si="327"/>
        <v xml:space="preserve">12506021917 </v>
      </c>
      <c r="E19810" t="s">
        <v>309</v>
      </c>
      <c r="F19810" t="s">
        <v>310</v>
      </c>
      <c r="G19810">
        <v>14.03</v>
      </c>
      <c r="H19810">
        <v>250131</v>
      </c>
      <c r="I19810">
        <v>4369</v>
      </c>
      <c r="J19810" t="s">
        <v>188</v>
      </c>
      <c r="K19810">
        <v>271.36</v>
      </c>
      <c r="L19810">
        <v>2.85</v>
      </c>
      <c r="M19810">
        <v>59701</v>
      </c>
      <c r="N19810" t="s">
        <v>64</v>
      </c>
      <c r="O19810">
        <v>250210</v>
      </c>
      <c r="P19810">
        <v>11.18</v>
      </c>
    </row>
    <row r="19811" spans="1:16" x14ac:dyDescent="0.25">
      <c r="A19811" t="s">
        <v>3296</v>
      </c>
      <c r="B19811" t="s">
        <v>2931</v>
      </c>
      <c r="C19811">
        <v>1475</v>
      </c>
      <c r="D19811" t="str">
        <f t="shared" si="327"/>
        <v xml:space="preserve">12506021917 </v>
      </c>
      <c r="E19811" t="s">
        <v>309</v>
      </c>
      <c r="F19811" t="s">
        <v>310</v>
      </c>
      <c r="G19811">
        <v>24.49</v>
      </c>
      <c r="H19811">
        <v>250131</v>
      </c>
      <c r="I19811">
        <v>4369</v>
      </c>
      <c r="J19811" t="s">
        <v>188</v>
      </c>
      <c r="K19811">
        <v>271.36</v>
      </c>
      <c r="L19811">
        <v>4.9800000000000004</v>
      </c>
      <c r="M19811">
        <v>59702</v>
      </c>
      <c r="N19811" t="s">
        <v>45</v>
      </c>
      <c r="O19811">
        <v>250210</v>
      </c>
      <c r="P19811">
        <v>19.510000000000002</v>
      </c>
    </row>
    <row r="19812" spans="1:16" x14ac:dyDescent="0.25">
      <c r="A19812" t="s">
        <v>3296</v>
      </c>
      <c r="B19812" t="s">
        <v>2931</v>
      </c>
      <c r="C19812">
        <v>1475</v>
      </c>
      <c r="D19812" t="str">
        <f t="shared" si="327"/>
        <v xml:space="preserve">12506021917 </v>
      </c>
      <c r="E19812" t="s">
        <v>309</v>
      </c>
      <c r="F19812" t="s">
        <v>310</v>
      </c>
      <c r="G19812">
        <v>6.59</v>
      </c>
      <c r="H19812">
        <v>250131</v>
      </c>
      <c r="I19812">
        <v>4369</v>
      </c>
      <c r="J19812" t="s">
        <v>188</v>
      </c>
      <c r="K19812">
        <v>271.36</v>
      </c>
      <c r="L19812">
        <v>1.34</v>
      </c>
      <c r="M19812">
        <v>59704</v>
      </c>
      <c r="N19812" t="s">
        <v>46</v>
      </c>
      <c r="O19812">
        <v>250210</v>
      </c>
      <c r="P19812">
        <v>5.25</v>
      </c>
    </row>
    <row r="19813" spans="1:16" x14ac:dyDescent="0.25">
      <c r="A19813" t="s">
        <v>3296</v>
      </c>
      <c r="B19813" t="s">
        <v>2931</v>
      </c>
      <c r="C19813">
        <v>1475</v>
      </c>
      <c r="D19813" t="str">
        <f t="shared" si="327"/>
        <v xml:space="preserve">12506021917 </v>
      </c>
      <c r="E19813" t="s">
        <v>309</v>
      </c>
      <c r="F19813" t="s">
        <v>310</v>
      </c>
      <c r="G19813">
        <v>3.39</v>
      </c>
      <c r="H19813">
        <v>250131</v>
      </c>
      <c r="I19813">
        <v>4369</v>
      </c>
      <c r="J19813" t="s">
        <v>188</v>
      </c>
      <c r="K19813">
        <v>271.36</v>
      </c>
      <c r="L19813">
        <v>0.69</v>
      </c>
      <c r="M19813">
        <v>59705</v>
      </c>
      <c r="N19813" t="s">
        <v>47</v>
      </c>
      <c r="O19813">
        <v>250210</v>
      </c>
      <c r="P19813">
        <v>2.7</v>
      </c>
    </row>
    <row r="19814" spans="1:16" x14ac:dyDescent="0.25">
      <c r="A19814" t="s">
        <v>3296</v>
      </c>
      <c r="B19814" t="s">
        <v>2931</v>
      </c>
      <c r="C19814">
        <v>1475</v>
      </c>
      <c r="D19814" t="str">
        <f t="shared" si="327"/>
        <v xml:space="preserve">12506021917 </v>
      </c>
      <c r="E19814" t="s">
        <v>309</v>
      </c>
      <c r="F19814" t="s">
        <v>310</v>
      </c>
      <c r="G19814">
        <v>19.95</v>
      </c>
      <c r="H19814">
        <v>250131</v>
      </c>
      <c r="I19814">
        <v>4369</v>
      </c>
      <c r="J19814" t="s">
        <v>188</v>
      </c>
      <c r="K19814">
        <v>271.36</v>
      </c>
      <c r="L19814">
        <v>4.05</v>
      </c>
      <c r="M19814">
        <v>59802</v>
      </c>
      <c r="N19814" t="s">
        <v>195</v>
      </c>
      <c r="O19814">
        <v>250210</v>
      </c>
      <c r="P19814">
        <v>15.9</v>
      </c>
    </row>
    <row r="19815" spans="1:16" x14ac:dyDescent="0.25">
      <c r="A19815" t="s">
        <v>3296</v>
      </c>
      <c r="B19815" t="s">
        <v>2931</v>
      </c>
      <c r="C19815">
        <v>1475</v>
      </c>
      <c r="D19815" t="str">
        <f t="shared" si="327"/>
        <v xml:space="preserve">12506021917 </v>
      </c>
      <c r="E19815" t="s">
        <v>309</v>
      </c>
      <c r="F19815" t="s">
        <v>310</v>
      </c>
      <c r="G19815">
        <v>20.86</v>
      </c>
      <c r="H19815">
        <v>250131</v>
      </c>
      <c r="I19815">
        <v>4369</v>
      </c>
      <c r="J19815" t="s">
        <v>188</v>
      </c>
      <c r="K19815">
        <v>271.36</v>
      </c>
      <c r="L19815">
        <v>4.24</v>
      </c>
      <c r="M19815">
        <v>59812</v>
      </c>
      <c r="N19815" t="s">
        <v>196</v>
      </c>
      <c r="O19815">
        <v>250210</v>
      </c>
      <c r="P19815">
        <v>16.62</v>
      </c>
    </row>
    <row r="19816" spans="1:16" x14ac:dyDescent="0.25">
      <c r="A19816" t="s">
        <v>3296</v>
      </c>
      <c r="B19816" t="s">
        <v>2931</v>
      </c>
      <c r="C19816">
        <v>1475</v>
      </c>
      <c r="D19816" t="str">
        <f t="shared" si="327"/>
        <v xml:space="preserve">12506021917 </v>
      </c>
      <c r="E19816" t="s">
        <v>309</v>
      </c>
      <c r="F19816" t="s">
        <v>310</v>
      </c>
      <c r="G19816">
        <v>4.41</v>
      </c>
      <c r="H19816">
        <v>250131</v>
      </c>
      <c r="I19816">
        <v>4369</v>
      </c>
      <c r="J19816" t="s">
        <v>188</v>
      </c>
      <c r="K19816">
        <v>271.36</v>
      </c>
      <c r="L19816">
        <v>0.9</v>
      </c>
      <c r="M19816">
        <v>59815</v>
      </c>
      <c r="N19816" t="s">
        <v>1001</v>
      </c>
      <c r="O19816">
        <v>250210</v>
      </c>
      <c r="P19816">
        <v>3.51</v>
      </c>
    </row>
    <row r="19817" spans="1:16" x14ac:dyDescent="0.25">
      <c r="A19817" t="s">
        <v>3296</v>
      </c>
      <c r="B19817" t="s">
        <v>2931</v>
      </c>
      <c r="C19817">
        <v>1485</v>
      </c>
      <c r="D19817" t="str">
        <f t="shared" ref="D19817:D19827" si="328">"12506021943 "</f>
        <v xml:space="preserve">12506021943 </v>
      </c>
      <c r="E19817" t="s">
        <v>309</v>
      </c>
      <c r="F19817" t="s">
        <v>310</v>
      </c>
      <c r="G19817">
        <v>3.45</v>
      </c>
      <c r="H19817">
        <v>250131</v>
      </c>
      <c r="I19817">
        <v>4369</v>
      </c>
      <c r="J19817" t="s">
        <v>188</v>
      </c>
      <c r="K19817">
        <v>137.61000000000001</v>
      </c>
      <c r="L19817">
        <v>0</v>
      </c>
      <c r="M19817">
        <v>13201</v>
      </c>
      <c r="N19817" t="s">
        <v>269</v>
      </c>
      <c r="O19817">
        <v>250210</v>
      </c>
      <c r="P19817">
        <v>3.45</v>
      </c>
    </row>
    <row r="19818" spans="1:16" x14ac:dyDescent="0.25">
      <c r="A19818" t="s">
        <v>3296</v>
      </c>
      <c r="B19818" t="s">
        <v>2931</v>
      </c>
      <c r="C19818">
        <v>1485</v>
      </c>
      <c r="D19818" t="str">
        <f t="shared" si="328"/>
        <v xml:space="preserve">12506021943 </v>
      </c>
      <c r="E19818" t="s">
        <v>309</v>
      </c>
      <c r="F19818" t="s">
        <v>310</v>
      </c>
      <c r="G19818">
        <v>33.700000000000003</v>
      </c>
      <c r="H19818">
        <v>250131</v>
      </c>
      <c r="I19818">
        <v>4369</v>
      </c>
      <c r="J19818" t="s">
        <v>188</v>
      </c>
      <c r="K19818">
        <v>137.61000000000001</v>
      </c>
      <c r="L19818">
        <v>6.85</v>
      </c>
      <c r="M19818">
        <v>13401</v>
      </c>
      <c r="N19818" t="s">
        <v>10</v>
      </c>
      <c r="O19818">
        <v>250210</v>
      </c>
      <c r="P19818">
        <v>26.85</v>
      </c>
    </row>
    <row r="19819" spans="1:16" x14ac:dyDescent="0.25">
      <c r="A19819" t="s">
        <v>3296</v>
      </c>
      <c r="B19819" t="s">
        <v>2931</v>
      </c>
      <c r="C19819">
        <v>1485</v>
      </c>
      <c r="D19819" t="str">
        <f t="shared" si="328"/>
        <v xml:space="preserve">12506021943 </v>
      </c>
      <c r="E19819" t="s">
        <v>309</v>
      </c>
      <c r="F19819" t="s">
        <v>310</v>
      </c>
      <c r="G19819">
        <v>7.55</v>
      </c>
      <c r="H19819">
        <v>250131</v>
      </c>
      <c r="I19819">
        <v>4369</v>
      </c>
      <c r="J19819" t="s">
        <v>188</v>
      </c>
      <c r="K19819">
        <v>137.61000000000001</v>
      </c>
      <c r="L19819">
        <v>1.53</v>
      </c>
      <c r="M19819">
        <v>13401</v>
      </c>
      <c r="N19819" t="s">
        <v>10</v>
      </c>
      <c r="O19819">
        <v>250210</v>
      </c>
      <c r="P19819">
        <v>6.02</v>
      </c>
    </row>
    <row r="19820" spans="1:16" x14ac:dyDescent="0.25">
      <c r="A19820" t="s">
        <v>3296</v>
      </c>
      <c r="B19820" t="s">
        <v>2931</v>
      </c>
      <c r="C19820">
        <v>1485</v>
      </c>
      <c r="D19820" t="str">
        <f t="shared" si="328"/>
        <v xml:space="preserve">12506021943 </v>
      </c>
      <c r="E19820" t="s">
        <v>309</v>
      </c>
      <c r="F19820" t="s">
        <v>310</v>
      </c>
      <c r="G19820">
        <v>30.52</v>
      </c>
      <c r="H19820">
        <v>250131</v>
      </c>
      <c r="I19820">
        <v>4369</v>
      </c>
      <c r="J19820" t="s">
        <v>188</v>
      </c>
      <c r="K19820">
        <v>137.61000000000001</v>
      </c>
      <c r="L19820">
        <v>6.2</v>
      </c>
      <c r="M19820">
        <v>13501</v>
      </c>
      <c r="N19820" t="s">
        <v>66</v>
      </c>
      <c r="O19820">
        <v>250210</v>
      </c>
      <c r="P19820">
        <v>24.32</v>
      </c>
    </row>
    <row r="19821" spans="1:16" x14ac:dyDescent="0.25">
      <c r="A19821" t="s">
        <v>3296</v>
      </c>
      <c r="B19821" t="s">
        <v>2931</v>
      </c>
      <c r="C19821">
        <v>1485</v>
      </c>
      <c r="D19821" t="str">
        <f t="shared" si="328"/>
        <v xml:space="preserve">12506021943 </v>
      </c>
      <c r="E19821" t="s">
        <v>309</v>
      </c>
      <c r="F19821" t="s">
        <v>310</v>
      </c>
      <c r="G19821">
        <v>3.55</v>
      </c>
      <c r="H19821">
        <v>250131</v>
      </c>
      <c r="I19821">
        <v>4369</v>
      </c>
      <c r="J19821" t="s">
        <v>188</v>
      </c>
      <c r="K19821">
        <v>137.61000000000001</v>
      </c>
      <c r="L19821">
        <v>0.72</v>
      </c>
      <c r="M19821">
        <v>13501</v>
      </c>
      <c r="N19821" t="s">
        <v>66</v>
      </c>
      <c r="O19821">
        <v>250210</v>
      </c>
      <c r="P19821">
        <v>2.83</v>
      </c>
    </row>
    <row r="19822" spans="1:16" x14ac:dyDescent="0.25">
      <c r="A19822" t="s">
        <v>3296</v>
      </c>
      <c r="B19822" t="s">
        <v>2931</v>
      </c>
      <c r="C19822">
        <v>1485</v>
      </c>
      <c r="D19822" t="str">
        <f t="shared" si="328"/>
        <v xml:space="preserve">12506021943 </v>
      </c>
      <c r="E19822" t="s">
        <v>309</v>
      </c>
      <c r="F19822" t="s">
        <v>310</v>
      </c>
      <c r="G19822">
        <v>3.4</v>
      </c>
      <c r="H19822">
        <v>250131</v>
      </c>
      <c r="I19822">
        <v>4369</v>
      </c>
      <c r="J19822" t="s">
        <v>188</v>
      </c>
      <c r="K19822">
        <v>137.61000000000001</v>
      </c>
      <c r="L19822">
        <v>0.69</v>
      </c>
      <c r="M19822">
        <v>13561</v>
      </c>
      <c r="N19822" t="s">
        <v>241</v>
      </c>
      <c r="O19822">
        <v>250210</v>
      </c>
      <c r="P19822">
        <v>2.71</v>
      </c>
    </row>
    <row r="19823" spans="1:16" x14ac:dyDescent="0.25">
      <c r="A19823" t="s">
        <v>3296</v>
      </c>
      <c r="B19823" t="s">
        <v>2931</v>
      </c>
      <c r="C19823">
        <v>1485</v>
      </c>
      <c r="D19823" t="str">
        <f t="shared" si="328"/>
        <v xml:space="preserve">12506021943 </v>
      </c>
      <c r="E19823" t="s">
        <v>309</v>
      </c>
      <c r="F19823" t="s">
        <v>310</v>
      </c>
      <c r="G19823">
        <v>3.4</v>
      </c>
      <c r="H19823">
        <v>250131</v>
      </c>
      <c r="I19823">
        <v>4369</v>
      </c>
      <c r="J19823" t="s">
        <v>188</v>
      </c>
      <c r="K19823">
        <v>137.61000000000001</v>
      </c>
      <c r="L19823">
        <v>0.69</v>
      </c>
      <c r="M19823">
        <v>13601</v>
      </c>
      <c r="N19823" t="s">
        <v>115</v>
      </c>
      <c r="O19823">
        <v>250210</v>
      </c>
      <c r="P19823">
        <v>2.71</v>
      </c>
    </row>
    <row r="19824" spans="1:16" x14ac:dyDescent="0.25">
      <c r="A19824" t="s">
        <v>3296</v>
      </c>
      <c r="B19824" t="s">
        <v>2931</v>
      </c>
      <c r="C19824">
        <v>1485</v>
      </c>
      <c r="D19824" t="str">
        <f t="shared" si="328"/>
        <v xml:space="preserve">12506021943 </v>
      </c>
      <c r="E19824" t="s">
        <v>309</v>
      </c>
      <c r="F19824" t="s">
        <v>310</v>
      </c>
      <c r="G19824">
        <v>3.4</v>
      </c>
      <c r="H19824">
        <v>250131</v>
      </c>
      <c r="I19824">
        <v>4369</v>
      </c>
      <c r="J19824" t="s">
        <v>188</v>
      </c>
      <c r="K19824">
        <v>137.61000000000001</v>
      </c>
      <c r="L19824">
        <v>0.69</v>
      </c>
      <c r="M19824">
        <v>13661</v>
      </c>
      <c r="N19824" t="s">
        <v>243</v>
      </c>
      <c r="O19824">
        <v>250210</v>
      </c>
      <c r="P19824">
        <v>2.71</v>
      </c>
    </row>
    <row r="19825" spans="1:16" x14ac:dyDescent="0.25">
      <c r="A19825" t="s">
        <v>3296</v>
      </c>
      <c r="B19825" t="s">
        <v>2931</v>
      </c>
      <c r="C19825">
        <v>1485</v>
      </c>
      <c r="D19825" t="str">
        <f t="shared" si="328"/>
        <v xml:space="preserve">12506021943 </v>
      </c>
      <c r="E19825" t="s">
        <v>309</v>
      </c>
      <c r="F19825" t="s">
        <v>310</v>
      </c>
      <c r="G19825">
        <v>18.2</v>
      </c>
      <c r="H19825">
        <v>250131</v>
      </c>
      <c r="I19825">
        <v>4369</v>
      </c>
      <c r="J19825" t="s">
        <v>188</v>
      </c>
      <c r="K19825">
        <v>137.61000000000001</v>
      </c>
      <c r="L19825">
        <v>3.7</v>
      </c>
      <c r="M19825">
        <v>13801</v>
      </c>
      <c r="N19825" t="s">
        <v>33</v>
      </c>
      <c r="O19825">
        <v>250210</v>
      </c>
      <c r="P19825">
        <v>14.5</v>
      </c>
    </row>
    <row r="19826" spans="1:16" x14ac:dyDescent="0.25">
      <c r="A19826" t="s">
        <v>3296</v>
      </c>
      <c r="B19826" t="s">
        <v>2931</v>
      </c>
      <c r="C19826">
        <v>1485</v>
      </c>
      <c r="D19826" t="str">
        <f t="shared" si="328"/>
        <v xml:space="preserve">12506021943 </v>
      </c>
      <c r="E19826" t="s">
        <v>309</v>
      </c>
      <c r="F19826" t="s">
        <v>310</v>
      </c>
      <c r="G19826">
        <v>17.100000000000001</v>
      </c>
      <c r="H19826">
        <v>250131</v>
      </c>
      <c r="I19826">
        <v>4369</v>
      </c>
      <c r="J19826" t="s">
        <v>188</v>
      </c>
      <c r="K19826">
        <v>137.61000000000001</v>
      </c>
      <c r="L19826">
        <v>3.47</v>
      </c>
      <c r="M19826">
        <v>13801</v>
      </c>
      <c r="N19826" t="s">
        <v>33</v>
      </c>
      <c r="O19826">
        <v>250210</v>
      </c>
      <c r="P19826">
        <v>13.63</v>
      </c>
    </row>
    <row r="19827" spans="1:16" x14ac:dyDescent="0.25">
      <c r="A19827" t="s">
        <v>3296</v>
      </c>
      <c r="B19827" t="s">
        <v>2931</v>
      </c>
      <c r="C19827">
        <v>1485</v>
      </c>
      <c r="D19827" t="str">
        <f t="shared" si="328"/>
        <v xml:space="preserve">12506021943 </v>
      </c>
      <c r="E19827" t="s">
        <v>309</v>
      </c>
      <c r="F19827" t="s">
        <v>310</v>
      </c>
      <c r="G19827">
        <v>13.34</v>
      </c>
      <c r="H19827">
        <v>250131</v>
      </c>
      <c r="I19827">
        <v>4369</v>
      </c>
      <c r="J19827" t="s">
        <v>188</v>
      </c>
      <c r="K19827">
        <v>137.61000000000001</v>
      </c>
      <c r="L19827">
        <v>2.71</v>
      </c>
      <c r="M19827">
        <v>13802</v>
      </c>
      <c r="N19827" t="s">
        <v>34</v>
      </c>
      <c r="O19827">
        <v>250210</v>
      </c>
      <c r="P19827">
        <v>10.63</v>
      </c>
    </row>
    <row r="19828" spans="1:16" x14ac:dyDescent="0.25">
      <c r="A19828" t="s">
        <v>3296</v>
      </c>
      <c r="B19828" t="s">
        <v>2931</v>
      </c>
      <c r="C19828">
        <v>1509</v>
      </c>
      <c r="D19828" t="str">
        <f t="shared" ref="D19828:D19838" si="329">"12506021924 "</f>
        <v xml:space="preserve">12506021924 </v>
      </c>
      <c r="E19828" t="s">
        <v>309</v>
      </c>
      <c r="F19828" t="s">
        <v>310</v>
      </c>
      <c r="G19828">
        <v>6.78</v>
      </c>
      <c r="H19828">
        <v>250131</v>
      </c>
      <c r="I19828">
        <v>4369</v>
      </c>
      <c r="J19828" t="s">
        <v>188</v>
      </c>
      <c r="K19828">
        <v>81.89</v>
      </c>
      <c r="L19828">
        <v>1.38</v>
      </c>
      <c r="M19828">
        <v>13901</v>
      </c>
      <c r="N19828" t="s">
        <v>116</v>
      </c>
      <c r="O19828">
        <v>250210</v>
      </c>
      <c r="P19828">
        <v>5.4</v>
      </c>
    </row>
    <row r="19829" spans="1:16" x14ac:dyDescent="0.25">
      <c r="A19829" t="s">
        <v>3296</v>
      </c>
      <c r="B19829" t="s">
        <v>2931</v>
      </c>
      <c r="C19829">
        <v>1509</v>
      </c>
      <c r="D19829" t="str">
        <f t="shared" si="329"/>
        <v xml:space="preserve">12506021924 </v>
      </c>
      <c r="E19829" t="s">
        <v>309</v>
      </c>
      <c r="F19829" t="s">
        <v>310</v>
      </c>
      <c r="G19829">
        <v>3.39</v>
      </c>
      <c r="H19829">
        <v>250131</v>
      </c>
      <c r="I19829">
        <v>4369</v>
      </c>
      <c r="J19829" t="s">
        <v>188</v>
      </c>
      <c r="K19829">
        <v>81.89</v>
      </c>
      <c r="L19829">
        <v>0.69</v>
      </c>
      <c r="M19829">
        <v>13901</v>
      </c>
      <c r="N19829" t="s">
        <v>116</v>
      </c>
      <c r="O19829">
        <v>250210</v>
      </c>
      <c r="P19829">
        <v>2.7</v>
      </c>
    </row>
    <row r="19830" spans="1:16" x14ac:dyDescent="0.25">
      <c r="A19830" t="s">
        <v>3296</v>
      </c>
      <c r="B19830" t="s">
        <v>2931</v>
      </c>
      <c r="C19830">
        <v>1509</v>
      </c>
      <c r="D19830" t="str">
        <f t="shared" si="329"/>
        <v xml:space="preserve">12506021924 </v>
      </c>
      <c r="E19830" t="s">
        <v>309</v>
      </c>
      <c r="F19830" t="s">
        <v>310</v>
      </c>
      <c r="G19830">
        <v>3.39</v>
      </c>
      <c r="H19830">
        <v>250131</v>
      </c>
      <c r="I19830">
        <v>4369</v>
      </c>
      <c r="J19830" t="s">
        <v>188</v>
      </c>
      <c r="K19830">
        <v>81.89</v>
      </c>
      <c r="L19830">
        <v>0.69</v>
      </c>
      <c r="M19830">
        <v>13901</v>
      </c>
      <c r="N19830" t="s">
        <v>116</v>
      </c>
      <c r="O19830">
        <v>250210</v>
      </c>
      <c r="P19830">
        <v>2.7</v>
      </c>
    </row>
    <row r="19831" spans="1:16" x14ac:dyDescent="0.25">
      <c r="A19831" t="s">
        <v>3296</v>
      </c>
      <c r="B19831" t="s">
        <v>2931</v>
      </c>
      <c r="C19831">
        <v>1509</v>
      </c>
      <c r="D19831" t="str">
        <f t="shared" si="329"/>
        <v xml:space="preserve">12506021924 </v>
      </c>
      <c r="E19831" t="s">
        <v>309</v>
      </c>
      <c r="F19831" t="s">
        <v>310</v>
      </c>
      <c r="G19831">
        <v>3.39</v>
      </c>
      <c r="H19831">
        <v>250131</v>
      </c>
      <c r="I19831">
        <v>4369</v>
      </c>
      <c r="J19831" t="s">
        <v>188</v>
      </c>
      <c r="K19831">
        <v>81.89</v>
      </c>
      <c r="L19831">
        <v>0.69</v>
      </c>
      <c r="M19831">
        <v>13901</v>
      </c>
      <c r="N19831" t="s">
        <v>116</v>
      </c>
      <c r="O19831">
        <v>250210</v>
      </c>
      <c r="P19831">
        <v>2.7</v>
      </c>
    </row>
    <row r="19832" spans="1:16" x14ac:dyDescent="0.25">
      <c r="A19832" t="s">
        <v>3296</v>
      </c>
      <c r="B19832" t="s">
        <v>2931</v>
      </c>
      <c r="C19832">
        <v>1509</v>
      </c>
      <c r="D19832" t="str">
        <f t="shared" si="329"/>
        <v xml:space="preserve">12506021924 </v>
      </c>
      <c r="E19832" t="s">
        <v>309</v>
      </c>
      <c r="F19832" t="s">
        <v>310</v>
      </c>
      <c r="G19832">
        <v>3.39</v>
      </c>
      <c r="H19832">
        <v>250131</v>
      </c>
      <c r="I19832">
        <v>4369</v>
      </c>
      <c r="J19832" t="s">
        <v>188</v>
      </c>
      <c r="K19832">
        <v>81.89</v>
      </c>
      <c r="L19832">
        <v>0.69</v>
      </c>
      <c r="M19832">
        <v>13901</v>
      </c>
      <c r="N19832" t="s">
        <v>116</v>
      </c>
      <c r="O19832">
        <v>250210</v>
      </c>
      <c r="P19832">
        <v>2.7</v>
      </c>
    </row>
    <row r="19833" spans="1:16" x14ac:dyDescent="0.25">
      <c r="A19833" t="s">
        <v>3296</v>
      </c>
      <c r="B19833" t="s">
        <v>2931</v>
      </c>
      <c r="C19833">
        <v>1509</v>
      </c>
      <c r="D19833" t="str">
        <f t="shared" si="329"/>
        <v xml:space="preserve">12506021924 </v>
      </c>
      <c r="E19833" t="s">
        <v>309</v>
      </c>
      <c r="F19833" t="s">
        <v>310</v>
      </c>
      <c r="G19833">
        <v>3.39</v>
      </c>
      <c r="H19833">
        <v>250131</v>
      </c>
      <c r="I19833">
        <v>4369</v>
      </c>
      <c r="J19833" t="s">
        <v>188</v>
      </c>
      <c r="K19833">
        <v>81.89</v>
      </c>
      <c r="L19833">
        <v>0.69</v>
      </c>
      <c r="M19833">
        <v>13901</v>
      </c>
      <c r="N19833" t="s">
        <v>116</v>
      </c>
      <c r="O19833">
        <v>250210</v>
      </c>
      <c r="P19833">
        <v>2.7</v>
      </c>
    </row>
    <row r="19834" spans="1:16" x14ac:dyDescent="0.25">
      <c r="A19834" t="s">
        <v>3296</v>
      </c>
      <c r="B19834" t="s">
        <v>2931</v>
      </c>
      <c r="C19834">
        <v>1509</v>
      </c>
      <c r="D19834" t="str">
        <f t="shared" si="329"/>
        <v xml:space="preserve">12506021924 </v>
      </c>
      <c r="E19834" t="s">
        <v>309</v>
      </c>
      <c r="F19834" t="s">
        <v>310</v>
      </c>
      <c r="G19834">
        <v>3.37</v>
      </c>
      <c r="H19834">
        <v>250131</v>
      </c>
      <c r="I19834">
        <v>4369</v>
      </c>
      <c r="J19834" t="s">
        <v>188</v>
      </c>
      <c r="K19834">
        <v>81.89</v>
      </c>
      <c r="L19834">
        <v>0.68</v>
      </c>
      <c r="M19834">
        <v>13901</v>
      </c>
      <c r="N19834" t="s">
        <v>116</v>
      </c>
      <c r="O19834">
        <v>250210</v>
      </c>
      <c r="P19834">
        <v>2.69</v>
      </c>
    </row>
    <row r="19835" spans="1:16" x14ac:dyDescent="0.25">
      <c r="A19835" t="s">
        <v>3296</v>
      </c>
      <c r="B19835" t="s">
        <v>2931</v>
      </c>
      <c r="C19835">
        <v>1509</v>
      </c>
      <c r="D19835" t="str">
        <f t="shared" si="329"/>
        <v xml:space="preserve">12506021924 </v>
      </c>
      <c r="E19835" t="s">
        <v>309</v>
      </c>
      <c r="F19835" t="s">
        <v>310</v>
      </c>
      <c r="G19835">
        <v>13.18</v>
      </c>
      <c r="H19835">
        <v>250131</v>
      </c>
      <c r="I19835">
        <v>4369</v>
      </c>
      <c r="J19835" t="s">
        <v>188</v>
      </c>
      <c r="K19835">
        <v>81.89</v>
      </c>
      <c r="L19835">
        <v>2.68</v>
      </c>
      <c r="M19835">
        <v>13940</v>
      </c>
      <c r="N19835" t="s">
        <v>14</v>
      </c>
      <c r="O19835">
        <v>250210</v>
      </c>
      <c r="P19835">
        <v>10.5</v>
      </c>
    </row>
    <row r="19836" spans="1:16" x14ac:dyDescent="0.25">
      <c r="A19836" t="s">
        <v>3296</v>
      </c>
      <c r="B19836" t="s">
        <v>2931</v>
      </c>
      <c r="C19836">
        <v>1509</v>
      </c>
      <c r="D19836" t="str">
        <f t="shared" si="329"/>
        <v xml:space="preserve">12506021924 </v>
      </c>
      <c r="E19836" t="s">
        <v>309</v>
      </c>
      <c r="F19836" t="s">
        <v>310</v>
      </c>
      <c r="G19836">
        <v>3.39</v>
      </c>
      <c r="H19836">
        <v>250131</v>
      </c>
      <c r="I19836">
        <v>4369</v>
      </c>
      <c r="J19836" t="s">
        <v>188</v>
      </c>
      <c r="K19836">
        <v>81.89</v>
      </c>
      <c r="L19836">
        <v>0.69</v>
      </c>
      <c r="M19836">
        <v>16951</v>
      </c>
      <c r="N19836" t="s">
        <v>488</v>
      </c>
      <c r="O19836">
        <v>250210</v>
      </c>
      <c r="P19836">
        <v>2.7</v>
      </c>
    </row>
    <row r="19837" spans="1:16" x14ac:dyDescent="0.25">
      <c r="A19837" t="s">
        <v>3296</v>
      </c>
      <c r="B19837" t="s">
        <v>2931</v>
      </c>
      <c r="C19837">
        <v>1509</v>
      </c>
      <c r="D19837" t="str">
        <f t="shared" si="329"/>
        <v xml:space="preserve">12506021924 </v>
      </c>
      <c r="E19837" t="s">
        <v>309</v>
      </c>
      <c r="F19837" t="s">
        <v>310</v>
      </c>
      <c r="G19837">
        <v>3.79</v>
      </c>
      <c r="H19837">
        <v>250131</v>
      </c>
      <c r="I19837">
        <v>4369</v>
      </c>
      <c r="J19837" t="s">
        <v>188</v>
      </c>
      <c r="K19837">
        <v>81.89</v>
      </c>
      <c r="L19837">
        <v>0.77</v>
      </c>
      <c r="M19837">
        <v>17132</v>
      </c>
      <c r="N19837" t="s">
        <v>174</v>
      </c>
      <c r="O19837">
        <v>250210</v>
      </c>
      <c r="P19837">
        <v>3.02</v>
      </c>
    </row>
    <row r="19838" spans="1:16" x14ac:dyDescent="0.25">
      <c r="A19838" t="s">
        <v>3296</v>
      </c>
      <c r="B19838" t="s">
        <v>2931</v>
      </c>
      <c r="C19838">
        <v>1509</v>
      </c>
      <c r="D19838" t="str">
        <f t="shared" si="329"/>
        <v xml:space="preserve">12506021924 </v>
      </c>
      <c r="E19838" t="s">
        <v>309</v>
      </c>
      <c r="F19838" t="s">
        <v>310</v>
      </c>
      <c r="G19838">
        <v>34.43</v>
      </c>
      <c r="H19838">
        <v>250131</v>
      </c>
      <c r="I19838">
        <v>4369</v>
      </c>
      <c r="J19838" t="s">
        <v>188</v>
      </c>
      <c r="K19838">
        <v>81.89</v>
      </c>
      <c r="L19838">
        <v>7</v>
      </c>
      <c r="M19838">
        <v>18122</v>
      </c>
      <c r="N19838" t="s">
        <v>176</v>
      </c>
      <c r="O19838">
        <v>250210</v>
      </c>
      <c r="P19838">
        <v>27.43</v>
      </c>
    </row>
    <row r="19839" spans="1:16" x14ac:dyDescent="0.25">
      <c r="A19839" t="s">
        <v>3296</v>
      </c>
      <c r="B19839" t="s">
        <v>2931</v>
      </c>
      <c r="C19839">
        <v>1510</v>
      </c>
      <c r="D19839" t="str">
        <f t="shared" ref="D19839:D19848" si="330">"12506021940 "</f>
        <v xml:space="preserve">12506021940 </v>
      </c>
      <c r="E19839" t="s">
        <v>309</v>
      </c>
      <c r="F19839" t="s">
        <v>310</v>
      </c>
      <c r="G19839">
        <v>16.940000000000001</v>
      </c>
      <c r="H19839">
        <v>250131</v>
      </c>
      <c r="I19839">
        <v>4369</v>
      </c>
      <c r="J19839" t="s">
        <v>188</v>
      </c>
      <c r="K19839">
        <v>134.02000000000001</v>
      </c>
      <c r="L19839">
        <v>3.44</v>
      </c>
      <c r="M19839">
        <v>17131</v>
      </c>
      <c r="N19839" t="s">
        <v>154</v>
      </c>
      <c r="O19839">
        <v>250210</v>
      </c>
      <c r="P19839">
        <v>13.5</v>
      </c>
    </row>
    <row r="19840" spans="1:16" x14ac:dyDescent="0.25">
      <c r="A19840" t="s">
        <v>3296</v>
      </c>
      <c r="B19840" t="s">
        <v>2931</v>
      </c>
      <c r="C19840">
        <v>1510</v>
      </c>
      <c r="D19840" t="str">
        <f t="shared" si="330"/>
        <v xml:space="preserve">12506021940 </v>
      </c>
      <c r="E19840" t="s">
        <v>309</v>
      </c>
      <c r="F19840" t="s">
        <v>310</v>
      </c>
      <c r="G19840">
        <v>13.55</v>
      </c>
      <c r="H19840">
        <v>250131</v>
      </c>
      <c r="I19840">
        <v>4369</v>
      </c>
      <c r="J19840" t="s">
        <v>188</v>
      </c>
      <c r="K19840">
        <v>134.02000000000001</v>
      </c>
      <c r="L19840">
        <v>2.75</v>
      </c>
      <c r="M19840">
        <v>17711</v>
      </c>
      <c r="N19840" t="s">
        <v>155</v>
      </c>
      <c r="O19840">
        <v>250210</v>
      </c>
      <c r="P19840">
        <v>10.8</v>
      </c>
    </row>
    <row r="19841" spans="1:16" x14ac:dyDescent="0.25">
      <c r="A19841" t="s">
        <v>3296</v>
      </c>
      <c r="B19841" t="s">
        <v>2931</v>
      </c>
      <c r="C19841">
        <v>1510</v>
      </c>
      <c r="D19841" t="str">
        <f t="shared" si="330"/>
        <v xml:space="preserve">12506021940 </v>
      </c>
      <c r="E19841" t="s">
        <v>309</v>
      </c>
      <c r="F19841" t="s">
        <v>310</v>
      </c>
      <c r="G19841">
        <v>6.84</v>
      </c>
      <c r="H19841">
        <v>250131</v>
      </c>
      <c r="I19841">
        <v>4369</v>
      </c>
      <c r="J19841" t="s">
        <v>188</v>
      </c>
      <c r="K19841">
        <v>134.02000000000001</v>
      </c>
      <c r="L19841">
        <v>1.39</v>
      </c>
      <c r="M19841">
        <v>17737</v>
      </c>
      <c r="N19841" t="s">
        <v>156</v>
      </c>
      <c r="O19841">
        <v>250210</v>
      </c>
      <c r="P19841">
        <v>5.45</v>
      </c>
    </row>
    <row r="19842" spans="1:16" x14ac:dyDescent="0.25">
      <c r="A19842" t="s">
        <v>3296</v>
      </c>
      <c r="B19842" t="s">
        <v>2931</v>
      </c>
      <c r="C19842">
        <v>1510</v>
      </c>
      <c r="D19842" t="str">
        <f t="shared" si="330"/>
        <v xml:space="preserve">12506021940 </v>
      </c>
      <c r="E19842" t="s">
        <v>309</v>
      </c>
      <c r="F19842" t="s">
        <v>310</v>
      </c>
      <c r="G19842">
        <v>37.49</v>
      </c>
      <c r="H19842">
        <v>250131</v>
      </c>
      <c r="I19842">
        <v>4369</v>
      </c>
      <c r="J19842" t="s">
        <v>188</v>
      </c>
      <c r="K19842">
        <v>134.02000000000001</v>
      </c>
      <c r="L19842">
        <v>7.62</v>
      </c>
      <c r="M19842">
        <v>17737</v>
      </c>
      <c r="N19842" t="s">
        <v>156</v>
      </c>
      <c r="O19842">
        <v>250210</v>
      </c>
      <c r="P19842">
        <v>29.87</v>
      </c>
    </row>
    <row r="19843" spans="1:16" x14ac:dyDescent="0.25">
      <c r="A19843" t="s">
        <v>3296</v>
      </c>
      <c r="B19843" t="s">
        <v>2931</v>
      </c>
      <c r="C19843">
        <v>1510</v>
      </c>
      <c r="D19843" t="str">
        <f t="shared" si="330"/>
        <v xml:space="preserve">12506021940 </v>
      </c>
      <c r="E19843" t="s">
        <v>309</v>
      </c>
      <c r="F19843" t="s">
        <v>310</v>
      </c>
      <c r="G19843">
        <v>16.75</v>
      </c>
      <c r="H19843">
        <v>250131</v>
      </c>
      <c r="I19843">
        <v>4369</v>
      </c>
      <c r="J19843" t="s">
        <v>188</v>
      </c>
      <c r="K19843">
        <v>134.02000000000001</v>
      </c>
      <c r="L19843">
        <v>3.4</v>
      </c>
      <c r="M19843">
        <v>17737</v>
      </c>
      <c r="N19843" t="s">
        <v>156</v>
      </c>
      <c r="O19843">
        <v>250210</v>
      </c>
      <c r="P19843">
        <v>13.35</v>
      </c>
    </row>
    <row r="19844" spans="1:16" x14ac:dyDescent="0.25">
      <c r="A19844" t="s">
        <v>3296</v>
      </c>
      <c r="B19844" t="s">
        <v>2931</v>
      </c>
      <c r="C19844">
        <v>1510</v>
      </c>
      <c r="D19844" t="str">
        <f t="shared" si="330"/>
        <v xml:space="preserve">12506021940 </v>
      </c>
      <c r="E19844" t="s">
        <v>309</v>
      </c>
      <c r="F19844" t="s">
        <v>310</v>
      </c>
      <c r="G19844">
        <v>3.39</v>
      </c>
      <c r="H19844">
        <v>250131</v>
      </c>
      <c r="I19844">
        <v>4369</v>
      </c>
      <c r="J19844" t="s">
        <v>188</v>
      </c>
      <c r="K19844">
        <v>134.02000000000001</v>
      </c>
      <c r="L19844">
        <v>0.69</v>
      </c>
      <c r="M19844">
        <v>17912</v>
      </c>
      <c r="N19844" t="s">
        <v>505</v>
      </c>
      <c r="O19844">
        <v>250210</v>
      </c>
      <c r="P19844">
        <v>2.7</v>
      </c>
    </row>
    <row r="19845" spans="1:16" x14ac:dyDescent="0.25">
      <c r="A19845" t="s">
        <v>3296</v>
      </c>
      <c r="B19845" t="s">
        <v>2931</v>
      </c>
      <c r="C19845">
        <v>1510</v>
      </c>
      <c r="D19845" t="str">
        <f t="shared" si="330"/>
        <v xml:space="preserve">12506021940 </v>
      </c>
      <c r="E19845" t="s">
        <v>309</v>
      </c>
      <c r="F19845" t="s">
        <v>310</v>
      </c>
      <c r="G19845">
        <v>3.39</v>
      </c>
      <c r="H19845">
        <v>250131</v>
      </c>
      <c r="I19845">
        <v>4369</v>
      </c>
      <c r="J19845" t="s">
        <v>188</v>
      </c>
      <c r="K19845">
        <v>134.02000000000001</v>
      </c>
      <c r="L19845">
        <v>0.69</v>
      </c>
      <c r="M19845">
        <v>17915</v>
      </c>
      <c r="N19845" t="s">
        <v>305</v>
      </c>
      <c r="O19845">
        <v>250210</v>
      </c>
      <c r="P19845">
        <v>2.7</v>
      </c>
    </row>
    <row r="19846" spans="1:16" x14ac:dyDescent="0.25">
      <c r="A19846" t="s">
        <v>3296</v>
      </c>
      <c r="B19846" t="s">
        <v>2931</v>
      </c>
      <c r="C19846">
        <v>1510</v>
      </c>
      <c r="D19846" t="str">
        <f t="shared" si="330"/>
        <v xml:space="preserve">12506021940 </v>
      </c>
      <c r="E19846" t="s">
        <v>309</v>
      </c>
      <c r="F19846" t="s">
        <v>310</v>
      </c>
      <c r="G19846">
        <v>13.84</v>
      </c>
      <c r="H19846">
        <v>250131</v>
      </c>
      <c r="I19846">
        <v>4369</v>
      </c>
      <c r="J19846" t="s">
        <v>188</v>
      </c>
      <c r="K19846">
        <v>134.02000000000001</v>
      </c>
      <c r="L19846">
        <v>2.81</v>
      </c>
      <c r="M19846">
        <v>17952</v>
      </c>
      <c r="N19846" t="s">
        <v>157</v>
      </c>
      <c r="O19846">
        <v>250210</v>
      </c>
      <c r="P19846">
        <v>11.03</v>
      </c>
    </row>
    <row r="19847" spans="1:16" x14ac:dyDescent="0.25">
      <c r="A19847" t="s">
        <v>3296</v>
      </c>
      <c r="B19847" t="s">
        <v>2931</v>
      </c>
      <c r="C19847">
        <v>1510</v>
      </c>
      <c r="D19847" t="str">
        <f t="shared" si="330"/>
        <v xml:space="preserve">12506021940 </v>
      </c>
      <c r="E19847" t="s">
        <v>309</v>
      </c>
      <c r="F19847" t="s">
        <v>310</v>
      </c>
      <c r="G19847">
        <v>6.78</v>
      </c>
      <c r="H19847">
        <v>250131</v>
      </c>
      <c r="I19847">
        <v>4369</v>
      </c>
      <c r="J19847" t="s">
        <v>188</v>
      </c>
      <c r="K19847">
        <v>134.02000000000001</v>
      </c>
      <c r="L19847">
        <v>1.38</v>
      </c>
      <c r="M19847">
        <v>17971</v>
      </c>
      <c r="N19847" t="s">
        <v>27</v>
      </c>
      <c r="O19847">
        <v>250210</v>
      </c>
      <c r="P19847">
        <v>5.4</v>
      </c>
    </row>
    <row r="19848" spans="1:16" x14ac:dyDescent="0.25">
      <c r="A19848" t="s">
        <v>3296</v>
      </c>
      <c r="B19848" t="s">
        <v>2931</v>
      </c>
      <c r="C19848">
        <v>1510</v>
      </c>
      <c r="D19848" t="str">
        <f t="shared" si="330"/>
        <v xml:space="preserve">12506021940 </v>
      </c>
      <c r="E19848" t="s">
        <v>309</v>
      </c>
      <c r="F19848" t="s">
        <v>310</v>
      </c>
      <c r="G19848">
        <v>15.05</v>
      </c>
      <c r="H19848">
        <v>250131</v>
      </c>
      <c r="I19848">
        <v>4369</v>
      </c>
      <c r="J19848" t="s">
        <v>188</v>
      </c>
      <c r="K19848">
        <v>134.02000000000001</v>
      </c>
      <c r="L19848">
        <v>3.06</v>
      </c>
      <c r="M19848">
        <v>17972</v>
      </c>
      <c r="N19848" t="s">
        <v>28</v>
      </c>
      <c r="O19848">
        <v>250210</v>
      </c>
      <c r="P19848">
        <v>11.99</v>
      </c>
    </row>
    <row r="19849" spans="1:16" x14ac:dyDescent="0.25">
      <c r="A19849" t="s">
        <v>3296</v>
      </c>
      <c r="B19849" t="s">
        <v>2931</v>
      </c>
      <c r="C19849">
        <v>1511</v>
      </c>
      <c r="D19849" t="str">
        <f>"12506021935 "</f>
        <v xml:space="preserve">12506021935 </v>
      </c>
      <c r="E19849" t="s">
        <v>309</v>
      </c>
      <c r="F19849" t="s">
        <v>310</v>
      </c>
      <c r="G19849">
        <v>13.55</v>
      </c>
      <c r="H19849">
        <v>250131</v>
      </c>
      <c r="I19849">
        <v>4369</v>
      </c>
      <c r="J19849" t="s">
        <v>188</v>
      </c>
      <c r="K19849">
        <v>17.14</v>
      </c>
      <c r="L19849">
        <v>2.75</v>
      </c>
      <c r="M19849">
        <v>46555</v>
      </c>
      <c r="N19849" t="s">
        <v>103</v>
      </c>
      <c r="O19849">
        <v>250210</v>
      </c>
      <c r="P19849">
        <v>10.8</v>
      </c>
    </row>
    <row r="19850" spans="1:16" x14ac:dyDescent="0.25">
      <c r="A19850" t="s">
        <v>3296</v>
      </c>
      <c r="B19850" t="s">
        <v>2931</v>
      </c>
      <c r="C19850">
        <v>1511</v>
      </c>
      <c r="D19850" t="str">
        <f>"12506021935 "</f>
        <v xml:space="preserve">12506021935 </v>
      </c>
      <c r="E19850" t="s">
        <v>309</v>
      </c>
      <c r="F19850" t="s">
        <v>310</v>
      </c>
      <c r="G19850">
        <v>3.59</v>
      </c>
      <c r="H19850">
        <v>250131</v>
      </c>
      <c r="I19850">
        <v>4369</v>
      </c>
      <c r="J19850" t="s">
        <v>188</v>
      </c>
      <c r="K19850">
        <v>17.14</v>
      </c>
      <c r="L19850">
        <v>0.73</v>
      </c>
      <c r="M19850">
        <v>48601</v>
      </c>
      <c r="N19850" t="s">
        <v>107</v>
      </c>
      <c r="O19850">
        <v>250210</v>
      </c>
      <c r="P19850">
        <v>2.86</v>
      </c>
    </row>
    <row r="19851" spans="1:16" x14ac:dyDescent="0.25">
      <c r="A19851" t="s">
        <v>3296</v>
      </c>
      <c r="B19851" t="s">
        <v>2931</v>
      </c>
      <c r="C19851">
        <v>1512</v>
      </c>
      <c r="D19851" t="str">
        <f>"12506021929 "</f>
        <v xml:space="preserve">12506021929 </v>
      </c>
      <c r="E19851" t="s">
        <v>309</v>
      </c>
      <c r="F19851" t="s">
        <v>310</v>
      </c>
      <c r="G19851">
        <v>17.71</v>
      </c>
      <c r="H19851">
        <v>250131</v>
      </c>
      <c r="I19851">
        <v>4369</v>
      </c>
      <c r="J19851" t="s">
        <v>188</v>
      </c>
      <c r="K19851">
        <v>32.909999999999997</v>
      </c>
      <c r="L19851">
        <v>3.6</v>
      </c>
      <c r="M19851">
        <v>46554</v>
      </c>
      <c r="N19851" t="s">
        <v>102</v>
      </c>
      <c r="O19851">
        <v>250210</v>
      </c>
      <c r="P19851">
        <v>14.11</v>
      </c>
    </row>
    <row r="19852" spans="1:16" x14ac:dyDescent="0.25">
      <c r="A19852" t="s">
        <v>3296</v>
      </c>
      <c r="B19852" t="s">
        <v>2931</v>
      </c>
      <c r="C19852">
        <v>1512</v>
      </c>
      <c r="D19852" t="str">
        <f>"12506021929 "</f>
        <v xml:space="preserve">12506021929 </v>
      </c>
      <c r="E19852" t="s">
        <v>309</v>
      </c>
      <c r="F19852" t="s">
        <v>310</v>
      </c>
      <c r="G19852">
        <v>15.2</v>
      </c>
      <c r="H19852">
        <v>250131</v>
      </c>
      <c r="I19852">
        <v>4369</v>
      </c>
      <c r="J19852" t="s">
        <v>188</v>
      </c>
      <c r="K19852">
        <v>32.909999999999997</v>
      </c>
      <c r="L19852">
        <v>3.09</v>
      </c>
      <c r="M19852">
        <v>46554</v>
      </c>
      <c r="N19852" t="s">
        <v>102</v>
      </c>
      <c r="O19852">
        <v>250210</v>
      </c>
      <c r="P19852">
        <v>12.11</v>
      </c>
    </row>
    <row r="19853" spans="1:16" x14ac:dyDescent="0.25">
      <c r="A19853" t="s">
        <v>3296</v>
      </c>
      <c r="B19853" t="s">
        <v>2931</v>
      </c>
      <c r="C19853">
        <v>1513</v>
      </c>
      <c r="D19853" t="str">
        <f>"12506021934 "</f>
        <v xml:space="preserve">12506021934 </v>
      </c>
      <c r="E19853" t="s">
        <v>309</v>
      </c>
      <c r="F19853" t="s">
        <v>310</v>
      </c>
      <c r="G19853">
        <v>7.02</v>
      </c>
      <c r="H19853">
        <v>250131</v>
      </c>
      <c r="I19853">
        <v>4369</v>
      </c>
      <c r="J19853" t="s">
        <v>188</v>
      </c>
      <c r="K19853">
        <v>7.02</v>
      </c>
      <c r="L19853">
        <v>1.43</v>
      </c>
      <c r="M19853">
        <v>49112</v>
      </c>
      <c r="N19853" t="s">
        <v>109</v>
      </c>
      <c r="O19853">
        <v>250210</v>
      </c>
      <c r="P19853">
        <v>5.59</v>
      </c>
    </row>
    <row r="19854" spans="1:16" x14ac:dyDescent="0.25">
      <c r="A19854" t="s">
        <v>3296</v>
      </c>
      <c r="B19854" t="s">
        <v>2931</v>
      </c>
      <c r="C19854">
        <v>1514</v>
      </c>
      <c r="D19854" t="str">
        <f t="shared" ref="D19854:D19878" si="331">"12506021941 "</f>
        <v xml:space="preserve">12506021941 </v>
      </c>
      <c r="E19854" t="s">
        <v>309</v>
      </c>
      <c r="F19854" t="s">
        <v>310</v>
      </c>
      <c r="G19854">
        <v>1.49</v>
      </c>
      <c r="H19854">
        <v>250131</v>
      </c>
      <c r="I19854">
        <v>4369</v>
      </c>
      <c r="J19854" t="s">
        <v>188</v>
      </c>
      <c r="K19854">
        <v>237.76</v>
      </c>
      <c r="L19854">
        <v>0.3</v>
      </c>
      <c r="M19854">
        <v>13540</v>
      </c>
      <c r="N19854" t="s">
        <v>131</v>
      </c>
      <c r="O19854">
        <v>250210</v>
      </c>
      <c r="P19854">
        <v>1.19</v>
      </c>
    </row>
    <row r="19855" spans="1:16" x14ac:dyDescent="0.25">
      <c r="A19855" t="s">
        <v>3296</v>
      </c>
      <c r="B19855" t="s">
        <v>2931</v>
      </c>
      <c r="C19855">
        <v>1514</v>
      </c>
      <c r="D19855" t="str">
        <f t="shared" si="331"/>
        <v xml:space="preserve">12506021941 </v>
      </c>
      <c r="E19855" t="s">
        <v>309</v>
      </c>
      <c r="F19855" t="s">
        <v>310</v>
      </c>
      <c r="G19855">
        <v>9.98</v>
      </c>
      <c r="H19855">
        <v>250131</v>
      </c>
      <c r="I19855">
        <v>4369</v>
      </c>
      <c r="J19855" t="s">
        <v>188</v>
      </c>
      <c r="K19855">
        <v>237.76</v>
      </c>
      <c r="L19855">
        <v>2.0299999999999998</v>
      </c>
      <c r="M19855">
        <v>16930</v>
      </c>
      <c r="N19855" t="s">
        <v>135</v>
      </c>
      <c r="O19855">
        <v>250210</v>
      </c>
      <c r="P19855">
        <v>7.95</v>
      </c>
    </row>
    <row r="19856" spans="1:16" x14ac:dyDescent="0.25">
      <c r="A19856" t="s">
        <v>3296</v>
      </c>
      <c r="B19856" t="s">
        <v>2931</v>
      </c>
      <c r="C19856">
        <v>1514</v>
      </c>
      <c r="D19856" t="str">
        <f t="shared" si="331"/>
        <v xml:space="preserve">12506021941 </v>
      </c>
      <c r="E19856" t="s">
        <v>309</v>
      </c>
      <c r="F19856" t="s">
        <v>310</v>
      </c>
      <c r="G19856">
        <v>14.46</v>
      </c>
      <c r="H19856">
        <v>250131</v>
      </c>
      <c r="I19856">
        <v>4369</v>
      </c>
      <c r="J19856" t="s">
        <v>188</v>
      </c>
      <c r="K19856">
        <v>237.76</v>
      </c>
      <c r="L19856">
        <v>2.94</v>
      </c>
      <c r="M19856">
        <v>17521</v>
      </c>
      <c r="N19856" t="s">
        <v>136</v>
      </c>
      <c r="O19856">
        <v>250210</v>
      </c>
      <c r="P19856">
        <v>11.52</v>
      </c>
    </row>
    <row r="19857" spans="1:16" x14ac:dyDescent="0.25">
      <c r="A19857" t="s">
        <v>3296</v>
      </c>
      <c r="B19857" t="s">
        <v>2931</v>
      </c>
      <c r="C19857">
        <v>1514</v>
      </c>
      <c r="D19857" t="str">
        <f t="shared" si="331"/>
        <v xml:space="preserve">12506021941 </v>
      </c>
      <c r="E19857" t="s">
        <v>309</v>
      </c>
      <c r="F19857" t="s">
        <v>310</v>
      </c>
      <c r="G19857">
        <v>6.84</v>
      </c>
      <c r="H19857">
        <v>250131</v>
      </c>
      <c r="I19857">
        <v>4369</v>
      </c>
      <c r="J19857" t="s">
        <v>188</v>
      </c>
      <c r="K19857">
        <v>237.76</v>
      </c>
      <c r="L19857">
        <v>1.39</v>
      </c>
      <c r="M19857">
        <v>17522</v>
      </c>
      <c r="N19857" t="s">
        <v>137</v>
      </c>
      <c r="O19857">
        <v>250210</v>
      </c>
      <c r="P19857">
        <v>5.45</v>
      </c>
    </row>
    <row r="19858" spans="1:16" x14ac:dyDescent="0.25">
      <c r="A19858" t="s">
        <v>3296</v>
      </c>
      <c r="B19858" t="s">
        <v>2931</v>
      </c>
      <c r="C19858">
        <v>1514</v>
      </c>
      <c r="D19858" t="str">
        <f t="shared" si="331"/>
        <v xml:space="preserve">12506021941 </v>
      </c>
      <c r="E19858" t="s">
        <v>309</v>
      </c>
      <c r="F19858" t="s">
        <v>310</v>
      </c>
      <c r="G19858">
        <v>13.78</v>
      </c>
      <c r="H19858">
        <v>250131</v>
      </c>
      <c r="I19858">
        <v>4369</v>
      </c>
      <c r="J19858" t="s">
        <v>188</v>
      </c>
      <c r="K19858">
        <v>237.76</v>
      </c>
      <c r="L19858">
        <v>2.8</v>
      </c>
      <c r="M19858">
        <v>17523</v>
      </c>
      <c r="N19858" t="s">
        <v>138</v>
      </c>
      <c r="O19858">
        <v>250210</v>
      </c>
      <c r="P19858">
        <v>10.98</v>
      </c>
    </row>
    <row r="19859" spans="1:16" x14ac:dyDescent="0.25">
      <c r="A19859" t="s">
        <v>3296</v>
      </c>
      <c r="B19859" t="s">
        <v>2931</v>
      </c>
      <c r="C19859">
        <v>1514</v>
      </c>
      <c r="D19859" t="str">
        <f t="shared" si="331"/>
        <v xml:space="preserve">12506021941 </v>
      </c>
      <c r="E19859" t="s">
        <v>309</v>
      </c>
      <c r="F19859" t="s">
        <v>310</v>
      </c>
      <c r="G19859">
        <v>13.5</v>
      </c>
      <c r="H19859">
        <v>250131</v>
      </c>
      <c r="I19859">
        <v>4369</v>
      </c>
      <c r="J19859" t="s">
        <v>188</v>
      </c>
      <c r="K19859">
        <v>237.76</v>
      </c>
      <c r="L19859">
        <v>2.74</v>
      </c>
      <c r="M19859">
        <v>17524</v>
      </c>
      <c r="N19859" t="s">
        <v>139</v>
      </c>
      <c r="O19859">
        <v>250210</v>
      </c>
      <c r="P19859">
        <v>10.76</v>
      </c>
    </row>
    <row r="19860" spans="1:16" x14ac:dyDescent="0.25">
      <c r="A19860" t="s">
        <v>3296</v>
      </c>
      <c r="B19860" t="s">
        <v>2931</v>
      </c>
      <c r="C19860">
        <v>1514</v>
      </c>
      <c r="D19860" t="str">
        <f t="shared" si="331"/>
        <v xml:space="preserve">12506021941 </v>
      </c>
      <c r="E19860" t="s">
        <v>309</v>
      </c>
      <c r="F19860" t="s">
        <v>310</v>
      </c>
      <c r="G19860">
        <v>3.9</v>
      </c>
      <c r="H19860">
        <v>250131</v>
      </c>
      <c r="I19860">
        <v>4369</v>
      </c>
      <c r="J19860" t="s">
        <v>188</v>
      </c>
      <c r="K19860">
        <v>237.76</v>
      </c>
      <c r="L19860">
        <v>0.79</v>
      </c>
      <c r="M19860">
        <v>17525</v>
      </c>
      <c r="N19860" t="s">
        <v>140</v>
      </c>
      <c r="O19860">
        <v>250210</v>
      </c>
      <c r="P19860">
        <v>3.11</v>
      </c>
    </row>
    <row r="19861" spans="1:16" x14ac:dyDescent="0.25">
      <c r="A19861" t="s">
        <v>3296</v>
      </c>
      <c r="B19861" t="s">
        <v>2931</v>
      </c>
      <c r="C19861">
        <v>1514</v>
      </c>
      <c r="D19861" t="str">
        <f t="shared" si="331"/>
        <v xml:space="preserve">12506021941 </v>
      </c>
      <c r="E19861" t="s">
        <v>309</v>
      </c>
      <c r="F19861" t="s">
        <v>310</v>
      </c>
      <c r="G19861">
        <v>6.78</v>
      </c>
      <c r="H19861">
        <v>250131</v>
      </c>
      <c r="I19861">
        <v>4369</v>
      </c>
      <c r="J19861" t="s">
        <v>188</v>
      </c>
      <c r="K19861">
        <v>237.76</v>
      </c>
      <c r="L19861">
        <v>1.38</v>
      </c>
      <c r="M19861">
        <v>17526</v>
      </c>
      <c r="N19861" t="s">
        <v>141</v>
      </c>
      <c r="O19861">
        <v>250210</v>
      </c>
      <c r="P19861">
        <v>5.4</v>
      </c>
    </row>
    <row r="19862" spans="1:16" x14ac:dyDescent="0.25">
      <c r="A19862" t="s">
        <v>3296</v>
      </c>
      <c r="B19862" t="s">
        <v>2931</v>
      </c>
      <c r="C19862">
        <v>1514</v>
      </c>
      <c r="D19862" t="str">
        <f t="shared" si="331"/>
        <v xml:space="preserve">12506021941 </v>
      </c>
      <c r="E19862" t="s">
        <v>309</v>
      </c>
      <c r="F19862" t="s">
        <v>310</v>
      </c>
      <c r="G19862">
        <v>11.42</v>
      </c>
      <c r="H19862">
        <v>250131</v>
      </c>
      <c r="I19862">
        <v>4369</v>
      </c>
      <c r="J19862" t="s">
        <v>188</v>
      </c>
      <c r="K19862">
        <v>237.76</v>
      </c>
      <c r="L19862">
        <v>2.3199999999999998</v>
      </c>
      <c r="M19862">
        <v>17527</v>
      </c>
      <c r="N19862" t="s">
        <v>142</v>
      </c>
      <c r="O19862">
        <v>250210</v>
      </c>
      <c r="P19862">
        <v>9.1</v>
      </c>
    </row>
    <row r="19863" spans="1:16" x14ac:dyDescent="0.25">
      <c r="A19863" t="s">
        <v>3296</v>
      </c>
      <c r="B19863" t="s">
        <v>2931</v>
      </c>
      <c r="C19863">
        <v>1514</v>
      </c>
      <c r="D19863" t="str">
        <f t="shared" si="331"/>
        <v xml:space="preserve">12506021941 </v>
      </c>
      <c r="E19863" t="s">
        <v>309</v>
      </c>
      <c r="F19863" t="s">
        <v>310</v>
      </c>
      <c r="G19863">
        <v>6.78</v>
      </c>
      <c r="H19863">
        <v>250131</v>
      </c>
      <c r="I19863">
        <v>4369</v>
      </c>
      <c r="J19863" t="s">
        <v>188</v>
      </c>
      <c r="K19863">
        <v>237.76</v>
      </c>
      <c r="L19863">
        <v>1.38</v>
      </c>
      <c r="M19863">
        <v>17529</v>
      </c>
      <c r="N19863" t="s">
        <v>143</v>
      </c>
      <c r="O19863">
        <v>250210</v>
      </c>
      <c r="P19863">
        <v>5.4</v>
      </c>
    </row>
    <row r="19864" spans="1:16" x14ac:dyDescent="0.25">
      <c r="A19864" t="s">
        <v>3296</v>
      </c>
      <c r="B19864" t="s">
        <v>2931</v>
      </c>
      <c r="C19864">
        <v>1514</v>
      </c>
      <c r="D19864" t="str">
        <f t="shared" si="331"/>
        <v xml:space="preserve">12506021941 </v>
      </c>
      <c r="E19864" t="s">
        <v>309</v>
      </c>
      <c r="F19864" t="s">
        <v>310</v>
      </c>
      <c r="G19864">
        <v>12.64</v>
      </c>
      <c r="H19864">
        <v>250131</v>
      </c>
      <c r="I19864">
        <v>4369</v>
      </c>
      <c r="J19864" t="s">
        <v>188</v>
      </c>
      <c r="K19864">
        <v>237.76</v>
      </c>
      <c r="L19864">
        <v>2.57</v>
      </c>
      <c r="M19864">
        <v>17530</v>
      </c>
      <c r="N19864" t="s">
        <v>144</v>
      </c>
      <c r="O19864">
        <v>250210</v>
      </c>
      <c r="P19864">
        <v>10.07</v>
      </c>
    </row>
    <row r="19865" spans="1:16" x14ac:dyDescent="0.25">
      <c r="A19865" t="s">
        <v>3296</v>
      </c>
      <c r="B19865" t="s">
        <v>2931</v>
      </c>
      <c r="C19865">
        <v>1514</v>
      </c>
      <c r="D19865" t="str">
        <f t="shared" si="331"/>
        <v xml:space="preserve">12506021941 </v>
      </c>
      <c r="E19865" t="s">
        <v>309</v>
      </c>
      <c r="F19865" t="s">
        <v>310</v>
      </c>
      <c r="G19865">
        <v>19.77</v>
      </c>
      <c r="H19865">
        <v>250131</v>
      </c>
      <c r="I19865">
        <v>4369</v>
      </c>
      <c r="J19865" t="s">
        <v>188</v>
      </c>
      <c r="K19865">
        <v>237.76</v>
      </c>
      <c r="L19865">
        <v>4.0199999999999996</v>
      </c>
      <c r="M19865">
        <v>17531</v>
      </c>
      <c r="N19865" t="s">
        <v>145</v>
      </c>
      <c r="O19865">
        <v>250210</v>
      </c>
      <c r="P19865">
        <v>15.75</v>
      </c>
    </row>
    <row r="19866" spans="1:16" x14ac:dyDescent="0.25">
      <c r="A19866" t="s">
        <v>3296</v>
      </c>
      <c r="B19866" t="s">
        <v>2931</v>
      </c>
      <c r="C19866">
        <v>1514</v>
      </c>
      <c r="D19866" t="str">
        <f t="shared" si="331"/>
        <v xml:space="preserve">12506021941 </v>
      </c>
      <c r="E19866" t="s">
        <v>309</v>
      </c>
      <c r="F19866" t="s">
        <v>310</v>
      </c>
      <c r="G19866">
        <v>12.99</v>
      </c>
      <c r="H19866">
        <v>250131</v>
      </c>
      <c r="I19866">
        <v>4369</v>
      </c>
      <c r="J19866" t="s">
        <v>188</v>
      </c>
      <c r="K19866">
        <v>237.76</v>
      </c>
      <c r="L19866">
        <v>2.64</v>
      </c>
      <c r="M19866">
        <v>17532</v>
      </c>
      <c r="N19866" t="s">
        <v>146</v>
      </c>
      <c r="O19866">
        <v>250210</v>
      </c>
      <c r="P19866">
        <v>10.35</v>
      </c>
    </row>
    <row r="19867" spans="1:16" x14ac:dyDescent="0.25">
      <c r="A19867" t="s">
        <v>3296</v>
      </c>
      <c r="B19867" t="s">
        <v>2931</v>
      </c>
      <c r="C19867">
        <v>1514</v>
      </c>
      <c r="D19867" t="str">
        <f t="shared" si="331"/>
        <v xml:space="preserve">12506021941 </v>
      </c>
      <c r="E19867" t="s">
        <v>309</v>
      </c>
      <c r="F19867" t="s">
        <v>310</v>
      </c>
      <c r="G19867">
        <v>6.84</v>
      </c>
      <c r="H19867">
        <v>250131</v>
      </c>
      <c r="I19867">
        <v>4369</v>
      </c>
      <c r="J19867" t="s">
        <v>188</v>
      </c>
      <c r="K19867">
        <v>237.76</v>
      </c>
      <c r="L19867">
        <v>1.39</v>
      </c>
      <c r="M19867">
        <v>17533</v>
      </c>
      <c r="N19867" t="s">
        <v>147</v>
      </c>
      <c r="O19867">
        <v>250210</v>
      </c>
      <c r="P19867">
        <v>5.45</v>
      </c>
    </row>
    <row r="19868" spans="1:16" x14ac:dyDescent="0.25">
      <c r="A19868" t="s">
        <v>3296</v>
      </c>
      <c r="B19868" t="s">
        <v>2931</v>
      </c>
      <c r="C19868">
        <v>1514</v>
      </c>
      <c r="D19868" t="str">
        <f t="shared" si="331"/>
        <v xml:space="preserve">12506021941 </v>
      </c>
      <c r="E19868" t="s">
        <v>309</v>
      </c>
      <c r="F19868" t="s">
        <v>310</v>
      </c>
      <c r="G19868">
        <v>6.78</v>
      </c>
      <c r="H19868">
        <v>250131</v>
      </c>
      <c r="I19868">
        <v>4369</v>
      </c>
      <c r="J19868" t="s">
        <v>188</v>
      </c>
      <c r="K19868">
        <v>237.76</v>
      </c>
      <c r="L19868">
        <v>1.38</v>
      </c>
      <c r="M19868">
        <v>17534</v>
      </c>
      <c r="N19868" t="s">
        <v>148</v>
      </c>
      <c r="O19868">
        <v>250210</v>
      </c>
      <c r="P19868">
        <v>5.4</v>
      </c>
    </row>
    <row r="19869" spans="1:16" x14ac:dyDescent="0.25">
      <c r="A19869" t="s">
        <v>3296</v>
      </c>
      <c r="B19869" t="s">
        <v>2931</v>
      </c>
      <c r="C19869">
        <v>1514</v>
      </c>
      <c r="D19869" t="str">
        <f t="shared" si="331"/>
        <v xml:space="preserve">12506021941 </v>
      </c>
      <c r="E19869" t="s">
        <v>309</v>
      </c>
      <c r="F19869" t="s">
        <v>310</v>
      </c>
      <c r="G19869">
        <v>3.39</v>
      </c>
      <c r="H19869">
        <v>250131</v>
      </c>
      <c r="I19869">
        <v>4369</v>
      </c>
      <c r="J19869" t="s">
        <v>188</v>
      </c>
      <c r="K19869">
        <v>237.76</v>
      </c>
      <c r="L19869">
        <v>0.69</v>
      </c>
      <c r="M19869">
        <v>17535</v>
      </c>
      <c r="N19869" t="s">
        <v>149</v>
      </c>
      <c r="O19869">
        <v>250210</v>
      </c>
      <c r="P19869">
        <v>2.7</v>
      </c>
    </row>
    <row r="19870" spans="1:16" x14ac:dyDescent="0.25">
      <c r="A19870" t="s">
        <v>3296</v>
      </c>
      <c r="B19870" t="s">
        <v>2931</v>
      </c>
      <c r="C19870">
        <v>1514</v>
      </c>
      <c r="D19870" t="str">
        <f t="shared" si="331"/>
        <v xml:space="preserve">12506021941 </v>
      </c>
      <c r="E19870" t="s">
        <v>309</v>
      </c>
      <c r="F19870" t="s">
        <v>310</v>
      </c>
      <c r="G19870">
        <v>6.78</v>
      </c>
      <c r="H19870">
        <v>250131</v>
      </c>
      <c r="I19870">
        <v>4369</v>
      </c>
      <c r="J19870" t="s">
        <v>188</v>
      </c>
      <c r="K19870">
        <v>237.76</v>
      </c>
      <c r="L19870">
        <v>1.38</v>
      </c>
      <c r="M19870">
        <v>17536</v>
      </c>
      <c r="N19870" t="s">
        <v>150</v>
      </c>
      <c r="O19870">
        <v>250210</v>
      </c>
      <c r="P19870">
        <v>5.4</v>
      </c>
    </row>
    <row r="19871" spans="1:16" x14ac:dyDescent="0.25">
      <c r="A19871" t="s">
        <v>3296</v>
      </c>
      <c r="B19871" t="s">
        <v>2931</v>
      </c>
      <c r="C19871">
        <v>1514</v>
      </c>
      <c r="D19871" t="str">
        <f t="shared" si="331"/>
        <v xml:space="preserve">12506021941 </v>
      </c>
      <c r="E19871" t="s">
        <v>309</v>
      </c>
      <c r="F19871" t="s">
        <v>310</v>
      </c>
      <c r="G19871">
        <v>13.18</v>
      </c>
      <c r="H19871">
        <v>250131</v>
      </c>
      <c r="I19871">
        <v>4369</v>
      </c>
      <c r="J19871" t="s">
        <v>188</v>
      </c>
      <c r="K19871">
        <v>237.76</v>
      </c>
      <c r="L19871">
        <v>2.68</v>
      </c>
      <c r="M19871">
        <v>17537</v>
      </c>
      <c r="N19871" t="s">
        <v>151</v>
      </c>
      <c r="O19871">
        <v>250210</v>
      </c>
      <c r="P19871">
        <v>10.5</v>
      </c>
    </row>
    <row r="19872" spans="1:16" x14ac:dyDescent="0.25">
      <c r="A19872" t="s">
        <v>3296</v>
      </c>
      <c r="B19872" t="s">
        <v>2931</v>
      </c>
      <c r="C19872">
        <v>1514</v>
      </c>
      <c r="D19872" t="str">
        <f t="shared" si="331"/>
        <v xml:space="preserve">12506021941 </v>
      </c>
      <c r="E19872" t="s">
        <v>309</v>
      </c>
      <c r="F19872" t="s">
        <v>310</v>
      </c>
      <c r="G19872">
        <v>13.37</v>
      </c>
      <c r="H19872">
        <v>250131</v>
      </c>
      <c r="I19872">
        <v>4369</v>
      </c>
      <c r="J19872" t="s">
        <v>188</v>
      </c>
      <c r="K19872">
        <v>237.76</v>
      </c>
      <c r="L19872">
        <v>2.72</v>
      </c>
      <c r="M19872">
        <v>17538</v>
      </c>
      <c r="N19872" t="s">
        <v>129</v>
      </c>
      <c r="O19872">
        <v>250210</v>
      </c>
      <c r="P19872">
        <v>10.65</v>
      </c>
    </row>
    <row r="19873" spans="1:16" x14ac:dyDescent="0.25">
      <c r="A19873" t="s">
        <v>3296</v>
      </c>
      <c r="B19873" t="s">
        <v>2931</v>
      </c>
      <c r="C19873">
        <v>1514</v>
      </c>
      <c r="D19873" t="str">
        <f t="shared" si="331"/>
        <v xml:space="preserve">12506021941 </v>
      </c>
      <c r="E19873" t="s">
        <v>309</v>
      </c>
      <c r="F19873" t="s">
        <v>310</v>
      </c>
      <c r="G19873">
        <v>12.06</v>
      </c>
      <c r="H19873">
        <v>250131</v>
      </c>
      <c r="I19873">
        <v>4369</v>
      </c>
      <c r="J19873" t="s">
        <v>188</v>
      </c>
      <c r="K19873">
        <v>237.76</v>
      </c>
      <c r="L19873">
        <v>2.4500000000000002</v>
      </c>
      <c r="M19873">
        <v>17950</v>
      </c>
      <c r="N19873" t="s">
        <v>132</v>
      </c>
      <c r="O19873">
        <v>250210</v>
      </c>
      <c r="P19873">
        <v>9.61</v>
      </c>
    </row>
    <row r="19874" spans="1:16" x14ac:dyDescent="0.25">
      <c r="A19874" t="s">
        <v>3296</v>
      </c>
      <c r="B19874" t="s">
        <v>2931</v>
      </c>
      <c r="C19874">
        <v>1514</v>
      </c>
      <c r="D19874" t="str">
        <f t="shared" si="331"/>
        <v xml:space="preserve">12506021941 </v>
      </c>
      <c r="E19874" t="s">
        <v>309</v>
      </c>
      <c r="F19874" t="s">
        <v>310</v>
      </c>
      <c r="G19874">
        <v>3.39</v>
      </c>
      <c r="H19874">
        <v>250131</v>
      </c>
      <c r="I19874">
        <v>4369</v>
      </c>
      <c r="J19874" t="s">
        <v>188</v>
      </c>
      <c r="K19874">
        <v>237.76</v>
      </c>
      <c r="L19874">
        <v>0.69</v>
      </c>
      <c r="M19874">
        <v>17956</v>
      </c>
      <c r="N19874" t="s">
        <v>170</v>
      </c>
      <c r="O19874">
        <v>250210</v>
      </c>
      <c r="P19874">
        <v>2.7</v>
      </c>
    </row>
    <row r="19875" spans="1:16" x14ac:dyDescent="0.25">
      <c r="A19875" t="s">
        <v>3296</v>
      </c>
      <c r="B19875" t="s">
        <v>2931</v>
      </c>
      <c r="C19875">
        <v>1514</v>
      </c>
      <c r="D19875" t="str">
        <f t="shared" si="331"/>
        <v xml:space="preserve">12506021941 </v>
      </c>
      <c r="E19875" t="s">
        <v>309</v>
      </c>
      <c r="F19875" t="s">
        <v>310</v>
      </c>
      <c r="G19875">
        <v>17.13</v>
      </c>
      <c r="H19875">
        <v>250131</v>
      </c>
      <c r="I19875">
        <v>4369</v>
      </c>
      <c r="J19875" t="s">
        <v>188</v>
      </c>
      <c r="K19875">
        <v>237.76</v>
      </c>
      <c r="L19875">
        <v>3.48</v>
      </c>
      <c r="M19875">
        <v>17971</v>
      </c>
      <c r="N19875" t="s">
        <v>27</v>
      </c>
      <c r="O19875">
        <v>250210</v>
      </c>
      <c r="P19875">
        <v>13.65</v>
      </c>
    </row>
    <row r="19876" spans="1:16" x14ac:dyDescent="0.25">
      <c r="A19876" t="s">
        <v>3296</v>
      </c>
      <c r="B19876" t="s">
        <v>2931</v>
      </c>
      <c r="C19876">
        <v>1514</v>
      </c>
      <c r="D19876" t="str">
        <f t="shared" si="331"/>
        <v xml:space="preserve">12506021941 </v>
      </c>
      <c r="E19876" t="s">
        <v>309</v>
      </c>
      <c r="F19876" t="s">
        <v>310</v>
      </c>
      <c r="G19876">
        <v>3.39</v>
      </c>
      <c r="H19876">
        <v>250131</v>
      </c>
      <c r="I19876">
        <v>4369</v>
      </c>
      <c r="J19876" t="s">
        <v>188</v>
      </c>
      <c r="K19876">
        <v>237.76</v>
      </c>
      <c r="L19876">
        <v>0.69</v>
      </c>
      <c r="M19876">
        <v>17972</v>
      </c>
      <c r="N19876" t="s">
        <v>28</v>
      </c>
      <c r="O19876">
        <v>250210</v>
      </c>
      <c r="P19876">
        <v>2.7</v>
      </c>
    </row>
    <row r="19877" spans="1:16" x14ac:dyDescent="0.25">
      <c r="A19877" t="s">
        <v>3296</v>
      </c>
      <c r="B19877" t="s">
        <v>2931</v>
      </c>
      <c r="C19877">
        <v>1514</v>
      </c>
      <c r="D19877" t="str">
        <f t="shared" si="331"/>
        <v xml:space="preserve">12506021941 </v>
      </c>
      <c r="E19877" t="s">
        <v>309</v>
      </c>
      <c r="F19877" t="s">
        <v>310</v>
      </c>
      <c r="G19877">
        <v>3.39</v>
      </c>
      <c r="H19877">
        <v>250131</v>
      </c>
      <c r="I19877">
        <v>4369</v>
      </c>
      <c r="J19877" t="s">
        <v>188</v>
      </c>
      <c r="K19877">
        <v>237.76</v>
      </c>
      <c r="L19877">
        <v>0.69</v>
      </c>
      <c r="M19877">
        <v>17974</v>
      </c>
      <c r="N19877" t="s">
        <v>153</v>
      </c>
      <c r="O19877">
        <v>250210</v>
      </c>
      <c r="P19877">
        <v>2.7</v>
      </c>
    </row>
    <row r="19878" spans="1:16" x14ac:dyDescent="0.25">
      <c r="A19878" t="s">
        <v>3296</v>
      </c>
      <c r="B19878" t="s">
        <v>2931</v>
      </c>
      <c r="C19878">
        <v>1514</v>
      </c>
      <c r="D19878" t="str">
        <f t="shared" si="331"/>
        <v xml:space="preserve">12506021941 </v>
      </c>
      <c r="E19878" t="s">
        <v>309</v>
      </c>
      <c r="F19878" t="s">
        <v>310</v>
      </c>
      <c r="G19878">
        <v>13.73</v>
      </c>
      <c r="H19878">
        <v>250131</v>
      </c>
      <c r="I19878">
        <v>4369</v>
      </c>
      <c r="J19878" t="s">
        <v>188</v>
      </c>
      <c r="K19878">
        <v>237.76</v>
      </c>
      <c r="L19878">
        <v>2.79</v>
      </c>
      <c r="M19878">
        <v>17975</v>
      </c>
      <c r="N19878" t="s">
        <v>29</v>
      </c>
      <c r="O19878">
        <v>250210</v>
      </c>
      <c r="P19878">
        <v>10.94</v>
      </c>
    </row>
    <row r="19879" spans="1:16" x14ac:dyDescent="0.25">
      <c r="A19879" t="s">
        <v>3296</v>
      </c>
      <c r="B19879" t="s">
        <v>2931</v>
      </c>
      <c r="C19879">
        <v>1515</v>
      </c>
      <c r="D19879" t="str">
        <f>"12506021945 "</f>
        <v xml:space="preserve">12506021945 </v>
      </c>
      <c r="E19879" t="s">
        <v>309</v>
      </c>
      <c r="F19879" t="s">
        <v>310</v>
      </c>
      <c r="G19879">
        <v>62.15</v>
      </c>
      <c r="H19879">
        <v>250131</v>
      </c>
      <c r="I19879">
        <v>4369</v>
      </c>
      <c r="J19879" t="s">
        <v>188</v>
      </c>
      <c r="K19879">
        <v>62.15</v>
      </c>
      <c r="L19879">
        <v>12.63</v>
      </c>
      <c r="M19879">
        <v>11801</v>
      </c>
      <c r="N19879" t="s">
        <v>40</v>
      </c>
      <c r="O19879">
        <v>250210</v>
      </c>
      <c r="P19879">
        <v>49.52</v>
      </c>
    </row>
    <row r="19880" spans="1:16" x14ac:dyDescent="0.25">
      <c r="A19880" t="s">
        <v>3296</v>
      </c>
      <c r="B19880" t="s">
        <v>2931</v>
      </c>
      <c r="C19880">
        <v>1516</v>
      </c>
      <c r="D19880" t="str">
        <f t="shared" ref="D19880:D19889" si="332">"12506021939 "</f>
        <v xml:space="preserve">12506021939 </v>
      </c>
      <c r="E19880" t="s">
        <v>309</v>
      </c>
      <c r="F19880" t="s">
        <v>310</v>
      </c>
      <c r="G19880">
        <v>6.59</v>
      </c>
      <c r="H19880">
        <v>250131</v>
      </c>
      <c r="I19880">
        <v>4369</v>
      </c>
      <c r="J19880" t="s">
        <v>188</v>
      </c>
      <c r="K19880">
        <v>99.67</v>
      </c>
      <c r="L19880">
        <v>1.34</v>
      </c>
      <c r="M19880">
        <v>16321</v>
      </c>
      <c r="N19880" t="s">
        <v>16</v>
      </c>
      <c r="O19880">
        <v>250210</v>
      </c>
      <c r="P19880">
        <v>5.25</v>
      </c>
    </row>
    <row r="19881" spans="1:16" x14ac:dyDescent="0.25">
      <c r="A19881" t="s">
        <v>3296</v>
      </c>
      <c r="B19881" t="s">
        <v>2931</v>
      </c>
      <c r="C19881">
        <v>1516</v>
      </c>
      <c r="D19881" t="str">
        <f t="shared" si="332"/>
        <v xml:space="preserve">12506021939 </v>
      </c>
      <c r="E19881" t="s">
        <v>309</v>
      </c>
      <c r="F19881" t="s">
        <v>310</v>
      </c>
      <c r="G19881">
        <v>10.17</v>
      </c>
      <c r="H19881">
        <v>250131</v>
      </c>
      <c r="I19881">
        <v>4369</v>
      </c>
      <c r="J19881" t="s">
        <v>188</v>
      </c>
      <c r="K19881">
        <v>99.67</v>
      </c>
      <c r="L19881">
        <v>2.0699999999999998</v>
      </c>
      <c r="M19881">
        <v>16431</v>
      </c>
      <c r="N19881" t="s">
        <v>17</v>
      </c>
      <c r="O19881">
        <v>250210</v>
      </c>
      <c r="P19881">
        <v>8.1</v>
      </c>
    </row>
    <row r="19882" spans="1:16" x14ac:dyDescent="0.25">
      <c r="A19882" t="s">
        <v>3296</v>
      </c>
      <c r="B19882" t="s">
        <v>2931</v>
      </c>
      <c r="C19882">
        <v>1516</v>
      </c>
      <c r="D19882" t="str">
        <f t="shared" si="332"/>
        <v xml:space="preserve">12506021939 </v>
      </c>
      <c r="E19882" t="s">
        <v>309</v>
      </c>
      <c r="F19882" t="s">
        <v>310</v>
      </c>
      <c r="G19882">
        <v>17.61</v>
      </c>
      <c r="H19882">
        <v>250131</v>
      </c>
      <c r="I19882">
        <v>4369</v>
      </c>
      <c r="J19882" t="s">
        <v>188</v>
      </c>
      <c r="K19882">
        <v>99.67</v>
      </c>
      <c r="L19882">
        <v>3.58</v>
      </c>
      <c r="M19882">
        <v>17802</v>
      </c>
      <c r="N19882" t="s">
        <v>18</v>
      </c>
      <c r="O19882">
        <v>250210</v>
      </c>
      <c r="P19882">
        <v>14.03</v>
      </c>
    </row>
    <row r="19883" spans="1:16" x14ac:dyDescent="0.25">
      <c r="A19883" t="s">
        <v>3296</v>
      </c>
      <c r="B19883" t="s">
        <v>2931</v>
      </c>
      <c r="C19883">
        <v>1516</v>
      </c>
      <c r="D19883" t="str">
        <f t="shared" si="332"/>
        <v xml:space="preserve">12506021939 </v>
      </c>
      <c r="E19883" t="s">
        <v>309</v>
      </c>
      <c r="F19883" t="s">
        <v>310</v>
      </c>
      <c r="G19883">
        <v>10.35</v>
      </c>
      <c r="H19883">
        <v>250131</v>
      </c>
      <c r="I19883">
        <v>4369</v>
      </c>
      <c r="J19883" t="s">
        <v>188</v>
      </c>
      <c r="K19883">
        <v>99.67</v>
      </c>
      <c r="L19883">
        <v>2.1</v>
      </c>
      <c r="M19883">
        <v>17803</v>
      </c>
      <c r="N19883" t="s">
        <v>19</v>
      </c>
      <c r="O19883">
        <v>250210</v>
      </c>
      <c r="P19883">
        <v>8.25</v>
      </c>
    </row>
    <row r="19884" spans="1:16" x14ac:dyDescent="0.25">
      <c r="A19884" t="s">
        <v>3296</v>
      </c>
      <c r="B19884" t="s">
        <v>2931</v>
      </c>
      <c r="C19884">
        <v>1516</v>
      </c>
      <c r="D19884" t="str">
        <f t="shared" si="332"/>
        <v xml:space="preserve">12506021939 </v>
      </c>
      <c r="E19884" t="s">
        <v>309</v>
      </c>
      <c r="F19884" t="s">
        <v>310</v>
      </c>
      <c r="G19884">
        <v>3.39</v>
      </c>
      <c r="H19884">
        <v>250131</v>
      </c>
      <c r="I19884">
        <v>4369</v>
      </c>
      <c r="J19884" t="s">
        <v>188</v>
      </c>
      <c r="K19884">
        <v>99.67</v>
      </c>
      <c r="L19884">
        <v>0.69</v>
      </c>
      <c r="M19884">
        <v>17804</v>
      </c>
      <c r="N19884" t="s">
        <v>20</v>
      </c>
      <c r="O19884">
        <v>250210</v>
      </c>
      <c r="P19884">
        <v>2.7</v>
      </c>
    </row>
    <row r="19885" spans="1:16" x14ac:dyDescent="0.25">
      <c r="A19885" t="s">
        <v>3296</v>
      </c>
      <c r="B19885" t="s">
        <v>2931</v>
      </c>
      <c r="C19885">
        <v>1516</v>
      </c>
      <c r="D19885" t="str">
        <f t="shared" si="332"/>
        <v xml:space="preserve">12506021939 </v>
      </c>
      <c r="E19885" t="s">
        <v>309</v>
      </c>
      <c r="F19885" t="s">
        <v>310</v>
      </c>
      <c r="G19885">
        <v>3.39</v>
      </c>
      <c r="H19885">
        <v>250131</v>
      </c>
      <c r="I19885">
        <v>4369</v>
      </c>
      <c r="J19885" t="s">
        <v>188</v>
      </c>
      <c r="K19885">
        <v>99.67</v>
      </c>
      <c r="L19885">
        <v>0.69</v>
      </c>
      <c r="M19885">
        <v>17805</v>
      </c>
      <c r="N19885" t="s">
        <v>21</v>
      </c>
      <c r="O19885">
        <v>250210</v>
      </c>
      <c r="P19885">
        <v>2.7</v>
      </c>
    </row>
    <row r="19886" spans="1:16" x14ac:dyDescent="0.25">
      <c r="A19886" t="s">
        <v>3296</v>
      </c>
      <c r="B19886" t="s">
        <v>2931</v>
      </c>
      <c r="C19886">
        <v>1516</v>
      </c>
      <c r="D19886" t="str">
        <f t="shared" si="332"/>
        <v xml:space="preserve">12506021939 </v>
      </c>
      <c r="E19886" t="s">
        <v>309</v>
      </c>
      <c r="F19886" t="s">
        <v>310</v>
      </c>
      <c r="G19886">
        <v>6.78</v>
      </c>
      <c r="H19886">
        <v>250131</v>
      </c>
      <c r="I19886">
        <v>4369</v>
      </c>
      <c r="J19886" t="s">
        <v>188</v>
      </c>
      <c r="K19886">
        <v>99.67</v>
      </c>
      <c r="L19886">
        <v>1.38</v>
      </c>
      <c r="M19886">
        <v>17806</v>
      </c>
      <c r="N19886" t="s">
        <v>22</v>
      </c>
      <c r="O19886">
        <v>250210</v>
      </c>
      <c r="P19886">
        <v>5.4</v>
      </c>
    </row>
    <row r="19887" spans="1:16" x14ac:dyDescent="0.25">
      <c r="A19887" t="s">
        <v>3296</v>
      </c>
      <c r="B19887" t="s">
        <v>2931</v>
      </c>
      <c r="C19887">
        <v>1516</v>
      </c>
      <c r="D19887" t="str">
        <f t="shared" si="332"/>
        <v xml:space="preserve">12506021939 </v>
      </c>
      <c r="E19887" t="s">
        <v>309</v>
      </c>
      <c r="F19887" t="s">
        <v>310</v>
      </c>
      <c r="G19887">
        <v>23.53</v>
      </c>
      <c r="H19887">
        <v>250131</v>
      </c>
      <c r="I19887">
        <v>4369</v>
      </c>
      <c r="J19887" t="s">
        <v>188</v>
      </c>
      <c r="K19887">
        <v>99.67</v>
      </c>
      <c r="L19887">
        <v>4.78</v>
      </c>
      <c r="M19887">
        <v>17807</v>
      </c>
      <c r="N19887" t="s">
        <v>23</v>
      </c>
      <c r="O19887">
        <v>250210</v>
      </c>
      <c r="P19887">
        <v>18.75</v>
      </c>
    </row>
    <row r="19888" spans="1:16" x14ac:dyDescent="0.25">
      <c r="A19888" t="s">
        <v>3296</v>
      </c>
      <c r="B19888" t="s">
        <v>2931</v>
      </c>
      <c r="C19888">
        <v>1516</v>
      </c>
      <c r="D19888" t="str">
        <f t="shared" si="332"/>
        <v xml:space="preserve">12506021939 </v>
      </c>
      <c r="E19888" t="s">
        <v>309</v>
      </c>
      <c r="F19888" t="s">
        <v>310</v>
      </c>
      <c r="G19888">
        <v>10.17</v>
      </c>
      <c r="H19888">
        <v>250131</v>
      </c>
      <c r="I19888">
        <v>4369</v>
      </c>
      <c r="J19888" t="s">
        <v>188</v>
      </c>
      <c r="K19888">
        <v>99.67</v>
      </c>
      <c r="L19888">
        <v>2.0699999999999998</v>
      </c>
      <c r="M19888">
        <v>17808</v>
      </c>
      <c r="N19888" t="s">
        <v>24</v>
      </c>
      <c r="O19888">
        <v>250210</v>
      </c>
      <c r="P19888">
        <v>8.1</v>
      </c>
    </row>
    <row r="19889" spans="1:16" x14ac:dyDescent="0.25">
      <c r="A19889" t="s">
        <v>3296</v>
      </c>
      <c r="B19889" t="s">
        <v>2931</v>
      </c>
      <c r="C19889">
        <v>1516</v>
      </c>
      <c r="D19889" t="str">
        <f t="shared" si="332"/>
        <v xml:space="preserve">12506021939 </v>
      </c>
      <c r="E19889" t="s">
        <v>309</v>
      </c>
      <c r="F19889" t="s">
        <v>310</v>
      </c>
      <c r="G19889">
        <v>7.69</v>
      </c>
      <c r="H19889">
        <v>250131</v>
      </c>
      <c r="I19889">
        <v>4369</v>
      </c>
      <c r="J19889" t="s">
        <v>188</v>
      </c>
      <c r="K19889">
        <v>99.67</v>
      </c>
      <c r="L19889">
        <v>1.56</v>
      </c>
      <c r="M19889">
        <v>17809</v>
      </c>
      <c r="N19889" t="s">
        <v>25</v>
      </c>
      <c r="O19889">
        <v>250210</v>
      </c>
      <c r="P19889">
        <v>6.13</v>
      </c>
    </row>
    <row r="19890" spans="1:16" x14ac:dyDescent="0.25">
      <c r="A19890" t="s">
        <v>3296</v>
      </c>
      <c r="B19890" t="s">
        <v>2931</v>
      </c>
      <c r="C19890">
        <v>1517</v>
      </c>
      <c r="D19890" t="str">
        <f t="shared" ref="D19890:D19897" si="333">"12506021916 "</f>
        <v xml:space="preserve">12506021916 </v>
      </c>
      <c r="E19890" t="s">
        <v>309</v>
      </c>
      <c r="F19890" t="s">
        <v>310</v>
      </c>
      <c r="G19890">
        <v>3.47</v>
      </c>
      <c r="H19890">
        <v>250131</v>
      </c>
      <c r="I19890">
        <v>4369</v>
      </c>
      <c r="J19890" t="s">
        <v>188</v>
      </c>
      <c r="K19890">
        <v>98.79</v>
      </c>
      <c r="L19890">
        <v>0.71</v>
      </c>
      <c r="M19890">
        <v>14971</v>
      </c>
      <c r="N19890" t="s">
        <v>81</v>
      </c>
      <c r="O19890">
        <v>250210</v>
      </c>
      <c r="P19890">
        <v>2.76</v>
      </c>
    </row>
    <row r="19891" spans="1:16" x14ac:dyDescent="0.25">
      <c r="A19891" t="s">
        <v>3296</v>
      </c>
      <c r="B19891" t="s">
        <v>2931</v>
      </c>
      <c r="C19891">
        <v>1517</v>
      </c>
      <c r="D19891" t="str">
        <f t="shared" si="333"/>
        <v xml:space="preserve">12506021916 </v>
      </c>
      <c r="E19891" t="s">
        <v>309</v>
      </c>
      <c r="F19891" t="s">
        <v>310</v>
      </c>
      <c r="G19891">
        <v>6.59</v>
      </c>
      <c r="H19891">
        <v>250131</v>
      </c>
      <c r="I19891">
        <v>4369</v>
      </c>
      <c r="J19891" t="s">
        <v>188</v>
      </c>
      <c r="K19891">
        <v>98.79</v>
      </c>
      <c r="L19891">
        <v>1.34</v>
      </c>
      <c r="M19891">
        <v>17972</v>
      </c>
      <c r="N19891" t="s">
        <v>28</v>
      </c>
      <c r="O19891">
        <v>250210</v>
      </c>
      <c r="P19891">
        <v>5.25</v>
      </c>
    </row>
    <row r="19892" spans="1:16" x14ac:dyDescent="0.25">
      <c r="A19892" t="s">
        <v>3296</v>
      </c>
      <c r="B19892" t="s">
        <v>2931</v>
      </c>
      <c r="C19892">
        <v>1517</v>
      </c>
      <c r="D19892" t="str">
        <f t="shared" si="333"/>
        <v xml:space="preserve">12506021916 </v>
      </c>
      <c r="E19892" t="s">
        <v>309</v>
      </c>
      <c r="F19892" t="s">
        <v>310</v>
      </c>
      <c r="G19892">
        <v>29.46</v>
      </c>
      <c r="H19892">
        <v>250131</v>
      </c>
      <c r="I19892">
        <v>4369</v>
      </c>
      <c r="J19892" t="s">
        <v>188</v>
      </c>
      <c r="K19892">
        <v>98.79</v>
      </c>
      <c r="L19892">
        <v>5.99</v>
      </c>
      <c r="M19892">
        <v>18010</v>
      </c>
      <c r="N19892" t="s">
        <v>36</v>
      </c>
      <c r="O19892">
        <v>250210</v>
      </c>
      <c r="P19892">
        <v>23.47</v>
      </c>
    </row>
    <row r="19893" spans="1:16" x14ac:dyDescent="0.25">
      <c r="A19893" t="s">
        <v>3296</v>
      </c>
      <c r="B19893" t="s">
        <v>2931</v>
      </c>
      <c r="C19893">
        <v>1517</v>
      </c>
      <c r="D19893" t="str">
        <f t="shared" si="333"/>
        <v xml:space="preserve">12506021916 </v>
      </c>
      <c r="E19893" t="s">
        <v>309</v>
      </c>
      <c r="F19893" t="s">
        <v>310</v>
      </c>
      <c r="G19893">
        <v>3.38</v>
      </c>
      <c r="H19893">
        <v>250131</v>
      </c>
      <c r="I19893">
        <v>4369</v>
      </c>
      <c r="J19893" t="s">
        <v>188</v>
      </c>
      <c r="K19893">
        <v>98.79</v>
      </c>
      <c r="L19893">
        <v>0.69</v>
      </c>
      <c r="M19893">
        <v>18120</v>
      </c>
      <c r="N19893" t="s">
        <v>37</v>
      </c>
      <c r="O19893">
        <v>250210</v>
      </c>
      <c r="P19893">
        <v>2.69</v>
      </c>
    </row>
    <row r="19894" spans="1:16" x14ac:dyDescent="0.25">
      <c r="A19894" t="s">
        <v>3296</v>
      </c>
      <c r="B19894" t="s">
        <v>2931</v>
      </c>
      <c r="C19894">
        <v>1517</v>
      </c>
      <c r="D19894" t="str">
        <f t="shared" si="333"/>
        <v xml:space="preserve">12506021916 </v>
      </c>
      <c r="E19894" t="s">
        <v>309</v>
      </c>
      <c r="F19894" t="s">
        <v>310</v>
      </c>
      <c r="G19894">
        <v>6.4</v>
      </c>
      <c r="H19894">
        <v>250131</v>
      </c>
      <c r="I19894">
        <v>4369</v>
      </c>
      <c r="J19894" t="s">
        <v>188</v>
      </c>
      <c r="K19894">
        <v>98.79</v>
      </c>
      <c r="L19894">
        <v>1.3</v>
      </c>
      <c r="M19894">
        <v>18971</v>
      </c>
      <c r="N19894" t="s">
        <v>38</v>
      </c>
      <c r="O19894">
        <v>250210</v>
      </c>
      <c r="P19894">
        <v>5.0999999999999996</v>
      </c>
    </row>
    <row r="19895" spans="1:16" x14ac:dyDescent="0.25">
      <c r="A19895" t="s">
        <v>3296</v>
      </c>
      <c r="B19895" t="s">
        <v>2931</v>
      </c>
      <c r="C19895">
        <v>1517</v>
      </c>
      <c r="D19895" t="str">
        <f t="shared" si="333"/>
        <v xml:space="preserve">12506021916 </v>
      </c>
      <c r="E19895" t="s">
        <v>309</v>
      </c>
      <c r="F19895" t="s">
        <v>310</v>
      </c>
      <c r="G19895">
        <v>39.51</v>
      </c>
      <c r="H19895">
        <v>250131</v>
      </c>
      <c r="I19895">
        <v>4369</v>
      </c>
      <c r="J19895" t="s">
        <v>188</v>
      </c>
      <c r="K19895">
        <v>98.79</v>
      </c>
      <c r="L19895">
        <v>8.0299999999999994</v>
      </c>
      <c r="M19895">
        <v>18972</v>
      </c>
      <c r="N19895" t="s">
        <v>39</v>
      </c>
      <c r="O19895">
        <v>250210</v>
      </c>
      <c r="P19895">
        <v>31.48</v>
      </c>
    </row>
    <row r="19896" spans="1:16" x14ac:dyDescent="0.25">
      <c r="A19896" t="s">
        <v>3296</v>
      </c>
      <c r="B19896" t="s">
        <v>2931</v>
      </c>
      <c r="C19896">
        <v>1517</v>
      </c>
      <c r="D19896" t="str">
        <f t="shared" si="333"/>
        <v xml:space="preserve">12506021916 </v>
      </c>
      <c r="E19896" t="s">
        <v>309</v>
      </c>
      <c r="F19896" t="s">
        <v>310</v>
      </c>
      <c r="G19896">
        <v>3.39</v>
      </c>
      <c r="H19896">
        <v>250131</v>
      </c>
      <c r="I19896">
        <v>4369</v>
      </c>
      <c r="J19896" t="s">
        <v>188</v>
      </c>
      <c r="K19896">
        <v>98.79</v>
      </c>
      <c r="L19896">
        <v>0.69</v>
      </c>
      <c r="M19896">
        <v>49702</v>
      </c>
      <c r="N19896" t="s">
        <v>112</v>
      </c>
      <c r="O19896">
        <v>250210</v>
      </c>
      <c r="P19896">
        <v>2.7</v>
      </c>
    </row>
    <row r="19897" spans="1:16" x14ac:dyDescent="0.25">
      <c r="A19897" t="s">
        <v>3296</v>
      </c>
      <c r="B19897" t="s">
        <v>2931</v>
      </c>
      <c r="C19897">
        <v>1517</v>
      </c>
      <c r="D19897" t="str">
        <f t="shared" si="333"/>
        <v xml:space="preserve">12506021916 </v>
      </c>
      <c r="E19897" t="s">
        <v>309</v>
      </c>
      <c r="F19897" t="s">
        <v>310</v>
      </c>
      <c r="G19897">
        <v>6.59</v>
      </c>
      <c r="H19897">
        <v>250131</v>
      </c>
      <c r="I19897">
        <v>4369</v>
      </c>
      <c r="J19897" t="s">
        <v>188</v>
      </c>
      <c r="K19897">
        <v>98.79</v>
      </c>
      <c r="L19897">
        <v>1.34</v>
      </c>
      <c r="M19897">
        <v>59702</v>
      </c>
      <c r="N19897" t="s">
        <v>45</v>
      </c>
      <c r="O19897">
        <v>250210</v>
      </c>
      <c r="P19897">
        <v>5.25</v>
      </c>
    </row>
    <row r="19898" spans="1:16" x14ac:dyDescent="0.25">
      <c r="A19898" t="s">
        <v>3296</v>
      </c>
      <c r="B19898" t="s">
        <v>2931</v>
      </c>
      <c r="C19898">
        <v>1518</v>
      </c>
      <c r="D19898" t="str">
        <f>"12506021938 "</f>
        <v xml:space="preserve">12506021938 </v>
      </c>
      <c r="E19898" t="s">
        <v>309</v>
      </c>
      <c r="F19898" t="s">
        <v>310</v>
      </c>
      <c r="G19898">
        <v>10.199999999999999</v>
      </c>
      <c r="H19898">
        <v>250131</v>
      </c>
      <c r="I19898">
        <v>4369</v>
      </c>
      <c r="J19898" t="s">
        <v>188</v>
      </c>
      <c r="K19898">
        <v>67.63</v>
      </c>
      <c r="L19898">
        <v>2.0699999999999998</v>
      </c>
      <c r="M19898">
        <v>17913</v>
      </c>
      <c r="N19898" t="s">
        <v>26</v>
      </c>
      <c r="O19898">
        <v>250210</v>
      </c>
      <c r="P19898">
        <v>8.1300000000000008</v>
      </c>
    </row>
    <row r="19899" spans="1:16" x14ac:dyDescent="0.25">
      <c r="A19899" t="s">
        <v>3296</v>
      </c>
      <c r="B19899" t="s">
        <v>2931</v>
      </c>
      <c r="C19899">
        <v>1518</v>
      </c>
      <c r="D19899" t="str">
        <f>"12506021938 "</f>
        <v xml:space="preserve">12506021938 </v>
      </c>
      <c r="E19899" t="s">
        <v>309</v>
      </c>
      <c r="F19899" t="s">
        <v>310</v>
      </c>
      <c r="G19899">
        <v>27.11</v>
      </c>
      <c r="H19899">
        <v>250131</v>
      </c>
      <c r="I19899">
        <v>4369</v>
      </c>
      <c r="J19899" t="s">
        <v>188</v>
      </c>
      <c r="K19899">
        <v>67.63</v>
      </c>
      <c r="L19899">
        <v>5.51</v>
      </c>
      <c r="M19899">
        <v>17951</v>
      </c>
      <c r="N19899" t="s">
        <v>207</v>
      </c>
      <c r="O19899">
        <v>250210</v>
      </c>
      <c r="P19899">
        <v>21.6</v>
      </c>
    </row>
    <row r="19900" spans="1:16" x14ac:dyDescent="0.25">
      <c r="A19900" t="s">
        <v>3296</v>
      </c>
      <c r="B19900" t="s">
        <v>2931</v>
      </c>
      <c r="C19900">
        <v>1518</v>
      </c>
      <c r="D19900" t="str">
        <f>"12506021938 "</f>
        <v xml:space="preserve">12506021938 </v>
      </c>
      <c r="E19900" t="s">
        <v>309</v>
      </c>
      <c r="F19900" t="s">
        <v>310</v>
      </c>
      <c r="G19900">
        <v>13.63</v>
      </c>
      <c r="H19900">
        <v>250131</v>
      </c>
      <c r="I19900">
        <v>4369</v>
      </c>
      <c r="J19900" t="s">
        <v>188</v>
      </c>
      <c r="K19900">
        <v>67.63</v>
      </c>
      <c r="L19900">
        <v>2.77</v>
      </c>
      <c r="M19900">
        <v>17971</v>
      </c>
      <c r="N19900" t="s">
        <v>27</v>
      </c>
      <c r="O19900">
        <v>250210</v>
      </c>
      <c r="P19900">
        <v>10.86</v>
      </c>
    </row>
    <row r="19901" spans="1:16" x14ac:dyDescent="0.25">
      <c r="A19901" t="s">
        <v>3296</v>
      </c>
      <c r="B19901" t="s">
        <v>2931</v>
      </c>
      <c r="C19901">
        <v>1518</v>
      </c>
      <c r="D19901" t="str">
        <f>"12506021938 "</f>
        <v xml:space="preserve">12506021938 </v>
      </c>
      <c r="E19901" t="s">
        <v>309</v>
      </c>
      <c r="F19901" t="s">
        <v>310</v>
      </c>
      <c r="G19901">
        <v>6.71</v>
      </c>
      <c r="H19901">
        <v>250131</v>
      </c>
      <c r="I19901">
        <v>4369</v>
      </c>
      <c r="J19901" t="s">
        <v>188</v>
      </c>
      <c r="K19901">
        <v>67.63</v>
      </c>
      <c r="L19901">
        <v>1.36</v>
      </c>
      <c r="M19901">
        <v>17974</v>
      </c>
      <c r="N19901" t="s">
        <v>153</v>
      </c>
      <c r="O19901">
        <v>250210</v>
      </c>
      <c r="P19901">
        <v>5.35</v>
      </c>
    </row>
    <row r="19902" spans="1:16" x14ac:dyDescent="0.25">
      <c r="A19902" t="s">
        <v>3296</v>
      </c>
      <c r="B19902" t="s">
        <v>2931</v>
      </c>
      <c r="C19902">
        <v>1518</v>
      </c>
      <c r="D19902" t="str">
        <f>"12506021938 "</f>
        <v xml:space="preserve">12506021938 </v>
      </c>
      <c r="E19902" t="s">
        <v>309</v>
      </c>
      <c r="F19902" t="s">
        <v>310</v>
      </c>
      <c r="G19902">
        <v>9.98</v>
      </c>
      <c r="H19902">
        <v>250131</v>
      </c>
      <c r="I19902">
        <v>4369</v>
      </c>
      <c r="J19902" t="s">
        <v>188</v>
      </c>
      <c r="K19902">
        <v>67.63</v>
      </c>
      <c r="L19902">
        <v>2.0299999999999998</v>
      </c>
      <c r="M19902">
        <v>17975</v>
      </c>
      <c r="N19902" t="s">
        <v>29</v>
      </c>
      <c r="O19902">
        <v>250210</v>
      </c>
      <c r="P19902">
        <v>7.95</v>
      </c>
    </row>
    <row r="19903" spans="1:16" x14ac:dyDescent="0.25">
      <c r="A19903" t="s">
        <v>3296</v>
      </c>
      <c r="B19903" t="s">
        <v>2931</v>
      </c>
      <c r="C19903">
        <v>1519</v>
      </c>
      <c r="D19903" t="str">
        <f>"12506021947 "</f>
        <v xml:space="preserve">12506021947 </v>
      </c>
      <c r="E19903" t="s">
        <v>309</v>
      </c>
      <c r="F19903" t="s">
        <v>310</v>
      </c>
      <c r="G19903">
        <v>3.2</v>
      </c>
      <c r="H19903">
        <v>250131</v>
      </c>
      <c r="I19903">
        <v>4369</v>
      </c>
      <c r="J19903" t="s">
        <v>188</v>
      </c>
      <c r="K19903">
        <v>3.2</v>
      </c>
      <c r="L19903">
        <v>0.65</v>
      </c>
      <c r="M19903">
        <v>13801</v>
      </c>
      <c r="N19903" t="s">
        <v>33</v>
      </c>
      <c r="O19903">
        <v>250210</v>
      </c>
      <c r="P19903">
        <v>2.5499999999999998</v>
      </c>
    </row>
    <row r="19904" spans="1:16" x14ac:dyDescent="0.25">
      <c r="A19904" t="s">
        <v>3296</v>
      </c>
      <c r="B19904" t="s">
        <v>2931</v>
      </c>
      <c r="C19904">
        <v>1520</v>
      </c>
      <c r="D19904" t="str">
        <f>"12506021927 "</f>
        <v xml:space="preserve">12506021927 </v>
      </c>
      <c r="E19904" t="s">
        <v>309</v>
      </c>
      <c r="F19904" t="s">
        <v>310</v>
      </c>
      <c r="G19904">
        <v>6.78</v>
      </c>
      <c r="H19904">
        <v>250131</v>
      </c>
      <c r="I19904">
        <v>4369</v>
      </c>
      <c r="J19904" t="s">
        <v>188</v>
      </c>
      <c r="K19904">
        <v>13.55</v>
      </c>
      <c r="L19904">
        <v>1.38</v>
      </c>
      <c r="M19904">
        <v>49701</v>
      </c>
      <c r="N19904" t="s">
        <v>111</v>
      </c>
      <c r="O19904">
        <v>250210</v>
      </c>
      <c r="P19904">
        <v>5.4</v>
      </c>
    </row>
    <row r="19905" spans="1:16" x14ac:dyDescent="0.25">
      <c r="A19905" t="s">
        <v>3296</v>
      </c>
      <c r="B19905" t="s">
        <v>2931</v>
      </c>
      <c r="C19905">
        <v>1520</v>
      </c>
      <c r="D19905" t="str">
        <f>"12506021927 "</f>
        <v xml:space="preserve">12506021927 </v>
      </c>
      <c r="E19905" t="s">
        <v>309</v>
      </c>
      <c r="F19905" t="s">
        <v>310</v>
      </c>
      <c r="G19905">
        <v>6.77</v>
      </c>
      <c r="H19905">
        <v>250131</v>
      </c>
      <c r="I19905">
        <v>4369</v>
      </c>
      <c r="J19905" t="s">
        <v>188</v>
      </c>
      <c r="K19905">
        <v>13.55</v>
      </c>
      <c r="L19905">
        <v>1.38</v>
      </c>
      <c r="M19905">
        <v>49702</v>
      </c>
      <c r="N19905" t="s">
        <v>112</v>
      </c>
      <c r="O19905">
        <v>250210</v>
      </c>
      <c r="P19905">
        <v>5.39</v>
      </c>
    </row>
    <row r="19906" spans="1:16" x14ac:dyDescent="0.25">
      <c r="A19906" t="s">
        <v>3296</v>
      </c>
      <c r="B19906" t="s">
        <v>2931</v>
      </c>
      <c r="C19906">
        <v>1521</v>
      </c>
      <c r="D19906" t="str">
        <f t="shared" ref="D19906:D19912" si="334">"12506021921 "</f>
        <v xml:space="preserve">12506021921 </v>
      </c>
      <c r="E19906" t="s">
        <v>309</v>
      </c>
      <c r="F19906" t="s">
        <v>310</v>
      </c>
      <c r="G19906">
        <v>23.72</v>
      </c>
      <c r="H19906">
        <v>250131</v>
      </c>
      <c r="I19906">
        <v>4369</v>
      </c>
      <c r="J19906" t="s">
        <v>188</v>
      </c>
      <c r="K19906">
        <v>59.85</v>
      </c>
      <c r="L19906">
        <v>4.82</v>
      </c>
      <c r="M19906">
        <v>54222</v>
      </c>
      <c r="N19906" t="s">
        <v>48</v>
      </c>
      <c r="O19906">
        <v>250210</v>
      </c>
      <c r="P19906">
        <v>18.899999999999999</v>
      </c>
    </row>
    <row r="19907" spans="1:16" x14ac:dyDescent="0.25">
      <c r="A19907" t="s">
        <v>3296</v>
      </c>
      <c r="B19907" t="s">
        <v>2931</v>
      </c>
      <c r="C19907">
        <v>1521</v>
      </c>
      <c r="D19907" t="str">
        <f t="shared" si="334"/>
        <v xml:space="preserve">12506021921 </v>
      </c>
      <c r="E19907" t="s">
        <v>309</v>
      </c>
      <c r="F19907" t="s">
        <v>310</v>
      </c>
      <c r="G19907">
        <v>3.39</v>
      </c>
      <c r="H19907">
        <v>250131</v>
      </c>
      <c r="I19907">
        <v>4369</v>
      </c>
      <c r="J19907" t="s">
        <v>188</v>
      </c>
      <c r="K19907">
        <v>59.85</v>
      </c>
      <c r="L19907">
        <v>0.69</v>
      </c>
      <c r="M19907">
        <v>54251</v>
      </c>
      <c r="N19907" t="s">
        <v>485</v>
      </c>
      <c r="O19907">
        <v>250210</v>
      </c>
      <c r="P19907">
        <v>2.7</v>
      </c>
    </row>
    <row r="19908" spans="1:16" x14ac:dyDescent="0.25">
      <c r="A19908" t="s">
        <v>3296</v>
      </c>
      <c r="B19908" t="s">
        <v>2931</v>
      </c>
      <c r="C19908">
        <v>1521</v>
      </c>
      <c r="D19908" t="str">
        <f t="shared" si="334"/>
        <v xml:space="preserve">12506021921 </v>
      </c>
      <c r="E19908" t="s">
        <v>309</v>
      </c>
      <c r="F19908" t="s">
        <v>310</v>
      </c>
      <c r="G19908">
        <v>3.39</v>
      </c>
      <c r="H19908">
        <v>250131</v>
      </c>
      <c r="I19908">
        <v>4369</v>
      </c>
      <c r="J19908" t="s">
        <v>188</v>
      </c>
      <c r="K19908">
        <v>59.85</v>
      </c>
      <c r="L19908">
        <v>0.69</v>
      </c>
      <c r="M19908">
        <v>54252</v>
      </c>
      <c r="N19908" t="s">
        <v>742</v>
      </c>
      <c r="O19908">
        <v>250210</v>
      </c>
      <c r="P19908">
        <v>2.7</v>
      </c>
    </row>
    <row r="19909" spans="1:16" x14ac:dyDescent="0.25">
      <c r="A19909" t="s">
        <v>3296</v>
      </c>
      <c r="B19909" t="s">
        <v>2931</v>
      </c>
      <c r="C19909">
        <v>1521</v>
      </c>
      <c r="D19909" t="str">
        <f t="shared" si="334"/>
        <v xml:space="preserve">12506021921 </v>
      </c>
      <c r="E19909" t="s">
        <v>309</v>
      </c>
      <c r="F19909" t="s">
        <v>310</v>
      </c>
      <c r="G19909">
        <v>8.9499999999999993</v>
      </c>
      <c r="H19909">
        <v>250131</v>
      </c>
      <c r="I19909">
        <v>4369</v>
      </c>
      <c r="J19909" t="s">
        <v>188</v>
      </c>
      <c r="K19909">
        <v>59.85</v>
      </c>
      <c r="L19909">
        <v>1.82</v>
      </c>
      <c r="M19909">
        <v>54422</v>
      </c>
      <c r="N19909" t="s">
        <v>49</v>
      </c>
      <c r="O19909">
        <v>250210</v>
      </c>
      <c r="P19909">
        <v>7.13</v>
      </c>
    </row>
    <row r="19910" spans="1:16" x14ac:dyDescent="0.25">
      <c r="A19910" t="s">
        <v>3296</v>
      </c>
      <c r="B19910" t="s">
        <v>2931</v>
      </c>
      <c r="C19910">
        <v>1521</v>
      </c>
      <c r="D19910" t="str">
        <f t="shared" si="334"/>
        <v xml:space="preserve">12506021921 </v>
      </c>
      <c r="E19910" t="s">
        <v>309</v>
      </c>
      <c r="F19910" t="s">
        <v>310</v>
      </c>
      <c r="G19910">
        <v>6.78</v>
      </c>
      <c r="H19910">
        <v>250131</v>
      </c>
      <c r="I19910">
        <v>4369</v>
      </c>
      <c r="J19910" t="s">
        <v>188</v>
      </c>
      <c r="K19910">
        <v>59.85</v>
      </c>
      <c r="L19910">
        <v>1.38</v>
      </c>
      <c r="M19910">
        <v>54451</v>
      </c>
      <c r="N19910" t="s">
        <v>218</v>
      </c>
      <c r="O19910">
        <v>250210</v>
      </c>
      <c r="P19910">
        <v>5.4</v>
      </c>
    </row>
    <row r="19911" spans="1:16" x14ac:dyDescent="0.25">
      <c r="A19911" t="s">
        <v>3296</v>
      </c>
      <c r="B19911" t="s">
        <v>2931</v>
      </c>
      <c r="C19911">
        <v>1521</v>
      </c>
      <c r="D19911" t="str">
        <f t="shared" si="334"/>
        <v xml:space="preserve">12506021921 </v>
      </c>
      <c r="E19911" t="s">
        <v>309</v>
      </c>
      <c r="F19911" t="s">
        <v>310</v>
      </c>
      <c r="G19911">
        <v>6.85</v>
      </c>
      <c r="H19911">
        <v>250131</v>
      </c>
      <c r="I19911">
        <v>4369</v>
      </c>
      <c r="J19911" t="s">
        <v>188</v>
      </c>
      <c r="K19911">
        <v>59.85</v>
      </c>
      <c r="L19911">
        <v>1.39</v>
      </c>
      <c r="M19911">
        <v>56563</v>
      </c>
      <c r="N19911" t="s">
        <v>55</v>
      </c>
      <c r="O19911">
        <v>250210</v>
      </c>
      <c r="P19911">
        <v>5.46</v>
      </c>
    </row>
    <row r="19912" spans="1:16" x14ac:dyDescent="0.25">
      <c r="A19912" t="s">
        <v>3296</v>
      </c>
      <c r="B19912" t="s">
        <v>2931</v>
      </c>
      <c r="C19912">
        <v>1521</v>
      </c>
      <c r="D19912" t="str">
        <f t="shared" si="334"/>
        <v xml:space="preserve">12506021921 </v>
      </c>
      <c r="E19912" t="s">
        <v>309</v>
      </c>
      <c r="F19912" t="s">
        <v>310</v>
      </c>
      <c r="G19912">
        <v>6.77</v>
      </c>
      <c r="H19912">
        <v>250131</v>
      </c>
      <c r="I19912">
        <v>4369</v>
      </c>
      <c r="J19912" t="s">
        <v>188</v>
      </c>
      <c r="K19912">
        <v>59.85</v>
      </c>
      <c r="L19912">
        <v>1.38</v>
      </c>
      <c r="M19912">
        <v>58601</v>
      </c>
      <c r="N19912" t="s">
        <v>59</v>
      </c>
      <c r="O19912">
        <v>250210</v>
      </c>
      <c r="P19912">
        <v>5.39</v>
      </c>
    </row>
    <row r="19913" spans="1:16" x14ac:dyDescent="0.25">
      <c r="A19913" t="s">
        <v>3296</v>
      </c>
      <c r="B19913" t="s">
        <v>2931</v>
      </c>
      <c r="C19913">
        <v>1522</v>
      </c>
      <c r="D19913" t="str">
        <f>"12506021949 "</f>
        <v xml:space="preserve">12506021949 </v>
      </c>
      <c r="E19913" t="s">
        <v>309</v>
      </c>
      <c r="F19913" t="s">
        <v>310</v>
      </c>
      <c r="G19913">
        <v>24.42</v>
      </c>
      <c r="H19913">
        <v>250131</v>
      </c>
      <c r="I19913">
        <v>4369</v>
      </c>
      <c r="J19913" t="s">
        <v>188</v>
      </c>
      <c r="K19913">
        <v>31.27</v>
      </c>
      <c r="L19913">
        <v>4.96</v>
      </c>
      <c r="M19913">
        <v>11101</v>
      </c>
      <c r="N19913" t="s">
        <v>67</v>
      </c>
      <c r="O19913">
        <v>250210</v>
      </c>
      <c r="P19913">
        <v>19.46</v>
      </c>
    </row>
    <row r="19914" spans="1:16" x14ac:dyDescent="0.25">
      <c r="A19914" t="s">
        <v>3296</v>
      </c>
      <c r="B19914" t="s">
        <v>2931</v>
      </c>
      <c r="C19914">
        <v>1522</v>
      </c>
      <c r="D19914" t="str">
        <f>"12506021949 "</f>
        <v xml:space="preserve">12506021949 </v>
      </c>
      <c r="E19914" t="s">
        <v>309</v>
      </c>
      <c r="F19914" t="s">
        <v>310</v>
      </c>
      <c r="G19914">
        <v>6.85</v>
      </c>
      <c r="H19914">
        <v>250131</v>
      </c>
      <c r="I19914">
        <v>4369</v>
      </c>
      <c r="J19914" t="s">
        <v>188</v>
      </c>
      <c r="K19914">
        <v>31.27</v>
      </c>
      <c r="L19914">
        <v>1.39</v>
      </c>
      <c r="M19914">
        <v>11201</v>
      </c>
      <c r="N19914" t="s">
        <v>35</v>
      </c>
      <c r="O19914">
        <v>250210</v>
      </c>
      <c r="P19914">
        <v>5.46</v>
      </c>
    </row>
    <row r="19915" spans="1:16" x14ac:dyDescent="0.25">
      <c r="A19915" t="s">
        <v>3296</v>
      </c>
      <c r="B19915" t="s">
        <v>2931</v>
      </c>
      <c r="C19915">
        <v>1523</v>
      </c>
      <c r="D19915" t="str">
        <f>"12506021957 "</f>
        <v xml:space="preserve">12506021957 </v>
      </c>
      <c r="E19915" t="s">
        <v>309</v>
      </c>
      <c r="F19915" t="s">
        <v>310</v>
      </c>
      <c r="G19915">
        <v>54.4</v>
      </c>
      <c r="H19915">
        <v>250131</v>
      </c>
      <c r="I19915">
        <v>4369</v>
      </c>
      <c r="J19915" t="s">
        <v>188</v>
      </c>
      <c r="K19915">
        <v>54.4</v>
      </c>
      <c r="L19915">
        <v>11.05</v>
      </c>
      <c r="M19915">
        <v>10002</v>
      </c>
      <c r="N19915" t="s">
        <v>513</v>
      </c>
      <c r="O19915">
        <v>250210</v>
      </c>
      <c r="P19915">
        <v>43.35</v>
      </c>
    </row>
    <row r="19916" spans="1:16" x14ac:dyDescent="0.25">
      <c r="A19916" t="s">
        <v>3296</v>
      </c>
      <c r="B19916" t="s">
        <v>2931</v>
      </c>
      <c r="C19916">
        <v>1586</v>
      </c>
      <c r="D19916" t="str">
        <f t="shared" ref="D19916:D19923" si="335">"12506021915 "</f>
        <v xml:space="preserve">12506021915 </v>
      </c>
      <c r="E19916" t="s">
        <v>309</v>
      </c>
      <c r="F19916" t="s">
        <v>310</v>
      </c>
      <c r="G19916">
        <v>3.39</v>
      </c>
      <c r="H19916">
        <v>250131</v>
      </c>
      <c r="I19916">
        <v>4369</v>
      </c>
      <c r="J19916" t="s">
        <v>188</v>
      </c>
      <c r="K19916">
        <v>116.01</v>
      </c>
      <c r="L19916">
        <v>0.69</v>
      </c>
      <c r="M19916">
        <v>11001</v>
      </c>
      <c r="N19916" t="s">
        <v>93</v>
      </c>
      <c r="O19916">
        <v>250211</v>
      </c>
      <c r="P19916">
        <v>2.7</v>
      </c>
    </row>
    <row r="19917" spans="1:16" x14ac:dyDescent="0.25">
      <c r="A19917" t="s">
        <v>3296</v>
      </c>
      <c r="B19917" t="s">
        <v>2931</v>
      </c>
      <c r="C19917">
        <v>1586</v>
      </c>
      <c r="D19917" t="str">
        <f t="shared" si="335"/>
        <v xml:space="preserve">12506021915 </v>
      </c>
      <c r="E19917" t="s">
        <v>309</v>
      </c>
      <c r="F19917" t="s">
        <v>310</v>
      </c>
      <c r="G19917">
        <v>55.66</v>
      </c>
      <c r="H19917">
        <v>250131</v>
      </c>
      <c r="I19917">
        <v>4369</v>
      </c>
      <c r="J19917" t="s">
        <v>188</v>
      </c>
      <c r="K19917">
        <v>116.01</v>
      </c>
      <c r="L19917">
        <v>0</v>
      </c>
      <c r="M19917">
        <v>11001</v>
      </c>
      <c r="N19917" t="s">
        <v>93</v>
      </c>
      <c r="O19917">
        <v>250211</v>
      </c>
      <c r="P19917">
        <v>55.66</v>
      </c>
    </row>
    <row r="19918" spans="1:16" x14ac:dyDescent="0.25">
      <c r="A19918" t="s">
        <v>3296</v>
      </c>
      <c r="B19918" t="s">
        <v>2931</v>
      </c>
      <c r="C19918">
        <v>1586</v>
      </c>
      <c r="D19918" t="str">
        <f t="shared" si="335"/>
        <v xml:space="preserve">12506021915 </v>
      </c>
      <c r="E19918" t="s">
        <v>309</v>
      </c>
      <c r="F19918" t="s">
        <v>310</v>
      </c>
      <c r="G19918">
        <v>1.1200000000000001</v>
      </c>
      <c r="H19918">
        <v>250131</v>
      </c>
      <c r="I19918">
        <v>4369</v>
      </c>
      <c r="J19918" t="s">
        <v>188</v>
      </c>
      <c r="K19918">
        <v>116.01</v>
      </c>
      <c r="L19918">
        <v>0.23</v>
      </c>
      <c r="M19918">
        <v>11401</v>
      </c>
      <c r="N19918" t="s">
        <v>91</v>
      </c>
      <c r="O19918">
        <v>250211</v>
      </c>
      <c r="P19918">
        <v>0.89</v>
      </c>
    </row>
    <row r="19919" spans="1:16" x14ac:dyDescent="0.25">
      <c r="A19919" t="s">
        <v>3296</v>
      </c>
      <c r="B19919" t="s">
        <v>2931</v>
      </c>
      <c r="C19919">
        <v>1586</v>
      </c>
      <c r="D19919" t="str">
        <f t="shared" si="335"/>
        <v xml:space="preserve">12506021915 </v>
      </c>
      <c r="E19919" t="s">
        <v>309</v>
      </c>
      <c r="F19919" t="s">
        <v>310</v>
      </c>
      <c r="G19919">
        <v>10.220000000000001</v>
      </c>
      <c r="H19919">
        <v>250131</v>
      </c>
      <c r="I19919">
        <v>4369</v>
      </c>
      <c r="J19919" t="s">
        <v>188</v>
      </c>
      <c r="K19919">
        <v>116.01</v>
      </c>
      <c r="L19919">
        <v>2.08</v>
      </c>
      <c r="M19919">
        <v>11501</v>
      </c>
      <c r="N19919" t="s">
        <v>13</v>
      </c>
      <c r="O19919">
        <v>250211</v>
      </c>
      <c r="P19919">
        <v>8.14</v>
      </c>
    </row>
    <row r="19920" spans="1:16" x14ac:dyDescent="0.25">
      <c r="A19920" t="s">
        <v>3296</v>
      </c>
      <c r="B19920" t="s">
        <v>2931</v>
      </c>
      <c r="C19920">
        <v>1586</v>
      </c>
      <c r="D19920" t="str">
        <f t="shared" si="335"/>
        <v xml:space="preserve">12506021915 </v>
      </c>
      <c r="E19920" t="s">
        <v>309</v>
      </c>
      <c r="F19920" t="s">
        <v>310</v>
      </c>
      <c r="G19920">
        <v>3.39</v>
      </c>
      <c r="H19920">
        <v>250131</v>
      </c>
      <c r="I19920">
        <v>4369</v>
      </c>
      <c r="J19920" t="s">
        <v>188</v>
      </c>
      <c r="K19920">
        <v>116.01</v>
      </c>
      <c r="L19920">
        <v>0.69</v>
      </c>
      <c r="M19920">
        <v>11701</v>
      </c>
      <c r="N19920" t="s">
        <v>973</v>
      </c>
      <c r="O19920">
        <v>250211</v>
      </c>
      <c r="P19920">
        <v>2.7</v>
      </c>
    </row>
    <row r="19921" spans="1:16" x14ac:dyDescent="0.25">
      <c r="A19921" t="s">
        <v>3296</v>
      </c>
      <c r="B19921" t="s">
        <v>2931</v>
      </c>
      <c r="C19921">
        <v>1586</v>
      </c>
      <c r="D19921" t="str">
        <f t="shared" si="335"/>
        <v xml:space="preserve">12506021915 </v>
      </c>
      <c r="E19921" t="s">
        <v>309</v>
      </c>
      <c r="F19921" t="s">
        <v>310</v>
      </c>
      <c r="G19921">
        <v>7.22</v>
      </c>
      <c r="H19921">
        <v>250131</v>
      </c>
      <c r="I19921">
        <v>4369</v>
      </c>
      <c r="J19921" t="s">
        <v>188</v>
      </c>
      <c r="K19921">
        <v>116.01</v>
      </c>
      <c r="L19921">
        <v>1.47</v>
      </c>
      <c r="M19921">
        <v>11751</v>
      </c>
      <c r="N19921" t="s">
        <v>167</v>
      </c>
      <c r="O19921">
        <v>250211</v>
      </c>
      <c r="P19921">
        <v>5.75</v>
      </c>
    </row>
    <row r="19922" spans="1:16" x14ac:dyDescent="0.25">
      <c r="A19922" t="s">
        <v>3296</v>
      </c>
      <c r="B19922" t="s">
        <v>2931</v>
      </c>
      <c r="C19922">
        <v>1586</v>
      </c>
      <c r="D19922" t="str">
        <f t="shared" si="335"/>
        <v xml:space="preserve">12506021915 </v>
      </c>
      <c r="E19922" t="s">
        <v>309</v>
      </c>
      <c r="F19922" t="s">
        <v>310</v>
      </c>
      <c r="G19922">
        <v>31.12</v>
      </c>
      <c r="H19922">
        <v>250131</v>
      </c>
      <c r="I19922">
        <v>4369</v>
      </c>
      <c r="J19922" t="s">
        <v>188</v>
      </c>
      <c r="K19922">
        <v>116.01</v>
      </c>
      <c r="L19922">
        <v>6.32</v>
      </c>
      <c r="M19922">
        <v>14622</v>
      </c>
      <c r="N19922" t="s">
        <v>77</v>
      </c>
      <c r="O19922">
        <v>250211</v>
      </c>
      <c r="P19922">
        <v>24.8</v>
      </c>
    </row>
    <row r="19923" spans="1:16" x14ac:dyDescent="0.25">
      <c r="A19923" t="s">
        <v>3296</v>
      </c>
      <c r="B19923" t="s">
        <v>2931</v>
      </c>
      <c r="C19923">
        <v>1586</v>
      </c>
      <c r="D19923" t="str">
        <f t="shared" si="335"/>
        <v xml:space="preserve">12506021915 </v>
      </c>
      <c r="E19923" t="s">
        <v>309</v>
      </c>
      <c r="F19923" t="s">
        <v>310</v>
      </c>
      <c r="G19923">
        <v>3.89</v>
      </c>
      <c r="H19923">
        <v>250131</v>
      </c>
      <c r="I19923">
        <v>4369</v>
      </c>
      <c r="J19923" t="s">
        <v>188</v>
      </c>
      <c r="K19923">
        <v>116.01</v>
      </c>
      <c r="L19923">
        <v>0.79</v>
      </c>
      <c r="M19923">
        <v>14952</v>
      </c>
      <c r="N19923" t="s">
        <v>213</v>
      </c>
      <c r="O19923">
        <v>250211</v>
      </c>
      <c r="P19923">
        <v>3.1</v>
      </c>
    </row>
    <row r="19924" spans="1:16" x14ac:dyDescent="0.25">
      <c r="A19924" t="s">
        <v>3296</v>
      </c>
      <c r="B19924" t="s">
        <v>2931</v>
      </c>
      <c r="C19924">
        <v>1672</v>
      </c>
      <c r="D19924" t="str">
        <f t="shared" ref="D19924:D19931" si="336">"12506021914 "</f>
        <v xml:space="preserve">12506021914 </v>
      </c>
      <c r="E19924" t="s">
        <v>309</v>
      </c>
      <c r="F19924" t="s">
        <v>310</v>
      </c>
      <c r="G19924">
        <v>6.4</v>
      </c>
      <c r="H19924">
        <v>250131</v>
      </c>
      <c r="I19924">
        <v>4369</v>
      </c>
      <c r="J19924" t="s">
        <v>188</v>
      </c>
      <c r="K19924">
        <v>60.79</v>
      </c>
      <c r="L19924">
        <v>1.3</v>
      </c>
      <c r="M19924">
        <v>10002</v>
      </c>
      <c r="N19924" t="s">
        <v>513</v>
      </c>
      <c r="O19924">
        <v>250212</v>
      </c>
      <c r="P19924">
        <v>5.0999999999999996</v>
      </c>
    </row>
    <row r="19925" spans="1:16" x14ac:dyDescent="0.25">
      <c r="A19925" t="s">
        <v>3296</v>
      </c>
      <c r="B19925" t="s">
        <v>2931</v>
      </c>
      <c r="C19925">
        <v>1672</v>
      </c>
      <c r="D19925" t="str">
        <f t="shared" si="336"/>
        <v xml:space="preserve">12506021914 </v>
      </c>
      <c r="E19925" t="s">
        <v>309</v>
      </c>
      <c r="F19925" t="s">
        <v>310</v>
      </c>
      <c r="G19925">
        <v>3.2</v>
      </c>
      <c r="H19925">
        <v>250131</v>
      </c>
      <c r="I19925">
        <v>4369</v>
      </c>
      <c r="J19925" t="s">
        <v>188</v>
      </c>
      <c r="K19925">
        <v>60.79</v>
      </c>
      <c r="L19925">
        <v>0.65</v>
      </c>
      <c r="M19925">
        <v>11001</v>
      </c>
      <c r="N19925" t="s">
        <v>93</v>
      </c>
      <c r="O19925">
        <v>250212</v>
      </c>
      <c r="P19925">
        <v>2.5499999999999998</v>
      </c>
    </row>
    <row r="19926" spans="1:16" x14ac:dyDescent="0.25">
      <c r="A19926" t="s">
        <v>3296</v>
      </c>
      <c r="B19926" t="s">
        <v>2931</v>
      </c>
      <c r="C19926">
        <v>1672</v>
      </c>
      <c r="D19926" t="str">
        <f t="shared" si="336"/>
        <v xml:space="preserve">12506021914 </v>
      </c>
      <c r="E19926" t="s">
        <v>309</v>
      </c>
      <c r="F19926" t="s">
        <v>310</v>
      </c>
      <c r="G19926">
        <v>6.67</v>
      </c>
      <c r="H19926">
        <v>250131</v>
      </c>
      <c r="I19926">
        <v>4369</v>
      </c>
      <c r="J19926" t="s">
        <v>188</v>
      </c>
      <c r="K19926">
        <v>60.79</v>
      </c>
      <c r="L19926">
        <v>1.36</v>
      </c>
      <c r="M19926">
        <v>11001</v>
      </c>
      <c r="N19926" t="s">
        <v>93</v>
      </c>
      <c r="O19926">
        <v>250212</v>
      </c>
      <c r="P19926">
        <v>5.31</v>
      </c>
    </row>
    <row r="19927" spans="1:16" x14ac:dyDescent="0.25">
      <c r="A19927" t="s">
        <v>3296</v>
      </c>
      <c r="B19927" t="s">
        <v>2931</v>
      </c>
      <c r="C19927">
        <v>1672</v>
      </c>
      <c r="D19927" t="str">
        <f t="shared" si="336"/>
        <v xml:space="preserve">12506021914 </v>
      </c>
      <c r="E19927" t="s">
        <v>309</v>
      </c>
      <c r="F19927" t="s">
        <v>310</v>
      </c>
      <c r="G19927">
        <v>10.17</v>
      </c>
      <c r="H19927">
        <v>250131</v>
      </c>
      <c r="I19927">
        <v>4369</v>
      </c>
      <c r="J19927" t="s">
        <v>188</v>
      </c>
      <c r="K19927">
        <v>60.79</v>
      </c>
      <c r="L19927">
        <v>2.0699999999999998</v>
      </c>
      <c r="M19927">
        <v>11301</v>
      </c>
      <c r="N19927" t="s">
        <v>92</v>
      </c>
      <c r="O19927">
        <v>250212</v>
      </c>
      <c r="P19927">
        <v>8.1</v>
      </c>
    </row>
    <row r="19928" spans="1:16" x14ac:dyDescent="0.25">
      <c r="A19928" t="s">
        <v>3296</v>
      </c>
      <c r="B19928" t="s">
        <v>2931</v>
      </c>
      <c r="C19928">
        <v>1672</v>
      </c>
      <c r="D19928" t="str">
        <f t="shared" si="336"/>
        <v xml:space="preserve">12506021914 </v>
      </c>
      <c r="E19928" t="s">
        <v>309</v>
      </c>
      <c r="F19928" t="s">
        <v>310</v>
      </c>
      <c r="G19928">
        <v>0.99</v>
      </c>
      <c r="H19928">
        <v>250131</v>
      </c>
      <c r="I19928">
        <v>4369</v>
      </c>
      <c r="J19928" t="s">
        <v>188</v>
      </c>
      <c r="K19928">
        <v>60.79</v>
      </c>
      <c r="L19928">
        <v>0</v>
      </c>
      <c r="M19928">
        <v>11401</v>
      </c>
      <c r="N19928" t="s">
        <v>91</v>
      </c>
      <c r="O19928">
        <v>250212</v>
      </c>
      <c r="P19928">
        <v>0.99</v>
      </c>
    </row>
    <row r="19929" spans="1:16" x14ac:dyDescent="0.25">
      <c r="A19929" t="s">
        <v>3296</v>
      </c>
      <c r="B19929" t="s">
        <v>2931</v>
      </c>
      <c r="C19929">
        <v>1672</v>
      </c>
      <c r="D19929" t="str">
        <f t="shared" si="336"/>
        <v xml:space="preserve">12506021914 </v>
      </c>
      <c r="E19929" t="s">
        <v>309</v>
      </c>
      <c r="F19929" t="s">
        <v>310</v>
      </c>
      <c r="G19929">
        <v>10.74</v>
      </c>
      <c r="H19929">
        <v>250131</v>
      </c>
      <c r="I19929">
        <v>4369</v>
      </c>
      <c r="J19929" t="s">
        <v>188</v>
      </c>
      <c r="K19929">
        <v>60.79</v>
      </c>
      <c r="L19929">
        <v>2.1800000000000002</v>
      </c>
      <c r="M19929">
        <v>11401</v>
      </c>
      <c r="N19929" t="s">
        <v>91</v>
      </c>
      <c r="O19929">
        <v>250212</v>
      </c>
      <c r="P19929">
        <v>8.56</v>
      </c>
    </row>
    <row r="19930" spans="1:16" x14ac:dyDescent="0.25">
      <c r="A19930" t="s">
        <v>3296</v>
      </c>
      <c r="B19930" t="s">
        <v>2931</v>
      </c>
      <c r="C19930">
        <v>1672</v>
      </c>
      <c r="D19930" t="str">
        <f t="shared" si="336"/>
        <v xml:space="preserve">12506021914 </v>
      </c>
      <c r="E19930" t="s">
        <v>309</v>
      </c>
      <c r="F19930" t="s">
        <v>310</v>
      </c>
      <c r="G19930">
        <v>9.98</v>
      </c>
      <c r="H19930">
        <v>250131</v>
      </c>
      <c r="I19930">
        <v>4369</v>
      </c>
      <c r="J19930" t="s">
        <v>188</v>
      </c>
      <c r="K19930">
        <v>60.79</v>
      </c>
      <c r="L19930">
        <v>2.0299999999999998</v>
      </c>
      <c r="M19930">
        <v>11501</v>
      </c>
      <c r="N19930" t="s">
        <v>13</v>
      </c>
      <c r="O19930">
        <v>250212</v>
      </c>
      <c r="P19930">
        <v>7.95</v>
      </c>
    </row>
    <row r="19931" spans="1:16" x14ac:dyDescent="0.25">
      <c r="A19931" t="s">
        <v>3296</v>
      </c>
      <c r="B19931" t="s">
        <v>2931</v>
      </c>
      <c r="C19931">
        <v>1672</v>
      </c>
      <c r="D19931" t="str">
        <f t="shared" si="336"/>
        <v xml:space="preserve">12506021914 </v>
      </c>
      <c r="E19931" t="s">
        <v>309</v>
      </c>
      <c r="F19931" t="s">
        <v>310</v>
      </c>
      <c r="G19931">
        <v>12.64</v>
      </c>
      <c r="H19931">
        <v>250131</v>
      </c>
      <c r="I19931">
        <v>4369</v>
      </c>
      <c r="J19931" t="s">
        <v>188</v>
      </c>
      <c r="K19931">
        <v>60.79</v>
      </c>
      <c r="L19931">
        <v>2.57</v>
      </c>
      <c r="M19931">
        <v>18972</v>
      </c>
      <c r="N19931" t="s">
        <v>39</v>
      </c>
      <c r="O19931">
        <v>250212</v>
      </c>
      <c r="P19931">
        <v>10.07</v>
      </c>
    </row>
    <row r="19932" spans="1:16" x14ac:dyDescent="0.25">
      <c r="A19932" t="s">
        <v>3296</v>
      </c>
      <c r="B19932" t="s">
        <v>2931</v>
      </c>
      <c r="C19932">
        <v>1707</v>
      </c>
      <c r="D19932" t="str">
        <f>"12506021936 "</f>
        <v xml:space="preserve">12506021936 </v>
      </c>
      <c r="E19932" t="s">
        <v>309</v>
      </c>
      <c r="F19932" t="s">
        <v>310</v>
      </c>
      <c r="G19932">
        <v>3.39</v>
      </c>
      <c r="H19932">
        <v>250131</v>
      </c>
      <c r="I19932">
        <v>4369</v>
      </c>
      <c r="J19932" t="s">
        <v>188</v>
      </c>
      <c r="K19932">
        <v>3.39</v>
      </c>
      <c r="L19932">
        <v>0.69</v>
      </c>
      <c r="M19932">
        <v>11900</v>
      </c>
      <c r="N19932" t="s">
        <v>30</v>
      </c>
      <c r="O19932">
        <v>250212</v>
      </c>
      <c r="P19932">
        <v>2.7</v>
      </c>
    </row>
    <row r="19933" spans="1:16" x14ac:dyDescent="0.25">
      <c r="A19933" t="s">
        <v>3296</v>
      </c>
      <c r="B19933" t="s">
        <v>2931</v>
      </c>
      <c r="C19933">
        <v>1806</v>
      </c>
      <c r="D19933" t="str">
        <f t="shared" ref="D19933:D19939" si="337">"12506021937 "</f>
        <v xml:space="preserve">12506021937 </v>
      </c>
      <c r="E19933" t="s">
        <v>309</v>
      </c>
      <c r="F19933" t="s">
        <v>310</v>
      </c>
      <c r="G19933">
        <v>2.23</v>
      </c>
      <c r="H19933">
        <v>250131</v>
      </c>
      <c r="I19933">
        <v>4369</v>
      </c>
      <c r="J19933" t="s">
        <v>188</v>
      </c>
      <c r="K19933">
        <v>17.03</v>
      </c>
      <c r="L19933">
        <v>0.45</v>
      </c>
      <c r="M19933">
        <v>41126</v>
      </c>
      <c r="N19933" t="s">
        <v>94</v>
      </c>
      <c r="O19933">
        <v>250214</v>
      </c>
      <c r="P19933">
        <v>1.78</v>
      </c>
    </row>
    <row r="19934" spans="1:16" x14ac:dyDescent="0.25">
      <c r="A19934" t="s">
        <v>3296</v>
      </c>
      <c r="B19934" t="s">
        <v>2931</v>
      </c>
      <c r="C19934">
        <v>1806</v>
      </c>
      <c r="D19934" t="str">
        <f t="shared" si="337"/>
        <v xml:space="preserve">12506021937 </v>
      </c>
      <c r="E19934" t="s">
        <v>309</v>
      </c>
      <c r="F19934" t="s">
        <v>310</v>
      </c>
      <c r="G19934">
        <v>1.7</v>
      </c>
      <c r="H19934">
        <v>250131</v>
      </c>
      <c r="I19934">
        <v>4369</v>
      </c>
      <c r="J19934" t="s">
        <v>188</v>
      </c>
      <c r="K19934">
        <v>17.03</v>
      </c>
      <c r="L19934">
        <v>0.35</v>
      </c>
      <c r="M19934">
        <v>43222</v>
      </c>
      <c r="N19934" t="s">
        <v>95</v>
      </c>
      <c r="O19934">
        <v>250214</v>
      </c>
      <c r="P19934">
        <v>1.35</v>
      </c>
    </row>
    <row r="19935" spans="1:16" x14ac:dyDescent="0.25">
      <c r="A19935" t="s">
        <v>3296</v>
      </c>
      <c r="B19935" t="s">
        <v>2931</v>
      </c>
      <c r="C19935">
        <v>1806</v>
      </c>
      <c r="D19935" t="str">
        <f t="shared" si="337"/>
        <v xml:space="preserve">12506021937 </v>
      </c>
      <c r="E19935" t="s">
        <v>309</v>
      </c>
      <c r="F19935" t="s">
        <v>310</v>
      </c>
      <c r="G19935">
        <v>2.04</v>
      </c>
      <c r="H19935">
        <v>250131</v>
      </c>
      <c r="I19935">
        <v>4369</v>
      </c>
      <c r="J19935" t="s">
        <v>188</v>
      </c>
      <c r="K19935">
        <v>17.03</v>
      </c>
      <c r="L19935">
        <v>0.41</v>
      </c>
      <c r="M19935">
        <v>44222</v>
      </c>
      <c r="N19935" t="s">
        <v>96</v>
      </c>
      <c r="O19935">
        <v>250214</v>
      </c>
      <c r="P19935">
        <v>1.63</v>
      </c>
    </row>
    <row r="19936" spans="1:16" x14ac:dyDescent="0.25">
      <c r="A19936" t="s">
        <v>3296</v>
      </c>
      <c r="B19936" t="s">
        <v>2931</v>
      </c>
      <c r="C19936">
        <v>1806</v>
      </c>
      <c r="D19936" t="str">
        <f t="shared" si="337"/>
        <v xml:space="preserve">12506021937 </v>
      </c>
      <c r="E19936" t="s">
        <v>309</v>
      </c>
      <c r="F19936" t="s">
        <v>310</v>
      </c>
      <c r="G19936">
        <v>2.21</v>
      </c>
      <c r="H19936">
        <v>250131</v>
      </c>
      <c r="I19936">
        <v>4369</v>
      </c>
      <c r="J19936" t="s">
        <v>188</v>
      </c>
      <c r="K19936">
        <v>17.03</v>
      </c>
      <c r="L19936">
        <v>0.45</v>
      </c>
      <c r="M19936">
        <v>44424</v>
      </c>
      <c r="N19936" t="s">
        <v>99</v>
      </c>
      <c r="O19936">
        <v>250214</v>
      </c>
      <c r="P19936">
        <v>1.76</v>
      </c>
    </row>
    <row r="19937" spans="1:16" x14ac:dyDescent="0.25">
      <c r="A19937" t="s">
        <v>3296</v>
      </c>
      <c r="B19937" t="s">
        <v>2931</v>
      </c>
      <c r="C19937">
        <v>1806</v>
      </c>
      <c r="D19937" t="str">
        <f t="shared" si="337"/>
        <v xml:space="preserve">12506021937 </v>
      </c>
      <c r="E19937" t="s">
        <v>309</v>
      </c>
      <c r="F19937" t="s">
        <v>310</v>
      </c>
      <c r="G19937">
        <v>1.19</v>
      </c>
      <c r="H19937">
        <v>250131</v>
      </c>
      <c r="I19937">
        <v>4369</v>
      </c>
      <c r="J19937" t="s">
        <v>188</v>
      </c>
      <c r="K19937">
        <v>17.03</v>
      </c>
      <c r="L19937">
        <v>0.24</v>
      </c>
      <c r="M19937">
        <v>46222</v>
      </c>
      <c r="N19937" t="s">
        <v>101</v>
      </c>
      <c r="O19937">
        <v>250214</v>
      </c>
      <c r="P19937">
        <v>0.95</v>
      </c>
    </row>
    <row r="19938" spans="1:16" x14ac:dyDescent="0.25">
      <c r="A19938" t="s">
        <v>3296</v>
      </c>
      <c r="B19938" t="s">
        <v>2931</v>
      </c>
      <c r="C19938">
        <v>1806</v>
      </c>
      <c r="D19938" t="str">
        <f t="shared" si="337"/>
        <v xml:space="preserve">12506021937 </v>
      </c>
      <c r="E19938" t="s">
        <v>309</v>
      </c>
      <c r="F19938" t="s">
        <v>310</v>
      </c>
      <c r="G19938">
        <v>6.81</v>
      </c>
      <c r="H19938">
        <v>250131</v>
      </c>
      <c r="I19938">
        <v>4369</v>
      </c>
      <c r="J19938" t="s">
        <v>188</v>
      </c>
      <c r="K19938">
        <v>17.03</v>
      </c>
      <c r="L19938">
        <v>1.38</v>
      </c>
      <c r="M19938">
        <v>46559</v>
      </c>
      <c r="N19938" t="s">
        <v>105</v>
      </c>
      <c r="O19938">
        <v>250214</v>
      </c>
      <c r="P19938">
        <v>5.43</v>
      </c>
    </row>
    <row r="19939" spans="1:16" x14ac:dyDescent="0.25">
      <c r="A19939" t="s">
        <v>3296</v>
      </c>
      <c r="B19939" t="s">
        <v>2931</v>
      </c>
      <c r="C19939">
        <v>1806</v>
      </c>
      <c r="D19939" t="str">
        <f t="shared" si="337"/>
        <v xml:space="preserve">12506021937 </v>
      </c>
      <c r="E19939" t="s">
        <v>309</v>
      </c>
      <c r="F19939" t="s">
        <v>310</v>
      </c>
      <c r="G19939">
        <v>0.85</v>
      </c>
      <c r="H19939">
        <v>250131</v>
      </c>
      <c r="I19939">
        <v>4369</v>
      </c>
      <c r="J19939" t="s">
        <v>188</v>
      </c>
      <c r="K19939">
        <v>17.03</v>
      </c>
      <c r="L19939">
        <v>0.17</v>
      </c>
      <c r="M19939">
        <v>47522</v>
      </c>
      <c r="N19939" t="s">
        <v>106</v>
      </c>
      <c r="O19939">
        <v>250214</v>
      </c>
      <c r="P19939">
        <v>0.68</v>
      </c>
    </row>
    <row r="19940" spans="1:16" x14ac:dyDescent="0.25">
      <c r="A19940" t="s">
        <v>3296</v>
      </c>
      <c r="B19940" t="s">
        <v>2931</v>
      </c>
      <c r="C19940">
        <v>1816</v>
      </c>
      <c r="D19940" t="str">
        <f>"12506021928 "</f>
        <v xml:space="preserve">12506021928 </v>
      </c>
      <c r="E19940" t="s">
        <v>309</v>
      </c>
      <c r="F19940" t="s">
        <v>310</v>
      </c>
      <c r="G19940">
        <v>20.329999999999998</v>
      </c>
      <c r="H19940">
        <v>250131</v>
      </c>
      <c r="I19940">
        <v>4369</v>
      </c>
      <c r="J19940" t="s">
        <v>188</v>
      </c>
      <c r="K19940">
        <v>20.329999999999998</v>
      </c>
      <c r="L19940">
        <v>4.13</v>
      </c>
      <c r="M19940">
        <v>47522</v>
      </c>
      <c r="N19940" t="s">
        <v>106</v>
      </c>
      <c r="O19940">
        <v>250214</v>
      </c>
      <c r="P19940">
        <v>16.2</v>
      </c>
    </row>
    <row r="19941" spans="1:16" x14ac:dyDescent="0.25">
      <c r="A19941" t="s">
        <v>3296</v>
      </c>
      <c r="B19941" t="s">
        <v>2931</v>
      </c>
      <c r="C19941">
        <v>1821</v>
      </c>
      <c r="D19941" t="str">
        <f t="shared" ref="D19941:D19969" si="338">"12506021920 "</f>
        <v xml:space="preserve">12506021920 </v>
      </c>
      <c r="E19941" t="s">
        <v>309</v>
      </c>
      <c r="F19941" t="s">
        <v>310</v>
      </c>
      <c r="G19941">
        <v>38.67</v>
      </c>
      <c r="H19941">
        <v>250131</v>
      </c>
      <c r="I19941">
        <v>4369</v>
      </c>
      <c r="J19941" t="s">
        <v>188</v>
      </c>
      <c r="K19941">
        <v>350.97</v>
      </c>
      <c r="L19941">
        <v>7.86</v>
      </c>
      <c r="M19941">
        <v>61122</v>
      </c>
      <c r="N19941" t="s">
        <v>86</v>
      </c>
      <c r="O19941">
        <v>250214</v>
      </c>
      <c r="P19941">
        <v>30.81</v>
      </c>
    </row>
    <row r="19942" spans="1:16" x14ac:dyDescent="0.25">
      <c r="A19942" t="s">
        <v>3296</v>
      </c>
      <c r="B19942" t="s">
        <v>2931</v>
      </c>
      <c r="C19942">
        <v>1821</v>
      </c>
      <c r="D19942" t="str">
        <f t="shared" si="338"/>
        <v xml:space="preserve">12506021920 </v>
      </c>
      <c r="E19942" t="s">
        <v>309</v>
      </c>
      <c r="F19942" t="s">
        <v>310</v>
      </c>
      <c r="G19942">
        <v>3.39</v>
      </c>
      <c r="H19942">
        <v>250131</v>
      </c>
      <c r="I19942">
        <v>4369</v>
      </c>
      <c r="J19942" t="s">
        <v>188</v>
      </c>
      <c r="K19942">
        <v>350.97</v>
      </c>
      <c r="L19942">
        <v>0.69</v>
      </c>
      <c r="M19942">
        <v>61122</v>
      </c>
      <c r="N19942" t="s">
        <v>86</v>
      </c>
      <c r="O19942">
        <v>250214</v>
      </c>
      <c r="P19942">
        <v>2.7</v>
      </c>
    </row>
    <row r="19943" spans="1:16" x14ac:dyDescent="0.25">
      <c r="A19943" t="s">
        <v>3296</v>
      </c>
      <c r="B19943" t="s">
        <v>2931</v>
      </c>
      <c r="C19943">
        <v>1821</v>
      </c>
      <c r="D19943" t="str">
        <f t="shared" si="338"/>
        <v xml:space="preserve">12506021920 </v>
      </c>
      <c r="E19943" t="s">
        <v>309</v>
      </c>
      <c r="F19943" t="s">
        <v>310</v>
      </c>
      <c r="G19943">
        <v>13.67</v>
      </c>
      <c r="H19943">
        <v>250131</v>
      </c>
      <c r="I19943">
        <v>4369</v>
      </c>
      <c r="J19943" t="s">
        <v>188</v>
      </c>
      <c r="K19943">
        <v>350.97</v>
      </c>
      <c r="L19943">
        <v>2.78</v>
      </c>
      <c r="M19943">
        <v>65222</v>
      </c>
      <c r="N19943" t="s">
        <v>87</v>
      </c>
      <c r="O19943">
        <v>250214</v>
      </c>
      <c r="P19943">
        <v>10.89</v>
      </c>
    </row>
    <row r="19944" spans="1:16" x14ac:dyDescent="0.25">
      <c r="A19944" t="s">
        <v>3296</v>
      </c>
      <c r="B19944" t="s">
        <v>2931</v>
      </c>
      <c r="C19944">
        <v>1821</v>
      </c>
      <c r="D19944" t="str">
        <f t="shared" si="338"/>
        <v xml:space="preserve">12506021920 </v>
      </c>
      <c r="E19944" t="s">
        <v>309</v>
      </c>
      <c r="F19944" t="s">
        <v>310</v>
      </c>
      <c r="G19944">
        <v>3.39</v>
      </c>
      <c r="H19944">
        <v>250131</v>
      </c>
      <c r="I19944">
        <v>4369</v>
      </c>
      <c r="J19944" t="s">
        <v>188</v>
      </c>
      <c r="K19944">
        <v>350.97</v>
      </c>
      <c r="L19944">
        <v>0.69</v>
      </c>
      <c r="M19944">
        <v>65422</v>
      </c>
      <c r="N19944" t="s">
        <v>117</v>
      </c>
      <c r="O19944">
        <v>250214</v>
      </c>
      <c r="P19944">
        <v>2.7</v>
      </c>
    </row>
    <row r="19945" spans="1:16" x14ac:dyDescent="0.25">
      <c r="A19945" t="s">
        <v>3296</v>
      </c>
      <c r="B19945" t="s">
        <v>2931</v>
      </c>
      <c r="C19945">
        <v>1821</v>
      </c>
      <c r="D19945" t="str">
        <f t="shared" si="338"/>
        <v xml:space="preserve">12506021920 </v>
      </c>
      <c r="E19945" t="s">
        <v>309</v>
      </c>
      <c r="F19945" t="s">
        <v>310</v>
      </c>
      <c r="G19945">
        <v>10.17</v>
      </c>
      <c r="H19945">
        <v>250131</v>
      </c>
      <c r="I19945">
        <v>4369</v>
      </c>
      <c r="J19945" t="s">
        <v>188</v>
      </c>
      <c r="K19945">
        <v>350.97</v>
      </c>
      <c r="L19945">
        <v>2.0699999999999998</v>
      </c>
      <c r="M19945">
        <v>66722</v>
      </c>
      <c r="N19945" t="s">
        <v>118</v>
      </c>
      <c r="O19945">
        <v>250214</v>
      </c>
      <c r="P19945">
        <v>8.1</v>
      </c>
    </row>
    <row r="19946" spans="1:16" x14ac:dyDescent="0.25">
      <c r="A19946" t="s">
        <v>3296</v>
      </c>
      <c r="B19946" t="s">
        <v>2931</v>
      </c>
      <c r="C19946">
        <v>1821</v>
      </c>
      <c r="D19946" t="str">
        <f t="shared" si="338"/>
        <v xml:space="preserve">12506021920 </v>
      </c>
      <c r="E19946" t="s">
        <v>309</v>
      </c>
      <c r="F19946" t="s">
        <v>310</v>
      </c>
      <c r="G19946">
        <v>1.74</v>
      </c>
      <c r="H19946">
        <v>250131</v>
      </c>
      <c r="I19946">
        <v>4369</v>
      </c>
      <c r="J19946" t="s">
        <v>188</v>
      </c>
      <c r="K19946">
        <v>350.97</v>
      </c>
      <c r="L19946">
        <v>0.35</v>
      </c>
      <c r="M19946">
        <v>66754</v>
      </c>
      <c r="N19946" t="s">
        <v>119</v>
      </c>
      <c r="O19946">
        <v>250214</v>
      </c>
      <c r="P19946">
        <v>1.39</v>
      </c>
    </row>
    <row r="19947" spans="1:16" x14ac:dyDescent="0.25">
      <c r="A19947" t="s">
        <v>3296</v>
      </c>
      <c r="B19947" t="s">
        <v>2931</v>
      </c>
      <c r="C19947">
        <v>1821</v>
      </c>
      <c r="D19947" t="str">
        <f t="shared" si="338"/>
        <v xml:space="preserve">12506021920 </v>
      </c>
      <c r="E19947" t="s">
        <v>309</v>
      </c>
      <c r="F19947" t="s">
        <v>310</v>
      </c>
      <c r="G19947">
        <v>3.39</v>
      </c>
      <c r="H19947">
        <v>250131</v>
      </c>
      <c r="I19947">
        <v>4369</v>
      </c>
      <c r="J19947" t="s">
        <v>188</v>
      </c>
      <c r="K19947">
        <v>350.97</v>
      </c>
      <c r="L19947">
        <v>0.69</v>
      </c>
      <c r="M19947">
        <v>66754</v>
      </c>
      <c r="N19947" t="s">
        <v>119</v>
      </c>
      <c r="O19947">
        <v>250214</v>
      </c>
      <c r="P19947">
        <v>2.7</v>
      </c>
    </row>
    <row r="19948" spans="1:16" x14ac:dyDescent="0.25">
      <c r="A19948" t="s">
        <v>3296</v>
      </c>
      <c r="B19948" t="s">
        <v>2931</v>
      </c>
      <c r="C19948">
        <v>1821</v>
      </c>
      <c r="D19948" t="str">
        <f t="shared" si="338"/>
        <v xml:space="preserve">12506021920 </v>
      </c>
      <c r="E19948" t="s">
        <v>309</v>
      </c>
      <c r="F19948" t="s">
        <v>310</v>
      </c>
      <c r="G19948">
        <v>6.88</v>
      </c>
      <c r="H19948">
        <v>250131</v>
      </c>
      <c r="I19948">
        <v>4369</v>
      </c>
      <c r="J19948" t="s">
        <v>188</v>
      </c>
      <c r="K19948">
        <v>350.97</v>
      </c>
      <c r="L19948">
        <v>1.4</v>
      </c>
      <c r="M19948">
        <v>66754</v>
      </c>
      <c r="N19948" t="s">
        <v>119</v>
      </c>
      <c r="O19948">
        <v>250214</v>
      </c>
      <c r="P19948">
        <v>5.48</v>
      </c>
    </row>
    <row r="19949" spans="1:16" x14ac:dyDescent="0.25">
      <c r="A19949" t="s">
        <v>3296</v>
      </c>
      <c r="B19949" t="s">
        <v>2931</v>
      </c>
      <c r="C19949">
        <v>1821</v>
      </c>
      <c r="D19949" t="str">
        <f t="shared" si="338"/>
        <v xml:space="preserve">12506021920 </v>
      </c>
      <c r="E19949" t="s">
        <v>309</v>
      </c>
      <c r="F19949" t="s">
        <v>310</v>
      </c>
      <c r="G19949">
        <v>13.64</v>
      </c>
      <c r="H19949">
        <v>250131</v>
      </c>
      <c r="I19949">
        <v>4369</v>
      </c>
      <c r="J19949" t="s">
        <v>188</v>
      </c>
      <c r="K19949">
        <v>350.97</v>
      </c>
      <c r="L19949">
        <v>2.77</v>
      </c>
      <c r="M19949">
        <v>66754</v>
      </c>
      <c r="N19949" t="s">
        <v>119</v>
      </c>
      <c r="O19949">
        <v>250214</v>
      </c>
      <c r="P19949">
        <v>10.87</v>
      </c>
    </row>
    <row r="19950" spans="1:16" x14ac:dyDescent="0.25">
      <c r="A19950" t="s">
        <v>3296</v>
      </c>
      <c r="B19950" t="s">
        <v>2931</v>
      </c>
      <c r="C19950">
        <v>1821</v>
      </c>
      <c r="D19950" t="str">
        <f t="shared" si="338"/>
        <v xml:space="preserve">12506021920 </v>
      </c>
      <c r="E19950" t="s">
        <v>309</v>
      </c>
      <c r="F19950" t="s">
        <v>310</v>
      </c>
      <c r="G19950">
        <v>13.37</v>
      </c>
      <c r="H19950">
        <v>250131</v>
      </c>
      <c r="I19950">
        <v>4369</v>
      </c>
      <c r="J19950" t="s">
        <v>188</v>
      </c>
      <c r="K19950">
        <v>350.97</v>
      </c>
      <c r="L19950">
        <v>2.72</v>
      </c>
      <c r="M19950">
        <v>66756</v>
      </c>
      <c r="N19950" t="s">
        <v>120</v>
      </c>
      <c r="O19950">
        <v>250214</v>
      </c>
      <c r="P19950">
        <v>10.65</v>
      </c>
    </row>
    <row r="19951" spans="1:16" x14ac:dyDescent="0.25">
      <c r="A19951" t="s">
        <v>3296</v>
      </c>
      <c r="B19951" t="s">
        <v>2931</v>
      </c>
      <c r="C19951">
        <v>1821</v>
      </c>
      <c r="D19951" t="str">
        <f t="shared" si="338"/>
        <v xml:space="preserve">12506021920 </v>
      </c>
      <c r="E19951" t="s">
        <v>309</v>
      </c>
      <c r="F19951" t="s">
        <v>310</v>
      </c>
      <c r="G19951">
        <v>23.76</v>
      </c>
      <c r="H19951">
        <v>250131</v>
      </c>
      <c r="I19951">
        <v>4369</v>
      </c>
      <c r="J19951" t="s">
        <v>188</v>
      </c>
      <c r="K19951">
        <v>350.97</v>
      </c>
      <c r="L19951">
        <v>4.83</v>
      </c>
      <c r="M19951">
        <v>67522</v>
      </c>
      <c r="N19951" t="s">
        <v>121</v>
      </c>
      <c r="O19951">
        <v>250214</v>
      </c>
      <c r="P19951">
        <v>18.93</v>
      </c>
    </row>
    <row r="19952" spans="1:16" x14ac:dyDescent="0.25">
      <c r="A19952" t="s">
        <v>3296</v>
      </c>
      <c r="B19952" t="s">
        <v>2931</v>
      </c>
      <c r="C19952">
        <v>1821</v>
      </c>
      <c r="D19952" t="str">
        <f t="shared" si="338"/>
        <v xml:space="preserve">12506021920 </v>
      </c>
      <c r="E19952" t="s">
        <v>309</v>
      </c>
      <c r="F19952" t="s">
        <v>310</v>
      </c>
      <c r="G19952">
        <v>24.97</v>
      </c>
      <c r="H19952">
        <v>250131</v>
      </c>
      <c r="I19952">
        <v>4369</v>
      </c>
      <c r="J19952" t="s">
        <v>188</v>
      </c>
      <c r="K19952">
        <v>350.97</v>
      </c>
      <c r="L19952">
        <v>5.07</v>
      </c>
      <c r="M19952">
        <v>67522</v>
      </c>
      <c r="N19952" t="s">
        <v>121</v>
      </c>
      <c r="O19952">
        <v>250214</v>
      </c>
      <c r="P19952">
        <v>19.899999999999999</v>
      </c>
    </row>
    <row r="19953" spans="1:16" x14ac:dyDescent="0.25">
      <c r="A19953" t="s">
        <v>3296</v>
      </c>
      <c r="B19953" t="s">
        <v>2931</v>
      </c>
      <c r="C19953">
        <v>1821</v>
      </c>
      <c r="D19953" t="str">
        <f t="shared" si="338"/>
        <v xml:space="preserve">12506021920 </v>
      </c>
      <c r="E19953" t="s">
        <v>309</v>
      </c>
      <c r="F19953" t="s">
        <v>310</v>
      </c>
      <c r="G19953">
        <v>1.73</v>
      </c>
      <c r="H19953">
        <v>250131</v>
      </c>
      <c r="I19953">
        <v>4369</v>
      </c>
      <c r="J19953" t="s">
        <v>188</v>
      </c>
      <c r="K19953">
        <v>350.97</v>
      </c>
      <c r="L19953">
        <v>0.35</v>
      </c>
      <c r="M19953">
        <v>67554</v>
      </c>
      <c r="N19953" t="s">
        <v>317</v>
      </c>
      <c r="O19953">
        <v>250214</v>
      </c>
      <c r="P19953">
        <v>1.38</v>
      </c>
    </row>
    <row r="19954" spans="1:16" x14ac:dyDescent="0.25">
      <c r="A19954" t="s">
        <v>3296</v>
      </c>
      <c r="B19954" t="s">
        <v>2931</v>
      </c>
      <c r="C19954">
        <v>1821</v>
      </c>
      <c r="D19954" t="str">
        <f t="shared" si="338"/>
        <v xml:space="preserve">12506021920 </v>
      </c>
      <c r="E19954" t="s">
        <v>309</v>
      </c>
      <c r="F19954" t="s">
        <v>310</v>
      </c>
      <c r="G19954">
        <v>6.78</v>
      </c>
      <c r="H19954">
        <v>250131</v>
      </c>
      <c r="I19954">
        <v>4369</v>
      </c>
      <c r="J19954" t="s">
        <v>188</v>
      </c>
      <c r="K19954">
        <v>350.97</v>
      </c>
      <c r="L19954">
        <v>1.38</v>
      </c>
      <c r="M19954">
        <v>67554</v>
      </c>
      <c r="N19954" t="s">
        <v>317</v>
      </c>
      <c r="O19954">
        <v>250214</v>
      </c>
      <c r="P19954">
        <v>5.4</v>
      </c>
    </row>
    <row r="19955" spans="1:16" x14ac:dyDescent="0.25">
      <c r="A19955" t="s">
        <v>3296</v>
      </c>
      <c r="B19955" t="s">
        <v>2931</v>
      </c>
      <c r="C19955">
        <v>1821</v>
      </c>
      <c r="D19955" t="str">
        <f t="shared" si="338"/>
        <v xml:space="preserve">12506021920 </v>
      </c>
      <c r="E19955" t="s">
        <v>309</v>
      </c>
      <c r="F19955" t="s">
        <v>310</v>
      </c>
      <c r="G19955">
        <v>53.39</v>
      </c>
      <c r="H19955">
        <v>250131</v>
      </c>
      <c r="I19955">
        <v>4369</v>
      </c>
      <c r="J19955" t="s">
        <v>188</v>
      </c>
      <c r="K19955">
        <v>350.97</v>
      </c>
      <c r="L19955">
        <v>10.85</v>
      </c>
      <c r="M19955">
        <v>67554</v>
      </c>
      <c r="N19955" t="s">
        <v>317</v>
      </c>
      <c r="O19955">
        <v>250214</v>
      </c>
      <c r="P19955">
        <v>42.54</v>
      </c>
    </row>
    <row r="19956" spans="1:16" x14ac:dyDescent="0.25">
      <c r="A19956" t="s">
        <v>3296</v>
      </c>
      <c r="B19956" t="s">
        <v>2931</v>
      </c>
      <c r="C19956">
        <v>1821</v>
      </c>
      <c r="D19956" t="str">
        <f t="shared" si="338"/>
        <v xml:space="preserve">12506021920 </v>
      </c>
      <c r="E19956" t="s">
        <v>309</v>
      </c>
      <c r="F19956" t="s">
        <v>310</v>
      </c>
      <c r="G19956">
        <v>3.53</v>
      </c>
      <c r="H19956">
        <v>250131</v>
      </c>
      <c r="I19956">
        <v>4369</v>
      </c>
      <c r="J19956" t="s">
        <v>188</v>
      </c>
      <c r="K19956">
        <v>350.97</v>
      </c>
      <c r="L19956">
        <v>0.72</v>
      </c>
      <c r="M19956">
        <v>67554</v>
      </c>
      <c r="N19956" t="s">
        <v>317</v>
      </c>
      <c r="O19956">
        <v>250214</v>
      </c>
      <c r="P19956">
        <v>2.81</v>
      </c>
    </row>
    <row r="19957" spans="1:16" x14ac:dyDescent="0.25">
      <c r="A19957" t="s">
        <v>3296</v>
      </c>
      <c r="B19957" t="s">
        <v>2931</v>
      </c>
      <c r="C19957">
        <v>1821</v>
      </c>
      <c r="D19957" t="str">
        <f t="shared" si="338"/>
        <v xml:space="preserve">12506021920 </v>
      </c>
      <c r="E19957" t="s">
        <v>309</v>
      </c>
      <c r="F19957" t="s">
        <v>310</v>
      </c>
      <c r="G19957">
        <v>12.3</v>
      </c>
      <c r="H19957">
        <v>250131</v>
      </c>
      <c r="I19957">
        <v>4369</v>
      </c>
      <c r="J19957" t="s">
        <v>188</v>
      </c>
      <c r="K19957">
        <v>350.97</v>
      </c>
      <c r="L19957">
        <v>2.5</v>
      </c>
      <c r="M19957">
        <v>68601</v>
      </c>
      <c r="N19957" t="s">
        <v>1031</v>
      </c>
      <c r="O19957">
        <v>250214</v>
      </c>
      <c r="P19957">
        <v>9.8000000000000007</v>
      </c>
    </row>
    <row r="19958" spans="1:16" x14ac:dyDescent="0.25">
      <c r="A19958" t="s">
        <v>3296</v>
      </c>
      <c r="B19958" t="s">
        <v>2931</v>
      </c>
      <c r="C19958">
        <v>1821</v>
      </c>
      <c r="D19958" t="str">
        <f t="shared" si="338"/>
        <v xml:space="preserve">12506021920 </v>
      </c>
      <c r="E19958" t="s">
        <v>309</v>
      </c>
      <c r="F19958" t="s">
        <v>310</v>
      </c>
      <c r="G19958">
        <v>3.39</v>
      </c>
      <c r="H19958">
        <v>250131</v>
      </c>
      <c r="I19958">
        <v>4369</v>
      </c>
      <c r="J19958" t="s">
        <v>188</v>
      </c>
      <c r="K19958">
        <v>350.97</v>
      </c>
      <c r="L19958">
        <v>0.69</v>
      </c>
      <c r="M19958">
        <v>68601</v>
      </c>
      <c r="N19958" t="s">
        <v>1031</v>
      </c>
      <c r="O19958">
        <v>250214</v>
      </c>
      <c r="P19958">
        <v>2.7</v>
      </c>
    </row>
    <row r="19959" spans="1:16" x14ac:dyDescent="0.25">
      <c r="A19959" t="s">
        <v>3296</v>
      </c>
      <c r="B19959" t="s">
        <v>2931</v>
      </c>
      <c r="C19959">
        <v>1821</v>
      </c>
      <c r="D19959" t="str">
        <f t="shared" si="338"/>
        <v xml:space="preserve">12506021920 </v>
      </c>
      <c r="E19959" t="s">
        <v>309</v>
      </c>
      <c r="F19959" t="s">
        <v>310</v>
      </c>
      <c r="G19959">
        <v>6.78</v>
      </c>
      <c r="H19959">
        <v>250131</v>
      </c>
      <c r="I19959">
        <v>4369</v>
      </c>
      <c r="J19959" t="s">
        <v>188</v>
      </c>
      <c r="K19959">
        <v>350.97</v>
      </c>
      <c r="L19959">
        <v>1.38</v>
      </c>
      <c r="M19959">
        <v>69111</v>
      </c>
      <c r="N19959" t="s">
        <v>657</v>
      </c>
      <c r="O19959">
        <v>250214</v>
      </c>
      <c r="P19959">
        <v>5.4</v>
      </c>
    </row>
    <row r="19960" spans="1:16" x14ac:dyDescent="0.25">
      <c r="A19960" t="s">
        <v>3296</v>
      </c>
      <c r="B19960" t="s">
        <v>2931</v>
      </c>
      <c r="C19960">
        <v>1821</v>
      </c>
      <c r="D19960" t="str">
        <f t="shared" si="338"/>
        <v xml:space="preserve">12506021920 </v>
      </c>
      <c r="E19960" t="s">
        <v>309</v>
      </c>
      <c r="F19960" t="s">
        <v>310</v>
      </c>
      <c r="G19960">
        <v>6.78</v>
      </c>
      <c r="H19960">
        <v>250131</v>
      </c>
      <c r="I19960">
        <v>4369</v>
      </c>
      <c r="J19960" t="s">
        <v>188</v>
      </c>
      <c r="K19960">
        <v>350.97</v>
      </c>
      <c r="L19960">
        <v>1.38</v>
      </c>
      <c r="M19960">
        <v>69112</v>
      </c>
      <c r="N19960" t="s">
        <v>227</v>
      </c>
      <c r="O19960">
        <v>250214</v>
      </c>
      <c r="P19960">
        <v>5.4</v>
      </c>
    </row>
    <row r="19961" spans="1:16" x14ac:dyDescent="0.25">
      <c r="A19961" t="s">
        <v>3296</v>
      </c>
      <c r="B19961" t="s">
        <v>2931</v>
      </c>
      <c r="C19961">
        <v>1821</v>
      </c>
      <c r="D19961" t="str">
        <f t="shared" si="338"/>
        <v xml:space="preserve">12506021920 </v>
      </c>
      <c r="E19961" t="s">
        <v>309</v>
      </c>
      <c r="F19961" t="s">
        <v>310</v>
      </c>
      <c r="G19961">
        <v>13.57</v>
      </c>
      <c r="H19961">
        <v>250131</v>
      </c>
      <c r="I19961">
        <v>4369</v>
      </c>
      <c r="J19961" t="s">
        <v>188</v>
      </c>
      <c r="K19961">
        <v>350.97</v>
      </c>
      <c r="L19961">
        <v>2.76</v>
      </c>
      <c r="M19961">
        <v>69113</v>
      </c>
      <c r="N19961" t="s">
        <v>122</v>
      </c>
      <c r="O19961">
        <v>250214</v>
      </c>
      <c r="P19961">
        <v>10.81</v>
      </c>
    </row>
    <row r="19962" spans="1:16" x14ac:dyDescent="0.25">
      <c r="A19962" t="s">
        <v>3296</v>
      </c>
      <c r="B19962" t="s">
        <v>2931</v>
      </c>
      <c r="C19962">
        <v>1821</v>
      </c>
      <c r="D19962" t="str">
        <f t="shared" si="338"/>
        <v xml:space="preserve">12506021920 </v>
      </c>
      <c r="E19962" t="s">
        <v>309</v>
      </c>
      <c r="F19962" t="s">
        <v>310</v>
      </c>
      <c r="G19962">
        <v>31.26</v>
      </c>
      <c r="H19962">
        <v>250131</v>
      </c>
      <c r="I19962">
        <v>4369</v>
      </c>
      <c r="J19962" t="s">
        <v>188</v>
      </c>
      <c r="K19962">
        <v>350.97</v>
      </c>
      <c r="L19962">
        <v>6.35</v>
      </c>
      <c r="M19962">
        <v>69501</v>
      </c>
      <c r="N19962" t="s">
        <v>123</v>
      </c>
      <c r="O19962">
        <v>250214</v>
      </c>
      <c r="P19962">
        <v>24.91</v>
      </c>
    </row>
    <row r="19963" spans="1:16" x14ac:dyDescent="0.25">
      <c r="A19963" t="s">
        <v>3296</v>
      </c>
      <c r="B19963" t="s">
        <v>2931</v>
      </c>
      <c r="C19963">
        <v>1821</v>
      </c>
      <c r="D19963" t="str">
        <f t="shared" si="338"/>
        <v xml:space="preserve">12506021920 </v>
      </c>
      <c r="E19963" t="s">
        <v>309</v>
      </c>
      <c r="F19963" t="s">
        <v>310</v>
      </c>
      <c r="G19963">
        <v>5.09</v>
      </c>
      <c r="H19963">
        <v>250131</v>
      </c>
      <c r="I19963">
        <v>4369</v>
      </c>
      <c r="J19963" t="s">
        <v>188</v>
      </c>
      <c r="K19963">
        <v>350.97</v>
      </c>
      <c r="L19963">
        <v>1.03</v>
      </c>
      <c r="M19963">
        <v>69701</v>
      </c>
      <c r="N19963" t="s">
        <v>1030</v>
      </c>
      <c r="O19963">
        <v>250214</v>
      </c>
      <c r="P19963">
        <v>4.0599999999999996</v>
      </c>
    </row>
    <row r="19964" spans="1:16" x14ac:dyDescent="0.25">
      <c r="A19964" t="s">
        <v>3296</v>
      </c>
      <c r="B19964" t="s">
        <v>2931</v>
      </c>
      <c r="C19964">
        <v>1821</v>
      </c>
      <c r="D19964" t="str">
        <f t="shared" si="338"/>
        <v xml:space="preserve">12506021920 </v>
      </c>
      <c r="E19964" t="s">
        <v>309</v>
      </c>
      <c r="F19964" t="s">
        <v>310</v>
      </c>
      <c r="G19964">
        <v>3.33</v>
      </c>
      <c r="H19964">
        <v>250131</v>
      </c>
      <c r="I19964">
        <v>4369</v>
      </c>
      <c r="J19964" t="s">
        <v>188</v>
      </c>
      <c r="K19964">
        <v>350.97</v>
      </c>
      <c r="L19964">
        <v>0.68</v>
      </c>
      <c r="M19964">
        <v>69702</v>
      </c>
      <c r="N19964" t="s">
        <v>124</v>
      </c>
      <c r="O19964">
        <v>250214</v>
      </c>
      <c r="P19964">
        <v>2.65</v>
      </c>
    </row>
    <row r="19965" spans="1:16" x14ac:dyDescent="0.25">
      <c r="A19965" t="s">
        <v>3296</v>
      </c>
      <c r="B19965" t="s">
        <v>2931</v>
      </c>
      <c r="C19965">
        <v>1821</v>
      </c>
      <c r="D19965" t="str">
        <f t="shared" si="338"/>
        <v xml:space="preserve">12506021920 </v>
      </c>
      <c r="E19965" t="s">
        <v>309</v>
      </c>
      <c r="F19965" t="s">
        <v>310</v>
      </c>
      <c r="G19965">
        <v>6.59</v>
      </c>
      <c r="H19965">
        <v>250131</v>
      </c>
      <c r="I19965">
        <v>4369</v>
      </c>
      <c r="J19965" t="s">
        <v>188</v>
      </c>
      <c r="K19965">
        <v>350.97</v>
      </c>
      <c r="L19965">
        <v>1.34</v>
      </c>
      <c r="M19965">
        <v>69702</v>
      </c>
      <c r="N19965" t="s">
        <v>124</v>
      </c>
      <c r="O19965">
        <v>250214</v>
      </c>
      <c r="P19965">
        <v>5.25</v>
      </c>
    </row>
    <row r="19966" spans="1:16" x14ac:dyDescent="0.25">
      <c r="A19966" t="s">
        <v>3296</v>
      </c>
      <c r="B19966" t="s">
        <v>2931</v>
      </c>
      <c r="C19966">
        <v>1821</v>
      </c>
      <c r="D19966" t="str">
        <f t="shared" si="338"/>
        <v xml:space="preserve">12506021920 </v>
      </c>
      <c r="E19966" t="s">
        <v>309</v>
      </c>
      <c r="F19966" t="s">
        <v>310</v>
      </c>
      <c r="G19966">
        <v>5.09</v>
      </c>
      <c r="H19966">
        <v>250131</v>
      </c>
      <c r="I19966">
        <v>4369</v>
      </c>
      <c r="J19966" t="s">
        <v>188</v>
      </c>
      <c r="K19966">
        <v>350.97</v>
      </c>
      <c r="L19966">
        <v>1.03</v>
      </c>
      <c r="M19966">
        <v>69703</v>
      </c>
      <c r="N19966" t="s">
        <v>88</v>
      </c>
      <c r="O19966">
        <v>250214</v>
      </c>
      <c r="P19966">
        <v>4.0599999999999996</v>
      </c>
    </row>
    <row r="19967" spans="1:16" x14ac:dyDescent="0.25">
      <c r="A19967" t="s">
        <v>3296</v>
      </c>
      <c r="B19967" t="s">
        <v>2931</v>
      </c>
      <c r="C19967">
        <v>1821</v>
      </c>
      <c r="D19967" t="str">
        <f t="shared" si="338"/>
        <v xml:space="preserve">12506021920 </v>
      </c>
      <c r="E19967" t="s">
        <v>309</v>
      </c>
      <c r="F19967" t="s">
        <v>310</v>
      </c>
      <c r="G19967">
        <v>6.59</v>
      </c>
      <c r="H19967">
        <v>250131</v>
      </c>
      <c r="I19967">
        <v>4369</v>
      </c>
      <c r="J19967" t="s">
        <v>188</v>
      </c>
      <c r="K19967">
        <v>350.97</v>
      </c>
      <c r="L19967">
        <v>1.34</v>
      </c>
      <c r="M19967">
        <v>69704</v>
      </c>
      <c r="N19967" t="s">
        <v>89</v>
      </c>
      <c r="O19967">
        <v>250214</v>
      </c>
      <c r="P19967">
        <v>5.25</v>
      </c>
    </row>
    <row r="19968" spans="1:16" x14ac:dyDescent="0.25">
      <c r="A19968" t="s">
        <v>3296</v>
      </c>
      <c r="B19968" t="s">
        <v>2931</v>
      </c>
      <c r="C19968">
        <v>1821</v>
      </c>
      <c r="D19968" t="str">
        <f t="shared" si="338"/>
        <v xml:space="preserve">12506021920 </v>
      </c>
      <c r="E19968" t="s">
        <v>309</v>
      </c>
      <c r="F19968" t="s">
        <v>310</v>
      </c>
      <c r="G19968">
        <v>10.17</v>
      </c>
      <c r="H19968">
        <v>250131</v>
      </c>
      <c r="I19968">
        <v>4369</v>
      </c>
      <c r="J19968" t="s">
        <v>188</v>
      </c>
      <c r="K19968">
        <v>350.97</v>
      </c>
      <c r="L19968">
        <v>2.0699999999999998</v>
      </c>
      <c r="M19968">
        <v>69707</v>
      </c>
      <c r="N19968" t="s">
        <v>90</v>
      </c>
      <c r="O19968">
        <v>250214</v>
      </c>
      <c r="P19968">
        <v>8.1</v>
      </c>
    </row>
    <row r="19969" spans="1:16" x14ac:dyDescent="0.25">
      <c r="A19969" t="s">
        <v>3296</v>
      </c>
      <c r="B19969" t="s">
        <v>2931</v>
      </c>
      <c r="C19969">
        <v>1821</v>
      </c>
      <c r="D19969" t="str">
        <f t="shared" si="338"/>
        <v xml:space="preserve">12506021920 </v>
      </c>
      <c r="E19969" t="s">
        <v>309</v>
      </c>
      <c r="F19969" t="s">
        <v>310</v>
      </c>
      <c r="G19969">
        <v>17.559999999999999</v>
      </c>
      <c r="H19969">
        <v>250131</v>
      </c>
      <c r="I19969">
        <v>4369</v>
      </c>
      <c r="J19969" t="s">
        <v>188</v>
      </c>
      <c r="K19969">
        <v>350.97</v>
      </c>
      <c r="L19969">
        <v>3.57</v>
      </c>
      <c r="M19969">
        <v>69708</v>
      </c>
      <c r="N19969" t="s">
        <v>125</v>
      </c>
      <c r="O19969">
        <v>250214</v>
      </c>
      <c r="P19969">
        <v>13.99</v>
      </c>
    </row>
    <row r="19970" spans="1:16" x14ac:dyDescent="0.25">
      <c r="A19970" t="s">
        <v>3296</v>
      </c>
      <c r="B19970" t="s">
        <v>2931</v>
      </c>
      <c r="C19970">
        <v>1856</v>
      </c>
      <c r="D19970" t="str">
        <f t="shared" ref="D19970:D19989" si="339">"12506021951 "</f>
        <v xml:space="preserve">12506021951 </v>
      </c>
      <c r="E19970" t="s">
        <v>309</v>
      </c>
      <c r="F19970" t="s">
        <v>310</v>
      </c>
      <c r="G19970">
        <v>22.13</v>
      </c>
      <c r="H19970">
        <v>250131</v>
      </c>
      <c r="I19970">
        <v>4369</v>
      </c>
      <c r="J19970" t="s">
        <v>188</v>
      </c>
      <c r="K19970">
        <v>247.62</v>
      </c>
      <c r="L19970">
        <v>4.5</v>
      </c>
      <c r="M19970">
        <v>11601</v>
      </c>
      <c r="N19970" t="s">
        <v>12</v>
      </c>
      <c r="O19970">
        <v>250214</v>
      </c>
      <c r="P19970">
        <v>17.63</v>
      </c>
    </row>
    <row r="19971" spans="1:16" x14ac:dyDescent="0.25">
      <c r="A19971" t="s">
        <v>3296</v>
      </c>
      <c r="B19971" t="s">
        <v>2931</v>
      </c>
      <c r="C19971">
        <v>1856</v>
      </c>
      <c r="D19971" t="str">
        <f t="shared" si="339"/>
        <v xml:space="preserve">12506021951 </v>
      </c>
      <c r="E19971" t="s">
        <v>309</v>
      </c>
      <c r="F19971" t="s">
        <v>310</v>
      </c>
      <c r="G19971">
        <v>3.2</v>
      </c>
      <c r="H19971">
        <v>250131</v>
      </c>
      <c r="I19971">
        <v>4369</v>
      </c>
      <c r="J19971" t="s">
        <v>188</v>
      </c>
      <c r="K19971">
        <v>247.62</v>
      </c>
      <c r="L19971">
        <v>0.65</v>
      </c>
      <c r="M19971">
        <v>11603</v>
      </c>
      <c r="N19971" t="s">
        <v>897</v>
      </c>
      <c r="O19971">
        <v>250214</v>
      </c>
      <c r="P19971">
        <v>2.5499999999999998</v>
      </c>
    </row>
    <row r="19972" spans="1:16" x14ac:dyDescent="0.25">
      <c r="A19972" t="s">
        <v>3296</v>
      </c>
      <c r="B19972" t="s">
        <v>2931</v>
      </c>
      <c r="C19972">
        <v>1856</v>
      </c>
      <c r="D19972" t="str">
        <f t="shared" si="339"/>
        <v xml:space="preserve">12506021951 </v>
      </c>
      <c r="E19972" t="s">
        <v>309</v>
      </c>
      <c r="F19972" t="s">
        <v>310</v>
      </c>
      <c r="G19972">
        <v>20.53</v>
      </c>
      <c r="H19972">
        <v>250131</v>
      </c>
      <c r="I19972">
        <v>4369</v>
      </c>
      <c r="J19972" t="s">
        <v>188</v>
      </c>
      <c r="K19972">
        <v>247.62</v>
      </c>
      <c r="L19972">
        <v>4.17</v>
      </c>
      <c r="M19972">
        <v>14121</v>
      </c>
      <c r="N19972" t="s">
        <v>71</v>
      </c>
      <c r="O19972">
        <v>250214</v>
      </c>
      <c r="P19972">
        <v>16.36</v>
      </c>
    </row>
    <row r="19973" spans="1:16" x14ac:dyDescent="0.25">
      <c r="A19973" t="s">
        <v>3296</v>
      </c>
      <c r="B19973" t="s">
        <v>2931</v>
      </c>
      <c r="C19973">
        <v>1856</v>
      </c>
      <c r="D19973" t="str">
        <f t="shared" si="339"/>
        <v xml:space="preserve">12506021951 </v>
      </c>
      <c r="E19973" t="s">
        <v>309</v>
      </c>
      <c r="F19973" t="s">
        <v>310</v>
      </c>
      <c r="G19973">
        <v>20.329999999999998</v>
      </c>
      <c r="H19973">
        <v>250131</v>
      </c>
      <c r="I19973">
        <v>4369</v>
      </c>
      <c r="J19973" t="s">
        <v>188</v>
      </c>
      <c r="K19973">
        <v>247.62</v>
      </c>
      <c r="L19973">
        <v>4.13</v>
      </c>
      <c r="M19973">
        <v>14321</v>
      </c>
      <c r="N19973" t="s">
        <v>72</v>
      </c>
      <c r="O19973">
        <v>250214</v>
      </c>
      <c r="P19973">
        <v>16.2</v>
      </c>
    </row>
    <row r="19974" spans="1:16" x14ac:dyDescent="0.25">
      <c r="A19974" t="s">
        <v>3296</v>
      </c>
      <c r="B19974" t="s">
        <v>2931</v>
      </c>
      <c r="C19974">
        <v>1856</v>
      </c>
      <c r="D19974" t="str">
        <f t="shared" si="339"/>
        <v xml:space="preserve">12506021951 </v>
      </c>
      <c r="E19974" t="s">
        <v>309</v>
      </c>
      <c r="F19974" t="s">
        <v>310</v>
      </c>
      <c r="G19974">
        <v>13.61</v>
      </c>
      <c r="H19974">
        <v>250131</v>
      </c>
      <c r="I19974">
        <v>4369</v>
      </c>
      <c r="J19974" t="s">
        <v>188</v>
      </c>
      <c r="K19974">
        <v>247.62</v>
      </c>
      <c r="L19974">
        <v>2.77</v>
      </c>
      <c r="M19974">
        <v>14422</v>
      </c>
      <c r="N19974" t="s">
        <v>73</v>
      </c>
      <c r="O19974">
        <v>250214</v>
      </c>
      <c r="P19974">
        <v>10.84</v>
      </c>
    </row>
    <row r="19975" spans="1:16" x14ac:dyDescent="0.25">
      <c r="A19975" t="s">
        <v>3296</v>
      </c>
      <c r="B19975" t="s">
        <v>2931</v>
      </c>
      <c r="C19975">
        <v>1856</v>
      </c>
      <c r="D19975" t="str">
        <f t="shared" si="339"/>
        <v xml:space="preserve">12506021951 </v>
      </c>
      <c r="E19975" t="s">
        <v>309</v>
      </c>
      <c r="F19975" t="s">
        <v>310</v>
      </c>
      <c r="G19975">
        <v>10.16</v>
      </c>
      <c r="H19975">
        <v>250131</v>
      </c>
      <c r="I19975">
        <v>4369</v>
      </c>
      <c r="J19975" t="s">
        <v>188</v>
      </c>
      <c r="K19975">
        <v>247.62</v>
      </c>
      <c r="L19975">
        <v>2.06</v>
      </c>
      <c r="M19975">
        <v>14431</v>
      </c>
      <c r="N19975" t="s">
        <v>74</v>
      </c>
      <c r="O19975">
        <v>250214</v>
      </c>
      <c r="P19975">
        <v>8.1</v>
      </c>
    </row>
    <row r="19976" spans="1:16" x14ac:dyDescent="0.25">
      <c r="A19976" t="s">
        <v>3296</v>
      </c>
      <c r="B19976" t="s">
        <v>2931</v>
      </c>
      <c r="C19976">
        <v>1856</v>
      </c>
      <c r="D19976" t="str">
        <f t="shared" si="339"/>
        <v xml:space="preserve">12506021951 </v>
      </c>
      <c r="E19976" t="s">
        <v>309</v>
      </c>
      <c r="F19976" t="s">
        <v>310</v>
      </c>
      <c r="G19976">
        <v>13.6</v>
      </c>
      <c r="H19976">
        <v>250131</v>
      </c>
      <c r="I19976">
        <v>4369</v>
      </c>
      <c r="J19976" t="s">
        <v>188</v>
      </c>
      <c r="K19976">
        <v>247.62</v>
      </c>
      <c r="L19976">
        <v>2.76</v>
      </c>
      <c r="M19976">
        <v>14432</v>
      </c>
      <c r="N19976" t="s">
        <v>75</v>
      </c>
      <c r="O19976">
        <v>250214</v>
      </c>
      <c r="P19976">
        <v>10.84</v>
      </c>
    </row>
    <row r="19977" spans="1:16" x14ac:dyDescent="0.25">
      <c r="A19977" t="s">
        <v>3296</v>
      </c>
      <c r="B19977" t="s">
        <v>2931</v>
      </c>
      <c r="C19977">
        <v>1856</v>
      </c>
      <c r="D19977" t="str">
        <f t="shared" si="339"/>
        <v xml:space="preserve">12506021951 </v>
      </c>
      <c r="E19977" t="s">
        <v>309</v>
      </c>
      <c r="F19977" t="s">
        <v>310</v>
      </c>
      <c r="G19977">
        <v>8.43</v>
      </c>
      <c r="H19977">
        <v>250131</v>
      </c>
      <c r="I19977">
        <v>4369</v>
      </c>
      <c r="J19977" t="s">
        <v>188</v>
      </c>
      <c r="K19977">
        <v>247.62</v>
      </c>
      <c r="L19977">
        <v>1.71</v>
      </c>
      <c r="M19977">
        <v>14541</v>
      </c>
      <c r="N19977" t="s">
        <v>76</v>
      </c>
      <c r="O19977">
        <v>250214</v>
      </c>
      <c r="P19977">
        <v>6.72</v>
      </c>
    </row>
    <row r="19978" spans="1:16" x14ac:dyDescent="0.25">
      <c r="A19978" t="s">
        <v>3296</v>
      </c>
      <c r="B19978" t="s">
        <v>2931</v>
      </c>
      <c r="C19978">
        <v>1856</v>
      </c>
      <c r="D19978" t="str">
        <f t="shared" si="339"/>
        <v xml:space="preserve">12506021951 </v>
      </c>
      <c r="E19978" t="s">
        <v>309</v>
      </c>
      <c r="F19978" t="s">
        <v>310</v>
      </c>
      <c r="G19978">
        <v>49.8</v>
      </c>
      <c r="H19978">
        <v>250131</v>
      </c>
      <c r="I19978">
        <v>4369</v>
      </c>
      <c r="J19978" t="s">
        <v>188</v>
      </c>
      <c r="K19978">
        <v>247.62</v>
      </c>
      <c r="L19978">
        <v>10.119999999999999</v>
      </c>
      <c r="M19978">
        <v>14622</v>
      </c>
      <c r="N19978" t="s">
        <v>77</v>
      </c>
      <c r="O19978">
        <v>250214</v>
      </c>
      <c r="P19978">
        <v>39.68</v>
      </c>
    </row>
    <row r="19979" spans="1:16" x14ac:dyDescent="0.25">
      <c r="A19979" t="s">
        <v>3296</v>
      </c>
      <c r="B19979" t="s">
        <v>2931</v>
      </c>
      <c r="C19979">
        <v>1856</v>
      </c>
      <c r="D19979" t="str">
        <f t="shared" si="339"/>
        <v xml:space="preserve">12506021951 </v>
      </c>
      <c r="E19979" t="s">
        <v>309</v>
      </c>
      <c r="F19979" t="s">
        <v>310</v>
      </c>
      <c r="G19979">
        <v>6.77</v>
      </c>
      <c r="H19979">
        <v>250131</v>
      </c>
      <c r="I19979">
        <v>4369</v>
      </c>
      <c r="J19979" t="s">
        <v>188</v>
      </c>
      <c r="K19979">
        <v>247.62</v>
      </c>
      <c r="L19979">
        <v>1.38</v>
      </c>
      <c r="M19979">
        <v>14640</v>
      </c>
      <c r="N19979" t="s">
        <v>78</v>
      </c>
      <c r="O19979">
        <v>250214</v>
      </c>
      <c r="P19979">
        <v>5.39</v>
      </c>
    </row>
    <row r="19980" spans="1:16" x14ac:dyDescent="0.25">
      <c r="A19980" t="s">
        <v>3296</v>
      </c>
      <c r="B19980" t="s">
        <v>2931</v>
      </c>
      <c r="C19980">
        <v>1856</v>
      </c>
      <c r="D19980" t="str">
        <f t="shared" si="339"/>
        <v xml:space="preserve">12506021951 </v>
      </c>
      <c r="E19980" t="s">
        <v>309</v>
      </c>
      <c r="F19980" t="s">
        <v>310</v>
      </c>
      <c r="G19980">
        <v>3.39</v>
      </c>
      <c r="H19980">
        <v>250131</v>
      </c>
      <c r="I19980">
        <v>4369</v>
      </c>
      <c r="J19980" t="s">
        <v>188</v>
      </c>
      <c r="K19980">
        <v>247.62</v>
      </c>
      <c r="L19980">
        <v>0.69</v>
      </c>
      <c r="M19980">
        <v>14861</v>
      </c>
      <c r="N19980" t="s">
        <v>79</v>
      </c>
      <c r="O19980">
        <v>250214</v>
      </c>
      <c r="P19980">
        <v>2.7</v>
      </c>
    </row>
    <row r="19981" spans="1:16" x14ac:dyDescent="0.25">
      <c r="A19981" t="s">
        <v>3296</v>
      </c>
      <c r="B19981" t="s">
        <v>2931</v>
      </c>
      <c r="C19981">
        <v>1856</v>
      </c>
      <c r="D19981" t="str">
        <f t="shared" si="339"/>
        <v xml:space="preserve">12506021951 </v>
      </c>
      <c r="E19981" t="s">
        <v>309</v>
      </c>
      <c r="F19981" t="s">
        <v>310</v>
      </c>
      <c r="G19981">
        <v>6.88</v>
      </c>
      <c r="H19981">
        <v>250131</v>
      </c>
      <c r="I19981">
        <v>4369</v>
      </c>
      <c r="J19981" t="s">
        <v>188</v>
      </c>
      <c r="K19981">
        <v>247.62</v>
      </c>
      <c r="L19981">
        <v>1.4</v>
      </c>
      <c r="M19981">
        <v>14912</v>
      </c>
      <c r="N19981" t="s">
        <v>80</v>
      </c>
      <c r="O19981">
        <v>250214</v>
      </c>
      <c r="P19981">
        <v>5.48</v>
      </c>
    </row>
    <row r="19982" spans="1:16" x14ac:dyDescent="0.25">
      <c r="A19982" t="s">
        <v>3296</v>
      </c>
      <c r="B19982" t="s">
        <v>2931</v>
      </c>
      <c r="C19982">
        <v>1856</v>
      </c>
      <c r="D19982" t="str">
        <f t="shared" si="339"/>
        <v xml:space="preserve">12506021951 </v>
      </c>
      <c r="E19982" t="s">
        <v>309</v>
      </c>
      <c r="F19982" t="s">
        <v>310</v>
      </c>
      <c r="G19982">
        <v>3.39</v>
      </c>
      <c r="H19982">
        <v>250131</v>
      </c>
      <c r="I19982">
        <v>4369</v>
      </c>
      <c r="J19982" t="s">
        <v>188</v>
      </c>
      <c r="K19982">
        <v>247.62</v>
      </c>
      <c r="L19982">
        <v>0.69</v>
      </c>
      <c r="M19982">
        <v>14971</v>
      </c>
      <c r="N19982" t="s">
        <v>81</v>
      </c>
      <c r="O19982">
        <v>250214</v>
      </c>
      <c r="P19982">
        <v>2.7</v>
      </c>
    </row>
    <row r="19983" spans="1:16" x14ac:dyDescent="0.25">
      <c r="A19983" t="s">
        <v>3296</v>
      </c>
      <c r="B19983" t="s">
        <v>2931</v>
      </c>
      <c r="C19983">
        <v>1856</v>
      </c>
      <c r="D19983" t="str">
        <f t="shared" si="339"/>
        <v xml:space="preserve">12506021951 </v>
      </c>
      <c r="E19983" t="s">
        <v>309</v>
      </c>
      <c r="F19983" t="s">
        <v>310</v>
      </c>
      <c r="G19983">
        <v>18.899999999999999</v>
      </c>
      <c r="H19983">
        <v>250131</v>
      </c>
      <c r="I19983">
        <v>4369</v>
      </c>
      <c r="J19983" t="s">
        <v>188</v>
      </c>
      <c r="K19983">
        <v>247.62</v>
      </c>
      <c r="L19983">
        <v>3.84</v>
      </c>
      <c r="M19983">
        <v>14972</v>
      </c>
      <c r="N19983" t="s">
        <v>82</v>
      </c>
      <c r="O19983">
        <v>250214</v>
      </c>
      <c r="P19983">
        <v>15.06</v>
      </c>
    </row>
    <row r="19984" spans="1:16" x14ac:dyDescent="0.25">
      <c r="A19984" t="s">
        <v>3296</v>
      </c>
      <c r="B19984" t="s">
        <v>2931</v>
      </c>
      <c r="C19984">
        <v>1856</v>
      </c>
      <c r="D19984" t="str">
        <f t="shared" si="339"/>
        <v xml:space="preserve">12506021951 </v>
      </c>
      <c r="E19984" t="s">
        <v>309</v>
      </c>
      <c r="F19984" t="s">
        <v>310</v>
      </c>
      <c r="G19984">
        <v>3.39</v>
      </c>
      <c r="H19984">
        <v>250131</v>
      </c>
      <c r="I19984">
        <v>4369</v>
      </c>
      <c r="J19984" t="s">
        <v>188</v>
      </c>
      <c r="K19984">
        <v>247.62</v>
      </c>
      <c r="L19984">
        <v>0.69</v>
      </c>
      <c r="M19984">
        <v>14974</v>
      </c>
      <c r="N19984" t="s">
        <v>83</v>
      </c>
      <c r="O19984">
        <v>250214</v>
      </c>
      <c r="P19984">
        <v>2.7</v>
      </c>
    </row>
    <row r="19985" spans="1:16" x14ac:dyDescent="0.25">
      <c r="A19985" t="s">
        <v>3296</v>
      </c>
      <c r="B19985" t="s">
        <v>2931</v>
      </c>
      <c r="C19985">
        <v>1856</v>
      </c>
      <c r="D19985" t="str">
        <f t="shared" si="339"/>
        <v xml:space="preserve">12506021951 </v>
      </c>
      <c r="E19985" t="s">
        <v>309</v>
      </c>
      <c r="F19985" t="s">
        <v>310</v>
      </c>
      <c r="G19985">
        <v>17.059999999999999</v>
      </c>
      <c r="H19985">
        <v>250131</v>
      </c>
      <c r="I19985">
        <v>4369</v>
      </c>
      <c r="J19985" t="s">
        <v>188</v>
      </c>
      <c r="K19985">
        <v>247.62</v>
      </c>
      <c r="L19985">
        <v>3.47</v>
      </c>
      <c r="M19985">
        <v>14975</v>
      </c>
      <c r="N19985" t="s">
        <v>84</v>
      </c>
      <c r="O19985">
        <v>250214</v>
      </c>
      <c r="P19985">
        <v>13.59</v>
      </c>
    </row>
    <row r="19986" spans="1:16" x14ac:dyDescent="0.25">
      <c r="A19986" t="s">
        <v>3296</v>
      </c>
      <c r="B19986" t="s">
        <v>2931</v>
      </c>
      <c r="C19986">
        <v>1856</v>
      </c>
      <c r="D19986" t="str">
        <f t="shared" si="339"/>
        <v xml:space="preserve">12506021951 </v>
      </c>
      <c r="E19986" t="s">
        <v>309</v>
      </c>
      <c r="F19986" t="s">
        <v>310</v>
      </c>
      <c r="G19986">
        <v>5.71</v>
      </c>
      <c r="H19986">
        <v>250131</v>
      </c>
      <c r="I19986">
        <v>4369</v>
      </c>
      <c r="J19986" t="s">
        <v>188</v>
      </c>
      <c r="K19986">
        <v>247.62</v>
      </c>
      <c r="L19986">
        <v>1.1599999999999999</v>
      </c>
      <c r="M19986">
        <v>14990</v>
      </c>
      <c r="N19986" t="s">
        <v>85</v>
      </c>
      <c r="O19986">
        <v>250214</v>
      </c>
      <c r="P19986">
        <v>4.55</v>
      </c>
    </row>
    <row r="19987" spans="1:16" x14ac:dyDescent="0.25">
      <c r="A19987" t="s">
        <v>3296</v>
      </c>
      <c r="B19987" t="s">
        <v>2931</v>
      </c>
      <c r="C19987">
        <v>1856</v>
      </c>
      <c r="D19987" t="str">
        <f t="shared" si="339"/>
        <v xml:space="preserve">12506021951 </v>
      </c>
      <c r="E19987" t="s">
        <v>309</v>
      </c>
      <c r="F19987" t="s">
        <v>310</v>
      </c>
      <c r="G19987">
        <v>3.39</v>
      </c>
      <c r="H19987">
        <v>250131</v>
      </c>
      <c r="I19987">
        <v>4369</v>
      </c>
      <c r="J19987" t="s">
        <v>188</v>
      </c>
      <c r="K19987">
        <v>247.62</v>
      </c>
      <c r="L19987">
        <v>0.69</v>
      </c>
      <c r="M19987">
        <v>14990</v>
      </c>
      <c r="N19987" t="s">
        <v>85</v>
      </c>
      <c r="O19987">
        <v>250214</v>
      </c>
      <c r="P19987">
        <v>2.7</v>
      </c>
    </row>
    <row r="19988" spans="1:16" x14ac:dyDescent="0.25">
      <c r="A19988" t="s">
        <v>3296</v>
      </c>
      <c r="B19988" t="s">
        <v>2931</v>
      </c>
      <c r="C19988">
        <v>1856</v>
      </c>
      <c r="D19988" t="str">
        <f t="shared" si="339"/>
        <v xml:space="preserve">12506021951 </v>
      </c>
      <c r="E19988" t="s">
        <v>309</v>
      </c>
      <c r="F19988" t="s">
        <v>310</v>
      </c>
      <c r="G19988">
        <v>3.39</v>
      </c>
      <c r="H19988">
        <v>250131</v>
      </c>
      <c r="I19988">
        <v>4369</v>
      </c>
      <c r="J19988" t="s">
        <v>188</v>
      </c>
      <c r="K19988">
        <v>247.62</v>
      </c>
      <c r="L19988">
        <v>0.69</v>
      </c>
      <c r="M19988">
        <v>18120</v>
      </c>
      <c r="N19988" t="s">
        <v>37</v>
      </c>
      <c r="O19988">
        <v>250214</v>
      </c>
      <c r="P19988">
        <v>2.7</v>
      </c>
    </row>
    <row r="19989" spans="1:16" x14ac:dyDescent="0.25">
      <c r="A19989" t="s">
        <v>3296</v>
      </c>
      <c r="B19989" t="s">
        <v>2931</v>
      </c>
      <c r="C19989">
        <v>1856</v>
      </c>
      <c r="D19989" t="str">
        <f t="shared" si="339"/>
        <v xml:space="preserve">12506021951 </v>
      </c>
      <c r="E19989" t="s">
        <v>309</v>
      </c>
      <c r="F19989" t="s">
        <v>310</v>
      </c>
      <c r="G19989">
        <v>13.56</v>
      </c>
      <c r="H19989">
        <v>250131</v>
      </c>
      <c r="I19989">
        <v>4369</v>
      </c>
      <c r="J19989" t="s">
        <v>188</v>
      </c>
      <c r="K19989">
        <v>247.62</v>
      </c>
      <c r="L19989">
        <v>2.76</v>
      </c>
      <c r="M19989">
        <v>18972</v>
      </c>
      <c r="N19989" t="s">
        <v>39</v>
      </c>
      <c r="O19989">
        <v>250214</v>
      </c>
      <c r="P19989">
        <v>10.8</v>
      </c>
    </row>
    <row r="19990" spans="1:16" x14ac:dyDescent="0.25">
      <c r="A19990" t="s">
        <v>3296</v>
      </c>
      <c r="B19990" t="s">
        <v>2931</v>
      </c>
      <c r="C19990">
        <v>1885</v>
      </c>
      <c r="D19990" t="str">
        <f>"105304173   "</f>
        <v xml:space="preserve">105304173   </v>
      </c>
      <c r="E19990" t="s">
        <v>309</v>
      </c>
      <c r="F19990" t="s">
        <v>310</v>
      </c>
      <c r="G19990">
        <v>98.83</v>
      </c>
      <c r="H19990">
        <v>250131</v>
      </c>
      <c r="I19990">
        <v>4369</v>
      </c>
      <c r="J19990" t="s">
        <v>188</v>
      </c>
      <c r="K19990">
        <v>98.83</v>
      </c>
      <c r="L19990">
        <v>20.079999999999998</v>
      </c>
      <c r="M19990">
        <v>11801</v>
      </c>
      <c r="N19990" t="s">
        <v>40</v>
      </c>
      <c r="O19990">
        <v>250214</v>
      </c>
      <c r="P19990">
        <v>78.75</v>
      </c>
    </row>
    <row r="19991" spans="1:16" x14ac:dyDescent="0.25">
      <c r="A19991" t="s">
        <v>3296</v>
      </c>
      <c r="B19991" t="s">
        <v>2931</v>
      </c>
      <c r="C19991">
        <v>1994</v>
      </c>
      <c r="D19991" t="str">
        <f>"105294710   "</f>
        <v xml:space="preserve">105294710   </v>
      </c>
      <c r="E19991" t="s">
        <v>309</v>
      </c>
      <c r="F19991" t="s">
        <v>310</v>
      </c>
      <c r="G19991">
        <v>47.36</v>
      </c>
      <c r="H19991">
        <v>250131</v>
      </c>
      <c r="I19991">
        <v>4369</v>
      </c>
      <c r="J19991" t="s">
        <v>188</v>
      </c>
      <c r="K19991">
        <v>47.36</v>
      </c>
      <c r="L19991">
        <v>9.6199999999999992</v>
      </c>
      <c r="M19991">
        <v>18972</v>
      </c>
      <c r="N19991" t="s">
        <v>39</v>
      </c>
      <c r="O19991">
        <v>250218</v>
      </c>
      <c r="P19991">
        <v>37.74</v>
      </c>
    </row>
    <row r="19992" spans="1:16" x14ac:dyDescent="0.25">
      <c r="A19992" t="s">
        <v>3296</v>
      </c>
      <c r="B19992" t="s">
        <v>2931</v>
      </c>
      <c r="C19992">
        <v>2976</v>
      </c>
      <c r="D19992" t="str">
        <f t="shared" ref="D19992:D20001" si="340">"12510021826 "</f>
        <v xml:space="preserve">12510021826 </v>
      </c>
      <c r="E19992" t="s">
        <v>309</v>
      </c>
      <c r="F19992" t="s">
        <v>310</v>
      </c>
      <c r="G19992">
        <v>6.59</v>
      </c>
      <c r="H19992">
        <v>250228</v>
      </c>
      <c r="I19992">
        <v>4369</v>
      </c>
      <c r="J19992" t="s">
        <v>188</v>
      </c>
      <c r="K19992">
        <v>98.83</v>
      </c>
      <c r="L19992">
        <v>1.34</v>
      </c>
      <c r="M19992">
        <v>16321</v>
      </c>
      <c r="N19992" t="s">
        <v>16</v>
      </c>
      <c r="O19992">
        <v>250313</v>
      </c>
      <c r="P19992">
        <v>5.25</v>
      </c>
    </row>
    <row r="19993" spans="1:16" x14ac:dyDescent="0.25">
      <c r="A19993" t="s">
        <v>3296</v>
      </c>
      <c r="B19993" t="s">
        <v>2931</v>
      </c>
      <c r="C19993">
        <v>2976</v>
      </c>
      <c r="D19993" t="str">
        <f t="shared" si="340"/>
        <v xml:space="preserve">12510021826 </v>
      </c>
      <c r="E19993" t="s">
        <v>309</v>
      </c>
      <c r="F19993" t="s">
        <v>310</v>
      </c>
      <c r="G19993">
        <v>10.4</v>
      </c>
      <c r="H19993">
        <v>250228</v>
      </c>
      <c r="I19993">
        <v>4369</v>
      </c>
      <c r="J19993" t="s">
        <v>188</v>
      </c>
      <c r="K19993">
        <v>98.83</v>
      </c>
      <c r="L19993">
        <v>2.11</v>
      </c>
      <c r="M19993">
        <v>16431</v>
      </c>
      <c r="N19993" t="s">
        <v>17</v>
      </c>
      <c r="O19993">
        <v>250313</v>
      </c>
      <c r="P19993">
        <v>8.2899999999999991</v>
      </c>
    </row>
    <row r="19994" spans="1:16" x14ac:dyDescent="0.25">
      <c r="A19994" t="s">
        <v>3296</v>
      </c>
      <c r="B19994" t="s">
        <v>2931</v>
      </c>
      <c r="C19994">
        <v>2976</v>
      </c>
      <c r="D19994" t="str">
        <f t="shared" si="340"/>
        <v xml:space="preserve">12510021826 </v>
      </c>
      <c r="E19994" t="s">
        <v>309</v>
      </c>
      <c r="F19994" t="s">
        <v>310</v>
      </c>
      <c r="G19994">
        <v>15.8</v>
      </c>
      <c r="H19994">
        <v>250228</v>
      </c>
      <c r="I19994">
        <v>4369</v>
      </c>
      <c r="J19994" t="s">
        <v>188</v>
      </c>
      <c r="K19994">
        <v>98.83</v>
      </c>
      <c r="L19994">
        <v>3.21</v>
      </c>
      <c r="M19994">
        <v>17802</v>
      </c>
      <c r="N19994" t="s">
        <v>18</v>
      </c>
      <c r="O19994">
        <v>250313</v>
      </c>
      <c r="P19994">
        <v>12.59</v>
      </c>
    </row>
    <row r="19995" spans="1:16" x14ac:dyDescent="0.25">
      <c r="A19995" t="s">
        <v>3296</v>
      </c>
      <c r="B19995" t="s">
        <v>2931</v>
      </c>
      <c r="C19995">
        <v>2976</v>
      </c>
      <c r="D19995" t="str">
        <f t="shared" si="340"/>
        <v xml:space="preserve">12510021826 </v>
      </c>
      <c r="E19995" t="s">
        <v>309</v>
      </c>
      <c r="F19995" t="s">
        <v>310</v>
      </c>
      <c r="G19995">
        <v>9.98</v>
      </c>
      <c r="H19995">
        <v>250228</v>
      </c>
      <c r="I19995">
        <v>4369</v>
      </c>
      <c r="J19995" t="s">
        <v>188</v>
      </c>
      <c r="K19995">
        <v>98.83</v>
      </c>
      <c r="L19995">
        <v>2.0299999999999998</v>
      </c>
      <c r="M19995">
        <v>17803</v>
      </c>
      <c r="N19995" t="s">
        <v>19</v>
      </c>
      <c r="O19995">
        <v>250313</v>
      </c>
      <c r="P19995">
        <v>7.95</v>
      </c>
    </row>
    <row r="19996" spans="1:16" x14ac:dyDescent="0.25">
      <c r="A19996" t="s">
        <v>3296</v>
      </c>
      <c r="B19996" t="s">
        <v>2931</v>
      </c>
      <c r="C19996">
        <v>2976</v>
      </c>
      <c r="D19996" t="str">
        <f t="shared" si="340"/>
        <v xml:space="preserve">12510021826 </v>
      </c>
      <c r="E19996" t="s">
        <v>309</v>
      </c>
      <c r="F19996" t="s">
        <v>310</v>
      </c>
      <c r="G19996">
        <v>3.61</v>
      </c>
      <c r="H19996">
        <v>250228</v>
      </c>
      <c r="I19996">
        <v>4369</v>
      </c>
      <c r="J19996" t="s">
        <v>188</v>
      </c>
      <c r="K19996">
        <v>98.83</v>
      </c>
      <c r="L19996">
        <v>0.73</v>
      </c>
      <c r="M19996">
        <v>17804</v>
      </c>
      <c r="N19996" t="s">
        <v>20</v>
      </c>
      <c r="O19996">
        <v>250313</v>
      </c>
      <c r="P19996">
        <v>2.88</v>
      </c>
    </row>
    <row r="19997" spans="1:16" x14ac:dyDescent="0.25">
      <c r="A19997" t="s">
        <v>3296</v>
      </c>
      <c r="B19997" t="s">
        <v>2931</v>
      </c>
      <c r="C19997">
        <v>2976</v>
      </c>
      <c r="D19997" t="str">
        <f t="shared" si="340"/>
        <v xml:space="preserve">12510021826 </v>
      </c>
      <c r="E19997" t="s">
        <v>309</v>
      </c>
      <c r="F19997" t="s">
        <v>310</v>
      </c>
      <c r="G19997">
        <v>3.39</v>
      </c>
      <c r="H19997">
        <v>250228</v>
      </c>
      <c r="I19997">
        <v>4369</v>
      </c>
      <c r="J19997" t="s">
        <v>188</v>
      </c>
      <c r="K19997">
        <v>98.83</v>
      </c>
      <c r="L19997">
        <v>0.69</v>
      </c>
      <c r="M19997">
        <v>17805</v>
      </c>
      <c r="N19997" t="s">
        <v>21</v>
      </c>
      <c r="O19997">
        <v>250313</v>
      </c>
      <c r="P19997">
        <v>2.7</v>
      </c>
    </row>
    <row r="19998" spans="1:16" x14ac:dyDescent="0.25">
      <c r="A19998" t="s">
        <v>3296</v>
      </c>
      <c r="B19998" t="s">
        <v>2931</v>
      </c>
      <c r="C19998">
        <v>2976</v>
      </c>
      <c r="D19998" t="str">
        <f t="shared" si="340"/>
        <v xml:space="preserve">12510021826 </v>
      </c>
      <c r="E19998" t="s">
        <v>309</v>
      </c>
      <c r="F19998" t="s">
        <v>310</v>
      </c>
      <c r="G19998">
        <v>7.13</v>
      </c>
      <c r="H19998">
        <v>250228</v>
      </c>
      <c r="I19998">
        <v>4369</v>
      </c>
      <c r="J19998" t="s">
        <v>188</v>
      </c>
      <c r="K19998">
        <v>98.83</v>
      </c>
      <c r="L19998">
        <v>1.45</v>
      </c>
      <c r="M19998">
        <v>17806</v>
      </c>
      <c r="N19998" t="s">
        <v>22</v>
      </c>
      <c r="O19998">
        <v>250313</v>
      </c>
      <c r="P19998">
        <v>5.68</v>
      </c>
    </row>
    <row r="19999" spans="1:16" x14ac:dyDescent="0.25">
      <c r="A19999" t="s">
        <v>3296</v>
      </c>
      <c r="B19999" t="s">
        <v>2931</v>
      </c>
      <c r="C19999">
        <v>2976</v>
      </c>
      <c r="D19999" t="str">
        <f t="shared" si="340"/>
        <v xml:space="preserve">12510021826 </v>
      </c>
      <c r="E19999" t="s">
        <v>309</v>
      </c>
      <c r="F19999" t="s">
        <v>310</v>
      </c>
      <c r="G19999">
        <v>23.53</v>
      </c>
      <c r="H19999">
        <v>250228</v>
      </c>
      <c r="I19999">
        <v>4369</v>
      </c>
      <c r="J19999" t="s">
        <v>188</v>
      </c>
      <c r="K19999">
        <v>98.83</v>
      </c>
      <c r="L19999">
        <v>4.78</v>
      </c>
      <c r="M19999">
        <v>17807</v>
      </c>
      <c r="N19999" t="s">
        <v>23</v>
      </c>
      <c r="O19999">
        <v>250313</v>
      </c>
      <c r="P19999">
        <v>18.75</v>
      </c>
    </row>
    <row r="20000" spans="1:16" x14ac:dyDescent="0.25">
      <c r="A20000" t="s">
        <v>3296</v>
      </c>
      <c r="B20000" t="s">
        <v>2931</v>
      </c>
      <c r="C20000">
        <v>2976</v>
      </c>
      <c r="D20000" t="str">
        <f t="shared" si="340"/>
        <v xml:space="preserve">12510021826 </v>
      </c>
      <c r="E20000" t="s">
        <v>309</v>
      </c>
      <c r="F20000" t="s">
        <v>310</v>
      </c>
      <c r="G20000">
        <v>10.17</v>
      </c>
      <c r="H20000">
        <v>250228</v>
      </c>
      <c r="I20000">
        <v>4369</v>
      </c>
      <c r="J20000" t="s">
        <v>188</v>
      </c>
      <c r="K20000">
        <v>98.83</v>
      </c>
      <c r="L20000">
        <v>2.0699999999999998</v>
      </c>
      <c r="M20000">
        <v>17808</v>
      </c>
      <c r="N20000" t="s">
        <v>24</v>
      </c>
      <c r="O20000">
        <v>250313</v>
      </c>
      <c r="P20000">
        <v>8.1</v>
      </c>
    </row>
    <row r="20001" spans="1:16" x14ac:dyDescent="0.25">
      <c r="A20001" t="s">
        <v>3296</v>
      </c>
      <c r="B20001" t="s">
        <v>2931</v>
      </c>
      <c r="C20001">
        <v>2976</v>
      </c>
      <c r="D20001" t="str">
        <f t="shared" si="340"/>
        <v xml:space="preserve">12510021826 </v>
      </c>
      <c r="E20001" t="s">
        <v>309</v>
      </c>
      <c r="F20001" t="s">
        <v>310</v>
      </c>
      <c r="G20001">
        <v>8.23</v>
      </c>
      <c r="H20001">
        <v>250228</v>
      </c>
      <c r="I20001">
        <v>4369</v>
      </c>
      <c r="J20001" t="s">
        <v>188</v>
      </c>
      <c r="K20001">
        <v>98.83</v>
      </c>
      <c r="L20001">
        <v>1.67</v>
      </c>
      <c r="M20001">
        <v>17809</v>
      </c>
      <c r="N20001" t="s">
        <v>25</v>
      </c>
      <c r="O20001">
        <v>250313</v>
      </c>
      <c r="P20001">
        <v>6.56</v>
      </c>
    </row>
    <row r="20002" spans="1:16" x14ac:dyDescent="0.25">
      <c r="A20002" t="s">
        <v>3296</v>
      </c>
      <c r="B20002" t="s">
        <v>2931</v>
      </c>
      <c r="C20002">
        <v>2982</v>
      </c>
      <c r="D20002" t="str">
        <f>"12510021835 "</f>
        <v xml:space="preserve">12510021835 </v>
      </c>
      <c r="E20002" t="s">
        <v>309</v>
      </c>
      <c r="F20002" t="s">
        <v>310</v>
      </c>
      <c r="G20002">
        <v>2.73</v>
      </c>
      <c r="H20002">
        <v>250228</v>
      </c>
      <c r="I20002">
        <v>4369</v>
      </c>
      <c r="J20002" t="s">
        <v>188</v>
      </c>
      <c r="K20002">
        <v>25.34</v>
      </c>
      <c r="L20002">
        <v>0.55000000000000004</v>
      </c>
      <c r="M20002">
        <v>53222</v>
      </c>
      <c r="N20002" t="s">
        <v>41</v>
      </c>
      <c r="O20002">
        <v>250313</v>
      </c>
      <c r="P20002">
        <v>2.1800000000000002</v>
      </c>
    </row>
    <row r="20003" spans="1:16" x14ac:dyDescent="0.25">
      <c r="A20003" t="s">
        <v>3296</v>
      </c>
      <c r="B20003" t="s">
        <v>2931</v>
      </c>
      <c r="C20003">
        <v>2982</v>
      </c>
      <c r="D20003" t="str">
        <f>"12510021835 "</f>
        <v xml:space="preserve">12510021835 </v>
      </c>
      <c r="E20003" t="s">
        <v>309</v>
      </c>
      <c r="F20003" t="s">
        <v>310</v>
      </c>
      <c r="G20003">
        <v>15.44</v>
      </c>
      <c r="H20003">
        <v>250228</v>
      </c>
      <c r="I20003">
        <v>4369</v>
      </c>
      <c r="J20003" t="s">
        <v>188</v>
      </c>
      <c r="K20003">
        <v>25.34</v>
      </c>
      <c r="L20003">
        <v>3.14</v>
      </c>
      <c r="M20003">
        <v>53222</v>
      </c>
      <c r="N20003" t="s">
        <v>41</v>
      </c>
      <c r="O20003">
        <v>250313</v>
      </c>
      <c r="P20003">
        <v>12.3</v>
      </c>
    </row>
    <row r="20004" spans="1:16" x14ac:dyDescent="0.25">
      <c r="A20004" t="s">
        <v>3296</v>
      </c>
      <c r="B20004" t="s">
        <v>2931</v>
      </c>
      <c r="C20004">
        <v>2982</v>
      </c>
      <c r="D20004" t="str">
        <f>"12510021835 "</f>
        <v xml:space="preserve">12510021835 </v>
      </c>
      <c r="E20004" t="s">
        <v>309</v>
      </c>
      <c r="F20004" t="s">
        <v>310</v>
      </c>
      <c r="G20004">
        <v>3.39</v>
      </c>
      <c r="H20004">
        <v>250228</v>
      </c>
      <c r="I20004">
        <v>4369</v>
      </c>
      <c r="J20004" t="s">
        <v>188</v>
      </c>
      <c r="K20004">
        <v>25.34</v>
      </c>
      <c r="L20004">
        <v>0.69</v>
      </c>
      <c r="M20004">
        <v>54622</v>
      </c>
      <c r="N20004" t="s">
        <v>42</v>
      </c>
      <c r="O20004">
        <v>250313</v>
      </c>
      <c r="P20004">
        <v>2.7</v>
      </c>
    </row>
    <row r="20005" spans="1:16" x14ac:dyDescent="0.25">
      <c r="A20005" t="s">
        <v>3296</v>
      </c>
      <c r="B20005" t="s">
        <v>2931</v>
      </c>
      <c r="C20005">
        <v>2982</v>
      </c>
      <c r="D20005" t="str">
        <f>"12510021835 "</f>
        <v xml:space="preserve">12510021835 </v>
      </c>
      <c r="E20005" t="s">
        <v>309</v>
      </c>
      <c r="F20005" t="s">
        <v>310</v>
      </c>
      <c r="G20005">
        <v>3.78</v>
      </c>
      <c r="H20005">
        <v>250228</v>
      </c>
      <c r="I20005">
        <v>4369</v>
      </c>
      <c r="J20005" t="s">
        <v>188</v>
      </c>
      <c r="K20005">
        <v>25.34</v>
      </c>
      <c r="L20005">
        <v>0.77</v>
      </c>
      <c r="M20005">
        <v>55222</v>
      </c>
      <c r="N20005" t="s">
        <v>43</v>
      </c>
      <c r="O20005">
        <v>250313</v>
      </c>
      <c r="P20005">
        <v>3.01</v>
      </c>
    </row>
    <row r="20006" spans="1:16" x14ac:dyDescent="0.25">
      <c r="A20006" t="s">
        <v>3296</v>
      </c>
      <c r="B20006" t="s">
        <v>2931</v>
      </c>
      <c r="C20006">
        <v>2983</v>
      </c>
      <c r="D20006" t="str">
        <f t="shared" ref="D20006:D20022" si="341">"12510021804 "</f>
        <v xml:space="preserve">12510021804 </v>
      </c>
      <c r="E20006" t="s">
        <v>309</v>
      </c>
      <c r="F20006" t="s">
        <v>310</v>
      </c>
      <c r="G20006">
        <v>3.58</v>
      </c>
      <c r="H20006">
        <v>250228</v>
      </c>
      <c r="I20006">
        <v>4369</v>
      </c>
      <c r="J20006" t="s">
        <v>188</v>
      </c>
      <c r="K20006">
        <v>290.57</v>
      </c>
      <c r="L20006">
        <v>0.73</v>
      </c>
      <c r="M20006">
        <v>54422</v>
      </c>
      <c r="N20006" t="s">
        <v>49</v>
      </c>
      <c r="O20006">
        <v>250313</v>
      </c>
      <c r="P20006">
        <v>2.85</v>
      </c>
    </row>
    <row r="20007" spans="1:16" x14ac:dyDescent="0.25">
      <c r="A20007" t="s">
        <v>3296</v>
      </c>
      <c r="B20007" t="s">
        <v>2931</v>
      </c>
      <c r="C20007">
        <v>2983</v>
      </c>
      <c r="D20007" t="str">
        <f t="shared" si="341"/>
        <v xml:space="preserve">12510021804 </v>
      </c>
      <c r="E20007" t="s">
        <v>309</v>
      </c>
      <c r="F20007" t="s">
        <v>310</v>
      </c>
      <c r="G20007">
        <v>3.39</v>
      </c>
      <c r="H20007">
        <v>250228</v>
      </c>
      <c r="I20007">
        <v>4369</v>
      </c>
      <c r="J20007" t="s">
        <v>188</v>
      </c>
      <c r="K20007">
        <v>290.57</v>
      </c>
      <c r="L20007">
        <v>0.69</v>
      </c>
      <c r="M20007">
        <v>54451</v>
      </c>
      <c r="N20007" t="s">
        <v>218</v>
      </c>
      <c r="O20007">
        <v>250313</v>
      </c>
      <c r="P20007">
        <v>2.7</v>
      </c>
    </row>
    <row r="20008" spans="1:16" x14ac:dyDescent="0.25">
      <c r="A20008" t="s">
        <v>3296</v>
      </c>
      <c r="B20008" t="s">
        <v>2931</v>
      </c>
      <c r="C20008">
        <v>2983</v>
      </c>
      <c r="D20008" t="str">
        <f t="shared" si="341"/>
        <v xml:space="preserve">12510021804 </v>
      </c>
      <c r="E20008" t="s">
        <v>309</v>
      </c>
      <c r="F20008" t="s">
        <v>310</v>
      </c>
      <c r="G20008">
        <v>8.4600000000000009</v>
      </c>
      <c r="H20008">
        <v>250228</v>
      </c>
      <c r="I20008">
        <v>4369</v>
      </c>
      <c r="J20008" t="s">
        <v>188</v>
      </c>
      <c r="K20008">
        <v>290.57</v>
      </c>
      <c r="L20008">
        <v>1.72</v>
      </c>
      <c r="M20008">
        <v>59111</v>
      </c>
      <c r="N20008" t="s">
        <v>60</v>
      </c>
      <c r="O20008">
        <v>250313</v>
      </c>
      <c r="P20008">
        <v>6.74</v>
      </c>
    </row>
    <row r="20009" spans="1:16" x14ac:dyDescent="0.25">
      <c r="A20009" t="s">
        <v>3296</v>
      </c>
      <c r="B20009" t="s">
        <v>2931</v>
      </c>
      <c r="C20009">
        <v>2983</v>
      </c>
      <c r="D20009" t="str">
        <f t="shared" si="341"/>
        <v xml:space="preserve">12510021804 </v>
      </c>
      <c r="E20009" t="s">
        <v>309</v>
      </c>
      <c r="F20009" t="s">
        <v>310</v>
      </c>
      <c r="G20009">
        <v>3.39</v>
      </c>
      <c r="H20009">
        <v>250228</v>
      </c>
      <c r="I20009">
        <v>4369</v>
      </c>
      <c r="J20009" t="s">
        <v>188</v>
      </c>
      <c r="K20009">
        <v>290.57</v>
      </c>
      <c r="L20009">
        <v>0.69</v>
      </c>
      <c r="M20009">
        <v>59112</v>
      </c>
      <c r="N20009" t="s">
        <v>44</v>
      </c>
      <c r="O20009">
        <v>250313</v>
      </c>
      <c r="P20009">
        <v>2.7</v>
      </c>
    </row>
    <row r="20010" spans="1:16" x14ac:dyDescent="0.25">
      <c r="A20010" t="s">
        <v>3296</v>
      </c>
      <c r="B20010" t="s">
        <v>2931</v>
      </c>
      <c r="C20010">
        <v>2983</v>
      </c>
      <c r="D20010" t="str">
        <f t="shared" si="341"/>
        <v xml:space="preserve">12510021804 </v>
      </c>
      <c r="E20010" t="s">
        <v>309</v>
      </c>
      <c r="F20010" t="s">
        <v>310</v>
      </c>
      <c r="G20010">
        <v>10.68</v>
      </c>
      <c r="H20010">
        <v>250228</v>
      </c>
      <c r="I20010">
        <v>4369</v>
      </c>
      <c r="J20010" t="s">
        <v>188</v>
      </c>
      <c r="K20010">
        <v>290.57</v>
      </c>
      <c r="L20010">
        <v>2.17</v>
      </c>
      <c r="M20010">
        <v>59113</v>
      </c>
      <c r="N20010" t="s">
        <v>61</v>
      </c>
      <c r="O20010">
        <v>250313</v>
      </c>
      <c r="P20010">
        <v>8.51</v>
      </c>
    </row>
    <row r="20011" spans="1:16" x14ac:dyDescent="0.25">
      <c r="A20011" t="s">
        <v>3296</v>
      </c>
      <c r="B20011" t="s">
        <v>2931</v>
      </c>
      <c r="C20011">
        <v>2983</v>
      </c>
      <c r="D20011" t="str">
        <f t="shared" si="341"/>
        <v xml:space="preserve">12510021804 </v>
      </c>
      <c r="E20011" t="s">
        <v>309</v>
      </c>
      <c r="F20011" t="s">
        <v>310</v>
      </c>
      <c r="G20011">
        <v>3.39</v>
      </c>
      <c r="H20011">
        <v>250228</v>
      </c>
      <c r="I20011">
        <v>4369</v>
      </c>
      <c r="J20011" t="s">
        <v>188</v>
      </c>
      <c r="K20011">
        <v>290.57</v>
      </c>
      <c r="L20011">
        <v>0.69</v>
      </c>
      <c r="M20011">
        <v>59114</v>
      </c>
      <c r="N20011" t="s">
        <v>299</v>
      </c>
      <c r="O20011">
        <v>250313</v>
      </c>
      <c r="P20011">
        <v>2.7</v>
      </c>
    </row>
    <row r="20012" spans="1:16" x14ac:dyDescent="0.25">
      <c r="A20012" t="s">
        <v>3296</v>
      </c>
      <c r="B20012" t="s">
        <v>2931</v>
      </c>
      <c r="C20012">
        <v>2983</v>
      </c>
      <c r="D20012" t="str">
        <f t="shared" si="341"/>
        <v xml:space="preserve">12510021804 </v>
      </c>
      <c r="E20012" t="s">
        <v>309</v>
      </c>
      <c r="F20012" t="s">
        <v>310</v>
      </c>
      <c r="G20012">
        <v>68.08</v>
      </c>
      <c r="H20012">
        <v>250228</v>
      </c>
      <c r="I20012">
        <v>4369</v>
      </c>
      <c r="J20012" t="s">
        <v>188</v>
      </c>
      <c r="K20012">
        <v>290.57</v>
      </c>
      <c r="L20012">
        <v>13.83</v>
      </c>
      <c r="M20012">
        <v>59501</v>
      </c>
      <c r="N20012" t="s">
        <v>62</v>
      </c>
      <c r="O20012">
        <v>250313</v>
      </c>
      <c r="P20012">
        <v>54.25</v>
      </c>
    </row>
    <row r="20013" spans="1:16" x14ac:dyDescent="0.25">
      <c r="A20013" t="s">
        <v>3296</v>
      </c>
      <c r="B20013" t="s">
        <v>2931</v>
      </c>
      <c r="C20013">
        <v>2983</v>
      </c>
      <c r="D20013" t="str">
        <f t="shared" si="341"/>
        <v xml:space="preserve">12510021804 </v>
      </c>
      <c r="E20013" t="s">
        <v>309</v>
      </c>
      <c r="F20013" t="s">
        <v>310</v>
      </c>
      <c r="G20013">
        <v>40.03</v>
      </c>
      <c r="H20013">
        <v>250228</v>
      </c>
      <c r="I20013">
        <v>4369</v>
      </c>
      <c r="J20013" t="s">
        <v>188</v>
      </c>
      <c r="K20013">
        <v>290.57</v>
      </c>
      <c r="L20013">
        <v>8.1300000000000008</v>
      </c>
      <c r="M20013">
        <v>59502</v>
      </c>
      <c r="N20013" t="s">
        <v>63</v>
      </c>
      <c r="O20013">
        <v>250313</v>
      </c>
      <c r="P20013">
        <v>31.9</v>
      </c>
    </row>
    <row r="20014" spans="1:16" x14ac:dyDescent="0.25">
      <c r="A20014" t="s">
        <v>3296</v>
      </c>
      <c r="B20014" t="s">
        <v>2931</v>
      </c>
      <c r="C20014">
        <v>2983</v>
      </c>
      <c r="D20014" t="str">
        <f t="shared" si="341"/>
        <v xml:space="preserve">12510021804 </v>
      </c>
      <c r="E20014" t="s">
        <v>309</v>
      </c>
      <c r="F20014" t="s">
        <v>310</v>
      </c>
      <c r="G20014">
        <v>10.17</v>
      </c>
      <c r="H20014">
        <v>250228</v>
      </c>
      <c r="I20014">
        <v>4369</v>
      </c>
      <c r="J20014" t="s">
        <v>188</v>
      </c>
      <c r="K20014">
        <v>290.57</v>
      </c>
      <c r="L20014">
        <v>2.0699999999999998</v>
      </c>
      <c r="M20014">
        <v>59504</v>
      </c>
      <c r="N20014" t="s">
        <v>193</v>
      </c>
      <c r="O20014">
        <v>250313</v>
      </c>
      <c r="P20014">
        <v>8.1</v>
      </c>
    </row>
    <row r="20015" spans="1:16" x14ac:dyDescent="0.25">
      <c r="A20015" t="s">
        <v>3296</v>
      </c>
      <c r="B20015" t="s">
        <v>2931</v>
      </c>
      <c r="C20015">
        <v>2983</v>
      </c>
      <c r="D20015" t="str">
        <f t="shared" si="341"/>
        <v xml:space="preserve">12510021804 </v>
      </c>
      <c r="E20015" t="s">
        <v>309</v>
      </c>
      <c r="F20015" t="s">
        <v>310</v>
      </c>
      <c r="G20015">
        <v>6.78</v>
      </c>
      <c r="H20015">
        <v>250228</v>
      </c>
      <c r="I20015">
        <v>4369</v>
      </c>
      <c r="J20015" t="s">
        <v>188</v>
      </c>
      <c r="K20015">
        <v>290.57</v>
      </c>
      <c r="L20015">
        <v>1.38</v>
      </c>
      <c r="M20015">
        <v>59505</v>
      </c>
      <c r="N20015" t="s">
        <v>194</v>
      </c>
      <c r="O20015">
        <v>250313</v>
      </c>
      <c r="P20015">
        <v>5.4</v>
      </c>
    </row>
    <row r="20016" spans="1:16" x14ac:dyDescent="0.25">
      <c r="A20016" t="s">
        <v>3296</v>
      </c>
      <c r="B20016" t="s">
        <v>2931</v>
      </c>
      <c r="C20016">
        <v>2983</v>
      </c>
      <c r="D20016" t="str">
        <f t="shared" si="341"/>
        <v xml:space="preserve">12510021804 </v>
      </c>
      <c r="E20016" t="s">
        <v>309</v>
      </c>
      <c r="F20016" t="s">
        <v>310</v>
      </c>
      <c r="G20016">
        <v>14.76</v>
      </c>
      <c r="H20016">
        <v>250228</v>
      </c>
      <c r="I20016">
        <v>4369</v>
      </c>
      <c r="J20016" t="s">
        <v>188</v>
      </c>
      <c r="K20016">
        <v>290.57</v>
      </c>
      <c r="L20016">
        <v>3</v>
      </c>
      <c r="M20016">
        <v>59701</v>
      </c>
      <c r="N20016" t="s">
        <v>64</v>
      </c>
      <c r="O20016">
        <v>250313</v>
      </c>
      <c r="P20016">
        <v>11.76</v>
      </c>
    </row>
    <row r="20017" spans="1:16" x14ac:dyDescent="0.25">
      <c r="A20017" t="s">
        <v>3296</v>
      </c>
      <c r="B20017" t="s">
        <v>2931</v>
      </c>
      <c r="C20017">
        <v>2983</v>
      </c>
      <c r="D20017" t="str">
        <f t="shared" si="341"/>
        <v xml:space="preserve">12510021804 </v>
      </c>
      <c r="E20017" t="s">
        <v>309</v>
      </c>
      <c r="F20017" t="s">
        <v>310</v>
      </c>
      <c r="G20017">
        <v>49.23</v>
      </c>
      <c r="H20017">
        <v>250228</v>
      </c>
      <c r="I20017">
        <v>4369</v>
      </c>
      <c r="J20017" t="s">
        <v>188</v>
      </c>
      <c r="K20017">
        <v>290.57</v>
      </c>
      <c r="L20017">
        <v>10</v>
      </c>
      <c r="M20017">
        <v>59702</v>
      </c>
      <c r="N20017" t="s">
        <v>45</v>
      </c>
      <c r="O20017">
        <v>250313</v>
      </c>
      <c r="P20017">
        <v>39.229999999999997</v>
      </c>
    </row>
    <row r="20018" spans="1:16" x14ac:dyDescent="0.25">
      <c r="A20018" t="s">
        <v>3296</v>
      </c>
      <c r="B20018" t="s">
        <v>2931</v>
      </c>
      <c r="C20018">
        <v>2983</v>
      </c>
      <c r="D20018" t="str">
        <f t="shared" si="341"/>
        <v xml:space="preserve">12510021804 </v>
      </c>
      <c r="E20018" t="s">
        <v>309</v>
      </c>
      <c r="F20018" t="s">
        <v>310</v>
      </c>
      <c r="G20018">
        <v>6.59</v>
      </c>
      <c r="H20018">
        <v>250228</v>
      </c>
      <c r="I20018">
        <v>4369</v>
      </c>
      <c r="J20018" t="s">
        <v>188</v>
      </c>
      <c r="K20018">
        <v>290.57</v>
      </c>
      <c r="L20018">
        <v>1.34</v>
      </c>
      <c r="M20018">
        <v>59704</v>
      </c>
      <c r="N20018" t="s">
        <v>46</v>
      </c>
      <c r="O20018">
        <v>250313</v>
      </c>
      <c r="P20018">
        <v>5.25</v>
      </c>
    </row>
    <row r="20019" spans="1:16" x14ac:dyDescent="0.25">
      <c r="A20019" t="s">
        <v>3296</v>
      </c>
      <c r="B20019" t="s">
        <v>2931</v>
      </c>
      <c r="C20019">
        <v>2983</v>
      </c>
      <c r="D20019" t="str">
        <f t="shared" si="341"/>
        <v xml:space="preserve">12510021804 </v>
      </c>
      <c r="E20019" t="s">
        <v>309</v>
      </c>
      <c r="F20019" t="s">
        <v>310</v>
      </c>
      <c r="G20019">
        <v>3.46</v>
      </c>
      <c r="H20019">
        <v>250228</v>
      </c>
      <c r="I20019">
        <v>4369</v>
      </c>
      <c r="J20019" t="s">
        <v>188</v>
      </c>
      <c r="K20019">
        <v>290.57</v>
      </c>
      <c r="L20019">
        <v>0.7</v>
      </c>
      <c r="M20019">
        <v>59705</v>
      </c>
      <c r="N20019" t="s">
        <v>47</v>
      </c>
      <c r="O20019">
        <v>250313</v>
      </c>
      <c r="P20019">
        <v>2.76</v>
      </c>
    </row>
    <row r="20020" spans="1:16" x14ac:dyDescent="0.25">
      <c r="A20020" t="s">
        <v>3296</v>
      </c>
      <c r="B20020" t="s">
        <v>2931</v>
      </c>
      <c r="C20020">
        <v>2983</v>
      </c>
      <c r="D20020" t="str">
        <f t="shared" si="341"/>
        <v xml:space="preserve">12510021804 </v>
      </c>
      <c r="E20020" t="s">
        <v>309</v>
      </c>
      <c r="F20020" t="s">
        <v>310</v>
      </c>
      <c r="G20020">
        <v>18.7</v>
      </c>
      <c r="H20020">
        <v>250228</v>
      </c>
      <c r="I20020">
        <v>4369</v>
      </c>
      <c r="J20020" t="s">
        <v>188</v>
      </c>
      <c r="K20020">
        <v>290.57</v>
      </c>
      <c r="L20020">
        <v>3.8</v>
      </c>
      <c r="M20020">
        <v>59802</v>
      </c>
      <c r="N20020" t="s">
        <v>195</v>
      </c>
      <c r="O20020">
        <v>250313</v>
      </c>
      <c r="P20020">
        <v>14.9</v>
      </c>
    </row>
    <row r="20021" spans="1:16" x14ac:dyDescent="0.25">
      <c r="A20021" t="s">
        <v>3296</v>
      </c>
      <c r="B20021" t="s">
        <v>2931</v>
      </c>
      <c r="C20021">
        <v>2983</v>
      </c>
      <c r="D20021" t="str">
        <f t="shared" si="341"/>
        <v xml:space="preserve">12510021804 </v>
      </c>
      <c r="E20021" t="s">
        <v>309</v>
      </c>
      <c r="F20021" t="s">
        <v>310</v>
      </c>
      <c r="G20021">
        <v>17.670000000000002</v>
      </c>
      <c r="H20021">
        <v>250228</v>
      </c>
      <c r="I20021">
        <v>4369</v>
      </c>
      <c r="J20021" t="s">
        <v>188</v>
      </c>
      <c r="K20021">
        <v>290.57</v>
      </c>
      <c r="L20021">
        <v>3.59</v>
      </c>
      <c r="M20021">
        <v>59812</v>
      </c>
      <c r="N20021" t="s">
        <v>196</v>
      </c>
      <c r="O20021">
        <v>250313</v>
      </c>
      <c r="P20021">
        <v>14.08</v>
      </c>
    </row>
    <row r="20022" spans="1:16" x14ac:dyDescent="0.25">
      <c r="A20022" t="s">
        <v>3296</v>
      </c>
      <c r="B20022" t="s">
        <v>2931</v>
      </c>
      <c r="C20022">
        <v>2983</v>
      </c>
      <c r="D20022" t="str">
        <f t="shared" si="341"/>
        <v xml:space="preserve">12510021804 </v>
      </c>
      <c r="E20022" t="s">
        <v>309</v>
      </c>
      <c r="F20022" t="s">
        <v>310</v>
      </c>
      <c r="G20022">
        <v>22.21</v>
      </c>
      <c r="H20022">
        <v>250228</v>
      </c>
      <c r="I20022">
        <v>4369</v>
      </c>
      <c r="J20022" t="s">
        <v>188</v>
      </c>
      <c r="K20022">
        <v>290.57</v>
      </c>
      <c r="L20022">
        <v>4.51</v>
      </c>
      <c r="M20022">
        <v>59815</v>
      </c>
      <c r="N20022" t="s">
        <v>1001</v>
      </c>
      <c r="O20022">
        <v>250313</v>
      </c>
      <c r="P20022">
        <v>17.7</v>
      </c>
    </row>
    <row r="20023" spans="1:16" x14ac:dyDescent="0.25">
      <c r="A20023" t="s">
        <v>3296</v>
      </c>
      <c r="B20023" t="s">
        <v>2931</v>
      </c>
      <c r="C20023">
        <v>2984</v>
      </c>
      <c r="D20023" t="str">
        <f t="shared" ref="D20023:D20047" si="342">"12510021828 "</f>
        <v xml:space="preserve">12510021828 </v>
      </c>
      <c r="E20023" t="s">
        <v>309</v>
      </c>
      <c r="F20023" t="s">
        <v>310</v>
      </c>
      <c r="G20023">
        <v>9.98</v>
      </c>
      <c r="H20023">
        <v>250228</v>
      </c>
      <c r="I20023">
        <v>4369</v>
      </c>
      <c r="J20023" t="s">
        <v>188</v>
      </c>
      <c r="K20023">
        <v>221.41</v>
      </c>
      <c r="L20023">
        <v>2.0299999999999998</v>
      </c>
      <c r="M20023">
        <v>16930</v>
      </c>
      <c r="N20023" t="s">
        <v>135</v>
      </c>
      <c r="O20023">
        <v>250313</v>
      </c>
      <c r="P20023">
        <v>7.95</v>
      </c>
    </row>
    <row r="20024" spans="1:16" x14ac:dyDescent="0.25">
      <c r="A20024" t="s">
        <v>3296</v>
      </c>
      <c r="B20024" t="s">
        <v>2931</v>
      </c>
      <c r="C20024">
        <v>2984</v>
      </c>
      <c r="D20024" t="str">
        <f t="shared" si="342"/>
        <v xml:space="preserve">12510021828 </v>
      </c>
      <c r="E20024" t="s">
        <v>309</v>
      </c>
      <c r="F20024" t="s">
        <v>310</v>
      </c>
      <c r="G20024">
        <v>3.35</v>
      </c>
      <c r="H20024">
        <v>250228</v>
      </c>
      <c r="I20024">
        <v>4369</v>
      </c>
      <c r="J20024" t="s">
        <v>188</v>
      </c>
      <c r="K20024">
        <v>221.41</v>
      </c>
      <c r="L20024">
        <v>0.68</v>
      </c>
      <c r="M20024">
        <v>16951</v>
      </c>
      <c r="N20024" t="s">
        <v>488</v>
      </c>
      <c r="O20024">
        <v>250313</v>
      </c>
      <c r="P20024">
        <v>2.67</v>
      </c>
    </row>
    <row r="20025" spans="1:16" x14ac:dyDescent="0.25">
      <c r="A20025" t="s">
        <v>3296</v>
      </c>
      <c r="B20025" t="s">
        <v>2931</v>
      </c>
      <c r="C20025">
        <v>2984</v>
      </c>
      <c r="D20025" t="str">
        <f t="shared" si="342"/>
        <v xml:space="preserve">12510021828 </v>
      </c>
      <c r="E20025" t="s">
        <v>309</v>
      </c>
      <c r="F20025" t="s">
        <v>310</v>
      </c>
      <c r="G20025">
        <v>15</v>
      </c>
      <c r="H20025">
        <v>250228</v>
      </c>
      <c r="I20025">
        <v>4369</v>
      </c>
      <c r="J20025" t="s">
        <v>188</v>
      </c>
      <c r="K20025">
        <v>221.41</v>
      </c>
      <c r="L20025">
        <v>3.05</v>
      </c>
      <c r="M20025">
        <v>17521</v>
      </c>
      <c r="N20025" t="s">
        <v>136</v>
      </c>
      <c r="O20025">
        <v>250313</v>
      </c>
      <c r="P20025">
        <v>11.95</v>
      </c>
    </row>
    <row r="20026" spans="1:16" x14ac:dyDescent="0.25">
      <c r="A20026" t="s">
        <v>3296</v>
      </c>
      <c r="B20026" t="s">
        <v>2931</v>
      </c>
      <c r="C20026">
        <v>2984</v>
      </c>
      <c r="D20026" t="str">
        <f t="shared" si="342"/>
        <v xml:space="preserve">12510021828 </v>
      </c>
      <c r="E20026" t="s">
        <v>309</v>
      </c>
      <c r="F20026" t="s">
        <v>310</v>
      </c>
      <c r="G20026">
        <v>6.93</v>
      </c>
      <c r="H20026">
        <v>250228</v>
      </c>
      <c r="I20026">
        <v>4369</v>
      </c>
      <c r="J20026" t="s">
        <v>188</v>
      </c>
      <c r="K20026">
        <v>221.41</v>
      </c>
      <c r="L20026">
        <v>1.41</v>
      </c>
      <c r="M20026">
        <v>17522</v>
      </c>
      <c r="N20026" t="s">
        <v>137</v>
      </c>
      <c r="O20026">
        <v>250313</v>
      </c>
      <c r="P20026">
        <v>5.52</v>
      </c>
    </row>
    <row r="20027" spans="1:16" x14ac:dyDescent="0.25">
      <c r="A20027" t="s">
        <v>3296</v>
      </c>
      <c r="B20027" t="s">
        <v>2931</v>
      </c>
      <c r="C20027">
        <v>2984</v>
      </c>
      <c r="D20027" t="str">
        <f t="shared" si="342"/>
        <v xml:space="preserve">12510021828 </v>
      </c>
      <c r="E20027" t="s">
        <v>309</v>
      </c>
      <c r="F20027" t="s">
        <v>310</v>
      </c>
      <c r="G20027">
        <v>13.34</v>
      </c>
      <c r="H20027">
        <v>250228</v>
      </c>
      <c r="I20027">
        <v>4369</v>
      </c>
      <c r="J20027" t="s">
        <v>188</v>
      </c>
      <c r="K20027">
        <v>221.41</v>
      </c>
      <c r="L20027">
        <v>2.71</v>
      </c>
      <c r="M20027">
        <v>17523</v>
      </c>
      <c r="N20027" t="s">
        <v>138</v>
      </c>
      <c r="O20027">
        <v>250313</v>
      </c>
      <c r="P20027">
        <v>10.63</v>
      </c>
    </row>
    <row r="20028" spans="1:16" x14ac:dyDescent="0.25">
      <c r="A20028" t="s">
        <v>3296</v>
      </c>
      <c r="B20028" t="s">
        <v>2931</v>
      </c>
      <c r="C20028">
        <v>2984</v>
      </c>
      <c r="D20028" t="str">
        <f t="shared" si="342"/>
        <v xml:space="preserve">12510021828 </v>
      </c>
      <c r="E20028" t="s">
        <v>309</v>
      </c>
      <c r="F20028" t="s">
        <v>310</v>
      </c>
      <c r="G20028">
        <v>6.78</v>
      </c>
      <c r="H20028">
        <v>250228</v>
      </c>
      <c r="I20028">
        <v>4369</v>
      </c>
      <c r="J20028" t="s">
        <v>188</v>
      </c>
      <c r="K20028">
        <v>221.41</v>
      </c>
      <c r="L20028">
        <v>1.38</v>
      </c>
      <c r="M20028">
        <v>17524</v>
      </c>
      <c r="N20028" t="s">
        <v>139</v>
      </c>
      <c r="O20028">
        <v>250313</v>
      </c>
      <c r="P20028">
        <v>5.4</v>
      </c>
    </row>
    <row r="20029" spans="1:16" x14ac:dyDescent="0.25">
      <c r="A20029" t="s">
        <v>3296</v>
      </c>
      <c r="B20029" t="s">
        <v>2931</v>
      </c>
      <c r="C20029">
        <v>2984</v>
      </c>
      <c r="D20029" t="str">
        <f t="shared" si="342"/>
        <v xml:space="preserve">12510021828 </v>
      </c>
      <c r="E20029" t="s">
        <v>309</v>
      </c>
      <c r="F20029" t="s">
        <v>310</v>
      </c>
      <c r="G20029">
        <v>3.39</v>
      </c>
      <c r="H20029">
        <v>250228</v>
      </c>
      <c r="I20029">
        <v>4369</v>
      </c>
      <c r="J20029" t="s">
        <v>188</v>
      </c>
      <c r="K20029">
        <v>221.41</v>
      </c>
      <c r="L20029">
        <v>0.69</v>
      </c>
      <c r="M20029">
        <v>17525</v>
      </c>
      <c r="N20029" t="s">
        <v>140</v>
      </c>
      <c r="O20029">
        <v>250313</v>
      </c>
      <c r="P20029">
        <v>2.7</v>
      </c>
    </row>
    <row r="20030" spans="1:16" x14ac:dyDescent="0.25">
      <c r="A20030" t="s">
        <v>3296</v>
      </c>
      <c r="B20030" t="s">
        <v>2931</v>
      </c>
      <c r="C20030">
        <v>2984</v>
      </c>
      <c r="D20030" t="str">
        <f t="shared" si="342"/>
        <v xml:space="preserve">12510021828 </v>
      </c>
      <c r="E20030" t="s">
        <v>309</v>
      </c>
      <c r="F20030" t="s">
        <v>310</v>
      </c>
      <c r="G20030">
        <v>6.78</v>
      </c>
      <c r="H20030">
        <v>250228</v>
      </c>
      <c r="I20030">
        <v>4369</v>
      </c>
      <c r="J20030" t="s">
        <v>188</v>
      </c>
      <c r="K20030">
        <v>221.41</v>
      </c>
      <c r="L20030">
        <v>1.38</v>
      </c>
      <c r="M20030">
        <v>17526</v>
      </c>
      <c r="N20030" t="s">
        <v>141</v>
      </c>
      <c r="O20030">
        <v>250313</v>
      </c>
      <c r="P20030">
        <v>5.4</v>
      </c>
    </row>
    <row r="20031" spans="1:16" x14ac:dyDescent="0.25">
      <c r="A20031" t="s">
        <v>3296</v>
      </c>
      <c r="B20031" t="s">
        <v>2931</v>
      </c>
      <c r="C20031">
        <v>2984</v>
      </c>
      <c r="D20031" t="str">
        <f t="shared" si="342"/>
        <v xml:space="preserve">12510021828 </v>
      </c>
      <c r="E20031" t="s">
        <v>309</v>
      </c>
      <c r="F20031" t="s">
        <v>310</v>
      </c>
      <c r="G20031">
        <v>7.12</v>
      </c>
      <c r="H20031">
        <v>250228</v>
      </c>
      <c r="I20031">
        <v>4369</v>
      </c>
      <c r="J20031" t="s">
        <v>188</v>
      </c>
      <c r="K20031">
        <v>221.41</v>
      </c>
      <c r="L20031">
        <v>1.45</v>
      </c>
      <c r="M20031">
        <v>17527</v>
      </c>
      <c r="N20031" t="s">
        <v>142</v>
      </c>
      <c r="O20031">
        <v>250313</v>
      </c>
      <c r="P20031">
        <v>5.67</v>
      </c>
    </row>
    <row r="20032" spans="1:16" x14ac:dyDescent="0.25">
      <c r="A20032" t="s">
        <v>3296</v>
      </c>
      <c r="B20032" t="s">
        <v>2931</v>
      </c>
      <c r="C20032">
        <v>2984</v>
      </c>
      <c r="D20032" t="str">
        <f t="shared" si="342"/>
        <v xml:space="preserve">12510021828 </v>
      </c>
      <c r="E20032" t="s">
        <v>309</v>
      </c>
      <c r="F20032" t="s">
        <v>310</v>
      </c>
      <c r="G20032">
        <v>6.78</v>
      </c>
      <c r="H20032">
        <v>250228</v>
      </c>
      <c r="I20032">
        <v>4369</v>
      </c>
      <c r="J20032" t="s">
        <v>188</v>
      </c>
      <c r="K20032">
        <v>221.41</v>
      </c>
      <c r="L20032">
        <v>1.38</v>
      </c>
      <c r="M20032">
        <v>17529</v>
      </c>
      <c r="N20032" t="s">
        <v>143</v>
      </c>
      <c r="O20032">
        <v>250313</v>
      </c>
      <c r="P20032">
        <v>5.4</v>
      </c>
    </row>
    <row r="20033" spans="1:16" x14ac:dyDescent="0.25">
      <c r="A20033" t="s">
        <v>3296</v>
      </c>
      <c r="B20033" t="s">
        <v>2931</v>
      </c>
      <c r="C20033">
        <v>2984</v>
      </c>
      <c r="D20033" t="str">
        <f t="shared" si="342"/>
        <v xml:space="preserve">12510021828 </v>
      </c>
      <c r="E20033" t="s">
        <v>309</v>
      </c>
      <c r="F20033" t="s">
        <v>310</v>
      </c>
      <c r="G20033">
        <v>6.83</v>
      </c>
      <c r="H20033">
        <v>250228</v>
      </c>
      <c r="I20033">
        <v>4369</v>
      </c>
      <c r="J20033" t="s">
        <v>188</v>
      </c>
      <c r="K20033">
        <v>221.41</v>
      </c>
      <c r="L20033">
        <v>1.39</v>
      </c>
      <c r="M20033">
        <v>17530</v>
      </c>
      <c r="N20033" t="s">
        <v>144</v>
      </c>
      <c r="O20033">
        <v>250313</v>
      </c>
      <c r="P20033">
        <v>5.44</v>
      </c>
    </row>
    <row r="20034" spans="1:16" x14ac:dyDescent="0.25">
      <c r="A20034" t="s">
        <v>3296</v>
      </c>
      <c r="B20034" t="s">
        <v>2931</v>
      </c>
      <c r="C20034">
        <v>2984</v>
      </c>
      <c r="D20034" t="str">
        <f t="shared" si="342"/>
        <v xml:space="preserve">12510021828 </v>
      </c>
      <c r="E20034" t="s">
        <v>309</v>
      </c>
      <c r="F20034" t="s">
        <v>310</v>
      </c>
      <c r="G20034">
        <v>19.77</v>
      </c>
      <c r="H20034">
        <v>250228</v>
      </c>
      <c r="I20034">
        <v>4369</v>
      </c>
      <c r="J20034" t="s">
        <v>188</v>
      </c>
      <c r="K20034">
        <v>221.41</v>
      </c>
      <c r="L20034">
        <v>4.0199999999999996</v>
      </c>
      <c r="M20034">
        <v>17531</v>
      </c>
      <c r="N20034" t="s">
        <v>145</v>
      </c>
      <c r="O20034">
        <v>250313</v>
      </c>
      <c r="P20034">
        <v>15.75</v>
      </c>
    </row>
    <row r="20035" spans="1:16" x14ac:dyDescent="0.25">
      <c r="A20035" t="s">
        <v>3296</v>
      </c>
      <c r="B20035" t="s">
        <v>2931</v>
      </c>
      <c r="C20035">
        <v>2984</v>
      </c>
      <c r="D20035" t="str">
        <f t="shared" si="342"/>
        <v xml:space="preserve">12510021828 </v>
      </c>
      <c r="E20035" t="s">
        <v>309</v>
      </c>
      <c r="F20035" t="s">
        <v>310</v>
      </c>
      <c r="G20035">
        <v>12.99</v>
      </c>
      <c r="H20035">
        <v>250228</v>
      </c>
      <c r="I20035">
        <v>4369</v>
      </c>
      <c r="J20035" t="s">
        <v>188</v>
      </c>
      <c r="K20035">
        <v>221.41</v>
      </c>
      <c r="L20035">
        <v>2.64</v>
      </c>
      <c r="M20035">
        <v>17532</v>
      </c>
      <c r="N20035" t="s">
        <v>146</v>
      </c>
      <c r="O20035">
        <v>250313</v>
      </c>
      <c r="P20035">
        <v>10.35</v>
      </c>
    </row>
    <row r="20036" spans="1:16" x14ac:dyDescent="0.25">
      <c r="A20036" t="s">
        <v>3296</v>
      </c>
      <c r="B20036" t="s">
        <v>2931</v>
      </c>
      <c r="C20036">
        <v>2984</v>
      </c>
      <c r="D20036" t="str">
        <f t="shared" si="342"/>
        <v xml:space="preserve">12510021828 </v>
      </c>
      <c r="E20036" t="s">
        <v>309</v>
      </c>
      <c r="F20036" t="s">
        <v>310</v>
      </c>
      <c r="G20036">
        <v>6.78</v>
      </c>
      <c r="H20036">
        <v>250228</v>
      </c>
      <c r="I20036">
        <v>4369</v>
      </c>
      <c r="J20036" t="s">
        <v>188</v>
      </c>
      <c r="K20036">
        <v>221.41</v>
      </c>
      <c r="L20036">
        <v>1.38</v>
      </c>
      <c r="M20036">
        <v>17533</v>
      </c>
      <c r="N20036" t="s">
        <v>147</v>
      </c>
      <c r="O20036">
        <v>250313</v>
      </c>
      <c r="P20036">
        <v>5.4</v>
      </c>
    </row>
    <row r="20037" spans="1:16" x14ac:dyDescent="0.25">
      <c r="A20037" t="s">
        <v>3296</v>
      </c>
      <c r="B20037" t="s">
        <v>2931</v>
      </c>
      <c r="C20037">
        <v>2984</v>
      </c>
      <c r="D20037" t="str">
        <f t="shared" si="342"/>
        <v xml:space="preserve">12510021828 </v>
      </c>
      <c r="E20037" t="s">
        <v>309</v>
      </c>
      <c r="F20037" t="s">
        <v>310</v>
      </c>
      <c r="G20037">
        <v>6.78</v>
      </c>
      <c r="H20037">
        <v>250228</v>
      </c>
      <c r="I20037">
        <v>4369</v>
      </c>
      <c r="J20037" t="s">
        <v>188</v>
      </c>
      <c r="K20037">
        <v>221.41</v>
      </c>
      <c r="L20037">
        <v>1.38</v>
      </c>
      <c r="M20037">
        <v>17534</v>
      </c>
      <c r="N20037" t="s">
        <v>148</v>
      </c>
      <c r="O20037">
        <v>250313</v>
      </c>
      <c r="P20037">
        <v>5.4</v>
      </c>
    </row>
    <row r="20038" spans="1:16" x14ac:dyDescent="0.25">
      <c r="A20038" t="s">
        <v>3296</v>
      </c>
      <c r="B20038" t="s">
        <v>2931</v>
      </c>
      <c r="C20038">
        <v>2984</v>
      </c>
      <c r="D20038" t="str">
        <f t="shared" si="342"/>
        <v xml:space="preserve">12510021828 </v>
      </c>
      <c r="E20038" t="s">
        <v>309</v>
      </c>
      <c r="F20038" t="s">
        <v>310</v>
      </c>
      <c r="G20038">
        <v>3.39</v>
      </c>
      <c r="H20038">
        <v>250228</v>
      </c>
      <c r="I20038">
        <v>4369</v>
      </c>
      <c r="J20038" t="s">
        <v>188</v>
      </c>
      <c r="K20038">
        <v>221.41</v>
      </c>
      <c r="L20038">
        <v>0.69</v>
      </c>
      <c r="M20038">
        <v>17535</v>
      </c>
      <c r="N20038" t="s">
        <v>149</v>
      </c>
      <c r="O20038">
        <v>250313</v>
      </c>
      <c r="P20038">
        <v>2.7</v>
      </c>
    </row>
    <row r="20039" spans="1:16" x14ac:dyDescent="0.25">
      <c r="A20039" t="s">
        <v>3296</v>
      </c>
      <c r="B20039" t="s">
        <v>2931</v>
      </c>
      <c r="C20039">
        <v>2984</v>
      </c>
      <c r="D20039" t="str">
        <f t="shared" si="342"/>
        <v xml:space="preserve">12510021828 </v>
      </c>
      <c r="E20039" t="s">
        <v>309</v>
      </c>
      <c r="F20039" t="s">
        <v>310</v>
      </c>
      <c r="G20039">
        <v>6.78</v>
      </c>
      <c r="H20039">
        <v>250228</v>
      </c>
      <c r="I20039">
        <v>4369</v>
      </c>
      <c r="J20039" t="s">
        <v>188</v>
      </c>
      <c r="K20039">
        <v>221.41</v>
      </c>
      <c r="L20039">
        <v>1.38</v>
      </c>
      <c r="M20039">
        <v>17536</v>
      </c>
      <c r="N20039" t="s">
        <v>150</v>
      </c>
      <c r="O20039">
        <v>250313</v>
      </c>
      <c r="P20039">
        <v>5.4</v>
      </c>
    </row>
    <row r="20040" spans="1:16" x14ac:dyDescent="0.25">
      <c r="A20040" t="s">
        <v>3296</v>
      </c>
      <c r="B20040" t="s">
        <v>2931</v>
      </c>
      <c r="C20040">
        <v>2984</v>
      </c>
      <c r="D20040" t="str">
        <f t="shared" si="342"/>
        <v xml:space="preserve">12510021828 </v>
      </c>
      <c r="E20040" t="s">
        <v>309</v>
      </c>
      <c r="F20040" t="s">
        <v>310</v>
      </c>
      <c r="G20040">
        <v>13.38</v>
      </c>
      <c r="H20040">
        <v>250228</v>
      </c>
      <c r="I20040">
        <v>4369</v>
      </c>
      <c r="J20040" t="s">
        <v>188</v>
      </c>
      <c r="K20040">
        <v>221.41</v>
      </c>
      <c r="L20040">
        <v>2.72</v>
      </c>
      <c r="M20040">
        <v>17537</v>
      </c>
      <c r="N20040" t="s">
        <v>151</v>
      </c>
      <c r="O20040">
        <v>250313</v>
      </c>
      <c r="P20040">
        <v>10.66</v>
      </c>
    </row>
    <row r="20041" spans="1:16" x14ac:dyDescent="0.25">
      <c r="A20041" t="s">
        <v>3296</v>
      </c>
      <c r="B20041" t="s">
        <v>2931</v>
      </c>
      <c r="C20041">
        <v>2984</v>
      </c>
      <c r="D20041" t="str">
        <f t="shared" si="342"/>
        <v xml:space="preserve">12510021828 </v>
      </c>
      <c r="E20041" t="s">
        <v>309</v>
      </c>
      <c r="F20041" t="s">
        <v>310</v>
      </c>
      <c r="G20041">
        <v>13.37</v>
      </c>
      <c r="H20041">
        <v>250228</v>
      </c>
      <c r="I20041">
        <v>4369</v>
      </c>
      <c r="J20041" t="s">
        <v>188</v>
      </c>
      <c r="K20041">
        <v>221.41</v>
      </c>
      <c r="L20041">
        <v>2.72</v>
      </c>
      <c r="M20041">
        <v>17538</v>
      </c>
      <c r="N20041" t="s">
        <v>129</v>
      </c>
      <c r="O20041">
        <v>250313</v>
      </c>
      <c r="P20041">
        <v>10.65</v>
      </c>
    </row>
    <row r="20042" spans="1:16" x14ac:dyDescent="0.25">
      <c r="A20042" t="s">
        <v>3296</v>
      </c>
      <c r="B20042" t="s">
        <v>2931</v>
      </c>
      <c r="C20042">
        <v>2984</v>
      </c>
      <c r="D20042" t="str">
        <f t="shared" si="342"/>
        <v xml:space="preserve">12510021828 </v>
      </c>
      <c r="E20042" t="s">
        <v>309</v>
      </c>
      <c r="F20042" t="s">
        <v>310</v>
      </c>
      <c r="G20042">
        <v>13.55</v>
      </c>
      <c r="H20042">
        <v>250228</v>
      </c>
      <c r="I20042">
        <v>4369</v>
      </c>
      <c r="J20042" t="s">
        <v>188</v>
      </c>
      <c r="K20042">
        <v>221.41</v>
      </c>
      <c r="L20042">
        <v>2.75</v>
      </c>
      <c r="M20042">
        <v>17950</v>
      </c>
      <c r="N20042" t="s">
        <v>132</v>
      </c>
      <c r="O20042">
        <v>250313</v>
      </c>
      <c r="P20042">
        <v>10.8</v>
      </c>
    </row>
    <row r="20043" spans="1:16" x14ac:dyDescent="0.25">
      <c r="A20043" t="s">
        <v>3296</v>
      </c>
      <c r="B20043" t="s">
        <v>2931</v>
      </c>
      <c r="C20043">
        <v>2984</v>
      </c>
      <c r="D20043" t="str">
        <f t="shared" si="342"/>
        <v xml:space="preserve">12510021828 </v>
      </c>
      <c r="E20043" t="s">
        <v>309</v>
      </c>
      <c r="F20043" t="s">
        <v>310</v>
      </c>
      <c r="G20043">
        <v>3.39</v>
      </c>
      <c r="H20043">
        <v>250228</v>
      </c>
      <c r="I20043">
        <v>4369</v>
      </c>
      <c r="J20043" t="s">
        <v>188</v>
      </c>
      <c r="K20043">
        <v>221.41</v>
      </c>
      <c r="L20043">
        <v>0.69</v>
      </c>
      <c r="M20043">
        <v>17956</v>
      </c>
      <c r="N20043" t="s">
        <v>170</v>
      </c>
      <c r="O20043">
        <v>250313</v>
      </c>
      <c r="P20043">
        <v>2.7</v>
      </c>
    </row>
    <row r="20044" spans="1:16" x14ac:dyDescent="0.25">
      <c r="A20044" t="s">
        <v>3296</v>
      </c>
      <c r="B20044" t="s">
        <v>2931</v>
      </c>
      <c r="C20044">
        <v>2984</v>
      </c>
      <c r="D20044" t="str">
        <f t="shared" si="342"/>
        <v xml:space="preserve">12510021828 </v>
      </c>
      <c r="E20044" t="s">
        <v>309</v>
      </c>
      <c r="F20044" t="s">
        <v>310</v>
      </c>
      <c r="G20044">
        <v>17.04</v>
      </c>
      <c r="H20044">
        <v>250228</v>
      </c>
      <c r="I20044">
        <v>4369</v>
      </c>
      <c r="J20044" t="s">
        <v>188</v>
      </c>
      <c r="K20044">
        <v>221.41</v>
      </c>
      <c r="L20044">
        <v>3.46</v>
      </c>
      <c r="M20044">
        <v>17971</v>
      </c>
      <c r="N20044" t="s">
        <v>27</v>
      </c>
      <c r="O20044">
        <v>250313</v>
      </c>
      <c r="P20044">
        <v>13.58</v>
      </c>
    </row>
    <row r="20045" spans="1:16" x14ac:dyDescent="0.25">
      <c r="A20045" t="s">
        <v>3296</v>
      </c>
      <c r="B20045" t="s">
        <v>2931</v>
      </c>
      <c r="C20045">
        <v>2984</v>
      </c>
      <c r="D20045" t="str">
        <f t="shared" si="342"/>
        <v xml:space="preserve">12510021828 </v>
      </c>
      <c r="E20045" t="s">
        <v>309</v>
      </c>
      <c r="F20045" t="s">
        <v>310</v>
      </c>
      <c r="G20045">
        <v>3.39</v>
      </c>
      <c r="H20045">
        <v>250228</v>
      </c>
      <c r="I20045">
        <v>4369</v>
      </c>
      <c r="J20045" t="s">
        <v>188</v>
      </c>
      <c r="K20045">
        <v>221.41</v>
      </c>
      <c r="L20045">
        <v>0.69</v>
      </c>
      <c r="M20045">
        <v>17972</v>
      </c>
      <c r="N20045" t="s">
        <v>28</v>
      </c>
      <c r="O20045">
        <v>250313</v>
      </c>
      <c r="P20045">
        <v>2.7</v>
      </c>
    </row>
    <row r="20046" spans="1:16" x14ac:dyDescent="0.25">
      <c r="A20046" t="s">
        <v>3296</v>
      </c>
      <c r="B20046" t="s">
        <v>2931</v>
      </c>
      <c r="C20046">
        <v>2984</v>
      </c>
      <c r="D20046" t="str">
        <f t="shared" si="342"/>
        <v xml:space="preserve">12510021828 </v>
      </c>
      <c r="E20046" t="s">
        <v>309</v>
      </c>
      <c r="F20046" t="s">
        <v>310</v>
      </c>
      <c r="G20046">
        <v>3.39</v>
      </c>
      <c r="H20046">
        <v>250228</v>
      </c>
      <c r="I20046">
        <v>4369</v>
      </c>
      <c r="J20046" t="s">
        <v>188</v>
      </c>
      <c r="K20046">
        <v>221.41</v>
      </c>
      <c r="L20046">
        <v>0.69</v>
      </c>
      <c r="M20046">
        <v>17974</v>
      </c>
      <c r="N20046" t="s">
        <v>153</v>
      </c>
      <c r="O20046">
        <v>250313</v>
      </c>
      <c r="P20046">
        <v>2.7</v>
      </c>
    </row>
    <row r="20047" spans="1:16" x14ac:dyDescent="0.25">
      <c r="A20047" t="s">
        <v>3296</v>
      </c>
      <c r="B20047" t="s">
        <v>2931</v>
      </c>
      <c r="C20047">
        <v>2984</v>
      </c>
      <c r="D20047" t="str">
        <f t="shared" si="342"/>
        <v xml:space="preserve">12510021828 </v>
      </c>
      <c r="E20047" t="s">
        <v>309</v>
      </c>
      <c r="F20047" t="s">
        <v>310</v>
      </c>
      <c r="G20047">
        <v>11.13</v>
      </c>
      <c r="H20047">
        <v>250228</v>
      </c>
      <c r="I20047">
        <v>4369</v>
      </c>
      <c r="J20047" t="s">
        <v>188</v>
      </c>
      <c r="K20047">
        <v>221.41</v>
      </c>
      <c r="L20047">
        <v>2.2599999999999998</v>
      </c>
      <c r="M20047">
        <v>17975</v>
      </c>
      <c r="N20047" t="s">
        <v>29</v>
      </c>
      <c r="O20047">
        <v>250313</v>
      </c>
      <c r="P20047">
        <v>8.8699999999999992</v>
      </c>
    </row>
    <row r="20048" spans="1:16" x14ac:dyDescent="0.25">
      <c r="A20048" t="s">
        <v>3296</v>
      </c>
      <c r="B20048" t="s">
        <v>2931</v>
      </c>
      <c r="C20048">
        <v>3054</v>
      </c>
      <c r="D20048" t="str">
        <f t="shared" ref="D20048:D20054" si="343">"12510021824 "</f>
        <v xml:space="preserve">12510021824 </v>
      </c>
      <c r="E20048" t="s">
        <v>309</v>
      </c>
      <c r="F20048" t="s">
        <v>310</v>
      </c>
      <c r="G20048">
        <v>2.2000000000000002</v>
      </c>
      <c r="H20048">
        <v>250228</v>
      </c>
      <c r="I20048">
        <v>4369</v>
      </c>
      <c r="J20048" t="s">
        <v>188</v>
      </c>
      <c r="K20048">
        <v>16.940000000000001</v>
      </c>
      <c r="L20048">
        <v>0.45</v>
      </c>
      <c r="M20048">
        <v>41126</v>
      </c>
      <c r="N20048" t="s">
        <v>94</v>
      </c>
      <c r="O20048">
        <v>250314</v>
      </c>
      <c r="P20048">
        <v>1.75</v>
      </c>
    </row>
    <row r="20049" spans="1:16" x14ac:dyDescent="0.25">
      <c r="A20049" t="s">
        <v>3296</v>
      </c>
      <c r="B20049" t="s">
        <v>2931</v>
      </c>
      <c r="C20049">
        <v>3054</v>
      </c>
      <c r="D20049" t="str">
        <f t="shared" si="343"/>
        <v xml:space="preserve">12510021824 </v>
      </c>
      <c r="E20049" t="s">
        <v>309</v>
      </c>
      <c r="F20049" t="s">
        <v>310</v>
      </c>
      <c r="G20049">
        <v>1.69</v>
      </c>
      <c r="H20049">
        <v>250228</v>
      </c>
      <c r="I20049">
        <v>4369</v>
      </c>
      <c r="J20049" t="s">
        <v>188</v>
      </c>
      <c r="K20049">
        <v>16.940000000000001</v>
      </c>
      <c r="L20049">
        <v>0.34</v>
      </c>
      <c r="M20049">
        <v>43222</v>
      </c>
      <c r="N20049" t="s">
        <v>95</v>
      </c>
      <c r="O20049">
        <v>250314</v>
      </c>
      <c r="P20049">
        <v>1.35</v>
      </c>
    </row>
    <row r="20050" spans="1:16" x14ac:dyDescent="0.25">
      <c r="A20050" t="s">
        <v>3296</v>
      </c>
      <c r="B20050" t="s">
        <v>2931</v>
      </c>
      <c r="C20050">
        <v>3054</v>
      </c>
      <c r="D20050" t="str">
        <f t="shared" si="343"/>
        <v xml:space="preserve">12510021824 </v>
      </c>
      <c r="E20050" t="s">
        <v>309</v>
      </c>
      <c r="F20050" t="s">
        <v>310</v>
      </c>
      <c r="G20050">
        <v>2.0299999999999998</v>
      </c>
      <c r="H20050">
        <v>250228</v>
      </c>
      <c r="I20050">
        <v>4369</v>
      </c>
      <c r="J20050" t="s">
        <v>188</v>
      </c>
      <c r="K20050">
        <v>16.940000000000001</v>
      </c>
      <c r="L20050">
        <v>0.41</v>
      </c>
      <c r="M20050">
        <v>44222</v>
      </c>
      <c r="N20050" t="s">
        <v>96</v>
      </c>
      <c r="O20050">
        <v>250314</v>
      </c>
      <c r="P20050">
        <v>1.62</v>
      </c>
    </row>
    <row r="20051" spans="1:16" x14ac:dyDescent="0.25">
      <c r="A20051" t="s">
        <v>3296</v>
      </c>
      <c r="B20051" t="s">
        <v>2931</v>
      </c>
      <c r="C20051">
        <v>3054</v>
      </c>
      <c r="D20051" t="str">
        <f t="shared" si="343"/>
        <v xml:space="preserve">12510021824 </v>
      </c>
      <c r="E20051" t="s">
        <v>309</v>
      </c>
      <c r="F20051" t="s">
        <v>310</v>
      </c>
      <c r="G20051">
        <v>2.2000000000000002</v>
      </c>
      <c r="H20051">
        <v>250228</v>
      </c>
      <c r="I20051">
        <v>4369</v>
      </c>
      <c r="J20051" t="s">
        <v>188</v>
      </c>
      <c r="K20051">
        <v>16.940000000000001</v>
      </c>
      <c r="L20051">
        <v>0.45</v>
      </c>
      <c r="M20051">
        <v>44424</v>
      </c>
      <c r="N20051" t="s">
        <v>99</v>
      </c>
      <c r="O20051">
        <v>250314</v>
      </c>
      <c r="P20051">
        <v>1.75</v>
      </c>
    </row>
    <row r="20052" spans="1:16" x14ac:dyDescent="0.25">
      <c r="A20052" t="s">
        <v>3296</v>
      </c>
      <c r="B20052" t="s">
        <v>2931</v>
      </c>
      <c r="C20052">
        <v>3054</v>
      </c>
      <c r="D20052" t="str">
        <f t="shared" si="343"/>
        <v xml:space="preserve">12510021824 </v>
      </c>
      <c r="E20052" t="s">
        <v>309</v>
      </c>
      <c r="F20052" t="s">
        <v>310</v>
      </c>
      <c r="G20052">
        <v>1.19</v>
      </c>
      <c r="H20052">
        <v>250228</v>
      </c>
      <c r="I20052">
        <v>4369</v>
      </c>
      <c r="J20052" t="s">
        <v>188</v>
      </c>
      <c r="K20052">
        <v>16.940000000000001</v>
      </c>
      <c r="L20052">
        <v>0.24</v>
      </c>
      <c r="M20052">
        <v>46222</v>
      </c>
      <c r="N20052" t="s">
        <v>101</v>
      </c>
      <c r="O20052">
        <v>250314</v>
      </c>
      <c r="P20052">
        <v>0.95</v>
      </c>
    </row>
    <row r="20053" spans="1:16" x14ac:dyDescent="0.25">
      <c r="A20053" t="s">
        <v>3296</v>
      </c>
      <c r="B20053" t="s">
        <v>2931</v>
      </c>
      <c r="C20053">
        <v>3054</v>
      </c>
      <c r="D20053" t="str">
        <f t="shared" si="343"/>
        <v xml:space="preserve">12510021824 </v>
      </c>
      <c r="E20053" t="s">
        <v>309</v>
      </c>
      <c r="F20053" t="s">
        <v>310</v>
      </c>
      <c r="G20053">
        <v>6.78</v>
      </c>
      <c r="H20053">
        <v>250228</v>
      </c>
      <c r="I20053">
        <v>4369</v>
      </c>
      <c r="J20053" t="s">
        <v>188</v>
      </c>
      <c r="K20053">
        <v>16.940000000000001</v>
      </c>
      <c r="L20053">
        <v>1.38</v>
      </c>
      <c r="M20053">
        <v>46559</v>
      </c>
      <c r="N20053" t="s">
        <v>105</v>
      </c>
      <c r="O20053">
        <v>250314</v>
      </c>
      <c r="P20053">
        <v>5.4</v>
      </c>
    </row>
    <row r="20054" spans="1:16" x14ac:dyDescent="0.25">
      <c r="A20054" t="s">
        <v>3296</v>
      </c>
      <c r="B20054" t="s">
        <v>2931</v>
      </c>
      <c r="C20054">
        <v>3054</v>
      </c>
      <c r="D20054" t="str">
        <f t="shared" si="343"/>
        <v xml:space="preserve">12510021824 </v>
      </c>
      <c r="E20054" t="s">
        <v>309</v>
      </c>
      <c r="F20054" t="s">
        <v>310</v>
      </c>
      <c r="G20054">
        <v>0.85</v>
      </c>
      <c r="H20054">
        <v>250228</v>
      </c>
      <c r="I20054">
        <v>4369</v>
      </c>
      <c r="J20054" t="s">
        <v>188</v>
      </c>
      <c r="K20054">
        <v>16.940000000000001</v>
      </c>
      <c r="L20054">
        <v>0.17</v>
      </c>
      <c r="M20054">
        <v>47522</v>
      </c>
      <c r="N20054" t="s">
        <v>106</v>
      </c>
      <c r="O20054">
        <v>250314</v>
      </c>
      <c r="P20054">
        <v>0.68</v>
      </c>
    </row>
    <row r="20055" spans="1:16" x14ac:dyDescent="0.25">
      <c r="A20055" t="s">
        <v>3296</v>
      </c>
      <c r="B20055" t="s">
        <v>2931</v>
      </c>
      <c r="C20055">
        <v>3055</v>
      </c>
      <c r="D20055" t="str">
        <f>"12510021820 "</f>
        <v xml:space="preserve">12510021820 </v>
      </c>
      <c r="E20055" t="s">
        <v>309</v>
      </c>
      <c r="F20055" t="s">
        <v>310</v>
      </c>
      <c r="G20055">
        <v>7.05</v>
      </c>
      <c r="H20055">
        <v>250228</v>
      </c>
      <c r="I20055">
        <v>4369</v>
      </c>
      <c r="J20055" t="s">
        <v>188</v>
      </c>
      <c r="K20055">
        <v>46.31</v>
      </c>
      <c r="L20055">
        <v>1.43</v>
      </c>
      <c r="M20055">
        <v>44222</v>
      </c>
      <c r="N20055" t="s">
        <v>96</v>
      </c>
      <c r="O20055">
        <v>250314</v>
      </c>
      <c r="P20055">
        <v>5.62</v>
      </c>
    </row>
    <row r="20056" spans="1:16" x14ac:dyDescent="0.25">
      <c r="A20056" t="s">
        <v>3296</v>
      </c>
      <c r="B20056" t="s">
        <v>2931</v>
      </c>
      <c r="C20056">
        <v>3055</v>
      </c>
      <c r="D20056" t="str">
        <f>"12510021820 "</f>
        <v xml:space="preserve">12510021820 </v>
      </c>
      <c r="E20056" t="s">
        <v>309</v>
      </c>
      <c r="F20056" t="s">
        <v>310</v>
      </c>
      <c r="G20056">
        <v>23.34</v>
      </c>
      <c r="H20056">
        <v>250228</v>
      </c>
      <c r="I20056">
        <v>4369</v>
      </c>
      <c r="J20056" t="s">
        <v>188</v>
      </c>
      <c r="K20056">
        <v>46.31</v>
      </c>
      <c r="L20056">
        <v>4.74</v>
      </c>
      <c r="M20056">
        <v>44222</v>
      </c>
      <c r="N20056" t="s">
        <v>96</v>
      </c>
      <c r="O20056">
        <v>250314</v>
      </c>
      <c r="P20056">
        <v>18.600000000000001</v>
      </c>
    </row>
    <row r="20057" spans="1:16" x14ac:dyDescent="0.25">
      <c r="A20057" t="s">
        <v>3296</v>
      </c>
      <c r="B20057" t="s">
        <v>2931</v>
      </c>
      <c r="C20057">
        <v>3055</v>
      </c>
      <c r="D20057" t="str">
        <f>"12510021820 "</f>
        <v xml:space="preserve">12510021820 </v>
      </c>
      <c r="E20057" t="s">
        <v>309</v>
      </c>
      <c r="F20057" t="s">
        <v>310</v>
      </c>
      <c r="G20057">
        <v>3.39</v>
      </c>
      <c r="H20057">
        <v>250228</v>
      </c>
      <c r="I20057">
        <v>4369</v>
      </c>
      <c r="J20057" t="s">
        <v>188</v>
      </c>
      <c r="K20057">
        <v>46.31</v>
      </c>
      <c r="L20057">
        <v>0.69</v>
      </c>
      <c r="M20057">
        <v>44251</v>
      </c>
      <c r="N20057" t="s">
        <v>215</v>
      </c>
      <c r="O20057">
        <v>250314</v>
      </c>
      <c r="P20057">
        <v>2.7</v>
      </c>
    </row>
    <row r="20058" spans="1:16" x14ac:dyDescent="0.25">
      <c r="A20058" t="s">
        <v>3296</v>
      </c>
      <c r="B20058" t="s">
        <v>2931</v>
      </c>
      <c r="C20058">
        <v>3055</v>
      </c>
      <c r="D20058" t="str">
        <f>"12510021820 "</f>
        <v xml:space="preserve">12510021820 </v>
      </c>
      <c r="E20058" t="s">
        <v>309</v>
      </c>
      <c r="F20058" t="s">
        <v>310</v>
      </c>
      <c r="G20058">
        <v>3.2</v>
      </c>
      <c r="H20058">
        <v>250228</v>
      </c>
      <c r="I20058">
        <v>4369</v>
      </c>
      <c r="J20058" t="s">
        <v>188</v>
      </c>
      <c r="K20058">
        <v>46.31</v>
      </c>
      <c r="L20058">
        <v>0.65</v>
      </c>
      <c r="M20058">
        <v>44253</v>
      </c>
      <c r="N20058" t="s">
        <v>403</v>
      </c>
      <c r="O20058">
        <v>250314</v>
      </c>
      <c r="P20058">
        <v>2.5499999999999998</v>
      </c>
    </row>
    <row r="20059" spans="1:16" x14ac:dyDescent="0.25">
      <c r="A20059" t="s">
        <v>3296</v>
      </c>
      <c r="B20059" t="s">
        <v>2931</v>
      </c>
      <c r="C20059">
        <v>3055</v>
      </c>
      <c r="D20059" t="str">
        <f>"12510021820 "</f>
        <v xml:space="preserve">12510021820 </v>
      </c>
      <c r="E20059" t="s">
        <v>309</v>
      </c>
      <c r="F20059" t="s">
        <v>310</v>
      </c>
      <c r="G20059">
        <v>9.33</v>
      </c>
      <c r="H20059">
        <v>250228</v>
      </c>
      <c r="I20059">
        <v>4369</v>
      </c>
      <c r="J20059" t="s">
        <v>188</v>
      </c>
      <c r="K20059">
        <v>46.31</v>
      </c>
      <c r="L20059">
        <v>0</v>
      </c>
      <c r="M20059">
        <v>49702</v>
      </c>
      <c r="N20059" t="s">
        <v>112</v>
      </c>
      <c r="O20059">
        <v>250314</v>
      </c>
      <c r="P20059">
        <v>9.33</v>
      </c>
    </row>
    <row r="20060" spans="1:16" x14ac:dyDescent="0.25">
      <c r="A20060" t="s">
        <v>3296</v>
      </c>
      <c r="B20060" t="s">
        <v>2931</v>
      </c>
      <c r="C20060">
        <v>3062</v>
      </c>
      <c r="D20060" t="str">
        <f>"12510021806 "</f>
        <v xml:space="preserve">12510021806 </v>
      </c>
      <c r="E20060" t="s">
        <v>309</v>
      </c>
      <c r="F20060" t="s">
        <v>310</v>
      </c>
      <c r="G20060">
        <v>3.39</v>
      </c>
      <c r="H20060">
        <v>250228</v>
      </c>
      <c r="I20060">
        <v>4369</v>
      </c>
      <c r="J20060" t="s">
        <v>188</v>
      </c>
      <c r="K20060">
        <v>36.619999999999997</v>
      </c>
      <c r="L20060">
        <v>0</v>
      </c>
      <c r="M20060">
        <v>59702</v>
      </c>
      <c r="N20060" t="s">
        <v>45</v>
      </c>
      <c r="O20060">
        <v>250314</v>
      </c>
      <c r="P20060">
        <v>3.39</v>
      </c>
    </row>
    <row r="20061" spans="1:16" x14ac:dyDescent="0.25">
      <c r="A20061" t="s">
        <v>3296</v>
      </c>
      <c r="B20061" t="s">
        <v>2931</v>
      </c>
      <c r="C20061">
        <v>3062</v>
      </c>
      <c r="D20061" t="str">
        <f>"12510021806 "</f>
        <v xml:space="preserve">12510021806 </v>
      </c>
      <c r="E20061" t="s">
        <v>309</v>
      </c>
      <c r="F20061" t="s">
        <v>310</v>
      </c>
      <c r="G20061">
        <v>23.26</v>
      </c>
      <c r="H20061">
        <v>250228</v>
      </c>
      <c r="I20061">
        <v>4369</v>
      </c>
      <c r="J20061" t="s">
        <v>188</v>
      </c>
      <c r="K20061">
        <v>36.619999999999997</v>
      </c>
      <c r="L20061">
        <v>4.7300000000000004</v>
      </c>
      <c r="M20061">
        <v>59702</v>
      </c>
      <c r="N20061" t="s">
        <v>45</v>
      </c>
      <c r="O20061">
        <v>250314</v>
      </c>
      <c r="P20061">
        <v>18.53</v>
      </c>
    </row>
    <row r="20062" spans="1:16" x14ac:dyDescent="0.25">
      <c r="A20062" t="s">
        <v>3296</v>
      </c>
      <c r="B20062" t="s">
        <v>2931</v>
      </c>
      <c r="C20062">
        <v>3062</v>
      </c>
      <c r="D20062" t="str">
        <f>"12510021806 "</f>
        <v xml:space="preserve">12510021806 </v>
      </c>
      <c r="E20062" t="s">
        <v>309</v>
      </c>
      <c r="F20062" t="s">
        <v>310</v>
      </c>
      <c r="G20062">
        <v>9.9700000000000006</v>
      </c>
      <c r="H20062">
        <v>250228</v>
      </c>
      <c r="I20062">
        <v>4369</v>
      </c>
      <c r="J20062" t="s">
        <v>188</v>
      </c>
      <c r="K20062">
        <v>36.619999999999997</v>
      </c>
      <c r="L20062">
        <v>2.0299999999999998</v>
      </c>
      <c r="M20062">
        <v>59704</v>
      </c>
      <c r="N20062" t="s">
        <v>46</v>
      </c>
      <c r="O20062">
        <v>250314</v>
      </c>
      <c r="P20062">
        <v>7.94</v>
      </c>
    </row>
    <row r="20063" spans="1:16" x14ac:dyDescent="0.25">
      <c r="A20063" t="s">
        <v>3296</v>
      </c>
      <c r="B20063" t="s">
        <v>2931</v>
      </c>
      <c r="C20063">
        <v>3064</v>
      </c>
      <c r="D20063" t="str">
        <f>"12510021823 "</f>
        <v xml:space="preserve">12510021823 </v>
      </c>
      <c r="E20063" t="s">
        <v>309</v>
      </c>
      <c r="F20063" t="s">
        <v>310</v>
      </c>
      <c r="G20063">
        <v>3.71</v>
      </c>
      <c r="H20063">
        <v>250228</v>
      </c>
      <c r="I20063">
        <v>4369</v>
      </c>
      <c r="J20063" t="s">
        <v>188</v>
      </c>
      <c r="K20063">
        <v>3.71</v>
      </c>
      <c r="L20063">
        <v>0.75</v>
      </c>
      <c r="M20063">
        <v>11900</v>
      </c>
      <c r="N20063" t="s">
        <v>30</v>
      </c>
      <c r="O20063">
        <v>250314</v>
      </c>
      <c r="P20063">
        <v>2.96</v>
      </c>
    </row>
    <row r="20064" spans="1:16" x14ac:dyDescent="0.25">
      <c r="A20064" t="s">
        <v>3296</v>
      </c>
      <c r="B20064" t="s">
        <v>2931</v>
      </c>
      <c r="C20064">
        <v>3068</v>
      </c>
      <c r="D20064" t="str">
        <f>"12510021837 "</f>
        <v xml:space="preserve">12510021837 </v>
      </c>
      <c r="E20064" t="s">
        <v>309</v>
      </c>
      <c r="F20064" t="s">
        <v>310</v>
      </c>
      <c r="G20064">
        <v>7</v>
      </c>
      <c r="H20064">
        <v>250228</v>
      </c>
      <c r="I20064">
        <v>4369</v>
      </c>
      <c r="J20064" t="s">
        <v>188</v>
      </c>
      <c r="K20064">
        <v>7</v>
      </c>
      <c r="L20064">
        <v>1.42</v>
      </c>
      <c r="M20064">
        <v>46557</v>
      </c>
      <c r="N20064" t="s">
        <v>104</v>
      </c>
      <c r="O20064">
        <v>250314</v>
      </c>
      <c r="P20064">
        <v>5.58</v>
      </c>
    </row>
    <row r="20065" spans="1:16" x14ac:dyDescent="0.25">
      <c r="A20065" t="s">
        <v>3296</v>
      </c>
      <c r="B20065" t="s">
        <v>2931</v>
      </c>
      <c r="C20065">
        <v>3073</v>
      </c>
      <c r="D20065" t="str">
        <f>"12510021834 "</f>
        <v xml:space="preserve">12510021834 </v>
      </c>
      <c r="E20065" t="s">
        <v>309</v>
      </c>
      <c r="F20065" t="s">
        <v>310</v>
      </c>
      <c r="G20065">
        <v>3.2</v>
      </c>
      <c r="H20065">
        <v>250228</v>
      </c>
      <c r="I20065">
        <v>4369</v>
      </c>
      <c r="J20065" t="s">
        <v>188</v>
      </c>
      <c r="K20065">
        <v>3.2</v>
      </c>
      <c r="L20065">
        <v>0.65</v>
      </c>
      <c r="M20065">
        <v>13801</v>
      </c>
      <c r="N20065" t="s">
        <v>33</v>
      </c>
      <c r="O20065">
        <v>250314</v>
      </c>
      <c r="P20065">
        <v>2.5499999999999998</v>
      </c>
    </row>
    <row r="20066" spans="1:16" x14ac:dyDescent="0.25">
      <c r="A20066" t="s">
        <v>3296</v>
      </c>
      <c r="B20066" t="s">
        <v>2931</v>
      </c>
      <c r="C20066">
        <v>3074</v>
      </c>
      <c r="D20066" t="str">
        <f t="shared" ref="D20066:D20075" si="344">"12510021827 "</f>
        <v xml:space="preserve">12510021827 </v>
      </c>
      <c r="E20066" t="s">
        <v>309</v>
      </c>
      <c r="F20066" t="s">
        <v>310</v>
      </c>
      <c r="G20066">
        <v>22</v>
      </c>
      <c r="H20066">
        <v>250228</v>
      </c>
      <c r="I20066">
        <v>4369</v>
      </c>
      <c r="J20066" t="s">
        <v>188</v>
      </c>
      <c r="K20066">
        <v>125.5</v>
      </c>
      <c r="L20066">
        <v>4.47</v>
      </c>
      <c r="M20066">
        <v>17131</v>
      </c>
      <c r="N20066" t="s">
        <v>154</v>
      </c>
      <c r="O20066">
        <v>250314</v>
      </c>
      <c r="P20066">
        <v>17.53</v>
      </c>
    </row>
    <row r="20067" spans="1:16" x14ac:dyDescent="0.25">
      <c r="A20067" t="s">
        <v>3296</v>
      </c>
      <c r="B20067" t="s">
        <v>2931</v>
      </c>
      <c r="C20067">
        <v>3074</v>
      </c>
      <c r="D20067" t="str">
        <f t="shared" si="344"/>
        <v xml:space="preserve">12510021827 </v>
      </c>
      <c r="E20067" t="s">
        <v>309</v>
      </c>
      <c r="F20067" t="s">
        <v>310</v>
      </c>
      <c r="G20067">
        <v>13.55</v>
      </c>
      <c r="H20067">
        <v>250228</v>
      </c>
      <c r="I20067">
        <v>4369</v>
      </c>
      <c r="J20067" t="s">
        <v>188</v>
      </c>
      <c r="K20067">
        <v>125.5</v>
      </c>
      <c r="L20067">
        <v>2.75</v>
      </c>
      <c r="M20067">
        <v>17711</v>
      </c>
      <c r="N20067" t="s">
        <v>155</v>
      </c>
      <c r="O20067">
        <v>250314</v>
      </c>
      <c r="P20067">
        <v>10.8</v>
      </c>
    </row>
    <row r="20068" spans="1:16" x14ac:dyDescent="0.25">
      <c r="A20068" t="s">
        <v>3296</v>
      </c>
      <c r="B20068" t="s">
        <v>2931</v>
      </c>
      <c r="C20068">
        <v>3074</v>
      </c>
      <c r="D20068" t="str">
        <f t="shared" si="344"/>
        <v xml:space="preserve">12510021827 </v>
      </c>
      <c r="E20068" t="s">
        <v>309</v>
      </c>
      <c r="F20068" t="s">
        <v>310</v>
      </c>
      <c r="G20068">
        <v>6.78</v>
      </c>
      <c r="H20068">
        <v>250228</v>
      </c>
      <c r="I20068">
        <v>4369</v>
      </c>
      <c r="J20068" t="s">
        <v>188</v>
      </c>
      <c r="K20068">
        <v>125.5</v>
      </c>
      <c r="L20068">
        <v>1.38</v>
      </c>
      <c r="M20068">
        <v>17737</v>
      </c>
      <c r="N20068" t="s">
        <v>156</v>
      </c>
      <c r="O20068">
        <v>250314</v>
      </c>
      <c r="P20068">
        <v>5.4</v>
      </c>
    </row>
    <row r="20069" spans="1:16" x14ac:dyDescent="0.25">
      <c r="A20069" t="s">
        <v>3296</v>
      </c>
      <c r="B20069" t="s">
        <v>2931</v>
      </c>
      <c r="C20069">
        <v>3074</v>
      </c>
      <c r="D20069" t="str">
        <f t="shared" si="344"/>
        <v xml:space="preserve">12510021827 </v>
      </c>
      <c r="E20069" t="s">
        <v>309</v>
      </c>
      <c r="F20069" t="s">
        <v>310</v>
      </c>
      <c r="G20069">
        <v>21.75</v>
      </c>
      <c r="H20069">
        <v>250228</v>
      </c>
      <c r="I20069">
        <v>4369</v>
      </c>
      <c r="J20069" t="s">
        <v>188</v>
      </c>
      <c r="K20069">
        <v>125.5</v>
      </c>
      <c r="L20069">
        <v>4.42</v>
      </c>
      <c r="M20069">
        <v>17737</v>
      </c>
      <c r="N20069" t="s">
        <v>156</v>
      </c>
      <c r="O20069">
        <v>250314</v>
      </c>
      <c r="P20069">
        <v>17.329999999999998</v>
      </c>
    </row>
    <row r="20070" spans="1:16" x14ac:dyDescent="0.25">
      <c r="A20070" t="s">
        <v>3296</v>
      </c>
      <c r="B20070" t="s">
        <v>2931</v>
      </c>
      <c r="C20070">
        <v>3074</v>
      </c>
      <c r="D20070" t="str">
        <f t="shared" si="344"/>
        <v xml:space="preserve">12510021827 </v>
      </c>
      <c r="E20070" t="s">
        <v>309</v>
      </c>
      <c r="F20070" t="s">
        <v>310</v>
      </c>
      <c r="G20070">
        <v>16.75</v>
      </c>
      <c r="H20070">
        <v>250228</v>
      </c>
      <c r="I20070">
        <v>4369</v>
      </c>
      <c r="J20070" t="s">
        <v>188</v>
      </c>
      <c r="K20070">
        <v>125.5</v>
      </c>
      <c r="L20070">
        <v>3.4</v>
      </c>
      <c r="M20070">
        <v>17737</v>
      </c>
      <c r="N20070" t="s">
        <v>156</v>
      </c>
      <c r="O20070">
        <v>250314</v>
      </c>
      <c r="P20070">
        <v>13.35</v>
      </c>
    </row>
    <row r="20071" spans="1:16" x14ac:dyDescent="0.25">
      <c r="A20071" t="s">
        <v>3296</v>
      </c>
      <c r="B20071" t="s">
        <v>2931</v>
      </c>
      <c r="C20071">
        <v>3074</v>
      </c>
      <c r="D20071" t="str">
        <f t="shared" si="344"/>
        <v xml:space="preserve">12510021827 </v>
      </c>
      <c r="E20071" t="s">
        <v>309</v>
      </c>
      <c r="F20071" t="s">
        <v>310</v>
      </c>
      <c r="G20071">
        <v>3.39</v>
      </c>
      <c r="H20071">
        <v>250228</v>
      </c>
      <c r="I20071">
        <v>4369</v>
      </c>
      <c r="J20071" t="s">
        <v>188</v>
      </c>
      <c r="K20071">
        <v>125.5</v>
      </c>
      <c r="L20071">
        <v>0.69</v>
      </c>
      <c r="M20071">
        <v>17912</v>
      </c>
      <c r="N20071" t="s">
        <v>505</v>
      </c>
      <c r="O20071">
        <v>250314</v>
      </c>
      <c r="P20071">
        <v>2.7</v>
      </c>
    </row>
    <row r="20072" spans="1:16" x14ac:dyDescent="0.25">
      <c r="A20072" t="s">
        <v>3296</v>
      </c>
      <c r="B20072" t="s">
        <v>2931</v>
      </c>
      <c r="C20072">
        <v>3074</v>
      </c>
      <c r="D20072" t="str">
        <f t="shared" si="344"/>
        <v xml:space="preserve">12510021827 </v>
      </c>
      <c r="E20072" t="s">
        <v>309</v>
      </c>
      <c r="F20072" t="s">
        <v>310</v>
      </c>
      <c r="G20072">
        <v>3.39</v>
      </c>
      <c r="H20072">
        <v>250228</v>
      </c>
      <c r="I20072">
        <v>4369</v>
      </c>
      <c r="J20072" t="s">
        <v>188</v>
      </c>
      <c r="K20072">
        <v>125.5</v>
      </c>
      <c r="L20072">
        <v>0.69</v>
      </c>
      <c r="M20072">
        <v>17915</v>
      </c>
      <c r="N20072" t="s">
        <v>305</v>
      </c>
      <c r="O20072">
        <v>250314</v>
      </c>
      <c r="P20072">
        <v>2.7</v>
      </c>
    </row>
    <row r="20073" spans="1:16" x14ac:dyDescent="0.25">
      <c r="A20073" t="s">
        <v>3296</v>
      </c>
      <c r="B20073" t="s">
        <v>2931</v>
      </c>
      <c r="C20073">
        <v>3074</v>
      </c>
      <c r="D20073" t="str">
        <f t="shared" si="344"/>
        <v xml:space="preserve">12510021827 </v>
      </c>
      <c r="E20073" t="s">
        <v>309</v>
      </c>
      <c r="F20073" t="s">
        <v>310</v>
      </c>
      <c r="G20073">
        <v>13.65</v>
      </c>
      <c r="H20073">
        <v>250228</v>
      </c>
      <c r="I20073">
        <v>4369</v>
      </c>
      <c r="J20073" t="s">
        <v>188</v>
      </c>
      <c r="K20073">
        <v>125.5</v>
      </c>
      <c r="L20073">
        <v>2.77</v>
      </c>
      <c r="M20073">
        <v>17952</v>
      </c>
      <c r="N20073" t="s">
        <v>157</v>
      </c>
      <c r="O20073">
        <v>250314</v>
      </c>
      <c r="P20073">
        <v>10.88</v>
      </c>
    </row>
    <row r="20074" spans="1:16" x14ac:dyDescent="0.25">
      <c r="A20074" t="s">
        <v>3296</v>
      </c>
      <c r="B20074" t="s">
        <v>2931</v>
      </c>
      <c r="C20074">
        <v>3074</v>
      </c>
      <c r="D20074" t="str">
        <f t="shared" si="344"/>
        <v xml:space="preserve">12510021827 </v>
      </c>
      <c r="E20074" t="s">
        <v>309</v>
      </c>
      <c r="F20074" t="s">
        <v>310</v>
      </c>
      <c r="G20074">
        <v>17.27</v>
      </c>
      <c r="H20074">
        <v>250228</v>
      </c>
      <c r="I20074">
        <v>4369</v>
      </c>
      <c r="J20074" t="s">
        <v>188</v>
      </c>
      <c r="K20074">
        <v>125.5</v>
      </c>
      <c r="L20074">
        <v>3.51</v>
      </c>
      <c r="M20074">
        <v>17971</v>
      </c>
      <c r="N20074" t="s">
        <v>27</v>
      </c>
      <c r="O20074">
        <v>250314</v>
      </c>
      <c r="P20074">
        <v>13.76</v>
      </c>
    </row>
    <row r="20075" spans="1:16" x14ac:dyDescent="0.25">
      <c r="A20075" t="s">
        <v>3296</v>
      </c>
      <c r="B20075" t="s">
        <v>2931</v>
      </c>
      <c r="C20075">
        <v>3074</v>
      </c>
      <c r="D20075" t="str">
        <f t="shared" si="344"/>
        <v xml:space="preserve">12510021827 </v>
      </c>
      <c r="E20075" t="s">
        <v>309</v>
      </c>
      <c r="F20075" t="s">
        <v>310</v>
      </c>
      <c r="G20075">
        <v>6.97</v>
      </c>
      <c r="H20075">
        <v>250228</v>
      </c>
      <c r="I20075">
        <v>4369</v>
      </c>
      <c r="J20075" t="s">
        <v>188</v>
      </c>
      <c r="K20075">
        <v>125.5</v>
      </c>
      <c r="L20075">
        <v>1.42</v>
      </c>
      <c r="M20075">
        <v>17972</v>
      </c>
      <c r="N20075" t="s">
        <v>28</v>
      </c>
      <c r="O20075">
        <v>250314</v>
      </c>
      <c r="P20075">
        <v>5.55</v>
      </c>
    </row>
    <row r="20076" spans="1:16" x14ac:dyDescent="0.25">
      <c r="A20076" t="s">
        <v>3296</v>
      </c>
      <c r="B20076" t="s">
        <v>2931</v>
      </c>
      <c r="C20076">
        <v>3080</v>
      </c>
      <c r="D20076" t="str">
        <f>"12510021831 "</f>
        <v xml:space="preserve">12510021831 </v>
      </c>
      <c r="E20076" t="s">
        <v>309</v>
      </c>
      <c r="F20076" t="s">
        <v>310</v>
      </c>
      <c r="G20076">
        <v>26.92</v>
      </c>
      <c r="H20076">
        <v>250228</v>
      </c>
      <c r="I20076">
        <v>4369</v>
      </c>
      <c r="J20076" t="s">
        <v>188</v>
      </c>
      <c r="K20076">
        <v>26.92</v>
      </c>
      <c r="L20076">
        <v>5.47</v>
      </c>
      <c r="M20076">
        <v>13601</v>
      </c>
      <c r="N20076" t="s">
        <v>115</v>
      </c>
      <c r="O20076">
        <v>250314</v>
      </c>
      <c r="P20076">
        <v>21.45</v>
      </c>
    </row>
    <row r="20077" spans="1:16" x14ac:dyDescent="0.25">
      <c r="A20077" t="s">
        <v>3296</v>
      </c>
      <c r="B20077" t="s">
        <v>2931</v>
      </c>
      <c r="C20077">
        <v>3091</v>
      </c>
      <c r="D20077" t="str">
        <f t="shared" ref="D20077:D20085" si="345">"12510021803 "</f>
        <v xml:space="preserve">12510021803 </v>
      </c>
      <c r="E20077" t="s">
        <v>309</v>
      </c>
      <c r="F20077" t="s">
        <v>310</v>
      </c>
      <c r="G20077">
        <v>6.77</v>
      </c>
      <c r="H20077">
        <v>250228</v>
      </c>
      <c r="I20077">
        <v>4369</v>
      </c>
      <c r="J20077" t="s">
        <v>188</v>
      </c>
      <c r="K20077">
        <v>102.31</v>
      </c>
      <c r="L20077">
        <v>1.38</v>
      </c>
      <c r="M20077">
        <v>14971</v>
      </c>
      <c r="N20077" t="s">
        <v>81</v>
      </c>
      <c r="O20077">
        <v>250314</v>
      </c>
      <c r="P20077">
        <v>5.39</v>
      </c>
    </row>
    <row r="20078" spans="1:16" x14ac:dyDescent="0.25">
      <c r="A20078" t="s">
        <v>3296</v>
      </c>
      <c r="B20078" t="s">
        <v>2931</v>
      </c>
      <c r="C20078">
        <v>3091</v>
      </c>
      <c r="D20078" t="str">
        <f t="shared" si="345"/>
        <v xml:space="preserve">12510021803 </v>
      </c>
      <c r="E20078" t="s">
        <v>309</v>
      </c>
      <c r="F20078" t="s">
        <v>310</v>
      </c>
      <c r="G20078">
        <v>6.59</v>
      </c>
      <c r="H20078">
        <v>250228</v>
      </c>
      <c r="I20078">
        <v>4369</v>
      </c>
      <c r="J20078" t="s">
        <v>188</v>
      </c>
      <c r="K20078">
        <v>102.31</v>
      </c>
      <c r="L20078">
        <v>1.34</v>
      </c>
      <c r="M20078">
        <v>17972</v>
      </c>
      <c r="N20078" t="s">
        <v>28</v>
      </c>
      <c r="O20078">
        <v>250314</v>
      </c>
      <c r="P20078">
        <v>5.25</v>
      </c>
    </row>
    <row r="20079" spans="1:16" x14ac:dyDescent="0.25">
      <c r="A20079" t="s">
        <v>3296</v>
      </c>
      <c r="B20079" t="s">
        <v>2931</v>
      </c>
      <c r="C20079">
        <v>3091</v>
      </c>
      <c r="D20079" t="str">
        <f t="shared" si="345"/>
        <v xml:space="preserve">12510021803 </v>
      </c>
      <c r="E20079" t="s">
        <v>309</v>
      </c>
      <c r="F20079" t="s">
        <v>310</v>
      </c>
      <c r="G20079">
        <v>19.96</v>
      </c>
      <c r="H20079">
        <v>250228</v>
      </c>
      <c r="I20079">
        <v>4369</v>
      </c>
      <c r="J20079" t="s">
        <v>188</v>
      </c>
      <c r="K20079">
        <v>102.31</v>
      </c>
      <c r="L20079">
        <v>4.0599999999999996</v>
      </c>
      <c r="M20079">
        <v>18010</v>
      </c>
      <c r="N20079" t="s">
        <v>36</v>
      </c>
      <c r="O20079">
        <v>250314</v>
      </c>
      <c r="P20079">
        <v>15.9</v>
      </c>
    </row>
    <row r="20080" spans="1:16" x14ac:dyDescent="0.25">
      <c r="A20080" t="s">
        <v>3296</v>
      </c>
      <c r="B20080" t="s">
        <v>2931</v>
      </c>
      <c r="C20080">
        <v>3091</v>
      </c>
      <c r="D20080" t="str">
        <f t="shared" si="345"/>
        <v xml:space="preserve">12510021803 </v>
      </c>
      <c r="E20080" t="s">
        <v>309</v>
      </c>
      <c r="F20080" t="s">
        <v>310</v>
      </c>
      <c r="G20080">
        <v>3.39</v>
      </c>
      <c r="H20080">
        <v>250228</v>
      </c>
      <c r="I20080">
        <v>4369</v>
      </c>
      <c r="J20080" t="s">
        <v>188</v>
      </c>
      <c r="K20080">
        <v>102.31</v>
      </c>
      <c r="L20080">
        <v>0.69</v>
      </c>
      <c r="M20080">
        <v>18120</v>
      </c>
      <c r="N20080" t="s">
        <v>37</v>
      </c>
      <c r="O20080">
        <v>250314</v>
      </c>
      <c r="P20080">
        <v>2.7</v>
      </c>
    </row>
    <row r="20081" spans="1:16" x14ac:dyDescent="0.25">
      <c r="A20081" t="s">
        <v>3296</v>
      </c>
      <c r="B20081" t="s">
        <v>2931</v>
      </c>
      <c r="C20081">
        <v>3091</v>
      </c>
      <c r="D20081" t="str">
        <f t="shared" si="345"/>
        <v xml:space="preserve">12510021803 </v>
      </c>
      <c r="E20081" t="s">
        <v>309</v>
      </c>
      <c r="F20081" t="s">
        <v>310</v>
      </c>
      <c r="G20081">
        <v>10.47</v>
      </c>
      <c r="H20081">
        <v>250228</v>
      </c>
      <c r="I20081">
        <v>4369</v>
      </c>
      <c r="J20081" t="s">
        <v>188</v>
      </c>
      <c r="K20081">
        <v>102.31</v>
      </c>
      <c r="L20081">
        <v>2.13</v>
      </c>
      <c r="M20081">
        <v>18122</v>
      </c>
      <c r="N20081" t="s">
        <v>176</v>
      </c>
      <c r="O20081">
        <v>250314</v>
      </c>
      <c r="P20081">
        <v>8.34</v>
      </c>
    </row>
    <row r="20082" spans="1:16" x14ac:dyDescent="0.25">
      <c r="A20082" t="s">
        <v>3296</v>
      </c>
      <c r="B20082" t="s">
        <v>2931</v>
      </c>
      <c r="C20082">
        <v>3091</v>
      </c>
      <c r="D20082" t="str">
        <f t="shared" si="345"/>
        <v xml:space="preserve">12510021803 </v>
      </c>
      <c r="E20082" t="s">
        <v>309</v>
      </c>
      <c r="F20082" t="s">
        <v>310</v>
      </c>
      <c r="G20082">
        <v>6.4</v>
      </c>
      <c r="H20082">
        <v>250228</v>
      </c>
      <c r="I20082">
        <v>4369</v>
      </c>
      <c r="J20082" t="s">
        <v>188</v>
      </c>
      <c r="K20082">
        <v>102.31</v>
      </c>
      <c r="L20082">
        <v>1.3</v>
      </c>
      <c r="M20082">
        <v>18971</v>
      </c>
      <c r="N20082" t="s">
        <v>38</v>
      </c>
      <c r="O20082">
        <v>250314</v>
      </c>
      <c r="P20082">
        <v>5.0999999999999996</v>
      </c>
    </row>
    <row r="20083" spans="1:16" x14ac:dyDescent="0.25">
      <c r="A20083" t="s">
        <v>3296</v>
      </c>
      <c r="B20083" t="s">
        <v>2931</v>
      </c>
      <c r="C20083">
        <v>3091</v>
      </c>
      <c r="D20083" t="str">
        <f t="shared" si="345"/>
        <v xml:space="preserve">12510021803 </v>
      </c>
      <c r="E20083" t="s">
        <v>309</v>
      </c>
      <c r="F20083" t="s">
        <v>310</v>
      </c>
      <c r="G20083">
        <v>38.630000000000003</v>
      </c>
      <c r="H20083">
        <v>250228</v>
      </c>
      <c r="I20083">
        <v>4369</v>
      </c>
      <c r="J20083" t="s">
        <v>188</v>
      </c>
      <c r="K20083">
        <v>102.31</v>
      </c>
      <c r="L20083">
        <v>7.85</v>
      </c>
      <c r="M20083">
        <v>18972</v>
      </c>
      <c r="N20083" t="s">
        <v>39</v>
      </c>
      <c r="O20083">
        <v>250314</v>
      </c>
      <c r="P20083">
        <v>30.78</v>
      </c>
    </row>
    <row r="20084" spans="1:16" x14ac:dyDescent="0.25">
      <c r="A20084" t="s">
        <v>3296</v>
      </c>
      <c r="B20084" t="s">
        <v>2931</v>
      </c>
      <c r="C20084">
        <v>3091</v>
      </c>
      <c r="D20084" t="str">
        <f t="shared" si="345"/>
        <v xml:space="preserve">12510021803 </v>
      </c>
      <c r="E20084" t="s">
        <v>309</v>
      </c>
      <c r="F20084" t="s">
        <v>310</v>
      </c>
      <c r="G20084">
        <v>3.51</v>
      </c>
      <c r="H20084">
        <v>250228</v>
      </c>
      <c r="I20084">
        <v>4369</v>
      </c>
      <c r="J20084" t="s">
        <v>188</v>
      </c>
      <c r="K20084">
        <v>102.31</v>
      </c>
      <c r="L20084">
        <v>0.71</v>
      </c>
      <c r="M20084">
        <v>49702</v>
      </c>
      <c r="N20084" t="s">
        <v>112</v>
      </c>
      <c r="O20084">
        <v>250314</v>
      </c>
      <c r="P20084">
        <v>2.8</v>
      </c>
    </row>
    <row r="20085" spans="1:16" x14ac:dyDescent="0.25">
      <c r="A20085" t="s">
        <v>3296</v>
      </c>
      <c r="B20085" t="s">
        <v>2931</v>
      </c>
      <c r="C20085">
        <v>3091</v>
      </c>
      <c r="D20085" t="str">
        <f t="shared" si="345"/>
        <v xml:space="preserve">12510021803 </v>
      </c>
      <c r="E20085" t="s">
        <v>309</v>
      </c>
      <c r="F20085" t="s">
        <v>310</v>
      </c>
      <c r="G20085">
        <v>6.59</v>
      </c>
      <c r="H20085">
        <v>250228</v>
      </c>
      <c r="I20085">
        <v>4369</v>
      </c>
      <c r="J20085" t="s">
        <v>188</v>
      </c>
      <c r="K20085">
        <v>102.31</v>
      </c>
      <c r="L20085">
        <v>1.34</v>
      </c>
      <c r="M20085">
        <v>59702</v>
      </c>
      <c r="N20085" t="s">
        <v>45</v>
      </c>
      <c r="O20085">
        <v>250314</v>
      </c>
      <c r="P20085">
        <v>5.25</v>
      </c>
    </row>
    <row r="20086" spans="1:16" x14ac:dyDescent="0.25">
      <c r="A20086" t="s">
        <v>3296</v>
      </c>
      <c r="B20086" t="s">
        <v>2931</v>
      </c>
      <c r="C20086">
        <v>3092</v>
      </c>
      <c r="D20086" t="str">
        <f t="shared" ref="D20086:D20091" si="346">"12510021825 "</f>
        <v xml:space="preserve">12510021825 </v>
      </c>
      <c r="E20086" t="s">
        <v>309</v>
      </c>
      <c r="F20086" t="s">
        <v>310</v>
      </c>
      <c r="G20086">
        <v>3.39</v>
      </c>
      <c r="H20086">
        <v>250228</v>
      </c>
      <c r="I20086">
        <v>4369</v>
      </c>
      <c r="J20086" t="s">
        <v>188</v>
      </c>
      <c r="K20086">
        <v>70.78</v>
      </c>
      <c r="L20086">
        <v>0.69</v>
      </c>
      <c r="M20086">
        <v>17132</v>
      </c>
      <c r="N20086" t="s">
        <v>174</v>
      </c>
      <c r="O20086">
        <v>250314</v>
      </c>
      <c r="P20086">
        <v>2.7</v>
      </c>
    </row>
    <row r="20087" spans="1:16" x14ac:dyDescent="0.25">
      <c r="A20087" t="s">
        <v>3296</v>
      </c>
      <c r="B20087" t="s">
        <v>2931</v>
      </c>
      <c r="C20087">
        <v>3092</v>
      </c>
      <c r="D20087" t="str">
        <f t="shared" si="346"/>
        <v xml:space="preserve">12510021825 </v>
      </c>
      <c r="E20087" t="s">
        <v>309</v>
      </c>
      <c r="F20087" t="s">
        <v>310</v>
      </c>
      <c r="G20087">
        <v>10.17</v>
      </c>
      <c r="H20087">
        <v>250228</v>
      </c>
      <c r="I20087">
        <v>4369</v>
      </c>
      <c r="J20087" t="s">
        <v>188</v>
      </c>
      <c r="K20087">
        <v>70.78</v>
      </c>
      <c r="L20087">
        <v>2.0699999999999998</v>
      </c>
      <c r="M20087">
        <v>17913</v>
      </c>
      <c r="N20087" t="s">
        <v>26</v>
      </c>
      <c r="O20087">
        <v>250314</v>
      </c>
      <c r="P20087">
        <v>8.1</v>
      </c>
    </row>
    <row r="20088" spans="1:16" x14ac:dyDescent="0.25">
      <c r="A20088" t="s">
        <v>3296</v>
      </c>
      <c r="B20088" t="s">
        <v>2931</v>
      </c>
      <c r="C20088">
        <v>3092</v>
      </c>
      <c r="D20088" t="str">
        <f t="shared" si="346"/>
        <v xml:space="preserve">12510021825 </v>
      </c>
      <c r="E20088" t="s">
        <v>309</v>
      </c>
      <c r="F20088" t="s">
        <v>310</v>
      </c>
      <c r="G20088">
        <v>27.11</v>
      </c>
      <c r="H20088">
        <v>250228</v>
      </c>
      <c r="I20088">
        <v>4369</v>
      </c>
      <c r="J20088" t="s">
        <v>188</v>
      </c>
      <c r="K20088">
        <v>70.78</v>
      </c>
      <c r="L20088">
        <v>5.51</v>
      </c>
      <c r="M20088">
        <v>17951</v>
      </c>
      <c r="N20088" t="s">
        <v>207</v>
      </c>
      <c r="O20088">
        <v>250314</v>
      </c>
      <c r="P20088">
        <v>21.6</v>
      </c>
    </row>
    <row r="20089" spans="1:16" x14ac:dyDescent="0.25">
      <c r="A20089" t="s">
        <v>3296</v>
      </c>
      <c r="B20089" t="s">
        <v>2931</v>
      </c>
      <c r="C20089">
        <v>3092</v>
      </c>
      <c r="D20089" t="str">
        <f t="shared" si="346"/>
        <v xml:space="preserve">12510021825 </v>
      </c>
      <c r="E20089" t="s">
        <v>309</v>
      </c>
      <c r="F20089" t="s">
        <v>310</v>
      </c>
      <c r="G20089">
        <v>13.55</v>
      </c>
      <c r="H20089">
        <v>250228</v>
      </c>
      <c r="I20089">
        <v>4369</v>
      </c>
      <c r="J20089" t="s">
        <v>188</v>
      </c>
      <c r="K20089">
        <v>70.78</v>
      </c>
      <c r="L20089">
        <v>2.75</v>
      </c>
      <c r="M20089">
        <v>17971</v>
      </c>
      <c r="N20089" t="s">
        <v>27</v>
      </c>
      <c r="O20089">
        <v>250314</v>
      </c>
      <c r="P20089">
        <v>10.8</v>
      </c>
    </row>
    <row r="20090" spans="1:16" x14ac:dyDescent="0.25">
      <c r="A20090" t="s">
        <v>3296</v>
      </c>
      <c r="B20090" t="s">
        <v>2931</v>
      </c>
      <c r="C20090">
        <v>3092</v>
      </c>
      <c r="D20090" t="str">
        <f t="shared" si="346"/>
        <v xml:space="preserve">12510021825 </v>
      </c>
      <c r="E20090" t="s">
        <v>309</v>
      </c>
      <c r="F20090" t="s">
        <v>310</v>
      </c>
      <c r="G20090">
        <v>6.59</v>
      </c>
      <c r="H20090">
        <v>250228</v>
      </c>
      <c r="I20090">
        <v>4369</v>
      </c>
      <c r="J20090" t="s">
        <v>188</v>
      </c>
      <c r="K20090">
        <v>70.78</v>
      </c>
      <c r="L20090">
        <v>1.34</v>
      </c>
      <c r="M20090">
        <v>17974</v>
      </c>
      <c r="N20090" t="s">
        <v>153</v>
      </c>
      <c r="O20090">
        <v>250314</v>
      </c>
      <c r="P20090">
        <v>5.25</v>
      </c>
    </row>
    <row r="20091" spans="1:16" x14ac:dyDescent="0.25">
      <c r="A20091" t="s">
        <v>3296</v>
      </c>
      <c r="B20091" t="s">
        <v>2931</v>
      </c>
      <c r="C20091">
        <v>3092</v>
      </c>
      <c r="D20091" t="str">
        <f t="shared" si="346"/>
        <v xml:space="preserve">12510021825 </v>
      </c>
      <c r="E20091" t="s">
        <v>309</v>
      </c>
      <c r="F20091" t="s">
        <v>310</v>
      </c>
      <c r="G20091">
        <v>9.9700000000000006</v>
      </c>
      <c r="H20091">
        <v>250228</v>
      </c>
      <c r="I20091">
        <v>4369</v>
      </c>
      <c r="J20091" t="s">
        <v>188</v>
      </c>
      <c r="K20091">
        <v>70.78</v>
      </c>
      <c r="L20091">
        <v>2.0299999999999998</v>
      </c>
      <c r="M20091">
        <v>17975</v>
      </c>
      <c r="N20091" t="s">
        <v>29</v>
      </c>
      <c r="O20091">
        <v>250314</v>
      </c>
      <c r="P20091">
        <v>7.94</v>
      </c>
    </row>
    <row r="20092" spans="1:16" x14ac:dyDescent="0.25">
      <c r="A20092" t="s">
        <v>3296</v>
      </c>
      <c r="B20092" t="s">
        <v>2931</v>
      </c>
      <c r="C20092">
        <v>3093</v>
      </c>
      <c r="D20092" t="str">
        <f t="shared" ref="D20092:D20097" si="347">"12510021818 "</f>
        <v xml:space="preserve">12510021818 </v>
      </c>
      <c r="E20092" t="s">
        <v>309</v>
      </c>
      <c r="F20092" t="s">
        <v>310</v>
      </c>
      <c r="G20092">
        <v>10.17</v>
      </c>
      <c r="H20092">
        <v>250228</v>
      </c>
      <c r="I20092">
        <v>4369</v>
      </c>
      <c r="J20092" t="s">
        <v>188</v>
      </c>
      <c r="K20092">
        <v>43.12</v>
      </c>
      <c r="L20092">
        <v>2.0699999999999998</v>
      </c>
      <c r="M20092">
        <v>43222</v>
      </c>
      <c r="N20092" t="s">
        <v>95</v>
      </c>
      <c r="O20092">
        <v>250314</v>
      </c>
      <c r="P20092">
        <v>8.1</v>
      </c>
    </row>
    <row r="20093" spans="1:16" x14ac:dyDescent="0.25">
      <c r="A20093" t="s">
        <v>3296</v>
      </c>
      <c r="B20093" t="s">
        <v>2931</v>
      </c>
      <c r="C20093">
        <v>3093</v>
      </c>
      <c r="D20093" t="str">
        <f t="shared" si="347"/>
        <v xml:space="preserve">12510021818 </v>
      </c>
      <c r="E20093" t="s">
        <v>309</v>
      </c>
      <c r="F20093" t="s">
        <v>310</v>
      </c>
      <c r="G20093">
        <v>3.95</v>
      </c>
      <c r="H20093">
        <v>250228</v>
      </c>
      <c r="I20093">
        <v>4369</v>
      </c>
      <c r="J20093" t="s">
        <v>188</v>
      </c>
      <c r="K20093">
        <v>43.12</v>
      </c>
      <c r="L20093">
        <v>0.8</v>
      </c>
      <c r="M20093">
        <v>44422</v>
      </c>
      <c r="N20093" t="s">
        <v>97</v>
      </c>
      <c r="O20093">
        <v>250314</v>
      </c>
      <c r="P20093">
        <v>3.15</v>
      </c>
    </row>
    <row r="20094" spans="1:16" x14ac:dyDescent="0.25">
      <c r="A20094" t="s">
        <v>3296</v>
      </c>
      <c r="B20094" t="s">
        <v>2931</v>
      </c>
      <c r="C20094">
        <v>3093</v>
      </c>
      <c r="D20094" t="str">
        <f t="shared" si="347"/>
        <v xml:space="preserve">12510021818 </v>
      </c>
      <c r="E20094" t="s">
        <v>309</v>
      </c>
      <c r="F20094" t="s">
        <v>310</v>
      </c>
      <c r="G20094">
        <v>6.99</v>
      </c>
      <c r="H20094">
        <v>250228</v>
      </c>
      <c r="I20094">
        <v>4369</v>
      </c>
      <c r="J20094" t="s">
        <v>188</v>
      </c>
      <c r="K20094">
        <v>43.12</v>
      </c>
      <c r="L20094">
        <v>1.42</v>
      </c>
      <c r="M20094">
        <v>44423</v>
      </c>
      <c r="N20094" t="s">
        <v>98</v>
      </c>
      <c r="O20094">
        <v>250314</v>
      </c>
      <c r="P20094">
        <v>5.57</v>
      </c>
    </row>
    <row r="20095" spans="1:16" x14ac:dyDescent="0.25">
      <c r="A20095" t="s">
        <v>3296</v>
      </c>
      <c r="B20095" t="s">
        <v>2931</v>
      </c>
      <c r="C20095">
        <v>3093</v>
      </c>
      <c r="D20095" t="str">
        <f t="shared" si="347"/>
        <v xml:space="preserve">12510021818 </v>
      </c>
      <c r="E20095" t="s">
        <v>309</v>
      </c>
      <c r="F20095" t="s">
        <v>310</v>
      </c>
      <c r="G20095">
        <v>3.39</v>
      </c>
      <c r="H20095">
        <v>250228</v>
      </c>
      <c r="I20095">
        <v>4369</v>
      </c>
      <c r="J20095" t="s">
        <v>188</v>
      </c>
      <c r="K20095">
        <v>43.12</v>
      </c>
      <c r="L20095">
        <v>0.69</v>
      </c>
      <c r="M20095">
        <v>44453</v>
      </c>
      <c r="N20095" t="s">
        <v>100</v>
      </c>
      <c r="O20095">
        <v>250314</v>
      </c>
      <c r="P20095">
        <v>2.7</v>
      </c>
    </row>
    <row r="20096" spans="1:16" x14ac:dyDescent="0.25">
      <c r="A20096" t="s">
        <v>3296</v>
      </c>
      <c r="B20096" t="s">
        <v>2931</v>
      </c>
      <c r="C20096">
        <v>3093</v>
      </c>
      <c r="D20096" t="str">
        <f t="shared" si="347"/>
        <v xml:space="preserve">12510021818 </v>
      </c>
      <c r="E20096" t="s">
        <v>309</v>
      </c>
      <c r="F20096" t="s">
        <v>310</v>
      </c>
      <c r="G20096">
        <v>3.39</v>
      </c>
      <c r="H20096">
        <v>250228</v>
      </c>
      <c r="I20096">
        <v>4369</v>
      </c>
      <c r="J20096" t="s">
        <v>188</v>
      </c>
      <c r="K20096">
        <v>43.12</v>
      </c>
      <c r="L20096">
        <v>0.69</v>
      </c>
      <c r="M20096">
        <v>48601</v>
      </c>
      <c r="N20096" t="s">
        <v>107</v>
      </c>
      <c r="O20096">
        <v>250314</v>
      </c>
      <c r="P20096">
        <v>2.7</v>
      </c>
    </row>
    <row r="20097" spans="1:16" x14ac:dyDescent="0.25">
      <c r="A20097" t="s">
        <v>3296</v>
      </c>
      <c r="B20097" t="s">
        <v>2931</v>
      </c>
      <c r="C20097">
        <v>3093</v>
      </c>
      <c r="D20097" t="str">
        <f t="shared" si="347"/>
        <v xml:space="preserve">12510021818 </v>
      </c>
      <c r="E20097" t="s">
        <v>309</v>
      </c>
      <c r="F20097" t="s">
        <v>310</v>
      </c>
      <c r="G20097">
        <v>15.23</v>
      </c>
      <c r="H20097">
        <v>250228</v>
      </c>
      <c r="I20097">
        <v>4369</v>
      </c>
      <c r="J20097" t="s">
        <v>188</v>
      </c>
      <c r="K20097">
        <v>43.12</v>
      </c>
      <c r="L20097">
        <v>0</v>
      </c>
      <c r="M20097">
        <v>49702</v>
      </c>
      <c r="N20097" t="s">
        <v>112</v>
      </c>
      <c r="O20097">
        <v>250314</v>
      </c>
      <c r="P20097">
        <v>15.23</v>
      </c>
    </row>
    <row r="20098" spans="1:16" x14ac:dyDescent="0.25">
      <c r="A20098" t="s">
        <v>3296</v>
      </c>
      <c r="B20098" t="s">
        <v>2931</v>
      </c>
      <c r="C20098">
        <v>3096</v>
      </c>
      <c r="D20098" t="str">
        <f t="shared" ref="D20098:D20108" si="348">"12510021830 "</f>
        <v xml:space="preserve">12510021830 </v>
      </c>
      <c r="E20098" t="s">
        <v>309</v>
      </c>
      <c r="F20098" t="s">
        <v>310</v>
      </c>
      <c r="G20098">
        <v>3.46</v>
      </c>
      <c r="H20098">
        <v>250228</v>
      </c>
      <c r="I20098">
        <v>4369</v>
      </c>
      <c r="J20098" t="s">
        <v>188</v>
      </c>
      <c r="K20098">
        <v>134.87</v>
      </c>
      <c r="L20098">
        <v>0</v>
      </c>
      <c r="M20098">
        <v>13201</v>
      </c>
      <c r="N20098" t="s">
        <v>269</v>
      </c>
      <c r="O20098">
        <v>250314</v>
      </c>
      <c r="P20098">
        <v>3.46</v>
      </c>
    </row>
    <row r="20099" spans="1:16" x14ac:dyDescent="0.25">
      <c r="A20099" t="s">
        <v>3296</v>
      </c>
      <c r="B20099" t="s">
        <v>2931</v>
      </c>
      <c r="C20099">
        <v>3096</v>
      </c>
      <c r="D20099" t="str">
        <f t="shared" si="348"/>
        <v xml:space="preserve">12510021830 </v>
      </c>
      <c r="E20099" t="s">
        <v>309</v>
      </c>
      <c r="F20099" t="s">
        <v>310</v>
      </c>
      <c r="G20099">
        <v>33.700000000000003</v>
      </c>
      <c r="H20099">
        <v>250228</v>
      </c>
      <c r="I20099">
        <v>4369</v>
      </c>
      <c r="J20099" t="s">
        <v>188</v>
      </c>
      <c r="K20099">
        <v>134.87</v>
      </c>
      <c r="L20099">
        <v>6.85</v>
      </c>
      <c r="M20099">
        <v>13401</v>
      </c>
      <c r="N20099" t="s">
        <v>10</v>
      </c>
      <c r="O20099">
        <v>250314</v>
      </c>
      <c r="P20099">
        <v>26.85</v>
      </c>
    </row>
    <row r="20100" spans="1:16" x14ac:dyDescent="0.25">
      <c r="A20100" t="s">
        <v>3296</v>
      </c>
      <c r="B20100" t="s">
        <v>2931</v>
      </c>
      <c r="C20100">
        <v>3096</v>
      </c>
      <c r="D20100" t="str">
        <f t="shared" si="348"/>
        <v xml:space="preserve">12510021830 </v>
      </c>
      <c r="E20100" t="s">
        <v>309</v>
      </c>
      <c r="F20100" t="s">
        <v>310</v>
      </c>
      <c r="G20100">
        <v>6.77</v>
      </c>
      <c r="H20100">
        <v>250228</v>
      </c>
      <c r="I20100">
        <v>4369</v>
      </c>
      <c r="J20100" t="s">
        <v>188</v>
      </c>
      <c r="K20100">
        <v>134.87</v>
      </c>
      <c r="L20100">
        <v>1.38</v>
      </c>
      <c r="M20100">
        <v>13401</v>
      </c>
      <c r="N20100" t="s">
        <v>10</v>
      </c>
      <c r="O20100">
        <v>250314</v>
      </c>
      <c r="P20100">
        <v>5.39</v>
      </c>
    </row>
    <row r="20101" spans="1:16" x14ac:dyDescent="0.25">
      <c r="A20101" t="s">
        <v>3296</v>
      </c>
      <c r="B20101" t="s">
        <v>2931</v>
      </c>
      <c r="C20101">
        <v>3096</v>
      </c>
      <c r="D20101" t="str">
        <f t="shared" si="348"/>
        <v xml:space="preserve">12510021830 </v>
      </c>
      <c r="E20101" t="s">
        <v>309</v>
      </c>
      <c r="F20101" t="s">
        <v>310</v>
      </c>
      <c r="G20101">
        <v>30.64</v>
      </c>
      <c r="H20101">
        <v>250228</v>
      </c>
      <c r="I20101">
        <v>4369</v>
      </c>
      <c r="J20101" t="s">
        <v>188</v>
      </c>
      <c r="K20101">
        <v>134.87</v>
      </c>
      <c r="L20101">
        <v>6.23</v>
      </c>
      <c r="M20101">
        <v>13501</v>
      </c>
      <c r="N20101" t="s">
        <v>66</v>
      </c>
      <c r="O20101">
        <v>250314</v>
      </c>
      <c r="P20101">
        <v>24.41</v>
      </c>
    </row>
    <row r="20102" spans="1:16" x14ac:dyDescent="0.25">
      <c r="A20102" t="s">
        <v>3296</v>
      </c>
      <c r="B20102" t="s">
        <v>2931</v>
      </c>
      <c r="C20102">
        <v>3096</v>
      </c>
      <c r="D20102" t="str">
        <f t="shared" si="348"/>
        <v xml:space="preserve">12510021830 </v>
      </c>
      <c r="E20102" t="s">
        <v>309</v>
      </c>
      <c r="F20102" t="s">
        <v>310</v>
      </c>
      <c r="G20102">
        <v>3.38</v>
      </c>
      <c r="H20102">
        <v>250228</v>
      </c>
      <c r="I20102">
        <v>4369</v>
      </c>
      <c r="J20102" t="s">
        <v>188</v>
      </c>
      <c r="K20102">
        <v>134.87</v>
      </c>
      <c r="L20102">
        <v>0.69</v>
      </c>
      <c r="M20102">
        <v>13561</v>
      </c>
      <c r="N20102" t="s">
        <v>241</v>
      </c>
      <c r="O20102">
        <v>250314</v>
      </c>
      <c r="P20102">
        <v>2.69</v>
      </c>
    </row>
    <row r="20103" spans="1:16" x14ac:dyDescent="0.25">
      <c r="A20103" t="s">
        <v>3296</v>
      </c>
      <c r="B20103" t="s">
        <v>2931</v>
      </c>
      <c r="C20103">
        <v>3096</v>
      </c>
      <c r="D20103" t="str">
        <f t="shared" si="348"/>
        <v xml:space="preserve">12510021830 </v>
      </c>
      <c r="E20103" t="s">
        <v>309</v>
      </c>
      <c r="F20103" t="s">
        <v>310</v>
      </c>
      <c r="G20103">
        <v>3.38</v>
      </c>
      <c r="H20103">
        <v>250228</v>
      </c>
      <c r="I20103">
        <v>4369</v>
      </c>
      <c r="J20103" t="s">
        <v>188</v>
      </c>
      <c r="K20103">
        <v>134.87</v>
      </c>
      <c r="L20103">
        <v>0.69</v>
      </c>
      <c r="M20103">
        <v>13561</v>
      </c>
      <c r="N20103" t="s">
        <v>241</v>
      </c>
      <c r="O20103">
        <v>250314</v>
      </c>
      <c r="P20103">
        <v>2.69</v>
      </c>
    </row>
    <row r="20104" spans="1:16" x14ac:dyDescent="0.25">
      <c r="A20104" t="s">
        <v>3296</v>
      </c>
      <c r="B20104" t="s">
        <v>2931</v>
      </c>
      <c r="C20104">
        <v>3096</v>
      </c>
      <c r="D20104" t="str">
        <f t="shared" si="348"/>
        <v xml:space="preserve">12510021830 </v>
      </c>
      <c r="E20104" t="s">
        <v>309</v>
      </c>
      <c r="F20104" t="s">
        <v>310</v>
      </c>
      <c r="G20104">
        <v>3.38</v>
      </c>
      <c r="H20104">
        <v>250228</v>
      </c>
      <c r="I20104">
        <v>4369</v>
      </c>
      <c r="J20104" t="s">
        <v>188</v>
      </c>
      <c r="K20104">
        <v>134.87</v>
      </c>
      <c r="L20104">
        <v>0.69</v>
      </c>
      <c r="M20104">
        <v>13601</v>
      </c>
      <c r="N20104" t="s">
        <v>115</v>
      </c>
      <c r="O20104">
        <v>250314</v>
      </c>
      <c r="P20104">
        <v>2.69</v>
      </c>
    </row>
    <row r="20105" spans="1:16" x14ac:dyDescent="0.25">
      <c r="A20105" t="s">
        <v>3296</v>
      </c>
      <c r="B20105" t="s">
        <v>2931</v>
      </c>
      <c r="C20105">
        <v>3096</v>
      </c>
      <c r="D20105" t="str">
        <f t="shared" si="348"/>
        <v xml:space="preserve">12510021830 </v>
      </c>
      <c r="E20105" t="s">
        <v>309</v>
      </c>
      <c r="F20105" t="s">
        <v>310</v>
      </c>
      <c r="G20105">
        <v>3.38</v>
      </c>
      <c r="H20105">
        <v>250228</v>
      </c>
      <c r="I20105">
        <v>4369</v>
      </c>
      <c r="J20105" t="s">
        <v>188</v>
      </c>
      <c r="K20105">
        <v>134.87</v>
      </c>
      <c r="L20105">
        <v>0.69</v>
      </c>
      <c r="M20105">
        <v>13661</v>
      </c>
      <c r="N20105" t="s">
        <v>243</v>
      </c>
      <c r="O20105">
        <v>250314</v>
      </c>
      <c r="P20105">
        <v>2.69</v>
      </c>
    </row>
    <row r="20106" spans="1:16" x14ac:dyDescent="0.25">
      <c r="A20106" t="s">
        <v>3296</v>
      </c>
      <c r="B20106" t="s">
        <v>2931</v>
      </c>
      <c r="C20106">
        <v>3096</v>
      </c>
      <c r="D20106" t="str">
        <f t="shared" si="348"/>
        <v xml:space="preserve">12510021830 </v>
      </c>
      <c r="E20106" t="s">
        <v>309</v>
      </c>
      <c r="F20106" t="s">
        <v>310</v>
      </c>
      <c r="G20106">
        <v>16.399999999999999</v>
      </c>
      <c r="H20106">
        <v>250228</v>
      </c>
      <c r="I20106">
        <v>4369</v>
      </c>
      <c r="J20106" t="s">
        <v>188</v>
      </c>
      <c r="K20106">
        <v>134.87</v>
      </c>
      <c r="L20106">
        <v>3.33</v>
      </c>
      <c r="M20106">
        <v>13801</v>
      </c>
      <c r="N20106" t="s">
        <v>33</v>
      </c>
      <c r="O20106">
        <v>250314</v>
      </c>
      <c r="P20106">
        <v>13.07</v>
      </c>
    </row>
    <row r="20107" spans="1:16" x14ac:dyDescent="0.25">
      <c r="A20107" t="s">
        <v>3296</v>
      </c>
      <c r="B20107" t="s">
        <v>2931</v>
      </c>
      <c r="C20107">
        <v>3096</v>
      </c>
      <c r="D20107" t="str">
        <f t="shared" si="348"/>
        <v xml:space="preserve">12510021830 </v>
      </c>
      <c r="E20107" t="s">
        <v>309</v>
      </c>
      <c r="F20107" t="s">
        <v>310</v>
      </c>
      <c r="G20107">
        <v>17</v>
      </c>
      <c r="H20107">
        <v>250228</v>
      </c>
      <c r="I20107">
        <v>4369</v>
      </c>
      <c r="J20107" t="s">
        <v>188</v>
      </c>
      <c r="K20107">
        <v>134.87</v>
      </c>
      <c r="L20107">
        <v>3.45</v>
      </c>
      <c r="M20107">
        <v>13801</v>
      </c>
      <c r="N20107" t="s">
        <v>33</v>
      </c>
      <c r="O20107">
        <v>250314</v>
      </c>
      <c r="P20107">
        <v>13.55</v>
      </c>
    </row>
    <row r="20108" spans="1:16" x14ac:dyDescent="0.25">
      <c r="A20108" t="s">
        <v>3296</v>
      </c>
      <c r="B20108" t="s">
        <v>2931</v>
      </c>
      <c r="C20108">
        <v>3096</v>
      </c>
      <c r="D20108" t="str">
        <f t="shared" si="348"/>
        <v xml:space="preserve">12510021830 </v>
      </c>
      <c r="E20108" t="s">
        <v>309</v>
      </c>
      <c r="F20108" t="s">
        <v>310</v>
      </c>
      <c r="G20108">
        <v>13.38</v>
      </c>
      <c r="H20108">
        <v>250228</v>
      </c>
      <c r="I20108">
        <v>4369</v>
      </c>
      <c r="J20108" t="s">
        <v>188</v>
      </c>
      <c r="K20108">
        <v>134.87</v>
      </c>
      <c r="L20108">
        <v>2.72</v>
      </c>
      <c r="M20108">
        <v>13802</v>
      </c>
      <c r="N20108" t="s">
        <v>34</v>
      </c>
      <c r="O20108">
        <v>250314</v>
      </c>
      <c r="P20108">
        <v>10.66</v>
      </c>
    </row>
    <row r="20109" spans="1:16" x14ac:dyDescent="0.25">
      <c r="A20109" t="s">
        <v>3296</v>
      </c>
      <c r="B20109" t="s">
        <v>2931</v>
      </c>
      <c r="C20109">
        <v>3101</v>
      </c>
      <c r="D20109" t="str">
        <f>"12510021816 "</f>
        <v xml:space="preserve">12510021816 </v>
      </c>
      <c r="E20109" t="s">
        <v>309</v>
      </c>
      <c r="F20109" t="s">
        <v>310</v>
      </c>
      <c r="G20109">
        <v>17.71</v>
      </c>
      <c r="H20109">
        <v>250228</v>
      </c>
      <c r="I20109">
        <v>4369</v>
      </c>
      <c r="J20109" t="s">
        <v>188</v>
      </c>
      <c r="K20109">
        <v>32.92</v>
      </c>
      <c r="L20109">
        <v>3.6</v>
      </c>
      <c r="M20109">
        <v>46554</v>
      </c>
      <c r="N20109" t="s">
        <v>102</v>
      </c>
      <c r="O20109">
        <v>250314</v>
      </c>
      <c r="P20109">
        <v>14.11</v>
      </c>
    </row>
    <row r="20110" spans="1:16" x14ac:dyDescent="0.25">
      <c r="A20110" t="s">
        <v>3296</v>
      </c>
      <c r="B20110" t="s">
        <v>2931</v>
      </c>
      <c r="C20110">
        <v>3101</v>
      </c>
      <c r="D20110" t="str">
        <f>"12510021816 "</f>
        <v xml:space="preserve">12510021816 </v>
      </c>
      <c r="E20110" t="s">
        <v>309</v>
      </c>
      <c r="F20110" t="s">
        <v>310</v>
      </c>
      <c r="G20110">
        <v>15.21</v>
      </c>
      <c r="H20110">
        <v>250228</v>
      </c>
      <c r="I20110">
        <v>4369</v>
      </c>
      <c r="J20110" t="s">
        <v>188</v>
      </c>
      <c r="K20110">
        <v>32.92</v>
      </c>
      <c r="L20110">
        <v>3.09</v>
      </c>
      <c r="M20110">
        <v>46554</v>
      </c>
      <c r="N20110" t="s">
        <v>102</v>
      </c>
      <c r="O20110">
        <v>250314</v>
      </c>
      <c r="P20110">
        <v>12.12</v>
      </c>
    </row>
    <row r="20111" spans="1:16" x14ac:dyDescent="0.25">
      <c r="A20111" t="s">
        <v>3296</v>
      </c>
      <c r="B20111" t="s">
        <v>2931</v>
      </c>
      <c r="C20111">
        <v>3109</v>
      </c>
      <c r="D20111" t="str">
        <f t="shared" ref="D20111:D20119" si="349">"12510021811 "</f>
        <v xml:space="preserve">12510021811 </v>
      </c>
      <c r="E20111" t="s">
        <v>309</v>
      </c>
      <c r="F20111" t="s">
        <v>310</v>
      </c>
      <c r="G20111">
        <v>6.95</v>
      </c>
      <c r="H20111">
        <v>250228</v>
      </c>
      <c r="I20111">
        <v>4369</v>
      </c>
      <c r="J20111" t="s">
        <v>188</v>
      </c>
      <c r="K20111">
        <v>50.64</v>
      </c>
      <c r="L20111">
        <v>1.41</v>
      </c>
      <c r="M20111">
        <v>13901</v>
      </c>
      <c r="N20111" t="s">
        <v>116</v>
      </c>
      <c r="O20111">
        <v>250314</v>
      </c>
      <c r="P20111">
        <v>5.54</v>
      </c>
    </row>
    <row r="20112" spans="1:16" x14ac:dyDescent="0.25">
      <c r="A20112" t="s">
        <v>3296</v>
      </c>
      <c r="B20112" t="s">
        <v>2931</v>
      </c>
      <c r="C20112">
        <v>3109</v>
      </c>
      <c r="D20112" t="str">
        <f t="shared" si="349"/>
        <v xml:space="preserve">12510021811 </v>
      </c>
      <c r="E20112" t="s">
        <v>309</v>
      </c>
      <c r="F20112" t="s">
        <v>310</v>
      </c>
      <c r="G20112">
        <v>3.39</v>
      </c>
      <c r="H20112">
        <v>250228</v>
      </c>
      <c r="I20112">
        <v>4369</v>
      </c>
      <c r="J20112" t="s">
        <v>188</v>
      </c>
      <c r="K20112">
        <v>50.64</v>
      </c>
      <c r="L20112">
        <v>0.69</v>
      </c>
      <c r="M20112">
        <v>13901</v>
      </c>
      <c r="N20112" t="s">
        <v>116</v>
      </c>
      <c r="O20112">
        <v>250314</v>
      </c>
      <c r="P20112">
        <v>2.7</v>
      </c>
    </row>
    <row r="20113" spans="1:16" x14ac:dyDescent="0.25">
      <c r="A20113" t="s">
        <v>3296</v>
      </c>
      <c r="B20113" t="s">
        <v>2931</v>
      </c>
      <c r="C20113">
        <v>3109</v>
      </c>
      <c r="D20113" t="str">
        <f t="shared" si="349"/>
        <v xml:space="preserve">12510021811 </v>
      </c>
      <c r="E20113" t="s">
        <v>309</v>
      </c>
      <c r="F20113" t="s">
        <v>310</v>
      </c>
      <c r="G20113">
        <v>3.39</v>
      </c>
      <c r="H20113">
        <v>250228</v>
      </c>
      <c r="I20113">
        <v>4369</v>
      </c>
      <c r="J20113" t="s">
        <v>188</v>
      </c>
      <c r="K20113">
        <v>50.64</v>
      </c>
      <c r="L20113">
        <v>0.69</v>
      </c>
      <c r="M20113">
        <v>13901</v>
      </c>
      <c r="N20113" t="s">
        <v>116</v>
      </c>
      <c r="O20113">
        <v>250314</v>
      </c>
      <c r="P20113">
        <v>2.7</v>
      </c>
    </row>
    <row r="20114" spans="1:16" x14ac:dyDescent="0.25">
      <c r="A20114" t="s">
        <v>3296</v>
      </c>
      <c r="B20114" t="s">
        <v>2931</v>
      </c>
      <c r="C20114">
        <v>3109</v>
      </c>
      <c r="D20114" t="str">
        <f t="shared" si="349"/>
        <v xml:space="preserve">12510021811 </v>
      </c>
      <c r="E20114" t="s">
        <v>309</v>
      </c>
      <c r="F20114" t="s">
        <v>310</v>
      </c>
      <c r="G20114">
        <v>3.39</v>
      </c>
      <c r="H20114">
        <v>250228</v>
      </c>
      <c r="I20114">
        <v>4369</v>
      </c>
      <c r="J20114" t="s">
        <v>188</v>
      </c>
      <c r="K20114">
        <v>50.64</v>
      </c>
      <c r="L20114">
        <v>0.69</v>
      </c>
      <c r="M20114">
        <v>13901</v>
      </c>
      <c r="N20114" t="s">
        <v>116</v>
      </c>
      <c r="O20114">
        <v>250314</v>
      </c>
      <c r="P20114">
        <v>2.7</v>
      </c>
    </row>
    <row r="20115" spans="1:16" x14ac:dyDescent="0.25">
      <c r="A20115" t="s">
        <v>3296</v>
      </c>
      <c r="B20115" t="s">
        <v>2931</v>
      </c>
      <c r="C20115">
        <v>3109</v>
      </c>
      <c r="D20115" t="str">
        <f t="shared" si="349"/>
        <v xml:space="preserve">12510021811 </v>
      </c>
      <c r="E20115" t="s">
        <v>309</v>
      </c>
      <c r="F20115" t="s">
        <v>310</v>
      </c>
      <c r="G20115">
        <v>3.38</v>
      </c>
      <c r="H20115">
        <v>250228</v>
      </c>
      <c r="I20115">
        <v>4369</v>
      </c>
      <c r="J20115" t="s">
        <v>188</v>
      </c>
      <c r="K20115">
        <v>50.64</v>
      </c>
      <c r="L20115">
        <v>0.69</v>
      </c>
      <c r="M20115">
        <v>13901</v>
      </c>
      <c r="N20115" t="s">
        <v>116</v>
      </c>
      <c r="O20115">
        <v>250314</v>
      </c>
      <c r="P20115">
        <v>2.69</v>
      </c>
    </row>
    <row r="20116" spans="1:16" x14ac:dyDescent="0.25">
      <c r="A20116" t="s">
        <v>3296</v>
      </c>
      <c r="B20116" t="s">
        <v>2931</v>
      </c>
      <c r="C20116">
        <v>3109</v>
      </c>
      <c r="D20116" t="str">
        <f t="shared" si="349"/>
        <v xml:space="preserve">12510021811 </v>
      </c>
      <c r="E20116" t="s">
        <v>309</v>
      </c>
      <c r="F20116" t="s">
        <v>310</v>
      </c>
      <c r="G20116">
        <v>3.39</v>
      </c>
      <c r="H20116">
        <v>250228</v>
      </c>
      <c r="I20116">
        <v>4369</v>
      </c>
      <c r="J20116" t="s">
        <v>188</v>
      </c>
      <c r="K20116">
        <v>50.64</v>
      </c>
      <c r="L20116">
        <v>0.69</v>
      </c>
      <c r="M20116">
        <v>13901</v>
      </c>
      <c r="N20116" t="s">
        <v>116</v>
      </c>
      <c r="O20116">
        <v>250314</v>
      </c>
      <c r="P20116">
        <v>2.7</v>
      </c>
    </row>
    <row r="20117" spans="1:16" x14ac:dyDescent="0.25">
      <c r="A20117" t="s">
        <v>3296</v>
      </c>
      <c r="B20117" t="s">
        <v>2931</v>
      </c>
      <c r="C20117">
        <v>3109</v>
      </c>
      <c r="D20117" t="str">
        <f t="shared" si="349"/>
        <v xml:space="preserve">12510021811 </v>
      </c>
      <c r="E20117" t="s">
        <v>309</v>
      </c>
      <c r="F20117" t="s">
        <v>310</v>
      </c>
      <c r="G20117">
        <v>3.39</v>
      </c>
      <c r="H20117">
        <v>250228</v>
      </c>
      <c r="I20117">
        <v>4369</v>
      </c>
      <c r="J20117" t="s">
        <v>188</v>
      </c>
      <c r="K20117">
        <v>50.64</v>
      </c>
      <c r="L20117">
        <v>0.69</v>
      </c>
      <c r="M20117">
        <v>13901</v>
      </c>
      <c r="N20117" t="s">
        <v>116</v>
      </c>
      <c r="O20117">
        <v>250314</v>
      </c>
      <c r="P20117">
        <v>2.7</v>
      </c>
    </row>
    <row r="20118" spans="1:16" x14ac:dyDescent="0.25">
      <c r="A20118" t="s">
        <v>3296</v>
      </c>
      <c r="B20118" t="s">
        <v>2931</v>
      </c>
      <c r="C20118">
        <v>3109</v>
      </c>
      <c r="D20118" t="str">
        <f t="shared" si="349"/>
        <v xml:space="preserve">12510021811 </v>
      </c>
      <c r="E20118" t="s">
        <v>309</v>
      </c>
      <c r="F20118" t="s">
        <v>310</v>
      </c>
      <c r="G20118">
        <v>11.06</v>
      </c>
      <c r="H20118">
        <v>250228</v>
      </c>
      <c r="I20118">
        <v>4369</v>
      </c>
      <c r="J20118" t="s">
        <v>188</v>
      </c>
      <c r="K20118">
        <v>50.64</v>
      </c>
      <c r="L20118">
        <v>2.25</v>
      </c>
      <c r="M20118">
        <v>13940</v>
      </c>
      <c r="N20118" t="s">
        <v>14</v>
      </c>
      <c r="O20118">
        <v>250314</v>
      </c>
      <c r="P20118">
        <v>8.81</v>
      </c>
    </row>
    <row r="20119" spans="1:16" x14ac:dyDescent="0.25">
      <c r="A20119" t="s">
        <v>3296</v>
      </c>
      <c r="B20119" t="s">
        <v>2931</v>
      </c>
      <c r="C20119">
        <v>3109</v>
      </c>
      <c r="D20119" t="str">
        <f t="shared" si="349"/>
        <v xml:space="preserve">12510021811 </v>
      </c>
      <c r="E20119" t="s">
        <v>309</v>
      </c>
      <c r="F20119" t="s">
        <v>310</v>
      </c>
      <c r="G20119">
        <v>12.3</v>
      </c>
      <c r="H20119">
        <v>250228</v>
      </c>
      <c r="I20119">
        <v>4369</v>
      </c>
      <c r="J20119" t="s">
        <v>188</v>
      </c>
      <c r="K20119">
        <v>50.64</v>
      </c>
      <c r="L20119">
        <v>2.5</v>
      </c>
      <c r="M20119">
        <v>18122</v>
      </c>
      <c r="N20119" t="s">
        <v>176</v>
      </c>
      <c r="O20119">
        <v>250314</v>
      </c>
      <c r="P20119">
        <v>9.8000000000000007</v>
      </c>
    </row>
    <row r="20120" spans="1:16" x14ac:dyDescent="0.25">
      <c r="A20120" t="s">
        <v>3296</v>
      </c>
      <c r="B20120" t="s">
        <v>2931</v>
      </c>
      <c r="C20120">
        <v>3114</v>
      </c>
      <c r="D20120" t="str">
        <f>"12510021821 "</f>
        <v xml:space="preserve">12510021821 </v>
      </c>
      <c r="E20120" t="s">
        <v>309</v>
      </c>
      <c r="F20120" t="s">
        <v>310</v>
      </c>
      <c r="G20120">
        <v>6.95</v>
      </c>
      <c r="H20120">
        <v>250228</v>
      </c>
      <c r="I20120">
        <v>4369</v>
      </c>
      <c r="J20120" t="s">
        <v>188</v>
      </c>
      <c r="K20120">
        <v>6.95</v>
      </c>
      <c r="L20120">
        <v>1.41</v>
      </c>
      <c r="M20120">
        <v>49112</v>
      </c>
      <c r="N20120" t="s">
        <v>109</v>
      </c>
      <c r="O20120">
        <v>250314</v>
      </c>
      <c r="P20120">
        <v>5.54</v>
      </c>
    </row>
    <row r="20121" spans="1:16" x14ac:dyDescent="0.25">
      <c r="A20121" t="s">
        <v>3296</v>
      </c>
      <c r="B20121" t="s">
        <v>2931</v>
      </c>
      <c r="C20121">
        <v>3126</v>
      </c>
      <c r="D20121" t="str">
        <f>"12510021812 "</f>
        <v xml:space="preserve">12510021812 </v>
      </c>
      <c r="E20121" t="s">
        <v>309</v>
      </c>
      <c r="F20121" t="s">
        <v>310</v>
      </c>
      <c r="G20121">
        <v>27.8</v>
      </c>
      <c r="H20121">
        <v>250228</v>
      </c>
      <c r="I20121">
        <v>4369</v>
      </c>
      <c r="J20121" t="s">
        <v>188</v>
      </c>
      <c r="K20121">
        <v>27.8</v>
      </c>
      <c r="L20121">
        <v>5.65</v>
      </c>
      <c r="M20121">
        <v>49501</v>
      </c>
      <c r="N20121" t="s">
        <v>110</v>
      </c>
      <c r="O20121">
        <v>250314</v>
      </c>
      <c r="P20121">
        <v>22.15</v>
      </c>
    </row>
    <row r="20122" spans="1:16" x14ac:dyDescent="0.25">
      <c r="A20122" t="s">
        <v>3296</v>
      </c>
      <c r="B20122" t="s">
        <v>2931</v>
      </c>
      <c r="C20122">
        <v>3127</v>
      </c>
      <c r="D20122" t="str">
        <f t="shared" ref="D20122:D20129" si="350">"12510021802 "</f>
        <v xml:space="preserve">12510021802 </v>
      </c>
      <c r="E20122" t="s">
        <v>309</v>
      </c>
      <c r="F20122" t="s">
        <v>310</v>
      </c>
      <c r="G20122">
        <v>3.39</v>
      </c>
      <c r="H20122">
        <v>250228</v>
      </c>
      <c r="I20122">
        <v>4369</v>
      </c>
      <c r="J20122" t="s">
        <v>188</v>
      </c>
      <c r="K20122">
        <v>78.16</v>
      </c>
      <c r="L20122">
        <v>0.69</v>
      </c>
      <c r="M20122">
        <v>11001</v>
      </c>
      <c r="N20122" t="s">
        <v>93</v>
      </c>
      <c r="O20122">
        <v>250314</v>
      </c>
      <c r="P20122">
        <v>2.7</v>
      </c>
    </row>
    <row r="20123" spans="1:16" x14ac:dyDescent="0.25">
      <c r="A20123" t="s">
        <v>3296</v>
      </c>
      <c r="B20123" t="s">
        <v>2931</v>
      </c>
      <c r="C20123">
        <v>3127</v>
      </c>
      <c r="D20123" t="str">
        <f t="shared" si="350"/>
        <v xml:space="preserve">12510021802 </v>
      </c>
      <c r="E20123" t="s">
        <v>309</v>
      </c>
      <c r="F20123" t="s">
        <v>310</v>
      </c>
      <c r="G20123">
        <v>17.78</v>
      </c>
      <c r="H20123">
        <v>250228</v>
      </c>
      <c r="I20123">
        <v>4369</v>
      </c>
      <c r="J20123" t="s">
        <v>188</v>
      </c>
      <c r="K20123">
        <v>78.16</v>
      </c>
      <c r="L20123">
        <v>0</v>
      </c>
      <c r="M20123">
        <v>11001</v>
      </c>
      <c r="N20123" t="s">
        <v>93</v>
      </c>
      <c r="O20123">
        <v>250314</v>
      </c>
      <c r="P20123">
        <v>17.78</v>
      </c>
    </row>
    <row r="20124" spans="1:16" x14ac:dyDescent="0.25">
      <c r="A20124" t="s">
        <v>3296</v>
      </c>
      <c r="B20124" t="s">
        <v>2931</v>
      </c>
      <c r="C20124">
        <v>3127</v>
      </c>
      <c r="D20124" t="str">
        <f t="shared" si="350"/>
        <v xml:space="preserve">12510021802 </v>
      </c>
      <c r="E20124" t="s">
        <v>309</v>
      </c>
      <c r="F20124" t="s">
        <v>310</v>
      </c>
      <c r="G20124">
        <v>1.23</v>
      </c>
      <c r="H20124">
        <v>250228</v>
      </c>
      <c r="I20124">
        <v>4369</v>
      </c>
      <c r="J20124" t="s">
        <v>188</v>
      </c>
      <c r="K20124">
        <v>78.16</v>
      </c>
      <c r="L20124">
        <v>0.25</v>
      </c>
      <c r="M20124">
        <v>11401</v>
      </c>
      <c r="N20124" t="s">
        <v>91</v>
      </c>
      <c r="O20124">
        <v>250314</v>
      </c>
      <c r="P20124">
        <v>0.98</v>
      </c>
    </row>
    <row r="20125" spans="1:16" x14ac:dyDescent="0.25">
      <c r="A20125" t="s">
        <v>3296</v>
      </c>
      <c r="B20125" t="s">
        <v>2931</v>
      </c>
      <c r="C20125">
        <v>3127</v>
      </c>
      <c r="D20125" t="str">
        <f t="shared" si="350"/>
        <v xml:space="preserve">12510021802 </v>
      </c>
      <c r="E20125" t="s">
        <v>309</v>
      </c>
      <c r="F20125" t="s">
        <v>310</v>
      </c>
      <c r="G20125">
        <v>10.17</v>
      </c>
      <c r="H20125">
        <v>250228</v>
      </c>
      <c r="I20125">
        <v>4369</v>
      </c>
      <c r="J20125" t="s">
        <v>188</v>
      </c>
      <c r="K20125">
        <v>78.16</v>
      </c>
      <c r="L20125">
        <v>2.0699999999999998</v>
      </c>
      <c r="M20125">
        <v>11501</v>
      </c>
      <c r="N20125" t="s">
        <v>13</v>
      </c>
      <c r="O20125">
        <v>250314</v>
      </c>
      <c r="P20125">
        <v>8.1</v>
      </c>
    </row>
    <row r="20126" spans="1:16" x14ac:dyDescent="0.25">
      <c r="A20126" t="s">
        <v>3296</v>
      </c>
      <c r="B20126" t="s">
        <v>2931</v>
      </c>
      <c r="C20126">
        <v>3127</v>
      </c>
      <c r="D20126" t="str">
        <f t="shared" si="350"/>
        <v xml:space="preserve">12510021802 </v>
      </c>
      <c r="E20126" t="s">
        <v>309</v>
      </c>
      <c r="F20126" t="s">
        <v>310</v>
      </c>
      <c r="G20126">
        <v>3.39</v>
      </c>
      <c r="H20126">
        <v>250228</v>
      </c>
      <c r="I20126">
        <v>4369</v>
      </c>
      <c r="J20126" t="s">
        <v>188</v>
      </c>
      <c r="K20126">
        <v>78.16</v>
      </c>
      <c r="L20126">
        <v>0.69</v>
      </c>
      <c r="M20126">
        <v>11701</v>
      </c>
      <c r="N20126" t="s">
        <v>973</v>
      </c>
      <c r="O20126">
        <v>250314</v>
      </c>
      <c r="P20126">
        <v>2.7</v>
      </c>
    </row>
    <row r="20127" spans="1:16" x14ac:dyDescent="0.25">
      <c r="A20127" t="s">
        <v>3296</v>
      </c>
      <c r="B20127" t="s">
        <v>2931</v>
      </c>
      <c r="C20127">
        <v>3127</v>
      </c>
      <c r="D20127" t="str">
        <f t="shared" si="350"/>
        <v xml:space="preserve">12510021802 </v>
      </c>
      <c r="E20127" t="s">
        <v>309</v>
      </c>
      <c r="F20127" t="s">
        <v>310</v>
      </c>
      <c r="G20127">
        <v>6.98</v>
      </c>
      <c r="H20127">
        <v>250228</v>
      </c>
      <c r="I20127">
        <v>4369</v>
      </c>
      <c r="J20127" t="s">
        <v>188</v>
      </c>
      <c r="K20127">
        <v>78.16</v>
      </c>
      <c r="L20127">
        <v>1.42</v>
      </c>
      <c r="M20127">
        <v>11751</v>
      </c>
      <c r="N20127" t="s">
        <v>167</v>
      </c>
      <c r="O20127">
        <v>250314</v>
      </c>
      <c r="P20127">
        <v>5.56</v>
      </c>
    </row>
    <row r="20128" spans="1:16" x14ac:dyDescent="0.25">
      <c r="A20128" t="s">
        <v>3296</v>
      </c>
      <c r="B20128" t="s">
        <v>2931</v>
      </c>
      <c r="C20128">
        <v>3127</v>
      </c>
      <c r="D20128" t="str">
        <f t="shared" si="350"/>
        <v xml:space="preserve">12510021802 </v>
      </c>
      <c r="E20128" t="s">
        <v>309</v>
      </c>
      <c r="F20128" t="s">
        <v>310</v>
      </c>
      <c r="G20128">
        <v>31.12</v>
      </c>
      <c r="H20128">
        <v>250228</v>
      </c>
      <c r="I20128">
        <v>4369</v>
      </c>
      <c r="J20128" t="s">
        <v>188</v>
      </c>
      <c r="K20128">
        <v>78.16</v>
      </c>
      <c r="L20128">
        <v>6.32</v>
      </c>
      <c r="M20128">
        <v>14622</v>
      </c>
      <c r="N20128" t="s">
        <v>77</v>
      </c>
      <c r="O20128">
        <v>250314</v>
      </c>
      <c r="P20128">
        <v>24.8</v>
      </c>
    </row>
    <row r="20129" spans="1:16" x14ac:dyDescent="0.25">
      <c r="A20129" t="s">
        <v>3296</v>
      </c>
      <c r="B20129" t="s">
        <v>2931</v>
      </c>
      <c r="C20129">
        <v>3127</v>
      </c>
      <c r="D20129" t="str">
        <f t="shared" si="350"/>
        <v xml:space="preserve">12510021802 </v>
      </c>
      <c r="E20129" t="s">
        <v>309</v>
      </c>
      <c r="F20129" t="s">
        <v>310</v>
      </c>
      <c r="G20129">
        <v>4.0999999999999996</v>
      </c>
      <c r="H20129">
        <v>250228</v>
      </c>
      <c r="I20129">
        <v>4369</v>
      </c>
      <c r="J20129" t="s">
        <v>188</v>
      </c>
      <c r="K20129">
        <v>78.16</v>
      </c>
      <c r="L20129">
        <v>0.83</v>
      </c>
      <c r="M20129">
        <v>14952</v>
      </c>
      <c r="N20129" t="s">
        <v>213</v>
      </c>
      <c r="O20129">
        <v>250314</v>
      </c>
      <c r="P20129">
        <v>3.27</v>
      </c>
    </row>
    <row r="20130" spans="1:16" x14ac:dyDescent="0.25">
      <c r="A20130" t="s">
        <v>3296</v>
      </c>
      <c r="B20130" t="s">
        <v>2931</v>
      </c>
      <c r="C20130">
        <v>3129</v>
      </c>
      <c r="D20130" t="str">
        <f>"12510021815 "</f>
        <v xml:space="preserve">12510021815 </v>
      </c>
      <c r="E20130" t="s">
        <v>309</v>
      </c>
      <c r="F20130" t="s">
        <v>310</v>
      </c>
      <c r="G20130">
        <v>16.940000000000001</v>
      </c>
      <c r="H20130">
        <v>250228</v>
      </c>
      <c r="I20130">
        <v>4369</v>
      </c>
      <c r="J20130" t="s">
        <v>188</v>
      </c>
      <c r="K20130">
        <v>20.329999999999998</v>
      </c>
      <c r="L20130">
        <v>3.44</v>
      </c>
      <c r="M20130">
        <v>47522</v>
      </c>
      <c r="N20130" t="s">
        <v>106</v>
      </c>
      <c r="O20130">
        <v>250314</v>
      </c>
      <c r="P20130">
        <v>13.5</v>
      </c>
    </row>
    <row r="20131" spans="1:16" x14ac:dyDescent="0.25">
      <c r="A20131" t="s">
        <v>3296</v>
      </c>
      <c r="B20131" t="s">
        <v>2931</v>
      </c>
      <c r="C20131">
        <v>3129</v>
      </c>
      <c r="D20131" t="str">
        <f>"12510021815 "</f>
        <v xml:space="preserve">12510021815 </v>
      </c>
      <c r="E20131" t="s">
        <v>309</v>
      </c>
      <c r="F20131" t="s">
        <v>310</v>
      </c>
      <c r="G20131">
        <v>3.39</v>
      </c>
      <c r="H20131">
        <v>250228</v>
      </c>
      <c r="I20131">
        <v>4369</v>
      </c>
      <c r="J20131" t="s">
        <v>188</v>
      </c>
      <c r="K20131">
        <v>20.329999999999998</v>
      </c>
      <c r="L20131">
        <v>0.69</v>
      </c>
      <c r="M20131">
        <v>49702</v>
      </c>
      <c r="N20131" t="s">
        <v>112</v>
      </c>
      <c r="O20131">
        <v>250314</v>
      </c>
      <c r="P20131">
        <v>2.7</v>
      </c>
    </row>
    <row r="20132" spans="1:16" x14ac:dyDescent="0.25">
      <c r="A20132" t="s">
        <v>3296</v>
      </c>
      <c r="B20132" t="s">
        <v>2931</v>
      </c>
      <c r="C20132">
        <v>3135</v>
      </c>
      <c r="D20132" t="str">
        <f t="shared" ref="D20132:D20141" si="351">"12510021829 "</f>
        <v xml:space="preserve">12510021829 </v>
      </c>
      <c r="E20132" t="s">
        <v>309</v>
      </c>
      <c r="F20132" t="s">
        <v>310</v>
      </c>
      <c r="G20132">
        <v>20.43</v>
      </c>
      <c r="H20132">
        <v>250228</v>
      </c>
      <c r="I20132">
        <v>4369</v>
      </c>
      <c r="J20132" t="s">
        <v>188</v>
      </c>
      <c r="K20132">
        <v>57.81</v>
      </c>
      <c r="L20132">
        <v>4.1500000000000004</v>
      </c>
      <c r="M20132">
        <v>16121</v>
      </c>
      <c r="N20132" t="s">
        <v>127</v>
      </c>
      <c r="O20132">
        <v>250314</v>
      </c>
      <c r="P20132">
        <v>16.28</v>
      </c>
    </row>
    <row r="20133" spans="1:16" x14ac:dyDescent="0.25">
      <c r="A20133" t="s">
        <v>3296</v>
      </c>
      <c r="B20133" t="s">
        <v>2931</v>
      </c>
      <c r="C20133">
        <v>3135</v>
      </c>
      <c r="D20133" t="str">
        <f t="shared" si="351"/>
        <v xml:space="preserve">12510021829 </v>
      </c>
      <c r="E20133" t="s">
        <v>309</v>
      </c>
      <c r="F20133" t="s">
        <v>310</v>
      </c>
      <c r="G20133">
        <v>6.78</v>
      </c>
      <c r="H20133">
        <v>250228</v>
      </c>
      <c r="I20133">
        <v>4369</v>
      </c>
      <c r="J20133" t="s">
        <v>188</v>
      </c>
      <c r="K20133">
        <v>57.81</v>
      </c>
      <c r="L20133">
        <v>1.38</v>
      </c>
      <c r="M20133">
        <v>16322</v>
      </c>
      <c r="N20133" t="s">
        <v>331</v>
      </c>
      <c r="O20133">
        <v>250314</v>
      </c>
      <c r="P20133">
        <v>5.4</v>
      </c>
    </row>
    <row r="20134" spans="1:16" x14ac:dyDescent="0.25">
      <c r="A20134" t="s">
        <v>3296</v>
      </c>
      <c r="B20134" t="s">
        <v>2931</v>
      </c>
      <c r="C20134">
        <v>3135</v>
      </c>
      <c r="D20134" t="str">
        <f t="shared" si="351"/>
        <v xml:space="preserve">12510021829 </v>
      </c>
      <c r="E20134" t="s">
        <v>309</v>
      </c>
      <c r="F20134" t="s">
        <v>310</v>
      </c>
      <c r="G20134">
        <v>3.39</v>
      </c>
      <c r="H20134">
        <v>250228</v>
      </c>
      <c r="I20134">
        <v>4369</v>
      </c>
      <c r="J20134" t="s">
        <v>188</v>
      </c>
      <c r="K20134">
        <v>57.81</v>
      </c>
      <c r="L20134">
        <v>0.69</v>
      </c>
      <c r="M20134">
        <v>16820</v>
      </c>
      <c r="N20134" t="s">
        <v>128</v>
      </c>
      <c r="O20134">
        <v>250314</v>
      </c>
      <c r="P20134">
        <v>2.7</v>
      </c>
    </row>
    <row r="20135" spans="1:16" x14ac:dyDescent="0.25">
      <c r="A20135" t="s">
        <v>3296</v>
      </c>
      <c r="B20135" t="s">
        <v>2931</v>
      </c>
      <c r="C20135">
        <v>3135</v>
      </c>
      <c r="D20135" t="str">
        <f t="shared" si="351"/>
        <v xml:space="preserve">12510021829 </v>
      </c>
      <c r="E20135" t="s">
        <v>309</v>
      </c>
      <c r="F20135" t="s">
        <v>310</v>
      </c>
      <c r="G20135">
        <v>6.78</v>
      </c>
      <c r="H20135">
        <v>250228</v>
      </c>
      <c r="I20135">
        <v>4369</v>
      </c>
      <c r="J20135" t="s">
        <v>188</v>
      </c>
      <c r="K20135">
        <v>57.81</v>
      </c>
      <c r="L20135">
        <v>1.38</v>
      </c>
      <c r="M20135">
        <v>16820</v>
      </c>
      <c r="N20135" t="s">
        <v>128</v>
      </c>
      <c r="O20135">
        <v>250314</v>
      </c>
      <c r="P20135">
        <v>5.4</v>
      </c>
    </row>
    <row r="20136" spans="1:16" x14ac:dyDescent="0.25">
      <c r="A20136" t="s">
        <v>3296</v>
      </c>
      <c r="B20136" t="s">
        <v>2931</v>
      </c>
      <c r="C20136">
        <v>3135</v>
      </c>
      <c r="D20136" t="str">
        <f t="shared" si="351"/>
        <v xml:space="preserve">12510021829 </v>
      </c>
      <c r="E20136" t="s">
        <v>309</v>
      </c>
      <c r="F20136" t="s">
        <v>310</v>
      </c>
      <c r="G20136">
        <v>3.39</v>
      </c>
      <c r="H20136">
        <v>250228</v>
      </c>
      <c r="I20136">
        <v>4369</v>
      </c>
      <c r="J20136" t="s">
        <v>188</v>
      </c>
      <c r="K20136">
        <v>57.81</v>
      </c>
      <c r="L20136">
        <v>0.69</v>
      </c>
      <c r="M20136">
        <v>17862</v>
      </c>
      <c r="N20136" t="s">
        <v>130</v>
      </c>
      <c r="O20136">
        <v>250314</v>
      </c>
      <c r="P20136">
        <v>2.7</v>
      </c>
    </row>
    <row r="20137" spans="1:16" x14ac:dyDescent="0.25">
      <c r="A20137" t="s">
        <v>3296</v>
      </c>
      <c r="B20137" t="s">
        <v>2931</v>
      </c>
      <c r="C20137">
        <v>3135</v>
      </c>
      <c r="D20137" t="str">
        <f t="shared" si="351"/>
        <v xml:space="preserve">12510021829 </v>
      </c>
      <c r="E20137" t="s">
        <v>309</v>
      </c>
      <c r="F20137" t="s">
        <v>310</v>
      </c>
      <c r="G20137">
        <v>3.39</v>
      </c>
      <c r="H20137">
        <v>250228</v>
      </c>
      <c r="I20137">
        <v>4369</v>
      </c>
      <c r="J20137" t="s">
        <v>188</v>
      </c>
      <c r="K20137">
        <v>57.81</v>
      </c>
      <c r="L20137">
        <v>0.69</v>
      </c>
      <c r="M20137">
        <v>17950</v>
      </c>
      <c r="N20137" t="s">
        <v>132</v>
      </c>
      <c r="O20137">
        <v>250314</v>
      </c>
      <c r="P20137">
        <v>2.7</v>
      </c>
    </row>
    <row r="20138" spans="1:16" x14ac:dyDescent="0.25">
      <c r="A20138" t="s">
        <v>3296</v>
      </c>
      <c r="B20138" t="s">
        <v>2931</v>
      </c>
      <c r="C20138">
        <v>3135</v>
      </c>
      <c r="D20138" t="str">
        <f t="shared" si="351"/>
        <v xml:space="preserve">12510021829 </v>
      </c>
      <c r="E20138" t="s">
        <v>309</v>
      </c>
      <c r="F20138" t="s">
        <v>310</v>
      </c>
      <c r="G20138">
        <v>3.43</v>
      </c>
      <c r="H20138">
        <v>250228</v>
      </c>
      <c r="I20138">
        <v>4369</v>
      </c>
      <c r="J20138" t="s">
        <v>188</v>
      </c>
      <c r="K20138">
        <v>57.81</v>
      </c>
      <c r="L20138">
        <v>0.7</v>
      </c>
      <c r="M20138">
        <v>17971</v>
      </c>
      <c r="N20138" t="s">
        <v>27</v>
      </c>
      <c r="O20138">
        <v>250314</v>
      </c>
      <c r="P20138">
        <v>2.73</v>
      </c>
    </row>
    <row r="20139" spans="1:16" x14ac:dyDescent="0.25">
      <c r="A20139" t="s">
        <v>3296</v>
      </c>
      <c r="B20139" t="s">
        <v>2931</v>
      </c>
      <c r="C20139">
        <v>3135</v>
      </c>
      <c r="D20139" t="str">
        <f t="shared" si="351"/>
        <v xml:space="preserve">12510021829 </v>
      </c>
      <c r="E20139" t="s">
        <v>309</v>
      </c>
      <c r="F20139" t="s">
        <v>310</v>
      </c>
      <c r="G20139">
        <v>3.64</v>
      </c>
      <c r="H20139">
        <v>250228</v>
      </c>
      <c r="I20139">
        <v>4369</v>
      </c>
      <c r="J20139" t="s">
        <v>188</v>
      </c>
      <c r="K20139">
        <v>57.81</v>
      </c>
      <c r="L20139">
        <v>0.74</v>
      </c>
      <c r="M20139">
        <v>17972</v>
      </c>
      <c r="N20139" t="s">
        <v>28</v>
      </c>
      <c r="O20139">
        <v>250314</v>
      </c>
      <c r="P20139">
        <v>2.9</v>
      </c>
    </row>
    <row r="20140" spans="1:16" x14ac:dyDescent="0.25">
      <c r="A20140" t="s">
        <v>3296</v>
      </c>
      <c r="B20140" t="s">
        <v>2931</v>
      </c>
      <c r="C20140">
        <v>3135</v>
      </c>
      <c r="D20140" t="str">
        <f t="shared" si="351"/>
        <v xml:space="preserve">12510021829 </v>
      </c>
      <c r="E20140" t="s">
        <v>309</v>
      </c>
      <c r="F20140" t="s">
        <v>310</v>
      </c>
      <c r="G20140">
        <v>3.2</v>
      </c>
      <c r="H20140">
        <v>250228</v>
      </c>
      <c r="I20140">
        <v>4369</v>
      </c>
      <c r="J20140" t="s">
        <v>188</v>
      </c>
      <c r="K20140">
        <v>57.81</v>
      </c>
      <c r="L20140">
        <v>0.65</v>
      </c>
      <c r="M20140">
        <v>17974</v>
      </c>
      <c r="N20140" t="s">
        <v>153</v>
      </c>
      <c r="O20140">
        <v>250314</v>
      </c>
      <c r="P20140">
        <v>2.5499999999999998</v>
      </c>
    </row>
    <row r="20141" spans="1:16" x14ac:dyDescent="0.25">
      <c r="A20141" t="s">
        <v>3296</v>
      </c>
      <c r="B20141" t="s">
        <v>2931</v>
      </c>
      <c r="C20141">
        <v>3135</v>
      </c>
      <c r="D20141" t="str">
        <f t="shared" si="351"/>
        <v xml:space="preserve">12510021829 </v>
      </c>
      <c r="E20141" t="s">
        <v>309</v>
      </c>
      <c r="F20141" t="s">
        <v>310</v>
      </c>
      <c r="G20141">
        <v>3.38</v>
      </c>
      <c r="H20141">
        <v>250228</v>
      </c>
      <c r="I20141">
        <v>4369</v>
      </c>
      <c r="J20141" t="s">
        <v>188</v>
      </c>
      <c r="K20141">
        <v>57.81</v>
      </c>
      <c r="L20141">
        <v>0.69</v>
      </c>
      <c r="M20141">
        <v>17974</v>
      </c>
      <c r="N20141" t="s">
        <v>153</v>
      </c>
      <c r="O20141">
        <v>250314</v>
      </c>
      <c r="P20141">
        <v>2.69</v>
      </c>
    </row>
    <row r="20142" spans="1:16" x14ac:dyDescent="0.25">
      <c r="A20142" t="s">
        <v>3296</v>
      </c>
      <c r="B20142" t="s">
        <v>2931</v>
      </c>
      <c r="C20142">
        <v>3138</v>
      </c>
      <c r="D20142" t="str">
        <f>"12510021819 "</f>
        <v xml:space="preserve">12510021819 </v>
      </c>
      <c r="E20142" t="s">
        <v>309</v>
      </c>
      <c r="F20142" t="s">
        <v>310</v>
      </c>
      <c r="G20142">
        <v>6.78</v>
      </c>
      <c r="H20142">
        <v>250228</v>
      </c>
      <c r="I20142">
        <v>4369</v>
      </c>
      <c r="J20142" t="s">
        <v>188</v>
      </c>
      <c r="K20142">
        <v>6.78</v>
      </c>
      <c r="L20142">
        <v>1.38</v>
      </c>
      <c r="M20142">
        <v>46556</v>
      </c>
      <c r="N20142" t="s">
        <v>458</v>
      </c>
      <c r="O20142">
        <v>250314</v>
      </c>
      <c r="P20142">
        <v>5.4</v>
      </c>
    </row>
    <row r="20143" spans="1:16" x14ac:dyDescent="0.25">
      <c r="A20143" t="s">
        <v>3296</v>
      </c>
      <c r="B20143" t="s">
        <v>2931</v>
      </c>
      <c r="C20143">
        <v>3145</v>
      </c>
      <c r="D20143" t="str">
        <f t="shared" ref="D20143:D20152" si="352">"12510021809 "</f>
        <v xml:space="preserve">12510021809 </v>
      </c>
      <c r="E20143" t="s">
        <v>309</v>
      </c>
      <c r="F20143" t="s">
        <v>310</v>
      </c>
      <c r="G20143">
        <v>3.39</v>
      </c>
      <c r="H20143">
        <v>250228</v>
      </c>
      <c r="I20143">
        <v>4369</v>
      </c>
      <c r="J20143" t="s">
        <v>188</v>
      </c>
      <c r="K20143">
        <v>73.069999999999993</v>
      </c>
      <c r="L20143">
        <v>0.69</v>
      </c>
      <c r="M20143">
        <v>11301</v>
      </c>
      <c r="N20143" t="s">
        <v>92</v>
      </c>
      <c r="O20143">
        <v>250314</v>
      </c>
      <c r="P20143">
        <v>2.7</v>
      </c>
    </row>
    <row r="20144" spans="1:16" x14ac:dyDescent="0.25">
      <c r="A20144" t="s">
        <v>3296</v>
      </c>
      <c r="B20144" t="s">
        <v>2931</v>
      </c>
      <c r="C20144">
        <v>3145</v>
      </c>
      <c r="D20144" t="str">
        <f t="shared" si="352"/>
        <v xml:space="preserve">12510021809 </v>
      </c>
      <c r="E20144" t="s">
        <v>309</v>
      </c>
      <c r="F20144" t="s">
        <v>310</v>
      </c>
      <c r="G20144">
        <v>6.59</v>
      </c>
      <c r="H20144">
        <v>250228</v>
      </c>
      <c r="I20144">
        <v>4369</v>
      </c>
      <c r="J20144" t="s">
        <v>188</v>
      </c>
      <c r="K20144">
        <v>73.069999999999993</v>
      </c>
      <c r="L20144">
        <v>1.34</v>
      </c>
      <c r="M20144">
        <v>11301</v>
      </c>
      <c r="N20144" t="s">
        <v>92</v>
      </c>
      <c r="O20144">
        <v>250314</v>
      </c>
      <c r="P20144">
        <v>5.25</v>
      </c>
    </row>
    <row r="20145" spans="1:16" x14ac:dyDescent="0.25">
      <c r="A20145" t="s">
        <v>3296</v>
      </c>
      <c r="B20145" t="s">
        <v>2931</v>
      </c>
      <c r="C20145">
        <v>3145</v>
      </c>
      <c r="D20145" t="str">
        <f t="shared" si="352"/>
        <v xml:space="preserve">12510021809 </v>
      </c>
      <c r="E20145" t="s">
        <v>309</v>
      </c>
      <c r="F20145" t="s">
        <v>310</v>
      </c>
      <c r="G20145">
        <v>3.46</v>
      </c>
      <c r="H20145">
        <v>250228</v>
      </c>
      <c r="I20145">
        <v>4369</v>
      </c>
      <c r="J20145" t="s">
        <v>188</v>
      </c>
      <c r="K20145">
        <v>73.069999999999993</v>
      </c>
      <c r="L20145">
        <v>0.7</v>
      </c>
      <c r="M20145">
        <v>11900</v>
      </c>
      <c r="N20145" t="s">
        <v>30</v>
      </c>
      <c r="O20145">
        <v>250314</v>
      </c>
      <c r="P20145">
        <v>2.76</v>
      </c>
    </row>
    <row r="20146" spans="1:16" x14ac:dyDescent="0.25">
      <c r="A20146" t="s">
        <v>3296</v>
      </c>
      <c r="B20146" t="s">
        <v>2931</v>
      </c>
      <c r="C20146">
        <v>3145</v>
      </c>
      <c r="D20146" t="str">
        <f t="shared" si="352"/>
        <v xml:space="preserve">12510021809 </v>
      </c>
      <c r="E20146" t="s">
        <v>309</v>
      </c>
      <c r="F20146" t="s">
        <v>310</v>
      </c>
      <c r="G20146">
        <v>6.8</v>
      </c>
      <c r="H20146">
        <v>250228</v>
      </c>
      <c r="I20146">
        <v>4369</v>
      </c>
      <c r="J20146" t="s">
        <v>188</v>
      </c>
      <c r="K20146">
        <v>73.069999999999993</v>
      </c>
      <c r="L20146">
        <v>0</v>
      </c>
      <c r="M20146">
        <v>11901</v>
      </c>
      <c r="N20146" t="s">
        <v>31</v>
      </c>
      <c r="O20146">
        <v>250314</v>
      </c>
      <c r="P20146">
        <v>6.8</v>
      </c>
    </row>
    <row r="20147" spans="1:16" x14ac:dyDescent="0.25">
      <c r="A20147" t="s">
        <v>3296</v>
      </c>
      <c r="B20147" t="s">
        <v>2931</v>
      </c>
      <c r="C20147">
        <v>3145</v>
      </c>
      <c r="D20147" t="str">
        <f t="shared" si="352"/>
        <v xml:space="preserve">12510021809 </v>
      </c>
      <c r="E20147" t="s">
        <v>309</v>
      </c>
      <c r="F20147" t="s">
        <v>310</v>
      </c>
      <c r="G20147">
        <v>14.21</v>
      </c>
      <c r="H20147">
        <v>250228</v>
      </c>
      <c r="I20147">
        <v>4369</v>
      </c>
      <c r="J20147" t="s">
        <v>188</v>
      </c>
      <c r="K20147">
        <v>73.069999999999993</v>
      </c>
      <c r="L20147">
        <v>2.89</v>
      </c>
      <c r="M20147">
        <v>11901</v>
      </c>
      <c r="N20147" t="s">
        <v>31</v>
      </c>
      <c r="O20147">
        <v>250314</v>
      </c>
      <c r="P20147">
        <v>11.32</v>
      </c>
    </row>
    <row r="20148" spans="1:16" x14ac:dyDescent="0.25">
      <c r="A20148" t="s">
        <v>3296</v>
      </c>
      <c r="B20148" t="s">
        <v>2931</v>
      </c>
      <c r="C20148">
        <v>3145</v>
      </c>
      <c r="D20148" t="str">
        <f t="shared" si="352"/>
        <v xml:space="preserve">12510021809 </v>
      </c>
      <c r="E20148" t="s">
        <v>309</v>
      </c>
      <c r="F20148" t="s">
        <v>310</v>
      </c>
      <c r="G20148">
        <v>3.39</v>
      </c>
      <c r="H20148">
        <v>250228</v>
      </c>
      <c r="I20148">
        <v>4369</v>
      </c>
      <c r="J20148" t="s">
        <v>188</v>
      </c>
      <c r="K20148">
        <v>73.069999999999993</v>
      </c>
      <c r="L20148">
        <v>0.69</v>
      </c>
      <c r="M20148">
        <v>11903</v>
      </c>
      <c r="N20148" t="s">
        <v>32</v>
      </c>
      <c r="O20148">
        <v>250314</v>
      </c>
      <c r="P20148">
        <v>2.7</v>
      </c>
    </row>
    <row r="20149" spans="1:16" x14ac:dyDescent="0.25">
      <c r="A20149" t="s">
        <v>3296</v>
      </c>
      <c r="B20149" t="s">
        <v>2931</v>
      </c>
      <c r="C20149">
        <v>3145</v>
      </c>
      <c r="D20149" t="str">
        <f t="shared" si="352"/>
        <v xml:space="preserve">12510021809 </v>
      </c>
      <c r="E20149" t="s">
        <v>309</v>
      </c>
      <c r="F20149" t="s">
        <v>310</v>
      </c>
      <c r="G20149">
        <v>3.39</v>
      </c>
      <c r="H20149">
        <v>250228</v>
      </c>
      <c r="I20149">
        <v>4369</v>
      </c>
      <c r="J20149" t="s">
        <v>188</v>
      </c>
      <c r="K20149">
        <v>73.069999999999993</v>
      </c>
      <c r="L20149">
        <v>0.69</v>
      </c>
      <c r="M20149">
        <v>11903</v>
      </c>
      <c r="N20149" t="s">
        <v>32</v>
      </c>
      <c r="O20149">
        <v>250314</v>
      </c>
      <c r="P20149">
        <v>2.7</v>
      </c>
    </row>
    <row r="20150" spans="1:16" x14ac:dyDescent="0.25">
      <c r="A20150" t="s">
        <v>3296</v>
      </c>
      <c r="B20150" t="s">
        <v>2931</v>
      </c>
      <c r="C20150">
        <v>3145</v>
      </c>
      <c r="D20150" t="str">
        <f t="shared" si="352"/>
        <v xml:space="preserve">12510021809 </v>
      </c>
      <c r="E20150" t="s">
        <v>309</v>
      </c>
      <c r="F20150" t="s">
        <v>310</v>
      </c>
      <c r="G20150">
        <v>8.2799999999999994</v>
      </c>
      <c r="H20150">
        <v>250228</v>
      </c>
      <c r="I20150">
        <v>4369</v>
      </c>
      <c r="J20150" t="s">
        <v>188</v>
      </c>
      <c r="K20150">
        <v>73.069999999999993</v>
      </c>
      <c r="L20150">
        <v>1.68</v>
      </c>
      <c r="M20150">
        <v>11903</v>
      </c>
      <c r="N20150" t="s">
        <v>32</v>
      </c>
      <c r="O20150">
        <v>250314</v>
      </c>
      <c r="P20150">
        <v>6.6</v>
      </c>
    </row>
    <row r="20151" spans="1:16" x14ac:dyDescent="0.25">
      <c r="A20151" t="s">
        <v>3296</v>
      </c>
      <c r="B20151" t="s">
        <v>2931</v>
      </c>
      <c r="C20151">
        <v>3145</v>
      </c>
      <c r="D20151" t="str">
        <f t="shared" si="352"/>
        <v xml:space="preserve">12510021809 </v>
      </c>
      <c r="E20151" t="s">
        <v>309</v>
      </c>
      <c r="F20151" t="s">
        <v>310</v>
      </c>
      <c r="G20151">
        <v>20.170000000000002</v>
      </c>
      <c r="H20151">
        <v>250228</v>
      </c>
      <c r="I20151">
        <v>4369</v>
      </c>
      <c r="J20151" t="s">
        <v>188</v>
      </c>
      <c r="K20151">
        <v>73.069999999999993</v>
      </c>
      <c r="L20151">
        <v>4.0999999999999996</v>
      </c>
      <c r="M20151">
        <v>11903</v>
      </c>
      <c r="N20151" t="s">
        <v>32</v>
      </c>
      <c r="O20151">
        <v>250314</v>
      </c>
      <c r="P20151">
        <v>16.07</v>
      </c>
    </row>
    <row r="20152" spans="1:16" x14ac:dyDescent="0.25">
      <c r="A20152" t="s">
        <v>3296</v>
      </c>
      <c r="B20152" t="s">
        <v>2931</v>
      </c>
      <c r="C20152">
        <v>3145</v>
      </c>
      <c r="D20152" t="str">
        <f t="shared" si="352"/>
        <v xml:space="preserve">12510021809 </v>
      </c>
      <c r="E20152" t="s">
        <v>309</v>
      </c>
      <c r="F20152" t="s">
        <v>310</v>
      </c>
      <c r="G20152">
        <v>3.39</v>
      </c>
      <c r="H20152">
        <v>250228</v>
      </c>
      <c r="I20152">
        <v>4369</v>
      </c>
      <c r="J20152" t="s">
        <v>188</v>
      </c>
      <c r="K20152">
        <v>73.069999999999993</v>
      </c>
      <c r="L20152">
        <v>0.69</v>
      </c>
      <c r="M20152">
        <v>11905</v>
      </c>
      <c r="N20152" t="s">
        <v>643</v>
      </c>
      <c r="O20152">
        <v>250314</v>
      </c>
      <c r="P20152">
        <v>2.7</v>
      </c>
    </row>
    <row r="20153" spans="1:16" x14ac:dyDescent="0.25">
      <c r="A20153" t="s">
        <v>3296</v>
      </c>
      <c r="B20153" t="s">
        <v>2931</v>
      </c>
      <c r="C20153">
        <v>3162</v>
      </c>
      <c r="D20153" t="str">
        <f t="shared" ref="D20153:D20159" si="353">"12510021808 "</f>
        <v xml:space="preserve">12510021808 </v>
      </c>
      <c r="E20153" t="s">
        <v>309</v>
      </c>
      <c r="F20153" t="s">
        <v>310</v>
      </c>
      <c r="G20153">
        <v>23.72</v>
      </c>
      <c r="H20153">
        <v>250228</v>
      </c>
      <c r="I20153">
        <v>4369</v>
      </c>
      <c r="J20153" t="s">
        <v>188</v>
      </c>
      <c r="K20153">
        <v>58.09</v>
      </c>
      <c r="L20153">
        <v>4.82</v>
      </c>
      <c r="M20153">
        <v>54222</v>
      </c>
      <c r="N20153" t="s">
        <v>48</v>
      </c>
      <c r="O20153">
        <v>250314</v>
      </c>
      <c r="P20153">
        <v>18.899999999999999</v>
      </c>
    </row>
    <row r="20154" spans="1:16" x14ac:dyDescent="0.25">
      <c r="A20154" t="s">
        <v>3296</v>
      </c>
      <c r="B20154" t="s">
        <v>2931</v>
      </c>
      <c r="C20154">
        <v>3162</v>
      </c>
      <c r="D20154" t="str">
        <f t="shared" si="353"/>
        <v xml:space="preserve">12510021808 </v>
      </c>
      <c r="E20154" t="s">
        <v>309</v>
      </c>
      <c r="F20154" t="s">
        <v>310</v>
      </c>
      <c r="G20154">
        <v>3.39</v>
      </c>
      <c r="H20154">
        <v>250228</v>
      </c>
      <c r="I20154">
        <v>4369</v>
      </c>
      <c r="J20154" t="s">
        <v>188</v>
      </c>
      <c r="K20154">
        <v>58.09</v>
      </c>
      <c r="L20154">
        <v>0.69</v>
      </c>
      <c r="M20154">
        <v>54251</v>
      </c>
      <c r="N20154" t="s">
        <v>485</v>
      </c>
      <c r="O20154">
        <v>250314</v>
      </c>
      <c r="P20154">
        <v>2.7</v>
      </c>
    </row>
    <row r="20155" spans="1:16" x14ac:dyDescent="0.25">
      <c r="A20155" t="s">
        <v>3296</v>
      </c>
      <c r="B20155" t="s">
        <v>2931</v>
      </c>
      <c r="C20155">
        <v>3162</v>
      </c>
      <c r="D20155" t="str">
        <f t="shared" si="353"/>
        <v xml:space="preserve">12510021808 </v>
      </c>
      <c r="E20155" t="s">
        <v>309</v>
      </c>
      <c r="F20155" t="s">
        <v>310</v>
      </c>
      <c r="G20155">
        <v>3.39</v>
      </c>
      <c r="H20155">
        <v>250228</v>
      </c>
      <c r="I20155">
        <v>4369</v>
      </c>
      <c r="J20155" t="s">
        <v>188</v>
      </c>
      <c r="K20155">
        <v>58.09</v>
      </c>
      <c r="L20155">
        <v>0.69</v>
      </c>
      <c r="M20155">
        <v>54252</v>
      </c>
      <c r="N20155" t="s">
        <v>742</v>
      </c>
      <c r="O20155">
        <v>250314</v>
      </c>
      <c r="P20155">
        <v>2.7</v>
      </c>
    </row>
    <row r="20156" spans="1:16" x14ac:dyDescent="0.25">
      <c r="A20156" t="s">
        <v>3296</v>
      </c>
      <c r="B20156" t="s">
        <v>2931</v>
      </c>
      <c r="C20156">
        <v>3162</v>
      </c>
      <c r="D20156" t="str">
        <f t="shared" si="353"/>
        <v xml:space="preserve">12510021808 </v>
      </c>
      <c r="E20156" t="s">
        <v>309</v>
      </c>
      <c r="F20156" t="s">
        <v>310</v>
      </c>
      <c r="G20156">
        <v>7.18</v>
      </c>
      <c r="H20156">
        <v>250228</v>
      </c>
      <c r="I20156">
        <v>4369</v>
      </c>
      <c r="J20156" t="s">
        <v>188</v>
      </c>
      <c r="K20156">
        <v>58.09</v>
      </c>
      <c r="L20156">
        <v>1.46</v>
      </c>
      <c r="M20156">
        <v>54422</v>
      </c>
      <c r="N20156" t="s">
        <v>49</v>
      </c>
      <c r="O20156">
        <v>250314</v>
      </c>
      <c r="P20156">
        <v>5.72</v>
      </c>
    </row>
    <row r="20157" spans="1:16" x14ac:dyDescent="0.25">
      <c r="A20157" t="s">
        <v>3296</v>
      </c>
      <c r="B20157" t="s">
        <v>2931</v>
      </c>
      <c r="C20157">
        <v>3162</v>
      </c>
      <c r="D20157" t="str">
        <f t="shared" si="353"/>
        <v xml:space="preserve">12510021808 </v>
      </c>
      <c r="E20157" t="s">
        <v>309</v>
      </c>
      <c r="F20157" t="s">
        <v>310</v>
      </c>
      <c r="G20157">
        <v>6.78</v>
      </c>
      <c r="H20157">
        <v>250228</v>
      </c>
      <c r="I20157">
        <v>4369</v>
      </c>
      <c r="J20157" t="s">
        <v>188</v>
      </c>
      <c r="K20157">
        <v>58.09</v>
      </c>
      <c r="L20157">
        <v>1.38</v>
      </c>
      <c r="M20157">
        <v>54451</v>
      </c>
      <c r="N20157" t="s">
        <v>218</v>
      </c>
      <c r="O20157">
        <v>250314</v>
      </c>
      <c r="P20157">
        <v>5.4</v>
      </c>
    </row>
    <row r="20158" spans="1:16" x14ac:dyDescent="0.25">
      <c r="A20158" t="s">
        <v>3296</v>
      </c>
      <c r="B20158" t="s">
        <v>2931</v>
      </c>
      <c r="C20158">
        <v>3162</v>
      </c>
      <c r="D20158" t="str">
        <f t="shared" si="353"/>
        <v xml:space="preserve">12510021808 </v>
      </c>
      <c r="E20158" t="s">
        <v>309</v>
      </c>
      <c r="F20158" t="s">
        <v>310</v>
      </c>
      <c r="G20158">
        <v>6.85</v>
      </c>
      <c r="H20158">
        <v>250228</v>
      </c>
      <c r="I20158">
        <v>4369</v>
      </c>
      <c r="J20158" t="s">
        <v>188</v>
      </c>
      <c r="K20158">
        <v>58.09</v>
      </c>
      <c r="L20158">
        <v>1.39</v>
      </c>
      <c r="M20158">
        <v>56563</v>
      </c>
      <c r="N20158" t="s">
        <v>55</v>
      </c>
      <c r="O20158">
        <v>250314</v>
      </c>
      <c r="P20158">
        <v>5.46</v>
      </c>
    </row>
    <row r="20159" spans="1:16" x14ac:dyDescent="0.25">
      <c r="A20159" t="s">
        <v>3296</v>
      </c>
      <c r="B20159" t="s">
        <v>2931</v>
      </c>
      <c r="C20159">
        <v>3162</v>
      </c>
      <c r="D20159" t="str">
        <f t="shared" si="353"/>
        <v xml:space="preserve">12510021808 </v>
      </c>
      <c r="E20159" t="s">
        <v>309</v>
      </c>
      <c r="F20159" t="s">
        <v>310</v>
      </c>
      <c r="G20159">
        <v>6.78</v>
      </c>
      <c r="H20159">
        <v>250228</v>
      </c>
      <c r="I20159">
        <v>4369</v>
      </c>
      <c r="J20159" t="s">
        <v>188</v>
      </c>
      <c r="K20159">
        <v>58.09</v>
      </c>
      <c r="L20159">
        <v>1.38</v>
      </c>
      <c r="M20159">
        <v>58601</v>
      </c>
      <c r="N20159" t="s">
        <v>59</v>
      </c>
      <c r="O20159">
        <v>250314</v>
      </c>
      <c r="P20159">
        <v>5.4</v>
      </c>
    </row>
    <row r="20160" spans="1:16" x14ac:dyDescent="0.25">
      <c r="A20160" t="s">
        <v>3296</v>
      </c>
      <c r="B20160" t="s">
        <v>2931</v>
      </c>
      <c r="C20160">
        <v>3169</v>
      </c>
      <c r="D20160" t="str">
        <f>"12510021836 "</f>
        <v xml:space="preserve">12510021836 </v>
      </c>
      <c r="E20160" t="s">
        <v>309</v>
      </c>
      <c r="F20160" t="s">
        <v>310</v>
      </c>
      <c r="G20160">
        <v>29.34</v>
      </c>
      <c r="H20160">
        <v>250228</v>
      </c>
      <c r="I20160">
        <v>4369</v>
      </c>
      <c r="J20160" t="s">
        <v>188</v>
      </c>
      <c r="K20160">
        <v>36.65</v>
      </c>
      <c r="L20160">
        <v>5.96</v>
      </c>
      <c r="M20160">
        <v>11101</v>
      </c>
      <c r="N20160" t="s">
        <v>67</v>
      </c>
      <c r="O20160">
        <v>250314</v>
      </c>
      <c r="P20160">
        <v>23.38</v>
      </c>
    </row>
    <row r="20161" spans="1:16" x14ac:dyDescent="0.25">
      <c r="A20161" t="s">
        <v>3296</v>
      </c>
      <c r="B20161" t="s">
        <v>2931</v>
      </c>
      <c r="C20161">
        <v>3169</v>
      </c>
      <c r="D20161" t="str">
        <f>"12510021836 "</f>
        <v xml:space="preserve">12510021836 </v>
      </c>
      <c r="E20161" t="s">
        <v>309</v>
      </c>
      <c r="F20161" t="s">
        <v>310</v>
      </c>
      <c r="G20161">
        <v>7.31</v>
      </c>
      <c r="H20161">
        <v>250228</v>
      </c>
      <c r="I20161">
        <v>4369</v>
      </c>
      <c r="J20161" t="s">
        <v>188</v>
      </c>
      <c r="K20161">
        <v>36.65</v>
      </c>
      <c r="L20161">
        <v>1.49</v>
      </c>
      <c r="M20161">
        <v>11201</v>
      </c>
      <c r="N20161" t="s">
        <v>35</v>
      </c>
      <c r="O20161">
        <v>250314</v>
      </c>
      <c r="P20161">
        <v>5.82</v>
      </c>
    </row>
    <row r="20162" spans="1:16" x14ac:dyDescent="0.25">
      <c r="A20162" t="s">
        <v>3296</v>
      </c>
      <c r="B20162" t="s">
        <v>2931</v>
      </c>
      <c r="C20162">
        <v>3176</v>
      </c>
      <c r="D20162" t="str">
        <f>"105331136   "</f>
        <v xml:space="preserve">105331136   </v>
      </c>
      <c r="E20162" t="s">
        <v>309</v>
      </c>
      <c r="F20162" t="s">
        <v>310</v>
      </c>
      <c r="G20162">
        <v>81.569999999999993</v>
      </c>
      <c r="H20162">
        <v>250228</v>
      </c>
      <c r="I20162">
        <v>4369</v>
      </c>
      <c r="J20162" t="s">
        <v>188</v>
      </c>
      <c r="K20162">
        <v>81.569999999999993</v>
      </c>
      <c r="L20162">
        <v>16.57</v>
      </c>
      <c r="M20162">
        <v>18972</v>
      </c>
      <c r="N20162" t="s">
        <v>39</v>
      </c>
      <c r="O20162">
        <v>250314</v>
      </c>
      <c r="P20162">
        <v>65</v>
      </c>
    </row>
    <row r="20163" spans="1:16" x14ac:dyDescent="0.25">
      <c r="A20163" t="s">
        <v>3296</v>
      </c>
      <c r="B20163" t="s">
        <v>2931</v>
      </c>
      <c r="C20163">
        <v>3178</v>
      </c>
      <c r="D20163" t="str">
        <f>"12510021805 "</f>
        <v xml:space="preserve">12510021805 </v>
      </c>
      <c r="E20163" t="s">
        <v>309</v>
      </c>
      <c r="F20163" t="s">
        <v>310</v>
      </c>
      <c r="G20163">
        <v>3.39</v>
      </c>
      <c r="H20163">
        <v>250228</v>
      </c>
      <c r="I20163">
        <v>4369</v>
      </c>
      <c r="J20163" t="s">
        <v>188</v>
      </c>
      <c r="K20163">
        <v>50.79</v>
      </c>
      <c r="L20163">
        <v>0.69</v>
      </c>
      <c r="M20163">
        <v>56522</v>
      </c>
      <c r="N20163" t="s">
        <v>68</v>
      </c>
      <c r="O20163">
        <v>250314</v>
      </c>
      <c r="P20163">
        <v>2.7</v>
      </c>
    </row>
    <row r="20164" spans="1:16" x14ac:dyDescent="0.25">
      <c r="A20164" t="s">
        <v>3296</v>
      </c>
      <c r="B20164" t="s">
        <v>2931</v>
      </c>
      <c r="C20164">
        <v>3178</v>
      </c>
      <c r="D20164" t="str">
        <f>"12510021805 "</f>
        <v xml:space="preserve">12510021805 </v>
      </c>
      <c r="E20164" t="s">
        <v>309</v>
      </c>
      <c r="F20164" t="s">
        <v>310</v>
      </c>
      <c r="G20164">
        <v>33.85</v>
      </c>
      <c r="H20164">
        <v>250228</v>
      </c>
      <c r="I20164">
        <v>4369</v>
      </c>
      <c r="J20164" t="s">
        <v>188</v>
      </c>
      <c r="K20164">
        <v>50.79</v>
      </c>
      <c r="L20164">
        <v>6.88</v>
      </c>
      <c r="M20164">
        <v>56524</v>
      </c>
      <c r="N20164" t="s">
        <v>69</v>
      </c>
      <c r="O20164">
        <v>250314</v>
      </c>
      <c r="P20164">
        <v>26.97</v>
      </c>
    </row>
    <row r="20165" spans="1:16" x14ac:dyDescent="0.25">
      <c r="A20165" t="s">
        <v>3296</v>
      </c>
      <c r="B20165" t="s">
        <v>2931</v>
      </c>
      <c r="C20165">
        <v>3178</v>
      </c>
      <c r="D20165" t="str">
        <f>"12510021805 "</f>
        <v xml:space="preserve">12510021805 </v>
      </c>
      <c r="E20165" t="s">
        <v>309</v>
      </c>
      <c r="F20165" t="s">
        <v>310</v>
      </c>
      <c r="G20165">
        <v>13.55</v>
      </c>
      <c r="H20165">
        <v>250228</v>
      </c>
      <c r="I20165">
        <v>4369</v>
      </c>
      <c r="J20165" t="s">
        <v>188</v>
      </c>
      <c r="K20165">
        <v>50.79</v>
      </c>
      <c r="L20165">
        <v>2.75</v>
      </c>
      <c r="M20165">
        <v>56528</v>
      </c>
      <c r="N20165" t="s">
        <v>70</v>
      </c>
      <c r="O20165">
        <v>250314</v>
      </c>
      <c r="P20165">
        <v>10.8</v>
      </c>
    </row>
    <row r="20166" spans="1:16" x14ac:dyDescent="0.25">
      <c r="A20166" t="s">
        <v>3296</v>
      </c>
      <c r="B20166" t="s">
        <v>2931</v>
      </c>
      <c r="C20166">
        <v>3179</v>
      </c>
      <c r="D20166" t="str">
        <f>"12510021832 "</f>
        <v xml:space="preserve">12510021832 </v>
      </c>
      <c r="E20166" t="s">
        <v>309</v>
      </c>
      <c r="F20166" t="s">
        <v>310</v>
      </c>
      <c r="G20166">
        <v>66.680000000000007</v>
      </c>
      <c r="H20166">
        <v>250228</v>
      </c>
      <c r="I20166">
        <v>4369</v>
      </c>
      <c r="J20166" t="s">
        <v>188</v>
      </c>
      <c r="K20166">
        <v>66.680000000000007</v>
      </c>
      <c r="L20166">
        <v>13.55</v>
      </c>
      <c r="M20166">
        <v>11801</v>
      </c>
      <c r="N20166" t="s">
        <v>40</v>
      </c>
      <c r="O20166">
        <v>250314</v>
      </c>
      <c r="P20166">
        <v>53.13</v>
      </c>
    </row>
    <row r="20167" spans="1:16" x14ac:dyDescent="0.25">
      <c r="A20167" t="s">
        <v>3296</v>
      </c>
      <c r="B20167" t="s">
        <v>2931</v>
      </c>
      <c r="C20167">
        <v>3184</v>
      </c>
      <c r="D20167" t="str">
        <f>"12510021822 "</f>
        <v xml:space="preserve">12510021822 </v>
      </c>
      <c r="E20167" t="s">
        <v>309</v>
      </c>
      <c r="F20167" t="s">
        <v>310</v>
      </c>
      <c r="G20167">
        <v>13.55</v>
      </c>
      <c r="H20167">
        <v>250228</v>
      </c>
      <c r="I20167">
        <v>4369</v>
      </c>
      <c r="J20167" t="s">
        <v>188</v>
      </c>
      <c r="K20167">
        <v>17.13</v>
      </c>
      <c r="L20167">
        <v>2.75</v>
      </c>
      <c r="M20167">
        <v>46555</v>
      </c>
      <c r="N20167" t="s">
        <v>103</v>
      </c>
      <c r="O20167">
        <v>250314</v>
      </c>
      <c r="P20167">
        <v>10.8</v>
      </c>
    </row>
    <row r="20168" spans="1:16" x14ac:dyDescent="0.25">
      <c r="A20168" t="s">
        <v>3296</v>
      </c>
      <c r="B20168" t="s">
        <v>2931</v>
      </c>
      <c r="C20168">
        <v>3184</v>
      </c>
      <c r="D20168" t="str">
        <f>"12510021822 "</f>
        <v xml:space="preserve">12510021822 </v>
      </c>
      <c r="E20168" t="s">
        <v>309</v>
      </c>
      <c r="F20168" t="s">
        <v>310</v>
      </c>
      <c r="G20168">
        <v>3.58</v>
      </c>
      <c r="H20168">
        <v>250228</v>
      </c>
      <c r="I20168">
        <v>4369</v>
      </c>
      <c r="J20168" t="s">
        <v>188</v>
      </c>
      <c r="K20168">
        <v>17.13</v>
      </c>
      <c r="L20168">
        <v>0.73</v>
      </c>
      <c r="M20168">
        <v>48601</v>
      </c>
      <c r="N20168" t="s">
        <v>107</v>
      </c>
      <c r="O20168">
        <v>250314</v>
      </c>
      <c r="P20168">
        <v>2.85</v>
      </c>
    </row>
    <row r="20169" spans="1:16" x14ac:dyDescent="0.25">
      <c r="A20169" t="s">
        <v>3296</v>
      </c>
      <c r="B20169" t="s">
        <v>2931</v>
      </c>
      <c r="C20169">
        <v>3255</v>
      </c>
      <c r="D20169" t="str">
        <f>"12510021814 "</f>
        <v xml:space="preserve">12510021814 </v>
      </c>
      <c r="E20169" t="s">
        <v>309</v>
      </c>
      <c r="F20169" t="s">
        <v>310</v>
      </c>
      <c r="G20169">
        <v>6.77</v>
      </c>
      <c r="H20169">
        <v>250228</v>
      </c>
      <c r="I20169">
        <v>4369</v>
      </c>
      <c r="J20169" t="s">
        <v>188</v>
      </c>
      <c r="K20169">
        <v>13.6</v>
      </c>
      <c r="L20169">
        <v>1.38</v>
      </c>
      <c r="M20169">
        <v>49701</v>
      </c>
      <c r="N20169" t="s">
        <v>111</v>
      </c>
      <c r="O20169">
        <v>250317</v>
      </c>
      <c r="P20169">
        <v>5.39</v>
      </c>
    </row>
    <row r="20170" spans="1:16" x14ac:dyDescent="0.25">
      <c r="A20170" t="s">
        <v>3296</v>
      </c>
      <c r="B20170" t="s">
        <v>2931</v>
      </c>
      <c r="C20170">
        <v>3255</v>
      </c>
      <c r="D20170" t="str">
        <f>"12510021814 "</f>
        <v xml:space="preserve">12510021814 </v>
      </c>
      <c r="E20170" t="s">
        <v>309</v>
      </c>
      <c r="F20170" t="s">
        <v>310</v>
      </c>
      <c r="G20170">
        <v>6.83</v>
      </c>
      <c r="H20170">
        <v>250228</v>
      </c>
      <c r="I20170">
        <v>4369</v>
      </c>
      <c r="J20170" t="s">
        <v>188</v>
      </c>
      <c r="K20170">
        <v>13.6</v>
      </c>
      <c r="L20170">
        <v>1.39</v>
      </c>
      <c r="M20170">
        <v>49702</v>
      </c>
      <c r="N20170" t="s">
        <v>112</v>
      </c>
      <c r="O20170">
        <v>250317</v>
      </c>
      <c r="P20170">
        <v>5.44</v>
      </c>
    </row>
    <row r="20171" spans="1:16" x14ac:dyDescent="0.25">
      <c r="A20171" t="s">
        <v>3296</v>
      </c>
      <c r="B20171" t="s">
        <v>2931</v>
      </c>
      <c r="C20171">
        <v>3256</v>
      </c>
      <c r="D20171" t="str">
        <f t="shared" ref="D20171:D20199" si="354">"12510021807 "</f>
        <v xml:space="preserve">12510021807 </v>
      </c>
      <c r="E20171" t="s">
        <v>309</v>
      </c>
      <c r="F20171" t="s">
        <v>310</v>
      </c>
      <c r="G20171">
        <v>35.58</v>
      </c>
      <c r="H20171">
        <v>250228</v>
      </c>
      <c r="I20171">
        <v>4369</v>
      </c>
      <c r="J20171" t="s">
        <v>188</v>
      </c>
      <c r="K20171">
        <v>386.84</v>
      </c>
      <c r="L20171">
        <v>7.23</v>
      </c>
      <c r="M20171">
        <v>61122</v>
      </c>
      <c r="N20171" t="s">
        <v>86</v>
      </c>
      <c r="O20171">
        <v>250317</v>
      </c>
      <c r="P20171">
        <v>28.35</v>
      </c>
    </row>
    <row r="20172" spans="1:16" x14ac:dyDescent="0.25">
      <c r="A20172" t="s">
        <v>3296</v>
      </c>
      <c r="B20172" t="s">
        <v>2931</v>
      </c>
      <c r="C20172">
        <v>3256</v>
      </c>
      <c r="D20172" t="str">
        <f t="shared" si="354"/>
        <v xml:space="preserve">12510021807 </v>
      </c>
      <c r="E20172" t="s">
        <v>309</v>
      </c>
      <c r="F20172" t="s">
        <v>310</v>
      </c>
      <c r="G20172">
        <v>3.39</v>
      </c>
      <c r="H20172">
        <v>250228</v>
      </c>
      <c r="I20172">
        <v>4369</v>
      </c>
      <c r="J20172" t="s">
        <v>188</v>
      </c>
      <c r="K20172">
        <v>386.84</v>
      </c>
      <c r="L20172">
        <v>0.69</v>
      </c>
      <c r="M20172">
        <v>61122</v>
      </c>
      <c r="N20172" t="s">
        <v>86</v>
      </c>
      <c r="O20172">
        <v>250317</v>
      </c>
      <c r="P20172">
        <v>2.7</v>
      </c>
    </row>
    <row r="20173" spans="1:16" x14ac:dyDescent="0.25">
      <c r="A20173" t="s">
        <v>3296</v>
      </c>
      <c r="B20173" t="s">
        <v>2931</v>
      </c>
      <c r="C20173">
        <v>3256</v>
      </c>
      <c r="D20173" t="str">
        <f t="shared" si="354"/>
        <v xml:space="preserve">12510021807 </v>
      </c>
      <c r="E20173" t="s">
        <v>309</v>
      </c>
      <c r="F20173" t="s">
        <v>310</v>
      </c>
      <c r="G20173">
        <v>13.55</v>
      </c>
      <c r="H20173">
        <v>250228</v>
      </c>
      <c r="I20173">
        <v>4369</v>
      </c>
      <c r="J20173" t="s">
        <v>188</v>
      </c>
      <c r="K20173">
        <v>386.84</v>
      </c>
      <c r="L20173">
        <v>2.75</v>
      </c>
      <c r="M20173">
        <v>65222</v>
      </c>
      <c r="N20173" t="s">
        <v>87</v>
      </c>
      <c r="O20173">
        <v>250317</v>
      </c>
      <c r="P20173">
        <v>10.8</v>
      </c>
    </row>
    <row r="20174" spans="1:16" x14ac:dyDescent="0.25">
      <c r="A20174" t="s">
        <v>3296</v>
      </c>
      <c r="B20174" t="s">
        <v>2931</v>
      </c>
      <c r="C20174">
        <v>3256</v>
      </c>
      <c r="D20174" t="str">
        <f t="shared" si="354"/>
        <v xml:space="preserve">12510021807 </v>
      </c>
      <c r="E20174" t="s">
        <v>309</v>
      </c>
      <c r="F20174" t="s">
        <v>310</v>
      </c>
      <c r="G20174">
        <v>3.39</v>
      </c>
      <c r="H20174">
        <v>250228</v>
      </c>
      <c r="I20174">
        <v>4369</v>
      </c>
      <c r="J20174" t="s">
        <v>188</v>
      </c>
      <c r="K20174">
        <v>386.84</v>
      </c>
      <c r="L20174">
        <v>0.69</v>
      </c>
      <c r="M20174">
        <v>65422</v>
      </c>
      <c r="N20174" t="s">
        <v>117</v>
      </c>
      <c r="O20174">
        <v>250317</v>
      </c>
      <c r="P20174">
        <v>2.7</v>
      </c>
    </row>
    <row r="20175" spans="1:16" x14ac:dyDescent="0.25">
      <c r="A20175" t="s">
        <v>3296</v>
      </c>
      <c r="B20175" t="s">
        <v>2931</v>
      </c>
      <c r="C20175">
        <v>3256</v>
      </c>
      <c r="D20175" t="str">
        <f t="shared" si="354"/>
        <v xml:space="preserve">12510021807 </v>
      </c>
      <c r="E20175" t="s">
        <v>309</v>
      </c>
      <c r="F20175" t="s">
        <v>310</v>
      </c>
      <c r="G20175">
        <v>10.17</v>
      </c>
      <c r="H20175">
        <v>250228</v>
      </c>
      <c r="I20175">
        <v>4369</v>
      </c>
      <c r="J20175" t="s">
        <v>188</v>
      </c>
      <c r="K20175">
        <v>386.84</v>
      </c>
      <c r="L20175">
        <v>2.0699999999999998</v>
      </c>
      <c r="M20175">
        <v>66722</v>
      </c>
      <c r="N20175" t="s">
        <v>118</v>
      </c>
      <c r="O20175">
        <v>250317</v>
      </c>
      <c r="P20175">
        <v>8.1</v>
      </c>
    </row>
    <row r="20176" spans="1:16" x14ac:dyDescent="0.25">
      <c r="A20176" t="s">
        <v>3296</v>
      </c>
      <c r="B20176" t="s">
        <v>2931</v>
      </c>
      <c r="C20176">
        <v>3256</v>
      </c>
      <c r="D20176" t="str">
        <f t="shared" si="354"/>
        <v xml:space="preserve">12510021807 </v>
      </c>
      <c r="E20176" t="s">
        <v>309</v>
      </c>
      <c r="F20176" t="s">
        <v>310</v>
      </c>
      <c r="G20176">
        <v>1.71</v>
      </c>
      <c r="H20176">
        <v>250228</v>
      </c>
      <c r="I20176">
        <v>4369</v>
      </c>
      <c r="J20176" t="s">
        <v>188</v>
      </c>
      <c r="K20176">
        <v>386.84</v>
      </c>
      <c r="L20176">
        <v>0.35</v>
      </c>
      <c r="M20176">
        <v>66754</v>
      </c>
      <c r="N20176" t="s">
        <v>119</v>
      </c>
      <c r="O20176">
        <v>250317</v>
      </c>
      <c r="P20176">
        <v>1.36</v>
      </c>
    </row>
    <row r="20177" spans="1:16" x14ac:dyDescent="0.25">
      <c r="A20177" t="s">
        <v>3296</v>
      </c>
      <c r="B20177" t="s">
        <v>2931</v>
      </c>
      <c r="C20177">
        <v>3256</v>
      </c>
      <c r="D20177" t="str">
        <f t="shared" si="354"/>
        <v xml:space="preserve">12510021807 </v>
      </c>
      <c r="E20177" t="s">
        <v>309</v>
      </c>
      <c r="F20177" t="s">
        <v>310</v>
      </c>
      <c r="G20177">
        <v>3.39</v>
      </c>
      <c r="H20177">
        <v>250228</v>
      </c>
      <c r="I20177">
        <v>4369</v>
      </c>
      <c r="J20177" t="s">
        <v>188</v>
      </c>
      <c r="K20177">
        <v>386.84</v>
      </c>
      <c r="L20177">
        <v>0.69</v>
      </c>
      <c r="M20177">
        <v>66754</v>
      </c>
      <c r="N20177" t="s">
        <v>119</v>
      </c>
      <c r="O20177">
        <v>250317</v>
      </c>
      <c r="P20177">
        <v>2.7</v>
      </c>
    </row>
    <row r="20178" spans="1:16" x14ac:dyDescent="0.25">
      <c r="A20178" t="s">
        <v>3296</v>
      </c>
      <c r="B20178" t="s">
        <v>2931</v>
      </c>
      <c r="C20178">
        <v>3256</v>
      </c>
      <c r="D20178" t="str">
        <f t="shared" si="354"/>
        <v xml:space="preserve">12510021807 </v>
      </c>
      <c r="E20178" t="s">
        <v>309</v>
      </c>
      <c r="F20178" t="s">
        <v>310</v>
      </c>
      <c r="G20178">
        <v>3.39</v>
      </c>
      <c r="H20178">
        <v>250228</v>
      </c>
      <c r="I20178">
        <v>4369</v>
      </c>
      <c r="J20178" t="s">
        <v>188</v>
      </c>
      <c r="K20178">
        <v>386.84</v>
      </c>
      <c r="L20178">
        <v>0.69</v>
      </c>
      <c r="M20178">
        <v>66754</v>
      </c>
      <c r="N20178" t="s">
        <v>119</v>
      </c>
      <c r="O20178">
        <v>250317</v>
      </c>
      <c r="P20178">
        <v>2.7</v>
      </c>
    </row>
    <row r="20179" spans="1:16" x14ac:dyDescent="0.25">
      <c r="A20179" t="s">
        <v>3296</v>
      </c>
      <c r="B20179" t="s">
        <v>2931</v>
      </c>
      <c r="C20179">
        <v>3256</v>
      </c>
      <c r="D20179" t="str">
        <f t="shared" si="354"/>
        <v xml:space="preserve">12510021807 </v>
      </c>
      <c r="E20179" t="s">
        <v>309</v>
      </c>
      <c r="F20179" t="s">
        <v>310</v>
      </c>
      <c r="G20179">
        <v>17.010000000000002</v>
      </c>
      <c r="H20179">
        <v>250228</v>
      </c>
      <c r="I20179">
        <v>4369</v>
      </c>
      <c r="J20179" t="s">
        <v>188</v>
      </c>
      <c r="K20179">
        <v>386.84</v>
      </c>
      <c r="L20179">
        <v>3.46</v>
      </c>
      <c r="M20179">
        <v>66754</v>
      </c>
      <c r="N20179" t="s">
        <v>119</v>
      </c>
      <c r="O20179">
        <v>250317</v>
      </c>
      <c r="P20179">
        <v>13.55</v>
      </c>
    </row>
    <row r="20180" spans="1:16" x14ac:dyDescent="0.25">
      <c r="A20180" t="s">
        <v>3296</v>
      </c>
      <c r="B20180" t="s">
        <v>2931</v>
      </c>
      <c r="C20180">
        <v>3256</v>
      </c>
      <c r="D20180" t="str">
        <f t="shared" si="354"/>
        <v xml:space="preserve">12510021807 </v>
      </c>
      <c r="E20180" t="s">
        <v>309</v>
      </c>
      <c r="F20180" t="s">
        <v>310</v>
      </c>
      <c r="G20180">
        <v>13.63</v>
      </c>
      <c r="H20180">
        <v>250228</v>
      </c>
      <c r="I20180">
        <v>4369</v>
      </c>
      <c r="J20180" t="s">
        <v>188</v>
      </c>
      <c r="K20180">
        <v>386.84</v>
      </c>
      <c r="L20180">
        <v>2.77</v>
      </c>
      <c r="M20180">
        <v>66756</v>
      </c>
      <c r="N20180" t="s">
        <v>120</v>
      </c>
      <c r="O20180">
        <v>250317</v>
      </c>
      <c r="P20180">
        <v>10.86</v>
      </c>
    </row>
    <row r="20181" spans="1:16" x14ac:dyDescent="0.25">
      <c r="A20181" t="s">
        <v>3296</v>
      </c>
      <c r="B20181" t="s">
        <v>2931</v>
      </c>
      <c r="C20181">
        <v>3256</v>
      </c>
      <c r="D20181" t="str">
        <f t="shared" si="354"/>
        <v xml:space="preserve">12510021807 </v>
      </c>
      <c r="E20181" t="s">
        <v>309</v>
      </c>
      <c r="F20181" t="s">
        <v>310</v>
      </c>
      <c r="G20181">
        <v>24.08</v>
      </c>
      <c r="H20181">
        <v>250228</v>
      </c>
      <c r="I20181">
        <v>4369</v>
      </c>
      <c r="J20181" t="s">
        <v>188</v>
      </c>
      <c r="K20181">
        <v>386.84</v>
      </c>
      <c r="L20181">
        <v>4.8899999999999997</v>
      </c>
      <c r="M20181">
        <v>67522</v>
      </c>
      <c r="N20181" t="s">
        <v>121</v>
      </c>
      <c r="O20181">
        <v>250317</v>
      </c>
      <c r="P20181">
        <v>19.190000000000001</v>
      </c>
    </row>
    <row r="20182" spans="1:16" x14ac:dyDescent="0.25">
      <c r="A20182" t="s">
        <v>3296</v>
      </c>
      <c r="B20182" t="s">
        <v>2931</v>
      </c>
      <c r="C20182">
        <v>3256</v>
      </c>
      <c r="D20182" t="str">
        <f t="shared" si="354"/>
        <v xml:space="preserve">12510021807 </v>
      </c>
      <c r="E20182" t="s">
        <v>309</v>
      </c>
      <c r="F20182" t="s">
        <v>310</v>
      </c>
      <c r="G20182">
        <v>56.15</v>
      </c>
      <c r="H20182">
        <v>250228</v>
      </c>
      <c r="I20182">
        <v>4369</v>
      </c>
      <c r="J20182" t="s">
        <v>188</v>
      </c>
      <c r="K20182">
        <v>386.84</v>
      </c>
      <c r="L20182">
        <v>11.41</v>
      </c>
      <c r="M20182">
        <v>67522</v>
      </c>
      <c r="N20182" t="s">
        <v>121</v>
      </c>
      <c r="O20182">
        <v>250317</v>
      </c>
      <c r="P20182">
        <v>44.74</v>
      </c>
    </row>
    <row r="20183" spans="1:16" x14ac:dyDescent="0.25">
      <c r="A20183" t="s">
        <v>3296</v>
      </c>
      <c r="B20183" t="s">
        <v>2931</v>
      </c>
      <c r="C20183">
        <v>3256</v>
      </c>
      <c r="D20183" t="str">
        <f t="shared" si="354"/>
        <v xml:space="preserve">12510021807 </v>
      </c>
      <c r="E20183" t="s">
        <v>309</v>
      </c>
      <c r="F20183" t="s">
        <v>310</v>
      </c>
      <c r="G20183">
        <v>1.71</v>
      </c>
      <c r="H20183">
        <v>250228</v>
      </c>
      <c r="I20183">
        <v>4369</v>
      </c>
      <c r="J20183" t="s">
        <v>188</v>
      </c>
      <c r="K20183">
        <v>386.84</v>
      </c>
      <c r="L20183">
        <v>0.35</v>
      </c>
      <c r="M20183">
        <v>67554</v>
      </c>
      <c r="N20183" t="s">
        <v>317</v>
      </c>
      <c r="O20183">
        <v>250317</v>
      </c>
      <c r="P20183">
        <v>1.36</v>
      </c>
    </row>
    <row r="20184" spans="1:16" x14ac:dyDescent="0.25">
      <c r="A20184" t="s">
        <v>3296</v>
      </c>
      <c r="B20184" t="s">
        <v>2931</v>
      </c>
      <c r="C20184">
        <v>3256</v>
      </c>
      <c r="D20184" t="str">
        <f t="shared" si="354"/>
        <v xml:space="preserve">12510021807 </v>
      </c>
      <c r="E20184" t="s">
        <v>309</v>
      </c>
      <c r="F20184" t="s">
        <v>310</v>
      </c>
      <c r="G20184">
        <v>6.29</v>
      </c>
      <c r="H20184">
        <v>250228</v>
      </c>
      <c r="I20184">
        <v>4369</v>
      </c>
      <c r="J20184" t="s">
        <v>188</v>
      </c>
      <c r="K20184">
        <v>386.84</v>
      </c>
      <c r="L20184">
        <v>1.28</v>
      </c>
      <c r="M20184">
        <v>67554</v>
      </c>
      <c r="N20184" t="s">
        <v>317</v>
      </c>
      <c r="O20184">
        <v>250317</v>
      </c>
      <c r="P20184">
        <v>5.01</v>
      </c>
    </row>
    <row r="20185" spans="1:16" x14ac:dyDescent="0.25">
      <c r="A20185" t="s">
        <v>3296</v>
      </c>
      <c r="B20185" t="s">
        <v>2931</v>
      </c>
      <c r="C20185">
        <v>3256</v>
      </c>
      <c r="D20185" t="str">
        <f t="shared" si="354"/>
        <v xml:space="preserve">12510021807 </v>
      </c>
      <c r="E20185" t="s">
        <v>309</v>
      </c>
      <c r="F20185" t="s">
        <v>310</v>
      </c>
      <c r="G20185">
        <v>60.21</v>
      </c>
      <c r="H20185">
        <v>250228</v>
      </c>
      <c r="I20185">
        <v>4369</v>
      </c>
      <c r="J20185" t="s">
        <v>188</v>
      </c>
      <c r="K20185">
        <v>386.84</v>
      </c>
      <c r="L20185">
        <v>12.23</v>
      </c>
      <c r="M20185">
        <v>67554</v>
      </c>
      <c r="N20185" t="s">
        <v>317</v>
      </c>
      <c r="O20185">
        <v>250317</v>
      </c>
      <c r="P20185">
        <v>47.98</v>
      </c>
    </row>
    <row r="20186" spans="1:16" x14ac:dyDescent="0.25">
      <c r="A20186" t="s">
        <v>3296</v>
      </c>
      <c r="B20186" t="s">
        <v>2931</v>
      </c>
      <c r="C20186">
        <v>3256</v>
      </c>
      <c r="D20186" t="str">
        <f t="shared" si="354"/>
        <v xml:space="preserve">12510021807 </v>
      </c>
      <c r="E20186" t="s">
        <v>309</v>
      </c>
      <c r="F20186" t="s">
        <v>310</v>
      </c>
      <c r="G20186">
        <v>15.33</v>
      </c>
      <c r="H20186">
        <v>250228</v>
      </c>
      <c r="I20186">
        <v>4369</v>
      </c>
      <c r="J20186" t="s">
        <v>188</v>
      </c>
      <c r="K20186">
        <v>386.84</v>
      </c>
      <c r="L20186">
        <v>3.11</v>
      </c>
      <c r="M20186">
        <v>67554</v>
      </c>
      <c r="N20186" t="s">
        <v>317</v>
      </c>
      <c r="O20186">
        <v>250317</v>
      </c>
      <c r="P20186">
        <v>12.22</v>
      </c>
    </row>
    <row r="20187" spans="1:16" x14ac:dyDescent="0.25">
      <c r="A20187" t="s">
        <v>3296</v>
      </c>
      <c r="B20187" t="s">
        <v>2931</v>
      </c>
      <c r="C20187">
        <v>3256</v>
      </c>
      <c r="D20187" t="str">
        <f t="shared" si="354"/>
        <v xml:space="preserve">12510021807 </v>
      </c>
      <c r="E20187" t="s">
        <v>309</v>
      </c>
      <c r="F20187" t="s">
        <v>310</v>
      </c>
      <c r="G20187">
        <v>12.3</v>
      </c>
      <c r="H20187">
        <v>250228</v>
      </c>
      <c r="I20187">
        <v>4369</v>
      </c>
      <c r="J20187" t="s">
        <v>188</v>
      </c>
      <c r="K20187">
        <v>386.84</v>
      </c>
      <c r="L20187">
        <v>2.5</v>
      </c>
      <c r="M20187">
        <v>68601</v>
      </c>
      <c r="N20187" t="s">
        <v>1031</v>
      </c>
      <c r="O20187">
        <v>250317</v>
      </c>
      <c r="P20187">
        <v>9.8000000000000007</v>
      </c>
    </row>
    <row r="20188" spans="1:16" x14ac:dyDescent="0.25">
      <c r="A20188" t="s">
        <v>3296</v>
      </c>
      <c r="B20188" t="s">
        <v>2931</v>
      </c>
      <c r="C20188">
        <v>3256</v>
      </c>
      <c r="D20188" t="str">
        <f t="shared" si="354"/>
        <v xml:space="preserve">12510021807 </v>
      </c>
      <c r="E20188" t="s">
        <v>309</v>
      </c>
      <c r="F20188" t="s">
        <v>310</v>
      </c>
      <c r="G20188">
        <v>3.39</v>
      </c>
      <c r="H20188">
        <v>250228</v>
      </c>
      <c r="I20188">
        <v>4369</v>
      </c>
      <c r="J20188" t="s">
        <v>188</v>
      </c>
      <c r="K20188">
        <v>386.84</v>
      </c>
      <c r="L20188">
        <v>0.69</v>
      </c>
      <c r="M20188">
        <v>68601</v>
      </c>
      <c r="N20188" t="s">
        <v>1031</v>
      </c>
      <c r="O20188">
        <v>250317</v>
      </c>
      <c r="P20188">
        <v>2.7</v>
      </c>
    </row>
    <row r="20189" spans="1:16" x14ac:dyDescent="0.25">
      <c r="A20189" t="s">
        <v>3296</v>
      </c>
      <c r="B20189" t="s">
        <v>2931</v>
      </c>
      <c r="C20189">
        <v>3256</v>
      </c>
      <c r="D20189" t="str">
        <f t="shared" si="354"/>
        <v xml:space="preserve">12510021807 </v>
      </c>
      <c r="E20189" t="s">
        <v>309</v>
      </c>
      <c r="F20189" t="s">
        <v>310</v>
      </c>
      <c r="G20189">
        <v>10.17</v>
      </c>
      <c r="H20189">
        <v>250228</v>
      </c>
      <c r="I20189">
        <v>4369</v>
      </c>
      <c r="J20189" t="s">
        <v>188</v>
      </c>
      <c r="K20189">
        <v>386.84</v>
      </c>
      <c r="L20189">
        <v>2.0699999999999998</v>
      </c>
      <c r="M20189">
        <v>69111</v>
      </c>
      <c r="N20189" t="s">
        <v>657</v>
      </c>
      <c r="O20189">
        <v>250317</v>
      </c>
      <c r="P20189">
        <v>8.1</v>
      </c>
    </row>
    <row r="20190" spans="1:16" x14ac:dyDescent="0.25">
      <c r="A20190" t="s">
        <v>3296</v>
      </c>
      <c r="B20190" t="s">
        <v>2931</v>
      </c>
      <c r="C20190">
        <v>3256</v>
      </c>
      <c r="D20190" t="str">
        <f t="shared" si="354"/>
        <v xml:space="preserve">12510021807 </v>
      </c>
      <c r="E20190" t="s">
        <v>309</v>
      </c>
      <c r="F20190" t="s">
        <v>310</v>
      </c>
      <c r="G20190">
        <v>6.78</v>
      </c>
      <c r="H20190">
        <v>250228</v>
      </c>
      <c r="I20190">
        <v>4369</v>
      </c>
      <c r="J20190" t="s">
        <v>188</v>
      </c>
      <c r="K20190">
        <v>386.84</v>
      </c>
      <c r="L20190">
        <v>1.38</v>
      </c>
      <c r="M20190">
        <v>69112</v>
      </c>
      <c r="N20190" t="s">
        <v>227</v>
      </c>
      <c r="O20190">
        <v>250317</v>
      </c>
      <c r="P20190">
        <v>5.4</v>
      </c>
    </row>
    <row r="20191" spans="1:16" x14ac:dyDescent="0.25">
      <c r="A20191" t="s">
        <v>3296</v>
      </c>
      <c r="B20191" t="s">
        <v>2931</v>
      </c>
      <c r="C20191">
        <v>3256</v>
      </c>
      <c r="D20191" t="str">
        <f t="shared" si="354"/>
        <v xml:space="preserve">12510021807 </v>
      </c>
      <c r="E20191" t="s">
        <v>309</v>
      </c>
      <c r="F20191" t="s">
        <v>310</v>
      </c>
      <c r="G20191">
        <v>10.35</v>
      </c>
      <c r="H20191">
        <v>250228</v>
      </c>
      <c r="I20191">
        <v>4369</v>
      </c>
      <c r="J20191" t="s">
        <v>188</v>
      </c>
      <c r="K20191">
        <v>386.84</v>
      </c>
      <c r="L20191">
        <v>2.1</v>
      </c>
      <c r="M20191">
        <v>69113</v>
      </c>
      <c r="N20191" t="s">
        <v>122</v>
      </c>
      <c r="O20191">
        <v>250317</v>
      </c>
      <c r="P20191">
        <v>8.25</v>
      </c>
    </row>
    <row r="20192" spans="1:16" x14ac:dyDescent="0.25">
      <c r="A20192" t="s">
        <v>3296</v>
      </c>
      <c r="B20192" t="s">
        <v>2931</v>
      </c>
      <c r="C20192">
        <v>3256</v>
      </c>
      <c r="D20192" t="str">
        <f t="shared" si="354"/>
        <v xml:space="preserve">12510021807 </v>
      </c>
      <c r="E20192" t="s">
        <v>309</v>
      </c>
      <c r="F20192" t="s">
        <v>310</v>
      </c>
      <c r="G20192">
        <v>30.84</v>
      </c>
      <c r="H20192">
        <v>250228</v>
      </c>
      <c r="I20192">
        <v>4369</v>
      </c>
      <c r="J20192" t="s">
        <v>188</v>
      </c>
      <c r="K20192">
        <v>386.84</v>
      </c>
      <c r="L20192">
        <v>6.27</v>
      </c>
      <c r="M20192">
        <v>69501</v>
      </c>
      <c r="N20192" t="s">
        <v>123</v>
      </c>
      <c r="O20192">
        <v>250317</v>
      </c>
      <c r="P20192">
        <v>24.57</v>
      </c>
    </row>
    <row r="20193" spans="1:16" x14ac:dyDescent="0.25">
      <c r="A20193" t="s">
        <v>3296</v>
      </c>
      <c r="B20193" t="s">
        <v>2931</v>
      </c>
      <c r="C20193">
        <v>3256</v>
      </c>
      <c r="D20193" t="str">
        <f t="shared" si="354"/>
        <v xml:space="preserve">12510021807 </v>
      </c>
      <c r="E20193" t="s">
        <v>309</v>
      </c>
      <c r="F20193" t="s">
        <v>310</v>
      </c>
      <c r="G20193">
        <v>5.08</v>
      </c>
      <c r="H20193">
        <v>250228</v>
      </c>
      <c r="I20193">
        <v>4369</v>
      </c>
      <c r="J20193" t="s">
        <v>188</v>
      </c>
      <c r="K20193">
        <v>386.84</v>
      </c>
      <c r="L20193">
        <v>1.03</v>
      </c>
      <c r="M20193">
        <v>69701</v>
      </c>
      <c r="N20193" t="s">
        <v>1030</v>
      </c>
      <c r="O20193">
        <v>250317</v>
      </c>
      <c r="P20193">
        <v>4.05</v>
      </c>
    </row>
    <row r="20194" spans="1:16" x14ac:dyDescent="0.25">
      <c r="A20194" t="s">
        <v>3296</v>
      </c>
      <c r="B20194" t="s">
        <v>2931</v>
      </c>
      <c r="C20194">
        <v>3256</v>
      </c>
      <c r="D20194" t="str">
        <f t="shared" si="354"/>
        <v xml:space="preserve">12510021807 </v>
      </c>
      <c r="E20194" t="s">
        <v>309</v>
      </c>
      <c r="F20194" t="s">
        <v>310</v>
      </c>
      <c r="G20194">
        <v>3.39</v>
      </c>
      <c r="H20194">
        <v>250228</v>
      </c>
      <c r="I20194">
        <v>4369</v>
      </c>
      <c r="J20194" t="s">
        <v>188</v>
      </c>
      <c r="K20194">
        <v>386.84</v>
      </c>
      <c r="L20194">
        <v>0.69</v>
      </c>
      <c r="M20194">
        <v>69702</v>
      </c>
      <c r="N20194" t="s">
        <v>124</v>
      </c>
      <c r="O20194">
        <v>250317</v>
      </c>
      <c r="P20194">
        <v>2.7</v>
      </c>
    </row>
    <row r="20195" spans="1:16" x14ac:dyDescent="0.25">
      <c r="A20195" t="s">
        <v>3296</v>
      </c>
      <c r="B20195" t="s">
        <v>2931</v>
      </c>
      <c r="C20195">
        <v>3256</v>
      </c>
      <c r="D20195" t="str">
        <f t="shared" si="354"/>
        <v xml:space="preserve">12510021807 </v>
      </c>
      <c r="E20195" t="s">
        <v>309</v>
      </c>
      <c r="F20195" t="s">
        <v>310</v>
      </c>
      <c r="G20195">
        <v>5.43</v>
      </c>
      <c r="H20195">
        <v>250228</v>
      </c>
      <c r="I20195">
        <v>4369</v>
      </c>
      <c r="J20195" t="s">
        <v>188</v>
      </c>
      <c r="K20195">
        <v>386.84</v>
      </c>
      <c r="L20195">
        <v>1.1000000000000001</v>
      </c>
      <c r="M20195">
        <v>69703</v>
      </c>
      <c r="N20195" t="s">
        <v>88</v>
      </c>
      <c r="O20195">
        <v>250317</v>
      </c>
      <c r="P20195">
        <v>4.33</v>
      </c>
    </row>
    <row r="20196" spans="1:16" x14ac:dyDescent="0.25">
      <c r="A20196" t="s">
        <v>3296</v>
      </c>
      <c r="B20196" t="s">
        <v>2931</v>
      </c>
      <c r="C20196">
        <v>3256</v>
      </c>
      <c r="D20196" t="str">
        <f t="shared" si="354"/>
        <v xml:space="preserve">12510021807 </v>
      </c>
      <c r="E20196" t="s">
        <v>309</v>
      </c>
      <c r="F20196" t="s">
        <v>310</v>
      </c>
      <c r="G20196">
        <v>6.59</v>
      </c>
      <c r="H20196">
        <v>250228</v>
      </c>
      <c r="I20196">
        <v>4369</v>
      </c>
      <c r="J20196" t="s">
        <v>188</v>
      </c>
      <c r="K20196">
        <v>386.84</v>
      </c>
      <c r="L20196">
        <v>1.34</v>
      </c>
      <c r="M20196">
        <v>69704</v>
      </c>
      <c r="N20196" t="s">
        <v>89</v>
      </c>
      <c r="O20196">
        <v>250317</v>
      </c>
      <c r="P20196">
        <v>5.25</v>
      </c>
    </row>
    <row r="20197" spans="1:16" x14ac:dyDescent="0.25">
      <c r="A20197" t="s">
        <v>3296</v>
      </c>
      <c r="B20197" t="s">
        <v>2931</v>
      </c>
      <c r="C20197">
        <v>3256</v>
      </c>
      <c r="D20197" t="str">
        <f t="shared" si="354"/>
        <v xml:space="preserve">12510021807 </v>
      </c>
      <c r="E20197" t="s">
        <v>309</v>
      </c>
      <c r="F20197" t="s">
        <v>310</v>
      </c>
      <c r="G20197">
        <v>6.59</v>
      </c>
      <c r="H20197">
        <v>250228</v>
      </c>
      <c r="I20197">
        <v>4369</v>
      </c>
      <c r="J20197" t="s">
        <v>188</v>
      </c>
      <c r="K20197">
        <v>386.84</v>
      </c>
      <c r="L20197">
        <v>1.34</v>
      </c>
      <c r="M20197">
        <v>69704</v>
      </c>
      <c r="N20197" t="s">
        <v>89</v>
      </c>
      <c r="O20197">
        <v>250317</v>
      </c>
      <c r="P20197">
        <v>5.25</v>
      </c>
    </row>
    <row r="20198" spans="1:16" x14ac:dyDescent="0.25">
      <c r="A20198" t="s">
        <v>3296</v>
      </c>
      <c r="B20198" t="s">
        <v>2931</v>
      </c>
      <c r="C20198">
        <v>3256</v>
      </c>
      <c r="D20198" t="str">
        <f t="shared" si="354"/>
        <v xml:space="preserve">12510021807 </v>
      </c>
      <c r="E20198" t="s">
        <v>309</v>
      </c>
      <c r="F20198" t="s">
        <v>310</v>
      </c>
      <c r="G20198">
        <v>10.17</v>
      </c>
      <c r="H20198">
        <v>250228</v>
      </c>
      <c r="I20198">
        <v>4369</v>
      </c>
      <c r="J20198" t="s">
        <v>188</v>
      </c>
      <c r="K20198">
        <v>386.84</v>
      </c>
      <c r="L20198">
        <v>2.0699999999999998</v>
      </c>
      <c r="M20198">
        <v>69707</v>
      </c>
      <c r="N20198" t="s">
        <v>90</v>
      </c>
      <c r="O20198">
        <v>250317</v>
      </c>
      <c r="P20198">
        <v>8.1</v>
      </c>
    </row>
    <row r="20199" spans="1:16" x14ac:dyDescent="0.25">
      <c r="A20199" t="s">
        <v>3296</v>
      </c>
      <c r="B20199" t="s">
        <v>2931</v>
      </c>
      <c r="C20199">
        <v>3256</v>
      </c>
      <c r="D20199" t="str">
        <f t="shared" si="354"/>
        <v xml:space="preserve">12510021807 </v>
      </c>
      <c r="E20199" t="s">
        <v>309</v>
      </c>
      <c r="F20199" t="s">
        <v>310</v>
      </c>
      <c r="G20199">
        <v>6.78</v>
      </c>
      <c r="H20199">
        <v>250228</v>
      </c>
      <c r="I20199">
        <v>4369</v>
      </c>
      <c r="J20199" t="s">
        <v>188</v>
      </c>
      <c r="K20199">
        <v>386.84</v>
      </c>
      <c r="L20199">
        <v>1.38</v>
      </c>
      <c r="M20199">
        <v>69708</v>
      </c>
      <c r="N20199" t="s">
        <v>125</v>
      </c>
      <c r="O20199">
        <v>250317</v>
      </c>
      <c r="P20199">
        <v>5.4</v>
      </c>
    </row>
    <row r="20200" spans="1:16" x14ac:dyDescent="0.25">
      <c r="A20200" t="s">
        <v>3296</v>
      </c>
      <c r="B20200" t="s">
        <v>2931</v>
      </c>
      <c r="C20200">
        <v>3311</v>
      </c>
      <c r="D20200" t="str">
        <f>"105341447   "</f>
        <v xml:space="preserve">105341447   </v>
      </c>
      <c r="E20200" t="s">
        <v>309</v>
      </c>
      <c r="F20200" t="s">
        <v>310</v>
      </c>
      <c r="G20200">
        <v>26.36</v>
      </c>
      <c r="H20200">
        <v>250228</v>
      </c>
      <c r="I20200">
        <v>4369</v>
      </c>
      <c r="J20200" t="s">
        <v>188</v>
      </c>
      <c r="K20200">
        <v>26.36</v>
      </c>
      <c r="L20200">
        <v>5.36</v>
      </c>
      <c r="M20200">
        <v>11801</v>
      </c>
      <c r="N20200" t="s">
        <v>40</v>
      </c>
      <c r="O20200">
        <v>250318</v>
      </c>
      <c r="P20200">
        <v>21</v>
      </c>
    </row>
    <row r="20201" spans="1:16" x14ac:dyDescent="0.25">
      <c r="A20201" t="s">
        <v>3296</v>
      </c>
      <c r="B20201" t="s">
        <v>2931</v>
      </c>
      <c r="C20201">
        <v>3324</v>
      </c>
      <c r="D20201" t="str">
        <f>"12510021833 "</f>
        <v xml:space="preserve">12510021833 </v>
      </c>
      <c r="E20201" t="s">
        <v>309</v>
      </c>
      <c r="F20201" t="s">
        <v>310</v>
      </c>
      <c r="G20201">
        <v>3.39</v>
      </c>
      <c r="H20201">
        <v>250228</v>
      </c>
      <c r="I20201">
        <v>4369</v>
      </c>
      <c r="J20201" t="s">
        <v>188</v>
      </c>
      <c r="K20201">
        <v>10.17</v>
      </c>
      <c r="L20201">
        <v>0.69</v>
      </c>
      <c r="M20201">
        <v>11901</v>
      </c>
      <c r="N20201" t="s">
        <v>31</v>
      </c>
      <c r="O20201">
        <v>250318</v>
      </c>
      <c r="P20201">
        <v>2.7</v>
      </c>
    </row>
    <row r="20202" spans="1:16" x14ac:dyDescent="0.25">
      <c r="A20202" t="s">
        <v>3296</v>
      </c>
      <c r="B20202" t="s">
        <v>2931</v>
      </c>
      <c r="C20202">
        <v>3324</v>
      </c>
      <c r="D20202" t="str">
        <f>"12510021833 "</f>
        <v xml:space="preserve">12510021833 </v>
      </c>
      <c r="E20202" t="s">
        <v>309</v>
      </c>
      <c r="F20202" t="s">
        <v>310</v>
      </c>
      <c r="G20202">
        <v>3.39</v>
      </c>
      <c r="H20202">
        <v>250228</v>
      </c>
      <c r="I20202">
        <v>4369</v>
      </c>
      <c r="J20202" t="s">
        <v>188</v>
      </c>
      <c r="K20202">
        <v>10.17</v>
      </c>
      <c r="L20202">
        <v>0.69</v>
      </c>
      <c r="M20202">
        <v>11903</v>
      </c>
      <c r="N20202" t="s">
        <v>32</v>
      </c>
      <c r="O20202">
        <v>250318</v>
      </c>
      <c r="P20202">
        <v>2.7</v>
      </c>
    </row>
    <row r="20203" spans="1:16" x14ac:dyDescent="0.25">
      <c r="A20203" t="s">
        <v>3296</v>
      </c>
      <c r="B20203" t="s">
        <v>2931</v>
      </c>
      <c r="C20203">
        <v>3324</v>
      </c>
      <c r="D20203" t="str">
        <f>"12510021833 "</f>
        <v xml:space="preserve">12510021833 </v>
      </c>
      <c r="E20203" t="s">
        <v>309</v>
      </c>
      <c r="F20203" t="s">
        <v>310</v>
      </c>
      <c r="G20203">
        <v>3.39</v>
      </c>
      <c r="H20203">
        <v>250228</v>
      </c>
      <c r="I20203">
        <v>4369</v>
      </c>
      <c r="J20203" t="s">
        <v>188</v>
      </c>
      <c r="K20203">
        <v>10.17</v>
      </c>
      <c r="L20203">
        <v>0.69</v>
      </c>
      <c r="M20203">
        <v>11903</v>
      </c>
      <c r="N20203" t="s">
        <v>32</v>
      </c>
      <c r="O20203">
        <v>250318</v>
      </c>
      <c r="P20203">
        <v>2.7</v>
      </c>
    </row>
    <row r="20204" spans="1:16" x14ac:dyDescent="0.25">
      <c r="A20204" t="s">
        <v>3296</v>
      </c>
      <c r="B20204" t="s">
        <v>2931</v>
      </c>
      <c r="C20204">
        <v>3328</v>
      </c>
      <c r="D20204" t="str">
        <f t="shared" ref="D20204:D20223" si="355">"12510021838 "</f>
        <v xml:space="preserve">12510021838 </v>
      </c>
      <c r="E20204" t="s">
        <v>309</v>
      </c>
      <c r="F20204" t="s">
        <v>310</v>
      </c>
      <c r="G20204">
        <v>20.93</v>
      </c>
      <c r="H20204">
        <v>250228</v>
      </c>
      <c r="I20204">
        <v>4369</v>
      </c>
      <c r="J20204" t="s">
        <v>188</v>
      </c>
      <c r="K20204">
        <v>244.73</v>
      </c>
      <c r="L20204">
        <v>4.25</v>
      </c>
      <c r="M20204">
        <v>11601</v>
      </c>
      <c r="N20204" t="s">
        <v>12</v>
      </c>
      <c r="O20204">
        <v>250318</v>
      </c>
      <c r="P20204">
        <v>16.68</v>
      </c>
    </row>
    <row r="20205" spans="1:16" x14ac:dyDescent="0.25">
      <c r="A20205" t="s">
        <v>3296</v>
      </c>
      <c r="B20205" t="s">
        <v>2931</v>
      </c>
      <c r="C20205">
        <v>3328</v>
      </c>
      <c r="D20205" t="str">
        <f t="shared" si="355"/>
        <v xml:space="preserve">12510021838 </v>
      </c>
      <c r="E20205" t="s">
        <v>309</v>
      </c>
      <c r="F20205" t="s">
        <v>310</v>
      </c>
      <c r="G20205">
        <v>3.2</v>
      </c>
      <c r="H20205">
        <v>250228</v>
      </c>
      <c r="I20205">
        <v>4369</v>
      </c>
      <c r="J20205" t="s">
        <v>188</v>
      </c>
      <c r="K20205">
        <v>244.73</v>
      </c>
      <c r="L20205">
        <v>0.65</v>
      </c>
      <c r="M20205">
        <v>11603</v>
      </c>
      <c r="N20205" t="s">
        <v>897</v>
      </c>
      <c r="O20205">
        <v>250318</v>
      </c>
      <c r="P20205">
        <v>2.5499999999999998</v>
      </c>
    </row>
    <row r="20206" spans="1:16" x14ac:dyDescent="0.25">
      <c r="A20206" t="s">
        <v>3296</v>
      </c>
      <c r="B20206" t="s">
        <v>2931</v>
      </c>
      <c r="C20206">
        <v>3328</v>
      </c>
      <c r="D20206" t="str">
        <f t="shared" si="355"/>
        <v xml:space="preserve">12510021838 </v>
      </c>
      <c r="E20206" t="s">
        <v>309</v>
      </c>
      <c r="F20206" t="s">
        <v>310</v>
      </c>
      <c r="G20206">
        <v>20.99</v>
      </c>
      <c r="H20206">
        <v>250228</v>
      </c>
      <c r="I20206">
        <v>4369</v>
      </c>
      <c r="J20206" t="s">
        <v>188</v>
      </c>
      <c r="K20206">
        <v>244.73</v>
      </c>
      <c r="L20206">
        <v>4.26</v>
      </c>
      <c r="M20206">
        <v>14121</v>
      </c>
      <c r="N20206" t="s">
        <v>71</v>
      </c>
      <c r="O20206">
        <v>250318</v>
      </c>
      <c r="P20206">
        <v>16.73</v>
      </c>
    </row>
    <row r="20207" spans="1:16" x14ac:dyDescent="0.25">
      <c r="A20207" t="s">
        <v>3296</v>
      </c>
      <c r="B20207" t="s">
        <v>2931</v>
      </c>
      <c r="C20207">
        <v>3328</v>
      </c>
      <c r="D20207" t="str">
        <f t="shared" si="355"/>
        <v xml:space="preserve">12510021838 </v>
      </c>
      <c r="E20207" t="s">
        <v>309</v>
      </c>
      <c r="F20207" t="s">
        <v>310</v>
      </c>
      <c r="G20207">
        <v>22.67</v>
      </c>
      <c r="H20207">
        <v>250228</v>
      </c>
      <c r="I20207">
        <v>4369</v>
      </c>
      <c r="J20207" t="s">
        <v>188</v>
      </c>
      <c r="K20207">
        <v>244.73</v>
      </c>
      <c r="L20207">
        <v>4.6100000000000003</v>
      </c>
      <c r="M20207">
        <v>14321</v>
      </c>
      <c r="N20207" t="s">
        <v>72</v>
      </c>
      <c r="O20207">
        <v>250318</v>
      </c>
      <c r="P20207">
        <v>18.059999999999999</v>
      </c>
    </row>
    <row r="20208" spans="1:16" x14ac:dyDescent="0.25">
      <c r="A20208" t="s">
        <v>3296</v>
      </c>
      <c r="B20208" t="s">
        <v>2931</v>
      </c>
      <c r="C20208">
        <v>3328</v>
      </c>
      <c r="D20208" t="str">
        <f t="shared" si="355"/>
        <v xml:space="preserve">12510021838 </v>
      </c>
      <c r="E20208" t="s">
        <v>309</v>
      </c>
      <c r="F20208" t="s">
        <v>310</v>
      </c>
      <c r="G20208">
        <v>17.25</v>
      </c>
      <c r="H20208">
        <v>250228</v>
      </c>
      <c r="I20208">
        <v>4369</v>
      </c>
      <c r="J20208" t="s">
        <v>188</v>
      </c>
      <c r="K20208">
        <v>244.73</v>
      </c>
      <c r="L20208">
        <v>3.5</v>
      </c>
      <c r="M20208">
        <v>14422</v>
      </c>
      <c r="N20208" t="s">
        <v>73</v>
      </c>
      <c r="O20208">
        <v>250318</v>
      </c>
      <c r="P20208">
        <v>13.75</v>
      </c>
    </row>
    <row r="20209" spans="1:16" x14ac:dyDescent="0.25">
      <c r="A20209" t="s">
        <v>3296</v>
      </c>
      <c r="B20209" t="s">
        <v>2931</v>
      </c>
      <c r="C20209">
        <v>3328</v>
      </c>
      <c r="D20209" t="str">
        <f t="shared" si="355"/>
        <v xml:space="preserve">12510021838 </v>
      </c>
      <c r="E20209" t="s">
        <v>309</v>
      </c>
      <c r="F20209" t="s">
        <v>310</v>
      </c>
      <c r="G20209">
        <v>10.16</v>
      </c>
      <c r="H20209">
        <v>250228</v>
      </c>
      <c r="I20209">
        <v>4369</v>
      </c>
      <c r="J20209" t="s">
        <v>188</v>
      </c>
      <c r="K20209">
        <v>244.73</v>
      </c>
      <c r="L20209">
        <v>2.06</v>
      </c>
      <c r="M20209">
        <v>14431</v>
      </c>
      <c r="N20209" t="s">
        <v>74</v>
      </c>
      <c r="O20209">
        <v>250318</v>
      </c>
      <c r="P20209">
        <v>8.1</v>
      </c>
    </row>
    <row r="20210" spans="1:16" x14ac:dyDescent="0.25">
      <c r="A20210" t="s">
        <v>3296</v>
      </c>
      <c r="B20210" t="s">
        <v>2931</v>
      </c>
      <c r="C20210">
        <v>3328</v>
      </c>
      <c r="D20210" t="str">
        <f t="shared" si="355"/>
        <v xml:space="preserve">12510021838 </v>
      </c>
      <c r="E20210" t="s">
        <v>309</v>
      </c>
      <c r="F20210" t="s">
        <v>310</v>
      </c>
      <c r="G20210">
        <v>13.42</v>
      </c>
      <c r="H20210">
        <v>250228</v>
      </c>
      <c r="I20210">
        <v>4369</v>
      </c>
      <c r="J20210" t="s">
        <v>188</v>
      </c>
      <c r="K20210">
        <v>244.73</v>
      </c>
      <c r="L20210">
        <v>2.73</v>
      </c>
      <c r="M20210">
        <v>14432</v>
      </c>
      <c r="N20210" t="s">
        <v>75</v>
      </c>
      <c r="O20210">
        <v>250318</v>
      </c>
      <c r="P20210">
        <v>10.69</v>
      </c>
    </row>
    <row r="20211" spans="1:16" x14ac:dyDescent="0.25">
      <c r="A20211" t="s">
        <v>3296</v>
      </c>
      <c r="B20211" t="s">
        <v>2931</v>
      </c>
      <c r="C20211">
        <v>3328</v>
      </c>
      <c r="D20211" t="str">
        <f t="shared" si="355"/>
        <v xml:space="preserve">12510021838 </v>
      </c>
      <c r="E20211" t="s">
        <v>309</v>
      </c>
      <c r="F20211" t="s">
        <v>310</v>
      </c>
      <c r="G20211">
        <v>7.79</v>
      </c>
      <c r="H20211">
        <v>250228</v>
      </c>
      <c r="I20211">
        <v>4369</v>
      </c>
      <c r="J20211" t="s">
        <v>188</v>
      </c>
      <c r="K20211">
        <v>244.73</v>
      </c>
      <c r="L20211">
        <v>1.58</v>
      </c>
      <c r="M20211">
        <v>14541</v>
      </c>
      <c r="N20211" t="s">
        <v>76</v>
      </c>
      <c r="O20211">
        <v>250318</v>
      </c>
      <c r="P20211">
        <v>6.21</v>
      </c>
    </row>
    <row r="20212" spans="1:16" x14ac:dyDescent="0.25">
      <c r="A20212" t="s">
        <v>3296</v>
      </c>
      <c r="B20212" t="s">
        <v>2931</v>
      </c>
      <c r="C20212">
        <v>3328</v>
      </c>
      <c r="D20212" t="str">
        <f t="shared" si="355"/>
        <v xml:space="preserve">12510021838 </v>
      </c>
      <c r="E20212" t="s">
        <v>309</v>
      </c>
      <c r="F20212" t="s">
        <v>310</v>
      </c>
      <c r="G20212">
        <v>53.19</v>
      </c>
      <c r="H20212">
        <v>250228</v>
      </c>
      <c r="I20212">
        <v>4369</v>
      </c>
      <c r="J20212" t="s">
        <v>188</v>
      </c>
      <c r="K20212">
        <v>244.73</v>
      </c>
      <c r="L20212">
        <v>10.81</v>
      </c>
      <c r="M20212">
        <v>14622</v>
      </c>
      <c r="N20212" t="s">
        <v>77</v>
      </c>
      <c r="O20212">
        <v>250318</v>
      </c>
      <c r="P20212">
        <v>42.38</v>
      </c>
    </row>
    <row r="20213" spans="1:16" x14ac:dyDescent="0.25">
      <c r="A20213" t="s">
        <v>3296</v>
      </c>
      <c r="B20213" t="s">
        <v>2931</v>
      </c>
      <c r="C20213">
        <v>3328</v>
      </c>
      <c r="D20213" t="str">
        <f t="shared" si="355"/>
        <v xml:space="preserve">12510021838 </v>
      </c>
      <c r="E20213" t="s">
        <v>309</v>
      </c>
      <c r="F20213" t="s">
        <v>310</v>
      </c>
      <c r="G20213">
        <v>6.78</v>
      </c>
      <c r="H20213">
        <v>250228</v>
      </c>
      <c r="I20213">
        <v>4369</v>
      </c>
      <c r="J20213" t="s">
        <v>188</v>
      </c>
      <c r="K20213">
        <v>244.73</v>
      </c>
      <c r="L20213">
        <v>1.38</v>
      </c>
      <c r="M20213">
        <v>14640</v>
      </c>
      <c r="N20213" t="s">
        <v>78</v>
      </c>
      <c r="O20213">
        <v>250318</v>
      </c>
      <c r="P20213">
        <v>5.4</v>
      </c>
    </row>
    <row r="20214" spans="1:16" x14ac:dyDescent="0.25">
      <c r="A20214" t="s">
        <v>3296</v>
      </c>
      <c r="B20214" t="s">
        <v>2931</v>
      </c>
      <c r="C20214">
        <v>3328</v>
      </c>
      <c r="D20214" t="str">
        <f t="shared" si="355"/>
        <v xml:space="preserve">12510021838 </v>
      </c>
      <c r="E20214" t="s">
        <v>309</v>
      </c>
      <c r="F20214" t="s">
        <v>310</v>
      </c>
      <c r="G20214">
        <v>3.39</v>
      </c>
      <c r="H20214">
        <v>250228</v>
      </c>
      <c r="I20214">
        <v>4369</v>
      </c>
      <c r="J20214" t="s">
        <v>188</v>
      </c>
      <c r="K20214">
        <v>244.73</v>
      </c>
      <c r="L20214">
        <v>0.69</v>
      </c>
      <c r="M20214">
        <v>14861</v>
      </c>
      <c r="N20214" t="s">
        <v>79</v>
      </c>
      <c r="O20214">
        <v>250318</v>
      </c>
      <c r="P20214">
        <v>2.7</v>
      </c>
    </row>
    <row r="20215" spans="1:16" x14ac:dyDescent="0.25">
      <c r="A20215" t="s">
        <v>3296</v>
      </c>
      <c r="B20215" t="s">
        <v>2931</v>
      </c>
      <c r="C20215">
        <v>3328</v>
      </c>
      <c r="D20215" t="str">
        <f t="shared" si="355"/>
        <v xml:space="preserve">12510021838 </v>
      </c>
      <c r="E20215" t="s">
        <v>309</v>
      </c>
      <c r="F20215" t="s">
        <v>310</v>
      </c>
      <c r="G20215">
        <v>7.31</v>
      </c>
      <c r="H20215">
        <v>250228</v>
      </c>
      <c r="I20215">
        <v>4369</v>
      </c>
      <c r="J20215" t="s">
        <v>188</v>
      </c>
      <c r="K20215">
        <v>244.73</v>
      </c>
      <c r="L20215">
        <v>1.49</v>
      </c>
      <c r="M20215">
        <v>14912</v>
      </c>
      <c r="N20215" t="s">
        <v>80</v>
      </c>
      <c r="O20215">
        <v>250318</v>
      </c>
      <c r="P20215">
        <v>5.82</v>
      </c>
    </row>
    <row r="20216" spans="1:16" x14ac:dyDescent="0.25">
      <c r="A20216" t="s">
        <v>3296</v>
      </c>
      <c r="B20216" t="s">
        <v>2931</v>
      </c>
      <c r="C20216">
        <v>3328</v>
      </c>
      <c r="D20216" t="str">
        <f t="shared" si="355"/>
        <v xml:space="preserve">12510021838 </v>
      </c>
      <c r="E20216" t="s">
        <v>309</v>
      </c>
      <c r="F20216" t="s">
        <v>310</v>
      </c>
      <c r="G20216">
        <v>3.68</v>
      </c>
      <c r="H20216">
        <v>250228</v>
      </c>
      <c r="I20216">
        <v>4369</v>
      </c>
      <c r="J20216" t="s">
        <v>188</v>
      </c>
      <c r="K20216">
        <v>244.73</v>
      </c>
      <c r="L20216">
        <v>0.75</v>
      </c>
      <c r="M20216">
        <v>14971</v>
      </c>
      <c r="N20216" t="s">
        <v>81</v>
      </c>
      <c r="O20216">
        <v>250318</v>
      </c>
      <c r="P20216">
        <v>2.93</v>
      </c>
    </row>
    <row r="20217" spans="1:16" x14ac:dyDescent="0.25">
      <c r="A20217" t="s">
        <v>3296</v>
      </c>
      <c r="B20217" t="s">
        <v>2931</v>
      </c>
      <c r="C20217">
        <v>3328</v>
      </c>
      <c r="D20217" t="str">
        <f t="shared" si="355"/>
        <v xml:space="preserve">12510021838 </v>
      </c>
      <c r="E20217" t="s">
        <v>309</v>
      </c>
      <c r="F20217" t="s">
        <v>310</v>
      </c>
      <c r="G20217">
        <v>6.95</v>
      </c>
      <c r="H20217">
        <v>250228</v>
      </c>
      <c r="I20217">
        <v>4369</v>
      </c>
      <c r="J20217" t="s">
        <v>188</v>
      </c>
      <c r="K20217">
        <v>244.73</v>
      </c>
      <c r="L20217">
        <v>1.41</v>
      </c>
      <c r="M20217">
        <v>14972</v>
      </c>
      <c r="N20217" t="s">
        <v>82</v>
      </c>
      <c r="O20217">
        <v>250318</v>
      </c>
      <c r="P20217">
        <v>5.54</v>
      </c>
    </row>
    <row r="20218" spans="1:16" x14ac:dyDescent="0.25">
      <c r="A20218" t="s">
        <v>3296</v>
      </c>
      <c r="B20218" t="s">
        <v>2931</v>
      </c>
      <c r="C20218">
        <v>3328</v>
      </c>
      <c r="D20218" t="str">
        <f t="shared" si="355"/>
        <v xml:space="preserve">12510021838 </v>
      </c>
      <c r="E20218" t="s">
        <v>309</v>
      </c>
      <c r="F20218" t="s">
        <v>310</v>
      </c>
      <c r="G20218">
        <v>3.39</v>
      </c>
      <c r="H20218">
        <v>250228</v>
      </c>
      <c r="I20218">
        <v>4369</v>
      </c>
      <c r="J20218" t="s">
        <v>188</v>
      </c>
      <c r="K20218">
        <v>244.73</v>
      </c>
      <c r="L20218">
        <v>0.69</v>
      </c>
      <c r="M20218">
        <v>14974</v>
      </c>
      <c r="N20218" t="s">
        <v>83</v>
      </c>
      <c r="O20218">
        <v>250318</v>
      </c>
      <c r="P20218">
        <v>2.7</v>
      </c>
    </row>
    <row r="20219" spans="1:16" x14ac:dyDescent="0.25">
      <c r="A20219" t="s">
        <v>3296</v>
      </c>
      <c r="B20219" t="s">
        <v>2931</v>
      </c>
      <c r="C20219">
        <v>3328</v>
      </c>
      <c r="D20219" t="str">
        <f t="shared" si="355"/>
        <v xml:space="preserve">12510021838 </v>
      </c>
      <c r="E20219" t="s">
        <v>309</v>
      </c>
      <c r="F20219" t="s">
        <v>310</v>
      </c>
      <c r="G20219">
        <v>16.940000000000001</v>
      </c>
      <c r="H20219">
        <v>250228</v>
      </c>
      <c r="I20219">
        <v>4369</v>
      </c>
      <c r="J20219" t="s">
        <v>188</v>
      </c>
      <c r="K20219">
        <v>244.73</v>
      </c>
      <c r="L20219">
        <v>3.44</v>
      </c>
      <c r="M20219">
        <v>14975</v>
      </c>
      <c r="N20219" t="s">
        <v>84</v>
      </c>
      <c r="O20219">
        <v>250318</v>
      </c>
      <c r="P20219">
        <v>13.5</v>
      </c>
    </row>
    <row r="20220" spans="1:16" x14ac:dyDescent="0.25">
      <c r="A20220" t="s">
        <v>3296</v>
      </c>
      <c r="B20220" t="s">
        <v>2931</v>
      </c>
      <c r="C20220">
        <v>3328</v>
      </c>
      <c r="D20220" t="str">
        <f t="shared" si="355"/>
        <v xml:space="preserve">12510021838 </v>
      </c>
      <c r="E20220" t="s">
        <v>309</v>
      </c>
      <c r="F20220" t="s">
        <v>310</v>
      </c>
      <c r="G20220">
        <v>6.35</v>
      </c>
      <c r="H20220">
        <v>250228</v>
      </c>
      <c r="I20220">
        <v>4369</v>
      </c>
      <c r="J20220" t="s">
        <v>188</v>
      </c>
      <c r="K20220">
        <v>244.73</v>
      </c>
      <c r="L20220">
        <v>1.29</v>
      </c>
      <c r="M20220">
        <v>14990</v>
      </c>
      <c r="N20220" t="s">
        <v>85</v>
      </c>
      <c r="O20220">
        <v>250318</v>
      </c>
      <c r="P20220">
        <v>5.0599999999999996</v>
      </c>
    </row>
    <row r="20221" spans="1:16" x14ac:dyDescent="0.25">
      <c r="A20221" t="s">
        <v>3296</v>
      </c>
      <c r="B20221" t="s">
        <v>2931</v>
      </c>
      <c r="C20221">
        <v>3328</v>
      </c>
      <c r="D20221" t="str">
        <f t="shared" si="355"/>
        <v xml:space="preserve">12510021838 </v>
      </c>
      <c r="E20221" t="s">
        <v>309</v>
      </c>
      <c r="F20221" t="s">
        <v>310</v>
      </c>
      <c r="G20221">
        <v>3.39</v>
      </c>
      <c r="H20221">
        <v>250228</v>
      </c>
      <c r="I20221">
        <v>4369</v>
      </c>
      <c r="J20221" t="s">
        <v>188</v>
      </c>
      <c r="K20221">
        <v>244.73</v>
      </c>
      <c r="L20221">
        <v>0.69</v>
      </c>
      <c r="M20221">
        <v>14990</v>
      </c>
      <c r="N20221" t="s">
        <v>85</v>
      </c>
      <c r="O20221">
        <v>250318</v>
      </c>
      <c r="P20221">
        <v>2.7</v>
      </c>
    </row>
    <row r="20222" spans="1:16" x14ac:dyDescent="0.25">
      <c r="A20222" t="s">
        <v>3296</v>
      </c>
      <c r="B20222" t="s">
        <v>2931</v>
      </c>
      <c r="C20222">
        <v>3328</v>
      </c>
      <c r="D20222" t="str">
        <f t="shared" si="355"/>
        <v xml:space="preserve">12510021838 </v>
      </c>
      <c r="E20222" t="s">
        <v>309</v>
      </c>
      <c r="F20222" t="s">
        <v>310</v>
      </c>
      <c r="G20222">
        <v>3.39</v>
      </c>
      <c r="H20222">
        <v>250228</v>
      </c>
      <c r="I20222">
        <v>4369</v>
      </c>
      <c r="J20222" t="s">
        <v>188</v>
      </c>
      <c r="K20222">
        <v>244.73</v>
      </c>
      <c r="L20222">
        <v>0.69</v>
      </c>
      <c r="M20222">
        <v>18120</v>
      </c>
      <c r="N20222" t="s">
        <v>37</v>
      </c>
      <c r="O20222">
        <v>250318</v>
      </c>
      <c r="P20222">
        <v>2.7</v>
      </c>
    </row>
    <row r="20223" spans="1:16" x14ac:dyDescent="0.25">
      <c r="A20223" t="s">
        <v>3296</v>
      </c>
      <c r="B20223" t="s">
        <v>2931</v>
      </c>
      <c r="C20223">
        <v>3328</v>
      </c>
      <c r="D20223" t="str">
        <f t="shared" si="355"/>
        <v xml:space="preserve">12510021838 </v>
      </c>
      <c r="E20223" t="s">
        <v>309</v>
      </c>
      <c r="F20223" t="s">
        <v>310</v>
      </c>
      <c r="G20223">
        <v>13.56</v>
      </c>
      <c r="H20223">
        <v>250228</v>
      </c>
      <c r="I20223">
        <v>4369</v>
      </c>
      <c r="J20223" t="s">
        <v>188</v>
      </c>
      <c r="K20223">
        <v>244.73</v>
      </c>
      <c r="L20223">
        <v>2.76</v>
      </c>
      <c r="M20223">
        <v>18972</v>
      </c>
      <c r="N20223" t="s">
        <v>39</v>
      </c>
      <c r="O20223">
        <v>250318</v>
      </c>
      <c r="P20223">
        <v>10.8</v>
      </c>
    </row>
    <row r="20224" spans="1:16" x14ac:dyDescent="0.25">
      <c r="A20224" t="s">
        <v>3296</v>
      </c>
      <c r="B20224" t="s">
        <v>2931</v>
      </c>
      <c r="C20224">
        <v>3337</v>
      </c>
      <c r="D20224" t="str">
        <f t="shared" ref="D20224:D20232" si="356">"12510021801 "</f>
        <v xml:space="preserve">12510021801 </v>
      </c>
      <c r="E20224" t="s">
        <v>309</v>
      </c>
      <c r="F20224" t="s">
        <v>310</v>
      </c>
      <c r="G20224">
        <v>6.4</v>
      </c>
      <c r="H20224">
        <v>250228</v>
      </c>
      <c r="I20224">
        <v>4369</v>
      </c>
      <c r="J20224" t="s">
        <v>188</v>
      </c>
      <c r="K20224">
        <v>68.180000000000007</v>
      </c>
      <c r="L20224">
        <v>1.3</v>
      </c>
      <c r="M20224">
        <v>10002</v>
      </c>
      <c r="N20224" t="s">
        <v>513</v>
      </c>
      <c r="O20224">
        <v>250318</v>
      </c>
      <c r="P20224">
        <v>5.0999999999999996</v>
      </c>
    </row>
    <row r="20225" spans="1:16" x14ac:dyDescent="0.25">
      <c r="A20225" t="s">
        <v>3296</v>
      </c>
      <c r="B20225" t="s">
        <v>2931</v>
      </c>
      <c r="C20225">
        <v>3337</v>
      </c>
      <c r="D20225" t="str">
        <f t="shared" si="356"/>
        <v xml:space="preserve">12510021801 </v>
      </c>
      <c r="E20225" t="s">
        <v>309</v>
      </c>
      <c r="F20225" t="s">
        <v>310</v>
      </c>
      <c r="G20225">
        <v>3.2</v>
      </c>
      <c r="H20225">
        <v>250228</v>
      </c>
      <c r="I20225">
        <v>4369</v>
      </c>
      <c r="J20225" t="s">
        <v>188</v>
      </c>
      <c r="K20225">
        <v>68.180000000000007</v>
      </c>
      <c r="L20225">
        <v>0.65</v>
      </c>
      <c r="M20225">
        <v>11001</v>
      </c>
      <c r="N20225" t="s">
        <v>93</v>
      </c>
      <c r="O20225">
        <v>250318</v>
      </c>
      <c r="P20225">
        <v>2.5499999999999998</v>
      </c>
    </row>
    <row r="20226" spans="1:16" x14ac:dyDescent="0.25">
      <c r="A20226" t="s">
        <v>3296</v>
      </c>
      <c r="B20226" t="s">
        <v>2931</v>
      </c>
      <c r="C20226">
        <v>3337</v>
      </c>
      <c r="D20226" t="str">
        <f t="shared" si="356"/>
        <v xml:space="preserve">12510021801 </v>
      </c>
      <c r="E20226" t="s">
        <v>309</v>
      </c>
      <c r="F20226" t="s">
        <v>310</v>
      </c>
      <c r="G20226">
        <v>6.59</v>
      </c>
      <c r="H20226">
        <v>250228</v>
      </c>
      <c r="I20226">
        <v>4369</v>
      </c>
      <c r="J20226" t="s">
        <v>188</v>
      </c>
      <c r="K20226">
        <v>68.180000000000007</v>
      </c>
      <c r="L20226">
        <v>1.34</v>
      </c>
      <c r="M20226">
        <v>11001</v>
      </c>
      <c r="N20226" t="s">
        <v>93</v>
      </c>
      <c r="O20226">
        <v>250318</v>
      </c>
      <c r="P20226">
        <v>5.25</v>
      </c>
    </row>
    <row r="20227" spans="1:16" x14ac:dyDescent="0.25">
      <c r="A20227" t="s">
        <v>3296</v>
      </c>
      <c r="B20227" t="s">
        <v>2931</v>
      </c>
      <c r="C20227">
        <v>3337</v>
      </c>
      <c r="D20227" t="str">
        <f t="shared" si="356"/>
        <v xml:space="preserve">12510021801 </v>
      </c>
      <c r="E20227" t="s">
        <v>309</v>
      </c>
      <c r="F20227" t="s">
        <v>310</v>
      </c>
      <c r="G20227">
        <v>10.17</v>
      </c>
      <c r="H20227">
        <v>250228</v>
      </c>
      <c r="I20227">
        <v>4369</v>
      </c>
      <c r="J20227" t="s">
        <v>188</v>
      </c>
      <c r="K20227">
        <v>68.180000000000007</v>
      </c>
      <c r="L20227">
        <v>2.0699999999999998</v>
      </c>
      <c r="M20227">
        <v>11301</v>
      </c>
      <c r="N20227" t="s">
        <v>92</v>
      </c>
      <c r="O20227">
        <v>250318</v>
      </c>
      <c r="P20227">
        <v>8.1</v>
      </c>
    </row>
    <row r="20228" spans="1:16" x14ac:dyDescent="0.25">
      <c r="A20228" t="s">
        <v>3296</v>
      </c>
      <c r="B20228" t="s">
        <v>2931</v>
      </c>
      <c r="C20228">
        <v>3337</v>
      </c>
      <c r="D20228" t="str">
        <f t="shared" si="356"/>
        <v xml:space="preserve">12510021801 </v>
      </c>
      <c r="E20228" t="s">
        <v>309</v>
      </c>
      <c r="F20228" t="s">
        <v>310</v>
      </c>
      <c r="G20228">
        <v>4.6500000000000004</v>
      </c>
      <c r="H20228">
        <v>250228</v>
      </c>
      <c r="I20228">
        <v>4369</v>
      </c>
      <c r="J20228" t="s">
        <v>188</v>
      </c>
      <c r="K20228">
        <v>68.180000000000007</v>
      </c>
      <c r="L20228">
        <v>0</v>
      </c>
      <c r="M20228">
        <v>11401</v>
      </c>
      <c r="N20228" t="s">
        <v>91</v>
      </c>
      <c r="O20228">
        <v>250318</v>
      </c>
      <c r="P20228">
        <v>4.6500000000000004</v>
      </c>
    </row>
    <row r="20229" spans="1:16" x14ac:dyDescent="0.25">
      <c r="A20229" t="s">
        <v>3296</v>
      </c>
      <c r="B20229" t="s">
        <v>2931</v>
      </c>
      <c r="C20229">
        <v>3337</v>
      </c>
      <c r="D20229" t="str">
        <f t="shared" si="356"/>
        <v xml:space="preserve">12510021801 </v>
      </c>
      <c r="E20229" t="s">
        <v>309</v>
      </c>
      <c r="F20229" t="s">
        <v>310</v>
      </c>
      <c r="G20229">
        <v>17.32</v>
      </c>
      <c r="H20229">
        <v>250228</v>
      </c>
      <c r="I20229">
        <v>4369</v>
      </c>
      <c r="J20229" t="s">
        <v>188</v>
      </c>
      <c r="K20229">
        <v>68.180000000000007</v>
      </c>
      <c r="L20229">
        <v>3.52</v>
      </c>
      <c r="M20229">
        <v>11401</v>
      </c>
      <c r="N20229" t="s">
        <v>91</v>
      </c>
      <c r="O20229">
        <v>250318</v>
      </c>
      <c r="P20229">
        <v>13.8</v>
      </c>
    </row>
    <row r="20230" spans="1:16" x14ac:dyDescent="0.25">
      <c r="A20230" t="s">
        <v>3296</v>
      </c>
      <c r="B20230" t="s">
        <v>2931</v>
      </c>
      <c r="C20230">
        <v>3337</v>
      </c>
      <c r="D20230" t="str">
        <f t="shared" si="356"/>
        <v xml:space="preserve">12510021801 </v>
      </c>
      <c r="E20230" t="s">
        <v>309</v>
      </c>
      <c r="F20230" t="s">
        <v>310</v>
      </c>
      <c r="G20230">
        <v>3.48</v>
      </c>
      <c r="H20230">
        <v>250228</v>
      </c>
      <c r="I20230">
        <v>4369</v>
      </c>
      <c r="J20230" t="s">
        <v>188</v>
      </c>
      <c r="K20230">
        <v>68.180000000000007</v>
      </c>
      <c r="L20230">
        <v>0.71</v>
      </c>
      <c r="M20230">
        <v>11501</v>
      </c>
      <c r="N20230" t="s">
        <v>13</v>
      </c>
      <c r="O20230">
        <v>250318</v>
      </c>
      <c r="P20230">
        <v>2.77</v>
      </c>
    </row>
    <row r="20231" spans="1:16" x14ac:dyDescent="0.25">
      <c r="A20231" t="s">
        <v>3296</v>
      </c>
      <c r="B20231" t="s">
        <v>2931</v>
      </c>
      <c r="C20231">
        <v>3337</v>
      </c>
      <c r="D20231" t="str">
        <f t="shared" si="356"/>
        <v xml:space="preserve">12510021801 </v>
      </c>
      <c r="E20231" t="s">
        <v>309</v>
      </c>
      <c r="F20231" t="s">
        <v>310</v>
      </c>
      <c r="G20231">
        <v>6.59</v>
      </c>
      <c r="H20231">
        <v>250228</v>
      </c>
      <c r="I20231">
        <v>4369</v>
      </c>
      <c r="J20231" t="s">
        <v>188</v>
      </c>
      <c r="K20231">
        <v>68.180000000000007</v>
      </c>
      <c r="L20231">
        <v>1.34</v>
      </c>
      <c r="M20231">
        <v>11501</v>
      </c>
      <c r="N20231" t="s">
        <v>13</v>
      </c>
      <c r="O20231">
        <v>250318</v>
      </c>
      <c r="P20231">
        <v>5.25</v>
      </c>
    </row>
    <row r="20232" spans="1:16" x14ac:dyDescent="0.25">
      <c r="A20232" t="s">
        <v>3296</v>
      </c>
      <c r="B20232" t="s">
        <v>2931</v>
      </c>
      <c r="C20232">
        <v>3337</v>
      </c>
      <c r="D20232" t="str">
        <f t="shared" si="356"/>
        <v xml:space="preserve">12510021801 </v>
      </c>
      <c r="E20232" t="s">
        <v>309</v>
      </c>
      <c r="F20232" t="s">
        <v>310</v>
      </c>
      <c r="G20232">
        <v>9.7799999999999994</v>
      </c>
      <c r="H20232">
        <v>250228</v>
      </c>
      <c r="I20232">
        <v>4369</v>
      </c>
      <c r="J20232" t="s">
        <v>188</v>
      </c>
      <c r="K20232">
        <v>68.180000000000007</v>
      </c>
      <c r="L20232">
        <v>1.99</v>
      </c>
      <c r="M20232">
        <v>18972</v>
      </c>
      <c r="N20232" t="s">
        <v>39</v>
      </c>
      <c r="O20232">
        <v>250318</v>
      </c>
      <c r="P20232">
        <v>7.79</v>
      </c>
    </row>
    <row r="20233" spans="1:16" x14ac:dyDescent="0.25">
      <c r="A20233" t="s">
        <v>3296</v>
      </c>
      <c r="B20233" t="s">
        <v>2931</v>
      </c>
      <c r="C20233">
        <v>3339</v>
      </c>
      <c r="D20233" t="str">
        <f>"12510021817 "</f>
        <v xml:space="preserve">12510021817 </v>
      </c>
      <c r="E20233" t="s">
        <v>309</v>
      </c>
      <c r="F20233" t="s">
        <v>310</v>
      </c>
      <c r="G20233">
        <v>3.79</v>
      </c>
      <c r="H20233">
        <v>250228</v>
      </c>
      <c r="I20233">
        <v>4369</v>
      </c>
      <c r="J20233" t="s">
        <v>188</v>
      </c>
      <c r="K20233">
        <v>41.23</v>
      </c>
      <c r="L20233">
        <v>0.77</v>
      </c>
      <c r="M20233">
        <v>48601</v>
      </c>
      <c r="N20233" t="s">
        <v>107</v>
      </c>
      <c r="O20233">
        <v>250318</v>
      </c>
      <c r="P20233">
        <v>3.02</v>
      </c>
    </row>
    <row r="20234" spans="1:16" x14ac:dyDescent="0.25">
      <c r="A20234" t="s">
        <v>3296</v>
      </c>
      <c r="B20234" t="s">
        <v>2931</v>
      </c>
      <c r="C20234">
        <v>3339</v>
      </c>
      <c r="D20234" t="str">
        <f>"12510021817 "</f>
        <v xml:space="preserve">12510021817 </v>
      </c>
      <c r="E20234" t="s">
        <v>309</v>
      </c>
      <c r="F20234" t="s">
        <v>310</v>
      </c>
      <c r="G20234">
        <v>3.39</v>
      </c>
      <c r="H20234">
        <v>250228</v>
      </c>
      <c r="I20234">
        <v>4369</v>
      </c>
      <c r="J20234" t="s">
        <v>188</v>
      </c>
      <c r="K20234">
        <v>41.23</v>
      </c>
      <c r="L20234">
        <v>0.69</v>
      </c>
      <c r="M20234">
        <v>49111</v>
      </c>
      <c r="N20234" t="s">
        <v>108</v>
      </c>
      <c r="O20234">
        <v>250318</v>
      </c>
      <c r="P20234">
        <v>2.7</v>
      </c>
    </row>
    <row r="20235" spans="1:16" x14ac:dyDescent="0.25">
      <c r="A20235" t="s">
        <v>3296</v>
      </c>
      <c r="B20235" t="s">
        <v>2931</v>
      </c>
      <c r="C20235">
        <v>3339</v>
      </c>
      <c r="D20235" t="str">
        <f>"12510021817 "</f>
        <v xml:space="preserve">12510021817 </v>
      </c>
      <c r="E20235" t="s">
        <v>309</v>
      </c>
      <c r="F20235" t="s">
        <v>310</v>
      </c>
      <c r="G20235">
        <v>9.98</v>
      </c>
      <c r="H20235">
        <v>250228</v>
      </c>
      <c r="I20235">
        <v>4369</v>
      </c>
      <c r="J20235" t="s">
        <v>188</v>
      </c>
      <c r="K20235">
        <v>41.23</v>
      </c>
      <c r="L20235">
        <v>2.0299999999999998</v>
      </c>
      <c r="M20235">
        <v>49704</v>
      </c>
      <c r="N20235" t="s">
        <v>113</v>
      </c>
      <c r="O20235">
        <v>250318</v>
      </c>
      <c r="P20235">
        <v>7.95</v>
      </c>
    </row>
    <row r="20236" spans="1:16" x14ac:dyDescent="0.25">
      <c r="A20236" t="s">
        <v>3296</v>
      </c>
      <c r="B20236" t="s">
        <v>2931</v>
      </c>
      <c r="C20236">
        <v>3339</v>
      </c>
      <c r="D20236" t="str">
        <f>"12510021817 "</f>
        <v xml:space="preserve">12510021817 </v>
      </c>
      <c r="E20236" t="s">
        <v>309</v>
      </c>
      <c r="F20236" t="s">
        <v>310</v>
      </c>
      <c r="G20236">
        <v>24.07</v>
      </c>
      <c r="H20236">
        <v>250228</v>
      </c>
      <c r="I20236">
        <v>4369</v>
      </c>
      <c r="J20236" t="s">
        <v>188</v>
      </c>
      <c r="K20236">
        <v>41.23</v>
      </c>
      <c r="L20236">
        <v>4.8899999999999997</v>
      </c>
      <c r="M20236">
        <v>49705</v>
      </c>
      <c r="N20236" t="s">
        <v>114</v>
      </c>
      <c r="O20236">
        <v>250318</v>
      </c>
      <c r="P20236">
        <v>19.18</v>
      </c>
    </row>
    <row r="20237" spans="1:16" x14ac:dyDescent="0.25">
      <c r="A20237" t="s">
        <v>3296</v>
      </c>
      <c r="B20237" t="s">
        <v>2931</v>
      </c>
      <c r="C20237">
        <v>3346</v>
      </c>
      <c r="D20237" t="str">
        <f>"12510021813 "</f>
        <v xml:space="preserve">12510021813 </v>
      </c>
      <c r="E20237" t="s">
        <v>309</v>
      </c>
      <c r="F20237" t="s">
        <v>310</v>
      </c>
      <c r="G20237">
        <v>37.18</v>
      </c>
      <c r="H20237">
        <v>250228</v>
      </c>
      <c r="I20237">
        <v>4369</v>
      </c>
      <c r="J20237" t="s">
        <v>188</v>
      </c>
      <c r="K20237">
        <v>50.55</v>
      </c>
      <c r="L20237">
        <v>7.55</v>
      </c>
      <c r="M20237">
        <v>41126</v>
      </c>
      <c r="N20237" t="s">
        <v>94</v>
      </c>
      <c r="O20237">
        <v>250318</v>
      </c>
      <c r="P20237">
        <v>29.63</v>
      </c>
    </row>
    <row r="20238" spans="1:16" x14ac:dyDescent="0.25">
      <c r="A20238" t="s">
        <v>3296</v>
      </c>
      <c r="B20238" t="s">
        <v>2931</v>
      </c>
      <c r="C20238">
        <v>3346</v>
      </c>
      <c r="D20238" t="str">
        <f>"12510021813 "</f>
        <v xml:space="preserve">12510021813 </v>
      </c>
      <c r="E20238" t="s">
        <v>309</v>
      </c>
      <c r="F20238" t="s">
        <v>310</v>
      </c>
      <c r="G20238">
        <v>13.37</v>
      </c>
      <c r="H20238">
        <v>250228</v>
      </c>
      <c r="I20238">
        <v>4369</v>
      </c>
      <c r="J20238" t="s">
        <v>188</v>
      </c>
      <c r="K20238">
        <v>50.55</v>
      </c>
      <c r="L20238">
        <v>2.72</v>
      </c>
      <c r="M20238">
        <v>46222</v>
      </c>
      <c r="N20238" t="s">
        <v>101</v>
      </c>
      <c r="O20238">
        <v>250318</v>
      </c>
      <c r="P20238">
        <v>10.65</v>
      </c>
    </row>
    <row r="20239" spans="1:16" x14ac:dyDescent="0.25">
      <c r="A20239" t="s">
        <v>3296</v>
      </c>
      <c r="B20239" t="s">
        <v>2931</v>
      </c>
      <c r="C20239">
        <v>3350</v>
      </c>
      <c r="D20239" t="str">
        <f>"12510021844 "</f>
        <v xml:space="preserve">12510021844 </v>
      </c>
      <c r="E20239" t="s">
        <v>309</v>
      </c>
      <c r="F20239" t="s">
        <v>310</v>
      </c>
      <c r="G20239">
        <v>54.4</v>
      </c>
      <c r="H20239">
        <v>250228</v>
      </c>
      <c r="I20239">
        <v>4369</v>
      </c>
      <c r="J20239" t="s">
        <v>188</v>
      </c>
      <c r="K20239">
        <v>54.4</v>
      </c>
      <c r="L20239">
        <v>11.05</v>
      </c>
      <c r="M20239">
        <v>10002</v>
      </c>
      <c r="N20239" t="s">
        <v>513</v>
      </c>
      <c r="O20239">
        <v>250318</v>
      </c>
      <c r="P20239">
        <v>43.35</v>
      </c>
    </row>
    <row r="20240" spans="1:16" x14ac:dyDescent="0.25">
      <c r="A20240" t="s">
        <v>3296</v>
      </c>
      <c r="B20240" t="s">
        <v>2931</v>
      </c>
      <c r="C20240">
        <v>3373</v>
      </c>
      <c r="D20240" t="str">
        <f t="shared" ref="D20240:D20250" si="357">"12510021810 "</f>
        <v xml:space="preserve">12510021810 </v>
      </c>
      <c r="E20240" t="s">
        <v>309</v>
      </c>
      <c r="F20240" t="s">
        <v>310</v>
      </c>
      <c r="G20240">
        <v>3.39</v>
      </c>
      <c r="H20240">
        <v>250228</v>
      </c>
      <c r="I20240">
        <v>4369</v>
      </c>
      <c r="J20240" t="s">
        <v>188</v>
      </c>
      <c r="K20240">
        <v>79.430000000000007</v>
      </c>
      <c r="L20240">
        <v>0.69</v>
      </c>
      <c r="M20240">
        <v>51157</v>
      </c>
      <c r="N20240" t="s">
        <v>998</v>
      </c>
      <c r="O20240">
        <v>250319</v>
      </c>
      <c r="P20240">
        <v>2.7</v>
      </c>
    </row>
    <row r="20241" spans="1:16" x14ac:dyDescent="0.25">
      <c r="A20241" t="s">
        <v>3296</v>
      </c>
      <c r="B20241" t="s">
        <v>2931</v>
      </c>
      <c r="C20241">
        <v>3373</v>
      </c>
      <c r="D20241" t="str">
        <f t="shared" si="357"/>
        <v xml:space="preserve">12510021810 </v>
      </c>
      <c r="E20241" t="s">
        <v>309</v>
      </c>
      <c r="F20241" t="s">
        <v>310</v>
      </c>
      <c r="G20241">
        <v>3.39</v>
      </c>
      <c r="H20241">
        <v>250228</v>
      </c>
      <c r="I20241">
        <v>4369</v>
      </c>
      <c r="J20241" t="s">
        <v>188</v>
      </c>
      <c r="K20241">
        <v>79.430000000000007</v>
      </c>
      <c r="L20241">
        <v>0.69</v>
      </c>
      <c r="M20241">
        <v>56526</v>
      </c>
      <c r="N20241" t="s">
        <v>506</v>
      </c>
      <c r="O20241">
        <v>250319</v>
      </c>
      <c r="P20241">
        <v>2.7</v>
      </c>
    </row>
    <row r="20242" spans="1:16" x14ac:dyDescent="0.25">
      <c r="A20242" t="s">
        <v>3296</v>
      </c>
      <c r="B20242" t="s">
        <v>2931</v>
      </c>
      <c r="C20242">
        <v>3373</v>
      </c>
      <c r="D20242" t="str">
        <f t="shared" si="357"/>
        <v xml:space="preserve">12510021810 </v>
      </c>
      <c r="E20242" t="s">
        <v>309</v>
      </c>
      <c r="F20242" t="s">
        <v>310</v>
      </c>
      <c r="G20242">
        <v>17.21</v>
      </c>
      <c r="H20242">
        <v>250228</v>
      </c>
      <c r="I20242">
        <v>4369</v>
      </c>
      <c r="J20242" t="s">
        <v>188</v>
      </c>
      <c r="K20242">
        <v>79.430000000000007</v>
      </c>
      <c r="L20242">
        <v>3.5</v>
      </c>
      <c r="M20242">
        <v>56558</v>
      </c>
      <c r="N20242" t="s">
        <v>50</v>
      </c>
      <c r="O20242">
        <v>250319</v>
      </c>
      <c r="P20242">
        <v>13.71</v>
      </c>
    </row>
    <row r="20243" spans="1:16" x14ac:dyDescent="0.25">
      <c r="A20243" t="s">
        <v>3296</v>
      </c>
      <c r="B20243" t="s">
        <v>2931</v>
      </c>
      <c r="C20243">
        <v>3373</v>
      </c>
      <c r="D20243" t="str">
        <f t="shared" si="357"/>
        <v xml:space="preserve">12510021810 </v>
      </c>
      <c r="E20243" t="s">
        <v>309</v>
      </c>
      <c r="F20243" t="s">
        <v>310</v>
      </c>
      <c r="G20243">
        <v>11.19</v>
      </c>
      <c r="H20243">
        <v>250228</v>
      </c>
      <c r="I20243">
        <v>4369</v>
      </c>
      <c r="J20243" t="s">
        <v>188</v>
      </c>
      <c r="K20243">
        <v>79.430000000000007</v>
      </c>
      <c r="L20243">
        <v>2.27</v>
      </c>
      <c r="M20243">
        <v>56559</v>
      </c>
      <c r="N20243" t="s">
        <v>51</v>
      </c>
      <c r="O20243">
        <v>250319</v>
      </c>
      <c r="P20243">
        <v>8.92</v>
      </c>
    </row>
    <row r="20244" spans="1:16" x14ac:dyDescent="0.25">
      <c r="A20244" t="s">
        <v>3296</v>
      </c>
      <c r="B20244" t="s">
        <v>2931</v>
      </c>
      <c r="C20244">
        <v>3373</v>
      </c>
      <c r="D20244" t="str">
        <f t="shared" si="357"/>
        <v xml:space="preserve">12510021810 </v>
      </c>
      <c r="E20244" t="s">
        <v>309</v>
      </c>
      <c r="F20244" t="s">
        <v>310</v>
      </c>
      <c r="G20244">
        <v>6.78</v>
      </c>
      <c r="H20244">
        <v>250228</v>
      </c>
      <c r="I20244">
        <v>4369</v>
      </c>
      <c r="J20244" t="s">
        <v>188</v>
      </c>
      <c r="K20244">
        <v>79.430000000000007</v>
      </c>
      <c r="L20244">
        <v>1.38</v>
      </c>
      <c r="M20244">
        <v>56560</v>
      </c>
      <c r="N20244" t="s">
        <v>52</v>
      </c>
      <c r="O20244">
        <v>250319</v>
      </c>
      <c r="P20244">
        <v>5.4</v>
      </c>
    </row>
    <row r="20245" spans="1:16" x14ac:dyDescent="0.25">
      <c r="A20245" t="s">
        <v>3296</v>
      </c>
      <c r="B20245" t="s">
        <v>2931</v>
      </c>
      <c r="C20245">
        <v>3373</v>
      </c>
      <c r="D20245" t="str">
        <f t="shared" si="357"/>
        <v xml:space="preserve">12510021810 </v>
      </c>
      <c r="E20245" t="s">
        <v>309</v>
      </c>
      <c r="F20245" t="s">
        <v>310</v>
      </c>
      <c r="G20245">
        <v>3.39</v>
      </c>
      <c r="H20245">
        <v>250228</v>
      </c>
      <c r="I20245">
        <v>4369</v>
      </c>
      <c r="J20245" t="s">
        <v>188</v>
      </c>
      <c r="K20245">
        <v>79.430000000000007</v>
      </c>
      <c r="L20245">
        <v>0.69</v>
      </c>
      <c r="M20245">
        <v>56561</v>
      </c>
      <c r="N20245" t="s">
        <v>53</v>
      </c>
      <c r="O20245">
        <v>250319</v>
      </c>
      <c r="P20245">
        <v>2.7</v>
      </c>
    </row>
    <row r="20246" spans="1:16" x14ac:dyDescent="0.25">
      <c r="A20246" t="s">
        <v>3296</v>
      </c>
      <c r="B20246" t="s">
        <v>2931</v>
      </c>
      <c r="C20246">
        <v>3373</v>
      </c>
      <c r="D20246" t="str">
        <f t="shared" si="357"/>
        <v xml:space="preserve">12510021810 </v>
      </c>
      <c r="E20246" t="s">
        <v>309</v>
      </c>
      <c r="F20246" t="s">
        <v>310</v>
      </c>
      <c r="G20246">
        <v>6.78</v>
      </c>
      <c r="H20246">
        <v>250228</v>
      </c>
      <c r="I20246">
        <v>4369</v>
      </c>
      <c r="J20246" t="s">
        <v>188</v>
      </c>
      <c r="K20246">
        <v>79.430000000000007</v>
      </c>
      <c r="L20246">
        <v>1.38</v>
      </c>
      <c r="M20246">
        <v>56562</v>
      </c>
      <c r="N20246" t="s">
        <v>54</v>
      </c>
      <c r="O20246">
        <v>250319</v>
      </c>
      <c r="P20246">
        <v>5.4</v>
      </c>
    </row>
    <row r="20247" spans="1:16" x14ac:dyDescent="0.25">
      <c r="A20247" t="s">
        <v>3296</v>
      </c>
      <c r="B20247" t="s">
        <v>2931</v>
      </c>
      <c r="C20247">
        <v>3373</v>
      </c>
      <c r="D20247" t="str">
        <f t="shared" si="357"/>
        <v xml:space="preserve">12510021810 </v>
      </c>
      <c r="E20247" t="s">
        <v>309</v>
      </c>
      <c r="F20247" t="s">
        <v>310</v>
      </c>
      <c r="G20247">
        <v>13.18</v>
      </c>
      <c r="H20247">
        <v>250228</v>
      </c>
      <c r="I20247">
        <v>4369</v>
      </c>
      <c r="J20247" t="s">
        <v>188</v>
      </c>
      <c r="K20247">
        <v>79.430000000000007</v>
      </c>
      <c r="L20247">
        <v>2.68</v>
      </c>
      <c r="M20247">
        <v>56564</v>
      </c>
      <c r="N20247" t="s">
        <v>56</v>
      </c>
      <c r="O20247">
        <v>250319</v>
      </c>
      <c r="P20247">
        <v>10.5</v>
      </c>
    </row>
    <row r="20248" spans="1:16" x14ac:dyDescent="0.25">
      <c r="A20248" t="s">
        <v>3296</v>
      </c>
      <c r="B20248" t="s">
        <v>2931</v>
      </c>
      <c r="C20248">
        <v>3373</v>
      </c>
      <c r="D20248" t="str">
        <f t="shared" si="357"/>
        <v xml:space="preserve">12510021810 </v>
      </c>
      <c r="E20248" t="s">
        <v>309</v>
      </c>
      <c r="F20248" t="s">
        <v>310</v>
      </c>
      <c r="G20248">
        <v>3.97</v>
      </c>
      <c r="H20248">
        <v>250228</v>
      </c>
      <c r="I20248">
        <v>4369</v>
      </c>
      <c r="J20248" t="s">
        <v>188</v>
      </c>
      <c r="K20248">
        <v>79.430000000000007</v>
      </c>
      <c r="L20248">
        <v>0.81</v>
      </c>
      <c r="M20248">
        <v>56565</v>
      </c>
      <c r="N20248" t="s">
        <v>57</v>
      </c>
      <c r="O20248">
        <v>250319</v>
      </c>
      <c r="P20248">
        <v>3.16</v>
      </c>
    </row>
    <row r="20249" spans="1:16" x14ac:dyDescent="0.25">
      <c r="A20249" t="s">
        <v>3296</v>
      </c>
      <c r="B20249" t="s">
        <v>2931</v>
      </c>
      <c r="C20249">
        <v>3373</v>
      </c>
      <c r="D20249" t="str">
        <f t="shared" si="357"/>
        <v xml:space="preserve">12510021810 </v>
      </c>
      <c r="E20249" t="s">
        <v>309</v>
      </c>
      <c r="F20249" t="s">
        <v>310</v>
      </c>
      <c r="G20249">
        <v>6.78</v>
      </c>
      <c r="H20249">
        <v>250228</v>
      </c>
      <c r="I20249">
        <v>4369</v>
      </c>
      <c r="J20249" t="s">
        <v>188</v>
      </c>
      <c r="K20249">
        <v>79.430000000000007</v>
      </c>
      <c r="L20249">
        <v>1.38</v>
      </c>
      <c r="M20249">
        <v>56566</v>
      </c>
      <c r="N20249" t="s">
        <v>58</v>
      </c>
      <c r="O20249">
        <v>250319</v>
      </c>
      <c r="P20249">
        <v>5.4</v>
      </c>
    </row>
    <row r="20250" spans="1:16" x14ac:dyDescent="0.25">
      <c r="A20250" t="s">
        <v>3296</v>
      </c>
      <c r="B20250" t="s">
        <v>2931</v>
      </c>
      <c r="C20250">
        <v>3373</v>
      </c>
      <c r="D20250" t="str">
        <f t="shared" si="357"/>
        <v xml:space="preserve">12510021810 </v>
      </c>
      <c r="E20250" t="s">
        <v>309</v>
      </c>
      <c r="F20250" t="s">
        <v>310</v>
      </c>
      <c r="G20250">
        <v>3.37</v>
      </c>
      <c r="H20250">
        <v>250228</v>
      </c>
      <c r="I20250">
        <v>4369</v>
      </c>
      <c r="J20250" t="s">
        <v>188</v>
      </c>
      <c r="K20250">
        <v>79.430000000000007</v>
      </c>
      <c r="L20250">
        <v>0.68</v>
      </c>
      <c r="M20250">
        <v>56568</v>
      </c>
      <c r="N20250" t="s">
        <v>354</v>
      </c>
      <c r="O20250">
        <v>250319</v>
      </c>
      <c r="P20250">
        <v>2.69</v>
      </c>
    </row>
    <row r="20251" spans="1:16" x14ac:dyDescent="0.25">
      <c r="A20251" t="s">
        <v>3296</v>
      </c>
      <c r="B20251" t="s">
        <v>2931</v>
      </c>
      <c r="C20251">
        <v>3747</v>
      </c>
      <c r="D20251" t="str">
        <f>"105341487   "</f>
        <v xml:space="preserve">105341487   </v>
      </c>
      <c r="E20251" t="s">
        <v>309</v>
      </c>
      <c r="F20251" t="s">
        <v>310</v>
      </c>
      <c r="G20251">
        <v>85.65</v>
      </c>
      <c r="H20251">
        <v>250311</v>
      </c>
      <c r="I20251">
        <v>4369</v>
      </c>
      <c r="J20251" t="s">
        <v>188</v>
      </c>
      <c r="K20251">
        <v>85.65</v>
      </c>
      <c r="L20251">
        <v>17.399999999999999</v>
      </c>
      <c r="M20251">
        <v>11801</v>
      </c>
      <c r="N20251" t="s">
        <v>40</v>
      </c>
      <c r="O20251">
        <v>250401</v>
      </c>
      <c r="P20251">
        <v>68.25</v>
      </c>
    </row>
    <row r="20252" spans="1:16" x14ac:dyDescent="0.25">
      <c r="A20252" t="s">
        <v>3296</v>
      </c>
      <c r="B20252" t="s">
        <v>2931</v>
      </c>
      <c r="C20252">
        <v>4963</v>
      </c>
      <c r="D20252" t="str">
        <f>"105341471   "</f>
        <v xml:space="preserve">105341471   </v>
      </c>
      <c r="E20252" t="s">
        <v>309</v>
      </c>
      <c r="F20252" t="s">
        <v>310</v>
      </c>
      <c r="G20252">
        <v>-119.02</v>
      </c>
      <c r="H20252">
        <v>250311</v>
      </c>
      <c r="I20252">
        <v>4369</v>
      </c>
      <c r="J20252" t="s">
        <v>188</v>
      </c>
      <c r="K20252">
        <v>-119.02</v>
      </c>
      <c r="L20252">
        <v>-24.18</v>
      </c>
      <c r="M20252">
        <v>18972</v>
      </c>
      <c r="N20252" t="s">
        <v>39</v>
      </c>
      <c r="O20252">
        <v>250416</v>
      </c>
      <c r="P20252">
        <v>-94.84</v>
      </c>
    </row>
    <row r="20253" spans="1:16" x14ac:dyDescent="0.25">
      <c r="A20253" t="s">
        <v>3296</v>
      </c>
      <c r="B20253" t="s">
        <v>2931</v>
      </c>
      <c r="C20253">
        <v>4965</v>
      </c>
      <c r="D20253" t="str">
        <f>"12514021689 "</f>
        <v xml:space="preserve">12514021689 </v>
      </c>
      <c r="E20253" t="s">
        <v>309</v>
      </c>
      <c r="F20253" t="s">
        <v>310</v>
      </c>
      <c r="G20253">
        <v>7.07</v>
      </c>
      <c r="H20253">
        <v>250331</v>
      </c>
      <c r="I20253">
        <v>4369</v>
      </c>
      <c r="J20253" t="s">
        <v>188</v>
      </c>
      <c r="K20253">
        <v>7.07</v>
      </c>
      <c r="L20253">
        <v>1.44</v>
      </c>
      <c r="M20253">
        <v>46556</v>
      </c>
      <c r="N20253" t="s">
        <v>458</v>
      </c>
      <c r="O20253">
        <v>250416</v>
      </c>
      <c r="P20253">
        <v>5.63</v>
      </c>
    </row>
    <row r="20254" spans="1:16" x14ac:dyDescent="0.25">
      <c r="A20254" t="s">
        <v>3296</v>
      </c>
      <c r="B20254" t="s">
        <v>2931</v>
      </c>
      <c r="C20254">
        <v>4967</v>
      </c>
      <c r="D20254" t="str">
        <f t="shared" ref="D20254:D20270" si="358">"12514021674 "</f>
        <v xml:space="preserve">12514021674 </v>
      </c>
      <c r="E20254" t="s">
        <v>309</v>
      </c>
      <c r="F20254" t="s">
        <v>310</v>
      </c>
      <c r="G20254">
        <v>3.63</v>
      </c>
      <c r="H20254">
        <v>250401</v>
      </c>
      <c r="I20254">
        <v>4369</v>
      </c>
      <c r="J20254" t="s">
        <v>188</v>
      </c>
      <c r="K20254">
        <v>249.37</v>
      </c>
      <c r="L20254">
        <v>0.74</v>
      </c>
      <c r="M20254">
        <v>54422</v>
      </c>
      <c r="N20254" t="s">
        <v>49</v>
      </c>
      <c r="O20254">
        <v>250520</v>
      </c>
      <c r="P20254">
        <v>2.89</v>
      </c>
    </row>
    <row r="20255" spans="1:16" x14ac:dyDescent="0.25">
      <c r="A20255" t="s">
        <v>3296</v>
      </c>
      <c r="B20255" t="s">
        <v>2931</v>
      </c>
      <c r="C20255">
        <v>4967</v>
      </c>
      <c r="D20255" t="str">
        <f t="shared" si="358"/>
        <v xml:space="preserve">12514021674 </v>
      </c>
      <c r="E20255" t="s">
        <v>309</v>
      </c>
      <c r="F20255" t="s">
        <v>310</v>
      </c>
      <c r="G20255">
        <v>3.39</v>
      </c>
      <c r="H20255">
        <v>250401</v>
      </c>
      <c r="I20255">
        <v>4369</v>
      </c>
      <c r="J20255" t="s">
        <v>188</v>
      </c>
      <c r="K20255">
        <v>249.37</v>
      </c>
      <c r="L20255">
        <v>0.69</v>
      </c>
      <c r="M20255">
        <v>54451</v>
      </c>
      <c r="N20255" t="s">
        <v>218</v>
      </c>
      <c r="O20255">
        <v>250520</v>
      </c>
      <c r="P20255">
        <v>2.7</v>
      </c>
    </row>
    <row r="20256" spans="1:16" x14ac:dyDescent="0.25">
      <c r="A20256" t="s">
        <v>3296</v>
      </c>
      <c r="B20256" t="s">
        <v>2931</v>
      </c>
      <c r="C20256">
        <v>4967</v>
      </c>
      <c r="D20256" t="str">
        <f t="shared" si="358"/>
        <v xml:space="preserve">12514021674 </v>
      </c>
      <c r="E20256" t="s">
        <v>309</v>
      </c>
      <c r="F20256" t="s">
        <v>310</v>
      </c>
      <c r="G20256">
        <v>13.39</v>
      </c>
      <c r="H20256">
        <v>250401</v>
      </c>
      <c r="I20256">
        <v>4369</v>
      </c>
      <c r="J20256" t="s">
        <v>188</v>
      </c>
      <c r="K20256">
        <v>249.37</v>
      </c>
      <c r="L20256">
        <v>2.72</v>
      </c>
      <c r="M20256">
        <v>59111</v>
      </c>
      <c r="N20256" t="s">
        <v>60</v>
      </c>
      <c r="O20256">
        <v>250520</v>
      </c>
      <c r="P20256">
        <v>10.67</v>
      </c>
    </row>
    <row r="20257" spans="1:16" x14ac:dyDescent="0.25">
      <c r="A20257" t="s">
        <v>3296</v>
      </c>
      <c r="B20257" t="s">
        <v>2931</v>
      </c>
      <c r="C20257">
        <v>4967</v>
      </c>
      <c r="D20257" t="str">
        <f t="shared" si="358"/>
        <v xml:space="preserve">12514021674 </v>
      </c>
      <c r="E20257" t="s">
        <v>309</v>
      </c>
      <c r="F20257" t="s">
        <v>310</v>
      </c>
      <c r="G20257">
        <v>3.39</v>
      </c>
      <c r="H20257">
        <v>250401</v>
      </c>
      <c r="I20257">
        <v>4369</v>
      </c>
      <c r="J20257" t="s">
        <v>188</v>
      </c>
      <c r="K20257">
        <v>249.37</v>
      </c>
      <c r="L20257">
        <v>0.69</v>
      </c>
      <c r="M20257">
        <v>59112</v>
      </c>
      <c r="N20257" t="s">
        <v>44</v>
      </c>
      <c r="O20257">
        <v>250520</v>
      </c>
      <c r="P20257">
        <v>2.7</v>
      </c>
    </row>
    <row r="20258" spans="1:16" x14ac:dyDescent="0.25">
      <c r="A20258" t="s">
        <v>3296</v>
      </c>
      <c r="B20258" t="s">
        <v>2931</v>
      </c>
      <c r="C20258">
        <v>4967</v>
      </c>
      <c r="D20258" t="str">
        <f t="shared" si="358"/>
        <v xml:space="preserve">12514021674 </v>
      </c>
      <c r="E20258" t="s">
        <v>309</v>
      </c>
      <c r="F20258" t="s">
        <v>310</v>
      </c>
      <c r="G20258">
        <v>10.28</v>
      </c>
      <c r="H20258">
        <v>250401</v>
      </c>
      <c r="I20258">
        <v>4369</v>
      </c>
      <c r="J20258" t="s">
        <v>188</v>
      </c>
      <c r="K20258">
        <v>249.37</v>
      </c>
      <c r="L20258">
        <v>2.09</v>
      </c>
      <c r="M20258">
        <v>59113</v>
      </c>
      <c r="N20258" t="s">
        <v>61</v>
      </c>
      <c r="O20258">
        <v>250520</v>
      </c>
      <c r="P20258">
        <v>8.19</v>
      </c>
    </row>
    <row r="20259" spans="1:16" x14ac:dyDescent="0.25">
      <c r="A20259" t="s">
        <v>3296</v>
      </c>
      <c r="B20259" t="s">
        <v>2931</v>
      </c>
      <c r="C20259">
        <v>4967</v>
      </c>
      <c r="D20259" t="str">
        <f t="shared" si="358"/>
        <v xml:space="preserve">12514021674 </v>
      </c>
      <c r="E20259" t="s">
        <v>309</v>
      </c>
      <c r="F20259" t="s">
        <v>310</v>
      </c>
      <c r="G20259">
        <v>3.39</v>
      </c>
      <c r="H20259">
        <v>250401</v>
      </c>
      <c r="I20259">
        <v>4369</v>
      </c>
      <c r="J20259" t="s">
        <v>188</v>
      </c>
      <c r="K20259">
        <v>249.37</v>
      </c>
      <c r="L20259">
        <v>0.69</v>
      </c>
      <c r="M20259">
        <v>59114</v>
      </c>
      <c r="N20259" t="s">
        <v>299</v>
      </c>
      <c r="O20259">
        <v>250520</v>
      </c>
      <c r="P20259">
        <v>2.7</v>
      </c>
    </row>
    <row r="20260" spans="1:16" x14ac:dyDescent="0.25">
      <c r="A20260" t="s">
        <v>3296</v>
      </c>
      <c r="B20260" t="s">
        <v>2931</v>
      </c>
      <c r="C20260">
        <v>4967</v>
      </c>
      <c r="D20260" t="str">
        <f t="shared" si="358"/>
        <v xml:space="preserve">12514021674 </v>
      </c>
      <c r="E20260" t="s">
        <v>309</v>
      </c>
      <c r="F20260" t="s">
        <v>310</v>
      </c>
      <c r="G20260">
        <v>70.14</v>
      </c>
      <c r="H20260">
        <v>250401</v>
      </c>
      <c r="I20260">
        <v>4369</v>
      </c>
      <c r="J20260" t="s">
        <v>188</v>
      </c>
      <c r="K20260">
        <v>249.37</v>
      </c>
      <c r="L20260">
        <v>14.25</v>
      </c>
      <c r="M20260">
        <v>59501</v>
      </c>
      <c r="N20260" t="s">
        <v>62</v>
      </c>
      <c r="O20260">
        <v>250520</v>
      </c>
      <c r="P20260">
        <v>55.89</v>
      </c>
    </row>
    <row r="20261" spans="1:16" x14ac:dyDescent="0.25">
      <c r="A20261" t="s">
        <v>3296</v>
      </c>
      <c r="B20261" t="s">
        <v>2931</v>
      </c>
      <c r="C20261">
        <v>4967</v>
      </c>
      <c r="D20261" t="str">
        <f t="shared" si="358"/>
        <v xml:space="preserve">12514021674 </v>
      </c>
      <c r="E20261" t="s">
        <v>309</v>
      </c>
      <c r="F20261" t="s">
        <v>310</v>
      </c>
      <c r="G20261">
        <v>40.03</v>
      </c>
      <c r="H20261">
        <v>250401</v>
      </c>
      <c r="I20261">
        <v>4369</v>
      </c>
      <c r="J20261" t="s">
        <v>188</v>
      </c>
      <c r="K20261">
        <v>249.37</v>
      </c>
      <c r="L20261">
        <v>8.1300000000000008</v>
      </c>
      <c r="M20261">
        <v>59502</v>
      </c>
      <c r="N20261" t="s">
        <v>63</v>
      </c>
      <c r="O20261">
        <v>250520</v>
      </c>
      <c r="P20261">
        <v>31.9</v>
      </c>
    </row>
    <row r="20262" spans="1:16" x14ac:dyDescent="0.25">
      <c r="A20262" t="s">
        <v>3296</v>
      </c>
      <c r="B20262" t="s">
        <v>2931</v>
      </c>
      <c r="C20262">
        <v>4967</v>
      </c>
      <c r="D20262" t="str">
        <f t="shared" si="358"/>
        <v xml:space="preserve">12514021674 </v>
      </c>
      <c r="E20262" t="s">
        <v>309</v>
      </c>
      <c r="F20262" t="s">
        <v>310</v>
      </c>
      <c r="G20262">
        <v>10.17</v>
      </c>
      <c r="H20262">
        <v>250401</v>
      </c>
      <c r="I20262">
        <v>4369</v>
      </c>
      <c r="J20262" t="s">
        <v>188</v>
      </c>
      <c r="K20262">
        <v>249.37</v>
      </c>
      <c r="L20262">
        <v>2.0699999999999998</v>
      </c>
      <c r="M20262">
        <v>59504</v>
      </c>
      <c r="N20262" t="s">
        <v>193</v>
      </c>
      <c r="O20262">
        <v>250520</v>
      </c>
      <c r="P20262">
        <v>8.1</v>
      </c>
    </row>
    <row r="20263" spans="1:16" x14ac:dyDescent="0.25">
      <c r="A20263" t="s">
        <v>3296</v>
      </c>
      <c r="B20263" t="s">
        <v>2931</v>
      </c>
      <c r="C20263">
        <v>4967</v>
      </c>
      <c r="D20263" t="str">
        <f t="shared" si="358"/>
        <v xml:space="preserve">12514021674 </v>
      </c>
      <c r="E20263" t="s">
        <v>309</v>
      </c>
      <c r="F20263" t="s">
        <v>310</v>
      </c>
      <c r="G20263">
        <v>6.78</v>
      </c>
      <c r="H20263">
        <v>250401</v>
      </c>
      <c r="I20263">
        <v>4369</v>
      </c>
      <c r="J20263" t="s">
        <v>188</v>
      </c>
      <c r="K20263">
        <v>249.37</v>
      </c>
      <c r="L20263">
        <v>1.38</v>
      </c>
      <c r="M20263">
        <v>59505</v>
      </c>
      <c r="N20263" t="s">
        <v>194</v>
      </c>
      <c r="O20263">
        <v>250520</v>
      </c>
      <c r="P20263">
        <v>5.4</v>
      </c>
    </row>
    <row r="20264" spans="1:16" x14ac:dyDescent="0.25">
      <c r="A20264" t="s">
        <v>3296</v>
      </c>
      <c r="B20264" t="s">
        <v>2931</v>
      </c>
      <c r="C20264">
        <v>4967</v>
      </c>
      <c r="D20264" t="str">
        <f t="shared" si="358"/>
        <v xml:space="preserve">12514021674 </v>
      </c>
      <c r="E20264" t="s">
        <v>309</v>
      </c>
      <c r="F20264" t="s">
        <v>310</v>
      </c>
      <c r="G20264">
        <v>13.8</v>
      </c>
      <c r="H20264">
        <v>250401</v>
      </c>
      <c r="I20264">
        <v>4369</v>
      </c>
      <c r="J20264" t="s">
        <v>188</v>
      </c>
      <c r="K20264">
        <v>249.37</v>
      </c>
      <c r="L20264">
        <v>2.8</v>
      </c>
      <c r="M20264">
        <v>59701</v>
      </c>
      <c r="N20264" t="s">
        <v>64</v>
      </c>
      <c r="O20264">
        <v>250520</v>
      </c>
      <c r="P20264">
        <v>11</v>
      </c>
    </row>
    <row r="20265" spans="1:16" x14ac:dyDescent="0.25">
      <c r="A20265" t="s">
        <v>3296</v>
      </c>
      <c r="B20265" t="s">
        <v>2931</v>
      </c>
      <c r="C20265">
        <v>4967</v>
      </c>
      <c r="D20265" t="str">
        <f t="shared" si="358"/>
        <v xml:space="preserve">12514021674 </v>
      </c>
      <c r="E20265" t="s">
        <v>309</v>
      </c>
      <c r="F20265" t="s">
        <v>310</v>
      </c>
      <c r="G20265">
        <v>6.93</v>
      </c>
      <c r="H20265">
        <v>250401</v>
      </c>
      <c r="I20265">
        <v>4369</v>
      </c>
      <c r="J20265" t="s">
        <v>188</v>
      </c>
      <c r="K20265">
        <v>249.37</v>
      </c>
      <c r="L20265">
        <v>1.41</v>
      </c>
      <c r="M20265">
        <v>59702</v>
      </c>
      <c r="N20265" t="s">
        <v>45</v>
      </c>
      <c r="O20265">
        <v>250520</v>
      </c>
      <c r="P20265">
        <v>5.52</v>
      </c>
    </row>
    <row r="20266" spans="1:16" x14ac:dyDescent="0.25">
      <c r="A20266" t="s">
        <v>3296</v>
      </c>
      <c r="B20266" t="s">
        <v>2931</v>
      </c>
      <c r="C20266">
        <v>4967</v>
      </c>
      <c r="D20266" t="str">
        <f t="shared" si="358"/>
        <v xml:space="preserve">12514021674 </v>
      </c>
      <c r="E20266" t="s">
        <v>309</v>
      </c>
      <c r="F20266" t="s">
        <v>310</v>
      </c>
      <c r="G20266">
        <v>6.59</v>
      </c>
      <c r="H20266">
        <v>250401</v>
      </c>
      <c r="I20266">
        <v>4369</v>
      </c>
      <c r="J20266" t="s">
        <v>188</v>
      </c>
      <c r="K20266">
        <v>249.37</v>
      </c>
      <c r="L20266">
        <v>1.34</v>
      </c>
      <c r="M20266">
        <v>59704</v>
      </c>
      <c r="N20266" t="s">
        <v>46</v>
      </c>
      <c r="O20266">
        <v>250520</v>
      </c>
      <c r="P20266">
        <v>5.25</v>
      </c>
    </row>
    <row r="20267" spans="1:16" x14ac:dyDescent="0.25">
      <c r="A20267" t="s">
        <v>3296</v>
      </c>
      <c r="B20267" t="s">
        <v>2931</v>
      </c>
      <c r="C20267">
        <v>4967</v>
      </c>
      <c r="D20267" t="str">
        <f t="shared" si="358"/>
        <v xml:space="preserve">12514021674 </v>
      </c>
      <c r="E20267" t="s">
        <v>309</v>
      </c>
      <c r="F20267" t="s">
        <v>310</v>
      </c>
      <c r="G20267">
        <v>3.39</v>
      </c>
      <c r="H20267">
        <v>250401</v>
      </c>
      <c r="I20267">
        <v>4369</v>
      </c>
      <c r="J20267" t="s">
        <v>188</v>
      </c>
      <c r="K20267">
        <v>249.37</v>
      </c>
      <c r="L20267">
        <v>0.69</v>
      </c>
      <c r="M20267">
        <v>59705</v>
      </c>
      <c r="N20267" t="s">
        <v>47</v>
      </c>
      <c r="O20267">
        <v>250520</v>
      </c>
      <c r="P20267">
        <v>2.7</v>
      </c>
    </row>
    <row r="20268" spans="1:16" x14ac:dyDescent="0.25">
      <c r="A20268" t="s">
        <v>3296</v>
      </c>
      <c r="B20268" t="s">
        <v>2931</v>
      </c>
      <c r="C20268">
        <v>4967</v>
      </c>
      <c r="D20268" t="str">
        <f t="shared" si="358"/>
        <v xml:space="preserve">12514021674 </v>
      </c>
      <c r="E20268" t="s">
        <v>309</v>
      </c>
      <c r="F20268" t="s">
        <v>310</v>
      </c>
      <c r="G20268">
        <v>18.91</v>
      </c>
      <c r="H20268">
        <v>250401</v>
      </c>
      <c r="I20268">
        <v>4369</v>
      </c>
      <c r="J20268" t="s">
        <v>188</v>
      </c>
      <c r="K20268">
        <v>249.37</v>
      </c>
      <c r="L20268">
        <v>3.84</v>
      </c>
      <c r="M20268">
        <v>59802</v>
      </c>
      <c r="N20268" t="s">
        <v>195</v>
      </c>
      <c r="O20268">
        <v>250520</v>
      </c>
      <c r="P20268">
        <v>15.07</v>
      </c>
    </row>
    <row r="20269" spans="1:16" x14ac:dyDescent="0.25">
      <c r="A20269" t="s">
        <v>3296</v>
      </c>
      <c r="B20269" t="s">
        <v>2931</v>
      </c>
      <c r="C20269">
        <v>4967</v>
      </c>
      <c r="D20269" t="str">
        <f t="shared" si="358"/>
        <v xml:space="preserve">12514021674 </v>
      </c>
      <c r="E20269" t="s">
        <v>309</v>
      </c>
      <c r="F20269" t="s">
        <v>310</v>
      </c>
      <c r="G20269">
        <v>18.649999999999999</v>
      </c>
      <c r="H20269">
        <v>250401</v>
      </c>
      <c r="I20269">
        <v>4369</v>
      </c>
      <c r="J20269" t="s">
        <v>188</v>
      </c>
      <c r="K20269">
        <v>249.37</v>
      </c>
      <c r="L20269">
        <v>3.79</v>
      </c>
      <c r="M20269">
        <v>59812</v>
      </c>
      <c r="N20269" t="s">
        <v>196</v>
      </c>
      <c r="O20269">
        <v>250520</v>
      </c>
      <c r="P20269">
        <v>14.86</v>
      </c>
    </row>
    <row r="20270" spans="1:16" x14ac:dyDescent="0.25">
      <c r="A20270" t="s">
        <v>3296</v>
      </c>
      <c r="B20270" t="s">
        <v>2931</v>
      </c>
      <c r="C20270">
        <v>4967</v>
      </c>
      <c r="D20270" t="str">
        <f t="shared" si="358"/>
        <v xml:space="preserve">12514021674 </v>
      </c>
      <c r="E20270" t="s">
        <v>309</v>
      </c>
      <c r="F20270" t="s">
        <v>310</v>
      </c>
      <c r="G20270">
        <v>16.510000000000002</v>
      </c>
      <c r="H20270">
        <v>250401</v>
      </c>
      <c r="I20270">
        <v>4369</v>
      </c>
      <c r="J20270" t="s">
        <v>188</v>
      </c>
      <c r="K20270">
        <v>249.37</v>
      </c>
      <c r="L20270">
        <v>3.35</v>
      </c>
      <c r="M20270">
        <v>59815</v>
      </c>
      <c r="N20270" t="s">
        <v>1001</v>
      </c>
      <c r="O20270">
        <v>250520</v>
      </c>
      <c r="P20270">
        <v>13.16</v>
      </c>
    </row>
    <row r="20271" spans="1:16" x14ac:dyDescent="0.25">
      <c r="A20271" t="s">
        <v>3296</v>
      </c>
      <c r="B20271" t="s">
        <v>2931</v>
      </c>
      <c r="C20271">
        <v>4971</v>
      </c>
      <c r="D20271" t="str">
        <f t="shared" ref="D20271:D20276" si="359">"12514021688 "</f>
        <v xml:space="preserve">12514021688 </v>
      </c>
      <c r="E20271" t="s">
        <v>309</v>
      </c>
      <c r="F20271" t="s">
        <v>310</v>
      </c>
      <c r="G20271">
        <v>10.35</v>
      </c>
      <c r="H20271">
        <v>250331</v>
      </c>
      <c r="I20271">
        <v>4369</v>
      </c>
      <c r="J20271" t="s">
        <v>188</v>
      </c>
      <c r="K20271">
        <v>39.17</v>
      </c>
      <c r="L20271">
        <v>2.1</v>
      </c>
      <c r="M20271">
        <v>43222</v>
      </c>
      <c r="N20271" t="s">
        <v>95</v>
      </c>
      <c r="O20271">
        <v>250416</v>
      </c>
      <c r="P20271">
        <v>8.25</v>
      </c>
    </row>
    <row r="20272" spans="1:16" x14ac:dyDescent="0.25">
      <c r="A20272" t="s">
        <v>3296</v>
      </c>
      <c r="B20272" t="s">
        <v>2931</v>
      </c>
      <c r="C20272">
        <v>4971</v>
      </c>
      <c r="D20272" t="str">
        <f t="shared" si="359"/>
        <v xml:space="preserve">12514021688 </v>
      </c>
      <c r="E20272" t="s">
        <v>309</v>
      </c>
      <c r="F20272" t="s">
        <v>310</v>
      </c>
      <c r="G20272">
        <v>3.39</v>
      </c>
      <c r="H20272">
        <v>250331</v>
      </c>
      <c r="I20272">
        <v>4369</v>
      </c>
      <c r="J20272" t="s">
        <v>188</v>
      </c>
      <c r="K20272">
        <v>39.17</v>
      </c>
      <c r="L20272">
        <v>0.69</v>
      </c>
      <c r="M20272">
        <v>44422</v>
      </c>
      <c r="N20272" t="s">
        <v>97</v>
      </c>
      <c r="O20272">
        <v>250416</v>
      </c>
      <c r="P20272">
        <v>2.7</v>
      </c>
    </row>
    <row r="20273" spans="1:16" x14ac:dyDescent="0.25">
      <c r="A20273" t="s">
        <v>3296</v>
      </c>
      <c r="B20273" t="s">
        <v>2931</v>
      </c>
      <c r="C20273">
        <v>4971</v>
      </c>
      <c r="D20273" t="str">
        <f t="shared" si="359"/>
        <v xml:space="preserve">12514021688 </v>
      </c>
      <c r="E20273" t="s">
        <v>309</v>
      </c>
      <c r="F20273" t="s">
        <v>310</v>
      </c>
      <c r="G20273">
        <v>7.05</v>
      </c>
      <c r="H20273">
        <v>250331</v>
      </c>
      <c r="I20273">
        <v>4369</v>
      </c>
      <c r="J20273" t="s">
        <v>188</v>
      </c>
      <c r="K20273">
        <v>39.17</v>
      </c>
      <c r="L20273">
        <v>1.43</v>
      </c>
      <c r="M20273">
        <v>44423</v>
      </c>
      <c r="N20273" t="s">
        <v>98</v>
      </c>
      <c r="O20273">
        <v>250416</v>
      </c>
      <c r="P20273">
        <v>5.62</v>
      </c>
    </row>
    <row r="20274" spans="1:16" x14ac:dyDescent="0.25">
      <c r="A20274" t="s">
        <v>3296</v>
      </c>
      <c r="B20274" t="s">
        <v>2931</v>
      </c>
      <c r="C20274">
        <v>4971</v>
      </c>
      <c r="D20274" t="str">
        <f t="shared" si="359"/>
        <v xml:space="preserve">12514021688 </v>
      </c>
      <c r="E20274" t="s">
        <v>309</v>
      </c>
      <c r="F20274" t="s">
        <v>310</v>
      </c>
      <c r="G20274">
        <v>3.39</v>
      </c>
      <c r="H20274">
        <v>250331</v>
      </c>
      <c r="I20274">
        <v>4369</v>
      </c>
      <c r="J20274" t="s">
        <v>188</v>
      </c>
      <c r="K20274">
        <v>39.17</v>
      </c>
      <c r="L20274">
        <v>0.69</v>
      </c>
      <c r="M20274">
        <v>44453</v>
      </c>
      <c r="N20274" t="s">
        <v>100</v>
      </c>
      <c r="O20274">
        <v>250416</v>
      </c>
      <c r="P20274">
        <v>2.7</v>
      </c>
    </row>
    <row r="20275" spans="1:16" x14ac:dyDescent="0.25">
      <c r="A20275" t="s">
        <v>3296</v>
      </c>
      <c r="B20275" t="s">
        <v>2931</v>
      </c>
      <c r="C20275">
        <v>4971</v>
      </c>
      <c r="D20275" t="str">
        <f t="shared" si="359"/>
        <v xml:space="preserve">12514021688 </v>
      </c>
      <c r="E20275" t="s">
        <v>309</v>
      </c>
      <c r="F20275" t="s">
        <v>310</v>
      </c>
      <c r="G20275">
        <v>3.39</v>
      </c>
      <c r="H20275">
        <v>250331</v>
      </c>
      <c r="I20275">
        <v>4369</v>
      </c>
      <c r="J20275" t="s">
        <v>188</v>
      </c>
      <c r="K20275">
        <v>39.17</v>
      </c>
      <c r="L20275">
        <v>0.69</v>
      </c>
      <c r="M20275">
        <v>48601</v>
      </c>
      <c r="N20275" t="s">
        <v>107</v>
      </c>
      <c r="O20275">
        <v>250416</v>
      </c>
      <c r="P20275">
        <v>2.7</v>
      </c>
    </row>
    <row r="20276" spans="1:16" x14ac:dyDescent="0.25">
      <c r="A20276" t="s">
        <v>3296</v>
      </c>
      <c r="B20276" t="s">
        <v>2931</v>
      </c>
      <c r="C20276">
        <v>4971</v>
      </c>
      <c r="D20276" t="str">
        <f t="shared" si="359"/>
        <v xml:space="preserve">12514021688 </v>
      </c>
      <c r="E20276" t="s">
        <v>309</v>
      </c>
      <c r="F20276" t="s">
        <v>310</v>
      </c>
      <c r="G20276">
        <v>11.6</v>
      </c>
      <c r="H20276">
        <v>250331</v>
      </c>
      <c r="I20276">
        <v>4369</v>
      </c>
      <c r="J20276" t="s">
        <v>188</v>
      </c>
      <c r="K20276">
        <v>39.17</v>
      </c>
      <c r="L20276">
        <v>0</v>
      </c>
      <c r="M20276">
        <v>49702</v>
      </c>
      <c r="N20276" t="s">
        <v>112</v>
      </c>
      <c r="O20276">
        <v>250416</v>
      </c>
      <c r="P20276">
        <v>11.6</v>
      </c>
    </row>
    <row r="20277" spans="1:16" x14ac:dyDescent="0.25">
      <c r="A20277" t="s">
        <v>3296</v>
      </c>
      <c r="B20277" t="s">
        <v>2931</v>
      </c>
      <c r="C20277">
        <v>4975</v>
      </c>
      <c r="D20277" t="str">
        <f>"12514021701 "</f>
        <v xml:space="preserve">12514021701 </v>
      </c>
      <c r="E20277" t="s">
        <v>309</v>
      </c>
      <c r="F20277" t="s">
        <v>310</v>
      </c>
      <c r="G20277">
        <v>27.05</v>
      </c>
      <c r="H20277">
        <v>250331</v>
      </c>
      <c r="I20277">
        <v>4369</v>
      </c>
      <c r="J20277" t="s">
        <v>188</v>
      </c>
      <c r="K20277">
        <v>27.05</v>
      </c>
      <c r="L20277">
        <v>5.5</v>
      </c>
      <c r="M20277">
        <v>13601</v>
      </c>
      <c r="N20277" t="s">
        <v>115</v>
      </c>
      <c r="O20277">
        <v>250416</v>
      </c>
      <c r="P20277">
        <v>21.55</v>
      </c>
    </row>
    <row r="20278" spans="1:16" x14ac:dyDescent="0.25">
      <c r="A20278" t="s">
        <v>3296</v>
      </c>
      <c r="B20278" t="s">
        <v>2931</v>
      </c>
      <c r="C20278">
        <v>4986</v>
      </c>
      <c r="D20278" t="str">
        <f>"105379416   "</f>
        <v xml:space="preserve">105379416   </v>
      </c>
      <c r="E20278" t="s">
        <v>309</v>
      </c>
      <c r="F20278" t="s">
        <v>310</v>
      </c>
      <c r="G20278">
        <v>85.65</v>
      </c>
      <c r="H20278">
        <v>250331</v>
      </c>
      <c r="I20278">
        <v>4369</v>
      </c>
      <c r="J20278" t="s">
        <v>188</v>
      </c>
      <c r="K20278">
        <v>85.65</v>
      </c>
      <c r="L20278">
        <v>17.399999999999999</v>
      </c>
      <c r="M20278">
        <v>11801</v>
      </c>
      <c r="N20278" t="s">
        <v>40</v>
      </c>
      <c r="O20278">
        <v>250416</v>
      </c>
      <c r="P20278">
        <v>68.25</v>
      </c>
    </row>
    <row r="20279" spans="1:16" x14ac:dyDescent="0.25">
      <c r="A20279" t="s">
        <v>3296</v>
      </c>
      <c r="B20279" t="s">
        <v>2931</v>
      </c>
      <c r="C20279">
        <v>5009</v>
      </c>
      <c r="D20279" t="str">
        <f>"12514021675 "</f>
        <v xml:space="preserve">12514021675 </v>
      </c>
      <c r="E20279" t="s">
        <v>309</v>
      </c>
      <c r="F20279" t="s">
        <v>310</v>
      </c>
      <c r="G20279">
        <v>3.39</v>
      </c>
      <c r="H20279">
        <v>250331</v>
      </c>
      <c r="I20279">
        <v>4369</v>
      </c>
      <c r="J20279" t="s">
        <v>188</v>
      </c>
      <c r="K20279">
        <v>30.35</v>
      </c>
      <c r="L20279">
        <v>0.69</v>
      </c>
      <c r="M20279">
        <v>56522</v>
      </c>
      <c r="N20279" t="s">
        <v>68</v>
      </c>
      <c r="O20279">
        <v>250416</v>
      </c>
      <c r="P20279">
        <v>2.7</v>
      </c>
    </row>
    <row r="20280" spans="1:16" x14ac:dyDescent="0.25">
      <c r="A20280" t="s">
        <v>3296</v>
      </c>
      <c r="B20280" t="s">
        <v>2931</v>
      </c>
      <c r="C20280">
        <v>5009</v>
      </c>
      <c r="D20280" t="str">
        <f>"12514021675 "</f>
        <v xml:space="preserve">12514021675 </v>
      </c>
      <c r="E20280" t="s">
        <v>309</v>
      </c>
      <c r="F20280" t="s">
        <v>310</v>
      </c>
      <c r="G20280">
        <v>13.4</v>
      </c>
      <c r="H20280">
        <v>250331</v>
      </c>
      <c r="I20280">
        <v>4369</v>
      </c>
      <c r="J20280" t="s">
        <v>188</v>
      </c>
      <c r="K20280">
        <v>30.35</v>
      </c>
      <c r="L20280">
        <v>2.72</v>
      </c>
      <c r="M20280">
        <v>56524</v>
      </c>
      <c r="N20280" t="s">
        <v>69</v>
      </c>
      <c r="O20280">
        <v>250416</v>
      </c>
      <c r="P20280">
        <v>10.68</v>
      </c>
    </row>
    <row r="20281" spans="1:16" x14ac:dyDescent="0.25">
      <c r="A20281" t="s">
        <v>3296</v>
      </c>
      <c r="B20281" t="s">
        <v>2931</v>
      </c>
      <c r="C20281">
        <v>5009</v>
      </c>
      <c r="D20281" t="str">
        <f>"12514021675 "</f>
        <v xml:space="preserve">12514021675 </v>
      </c>
      <c r="E20281" t="s">
        <v>309</v>
      </c>
      <c r="F20281" t="s">
        <v>310</v>
      </c>
      <c r="G20281">
        <v>13.56</v>
      </c>
      <c r="H20281">
        <v>250331</v>
      </c>
      <c r="I20281">
        <v>4369</v>
      </c>
      <c r="J20281" t="s">
        <v>188</v>
      </c>
      <c r="K20281">
        <v>30.35</v>
      </c>
      <c r="L20281">
        <v>2.76</v>
      </c>
      <c r="M20281">
        <v>56528</v>
      </c>
      <c r="N20281" t="s">
        <v>70</v>
      </c>
      <c r="O20281">
        <v>250416</v>
      </c>
      <c r="P20281">
        <v>10.8</v>
      </c>
    </row>
    <row r="20282" spans="1:16" x14ac:dyDescent="0.25">
      <c r="A20282" t="s">
        <v>3296</v>
      </c>
      <c r="B20282" t="s">
        <v>2931</v>
      </c>
      <c r="C20282">
        <v>5027</v>
      </c>
      <c r="D20282" t="str">
        <f t="shared" ref="D20282:D20288" si="360">"12514021678 "</f>
        <v xml:space="preserve">12514021678 </v>
      </c>
      <c r="E20282" t="s">
        <v>309</v>
      </c>
      <c r="F20282" t="s">
        <v>310</v>
      </c>
      <c r="G20282">
        <v>23.78</v>
      </c>
      <c r="H20282">
        <v>250331</v>
      </c>
      <c r="I20282">
        <v>4369</v>
      </c>
      <c r="J20282" t="s">
        <v>188</v>
      </c>
      <c r="K20282">
        <v>59.93</v>
      </c>
      <c r="L20282">
        <v>4.83</v>
      </c>
      <c r="M20282">
        <v>54222</v>
      </c>
      <c r="N20282" t="s">
        <v>48</v>
      </c>
      <c r="O20282">
        <v>250416</v>
      </c>
      <c r="P20282">
        <v>18.95</v>
      </c>
    </row>
    <row r="20283" spans="1:16" x14ac:dyDescent="0.25">
      <c r="A20283" t="s">
        <v>3296</v>
      </c>
      <c r="B20283" t="s">
        <v>2931</v>
      </c>
      <c r="C20283">
        <v>5027</v>
      </c>
      <c r="D20283" t="str">
        <f t="shared" si="360"/>
        <v xml:space="preserve">12514021678 </v>
      </c>
      <c r="E20283" t="s">
        <v>309</v>
      </c>
      <c r="F20283" t="s">
        <v>310</v>
      </c>
      <c r="G20283">
        <v>3.38</v>
      </c>
      <c r="H20283">
        <v>250331</v>
      </c>
      <c r="I20283">
        <v>4369</v>
      </c>
      <c r="J20283" t="s">
        <v>188</v>
      </c>
      <c r="K20283">
        <v>59.93</v>
      </c>
      <c r="L20283">
        <v>0.69</v>
      </c>
      <c r="M20283">
        <v>54251</v>
      </c>
      <c r="N20283" t="s">
        <v>485</v>
      </c>
      <c r="O20283">
        <v>250416</v>
      </c>
      <c r="P20283">
        <v>2.69</v>
      </c>
    </row>
    <row r="20284" spans="1:16" x14ac:dyDescent="0.25">
      <c r="A20284" t="s">
        <v>3296</v>
      </c>
      <c r="B20284" t="s">
        <v>2931</v>
      </c>
      <c r="C20284">
        <v>5027</v>
      </c>
      <c r="D20284" t="str">
        <f t="shared" si="360"/>
        <v xml:space="preserve">12514021678 </v>
      </c>
      <c r="E20284" t="s">
        <v>309</v>
      </c>
      <c r="F20284" t="s">
        <v>310</v>
      </c>
      <c r="G20284">
        <v>3.38</v>
      </c>
      <c r="H20284">
        <v>250331</v>
      </c>
      <c r="I20284">
        <v>4369</v>
      </c>
      <c r="J20284" t="s">
        <v>188</v>
      </c>
      <c r="K20284">
        <v>59.93</v>
      </c>
      <c r="L20284">
        <v>0.69</v>
      </c>
      <c r="M20284">
        <v>54252</v>
      </c>
      <c r="N20284" t="s">
        <v>742</v>
      </c>
      <c r="O20284">
        <v>250416</v>
      </c>
      <c r="P20284">
        <v>2.69</v>
      </c>
    </row>
    <row r="20285" spans="1:16" x14ac:dyDescent="0.25">
      <c r="A20285" t="s">
        <v>3296</v>
      </c>
      <c r="B20285" t="s">
        <v>2931</v>
      </c>
      <c r="C20285">
        <v>5027</v>
      </c>
      <c r="D20285" t="str">
        <f t="shared" si="360"/>
        <v xml:space="preserve">12514021678 </v>
      </c>
      <c r="E20285" t="s">
        <v>309</v>
      </c>
      <c r="F20285" t="s">
        <v>310</v>
      </c>
      <c r="G20285">
        <v>9.0299999999999994</v>
      </c>
      <c r="H20285">
        <v>250331</v>
      </c>
      <c r="I20285">
        <v>4369</v>
      </c>
      <c r="J20285" t="s">
        <v>188</v>
      </c>
      <c r="K20285">
        <v>59.93</v>
      </c>
      <c r="L20285">
        <v>1.83</v>
      </c>
      <c r="M20285">
        <v>54422</v>
      </c>
      <c r="N20285" t="s">
        <v>49</v>
      </c>
      <c r="O20285">
        <v>250416</v>
      </c>
      <c r="P20285">
        <v>7.2</v>
      </c>
    </row>
    <row r="20286" spans="1:16" x14ac:dyDescent="0.25">
      <c r="A20286" t="s">
        <v>3296</v>
      </c>
      <c r="B20286" t="s">
        <v>2931</v>
      </c>
      <c r="C20286">
        <v>5027</v>
      </c>
      <c r="D20286" t="str">
        <f t="shared" si="360"/>
        <v xml:space="preserve">12514021678 </v>
      </c>
      <c r="E20286" t="s">
        <v>309</v>
      </c>
      <c r="F20286" t="s">
        <v>310</v>
      </c>
      <c r="G20286">
        <v>6.78</v>
      </c>
      <c r="H20286">
        <v>250331</v>
      </c>
      <c r="I20286">
        <v>4369</v>
      </c>
      <c r="J20286" t="s">
        <v>188</v>
      </c>
      <c r="K20286">
        <v>59.93</v>
      </c>
      <c r="L20286">
        <v>1.38</v>
      </c>
      <c r="M20286">
        <v>54451</v>
      </c>
      <c r="N20286" t="s">
        <v>218</v>
      </c>
      <c r="O20286">
        <v>250416</v>
      </c>
      <c r="P20286">
        <v>5.4</v>
      </c>
    </row>
    <row r="20287" spans="1:16" x14ac:dyDescent="0.25">
      <c r="A20287" t="s">
        <v>3296</v>
      </c>
      <c r="B20287" t="s">
        <v>2931</v>
      </c>
      <c r="C20287">
        <v>5027</v>
      </c>
      <c r="D20287" t="str">
        <f t="shared" si="360"/>
        <v xml:space="preserve">12514021678 </v>
      </c>
      <c r="E20287" t="s">
        <v>309</v>
      </c>
      <c r="F20287" t="s">
        <v>310</v>
      </c>
      <c r="G20287">
        <v>6.78</v>
      </c>
      <c r="H20287">
        <v>250331</v>
      </c>
      <c r="I20287">
        <v>4369</v>
      </c>
      <c r="J20287" t="s">
        <v>188</v>
      </c>
      <c r="K20287">
        <v>59.93</v>
      </c>
      <c r="L20287">
        <v>1.38</v>
      </c>
      <c r="M20287">
        <v>56563</v>
      </c>
      <c r="N20287" t="s">
        <v>55</v>
      </c>
      <c r="O20287">
        <v>250416</v>
      </c>
      <c r="P20287">
        <v>5.4</v>
      </c>
    </row>
    <row r="20288" spans="1:16" x14ac:dyDescent="0.25">
      <c r="A20288" t="s">
        <v>3296</v>
      </c>
      <c r="B20288" t="s">
        <v>2931</v>
      </c>
      <c r="C20288">
        <v>5027</v>
      </c>
      <c r="D20288" t="str">
        <f t="shared" si="360"/>
        <v xml:space="preserve">12514021678 </v>
      </c>
      <c r="E20288" t="s">
        <v>309</v>
      </c>
      <c r="F20288" t="s">
        <v>310</v>
      </c>
      <c r="G20288">
        <v>6.8</v>
      </c>
      <c r="H20288">
        <v>250331</v>
      </c>
      <c r="I20288">
        <v>4369</v>
      </c>
      <c r="J20288" t="s">
        <v>188</v>
      </c>
      <c r="K20288">
        <v>59.93</v>
      </c>
      <c r="L20288">
        <v>1.38</v>
      </c>
      <c r="M20288">
        <v>58601</v>
      </c>
      <c r="N20288" t="s">
        <v>59</v>
      </c>
      <c r="O20288">
        <v>250416</v>
      </c>
      <c r="P20288">
        <v>5.42</v>
      </c>
    </row>
    <row r="20289" spans="1:16" x14ac:dyDescent="0.25">
      <c r="A20289" t="s">
        <v>3296</v>
      </c>
      <c r="B20289" t="s">
        <v>2931</v>
      </c>
      <c r="C20289">
        <v>5039</v>
      </c>
      <c r="D20289" t="str">
        <f t="shared" ref="D20289:D20317" si="361">"12514021677 "</f>
        <v xml:space="preserve">12514021677 </v>
      </c>
      <c r="E20289" t="s">
        <v>309</v>
      </c>
      <c r="F20289" t="s">
        <v>310</v>
      </c>
      <c r="G20289">
        <v>37.65</v>
      </c>
      <c r="H20289">
        <v>250331</v>
      </c>
      <c r="I20289">
        <v>4369</v>
      </c>
      <c r="J20289" t="s">
        <v>188</v>
      </c>
      <c r="K20289">
        <v>342.33</v>
      </c>
      <c r="L20289">
        <v>7.65</v>
      </c>
      <c r="M20289">
        <v>61122</v>
      </c>
      <c r="N20289" t="s">
        <v>86</v>
      </c>
      <c r="O20289">
        <v>250416</v>
      </c>
      <c r="P20289">
        <v>30</v>
      </c>
    </row>
    <row r="20290" spans="1:16" x14ac:dyDescent="0.25">
      <c r="A20290" t="s">
        <v>3296</v>
      </c>
      <c r="B20290" t="s">
        <v>2931</v>
      </c>
      <c r="C20290">
        <v>5039</v>
      </c>
      <c r="D20290" t="str">
        <f t="shared" si="361"/>
        <v xml:space="preserve">12514021677 </v>
      </c>
      <c r="E20290" t="s">
        <v>309</v>
      </c>
      <c r="F20290" t="s">
        <v>310</v>
      </c>
      <c r="G20290">
        <v>3.39</v>
      </c>
      <c r="H20290">
        <v>250331</v>
      </c>
      <c r="I20290">
        <v>4369</v>
      </c>
      <c r="J20290" t="s">
        <v>188</v>
      </c>
      <c r="K20290">
        <v>342.33</v>
      </c>
      <c r="L20290">
        <v>0.69</v>
      </c>
      <c r="M20290">
        <v>61122</v>
      </c>
      <c r="N20290" t="s">
        <v>86</v>
      </c>
      <c r="O20290">
        <v>250416</v>
      </c>
      <c r="P20290">
        <v>2.7</v>
      </c>
    </row>
    <row r="20291" spans="1:16" x14ac:dyDescent="0.25">
      <c r="A20291" t="s">
        <v>3296</v>
      </c>
      <c r="B20291" t="s">
        <v>2931</v>
      </c>
      <c r="C20291">
        <v>5039</v>
      </c>
      <c r="D20291" t="str">
        <f t="shared" si="361"/>
        <v xml:space="preserve">12514021677 </v>
      </c>
      <c r="E20291" t="s">
        <v>309</v>
      </c>
      <c r="F20291" t="s">
        <v>310</v>
      </c>
      <c r="G20291">
        <v>13.6</v>
      </c>
      <c r="H20291">
        <v>250331</v>
      </c>
      <c r="I20291">
        <v>4369</v>
      </c>
      <c r="J20291" t="s">
        <v>188</v>
      </c>
      <c r="K20291">
        <v>342.33</v>
      </c>
      <c r="L20291">
        <v>2.76</v>
      </c>
      <c r="M20291">
        <v>65222</v>
      </c>
      <c r="N20291" t="s">
        <v>87</v>
      </c>
      <c r="O20291">
        <v>250416</v>
      </c>
      <c r="P20291">
        <v>10.84</v>
      </c>
    </row>
    <row r="20292" spans="1:16" x14ac:dyDescent="0.25">
      <c r="A20292" t="s">
        <v>3296</v>
      </c>
      <c r="B20292" t="s">
        <v>2931</v>
      </c>
      <c r="C20292">
        <v>5039</v>
      </c>
      <c r="D20292" t="str">
        <f t="shared" si="361"/>
        <v xml:space="preserve">12514021677 </v>
      </c>
      <c r="E20292" t="s">
        <v>309</v>
      </c>
      <c r="F20292" t="s">
        <v>310</v>
      </c>
      <c r="G20292">
        <v>3.39</v>
      </c>
      <c r="H20292">
        <v>250331</v>
      </c>
      <c r="I20292">
        <v>4369</v>
      </c>
      <c r="J20292" t="s">
        <v>188</v>
      </c>
      <c r="K20292">
        <v>342.33</v>
      </c>
      <c r="L20292">
        <v>0.69</v>
      </c>
      <c r="M20292">
        <v>65422</v>
      </c>
      <c r="N20292" t="s">
        <v>117</v>
      </c>
      <c r="O20292">
        <v>250416</v>
      </c>
      <c r="P20292">
        <v>2.7</v>
      </c>
    </row>
    <row r="20293" spans="1:16" x14ac:dyDescent="0.25">
      <c r="A20293" t="s">
        <v>3296</v>
      </c>
      <c r="B20293" t="s">
        <v>2931</v>
      </c>
      <c r="C20293">
        <v>5039</v>
      </c>
      <c r="D20293" t="str">
        <f t="shared" si="361"/>
        <v xml:space="preserve">12514021677 </v>
      </c>
      <c r="E20293" t="s">
        <v>309</v>
      </c>
      <c r="F20293" t="s">
        <v>310</v>
      </c>
      <c r="G20293">
        <v>10.43</v>
      </c>
      <c r="H20293">
        <v>250331</v>
      </c>
      <c r="I20293">
        <v>4369</v>
      </c>
      <c r="J20293" t="s">
        <v>188</v>
      </c>
      <c r="K20293">
        <v>342.33</v>
      </c>
      <c r="L20293">
        <v>2.12</v>
      </c>
      <c r="M20293">
        <v>66722</v>
      </c>
      <c r="N20293" t="s">
        <v>118</v>
      </c>
      <c r="O20293">
        <v>250416</v>
      </c>
      <c r="P20293">
        <v>8.31</v>
      </c>
    </row>
    <row r="20294" spans="1:16" x14ac:dyDescent="0.25">
      <c r="A20294" t="s">
        <v>3296</v>
      </c>
      <c r="B20294" t="s">
        <v>2931</v>
      </c>
      <c r="C20294">
        <v>5039</v>
      </c>
      <c r="D20294" t="str">
        <f t="shared" si="361"/>
        <v xml:space="preserve">12514021677 </v>
      </c>
      <c r="E20294" t="s">
        <v>309</v>
      </c>
      <c r="F20294" t="s">
        <v>310</v>
      </c>
      <c r="G20294">
        <v>1.78</v>
      </c>
      <c r="H20294">
        <v>250331</v>
      </c>
      <c r="I20294">
        <v>4369</v>
      </c>
      <c r="J20294" t="s">
        <v>188</v>
      </c>
      <c r="K20294">
        <v>342.33</v>
      </c>
      <c r="L20294">
        <v>0.36</v>
      </c>
      <c r="M20294">
        <v>66754</v>
      </c>
      <c r="N20294" t="s">
        <v>119</v>
      </c>
      <c r="O20294">
        <v>250416</v>
      </c>
      <c r="P20294">
        <v>1.42</v>
      </c>
    </row>
    <row r="20295" spans="1:16" x14ac:dyDescent="0.25">
      <c r="A20295" t="s">
        <v>3296</v>
      </c>
      <c r="B20295" t="s">
        <v>2931</v>
      </c>
      <c r="C20295">
        <v>5039</v>
      </c>
      <c r="D20295" t="str">
        <f t="shared" si="361"/>
        <v xml:space="preserve">12514021677 </v>
      </c>
      <c r="E20295" t="s">
        <v>309</v>
      </c>
      <c r="F20295" t="s">
        <v>310</v>
      </c>
      <c r="G20295">
        <v>3.39</v>
      </c>
      <c r="H20295">
        <v>250331</v>
      </c>
      <c r="I20295">
        <v>4369</v>
      </c>
      <c r="J20295" t="s">
        <v>188</v>
      </c>
      <c r="K20295">
        <v>342.33</v>
      </c>
      <c r="L20295">
        <v>0.69</v>
      </c>
      <c r="M20295">
        <v>66754</v>
      </c>
      <c r="N20295" t="s">
        <v>119</v>
      </c>
      <c r="O20295">
        <v>250416</v>
      </c>
      <c r="P20295">
        <v>2.7</v>
      </c>
    </row>
    <row r="20296" spans="1:16" x14ac:dyDescent="0.25">
      <c r="A20296" t="s">
        <v>3296</v>
      </c>
      <c r="B20296" t="s">
        <v>2931</v>
      </c>
      <c r="C20296">
        <v>5039</v>
      </c>
      <c r="D20296" t="str">
        <f t="shared" si="361"/>
        <v xml:space="preserve">12514021677 </v>
      </c>
      <c r="E20296" t="s">
        <v>309</v>
      </c>
      <c r="F20296" t="s">
        <v>310</v>
      </c>
      <c r="G20296">
        <v>3.39</v>
      </c>
      <c r="H20296">
        <v>250331</v>
      </c>
      <c r="I20296">
        <v>4369</v>
      </c>
      <c r="J20296" t="s">
        <v>188</v>
      </c>
      <c r="K20296">
        <v>342.33</v>
      </c>
      <c r="L20296">
        <v>0.69</v>
      </c>
      <c r="M20296">
        <v>66754</v>
      </c>
      <c r="N20296" t="s">
        <v>119</v>
      </c>
      <c r="O20296">
        <v>250416</v>
      </c>
      <c r="P20296">
        <v>2.7</v>
      </c>
    </row>
    <row r="20297" spans="1:16" x14ac:dyDescent="0.25">
      <c r="A20297" t="s">
        <v>3296</v>
      </c>
      <c r="B20297" t="s">
        <v>2931</v>
      </c>
      <c r="C20297">
        <v>5039</v>
      </c>
      <c r="D20297" t="str">
        <f t="shared" si="361"/>
        <v xml:space="preserve">12514021677 </v>
      </c>
      <c r="E20297" t="s">
        <v>309</v>
      </c>
      <c r="F20297" t="s">
        <v>310</v>
      </c>
      <c r="G20297">
        <v>13.83</v>
      </c>
      <c r="H20297">
        <v>250331</v>
      </c>
      <c r="I20297">
        <v>4369</v>
      </c>
      <c r="J20297" t="s">
        <v>188</v>
      </c>
      <c r="K20297">
        <v>342.33</v>
      </c>
      <c r="L20297">
        <v>2.81</v>
      </c>
      <c r="M20297">
        <v>66754</v>
      </c>
      <c r="N20297" t="s">
        <v>119</v>
      </c>
      <c r="O20297">
        <v>250416</v>
      </c>
      <c r="P20297">
        <v>11.02</v>
      </c>
    </row>
    <row r="20298" spans="1:16" x14ac:dyDescent="0.25">
      <c r="A20298" t="s">
        <v>3296</v>
      </c>
      <c r="B20298" t="s">
        <v>2931</v>
      </c>
      <c r="C20298">
        <v>5039</v>
      </c>
      <c r="D20298" t="str">
        <f t="shared" si="361"/>
        <v xml:space="preserve">12514021677 </v>
      </c>
      <c r="E20298" t="s">
        <v>309</v>
      </c>
      <c r="F20298" t="s">
        <v>310</v>
      </c>
      <c r="G20298">
        <v>13.65</v>
      </c>
      <c r="H20298">
        <v>250331</v>
      </c>
      <c r="I20298">
        <v>4369</v>
      </c>
      <c r="J20298" t="s">
        <v>188</v>
      </c>
      <c r="K20298">
        <v>342.33</v>
      </c>
      <c r="L20298">
        <v>2.77</v>
      </c>
      <c r="M20298">
        <v>66756</v>
      </c>
      <c r="N20298" t="s">
        <v>120</v>
      </c>
      <c r="O20298">
        <v>250416</v>
      </c>
      <c r="P20298">
        <v>10.88</v>
      </c>
    </row>
    <row r="20299" spans="1:16" x14ac:dyDescent="0.25">
      <c r="A20299" t="s">
        <v>3296</v>
      </c>
      <c r="B20299" t="s">
        <v>2931</v>
      </c>
      <c r="C20299">
        <v>5039</v>
      </c>
      <c r="D20299" t="str">
        <f t="shared" si="361"/>
        <v xml:space="preserve">12514021677 </v>
      </c>
      <c r="E20299" t="s">
        <v>309</v>
      </c>
      <c r="F20299" t="s">
        <v>310</v>
      </c>
      <c r="G20299">
        <v>24.17</v>
      </c>
      <c r="H20299">
        <v>250331</v>
      </c>
      <c r="I20299">
        <v>4369</v>
      </c>
      <c r="J20299" t="s">
        <v>188</v>
      </c>
      <c r="K20299">
        <v>342.33</v>
      </c>
      <c r="L20299">
        <v>4.91</v>
      </c>
      <c r="M20299">
        <v>67522</v>
      </c>
      <c r="N20299" t="s">
        <v>121</v>
      </c>
      <c r="O20299">
        <v>250416</v>
      </c>
      <c r="P20299">
        <v>19.260000000000002</v>
      </c>
    </row>
    <row r="20300" spans="1:16" x14ac:dyDescent="0.25">
      <c r="A20300" t="s">
        <v>3296</v>
      </c>
      <c r="B20300" t="s">
        <v>2931</v>
      </c>
      <c r="C20300">
        <v>5039</v>
      </c>
      <c r="D20300" t="str">
        <f t="shared" si="361"/>
        <v xml:space="preserve">12514021677 </v>
      </c>
      <c r="E20300" t="s">
        <v>309</v>
      </c>
      <c r="F20300" t="s">
        <v>310</v>
      </c>
      <c r="G20300">
        <v>19.329999999999998</v>
      </c>
      <c r="H20300">
        <v>250331</v>
      </c>
      <c r="I20300">
        <v>4369</v>
      </c>
      <c r="J20300" t="s">
        <v>188</v>
      </c>
      <c r="K20300">
        <v>342.33</v>
      </c>
      <c r="L20300">
        <v>3.93</v>
      </c>
      <c r="M20300">
        <v>67522</v>
      </c>
      <c r="N20300" t="s">
        <v>121</v>
      </c>
      <c r="O20300">
        <v>250416</v>
      </c>
      <c r="P20300">
        <v>15.4</v>
      </c>
    </row>
    <row r="20301" spans="1:16" x14ac:dyDescent="0.25">
      <c r="A20301" t="s">
        <v>3296</v>
      </c>
      <c r="B20301" t="s">
        <v>2931</v>
      </c>
      <c r="C20301">
        <v>5039</v>
      </c>
      <c r="D20301" t="str">
        <f t="shared" si="361"/>
        <v xml:space="preserve">12514021677 </v>
      </c>
      <c r="E20301" t="s">
        <v>309</v>
      </c>
      <c r="F20301" t="s">
        <v>310</v>
      </c>
      <c r="G20301">
        <v>1.78</v>
      </c>
      <c r="H20301">
        <v>250331</v>
      </c>
      <c r="I20301">
        <v>4369</v>
      </c>
      <c r="J20301" t="s">
        <v>188</v>
      </c>
      <c r="K20301">
        <v>342.33</v>
      </c>
      <c r="L20301">
        <v>0.36</v>
      </c>
      <c r="M20301">
        <v>67554</v>
      </c>
      <c r="N20301" t="s">
        <v>317</v>
      </c>
      <c r="O20301">
        <v>250416</v>
      </c>
      <c r="P20301">
        <v>1.42</v>
      </c>
    </row>
    <row r="20302" spans="1:16" x14ac:dyDescent="0.25">
      <c r="A20302" t="s">
        <v>3296</v>
      </c>
      <c r="B20302" t="s">
        <v>2931</v>
      </c>
      <c r="C20302">
        <v>5039</v>
      </c>
      <c r="D20302" t="str">
        <f t="shared" si="361"/>
        <v xml:space="preserve">12514021677 </v>
      </c>
      <c r="E20302" t="s">
        <v>309</v>
      </c>
      <c r="F20302" t="s">
        <v>310</v>
      </c>
      <c r="G20302">
        <v>6.78</v>
      </c>
      <c r="H20302">
        <v>250331</v>
      </c>
      <c r="I20302">
        <v>4369</v>
      </c>
      <c r="J20302" t="s">
        <v>188</v>
      </c>
      <c r="K20302">
        <v>342.33</v>
      </c>
      <c r="L20302">
        <v>1.38</v>
      </c>
      <c r="M20302">
        <v>67554</v>
      </c>
      <c r="N20302" t="s">
        <v>317</v>
      </c>
      <c r="O20302">
        <v>250416</v>
      </c>
      <c r="P20302">
        <v>5.4</v>
      </c>
    </row>
    <row r="20303" spans="1:16" x14ac:dyDescent="0.25">
      <c r="A20303" t="s">
        <v>3296</v>
      </c>
      <c r="B20303" t="s">
        <v>2931</v>
      </c>
      <c r="C20303">
        <v>5039</v>
      </c>
      <c r="D20303" t="str">
        <f t="shared" si="361"/>
        <v xml:space="preserve">12514021677 </v>
      </c>
      <c r="E20303" t="s">
        <v>309</v>
      </c>
      <c r="F20303" t="s">
        <v>310</v>
      </c>
      <c r="G20303">
        <v>55.6</v>
      </c>
      <c r="H20303">
        <v>250331</v>
      </c>
      <c r="I20303">
        <v>4369</v>
      </c>
      <c r="J20303" t="s">
        <v>188</v>
      </c>
      <c r="K20303">
        <v>342.33</v>
      </c>
      <c r="L20303">
        <v>11.3</v>
      </c>
      <c r="M20303">
        <v>67554</v>
      </c>
      <c r="N20303" t="s">
        <v>317</v>
      </c>
      <c r="O20303">
        <v>250416</v>
      </c>
      <c r="P20303">
        <v>44.3</v>
      </c>
    </row>
    <row r="20304" spans="1:16" x14ac:dyDescent="0.25">
      <c r="A20304" t="s">
        <v>3296</v>
      </c>
      <c r="B20304" t="s">
        <v>2931</v>
      </c>
      <c r="C20304">
        <v>5039</v>
      </c>
      <c r="D20304" t="str">
        <f t="shared" si="361"/>
        <v xml:space="preserve">12514021677 </v>
      </c>
      <c r="E20304" t="s">
        <v>309</v>
      </c>
      <c r="F20304" t="s">
        <v>310</v>
      </c>
      <c r="G20304">
        <v>14.93</v>
      </c>
      <c r="H20304">
        <v>250331</v>
      </c>
      <c r="I20304">
        <v>4369</v>
      </c>
      <c r="J20304" t="s">
        <v>188</v>
      </c>
      <c r="K20304">
        <v>342.33</v>
      </c>
      <c r="L20304">
        <v>3.03</v>
      </c>
      <c r="M20304">
        <v>67554</v>
      </c>
      <c r="N20304" t="s">
        <v>317</v>
      </c>
      <c r="O20304">
        <v>250416</v>
      </c>
      <c r="P20304">
        <v>11.9</v>
      </c>
    </row>
    <row r="20305" spans="1:16" x14ac:dyDescent="0.25">
      <c r="A20305" t="s">
        <v>3296</v>
      </c>
      <c r="B20305" t="s">
        <v>2931</v>
      </c>
      <c r="C20305">
        <v>5039</v>
      </c>
      <c r="D20305" t="str">
        <f t="shared" si="361"/>
        <v xml:space="preserve">12514021677 </v>
      </c>
      <c r="E20305" t="s">
        <v>309</v>
      </c>
      <c r="F20305" t="s">
        <v>310</v>
      </c>
      <c r="G20305">
        <v>12.3</v>
      </c>
      <c r="H20305">
        <v>250331</v>
      </c>
      <c r="I20305">
        <v>4369</v>
      </c>
      <c r="J20305" t="s">
        <v>188</v>
      </c>
      <c r="K20305">
        <v>342.33</v>
      </c>
      <c r="L20305">
        <v>2.5</v>
      </c>
      <c r="M20305">
        <v>68601</v>
      </c>
      <c r="N20305" t="s">
        <v>1031</v>
      </c>
      <c r="O20305">
        <v>250416</v>
      </c>
      <c r="P20305">
        <v>9.8000000000000007</v>
      </c>
    </row>
    <row r="20306" spans="1:16" x14ac:dyDescent="0.25">
      <c r="A20306" t="s">
        <v>3296</v>
      </c>
      <c r="B20306" t="s">
        <v>2931</v>
      </c>
      <c r="C20306">
        <v>5039</v>
      </c>
      <c r="D20306" t="str">
        <f t="shared" si="361"/>
        <v xml:space="preserve">12514021677 </v>
      </c>
      <c r="E20306" t="s">
        <v>309</v>
      </c>
      <c r="F20306" t="s">
        <v>310</v>
      </c>
      <c r="G20306">
        <v>3.39</v>
      </c>
      <c r="H20306">
        <v>250331</v>
      </c>
      <c r="I20306">
        <v>4369</v>
      </c>
      <c r="J20306" t="s">
        <v>188</v>
      </c>
      <c r="K20306">
        <v>342.33</v>
      </c>
      <c r="L20306">
        <v>0.69</v>
      </c>
      <c r="M20306">
        <v>68601</v>
      </c>
      <c r="N20306" t="s">
        <v>1031</v>
      </c>
      <c r="O20306">
        <v>250416</v>
      </c>
      <c r="P20306">
        <v>2.7</v>
      </c>
    </row>
    <row r="20307" spans="1:16" x14ac:dyDescent="0.25">
      <c r="A20307" t="s">
        <v>3296</v>
      </c>
      <c r="B20307" t="s">
        <v>2931</v>
      </c>
      <c r="C20307">
        <v>5039</v>
      </c>
      <c r="D20307" t="str">
        <f t="shared" si="361"/>
        <v xml:space="preserve">12514021677 </v>
      </c>
      <c r="E20307" t="s">
        <v>309</v>
      </c>
      <c r="F20307" t="s">
        <v>310</v>
      </c>
      <c r="G20307">
        <v>10.17</v>
      </c>
      <c r="H20307">
        <v>250331</v>
      </c>
      <c r="I20307">
        <v>4369</v>
      </c>
      <c r="J20307" t="s">
        <v>188</v>
      </c>
      <c r="K20307">
        <v>342.33</v>
      </c>
      <c r="L20307">
        <v>2.0699999999999998</v>
      </c>
      <c r="M20307">
        <v>69111</v>
      </c>
      <c r="N20307" t="s">
        <v>657</v>
      </c>
      <c r="O20307">
        <v>250416</v>
      </c>
      <c r="P20307">
        <v>8.1</v>
      </c>
    </row>
    <row r="20308" spans="1:16" x14ac:dyDescent="0.25">
      <c r="A20308" t="s">
        <v>3296</v>
      </c>
      <c r="B20308" t="s">
        <v>2931</v>
      </c>
      <c r="C20308">
        <v>5039</v>
      </c>
      <c r="D20308" t="str">
        <f t="shared" si="361"/>
        <v xml:space="preserve">12514021677 </v>
      </c>
      <c r="E20308" t="s">
        <v>309</v>
      </c>
      <c r="F20308" t="s">
        <v>310</v>
      </c>
      <c r="G20308">
        <v>7</v>
      </c>
      <c r="H20308">
        <v>250331</v>
      </c>
      <c r="I20308">
        <v>4369</v>
      </c>
      <c r="J20308" t="s">
        <v>188</v>
      </c>
      <c r="K20308">
        <v>342.33</v>
      </c>
      <c r="L20308">
        <v>1.42</v>
      </c>
      <c r="M20308">
        <v>69112</v>
      </c>
      <c r="N20308" t="s">
        <v>227</v>
      </c>
      <c r="O20308">
        <v>250416</v>
      </c>
      <c r="P20308">
        <v>5.58</v>
      </c>
    </row>
    <row r="20309" spans="1:16" x14ac:dyDescent="0.25">
      <c r="A20309" t="s">
        <v>3296</v>
      </c>
      <c r="B20309" t="s">
        <v>2931</v>
      </c>
      <c r="C20309">
        <v>5039</v>
      </c>
      <c r="D20309" t="str">
        <f t="shared" si="361"/>
        <v xml:space="preserve">12514021677 </v>
      </c>
      <c r="E20309" t="s">
        <v>309</v>
      </c>
      <c r="F20309" t="s">
        <v>310</v>
      </c>
      <c r="G20309">
        <v>10.23</v>
      </c>
      <c r="H20309">
        <v>250331</v>
      </c>
      <c r="I20309">
        <v>4369</v>
      </c>
      <c r="J20309" t="s">
        <v>188</v>
      </c>
      <c r="K20309">
        <v>342.33</v>
      </c>
      <c r="L20309">
        <v>2.08</v>
      </c>
      <c r="M20309">
        <v>69113</v>
      </c>
      <c r="N20309" t="s">
        <v>122</v>
      </c>
      <c r="O20309">
        <v>250416</v>
      </c>
      <c r="P20309">
        <v>8.15</v>
      </c>
    </row>
    <row r="20310" spans="1:16" x14ac:dyDescent="0.25">
      <c r="A20310" t="s">
        <v>3296</v>
      </c>
      <c r="B20310" t="s">
        <v>2931</v>
      </c>
      <c r="C20310">
        <v>5039</v>
      </c>
      <c r="D20310" t="str">
        <f t="shared" si="361"/>
        <v xml:space="preserve">12514021677 </v>
      </c>
      <c r="E20310" t="s">
        <v>309</v>
      </c>
      <c r="F20310" t="s">
        <v>310</v>
      </c>
      <c r="G20310">
        <v>28.38</v>
      </c>
      <c r="H20310">
        <v>250331</v>
      </c>
      <c r="I20310">
        <v>4369</v>
      </c>
      <c r="J20310" t="s">
        <v>188</v>
      </c>
      <c r="K20310">
        <v>342.33</v>
      </c>
      <c r="L20310">
        <v>5.77</v>
      </c>
      <c r="M20310">
        <v>69501</v>
      </c>
      <c r="N20310" t="s">
        <v>123</v>
      </c>
      <c r="O20310">
        <v>250416</v>
      </c>
      <c r="P20310">
        <v>22.61</v>
      </c>
    </row>
    <row r="20311" spans="1:16" x14ac:dyDescent="0.25">
      <c r="A20311" t="s">
        <v>3296</v>
      </c>
      <c r="B20311" t="s">
        <v>2931</v>
      </c>
      <c r="C20311">
        <v>5039</v>
      </c>
      <c r="D20311" t="str">
        <f t="shared" si="361"/>
        <v xml:space="preserve">12514021677 </v>
      </c>
      <c r="E20311" t="s">
        <v>309</v>
      </c>
      <c r="F20311" t="s">
        <v>310</v>
      </c>
      <c r="G20311">
        <v>5.08</v>
      </c>
      <c r="H20311">
        <v>250331</v>
      </c>
      <c r="I20311">
        <v>4369</v>
      </c>
      <c r="J20311" t="s">
        <v>188</v>
      </c>
      <c r="K20311">
        <v>342.33</v>
      </c>
      <c r="L20311">
        <v>1.03</v>
      </c>
      <c r="M20311">
        <v>69701</v>
      </c>
      <c r="N20311" t="s">
        <v>1030</v>
      </c>
      <c r="O20311">
        <v>250416</v>
      </c>
      <c r="P20311">
        <v>4.05</v>
      </c>
    </row>
    <row r="20312" spans="1:16" x14ac:dyDescent="0.25">
      <c r="A20312" t="s">
        <v>3296</v>
      </c>
      <c r="B20312" t="s">
        <v>2931</v>
      </c>
      <c r="C20312">
        <v>5039</v>
      </c>
      <c r="D20312" t="str">
        <f t="shared" si="361"/>
        <v xml:space="preserve">12514021677 </v>
      </c>
      <c r="E20312" t="s">
        <v>309</v>
      </c>
      <c r="F20312" t="s">
        <v>310</v>
      </c>
      <c r="G20312">
        <v>3.39</v>
      </c>
      <c r="H20312">
        <v>250331</v>
      </c>
      <c r="I20312">
        <v>4369</v>
      </c>
      <c r="J20312" t="s">
        <v>188</v>
      </c>
      <c r="K20312">
        <v>342.33</v>
      </c>
      <c r="L20312">
        <v>0.69</v>
      </c>
      <c r="M20312">
        <v>69702</v>
      </c>
      <c r="N20312" t="s">
        <v>124</v>
      </c>
      <c r="O20312">
        <v>250416</v>
      </c>
      <c r="P20312">
        <v>2.7</v>
      </c>
    </row>
    <row r="20313" spans="1:16" x14ac:dyDescent="0.25">
      <c r="A20313" t="s">
        <v>3296</v>
      </c>
      <c r="B20313" t="s">
        <v>2931</v>
      </c>
      <c r="C20313">
        <v>5039</v>
      </c>
      <c r="D20313" t="str">
        <f t="shared" si="361"/>
        <v xml:space="preserve">12514021677 </v>
      </c>
      <c r="E20313" t="s">
        <v>309</v>
      </c>
      <c r="F20313" t="s">
        <v>310</v>
      </c>
      <c r="G20313">
        <v>6.59</v>
      </c>
      <c r="H20313">
        <v>250331</v>
      </c>
      <c r="I20313">
        <v>4369</v>
      </c>
      <c r="J20313" t="s">
        <v>188</v>
      </c>
      <c r="K20313">
        <v>342.33</v>
      </c>
      <c r="L20313">
        <v>1.34</v>
      </c>
      <c r="M20313">
        <v>69702</v>
      </c>
      <c r="N20313" t="s">
        <v>124</v>
      </c>
      <c r="O20313">
        <v>250416</v>
      </c>
      <c r="P20313">
        <v>5.25</v>
      </c>
    </row>
    <row r="20314" spans="1:16" x14ac:dyDescent="0.25">
      <c r="A20314" t="s">
        <v>3296</v>
      </c>
      <c r="B20314" t="s">
        <v>2931</v>
      </c>
      <c r="C20314">
        <v>5039</v>
      </c>
      <c r="D20314" t="str">
        <f t="shared" si="361"/>
        <v xml:space="preserve">12514021677 </v>
      </c>
      <c r="E20314" t="s">
        <v>309</v>
      </c>
      <c r="F20314" t="s">
        <v>310</v>
      </c>
      <c r="G20314">
        <v>5.0999999999999996</v>
      </c>
      <c r="H20314">
        <v>250331</v>
      </c>
      <c r="I20314">
        <v>4369</v>
      </c>
      <c r="J20314" t="s">
        <v>188</v>
      </c>
      <c r="K20314">
        <v>342.33</v>
      </c>
      <c r="L20314">
        <v>1.04</v>
      </c>
      <c r="M20314">
        <v>69703</v>
      </c>
      <c r="N20314" t="s">
        <v>88</v>
      </c>
      <c r="O20314">
        <v>250416</v>
      </c>
      <c r="P20314">
        <v>4.0599999999999996</v>
      </c>
    </row>
    <row r="20315" spans="1:16" x14ac:dyDescent="0.25">
      <c r="A20315" t="s">
        <v>3296</v>
      </c>
      <c r="B20315" t="s">
        <v>2931</v>
      </c>
      <c r="C20315">
        <v>5039</v>
      </c>
      <c r="D20315" t="str">
        <f t="shared" si="361"/>
        <v xml:space="preserve">12514021677 </v>
      </c>
      <c r="E20315" t="s">
        <v>309</v>
      </c>
      <c r="F20315" t="s">
        <v>310</v>
      </c>
      <c r="G20315">
        <v>6.58</v>
      </c>
      <c r="H20315">
        <v>250331</v>
      </c>
      <c r="I20315">
        <v>4369</v>
      </c>
      <c r="J20315" t="s">
        <v>188</v>
      </c>
      <c r="K20315">
        <v>342.33</v>
      </c>
      <c r="L20315">
        <v>1.34</v>
      </c>
      <c r="M20315">
        <v>69704</v>
      </c>
      <c r="N20315" t="s">
        <v>89</v>
      </c>
      <c r="O20315">
        <v>250416</v>
      </c>
      <c r="P20315">
        <v>5.24</v>
      </c>
    </row>
    <row r="20316" spans="1:16" x14ac:dyDescent="0.25">
      <c r="A20316" t="s">
        <v>3296</v>
      </c>
      <c r="B20316" t="s">
        <v>2931</v>
      </c>
      <c r="C20316">
        <v>5039</v>
      </c>
      <c r="D20316" t="str">
        <f t="shared" si="361"/>
        <v xml:space="preserve">12514021677 </v>
      </c>
      <c r="E20316" t="s">
        <v>309</v>
      </c>
      <c r="F20316" t="s">
        <v>310</v>
      </c>
      <c r="G20316">
        <v>8.4700000000000006</v>
      </c>
      <c r="H20316">
        <v>250331</v>
      </c>
      <c r="I20316">
        <v>4369</v>
      </c>
      <c r="J20316" t="s">
        <v>188</v>
      </c>
      <c r="K20316">
        <v>342.33</v>
      </c>
      <c r="L20316">
        <v>1.72</v>
      </c>
      <c r="M20316">
        <v>69707</v>
      </c>
      <c r="N20316" t="s">
        <v>90</v>
      </c>
      <c r="O20316">
        <v>250416</v>
      </c>
      <c r="P20316">
        <v>6.75</v>
      </c>
    </row>
    <row r="20317" spans="1:16" x14ac:dyDescent="0.25">
      <c r="A20317" t="s">
        <v>3296</v>
      </c>
      <c r="B20317" t="s">
        <v>2931</v>
      </c>
      <c r="C20317">
        <v>5039</v>
      </c>
      <c r="D20317" t="str">
        <f t="shared" si="361"/>
        <v xml:space="preserve">12514021677 </v>
      </c>
      <c r="E20317" t="s">
        <v>309</v>
      </c>
      <c r="F20317" t="s">
        <v>310</v>
      </c>
      <c r="G20317">
        <v>8.56</v>
      </c>
      <c r="H20317">
        <v>250331</v>
      </c>
      <c r="I20317">
        <v>4369</v>
      </c>
      <c r="J20317" t="s">
        <v>188</v>
      </c>
      <c r="K20317">
        <v>342.33</v>
      </c>
      <c r="L20317">
        <v>1.74</v>
      </c>
      <c r="M20317">
        <v>69708</v>
      </c>
      <c r="N20317" t="s">
        <v>125</v>
      </c>
      <c r="O20317">
        <v>250416</v>
      </c>
      <c r="P20317">
        <v>6.82</v>
      </c>
    </row>
    <row r="20318" spans="1:16" x14ac:dyDescent="0.25">
      <c r="A20318" t="s">
        <v>3296</v>
      </c>
      <c r="B20318" t="s">
        <v>2931</v>
      </c>
      <c r="C20318">
        <v>5041</v>
      </c>
      <c r="D20318" t="str">
        <f t="shared" ref="D20318:D20343" si="362">"12514021698 "</f>
        <v xml:space="preserve">12514021698 </v>
      </c>
      <c r="E20318" t="s">
        <v>309</v>
      </c>
      <c r="F20318" t="s">
        <v>310</v>
      </c>
      <c r="G20318">
        <v>1.49</v>
      </c>
      <c r="H20318">
        <v>250331</v>
      </c>
      <c r="I20318">
        <v>4369</v>
      </c>
      <c r="J20318" t="s">
        <v>188</v>
      </c>
      <c r="K20318">
        <v>222.6</v>
      </c>
      <c r="L20318">
        <v>0.3</v>
      </c>
      <c r="M20318">
        <v>13540</v>
      </c>
      <c r="N20318" t="s">
        <v>131</v>
      </c>
      <c r="O20318">
        <v>250416</v>
      </c>
      <c r="P20318">
        <v>1.19</v>
      </c>
    </row>
    <row r="20319" spans="1:16" x14ac:dyDescent="0.25">
      <c r="A20319" t="s">
        <v>3296</v>
      </c>
      <c r="B20319" t="s">
        <v>2931</v>
      </c>
      <c r="C20319">
        <v>5041</v>
      </c>
      <c r="D20319" t="str">
        <f t="shared" si="362"/>
        <v xml:space="preserve">12514021698 </v>
      </c>
      <c r="E20319" t="s">
        <v>309</v>
      </c>
      <c r="F20319" t="s">
        <v>310</v>
      </c>
      <c r="G20319">
        <v>9.98</v>
      </c>
      <c r="H20319">
        <v>250331</v>
      </c>
      <c r="I20319">
        <v>4369</v>
      </c>
      <c r="J20319" t="s">
        <v>188</v>
      </c>
      <c r="K20319">
        <v>222.6</v>
      </c>
      <c r="L20319">
        <v>2.0299999999999998</v>
      </c>
      <c r="M20319">
        <v>16930</v>
      </c>
      <c r="N20319" t="s">
        <v>135</v>
      </c>
      <c r="O20319">
        <v>250416</v>
      </c>
      <c r="P20319">
        <v>7.95</v>
      </c>
    </row>
    <row r="20320" spans="1:16" x14ac:dyDescent="0.25">
      <c r="A20320" t="s">
        <v>3296</v>
      </c>
      <c r="B20320" t="s">
        <v>2931</v>
      </c>
      <c r="C20320">
        <v>5041</v>
      </c>
      <c r="D20320" t="str">
        <f t="shared" si="362"/>
        <v xml:space="preserve">12514021698 </v>
      </c>
      <c r="E20320" t="s">
        <v>309</v>
      </c>
      <c r="F20320" t="s">
        <v>310</v>
      </c>
      <c r="G20320">
        <v>3.36</v>
      </c>
      <c r="H20320">
        <v>250331</v>
      </c>
      <c r="I20320">
        <v>4369</v>
      </c>
      <c r="J20320" t="s">
        <v>188</v>
      </c>
      <c r="K20320">
        <v>222.6</v>
      </c>
      <c r="L20320">
        <v>0.68</v>
      </c>
      <c r="M20320">
        <v>16951</v>
      </c>
      <c r="N20320" t="s">
        <v>488</v>
      </c>
      <c r="O20320">
        <v>250416</v>
      </c>
      <c r="P20320">
        <v>2.68</v>
      </c>
    </row>
    <row r="20321" spans="1:16" x14ac:dyDescent="0.25">
      <c r="A20321" t="s">
        <v>3296</v>
      </c>
      <c r="B20321" t="s">
        <v>2931</v>
      </c>
      <c r="C20321">
        <v>5041</v>
      </c>
      <c r="D20321" t="str">
        <f t="shared" si="362"/>
        <v xml:space="preserve">12514021698 </v>
      </c>
      <c r="E20321" t="s">
        <v>309</v>
      </c>
      <c r="F20321" t="s">
        <v>310</v>
      </c>
      <c r="G20321">
        <v>15.16</v>
      </c>
      <c r="H20321">
        <v>250331</v>
      </c>
      <c r="I20321">
        <v>4369</v>
      </c>
      <c r="J20321" t="s">
        <v>188</v>
      </c>
      <c r="K20321">
        <v>222.6</v>
      </c>
      <c r="L20321">
        <v>3.08</v>
      </c>
      <c r="M20321">
        <v>17521</v>
      </c>
      <c r="N20321" t="s">
        <v>136</v>
      </c>
      <c r="O20321">
        <v>250416</v>
      </c>
      <c r="P20321">
        <v>12.08</v>
      </c>
    </row>
    <row r="20322" spans="1:16" x14ac:dyDescent="0.25">
      <c r="A20322" t="s">
        <v>3296</v>
      </c>
      <c r="B20322" t="s">
        <v>2931</v>
      </c>
      <c r="C20322">
        <v>5041</v>
      </c>
      <c r="D20322" t="str">
        <f t="shared" si="362"/>
        <v xml:space="preserve">12514021698 </v>
      </c>
      <c r="E20322" t="s">
        <v>309</v>
      </c>
      <c r="F20322" t="s">
        <v>310</v>
      </c>
      <c r="G20322">
        <v>7.12</v>
      </c>
      <c r="H20322">
        <v>250331</v>
      </c>
      <c r="I20322">
        <v>4369</v>
      </c>
      <c r="J20322" t="s">
        <v>188</v>
      </c>
      <c r="K20322">
        <v>222.6</v>
      </c>
      <c r="L20322">
        <v>1.45</v>
      </c>
      <c r="M20322">
        <v>17522</v>
      </c>
      <c r="N20322" t="s">
        <v>137</v>
      </c>
      <c r="O20322">
        <v>250416</v>
      </c>
      <c r="P20322">
        <v>5.67</v>
      </c>
    </row>
    <row r="20323" spans="1:16" x14ac:dyDescent="0.25">
      <c r="A20323" t="s">
        <v>3296</v>
      </c>
      <c r="B20323" t="s">
        <v>2931</v>
      </c>
      <c r="C20323">
        <v>5041</v>
      </c>
      <c r="D20323" t="str">
        <f t="shared" si="362"/>
        <v xml:space="preserve">12514021698 </v>
      </c>
      <c r="E20323" t="s">
        <v>309</v>
      </c>
      <c r="F20323" t="s">
        <v>310</v>
      </c>
      <c r="G20323">
        <v>10.17</v>
      </c>
      <c r="H20323">
        <v>250331</v>
      </c>
      <c r="I20323">
        <v>4369</v>
      </c>
      <c r="J20323" t="s">
        <v>188</v>
      </c>
      <c r="K20323">
        <v>222.6</v>
      </c>
      <c r="L20323">
        <v>2.0699999999999998</v>
      </c>
      <c r="M20323">
        <v>17523</v>
      </c>
      <c r="N20323" t="s">
        <v>138</v>
      </c>
      <c r="O20323">
        <v>250416</v>
      </c>
      <c r="P20323">
        <v>8.1</v>
      </c>
    </row>
    <row r="20324" spans="1:16" x14ac:dyDescent="0.25">
      <c r="A20324" t="s">
        <v>3296</v>
      </c>
      <c r="B20324" t="s">
        <v>2931</v>
      </c>
      <c r="C20324">
        <v>5041</v>
      </c>
      <c r="D20324" t="str">
        <f t="shared" si="362"/>
        <v xml:space="preserve">12514021698 </v>
      </c>
      <c r="E20324" t="s">
        <v>309</v>
      </c>
      <c r="F20324" t="s">
        <v>310</v>
      </c>
      <c r="G20324">
        <v>6.78</v>
      </c>
      <c r="H20324">
        <v>250331</v>
      </c>
      <c r="I20324">
        <v>4369</v>
      </c>
      <c r="J20324" t="s">
        <v>188</v>
      </c>
      <c r="K20324">
        <v>222.6</v>
      </c>
      <c r="L20324">
        <v>1.38</v>
      </c>
      <c r="M20324">
        <v>17524</v>
      </c>
      <c r="N20324" t="s">
        <v>139</v>
      </c>
      <c r="O20324">
        <v>250416</v>
      </c>
      <c r="P20324">
        <v>5.4</v>
      </c>
    </row>
    <row r="20325" spans="1:16" x14ac:dyDescent="0.25">
      <c r="A20325" t="s">
        <v>3296</v>
      </c>
      <c r="B20325" t="s">
        <v>2931</v>
      </c>
      <c r="C20325">
        <v>5041</v>
      </c>
      <c r="D20325" t="str">
        <f t="shared" si="362"/>
        <v xml:space="preserve">12514021698 </v>
      </c>
      <c r="E20325" t="s">
        <v>309</v>
      </c>
      <c r="F20325" t="s">
        <v>310</v>
      </c>
      <c r="G20325">
        <v>4.0199999999999996</v>
      </c>
      <c r="H20325">
        <v>250331</v>
      </c>
      <c r="I20325">
        <v>4369</v>
      </c>
      <c r="J20325" t="s">
        <v>188</v>
      </c>
      <c r="K20325">
        <v>222.6</v>
      </c>
      <c r="L20325">
        <v>0.82</v>
      </c>
      <c r="M20325">
        <v>17525</v>
      </c>
      <c r="N20325" t="s">
        <v>140</v>
      </c>
      <c r="O20325">
        <v>250416</v>
      </c>
      <c r="P20325">
        <v>3.2</v>
      </c>
    </row>
    <row r="20326" spans="1:16" x14ac:dyDescent="0.25">
      <c r="A20326" t="s">
        <v>3296</v>
      </c>
      <c r="B20326" t="s">
        <v>2931</v>
      </c>
      <c r="C20326">
        <v>5041</v>
      </c>
      <c r="D20326" t="str">
        <f t="shared" si="362"/>
        <v xml:space="preserve">12514021698 </v>
      </c>
      <c r="E20326" t="s">
        <v>309</v>
      </c>
      <c r="F20326" t="s">
        <v>310</v>
      </c>
      <c r="G20326">
        <v>6.78</v>
      </c>
      <c r="H20326">
        <v>250331</v>
      </c>
      <c r="I20326">
        <v>4369</v>
      </c>
      <c r="J20326" t="s">
        <v>188</v>
      </c>
      <c r="K20326">
        <v>222.6</v>
      </c>
      <c r="L20326">
        <v>1.38</v>
      </c>
      <c r="M20326">
        <v>17526</v>
      </c>
      <c r="N20326" t="s">
        <v>141</v>
      </c>
      <c r="O20326">
        <v>250416</v>
      </c>
      <c r="P20326">
        <v>5.4</v>
      </c>
    </row>
    <row r="20327" spans="1:16" x14ac:dyDescent="0.25">
      <c r="A20327" t="s">
        <v>3296</v>
      </c>
      <c r="B20327" t="s">
        <v>2931</v>
      </c>
      <c r="C20327">
        <v>5041</v>
      </c>
      <c r="D20327" t="str">
        <f t="shared" si="362"/>
        <v xml:space="preserve">12514021698 </v>
      </c>
      <c r="E20327" t="s">
        <v>309</v>
      </c>
      <c r="F20327" t="s">
        <v>310</v>
      </c>
      <c r="G20327">
        <v>7.79</v>
      </c>
      <c r="H20327">
        <v>250331</v>
      </c>
      <c r="I20327">
        <v>4369</v>
      </c>
      <c r="J20327" t="s">
        <v>188</v>
      </c>
      <c r="K20327">
        <v>222.6</v>
      </c>
      <c r="L20327">
        <v>1.58</v>
      </c>
      <c r="M20327">
        <v>17527</v>
      </c>
      <c r="N20327" t="s">
        <v>142</v>
      </c>
      <c r="O20327">
        <v>250416</v>
      </c>
      <c r="P20327">
        <v>6.21</v>
      </c>
    </row>
    <row r="20328" spans="1:16" x14ac:dyDescent="0.25">
      <c r="A20328" t="s">
        <v>3296</v>
      </c>
      <c r="B20328" t="s">
        <v>2931</v>
      </c>
      <c r="C20328">
        <v>5041</v>
      </c>
      <c r="D20328" t="str">
        <f t="shared" si="362"/>
        <v xml:space="preserve">12514021698 </v>
      </c>
      <c r="E20328" t="s">
        <v>309</v>
      </c>
      <c r="F20328" t="s">
        <v>310</v>
      </c>
      <c r="G20328">
        <v>6.81</v>
      </c>
      <c r="H20328">
        <v>250331</v>
      </c>
      <c r="I20328">
        <v>4369</v>
      </c>
      <c r="J20328" t="s">
        <v>188</v>
      </c>
      <c r="K20328">
        <v>222.6</v>
      </c>
      <c r="L20328">
        <v>1.38</v>
      </c>
      <c r="M20328">
        <v>17529</v>
      </c>
      <c r="N20328" t="s">
        <v>143</v>
      </c>
      <c r="O20328">
        <v>250416</v>
      </c>
      <c r="P20328">
        <v>5.43</v>
      </c>
    </row>
    <row r="20329" spans="1:16" x14ac:dyDescent="0.25">
      <c r="A20329" t="s">
        <v>3296</v>
      </c>
      <c r="B20329" t="s">
        <v>2931</v>
      </c>
      <c r="C20329">
        <v>5041</v>
      </c>
      <c r="D20329" t="str">
        <f t="shared" si="362"/>
        <v xml:space="preserve">12514021698 </v>
      </c>
      <c r="E20329" t="s">
        <v>309</v>
      </c>
      <c r="F20329" t="s">
        <v>310</v>
      </c>
      <c r="G20329">
        <v>7.33</v>
      </c>
      <c r="H20329">
        <v>250331</v>
      </c>
      <c r="I20329">
        <v>4369</v>
      </c>
      <c r="J20329" t="s">
        <v>188</v>
      </c>
      <c r="K20329">
        <v>222.6</v>
      </c>
      <c r="L20329">
        <v>1.49</v>
      </c>
      <c r="M20329">
        <v>17530</v>
      </c>
      <c r="N20329" t="s">
        <v>144</v>
      </c>
      <c r="O20329">
        <v>250416</v>
      </c>
      <c r="P20329">
        <v>5.84</v>
      </c>
    </row>
    <row r="20330" spans="1:16" x14ac:dyDescent="0.25">
      <c r="A20330" t="s">
        <v>3296</v>
      </c>
      <c r="B20330" t="s">
        <v>2931</v>
      </c>
      <c r="C20330">
        <v>5041</v>
      </c>
      <c r="D20330" t="str">
        <f t="shared" si="362"/>
        <v xml:space="preserve">12514021698 </v>
      </c>
      <c r="E20330" t="s">
        <v>309</v>
      </c>
      <c r="F20330" t="s">
        <v>310</v>
      </c>
      <c r="G20330">
        <v>13.18</v>
      </c>
      <c r="H20330">
        <v>250331</v>
      </c>
      <c r="I20330">
        <v>4369</v>
      </c>
      <c r="J20330" t="s">
        <v>188</v>
      </c>
      <c r="K20330">
        <v>222.6</v>
      </c>
      <c r="L20330">
        <v>2.68</v>
      </c>
      <c r="M20330">
        <v>17531</v>
      </c>
      <c r="N20330" t="s">
        <v>145</v>
      </c>
      <c r="O20330">
        <v>250416</v>
      </c>
      <c r="P20330">
        <v>10.5</v>
      </c>
    </row>
    <row r="20331" spans="1:16" x14ac:dyDescent="0.25">
      <c r="A20331" t="s">
        <v>3296</v>
      </c>
      <c r="B20331" t="s">
        <v>2931</v>
      </c>
      <c r="C20331">
        <v>5041</v>
      </c>
      <c r="D20331" t="str">
        <f t="shared" si="362"/>
        <v xml:space="preserve">12514021698 </v>
      </c>
      <c r="E20331" t="s">
        <v>309</v>
      </c>
      <c r="F20331" t="s">
        <v>310</v>
      </c>
      <c r="G20331">
        <v>12.99</v>
      </c>
      <c r="H20331">
        <v>250331</v>
      </c>
      <c r="I20331">
        <v>4369</v>
      </c>
      <c r="J20331" t="s">
        <v>188</v>
      </c>
      <c r="K20331">
        <v>222.6</v>
      </c>
      <c r="L20331">
        <v>2.64</v>
      </c>
      <c r="M20331">
        <v>17532</v>
      </c>
      <c r="N20331" t="s">
        <v>146</v>
      </c>
      <c r="O20331">
        <v>250416</v>
      </c>
      <c r="P20331">
        <v>10.35</v>
      </c>
    </row>
    <row r="20332" spans="1:16" x14ac:dyDescent="0.25">
      <c r="A20332" t="s">
        <v>3296</v>
      </c>
      <c r="B20332" t="s">
        <v>2931</v>
      </c>
      <c r="C20332">
        <v>5041</v>
      </c>
      <c r="D20332" t="str">
        <f t="shared" si="362"/>
        <v xml:space="preserve">12514021698 </v>
      </c>
      <c r="E20332" t="s">
        <v>309</v>
      </c>
      <c r="F20332" t="s">
        <v>310</v>
      </c>
      <c r="G20332">
        <v>6.85</v>
      </c>
      <c r="H20332">
        <v>250331</v>
      </c>
      <c r="I20332">
        <v>4369</v>
      </c>
      <c r="J20332" t="s">
        <v>188</v>
      </c>
      <c r="K20332">
        <v>222.6</v>
      </c>
      <c r="L20332">
        <v>1.39</v>
      </c>
      <c r="M20332">
        <v>17533</v>
      </c>
      <c r="N20332" t="s">
        <v>147</v>
      </c>
      <c r="O20332">
        <v>250416</v>
      </c>
      <c r="P20332">
        <v>5.46</v>
      </c>
    </row>
    <row r="20333" spans="1:16" x14ac:dyDescent="0.25">
      <c r="A20333" t="s">
        <v>3296</v>
      </c>
      <c r="B20333" t="s">
        <v>2931</v>
      </c>
      <c r="C20333">
        <v>5041</v>
      </c>
      <c r="D20333" t="str">
        <f t="shared" si="362"/>
        <v xml:space="preserve">12514021698 </v>
      </c>
      <c r="E20333" t="s">
        <v>309</v>
      </c>
      <c r="F20333" t="s">
        <v>310</v>
      </c>
      <c r="G20333">
        <v>6.78</v>
      </c>
      <c r="H20333">
        <v>250331</v>
      </c>
      <c r="I20333">
        <v>4369</v>
      </c>
      <c r="J20333" t="s">
        <v>188</v>
      </c>
      <c r="K20333">
        <v>222.6</v>
      </c>
      <c r="L20333">
        <v>1.38</v>
      </c>
      <c r="M20333">
        <v>17534</v>
      </c>
      <c r="N20333" t="s">
        <v>148</v>
      </c>
      <c r="O20333">
        <v>250416</v>
      </c>
      <c r="P20333">
        <v>5.4</v>
      </c>
    </row>
    <row r="20334" spans="1:16" x14ac:dyDescent="0.25">
      <c r="A20334" t="s">
        <v>3296</v>
      </c>
      <c r="B20334" t="s">
        <v>2931</v>
      </c>
      <c r="C20334">
        <v>5041</v>
      </c>
      <c r="D20334" t="str">
        <f t="shared" si="362"/>
        <v xml:space="preserve">12514021698 </v>
      </c>
      <c r="E20334" t="s">
        <v>309</v>
      </c>
      <c r="F20334" t="s">
        <v>310</v>
      </c>
      <c r="G20334">
        <v>3.39</v>
      </c>
      <c r="H20334">
        <v>250331</v>
      </c>
      <c r="I20334">
        <v>4369</v>
      </c>
      <c r="J20334" t="s">
        <v>188</v>
      </c>
      <c r="K20334">
        <v>222.6</v>
      </c>
      <c r="L20334">
        <v>0.69</v>
      </c>
      <c r="M20334">
        <v>17535</v>
      </c>
      <c r="N20334" t="s">
        <v>149</v>
      </c>
      <c r="O20334">
        <v>250416</v>
      </c>
      <c r="P20334">
        <v>2.7</v>
      </c>
    </row>
    <row r="20335" spans="1:16" x14ac:dyDescent="0.25">
      <c r="A20335" t="s">
        <v>3296</v>
      </c>
      <c r="B20335" t="s">
        <v>2931</v>
      </c>
      <c r="C20335">
        <v>5041</v>
      </c>
      <c r="D20335" t="str">
        <f t="shared" si="362"/>
        <v xml:space="preserve">12514021698 </v>
      </c>
      <c r="E20335" t="s">
        <v>309</v>
      </c>
      <c r="F20335" t="s">
        <v>310</v>
      </c>
      <c r="G20335">
        <v>6.78</v>
      </c>
      <c r="H20335">
        <v>250331</v>
      </c>
      <c r="I20335">
        <v>4369</v>
      </c>
      <c r="J20335" t="s">
        <v>188</v>
      </c>
      <c r="K20335">
        <v>222.6</v>
      </c>
      <c r="L20335">
        <v>1.38</v>
      </c>
      <c r="M20335">
        <v>17536</v>
      </c>
      <c r="N20335" t="s">
        <v>150</v>
      </c>
      <c r="O20335">
        <v>250416</v>
      </c>
      <c r="P20335">
        <v>5.4</v>
      </c>
    </row>
    <row r="20336" spans="1:16" x14ac:dyDescent="0.25">
      <c r="A20336" t="s">
        <v>3296</v>
      </c>
      <c r="B20336" t="s">
        <v>2931</v>
      </c>
      <c r="C20336">
        <v>5041</v>
      </c>
      <c r="D20336" t="str">
        <f t="shared" si="362"/>
        <v xml:space="preserve">12514021698 </v>
      </c>
      <c r="E20336" t="s">
        <v>309</v>
      </c>
      <c r="F20336" t="s">
        <v>310</v>
      </c>
      <c r="G20336">
        <v>13.18</v>
      </c>
      <c r="H20336">
        <v>250331</v>
      </c>
      <c r="I20336">
        <v>4369</v>
      </c>
      <c r="J20336" t="s">
        <v>188</v>
      </c>
      <c r="K20336">
        <v>222.6</v>
      </c>
      <c r="L20336">
        <v>2.68</v>
      </c>
      <c r="M20336">
        <v>17537</v>
      </c>
      <c r="N20336" t="s">
        <v>151</v>
      </c>
      <c r="O20336">
        <v>250416</v>
      </c>
      <c r="P20336">
        <v>10.5</v>
      </c>
    </row>
    <row r="20337" spans="1:16" x14ac:dyDescent="0.25">
      <c r="A20337" t="s">
        <v>3296</v>
      </c>
      <c r="B20337" t="s">
        <v>2931</v>
      </c>
      <c r="C20337">
        <v>5041</v>
      </c>
      <c r="D20337" t="str">
        <f t="shared" si="362"/>
        <v xml:space="preserve">12514021698 </v>
      </c>
      <c r="E20337" t="s">
        <v>309</v>
      </c>
      <c r="F20337" t="s">
        <v>310</v>
      </c>
      <c r="G20337">
        <v>13.37</v>
      </c>
      <c r="H20337">
        <v>250331</v>
      </c>
      <c r="I20337">
        <v>4369</v>
      </c>
      <c r="J20337" t="s">
        <v>188</v>
      </c>
      <c r="K20337">
        <v>222.6</v>
      </c>
      <c r="L20337">
        <v>2.72</v>
      </c>
      <c r="M20337">
        <v>17538</v>
      </c>
      <c r="N20337" t="s">
        <v>129</v>
      </c>
      <c r="O20337">
        <v>250416</v>
      </c>
      <c r="P20337">
        <v>10.65</v>
      </c>
    </row>
    <row r="20338" spans="1:16" x14ac:dyDescent="0.25">
      <c r="A20338" t="s">
        <v>3296</v>
      </c>
      <c r="B20338" t="s">
        <v>2931</v>
      </c>
      <c r="C20338">
        <v>5041</v>
      </c>
      <c r="D20338" t="str">
        <f t="shared" si="362"/>
        <v xml:space="preserve">12514021698 </v>
      </c>
      <c r="E20338" t="s">
        <v>309</v>
      </c>
      <c r="F20338" t="s">
        <v>310</v>
      </c>
      <c r="G20338">
        <v>12.06</v>
      </c>
      <c r="H20338">
        <v>250331</v>
      </c>
      <c r="I20338">
        <v>4369</v>
      </c>
      <c r="J20338" t="s">
        <v>188</v>
      </c>
      <c r="K20338">
        <v>222.6</v>
      </c>
      <c r="L20338">
        <v>2.4500000000000002</v>
      </c>
      <c r="M20338">
        <v>17950</v>
      </c>
      <c r="N20338" t="s">
        <v>132</v>
      </c>
      <c r="O20338">
        <v>250416</v>
      </c>
      <c r="P20338">
        <v>9.61</v>
      </c>
    </row>
    <row r="20339" spans="1:16" x14ac:dyDescent="0.25">
      <c r="A20339" t="s">
        <v>3296</v>
      </c>
      <c r="B20339" t="s">
        <v>2931</v>
      </c>
      <c r="C20339">
        <v>5041</v>
      </c>
      <c r="D20339" t="str">
        <f t="shared" si="362"/>
        <v xml:space="preserve">12514021698 </v>
      </c>
      <c r="E20339" t="s">
        <v>309</v>
      </c>
      <c r="F20339" t="s">
        <v>310</v>
      </c>
      <c r="G20339">
        <v>3.39</v>
      </c>
      <c r="H20339">
        <v>250331</v>
      </c>
      <c r="I20339">
        <v>4369</v>
      </c>
      <c r="J20339" t="s">
        <v>188</v>
      </c>
      <c r="K20339">
        <v>222.6</v>
      </c>
      <c r="L20339">
        <v>0.69</v>
      </c>
      <c r="M20339">
        <v>17956</v>
      </c>
      <c r="N20339" t="s">
        <v>170</v>
      </c>
      <c r="O20339">
        <v>250416</v>
      </c>
      <c r="P20339">
        <v>2.7</v>
      </c>
    </row>
    <row r="20340" spans="1:16" x14ac:dyDescent="0.25">
      <c r="A20340" t="s">
        <v>3296</v>
      </c>
      <c r="B20340" t="s">
        <v>2931</v>
      </c>
      <c r="C20340">
        <v>5041</v>
      </c>
      <c r="D20340" t="str">
        <f t="shared" si="362"/>
        <v xml:space="preserve">12514021698 </v>
      </c>
      <c r="E20340" t="s">
        <v>309</v>
      </c>
      <c r="F20340" t="s">
        <v>310</v>
      </c>
      <c r="G20340">
        <v>26.62</v>
      </c>
      <c r="H20340">
        <v>250331</v>
      </c>
      <c r="I20340">
        <v>4369</v>
      </c>
      <c r="J20340" t="s">
        <v>188</v>
      </c>
      <c r="K20340">
        <v>222.6</v>
      </c>
      <c r="L20340">
        <v>5.41</v>
      </c>
      <c r="M20340">
        <v>17971</v>
      </c>
      <c r="N20340" t="s">
        <v>27</v>
      </c>
      <c r="O20340">
        <v>250416</v>
      </c>
      <c r="P20340">
        <v>21.21</v>
      </c>
    </row>
    <row r="20341" spans="1:16" x14ac:dyDescent="0.25">
      <c r="A20341" t="s">
        <v>3296</v>
      </c>
      <c r="B20341" t="s">
        <v>2931</v>
      </c>
      <c r="C20341">
        <v>5041</v>
      </c>
      <c r="D20341" t="str">
        <f t="shared" si="362"/>
        <v xml:space="preserve">12514021698 </v>
      </c>
      <c r="E20341" t="s">
        <v>309</v>
      </c>
      <c r="F20341" t="s">
        <v>310</v>
      </c>
      <c r="G20341">
        <v>3.39</v>
      </c>
      <c r="H20341">
        <v>250331</v>
      </c>
      <c r="I20341">
        <v>4369</v>
      </c>
      <c r="J20341" t="s">
        <v>188</v>
      </c>
      <c r="K20341">
        <v>222.6</v>
      </c>
      <c r="L20341">
        <v>0.69</v>
      </c>
      <c r="M20341">
        <v>17972</v>
      </c>
      <c r="N20341" t="s">
        <v>28</v>
      </c>
      <c r="O20341">
        <v>250416</v>
      </c>
      <c r="P20341">
        <v>2.7</v>
      </c>
    </row>
    <row r="20342" spans="1:16" x14ac:dyDescent="0.25">
      <c r="A20342" t="s">
        <v>3296</v>
      </c>
      <c r="B20342" t="s">
        <v>2931</v>
      </c>
      <c r="C20342">
        <v>5041</v>
      </c>
      <c r="D20342" t="str">
        <f t="shared" si="362"/>
        <v xml:space="preserve">12514021698 </v>
      </c>
      <c r="E20342" t="s">
        <v>309</v>
      </c>
      <c r="F20342" t="s">
        <v>310</v>
      </c>
      <c r="G20342">
        <v>3.39</v>
      </c>
      <c r="H20342">
        <v>250331</v>
      </c>
      <c r="I20342">
        <v>4369</v>
      </c>
      <c r="J20342" t="s">
        <v>188</v>
      </c>
      <c r="K20342">
        <v>222.6</v>
      </c>
      <c r="L20342">
        <v>0.69</v>
      </c>
      <c r="M20342">
        <v>17974</v>
      </c>
      <c r="N20342" t="s">
        <v>153</v>
      </c>
      <c r="O20342">
        <v>250416</v>
      </c>
      <c r="P20342">
        <v>2.7</v>
      </c>
    </row>
    <row r="20343" spans="1:16" x14ac:dyDescent="0.25">
      <c r="A20343" t="s">
        <v>3296</v>
      </c>
      <c r="B20343" t="s">
        <v>2931</v>
      </c>
      <c r="C20343">
        <v>5041</v>
      </c>
      <c r="D20343" t="str">
        <f t="shared" si="362"/>
        <v xml:space="preserve">12514021698 </v>
      </c>
      <c r="E20343" t="s">
        <v>309</v>
      </c>
      <c r="F20343" t="s">
        <v>310</v>
      </c>
      <c r="G20343">
        <v>10.44</v>
      </c>
      <c r="H20343">
        <v>250331</v>
      </c>
      <c r="I20343">
        <v>4369</v>
      </c>
      <c r="J20343" t="s">
        <v>188</v>
      </c>
      <c r="K20343">
        <v>222.6</v>
      </c>
      <c r="L20343">
        <v>2.12</v>
      </c>
      <c r="M20343">
        <v>17975</v>
      </c>
      <c r="N20343" t="s">
        <v>29</v>
      </c>
      <c r="O20343">
        <v>250416</v>
      </c>
      <c r="P20343">
        <v>8.32</v>
      </c>
    </row>
    <row r="20344" spans="1:16" x14ac:dyDescent="0.25">
      <c r="A20344" t="s">
        <v>3296</v>
      </c>
      <c r="B20344" t="s">
        <v>2931</v>
      </c>
      <c r="C20344">
        <v>5044</v>
      </c>
      <c r="D20344" t="str">
        <f>"12514021704 "</f>
        <v xml:space="preserve">12514021704 </v>
      </c>
      <c r="E20344" t="s">
        <v>309</v>
      </c>
      <c r="F20344" t="s">
        <v>310</v>
      </c>
      <c r="G20344">
        <v>3.2</v>
      </c>
      <c r="H20344">
        <v>250331</v>
      </c>
      <c r="I20344">
        <v>4369</v>
      </c>
      <c r="J20344" t="s">
        <v>188</v>
      </c>
      <c r="K20344">
        <v>3.2</v>
      </c>
      <c r="L20344">
        <v>0.65</v>
      </c>
      <c r="M20344">
        <v>13801</v>
      </c>
      <c r="N20344" t="s">
        <v>33</v>
      </c>
      <c r="O20344">
        <v>250416</v>
      </c>
      <c r="P20344">
        <v>2.5499999999999998</v>
      </c>
    </row>
    <row r="20345" spans="1:16" x14ac:dyDescent="0.25">
      <c r="A20345" t="s">
        <v>3296</v>
      </c>
      <c r="B20345" t="s">
        <v>2931</v>
      </c>
      <c r="C20345">
        <v>5047</v>
      </c>
      <c r="D20345" t="str">
        <f t="shared" ref="D20345:D20355" si="363">"12514021700 "</f>
        <v xml:space="preserve">12514021700 </v>
      </c>
      <c r="E20345" t="s">
        <v>309</v>
      </c>
      <c r="F20345" t="s">
        <v>310</v>
      </c>
      <c r="G20345">
        <v>3.38</v>
      </c>
      <c r="H20345">
        <v>250331</v>
      </c>
      <c r="I20345">
        <v>4369</v>
      </c>
      <c r="J20345" t="s">
        <v>188</v>
      </c>
      <c r="K20345">
        <v>136.71</v>
      </c>
      <c r="L20345">
        <v>0</v>
      </c>
      <c r="M20345">
        <v>13201</v>
      </c>
      <c r="N20345" t="s">
        <v>269</v>
      </c>
      <c r="O20345">
        <v>250416</v>
      </c>
      <c r="P20345">
        <v>3.38</v>
      </c>
    </row>
    <row r="20346" spans="1:16" x14ac:dyDescent="0.25">
      <c r="A20346" t="s">
        <v>3296</v>
      </c>
      <c r="B20346" t="s">
        <v>2931</v>
      </c>
      <c r="C20346">
        <v>5047</v>
      </c>
      <c r="D20346" t="str">
        <f t="shared" si="363"/>
        <v xml:space="preserve">12514021700 </v>
      </c>
      <c r="E20346" t="s">
        <v>309</v>
      </c>
      <c r="F20346" t="s">
        <v>310</v>
      </c>
      <c r="G20346">
        <v>33.700000000000003</v>
      </c>
      <c r="H20346">
        <v>250331</v>
      </c>
      <c r="I20346">
        <v>4369</v>
      </c>
      <c r="J20346" t="s">
        <v>188</v>
      </c>
      <c r="K20346">
        <v>136.71</v>
      </c>
      <c r="L20346">
        <v>6.85</v>
      </c>
      <c r="M20346">
        <v>13401</v>
      </c>
      <c r="N20346" t="s">
        <v>10</v>
      </c>
      <c r="O20346">
        <v>250416</v>
      </c>
      <c r="P20346">
        <v>26.85</v>
      </c>
    </row>
    <row r="20347" spans="1:16" x14ac:dyDescent="0.25">
      <c r="A20347" t="s">
        <v>3296</v>
      </c>
      <c r="B20347" t="s">
        <v>2931</v>
      </c>
      <c r="C20347">
        <v>5047</v>
      </c>
      <c r="D20347" t="str">
        <f t="shared" si="363"/>
        <v xml:space="preserve">12514021700 </v>
      </c>
      <c r="E20347" t="s">
        <v>309</v>
      </c>
      <c r="F20347" t="s">
        <v>310</v>
      </c>
      <c r="G20347">
        <v>7.04</v>
      </c>
      <c r="H20347">
        <v>250331</v>
      </c>
      <c r="I20347">
        <v>4369</v>
      </c>
      <c r="J20347" t="s">
        <v>188</v>
      </c>
      <c r="K20347">
        <v>136.71</v>
      </c>
      <c r="L20347">
        <v>1.43</v>
      </c>
      <c r="M20347">
        <v>13401</v>
      </c>
      <c r="N20347" t="s">
        <v>10</v>
      </c>
      <c r="O20347">
        <v>250416</v>
      </c>
      <c r="P20347">
        <v>5.61</v>
      </c>
    </row>
    <row r="20348" spans="1:16" x14ac:dyDescent="0.25">
      <c r="A20348" t="s">
        <v>3296</v>
      </c>
      <c r="B20348" t="s">
        <v>2931</v>
      </c>
      <c r="C20348">
        <v>5047</v>
      </c>
      <c r="D20348" t="str">
        <f t="shared" si="363"/>
        <v xml:space="preserve">12514021700 </v>
      </c>
      <c r="E20348" t="s">
        <v>309</v>
      </c>
      <c r="F20348" t="s">
        <v>310</v>
      </c>
      <c r="G20348">
        <v>30.52</v>
      </c>
      <c r="H20348">
        <v>250331</v>
      </c>
      <c r="I20348">
        <v>4369</v>
      </c>
      <c r="J20348" t="s">
        <v>188</v>
      </c>
      <c r="K20348">
        <v>136.71</v>
      </c>
      <c r="L20348">
        <v>6.2</v>
      </c>
      <c r="M20348">
        <v>13501</v>
      </c>
      <c r="N20348" t="s">
        <v>66</v>
      </c>
      <c r="O20348">
        <v>250416</v>
      </c>
      <c r="P20348">
        <v>24.32</v>
      </c>
    </row>
    <row r="20349" spans="1:16" x14ac:dyDescent="0.25">
      <c r="A20349" t="s">
        <v>3296</v>
      </c>
      <c r="B20349" t="s">
        <v>2931</v>
      </c>
      <c r="C20349">
        <v>5047</v>
      </c>
      <c r="D20349" t="str">
        <f t="shared" si="363"/>
        <v xml:space="preserve">12514021700 </v>
      </c>
      <c r="E20349" t="s">
        <v>309</v>
      </c>
      <c r="F20349" t="s">
        <v>310</v>
      </c>
      <c r="G20349">
        <v>3.38</v>
      </c>
      <c r="H20349">
        <v>250331</v>
      </c>
      <c r="I20349">
        <v>4369</v>
      </c>
      <c r="J20349" t="s">
        <v>188</v>
      </c>
      <c r="K20349">
        <v>136.71</v>
      </c>
      <c r="L20349">
        <v>0.69</v>
      </c>
      <c r="M20349">
        <v>13561</v>
      </c>
      <c r="N20349" t="s">
        <v>241</v>
      </c>
      <c r="O20349">
        <v>250416</v>
      </c>
      <c r="P20349">
        <v>2.69</v>
      </c>
    </row>
    <row r="20350" spans="1:16" x14ac:dyDescent="0.25">
      <c r="A20350" t="s">
        <v>3296</v>
      </c>
      <c r="B20350" t="s">
        <v>2931</v>
      </c>
      <c r="C20350">
        <v>5047</v>
      </c>
      <c r="D20350" t="str">
        <f t="shared" si="363"/>
        <v xml:space="preserve">12514021700 </v>
      </c>
      <c r="E20350" t="s">
        <v>309</v>
      </c>
      <c r="F20350" t="s">
        <v>310</v>
      </c>
      <c r="G20350">
        <v>4.25</v>
      </c>
      <c r="H20350">
        <v>250331</v>
      </c>
      <c r="I20350">
        <v>4369</v>
      </c>
      <c r="J20350" t="s">
        <v>188</v>
      </c>
      <c r="K20350">
        <v>136.71</v>
      </c>
      <c r="L20350">
        <v>0.86</v>
      </c>
      <c r="M20350">
        <v>13561</v>
      </c>
      <c r="N20350" t="s">
        <v>241</v>
      </c>
      <c r="O20350">
        <v>250416</v>
      </c>
      <c r="P20350">
        <v>3.39</v>
      </c>
    </row>
    <row r="20351" spans="1:16" x14ac:dyDescent="0.25">
      <c r="A20351" t="s">
        <v>3296</v>
      </c>
      <c r="B20351" t="s">
        <v>2931</v>
      </c>
      <c r="C20351">
        <v>5047</v>
      </c>
      <c r="D20351" t="str">
        <f t="shared" si="363"/>
        <v xml:space="preserve">12514021700 </v>
      </c>
      <c r="E20351" t="s">
        <v>309</v>
      </c>
      <c r="F20351" t="s">
        <v>310</v>
      </c>
      <c r="G20351">
        <v>3.38</v>
      </c>
      <c r="H20351">
        <v>250331</v>
      </c>
      <c r="I20351">
        <v>4369</v>
      </c>
      <c r="J20351" t="s">
        <v>188</v>
      </c>
      <c r="K20351">
        <v>136.71</v>
      </c>
      <c r="L20351">
        <v>0.69</v>
      </c>
      <c r="M20351">
        <v>13601</v>
      </c>
      <c r="N20351" t="s">
        <v>115</v>
      </c>
      <c r="O20351">
        <v>250416</v>
      </c>
      <c r="P20351">
        <v>2.69</v>
      </c>
    </row>
    <row r="20352" spans="1:16" x14ac:dyDescent="0.25">
      <c r="A20352" t="s">
        <v>3296</v>
      </c>
      <c r="B20352" t="s">
        <v>2931</v>
      </c>
      <c r="C20352">
        <v>5047</v>
      </c>
      <c r="D20352" t="str">
        <f t="shared" si="363"/>
        <v xml:space="preserve">12514021700 </v>
      </c>
      <c r="E20352" t="s">
        <v>309</v>
      </c>
      <c r="F20352" t="s">
        <v>310</v>
      </c>
      <c r="G20352">
        <v>3.38</v>
      </c>
      <c r="H20352">
        <v>250331</v>
      </c>
      <c r="I20352">
        <v>4369</v>
      </c>
      <c r="J20352" t="s">
        <v>188</v>
      </c>
      <c r="K20352">
        <v>136.71</v>
      </c>
      <c r="L20352">
        <v>0.69</v>
      </c>
      <c r="M20352">
        <v>13661</v>
      </c>
      <c r="N20352" t="s">
        <v>243</v>
      </c>
      <c r="O20352">
        <v>250416</v>
      </c>
      <c r="P20352">
        <v>2.69</v>
      </c>
    </row>
    <row r="20353" spans="1:16" x14ac:dyDescent="0.25">
      <c r="A20353" t="s">
        <v>3296</v>
      </c>
      <c r="B20353" t="s">
        <v>2931</v>
      </c>
      <c r="C20353">
        <v>5047</v>
      </c>
      <c r="D20353" t="str">
        <f t="shared" si="363"/>
        <v xml:space="preserve">12514021700 </v>
      </c>
      <c r="E20353" t="s">
        <v>309</v>
      </c>
      <c r="F20353" t="s">
        <v>310</v>
      </c>
      <c r="G20353">
        <v>16.41</v>
      </c>
      <c r="H20353">
        <v>250331</v>
      </c>
      <c r="I20353">
        <v>4369</v>
      </c>
      <c r="J20353" t="s">
        <v>188</v>
      </c>
      <c r="K20353">
        <v>136.71</v>
      </c>
      <c r="L20353">
        <v>3.33</v>
      </c>
      <c r="M20353">
        <v>13801</v>
      </c>
      <c r="N20353" t="s">
        <v>33</v>
      </c>
      <c r="O20353">
        <v>250416</v>
      </c>
      <c r="P20353">
        <v>13.08</v>
      </c>
    </row>
    <row r="20354" spans="1:16" x14ac:dyDescent="0.25">
      <c r="A20354" t="s">
        <v>3296</v>
      </c>
      <c r="B20354" t="s">
        <v>2931</v>
      </c>
      <c r="C20354">
        <v>5047</v>
      </c>
      <c r="D20354" t="str">
        <f t="shared" si="363"/>
        <v xml:space="preserve">12514021700 </v>
      </c>
      <c r="E20354" t="s">
        <v>309</v>
      </c>
      <c r="F20354" t="s">
        <v>310</v>
      </c>
      <c r="G20354">
        <v>17.899999999999999</v>
      </c>
      <c r="H20354">
        <v>250331</v>
      </c>
      <c r="I20354">
        <v>4369</v>
      </c>
      <c r="J20354" t="s">
        <v>188</v>
      </c>
      <c r="K20354">
        <v>136.71</v>
      </c>
      <c r="L20354">
        <v>3.64</v>
      </c>
      <c r="M20354">
        <v>13801</v>
      </c>
      <c r="N20354" t="s">
        <v>33</v>
      </c>
      <c r="O20354">
        <v>250416</v>
      </c>
      <c r="P20354">
        <v>14.26</v>
      </c>
    </row>
    <row r="20355" spans="1:16" x14ac:dyDescent="0.25">
      <c r="A20355" t="s">
        <v>3296</v>
      </c>
      <c r="B20355" t="s">
        <v>2931</v>
      </c>
      <c r="C20355">
        <v>5047</v>
      </c>
      <c r="D20355" t="str">
        <f t="shared" si="363"/>
        <v xml:space="preserve">12514021700 </v>
      </c>
      <c r="E20355" t="s">
        <v>309</v>
      </c>
      <c r="F20355" t="s">
        <v>310</v>
      </c>
      <c r="G20355">
        <v>13.37</v>
      </c>
      <c r="H20355">
        <v>250331</v>
      </c>
      <c r="I20355">
        <v>4369</v>
      </c>
      <c r="J20355" t="s">
        <v>188</v>
      </c>
      <c r="K20355">
        <v>136.71</v>
      </c>
      <c r="L20355">
        <v>2.72</v>
      </c>
      <c r="M20355">
        <v>13802</v>
      </c>
      <c r="N20355" t="s">
        <v>34</v>
      </c>
      <c r="O20355">
        <v>250416</v>
      </c>
      <c r="P20355">
        <v>10.65</v>
      </c>
    </row>
    <row r="20356" spans="1:16" x14ac:dyDescent="0.25">
      <c r="A20356" t="s">
        <v>3296</v>
      </c>
      <c r="B20356" t="s">
        <v>2931</v>
      </c>
      <c r="C20356">
        <v>5051</v>
      </c>
      <c r="D20356" t="str">
        <f t="shared" ref="D20356:D20365" si="364">"12514021699 "</f>
        <v xml:space="preserve">12514021699 </v>
      </c>
      <c r="E20356" t="s">
        <v>309</v>
      </c>
      <c r="F20356" t="s">
        <v>310</v>
      </c>
      <c r="G20356">
        <v>20.329999999999998</v>
      </c>
      <c r="H20356">
        <v>250331</v>
      </c>
      <c r="I20356">
        <v>4369</v>
      </c>
      <c r="J20356" t="s">
        <v>188</v>
      </c>
      <c r="K20356">
        <v>57.88</v>
      </c>
      <c r="L20356">
        <v>4.13</v>
      </c>
      <c r="M20356">
        <v>16121</v>
      </c>
      <c r="N20356" t="s">
        <v>127</v>
      </c>
      <c r="O20356">
        <v>250416</v>
      </c>
      <c r="P20356">
        <v>16.2</v>
      </c>
    </row>
    <row r="20357" spans="1:16" x14ac:dyDescent="0.25">
      <c r="A20357" t="s">
        <v>3296</v>
      </c>
      <c r="B20357" t="s">
        <v>2931</v>
      </c>
      <c r="C20357">
        <v>5051</v>
      </c>
      <c r="D20357" t="str">
        <f t="shared" si="364"/>
        <v xml:space="preserve">12514021699 </v>
      </c>
      <c r="E20357" t="s">
        <v>309</v>
      </c>
      <c r="F20357" t="s">
        <v>310</v>
      </c>
      <c r="G20357">
        <v>6.78</v>
      </c>
      <c r="H20357">
        <v>250331</v>
      </c>
      <c r="I20357">
        <v>4369</v>
      </c>
      <c r="J20357" t="s">
        <v>188</v>
      </c>
      <c r="K20357">
        <v>57.88</v>
      </c>
      <c r="L20357">
        <v>1.38</v>
      </c>
      <c r="M20357">
        <v>16322</v>
      </c>
      <c r="N20357" t="s">
        <v>331</v>
      </c>
      <c r="O20357">
        <v>250416</v>
      </c>
      <c r="P20357">
        <v>5.4</v>
      </c>
    </row>
    <row r="20358" spans="1:16" x14ac:dyDescent="0.25">
      <c r="A20358" t="s">
        <v>3296</v>
      </c>
      <c r="B20358" t="s">
        <v>2931</v>
      </c>
      <c r="C20358">
        <v>5051</v>
      </c>
      <c r="D20358" t="str">
        <f t="shared" si="364"/>
        <v xml:space="preserve">12514021699 </v>
      </c>
      <c r="E20358" t="s">
        <v>309</v>
      </c>
      <c r="F20358" t="s">
        <v>310</v>
      </c>
      <c r="G20358">
        <v>3.39</v>
      </c>
      <c r="H20358">
        <v>250331</v>
      </c>
      <c r="I20358">
        <v>4369</v>
      </c>
      <c r="J20358" t="s">
        <v>188</v>
      </c>
      <c r="K20358">
        <v>57.88</v>
      </c>
      <c r="L20358">
        <v>0.69</v>
      </c>
      <c r="M20358">
        <v>16820</v>
      </c>
      <c r="N20358" t="s">
        <v>128</v>
      </c>
      <c r="O20358">
        <v>250416</v>
      </c>
      <c r="P20358">
        <v>2.7</v>
      </c>
    </row>
    <row r="20359" spans="1:16" x14ac:dyDescent="0.25">
      <c r="A20359" t="s">
        <v>3296</v>
      </c>
      <c r="B20359" t="s">
        <v>2931</v>
      </c>
      <c r="C20359">
        <v>5051</v>
      </c>
      <c r="D20359" t="str">
        <f t="shared" si="364"/>
        <v xml:space="preserve">12514021699 </v>
      </c>
      <c r="E20359" t="s">
        <v>309</v>
      </c>
      <c r="F20359" t="s">
        <v>310</v>
      </c>
      <c r="G20359">
        <v>6.78</v>
      </c>
      <c r="H20359">
        <v>250331</v>
      </c>
      <c r="I20359">
        <v>4369</v>
      </c>
      <c r="J20359" t="s">
        <v>188</v>
      </c>
      <c r="K20359">
        <v>57.88</v>
      </c>
      <c r="L20359">
        <v>1.38</v>
      </c>
      <c r="M20359">
        <v>16820</v>
      </c>
      <c r="N20359" t="s">
        <v>128</v>
      </c>
      <c r="O20359">
        <v>250416</v>
      </c>
      <c r="P20359">
        <v>5.4</v>
      </c>
    </row>
    <row r="20360" spans="1:16" x14ac:dyDescent="0.25">
      <c r="A20360" t="s">
        <v>3296</v>
      </c>
      <c r="B20360" t="s">
        <v>2931</v>
      </c>
      <c r="C20360">
        <v>5051</v>
      </c>
      <c r="D20360" t="str">
        <f t="shared" si="364"/>
        <v xml:space="preserve">12514021699 </v>
      </c>
      <c r="E20360" t="s">
        <v>309</v>
      </c>
      <c r="F20360" t="s">
        <v>310</v>
      </c>
      <c r="G20360">
        <v>3.85</v>
      </c>
      <c r="H20360">
        <v>250331</v>
      </c>
      <c r="I20360">
        <v>4369</v>
      </c>
      <c r="J20360" t="s">
        <v>188</v>
      </c>
      <c r="K20360">
        <v>57.88</v>
      </c>
      <c r="L20360">
        <v>0.78</v>
      </c>
      <c r="M20360">
        <v>17862</v>
      </c>
      <c r="N20360" t="s">
        <v>130</v>
      </c>
      <c r="O20360">
        <v>250416</v>
      </c>
      <c r="P20360">
        <v>3.07</v>
      </c>
    </row>
    <row r="20361" spans="1:16" x14ac:dyDescent="0.25">
      <c r="A20361" t="s">
        <v>3296</v>
      </c>
      <c r="B20361" t="s">
        <v>2931</v>
      </c>
      <c r="C20361">
        <v>5051</v>
      </c>
      <c r="D20361" t="str">
        <f t="shared" si="364"/>
        <v xml:space="preserve">12514021699 </v>
      </c>
      <c r="E20361" t="s">
        <v>309</v>
      </c>
      <c r="F20361" t="s">
        <v>310</v>
      </c>
      <c r="G20361">
        <v>3.39</v>
      </c>
      <c r="H20361">
        <v>250331</v>
      </c>
      <c r="I20361">
        <v>4369</v>
      </c>
      <c r="J20361" t="s">
        <v>188</v>
      </c>
      <c r="K20361">
        <v>57.88</v>
      </c>
      <c r="L20361">
        <v>0.69</v>
      </c>
      <c r="M20361">
        <v>17950</v>
      </c>
      <c r="N20361" t="s">
        <v>132</v>
      </c>
      <c r="O20361">
        <v>250416</v>
      </c>
      <c r="P20361">
        <v>2.7</v>
      </c>
    </row>
    <row r="20362" spans="1:16" x14ac:dyDescent="0.25">
      <c r="A20362" t="s">
        <v>3296</v>
      </c>
      <c r="B20362" t="s">
        <v>2931</v>
      </c>
      <c r="C20362">
        <v>5051</v>
      </c>
      <c r="D20362" t="str">
        <f t="shared" si="364"/>
        <v xml:space="preserve">12514021699 </v>
      </c>
      <c r="E20362" t="s">
        <v>309</v>
      </c>
      <c r="F20362" t="s">
        <v>310</v>
      </c>
      <c r="G20362">
        <v>3.38</v>
      </c>
      <c r="H20362">
        <v>250331</v>
      </c>
      <c r="I20362">
        <v>4369</v>
      </c>
      <c r="J20362" t="s">
        <v>188</v>
      </c>
      <c r="K20362">
        <v>57.88</v>
      </c>
      <c r="L20362">
        <v>0.69</v>
      </c>
      <c r="M20362">
        <v>17971</v>
      </c>
      <c r="N20362" t="s">
        <v>27</v>
      </c>
      <c r="O20362">
        <v>250416</v>
      </c>
      <c r="P20362">
        <v>2.69</v>
      </c>
    </row>
    <row r="20363" spans="1:16" x14ac:dyDescent="0.25">
      <c r="A20363" t="s">
        <v>3296</v>
      </c>
      <c r="B20363" t="s">
        <v>2931</v>
      </c>
      <c r="C20363">
        <v>5051</v>
      </c>
      <c r="D20363" t="str">
        <f t="shared" si="364"/>
        <v xml:space="preserve">12514021699 </v>
      </c>
      <c r="E20363" t="s">
        <v>309</v>
      </c>
      <c r="F20363" t="s">
        <v>310</v>
      </c>
      <c r="G20363">
        <v>3.39</v>
      </c>
      <c r="H20363">
        <v>250331</v>
      </c>
      <c r="I20363">
        <v>4369</v>
      </c>
      <c r="J20363" t="s">
        <v>188</v>
      </c>
      <c r="K20363">
        <v>57.88</v>
      </c>
      <c r="L20363">
        <v>0.69</v>
      </c>
      <c r="M20363">
        <v>17972</v>
      </c>
      <c r="N20363" t="s">
        <v>28</v>
      </c>
      <c r="O20363">
        <v>250416</v>
      </c>
      <c r="P20363">
        <v>2.7</v>
      </c>
    </row>
    <row r="20364" spans="1:16" x14ac:dyDescent="0.25">
      <c r="A20364" t="s">
        <v>3296</v>
      </c>
      <c r="B20364" t="s">
        <v>2931</v>
      </c>
      <c r="C20364">
        <v>5051</v>
      </c>
      <c r="D20364" t="str">
        <f t="shared" si="364"/>
        <v xml:space="preserve">12514021699 </v>
      </c>
      <c r="E20364" t="s">
        <v>309</v>
      </c>
      <c r="F20364" t="s">
        <v>310</v>
      </c>
      <c r="G20364">
        <v>3.2</v>
      </c>
      <c r="H20364">
        <v>250331</v>
      </c>
      <c r="I20364">
        <v>4369</v>
      </c>
      <c r="J20364" t="s">
        <v>188</v>
      </c>
      <c r="K20364">
        <v>57.88</v>
      </c>
      <c r="L20364">
        <v>0.65</v>
      </c>
      <c r="M20364">
        <v>17974</v>
      </c>
      <c r="N20364" t="s">
        <v>153</v>
      </c>
      <c r="O20364">
        <v>250416</v>
      </c>
      <c r="P20364">
        <v>2.5499999999999998</v>
      </c>
    </row>
    <row r="20365" spans="1:16" x14ac:dyDescent="0.25">
      <c r="A20365" t="s">
        <v>3296</v>
      </c>
      <c r="B20365" t="s">
        <v>2931</v>
      </c>
      <c r="C20365">
        <v>5051</v>
      </c>
      <c r="D20365" t="str">
        <f t="shared" si="364"/>
        <v xml:space="preserve">12514021699 </v>
      </c>
      <c r="E20365" t="s">
        <v>309</v>
      </c>
      <c r="F20365" t="s">
        <v>310</v>
      </c>
      <c r="G20365">
        <v>3.39</v>
      </c>
      <c r="H20365">
        <v>250331</v>
      </c>
      <c r="I20365">
        <v>4369</v>
      </c>
      <c r="J20365" t="s">
        <v>188</v>
      </c>
      <c r="K20365">
        <v>57.88</v>
      </c>
      <c r="L20365">
        <v>0.69</v>
      </c>
      <c r="M20365">
        <v>17974</v>
      </c>
      <c r="N20365" t="s">
        <v>153</v>
      </c>
      <c r="O20365">
        <v>250416</v>
      </c>
      <c r="P20365">
        <v>2.7</v>
      </c>
    </row>
    <row r="20366" spans="1:16" x14ac:dyDescent="0.25">
      <c r="A20366" t="s">
        <v>3296</v>
      </c>
      <c r="B20366" t="s">
        <v>2931</v>
      </c>
      <c r="C20366">
        <v>5052</v>
      </c>
      <c r="D20366" t="str">
        <f t="shared" ref="D20366:D20376" si="365">"12514021680 "</f>
        <v xml:space="preserve">12514021680 </v>
      </c>
      <c r="E20366" t="s">
        <v>309</v>
      </c>
      <c r="F20366" t="s">
        <v>310</v>
      </c>
      <c r="G20366">
        <v>3.38</v>
      </c>
      <c r="H20366">
        <v>250331</v>
      </c>
      <c r="I20366">
        <v>4369</v>
      </c>
      <c r="J20366" t="s">
        <v>188</v>
      </c>
      <c r="K20366">
        <v>81.78</v>
      </c>
      <c r="L20366">
        <v>0.69</v>
      </c>
      <c r="M20366">
        <v>51157</v>
      </c>
      <c r="N20366" t="s">
        <v>998</v>
      </c>
      <c r="O20366">
        <v>250416</v>
      </c>
      <c r="P20366">
        <v>2.69</v>
      </c>
    </row>
    <row r="20367" spans="1:16" x14ac:dyDescent="0.25">
      <c r="A20367" t="s">
        <v>3296</v>
      </c>
      <c r="B20367" t="s">
        <v>2931</v>
      </c>
      <c r="C20367">
        <v>5052</v>
      </c>
      <c r="D20367" t="str">
        <f t="shared" si="365"/>
        <v xml:space="preserve">12514021680 </v>
      </c>
      <c r="E20367" t="s">
        <v>309</v>
      </c>
      <c r="F20367" t="s">
        <v>310</v>
      </c>
      <c r="G20367">
        <v>3.38</v>
      </c>
      <c r="H20367">
        <v>250331</v>
      </c>
      <c r="I20367">
        <v>4369</v>
      </c>
      <c r="J20367" t="s">
        <v>188</v>
      </c>
      <c r="K20367">
        <v>81.78</v>
      </c>
      <c r="L20367">
        <v>0.69</v>
      </c>
      <c r="M20367">
        <v>56526</v>
      </c>
      <c r="N20367" t="s">
        <v>506</v>
      </c>
      <c r="O20367">
        <v>250416</v>
      </c>
      <c r="P20367">
        <v>2.69</v>
      </c>
    </row>
    <row r="20368" spans="1:16" x14ac:dyDescent="0.25">
      <c r="A20368" t="s">
        <v>3296</v>
      </c>
      <c r="B20368" t="s">
        <v>2931</v>
      </c>
      <c r="C20368">
        <v>5052</v>
      </c>
      <c r="D20368" t="str">
        <f t="shared" si="365"/>
        <v xml:space="preserve">12514021680 </v>
      </c>
      <c r="E20368" t="s">
        <v>309</v>
      </c>
      <c r="F20368" t="s">
        <v>310</v>
      </c>
      <c r="G20368">
        <v>17</v>
      </c>
      <c r="H20368">
        <v>250331</v>
      </c>
      <c r="I20368">
        <v>4369</v>
      </c>
      <c r="J20368" t="s">
        <v>188</v>
      </c>
      <c r="K20368">
        <v>81.78</v>
      </c>
      <c r="L20368">
        <v>3.45</v>
      </c>
      <c r="M20368">
        <v>56558</v>
      </c>
      <c r="N20368" t="s">
        <v>50</v>
      </c>
      <c r="O20368">
        <v>250416</v>
      </c>
      <c r="P20368">
        <v>13.55</v>
      </c>
    </row>
    <row r="20369" spans="1:16" x14ac:dyDescent="0.25">
      <c r="A20369" t="s">
        <v>3296</v>
      </c>
      <c r="B20369" t="s">
        <v>2931</v>
      </c>
      <c r="C20369">
        <v>5052</v>
      </c>
      <c r="D20369" t="str">
        <f t="shared" si="365"/>
        <v xml:space="preserve">12514021680 </v>
      </c>
      <c r="E20369" t="s">
        <v>309</v>
      </c>
      <c r="F20369" t="s">
        <v>310</v>
      </c>
      <c r="G20369">
        <v>14.01</v>
      </c>
      <c r="H20369">
        <v>250331</v>
      </c>
      <c r="I20369">
        <v>4369</v>
      </c>
      <c r="J20369" t="s">
        <v>188</v>
      </c>
      <c r="K20369">
        <v>81.78</v>
      </c>
      <c r="L20369">
        <v>2.85</v>
      </c>
      <c r="M20369">
        <v>56559</v>
      </c>
      <c r="N20369" t="s">
        <v>51</v>
      </c>
      <c r="O20369">
        <v>250416</v>
      </c>
      <c r="P20369">
        <v>11.16</v>
      </c>
    </row>
    <row r="20370" spans="1:16" x14ac:dyDescent="0.25">
      <c r="A20370" t="s">
        <v>3296</v>
      </c>
      <c r="B20370" t="s">
        <v>2931</v>
      </c>
      <c r="C20370">
        <v>5052</v>
      </c>
      <c r="D20370" t="str">
        <f t="shared" si="365"/>
        <v xml:space="preserve">12514021680 </v>
      </c>
      <c r="E20370" t="s">
        <v>309</v>
      </c>
      <c r="F20370" t="s">
        <v>310</v>
      </c>
      <c r="G20370">
        <v>6.93</v>
      </c>
      <c r="H20370">
        <v>250331</v>
      </c>
      <c r="I20370">
        <v>4369</v>
      </c>
      <c r="J20370" t="s">
        <v>188</v>
      </c>
      <c r="K20370">
        <v>81.78</v>
      </c>
      <c r="L20370">
        <v>1.41</v>
      </c>
      <c r="M20370">
        <v>56560</v>
      </c>
      <c r="N20370" t="s">
        <v>52</v>
      </c>
      <c r="O20370">
        <v>250416</v>
      </c>
      <c r="P20370">
        <v>5.52</v>
      </c>
    </row>
    <row r="20371" spans="1:16" x14ac:dyDescent="0.25">
      <c r="A20371" t="s">
        <v>3296</v>
      </c>
      <c r="B20371" t="s">
        <v>2931</v>
      </c>
      <c r="C20371">
        <v>5052</v>
      </c>
      <c r="D20371" t="str">
        <f t="shared" si="365"/>
        <v xml:space="preserve">12514021680 </v>
      </c>
      <c r="E20371" t="s">
        <v>309</v>
      </c>
      <c r="F20371" t="s">
        <v>310</v>
      </c>
      <c r="G20371">
        <v>3.5</v>
      </c>
      <c r="H20371">
        <v>250331</v>
      </c>
      <c r="I20371">
        <v>4369</v>
      </c>
      <c r="J20371" t="s">
        <v>188</v>
      </c>
      <c r="K20371">
        <v>81.78</v>
      </c>
      <c r="L20371">
        <v>0.71</v>
      </c>
      <c r="M20371">
        <v>56561</v>
      </c>
      <c r="N20371" t="s">
        <v>53</v>
      </c>
      <c r="O20371">
        <v>250416</v>
      </c>
      <c r="P20371">
        <v>2.79</v>
      </c>
    </row>
    <row r="20372" spans="1:16" x14ac:dyDescent="0.25">
      <c r="A20372" t="s">
        <v>3296</v>
      </c>
      <c r="B20372" t="s">
        <v>2931</v>
      </c>
      <c r="C20372">
        <v>5052</v>
      </c>
      <c r="D20372" t="str">
        <f t="shared" si="365"/>
        <v xml:space="preserve">12514021680 </v>
      </c>
      <c r="E20372" t="s">
        <v>309</v>
      </c>
      <c r="F20372" t="s">
        <v>310</v>
      </c>
      <c r="G20372">
        <v>6.78</v>
      </c>
      <c r="H20372">
        <v>250331</v>
      </c>
      <c r="I20372">
        <v>4369</v>
      </c>
      <c r="J20372" t="s">
        <v>188</v>
      </c>
      <c r="K20372">
        <v>81.78</v>
      </c>
      <c r="L20372">
        <v>1.38</v>
      </c>
      <c r="M20372">
        <v>56562</v>
      </c>
      <c r="N20372" t="s">
        <v>54</v>
      </c>
      <c r="O20372">
        <v>250416</v>
      </c>
      <c r="P20372">
        <v>5.4</v>
      </c>
    </row>
    <row r="20373" spans="1:16" x14ac:dyDescent="0.25">
      <c r="A20373" t="s">
        <v>3296</v>
      </c>
      <c r="B20373" t="s">
        <v>2931</v>
      </c>
      <c r="C20373">
        <v>5052</v>
      </c>
      <c r="D20373" t="str">
        <f t="shared" si="365"/>
        <v xml:space="preserve">12514021680 </v>
      </c>
      <c r="E20373" t="s">
        <v>309</v>
      </c>
      <c r="F20373" t="s">
        <v>310</v>
      </c>
      <c r="G20373">
        <v>13.18</v>
      </c>
      <c r="H20373">
        <v>250331</v>
      </c>
      <c r="I20373">
        <v>4369</v>
      </c>
      <c r="J20373" t="s">
        <v>188</v>
      </c>
      <c r="K20373">
        <v>81.78</v>
      </c>
      <c r="L20373">
        <v>2.68</v>
      </c>
      <c r="M20373">
        <v>56564</v>
      </c>
      <c r="N20373" t="s">
        <v>56</v>
      </c>
      <c r="O20373">
        <v>250416</v>
      </c>
      <c r="P20373">
        <v>10.5</v>
      </c>
    </row>
    <row r="20374" spans="1:16" x14ac:dyDescent="0.25">
      <c r="A20374" t="s">
        <v>3296</v>
      </c>
      <c r="B20374" t="s">
        <v>2931</v>
      </c>
      <c r="C20374">
        <v>5052</v>
      </c>
      <c r="D20374" t="str">
        <f t="shared" si="365"/>
        <v xml:space="preserve">12514021680 </v>
      </c>
      <c r="E20374" t="s">
        <v>309</v>
      </c>
      <c r="F20374" t="s">
        <v>310</v>
      </c>
      <c r="G20374">
        <v>3.38</v>
      </c>
      <c r="H20374">
        <v>250331</v>
      </c>
      <c r="I20374">
        <v>4369</v>
      </c>
      <c r="J20374" t="s">
        <v>188</v>
      </c>
      <c r="K20374">
        <v>81.78</v>
      </c>
      <c r="L20374">
        <v>0.69</v>
      </c>
      <c r="M20374">
        <v>56565</v>
      </c>
      <c r="N20374" t="s">
        <v>57</v>
      </c>
      <c r="O20374">
        <v>250416</v>
      </c>
      <c r="P20374">
        <v>2.69</v>
      </c>
    </row>
    <row r="20375" spans="1:16" x14ac:dyDescent="0.25">
      <c r="A20375" t="s">
        <v>3296</v>
      </c>
      <c r="B20375" t="s">
        <v>2931</v>
      </c>
      <c r="C20375">
        <v>5052</v>
      </c>
      <c r="D20375" t="str">
        <f t="shared" si="365"/>
        <v xml:space="preserve">12514021680 </v>
      </c>
      <c r="E20375" t="s">
        <v>309</v>
      </c>
      <c r="F20375" t="s">
        <v>310</v>
      </c>
      <c r="G20375">
        <v>6.86</v>
      </c>
      <c r="H20375">
        <v>250331</v>
      </c>
      <c r="I20375">
        <v>4369</v>
      </c>
      <c r="J20375" t="s">
        <v>188</v>
      </c>
      <c r="K20375">
        <v>81.78</v>
      </c>
      <c r="L20375">
        <v>1.39</v>
      </c>
      <c r="M20375">
        <v>56566</v>
      </c>
      <c r="N20375" t="s">
        <v>58</v>
      </c>
      <c r="O20375">
        <v>250416</v>
      </c>
      <c r="P20375">
        <v>5.47</v>
      </c>
    </row>
    <row r="20376" spans="1:16" x14ac:dyDescent="0.25">
      <c r="A20376" t="s">
        <v>3296</v>
      </c>
      <c r="B20376" t="s">
        <v>2931</v>
      </c>
      <c r="C20376">
        <v>5052</v>
      </c>
      <c r="D20376" t="str">
        <f t="shared" si="365"/>
        <v xml:space="preserve">12514021680 </v>
      </c>
      <c r="E20376" t="s">
        <v>309</v>
      </c>
      <c r="F20376" t="s">
        <v>310</v>
      </c>
      <c r="G20376">
        <v>3.38</v>
      </c>
      <c r="H20376">
        <v>250331</v>
      </c>
      <c r="I20376">
        <v>4369</v>
      </c>
      <c r="J20376" t="s">
        <v>188</v>
      </c>
      <c r="K20376">
        <v>81.78</v>
      </c>
      <c r="L20376">
        <v>0.69</v>
      </c>
      <c r="M20376">
        <v>56568</v>
      </c>
      <c r="N20376" t="s">
        <v>354</v>
      </c>
      <c r="O20376">
        <v>250416</v>
      </c>
      <c r="P20376">
        <v>2.69</v>
      </c>
    </row>
    <row r="20377" spans="1:16" x14ac:dyDescent="0.25">
      <c r="A20377" t="s">
        <v>3296</v>
      </c>
      <c r="B20377" t="s">
        <v>2931</v>
      </c>
      <c r="C20377">
        <v>5056</v>
      </c>
      <c r="D20377" t="str">
        <f>"105370160   "</f>
        <v xml:space="preserve">105370160   </v>
      </c>
      <c r="E20377" t="s">
        <v>309</v>
      </c>
      <c r="F20377" t="s">
        <v>310</v>
      </c>
      <c r="G20377">
        <v>81.569999999999993</v>
      </c>
      <c r="H20377">
        <v>250331</v>
      </c>
      <c r="I20377">
        <v>4369</v>
      </c>
      <c r="J20377" t="s">
        <v>188</v>
      </c>
      <c r="K20377">
        <v>81.569999999999993</v>
      </c>
      <c r="L20377">
        <v>16.57</v>
      </c>
      <c r="M20377">
        <v>11801</v>
      </c>
      <c r="N20377" t="s">
        <v>40</v>
      </c>
      <c r="O20377">
        <v>250416</v>
      </c>
      <c r="P20377">
        <v>65</v>
      </c>
    </row>
    <row r="20378" spans="1:16" x14ac:dyDescent="0.25">
      <c r="A20378" t="s">
        <v>3296</v>
      </c>
      <c r="B20378" t="s">
        <v>2931</v>
      </c>
      <c r="C20378">
        <v>5057</v>
      </c>
      <c r="D20378" t="str">
        <f>"12514021676 "</f>
        <v xml:space="preserve">12514021676 </v>
      </c>
      <c r="E20378" t="s">
        <v>309</v>
      </c>
      <c r="F20378" t="s">
        <v>310</v>
      </c>
      <c r="G20378">
        <v>3.39</v>
      </c>
      <c r="H20378">
        <v>250331</v>
      </c>
      <c r="I20378">
        <v>4369</v>
      </c>
      <c r="J20378" t="s">
        <v>188</v>
      </c>
      <c r="K20378">
        <v>23.32</v>
      </c>
      <c r="L20378">
        <v>0</v>
      </c>
      <c r="M20378">
        <v>59702</v>
      </c>
      <c r="N20378" t="s">
        <v>45</v>
      </c>
      <c r="O20378">
        <v>250416</v>
      </c>
      <c r="P20378">
        <v>3.39</v>
      </c>
    </row>
    <row r="20379" spans="1:16" x14ac:dyDescent="0.25">
      <c r="A20379" t="s">
        <v>3296</v>
      </c>
      <c r="B20379" t="s">
        <v>2931</v>
      </c>
      <c r="C20379">
        <v>5057</v>
      </c>
      <c r="D20379" t="str">
        <f>"12514021676 "</f>
        <v xml:space="preserve">12514021676 </v>
      </c>
      <c r="E20379" t="s">
        <v>309</v>
      </c>
      <c r="F20379" t="s">
        <v>310</v>
      </c>
      <c r="G20379">
        <v>9.84</v>
      </c>
      <c r="H20379">
        <v>250331</v>
      </c>
      <c r="I20379">
        <v>4369</v>
      </c>
      <c r="J20379" t="s">
        <v>188</v>
      </c>
      <c r="K20379">
        <v>23.32</v>
      </c>
      <c r="L20379">
        <v>2</v>
      </c>
      <c r="M20379">
        <v>59702</v>
      </c>
      <c r="N20379" t="s">
        <v>45</v>
      </c>
      <c r="O20379">
        <v>250416</v>
      </c>
      <c r="P20379">
        <v>7.84</v>
      </c>
    </row>
    <row r="20380" spans="1:16" x14ac:dyDescent="0.25">
      <c r="A20380" t="s">
        <v>3296</v>
      </c>
      <c r="B20380" t="s">
        <v>2931</v>
      </c>
      <c r="C20380">
        <v>5057</v>
      </c>
      <c r="D20380" t="str">
        <f>"12514021676 "</f>
        <v xml:space="preserve">12514021676 </v>
      </c>
      <c r="E20380" t="s">
        <v>309</v>
      </c>
      <c r="F20380" t="s">
        <v>310</v>
      </c>
      <c r="G20380">
        <v>10.09</v>
      </c>
      <c r="H20380">
        <v>250331</v>
      </c>
      <c r="I20380">
        <v>4369</v>
      </c>
      <c r="J20380" t="s">
        <v>188</v>
      </c>
      <c r="K20380">
        <v>23.32</v>
      </c>
      <c r="L20380">
        <v>2.0499999999999998</v>
      </c>
      <c r="M20380">
        <v>59704</v>
      </c>
      <c r="N20380" t="s">
        <v>46</v>
      </c>
      <c r="O20380">
        <v>250416</v>
      </c>
      <c r="P20380">
        <v>8.0399999999999991</v>
      </c>
    </row>
    <row r="20381" spans="1:16" x14ac:dyDescent="0.25">
      <c r="A20381" t="s">
        <v>3296</v>
      </c>
      <c r="B20381" t="s">
        <v>2931</v>
      </c>
      <c r="C20381">
        <v>5063</v>
      </c>
      <c r="D20381" t="str">
        <f>"12514021682 "</f>
        <v xml:space="preserve">12514021682 </v>
      </c>
      <c r="E20381" t="s">
        <v>309</v>
      </c>
      <c r="F20381" t="s">
        <v>310</v>
      </c>
      <c r="G20381">
        <v>27.55</v>
      </c>
      <c r="H20381">
        <v>250331</v>
      </c>
      <c r="I20381">
        <v>4369</v>
      </c>
      <c r="J20381" t="s">
        <v>188</v>
      </c>
      <c r="K20381">
        <v>27.55</v>
      </c>
      <c r="L20381">
        <v>5.6</v>
      </c>
      <c r="M20381">
        <v>49501</v>
      </c>
      <c r="N20381" t="s">
        <v>110</v>
      </c>
      <c r="O20381">
        <v>250416</v>
      </c>
      <c r="P20381">
        <v>21.95</v>
      </c>
    </row>
    <row r="20382" spans="1:16" x14ac:dyDescent="0.25">
      <c r="A20382" t="s">
        <v>3296</v>
      </c>
      <c r="B20382" t="s">
        <v>2931</v>
      </c>
      <c r="C20382">
        <v>5064</v>
      </c>
      <c r="D20382" t="str">
        <f t="shared" ref="D20382:D20391" si="366">"12514021696 "</f>
        <v xml:space="preserve">12514021696 </v>
      </c>
      <c r="E20382" t="s">
        <v>309</v>
      </c>
      <c r="F20382" t="s">
        <v>310</v>
      </c>
      <c r="G20382">
        <v>6.59</v>
      </c>
      <c r="H20382">
        <v>250331</v>
      </c>
      <c r="I20382">
        <v>4369</v>
      </c>
      <c r="J20382" t="s">
        <v>188</v>
      </c>
      <c r="K20382">
        <v>113.14</v>
      </c>
      <c r="L20382">
        <v>1.34</v>
      </c>
      <c r="M20382">
        <v>16321</v>
      </c>
      <c r="N20382" t="s">
        <v>16</v>
      </c>
      <c r="O20382">
        <v>250416</v>
      </c>
      <c r="P20382">
        <v>5.25</v>
      </c>
    </row>
    <row r="20383" spans="1:16" x14ac:dyDescent="0.25">
      <c r="A20383" t="s">
        <v>3296</v>
      </c>
      <c r="B20383" t="s">
        <v>2931</v>
      </c>
      <c r="C20383">
        <v>5064</v>
      </c>
      <c r="D20383" t="str">
        <f t="shared" si="366"/>
        <v xml:space="preserve">12514021696 </v>
      </c>
      <c r="E20383" t="s">
        <v>309</v>
      </c>
      <c r="F20383" t="s">
        <v>310</v>
      </c>
      <c r="G20383">
        <v>10.17</v>
      </c>
      <c r="H20383">
        <v>250331</v>
      </c>
      <c r="I20383">
        <v>4369</v>
      </c>
      <c r="J20383" t="s">
        <v>188</v>
      </c>
      <c r="K20383">
        <v>113.14</v>
      </c>
      <c r="L20383">
        <v>2.0699999999999998</v>
      </c>
      <c r="M20383">
        <v>16431</v>
      </c>
      <c r="N20383" t="s">
        <v>17</v>
      </c>
      <c r="O20383">
        <v>250416</v>
      </c>
      <c r="P20383">
        <v>8.1</v>
      </c>
    </row>
    <row r="20384" spans="1:16" x14ac:dyDescent="0.25">
      <c r="A20384" t="s">
        <v>3296</v>
      </c>
      <c r="B20384" t="s">
        <v>2931</v>
      </c>
      <c r="C20384">
        <v>5064</v>
      </c>
      <c r="D20384" t="str">
        <f t="shared" si="366"/>
        <v xml:space="preserve">12514021696 </v>
      </c>
      <c r="E20384" t="s">
        <v>309</v>
      </c>
      <c r="F20384" t="s">
        <v>310</v>
      </c>
      <c r="G20384">
        <v>19.260000000000002</v>
      </c>
      <c r="H20384">
        <v>250331</v>
      </c>
      <c r="I20384">
        <v>4369</v>
      </c>
      <c r="J20384" t="s">
        <v>188</v>
      </c>
      <c r="K20384">
        <v>113.14</v>
      </c>
      <c r="L20384">
        <v>3.91</v>
      </c>
      <c r="M20384">
        <v>17802</v>
      </c>
      <c r="N20384" t="s">
        <v>18</v>
      </c>
      <c r="O20384">
        <v>250416</v>
      </c>
      <c r="P20384">
        <v>15.35</v>
      </c>
    </row>
    <row r="20385" spans="1:16" x14ac:dyDescent="0.25">
      <c r="A20385" t="s">
        <v>3296</v>
      </c>
      <c r="B20385" t="s">
        <v>2931</v>
      </c>
      <c r="C20385">
        <v>5064</v>
      </c>
      <c r="D20385" t="str">
        <f t="shared" si="366"/>
        <v xml:space="preserve">12514021696 </v>
      </c>
      <c r="E20385" t="s">
        <v>309</v>
      </c>
      <c r="F20385" t="s">
        <v>310</v>
      </c>
      <c r="G20385">
        <v>9.98</v>
      </c>
      <c r="H20385">
        <v>250331</v>
      </c>
      <c r="I20385">
        <v>4369</v>
      </c>
      <c r="J20385" t="s">
        <v>188</v>
      </c>
      <c r="K20385">
        <v>113.14</v>
      </c>
      <c r="L20385">
        <v>2.0299999999999998</v>
      </c>
      <c r="M20385">
        <v>17803</v>
      </c>
      <c r="N20385" t="s">
        <v>19</v>
      </c>
      <c r="O20385">
        <v>250416</v>
      </c>
      <c r="P20385">
        <v>7.95</v>
      </c>
    </row>
    <row r="20386" spans="1:16" x14ac:dyDescent="0.25">
      <c r="A20386" t="s">
        <v>3296</v>
      </c>
      <c r="B20386" t="s">
        <v>2931</v>
      </c>
      <c r="C20386">
        <v>5064</v>
      </c>
      <c r="D20386" t="str">
        <f t="shared" si="366"/>
        <v xml:space="preserve">12514021696 </v>
      </c>
      <c r="E20386" t="s">
        <v>309</v>
      </c>
      <c r="F20386" t="s">
        <v>310</v>
      </c>
      <c r="G20386">
        <v>5.89</v>
      </c>
      <c r="H20386">
        <v>250331</v>
      </c>
      <c r="I20386">
        <v>4369</v>
      </c>
      <c r="J20386" t="s">
        <v>188</v>
      </c>
      <c r="K20386">
        <v>113.14</v>
      </c>
      <c r="L20386">
        <v>1.2</v>
      </c>
      <c r="M20386">
        <v>17804</v>
      </c>
      <c r="N20386" t="s">
        <v>20</v>
      </c>
      <c r="O20386">
        <v>250416</v>
      </c>
      <c r="P20386">
        <v>4.6900000000000004</v>
      </c>
    </row>
    <row r="20387" spans="1:16" x14ac:dyDescent="0.25">
      <c r="A20387" t="s">
        <v>3296</v>
      </c>
      <c r="B20387" t="s">
        <v>2931</v>
      </c>
      <c r="C20387">
        <v>5064</v>
      </c>
      <c r="D20387" t="str">
        <f t="shared" si="366"/>
        <v xml:space="preserve">12514021696 </v>
      </c>
      <c r="E20387" t="s">
        <v>309</v>
      </c>
      <c r="F20387" t="s">
        <v>310</v>
      </c>
      <c r="G20387">
        <v>3.39</v>
      </c>
      <c r="H20387">
        <v>250331</v>
      </c>
      <c r="I20387">
        <v>4369</v>
      </c>
      <c r="J20387" t="s">
        <v>188</v>
      </c>
      <c r="K20387">
        <v>113.14</v>
      </c>
      <c r="L20387">
        <v>0.69</v>
      </c>
      <c r="M20387">
        <v>17805</v>
      </c>
      <c r="N20387" t="s">
        <v>21</v>
      </c>
      <c r="O20387">
        <v>250416</v>
      </c>
      <c r="P20387">
        <v>2.7</v>
      </c>
    </row>
    <row r="20388" spans="1:16" x14ac:dyDescent="0.25">
      <c r="A20388" t="s">
        <v>3296</v>
      </c>
      <c r="B20388" t="s">
        <v>2931</v>
      </c>
      <c r="C20388">
        <v>5064</v>
      </c>
      <c r="D20388" t="str">
        <f t="shared" si="366"/>
        <v xml:space="preserve">12514021696 </v>
      </c>
      <c r="E20388" t="s">
        <v>309</v>
      </c>
      <c r="F20388" t="s">
        <v>310</v>
      </c>
      <c r="G20388">
        <v>6.79</v>
      </c>
      <c r="H20388">
        <v>250331</v>
      </c>
      <c r="I20388">
        <v>4369</v>
      </c>
      <c r="J20388" t="s">
        <v>188</v>
      </c>
      <c r="K20388">
        <v>113.14</v>
      </c>
      <c r="L20388">
        <v>1.38</v>
      </c>
      <c r="M20388">
        <v>17806</v>
      </c>
      <c r="N20388" t="s">
        <v>22</v>
      </c>
      <c r="O20388">
        <v>250416</v>
      </c>
      <c r="P20388">
        <v>5.41</v>
      </c>
    </row>
    <row r="20389" spans="1:16" x14ac:dyDescent="0.25">
      <c r="A20389" t="s">
        <v>3296</v>
      </c>
      <c r="B20389" t="s">
        <v>2931</v>
      </c>
      <c r="C20389">
        <v>5064</v>
      </c>
      <c r="D20389" t="str">
        <f t="shared" si="366"/>
        <v xml:space="preserve">12514021696 </v>
      </c>
      <c r="E20389" t="s">
        <v>309</v>
      </c>
      <c r="F20389" t="s">
        <v>310</v>
      </c>
      <c r="G20389">
        <v>23.53</v>
      </c>
      <c r="H20389">
        <v>250331</v>
      </c>
      <c r="I20389">
        <v>4369</v>
      </c>
      <c r="J20389" t="s">
        <v>188</v>
      </c>
      <c r="K20389">
        <v>113.14</v>
      </c>
      <c r="L20389">
        <v>4.78</v>
      </c>
      <c r="M20389">
        <v>17807</v>
      </c>
      <c r="N20389" t="s">
        <v>23</v>
      </c>
      <c r="O20389">
        <v>250416</v>
      </c>
      <c r="P20389">
        <v>18.75</v>
      </c>
    </row>
    <row r="20390" spans="1:16" x14ac:dyDescent="0.25">
      <c r="A20390" t="s">
        <v>3296</v>
      </c>
      <c r="B20390" t="s">
        <v>2931</v>
      </c>
      <c r="C20390">
        <v>5064</v>
      </c>
      <c r="D20390" t="str">
        <f t="shared" si="366"/>
        <v xml:space="preserve">12514021696 </v>
      </c>
      <c r="E20390" t="s">
        <v>309</v>
      </c>
      <c r="F20390" t="s">
        <v>310</v>
      </c>
      <c r="G20390">
        <v>10.17</v>
      </c>
      <c r="H20390">
        <v>250331</v>
      </c>
      <c r="I20390">
        <v>4369</v>
      </c>
      <c r="J20390" t="s">
        <v>188</v>
      </c>
      <c r="K20390">
        <v>113.14</v>
      </c>
      <c r="L20390">
        <v>2.0699999999999998</v>
      </c>
      <c r="M20390">
        <v>17808</v>
      </c>
      <c r="N20390" t="s">
        <v>24</v>
      </c>
      <c r="O20390">
        <v>250416</v>
      </c>
      <c r="P20390">
        <v>8.1</v>
      </c>
    </row>
    <row r="20391" spans="1:16" x14ac:dyDescent="0.25">
      <c r="A20391" t="s">
        <v>3296</v>
      </c>
      <c r="B20391" t="s">
        <v>2931</v>
      </c>
      <c r="C20391">
        <v>5064</v>
      </c>
      <c r="D20391" t="str">
        <f t="shared" si="366"/>
        <v xml:space="preserve">12514021696 </v>
      </c>
      <c r="E20391" t="s">
        <v>309</v>
      </c>
      <c r="F20391" t="s">
        <v>310</v>
      </c>
      <c r="G20391">
        <v>17.37</v>
      </c>
      <c r="H20391">
        <v>250331</v>
      </c>
      <c r="I20391">
        <v>4369</v>
      </c>
      <c r="J20391" t="s">
        <v>188</v>
      </c>
      <c r="K20391">
        <v>113.14</v>
      </c>
      <c r="L20391">
        <v>3.53</v>
      </c>
      <c r="M20391">
        <v>17809</v>
      </c>
      <c r="N20391" t="s">
        <v>25</v>
      </c>
      <c r="O20391">
        <v>250416</v>
      </c>
      <c r="P20391">
        <v>13.84</v>
      </c>
    </row>
    <row r="20392" spans="1:16" x14ac:dyDescent="0.25">
      <c r="A20392" t="s">
        <v>3296</v>
      </c>
      <c r="B20392" t="s">
        <v>2931</v>
      </c>
      <c r="C20392">
        <v>5067</v>
      </c>
      <c r="D20392" t="str">
        <f t="shared" ref="D20392:D20401" si="367">"12514021681 "</f>
        <v xml:space="preserve">12514021681 </v>
      </c>
      <c r="E20392" t="s">
        <v>309</v>
      </c>
      <c r="F20392" t="s">
        <v>310</v>
      </c>
      <c r="G20392">
        <v>6.77</v>
      </c>
      <c r="H20392">
        <v>250331</v>
      </c>
      <c r="I20392">
        <v>4369</v>
      </c>
      <c r="J20392" t="s">
        <v>188</v>
      </c>
      <c r="K20392">
        <v>50.25</v>
      </c>
      <c r="L20392">
        <v>1.38</v>
      </c>
      <c r="M20392">
        <v>13901</v>
      </c>
      <c r="N20392" t="s">
        <v>116</v>
      </c>
      <c r="O20392">
        <v>250416</v>
      </c>
      <c r="P20392">
        <v>5.39</v>
      </c>
    </row>
    <row r="20393" spans="1:16" x14ac:dyDescent="0.25">
      <c r="A20393" t="s">
        <v>3296</v>
      </c>
      <c r="B20393" t="s">
        <v>2931</v>
      </c>
      <c r="C20393">
        <v>5067</v>
      </c>
      <c r="D20393" t="str">
        <f t="shared" si="367"/>
        <v xml:space="preserve">12514021681 </v>
      </c>
      <c r="E20393" t="s">
        <v>309</v>
      </c>
      <c r="F20393" t="s">
        <v>310</v>
      </c>
      <c r="G20393">
        <v>3.39</v>
      </c>
      <c r="H20393">
        <v>250331</v>
      </c>
      <c r="I20393">
        <v>4369</v>
      </c>
      <c r="J20393" t="s">
        <v>188</v>
      </c>
      <c r="K20393">
        <v>50.25</v>
      </c>
      <c r="L20393">
        <v>0.69</v>
      </c>
      <c r="M20393">
        <v>13901</v>
      </c>
      <c r="N20393" t="s">
        <v>116</v>
      </c>
      <c r="O20393">
        <v>250416</v>
      </c>
      <c r="P20393">
        <v>2.7</v>
      </c>
    </row>
    <row r="20394" spans="1:16" x14ac:dyDescent="0.25">
      <c r="A20394" t="s">
        <v>3296</v>
      </c>
      <c r="B20394" t="s">
        <v>2931</v>
      </c>
      <c r="C20394">
        <v>5067</v>
      </c>
      <c r="D20394" t="str">
        <f t="shared" si="367"/>
        <v xml:space="preserve">12514021681 </v>
      </c>
      <c r="E20394" t="s">
        <v>309</v>
      </c>
      <c r="F20394" t="s">
        <v>310</v>
      </c>
      <c r="G20394">
        <v>3.39</v>
      </c>
      <c r="H20394">
        <v>250331</v>
      </c>
      <c r="I20394">
        <v>4369</v>
      </c>
      <c r="J20394" t="s">
        <v>188</v>
      </c>
      <c r="K20394">
        <v>50.25</v>
      </c>
      <c r="L20394">
        <v>0.69</v>
      </c>
      <c r="M20394">
        <v>13901</v>
      </c>
      <c r="N20394" t="s">
        <v>116</v>
      </c>
      <c r="O20394">
        <v>250416</v>
      </c>
      <c r="P20394">
        <v>2.7</v>
      </c>
    </row>
    <row r="20395" spans="1:16" x14ac:dyDescent="0.25">
      <c r="A20395" t="s">
        <v>3296</v>
      </c>
      <c r="B20395" t="s">
        <v>2931</v>
      </c>
      <c r="C20395">
        <v>5067</v>
      </c>
      <c r="D20395" t="str">
        <f t="shared" si="367"/>
        <v xml:space="preserve">12514021681 </v>
      </c>
      <c r="E20395" t="s">
        <v>309</v>
      </c>
      <c r="F20395" t="s">
        <v>310</v>
      </c>
      <c r="G20395">
        <v>3.51</v>
      </c>
      <c r="H20395">
        <v>250331</v>
      </c>
      <c r="I20395">
        <v>4369</v>
      </c>
      <c r="J20395" t="s">
        <v>188</v>
      </c>
      <c r="K20395">
        <v>50.25</v>
      </c>
      <c r="L20395">
        <v>0.71</v>
      </c>
      <c r="M20395">
        <v>13901</v>
      </c>
      <c r="N20395" t="s">
        <v>116</v>
      </c>
      <c r="O20395">
        <v>250416</v>
      </c>
      <c r="P20395">
        <v>2.8</v>
      </c>
    </row>
    <row r="20396" spans="1:16" x14ac:dyDescent="0.25">
      <c r="A20396" t="s">
        <v>3296</v>
      </c>
      <c r="B20396" t="s">
        <v>2931</v>
      </c>
      <c r="C20396">
        <v>5067</v>
      </c>
      <c r="D20396" t="str">
        <f t="shared" si="367"/>
        <v xml:space="preserve">12514021681 </v>
      </c>
      <c r="E20396" t="s">
        <v>309</v>
      </c>
      <c r="F20396" t="s">
        <v>310</v>
      </c>
      <c r="G20396">
        <v>3.39</v>
      </c>
      <c r="H20396">
        <v>250331</v>
      </c>
      <c r="I20396">
        <v>4369</v>
      </c>
      <c r="J20396" t="s">
        <v>188</v>
      </c>
      <c r="K20396">
        <v>50.25</v>
      </c>
      <c r="L20396">
        <v>0.69</v>
      </c>
      <c r="M20396">
        <v>13901</v>
      </c>
      <c r="N20396" t="s">
        <v>116</v>
      </c>
      <c r="O20396">
        <v>250416</v>
      </c>
      <c r="P20396">
        <v>2.7</v>
      </c>
    </row>
    <row r="20397" spans="1:16" x14ac:dyDescent="0.25">
      <c r="A20397" t="s">
        <v>3296</v>
      </c>
      <c r="B20397" t="s">
        <v>2931</v>
      </c>
      <c r="C20397">
        <v>5067</v>
      </c>
      <c r="D20397" t="str">
        <f t="shared" si="367"/>
        <v xml:space="preserve">12514021681 </v>
      </c>
      <c r="E20397" t="s">
        <v>309</v>
      </c>
      <c r="F20397" t="s">
        <v>310</v>
      </c>
      <c r="G20397">
        <v>3.39</v>
      </c>
      <c r="H20397">
        <v>250331</v>
      </c>
      <c r="I20397">
        <v>4369</v>
      </c>
      <c r="J20397" t="s">
        <v>188</v>
      </c>
      <c r="K20397">
        <v>50.25</v>
      </c>
      <c r="L20397">
        <v>0.69</v>
      </c>
      <c r="M20397">
        <v>13901</v>
      </c>
      <c r="N20397" t="s">
        <v>116</v>
      </c>
      <c r="O20397">
        <v>250416</v>
      </c>
      <c r="P20397">
        <v>2.7</v>
      </c>
    </row>
    <row r="20398" spans="1:16" x14ac:dyDescent="0.25">
      <c r="A20398" t="s">
        <v>3296</v>
      </c>
      <c r="B20398" t="s">
        <v>2931</v>
      </c>
      <c r="C20398">
        <v>5067</v>
      </c>
      <c r="D20398" t="str">
        <f t="shared" si="367"/>
        <v xml:space="preserve">12514021681 </v>
      </c>
      <c r="E20398" t="s">
        <v>309</v>
      </c>
      <c r="F20398" t="s">
        <v>310</v>
      </c>
      <c r="G20398">
        <v>3.39</v>
      </c>
      <c r="H20398">
        <v>250331</v>
      </c>
      <c r="I20398">
        <v>4369</v>
      </c>
      <c r="J20398" t="s">
        <v>188</v>
      </c>
      <c r="K20398">
        <v>50.25</v>
      </c>
      <c r="L20398">
        <v>0.69</v>
      </c>
      <c r="M20398">
        <v>13901</v>
      </c>
      <c r="N20398" t="s">
        <v>116</v>
      </c>
      <c r="O20398">
        <v>250416</v>
      </c>
      <c r="P20398">
        <v>2.7</v>
      </c>
    </row>
    <row r="20399" spans="1:16" x14ac:dyDescent="0.25">
      <c r="A20399" t="s">
        <v>3296</v>
      </c>
      <c r="B20399" t="s">
        <v>2931</v>
      </c>
      <c r="C20399">
        <v>5067</v>
      </c>
      <c r="D20399" t="str">
        <f t="shared" si="367"/>
        <v xml:space="preserve">12514021681 </v>
      </c>
      <c r="E20399" t="s">
        <v>309</v>
      </c>
      <c r="F20399" t="s">
        <v>310</v>
      </c>
      <c r="G20399">
        <v>7.33</v>
      </c>
      <c r="H20399">
        <v>250331</v>
      </c>
      <c r="I20399">
        <v>4369</v>
      </c>
      <c r="J20399" t="s">
        <v>188</v>
      </c>
      <c r="K20399">
        <v>50.25</v>
      </c>
      <c r="L20399">
        <v>1.49</v>
      </c>
      <c r="M20399">
        <v>13940</v>
      </c>
      <c r="N20399" t="s">
        <v>14</v>
      </c>
      <c r="O20399">
        <v>250416</v>
      </c>
      <c r="P20399">
        <v>5.84</v>
      </c>
    </row>
    <row r="20400" spans="1:16" x14ac:dyDescent="0.25">
      <c r="A20400" t="s">
        <v>3296</v>
      </c>
      <c r="B20400" t="s">
        <v>2931</v>
      </c>
      <c r="C20400">
        <v>5067</v>
      </c>
      <c r="D20400" t="str">
        <f t="shared" si="367"/>
        <v xml:space="preserve">12514021681 </v>
      </c>
      <c r="E20400" t="s">
        <v>309</v>
      </c>
      <c r="F20400" t="s">
        <v>310</v>
      </c>
      <c r="G20400">
        <v>3.39</v>
      </c>
      <c r="H20400">
        <v>250331</v>
      </c>
      <c r="I20400">
        <v>4369</v>
      </c>
      <c r="J20400" t="s">
        <v>188</v>
      </c>
      <c r="K20400">
        <v>50.25</v>
      </c>
      <c r="L20400">
        <v>0.69</v>
      </c>
      <c r="M20400">
        <v>16951</v>
      </c>
      <c r="N20400" t="s">
        <v>488</v>
      </c>
      <c r="O20400">
        <v>250416</v>
      </c>
      <c r="P20400">
        <v>2.7</v>
      </c>
    </row>
    <row r="20401" spans="1:16" x14ac:dyDescent="0.25">
      <c r="A20401" t="s">
        <v>3296</v>
      </c>
      <c r="B20401" t="s">
        <v>2931</v>
      </c>
      <c r="C20401">
        <v>5067</v>
      </c>
      <c r="D20401" t="str">
        <f t="shared" si="367"/>
        <v xml:space="preserve">12514021681 </v>
      </c>
      <c r="E20401" t="s">
        <v>309</v>
      </c>
      <c r="F20401" t="s">
        <v>310</v>
      </c>
      <c r="G20401">
        <v>12.3</v>
      </c>
      <c r="H20401">
        <v>250331</v>
      </c>
      <c r="I20401">
        <v>4369</v>
      </c>
      <c r="J20401" t="s">
        <v>188</v>
      </c>
      <c r="K20401">
        <v>50.25</v>
      </c>
      <c r="L20401">
        <v>2.5</v>
      </c>
      <c r="M20401">
        <v>18122</v>
      </c>
      <c r="N20401" t="s">
        <v>176</v>
      </c>
      <c r="O20401">
        <v>250416</v>
      </c>
      <c r="P20401">
        <v>9.8000000000000007</v>
      </c>
    </row>
    <row r="20402" spans="1:16" x14ac:dyDescent="0.25">
      <c r="A20402" t="s">
        <v>3296</v>
      </c>
      <c r="B20402" t="s">
        <v>2931</v>
      </c>
      <c r="C20402">
        <v>5068</v>
      </c>
      <c r="D20402" t="str">
        <f t="shared" ref="D20402:D20411" si="368">"12514021697 "</f>
        <v xml:space="preserve">12514021697 </v>
      </c>
      <c r="E20402" t="s">
        <v>309</v>
      </c>
      <c r="F20402" t="s">
        <v>310</v>
      </c>
      <c r="G20402">
        <v>18.34</v>
      </c>
      <c r="H20402">
        <v>250331</v>
      </c>
      <c r="I20402">
        <v>4369</v>
      </c>
      <c r="J20402" t="s">
        <v>188</v>
      </c>
      <c r="K20402">
        <v>117.05</v>
      </c>
      <c r="L20402">
        <v>3.73</v>
      </c>
      <c r="M20402">
        <v>17131</v>
      </c>
      <c r="N20402" t="s">
        <v>154</v>
      </c>
      <c r="O20402">
        <v>250416</v>
      </c>
      <c r="P20402">
        <v>14.61</v>
      </c>
    </row>
    <row r="20403" spans="1:16" x14ac:dyDescent="0.25">
      <c r="A20403" t="s">
        <v>3296</v>
      </c>
      <c r="B20403" t="s">
        <v>2931</v>
      </c>
      <c r="C20403">
        <v>5068</v>
      </c>
      <c r="D20403" t="str">
        <f t="shared" si="368"/>
        <v xml:space="preserve">12514021697 </v>
      </c>
      <c r="E20403" t="s">
        <v>309</v>
      </c>
      <c r="F20403" t="s">
        <v>310</v>
      </c>
      <c r="G20403">
        <v>13.55</v>
      </c>
      <c r="H20403">
        <v>250331</v>
      </c>
      <c r="I20403">
        <v>4369</v>
      </c>
      <c r="J20403" t="s">
        <v>188</v>
      </c>
      <c r="K20403">
        <v>117.05</v>
      </c>
      <c r="L20403">
        <v>2.75</v>
      </c>
      <c r="M20403">
        <v>17711</v>
      </c>
      <c r="N20403" t="s">
        <v>155</v>
      </c>
      <c r="O20403">
        <v>250416</v>
      </c>
      <c r="P20403">
        <v>10.8</v>
      </c>
    </row>
    <row r="20404" spans="1:16" x14ac:dyDescent="0.25">
      <c r="A20404" t="s">
        <v>3296</v>
      </c>
      <c r="B20404" t="s">
        <v>2931</v>
      </c>
      <c r="C20404">
        <v>5068</v>
      </c>
      <c r="D20404" t="str">
        <f t="shared" si="368"/>
        <v xml:space="preserve">12514021697 </v>
      </c>
      <c r="E20404" t="s">
        <v>309</v>
      </c>
      <c r="F20404" t="s">
        <v>310</v>
      </c>
      <c r="G20404">
        <v>6.78</v>
      </c>
      <c r="H20404">
        <v>250331</v>
      </c>
      <c r="I20404">
        <v>4369</v>
      </c>
      <c r="J20404" t="s">
        <v>188</v>
      </c>
      <c r="K20404">
        <v>117.05</v>
      </c>
      <c r="L20404">
        <v>1.38</v>
      </c>
      <c r="M20404">
        <v>17737</v>
      </c>
      <c r="N20404" t="s">
        <v>156</v>
      </c>
      <c r="O20404">
        <v>250416</v>
      </c>
      <c r="P20404">
        <v>5.4</v>
      </c>
    </row>
    <row r="20405" spans="1:16" x14ac:dyDescent="0.25">
      <c r="A20405" t="s">
        <v>3296</v>
      </c>
      <c r="B20405" t="s">
        <v>2931</v>
      </c>
      <c r="C20405">
        <v>5068</v>
      </c>
      <c r="D20405" t="str">
        <f t="shared" si="368"/>
        <v xml:space="preserve">12514021697 </v>
      </c>
      <c r="E20405" t="s">
        <v>309</v>
      </c>
      <c r="F20405" t="s">
        <v>310</v>
      </c>
      <c r="G20405">
        <v>23.33</v>
      </c>
      <c r="H20405">
        <v>250331</v>
      </c>
      <c r="I20405">
        <v>4369</v>
      </c>
      <c r="J20405" t="s">
        <v>188</v>
      </c>
      <c r="K20405">
        <v>117.05</v>
      </c>
      <c r="L20405">
        <v>4.74</v>
      </c>
      <c r="M20405">
        <v>17737</v>
      </c>
      <c r="N20405" t="s">
        <v>156</v>
      </c>
      <c r="O20405">
        <v>250416</v>
      </c>
      <c r="P20405">
        <v>18.59</v>
      </c>
    </row>
    <row r="20406" spans="1:16" x14ac:dyDescent="0.25">
      <c r="A20406" t="s">
        <v>3296</v>
      </c>
      <c r="B20406" t="s">
        <v>2931</v>
      </c>
      <c r="C20406">
        <v>5068</v>
      </c>
      <c r="D20406" t="str">
        <f t="shared" si="368"/>
        <v xml:space="preserve">12514021697 </v>
      </c>
      <c r="E20406" t="s">
        <v>309</v>
      </c>
      <c r="F20406" t="s">
        <v>310</v>
      </c>
      <c r="G20406">
        <v>16.899999999999999</v>
      </c>
      <c r="H20406">
        <v>250331</v>
      </c>
      <c r="I20406">
        <v>4369</v>
      </c>
      <c r="J20406" t="s">
        <v>188</v>
      </c>
      <c r="K20406">
        <v>117.05</v>
      </c>
      <c r="L20406">
        <v>3.43</v>
      </c>
      <c r="M20406">
        <v>17737</v>
      </c>
      <c r="N20406" t="s">
        <v>156</v>
      </c>
      <c r="O20406">
        <v>250416</v>
      </c>
      <c r="P20406">
        <v>13.47</v>
      </c>
    </row>
    <row r="20407" spans="1:16" x14ac:dyDescent="0.25">
      <c r="A20407" t="s">
        <v>3296</v>
      </c>
      <c r="B20407" t="s">
        <v>2931</v>
      </c>
      <c r="C20407">
        <v>5068</v>
      </c>
      <c r="D20407" t="str">
        <f t="shared" si="368"/>
        <v xml:space="preserve">12514021697 </v>
      </c>
      <c r="E20407" t="s">
        <v>309</v>
      </c>
      <c r="F20407" t="s">
        <v>310</v>
      </c>
      <c r="G20407">
        <v>3.39</v>
      </c>
      <c r="H20407">
        <v>250331</v>
      </c>
      <c r="I20407">
        <v>4369</v>
      </c>
      <c r="J20407" t="s">
        <v>188</v>
      </c>
      <c r="K20407">
        <v>117.05</v>
      </c>
      <c r="L20407">
        <v>0.69</v>
      </c>
      <c r="M20407">
        <v>17912</v>
      </c>
      <c r="N20407" t="s">
        <v>505</v>
      </c>
      <c r="O20407">
        <v>250416</v>
      </c>
      <c r="P20407">
        <v>2.7</v>
      </c>
    </row>
    <row r="20408" spans="1:16" x14ac:dyDescent="0.25">
      <c r="A20408" t="s">
        <v>3296</v>
      </c>
      <c r="B20408" t="s">
        <v>2931</v>
      </c>
      <c r="C20408">
        <v>5068</v>
      </c>
      <c r="D20408" t="str">
        <f t="shared" si="368"/>
        <v xml:space="preserve">12514021697 </v>
      </c>
      <c r="E20408" t="s">
        <v>309</v>
      </c>
      <c r="F20408" t="s">
        <v>310</v>
      </c>
      <c r="G20408">
        <v>3.39</v>
      </c>
      <c r="H20408">
        <v>250331</v>
      </c>
      <c r="I20408">
        <v>4369</v>
      </c>
      <c r="J20408" t="s">
        <v>188</v>
      </c>
      <c r="K20408">
        <v>117.05</v>
      </c>
      <c r="L20408">
        <v>0.69</v>
      </c>
      <c r="M20408">
        <v>17915</v>
      </c>
      <c r="N20408" t="s">
        <v>305</v>
      </c>
      <c r="O20408">
        <v>250416</v>
      </c>
      <c r="P20408">
        <v>2.7</v>
      </c>
    </row>
    <row r="20409" spans="1:16" x14ac:dyDescent="0.25">
      <c r="A20409" t="s">
        <v>3296</v>
      </c>
      <c r="B20409" t="s">
        <v>2931</v>
      </c>
      <c r="C20409">
        <v>5068</v>
      </c>
      <c r="D20409" t="str">
        <f t="shared" si="368"/>
        <v xml:space="preserve">12514021697 </v>
      </c>
      <c r="E20409" t="s">
        <v>309</v>
      </c>
      <c r="F20409" t="s">
        <v>310</v>
      </c>
      <c r="G20409">
        <v>13.87</v>
      </c>
      <c r="H20409">
        <v>250331</v>
      </c>
      <c r="I20409">
        <v>4369</v>
      </c>
      <c r="J20409" t="s">
        <v>188</v>
      </c>
      <c r="K20409">
        <v>117.05</v>
      </c>
      <c r="L20409">
        <v>2.82</v>
      </c>
      <c r="M20409">
        <v>17952</v>
      </c>
      <c r="N20409" t="s">
        <v>157</v>
      </c>
      <c r="O20409">
        <v>250416</v>
      </c>
      <c r="P20409">
        <v>11.05</v>
      </c>
    </row>
    <row r="20410" spans="1:16" x14ac:dyDescent="0.25">
      <c r="A20410" t="s">
        <v>3296</v>
      </c>
      <c r="B20410" t="s">
        <v>2931</v>
      </c>
      <c r="C20410">
        <v>5068</v>
      </c>
      <c r="D20410" t="str">
        <f t="shared" si="368"/>
        <v xml:space="preserve">12514021697 </v>
      </c>
      <c r="E20410" t="s">
        <v>309</v>
      </c>
      <c r="F20410" t="s">
        <v>310</v>
      </c>
      <c r="G20410">
        <v>10.25</v>
      </c>
      <c r="H20410">
        <v>250331</v>
      </c>
      <c r="I20410">
        <v>4369</v>
      </c>
      <c r="J20410" t="s">
        <v>188</v>
      </c>
      <c r="K20410">
        <v>117.05</v>
      </c>
      <c r="L20410">
        <v>2.08</v>
      </c>
      <c r="M20410">
        <v>17971</v>
      </c>
      <c r="N20410" t="s">
        <v>27</v>
      </c>
      <c r="O20410">
        <v>250416</v>
      </c>
      <c r="P20410">
        <v>8.17</v>
      </c>
    </row>
    <row r="20411" spans="1:16" x14ac:dyDescent="0.25">
      <c r="A20411" t="s">
        <v>3296</v>
      </c>
      <c r="B20411" t="s">
        <v>2931</v>
      </c>
      <c r="C20411">
        <v>5068</v>
      </c>
      <c r="D20411" t="str">
        <f t="shared" si="368"/>
        <v xml:space="preserve">12514021697 </v>
      </c>
      <c r="E20411" t="s">
        <v>309</v>
      </c>
      <c r="F20411" t="s">
        <v>310</v>
      </c>
      <c r="G20411">
        <v>7.25</v>
      </c>
      <c r="H20411">
        <v>250331</v>
      </c>
      <c r="I20411">
        <v>4369</v>
      </c>
      <c r="J20411" t="s">
        <v>188</v>
      </c>
      <c r="K20411">
        <v>117.05</v>
      </c>
      <c r="L20411">
        <v>1.47</v>
      </c>
      <c r="M20411">
        <v>17972</v>
      </c>
      <c r="N20411" t="s">
        <v>28</v>
      </c>
      <c r="O20411">
        <v>250416</v>
      </c>
      <c r="P20411">
        <v>5.78</v>
      </c>
    </row>
    <row r="20412" spans="1:16" x14ac:dyDescent="0.25">
      <c r="A20412" t="s">
        <v>3296</v>
      </c>
      <c r="B20412" t="s">
        <v>2931</v>
      </c>
      <c r="C20412">
        <v>5074</v>
      </c>
      <c r="D20412" t="str">
        <f>"12514021714 "</f>
        <v xml:space="preserve">12514021714 </v>
      </c>
      <c r="E20412" t="s">
        <v>309</v>
      </c>
      <c r="F20412" t="s">
        <v>310</v>
      </c>
      <c r="G20412">
        <v>54.4</v>
      </c>
      <c r="H20412">
        <v>250331</v>
      </c>
      <c r="I20412">
        <v>4369</v>
      </c>
      <c r="J20412" t="s">
        <v>188</v>
      </c>
      <c r="K20412">
        <v>54.4</v>
      </c>
      <c r="L20412">
        <v>11.05</v>
      </c>
      <c r="M20412">
        <v>10002</v>
      </c>
      <c r="N20412" t="s">
        <v>513</v>
      </c>
      <c r="O20412">
        <v>250416</v>
      </c>
      <c r="P20412">
        <v>43.35</v>
      </c>
    </row>
    <row r="20413" spans="1:16" x14ac:dyDescent="0.25">
      <c r="A20413" t="s">
        <v>3296</v>
      </c>
      <c r="B20413" t="s">
        <v>2931</v>
      </c>
      <c r="C20413">
        <v>5080</v>
      </c>
      <c r="D20413" t="str">
        <f t="shared" ref="D20413:D20419" si="369">"12514021694 "</f>
        <v xml:space="preserve">12514021694 </v>
      </c>
      <c r="E20413" t="s">
        <v>309</v>
      </c>
      <c r="F20413" t="s">
        <v>310</v>
      </c>
      <c r="G20413">
        <v>2.25</v>
      </c>
      <c r="H20413">
        <v>250331</v>
      </c>
      <c r="I20413">
        <v>4369</v>
      </c>
      <c r="J20413" t="s">
        <v>188</v>
      </c>
      <c r="K20413">
        <v>17.29</v>
      </c>
      <c r="L20413">
        <v>0.46</v>
      </c>
      <c r="M20413">
        <v>41126</v>
      </c>
      <c r="N20413" t="s">
        <v>94</v>
      </c>
      <c r="O20413">
        <v>250416</v>
      </c>
      <c r="P20413">
        <v>1.79</v>
      </c>
    </row>
    <row r="20414" spans="1:16" x14ac:dyDescent="0.25">
      <c r="A20414" t="s">
        <v>3296</v>
      </c>
      <c r="B20414" t="s">
        <v>2931</v>
      </c>
      <c r="C20414">
        <v>5080</v>
      </c>
      <c r="D20414" t="str">
        <f t="shared" si="369"/>
        <v xml:space="preserve">12514021694 </v>
      </c>
      <c r="E20414" t="s">
        <v>309</v>
      </c>
      <c r="F20414" t="s">
        <v>310</v>
      </c>
      <c r="G20414">
        <v>1.73</v>
      </c>
      <c r="H20414">
        <v>250331</v>
      </c>
      <c r="I20414">
        <v>4369</v>
      </c>
      <c r="J20414" t="s">
        <v>188</v>
      </c>
      <c r="K20414">
        <v>17.29</v>
      </c>
      <c r="L20414">
        <v>0.35</v>
      </c>
      <c r="M20414">
        <v>43222</v>
      </c>
      <c r="N20414" t="s">
        <v>95</v>
      </c>
      <c r="O20414">
        <v>250416</v>
      </c>
      <c r="P20414">
        <v>1.38</v>
      </c>
    </row>
    <row r="20415" spans="1:16" x14ac:dyDescent="0.25">
      <c r="A20415" t="s">
        <v>3296</v>
      </c>
      <c r="B20415" t="s">
        <v>2931</v>
      </c>
      <c r="C20415">
        <v>5080</v>
      </c>
      <c r="D20415" t="str">
        <f t="shared" si="369"/>
        <v xml:space="preserve">12514021694 </v>
      </c>
      <c r="E20415" t="s">
        <v>309</v>
      </c>
      <c r="F20415" t="s">
        <v>310</v>
      </c>
      <c r="G20415">
        <v>2.0699999999999998</v>
      </c>
      <c r="H20415">
        <v>250331</v>
      </c>
      <c r="I20415">
        <v>4369</v>
      </c>
      <c r="J20415" t="s">
        <v>188</v>
      </c>
      <c r="K20415">
        <v>17.29</v>
      </c>
      <c r="L20415">
        <v>0.42</v>
      </c>
      <c r="M20415">
        <v>44222</v>
      </c>
      <c r="N20415" t="s">
        <v>96</v>
      </c>
      <c r="O20415">
        <v>250416</v>
      </c>
      <c r="P20415">
        <v>1.65</v>
      </c>
    </row>
    <row r="20416" spans="1:16" x14ac:dyDescent="0.25">
      <c r="A20416" t="s">
        <v>3296</v>
      </c>
      <c r="B20416" t="s">
        <v>2931</v>
      </c>
      <c r="C20416">
        <v>5080</v>
      </c>
      <c r="D20416" t="str">
        <f t="shared" si="369"/>
        <v xml:space="preserve">12514021694 </v>
      </c>
      <c r="E20416" t="s">
        <v>309</v>
      </c>
      <c r="F20416" t="s">
        <v>310</v>
      </c>
      <c r="G20416">
        <v>2.25</v>
      </c>
      <c r="H20416">
        <v>250331</v>
      </c>
      <c r="I20416">
        <v>4369</v>
      </c>
      <c r="J20416" t="s">
        <v>188</v>
      </c>
      <c r="K20416">
        <v>17.29</v>
      </c>
      <c r="L20416">
        <v>0.46</v>
      </c>
      <c r="M20416">
        <v>44424</v>
      </c>
      <c r="N20416" t="s">
        <v>99</v>
      </c>
      <c r="O20416">
        <v>250416</v>
      </c>
      <c r="P20416">
        <v>1.79</v>
      </c>
    </row>
    <row r="20417" spans="1:16" x14ac:dyDescent="0.25">
      <c r="A20417" t="s">
        <v>3296</v>
      </c>
      <c r="B20417" t="s">
        <v>2931</v>
      </c>
      <c r="C20417">
        <v>5080</v>
      </c>
      <c r="D20417" t="str">
        <f t="shared" si="369"/>
        <v xml:space="preserve">12514021694 </v>
      </c>
      <c r="E20417" t="s">
        <v>309</v>
      </c>
      <c r="F20417" t="s">
        <v>310</v>
      </c>
      <c r="G20417">
        <v>1.21</v>
      </c>
      <c r="H20417">
        <v>250331</v>
      </c>
      <c r="I20417">
        <v>4369</v>
      </c>
      <c r="J20417" t="s">
        <v>188</v>
      </c>
      <c r="K20417">
        <v>17.29</v>
      </c>
      <c r="L20417">
        <v>0.25</v>
      </c>
      <c r="M20417">
        <v>46222</v>
      </c>
      <c r="N20417" t="s">
        <v>101</v>
      </c>
      <c r="O20417">
        <v>250416</v>
      </c>
      <c r="P20417">
        <v>0.96</v>
      </c>
    </row>
    <row r="20418" spans="1:16" x14ac:dyDescent="0.25">
      <c r="A20418" t="s">
        <v>3296</v>
      </c>
      <c r="B20418" t="s">
        <v>2931</v>
      </c>
      <c r="C20418">
        <v>5080</v>
      </c>
      <c r="D20418" t="str">
        <f t="shared" si="369"/>
        <v xml:space="preserve">12514021694 </v>
      </c>
      <c r="E20418" t="s">
        <v>309</v>
      </c>
      <c r="F20418" t="s">
        <v>310</v>
      </c>
      <c r="G20418">
        <v>6.92</v>
      </c>
      <c r="H20418">
        <v>250331</v>
      </c>
      <c r="I20418">
        <v>4369</v>
      </c>
      <c r="J20418" t="s">
        <v>188</v>
      </c>
      <c r="K20418">
        <v>17.29</v>
      </c>
      <c r="L20418">
        <v>1.41</v>
      </c>
      <c r="M20418">
        <v>46559</v>
      </c>
      <c r="N20418" t="s">
        <v>105</v>
      </c>
      <c r="O20418">
        <v>250416</v>
      </c>
      <c r="P20418">
        <v>5.51</v>
      </c>
    </row>
    <row r="20419" spans="1:16" x14ac:dyDescent="0.25">
      <c r="A20419" t="s">
        <v>3296</v>
      </c>
      <c r="B20419" t="s">
        <v>2931</v>
      </c>
      <c r="C20419">
        <v>5080</v>
      </c>
      <c r="D20419" t="str">
        <f t="shared" si="369"/>
        <v xml:space="preserve">12514021694 </v>
      </c>
      <c r="E20419" t="s">
        <v>309</v>
      </c>
      <c r="F20419" t="s">
        <v>310</v>
      </c>
      <c r="G20419">
        <v>0.86</v>
      </c>
      <c r="H20419">
        <v>250331</v>
      </c>
      <c r="I20419">
        <v>4369</v>
      </c>
      <c r="J20419" t="s">
        <v>188</v>
      </c>
      <c r="K20419">
        <v>17.29</v>
      </c>
      <c r="L20419">
        <v>0.17</v>
      </c>
      <c r="M20419">
        <v>47522</v>
      </c>
      <c r="N20419" t="s">
        <v>106</v>
      </c>
      <c r="O20419">
        <v>250416</v>
      </c>
      <c r="P20419">
        <v>0.69</v>
      </c>
    </row>
    <row r="20420" spans="1:16" x14ac:dyDescent="0.25">
      <c r="A20420" t="s">
        <v>3296</v>
      </c>
      <c r="B20420" t="s">
        <v>2931</v>
      </c>
      <c r="C20420">
        <v>5082</v>
      </c>
      <c r="D20420" t="str">
        <f>"12514021706 "</f>
        <v xml:space="preserve">12514021706 </v>
      </c>
      <c r="E20420" t="s">
        <v>309</v>
      </c>
      <c r="F20420" t="s">
        <v>310</v>
      </c>
      <c r="G20420">
        <v>6.59</v>
      </c>
      <c r="H20420">
        <v>250331</v>
      </c>
      <c r="I20420">
        <v>4369</v>
      </c>
      <c r="J20420" t="s">
        <v>188</v>
      </c>
      <c r="K20420">
        <v>32.64</v>
      </c>
      <c r="L20420">
        <v>1.34</v>
      </c>
      <c r="M20420">
        <v>11101</v>
      </c>
      <c r="N20420" t="s">
        <v>67</v>
      </c>
      <c r="O20420">
        <v>250416</v>
      </c>
      <c r="P20420">
        <v>5.25</v>
      </c>
    </row>
    <row r="20421" spans="1:16" x14ac:dyDescent="0.25">
      <c r="A20421" t="s">
        <v>3296</v>
      </c>
      <c r="B20421" t="s">
        <v>2931</v>
      </c>
      <c r="C20421">
        <v>5082</v>
      </c>
      <c r="D20421" t="str">
        <f>"12514021706 "</f>
        <v xml:space="preserve">12514021706 </v>
      </c>
      <c r="E20421" t="s">
        <v>309</v>
      </c>
      <c r="F20421" t="s">
        <v>310</v>
      </c>
      <c r="G20421">
        <v>16.940000000000001</v>
      </c>
      <c r="H20421">
        <v>250331</v>
      </c>
      <c r="I20421">
        <v>4369</v>
      </c>
      <c r="J20421" t="s">
        <v>188</v>
      </c>
      <c r="K20421">
        <v>32.64</v>
      </c>
      <c r="L20421">
        <v>3.44</v>
      </c>
      <c r="M20421">
        <v>11101</v>
      </c>
      <c r="N20421" t="s">
        <v>67</v>
      </c>
      <c r="O20421">
        <v>250416</v>
      </c>
      <c r="P20421">
        <v>13.5</v>
      </c>
    </row>
    <row r="20422" spans="1:16" x14ac:dyDescent="0.25">
      <c r="A20422" t="s">
        <v>3296</v>
      </c>
      <c r="B20422" t="s">
        <v>2931</v>
      </c>
      <c r="C20422">
        <v>5082</v>
      </c>
      <c r="D20422" t="str">
        <f>"12514021706 "</f>
        <v xml:space="preserve">12514021706 </v>
      </c>
      <c r="E20422" t="s">
        <v>309</v>
      </c>
      <c r="F20422" t="s">
        <v>310</v>
      </c>
      <c r="G20422">
        <v>9.11</v>
      </c>
      <c r="H20422">
        <v>250331</v>
      </c>
      <c r="I20422">
        <v>4369</v>
      </c>
      <c r="J20422" t="s">
        <v>188</v>
      </c>
      <c r="K20422">
        <v>32.64</v>
      </c>
      <c r="L20422">
        <v>1.85</v>
      </c>
      <c r="M20422">
        <v>11201</v>
      </c>
      <c r="N20422" t="s">
        <v>35</v>
      </c>
      <c r="O20422">
        <v>250416</v>
      </c>
      <c r="P20422">
        <v>7.26</v>
      </c>
    </row>
    <row r="20423" spans="1:16" x14ac:dyDescent="0.25">
      <c r="A20423" t="s">
        <v>3296</v>
      </c>
      <c r="B20423" t="s">
        <v>2931</v>
      </c>
      <c r="C20423">
        <v>5083</v>
      </c>
      <c r="D20423" t="str">
        <f t="shared" ref="D20423:D20428" si="370">"12514021695 "</f>
        <v xml:space="preserve">12514021695 </v>
      </c>
      <c r="E20423" t="s">
        <v>309</v>
      </c>
      <c r="F20423" t="s">
        <v>310</v>
      </c>
      <c r="G20423">
        <v>3.54</v>
      </c>
      <c r="H20423">
        <v>250331</v>
      </c>
      <c r="I20423">
        <v>4369</v>
      </c>
      <c r="J20423" t="s">
        <v>188</v>
      </c>
      <c r="K20423">
        <v>85.38</v>
      </c>
      <c r="L20423">
        <v>0.72</v>
      </c>
      <c r="M20423">
        <v>17132</v>
      </c>
      <c r="N20423" t="s">
        <v>174</v>
      </c>
      <c r="O20423">
        <v>250416</v>
      </c>
      <c r="P20423">
        <v>2.82</v>
      </c>
    </row>
    <row r="20424" spans="1:16" x14ac:dyDescent="0.25">
      <c r="A20424" t="s">
        <v>3296</v>
      </c>
      <c r="B20424" t="s">
        <v>2931</v>
      </c>
      <c r="C20424">
        <v>5083</v>
      </c>
      <c r="D20424" t="str">
        <f t="shared" si="370"/>
        <v xml:space="preserve">12514021695 </v>
      </c>
      <c r="E20424" t="s">
        <v>309</v>
      </c>
      <c r="F20424" t="s">
        <v>310</v>
      </c>
      <c r="G20424">
        <v>10.45</v>
      </c>
      <c r="H20424">
        <v>250331</v>
      </c>
      <c r="I20424">
        <v>4369</v>
      </c>
      <c r="J20424" t="s">
        <v>188</v>
      </c>
      <c r="K20424">
        <v>85.38</v>
      </c>
      <c r="L20424">
        <v>2.12</v>
      </c>
      <c r="M20424">
        <v>17913</v>
      </c>
      <c r="N20424" t="s">
        <v>26</v>
      </c>
      <c r="O20424">
        <v>250416</v>
      </c>
      <c r="P20424">
        <v>8.33</v>
      </c>
    </row>
    <row r="20425" spans="1:16" x14ac:dyDescent="0.25">
      <c r="A20425" t="s">
        <v>3296</v>
      </c>
      <c r="B20425" t="s">
        <v>2931</v>
      </c>
      <c r="C20425">
        <v>5083</v>
      </c>
      <c r="D20425" t="str">
        <f t="shared" si="370"/>
        <v xml:space="preserve">12514021695 </v>
      </c>
      <c r="E20425" t="s">
        <v>309</v>
      </c>
      <c r="F20425" t="s">
        <v>310</v>
      </c>
      <c r="G20425">
        <v>27.11</v>
      </c>
      <c r="H20425">
        <v>250331</v>
      </c>
      <c r="I20425">
        <v>4369</v>
      </c>
      <c r="J20425" t="s">
        <v>188</v>
      </c>
      <c r="K20425">
        <v>85.38</v>
      </c>
      <c r="L20425">
        <v>5.51</v>
      </c>
      <c r="M20425">
        <v>17951</v>
      </c>
      <c r="N20425" t="s">
        <v>207</v>
      </c>
      <c r="O20425">
        <v>250416</v>
      </c>
      <c r="P20425">
        <v>21.6</v>
      </c>
    </row>
    <row r="20426" spans="1:16" x14ac:dyDescent="0.25">
      <c r="A20426" t="s">
        <v>3296</v>
      </c>
      <c r="B20426" t="s">
        <v>2931</v>
      </c>
      <c r="C20426">
        <v>5083</v>
      </c>
      <c r="D20426" t="str">
        <f t="shared" si="370"/>
        <v xml:space="preserve">12514021695 </v>
      </c>
      <c r="E20426" t="s">
        <v>309</v>
      </c>
      <c r="F20426" t="s">
        <v>310</v>
      </c>
      <c r="G20426">
        <v>14.01</v>
      </c>
      <c r="H20426">
        <v>250331</v>
      </c>
      <c r="I20426">
        <v>4369</v>
      </c>
      <c r="J20426" t="s">
        <v>188</v>
      </c>
      <c r="K20426">
        <v>85.38</v>
      </c>
      <c r="L20426">
        <v>2.85</v>
      </c>
      <c r="M20426">
        <v>17971</v>
      </c>
      <c r="N20426" t="s">
        <v>27</v>
      </c>
      <c r="O20426">
        <v>250416</v>
      </c>
      <c r="P20426">
        <v>11.16</v>
      </c>
    </row>
    <row r="20427" spans="1:16" x14ac:dyDescent="0.25">
      <c r="A20427" t="s">
        <v>3296</v>
      </c>
      <c r="B20427" t="s">
        <v>2931</v>
      </c>
      <c r="C20427">
        <v>5083</v>
      </c>
      <c r="D20427" t="str">
        <f t="shared" si="370"/>
        <v xml:space="preserve">12514021695 </v>
      </c>
      <c r="E20427" t="s">
        <v>309</v>
      </c>
      <c r="F20427" t="s">
        <v>310</v>
      </c>
      <c r="G20427">
        <v>6.59</v>
      </c>
      <c r="H20427">
        <v>250331</v>
      </c>
      <c r="I20427">
        <v>4369</v>
      </c>
      <c r="J20427" t="s">
        <v>188</v>
      </c>
      <c r="K20427">
        <v>85.38</v>
      </c>
      <c r="L20427">
        <v>1.34</v>
      </c>
      <c r="M20427">
        <v>17974</v>
      </c>
      <c r="N20427" t="s">
        <v>153</v>
      </c>
      <c r="O20427">
        <v>250416</v>
      </c>
      <c r="P20427">
        <v>5.25</v>
      </c>
    </row>
    <row r="20428" spans="1:16" x14ac:dyDescent="0.25">
      <c r="A20428" t="s">
        <v>3296</v>
      </c>
      <c r="B20428" t="s">
        <v>2931</v>
      </c>
      <c r="C20428">
        <v>5083</v>
      </c>
      <c r="D20428" t="str">
        <f t="shared" si="370"/>
        <v xml:space="preserve">12514021695 </v>
      </c>
      <c r="E20428" t="s">
        <v>309</v>
      </c>
      <c r="F20428" t="s">
        <v>310</v>
      </c>
      <c r="G20428">
        <v>23.68</v>
      </c>
      <c r="H20428">
        <v>250331</v>
      </c>
      <c r="I20428">
        <v>4369</v>
      </c>
      <c r="J20428" t="s">
        <v>188</v>
      </c>
      <c r="K20428">
        <v>85.38</v>
      </c>
      <c r="L20428">
        <v>4.8099999999999996</v>
      </c>
      <c r="M20428">
        <v>17975</v>
      </c>
      <c r="N20428" t="s">
        <v>29</v>
      </c>
      <c r="O20428">
        <v>250416</v>
      </c>
      <c r="P20428">
        <v>18.87</v>
      </c>
    </row>
    <row r="20429" spans="1:16" x14ac:dyDescent="0.25">
      <c r="A20429" t="s">
        <v>3296</v>
      </c>
      <c r="B20429" t="s">
        <v>2931</v>
      </c>
      <c r="C20429">
        <v>5084</v>
      </c>
      <c r="D20429" t="str">
        <f>"12514021693 "</f>
        <v xml:space="preserve">12514021693 </v>
      </c>
      <c r="E20429" t="s">
        <v>309</v>
      </c>
      <c r="F20429" t="s">
        <v>310</v>
      </c>
      <c r="G20429">
        <v>4.5599999999999996</v>
      </c>
      <c r="H20429">
        <v>250331</v>
      </c>
      <c r="I20429">
        <v>4369</v>
      </c>
      <c r="J20429" t="s">
        <v>188</v>
      </c>
      <c r="K20429">
        <v>4.5599999999999996</v>
      </c>
      <c r="L20429">
        <v>0.93</v>
      </c>
      <c r="M20429">
        <v>11900</v>
      </c>
      <c r="N20429" t="s">
        <v>30</v>
      </c>
      <c r="O20429">
        <v>250416</v>
      </c>
      <c r="P20429">
        <v>3.63</v>
      </c>
    </row>
    <row r="20430" spans="1:16" x14ac:dyDescent="0.25">
      <c r="A20430" t="s">
        <v>3296</v>
      </c>
      <c r="B20430" t="s">
        <v>2931</v>
      </c>
      <c r="C20430">
        <v>5086</v>
      </c>
      <c r="D20430" t="str">
        <f>"105379384   "</f>
        <v xml:space="preserve">105379384   </v>
      </c>
      <c r="E20430" t="s">
        <v>309</v>
      </c>
      <c r="F20430" t="s">
        <v>310</v>
      </c>
      <c r="G20430">
        <v>26.36</v>
      </c>
      <c r="H20430">
        <v>250331</v>
      </c>
      <c r="I20430">
        <v>4369</v>
      </c>
      <c r="J20430" t="s">
        <v>188</v>
      </c>
      <c r="K20430">
        <v>26.36</v>
      </c>
      <c r="L20430">
        <v>5.36</v>
      </c>
      <c r="M20430">
        <v>13940</v>
      </c>
      <c r="N20430" t="s">
        <v>14</v>
      </c>
      <c r="O20430">
        <v>250416</v>
      </c>
      <c r="P20430">
        <v>21</v>
      </c>
    </row>
    <row r="20431" spans="1:16" x14ac:dyDescent="0.25">
      <c r="A20431" t="s">
        <v>3296</v>
      </c>
      <c r="B20431" t="s">
        <v>2931</v>
      </c>
      <c r="C20431">
        <v>5092</v>
      </c>
      <c r="D20431" t="str">
        <f>"12514021684 "</f>
        <v xml:space="preserve">12514021684 </v>
      </c>
      <c r="E20431" t="s">
        <v>309</v>
      </c>
      <c r="F20431" t="s">
        <v>310</v>
      </c>
      <c r="G20431">
        <v>53.61</v>
      </c>
      <c r="H20431">
        <v>250331</v>
      </c>
      <c r="I20431">
        <v>4369</v>
      </c>
      <c r="J20431" t="s">
        <v>188</v>
      </c>
      <c r="K20431">
        <v>60.39</v>
      </c>
      <c r="L20431">
        <v>10.89</v>
      </c>
      <c r="M20431">
        <v>49701</v>
      </c>
      <c r="N20431" t="s">
        <v>111</v>
      </c>
      <c r="O20431">
        <v>250416</v>
      </c>
      <c r="P20431">
        <v>42.72</v>
      </c>
    </row>
    <row r="20432" spans="1:16" x14ac:dyDescent="0.25">
      <c r="A20432" t="s">
        <v>3296</v>
      </c>
      <c r="B20432" t="s">
        <v>2931</v>
      </c>
      <c r="C20432">
        <v>5092</v>
      </c>
      <c r="D20432" t="str">
        <f>"12514021684 "</f>
        <v xml:space="preserve">12514021684 </v>
      </c>
      <c r="E20432" t="s">
        <v>309</v>
      </c>
      <c r="F20432" t="s">
        <v>310</v>
      </c>
      <c r="G20432">
        <v>6.78</v>
      </c>
      <c r="H20432">
        <v>250331</v>
      </c>
      <c r="I20432">
        <v>4369</v>
      </c>
      <c r="J20432" t="s">
        <v>188</v>
      </c>
      <c r="K20432">
        <v>60.39</v>
      </c>
      <c r="L20432">
        <v>1.38</v>
      </c>
      <c r="M20432">
        <v>49702</v>
      </c>
      <c r="N20432" t="s">
        <v>112</v>
      </c>
      <c r="O20432">
        <v>250416</v>
      </c>
      <c r="P20432">
        <v>5.4</v>
      </c>
    </row>
    <row r="20433" spans="1:16" x14ac:dyDescent="0.25">
      <c r="A20433" t="s">
        <v>3296</v>
      </c>
      <c r="B20433" t="s">
        <v>2931</v>
      </c>
      <c r="C20433">
        <v>5098</v>
      </c>
      <c r="D20433" t="str">
        <f>"12514021703 "</f>
        <v xml:space="preserve">12514021703 </v>
      </c>
      <c r="E20433" t="s">
        <v>309</v>
      </c>
      <c r="F20433" t="s">
        <v>310</v>
      </c>
      <c r="G20433">
        <v>7.01</v>
      </c>
      <c r="H20433">
        <v>250331</v>
      </c>
      <c r="I20433">
        <v>4369</v>
      </c>
      <c r="J20433" t="s">
        <v>188</v>
      </c>
      <c r="K20433">
        <v>10.4</v>
      </c>
      <c r="L20433">
        <v>1.42</v>
      </c>
      <c r="M20433">
        <v>11901</v>
      </c>
      <c r="N20433" t="s">
        <v>31</v>
      </c>
      <c r="O20433">
        <v>250416</v>
      </c>
      <c r="P20433">
        <v>5.59</v>
      </c>
    </row>
    <row r="20434" spans="1:16" x14ac:dyDescent="0.25">
      <c r="A20434" t="s">
        <v>3296</v>
      </c>
      <c r="B20434" t="s">
        <v>2931</v>
      </c>
      <c r="C20434">
        <v>5098</v>
      </c>
      <c r="D20434" t="str">
        <f>"12514021703 "</f>
        <v xml:space="preserve">12514021703 </v>
      </c>
      <c r="E20434" t="s">
        <v>309</v>
      </c>
      <c r="F20434" t="s">
        <v>310</v>
      </c>
      <c r="G20434">
        <v>3.39</v>
      </c>
      <c r="H20434">
        <v>250331</v>
      </c>
      <c r="I20434">
        <v>4369</v>
      </c>
      <c r="J20434" t="s">
        <v>188</v>
      </c>
      <c r="K20434">
        <v>10.4</v>
      </c>
      <c r="L20434">
        <v>0.69</v>
      </c>
      <c r="M20434">
        <v>11903</v>
      </c>
      <c r="N20434" t="s">
        <v>32</v>
      </c>
      <c r="O20434">
        <v>250416</v>
      </c>
      <c r="P20434">
        <v>2.7</v>
      </c>
    </row>
    <row r="20435" spans="1:16" x14ac:dyDescent="0.25">
      <c r="A20435" t="s">
        <v>3296</v>
      </c>
      <c r="B20435" t="s">
        <v>2931</v>
      </c>
      <c r="C20435">
        <v>5099</v>
      </c>
      <c r="D20435" t="str">
        <f>"12514021692 "</f>
        <v xml:space="preserve">12514021692 </v>
      </c>
      <c r="E20435" t="s">
        <v>309</v>
      </c>
      <c r="F20435" t="s">
        <v>310</v>
      </c>
      <c r="G20435">
        <v>13.55</v>
      </c>
      <c r="H20435">
        <v>250331</v>
      </c>
      <c r="I20435">
        <v>4369</v>
      </c>
      <c r="J20435" t="s">
        <v>188</v>
      </c>
      <c r="K20435">
        <v>39.18</v>
      </c>
      <c r="L20435">
        <v>2.75</v>
      </c>
      <c r="M20435">
        <v>46555</v>
      </c>
      <c r="N20435" t="s">
        <v>103</v>
      </c>
      <c r="O20435">
        <v>250416</v>
      </c>
      <c r="P20435">
        <v>10.8</v>
      </c>
    </row>
    <row r="20436" spans="1:16" x14ac:dyDescent="0.25">
      <c r="A20436" t="s">
        <v>3296</v>
      </c>
      <c r="B20436" t="s">
        <v>2931</v>
      </c>
      <c r="C20436">
        <v>5099</v>
      </c>
      <c r="D20436" t="str">
        <f>"12514021692 "</f>
        <v xml:space="preserve">12514021692 </v>
      </c>
      <c r="E20436" t="s">
        <v>309</v>
      </c>
      <c r="F20436" t="s">
        <v>310</v>
      </c>
      <c r="G20436">
        <v>25.63</v>
      </c>
      <c r="H20436">
        <v>250331</v>
      </c>
      <c r="I20436">
        <v>4369</v>
      </c>
      <c r="J20436" t="s">
        <v>188</v>
      </c>
      <c r="K20436">
        <v>39.18</v>
      </c>
      <c r="L20436">
        <v>5.21</v>
      </c>
      <c r="M20436">
        <v>48601</v>
      </c>
      <c r="N20436" t="s">
        <v>107</v>
      </c>
      <c r="O20436">
        <v>250416</v>
      </c>
      <c r="P20436">
        <v>20.420000000000002</v>
      </c>
    </row>
    <row r="20437" spans="1:16" x14ac:dyDescent="0.25">
      <c r="A20437" t="s">
        <v>3296</v>
      </c>
      <c r="B20437" t="s">
        <v>2931</v>
      </c>
      <c r="C20437">
        <v>5102</v>
      </c>
      <c r="D20437" t="str">
        <f>"12514021683 "</f>
        <v xml:space="preserve">12514021683 </v>
      </c>
      <c r="E20437" t="s">
        <v>309</v>
      </c>
      <c r="F20437" t="s">
        <v>310</v>
      </c>
      <c r="G20437">
        <v>32.85</v>
      </c>
      <c r="H20437">
        <v>250331</v>
      </c>
      <c r="I20437">
        <v>4369</v>
      </c>
      <c r="J20437" t="s">
        <v>188</v>
      </c>
      <c r="K20437">
        <v>46.22</v>
      </c>
      <c r="L20437">
        <v>6.67</v>
      </c>
      <c r="M20437">
        <v>41126</v>
      </c>
      <c r="N20437" t="s">
        <v>94</v>
      </c>
      <c r="O20437">
        <v>250416</v>
      </c>
      <c r="P20437">
        <v>26.18</v>
      </c>
    </row>
    <row r="20438" spans="1:16" x14ac:dyDescent="0.25">
      <c r="A20438" t="s">
        <v>3296</v>
      </c>
      <c r="B20438" t="s">
        <v>2931</v>
      </c>
      <c r="C20438">
        <v>5102</v>
      </c>
      <c r="D20438" t="str">
        <f>"12514021683 "</f>
        <v xml:space="preserve">12514021683 </v>
      </c>
      <c r="E20438" t="s">
        <v>309</v>
      </c>
      <c r="F20438" t="s">
        <v>310</v>
      </c>
      <c r="G20438">
        <v>13.37</v>
      </c>
      <c r="H20438">
        <v>250331</v>
      </c>
      <c r="I20438">
        <v>4369</v>
      </c>
      <c r="J20438" t="s">
        <v>188</v>
      </c>
      <c r="K20438">
        <v>46.22</v>
      </c>
      <c r="L20438">
        <v>2.72</v>
      </c>
      <c r="M20438">
        <v>46222</v>
      </c>
      <c r="N20438" t="s">
        <v>101</v>
      </c>
      <c r="O20438">
        <v>250416</v>
      </c>
      <c r="P20438">
        <v>10.65</v>
      </c>
    </row>
    <row r="20439" spans="1:16" x14ac:dyDescent="0.25">
      <c r="A20439" t="s">
        <v>3296</v>
      </c>
      <c r="B20439" t="s">
        <v>2931</v>
      </c>
      <c r="C20439">
        <v>5107</v>
      </c>
      <c r="D20439" t="str">
        <f>"12514021691 "</f>
        <v xml:space="preserve">12514021691 </v>
      </c>
      <c r="E20439" t="s">
        <v>309</v>
      </c>
      <c r="F20439" t="s">
        <v>310</v>
      </c>
      <c r="G20439">
        <v>6.78</v>
      </c>
      <c r="H20439">
        <v>250331</v>
      </c>
      <c r="I20439">
        <v>4369</v>
      </c>
      <c r="J20439" t="s">
        <v>188</v>
      </c>
      <c r="K20439">
        <v>6.78</v>
      </c>
      <c r="L20439">
        <v>1.38</v>
      </c>
      <c r="M20439">
        <v>49112</v>
      </c>
      <c r="N20439" t="s">
        <v>109</v>
      </c>
      <c r="O20439">
        <v>250416</v>
      </c>
      <c r="P20439">
        <v>5.4</v>
      </c>
    </row>
    <row r="20440" spans="1:16" x14ac:dyDescent="0.25">
      <c r="A20440" t="s">
        <v>3296</v>
      </c>
      <c r="B20440" t="s">
        <v>2931</v>
      </c>
      <c r="C20440">
        <v>5113</v>
      </c>
      <c r="D20440" t="str">
        <f>"12514021690 "</f>
        <v xml:space="preserve">12514021690 </v>
      </c>
      <c r="E20440" t="s">
        <v>309</v>
      </c>
      <c r="F20440" t="s">
        <v>310</v>
      </c>
      <c r="G20440">
        <v>6.98</v>
      </c>
      <c r="H20440">
        <v>250331</v>
      </c>
      <c r="I20440">
        <v>4369</v>
      </c>
      <c r="J20440" t="s">
        <v>188</v>
      </c>
      <c r="K20440">
        <v>44.93</v>
      </c>
      <c r="L20440">
        <v>1.42</v>
      </c>
      <c r="M20440">
        <v>44222</v>
      </c>
      <c r="N20440" t="s">
        <v>96</v>
      </c>
      <c r="O20440">
        <v>250416</v>
      </c>
      <c r="P20440">
        <v>5.56</v>
      </c>
    </row>
    <row r="20441" spans="1:16" x14ac:dyDescent="0.25">
      <c r="A20441" t="s">
        <v>3296</v>
      </c>
      <c r="B20441" t="s">
        <v>2931</v>
      </c>
      <c r="C20441">
        <v>5113</v>
      </c>
      <c r="D20441" t="str">
        <f>"12514021690 "</f>
        <v xml:space="preserve">12514021690 </v>
      </c>
      <c r="E20441" t="s">
        <v>309</v>
      </c>
      <c r="F20441" t="s">
        <v>310</v>
      </c>
      <c r="G20441">
        <v>23.83</v>
      </c>
      <c r="H20441">
        <v>250331</v>
      </c>
      <c r="I20441">
        <v>4369</v>
      </c>
      <c r="J20441" t="s">
        <v>188</v>
      </c>
      <c r="K20441">
        <v>44.93</v>
      </c>
      <c r="L20441">
        <v>4.84</v>
      </c>
      <c r="M20441">
        <v>44222</v>
      </c>
      <c r="N20441" t="s">
        <v>96</v>
      </c>
      <c r="O20441">
        <v>250416</v>
      </c>
      <c r="P20441">
        <v>18.989999999999998</v>
      </c>
    </row>
    <row r="20442" spans="1:16" x14ac:dyDescent="0.25">
      <c r="A20442" t="s">
        <v>3296</v>
      </c>
      <c r="B20442" t="s">
        <v>2931</v>
      </c>
      <c r="C20442">
        <v>5113</v>
      </c>
      <c r="D20442" t="str">
        <f>"12514021690 "</f>
        <v xml:space="preserve">12514021690 </v>
      </c>
      <c r="E20442" t="s">
        <v>309</v>
      </c>
      <c r="F20442" t="s">
        <v>310</v>
      </c>
      <c r="G20442">
        <v>3.39</v>
      </c>
      <c r="H20442">
        <v>250331</v>
      </c>
      <c r="I20442">
        <v>4369</v>
      </c>
      <c r="J20442" t="s">
        <v>188</v>
      </c>
      <c r="K20442">
        <v>44.93</v>
      </c>
      <c r="L20442">
        <v>0.69</v>
      </c>
      <c r="M20442">
        <v>44251</v>
      </c>
      <c r="N20442" t="s">
        <v>215</v>
      </c>
      <c r="O20442">
        <v>250416</v>
      </c>
      <c r="P20442">
        <v>2.7</v>
      </c>
    </row>
    <row r="20443" spans="1:16" x14ac:dyDescent="0.25">
      <c r="A20443" t="s">
        <v>3296</v>
      </c>
      <c r="B20443" t="s">
        <v>2931</v>
      </c>
      <c r="C20443">
        <v>5113</v>
      </c>
      <c r="D20443" t="str">
        <f>"12514021690 "</f>
        <v xml:space="preserve">12514021690 </v>
      </c>
      <c r="E20443" t="s">
        <v>309</v>
      </c>
      <c r="F20443" t="s">
        <v>310</v>
      </c>
      <c r="G20443">
        <v>3.2</v>
      </c>
      <c r="H20443">
        <v>250331</v>
      </c>
      <c r="I20443">
        <v>4369</v>
      </c>
      <c r="J20443" t="s">
        <v>188</v>
      </c>
      <c r="K20443">
        <v>44.93</v>
      </c>
      <c r="L20443">
        <v>0.65</v>
      </c>
      <c r="M20443">
        <v>44253</v>
      </c>
      <c r="N20443" t="s">
        <v>403</v>
      </c>
      <c r="O20443">
        <v>250416</v>
      </c>
      <c r="P20443">
        <v>2.5499999999999998</v>
      </c>
    </row>
    <row r="20444" spans="1:16" x14ac:dyDescent="0.25">
      <c r="A20444" t="s">
        <v>3296</v>
      </c>
      <c r="B20444" t="s">
        <v>2931</v>
      </c>
      <c r="C20444">
        <v>5113</v>
      </c>
      <c r="D20444" t="str">
        <f>"12514021690 "</f>
        <v xml:space="preserve">12514021690 </v>
      </c>
      <c r="E20444" t="s">
        <v>309</v>
      </c>
      <c r="F20444" t="s">
        <v>310</v>
      </c>
      <c r="G20444">
        <v>7.53</v>
      </c>
      <c r="H20444">
        <v>250331</v>
      </c>
      <c r="I20444">
        <v>4369</v>
      </c>
      <c r="J20444" t="s">
        <v>188</v>
      </c>
      <c r="K20444">
        <v>44.93</v>
      </c>
      <c r="L20444">
        <v>0</v>
      </c>
      <c r="M20444">
        <v>49702</v>
      </c>
      <c r="N20444" t="s">
        <v>112</v>
      </c>
      <c r="O20444">
        <v>250416</v>
      </c>
      <c r="P20444">
        <v>7.53</v>
      </c>
    </row>
    <row r="20445" spans="1:16" x14ac:dyDescent="0.25">
      <c r="A20445" t="s">
        <v>3296</v>
      </c>
      <c r="B20445" t="s">
        <v>2931</v>
      </c>
      <c r="C20445">
        <v>5144</v>
      </c>
      <c r="D20445" t="str">
        <f>"12514021705 "</f>
        <v xml:space="preserve">12514021705 </v>
      </c>
      <c r="E20445" t="s">
        <v>309</v>
      </c>
      <c r="F20445" t="s">
        <v>310</v>
      </c>
      <c r="G20445">
        <v>2.85</v>
      </c>
      <c r="H20445">
        <v>250331</v>
      </c>
      <c r="I20445">
        <v>4369</v>
      </c>
      <c r="J20445" t="s">
        <v>188</v>
      </c>
      <c r="K20445">
        <v>24.33</v>
      </c>
      <c r="L20445">
        <v>0.57999999999999996</v>
      </c>
      <c r="M20445">
        <v>53222</v>
      </c>
      <c r="N20445" t="s">
        <v>41</v>
      </c>
      <c r="O20445">
        <v>250417</v>
      </c>
      <c r="P20445">
        <v>2.27</v>
      </c>
    </row>
    <row r="20446" spans="1:16" x14ac:dyDescent="0.25">
      <c r="A20446" t="s">
        <v>3296</v>
      </c>
      <c r="B20446" t="s">
        <v>2931</v>
      </c>
      <c r="C20446">
        <v>5144</v>
      </c>
      <c r="D20446" t="str">
        <f>"12514021705 "</f>
        <v xml:space="preserve">12514021705 </v>
      </c>
      <c r="E20446" t="s">
        <v>309</v>
      </c>
      <c r="F20446" t="s">
        <v>310</v>
      </c>
      <c r="G20446">
        <v>14.7</v>
      </c>
      <c r="H20446">
        <v>250331</v>
      </c>
      <c r="I20446">
        <v>4369</v>
      </c>
      <c r="J20446" t="s">
        <v>188</v>
      </c>
      <c r="K20446">
        <v>24.33</v>
      </c>
      <c r="L20446">
        <v>2.99</v>
      </c>
      <c r="M20446">
        <v>53222</v>
      </c>
      <c r="N20446" t="s">
        <v>41</v>
      </c>
      <c r="O20446">
        <v>250417</v>
      </c>
      <c r="P20446">
        <v>11.71</v>
      </c>
    </row>
    <row r="20447" spans="1:16" x14ac:dyDescent="0.25">
      <c r="A20447" t="s">
        <v>3296</v>
      </c>
      <c r="B20447" t="s">
        <v>2931</v>
      </c>
      <c r="C20447">
        <v>5144</v>
      </c>
      <c r="D20447" t="str">
        <f>"12514021705 "</f>
        <v xml:space="preserve">12514021705 </v>
      </c>
      <c r="E20447" t="s">
        <v>309</v>
      </c>
      <c r="F20447" t="s">
        <v>310</v>
      </c>
      <c r="G20447">
        <v>3.39</v>
      </c>
      <c r="H20447">
        <v>250331</v>
      </c>
      <c r="I20447">
        <v>4369</v>
      </c>
      <c r="J20447" t="s">
        <v>188</v>
      </c>
      <c r="K20447">
        <v>24.33</v>
      </c>
      <c r="L20447">
        <v>0.69</v>
      </c>
      <c r="M20447">
        <v>54622</v>
      </c>
      <c r="N20447" t="s">
        <v>42</v>
      </c>
      <c r="O20447">
        <v>250417</v>
      </c>
      <c r="P20447">
        <v>2.7</v>
      </c>
    </row>
    <row r="20448" spans="1:16" x14ac:dyDescent="0.25">
      <c r="A20448" t="s">
        <v>3296</v>
      </c>
      <c r="B20448" t="s">
        <v>2931</v>
      </c>
      <c r="C20448">
        <v>5144</v>
      </c>
      <c r="D20448" t="str">
        <f>"12514021705 "</f>
        <v xml:space="preserve">12514021705 </v>
      </c>
      <c r="E20448" t="s">
        <v>309</v>
      </c>
      <c r="F20448" t="s">
        <v>310</v>
      </c>
      <c r="G20448">
        <v>3.39</v>
      </c>
      <c r="H20448">
        <v>250331</v>
      </c>
      <c r="I20448">
        <v>4369</v>
      </c>
      <c r="J20448" t="s">
        <v>188</v>
      </c>
      <c r="K20448">
        <v>24.33</v>
      </c>
      <c r="L20448">
        <v>0.69</v>
      </c>
      <c r="M20448">
        <v>55222</v>
      </c>
      <c r="N20448" t="s">
        <v>43</v>
      </c>
      <c r="O20448">
        <v>250417</v>
      </c>
      <c r="P20448">
        <v>2.7</v>
      </c>
    </row>
    <row r="20449" spans="1:16" x14ac:dyDescent="0.25">
      <c r="A20449" t="s">
        <v>3296</v>
      </c>
      <c r="B20449" t="s">
        <v>2931</v>
      </c>
      <c r="C20449">
        <v>5145</v>
      </c>
      <c r="D20449" t="str">
        <f>"12514021687 "</f>
        <v xml:space="preserve">12514021687 </v>
      </c>
      <c r="E20449" t="s">
        <v>309</v>
      </c>
      <c r="F20449" t="s">
        <v>310</v>
      </c>
      <c r="G20449">
        <v>3.92</v>
      </c>
      <c r="H20449">
        <v>250331</v>
      </c>
      <c r="I20449">
        <v>4369</v>
      </c>
      <c r="J20449" t="s">
        <v>188</v>
      </c>
      <c r="K20449">
        <v>37.840000000000003</v>
      </c>
      <c r="L20449">
        <v>0.8</v>
      </c>
      <c r="M20449">
        <v>48601</v>
      </c>
      <c r="N20449" t="s">
        <v>107</v>
      </c>
      <c r="O20449">
        <v>250417</v>
      </c>
      <c r="P20449">
        <v>3.12</v>
      </c>
    </row>
    <row r="20450" spans="1:16" x14ac:dyDescent="0.25">
      <c r="A20450" t="s">
        <v>3296</v>
      </c>
      <c r="B20450" t="s">
        <v>2931</v>
      </c>
      <c r="C20450">
        <v>5145</v>
      </c>
      <c r="D20450" t="str">
        <f>"12514021687 "</f>
        <v xml:space="preserve">12514021687 </v>
      </c>
      <c r="E20450" t="s">
        <v>309</v>
      </c>
      <c r="F20450" t="s">
        <v>310</v>
      </c>
      <c r="G20450">
        <v>3.39</v>
      </c>
      <c r="H20450">
        <v>250331</v>
      </c>
      <c r="I20450">
        <v>4369</v>
      </c>
      <c r="J20450" t="s">
        <v>188</v>
      </c>
      <c r="K20450">
        <v>37.840000000000003</v>
      </c>
      <c r="L20450">
        <v>0.69</v>
      </c>
      <c r="M20450">
        <v>49111</v>
      </c>
      <c r="N20450" t="s">
        <v>108</v>
      </c>
      <c r="O20450">
        <v>250417</v>
      </c>
      <c r="P20450">
        <v>2.7</v>
      </c>
    </row>
    <row r="20451" spans="1:16" x14ac:dyDescent="0.25">
      <c r="A20451" t="s">
        <v>3296</v>
      </c>
      <c r="B20451" t="s">
        <v>2931</v>
      </c>
      <c r="C20451">
        <v>5145</v>
      </c>
      <c r="D20451" t="str">
        <f>"12514021687 "</f>
        <v xml:space="preserve">12514021687 </v>
      </c>
      <c r="E20451" t="s">
        <v>309</v>
      </c>
      <c r="F20451" t="s">
        <v>310</v>
      </c>
      <c r="G20451">
        <v>10.1</v>
      </c>
      <c r="H20451">
        <v>250331</v>
      </c>
      <c r="I20451">
        <v>4369</v>
      </c>
      <c r="J20451" t="s">
        <v>188</v>
      </c>
      <c r="K20451">
        <v>37.840000000000003</v>
      </c>
      <c r="L20451">
        <v>2.0499999999999998</v>
      </c>
      <c r="M20451">
        <v>49704</v>
      </c>
      <c r="N20451" t="s">
        <v>113</v>
      </c>
      <c r="O20451">
        <v>250417</v>
      </c>
      <c r="P20451">
        <v>8.0500000000000007</v>
      </c>
    </row>
    <row r="20452" spans="1:16" x14ac:dyDescent="0.25">
      <c r="A20452" t="s">
        <v>3296</v>
      </c>
      <c r="B20452" t="s">
        <v>2931</v>
      </c>
      <c r="C20452">
        <v>5145</v>
      </c>
      <c r="D20452" t="str">
        <f>"12514021687 "</f>
        <v xml:space="preserve">12514021687 </v>
      </c>
      <c r="E20452" t="s">
        <v>309</v>
      </c>
      <c r="F20452" t="s">
        <v>310</v>
      </c>
      <c r="G20452">
        <v>20.43</v>
      </c>
      <c r="H20452">
        <v>250331</v>
      </c>
      <c r="I20452">
        <v>4369</v>
      </c>
      <c r="J20452" t="s">
        <v>188</v>
      </c>
      <c r="K20452">
        <v>37.840000000000003</v>
      </c>
      <c r="L20452">
        <v>4.1500000000000004</v>
      </c>
      <c r="M20452">
        <v>49705</v>
      </c>
      <c r="N20452" t="s">
        <v>114</v>
      </c>
      <c r="O20452">
        <v>250417</v>
      </c>
      <c r="P20452">
        <v>16.28</v>
      </c>
    </row>
    <row r="20453" spans="1:16" x14ac:dyDescent="0.25">
      <c r="A20453" t="s">
        <v>3296</v>
      </c>
      <c r="B20453" t="s">
        <v>2931</v>
      </c>
      <c r="C20453">
        <v>5147</v>
      </c>
      <c r="D20453" t="str">
        <f>"12514021686 "</f>
        <v xml:space="preserve">12514021686 </v>
      </c>
      <c r="E20453" t="s">
        <v>309</v>
      </c>
      <c r="F20453" t="s">
        <v>310</v>
      </c>
      <c r="G20453">
        <v>17.71</v>
      </c>
      <c r="H20453">
        <v>250331</v>
      </c>
      <c r="I20453">
        <v>4369</v>
      </c>
      <c r="J20453" t="s">
        <v>188</v>
      </c>
      <c r="K20453">
        <v>31.56</v>
      </c>
      <c r="L20453">
        <v>3.6</v>
      </c>
      <c r="M20453">
        <v>46554</v>
      </c>
      <c r="N20453" t="s">
        <v>102</v>
      </c>
      <c r="O20453">
        <v>250417</v>
      </c>
      <c r="P20453">
        <v>14.11</v>
      </c>
    </row>
    <row r="20454" spans="1:16" x14ac:dyDescent="0.25">
      <c r="A20454" t="s">
        <v>3296</v>
      </c>
      <c r="B20454" t="s">
        <v>2931</v>
      </c>
      <c r="C20454">
        <v>5147</v>
      </c>
      <c r="D20454" t="str">
        <f>"12514021686 "</f>
        <v xml:space="preserve">12514021686 </v>
      </c>
      <c r="E20454" t="s">
        <v>309</v>
      </c>
      <c r="F20454" t="s">
        <v>310</v>
      </c>
      <c r="G20454">
        <v>13.85</v>
      </c>
      <c r="H20454">
        <v>250331</v>
      </c>
      <c r="I20454">
        <v>4369</v>
      </c>
      <c r="J20454" t="s">
        <v>188</v>
      </c>
      <c r="K20454">
        <v>31.56</v>
      </c>
      <c r="L20454">
        <v>2.81</v>
      </c>
      <c r="M20454">
        <v>46554</v>
      </c>
      <c r="N20454" t="s">
        <v>102</v>
      </c>
      <c r="O20454">
        <v>250417</v>
      </c>
      <c r="P20454">
        <v>11.04</v>
      </c>
    </row>
    <row r="20455" spans="1:16" x14ac:dyDescent="0.25">
      <c r="A20455" t="s">
        <v>3296</v>
      </c>
      <c r="B20455" t="s">
        <v>2931</v>
      </c>
      <c r="C20455">
        <v>5149</v>
      </c>
      <c r="D20455" t="str">
        <f t="shared" ref="D20455:D20463" si="371">"12514021671 "</f>
        <v xml:space="preserve">12514021671 </v>
      </c>
      <c r="E20455" t="s">
        <v>309</v>
      </c>
      <c r="F20455" t="s">
        <v>310</v>
      </c>
      <c r="G20455">
        <v>6.4</v>
      </c>
      <c r="H20455">
        <v>250331</v>
      </c>
      <c r="I20455">
        <v>4369</v>
      </c>
      <c r="J20455" t="s">
        <v>188</v>
      </c>
      <c r="K20455">
        <v>69.91</v>
      </c>
      <c r="L20455">
        <v>1.3</v>
      </c>
      <c r="M20455">
        <v>10002</v>
      </c>
      <c r="N20455" t="s">
        <v>513</v>
      </c>
      <c r="O20455">
        <v>250417</v>
      </c>
      <c r="P20455">
        <v>5.0999999999999996</v>
      </c>
    </row>
    <row r="20456" spans="1:16" x14ac:dyDescent="0.25">
      <c r="A20456" t="s">
        <v>3296</v>
      </c>
      <c r="B20456" t="s">
        <v>2931</v>
      </c>
      <c r="C20456">
        <v>5149</v>
      </c>
      <c r="D20456" t="str">
        <f t="shared" si="371"/>
        <v xml:space="preserve">12514021671 </v>
      </c>
      <c r="E20456" t="s">
        <v>309</v>
      </c>
      <c r="F20456" t="s">
        <v>310</v>
      </c>
      <c r="G20456">
        <v>6.4</v>
      </c>
      <c r="H20456">
        <v>250331</v>
      </c>
      <c r="I20456">
        <v>4369</v>
      </c>
      <c r="J20456" t="s">
        <v>188</v>
      </c>
      <c r="K20456">
        <v>69.91</v>
      </c>
      <c r="L20456">
        <v>1.3</v>
      </c>
      <c r="M20456">
        <v>11001</v>
      </c>
      <c r="N20456" t="s">
        <v>93</v>
      </c>
      <c r="O20456">
        <v>250417</v>
      </c>
      <c r="P20456">
        <v>5.0999999999999996</v>
      </c>
    </row>
    <row r="20457" spans="1:16" x14ac:dyDescent="0.25">
      <c r="A20457" t="s">
        <v>3296</v>
      </c>
      <c r="B20457" t="s">
        <v>2931</v>
      </c>
      <c r="C20457">
        <v>5149</v>
      </c>
      <c r="D20457" t="str">
        <f t="shared" si="371"/>
        <v xml:space="preserve">12514021671 </v>
      </c>
      <c r="E20457" t="s">
        <v>309</v>
      </c>
      <c r="F20457" t="s">
        <v>310</v>
      </c>
      <c r="G20457">
        <v>10.050000000000001</v>
      </c>
      <c r="H20457">
        <v>250331</v>
      </c>
      <c r="I20457">
        <v>4369</v>
      </c>
      <c r="J20457" t="s">
        <v>188</v>
      </c>
      <c r="K20457">
        <v>69.91</v>
      </c>
      <c r="L20457">
        <v>2.04</v>
      </c>
      <c r="M20457">
        <v>11001</v>
      </c>
      <c r="N20457" t="s">
        <v>93</v>
      </c>
      <c r="O20457">
        <v>250417</v>
      </c>
      <c r="P20457">
        <v>8.01</v>
      </c>
    </row>
    <row r="20458" spans="1:16" x14ac:dyDescent="0.25">
      <c r="A20458" t="s">
        <v>3296</v>
      </c>
      <c r="B20458" t="s">
        <v>2931</v>
      </c>
      <c r="C20458">
        <v>5149</v>
      </c>
      <c r="D20458" t="str">
        <f t="shared" si="371"/>
        <v xml:space="preserve">12514021671 </v>
      </c>
      <c r="E20458" t="s">
        <v>309</v>
      </c>
      <c r="F20458" t="s">
        <v>310</v>
      </c>
      <c r="G20458">
        <v>10.17</v>
      </c>
      <c r="H20458">
        <v>250331</v>
      </c>
      <c r="I20458">
        <v>4369</v>
      </c>
      <c r="J20458" t="s">
        <v>188</v>
      </c>
      <c r="K20458">
        <v>69.91</v>
      </c>
      <c r="L20458">
        <v>2.0699999999999998</v>
      </c>
      <c r="M20458">
        <v>11301</v>
      </c>
      <c r="N20458" t="s">
        <v>92</v>
      </c>
      <c r="O20458">
        <v>250417</v>
      </c>
      <c r="P20458">
        <v>8.1</v>
      </c>
    </row>
    <row r="20459" spans="1:16" x14ac:dyDescent="0.25">
      <c r="A20459" t="s">
        <v>3296</v>
      </c>
      <c r="B20459" t="s">
        <v>2931</v>
      </c>
      <c r="C20459">
        <v>5149</v>
      </c>
      <c r="D20459" t="str">
        <f t="shared" si="371"/>
        <v xml:space="preserve">12514021671 </v>
      </c>
      <c r="E20459" t="s">
        <v>309</v>
      </c>
      <c r="F20459" t="s">
        <v>310</v>
      </c>
      <c r="G20459">
        <v>4.42</v>
      </c>
      <c r="H20459">
        <v>250331</v>
      </c>
      <c r="I20459">
        <v>4369</v>
      </c>
      <c r="J20459" t="s">
        <v>188</v>
      </c>
      <c r="K20459">
        <v>69.91</v>
      </c>
      <c r="L20459">
        <v>0</v>
      </c>
      <c r="M20459">
        <v>11401</v>
      </c>
      <c r="N20459" t="s">
        <v>91</v>
      </c>
      <c r="O20459">
        <v>250417</v>
      </c>
      <c r="P20459">
        <v>4.42</v>
      </c>
    </row>
    <row r="20460" spans="1:16" x14ac:dyDescent="0.25">
      <c r="A20460" t="s">
        <v>3296</v>
      </c>
      <c r="B20460" t="s">
        <v>2931</v>
      </c>
      <c r="C20460">
        <v>5149</v>
      </c>
      <c r="D20460" t="str">
        <f t="shared" si="371"/>
        <v xml:space="preserve">12514021671 </v>
      </c>
      <c r="E20460" t="s">
        <v>309</v>
      </c>
      <c r="F20460" t="s">
        <v>310</v>
      </c>
      <c r="G20460">
        <v>12.71</v>
      </c>
      <c r="H20460">
        <v>250331</v>
      </c>
      <c r="I20460">
        <v>4369</v>
      </c>
      <c r="J20460" t="s">
        <v>188</v>
      </c>
      <c r="K20460">
        <v>69.91</v>
      </c>
      <c r="L20460">
        <v>2.58</v>
      </c>
      <c r="M20460">
        <v>11401</v>
      </c>
      <c r="N20460" t="s">
        <v>91</v>
      </c>
      <c r="O20460">
        <v>250417</v>
      </c>
      <c r="P20460">
        <v>10.130000000000001</v>
      </c>
    </row>
    <row r="20461" spans="1:16" x14ac:dyDescent="0.25">
      <c r="A20461" t="s">
        <v>3296</v>
      </c>
      <c r="B20461" t="s">
        <v>2931</v>
      </c>
      <c r="C20461">
        <v>5149</v>
      </c>
      <c r="D20461" t="str">
        <f t="shared" si="371"/>
        <v xml:space="preserve">12514021671 </v>
      </c>
      <c r="E20461" t="s">
        <v>309</v>
      </c>
      <c r="F20461" t="s">
        <v>310</v>
      </c>
      <c r="G20461">
        <v>3.39</v>
      </c>
      <c r="H20461">
        <v>250331</v>
      </c>
      <c r="I20461">
        <v>4369</v>
      </c>
      <c r="J20461" t="s">
        <v>188</v>
      </c>
      <c r="K20461">
        <v>69.91</v>
      </c>
      <c r="L20461">
        <v>0.69</v>
      </c>
      <c r="M20461">
        <v>11501</v>
      </c>
      <c r="N20461" t="s">
        <v>13</v>
      </c>
      <c r="O20461">
        <v>250417</v>
      </c>
      <c r="P20461">
        <v>2.7</v>
      </c>
    </row>
    <row r="20462" spans="1:16" x14ac:dyDescent="0.25">
      <c r="A20462" t="s">
        <v>3296</v>
      </c>
      <c r="B20462" t="s">
        <v>2931</v>
      </c>
      <c r="C20462">
        <v>5149</v>
      </c>
      <c r="D20462" t="str">
        <f t="shared" si="371"/>
        <v xml:space="preserve">12514021671 </v>
      </c>
      <c r="E20462" t="s">
        <v>309</v>
      </c>
      <c r="F20462" t="s">
        <v>310</v>
      </c>
      <c r="G20462">
        <v>6.59</v>
      </c>
      <c r="H20462">
        <v>250331</v>
      </c>
      <c r="I20462">
        <v>4369</v>
      </c>
      <c r="J20462" t="s">
        <v>188</v>
      </c>
      <c r="K20462">
        <v>69.91</v>
      </c>
      <c r="L20462">
        <v>1.34</v>
      </c>
      <c r="M20462">
        <v>11501</v>
      </c>
      <c r="N20462" t="s">
        <v>13</v>
      </c>
      <c r="O20462">
        <v>250417</v>
      </c>
      <c r="P20462">
        <v>5.25</v>
      </c>
    </row>
    <row r="20463" spans="1:16" x14ac:dyDescent="0.25">
      <c r="A20463" t="s">
        <v>3296</v>
      </c>
      <c r="B20463" t="s">
        <v>2931</v>
      </c>
      <c r="C20463">
        <v>5149</v>
      </c>
      <c r="D20463" t="str">
        <f t="shared" si="371"/>
        <v xml:space="preserve">12514021671 </v>
      </c>
      <c r="E20463" t="s">
        <v>309</v>
      </c>
      <c r="F20463" t="s">
        <v>310</v>
      </c>
      <c r="G20463">
        <v>9.7799999999999994</v>
      </c>
      <c r="H20463">
        <v>250331</v>
      </c>
      <c r="I20463">
        <v>4369</v>
      </c>
      <c r="J20463" t="s">
        <v>188</v>
      </c>
      <c r="K20463">
        <v>69.91</v>
      </c>
      <c r="L20463">
        <v>1.99</v>
      </c>
      <c r="M20463">
        <v>18972</v>
      </c>
      <c r="N20463" t="s">
        <v>39</v>
      </c>
      <c r="O20463">
        <v>250417</v>
      </c>
      <c r="P20463">
        <v>7.79</v>
      </c>
    </row>
    <row r="20464" spans="1:16" x14ac:dyDescent="0.25">
      <c r="A20464" t="s">
        <v>3296</v>
      </c>
      <c r="B20464" t="s">
        <v>2931</v>
      </c>
      <c r="C20464">
        <v>5150</v>
      </c>
      <c r="D20464" t="str">
        <f t="shared" ref="D20464:D20471" si="372">"12514021672 "</f>
        <v xml:space="preserve">12514021672 </v>
      </c>
      <c r="E20464" t="s">
        <v>309</v>
      </c>
      <c r="F20464" t="s">
        <v>310</v>
      </c>
      <c r="G20464">
        <v>3.39</v>
      </c>
      <c r="H20464">
        <v>250331</v>
      </c>
      <c r="I20464">
        <v>4369</v>
      </c>
      <c r="J20464" t="s">
        <v>188</v>
      </c>
      <c r="K20464">
        <v>135.94</v>
      </c>
      <c r="L20464">
        <v>0.69</v>
      </c>
      <c r="M20464">
        <v>11001</v>
      </c>
      <c r="N20464" t="s">
        <v>93</v>
      </c>
      <c r="O20464">
        <v>250417</v>
      </c>
      <c r="P20464">
        <v>2.7</v>
      </c>
    </row>
    <row r="20465" spans="1:16" x14ac:dyDescent="0.25">
      <c r="A20465" t="s">
        <v>3296</v>
      </c>
      <c r="B20465" t="s">
        <v>2931</v>
      </c>
      <c r="C20465">
        <v>5150</v>
      </c>
      <c r="D20465" t="str">
        <f t="shared" si="372"/>
        <v xml:space="preserve">12514021672 </v>
      </c>
      <c r="E20465" t="s">
        <v>309</v>
      </c>
      <c r="F20465" t="s">
        <v>310</v>
      </c>
      <c r="G20465">
        <v>76.05</v>
      </c>
      <c r="H20465">
        <v>250331</v>
      </c>
      <c r="I20465">
        <v>4369</v>
      </c>
      <c r="J20465" t="s">
        <v>188</v>
      </c>
      <c r="K20465">
        <v>135.94</v>
      </c>
      <c r="L20465">
        <v>0</v>
      </c>
      <c r="M20465">
        <v>11001</v>
      </c>
      <c r="N20465" t="s">
        <v>93</v>
      </c>
      <c r="O20465">
        <v>250417</v>
      </c>
      <c r="P20465">
        <v>76.05</v>
      </c>
    </row>
    <row r="20466" spans="1:16" x14ac:dyDescent="0.25">
      <c r="A20466" t="s">
        <v>3296</v>
      </c>
      <c r="B20466" t="s">
        <v>2931</v>
      </c>
      <c r="C20466">
        <v>5150</v>
      </c>
      <c r="D20466" t="str">
        <f t="shared" si="372"/>
        <v xml:space="preserve">12514021672 </v>
      </c>
      <c r="E20466" t="s">
        <v>309</v>
      </c>
      <c r="F20466" t="s">
        <v>310</v>
      </c>
      <c r="G20466">
        <v>1.1299999999999999</v>
      </c>
      <c r="H20466">
        <v>250331</v>
      </c>
      <c r="I20466">
        <v>4369</v>
      </c>
      <c r="J20466" t="s">
        <v>188</v>
      </c>
      <c r="K20466">
        <v>135.94</v>
      </c>
      <c r="L20466">
        <v>0.23</v>
      </c>
      <c r="M20466">
        <v>11401</v>
      </c>
      <c r="N20466" t="s">
        <v>91</v>
      </c>
      <c r="O20466">
        <v>250417</v>
      </c>
      <c r="P20466">
        <v>0.9</v>
      </c>
    </row>
    <row r="20467" spans="1:16" x14ac:dyDescent="0.25">
      <c r="A20467" t="s">
        <v>3296</v>
      </c>
      <c r="B20467" t="s">
        <v>2931</v>
      </c>
      <c r="C20467">
        <v>5150</v>
      </c>
      <c r="D20467" t="str">
        <f t="shared" si="372"/>
        <v xml:space="preserve">12514021672 </v>
      </c>
      <c r="E20467" t="s">
        <v>309</v>
      </c>
      <c r="F20467" t="s">
        <v>310</v>
      </c>
      <c r="G20467">
        <v>10.19</v>
      </c>
      <c r="H20467">
        <v>250331</v>
      </c>
      <c r="I20467">
        <v>4369</v>
      </c>
      <c r="J20467" t="s">
        <v>188</v>
      </c>
      <c r="K20467">
        <v>135.94</v>
      </c>
      <c r="L20467">
        <v>2.0699999999999998</v>
      </c>
      <c r="M20467">
        <v>11501</v>
      </c>
      <c r="N20467" t="s">
        <v>13</v>
      </c>
      <c r="O20467">
        <v>250417</v>
      </c>
      <c r="P20467">
        <v>8.1199999999999992</v>
      </c>
    </row>
    <row r="20468" spans="1:16" x14ac:dyDescent="0.25">
      <c r="A20468" t="s">
        <v>3296</v>
      </c>
      <c r="B20468" t="s">
        <v>2931</v>
      </c>
      <c r="C20468">
        <v>5150</v>
      </c>
      <c r="D20468" t="str">
        <f t="shared" si="372"/>
        <v xml:space="preserve">12514021672 </v>
      </c>
      <c r="E20468" t="s">
        <v>309</v>
      </c>
      <c r="F20468" t="s">
        <v>310</v>
      </c>
      <c r="G20468">
        <v>3.39</v>
      </c>
      <c r="H20468">
        <v>250331</v>
      </c>
      <c r="I20468">
        <v>4369</v>
      </c>
      <c r="J20468" t="s">
        <v>188</v>
      </c>
      <c r="K20468">
        <v>135.94</v>
      </c>
      <c r="L20468">
        <v>0.69</v>
      </c>
      <c r="M20468">
        <v>11701</v>
      </c>
      <c r="N20468" t="s">
        <v>973</v>
      </c>
      <c r="O20468">
        <v>250417</v>
      </c>
      <c r="P20468">
        <v>2.7</v>
      </c>
    </row>
    <row r="20469" spans="1:16" x14ac:dyDescent="0.25">
      <c r="A20469" t="s">
        <v>3296</v>
      </c>
      <c r="B20469" t="s">
        <v>2931</v>
      </c>
      <c r="C20469">
        <v>5150</v>
      </c>
      <c r="D20469" t="str">
        <f t="shared" si="372"/>
        <v xml:space="preserve">12514021672 </v>
      </c>
      <c r="E20469" t="s">
        <v>309</v>
      </c>
      <c r="F20469" t="s">
        <v>310</v>
      </c>
      <c r="G20469">
        <v>6.78</v>
      </c>
      <c r="H20469">
        <v>250331</v>
      </c>
      <c r="I20469">
        <v>4369</v>
      </c>
      <c r="J20469" t="s">
        <v>188</v>
      </c>
      <c r="K20469">
        <v>135.94</v>
      </c>
      <c r="L20469">
        <v>1.38</v>
      </c>
      <c r="M20469">
        <v>11751</v>
      </c>
      <c r="N20469" t="s">
        <v>167</v>
      </c>
      <c r="O20469">
        <v>250417</v>
      </c>
      <c r="P20469">
        <v>5.4</v>
      </c>
    </row>
    <row r="20470" spans="1:16" x14ac:dyDescent="0.25">
      <c r="A20470" t="s">
        <v>3296</v>
      </c>
      <c r="B20470" t="s">
        <v>2931</v>
      </c>
      <c r="C20470">
        <v>5150</v>
      </c>
      <c r="D20470" t="str">
        <f t="shared" si="372"/>
        <v xml:space="preserve">12514021672 </v>
      </c>
      <c r="E20470" t="s">
        <v>309</v>
      </c>
      <c r="F20470" t="s">
        <v>310</v>
      </c>
      <c r="G20470">
        <v>31.12</v>
      </c>
      <c r="H20470">
        <v>250331</v>
      </c>
      <c r="I20470">
        <v>4369</v>
      </c>
      <c r="J20470" t="s">
        <v>188</v>
      </c>
      <c r="K20470">
        <v>135.94</v>
      </c>
      <c r="L20470">
        <v>6.32</v>
      </c>
      <c r="M20470">
        <v>14622</v>
      </c>
      <c r="N20470" t="s">
        <v>77</v>
      </c>
      <c r="O20470">
        <v>250417</v>
      </c>
      <c r="P20470">
        <v>24.8</v>
      </c>
    </row>
    <row r="20471" spans="1:16" x14ac:dyDescent="0.25">
      <c r="A20471" t="s">
        <v>3296</v>
      </c>
      <c r="B20471" t="s">
        <v>2931</v>
      </c>
      <c r="C20471">
        <v>5150</v>
      </c>
      <c r="D20471" t="str">
        <f t="shared" si="372"/>
        <v xml:space="preserve">12514021672 </v>
      </c>
      <c r="E20471" t="s">
        <v>309</v>
      </c>
      <c r="F20471" t="s">
        <v>310</v>
      </c>
      <c r="G20471">
        <v>3.89</v>
      </c>
      <c r="H20471">
        <v>250331</v>
      </c>
      <c r="I20471">
        <v>4369</v>
      </c>
      <c r="J20471" t="s">
        <v>188</v>
      </c>
      <c r="K20471">
        <v>135.94</v>
      </c>
      <c r="L20471">
        <v>0.79</v>
      </c>
      <c r="M20471">
        <v>14952</v>
      </c>
      <c r="N20471" t="s">
        <v>213</v>
      </c>
      <c r="O20471">
        <v>250417</v>
      </c>
      <c r="P20471">
        <v>3.1</v>
      </c>
    </row>
    <row r="20472" spans="1:16" x14ac:dyDescent="0.25">
      <c r="A20472" t="s">
        <v>3296</v>
      </c>
      <c r="B20472" t="s">
        <v>2931</v>
      </c>
      <c r="C20472">
        <v>5153</v>
      </c>
      <c r="D20472" t="str">
        <f t="shared" ref="D20472:D20480" si="373">"12514021673 "</f>
        <v xml:space="preserve">12514021673 </v>
      </c>
      <c r="E20472" t="s">
        <v>309</v>
      </c>
      <c r="F20472" t="s">
        <v>310</v>
      </c>
      <c r="G20472">
        <v>6.61</v>
      </c>
      <c r="H20472">
        <v>250331</v>
      </c>
      <c r="I20472">
        <v>4369</v>
      </c>
      <c r="J20472" t="s">
        <v>188</v>
      </c>
      <c r="K20472">
        <v>102.82</v>
      </c>
      <c r="L20472">
        <v>1.34</v>
      </c>
      <c r="M20472">
        <v>14971</v>
      </c>
      <c r="N20472" t="s">
        <v>81</v>
      </c>
      <c r="O20472">
        <v>250417</v>
      </c>
      <c r="P20472">
        <v>5.27</v>
      </c>
    </row>
    <row r="20473" spans="1:16" x14ac:dyDescent="0.25">
      <c r="A20473" t="s">
        <v>3296</v>
      </c>
      <c r="B20473" t="s">
        <v>2931</v>
      </c>
      <c r="C20473">
        <v>5153</v>
      </c>
      <c r="D20473" t="str">
        <f t="shared" si="373"/>
        <v xml:space="preserve">12514021673 </v>
      </c>
      <c r="E20473" t="s">
        <v>309</v>
      </c>
      <c r="F20473" t="s">
        <v>310</v>
      </c>
      <c r="G20473">
        <v>6.59</v>
      </c>
      <c r="H20473">
        <v>250331</v>
      </c>
      <c r="I20473">
        <v>4369</v>
      </c>
      <c r="J20473" t="s">
        <v>188</v>
      </c>
      <c r="K20473">
        <v>102.82</v>
      </c>
      <c r="L20473">
        <v>1.34</v>
      </c>
      <c r="M20473">
        <v>17972</v>
      </c>
      <c r="N20473" t="s">
        <v>28</v>
      </c>
      <c r="O20473">
        <v>250417</v>
      </c>
      <c r="P20473">
        <v>5.25</v>
      </c>
    </row>
    <row r="20474" spans="1:16" x14ac:dyDescent="0.25">
      <c r="A20474" t="s">
        <v>3296</v>
      </c>
      <c r="B20474" t="s">
        <v>2931</v>
      </c>
      <c r="C20474">
        <v>5153</v>
      </c>
      <c r="D20474" t="str">
        <f t="shared" si="373"/>
        <v xml:space="preserve">12514021673 </v>
      </c>
      <c r="E20474" t="s">
        <v>309</v>
      </c>
      <c r="F20474" t="s">
        <v>310</v>
      </c>
      <c r="G20474">
        <v>20.92</v>
      </c>
      <c r="H20474">
        <v>250331</v>
      </c>
      <c r="I20474">
        <v>4369</v>
      </c>
      <c r="J20474" t="s">
        <v>188</v>
      </c>
      <c r="K20474">
        <v>102.82</v>
      </c>
      <c r="L20474">
        <v>4.25</v>
      </c>
      <c r="M20474">
        <v>18010</v>
      </c>
      <c r="N20474" t="s">
        <v>36</v>
      </c>
      <c r="O20474">
        <v>250417</v>
      </c>
      <c r="P20474">
        <v>16.670000000000002</v>
      </c>
    </row>
    <row r="20475" spans="1:16" x14ac:dyDescent="0.25">
      <c r="A20475" t="s">
        <v>3296</v>
      </c>
      <c r="B20475" t="s">
        <v>2931</v>
      </c>
      <c r="C20475">
        <v>5153</v>
      </c>
      <c r="D20475" t="str">
        <f t="shared" si="373"/>
        <v xml:space="preserve">12514021673 </v>
      </c>
      <c r="E20475" t="s">
        <v>309</v>
      </c>
      <c r="F20475" t="s">
        <v>310</v>
      </c>
      <c r="G20475">
        <v>3.38</v>
      </c>
      <c r="H20475">
        <v>250331</v>
      </c>
      <c r="I20475">
        <v>4369</v>
      </c>
      <c r="J20475" t="s">
        <v>188</v>
      </c>
      <c r="K20475">
        <v>102.82</v>
      </c>
      <c r="L20475">
        <v>0.69</v>
      </c>
      <c r="M20475">
        <v>18120</v>
      </c>
      <c r="N20475" t="s">
        <v>37</v>
      </c>
      <c r="O20475">
        <v>250417</v>
      </c>
      <c r="P20475">
        <v>2.69</v>
      </c>
    </row>
    <row r="20476" spans="1:16" x14ac:dyDescent="0.25">
      <c r="A20476" t="s">
        <v>3296</v>
      </c>
      <c r="B20476" t="s">
        <v>2931</v>
      </c>
      <c r="C20476">
        <v>5153</v>
      </c>
      <c r="D20476" t="str">
        <f t="shared" si="373"/>
        <v xml:space="preserve">12514021673 </v>
      </c>
      <c r="E20476" t="s">
        <v>309</v>
      </c>
      <c r="F20476" t="s">
        <v>310</v>
      </c>
      <c r="G20476">
        <v>10.27</v>
      </c>
      <c r="H20476">
        <v>250331</v>
      </c>
      <c r="I20476">
        <v>4369</v>
      </c>
      <c r="J20476" t="s">
        <v>188</v>
      </c>
      <c r="K20476">
        <v>102.82</v>
      </c>
      <c r="L20476">
        <v>2.09</v>
      </c>
      <c r="M20476">
        <v>18122</v>
      </c>
      <c r="N20476" t="s">
        <v>176</v>
      </c>
      <c r="O20476">
        <v>250417</v>
      </c>
      <c r="P20476">
        <v>8.18</v>
      </c>
    </row>
    <row r="20477" spans="1:16" x14ac:dyDescent="0.25">
      <c r="A20477" t="s">
        <v>3296</v>
      </c>
      <c r="B20477" t="s">
        <v>2931</v>
      </c>
      <c r="C20477">
        <v>5153</v>
      </c>
      <c r="D20477" t="str">
        <f t="shared" si="373"/>
        <v xml:space="preserve">12514021673 </v>
      </c>
      <c r="E20477" t="s">
        <v>309</v>
      </c>
      <c r="F20477" t="s">
        <v>310</v>
      </c>
      <c r="G20477">
        <v>6.4</v>
      </c>
      <c r="H20477">
        <v>250331</v>
      </c>
      <c r="I20477">
        <v>4369</v>
      </c>
      <c r="J20477" t="s">
        <v>188</v>
      </c>
      <c r="K20477">
        <v>102.82</v>
      </c>
      <c r="L20477">
        <v>1.3</v>
      </c>
      <c r="M20477">
        <v>18971</v>
      </c>
      <c r="N20477" t="s">
        <v>38</v>
      </c>
      <c r="O20477">
        <v>250417</v>
      </c>
      <c r="P20477">
        <v>5.0999999999999996</v>
      </c>
    </row>
    <row r="20478" spans="1:16" x14ac:dyDescent="0.25">
      <c r="A20478" t="s">
        <v>3296</v>
      </c>
      <c r="B20478" t="s">
        <v>2931</v>
      </c>
      <c r="C20478">
        <v>5153</v>
      </c>
      <c r="D20478" t="str">
        <f t="shared" si="373"/>
        <v xml:space="preserve">12514021673 </v>
      </c>
      <c r="E20478" t="s">
        <v>309</v>
      </c>
      <c r="F20478" t="s">
        <v>310</v>
      </c>
      <c r="G20478">
        <v>38.67</v>
      </c>
      <c r="H20478">
        <v>250331</v>
      </c>
      <c r="I20478">
        <v>4369</v>
      </c>
      <c r="J20478" t="s">
        <v>188</v>
      </c>
      <c r="K20478">
        <v>102.82</v>
      </c>
      <c r="L20478">
        <v>7.86</v>
      </c>
      <c r="M20478">
        <v>18972</v>
      </c>
      <c r="N20478" t="s">
        <v>39</v>
      </c>
      <c r="O20478">
        <v>250417</v>
      </c>
      <c r="P20478">
        <v>30.81</v>
      </c>
    </row>
    <row r="20479" spans="1:16" x14ac:dyDescent="0.25">
      <c r="A20479" t="s">
        <v>3296</v>
      </c>
      <c r="B20479" t="s">
        <v>2931</v>
      </c>
      <c r="C20479">
        <v>5153</v>
      </c>
      <c r="D20479" t="str">
        <f t="shared" si="373"/>
        <v xml:space="preserve">12514021673 </v>
      </c>
      <c r="E20479" t="s">
        <v>309</v>
      </c>
      <c r="F20479" t="s">
        <v>310</v>
      </c>
      <c r="G20479">
        <v>3.39</v>
      </c>
      <c r="H20479">
        <v>250331</v>
      </c>
      <c r="I20479">
        <v>4369</v>
      </c>
      <c r="J20479" t="s">
        <v>188</v>
      </c>
      <c r="K20479">
        <v>102.82</v>
      </c>
      <c r="L20479">
        <v>0.69</v>
      </c>
      <c r="M20479">
        <v>49702</v>
      </c>
      <c r="N20479" t="s">
        <v>112</v>
      </c>
      <c r="O20479">
        <v>250417</v>
      </c>
      <c r="P20479">
        <v>2.7</v>
      </c>
    </row>
    <row r="20480" spans="1:16" x14ac:dyDescent="0.25">
      <c r="A20480" t="s">
        <v>3296</v>
      </c>
      <c r="B20480" t="s">
        <v>2931</v>
      </c>
      <c r="C20480">
        <v>5153</v>
      </c>
      <c r="D20480" t="str">
        <f t="shared" si="373"/>
        <v xml:space="preserve">12514021673 </v>
      </c>
      <c r="E20480" t="s">
        <v>309</v>
      </c>
      <c r="F20480" t="s">
        <v>310</v>
      </c>
      <c r="G20480">
        <v>6.59</v>
      </c>
      <c r="H20480">
        <v>250331</v>
      </c>
      <c r="I20480">
        <v>4369</v>
      </c>
      <c r="J20480" t="s">
        <v>188</v>
      </c>
      <c r="K20480">
        <v>102.82</v>
      </c>
      <c r="L20480">
        <v>1.34</v>
      </c>
      <c r="M20480">
        <v>59702</v>
      </c>
      <c r="N20480" t="s">
        <v>45</v>
      </c>
      <c r="O20480">
        <v>250417</v>
      </c>
      <c r="P20480">
        <v>5.25</v>
      </c>
    </row>
    <row r="20481" spans="1:16" x14ac:dyDescent="0.25">
      <c r="A20481" t="s">
        <v>3296</v>
      </c>
      <c r="B20481" t="s">
        <v>2931</v>
      </c>
      <c r="C20481">
        <v>5154</v>
      </c>
      <c r="D20481" t="str">
        <f>"12514021685 "</f>
        <v xml:space="preserve">12514021685 </v>
      </c>
      <c r="E20481" t="s">
        <v>309</v>
      </c>
      <c r="F20481" t="s">
        <v>310</v>
      </c>
      <c r="G20481">
        <v>16.940000000000001</v>
      </c>
      <c r="H20481">
        <v>250331</v>
      </c>
      <c r="I20481">
        <v>4369</v>
      </c>
      <c r="J20481" t="s">
        <v>188</v>
      </c>
      <c r="K20481">
        <v>20.329999999999998</v>
      </c>
      <c r="L20481">
        <v>3.44</v>
      </c>
      <c r="M20481">
        <v>47522</v>
      </c>
      <c r="N20481" t="s">
        <v>106</v>
      </c>
      <c r="O20481">
        <v>250417</v>
      </c>
      <c r="P20481">
        <v>13.5</v>
      </c>
    </row>
    <row r="20482" spans="1:16" x14ac:dyDescent="0.25">
      <c r="A20482" t="s">
        <v>3296</v>
      </c>
      <c r="B20482" t="s">
        <v>2931</v>
      </c>
      <c r="C20482">
        <v>5154</v>
      </c>
      <c r="D20482" t="str">
        <f>"12514021685 "</f>
        <v xml:space="preserve">12514021685 </v>
      </c>
      <c r="E20482" t="s">
        <v>309</v>
      </c>
      <c r="F20482" t="s">
        <v>310</v>
      </c>
      <c r="G20482">
        <v>3.39</v>
      </c>
      <c r="H20482">
        <v>250331</v>
      </c>
      <c r="I20482">
        <v>4369</v>
      </c>
      <c r="J20482" t="s">
        <v>188</v>
      </c>
      <c r="K20482">
        <v>20.329999999999998</v>
      </c>
      <c r="L20482">
        <v>0.69</v>
      </c>
      <c r="M20482">
        <v>49702</v>
      </c>
      <c r="N20482" t="s">
        <v>112</v>
      </c>
      <c r="O20482">
        <v>250417</v>
      </c>
      <c r="P20482">
        <v>2.7</v>
      </c>
    </row>
    <row r="20483" spans="1:16" x14ac:dyDescent="0.25">
      <c r="A20483" t="s">
        <v>3296</v>
      </c>
      <c r="B20483" t="s">
        <v>2931</v>
      </c>
      <c r="C20483">
        <v>5155</v>
      </c>
      <c r="D20483" t="str">
        <f>"12514021707 "</f>
        <v xml:space="preserve">12514021707 </v>
      </c>
      <c r="E20483" t="s">
        <v>309</v>
      </c>
      <c r="F20483" t="s">
        <v>310</v>
      </c>
      <c r="G20483">
        <v>6.93</v>
      </c>
      <c r="H20483">
        <v>250331</v>
      </c>
      <c r="I20483">
        <v>4369</v>
      </c>
      <c r="J20483" t="s">
        <v>188</v>
      </c>
      <c r="K20483">
        <v>6.93</v>
      </c>
      <c r="L20483">
        <v>1.41</v>
      </c>
      <c r="M20483">
        <v>46557</v>
      </c>
      <c r="N20483" t="s">
        <v>104</v>
      </c>
      <c r="O20483">
        <v>250417</v>
      </c>
      <c r="P20483">
        <v>5.52</v>
      </c>
    </row>
    <row r="20484" spans="1:16" x14ac:dyDescent="0.25">
      <c r="A20484" t="s">
        <v>3296</v>
      </c>
      <c r="B20484" t="s">
        <v>2931</v>
      </c>
      <c r="C20484">
        <v>5156</v>
      </c>
      <c r="D20484" t="str">
        <f t="shared" ref="D20484:D20494" si="374">"12514021679 "</f>
        <v xml:space="preserve">12514021679 </v>
      </c>
      <c r="E20484" t="s">
        <v>309</v>
      </c>
      <c r="F20484" t="s">
        <v>310</v>
      </c>
      <c r="G20484">
        <v>3.38</v>
      </c>
      <c r="H20484">
        <v>250331</v>
      </c>
      <c r="I20484">
        <v>4369</v>
      </c>
      <c r="J20484" t="s">
        <v>188</v>
      </c>
      <c r="K20484">
        <v>65.510000000000005</v>
      </c>
      <c r="L20484">
        <v>0.69</v>
      </c>
      <c r="M20484">
        <v>11301</v>
      </c>
      <c r="N20484" t="s">
        <v>92</v>
      </c>
      <c r="O20484">
        <v>250417</v>
      </c>
      <c r="P20484">
        <v>2.69</v>
      </c>
    </row>
    <row r="20485" spans="1:16" x14ac:dyDescent="0.25">
      <c r="A20485" t="s">
        <v>3296</v>
      </c>
      <c r="B20485" t="s">
        <v>2931</v>
      </c>
      <c r="C20485">
        <v>5156</v>
      </c>
      <c r="D20485" t="str">
        <f t="shared" si="374"/>
        <v xml:space="preserve">12514021679 </v>
      </c>
      <c r="E20485" t="s">
        <v>309</v>
      </c>
      <c r="F20485" t="s">
        <v>310</v>
      </c>
      <c r="G20485">
        <v>6.59</v>
      </c>
      <c r="H20485">
        <v>250331</v>
      </c>
      <c r="I20485">
        <v>4369</v>
      </c>
      <c r="J20485" t="s">
        <v>188</v>
      </c>
      <c r="K20485">
        <v>65.510000000000005</v>
      </c>
      <c r="L20485">
        <v>1.34</v>
      </c>
      <c r="M20485">
        <v>11301</v>
      </c>
      <c r="N20485" t="s">
        <v>92</v>
      </c>
      <c r="O20485">
        <v>250417</v>
      </c>
      <c r="P20485">
        <v>5.25</v>
      </c>
    </row>
    <row r="20486" spans="1:16" x14ac:dyDescent="0.25">
      <c r="A20486" t="s">
        <v>3296</v>
      </c>
      <c r="B20486" t="s">
        <v>2931</v>
      </c>
      <c r="C20486">
        <v>5156</v>
      </c>
      <c r="D20486" t="str">
        <f t="shared" si="374"/>
        <v xml:space="preserve">12514021679 </v>
      </c>
      <c r="E20486" t="s">
        <v>309</v>
      </c>
      <c r="F20486" t="s">
        <v>310</v>
      </c>
      <c r="G20486">
        <v>3.92</v>
      </c>
      <c r="H20486">
        <v>250331</v>
      </c>
      <c r="I20486">
        <v>4369</v>
      </c>
      <c r="J20486" t="s">
        <v>188</v>
      </c>
      <c r="K20486">
        <v>65.510000000000005</v>
      </c>
      <c r="L20486">
        <v>0.8</v>
      </c>
      <c r="M20486">
        <v>11900</v>
      </c>
      <c r="N20486" t="s">
        <v>30</v>
      </c>
      <c r="O20486">
        <v>250417</v>
      </c>
      <c r="P20486">
        <v>3.12</v>
      </c>
    </row>
    <row r="20487" spans="1:16" x14ac:dyDescent="0.25">
      <c r="A20487" t="s">
        <v>3296</v>
      </c>
      <c r="B20487" t="s">
        <v>2931</v>
      </c>
      <c r="C20487">
        <v>5156</v>
      </c>
      <c r="D20487" t="str">
        <f t="shared" si="374"/>
        <v xml:space="preserve">12514021679 </v>
      </c>
      <c r="E20487" t="s">
        <v>309</v>
      </c>
      <c r="F20487" t="s">
        <v>310</v>
      </c>
      <c r="G20487">
        <v>7.94</v>
      </c>
      <c r="H20487">
        <v>250331</v>
      </c>
      <c r="I20487">
        <v>4369</v>
      </c>
      <c r="J20487" t="s">
        <v>188</v>
      </c>
      <c r="K20487">
        <v>65.510000000000005</v>
      </c>
      <c r="L20487">
        <v>0</v>
      </c>
      <c r="M20487">
        <v>11901</v>
      </c>
      <c r="N20487" t="s">
        <v>31</v>
      </c>
      <c r="O20487">
        <v>250417</v>
      </c>
      <c r="P20487">
        <v>7.94</v>
      </c>
    </row>
    <row r="20488" spans="1:16" x14ac:dyDescent="0.25">
      <c r="A20488" t="s">
        <v>3296</v>
      </c>
      <c r="B20488" t="s">
        <v>2931</v>
      </c>
      <c r="C20488">
        <v>5156</v>
      </c>
      <c r="D20488" t="str">
        <f t="shared" si="374"/>
        <v xml:space="preserve">12514021679 </v>
      </c>
      <c r="E20488" t="s">
        <v>309</v>
      </c>
      <c r="F20488" t="s">
        <v>310</v>
      </c>
      <c r="G20488">
        <v>14.03</v>
      </c>
      <c r="H20488">
        <v>250331</v>
      </c>
      <c r="I20488">
        <v>4369</v>
      </c>
      <c r="J20488" t="s">
        <v>188</v>
      </c>
      <c r="K20488">
        <v>65.510000000000005</v>
      </c>
      <c r="L20488">
        <v>2.85</v>
      </c>
      <c r="M20488">
        <v>11901</v>
      </c>
      <c r="N20488" t="s">
        <v>31</v>
      </c>
      <c r="O20488">
        <v>250417</v>
      </c>
      <c r="P20488">
        <v>11.18</v>
      </c>
    </row>
    <row r="20489" spans="1:16" x14ac:dyDescent="0.25">
      <c r="A20489" t="s">
        <v>3296</v>
      </c>
      <c r="B20489" t="s">
        <v>2931</v>
      </c>
      <c r="C20489">
        <v>5156</v>
      </c>
      <c r="D20489" t="str">
        <f t="shared" si="374"/>
        <v xml:space="preserve">12514021679 </v>
      </c>
      <c r="E20489" t="s">
        <v>309</v>
      </c>
      <c r="F20489" t="s">
        <v>310</v>
      </c>
      <c r="G20489">
        <v>3.39</v>
      </c>
      <c r="H20489">
        <v>250331</v>
      </c>
      <c r="I20489">
        <v>4369</v>
      </c>
      <c r="J20489" t="s">
        <v>188</v>
      </c>
      <c r="K20489">
        <v>65.510000000000005</v>
      </c>
      <c r="L20489">
        <v>0.69</v>
      </c>
      <c r="M20489">
        <v>11903</v>
      </c>
      <c r="N20489" t="s">
        <v>32</v>
      </c>
      <c r="O20489">
        <v>250417</v>
      </c>
      <c r="P20489">
        <v>2.7</v>
      </c>
    </row>
    <row r="20490" spans="1:16" x14ac:dyDescent="0.25">
      <c r="A20490" t="s">
        <v>3296</v>
      </c>
      <c r="B20490" t="s">
        <v>2931</v>
      </c>
      <c r="C20490">
        <v>5156</v>
      </c>
      <c r="D20490" t="str">
        <f t="shared" si="374"/>
        <v xml:space="preserve">12514021679 </v>
      </c>
      <c r="E20490" t="s">
        <v>309</v>
      </c>
      <c r="F20490" t="s">
        <v>310</v>
      </c>
      <c r="G20490">
        <v>3.39</v>
      </c>
      <c r="H20490">
        <v>250331</v>
      </c>
      <c r="I20490">
        <v>4369</v>
      </c>
      <c r="J20490" t="s">
        <v>188</v>
      </c>
      <c r="K20490">
        <v>65.510000000000005</v>
      </c>
      <c r="L20490">
        <v>0.69</v>
      </c>
      <c r="M20490">
        <v>11903</v>
      </c>
      <c r="N20490" t="s">
        <v>32</v>
      </c>
      <c r="O20490">
        <v>250417</v>
      </c>
      <c r="P20490">
        <v>2.7</v>
      </c>
    </row>
    <row r="20491" spans="1:16" x14ac:dyDescent="0.25">
      <c r="A20491" t="s">
        <v>3296</v>
      </c>
      <c r="B20491" t="s">
        <v>2931</v>
      </c>
      <c r="C20491">
        <v>5156</v>
      </c>
      <c r="D20491" t="str">
        <f t="shared" si="374"/>
        <v xml:space="preserve">12514021679 </v>
      </c>
      <c r="E20491" t="s">
        <v>309</v>
      </c>
      <c r="F20491" t="s">
        <v>310</v>
      </c>
      <c r="G20491">
        <v>11.86</v>
      </c>
      <c r="H20491">
        <v>250331</v>
      </c>
      <c r="I20491">
        <v>4369</v>
      </c>
      <c r="J20491" t="s">
        <v>188</v>
      </c>
      <c r="K20491">
        <v>65.510000000000005</v>
      </c>
      <c r="L20491">
        <v>2.41</v>
      </c>
      <c r="M20491">
        <v>11903</v>
      </c>
      <c r="N20491" t="s">
        <v>32</v>
      </c>
      <c r="O20491">
        <v>250417</v>
      </c>
      <c r="P20491">
        <v>9.4499999999999993</v>
      </c>
    </row>
    <row r="20492" spans="1:16" x14ac:dyDescent="0.25">
      <c r="A20492" t="s">
        <v>3296</v>
      </c>
      <c r="B20492" t="s">
        <v>2931</v>
      </c>
      <c r="C20492">
        <v>5156</v>
      </c>
      <c r="D20492" t="str">
        <f t="shared" si="374"/>
        <v xml:space="preserve">12514021679 </v>
      </c>
      <c r="E20492" t="s">
        <v>309</v>
      </c>
      <c r="F20492" t="s">
        <v>310</v>
      </c>
      <c r="G20492">
        <v>3.39</v>
      </c>
      <c r="H20492">
        <v>250331</v>
      </c>
      <c r="I20492">
        <v>4369</v>
      </c>
      <c r="J20492" t="s">
        <v>188</v>
      </c>
      <c r="K20492">
        <v>65.510000000000005</v>
      </c>
      <c r="L20492">
        <v>0.69</v>
      </c>
      <c r="M20492">
        <v>11903</v>
      </c>
      <c r="N20492" t="s">
        <v>32</v>
      </c>
      <c r="O20492">
        <v>250417</v>
      </c>
      <c r="P20492">
        <v>2.7</v>
      </c>
    </row>
    <row r="20493" spans="1:16" x14ac:dyDescent="0.25">
      <c r="A20493" t="s">
        <v>3296</v>
      </c>
      <c r="B20493" t="s">
        <v>2931</v>
      </c>
      <c r="C20493">
        <v>5156</v>
      </c>
      <c r="D20493" t="str">
        <f t="shared" si="374"/>
        <v xml:space="preserve">12514021679 </v>
      </c>
      <c r="E20493" t="s">
        <v>309</v>
      </c>
      <c r="F20493" t="s">
        <v>310</v>
      </c>
      <c r="G20493">
        <v>3.39</v>
      </c>
      <c r="H20493">
        <v>250331</v>
      </c>
      <c r="I20493">
        <v>4369</v>
      </c>
      <c r="J20493" t="s">
        <v>188</v>
      </c>
      <c r="K20493">
        <v>65.510000000000005</v>
      </c>
      <c r="L20493">
        <v>0.69</v>
      </c>
      <c r="M20493">
        <v>11905</v>
      </c>
      <c r="N20493" t="s">
        <v>643</v>
      </c>
      <c r="O20493">
        <v>250417</v>
      </c>
      <c r="P20493">
        <v>2.7</v>
      </c>
    </row>
    <row r="20494" spans="1:16" x14ac:dyDescent="0.25">
      <c r="A20494" t="s">
        <v>3296</v>
      </c>
      <c r="B20494" t="s">
        <v>2931</v>
      </c>
      <c r="C20494">
        <v>5156</v>
      </c>
      <c r="D20494" t="str">
        <f t="shared" si="374"/>
        <v xml:space="preserve">12514021679 </v>
      </c>
      <c r="E20494" t="s">
        <v>309</v>
      </c>
      <c r="F20494" t="s">
        <v>310</v>
      </c>
      <c r="G20494">
        <v>4.2300000000000004</v>
      </c>
      <c r="H20494">
        <v>250331</v>
      </c>
      <c r="I20494">
        <v>4369</v>
      </c>
      <c r="J20494" t="s">
        <v>188</v>
      </c>
      <c r="K20494">
        <v>65.510000000000005</v>
      </c>
      <c r="L20494">
        <v>0.86</v>
      </c>
      <c r="M20494">
        <v>12500</v>
      </c>
      <c r="N20494" t="s">
        <v>1502</v>
      </c>
      <c r="O20494">
        <v>250417</v>
      </c>
      <c r="P20494">
        <v>3.37</v>
      </c>
    </row>
    <row r="20495" spans="1:16" x14ac:dyDescent="0.25">
      <c r="A20495" t="s">
        <v>3296</v>
      </c>
      <c r="B20495" t="s">
        <v>2931</v>
      </c>
      <c r="C20495">
        <v>5158</v>
      </c>
      <c r="D20495" t="str">
        <f>"12514021702 "</f>
        <v xml:space="preserve">12514021702 </v>
      </c>
      <c r="E20495" t="s">
        <v>309</v>
      </c>
      <c r="F20495" t="s">
        <v>310</v>
      </c>
      <c r="G20495">
        <v>64.510000000000005</v>
      </c>
      <c r="H20495">
        <v>250331</v>
      </c>
      <c r="I20495">
        <v>4369</v>
      </c>
      <c r="J20495" t="s">
        <v>188</v>
      </c>
      <c r="K20495">
        <v>64.510000000000005</v>
      </c>
      <c r="L20495">
        <v>13.11</v>
      </c>
      <c r="M20495">
        <v>11801</v>
      </c>
      <c r="N20495" t="s">
        <v>40</v>
      </c>
      <c r="O20495">
        <v>250417</v>
      </c>
      <c r="P20495">
        <v>51.4</v>
      </c>
    </row>
    <row r="20496" spans="1:16" x14ac:dyDescent="0.25">
      <c r="A20496" t="s">
        <v>3296</v>
      </c>
      <c r="B20496" t="s">
        <v>2931</v>
      </c>
      <c r="C20496">
        <v>5170</v>
      </c>
      <c r="D20496" t="str">
        <f t="shared" ref="D20496:D20515" si="375">"12514021708 "</f>
        <v xml:space="preserve">12514021708 </v>
      </c>
      <c r="E20496" t="s">
        <v>309</v>
      </c>
      <c r="F20496" t="s">
        <v>310</v>
      </c>
      <c r="G20496">
        <v>20.6</v>
      </c>
      <c r="H20496">
        <v>250331</v>
      </c>
      <c r="I20496">
        <v>4369</v>
      </c>
      <c r="J20496" t="s">
        <v>188</v>
      </c>
      <c r="K20496">
        <v>264.35000000000002</v>
      </c>
      <c r="L20496">
        <v>4.1900000000000004</v>
      </c>
      <c r="M20496">
        <v>11601</v>
      </c>
      <c r="N20496" t="s">
        <v>12</v>
      </c>
      <c r="O20496">
        <v>250417</v>
      </c>
      <c r="P20496">
        <v>16.41</v>
      </c>
    </row>
    <row r="20497" spans="1:16" x14ac:dyDescent="0.25">
      <c r="A20497" t="s">
        <v>3296</v>
      </c>
      <c r="B20497" t="s">
        <v>2931</v>
      </c>
      <c r="C20497">
        <v>5170</v>
      </c>
      <c r="D20497" t="str">
        <f t="shared" si="375"/>
        <v xml:space="preserve">12514021708 </v>
      </c>
      <c r="E20497" t="s">
        <v>309</v>
      </c>
      <c r="F20497" t="s">
        <v>310</v>
      </c>
      <c r="G20497">
        <v>3.2</v>
      </c>
      <c r="H20497">
        <v>250331</v>
      </c>
      <c r="I20497">
        <v>4369</v>
      </c>
      <c r="J20497" t="s">
        <v>188</v>
      </c>
      <c r="K20497">
        <v>264.35000000000002</v>
      </c>
      <c r="L20497">
        <v>0.65</v>
      </c>
      <c r="M20497">
        <v>11603</v>
      </c>
      <c r="N20497" t="s">
        <v>897</v>
      </c>
      <c r="O20497">
        <v>250417</v>
      </c>
      <c r="P20497">
        <v>2.5499999999999998</v>
      </c>
    </row>
    <row r="20498" spans="1:16" x14ac:dyDescent="0.25">
      <c r="A20498" t="s">
        <v>3296</v>
      </c>
      <c r="B20498" t="s">
        <v>2931</v>
      </c>
      <c r="C20498">
        <v>5170</v>
      </c>
      <c r="D20498" t="str">
        <f t="shared" si="375"/>
        <v xml:space="preserve">12514021708 </v>
      </c>
      <c r="E20498" t="s">
        <v>309</v>
      </c>
      <c r="F20498" t="s">
        <v>310</v>
      </c>
      <c r="G20498">
        <v>17.64</v>
      </c>
      <c r="H20498">
        <v>250331</v>
      </c>
      <c r="I20498">
        <v>4369</v>
      </c>
      <c r="J20498" t="s">
        <v>188</v>
      </c>
      <c r="K20498">
        <v>264.35000000000002</v>
      </c>
      <c r="L20498">
        <v>3.58</v>
      </c>
      <c r="M20498">
        <v>14121</v>
      </c>
      <c r="N20498" t="s">
        <v>71</v>
      </c>
      <c r="O20498">
        <v>250417</v>
      </c>
      <c r="P20498">
        <v>14.06</v>
      </c>
    </row>
    <row r="20499" spans="1:16" x14ac:dyDescent="0.25">
      <c r="A20499" t="s">
        <v>3296</v>
      </c>
      <c r="B20499" t="s">
        <v>2931</v>
      </c>
      <c r="C20499">
        <v>5170</v>
      </c>
      <c r="D20499" t="str">
        <f t="shared" si="375"/>
        <v xml:space="preserve">12514021708 </v>
      </c>
      <c r="E20499" t="s">
        <v>309</v>
      </c>
      <c r="F20499" t="s">
        <v>310</v>
      </c>
      <c r="G20499">
        <v>23.76</v>
      </c>
      <c r="H20499">
        <v>250331</v>
      </c>
      <c r="I20499">
        <v>4369</v>
      </c>
      <c r="J20499" t="s">
        <v>188</v>
      </c>
      <c r="K20499">
        <v>264.35000000000002</v>
      </c>
      <c r="L20499">
        <v>4.83</v>
      </c>
      <c r="M20499">
        <v>14321</v>
      </c>
      <c r="N20499" t="s">
        <v>72</v>
      </c>
      <c r="O20499">
        <v>250417</v>
      </c>
      <c r="P20499">
        <v>18.93</v>
      </c>
    </row>
    <row r="20500" spans="1:16" x14ac:dyDescent="0.25">
      <c r="A20500" t="s">
        <v>3296</v>
      </c>
      <c r="B20500" t="s">
        <v>2931</v>
      </c>
      <c r="C20500">
        <v>5170</v>
      </c>
      <c r="D20500" t="str">
        <f t="shared" si="375"/>
        <v xml:space="preserve">12514021708 </v>
      </c>
      <c r="E20500" t="s">
        <v>309</v>
      </c>
      <c r="F20500" t="s">
        <v>310</v>
      </c>
      <c r="G20500">
        <v>20.55</v>
      </c>
      <c r="H20500">
        <v>250331</v>
      </c>
      <c r="I20500">
        <v>4369</v>
      </c>
      <c r="J20500" t="s">
        <v>188</v>
      </c>
      <c r="K20500">
        <v>264.35000000000002</v>
      </c>
      <c r="L20500">
        <v>4.18</v>
      </c>
      <c r="M20500">
        <v>14422</v>
      </c>
      <c r="N20500" t="s">
        <v>73</v>
      </c>
      <c r="O20500">
        <v>250417</v>
      </c>
      <c r="P20500">
        <v>16.37</v>
      </c>
    </row>
    <row r="20501" spans="1:16" x14ac:dyDescent="0.25">
      <c r="A20501" t="s">
        <v>3296</v>
      </c>
      <c r="B20501" t="s">
        <v>2931</v>
      </c>
      <c r="C20501">
        <v>5170</v>
      </c>
      <c r="D20501" t="str">
        <f t="shared" si="375"/>
        <v xml:space="preserve">12514021708 </v>
      </c>
      <c r="E20501" t="s">
        <v>309</v>
      </c>
      <c r="F20501" t="s">
        <v>310</v>
      </c>
      <c r="G20501">
        <v>10.16</v>
      </c>
      <c r="H20501">
        <v>250331</v>
      </c>
      <c r="I20501">
        <v>4369</v>
      </c>
      <c r="J20501" t="s">
        <v>188</v>
      </c>
      <c r="K20501">
        <v>264.35000000000002</v>
      </c>
      <c r="L20501">
        <v>2.06</v>
      </c>
      <c r="M20501">
        <v>14431</v>
      </c>
      <c r="N20501" t="s">
        <v>74</v>
      </c>
      <c r="O20501">
        <v>250417</v>
      </c>
      <c r="P20501">
        <v>8.1</v>
      </c>
    </row>
    <row r="20502" spans="1:16" x14ac:dyDescent="0.25">
      <c r="A20502" t="s">
        <v>3296</v>
      </c>
      <c r="B20502" t="s">
        <v>2931</v>
      </c>
      <c r="C20502">
        <v>5170</v>
      </c>
      <c r="D20502" t="str">
        <f t="shared" si="375"/>
        <v xml:space="preserve">12514021708 </v>
      </c>
      <c r="E20502" t="s">
        <v>309</v>
      </c>
      <c r="F20502" t="s">
        <v>310</v>
      </c>
      <c r="G20502">
        <v>13.36</v>
      </c>
      <c r="H20502">
        <v>250331</v>
      </c>
      <c r="I20502">
        <v>4369</v>
      </c>
      <c r="J20502" t="s">
        <v>188</v>
      </c>
      <c r="K20502">
        <v>264.35000000000002</v>
      </c>
      <c r="L20502">
        <v>2.71</v>
      </c>
      <c r="M20502">
        <v>14432</v>
      </c>
      <c r="N20502" t="s">
        <v>75</v>
      </c>
      <c r="O20502">
        <v>250417</v>
      </c>
      <c r="P20502">
        <v>10.65</v>
      </c>
    </row>
    <row r="20503" spans="1:16" x14ac:dyDescent="0.25">
      <c r="A20503" t="s">
        <v>3296</v>
      </c>
      <c r="B20503" t="s">
        <v>2931</v>
      </c>
      <c r="C20503">
        <v>5170</v>
      </c>
      <c r="D20503" t="str">
        <f t="shared" si="375"/>
        <v xml:space="preserve">12514021708 </v>
      </c>
      <c r="E20503" t="s">
        <v>309</v>
      </c>
      <c r="F20503" t="s">
        <v>310</v>
      </c>
      <c r="G20503">
        <v>7.22</v>
      </c>
      <c r="H20503">
        <v>250331</v>
      </c>
      <c r="I20503">
        <v>4369</v>
      </c>
      <c r="J20503" t="s">
        <v>188</v>
      </c>
      <c r="K20503">
        <v>264.35000000000002</v>
      </c>
      <c r="L20503">
        <v>1.47</v>
      </c>
      <c r="M20503">
        <v>14541</v>
      </c>
      <c r="N20503" t="s">
        <v>76</v>
      </c>
      <c r="O20503">
        <v>250417</v>
      </c>
      <c r="P20503">
        <v>5.75</v>
      </c>
    </row>
    <row r="20504" spans="1:16" x14ac:dyDescent="0.25">
      <c r="A20504" t="s">
        <v>3296</v>
      </c>
      <c r="B20504" t="s">
        <v>2931</v>
      </c>
      <c r="C20504">
        <v>5170</v>
      </c>
      <c r="D20504" t="str">
        <f t="shared" si="375"/>
        <v xml:space="preserve">12514021708 </v>
      </c>
      <c r="E20504" t="s">
        <v>309</v>
      </c>
      <c r="F20504" t="s">
        <v>310</v>
      </c>
      <c r="G20504">
        <v>49.86</v>
      </c>
      <c r="H20504">
        <v>250331</v>
      </c>
      <c r="I20504">
        <v>4369</v>
      </c>
      <c r="J20504" t="s">
        <v>188</v>
      </c>
      <c r="K20504">
        <v>264.35000000000002</v>
      </c>
      <c r="L20504">
        <v>10.130000000000001</v>
      </c>
      <c r="M20504">
        <v>14622</v>
      </c>
      <c r="N20504" t="s">
        <v>77</v>
      </c>
      <c r="O20504">
        <v>250417</v>
      </c>
      <c r="P20504">
        <v>39.729999999999997</v>
      </c>
    </row>
    <row r="20505" spans="1:16" x14ac:dyDescent="0.25">
      <c r="A20505" t="s">
        <v>3296</v>
      </c>
      <c r="B20505" t="s">
        <v>2931</v>
      </c>
      <c r="C20505">
        <v>5170</v>
      </c>
      <c r="D20505" t="str">
        <f t="shared" si="375"/>
        <v xml:space="preserve">12514021708 </v>
      </c>
      <c r="E20505" t="s">
        <v>309</v>
      </c>
      <c r="F20505" t="s">
        <v>310</v>
      </c>
      <c r="G20505">
        <v>6.85</v>
      </c>
      <c r="H20505">
        <v>250331</v>
      </c>
      <c r="I20505">
        <v>4369</v>
      </c>
      <c r="J20505" t="s">
        <v>188</v>
      </c>
      <c r="K20505">
        <v>264.35000000000002</v>
      </c>
      <c r="L20505">
        <v>1.39</v>
      </c>
      <c r="M20505">
        <v>14640</v>
      </c>
      <c r="N20505" t="s">
        <v>78</v>
      </c>
      <c r="O20505">
        <v>250417</v>
      </c>
      <c r="P20505">
        <v>5.46</v>
      </c>
    </row>
    <row r="20506" spans="1:16" x14ac:dyDescent="0.25">
      <c r="A20506" t="s">
        <v>3296</v>
      </c>
      <c r="B20506" t="s">
        <v>2931</v>
      </c>
      <c r="C20506">
        <v>5170</v>
      </c>
      <c r="D20506" t="str">
        <f t="shared" si="375"/>
        <v xml:space="preserve">12514021708 </v>
      </c>
      <c r="E20506" t="s">
        <v>309</v>
      </c>
      <c r="F20506" t="s">
        <v>310</v>
      </c>
      <c r="G20506">
        <v>3.39</v>
      </c>
      <c r="H20506">
        <v>250331</v>
      </c>
      <c r="I20506">
        <v>4369</v>
      </c>
      <c r="J20506" t="s">
        <v>188</v>
      </c>
      <c r="K20506">
        <v>264.35000000000002</v>
      </c>
      <c r="L20506">
        <v>0.69</v>
      </c>
      <c r="M20506">
        <v>14861</v>
      </c>
      <c r="N20506" t="s">
        <v>79</v>
      </c>
      <c r="O20506">
        <v>250417</v>
      </c>
      <c r="P20506">
        <v>2.7</v>
      </c>
    </row>
    <row r="20507" spans="1:16" x14ac:dyDescent="0.25">
      <c r="A20507" t="s">
        <v>3296</v>
      </c>
      <c r="B20507" t="s">
        <v>2931</v>
      </c>
      <c r="C20507">
        <v>5170</v>
      </c>
      <c r="D20507" t="str">
        <f t="shared" si="375"/>
        <v xml:space="preserve">12514021708 </v>
      </c>
      <c r="E20507" t="s">
        <v>309</v>
      </c>
      <c r="F20507" t="s">
        <v>310</v>
      </c>
      <c r="G20507">
        <v>7.02</v>
      </c>
      <c r="H20507">
        <v>250331</v>
      </c>
      <c r="I20507">
        <v>4369</v>
      </c>
      <c r="J20507" t="s">
        <v>188</v>
      </c>
      <c r="K20507">
        <v>264.35000000000002</v>
      </c>
      <c r="L20507">
        <v>1.43</v>
      </c>
      <c r="M20507">
        <v>14912</v>
      </c>
      <c r="N20507" t="s">
        <v>80</v>
      </c>
      <c r="O20507">
        <v>250417</v>
      </c>
      <c r="P20507">
        <v>5.59</v>
      </c>
    </row>
    <row r="20508" spans="1:16" x14ac:dyDescent="0.25">
      <c r="A20508" t="s">
        <v>3296</v>
      </c>
      <c r="B20508" t="s">
        <v>2931</v>
      </c>
      <c r="C20508">
        <v>5170</v>
      </c>
      <c r="D20508" t="str">
        <f t="shared" si="375"/>
        <v xml:space="preserve">12514021708 </v>
      </c>
      <c r="E20508" t="s">
        <v>309</v>
      </c>
      <c r="F20508" t="s">
        <v>310</v>
      </c>
      <c r="G20508">
        <v>3.58</v>
      </c>
      <c r="H20508">
        <v>250331</v>
      </c>
      <c r="I20508">
        <v>4369</v>
      </c>
      <c r="J20508" t="s">
        <v>188</v>
      </c>
      <c r="K20508">
        <v>264.35000000000002</v>
      </c>
      <c r="L20508">
        <v>0.73</v>
      </c>
      <c r="M20508">
        <v>14971</v>
      </c>
      <c r="N20508" t="s">
        <v>81</v>
      </c>
      <c r="O20508">
        <v>250417</v>
      </c>
      <c r="P20508">
        <v>2.85</v>
      </c>
    </row>
    <row r="20509" spans="1:16" x14ac:dyDescent="0.25">
      <c r="A20509" t="s">
        <v>3296</v>
      </c>
      <c r="B20509" t="s">
        <v>2931</v>
      </c>
      <c r="C20509">
        <v>5170</v>
      </c>
      <c r="D20509" t="str">
        <f t="shared" si="375"/>
        <v xml:space="preserve">12514021708 </v>
      </c>
      <c r="E20509" t="s">
        <v>309</v>
      </c>
      <c r="F20509" t="s">
        <v>310</v>
      </c>
      <c r="G20509">
        <v>6.77</v>
      </c>
      <c r="H20509">
        <v>250331</v>
      </c>
      <c r="I20509">
        <v>4369</v>
      </c>
      <c r="J20509" t="s">
        <v>188</v>
      </c>
      <c r="K20509">
        <v>264.35000000000002</v>
      </c>
      <c r="L20509">
        <v>1.38</v>
      </c>
      <c r="M20509">
        <v>14972</v>
      </c>
      <c r="N20509" t="s">
        <v>82</v>
      </c>
      <c r="O20509">
        <v>250417</v>
      </c>
      <c r="P20509">
        <v>5.39</v>
      </c>
    </row>
    <row r="20510" spans="1:16" x14ac:dyDescent="0.25">
      <c r="A20510" t="s">
        <v>3296</v>
      </c>
      <c r="B20510" t="s">
        <v>2931</v>
      </c>
      <c r="C20510">
        <v>5170</v>
      </c>
      <c r="D20510" t="str">
        <f t="shared" si="375"/>
        <v xml:space="preserve">12514021708 </v>
      </c>
      <c r="E20510" t="s">
        <v>309</v>
      </c>
      <c r="F20510" t="s">
        <v>310</v>
      </c>
      <c r="G20510">
        <v>25.58</v>
      </c>
      <c r="H20510">
        <v>250331</v>
      </c>
      <c r="I20510">
        <v>4369</v>
      </c>
      <c r="J20510" t="s">
        <v>188</v>
      </c>
      <c r="K20510">
        <v>264.35000000000002</v>
      </c>
      <c r="L20510">
        <v>5.2</v>
      </c>
      <c r="M20510">
        <v>14974</v>
      </c>
      <c r="N20510" t="s">
        <v>83</v>
      </c>
      <c r="O20510">
        <v>250417</v>
      </c>
      <c r="P20510">
        <v>20.38</v>
      </c>
    </row>
    <row r="20511" spans="1:16" x14ac:dyDescent="0.25">
      <c r="A20511" t="s">
        <v>3296</v>
      </c>
      <c r="B20511" t="s">
        <v>2931</v>
      </c>
      <c r="C20511">
        <v>5170</v>
      </c>
      <c r="D20511" t="str">
        <f t="shared" si="375"/>
        <v xml:space="preserve">12514021708 </v>
      </c>
      <c r="E20511" t="s">
        <v>309</v>
      </c>
      <c r="F20511" t="s">
        <v>310</v>
      </c>
      <c r="G20511">
        <v>16.940000000000001</v>
      </c>
      <c r="H20511">
        <v>250331</v>
      </c>
      <c r="I20511">
        <v>4369</v>
      </c>
      <c r="J20511" t="s">
        <v>188</v>
      </c>
      <c r="K20511">
        <v>264.35000000000002</v>
      </c>
      <c r="L20511">
        <v>3.44</v>
      </c>
      <c r="M20511">
        <v>14975</v>
      </c>
      <c r="N20511" t="s">
        <v>84</v>
      </c>
      <c r="O20511">
        <v>250417</v>
      </c>
      <c r="P20511">
        <v>13.5</v>
      </c>
    </row>
    <row r="20512" spans="1:16" x14ac:dyDescent="0.25">
      <c r="A20512" t="s">
        <v>3296</v>
      </c>
      <c r="B20512" t="s">
        <v>2931</v>
      </c>
      <c r="C20512">
        <v>5170</v>
      </c>
      <c r="D20512" t="str">
        <f t="shared" si="375"/>
        <v xml:space="preserve">12514021708 </v>
      </c>
      <c r="E20512" t="s">
        <v>309</v>
      </c>
      <c r="F20512" t="s">
        <v>310</v>
      </c>
      <c r="G20512">
        <v>4.51</v>
      </c>
      <c r="H20512">
        <v>250331</v>
      </c>
      <c r="I20512">
        <v>4369</v>
      </c>
      <c r="J20512" t="s">
        <v>188</v>
      </c>
      <c r="K20512">
        <v>264.35000000000002</v>
      </c>
      <c r="L20512">
        <v>0.92</v>
      </c>
      <c r="M20512">
        <v>14990</v>
      </c>
      <c r="N20512" t="s">
        <v>85</v>
      </c>
      <c r="O20512">
        <v>250417</v>
      </c>
      <c r="P20512">
        <v>3.59</v>
      </c>
    </row>
    <row r="20513" spans="1:16" x14ac:dyDescent="0.25">
      <c r="A20513" t="s">
        <v>3296</v>
      </c>
      <c r="B20513" t="s">
        <v>2931</v>
      </c>
      <c r="C20513">
        <v>5170</v>
      </c>
      <c r="D20513" t="str">
        <f t="shared" si="375"/>
        <v xml:space="preserve">12514021708 </v>
      </c>
      <c r="E20513" t="s">
        <v>309</v>
      </c>
      <c r="F20513" t="s">
        <v>310</v>
      </c>
      <c r="G20513">
        <v>3.39</v>
      </c>
      <c r="H20513">
        <v>250331</v>
      </c>
      <c r="I20513">
        <v>4369</v>
      </c>
      <c r="J20513" t="s">
        <v>188</v>
      </c>
      <c r="K20513">
        <v>264.35000000000002</v>
      </c>
      <c r="L20513">
        <v>0.69</v>
      </c>
      <c r="M20513">
        <v>14990</v>
      </c>
      <c r="N20513" t="s">
        <v>85</v>
      </c>
      <c r="O20513">
        <v>250417</v>
      </c>
      <c r="P20513">
        <v>2.7</v>
      </c>
    </row>
    <row r="20514" spans="1:16" x14ac:dyDescent="0.25">
      <c r="A20514" t="s">
        <v>3296</v>
      </c>
      <c r="B20514" t="s">
        <v>2931</v>
      </c>
      <c r="C20514">
        <v>5170</v>
      </c>
      <c r="D20514" t="str">
        <f t="shared" si="375"/>
        <v xml:space="preserve">12514021708 </v>
      </c>
      <c r="E20514" t="s">
        <v>309</v>
      </c>
      <c r="F20514" t="s">
        <v>310</v>
      </c>
      <c r="G20514">
        <v>6.42</v>
      </c>
      <c r="H20514">
        <v>250331</v>
      </c>
      <c r="I20514">
        <v>4369</v>
      </c>
      <c r="J20514" t="s">
        <v>188</v>
      </c>
      <c r="K20514">
        <v>264.35000000000002</v>
      </c>
      <c r="L20514">
        <v>1.3</v>
      </c>
      <c r="M20514">
        <v>18120</v>
      </c>
      <c r="N20514" t="s">
        <v>37</v>
      </c>
      <c r="O20514">
        <v>250417</v>
      </c>
      <c r="P20514">
        <v>5.12</v>
      </c>
    </row>
    <row r="20515" spans="1:16" x14ac:dyDescent="0.25">
      <c r="A20515" t="s">
        <v>3296</v>
      </c>
      <c r="B20515" t="s">
        <v>2931</v>
      </c>
      <c r="C20515">
        <v>5170</v>
      </c>
      <c r="D20515" t="str">
        <f t="shared" si="375"/>
        <v xml:space="preserve">12514021708 </v>
      </c>
      <c r="E20515" t="s">
        <v>309</v>
      </c>
      <c r="F20515" t="s">
        <v>310</v>
      </c>
      <c r="G20515">
        <v>13.55</v>
      </c>
      <c r="H20515">
        <v>250331</v>
      </c>
      <c r="I20515">
        <v>4369</v>
      </c>
      <c r="J20515" t="s">
        <v>188</v>
      </c>
      <c r="K20515">
        <v>264.35000000000002</v>
      </c>
      <c r="L20515">
        <v>2.75</v>
      </c>
      <c r="M20515">
        <v>18972</v>
      </c>
      <c r="N20515" t="s">
        <v>39</v>
      </c>
      <c r="O20515">
        <v>250417</v>
      </c>
      <c r="P20515">
        <v>10.8</v>
      </c>
    </row>
    <row r="20516" spans="1:16" x14ac:dyDescent="0.25">
      <c r="A20516" t="s">
        <v>3296</v>
      </c>
      <c r="B20516" t="s">
        <v>2931</v>
      </c>
      <c r="C20516">
        <v>6467</v>
      </c>
      <c r="D20516" t="str">
        <f t="shared" ref="D20516:D20521" si="376">"12519021701 "</f>
        <v xml:space="preserve">12519021701 </v>
      </c>
      <c r="E20516" t="s">
        <v>309</v>
      </c>
      <c r="F20516" t="s">
        <v>310</v>
      </c>
      <c r="G20516">
        <v>10.17</v>
      </c>
      <c r="H20516">
        <v>250430</v>
      </c>
      <c r="I20516">
        <v>4369</v>
      </c>
      <c r="J20516" t="s">
        <v>188</v>
      </c>
      <c r="K20516">
        <v>36.82</v>
      </c>
      <c r="L20516">
        <v>2.0699999999999998</v>
      </c>
      <c r="M20516">
        <v>43222</v>
      </c>
      <c r="N20516" t="s">
        <v>95</v>
      </c>
      <c r="O20516">
        <v>250513</v>
      </c>
      <c r="P20516">
        <v>8.1</v>
      </c>
    </row>
    <row r="20517" spans="1:16" x14ac:dyDescent="0.25">
      <c r="A20517" t="s">
        <v>3296</v>
      </c>
      <c r="B20517" t="s">
        <v>2931</v>
      </c>
      <c r="C20517">
        <v>6467</v>
      </c>
      <c r="D20517" t="str">
        <f t="shared" si="376"/>
        <v xml:space="preserve">12519021701 </v>
      </c>
      <c r="E20517" t="s">
        <v>309</v>
      </c>
      <c r="F20517" t="s">
        <v>310</v>
      </c>
      <c r="G20517">
        <v>3.97</v>
      </c>
      <c r="H20517">
        <v>250430</v>
      </c>
      <c r="I20517">
        <v>4369</v>
      </c>
      <c r="J20517" t="s">
        <v>188</v>
      </c>
      <c r="K20517">
        <v>36.82</v>
      </c>
      <c r="L20517">
        <v>0.81</v>
      </c>
      <c r="M20517">
        <v>44422</v>
      </c>
      <c r="N20517" t="s">
        <v>97</v>
      </c>
      <c r="O20517">
        <v>250513</v>
      </c>
      <c r="P20517">
        <v>3.16</v>
      </c>
    </row>
    <row r="20518" spans="1:16" x14ac:dyDescent="0.25">
      <c r="A20518" t="s">
        <v>3296</v>
      </c>
      <c r="B20518" t="s">
        <v>2931</v>
      </c>
      <c r="C20518">
        <v>6467</v>
      </c>
      <c r="D20518" t="str">
        <f t="shared" si="376"/>
        <v xml:space="preserve">12519021701 </v>
      </c>
      <c r="E20518" t="s">
        <v>309</v>
      </c>
      <c r="F20518" t="s">
        <v>310</v>
      </c>
      <c r="G20518">
        <v>6.81</v>
      </c>
      <c r="H20518">
        <v>250430</v>
      </c>
      <c r="I20518">
        <v>4369</v>
      </c>
      <c r="J20518" t="s">
        <v>188</v>
      </c>
      <c r="K20518">
        <v>36.82</v>
      </c>
      <c r="L20518">
        <v>1.38</v>
      </c>
      <c r="M20518">
        <v>44423</v>
      </c>
      <c r="N20518" t="s">
        <v>98</v>
      </c>
      <c r="O20518">
        <v>250513</v>
      </c>
      <c r="P20518">
        <v>5.43</v>
      </c>
    </row>
    <row r="20519" spans="1:16" x14ac:dyDescent="0.25">
      <c r="A20519" t="s">
        <v>3296</v>
      </c>
      <c r="B20519" t="s">
        <v>2931</v>
      </c>
      <c r="C20519">
        <v>6467</v>
      </c>
      <c r="D20519" t="str">
        <f t="shared" si="376"/>
        <v xml:space="preserve">12519021701 </v>
      </c>
      <c r="E20519" t="s">
        <v>309</v>
      </c>
      <c r="F20519" t="s">
        <v>310</v>
      </c>
      <c r="G20519">
        <v>3.39</v>
      </c>
      <c r="H20519">
        <v>250430</v>
      </c>
      <c r="I20519">
        <v>4369</v>
      </c>
      <c r="J20519" t="s">
        <v>188</v>
      </c>
      <c r="K20519">
        <v>36.82</v>
      </c>
      <c r="L20519">
        <v>0.69</v>
      </c>
      <c r="M20519">
        <v>44453</v>
      </c>
      <c r="N20519" t="s">
        <v>100</v>
      </c>
      <c r="O20519">
        <v>250513</v>
      </c>
      <c r="P20519">
        <v>2.7</v>
      </c>
    </row>
    <row r="20520" spans="1:16" x14ac:dyDescent="0.25">
      <c r="A20520" t="s">
        <v>3296</v>
      </c>
      <c r="B20520" t="s">
        <v>2931</v>
      </c>
      <c r="C20520">
        <v>6467</v>
      </c>
      <c r="D20520" t="str">
        <f t="shared" si="376"/>
        <v xml:space="preserve">12519021701 </v>
      </c>
      <c r="E20520" t="s">
        <v>309</v>
      </c>
      <c r="F20520" t="s">
        <v>310</v>
      </c>
      <c r="G20520">
        <v>3.39</v>
      </c>
      <c r="H20520">
        <v>250430</v>
      </c>
      <c r="I20520">
        <v>4369</v>
      </c>
      <c r="J20520" t="s">
        <v>188</v>
      </c>
      <c r="K20520">
        <v>36.82</v>
      </c>
      <c r="L20520">
        <v>0.69</v>
      </c>
      <c r="M20520">
        <v>48601</v>
      </c>
      <c r="N20520" t="s">
        <v>107</v>
      </c>
      <c r="O20520">
        <v>250513</v>
      </c>
      <c r="P20520">
        <v>2.7</v>
      </c>
    </row>
    <row r="20521" spans="1:16" x14ac:dyDescent="0.25">
      <c r="A20521" t="s">
        <v>3296</v>
      </c>
      <c r="B20521" t="s">
        <v>2931</v>
      </c>
      <c r="C20521">
        <v>6467</v>
      </c>
      <c r="D20521" t="str">
        <f t="shared" si="376"/>
        <v xml:space="preserve">12519021701 </v>
      </c>
      <c r="E20521" t="s">
        <v>309</v>
      </c>
      <c r="F20521" t="s">
        <v>310</v>
      </c>
      <c r="G20521">
        <v>9.09</v>
      </c>
      <c r="H20521">
        <v>250430</v>
      </c>
      <c r="I20521">
        <v>4369</v>
      </c>
      <c r="J20521" t="s">
        <v>188</v>
      </c>
      <c r="K20521">
        <v>36.82</v>
      </c>
      <c r="L20521">
        <v>0</v>
      </c>
      <c r="M20521">
        <v>49702</v>
      </c>
      <c r="N20521" t="s">
        <v>112</v>
      </c>
      <c r="O20521">
        <v>250513</v>
      </c>
      <c r="P20521">
        <v>9.09</v>
      </c>
    </row>
    <row r="20522" spans="1:16" x14ac:dyDescent="0.25">
      <c r="A20522" t="s">
        <v>3296</v>
      </c>
      <c r="B20522" t="s">
        <v>2931</v>
      </c>
      <c r="C20522">
        <v>6468</v>
      </c>
      <c r="D20522" t="str">
        <f>"12519021720 "</f>
        <v xml:space="preserve">12519021720 </v>
      </c>
      <c r="E20522" t="s">
        <v>309</v>
      </c>
      <c r="F20522" t="s">
        <v>310</v>
      </c>
      <c r="G20522">
        <v>6.78</v>
      </c>
      <c r="H20522">
        <v>250430</v>
      </c>
      <c r="I20522">
        <v>4369</v>
      </c>
      <c r="J20522" t="s">
        <v>188</v>
      </c>
      <c r="K20522">
        <v>6.78</v>
      </c>
      <c r="L20522">
        <v>1.38</v>
      </c>
      <c r="M20522">
        <v>46557</v>
      </c>
      <c r="N20522" t="s">
        <v>104</v>
      </c>
      <c r="O20522">
        <v>250513</v>
      </c>
      <c r="P20522">
        <v>5.4</v>
      </c>
    </row>
    <row r="20523" spans="1:16" x14ac:dyDescent="0.25">
      <c r="A20523" t="s">
        <v>3296</v>
      </c>
      <c r="B20523" t="s">
        <v>2931</v>
      </c>
      <c r="C20523">
        <v>6470</v>
      </c>
      <c r="D20523" t="str">
        <f>"12519021695 "</f>
        <v xml:space="preserve">12519021695 </v>
      </c>
      <c r="E20523" t="s">
        <v>309</v>
      </c>
      <c r="F20523" t="s">
        <v>310</v>
      </c>
      <c r="G20523">
        <v>27.25</v>
      </c>
      <c r="H20523">
        <v>250430</v>
      </c>
      <c r="I20523">
        <v>4369</v>
      </c>
      <c r="J20523" t="s">
        <v>188</v>
      </c>
      <c r="K20523">
        <v>27.25</v>
      </c>
      <c r="L20523">
        <v>5.54</v>
      </c>
      <c r="M20523">
        <v>49501</v>
      </c>
      <c r="N20523" t="s">
        <v>110</v>
      </c>
      <c r="O20523">
        <v>250513</v>
      </c>
      <c r="P20523">
        <v>21.71</v>
      </c>
    </row>
    <row r="20524" spans="1:16" x14ac:dyDescent="0.25">
      <c r="A20524" t="s">
        <v>3296</v>
      </c>
      <c r="B20524" t="s">
        <v>2931</v>
      </c>
      <c r="C20524">
        <v>6482</v>
      </c>
      <c r="D20524" t="str">
        <f>"12519021705 "</f>
        <v xml:space="preserve">12519021705 </v>
      </c>
      <c r="E20524" t="s">
        <v>309</v>
      </c>
      <c r="F20524" t="s">
        <v>310</v>
      </c>
      <c r="G20524">
        <v>13.55</v>
      </c>
      <c r="H20524">
        <v>250430</v>
      </c>
      <c r="I20524">
        <v>4369</v>
      </c>
      <c r="J20524" t="s">
        <v>188</v>
      </c>
      <c r="K20524">
        <v>51.34</v>
      </c>
      <c r="L20524">
        <v>2.75</v>
      </c>
      <c r="M20524">
        <v>46555</v>
      </c>
      <c r="N20524" t="s">
        <v>103</v>
      </c>
      <c r="O20524">
        <v>250513</v>
      </c>
      <c r="P20524">
        <v>10.8</v>
      </c>
    </row>
    <row r="20525" spans="1:16" x14ac:dyDescent="0.25">
      <c r="A20525" t="s">
        <v>3296</v>
      </c>
      <c r="B20525" t="s">
        <v>2931</v>
      </c>
      <c r="C20525">
        <v>6482</v>
      </c>
      <c r="D20525" t="str">
        <f>"12519021705 "</f>
        <v xml:space="preserve">12519021705 </v>
      </c>
      <c r="E20525" t="s">
        <v>309</v>
      </c>
      <c r="F20525" t="s">
        <v>310</v>
      </c>
      <c r="G20525">
        <v>37.79</v>
      </c>
      <c r="H20525">
        <v>250430</v>
      </c>
      <c r="I20525">
        <v>4369</v>
      </c>
      <c r="J20525" t="s">
        <v>188</v>
      </c>
      <c r="K20525">
        <v>51.34</v>
      </c>
      <c r="L20525">
        <v>7.68</v>
      </c>
      <c r="M20525">
        <v>48601</v>
      </c>
      <c r="N20525" t="s">
        <v>107</v>
      </c>
      <c r="O20525">
        <v>250513</v>
      </c>
      <c r="P20525">
        <v>30.11</v>
      </c>
    </row>
    <row r="20526" spans="1:16" x14ac:dyDescent="0.25">
      <c r="A20526" t="s">
        <v>3296</v>
      </c>
      <c r="B20526" t="s">
        <v>2931</v>
      </c>
      <c r="C20526">
        <v>6489</v>
      </c>
      <c r="D20526" t="str">
        <f>"12519021689 "</f>
        <v xml:space="preserve">12519021689 </v>
      </c>
      <c r="E20526" t="s">
        <v>309</v>
      </c>
      <c r="F20526" t="s">
        <v>310</v>
      </c>
      <c r="G20526">
        <v>10.69</v>
      </c>
      <c r="H20526">
        <v>250430</v>
      </c>
      <c r="I20526">
        <v>4369</v>
      </c>
      <c r="J20526" t="s">
        <v>188</v>
      </c>
      <c r="K20526">
        <v>42.19</v>
      </c>
      <c r="L20526">
        <v>0</v>
      </c>
      <c r="M20526">
        <v>59702</v>
      </c>
      <c r="N20526" t="s">
        <v>45</v>
      </c>
      <c r="O20526">
        <v>250513</v>
      </c>
      <c r="P20526">
        <v>10.69</v>
      </c>
    </row>
    <row r="20527" spans="1:16" x14ac:dyDescent="0.25">
      <c r="A20527" t="s">
        <v>3296</v>
      </c>
      <c r="B20527" t="s">
        <v>2931</v>
      </c>
      <c r="C20527">
        <v>6489</v>
      </c>
      <c r="D20527" t="str">
        <f>"12519021689 "</f>
        <v xml:space="preserve">12519021689 </v>
      </c>
      <c r="E20527" t="s">
        <v>309</v>
      </c>
      <c r="F20527" t="s">
        <v>310</v>
      </c>
      <c r="G20527">
        <v>17.27</v>
      </c>
      <c r="H20527">
        <v>250430</v>
      </c>
      <c r="I20527">
        <v>4369</v>
      </c>
      <c r="J20527" t="s">
        <v>188</v>
      </c>
      <c r="K20527">
        <v>42.19</v>
      </c>
      <c r="L20527">
        <v>3.51</v>
      </c>
      <c r="M20527">
        <v>59702</v>
      </c>
      <c r="N20527" t="s">
        <v>45</v>
      </c>
      <c r="O20527">
        <v>250513</v>
      </c>
      <c r="P20527">
        <v>13.76</v>
      </c>
    </row>
    <row r="20528" spans="1:16" x14ac:dyDescent="0.25">
      <c r="A20528" t="s">
        <v>3296</v>
      </c>
      <c r="B20528" t="s">
        <v>2931</v>
      </c>
      <c r="C20528">
        <v>6489</v>
      </c>
      <c r="D20528" t="str">
        <f>"12519021689 "</f>
        <v xml:space="preserve">12519021689 </v>
      </c>
      <c r="E20528" t="s">
        <v>309</v>
      </c>
      <c r="F20528" t="s">
        <v>310</v>
      </c>
      <c r="G20528">
        <v>14.23</v>
      </c>
      <c r="H20528">
        <v>250430</v>
      </c>
      <c r="I20528">
        <v>4369</v>
      </c>
      <c r="J20528" t="s">
        <v>188</v>
      </c>
      <c r="K20528">
        <v>42.19</v>
      </c>
      <c r="L20528">
        <v>2.89</v>
      </c>
      <c r="M20528">
        <v>59704</v>
      </c>
      <c r="N20528" t="s">
        <v>46</v>
      </c>
      <c r="O20528">
        <v>250513</v>
      </c>
      <c r="P20528">
        <v>11.34</v>
      </c>
    </row>
    <row r="20529" spans="1:16" x14ac:dyDescent="0.25">
      <c r="A20529" t="s">
        <v>3296</v>
      </c>
      <c r="B20529" t="s">
        <v>2931</v>
      </c>
      <c r="C20529">
        <v>6492</v>
      </c>
      <c r="D20529" t="str">
        <f>"12519021704 "</f>
        <v xml:space="preserve">12519021704 </v>
      </c>
      <c r="E20529" t="s">
        <v>309</v>
      </c>
      <c r="F20529" t="s">
        <v>310</v>
      </c>
      <c r="G20529">
        <v>7.1</v>
      </c>
      <c r="H20529">
        <v>250430</v>
      </c>
      <c r="I20529">
        <v>4369</v>
      </c>
      <c r="J20529" t="s">
        <v>188</v>
      </c>
      <c r="K20529">
        <v>7.1</v>
      </c>
      <c r="L20529">
        <v>1.44</v>
      </c>
      <c r="M20529">
        <v>49112</v>
      </c>
      <c r="N20529" t="s">
        <v>109</v>
      </c>
      <c r="O20529">
        <v>250513</v>
      </c>
      <c r="P20529">
        <v>5.66</v>
      </c>
    </row>
    <row r="20530" spans="1:16" x14ac:dyDescent="0.25">
      <c r="A20530" t="s">
        <v>3296</v>
      </c>
      <c r="B20530" t="s">
        <v>2931</v>
      </c>
      <c r="C20530">
        <v>6495</v>
      </c>
      <c r="D20530" t="str">
        <f t="shared" ref="D20530:D20537" si="377">"12519021684 "</f>
        <v xml:space="preserve">12519021684 </v>
      </c>
      <c r="E20530" t="s">
        <v>309</v>
      </c>
      <c r="F20530" t="s">
        <v>310</v>
      </c>
      <c r="G20530">
        <v>6.4</v>
      </c>
      <c r="H20530">
        <v>250430</v>
      </c>
      <c r="I20530">
        <v>4369</v>
      </c>
      <c r="J20530" t="s">
        <v>188</v>
      </c>
      <c r="K20530">
        <v>60.46</v>
      </c>
      <c r="L20530">
        <v>1.3</v>
      </c>
      <c r="M20530">
        <v>10002</v>
      </c>
      <c r="N20530" t="s">
        <v>513</v>
      </c>
      <c r="O20530">
        <v>250513</v>
      </c>
      <c r="P20530">
        <v>5.0999999999999996</v>
      </c>
    </row>
    <row r="20531" spans="1:16" x14ac:dyDescent="0.25">
      <c r="A20531" t="s">
        <v>3296</v>
      </c>
      <c r="B20531" t="s">
        <v>2931</v>
      </c>
      <c r="C20531">
        <v>6495</v>
      </c>
      <c r="D20531" t="str">
        <f t="shared" si="377"/>
        <v xml:space="preserve">12519021684 </v>
      </c>
      <c r="E20531" t="s">
        <v>309</v>
      </c>
      <c r="F20531" t="s">
        <v>310</v>
      </c>
      <c r="G20531">
        <v>6.4</v>
      </c>
      <c r="H20531">
        <v>250430</v>
      </c>
      <c r="I20531">
        <v>4369</v>
      </c>
      <c r="J20531" t="s">
        <v>188</v>
      </c>
      <c r="K20531">
        <v>60.46</v>
      </c>
      <c r="L20531">
        <v>1.3</v>
      </c>
      <c r="M20531">
        <v>11001</v>
      </c>
      <c r="N20531" t="s">
        <v>93</v>
      </c>
      <c r="O20531">
        <v>250513</v>
      </c>
      <c r="P20531">
        <v>5.0999999999999996</v>
      </c>
    </row>
    <row r="20532" spans="1:16" x14ac:dyDescent="0.25">
      <c r="A20532" t="s">
        <v>3296</v>
      </c>
      <c r="B20532" t="s">
        <v>2931</v>
      </c>
      <c r="C20532">
        <v>6495</v>
      </c>
      <c r="D20532" t="str">
        <f t="shared" si="377"/>
        <v xml:space="preserve">12519021684 </v>
      </c>
      <c r="E20532" t="s">
        <v>309</v>
      </c>
      <c r="F20532" t="s">
        <v>310</v>
      </c>
      <c r="G20532">
        <v>6.7</v>
      </c>
      <c r="H20532">
        <v>250430</v>
      </c>
      <c r="I20532">
        <v>4369</v>
      </c>
      <c r="J20532" t="s">
        <v>188</v>
      </c>
      <c r="K20532">
        <v>60.46</v>
      </c>
      <c r="L20532">
        <v>1.36</v>
      </c>
      <c r="M20532">
        <v>11001</v>
      </c>
      <c r="N20532" t="s">
        <v>93</v>
      </c>
      <c r="O20532">
        <v>250513</v>
      </c>
      <c r="P20532">
        <v>5.34</v>
      </c>
    </row>
    <row r="20533" spans="1:16" x14ac:dyDescent="0.25">
      <c r="A20533" t="s">
        <v>3296</v>
      </c>
      <c r="B20533" t="s">
        <v>2931</v>
      </c>
      <c r="C20533">
        <v>6495</v>
      </c>
      <c r="D20533" t="str">
        <f t="shared" si="377"/>
        <v xml:space="preserve">12519021684 </v>
      </c>
      <c r="E20533" t="s">
        <v>309</v>
      </c>
      <c r="F20533" t="s">
        <v>310</v>
      </c>
      <c r="G20533">
        <v>10.17</v>
      </c>
      <c r="H20533">
        <v>250430</v>
      </c>
      <c r="I20533">
        <v>4369</v>
      </c>
      <c r="J20533" t="s">
        <v>188</v>
      </c>
      <c r="K20533">
        <v>60.46</v>
      </c>
      <c r="L20533">
        <v>2.0699999999999998</v>
      </c>
      <c r="M20533">
        <v>11301</v>
      </c>
      <c r="N20533" t="s">
        <v>92</v>
      </c>
      <c r="O20533">
        <v>250513</v>
      </c>
      <c r="P20533">
        <v>8.1</v>
      </c>
    </row>
    <row r="20534" spans="1:16" x14ac:dyDescent="0.25">
      <c r="A20534" t="s">
        <v>3296</v>
      </c>
      <c r="B20534" t="s">
        <v>2931</v>
      </c>
      <c r="C20534">
        <v>6495</v>
      </c>
      <c r="D20534" t="str">
        <f t="shared" si="377"/>
        <v xml:space="preserve">12519021684 </v>
      </c>
      <c r="E20534" t="s">
        <v>309</v>
      </c>
      <c r="F20534" t="s">
        <v>310</v>
      </c>
      <c r="G20534">
        <v>4.38</v>
      </c>
      <c r="H20534">
        <v>250430</v>
      </c>
      <c r="I20534">
        <v>4369</v>
      </c>
      <c r="J20534" t="s">
        <v>188</v>
      </c>
      <c r="K20534">
        <v>60.46</v>
      </c>
      <c r="L20534">
        <v>0</v>
      </c>
      <c r="M20534">
        <v>11401</v>
      </c>
      <c r="N20534" t="s">
        <v>91</v>
      </c>
      <c r="O20534">
        <v>250513</v>
      </c>
      <c r="P20534">
        <v>4.38</v>
      </c>
    </row>
    <row r="20535" spans="1:16" x14ac:dyDescent="0.25">
      <c r="A20535" t="s">
        <v>3296</v>
      </c>
      <c r="B20535" t="s">
        <v>2931</v>
      </c>
      <c r="C20535">
        <v>6495</v>
      </c>
      <c r="D20535" t="str">
        <f t="shared" si="377"/>
        <v xml:space="preserve">12519021684 </v>
      </c>
      <c r="E20535" t="s">
        <v>309</v>
      </c>
      <c r="F20535" t="s">
        <v>310</v>
      </c>
      <c r="G20535">
        <v>9.85</v>
      </c>
      <c r="H20535">
        <v>250430</v>
      </c>
      <c r="I20535">
        <v>4369</v>
      </c>
      <c r="J20535" t="s">
        <v>188</v>
      </c>
      <c r="K20535">
        <v>60.46</v>
      </c>
      <c r="L20535">
        <v>2</v>
      </c>
      <c r="M20535">
        <v>11401</v>
      </c>
      <c r="N20535" t="s">
        <v>91</v>
      </c>
      <c r="O20535">
        <v>250513</v>
      </c>
      <c r="P20535">
        <v>7.85</v>
      </c>
    </row>
    <row r="20536" spans="1:16" x14ac:dyDescent="0.25">
      <c r="A20536" t="s">
        <v>3296</v>
      </c>
      <c r="B20536" t="s">
        <v>2931</v>
      </c>
      <c r="C20536">
        <v>6495</v>
      </c>
      <c r="D20536" t="str">
        <f t="shared" si="377"/>
        <v xml:space="preserve">12519021684 </v>
      </c>
      <c r="E20536" t="s">
        <v>309</v>
      </c>
      <c r="F20536" t="s">
        <v>310</v>
      </c>
      <c r="G20536">
        <v>6.78</v>
      </c>
      <c r="H20536">
        <v>250430</v>
      </c>
      <c r="I20536">
        <v>4369</v>
      </c>
      <c r="J20536" t="s">
        <v>188</v>
      </c>
      <c r="K20536">
        <v>60.46</v>
      </c>
      <c r="L20536">
        <v>1.38</v>
      </c>
      <c r="M20536">
        <v>11501</v>
      </c>
      <c r="N20536" t="s">
        <v>13</v>
      </c>
      <c r="O20536">
        <v>250513</v>
      </c>
      <c r="P20536">
        <v>5.4</v>
      </c>
    </row>
    <row r="20537" spans="1:16" x14ac:dyDescent="0.25">
      <c r="A20537" t="s">
        <v>3296</v>
      </c>
      <c r="B20537" t="s">
        <v>2931</v>
      </c>
      <c r="C20537">
        <v>6495</v>
      </c>
      <c r="D20537" t="str">
        <f t="shared" si="377"/>
        <v xml:space="preserve">12519021684 </v>
      </c>
      <c r="E20537" t="s">
        <v>309</v>
      </c>
      <c r="F20537" t="s">
        <v>310</v>
      </c>
      <c r="G20537">
        <v>9.7799999999999994</v>
      </c>
      <c r="H20537">
        <v>250430</v>
      </c>
      <c r="I20537">
        <v>4369</v>
      </c>
      <c r="J20537" t="s">
        <v>188</v>
      </c>
      <c r="K20537">
        <v>60.46</v>
      </c>
      <c r="L20537">
        <v>1.99</v>
      </c>
      <c r="M20537">
        <v>18972</v>
      </c>
      <c r="N20537" t="s">
        <v>39</v>
      </c>
      <c r="O20537">
        <v>250513</v>
      </c>
      <c r="P20537">
        <v>7.79</v>
      </c>
    </row>
    <row r="20538" spans="1:16" x14ac:dyDescent="0.25">
      <c r="A20538" t="s">
        <v>3296</v>
      </c>
      <c r="B20538" t="s">
        <v>2931</v>
      </c>
      <c r="C20538">
        <v>6505</v>
      </c>
      <c r="D20538" t="str">
        <f t="shared" ref="D20538:D20549" si="378">"12519021692 "</f>
        <v xml:space="preserve">12519021692 </v>
      </c>
      <c r="E20538" t="s">
        <v>309</v>
      </c>
      <c r="F20538" t="s">
        <v>310</v>
      </c>
      <c r="G20538">
        <v>3.39</v>
      </c>
      <c r="H20538">
        <v>250430</v>
      </c>
      <c r="I20538">
        <v>4369</v>
      </c>
      <c r="J20538" t="s">
        <v>188</v>
      </c>
      <c r="K20538">
        <v>58.6</v>
      </c>
      <c r="L20538">
        <v>0.69</v>
      </c>
      <c r="M20538">
        <v>11301</v>
      </c>
      <c r="N20538" t="s">
        <v>92</v>
      </c>
      <c r="O20538">
        <v>250513</v>
      </c>
      <c r="P20538">
        <v>2.7</v>
      </c>
    </row>
    <row r="20539" spans="1:16" x14ac:dyDescent="0.25">
      <c r="A20539" t="s">
        <v>3296</v>
      </c>
      <c r="B20539" t="s">
        <v>2931</v>
      </c>
      <c r="C20539">
        <v>6505</v>
      </c>
      <c r="D20539" t="str">
        <f t="shared" si="378"/>
        <v xml:space="preserve">12519021692 </v>
      </c>
      <c r="E20539" t="s">
        <v>309</v>
      </c>
      <c r="F20539" t="s">
        <v>310</v>
      </c>
      <c r="G20539">
        <v>6.59</v>
      </c>
      <c r="H20539">
        <v>250430</v>
      </c>
      <c r="I20539">
        <v>4369</v>
      </c>
      <c r="J20539" t="s">
        <v>188</v>
      </c>
      <c r="K20539">
        <v>58.6</v>
      </c>
      <c r="L20539">
        <v>1.34</v>
      </c>
      <c r="M20539">
        <v>11301</v>
      </c>
      <c r="N20539" t="s">
        <v>92</v>
      </c>
      <c r="O20539">
        <v>250513</v>
      </c>
      <c r="P20539">
        <v>5.25</v>
      </c>
    </row>
    <row r="20540" spans="1:16" x14ac:dyDescent="0.25">
      <c r="A20540" t="s">
        <v>3296</v>
      </c>
      <c r="B20540" t="s">
        <v>2931</v>
      </c>
      <c r="C20540">
        <v>6505</v>
      </c>
      <c r="D20540" t="str">
        <f t="shared" si="378"/>
        <v xml:space="preserve">12519021692 </v>
      </c>
      <c r="E20540" t="s">
        <v>309</v>
      </c>
      <c r="F20540" t="s">
        <v>310</v>
      </c>
      <c r="G20540">
        <v>2.3199999999999998</v>
      </c>
      <c r="H20540">
        <v>250430</v>
      </c>
      <c r="I20540">
        <v>4369</v>
      </c>
      <c r="J20540" t="s">
        <v>188</v>
      </c>
      <c r="K20540">
        <v>58.6</v>
      </c>
      <c r="L20540">
        <v>0.47</v>
      </c>
      <c r="M20540">
        <v>11900</v>
      </c>
      <c r="N20540" t="s">
        <v>30</v>
      </c>
      <c r="O20540">
        <v>250513</v>
      </c>
      <c r="P20540">
        <v>1.85</v>
      </c>
    </row>
    <row r="20541" spans="1:16" x14ac:dyDescent="0.25">
      <c r="A20541" t="s">
        <v>3296</v>
      </c>
      <c r="B20541" t="s">
        <v>2931</v>
      </c>
      <c r="C20541">
        <v>6505</v>
      </c>
      <c r="D20541" t="str">
        <f t="shared" si="378"/>
        <v xml:space="preserve">12519021692 </v>
      </c>
      <c r="E20541" t="s">
        <v>309</v>
      </c>
      <c r="F20541" t="s">
        <v>310</v>
      </c>
      <c r="G20541">
        <v>3.56</v>
      </c>
      <c r="H20541">
        <v>250430</v>
      </c>
      <c r="I20541">
        <v>4369</v>
      </c>
      <c r="J20541" t="s">
        <v>188</v>
      </c>
      <c r="K20541">
        <v>58.6</v>
      </c>
      <c r="L20541">
        <v>0.72</v>
      </c>
      <c r="M20541">
        <v>11900</v>
      </c>
      <c r="N20541" t="s">
        <v>30</v>
      </c>
      <c r="O20541">
        <v>250513</v>
      </c>
      <c r="P20541">
        <v>2.84</v>
      </c>
    </row>
    <row r="20542" spans="1:16" x14ac:dyDescent="0.25">
      <c r="A20542" t="s">
        <v>3296</v>
      </c>
      <c r="B20542" t="s">
        <v>2931</v>
      </c>
      <c r="C20542">
        <v>6505</v>
      </c>
      <c r="D20542" t="str">
        <f t="shared" si="378"/>
        <v xml:space="preserve">12519021692 </v>
      </c>
      <c r="E20542" t="s">
        <v>309</v>
      </c>
      <c r="F20542" t="s">
        <v>310</v>
      </c>
      <c r="G20542">
        <v>8.27</v>
      </c>
      <c r="H20542">
        <v>250430</v>
      </c>
      <c r="I20542">
        <v>4369</v>
      </c>
      <c r="J20542" t="s">
        <v>188</v>
      </c>
      <c r="K20542">
        <v>58.6</v>
      </c>
      <c r="L20542">
        <v>0</v>
      </c>
      <c r="M20542">
        <v>11901</v>
      </c>
      <c r="N20542" t="s">
        <v>31</v>
      </c>
      <c r="O20542">
        <v>250513</v>
      </c>
      <c r="P20542">
        <v>8.27</v>
      </c>
    </row>
    <row r="20543" spans="1:16" x14ac:dyDescent="0.25">
      <c r="A20543" t="s">
        <v>3296</v>
      </c>
      <c r="B20543" t="s">
        <v>2931</v>
      </c>
      <c r="C20543">
        <v>6505</v>
      </c>
      <c r="D20543" t="str">
        <f t="shared" si="378"/>
        <v xml:space="preserve">12519021692 </v>
      </c>
      <c r="E20543" t="s">
        <v>309</v>
      </c>
      <c r="F20543" t="s">
        <v>310</v>
      </c>
      <c r="G20543">
        <v>10.37</v>
      </c>
      <c r="H20543">
        <v>250430</v>
      </c>
      <c r="I20543">
        <v>4369</v>
      </c>
      <c r="J20543" t="s">
        <v>188</v>
      </c>
      <c r="K20543">
        <v>58.6</v>
      </c>
      <c r="L20543">
        <v>2.11</v>
      </c>
      <c r="M20543">
        <v>11901</v>
      </c>
      <c r="N20543" t="s">
        <v>31</v>
      </c>
      <c r="O20543">
        <v>250513</v>
      </c>
      <c r="P20543">
        <v>8.26</v>
      </c>
    </row>
    <row r="20544" spans="1:16" x14ac:dyDescent="0.25">
      <c r="A20544" t="s">
        <v>3296</v>
      </c>
      <c r="B20544" t="s">
        <v>2931</v>
      </c>
      <c r="C20544">
        <v>6505</v>
      </c>
      <c r="D20544" t="str">
        <f t="shared" si="378"/>
        <v xml:space="preserve">12519021692 </v>
      </c>
      <c r="E20544" t="s">
        <v>309</v>
      </c>
      <c r="F20544" t="s">
        <v>310</v>
      </c>
      <c r="G20544">
        <v>3.39</v>
      </c>
      <c r="H20544">
        <v>250430</v>
      </c>
      <c r="I20544">
        <v>4369</v>
      </c>
      <c r="J20544" t="s">
        <v>188</v>
      </c>
      <c r="K20544">
        <v>58.6</v>
      </c>
      <c r="L20544">
        <v>0.69</v>
      </c>
      <c r="M20544">
        <v>11903</v>
      </c>
      <c r="N20544" t="s">
        <v>32</v>
      </c>
      <c r="O20544">
        <v>250513</v>
      </c>
      <c r="P20544">
        <v>2.7</v>
      </c>
    </row>
    <row r="20545" spans="1:16" x14ac:dyDescent="0.25">
      <c r="A20545" t="s">
        <v>3296</v>
      </c>
      <c r="B20545" t="s">
        <v>2931</v>
      </c>
      <c r="C20545">
        <v>6505</v>
      </c>
      <c r="D20545" t="str">
        <f t="shared" si="378"/>
        <v xml:space="preserve">12519021692 </v>
      </c>
      <c r="E20545" t="s">
        <v>309</v>
      </c>
      <c r="F20545" t="s">
        <v>310</v>
      </c>
      <c r="G20545">
        <v>3.39</v>
      </c>
      <c r="H20545">
        <v>250430</v>
      </c>
      <c r="I20545">
        <v>4369</v>
      </c>
      <c r="J20545" t="s">
        <v>188</v>
      </c>
      <c r="K20545">
        <v>58.6</v>
      </c>
      <c r="L20545">
        <v>0.69</v>
      </c>
      <c r="M20545">
        <v>11903</v>
      </c>
      <c r="N20545" t="s">
        <v>32</v>
      </c>
      <c r="O20545">
        <v>250513</v>
      </c>
      <c r="P20545">
        <v>2.7</v>
      </c>
    </row>
    <row r="20546" spans="1:16" x14ac:dyDescent="0.25">
      <c r="A20546" t="s">
        <v>3296</v>
      </c>
      <c r="B20546" t="s">
        <v>2931</v>
      </c>
      <c r="C20546">
        <v>6505</v>
      </c>
      <c r="D20546" t="str">
        <f t="shared" si="378"/>
        <v xml:space="preserve">12519021692 </v>
      </c>
      <c r="E20546" t="s">
        <v>309</v>
      </c>
      <c r="F20546" t="s">
        <v>310</v>
      </c>
      <c r="G20546">
        <v>6.84</v>
      </c>
      <c r="H20546">
        <v>250430</v>
      </c>
      <c r="I20546">
        <v>4369</v>
      </c>
      <c r="J20546" t="s">
        <v>188</v>
      </c>
      <c r="K20546">
        <v>58.6</v>
      </c>
      <c r="L20546">
        <v>1.39</v>
      </c>
      <c r="M20546">
        <v>11903</v>
      </c>
      <c r="N20546" t="s">
        <v>32</v>
      </c>
      <c r="O20546">
        <v>250513</v>
      </c>
      <c r="P20546">
        <v>5.45</v>
      </c>
    </row>
    <row r="20547" spans="1:16" x14ac:dyDescent="0.25">
      <c r="A20547" t="s">
        <v>3296</v>
      </c>
      <c r="B20547" t="s">
        <v>2931</v>
      </c>
      <c r="C20547">
        <v>6505</v>
      </c>
      <c r="D20547" t="str">
        <f t="shared" si="378"/>
        <v xml:space="preserve">12519021692 </v>
      </c>
      <c r="E20547" t="s">
        <v>309</v>
      </c>
      <c r="F20547" t="s">
        <v>310</v>
      </c>
      <c r="G20547">
        <v>3.39</v>
      </c>
      <c r="H20547">
        <v>250430</v>
      </c>
      <c r="I20547">
        <v>4369</v>
      </c>
      <c r="J20547" t="s">
        <v>188</v>
      </c>
      <c r="K20547">
        <v>58.6</v>
      </c>
      <c r="L20547">
        <v>0.69</v>
      </c>
      <c r="M20547">
        <v>11903</v>
      </c>
      <c r="N20547" t="s">
        <v>32</v>
      </c>
      <c r="O20547">
        <v>250513</v>
      </c>
      <c r="P20547">
        <v>2.7</v>
      </c>
    </row>
    <row r="20548" spans="1:16" x14ac:dyDescent="0.25">
      <c r="A20548" t="s">
        <v>3296</v>
      </c>
      <c r="B20548" t="s">
        <v>2931</v>
      </c>
      <c r="C20548">
        <v>6505</v>
      </c>
      <c r="D20548" t="str">
        <f t="shared" si="378"/>
        <v xml:space="preserve">12519021692 </v>
      </c>
      <c r="E20548" t="s">
        <v>309</v>
      </c>
      <c r="F20548" t="s">
        <v>310</v>
      </c>
      <c r="G20548">
        <v>3.39</v>
      </c>
      <c r="H20548">
        <v>250430</v>
      </c>
      <c r="I20548">
        <v>4369</v>
      </c>
      <c r="J20548" t="s">
        <v>188</v>
      </c>
      <c r="K20548">
        <v>58.6</v>
      </c>
      <c r="L20548">
        <v>0.69</v>
      </c>
      <c r="M20548">
        <v>11905</v>
      </c>
      <c r="N20548" t="s">
        <v>643</v>
      </c>
      <c r="O20548">
        <v>250513</v>
      </c>
      <c r="P20548">
        <v>2.7</v>
      </c>
    </row>
    <row r="20549" spans="1:16" x14ac:dyDescent="0.25">
      <c r="A20549" t="s">
        <v>3296</v>
      </c>
      <c r="B20549" t="s">
        <v>2931</v>
      </c>
      <c r="C20549">
        <v>6505</v>
      </c>
      <c r="D20549" t="str">
        <f t="shared" si="378"/>
        <v xml:space="preserve">12519021692 </v>
      </c>
      <c r="E20549" t="s">
        <v>309</v>
      </c>
      <c r="F20549" t="s">
        <v>310</v>
      </c>
      <c r="G20549">
        <v>3.7</v>
      </c>
      <c r="H20549">
        <v>250430</v>
      </c>
      <c r="I20549">
        <v>4369</v>
      </c>
      <c r="J20549" t="s">
        <v>188</v>
      </c>
      <c r="K20549">
        <v>58.6</v>
      </c>
      <c r="L20549">
        <v>0.75</v>
      </c>
      <c r="M20549">
        <v>12500</v>
      </c>
      <c r="N20549" t="s">
        <v>1502</v>
      </c>
      <c r="O20549">
        <v>250513</v>
      </c>
      <c r="P20549">
        <v>2.95</v>
      </c>
    </row>
    <row r="20550" spans="1:16" x14ac:dyDescent="0.25">
      <c r="A20550" t="s">
        <v>3296</v>
      </c>
      <c r="B20550" t="s">
        <v>2931</v>
      </c>
      <c r="C20550">
        <v>6506</v>
      </c>
      <c r="D20550" t="str">
        <f t="shared" ref="D20550:D20555" si="379">"12519021708 "</f>
        <v xml:space="preserve">12519021708 </v>
      </c>
      <c r="E20550" t="s">
        <v>309</v>
      </c>
      <c r="F20550" t="s">
        <v>310</v>
      </c>
      <c r="G20550">
        <v>3.39</v>
      </c>
      <c r="H20550">
        <v>250430</v>
      </c>
      <c r="I20550">
        <v>4369</v>
      </c>
      <c r="J20550" t="s">
        <v>188</v>
      </c>
      <c r="K20550">
        <v>79.790000000000006</v>
      </c>
      <c r="L20550">
        <v>0.69</v>
      </c>
      <c r="M20550">
        <v>17132</v>
      </c>
      <c r="N20550" t="s">
        <v>174</v>
      </c>
      <c r="O20550">
        <v>250513</v>
      </c>
      <c r="P20550">
        <v>2.7</v>
      </c>
    </row>
    <row r="20551" spans="1:16" x14ac:dyDescent="0.25">
      <c r="A20551" t="s">
        <v>3296</v>
      </c>
      <c r="B20551" t="s">
        <v>2931</v>
      </c>
      <c r="C20551">
        <v>6506</v>
      </c>
      <c r="D20551" t="str">
        <f t="shared" si="379"/>
        <v xml:space="preserve">12519021708 </v>
      </c>
      <c r="E20551" t="s">
        <v>309</v>
      </c>
      <c r="F20551" t="s">
        <v>310</v>
      </c>
      <c r="G20551">
        <v>10.69</v>
      </c>
      <c r="H20551">
        <v>250430</v>
      </c>
      <c r="I20551">
        <v>4369</v>
      </c>
      <c r="J20551" t="s">
        <v>188</v>
      </c>
      <c r="K20551">
        <v>79.790000000000006</v>
      </c>
      <c r="L20551">
        <v>2.17</v>
      </c>
      <c r="M20551">
        <v>17913</v>
      </c>
      <c r="N20551" t="s">
        <v>26</v>
      </c>
      <c r="O20551">
        <v>250513</v>
      </c>
      <c r="P20551">
        <v>8.52</v>
      </c>
    </row>
    <row r="20552" spans="1:16" x14ac:dyDescent="0.25">
      <c r="A20552" t="s">
        <v>3296</v>
      </c>
      <c r="B20552" t="s">
        <v>2931</v>
      </c>
      <c r="C20552">
        <v>6506</v>
      </c>
      <c r="D20552" t="str">
        <f t="shared" si="379"/>
        <v xml:space="preserve">12519021708 </v>
      </c>
      <c r="E20552" t="s">
        <v>309</v>
      </c>
      <c r="F20552" t="s">
        <v>310</v>
      </c>
      <c r="G20552">
        <v>27.43</v>
      </c>
      <c r="H20552">
        <v>250430</v>
      </c>
      <c r="I20552">
        <v>4369</v>
      </c>
      <c r="J20552" t="s">
        <v>188</v>
      </c>
      <c r="K20552">
        <v>79.790000000000006</v>
      </c>
      <c r="L20552">
        <v>5.57</v>
      </c>
      <c r="M20552">
        <v>17951</v>
      </c>
      <c r="N20552" t="s">
        <v>207</v>
      </c>
      <c r="O20552">
        <v>250513</v>
      </c>
      <c r="P20552">
        <v>21.86</v>
      </c>
    </row>
    <row r="20553" spans="1:16" x14ac:dyDescent="0.25">
      <c r="A20553" t="s">
        <v>3296</v>
      </c>
      <c r="B20553" t="s">
        <v>2931</v>
      </c>
      <c r="C20553">
        <v>6506</v>
      </c>
      <c r="D20553" t="str">
        <f t="shared" si="379"/>
        <v xml:space="preserve">12519021708 </v>
      </c>
      <c r="E20553" t="s">
        <v>309</v>
      </c>
      <c r="F20553" t="s">
        <v>310</v>
      </c>
      <c r="G20553">
        <v>13.7</v>
      </c>
      <c r="H20553">
        <v>250430</v>
      </c>
      <c r="I20553">
        <v>4369</v>
      </c>
      <c r="J20553" t="s">
        <v>188</v>
      </c>
      <c r="K20553">
        <v>79.790000000000006</v>
      </c>
      <c r="L20553">
        <v>2.78</v>
      </c>
      <c r="M20553">
        <v>17971</v>
      </c>
      <c r="N20553" t="s">
        <v>27</v>
      </c>
      <c r="O20553">
        <v>250513</v>
      </c>
      <c r="P20553">
        <v>10.92</v>
      </c>
    </row>
    <row r="20554" spans="1:16" x14ac:dyDescent="0.25">
      <c r="A20554" t="s">
        <v>3296</v>
      </c>
      <c r="B20554" t="s">
        <v>2931</v>
      </c>
      <c r="C20554">
        <v>6506</v>
      </c>
      <c r="D20554" t="str">
        <f t="shared" si="379"/>
        <v xml:space="preserve">12519021708 </v>
      </c>
      <c r="E20554" t="s">
        <v>309</v>
      </c>
      <c r="F20554" t="s">
        <v>310</v>
      </c>
      <c r="G20554">
        <v>6.59</v>
      </c>
      <c r="H20554">
        <v>250430</v>
      </c>
      <c r="I20554">
        <v>4369</v>
      </c>
      <c r="J20554" t="s">
        <v>188</v>
      </c>
      <c r="K20554">
        <v>79.790000000000006</v>
      </c>
      <c r="L20554">
        <v>1.34</v>
      </c>
      <c r="M20554">
        <v>17974</v>
      </c>
      <c r="N20554" t="s">
        <v>153</v>
      </c>
      <c r="O20554">
        <v>250513</v>
      </c>
      <c r="P20554">
        <v>5.25</v>
      </c>
    </row>
    <row r="20555" spans="1:16" x14ac:dyDescent="0.25">
      <c r="A20555" t="s">
        <v>3296</v>
      </c>
      <c r="B20555" t="s">
        <v>2931</v>
      </c>
      <c r="C20555">
        <v>6506</v>
      </c>
      <c r="D20555" t="str">
        <f t="shared" si="379"/>
        <v xml:space="preserve">12519021708 </v>
      </c>
      <c r="E20555" t="s">
        <v>309</v>
      </c>
      <c r="F20555" t="s">
        <v>310</v>
      </c>
      <c r="G20555">
        <v>17.989999999999998</v>
      </c>
      <c r="H20555">
        <v>250430</v>
      </c>
      <c r="I20555">
        <v>4369</v>
      </c>
      <c r="J20555" t="s">
        <v>188</v>
      </c>
      <c r="K20555">
        <v>79.790000000000006</v>
      </c>
      <c r="L20555">
        <v>3.66</v>
      </c>
      <c r="M20555">
        <v>17975</v>
      </c>
      <c r="N20555" t="s">
        <v>29</v>
      </c>
      <c r="O20555">
        <v>250513</v>
      </c>
      <c r="P20555">
        <v>14.33</v>
      </c>
    </row>
    <row r="20556" spans="1:16" x14ac:dyDescent="0.25">
      <c r="A20556" t="s">
        <v>3296</v>
      </c>
      <c r="B20556" t="s">
        <v>2931</v>
      </c>
      <c r="C20556">
        <v>6507</v>
      </c>
      <c r="D20556" t="str">
        <f>"12519021697 "</f>
        <v xml:space="preserve">12519021697 </v>
      </c>
      <c r="E20556" t="s">
        <v>309</v>
      </c>
      <c r="F20556" t="s">
        <v>310</v>
      </c>
      <c r="G20556">
        <v>34.1</v>
      </c>
      <c r="H20556">
        <v>250430</v>
      </c>
      <c r="I20556">
        <v>4369</v>
      </c>
      <c r="J20556" t="s">
        <v>188</v>
      </c>
      <c r="K20556">
        <v>40.880000000000003</v>
      </c>
      <c r="L20556">
        <v>6.93</v>
      </c>
      <c r="M20556">
        <v>49701</v>
      </c>
      <c r="N20556" t="s">
        <v>111</v>
      </c>
      <c r="O20556">
        <v>250513</v>
      </c>
      <c r="P20556">
        <v>27.17</v>
      </c>
    </row>
    <row r="20557" spans="1:16" x14ac:dyDescent="0.25">
      <c r="A20557" t="s">
        <v>3296</v>
      </c>
      <c r="B20557" t="s">
        <v>2931</v>
      </c>
      <c r="C20557">
        <v>6507</v>
      </c>
      <c r="D20557" t="str">
        <f>"12519021697 "</f>
        <v xml:space="preserve">12519021697 </v>
      </c>
      <c r="E20557" t="s">
        <v>309</v>
      </c>
      <c r="F20557" t="s">
        <v>310</v>
      </c>
      <c r="G20557">
        <v>6.78</v>
      </c>
      <c r="H20557">
        <v>250430</v>
      </c>
      <c r="I20557">
        <v>4369</v>
      </c>
      <c r="J20557" t="s">
        <v>188</v>
      </c>
      <c r="K20557">
        <v>40.880000000000003</v>
      </c>
      <c r="L20557">
        <v>1.38</v>
      </c>
      <c r="M20557">
        <v>49702</v>
      </c>
      <c r="N20557" t="s">
        <v>112</v>
      </c>
      <c r="O20557">
        <v>250513</v>
      </c>
      <c r="P20557">
        <v>5.4</v>
      </c>
    </row>
    <row r="20558" spans="1:16" x14ac:dyDescent="0.25">
      <c r="A20558" t="s">
        <v>3296</v>
      </c>
      <c r="B20558" t="s">
        <v>2931</v>
      </c>
      <c r="C20558">
        <v>6508</v>
      </c>
      <c r="D20558" t="str">
        <f t="shared" ref="D20558:D20582" si="380">"12519021711 "</f>
        <v xml:space="preserve">12519021711 </v>
      </c>
      <c r="E20558" t="s">
        <v>309</v>
      </c>
      <c r="F20558" t="s">
        <v>310</v>
      </c>
      <c r="G20558">
        <v>9.98</v>
      </c>
      <c r="H20558">
        <v>250430</v>
      </c>
      <c r="I20558">
        <v>4369</v>
      </c>
      <c r="J20558" t="s">
        <v>188</v>
      </c>
      <c r="K20558">
        <v>205.95</v>
      </c>
      <c r="L20558">
        <v>2.0299999999999998</v>
      </c>
      <c r="M20558">
        <v>16930</v>
      </c>
      <c r="N20558" t="s">
        <v>135</v>
      </c>
      <c r="O20558">
        <v>250513</v>
      </c>
      <c r="P20558">
        <v>7.95</v>
      </c>
    </row>
    <row r="20559" spans="1:16" x14ac:dyDescent="0.25">
      <c r="A20559" t="s">
        <v>3296</v>
      </c>
      <c r="B20559" t="s">
        <v>2931</v>
      </c>
      <c r="C20559">
        <v>6508</v>
      </c>
      <c r="D20559" t="str">
        <f t="shared" si="380"/>
        <v xml:space="preserve">12519021711 </v>
      </c>
      <c r="E20559" t="s">
        <v>309</v>
      </c>
      <c r="F20559" t="s">
        <v>310</v>
      </c>
      <c r="G20559">
        <v>3.39</v>
      </c>
      <c r="H20559">
        <v>250430</v>
      </c>
      <c r="I20559">
        <v>4369</v>
      </c>
      <c r="J20559" t="s">
        <v>188</v>
      </c>
      <c r="K20559">
        <v>205.95</v>
      </c>
      <c r="L20559">
        <v>0.69</v>
      </c>
      <c r="M20559">
        <v>16951</v>
      </c>
      <c r="N20559" t="s">
        <v>488</v>
      </c>
      <c r="O20559">
        <v>250513</v>
      </c>
      <c r="P20559">
        <v>2.7</v>
      </c>
    </row>
    <row r="20560" spans="1:16" x14ac:dyDescent="0.25">
      <c r="A20560" t="s">
        <v>3296</v>
      </c>
      <c r="B20560" t="s">
        <v>2931</v>
      </c>
      <c r="C20560">
        <v>6508</v>
      </c>
      <c r="D20560" t="str">
        <f t="shared" si="380"/>
        <v xml:space="preserve">12519021711 </v>
      </c>
      <c r="E20560" t="s">
        <v>309</v>
      </c>
      <c r="F20560" t="s">
        <v>310</v>
      </c>
      <c r="G20560">
        <v>14.65</v>
      </c>
      <c r="H20560">
        <v>250430</v>
      </c>
      <c r="I20560">
        <v>4369</v>
      </c>
      <c r="J20560" t="s">
        <v>188</v>
      </c>
      <c r="K20560">
        <v>205.95</v>
      </c>
      <c r="L20560">
        <v>2.98</v>
      </c>
      <c r="M20560">
        <v>17521</v>
      </c>
      <c r="N20560" t="s">
        <v>136</v>
      </c>
      <c r="O20560">
        <v>250513</v>
      </c>
      <c r="P20560">
        <v>11.67</v>
      </c>
    </row>
    <row r="20561" spans="1:16" x14ac:dyDescent="0.25">
      <c r="A20561" t="s">
        <v>3296</v>
      </c>
      <c r="B20561" t="s">
        <v>2931</v>
      </c>
      <c r="C20561">
        <v>6508</v>
      </c>
      <c r="D20561" t="str">
        <f t="shared" si="380"/>
        <v xml:space="preserve">12519021711 </v>
      </c>
      <c r="E20561" t="s">
        <v>309</v>
      </c>
      <c r="F20561" t="s">
        <v>310</v>
      </c>
      <c r="G20561">
        <v>6.83</v>
      </c>
      <c r="H20561">
        <v>250430</v>
      </c>
      <c r="I20561">
        <v>4369</v>
      </c>
      <c r="J20561" t="s">
        <v>188</v>
      </c>
      <c r="K20561">
        <v>205.95</v>
      </c>
      <c r="L20561">
        <v>1.39</v>
      </c>
      <c r="M20561">
        <v>17522</v>
      </c>
      <c r="N20561" t="s">
        <v>137</v>
      </c>
      <c r="O20561">
        <v>250513</v>
      </c>
      <c r="P20561">
        <v>5.44</v>
      </c>
    </row>
    <row r="20562" spans="1:16" x14ac:dyDescent="0.25">
      <c r="A20562" t="s">
        <v>3296</v>
      </c>
      <c r="B20562" t="s">
        <v>2931</v>
      </c>
      <c r="C20562">
        <v>6508</v>
      </c>
      <c r="D20562" t="str">
        <f t="shared" si="380"/>
        <v xml:space="preserve">12519021711 </v>
      </c>
      <c r="E20562" t="s">
        <v>309</v>
      </c>
      <c r="F20562" t="s">
        <v>310</v>
      </c>
      <c r="G20562">
        <v>10.57</v>
      </c>
      <c r="H20562">
        <v>250430</v>
      </c>
      <c r="I20562">
        <v>4369</v>
      </c>
      <c r="J20562" t="s">
        <v>188</v>
      </c>
      <c r="K20562">
        <v>205.95</v>
      </c>
      <c r="L20562">
        <v>2.15</v>
      </c>
      <c r="M20562">
        <v>17523</v>
      </c>
      <c r="N20562" t="s">
        <v>138</v>
      </c>
      <c r="O20562">
        <v>250513</v>
      </c>
      <c r="P20562">
        <v>8.42</v>
      </c>
    </row>
    <row r="20563" spans="1:16" x14ac:dyDescent="0.25">
      <c r="A20563" t="s">
        <v>3296</v>
      </c>
      <c r="B20563" t="s">
        <v>2931</v>
      </c>
      <c r="C20563">
        <v>6508</v>
      </c>
      <c r="D20563" t="str">
        <f t="shared" si="380"/>
        <v xml:space="preserve">12519021711 </v>
      </c>
      <c r="E20563" t="s">
        <v>309</v>
      </c>
      <c r="F20563" t="s">
        <v>310</v>
      </c>
      <c r="G20563">
        <v>6.95</v>
      </c>
      <c r="H20563">
        <v>250430</v>
      </c>
      <c r="I20563">
        <v>4369</v>
      </c>
      <c r="J20563" t="s">
        <v>188</v>
      </c>
      <c r="K20563">
        <v>205.95</v>
      </c>
      <c r="L20563">
        <v>1.41</v>
      </c>
      <c r="M20563">
        <v>17524</v>
      </c>
      <c r="N20563" t="s">
        <v>139</v>
      </c>
      <c r="O20563">
        <v>250513</v>
      </c>
      <c r="P20563">
        <v>5.54</v>
      </c>
    </row>
    <row r="20564" spans="1:16" x14ac:dyDescent="0.25">
      <c r="A20564" t="s">
        <v>3296</v>
      </c>
      <c r="B20564" t="s">
        <v>2931</v>
      </c>
      <c r="C20564">
        <v>6508</v>
      </c>
      <c r="D20564" t="str">
        <f t="shared" si="380"/>
        <v xml:space="preserve">12519021711 </v>
      </c>
      <c r="E20564" t="s">
        <v>309</v>
      </c>
      <c r="F20564" t="s">
        <v>310</v>
      </c>
      <c r="G20564">
        <v>3.64</v>
      </c>
      <c r="H20564">
        <v>250430</v>
      </c>
      <c r="I20564">
        <v>4369</v>
      </c>
      <c r="J20564" t="s">
        <v>188</v>
      </c>
      <c r="K20564">
        <v>205.95</v>
      </c>
      <c r="L20564">
        <v>0.74</v>
      </c>
      <c r="M20564">
        <v>17525</v>
      </c>
      <c r="N20564" t="s">
        <v>140</v>
      </c>
      <c r="O20564">
        <v>250513</v>
      </c>
      <c r="P20564">
        <v>2.9</v>
      </c>
    </row>
    <row r="20565" spans="1:16" x14ac:dyDescent="0.25">
      <c r="A20565" t="s">
        <v>3296</v>
      </c>
      <c r="B20565" t="s">
        <v>2931</v>
      </c>
      <c r="C20565">
        <v>6508</v>
      </c>
      <c r="D20565" t="str">
        <f t="shared" si="380"/>
        <v xml:space="preserve">12519021711 </v>
      </c>
      <c r="E20565" t="s">
        <v>309</v>
      </c>
      <c r="F20565" t="s">
        <v>310</v>
      </c>
      <c r="G20565">
        <v>6.78</v>
      </c>
      <c r="H20565">
        <v>250430</v>
      </c>
      <c r="I20565">
        <v>4369</v>
      </c>
      <c r="J20565" t="s">
        <v>188</v>
      </c>
      <c r="K20565">
        <v>205.95</v>
      </c>
      <c r="L20565">
        <v>1.38</v>
      </c>
      <c r="M20565">
        <v>17526</v>
      </c>
      <c r="N20565" t="s">
        <v>141</v>
      </c>
      <c r="O20565">
        <v>250513</v>
      </c>
      <c r="P20565">
        <v>5.4</v>
      </c>
    </row>
    <row r="20566" spans="1:16" x14ac:dyDescent="0.25">
      <c r="A20566" t="s">
        <v>3296</v>
      </c>
      <c r="B20566" t="s">
        <v>2931</v>
      </c>
      <c r="C20566">
        <v>6508</v>
      </c>
      <c r="D20566" t="str">
        <f t="shared" si="380"/>
        <v xml:space="preserve">12519021711 </v>
      </c>
      <c r="E20566" t="s">
        <v>309</v>
      </c>
      <c r="F20566" t="s">
        <v>310</v>
      </c>
      <c r="G20566">
        <v>7</v>
      </c>
      <c r="H20566">
        <v>250430</v>
      </c>
      <c r="I20566">
        <v>4369</v>
      </c>
      <c r="J20566" t="s">
        <v>188</v>
      </c>
      <c r="K20566">
        <v>205.95</v>
      </c>
      <c r="L20566">
        <v>1.42</v>
      </c>
      <c r="M20566">
        <v>17527</v>
      </c>
      <c r="N20566" t="s">
        <v>142</v>
      </c>
      <c r="O20566">
        <v>250513</v>
      </c>
      <c r="P20566">
        <v>5.58</v>
      </c>
    </row>
    <row r="20567" spans="1:16" x14ac:dyDescent="0.25">
      <c r="A20567" t="s">
        <v>3296</v>
      </c>
      <c r="B20567" t="s">
        <v>2931</v>
      </c>
      <c r="C20567">
        <v>6508</v>
      </c>
      <c r="D20567" t="str">
        <f t="shared" si="380"/>
        <v xml:space="preserve">12519021711 </v>
      </c>
      <c r="E20567" t="s">
        <v>309</v>
      </c>
      <c r="F20567" t="s">
        <v>310</v>
      </c>
      <c r="G20567">
        <v>7.76</v>
      </c>
      <c r="H20567">
        <v>250430</v>
      </c>
      <c r="I20567">
        <v>4369</v>
      </c>
      <c r="J20567" t="s">
        <v>188</v>
      </c>
      <c r="K20567">
        <v>205.95</v>
      </c>
      <c r="L20567">
        <v>1.58</v>
      </c>
      <c r="M20567">
        <v>17529</v>
      </c>
      <c r="N20567" t="s">
        <v>143</v>
      </c>
      <c r="O20567">
        <v>250513</v>
      </c>
      <c r="P20567">
        <v>6.18</v>
      </c>
    </row>
    <row r="20568" spans="1:16" x14ac:dyDescent="0.25">
      <c r="A20568" t="s">
        <v>3296</v>
      </c>
      <c r="B20568" t="s">
        <v>2931</v>
      </c>
      <c r="C20568">
        <v>6508</v>
      </c>
      <c r="D20568" t="str">
        <f t="shared" si="380"/>
        <v xml:space="preserve">12519021711 </v>
      </c>
      <c r="E20568" t="s">
        <v>309</v>
      </c>
      <c r="F20568" t="s">
        <v>310</v>
      </c>
      <c r="G20568">
        <v>7.25</v>
      </c>
      <c r="H20568">
        <v>250430</v>
      </c>
      <c r="I20568">
        <v>4369</v>
      </c>
      <c r="J20568" t="s">
        <v>188</v>
      </c>
      <c r="K20568">
        <v>205.95</v>
      </c>
      <c r="L20568">
        <v>1.47</v>
      </c>
      <c r="M20568">
        <v>17530</v>
      </c>
      <c r="N20568" t="s">
        <v>144</v>
      </c>
      <c r="O20568">
        <v>250513</v>
      </c>
      <c r="P20568">
        <v>5.78</v>
      </c>
    </row>
    <row r="20569" spans="1:16" x14ac:dyDescent="0.25">
      <c r="A20569" t="s">
        <v>3296</v>
      </c>
      <c r="B20569" t="s">
        <v>2931</v>
      </c>
      <c r="C20569">
        <v>6508</v>
      </c>
      <c r="D20569" t="str">
        <f t="shared" si="380"/>
        <v xml:space="preserve">12519021711 </v>
      </c>
      <c r="E20569" t="s">
        <v>309</v>
      </c>
      <c r="F20569" t="s">
        <v>310</v>
      </c>
      <c r="G20569">
        <v>13.18</v>
      </c>
      <c r="H20569">
        <v>250430</v>
      </c>
      <c r="I20569">
        <v>4369</v>
      </c>
      <c r="J20569" t="s">
        <v>188</v>
      </c>
      <c r="K20569">
        <v>205.95</v>
      </c>
      <c r="L20569">
        <v>2.68</v>
      </c>
      <c r="M20569">
        <v>17531</v>
      </c>
      <c r="N20569" t="s">
        <v>145</v>
      </c>
      <c r="O20569">
        <v>250513</v>
      </c>
      <c r="P20569">
        <v>10.5</v>
      </c>
    </row>
    <row r="20570" spans="1:16" x14ac:dyDescent="0.25">
      <c r="A20570" t="s">
        <v>3296</v>
      </c>
      <c r="B20570" t="s">
        <v>2931</v>
      </c>
      <c r="C20570">
        <v>6508</v>
      </c>
      <c r="D20570" t="str">
        <f t="shared" si="380"/>
        <v xml:space="preserve">12519021711 </v>
      </c>
      <c r="E20570" t="s">
        <v>309</v>
      </c>
      <c r="F20570" t="s">
        <v>310</v>
      </c>
      <c r="G20570">
        <v>12.99</v>
      </c>
      <c r="H20570">
        <v>250430</v>
      </c>
      <c r="I20570">
        <v>4369</v>
      </c>
      <c r="J20570" t="s">
        <v>188</v>
      </c>
      <c r="K20570">
        <v>205.95</v>
      </c>
      <c r="L20570">
        <v>2.64</v>
      </c>
      <c r="M20570">
        <v>17532</v>
      </c>
      <c r="N20570" t="s">
        <v>146</v>
      </c>
      <c r="O20570">
        <v>250513</v>
      </c>
      <c r="P20570">
        <v>10.35</v>
      </c>
    </row>
    <row r="20571" spans="1:16" x14ac:dyDescent="0.25">
      <c r="A20571" t="s">
        <v>3296</v>
      </c>
      <c r="B20571" t="s">
        <v>2931</v>
      </c>
      <c r="C20571">
        <v>6508</v>
      </c>
      <c r="D20571" t="str">
        <f t="shared" si="380"/>
        <v xml:space="preserve">12519021711 </v>
      </c>
      <c r="E20571" t="s">
        <v>309</v>
      </c>
      <c r="F20571" t="s">
        <v>310</v>
      </c>
      <c r="G20571">
        <v>7</v>
      </c>
      <c r="H20571">
        <v>250430</v>
      </c>
      <c r="I20571">
        <v>4369</v>
      </c>
      <c r="J20571" t="s">
        <v>188</v>
      </c>
      <c r="K20571">
        <v>205.95</v>
      </c>
      <c r="L20571">
        <v>1.42</v>
      </c>
      <c r="M20571">
        <v>17533</v>
      </c>
      <c r="N20571" t="s">
        <v>147</v>
      </c>
      <c r="O20571">
        <v>250513</v>
      </c>
      <c r="P20571">
        <v>5.58</v>
      </c>
    </row>
    <row r="20572" spans="1:16" x14ac:dyDescent="0.25">
      <c r="A20572" t="s">
        <v>3296</v>
      </c>
      <c r="B20572" t="s">
        <v>2931</v>
      </c>
      <c r="C20572">
        <v>6508</v>
      </c>
      <c r="D20572" t="str">
        <f t="shared" si="380"/>
        <v xml:space="preserve">12519021711 </v>
      </c>
      <c r="E20572" t="s">
        <v>309</v>
      </c>
      <c r="F20572" t="s">
        <v>310</v>
      </c>
      <c r="G20572">
        <v>6.78</v>
      </c>
      <c r="H20572">
        <v>250430</v>
      </c>
      <c r="I20572">
        <v>4369</v>
      </c>
      <c r="J20572" t="s">
        <v>188</v>
      </c>
      <c r="K20572">
        <v>205.95</v>
      </c>
      <c r="L20572">
        <v>1.38</v>
      </c>
      <c r="M20572">
        <v>17534</v>
      </c>
      <c r="N20572" t="s">
        <v>148</v>
      </c>
      <c r="O20572">
        <v>250513</v>
      </c>
      <c r="P20572">
        <v>5.4</v>
      </c>
    </row>
    <row r="20573" spans="1:16" x14ac:dyDescent="0.25">
      <c r="A20573" t="s">
        <v>3296</v>
      </c>
      <c r="B20573" t="s">
        <v>2931</v>
      </c>
      <c r="C20573">
        <v>6508</v>
      </c>
      <c r="D20573" t="str">
        <f t="shared" si="380"/>
        <v xml:space="preserve">12519021711 </v>
      </c>
      <c r="E20573" t="s">
        <v>309</v>
      </c>
      <c r="F20573" t="s">
        <v>310</v>
      </c>
      <c r="G20573">
        <v>3.39</v>
      </c>
      <c r="H20573">
        <v>250430</v>
      </c>
      <c r="I20573">
        <v>4369</v>
      </c>
      <c r="J20573" t="s">
        <v>188</v>
      </c>
      <c r="K20573">
        <v>205.95</v>
      </c>
      <c r="L20573">
        <v>0.69</v>
      </c>
      <c r="M20573">
        <v>17535</v>
      </c>
      <c r="N20573" t="s">
        <v>149</v>
      </c>
      <c r="O20573">
        <v>250513</v>
      </c>
      <c r="P20573">
        <v>2.7</v>
      </c>
    </row>
    <row r="20574" spans="1:16" x14ac:dyDescent="0.25">
      <c r="A20574" t="s">
        <v>3296</v>
      </c>
      <c r="B20574" t="s">
        <v>2931</v>
      </c>
      <c r="C20574">
        <v>6508</v>
      </c>
      <c r="D20574" t="str">
        <f t="shared" si="380"/>
        <v xml:space="preserve">12519021711 </v>
      </c>
      <c r="E20574" t="s">
        <v>309</v>
      </c>
      <c r="F20574" t="s">
        <v>310</v>
      </c>
      <c r="G20574">
        <v>6.78</v>
      </c>
      <c r="H20574">
        <v>250430</v>
      </c>
      <c r="I20574">
        <v>4369</v>
      </c>
      <c r="J20574" t="s">
        <v>188</v>
      </c>
      <c r="K20574">
        <v>205.95</v>
      </c>
      <c r="L20574">
        <v>1.38</v>
      </c>
      <c r="M20574">
        <v>17536</v>
      </c>
      <c r="N20574" t="s">
        <v>150</v>
      </c>
      <c r="O20574">
        <v>250513</v>
      </c>
      <c r="P20574">
        <v>5.4</v>
      </c>
    </row>
    <row r="20575" spans="1:16" x14ac:dyDescent="0.25">
      <c r="A20575" t="s">
        <v>3296</v>
      </c>
      <c r="B20575" t="s">
        <v>2931</v>
      </c>
      <c r="C20575">
        <v>6508</v>
      </c>
      <c r="D20575" t="str">
        <f t="shared" si="380"/>
        <v xml:space="preserve">12519021711 </v>
      </c>
      <c r="E20575" t="s">
        <v>309</v>
      </c>
      <c r="F20575" t="s">
        <v>310</v>
      </c>
      <c r="G20575">
        <v>13.18</v>
      </c>
      <c r="H20575">
        <v>250430</v>
      </c>
      <c r="I20575">
        <v>4369</v>
      </c>
      <c r="J20575" t="s">
        <v>188</v>
      </c>
      <c r="K20575">
        <v>205.95</v>
      </c>
      <c r="L20575">
        <v>2.68</v>
      </c>
      <c r="M20575">
        <v>17537</v>
      </c>
      <c r="N20575" t="s">
        <v>151</v>
      </c>
      <c r="O20575">
        <v>250513</v>
      </c>
      <c r="P20575">
        <v>10.5</v>
      </c>
    </row>
    <row r="20576" spans="1:16" x14ac:dyDescent="0.25">
      <c r="A20576" t="s">
        <v>3296</v>
      </c>
      <c r="B20576" t="s">
        <v>2931</v>
      </c>
      <c r="C20576">
        <v>6508</v>
      </c>
      <c r="D20576" t="str">
        <f t="shared" si="380"/>
        <v xml:space="preserve">12519021711 </v>
      </c>
      <c r="E20576" t="s">
        <v>309</v>
      </c>
      <c r="F20576" t="s">
        <v>310</v>
      </c>
      <c r="G20576">
        <v>10.17</v>
      </c>
      <c r="H20576">
        <v>250430</v>
      </c>
      <c r="I20576">
        <v>4369</v>
      </c>
      <c r="J20576" t="s">
        <v>188</v>
      </c>
      <c r="K20576">
        <v>205.95</v>
      </c>
      <c r="L20576">
        <v>2.0699999999999998</v>
      </c>
      <c r="M20576">
        <v>17538</v>
      </c>
      <c r="N20576" t="s">
        <v>129</v>
      </c>
      <c r="O20576">
        <v>250513</v>
      </c>
      <c r="P20576">
        <v>8.1</v>
      </c>
    </row>
    <row r="20577" spans="1:16" x14ac:dyDescent="0.25">
      <c r="A20577" t="s">
        <v>3296</v>
      </c>
      <c r="B20577" t="s">
        <v>2931</v>
      </c>
      <c r="C20577">
        <v>6508</v>
      </c>
      <c r="D20577" t="str">
        <f t="shared" si="380"/>
        <v xml:space="preserve">12519021711 </v>
      </c>
      <c r="E20577" t="s">
        <v>309</v>
      </c>
      <c r="F20577" t="s">
        <v>310</v>
      </c>
      <c r="G20577">
        <v>13.78</v>
      </c>
      <c r="H20577">
        <v>250430</v>
      </c>
      <c r="I20577">
        <v>4369</v>
      </c>
      <c r="J20577" t="s">
        <v>188</v>
      </c>
      <c r="K20577">
        <v>205.95</v>
      </c>
      <c r="L20577">
        <v>2.8</v>
      </c>
      <c r="M20577">
        <v>17950</v>
      </c>
      <c r="N20577" t="s">
        <v>132</v>
      </c>
      <c r="O20577">
        <v>250513</v>
      </c>
      <c r="P20577">
        <v>10.98</v>
      </c>
    </row>
    <row r="20578" spans="1:16" x14ac:dyDescent="0.25">
      <c r="A20578" t="s">
        <v>3296</v>
      </c>
      <c r="B20578" t="s">
        <v>2931</v>
      </c>
      <c r="C20578">
        <v>6508</v>
      </c>
      <c r="D20578" t="str">
        <f t="shared" si="380"/>
        <v xml:space="preserve">12519021711 </v>
      </c>
      <c r="E20578" t="s">
        <v>309</v>
      </c>
      <c r="F20578" t="s">
        <v>310</v>
      </c>
      <c r="G20578">
        <v>3.39</v>
      </c>
      <c r="H20578">
        <v>250430</v>
      </c>
      <c r="I20578">
        <v>4369</v>
      </c>
      <c r="J20578" t="s">
        <v>188</v>
      </c>
      <c r="K20578">
        <v>205.95</v>
      </c>
      <c r="L20578">
        <v>0.69</v>
      </c>
      <c r="M20578">
        <v>17956</v>
      </c>
      <c r="N20578" t="s">
        <v>170</v>
      </c>
      <c r="O20578">
        <v>250513</v>
      </c>
      <c r="P20578">
        <v>2.7</v>
      </c>
    </row>
    <row r="20579" spans="1:16" x14ac:dyDescent="0.25">
      <c r="A20579" t="s">
        <v>3296</v>
      </c>
      <c r="B20579" t="s">
        <v>2931</v>
      </c>
      <c r="C20579">
        <v>6508</v>
      </c>
      <c r="D20579" t="str">
        <f t="shared" si="380"/>
        <v xml:space="preserve">12519021711 </v>
      </c>
      <c r="E20579" t="s">
        <v>309</v>
      </c>
      <c r="F20579" t="s">
        <v>310</v>
      </c>
      <c r="G20579">
        <v>16.95</v>
      </c>
      <c r="H20579">
        <v>250430</v>
      </c>
      <c r="I20579">
        <v>4369</v>
      </c>
      <c r="J20579" t="s">
        <v>188</v>
      </c>
      <c r="K20579">
        <v>205.95</v>
      </c>
      <c r="L20579">
        <v>3.44</v>
      </c>
      <c r="M20579">
        <v>17971</v>
      </c>
      <c r="N20579" t="s">
        <v>27</v>
      </c>
      <c r="O20579">
        <v>250513</v>
      </c>
      <c r="P20579">
        <v>13.51</v>
      </c>
    </row>
    <row r="20580" spans="1:16" x14ac:dyDescent="0.25">
      <c r="A20580" t="s">
        <v>3296</v>
      </c>
      <c r="B20580" t="s">
        <v>2931</v>
      </c>
      <c r="C20580">
        <v>6508</v>
      </c>
      <c r="D20580" t="str">
        <f t="shared" si="380"/>
        <v xml:space="preserve">12519021711 </v>
      </c>
      <c r="E20580" t="s">
        <v>309</v>
      </c>
      <c r="F20580" t="s">
        <v>310</v>
      </c>
      <c r="G20580">
        <v>3.39</v>
      </c>
      <c r="H20580">
        <v>250430</v>
      </c>
      <c r="I20580">
        <v>4369</v>
      </c>
      <c r="J20580" t="s">
        <v>188</v>
      </c>
      <c r="K20580">
        <v>205.95</v>
      </c>
      <c r="L20580">
        <v>0.69</v>
      </c>
      <c r="M20580">
        <v>17972</v>
      </c>
      <c r="N20580" t="s">
        <v>28</v>
      </c>
      <c r="O20580">
        <v>250513</v>
      </c>
      <c r="P20580">
        <v>2.7</v>
      </c>
    </row>
    <row r="20581" spans="1:16" x14ac:dyDescent="0.25">
      <c r="A20581" t="s">
        <v>3296</v>
      </c>
      <c r="B20581" t="s">
        <v>2931</v>
      </c>
      <c r="C20581">
        <v>6508</v>
      </c>
      <c r="D20581" t="str">
        <f t="shared" si="380"/>
        <v xml:space="preserve">12519021711 </v>
      </c>
      <c r="E20581" t="s">
        <v>309</v>
      </c>
      <c r="F20581" t="s">
        <v>310</v>
      </c>
      <c r="G20581">
        <v>3.39</v>
      </c>
      <c r="H20581">
        <v>250430</v>
      </c>
      <c r="I20581">
        <v>4369</v>
      </c>
      <c r="J20581" t="s">
        <v>188</v>
      </c>
      <c r="K20581">
        <v>205.95</v>
      </c>
      <c r="L20581">
        <v>0.69</v>
      </c>
      <c r="M20581">
        <v>17974</v>
      </c>
      <c r="N20581" t="s">
        <v>153</v>
      </c>
      <c r="O20581">
        <v>250513</v>
      </c>
      <c r="P20581">
        <v>2.7</v>
      </c>
    </row>
    <row r="20582" spans="1:16" x14ac:dyDescent="0.25">
      <c r="A20582" t="s">
        <v>3296</v>
      </c>
      <c r="B20582" t="s">
        <v>2931</v>
      </c>
      <c r="C20582">
        <v>6508</v>
      </c>
      <c r="D20582" t="str">
        <f t="shared" si="380"/>
        <v xml:space="preserve">12519021711 </v>
      </c>
      <c r="E20582" t="s">
        <v>309</v>
      </c>
      <c r="F20582" t="s">
        <v>310</v>
      </c>
      <c r="G20582">
        <v>6.78</v>
      </c>
      <c r="H20582">
        <v>250430</v>
      </c>
      <c r="I20582">
        <v>4369</v>
      </c>
      <c r="J20582" t="s">
        <v>188</v>
      </c>
      <c r="K20582">
        <v>205.95</v>
      </c>
      <c r="L20582">
        <v>1.38</v>
      </c>
      <c r="M20582">
        <v>17975</v>
      </c>
      <c r="N20582" t="s">
        <v>29</v>
      </c>
      <c r="O20582">
        <v>250513</v>
      </c>
      <c r="P20582">
        <v>5.4</v>
      </c>
    </row>
    <row r="20583" spans="1:16" x14ac:dyDescent="0.25">
      <c r="A20583" t="s">
        <v>3296</v>
      </c>
      <c r="B20583" t="s">
        <v>2931</v>
      </c>
      <c r="C20583">
        <v>6509</v>
      </c>
      <c r="D20583" t="str">
        <f>"12519021699 "</f>
        <v xml:space="preserve">12519021699 </v>
      </c>
      <c r="E20583" t="s">
        <v>309</v>
      </c>
      <c r="F20583" t="s">
        <v>310</v>
      </c>
      <c r="G20583">
        <v>17.71</v>
      </c>
      <c r="H20583">
        <v>250430</v>
      </c>
      <c r="I20583">
        <v>4369</v>
      </c>
      <c r="J20583" t="s">
        <v>188</v>
      </c>
      <c r="K20583">
        <v>32.880000000000003</v>
      </c>
      <c r="L20583">
        <v>3.6</v>
      </c>
      <c r="M20583">
        <v>46554</v>
      </c>
      <c r="N20583" t="s">
        <v>102</v>
      </c>
      <c r="O20583">
        <v>250513</v>
      </c>
      <c r="P20583">
        <v>14.11</v>
      </c>
    </row>
    <row r="20584" spans="1:16" x14ac:dyDescent="0.25">
      <c r="A20584" t="s">
        <v>3296</v>
      </c>
      <c r="B20584" t="s">
        <v>2931</v>
      </c>
      <c r="C20584">
        <v>6509</v>
      </c>
      <c r="D20584" t="str">
        <f>"12519021699 "</f>
        <v xml:space="preserve">12519021699 </v>
      </c>
      <c r="E20584" t="s">
        <v>309</v>
      </c>
      <c r="F20584" t="s">
        <v>310</v>
      </c>
      <c r="G20584">
        <v>15.17</v>
      </c>
      <c r="H20584">
        <v>250430</v>
      </c>
      <c r="I20584">
        <v>4369</v>
      </c>
      <c r="J20584" t="s">
        <v>188</v>
      </c>
      <c r="K20584">
        <v>32.880000000000003</v>
      </c>
      <c r="L20584">
        <v>3.08</v>
      </c>
      <c r="M20584">
        <v>46554</v>
      </c>
      <c r="N20584" t="s">
        <v>102</v>
      </c>
      <c r="O20584">
        <v>250513</v>
      </c>
      <c r="P20584">
        <v>12.09</v>
      </c>
    </row>
    <row r="20585" spans="1:16" x14ac:dyDescent="0.25">
      <c r="A20585" t="s">
        <v>3296</v>
      </c>
      <c r="B20585" t="s">
        <v>2931</v>
      </c>
      <c r="C20585">
        <v>6517</v>
      </c>
      <c r="D20585" t="str">
        <f t="shared" ref="D20585:D20593" si="381">"12519021686 "</f>
        <v xml:space="preserve">12519021686 </v>
      </c>
      <c r="E20585" t="s">
        <v>309</v>
      </c>
      <c r="F20585" t="s">
        <v>310</v>
      </c>
      <c r="G20585">
        <v>6.66</v>
      </c>
      <c r="H20585">
        <v>250430</v>
      </c>
      <c r="I20585">
        <v>4369</v>
      </c>
      <c r="J20585" t="s">
        <v>188</v>
      </c>
      <c r="K20585">
        <v>126.54</v>
      </c>
      <c r="L20585">
        <v>1.35</v>
      </c>
      <c r="M20585">
        <v>14971</v>
      </c>
      <c r="N20585" t="s">
        <v>81</v>
      </c>
      <c r="O20585">
        <v>250513</v>
      </c>
      <c r="P20585">
        <v>5.31</v>
      </c>
    </row>
    <row r="20586" spans="1:16" x14ac:dyDescent="0.25">
      <c r="A20586" t="s">
        <v>3296</v>
      </c>
      <c r="B20586" t="s">
        <v>2931</v>
      </c>
      <c r="C20586">
        <v>6517</v>
      </c>
      <c r="D20586" t="str">
        <f t="shared" si="381"/>
        <v xml:space="preserve">12519021686 </v>
      </c>
      <c r="E20586" t="s">
        <v>309</v>
      </c>
      <c r="F20586" t="s">
        <v>310</v>
      </c>
      <c r="G20586">
        <v>6.61</v>
      </c>
      <c r="H20586">
        <v>250430</v>
      </c>
      <c r="I20586">
        <v>4369</v>
      </c>
      <c r="J20586" t="s">
        <v>188</v>
      </c>
      <c r="K20586">
        <v>126.54</v>
      </c>
      <c r="L20586">
        <v>1.34</v>
      </c>
      <c r="M20586">
        <v>17972</v>
      </c>
      <c r="N20586" t="s">
        <v>28</v>
      </c>
      <c r="O20586">
        <v>250513</v>
      </c>
      <c r="P20586">
        <v>5.27</v>
      </c>
    </row>
    <row r="20587" spans="1:16" x14ac:dyDescent="0.25">
      <c r="A20587" t="s">
        <v>3296</v>
      </c>
      <c r="B20587" t="s">
        <v>2931</v>
      </c>
      <c r="C20587">
        <v>6517</v>
      </c>
      <c r="D20587" t="str">
        <f t="shared" si="381"/>
        <v xml:space="preserve">12519021686 </v>
      </c>
      <c r="E20587" t="s">
        <v>309</v>
      </c>
      <c r="F20587" t="s">
        <v>310</v>
      </c>
      <c r="G20587">
        <v>19.96</v>
      </c>
      <c r="H20587">
        <v>250430</v>
      </c>
      <c r="I20587">
        <v>4369</v>
      </c>
      <c r="J20587" t="s">
        <v>188</v>
      </c>
      <c r="K20587">
        <v>126.54</v>
      </c>
      <c r="L20587">
        <v>4.0599999999999996</v>
      </c>
      <c r="M20587">
        <v>18010</v>
      </c>
      <c r="N20587" t="s">
        <v>36</v>
      </c>
      <c r="O20587">
        <v>250513</v>
      </c>
      <c r="P20587">
        <v>15.9</v>
      </c>
    </row>
    <row r="20588" spans="1:16" x14ac:dyDescent="0.25">
      <c r="A20588" t="s">
        <v>3296</v>
      </c>
      <c r="B20588" t="s">
        <v>2931</v>
      </c>
      <c r="C20588">
        <v>6517</v>
      </c>
      <c r="D20588" t="str">
        <f t="shared" si="381"/>
        <v xml:space="preserve">12519021686 </v>
      </c>
      <c r="E20588" t="s">
        <v>309</v>
      </c>
      <c r="F20588" t="s">
        <v>310</v>
      </c>
      <c r="G20588">
        <v>3.39</v>
      </c>
      <c r="H20588">
        <v>250430</v>
      </c>
      <c r="I20588">
        <v>4369</v>
      </c>
      <c r="J20588" t="s">
        <v>188</v>
      </c>
      <c r="K20588">
        <v>126.54</v>
      </c>
      <c r="L20588">
        <v>0.69</v>
      </c>
      <c r="M20588">
        <v>18120</v>
      </c>
      <c r="N20588" t="s">
        <v>37</v>
      </c>
      <c r="O20588">
        <v>250513</v>
      </c>
      <c r="P20588">
        <v>2.7</v>
      </c>
    </row>
    <row r="20589" spans="1:16" x14ac:dyDescent="0.25">
      <c r="A20589" t="s">
        <v>3296</v>
      </c>
      <c r="B20589" t="s">
        <v>2931</v>
      </c>
      <c r="C20589">
        <v>6517</v>
      </c>
      <c r="D20589" t="str">
        <f t="shared" si="381"/>
        <v xml:space="preserve">12519021686 </v>
      </c>
      <c r="E20589" t="s">
        <v>309</v>
      </c>
      <c r="F20589" t="s">
        <v>310</v>
      </c>
      <c r="G20589">
        <v>35.369999999999997</v>
      </c>
      <c r="H20589">
        <v>250430</v>
      </c>
      <c r="I20589">
        <v>4369</v>
      </c>
      <c r="J20589" t="s">
        <v>188</v>
      </c>
      <c r="K20589">
        <v>126.54</v>
      </c>
      <c r="L20589">
        <v>7.19</v>
      </c>
      <c r="M20589">
        <v>18122</v>
      </c>
      <c r="N20589" t="s">
        <v>176</v>
      </c>
      <c r="O20589">
        <v>250513</v>
      </c>
      <c r="P20589">
        <v>28.18</v>
      </c>
    </row>
    <row r="20590" spans="1:16" x14ac:dyDescent="0.25">
      <c r="A20590" t="s">
        <v>3296</v>
      </c>
      <c r="B20590" t="s">
        <v>2931</v>
      </c>
      <c r="C20590">
        <v>6517</v>
      </c>
      <c r="D20590" t="str">
        <f t="shared" si="381"/>
        <v xml:space="preserve">12519021686 </v>
      </c>
      <c r="E20590" t="s">
        <v>309</v>
      </c>
      <c r="F20590" t="s">
        <v>310</v>
      </c>
      <c r="G20590">
        <v>6.4</v>
      </c>
      <c r="H20590">
        <v>250430</v>
      </c>
      <c r="I20590">
        <v>4369</v>
      </c>
      <c r="J20590" t="s">
        <v>188</v>
      </c>
      <c r="K20590">
        <v>126.54</v>
      </c>
      <c r="L20590">
        <v>1.3</v>
      </c>
      <c r="M20590">
        <v>18971</v>
      </c>
      <c r="N20590" t="s">
        <v>38</v>
      </c>
      <c r="O20590">
        <v>250513</v>
      </c>
      <c r="P20590">
        <v>5.0999999999999996</v>
      </c>
    </row>
    <row r="20591" spans="1:16" x14ac:dyDescent="0.25">
      <c r="A20591" t="s">
        <v>3296</v>
      </c>
      <c r="B20591" t="s">
        <v>2931</v>
      </c>
      <c r="C20591">
        <v>6517</v>
      </c>
      <c r="D20591" t="str">
        <f t="shared" si="381"/>
        <v xml:space="preserve">12519021686 </v>
      </c>
      <c r="E20591" t="s">
        <v>309</v>
      </c>
      <c r="F20591" t="s">
        <v>310</v>
      </c>
      <c r="G20591">
        <v>38.17</v>
      </c>
      <c r="H20591">
        <v>250430</v>
      </c>
      <c r="I20591">
        <v>4369</v>
      </c>
      <c r="J20591" t="s">
        <v>188</v>
      </c>
      <c r="K20591">
        <v>126.54</v>
      </c>
      <c r="L20591">
        <v>7.76</v>
      </c>
      <c r="M20591">
        <v>18972</v>
      </c>
      <c r="N20591" t="s">
        <v>39</v>
      </c>
      <c r="O20591">
        <v>250513</v>
      </c>
      <c r="P20591">
        <v>30.41</v>
      </c>
    </row>
    <row r="20592" spans="1:16" x14ac:dyDescent="0.25">
      <c r="A20592" t="s">
        <v>3296</v>
      </c>
      <c r="B20592" t="s">
        <v>2931</v>
      </c>
      <c r="C20592">
        <v>6517</v>
      </c>
      <c r="D20592" t="str">
        <f t="shared" si="381"/>
        <v xml:space="preserve">12519021686 </v>
      </c>
      <c r="E20592" t="s">
        <v>309</v>
      </c>
      <c r="F20592" t="s">
        <v>310</v>
      </c>
      <c r="G20592">
        <v>3.39</v>
      </c>
      <c r="H20592">
        <v>250430</v>
      </c>
      <c r="I20592">
        <v>4369</v>
      </c>
      <c r="J20592" t="s">
        <v>188</v>
      </c>
      <c r="K20592">
        <v>126.54</v>
      </c>
      <c r="L20592">
        <v>0.69</v>
      </c>
      <c r="M20592">
        <v>49702</v>
      </c>
      <c r="N20592" t="s">
        <v>112</v>
      </c>
      <c r="O20592">
        <v>250513</v>
      </c>
      <c r="P20592">
        <v>2.7</v>
      </c>
    </row>
    <row r="20593" spans="1:16" x14ac:dyDescent="0.25">
      <c r="A20593" t="s">
        <v>3296</v>
      </c>
      <c r="B20593" t="s">
        <v>2931</v>
      </c>
      <c r="C20593">
        <v>6517</v>
      </c>
      <c r="D20593" t="str">
        <f t="shared" si="381"/>
        <v xml:space="preserve">12519021686 </v>
      </c>
      <c r="E20593" t="s">
        <v>309</v>
      </c>
      <c r="F20593" t="s">
        <v>310</v>
      </c>
      <c r="G20593">
        <v>6.59</v>
      </c>
      <c r="H20593">
        <v>250430</v>
      </c>
      <c r="I20593">
        <v>4369</v>
      </c>
      <c r="J20593" t="s">
        <v>188</v>
      </c>
      <c r="K20593">
        <v>126.54</v>
      </c>
      <c r="L20593">
        <v>1.34</v>
      </c>
      <c r="M20593">
        <v>59702</v>
      </c>
      <c r="N20593" t="s">
        <v>45</v>
      </c>
      <c r="O20593">
        <v>250513</v>
      </c>
      <c r="P20593">
        <v>5.25</v>
      </c>
    </row>
    <row r="20594" spans="1:16" x14ac:dyDescent="0.25">
      <c r="A20594" t="s">
        <v>3296</v>
      </c>
      <c r="B20594" t="s">
        <v>2931</v>
      </c>
      <c r="C20594">
        <v>6518</v>
      </c>
      <c r="D20594" t="str">
        <f t="shared" ref="D20594:D20609" si="382">"12519021687 "</f>
        <v xml:space="preserve">12519021687 </v>
      </c>
      <c r="E20594" t="s">
        <v>309</v>
      </c>
      <c r="F20594" t="s">
        <v>310</v>
      </c>
      <c r="G20594">
        <v>3.7</v>
      </c>
      <c r="H20594">
        <v>250430</v>
      </c>
      <c r="I20594">
        <v>4369</v>
      </c>
      <c r="J20594" t="s">
        <v>188</v>
      </c>
      <c r="K20594">
        <v>242.53</v>
      </c>
      <c r="L20594">
        <v>0.75</v>
      </c>
      <c r="M20594">
        <v>54422</v>
      </c>
      <c r="N20594" t="s">
        <v>49</v>
      </c>
      <c r="O20594">
        <v>250513</v>
      </c>
      <c r="P20594">
        <v>2.95</v>
      </c>
    </row>
    <row r="20595" spans="1:16" x14ac:dyDescent="0.25">
      <c r="A20595" t="s">
        <v>3296</v>
      </c>
      <c r="B20595" t="s">
        <v>2931</v>
      </c>
      <c r="C20595">
        <v>6518</v>
      </c>
      <c r="D20595" t="str">
        <f t="shared" si="382"/>
        <v xml:space="preserve">12519021687 </v>
      </c>
      <c r="E20595" t="s">
        <v>309</v>
      </c>
      <c r="F20595" t="s">
        <v>310</v>
      </c>
      <c r="G20595">
        <v>3.39</v>
      </c>
      <c r="H20595">
        <v>250430</v>
      </c>
      <c r="I20595">
        <v>4369</v>
      </c>
      <c r="J20595" t="s">
        <v>188</v>
      </c>
      <c r="K20595">
        <v>242.53</v>
      </c>
      <c r="L20595">
        <v>0.69</v>
      </c>
      <c r="M20595">
        <v>54451</v>
      </c>
      <c r="N20595" t="s">
        <v>218</v>
      </c>
      <c r="O20595">
        <v>250513</v>
      </c>
      <c r="P20595">
        <v>2.7</v>
      </c>
    </row>
    <row r="20596" spans="1:16" x14ac:dyDescent="0.25">
      <c r="A20596" t="s">
        <v>3296</v>
      </c>
      <c r="B20596" t="s">
        <v>2931</v>
      </c>
      <c r="C20596">
        <v>6518</v>
      </c>
      <c r="D20596" t="str">
        <f t="shared" si="382"/>
        <v xml:space="preserve">12519021687 </v>
      </c>
      <c r="E20596" t="s">
        <v>309</v>
      </c>
      <c r="F20596" t="s">
        <v>310</v>
      </c>
      <c r="G20596">
        <v>13.18</v>
      </c>
      <c r="H20596">
        <v>250430</v>
      </c>
      <c r="I20596">
        <v>4369</v>
      </c>
      <c r="J20596" t="s">
        <v>188</v>
      </c>
      <c r="K20596">
        <v>242.53</v>
      </c>
      <c r="L20596">
        <v>2.68</v>
      </c>
      <c r="M20596">
        <v>59111</v>
      </c>
      <c r="N20596" t="s">
        <v>60</v>
      </c>
      <c r="O20596">
        <v>250513</v>
      </c>
      <c r="P20596">
        <v>10.5</v>
      </c>
    </row>
    <row r="20597" spans="1:16" x14ac:dyDescent="0.25">
      <c r="A20597" t="s">
        <v>3296</v>
      </c>
      <c r="B20597" t="s">
        <v>2931</v>
      </c>
      <c r="C20597">
        <v>6518</v>
      </c>
      <c r="D20597" t="str">
        <f t="shared" si="382"/>
        <v xml:space="preserve">12519021687 </v>
      </c>
      <c r="E20597" t="s">
        <v>309</v>
      </c>
      <c r="F20597" t="s">
        <v>310</v>
      </c>
      <c r="G20597">
        <v>10.54</v>
      </c>
      <c r="H20597">
        <v>250430</v>
      </c>
      <c r="I20597">
        <v>4369</v>
      </c>
      <c r="J20597" t="s">
        <v>188</v>
      </c>
      <c r="K20597">
        <v>242.53</v>
      </c>
      <c r="L20597">
        <v>2.14</v>
      </c>
      <c r="M20597">
        <v>59113</v>
      </c>
      <c r="N20597" t="s">
        <v>61</v>
      </c>
      <c r="O20597">
        <v>250513</v>
      </c>
      <c r="P20597">
        <v>8.4</v>
      </c>
    </row>
    <row r="20598" spans="1:16" x14ac:dyDescent="0.25">
      <c r="A20598" t="s">
        <v>3296</v>
      </c>
      <c r="B20598" t="s">
        <v>2931</v>
      </c>
      <c r="C20598">
        <v>6518</v>
      </c>
      <c r="D20598" t="str">
        <f t="shared" si="382"/>
        <v xml:space="preserve">12519021687 </v>
      </c>
      <c r="E20598" t="s">
        <v>309</v>
      </c>
      <c r="F20598" t="s">
        <v>310</v>
      </c>
      <c r="G20598">
        <v>3.39</v>
      </c>
      <c r="H20598">
        <v>250430</v>
      </c>
      <c r="I20598">
        <v>4369</v>
      </c>
      <c r="J20598" t="s">
        <v>188</v>
      </c>
      <c r="K20598">
        <v>242.53</v>
      </c>
      <c r="L20598">
        <v>0.69</v>
      </c>
      <c r="M20598">
        <v>59114</v>
      </c>
      <c r="N20598" t="s">
        <v>299</v>
      </c>
      <c r="O20598">
        <v>250513</v>
      </c>
      <c r="P20598">
        <v>2.7</v>
      </c>
    </row>
    <row r="20599" spans="1:16" x14ac:dyDescent="0.25">
      <c r="A20599" t="s">
        <v>3296</v>
      </c>
      <c r="B20599" t="s">
        <v>2931</v>
      </c>
      <c r="C20599">
        <v>6518</v>
      </c>
      <c r="D20599" t="str">
        <f t="shared" si="382"/>
        <v xml:space="preserve">12519021687 </v>
      </c>
      <c r="E20599" t="s">
        <v>309</v>
      </c>
      <c r="F20599" t="s">
        <v>310</v>
      </c>
      <c r="G20599">
        <v>63.04</v>
      </c>
      <c r="H20599">
        <v>250430</v>
      </c>
      <c r="I20599">
        <v>4369</v>
      </c>
      <c r="J20599" t="s">
        <v>188</v>
      </c>
      <c r="K20599">
        <v>242.53</v>
      </c>
      <c r="L20599">
        <v>12.81</v>
      </c>
      <c r="M20599">
        <v>59501</v>
      </c>
      <c r="N20599" t="s">
        <v>62</v>
      </c>
      <c r="O20599">
        <v>250513</v>
      </c>
      <c r="P20599">
        <v>50.23</v>
      </c>
    </row>
    <row r="20600" spans="1:16" x14ac:dyDescent="0.25">
      <c r="A20600" t="s">
        <v>3296</v>
      </c>
      <c r="B20600" t="s">
        <v>2931</v>
      </c>
      <c r="C20600">
        <v>6518</v>
      </c>
      <c r="D20600" t="str">
        <f t="shared" si="382"/>
        <v xml:space="preserve">12519021687 </v>
      </c>
      <c r="E20600" t="s">
        <v>309</v>
      </c>
      <c r="F20600" t="s">
        <v>310</v>
      </c>
      <c r="G20600">
        <v>40.03</v>
      </c>
      <c r="H20600">
        <v>250430</v>
      </c>
      <c r="I20600">
        <v>4369</v>
      </c>
      <c r="J20600" t="s">
        <v>188</v>
      </c>
      <c r="K20600">
        <v>242.53</v>
      </c>
      <c r="L20600">
        <v>8.1300000000000008</v>
      </c>
      <c r="M20600">
        <v>59502</v>
      </c>
      <c r="N20600" t="s">
        <v>63</v>
      </c>
      <c r="O20600">
        <v>250513</v>
      </c>
      <c r="P20600">
        <v>31.9</v>
      </c>
    </row>
    <row r="20601" spans="1:16" x14ac:dyDescent="0.25">
      <c r="A20601" t="s">
        <v>3296</v>
      </c>
      <c r="B20601" t="s">
        <v>2931</v>
      </c>
      <c r="C20601">
        <v>6518</v>
      </c>
      <c r="D20601" t="str">
        <f t="shared" si="382"/>
        <v xml:space="preserve">12519021687 </v>
      </c>
      <c r="E20601" t="s">
        <v>309</v>
      </c>
      <c r="F20601" t="s">
        <v>310</v>
      </c>
      <c r="G20601">
        <v>10.17</v>
      </c>
      <c r="H20601">
        <v>250430</v>
      </c>
      <c r="I20601">
        <v>4369</v>
      </c>
      <c r="J20601" t="s">
        <v>188</v>
      </c>
      <c r="K20601">
        <v>242.53</v>
      </c>
      <c r="L20601">
        <v>2.0699999999999998</v>
      </c>
      <c r="M20601">
        <v>59504</v>
      </c>
      <c r="N20601" t="s">
        <v>193</v>
      </c>
      <c r="O20601">
        <v>250513</v>
      </c>
      <c r="P20601">
        <v>8.1</v>
      </c>
    </row>
    <row r="20602" spans="1:16" x14ac:dyDescent="0.25">
      <c r="A20602" t="s">
        <v>3296</v>
      </c>
      <c r="B20602" t="s">
        <v>2931</v>
      </c>
      <c r="C20602">
        <v>6518</v>
      </c>
      <c r="D20602" t="str">
        <f t="shared" si="382"/>
        <v xml:space="preserve">12519021687 </v>
      </c>
      <c r="E20602" t="s">
        <v>309</v>
      </c>
      <c r="F20602" t="s">
        <v>310</v>
      </c>
      <c r="G20602">
        <v>6.78</v>
      </c>
      <c r="H20602">
        <v>250430</v>
      </c>
      <c r="I20602">
        <v>4369</v>
      </c>
      <c r="J20602" t="s">
        <v>188</v>
      </c>
      <c r="K20602">
        <v>242.53</v>
      </c>
      <c r="L20602">
        <v>1.38</v>
      </c>
      <c r="M20602">
        <v>59505</v>
      </c>
      <c r="N20602" t="s">
        <v>194</v>
      </c>
      <c r="O20602">
        <v>250513</v>
      </c>
      <c r="P20602">
        <v>5.4</v>
      </c>
    </row>
    <row r="20603" spans="1:16" x14ac:dyDescent="0.25">
      <c r="A20603" t="s">
        <v>3296</v>
      </c>
      <c r="B20603" t="s">
        <v>2931</v>
      </c>
      <c r="C20603">
        <v>6518</v>
      </c>
      <c r="D20603" t="str">
        <f t="shared" si="382"/>
        <v xml:space="preserve">12519021687 </v>
      </c>
      <c r="E20603" t="s">
        <v>309</v>
      </c>
      <c r="F20603" t="s">
        <v>310</v>
      </c>
      <c r="G20603">
        <v>13.64</v>
      </c>
      <c r="H20603">
        <v>250430</v>
      </c>
      <c r="I20603">
        <v>4369</v>
      </c>
      <c r="J20603" t="s">
        <v>188</v>
      </c>
      <c r="K20603">
        <v>242.53</v>
      </c>
      <c r="L20603">
        <v>2.77</v>
      </c>
      <c r="M20603">
        <v>59701</v>
      </c>
      <c r="N20603" t="s">
        <v>64</v>
      </c>
      <c r="O20603">
        <v>250513</v>
      </c>
      <c r="P20603">
        <v>10.87</v>
      </c>
    </row>
    <row r="20604" spans="1:16" x14ac:dyDescent="0.25">
      <c r="A20604" t="s">
        <v>3296</v>
      </c>
      <c r="B20604" t="s">
        <v>2931</v>
      </c>
      <c r="C20604">
        <v>6518</v>
      </c>
      <c r="D20604" t="str">
        <f t="shared" si="382"/>
        <v xml:space="preserve">12519021687 </v>
      </c>
      <c r="E20604" t="s">
        <v>309</v>
      </c>
      <c r="F20604" t="s">
        <v>310</v>
      </c>
      <c r="G20604">
        <v>6.81</v>
      </c>
      <c r="H20604">
        <v>250430</v>
      </c>
      <c r="I20604">
        <v>4369</v>
      </c>
      <c r="J20604" t="s">
        <v>188</v>
      </c>
      <c r="K20604">
        <v>242.53</v>
      </c>
      <c r="L20604">
        <v>1.38</v>
      </c>
      <c r="M20604">
        <v>59702</v>
      </c>
      <c r="N20604" t="s">
        <v>45</v>
      </c>
      <c r="O20604">
        <v>250513</v>
      </c>
      <c r="P20604">
        <v>5.43</v>
      </c>
    </row>
    <row r="20605" spans="1:16" x14ac:dyDescent="0.25">
      <c r="A20605" t="s">
        <v>3296</v>
      </c>
      <c r="B20605" t="s">
        <v>2931</v>
      </c>
      <c r="C20605">
        <v>6518</v>
      </c>
      <c r="D20605" t="str">
        <f t="shared" si="382"/>
        <v xml:space="preserve">12519021687 </v>
      </c>
      <c r="E20605" t="s">
        <v>309</v>
      </c>
      <c r="F20605" t="s">
        <v>310</v>
      </c>
      <c r="G20605">
        <v>6.59</v>
      </c>
      <c r="H20605">
        <v>250430</v>
      </c>
      <c r="I20605">
        <v>4369</v>
      </c>
      <c r="J20605" t="s">
        <v>188</v>
      </c>
      <c r="K20605">
        <v>242.53</v>
      </c>
      <c r="L20605">
        <v>1.34</v>
      </c>
      <c r="M20605">
        <v>59704</v>
      </c>
      <c r="N20605" t="s">
        <v>46</v>
      </c>
      <c r="O20605">
        <v>250513</v>
      </c>
      <c r="P20605">
        <v>5.25</v>
      </c>
    </row>
    <row r="20606" spans="1:16" x14ac:dyDescent="0.25">
      <c r="A20606" t="s">
        <v>3296</v>
      </c>
      <c r="B20606" t="s">
        <v>2931</v>
      </c>
      <c r="C20606">
        <v>6518</v>
      </c>
      <c r="D20606" t="str">
        <f t="shared" si="382"/>
        <v xml:space="preserve">12519021687 </v>
      </c>
      <c r="E20606" t="s">
        <v>309</v>
      </c>
      <c r="F20606" t="s">
        <v>310</v>
      </c>
      <c r="G20606">
        <v>3.39</v>
      </c>
      <c r="H20606">
        <v>250430</v>
      </c>
      <c r="I20606">
        <v>4369</v>
      </c>
      <c r="J20606" t="s">
        <v>188</v>
      </c>
      <c r="K20606">
        <v>242.53</v>
      </c>
      <c r="L20606">
        <v>0.69</v>
      </c>
      <c r="M20606">
        <v>59705</v>
      </c>
      <c r="N20606" t="s">
        <v>47</v>
      </c>
      <c r="O20606">
        <v>250513</v>
      </c>
      <c r="P20606">
        <v>2.7</v>
      </c>
    </row>
    <row r="20607" spans="1:16" x14ac:dyDescent="0.25">
      <c r="A20607" t="s">
        <v>3296</v>
      </c>
      <c r="B20607" t="s">
        <v>2931</v>
      </c>
      <c r="C20607">
        <v>6518</v>
      </c>
      <c r="D20607" t="str">
        <f t="shared" si="382"/>
        <v xml:space="preserve">12519021687 </v>
      </c>
      <c r="E20607" t="s">
        <v>309</v>
      </c>
      <c r="F20607" t="s">
        <v>310</v>
      </c>
      <c r="G20607">
        <v>18.79</v>
      </c>
      <c r="H20607">
        <v>250430</v>
      </c>
      <c r="I20607">
        <v>4369</v>
      </c>
      <c r="J20607" t="s">
        <v>188</v>
      </c>
      <c r="K20607">
        <v>242.53</v>
      </c>
      <c r="L20607">
        <v>3.82</v>
      </c>
      <c r="M20607">
        <v>59802</v>
      </c>
      <c r="N20607" t="s">
        <v>195</v>
      </c>
      <c r="O20607">
        <v>250513</v>
      </c>
      <c r="P20607">
        <v>14.97</v>
      </c>
    </row>
    <row r="20608" spans="1:16" x14ac:dyDescent="0.25">
      <c r="A20608" t="s">
        <v>3296</v>
      </c>
      <c r="B20608" t="s">
        <v>2931</v>
      </c>
      <c r="C20608">
        <v>6518</v>
      </c>
      <c r="D20608" t="str">
        <f t="shared" si="382"/>
        <v xml:space="preserve">12519021687 </v>
      </c>
      <c r="E20608" t="s">
        <v>309</v>
      </c>
      <c r="F20608" t="s">
        <v>310</v>
      </c>
      <c r="G20608">
        <v>19.98</v>
      </c>
      <c r="H20608">
        <v>250430</v>
      </c>
      <c r="I20608">
        <v>4369</v>
      </c>
      <c r="J20608" t="s">
        <v>188</v>
      </c>
      <c r="K20608">
        <v>242.53</v>
      </c>
      <c r="L20608">
        <v>4.0599999999999996</v>
      </c>
      <c r="M20608">
        <v>59812</v>
      </c>
      <c r="N20608" t="s">
        <v>196</v>
      </c>
      <c r="O20608">
        <v>250513</v>
      </c>
      <c r="P20608">
        <v>15.92</v>
      </c>
    </row>
    <row r="20609" spans="1:16" x14ac:dyDescent="0.25">
      <c r="A20609" t="s">
        <v>3296</v>
      </c>
      <c r="B20609" t="s">
        <v>2931</v>
      </c>
      <c r="C20609">
        <v>6518</v>
      </c>
      <c r="D20609" t="str">
        <f t="shared" si="382"/>
        <v xml:space="preserve">12519021687 </v>
      </c>
      <c r="E20609" t="s">
        <v>309</v>
      </c>
      <c r="F20609" t="s">
        <v>310</v>
      </c>
      <c r="G20609">
        <v>19.11</v>
      </c>
      <c r="H20609">
        <v>250430</v>
      </c>
      <c r="I20609">
        <v>4369</v>
      </c>
      <c r="J20609" t="s">
        <v>188</v>
      </c>
      <c r="K20609">
        <v>242.53</v>
      </c>
      <c r="L20609">
        <v>3.88</v>
      </c>
      <c r="M20609">
        <v>59815</v>
      </c>
      <c r="N20609" t="s">
        <v>1001</v>
      </c>
      <c r="O20609">
        <v>250513</v>
      </c>
      <c r="P20609">
        <v>15.23</v>
      </c>
    </row>
    <row r="20610" spans="1:16" x14ac:dyDescent="0.25">
      <c r="A20610" t="s">
        <v>3296</v>
      </c>
      <c r="B20610" t="s">
        <v>2931</v>
      </c>
      <c r="C20610">
        <v>6520</v>
      </c>
      <c r="D20610" t="str">
        <f t="shared" ref="D20610:D20619" si="383">"12519021709 "</f>
        <v xml:space="preserve">12519021709 </v>
      </c>
      <c r="E20610" t="s">
        <v>309</v>
      </c>
      <c r="F20610" t="s">
        <v>310</v>
      </c>
      <c r="G20610">
        <v>6.59</v>
      </c>
      <c r="H20610">
        <v>250430</v>
      </c>
      <c r="I20610">
        <v>4369</v>
      </c>
      <c r="J20610" t="s">
        <v>188</v>
      </c>
      <c r="K20610">
        <v>100.75</v>
      </c>
      <c r="L20610">
        <v>1.34</v>
      </c>
      <c r="M20610">
        <v>16321</v>
      </c>
      <c r="N20610" t="s">
        <v>16</v>
      </c>
      <c r="O20610">
        <v>250513</v>
      </c>
      <c r="P20610">
        <v>5.25</v>
      </c>
    </row>
    <row r="20611" spans="1:16" x14ac:dyDescent="0.25">
      <c r="A20611" t="s">
        <v>3296</v>
      </c>
      <c r="B20611" t="s">
        <v>2931</v>
      </c>
      <c r="C20611">
        <v>6520</v>
      </c>
      <c r="D20611" t="str">
        <f t="shared" si="383"/>
        <v xml:space="preserve">12519021709 </v>
      </c>
      <c r="E20611" t="s">
        <v>309</v>
      </c>
      <c r="F20611" t="s">
        <v>310</v>
      </c>
      <c r="G20611">
        <v>10.17</v>
      </c>
      <c r="H20611">
        <v>250430</v>
      </c>
      <c r="I20611">
        <v>4369</v>
      </c>
      <c r="J20611" t="s">
        <v>188</v>
      </c>
      <c r="K20611">
        <v>100.75</v>
      </c>
      <c r="L20611">
        <v>2.0699999999999998</v>
      </c>
      <c r="M20611">
        <v>16431</v>
      </c>
      <c r="N20611" t="s">
        <v>17</v>
      </c>
      <c r="O20611">
        <v>250513</v>
      </c>
      <c r="P20611">
        <v>8.1</v>
      </c>
    </row>
    <row r="20612" spans="1:16" x14ac:dyDescent="0.25">
      <c r="A20612" t="s">
        <v>3296</v>
      </c>
      <c r="B20612" t="s">
        <v>2931</v>
      </c>
      <c r="C20612">
        <v>6520</v>
      </c>
      <c r="D20612" t="str">
        <f t="shared" si="383"/>
        <v xml:space="preserve">12519021709 </v>
      </c>
      <c r="E20612" t="s">
        <v>309</v>
      </c>
      <c r="F20612" t="s">
        <v>310</v>
      </c>
      <c r="G20612">
        <v>16.77</v>
      </c>
      <c r="H20612">
        <v>250430</v>
      </c>
      <c r="I20612">
        <v>4369</v>
      </c>
      <c r="J20612" t="s">
        <v>188</v>
      </c>
      <c r="K20612">
        <v>100.75</v>
      </c>
      <c r="L20612">
        <v>3.41</v>
      </c>
      <c r="M20612">
        <v>17802</v>
      </c>
      <c r="N20612" t="s">
        <v>18</v>
      </c>
      <c r="O20612">
        <v>250513</v>
      </c>
      <c r="P20612">
        <v>13.36</v>
      </c>
    </row>
    <row r="20613" spans="1:16" x14ac:dyDescent="0.25">
      <c r="A20613" t="s">
        <v>3296</v>
      </c>
      <c r="B20613" t="s">
        <v>2931</v>
      </c>
      <c r="C20613">
        <v>6520</v>
      </c>
      <c r="D20613" t="str">
        <f t="shared" si="383"/>
        <v xml:space="preserve">12519021709 </v>
      </c>
      <c r="E20613" t="s">
        <v>309</v>
      </c>
      <c r="F20613" t="s">
        <v>310</v>
      </c>
      <c r="G20613">
        <v>10.1</v>
      </c>
      <c r="H20613">
        <v>250430</v>
      </c>
      <c r="I20613">
        <v>4369</v>
      </c>
      <c r="J20613" t="s">
        <v>188</v>
      </c>
      <c r="K20613">
        <v>100.75</v>
      </c>
      <c r="L20613">
        <v>2.0499999999999998</v>
      </c>
      <c r="M20613">
        <v>17803</v>
      </c>
      <c r="N20613" t="s">
        <v>19</v>
      </c>
      <c r="O20613">
        <v>250513</v>
      </c>
      <c r="P20613">
        <v>8.0500000000000007</v>
      </c>
    </row>
    <row r="20614" spans="1:16" x14ac:dyDescent="0.25">
      <c r="A20614" t="s">
        <v>3296</v>
      </c>
      <c r="B20614" t="s">
        <v>2931</v>
      </c>
      <c r="C20614">
        <v>6520</v>
      </c>
      <c r="D20614" t="str">
        <f t="shared" si="383"/>
        <v xml:space="preserve">12519021709 </v>
      </c>
      <c r="E20614" t="s">
        <v>309</v>
      </c>
      <c r="F20614" t="s">
        <v>310</v>
      </c>
      <c r="G20614">
        <v>3.39</v>
      </c>
      <c r="H20614">
        <v>250430</v>
      </c>
      <c r="I20614">
        <v>4369</v>
      </c>
      <c r="J20614" t="s">
        <v>188</v>
      </c>
      <c r="K20614">
        <v>100.75</v>
      </c>
      <c r="L20614">
        <v>0.69</v>
      </c>
      <c r="M20614">
        <v>17804</v>
      </c>
      <c r="N20614" t="s">
        <v>20</v>
      </c>
      <c r="O20614">
        <v>250513</v>
      </c>
      <c r="P20614">
        <v>2.7</v>
      </c>
    </row>
    <row r="20615" spans="1:16" x14ac:dyDescent="0.25">
      <c r="A20615" t="s">
        <v>3296</v>
      </c>
      <c r="B20615" t="s">
        <v>2931</v>
      </c>
      <c r="C20615">
        <v>6520</v>
      </c>
      <c r="D20615" t="str">
        <f t="shared" si="383"/>
        <v xml:space="preserve">12519021709 </v>
      </c>
      <c r="E20615" t="s">
        <v>309</v>
      </c>
      <c r="F20615" t="s">
        <v>310</v>
      </c>
      <c r="G20615">
        <v>3.39</v>
      </c>
      <c r="H20615">
        <v>250430</v>
      </c>
      <c r="I20615">
        <v>4369</v>
      </c>
      <c r="J20615" t="s">
        <v>188</v>
      </c>
      <c r="K20615">
        <v>100.75</v>
      </c>
      <c r="L20615">
        <v>0.69</v>
      </c>
      <c r="M20615">
        <v>17805</v>
      </c>
      <c r="N20615" t="s">
        <v>21</v>
      </c>
      <c r="O20615">
        <v>250513</v>
      </c>
      <c r="P20615">
        <v>2.7</v>
      </c>
    </row>
    <row r="20616" spans="1:16" x14ac:dyDescent="0.25">
      <c r="A20616" t="s">
        <v>3296</v>
      </c>
      <c r="B20616" t="s">
        <v>2931</v>
      </c>
      <c r="C20616">
        <v>6520</v>
      </c>
      <c r="D20616" t="str">
        <f t="shared" si="383"/>
        <v xml:space="preserve">12519021709 </v>
      </c>
      <c r="E20616" t="s">
        <v>309</v>
      </c>
      <c r="F20616" t="s">
        <v>310</v>
      </c>
      <c r="G20616">
        <v>6.78</v>
      </c>
      <c r="H20616">
        <v>250430</v>
      </c>
      <c r="I20616">
        <v>4369</v>
      </c>
      <c r="J20616" t="s">
        <v>188</v>
      </c>
      <c r="K20616">
        <v>100.75</v>
      </c>
      <c r="L20616">
        <v>1.38</v>
      </c>
      <c r="M20616">
        <v>17806</v>
      </c>
      <c r="N20616" t="s">
        <v>22</v>
      </c>
      <c r="O20616">
        <v>250513</v>
      </c>
      <c r="P20616">
        <v>5.4</v>
      </c>
    </row>
    <row r="20617" spans="1:16" x14ac:dyDescent="0.25">
      <c r="A20617" t="s">
        <v>3296</v>
      </c>
      <c r="B20617" t="s">
        <v>2931</v>
      </c>
      <c r="C20617">
        <v>6520</v>
      </c>
      <c r="D20617" t="str">
        <f t="shared" si="383"/>
        <v xml:space="preserve">12519021709 </v>
      </c>
      <c r="E20617" t="s">
        <v>309</v>
      </c>
      <c r="F20617" t="s">
        <v>310</v>
      </c>
      <c r="G20617">
        <v>23.53</v>
      </c>
      <c r="H20617">
        <v>250430</v>
      </c>
      <c r="I20617">
        <v>4369</v>
      </c>
      <c r="J20617" t="s">
        <v>188</v>
      </c>
      <c r="K20617">
        <v>100.75</v>
      </c>
      <c r="L20617">
        <v>4.78</v>
      </c>
      <c r="M20617">
        <v>17807</v>
      </c>
      <c r="N20617" t="s">
        <v>23</v>
      </c>
      <c r="O20617">
        <v>250513</v>
      </c>
      <c r="P20617">
        <v>18.75</v>
      </c>
    </row>
    <row r="20618" spans="1:16" x14ac:dyDescent="0.25">
      <c r="A20618" t="s">
        <v>3296</v>
      </c>
      <c r="B20618" t="s">
        <v>2931</v>
      </c>
      <c r="C20618">
        <v>6520</v>
      </c>
      <c r="D20618" t="str">
        <f t="shared" si="383"/>
        <v xml:space="preserve">12519021709 </v>
      </c>
      <c r="E20618" t="s">
        <v>309</v>
      </c>
      <c r="F20618" t="s">
        <v>310</v>
      </c>
      <c r="G20618">
        <v>10.17</v>
      </c>
      <c r="H20618">
        <v>250430</v>
      </c>
      <c r="I20618">
        <v>4369</v>
      </c>
      <c r="J20618" t="s">
        <v>188</v>
      </c>
      <c r="K20618">
        <v>100.75</v>
      </c>
      <c r="L20618">
        <v>2.0699999999999998</v>
      </c>
      <c r="M20618">
        <v>17808</v>
      </c>
      <c r="N20618" t="s">
        <v>24</v>
      </c>
      <c r="O20618">
        <v>250513</v>
      </c>
      <c r="P20618">
        <v>8.1</v>
      </c>
    </row>
    <row r="20619" spans="1:16" x14ac:dyDescent="0.25">
      <c r="A20619" t="s">
        <v>3296</v>
      </c>
      <c r="B20619" t="s">
        <v>2931</v>
      </c>
      <c r="C20619">
        <v>6520</v>
      </c>
      <c r="D20619" t="str">
        <f t="shared" si="383"/>
        <v xml:space="preserve">12519021709 </v>
      </c>
      <c r="E20619" t="s">
        <v>309</v>
      </c>
      <c r="F20619" t="s">
        <v>310</v>
      </c>
      <c r="G20619">
        <v>9.86</v>
      </c>
      <c r="H20619">
        <v>250430</v>
      </c>
      <c r="I20619">
        <v>4369</v>
      </c>
      <c r="J20619" t="s">
        <v>188</v>
      </c>
      <c r="K20619">
        <v>100.75</v>
      </c>
      <c r="L20619">
        <v>2</v>
      </c>
      <c r="M20619">
        <v>17809</v>
      </c>
      <c r="N20619" t="s">
        <v>25</v>
      </c>
      <c r="O20619">
        <v>250513</v>
      </c>
      <c r="P20619">
        <v>7.86</v>
      </c>
    </row>
    <row r="20620" spans="1:16" x14ac:dyDescent="0.25">
      <c r="A20620" t="s">
        <v>3296</v>
      </c>
      <c r="B20620" t="s">
        <v>2931</v>
      </c>
      <c r="C20620">
        <v>6522</v>
      </c>
      <c r="D20620" t="str">
        <f>"12519021703 "</f>
        <v xml:space="preserve">12519021703 </v>
      </c>
      <c r="E20620" t="s">
        <v>309</v>
      </c>
      <c r="F20620" t="s">
        <v>310</v>
      </c>
      <c r="G20620">
        <v>6.94</v>
      </c>
      <c r="H20620">
        <v>250430</v>
      </c>
      <c r="I20620">
        <v>4369</v>
      </c>
      <c r="J20620" t="s">
        <v>188</v>
      </c>
      <c r="K20620">
        <v>43.89</v>
      </c>
      <c r="L20620">
        <v>1.41</v>
      </c>
      <c r="M20620">
        <v>44222</v>
      </c>
      <c r="N20620" t="s">
        <v>96</v>
      </c>
      <c r="O20620">
        <v>250513</v>
      </c>
      <c r="P20620">
        <v>5.53</v>
      </c>
    </row>
    <row r="20621" spans="1:16" x14ac:dyDescent="0.25">
      <c r="A20621" t="s">
        <v>3296</v>
      </c>
      <c r="B20621" t="s">
        <v>2931</v>
      </c>
      <c r="C20621">
        <v>6522</v>
      </c>
      <c r="D20621" t="str">
        <f>"12519021703 "</f>
        <v xml:space="preserve">12519021703 </v>
      </c>
      <c r="E20621" t="s">
        <v>309</v>
      </c>
      <c r="F20621" t="s">
        <v>310</v>
      </c>
      <c r="G20621">
        <v>23.77</v>
      </c>
      <c r="H20621">
        <v>250430</v>
      </c>
      <c r="I20621">
        <v>4369</v>
      </c>
      <c r="J20621" t="s">
        <v>188</v>
      </c>
      <c r="K20621">
        <v>43.89</v>
      </c>
      <c r="L20621">
        <v>4.83</v>
      </c>
      <c r="M20621">
        <v>44222</v>
      </c>
      <c r="N20621" t="s">
        <v>96</v>
      </c>
      <c r="O20621">
        <v>250513</v>
      </c>
      <c r="P20621">
        <v>18.940000000000001</v>
      </c>
    </row>
    <row r="20622" spans="1:16" x14ac:dyDescent="0.25">
      <c r="A20622" t="s">
        <v>3296</v>
      </c>
      <c r="B20622" t="s">
        <v>2931</v>
      </c>
      <c r="C20622">
        <v>6522</v>
      </c>
      <c r="D20622" t="str">
        <f>"12519021703 "</f>
        <v xml:space="preserve">12519021703 </v>
      </c>
      <c r="E20622" t="s">
        <v>309</v>
      </c>
      <c r="F20622" t="s">
        <v>310</v>
      </c>
      <c r="G20622">
        <v>3.39</v>
      </c>
      <c r="H20622">
        <v>250430</v>
      </c>
      <c r="I20622">
        <v>4369</v>
      </c>
      <c r="J20622" t="s">
        <v>188</v>
      </c>
      <c r="K20622">
        <v>43.89</v>
      </c>
      <c r="L20622">
        <v>0.69</v>
      </c>
      <c r="M20622">
        <v>44251</v>
      </c>
      <c r="N20622" t="s">
        <v>215</v>
      </c>
      <c r="O20622">
        <v>250513</v>
      </c>
      <c r="P20622">
        <v>2.7</v>
      </c>
    </row>
    <row r="20623" spans="1:16" x14ac:dyDescent="0.25">
      <c r="A20623" t="s">
        <v>3296</v>
      </c>
      <c r="B20623" t="s">
        <v>2931</v>
      </c>
      <c r="C20623">
        <v>6522</v>
      </c>
      <c r="D20623" t="str">
        <f>"12519021703 "</f>
        <v xml:space="preserve">12519021703 </v>
      </c>
      <c r="E20623" t="s">
        <v>309</v>
      </c>
      <c r="F20623" t="s">
        <v>310</v>
      </c>
      <c r="G20623">
        <v>3.2</v>
      </c>
      <c r="H20623">
        <v>250430</v>
      </c>
      <c r="I20623">
        <v>4369</v>
      </c>
      <c r="J20623" t="s">
        <v>188</v>
      </c>
      <c r="K20623">
        <v>43.89</v>
      </c>
      <c r="L20623">
        <v>0.65</v>
      </c>
      <c r="M20623">
        <v>44253</v>
      </c>
      <c r="N20623" t="s">
        <v>403</v>
      </c>
      <c r="O20623">
        <v>250513</v>
      </c>
      <c r="P20623">
        <v>2.5499999999999998</v>
      </c>
    </row>
    <row r="20624" spans="1:16" x14ac:dyDescent="0.25">
      <c r="A20624" t="s">
        <v>3296</v>
      </c>
      <c r="B20624" t="s">
        <v>2931</v>
      </c>
      <c r="C20624">
        <v>6522</v>
      </c>
      <c r="D20624" t="str">
        <f>"12519021703 "</f>
        <v xml:space="preserve">12519021703 </v>
      </c>
      <c r="E20624" t="s">
        <v>309</v>
      </c>
      <c r="F20624" t="s">
        <v>310</v>
      </c>
      <c r="G20624">
        <v>6.59</v>
      </c>
      <c r="H20624">
        <v>250430</v>
      </c>
      <c r="I20624">
        <v>4369</v>
      </c>
      <c r="J20624" t="s">
        <v>188</v>
      </c>
      <c r="K20624">
        <v>43.89</v>
      </c>
      <c r="L20624">
        <v>0</v>
      </c>
      <c r="M20624">
        <v>49702</v>
      </c>
      <c r="N20624" t="s">
        <v>112</v>
      </c>
      <c r="O20624">
        <v>250513</v>
      </c>
      <c r="P20624">
        <v>6.59</v>
      </c>
    </row>
    <row r="20625" spans="1:16" x14ac:dyDescent="0.25">
      <c r="A20625" t="s">
        <v>3296</v>
      </c>
      <c r="B20625" t="s">
        <v>2931</v>
      </c>
      <c r="C20625">
        <v>6523</v>
      </c>
      <c r="D20625" t="str">
        <f>"12519021696 "</f>
        <v xml:space="preserve">12519021696 </v>
      </c>
      <c r="E20625" t="s">
        <v>309</v>
      </c>
      <c r="F20625" t="s">
        <v>310</v>
      </c>
      <c r="G20625">
        <v>32.76</v>
      </c>
      <c r="H20625">
        <v>250430</v>
      </c>
      <c r="I20625">
        <v>4369</v>
      </c>
      <c r="J20625" t="s">
        <v>188</v>
      </c>
      <c r="K20625">
        <v>66.13</v>
      </c>
      <c r="L20625">
        <v>6.66</v>
      </c>
      <c r="M20625">
        <v>41126</v>
      </c>
      <c r="N20625" t="s">
        <v>94</v>
      </c>
      <c r="O20625">
        <v>250513</v>
      </c>
      <c r="P20625">
        <v>26.1</v>
      </c>
    </row>
    <row r="20626" spans="1:16" x14ac:dyDescent="0.25">
      <c r="A20626" t="s">
        <v>3296</v>
      </c>
      <c r="B20626" t="s">
        <v>2931</v>
      </c>
      <c r="C20626">
        <v>6523</v>
      </c>
      <c r="D20626" t="str">
        <f>"12519021696 "</f>
        <v xml:space="preserve">12519021696 </v>
      </c>
      <c r="E20626" t="s">
        <v>309</v>
      </c>
      <c r="F20626" t="s">
        <v>310</v>
      </c>
      <c r="G20626">
        <v>33.369999999999997</v>
      </c>
      <c r="H20626">
        <v>250430</v>
      </c>
      <c r="I20626">
        <v>4369</v>
      </c>
      <c r="J20626" t="s">
        <v>188</v>
      </c>
      <c r="K20626">
        <v>66.13</v>
      </c>
      <c r="L20626">
        <v>6.78</v>
      </c>
      <c r="M20626">
        <v>46222</v>
      </c>
      <c r="N20626" t="s">
        <v>101</v>
      </c>
      <c r="O20626">
        <v>250513</v>
      </c>
      <c r="P20626">
        <v>26.59</v>
      </c>
    </row>
    <row r="20627" spans="1:16" x14ac:dyDescent="0.25">
      <c r="A20627" t="s">
        <v>3296</v>
      </c>
      <c r="B20627" t="s">
        <v>2931</v>
      </c>
      <c r="C20627">
        <v>6524</v>
      </c>
      <c r="D20627" t="str">
        <f>"12519021700 "</f>
        <v xml:space="preserve">12519021700 </v>
      </c>
      <c r="E20627" t="s">
        <v>309</v>
      </c>
      <c r="F20627" t="s">
        <v>310</v>
      </c>
      <c r="G20627">
        <v>3.95</v>
      </c>
      <c r="H20627">
        <v>250430</v>
      </c>
      <c r="I20627">
        <v>4369</v>
      </c>
      <c r="J20627" t="s">
        <v>188</v>
      </c>
      <c r="K20627">
        <v>39.229999999999997</v>
      </c>
      <c r="L20627">
        <v>0.8</v>
      </c>
      <c r="M20627">
        <v>48601</v>
      </c>
      <c r="N20627" t="s">
        <v>107</v>
      </c>
      <c r="O20627">
        <v>250513</v>
      </c>
      <c r="P20627">
        <v>3.15</v>
      </c>
    </row>
    <row r="20628" spans="1:16" x14ac:dyDescent="0.25">
      <c r="A20628" t="s">
        <v>3296</v>
      </c>
      <c r="B20628" t="s">
        <v>2931</v>
      </c>
      <c r="C20628">
        <v>6524</v>
      </c>
      <c r="D20628" t="str">
        <f>"12519021700 "</f>
        <v xml:space="preserve">12519021700 </v>
      </c>
      <c r="E20628" t="s">
        <v>309</v>
      </c>
      <c r="F20628" t="s">
        <v>310</v>
      </c>
      <c r="G20628">
        <v>3.39</v>
      </c>
      <c r="H20628">
        <v>250430</v>
      </c>
      <c r="I20628">
        <v>4369</v>
      </c>
      <c r="J20628" t="s">
        <v>188</v>
      </c>
      <c r="K20628">
        <v>39.229999999999997</v>
      </c>
      <c r="L20628">
        <v>0.69</v>
      </c>
      <c r="M20628">
        <v>49111</v>
      </c>
      <c r="N20628" t="s">
        <v>108</v>
      </c>
      <c r="O20628">
        <v>250513</v>
      </c>
      <c r="P20628">
        <v>2.7</v>
      </c>
    </row>
    <row r="20629" spans="1:16" x14ac:dyDescent="0.25">
      <c r="A20629" t="s">
        <v>3296</v>
      </c>
      <c r="B20629" t="s">
        <v>2931</v>
      </c>
      <c r="C20629">
        <v>6524</v>
      </c>
      <c r="D20629" t="str">
        <f>"12519021700 "</f>
        <v xml:space="preserve">12519021700 </v>
      </c>
      <c r="E20629" t="s">
        <v>309</v>
      </c>
      <c r="F20629" t="s">
        <v>310</v>
      </c>
      <c r="G20629">
        <v>9.98</v>
      </c>
      <c r="H20629">
        <v>250430</v>
      </c>
      <c r="I20629">
        <v>4369</v>
      </c>
      <c r="J20629" t="s">
        <v>188</v>
      </c>
      <c r="K20629">
        <v>39.229999999999997</v>
      </c>
      <c r="L20629">
        <v>2.0299999999999998</v>
      </c>
      <c r="M20629">
        <v>49704</v>
      </c>
      <c r="N20629" t="s">
        <v>113</v>
      </c>
      <c r="O20629">
        <v>250513</v>
      </c>
      <c r="P20629">
        <v>7.95</v>
      </c>
    </row>
    <row r="20630" spans="1:16" x14ac:dyDescent="0.25">
      <c r="A20630" t="s">
        <v>3296</v>
      </c>
      <c r="B20630" t="s">
        <v>2931</v>
      </c>
      <c r="C20630">
        <v>6524</v>
      </c>
      <c r="D20630" t="str">
        <f>"12519021700 "</f>
        <v xml:space="preserve">12519021700 </v>
      </c>
      <c r="E20630" t="s">
        <v>309</v>
      </c>
      <c r="F20630" t="s">
        <v>310</v>
      </c>
      <c r="G20630">
        <v>21.91</v>
      </c>
      <c r="H20630">
        <v>250430</v>
      </c>
      <c r="I20630">
        <v>4369</v>
      </c>
      <c r="J20630" t="s">
        <v>188</v>
      </c>
      <c r="K20630">
        <v>39.229999999999997</v>
      </c>
      <c r="L20630">
        <v>4.45</v>
      </c>
      <c r="M20630">
        <v>49705</v>
      </c>
      <c r="N20630" t="s">
        <v>114</v>
      </c>
      <c r="O20630">
        <v>250513</v>
      </c>
      <c r="P20630">
        <v>17.46</v>
      </c>
    </row>
    <row r="20631" spans="1:16" x14ac:dyDescent="0.25">
      <c r="A20631" t="s">
        <v>3296</v>
      </c>
      <c r="B20631" t="s">
        <v>2931</v>
      </c>
      <c r="C20631">
        <v>6525</v>
      </c>
      <c r="D20631" t="str">
        <f>"12519021688 "</f>
        <v xml:space="preserve">12519021688 </v>
      </c>
      <c r="E20631" t="s">
        <v>309</v>
      </c>
      <c r="F20631" t="s">
        <v>310</v>
      </c>
      <c r="G20631">
        <v>3.39</v>
      </c>
      <c r="H20631">
        <v>250430</v>
      </c>
      <c r="I20631">
        <v>4369</v>
      </c>
      <c r="J20631" t="s">
        <v>188</v>
      </c>
      <c r="K20631">
        <v>30.25</v>
      </c>
      <c r="L20631">
        <v>0.69</v>
      </c>
      <c r="M20631">
        <v>56522</v>
      </c>
      <c r="N20631" t="s">
        <v>68</v>
      </c>
      <c r="O20631">
        <v>250513</v>
      </c>
      <c r="P20631">
        <v>2.7</v>
      </c>
    </row>
    <row r="20632" spans="1:16" x14ac:dyDescent="0.25">
      <c r="A20632" t="s">
        <v>3296</v>
      </c>
      <c r="B20632" t="s">
        <v>2931</v>
      </c>
      <c r="C20632">
        <v>6525</v>
      </c>
      <c r="D20632" t="str">
        <f>"12519021688 "</f>
        <v xml:space="preserve">12519021688 </v>
      </c>
      <c r="E20632" t="s">
        <v>309</v>
      </c>
      <c r="F20632" t="s">
        <v>310</v>
      </c>
      <c r="G20632">
        <v>13.28</v>
      </c>
      <c r="H20632">
        <v>250430</v>
      </c>
      <c r="I20632">
        <v>4369</v>
      </c>
      <c r="J20632" t="s">
        <v>188</v>
      </c>
      <c r="K20632">
        <v>30.25</v>
      </c>
      <c r="L20632">
        <v>2.7</v>
      </c>
      <c r="M20632">
        <v>56524</v>
      </c>
      <c r="N20632" t="s">
        <v>69</v>
      </c>
      <c r="O20632">
        <v>250513</v>
      </c>
      <c r="P20632">
        <v>10.58</v>
      </c>
    </row>
    <row r="20633" spans="1:16" x14ac:dyDescent="0.25">
      <c r="A20633" t="s">
        <v>3296</v>
      </c>
      <c r="B20633" t="s">
        <v>2931</v>
      </c>
      <c r="C20633">
        <v>6525</v>
      </c>
      <c r="D20633" t="str">
        <f>"12519021688 "</f>
        <v xml:space="preserve">12519021688 </v>
      </c>
      <c r="E20633" t="s">
        <v>309</v>
      </c>
      <c r="F20633" t="s">
        <v>310</v>
      </c>
      <c r="G20633">
        <v>13.58</v>
      </c>
      <c r="H20633">
        <v>250430</v>
      </c>
      <c r="I20633">
        <v>4369</v>
      </c>
      <c r="J20633" t="s">
        <v>188</v>
      </c>
      <c r="K20633">
        <v>30.25</v>
      </c>
      <c r="L20633">
        <v>2.76</v>
      </c>
      <c r="M20633">
        <v>56528</v>
      </c>
      <c r="N20633" t="s">
        <v>70</v>
      </c>
      <c r="O20633">
        <v>250513</v>
      </c>
      <c r="P20633">
        <v>10.82</v>
      </c>
    </row>
    <row r="20634" spans="1:16" x14ac:dyDescent="0.25">
      <c r="A20634" t="s">
        <v>3296</v>
      </c>
      <c r="B20634" t="s">
        <v>2931</v>
      </c>
      <c r="C20634">
        <v>6532</v>
      </c>
      <c r="D20634" t="str">
        <f>"12519021727 "</f>
        <v xml:space="preserve">12519021727 </v>
      </c>
      <c r="E20634" t="s">
        <v>309</v>
      </c>
      <c r="F20634" t="s">
        <v>310</v>
      </c>
      <c r="G20634">
        <v>54.4</v>
      </c>
      <c r="H20634">
        <v>250430</v>
      </c>
      <c r="I20634">
        <v>4369</v>
      </c>
      <c r="J20634" t="s">
        <v>188</v>
      </c>
      <c r="K20634">
        <v>54.4</v>
      </c>
      <c r="L20634">
        <v>11.05</v>
      </c>
      <c r="M20634">
        <v>10002</v>
      </c>
      <c r="N20634" t="s">
        <v>513</v>
      </c>
      <c r="O20634">
        <v>250513</v>
      </c>
      <c r="P20634">
        <v>43.35</v>
      </c>
    </row>
    <row r="20635" spans="1:16" x14ac:dyDescent="0.25">
      <c r="A20635" t="s">
        <v>3296</v>
      </c>
      <c r="B20635" t="s">
        <v>2931</v>
      </c>
      <c r="C20635">
        <v>6571</v>
      </c>
      <c r="D20635" t="str">
        <f>"12519021702 "</f>
        <v xml:space="preserve">12519021702 </v>
      </c>
      <c r="E20635" t="s">
        <v>309</v>
      </c>
      <c r="F20635" t="s">
        <v>310</v>
      </c>
      <c r="G20635">
        <v>6.89</v>
      </c>
      <c r="H20635">
        <v>250430</v>
      </c>
      <c r="I20635">
        <v>4369</v>
      </c>
      <c r="J20635" t="s">
        <v>188</v>
      </c>
      <c r="K20635">
        <v>6.89</v>
      </c>
      <c r="L20635">
        <v>1.4</v>
      </c>
      <c r="M20635">
        <v>46556</v>
      </c>
      <c r="N20635" t="s">
        <v>458</v>
      </c>
      <c r="O20635">
        <v>250514</v>
      </c>
      <c r="P20635">
        <v>5.49</v>
      </c>
    </row>
    <row r="20636" spans="1:16" x14ac:dyDescent="0.25">
      <c r="A20636" t="s">
        <v>3296</v>
      </c>
      <c r="B20636" t="s">
        <v>2931</v>
      </c>
      <c r="C20636">
        <v>6573</v>
      </c>
      <c r="D20636" t="str">
        <f>"12519021706 "</f>
        <v xml:space="preserve">12519021706 </v>
      </c>
      <c r="E20636" t="s">
        <v>309</v>
      </c>
      <c r="F20636" t="s">
        <v>310</v>
      </c>
      <c r="G20636">
        <v>3.39</v>
      </c>
      <c r="H20636">
        <v>250430</v>
      </c>
      <c r="I20636">
        <v>4369</v>
      </c>
      <c r="J20636" t="s">
        <v>188</v>
      </c>
      <c r="K20636">
        <v>3.39</v>
      </c>
      <c r="L20636">
        <v>0.69</v>
      </c>
      <c r="M20636">
        <v>11900</v>
      </c>
      <c r="N20636" t="s">
        <v>30</v>
      </c>
      <c r="O20636">
        <v>250514</v>
      </c>
      <c r="P20636">
        <v>2.7</v>
      </c>
    </row>
    <row r="20637" spans="1:16" x14ac:dyDescent="0.25">
      <c r="A20637" t="s">
        <v>3296</v>
      </c>
      <c r="B20637" t="s">
        <v>2931</v>
      </c>
      <c r="C20637">
        <v>6575</v>
      </c>
      <c r="D20637" t="str">
        <f t="shared" ref="D20637:D20643" si="384">"12519021707 "</f>
        <v xml:space="preserve">12519021707 </v>
      </c>
      <c r="E20637" t="s">
        <v>309</v>
      </c>
      <c r="F20637" t="s">
        <v>310</v>
      </c>
      <c r="G20637">
        <v>2.2000000000000002</v>
      </c>
      <c r="H20637">
        <v>250430</v>
      </c>
      <c r="I20637">
        <v>4369</v>
      </c>
      <c r="J20637" t="s">
        <v>188</v>
      </c>
      <c r="K20637">
        <v>16.940000000000001</v>
      </c>
      <c r="L20637">
        <v>0.45</v>
      </c>
      <c r="M20637">
        <v>41126</v>
      </c>
      <c r="N20637" t="s">
        <v>94</v>
      </c>
      <c r="O20637">
        <v>250514</v>
      </c>
      <c r="P20637">
        <v>1.75</v>
      </c>
    </row>
    <row r="20638" spans="1:16" x14ac:dyDescent="0.25">
      <c r="A20638" t="s">
        <v>3296</v>
      </c>
      <c r="B20638" t="s">
        <v>2931</v>
      </c>
      <c r="C20638">
        <v>6575</v>
      </c>
      <c r="D20638" t="str">
        <f t="shared" si="384"/>
        <v xml:space="preserve">12519021707 </v>
      </c>
      <c r="E20638" t="s">
        <v>309</v>
      </c>
      <c r="F20638" t="s">
        <v>310</v>
      </c>
      <c r="G20638">
        <v>1.69</v>
      </c>
      <c r="H20638">
        <v>250430</v>
      </c>
      <c r="I20638">
        <v>4369</v>
      </c>
      <c r="J20638" t="s">
        <v>188</v>
      </c>
      <c r="K20638">
        <v>16.940000000000001</v>
      </c>
      <c r="L20638">
        <v>0.34</v>
      </c>
      <c r="M20638">
        <v>43222</v>
      </c>
      <c r="N20638" t="s">
        <v>95</v>
      </c>
      <c r="O20638">
        <v>250514</v>
      </c>
      <c r="P20638">
        <v>1.35</v>
      </c>
    </row>
    <row r="20639" spans="1:16" x14ac:dyDescent="0.25">
      <c r="A20639" t="s">
        <v>3296</v>
      </c>
      <c r="B20639" t="s">
        <v>2931</v>
      </c>
      <c r="C20639">
        <v>6575</v>
      </c>
      <c r="D20639" t="str">
        <f t="shared" si="384"/>
        <v xml:space="preserve">12519021707 </v>
      </c>
      <c r="E20639" t="s">
        <v>309</v>
      </c>
      <c r="F20639" t="s">
        <v>310</v>
      </c>
      <c r="G20639">
        <v>2.0299999999999998</v>
      </c>
      <c r="H20639">
        <v>250430</v>
      </c>
      <c r="I20639">
        <v>4369</v>
      </c>
      <c r="J20639" t="s">
        <v>188</v>
      </c>
      <c r="K20639">
        <v>16.940000000000001</v>
      </c>
      <c r="L20639">
        <v>0.41</v>
      </c>
      <c r="M20639">
        <v>44222</v>
      </c>
      <c r="N20639" t="s">
        <v>96</v>
      </c>
      <c r="O20639">
        <v>250514</v>
      </c>
      <c r="P20639">
        <v>1.62</v>
      </c>
    </row>
    <row r="20640" spans="1:16" x14ac:dyDescent="0.25">
      <c r="A20640" t="s">
        <v>3296</v>
      </c>
      <c r="B20640" t="s">
        <v>2931</v>
      </c>
      <c r="C20640">
        <v>6575</v>
      </c>
      <c r="D20640" t="str">
        <f t="shared" si="384"/>
        <v xml:space="preserve">12519021707 </v>
      </c>
      <c r="E20640" t="s">
        <v>309</v>
      </c>
      <c r="F20640" t="s">
        <v>310</v>
      </c>
      <c r="G20640">
        <v>2.2000000000000002</v>
      </c>
      <c r="H20640">
        <v>250430</v>
      </c>
      <c r="I20640">
        <v>4369</v>
      </c>
      <c r="J20640" t="s">
        <v>188</v>
      </c>
      <c r="K20640">
        <v>16.940000000000001</v>
      </c>
      <c r="L20640">
        <v>0.45</v>
      </c>
      <c r="M20640">
        <v>44424</v>
      </c>
      <c r="N20640" t="s">
        <v>99</v>
      </c>
      <c r="O20640">
        <v>250514</v>
      </c>
      <c r="P20640">
        <v>1.75</v>
      </c>
    </row>
    <row r="20641" spans="1:16" x14ac:dyDescent="0.25">
      <c r="A20641" t="s">
        <v>3296</v>
      </c>
      <c r="B20641" t="s">
        <v>2931</v>
      </c>
      <c r="C20641">
        <v>6575</v>
      </c>
      <c r="D20641" t="str">
        <f t="shared" si="384"/>
        <v xml:space="preserve">12519021707 </v>
      </c>
      <c r="E20641" t="s">
        <v>309</v>
      </c>
      <c r="F20641" t="s">
        <v>310</v>
      </c>
      <c r="G20641">
        <v>1.19</v>
      </c>
      <c r="H20641">
        <v>250430</v>
      </c>
      <c r="I20641">
        <v>4369</v>
      </c>
      <c r="J20641" t="s">
        <v>188</v>
      </c>
      <c r="K20641">
        <v>16.940000000000001</v>
      </c>
      <c r="L20641">
        <v>0.24</v>
      </c>
      <c r="M20641">
        <v>46222</v>
      </c>
      <c r="N20641" t="s">
        <v>101</v>
      </c>
      <c r="O20641">
        <v>250514</v>
      </c>
      <c r="P20641">
        <v>0.95</v>
      </c>
    </row>
    <row r="20642" spans="1:16" x14ac:dyDescent="0.25">
      <c r="A20642" t="s">
        <v>3296</v>
      </c>
      <c r="B20642" t="s">
        <v>2931</v>
      </c>
      <c r="C20642">
        <v>6575</v>
      </c>
      <c r="D20642" t="str">
        <f t="shared" si="384"/>
        <v xml:space="preserve">12519021707 </v>
      </c>
      <c r="E20642" t="s">
        <v>309</v>
      </c>
      <c r="F20642" t="s">
        <v>310</v>
      </c>
      <c r="G20642">
        <v>6.78</v>
      </c>
      <c r="H20642">
        <v>250430</v>
      </c>
      <c r="I20642">
        <v>4369</v>
      </c>
      <c r="J20642" t="s">
        <v>188</v>
      </c>
      <c r="K20642">
        <v>16.940000000000001</v>
      </c>
      <c r="L20642">
        <v>1.38</v>
      </c>
      <c r="M20642">
        <v>46559</v>
      </c>
      <c r="N20642" t="s">
        <v>105</v>
      </c>
      <c r="O20642">
        <v>250514</v>
      </c>
      <c r="P20642">
        <v>5.4</v>
      </c>
    </row>
    <row r="20643" spans="1:16" x14ac:dyDescent="0.25">
      <c r="A20643" t="s">
        <v>3296</v>
      </c>
      <c r="B20643" t="s">
        <v>2931</v>
      </c>
      <c r="C20643">
        <v>6575</v>
      </c>
      <c r="D20643" t="str">
        <f t="shared" si="384"/>
        <v xml:space="preserve">12519021707 </v>
      </c>
      <c r="E20643" t="s">
        <v>309</v>
      </c>
      <c r="F20643" t="s">
        <v>310</v>
      </c>
      <c r="G20643">
        <v>0.85</v>
      </c>
      <c r="H20643">
        <v>250430</v>
      </c>
      <c r="I20643">
        <v>4369</v>
      </c>
      <c r="J20643" t="s">
        <v>188</v>
      </c>
      <c r="K20643">
        <v>16.940000000000001</v>
      </c>
      <c r="L20643">
        <v>0.17</v>
      </c>
      <c r="M20643">
        <v>47522</v>
      </c>
      <c r="N20643" t="s">
        <v>106</v>
      </c>
      <c r="O20643">
        <v>250514</v>
      </c>
      <c r="P20643">
        <v>0.68</v>
      </c>
    </row>
    <row r="20644" spans="1:16" x14ac:dyDescent="0.25">
      <c r="A20644" t="s">
        <v>3296</v>
      </c>
      <c r="B20644" t="s">
        <v>2931</v>
      </c>
      <c r="C20644">
        <v>6576</v>
      </c>
      <c r="D20644" t="str">
        <f t="shared" ref="D20644:D20653" si="385">"12519021712 "</f>
        <v xml:space="preserve">12519021712 </v>
      </c>
      <c r="E20644" t="s">
        <v>309</v>
      </c>
      <c r="F20644" t="s">
        <v>310</v>
      </c>
      <c r="G20644">
        <v>20.329999999999998</v>
      </c>
      <c r="H20644">
        <v>250430</v>
      </c>
      <c r="I20644">
        <v>4369</v>
      </c>
      <c r="J20644" t="s">
        <v>188</v>
      </c>
      <c r="K20644">
        <v>57.49</v>
      </c>
      <c r="L20644">
        <v>4.13</v>
      </c>
      <c r="M20644">
        <v>16121</v>
      </c>
      <c r="N20644" t="s">
        <v>127</v>
      </c>
      <c r="O20644">
        <v>250514</v>
      </c>
      <c r="P20644">
        <v>16.2</v>
      </c>
    </row>
    <row r="20645" spans="1:16" x14ac:dyDescent="0.25">
      <c r="A20645" t="s">
        <v>3296</v>
      </c>
      <c r="B20645" t="s">
        <v>2931</v>
      </c>
      <c r="C20645">
        <v>6576</v>
      </c>
      <c r="D20645" t="str">
        <f t="shared" si="385"/>
        <v xml:space="preserve">12519021712 </v>
      </c>
      <c r="E20645" t="s">
        <v>309</v>
      </c>
      <c r="F20645" t="s">
        <v>310</v>
      </c>
      <c r="G20645">
        <v>6.78</v>
      </c>
      <c r="H20645">
        <v>250430</v>
      </c>
      <c r="I20645">
        <v>4369</v>
      </c>
      <c r="J20645" t="s">
        <v>188</v>
      </c>
      <c r="K20645">
        <v>57.49</v>
      </c>
      <c r="L20645">
        <v>1.38</v>
      </c>
      <c r="M20645">
        <v>16322</v>
      </c>
      <c r="N20645" t="s">
        <v>331</v>
      </c>
      <c r="O20645">
        <v>250514</v>
      </c>
      <c r="P20645">
        <v>5.4</v>
      </c>
    </row>
    <row r="20646" spans="1:16" x14ac:dyDescent="0.25">
      <c r="A20646" t="s">
        <v>3296</v>
      </c>
      <c r="B20646" t="s">
        <v>2931</v>
      </c>
      <c r="C20646">
        <v>6576</v>
      </c>
      <c r="D20646" t="str">
        <f t="shared" si="385"/>
        <v xml:space="preserve">12519021712 </v>
      </c>
      <c r="E20646" t="s">
        <v>309</v>
      </c>
      <c r="F20646" t="s">
        <v>310</v>
      </c>
      <c r="G20646">
        <v>3.39</v>
      </c>
      <c r="H20646">
        <v>250430</v>
      </c>
      <c r="I20646">
        <v>4369</v>
      </c>
      <c r="J20646" t="s">
        <v>188</v>
      </c>
      <c r="K20646">
        <v>57.49</v>
      </c>
      <c r="L20646">
        <v>0.69</v>
      </c>
      <c r="M20646">
        <v>16820</v>
      </c>
      <c r="N20646" t="s">
        <v>128</v>
      </c>
      <c r="O20646">
        <v>250514</v>
      </c>
      <c r="P20646">
        <v>2.7</v>
      </c>
    </row>
    <row r="20647" spans="1:16" x14ac:dyDescent="0.25">
      <c r="A20647" t="s">
        <v>3296</v>
      </c>
      <c r="B20647" t="s">
        <v>2931</v>
      </c>
      <c r="C20647">
        <v>6576</v>
      </c>
      <c r="D20647" t="str">
        <f t="shared" si="385"/>
        <v xml:space="preserve">12519021712 </v>
      </c>
      <c r="E20647" t="s">
        <v>309</v>
      </c>
      <c r="F20647" t="s">
        <v>310</v>
      </c>
      <c r="G20647">
        <v>6.78</v>
      </c>
      <c r="H20647">
        <v>250430</v>
      </c>
      <c r="I20647">
        <v>4369</v>
      </c>
      <c r="J20647" t="s">
        <v>188</v>
      </c>
      <c r="K20647">
        <v>57.49</v>
      </c>
      <c r="L20647">
        <v>1.38</v>
      </c>
      <c r="M20647">
        <v>16820</v>
      </c>
      <c r="N20647" t="s">
        <v>128</v>
      </c>
      <c r="O20647">
        <v>250514</v>
      </c>
      <c r="P20647">
        <v>5.4</v>
      </c>
    </row>
    <row r="20648" spans="1:16" x14ac:dyDescent="0.25">
      <c r="A20648" t="s">
        <v>3296</v>
      </c>
      <c r="B20648" t="s">
        <v>2931</v>
      </c>
      <c r="C20648">
        <v>6576</v>
      </c>
      <c r="D20648" t="str">
        <f t="shared" si="385"/>
        <v xml:space="preserve">12519021712 </v>
      </c>
      <c r="E20648" t="s">
        <v>309</v>
      </c>
      <c r="F20648" t="s">
        <v>310</v>
      </c>
      <c r="G20648">
        <v>3.46</v>
      </c>
      <c r="H20648">
        <v>250430</v>
      </c>
      <c r="I20648">
        <v>4369</v>
      </c>
      <c r="J20648" t="s">
        <v>188</v>
      </c>
      <c r="K20648">
        <v>57.49</v>
      </c>
      <c r="L20648">
        <v>0.7</v>
      </c>
      <c r="M20648">
        <v>17862</v>
      </c>
      <c r="N20648" t="s">
        <v>130</v>
      </c>
      <c r="O20648">
        <v>250514</v>
      </c>
      <c r="P20648">
        <v>2.76</v>
      </c>
    </row>
    <row r="20649" spans="1:16" x14ac:dyDescent="0.25">
      <c r="A20649" t="s">
        <v>3296</v>
      </c>
      <c r="B20649" t="s">
        <v>2931</v>
      </c>
      <c r="C20649">
        <v>6576</v>
      </c>
      <c r="D20649" t="str">
        <f t="shared" si="385"/>
        <v xml:space="preserve">12519021712 </v>
      </c>
      <c r="E20649" t="s">
        <v>309</v>
      </c>
      <c r="F20649" t="s">
        <v>310</v>
      </c>
      <c r="G20649">
        <v>3.38</v>
      </c>
      <c r="H20649">
        <v>250430</v>
      </c>
      <c r="I20649">
        <v>4369</v>
      </c>
      <c r="J20649" t="s">
        <v>188</v>
      </c>
      <c r="K20649">
        <v>57.49</v>
      </c>
      <c r="L20649">
        <v>0.69</v>
      </c>
      <c r="M20649">
        <v>17950</v>
      </c>
      <c r="N20649" t="s">
        <v>132</v>
      </c>
      <c r="O20649">
        <v>250514</v>
      </c>
      <c r="P20649">
        <v>2.69</v>
      </c>
    </row>
    <row r="20650" spans="1:16" x14ac:dyDescent="0.25">
      <c r="A20650" t="s">
        <v>3296</v>
      </c>
      <c r="B20650" t="s">
        <v>2931</v>
      </c>
      <c r="C20650">
        <v>6576</v>
      </c>
      <c r="D20650" t="str">
        <f t="shared" si="385"/>
        <v xml:space="preserve">12519021712 </v>
      </c>
      <c r="E20650" t="s">
        <v>309</v>
      </c>
      <c r="F20650" t="s">
        <v>310</v>
      </c>
      <c r="G20650">
        <v>3.39</v>
      </c>
      <c r="H20650">
        <v>250430</v>
      </c>
      <c r="I20650">
        <v>4369</v>
      </c>
      <c r="J20650" t="s">
        <v>188</v>
      </c>
      <c r="K20650">
        <v>57.49</v>
      </c>
      <c r="L20650">
        <v>0.69</v>
      </c>
      <c r="M20650">
        <v>17971</v>
      </c>
      <c r="N20650" t="s">
        <v>27</v>
      </c>
      <c r="O20650">
        <v>250514</v>
      </c>
      <c r="P20650">
        <v>2.7</v>
      </c>
    </row>
    <row r="20651" spans="1:16" x14ac:dyDescent="0.25">
      <c r="A20651" t="s">
        <v>3296</v>
      </c>
      <c r="B20651" t="s">
        <v>2931</v>
      </c>
      <c r="C20651">
        <v>6576</v>
      </c>
      <c r="D20651" t="str">
        <f t="shared" si="385"/>
        <v xml:space="preserve">12519021712 </v>
      </c>
      <c r="E20651" t="s">
        <v>309</v>
      </c>
      <c r="F20651" t="s">
        <v>310</v>
      </c>
      <c r="G20651">
        <v>3.39</v>
      </c>
      <c r="H20651">
        <v>250430</v>
      </c>
      <c r="I20651">
        <v>4369</v>
      </c>
      <c r="J20651" t="s">
        <v>188</v>
      </c>
      <c r="K20651">
        <v>57.49</v>
      </c>
      <c r="L20651">
        <v>0.69</v>
      </c>
      <c r="M20651">
        <v>17972</v>
      </c>
      <c r="N20651" t="s">
        <v>28</v>
      </c>
      <c r="O20651">
        <v>250514</v>
      </c>
      <c r="P20651">
        <v>2.7</v>
      </c>
    </row>
    <row r="20652" spans="1:16" x14ac:dyDescent="0.25">
      <c r="A20652" t="s">
        <v>3296</v>
      </c>
      <c r="B20652" t="s">
        <v>2931</v>
      </c>
      <c r="C20652">
        <v>6576</v>
      </c>
      <c r="D20652" t="str">
        <f t="shared" si="385"/>
        <v xml:space="preserve">12519021712 </v>
      </c>
      <c r="E20652" t="s">
        <v>309</v>
      </c>
      <c r="F20652" t="s">
        <v>310</v>
      </c>
      <c r="G20652">
        <v>3.2</v>
      </c>
      <c r="H20652">
        <v>250430</v>
      </c>
      <c r="I20652">
        <v>4369</v>
      </c>
      <c r="J20652" t="s">
        <v>188</v>
      </c>
      <c r="K20652">
        <v>57.49</v>
      </c>
      <c r="L20652">
        <v>0.65</v>
      </c>
      <c r="M20652">
        <v>17974</v>
      </c>
      <c r="N20652" t="s">
        <v>153</v>
      </c>
      <c r="O20652">
        <v>250514</v>
      </c>
      <c r="P20652">
        <v>2.5499999999999998</v>
      </c>
    </row>
    <row r="20653" spans="1:16" x14ac:dyDescent="0.25">
      <c r="A20653" t="s">
        <v>3296</v>
      </c>
      <c r="B20653" t="s">
        <v>2931</v>
      </c>
      <c r="C20653">
        <v>6576</v>
      </c>
      <c r="D20653" t="str">
        <f t="shared" si="385"/>
        <v xml:space="preserve">12519021712 </v>
      </c>
      <c r="E20653" t="s">
        <v>309</v>
      </c>
      <c r="F20653" t="s">
        <v>310</v>
      </c>
      <c r="G20653">
        <v>3.39</v>
      </c>
      <c r="H20653">
        <v>250430</v>
      </c>
      <c r="I20653">
        <v>4369</v>
      </c>
      <c r="J20653" t="s">
        <v>188</v>
      </c>
      <c r="K20653">
        <v>57.49</v>
      </c>
      <c r="L20653">
        <v>0.69</v>
      </c>
      <c r="M20653">
        <v>17974</v>
      </c>
      <c r="N20653" t="s">
        <v>153</v>
      </c>
      <c r="O20653">
        <v>250514</v>
      </c>
      <c r="P20653">
        <v>2.7</v>
      </c>
    </row>
    <row r="20654" spans="1:16" x14ac:dyDescent="0.25">
      <c r="A20654" t="s">
        <v>3296</v>
      </c>
      <c r="B20654" t="s">
        <v>2931</v>
      </c>
      <c r="C20654">
        <v>6582</v>
      </c>
      <c r="D20654" t="str">
        <f t="shared" ref="D20654:D20664" si="386">"12519021693 "</f>
        <v xml:space="preserve">12519021693 </v>
      </c>
      <c r="E20654" t="s">
        <v>309</v>
      </c>
      <c r="F20654" t="s">
        <v>310</v>
      </c>
      <c r="G20654">
        <v>3.03</v>
      </c>
      <c r="H20654">
        <v>250430</v>
      </c>
      <c r="I20654">
        <v>4369</v>
      </c>
      <c r="J20654" t="s">
        <v>188</v>
      </c>
      <c r="K20654">
        <v>73.44</v>
      </c>
      <c r="L20654">
        <v>0.62</v>
      </c>
      <c r="M20654">
        <v>51157</v>
      </c>
      <c r="N20654" t="s">
        <v>998</v>
      </c>
      <c r="O20654">
        <v>250514</v>
      </c>
      <c r="P20654">
        <v>2.41</v>
      </c>
    </row>
    <row r="20655" spans="1:16" x14ac:dyDescent="0.25">
      <c r="A20655" t="s">
        <v>3296</v>
      </c>
      <c r="B20655" t="s">
        <v>2931</v>
      </c>
      <c r="C20655">
        <v>6582</v>
      </c>
      <c r="D20655" t="str">
        <f t="shared" si="386"/>
        <v xml:space="preserve">12519021693 </v>
      </c>
      <c r="E20655" t="s">
        <v>309</v>
      </c>
      <c r="F20655" t="s">
        <v>310</v>
      </c>
      <c r="G20655">
        <v>3</v>
      </c>
      <c r="H20655">
        <v>250430</v>
      </c>
      <c r="I20655">
        <v>4369</v>
      </c>
      <c r="J20655" t="s">
        <v>188</v>
      </c>
      <c r="K20655">
        <v>73.44</v>
      </c>
      <c r="L20655">
        <v>0.61</v>
      </c>
      <c r="M20655">
        <v>56526</v>
      </c>
      <c r="N20655" t="s">
        <v>506</v>
      </c>
      <c r="O20655">
        <v>250514</v>
      </c>
      <c r="P20655">
        <v>2.39</v>
      </c>
    </row>
    <row r="20656" spans="1:16" x14ac:dyDescent="0.25">
      <c r="A20656" t="s">
        <v>3296</v>
      </c>
      <c r="B20656" t="s">
        <v>2931</v>
      </c>
      <c r="C20656">
        <v>6582</v>
      </c>
      <c r="D20656" t="str">
        <f t="shared" si="386"/>
        <v xml:space="preserve">12519021693 </v>
      </c>
      <c r="E20656" t="s">
        <v>309</v>
      </c>
      <c r="F20656" t="s">
        <v>310</v>
      </c>
      <c r="G20656">
        <v>15</v>
      </c>
      <c r="H20656">
        <v>250430</v>
      </c>
      <c r="I20656">
        <v>4369</v>
      </c>
      <c r="J20656" t="s">
        <v>188</v>
      </c>
      <c r="K20656">
        <v>73.44</v>
      </c>
      <c r="L20656">
        <v>3.05</v>
      </c>
      <c r="M20656">
        <v>56558</v>
      </c>
      <c r="N20656" t="s">
        <v>50</v>
      </c>
      <c r="O20656">
        <v>250514</v>
      </c>
      <c r="P20656">
        <v>11.95</v>
      </c>
    </row>
    <row r="20657" spans="1:16" x14ac:dyDescent="0.25">
      <c r="A20657" t="s">
        <v>3296</v>
      </c>
      <c r="B20657" t="s">
        <v>2931</v>
      </c>
      <c r="C20657">
        <v>6582</v>
      </c>
      <c r="D20657" t="str">
        <f t="shared" si="386"/>
        <v xml:space="preserve">12519021693 </v>
      </c>
      <c r="E20657" t="s">
        <v>309</v>
      </c>
      <c r="F20657" t="s">
        <v>310</v>
      </c>
      <c r="G20657">
        <v>10.37</v>
      </c>
      <c r="H20657">
        <v>250430</v>
      </c>
      <c r="I20657">
        <v>4369</v>
      </c>
      <c r="J20657" t="s">
        <v>188</v>
      </c>
      <c r="K20657">
        <v>73.44</v>
      </c>
      <c r="L20657">
        <v>2.11</v>
      </c>
      <c r="M20657">
        <v>56559</v>
      </c>
      <c r="N20657" t="s">
        <v>51</v>
      </c>
      <c r="O20657">
        <v>250514</v>
      </c>
      <c r="P20657">
        <v>8.26</v>
      </c>
    </row>
    <row r="20658" spans="1:16" x14ac:dyDescent="0.25">
      <c r="A20658" t="s">
        <v>3296</v>
      </c>
      <c r="B20658" t="s">
        <v>2931</v>
      </c>
      <c r="C20658">
        <v>6582</v>
      </c>
      <c r="D20658" t="str">
        <f t="shared" si="386"/>
        <v xml:space="preserve">12519021693 </v>
      </c>
      <c r="E20658" t="s">
        <v>309</v>
      </c>
      <c r="F20658" t="s">
        <v>310</v>
      </c>
      <c r="G20658">
        <v>6.01</v>
      </c>
      <c r="H20658">
        <v>250430</v>
      </c>
      <c r="I20658">
        <v>4369</v>
      </c>
      <c r="J20658" t="s">
        <v>188</v>
      </c>
      <c r="K20658">
        <v>73.44</v>
      </c>
      <c r="L20658">
        <v>1.22</v>
      </c>
      <c r="M20658">
        <v>56560</v>
      </c>
      <c r="N20658" t="s">
        <v>52</v>
      </c>
      <c r="O20658">
        <v>250514</v>
      </c>
      <c r="P20658">
        <v>4.79</v>
      </c>
    </row>
    <row r="20659" spans="1:16" x14ac:dyDescent="0.25">
      <c r="A20659" t="s">
        <v>3296</v>
      </c>
      <c r="B20659" t="s">
        <v>2931</v>
      </c>
      <c r="C20659">
        <v>6582</v>
      </c>
      <c r="D20659" t="str">
        <f t="shared" si="386"/>
        <v xml:space="preserve">12519021693 </v>
      </c>
      <c r="E20659" t="s">
        <v>309</v>
      </c>
      <c r="F20659" t="s">
        <v>310</v>
      </c>
      <c r="G20659">
        <v>3</v>
      </c>
      <c r="H20659">
        <v>250430</v>
      </c>
      <c r="I20659">
        <v>4369</v>
      </c>
      <c r="J20659" t="s">
        <v>188</v>
      </c>
      <c r="K20659">
        <v>73.44</v>
      </c>
      <c r="L20659">
        <v>0.61</v>
      </c>
      <c r="M20659">
        <v>56561</v>
      </c>
      <c r="N20659" t="s">
        <v>53</v>
      </c>
      <c r="O20659">
        <v>250514</v>
      </c>
      <c r="P20659">
        <v>2.39</v>
      </c>
    </row>
    <row r="20660" spans="1:16" x14ac:dyDescent="0.25">
      <c r="A20660" t="s">
        <v>3296</v>
      </c>
      <c r="B20660" t="s">
        <v>2931</v>
      </c>
      <c r="C20660">
        <v>6582</v>
      </c>
      <c r="D20660" t="str">
        <f t="shared" si="386"/>
        <v xml:space="preserve">12519021693 </v>
      </c>
      <c r="E20660" t="s">
        <v>309</v>
      </c>
      <c r="F20660" t="s">
        <v>310</v>
      </c>
      <c r="G20660">
        <v>9.08</v>
      </c>
      <c r="H20660">
        <v>250430</v>
      </c>
      <c r="I20660">
        <v>4369</v>
      </c>
      <c r="J20660" t="s">
        <v>188</v>
      </c>
      <c r="K20660">
        <v>73.44</v>
      </c>
      <c r="L20660">
        <v>1.84</v>
      </c>
      <c r="M20660">
        <v>56562</v>
      </c>
      <c r="N20660" t="s">
        <v>54</v>
      </c>
      <c r="O20660">
        <v>250514</v>
      </c>
      <c r="P20660">
        <v>7.24</v>
      </c>
    </row>
    <row r="20661" spans="1:16" x14ac:dyDescent="0.25">
      <c r="A20661" t="s">
        <v>3296</v>
      </c>
      <c r="B20661" t="s">
        <v>2931</v>
      </c>
      <c r="C20661">
        <v>6582</v>
      </c>
      <c r="D20661" t="str">
        <f t="shared" si="386"/>
        <v xml:space="preserve">12519021693 </v>
      </c>
      <c r="E20661" t="s">
        <v>309</v>
      </c>
      <c r="F20661" t="s">
        <v>310</v>
      </c>
      <c r="G20661">
        <v>11.68</v>
      </c>
      <c r="H20661">
        <v>250430</v>
      </c>
      <c r="I20661">
        <v>4369</v>
      </c>
      <c r="J20661" t="s">
        <v>188</v>
      </c>
      <c r="K20661">
        <v>73.44</v>
      </c>
      <c r="L20661">
        <v>2.37</v>
      </c>
      <c r="M20661">
        <v>56564</v>
      </c>
      <c r="N20661" t="s">
        <v>56</v>
      </c>
      <c r="O20661">
        <v>250514</v>
      </c>
      <c r="P20661">
        <v>9.31</v>
      </c>
    </row>
    <row r="20662" spans="1:16" x14ac:dyDescent="0.25">
      <c r="A20662" t="s">
        <v>3296</v>
      </c>
      <c r="B20662" t="s">
        <v>2931</v>
      </c>
      <c r="C20662">
        <v>6582</v>
      </c>
      <c r="D20662" t="str">
        <f t="shared" si="386"/>
        <v xml:space="preserve">12519021693 </v>
      </c>
      <c r="E20662" t="s">
        <v>309</v>
      </c>
      <c r="F20662" t="s">
        <v>310</v>
      </c>
      <c r="G20662">
        <v>3.26</v>
      </c>
      <c r="H20662">
        <v>250430</v>
      </c>
      <c r="I20662">
        <v>4369</v>
      </c>
      <c r="J20662" t="s">
        <v>188</v>
      </c>
      <c r="K20662">
        <v>73.44</v>
      </c>
      <c r="L20662">
        <v>0.66</v>
      </c>
      <c r="M20662">
        <v>56565</v>
      </c>
      <c r="N20662" t="s">
        <v>57</v>
      </c>
      <c r="O20662">
        <v>250514</v>
      </c>
      <c r="P20662">
        <v>2.6</v>
      </c>
    </row>
    <row r="20663" spans="1:16" x14ac:dyDescent="0.25">
      <c r="A20663" t="s">
        <v>3296</v>
      </c>
      <c r="B20663" t="s">
        <v>2931</v>
      </c>
      <c r="C20663">
        <v>6582</v>
      </c>
      <c r="D20663" t="str">
        <f t="shared" si="386"/>
        <v xml:space="preserve">12519021693 </v>
      </c>
      <c r="E20663" t="s">
        <v>309</v>
      </c>
      <c r="F20663" t="s">
        <v>310</v>
      </c>
      <c r="G20663">
        <v>6.01</v>
      </c>
      <c r="H20663">
        <v>250430</v>
      </c>
      <c r="I20663">
        <v>4369</v>
      </c>
      <c r="J20663" t="s">
        <v>188</v>
      </c>
      <c r="K20663">
        <v>73.44</v>
      </c>
      <c r="L20663">
        <v>1.22</v>
      </c>
      <c r="M20663">
        <v>56566</v>
      </c>
      <c r="N20663" t="s">
        <v>58</v>
      </c>
      <c r="O20663">
        <v>250514</v>
      </c>
      <c r="P20663">
        <v>4.79</v>
      </c>
    </row>
    <row r="20664" spans="1:16" x14ac:dyDescent="0.25">
      <c r="A20664" t="s">
        <v>3296</v>
      </c>
      <c r="B20664" t="s">
        <v>2931</v>
      </c>
      <c r="C20664">
        <v>6582</v>
      </c>
      <c r="D20664" t="str">
        <f t="shared" si="386"/>
        <v xml:space="preserve">12519021693 </v>
      </c>
      <c r="E20664" t="s">
        <v>309</v>
      </c>
      <c r="F20664" t="s">
        <v>310</v>
      </c>
      <c r="G20664">
        <v>3</v>
      </c>
      <c r="H20664">
        <v>250430</v>
      </c>
      <c r="I20664">
        <v>4369</v>
      </c>
      <c r="J20664" t="s">
        <v>188</v>
      </c>
      <c r="K20664">
        <v>73.44</v>
      </c>
      <c r="L20664">
        <v>0.61</v>
      </c>
      <c r="M20664">
        <v>56568</v>
      </c>
      <c r="N20664" t="s">
        <v>354</v>
      </c>
      <c r="O20664">
        <v>250514</v>
      </c>
      <c r="P20664">
        <v>2.39</v>
      </c>
    </row>
    <row r="20665" spans="1:16" x14ac:dyDescent="0.25">
      <c r="A20665" t="s">
        <v>3296</v>
      </c>
      <c r="B20665" t="s">
        <v>2931</v>
      </c>
      <c r="C20665">
        <v>6605</v>
      </c>
      <c r="D20665" t="str">
        <f>"12519021716 "</f>
        <v xml:space="preserve">12519021716 </v>
      </c>
      <c r="E20665" t="s">
        <v>309</v>
      </c>
      <c r="F20665" t="s">
        <v>310</v>
      </c>
      <c r="G20665">
        <v>3.45</v>
      </c>
      <c r="H20665">
        <v>250430</v>
      </c>
      <c r="I20665">
        <v>4369</v>
      </c>
      <c r="J20665" t="s">
        <v>188</v>
      </c>
      <c r="K20665">
        <v>10.64</v>
      </c>
      <c r="L20665">
        <v>0.7</v>
      </c>
      <c r="M20665">
        <v>11901</v>
      </c>
      <c r="N20665" t="s">
        <v>31</v>
      </c>
      <c r="O20665">
        <v>250514</v>
      </c>
      <c r="P20665">
        <v>2.75</v>
      </c>
    </row>
    <row r="20666" spans="1:16" x14ac:dyDescent="0.25">
      <c r="A20666" t="s">
        <v>3296</v>
      </c>
      <c r="B20666" t="s">
        <v>2931</v>
      </c>
      <c r="C20666">
        <v>6605</v>
      </c>
      <c r="D20666" t="str">
        <f>"12519021716 "</f>
        <v xml:space="preserve">12519021716 </v>
      </c>
      <c r="E20666" t="s">
        <v>309</v>
      </c>
      <c r="F20666" t="s">
        <v>310</v>
      </c>
      <c r="G20666">
        <v>3.8</v>
      </c>
      <c r="H20666">
        <v>250430</v>
      </c>
      <c r="I20666">
        <v>4369</v>
      </c>
      <c r="J20666" t="s">
        <v>188</v>
      </c>
      <c r="K20666">
        <v>10.64</v>
      </c>
      <c r="L20666">
        <v>0.77</v>
      </c>
      <c r="M20666">
        <v>11903</v>
      </c>
      <c r="N20666" t="s">
        <v>32</v>
      </c>
      <c r="O20666">
        <v>250514</v>
      </c>
      <c r="P20666">
        <v>3.03</v>
      </c>
    </row>
    <row r="20667" spans="1:16" x14ac:dyDescent="0.25">
      <c r="A20667" t="s">
        <v>3296</v>
      </c>
      <c r="B20667" t="s">
        <v>2931</v>
      </c>
      <c r="C20667">
        <v>6605</v>
      </c>
      <c r="D20667" t="str">
        <f>"12519021716 "</f>
        <v xml:space="preserve">12519021716 </v>
      </c>
      <c r="E20667" t="s">
        <v>309</v>
      </c>
      <c r="F20667" t="s">
        <v>310</v>
      </c>
      <c r="G20667">
        <v>3.39</v>
      </c>
      <c r="H20667">
        <v>250430</v>
      </c>
      <c r="I20667">
        <v>4369</v>
      </c>
      <c r="J20667" t="s">
        <v>188</v>
      </c>
      <c r="K20667">
        <v>10.64</v>
      </c>
      <c r="L20667">
        <v>0.69</v>
      </c>
      <c r="M20667">
        <v>11903</v>
      </c>
      <c r="N20667" t="s">
        <v>32</v>
      </c>
      <c r="O20667">
        <v>250514</v>
      </c>
      <c r="P20667">
        <v>2.7</v>
      </c>
    </row>
    <row r="20668" spans="1:16" x14ac:dyDescent="0.25">
      <c r="A20668" t="s">
        <v>3296</v>
      </c>
      <c r="B20668" t="s">
        <v>2931</v>
      </c>
      <c r="C20668">
        <v>6606</v>
      </c>
      <c r="D20668" t="str">
        <f>"12519021718 "</f>
        <v xml:space="preserve">12519021718 </v>
      </c>
      <c r="E20668" t="s">
        <v>309</v>
      </c>
      <c r="F20668" t="s">
        <v>310</v>
      </c>
      <c r="G20668">
        <v>2.52</v>
      </c>
      <c r="H20668">
        <v>250430</v>
      </c>
      <c r="I20668">
        <v>4369</v>
      </c>
      <c r="J20668" t="s">
        <v>188</v>
      </c>
      <c r="K20668">
        <v>23.69</v>
      </c>
      <c r="L20668">
        <v>0.51</v>
      </c>
      <c r="M20668">
        <v>53222</v>
      </c>
      <c r="N20668" t="s">
        <v>41</v>
      </c>
      <c r="O20668">
        <v>250514</v>
      </c>
      <c r="P20668">
        <v>2.0099999999999998</v>
      </c>
    </row>
    <row r="20669" spans="1:16" x14ac:dyDescent="0.25">
      <c r="A20669" t="s">
        <v>3296</v>
      </c>
      <c r="B20669" t="s">
        <v>2931</v>
      </c>
      <c r="C20669">
        <v>6606</v>
      </c>
      <c r="D20669" t="str">
        <f>"12519021718 "</f>
        <v xml:space="preserve">12519021718 </v>
      </c>
      <c r="E20669" t="s">
        <v>309</v>
      </c>
      <c r="F20669" t="s">
        <v>310</v>
      </c>
      <c r="G20669">
        <v>14.27</v>
      </c>
      <c r="H20669">
        <v>250430</v>
      </c>
      <c r="I20669">
        <v>4369</v>
      </c>
      <c r="J20669" t="s">
        <v>188</v>
      </c>
      <c r="K20669">
        <v>23.69</v>
      </c>
      <c r="L20669">
        <v>2.9</v>
      </c>
      <c r="M20669">
        <v>53222</v>
      </c>
      <c r="N20669" t="s">
        <v>41</v>
      </c>
      <c r="O20669">
        <v>250514</v>
      </c>
      <c r="P20669">
        <v>11.37</v>
      </c>
    </row>
    <row r="20670" spans="1:16" x14ac:dyDescent="0.25">
      <c r="A20670" t="s">
        <v>3296</v>
      </c>
      <c r="B20670" t="s">
        <v>2931</v>
      </c>
      <c r="C20670">
        <v>6606</v>
      </c>
      <c r="D20670" t="str">
        <f>"12519021718 "</f>
        <v xml:space="preserve">12519021718 </v>
      </c>
      <c r="E20670" t="s">
        <v>309</v>
      </c>
      <c r="F20670" t="s">
        <v>310</v>
      </c>
      <c r="G20670">
        <v>3.4</v>
      </c>
      <c r="H20670">
        <v>250430</v>
      </c>
      <c r="I20670">
        <v>4369</v>
      </c>
      <c r="J20670" t="s">
        <v>188</v>
      </c>
      <c r="K20670">
        <v>23.69</v>
      </c>
      <c r="L20670">
        <v>0.69</v>
      </c>
      <c r="M20670">
        <v>54622</v>
      </c>
      <c r="N20670" t="s">
        <v>42</v>
      </c>
      <c r="O20670">
        <v>250514</v>
      </c>
      <c r="P20670">
        <v>2.71</v>
      </c>
    </row>
    <row r="20671" spans="1:16" x14ac:dyDescent="0.25">
      <c r="A20671" t="s">
        <v>3296</v>
      </c>
      <c r="B20671" t="s">
        <v>2931</v>
      </c>
      <c r="C20671">
        <v>6606</v>
      </c>
      <c r="D20671" t="str">
        <f>"12519021718 "</f>
        <v xml:space="preserve">12519021718 </v>
      </c>
      <c r="E20671" t="s">
        <v>309</v>
      </c>
      <c r="F20671" t="s">
        <v>310</v>
      </c>
      <c r="G20671">
        <v>3.5</v>
      </c>
      <c r="H20671">
        <v>250430</v>
      </c>
      <c r="I20671">
        <v>4369</v>
      </c>
      <c r="J20671" t="s">
        <v>188</v>
      </c>
      <c r="K20671">
        <v>23.69</v>
      </c>
      <c r="L20671">
        <v>0.71</v>
      </c>
      <c r="M20671">
        <v>55222</v>
      </c>
      <c r="N20671" t="s">
        <v>43</v>
      </c>
      <c r="O20671">
        <v>250514</v>
      </c>
      <c r="P20671">
        <v>2.79</v>
      </c>
    </row>
    <row r="20672" spans="1:16" x14ac:dyDescent="0.25">
      <c r="A20672" t="s">
        <v>3296</v>
      </c>
      <c r="B20672" t="s">
        <v>2931</v>
      </c>
      <c r="C20672">
        <v>6609</v>
      </c>
      <c r="D20672" t="str">
        <f>"12519021717 "</f>
        <v xml:space="preserve">12519021717 </v>
      </c>
      <c r="E20672" t="s">
        <v>309</v>
      </c>
      <c r="F20672" t="s">
        <v>310</v>
      </c>
      <c r="G20672">
        <v>3.2</v>
      </c>
      <c r="H20672">
        <v>250430</v>
      </c>
      <c r="I20672">
        <v>4369</v>
      </c>
      <c r="J20672" t="s">
        <v>188</v>
      </c>
      <c r="K20672">
        <v>3.2</v>
      </c>
      <c r="L20672">
        <v>0.65</v>
      </c>
      <c r="M20672">
        <v>13803</v>
      </c>
      <c r="N20672" t="s">
        <v>1869</v>
      </c>
      <c r="O20672">
        <v>250514</v>
      </c>
      <c r="P20672">
        <v>2.5499999999999998</v>
      </c>
    </row>
    <row r="20673" spans="1:16" x14ac:dyDescent="0.25">
      <c r="A20673" t="s">
        <v>3296</v>
      </c>
      <c r="B20673" t="s">
        <v>2931</v>
      </c>
      <c r="C20673">
        <v>6612</v>
      </c>
      <c r="D20673" t="str">
        <f t="shared" ref="D20673:D20679" si="387">"12519021691 "</f>
        <v xml:space="preserve">12519021691 </v>
      </c>
      <c r="E20673" t="s">
        <v>309</v>
      </c>
      <c r="F20673" t="s">
        <v>310</v>
      </c>
      <c r="G20673">
        <v>22.78</v>
      </c>
      <c r="H20673">
        <v>250430</v>
      </c>
      <c r="I20673">
        <v>4369</v>
      </c>
      <c r="J20673" t="s">
        <v>188</v>
      </c>
      <c r="K20673">
        <v>58.26</v>
      </c>
      <c r="L20673">
        <v>4.63</v>
      </c>
      <c r="M20673">
        <v>54222</v>
      </c>
      <c r="N20673" t="s">
        <v>48</v>
      </c>
      <c r="O20673">
        <v>250514</v>
      </c>
      <c r="P20673">
        <v>18.149999999999999</v>
      </c>
    </row>
    <row r="20674" spans="1:16" x14ac:dyDescent="0.25">
      <c r="A20674" t="s">
        <v>3296</v>
      </c>
      <c r="B20674" t="s">
        <v>2931</v>
      </c>
      <c r="C20674">
        <v>6612</v>
      </c>
      <c r="D20674" t="str">
        <f t="shared" si="387"/>
        <v xml:space="preserve">12519021691 </v>
      </c>
      <c r="E20674" t="s">
        <v>309</v>
      </c>
      <c r="F20674" t="s">
        <v>310</v>
      </c>
      <c r="G20674">
        <v>3.26</v>
      </c>
      <c r="H20674">
        <v>250430</v>
      </c>
      <c r="I20674">
        <v>4369</v>
      </c>
      <c r="J20674" t="s">
        <v>188</v>
      </c>
      <c r="K20674">
        <v>58.26</v>
      </c>
      <c r="L20674">
        <v>0.66</v>
      </c>
      <c r="M20674">
        <v>54251</v>
      </c>
      <c r="N20674" t="s">
        <v>485</v>
      </c>
      <c r="O20674">
        <v>250514</v>
      </c>
      <c r="P20674">
        <v>2.6</v>
      </c>
    </row>
    <row r="20675" spans="1:16" x14ac:dyDescent="0.25">
      <c r="A20675" t="s">
        <v>3296</v>
      </c>
      <c r="B20675" t="s">
        <v>2931</v>
      </c>
      <c r="C20675">
        <v>6612</v>
      </c>
      <c r="D20675" t="str">
        <f t="shared" si="387"/>
        <v xml:space="preserve">12519021691 </v>
      </c>
      <c r="E20675" t="s">
        <v>309</v>
      </c>
      <c r="F20675" t="s">
        <v>310</v>
      </c>
      <c r="G20675">
        <v>3.26</v>
      </c>
      <c r="H20675">
        <v>250430</v>
      </c>
      <c r="I20675">
        <v>4369</v>
      </c>
      <c r="J20675" t="s">
        <v>188</v>
      </c>
      <c r="K20675">
        <v>58.26</v>
      </c>
      <c r="L20675">
        <v>0.66</v>
      </c>
      <c r="M20675">
        <v>54252</v>
      </c>
      <c r="N20675" t="s">
        <v>742</v>
      </c>
      <c r="O20675">
        <v>250514</v>
      </c>
      <c r="P20675">
        <v>2.6</v>
      </c>
    </row>
    <row r="20676" spans="1:16" x14ac:dyDescent="0.25">
      <c r="A20676" t="s">
        <v>3296</v>
      </c>
      <c r="B20676" t="s">
        <v>2931</v>
      </c>
      <c r="C20676">
        <v>6612</v>
      </c>
      <c r="D20676" t="str">
        <f t="shared" si="387"/>
        <v xml:space="preserve">12519021691 </v>
      </c>
      <c r="E20676" t="s">
        <v>309</v>
      </c>
      <c r="F20676" t="s">
        <v>310</v>
      </c>
      <c r="G20676">
        <v>9.41</v>
      </c>
      <c r="H20676">
        <v>250430</v>
      </c>
      <c r="I20676">
        <v>4369</v>
      </c>
      <c r="J20676" t="s">
        <v>188</v>
      </c>
      <c r="K20676">
        <v>58.26</v>
      </c>
      <c r="L20676">
        <v>1.91</v>
      </c>
      <c r="M20676">
        <v>54422</v>
      </c>
      <c r="N20676" t="s">
        <v>49</v>
      </c>
      <c r="O20676">
        <v>250514</v>
      </c>
      <c r="P20676">
        <v>7.5</v>
      </c>
    </row>
    <row r="20677" spans="1:16" x14ac:dyDescent="0.25">
      <c r="A20677" t="s">
        <v>3296</v>
      </c>
      <c r="B20677" t="s">
        <v>2931</v>
      </c>
      <c r="C20677">
        <v>6612</v>
      </c>
      <c r="D20677" t="str">
        <f t="shared" si="387"/>
        <v xml:space="preserve">12519021691 </v>
      </c>
      <c r="E20677" t="s">
        <v>309</v>
      </c>
      <c r="F20677" t="s">
        <v>310</v>
      </c>
      <c r="G20677">
        <v>6.51</v>
      </c>
      <c r="H20677">
        <v>250430</v>
      </c>
      <c r="I20677">
        <v>4369</v>
      </c>
      <c r="J20677" t="s">
        <v>188</v>
      </c>
      <c r="K20677">
        <v>58.26</v>
      </c>
      <c r="L20677">
        <v>1.32</v>
      </c>
      <c r="M20677">
        <v>54451</v>
      </c>
      <c r="N20677" t="s">
        <v>218</v>
      </c>
      <c r="O20677">
        <v>250514</v>
      </c>
      <c r="P20677">
        <v>5.19</v>
      </c>
    </row>
    <row r="20678" spans="1:16" x14ac:dyDescent="0.25">
      <c r="A20678" t="s">
        <v>3296</v>
      </c>
      <c r="B20678" t="s">
        <v>2931</v>
      </c>
      <c r="C20678">
        <v>6612</v>
      </c>
      <c r="D20678" t="str">
        <f t="shared" si="387"/>
        <v xml:space="preserve">12519021691 </v>
      </c>
      <c r="E20678" t="s">
        <v>309</v>
      </c>
      <c r="F20678" t="s">
        <v>310</v>
      </c>
      <c r="G20678">
        <v>6.53</v>
      </c>
      <c r="H20678">
        <v>250430</v>
      </c>
      <c r="I20678">
        <v>4369</v>
      </c>
      <c r="J20678" t="s">
        <v>188</v>
      </c>
      <c r="K20678">
        <v>58.26</v>
      </c>
      <c r="L20678">
        <v>1.33</v>
      </c>
      <c r="M20678">
        <v>56563</v>
      </c>
      <c r="N20678" t="s">
        <v>55</v>
      </c>
      <c r="O20678">
        <v>250514</v>
      </c>
      <c r="P20678">
        <v>5.2</v>
      </c>
    </row>
    <row r="20679" spans="1:16" x14ac:dyDescent="0.25">
      <c r="A20679" t="s">
        <v>3296</v>
      </c>
      <c r="B20679" t="s">
        <v>2931</v>
      </c>
      <c r="C20679">
        <v>6612</v>
      </c>
      <c r="D20679" t="str">
        <f t="shared" si="387"/>
        <v xml:space="preserve">12519021691 </v>
      </c>
      <c r="E20679" t="s">
        <v>309</v>
      </c>
      <c r="F20679" t="s">
        <v>310</v>
      </c>
      <c r="G20679">
        <v>6.51</v>
      </c>
      <c r="H20679">
        <v>250430</v>
      </c>
      <c r="I20679">
        <v>4369</v>
      </c>
      <c r="J20679" t="s">
        <v>188</v>
      </c>
      <c r="K20679">
        <v>58.26</v>
      </c>
      <c r="L20679">
        <v>1.32</v>
      </c>
      <c r="M20679">
        <v>58601</v>
      </c>
      <c r="N20679" t="s">
        <v>59</v>
      </c>
      <c r="O20679">
        <v>250514</v>
      </c>
      <c r="P20679">
        <v>5.19</v>
      </c>
    </row>
    <row r="20680" spans="1:16" x14ac:dyDescent="0.25">
      <c r="A20680" t="s">
        <v>3296</v>
      </c>
      <c r="B20680" t="s">
        <v>2931</v>
      </c>
      <c r="C20680">
        <v>6618</v>
      </c>
      <c r="D20680" t="str">
        <f t="shared" ref="D20680:D20689" si="388">"12519021710 "</f>
        <v xml:space="preserve">12519021710 </v>
      </c>
      <c r="E20680" t="s">
        <v>309</v>
      </c>
      <c r="F20680" t="s">
        <v>310</v>
      </c>
      <c r="G20680">
        <v>16.95</v>
      </c>
      <c r="H20680">
        <v>250430</v>
      </c>
      <c r="I20680">
        <v>4369</v>
      </c>
      <c r="J20680" t="s">
        <v>188</v>
      </c>
      <c r="K20680">
        <v>113.82</v>
      </c>
      <c r="L20680">
        <v>3.44</v>
      </c>
      <c r="M20680">
        <v>17131</v>
      </c>
      <c r="N20680" t="s">
        <v>154</v>
      </c>
      <c r="O20680">
        <v>250514</v>
      </c>
      <c r="P20680">
        <v>13.51</v>
      </c>
    </row>
    <row r="20681" spans="1:16" x14ac:dyDescent="0.25">
      <c r="A20681" t="s">
        <v>3296</v>
      </c>
      <c r="B20681" t="s">
        <v>2931</v>
      </c>
      <c r="C20681">
        <v>6618</v>
      </c>
      <c r="D20681" t="str">
        <f t="shared" si="388"/>
        <v xml:space="preserve">12519021710 </v>
      </c>
      <c r="E20681" t="s">
        <v>309</v>
      </c>
      <c r="F20681" t="s">
        <v>310</v>
      </c>
      <c r="G20681">
        <v>13.55</v>
      </c>
      <c r="H20681">
        <v>250430</v>
      </c>
      <c r="I20681">
        <v>4369</v>
      </c>
      <c r="J20681" t="s">
        <v>188</v>
      </c>
      <c r="K20681">
        <v>113.82</v>
      </c>
      <c r="L20681">
        <v>2.75</v>
      </c>
      <c r="M20681">
        <v>17711</v>
      </c>
      <c r="N20681" t="s">
        <v>155</v>
      </c>
      <c r="O20681">
        <v>250514</v>
      </c>
      <c r="P20681">
        <v>10.8</v>
      </c>
    </row>
    <row r="20682" spans="1:16" x14ac:dyDescent="0.25">
      <c r="A20682" t="s">
        <v>3296</v>
      </c>
      <c r="B20682" t="s">
        <v>2931</v>
      </c>
      <c r="C20682">
        <v>6618</v>
      </c>
      <c r="D20682" t="str">
        <f t="shared" si="388"/>
        <v xml:space="preserve">12519021710 </v>
      </c>
      <c r="E20682" t="s">
        <v>309</v>
      </c>
      <c r="F20682" t="s">
        <v>310</v>
      </c>
      <c r="G20682">
        <v>6.78</v>
      </c>
      <c r="H20682">
        <v>250430</v>
      </c>
      <c r="I20682">
        <v>4369</v>
      </c>
      <c r="J20682" t="s">
        <v>188</v>
      </c>
      <c r="K20682">
        <v>113.82</v>
      </c>
      <c r="L20682">
        <v>1.38</v>
      </c>
      <c r="M20682">
        <v>17737</v>
      </c>
      <c r="N20682" t="s">
        <v>156</v>
      </c>
      <c r="O20682">
        <v>250514</v>
      </c>
      <c r="P20682">
        <v>5.4</v>
      </c>
    </row>
    <row r="20683" spans="1:16" x14ac:dyDescent="0.25">
      <c r="A20683" t="s">
        <v>3296</v>
      </c>
      <c r="B20683" t="s">
        <v>2931</v>
      </c>
      <c r="C20683">
        <v>6618</v>
      </c>
      <c r="D20683" t="str">
        <f t="shared" si="388"/>
        <v xml:space="preserve">12519021710 </v>
      </c>
      <c r="E20683" t="s">
        <v>309</v>
      </c>
      <c r="F20683" t="s">
        <v>310</v>
      </c>
      <c r="G20683">
        <v>21.34</v>
      </c>
      <c r="H20683">
        <v>250430</v>
      </c>
      <c r="I20683">
        <v>4369</v>
      </c>
      <c r="J20683" t="s">
        <v>188</v>
      </c>
      <c r="K20683">
        <v>113.82</v>
      </c>
      <c r="L20683">
        <v>4.34</v>
      </c>
      <c r="M20683">
        <v>17737</v>
      </c>
      <c r="N20683" t="s">
        <v>156</v>
      </c>
      <c r="O20683">
        <v>250514</v>
      </c>
      <c r="P20683">
        <v>17</v>
      </c>
    </row>
    <row r="20684" spans="1:16" x14ac:dyDescent="0.25">
      <c r="A20684" t="s">
        <v>3296</v>
      </c>
      <c r="B20684" t="s">
        <v>2931</v>
      </c>
      <c r="C20684">
        <v>6618</v>
      </c>
      <c r="D20684" t="str">
        <f t="shared" si="388"/>
        <v xml:space="preserve">12519021710 </v>
      </c>
      <c r="E20684" t="s">
        <v>309</v>
      </c>
      <c r="F20684" t="s">
        <v>310</v>
      </c>
      <c r="G20684">
        <v>16.75</v>
      </c>
      <c r="H20684">
        <v>250430</v>
      </c>
      <c r="I20684">
        <v>4369</v>
      </c>
      <c r="J20684" t="s">
        <v>188</v>
      </c>
      <c r="K20684">
        <v>113.82</v>
      </c>
      <c r="L20684">
        <v>3.4</v>
      </c>
      <c r="M20684">
        <v>17737</v>
      </c>
      <c r="N20684" t="s">
        <v>156</v>
      </c>
      <c r="O20684">
        <v>250514</v>
      </c>
      <c r="P20684">
        <v>13.35</v>
      </c>
    </row>
    <row r="20685" spans="1:16" x14ac:dyDescent="0.25">
      <c r="A20685" t="s">
        <v>3296</v>
      </c>
      <c r="B20685" t="s">
        <v>2931</v>
      </c>
      <c r="C20685">
        <v>6618</v>
      </c>
      <c r="D20685" t="str">
        <f t="shared" si="388"/>
        <v xml:space="preserve">12519021710 </v>
      </c>
      <c r="E20685" t="s">
        <v>309</v>
      </c>
      <c r="F20685" t="s">
        <v>310</v>
      </c>
      <c r="G20685">
        <v>3.39</v>
      </c>
      <c r="H20685">
        <v>250430</v>
      </c>
      <c r="I20685">
        <v>4369</v>
      </c>
      <c r="J20685" t="s">
        <v>188</v>
      </c>
      <c r="K20685">
        <v>113.82</v>
      </c>
      <c r="L20685">
        <v>0.69</v>
      </c>
      <c r="M20685">
        <v>17912</v>
      </c>
      <c r="N20685" t="s">
        <v>505</v>
      </c>
      <c r="O20685">
        <v>250514</v>
      </c>
      <c r="P20685">
        <v>2.7</v>
      </c>
    </row>
    <row r="20686" spans="1:16" x14ac:dyDescent="0.25">
      <c r="A20686" t="s">
        <v>3296</v>
      </c>
      <c r="B20686" t="s">
        <v>2931</v>
      </c>
      <c r="C20686">
        <v>6618</v>
      </c>
      <c r="D20686" t="str">
        <f t="shared" si="388"/>
        <v xml:space="preserve">12519021710 </v>
      </c>
      <c r="E20686" t="s">
        <v>309</v>
      </c>
      <c r="F20686" t="s">
        <v>310</v>
      </c>
      <c r="G20686">
        <v>4.38</v>
      </c>
      <c r="H20686">
        <v>250430</v>
      </c>
      <c r="I20686">
        <v>4369</v>
      </c>
      <c r="J20686" t="s">
        <v>188</v>
      </c>
      <c r="K20686">
        <v>113.82</v>
      </c>
      <c r="L20686">
        <v>0.89</v>
      </c>
      <c r="M20686">
        <v>17915</v>
      </c>
      <c r="N20686" t="s">
        <v>305</v>
      </c>
      <c r="O20686">
        <v>250514</v>
      </c>
      <c r="P20686">
        <v>3.49</v>
      </c>
    </row>
    <row r="20687" spans="1:16" x14ac:dyDescent="0.25">
      <c r="A20687" t="s">
        <v>3296</v>
      </c>
      <c r="B20687" t="s">
        <v>2931</v>
      </c>
      <c r="C20687">
        <v>6618</v>
      </c>
      <c r="D20687" t="str">
        <f t="shared" si="388"/>
        <v xml:space="preserve">12519021710 </v>
      </c>
      <c r="E20687" t="s">
        <v>309</v>
      </c>
      <c r="F20687" t="s">
        <v>310</v>
      </c>
      <c r="G20687">
        <v>13.6</v>
      </c>
      <c r="H20687">
        <v>250430</v>
      </c>
      <c r="I20687">
        <v>4369</v>
      </c>
      <c r="J20687" t="s">
        <v>188</v>
      </c>
      <c r="K20687">
        <v>113.82</v>
      </c>
      <c r="L20687">
        <v>2.76</v>
      </c>
      <c r="M20687">
        <v>17952</v>
      </c>
      <c r="N20687" t="s">
        <v>157</v>
      </c>
      <c r="O20687">
        <v>250514</v>
      </c>
      <c r="P20687">
        <v>10.84</v>
      </c>
    </row>
    <row r="20688" spans="1:16" x14ac:dyDescent="0.25">
      <c r="A20688" t="s">
        <v>3296</v>
      </c>
      <c r="B20688" t="s">
        <v>2931</v>
      </c>
      <c r="C20688">
        <v>6618</v>
      </c>
      <c r="D20688" t="str">
        <f t="shared" si="388"/>
        <v xml:space="preserve">12519021710 </v>
      </c>
      <c r="E20688" t="s">
        <v>309</v>
      </c>
      <c r="F20688" t="s">
        <v>310</v>
      </c>
      <c r="G20688">
        <v>9.68</v>
      </c>
      <c r="H20688">
        <v>250430</v>
      </c>
      <c r="I20688">
        <v>4369</v>
      </c>
      <c r="J20688" t="s">
        <v>188</v>
      </c>
      <c r="K20688">
        <v>113.82</v>
      </c>
      <c r="L20688">
        <v>1.97</v>
      </c>
      <c r="M20688">
        <v>17971</v>
      </c>
      <c r="N20688" t="s">
        <v>27</v>
      </c>
      <c r="O20688">
        <v>250514</v>
      </c>
      <c r="P20688">
        <v>7.71</v>
      </c>
    </row>
    <row r="20689" spans="1:16" x14ac:dyDescent="0.25">
      <c r="A20689" t="s">
        <v>3296</v>
      </c>
      <c r="B20689" t="s">
        <v>2931</v>
      </c>
      <c r="C20689">
        <v>6618</v>
      </c>
      <c r="D20689" t="str">
        <f t="shared" si="388"/>
        <v xml:space="preserve">12519021710 </v>
      </c>
      <c r="E20689" t="s">
        <v>309</v>
      </c>
      <c r="F20689" t="s">
        <v>310</v>
      </c>
      <c r="G20689">
        <v>7.4</v>
      </c>
      <c r="H20689">
        <v>250430</v>
      </c>
      <c r="I20689">
        <v>4369</v>
      </c>
      <c r="J20689" t="s">
        <v>188</v>
      </c>
      <c r="K20689">
        <v>113.82</v>
      </c>
      <c r="L20689">
        <v>1.5</v>
      </c>
      <c r="M20689">
        <v>17972</v>
      </c>
      <c r="N20689" t="s">
        <v>28</v>
      </c>
      <c r="O20689">
        <v>250514</v>
      </c>
      <c r="P20689">
        <v>5.9</v>
      </c>
    </row>
    <row r="20690" spans="1:16" x14ac:dyDescent="0.25">
      <c r="A20690" t="s">
        <v>3296</v>
      </c>
      <c r="B20690" t="s">
        <v>2931</v>
      </c>
      <c r="C20690">
        <v>6621</v>
      </c>
      <c r="D20690" t="str">
        <f>"12519021698 "</f>
        <v xml:space="preserve">12519021698 </v>
      </c>
      <c r="E20690" t="s">
        <v>309</v>
      </c>
      <c r="F20690" t="s">
        <v>310</v>
      </c>
      <c r="G20690">
        <v>16.96</v>
      </c>
      <c r="H20690">
        <v>250430</v>
      </c>
      <c r="I20690">
        <v>4369</v>
      </c>
      <c r="J20690" t="s">
        <v>188</v>
      </c>
      <c r="K20690">
        <v>20.83</v>
      </c>
      <c r="L20690">
        <v>3.45</v>
      </c>
      <c r="M20690">
        <v>47522</v>
      </c>
      <c r="N20690" t="s">
        <v>106</v>
      </c>
      <c r="O20690">
        <v>250514</v>
      </c>
      <c r="P20690">
        <v>13.51</v>
      </c>
    </row>
    <row r="20691" spans="1:16" x14ac:dyDescent="0.25">
      <c r="A20691" t="s">
        <v>3296</v>
      </c>
      <c r="B20691" t="s">
        <v>2931</v>
      </c>
      <c r="C20691">
        <v>6621</v>
      </c>
      <c r="D20691" t="str">
        <f>"12519021698 "</f>
        <v xml:space="preserve">12519021698 </v>
      </c>
      <c r="E20691" t="s">
        <v>309</v>
      </c>
      <c r="F20691" t="s">
        <v>310</v>
      </c>
      <c r="G20691">
        <v>3.87</v>
      </c>
      <c r="H20691">
        <v>250430</v>
      </c>
      <c r="I20691">
        <v>4369</v>
      </c>
      <c r="J20691" t="s">
        <v>188</v>
      </c>
      <c r="K20691">
        <v>20.83</v>
      </c>
      <c r="L20691">
        <v>0.79</v>
      </c>
      <c r="M20691">
        <v>49702</v>
      </c>
      <c r="N20691" t="s">
        <v>112</v>
      </c>
      <c r="O20691">
        <v>250514</v>
      </c>
      <c r="P20691">
        <v>3.08</v>
      </c>
    </row>
    <row r="20692" spans="1:16" x14ac:dyDescent="0.25">
      <c r="A20692" t="s">
        <v>3296</v>
      </c>
      <c r="B20692" t="s">
        <v>2931</v>
      </c>
      <c r="C20692">
        <v>6625</v>
      </c>
      <c r="D20692" t="str">
        <f t="shared" ref="D20692:D20700" si="389">"12519021694 "</f>
        <v xml:space="preserve">12519021694 </v>
      </c>
      <c r="E20692" t="s">
        <v>309</v>
      </c>
      <c r="F20692" t="s">
        <v>310</v>
      </c>
      <c r="G20692">
        <v>6.78</v>
      </c>
      <c r="H20692">
        <v>250430</v>
      </c>
      <c r="I20692">
        <v>4369</v>
      </c>
      <c r="J20692" t="s">
        <v>188</v>
      </c>
      <c r="K20692">
        <v>52.03</v>
      </c>
      <c r="L20692">
        <v>1.38</v>
      </c>
      <c r="M20692">
        <v>13901</v>
      </c>
      <c r="N20692" t="s">
        <v>116</v>
      </c>
      <c r="O20692">
        <v>250514</v>
      </c>
      <c r="P20692">
        <v>5.4</v>
      </c>
    </row>
    <row r="20693" spans="1:16" x14ac:dyDescent="0.25">
      <c r="A20693" t="s">
        <v>3296</v>
      </c>
      <c r="B20693" t="s">
        <v>2931</v>
      </c>
      <c r="C20693">
        <v>6625</v>
      </c>
      <c r="D20693" t="str">
        <f t="shared" si="389"/>
        <v xml:space="preserve">12519021694 </v>
      </c>
      <c r="E20693" t="s">
        <v>309</v>
      </c>
      <c r="F20693" t="s">
        <v>310</v>
      </c>
      <c r="G20693">
        <v>3.39</v>
      </c>
      <c r="H20693">
        <v>250430</v>
      </c>
      <c r="I20693">
        <v>4369</v>
      </c>
      <c r="J20693" t="s">
        <v>188</v>
      </c>
      <c r="K20693">
        <v>52.03</v>
      </c>
      <c r="L20693">
        <v>0.69</v>
      </c>
      <c r="M20693">
        <v>13901</v>
      </c>
      <c r="N20693" t="s">
        <v>116</v>
      </c>
      <c r="O20693">
        <v>250514</v>
      </c>
      <c r="P20693">
        <v>2.7</v>
      </c>
    </row>
    <row r="20694" spans="1:16" x14ac:dyDescent="0.25">
      <c r="A20694" t="s">
        <v>3296</v>
      </c>
      <c r="B20694" t="s">
        <v>2931</v>
      </c>
      <c r="C20694">
        <v>6625</v>
      </c>
      <c r="D20694" t="str">
        <f t="shared" si="389"/>
        <v xml:space="preserve">12519021694 </v>
      </c>
      <c r="E20694" t="s">
        <v>309</v>
      </c>
      <c r="F20694" t="s">
        <v>310</v>
      </c>
      <c r="G20694">
        <v>3.39</v>
      </c>
      <c r="H20694">
        <v>250430</v>
      </c>
      <c r="I20694">
        <v>4369</v>
      </c>
      <c r="J20694" t="s">
        <v>188</v>
      </c>
      <c r="K20694">
        <v>52.03</v>
      </c>
      <c r="L20694">
        <v>0.69</v>
      </c>
      <c r="M20694">
        <v>13901</v>
      </c>
      <c r="N20694" t="s">
        <v>116</v>
      </c>
      <c r="O20694">
        <v>250514</v>
      </c>
      <c r="P20694">
        <v>2.7</v>
      </c>
    </row>
    <row r="20695" spans="1:16" x14ac:dyDescent="0.25">
      <c r="A20695" t="s">
        <v>3296</v>
      </c>
      <c r="B20695" t="s">
        <v>2931</v>
      </c>
      <c r="C20695">
        <v>6625</v>
      </c>
      <c r="D20695" t="str">
        <f t="shared" si="389"/>
        <v xml:space="preserve">12519021694 </v>
      </c>
      <c r="E20695" t="s">
        <v>309</v>
      </c>
      <c r="F20695" t="s">
        <v>310</v>
      </c>
      <c r="G20695">
        <v>5.41</v>
      </c>
      <c r="H20695">
        <v>250430</v>
      </c>
      <c r="I20695">
        <v>4369</v>
      </c>
      <c r="J20695" t="s">
        <v>188</v>
      </c>
      <c r="K20695">
        <v>52.03</v>
      </c>
      <c r="L20695">
        <v>1.1000000000000001</v>
      </c>
      <c r="M20695">
        <v>13901</v>
      </c>
      <c r="N20695" t="s">
        <v>116</v>
      </c>
      <c r="O20695">
        <v>250514</v>
      </c>
      <c r="P20695">
        <v>4.3099999999999996</v>
      </c>
    </row>
    <row r="20696" spans="1:16" x14ac:dyDescent="0.25">
      <c r="A20696" t="s">
        <v>3296</v>
      </c>
      <c r="B20696" t="s">
        <v>2931</v>
      </c>
      <c r="C20696">
        <v>6625</v>
      </c>
      <c r="D20696" t="str">
        <f t="shared" si="389"/>
        <v xml:space="preserve">12519021694 </v>
      </c>
      <c r="E20696" t="s">
        <v>309</v>
      </c>
      <c r="F20696" t="s">
        <v>310</v>
      </c>
      <c r="G20696">
        <v>3.39</v>
      </c>
      <c r="H20696">
        <v>250430</v>
      </c>
      <c r="I20696">
        <v>4369</v>
      </c>
      <c r="J20696" t="s">
        <v>188</v>
      </c>
      <c r="K20696">
        <v>52.03</v>
      </c>
      <c r="L20696">
        <v>0.69</v>
      </c>
      <c r="M20696">
        <v>13901</v>
      </c>
      <c r="N20696" t="s">
        <v>116</v>
      </c>
      <c r="O20696">
        <v>250514</v>
      </c>
      <c r="P20696">
        <v>2.7</v>
      </c>
    </row>
    <row r="20697" spans="1:16" x14ac:dyDescent="0.25">
      <c r="A20697" t="s">
        <v>3296</v>
      </c>
      <c r="B20697" t="s">
        <v>2931</v>
      </c>
      <c r="C20697">
        <v>6625</v>
      </c>
      <c r="D20697" t="str">
        <f t="shared" si="389"/>
        <v xml:space="preserve">12519021694 </v>
      </c>
      <c r="E20697" t="s">
        <v>309</v>
      </c>
      <c r="F20697" t="s">
        <v>310</v>
      </c>
      <c r="G20697">
        <v>3.39</v>
      </c>
      <c r="H20697">
        <v>250430</v>
      </c>
      <c r="I20697">
        <v>4369</v>
      </c>
      <c r="J20697" t="s">
        <v>188</v>
      </c>
      <c r="K20697">
        <v>52.03</v>
      </c>
      <c r="L20697">
        <v>0.69</v>
      </c>
      <c r="M20697">
        <v>13901</v>
      </c>
      <c r="N20697" t="s">
        <v>116</v>
      </c>
      <c r="O20697">
        <v>250514</v>
      </c>
      <c r="P20697">
        <v>2.7</v>
      </c>
    </row>
    <row r="20698" spans="1:16" x14ac:dyDescent="0.25">
      <c r="A20698" t="s">
        <v>3296</v>
      </c>
      <c r="B20698" t="s">
        <v>2931</v>
      </c>
      <c r="C20698">
        <v>6625</v>
      </c>
      <c r="D20698" t="str">
        <f t="shared" si="389"/>
        <v xml:space="preserve">12519021694 </v>
      </c>
      <c r="E20698" t="s">
        <v>309</v>
      </c>
      <c r="F20698" t="s">
        <v>310</v>
      </c>
      <c r="G20698">
        <v>3.49</v>
      </c>
      <c r="H20698">
        <v>250430</v>
      </c>
      <c r="I20698">
        <v>4369</v>
      </c>
      <c r="J20698" t="s">
        <v>188</v>
      </c>
      <c r="K20698">
        <v>52.03</v>
      </c>
      <c r="L20698">
        <v>0.71</v>
      </c>
      <c r="M20698">
        <v>13901</v>
      </c>
      <c r="N20698" t="s">
        <v>116</v>
      </c>
      <c r="O20698">
        <v>250514</v>
      </c>
      <c r="P20698">
        <v>2.78</v>
      </c>
    </row>
    <row r="20699" spans="1:16" x14ac:dyDescent="0.25">
      <c r="A20699" t="s">
        <v>3296</v>
      </c>
      <c r="B20699" t="s">
        <v>2931</v>
      </c>
      <c r="C20699">
        <v>6625</v>
      </c>
      <c r="D20699" t="str">
        <f t="shared" si="389"/>
        <v xml:space="preserve">12519021694 </v>
      </c>
      <c r="E20699" t="s">
        <v>309</v>
      </c>
      <c r="F20699" t="s">
        <v>310</v>
      </c>
      <c r="G20699">
        <v>10.5</v>
      </c>
      <c r="H20699">
        <v>250430</v>
      </c>
      <c r="I20699">
        <v>4369</v>
      </c>
      <c r="J20699" t="s">
        <v>188</v>
      </c>
      <c r="K20699">
        <v>52.03</v>
      </c>
      <c r="L20699">
        <v>2.13</v>
      </c>
      <c r="M20699">
        <v>13940</v>
      </c>
      <c r="N20699" t="s">
        <v>14</v>
      </c>
      <c r="O20699">
        <v>250514</v>
      </c>
      <c r="P20699">
        <v>8.3699999999999992</v>
      </c>
    </row>
    <row r="20700" spans="1:16" x14ac:dyDescent="0.25">
      <c r="A20700" t="s">
        <v>3296</v>
      </c>
      <c r="B20700" t="s">
        <v>2931</v>
      </c>
      <c r="C20700">
        <v>6625</v>
      </c>
      <c r="D20700" t="str">
        <f t="shared" si="389"/>
        <v xml:space="preserve">12519021694 </v>
      </c>
      <c r="E20700" t="s">
        <v>309</v>
      </c>
      <c r="F20700" t="s">
        <v>310</v>
      </c>
      <c r="G20700">
        <v>12.29</v>
      </c>
      <c r="H20700">
        <v>250430</v>
      </c>
      <c r="I20700">
        <v>4369</v>
      </c>
      <c r="J20700" t="s">
        <v>188</v>
      </c>
      <c r="K20700">
        <v>52.03</v>
      </c>
      <c r="L20700">
        <v>2.5</v>
      </c>
      <c r="M20700">
        <v>13940</v>
      </c>
      <c r="N20700" t="s">
        <v>14</v>
      </c>
      <c r="O20700">
        <v>250514</v>
      </c>
      <c r="P20700">
        <v>9.7899999999999991</v>
      </c>
    </row>
    <row r="20701" spans="1:16" x14ac:dyDescent="0.25">
      <c r="A20701" t="s">
        <v>3296</v>
      </c>
      <c r="B20701" t="s">
        <v>2931</v>
      </c>
      <c r="C20701">
        <v>6627</v>
      </c>
      <c r="D20701" t="str">
        <f t="shared" ref="D20701:D20708" si="390">"12519021685 "</f>
        <v xml:space="preserve">12519021685 </v>
      </c>
      <c r="E20701" t="s">
        <v>309</v>
      </c>
      <c r="F20701" t="s">
        <v>310</v>
      </c>
      <c r="G20701">
        <v>3.39</v>
      </c>
      <c r="H20701">
        <v>250430</v>
      </c>
      <c r="I20701">
        <v>4369</v>
      </c>
      <c r="J20701" t="s">
        <v>188</v>
      </c>
      <c r="K20701">
        <v>76.52</v>
      </c>
      <c r="L20701">
        <v>0.69</v>
      </c>
      <c r="M20701">
        <v>11001</v>
      </c>
      <c r="N20701" t="s">
        <v>93</v>
      </c>
      <c r="O20701">
        <v>250514</v>
      </c>
      <c r="P20701">
        <v>2.7</v>
      </c>
    </row>
    <row r="20702" spans="1:16" x14ac:dyDescent="0.25">
      <c r="A20702" t="s">
        <v>3296</v>
      </c>
      <c r="B20702" t="s">
        <v>2931</v>
      </c>
      <c r="C20702">
        <v>6627</v>
      </c>
      <c r="D20702" t="str">
        <f t="shared" si="390"/>
        <v xml:space="preserve">12519021685 </v>
      </c>
      <c r="E20702" t="s">
        <v>309</v>
      </c>
      <c r="F20702" t="s">
        <v>310</v>
      </c>
      <c r="G20702">
        <v>16.25</v>
      </c>
      <c r="H20702">
        <v>250430</v>
      </c>
      <c r="I20702">
        <v>4369</v>
      </c>
      <c r="J20702" t="s">
        <v>188</v>
      </c>
      <c r="K20702">
        <v>76.52</v>
      </c>
      <c r="L20702">
        <v>0</v>
      </c>
      <c r="M20702">
        <v>11001</v>
      </c>
      <c r="N20702" t="s">
        <v>93</v>
      </c>
      <c r="O20702">
        <v>250514</v>
      </c>
      <c r="P20702">
        <v>16.25</v>
      </c>
    </row>
    <row r="20703" spans="1:16" x14ac:dyDescent="0.25">
      <c r="A20703" t="s">
        <v>3296</v>
      </c>
      <c r="B20703" t="s">
        <v>2931</v>
      </c>
      <c r="C20703">
        <v>6627</v>
      </c>
      <c r="D20703" t="str">
        <f t="shared" si="390"/>
        <v xml:space="preserve">12519021685 </v>
      </c>
      <c r="E20703" t="s">
        <v>309</v>
      </c>
      <c r="F20703" t="s">
        <v>310</v>
      </c>
      <c r="G20703">
        <v>1.1299999999999999</v>
      </c>
      <c r="H20703">
        <v>250430</v>
      </c>
      <c r="I20703">
        <v>4369</v>
      </c>
      <c r="J20703" t="s">
        <v>188</v>
      </c>
      <c r="K20703">
        <v>76.52</v>
      </c>
      <c r="L20703">
        <v>0.23</v>
      </c>
      <c r="M20703">
        <v>11401</v>
      </c>
      <c r="N20703" t="s">
        <v>91</v>
      </c>
      <c r="O20703">
        <v>250514</v>
      </c>
      <c r="P20703">
        <v>0.9</v>
      </c>
    </row>
    <row r="20704" spans="1:16" x14ac:dyDescent="0.25">
      <c r="A20704" t="s">
        <v>3296</v>
      </c>
      <c r="B20704" t="s">
        <v>2931</v>
      </c>
      <c r="C20704">
        <v>6627</v>
      </c>
      <c r="D20704" t="str">
        <f t="shared" si="390"/>
        <v xml:space="preserve">12519021685 </v>
      </c>
      <c r="E20704" t="s">
        <v>309</v>
      </c>
      <c r="F20704" t="s">
        <v>310</v>
      </c>
      <c r="G20704">
        <v>10.57</v>
      </c>
      <c r="H20704">
        <v>250430</v>
      </c>
      <c r="I20704">
        <v>4369</v>
      </c>
      <c r="J20704" t="s">
        <v>188</v>
      </c>
      <c r="K20704">
        <v>76.52</v>
      </c>
      <c r="L20704">
        <v>2.15</v>
      </c>
      <c r="M20704">
        <v>11501</v>
      </c>
      <c r="N20704" t="s">
        <v>13</v>
      </c>
      <c r="O20704">
        <v>250514</v>
      </c>
      <c r="P20704">
        <v>8.42</v>
      </c>
    </row>
    <row r="20705" spans="1:16" x14ac:dyDescent="0.25">
      <c r="A20705" t="s">
        <v>3296</v>
      </c>
      <c r="B20705" t="s">
        <v>2931</v>
      </c>
      <c r="C20705">
        <v>6627</v>
      </c>
      <c r="D20705" t="str">
        <f t="shared" si="390"/>
        <v xml:space="preserve">12519021685 </v>
      </c>
      <c r="E20705" t="s">
        <v>309</v>
      </c>
      <c r="F20705" t="s">
        <v>310</v>
      </c>
      <c r="G20705">
        <v>3.39</v>
      </c>
      <c r="H20705">
        <v>250430</v>
      </c>
      <c r="I20705">
        <v>4369</v>
      </c>
      <c r="J20705" t="s">
        <v>188</v>
      </c>
      <c r="K20705">
        <v>76.52</v>
      </c>
      <c r="L20705">
        <v>0.69</v>
      </c>
      <c r="M20705">
        <v>11701</v>
      </c>
      <c r="N20705" t="s">
        <v>973</v>
      </c>
      <c r="O20705">
        <v>250514</v>
      </c>
      <c r="P20705">
        <v>2.7</v>
      </c>
    </row>
    <row r="20706" spans="1:16" x14ac:dyDescent="0.25">
      <c r="A20706" t="s">
        <v>3296</v>
      </c>
      <c r="B20706" t="s">
        <v>2931</v>
      </c>
      <c r="C20706">
        <v>6627</v>
      </c>
      <c r="D20706" t="str">
        <f t="shared" si="390"/>
        <v xml:space="preserve">12519021685 </v>
      </c>
      <c r="E20706" t="s">
        <v>309</v>
      </c>
      <c r="F20706" t="s">
        <v>310</v>
      </c>
      <c r="G20706">
        <v>6.78</v>
      </c>
      <c r="H20706">
        <v>250430</v>
      </c>
      <c r="I20706">
        <v>4369</v>
      </c>
      <c r="J20706" t="s">
        <v>188</v>
      </c>
      <c r="K20706">
        <v>76.52</v>
      </c>
      <c r="L20706">
        <v>1.38</v>
      </c>
      <c r="M20706">
        <v>11751</v>
      </c>
      <c r="N20706" t="s">
        <v>167</v>
      </c>
      <c r="O20706">
        <v>250514</v>
      </c>
      <c r="P20706">
        <v>5.4</v>
      </c>
    </row>
    <row r="20707" spans="1:16" x14ac:dyDescent="0.25">
      <c r="A20707" t="s">
        <v>3296</v>
      </c>
      <c r="B20707" t="s">
        <v>2931</v>
      </c>
      <c r="C20707">
        <v>6627</v>
      </c>
      <c r="D20707" t="str">
        <f t="shared" si="390"/>
        <v xml:space="preserve">12519021685 </v>
      </c>
      <c r="E20707" t="s">
        <v>309</v>
      </c>
      <c r="F20707" t="s">
        <v>310</v>
      </c>
      <c r="G20707">
        <v>31.12</v>
      </c>
      <c r="H20707">
        <v>250430</v>
      </c>
      <c r="I20707">
        <v>4369</v>
      </c>
      <c r="J20707" t="s">
        <v>188</v>
      </c>
      <c r="K20707">
        <v>76.52</v>
      </c>
      <c r="L20707">
        <v>6.32</v>
      </c>
      <c r="M20707">
        <v>14622</v>
      </c>
      <c r="N20707" t="s">
        <v>77</v>
      </c>
      <c r="O20707">
        <v>250514</v>
      </c>
      <c r="P20707">
        <v>24.8</v>
      </c>
    </row>
    <row r="20708" spans="1:16" x14ac:dyDescent="0.25">
      <c r="A20708" t="s">
        <v>3296</v>
      </c>
      <c r="B20708" t="s">
        <v>2931</v>
      </c>
      <c r="C20708">
        <v>6627</v>
      </c>
      <c r="D20708" t="str">
        <f t="shared" si="390"/>
        <v xml:space="preserve">12519021685 </v>
      </c>
      <c r="E20708" t="s">
        <v>309</v>
      </c>
      <c r="F20708" t="s">
        <v>310</v>
      </c>
      <c r="G20708">
        <v>3.89</v>
      </c>
      <c r="H20708">
        <v>250430</v>
      </c>
      <c r="I20708">
        <v>4369</v>
      </c>
      <c r="J20708" t="s">
        <v>188</v>
      </c>
      <c r="K20708">
        <v>76.52</v>
      </c>
      <c r="L20708">
        <v>0.79</v>
      </c>
      <c r="M20708">
        <v>14952</v>
      </c>
      <c r="N20708" t="s">
        <v>213</v>
      </c>
      <c r="O20708">
        <v>250514</v>
      </c>
      <c r="P20708">
        <v>3.1</v>
      </c>
    </row>
    <row r="20709" spans="1:16" x14ac:dyDescent="0.25">
      <c r="A20709" t="s">
        <v>3296</v>
      </c>
      <c r="B20709" t="s">
        <v>2931</v>
      </c>
      <c r="C20709">
        <v>6635</v>
      </c>
      <c r="D20709" t="str">
        <f t="shared" ref="D20709:D20737" si="391">"12519021690 "</f>
        <v xml:space="preserve">12519021690 </v>
      </c>
      <c r="E20709" t="s">
        <v>309</v>
      </c>
      <c r="F20709" t="s">
        <v>310</v>
      </c>
      <c r="G20709">
        <v>37.17</v>
      </c>
      <c r="H20709">
        <v>250430</v>
      </c>
      <c r="I20709">
        <v>4369</v>
      </c>
      <c r="J20709" t="s">
        <v>188</v>
      </c>
      <c r="K20709">
        <v>336.14</v>
      </c>
      <c r="L20709">
        <v>7.55</v>
      </c>
      <c r="M20709">
        <v>61122</v>
      </c>
      <c r="N20709" t="s">
        <v>86</v>
      </c>
      <c r="O20709">
        <v>250514</v>
      </c>
      <c r="P20709">
        <v>29.62</v>
      </c>
    </row>
    <row r="20710" spans="1:16" x14ac:dyDescent="0.25">
      <c r="A20710" t="s">
        <v>3296</v>
      </c>
      <c r="B20710" t="s">
        <v>2931</v>
      </c>
      <c r="C20710">
        <v>6635</v>
      </c>
      <c r="D20710" t="str">
        <f t="shared" si="391"/>
        <v xml:space="preserve">12519021690 </v>
      </c>
      <c r="E20710" t="s">
        <v>309</v>
      </c>
      <c r="F20710" t="s">
        <v>310</v>
      </c>
      <c r="G20710">
        <v>3.4</v>
      </c>
      <c r="H20710">
        <v>250430</v>
      </c>
      <c r="I20710">
        <v>4369</v>
      </c>
      <c r="J20710" t="s">
        <v>188</v>
      </c>
      <c r="K20710">
        <v>336.14</v>
      </c>
      <c r="L20710">
        <v>0.69</v>
      </c>
      <c r="M20710">
        <v>61122</v>
      </c>
      <c r="N20710" t="s">
        <v>86</v>
      </c>
      <c r="O20710">
        <v>250514</v>
      </c>
      <c r="P20710">
        <v>2.71</v>
      </c>
    </row>
    <row r="20711" spans="1:16" x14ac:dyDescent="0.25">
      <c r="A20711" t="s">
        <v>3296</v>
      </c>
      <c r="B20711" t="s">
        <v>2931</v>
      </c>
      <c r="C20711">
        <v>6635</v>
      </c>
      <c r="D20711" t="str">
        <f t="shared" si="391"/>
        <v xml:space="preserve">12519021690 </v>
      </c>
      <c r="E20711" t="s">
        <v>309</v>
      </c>
      <c r="F20711" t="s">
        <v>310</v>
      </c>
      <c r="G20711">
        <v>13.75</v>
      </c>
      <c r="H20711">
        <v>250430</v>
      </c>
      <c r="I20711">
        <v>4369</v>
      </c>
      <c r="J20711" t="s">
        <v>188</v>
      </c>
      <c r="K20711">
        <v>336.14</v>
      </c>
      <c r="L20711">
        <v>2.79</v>
      </c>
      <c r="M20711">
        <v>65222</v>
      </c>
      <c r="N20711" t="s">
        <v>87</v>
      </c>
      <c r="O20711">
        <v>250514</v>
      </c>
      <c r="P20711">
        <v>10.96</v>
      </c>
    </row>
    <row r="20712" spans="1:16" x14ac:dyDescent="0.25">
      <c r="A20712" t="s">
        <v>3296</v>
      </c>
      <c r="B20712" t="s">
        <v>2931</v>
      </c>
      <c r="C20712">
        <v>6635</v>
      </c>
      <c r="D20712" t="str">
        <f t="shared" si="391"/>
        <v xml:space="preserve">12519021690 </v>
      </c>
      <c r="E20712" t="s">
        <v>309</v>
      </c>
      <c r="F20712" t="s">
        <v>310</v>
      </c>
      <c r="G20712">
        <v>3.78</v>
      </c>
      <c r="H20712">
        <v>250430</v>
      </c>
      <c r="I20712">
        <v>4369</v>
      </c>
      <c r="J20712" t="s">
        <v>188</v>
      </c>
      <c r="K20712">
        <v>336.14</v>
      </c>
      <c r="L20712">
        <v>0.77</v>
      </c>
      <c r="M20712">
        <v>65422</v>
      </c>
      <c r="N20712" t="s">
        <v>117</v>
      </c>
      <c r="O20712">
        <v>250514</v>
      </c>
      <c r="P20712">
        <v>3.01</v>
      </c>
    </row>
    <row r="20713" spans="1:16" x14ac:dyDescent="0.25">
      <c r="A20713" t="s">
        <v>3296</v>
      </c>
      <c r="B20713" t="s">
        <v>2931</v>
      </c>
      <c r="C20713">
        <v>6635</v>
      </c>
      <c r="D20713" t="str">
        <f t="shared" si="391"/>
        <v xml:space="preserve">12519021690 </v>
      </c>
      <c r="E20713" t="s">
        <v>309</v>
      </c>
      <c r="F20713" t="s">
        <v>310</v>
      </c>
      <c r="G20713">
        <v>10.17</v>
      </c>
      <c r="H20713">
        <v>250430</v>
      </c>
      <c r="I20713">
        <v>4369</v>
      </c>
      <c r="J20713" t="s">
        <v>188</v>
      </c>
      <c r="K20713">
        <v>336.14</v>
      </c>
      <c r="L20713">
        <v>2.0699999999999998</v>
      </c>
      <c r="M20713">
        <v>66722</v>
      </c>
      <c r="N20713" t="s">
        <v>118</v>
      </c>
      <c r="O20713">
        <v>250514</v>
      </c>
      <c r="P20713">
        <v>8.1</v>
      </c>
    </row>
    <row r="20714" spans="1:16" x14ac:dyDescent="0.25">
      <c r="A20714" t="s">
        <v>3296</v>
      </c>
      <c r="B20714" t="s">
        <v>2931</v>
      </c>
      <c r="C20714">
        <v>6635</v>
      </c>
      <c r="D20714" t="str">
        <f t="shared" si="391"/>
        <v xml:space="preserve">12519021690 </v>
      </c>
      <c r="E20714" t="s">
        <v>309</v>
      </c>
      <c r="F20714" t="s">
        <v>310</v>
      </c>
      <c r="G20714">
        <v>4.93</v>
      </c>
      <c r="H20714">
        <v>250430</v>
      </c>
      <c r="I20714">
        <v>4369</v>
      </c>
      <c r="J20714" t="s">
        <v>188</v>
      </c>
      <c r="K20714">
        <v>336.14</v>
      </c>
      <c r="L20714">
        <v>1</v>
      </c>
      <c r="M20714">
        <v>66754</v>
      </c>
      <c r="N20714" t="s">
        <v>119</v>
      </c>
      <c r="O20714">
        <v>250514</v>
      </c>
      <c r="P20714">
        <v>3.93</v>
      </c>
    </row>
    <row r="20715" spans="1:16" x14ac:dyDescent="0.25">
      <c r="A20715" t="s">
        <v>3296</v>
      </c>
      <c r="B20715" t="s">
        <v>2931</v>
      </c>
      <c r="C20715">
        <v>6635</v>
      </c>
      <c r="D20715" t="str">
        <f t="shared" si="391"/>
        <v xml:space="preserve">12519021690 </v>
      </c>
      <c r="E20715" t="s">
        <v>309</v>
      </c>
      <c r="F20715" t="s">
        <v>310</v>
      </c>
      <c r="G20715">
        <v>6.78</v>
      </c>
      <c r="H20715">
        <v>250430</v>
      </c>
      <c r="I20715">
        <v>4369</v>
      </c>
      <c r="J20715" t="s">
        <v>188</v>
      </c>
      <c r="K20715">
        <v>336.14</v>
      </c>
      <c r="L20715">
        <v>1.38</v>
      </c>
      <c r="M20715">
        <v>66754</v>
      </c>
      <c r="N20715" t="s">
        <v>119</v>
      </c>
      <c r="O20715">
        <v>250514</v>
      </c>
      <c r="P20715">
        <v>5.4</v>
      </c>
    </row>
    <row r="20716" spans="1:16" x14ac:dyDescent="0.25">
      <c r="A20716" t="s">
        <v>3296</v>
      </c>
      <c r="B20716" t="s">
        <v>2931</v>
      </c>
      <c r="C20716">
        <v>6635</v>
      </c>
      <c r="D20716" t="str">
        <f t="shared" si="391"/>
        <v xml:space="preserve">12519021690 </v>
      </c>
      <c r="E20716" t="s">
        <v>309</v>
      </c>
      <c r="F20716" t="s">
        <v>310</v>
      </c>
      <c r="G20716">
        <v>3.39</v>
      </c>
      <c r="H20716">
        <v>250430</v>
      </c>
      <c r="I20716">
        <v>4369</v>
      </c>
      <c r="J20716" t="s">
        <v>188</v>
      </c>
      <c r="K20716">
        <v>336.14</v>
      </c>
      <c r="L20716">
        <v>0.69</v>
      </c>
      <c r="M20716">
        <v>66754</v>
      </c>
      <c r="N20716" t="s">
        <v>119</v>
      </c>
      <c r="O20716">
        <v>250514</v>
      </c>
      <c r="P20716">
        <v>2.7</v>
      </c>
    </row>
    <row r="20717" spans="1:16" x14ac:dyDescent="0.25">
      <c r="A20717" t="s">
        <v>3296</v>
      </c>
      <c r="B20717" t="s">
        <v>2931</v>
      </c>
      <c r="C20717">
        <v>6635</v>
      </c>
      <c r="D20717" t="str">
        <f t="shared" si="391"/>
        <v xml:space="preserve">12519021690 </v>
      </c>
      <c r="E20717" t="s">
        <v>309</v>
      </c>
      <c r="F20717" t="s">
        <v>310</v>
      </c>
      <c r="G20717">
        <v>13.82</v>
      </c>
      <c r="H20717">
        <v>250430</v>
      </c>
      <c r="I20717">
        <v>4369</v>
      </c>
      <c r="J20717" t="s">
        <v>188</v>
      </c>
      <c r="K20717">
        <v>336.14</v>
      </c>
      <c r="L20717">
        <v>2.81</v>
      </c>
      <c r="M20717">
        <v>66754</v>
      </c>
      <c r="N20717" t="s">
        <v>119</v>
      </c>
      <c r="O20717">
        <v>250514</v>
      </c>
      <c r="P20717">
        <v>11.01</v>
      </c>
    </row>
    <row r="20718" spans="1:16" x14ac:dyDescent="0.25">
      <c r="A20718" t="s">
        <v>3296</v>
      </c>
      <c r="B20718" t="s">
        <v>2931</v>
      </c>
      <c r="C20718">
        <v>6635</v>
      </c>
      <c r="D20718" t="str">
        <f t="shared" si="391"/>
        <v xml:space="preserve">12519021690 </v>
      </c>
      <c r="E20718" t="s">
        <v>309</v>
      </c>
      <c r="F20718" t="s">
        <v>310</v>
      </c>
      <c r="G20718">
        <v>13.53</v>
      </c>
      <c r="H20718">
        <v>250430</v>
      </c>
      <c r="I20718">
        <v>4369</v>
      </c>
      <c r="J20718" t="s">
        <v>188</v>
      </c>
      <c r="K20718">
        <v>336.14</v>
      </c>
      <c r="L20718">
        <v>2.75</v>
      </c>
      <c r="M20718">
        <v>66756</v>
      </c>
      <c r="N20718" t="s">
        <v>120</v>
      </c>
      <c r="O20718">
        <v>250514</v>
      </c>
      <c r="P20718">
        <v>10.78</v>
      </c>
    </row>
    <row r="20719" spans="1:16" x14ac:dyDescent="0.25">
      <c r="A20719" t="s">
        <v>3296</v>
      </c>
      <c r="B20719" t="s">
        <v>2931</v>
      </c>
      <c r="C20719">
        <v>6635</v>
      </c>
      <c r="D20719" t="str">
        <f t="shared" si="391"/>
        <v xml:space="preserve">12519021690 </v>
      </c>
      <c r="E20719" t="s">
        <v>309</v>
      </c>
      <c r="F20719" t="s">
        <v>310</v>
      </c>
      <c r="G20719">
        <v>25.85</v>
      </c>
      <c r="H20719">
        <v>250430</v>
      </c>
      <c r="I20719">
        <v>4369</v>
      </c>
      <c r="J20719" t="s">
        <v>188</v>
      </c>
      <c r="K20719">
        <v>336.14</v>
      </c>
      <c r="L20719">
        <v>5.25</v>
      </c>
      <c r="M20719">
        <v>67522</v>
      </c>
      <c r="N20719" t="s">
        <v>121</v>
      </c>
      <c r="O20719">
        <v>250514</v>
      </c>
      <c r="P20719">
        <v>20.6</v>
      </c>
    </row>
    <row r="20720" spans="1:16" x14ac:dyDescent="0.25">
      <c r="A20720" t="s">
        <v>3296</v>
      </c>
      <c r="B20720" t="s">
        <v>2931</v>
      </c>
      <c r="C20720">
        <v>6635</v>
      </c>
      <c r="D20720" t="str">
        <f t="shared" si="391"/>
        <v xml:space="preserve">12519021690 </v>
      </c>
      <c r="E20720" t="s">
        <v>309</v>
      </c>
      <c r="F20720" t="s">
        <v>310</v>
      </c>
      <c r="G20720">
        <v>13.99</v>
      </c>
      <c r="H20720">
        <v>250430</v>
      </c>
      <c r="I20720">
        <v>4369</v>
      </c>
      <c r="J20720" t="s">
        <v>188</v>
      </c>
      <c r="K20720">
        <v>336.14</v>
      </c>
      <c r="L20720">
        <v>2.84</v>
      </c>
      <c r="M20720">
        <v>67522</v>
      </c>
      <c r="N20720" t="s">
        <v>121</v>
      </c>
      <c r="O20720">
        <v>250514</v>
      </c>
      <c r="P20720">
        <v>11.15</v>
      </c>
    </row>
    <row r="20721" spans="1:16" x14ac:dyDescent="0.25">
      <c r="A20721" t="s">
        <v>3296</v>
      </c>
      <c r="B20721" t="s">
        <v>2931</v>
      </c>
      <c r="C20721">
        <v>6635</v>
      </c>
      <c r="D20721" t="str">
        <f t="shared" si="391"/>
        <v xml:space="preserve">12519021690 </v>
      </c>
      <c r="E20721" t="s">
        <v>309</v>
      </c>
      <c r="F20721" t="s">
        <v>310</v>
      </c>
      <c r="G20721">
        <v>4.93</v>
      </c>
      <c r="H20721">
        <v>250430</v>
      </c>
      <c r="I20721">
        <v>4369</v>
      </c>
      <c r="J20721" t="s">
        <v>188</v>
      </c>
      <c r="K20721">
        <v>336.14</v>
      </c>
      <c r="L20721">
        <v>1</v>
      </c>
      <c r="M20721">
        <v>67554</v>
      </c>
      <c r="N20721" t="s">
        <v>317</v>
      </c>
      <c r="O20721">
        <v>250514</v>
      </c>
      <c r="P20721">
        <v>3.93</v>
      </c>
    </row>
    <row r="20722" spans="1:16" x14ac:dyDescent="0.25">
      <c r="A20722" t="s">
        <v>3296</v>
      </c>
      <c r="B20722" t="s">
        <v>2931</v>
      </c>
      <c r="C20722">
        <v>6635</v>
      </c>
      <c r="D20722" t="str">
        <f t="shared" si="391"/>
        <v xml:space="preserve">12519021690 </v>
      </c>
      <c r="E20722" t="s">
        <v>309</v>
      </c>
      <c r="F20722" t="s">
        <v>310</v>
      </c>
      <c r="G20722">
        <v>6.78</v>
      </c>
      <c r="H20722">
        <v>250430</v>
      </c>
      <c r="I20722">
        <v>4369</v>
      </c>
      <c r="J20722" t="s">
        <v>188</v>
      </c>
      <c r="K20722">
        <v>336.14</v>
      </c>
      <c r="L20722">
        <v>1.38</v>
      </c>
      <c r="M20722">
        <v>67554</v>
      </c>
      <c r="N20722" t="s">
        <v>317</v>
      </c>
      <c r="O20722">
        <v>250514</v>
      </c>
      <c r="P20722">
        <v>5.4</v>
      </c>
    </row>
    <row r="20723" spans="1:16" x14ac:dyDescent="0.25">
      <c r="A20723" t="s">
        <v>3296</v>
      </c>
      <c r="B20723" t="s">
        <v>2931</v>
      </c>
      <c r="C20723">
        <v>6635</v>
      </c>
      <c r="D20723" t="str">
        <f t="shared" si="391"/>
        <v xml:space="preserve">12519021690 </v>
      </c>
      <c r="E20723" t="s">
        <v>309</v>
      </c>
      <c r="F20723" t="s">
        <v>310</v>
      </c>
      <c r="G20723">
        <v>58.75</v>
      </c>
      <c r="H20723">
        <v>250430</v>
      </c>
      <c r="I20723">
        <v>4369</v>
      </c>
      <c r="J20723" t="s">
        <v>188</v>
      </c>
      <c r="K20723">
        <v>336.14</v>
      </c>
      <c r="L20723">
        <v>11.94</v>
      </c>
      <c r="M20723">
        <v>67554</v>
      </c>
      <c r="N20723" t="s">
        <v>317</v>
      </c>
      <c r="O20723">
        <v>250514</v>
      </c>
      <c r="P20723">
        <v>46.81</v>
      </c>
    </row>
    <row r="20724" spans="1:16" x14ac:dyDescent="0.25">
      <c r="A20724" t="s">
        <v>3296</v>
      </c>
      <c r="B20724" t="s">
        <v>2931</v>
      </c>
      <c r="C20724">
        <v>6635</v>
      </c>
      <c r="D20724" t="str">
        <f t="shared" si="391"/>
        <v xml:space="preserve">12519021690 </v>
      </c>
      <c r="E20724" t="s">
        <v>309</v>
      </c>
      <c r="F20724" t="s">
        <v>310</v>
      </c>
      <c r="G20724">
        <v>3.39</v>
      </c>
      <c r="H20724">
        <v>250430</v>
      </c>
      <c r="I20724">
        <v>4369</v>
      </c>
      <c r="J20724" t="s">
        <v>188</v>
      </c>
      <c r="K20724">
        <v>336.14</v>
      </c>
      <c r="L20724">
        <v>0.69</v>
      </c>
      <c r="M20724">
        <v>67554</v>
      </c>
      <c r="N20724" t="s">
        <v>317</v>
      </c>
      <c r="O20724">
        <v>250514</v>
      </c>
      <c r="P20724">
        <v>2.7</v>
      </c>
    </row>
    <row r="20725" spans="1:16" x14ac:dyDescent="0.25">
      <c r="A20725" t="s">
        <v>3296</v>
      </c>
      <c r="B20725" t="s">
        <v>2931</v>
      </c>
      <c r="C20725">
        <v>6635</v>
      </c>
      <c r="D20725" t="str">
        <f t="shared" si="391"/>
        <v xml:space="preserve">12519021690 </v>
      </c>
      <c r="E20725" t="s">
        <v>309</v>
      </c>
      <c r="F20725" t="s">
        <v>310</v>
      </c>
      <c r="G20725">
        <v>12.3</v>
      </c>
      <c r="H20725">
        <v>250430</v>
      </c>
      <c r="I20725">
        <v>4369</v>
      </c>
      <c r="J20725" t="s">
        <v>188</v>
      </c>
      <c r="K20725">
        <v>336.14</v>
      </c>
      <c r="L20725">
        <v>2.5</v>
      </c>
      <c r="M20725">
        <v>68601</v>
      </c>
      <c r="N20725" t="s">
        <v>1031</v>
      </c>
      <c r="O20725">
        <v>250514</v>
      </c>
      <c r="P20725">
        <v>9.8000000000000007</v>
      </c>
    </row>
    <row r="20726" spans="1:16" x14ac:dyDescent="0.25">
      <c r="A20726" t="s">
        <v>3296</v>
      </c>
      <c r="B20726" t="s">
        <v>2931</v>
      </c>
      <c r="C20726">
        <v>6635</v>
      </c>
      <c r="D20726" t="str">
        <f t="shared" si="391"/>
        <v xml:space="preserve">12519021690 </v>
      </c>
      <c r="E20726" t="s">
        <v>309</v>
      </c>
      <c r="F20726" t="s">
        <v>310</v>
      </c>
      <c r="G20726">
        <v>3.39</v>
      </c>
      <c r="H20726">
        <v>250430</v>
      </c>
      <c r="I20726">
        <v>4369</v>
      </c>
      <c r="J20726" t="s">
        <v>188</v>
      </c>
      <c r="K20726">
        <v>336.14</v>
      </c>
      <c r="L20726">
        <v>0.69</v>
      </c>
      <c r="M20726">
        <v>68601</v>
      </c>
      <c r="N20726" t="s">
        <v>1031</v>
      </c>
      <c r="O20726">
        <v>250514</v>
      </c>
      <c r="P20726">
        <v>2.7</v>
      </c>
    </row>
    <row r="20727" spans="1:16" x14ac:dyDescent="0.25">
      <c r="A20727" t="s">
        <v>3296</v>
      </c>
      <c r="B20727" t="s">
        <v>2931</v>
      </c>
      <c r="C20727">
        <v>6635</v>
      </c>
      <c r="D20727" t="str">
        <f t="shared" si="391"/>
        <v xml:space="preserve">12519021690 </v>
      </c>
      <c r="E20727" t="s">
        <v>309</v>
      </c>
      <c r="F20727" t="s">
        <v>310</v>
      </c>
      <c r="G20727">
        <v>6.78</v>
      </c>
      <c r="H20727">
        <v>250430</v>
      </c>
      <c r="I20727">
        <v>4369</v>
      </c>
      <c r="J20727" t="s">
        <v>188</v>
      </c>
      <c r="K20727">
        <v>336.14</v>
      </c>
      <c r="L20727">
        <v>1.38</v>
      </c>
      <c r="M20727">
        <v>69111</v>
      </c>
      <c r="N20727" t="s">
        <v>657</v>
      </c>
      <c r="O20727">
        <v>250514</v>
      </c>
      <c r="P20727">
        <v>5.4</v>
      </c>
    </row>
    <row r="20728" spans="1:16" x14ac:dyDescent="0.25">
      <c r="A20728" t="s">
        <v>3296</v>
      </c>
      <c r="B20728" t="s">
        <v>2931</v>
      </c>
      <c r="C20728">
        <v>6635</v>
      </c>
      <c r="D20728" t="str">
        <f t="shared" si="391"/>
        <v xml:space="preserve">12519021690 </v>
      </c>
      <c r="E20728" t="s">
        <v>309</v>
      </c>
      <c r="F20728" t="s">
        <v>310</v>
      </c>
      <c r="G20728">
        <v>6.78</v>
      </c>
      <c r="H20728">
        <v>250430</v>
      </c>
      <c r="I20728">
        <v>4369</v>
      </c>
      <c r="J20728" t="s">
        <v>188</v>
      </c>
      <c r="K20728">
        <v>336.14</v>
      </c>
      <c r="L20728">
        <v>1.38</v>
      </c>
      <c r="M20728">
        <v>69112</v>
      </c>
      <c r="N20728" t="s">
        <v>227</v>
      </c>
      <c r="O20728">
        <v>250514</v>
      </c>
      <c r="P20728">
        <v>5.4</v>
      </c>
    </row>
    <row r="20729" spans="1:16" x14ac:dyDescent="0.25">
      <c r="A20729" t="s">
        <v>3296</v>
      </c>
      <c r="B20729" t="s">
        <v>2931</v>
      </c>
      <c r="C20729">
        <v>6635</v>
      </c>
      <c r="D20729" t="str">
        <f t="shared" si="391"/>
        <v xml:space="preserve">12519021690 </v>
      </c>
      <c r="E20729" t="s">
        <v>309</v>
      </c>
      <c r="F20729" t="s">
        <v>310</v>
      </c>
      <c r="G20729">
        <v>10.27</v>
      </c>
      <c r="H20729">
        <v>250430</v>
      </c>
      <c r="I20729">
        <v>4369</v>
      </c>
      <c r="J20729" t="s">
        <v>188</v>
      </c>
      <c r="K20729">
        <v>336.14</v>
      </c>
      <c r="L20729">
        <v>2.09</v>
      </c>
      <c r="M20729">
        <v>69113</v>
      </c>
      <c r="N20729" t="s">
        <v>122</v>
      </c>
      <c r="O20729">
        <v>250514</v>
      </c>
      <c r="P20729">
        <v>8.18</v>
      </c>
    </row>
    <row r="20730" spans="1:16" x14ac:dyDescent="0.25">
      <c r="A20730" t="s">
        <v>3296</v>
      </c>
      <c r="B20730" t="s">
        <v>2931</v>
      </c>
      <c r="C20730">
        <v>6635</v>
      </c>
      <c r="D20730" t="str">
        <f t="shared" si="391"/>
        <v xml:space="preserve">12519021690 </v>
      </c>
      <c r="E20730" t="s">
        <v>309</v>
      </c>
      <c r="F20730" t="s">
        <v>310</v>
      </c>
      <c r="G20730">
        <v>28.02</v>
      </c>
      <c r="H20730">
        <v>250430</v>
      </c>
      <c r="I20730">
        <v>4369</v>
      </c>
      <c r="J20730" t="s">
        <v>188</v>
      </c>
      <c r="K20730">
        <v>336.14</v>
      </c>
      <c r="L20730">
        <v>5.69</v>
      </c>
      <c r="M20730">
        <v>69501</v>
      </c>
      <c r="N20730" t="s">
        <v>123</v>
      </c>
      <c r="O20730">
        <v>250514</v>
      </c>
      <c r="P20730">
        <v>22.33</v>
      </c>
    </row>
    <row r="20731" spans="1:16" x14ac:dyDescent="0.25">
      <c r="A20731" t="s">
        <v>3296</v>
      </c>
      <c r="B20731" t="s">
        <v>2931</v>
      </c>
      <c r="C20731">
        <v>6635</v>
      </c>
      <c r="D20731" t="str">
        <f t="shared" si="391"/>
        <v xml:space="preserve">12519021690 </v>
      </c>
      <c r="E20731" t="s">
        <v>309</v>
      </c>
      <c r="F20731" t="s">
        <v>310</v>
      </c>
      <c r="G20731">
        <v>5.18</v>
      </c>
      <c r="H20731">
        <v>250430</v>
      </c>
      <c r="I20731">
        <v>4369</v>
      </c>
      <c r="J20731" t="s">
        <v>188</v>
      </c>
      <c r="K20731">
        <v>336.14</v>
      </c>
      <c r="L20731">
        <v>1.05</v>
      </c>
      <c r="M20731">
        <v>69701</v>
      </c>
      <c r="N20731" t="s">
        <v>1030</v>
      </c>
      <c r="O20731">
        <v>250514</v>
      </c>
      <c r="P20731">
        <v>4.13</v>
      </c>
    </row>
    <row r="20732" spans="1:16" x14ac:dyDescent="0.25">
      <c r="A20732" t="s">
        <v>3296</v>
      </c>
      <c r="B20732" t="s">
        <v>2931</v>
      </c>
      <c r="C20732">
        <v>6635</v>
      </c>
      <c r="D20732" t="str">
        <f t="shared" si="391"/>
        <v xml:space="preserve">12519021690 </v>
      </c>
      <c r="E20732" t="s">
        <v>309</v>
      </c>
      <c r="F20732" t="s">
        <v>310</v>
      </c>
      <c r="G20732">
        <v>3.39</v>
      </c>
      <c r="H20732">
        <v>250430</v>
      </c>
      <c r="I20732">
        <v>4369</v>
      </c>
      <c r="J20732" t="s">
        <v>188</v>
      </c>
      <c r="K20732">
        <v>336.14</v>
      </c>
      <c r="L20732">
        <v>0.69</v>
      </c>
      <c r="M20732">
        <v>69702</v>
      </c>
      <c r="N20732" t="s">
        <v>124</v>
      </c>
      <c r="O20732">
        <v>250514</v>
      </c>
      <c r="P20732">
        <v>2.7</v>
      </c>
    </row>
    <row r="20733" spans="1:16" x14ac:dyDescent="0.25">
      <c r="A20733" t="s">
        <v>3296</v>
      </c>
      <c r="B20733" t="s">
        <v>2931</v>
      </c>
      <c r="C20733">
        <v>6635</v>
      </c>
      <c r="D20733" t="str">
        <f t="shared" si="391"/>
        <v xml:space="preserve">12519021690 </v>
      </c>
      <c r="E20733" t="s">
        <v>309</v>
      </c>
      <c r="F20733" t="s">
        <v>310</v>
      </c>
      <c r="G20733">
        <v>5.05</v>
      </c>
      <c r="H20733">
        <v>250430</v>
      </c>
      <c r="I20733">
        <v>4369</v>
      </c>
      <c r="J20733" t="s">
        <v>188</v>
      </c>
      <c r="K20733">
        <v>336.14</v>
      </c>
      <c r="L20733">
        <v>1.03</v>
      </c>
      <c r="M20733">
        <v>69703</v>
      </c>
      <c r="N20733" t="s">
        <v>88</v>
      </c>
      <c r="O20733">
        <v>250514</v>
      </c>
      <c r="P20733">
        <v>4.0199999999999996</v>
      </c>
    </row>
    <row r="20734" spans="1:16" x14ac:dyDescent="0.25">
      <c r="A20734" t="s">
        <v>3296</v>
      </c>
      <c r="B20734" t="s">
        <v>2931</v>
      </c>
      <c r="C20734">
        <v>6635</v>
      </c>
      <c r="D20734" t="str">
        <f t="shared" si="391"/>
        <v xml:space="preserve">12519021690 </v>
      </c>
      <c r="E20734" t="s">
        <v>309</v>
      </c>
      <c r="F20734" t="s">
        <v>310</v>
      </c>
      <c r="G20734">
        <v>6.59</v>
      </c>
      <c r="H20734">
        <v>250430</v>
      </c>
      <c r="I20734">
        <v>4369</v>
      </c>
      <c r="J20734" t="s">
        <v>188</v>
      </c>
      <c r="K20734">
        <v>336.14</v>
      </c>
      <c r="L20734">
        <v>1.34</v>
      </c>
      <c r="M20734">
        <v>69704</v>
      </c>
      <c r="N20734" t="s">
        <v>89</v>
      </c>
      <c r="O20734">
        <v>250514</v>
      </c>
      <c r="P20734">
        <v>5.25</v>
      </c>
    </row>
    <row r="20735" spans="1:16" x14ac:dyDescent="0.25">
      <c r="A20735" t="s">
        <v>3296</v>
      </c>
      <c r="B20735" t="s">
        <v>2931</v>
      </c>
      <c r="C20735">
        <v>6635</v>
      </c>
      <c r="D20735" t="str">
        <f t="shared" si="391"/>
        <v xml:space="preserve">12519021690 </v>
      </c>
      <c r="E20735" t="s">
        <v>309</v>
      </c>
      <c r="F20735" t="s">
        <v>310</v>
      </c>
      <c r="G20735">
        <v>7.03</v>
      </c>
      <c r="H20735">
        <v>250430</v>
      </c>
      <c r="I20735">
        <v>4369</v>
      </c>
      <c r="J20735" t="s">
        <v>188</v>
      </c>
      <c r="K20735">
        <v>336.14</v>
      </c>
      <c r="L20735">
        <v>1.43</v>
      </c>
      <c r="M20735">
        <v>69704</v>
      </c>
      <c r="N20735" t="s">
        <v>89</v>
      </c>
      <c r="O20735">
        <v>250514</v>
      </c>
      <c r="P20735">
        <v>5.6</v>
      </c>
    </row>
    <row r="20736" spans="1:16" x14ac:dyDescent="0.25">
      <c r="A20736" t="s">
        <v>3296</v>
      </c>
      <c r="B20736" t="s">
        <v>2931</v>
      </c>
      <c r="C20736">
        <v>6635</v>
      </c>
      <c r="D20736" t="str">
        <f t="shared" si="391"/>
        <v xml:space="preserve">12519021690 </v>
      </c>
      <c r="E20736" t="s">
        <v>309</v>
      </c>
      <c r="F20736" t="s">
        <v>310</v>
      </c>
      <c r="G20736">
        <v>10.17</v>
      </c>
      <c r="H20736">
        <v>250430</v>
      </c>
      <c r="I20736">
        <v>4369</v>
      </c>
      <c r="J20736" t="s">
        <v>188</v>
      </c>
      <c r="K20736">
        <v>336.14</v>
      </c>
      <c r="L20736">
        <v>2.0699999999999998</v>
      </c>
      <c r="M20736">
        <v>69707</v>
      </c>
      <c r="N20736" t="s">
        <v>90</v>
      </c>
      <c r="O20736">
        <v>250514</v>
      </c>
      <c r="P20736">
        <v>8.1</v>
      </c>
    </row>
    <row r="20737" spans="1:16" x14ac:dyDescent="0.25">
      <c r="A20737" t="s">
        <v>3296</v>
      </c>
      <c r="B20737" t="s">
        <v>2931</v>
      </c>
      <c r="C20737">
        <v>6635</v>
      </c>
      <c r="D20737" t="str">
        <f t="shared" si="391"/>
        <v xml:space="preserve">12519021690 </v>
      </c>
      <c r="E20737" t="s">
        <v>309</v>
      </c>
      <c r="F20737" t="s">
        <v>310</v>
      </c>
      <c r="G20737">
        <v>6.78</v>
      </c>
      <c r="H20737">
        <v>250430</v>
      </c>
      <c r="I20737">
        <v>4369</v>
      </c>
      <c r="J20737" t="s">
        <v>188</v>
      </c>
      <c r="K20737">
        <v>336.14</v>
      </c>
      <c r="L20737">
        <v>1.38</v>
      </c>
      <c r="M20737">
        <v>69708</v>
      </c>
      <c r="N20737" t="s">
        <v>125</v>
      </c>
      <c r="O20737">
        <v>250514</v>
      </c>
      <c r="P20737">
        <v>5.4</v>
      </c>
    </row>
    <row r="20738" spans="1:16" x14ac:dyDescent="0.25">
      <c r="A20738" t="s">
        <v>3296</v>
      </c>
      <c r="B20738" t="s">
        <v>2931</v>
      </c>
      <c r="C20738">
        <v>6646</v>
      </c>
      <c r="D20738" t="str">
        <f>"12519021714 "</f>
        <v xml:space="preserve">12519021714 </v>
      </c>
      <c r="E20738" t="s">
        <v>309</v>
      </c>
      <c r="F20738" t="s">
        <v>310</v>
      </c>
      <c r="G20738">
        <v>35.590000000000003</v>
      </c>
      <c r="H20738">
        <v>250430</v>
      </c>
      <c r="I20738">
        <v>4369</v>
      </c>
      <c r="J20738" t="s">
        <v>188</v>
      </c>
      <c r="K20738">
        <v>35.590000000000003</v>
      </c>
      <c r="L20738">
        <v>7.23</v>
      </c>
      <c r="M20738">
        <v>13601</v>
      </c>
      <c r="N20738" t="s">
        <v>115</v>
      </c>
      <c r="O20738">
        <v>250514</v>
      </c>
      <c r="P20738">
        <v>28.36</v>
      </c>
    </row>
    <row r="20739" spans="1:16" x14ac:dyDescent="0.25">
      <c r="A20739" t="s">
        <v>3296</v>
      </c>
      <c r="B20739" t="s">
        <v>2931</v>
      </c>
      <c r="C20739">
        <v>6673</v>
      </c>
      <c r="D20739" t="str">
        <f>"12519021719 "</f>
        <v xml:space="preserve">12519021719 </v>
      </c>
      <c r="E20739" t="s">
        <v>309</v>
      </c>
      <c r="F20739" t="s">
        <v>310</v>
      </c>
      <c r="G20739">
        <v>6.59</v>
      </c>
      <c r="H20739">
        <v>250430</v>
      </c>
      <c r="I20739">
        <v>4369</v>
      </c>
      <c r="J20739" t="s">
        <v>188</v>
      </c>
      <c r="K20739">
        <v>30.48</v>
      </c>
      <c r="L20739">
        <v>1.34</v>
      </c>
      <c r="M20739">
        <v>11101</v>
      </c>
      <c r="N20739" t="s">
        <v>67</v>
      </c>
      <c r="O20739">
        <v>250515</v>
      </c>
      <c r="P20739">
        <v>5.25</v>
      </c>
    </row>
    <row r="20740" spans="1:16" x14ac:dyDescent="0.25">
      <c r="A20740" t="s">
        <v>3296</v>
      </c>
      <c r="B20740" t="s">
        <v>2931</v>
      </c>
      <c r="C20740">
        <v>6673</v>
      </c>
      <c r="D20740" t="str">
        <f>"12519021719 "</f>
        <v xml:space="preserve">12519021719 </v>
      </c>
      <c r="E20740" t="s">
        <v>309</v>
      </c>
      <c r="F20740" t="s">
        <v>310</v>
      </c>
      <c r="G20740">
        <v>17.12</v>
      </c>
      <c r="H20740">
        <v>250430</v>
      </c>
      <c r="I20740">
        <v>4369</v>
      </c>
      <c r="J20740" t="s">
        <v>188</v>
      </c>
      <c r="K20740">
        <v>30.48</v>
      </c>
      <c r="L20740">
        <v>3.48</v>
      </c>
      <c r="M20740">
        <v>11101</v>
      </c>
      <c r="N20740" t="s">
        <v>67</v>
      </c>
      <c r="O20740">
        <v>250515</v>
      </c>
      <c r="P20740">
        <v>13.64</v>
      </c>
    </row>
    <row r="20741" spans="1:16" x14ac:dyDescent="0.25">
      <c r="A20741" t="s">
        <v>3296</v>
      </c>
      <c r="B20741" t="s">
        <v>2931</v>
      </c>
      <c r="C20741">
        <v>6673</v>
      </c>
      <c r="D20741" t="str">
        <f>"12519021719 "</f>
        <v xml:space="preserve">12519021719 </v>
      </c>
      <c r="E20741" t="s">
        <v>309</v>
      </c>
      <c r="F20741" t="s">
        <v>310</v>
      </c>
      <c r="G20741">
        <v>6.77</v>
      </c>
      <c r="H20741">
        <v>250430</v>
      </c>
      <c r="I20741">
        <v>4369</v>
      </c>
      <c r="J20741" t="s">
        <v>188</v>
      </c>
      <c r="K20741">
        <v>30.48</v>
      </c>
      <c r="L20741">
        <v>1.38</v>
      </c>
      <c r="M20741">
        <v>11201</v>
      </c>
      <c r="N20741" t="s">
        <v>35</v>
      </c>
      <c r="O20741">
        <v>250515</v>
      </c>
      <c r="P20741">
        <v>5.39</v>
      </c>
    </row>
    <row r="20742" spans="1:16" x14ac:dyDescent="0.25">
      <c r="A20742" t="s">
        <v>3296</v>
      </c>
      <c r="B20742" t="s">
        <v>2931</v>
      </c>
      <c r="C20742">
        <v>6729</v>
      </c>
      <c r="D20742" t="str">
        <f>"105405562   "</f>
        <v xml:space="preserve">105405562   </v>
      </c>
      <c r="E20742" t="s">
        <v>309</v>
      </c>
      <c r="F20742" t="s">
        <v>310</v>
      </c>
      <c r="G20742">
        <v>81.569999999999993</v>
      </c>
      <c r="H20742">
        <v>250430</v>
      </c>
      <c r="I20742">
        <v>4369</v>
      </c>
      <c r="J20742" t="s">
        <v>188</v>
      </c>
      <c r="K20742">
        <v>81.569999999999993</v>
      </c>
      <c r="L20742">
        <v>16.57</v>
      </c>
      <c r="M20742">
        <v>18972</v>
      </c>
      <c r="N20742" t="s">
        <v>39</v>
      </c>
      <c r="O20742">
        <v>250516</v>
      </c>
      <c r="P20742">
        <v>65</v>
      </c>
    </row>
    <row r="20743" spans="1:16" x14ac:dyDescent="0.25">
      <c r="A20743" t="s">
        <v>3296</v>
      </c>
      <c r="B20743" t="s">
        <v>2931</v>
      </c>
      <c r="C20743">
        <v>6730</v>
      </c>
      <c r="D20743" t="str">
        <f t="shared" ref="D20743:D20763" si="392">"12519021721 "</f>
        <v xml:space="preserve">12519021721 </v>
      </c>
      <c r="E20743" t="s">
        <v>309</v>
      </c>
      <c r="F20743" t="s">
        <v>310</v>
      </c>
      <c r="G20743">
        <v>20.41</v>
      </c>
      <c r="H20743">
        <v>250430</v>
      </c>
      <c r="I20743">
        <v>4369</v>
      </c>
      <c r="J20743" t="s">
        <v>188</v>
      </c>
      <c r="K20743">
        <v>242.38</v>
      </c>
      <c r="L20743">
        <v>4.1500000000000004</v>
      </c>
      <c r="M20743">
        <v>11601</v>
      </c>
      <c r="N20743" t="s">
        <v>12</v>
      </c>
      <c r="O20743">
        <v>250516</v>
      </c>
      <c r="P20743">
        <v>16.260000000000002</v>
      </c>
    </row>
    <row r="20744" spans="1:16" x14ac:dyDescent="0.25">
      <c r="A20744" t="s">
        <v>3296</v>
      </c>
      <c r="B20744" t="s">
        <v>2931</v>
      </c>
      <c r="C20744">
        <v>6730</v>
      </c>
      <c r="D20744" t="str">
        <f t="shared" si="392"/>
        <v xml:space="preserve">12519021721 </v>
      </c>
      <c r="E20744" t="s">
        <v>309</v>
      </c>
      <c r="F20744" t="s">
        <v>310</v>
      </c>
      <c r="G20744">
        <v>3.2</v>
      </c>
      <c r="H20744">
        <v>250430</v>
      </c>
      <c r="I20744">
        <v>4369</v>
      </c>
      <c r="J20744" t="s">
        <v>188</v>
      </c>
      <c r="K20744">
        <v>242.38</v>
      </c>
      <c r="L20744">
        <v>0.65</v>
      </c>
      <c r="M20744">
        <v>11603</v>
      </c>
      <c r="N20744" t="s">
        <v>897</v>
      </c>
      <c r="O20744">
        <v>250516</v>
      </c>
      <c r="P20744">
        <v>2.5499999999999998</v>
      </c>
    </row>
    <row r="20745" spans="1:16" x14ac:dyDescent="0.25">
      <c r="A20745" t="s">
        <v>3296</v>
      </c>
      <c r="B20745" t="s">
        <v>2931</v>
      </c>
      <c r="C20745">
        <v>6730</v>
      </c>
      <c r="D20745" t="str">
        <f t="shared" si="392"/>
        <v xml:space="preserve">12519021721 </v>
      </c>
      <c r="E20745" t="s">
        <v>309</v>
      </c>
      <c r="F20745" t="s">
        <v>310</v>
      </c>
      <c r="G20745">
        <v>17.14</v>
      </c>
      <c r="H20745">
        <v>250430</v>
      </c>
      <c r="I20745">
        <v>4369</v>
      </c>
      <c r="J20745" t="s">
        <v>188</v>
      </c>
      <c r="K20745">
        <v>242.38</v>
      </c>
      <c r="L20745">
        <v>3.48</v>
      </c>
      <c r="M20745">
        <v>14121</v>
      </c>
      <c r="N20745" t="s">
        <v>71</v>
      </c>
      <c r="O20745">
        <v>250516</v>
      </c>
      <c r="P20745">
        <v>13.66</v>
      </c>
    </row>
    <row r="20746" spans="1:16" x14ac:dyDescent="0.25">
      <c r="A20746" t="s">
        <v>3296</v>
      </c>
      <c r="B20746" t="s">
        <v>2931</v>
      </c>
      <c r="C20746">
        <v>6730</v>
      </c>
      <c r="D20746" t="str">
        <f t="shared" si="392"/>
        <v xml:space="preserve">12519021721 </v>
      </c>
      <c r="E20746" t="s">
        <v>309</v>
      </c>
      <c r="F20746" t="s">
        <v>310</v>
      </c>
      <c r="G20746">
        <v>23.85</v>
      </c>
      <c r="H20746">
        <v>250430</v>
      </c>
      <c r="I20746">
        <v>4369</v>
      </c>
      <c r="J20746" t="s">
        <v>188</v>
      </c>
      <c r="K20746">
        <v>242.38</v>
      </c>
      <c r="L20746">
        <v>4.8499999999999996</v>
      </c>
      <c r="M20746">
        <v>14321</v>
      </c>
      <c r="N20746" t="s">
        <v>72</v>
      </c>
      <c r="O20746">
        <v>250516</v>
      </c>
      <c r="P20746">
        <v>19</v>
      </c>
    </row>
    <row r="20747" spans="1:16" x14ac:dyDescent="0.25">
      <c r="A20747" t="s">
        <v>3296</v>
      </c>
      <c r="B20747" t="s">
        <v>2931</v>
      </c>
      <c r="C20747">
        <v>6730</v>
      </c>
      <c r="D20747" t="str">
        <f t="shared" si="392"/>
        <v xml:space="preserve">12519021721 </v>
      </c>
      <c r="E20747" t="s">
        <v>309</v>
      </c>
      <c r="F20747" t="s">
        <v>310</v>
      </c>
      <c r="G20747">
        <v>19.809999999999999</v>
      </c>
      <c r="H20747">
        <v>250430</v>
      </c>
      <c r="I20747">
        <v>4369</v>
      </c>
      <c r="J20747" t="s">
        <v>188</v>
      </c>
      <c r="K20747">
        <v>242.38</v>
      </c>
      <c r="L20747">
        <v>4.03</v>
      </c>
      <c r="M20747">
        <v>14422</v>
      </c>
      <c r="N20747" t="s">
        <v>73</v>
      </c>
      <c r="O20747">
        <v>250516</v>
      </c>
      <c r="P20747">
        <v>15.78</v>
      </c>
    </row>
    <row r="20748" spans="1:16" x14ac:dyDescent="0.25">
      <c r="A20748" t="s">
        <v>3296</v>
      </c>
      <c r="B20748" t="s">
        <v>2931</v>
      </c>
      <c r="C20748">
        <v>6730</v>
      </c>
      <c r="D20748" t="str">
        <f t="shared" si="392"/>
        <v xml:space="preserve">12519021721 </v>
      </c>
      <c r="E20748" t="s">
        <v>309</v>
      </c>
      <c r="F20748" t="s">
        <v>310</v>
      </c>
      <c r="G20748">
        <v>10.16</v>
      </c>
      <c r="H20748">
        <v>250430</v>
      </c>
      <c r="I20748">
        <v>4369</v>
      </c>
      <c r="J20748" t="s">
        <v>188</v>
      </c>
      <c r="K20748">
        <v>242.38</v>
      </c>
      <c r="L20748">
        <v>2.06</v>
      </c>
      <c r="M20748">
        <v>14431</v>
      </c>
      <c r="N20748" t="s">
        <v>74</v>
      </c>
      <c r="O20748">
        <v>250516</v>
      </c>
      <c r="P20748">
        <v>8.1</v>
      </c>
    </row>
    <row r="20749" spans="1:16" x14ac:dyDescent="0.25">
      <c r="A20749" t="s">
        <v>3296</v>
      </c>
      <c r="B20749" t="s">
        <v>2931</v>
      </c>
      <c r="C20749">
        <v>6730</v>
      </c>
      <c r="D20749" t="str">
        <f t="shared" si="392"/>
        <v xml:space="preserve">12519021721 </v>
      </c>
      <c r="E20749" t="s">
        <v>309</v>
      </c>
      <c r="F20749" t="s">
        <v>310</v>
      </c>
      <c r="G20749">
        <v>17.82</v>
      </c>
      <c r="H20749">
        <v>250430</v>
      </c>
      <c r="I20749">
        <v>4369</v>
      </c>
      <c r="J20749" t="s">
        <v>188</v>
      </c>
      <c r="K20749">
        <v>242.38</v>
      </c>
      <c r="L20749">
        <v>3.62</v>
      </c>
      <c r="M20749">
        <v>14432</v>
      </c>
      <c r="N20749" t="s">
        <v>75</v>
      </c>
      <c r="O20749">
        <v>250516</v>
      </c>
      <c r="P20749">
        <v>14.2</v>
      </c>
    </row>
    <row r="20750" spans="1:16" x14ac:dyDescent="0.25">
      <c r="A20750" t="s">
        <v>3296</v>
      </c>
      <c r="B20750" t="s">
        <v>2931</v>
      </c>
      <c r="C20750">
        <v>6730</v>
      </c>
      <c r="D20750" t="str">
        <f t="shared" si="392"/>
        <v xml:space="preserve">12519021721 </v>
      </c>
      <c r="E20750" t="s">
        <v>309</v>
      </c>
      <c r="F20750" t="s">
        <v>310</v>
      </c>
      <c r="G20750">
        <v>8.32</v>
      </c>
      <c r="H20750">
        <v>250430</v>
      </c>
      <c r="I20750">
        <v>4369</v>
      </c>
      <c r="J20750" t="s">
        <v>188</v>
      </c>
      <c r="K20750">
        <v>242.38</v>
      </c>
      <c r="L20750">
        <v>1.69</v>
      </c>
      <c r="M20750">
        <v>14541</v>
      </c>
      <c r="N20750" t="s">
        <v>76</v>
      </c>
      <c r="O20750">
        <v>250516</v>
      </c>
      <c r="P20750">
        <v>6.63</v>
      </c>
    </row>
    <row r="20751" spans="1:16" x14ac:dyDescent="0.25">
      <c r="A20751" t="s">
        <v>3296</v>
      </c>
      <c r="B20751" t="s">
        <v>2931</v>
      </c>
      <c r="C20751">
        <v>6730</v>
      </c>
      <c r="D20751" t="str">
        <f t="shared" si="392"/>
        <v xml:space="preserve">12519021721 </v>
      </c>
      <c r="E20751" t="s">
        <v>309</v>
      </c>
      <c r="F20751" t="s">
        <v>310</v>
      </c>
      <c r="G20751">
        <v>49.69</v>
      </c>
      <c r="H20751">
        <v>250430</v>
      </c>
      <c r="I20751">
        <v>4369</v>
      </c>
      <c r="J20751" t="s">
        <v>188</v>
      </c>
      <c r="K20751">
        <v>242.38</v>
      </c>
      <c r="L20751">
        <v>10.1</v>
      </c>
      <c r="M20751">
        <v>14622</v>
      </c>
      <c r="N20751" t="s">
        <v>77</v>
      </c>
      <c r="O20751">
        <v>250516</v>
      </c>
      <c r="P20751">
        <v>39.590000000000003</v>
      </c>
    </row>
    <row r="20752" spans="1:16" x14ac:dyDescent="0.25">
      <c r="A20752" t="s">
        <v>3296</v>
      </c>
      <c r="B20752" t="s">
        <v>2931</v>
      </c>
      <c r="C20752">
        <v>6730</v>
      </c>
      <c r="D20752" t="str">
        <f t="shared" si="392"/>
        <v xml:space="preserve">12519021721 </v>
      </c>
      <c r="E20752" t="s">
        <v>309</v>
      </c>
      <c r="F20752" t="s">
        <v>310</v>
      </c>
      <c r="G20752">
        <v>6.91</v>
      </c>
      <c r="H20752">
        <v>250430</v>
      </c>
      <c r="I20752">
        <v>4369</v>
      </c>
      <c r="J20752" t="s">
        <v>188</v>
      </c>
      <c r="K20752">
        <v>242.38</v>
      </c>
      <c r="L20752">
        <v>1.4</v>
      </c>
      <c r="M20752">
        <v>14640</v>
      </c>
      <c r="N20752" t="s">
        <v>78</v>
      </c>
      <c r="O20752">
        <v>250516</v>
      </c>
      <c r="P20752">
        <v>5.51</v>
      </c>
    </row>
    <row r="20753" spans="1:16" x14ac:dyDescent="0.25">
      <c r="A20753" t="s">
        <v>3296</v>
      </c>
      <c r="B20753" t="s">
        <v>2931</v>
      </c>
      <c r="C20753">
        <v>6730</v>
      </c>
      <c r="D20753" t="str">
        <f t="shared" si="392"/>
        <v xml:space="preserve">12519021721 </v>
      </c>
      <c r="E20753" t="s">
        <v>309</v>
      </c>
      <c r="F20753" t="s">
        <v>310</v>
      </c>
      <c r="G20753">
        <v>3.39</v>
      </c>
      <c r="H20753">
        <v>250430</v>
      </c>
      <c r="I20753">
        <v>4369</v>
      </c>
      <c r="J20753" t="s">
        <v>188</v>
      </c>
      <c r="K20753">
        <v>242.38</v>
      </c>
      <c r="L20753">
        <v>0.69</v>
      </c>
      <c r="M20753">
        <v>14861</v>
      </c>
      <c r="N20753" t="s">
        <v>79</v>
      </c>
      <c r="O20753">
        <v>250516</v>
      </c>
      <c r="P20753">
        <v>2.7</v>
      </c>
    </row>
    <row r="20754" spans="1:16" x14ac:dyDescent="0.25">
      <c r="A20754" t="s">
        <v>3296</v>
      </c>
      <c r="B20754" t="s">
        <v>2931</v>
      </c>
      <c r="C20754">
        <v>6730</v>
      </c>
      <c r="D20754" t="str">
        <f t="shared" si="392"/>
        <v xml:space="preserve">12519021721 </v>
      </c>
      <c r="E20754" t="s">
        <v>309</v>
      </c>
      <c r="F20754" t="s">
        <v>310</v>
      </c>
      <c r="G20754">
        <v>6.86</v>
      </c>
      <c r="H20754">
        <v>250430</v>
      </c>
      <c r="I20754">
        <v>4369</v>
      </c>
      <c r="J20754" t="s">
        <v>188</v>
      </c>
      <c r="K20754">
        <v>242.38</v>
      </c>
      <c r="L20754">
        <v>1.39</v>
      </c>
      <c r="M20754">
        <v>14912</v>
      </c>
      <c r="N20754" t="s">
        <v>80</v>
      </c>
      <c r="O20754">
        <v>250516</v>
      </c>
      <c r="P20754">
        <v>5.47</v>
      </c>
    </row>
    <row r="20755" spans="1:16" x14ac:dyDescent="0.25">
      <c r="A20755" t="s">
        <v>3296</v>
      </c>
      <c r="B20755" t="s">
        <v>2931</v>
      </c>
      <c r="C20755">
        <v>6730</v>
      </c>
      <c r="D20755" t="str">
        <f t="shared" si="392"/>
        <v xml:space="preserve">12519021721 </v>
      </c>
      <c r="E20755" t="s">
        <v>309</v>
      </c>
      <c r="F20755" t="s">
        <v>310</v>
      </c>
      <c r="G20755">
        <v>3.39</v>
      </c>
      <c r="H20755">
        <v>250430</v>
      </c>
      <c r="I20755">
        <v>4369</v>
      </c>
      <c r="J20755" t="s">
        <v>188</v>
      </c>
      <c r="K20755">
        <v>242.38</v>
      </c>
      <c r="L20755">
        <v>0.69</v>
      </c>
      <c r="M20755">
        <v>14971</v>
      </c>
      <c r="N20755" t="s">
        <v>81</v>
      </c>
      <c r="O20755">
        <v>250516</v>
      </c>
      <c r="P20755">
        <v>2.7</v>
      </c>
    </row>
    <row r="20756" spans="1:16" x14ac:dyDescent="0.25">
      <c r="A20756" t="s">
        <v>3296</v>
      </c>
      <c r="B20756" t="s">
        <v>2931</v>
      </c>
      <c r="C20756">
        <v>6730</v>
      </c>
      <c r="D20756" t="str">
        <f t="shared" si="392"/>
        <v xml:space="preserve">12519021721 </v>
      </c>
      <c r="E20756" t="s">
        <v>309</v>
      </c>
      <c r="F20756" t="s">
        <v>310</v>
      </c>
      <c r="G20756">
        <v>6.77</v>
      </c>
      <c r="H20756">
        <v>250430</v>
      </c>
      <c r="I20756">
        <v>4369</v>
      </c>
      <c r="J20756" t="s">
        <v>188</v>
      </c>
      <c r="K20756">
        <v>242.38</v>
      </c>
      <c r="L20756">
        <v>1.38</v>
      </c>
      <c r="M20756">
        <v>14972</v>
      </c>
      <c r="N20756" t="s">
        <v>82</v>
      </c>
      <c r="O20756">
        <v>250516</v>
      </c>
      <c r="P20756">
        <v>5.39</v>
      </c>
    </row>
    <row r="20757" spans="1:16" x14ac:dyDescent="0.25">
      <c r="A20757" t="s">
        <v>3296</v>
      </c>
      <c r="B20757" t="s">
        <v>2931</v>
      </c>
      <c r="C20757">
        <v>6730</v>
      </c>
      <c r="D20757" t="str">
        <f t="shared" si="392"/>
        <v xml:space="preserve">12519021721 </v>
      </c>
      <c r="E20757" t="s">
        <v>309</v>
      </c>
      <c r="F20757" t="s">
        <v>310</v>
      </c>
      <c r="G20757">
        <v>3.47</v>
      </c>
      <c r="H20757">
        <v>250430</v>
      </c>
      <c r="I20757">
        <v>4369</v>
      </c>
      <c r="J20757" t="s">
        <v>188</v>
      </c>
      <c r="K20757">
        <v>242.38</v>
      </c>
      <c r="L20757">
        <v>0.71</v>
      </c>
      <c r="M20757">
        <v>14974</v>
      </c>
      <c r="N20757" t="s">
        <v>83</v>
      </c>
      <c r="O20757">
        <v>250516</v>
      </c>
      <c r="P20757">
        <v>2.76</v>
      </c>
    </row>
    <row r="20758" spans="1:16" x14ac:dyDescent="0.25">
      <c r="A20758" t="s">
        <v>3296</v>
      </c>
      <c r="B20758" t="s">
        <v>2931</v>
      </c>
      <c r="C20758">
        <v>6730</v>
      </c>
      <c r="D20758" t="str">
        <f t="shared" si="392"/>
        <v xml:space="preserve">12519021721 </v>
      </c>
      <c r="E20758" t="s">
        <v>309</v>
      </c>
      <c r="F20758" t="s">
        <v>310</v>
      </c>
      <c r="G20758">
        <v>16.95</v>
      </c>
      <c r="H20758">
        <v>250430</v>
      </c>
      <c r="I20758">
        <v>4369</v>
      </c>
      <c r="J20758" t="s">
        <v>188</v>
      </c>
      <c r="K20758">
        <v>242.38</v>
      </c>
      <c r="L20758">
        <v>3.44</v>
      </c>
      <c r="M20758">
        <v>14975</v>
      </c>
      <c r="N20758" t="s">
        <v>84</v>
      </c>
      <c r="O20758">
        <v>250516</v>
      </c>
      <c r="P20758">
        <v>13.51</v>
      </c>
    </row>
    <row r="20759" spans="1:16" x14ac:dyDescent="0.25">
      <c r="A20759" t="s">
        <v>3296</v>
      </c>
      <c r="B20759" t="s">
        <v>2931</v>
      </c>
      <c r="C20759">
        <v>6730</v>
      </c>
      <c r="D20759" t="str">
        <f t="shared" si="392"/>
        <v xml:space="preserve">12519021721 </v>
      </c>
      <c r="E20759" t="s">
        <v>309</v>
      </c>
      <c r="F20759" t="s">
        <v>310</v>
      </c>
      <c r="G20759">
        <v>3.84</v>
      </c>
      <c r="H20759">
        <v>250430</v>
      </c>
      <c r="I20759">
        <v>4369</v>
      </c>
      <c r="J20759" t="s">
        <v>188</v>
      </c>
      <c r="K20759">
        <v>242.38</v>
      </c>
      <c r="L20759">
        <v>0.78</v>
      </c>
      <c r="M20759">
        <v>14990</v>
      </c>
      <c r="N20759" t="s">
        <v>85</v>
      </c>
      <c r="O20759">
        <v>250516</v>
      </c>
      <c r="P20759">
        <v>3.06</v>
      </c>
    </row>
    <row r="20760" spans="1:16" x14ac:dyDescent="0.25">
      <c r="A20760" t="s">
        <v>3296</v>
      </c>
      <c r="B20760" t="s">
        <v>2931</v>
      </c>
      <c r="C20760">
        <v>6730</v>
      </c>
      <c r="D20760" t="str">
        <f t="shared" si="392"/>
        <v xml:space="preserve">12519021721 </v>
      </c>
      <c r="E20760" t="s">
        <v>309</v>
      </c>
      <c r="F20760" t="s">
        <v>310</v>
      </c>
      <c r="G20760">
        <v>3.39</v>
      </c>
      <c r="H20760">
        <v>250430</v>
      </c>
      <c r="I20760">
        <v>4369</v>
      </c>
      <c r="J20760" t="s">
        <v>188</v>
      </c>
      <c r="K20760">
        <v>242.38</v>
      </c>
      <c r="L20760">
        <v>0.69</v>
      </c>
      <c r="M20760">
        <v>14990</v>
      </c>
      <c r="N20760" t="s">
        <v>85</v>
      </c>
      <c r="O20760">
        <v>250516</v>
      </c>
      <c r="P20760">
        <v>2.7</v>
      </c>
    </row>
    <row r="20761" spans="1:16" x14ac:dyDescent="0.25">
      <c r="A20761" t="s">
        <v>3296</v>
      </c>
      <c r="B20761" t="s">
        <v>2931</v>
      </c>
      <c r="C20761">
        <v>6730</v>
      </c>
      <c r="D20761" t="str">
        <f t="shared" si="392"/>
        <v xml:space="preserve">12519021721 </v>
      </c>
      <c r="E20761" t="s">
        <v>309</v>
      </c>
      <c r="F20761" t="s">
        <v>310</v>
      </c>
      <c r="G20761">
        <v>3.39</v>
      </c>
      <c r="H20761">
        <v>250430</v>
      </c>
      <c r="I20761">
        <v>4369</v>
      </c>
      <c r="J20761" t="s">
        <v>188</v>
      </c>
      <c r="K20761">
        <v>242.38</v>
      </c>
      <c r="L20761">
        <v>0.69</v>
      </c>
      <c r="M20761">
        <v>18120</v>
      </c>
      <c r="N20761" t="s">
        <v>37</v>
      </c>
      <c r="O20761">
        <v>250516</v>
      </c>
      <c r="P20761">
        <v>2.7</v>
      </c>
    </row>
    <row r="20762" spans="1:16" x14ac:dyDescent="0.25">
      <c r="A20762" t="s">
        <v>3296</v>
      </c>
      <c r="B20762" t="s">
        <v>2931</v>
      </c>
      <c r="C20762">
        <v>6730</v>
      </c>
      <c r="D20762" t="str">
        <f t="shared" si="392"/>
        <v xml:space="preserve">12519021721 </v>
      </c>
      <c r="E20762" t="s">
        <v>309</v>
      </c>
      <c r="F20762" t="s">
        <v>310</v>
      </c>
      <c r="G20762">
        <v>3.46</v>
      </c>
      <c r="H20762">
        <v>250430</v>
      </c>
      <c r="I20762">
        <v>4369</v>
      </c>
      <c r="J20762" t="s">
        <v>188</v>
      </c>
      <c r="K20762">
        <v>242.38</v>
      </c>
      <c r="L20762">
        <v>0.7</v>
      </c>
      <c r="M20762">
        <v>18972</v>
      </c>
      <c r="N20762" t="s">
        <v>39</v>
      </c>
      <c r="O20762">
        <v>250516</v>
      </c>
      <c r="P20762">
        <v>2.76</v>
      </c>
    </row>
    <row r="20763" spans="1:16" x14ac:dyDescent="0.25">
      <c r="A20763" t="s">
        <v>3296</v>
      </c>
      <c r="B20763" t="s">
        <v>2931</v>
      </c>
      <c r="C20763">
        <v>6730</v>
      </c>
      <c r="D20763" t="str">
        <f t="shared" si="392"/>
        <v xml:space="preserve">12519021721 </v>
      </c>
      <c r="E20763" t="s">
        <v>309</v>
      </c>
      <c r="F20763" t="s">
        <v>310</v>
      </c>
      <c r="G20763">
        <v>10.16</v>
      </c>
      <c r="H20763">
        <v>250430</v>
      </c>
      <c r="I20763">
        <v>4369</v>
      </c>
      <c r="J20763" t="s">
        <v>188</v>
      </c>
      <c r="K20763">
        <v>242.38</v>
      </c>
      <c r="L20763">
        <v>2.06</v>
      </c>
      <c r="M20763">
        <v>18972</v>
      </c>
      <c r="N20763" t="s">
        <v>39</v>
      </c>
      <c r="O20763">
        <v>250516</v>
      </c>
      <c r="P20763">
        <v>8.1</v>
      </c>
    </row>
    <row r="20764" spans="1:16" x14ac:dyDescent="0.25">
      <c r="A20764" t="s">
        <v>3296</v>
      </c>
      <c r="B20764" t="s">
        <v>2931</v>
      </c>
      <c r="C20764">
        <v>6736</v>
      </c>
      <c r="D20764" t="str">
        <f>"105415628   "</f>
        <v xml:space="preserve">105415628   </v>
      </c>
      <c r="E20764" t="s">
        <v>309</v>
      </c>
      <c r="F20764" t="s">
        <v>310</v>
      </c>
      <c r="G20764">
        <v>26.36</v>
      </c>
      <c r="H20764">
        <v>250430</v>
      </c>
      <c r="I20764">
        <v>4369</v>
      </c>
      <c r="J20764" t="s">
        <v>188</v>
      </c>
      <c r="K20764">
        <v>26.36</v>
      </c>
      <c r="L20764">
        <v>5.36</v>
      </c>
      <c r="M20764">
        <v>11801</v>
      </c>
      <c r="N20764" t="s">
        <v>40</v>
      </c>
      <c r="O20764">
        <v>250516</v>
      </c>
      <c r="P20764">
        <v>21</v>
      </c>
    </row>
    <row r="20765" spans="1:16" x14ac:dyDescent="0.25">
      <c r="A20765" t="s">
        <v>3296</v>
      </c>
      <c r="B20765" t="s">
        <v>2931</v>
      </c>
      <c r="C20765">
        <v>6737</v>
      </c>
      <c r="D20765" t="str">
        <f t="shared" ref="D20765:D20775" si="393">"12519021713 "</f>
        <v xml:space="preserve">12519021713 </v>
      </c>
      <c r="E20765" t="s">
        <v>309</v>
      </c>
      <c r="F20765" t="s">
        <v>310</v>
      </c>
      <c r="G20765">
        <v>3.4</v>
      </c>
      <c r="H20765">
        <v>250430</v>
      </c>
      <c r="I20765">
        <v>4369</v>
      </c>
      <c r="J20765" t="s">
        <v>188</v>
      </c>
      <c r="K20765">
        <v>137.38</v>
      </c>
      <c r="L20765">
        <v>0</v>
      </c>
      <c r="M20765">
        <v>13201</v>
      </c>
      <c r="N20765" t="s">
        <v>269</v>
      </c>
      <c r="O20765">
        <v>250516</v>
      </c>
      <c r="P20765">
        <v>3.4</v>
      </c>
    </row>
    <row r="20766" spans="1:16" x14ac:dyDescent="0.25">
      <c r="A20766" t="s">
        <v>3296</v>
      </c>
      <c r="B20766" t="s">
        <v>2931</v>
      </c>
      <c r="C20766">
        <v>6737</v>
      </c>
      <c r="D20766" t="str">
        <f t="shared" si="393"/>
        <v xml:space="preserve">12519021713 </v>
      </c>
      <c r="E20766" t="s">
        <v>309</v>
      </c>
      <c r="F20766" t="s">
        <v>310</v>
      </c>
      <c r="G20766">
        <v>35.65</v>
      </c>
      <c r="H20766">
        <v>250430</v>
      </c>
      <c r="I20766">
        <v>4369</v>
      </c>
      <c r="J20766" t="s">
        <v>188</v>
      </c>
      <c r="K20766">
        <v>137.38</v>
      </c>
      <c r="L20766">
        <v>7.24</v>
      </c>
      <c r="M20766">
        <v>13401</v>
      </c>
      <c r="N20766" t="s">
        <v>10</v>
      </c>
      <c r="O20766">
        <v>250516</v>
      </c>
      <c r="P20766">
        <v>28.41</v>
      </c>
    </row>
    <row r="20767" spans="1:16" x14ac:dyDescent="0.25">
      <c r="A20767" t="s">
        <v>3296</v>
      </c>
      <c r="B20767" t="s">
        <v>2931</v>
      </c>
      <c r="C20767">
        <v>6737</v>
      </c>
      <c r="D20767" t="str">
        <f t="shared" si="393"/>
        <v xml:space="preserve">12519021713 </v>
      </c>
      <c r="E20767" t="s">
        <v>309</v>
      </c>
      <c r="F20767" t="s">
        <v>310</v>
      </c>
      <c r="G20767">
        <v>6.85</v>
      </c>
      <c r="H20767">
        <v>250430</v>
      </c>
      <c r="I20767">
        <v>4369</v>
      </c>
      <c r="J20767" t="s">
        <v>188</v>
      </c>
      <c r="K20767">
        <v>137.38</v>
      </c>
      <c r="L20767">
        <v>1.39</v>
      </c>
      <c r="M20767">
        <v>13401</v>
      </c>
      <c r="N20767" t="s">
        <v>10</v>
      </c>
      <c r="O20767">
        <v>250516</v>
      </c>
      <c r="P20767">
        <v>5.46</v>
      </c>
    </row>
    <row r="20768" spans="1:16" x14ac:dyDescent="0.25">
      <c r="A20768" t="s">
        <v>3296</v>
      </c>
      <c r="B20768" t="s">
        <v>2931</v>
      </c>
      <c r="C20768">
        <v>6737</v>
      </c>
      <c r="D20768" t="str">
        <f t="shared" si="393"/>
        <v xml:space="preserve">12519021713 </v>
      </c>
      <c r="E20768" t="s">
        <v>309</v>
      </c>
      <c r="F20768" t="s">
        <v>310</v>
      </c>
      <c r="G20768">
        <v>31.22</v>
      </c>
      <c r="H20768">
        <v>250430</v>
      </c>
      <c r="I20768">
        <v>4369</v>
      </c>
      <c r="J20768" t="s">
        <v>188</v>
      </c>
      <c r="K20768">
        <v>137.38</v>
      </c>
      <c r="L20768">
        <v>6.34</v>
      </c>
      <c r="M20768">
        <v>13501</v>
      </c>
      <c r="N20768" t="s">
        <v>66</v>
      </c>
      <c r="O20768">
        <v>250516</v>
      </c>
      <c r="P20768">
        <v>24.88</v>
      </c>
    </row>
    <row r="20769" spans="1:16" x14ac:dyDescent="0.25">
      <c r="A20769" t="s">
        <v>3296</v>
      </c>
      <c r="B20769" t="s">
        <v>2931</v>
      </c>
      <c r="C20769">
        <v>6737</v>
      </c>
      <c r="D20769" t="str">
        <f t="shared" si="393"/>
        <v xml:space="preserve">12519021713 </v>
      </c>
      <c r="E20769" t="s">
        <v>309</v>
      </c>
      <c r="F20769" t="s">
        <v>310</v>
      </c>
      <c r="G20769">
        <v>3.4</v>
      </c>
      <c r="H20769">
        <v>250430</v>
      </c>
      <c r="I20769">
        <v>4369</v>
      </c>
      <c r="J20769" t="s">
        <v>188</v>
      </c>
      <c r="K20769">
        <v>137.38</v>
      </c>
      <c r="L20769">
        <v>0.69</v>
      </c>
      <c r="M20769">
        <v>13561</v>
      </c>
      <c r="N20769" t="s">
        <v>241</v>
      </c>
      <c r="O20769">
        <v>250516</v>
      </c>
      <c r="P20769">
        <v>2.71</v>
      </c>
    </row>
    <row r="20770" spans="1:16" x14ac:dyDescent="0.25">
      <c r="A20770" t="s">
        <v>3296</v>
      </c>
      <c r="B20770" t="s">
        <v>2931</v>
      </c>
      <c r="C20770">
        <v>6737</v>
      </c>
      <c r="D20770" t="str">
        <f t="shared" si="393"/>
        <v xml:space="preserve">12519021713 </v>
      </c>
      <c r="E20770" t="s">
        <v>309</v>
      </c>
      <c r="F20770" t="s">
        <v>310</v>
      </c>
      <c r="G20770">
        <v>3.4</v>
      </c>
      <c r="H20770">
        <v>250430</v>
      </c>
      <c r="I20770">
        <v>4369</v>
      </c>
      <c r="J20770" t="s">
        <v>188</v>
      </c>
      <c r="K20770">
        <v>137.38</v>
      </c>
      <c r="L20770">
        <v>0.69</v>
      </c>
      <c r="M20770">
        <v>13561</v>
      </c>
      <c r="N20770" t="s">
        <v>241</v>
      </c>
      <c r="O20770">
        <v>250516</v>
      </c>
      <c r="P20770">
        <v>2.71</v>
      </c>
    </row>
    <row r="20771" spans="1:16" x14ac:dyDescent="0.25">
      <c r="A20771" t="s">
        <v>3296</v>
      </c>
      <c r="B20771" t="s">
        <v>2931</v>
      </c>
      <c r="C20771">
        <v>6737</v>
      </c>
      <c r="D20771" t="str">
        <f t="shared" si="393"/>
        <v xml:space="preserve">12519021713 </v>
      </c>
      <c r="E20771" t="s">
        <v>309</v>
      </c>
      <c r="F20771" t="s">
        <v>310</v>
      </c>
      <c r="G20771">
        <v>3.4</v>
      </c>
      <c r="H20771">
        <v>250430</v>
      </c>
      <c r="I20771">
        <v>4369</v>
      </c>
      <c r="J20771" t="s">
        <v>188</v>
      </c>
      <c r="K20771">
        <v>137.38</v>
      </c>
      <c r="L20771">
        <v>0.69</v>
      </c>
      <c r="M20771">
        <v>13601</v>
      </c>
      <c r="N20771" t="s">
        <v>115</v>
      </c>
      <c r="O20771">
        <v>250516</v>
      </c>
      <c r="P20771">
        <v>2.71</v>
      </c>
    </row>
    <row r="20772" spans="1:16" x14ac:dyDescent="0.25">
      <c r="A20772" t="s">
        <v>3296</v>
      </c>
      <c r="B20772" t="s">
        <v>2931</v>
      </c>
      <c r="C20772">
        <v>6737</v>
      </c>
      <c r="D20772" t="str">
        <f t="shared" si="393"/>
        <v xml:space="preserve">12519021713 </v>
      </c>
      <c r="E20772" t="s">
        <v>309</v>
      </c>
      <c r="F20772" t="s">
        <v>310</v>
      </c>
      <c r="G20772">
        <v>3.4</v>
      </c>
      <c r="H20772">
        <v>250430</v>
      </c>
      <c r="I20772">
        <v>4369</v>
      </c>
      <c r="J20772" t="s">
        <v>188</v>
      </c>
      <c r="K20772">
        <v>137.38</v>
      </c>
      <c r="L20772">
        <v>0.69</v>
      </c>
      <c r="M20772">
        <v>13661</v>
      </c>
      <c r="N20772" t="s">
        <v>243</v>
      </c>
      <c r="O20772">
        <v>250516</v>
      </c>
      <c r="P20772">
        <v>2.71</v>
      </c>
    </row>
    <row r="20773" spans="1:16" x14ac:dyDescent="0.25">
      <c r="A20773" t="s">
        <v>3296</v>
      </c>
      <c r="B20773" t="s">
        <v>2931</v>
      </c>
      <c r="C20773">
        <v>6737</v>
      </c>
      <c r="D20773" t="str">
        <f t="shared" si="393"/>
        <v xml:space="preserve">12519021713 </v>
      </c>
      <c r="E20773" t="s">
        <v>309</v>
      </c>
      <c r="F20773" t="s">
        <v>310</v>
      </c>
      <c r="G20773">
        <v>16.37</v>
      </c>
      <c r="H20773">
        <v>250430</v>
      </c>
      <c r="I20773">
        <v>4369</v>
      </c>
      <c r="J20773" t="s">
        <v>188</v>
      </c>
      <c r="K20773">
        <v>137.38</v>
      </c>
      <c r="L20773">
        <v>3.33</v>
      </c>
      <c r="M20773">
        <v>13801</v>
      </c>
      <c r="N20773" t="s">
        <v>33</v>
      </c>
      <c r="O20773">
        <v>250516</v>
      </c>
      <c r="P20773">
        <v>13.04</v>
      </c>
    </row>
    <row r="20774" spans="1:16" x14ac:dyDescent="0.25">
      <c r="A20774" t="s">
        <v>3296</v>
      </c>
      <c r="B20774" t="s">
        <v>2931</v>
      </c>
      <c r="C20774">
        <v>6737</v>
      </c>
      <c r="D20774" t="str">
        <f t="shared" si="393"/>
        <v xml:space="preserve">12519021713 </v>
      </c>
      <c r="E20774" t="s">
        <v>309</v>
      </c>
      <c r="F20774" t="s">
        <v>310</v>
      </c>
      <c r="G20774">
        <v>16.96</v>
      </c>
      <c r="H20774">
        <v>250430</v>
      </c>
      <c r="I20774">
        <v>4369</v>
      </c>
      <c r="J20774" t="s">
        <v>188</v>
      </c>
      <c r="K20774">
        <v>137.38</v>
      </c>
      <c r="L20774">
        <v>3.45</v>
      </c>
      <c r="M20774">
        <v>13801</v>
      </c>
      <c r="N20774" t="s">
        <v>33</v>
      </c>
      <c r="O20774">
        <v>250516</v>
      </c>
      <c r="P20774">
        <v>13.51</v>
      </c>
    </row>
    <row r="20775" spans="1:16" x14ac:dyDescent="0.25">
      <c r="A20775" t="s">
        <v>3296</v>
      </c>
      <c r="B20775" t="s">
        <v>2931</v>
      </c>
      <c r="C20775">
        <v>6737</v>
      </c>
      <c r="D20775" t="str">
        <f t="shared" si="393"/>
        <v xml:space="preserve">12519021713 </v>
      </c>
      <c r="E20775" t="s">
        <v>309</v>
      </c>
      <c r="F20775" t="s">
        <v>310</v>
      </c>
      <c r="G20775">
        <v>13.33</v>
      </c>
      <c r="H20775">
        <v>250430</v>
      </c>
      <c r="I20775">
        <v>4369</v>
      </c>
      <c r="J20775" t="s">
        <v>188</v>
      </c>
      <c r="K20775">
        <v>137.38</v>
      </c>
      <c r="L20775">
        <v>2.71</v>
      </c>
      <c r="M20775">
        <v>13802</v>
      </c>
      <c r="N20775" t="s">
        <v>34</v>
      </c>
      <c r="O20775">
        <v>250516</v>
      </c>
      <c r="P20775">
        <v>10.62</v>
      </c>
    </row>
    <row r="20776" spans="1:16" x14ac:dyDescent="0.25">
      <c r="A20776" t="s">
        <v>3296</v>
      </c>
      <c r="B20776" t="s">
        <v>2931</v>
      </c>
      <c r="C20776">
        <v>6740</v>
      </c>
      <c r="D20776" t="str">
        <f>"12519021715 "</f>
        <v xml:space="preserve">12519021715 </v>
      </c>
      <c r="E20776" t="s">
        <v>309</v>
      </c>
      <c r="F20776" t="s">
        <v>310</v>
      </c>
      <c r="G20776">
        <v>60.5</v>
      </c>
      <c r="H20776">
        <v>250430</v>
      </c>
      <c r="I20776">
        <v>4369</v>
      </c>
      <c r="J20776" t="s">
        <v>188</v>
      </c>
      <c r="K20776">
        <v>60.5</v>
      </c>
      <c r="L20776">
        <v>12.29</v>
      </c>
      <c r="M20776">
        <v>11801</v>
      </c>
      <c r="N20776" t="s">
        <v>40</v>
      </c>
      <c r="O20776">
        <v>250516</v>
      </c>
      <c r="P20776">
        <v>48.21</v>
      </c>
    </row>
    <row r="20777" spans="1:16" x14ac:dyDescent="0.25">
      <c r="A20777" t="s">
        <v>3296</v>
      </c>
      <c r="B20777" t="s">
        <v>2931</v>
      </c>
      <c r="C20777">
        <v>7076</v>
      </c>
      <c r="D20777" t="str">
        <f>"105415664   "</f>
        <v xml:space="preserve">105415664   </v>
      </c>
      <c r="E20777" t="s">
        <v>309</v>
      </c>
      <c r="F20777" t="s">
        <v>310</v>
      </c>
      <c r="G20777">
        <v>85.65</v>
      </c>
      <c r="H20777">
        <v>250512</v>
      </c>
      <c r="I20777">
        <v>4369</v>
      </c>
      <c r="J20777" t="s">
        <v>188</v>
      </c>
      <c r="K20777">
        <v>85.65</v>
      </c>
      <c r="L20777">
        <v>17.399999999999999</v>
      </c>
      <c r="M20777">
        <v>11801</v>
      </c>
      <c r="N20777" t="s">
        <v>40</v>
      </c>
      <c r="O20777">
        <v>250522</v>
      </c>
      <c r="P20777">
        <v>68.25</v>
      </c>
    </row>
    <row r="20778" spans="1:16" x14ac:dyDescent="0.25">
      <c r="A20778" t="s">
        <v>3296</v>
      </c>
      <c r="B20778" t="s">
        <v>2931</v>
      </c>
      <c r="C20778">
        <v>7496</v>
      </c>
      <c r="D20778" t="str">
        <f>"20158645    "</f>
        <v xml:space="preserve">20158645    </v>
      </c>
      <c r="E20778" t="s">
        <v>309</v>
      </c>
      <c r="F20778" t="s">
        <v>310</v>
      </c>
      <c r="G20778">
        <v>26.97</v>
      </c>
      <c r="H20778">
        <v>250508</v>
      </c>
      <c r="I20778">
        <v>4369</v>
      </c>
      <c r="J20778" t="s">
        <v>188</v>
      </c>
      <c r="K20778">
        <v>26.97</v>
      </c>
      <c r="L20778">
        <v>5.48</v>
      </c>
      <c r="M20778">
        <v>11501</v>
      </c>
      <c r="N20778" t="s">
        <v>13</v>
      </c>
      <c r="O20778">
        <v>250604</v>
      </c>
      <c r="P20778">
        <v>21.49</v>
      </c>
    </row>
    <row r="20779" spans="1:16" x14ac:dyDescent="0.25">
      <c r="A20779" t="s">
        <v>3296</v>
      </c>
      <c r="B20779" t="s">
        <v>2931</v>
      </c>
      <c r="C20779">
        <v>8554</v>
      </c>
      <c r="D20779" t="str">
        <f>"105448446   "</f>
        <v xml:space="preserve">105448446   </v>
      </c>
      <c r="E20779" t="s">
        <v>309</v>
      </c>
      <c r="F20779" t="s">
        <v>310</v>
      </c>
      <c r="G20779">
        <v>26.36</v>
      </c>
      <c r="H20779">
        <v>250531</v>
      </c>
      <c r="I20779">
        <v>4369</v>
      </c>
      <c r="J20779" t="s">
        <v>188</v>
      </c>
      <c r="K20779">
        <v>26.36</v>
      </c>
      <c r="L20779">
        <v>5.36</v>
      </c>
      <c r="M20779">
        <v>13940</v>
      </c>
      <c r="N20779" t="s">
        <v>14</v>
      </c>
      <c r="O20779">
        <v>250617</v>
      </c>
      <c r="P20779">
        <v>21</v>
      </c>
    </row>
    <row r="20780" spans="1:16" x14ac:dyDescent="0.25">
      <c r="A20780" t="s">
        <v>3296</v>
      </c>
      <c r="B20780" t="s">
        <v>2931</v>
      </c>
      <c r="C20780">
        <v>8556</v>
      </c>
      <c r="D20780" t="str">
        <f t="shared" ref="D20780:D20786" si="394">"12523021543 "</f>
        <v xml:space="preserve">12523021543 </v>
      </c>
      <c r="E20780" t="s">
        <v>309</v>
      </c>
      <c r="F20780" t="s">
        <v>310</v>
      </c>
      <c r="G20780">
        <v>23.87</v>
      </c>
      <c r="H20780">
        <v>250531</v>
      </c>
      <c r="I20780">
        <v>4369</v>
      </c>
      <c r="J20780" t="s">
        <v>188</v>
      </c>
      <c r="K20780">
        <v>58.04</v>
      </c>
      <c r="L20780">
        <v>4.8499999999999996</v>
      </c>
      <c r="M20780">
        <v>54222</v>
      </c>
      <c r="N20780" t="s">
        <v>48</v>
      </c>
      <c r="O20780">
        <v>250617</v>
      </c>
      <c r="P20780">
        <v>19.02</v>
      </c>
    </row>
    <row r="20781" spans="1:16" x14ac:dyDescent="0.25">
      <c r="A20781" t="s">
        <v>3296</v>
      </c>
      <c r="B20781" t="s">
        <v>2931</v>
      </c>
      <c r="C20781">
        <v>8556</v>
      </c>
      <c r="D20781" t="str">
        <f t="shared" si="394"/>
        <v xml:space="preserve">12523021543 </v>
      </c>
      <c r="E20781" t="s">
        <v>309</v>
      </c>
      <c r="F20781" t="s">
        <v>310</v>
      </c>
      <c r="G20781">
        <v>3.39</v>
      </c>
      <c r="H20781">
        <v>250531</v>
      </c>
      <c r="I20781">
        <v>4369</v>
      </c>
      <c r="J20781" t="s">
        <v>188</v>
      </c>
      <c r="K20781">
        <v>58.04</v>
      </c>
      <c r="L20781">
        <v>0.69</v>
      </c>
      <c r="M20781">
        <v>54251</v>
      </c>
      <c r="N20781" t="s">
        <v>485</v>
      </c>
      <c r="O20781">
        <v>250617</v>
      </c>
      <c r="P20781">
        <v>2.7</v>
      </c>
    </row>
    <row r="20782" spans="1:16" x14ac:dyDescent="0.25">
      <c r="A20782" t="s">
        <v>3296</v>
      </c>
      <c r="B20782" t="s">
        <v>2931</v>
      </c>
      <c r="C20782">
        <v>8556</v>
      </c>
      <c r="D20782" t="str">
        <f t="shared" si="394"/>
        <v xml:space="preserve">12523021543 </v>
      </c>
      <c r="E20782" t="s">
        <v>309</v>
      </c>
      <c r="F20782" t="s">
        <v>310</v>
      </c>
      <c r="G20782">
        <v>3.39</v>
      </c>
      <c r="H20782">
        <v>250531</v>
      </c>
      <c r="I20782">
        <v>4369</v>
      </c>
      <c r="J20782" t="s">
        <v>188</v>
      </c>
      <c r="K20782">
        <v>58.04</v>
      </c>
      <c r="L20782">
        <v>0.69</v>
      </c>
      <c r="M20782">
        <v>54252</v>
      </c>
      <c r="N20782" t="s">
        <v>742</v>
      </c>
      <c r="O20782">
        <v>250617</v>
      </c>
      <c r="P20782">
        <v>2.7</v>
      </c>
    </row>
    <row r="20783" spans="1:16" x14ac:dyDescent="0.25">
      <c r="A20783" t="s">
        <v>3296</v>
      </c>
      <c r="B20783" t="s">
        <v>2931</v>
      </c>
      <c r="C20783">
        <v>8556</v>
      </c>
      <c r="D20783" t="str">
        <f t="shared" si="394"/>
        <v xml:space="preserve">12523021543 </v>
      </c>
      <c r="E20783" t="s">
        <v>309</v>
      </c>
      <c r="F20783" t="s">
        <v>310</v>
      </c>
      <c r="G20783">
        <v>6.78</v>
      </c>
      <c r="H20783">
        <v>250531</v>
      </c>
      <c r="I20783">
        <v>4369</v>
      </c>
      <c r="J20783" t="s">
        <v>188</v>
      </c>
      <c r="K20783">
        <v>58.04</v>
      </c>
      <c r="L20783">
        <v>1.38</v>
      </c>
      <c r="M20783">
        <v>54422</v>
      </c>
      <c r="N20783" t="s">
        <v>49</v>
      </c>
      <c r="O20783">
        <v>250617</v>
      </c>
      <c r="P20783">
        <v>5.4</v>
      </c>
    </row>
    <row r="20784" spans="1:16" x14ac:dyDescent="0.25">
      <c r="A20784" t="s">
        <v>3296</v>
      </c>
      <c r="B20784" t="s">
        <v>2931</v>
      </c>
      <c r="C20784">
        <v>8556</v>
      </c>
      <c r="D20784" t="str">
        <f t="shared" si="394"/>
        <v xml:space="preserve">12523021543 </v>
      </c>
      <c r="E20784" t="s">
        <v>309</v>
      </c>
      <c r="F20784" t="s">
        <v>310</v>
      </c>
      <c r="G20784">
        <v>6.78</v>
      </c>
      <c r="H20784">
        <v>250531</v>
      </c>
      <c r="I20784">
        <v>4369</v>
      </c>
      <c r="J20784" t="s">
        <v>188</v>
      </c>
      <c r="K20784">
        <v>58.04</v>
      </c>
      <c r="L20784">
        <v>1.38</v>
      </c>
      <c r="M20784">
        <v>54451</v>
      </c>
      <c r="N20784" t="s">
        <v>218</v>
      </c>
      <c r="O20784">
        <v>250617</v>
      </c>
      <c r="P20784">
        <v>5.4</v>
      </c>
    </row>
    <row r="20785" spans="1:16" x14ac:dyDescent="0.25">
      <c r="A20785" t="s">
        <v>3296</v>
      </c>
      <c r="B20785" t="s">
        <v>2931</v>
      </c>
      <c r="C20785">
        <v>8556</v>
      </c>
      <c r="D20785" t="str">
        <f t="shared" si="394"/>
        <v xml:space="preserve">12523021543 </v>
      </c>
      <c r="E20785" t="s">
        <v>309</v>
      </c>
      <c r="F20785" t="s">
        <v>310</v>
      </c>
      <c r="G20785">
        <v>7.07</v>
      </c>
      <c r="H20785">
        <v>250531</v>
      </c>
      <c r="I20785">
        <v>4369</v>
      </c>
      <c r="J20785" t="s">
        <v>188</v>
      </c>
      <c r="K20785">
        <v>58.04</v>
      </c>
      <c r="L20785">
        <v>1.44</v>
      </c>
      <c r="M20785">
        <v>56563</v>
      </c>
      <c r="N20785" t="s">
        <v>55</v>
      </c>
      <c r="O20785">
        <v>250617</v>
      </c>
      <c r="P20785">
        <v>5.63</v>
      </c>
    </row>
    <row r="20786" spans="1:16" x14ac:dyDescent="0.25">
      <c r="A20786" t="s">
        <v>3296</v>
      </c>
      <c r="B20786" t="s">
        <v>2931</v>
      </c>
      <c r="C20786">
        <v>8556</v>
      </c>
      <c r="D20786" t="str">
        <f t="shared" si="394"/>
        <v xml:space="preserve">12523021543 </v>
      </c>
      <c r="E20786" t="s">
        <v>309</v>
      </c>
      <c r="F20786" t="s">
        <v>310</v>
      </c>
      <c r="G20786">
        <v>6.76</v>
      </c>
      <c r="H20786">
        <v>250531</v>
      </c>
      <c r="I20786">
        <v>4369</v>
      </c>
      <c r="J20786" t="s">
        <v>188</v>
      </c>
      <c r="K20786">
        <v>58.04</v>
      </c>
      <c r="L20786">
        <v>1.37</v>
      </c>
      <c r="M20786">
        <v>58601</v>
      </c>
      <c r="N20786" t="s">
        <v>59</v>
      </c>
      <c r="O20786">
        <v>250617</v>
      </c>
      <c r="P20786">
        <v>5.39</v>
      </c>
    </row>
    <row r="20787" spans="1:16" x14ac:dyDescent="0.25">
      <c r="A20787" t="s">
        <v>3296</v>
      </c>
      <c r="B20787" t="s">
        <v>2931</v>
      </c>
      <c r="C20787">
        <v>8561</v>
      </c>
      <c r="D20787" t="str">
        <f t="shared" ref="D20787:D20796" si="395">"12523021564 "</f>
        <v xml:space="preserve">12523021564 </v>
      </c>
      <c r="E20787" t="s">
        <v>309</v>
      </c>
      <c r="F20787" t="s">
        <v>310</v>
      </c>
      <c r="G20787">
        <v>20.58</v>
      </c>
      <c r="H20787">
        <v>250531</v>
      </c>
      <c r="I20787">
        <v>4369</v>
      </c>
      <c r="J20787" t="s">
        <v>188</v>
      </c>
      <c r="K20787">
        <v>58.61</v>
      </c>
      <c r="L20787">
        <v>4.18</v>
      </c>
      <c r="M20787">
        <v>16121</v>
      </c>
      <c r="N20787" t="s">
        <v>127</v>
      </c>
      <c r="O20787">
        <v>250617</v>
      </c>
      <c r="P20787">
        <v>16.399999999999999</v>
      </c>
    </row>
    <row r="20788" spans="1:16" x14ac:dyDescent="0.25">
      <c r="A20788" t="s">
        <v>3296</v>
      </c>
      <c r="B20788" t="s">
        <v>2931</v>
      </c>
      <c r="C20788">
        <v>8561</v>
      </c>
      <c r="D20788" t="str">
        <f t="shared" si="395"/>
        <v xml:space="preserve">12523021564 </v>
      </c>
      <c r="E20788" t="s">
        <v>309</v>
      </c>
      <c r="F20788" t="s">
        <v>310</v>
      </c>
      <c r="G20788">
        <v>6.85</v>
      </c>
      <c r="H20788">
        <v>250531</v>
      </c>
      <c r="I20788">
        <v>4369</v>
      </c>
      <c r="J20788" t="s">
        <v>188</v>
      </c>
      <c r="K20788">
        <v>58.61</v>
      </c>
      <c r="L20788">
        <v>1.39</v>
      </c>
      <c r="M20788">
        <v>16322</v>
      </c>
      <c r="N20788" t="s">
        <v>331</v>
      </c>
      <c r="O20788">
        <v>250617</v>
      </c>
      <c r="P20788">
        <v>5.46</v>
      </c>
    </row>
    <row r="20789" spans="1:16" x14ac:dyDescent="0.25">
      <c r="A20789" t="s">
        <v>3296</v>
      </c>
      <c r="B20789" t="s">
        <v>2931</v>
      </c>
      <c r="C20789">
        <v>8561</v>
      </c>
      <c r="D20789" t="str">
        <f t="shared" si="395"/>
        <v xml:space="preserve">12523021564 </v>
      </c>
      <c r="E20789" t="s">
        <v>309</v>
      </c>
      <c r="F20789" t="s">
        <v>310</v>
      </c>
      <c r="G20789">
        <v>3.39</v>
      </c>
      <c r="H20789">
        <v>250531</v>
      </c>
      <c r="I20789">
        <v>4369</v>
      </c>
      <c r="J20789" t="s">
        <v>188</v>
      </c>
      <c r="K20789">
        <v>58.61</v>
      </c>
      <c r="L20789">
        <v>0.69</v>
      </c>
      <c r="M20789">
        <v>16820</v>
      </c>
      <c r="N20789" t="s">
        <v>128</v>
      </c>
      <c r="O20789">
        <v>250617</v>
      </c>
      <c r="P20789">
        <v>2.7</v>
      </c>
    </row>
    <row r="20790" spans="1:16" x14ac:dyDescent="0.25">
      <c r="A20790" t="s">
        <v>3296</v>
      </c>
      <c r="B20790" t="s">
        <v>2931</v>
      </c>
      <c r="C20790">
        <v>8561</v>
      </c>
      <c r="D20790" t="str">
        <f t="shared" si="395"/>
        <v xml:space="preserve">12523021564 </v>
      </c>
      <c r="E20790" t="s">
        <v>309</v>
      </c>
      <c r="F20790" t="s">
        <v>310</v>
      </c>
      <c r="G20790">
        <v>6.77</v>
      </c>
      <c r="H20790">
        <v>250531</v>
      </c>
      <c r="I20790">
        <v>4369</v>
      </c>
      <c r="J20790" t="s">
        <v>188</v>
      </c>
      <c r="K20790">
        <v>58.61</v>
      </c>
      <c r="L20790">
        <v>1.38</v>
      </c>
      <c r="M20790">
        <v>16820</v>
      </c>
      <c r="N20790" t="s">
        <v>128</v>
      </c>
      <c r="O20790">
        <v>250617</v>
      </c>
      <c r="P20790">
        <v>5.39</v>
      </c>
    </row>
    <row r="20791" spans="1:16" x14ac:dyDescent="0.25">
      <c r="A20791" t="s">
        <v>3296</v>
      </c>
      <c r="B20791" t="s">
        <v>2931</v>
      </c>
      <c r="C20791">
        <v>8561</v>
      </c>
      <c r="D20791" t="str">
        <f t="shared" si="395"/>
        <v xml:space="preserve">12523021564 </v>
      </c>
      <c r="E20791" t="s">
        <v>309</v>
      </c>
      <c r="F20791" t="s">
        <v>310</v>
      </c>
      <c r="G20791">
        <v>4.25</v>
      </c>
      <c r="H20791">
        <v>250531</v>
      </c>
      <c r="I20791">
        <v>4369</v>
      </c>
      <c r="J20791" t="s">
        <v>188</v>
      </c>
      <c r="K20791">
        <v>58.61</v>
      </c>
      <c r="L20791">
        <v>0.86</v>
      </c>
      <c r="M20791">
        <v>17862</v>
      </c>
      <c r="N20791" t="s">
        <v>130</v>
      </c>
      <c r="O20791">
        <v>250617</v>
      </c>
      <c r="P20791">
        <v>3.39</v>
      </c>
    </row>
    <row r="20792" spans="1:16" x14ac:dyDescent="0.25">
      <c r="A20792" t="s">
        <v>3296</v>
      </c>
      <c r="B20792" t="s">
        <v>2931</v>
      </c>
      <c r="C20792">
        <v>8561</v>
      </c>
      <c r="D20792" t="str">
        <f t="shared" si="395"/>
        <v xml:space="preserve">12523021564 </v>
      </c>
      <c r="E20792" t="s">
        <v>309</v>
      </c>
      <c r="F20792" t="s">
        <v>310</v>
      </c>
      <c r="G20792">
        <v>3.39</v>
      </c>
      <c r="H20792">
        <v>250531</v>
      </c>
      <c r="I20792">
        <v>4369</v>
      </c>
      <c r="J20792" t="s">
        <v>188</v>
      </c>
      <c r="K20792">
        <v>58.61</v>
      </c>
      <c r="L20792">
        <v>0.69</v>
      </c>
      <c r="M20792">
        <v>17950</v>
      </c>
      <c r="N20792" t="s">
        <v>132</v>
      </c>
      <c r="O20792">
        <v>250617</v>
      </c>
      <c r="P20792">
        <v>2.7</v>
      </c>
    </row>
    <row r="20793" spans="1:16" x14ac:dyDescent="0.25">
      <c r="A20793" t="s">
        <v>3296</v>
      </c>
      <c r="B20793" t="s">
        <v>2931</v>
      </c>
      <c r="C20793">
        <v>8561</v>
      </c>
      <c r="D20793" t="str">
        <f t="shared" si="395"/>
        <v xml:space="preserve">12523021564 </v>
      </c>
      <c r="E20793" t="s">
        <v>309</v>
      </c>
      <c r="F20793" t="s">
        <v>310</v>
      </c>
      <c r="G20793">
        <v>3.39</v>
      </c>
      <c r="H20793">
        <v>250531</v>
      </c>
      <c r="I20793">
        <v>4369</v>
      </c>
      <c r="J20793" t="s">
        <v>188</v>
      </c>
      <c r="K20793">
        <v>58.61</v>
      </c>
      <c r="L20793">
        <v>0.69</v>
      </c>
      <c r="M20793">
        <v>17971</v>
      </c>
      <c r="N20793" t="s">
        <v>27</v>
      </c>
      <c r="O20793">
        <v>250617</v>
      </c>
      <c r="P20793">
        <v>2.7</v>
      </c>
    </row>
    <row r="20794" spans="1:16" x14ac:dyDescent="0.25">
      <c r="A20794" t="s">
        <v>3296</v>
      </c>
      <c r="B20794" t="s">
        <v>2931</v>
      </c>
      <c r="C20794">
        <v>8561</v>
      </c>
      <c r="D20794" t="str">
        <f t="shared" si="395"/>
        <v xml:space="preserve">12523021564 </v>
      </c>
      <c r="E20794" t="s">
        <v>309</v>
      </c>
      <c r="F20794" t="s">
        <v>310</v>
      </c>
      <c r="G20794">
        <v>3.4</v>
      </c>
      <c r="H20794">
        <v>250531</v>
      </c>
      <c r="I20794">
        <v>4369</v>
      </c>
      <c r="J20794" t="s">
        <v>188</v>
      </c>
      <c r="K20794">
        <v>58.61</v>
      </c>
      <c r="L20794">
        <v>0.69</v>
      </c>
      <c r="M20794">
        <v>17972</v>
      </c>
      <c r="N20794" t="s">
        <v>28</v>
      </c>
      <c r="O20794">
        <v>250617</v>
      </c>
      <c r="P20794">
        <v>2.71</v>
      </c>
    </row>
    <row r="20795" spans="1:16" x14ac:dyDescent="0.25">
      <c r="A20795" t="s">
        <v>3296</v>
      </c>
      <c r="B20795" t="s">
        <v>2931</v>
      </c>
      <c r="C20795">
        <v>8561</v>
      </c>
      <c r="D20795" t="str">
        <f t="shared" si="395"/>
        <v xml:space="preserve">12523021564 </v>
      </c>
      <c r="E20795" t="s">
        <v>309</v>
      </c>
      <c r="F20795" t="s">
        <v>310</v>
      </c>
      <c r="G20795">
        <v>3.2</v>
      </c>
      <c r="H20795">
        <v>250531</v>
      </c>
      <c r="I20795">
        <v>4369</v>
      </c>
      <c r="J20795" t="s">
        <v>188</v>
      </c>
      <c r="K20795">
        <v>58.61</v>
      </c>
      <c r="L20795">
        <v>0.65</v>
      </c>
      <c r="M20795">
        <v>17974</v>
      </c>
      <c r="N20795" t="s">
        <v>153</v>
      </c>
      <c r="O20795">
        <v>250617</v>
      </c>
      <c r="P20795">
        <v>2.5499999999999998</v>
      </c>
    </row>
    <row r="20796" spans="1:16" x14ac:dyDescent="0.25">
      <c r="A20796" t="s">
        <v>3296</v>
      </c>
      <c r="B20796" t="s">
        <v>2931</v>
      </c>
      <c r="C20796">
        <v>8561</v>
      </c>
      <c r="D20796" t="str">
        <f t="shared" si="395"/>
        <v xml:space="preserve">12523021564 </v>
      </c>
      <c r="E20796" t="s">
        <v>309</v>
      </c>
      <c r="F20796" t="s">
        <v>310</v>
      </c>
      <c r="G20796">
        <v>3.39</v>
      </c>
      <c r="H20796">
        <v>250531</v>
      </c>
      <c r="I20796">
        <v>4369</v>
      </c>
      <c r="J20796" t="s">
        <v>188</v>
      </c>
      <c r="K20796">
        <v>58.61</v>
      </c>
      <c r="L20796">
        <v>0.69</v>
      </c>
      <c r="M20796">
        <v>17974</v>
      </c>
      <c r="N20796" t="s">
        <v>153</v>
      </c>
      <c r="O20796">
        <v>250617</v>
      </c>
      <c r="P20796">
        <v>2.7</v>
      </c>
    </row>
    <row r="20797" spans="1:16" x14ac:dyDescent="0.25">
      <c r="A20797" t="s">
        <v>3296</v>
      </c>
      <c r="B20797" t="s">
        <v>2931</v>
      </c>
      <c r="C20797">
        <v>8562</v>
      </c>
      <c r="D20797" t="str">
        <f t="shared" ref="D20797:D20804" si="396">"12523021537 "</f>
        <v xml:space="preserve">12523021537 </v>
      </c>
      <c r="E20797" t="s">
        <v>309</v>
      </c>
      <c r="F20797" t="s">
        <v>310</v>
      </c>
      <c r="G20797">
        <v>3.39</v>
      </c>
      <c r="H20797">
        <v>250531</v>
      </c>
      <c r="I20797">
        <v>4369</v>
      </c>
      <c r="J20797" t="s">
        <v>188</v>
      </c>
      <c r="K20797">
        <v>97.25</v>
      </c>
      <c r="L20797">
        <v>0.69</v>
      </c>
      <c r="M20797">
        <v>11001</v>
      </c>
      <c r="N20797" t="s">
        <v>93</v>
      </c>
      <c r="O20797">
        <v>250617</v>
      </c>
      <c r="P20797">
        <v>2.7</v>
      </c>
    </row>
    <row r="20798" spans="1:16" x14ac:dyDescent="0.25">
      <c r="A20798" t="s">
        <v>3296</v>
      </c>
      <c r="B20798" t="s">
        <v>2931</v>
      </c>
      <c r="C20798">
        <v>8562</v>
      </c>
      <c r="D20798" t="str">
        <f t="shared" si="396"/>
        <v xml:space="preserve">12523021537 </v>
      </c>
      <c r="E20798" t="s">
        <v>309</v>
      </c>
      <c r="F20798" t="s">
        <v>310</v>
      </c>
      <c r="G20798">
        <v>40.619999999999997</v>
      </c>
      <c r="H20798">
        <v>250531</v>
      </c>
      <c r="I20798">
        <v>4369</v>
      </c>
      <c r="J20798" t="s">
        <v>188</v>
      </c>
      <c r="K20798">
        <v>97.25</v>
      </c>
      <c r="L20798">
        <v>0</v>
      </c>
      <c r="M20798">
        <v>11001</v>
      </c>
      <c r="N20798" t="s">
        <v>93</v>
      </c>
      <c r="O20798">
        <v>250617</v>
      </c>
      <c r="P20798">
        <v>40.619999999999997</v>
      </c>
    </row>
    <row r="20799" spans="1:16" x14ac:dyDescent="0.25">
      <c r="A20799" t="s">
        <v>3296</v>
      </c>
      <c r="B20799" t="s">
        <v>2931</v>
      </c>
      <c r="C20799">
        <v>8562</v>
      </c>
      <c r="D20799" t="str">
        <f t="shared" si="396"/>
        <v xml:space="preserve">12523021537 </v>
      </c>
      <c r="E20799" t="s">
        <v>309</v>
      </c>
      <c r="F20799" t="s">
        <v>310</v>
      </c>
      <c r="G20799">
        <v>1.1299999999999999</v>
      </c>
      <c r="H20799">
        <v>250531</v>
      </c>
      <c r="I20799">
        <v>4369</v>
      </c>
      <c r="J20799" t="s">
        <v>188</v>
      </c>
      <c r="K20799">
        <v>97.25</v>
      </c>
      <c r="L20799">
        <v>0.23</v>
      </c>
      <c r="M20799">
        <v>11401</v>
      </c>
      <c r="N20799" t="s">
        <v>91</v>
      </c>
      <c r="O20799">
        <v>250617</v>
      </c>
      <c r="P20799">
        <v>0.9</v>
      </c>
    </row>
    <row r="20800" spans="1:16" x14ac:dyDescent="0.25">
      <c r="A20800" t="s">
        <v>3296</v>
      </c>
      <c r="B20800" t="s">
        <v>2931</v>
      </c>
      <c r="C20800">
        <v>8562</v>
      </c>
      <c r="D20800" t="str">
        <f t="shared" si="396"/>
        <v xml:space="preserve">12523021537 </v>
      </c>
      <c r="E20800" t="s">
        <v>309</v>
      </c>
      <c r="F20800" t="s">
        <v>310</v>
      </c>
      <c r="G20800">
        <v>6.93</v>
      </c>
      <c r="H20800">
        <v>250531</v>
      </c>
      <c r="I20800">
        <v>4369</v>
      </c>
      <c r="J20800" t="s">
        <v>188</v>
      </c>
      <c r="K20800">
        <v>97.25</v>
      </c>
      <c r="L20800">
        <v>1.41</v>
      </c>
      <c r="M20800">
        <v>11501</v>
      </c>
      <c r="N20800" t="s">
        <v>13</v>
      </c>
      <c r="O20800">
        <v>250617</v>
      </c>
      <c r="P20800">
        <v>5.52</v>
      </c>
    </row>
    <row r="20801" spans="1:16" x14ac:dyDescent="0.25">
      <c r="A20801" t="s">
        <v>3296</v>
      </c>
      <c r="B20801" t="s">
        <v>2931</v>
      </c>
      <c r="C20801">
        <v>8562</v>
      </c>
      <c r="D20801" t="str">
        <f t="shared" si="396"/>
        <v xml:space="preserve">12523021537 </v>
      </c>
      <c r="E20801" t="s">
        <v>309</v>
      </c>
      <c r="F20801" t="s">
        <v>310</v>
      </c>
      <c r="G20801">
        <v>3.39</v>
      </c>
      <c r="H20801">
        <v>250531</v>
      </c>
      <c r="I20801">
        <v>4369</v>
      </c>
      <c r="J20801" t="s">
        <v>188</v>
      </c>
      <c r="K20801">
        <v>97.25</v>
      </c>
      <c r="L20801">
        <v>0.69</v>
      </c>
      <c r="M20801">
        <v>11701</v>
      </c>
      <c r="N20801" t="s">
        <v>973</v>
      </c>
      <c r="O20801">
        <v>250617</v>
      </c>
      <c r="P20801">
        <v>2.7</v>
      </c>
    </row>
    <row r="20802" spans="1:16" x14ac:dyDescent="0.25">
      <c r="A20802" t="s">
        <v>3296</v>
      </c>
      <c r="B20802" t="s">
        <v>2931</v>
      </c>
      <c r="C20802">
        <v>8562</v>
      </c>
      <c r="D20802" t="str">
        <f t="shared" si="396"/>
        <v xml:space="preserve">12523021537 </v>
      </c>
      <c r="E20802" t="s">
        <v>309</v>
      </c>
      <c r="F20802" t="s">
        <v>310</v>
      </c>
      <c r="G20802">
        <v>6.78</v>
      </c>
      <c r="H20802">
        <v>250531</v>
      </c>
      <c r="I20802">
        <v>4369</v>
      </c>
      <c r="J20802" t="s">
        <v>188</v>
      </c>
      <c r="K20802">
        <v>97.25</v>
      </c>
      <c r="L20802">
        <v>1.38</v>
      </c>
      <c r="M20802">
        <v>11751</v>
      </c>
      <c r="N20802" t="s">
        <v>167</v>
      </c>
      <c r="O20802">
        <v>250617</v>
      </c>
      <c r="P20802">
        <v>5.4</v>
      </c>
    </row>
    <row r="20803" spans="1:16" x14ac:dyDescent="0.25">
      <c r="A20803" t="s">
        <v>3296</v>
      </c>
      <c r="B20803" t="s">
        <v>2931</v>
      </c>
      <c r="C20803">
        <v>8562</v>
      </c>
      <c r="D20803" t="str">
        <f t="shared" si="396"/>
        <v xml:space="preserve">12523021537 </v>
      </c>
      <c r="E20803" t="s">
        <v>309</v>
      </c>
      <c r="F20803" t="s">
        <v>310</v>
      </c>
      <c r="G20803">
        <v>31.12</v>
      </c>
      <c r="H20803">
        <v>250531</v>
      </c>
      <c r="I20803">
        <v>4369</v>
      </c>
      <c r="J20803" t="s">
        <v>188</v>
      </c>
      <c r="K20803">
        <v>97.25</v>
      </c>
      <c r="L20803">
        <v>6.32</v>
      </c>
      <c r="M20803">
        <v>14622</v>
      </c>
      <c r="N20803" t="s">
        <v>77</v>
      </c>
      <c r="O20803">
        <v>250617</v>
      </c>
      <c r="P20803">
        <v>24.8</v>
      </c>
    </row>
    <row r="20804" spans="1:16" x14ac:dyDescent="0.25">
      <c r="A20804" t="s">
        <v>3296</v>
      </c>
      <c r="B20804" t="s">
        <v>2931</v>
      </c>
      <c r="C20804">
        <v>8562</v>
      </c>
      <c r="D20804" t="str">
        <f t="shared" si="396"/>
        <v xml:space="preserve">12523021537 </v>
      </c>
      <c r="E20804" t="s">
        <v>309</v>
      </c>
      <c r="F20804" t="s">
        <v>310</v>
      </c>
      <c r="G20804">
        <v>3.89</v>
      </c>
      <c r="H20804">
        <v>250531</v>
      </c>
      <c r="I20804">
        <v>4369</v>
      </c>
      <c r="J20804" t="s">
        <v>188</v>
      </c>
      <c r="K20804">
        <v>97.25</v>
      </c>
      <c r="L20804">
        <v>0.79</v>
      </c>
      <c r="M20804">
        <v>14952</v>
      </c>
      <c r="N20804" t="s">
        <v>213</v>
      </c>
      <c r="O20804">
        <v>250617</v>
      </c>
      <c r="P20804">
        <v>3.1</v>
      </c>
    </row>
    <row r="20805" spans="1:16" x14ac:dyDescent="0.25">
      <c r="A20805" t="s">
        <v>3296</v>
      </c>
      <c r="B20805" t="s">
        <v>2931</v>
      </c>
      <c r="C20805">
        <v>8563</v>
      </c>
      <c r="D20805" t="str">
        <f t="shared" ref="D20805:D20810" si="397">"12523021560 "</f>
        <v xml:space="preserve">12523021560 </v>
      </c>
      <c r="E20805" t="s">
        <v>309</v>
      </c>
      <c r="F20805" t="s">
        <v>310</v>
      </c>
      <c r="G20805">
        <v>3.39</v>
      </c>
      <c r="H20805">
        <v>250531</v>
      </c>
      <c r="I20805">
        <v>4369</v>
      </c>
      <c r="J20805" t="s">
        <v>188</v>
      </c>
      <c r="K20805">
        <v>67.849999999999994</v>
      </c>
      <c r="L20805">
        <v>0.69</v>
      </c>
      <c r="M20805">
        <v>17132</v>
      </c>
      <c r="N20805" t="s">
        <v>174</v>
      </c>
      <c r="O20805">
        <v>250617</v>
      </c>
      <c r="P20805">
        <v>2.7</v>
      </c>
    </row>
    <row r="20806" spans="1:16" x14ac:dyDescent="0.25">
      <c r="A20806" t="s">
        <v>3296</v>
      </c>
      <c r="B20806" t="s">
        <v>2931</v>
      </c>
      <c r="C20806">
        <v>8563</v>
      </c>
      <c r="D20806" t="str">
        <f t="shared" si="397"/>
        <v xml:space="preserve">12523021560 </v>
      </c>
      <c r="E20806" t="s">
        <v>309</v>
      </c>
      <c r="F20806" t="s">
        <v>310</v>
      </c>
      <c r="G20806">
        <v>10.44</v>
      </c>
      <c r="H20806">
        <v>250531</v>
      </c>
      <c r="I20806">
        <v>4369</v>
      </c>
      <c r="J20806" t="s">
        <v>188</v>
      </c>
      <c r="K20806">
        <v>67.849999999999994</v>
      </c>
      <c r="L20806">
        <v>2.12</v>
      </c>
      <c r="M20806">
        <v>17913</v>
      </c>
      <c r="N20806" t="s">
        <v>26</v>
      </c>
      <c r="O20806">
        <v>250617</v>
      </c>
      <c r="P20806">
        <v>8.32</v>
      </c>
    </row>
    <row r="20807" spans="1:16" x14ac:dyDescent="0.25">
      <c r="A20807" t="s">
        <v>3296</v>
      </c>
      <c r="B20807" t="s">
        <v>2931</v>
      </c>
      <c r="C20807">
        <v>8563</v>
      </c>
      <c r="D20807" t="str">
        <f t="shared" si="397"/>
        <v xml:space="preserve">12523021560 </v>
      </c>
      <c r="E20807" t="s">
        <v>309</v>
      </c>
      <c r="F20807" t="s">
        <v>310</v>
      </c>
      <c r="G20807">
        <v>27.28</v>
      </c>
      <c r="H20807">
        <v>250531</v>
      </c>
      <c r="I20807">
        <v>4369</v>
      </c>
      <c r="J20807" t="s">
        <v>188</v>
      </c>
      <c r="K20807">
        <v>67.849999999999994</v>
      </c>
      <c r="L20807">
        <v>5.54</v>
      </c>
      <c r="M20807">
        <v>17951</v>
      </c>
      <c r="N20807" t="s">
        <v>207</v>
      </c>
      <c r="O20807">
        <v>250617</v>
      </c>
      <c r="P20807">
        <v>21.74</v>
      </c>
    </row>
    <row r="20808" spans="1:16" x14ac:dyDescent="0.25">
      <c r="A20808" t="s">
        <v>3296</v>
      </c>
      <c r="B20808" t="s">
        <v>2931</v>
      </c>
      <c r="C20808">
        <v>8563</v>
      </c>
      <c r="D20808" t="str">
        <f t="shared" si="397"/>
        <v xml:space="preserve">12523021560 </v>
      </c>
      <c r="E20808" t="s">
        <v>309</v>
      </c>
      <c r="F20808" t="s">
        <v>310</v>
      </c>
      <c r="G20808">
        <v>13.55</v>
      </c>
      <c r="H20808">
        <v>250531</v>
      </c>
      <c r="I20808">
        <v>4369</v>
      </c>
      <c r="J20808" t="s">
        <v>188</v>
      </c>
      <c r="K20808">
        <v>67.849999999999994</v>
      </c>
      <c r="L20808">
        <v>2.75</v>
      </c>
      <c r="M20808">
        <v>17971</v>
      </c>
      <c r="N20808" t="s">
        <v>27</v>
      </c>
      <c r="O20808">
        <v>250617</v>
      </c>
      <c r="P20808">
        <v>10.8</v>
      </c>
    </row>
    <row r="20809" spans="1:16" x14ac:dyDescent="0.25">
      <c r="A20809" t="s">
        <v>3296</v>
      </c>
      <c r="B20809" t="s">
        <v>2931</v>
      </c>
      <c r="C20809">
        <v>8563</v>
      </c>
      <c r="D20809" t="str">
        <f t="shared" si="397"/>
        <v xml:space="preserve">12523021560 </v>
      </c>
      <c r="E20809" t="s">
        <v>309</v>
      </c>
      <c r="F20809" t="s">
        <v>310</v>
      </c>
      <c r="G20809">
        <v>6.59</v>
      </c>
      <c r="H20809">
        <v>250531</v>
      </c>
      <c r="I20809">
        <v>4369</v>
      </c>
      <c r="J20809" t="s">
        <v>188</v>
      </c>
      <c r="K20809">
        <v>67.849999999999994</v>
      </c>
      <c r="L20809">
        <v>1.34</v>
      </c>
      <c r="M20809">
        <v>17974</v>
      </c>
      <c r="N20809" t="s">
        <v>153</v>
      </c>
      <c r="O20809">
        <v>250617</v>
      </c>
      <c r="P20809">
        <v>5.25</v>
      </c>
    </row>
    <row r="20810" spans="1:16" x14ac:dyDescent="0.25">
      <c r="A20810" t="s">
        <v>3296</v>
      </c>
      <c r="B20810" t="s">
        <v>2931</v>
      </c>
      <c r="C20810">
        <v>8563</v>
      </c>
      <c r="D20810" t="str">
        <f t="shared" si="397"/>
        <v xml:space="preserve">12523021560 </v>
      </c>
      <c r="E20810" t="s">
        <v>309</v>
      </c>
      <c r="F20810" t="s">
        <v>310</v>
      </c>
      <c r="G20810">
        <v>6.6</v>
      </c>
      <c r="H20810">
        <v>250531</v>
      </c>
      <c r="I20810">
        <v>4369</v>
      </c>
      <c r="J20810" t="s">
        <v>188</v>
      </c>
      <c r="K20810">
        <v>67.849999999999994</v>
      </c>
      <c r="L20810">
        <v>1.34</v>
      </c>
      <c r="M20810">
        <v>17975</v>
      </c>
      <c r="N20810" t="s">
        <v>29</v>
      </c>
      <c r="O20810">
        <v>250617</v>
      </c>
      <c r="P20810">
        <v>5.26</v>
      </c>
    </row>
    <row r="20811" spans="1:16" x14ac:dyDescent="0.25">
      <c r="A20811" t="s">
        <v>3296</v>
      </c>
      <c r="B20811" t="s">
        <v>2931</v>
      </c>
      <c r="C20811">
        <v>8564</v>
      </c>
      <c r="D20811" t="str">
        <f t="shared" ref="D20811:D20818" si="398">"12523021536 "</f>
        <v xml:space="preserve">12523021536 </v>
      </c>
      <c r="E20811" t="s">
        <v>309</v>
      </c>
      <c r="F20811" t="s">
        <v>310</v>
      </c>
      <c r="G20811">
        <v>6.4</v>
      </c>
      <c r="H20811">
        <v>250531</v>
      </c>
      <c r="I20811">
        <v>4369</v>
      </c>
      <c r="J20811" t="s">
        <v>188</v>
      </c>
      <c r="K20811">
        <v>57.28</v>
      </c>
      <c r="L20811">
        <v>1.3</v>
      </c>
      <c r="M20811">
        <v>10002</v>
      </c>
      <c r="N20811" t="s">
        <v>513</v>
      </c>
      <c r="O20811">
        <v>250617</v>
      </c>
      <c r="P20811">
        <v>5.0999999999999996</v>
      </c>
    </row>
    <row r="20812" spans="1:16" x14ac:dyDescent="0.25">
      <c r="A20812" t="s">
        <v>3296</v>
      </c>
      <c r="B20812" t="s">
        <v>2931</v>
      </c>
      <c r="C20812">
        <v>8564</v>
      </c>
      <c r="D20812" t="str">
        <f t="shared" si="398"/>
        <v xml:space="preserve">12523021536 </v>
      </c>
      <c r="E20812" t="s">
        <v>309</v>
      </c>
      <c r="F20812" t="s">
        <v>310</v>
      </c>
      <c r="G20812">
        <v>6.4</v>
      </c>
      <c r="H20812">
        <v>250531</v>
      </c>
      <c r="I20812">
        <v>4369</v>
      </c>
      <c r="J20812" t="s">
        <v>188</v>
      </c>
      <c r="K20812">
        <v>57.28</v>
      </c>
      <c r="L20812">
        <v>1.3</v>
      </c>
      <c r="M20812">
        <v>11001</v>
      </c>
      <c r="N20812" t="s">
        <v>93</v>
      </c>
      <c r="O20812">
        <v>250617</v>
      </c>
      <c r="P20812">
        <v>5.0999999999999996</v>
      </c>
    </row>
    <row r="20813" spans="1:16" x14ac:dyDescent="0.25">
      <c r="A20813" t="s">
        <v>3296</v>
      </c>
      <c r="B20813" t="s">
        <v>2931</v>
      </c>
      <c r="C20813">
        <v>8564</v>
      </c>
      <c r="D20813" t="str">
        <f t="shared" si="398"/>
        <v xml:space="preserve">12523021536 </v>
      </c>
      <c r="E20813" t="s">
        <v>309</v>
      </c>
      <c r="F20813" t="s">
        <v>310</v>
      </c>
      <c r="G20813">
        <v>6.67</v>
      </c>
      <c r="H20813">
        <v>250531</v>
      </c>
      <c r="I20813">
        <v>4369</v>
      </c>
      <c r="J20813" t="s">
        <v>188</v>
      </c>
      <c r="K20813">
        <v>57.28</v>
      </c>
      <c r="L20813">
        <v>1.36</v>
      </c>
      <c r="M20813">
        <v>11001</v>
      </c>
      <c r="N20813" t="s">
        <v>93</v>
      </c>
      <c r="O20813">
        <v>250617</v>
      </c>
      <c r="P20813">
        <v>5.31</v>
      </c>
    </row>
    <row r="20814" spans="1:16" x14ac:dyDescent="0.25">
      <c r="A20814" t="s">
        <v>3296</v>
      </c>
      <c r="B20814" t="s">
        <v>2931</v>
      </c>
      <c r="C20814">
        <v>8564</v>
      </c>
      <c r="D20814" t="str">
        <f t="shared" si="398"/>
        <v xml:space="preserve">12523021536 </v>
      </c>
      <c r="E20814" t="s">
        <v>309</v>
      </c>
      <c r="F20814" t="s">
        <v>310</v>
      </c>
      <c r="G20814">
        <v>10.17</v>
      </c>
      <c r="H20814">
        <v>250531</v>
      </c>
      <c r="I20814">
        <v>4369</v>
      </c>
      <c r="J20814" t="s">
        <v>188</v>
      </c>
      <c r="K20814">
        <v>57.28</v>
      </c>
      <c r="L20814">
        <v>2.0699999999999998</v>
      </c>
      <c r="M20814">
        <v>11301</v>
      </c>
      <c r="N20814" t="s">
        <v>92</v>
      </c>
      <c r="O20814">
        <v>250617</v>
      </c>
      <c r="P20814">
        <v>8.1</v>
      </c>
    </row>
    <row r="20815" spans="1:16" x14ac:dyDescent="0.25">
      <c r="A20815" t="s">
        <v>3296</v>
      </c>
      <c r="B20815" t="s">
        <v>2931</v>
      </c>
      <c r="C20815">
        <v>8564</v>
      </c>
      <c r="D20815" t="str">
        <f t="shared" si="398"/>
        <v xml:space="preserve">12523021536 </v>
      </c>
      <c r="E20815" t="s">
        <v>309</v>
      </c>
      <c r="F20815" t="s">
        <v>310</v>
      </c>
      <c r="G20815">
        <v>4.38</v>
      </c>
      <c r="H20815">
        <v>250531</v>
      </c>
      <c r="I20815">
        <v>4369</v>
      </c>
      <c r="J20815" t="s">
        <v>188</v>
      </c>
      <c r="K20815">
        <v>57.28</v>
      </c>
      <c r="L20815">
        <v>0</v>
      </c>
      <c r="M20815">
        <v>11401</v>
      </c>
      <c r="N20815" t="s">
        <v>91</v>
      </c>
      <c r="O20815">
        <v>250617</v>
      </c>
      <c r="P20815">
        <v>4.38</v>
      </c>
    </row>
    <row r="20816" spans="1:16" x14ac:dyDescent="0.25">
      <c r="A20816" t="s">
        <v>3296</v>
      </c>
      <c r="B20816" t="s">
        <v>2931</v>
      </c>
      <c r="C20816">
        <v>8564</v>
      </c>
      <c r="D20816" t="str">
        <f t="shared" si="398"/>
        <v xml:space="preserve">12523021536 </v>
      </c>
      <c r="E20816" t="s">
        <v>309</v>
      </c>
      <c r="F20816" t="s">
        <v>310</v>
      </c>
      <c r="G20816">
        <v>9.9600000000000009</v>
      </c>
      <c r="H20816">
        <v>250531</v>
      </c>
      <c r="I20816">
        <v>4369</v>
      </c>
      <c r="J20816" t="s">
        <v>188</v>
      </c>
      <c r="K20816">
        <v>57.28</v>
      </c>
      <c r="L20816">
        <v>2.02</v>
      </c>
      <c r="M20816">
        <v>11401</v>
      </c>
      <c r="N20816" t="s">
        <v>91</v>
      </c>
      <c r="O20816">
        <v>250617</v>
      </c>
      <c r="P20816">
        <v>7.94</v>
      </c>
    </row>
    <row r="20817" spans="1:16" x14ac:dyDescent="0.25">
      <c r="A20817" t="s">
        <v>3296</v>
      </c>
      <c r="B20817" t="s">
        <v>2931</v>
      </c>
      <c r="C20817">
        <v>8564</v>
      </c>
      <c r="D20817" t="str">
        <f t="shared" si="398"/>
        <v xml:space="preserve">12523021536 </v>
      </c>
      <c r="E20817" t="s">
        <v>309</v>
      </c>
      <c r="F20817" t="s">
        <v>310</v>
      </c>
      <c r="G20817">
        <v>3.39</v>
      </c>
      <c r="H20817">
        <v>250531</v>
      </c>
      <c r="I20817">
        <v>4369</v>
      </c>
      <c r="J20817" t="s">
        <v>188</v>
      </c>
      <c r="K20817">
        <v>57.28</v>
      </c>
      <c r="L20817">
        <v>0.69</v>
      </c>
      <c r="M20817">
        <v>11501</v>
      </c>
      <c r="N20817" t="s">
        <v>13</v>
      </c>
      <c r="O20817">
        <v>250617</v>
      </c>
      <c r="P20817">
        <v>2.7</v>
      </c>
    </row>
    <row r="20818" spans="1:16" x14ac:dyDescent="0.25">
      <c r="A20818" t="s">
        <v>3296</v>
      </c>
      <c r="B20818" t="s">
        <v>2931</v>
      </c>
      <c r="C20818">
        <v>8564</v>
      </c>
      <c r="D20818" t="str">
        <f t="shared" si="398"/>
        <v xml:space="preserve">12523021536 </v>
      </c>
      <c r="E20818" t="s">
        <v>309</v>
      </c>
      <c r="F20818" t="s">
        <v>310</v>
      </c>
      <c r="G20818">
        <v>9.91</v>
      </c>
      <c r="H20818">
        <v>250531</v>
      </c>
      <c r="I20818">
        <v>4369</v>
      </c>
      <c r="J20818" t="s">
        <v>188</v>
      </c>
      <c r="K20818">
        <v>57.28</v>
      </c>
      <c r="L20818">
        <v>2.0099999999999998</v>
      </c>
      <c r="M20818">
        <v>18972</v>
      </c>
      <c r="N20818" t="s">
        <v>39</v>
      </c>
      <c r="O20818">
        <v>250617</v>
      </c>
      <c r="P20818">
        <v>7.9</v>
      </c>
    </row>
    <row r="20819" spans="1:16" x14ac:dyDescent="0.25">
      <c r="A20819" t="s">
        <v>3296</v>
      </c>
      <c r="B20819" t="s">
        <v>2931</v>
      </c>
      <c r="C20819">
        <v>8568</v>
      </c>
      <c r="D20819" t="str">
        <f>"12523021572 "</f>
        <v xml:space="preserve">12523021572 </v>
      </c>
      <c r="E20819" t="s">
        <v>309</v>
      </c>
      <c r="F20819" t="s">
        <v>310</v>
      </c>
      <c r="G20819">
        <v>7</v>
      </c>
      <c r="H20819">
        <v>250531</v>
      </c>
      <c r="I20819">
        <v>4369</v>
      </c>
      <c r="J20819" t="s">
        <v>188</v>
      </c>
      <c r="K20819">
        <v>7</v>
      </c>
      <c r="L20819">
        <v>1.42</v>
      </c>
      <c r="M20819">
        <v>46557</v>
      </c>
      <c r="N20819" t="s">
        <v>104</v>
      </c>
      <c r="O20819">
        <v>250617</v>
      </c>
      <c r="P20819">
        <v>5.58</v>
      </c>
    </row>
    <row r="20820" spans="1:16" x14ac:dyDescent="0.25">
      <c r="A20820" t="s">
        <v>3296</v>
      </c>
      <c r="B20820" t="s">
        <v>2931</v>
      </c>
      <c r="C20820">
        <v>8570</v>
      </c>
      <c r="D20820" t="str">
        <f>"12523021552 "</f>
        <v xml:space="preserve">12523021552 </v>
      </c>
      <c r="E20820" t="s">
        <v>309</v>
      </c>
      <c r="F20820" t="s">
        <v>310</v>
      </c>
      <c r="G20820">
        <v>3.38</v>
      </c>
      <c r="H20820">
        <v>250531</v>
      </c>
      <c r="I20820">
        <v>4369</v>
      </c>
      <c r="J20820" t="s">
        <v>188</v>
      </c>
      <c r="K20820">
        <v>38.85</v>
      </c>
      <c r="L20820">
        <v>0.69</v>
      </c>
      <c r="M20820">
        <v>48601</v>
      </c>
      <c r="N20820" t="s">
        <v>107</v>
      </c>
      <c r="O20820">
        <v>250617</v>
      </c>
      <c r="P20820">
        <v>2.69</v>
      </c>
    </row>
    <row r="20821" spans="1:16" x14ac:dyDescent="0.25">
      <c r="A20821" t="s">
        <v>3296</v>
      </c>
      <c r="B20821" t="s">
        <v>2931</v>
      </c>
      <c r="C20821">
        <v>8570</v>
      </c>
      <c r="D20821" t="str">
        <f>"12523021552 "</f>
        <v xml:space="preserve">12523021552 </v>
      </c>
      <c r="E20821" t="s">
        <v>309</v>
      </c>
      <c r="F20821" t="s">
        <v>310</v>
      </c>
      <c r="G20821">
        <v>4.51</v>
      </c>
      <c r="H20821">
        <v>250531</v>
      </c>
      <c r="I20821">
        <v>4369</v>
      </c>
      <c r="J20821" t="s">
        <v>188</v>
      </c>
      <c r="K20821">
        <v>38.85</v>
      </c>
      <c r="L20821">
        <v>0.92</v>
      </c>
      <c r="M20821">
        <v>49111</v>
      </c>
      <c r="N20821" t="s">
        <v>108</v>
      </c>
      <c r="O20821">
        <v>250617</v>
      </c>
      <c r="P20821">
        <v>3.59</v>
      </c>
    </row>
    <row r="20822" spans="1:16" x14ac:dyDescent="0.25">
      <c r="A20822" t="s">
        <v>3296</v>
      </c>
      <c r="B20822" t="s">
        <v>2931</v>
      </c>
      <c r="C20822">
        <v>8570</v>
      </c>
      <c r="D20822" t="str">
        <f>"12523021552 "</f>
        <v xml:space="preserve">12523021552 </v>
      </c>
      <c r="E20822" t="s">
        <v>309</v>
      </c>
      <c r="F20822" t="s">
        <v>310</v>
      </c>
      <c r="G20822">
        <v>10.039999999999999</v>
      </c>
      <c r="H20822">
        <v>250531</v>
      </c>
      <c r="I20822">
        <v>4369</v>
      </c>
      <c r="J20822" t="s">
        <v>188</v>
      </c>
      <c r="K20822">
        <v>38.85</v>
      </c>
      <c r="L20822">
        <v>2.04</v>
      </c>
      <c r="M20822">
        <v>49704</v>
      </c>
      <c r="N20822" t="s">
        <v>113</v>
      </c>
      <c r="O20822">
        <v>250617</v>
      </c>
      <c r="P20822">
        <v>8</v>
      </c>
    </row>
    <row r="20823" spans="1:16" x14ac:dyDescent="0.25">
      <c r="A20823" t="s">
        <v>3296</v>
      </c>
      <c r="B20823" t="s">
        <v>2931</v>
      </c>
      <c r="C20823">
        <v>8570</v>
      </c>
      <c r="D20823" t="str">
        <f>"12523021552 "</f>
        <v xml:space="preserve">12523021552 </v>
      </c>
      <c r="E20823" t="s">
        <v>309</v>
      </c>
      <c r="F20823" t="s">
        <v>310</v>
      </c>
      <c r="G20823">
        <v>20.92</v>
      </c>
      <c r="H20823">
        <v>250531</v>
      </c>
      <c r="I20823">
        <v>4369</v>
      </c>
      <c r="J20823" t="s">
        <v>188</v>
      </c>
      <c r="K20823">
        <v>38.85</v>
      </c>
      <c r="L20823">
        <v>4.25</v>
      </c>
      <c r="M20823">
        <v>49705</v>
      </c>
      <c r="N20823" t="s">
        <v>114</v>
      </c>
      <c r="O20823">
        <v>250617</v>
      </c>
      <c r="P20823">
        <v>16.670000000000002</v>
      </c>
    </row>
    <row r="20824" spans="1:16" x14ac:dyDescent="0.25">
      <c r="A20824" t="s">
        <v>3296</v>
      </c>
      <c r="B20824" t="s">
        <v>2931</v>
      </c>
      <c r="C20824">
        <v>8572</v>
      </c>
      <c r="D20824" t="str">
        <f>"105439742   "</f>
        <v xml:space="preserve">105439742   </v>
      </c>
      <c r="E20824" t="s">
        <v>309</v>
      </c>
      <c r="F20824" t="s">
        <v>310</v>
      </c>
      <c r="G20824">
        <v>81.569999999999993</v>
      </c>
      <c r="H20824">
        <v>250531</v>
      </c>
      <c r="I20824">
        <v>4369</v>
      </c>
      <c r="J20824" t="s">
        <v>188</v>
      </c>
      <c r="K20824">
        <v>81.569999999999993</v>
      </c>
      <c r="L20824">
        <v>16.57</v>
      </c>
      <c r="M20824">
        <v>18972</v>
      </c>
      <c r="N20824" t="s">
        <v>39</v>
      </c>
      <c r="O20824">
        <v>250617</v>
      </c>
      <c r="P20824">
        <v>65</v>
      </c>
    </row>
    <row r="20825" spans="1:16" x14ac:dyDescent="0.25">
      <c r="A20825" t="s">
        <v>3296</v>
      </c>
      <c r="B20825" t="s">
        <v>2931</v>
      </c>
      <c r="C20825">
        <v>8576</v>
      </c>
      <c r="D20825" t="str">
        <f t="shared" ref="D20825:D20835" si="399">"12523021544 "</f>
        <v xml:space="preserve">12523021544 </v>
      </c>
      <c r="E20825" t="s">
        <v>309</v>
      </c>
      <c r="F20825" t="s">
        <v>310</v>
      </c>
      <c r="G20825">
        <v>3.37</v>
      </c>
      <c r="H20825">
        <v>250531</v>
      </c>
      <c r="I20825">
        <v>4369</v>
      </c>
      <c r="J20825" t="s">
        <v>188</v>
      </c>
      <c r="K20825">
        <v>55.81</v>
      </c>
      <c r="L20825">
        <v>0.68</v>
      </c>
      <c r="M20825">
        <v>11301</v>
      </c>
      <c r="N20825" t="s">
        <v>92</v>
      </c>
      <c r="O20825">
        <v>250617</v>
      </c>
      <c r="P20825">
        <v>2.69</v>
      </c>
    </row>
    <row r="20826" spans="1:16" x14ac:dyDescent="0.25">
      <c r="A20826" t="s">
        <v>3296</v>
      </c>
      <c r="B20826" t="s">
        <v>2931</v>
      </c>
      <c r="C20826">
        <v>8576</v>
      </c>
      <c r="D20826" t="str">
        <f t="shared" si="399"/>
        <v xml:space="preserve">12523021544 </v>
      </c>
      <c r="E20826" t="s">
        <v>309</v>
      </c>
      <c r="F20826" t="s">
        <v>310</v>
      </c>
      <c r="G20826">
        <v>6.59</v>
      </c>
      <c r="H20826">
        <v>250531</v>
      </c>
      <c r="I20826">
        <v>4369</v>
      </c>
      <c r="J20826" t="s">
        <v>188</v>
      </c>
      <c r="K20826">
        <v>55.81</v>
      </c>
      <c r="L20826">
        <v>1.34</v>
      </c>
      <c r="M20826">
        <v>11301</v>
      </c>
      <c r="N20826" t="s">
        <v>92</v>
      </c>
      <c r="O20826">
        <v>250617</v>
      </c>
      <c r="P20826">
        <v>5.25</v>
      </c>
    </row>
    <row r="20827" spans="1:16" x14ac:dyDescent="0.25">
      <c r="A20827" t="s">
        <v>3296</v>
      </c>
      <c r="B20827" t="s">
        <v>2931</v>
      </c>
      <c r="C20827">
        <v>8576</v>
      </c>
      <c r="D20827" t="str">
        <f t="shared" si="399"/>
        <v xml:space="preserve">12523021544 </v>
      </c>
      <c r="E20827" t="s">
        <v>309</v>
      </c>
      <c r="F20827" t="s">
        <v>310</v>
      </c>
      <c r="G20827">
        <v>3.65</v>
      </c>
      <c r="H20827">
        <v>250531</v>
      </c>
      <c r="I20827">
        <v>4369</v>
      </c>
      <c r="J20827" t="s">
        <v>188</v>
      </c>
      <c r="K20827">
        <v>55.81</v>
      </c>
      <c r="L20827">
        <v>0.74</v>
      </c>
      <c r="M20827">
        <v>11900</v>
      </c>
      <c r="N20827" t="s">
        <v>30</v>
      </c>
      <c r="O20827">
        <v>250617</v>
      </c>
      <c r="P20827">
        <v>2.91</v>
      </c>
    </row>
    <row r="20828" spans="1:16" x14ac:dyDescent="0.25">
      <c r="A20828" t="s">
        <v>3296</v>
      </c>
      <c r="B20828" t="s">
        <v>2931</v>
      </c>
      <c r="C20828">
        <v>8576</v>
      </c>
      <c r="D20828" t="str">
        <f t="shared" si="399"/>
        <v xml:space="preserve">12523021544 </v>
      </c>
      <c r="E20828" t="s">
        <v>309</v>
      </c>
      <c r="F20828" t="s">
        <v>310</v>
      </c>
      <c r="G20828">
        <v>6.83</v>
      </c>
      <c r="H20828">
        <v>250531</v>
      </c>
      <c r="I20828">
        <v>4369</v>
      </c>
      <c r="J20828" t="s">
        <v>188</v>
      </c>
      <c r="K20828">
        <v>55.81</v>
      </c>
      <c r="L20828">
        <v>0</v>
      </c>
      <c r="M20828">
        <v>11901</v>
      </c>
      <c r="N20828" t="s">
        <v>31</v>
      </c>
      <c r="O20828">
        <v>250617</v>
      </c>
      <c r="P20828">
        <v>6.83</v>
      </c>
    </row>
    <row r="20829" spans="1:16" x14ac:dyDescent="0.25">
      <c r="A20829" t="s">
        <v>3296</v>
      </c>
      <c r="B20829" t="s">
        <v>2931</v>
      </c>
      <c r="C20829">
        <v>8576</v>
      </c>
      <c r="D20829" t="str">
        <f t="shared" si="399"/>
        <v xml:space="preserve">12523021544 </v>
      </c>
      <c r="E20829" t="s">
        <v>309</v>
      </c>
      <c r="F20829" t="s">
        <v>310</v>
      </c>
      <c r="G20829">
        <v>10.27</v>
      </c>
      <c r="H20829">
        <v>250531</v>
      </c>
      <c r="I20829">
        <v>4369</v>
      </c>
      <c r="J20829" t="s">
        <v>188</v>
      </c>
      <c r="K20829">
        <v>55.81</v>
      </c>
      <c r="L20829">
        <v>2.09</v>
      </c>
      <c r="M20829">
        <v>11901</v>
      </c>
      <c r="N20829" t="s">
        <v>31</v>
      </c>
      <c r="O20829">
        <v>250617</v>
      </c>
      <c r="P20829">
        <v>8.18</v>
      </c>
    </row>
    <row r="20830" spans="1:16" x14ac:dyDescent="0.25">
      <c r="A20830" t="s">
        <v>3296</v>
      </c>
      <c r="B20830" t="s">
        <v>2931</v>
      </c>
      <c r="C20830">
        <v>8576</v>
      </c>
      <c r="D20830" t="str">
        <f t="shared" si="399"/>
        <v xml:space="preserve">12523021544 </v>
      </c>
      <c r="E20830" t="s">
        <v>309</v>
      </c>
      <c r="F20830" t="s">
        <v>310</v>
      </c>
      <c r="G20830">
        <v>3.39</v>
      </c>
      <c r="H20830">
        <v>250531</v>
      </c>
      <c r="I20830">
        <v>4369</v>
      </c>
      <c r="J20830" t="s">
        <v>188</v>
      </c>
      <c r="K20830">
        <v>55.81</v>
      </c>
      <c r="L20830">
        <v>0.69</v>
      </c>
      <c r="M20830">
        <v>11903</v>
      </c>
      <c r="N20830" t="s">
        <v>32</v>
      </c>
      <c r="O20830">
        <v>250617</v>
      </c>
      <c r="P20830">
        <v>2.7</v>
      </c>
    </row>
    <row r="20831" spans="1:16" x14ac:dyDescent="0.25">
      <c r="A20831" t="s">
        <v>3296</v>
      </c>
      <c r="B20831" t="s">
        <v>2931</v>
      </c>
      <c r="C20831">
        <v>8576</v>
      </c>
      <c r="D20831" t="str">
        <f t="shared" si="399"/>
        <v xml:space="preserve">12523021544 </v>
      </c>
      <c r="E20831" t="s">
        <v>309</v>
      </c>
      <c r="F20831" t="s">
        <v>310</v>
      </c>
      <c r="G20831">
        <v>3.39</v>
      </c>
      <c r="H20831">
        <v>250531</v>
      </c>
      <c r="I20831">
        <v>4369</v>
      </c>
      <c r="J20831" t="s">
        <v>188</v>
      </c>
      <c r="K20831">
        <v>55.81</v>
      </c>
      <c r="L20831">
        <v>0.69</v>
      </c>
      <c r="M20831">
        <v>11903</v>
      </c>
      <c r="N20831" t="s">
        <v>32</v>
      </c>
      <c r="O20831">
        <v>250617</v>
      </c>
      <c r="P20831">
        <v>2.7</v>
      </c>
    </row>
    <row r="20832" spans="1:16" x14ac:dyDescent="0.25">
      <c r="A20832" t="s">
        <v>3296</v>
      </c>
      <c r="B20832" t="s">
        <v>2931</v>
      </c>
      <c r="C20832">
        <v>8576</v>
      </c>
      <c r="D20832" t="str">
        <f t="shared" si="399"/>
        <v xml:space="preserve">12523021544 </v>
      </c>
      <c r="E20832" t="s">
        <v>309</v>
      </c>
      <c r="F20832" t="s">
        <v>310</v>
      </c>
      <c r="G20832">
        <v>6.78</v>
      </c>
      <c r="H20832">
        <v>250531</v>
      </c>
      <c r="I20832">
        <v>4369</v>
      </c>
      <c r="J20832" t="s">
        <v>188</v>
      </c>
      <c r="K20832">
        <v>55.81</v>
      </c>
      <c r="L20832">
        <v>1.38</v>
      </c>
      <c r="M20832">
        <v>11903</v>
      </c>
      <c r="N20832" t="s">
        <v>32</v>
      </c>
      <c r="O20832">
        <v>250617</v>
      </c>
      <c r="P20832">
        <v>5.4</v>
      </c>
    </row>
    <row r="20833" spans="1:16" x14ac:dyDescent="0.25">
      <c r="A20833" t="s">
        <v>3296</v>
      </c>
      <c r="B20833" t="s">
        <v>2931</v>
      </c>
      <c r="C20833">
        <v>8576</v>
      </c>
      <c r="D20833" t="str">
        <f t="shared" si="399"/>
        <v xml:space="preserve">12523021544 </v>
      </c>
      <c r="E20833" t="s">
        <v>309</v>
      </c>
      <c r="F20833" t="s">
        <v>310</v>
      </c>
      <c r="G20833">
        <v>3.39</v>
      </c>
      <c r="H20833">
        <v>250531</v>
      </c>
      <c r="I20833">
        <v>4369</v>
      </c>
      <c r="J20833" t="s">
        <v>188</v>
      </c>
      <c r="K20833">
        <v>55.81</v>
      </c>
      <c r="L20833">
        <v>0.69</v>
      </c>
      <c r="M20833">
        <v>11903</v>
      </c>
      <c r="N20833" t="s">
        <v>32</v>
      </c>
      <c r="O20833">
        <v>250617</v>
      </c>
      <c r="P20833">
        <v>2.7</v>
      </c>
    </row>
    <row r="20834" spans="1:16" x14ac:dyDescent="0.25">
      <c r="A20834" t="s">
        <v>3296</v>
      </c>
      <c r="B20834" t="s">
        <v>2931</v>
      </c>
      <c r="C20834">
        <v>8576</v>
      </c>
      <c r="D20834" t="str">
        <f t="shared" si="399"/>
        <v xml:space="preserve">12523021544 </v>
      </c>
      <c r="E20834" t="s">
        <v>309</v>
      </c>
      <c r="F20834" t="s">
        <v>310</v>
      </c>
      <c r="G20834">
        <v>4.76</v>
      </c>
      <c r="H20834">
        <v>250531</v>
      </c>
      <c r="I20834">
        <v>4369</v>
      </c>
      <c r="J20834" t="s">
        <v>188</v>
      </c>
      <c r="K20834">
        <v>55.81</v>
      </c>
      <c r="L20834">
        <v>0.97</v>
      </c>
      <c r="M20834">
        <v>11905</v>
      </c>
      <c r="N20834" t="s">
        <v>643</v>
      </c>
      <c r="O20834">
        <v>250617</v>
      </c>
      <c r="P20834">
        <v>3.79</v>
      </c>
    </row>
    <row r="20835" spans="1:16" x14ac:dyDescent="0.25">
      <c r="A20835" t="s">
        <v>3296</v>
      </c>
      <c r="B20835" t="s">
        <v>2931</v>
      </c>
      <c r="C20835">
        <v>8576</v>
      </c>
      <c r="D20835" t="str">
        <f t="shared" si="399"/>
        <v xml:space="preserve">12523021544 </v>
      </c>
      <c r="E20835" t="s">
        <v>309</v>
      </c>
      <c r="F20835" t="s">
        <v>310</v>
      </c>
      <c r="G20835">
        <v>3.39</v>
      </c>
      <c r="H20835">
        <v>250531</v>
      </c>
      <c r="I20835">
        <v>4369</v>
      </c>
      <c r="J20835" t="s">
        <v>188</v>
      </c>
      <c r="K20835">
        <v>55.81</v>
      </c>
      <c r="L20835">
        <v>0.69</v>
      </c>
      <c r="M20835">
        <v>12500</v>
      </c>
      <c r="N20835" t="s">
        <v>1502</v>
      </c>
      <c r="O20835">
        <v>250617</v>
      </c>
      <c r="P20835">
        <v>2.7</v>
      </c>
    </row>
    <row r="20836" spans="1:16" x14ac:dyDescent="0.25">
      <c r="A20836" t="s">
        <v>3296</v>
      </c>
      <c r="B20836" t="s">
        <v>2931</v>
      </c>
      <c r="C20836">
        <v>8577</v>
      </c>
      <c r="D20836" t="str">
        <f>"12523021569 "</f>
        <v xml:space="preserve">12523021569 </v>
      </c>
      <c r="E20836" t="s">
        <v>309</v>
      </c>
      <c r="F20836" t="s">
        <v>310</v>
      </c>
      <c r="G20836">
        <v>3.2</v>
      </c>
      <c r="H20836">
        <v>250531</v>
      </c>
      <c r="I20836">
        <v>4369</v>
      </c>
      <c r="J20836" t="s">
        <v>188</v>
      </c>
      <c r="K20836">
        <v>3.2</v>
      </c>
      <c r="L20836">
        <v>0.65</v>
      </c>
      <c r="M20836">
        <v>13801</v>
      </c>
      <c r="N20836" t="s">
        <v>33</v>
      </c>
      <c r="O20836">
        <v>250617</v>
      </c>
      <c r="P20836">
        <v>2.5499999999999998</v>
      </c>
    </row>
    <row r="20837" spans="1:16" x14ac:dyDescent="0.25">
      <c r="A20837" t="s">
        <v>3296</v>
      </c>
      <c r="B20837" t="s">
        <v>2931</v>
      </c>
      <c r="C20837">
        <v>8578</v>
      </c>
      <c r="D20837" t="str">
        <f>"12523021558 "</f>
        <v xml:space="preserve">12523021558 </v>
      </c>
      <c r="E20837" t="s">
        <v>309</v>
      </c>
      <c r="F20837" t="s">
        <v>310</v>
      </c>
      <c r="G20837">
        <v>3.39</v>
      </c>
      <c r="H20837">
        <v>250531</v>
      </c>
      <c r="I20837">
        <v>4369</v>
      </c>
      <c r="J20837" t="s">
        <v>188</v>
      </c>
      <c r="K20837">
        <v>3.39</v>
      </c>
      <c r="L20837">
        <v>0.69</v>
      </c>
      <c r="M20837">
        <v>11900</v>
      </c>
      <c r="N20837" t="s">
        <v>30</v>
      </c>
      <c r="O20837">
        <v>250617</v>
      </c>
      <c r="P20837">
        <v>2.7</v>
      </c>
    </row>
    <row r="20838" spans="1:16" x14ac:dyDescent="0.25">
      <c r="A20838" t="s">
        <v>3296</v>
      </c>
      <c r="B20838" t="s">
        <v>2931</v>
      </c>
      <c r="C20838">
        <v>8587</v>
      </c>
      <c r="D20838" t="str">
        <f t="shared" ref="D20838:D20863" si="400">"12523021563 "</f>
        <v xml:space="preserve">12523021563 </v>
      </c>
      <c r="E20838" t="s">
        <v>309</v>
      </c>
      <c r="F20838" t="s">
        <v>310</v>
      </c>
      <c r="G20838">
        <v>1.51</v>
      </c>
      <c r="H20838">
        <v>250531</v>
      </c>
      <c r="I20838">
        <v>4369</v>
      </c>
      <c r="J20838" t="s">
        <v>188</v>
      </c>
      <c r="K20838">
        <v>228.6</v>
      </c>
      <c r="L20838">
        <v>0.31</v>
      </c>
      <c r="M20838">
        <v>13540</v>
      </c>
      <c r="N20838" t="s">
        <v>131</v>
      </c>
      <c r="O20838">
        <v>250617</v>
      </c>
      <c r="P20838">
        <v>1.2</v>
      </c>
    </row>
    <row r="20839" spans="1:16" x14ac:dyDescent="0.25">
      <c r="A20839" t="s">
        <v>3296</v>
      </c>
      <c r="B20839" t="s">
        <v>2931</v>
      </c>
      <c r="C20839">
        <v>8587</v>
      </c>
      <c r="D20839" t="str">
        <f t="shared" si="400"/>
        <v xml:space="preserve">12523021563 </v>
      </c>
      <c r="E20839" t="s">
        <v>309</v>
      </c>
      <c r="F20839" t="s">
        <v>310</v>
      </c>
      <c r="G20839">
        <v>9.98</v>
      </c>
      <c r="H20839">
        <v>250531</v>
      </c>
      <c r="I20839">
        <v>4369</v>
      </c>
      <c r="J20839" t="s">
        <v>188</v>
      </c>
      <c r="K20839">
        <v>228.6</v>
      </c>
      <c r="L20839">
        <v>2.0299999999999998</v>
      </c>
      <c r="M20839">
        <v>16930</v>
      </c>
      <c r="N20839" t="s">
        <v>135</v>
      </c>
      <c r="O20839">
        <v>250617</v>
      </c>
      <c r="P20839">
        <v>7.95</v>
      </c>
    </row>
    <row r="20840" spans="1:16" x14ac:dyDescent="0.25">
      <c r="A20840" t="s">
        <v>3296</v>
      </c>
      <c r="B20840" t="s">
        <v>2931</v>
      </c>
      <c r="C20840">
        <v>8587</v>
      </c>
      <c r="D20840" t="str">
        <f t="shared" si="400"/>
        <v xml:space="preserve">12523021563 </v>
      </c>
      <c r="E20840" t="s">
        <v>309</v>
      </c>
      <c r="F20840" t="s">
        <v>310</v>
      </c>
      <c r="G20840">
        <v>3.65</v>
      </c>
      <c r="H20840">
        <v>250531</v>
      </c>
      <c r="I20840">
        <v>4369</v>
      </c>
      <c r="J20840" t="s">
        <v>188</v>
      </c>
      <c r="K20840">
        <v>228.6</v>
      </c>
      <c r="L20840">
        <v>0.74</v>
      </c>
      <c r="M20840">
        <v>16951</v>
      </c>
      <c r="N20840" t="s">
        <v>488</v>
      </c>
      <c r="O20840">
        <v>250617</v>
      </c>
      <c r="P20840">
        <v>2.91</v>
      </c>
    </row>
    <row r="20841" spans="1:16" x14ac:dyDescent="0.25">
      <c r="A20841" t="s">
        <v>3296</v>
      </c>
      <c r="B20841" t="s">
        <v>2931</v>
      </c>
      <c r="C20841">
        <v>8587</v>
      </c>
      <c r="D20841" t="str">
        <f t="shared" si="400"/>
        <v xml:space="preserve">12523021563 </v>
      </c>
      <c r="E20841" t="s">
        <v>309</v>
      </c>
      <c r="F20841" t="s">
        <v>310</v>
      </c>
      <c r="G20841">
        <v>14.14</v>
      </c>
      <c r="H20841">
        <v>250531</v>
      </c>
      <c r="I20841">
        <v>4369</v>
      </c>
      <c r="J20841" t="s">
        <v>188</v>
      </c>
      <c r="K20841">
        <v>228.6</v>
      </c>
      <c r="L20841">
        <v>2.87</v>
      </c>
      <c r="M20841">
        <v>17521</v>
      </c>
      <c r="N20841" t="s">
        <v>136</v>
      </c>
      <c r="O20841">
        <v>250617</v>
      </c>
      <c r="P20841">
        <v>11.27</v>
      </c>
    </row>
    <row r="20842" spans="1:16" x14ac:dyDescent="0.25">
      <c r="A20842" t="s">
        <v>3296</v>
      </c>
      <c r="B20842" t="s">
        <v>2931</v>
      </c>
      <c r="C20842">
        <v>8587</v>
      </c>
      <c r="D20842" t="str">
        <f t="shared" si="400"/>
        <v xml:space="preserve">12523021563 </v>
      </c>
      <c r="E20842" t="s">
        <v>309</v>
      </c>
      <c r="F20842" t="s">
        <v>310</v>
      </c>
      <c r="G20842">
        <v>6.81</v>
      </c>
      <c r="H20842">
        <v>250531</v>
      </c>
      <c r="I20842">
        <v>4369</v>
      </c>
      <c r="J20842" t="s">
        <v>188</v>
      </c>
      <c r="K20842">
        <v>228.6</v>
      </c>
      <c r="L20842">
        <v>1.38</v>
      </c>
      <c r="M20842">
        <v>17522</v>
      </c>
      <c r="N20842" t="s">
        <v>137</v>
      </c>
      <c r="O20842">
        <v>250617</v>
      </c>
      <c r="P20842">
        <v>5.43</v>
      </c>
    </row>
    <row r="20843" spans="1:16" x14ac:dyDescent="0.25">
      <c r="A20843" t="s">
        <v>3296</v>
      </c>
      <c r="B20843" t="s">
        <v>2931</v>
      </c>
      <c r="C20843">
        <v>8587</v>
      </c>
      <c r="D20843" t="str">
        <f t="shared" si="400"/>
        <v xml:space="preserve">12523021563 </v>
      </c>
      <c r="E20843" t="s">
        <v>309</v>
      </c>
      <c r="F20843" t="s">
        <v>310</v>
      </c>
      <c r="G20843">
        <v>10.39</v>
      </c>
      <c r="H20843">
        <v>250531</v>
      </c>
      <c r="I20843">
        <v>4369</v>
      </c>
      <c r="J20843" t="s">
        <v>188</v>
      </c>
      <c r="K20843">
        <v>228.6</v>
      </c>
      <c r="L20843">
        <v>2.11</v>
      </c>
      <c r="M20843">
        <v>17523</v>
      </c>
      <c r="N20843" t="s">
        <v>138</v>
      </c>
      <c r="O20843">
        <v>250617</v>
      </c>
      <c r="P20843">
        <v>8.2799999999999994</v>
      </c>
    </row>
    <row r="20844" spans="1:16" x14ac:dyDescent="0.25">
      <c r="A20844" t="s">
        <v>3296</v>
      </c>
      <c r="B20844" t="s">
        <v>2931</v>
      </c>
      <c r="C20844">
        <v>8587</v>
      </c>
      <c r="D20844" t="str">
        <f t="shared" si="400"/>
        <v xml:space="preserve">12523021563 </v>
      </c>
      <c r="E20844" t="s">
        <v>309</v>
      </c>
      <c r="F20844" t="s">
        <v>310</v>
      </c>
      <c r="G20844">
        <v>6.9</v>
      </c>
      <c r="H20844">
        <v>250531</v>
      </c>
      <c r="I20844">
        <v>4369</v>
      </c>
      <c r="J20844" t="s">
        <v>188</v>
      </c>
      <c r="K20844">
        <v>228.6</v>
      </c>
      <c r="L20844">
        <v>1.4</v>
      </c>
      <c r="M20844">
        <v>17524</v>
      </c>
      <c r="N20844" t="s">
        <v>139</v>
      </c>
      <c r="O20844">
        <v>250617</v>
      </c>
      <c r="P20844">
        <v>5.5</v>
      </c>
    </row>
    <row r="20845" spans="1:16" x14ac:dyDescent="0.25">
      <c r="A20845" t="s">
        <v>3296</v>
      </c>
      <c r="B20845" t="s">
        <v>2931</v>
      </c>
      <c r="C20845">
        <v>8587</v>
      </c>
      <c r="D20845" t="str">
        <f t="shared" si="400"/>
        <v xml:space="preserve">12523021563 </v>
      </c>
      <c r="E20845" t="s">
        <v>309</v>
      </c>
      <c r="F20845" t="s">
        <v>310</v>
      </c>
      <c r="G20845">
        <v>3.39</v>
      </c>
      <c r="H20845">
        <v>250531</v>
      </c>
      <c r="I20845">
        <v>4369</v>
      </c>
      <c r="J20845" t="s">
        <v>188</v>
      </c>
      <c r="K20845">
        <v>228.6</v>
      </c>
      <c r="L20845">
        <v>0.69</v>
      </c>
      <c r="M20845">
        <v>17525</v>
      </c>
      <c r="N20845" t="s">
        <v>140</v>
      </c>
      <c r="O20845">
        <v>250617</v>
      </c>
      <c r="P20845">
        <v>2.7</v>
      </c>
    </row>
    <row r="20846" spans="1:16" x14ac:dyDescent="0.25">
      <c r="A20846" t="s">
        <v>3296</v>
      </c>
      <c r="B20846" t="s">
        <v>2931</v>
      </c>
      <c r="C20846">
        <v>8587</v>
      </c>
      <c r="D20846" t="str">
        <f t="shared" si="400"/>
        <v xml:space="preserve">12523021563 </v>
      </c>
      <c r="E20846" t="s">
        <v>309</v>
      </c>
      <c r="F20846" t="s">
        <v>310</v>
      </c>
      <c r="G20846">
        <v>6.78</v>
      </c>
      <c r="H20846">
        <v>250531</v>
      </c>
      <c r="I20846">
        <v>4369</v>
      </c>
      <c r="J20846" t="s">
        <v>188</v>
      </c>
      <c r="K20846">
        <v>228.6</v>
      </c>
      <c r="L20846">
        <v>1.38</v>
      </c>
      <c r="M20846">
        <v>17526</v>
      </c>
      <c r="N20846" t="s">
        <v>141</v>
      </c>
      <c r="O20846">
        <v>250617</v>
      </c>
      <c r="P20846">
        <v>5.4</v>
      </c>
    </row>
    <row r="20847" spans="1:16" x14ac:dyDescent="0.25">
      <c r="A20847" t="s">
        <v>3296</v>
      </c>
      <c r="B20847" t="s">
        <v>2931</v>
      </c>
      <c r="C20847">
        <v>8587</v>
      </c>
      <c r="D20847" t="str">
        <f t="shared" si="400"/>
        <v xml:space="preserve">12523021563 </v>
      </c>
      <c r="E20847" t="s">
        <v>309</v>
      </c>
      <c r="F20847" t="s">
        <v>310</v>
      </c>
      <c r="G20847">
        <v>7.64</v>
      </c>
      <c r="H20847">
        <v>250531</v>
      </c>
      <c r="I20847">
        <v>4369</v>
      </c>
      <c r="J20847" t="s">
        <v>188</v>
      </c>
      <c r="K20847">
        <v>228.6</v>
      </c>
      <c r="L20847">
        <v>1.55</v>
      </c>
      <c r="M20847">
        <v>17527</v>
      </c>
      <c r="N20847" t="s">
        <v>142</v>
      </c>
      <c r="O20847">
        <v>250617</v>
      </c>
      <c r="P20847">
        <v>6.09</v>
      </c>
    </row>
    <row r="20848" spans="1:16" x14ac:dyDescent="0.25">
      <c r="A20848" t="s">
        <v>3296</v>
      </c>
      <c r="B20848" t="s">
        <v>2931</v>
      </c>
      <c r="C20848">
        <v>8587</v>
      </c>
      <c r="D20848" t="str">
        <f t="shared" si="400"/>
        <v xml:space="preserve">12523021563 </v>
      </c>
      <c r="E20848" t="s">
        <v>309</v>
      </c>
      <c r="F20848" t="s">
        <v>310</v>
      </c>
      <c r="G20848">
        <v>7.34</v>
      </c>
      <c r="H20848">
        <v>250531</v>
      </c>
      <c r="I20848">
        <v>4369</v>
      </c>
      <c r="J20848" t="s">
        <v>188</v>
      </c>
      <c r="K20848">
        <v>228.6</v>
      </c>
      <c r="L20848">
        <v>1.49</v>
      </c>
      <c r="M20848">
        <v>17529</v>
      </c>
      <c r="N20848" t="s">
        <v>143</v>
      </c>
      <c r="O20848">
        <v>250617</v>
      </c>
      <c r="P20848">
        <v>5.85</v>
      </c>
    </row>
    <row r="20849" spans="1:16" x14ac:dyDescent="0.25">
      <c r="A20849" t="s">
        <v>3296</v>
      </c>
      <c r="B20849" t="s">
        <v>2931</v>
      </c>
      <c r="C20849">
        <v>8587</v>
      </c>
      <c r="D20849" t="str">
        <f t="shared" si="400"/>
        <v xml:space="preserve">12523021563 </v>
      </c>
      <c r="E20849" t="s">
        <v>309</v>
      </c>
      <c r="F20849" t="s">
        <v>310</v>
      </c>
      <c r="G20849">
        <v>9.94</v>
      </c>
      <c r="H20849">
        <v>250531</v>
      </c>
      <c r="I20849">
        <v>4369</v>
      </c>
      <c r="J20849" t="s">
        <v>188</v>
      </c>
      <c r="K20849">
        <v>228.6</v>
      </c>
      <c r="L20849">
        <v>2.02</v>
      </c>
      <c r="M20849">
        <v>17530</v>
      </c>
      <c r="N20849" t="s">
        <v>144</v>
      </c>
      <c r="O20849">
        <v>250617</v>
      </c>
      <c r="P20849">
        <v>7.92</v>
      </c>
    </row>
    <row r="20850" spans="1:16" x14ac:dyDescent="0.25">
      <c r="A20850" t="s">
        <v>3296</v>
      </c>
      <c r="B20850" t="s">
        <v>2931</v>
      </c>
      <c r="C20850">
        <v>8587</v>
      </c>
      <c r="D20850" t="str">
        <f t="shared" si="400"/>
        <v xml:space="preserve">12523021563 </v>
      </c>
      <c r="E20850" t="s">
        <v>309</v>
      </c>
      <c r="F20850" t="s">
        <v>310</v>
      </c>
      <c r="G20850">
        <v>33.18</v>
      </c>
      <c r="H20850">
        <v>250531</v>
      </c>
      <c r="I20850">
        <v>4369</v>
      </c>
      <c r="J20850" t="s">
        <v>188</v>
      </c>
      <c r="K20850">
        <v>228.6</v>
      </c>
      <c r="L20850">
        <v>6.74</v>
      </c>
      <c r="M20850">
        <v>17531</v>
      </c>
      <c r="N20850" t="s">
        <v>145</v>
      </c>
      <c r="O20850">
        <v>250617</v>
      </c>
      <c r="P20850">
        <v>26.44</v>
      </c>
    </row>
    <row r="20851" spans="1:16" x14ac:dyDescent="0.25">
      <c r="A20851" t="s">
        <v>3296</v>
      </c>
      <c r="B20851" t="s">
        <v>2931</v>
      </c>
      <c r="C20851">
        <v>8587</v>
      </c>
      <c r="D20851" t="str">
        <f t="shared" si="400"/>
        <v xml:space="preserve">12523021563 </v>
      </c>
      <c r="E20851" t="s">
        <v>309</v>
      </c>
      <c r="F20851" t="s">
        <v>310</v>
      </c>
      <c r="G20851">
        <v>12.99</v>
      </c>
      <c r="H20851">
        <v>250531</v>
      </c>
      <c r="I20851">
        <v>4369</v>
      </c>
      <c r="J20851" t="s">
        <v>188</v>
      </c>
      <c r="K20851">
        <v>228.6</v>
      </c>
      <c r="L20851">
        <v>2.64</v>
      </c>
      <c r="M20851">
        <v>17532</v>
      </c>
      <c r="N20851" t="s">
        <v>146</v>
      </c>
      <c r="O20851">
        <v>250617</v>
      </c>
      <c r="P20851">
        <v>10.35</v>
      </c>
    </row>
    <row r="20852" spans="1:16" x14ac:dyDescent="0.25">
      <c r="A20852" t="s">
        <v>3296</v>
      </c>
      <c r="B20852" t="s">
        <v>2931</v>
      </c>
      <c r="C20852">
        <v>8587</v>
      </c>
      <c r="D20852" t="str">
        <f t="shared" si="400"/>
        <v xml:space="preserve">12523021563 </v>
      </c>
      <c r="E20852" t="s">
        <v>309</v>
      </c>
      <c r="F20852" t="s">
        <v>310</v>
      </c>
      <c r="G20852">
        <v>6.79</v>
      </c>
      <c r="H20852">
        <v>250531</v>
      </c>
      <c r="I20852">
        <v>4369</v>
      </c>
      <c r="J20852" t="s">
        <v>188</v>
      </c>
      <c r="K20852">
        <v>228.6</v>
      </c>
      <c r="L20852">
        <v>1.38</v>
      </c>
      <c r="M20852">
        <v>17533</v>
      </c>
      <c r="N20852" t="s">
        <v>147</v>
      </c>
      <c r="O20852">
        <v>250617</v>
      </c>
      <c r="P20852">
        <v>5.41</v>
      </c>
    </row>
    <row r="20853" spans="1:16" x14ac:dyDescent="0.25">
      <c r="A20853" t="s">
        <v>3296</v>
      </c>
      <c r="B20853" t="s">
        <v>2931</v>
      </c>
      <c r="C20853">
        <v>8587</v>
      </c>
      <c r="D20853" t="str">
        <f t="shared" si="400"/>
        <v xml:space="preserve">12523021563 </v>
      </c>
      <c r="E20853" t="s">
        <v>309</v>
      </c>
      <c r="F20853" t="s">
        <v>310</v>
      </c>
      <c r="G20853">
        <v>6.78</v>
      </c>
      <c r="H20853">
        <v>250531</v>
      </c>
      <c r="I20853">
        <v>4369</v>
      </c>
      <c r="J20853" t="s">
        <v>188</v>
      </c>
      <c r="K20853">
        <v>228.6</v>
      </c>
      <c r="L20853">
        <v>1.38</v>
      </c>
      <c r="M20853">
        <v>17534</v>
      </c>
      <c r="N20853" t="s">
        <v>148</v>
      </c>
      <c r="O20853">
        <v>250617</v>
      </c>
      <c r="P20853">
        <v>5.4</v>
      </c>
    </row>
    <row r="20854" spans="1:16" x14ac:dyDescent="0.25">
      <c r="A20854" t="s">
        <v>3296</v>
      </c>
      <c r="B20854" t="s">
        <v>2931</v>
      </c>
      <c r="C20854">
        <v>8587</v>
      </c>
      <c r="D20854" t="str">
        <f t="shared" si="400"/>
        <v xml:space="preserve">12523021563 </v>
      </c>
      <c r="E20854" t="s">
        <v>309</v>
      </c>
      <c r="F20854" t="s">
        <v>310</v>
      </c>
      <c r="G20854">
        <v>3.39</v>
      </c>
      <c r="H20854">
        <v>250531</v>
      </c>
      <c r="I20854">
        <v>4369</v>
      </c>
      <c r="J20854" t="s">
        <v>188</v>
      </c>
      <c r="K20854">
        <v>228.6</v>
      </c>
      <c r="L20854">
        <v>0.69</v>
      </c>
      <c r="M20854">
        <v>17535</v>
      </c>
      <c r="N20854" t="s">
        <v>149</v>
      </c>
      <c r="O20854">
        <v>250617</v>
      </c>
      <c r="P20854">
        <v>2.7</v>
      </c>
    </row>
    <row r="20855" spans="1:16" x14ac:dyDescent="0.25">
      <c r="A20855" t="s">
        <v>3296</v>
      </c>
      <c r="B20855" t="s">
        <v>2931</v>
      </c>
      <c r="C20855">
        <v>8587</v>
      </c>
      <c r="D20855" t="str">
        <f t="shared" si="400"/>
        <v xml:space="preserve">12523021563 </v>
      </c>
      <c r="E20855" t="s">
        <v>309</v>
      </c>
      <c r="F20855" t="s">
        <v>310</v>
      </c>
      <c r="G20855">
        <v>6.78</v>
      </c>
      <c r="H20855">
        <v>250531</v>
      </c>
      <c r="I20855">
        <v>4369</v>
      </c>
      <c r="J20855" t="s">
        <v>188</v>
      </c>
      <c r="K20855">
        <v>228.6</v>
      </c>
      <c r="L20855">
        <v>1.38</v>
      </c>
      <c r="M20855">
        <v>17536</v>
      </c>
      <c r="N20855" t="s">
        <v>150</v>
      </c>
      <c r="O20855">
        <v>250617</v>
      </c>
      <c r="P20855">
        <v>5.4</v>
      </c>
    </row>
    <row r="20856" spans="1:16" x14ac:dyDescent="0.25">
      <c r="A20856" t="s">
        <v>3296</v>
      </c>
      <c r="B20856" t="s">
        <v>2931</v>
      </c>
      <c r="C20856">
        <v>8587</v>
      </c>
      <c r="D20856" t="str">
        <f t="shared" si="400"/>
        <v xml:space="preserve">12523021563 </v>
      </c>
      <c r="E20856" t="s">
        <v>309</v>
      </c>
      <c r="F20856" t="s">
        <v>310</v>
      </c>
      <c r="G20856">
        <v>13.18</v>
      </c>
      <c r="H20856">
        <v>250531</v>
      </c>
      <c r="I20856">
        <v>4369</v>
      </c>
      <c r="J20856" t="s">
        <v>188</v>
      </c>
      <c r="K20856">
        <v>228.6</v>
      </c>
      <c r="L20856">
        <v>2.68</v>
      </c>
      <c r="M20856">
        <v>17537</v>
      </c>
      <c r="N20856" t="s">
        <v>151</v>
      </c>
      <c r="O20856">
        <v>250617</v>
      </c>
      <c r="P20856">
        <v>10.5</v>
      </c>
    </row>
    <row r="20857" spans="1:16" x14ac:dyDescent="0.25">
      <c r="A20857" t="s">
        <v>3296</v>
      </c>
      <c r="B20857" t="s">
        <v>2931</v>
      </c>
      <c r="C20857">
        <v>8587</v>
      </c>
      <c r="D20857" t="str">
        <f t="shared" si="400"/>
        <v xml:space="preserve">12523021563 </v>
      </c>
      <c r="E20857" t="s">
        <v>309</v>
      </c>
      <c r="F20857" t="s">
        <v>310</v>
      </c>
      <c r="G20857">
        <v>10.17</v>
      </c>
      <c r="H20857">
        <v>250531</v>
      </c>
      <c r="I20857">
        <v>4369</v>
      </c>
      <c r="J20857" t="s">
        <v>188</v>
      </c>
      <c r="K20857">
        <v>228.6</v>
      </c>
      <c r="L20857">
        <v>2.0699999999999998</v>
      </c>
      <c r="M20857">
        <v>17538</v>
      </c>
      <c r="N20857" t="s">
        <v>129</v>
      </c>
      <c r="O20857">
        <v>250617</v>
      </c>
      <c r="P20857">
        <v>8.1</v>
      </c>
    </row>
    <row r="20858" spans="1:16" x14ac:dyDescent="0.25">
      <c r="A20858" t="s">
        <v>3296</v>
      </c>
      <c r="B20858" t="s">
        <v>2931</v>
      </c>
      <c r="C20858">
        <v>8587</v>
      </c>
      <c r="D20858" t="str">
        <f t="shared" si="400"/>
        <v xml:space="preserve">12523021563 </v>
      </c>
      <c r="E20858" t="s">
        <v>309</v>
      </c>
      <c r="F20858" t="s">
        <v>310</v>
      </c>
      <c r="G20858">
        <v>12.24</v>
      </c>
      <c r="H20858">
        <v>250531</v>
      </c>
      <c r="I20858">
        <v>4369</v>
      </c>
      <c r="J20858" t="s">
        <v>188</v>
      </c>
      <c r="K20858">
        <v>228.6</v>
      </c>
      <c r="L20858">
        <v>2.4900000000000002</v>
      </c>
      <c r="M20858">
        <v>17950</v>
      </c>
      <c r="N20858" t="s">
        <v>132</v>
      </c>
      <c r="O20858">
        <v>250617</v>
      </c>
      <c r="P20858">
        <v>9.75</v>
      </c>
    </row>
    <row r="20859" spans="1:16" x14ac:dyDescent="0.25">
      <c r="A20859" t="s">
        <v>3296</v>
      </c>
      <c r="B20859" t="s">
        <v>2931</v>
      </c>
      <c r="C20859">
        <v>8587</v>
      </c>
      <c r="D20859" t="str">
        <f t="shared" si="400"/>
        <v xml:space="preserve">12523021563 </v>
      </c>
      <c r="E20859" t="s">
        <v>309</v>
      </c>
      <c r="F20859" t="s">
        <v>310</v>
      </c>
      <c r="G20859">
        <v>3.39</v>
      </c>
      <c r="H20859">
        <v>250531</v>
      </c>
      <c r="I20859">
        <v>4369</v>
      </c>
      <c r="J20859" t="s">
        <v>188</v>
      </c>
      <c r="K20859">
        <v>228.6</v>
      </c>
      <c r="L20859">
        <v>0.69</v>
      </c>
      <c r="M20859">
        <v>17956</v>
      </c>
      <c r="N20859" t="s">
        <v>170</v>
      </c>
      <c r="O20859">
        <v>250617</v>
      </c>
      <c r="P20859">
        <v>2.7</v>
      </c>
    </row>
    <row r="20860" spans="1:16" x14ac:dyDescent="0.25">
      <c r="A20860" t="s">
        <v>3296</v>
      </c>
      <c r="B20860" t="s">
        <v>2931</v>
      </c>
      <c r="C20860">
        <v>8587</v>
      </c>
      <c r="D20860" t="str">
        <f t="shared" si="400"/>
        <v xml:space="preserve">12523021563 </v>
      </c>
      <c r="E20860" t="s">
        <v>309</v>
      </c>
      <c r="F20860" t="s">
        <v>310</v>
      </c>
      <c r="G20860">
        <v>17.14</v>
      </c>
      <c r="H20860">
        <v>250531</v>
      </c>
      <c r="I20860">
        <v>4369</v>
      </c>
      <c r="J20860" t="s">
        <v>188</v>
      </c>
      <c r="K20860">
        <v>228.6</v>
      </c>
      <c r="L20860">
        <v>3.48</v>
      </c>
      <c r="M20860">
        <v>17971</v>
      </c>
      <c r="N20860" t="s">
        <v>27</v>
      </c>
      <c r="O20860">
        <v>250617</v>
      </c>
      <c r="P20860">
        <v>13.66</v>
      </c>
    </row>
    <row r="20861" spans="1:16" x14ac:dyDescent="0.25">
      <c r="A20861" t="s">
        <v>3296</v>
      </c>
      <c r="B20861" t="s">
        <v>2931</v>
      </c>
      <c r="C20861">
        <v>8587</v>
      </c>
      <c r="D20861" t="str">
        <f t="shared" si="400"/>
        <v xml:space="preserve">12523021563 </v>
      </c>
      <c r="E20861" t="s">
        <v>309</v>
      </c>
      <c r="F20861" t="s">
        <v>310</v>
      </c>
      <c r="G20861">
        <v>3.39</v>
      </c>
      <c r="H20861">
        <v>250531</v>
      </c>
      <c r="I20861">
        <v>4369</v>
      </c>
      <c r="J20861" t="s">
        <v>188</v>
      </c>
      <c r="K20861">
        <v>228.6</v>
      </c>
      <c r="L20861">
        <v>0.69</v>
      </c>
      <c r="M20861">
        <v>17972</v>
      </c>
      <c r="N20861" t="s">
        <v>28</v>
      </c>
      <c r="O20861">
        <v>250617</v>
      </c>
      <c r="P20861">
        <v>2.7</v>
      </c>
    </row>
    <row r="20862" spans="1:16" x14ac:dyDescent="0.25">
      <c r="A20862" t="s">
        <v>3296</v>
      </c>
      <c r="B20862" t="s">
        <v>2931</v>
      </c>
      <c r="C20862">
        <v>8587</v>
      </c>
      <c r="D20862" t="str">
        <f t="shared" si="400"/>
        <v xml:space="preserve">12523021563 </v>
      </c>
      <c r="E20862" t="s">
        <v>309</v>
      </c>
      <c r="F20862" t="s">
        <v>310</v>
      </c>
      <c r="G20862">
        <v>3.39</v>
      </c>
      <c r="H20862">
        <v>250531</v>
      </c>
      <c r="I20862">
        <v>4369</v>
      </c>
      <c r="J20862" t="s">
        <v>188</v>
      </c>
      <c r="K20862">
        <v>228.6</v>
      </c>
      <c r="L20862">
        <v>0.69</v>
      </c>
      <c r="M20862">
        <v>17974</v>
      </c>
      <c r="N20862" t="s">
        <v>153</v>
      </c>
      <c r="O20862">
        <v>250617</v>
      </c>
      <c r="P20862">
        <v>2.7</v>
      </c>
    </row>
    <row r="20863" spans="1:16" x14ac:dyDescent="0.25">
      <c r="A20863" t="s">
        <v>3296</v>
      </c>
      <c r="B20863" t="s">
        <v>2931</v>
      </c>
      <c r="C20863">
        <v>8587</v>
      </c>
      <c r="D20863" t="str">
        <f t="shared" si="400"/>
        <v xml:space="preserve">12523021563 </v>
      </c>
      <c r="E20863" t="s">
        <v>309</v>
      </c>
      <c r="F20863" t="s">
        <v>310</v>
      </c>
      <c r="G20863">
        <v>7.32</v>
      </c>
      <c r="H20863">
        <v>250531</v>
      </c>
      <c r="I20863">
        <v>4369</v>
      </c>
      <c r="J20863" t="s">
        <v>188</v>
      </c>
      <c r="K20863">
        <v>228.6</v>
      </c>
      <c r="L20863">
        <v>1.49</v>
      </c>
      <c r="M20863">
        <v>17975</v>
      </c>
      <c r="N20863" t="s">
        <v>29</v>
      </c>
      <c r="O20863">
        <v>250617</v>
      </c>
      <c r="P20863">
        <v>5.83</v>
      </c>
    </row>
    <row r="20864" spans="1:16" x14ac:dyDescent="0.25">
      <c r="A20864" t="s">
        <v>3296</v>
      </c>
      <c r="B20864" t="s">
        <v>2931</v>
      </c>
      <c r="C20864">
        <v>8589</v>
      </c>
      <c r="D20864" t="str">
        <f t="shared" ref="D20864:D20879" si="401">"12523021539 "</f>
        <v xml:space="preserve">12523021539 </v>
      </c>
      <c r="E20864" t="s">
        <v>309</v>
      </c>
      <c r="F20864" t="s">
        <v>310</v>
      </c>
      <c r="G20864">
        <v>3.5</v>
      </c>
      <c r="H20864">
        <v>250531</v>
      </c>
      <c r="I20864">
        <v>4369</v>
      </c>
      <c r="J20864" t="s">
        <v>188</v>
      </c>
      <c r="K20864">
        <v>285.01</v>
      </c>
      <c r="L20864">
        <v>0.71</v>
      </c>
      <c r="M20864">
        <v>54422</v>
      </c>
      <c r="N20864" t="s">
        <v>49</v>
      </c>
      <c r="O20864">
        <v>250617</v>
      </c>
      <c r="P20864">
        <v>2.79</v>
      </c>
    </row>
    <row r="20865" spans="1:16" x14ac:dyDescent="0.25">
      <c r="A20865" t="s">
        <v>3296</v>
      </c>
      <c r="B20865" t="s">
        <v>2931</v>
      </c>
      <c r="C20865">
        <v>8589</v>
      </c>
      <c r="D20865" t="str">
        <f t="shared" si="401"/>
        <v xml:space="preserve">12523021539 </v>
      </c>
      <c r="E20865" t="s">
        <v>309</v>
      </c>
      <c r="F20865" t="s">
        <v>310</v>
      </c>
      <c r="G20865">
        <v>3.39</v>
      </c>
      <c r="H20865">
        <v>250531</v>
      </c>
      <c r="I20865">
        <v>4369</v>
      </c>
      <c r="J20865" t="s">
        <v>188</v>
      </c>
      <c r="K20865">
        <v>285.01</v>
      </c>
      <c r="L20865">
        <v>0.69</v>
      </c>
      <c r="M20865">
        <v>54451</v>
      </c>
      <c r="N20865" t="s">
        <v>218</v>
      </c>
      <c r="O20865">
        <v>250617</v>
      </c>
      <c r="P20865">
        <v>2.7</v>
      </c>
    </row>
    <row r="20866" spans="1:16" x14ac:dyDescent="0.25">
      <c r="A20866" t="s">
        <v>3296</v>
      </c>
      <c r="B20866" t="s">
        <v>2931</v>
      </c>
      <c r="C20866">
        <v>8589</v>
      </c>
      <c r="D20866" t="str">
        <f t="shared" si="401"/>
        <v xml:space="preserve">12523021539 </v>
      </c>
      <c r="E20866" t="s">
        <v>309</v>
      </c>
      <c r="F20866" t="s">
        <v>310</v>
      </c>
      <c r="G20866">
        <v>8.2799999999999994</v>
      </c>
      <c r="H20866">
        <v>250531</v>
      </c>
      <c r="I20866">
        <v>4369</v>
      </c>
      <c r="J20866" t="s">
        <v>188</v>
      </c>
      <c r="K20866">
        <v>285.01</v>
      </c>
      <c r="L20866">
        <v>1.68</v>
      </c>
      <c r="M20866">
        <v>59111</v>
      </c>
      <c r="N20866" t="s">
        <v>60</v>
      </c>
      <c r="O20866">
        <v>250617</v>
      </c>
      <c r="P20866">
        <v>6.6</v>
      </c>
    </row>
    <row r="20867" spans="1:16" x14ac:dyDescent="0.25">
      <c r="A20867" t="s">
        <v>3296</v>
      </c>
      <c r="B20867" t="s">
        <v>2931</v>
      </c>
      <c r="C20867">
        <v>8589</v>
      </c>
      <c r="D20867" t="str">
        <f t="shared" si="401"/>
        <v xml:space="preserve">12523021539 </v>
      </c>
      <c r="E20867" t="s">
        <v>309</v>
      </c>
      <c r="F20867" t="s">
        <v>310</v>
      </c>
      <c r="G20867">
        <v>10.23</v>
      </c>
      <c r="H20867">
        <v>250531</v>
      </c>
      <c r="I20867">
        <v>4369</v>
      </c>
      <c r="J20867" t="s">
        <v>188</v>
      </c>
      <c r="K20867">
        <v>285.01</v>
      </c>
      <c r="L20867">
        <v>2.08</v>
      </c>
      <c r="M20867">
        <v>59113</v>
      </c>
      <c r="N20867" t="s">
        <v>61</v>
      </c>
      <c r="O20867">
        <v>250617</v>
      </c>
      <c r="P20867">
        <v>8.15</v>
      </c>
    </row>
    <row r="20868" spans="1:16" x14ac:dyDescent="0.25">
      <c r="A20868" t="s">
        <v>3296</v>
      </c>
      <c r="B20868" t="s">
        <v>2931</v>
      </c>
      <c r="C20868">
        <v>8589</v>
      </c>
      <c r="D20868" t="str">
        <f t="shared" si="401"/>
        <v xml:space="preserve">12523021539 </v>
      </c>
      <c r="E20868" t="s">
        <v>309</v>
      </c>
      <c r="F20868" t="s">
        <v>310</v>
      </c>
      <c r="G20868">
        <v>3.39</v>
      </c>
      <c r="H20868">
        <v>250531</v>
      </c>
      <c r="I20868">
        <v>4369</v>
      </c>
      <c r="J20868" t="s">
        <v>188</v>
      </c>
      <c r="K20868">
        <v>285.01</v>
      </c>
      <c r="L20868">
        <v>0.69</v>
      </c>
      <c r="M20868">
        <v>59114</v>
      </c>
      <c r="N20868" t="s">
        <v>299</v>
      </c>
      <c r="O20868">
        <v>250617</v>
      </c>
      <c r="P20868">
        <v>2.7</v>
      </c>
    </row>
    <row r="20869" spans="1:16" x14ac:dyDescent="0.25">
      <c r="A20869" t="s">
        <v>3296</v>
      </c>
      <c r="B20869" t="s">
        <v>2931</v>
      </c>
      <c r="C20869">
        <v>8589</v>
      </c>
      <c r="D20869" t="str">
        <f t="shared" si="401"/>
        <v xml:space="preserve">12523021539 </v>
      </c>
      <c r="E20869" t="s">
        <v>309</v>
      </c>
      <c r="F20869" t="s">
        <v>310</v>
      </c>
      <c r="G20869">
        <v>76.89</v>
      </c>
      <c r="H20869">
        <v>250531</v>
      </c>
      <c r="I20869">
        <v>4369</v>
      </c>
      <c r="J20869" t="s">
        <v>188</v>
      </c>
      <c r="K20869">
        <v>285.01</v>
      </c>
      <c r="L20869">
        <v>15.62</v>
      </c>
      <c r="M20869">
        <v>59501</v>
      </c>
      <c r="N20869" t="s">
        <v>62</v>
      </c>
      <c r="O20869">
        <v>250617</v>
      </c>
      <c r="P20869">
        <v>61.27</v>
      </c>
    </row>
    <row r="20870" spans="1:16" x14ac:dyDescent="0.25">
      <c r="A20870" t="s">
        <v>3296</v>
      </c>
      <c r="B20870" t="s">
        <v>2931</v>
      </c>
      <c r="C20870">
        <v>8589</v>
      </c>
      <c r="D20870" t="str">
        <f t="shared" si="401"/>
        <v xml:space="preserve">12523021539 </v>
      </c>
      <c r="E20870" t="s">
        <v>309</v>
      </c>
      <c r="F20870" t="s">
        <v>310</v>
      </c>
      <c r="G20870">
        <v>40.03</v>
      </c>
      <c r="H20870">
        <v>250531</v>
      </c>
      <c r="I20870">
        <v>4369</v>
      </c>
      <c r="J20870" t="s">
        <v>188</v>
      </c>
      <c r="K20870">
        <v>285.01</v>
      </c>
      <c r="L20870">
        <v>8.1300000000000008</v>
      </c>
      <c r="M20870">
        <v>59502</v>
      </c>
      <c r="N20870" t="s">
        <v>63</v>
      </c>
      <c r="O20870">
        <v>250617</v>
      </c>
      <c r="P20870">
        <v>31.9</v>
      </c>
    </row>
    <row r="20871" spans="1:16" x14ac:dyDescent="0.25">
      <c r="A20871" t="s">
        <v>3296</v>
      </c>
      <c r="B20871" t="s">
        <v>2931</v>
      </c>
      <c r="C20871">
        <v>8589</v>
      </c>
      <c r="D20871" t="str">
        <f t="shared" si="401"/>
        <v xml:space="preserve">12523021539 </v>
      </c>
      <c r="E20871" t="s">
        <v>309</v>
      </c>
      <c r="F20871" t="s">
        <v>310</v>
      </c>
      <c r="G20871">
        <v>10.17</v>
      </c>
      <c r="H20871">
        <v>250531</v>
      </c>
      <c r="I20871">
        <v>4369</v>
      </c>
      <c r="J20871" t="s">
        <v>188</v>
      </c>
      <c r="K20871">
        <v>285.01</v>
      </c>
      <c r="L20871">
        <v>2.0699999999999998</v>
      </c>
      <c r="M20871">
        <v>59504</v>
      </c>
      <c r="N20871" t="s">
        <v>193</v>
      </c>
      <c r="O20871">
        <v>250617</v>
      </c>
      <c r="P20871">
        <v>8.1</v>
      </c>
    </row>
    <row r="20872" spans="1:16" x14ac:dyDescent="0.25">
      <c r="A20872" t="s">
        <v>3296</v>
      </c>
      <c r="B20872" t="s">
        <v>2931</v>
      </c>
      <c r="C20872">
        <v>8589</v>
      </c>
      <c r="D20872" t="str">
        <f t="shared" si="401"/>
        <v xml:space="preserve">12523021539 </v>
      </c>
      <c r="E20872" t="s">
        <v>309</v>
      </c>
      <c r="F20872" t="s">
        <v>310</v>
      </c>
      <c r="G20872">
        <v>6.78</v>
      </c>
      <c r="H20872">
        <v>250531</v>
      </c>
      <c r="I20872">
        <v>4369</v>
      </c>
      <c r="J20872" t="s">
        <v>188</v>
      </c>
      <c r="K20872">
        <v>285.01</v>
      </c>
      <c r="L20872">
        <v>1.38</v>
      </c>
      <c r="M20872">
        <v>59505</v>
      </c>
      <c r="N20872" t="s">
        <v>194</v>
      </c>
      <c r="O20872">
        <v>250617</v>
      </c>
      <c r="P20872">
        <v>5.4</v>
      </c>
    </row>
    <row r="20873" spans="1:16" x14ac:dyDescent="0.25">
      <c r="A20873" t="s">
        <v>3296</v>
      </c>
      <c r="B20873" t="s">
        <v>2931</v>
      </c>
      <c r="C20873">
        <v>8589</v>
      </c>
      <c r="D20873" t="str">
        <f t="shared" si="401"/>
        <v xml:space="preserve">12523021539 </v>
      </c>
      <c r="E20873" t="s">
        <v>309</v>
      </c>
      <c r="F20873" t="s">
        <v>310</v>
      </c>
      <c r="G20873">
        <v>13.55</v>
      </c>
      <c r="H20873">
        <v>250531</v>
      </c>
      <c r="I20873">
        <v>4369</v>
      </c>
      <c r="J20873" t="s">
        <v>188</v>
      </c>
      <c r="K20873">
        <v>285.01</v>
      </c>
      <c r="L20873">
        <v>2.75</v>
      </c>
      <c r="M20873">
        <v>59701</v>
      </c>
      <c r="N20873" t="s">
        <v>64</v>
      </c>
      <c r="O20873">
        <v>250617</v>
      </c>
      <c r="P20873">
        <v>10.8</v>
      </c>
    </row>
    <row r="20874" spans="1:16" x14ac:dyDescent="0.25">
      <c r="A20874" t="s">
        <v>3296</v>
      </c>
      <c r="B20874" t="s">
        <v>2931</v>
      </c>
      <c r="C20874">
        <v>8589</v>
      </c>
      <c r="D20874" t="str">
        <f t="shared" si="401"/>
        <v xml:space="preserve">12523021539 </v>
      </c>
      <c r="E20874" t="s">
        <v>309</v>
      </c>
      <c r="F20874" t="s">
        <v>310</v>
      </c>
      <c r="G20874">
        <v>6.81</v>
      </c>
      <c r="H20874">
        <v>250531</v>
      </c>
      <c r="I20874">
        <v>4369</v>
      </c>
      <c r="J20874" t="s">
        <v>188</v>
      </c>
      <c r="K20874">
        <v>285.01</v>
      </c>
      <c r="L20874">
        <v>1.38</v>
      </c>
      <c r="M20874">
        <v>59702</v>
      </c>
      <c r="N20874" t="s">
        <v>45</v>
      </c>
      <c r="O20874">
        <v>250617</v>
      </c>
      <c r="P20874">
        <v>5.43</v>
      </c>
    </row>
    <row r="20875" spans="1:16" x14ac:dyDescent="0.25">
      <c r="A20875" t="s">
        <v>3296</v>
      </c>
      <c r="B20875" t="s">
        <v>2931</v>
      </c>
      <c r="C20875">
        <v>8589</v>
      </c>
      <c r="D20875" t="str">
        <f t="shared" si="401"/>
        <v xml:space="preserve">12523021539 </v>
      </c>
      <c r="E20875" t="s">
        <v>309</v>
      </c>
      <c r="F20875" t="s">
        <v>310</v>
      </c>
      <c r="G20875">
        <v>6.81</v>
      </c>
      <c r="H20875">
        <v>250531</v>
      </c>
      <c r="I20875">
        <v>4369</v>
      </c>
      <c r="J20875" t="s">
        <v>188</v>
      </c>
      <c r="K20875">
        <v>285.01</v>
      </c>
      <c r="L20875">
        <v>1.38</v>
      </c>
      <c r="M20875">
        <v>59704</v>
      </c>
      <c r="N20875" t="s">
        <v>46</v>
      </c>
      <c r="O20875">
        <v>250617</v>
      </c>
      <c r="P20875">
        <v>5.43</v>
      </c>
    </row>
    <row r="20876" spans="1:16" x14ac:dyDescent="0.25">
      <c r="A20876" t="s">
        <v>3296</v>
      </c>
      <c r="B20876" t="s">
        <v>2931</v>
      </c>
      <c r="C20876">
        <v>8589</v>
      </c>
      <c r="D20876" t="str">
        <f t="shared" si="401"/>
        <v xml:space="preserve">12523021539 </v>
      </c>
      <c r="E20876" t="s">
        <v>309</v>
      </c>
      <c r="F20876" t="s">
        <v>310</v>
      </c>
      <c r="G20876">
        <v>3.39</v>
      </c>
      <c r="H20876">
        <v>250531</v>
      </c>
      <c r="I20876">
        <v>4369</v>
      </c>
      <c r="J20876" t="s">
        <v>188</v>
      </c>
      <c r="K20876">
        <v>285.01</v>
      </c>
      <c r="L20876">
        <v>0.69</v>
      </c>
      <c r="M20876">
        <v>59705</v>
      </c>
      <c r="N20876" t="s">
        <v>47</v>
      </c>
      <c r="O20876">
        <v>250617</v>
      </c>
      <c r="P20876">
        <v>2.7</v>
      </c>
    </row>
    <row r="20877" spans="1:16" x14ac:dyDescent="0.25">
      <c r="A20877" t="s">
        <v>3296</v>
      </c>
      <c r="B20877" t="s">
        <v>2931</v>
      </c>
      <c r="C20877">
        <v>8589</v>
      </c>
      <c r="D20877" t="str">
        <f t="shared" si="401"/>
        <v xml:space="preserve">12523021539 </v>
      </c>
      <c r="E20877" t="s">
        <v>309</v>
      </c>
      <c r="F20877" t="s">
        <v>310</v>
      </c>
      <c r="G20877">
        <v>19.95</v>
      </c>
      <c r="H20877">
        <v>250531</v>
      </c>
      <c r="I20877">
        <v>4369</v>
      </c>
      <c r="J20877" t="s">
        <v>188</v>
      </c>
      <c r="K20877">
        <v>285.01</v>
      </c>
      <c r="L20877">
        <v>4.05</v>
      </c>
      <c r="M20877">
        <v>59802</v>
      </c>
      <c r="N20877" t="s">
        <v>195</v>
      </c>
      <c r="O20877">
        <v>250617</v>
      </c>
      <c r="P20877">
        <v>15.9</v>
      </c>
    </row>
    <row r="20878" spans="1:16" x14ac:dyDescent="0.25">
      <c r="A20878" t="s">
        <v>3296</v>
      </c>
      <c r="B20878" t="s">
        <v>2931</v>
      </c>
      <c r="C20878">
        <v>8589</v>
      </c>
      <c r="D20878" t="str">
        <f t="shared" si="401"/>
        <v xml:space="preserve">12523021539 </v>
      </c>
      <c r="E20878" t="s">
        <v>309</v>
      </c>
      <c r="F20878" t="s">
        <v>310</v>
      </c>
      <c r="G20878">
        <v>23.38</v>
      </c>
      <c r="H20878">
        <v>250531</v>
      </c>
      <c r="I20878">
        <v>4369</v>
      </c>
      <c r="J20878" t="s">
        <v>188</v>
      </c>
      <c r="K20878">
        <v>285.01</v>
      </c>
      <c r="L20878">
        <v>4.75</v>
      </c>
      <c r="M20878">
        <v>59812</v>
      </c>
      <c r="N20878" t="s">
        <v>196</v>
      </c>
      <c r="O20878">
        <v>250617</v>
      </c>
      <c r="P20878">
        <v>18.63</v>
      </c>
    </row>
    <row r="20879" spans="1:16" x14ac:dyDescent="0.25">
      <c r="A20879" t="s">
        <v>3296</v>
      </c>
      <c r="B20879" t="s">
        <v>2931</v>
      </c>
      <c r="C20879">
        <v>8589</v>
      </c>
      <c r="D20879" t="str">
        <f t="shared" si="401"/>
        <v xml:space="preserve">12523021539 </v>
      </c>
      <c r="E20879" t="s">
        <v>309</v>
      </c>
      <c r="F20879" t="s">
        <v>310</v>
      </c>
      <c r="G20879">
        <v>8.4600000000000009</v>
      </c>
      <c r="H20879">
        <v>250531</v>
      </c>
      <c r="I20879">
        <v>4369</v>
      </c>
      <c r="J20879" t="s">
        <v>188</v>
      </c>
      <c r="K20879">
        <v>285.01</v>
      </c>
      <c r="L20879">
        <v>1.72</v>
      </c>
      <c r="M20879">
        <v>59815</v>
      </c>
      <c r="N20879" t="s">
        <v>1001</v>
      </c>
      <c r="O20879">
        <v>250617</v>
      </c>
      <c r="P20879">
        <v>6.74</v>
      </c>
    </row>
    <row r="20880" spans="1:16" x14ac:dyDescent="0.25">
      <c r="A20880" t="s">
        <v>3296</v>
      </c>
      <c r="B20880" t="s">
        <v>2931</v>
      </c>
      <c r="C20880">
        <v>8594</v>
      </c>
      <c r="D20880" t="str">
        <f t="shared" ref="D20880:D20890" si="402">"12523021565 "</f>
        <v xml:space="preserve">12523021565 </v>
      </c>
      <c r="E20880" t="s">
        <v>309</v>
      </c>
      <c r="F20880" t="s">
        <v>310</v>
      </c>
      <c r="G20880">
        <v>3.4</v>
      </c>
      <c r="H20880">
        <v>250531</v>
      </c>
      <c r="I20880">
        <v>4369</v>
      </c>
      <c r="J20880" t="s">
        <v>188</v>
      </c>
      <c r="K20880">
        <v>135.80000000000001</v>
      </c>
      <c r="L20880">
        <v>0</v>
      </c>
      <c r="M20880">
        <v>13201</v>
      </c>
      <c r="N20880" t="s">
        <v>269</v>
      </c>
      <c r="O20880">
        <v>250617</v>
      </c>
      <c r="P20880">
        <v>3.4</v>
      </c>
    </row>
    <row r="20881" spans="1:16" x14ac:dyDescent="0.25">
      <c r="A20881" t="s">
        <v>3296</v>
      </c>
      <c r="B20881" t="s">
        <v>2931</v>
      </c>
      <c r="C20881">
        <v>8594</v>
      </c>
      <c r="D20881" t="str">
        <f t="shared" si="402"/>
        <v xml:space="preserve">12523021565 </v>
      </c>
      <c r="E20881" t="s">
        <v>309</v>
      </c>
      <c r="F20881" t="s">
        <v>310</v>
      </c>
      <c r="G20881">
        <v>33.700000000000003</v>
      </c>
      <c r="H20881">
        <v>250531</v>
      </c>
      <c r="I20881">
        <v>4369</v>
      </c>
      <c r="J20881" t="s">
        <v>188</v>
      </c>
      <c r="K20881">
        <v>135.80000000000001</v>
      </c>
      <c r="L20881">
        <v>6.85</v>
      </c>
      <c r="M20881">
        <v>13401</v>
      </c>
      <c r="N20881" t="s">
        <v>10</v>
      </c>
      <c r="O20881">
        <v>250617</v>
      </c>
      <c r="P20881">
        <v>26.85</v>
      </c>
    </row>
    <row r="20882" spans="1:16" x14ac:dyDescent="0.25">
      <c r="A20882" t="s">
        <v>3296</v>
      </c>
      <c r="B20882" t="s">
        <v>2931</v>
      </c>
      <c r="C20882">
        <v>8594</v>
      </c>
      <c r="D20882" t="str">
        <f t="shared" si="402"/>
        <v xml:space="preserve">12523021565 </v>
      </c>
      <c r="E20882" t="s">
        <v>309</v>
      </c>
      <c r="F20882" t="s">
        <v>310</v>
      </c>
      <c r="G20882">
        <v>6.77</v>
      </c>
      <c r="H20882">
        <v>250531</v>
      </c>
      <c r="I20882">
        <v>4369</v>
      </c>
      <c r="J20882" t="s">
        <v>188</v>
      </c>
      <c r="K20882">
        <v>135.80000000000001</v>
      </c>
      <c r="L20882">
        <v>1.38</v>
      </c>
      <c r="M20882">
        <v>13401</v>
      </c>
      <c r="N20882" t="s">
        <v>10</v>
      </c>
      <c r="O20882">
        <v>250617</v>
      </c>
      <c r="P20882">
        <v>5.39</v>
      </c>
    </row>
    <row r="20883" spans="1:16" x14ac:dyDescent="0.25">
      <c r="A20883" t="s">
        <v>3296</v>
      </c>
      <c r="B20883" t="s">
        <v>2931</v>
      </c>
      <c r="C20883">
        <v>8594</v>
      </c>
      <c r="D20883" t="str">
        <f t="shared" si="402"/>
        <v xml:space="preserve">12523021565 </v>
      </c>
      <c r="E20883" t="s">
        <v>309</v>
      </c>
      <c r="F20883" t="s">
        <v>310</v>
      </c>
      <c r="G20883">
        <v>31.55</v>
      </c>
      <c r="H20883">
        <v>250531</v>
      </c>
      <c r="I20883">
        <v>4369</v>
      </c>
      <c r="J20883" t="s">
        <v>188</v>
      </c>
      <c r="K20883">
        <v>135.80000000000001</v>
      </c>
      <c r="L20883">
        <v>6.41</v>
      </c>
      <c r="M20883">
        <v>13501</v>
      </c>
      <c r="N20883" t="s">
        <v>66</v>
      </c>
      <c r="O20883">
        <v>250617</v>
      </c>
      <c r="P20883">
        <v>25.14</v>
      </c>
    </row>
    <row r="20884" spans="1:16" x14ac:dyDescent="0.25">
      <c r="A20884" t="s">
        <v>3296</v>
      </c>
      <c r="B20884" t="s">
        <v>2931</v>
      </c>
      <c r="C20884">
        <v>8594</v>
      </c>
      <c r="D20884" t="str">
        <f t="shared" si="402"/>
        <v xml:space="preserve">12523021565 </v>
      </c>
      <c r="E20884" t="s">
        <v>309</v>
      </c>
      <c r="F20884" t="s">
        <v>310</v>
      </c>
      <c r="G20884">
        <v>3.4</v>
      </c>
      <c r="H20884">
        <v>250531</v>
      </c>
      <c r="I20884">
        <v>4369</v>
      </c>
      <c r="J20884" t="s">
        <v>188</v>
      </c>
      <c r="K20884">
        <v>135.80000000000001</v>
      </c>
      <c r="L20884">
        <v>0.69</v>
      </c>
      <c r="M20884">
        <v>13561</v>
      </c>
      <c r="N20884" t="s">
        <v>241</v>
      </c>
      <c r="O20884">
        <v>250617</v>
      </c>
      <c r="P20884">
        <v>2.71</v>
      </c>
    </row>
    <row r="20885" spans="1:16" x14ac:dyDescent="0.25">
      <c r="A20885" t="s">
        <v>3296</v>
      </c>
      <c r="B20885" t="s">
        <v>2931</v>
      </c>
      <c r="C20885">
        <v>8594</v>
      </c>
      <c r="D20885" t="str">
        <f t="shared" si="402"/>
        <v xml:space="preserve">12523021565 </v>
      </c>
      <c r="E20885" t="s">
        <v>309</v>
      </c>
      <c r="F20885" t="s">
        <v>310</v>
      </c>
      <c r="G20885">
        <v>3.4</v>
      </c>
      <c r="H20885">
        <v>250531</v>
      </c>
      <c r="I20885">
        <v>4369</v>
      </c>
      <c r="J20885" t="s">
        <v>188</v>
      </c>
      <c r="K20885">
        <v>135.80000000000001</v>
      </c>
      <c r="L20885">
        <v>0.69</v>
      </c>
      <c r="M20885">
        <v>13561</v>
      </c>
      <c r="N20885" t="s">
        <v>241</v>
      </c>
      <c r="O20885">
        <v>250617</v>
      </c>
      <c r="P20885">
        <v>2.71</v>
      </c>
    </row>
    <row r="20886" spans="1:16" x14ac:dyDescent="0.25">
      <c r="A20886" t="s">
        <v>3296</v>
      </c>
      <c r="B20886" t="s">
        <v>2931</v>
      </c>
      <c r="C20886">
        <v>8594</v>
      </c>
      <c r="D20886" t="str">
        <f t="shared" si="402"/>
        <v xml:space="preserve">12523021565 </v>
      </c>
      <c r="E20886" t="s">
        <v>309</v>
      </c>
      <c r="F20886" t="s">
        <v>310</v>
      </c>
      <c r="G20886">
        <v>3.4</v>
      </c>
      <c r="H20886">
        <v>250531</v>
      </c>
      <c r="I20886">
        <v>4369</v>
      </c>
      <c r="J20886" t="s">
        <v>188</v>
      </c>
      <c r="K20886">
        <v>135.80000000000001</v>
      </c>
      <c r="L20886">
        <v>0.69</v>
      </c>
      <c r="M20886">
        <v>13601</v>
      </c>
      <c r="N20886" t="s">
        <v>115</v>
      </c>
      <c r="O20886">
        <v>250617</v>
      </c>
      <c r="P20886">
        <v>2.71</v>
      </c>
    </row>
    <row r="20887" spans="1:16" x14ac:dyDescent="0.25">
      <c r="A20887" t="s">
        <v>3296</v>
      </c>
      <c r="B20887" t="s">
        <v>2931</v>
      </c>
      <c r="C20887">
        <v>8594</v>
      </c>
      <c r="D20887" t="str">
        <f t="shared" si="402"/>
        <v xml:space="preserve">12523021565 </v>
      </c>
      <c r="E20887" t="s">
        <v>309</v>
      </c>
      <c r="F20887" t="s">
        <v>310</v>
      </c>
      <c r="G20887">
        <v>3.4</v>
      </c>
      <c r="H20887">
        <v>250531</v>
      </c>
      <c r="I20887">
        <v>4369</v>
      </c>
      <c r="J20887" t="s">
        <v>188</v>
      </c>
      <c r="K20887">
        <v>135.80000000000001</v>
      </c>
      <c r="L20887">
        <v>0.69</v>
      </c>
      <c r="M20887">
        <v>13661</v>
      </c>
      <c r="N20887" t="s">
        <v>243</v>
      </c>
      <c r="O20887">
        <v>250617</v>
      </c>
      <c r="P20887">
        <v>2.71</v>
      </c>
    </row>
    <row r="20888" spans="1:16" x14ac:dyDescent="0.25">
      <c r="A20888" t="s">
        <v>3296</v>
      </c>
      <c r="B20888" t="s">
        <v>2931</v>
      </c>
      <c r="C20888">
        <v>8594</v>
      </c>
      <c r="D20888" t="str">
        <f t="shared" si="402"/>
        <v xml:space="preserve">12523021565 </v>
      </c>
      <c r="E20888" t="s">
        <v>309</v>
      </c>
      <c r="F20888" t="s">
        <v>310</v>
      </c>
      <c r="G20888">
        <v>16.399999999999999</v>
      </c>
      <c r="H20888">
        <v>250531</v>
      </c>
      <c r="I20888">
        <v>4369</v>
      </c>
      <c r="J20888" t="s">
        <v>188</v>
      </c>
      <c r="K20888">
        <v>135.80000000000001</v>
      </c>
      <c r="L20888">
        <v>3.33</v>
      </c>
      <c r="M20888">
        <v>13801</v>
      </c>
      <c r="N20888" t="s">
        <v>33</v>
      </c>
      <c r="O20888">
        <v>250617</v>
      </c>
      <c r="P20888">
        <v>13.07</v>
      </c>
    </row>
    <row r="20889" spans="1:16" x14ac:dyDescent="0.25">
      <c r="A20889" t="s">
        <v>3296</v>
      </c>
      <c r="B20889" t="s">
        <v>2931</v>
      </c>
      <c r="C20889">
        <v>8594</v>
      </c>
      <c r="D20889" t="str">
        <f t="shared" si="402"/>
        <v xml:space="preserve">12523021565 </v>
      </c>
      <c r="E20889" t="s">
        <v>309</v>
      </c>
      <c r="F20889" t="s">
        <v>310</v>
      </c>
      <c r="G20889">
        <v>17.100000000000001</v>
      </c>
      <c r="H20889">
        <v>250531</v>
      </c>
      <c r="I20889">
        <v>4369</v>
      </c>
      <c r="J20889" t="s">
        <v>188</v>
      </c>
      <c r="K20889">
        <v>135.80000000000001</v>
      </c>
      <c r="L20889">
        <v>3.47</v>
      </c>
      <c r="M20889">
        <v>13801</v>
      </c>
      <c r="N20889" t="s">
        <v>33</v>
      </c>
      <c r="O20889">
        <v>250617</v>
      </c>
      <c r="P20889">
        <v>13.63</v>
      </c>
    </row>
    <row r="20890" spans="1:16" x14ac:dyDescent="0.25">
      <c r="A20890" t="s">
        <v>3296</v>
      </c>
      <c r="B20890" t="s">
        <v>2931</v>
      </c>
      <c r="C20890">
        <v>8594</v>
      </c>
      <c r="D20890" t="str">
        <f t="shared" si="402"/>
        <v xml:space="preserve">12523021565 </v>
      </c>
      <c r="E20890" t="s">
        <v>309</v>
      </c>
      <c r="F20890" t="s">
        <v>310</v>
      </c>
      <c r="G20890">
        <v>13.28</v>
      </c>
      <c r="H20890">
        <v>250531</v>
      </c>
      <c r="I20890">
        <v>4369</v>
      </c>
      <c r="J20890" t="s">
        <v>188</v>
      </c>
      <c r="K20890">
        <v>135.80000000000001</v>
      </c>
      <c r="L20890">
        <v>2.7</v>
      </c>
      <c r="M20890">
        <v>13802</v>
      </c>
      <c r="N20890" t="s">
        <v>34</v>
      </c>
      <c r="O20890">
        <v>250617</v>
      </c>
      <c r="P20890">
        <v>10.58</v>
      </c>
    </row>
    <row r="20891" spans="1:16" x14ac:dyDescent="0.25">
      <c r="A20891" t="s">
        <v>3296</v>
      </c>
      <c r="B20891" t="s">
        <v>2931</v>
      </c>
      <c r="C20891">
        <v>8596</v>
      </c>
      <c r="D20891" t="str">
        <f>"12523021570 "</f>
        <v xml:space="preserve">12523021570 </v>
      </c>
      <c r="E20891" t="s">
        <v>309</v>
      </c>
      <c r="F20891" t="s">
        <v>310</v>
      </c>
      <c r="G20891">
        <v>3.52</v>
      </c>
      <c r="H20891">
        <v>250531</v>
      </c>
      <c r="I20891">
        <v>4369</v>
      </c>
      <c r="J20891" t="s">
        <v>188</v>
      </c>
      <c r="K20891">
        <v>24.36</v>
      </c>
      <c r="L20891">
        <v>0.72</v>
      </c>
      <c r="M20891">
        <v>53222</v>
      </c>
      <c r="N20891" t="s">
        <v>41</v>
      </c>
      <c r="O20891">
        <v>250617</v>
      </c>
      <c r="P20891">
        <v>2.8</v>
      </c>
    </row>
    <row r="20892" spans="1:16" x14ac:dyDescent="0.25">
      <c r="A20892" t="s">
        <v>3296</v>
      </c>
      <c r="B20892" t="s">
        <v>2931</v>
      </c>
      <c r="C20892">
        <v>8596</v>
      </c>
      <c r="D20892" t="str">
        <f>"12523021570 "</f>
        <v xml:space="preserve">12523021570 </v>
      </c>
      <c r="E20892" t="s">
        <v>309</v>
      </c>
      <c r="F20892" t="s">
        <v>310</v>
      </c>
      <c r="G20892">
        <v>14.06</v>
      </c>
      <c r="H20892">
        <v>250531</v>
      </c>
      <c r="I20892">
        <v>4369</v>
      </c>
      <c r="J20892" t="s">
        <v>188</v>
      </c>
      <c r="K20892">
        <v>24.36</v>
      </c>
      <c r="L20892">
        <v>2.86</v>
      </c>
      <c r="M20892">
        <v>53222</v>
      </c>
      <c r="N20892" t="s">
        <v>41</v>
      </c>
      <c r="O20892">
        <v>250617</v>
      </c>
      <c r="P20892">
        <v>11.2</v>
      </c>
    </row>
    <row r="20893" spans="1:16" x14ac:dyDescent="0.25">
      <c r="A20893" t="s">
        <v>3296</v>
      </c>
      <c r="B20893" t="s">
        <v>2931</v>
      </c>
      <c r="C20893">
        <v>8596</v>
      </c>
      <c r="D20893" t="str">
        <f>"12523021570 "</f>
        <v xml:space="preserve">12523021570 </v>
      </c>
      <c r="E20893" t="s">
        <v>309</v>
      </c>
      <c r="F20893" t="s">
        <v>310</v>
      </c>
      <c r="G20893">
        <v>3.39</v>
      </c>
      <c r="H20893">
        <v>250531</v>
      </c>
      <c r="I20893">
        <v>4369</v>
      </c>
      <c r="J20893" t="s">
        <v>188</v>
      </c>
      <c r="K20893">
        <v>24.36</v>
      </c>
      <c r="L20893">
        <v>0.69</v>
      </c>
      <c r="M20893">
        <v>54622</v>
      </c>
      <c r="N20893" t="s">
        <v>42</v>
      </c>
      <c r="O20893">
        <v>250617</v>
      </c>
      <c r="P20893">
        <v>2.7</v>
      </c>
    </row>
    <row r="20894" spans="1:16" x14ac:dyDescent="0.25">
      <c r="A20894" t="s">
        <v>3296</v>
      </c>
      <c r="B20894" t="s">
        <v>2931</v>
      </c>
      <c r="C20894">
        <v>8596</v>
      </c>
      <c r="D20894" t="str">
        <f>"12523021570 "</f>
        <v xml:space="preserve">12523021570 </v>
      </c>
      <c r="E20894" t="s">
        <v>309</v>
      </c>
      <c r="F20894" t="s">
        <v>310</v>
      </c>
      <c r="G20894">
        <v>3.39</v>
      </c>
      <c r="H20894">
        <v>250531</v>
      </c>
      <c r="I20894">
        <v>4369</v>
      </c>
      <c r="J20894" t="s">
        <v>188</v>
      </c>
      <c r="K20894">
        <v>24.36</v>
      </c>
      <c r="L20894">
        <v>0.69</v>
      </c>
      <c r="M20894">
        <v>55222</v>
      </c>
      <c r="N20894" t="s">
        <v>43</v>
      </c>
      <c r="O20894">
        <v>250617</v>
      </c>
      <c r="P20894">
        <v>2.7</v>
      </c>
    </row>
    <row r="20895" spans="1:16" x14ac:dyDescent="0.25">
      <c r="A20895" t="s">
        <v>3296</v>
      </c>
      <c r="B20895" t="s">
        <v>2931</v>
      </c>
      <c r="C20895">
        <v>8599</v>
      </c>
      <c r="D20895" t="str">
        <f>"12523021548 "</f>
        <v xml:space="preserve">12523021548 </v>
      </c>
      <c r="E20895" t="s">
        <v>309</v>
      </c>
      <c r="F20895" t="s">
        <v>310</v>
      </c>
      <c r="G20895">
        <v>32.78</v>
      </c>
      <c r="H20895">
        <v>250531</v>
      </c>
      <c r="I20895">
        <v>4369</v>
      </c>
      <c r="J20895" t="s">
        <v>188</v>
      </c>
      <c r="K20895">
        <v>46.15</v>
      </c>
      <c r="L20895">
        <v>6.66</v>
      </c>
      <c r="M20895">
        <v>41126</v>
      </c>
      <c r="N20895" t="s">
        <v>94</v>
      </c>
      <c r="O20895">
        <v>250617</v>
      </c>
      <c r="P20895">
        <v>26.12</v>
      </c>
    </row>
    <row r="20896" spans="1:16" x14ac:dyDescent="0.25">
      <c r="A20896" t="s">
        <v>3296</v>
      </c>
      <c r="B20896" t="s">
        <v>2931</v>
      </c>
      <c r="C20896">
        <v>8599</v>
      </c>
      <c r="D20896" t="str">
        <f>"12523021548 "</f>
        <v xml:space="preserve">12523021548 </v>
      </c>
      <c r="E20896" t="s">
        <v>309</v>
      </c>
      <c r="F20896" t="s">
        <v>310</v>
      </c>
      <c r="G20896">
        <v>13.37</v>
      </c>
      <c r="H20896">
        <v>250531</v>
      </c>
      <c r="I20896">
        <v>4369</v>
      </c>
      <c r="J20896" t="s">
        <v>188</v>
      </c>
      <c r="K20896">
        <v>46.15</v>
      </c>
      <c r="L20896">
        <v>2.72</v>
      </c>
      <c r="M20896">
        <v>46222</v>
      </c>
      <c r="N20896" t="s">
        <v>101</v>
      </c>
      <c r="O20896">
        <v>250617</v>
      </c>
      <c r="P20896">
        <v>10.65</v>
      </c>
    </row>
    <row r="20897" spans="1:16" x14ac:dyDescent="0.25">
      <c r="A20897" t="s">
        <v>3296</v>
      </c>
      <c r="B20897" t="s">
        <v>2931</v>
      </c>
      <c r="C20897">
        <v>8602</v>
      </c>
      <c r="D20897" t="str">
        <f>"12523021540 "</f>
        <v xml:space="preserve">12523021540 </v>
      </c>
      <c r="E20897" t="s">
        <v>309</v>
      </c>
      <c r="F20897" t="s">
        <v>310</v>
      </c>
      <c r="G20897">
        <v>3.39</v>
      </c>
      <c r="H20897">
        <v>250531</v>
      </c>
      <c r="I20897">
        <v>4369</v>
      </c>
      <c r="J20897" t="s">
        <v>188</v>
      </c>
      <c r="K20897">
        <v>35.82</v>
      </c>
      <c r="L20897">
        <v>0.69</v>
      </c>
      <c r="M20897">
        <v>56522</v>
      </c>
      <c r="N20897" t="s">
        <v>68</v>
      </c>
      <c r="O20897">
        <v>250617</v>
      </c>
      <c r="P20897">
        <v>2.7</v>
      </c>
    </row>
    <row r="20898" spans="1:16" x14ac:dyDescent="0.25">
      <c r="A20898" t="s">
        <v>3296</v>
      </c>
      <c r="B20898" t="s">
        <v>2931</v>
      </c>
      <c r="C20898">
        <v>8602</v>
      </c>
      <c r="D20898" t="str">
        <f>"12523021540 "</f>
        <v xml:space="preserve">12523021540 </v>
      </c>
      <c r="E20898" t="s">
        <v>309</v>
      </c>
      <c r="F20898" t="s">
        <v>310</v>
      </c>
      <c r="G20898">
        <v>13.18</v>
      </c>
      <c r="H20898">
        <v>250531</v>
      </c>
      <c r="I20898">
        <v>4369</v>
      </c>
      <c r="J20898" t="s">
        <v>188</v>
      </c>
      <c r="K20898">
        <v>35.82</v>
      </c>
      <c r="L20898">
        <v>2.68</v>
      </c>
      <c r="M20898">
        <v>56524</v>
      </c>
      <c r="N20898" t="s">
        <v>69</v>
      </c>
      <c r="O20898">
        <v>250617</v>
      </c>
      <c r="P20898">
        <v>10.5</v>
      </c>
    </row>
    <row r="20899" spans="1:16" x14ac:dyDescent="0.25">
      <c r="A20899" t="s">
        <v>3296</v>
      </c>
      <c r="B20899" t="s">
        <v>2931</v>
      </c>
      <c r="C20899">
        <v>8602</v>
      </c>
      <c r="D20899" t="str">
        <f>"12523021540 "</f>
        <v xml:space="preserve">12523021540 </v>
      </c>
      <c r="E20899" t="s">
        <v>309</v>
      </c>
      <c r="F20899" t="s">
        <v>310</v>
      </c>
      <c r="G20899">
        <v>19.25</v>
      </c>
      <c r="H20899">
        <v>250531</v>
      </c>
      <c r="I20899">
        <v>4369</v>
      </c>
      <c r="J20899" t="s">
        <v>188</v>
      </c>
      <c r="K20899">
        <v>35.82</v>
      </c>
      <c r="L20899">
        <v>3.91</v>
      </c>
      <c r="M20899">
        <v>56528</v>
      </c>
      <c r="N20899" t="s">
        <v>70</v>
      </c>
      <c r="O20899">
        <v>250617</v>
      </c>
      <c r="P20899">
        <v>15.34</v>
      </c>
    </row>
    <row r="20900" spans="1:16" x14ac:dyDescent="0.25">
      <c r="A20900" t="s">
        <v>3296</v>
      </c>
      <c r="B20900" t="s">
        <v>2931</v>
      </c>
      <c r="C20900">
        <v>8603</v>
      </c>
      <c r="D20900" t="str">
        <f>"12523021541 "</f>
        <v xml:space="preserve">12523021541 </v>
      </c>
      <c r="E20900" t="s">
        <v>309</v>
      </c>
      <c r="F20900" t="s">
        <v>310</v>
      </c>
      <c r="G20900">
        <v>3.39</v>
      </c>
      <c r="H20900">
        <v>250531</v>
      </c>
      <c r="I20900">
        <v>4369</v>
      </c>
      <c r="J20900" t="s">
        <v>188</v>
      </c>
      <c r="K20900">
        <v>23.56</v>
      </c>
      <c r="L20900">
        <v>0</v>
      </c>
      <c r="M20900">
        <v>59702</v>
      </c>
      <c r="N20900" t="s">
        <v>45</v>
      </c>
      <c r="O20900">
        <v>250617</v>
      </c>
      <c r="P20900">
        <v>3.39</v>
      </c>
    </row>
    <row r="20901" spans="1:16" x14ac:dyDescent="0.25">
      <c r="A20901" t="s">
        <v>3296</v>
      </c>
      <c r="B20901" t="s">
        <v>2931</v>
      </c>
      <c r="C20901">
        <v>8603</v>
      </c>
      <c r="D20901" t="str">
        <f>"12523021541 "</f>
        <v xml:space="preserve">12523021541 </v>
      </c>
      <c r="E20901" t="s">
        <v>309</v>
      </c>
      <c r="F20901" t="s">
        <v>310</v>
      </c>
      <c r="G20901">
        <v>9.7899999999999991</v>
      </c>
      <c r="H20901">
        <v>250531</v>
      </c>
      <c r="I20901">
        <v>4369</v>
      </c>
      <c r="J20901" t="s">
        <v>188</v>
      </c>
      <c r="K20901">
        <v>23.56</v>
      </c>
      <c r="L20901">
        <v>1.99</v>
      </c>
      <c r="M20901">
        <v>59702</v>
      </c>
      <c r="N20901" t="s">
        <v>45</v>
      </c>
      <c r="O20901">
        <v>250617</v>
      </c>
      <c r="P20901">
        <v>7.8</v>
      </c>
    </row>
    <row r="20902" spans="1:16" x14ac:dyDescent="0.25">
      <c r="A20902" t="s">
        <v>3296</v>
      </c>
      <c r="B20902" t="s">
        <v>2931</v>
      </c>
      <c r="C20902">
        <v>8603</v>
      </c>
      <c r="D20902" t="str">
        <f>"12523021541 "</f>
        <v xml:space="preserve">12523021541 </v>
      </c>
      <c r="E20902" t="s">
        <v>309</v>
      </c>
      <c r="F20902" t="s">
        <v>310</v>
      </c>
      <c r="G20902">
        <v>10.38</v>
      </c>
      <c r="H20902">
        <v>250531</v>
      </c>
      <c r="I20902">
        <v>4369</v>
      </c>
      <c r="J20902" t="s">
        <v>188</v>
      </c>
      <c r="K20902">
        <v>23.56</v>
      </c>
      <c r="L20902">
        <v>2.11</v>
      </c>
      <c r="M20902">
        <v>59704</v>
      </c>
      <c r="N20902" t="s">
        <v>46</v>
      </c>
      <c r="O20902">
        <v>250617</v>
      </c>
      <c r="P20902">
        <v>8.27</v>
      </c>
    </row>
    <row r="20903" spans="1:16" x14ac:dyDescent="0.25">
      <c r="A20903" t="s">
        <v>3296</v>
      </c>
      <c r="B20903" t="s">
        <v>2931</v>
      </c>
      <c r="C20903">
        <v>8617</v>
      </c>
      <c r="D20903" t="str">
        <f>"12523021551 "</f>
        <v xml:space="preserve">12523021551 </v>
      </c>
      <c r="E20903" t="s">
        <v>309</v>
      </c>
      <c r="F20903" t="s">
        <v>310</v>
      </c>
      <c r="G20903">
        <v>17.71</v>
      </c>
      <c r="H20903">
        <v>250531</v>
      </c>
      <c r="I20903">
        <v>4369</v>
      </c>
      <c r="J20903" t="s">
        <v>188</v>
      </c>
      <c r="K20903">
        <v>31.55</v>
      </c>
      <c r="L20903">
        <v>3.6</v>
      </c>
      <c r="M20903">
        <v>46554</v>
      </c>
      <c r="N20903" t="s">
        <v>102</v>
      </c>
      <c r="O20903">
        <v>250617</v>
      </c>
      <c r="P20903">
        <v>14.11</v>
      </c>
    </row>
    <row r="20904" spans="1:16" x14ac:dyDescent="0.25">
      <c r="A20904" t="s">
        <v>3296</v>
      </c>
      <c r="B20904" t="s">
        <v>2931</v>
      </c>
      <c r="C20904">
        <v>8617</v>
      </c>
      <c r="D20904" t="str">
        <f>"12523021551 "</f>
        <v xml:space="preserve">12523021551 </v>
      </c>
      <c r="E20904" t="s">
        <v>309</v>
      </c>
      <c r="F20904" t="s">
        <v>310</v>
      </c>
      <c r="G20904">
        <v>13.84</v>
      </c>
      <c r="H20904">
        <v>250531</v>
      </c>
      <c r="I20904">
        <v>4369</v>
      </c>
      <c r="J20904" t="s">
        <v>188</v>
      </c>
      <c r="K20904">
        <v>31.55</v>
      </c>
      <c r="L20904">
        <v>2.81</v>
      </c>
      <c r="M20904">
        <v>46554</v>
      </c>
      <c r="N20904" t="s">
        <v>102</v>
      </c>
      <c r="O20904">
        <v>250617</v>
      </c>
      <c r="P20904">
        <v>11.03</v>
      </c>
    </row>
    <row r="20905" spans="1:16" x14ac:dyDescent="0.25">
      <c r="A20905" t="s">
        <v>3296</v>
      </c>
      <c r="B20905" t="s">
        <v>2931</v>
      </c>
      <c r="C20905">
        <v>8633</v>
      </c>
      <c r="D20905" t="str">
        <f>"105448481   "</f>
        <v xml:space="preserve">105448481   </v>
      </c>
      <c r="E20905" t="s">
        <v>309</v>
      </c>
      <c r="F20905" t="s">
        <v>310</v>
      </c>
      <c r="G20905">
        <v>85.65</v>
      </c>
      <c r="H20905">
        <v>250531</v>
      </c>
      <c r="I20905">
        <v>4369</v>
      </c>
      <c r="J20905" t="s">
        <v>188</v>
      </c>
      <c r="K20905">
        <v>85.65</v>
      </c>
      <c r="L20905">
        <v>17.399999999999999</v>
      </c>
      <c r="M20905">
        <v>11801</v>
      </c>
      <c r="N20905" t="s">
        <v>40</v>
      </c>
      <c r="O20905">
        <v>250617</v>
      </c>
      <c r="P20905">
        <v>68.25</v>
      </c>
    </row>
    <row r="20906" spans="1:16" x14ac:dyDescent="0.25">
      <c r="A20906" t="s">
        <v>3296</v>
      </c>
      <c r="B20906" t="s">
        <v>2931</v>
      </c>
      <c r="C20906">
        <v>8637</v>
      </c>
      <c r="D20906" t="str">
        <f>"12523021579 "</f>
        <v xml:space="preserve">12523021579 </v>
      </c>
      <c r="E20906" t="s">
        <v>309</v>
      </c>
      <c r="F20906" t="s">
        <v>310</v>
      </c>
      <c r="G20906">
        <v>54.4</v>
      </c>
      <c r="H20906">
        <v>250531</v>
      </c>
      <c r="I20906">
        <v>4369</v>
      </c>
      <c r="J20906" t="s">
        <v>188</v>
      </c>
      <c r="K20906">
        <v>54.4</v>
      </c>
      <c r="L20906">
        <v>11.05</v>
      </c>
      <c r="M20906">
        <v>10002</v>
      </c>
      <c r="N20906" t="s">
        <v>513</v>
      </c>
      <c r="O20906">
        <v>250617</v>
      </c>
      <c r="P20906">
        <v>43.35</v>
      </c>
    </row>
    <row r="20907" spans="1:16" x14ac:dyDescent="0.25">
      <c r="A20907" t="s">
        <v>3296</v>
      </c>
      <c r="B20907" t="s">
        <v>2931</v>
      </c>
      <c r="C20907">
        <v>8643</v>
      </c>
      <c r="D20907" t="str">
        <f>"12523021554 "</f>
        <v xml:space="preserve">12523021554 </v>
      </c>
      <c r="E20907" t="s">
        <v>309</v>
      </c>
      <c r="F20907" t="s">
        <v>310</v>
      </c>
      <c r="G20907">
        <v>6.79</v>
      </c>
      <c r="H20907">
        <v>250531</v>
      </c>
      <c r="I20907">
        <v>4369</v>
      </c>
      <c r="J20907" t="s">
        <v>188</v>
      </c>
      <c r="K20907">
        <v>6.79</v>
      </c>
      <c r="L20907">
        <v>1.38</v>
      </c>
      <c r="M20907">
        <v>46556</v>
      </c>
      <c r="N20907" t="s">
        <v>458</v>
      </c>
      <c r="O20907">
        <v>250617</v>
      </c>
      <c r="P20907">
        <v>5.41</v>
      </c>
    </row>
    <row r="20908" spans="1:16" x14ac:dyDescent="0.25">
      <c r="A20908" t="s">
        <v>3296</v>
      </c>
      <c r="B20908" t="s">
        <v>2931</v>
      </c>
      <c r="C20908">
        <v>8649</v>
      </c>
      <c r="D20908" t="str">
        <f>"12523021556 "</f>
        <v xml:space="preserve">12523021556 </v>
      </c>
      <c r="E20908" t="s">
        <v>309</v>
      </c>
      <c r="F20908" t="s">
        <v>310</v>
      </c>
      <c r="G20908">
        <v>6.78</v>
      </c>
      <c r="H20908">
        <v>250531</v>
      </c>
      <c r="I20908">
        <v>4369</v>
      </c>
      <c r="J20908" t="s">
        <v>188</v>
      </c>
      <c r="K20908">
        <v>6.78</v>
      </c>
      <c r="L20908">
        <v>1.38</v>
      </c>
      <c r="M20908">
        <v>49112</v>
      </c>
      <c r="N20908" t="s">
        <v>109</v>
      </c>
      <c r="O20908">
        <v>250617</v>
      </c>
      <c r="P20908">
        <v>5.4</v>
      </c>
    </row>
    <row r="20909" spans="1:16" x14ac:dyDescent="0.25">
      <c r="A20909" t="s">
        <v>3296</v>
      </c>
      <c r="B20909" t="s">
        <v>2931</v>
      </c>
      <c r="C20909">
        <v>8651</v>
      </c>
      <c r="D20909" t="str">
        <f>"12523021568 "</f>
        <v xml:space="preserve">12523021568 </v>
      </c>
      <c r="E20909" t="s">
        <v>309</v>
      </c>
      <c r="F20909" t="s">
        <v>310</v>
      </c>
      <c r="G20909">
        <v>3.39</v>
      </c>
      <c r="H20909">
        <v>250531</v>
      </c>
      <c r="I20909">
        <v>4369</v>
      </c>
      <c r="J20909" t="s">
        <v>188</v>
      </c>
      <c r="K20909">
        <v>10.17</v>
      </c>
      <c r="L20909">
        <v>0.69</v>
      </c>
      <c r="M20909">
        <v>11901</v>
      </c>
      <c r="N20909" t="s">
        <v>31</v>
      </c>
      <c r="O20909">
        <v>250617</v>
      </c>
      <c r="P20909">
        <v>2.7</v>
      </c>
    </row>
    <row r="20910" spans="1:16" x14ac:dyDescent="0.25">
      <c r="A20910" t="s">
        <v>3296</v>
      </c>
      <c r="B20910" t="s">
        <v>2931</v>
      </c>
      <c r="C20910">
        <v>8651</v>
      </c>
      <c r="D20910" t="str">
        <f>"12523021568 "</f>
        <v xml:space="preserve">12523021568 </v>
      </c>
      <c r="E20910" t="s">
        <v>309</v>
      </c>
      <c r="F20910" t="s">
        <v>310</v>
      </c>
      <c r="G20910">
        <v>3.39</v>
      </c>
      <c r="H20910">
        <v>250531</v>
      </c>
      <c r="I20910">
        <v>4369</v>
      </c>
      <c r="J20910" t="s">
        <v>188</v>
      </c>
      <c r="K20910">
        <v>10.17</v>
      </c>
      <c r="L20910">
        <v>0.69</v>
      </c>
      <c r="M20910">
        <v>11903</v>
      </c>
      <c r="N20910" t="s">
        <v>32</v>
      </c>
      <c r="O20910">
        <v>250617</v>
      </c>
      <c r="P20910">
        <v>2.7</v>
      </c>
    </row>
    <row r="20911" spans="1:16" x14ac:dyDescent="0.25">
      <c r="A20911" t="s">
        <v>3296</v>
      </c>
      <c r="B20911" t="s">
        <v>2931</v>
      </c>
      <c r="C20911">
        <v>8651</v>
      </c>
      <c r="D20911" t="str">
        <f>"12523021568 "</f>
        <v xml:space="preserve">12523021568 </v>
      </c>
      <c r="E20911" t="s">
        <v>309</v>
      </c>
      <c r="F20911" t="s">
        <v>310</v>
      </c>
      <c r="G20911">
        <v>3.39</v>
      </c>
      <c r="H20911">
        <v>250531</v>
      </c>
      <c r="I20911">
        <v>4369</v>
      </c>
      <c r="J20911" t="s">
        <v>188</v>
      </c>
      <c r="K20911">
        <v>10.17</v>
      </c>
      <c r="L20911">
        <v>0.69</v>
      </c>
      <c r="M20911">
        <v>11903</v>
      </c>
      <c r="N20911" t="s">
        <v>32</v>
      </c>
      <c r="O20911">
        <v>250617</v>
      </c>
      <c r="P20911">
        <v>2.7</v>
      </c>
    </row>
    <row r="20912" spans="1:16" x14ac:dyDescent="0.25">
      <c r="A20912" t="s">
        <v>3296</v>
      </c>
      <c r="B20912" t="s">
        <v>2931</v>
      </c>
      <c r="C20912">
        <v>8654</v>
      </c>
      <c r="D20912" t="str">
        <f>"12523021547 "</f>
        <v xml:space="preserve">12523021547 </v>
      </c>
      <c r="E20912" t="s">
        <v>309</v>
      </c>
      <c r="F20912" t="s">
        <v>310</v>
      </c>
      <c r="G20912">
        <v>27.48</v>
      </c>
      <c r="H20912">
        <v>250531</v>
      </c>
      <c r="I20912">
        <v>4369</v>
      </c>
      <c r="J20912" t="s">
        <v>188</v>
      </c>
      <c r="K20912">
        <v>27.48</v>
      </c>
      <c r="L20912">
        <v>5.58</v>
      </c>
      <c r="M20912">
        <v>49501</v>
      </c>
      <c r="N20912" t="s">
        <v>110</v>
      </c>
      <c r="O20912">
        <v>250617</v>
      </c>
      <c r="P20912">
        <v>21.9</v>
      </c>
    </row>
    <row r="20913" spans="1:16" x14ac:dyDescent="0.25">
      <c r="A20913" t="s">
        <v>3296</v>
      </c>
      <c r="B20913" t="s">
        <v>2931</v>
      </c>
      <c r="C20913">
        <v>8661</v>
      </c>
      <c r="D20913" t="str">
        <f>"12523021549 "</f>
        <v xml:space="preserve">12523021549 </v>
      </c>
      <c r="E20913" t="s">
        <v>309</v>
      </c>
      <c r="F20913" t="s">
        <v>310</v>
      </c>
      <c r="G20913">
        <v>6.78</v>
      </c>
      <c r="H20913">
        <v>250531</v>
      </c>
      <c r="I20913">
        <v>4369</v>
      </c>
      <c r="J20913" t="s">
        <v>188</v>
      </c>
      <c r="K20913">
        <v>13.55</v>
      </c>
      <c r="L20913">
        <v>1.38</v>
      </c>
      <c r="M20913">
        <v>49701</v>
      </c>
      <c r="N20913" t="s">
        <v>111</v>
      </c>
      <c r="O20913">
        <v>250617</v>
      </c>
      <c r="P20913">
        <v>5.4</v>
      </c>
    </row>
    <row r="20914" spans="1:16" x14ac:dyDescent="0.25">
      <c r="A20914" t="s">
        <v>3296</v>
      </c>
      <c r="B20914" t="s">
        <v>2931</v>
      </c>
      <c r="C20914">
        <v>8661</v>
      </c>
      <c r="D20914" t="str">
        <f>"12523021549 "</f>
        <v xml:space="preserve">12523021549 </v>
      </c>
      <c r="E20914" t="s">
        <v>309</v>
      </c>
      <c r="F20914" t="s">
        <v>310</v>
      </c>
      <c r="G20914">
        <v>6.77</v>
      </c>
      <c r="H20914">
        <v>250531</v>
      </c>
      <c r="I20914">
        <v>4369</v>
      </c>
      <c r="J20914" t="s">
        <v>188</v>
      </c>
      <c r="K20914">
        <v>13.55</v>
      </c>
      <c r="L20914">
        <v>1.38</v>
      </c>
      <c r="M20914">
        <v>49702</v>
      </c>
      <c r="N20914" t="s">
        <v>112</v>
      </c>
      <c r="O20914">
        <v>250617</v>
      </c>
      <c r="P20914">
        <v>5.39</v>
      </c>
    </row>
    <row r="20915" spans="1:16" x14ac:dyDescent="0.25">
      <c r="A20915" t="s">
        <v>3296</v>
      </c>
      <c r="B20915" t="s">
        <v>2931</v>
      </c>
      <c r="C20915">
        <v>8662</v>
      </c>
      <c r="D20915" t="str">
        <f t="shared" ref="D20915:D20924" si="403">"12523021562 "</f>
        <v xml:space="preserve">12523021562 </v>
      </c>
      <c r="E20915" t="s">
        <v>309</v>
      </c>
      <c r="F20915" t="s">
        <v>310</v>
      </c>
      <c r="G20915">
        <v>16.93</v>
      </c>
      <c r="H20915">
        <v>250531</v>
      </c>
      <c r="I20915">
        <v>4369</v>
      </c>
      <c r="J20915" t="s">
        <v>188</v>
      </c>
      <c r="K20915">
        <v>128.86000000000001</v>
      </c>
      <c r="L20915">
        <v>3.44</v>
      </c>
      <c r="M20915">
        <v>17131</v>
      </c>
      <c r="N20915" t="s">
        <v>154</v>
      </c>
      <c r="O20915">
        <v>250617</v>
      </c>
      <c r="P20915">
        <v>13.49</v>
      </c>
    </row>
    <row r="20916" spans="1:16" x14ac:dyDescent="0.25">
      <c r="A20916" t="s">
        <v>3296</v>
      </c>
      <c r="B20916" t="s">
        <v>2931</v>
      </c>
      <c r="C20916">
        <v>8662</v>
      </c>
      <c r="D20916" t="str">
        <f t="shared" si="403"/>
        <v xml:space="preserve">12523021562 </v>
      </c>
      <c r="E20916" t="s">
        <v>309</v>
      </c>
      <c r="F20916" t="s">
        <v>310</v>
      </c>
      <c r="G20916">
        <v>28.24</v>
      </c>
      <c r="H20916">
        <v>250531</v>
      </c>
      <c r="I20916">
        <v>4369</v>
      </c>
      <c r="J20916" t="s">
        <v>188</v>
      </c>
      <c r="K20916">
        <v>128.86000000000001</v>
      </c>
      <c r="L20916">
        <v>5.74</v>
      </c>
      <c r="M20916">
        <v>17711</v>
      </c>
      <c r="N20916" t="s">
        <v>155</v>
      </c>
      <c r="O20916">
        <v>250617</v>
      </c>
      <c r="P20916">
        <v>22.5</v>
      </c>
    </row>
    <row r="20917" spans="1:16" x14ac:dyDescent="0.25">
      <c r="A20917" t="s">
        <v>3296</v>
      </c>
      <c r="B20917" t="s">
        <v>2931</v>
      </c>
      <c r="C20917">
        <v>8662</v>
      </c>
      <c r="D20917" t="str">
        <f t="shared" si="403"/>
        <v xml:space="preserve">12523021562 </v>
      </c>
      <c r="E20917" t="s">
        <v>309</v>
      </c>
      <c r="F20917" t="s">
        <v>310</v>
      </c>
      <c r="G20917">
        <v>6.78</v>
      </c>
      <c r="H20917">
        <v>250531</v>
      </c>
      <c r="I20917">
        <v>4369</v>
      </c>
      <c r="J20917" t="s">
        <v>188</v>
      </c>
      <c r="K20917">
        <v>128.86000000000001</v>
      </c>
      <c r="L20917">
        <v>1.38</v>
      </c>
      <c r="M20917">
        <v>17737</v>
      </c>
      <c r="N20917" t="s">
        <v>156</v>
      </c>
      <c r="O20917">
        <v>250617</v>
      </c>
      <c r="P20917">
        <v>5.4</v>
      </c>
    </row>
    <row r="20918" spans="1:16" x14ac:dyDescent="0.25">
      <c r="A20918" t="s">
        <v>3296</v>
      </c>
      <c r="B20918" t="s">
        <v>2931</v>
      </c>
      <c r="C20918">
        <v>8662</v>
      </c>
      <c r="D20918" t="str">
        <f t="shared" si="403"/>
        <v xml:space="preserve">12523021562 </v>
      </c>
      <c r="E20918" t="s">
        <v>309</v>
      </c>
      <c r="F20918" t="s">
        <v>310</v>
      </c>
      <c r="G20918">
        <v>22.33</v>
      </c>
      <c r="H20918">
        <v>250531</v>
      </c>
      <c r="I20918">
        <v>4369</v>
      </c>
      <c r="J20918" t="s">
        <v>188</v>
      </c>
      <c r="K20918">
        <v>128.86000000000001</v>
      </c>
      <c r="L20918">
        <v>4.54</v>
      </c>
      <c r="M20918">
        <v>17737</v>
      </c>
      <c r="N20918" t="s">
        <v>156</v>
      </c>
      <c r="O20918">
        <v>250617</v>
      </c>
      <c r="P20918">
        <v>17.79</v>
      </c>
    </row>
    <row r="20919" spans="1:16" x14ac:dyDescent="0.25">
      <c r="A20919" t="s">
        <v>3296</v>
      </c>
      <c r="B20919" t="s">
        <v>2931</v>
      </c>
      <c r="C20919">
        <v>8662</v>
      </c>
      <c r="D20919" t="str">
        <f t="shared" si="403"/>
        <v xml:space="preserve">12523021562 </v>
      </c>
      <c r="E20919" t="s">
        <v>309</v>
      </c>
      <c r="F20919" t="s">
        <v>310</v>
      </c>
      <c r="G20919">
        <v>16.75</v>
      </c>
      <c r="H20919">
        <v>250531</v>
      </c>
      <c r="I20919">
        <v>4369</v>
      </c>
      <c r="J20919" t="s">
        <v>188</v>
      </c>
      <c r="K20919">
        <v>128.86000000000001</v>
      </c>
      <c r="L20919">
        <v>3.4</v>
      </c>
      <c r="M20919">
        <v>17737</v>
      </c>
      <c r="N20919" t="s">
        <v>156</v>
      </c>
      <c r="O20919">
        <v>250617</v>
      </c>
      <c r="P20919">
        <v>13.35</v>
      </c>
    </row>
    <row r="20920" spans="1:16" x14ac:dyDescent="0.25">
      <c r="A20920" t="s">
        <v>3296</v>
      </c>
      <c r="B20920" t="s">
        <v>2931</v>
      </c>
      <c r="C20920">
        <v>8662</v>
      </c>
      <c r="D20920" t="str">
        <f t="shared" si="403"/>
        <v xml:space="preserve">12523021562 </v>
      </c>
      <c r="E20920" t="s">
        <v>309</v>
      </c>
      <c r="F20920" t="s">
        <v>310</v>
      </c>
      <c r="G20920">
        <v>3.39</v>
      </c>
      <c r="H20920">
        <v>250531</v>
      </c>
      <c r="I20920">
        <v>4369</v>
      </c>
      <c r="J20920" t="s">
        <v>188</v>
      </c>
      <c r="K20920">
        <v>128.86000000000001</v>
      </c>
      <c r="L20920">
        <v>0.69</v>
      </c>
      <c r="M20920">
        <v>17912</v>
      </c>
      <c r="N20920" t="s">
        <v>505</v>
      </c>
      <c r="O20920">
        <v>250617</v>
      </c>
      <c r="P20920">
        <v>2.7</v>
      </c>
    </row>
    <row r="20921" spans="1:16" x14ac:dyDescent="0.25">
      <c r="A20921" t="s">
        <v>3296</v>
      </c>
      <c r="B20921" t="s">
        <v>2931</v>
      </c>
      <c r="C20921">
        <v>8662</v>
      </c>
      <c r="D20921" t="str">
        <f t="shared" si="403"/>
        <v xml:space="preserve">12523021562 </v>
      </c>
      <c r="E20921" t="s">
        <v>309</v>
      </c>
      <c r="F20921" t="s">
        <v>310</v>
      </c>
      <c r="G20921">
        <v>3.39</v>
      </c>
      <c r="H20921">
        <v>250531</v>
      </c>
      <c r="I20921">
        <v>4369</v>
      </c>
      <c r="J20921" t="s">
        <v>188</v>
      </c>
      <c r="K20921">
        <v>128.86000000000001</v>
      </c>
      <c r="L20921">
        <v>0.69</v>
      </c>
      <c r="M20921">
        <v>17915</v>
      </c>
      <c r="N20921" t="s">
        <v>305</v>
      </c>
      <c r="O20921">
        <v>250617</v>
      </c>
      <c r="P20921">
        <v>2.7</v>
      </c>
    </row>
    <row r="20922" spans="1:16" x14ac:dyDescent="0.25">
      <c r="A20922" t="s">
        <v>3296</v>
      </c>
      <c r="B20922" t="s">
        <v>2931</v>
      </c>
      <c r="C20922">
        <v>8662</v>
      </c>
      <c r="D20922" t="str">
        <f t="shared" si="403"/>
        <v xml:space="preserve">12523021562 </v>
      </c>
      <c r="E20922" t="s">
        <v>309</v>
      </c>
      <c r="F20922" t="s">
        <v>310</v>
      </c>
      <c r="G20922">
        <v>13.69</v>
      </c>
      <c r="H20922">
        <v>250531</v>
      </c>
      <c r="I20922">
        <v>4369</v>
      </c>
      <c r="J20922" t="s">
        <v>188</v>
      </c>
      <c r="K20922">
        <v>128.86000000000001</v>
      </c>
      <c r="L20922">
        <v>2.78</v>
      </c>
      <c r="M20922">
        <v>17952</v>
      </c>
      <c r="N20922" t="s">
        <v>157</v>
      </c>
      <c r="O20922">
        <v>250617</v>
      </c>
      <c r="P20922">
        <v>10.91</v>
      </c>
    </row>
    <row r="20923" spans="1:16" x14ac:dyDescent="0.25">
      <c r="A20923" t="s">
        <v>3296</v>
      </c>
      <c r="B20923" t="s">
        <v>2931</v>
      </c>
      <c r="C20923">
        <v>8662</v>
      </c>
      <c r="D20923" t="str">
        <f t="shared" si="403"/>
        <v xml:space="preserve">12523021562 </v>
      </c>
      <c r="E20923" t="s">
        <v>309</v>
      </c>
      <c r="F20923" t="s">
        <v>310</v>
      </c>
      <c r="G20923">
        <v>10.38</v>
      </c>
      <c r="H20923">
        <v>250531</v>
      </c>
      <c r="I20923">
        <v>4369</v>
      </c>
      <c r="J20923" t="s">
        <v>188</v>
      </c>
      <c r="K20923">
        <v>128.86000000000001</v>
      </c>
      <c r="L20923">
        <v>2.11</v>
      </c>
      <c r="M20923">
        <v>17971</v>
      </c>
      <c r="N20923" t="s">
        <v>27</v>
      </c>
      <c r="O20923">
        <v>250617</v>
      </c>
      <c r="P20923">
        <v>8.27</v>
      </c>
    </row>
    <row r="20924" spans="1:16" x14ac:dyDescent="0.25">
      <c r="A20924" t="s">
        <v>3296</v>
      </c>
      <c r="B20924" t="s">
        <v>2931</v>
      </c>
      <c r="C20924">
        <v>8662</v>
      </c>
      <c r="D20924" t="str">
        <f t="shared" si="403"/>
        <v xml:space="preserve">12523021562 </v>
      </c>
      <c r="E20924" t="s">
        <v>309</v>
      </c>
      <c r="F20924" t="s">
        <v>310</v>
      </c>
      <c r="G20924">
        <v>6.98</v>
      </c>
      <c r="H20924">
        <v>250531</v>
      </c>
      <c r="I20924">
        <v>4369</v>
      </c>
      <c r="J20924" t="s">
        <v>188</v>
      </c>
      <c r="K20924">
        <v>128.86000000000001</v>
      </c>
      <c r="L20924">
        <v>1.42</v>
      </c>
      <c r="M20924">
        <v>17972</v>
      </c>
      <c r="N20924" t="s">
        <v>28</v>
      </c>
      <c r="O20924">
        <v>250617</v>
      </c>
      <c r="P20924">
        <v>5.56</v>
      </c>
    </row>
    <row r="20925" spans="1:16" x14ac:dyDescent="0.25">
      <c r="A20925" t="s">
        <v>3296</v>
      </c>
      <c r="B20925" t="s">
        <v>2931</v>
      </c>
      <c r="C20925">
        <v>8665</v>
      </c>
      <c r="D20925" t="str">
        <f>"12523021557 "</f>
        <v xml:space="preserve">12523021557 </v>
      </c>
      <c r="E20925" t="s">
        <v>309</v>
      </c>
      <c r="F20925" t="s">
        <v>310</v>
      </c>
      <c r="G20925">
        <v>13.55</v>
      </c>
      <c r="H20925">
        <v>250531</v>
      </c>
      <c r="I20925">
        <v>4369</v>
      </c>
      <c r="J20925" t="s">
        <v>188</v>
      </c>
      <c r="K20925">
        <v>16.989999999999998</v>
      </c>
      <c r="L20925">
        <v>2.75</v>
      </c>
      <c r="M20925">
        <v>46555</v>
      </c>
      <c r="N20925" t="s">
        <v>103</v>
      </c>
      <c r="O20925">
        <v>250617</v>
      </c>
      <c r="P20925">
        <v>10.8</v>
      </c>
    </row>
    <row r="20926" spans="1:16" x14ac:dyDescent="0.25">
      <c r="A20926" t="s">
        <v>3296</v>
      </c>
      <c r="B20926" t="s">
        <v>2931</v>
      </c>
      <c r="C20926">
        <v>8665</v>
      </c>
      <c r="D20926" t="str">
        <f>"12523021557 "</f>
        <v xml:space="preserve">12523021557 </v>
      </c>
      <c r="E20926" t="s">
        <v>309</v>
      </c>
      <c r="F20926" t="s">
        <v>310</v>
      </c>
      <c r="G20926">
        <v>3.44</v>
      </c>
      <c r="H20926">
        <v>250531</v>
      </c>
      <c r="I20926">
        <v>4369</v>
      </c>
      <c r="J20926" t="s">
        <v>188</v>
      </c>
      <c r="K20926">
        <v>16.989999999999998</v>
      </c>
      <c r="L20926">
        <v>0.7</v>
      </c>
      <c r="M20926">
        <v>48601</v>
      </c>
      <c r="N20926" t="s">
        <v>107</v>
      </c>
      <c r="O20926">
        <v>250617</v>
      </c>
      <c r="P20926">
        <v>2.74</v>
      </c>
    </row>
    <row r="20927" spans="1:16" x14ac:dyDescent="0.25">
      <c r="A20927" t="s">
        <v>3296</v>
      </c>
      <c r="B20927" t="s">
        <v>2931</v>
      </c>
      <c r="C20927">
        <v>8668</v>
      </c>
      <c r="D20927" t="str">
        <f>"12523021550 "</f>
        <v xml:space="preserve">12523021550 </v>
      </c>
      <c r="E20927" t="s">
        <v>309</v>
      </c>
      <c r="F20927" t="s">
        <v>310</v>
      </c>
      <c r="G20927">
        <v>16.940000000000001</v>
      </c>
      <c r="H20927">
        <v>250531</v>
      </c>
      <c r="I20927">
        <v>4369</v>
      </c>
      <c r="J20927" t="s">
        <v>188</v>
      </c>
      <c r="K20927">
        <v>20.329999999999998</v>
      </c>
      <c r="L20927">
        <v>3.44</v>
      </c>
      <c r="M20927">
        <v>47522</v>
      </c>
      <c r="N20927" t="s">
        <v>106</v>
      </c>
      <c r="O20927">
        <v>250617</v>
      </c>
      <c r="P20927">
        <v>13.5</v>
      </c>
    </row>
    <row r="20928" spans="1:16" x14ac:dyDescent="0.25">
      <c r="A20928" t="s">
        <v>3296</v>
      </c>
      <c r="B20928" t="s">
        <v>2931</v>
      </c>
      <c r="C20928">
        <v>8668</v>
      </c>
      <c r="D20928" t="str">
        <f>"12523021550 "</f>
        <v xml:space="preserve">12523021550 </v>
      </c>
      <c r="E20928" t="s">
        <v>309</v>
      </c>
      <c r="F20928" t="s">
        <v>310</v>
      </c>
      <c r="G20928">
        <v>3.39</v>
      </c>
      <c r="H20928">
        <v>250531</v>
      </c>
      <c r="I20928">
        <v>4369</v>
      </c>
      <c r="J20928" t="s">
        <v>188</v>
      </c>
      <c r="K20928">
        <v>20.329999999999998</v>
      </c>
      <c r="L20928">
        <v>0.69</v>
      </c>
      <c r="M20928">
        <v>49702</v>
      </c>
      <c r="N20928" t="s">
        <v>112</v>
      </c>
      <c r="O20928">
        <v>250617</v>
      </c>
      <c r="P20928">
        <v>2.7</v>
      </c>
    </row>
    <row r="20929" spans="1:16" x14ac:dyDescent="0.25">
      <c r="A20929" t="s">
        <v>3296</v>
      </c>
      <c r="B20929" t="s">
        <v>2931</v>
      </c>
      <c r="C20929">
        <v>8676</v>
      </c>
      <c r="D20929" t="str">
        <f>"12523021555 "</f>
        <v xml:space="preserve">12523021555 </v>
      </c>
      <c r="E20929" t="s">
        <v>309</v>
      </c>
      <c r="F20929" t="s">
        <v>310</v>
      </c>
      <c r="G20929">
        <v>7.15</v>
      </c>
      <c r="H20929">
        <v>250531</v>
      </c>
      <c r="I20929">
        <v>4369</v>
      </c>
      <c r="J20929" t="s">
        <v>188</v>
      </c>
      <c r="K20929">
        <v>43.86</v>
      </c>
      <c r="L20929">
        <v>1.45</v>
      </c>
      <c r="M20929">
        <v>44222</v>
      </c>
      <c r="N20929" t="s">
        <v>96</v>
      </c>
      <c r="O20929">
        <v>250617</v>
      </c>
      <c r="P20929">
        <v>5.7</v>
      </c>
    </row>
    <row r="20930" spans="1:16" x14ac:dyDescent="0.25">
      <c r="A20930" t="s">
        <v>3296</v>
      </c>
      <c r="B20930" t="s">
        <v>2931</v>
      </c>
      <c r="C20930">
        <v>8676</v>
      </c>
      <c r="D20930" t="str">
        <f>"12523021555 "</f>
        <v xml:space="preserve">12523021555 </v>
      </c>
      <c r="E20930" t="s">
        <v>309</v>
      </c>
      <c r="F20930" t="s">
        <v>310</v>
      </c>
      <c r="G20930">
        <v>23.53</v>
      </c>
      <c r="H20930">
        <v>250531</v>
      </c>
      <c r="I20930">
        <v>4369</v>
      </c>
      <c r="J20930" t="s">
        <v>188</v>
      </c>
      <c r="K20930">
        <v>43.86</v>
      </c>
      <c r="L20930">
        <v>4.78</v>
      </c>
      <c r="M20930">
        <v>44222</v>
      </c>
      <c r="N20930" t="s">
        <v>96</v>
      </c>
      <c r="O20930">
        <v>250617</v>
      </c>
      <c r="P20930">
        <v>18.75</v>
      </c>
    </row>
    <row r="20931" spans="1:16" x14ac:dyDescent="0.25">
      <c r="A20931" t="s">
        <v>3296</v>
      </c>
      <c r="B20931" t="s">
        <v>2931</v>
      </c>
      <c r="C20931">
        <v>8676</v>
      </c>
      <c r="D20931" t="str">
        <f>"12523021555 "</f>
        <v xml:space="preserve">12523021555 </v>
      </c>
      <c r="E20931" t="s">
        <v>309</v>
      </c>
      <c r="F20931" t="s">
        <v>310</v>
      </c>
      <c r="G20931">
        <v>3.39</v>
      </c>
      <c r="H20931">
        <v>250531</v>
      </c>
      <c r="I20931">
        <v>4369</v>
      </c>
      <c r="J20931" t="s">
        <v>188</v>
      </c>
      <c r="K20931">
        <v>43.86</v>
      </c>
      <c r="L20931">
        <v>0.69</v>
      </c>
      <c r="M20931">
        <v>44251</v>
      </c>
      <c r="N20931" t="s">
        <v>215</v>
      </c>
      <c r="O20931">
        <v>250617</v>
      </c>
      <c r="P20931">
        <v>2.7</v>
      </c>
    </row>
    <row r="20932" spans="1:16" x14ac:dyDescent="0.25">
      <c r="A20932" t="s">
        <v>3296</v>
      </c>
      <c r="B20932" t="s">
        <v>2931</v>
      </c>
      <c r="C20932">
        <v>8676</v>
      </c>
      <c r="D20932" t="str">
        <f>"12523021555 "</f>
        <v xml:space="preserve">12523021555 </v>
      </c>
      <c r="E20932" t="s">
        <v>309</v>
      </c>
      <c r="F20932" t="s">
        <v>310</v>
      </c>
      <c r="G20932">
        <v>3.2</v>
      </c>
      <c r="H20932">
        <v>250531</v>
      </c>
      <c r="I20932">
        <v>4369</v>
      </c>
      <c r="J20932" t="s">
        <v>188</v>
      </c>
      <c r="K20932">
        <v>43.86</v>
      </c>
      <c r="L20932">
        <v>0.65</v>
      </c>
      <c r="M20932">
        <v>44253</v>
      </c>
      <c r="N20932" t="s">
        <v>403</v>
      </c>
      <c r="O20932">
        <v>250617</v>
      </c>
      <c r="P20932">
        <v>2.5499999999999998</v>
      </c>
    </row>
    <row r="20933" spans="1:16" x14ac:dyDescent="0.25">
      <c r="A20933" t="s">
        <v>3296</v>
      </c>
      <c r="B20933" t="s">
        <v>2931</v>
      </c>
      <c r="C20933">
        <v>8676</v>
      </c>
      <c r="D20933" t="str">
        <f>"12523021555 "</f>
        <v xml:space="preserve">12523021555 </v>
      </c>
      <c r="E20933" t="s">
        <v>309</v>
      </c>
      <c r="F20933" t="s">
        <v>310</v>
      </c>
      <c r="G20933">
        <v>6.59</v>
      </c>
      <c r="H20933">
        <v>250531</v>
      </c>
      <c r="I20933">
        <v>4369</v>
      </c>
      <c r="J20933" t="s">
        <v>188</v>
      </c>
      <c r="K20933">
        <v>43.86</v>
      </c>
      <c r="L20933">
        <v>0</v>
      </c>
      <c r="M20933">
        <v>49702</v>
      </c>
      <c r="N20933" t="s">
        <v>112</v>
      </c>
      <c r="O20933">
        <v>250617</v>
      </c>
      <c r="P20933">
        <v>6.59</v>
      </c>
    </row>
    <row r="20934" spans="1:16" x14ac:dyDescent="0.25">
      <c r="A20934" t="s">
        <v>3296</v>
      </c>
      <c r="B20934" t="s">
        <v>2931</v>
      </c>
      <c r="C20934">
        <v>8701</v>
      </c>
      <c r="D20934" t="str">
        <f t="shared" ref="D20934:D20943" si="404">"12523021561 "</f>
        <v xml:space="preserve">12523021561 </v>
      </c>
      <c r="E20934" t="s">
        <v>309</v>
      </c>
      <c r="F20934" t="s">
        <v>310</v>
      </c>
      <c r="G20934">
        <v>6.59</v>
      </c>
      <c r="H20934">
        <v>250531</v>
      </c>
      <c r="I20934">
        <v>4369</v>
      </c>
      <c r="J20934" t="s">
        <v>188</v>
      </c>
      <c r="K20934">
        <v>100.26</v>
      </c>
      <c r="L20934">
        <v>1.34</v>
      </c>
      <c r="M20934">
        <v>16321</v>
      </c>
      <c r="N20934" t="s">
        <v>16</v>
      </c>
      <c r="O20934">
        <v>250617</v>
      </c>
      <c r="P20934">
        <v>5.25</v>
      </c>
    </row>
    <row r="20935" spans="1:16" x14ac:dyDescent="0.25">
      <c r="A20935" t="s">
        <v>3296</v>
      </c>
      <c r="B20935" t="s">
        <v>2931</v>
      </c>
      <c r="C20935">
        <v>8701</v>
      </c>
      <c r="D20935" t="str">
        <f t="shared" si="404"/>
        <v xml:space="preserve">12523021561 </v>
      </c>
      <c r="E20935" t="s">
        <v>309</v>
      </c>
      <c r="F20935" t="s">
        <v>310</v>
      </c>
      <c r="G20935">
        <v>10.17</v>
      </c>
      <c r="H20935">
        <v>250531</v>
      </c>
      <c r="I20935">
        <v>4369</v>
      </c>
      <c r="J20935" t="s">
        <v>188</v>
      </c>
      <c r="K20935">
        <v>100.26</v>
      </c>
      <c r="L20935">
        <v>2.0699999999999998</v>
      </c>
      <c r="M20935">
        <v>16431</v>
      </c>
      <c r="N20935" t="s">
        <v>17</v>
      </c>
      <c r="O20935">
        <v>250617</v>
      </c>
      <c r="P20935">
        <v>8.1</v>
      </c>
    </row>
    <row r="20936" spans="1:16" x14ac:dyDescent="0.25">
      <c r="A20936" t="s">
        <v>3296</v>
      </c>
      <c r="B20936" t="s">
        <v>2931</v>
      </c>
      <c r="C20936">
        <v>8701</v>
      </c>
      <c r="D20936" t="str">
        <f t="shared" si="404"/>
        <v xml:space="preserve">12523021561 </v>
      </c>
      <c r="E20936" t="s">
        <v>309</v>
      </c>
      <c r="F20936" t="s">
        <v>310</v>
      </c>
      <c r="G20936">
        <v>16.649999999999999</v>
      </c>
      <c r="H20936">
        <v>250531</v>
      </c>
      <c r="I20936">
        <v>4369</v>
      </c>
      <c r="J20936" t="s">
        <v>188</v>
      </c>
      <c r="K20936">
        <v>100.26</v>
      </c>
      <c r="L20936">
        <v>3.38</v>
      </c>
      <c r="M20936">
        <v>17802</v>
      </c>
      <c r="N20936" t="s">
        <v>18</v>
      </c>
      <c r="O20936">
        <v>250617</v>
      </c>
      <c r="P20936">
        <v>13.27</v>
      </c>
    </row>
    <row r="20937" spans="1:16" x14ac:dyDescent="0.25">
      <c r="A20937" t="s">
        <v>3296</v>
      </c>
      <c r="B20937" t="s">
        <v>2931</v>
      </c>
      <c r="C20937">
        <v>8701</v>
      </c>
      <c r="D20937" t="str">
        <f t="shared" si="404"/>
        <v xml:space="preserve">12523021561 </v>
      </c>
      <c r="E20937" t="s">
        <v>309</v>
      </c>
      <c r="F20937" t="s">
        <v>310</v>
      </c>
      <c r="G20937">
        <v>10.14</v>
      </c>
      <c r="H20937">
        <v>250531</v>
      </c>
      <c r="I20937">
        <v>4369</v>
      </c>
      <c r="J20937" t="s">
        <v>188</v>
      </c>
      <c r="K20937">
        <v>100.26</v>
      </c>
      <c r="L20937">
        <v>2.06</v>
      </c>
      <c r="M20937">
        <v>17803</v>
      </c>
      <c r="N20937" t="s">
        <v>19</v>
      </c>
      <c r="O20937">
        <v>250617</v>
      </c>
      <c r="P20937">
        <v>8.08</v>
      </c>
    </row>
    <row r="20938" spans="1:16" x14ac:dyDescent="0.25">
      <c r="A20938" t="s">
        <v>3296</v>
      </c>
      <c r="B20938" t="s">
        <v>2931</v>
      </c>
      <c r="C20938">
        <v>8701</v>
      </c>
      <c r="D20938" t="str">
        <f t="shared" si="404"/>
        <v xml:space="preserve">12523021561 </v>
      </c>
      <c r="E20938" t="s">
        <v>309</v>
      </c>
      <c r="F20938" t="s">
        <v>310</v>
      </c>
      <c r="G20938">
        <v>3.39</v>
      </c>
      <c r="H20938">
        <v>250531</v>
      </c>
      <c r="I20938">
        <v>4369</v>
      </c>
      <c r="J20938" t="s">
        <v>188</v>
      </c>
      <c r="K20938">
        <v>100.26</v>
      </c>
      <c r="L20938">
        <v>0.69</v>
      </c>
      <c r="M20938">
        <v>17804</v>
      </c>
      <c r="N20938" t="s">
        <v>20</v>
      </c>
      <c r="O20938">
        <v>250617</v>
      </c>
      <c r="P20938">
        <v>2.7</v>
      </c>
    </row>
    <row r="20939" spans="1:16" x14ac:dyDescent="0.25">
      <c r="A20939" t="s">
        <v>3296</v>
      </c>
      <c r="B20939" t="s">
        <v>2931</v>
      </c>
      <c r="C20939">
        <v>8701</v>
      </c>
      <c r="D20939" t="str">
        <f t="shared" si="404"/>
        <v xml:space="preserve">12523021561 </v>
      </c>
      <c r="E20939" t="s">
        <v>309</v>
      </c>
      <c r="F20939" t="s">
        <v>310</v>
      </c>
      <c r="G20939">
        <v>3.39</v>
      </c>
      <c r="H20939">
        <v>250531</v>
      </c>
      <c r="I20939">
        <v>4369</v>
      </c>
      <c r="J20939" t="s">
        <v>188</v>
      </c>
      <c r="K20939">
        <v>100.26</v>
      </c>
      <c r="L20939">
        <v>0.69</v>
      </c>
      <c r="M20939">
        <v>17805</v>
      </c>
      <c r="N20939" t="s">
        <v>21</v>
      </c>
      <c r="O20939">
        <v>250617</v>
      </c>
      <c r="P20939">
        <v>2.7</v>
      </c>
    </row>
    <row r="20940" spans="1:16" x14ac:dyDescent="0.25">
      <c r="A20940" t="s">
        <v>3296</v>
      </c>
      <c r="B20940" t="s">
        <v>2931</v>
      </c>
      <c r="C20940">
        <v>8701</v>
      </c>
      <c r="D20940" t="str">
        <f t="shared" si="404"/>
        <v xml:space="preserve">12523021561 </v>
      </c>
      <c r="E20940" t="s">
        <v>309</v>
      </c>
      <c r="F20940" t="s">
        <v>310</v>
      </c>
      <c r="G20940">
        <v>6.78</v>
      </c>
      <c r="H20940">
        <v>250531</v>
      </c>
      <c r="I20940">
        <v>4369</v>
      </c>
      <c r="J20940" t="s">
        <v>188</v>
      </c>
      <c r="K20940">
        <v>100.26</v>
      </c>
      <c r="L20940">
        <v>1.38</v>
      </c>
      <c r="M20940">
        <v>17806</v>
      </c>
      <c r="N20940" t="s">
        <v>22</v>
      </c>
      <c r="O20940">
        <v>250617</v>
      </c>
      <c r="P20940">
        <v>5.4</v>
      </c>
    </row>
    <row r="20941" spans="1:16" x14ac:dyDescent="0.25">
      <c r="A20941" t="s">
        <v>3296</v>
      </c>
      <c r="B20941" t="s">
        <v>2931</v>
      </c>
      <c r="C20941">
        <v>8701</v>
      </c>
      <c r="D20941" t="str">
        <f t="shared" si="404"/>
        <v xml:space="preserve">12523021561 </v>
      </c>
      <c r="E20941" t="s">
        <v>309</v>
      </c>
      <c r="F20941" t="s">
        <v>310</v>
      </c>
      <c r="G20941">
        <v>23.53</v>
      </c>
      <c r="H20941">
        <v>250531</v>
      </c>
      <c r="I20941">
        <v>4369</v>
      </c>
      <c r="J20941" t="s">
        <v>188</v>
      </c>
      <c r="K20941">
        <v>100.26</v>
      </c>
      <c r="L20941">
        <v>4.78</v>
      </c>
      <c r="M20941">
        <v>17807</v>
      </c>
      <c r="N20941" t="s">
        <v>23</v>
      </c>
      <c r="O20941">
        <v>250617</v>
      </c>
      <c r="P20941">
        <v>18.75</v>
      </c>
    </row>
    <row r="20942" spans="1:16" x14ac:dyDescent="0.25">
      <c r="A20942" t="s">
        <v>3296</v>
      </c>
      <c r="B20942" t="s">
        <v>2931</v>
      </c>
      <c r="C20942">
        <v>8701</v>
      </c>
      <c r="D20942" t="str">
        <f t="shared" si="404"/>
        <v xml:space="preserve">12523021561 </v>
      </c>
      <c r="E20942" t="s">
        <v>309</v>
      </c>
      <c r="F20942" t="s">
        <v>310</v>
      </c>
      <c r="G20942">
        <v>10.17</v>
      </c>
      <c r="H20942">
        <v>250531</v>
      </c>
      <c r="I20942">
        <v>4369</v>
      </c>
      <c r="J20942" t="s">
        <v>188</v>
      </c>
      <c r="K20942">
        <v>100.26</v>
      </c>
      <c r="L20942">
        <v>2.0699999999999998</v>
      </c>
      <c r="M20942">
        <v>17808</v>
      </c>
      <c r="N20942" t="s">
        <v>24</v>
      </c>
      <c r="O20942">
        <v>250617</v>
      </c>
      <c r="P20942">
        <v>8.1</v>
      </c>
    </row>
    <row r="20943" spans="1:16" x14ac:dyDescent="0.25">
      <c r="A20943" t="s">
        <v>3296</v>
      </c>
      <c r="B20943" t="s">
        <v>2931</v>
      </c>
      <c r="C20943">
        <v>8701</v>
      </c>
      <c r="D20943" t="str">
        <f t="shared" si="404"/>
        <v xml:space="preserve">12523021561 </v>
      </c>
      <c r="E20943" t="s">
        <v>309</v>
      </c>
      <c r="F20943" t="s">
        <v>310</v>
      </c>
      <c r="G20943">
        <v>9.4499999999999993</v>
      </c>
      <c r="H20943">
        <v>250531</v>
      </c>
      <c r="I20943">
        <v>4369</v>
      </c>
      <c r="J20943" t="s">
        <v>188</v>
      </c>
      <c r="K20943">
        <v>100.26</v>
      </c>
      <c r="L20943">
        <v>1.92</v>
      </c>
      <c r="M20943">
        <v>17809</v>
      </c>
      <c r="N20943" t="s">
        <v>25</v>
      </c>
      <c r="O20943">
        <v>250617</v>
      </c>
      <c r="P20943">
        <v>7.53</v>
      </c>
    </row>
    <row r="20944" spans="1:16" x14ac:dyDescent="0.25">
      <c r="A20944" t="s">
        <v>3296</v>
      </c>
      <c r="B20944" t="s">
        <v>2931</v>
      </c>
      <c r="C20944">
        <v>8707</v>
      </c>
      <c r="D20944" t="str">
        <f>"12523021571 "</f>
        <v xml:space="preserve">12523021571 </v>
      </c>
      <c r="E20944" t="s">
        <v>309</v>
      </c>
      <c r="F20944" t="s">
        <v>310</v>
      </c>
      <c r="G20944">
        <v>6.59</v>
      </c>
      <c r="H20944">
        <v>250531</v>
      </c>
      <c r="I20944">
        <v>4369</v>
      </c>
      <c r="J20944" t="s">
        <v>188</v>
      </c>
      <c r="K20944">
        <v>27.23</v>
      </c>
      <c r="L20944">
        <v>1.34</v>
      </c>
      <c r="M20944">
        <v>11101</v>
      </c>
      <c r="N20944" t="s">
        <v>67</v>
      </c>
      <c r="O20944">
        <v>250617</v>
      </c>
      <c r="P20944">
        <v>5.25</v>
      </c>
    </row>
    <row r="20945" spans="1:16" x14ac:dyDescent="0.25">
      <c r="A20945" t="s">
        <v>3296</v>
      </c>
      <c r="B20945" t="s">
        <v>2931</v>
      </c>
      <c r="C20945">
        <v>8707</v>
      </c>
      <c r="D20945" t="str">
        <f>"12523021571 "</f>
        <v xml:space="preserve">12523021571 </v>
      </c>
      <c r="E20945" t="s">
        <v>309</v>
      </c>
      <c r="F20945" t="s">
        <v>310</v>
      </c>
      <c r="G20945">
        <v>17.25</v>
      </c>
      <c r="H20945">
        <v>250531</v>
      </c>
      <c r="I20945">
        <v>4369</v>
      </c>
      <c r="J20945" t="s">
        <v>188</v>
      </c>
      <c r="K20945">
        <v>27.23</v>
      </c>
      <c r="L20945">
        <v>3.5</v>
      </c>
      <c r="M20945">
        <v>11101</v>
      </c>
      <c r="N20945" t="s">
        <v>67</v>
      </c>
      <c r="O20945">
        <v>250617</v>
      </c>
      <c r="P20945">
        <v>13.75</v>
      </c>
    </row>
    <row r="20946" spans="1:16" x14ac:dyDescent="0.25">
      <c r="A20946" t="s">
        <v>3296</v>
      </c>
      <c r="B20946" t="s">
        <v>2931</v>
      </c>
      <c r="C20946">
        <v>8707</v>
      </c>
      <c r="D20946" t="str">
        <f>"12523021571 "</f>
        <v xml:space="preserve">12523021571 </v>
      </c>
      <c r="E20946" t="s">
        <v>309</v>
      </c>
      <c r="F20946" t="s">
        <v>310</v>
      </c>
      <c r="G20946">
        <v>3.39</v>
      </c>
      <c r="H20946">
        <v>250531</v>
      </c>
      <c r="I20946">
        <v>4369</v>
      </c>
      <c r="J20946" t="s">
        <v>188</v>
      </c>
      <c r="K20946">
        <v>27.23</v>
      </c>
      <c r="L20946">
        <v>0.69</v>
      </c>
      <c r="M20946">
        <v>11201</v>
      </c>
      <c r="N20946" t="s">
        <v>35</v>
      </c>
      <c r="O20946">
        <v>250617</v>
      </c>
      <c r="P20946">
        <v>2.7</v>
      </c>
    </row>
    <row r="20947" spans="1:16" x14ac:dyDescent="0.25">
      <c r="A20947" t="s">
        <v>3296</v>
      </c>
      <c r="B20947" t="s">
        <v>2931</v>
      </c>
      <c r="C20947">
        <v>8709</v>
      </c>
      <c r="D20947" t="str">
        <f t="shared" ref="D20947:D20952" si="405">"12523021553 "</f>
        <v xml:space="preserve">12523021553 </v>
      </c>
      <c r="E20947" t="s">
        <v>309</v>
      </c>
      <c r="F20947" t="s">
        <v>310</v>
      </c>
      <c r="G20947">
        <v>10.32</v>
      </c>
      <c r="H20947">
        <v>250531</v>
      </c>
      <c r="I20947">
        <v>4369</v>
      </c>
      <c r="J20947" t="s">
        <v>188</v>
      </c>
      <c r="K20947">
        <v>127.61</v>
      </c>
      <c r="L20947">
        <v>2.1</v>
      </c>
      <c r="M20947">
        <v>43222</v>
      </c>
      <c r="N20947" t="s">
        <v>95</v>
      </c>
      <c r="O20947">
        <v>250617</v>
      </c>
      <c r="P20947">
        <v>8.2200000000000006</v>
      </c>
    </row>
    <row r="20948" spans="1:16" x14ac:dyDescent="0.25">
      <c r="A20948" t="s">
        <v>3296</v>
      </c>
      <c r="B20948" t="s">
        <v>2931</v>
      </c>
      <c r="C20948">
        <v>8709</v>
      </c>
      <c r="D20948" t="str">
        <f t="shared" si="405"/>
        <v xml:space="preserve">12523021553 </v>
      </c>
      <c r="E20948" t="s">
        <v>309</v>
      </c>
      <c r="F20948" t="s">
        <v>310</v>
      </c>
      <c r="G20948">
        <v>3.55</v>
      </c>
      <c r="H20948">
        <v>250531</v>
      </c>
      <c r="I20948">
        <v>4369</v>
      </c>
      <c r="J20948" t="s">
        <v>188</v>
      </c>
      <c r="K20948">
        <v>127.61</v>
      </c>
      <c r="L20948">
        <v>0.72</v>
      </c>
      <c r="M20948">
        <v>44422</v>
      </c>
      <c r="N20948" t="s">
        <v>97</v>
      </c>
      <c r="O20948">
        <v>250617</v>
      </c>
      <c r="P20948">
        <v>2.83</v>
      </c>
    </row>
    <row r="20949" spans="1:16" x14ac:dyDescent="0.25">
      <c r="A20949" t="s">
        <v>3296</v>
      </c>
      <c r="B20949" t="s">
        <v>2931</v>
      </c>
      <c r="C20949">
        <v>8709</v>
      </c>
      <c r="D20949" t="str">
        <f t="shared" si="405"/>
        <v xml:space="preserve">12523021553 </v>
      </c>
      <c r="E20949" t="s">
        <v>309</v>
      </c>
      <c r="F20949" t="s">
        <v>310</v>
      </c>
      <c r="G20949">
        <v>6.78</v>
      </c>
      <c r="H20949">
        <v>250531</v>
      </c>
      <c r="I20949">
        <v>4369</v>
      </c>
      <c r="J20949" t="s">
        <v>188</v>
      </c>
      <c r="K20949">
        <v>127.61</v>
      </c>
      <c r="L20949">
        <v>1.38</v>
      </c>
      <c r="M20949">
        <v>44423</v>
      </c>
      <c r="N20949" t="s">
        <v>98</v>
      </c>
      <c r="O20949">
        <v>250617</v>
      </c>
      <c r="P20949">
        <v>5.4</v>
      </c>
    </row>
    <row r="20950" spans="1:16" x14ac:dyDescent="0.25">
      <c r="A20950" t="s">
        <v>3296</v>
      </c>
      <c r="B20950" t="s">
        <v>2931</v>
      </c>
      <c r="C20950">
        <v>8709</v>
      </c>
      <c r="D20950" t="str">
        <f t="shared" si="405"/>
        <v xml:space="preserve">12523021553 </v>
      </c>
      <c r="E20950" t="s">
        <v>309</v>
      </c>
      <c r="F20950" t="s">
        <v>310</v>
      </c>
      <c r="G20950">
        <v>3.39</v>
      </c>
      <c r="H20950">
        <v>250531</v>
      </c>
      <c r="I20950">
        <v>4369</v>
      </c>
      <c r="J20950" t="s">
        <v>188</v>
      </c>
      <c r="K20950">
        <v>127.61</v>
      </c>
      <c r="L20950">
        <v>0.69</v>
      </c>
      <c r="M20950">
        <v>44453</v>
      </c>
      <c r="N20950" t="s">
        <v>100</v>
      </c>
      <c r="O20950">
        <v>250617</v>
      </c>
      <c r="P20950">
        <v>2.7</v>
      </c>
    </row>
    <row r="20951" spans="1:16" x14ac:dyDescent="0.25">
      <c r="A20951" t="s">
        <v>3296</v>
      </c>
      <c r="B20951" t="s">
        <v>2931</v>
      </c>
      <c r="C20951">
        <v>8709</v>
      </c>
      <c r="D20951" t="str">
        <f t="shared" si="405"/>
        <v xml:space="preserve">12523021553 </v>
      </c>
      <c r="E20951" t="s">
        <v>309</v>
      </c>
      <c r="F20951" t="s">
        <v>310</v>
      </c>
      <c r="G20951">
        <v>3.39</v>
      </c>
      <c r="H20951">
        <v>250531</v>
      </c>
      <c r="I20951">
        <v>4369</v>
      </c>
      <c r="J20951" t="s">
        <v>188</v>
      </c>
      <c r="K20951">
        <v>127.61</v>
      </c>
      <c r="L20951">
        <v>0.69</v>
      </c>
      <c r="M20951">
        <v>48601</v>
      </c>
      <c r="N20951" t="s">
        <v>107</v>
      </c>
      <c r="O20951">
        <v>250617</v>
      </c>
      <c r="P20951">
        <v>2.7</v>
      </c>
    </row>
    <row r="20952" spans="1:16" x14ac:dyDescent="0.25">
      <c r="A20952" t="s">
        <v>3296</v>
      </c>
      <c r="B20952" t="s">
        <v>2931</v>
      </c>
      <c r="C20952">
        <v>8709</v>
      </c>
      <c r="D20952" t="str">
        <f t="shared" si="405"/>
        <v xml:space="preserve">12523021553 </v>
      </c>
      <c r="E20952" t="s">
        <v>309</v>
      </c>
      <c r="F20952" t="s">
        <v>310</v>
      </c>
      <c r="G20952">
        <v>100.18</v>
      </c>
      <c r="H20952">
        <v>250531</v>
      </c>
      <c r="I20952">
        <v>4369</v>
      </c>
      <c r="J20952" t="s">
        <v>188</v>
      </c>
      <c r="K20952">
        <v>127.61</v>
      </c>
      <c r="L20952">
        <v>0</v>
      </c>
      <c r="M20952">
        <v>49702</v>
      </c>
      <c r="N20952" t="s">
        <v>112</v>
      </c>
      <c r="O20952">
        <v>250617</v>
      </c>
      <c r="P20952">
        <v>100.18</v>
      </c>
    </row>
    <row r="20953" spans="1:16" x14ac:dyDescent="0.25">
      <c r="A20953" t="s">
        <v>3296</v>
      </c>
      <c r="B20953" t="s">
        <v>2931</v>
      </c>
      <c r="C20953">
        <v>8710</v>
      </c>
      <c r="D20953" t="str">
        <f t="shared" ref="D20953:D20981" si="406">"12523021542 "</f>
        <v xml:space="preserve">12523021542 </v>
      </c>
      <c r="E20953" t="s">
        <v>309</v>
      </c>
      <c r="F20953" t="s">
        <v>310</v>
      </c>
      <c r="G20953">
        <v>36.43</v>
      </c>
      <c r="H20953">
        <v>250531</v>
      </c>
      <c r="I20953">
        <v>4369</v>
      </c>
      <c r="J20953" t="s">
        <v>188</v>
      </c>
      <c r="K20953">
        <v>363.28</v>
      </c>
      <c r="L20953">
        <v>7.4</v>
      </c>
      <c r="M20953">
        <v>61122</v>
      </c>
      <c r="N20953" t="s">
        <v>86</v>
      </c>
      <c r="O20953">
        <v>250617</v>
      </c>
      <c r="P20953">
        <v>29.03</v>
      </c>
    </row>
    <row r="20954" spans="1:16" x14ac:dyDescent="0.25">
      <c r="A20954" t="s">
        <v>3296</v>
      </c>
      <c r="B20954" t="s">
        <v>2931</v>
      </c>
      <c r="C20954">
        <v>8710</v>
      </c>
      <c r="D20954" t="str">
        <f t="shared" si="406"/>
        <v xml:space="preserve">12523021542 </v>
      </c>
      <c r="E20954" t="s">
        <v>309</v>
      </c>
      <c r="F20954" t="s">
        <v>310</v>
      </c>
      <c r="G20954">
        <v>3.66</v>
      </c>
      <c r="H20954">
        <v>250531</v>
      </c>
      <c r="I20954">
        <v>4369</v>
      </c>
      <c r="J20954" t="s">
        <v>188</v>
      </c>
      <c r="K20954">
        <v>363.28</v>
      </c>
      <c r="L20954">
        <v>0.74</v>
      </c>
      <c r="M20954">
        <v>61122</v>
      </c>
      <c r="N20954" t="s">
        <v>86</v>
      </c>
      <c r="O20954">
        <v>250617</v>
      </c>
      <c r="P20954">
        <v>2.92</v>
      </c>
    </row>
    <row r="20955" spans="1:16" x14ac:dyDescent="0.25">
      <c r="A20955" t="s">
        <v>3296</v>
      </c>
      <c r="B20955" t="s">
        <v>2931</v>
      </c>
      <c r="C20955">
        <v>8710</v>
      </c>
      <c r="D20955" t="str">
        <f t="shared" si="406"/>
        <v xml:space="preserve">12523021542 </v>
      </c>
      <c r="E20955" t="s">
        <v>309</v>
      </c>
      <c r="F20955" t="s">
        <v>310</v>
      </c>
      <c r="G20955">
        <v>14.34</v>
      </c>
      <c r="H20955">
        <v>250531</v>
      </c>
      <c r="I20955">
        <v>4369</v>
      </c>
      <c r="J20955" t="s">
        <v>188</v>
      </c>
      <c r="K20955">
        <v>363.28</v>
      </c>
      <c r="L20955">
        <v>2.91</v>
      </c>
      <c r="M20955">
        <v>65222</v>
      </c>
      <c r="N20955" t="s">
        <v>87</v>
      </c>
      <c r="O20955">
        <v>250617</v>
      </c>
      <c r="P20955">
        <v>11.43</v>
      </c>
    </row>
    <row r="20956" spans="1:16" x14ac:dyDescent="0.25">
      <c r="A20956" t="s">
        <v>3296</v>
      </c>
      <c r="B20956" t="s">
        <v>2931</v>
      </c>
      <c r="C20956">
        <v>8710</v>
      </c>
      <c r="D20956" t="str">
        <f t="shared" si="406"/>
        <v xml:space="preserve">12523021542 </v>
      </c>
      <c r="E20956" t="s">
        <v>309</v>
      </c>
      <c r="F20956" t="s">
        <v>310</v>
      </c>
      <c r="G20956">
        <v>3.48</v>
      </c>
      <c r="H20956">
        <v>250531</v>
      </c>
      <c r="I20956">
        <v>4369</v>
      </c>
      <c r="J20956" t="s">
        <v>188</v>
      </c>
      <c r="K20956">
        <v>363.28</v>
      </c>
      <c r="L20956">
        <v>0.71</v>
      </c>
      <c r="M20956">
        <v>65422</v>
      </c>
      <c r="N20956" t="s">
        <v>117</v>
      </c>
      <c r="O20956">
        <v>250617</v>
      </c>
      <c r="P20956">
        <v>2.77</v>
      </c>
    </row>
    <row r="20957" spans="1:16" x14ac:dyDescent="0.25">
      <c r="A20957" t="s">
        <v>3296</v>
      </c>
      <c r="B20957" t="s">
        <v>2931</v>
      </c>
      <c r="C20957">
        <v>8710</v>
      </c>
      <c r="D20957" t="str">
        <f t="shared" si="406"/>
        <v xml:space="preserve">12523021542 </v>
      </c>
      <c r="E20957" t="s">
        <v>309</v>
      </c>
      <c r="F20957" t="s">
        <v>310</v>
      </c>
      <c r="G20957">
        <v>10.17</v>
      </c>
      <c r="H20957">
        <v>250531</v>
      </c>
      <c r="I20957">
        <v>4369</v>
      </c>
      <c r="J20957" t="s">
        <v>188</v>
      </c>
      <c r="K20957">
        <v>363.28</v>
      </c>
      <c r="L20957">
        <v>2.0699999999999998</v>
      </c>
      <c r="M20957">
        <v>66722</v>
      </c>
      <c r="N20957" t="s">
        <v>118</v>
      </c>
      <c r="O20957">
        <v>250617</v>
      </c>
      <c r="P20957">
        <v>8.1</v>
      </c>
    </row>
    <row r="20958" spans="1:16" x14ac:dyDescent="0.25">
      <c r="A20958" t="s">
        <v>3296</v>
      </c>
      <c r="B20958" t="s">
        <v>2931</v>
      </c>
      <c r="C20958">
        <v>8710</v>
      </c>
      <c r="D20958" t="str">
        <f t="shared" si="406"/>
        <v xml:space="preserve">12523021542 </v>
      </c>
      <c r="E20958" t="s">
        <v>309</v>
      </c>
      <c r="F20958" t="s">
        <v>310</v>
      </c>
      <c r="G20958">
        <v>6.51</v>
      </c>
      <c r="H20958">
        <v>250531</v>
      </c>
      <c r="I20958">
        <v>4369</v>
      </c>
      <c r="J20958" t="s">
        <v>188</v>
      </c>
      <c r="K20958">
        <v>363.28</v>
      </c>
      <c r="L20958">
        <v>1.32</v>
      </c>
      <c r="M20958">
        <v>66754</v>
      </c>
      <c r="N20958" t="s">
        <v>119</v>
      </c>
      <c r="O20958">
        <v>250617</v>
      </c>
      <c r="P20958">
        <v>5.19</v>
      </c>
    </row>
    <row r="20959" spans="1:16" x14ac:dyDescent="0.25">
      <c r="A20959" t="s">
        <v>3296</v>
      </c>
      <c r="B20959" t="s">
        <v>2931</v>
      </c>
      <c r="C20959">
        <v>8710</v>
      </c>
      <c r="D20959" t="str">
        <f t="shared" si="406"/>
        <v xml:space="preserve">12523021542 </v>
      </c>
      <c r="E20959" t="s">
        <v>309</v>
      </c>
      <c r="F20959" t="s">
        <v>310</v>
      </c>
      <c r="G20959">
        <v>6.78</v>
      </c>
      <c r="H20959">
        <v>250531</v>
      </c>
      <c r="I20959">
        <v>4369</v>
      </c>
      <c r="J20959" t="s">
        <v>188</v>
      </c>
      <c r="K20959">
        <v>363.28</v>
      </c>
      <c r="L20959">
        <v>1.38</v>
      </c>
      <c r="M20959">
        <v>66754</v>
      </c>
      <c r="N20959" t="s">
        <v>119</v>
      </c>
      <c r="O20959">
        <v>250617</v>
      </c>
      <c r="P20959">
        <v>5.4</v>
      </c>
    </row>
    <row r="20960" spans="1:16" x14ac:dyDescent="0.25">
      <c r="A20960" t="s">
        <v>3296</v>
      </c>
      <c r="B20960" t="s">
        <v>2931</v>
      </c>
      <c r="C20960">
        <v>8710</v>
      </c>
      <c r="D20960" t="str">
        <f t="shared" si="406"/>
        <v xml:space="preserve">12523021542 </v>
      </c>
      <c r="E20960" t="s">
        <v>309</v>
      </c>
      <c r="F20960" t="s">
        <v>310</v>
      </c>
      <c r="G20960">
        <v>3.39</v>
      </c>
      <c r="H20960">
        <v>250531</v>
      </c>
      <c r="I20960">
        <v>4369</v>
      </c>
      <c r="J20960" t="s">
        <v>188</v>
      </c>
      <c r="K20960">
        <v>363.28</v>
      </c>
      <c r="L20960">
        <v>0.69</v>
      </c>
      <c r="M20960">
        <v>66754</v>
      </c>
      <c r="N20960" t="s">
        <v>119</v>
      </c>
      <c r="O20960">
        <v>250617</v>
      </c>
      <c r="P20960">
        <v>2.7</v>
      </c>
    </row>
    <row r="20961" spans="1:16" x14ac:dyDescent="0.25">
      <c r="A20961" t="s">
        <v>3296</v>
      </c>
      <c r="B20961" t="s">
        <v>2931</v>
      </c>
      <c r="C20961">
        <v>8710</v>
      </c>
      <c r="D20961" t="str">
        <f t="shared" si="406"/>
        <v xml:space="preserve">12523021542 </v>
      </c>
      <c r="E20961" t="s">
        <v>309</v>
      </c>
      <c r="F20961" t="s">
        <v>310</v>
      </c>
      <c r="G20961">
        <v>13.58</v>
      </c>
      <c r="H20961">
        <v>250531</v>
      </c>
      <c r="I20961">
        <v>4369</v>
      </c>
      <c r="J20961" t="s">
        <v>188</v>
      </c>
      <c r="K20961">
        <v>363.28</v>
      </c>
      <c r="L20961">
        <v>2.76</v>
      </c>
      <c r="M20961">
        <v>66754</v>
      </c>
      <c r="N20961" t="s">
        <v>119</v>
      </c>
      <c r="O20961">
        <v>250617</v>
      </c>
      <c r="P20961">
        <v>10.82</v>
      </c>
    </row>
    <row r="20962" spans="1:16" x14ac:dyDescent="0.25">
      <c r="A20962" t="s">
        <v>3296</v>
      </c>
      <c r="B20962" t="s">
        <v>2931</v>
      </c>
      <c r="C20962">
        <v>8710</v>
      </c>
      <c r="D20962" t="str">
        <f t="shared" si="406"/>
        <v xml:space="preserve">12523021542 </v>
      </c>
      <c r="E20962" t="s">
        <v>309</v>
      </c>
      <c r="F20962" t="s">
        <v>310</v>
      </c>
      <c r="G20962">
        <v>13.52</v>
      </c>
      <c r="H20962">
        <v>250531</v>
      </c>
      <c r="I20962">
        <v>4369</v>
      </c>
      <c r="J20962" t="s">
        <v>188</v>
      </c>
      <c r="K20962">
        <v>363.28</v>
      </c>
      <c r="L20962">
        <v>2.75</v>
      </c>
      <c r="M20962">
        <v>66756</v>
      </c>
      <c r="N20962" t="s">
        <v>120</v>
      </c>
      <c r="O20962">
        <v>250617</v>
      </c>
      <c r="P20962">
        <v>10.77</v>
      </c>
    </row>
    <row r="20963" spans="1:16" x14ac:dyDescent="0.25">
      <c r="A20963" t="s">
        <v>3296</v>
      </c>
      <c r="B20963" t="s">
        <v>2931</v>
      </c>
      <c r="C20963">
        <v>8710</v>
      </c>
      <c r="D20963" t="str">
        <f t="shared" si="406"/>
        <v xml:space="preserve">12523021542 </v>
      </c>
      <c r="E20963" t="s">
        <v>309</v>
      </c>
      <c r="F20963" t="s">
        <v>310</v>
      </c>
      <c r="G20963">
        <v>29.82</v>
      </c>
      <c r="H20963">
        <v>250531</v>
      </c>
      <c r="I20963">
        <v>4369</v>
      </c>
      <c r="J20963" t="s">
        <v>188</v>
      </c>
      <c r="K20963">
        <v>363.28</v>
      </c>
      <c r="L20963">
        <v>6.06</v>
      </c>
      <c r="M20963">
        <v>67522</v>
      </c>
      <c r="N20963" t="s">
        <v>121</v>
      </c>
      <c r="O20963">
        <v>250617</v>
      </c>
      <c r="P20963">
        <v>23.76</v>
      </c>
    </row>
    <row r="20964" spans="1:16" x14ac:dyDescent="0.25">
      <c r="A20964" t="s">
        <v>3296</v>
      </c>
      <c r="B20964" t="s">
        <v>2931</v>
      </c>
      <c r="C20964">
        <v>8710</v>
      </c>
      <c r="D20964" t="str">
        <f t="shared" si="406"/>
        <v xml:space="preserve">12523021542 </v>
      </c>
      <c r="E20964" t="s">
        <v>309</v>
      </c>
      <c r="F20964" t="s">
        <v>310</v>
      </c>
      <c r="G20964">
        <v>13.55</v>
      </c>
      <c r="H20964">
        <v>250531</v>
      </c>
      <c r="I20964">
        <v>4369</v>
      </c>
      <c r="J20964" t="s">
        <v>188</v>
      </c>
      <c r="K20964">
        <v>363.28</v>
      </c>
      <c r="L20964">
        <v>2.75</v>
      </c>
      <c r="M20964">
        <v>67522</v>
      </c>
      <c r="N20964" t="s">
        <v>121</v>
      </c>
      <c r="O20964">
        <v>250617</v>
      </c>
      <c r="P20964">
        <v>10.8</v>
      </c>
    </row>
    <row r="20965" spans="1:16" x14ac:dyDescent="0.25">
      <c r="A20965" t="s">
        <v>3296</v>
      </c>
      <c r="B20965" t="s">
        <v>2931</v>
      </c>
      <c r="C20965">
        <v>8710</v>
      </c>
      <c r="D20965" t="str">
        <f t="shared" si="406"/>
        <v xml:space="preserve">12523021542 </v>
      </c>
      <c r="E20965" t="s">
        <v>309</v>
      </c>
      <c r="F20965" t="s">
        <v>310</v>
      </c>
      <c r="G20965">
        <v>6.51</v>
      </c>
      <c r="H20965">
        <v>250531</v>
      </c>
      <c r="I20965">
        <v>4369</v>
      </c>
      <c r="J20965" t="s">
        <v>188</v>
      </c>
      <c r="K20965">
        <v>363.28</v>
      </c>
      <c r="L20965">
        <v>1.32</v>
      </c>
      <c r="M20965">
        <v>67554</v>
      </c>
      <c r="N20965" t="s">
        <v>317</v>
      </c>
      <c r="O20965">
        <v>250617</v>
      </c>
      <c r="P20965">
        <v>5.19</v>
      </c>
    </row>
    <row r="20966" spans="1:16" x14ac:dyDescent="0.25">
      <c r="A20966" t="s">
        <v>3296</v>
      </c>
      <c r="B20966" t="s">
        <v>2931</v>
      </c>
      <c r="C20966">
        <v>8710</v>
      </c>
      <c r="D20966" t="str">
        <f t="shared" si="406"/>
        <v xml:space="preserve">12523021542 </v>
      </c>
      <c r="E20966" t="s">
        <v>309</v>
      </c>
      <c r="F20966" t="s">
        <v>310</v>
      </c>
      <c r="G20966">
        <v>6.78</v>
      </c>
      <c r="H20966">
        <v>250531</v>
      </c>
      <c r="I20966">
        <v>4369</v>
      </c>
      <c r="J20966" t="s">
        <v>188</v>
      </c>
      <c r="K20966">
        <v>363.28</v>
      </c>
      <c r="L20966">
        <v>1.38</v>
      </c>
      <c r="M20966">
        <v>67554</v>
      </c>
      <c r="N20966" t="s">
        <v>317</v>
      </c>
      <c r="O20966">
        <v>250617</v>
      </c>
      <c r="P20966">
        <v>5.4</v>
      </c>
    </row>
    <row r="20967" spans="1:16" x14ac:dyDescent="0.25">
      <c r="A20967" t="s">
        <v>3296</v>
      </c>
      <c r="B20967" t="s">
        <v>2931</v>
      </c>
      <c r="C20967">
        <v>8710</v>
      </c>
      <c r="D20967" t="str">
        <f t="shared" si="406"/>
        <v xml:space="preserve">12523021542 </v>
      </c>
      <c r="E20967" t="s">
        <v>309</v>
      </c>
      <c r="F20967" t="s">
        <v>310</v>
      </c>
      <c r="G20967">
        <v>71.33</v>
      </c>
      <c r="H20967">
        <v>250531</v>
      </c>
      <c r="I20967">
        <v>4369</v>
      </c>
      <c r="J20967" t="s">
        <v>188</v>
      </c>
      <c r="K20967">
        <v>363.28</v>
      </c>
      <c r="L20967">
        <v>14.49</v>
      </c>
      <c r="M20967">
        <v>67554</v>
      </c>
      <c r="N20967" t="s">
        <v>317</v>
      </c>
      <c r="O20967">
        <v>250617</v>
      </c>
      <c r="P20967">
        <v>56.84</v>
      </c>
    </row>
    <row r="20968" spans="1:16" x14ac:dyDescent="0.25">
      <c r="A20968" t="s">
        <v>3296</v>
      </c>
      <c r="B20968" t="s">
        <v>2931</v>
      </c>
      <c r="C20968">
        <v>8710</v>
      </c>
      <c r="D20968" t="str">
        <f t="shared" si="406"/>
        <v xml:space="preserve">12523021542 </v>
      </c>
      <c r="E20968" t="s">
        <v>309</v>
      </c>
      <c r="F20968" t="s">
        <v>310</v>
      </c>
      <c r="G20968">
        <v>13.3</v>
      </c>
      <c r="H20968">
        <v>250531</v>
      </c>
      <c r="I20968">
        <v>4369</v>
      </c>
      <c r="J20968" t="s">
        <v>188</v>
      </c>
      <c r="K20968">
        <v>363.28</v>
      </c>
      <c r="L20968">
        <v>2.7</v>
      </c>
      <c r="M20968">
        <v>67554</v>
      </c>
      <c r="N20968" t="s">
        <v>317</v>
      </c>
      <c r="O20968">
        <v>250617</v>
      </c>
      <c r="P20968">
        <v>10.6</v>
      </c>
    </row>
    <row r="20969" spans="1:16" x14ac:dyDescent="0.25">
      <c r="A20969" t="s">
        <v>3296</v>
      </c>
      <c r="B20969" t="s">
        <v>2931</v>
      </c>
      <c r="C20969">
        <v>8710</v>
      </c>
      <c r="D20969" t="str">
        <f t="shared" si="406"/>
        <v xml:space="preserve">12523021542 </v>
      </c>
      <c r="E20969" t="s">
        <v>309</v>
      </c>
      <c r="F20969" t="s">
        <v>310</v>
      </c>
      <c r="G20969">
        <v>12.3</v>
      </c>
      <c r="H20969">
        <v>250531</v>
      </c>
      <c r="I20969">
        <v>4369</v>
      </c>
      <c r="J20969" t="s">
        <v>188</v>
      </c>
      <c r="K20969">
        <v>363.28</v>
      </c>
      <c r="L20969">
        <v>2.5</v>
      </c>
      <c r="M20969">
        <v>68601</v>
      </c>
      <c r="N20969" t="s">
        <v>1031</v>
      </c>
      <c r="O20969">
        <v>250617</v>
      </c>
      <c r="P20969">
        <v>9.8000000000000007</v>
      </c>
    </row>
    <row r="20970" spans="1:16" x14ac:dyDescent="0.25">
      <c r="A20970" t="s">
        <v>3296</v>
      </c>
      <c r="B20970" t="s">
        <v>2931</v>
      </c>
      <c r="C20970">
        <v>8710</v>
      </c>
      <c r="D20970" t="str">
        <f t="shared" si="406"/>
        <v xml:space="preserve">12523021542 </v>
      </c>
      <c r="E20970" t="s">
        <v>309</v>
      </c>
      <c r="F20970" t="s">
        <v>310</v>
      </c>
      <c r="G20970">
        <v>3.39</v>
      </c>
      <c r="H20970">
        <v>250531</v>
      </c>
      <c r="I20970">
        <v>4369</v>
      </c>
      <c r="J20970" t="s">
        <v>188</v>
      </c>
      <c r="K20970">
        <v>363.28</v>
      </c>
      <c r="L20970">
        <v>0.69</v>
      </c>
      <c r="M20970">
        <v>68601</v>
      </c>
      <c r="N20970" t="s">
        <v>1031</v>
      </c>
      <c r="O20970">
        <v>250617</v>
      </c>
      <c r="P20970">
        <v>2.7</v>
      </c>
    </row>
    <row r="20971" spans="1:16" x14ac:dyDescent="0.25">
      <c r="A20971" t="s">
        <v>3296</v>
      </c>
      <c r="B20971" t="s">
        <v>2931</v>
      </c>
      <c r="C20971">
        <v>8710</v>
      </c>
      <c r="D20971" t="str">
        <f t="shared" si="406"/>
        <v xml:space="preserve">12523021542 </v>
      </c>
      <c r="E20971" t="s">
        <v>309</v>
      </c>
      <c r="F20971" t="s">
        <v>310</v>
      </c>
      <c r="G20971">
        <v>6.78</v>
      </c>
      <c r="H20971">
        <v>250531</v>
      </c>
      <c r="I20971">
        <v>4369</v>
      </c>
      <c r="J20971" t="s">
        <v>188</v>
      </c>
      <c r="K20971">
        <v>363.28</v>
      </c>
      <c r="L20971">
        <v>1.38</v>
      </c>
      <c r="M20971">
        <v>69111</v>
      </c>
      <c r="N20971" t="s">
        <v>657</v>
      </c>
      <c r="O20971">
        <v>250617</v>
      </c>
      <c r="P20971">
        <v>5.4</v>
      </c>
    </row>
    <row r="20972" spans="1:16" x14ac:dyDescent="0.25">
      <c r="A20972" t="s">
        <v>3296</v>
      </c>
      <c r="B20972" t="s">
        <v>2931</v>
      </c>
      <c r="C20972">
        <v>8710</v>
      </c>
      <c r="D20972" t="str">
        <f t="shared" si="406"/>
        <v xml:space="preserve">12523021542 </v>
      </c>
      <c r="E20972" t="s">
        <v>309</v>
      </c>
      <c r="F20972" t="s">
        <v>310</v>
      </c>
      <c r="G20972">
        <v>6.88</v>
      </c>
      <c r="H20972">
        <v>250531</v>
      </c>
      <c r="I20972">
        <v>4369</v>
      </c>
      <c r="J20972" t="s">
        <v>188</v>
      </c>
      <c r="K20972">
        <v>363.28</v>
      </c>
      <c r="L20972">
        <v>1.4</v>
      </c>
      <c r="M20972">
        <v>69112</v>
      </c>
      <c r="N20972" t="s">
        <v>227</v>
      </c>
      <c r="O20972">
        <v>250617</v>
      </c>
      <c r="P20972">
        <v>5.48</v>
      </c>
    </row>
    <row r="20973" spans="1:16" x14ac:dyDescent="0.25">
      <c r="A20973" t="s">
        <v>3296</v>
      </c>
      <c r="B20973" t="s">
        <v>2931</v>
      </c>
      <c r="C20973">
        <v>8710</v>
      </c>
      <c r="D20973" t="str">
        <f t="shared" si="406"/>
        <v xml:space="preserve">12523021542 </v>
      </c>
      <c r="E20973" t="s">
        <v>309</v>
      </c>
      <c r="F20973" t="s">
        <v>310</v>
      </c>
      <c r="G20973">
        <v>10.19</v>
      </c>
      <c r="H20973">
        <v>250531</v>
      </c>
      <c r="I20973">
        <v>4369</v>
      </c>
      <c r="J20973" t="s">
        <v>188</v>
      </c>
      <c r="K20973">
        <v>363.28</v>
      </c>
      <c r="L20973">
        <v>2.0699999999999998</v>
      </c>
      <c r="M20973">
        <v>69113</v>
      </c>
      <c r="N20973" t="s">
        <v>122</v>
      </c>
      <c r="O20973">
        <v>250617</v>
      </c>
      <c r="P20973">
        <v>8.1199999999999992</v>
      </c>
    </row>
    <row r="20974" spans="1:16" x14ac:dyDescent="0.25">
      <c r="A20974" t="s">
        <v>3296</v>
      </c>
      <c r="B20974" t="s">
        <v>2931</v>
      </c>
      <c r="C20974">
        <v>8710</v>
      </c>
      <c r="D20974" t="str">
        <f t="shared" si="406"/>
        <v xml:space="preserve">12523021542 </v>
      </c>
      <c r="E20974" t="s">
        <v>309</v>
      </c>
      <c r="F20974" t="s">
        <v>310</v>
      </c>
      <c r="G20974">
        <v>26.79</v>
      </c>
      <c r="H20974">
        <v>250531</v>
      </c>
      <c r="I20974">
        <v>4369</v>
      </c>
      <c r="J20974" t="s">
        <v>188</v>
      </c>
      <c r="K20974">
        <v>363.28</v>
      </c>
      <c r="L20974">
        <v>5.44</v>
      </c>
      <c r="M20974">
        <v>69501</v>
      </c>
      <c r="N20974" t="s">
        <v>123</v>
      </c>
      <c r="O20974">
        <v>250617</v>
      </c>
      <c r="P20974">
        <v>21.35</v>
      </c>
    </row>
    <row r="20975" spans="1:16" x14ac:dyDescent="0.25">
      <c r="A20975" t="s">
        <v>3296</v>
      </c>
      <c r="B20975" t="s">
        <v>2931</v>
      </c>
      <c r="C20975">
        <v>8710</v>
      </c>
      <c r="D20975" t="str">
        <f t="shared" si="406"/>
        <v xml:space="preserve">12523021542 </v>
      </c>
      <c r="E20975" t="s">
        <v>309</v>
      </c>
      <c r="F20975" t="s">
        <v>310</v>
      </c>
      <c r="G20975">
        <v>5.08</v>
      </c>
      <c r="H20975">
        <v>250531</v>
      </c>
      <c r="I20975">
        <v>4369</v>
      </c>
      <c r="J20975" t="s">
        <v>188</v>
      </c>
      <c r="K20975">
        <v>363.28</v>
      </c>
      <c r="L20975">
        <v>1.03</v>
      </c>
      <c r="M20975">
        <v>69701</v>
      </c>
      <c r="N20975" t="s">
        <v>1030</v>
      </c>
      <c r="O20975">
        <v>250617</v>
      </c>
      <c r="P20975">
        <v>4.05</v>
      </c>
    </row>
    <row r="20976" spans="1:16" x14ac:dyDescent="0.25">
      <c r="A20976" t="s">
        <v>3296</v>
      </c>
      <c r="B20976" t="s">
        <v>2931</v>
      </c>
      <c r="C20976">
        <v>8710</v>
      </c>
      <c r="D20976" t="str">
        <f t="shared" si="406"/>
        <v xml:space="preserve">12523021542 </v>
      </c>
      <c r="E20976" t="s">
        <v>309</v>
      </c>
      <c r="F20976" t="s">
        <v>310</v>
      </c>
      <c r="G20976">
        <v>3.39</v>
      </c>
      <c r="H20976">
        <v>250531</v>
      </c>
      <c r="I20976">
        <v>4369</v>
      </c>
      <c r="J20976" t="s">
        <v>188</v>
      </c>
      <c r="K20976">
        <v>363.28</v>
      </c>
      <c r="L20976">
        <v>0.69</v>
      </c>
      <c r="M20976">
        <v>69702</v>
      </c>
      <c r="N20976" t="s">
        <v>124</v>
      </c>
      <c r="O20976">
        <v>250617</v>
      </c>
      <c r="P20976">
        <v>2.7</v>
      </c>
    </row>
    <row r="20977" spans="1:16" x14ac:dyDescent="0.25">
      <c r="A20977" t="s">
        <v>3296</v>
      </c>
      <c r="B20977" t="s">
        <v>2931</v>
      </c>
      <c r="C20977">
        <v>8710</v>
      </c>
      <c r="D20977" t="str">
        <f t="shared" si="406"/>
        <v xml:space="preserve">12523021542 </v>
      </c>
      <c r="E20977" t="s">
        <v>309</v>
      </c>
      <c r="F20977" t="s">
        <v>310</v>
      </c>
      <c r="G20977">
        <v>6.59</v>
      </c>
      <c r="H20977">
        <v>250531</v>
      </c>
      <c r="I20977">
        <v>4369</v>
      </c>
      <c r="J20977" t="s">
        <v>188</v>
      </c>
      <c r="K20977">
        <v>363.28</v>
      </c>
      <c r="L20977">
        <v>1.34</v>
      </c>
      <c r="M20977">
        <v>69702</v>
      </c>
      <c r="N20977" t="s">
        <v>124</v>
      </c>
      <c r="O20977">
        <v>250617</v>
      </c>
      <c r="P20977">
        <v>5.25</v>
      </c>
    </row>
    <row r="20978" spans="1:16" x14ac:dyDescent="0.25">
      <c r="A20978" t="s">
        <v>3296</v>
      </c>
      <c r="B20978" t="s">
        <v>2931</v>
      </c>
      <c r="C20978">
        <v>8710</v>
      </c>
      <c r="D20978" t="str">
        <f t="shared" si="406"/>
        <v xml:space="preserve">12523021542 </v>
      </c>
      <c r="E20978" t="s">
        <v>309</v>
      </c>
      <c r="F20978" t="s">
        <v>310</v>
      </c>
      <c r="G20978">
        <v>5.08</v>
      </c>
      <c r="H20978">
        <v>250531</v>
      </c>
      <c r="I20978">
        <v>4369</v>
      </c>
      <c r="J20978" t="s">
        <v>188</v>
      </c>
      <c r="K20978">
        <v>363.28</v>
      </c>
      <c r="L20978">
        <v>1.03</v>
      </c>
      <c r="M20978">
        <v>69703</v>
      </c>
      <c r="N20978" t="s">
        <v>88</v>
      </c>
      <c r="O20978">
        <v>250617</v>
      </c>
      <c r="P20978">
        <v>4.05</v>
      </c>
    </row>
    <row r="20979" spans="1:16" x14ac:dyDescent="0.25">
      <c r="A20979" t="s">
        <v>3296</v>
      </c>
      <c r="B20979" t="s">
        <v>2931</v>
      </c>
      <c r="C20979">
        <v>8710</v>
      </c>
      <c r="D20979" t="str">
        <f t="shared" si="406"/>
        <v xml:space="preserve">12523021542 </v>
      </c>
      <c r="E20979" t="s">
        <v>309</v>
      </c>
      <c r="F20979" t="s">
        <v>310</v>
      </c>
      <c r="G20979">
        <v>6.71</v>
      </c>
      <c r="H20979">
        <v>250531</v>
      </c>
      <c r="I20979">
        <v>4369</v>
      </c>
      <c r="J20979" t="s">
        <v>188</v>
      </c>
      <c r="K20979">
        <v>363.28</v>
      </c>
      <c r="L20979">
        <v>1.36</v>
      </c>
      <c r="M20979">
        <v>69704</v>
      </c>
      <c r="N20979" t="s">
        <v>89</v>
      </c>
      <c r="O20979">
        <v>250617</v>
      </c>
      <c r="P20979">
        <v>5.35</v>
      </c>
    </row>
    <row r="20980" spans="1:16" x14ac:dyDescent="0.25">
      <c r="A20980" t="s">
        <v>3296</v>
      </c>
      <c r="B20980" t="s">
        <v>2931</v>
      </c>
      <c r="C20980">
        <v>8710</v>
      </c>
      <c r="D20980" t="str">
        <f t="shared" si="406"/>
        <v xml:space="preserve">12523021542 </v>
      </c>
      <c r="E20980" t="s">
        <v>309</v>
      </c>
      <c r="F20980" t="s">
        <v>310</v>
      </c>
      <c r="G20980">
        <v>6.78</v>
      </c>
      <c r="H20980">
        <v>250531</v>
      </c>
      <c r="I20980">
        <v>4369</v>
      </c>
      <c r="J20980" t="s">
        <v>188</v>
      </c>
      <c r="K20980">
        <v>363.28</v>
      </c>
      <c r="L20980">
        <v>1.38</v>
      </c>
      <c r="M20980">
        <v>69707</v>
      </c>
      <c r="N20980" t="s">
        <v>90</v>
      </c>
      <c r="O20980">
        <v>250617</v>
      </c>
      <c r="P20980">
        <v>5.4</v>
      </c>
    </row>
    <row r="20981" spans="1:16" x14ac:dyDescent="0.25">
      <c r="A20981" t="s">
        <v>3296</v>
      </c>
      <c r="B20981" t="s">
        <v>2931</v>
      </c>
      <c r="C20981">
        <v>8710</v>
      </c>
      <c r="D20981" t="str">
        <f t="shared" si="406"/>
        <v xml:space="preserve">12523021542 </v>
      </c>
      <c r="E20981" t="s">
        <v>309</v>
      </c>
      <c r="F20981" t="s">
        <v>310</v>
      </c>
      <c r="G20981">
        <v>10.17</v>
      </c>
      <c r="H20981">
        <v>250531</v>
      </c>
      <c r="I20981">
        <v>4369</v>
      </c>
      <c r="J20981" t="s">
        <v>188</v>
      </c>
      <c r="K20981">
        <v>363.28</v>
      </c>
      <c r="L20981">
        <v>2.0699999999999998</v>
      </c>
      <c r="M20981">
        <v>69708</v>
      </c>
      <c r="N20981" t="s">
        <v>125</v>
      </c>
      <c r="O20981">
        <v>250617</v>
      </c>
      <c r="P20981">
        <v>8.1</v>
      </c>
    </row>
    <row r="20982" spans="1:16" x14ac:dyDescent="0.25">
      <c r="A20982" t="s">
        <v>3296</v>
      </c>
      <c r="B20982" t="s">
        <v>2931</v>
      </c>
      <c r="C20982">
        <v>8713</v>
      </c>
      <c r="D20982" t="str">
        <f>"12523021566 "</f>
        <v xml:space="preserve">12523021566 </v>
      </c>
      <c r="E20982" t="s">
        <v>309</v>
      </c>
      <c r="F20982" t="s">
        <v>310</v>
      </c>
      <c r="G20982">
        <v>26.92</v>
      </c>
      <c r="H20982">
        <v>250531</v>
      </c>
      <c r="I20982">
        <v>4369</v>
      </c>
      <c r="J20982" t="s">
        <v>188</v>
      </c>
      <c r="K20982">
        <v>26.92</v>
      </c>
      <c r="L20982">
        <v>5.47</v>
      </c>
      <c r="M20982">
        <v>13601</v>
      </c>
      <c r="N20982" t="s">
        <v>115</v>
      </c>
      <c r="O20982">
        <v>250617</v>
      </c>
      <c r="P20982">
        <v>21.45</v>
      </c>
    </row>
    <row r="20983" spans="1:16" x14ac:dyDescent="0.25">
      <c r="A20983" t="s">
        <v>3296</v>
      </c>
      <c r="B20983" t="s">
        <v>2931</v>
      </c>
      <c r="C20983">
        <v>8719</v>
      </c>
      <c r="D20983" t="str">
        <f t="shared" ref="D20983:D20991" si="407">"12523021546 "</f>
        <v xml:space="preserve">12523021546 </v>
      </c>
      <c r="E20983" t="s">
        <v>309</v>
      </c>
      <c r="F20983" t="s">
        <v>310</v>
      </c>
      <c r="G20983">
        <v>6.77</v>
      </c>
      <c r="H20983">
        <v>250531</v>
      </c>
      <c r="I20983">
        <v>4369</v>
      </c>
      <c r="J20983" t="s">
        <v>188</v>
      </c>
      <c r="K20983">
        <v>49.57</v>
      </c>
      <c r="L20983">
        <v>1.38</v>
      </c>
      <c r="M20983">
        <v>13901</v>
      </c>
      <c r="N20983" t="s">
        <v>116</v>
      </c>
      <c r="O20983">
        <v>250617</v>
      </c>
      <c r="P20983">
        <v>5.39</v>
      </c>
    </row>
    <row r="20984" spans="1:16" x14ac:dyDescent="0.25">
      <c r="A20984" t="s">
        <v>3296</v>
      </c>
      <c r="B20984" t="s">
        <v>2931</v>
      </c>
      <c r="C20984">
        <v>8719</v>
      </c>
      <c r="D20984" t="str">
        <f t="shared" si="407"/>
        <v xml:space="preserve">12523021546 </v>
      </c>
      <c r="E20984" t="s">
        <v>309</v>
      </c>
      <c r="F20984" t="s">
        <v>310</v>
      </c>
      <c r="G20984">
        <v>3.39</v>
      </c>
      <c r="H20984">
        <v>250531</v>
      </c>
      <c r="I20984">
        <v>4369</v>
      </c>
      <c r="J20984" t="s">
        <v>188</v>
      </c>
      <c r="K20984">
        <v>49.57</v>
      </c>
      <c r="L20984">
        <v>0.69</v>
      </c>
      <c r="M20984">
        <v>13901</v>
      </c>
      <c r="N20984" t="s">
        <v>116</v>
      </c>
      <c r="O20984">
        <v>250617</v>
      </c>
      <c r="P20984">
        <v>2.7</v>
      </c>
    </row>
    <row r="20985" spans="1:16" x14ac:dyDescent="0.25">
      <c r="A20985" t="s">
        <v>3296</v>
      </c>
      <c r="B20985" t="s">
        <v>2931</v>
      </c>
      <c r="C20985">
        <v>8719</v>
      </c>
      <c r="D20985" t="str">
        <f t="shared" si="407"/>
        <v xml:space="preserve">12523021546 </v>
      </c>
      <c r="E20985" t="s">
        <v>309</v>
      </c>
      <c r="F20985" t="s">
        <v>310</v>
      </c>
      <c r="G20985">
        <v>3.39</v>
      </c>
      <c r="H20985">
        <v>250531</v>
      </c>
      <c r="I20985">
        <v>4369</v>
      </c>
      <c r="J20985" t="s">
        <v>188</v>
      </c>
      <c r="K20985">
        <v>49.57</v>
      </c>
      <c r="L20985">
        <v>0.69</v>
      </c>
      <c r="M20985">
        <v>13901</v>
      </c>
      <c r="N20985" t="s">
        <v>116</v>
      </c>
      <c r="O20985">
        <v>250617</v>
      </c>
      <c r="P20985">
        <v>2.7</v>
      </c>
    </row>
    <row r="20986" spans="1:16" x14ac:dyDescent="0.25">
      <c r="A20986" t="s">
        <v>3296</v>
      </c>
      <c r="B20986" t="s">
        <v>2931</v>
      </c>
      <c r="C20986">
        <v>8719</v>
      </c>
      <c r="D20986" t="str">
        <f t="shared" si="407"/>
        <v xml:space="preserve">12523021546 </v>
      </c>
      <c r="E20986" t="s">
        <v>309</v>
      </c>
      <c r="F20986" t="s">
        <v>310</v>
      </c>
      <c r="G20986">
        <v>3.39</v>
      </c>
      <c r="H20986">
        <v>250531</v>
      </c>
      <c r="I20986">
        <v>4369</v>
      </c>
      <c r="J20986" t="s">
        <v>188</v>
      </c>
      <c r="K20986">
        <v>49.57</v>
      </c>
      <c r="L20986">
        <v>0.69</v>
      </c>
      <c r="M20986">
        <v>13901</v>
      </c>
      <c r="N20986" t="s">
        <v>116</v>
      </c>
      <c r="O20986">
        <v>250617</v>
      </c>
      <c r="P20986">
        <v>2.7</v>
      </c>
    </row>
    <row r="20987" spans="1:16" x14ac:dyDescent="0.25">
      <c r="A20987" t="s">
        <v>3296</v>
      </c>
      <c r="B20987" t="s">
        <v>2931</v>
      </c>
      <c r="C20987">
        <v>8719</v>
      </c>
      <c r="D20987" t="str">
        <f t="shared" si="407"/>
        <v xml:space="preserve">12523021546 </v>
      </c>
      <c r="E20987" t="s">
        <v>309</v>
      </c>
      <c r="F20987" t="s">
        <v>310</v>
      </c>
      <c r="G20987">
        <v>3.39</v>
      </c>
      <c r="H20987">
        <v>250531</v>
      </c>
      <c r="I20987">
        <v>4369</v>
      </c>
      <c r="J20987" t="s">
        <v>188</v>
      </c>
      <c r="K20987">
        <v>49.57</v>
      </c>
      <c r="L20987">
        <v>0.69</v>
      </c>
      <c r="M20987">
        <v>13901</v>
      </c>
      <c r="N20987" t="s">
        <v>116</v>
      </c>
      <c r="O20987">
        <v>250617</v>
      </c>
      <c r="P20987">
        <v>2.7</v>
      </c>
    </row>
    <row r="20988" spans="1:16" x14ac:dyDescent="0.25">
      <c r="A20988" t="s">
        <v>3296</v>
      </c>
      <c r="B20988" t="s">
        <v>2931</v>
      </c>
      <c r="C20988">
        <v>8719</v>
      </c>
      <c r="D20988" t="str">
        <f t="shared" si="407"/>
        <v xml:space="preserve">12523021546 </v>
      </c>
      <c r="E20988" t="s">
        <v>309</v>
      </c>
      <c r="F20988" t="s">
        <v>310</v>
      </c>
      <c r="G20988">
        <v>3.39</v>
      </c>
      <c r="H20988">
        <v>250531</v>
      </c>
      <c r="I20988">
        <v>4369</v>
      </c>
      <c r="J20988" t="s">
        <v>188</v>
      </c>
      <c r="K20988">
        <v>49.57</v>
      </c>
      <c r="L20988">
        <v>0.69</v>
      </c>
      <c r="M20988">
        <v>13901</v>
      </c>
      <c r="N20988" t="s">
        <v>116</v>
      </c>
      <c r="O20988">
        <v>250617</v>
      </c>
      <c r="P20988">
        <v>2.7</v>
      </c>
    </row>
    <row r="20989" spans="1:16" x14ac:dyDescent="0.25">
      <c r="A20989" t="s">
        <v>3296</v>
      </c>
      <c r="B20989" t="s">
        <v>2931</v>
      </c>
      <c r="C20989">
        <v>8719</v>
      </c>
      <c r="D20989" t="str">
        <f t="shared" si="407"/>
        <v xml:space="preserve">12523021546 </v>
      </c>
      <c r="E20989" t="s">
        <v>309</v>
      </c>
      <c r="F20989" t="s">
        <v>310</v>
      </c>
      <c r="G20989">
        <v>3.39</v>
      </c>
      <c r="H20989">
        <v>250531</v>
      </c>
      <c r="I20989">
        <v>4369</v>
      </c>
      <c r="J20989" t="s">
        <v>188</v>
      </c>
      <c r="K20989">
        <v>49.57</v>
      </c>
      <c r="L20989">
        <v>0.69</v>
      </c>
      <c r="M20989">
        <v>13901</v>
      </c>
      <c r="N20989" t="s">
        <v>116</v>
      </c>
      <c r="O20989">
        <v>250617</v>
      </c>
      <c r="P20989">
        <v>2.7</v>
      </c>
    </row>
    <row r="20990" spans="1:16" x14ac:dyDescent="0.25">
      <c r="A20990" t="s">
        <v>3296</v>
      </c>
      <c r="B20990" t="s">
        <v>2931</v>
      </c>
      <c r="C20990">
        <v>8719</v>
      </c>
      <c r="D20990" t="str">
        <f t="shared" si="407"/>
        <v xml:space="preserve">12523021546 </v>
      </c>
      <c r="E20990" t="s">
        <v>309</v>
      </c>
      <c r="F20990" t="s">
        <v>310</v>
      </c>
      <c r="G20990">
        <v>10.16</v>
      </c>
      <c r="H20990">
        <v>250531</v>
      </c>
      <c r="I20990">
        <v>4369</v>
      </c>
      <c r="J20990" t="s">
        <v>188</v>
      </c>
      <c r="K20990">
        <v>49.57</v>
      </c>
      <c r="L20990">
        <v>2.06</v>
      </c>
      <c r="M20990">
        <v>13940</v>
      </c>
      <c r="N20990" t="s">
        <v>14</v>
      </c>
      <c r="O20990">
        <v>250617</v>
      </c>
      <c r="P20990">
        <v>8.1</v>
      </c>
    </row>
    <row r="20991" spans="1:16" x14ac:dyDescent="0.25">
      <c r="A20991" t="s">
        <v>3296</v>
      </c>
      <c r="B20991" t="s">
        <v>2931</v>
      </c>
      <c r="C20991">
        <v>8719</v>
      </c>
      <c r="D20991" t="str">
        <f t="shared" si="407"/>
        <v xml:space="preserve">12523021546 </v>
      </c>
      <c r="E20991" t="s">
        <v>309</v>
      </c>
      <c r="F20991" t="s">
        <v>310</v>
      </c>
      <c r="G20991">
        <v>12.3</v>
      </c>
      <c r="H20991">
        <v>250531</v>
      </c>
      <c r="I20991">
        <v>4369</v>
      </c>
      <c r="J20991" t="s">
        <v>188</v>
      </c>
      <c r="K20991">
        <v>49.57</v>
      </c>
      <c r="L20991">
        <v>2.5</v>
      </c>
      <c r="M20991">
        <v>13940</v>
      </c>
      <c r="N20991" t="s">
        <v>14</v>
      </c>
      <c r="O20991">
        <v>250617</v>
      </c>
      <c r="P20991">
        <v>9.8000000000000007</v>
      </c>
    </row>
    <row r="20992" spans="1:16" x14ac:dyDescent="0.25">
      <c r="A20992" t="s">
        <v>3296</v>
      </c>
      <c r="B20992" t="s">
        <v>2931</v>
      </c>
      <c r="C20992">
        <v>8723</v>
      </c>
      <c r="D20992" t="str">
        <f t="shared" ref="D20992:D20998" si="408">"12523021559 "</f>
        <v xml:space="preserve">12523021559 </v>
      </c>
      <c r="E20992" t="s">
        <v>309</v>
      </c>
      <c r="F20992" t="s">
        <v>310</v>
      </c>
      <c r="G20992">
        <v>2.2000000000000002</v>
      </c>
      <c r="H20992">
        <v>250531</v>
      </c>
      <c r="I20992">
        <v>4369</v>
      </c>
      <c r="J20992" t="s">
        <v>188</v>
      </c>
      <c r="K20992">
        <v>16.940000000000001</v>
      </c>
      <c r="L20992">
        <v>0.45</v>
      </c>
      <c r="M20992">
        <v>41126</v>
      </c>
      <c r="N20992" t="s">
        <v>94</v>
      </c>
      <c r="O20992">
        <v>250617</v>
      </c>
      <c r="P20992">
        <v>1.75</v>
      </c>
    </row>
    <row r="20993" spans="1:16" x14ac:dyDescent="0.25">
      <c r="A20993" t="s">
        <v>3296</v>
      </c>
      <c r="B20993" t="s">
        <v>2931</v>
      </c>
      <c r="C20993">
        <v>8723</v>
      </c>
      <c r="D20993" t="str">
        <f t="shared" si="408"/>
        <v xml:space="preserve">12523021559 </v>
      </c>
      <c r="E20993" t="s">
        <v>309</v>
      </c>
      <c r="F20993" t="s">
        <v>310</v>
      </c>
      <c r="G20993">
        <v>1.69</v>
      </c>
      <c r="H20993">
        <v>250531</v>
      </c>
      <c r="I20993">
        <v>4369</v>
      </c>
      <c r="J20993" t="s">
        <v>188</v>
      </c>
      <c r="K20993">
        <v>16.940000000000001</v>
      </c>
      <c r="L20993">
        <v>0.34</v>
      </c>
      <c r="M20993">
        <v>43222</v>
      </c>
      <c r="N20993" t="s">
        <v>95</v>
      </c>
      <c r="O20993">
        <v>250617</v>
      </c>
      <c r="P20993">
        <v>1.35</v>
      </c>
    </row>
    <row r="20994" spans="1:16" x14ac:dyDescent="0.25">
      <c r="A20994" t="s">
        <v>3296</v>
      </c>
      <c r="B20994" t="s">
        <v>2931</v>
      </c>
      <c r="C20994">
        <v>8723</v>
      </c>
      <c r="D20994" t="str">
        <f t="shared" si="408"/>
        <v xml:space="preserve">12523021559 </v>
      </c>
      <c r="E20994" t="s">
        <v>309</v>
      </c>
      <c r="F20994" t="s">
        <v>310</v>
      </c>
      <c r="G20994">
        <v>2.0299999999999998</v>
      </c>
      <c r="H20994">
        <v>250531</v>
      </c>
      <c r="I20994">
        <v>4369</v>
      </c>
      <c r="J20994" t="s">
        <v>188</v>
      </c>
      <c r="K20994">
        <v>16.940000000000001</v>
      </c>
      <c r="L20994">
        <v>0.41</v>
      </c>
      <c r="M20994">
        <v>44222</v>
      </c>
      <c r="N20994" t="s">
        <v>96</v>
      </c>
      <c r="O20994">
        <v>250617</v>
      </c>
      <c r="P20994">
        <v>1.62</v>
      </c>
    </row>
    <row r="20995" spans="1:16" x14ac:dyDescent="0.25">
      <c r="A20995" t="s">
        <v>3296</v>
      </c>
      <c r="B20995" t="s">
        <v>2931</v>
      </c>
      <c r="C20995">
        <v>8723</v>
      </c>
      <c r="D20995" t="str">
        <f t="shared" si="408"/>
        <v xml:space="preserve">12523021559 </v>
      </c>
      <c r="E20995" t="s">
        <v>309</v>
      </c>
      <c r="F20995" t="s">
        <v>310</v>
      </c>
      <c r="G20995">
        <v>2.2000000000000002</v>
      </c>
      <c r="H20995">
        <v>250531</v>
      </c>
      <c r="I20995">
        <v>4369</v>
      </c>
      <c r="J20995" t="s">
        <v>188</v>
      </c>
      <c r="K20995">
        <v>16.940000000000001</v>
      </c>
      <c r="L20995">
        <v>0.45</v>
      </c>
      <c r="M20995">
        <v>44424</v>
      </c>
      <c r="N20995" t="s">
        <v>99</v>
      </c>
      <c r="O20995">
        <v>250617</v>
      </c>
      <c r="P20995">
        <v>1.75</v>
      </c>
    </row>
    <row r="20996" spans="1:16" x14ac:dyDescent="0.25">
      <c r="A20996" t="s">
        <v>3296</v>
      </c>
      <c r="B20996" t="s">
        <v>2931</v>
      </c>
      <c r="C20996">
        <v>8723</v>
      </c>
      <c r="D20996" t="str">
        <f t="shared" si="408"/>
        <v xml:space="preserve">12523021559 </v>
      </c>
      <c r="E20996" t="s">
        <v>309</v>
      </c>
      <c r="F20996" t="s">
        <v>310</v>
      </c>
      <c r="G20996">
        <v>1.19</v>
      </c>
      <c r="H20996">
        <v>250531</v>
      </c>
      <c r="I20996">
        <v>4369</v>
      </c>
      <c r="J20996" t="s">
        <v>188</v>
      </c>
      <c r="K20996">
        <v>16.940000000000001</v>
      </c>
      <c r="L20996">
        <v>0.24</v>
      </c>
      <c r="M20996">
        <v>46222</v>
      </c>
      <c r="N20996" t="s">
        <v>101</v>
      </c>
      <c r="O20996">
        <v>250617</v>
      </c>
      <c r="P20996">
        <v>0.95</v>
      </c>
    </row>
    <row r="20997" spans="1:16" x14ac:dyDescent="0.25">
      <c r="A20997" t="s">
        <v>3296</v>
      </c>
      <c r="B20997" t="s">
        <v>2931</v>
      </c>
      <c r="C20997">
        <v>8723</v>
      </c>
      <c r="D20997" t="str">
        <f t="shared" si="408"/>
        <v xml:space="preserve">12523021559 </v>
      </c>
      <c r="E20997" t="s">
        <v>309</v>
      </c>
      <c r="F20997" t="s">
        <v>310</v>
      </c>
      <c r="G20997">
        <v>6.78</v>
      </c>
      <c r="H20997">
        <v>250531</v>
      </c>
      <c r="I20997">
        <v>4369</v>
      </c>
      <c r="J20997" t="s">
        <v>188</v>
      </c>
      <c r="K20997">
        <v>16.940000000000001</v>
      </c>
      <c r="L20997">
        <v>1.38</v>
      </c>
      <c r="M20997">
        <v>46559</v>
      </c>
      <c r="N20997" t="s">
        <v>105</v>
      </c>
      <c r="O20997">
        <v>250617</v>
      </c>
      <c r="P20997">
        <v>5.4</v>
      </c>
    </row>
    <row r="20998" spans="1:16" x14ac:dyDescent="0.25">
      <c r="A20998" t="s">
        <v>3296</v>
      </c>
      <c r="B20998" t="s">
        <v>2931</v>
      </c>
      <c r="C20998">
        <v>8723</v>
      </c>
      <c r="D20998" t="str">
        <f t="shared" si="408"/>
        <v xml:space="preserve">12523021559 </v>
      </c>
      <c r="E20998" t="s">
        <v>309</v>
      </c>
      <c r="F20998" t="s">
        <v>310</v>
      </c>
      <c r="G20998">
        <v>0.85</v>
      </c>
      <c r="H20998">
        <v>250531</v>
      </c>
      <c r="I20998">
        <v>4369</v>
      </c>
      <c r="J20998" t="s">
        <v>188</v>
      </c>
      <c r="K20998">
        <v>16.940000000000001</v>
      </c>
      <c r="L20998">
        <v>0.17</v>
      </c>
      <c r="M20998">
        <v>47522</v>
      </c>
      <c r="N20998" t="s">
        <v>106</v>
      </c>
      <c r="O20998">
        <v>250617</v>
      </c>
      <c r="P20998">
        <v>0.68</v>
      </c>
    </row>
    <row r="20999" spans="1:16" x14ac:dyDescent="0.25">
      <c r="A20999" t="s">
        <v>3296</v>
      </c>
      <c r="B20999" t="s">
        <v>2931</v>
      </c>
      <c r="C20999">
        <v>8724</v>
      </c>
      <c r="D20999" t="str">
        <f t="shared" ref="D20999:D21009" si="409">"12523021545 "</f>
        <v xml:space="preserve">12523021545 </v>
      </c>
      <c r="E20999" t="s">
        <v>309</v>
      </c>
      <c r="F20999" t="s">
        <v>310</v>
      </c>
      <c r="G20999">
        <v>3.39</v>
      </c>
      <c r="H20999">
        <v>250531</v>
      </c>
      <c r="I20999">
        <v>4369</v>
      </c>
      <c r="J20999" t="s">
        <v>188</v>
      </c>
      <c r="K20999">
        <v>73.2</v>
      </c>
      <c r="L20999">
        <v>0.69</v>
      </c>
      <c r="M20999">
        <v>51157</v>
      </c>
      <c r="N20999" t="s">
        <v>998</v>
      </c>
      <c r="O20999">
        <v>250617</v>
      </c>
      <c r="P20999">
        <v>2.7</v>
      </c>
    </row>
    <row r="21000" spans="1:16" x14ac:dyDescent="0.25">
      <c r="A21000" t="s">
        <v>3296</v>
      </c>
      <c r="B21000" t="s">
        <v>2931</v>
      </c>
      <c r="C21000">
        <v>8724</v>
      </c>
      <c r="D21000" t="str">
        <f t="shared" si="409"/>
        <v xml:space="preserve">12523021545 </v>
      </c>
      <c r="E21000" t="s">
        <v>309</v>
      </c>
      <c r="F21000" t="s">
        <v>310</v>
      </c>
      <c r="G21000">
        <v>3.39</v>
      </c>
      <c r="H21000">
        <v>250531</v>
      </c>
      <c r="I21000">
        <v>4369</v>
      </c>
      <c r="J21000" t="s">
        <v>188</v>
      </c>
      <c r="K21000">
        <v>73.2</v>
      </c>
      <c r="L21000">
        <v>0.69</v>
      </c>
      <c r="M21000">
        <v>56526</v>
      </c>
      <c r="N21000" t="s">
        <v>506</v>
      </c>
      <c r="O21000">
        <v>250617</v>
      </c>
      <c r="P21000">
        <v>2.7</v>
      </c>
    </row>
    <row r="21001" spans="1:16" x14ac:dyDescent="0.25">
      <c r="A21001" t="s">
        <v>3296</v>
      </c>
      <c r="B21001" t="s">
        <v>2931</v>
      </c>
      <c r="C21001">
        <v>8724</v>
      </c>
      <c r="D21001" t="str">
        <f t="shared" si="409"/>
        <v xml:space="preserve">12523021545 </v>
      </c>
      <c r="E21001" t="s">
        <v>309</v>
      </c>
      <c r="F21001" t="s">
        <v>310</v>
      </c>
      <c r="G21001">
        <v>17.16</v>
      </c>
      <c r="H21001">
        <v>250531</v>
      </c>
      <c r="I21001">
        <v>4369</v>
      </c>
      <c r="J21001" t="s">
        <v>188</v>
      </c>
      <c r="K21001">
        <v>73.2</v>
      </c>
      <c r="L21001">
        <v>3.49</v>
      </c>
      <c r="M21001">
        <v>56558</v>
      </c>
      <c r="N21001" t="s">
        <v>50</v>
      </c>
      <c r="O21001">
        <v>250617</v>
      </c>
      <c r="P21001">
        <v>13.67</v>
      </c>
    </row>
    <row r="21002" spans="1:16" x14ac:dyDescent="0.25">
      <c r="A21002" t="s">
        <v>3296</v>
      </c>
      <c r="B21002" t="s">
        <v>2931</v>
      </c>
      <c r="C21002">
        <v>8724</v>
      </c>
      <c r="D21002" t="str">
        <f t="shared" si="409"/>
        <v xml:space="preserve">12523021545 </v>
      </c>
      <c r="E21002" t="s">
        <v>309</v>
      </c>
      <c r="F21002" t="s">
        <v>310</v>
      </c>
      <c r="G21002">
        <v>11.7</v>
      </c>
      <c r="H21002">
        <v>250531</v>
      </c>
      <c r="I21002">
        <v>4369</v>
      </c>
      <c r="J21002" t="s">
        <v>188</v>
      </c>
      <c r="K21002">
        <v>73.2</v>
      </c>
      <c r="L21002">
        <v>2.38</v>
      </c>
      <c r="M21002">
        <v>56559</v>
      </c>
      <c r="N21002" t="s">
        <v>51</v>
      </c>
      <c r="O21002">
        <v>250617</v>
      </c>
      <c r="P21002">
        <v>9.32</v>
      </c>
    </row>
    <row r="21003" spans="1:16" x14ac:dyDescent="0.25">
      <c r="A21003" t="s">
        <v>3296</v>
      </c>
      <c r="B21003" t="s">
        <v>2931</v>
      </c>
      <c r="C21003">
        <v>8724</v>
      </c>
      <c r="D21003" t="str">
        <f t="shared" si="409"/>
        <v xml:space="preserve">12523021545 </v>
      </c>
      <c r="E21003" t="s">
        <v>309</v>
      </c>
      <c r="F21003" t="s">
        <v>310</v>
      </c>
      <c r="G21003">
        <v>6.78</v>
      </c>
      <c r="H21003">
        <v>250531</v>
      </c>
      <c r="I21003">
        <v>4369</v>
      </c>
      <c r="J21003" t="s">
        <v>188</v>
      </c>
      <c r="K21003">
        <v>73.2</v>
      </c>
      <c r="L21003">
        <v>1.38</v>
      </c>
      <c r="M21003">
        <v>56560</v>
      </c>
      <c r="N21003" t="s">
        <v>52</v>
      </c>
      <c r="O21003">
        <v>250617</v>
      </c>
      <c r="P21003">
        <v>5.4</v>
      </c>
    </row>
    <row r="21004" spans="1:16" x14ac:dyDescent="0.25">
      <c r="A21004" t="s">
        <v>3296</v>
      </c>
      <c r="B21004" t="s">
        <v>2931</v>
      </c>
      <c r="C21004">
        <v>8724</v>
      </c>
      <c r="D21004" t="str">
        <f t="shared" si="409"/>
        <v xml:space="preserve">12523021545 </v>
      </c>
      <c r="E21004" t="s">
        <v>309</v>
      </c>
      <c r="F21004" t="s">
        <v>310</v>
      </c>
      <c r="G21004">
        <v>3.39</v>
      </c>
      <c r="H21004">
        <v>250531</v>
      </c>
      <c r="I21004">
        <v>4369</v>
      </c>
      <c r="J21004" t="s">
        <v>188</v>
      </c>
      <c r="K21004">
        <v>73.2</v>
      </c>
      <c r="L21004">
        <v>0.69</v>
      </c>
      <c r="M21004">
        <v>56561</v>
      </c>
      <c r="N21004" t="s">
        <v>53</v>
      </c>
      <c r="O21004">
        <v>250617</v>
      </c>
      <c r="P21004">
        <v>2.7</v>
      </c>
    </row>
    <row r="21005" spans="1:16" x14ac:dyDescent="0.25">
      <c r="A21005" t="s">
        <v>3296</v>
      </c>
      <c r="B21005" t="s">
        <v>2931</v>
      </c>
      <c r="C21005">
        <v>8724</v>
      </c>
      <c r="D21005" t="str">
        <f t="shared" si="409"/>
        <v xml:space="preserve">12523021545 </v>
      </c>
      <c r="E21005" t="s">
        <v>309</v>
      </c>
      <c r="F21005" t="s">
        <v>310</v>
      </c>
      <c r="G21005">
        <v>7.14</v>
      </c>
      <c r="H21005">
        <v>250531</v>
      </c>
      <c r="I21005">
        <v>4369</v>
      </c>
      <c r="J21005" t="s">
        <v>188</v>
      </c>
      <c r="K21005">
        <v>73.2</v>
      </c>
      <c r="L21005">
        <v>1.45</v>
      </c>
      <c r="M21005">
        <v>56562</v>
      </c>
      <c r="N21005" t="s">
        <v>54</v>
      </c>
      <c r="O21005">
        <v>250617</v>
      </c>
      <c r="P21005">
        <v>5.69</v>
      </c>
    </row>
    <row r="21006" spans="1:16" x14ac:dyDescent="0.25">
      <c r="A21006" t="s">
        <v>3296</v>
      </c>
      <c r="B21006" t="s">
        <v>2931</v>
      </c>
      <c r="C21006">
        <v>8724</v>
      </c>
      <c r="D21006" t="str">
        <f t="shared" si="409"/>
        <v xml:space="preserve">12523021545 </v>
      </c>
      <c r="E21006" t="s">
        <v>309</v>
      </c>
      <c r="F21006" t="s">
        <v>310</v>
      </c>
      <c r="G21006">
        <v>9.98</v>
      </c>
      <c r="H21006">
        <v>250531</v>
      </c>
      <c r="I21006">
        <v>4369</v>
      </c>
      <c r="J21006" t="s">
        <v>188</v>
      </c>
      <c r="K21006">
        <v>73.2</v>
      </c>
      <c r="L21006">
        <v>2.0299999999999998</v>
      </c>
      <c r="M21006">
        <v>56564</v>
      </c>
      <c r="N21006" t="s">
        <v>56</v>
      </c>
      <c r="O21006">
        <v>250617</v>
      </c>
      <c r="P21006">
        <v>7.95</v>
      </c>
    </row>
    <row r="21007" spans="1:16" x14ac:dyDescent="0.25">
      <c r="A21007" t="s">
        <v>3296</v>
      </c>
      <c r="B21007" t="s">
        <v>2931</v>
      </c>
      <c r="C21007">
        <v>8724</v>
      </c>
      <c r="D21007" t="str">
        <f t="shared" si="409"/>
        <v xml:space="preserve">12523021545 </v>
      </c>
      <c r="E21007" t="s">
        <v>309</v>
      </c>
      <c r="F21007" t="s">
        <v>310</v>
      </c>
      <c r="G21007">
        <v>3.51</v>
      </c>
      <c r="H21007">
        <v>250531</v>
      </c>
      <c r="I21007">
        <v>4369</v>
      </c>
      <c r="J21007" t="s">
        <v>188</v>
      </c>
      <c r="K21007">
        <v>73.2</v>
      </c>
      <c r="L21007">
        <v>0.71</v>
      </c>
      <c r="M21007">
        <v>56565</v>
      </c>
      <c r="N21007" t="s">
        <v>57</v>
      </c>
      <c r="O21007">
        <v>250617</v>
      </c>
      <c r="P21007">
        <v>2.8</v>
      </c>
    </row>
    <row r="21008" spans="1:16" x14ac:dyDescent="0.25">
      <c r="A21008" t="s">
        <v>3296</v>
      </c>
      <c r="B21008" t="s">
        <v>2931</v>
      </c>
      <c r="C21008">
        <v>8724</v>
      </c>
      <c r="D21008" t="str">
        <f t="shared" si="409"/>
        <v xml:space="preserve">12523021545 </v>
      </c>
      <c r="E21008" t="s">
        <v>309</v>
      </c>
      <c r="F21008" t="s">
        <v>310</v>
      </c>
      <c r="G21008">
        <v>3.39</v>
      </c>
      <c r="H21008">
        <v>250531</v>
      </c>
      <c r="I21008">
        <v>4369</v>
      </c>
      <c r="J21008" t="s">
        <v>188</v>
      </c>
      <c r="K21008">
        <v>73.2</v>
      </c>
      <c r="L21008">
        <v>0.69</v>
      </c>
      <c r="M21008">
        <v>56566</v>
      </c>
      <c r="N21008" t="s">
        <v>58</v>
      </c>
      <c r="O21008">
        <v>250617</v>
      </c>
      <c r="P21008">
        <v>2.7</v>
      </c>
    </row>
    <row r="21009" spans="1:16" x14ac:dyDescent="0.25">
      <c r="A21009" t="s">
        <v>3296</v>
      </c>
      <c r="B21009" t="s">
        <v>2931</v>
      </c>
      <c r="C21009">
        <v>8724</v>
      </c>
      <c r="D21009" t="str">
        <f t="shared" si="409"/>
        <v xml:space="preserve">12523021545 </v>
      </c>
      <c r="E21009" t="s">
        <v>309</v>
      </c>
      <c r="F21009" t="s">
        <v>310</v>
      </c>
      <c r="G21009">
        <v>3.37</v>
      </c>
      <c r="H21009">
        <v>250531</v>
      </c>
      <c r="I21009">
        <v>4369</v>
      </c>
      <c r="J21009" t="s">
        <v>188</v>
      </c>
      <c r="K21009">
        <v>73.2</v>
      </c>
      <c r="L21009">
        <v>0.68</v>
      </c>
      <c r="M21009">
        <v>56568</v>
      </c>
      <c r="N21009" t="s">
        <v>354</v>
      </c>
      <c r="O21009">
        <v>250617</v>
      </c>
      <c r="P21009">
        <v>2.69</v>
      </c>
    </row>
    <row r="21010" spans="1:16" x14ac:dyDescent="0.25">
      <c r="A21010" t="s">
        <v>3296</v>
      </c>
      <c r="B21010" t="s">
        <v>2931</v>
      </c>
      <c r="C21010">
        <v>8725</v>
      </c>
      <c r="D21010" t="str">
        <f>"12523021567 "</f>
        <v xml:space="preserve">12523021567 </v>
      </c>
      <c r="E21010" t="s">
        <v>309</v>
      </c>
      <c r="F21010" t="s">
        <v>310</v>
      </c>
      <c r="G21010">
        <v>94.66</v>
      </c>
      <c r="H21010">
        <v>250531</v>
      </c>
      <c r="I21010">
        <v>4369</v>
      </c>
      <c r="J21010" t="s">
        <v>188</v>
      </c>
      <c r="K21010">
        <v>94.66</v>
      </c>
      <c r="L21010">
        <v>19.23</v>
      </c>
      <c r="M21010">
        <v>11801</v>
      </c>
      <c r="N21010" t="s">
        <v>40</v>
      </c>
      <c r="O21010">
        <v>250617</v>
      </c>
      <c r="P21010">
        <v>75.430000000000007</v>
      </c>
    </row>
    <row r="21011" spans="1:16" x14ac:dyDescent="0.25">
      <c r="A21011" t="s">
        <v>3296</v>
      </c>
      <c r="B21011" t="s">
        <v>2931</v>
      </c>
      <c r="C21011">
        <v>8787</v>
      </c>
      <c r="D21011" t="str">
        <f t="shared" ref="D21011:D21031" si="410">"12523021573 "</f>
        <v xml:space="preserve">12523021573 </v>
      </c>
      <c r="E21011" t="s">
        <v>309</v>
      </c>
      <c r="F21011" t="s">
        <v>310</v>
      </c>
      <c r="G21011">
        <v>22.39</v>
      </c>
      <c r="H21011">
        <v>250531</v>
      </c>
      <c r="I21011">
        <v>4369</v>
      </c>
      <c r="J21011" t="s">
        <v>188</v>
      </c>
      <c r="K21011">
        <v>234.07</v>
      </c>
      <c r="L21011">
        <v>4.55</v>
      </c>
      <c r="M21011">
        <v>11601</v>
      </c>
      <c r="N21011" t="s">
        <v>12</v>
      </c>
      <c r="O21011">
        <v>250618</v>
      </c>
      <c r="P21011">
        <v>17.84</v>
      </c>
    </row>
    <row r="21012" spans="1:16" x14ac:dyDescent="0.25">
      <c r="A21012" t="s">
        <v>3296</v>
      </c>
      <c r="B21012" t="s">
        <v>2931</v>
      </c>
      <c r="C21012">
        <v>8787</v>
      </c>
      <c r="D21012" t="str">
        <f t="shared" si="410"/>
        <v xml:space="preserve">12523021573 </v>
      </c>
      <c r="E21012" t="s">
        <v>309</v>
      </c>
      <c r="F21012" t="s">
        <v>310</v>
      </c>
      <c r="G21012">
        <v>3.2</v>
      </c>
      <c r="H21012">
        <v>250531</v>
      </c>
      <c r="I21012">
        <v>4369</v>
      </c>
      <c r="J21012" t="s">
        <v>188</v>
      </c>
      <c r="K21012">
        <v>234.07</v>
      </c>
      <c r="L21012">
        <v>0.65</v>
      </c>
      <c r="M21012">
        <v>11603</v>
      </c>
      <c r="N21012" t="s">
        <v>897</v>
      </c>
      <c r="O21012">
        <v>250618</v>
      </c>
      <c r="P21012">
        <v>2.5499999999999998</v>
      </c>
    </row>
    <row r="21013" spans="1:16" x14ac:dyDescent="0.25">
      <c r="A21013" t="s">
        <v>3296</v>
      </c>
      <c r="B21013" t="s">
        <v>2931</v>
      </c>
      <c r="C21013">
        <v>8787</v>
      </c>
      <c r="D21013" t="str">
        <f t="shared" si="410"/>
        <v xml:space="preserve">12523021573 </v>
      </c>
      <c r="E21013" t="s">
        <v>309</v>
      </c>
      <c r="F21013" t="s">
        <v>310</v>
      </c>
      <c r="G21013">
        <v>17.13</v>
      </c>
      <c r="H21013">
        <v>250531</v>
      </c>
      <c r="I21013">
        <v>4369</v>
      </c>
      <c r="J21013" t="s">
        <v>188</v>
      </c>
      <c r="K21013">
        <v>234.07</v>
      </c>
      <c r="L21013">
        <v>3.48</v>
      </c>
      <c r="M21013">
        <v>14121</v>
      </c>
      <c r="N21013" t="s">
        <v>71</v>
      </c>
      <c r="O21013">
        <v>250618</v>
      </c>
      <c r="P21013">
        <v>13.65</v>
      </c>
    </row>
    <row r="21014" spans="1:16" x14ac:dyDescent="0.25">
      <c r="A21014" t="s">
        <v>3296</v>
      </c>
      <c r="B21014" t="s">
        <v>2931</v>
      </c>
      <c r="C21014">
        <v>8787</v>
      </c>
      <c r="D21014" t="str">
        <f t="shared" si="410"/>
        <v xml:space="preserve">12523021573 </v>
      </c>
      <c r="E21014" t="s">
        <v>309</v>
      </c>
      <c r="F21014" t="s">
        <v>310</v>
      </c>
      <c r="G21014">
        <v>24.03</v>
      </c>
      <c r="H21014">
        <v>250531</v>
      </c>
      <c r="I21014">
        <v>4369</v>
      </c>
      <c r="J21014" t="s">
        <v>188</v>
      </c>
      <c r="K21014">
        <v>234.07</v>
      </c>
      <c r="L21014">
        <v>4.88</v>
      </c>
      <c r="M21014">
        <v>14321</v>
      </c>
      <c r="N21014" t="s">
        <v>72</v>
      </c>
      <c r="O21014">
        <v>250618</v>
      </c>
      <c r="P21014">
        <v>19.149999999999999</v>
      </c>
    </row>
    <row r="21015" spans="1:16" x14ac:dyDescent="0.25">
      <c r="A21015" t="s">
        <v>3296</v>
      </c>
      <c r="B21015" t="s">
        <v>2931</v>
      </c>
      <c r="C21015">
        <v>8787</v>
      </c>
      <c r="D21015" t="str">
        <f t="shared" si="410"/>
        <v xml:space="preserve">12523021573 </v>
      </c>
      <c r="E21015" t="s">
        <v>309</v>
      </c>
      <c r="F21015" t="s">
        <v>310</v>
      </c>
      <c r="G21015">
        <v>17.25</v>
      </c>
      <c r="H21015">
        <v>250531</v>
      </c>
      <c r="I21015">
        <v>4369</v>
      </c>
      <c r="J21015" t="s">
        <v>188</v>
      </c>
      <c r="K21015">
        <v>234.07</v>
      </c>
      <c r="L21015">
        <v>3.5</v>
      </c>
      <c r="M21015">
        <v>14422</v>
      </c>
      <c r="N21015" t="s">
        <v>73</v>
      </c>
      <c r="O21015">
        <v>250618</v>
      </c>
      <c r="P21015">
        <v>13.75</v>
      </c>
    </row>
    <row r="21016" spans="1:16" x14ac:dyDescent="0.25">
      <c r="A21016" t="s">
        <v>3296</v>
      </c>
      <c r="B21016" t="s">
        <v>2931</v>
      </c>
      <c r="C21016">
        <v>8787</v>
      </c>
      <c r="D21016" t="str">
        <f t="shared" si="410"/>
        <v xml:space="preserve">12523021573 </v>
      </c>
      <c r="E21016" t="s">
        <v>309</v>
      </c>
      <c r="F21016" t="s">
        <v>310</v>
      </c>
      <c r="G21016">
        <v>10.16</v>
      </c>
      <c r="H21016">
        <v>250531</v>
      </c>
      <c r="I21016">
        <v>4369</v>
      </c>
      <c r="J21016" t="s">
        <v>188</v>
      </c>
      <c r="K21016">
        <v>234.07</v>
      </c>
      <c r="L21016">
        <v>2.06</v>
      </c>
      <c r="M21016">
        <v>14431</v>
      </c>
      <c r="N21016" t="s">
        <v>74</v>
      </c>
      <c r="O21016">
        <v>250618</v>
      </c>
      <c r="P21016">
        <v>8.1</v>
      </c>
    </row>
    <row r="21017" spans="1:16" x14ac:dyDescent="0.25">
      <c r="A21017" t="s">
        <v>3296</v>
      </c>
      <c r="B21017" t="s">
        <v>2931</v>
      </c>
      <c r="C21017">
        <v>8787</v>
      </c>
      <c r="D21017" t="str">
        <f t="shared" si="410"/>
        <v xml:space="preserve">12523021573 </v>
      </c>
      <c r="E21017" t="s">
        <v>309</v>
      </c>
      <c r="F21017" t="s">
        <v>310</v>
      </c>
      <c r="G21017">
        <v>13.36</v>
      </c>
      <c r="H21017">
        <v>250531</v>
      </c>
      <c r="I21017">
        <v>4369</v>
      </c>
      <c r="J21017" t="s">
        <v>188</v>
      </c>
      <c r="K21017">
        <v>234.07</v>
      </c>
      <c r="L21017">
        <v>2.71</v>
      </c>
      <c r="M21017">
        <v>14432</v>
      </c>
      <c r="N21017" t="s">
        <v>75</v>
      </c>
      <c r="O21017">
        <v>250618</v>
      </c>
      <c r="P21017">
        <v>10.65</v>
      </c>
    </row>
    <row r="21018" spans="1:16" x14ac:dyDescent="0.25">
      <c r="A21018" t="s">
        <v>3296</v>
      </c>
      <c r="B21018" t="s">
        <v>2931</v>
      </c>
      <c r="C21018">
        <v>8787</v>
      </c>
      <c r="D21018" t="str">
        <f t="shared" si="410"/>
        <v xml:space="preserve">12523021573 </v>
      </c>
      <c r="E21018" t="s">
        <v>309</v>
      </c>
      <c r="F21018" t="s">
        <v>310</v>
      </c>
      <c r="G21018">
        <v>6.96</v>
      </c>
      <c r="H21018">
        <v>250531</v>
      </c>
      <c r="I21018">
        <v>4369</v>
      </c>
      <c r="J21018" t="s">
        <v>188</v>
      </c>
      <c r="K21018">
        <v>234.07</v>
      </c>
      <c r="L21018">
        <v>1.41</v>
      </c>
      <c r="M21018">
        <v>14541</v>
      </c>
      <c r="N21018" t="s">
        <v>76</v>
      </c>
      <c r="O21018">
        <v>250618</v>
      </c>
      <c r="P21018">
        <v>5.55</v>
      </c>
    </row>
    <row r="21019" spans="1:16" x14ac:dyDescent="0.25">
      <c r="A21019" t="s">
        <v>3296</v>
      </c>
      <c r="B21019" t="s">
        <v>2931</v>
      </c>
      <c r="C21019">
        <v>8787</v>
      </c>
      <c r="D21019" t="str">
        <f t="shared" si="410"/>
        <v xml:space="preserve">12523021573 </v>
      </c>
      <c r="E21019" t="s">
        <v>309</v>
      </c>
      <c r="F21019" t="s">
        <v>310</v>
      </c>
      <c r="G21019">
        <v>50.23</v>
      </c>
      <c r="H21019">
        <v>250531</v>
      </c>
      <c r="I21019">
        <v>4369</v>
      </c>
      <c r="J21019" t="s">
        <v>188</v>
      </c>
      <c r="K21019">
        <v>234.07</v>
      </c>
      <c r="L21019">
        <v>10.210000000000001</v>
      </c>
      <c r="M21019">
        <v>14622</v>
      </c>
      <c r="N21019" t="s">
        <v>77</v>
      </c>
      <c r="O21019">
        <v>250618</v>
      </c>
      <c r="P21019">
        <v>40.020000000000003</v>
      </c>
    </row>
    <row r="21020" spans="1:16" x14ac:dyDescent="0.25">
      <c r="A21020" t="s">
        <v>3296</v>
      </c>
      <c r="B21020" t="s">
        <v>2931</v>
      </c>
      <c r="C21020">
        <v>8787</v>
      </c>
      <c r="D21020" t="str">
        <f t="shared" si="410"/>
        <v xml:space="preserve">12523021573 </v>
      </c>
      <c r="E21020" t="s">
        <v>309</v>
      </c>
      <c r="F21020" t="s">
        <v>310</v>
      </c>
      <c r="G21020">
        <v>6.81</v>
      </c>
      <c r="H21020">
        <v>250531</v>
      </c>
      <c r="I21020">
        <v>4369</v>
      </c>
      <c r="J21020" t="s">
        <v>188</v>
      </c>
      <c r="K21020">
        <v>234.07</v>
      </c>
      <c r="L21020">
        <v>1.38</v>
      </c>
      <c r="M21020">
        <v>14640</v>
      </c>
      <c r="N21020" t="s">
        <v>78</v>
      </c>
      <c r="O21020">
        <v>250618</v>
      </c>
      <c r="P21020">
        <v>5.43</v>
      </c>
    </row>
    <row r="21021" spans="1:16" x14ac:dyDescent="0.25">
      <c r="A21021" t="s">
        <v>3296</v>
      </c>
      <c r="B21021" t="s">
        <v>2931</v>
      </c>
      <c r="C21021">
        <v>8787</v>
      </c>
      <c r="D21021" t="str">
        <f t="shared" si="410"/>
        <v xml:space="preserve">12523021573 </v>
      </c>
      <c r="E21021" t="s">
        <v>309</v>
      </c>
      <c r="F21021" t="s">
        <v>310</v>
      </c>
      <c r="G21021">
        <v>3.39</v>
      </c>
      <c r="H21021">
        <v>250531</v>
      </c>
      <c r="I21021">
        <v>4369</v>
      </c>
      <c r="J21021" t="s">
        <v>188</v>
      </c>
      <c r="K21021">
        <v>234.07</v>
      </c>
      <c r="L21021">
        <v>0.69</v>
      </c>
      <c r="M21021">
        <v>14861</v>
      </c>
      <c r="N21021" t="s">
        <v>79</v>
      </c>
      <c r="O21021">
        <v>250618</v>
      </c>
      <c r="P21021">
        <v>2.7</v>
      </c>
    </row>
    <row r="21022" spans="1:16" x14ac:dyDescent="0.25">
      <c r="A21022" t="s">
        <v>3296</v>
      </c>
      <c r="B21022" t="s">
        <v>2931</v>
      </c>
      <c r="C21022">
        <v>8787</v>
      </c>
      <c r="D21022" t="str">
        <f t="shared" si="410"/>
        <v xml:space="preserve">12523021573 </v>
      </c>
      <c r="E21022" t="s">
        <v>309</v>
      </c>
      <c r="F21022" t="s">
        <v>310</v>
      </c>
      <c r="G21022">
        <v>6.94</v>
      </c>
      <c r="H21022">
        <v>250531</v>
      </c>
      <c r="I21022">
        <v>4369</v>
      </c>
      <c r="J21022" t="s">
        <v>188</v>
      </c>
      <c r="K21022">
        <v>234.07</v>
      </c>
      <c r="L21022">
        <v>1.41</v>
      </c>
      <c r="M21022">
        <v>14912</v>
      </c>
      <c r="N21022" t="s">
        <v>80</v>
      </c>
      <c r="O21022">
        <v>250618</v>
      </c>
      <c r="P21022">
        <v>5.53</v>
      </c>
    </row>
    <row r="21023" spans="1:16" x14ac:dyDescent="0.25">
      <c r="A21023" t="s">
        <v>3296</v>
      </c>
      <c r="B21023" t="s">
        <v>2931</v>
      </c>
      <c r="C21023">
        <v>8787</v>
      </c>
      <c r="D21023" t="str">
        <f t="shared" si="410"/>
        <v xml:space="preserve">12523021573 </v>
      </c>
      <c r="E21023" t="s">
        <v>309</v>
      </c>
      <c r="F21023" t="s">
        <v>310</v>
      </c>
      <c r="G21023">
        <v>3.53</v>
      </c>
      <c r="H21023">
        <v>250531</v>
      </c>
      <c r="I21023">
        <v>4369</v>
      </c>
      <c r="J21023" t="s">
        <v>188</v>
      </c>
      <c r="K21023">
        <v>234.07</v>
      </c>
      <c r="L21023">
        <v>0.72</v>
      </c>
      <c r="M21023">
        <v>14971</v>
      </c>
      <c r="N21023" t="s">
        <v>81</v>
      </c>
      <c r="O21023">
        <v>250618</v>
      </c>
      <c r="P21023">
        <v>2.81</v>
      </c>
    </row>
    <row r="21024" spans="1:16" x14ac:dyDescent="0.25">
      <c r="A21024" t="s">
        <v>3296</v>
      </c>
      <c r="B21024" t="s">
        <v>2931</v>
      </c>
      <c r="C21024">
        <v>8787</v>
      </c>
      <c r="D21024" t="str">
        <f t="shared" si="410"/>
        <v xml:space="preserve">12523021573 </v>
      </c>
      <c r="E21024" t="s">
        <v>309</v>
      </c>
      <c r="F21024" t="s">
        <v>310</v>
      </c>
      <c r="G21024">
        <v>3.39</v>
      </c>
      <c r="H21024">
        <v>250531</v>
      </c>
      <c r="I21024">
        <v>4369</v>
      </c>
      <c r="J21024" t="s">
        <v>188</v>
      </c>
      <c r="K21024">
        <v>234.07</v>
      </c>
      <c r="L21024">
        <v>0.69</v>
      </c>
      <c r="M21024">
        <v>14972</v>
      </c>
      <c r="N21024" t="s">
        <v>82</v>
      </c>
      <c r="O21024">
        <v>250618</v>
      </c>
      <c r="P21024">
        <v>2.7</v>
      </c>
    </row>
    <row r="21025" spans="1:16" x14ac:dyDescent="0.25">
      <c r="A21025" t="s">
        <v>3296</v>
      </c>
      <c r="B21025" t="s">
        <v>2931</v>
      </c>
      <c r="C21025">
        <v>8787</v>
      </c>
      <c r="D21025" t="str">
        <f t="shared" si="410"/>
        <v xml:space="preserve">12523021573 </v>
      </c>
      <c r="E21025" t="s">
        <v>309</v>
      </c>
      <c r="F21025" t="s">
        <v>310</v>
      </c>
      <c r="G21025">
        <v>3.39</v>
      </c>
      <c r="H21025">
        <v>250531</v>
      </c>
      <c r="I21025">
        <v>4369</v>
      </c>
      <c r="J21025" t="s">
        <v>188</v>
      </c>
      <c r="K21025">
        <v>234.07</v>
      </c>
      <c r="L21025">
        <v>0.69</v>
      </c>
      <c r="M21025">
        <v>14974</v>
      </c>
      <c r="N21025" t="s">
        <v>83</v>
      </c>
      <c r="O21025">
        <v>250618</v>
      </c>
      <c r="P21025">
        <v>2.7</v>
      </c>
    </row>
    <row r="21026" spans="1:16" x14ac:dyDescent="0.25">
      <c r="A21026" t="s">
        <v>3296</v>
      </c>
      <c r="B21026" t="s">
        <v>2931</v>
      </c>
      <c r="C21026">
        <v>8787</v>
      </c>
      <c r="D21026" t="str">
        <f t="shared" si="410"/>
        <v xml:space="preserve">12523021573 </v>
      </c>
      <c r="E21026" t="s">
        <v>309</v>
      </c>
      <c r="F21026" t="s">
        <v>310</v>
      </c>
      <c r="G21026">
        <v>17.82</v>
      </c>
      <c r="H21026">
        <v>250531</v>
      </c>
      <c r="I21026">
        <v>4369</v>
      </c>
      <c r="J21026" t="s">
        <v>188</v>
      </c>
      <c r="K21026">
        <v>234.07</v>
      </c>
      <c r="L21026">
        <v>3.62</v>
      </c>
      <c r="M21026">
        <v>14975</v>
      </c>
      <c r="N21026" t="s">
        <v>84</v>
      </c>
      <c r="O21026">
        <v>250618</v>
      </c>
      <c r="P21026">
        <v>14.2</v>
      </c>
    </row>
    <row r="21027" spans="1:16" x14ac:dyDescent="0.25">
      <c r="A21027" t="s">
        <v>3296</v>
      </c>
      <c r="B21027" t="s">
        <v>2931</v>
      </c>
      <c r="C21027">
        <v>8787</v>
      </c>
      <c r="D21027" t="str">
        <f t="shared" si="410"/>
        <v xml:space="preserve">12523021573 </v>
      </c>
      <c r="E21027" t="s">
        <v>309</v>
      </c>
      <c r="F21027" t="s">
        <v>310</v>
      </c>
      <c r="G21027">
        <v>3.76</v>
      </c>
      <c r="H21027">
        <v>250531</v>
      </c>
      <c r="I21027">
        <v>4369</v>
      </c>
      <c r="J21027" t="s">
        <v>188</v>
      </c>
      <c r="K21027">
        <v>234.07</v>
      </c>
      <c r="L21027">
        <v>0.76</v>
      </c>
      <c r="M21027">
        <v>14990</v>
      </c>
      <c r="N21027" t="s">
        <v>85</v>
      </c>
      <c r="O21027">
        <v>250618</v>
      </c>
      <c r="P21027">
        <v>3</v>
      </c>
    </row>
    <row r="21028" spans="1:16" x14ac:dyDescent="0.25">
      <c r="A21028" t="s">
        <v>3296</v>
      </c>
      <c r="B21028" t="s">
        <v>2931</v>
      </c>
      <c r="C21028">
        <v>8787</v>
      </c>
      <c r="D21028" t="str">
        <f t="shared" si="410"/>
        <v xml:space="preserve">12523021573 </v>
      </c>
      <c r="E21028" t="s">
        <v>309</v>
      </c>
      <c r="F21028" t="s">
        <v>310</v>
      </c>
      <c r="G21028">
        <v>3.39</v>
      </c>
      <c r="H21028">
        <v>250531</v>
      </c>
      <c r="I21028">
        <v>4369</v>
      </c>
      <c r="J21028" t="s">
        <v>188</v>
      </c>
      <c r="K21028">
        <v>234.07</v>
      </c>
      <c r="L21028">
        <v>0.69</v>
      </c>
      <c r="M21028">
        <v>14990</v>
      </c>
      <c r="N21028" t="s">
        <v>85</v>
      </c>
      <c r="O21028">
        <v>250618</v>
      </c>
      <c r="P21028">
        <v>2.7</v>
      </c>
    </row>
    <row r="21029" spans="1:16" x14ac:dyDescent="0.25">
      <c r="A21029" t="s">
        <v>3296</v>
      </c>
      <c r="B21029" t="s">
        <v>2931</v>
      </c>
      <c r="C21029">
        <v>8787</v>
      </c>
      <c r="D21029" t="str">
        <f t="shared" si="410"/>
        <v xml:space="preserve">12523021573 </v>
      </c>
      <c r="E21029" t="s">
        <v>309</v>
      </c>
      <c r="F21029" t="s">
        <v>310</v>
      </c>
      <c r="G21029">
        <v>3.39</v>
      </c>
      <c r="H21029">
        <v>250531</v>
      </c>
      <c r="I21029">
        <v>4369</v>
      </c>
      <c r="J21029" t="s">
        <v>188</v>
      </c>
      <c r="K21029">
        <v>234.07</v>
      </c>
      <c r="L21029">
        <v>0.69</v>
      </c>
      <c r="M21029">
        <v>18120</v>
      </c>
      <c r="N21029" t="s">
        <v>37</v>
      </c>
      <c r="O21029">
        <v>250618</v>
      </c>
      <c r="P21029">
        <v>2.7</v>
      </c>
    </row>
    <row r="21030" spans="1:16" x14ac:dyDescent="0.25">
      <c r="A21030" t="s">
        <v>3296</v>
      </c>
      <c r="B21030" t="s">
        <v>2931</v>
      </c>
      <c r="C21030">
        <v>8787</v>
      </c>
      <c r="D21030" t="str">
        <f t="shared" si="410"/>
        <v xml:space="preserve">12523021573 </v>
      </c>
      <c r="E21030" t="s">
        <v>309</v>
      </c>
      <c r="F21030" t="s">
        <v>310</v>
      </c>
      <c r="G21030">
        <v>3.39</v>
      </c>
      <c r="H21030">
        <v>250531</v>
      </c>
      <c r="I21030">
        <v>4369</v>
      </c>
      <c r="J21030" t="s">
        <v>188</v>
      </c>
      <c r="K21030">
        <v>234.07</v>
      </c>
      <c r="L21030">
        <v>0.69</v>
      </c>
      <c r="M21030">
        <v>18972</v>
      </c>
      <c r="N21030" t="s">
        <v>39</v>
      </c>
      <c r="O21030">
        <v>250618</v>
      </c>
      <c r="P21030">
        <v>2.7</v>
      </c>
    </row>
    <row r="21031" spans="1:16" x14ac:dyDescent="0.25">
      <c r="A21031" t="s">
        <v>3296</v>
      </c>
      <c r="B21031" t="s">
        <v>2931</v>
      </c>
      <c r="C21031">
        <v>8787</v>
      </c>
      <c r="D21031" t="str">
        <f t="shared" si="410"/>
        <v xml:space="preserve">12523021573 </v>
      </c>
      <c r="E21031" t="s">
        <v>309</v>
      </c>
      <c r="F21031" t="s">
        <v>310</v>
      </c>
      <c r="G21031">
        <v>10.16</v>
      </c>
      <c r="H21031">
        <v>250531</v>
      </c>
      <c r="I21031">
        <v>4369</v>
      </c>
      <c r="J21031" t="s">
        <v>188</v>
      </c>
      <c r="K21031">
        <v>234.07</v>
      </c>
      <c r="L21031">
        <v>2.06</v>
      </c>
      <c r="M21031">
        <v>18972</v>
      </c>
      <c r="N21031" t="s">
        <v>39</v>
      </c>
      <c r="O21031">
        <v>250618</v>
      </c>
      <c r="P21031">
        <v>8.1</v>
      </c>
    </row>
    <row r="21032" spans="1:16" x14ac:dyDescent="0.25">
      <c r="A21032" t="s">
        <v>3296</v>
      </c>
      <c r="B21032" t="s">
        <v>2931</v>
      </c>
      <c r="C21032">
        <v>8990</v>
      </c>
      <c r="D21032" t="str">
        <f t="shared" ref="D21032:D21040" si="411">"12523021538 "</f>
        <v xml:space="preserve">12523021538 </v>
      </c>
      <c r="E21032" t="s">
        <v>309</v>
      </c>
      <c r="F21032" t="s">
        <v>310</v>
      </c>
      <c r="G21032">
        <v>6.63</v>
      </c>
      <c r="H21032">
        <v>250601</v>
      </c>
      <c r="I21032">
        <v>4369</v>
      </c>
      <c r="J21032" t="s">
        <v>188</v>
      </c>
      <c r="K21032">
        <v>96.57</v>
      </c>
      <c r="L21032">
        <v>1.35</v>
      </c>
      <c r="M21032">
        <v>14971</v>
      </c>
      <c r="N21032" t="s">
        <v>81</v>
      </c>
      <c r="O21032">
        <v>250624</v>
      </c>
      <c r="P21032">
        <v>5.28</v>
      </c>
    </row>
    <row r="21033" spans="1:16" x14ac:dyDescent="0.25">
      <c r="A21033" t="s">
        <v>3296</v>
      </c>
      <c r="B21033" t="s">
        <v>2931</v>
      </c>
      <c r="C21033">
        <v>8990</v>
      </c>
      <c r="D21033" t="str">
        <f t="shared" si="411"/>
        <v xml:space="preserve">12523021538 </v>
      </c>
      <c r="E21033" t="s">
        <v>309</v>
      </c>
      <c r="F21033" t="s">
        <v>310</v>
      </c>
      <c r="G21033">
        <v>6.64</v>
      </c>
      <c r="H21033">
        <v>250601</v>
      </c>
      <c r="I21033">
        <v>4369</v>
      </c>
      <c r="J21033" t="s">
        <v>188</v>
      </c>
      <c r="K21033">
        <v>96.57</v>
      </c>
      <c r="L21033">
        <v>1.35</v>
      </c>
      <c r="M21033">
        <v>17972</v>
      </c>
      <c r="N21033" t="s">
        <v>28</v>
      </c>
      <c r="O21033">
        <v>250624</v>
      </c>
      <c r="P21033">
        <v>5.29</v>
      </c>
    </row>
    <row r="21034" spans="1:16" x14ac:dyDescent="0.25">
      <c r="A21034" t="s">
        <v>3296</v>
      </c>
      <c r="B21034" t="s">
        <v>2931</v>
      </c>
      <c r="C21034">
        <v>8990</v>
      </c>
      <c r="D21034" t="str">
        <f t="shared" si="411"/>
        <v xml:space="preserve">12523021538 </v>
      </c>
      <c r="E21034" t="s">
        <v>309</v>
      </c>
      <c r="F21034" t="s">
        <v>310</v>
      </c>
      <c r="G21034">
        <v>24.88</v>
      </c>
      <c r="H21034">
        <v>250601</v>
      </c>
      <c r="I21034">
        <v>4369</v>
      </c>
      <c r="J21034" t="s">
        <v>188</v>
      </c>
      <c r="K21034">
        <v>96.57</v>
      </c>
      <c r="L21034">
        <v>5.0599999999999996</v>
      </c>
      <c r="M21034">
        <v>18010</v>
      </c>
      <c r="N21034" t="s">
        <v>36</v>
      </c>
      <c r="O21034">
        <v>250624</v>
      </c>
      <c r="P21034">
        <v>19.82</v>
      </c>
    </row>
    <row r="21035" spans="1:16" x14ac:dyDescent="0.25">
      <c r="A21035" t="s">
        <v>3296</v>
      </c>
      <c r="B21035" t="s">
        <v>2931</v>
      </c>
      <c r="C21035">
        <v>8990</v>
      </c>
      <c r="D21035" t="str">
        <f t="shared" si="411"/>
        <v xml:space="preserve">12523021538 </v>
      </c>
      <c r="E21035" t="s">
        <v>309</v>
      </c>
      <c r="F21035" t="s">
        <v>310</v>
      </c>
      <c r="G21035">
        <v>3.39</v>
      </c>
      <c r="H21035">
        <v>250601</v>
      </c>
      <c r="I21035">
        <v>4369</v>
      </c>
      <c r="J21035" t="s">
        <v>188</v>
      </c>
      <c r="K21035">
        <v>96.57</v>
      </c>
      <c r="L21035">
        <v>0.69</v>
      </c>
      <c r="M21035">
        <v>18120</v>
      </c>
      <c r="N21035" t="s">
        <v>37</v>
      </c>
      <c r="O21035">
        <v>250624</v>
      </c>
      <c r="P21035">
        <v>2.7</v>
      </c>
    </row>
    <row r="21036" spans="1:16" x14ac:dyDescent="0.25">
      <c r="A21036" t="s">
        <v>3296</v>
      </c>
      <c r="B21036" t="s">
        <v>2931</v>
      </c>
      <c r="C21036">
        <v>8990</v>
      </c>
      <c r="D21036" t="str">
        <f t="shared" si="411"/>
        <v xml:space="preserve">12523021538 </v>
      </c>
      <c r="E21036" t="s">
        <v>309</v>
      </c>
      <c r="F21036" t="s">
        <v>310</v>
      </c>
      <c r="G21036">
        <v>3.55</v>
      </c>
      <c r="H21036">
        <v>250601</v>
      </c>
      <c r="I21036">
        <v>4369</v>
      </c>
      <c r="J21036" t="s">
        <v>188</v>
      </c>
      <c r="K21036">
        <v>96.57</v>
      </c>
      <c r="L21036">
        <v>0.72</v>
      </c>
      <c r="M21036">
        <v>18122</v>
      </c>
      <c r="N21036" t="s">
        <v>176</v>
      </c>
      <c r="O21036">
        <v>250624</v>
      </c>
      <c r="P21036">
        <v>2.83</v>
      </c>
    </row>
    <row r="21037" spans="1:16" x14ac:dyDescent="0.25">
      <c r="A21037" t="s">
        <v>3296</v>
      </c>
      <c r="B21037" t="s">
        <v>2931</v>
      </c>
      <c r="C21037">
        <v>8990</v>
      </c>
      <c r="D21037" t="str">
        <f t="shared" si="411"/>
        <v xml:space="preserve">12523021538 </v>
      </c>
      <c r="E21037" t="s">
        <v>309</v>
      </c>
      <c r="F21037" t="s">
        <v>310</v>
      </c>
      <c r="G21037">
        <v>6.4</v>
      </c>
      <c r="H21037">
        <v>250601</v>
      </c>
      <c r="I21037">
        <v>4369</v>
      </c>
      <c r="J21037" t="s">
        <v>188</v>
      </c>
      <c r="K21037">
        <v>96.57</v>
      </c>
      <c r="L21037">
        <v>1.3</v>
      </c>
      <c r="M21037">
        <v>18971</v>
      </c>
      <c r="N21037" t="s">
        <v>38</v>
      </c>
      <c r="O21037">
        <v>250624</v>
      </c>
      <c r="P21037">
        <v>5.0999999999999996</v>
      </c>
    </row>
    <row r="21038" spans="1:16" x14ac:dyDescent="0.25">
      <c r="A21038" t="s">
        <v>3296</v>
      </c>
      <c r="B21038" t="s">
        <v>2931</v>
      </c>
      <c r="C21038">
        <v>8990</v>
      </c>
      <c r="D21038" t="str">
        <f t="shared" si="411"/>
        <v xml:space="preserve">12523021538 </v>
      </c>
      <c r="E21038" t="s">
        <v>309</v>
      </c>
      <c r="F21038" t="s">
        <v>310</v>
      </c>
      <c r="G21038">
        <v>34.979999999999997</v>
      </c>
      <c r="H21038">
        <v>250601</v>
      </c>
      <c r="I21038">
        <v>4369</v>
      </c>
      <c r="J21038" t="s">
        <v>188</v>
      </c>
      <c r="K21038">
        <v>96.57</v>
      </c>
      <c r="L21038">
        <v>7.11</v>
      </c>
      <c r="M21038">
        <v>18972</v>
      </c>
      <c r="N21038" t="s">
        <v>39</v>
      </c>
      <c r="O21038">
        <v>250624</v>
      </c>
      <c r="P21038">
        <v>27.87</v>
      </c>
    </row>
    <row r="21039" spans="1:16" x14ac:dyDescent="0.25">
      <c r="A21039" t="s">
        <v>3296</v>
      </c>
      <c r="B21039" t="s">
        <v>2931</v>
      </c>
      <c r="C21039">
        <v>8990</v>
      </c>
      <c r="D21039" t="str">
        <f t="shared" si="411"/>
        <v xml:space="preserve">12523021538 </v>
      </c>
      <c r="E21039" t="s">
        <v>309</v>
      </c>
      <c r="F21039" t="s">
        <v>310</v>
      </c>
      <c r="G21039">
        <v>3.39</v>
      </c>
      <c r="H21039">
        <v>250601</v>
      </c>
      <c r="I21039">
        <v>4369</v>
      </c>
      <c r="J21039" t="s">
        <v>188</v>
      </c>
      <c r="K21039">
        <v>96.57</v>
      </c>
      <c r="L21039">
        <v>0.69</v>
      </c>
      <c r="M21039">
        <v>49702</v>
      </c>
      <c r="N21039" t="s">
        <v>112</v>
      </c>
      <c r="O21039">
        <v>250624</v>
      </c>
      <c r="P21039">
        <v>2.7</v>
      </c>
    </row>
    <row r="21040" spans="1:16" x14ac:dyDescent="0.25">
      <c r="A21040" t="s">
        <v>3296</v>
      </c>
      <c r="B21040" t="s">
        <v>2931</v>
      </c>
      <c r="C21040">
        <v>8990</v>
      </c>
      <c r="D21040" t="str">
        <f t="shared" si="411"/>
        <v xml:space="preserve">12523021538 </v>
      </c>
      <c r="E21040" t="s">
        <v>309</v>
      </c>
      <c r="F21040" t="s">
        <v>310</v>
      </c>
      <c r="G21040">
        <v>6.71</v>
      </c>
      <c r="H21040">
        <v>250601</v>
      </c>
      <c r="I21040">
        <v>4369</v>
      </c>
      <c r="J21040" t="s">
        <v>188</v>
      </c>
      <c r="K21040">
        <v>96.57</v>
      </c>
      <c r="L21040">
        <v>1.36</v>
      </c>
      <c r="M21040">
        <v>59702</v>
      </c>
      <c r="N21040" t="s">
        <v>45</v>
      </c>
      <c r="O21040">
        <v>250624</v>
      </c>
      <c r="P21040">
        <v>5.35</v>
      </c>
    </row>
    <row r="21041" spans="1:16" x14ac:dyDescent="0.25">
      <c r="A21041" t="s">
        <v>3296</v>
      </c>
      <c r="B21041" t="s">
        <v>2931</v>
      </c>
      <c r="C21041">
        <v>9552</v>
      </c>
      <c r="D21041" t="str">
        <f t="shared" ref="D21041:D21056" si="412">"12527021389 "</f>
        <v xml:space="preserve">12527021389 </v>
      </c>
      <c r="E21041" t="s">
        <v>309</v>
      </c>
      <c r="F21041" t="s">
        <v>310</v>
      </c>
      <c r="G21041">
        <v>3.51</v>
      </c>
      <c r="H21041">
        <v>250630</v>
      </c>
      <c r="I21041">
        <v>4369</v>
      </c>
      <c r="J21041" t="s">
        <v>188</v>
      </c>
      <c r="K21041">
        <v>238.96</v>
      </c>
      <c r="L21041">
        <v>0.71</v>
      </c>
      <c r="M21041">
        <v>54422</v>
      </c>
      <c r="N21041" t="s">
        <v>49</v>
      </c>
      <c r="O21041">
        <v>250711</v>
      </c>
      <c r="P21041">
        <v>2.8</v>
      </c>
    </row>
    <row r="21042" spans="1:16" x14ac:dyDescent="0.25">
      <c r="A21042" t="s">
        <v>3296</v>
      </c>
      <c r="B21042" t="s">
        <v>2931</v>
      </c>
      <c r="C21042">
        <v>9552</v>
      </c>
      <c r="D21042" t="str">
        <f t="shared" si="412"/>
        <v xml:space="preserve">12527021389 </v>
      </c>
      <c r="E21042" t="s">
        <v>309</v>
      </c>
      <c r="F21042" t="s">
        <v>310</v>
      </c>
      <c r="G21042">
        <v>3.39</v>
      </c>
      <c r="H21042">
        <v>250630</v>
      </c>
      <c r="I21042">
        <v>4369</v>
      </c>
      <c r="J21042" t="s">
        <v>188</v>
      </c>
      <c r="K21042">
        <v>238.96</v>
      </c>
      <c r="L21042">
        <v>0.69</v>
      </c>
      <c r="M21042">
        <v>54451</v>
      </c>
      <c r="N21042" t="s">
        <v>218</v>
      </c>
      <c r="O21042">
        <v>250711</v>
      </c>
      <c r="P21042">
        <v>2.7</v>
      </c>
    </row>
    <row r="21043" spans="1:16" x14ac:dyDescent="0.25">
      <c r="A21043" t="s">
        <v>3296</v>
      </c>
      <c r="B21043" t="s">
        <v>2931</v>
      </c>
      <c r="C21043">
        <v>9552</v>
      </c>
      <c r="D21043" t="str">
        <f t="shared" si="412"/>
        <v xml:space="preserve">12527021389 </v>
      </c>
      <c r="E21043" t="s">
        <v>309</v>
      </c>
      <c r="F21043" t="s">
        <v>310</v>
      </c>
      <c r="G21043">
        <v>8.58</v>
      </c>
      <c r="H21043">
        <v>250630</v>
      </c>
      <c r="I21043">
        <v>4369</v>
      </c>
      <c r="J21043" t="s">
        <v>188</v>
      </c>
      <c r="K21043">
        <v>238.96</v>
      </c>
      <c r="L21043">
        <v>1.74</v>
      </c>
      <c r="M21043">
        <v>59111</v>
      </c>
      <c r="N21043" t="s">
        <v>60</v>
      </c>
      <c r="O21043">
        <v>250711</v>
      </c>
      <c r="P21043">
        <v>6.84</v>
      </c>
    </row>
    <row r="21044" spans="1:16" x14ac:dyDescent="0.25">
      <c r="A21044" t="s">
        <v>3296</v>
      </c>
      <c r="B21044" t="s">
        <v>2931</v>
      </c>
      <c r="C21044">
        <v>9552</v>
      </c>
      <c r="D21044" t="str">
        <f t="shared" si="412"/>
        <v xml:space="preserve">12527021389 </v>
      </c>
      <c r="E21044" t="s">
        <v>309</v>
      </c>
      <c r="F21044" t="s">
        <v>310</v>
      </c>
      <c r="G21044">
        <v>10.17</v>
      </c>
      <c r="H21044">
        <v>250630</v>
      </c>
      <c r="I21044">
        <v>4369</v>
      </c>
      <c r="J21044" t="s">
        <v>188</v>
      </c>
      <c r="K21044">
        <v>238.96</v>
      </c>
      <c r="L21044">
        <v>2.0699999999999998</v>
      </c>
      <c r="M21044">
        <v>59113</v>
      </c>
      <c r="N21044" t="s">
        <v>61</v>
      </c>
      <c r="O21044">
        <v>250711</v>
      </c>
      <c r="P21044">
        <v>8.1</v>
      </c>
    </row>
    <row r="21045" spans="1:16" x14ac:dyDescent="0.25">
      <c r="A21045" t="s">
        <v>3296</v>
      </c>
      <c r="B21045" t="s">
        <v>2931</v>
      </c>
      <c r="C21045">
        <v>9552</v>
      </c>
      <c r="D21045" t="str">
        <f t="shared" si="412"/>
        <v xml:space="preserve">12527021389 </v>
      </c>
      <c r="E21045" t="s">
        <v>309</v>
      </c>
      <c r="F21045" t="s">
        <v>310</v>
      </c>
      <c r="G21045">
        <v>3.39</v>
      </c>
      <c r="H21045">
        <v>250630</v>
      </c>
      <c r="I21045">
        <v>4369</v>
      </c>
      <c r="J21045" t="s">
        <v>188</v>
      </c>
      <c r="K21045">
        <v>238.96</v>
      </c>
      <c r="L21045">
        <v>0.69</v>
      </c>
      <c r="M21045">
        <v>59114</v>
      </c>
      <c r="N21045" t="s">
        <v>299</v>
      </c>
      <c r="O21045">
        <v>250711</v>
      </c>
      <c r="P21045">
        <v>2.7</v>
      </c>
    </row>
    <row r="21046" spans="1:16" x14ac:dyDescent="0.25">
      <c r="A21046" t="s">
        <v>3296</v>
      </c>
      <c r="B21046" t="s">
        <v>2931</v>
      </c>
      <c r="C21046">
        <v>9552</v>
      </c>
      <c r="D21046" t="str">
        <f t="shared" si="412"/>
        <v xml:space="preserve">12527021389 </v>
      </c>
      <c r="E21046" t="s">
        <v>309</v>
      </c>
      <c r="F21046" t="s">
        <v>310</v>
      </c>
      <c r="G21046">
        <v>71.47</v>
      </c>
      <c r="H21046">
        <v>250630</v>
      </c>
      <c r="I21046">
        <v>4369</v>
      </c>
      <c r="J21046" t="s">
        <v>188</v>
      </c>
      <c r="K21046">
        <v>238.96</v>
      </c>
      <c r="L21046">
        <v>14.52</v>
      </c>
      <c r="M21046">
        <v>59501</v>
      </c>
      <c r="N21046" t="s">
        <v>62</v>
      </c>
      <c r="O21046">
        <v>250711</v>
      </c>
      <c r="P21046">
        <v>56.95</v>
      </c>
    </row>
    <row r="21047" spans="1:16" x14ac:dyDescent="0.25">
      <c r="A21047" t="s">
        <v>3296</v>
      </c>
      <c r="B21047" t="s">
        <v>2931</v>
      </c>
      <c r="C21047">
        <v>9552</v>
      </c>
      <c r="D21047" t="str">
        <f t="shared" si="412"/>
        <v xml:space="preserve">12527021389 </v>
      </c>
      <c r="E21047" t="s">
        <v>309</v>
      </c>
      <c r="F21047" t="s">
        <v>310</v>
      </c>
      <c r="G21047">
        <v>40.03</v>
      </c>
      <c r="H21047">
        <v>250630</v>
      </c>
      <c r="I21047">
        <v>4369</v>
      </c>
      <c r="J21047" t="s">
        <v>188</v>
      </c>
      <c r="K21047">
        <v>238.96</v>
      </c>
      <c r="L21047">
        <v>8.1300000000000008</v>
      </c>
      <c r="M21047">
        <v>59502</v>
      </c>
      <c r="N21047" t="s">
        <v>63</v>
      </c>
      <c r="O21047">
        <v>250711</v>
      </c>
      <c r="P21047">
        <v>31.9</v>
      </c>
    </row>
    <row r="21048" spans="1:16" x14ac:dyDescent="0.25">
      <c r="A21048" t="s">
        <v>3296</v>
      </c>
      <c r="B21048" t="s">
        <v>2931</v>
      </c>
      <c r="C21048">
        <v>9552</v>
      </c>
      <c r="D21048" t="str">
        <f t="shared" si="412"/>
        <v xml:space="preserve">12527021389 </v>
      </c>
      <c r="E21048" t="s">
        <v>309</v>
      </c>
      <c r="F21048" t="s">
        <v>310</v>
      </c>
      <c r="G21048">
        <v>10.34</v>
      </c>
      <c r="H21048">
        <v>250630</v>
      </c>
      <c r="I21048">
        <v>4369</v>
      </c>
      <c r="J21048" t="s">
        <v>188</v>
      </c>
      <c r="K21048">
        <v>238.96</v>
      </c>
      <c r="L21048">
        <v>2.1</v>
      </c>
      <c r="M21048">
        <v>59504</v>
      </c>
      <c r="N21048" t="s">
        <v>193</v>
      </c>
      <c r="O21048">
        <v>250711</v>
      </c>
      <c r="P21048">
        <v>8.24</v>
      </c>
    </row>
    <row r="21049" spans="1:16" x14ac:dyDescent="0.25">
      <c r="A21049" t="s">
        <v>3296</v>
      </c>
      <c r="B21049" t="s">
        <v>2931</v>
      </c>
      <c r="C21049">
        <v>9552</v>
      </c>
      <c r="D21049" t="str">
        <f t="shared" si="412"/>
        <v xml:space="preserve">12527021389 </v>
      </c>
      <c r="E21049" t="s">
        <v>309</v>
      </c>
      <c r="F21049" t="s">
        <v>310</v>
      </c>
      <c r="G21049">
        <v>6.78</v>
      </c>
      <c r="H21049">
        <v>250630</v>
      </c>
      <c r="I21049">
        <v>4369</v>
      </c>
      <c r="J21049" t="s">
        <v>188</v>
      </c>
      <c r="K21049">
        <v>238.96</v>
      </c>
      <c r="L21049">
        <v>1.38</v>
      </c>
      <c r="M21049">
        <v>59505</v>
      </c>
      <c r="N21049" t="s">
        <v>194</v>
      </c>
      <c r="O21049">
        <v>250711</v>
      </c>
      <c r="P21049">
        <v>5.4</v>
      </c>
    </row>
    <row r="21050" spans="1:16" x14ac:dyDescent="0.25">
      <c r="A21050" t="s">
        <v>3296</v>
      </c>
      <c r="B21050" t="s">
        <v>2931</v>
      </c>
      <c r="C21050">
        <v>9552</v>
      </c>
      <c r="D21050" t="str">
        <f t="shared" si="412"/>
        <v xml:space="preserve">12527021389 </v>
      </c>
      <c r="E21050" t="s">
        <v>309</v>
      </c>
      <c r="F21050" t="s">
        <v>310</v>
      </c>
      <c r="G21050">
        <v>13.67</v>
      </c>
      <c r="H21050">
        <v>250630</v>
      </c>
      <c r="I21050">
        <v>4369</v>
      </c>
      <c r="J21050" t="s">
        <v>188</v>
      </c>
      <c r="K21050">
        <v>238.96</v>
      </c>
      <c r="L21050">
        <v>2.78</v>
      </c>
      <c r="M21050">
        <v>59701</v>
      </c>
      <c r="N21050" t="s">
        <v>64</v>
      </c>
      <c r="O21050">
        <v>250711</v>
      </c>
      <c r="P21050">
        <v>10.89</v>
      </c>
    </row>
    <row r="21051" spans="1:16" x14ac:dyDescent="0.25">
      <c r="A21051" t="s">
        <v>3296</v>
      </c>
      <c r="B21051" t="s">
        <v>2931</v>
      </c>
      <c r="C21051">
        <v>9552</v>
      </c>
      <c r="D21051" t="str">
        <f t="shared" si="412"/>
        <v xml:space="preserve">12527021389 </v>
      </c>
      <c r="E21051" t="s">
        <v>309</v>
      </c>
      <c r="F21051" t="s">
        <v>310</v>
      </c>
      <c r="G21051">
        <v>7.63</v>
      </c>
      <c r="H21051">
        <v>250630</v>
      </c>
      <c r="I21051">
        <v>4369</v>
      </c>
      <c r="J21051" t="s">
        <v>188</v>
      </c>
      <c r="K21051">
        <v>238.96</v>
      </c>
      <c r="L21051">
        <v>1.55</v>
      </c>
      <c r="M21051">
        <v>59702</v>
      </c>
      <c r="N21051" t="s">
        <v>45</v>
      </c>
      <c r="O21051">
        <v>250711</v>
      </c>
      <c r="P21051">
        <v>6.08</v>
      </c>
    </row>
    <row r="21052" spans="1:16" x14ac:dyDescent="0.25">
      <c r="A21052" t="s">
        <v>3296</v>
      </c>
      <c r="B21052" t="s">
        <v>2931</v>
      </c>
      <c r="C21052">
        <v>9552</v>
      </c>
      <c r="D21052" t="str">
        <f t="shared" si="412"/>
        <v xml:space="preserve">12527021389 </v>
      </c>
      <c r="E21052" t="s">
        <v>309</v>
      </c>
      <c r="F21052" t="s">
        <v>310</v>
      </c>
      <c r="G21052">
        <v>6.59</v>
      </c>
      <c r="H21052">
        <v>250630</v>
      </c>
      <c r="I21052">
        <v>4369</v>
      </c>
      <c r="J21052" t="s">
        <v>188</v>
      </c>
      <c r="K21052">
        <v>238.96</v>
      </c>
      <c r="L21052">
        <v>1.34</v>
      </c>
      <c r="M21052">
        <v>59704</v>
      </c>
      <c r="N21052" t="s">
        <v>46</v>
      </c>
      <c r="O21052">
        <v>250711</v>
      </c>
      <c r="P21052">
        <v>5.25</v>
      </c>
    </row>
    <row r="21053" spans="1:16" x14ac:dyDescent="0.25">
      <c r="A21053" t="s">
        <v>3296</v>
      </c>
      <c r="B21053" t="s">
        <v>2931</v>
      </c>
      <c r="C21053">
        <v>9552</v>
      </c>
      <c r="D21053" t="str">
        <f t="shared" si="412"/>
        <v xml:space="preserve">12527021389 </v>
      </c>
      <c r="E21053" t="s">
        <v>309</v>
      </c>
      <c r="F21053" t="s">
        <v>310</v>
      </c>
      <c r="G21053">
        <v>3.39</v>
      </c>
      <c r="H21053">
        <v>250630</v>
      </c>
      <c r="I21053">
        <v>4369</v>
      </c>
      <c r="J21053" t="s">
        <v>188</v>
      </c>
      <c r="K21053">
        <v>238.96</v>
      </c>
      <c r="L21053">
        <v>0.69</v>
      </c>
      <c r="M21053">
        <v>59705</v>
      </c>
      <c r="N21053" t="s">
        <v>47</v>
      </c>
      <c r="O21053">
        <v>250711</v>
      </c>
      <c r="P21053">
        <v>2.7</v>
      </c>
    </row>
    <row r="21054" spans="1:16" x14ac:dyDescent="0.25">
      <c r="A21054" t="s">
        <v>3296</v>
      </c>
      <c r="B21054" t="s">
        <v>2931</v>
      </c>
      <c r="C21054">
        <v>9552</v>
      </c>
      <c r="D21054" t="str">
        <f t="shared" si="412"/>
        <v xml:space="preserve">12527021389 </v>
      </c>
      <c r="E21054" t="s">
        <v>309</v>
      </c>
      <c r="F21054" t="s">
        <v>310</v>
      </c>
      <c r="G21054">
        <v>19.95</v>
      </c>
      <c r="H21054">
        <v>250630</v>
      </c>
      <c r="I21054">
        <v>4369</v>
      </c>
      <c r="J21054" t="s">
        <v>188</v>
      </c>
      <c r="K21054">
        <v>238.96</v>
      </c>
      <c r="L21054">
        <v>4.05</v>
      </c>
      <c r="M21054">
        <v>59802</v>
      </c>
      <c r="N21054" t="s">
        <v>195</v>
      </c>
      <c r="O21054">
        <v>250711</v>
      </c>
      <c r="P21054">
        <v>15.9</v>
      </c>
    </row>
    <row r="21055" spans="1:16" x14ac:dyDescent="0.25">
      <c r="A21055" t="s">
        <v>3296</v>
      </c>
      <c r="B21055" t="s">
        <v>2931</v>
      </c>
      <c r="C21055">
        <v>9552</v>
      </c>
      <c r="D21055" t="str">
        <f t="shared" si="412"/>
        <v xml:space="preserve">12527021389 </v>
      </c>
      <c r="E21055" t="s">
        <v>309</v>
      </c>
      <c r="F21055" t="s">
        <v>310</v>
      </c>
      <c r="G21055">
        <v>17.93</v>
      </c>
      <c r="H21055">
        <v>250630</v>
      </c>
      <c r="I21055">
        <v>4369</v>
      </c>
      <c r="J21055" t="s">
        <v>188</v>
      </c>
      <c r="K21055">
        <v>238.96</v>
      </c>
      <c r="L21055">
        <v>3.64</v>
      </c>
      <c r="M21055">
        <v>59812</v>
      </c>
      <c r="N21055" t="s">
        <v>196</v>
      </c>
      <c r="O21055">
        <v>250711</v>
      </c>
      <c r="P21055">
        <v>14.29</v>
      </c>
    </row>
    <row r="21056" spans="1:16" x14ac:dyDescent="0.25">
      <c r="A21056" t="s">
        <v>3296</v>
      </c>
      <c r="B21056" t="s">
        <v>2931</v>
      </c>
      <c r="C21056">
        <v>9552</v>
      </c>
      <c r="D21056" t="str">
        <f t="shared" si="412"/>
        <v xml:space="preserve">12527021389 </v>
      </c>
      <c r="E21056" t="s">
        <v>309</v>
      </c>
      <c r="F21056" t="s">
        <v>310</v>
      </c>
      <c r="G21056">
        <v>9.64</v>
      </c>
      <c r="H21056">
        <v>250630</v>
      </c>
      <c r="I21056">
        <v>4369</v>
      </c>
      <c r="J21056" t="s">
        <v>188</v>
      </c>
      <c r="K21056">
        <v>238.96</v>
      </c>
      <c r="L21056">
        <v>1.96</v>
      </c>
      <c r="M21056">
        <v>59815</v>
      </c>
      <c r="N21056" t="s">
        <v>1001</v>
      </c>
      <c r="O21056">
        <v>250711</v>
      </c>
      <c r="P21056">
        <v>7.68</v>
      </c>
    </row>
    <row r="21057" spans="1:16" x14ac:dyDescent="0.25">
      <c r="A21057" t="s">
        <v>3296</v>
      </c>
      <c r="B21057" t="s">
        <v>2931</v>
      </c>
      <c r="C21057">
        <v>9553</v>
      </c>
      <c r="D21057" t="str">
        <f>"12527021416 "</f>
        <v xml:space="preserve">12527021416 </v>
      </c>
      <c r="E21057" t="s">
        <v>309</v>
      </c>
      <c r="F21057" t="s">
        <v>310</v>
      </c>
      <c r="G21057">
        <v>26.9</v>
      </c>
      <c r="H21057">
        <v>250630</v>
      </c>
      <c r="I21057">
        <v>4369</v>
      </c>
      <c r="J21057" t="s">
        <v>188</v>
      </c>
      <c r="K21057">
        <v>33.700000000000003</v>
      </c>
      <c r="L21057">
        <v>5.47</v>
      </c>
      <c r="M21057">
        <v>13601</v>
      </c>
      <c r="N21057" t="s">
        <v>115</v>
      </c>
      <c r="O21057">
        <v>250711</v>
      </c>
      <c r="P21057">
        <v>21.43</v>
      </c>
    </row>
    <row r="21058" spans="1:16" x14ac:dyDescent="0.25">
      <c r="A21058" t="s">
        <v>3296</v>
      </c>
      <c r="B21058" t="s">
        <v>2931</v>
      </c>
      <c r="C21058">
        <v>9553</v>
      </c>
      <c r="D21058" t="str">
        <f>"12527021416 "</f>
        <v xml:space="preserve">12527021416 </v>
      </c>
      <c r="E21058" t="s">
        <v>309</v>
      </c>
      <c r="F21058" t="s">
        <v>310</v>
      </c>
      <c r="G21058">
        <v>3.4</v>
      </c>
      <c r="H21058">
        <v>250630</v>
      </c>
      <c r="I21058">
        <v>4369</v>
      </c>
      <c r="J21058" t="s">
        <v>188</v>
      </c>
      <c r="K21058">
        <v>33.700000000000003</v>
      </c>
      <c r="L21058">
        <v>0.69</v>
      </c>
      <c r="M21058">
        <v>13601</v>
      </c>
      <c r="N21058" t="s">
        <v>115</v>
      </c>
      <c r="O21058">
        <v>250711</v>
      </c>
      <c r="P21058">
        <v>2.71</v>
      </c>
    </row>
    <row r="21059" spans="1:16" x14ac:dyDescent="0.25">
      <c r="A21059" t="s">
        <v>3296</v>
      </c>
      <c r="B21059" t="s">
        <v>2931</v>
      </c>
      <c r="C21059">
        <v>9553</v>
      </c>
      <c r="D21059" t="str">
        <f>"12527021416 "</f>
        <v xml:space="preserve">12527021416 </v>
      </c>
      <c r="E21059" t="s">
        <v>309</v>
      </c>
      <c r="F21059" t="s">
        <v>310</v>
      </c>
      <c r="G21059">
        <v>3.4</v>
      </c>
      <c r="H21059">
        <v>250630</v>
      </c>
      <c r="I21059">
        <v>4369</v>
      </c>
      <c r="J21059" t="s">
        <v>188</v>
      </c>
      <c r="K21059">
        <v>33.700000000000003</v>
      </c>
      <c r="L21059">
        <v>0.69</v>
      </c>
      <c r="M21059">
        <v>13661</v>
      </c>
      <c r="N21059" t="s">
        <v>243</v>
      </c>
      <c r="O21059">
        <v>250711</v>
      </c>
      <c r="P21059">
        <v>2.71</v>
      </c>
    </row>
    <row r="21060" spans="1:16" x14ac:dyDescent="0.25">
      <c r="A21060" t="s">
        <v>3296</v>
      </c>
      <c r="B21060" t="s">
        <v>2931</v>
      </c>
      <c r="C21060">
        <v>9554</v>
      </c>
      <c r="D21060" t="str">
        <f>"12527021391 "</f>
        <v xml:space="preserve">12527021391 </v>
      </c>
      <c r="E21060" t="s">
        <v>309</v>
      </c>
      <c r="F21060" t="s">
        <v>310</v>
      </c>
      <c r="G21060">
        <v>3.39</v>
      </c>
      <c r="H21060">
        <v>250630</v>
      </c>
      <c r="I21060">
        <v>4369</v>
      </c>
      <c r="J21060" t="s">
        <v>188</v>
      </c>
      <c r="K21060">
        <v>23.71</v>
      </c>
      <c r="L21060">
        <v>0</v>
      </c>
      <c r="M21060">
        <v>59702</v>
      </c>
      <c r="N21060" t="s">
        <v>45</v>
      </c>
      <c r="O21060">
        <v>250711</v>
      </c>
      <c r="P21060">
        <v>3.39</v>
      </c>
    </row>
    <row r="21061" spans="1:16" x14ac:dyDescent="0.25">
      <c r="A21061" t="s">
        <v>3296</v>
      </c>
      <c r="B21061" t="s">
        <v>2931</v>
      </c>
      <c r="C21061">
        <v>9554</v>
      </c>
      <c r="D21061" t="str">
        <f>"12527021391 "</f>
        <v xml:space="preserve">12527021391 </v>
      </c>
      <c r="E21061" t="s">
        <v>309</v>
      </c>
      <c r="F21061" t="s">
        <v>310</v>
      </c>
      <c r="G21061">
        <v>9.7899999999999991</v>
      </c>
      <c r="H21061">
        <v>250630</v>
      </c>
      <c r="I21061">
        <v>4369</v>
      </c>
      <c r="J21061" t="s">
        <v>188</v>
      </c>
      <c r="K21061">
        <v>23.71</v>
      </c>
      <c r="L21061">
        <v>1.99</v>
      </c>
      <c r="M21061">
        <v>59702</v>
      </c>
      <c r="N21061" t="s">
        <v>45</v>
      </c>
      <c r="O21061">
        <v>250711</v>
      </c>
      <c r="P21061">
        <v>7.8</v>
      </c>
    </row>
    <row r="21062" spans="1:16" x14ac:dyDescent="0.25">
      <c r="A21062" t="s">
        <v>3296</v>
      </c>
      <c r="B21062" t="s">
        <v>2931</v>
      </c>
      <c r="C21062">
        <v>9554</v>
      </c>
      <c r="D21062" t="str">
        <f>"12527021391 "</f>
        <v xml:space="preserve">12527021391 </v>
      </c>
      <c r="E21062" t="s">
        <v>309</v>
      </c>
      <c r="F21062" t="s">
        <v>310</v>
      </c>
      <c r="G21062">
        <v>10.53</v>
      </c>
      <c r="H21062">
        <v>250630</v>
      </c>
      <c r="I21062">
        <v>4369</v>
      </c>
      <c r="J21062" t="s">
        <v>188</v>
      </c>
      <c r="K21062">
        <v>23.71</v>
      </c>
      <c r="L21062">
        <v>2.14</v>
      </c>
      <c r="M21062">
        <v>59704</v>
      </c>
      <c r="N21062" t="s">
        <v>46</v>
      </c>
      <c r="O21062">
        <v>250711</v>
      </c>
      <c r="P21062">
        <v>8.39</v>
      </c>
    </row>
    <row r="21063" spans="1:16" x14ac:dyDescent="0.25">
      <c r="A21063" t="s">
        <v>3296</v>
      </c>
      <c r="B21063" t="s">
        <v>2931</v>
      </c>
      <c r="C21063">
        <v>9555</v>
      </c>
      <c r="D21063" t="str">
        <f>"12527021397 "</f>
        <v xml:space="preserve">12527021397 </v>
      </c>
      <c r="E21063" t="s">
        <v>309</v>
      </c>
      <c r="F21063" t="s">
        <v>310</v>
      </c>
      <c r="G21063">
        <v>36.46</v>
      </c>
      <c r="H21063">
        <v>250630</v>
      </c>
      <c r="I21063">
        <v>4369</v>
      </c>
      <c r="J21063" t="s">
        <v>188</v>
      </c>
      <c r="K21063">
        <v>36.46</v>
      </c>
      <c r="L21063">
        <v>7.41</v>
      </c>
      <c r="M21063">
        <v>49501</v>
      </c>
      <c r="N21063" t="s">
        <v>110</v>
      </c>
      <c r="O21063">
        <v>250711</v>
      </c>
      <c r="P21063">
        <v>29.05</v>
      </c>
    </row>
    <row r="21064" spans="1:16" x14ac:dyDescent="0.25">
      <c r="A21064" t="s">
        <v>3296</v>
      </c>
      <c r="B21064" t="s">
        <v>2931</v>
      </c>
      <c r="C21064">
        <v>9556</v>
      </c>
      <c r="D21064" t="str">
        <f t="shared" ref="D21064:D21083" si="413">"12527021423 "</f>
        <v xml:space="preserve">12527021423 </v>
      </c>
      <c r="E21064" t="s">
        <v>309</v>
      </c>
      <c r="F21064" t="s">
        <v>310</v>
      </c>
      <c r="G21064">
        <v>21.62</v>
      </c>
      <c r="H21064">
        <v>250630</v>
      </c>
      <c r="I21064">
        <v>4369</v>
      </c>
      <c r="J21064" t="s">
        <v>188</v>
      </c>
      <c r="K21064">
        <v>239.47</v>
      </c>
      <c r="L21064">
        <v>4.3899999999999997</v>
      </c>
      <c r="M21064">
        <v>11601</v>
      </c>
      <c r="N21064" t="s">
        <v>12</v>
      </c>
      <c r="O21064">
        <v>250711</v>
      </c>
      <c r="P21064">
        <v>17.23</v>
      </c>
    </row>
    <row r="21065" spans="1:16" x14ac:dyDescent="0.25">
      <c r="A21065" t="s">
        <v>3296</v>
      </c>
      <c r="B21065" t="s">
        <v>2931</v>
      </c>
      <c r="C21065">
        <v>9556</v>
      </c>
      <c r="D21065" t="str">
        <f t="shared" si="413"/>
        <v xml:space="preserve">12527021423 </v>
      </c>
      <c r="E21065" t="s">
        <v>309</v>
      </c>
      <c r="F21065" t="s">
        <v>310</v>
      </c>
      <c r="G21065">
        <v>3.2</v>
      </c>
      <c r="H21065">
        <v>250630</v>
      </c>
      <c r="I21065">
        <v>4369</v>
      </c>
      <c r="J21065" t="s">
        <v>188</v>
      </c>
      <c r="K21065">
        <v>239.47</v>
      </c>
      <c r="L21065">
        <v>0.65</v>
      </c>
      <c r="M21065">
        <v>11603</v>
      </c>
      <c r="N21065" t="s">
        <v>897</v>
      </c>
      <c r="O21065">
        <v>250711</v>
      </c>
      <c r="P21065">
        <v>2.5499999999999998</v>
      </c>
    </row>
    <row r="21066" spans="1:16" x14ac:dyDescent="0.25">
      <c r="A21066" t="s">
        <v>3296</v>
      </c>
      <c r="B21066" t="s">
        <v>2931</v>
      </c>
      <c r="C21066">
        <v>9556</v>
      </c>
      <c r="D21066" t="str">
        <f t="shared" si="413"/>
        <v xml:space="preserve">12527021423 </v>
      </c>
      <c r="E21066" t="s">
        <v>309</v>
      </c>
      <c r="F21066" t="s">
        <v>310</v>
      </c>
      <c r="G21066">
        <v>16.940000000000001</v>
      </c>
      <c r="H21066">
        <v>250630</v>
      </c>
      <c r="I21066">
        <v>4369</v>
      </c>
      <c r="J21066" t="s">
        <v>188</v>
      </c>
      <c r="K21066">
        <v>239.47</v>
      </c>
      <c r="L21066">
        <v>3.44</v>
      </c>
      <c r="M21066">
        <v>14121</v>
      </c>
      <c r="N21066" t="s">
        <v>71</v>
      </c>
      <c r="O21066">
        <v>250711</v>
      </c>
      <c r="P21066">
        <v>13.5</v>
      </c>
    </row>
    <row r="21067" spans="1:16" x14ac:dyDescent="0.25">
      <c r="A21067" t="s">
        <v>3296</v>
      </c>
      <c r="B21067" t="s">
        <v>2931</v>
      </c>
      <c r="C21067">
        <v>9556</v>
      </c>
      <c r="D21067" t="str">
        <f t="shared" si="413"/>
        <v xml:space="preserve">12527021423 </v>
      </c>
      <c r="E21067" t="s">
        <v>309</v>
      </c>
      <c r="F21067" t="s">
        <v>310</v>
      </c>
      <c r="G21067">
        <v>23.78</v>
      </c>
      <c r="H21067">
        <v>250630</v>
      </c>
      <c r="I21067">
        <v>4369</v>
      </c>
      <c r="J21067" t="s">
        <v>188</v>
      </c>
      <c r="K21067">
        <v>239.47</v>
      </c>
      <c r="L21067">
        <v>4.83</v>
      </c>
      <c r="M21067">
        <v>14321</v>
      </c>
      <c r="N21067" t="s">
        <v>72</v>
      </c>
      <c r="O21067">
        <v>250711</v>
      </c>
      <c r="P21067">
        <v>18.95</v>
      </c>
    </row>
    <row r="21068" spans="1:16" x14ac:dyDescent="0.25">
      <c r="A21068" t="s">
        <v>3296</v>
      </c>
      <c r="B21068" t="s">
        <v>2931</v>
      </c>
      <c r="C21068">
        <v>9556</v>
      </c>
      <c r="D21068" t="str">
        <f t="shared" si="413"/>
        <v xml:space="preserve">12527021423 </v>
      </c>
      <c r="E21068" t="s">
        <v>309</v>
      </c>
      <c r="F21068" t="s">
        <v>310</v>
      </c>
      <c r="G21068">
        <v>17.79</v>
      </c>
      <c r="H21068">
        <v>250630</v>
      </c>
      <c r="I21068">
        <v>4369</v>
      </c>
      <c r="J21068" t="s">
        <v>188</v>
      </c>
      <c r="K21068">
        <v>239.47</v>
      </c>
      <c r="L21068">
        <v>3.61</v>
      </c>
      <c r="M21068">
        <v>14422</v>
      </c>
      <c r="N21068" t="s">
        <v>73</v>
      </c>
      <c r="O21068">
        <v>250711</v>
      </c>
      <c r="P21068">
        <v>14.18</v>
      </c>
    </row>
    <row r="21069" spans="1:16" x14ac:dyDescent="0.25">
      <c r="A21069" t="s">
        <v>3296</v>
      </c>
      <c r="B21069" t="s">
        <v>2931</v>
      </c>
      <c r="C21069">
        <v>9556</v>
      </c>
      <c r="D21069" t="str">
        <f t="shared" si="413"/>
        <v xml:space="preserve">12527021423 </v>
      </c>
      <c r="E21069" t="s">
        <v>309</v>
      </c>
      <c r="F21069" t="s">
        <v>310</v>
      </c>
      <c r="G21069">
        <v>10.16</v>
      </c>
      <c r="H21069">
        <v>250630</v>
      </c>
      <c r="I21069">
        <v>4369</v>
      </c>
      <c r="J21069" t="s">
        <v>188</v>
      </c>
      <c r="K21069">
        <v>239.47</v>
      </c>
      <c r="L21069">
        <v>2.06</v>
      </c>
      <c r="M21069">
        <v>14431</v>
      </c>
      <c r="N21069" t="s">
        <v>74</v>
      </c>
      <c r="O21069">
        <v>250711</v>
      </c>
      <c r="P21069">
        <v>8.1</v>
      </c>
    </row>
    <row r="21070" spans="1:16" x14ac:dyDescent="0.25">
      <c r="A21070" t="s">
        <v>3296</v>
      </c>
      <c r="B21070" t="s">
        <v>2931</v>
      </c>
      <c r="C21070">
        <v>9556</v>
      </c>
      <c r="D21070" t="str">
        <f t="shared" si="413"/>
        <v xml:space="preserve">12527021423 </v>
      </c>
      <c r="E21070" t="s">
        <v>309</v>
      </c>
      <c r="F21070" t="s">
        <v>310</v>
      </c>
      <c r="G21070">
        <v>13.36</v>
      </c>
      <c r="H21070">
        <v>250630</v>
      </c>
      <c r="I21070">
        <v>4369</v>
      </c>
      <c r="J21070" t="s">
        <v>188</v>
      </c>
      <c r="K21070">
        <v>239.47</v>
      </c>
      <c r="L21070">
        <v>2.71</v>
      </c>
      <c r="M21070">
        <v>14432</v>
      </c>
      <c r="N21070" t="s">
        <v>75</v>
      </c>
      <c r="O21070">
        <v>250711</v>
      </c>
      <c r="P21070">
        <v>10.65</v>
      </c>
    </row>
    <row r="21071" spans="1:16" x14ac:dyDescent="0.25">
      <c r="A21071" t="s">
        <v>3296</v>
      </c>
      <c r="B21071" t="s">
        <v>2931</v>
      </c>
      <c r="C21071">
        <v>9556</v>
      </c>
      <c r="D21071" t="str">
        <f t="shared" si="413"/>
        <v xml:space="preserve">12527021423 </v>
      </c>
      <c r="E21071" t="s">
        <v>309</v>
      </c>
      <c r="F21071" t="s">
        <v>310</v>
      </c>
      <c r="G21071">
        <v>7.24</v>
      </c>
      <c r="H21071">
        <v>250630</v>
      </c>
      <c r="I21071">
        <v>4369</v>
      </c>
      <c r="J21071" t="s">
        <v>188</v>
      </c>
      <c r="K21071">
        <v>239.47</v>
      </c>
      <c r="L21071">
        <v>1.47</v>
      </c>
      <c r="M21071">
        <v>14541</v>
      </c>
      <c r="N21071" t="s">
        <v>76</v>
      </c>
      <c r="O21071">
        <v>250711</v>
      </c>
      <c r="P21071">
        <v>5.77</v>
      </c>
    </row>
    <row r="21072" spans="1:16" x14ac:dyDescent="0.25">
      <c r="A21072" t="s">
        <v>3296</v>
      </c>
      <c r="B21072" t="s">
        <v>2931</v>
      </c>
      <c r="C21072">
        <v>9556</v>
      </c>
      <c r="D21072" t="str">
        <f t="shared" si="413"/>
        <v xml:space="preserve">12527021423 </v>
      </c>
      <c r="E21072" t="s">
        <v>309</v>
      </c>
      <c r="F21072" t="s">
        <v>310</v>
      </c>
      <c r="G21072">
        <v>50.11</v>
      </c>
      <c r="H21072">
        <v>250630</v>
      </c>
      <c r="I21072">
        <v>4369</v>
      </c>
      <c r="J21072" t="s">
        <v>188</v>
      </c>
      <c r="K21072">
        <v>239.47</v>
      </c>
      <c r="L21072">
        <v>10.18</v>
      </c>
      <c r="M21072">
        <v>14622</v>
      </c>
      <c r="N21072" t="s">
        <v>77</v>
      </c>
      <c r="O21072">
        <v>250711</v>
      </c>
      <c r="P21072">
        <v>39.93</v>
      </c>
    </row>
    <row r="21073" spans="1:16" x14ac:dyDescent="0.25">
      <c r="A21073" t="s">
        <v>3296</v>
      </c>
      <c r="B21073" t="s">
        <v>2931</v>
      </c>
      <c r="C21073">
        <v>9556</v>
      </c>
      <c r="D21073" t="str">
        <f t="shared" si="413"/>
        <v xml:space="preserve">12527021423 </v>
      </c>
      <c r="E21073" t="s">
        <v>309</v>
      </c>
      <c r="F21073" t="s">
        <v>310</v>
      </c>
      <c r="G21073">
        <v>6.77</v>
      </c>
      <c r="H21073">
        <v>250630</v>
      </c>
      <c r="I21073">
        <v>4369</v>
      </c>
      <c r="J21073" t="s">
        <v>188</v>
      </c>
      <c r="K21073">
        <v>239.47</v>
      </c>
      <c r="L21073">
        <v>1.38</v>
      </c>
      <c r="M21073">
        <v>14640</v>
      </c>
      <c r="N21073" t="s">
        <v>78</v>
      </c>
      <c r="O21073">
        <v>250711</v>
      </c>
      <c r="P21073">
        <v>5.39</v>
      </c>
    </row>
    <row r="21074" spans="1:16" x14ac:dyDescent="0.25">
      <c r="A21074" t="s">
        <v>3296</v>
      </c>
      <c r="B21074" t="s">
        <v>2931</v>
      </c>
      <c r="C21074">
        <v>9556</v>
      </c>
      <c r="D21074" t="str">
        <f t="shared" si="413"/>
        <v xml:space="preserve">12527021423 </v>
      </c>
      <c r="E21074" t="s">
        <v>309</v>
      </c>
      <c r="F21074" t="s">
        <v>310</v>
      </c>
      <c r="G21074">
        <v>3.39</v>
      </c>
      <c r="H21074">
        <v>250630</v>
      </c>
      <c r="I21074">
        <v>4369</v>
      </c>
      <c r="J21074" t="s">
        <v>188</v>
      </c>
      <c r="K21074">
        <v>239.47</v>
      </c>
      <c r="L21074">
        <v>0.69</v>
      </c>
      <c r="M21074">
        <v>14861</v>
      </c>
      <c r="N21074" t="s">
        <v>79</v>
      </c>
      <c r="O21074">
        <v>250711</v>
      </c>
      <c r="P21074">
        <v>2.7</v>
      </c>
    </row>
    <row r="21075" spans="1:16" x14ac:dyDescent="0.25">
      <c r="A21075" t="s">
        <v>3296</v>
      </c>
      <c r="B21075" t="s">
        <v>2931</v>
      </c>
      <c r="C21075">
        <v>9556</v>
      </c>
      <c r="D21075" t="str">
        <f t="shared" si="413"/>
        <v xml:space="preserve">12527021423 </v>
      </c>
      <c r="E21075" t="s">
        <v>309</v>
      </c>
      <c r="F21075" t="s">
        <v>310</v>
      </c>
      <c r="G21075">
        <v>6.77</v>
      </c>
      <c r="H21075">
        <v>250630</v>
      </c>
      <c r="I21075">
        <v>4369</v>
      </c>
      <c r="J21075" t="s">
        <v>188</v>
      </c>
      <c r="K21075">
        <v>239.47</v>
      </c>
      <c r="L21075">
        <v>1.38</v>
      </c>
      <c r="M21075">
        <v>14912</v>
      </c>
      <c r="N21075" t="s">
        <v>80</v>
      </c>
      <c r="O21075">
        <v>250711</v>
      </c>
      <c r="P21075">
        <v>5.39</v>
      </c>
    </row>
    <row r="21076" spans="1:16" x14ac:dyDescent="0.25">
      <c r="A21076" t="s">
        <v>3296</v>
      </c>
      <c r="B21076" t="s">
        <v>2931</v>
      </c>
      <c r="C21076">
        <v>9556</v>
      </c>
      <c r="D21076" t="str">
        <f t="shared" si="413"/>
        <v xml:space="preserve">12527021423 </v>
      </c>
      <c r="E21076" t="s">
        <v>309</v>
      </c>
      <c r="F21076" t="s">
        <v>310</v>
      </c>
      <c r="G21076">
        <v>3.39</v>
      </c>
      <c r="H21076">
        <v>250630</v>
      </c>
      <c r="I21076">
        <v>4369</v>
      </c>
      <c r="J21076" t="s">
        <v>188</v>
      </c>
      <c r="K21076">
        <v>239.47</v>
      </c>
      <c r="L21076">
        <v>0.69</v>
      </c>
      <c r="M21076">
        <v>14971</v>
      </c>
      <c r="N21076" t="s">
        <v>81</v>
      </c>
      <c r="O21076">
        <v>250711</v>
      </c>
      <c r="P21076">
        <v>2.7</v>
      </c>
    </row>
    <row r="21077" spans="1:16" x14ac:dyDescent="0.25">
      <c r="A21077" t="s">
        <v>3296</v>
      </c>
      <c r="B21077" t="s">
        <v>2931</v>
      </c>
      <c r="C21077">
        <v>9556</v>
      </c>
      <c r="D21077" t="str">
        <f t="shared" si="413"/>
        <v xml:space="preserve">12527021423 </v>
      </c>
      <c r="E21077" t="s">
        <v>309</v>
      </c>
      <c r="F21077" t="s">
        <v>310</v>
      </c>
      <c r="G21077">
        <v>3.39</v>
      </c>
      <c r="H21077">
        <v>250630</v>
      </c>
      <c r="I21077">
        <v>4369</v>
      </c>
      <c r="J21077" t="s">
        <v>188</v>
      </c>
      <c r="K21077">
        <v>239.47</v>
      </c>
      <c r="L21077">
        <v>0.69</v>
      </c>
      <c r="M21077">
        <v>14972</v>
      </c>
      <c r="N21077" t="s">
        <v>82</v>
      </c>
      <c r="O21077">
        <v>250711</v>
      </c>
      <c r="P21077">
        <v>2.7</v>
      </c>
    </row>
    <row r="21078" spans="1:16" x14ac:dyDescent="0.25">
      <c r="A21078" t="s">
        <v>3296</v>
      </c>
      <c r="B21078" t="s">
        <v>2931</v>
      </c>
      <c r="C21078">
        <v>9556</v>
      </c>
      <c r="D21078" t="str">
        <f t="shared" si="413"/>
        <v xml:space="preserve">12527021423 </v>
      </c>
      <c r="E21078" t="s">
        <v>309</v>
      </c>
      <c r="F21078" t="s">
        <v>310</v>
      </c>
      <c r="G21078">
        <v>3.39</v>
      </c>
      <c r="H21078">
        <v>250630</v>
      </c>
      <c r="I21078">
        <v>4369</v>
      </c>
      <c r="J21078" t="s">
        <v>188</v>
      </c>
      <c r="K21078">
        <v>239.47</v>
      </c>
      <c r="L21078">
        <v>0.69</v>
      </c>
      <c r="M21078">
        <v>14974</v>
      </c>
      <c r="N21078" t="s">
        <v>83</v>
      </c>
      <c r="O21078">
        <v>250711</v>
      </c>
      <c r="P21078">
        <v>2.7</v>
      </c>
    </row>
    <row r="21079" spans="1:16" x14ac:dyDescent="0.25">
      <c r="A21079" t="s">
        <v>3296</v>
      </c>
      <c r="B21079" t="s">
        <v>2931</v>
      </c>
      <c r="C21079">
        <v>9556</v>
      </c>
      <c r="D21079" t="str">
        <f t="shared" si="413"/>
        <v xml:space="preserve">12527021423 </v>
      </c>
      <c r="E21079" t="s">
        <v>309</v>
      </c>
      <c r="F21079" t="s">
        <v>310</v>
      </c>
      <c r="G21079">
        <v>19.809999999999999</v>
      </c>
      <c r="H21079">
        <v>250630</v>
      </c>
      <c r="I21079">
        <v>4369</v>
      </c>
      <c r="J21079" t="s">
        <v>188</v>
      </c>
      <c r="K21079">
        <v>239.47</v>
      </c>
      <c r="L21079">
        <v>4.03</v>
      </c>
      <c r="M21079">
        <v>14975</v>
      </c>
      <c r="N21079" t="s">
        <v>84</v>
      </c>
      <c r="O21079">
        <v>250711</v>
      </c>
      <c r="P21079">
        <v>15.78</v>
      </c>
    </row>
    <row r="21080" spans="1:16" x14ac:dyDescent="0.25">
      <c r="A21080" t="s">
        <v>3296</v>
      </c>
      <c r="B21080" t="s">
        <v>2931</v>
      </c>
      <c r="C21080">
        <v>9556</v>
      </c>
      <c r="D21080" t="str">
        <f t="shared" si="413"/>
        <v xml:space="preserve">12527021423 </v>
      </c>
      <c r="E21080" t="s">
        <v>309</v>
      </c>
      <c r="F21080" t="s">
        <v>310</v>
      </c>
      <c r="G21080">
        <v>8.0299999999999994</v>
      </c>
      <c r="H21080">
        <v>250630</v>
      </c>
      <c r="I21080">
        <v>4369</v>
      </c>
      <c r="J21080" t="s">
        <v>188</v>
      </c>
      <c r="K21080">
        <v>239.47</v>
      </c>
      <c r="L21080">
        <v>1.63</v>
      </c>
      <c r="M21080">
        <v>14990</v>
      </c>
      <c r="N21080" t="s">
        <v>85</v>
      </c>
      <c r="O21080">
        <v>250711</v>
      </c>
      <c r="P21080">
        <v>6.4</v>
      </c>
    </row>
    <row r="21081" spans="1:16" x14ac:dyDescent="0.25">
      <c r="A21081" t="s">
        <v>3296</v>
      </c>
      <c r="B21081" t="s">
        <v>2931</v>
      </c>
      <c r="C21081">
        <v>9556</v>
      </c>
      <c r="D21081" t="str">
        <f t="shared" si="413"/>
        <v xml:space="preserve">12527021423 </v>
      </c>
      <c r="E21081" t="s">
        <v>309</v>
      </c>
      <c r="F21081" t="s">
        <v>310</v>
      </c>
      <c r="G21081">
        <v>3.39</v>
      </c>
      <c r="H21081">
        <v>250630</v>
      </c>
      <c r="I21081">
        <v>4369</v>
      </c>
      <c r="J21081" t="s">
        <v>188</v>
      </c>
      <c r="K21081">
        <v>239.47</v>
      </c>
      <c r="L21081">
        <v>0.69</v>
      </c>
      <c r="M21081">
        <v>14990</v>
      </c>
      <c r="N21081" t="s">
        <v>85</v>
      </c>
      <c r="O21081">
        <v>250711</v>
      </c>
      <c r="P21081">
        <v>2.7</v>
      </c>
    </row>
    <row r="21082" spans="1:16" x14ac:dyDescent="0.25">
      <c r="A21082" t="s">
        <v>3296</v>
      </c>
      <c r="B21082" t="s">
        <v>2931</v>
      </c>
      <c r="C21082">
        <v>9556</v>
      </c>
      <c r="D21082" t="str">
        <f t="shared" si="413"/>
        <v xml:space="preserve">12527021423 </v>
      </c>
      <c r="E21082" t="s">
        <v>309</v>
      </c>
      <c r="F21082" t="s">
        <v>310</v>
      </c>
      <c r="G21082">
        <v>3.39</v>
      </c>
      <c r="H21082">
        <v>250630</v>
      </c>
      <c r="I21082">
        <v>4369</v>
      </c>
      <c r="J21082" t="s">
        <v>188</v>
      </c>
      <c r="K21082">
        <v>239.47</v>
      </c>
      <c r="L21082">
        <v>0.69</v>
      </c>
      <c r="M21082">
        <v>18120</v>
      </c>
      <c r="N21082" t="s">
        <v>37</v>
      </c>
      <c r="O21082">
        <v>250711</v>
      </c>
      <c r="P21082">
        <v>2.7</v>
      </c>
    </row>
    <row r="21083" spans="1:16" x14ac:dyDescent="0.25">
      <c r="A21083" t="s">
        <v>3296</v>
      </c>
      <c r="B21083" t="s">
        <v>2931</v>
      </c>
      <c r="C21083">
        <v>9556</v>
      </c>
      <c r="D21083" t="str">
        <f t="shared" si="413"/>
        <v xml:space="preserve">12527021423 </v>
      </c>
      <c r="E21083" t="s">
        <v>309</v>
      </c>
      <c r="F21083" t="s">
        <v>310</v>
      </c>
      <c r="G21083">
        <v>13.55</v>
      </c>
      <c r="H21083">
        <v>250630</v>
      </c>
      <c r="I21083">
        <v>4369</v>
      </c>
      <c r="J21083" t="s">
        <v>188</v>
      </c>
      <c r="K21083">
        <v>239.47</v>
      </c>
      <c r="L21083">
        <v>2.75</v>
      </c>
      <c r="M21083">
        <v>18972</v>
      </c>
      <c r="N21083" t="s">
        <v>39</v>
      </c>
      <c r="O21083">
        <v>250711</v>
      </c>
      <c r="P21083">
        <v>10.8</v>
      </c>
    </row>
    <row r="21084" spans="1:16" x14ac:dyDescent="0.25">
      <c r="A21084" t="s">
        <v>3296</v>
      </c>
      <c r="B21084" t="s">
        <v>2931</v>
      </c>
      <c r="C21084">
        <v>9557</v>
      </c>
      <c r="D21084" t="str">
        <f>"12527021420 "</f>
        <v xml:space="preserve">12527021420 </v>
      </c>
      <c r="E21084" t="s">
        <v>309</v>
      </c>
      <c r="F21084" t="s">
        <v>310</v>
      </c>
      <c r="G21084">
        <v>16.75</v>
      </c>
      <c r="H21084">
        <v>250630</v>
      </c>
      <c r="I21084">
        <v>4369</v>
      </c>
      <c r="J21084" t="s">
        <v>188</v>
      </c>
      <c r="K21084">
        <v>23.53</v>
      </c>
      <c r="L21084">
        <v>3.4</v>
      </c>
      <c r="M21084">
        <v>53222</v>
      </c>
      <c r="N21084" t="s">
        <v>41</v>
      </c>
      <c r="O21084">
        <v>250711</v>
      </c>
      <c r="P21084">
        <v>13.35</v>
      </c>
    </row>
    <row r="21085" spans="1:16" x14ac:dyDescent="0.25">
      <c r="A21085" t="s">
        <v>3296</v>
      </c>
      <c r="B21085" t="s">
        <v>2931</v>
      </c>
      <c r="C21085">
        <v>9557</v>
      </c>
      <c r="D21085" t="str">
        <f>"12527021420 "</f>
        <v xml:space="preserve">12527021420 </v>
      </c>
      <c r="E21085" t="s">
        <v>309</v>
      </c>
      <c r="F21085" t="s">
        <v>310</v>
      </c>
      <c r="G21085">
        <v>3.39</v>
      </c>
      <c r="H21085">
        <v>250630</v>
      </c>
      <c r="I21085">
        <v>4369</v>
      </c>
      <c r="J21085" t="s">
        <v>188</v>
      </c>
      <c r="K21085">
        <v>23.53</v>
      </c>
      <c r="L21085">
        <v>0.69</v>
      </c>
      <c r="M21085">
        <v>54622</v>
      </c>
      <c r="N21085" t="s">
        <v>42</v>
      </c>
      <c r="O21085">
        <v>250711</v>
      </c>
      <c r="P21085">
        <v>2.7</v>
      </c>
    </row>
    <row r="21086" spans="1:16" x14ac:dyDescent="0.25">
      <c r="A21086" t="s">
        <v>3296</v>
      </c>
      <c r="B21086" t="s">
        <v>2931</v>
      </c>
      <c r="C21086">
        <v>9557</v>
      </c>
      <c r="D21086" t="str">
        <f>"12527021420 "</f>
        <v xml:space="preserve">12527021420 </v>
      </c>
      <c r="E21086" t="s">
        <v>309</v>
      </c>
      <c r="F21086" t="s">
        <v>310</v>
      </c>
      <c r="G21086">
        <v>3.39</v>
      </c>
      <c r="H21086">
        <v>250630</v>
      </c>
      <c r="I21086">
        <v>4369</v>
      </c>
      <c r="J21086" t="s">
        <v>188</v>
      </c>
      <c r="K21086">
        <v>23.53</v>
      </c>
      <c r="L21086">
        <v>0.69</v>
      </c>
      <c r="M21086">
        <v>55222</v>
      </c>
      <c r="N21086" t="s">
        <v>43</v>
      </c>
      <c r="O21086">
        <v>250711</v>
      </c>
      <c r="P21086">
        <v>2.7</v>
      </c>
    </row>
    <row r="21087" spans="1:16" x14ac:dyDescent="0.25">
      <c r="A21087" t="s">
        <v>3296</v>
      </c>
      <c r="B21087" t="s">
        <v>2931</v>
      </c>
      <c r="C21087">
        <v>9558</v>
      </c>
      <c r="D21087" t="str">
        <f t="shared" ref="D21087:D21115" si="414">"12527021392 "</f>
        <v xml:space="preserve">12527021392 </v>
      </c>
      <c r="E21087" t="s">
        <v>309</v>
      </c>
      <c r="F21087" t="s">
        <v>310</v>
      </c>
      <c r="G21087">
        <v>36.130000000000003</v>
      </c>
      <c r="H21087">
        <v>250630</v>
      </c>
      <c r="I21087">
        <v>4369</v>
      </c>
      <c r="J21087" t="s">
        <v>188</v>
      </c>
      <c r="K21087">
        <v>365.53</v>
      </c>
      <c r="L21087">
        <v>7.34</v>
      </c>
      <c r="M21087">
        <v>61122</v>
      </c>
      <c r="N21087" t="s">
        <v>86</v>
      </c>
      <c r="O21087">
        <v>250711</v>
      </c>
      <c r="P21087">
        <v>28.79</v>
      </c>
    </row>
    <row r="21088" spans="1:16" x14ac:dyDescent="0.25">
      <c r="A21088" t="s">
        <v>3296</v>
      </c>
      <c r="B21088" t="s">
        <v>2931</v>
      </c>
      <c r="C21088">
        <v>9558</v>
      </c>
      <c r="D21088" t="str">
        <f t="shared" si="414"/>
        <v xml:space="preserve">12527021392 </v>
      </c>
      <c r="E21088" t="s">
        <v>309</v>
      </c>
      <c r="F21088" t="s">
        <v>310</v>
      </c>
      <c r="G21088">
        <v>3.39</v>
      </c>
      <c r="H21088">
        <v>250630</v>
      </c>
      <c r="I21088">
        <v>4369</v>
      </c>
      <c r="J21088" t="s">
        <v>188</v>
      </c>
      <c r="K21088">
        <v>365.53</v>
      </c>
      <c r="L21088">
        <v>0.69</v>
      </c>
      <c r="M21088">
        <v>61122</v>
      </c>
      <c r="N21088" t="s">
        <v>86</v>
      </c>
      <c r="O21088">
        <v>250711</v>
      </c>
      <c r="P21088">
        <v>2.7</v>
      </c>
    </row>
    <row r="21089" spans="1:16" x14ac:dyDescent="0.25">
      <c r="A21089" t="s">
        <v>3296</v>
      </c>
      <c r="B21089" t="s">
        <v>2931</v>
      </c>
      <c r="C21089">
        <v>9558</v>
      </c>
      <c r="D21089" t="str">
        <f t="shared" si="414"/>
        <v xml:space="preserve">12527021392 </v>
      </c>
      <c r="E21089" t="s">
        <v>309</v>
      </c>
      <c r="F21089" t="s">
        <v>310</v>
      </c>
      <c r="G21089">
        <v>13.82</v>
      </c>
      <c r="H21089">
        <v>250630</v>
      </c>
      <c r="I21089">
        <v>4369</v>
      </c>
      <c r="J21089" t="s">
        <v>188</v>
      </c>
      <c r="K21089">
        <v>365.53</v>
      </c>
      <c r="L21089">
        <v>2.81</v>
      </c>
      <c r="M21089">
        <v>65222</v>
      </c>
      <c r="N21089" t="s">
        <v>87</v>
      </c>
      <c r="O21089">
        <v>250711</v>
      </c>
      <c r="P21089">
        <v>11.01</v>
      </c>
    </row>
    <row r="21090" spans="1:16" x14ac:dyDescent="0.25">
      <c r="A21090" t="s">
        <v>3296</v>
      </c>
      <c r="B21090" t="s">
        <v>2931</v>
      </c>
      <c r="C21090">
        <v>9558</v>
      </c>
      <c r="D21090" t="str">
        <f t="shared" si="414"/>
        <v xml:space="preserve">12527021392 </v>
      </c>
      <c r="E21090" t="s">
        <v>309</v>
      </c>
      <c r="F21090" t="s">
        <v>310</v>
      </c>
      <c r="G21090">
        <v>3.39</v>
      </c>
      <c r="H21090">
        <v>250630</v>
      </c>
      <c r="I21090">
        <v>4369</v>
      </c>
      <c r="J21090" t="s">
        <v>188</v>
      </c>
      <c r="K21090">
        <v>365.53</v>
      </c>
      <c r="L21090">
        <v>0.69</v>
      </c>
      <c r="M21090">
        <v>65422</v>
      </c>
      <c r="N21090" t="s">
        <v>117</v>
      </c>
      <c r="O21090">
        <v>250711</v>
      </c>
      <c r="P21090">
        <v>2.7</v>
      </c>
    </row>
    <row r="21091" spans="1:16" x14ac:dyDescent="0.25">
      <c r="A21091" t="s">
        <v>3296</v>
      </c>
      <c r="B21091" t="s">
        <v>2931</v>
      </c>
      <c r="C21091">
        <v>9558</v>
      </c>
      <c r="D21091" t="str">
        <f t="shared" si="414"/>
        <v xml:space="preserve">12527021392 </v>
      </c>
      <c r="E21091" t="s">
        <v>309</v>
      </c>
      <c r="F21091" t="s">
        <v>310</v>
      </c>
      <c r="G21091">
        <v>10.17</v>
      </c>
      <c r="H21091">
        <v>250630</v>
      </c>
      <c r="I21091">
        <v>4369</v>
      </c>
      <c r="J21091" t="s">
        <v>188</v>
      </c>
      <c r="K21091">
        <v>365.53</v>
      </c>
      <c r="L21091">
        <v>2.0699999999999998</v>
      </c>
      <c r="M21091">
        <v>66722</v>
      </c>
      <c r="N21091" t="s">
        <v>118</v>
      </c>
      <c r="O21091">
        <v>250711</v>
      </c>
      <c r="P21091">
        <v>8.1</v>
      </c>
    </row>
    <row r="21092" spans="1:16" x14ac:dyDescent="0.25">
      <c r="A21092" t="s">
        <v>3296</v>
      </c>
      <c r="B21092" t="s">
        <v>2931</v>
      </c>
      <c r="C21092">
        <v>9558</v>
      </c>
      <c r="D21092" t="str">
        <f t="shared" si="414"/>
        <v xml:space="preserve">12527021392 </v>
      </c>
      <c r="E21092" t="s">
        <v>309</v>
      </c>
      <c r="F21092" t="s">
        <v>310</v>
      </c>
      <c r="G21092">
        <v>11.34</v>
      </c>
      <c r="H21092">
        <v>250630</v>
      </c>
      <c r="I21092">
        <v>4369</v>
      </c>
      <c r="J21092" t="s">
        <v>188</v>
      </c>
      <c r="K21092">
        <v>365.53</v>
      </c>
      <c r="L21092">
        <v>2.2999999999999998</v>
      </c>
      <c r="M21092">
        <v>66754</v>
      </c>
      <c r="N21092" t="s">
        <v>119</v>
      </c>
      <c r="O21092">
        <v>250711</v>
      </c>
      <c r="P21092">
        <v>9.0399999999999991</v>
      </c>
    </row>
    <row r="21093" spans="1:16" x14ac:dyDescent="0.25">
      <c r="A21093" t="s">
        <v>3296</v>
      </c>
      <c r="B21093" t="s">
        <v>2931</v>
      </c>
      <c r="C21093">
        <v>9558</v>
      </c>
      <c r="D21093" t="str">
        <f t="shared" si="414"/>
        <v xml:space="preserve">12527021392 </v>
      </c>
      <c r="E21093" t="s">
        <v>309</v>
      </c>
      <c r="F21093" t="s">
        <v>310</v>
      </c>
      <c r="G21093">
        <v>6.78</v>
      </c>
      <c r="H21093">
        <v>250630</v>
      </c>
      <c r="I21093">
        <v>4369</v>
      </c>
      <c r="J21093" t="s">
        <v>188</v>
      </c>
      <c r="K21093">
        <v>365.53</v>
      </c>
      <c r="L21093">
        <v>1.38</v>
      </c>
      <c r="M21093">
        <v>66754</v>
      </c>
      <c r="N21093" t="s">
        <v>119</v>
      </c>
      <c r="O21093">
        <v>250711</v>
      </c>
      <c r="P21093">
        <v>5.4</v>
      </c>
    </row>
    <row r="21094" spans="1:16" x14ac:dyDescent="0.25">
      <c r="A21094" t="s">
        <v>3296</v>
      </c>
      <c r="B21094" t="s">
        <v>2931</v>
      </c>
      <c r="C21094">
        <v>9558</v>
      </c>
      <c r="D21094" t="str">
        <f t="shared" si="414"/>
        <v xml:space="preserve">12527021392 </v>
      </c>
      <c r="E21094" t="s">
        <v>309</v>
      </c>
      <c r="F21094" t="s">
        <v>310</v>
      </c>
      <c r="G21094">
        <v>3.39</v>
      </c>
      <c r="H21094">
        <v>250630</v>
      </c>
      <c r="I21094">
        <v>4369</v>
      </c>
      <c r="J21094" t="s">
        <v>188</v>
      </c>
      <c r="K21094">
        <v>365.53</v>
      </c>
      <c r="L21094">
        <v>0.69</v>
      </c>
      <c r="M21094">
        <v>66754</v>
      </c>
      <c r="N21094" t="s">
        <v>119</v>
      </c>
      <c r="O21094">
        <v>250711</v>
      </c>
      <c r="P21094">
        <v>2.7</v>
      </c>
    </row>
    <row r="21095" spans="1:16" x14ac:dyDescent="0.25">
      <c r="A21095" t="s">
        <v>3296</v>
      </c>
      <c r="B21095" t="s">
        <v>2931</v>
      </c>
      <c r="C21095">
        <v>9558</v>
      </c>
      <c r="D21095" t="str">
        <f t="shared" si="414"/>
        <v xml:space="preserve">12527021392 </v>
      </c>
      <c r="E21095" t="s">
        <v>309</v>
      </c>
      <c r="F21095" t="s">
        <v>310</v>
      </c>
      <c r="G21095">
        <v>16.75</v>
      </c>
      <c r="H21095">
        <v>250630</v>
      </c>
      <c r="I21095">
        <v>4369</v>
      </c>
      <c r="J21095" t="s">
        <v>188</v>
      </c>
      <c r="K21095">
        <v>365.53</v>
      </c>
      <c r="L21095">
        <v>3.4</v>
      </c>
      <c r="M21095">
        <v>66754</v>
      </c>
      <c r="N21095" t="s">
        <v>119</v>
      </c>
      <c r="O21095">
        <v>250711</v>
      </c>
      <c r="P21095">
        <v>13.35</v>
      </c>
    </row>
    <row r="21096" spans="1:16" x14ac:dyDescent="0.25">
      <c r="A21096" t="s">
        <v>3296</v>
      </c>
      <c r="B21096" t="s">
        <v>2931</v>
      </c>
      <c r="C21096">
        <v>9558</v>
      </c>
      <c r="D21096" t="str">
        <f t="shared" si="414"/>
        <v xml:space="preserve">12527021392 </v>
      </c>
      <c r="E21096" t="s">
        <v>309</v>
      </c>
      <c r="F21096" t="s">
        <v>310</v>
      </c>
      <c r="G21096">
        <v>22.94</v>
      </c>
      <c r="H21096">
        <v>250630</v>
      </c>
      <c r="I21096">
        <v>4369</v>
      </c>
      <c r="J21096" t="s">
        <v>188</v>
      </c>
      <c r="K21096">
        <v>365.53</v>
      </c>
      <c r="L21096">
        <v>4.66</v>
      </c>
      <c r="M21096">
        <v>66756</v>
      </c>
      <c r="N21096" t="s">
        <v>120</v>
      </c>
      <c r="O21096">
        <v>250711</v>
      </c>
      <c r="P21096">
        <v>18.28</v>
      </c>
    </row>
    <row r="21097" spans="1:16" x14ac:dyDescent="0.25">
      <c r="A21097" t="s">
        <v>3296</v>
      </c>
      <c r="B21097" t="s">
        <v>2931</v>
      </c>
      <c r="C21097">
        <v>9558</v>
      </c>
      <c r="D21097" t="str">
        <f t="shared" si="414"/>
        <v xml:space="preserve">12527021392 </v>
      </c>
      <c r="E21097" t="s">
        <v>309</v>
      </c>
      <c r="F21097" t="s">
        <v>310</v>
      </c>
      <c r="G21097">
        <v>23.72</v>
      </c>
      <c r="H21097">
        <v>250630</v>
      </c>
      <c r="I21097">
        <v>4369</v>
      </c>
      <c r="J21097" t="s">
        <v>188</v>
      </c>
      <c r="K21097">
        <v>365.53</v>
      </c>
      <c r="L21097">
        <v>4.82</v>
      </c>
      <c r="M21097">
        <v>67522</v>
      </c>
      <c r="N21097" t="s">
        <v>121</v>
      </c>
      <c r="O21097">
        <v>250711</v>
      </c>
      <c r="P21097">
        <v>18.899999999999999</v>
      </c>
    </row>
    <row r="21098" spans="1:16" x14ac:dyDescent="0.25">
      <c r="A21098" t="s">
        <v>3296</v>
      </c>
      <c r="B21098" t="s">
        <v>2931</v>
      </c>
      <c r="C21098">
        <v>9558</v>
      </c>
      <c r="D21098" t="str">
        <f t="shared" si="414"/>
        <v xml:space="preserve">12527021392 </v>
      </c>
      <c r="E21098" t="s">
        <v>309</v>
      </c>
      <c r="F21098" t="s">
        <v>310</v>
      </c>
      <c r="G21098">
        <v>15.69</v>
      </c>
      <c r="H21098">
        <v>250630</v>
      </c>
      <c r="I21098">
        <v>4369</v>
      </c>
      <c r="J21098" t="s">
        <v>188</v>
      </c>
      <c r="K21098">
        <v>365.53</v>
      </c>
      <c r="L21098">
        <v>3.19</v>
      </c>
      <c r="M21098">
        <v>67522</v>
      </c>
      <c r="N21098" t="s">
        <v>121</v>
      </c>
      <c r="O21098">
        <v>250711</v>
      </c>
      <c r="P21098">
        <v>12.5</v>
      </c>
    </row>
    <row r="21099" spans="1:16" x14ac:dyDescent="0.25">
      <c r="A21099" t="s">
        <v>3296</v>
      </c>
      <c r="B21099" t="s">
        <v>2931</v>
      </c>
      <c r="C21099">
        <v>9558</v>
      </c>
      <c r="D21099" t="str">
        <f t="shared" si="414"/>
        <v xml:space="preserve">12527021392 </v>
      </c>
      <c r="E21099" t="s">
        <v>309</v>
      </c>
      <c r="F21099" t="s">
        <v>310</v>
      </c>
      <c r="G21099">
        <v>1.74</v>
      </c>
      <c r="H21099">
        <v>250630</v>
      </c>
      <c r="I21099">
        <v>4369</v>
      </c>
      <c r="J21099" t="s">
        <v>188</v>
      </c>
      <c r="K21099">
        <v>365.53</v>
      </c>
      <c r="L21099">
        <v>0.35</v>
      </c>
      <c r="M21099">
        <v>67554</v>
      </c>
      <c r="N21099" t="s">
        <v>317</v>
      </c>
      <c r="O21099">
        <v>250711</v>
      </c>
      <c r="P21099">
        <v>1.39</v>
      </c>
    </row>
    <row r="21100" spans="1:16" x14ac:dyDescent="0.25">
      <c r="A21100" t="s">
        <v>3296</v>
      </c>
      <c r="B21100" t="s">
        <v>2931</v>
      </c>
      <c r="C21100">
        <v>9558</v>
      </c>
      <c r="D21100" t="str">
        <f t="shared" si="414"/>
        <v xml:space="preserve">12527021392 </v>
      </c>
      <c r="E21100" t="s">
        <v>309</v>
      </c>
      <c r="F21100" t="s">
        <v>310</v>
      </c>
      <c r="G21100">
        <v>6.78</v>
      </c>
      <c r="H21100">
        <v>250630</v>
      </c>
      <c r="I21100">
        <v>4369</v>
      </c>
      <c r="J21100" t="s">
        <v>188</v>
      </c>
      <c r="K21100">
        <v>365.53</v>
      </c>
      <c r="L21100">
        <v>1.38</v>
      </c>
      <c r="M21100">
        <v>67554</v>
      </c>
      <c r="N21100" t="s">
        <v>317</v>
      </c>
      <c r="O21100">
        <v>250711</v>
      </c>
      <c r="P21100">
        <v>5.4</v>
      </c>
    </row>
    <row r="21101" spans="1:16" x14ac:dyDescent="0.25">
      <c r="A21101" t="s">
        <v>3296</v>
      </c>
      <c r="B21101" t="s">
        <v>2931</v>
      </c>
      <c r="C21101">
        <v>9558</v>
      </c>
      <c r="D21101" t="str">
        <f t="shared" si="414"/>
        <v xml:space="preserve">12527021392 </v>
      </c>
      <c r="E21101" t="s">
        <v>309</v>
      </c>
      <c r="F21101" t="s">
        <v>310</v>
      </c>
      <c r="G21101">
        <v>73.25</v>
      </c>
      <c r="H21101">
        <v>250630</v>
      </c>
      <c r="I21101">
        <v>4369</v>
      </c>
      <c r="J21101" t="s">
        <v>188</v>
      </c>
      <c r="K21101">
        <v>365.53</v>
      </c>
      <c r="L21101">
        <v>14.88</v>
      </c>
      <c r="M21101">
        <v>67554</v>
      </c>
      <c r="N21101" t="s">
        <v>317</v>
      </c>
      <c r="O21101">
        <v>250711</v>
      </c>
      <c r="P21101">
        <v>58.37</v>
      </c>
    </row>
    <row r="21102" spans="1:16" x14ac:dyDescent="0.25">
      <c r="A21102" t="s">
        <v>3296</v>
      </c>
      <c r="B21102" t="s">
        <v>2931</v>
      </c>
      <c r="C21102">
        <v>9558</v>
      </c>
      <c r="D21102" t="str">
        <f t="shared" si="414"/>
        <v xml:space="preserve">12527021392 </v>
      </c>
      <c r="E21102" t="s">
        <v>309</v>
      </c>
      <c r="F21102" t="s">
        <v>310</v>
      </c>
      <c r="G21102">
        <v>3.39</v>
      </c>
      <c r="H21102">
        <v>250630</v>
      </c>
      <c r="I21102">
        <v>4369</v>
      </c>
      <c r="J21102" t="s">
        <v>188</v>
      </c>
      <c r="K21102">
        <v>365.53</v>
      </c>
      <c r="L21102">
        <v>0.69</v>
      </c>
      <c r="M21102">
        <v>67554</v>
      </c>
      <c r="N21102" t="s">
        <v>317</v>
      </c>
      <c r="O21102">
        <v>250711</v>
      </c>
      <c r="P21102">
        <v>2.7</v>
      </c>
    </row>
    <row r="21103" spans="1:16" x14ac:dyDescent="0.25">
      <c r="A21103" t="s">
        <v>3296</v>
      </c>
      <c r="B21103" t="s">
        <v>2931</v>
      </c>
      <c r="C21103">
        <v>9558</v>
      </c>
      <c r="D21103" t="str">
        <f t="shared" si="414"/>
        <v xml:space="preserve">12527021392 </v>
      </c>
      <c r="E21103" t="s">
        <v>309</v>
      </c>
      <c r="F21103" t="s">
        <v>310</v>
      </c>
      <c r="G21103">
        <v>12.3</v>
      </c>
      <c r="H21103">
        <v>250630</v>
      </c>
      <c r="I21103">
        <v>4369</v>
      </c>
      <c r="J21103" t="s">
        <v>188</v>
      </c>
      <c r="K21103">
        <v>365.53</v>
      </c>
      <c r="L21103">
        <v>2.5</v>
      </c>
      <c r="M21103">
        <v>68601</v>
      </c>
      <c r="N21103" t="s">
        <v>1031</v>
      </c>
      <c r="O21103">
        <v>250711</v>
      </c>
      <c r="P21103">
        <v>9.8000000000000007</v>
      </c>
    </row>
    <row r="21104" spans="1:16" x14ac:dyDescent="0.25">
      <c r="A21104" t="s">
        <v>3296</v>
      </c>
      <c r="B21104" t="s">
        <v>2931</v>
      </c>
      <c r="C21104">
        <v>9558</v>
      </c>
      <c r="D21104" t="str">
        <f t="shared" si="414"/>
        <v xml:space="preserve">12527021392 </v>
      </c>
      <c r="E21104" t="s">
        <v>309</v>
      </c>
      <c r="F21104" t="s">
        <v>310</v>
      </c>
      <c r="G21104">
        <v>3.39</v>
      </c>
      <c r="H21104">
        <v>250630</v>
      </c>
      <c r="I21104">
        <v>4369</v>
      </c>
      <c r="J21104" t="s">
        <v>188</v>
      </c>
      <c r="K21104">
        <v>365.53</v>
      </c>
      <c r="L21104">
        <v>0.69</v>
      </c>
      <c r="M21104">
        <v>68601</v>
      </c>
      <c r="N21104" t="s">
        <v>1031</v>
      </c>
      <c r="O21104">
        <v>250711</v>
      </c>
      <c r="P21104">
        <v>2.7</v>
      </c>
    </row>
    <row r="21105" spans="1:16" x14ac:dyDescent="0.25">
      <c r="A21105" t="s">
        <v>3296</v>
      </c>
      <c r="B21105" t="s">
        <v>2931</v>
      </c>
      <c r="C21105">
        <v>9558</v>
      </c>
      <c r="D21105" t="str">
        <f t="shared" si="414"/>
        <v xml:space="preserve">12527021392 </v>
      </c>
      <c r="E21105" t="s">
        <v>309</v>
      </c>
      <c r="F21105" t="s">
        <v>310</v>
      </c>
      <c r="G21105">
        <v>6.78</v>
      </c>
      <c r="H21105">
        <v>250630</v>
      </c>
      <c r="I21105">
        <v>4369</v>
      </c>
      <c r="J21105" t="s">
        <v>188</v>
      </c>
      <c r="K21105">
        <v>365.53</v>
      </c>
      <c r="L21105">
        <v>1.38</v>
      </c>
      <c r="M21105">
        <v>69111</v>
      </c>
      <c r="N21105" t="s">
        <v>657</v>
      </c>
      <c r="O21105">
        <v>250711</v>
      </c>
      <c r="P21105">
        <v>5.4</v>
      </c>
    </row>
    <row r="21106" spans="1:16" x14ac:dyDescent="0.25">
      <c r="A21106" t="s">
        <v>3296</v>
      </c>
      <c r="B21106" t="s">
        <v>2931</v>
      </c>
      <c r="C21106">
        <v>9558</v>
      </c>
      <c r="D21106" t="str">
        <f t="shared" si="414"/>
        <v xml:space="preserve">12527021392 </v>
      </c>
      <c r="E21106" t="s">
        <v>309</v>
      </c>
      <c r="F21106" t="s">
        <v>310</v>
      </c>
      <c r="G21106">
        <v>6.78</v>
      </c>
      <c r="H21106">
        <v>250630</v>
      </c>
      <c r="I21106">
        <v>4369</v>
      </c>
      <c r="J21106" t="s">
        <v>188</v>
      </c>
      <c r="K21106">
        <v>365.53</v>
      </c>
      <c r="L21106">
        <v>1.38</v>
      </c>
      <c r="M21106">
        <v>69112</v>
      </c>
      <c r="N21106" t="s">
        <v>227</v>
      </c>
      <c r="O21106">
        <v>250711</v>
      </c>
      <c r="P21106">
        <v>5.4</v>
      </c>
    </row>
    <row r="21107" spans="1:16" x14ac:dyDescent="0.25">
      <c r="A21107" t="s">
        <v>3296</v>
      </c>
      <c r="B21107" t="s">
        <v>2931</v>
      </c>
      <c r="C21107">
        <v>9558</v>
      </c>
      <c r="D21107" t="str">
        <f t="shared" si="414"/>
        <v xml:space="preserve">12527021392 </v>
      </c>
      <c r="E21107" t="s">
        <v>309</v>
      </c>
      <c r="F21107" t="s">
        <v>310</v>
      </c>
      <c r="G21107">
        <v>10.17</v>
      </c>
      <c r="H21107">
        <v>250630</v>
      </c>
      <c r="I21107">
        <v>4369</v>
      </c>
      <c r="J21107" t="s">
        <v>188</v>
      </c>
      <c r="K21107">
        <v>365.53</v>
      </c>
      <c r="L21107">
        <v>2.0699999999999998</v>
      </c>
      <c r="M21107">
        <v>69113</v>
      </c>
      <c r="N21107" t="s">
        <v>122</v>
      </c>
      <c r="O21107">
        <v>250711</v>
      </c>
      <c r="P21107">
        <v>8.1</v>
      </c>
    </row>
    <row r="21108" spans="1:16" x14ac:dyDescent="0.25">
      <c r="A21108" t="s">
        <v>3296</v>
      </c>
      <c r="B21108" t="s">
        <v>2931</v>
      </c>
      <c r="C21108">
        <v>9558</v>
      </c>
      <c r="D21108" t="str">
        <f t="shared" si="414"/>
        <v xml:space="preserve">12527021392 </v>
      </c>
      <c r="E21108" t="s">
        <v>309</v>
      </c>
      <c r="F21108" t="s">
        <v>310</v>
      </c>
      <c r="G21108">
        <v>27.32</v>
      </c>
      <c r="H21108">
        <v>250630</v>
      </c>
      <c r="I21108">
        <v>4369</v>
      </c>
      <c r="J21108" t="s">
        <v>188</v>
      </c>
      <c r="K21108">
        <v>365.53</v>
      </c>
      <c r="L21108">
        <v>5.55</v>
      </c>
      <c r="M21108">
        <v>69501</v>
      </c>
      <c r="N21108" t="s">
        <v>123</v>
      </c>
      <c r="O21108">
        <v>250711</v>
      </c>
      <c r="P21108">
        <v>21.77</v>
      </c>
    </row>
    <row r="21109" spans="1:16" x14ac:dyDescent="0.25">
      <c r="A21109" t="s">
        <v>3296</v>
      </c>
      <c r="B21109" t="s">
        <v>2931</v>
      </c>
      <c r="C21109">
        <v>9558</v>
      </c>
      <c r="D21109" t="str">
        <f t="shared" si="414"/>
        <v xml:space="preserve">12527021392 </v>
      </c>
      <c r="E21109" t="s">
        <v>309</v>
      </c>
      <c r="F21109" t="s">
        <v>310</v>
      </c>
      <c r="G21109">
        <v>5.2</v>
      </c>
      <c r="H21109">
        <v>250630</v>
      </c>
      <c r="I21109">
        <v>4369</v>
      </c>
      <c r="J21109" t="s">
        <v>188</v>
      </c>
      <c r="K21109">
        <v>365.53</v>
      </c>
      <c r="L21109">
        <v>1.06</v>
      </c>
      <c r="M21109">
        <v>69701</v>
      </c>
      <c r="N21109" t="s">
        <v>1030</v>
      </c>
      <c r="O21109">
        <v>250711</v>
      </c>
      <c r="P21109">
        <v>4.1399999999999997</v>
      </c>
    </row>
    <row r="21110" spans="1:16" x14ac:dyDescent="0.25">
      <c r="A21110" t="s">
        <v>3296</v>
      </c>
      <c r="B21110" t="s">
        <v>2931</v>
      </c>
      <c r="C21110">
        <v>9558</v>
      </c>
      <c r="D21110" t="str">
        <f t="shared" si="414"/>
        <v xml:space="preserve">12527021392 </v>
      </c>
      <c r="E21110" t="s">
        <v>309</v>
      </c>
      <c r="F21110" t="s">
        <v>310</v>
      </c>
      <c r="G21110">
        <v>3.39</v>
      </c>
      <c r="H21110">
        <v>250630</v>
      </c>
      <c r="I21110">
        <v>4369</v>
      </c>
      <c r="J21110" t="s">
        <v>188</v>
      </c>
      <c r="K21110">
        <v>365.53</v>
      </c>
      <c r="L21110">
        <v>0.69</v>
      </c>
      <c r="M21110">
        <v>69702</v>
      </c>
      <c r="N21110" t="s">
        <v>124</v>
      </c>
      <c r="O21110">
        <v>250711</v>
      </c>
      <c r="P21110">
        <v>2.7</v>
      </c>
    </row>
    <row r="21111" spans="1:16" x14ac:dyDescent="0.25">
      <c r="A21111" t="s">
        <v>3296</v>
      </c>
      <c r="B21111" t="s">
        <v>2931</v>
      </c>
      <c r="C21111">
        <v>9558</v>
      </c>
      <c r="D21111" t="str">
        <f t="shared" si="414"/>
        <v xml:space="preserve">12527021392 </v>
      </c>
      <c r="E21111" t="s">
        <v>309</v>
      </c>
      <c r="F21111" t="s">
        <v>310</v>
      </c>
      <c r="G21111">
        <v>7.44</v>
      </c>
      <c r="H21111">
        <v>250630</v>
      </c>
      <c r="I21111">
        <v>4369</v>
      </c>
      <c r="J21111" t="s">
        <v>188</v>
      </c>
      <c r="K21111">
        <v>365.53</v>
      </c>
      <c r="L21111">
        <v>1.51</v>
      </c>
      <c r="M21111">
        <v>69703</v>
      </c>
      <c r="N21111" t="s">
        <v>88</v>
      </c>
      <c r="O21111">
        <v>250711</v>
      </c>
      <c r="P21111">
        <v>5.93</v>
      </c>
    </row>
    <row r="21112" spans="1:16" x14ac:dyDescent="0.25">
      <c r="A21112" t="s">
        <v>3296</v>
      </c>
      <c r="B21112" t="s">
        <v>2931</v>
      </c>
      <c r="C21112">
        <v>9558</v>
      </c>
      <c r="D21112" t="str">
        <f t="shared" si="414"/>
        <v xml:space="preserve">12527021392 </v>
      </c>
      <c r="E21112" t="s">
        <v>309</v>
      </c>
      <c r="F21112" t="s">
        <v>310</v>
      </c>
      <c r="G21112">
        <v>6.59</v>
      </c>
      <c r="H21112">
        <v>250630</v>
      </c>
      <c r="I21112">
        <v>4369</v>
      </c>
      <c r="J21112" t="s">
        <v>188</v>
      </c>
      <c r="K21112">
        <v>365.53</v>
      </c>
      <c r="L21112">
        <v>1.34</v>
      </c>
      <c r="M21112">
        <v>69704</v>
      </c>
      <c r="N21112" t="s">
        <v>89</v>
      </c>
      <c r="O21112">
        <v>250711</v>
      </c>
      <c r="P21112">
        <v>5.25</v>
      </c>
    </row>
    <row r="21113" spans="1:16" x14ac:dyDescent="0.25">
      <c r="A21113" t="s">
        <v>3296</v>
      </c>
      <c r="B21113" t="s">
        <v>2931</v>
      </c>
      <c r="C21113">
        <v>9558</v>
      </c>
      <c r="D21113" t="str">
        <f t="shared" si="414"/>
        <v xml:space="preserve">12527021392 </v>
      </c>
      <c r="E21113" t="s">
        <v>309</v>
      </c>
      <c r="F21113" t="s">
        <v>310</v>
      </c>
      <c r="G21113">
        <v>6.59</v>
      </c>
      <c r="H21113">
        <v>250630</v>
      </c>
      <c r="I21113">
        <v>4369</v>
      </c>
      <c r="J21113" t="s">
        <v>188</v>
      </c>
      <c r="K21113">
        <v>365.53</v>
      </c>
      <c r="L21113">
        <v>1.34</v>
      </c>
      <c r="M21113">
        <v>69704</v>
      </c>
      <c r="N21113" t="s">
        <v>89</v>
      </c>
      <c r="O21113">
        <v>250711</v>
      </c>
      <c r="P21113">
        <v>5.25</v>
      </c>
    </row>
    <row r="21114" spans="1:16" x14ac:dyDescent="0.25">
      <c r="A21114" t="s">
        <v>3296</v>
      </c>
      <c r="B21114" t="s">
        <v>2931</v>
      </c>
      <c r="C21114">
        <v>9558</v>
      </c>
      <c r="D21114" t="str">
        <f t="shared" si="414"/>
        <v xml:space="preserve">12527021392 </v>
      </c>
      <c r="E21114" t="s">
        <v>309</v>
      </c>
      <c r="F21114" t="s">
        <v>310</v>
      </c>
      <c r="G21114">
        <v>10.17</v>
      </c>
      <c r="H21114">
        <v>250630</v>
      </c>
      <c r="I21114">
        <v>4369</v>
      </c>
      <c r="J21114" t="s">
        <v>188</v>
      </c>
      <c r="K21114">
        <v>365.53</v>
      </c>
      <c r="L21114">
        <v>2.0699999999999998</v>
      </c>
      <c r="M21114">
        <v>69707</v>
      </c>
      <c r="N21114" t="s">
        <v>90</v>
      </c>
      <c r="O21114">
        <v>250711</v>
      </c>
      <c r="P21114">
        <v>8.1</v>
      </c>
    </row>
    <row r="21115" spans="1:16" x14ac:dyDescent="0.25">
      <c r="A21115" t="s">
        <v>3296</v>
      </c>
      <c r="B21115" t="s">
        <v>2931</v>
      </c>
      <c r="C21115">
        <v>9558</v>
      </c>
      <c r="D21115" t="str">
        <f t="shared" si="414"/>
        <v xml:space="preserve">12527021392 </v>
      </c>
      <c r="E21115" t="s">
        <v>309</v>
      </c>
      <c r="F21115" t="s">
        <v>310</v>
      </c>
      <c r="G21115">
        <v>6.74</v>
      </c>
      <c r="H21115">
        <v>250630</v>
      </c>
      <c r="I21115">
        <v>4369</v>
      </c>
      <c r="J21115" t="s">
        <v>188</v>
      </c>
      <c r="K21115">
        <v>365.53</v>
      </c>
      <c r="L21115">
        <v>1.37</v>
      </c>
      <c r="M21115">
        <v>69708</v>
      </c>
      <c r="N21115" t="s">
        <v>125</v>
      </c>
      <c r="O21115">
        <v>250711</v>
      </c>
      <c r="P21115">
        <v>5.37</v>
      </c>
    </row>
    <row r="21116" spans="1:16" x14ac:dyDescent="0.25">
      <c r="A21116" t="s">
        <v>3296</v>
      </c>
      <c r="B21116" t="s">
        <v>2931</v>
      </c>
      <c r="C21116">
        <v>9559</v>
      </c>
      <c r="D21116" t="str">
        <f>"12527021399 "</f>
        <v xml:space="preserve">12527021399 </v>
      </c>
      <c r="E21116" t="s">
        <v>309</v>
      </c>
      <c r="F21116" t="s">
        <v>310</v>
      </c>
      <c r="G21116">
        <v>9.39</v>
      </c>
      <c r="H21116">
        <v>250630</v>
      </c>
      <c r="I21116">
        <v>4369</v>
      </c>
      <c r="J21116" t="s">
        <v>188</v>
      </c>
      <c r="K21116">
        <v>16.38</v>
      </c>
      <c r="L21116">
        <v>1.91</v>
      </c>
      <c r="M21116">
        <v>49701</v>
      </c>
      <c r="N21116" t="s">
        <v>111</v>
      </c>
      <c r="O21116">
        <v>250711</v>
      </c>
      <c r="P21116">
        <v>7.48</v>
      </c>
    </row>
    <row r="21117" spans="1:16" x14ac:dyDescent="0.25">
      <c r="A21117" t="s">
        <v>3296</v>
      </c>
      <c r="B21117" t="s">
        <v>2931</v>
      </c>
      <c r="C21117">
        <v>9559</v>
      </c>
      <c r="D21117" t="str">
        <f>"12527021399 "</f>
        <v xml:space="preserve">12527021399 </v>
      </c>
      <c r="E21117" t="s">
        <v>309</v>
      </c>
      <c r="F21117" t="s">
        <v>310</v>
      </c>
      <c r="G21117">
        <v>6.99</v>
      </c>
      <c r="H21117">
        <v>250630</v>
      </c>
      <c r="I21117">
        <v>4369</v>
      </c>
      <c r="J21117" t="s">
        <v>188</v>
      </c>
      <c r="K21117">
        <v>16.38</v>
      </c>
      <c r="L21117">
        <v>1.42</v>
      </c>
      <c r="M21117">
        <v>49702</v>
      </c>
      <c r="N21117" t="s">
        <v>112</v>
      </c>
      <c r="O21117">
        <v>250711</v>
      </c>
      <c r="P21117">
        <v>5.57</v>
      </c>
    </row>
    <row r="21118" spans="1:16" x14ac:dyDescent="0.25">
      <c r="A21118" t="s">
        <v>3296</v>
      </c>
      <c r="B21118" t="s">
        <v>2931</v>
      </c>
      <c r="C21118">
        <v>9560</v>
      </c>
      <c r="D21118" t="str">
        <f t="shared" ref="D21118:D21126" si="415">"12527021415 "</f>
        <v xml:space="preserve">12527021415 </v>
      </c>
      <c r="E21118" t="s">
        <v>309</v>
      </c>
      <c r="F21118" t="s">
        <v>310</v>
      </c>
      <c r="G21118">
        <v>3.4</v>
      </c>
      <c r="H21118">
        <v>250630</v>
      </c>
      <c r="I21118">
        <v>4369</v>
      </c>
      <c r="J21118" t="s">
        <v>188</v>
      </c>
      <c r="K21118">
        <v>135.04</v>
      </c>
      <c r="L21118">
        <v>0</v>
      </c>
      <c r="M21118">
        <v>13201</v>
      </c>
      <c r="N21118" t="s">
        <v>269</v>
      </c>
      <c r="O21118">
        <v>250711</v>
      </c>
      <c r="P21118">
        <v>3.4</v>
      </c>
    </row>
    <row r="21119" spans="1:16" x14ac:dyDescent="0.25">
      <c r="A21119" t="s">
        <v>3296</v>
      </c>
      <c r="B21119" t="s">
        <v>2931</v>
      </c>
      <c r="C21119">
        <v>9560</v>
      </c>
      <c r="D21119" t="str">
        <f t="shared" si="415"/>
        <v xml:space="preserve">12527021415 </v>
      </c>
      <c r="E21119" t="s">
        <v>309</v>
      </c>
      <c r="F21119" t="s">
        <v>310</v>
      </c>
      <c r="G21119">
        <v>33.700000000000003</v>
      </c>
      <c r="H21119">
        <v>250630</v>
      </c>
      <c r="I21119">
        <v>4369</v>
      </c>
      <c r="J21119" t="s">
        <v>188</v>
      </c>
      <c r="K21119">
        <v>135.04</v>
      </c>
      <c r="L21119">
        <v>6.85</v>
      </c>
      <c r="M21119">
        <v>13401</v>
      </c>
      <c r="N21119" t="s">
        <v>10</v>
      </c>
      <c r="O21119">
        <v>250711</v>
      </c>
      <c r="P21119">
        <v>26.85</v>
      </c>
    </row>
    <row r="21120" spans="1:16" x14ac:dyDescent="0.25">
      <c r="A21120" t="s">
        <v>3296</v>
      </c>
      <c r="B21120" t="s">
        <v>2931</v>
      </c>
      <c r="C21120">
        <v>9560</v>
      </c>
      <c r="D21120" t="str">
        <f t="shared" si="415"/>
        <v xml:space="preserve">12527021415 </v>
      </c>
      <c r="E21120" t="s">
        <v>309</v>
      </c>
      <c r="F21120" t="s">
        <v>310</v>
      </c>
      <c r="G21120">
        <v>6.8</v>
      </c>
      <c r="H21120">
        <v>250630</v>
      </c>
      <c r="I21120">
        <v>4369</v>
      </c>
      <c r="J21120" t="s">
        <v>188</v>
      </c>
      <c r="K21120">
        <v>135.04</v>
      </c>
      <c r="L21120">
        <v>1.38</v>
      </c>
      <c r="M21120">
        <v>13401</v>
      </c>
      <c r="N21120" t="s">
        <v>10</v>
      </c>
      <c r="O21120">
        <v>250711</v>
      </c>
      <c r="P21120">
        <v>5.42</v>
      </c>
    </row>
    <row r="21121" spans="1:16" x14ac:dyDescent="0.25">
      <c r="A21121" t="s">
        <v>3296</v>
      </c>
      <c r="B21121" t="s">
        <v>2931</v>
      </c>
      <c r="C21121">
        <v>9560</v>
      </c>
      <c r="D21121" t="str">
        <f t="shared" si="415"/>
        <v xml:space="preserve">12527021415 </v>
      </c>
      <c r="E21121" t="s">
        <v>309</v>
      </c>
      <c r="F21121" t="s">
        <v>310</v>
      </c>
      <c r="G21121">
        <v>31.1</v>
      </c>
      <c r="H21121">
        <v>250630</v>
      </c>
      <c r="I21121">
        <v>4369</v>
      </c>
      <c r="J21121" t="s">
        <v>188</v>
      </c>
      <c r="K21121">
        <v>135.04</v>
      </c>
      <c r="L21121">
        <v>6.32</v>
      </c>
      <c r="M21121">
        <v>13501</v>
      </c>
      <c r="N21121" t="s">
        <v>66</v>
      </c>
      <c r="O21121">
        <v>250711</v>
      </c>
      <c r="P21121">
        <v>24.78</v>
      </c>
    </row>
    <row r="21122" spans="1:16" x14ac:dyDescent="0.25">
      <c r="A21122" t="s">
        <v>3296</v>
      </c>
      <c r="B21122" t="s">
        <v>2931</v>
      </c>
      <c r="C21122">
        <v>9560</v>
      </c>
      <c r="D21122" t="str">
        <f t="shared" si="415"/>
        <v xml:space="preserve">12527021415 </v>
      </c>
      <c r="E21122" t="s">
        <v>309</v>
      </c>
      <c r="F21122" t="s">
        <v>310</v>
      </c>
      <c r="G21122">
        <v>3.4</v>
      </c>
      <c r="H21122">
        <v>250630</v>
      </c>
      <c r="I21122">
        <v>4369</v>
      </c>
      <c r="J21122" t="s">
        <v>188</v>
      </c>
      <c r="K21122">
        <v>135.04</v>
      </c>
      <c r="L21122">
        <v>0.69</v>
      </c>
      <c r="M21122">
        <v>13561</v>
      </c>
      <c r="N21122" t="s">
        <v>241</v>
      </c>
      <c r="O21122">
        <v>250711</v>
      </c>
      <c r="P21122">
        <v>2.71</v>
      </c>
    </row>
    <row r="21123" spans="1:16" x14ac:dyDescent="0.25">
      <c r="A21123" t="s">
        <v>3296</v>
      </c>
      <c r="B21123" t="s">
        <v>2931</v>
      </c>
      <c r="C21123">
        <v>9560</v>
      </c>
      <c r="D21123" t="str">
        <f t="shared" si="415"/>
        <v xml:space="preserve">12527021415 </v>
      </c>
      <c r="E21123" t="s">
        <v>309</v>
      </c>
      <c r="F21123" t="s">
        <v>310</v>
      </c>
      <c r="G21123">
        <v>3.67</v>
      </c>
      <c r="H21123">
        <v>250630</v>
      </c>
      <c r="I21123">
        <v>4369</v>
      </c>
      <c r="J21123" t="s">
        <v>188</v>
      </c>
      <c r="K21123">
        <v>135.04</v>
      </c>
      <c r="L21123">
        <v>0.75</v>
      </c>
      <c r="M21123">
        <v>13561</v>
      </c>
      <c r="N21123" t="s">
        <v>241</v>
      </c>
      <c r="O21123">
        <v>250711</v>
      </c>
      <c r="P21123">
        <v>2.92</v>
      </c>
    </row>
    <row r="21124" spans="1:16" x14ac:dyDescent="0.25">
      <c r="A21124" t="s">
        <v>3296</v>
      </c>
      <c r="B21124" t="s">
        <v>2931</v>
      </c>
      <c r="C21124">
        <v>9560</v>
      </c>
      <c r="D21124" t="str">
        <f t="shared" si="415"/>
        <v xml:space="preserve">12527021415 </v>
      </c>
      <c r="E21124" t="s">
        <v>309</v>
      </c>
      <c r="F21124" t="s">
        <v>310</v>
      </c>
      <c r="G21124">
        <v>16.649999999999999</v>
      </c>
      <c r="H21124">
        <v>250630</v>
      </c>
      <c r="I21124">
        <v>4369</v>
      </c>
      <c r="J21124" t="s">
        <v>188</v>
      </c>
      <c r="K21124">
        <v>135.04</v>
      </c>
      <c r="L21124">
        <v>3.38</v>
      </c>
      <c r="M21124">
        <v>13801</v>
      </c>
      <c r="N21124" t="s">
        <v>33</v>
      </c>
      <c r="O21124">
        <v>250711</v>
      </c>
      <c r="P21124">
        <v>13.27</v>
      </c>
    </row>
    <row r="21125" spans="1:16" x14ac:dyDescent="0.25">
      <c r="A21125" t="s">
        <v>3296</v>
      </c>
      <c r="B21125" t="s">
        <v>2931</v>
      </c>
      <c r="C21125">
        <v>9560</v>
      </c>
      <c r="D21125" t="str">
        <f t="shared" si="415"/>
        <v xml:space="preserve">12527021415 </v>
      </c>
      <c r="E21125" t="s">
        <v>309</v>
      </c>
      <c r="F21125" t="s">
        <v>310</v>
      </c>
      <c r="G21125">
        <v>16.95</v>
      </c>
      <c r="H21125">
        <v>250630</v>
      </c>
      <c r="I21125">
        <v>4369</v>
      </c>
      <c r="J21125" t="s">
        <v>188</v>
      </c>
      <c r="K21125">
        <v>135.04</v>
      </c>
      <c r="L21125">
        <v>3.44</v>
      </c>
      <c r="M21125">
        <v>13801</v>
      </c>
      <c r="N21125" t="s">
        <v>33</v>
      </c>
      <c r="O21125">
        <v>250711</v>
      </c>
      <c r="P21125">
        <v>13.51</v>
      </c>
    </row>
    <row r="21126" spans="1:16" x14ac:dyDescent="0.25">
      <c r="A21126" t="s">
        <v>3296</v>
      </c>
      <c r="B21126" t="s">
        <v>2931</v>
      </c>
      <c r="C21126">
        <v>9560</v>
      </c>
      <c r="D21126" t="str">
        <f t="shared" si="415"/>
        <v xml:space="preserve">12527021415 </v>
      </c>
      <c r="E21126" t="s">
        <v>309</v>
      </c>
      <c r="F21126" t="s">
        <v>310</v>
      </c>
      <c r="G21126">
        <v>19.37</v>
      </c>
      <c r="H21126">
        <v>250630</v>
      </c>
      <c r="I21126">
        <v>4369</v>
      </c>
      <c r="J21126" t="s">
        <v>188</v>
      </c>
      <c r="K21126">
        <v>135.04</v>
      </c>
      <c r="L21126">
        <v>3.94</v>
      </c>
      <c r="M21126">
        <v>13802</v>
      </c>
      <c r="N21126" t="s">
        <v>34</v>
      </c>
      <c r="O21126">
        <v>250711</v>
      </c>
      <c r="P21126">
        <v>15.43</v>
      </c>
    </row>
    <row r="21127" spans="1:16" x14ac:dyDescent="0.25">
      <c r="A21127" t="s">
        <v>3296</v>
      </c>
      <c r="B21127" t="s">
        <v>2931</v>
      </c>
      <c r="C21127">
        <v>9561</v>
      </c>
      <c r="D21127" t="str">
        <f t="shared" ref="D21127:D21151" si="416">"12527021413 "</f>
        <v xml:space="preserve">12527021413 </v>
      </c>
      <c r="E21127" t="s">
        <v>309</v>
      </c>
      <c r="F21127" t="s">
        <v>310</v>
      </c>
      <c r="G21127">
        <v>9.98</v>
      </c>
      <c r="H21127">
        <v>250630</v>
      </c>
      <c r="I21127">
        <v>4369</v>
      </c>
      <c r="J21127" t="s">
        <v>188</v>
      </c>
      <c r="K21127">
        <v>203.82</v>
      </c>
      <c r="L21127">
        <v>2.0299999999999998</v>
      </c>
      <c r="M21127">
        <v>16930</v>
      </c>
      <c r="N21127" t="s">
        <v>135</v>
      </c>
      <c r="O21127">
        <v>250711</v>
      </c>
      <c r="P21127">
        <v>7.95</v>
      </c>
    </row>
    <row r="21128" spans="1:16" x14ac:dyDescent="0.25">
      <c r="A21128" t="s">
        <v>3296</v>
      </c>
      <c r="B21128" t="s">
        <v>2931</v>
      </c>
      <c r="C21128">
        <v>9561</v>
      </c>
      <c r="D21128" t="str">
        <f t="shared" si="416"/>
        <v xml:space="preserve">12527021413 </v>
      </c>
      <c r="E21128" t="s">
        <v>309</v>
      </c>
      <c r="F21128" t="s">
        <v>310</v>
      </c>
      <c r="G21128">
        <v>3.39</v>
      </c>
      <c r="H21128">
        <v>250630</v>
      </c>
      <c r="I21128">
        <v>4369</v>
      </c>
      <c r="J21128" t="s">
        <v>188</v>
      </c>
      <c r="K21128">
        <v>203.82</v>
      </c>
      <c r="L21128">
        <v>0.69</v>
      </c>
      <c r="M21128">
        <v>16951</v>
      </c>
      <c r="N21128" t="s">
        <v>488</v>
      </c>
      <c r="O21128">
        <v>250711</v>
      </c>
      <c r="P21128">
        <v>2.7</v>
      </c>
    </row>
    <row r="21129" spans="1:16" x14ac:dyDescent="0.25">
      <c r="A21129" t="s">
        <v>3296</v>
      </c>
      <c r="B21129" t="s">
        <v>2931</v>
      </c>
      <c r="C21129">
        <v>9561</v>
      </c>
      <c r="D21129" t="str">
        <f t="shared" si="416"/>
        <v xml:space="preserve">12527021413 </v>
      </c>
      <c r="E21129" t="s">
        <v>309</v>
      </c>
      <c r="F21129" t="s">
        <v>310</v>
      </c>
      <c r="G21129">
        <v>13.54</v>
      </c>
      <c r="H21129">
        <v>250630</v>
      </c>
      <c r="I21129">
        <v>4369</v>
      </c>
      <c r="J21129" t="s">
        <v>188</v>
      </c>
      <c r="K21129">
        <v>203.82</v>
      </c>
      <c r="L21129">
        <v>2.75</v>
      </c>
      <c r="M21129">
        <v>17521</v>
      </c>
      <c r="N21129" t="s">
        <v>136</v>
      </c>
      <c r="O21129">
        <v>250711</v>
      </c>
      <c r="P21129">
        <v>10.79</v>
      </c>
    </row>
    <row r="21130" spans="1:16" x14ac:dyDescent="0.25">
      <c r="A21130" t="s">
        <v>3296</v>
      </c>
      <c r="B21130" t="s">
        <v>2931</v>
      </c>
      <c r="C21130">
        <v>9561</v>
      </c>
      <c r="D21130" t="str">
        <f t="shared" si="416"/>
        <v xml:space="preserve">12527021413 </v>
      </c>
      <c r="E21130" t="s">
        <v>309</v>
      </c>
      <c r="F21130" t="s">
        <v>310</v>
      </c>
      <c r="G21130">
        <v>6.78</v>
      </c>
      <c r="H21130">
        <v>250630</v>
      </c>
      <c r="I21130">
        <v>4369</v>
      </c>
      <c r="J21130" t="s">
        <v>188</v>
      </c>
      <c r="K21130">
        <v>203.82</v>
      </c>
      <c r="L21130">
        <v>1.38</v>
      </c>
      <c r="M21130">
        <v>17522</v>
      </c>
      <c r="N21130" t="s">
        <v>137</v>
      </c>
      <c r="O21130">
        <v>250711</v>
      </c>
      <c r="P21130">
        <v>5.4</v>
      </c>
    </row>
    <row r="21131" spans="1:16" x14ac:dyDescent="0.25">
      <c r="A21131" t="s">
        <v>3296</v>
      </c>
      <c r="B21131" t="s">
        <v>2931</v>
      </c>
      <c r="C21131">
        <v>9561</v>
      </c>
      <c r="D21131" t="str">
        <f t="shared" si="416"/>
        <v xml:space="preserve">12527021413 </v>
      </c>
      <c r="E21131" t="s">
        <v>309</v>
      </c>
      <c r="F21131" t="s">
        <v>310</v>
      </c>
      <c r="G21131">
        <v>10.28</v>
      </c>
      <c r="H21131">
        <v>250630</v>
      </c>
      <c r="I21131">
        <v>4369</v>
      </c>
      <c r="J21131" t="s">
        <v>188</v>
      </c>
      <c r="K21131">
        <v>203.82</v>
      </c>
      <c r="L21131">
        <v>2.09</v>
      </c>
      <c r="M21131">
        <v>17523</v>
      </c>
      <c r="N21131" t="s">
        <v>138</v>
      </c>
      <c r="O21131">
        <v>250711</v>
      </c>
      <c r="P21131">
        <v>8.19</v>
      </c>
    </row>
    <row r="21132" spans="1:16" x14ac:dyDescent="0.25">
      <c r="A21132" t="s">
        <v>3296</v>
      </c>
      <c r="B21132" t="s">
        <v>2931</v>
      </c>
      <c r="C21132">
        <v>9561</v>
      </c>
      <c r="D21132" t="str">
        <f t="shared" si="416"/>
        <v xml:space="preserve">12527021413 </v>
      </c>
      <c r="E21132" t="s">
        <v>309</v>
      </c>
      <c r="F21132" t="s">
        <v>310</v>
      </c>
      <c r="G21132">
        <v>6.78</v>
      </c>
      <c r="H21132">
        <v>250630</v>
      </c>
      <c r="I21132">
        <v>4369</v>
      </c>
      <c r="J21132" t="s">
        <v>188</v>
      </c>
      <c r="K21132">
        <v>203.82</v>
      </c>
      <c r="L21132">
        <v>1.38</v>
      </c>
      <c r="M21132">
        <v>17524</v>
      </c>
      <c r="N21132" t="s">
        <v>139</v>
      </c>
      <c r="O21132">
        <v>250711</v>
      </c>
      <c r="P21132">
        <v>5.4</v>
      </c>
    </row>
    <row r="21133" spans="1:16" x14ac:dyDescent="0.25">
      <c r="A21133" t="s">
        <v>3296</v>
      </c>
      <c r="B21133" t="s">
        <v>2931</v>
      </c>
      <c r="C21133">
        <v>9561</v>
      </c>
      <c r="D21133" t="str">
        <f t="shared" si="416"/>
        <v xml:space="preserve">12527021413 </v>
      </c>
      <c r="E21133" t="s">
        <v>309</v>
      </c>
      <c r="F21133" t="s">
        <v>310</v>
      </c>
      <c r="G21133">
        <v>3.39</v>
      </c>
      <c r="H21133">
        <v>250630</v>
      </c>
      <c r="I21133">
        <v>4369</v>
      </c>
      <c r="J21133" t="s">
        <v>188</v>
      </c>
      <c r="K21133">
        <v>203.82</v>
      </c>
      <c r="L21133">
        <v>0.69</v>
      </c>
      <c r="M21133">
        <v>17525</v>
      </c>
      <c r="N21133" t="s">
        <v>140</v>
      </c>
      <c r="O21133">
        <v>250711</v>
      </c>
      <c r="P21133">
        <v>2.7</v>
      </c>
    </row>
    <row r="21134" spans="1:16" x14ac:dyDescent="0.25">
      <c r="A21134" t="s">
        <v>3296</v>
      </c>
      <c r="B21134" t="s">
        <v>2931</v>
      </c>
      <c r="C21134">
        <v>9561</v>
      </c>
      <c r="D21134" t="str">
        <f t="shared" si="416"/>
        <v xml:space="preserve">12527021413 </v>
      </c>
      <c r="E21134" t="s">
        <v>309</v>
      </c>
      <c r="F21134" t="s">
        <v>310</v>
      </c>
      <c r="G21134">
        <v>6.78</v>
      </c>
      <c r="H21134">
        <v>250630</v>
      </c>
      <c r="I21134">
        <v>4369</v>
      </c>
      <c r="J21134" t="s">
        <v>188</v>
      </c>
      <c r="K21134">
        <v>203.82</v>
      </c>
      <c r="L21134">
        <v>1.38</v>
      </c>
      <c r="M21134">
        <v>17526</v>
      </c>
      <c r="N21134" t="s">
        <v>141</v>
      </c>
      <c r="O21134">
        <v>250711</v>
      </c>
      <c r="P21134">
        <v>5.4</v>
      </c>
    </row>
    <row r="21135" spans="1:16" x14ac:dyDescent="0.25">
      <c r="A21135" t="s">
        <v>3296</v>
      </c>
      <c r="B21135" t="s">
        <v>2931</v>
      </c>
      <c r="C21135">
        <v>9561</v>
      </c>
      <c r="D21135" t="str">
        <f t="shared" si="416"/>
        <v xml:space="preserve">12527021413 </v>
      </c>
      <c r="E21135" t="s">
        <v>309</v>
      </c>
      <c r="F21135" t="s">
        <v>310</v>
      </c>
      <c r="G21135">
        <v>7.57</v>
      </c>
      <c r="H21135">
        <v>250630</v>
      </c>
      <c r="I21135">
        <v>4369</v>
      </c>
      <c r="J21135" t="s">
        <v>188</v>
      </c>
      <c r="K21135">
        <v>203.82</v>
      </c>
      <c r="L21135">
        <v>1.54</v>
      </c>
      <c r="M21135">
        <v>17527</v>
      </c>
      <c r="N21135" t="s">
        <v>142</v>
      </c>
      <c r="O21135">
        <v>250711</v>
      </c>
      <c r="P21135">
        <v>6.03</v>
      </c>
    </row>
    <row r="21136" spans="1:16" x14ac:dyDescent="0.25">
      <c r="A21136" t="s">
        <v>3296</v>
      </c>
      <c r="B21136" t="s">
        <v>2931</v>
      </c>
      <c r="C21136">
        <v>9561</v>
      </c>
      <c r="D21136" t="str">
        <f t="shared" si="416"/>
        <v xml:space="preserve">12527021413 </v>
      </c>
      <c r="E21136" t="s">
        <v>309</v>
      </c>
      <c r="F21136" t="s">
        <v>310</v>
      </c>
      <c r="G21136">
        <v>6.78</v>
      </c>
      <c r="H21136">
        <v>250630</v>
      </c>
      <c r="I21136">
        <v>4369</v>
      </c>
      <c r="J21136" t="s">
        <v>188</v>
      </c>
      <c r="K21136">
        <v>203.82</v>
      </c>
      <c r="L21136">
        <v>1.38</v>
      </c>
      <c r="M21136">
        <v>17529</v>
      </c>
      <c r="N21136" t="s">
        <v>143</v>
      </c>
      <c r="O21136">
        <v>250711</v>
      </c>
      <c r="P21136">
        <v>5.4</v>
      </c>
    </row>
    <row r="21137" spans="1:16" x14ac:dyDescent="0.25">
      <c r="A21137" t="s">
        <v>3296</v>
      </c>
      <c r="B21137" t="s">
        <v>2931</v>
      </c>
      <c r="C21137">
        <v>9561</v>
      </c>
      <c r="D21137" t="str">
        <f t="shared" si="416"/>
        <v xml:space="preserve">12527021413 </v>
      </c>
      <c r="E21137" t="s">
        <v>309</v>
      </c>
      <c r="F21137" t="s">
        <v>310</v>
      </c>
      <c r="G21137">
        <v>7.57</v>
      </c>
      <c r="H21137">
        <v>250630</v>
      </c>
      <c r="I21137">
        <v>4369</v>
      </c>
      <c r="J21137" t="s">
        <v>188</v>
      </c>
      <c r="K21137">
        <v>203.82</v>
      </c>
      <c r="L21137">
        <v>1.54</v>
      </c>
      <c r="M21137">
        <v>17530</v>
      </c>
      <c r="N21137" t="s">
        <v>144</v>
      </c>
      <c r="O21137">
        <v>250711</v>
      </c>
      <c r="P21137">
        <v>6.03</v>
      </c>
    </row>
    <row r="21138" spans="1:16" x14ac:dyDescent="0.25">
      <c r="A21138" t="s">
        <v>3296</v>
      </c>
      <c r="B21138" t="s">
        <v>2931</v>
      </c>
      <c r="C21138">
        <v>9561</v>
      </c>
      <c r="D21138" t="str">
        <f t="shared" si="416"/>
        <v xml:space="preserve">12527021413 </v>
      </c>
      <c r="E21138" t="s">
        <v>309</v>
      </c>
      <c r="F21138" t="s">
        <v>310</v>
      </c>
      <c r="G21138">
        <v>13.17</v>
      </c>
      <c r="H21138">
        <v>250630</v>
      </c>
      <c r="I21138">
        <v>4369</v>
      </c>
      <c r="J21138" t="s">
        <v>188</v>
      </c>
      <c r="K21138">
        <v>203.82</v>
      </c>
      <c r="L21138">
        <v>2.68</v>
      </c>
      <c r="M21138">
        <v>17531</v>
      </c>
      <c r="N21138" t="s">
        <v>145</v>
      </c>
      <c r="O21138">
        <v>250711</v>
      </c>
      <c r="P21138">
        <v>10.49</v>
      </c>
    </row>
    <row r="21139" spans="1:16" x14ac:dyDescent="0.25">
      <c r="A21139" t="s">
        <v>3296</v>
      </c>
      <c r="B21139" t="s">
        <v>2931</v>
      </c>
      <c r="C21139">
        <v>9561</v>
      </c>
      <c r="D21139" t="str">
        <f t="shared" si="416"/>
        <v xml:space="preserve">12527021413 </v>
      </c>
      <c r="E21139" t="s">
        <v>309</v>
      </c>
      <c r="F21139" t="s">
        <v>310</v>
      </c>
      <c r="G21139">
        <v>12.98</v>
      </c>
      <c r="H21139">
        <v>250630</v>
      </c>
      <c r="I21139">
        <v>4369</v>
      </c>
      <c r="J21139" t="s">
        <v>188</v>
      </c>
      <c r="K21139">
        <v>203.82</v>
      </c>
      <c r="L21139">
        <v>2.64</v>
      </c>
      <c r="M21139">
        <v>17532</v>
      </c>
      <c r="N21139" t="s">
        <v>146</v>
      </c>
      <c r="O21139">
        <v>250711</v>
      </c>
      <c r="P21139">
        <v>10.34</v>
      </c>
    </row>
    <row r="21140" spans="1:16" x14ac:dyDescent="0.25">
      <c r="A21140" t="s">
        <v>3296</v>
      </c>
      <c r="B21140" t="s">
        <v>2931</v>
      </c>
      <c r="C21140">
        <v>9561</v>
      </c>
      <c r="D21140" t="str">
        <f t="shared" si="416"/>
        <v xml:space="preserve">12527021413 </v>
      </c>
      <c r="E21140" t="s">
        <v>309</v>
      </c>
      <c r="F21140" t="s">
        <v>310</v>
      </c>
      <c r="G21140">
        <v>6.78</v>
      </c>
      <c r="H21140">
        <v>250630</v>
      </c>
      <c r="I21140">
        <v>4369</v>
      </c>
      <c r="J21140" t="s">
        <v>188</v>
      </c>
      <c r="K21140">
        <v>203.82</v>
      </c>
      <c r="L21140">
        <v>1.38</v>
      </c>
      <c r="M21140">
        <v>17533</v>
      </c>
      <c r="N21140" t="s">
        <v>147</v>
      </c>
      <c r="O21140">
        <v>250711</v>
      </c>
      <c r="P21140">
        <v>5.4</v>
      </c>
    </row>
    <row r="21141" spans="1:16" x14ac:dyDescent="0.25">
      <c r="A21141" t="s">
        <v>3296</v>
      </c>
      <c r="B21141" t="s">
        <v>2931</v>
      </c>
      <c r="C21141">
        <v>9561</v>
      </c>
      <c r="D21141" t="str">
        <f t="shared" si="416"/>
        <v xml:space="preserve">12527021413 </v>
      </c>
      <c r="E21141" t="s">
        <v>309</v>
      </c>
      <c r="F21141" t="s">
        <v>310</v>
      </c>
      <c r="G21141">
        <v>6.78</v>
      </c>
      <c r="H21141">
        <v>250630</v>
      </c>
      <c r="I21141">
        <v>4369</v>
      </c>
      <c r="J21141" t="s">
        <v>188</v>
      </c>
      <c r="K21141">
        <v>203.82</v>
      </c>
      <c r="L21141">
        <v>1.38</v>
      </c>
      <c r="M21141">
        <v>17534</v>
      </c>
      <c r="N21141" t="s">
        <v>148</v>
      </c>
      <c r="O21141">
        <v>250711</v>
      </c>
      <c r="P21141">
        <v>5.4</v>
      </c>
    </row>
    <row r="21142" spans="1:16" x14ac:dyDescent="0.25">
      <c r="A21142" t="s">
        <v>3296</v>
      </c>
      <c r="B21142" t="s">
        <v>2931</v>
      </c>
      <c r="C21142">
        <v>9561</v>
      </c>
      <c r="D21142" t="str">
        <f t="shared" si="416"/>
        <v xml:space="preserve">12527021413 </v>
      </c>
      <c r="E21142" t="s">
        <v>309</v>
      </c>
      <c r="F21142" t="s">
        <v>310</v>
      </c>
      <c r="G21142">
        <v>3.39</v>
      </c>
      <c r="H21142">
        <v>250630</v>
      </c>
      <c r="I21142">
        <v>4369</v>
      </c>
      <c r="J21142" t="s">
        <v>188</v>
      </c>
      <c r="K21142">
        <v>203.82</v>
      </c>
      <c r="L21142">
        <v>0.69</v>
      </c>
      <c r="M21142">
        <v>17535</v>
      </c>
      <c r="N21142" t="s">
        <v>149</v>
      </c>
      <c r="O21142">
        <v>250711</v>
      </c>
      <c r="P21142">
        <v>2.7</v>
      </c>
    </row>
    <row r="21143" spans="1:16" x14ac:dyDescent="0.25">
      <c r="A21143" t="s">
        <v>3296</v>
      </c>
      <c r="B21143" t="s">
        <v>2931</v>
      </c>
      <c r="C21143">
        <v>9561</v>
      </c>
      <c r="D21143" t="str">
        <f t="shared" si="416"/>
        <v xml:space="preserve">12527021413 </v>
      </c>
      <c r="E21143" t="s">
        <v>309</v>
      </c>
      <c r="F21143" t="s">
        <v>310</v>
      </c>
      <c r="G21143">
        <v>6.78</v>
      </c>
      <c r="H21143">
        <v>250630</v>
      </c>
      <c r="I21143">
        <v>4369</v>
      </c>
      <c r="J21143" t="s">
        <v>188</v>
      </c>
      <c r="K21143">
        <v>203.82</v>
      </c>
      <c r="L21143">
        <v>1.38</v>
      </c>
      <c r="M21143">
        <v>17536</v>
      </c>
      <c r="N21143" t="s">
        <v>150</v>
      </c>
      <c r="O21143">
        <v>250711</v>
      </c>
      <c r="P21143">
        <v>5.4</v>
      </c>
    </row>
    <row r="21144" spans="1:16" x14ac:dyDescent="0.25">
      <c r="A21144" t="s">
        <v>3296</v>
      </c>
      <c r="B21144" t="s">
        <v>2931</v>
      </c>
      <c r="C21144">
        <v>9561</v>
      </c>
      <c r="D21144" t="str">
        <f t="shared" si="416"/>
        <v xml:space="preserve">12527021413 </v>
      </c>
      <c r="E21144" t="s">
        <v>309</v>
      </c>
      <c r="F21144" t="s">
        <v>310</v>
      </c>
      <c r="G21144">
        <v>13.18</v>
      </c>
      <c r="H21144">
        <v>250630</v>
      </c>
      <c r="I21144">
        <v>4369</v>
      </c>
      <c r="J21144" t="s">
        <v>188</v>
      </c>
      <c r="K21144">
        <v>203.82</v>
      </c>
      <c r="L21144">
        <v>2.68</v>
      </c>
      <c r="M21144">
        <v>17537</v>
      </c>
      <c r="N21144" t="s">
        <v>151</v>
      </c>
      <c r="O21144">
        <v>250711</v>
      </c>
      <c r="P21144">
        <v>10.5</v>
      </c>
    </row>
    <row r="21145" spans="1:16" x14ac:dyDescent="0.25">
      <c r="A21145" t="s">
        <v>3296</v>
      </c>
      <c r="B21145" t="s">
        <v>2931</v>
      </c>
      <c r="C21145">
        <v>9561</v>
      </c>
      <c r="D21145" t="str">
        <f t="shared" si="416"/>
        <v xml:space="preserve">12527021413 </v>
      </c>
      <c r="E21145" t="s">
        <v>309</v>
      </c>
      <c r="F21145" t="s">
        <v>310</v>
      </c>
      <c r="G21145">
        <v>10.17</v>
      </c>
      <c r="H21145">
        <v>250630</v>
      </c>
      <c r="I21145">
        <v>4369</v>
      </c>
      <c r="J21145" t="s">
        <v>188</v>
      </c>
      <c r="K21145">
        <v>203.82</v>
      </c>
      <c r="L21145">
        <v>2.0699999999999998</v>
      </c>
      <c r="M21145">
        <v>17538</v>
      </c>
      <c r="N21145" t="s">
        <v>129</v>
      </c>
      <c r="O21145">
        <v>250711</v>
      </c>
      <c r="P21145">
        <v>8.1</v>
      </c>
    </row>
    <row r="21146" spans="1:16" x14ac:dyDescent="0.25">
      <c r="A21146" t="s">
        <v>3296</v>
      </c>
      <c r="B21146" t="s">
        <v>2931</v>
      </c>
      <c r="C21146">
        <v>9561</v>
      </c>
      <c r="D21146" t="str">
        <f t="shared" si="416"/>
        <v xml:space="preserve">12527021413 </v>
      </c>
      <c r="E21146" t="s">
        <v>309</v>
      </c>
      <c r="F21146" t="s">
        <v>310</v>
      </c>
      <c r="G21146">
        <v>13.64</v>
      </c>
      <c r="H21146">
        <v>250630</v>
      </c>
      <c r="I21146">
        <v>4369</v>
      </c>
      <c r="J21146" t="s">
        <v>188</v>
      </c>
      <c r="K21146">
        <v>203.82</v>
      </c>
      <c r="L21146">
        <v>2.77</v>
      </c>
      <c r="M21146">
        <v>17950</v>
      </c>
      <c r="N21146" t="s">
        <v>132</v>
      </c>
      <c r="O21146">
        <v>250711</v>
      </c>
      <c r="P21146">
        <v>10.87</v>
      </c>
    </row>
    <row r="21147" spans="1:16" x14ac:dyDescent="0.25">
      <c r="A21147" t="s">
        <v>3296</v>
      </c>
      <c r="B21147" t="s">
        <v>2931</v>
      </c>
      <c r="C21147">
        <v>9561</v>
      </c>
      <c r="D21147" t="str">
        <f t="shared" si="416"/>
        <v xml:space="preserve">12527021413 </v>
      </c>
      <c r="E21147" t="s">
        <v>309</v>
      </c>
      <c r="F21147" t="s">
        <v>310</v>
      </c>
      <c r="G21147">
        <v>3.39</v>
      </c>
      <c r="H21147">
        <v>250630</v>
      </c>
      <c r="I21147">
        <v>4369</v>
      </c>
      <c r="J21147" t="s">
        <v>188</v>
      </c>
      <c r="K21147">
        <v>203.82</v>
      </c>
      <c r="L21147">
        <v>0.69</v>
      </c>
      <c r="M21147">
        <v>17956</v>
      </c>
      <c r="N21147" t="s">
        <v>170</v>
      </c>
      <c r="O21147">
        <v>250711</v>
      </c>
      <c r="P21147">
        <v>2.7</v>
      </c>
    </row>
    <row r="21148" spans="1:16" x14ac:dyDescent="0.25">
      <c r="A21148" t="s">
        <v>3296</v>
      </c>
      <c r="B21148" t="s">
        <v>2931</v>
      </c>
      <c r="C21148">
        <v>9561</v>
      </c>
      <c r="D21148" t="str">
        <f t="shared" si="416"/>
        <v xml:space="preserve">12527021413 </v>
      </c>
      <c r="E21148" t="s">
        <v>309</v>
      </c>
      <c r="F21148" t="s">
        <v>310</v>
      </c>
      <c r="G21148">
        <v>17.16</v>
      </c>
      <c r="H21148">
        <v>250630</v>
      </c>
      <c r="I21148">
        <v>4369</v>
      </c>
      <c r="J21148" t="s">
        <v>188</v>
      </c>
      <c r="K21148">
        <v>203.82</v>
      </c>
      <c r="L21148">
        <v>3.49</v>
      </c>
      <c r="M21148">
        <v>17971</v>
      </c>
      <c r="N21148" t="s">
        <v>27</v>
      </c>
      <c r="O21148">
        <v>250711</v>
      </c>
      <c r="P21148">
        <v>13.67</v>
      </c>
    </row>
    <row r="21149" spans="1:16" x14ac:dyDescent="0.25">
      <c r="A21149" t="s">
        <v>3296</v>
      </c>
      <c r="B21149" t="s">
        <v>2931</v>
      </c>
      <c r="C21149">
        <v>9561</v>
      </c>
      <c r="D21149" t="str">
        <f t="shared" si="416"/>
        <v xml:space="preserve">12527021413 </v>
      </c>
      <c r="E21149" t="s">
        <v>309</v>
      </c>
      <c r="F21149" t="s">
        <v>310</v>
      </c>
      <c r="G21149">
        <v>3.39</v>
      </c>
      <c r="H21149">
        <v>250630</v>
      </c>
      <c r="I21149">
        <v>4369</v>
      </c>
      <c r="J21149" t="s">
        <v>188</v>
      </c>
      <c r="K21149">
        <v>203.82</v>
      </c>
      <c r="L21149">
        <v>0.69</v>
      </c>
      <c r="M21149">
        <v>17972</v>
      </c>
      <c r="N21149" t="s">
        <v>28</v>
      </c>
      <c r="O21149">
        <v>250711</v>
      </c>
      <c r="P21149">
        <v>2.7</v>
      </c>
    </row>
    <row r="21150" spans="1:16" x14ac:dyDescent="0.25">
      <c r="A21150" t="s">
        <v>3296</v>
      </c>
      <c r="B21150" t="s">
        <v>2931</v>
      </c>
      <c r="C21150">
        <v>9561</v>
      </c>
      <c r="D21150" t="str">
        <f t="shared" si="416"/>
        <v xml:space="preserve">12527021413 </v>
      </c>
      <c r="E21150" t="s">
        <v>309</v>
      </c>
      <c r="F21150" t="s">
        <v>310</v>
      </c>
      <c r="G21150">
        <v>3.39</v>
      </c>
      <c r="H21150">
        <v>250630</v>
      </c>
      <c r="I21150">
        <v>4369</v>
      </c>
      <c r="J21150" t="s">
        <v>188</v>
      </c>
      <c r="K21150">
        <v>203.82</v>
      </c>
      <c r="L21150">
        <v>0.69</v>
      </c>
      <c r="M21150">
        <v>17974</v>
      </c>
      <c r="N21150" t="s">
        <v>153</v>
      </c>
      <c r="O21150">
        <v>250711</v>
      </c>
      <c r="P21150">
        <v>2.7</v>
      </c>
    </row>
    <row r="21151" spans="1:16" x14ac:dyDescent="0.25">
      <c r="A21151" t="s">
        <v>3296</v>
      </c>
      <c r="B21151" t="s">
        <v>2931</v>
      </c>
      <c r="C21151">
        <v>9561</v>
      </c>
      <c r="D21151" t="str">
        <f t="shared" si="416"/>
        <v xml:space="preserve">12527021413 </v>
      </c>
      <c r="E21151" t="s">
        <v>309</v>
      </c>
      <c r="F21151" t="s">
        <v>310</v>
      </c>
      <c r="G21151">
        <v>6.78</v>
      </c>
      <c r="H21151">
        <v>250630</v>
      </c>
      <c r="I21151">
        <v>4369</v>
      </c>
      <c r="J21151" t="s">
        <v>188</v>
      </c>
      <c r="K21151">
        <v>203.82</v>
      </c>
      <c r="L21151">
        <v>1.38</v>
      </c>
      <c r="M21151">
        <v>17975</v>
      </c>
      <c r="N21151" t="s">
        <v>29</v>
      </c>
      <c r="O21151">
        <v>250711</v>
      </c>
      <c r="P21151">
        <v>5.4</v>
      </c>
    </row>
    <row r="21152" spans="1:16" x14ac:dyDescent="0.25">
      <c r="A21152" t="s">
        <v>3296</v>
      </c>
      <c r="B21152" t="s">
        <v>2931</v>
      </c>
      <c r="C21152">
        <v>9563</v>
      </c>
      <c r="D21152" t="str">
        <f>"12527021421 "</f>
        <v xml:space="preserve">12527021421 </v>
      </c>
      <c r="E21152" t="s">
        <v>309</v>
      </c>
      <c r="F21152" t="s">
        <v>310</v>
      </c>
      <c r="G21152">
        <v>13.27</v>
      </c>
      <c r="H21152">
        <v>250630</v>
      </c>
      <c r="I21152">
        <v>4369</v>
      </c>
      <c r="J21152" t="s">
        <v>188</v>
      </c>
      <c r="K21152">
        <v>33.6</v>
      </c>
      <c r="L21152">
        <v>2.7</v>
      </c>
      <c r="M21152">
        <v>11101</v>
      </c>
      <c r="N21152" t="s">
        <v>67</v>
      </c>
      <c r="O21152">
        <v>250711</v>
      </c>
      <c r="P21152">
        <v>10.57</v>
      </c>
    </row>
    <row r="21153" spans="1:16" x14ac:dyDescent="0.25">
      <c r="A21153" t="s">
        <v>3296</v>
      </c>
      <c r="B21153" t="s">
        <v>2931</v>
      </c>
      <c r="C21153">
        <v>9563</v>
      </c>
      <c r="D21153" t="str">
        <f>"12527021421 "</f>
        <v xml:space="preserve">12527021421 </v>
      </c>
      <c r="E21153" t="s">
        <v>309</v>
      </c>
      <c r="F21153" t="s">
        <v>310</v>
      </c>
      <c r="G21153">
        <v>16.940000000000001</v>
      </c>
      <c r="H21153">
        <v>250630</v>
      </c>
      <c r="I21153">
        <v>4369</v>
      </c>
      <c r="J21153" t="s">
        <v>188</v>
      </c>
      <c r="K21153">
        <v>33.6</v>
      </c>
      <c r="L21153">
        <v>3.44</v>
      </c>
      <c r="M21153">
        <v>11101</v>
      </c>
      <c r="N21153" t="s">
        <v>67</v>
      </c>
      <c r="O21153">
        <v>250711</v>
      </c>
      <c r="P21153">
        <v>13.5</v>
      </c>
    </row>
    <row r="21154" spans="1:16" x14ac:dyDescent="0.25">
      <c r="A21154" t="s">
        <v>3296</v>
      </c>
      <c r="B21154" t="s">
        <v>2931</v>
      </c>
      <c r="C21154">
        <v>9563</v>
      </c>
      <c r="D21154" t="str">
        <f>"12527021421 "</f>
        <v xml:space="preserve">12527021421 </v>
      </c>
      <c r="E21154" t="s">
        <v>309</v>
      </c>
      <c r="F21154" t="s">
        <v>310</v>
      </c>
      <c r="G21154">
        <v>3.39</v>
      </c>
      <c r="H21154">
        <v>250630</v>
      </c>
      <c r="I21154">
        <v>4369</v>
      </c>
      <c r="J21154" t="s">
        <v>188</v>
      </c>
      <c r="K21154">
        <v>33.6</v>
      </c>
      <c r="L21154">
        <v>0.69</v>
      </c>
      <c r="M21154">
        <v>11201</v>
      </c>
      <c r="N21154" t="s">
        <v>35</v>
      </c>
      <c r="O21154">
        <v>250711</v>
      </c>
      <c r="P21154">
        <v>2.7</v>
      </c>
    </row>
    <row r="21155" spans="1:16" x14ac:dyDescent="0.25">
      <c r="A21155" t="s">
        <v>3296</v>
      </c>
      <c r="B21155" t="s">
        <v>2931</v>
      </c>
      <c r="C21155">
        <v>9564</v>
      </c>
      <c r="D21155" t="str">
        <f>"12527021406 "</f>
        <v xml:space="preserve">12527021406 </v>
      </c>
      <c r="E21155" t="s">
        <v>309</v>
      </c>
      <c r="F21155" t="s">
        <v>310</v>
      </c>
      <c r="G21155">
        <v>7.59</v>
      </c>
      <c r="H21155">
        <v>250630</v>
      </c>
      <c r="I21155">
        <v>4369</v>
      </c>
      <c r="J21155" t="s">
        <v>188</v>
      </c>
      <c r="K21155">
        <v>7.59</v>
      </c>
      <c r="L21155">
        <v>1.54</v>
      </c>
      <c r="M21155">
        <v>49112</v>
      </c>
      <c r="N21155" t="s">
        <v>109</v>
      </c>
      <c r="O21155">
        <v>250711</v>
      </c>
      <c r="P21155">
        <v>6.05</v>
      </c>
    </row>
    <row r="21156" spans="1:16" x14ac:dyDescent="0.25">
      <c r="A21156" t="s">
        <v>3296</v>
      </c>
      <c r="B21156" t="s">
        <v>2931</v>
      </c>
      <c r="C21156">
        <v>9565</v>
      </c>
      <c r="D21156" t="str">
        <f t="shared" ref="D21156:D21163" si="417">"12527021387 "</f>
        <v xml:space="preserve">12527021387 </v>
      </c>
      <c r="E21156" t="s">
        <v>309</v>
      </c>
      <c r="F21156" t="s">
        <v>310</v>
      </c>
      <c r="G21156">
        <v>3.39</v>
      </c>
      <c r="H21156">
        <v>250630</v>
      </c>
      <c r="I21156">
        <v>4369</v>
      </c>
      <c r="J21156" t="s">
        <v>188</v>
      </c>
      <c r="K21156">
        <v>96.76</v>
      </c>
      <c r="L21156">
        <v>0.69</v>
      </c>
      <c r="M21156">
        <v>11001</v>
      </c>
      <c r="N21156" t="s">
        <v>93</v>
      </c>
      <c r="O21156">
        <v>250711</v>
      </c>
      <c r="P21156">
        <v>2.7</v>
      </c>
    </row>
    <row r="21157" spans="1:16" x14ac:dyDescent="0.25">
      <c r="A21157" t="s">
        <v>3296</v>
      </c>
      <c r="B21157" t="s">
        <v>2931</v>
      </c>
      <c r="C21157">
        <v>9565</v>
      </c>
      <c r="D21157" t="str">
        <f t="shared" si="417"/>
        <v xml:space="preserve">12527021387 </v>
      </c>
      <c r="E21157" t="s">
        <v>309</v>
      </c>
      <c r="F21157" t="s">
        <v>310</v>
      </c>
      <c r="G21157">
        <v>43.03</v>
      </c>
      <c r="H21157">
        <v>250630</v>
      </c>
      <c r="I21157">
        <v>4369</v>
      </c>
      <c r="J21157" t="s">
        <v>188</v>
      </c>
      <c r="K21157">
        <v>96.76</v>
      </c>
      <c r="L21157">
        <v>0</v>
      </c>
      <c r="M21157">
        <v>11001</v>
      </c>
      <c r="N21157" t="s">
        <v>93</v>
      </c>
      <c r="O21157">
        <v>250711</v>
      </c>
      <c r="P21157">
        <v>43.03</v>
      </c>
    </row>
    <row r="21158" spans="1:16" x14ac:dyDescent="0.25">
      <c r="A21158" t="s">
        <v>3296</v>
      </c>
      <c r="B21158" t="s">
        <v>2931</v>
      </c>
      <c r="C21158">
        <v>9565</v>
      </c>
      <c r="D21158" t="str">
        <f t="shared" si="417"/>
        <v xml:space="preserve">12527021387 </v>
      </c>
      <c r="E21158" t="s">
        <v>309</v>
      </c>
      <c r="F21158" t="s">
        <v>310</v>
      </c>
      <c r="G21158">
        <v>1.1299999999999999</v>
      </c>
      <c r="H21158">
        <v>250630</v>
      </c>
      <c r="I21158">
        <v>4369</v>
      </c>
      <c r="J21158" t="s">
        <v>188</v>
      </c>
      <c r="K21158">
        <v>96.76</v>
      </c>
      <c r="L21158">
        <v>0.23</v>
      </c>
      <c r="M21158">
        <v>11401</v>
      </c>
      <c r="N21158" t="s">
        <v>91</v>
      </c>
      <c r="O21158">
        <v>250711</v>
      </c>
      <c r="P21158">
        <v>0.9</v>
      </c>
    </row>
    <row r="21159" spans="1:16" x14ac:dyDescent="0.25">
      <c r="A21159" t="s">
        <v>3296</v>
      </c>
      <c r="B21159" t="s">
        <v>2931</v>
      </c>
      <c r="C21159">
        <v>9565</v>
      </c>
      <c r="D21159" t="str">
        <f t="shared" si="417"/>
        <v xml:space="preserve">12527021387 </v>
      </c>
      <c r="E21159" t="s">
        <v>309</v>
      </c>
      <c r="F21159" t="s">
        <v>310</v>
      </c>
      <c r="G21159">
        <v>7.42</v>
      </c>
      <c r="H21159">
        <v>250630</v>
      </c>
      <c r="I21159">
        <v>4369</v>
      </c>
      <c r="J21159" t="s">
        <v>188</v>
      </c>
      <c r="K21159">
        <v>96.76</v>
      </c>
      <c r="L21159">
        <v>1.51</v>
      </c>
      <c r="M21159">
        <v>11501</v>
      </c>
      <c r="N21159" t="s">
        <v>13</v>
      </c>
      <c r="O21159">
        <v>250711</v>
      </c>
      <c r="P21159">
        <v>5.91</v>
      </c>
    </row>
    <row r="21160" spans="1:16" x14ac:dyDescent="0.25">
      <c r="A21160" t="s">
        <v>3296</v>
      </c>
      <c r="B21160" t="s">
        <v>2931</v>
      </c>
      <c r="C21160">
        <v>9565</v>
      </c>
      <c r="D21160" t="str">
        <f t="shared" si="417"/>
        <v xml:space="preserve">12527021387 </v>
      </c>
      <c r="E21160" t="s">
        <v>309</v>
      </c>
      <c r="F21160" t="s">
        <v>310</v>
      </c>
      <c r="G21160">
        <v>3.39</v>
      </c>
      <c r="H21160">
        <v>250630</v>
      </c>
      <c r="I21160">
        <v>4369</v>
      </c>
      <c r="J21160" t="s">
        <v>188</v>
      </c>
      <c r="K21160">
        <v>96.76</v>
      </c>
      <c r="L21160">
        <v>0.69</v>
      </c>
      <c r="M21160">
        <v>11701</v>
      </c>
      <c r="N21160" t="s">
        <v>973</v>
      </c>
      <c r="O21160">
        <v>250711</v>
      </c>
      <c r="P21160">
        <v>2.7</v>
      </c>
    </row>
    <row r="21161" spans="1:16" x14ac:dyDescent="0.25">
      <c r="A21161" t="s">
        <v>3296</v>
      </c>
      <c r="B21161" t="s">
        <v>2931</v>
      </c>
      <c r="C21161">
        <v>9565</v>
      </c>
      <c r="D21161" t="str">
        <f t="shared" si="417"/>
        <v xml:space="preserve">12527021387 </v>
      </c>
      <c r="E21161" t="s">
        <v>309</v>
      </c>
      <c r="F21161" t="s">
        <v>310</v>
      </c>
      <c r="G21161">
        <v>3.39</v>
      </c>
      <c r="H21161">
        <v>250630</v>
      </c>
      <c r="I21161">
        <v>4369</v>
      </c>
      <c r="J21161" t="s">
        <v>188</v>
      </c>
      <c r="K21161">
        <v>96.76</v>
      </c>
      <c r="L21161">
        <v>0.69</v>
      </c>
      <c r="M21161">
        <v>11751</v>
      </c>
      <c r="N21161" t="s">
        <v>167</v>
      </c>
      <c r="O21161">
        <v>250711</v>
      </c>
      <c r="P21161">
        <v>2.7</v>
      </c>
    </row>
    <row r="21162" spans="1:16" x14ac:dyDescent="0.25">
      <c r="A21162" t="s">
        <v>3296</v>
      </c>
      <c r="B21162" t="s">
        <v>2931</v>
      </c>
      <c r="C21162">
        <v>9565</v>
      </c>
      <c r="D21162" t="str">
        <f t="shared" si="417"/>
        <v xml:space="preserve">12527021387 </v>
      </c>
      <c r="E21162" t="s">
        <v>309</v>
      </c>
      <c r="F21162" t="s">
        <v>310</v>
      </c>
      <c r="G21162">
        <v>31.12</v>
      </c>
      <c r="H21162">
        <v>250630</v>
      </c>
      <c r="I21162">
        <v>4369</v>
      </c>
      <c r="J21162" t="s">
        <v>188</v>
      </c>
      <c r="K21162">
        <v>96.76</v>
      </c>
      <c r="L21162">
        <v>6.32</v>
      </c>
      <c r="M21162">
        <v>14622</v>
      </c>
      <c r="N21162" t="s">
        <v>77</v>
      </c>
      <c r="O21162">
        <v>250711</v>
      </c>
      <c r="P21162">
        <v>24.8</v>
      </c>
    </row>
    <row r="21163" spans="1:16" x14ac:dyDescent="0.25">
      <c r="A21163" t="s">
        <v>3296</v>
      </c>
      <c r="B21163" t="s">
        <v>2931</v>
      </c>
      <c r="C21163">
        <v>9565</v>
      </c>
      <c r="D21163" t="str">
        <f t="shared" si="417"/>
        <v xml:space="preserve">12527021387 </v>
      </c>
      <c r="E21163" t="s">
        <v>309</v>
      </c>
      <c r="F21163" t="s">
        <v>310</v>
      </c>
      <c r="G21163">
        <v>3.89</v>
      </c>
      <c r="H21163">
        <v>250630</v>
      </c>
      <c r="I21163">
        <v>4369</v>
      </c>
      <c r="J21163" t="s">
        <v>188</v>
      </c>
      <c r="K21163">
        <v>96.76</v>
      </c>
      <c r="L21163">
        <v>0.79</v>
      </c>
      <c r="M21163">
        <v>14952</v>
      </c>
      <c r="N21163" t="s">
        <v>213</v>
      </c>
      <c r="O21163">
        <v>250711</v>
      </c>
      <c r="P21163">
        <v>3.1</v>
      </c>
    </row>
    <row r="21164" spans="1:16" x14ac:dyDescent="0.25">
      <c r="A21164" t="s">
        <v>3296</v>
      </c>
      <c r="B21164" t="s">
        <v>2931</v>
      </c>
      <c r="C21164">
        <v>9566</v>
      </c>
      <c r="D21164" t="str">
        <f t="shared" ref="D21164:D21173" si="418">"12527021386 "</f>
        <v xml:space="preserve">12527021386 </v>
      </c>
      <c r="E21164" t="s">
        <v>309</v>
      </c>
      <c r="F21164" t="s">
        <v>310</v>
      </c>
      <c r="G21164">
        <v>6.4</v>
      </c>
      <c r="H21164">
        <v>250630</v>
      </c>
      <c r="I21164">
        <v>4369</v>
      </c>
      <c r="J21164" t="s">
        <v>188</v>
      </c>
      <c r="K21164">
        <v>63.61</v>
      </c>
      <c r="L21164">
        <v>1.3</v>
      </c>
      <c r="M21164">
        <v>10002</v>
      </c>
      <c r="N21164" t="s">
        <v>513</v>
      </c>
      <c r="O21164">
        <v>250711</v>
      </c>
      <c r="P21164">
        <v>5.0999999999999996</v>
      </c>
    </row>
    <row r="21165" spans="1:16" x14ac:dyDescent="0.25">
      <c r="A21165" t="s">
        <v>3296</v>
      </c>
      <c r="B21165" t="s">
        <v>2931</v>
      </c>
      <c r="C21165">
        <v>9566</v>
      </c>
      <c r="D21165" t="str">
        <f t="shared" si="418"/>
        <v xml:space="preserve">12527021386 </v>
      </c>
      <c r="E21165" t="s">
        <v>309</v>
      </c>
      <c r="F21165" t="s">
        <v>310</v>
      </c>
      <c r="G21165">
        <v>6.4</v>
      </c>
      <c r="H21165">
        <v>250630</v>
      </c>
      <c r="I21165">
        <v>4369</v>
      </c>
      <c r="J21165" t="s">
        <v>188</v>
      </c>
      <c r="K21165">
        <v>63.61</v>
      </c>
      <c r="L21165">
        <v>1.3</v>
      </c>
      <c r="M21165">
        <v>11001</v>
      </c>
      <c r="N21165" t="s">
        <v>93</v>
      </c>
      <c r="O21165">
        <v>250711</v>
      </c>
      <c r="P21165">
        <v>5.0999999999999996</v>
      </c>
    </row>
    <row r="21166" spans="1:16" x14ac:dyDescent="0.25">
      <c r="A21166" t="s">
        <v>3296</v>
      </c>
      <c r="B21166" t="s">
        <v>2931</v>
      </c>
      <c r="C21166">
        <v>9566</v>
      </c>
      <c r="D21166" t="str">
        <f t="shared" si="418"/>
        <v xml:space="preserve">12527021386 </v>
      </c>
      <c r="E21166" t="s">
        <v>309</v>
      </c>
      <c r="F21166" t="s">
        <v>310</v>
      </c>
      <c r="G21166">
        <v>6.59</v>
      </c>
      <c r="H21166">
        <v>250630</v>
      </c>
      <c r="I21166">
        <v>4369</v>
      </c>
      <c r="J21166" t="s">
        <v>188</v>
      </c>
      <c r="K21166">
        <v>63.61</v>
      </c>
      <c r="L21166">
        <v>1.34</v>
      </c>
      <c r="M21166">
        <v>11001</v>
      </c>
      <c r="N21166" t="s">
        <v>93</v>
      </c>
      <c r="O21166">
        <v>250711</v>
      </c>
      <c r="P21166">
        <v>5.25</v>
      </c>
    </row>
    <row r="21167" spans="1:16" x14ac:dyDescent="0.25">
      <c r="A21167" t="s">
        <v>3296</v>
      </c>
      <c r="B21167" t="s">
        <v>2931</v>
      </c>
      <c r="C21167">
        <v>9566</v>
      </c>
      <c r="D21167" t="str">
        <f t="shared" si="418"/>
        <v xml:space="preserve">12527021386 </v>
      </c>
      <c r="E21167" t="s">
        <v>309</v>
      </c>
      <c r="F21167" t="s">
        <v>310</v>
      </c>
      <c r="G21167">
        <v>3.39</v>
      </c>
      <c r="H21167">
        <v>250630</v>
      </c>
      <c r="I21167">
        <v>4369</v>
      </c>
      <c r="J21167" t="s">
        <v>188</v>
      </c>
      <c r="K21167">
        <v>63.61</v>
      </c>
      <c r="L21167">
        <v>0.69</v>
      </c>
      <c r="M21167">
        <v>11301</v>
      </c>
      <c r="N21167" t="s">
        <v>92</v>
      </c>
      <c r="O21167">
        <v>250711</v>
      </c>
      <c r="P21167">
        <v>2.7</v>
      </c>
    </row>
    <row r="21168" spans="1:16" x14ac:dyDescent="0.25">
      <c r="A21168" t="s">
        <v>3296</v>
      </c>
      <c r="B21168" t="s">
        <v>2931</v>
      </c>
      <c r="C21168">
        <v>9566</v>
      </c>
      <c r="D21168" t="str">
        <f t="shared" si="418"/>
        <v xml:space="preserve">12527021386 </v>
      </c>
      <c r="E21168" t="s">
        <v>309</v>
      </c>
      <c r="F21168" t="s">
        <v>310</v>
      </c>
      <c r="G21168">
        <v>6.78</v>
      </c>
      <c r="H21168">
        <v>250630</v>
      </c>
      <c r="I21168">
        <v>4369</v>
      </c>
      <c r="J21168" t="s">
        <v>188</v>
      </c>
      <c r="K21168">
        <v>63.61</v>
      </c>
      <c r="L21168">
        <v>1.38</v>
      </c>
      <c r="M21168">
        <v>11301</v>
      </c>
      <c r="N21168" t="s">
        <v>92</v>
      </c>
      <c r="O21168">
        <v>250711</v>
      </c>
      <c r="P21168">
        <v>5.4</v>
      </c>
    </row>
    <row r="21169" spans="1:16" x14ac:dyDescent="0.25">
      <c r="A21169" t="s">
        <v>3296</v>
      </c>
      <c r="B21169" t="s">
        <v>2931</v>
      </c>
      <c r="C21169">
        <v>9566</v>
      </c>
      <c r="D21169" t="str">
        <f t="shared" si="418"/>
        <v xml:space="preserve">12527021386 </v>
      </c>
      <c r="E21169" t="s">
        <v>309</v>
      </c>
      <c r="F21169" t="s">
        <v>310</v>
      </c>
      <c r="G21169">
        <v>4.38</v>
      </c>
      <c r="H21169">
        <v>250630</v>
      </c>
      <c r="I21169">
        <v>4369</v>
      </c>
      <c r="J21169" t="s">
        <v>188</v>
      </c>
      <c r="K21169">
        <v>63.61</v>
      </c>
      <c r="L21169">
        <v>0</v>
      </c>
      <c r="M21169">
        <v>11401</v>
      </c>
      <c r="N21169" t="s">
        <v>91</v>
      </c>
      <c r="O21169">
        <v>250711</v>
      </c>
      <c r="P21169">
        <v>4.38</v>
      </c>
    </row>
    <row r="21170" spans="1:16" x14ac:dyDescent="0.25">
      <c r="A21170" t="s">
        <v>3296</v>
      </c>
      <c r="B21170" t="s">
        <v>2931</v>
      </c>
      <c r="C21170">
        <v>9566</v>
      </c>
      <c r="D21170" t="str">
        <f t="shared" si="418"/>
        <v xml:space="preserve">12527021386 </v>
      </c>
      <c r="E21170" t="s">
        <v>309</v>
      </c>
      <c r="F21170" t="s">
        <v>310</v>
      </c>
      <c r="G21170">
        <v>10.06</v>
      </c>
      <c r="H21170">
        <v>250630</v>
      </c>
      <c r="I21170">
        <v>4369</v>
      </c>
      <c r="J21170" t="s">
        <v>188</v>
      </c>
      <c r="K21170">
        <v>63.61</v>
      </c>
      <c r="L21170">
        <v>2.04</v>
      </c>
      <c r="M21170">
        <v>11401</v>
      </c>
      <c r="N21170" t="s">
        <v>91</v>
      </c>
      <c r="O21170">
        <v>250711</v>
      </c>
      <c r="P21170">
        <v>8.02</v>
      </c>
    </row>
    <row r="21171" spans="1:16" x14ac:dyDescent="0.25">
      <c r="A21171" t="s">
        <v>3296</v>
      </c>
      <c r="B21171" t="s">
        <v>2931</v>
      </c>
      <c r="C21171">
        <v>9566</v>
      </c>
      <c r="D21171" t="str">
        <f t="shared" si="418"/>
        <v xml:space="preserve">12527021386 </v>
      </c>
      <c r="E21171" t="s">
        <v>309</v>
      </c>
      <c r="F21171" t="s">
        <v>310</v>
      </c>
      <c r="G21171">
        <v>5.13</v>
      </c>
      <c r="H21171">
        <v>250630</v>
      </c>
      <c r="I21171">
        <v>4369</v>
      </c>
      <c r="J21171" t="s">
        <v>188</v>
      </c>
      <c r="K21171">
        <v>63.61</v>
      </c>
      <c r="L21171">
        <v>1.04</v>
      </c>
      <c r="M21171">
        <v>11501</v>
      </c>
      <c r="N21171" t="s">
        <v>13</v>
      </c>
      <c r="O21171">
        <v>250711</v>
      </c>
      <c r="P21171">
        <v>4.09</v>
      </c>
    </row>
    <row r="21172" spans="1:16" x14ac:dyDescent="0.25">
      <c r="A21172" t="s">
        <v>3296</v>
      </c>
      <c r="B21172" t="s">
        <v>2931</v>
      </c>
      <c r="C21172">
        <v>9566</v>
      </c>
      <c r="D21172" t="str">
        <f t="shared" si="418"/>
        <v xml:space="preserve">12527021386 </v>
      </c>
      <c r="E21172" t="s">
        <v>309</v>
      </c>
      <c r="F21172" t="s">
        <v>310</v>
      </c>
      <c r="G21172">
        <v>3.39</v>
      </c>
      <c r="H21172">
        <v>250630</v>
      </c>
      <c r="I21172">
        <v>4369</v>
      </c>
      <c r="J21172" t="s">
        <v>188</v>
      </c>
      <c r="K21172">
        <v>63.61</v>
      </c>
      <c r="L21172">
        <v>0.69</v>
      </c>
      <c r="M21172">
        <v>18972</v>
      </c>
      <c r="N21172" t="s">
        <v>39</v>
      </c>
      <c r="O21172">
        <v>250711</v>
      </c>
      <c r="P21172">
        <v>2.7</v>
      </c>
    </row>
    <row r="21173" spans="1:16" x14ac:dyDescent="0.25">
      <c r="A21173" t="s">
        <v>3296</v>
      </c>
      <c r="B21173" t="s">
        <v>2931</v>
      </c>
      <c r="C21173">
        <v>9566</v>
      </c>
      <c r="D21173" t="str">
        <f t="shared" si="418"/>
        <v xml:space="preserve">12527021386 </v>
      </c>
      <c r="E21173" t="s">
        <v>309</v>
      </c>
      <c r="F21173" t="s">
        <v>310</v>
      </c>
      <c r="G21173">
        <v>11.09</v>
      </c>
      <c r="H21173">
        <v>250630</v>
      </c>
      <c r="I21173">
        <v>4369</v>
      </c>
      <c r="J21173" t="s">
        <v>188</v>
      </c>
      <c r="K21173">
        <v>63.61</v>
      </c>
      <c r="L21173">
        <v>2.25</v>
      </c>
      <c r="M21173">
        <v>18972</v>
      </c>
      <c r="N21173" t="s">
        <v>39</v>
      </c>
      <c r="O21173">
        <v>250711</v>
      </c>
      <c r="P21173">
        <v>8.84</v>
      </c>
    </row>
    <row r="21174" spans="1:16" x14ac:dyDescent="0.25">
      <c r="A21174" t="s">
        <v>3296</v>
      </c>
      <c r="B21174" t="s">
        <v>2931</v>
      </c>
      <c r="C21174">
        <v>9647</v>
      </c>
      <c r="D21174" t="str">
        <f>"12527021404 "</f>
        <v xml:space="preserve">12527021404 </v>
      </c>
      <c r="E21174" t="s">
        <v>309</v>
      </c>
      <c r="F21174" t="s">
        <v>310</v>
      </c>
      <c r="G21174">
        <v>6.78</v>
      </c>
      <c r="H21174">
        <v>250630</v>
      </c>
      <c r="I21174">
        <v>4369</v>
      </c>
      <c r="J21174" t="s">
        <v>188</v>
      </c>
      <c r="K21174">
        <v>6.78</v>
      </c>
      <c r="L21174">
        <v>1.38</v>
      </c>
      <c r="M21174">
        <v>46556</v>
      </c>
      <c r="N21174" t="s">
        <v>458</v>
      </c>
      <c r="O21174">
        <v>250724</v>
      </c>
      <c r="P21174">
        <v>5.4</v>
      </c>
    </row>
    <row r="21175" spans="1:16" x14ac:dyDescent="0.25">
      <c r="A21175" t="s">
        <v>3296</v>
      </c>
      <c r="B21175" t="s">
        <v>2931</v>
      </c>
      <c r="C21175">
        <v>9650</v>
      </c>
      <c r="D21175" t="str">
        <f>"12527021407 "</f>
        <v xml:space="preserve">12527021407 </v>
      </c>
      <c r="E21175" t="s">
        <v>309</v>
      </c>
      <c r="F21175" t="s">
        <v>310</v>
      </c>
      <c r="G21175">
        <v>13.55</v>
      </c>
      <c r="H21175">
        <v>250630</v>
      </c>
      <c r="I21175">
        <v>4369</v>
      </c>
      <c r="J21175" t="s">
        <v>188</v>
      </c>
      <c r="K21175">
        <v>29.45</v>
      </c>
      <c r="L21175">
        <v>2.75</v>
      </c>
      <c r="M21175">
        <v>46555</v>
      </c>
      <c r="N21175" t="s">
        <v>103</v>
      </c>
      <c r="O21175">
        <v>250724</v>
      </c>
      <c r="P21175">
        <v>10.8</v>
      </c>
    </row>
    <row r="21176" spans="1:16" x14ac:dyDescent="0.25">
      <c r="A21176" t="s">
        <v>3296</v>
      </c>
      <c r="B21176" t="s">
        <v>2931</v>
      </c>
      <c r="C21176">
        <v>9650</v>
      </c>
      <c r="D21176" t="str">
        <f>"12527021407 "</f>
        <v xml:space="preserve">12527021407 </v>
      </c>
      <c r="E21176" t="s">
        <v>309</v>
      </c>
      <c r="F21176" t="s">
        <v>310</v>
      </c>
      <c r="G21176">
        <v>15.9</v>
      </c>
      <c r="H21176">
        <v>250630</v>
      </c>
      <c r="I21176">
        <v>4369</v>
      </c>
      <c r="J21176" t="s">
        <v>188</v>
      </c>
      <c r="K21176">
        <v>29.45</v>
      </c>
      <c r="L21176">
        <v>3.23</v>
      </c>
      <c r="M21176">
        <v>48601</v>
      </c>
      <c r="N21176" t="s">
        <v>107</v>
      </c>
      <c r="O21176">
        <v>250724</v>
      </c>
      <c r="P21176">
        <v>12.67</v>
      </c>
    </row>
    <row r="21177" spans="1:16" x14ac:dyDescent="0.25">
      <c r="A21177" t="s">
        <v>3296</v>
      </c>
      <c r="B21177" t="s">
        <v>2931</v>
      </c>
      <c r="C21177">
        <v>9651</v>
      </c>
      <c r="D21177" t="str">
        <f t="shared" ref="D21177:D21182" si="419">"12527021403 "</f>
        <v xml:space="preserve">12527021403 </v>
      </c>
      <c r="E21177" t="s">
        <v>309</v>
      </c>
      <c r="F21177" t="s">
        <v>310</v>
      </c>
      <c r="G21177">
        <v>10.17</v>
      </c>
      <c r="H21177">
        <v>250630</v>
      </c>
      <c r="I21177">
        <v>4369</v>
      </c>
      <c r="J21177" t="s">
        <v>188</v>
      </c>
      <c r="K21177">
        <v>52.11</v>
      </c>
      <c r="L21177">
        <v>2.0699999999999998</v>
      </c>
      <c r="M21177">
        <v>43222</v>
      </c>
      <c r="N21177" t="s">
        <v>95</v>
      </c>
      <c r="O21177">
        <v>250724</v>
      </c>
      <c r="P21177">
        <v>8.1</v>
      </c>
    </row>
    <row r="21178" spans="1:16" x14ac:dyDescent="0.25">
      <c r="A21178" t="s">
        <v>3296</v>
      </c>
      <c r="B21178" t="s">
        <v>2931</v>
      </c>
      <c r="C21178">
        <v>9651</v>
      </c>
      <c r="D21178" t="str">
        <f t="shared" si="419"/>
        <v xml:space="preserve">12527021403 </v>
      </c>
      <c r="E21178" t="s">
        <v>309</v>
      </c>
      <c r="F21178" t="s">
        <v>310</v>
      </c>
      <c r="G21178">
        <v>3.39</v>
      </c>
      <c r="H21178">
        <v>250630</v>
      </c>
      <c r="I21178">
        <v>4369</v>
      </c>
      <c r="J21178" t="s">
        <v>188</v>
      </c>
      <c r="K21178">
        <v>52.11</v>
      </c>
      <c r="L21178">
        <v>0.69</v>
      </c>
      <c r="M21178">
        <v>44422</v>
      </c>
      <c r="N21178" t="s">
        <v>97</v>
      </c>
      <c r="O21178">
        <v>250724</v>
      </c>
      <c r="P21178">
        <v>2.7</v>
      </c>
    </row>
    <row r="21179" spans="1:16" x14ac:dyDescent="0.25">
      <c r="A21179" t="s">
        <v>3296</v>
      </c>
      <c r="B21179" t="s">
        <v>2931</v>
      </c>
      <c r="C21179">
        <v>9651</v>
      </c>
      <c r="D21179" t="str">
        <f t="shared" si="419"/>
        <v xml:space="preserve">12527021403 </v>
      </c>
      <c r="E21179" t="s">
        <v>309</v>
      </c>
      <c r="F21179" t="s">
        <v>310</v>
      </c>
      <c r="G21179">
        <v>6.78</v>
      </c>
      <c r="H21179">
        <v>250630</v>
      </c>
      <c r="I21179">
        <v>4369</v>
      </c>
      <c r="J21179" t="s">
        <v>188</v>
      </c>
      <c r="K21179">
        <v>52.11</v>
      </c>
      <c r="L21179">
        <v>1.38</v>
      </c>
      <c r="M21179">
        <v>44423</v>
      </c>
      <c r="N21179" t="s">
        <v>98</v>
      </c>
      <c r="O21179">
        <v>250724</v>
      </c>
      <c r="P21179">
        <v>5.4</v>
      </c>
    </row>
    <row r="21180" spans="1:16" x14ac:dyDescent="0.25">
      <c r="A21180" t="s">
        <v>3296</v>
      </c>
      <c r="B21180" t="s">
        <v>2931</v>
      </c>
      <c r="C21180">
        <v>9651</v>
      </c>
      <c r="D21180" t="str">
        <f t="shared" si="419"/>
        <v xml:space="preserve">12527021403 </v>
      </c>
      <c r="E21180" t="s">
        <v>309</v>
      </c>
      <c r="F21180" t="s">
        <v>310</v>
      </c>
      <c r="G21180">
        <v>3.39</v>
      </c>
      <c r="H21180">
        <v>250630</v>
      </c>
      <c r="I21180">
        <v>4369</v>
      </c>
      <c r="J21180" t="s">
        <v>188</v>
      </c>
      <c r="K21180">
        <v>52.11</v>
      </c>
      <c r="L21180">
        <v>0.69</v>
      </c>
      <c r="M21180">
        <v>44453</v>
      </c>
      <c r="N21180" t="s">
        <v>100</v>
      </c>
      <c r="O21180">
        <v>250724</v>
      </c>
      <c r="P21180">
        <v>2.7</v>
      </c>
    </row>
    <row r="21181" spans="1:16" x14ac:dyDescent="0.25">
      <c r="A21181" t="s">
        <v>3296</v>
      </c>
      <c r="B21181" t="s">
        <v>2931</v>
      </c>
      <c r="C21181">
        <v>9651</v>
      </c>
      <c r="D21181" t="str">
        <f t="shared" si="419"/>
        <v xml:space="preserve">12527021403 </v>
      </c>
      <c r="E21181" t="s">
        <v>309</v>
      </c>
      <c r="F21181" t="s">
        <v>310</v>
      </c>
      <c r="G21181">
        <v>3.39</v>
      </c>
      <c r="H21181">
        <v>250630</v>
      </c>
      <c r="I21181">
        <v>4369</v>
      </c>
      <c r="J21181" t="s">
        <v>188</v>
      </c>
      <c r="K21181">
        <v>52.11</v>
      </c>
      <c r="L21181">
        <v>0.69</v>
      </c>
      <c r="M21181">
        <v>48601</v>
      </c>
      <c r="N21181" t="s">
        <v>107</v>
      </c>
      <c r="O21181">
        <v>250724</v>
      </c>
      <c r="P21181">
        <v>2.7</v>
      </c>
    </row>
    <row r="21182" spans="1:16" x14ac:dyDescent="0.25">
      <c r="A21182" t="s">
        <v>3296</v>
      </c>
      <c r="B21182" t="s">
        <v>2931</v>
      </c>
      <c r="C21182">
        <v>9651</v>
      </c>
      <c r="D21182" t="str">
        <f t="shared" si="419"/>
        <v xml:space="preserve">12527021403 </v>
      </c>
      <c r="E21182" t="s">
        <v>309</v>
      </c>
      <c r="F21182" t="s">
        <v>310</v>
      </c>
      <c r="G21182">
        <v>24.99</v>
      </c>
      <c r="H21182">
        <v>250630</v>
      </c>
      <c r="I21182">
        <v>4369</v>
      </c>
      <c r="J21182" t="s">
        <v>188</v>
      </c>
      <c r="K21182">
        <v>52.11</v>
      </c>
      <c r="L21182">
        <v>5.08</v>
      </c>
      <c r="M21182">
        <v>49702</v>
      </c>
      <c r="N21182" t="s">
        <v>112</v>
      </c>
      <c r="O21182">
        <v>250724</v>
      </c>
      <c r="P21182">
        <v>19.91</v>
      </c>
    </row>
    <row r="21183" spans="1:16" x14ac:dyDescent="0.25">
      <c r="A21183" t="s">
        <v>3296</v>
      </c>
      <c r="B21183" t="s">
        <v>2931</v>
      </c>
      <c r="C21183">
        <v>9652</v>
      </c>
      <c r="D21183" t="str">
        <f>"12527021418 "</f>
        <v xml:space="preserve">12527021418 </v>
      </c>
      <c r="E21183" t="s">
        <v>309</v>
      </c>
      <c r="F21183" t="s">
        <v>310</v>
      </c>
      <c r="G21183">
        <v>3.6</v>
      </c>
      <c r="H21183">
        <v>250630</v>
      </c>
      <c r="I21183">
        <v>4369</v>
      </c>
      <c r="J21183" t="s">
        <v>188</v>
      </c>
      <c r="K21183">
        <v>10.38</v>
      </c>
      <c r="L21183">
        <v>0.73</v>
      </c>
      <c r="M21183">
        <v>11901</v>
      </c>
      <c r="N21183" t="s">
        <v>31</v>
      </c>
      <c r="O21183">
        <v>250724</v>
      </c>
      <c r="P21183">
        <v>2.87</v>
      </c>
    </row>
    <row r="21184" spans="1:16" x14ac:dyDescent="0.25">
      <c r="A21184" t="s">
        <v>3296</v>
      </c>
      <c r="B21184" t="s">
        <v>2931</v>
      </c>
      <c r="C21184">
        <v>9652</v>
      </c>
      <c r="D21184" t="str">
        <f>"12527021418 "</f>
        <v xml:space="preserve">12527021418 </v>
      </c>
      <c r="E21184" t="s">
        <v>309</v>
      </c>
      <c r="F21184" t="s">
        <v>310</v>
      </c>
      <c r="G21184">
        <v>3.39</v>
      </c>
      <c r="H21184">
        <v>250630</v>
      </c>
      <c r="I21184">
        <v>4369</v>
      </c>
      <c r="J21184" t="s">
        <v>188</v>
      </c>
      <c r="K21184">
        <v>10.38</v>
      </c>
      <c r="L21184">
        <v>0.69</v>
      </c>
      <c r="M21184">
        <v>11903</v>
      </c>
      <c r="N21184" t="s">
        <v>32</v>
      </c>
      <c r="O21184">
        <v>250724</v>
      </c>
      <c r="P21184">
        <v>2.7</v>
      </c>
    </row>
    <row r="21185" spans="1:16" x14ac:dyDescent="0.25">
      <c r="A21185" t="s">
        <v>3296</v>
      </c>
      <c r="B21185" t="s">
        <v>2931</v>
      </c>
      <c r="C21185">
        <v>9652</v>
      </c>
      <c r="D21185" t="str">
        <f>"12527021418 "</f>
        <v xml:space="preserve">12527021418 </v>
      </c>
      <c r="E21185" t="s">
        <v>309</v>
      </c>
      <c r="F21185" t="s">
        <v>310</v>
      </c>
      <c r="G21185">
        <v>3.39</v>
      </c>
      <c r="H21185">
        <v>250630</v>
      </c>
      <c r="I21185">
        <v>4369</v>
      </c>
      <c r="J21185" t="s">
        <v>188</v>
      </c>
      <c r="K21185">
        <v>10.38</v>
      </c>
      <c r="L21185">
        <v>0.69</v>
      </c>
      <c r="M21185">
        <v>11903</v>
      </c>
      <c r="N21185" t="s">
        <v>32</v>
      </c>
      <c r="O21185">
        <v>250724</v>
      </c>
      <c r="P21185">
        <v>2.7</v>
      </c>
    </row>
    <row r="21186" spans="1:16" x14ac:dyDescent="0.25">
      <c r="A21186" t="s">
        <v>3296</v>
      </c>
      <c r="B21186" t="s">
        <v>2931</v>
      </c>
      <c r="C21186">
        <v>9654</v>
      </c>
      <c r="D21186" t="str">
        <f t="shared" ref="D21186:D21195" si="420">"12527021394 "</f>
        <v xml:space="preserve">12527021394 </v>
      </c>
      <c r="E21186" t="s">
        <v>309</v>
      </c>
      <c r="F21186" t="s">
        <v>310</v>
      </c>
      <c r="G21186">
        <v>9.98</v>
      </c>
      <c r="H21186">
        <v>250630</v>
      </c>
      <c r="I21186">
        <v>4369</v>
      </c>
      <c r="J21186" t="s">
        <v>188</v>
      </c>
      <c r="K21186">
        <v>54.25</v>
      </c>
      <c r="L21186">
        <v>2.0299999999999998</v>
      </c>
      <c r="M21186">
        <v>11301</v>
      </c>
      <c r="N21186" t="s">
        <v>92</v>
      </c>
      <c r="O21186">
        <v>250724</v>
      </c>
      <c r="P21186">
        <v>7.95</v>
      </c>
    </row>
    <row r="21187" spans="1:16" x14ac:dyDescent="0.25">
      <c r="A21187" t="s">
        <v>3296</v>
      </c>
      <c r="B21187" t="s">
        <v>2931</v>
      </c>
      <c r="C21187">
        <v>9654</v>
      </c>
      <c r="D21187" t="str">
        <f t="shared" si="420"/>
        <v xml:space="preserve">12527021394 </v>
      </c>
      <c r="E21187" t="s">
        <v>309</v>
      </c>
      <c r="F21187" t="s">
        <v>310</v>
      </c>
      <c r="G21187">
        <v>3.39</v>
      </c>
      <c r="H21187">
        <v>250630</v>
      </c>
      <c r="I21187">
        <v>4369</v>
      </c>
      <c r="J21187" t="s">
        <v>188</v>
      </c>
      <c r="K21187">
        <v>54.25</v>
      </c>
      <c r="L21187">
        <v>0.69</v>
      </c>
      <c r="M21187">
        <v>11900</v>
      </c>
      <c r="N21187" t="s">
        <v>30</v>
      </c>
      <c r="O21187">
        <v>250724</v>
      </c>
      <c r="P21187">
        <v>2.7</v>
      </c>
    </row>
    <row r="21188" spans="1:16" x14ac:dyDescent="0.25">
      <c r="A21188" t="s">
        <v>3296</v>
      </c>
      <c r="B21188" t="s">
        <v>2931</v>
      </c>
      <c r="C21188">
        <v>9654</v>
      </c>
      <c r="D21188" t="str">
        <f t="shared" si="420"/>
        <v xml:space="preserve">12527021394 </v>
      </c>
      <c r="E21188" t="s">
        <v>309</v>
      </c>
      <c r="F21188" t="s">
        <v>310</v>
      </c>
      <c r="G21188">
        <v>6.79</v>
      </c>
      <c r="H21188">
        <v>250630</v>
      </c>
      <c r="I21188">
        <v>4369</v>
      </c>
      <c r="J21188" t="s">
        <v>188</v>
      </c>
      <c r="K21188">
        <v>54.25</v>
      </c>
      <c r="L21188">
        <v>0</v>
      </c>
      <c r="M21188">
        <v>11901</v>
      </c>
      <c r="N21188" t="s">
        <v>31</v>
      </c>
      <c r="O21188">
        <v>250724</v>
      </c>
      <c r="P21188">
        <v>6.79</v>
      </c>
    </row>
    <row r="21189" spans="1:16" x14ac:dyDescent="0.25">
      <c r="A21189" t="s">
        <v>3296</v>
      </c>
      <c r="B21189" t="s">
        <v>2931</v>
      </c>
      <c r="C21189">
        <v>9654</v>
      </c>
      <c r="D21189" t="str">
        <f t="shared" si="420"/>
        <v xml:space="preserve">12527021394 </v>
      </c>
      <c r="E21189" t="s">
        <v>309</v>
      </c>
      <c r="F21189" t="s">
        <v>310</v>
      </c>
      <c r="G21189">
        <v>10.16</v>
      </c>
      <c r="H21189">
        <v>250630</v>
      </c>
      <c r="I21189">
        <v>4369</v>
      </c>
      <c r="J21189" t="s">
        <v>188</v>
      </c>
      <c r="K21189">
        <v>54.25</v>
      </c>
      <c r="L21189">
        <v>2.06</v>
      </c>
      <c r="M21189">
        <v>11901</v>
      </c>
      <c r="N21189" t="s">
        <v>31</v>
      </c>
      <c r="O21189">
        <v>250724</v>
      </c>
      <c r="P21189">
        <v>8.1</v>
      </c>
    </row>
    <row r="21190" spans="1:16" x14ac:dyDescent="0.25">
      <c r="A21190" t="s">
        <v>3296</v>
      </c>
      <c r="B21190" t="s">
        <v>2931</v>
      </c>
      <c r="C21190">
        <v>9654</v>
      </c>
      <c r="D21190" t="str">
        <f t="shared" si="420"/>
        <v xml:space="preserve">12527021394 </v>
      </c>
      <c r="E21190" t="s">
        <v>309</v>
      </c>
      <c r="F21190" t="s">
        <v>310</v>
      </c>
      <c r="G21190">
        <v>3.39</v>
      </c>
      <c r="H21190">
        <v>250630</v>
      </c>
      <c r="I21190">
        <v>4369</v>
      </c>
      <c r="J21190" t="s">
        <v>188</v>
      </c>
      <c r="K21190">
        <v>54.25</v>
      </c>
      <c r="L21190">
        <v>0.69</v>
      </c>
      <c r="M21190">
        <v>11903</v>
      </c>
      <c r="N21190" t="s">
        <v>32</v>
      </c>
      <c r="O21190">
        <v>250724</v>
      </c>
      <c r="P21190">
        <v>2.7</v>
      </c>
    </row>
    <row r="21191" spans="1:16" x14ac:dyDescent="0.25">
      <c r="A21191" t="s">
        <v>3296</v>
      </c>
      <c r="B21191" t="s">
        <v>2931</v>
      </c>
      <c r="C21191">
        <v>9654</v>
      </c>
      <c r="D21191" t="str">
        <f t="shared" si="420"/>
        <v xml:space="preserve">12527021394 </v>
      </c>
      <c r="E21191" t="s">
        <v>309</v>
      </c>
      <c r="F21191" t="s">
        <v>310</v>
      </c>
      <c r="G21191">
        <v>3.39</v>
      </c>
      <c r="H21191">
        <v>250630</v>
      </c>
      <c r="I21191">
        <v>4369</v>
      </c>
      <c r="J21191" t="s">
        <v>188</v>
      </c>
      <c r="K21191">
        <v>54.25</v>
      </c>
      <c r="L21191">
        <v>0.69</v>
      </c>
      <c r="M21191">
        <v>11903</v>
      </c>
      <c r="N21191" t="s">
        <v>32</v>
      </c>
      <c r="O21191">
        <v>250724</v>
      </c>
      <c r="P21191">
        <v>2.7</v>
      </c>
    </row>
    <row r="21192" spans="1:16" x14ac:dyDescent="0.25">
      <c r="A21192" t="s">
        <v>3296</v>
      </c>
      <c r="B21192" t="s">
        <v>2931</v>
      </c>
      <c r="C21192">
        <v>9654</v>
      </c>
      <c r="D21192" t="str">
        <f t="shared" si="420"/>
        <v xml:space="preserve">12527021394 </v>
      </c>
      <c r="E21192" t="s">
        <v>309</v>
      </c>
      <c r="F21192" t="s">
        <v>310</v>
      </c>
      <c r="G21192">
        <v>6.78</v>
      </c>
      <c r="H21192">
        <v>250630</v>
      </c>
      <c r="I21192">
        <v>4369</v>
      </c>
      <c r="J21192" t="s">
        <v>188</v>
      </c>
      <c r="K21192">
        <v>54.25</v>
      </c>
      <c r="L21192">
        <v>1.38</v>
      </c>
      <c r="M21192">
        <v>11903</v>
      </c>
      <c r="N21192" t="s">
        <v>32</v>
      </c>
      <c r="O21192">
        <v>250724</v>
      </c>
      <c r="P21192">
        <v>5.4</v>
      </c>
    </row>
    <row r="21193" spans="1:16" x14ac:dyDescent="0.25">
      <c r="A21193" t="s">
        <v>3296</v>
      </c>
      <c r="B21193" t="s">
        <v>2931</v>
      </c>
      <c r="C21193">
        <v>9654</v>
      </c>
      <c r="D21193" t="str">
        <f t="shared" si="420"/>
        <v xml:space="preserve">12527021394 </v>
      </c>
      <c r="E21193" t="s">
        <v>309</v>
      </c>
      <c r="F21193" t="s">
        <v>310</v>
      </c>
      <c r="G21193">
        <v>3.39</v>
      </c>
      <c r="H21193">
        <v>250630</v>
      </c>
      <c r="I21193">
        <v>4369</v>
      </c>
      <c r="J21193" t="s">
        <v>188</v>
      </c>
      <c r="K21193">
        <v>54.25</v>
      </c>
      <c r="L21193">
        <v>0.69</v>
      </c>
      <c r="M21193">
        <v>11903</v>
      </c>
      <c r="N21193" t="s">
        <v>32</v>
      </c>
      <c r="O21193">
        <v>250724</v>
      </c>
      <c r="P21193">
        <v>2.7</v>
      </c>
    </row>
    <row r="21194" spans="1:16" x14ac:dyDescent="0.25">
      <c r="A21194" t="s">
        <v>3296</v>
      </c>
      <c r="B21194" t="s">
        <v>2931</v>
      </c>
      <c r="C21194">
        <v>9654</v>
      </c>
      <c r="D21194" t="str">
        <f t="shared" si="420"/>
        <v xml:space="preserve">12527021394 </v>
      </c>
      <c r="E21194" t="s">
        <v>309</v>
      </c>
      <c r="F21194" t="s">
        <v>310</v>
      </c>
      <c r="G21194">
        <v>3.6</v>
      </c>
      <c r="H21194">
        <v>250630</v>
      </c>
      <c r="I21194">
        <v>4369</v>
      </c>
      <c r="J21194" t="s">
        <v>188</v>
      </c>
      <c r="K21194">
        <v>54.25</v>
      </c>
      <c r="L21194">
        <v>0.73</v>
      </c>
      <c r="M21194">
        <v>11905</v>
      </c>
      <c r="N21194" t="s">
        <v>643</v>
      </c>
      <c r="O21194">
        <v>250724</v>
      </c>
      <c r="P21194">
        <v>2.87</v>
      </c>
    </row>
    <row r="21195" spans="1:16" x14ac:dyDescent="0.25">
      <c r="A21195" t="s">
        <v>3296</v>
      </c>
      <c r="B21195" t="s">
        <v>2931</v>
      </c>
      <c r="C21195">
        <v>9654</v>
      </c>
      <c r="D21195" t="str">
        <f t="shared" si="420"/>
        <v xml:space="preserve">12527021394 </v>
      </c>
      <c r="E21195" t="s">
        <v>309</v>
      </c>
      <c r="F21195" t="s">
        <v>310</v>
      </c>
      <c r="G21195">
        <v>3.38</v>
      </c>
      <c r="H21195">
        <v>250630</v>
      </c>
      <c r="I21195">
        <v>4369</v>
      </c>
      <c r="J21195" t="s">
        <v>188</v>
      </c>
      <c r="K21195">
        <v>54.25</v>
      </c>
      <c r="L21195">
        <v>0.69</v>
      </c>
      <c r="M21195">
        <v>12500</v>
      </c>
      <c r="N21195" t="s">
        <v>1502</v>
      </c>
      <c r="O21195">
        <v>250724</v>
      </c>
      <c r="P21195">
        <v>2.69</v>
      </c>
    </row>
    <row r="21196" spans="1:16" x14ac:dyDescent="0.25">
      <c r="A21196" t="s">
        <v>3296</v>
      </c>
      <c r="B21196" t="s">
        <v>2931</v>
      </c>
      <c r="C21196">
        <v>9655</v>
      </c>
      <c r="D21196" t="str">
        <f t="shared" ref="D21196:D21202" si="421">"12527021409 "</f>
        <v xml:space="preserve">12527021409 </v>
      </c>
      <c r="E21196" t="s">
        <v>309</v>
      </c>
      <c r="F21196" t="s">
        <v>310</v>
      </c>
      <c r="G21196">
        <v>2.2000000000000002</v>
      </c>
      <c r="H21196">
        <v>250630</v>
      </c>
      <c r="I21196">
        <v>4369</v>
      </c>
      <c r="J21196" t="s">
        <v>188</v>
      </c>
      <c r="K21196">
        <v>16.940000000000001</v>
      </c>
      <c r="L21196">
        <v>0.45</v>
      </c>
      <c r="M21196">
        <v>41126</v>
      </c>
      <c r="N21196" t="s">
        <v>94</v>
      </c>
      <c r="O21196">
        <v>250724</v>
      </c>
      <c r="P21196">
        <v>1.75</v>
      </c>
    </row>
    <row r="21197" spans="1:16" x14ac:dyDescent="0.25">
      <c r="A21197" t="s">
        <v>3296</v>
      </c>
      <c r="B21197" t="s">
        <v>2931</v>
      </c>
      <c r="C21197">
        <v>9655</v>
      </c>
      <c r="D21197" t="str">
        <f t="shared" si="421"/>
        <v xml:space="preserve">12527021409 </v>
      </c>
      <c r="E21197" t="s">
        <v>309</v>
      </c>
      <c r="F21197" t="s">
        <v>310</v>
      </c>
      <c r="G21197">
        <v>1.69</v>
      </c>
      <c r="H21197">
        <v>250630</v>
      </c>
      <c r="I21197">
        <v>4369</v>
      </c>
      <c r="J21197" t="s">
        <v>188</v>
      </c>
      <c r="K21197">
        <v>16.940000000000001</v>
      </c>
      <c r="L21197">
        <v>0.34</v>
      </c>
      <c r="M21197">
        <v>43222</v>
      </c>
      <c r="N21197" t="s">
        <v>95</v>
      </c>
      <c r="O21197">
        <v>250724</v>
      </c>
      <c r="P21197">
        <v>1.35</v>
      </c>
    </row>
    <row r="21198" spans="1:16" x14ac:dyDescent="0.25">
      <c r="A21198" t="s">
        <v>3296</v>
      </c>
      <c r="B21198" t="s">
        <v>2931</v>
      </c>
      <c r="C21198">
        <v>9655</v>
      </c>
      <c r="D21198" t="str">
        <f t="shared" si="421"/>
        <v xml:space="preserve">12527021409 </v>
      </c>
      <c r="E21198" t="s">
        <v>309</v>
      </c>
      <c r="F21198" t="s">
        <v>310</v>
      </c>
      <c r="G21198">
        <v>2.0299999999999998</v>
      </c>
      <c r="H21198">
        <v>250630</v>
      </c>
      <c r="I21198">
        <v>4369</v>
      </c>
      <c r="J21198" t="s">
        <v>188</v>
      </c>
      <c r="K21198">
        <v>16.940000000000001</v>
      </c>
      <c r="L21198">
        <v>0.41</v>
      </c>
      <c r="M21198">
        <v>44222</v>
      </c>
      <c r="N21198" t="s">
        <v>96</v>
      </c>
      <c r="O21198">
        <v>250724</v>
      </c>
      <c r="P21198">
        <v>1.62</v>
      </c>
    </row>
    <row r="21199" spans="1:16" x14ac:dyDescent="0.25">
      <c r="A21199" t="s">
        <v>3296</v>
      </c>
      <c r="B21199" t="s">
        <v>2931</v>
      </c>
      <c r="C21199">
        <v>9655</v>
      </c>
      <c r="D21199" t="str">
        <f t="shared" si="421"/>
        <v xml:space="preserve">12527021409 </v>
      </c>
      <c r="E21199" t="s">
        <v>309</v>
      </c>
      <c r="F21199" t="s">
        <v>310</v>
      </c>
      <c r="G21199">
        <v>2.2000000000000002</v>
      </c>
      <c r="H21199">
        <v>250630</v>
      </c>
      <c r="I21199">
        <v>4369</v>
      </c>
      <c r="J21199" t="s">
        <v>188</v>
      </c>
      <c r="K21199">
        <v>16.940000000000001</v>
      </c>
      <c r="L21199">
        <v>0.45</v>
      </c>
      <c r="M21199">
        <v>44424</v>
      </c>
      <c r="N21199" t="s">
        <v>99</v>
      </c>
      <c r="O21199">
        <v>250724</v>
      </c>
      <c r="P21199">
        <v>1.75</v>
      </c>
    </row>
    <row r="21200" spans="1:16" x14ac:dyDescent="0.25">
      <c r="A21200" t="s">
        <v>3296</v>
      </c>
      <c r="B21200" t="s">
        <v>2931</v>
      </c>
      <c r="C21200">
        <v>9655</v>
      </c>
      <c r="D21200" t="str">
        <f t="shared" si="421"/>
        <v xml:space="preserve">12527021409 </v>
      </c>
      <c r="E21200" t="s">
        <v>309</v>
      </c>
      <c r="F21200" t="s">
        <v>310</v>
      </c>
      <c r="G21200">
        <v>1.19</v>
      </c>
      <c r="H21200">
        <v>250630</v>
      </c>
      <c r="I21200">
        <v>4369</v>
      </c>
      <c r="J21200" t="s">
        <v>188</v>
      </c>
      <c r="K21200">
        <v>16.940000000000001</v>
      </c>
      <c r="L21200">
        <v>0.24</v>
      </c>
      <c r="M21200">
        <v>46222</v>
      </c>
      <c r="N21200" t="s">
        <v>101</v>
      </c>
      <c r="O21200">
        <v>250724</v>
      </c>
      <c r="P21200">
        <v>0.95</v>
      </c>
    </row>
    <row r="21201" spans="1:16" x14ac:dyDescent="0.25">
      <c r="A21201" t="s">
        <v>3296</v>
      </c>
      <c r="B21201" t="s">
        <v>2931</v>
      </c>
      <c r="C21201">
        <v>9655</v>
      </c>
      <c r="D21201" t="str">
        <f t="shared" si="421"/>
        <v xml:space="preserve">12527021409 </v>
      </c>
      <c r="E21201" t="s">
        <v>309</v>
      </c>
      <c r="F21201" t="s">
        <v>310</v>
      </c>
      <c r="G21201">
        <v>6.78</v>
      </c>
      <c r="H21201">
        <v>250630</v>
      </c>
      <c r="I21201">
        <v>4369</v>
      </c>
      <c r="J21201" t="s">
        <v>188</v>
      </c>
      <c r="K21201">
        <v>16.940000000000001</v>
      </c>
      <c r="L21201">
        <v>1.38</v>
      </c>
      <c r="M21201">
        <v>46559</v>
      </c>
      <c r="N21201" t="s">
        <v>105</v>
      </c>
      <c r="O21201">
        <v>250724</v>
      </c>
      <c r="P21201">
        <v>5.4</v>
      </c>
    </row>
    <row r="21202" spans="1:16" x14ac:dyDescent="0.25">
      <c r="A21202" t="s">
        <v>3296</v>
      </c>
      <c r="B21202" t="s">
        <v>2931</v>
      </c>
      <c r="C21202">
        <v>9655</v>
      </c>
      <c r="D21202" t="str">
        <f t="shared" si="421"/>
        <v xml:space="preserve">12527021409 </v>
      </c>
      <c r="E21202" t="s">
        <v>309</v>
      </c>
      <c r="F21202" t="s">
        <v>310</v>
      </c>
      <c r="G21202">
        <v>0.85</v>
      </c>
      <c r="H21202">
        <v>250630</v>
      </c>
      <c r="I21202">
        <v>4369</v>
      </c>
      <c r="J21202" t="s">
        <v>188</v>
      </c>
      <c r="K21202">
        <v>16.940000000000001</v>
      </c>
      <c r="L21202">
        <v>0.17</v>
      </c>
      <c r="M21202">
        <v>47522</v>
      </c>
      <c r="N21202" t="s">
        <v>106</v>
      </c>
      <c r="O21202">
        <v>250724</v>
      </c>
      <c r="P21202">
        <v>0.68</v>
      </c>
    </row>
    <row r="21203" spans="1:16" x14ac:dyDescent="0.25">
      <c r="A21203" t="s">
        <v>3296</v>
      </c>
      <c r="B21203" t="s">
        <v>2931</v>
      </c>
      <c r="C21203">
        <v>9656</v>
      </c>
      <c r="D21203" t="str">
        <f>"12527021396 "</f>
        <v xml:space="preserve">12527021396 </v>
      </c>
      <c r="E21203" t="s">
        <v>309</v>
      </c>
      <c r="F21203" t="s">
        <v>310</v>
      </c>
      <c r="G21203">
        <v>51.87</v>
      </c>
      <c r="H21203">
        <v>250630</v>
      </c>
      <c r="I21203">
        <v>4369</v>
      </c>
      <c r="J21203" t="s">
        <v>188</v>
      </c>
      <c r="K21203">
        <v>51.87</v>
      </c>
      <c r="L21203">
        <v>10.54</v>
      </c>
      <c r="M21203">
        <v>13940</v>
      </c>
      <c r="N21203" t="s">
        <v>14</v>
      </c>
      <c r="O21203">
        <v>250724</v>
      </c>
      <c r="P21203">
        <v>41.33</v>
      </c>
    </row>
    <row r="21204" spans="1:16" x14ac:dyDescent="0.25">
      <c r="A21204" t="s">
        <v>3296</v>
      </c>
      <c r="B21204" t="s">
        <v>2931</v>
      </c>
      <c r="C21204">
        <v>9657</v>
      </c>
      <c r="D21204" t="str">
        <f>"12527021422 "</f>
        <v xml:space="preserve">12527021422 </v>
      </c>
      <c r="E21204" t="s">
        <v>309</v>
      </c>
      <c r="F21204" t="s">
        <v>310</v>
      </c>
      <c r="G21204">
        <v>6.78</v>
      </c>
      <c r="H21204">
        <v>250630</v>
      </c>
      <c r="I21204">
        <v>4369</v>
      </c>
      <c r="J21204" t="s">
        <v>188</v>
      </c>
      <c r="K21204">
        <v>6.78</v>
      </c>
      <c r="L21204">
        <v>1.38</v>
      </c>
      <c r="M21204">
        <v>46557</v>
      </c>
      <c r="N21204" t="s">
        <v>104</v>
      </c>
      <c r="O21204">
        <v>250724</v>
      </c>
      <c r="P21204">
        <v>5.4</v>
      </c>
    </row>
    <row r="21205" spans="1:16" x14ac:dyDescent="0.25">
      <c r="A21205" t="s">
        <v>3296</v>
      </c>
      <c r="B21205" t="s">
        <v>2931</v>
      </c>
      <c r="C21205">
        <v>9658</v>
      </c>
      <c r="D21205" t="str">
        <f>"12527021398 "</f>
        <v xml:space="preserve">12527021398 </v>
      </c>
      <c r="E21205" t="s">
        <v>309</v>
      </c>
      <c r="F21205" t="s">
        <v>310</v>
      </c>
      <c r="G21205">
        <v>32.75</v>
      </c>
      <c r="H21205">
        <v>250630</v>
      </c>
      <c r="I21205">
        <v>4369</v>
      </c>
      <c r="J21205" t="s">
        <v>188</v>
      </c>
      <c r="K21205">
        <v>46.12</v>
      </c>
      <c r="L21205">
        <v>6.65</v>
      </c>
      <c r="M21205">
        <v>41126</v>
      </c>
      <c r="N21205" t="s">
        <v>94</v>
      </c>
      <c r="O21205">
        <v>250724</v>
      </c>
      <c r="P21205">
        <v>26.1</v>
      </c>
    </row>
    <row r="21206" spans="1:16" x14ac:dyDescent="0.25">
      <c r="A21206" t="s">
        <v>3296</v>
      </c>
      <c r="B21206" t="s">
        <v>2931</v>
      </c>
      <c r="C21206">
        <v>9658</v>
      </c>
      <c r="D21206" t="str">
        <f>"12527021398 "</f>
        <v xml:space="preserve">12527021398 </v>
      </c>
      <c r="E21206" t="s">
        <v>309</v>
      </c>
      <c r="F21206" t="s">
        <v>310</v>
      </c>
      <c r="G21206">
        <v>13.37</v>
      </c>
      <c r="H21206">
        <v>250630</v>
      </c>
      <c r="I21206">
        <v>4369</v>
      </c>
      <c r="J21206" t="s">
        <v>188</v>
      </c>
      <c r="K21206">
        <v>46.12</v>
      </c>
      <c r="L21206">
        <v>2.72</v>
      </c>
      <c r="M21206">
        <v>46222</v>
      </c>
      <c r="N21206" t="s">
        <v>101</v>
      </c>
      <c r="O21206">
        <v>250724</v>
      </c>
      <c r="P21206">
        <v>10.65</v>
      </c>
    </row>
    <row r="21207" spans="1:16" x14ac:dyDescent="0.25">
      <c r="A21207" t="s">
        <v>3296</v>
      </c>
      <c r="B21207" t="s">
        <v>2931</v>
      </c>
      <c r="C21207">
        <v>9659</v>
      </c>
      <c r="D21207" t="str">
        <f>"12527021400 "</f>
        <v xml:space="preserve">12527021400 </v>
      </c>
      <c r="E21207" t="s">
        <v>309</v>
      </c>
      <c r="F21207" t="s">
        <v>310</v>
      </c>
      <c r="G21207">
        <v>16.940000000000001</v>
      </c>
      <c r="H21207">
        <v>250630</v>
      </c>
      <c r="I21207">
        <v>4369</v>
      </c>
      <c r="J21207" t="s">
        <v>188</v>
      </c>
      <c r="K21207">
        <v>20.329999999999998</v>
      </c>
      <c r="L21207">
        <v>3.44</v>
      </c>
      <c r="M21207">
        <v>47522</v>
      </c>
      <c r="N21207" t="s">
        <v>106</v>
      </c>
      <c r="O21207">
        <v>250724</v>
      </c>
      <c r="P21207">
        <v>13.5</v>
      </c>
    </row>
    <row r="21208" spans="1:16" x14ac:dyDescent="0.25">
      <c r="A21208" t="s">
        <v>3296</v>
      </c>
      <c r="B21208" t="s">
        <v>2931</v>
      </c>
      <c r="C21208">
        <v>9659</v>
      </c>
      <c r="D21208" t="str">
        <f>"12527021400 "</f>
        <v xml:space="preserve">12527021400 </v>
      </c>
      <c r="E21208" t="s">
        <v>309</v>
      </c>
      <c r="F21208" t="s">
        <v>310</v>
      </c>
      <c r="G21208">
        <v>3.39</v>
      </c>
      <c r="H21208">
        <v>250630</v>
      </c>
      <c r="I21208">
        <v>4369</v>
      </c>
      <c r="J21208" t="s">
        <v>188</v>
      </c>
      <c r="K21208">
        <v>20.329999999999998</v>
      </c>
      <c r="L21208">
        <v>0.69</v>
      </c>
      <c r="M21208">
        <v>49702</v>
      </c>
      <c r="N21208" t="s">
        <v>112</v>
      </c>
      <c r="O21208">
        <v>250724</v>
      </c>
      <c r="P21208">
        <v>2.7</v>
      </c>
    </row>
    <row r="21209" spans="1:16" x14ac:dyDescent="0.25">
      <c r="A21209" t="s">
        <v>3296</v>
      </c>
      <c r="B21209" t="s">
        <v>2931</v>
      </c>
      <c r="C21209">
        <v>9660</v>
      </c>
      <c r="D21209" t="str">
        <f t="shared" ref="D21209:D21219" si="422">"12527021395 "</f>
        <v xml:space="preserve">12527021395 </v>
      </c>
      <c r="E21209" t="s">
        <v>309</v>
      </c>
      <c r="F21209" t="s">
        <v>310</v>
      </c>
      <c r="G21209">
        <v>3.39</v>
      </c>
      <c r="H21209">
        <v>250630</v>
      </c>
      <c r="I21209">
        <v>4369</v>
      </c>
      <c r="J21209" t="s">
        <v>188</v>
      </c>
      <c r="K21209">
        <v>64.52</v>
      </c>
      <c r="L21209">
        <v>0.69</v>
      </c>
      <c r="M21209">
        <v>51157</v>
      </c>
      <c r="N21209" t="s">
        <v>998</v>
      </c>
      <c r="O21209">
        <v>250724</v>
      </c>
      <c r="P21209">
        <v>2.7</v>
      </c>
    </row>
    <row r="21210" spans="1:16" x14ac:dyDescent="0.25">
      <c r="A21210" t="s">
        <v>3296</v>
      </c>
      <c r="B21210" t="s">
        <v>2931</v>
      </c>
      <c r="C21210">
        <v>9660</v>
      </c>
      <c r="D21210" t="str">
        <f t="shared" si="422"/>
        <v xml:space="preserve">12527021395 </v>
      </c>
      <c r="E21210" t="s">
        <v>309</v>
      </c>
      <c r="F21210" t="s">
        <v>310</v>
      </c>
      <c r="G21210">
        <v>3.39</v>
      </c>
      <c r="H21210">
        <v>250630</v>
      </c>
      <c r="I21210">
        <v>4369</v>
      </c>
      <c r="J21210" t="s">
        <v>188</v>
      </c>
      <c r="K21210">
        <v>64.52</v>
      </c>
      <c r="L21210">
        <v>0.69</v>
      </c>
      <c r="M21210">
        <v>56526</v>
      </c>
      <c r="N21210" t="s">
        <v>506</v>
      </c>
      <c r="O21210">
        <v>250724</v>
      </c>
      <c r="P21210">
        <v>2.7</v>
      </c>
    </row>
    <row r="21211" spans="1:16" x14ac:dyDescent="0.25">
      <c r="A21211" t="s">
        <v>3296</v>
      </c>
      <c r="B21211" t="s">
        <v>2931</v>
      </c>
      <c r="C21211">
        <v>9660</v>
      </c>
      <c r="D21211" t="str">
        <f t="shared" si="422"/>
        <v xml:space="preserve">12527021395 </v>
      </c>
      <c r="E21211" t="s">
        <v>309</v>
      </c>
      <c r="F21211" t="s">
        <v>310</v>
      </c>
      <c r="G21211">
        <v>16.940000000000001</v>
      </c>
      <c r="H21211">
        <v>250630</v>
      </c>
      <c r="I21211">
        <v>4369</v>
      </c>
      <c r="J21211" t="s">
        <v>188</v>
      </c>
      <c r="K21211">
        <v>64.52</v>
      </c>
      <c r="L21211">
        <v>3.44</v>
      </c>
      <c r="M21211">
        <v>56558</v>
      </c>
      <c r="N21211" t="s">
        <v>50</v>
      </c>
      <c r="O21211">
        <v>250724</v>
      </c>
      <c r="P21211">
        <v>13.5</v>
      </c>
    </row>
    <row r="21212" spans="1:16" x14ac:dyDescent="0.25">
      <c r="A21212" t="s">
        <v>3296</v>
      </c>
      <c r="B21212" t="s">
        <v>2931</v>
      </c>
      <c r="C21212">
        <v>9660</v>
      </c>
      <c r="D21212" t="str">
        <f t="shared" si="422"/>
        <v xml:space="preserve">12527021395 </v>
      </c>
      <c r="E21212" t="s">
        <v>309</v>
      </c>
      <c r="F21212" t="s">
        <v>310</v>
      </c>
      <c r="G21212">
        <v>10.3</v>
      </c>
      <c r="H21212">
        <v>250630</v>
      </c>
      <c r="I21212">
        <v>4369</v>
      </c>
      <c r="J21212" t="s">
        <v>188</v>
      </c>
      <c r="K21212">
        <v>64.52</v>
      </c>
      <c r="L21212">
        <v>2.09</v>
      </c>
      <c r="M21212">
        <v>56559</v>
      </c>
      <c r="N21212" t="s">
        <v>51</v>
      </c>
      <c r="O21212">
        <v>250724</v>
      </c>
      <c r="P21212">
        <v>8.2100000000000009</v>
      </c>
    </row>
    <row r="21213" spans="1:16" x14ac:dyDescent="0.25">
      <c r="A21213" t="s">
        <v>3296</v>
      </c>
      <c r="B21213" t="s">
        <v>2931</v>
      </c>
      <c r="C21213">
        <v>9660</v>
      </c>
      <c r="D21213" t="str">
        <f t="shared" si="422"/>
        <v xml:space="preserve">12527021395 </v>
      </c>
      <c r="E21213" t="s">
        <v>309</v>
      </c>
      <c r="F21213" t="s">
        <v>310</v>
      </c>
      <c r="G21213">
        <v>6.78</v>
      </c>
      <c r="H21213">
        <v>250630</v>
      </c>
      <c r="I21213">
        <v>4369</v>
      </c>
      <c r="J21213" t="s">
        <v>188</v>
      </c>
      <c r="K21213">
        <v>64.52</v>
      </c>
      <c r="L21213">
        <v>1.38</v>
      </c>
      <c r="M21213">
        <v>56560</v>
      </c>
      <c r="N21213" t="s">
        <v>52</v>
      </c>
      <c r="O21213">
        <v>250724</v>
      </c>
      <c r="P21213">
        <v>5.4</v>
      </c>
    </row>
    <row r="21214" spans="1:16" x14ac:dyDescent="0.25">
      <c r="A21214" t="s">
        <v>3296</v>
      </c>
      <c r="B21214" t="s">
        <v>2931</v>
      </c>
      <c r="C21214">
        <v>9660</v>
      </c>
      <c r="D21214" t="str">
        <f t="shared" si="422"/>
        <v xml:space="preserve">12527021395 </v>
      </c>
      <c r="E21214" t="s">
        <v>309</v>
      </c>
      <c r="F21214" t="s">
        <v>310</v>
      </c>
      <c r="G21214">
        <v>3.39</v>
      </c>
      <c r="H21214">
        <v>250630</v>
      </c>
      <c r="I21214">
        <v>4369</v>
      </c>
      <c r="J21214" t="s">
        <v>188</v>
      </c>
      <c r="K21214">
        <v>64.52</v>
      </c>
      <c r="L21214">
        <v>0.69</v>
      </c>
      <c r="M21214">
        <v>56561</v>
      </c>
      <c r="N21214" t="s">
        <v>53</v>
      </c>
      <c r="O21214">
        <v>250724</v>
      </c>
      <c r="P21214">
        <v>2.7</v>
      </c>
    </row>
    <row r="21215" spans="1:16" x14ac:dyDescent="0.25">
      <c r="A21215" t="s">
        <v>3296</v>
      </c>
      <c r="B21215" t="s">
        <v>2931</v>
      </c>
      <c r="C21215">
        <v>9660</v>
      </c>
      <c r="D21215" t="str">
        <f t="shared" si="422"/>
        <v xml:space="preserve">12527021395 </v>
      </c>
      <c r="E21215" t="s">
        <v>309</v>
      </c>
      <c r="F21215" t="s">
        <v>310</v>
      </c>
      <c r="G21215">
        <v>6.78</v>
      </c>
      <c r="H21215">
        <v>250630</v>
      </c>
      <c r="I21215">
        <v>4369</v>
      </c>
      <c r="J21215" t="s">
        <v>188</v>
      </c>
      <c r="K21215">
        <v>64.52</v>
      </c>
      <c r="L21215">
        <v>1.38</v>
      </c>
      <c r="M21215">
        <v>56562</v>
      </c>
      <c r="N21215" t="s">
        <v>54</v>
      </c>
      <c r="O21215">
        <v>250724</v>
      </c>
      <c r="P21215">
        <v>5.4</v>
      </c>
    </row>
    <row r="21216" spans="1:16" x14ac:dyDescent="0.25">
      <c r="A21216" t="s">
        <v>3296</v>
      </c>
      <c r="B21216" t="s">
        <v>2931</v>
      </c>
      <c r="C21216">
        <v>9660</v>
      </c>
      <c r="D21216" t="str">
        <f t="shared" si="422"/>
        <v xml:space="preserve">12527021395 </v>
      </c>
      <c r="E21216" t="s">
        <v>309</v>
      </c>
      <c r="F21216" t="s">
        <v>310</v>
      </c>
      <c r="G21216">
        <v>3.39</v>
      </c>
      <c r="H21216">
        <v>250630</v>
      </c>
      <c r="I21216">
        <v>4369</v>
      </c>
      <c r="J21216" t="s">
        <v>188</v>
      </c>
      <c r="K21216">
        <v>64.52</v>
      </c>
      <c r="L21216">
        <v>0.69</v>
      </c>
      <c r="M21216">
        <v>56564</v>
      </c>
      <c r="N21216" t="s">
        <v>56</v>
      </c>
      <c r="O21216">
        <v>250724</v>
      </c>
      <c r="P21216">
        <v>2.7</v>
      </c>
    </row>
    <row r="21217" spans="1:16" x14ac:dyDescent="0.25">
      <c r="A21217" t="s">
        <v>3296</v>
      </c>
      <c r="B21217" t="s">
        <v>2931</v>
      </c>
      <c r="C21217">
        <v>9660</v>
      </c>
      <c r="D21217" t="str">
        <f t="shared" si="422"/>
        <v xml:space="preserve">12527021395 </v>
      </c>
      <c r="E21217" t="s">
        <v>309</v>
      </c>
      <c r="F21217" t="s">
        <v>310</v>
      </c>
      <c r="G21217">
        <v>3.39</v>
      </c>
      <c r="H21217">
        <v>250630</v>
      </c>
      <c r="I21217">
        <v>4369</v>
      </c>
      <c r="J21217" t="s">
        <v>188</v>
      </c>
      <c r="K21217">
        <v>64.52</v>
      </c>
      <c r="L21217">
        <v>0.69</v>
      </c>
      <c r="M21217">
        <v>56565</v>
      </c>
      <c r="N21217" t="s">
        <v>57</v>
      </c>
      <c r="O21217">
        <v>250724</v>
      </c>
      <c r="P21217">
        <v>2.7</v>
      </c>
    </row>
    <row r="21218" spans="1:16" x14ac:dyDescent="0.25">
      <c r="A21218" t="s">
        <v>3296</v>
      </c>
      <c r="B21218" t="s">
        <v>2931</v>
      </c>
      <c r="C21218">
        <v>9660</v>
      </c>
      <c r="D21218" t="str">
        <f t="shared" si="422"/>
        <v xml:space="preserve">12527021395 </v>
      </c>
      <c r="E21218" t="s">
        <v>309</v>
      </c>
      <c r="F21218" t="s">
        <v>310</v>
      </c>
      <c r="G21218">
        <v>3.39</v>
      </c>
      <c r="H21218">
        <v>250630</v>
      </c>
      <c r="I21218">
        <v>4369</v>
      </c>
      <c r="J21218" t="s">
        <v>188</v>
      </c>
      <c r="K21218">
        <v>64.52</v>
      </c>
      <c r="L21218">
        <v>0.69</v>
      </c>
      <c r="M21218">
        <v>56566</v>
      </c>
      <c r="N21218" t="s">
        <v>58</v>
      </c>
      <c r="O21218">
        <v>250724</v>
      </c>
      <c r="P21218">
        <v>2.7</v>
      </c>
    </row>
    <row r="21219" spans="1:16" x14ac:dyDescent="0.25">
      <c r="A21219" t="s">
        <v>3296</v>
      </c>
      <c r="B21219" t="s">
        <v>2931</v>
      </c>
      <c r="C21219">
        <v>9660</v>
      </c>
      <c r="D21219" t="str">
        <f t="shared" si="422"/>
        <v xml:space="preserve">12527021395 </v>
      </c>
      <c r="E21219" t="s">
        <v>309</v>
      </c>
      <c r="F21219" t="s">
        <v>310</v>
      </c>
      <c r="G21219">
        <v>3.38</v>
      </c>
      <c r="H21219">
        <v>250630</v>
      </c>
      <c r="I21219">
        <v>4369</v>
      </c>
      <c r="J21219" t="s">
        <v>188</v>
      </c>
      <c r="K21219">
        <v>64.52</v>
      </c>
      <c r="L21219">
        <v>0.69</v>
      </c>
      <c r="M21219">
        <v>56568</v>
      </c>
      <c r="N21219" t="s">
        <v>354</v>
      </c>
      <c r="O21219">
        <v>250724</v>
      </c>
      <c r="P21219">
        <v>2.69</v>
      </c>
    </row>
    <row r="21220" spans="1:16" x14ac:dyDescent="0.25">
      <c r="A21220" t="s">
        <v>3296</v>
      </c>
      <c r="B21220" t="s">
        <v>2931</v>
      </c>
      <c r="C21220">
        <v>9661</v>
      </c>
      <c r="D21220" t="str">
        <f t="shared" ref="D21220:D21229" si="423">"12527021412 "</f>
        <v xml:space="preserve">12527021412 </v>
      </c>
      <c r="E21220" t="s">
        <v>309</v>
      </c>
      <c r="F21220" t="s">
        <v>310</v>
      </c>
      <c r="G21220">
        <v>16.940000000000001</v>
      </c>
      <c r="H21220">
        <v>250630</v>
      </c>
      <c r="I21220">
        <v>4369</v>
      </c>
      <c r="J21220" t="s">
        <v>188</v>
      </c>
      <c r="K21220">
        <v>111.7</v>
      </c>
      <c r="L21220">
        <v>3.44</v>
      </c>
      <c r="M21220">
        <v>17131</v>
      </c>
      <c r="N21220" t="s">
        <v>154</v>
      </c>
      <c r="O21220">
        <v>250724</v>
      </c>
      <c r="P21220">
        <v>13.5</v>
      </c>
    </row>
    <row r="21221" spans="1:16" x14ac:dyDescent="0.25">
      <c r="A21221" t="s">
        <v>3296</v>
      </c>
      <c r="B21221" t="s">
        <v>2931</v>
      </c>
      <c r="C21221">
        <v>9661</v>
      </c>
      <c r="D21221" t="str">
        <f t="shared" si="423"/>
        <v xml:space="preserve">12527021412 </v>
      </c>
      <c r="E21221" t="s">
        <v>309</v>
      </c>
      <c r="F21221" t="s">
        <v>310</v>
      </c>
      <c r="G21221">
        <v>13.55</v>
      </c>
      <c r="H21221">
        <v>250630</v>
      </c>
      <c r="I21221">
        <v>4369</v>
      </c>
      <c r="J21221" t="s">
        <v>188</v>
      </c>
      <c r="K21221">
        <v>111.7</v>
      </c>
      <c r="L21221">
        <v>2.75</v>
      </c>
      <c r="M21221">
        <v>17711</v>
      </c>
      <c r="N21221" t="s">
        <v>155</v>
      </c>
      <c r="O21221">
        <v>250724</v>
      </c>
      <c r="P21221">
        <v>10.8</v>
      </c>
    </row>
    <row r="21222" spans="1:16" x14ac:dyDescent="0.25">
      <c r="A21222" t="s">
        <v>3296</v>
      </c>
      <c r="B21222" t="s">
        <v>2931</v>
      </c>
      <c r="C21222">
        <v>9661</v>
      </c>
      <c r="D21222" t="str">
        <f t="shared" si="423"/>
        <v xml:space="preserve">12527021412 </v>
      </c>
      <c r="E21222" t="s">
        <v>309</v>
      </c>
      <c r="F21222" t="s">
        <v>310</v>
      </c>
      <c r="G21222">
        <v>6.83</v>
      </c>
      <c r="H21222">
        <v>250630</v>
      </c>
      <c r="I21222">
        <v>4369</v>
      </c>
      <c r="J21222" t="s">
        <v>188</v>
      </c>
      <c r="K21222">
        <v>111.7</v>
      </c>
      <c r="L21222">
        <v>1.39</v>
      </c>
      <c r="M21222">
        <v>17737</v>
      </c>
      <c r="N21222" t="s">
        <v>156</v>
      </c>
      <c r="O21222">
        <v>250724</v>
      </c>
      <c r="P21222">
        <v>5.44</v>
      </c>
    </row>
    <row r="21223" spans="1:16" x14ac:dyDescent="0.25">
      <c r="A21223" t="s">
        <v>3296</v>
      </c>
      <c r="B21223" t="s">
        <v>2931</v>
      </c>
      <c r="C21223">
        <v>9661</v>
      </c>
      <c r="D21223" t="str">
        <f t="shared" si="423"/>
        <v xml:space="preserve">12527021412 </v>
      </c>
      <c r="E21223" t="s">
        <v>309</v>
      </c>
      <c r="F21223" t="s">
        <v>310</v>
      </c>
      <c r="G21223">
        <v>20.53</v>
      </c>
      <c r="H21223">
        <v>250630</v>
      </c>
      <c r="I21223">
        <v>4369</v>
      </c>
      <c r="J21223" t="s">
        <v>188</v>
      </c>
      <c r="K21223">
        <v>111.7</v>
      </c>
      <c r="L21223">
        <v>4.17</v>
      </c>
      <c r="M21223">
        <v>17737</v>
      </c>
      <c r="N21223" t="s">
        <v>156</v>
      </c>
      <c r="O21223">
        <v>250724</v>
      </c>
      <c r="P21223">
        <v>16.36</v>
      </c>
    </row>
    <row r="21224" spans="1:16" x14ac:dyDescent="0.25">
      <c r="A21224" t="s">
        <v>3296</v>
      </c>
      <c r="B21224" t="s">
        <v>2931</v>
      </c>
      <c r="C21224">
        <v>9661</v>
      </c>
      <c r="D21224" t="str">
        <f t="shared" si="423"/>
        <v xml:space="preserve">12527021412 </v>
      </c>
      <c r="E21224" t="s">
        <v>309</v>
      </c>
      <c r="F21224" t="s">
        <v>310</v>
      </c>
      <c r="G21224">
        <v>16.75</v>
      </c>
      <c r="H21224">
        <v>250630</v>
      </c>
      <c r="I21224">
        <v>4369</v>
      </c>
      <c r="J21224" t="s">
        <v>188</v>
      </c>
      <c r="K21224">
        <v>111.7</v>
      </c>
      <c r="L21224">
        <v>3.4</v>
      </c>
      <c r="M21224">
        <v>17737</v>
      </c>
      <c r="N21224" t="s">
        <v>156</v>
      </c>
      <c r="O21224">
        <v>250724</v>
      </c>
      <c r="P21224">
        <v>13.35</v>
      </c>
    </row>
    <row r="21225" spans="1:16" x14ac:dyDescent="0.25">
      <c r="A21225" t="s">
        <v>3296</v>
      </c>
      <c r="B21225" t="s">
        <v>2931</v>
      </c>
      <c r="C21225">
        <v>9661</v>
      </c>
      <c r="D21225" t="str">
        <f t="shared" si="423"/>
        <v xml:space="preserve">12527021412 </v>
      </c>
      <c r="E21225" t="s">
        <v>309</v>
      </c>
      <c r="F21225" t="s">
        <v>310</v>
      </c>
      <c r="G21225">
        <v>3.39</v>
      </c>
      <c r="H21225">
        <v>250630</v>
      </c>
      <c r="I21225">
        <v>4369</v>
      </c>
      <c r="J21225" t="s">
        <v>188</v>
      </c>
      <c r="K21225">
        <v>111.7</v>
      </c>
      <c r="L21225">
        <v>0.69</v>
      </c>
      <c r="M21225">
        <v>17912</v>
      </c>
      <c r="N21225" t="s">
        <v>505</v>
      </c>
      <c r="O21225">
        <v>250724</v>
      </c>
      <c r="P21225">
        <v>2.7</v>
      </c>
    </row>
    <row r="21226" spans="1:16" x14ac:dyDescent="0.25">
      <c r="A21226" t="s">
        <v>3296</v>
      </c>
      <c r="B21226" t="s">
        <v>2931</v>
      </c>
      <c r="C21226">
        <v>9661</v>
      </c>
      <c r="D21226" t="str">
        <f t="shared" si="423"/>
        <v xml:space="preserve">12527021412 </v>
      </c>
      <c r="E21226" t="s">
        <v>309</v>
      </c>
      <c r="F21226" t="s">
        <v>310</v>
      </c>
      <c r="G21226">
        <v>3.39</v>
      </c>
      <c r="H21226">
        <v>250630</v>
      </c>
      <c r="I21226">
        <v>4369</v>
      </c>
      <c r="J21226" t="s">
        <v>188</v>
      </c>
      <c r="K21226">
        <v>111.7</v>
      </c>
      <c r="L21226">
        <v>0.69</v>
      </c>
      <c r="M21226">
        <v>17915</v>
      </c>
      <c r="N21226" t="s">
        <v>305</v>
      </c>
      <c r="O21226">
        <v>250724</v>
      </c>
      <c r="P21226">
        <v>2.7</v>
      </c>
    </row>
    <row r="21227" spans="1:16" x14ac:dyDescent="0.25">
      <c r="A21227" t="s">
        <v>3296</v>
      </c>
      <c r="B21227" t="s">
        <v>2931</v>
      </c>
      <c r="C21227">
        <v>9661</v>
      </c>
      <c r="D21227" t="str">
        <f t="shared" si="423"/>
        <v xml:space="preserve">12527021412 </v>
      </c>
      <c r="E21227" t="s">
        <v>309</v>
      </c>
      <c r="F21227" t="s">
        <v>310</v>
      </c>
      <c r="G21227">
        <v>13.57</v>
      </c>
      <c r="H21227">
        <v>250630</v>
      </c>
      <c r="I21227">
        <v>4369</v>
      </c>
      <c r="J21227" t="s">
        <v>188</v>
      </c>
      <c r="K21227">
        <v>111.7</v>
      </c>
      <c r="L21227">
        <v>2.76</v>
      </c>
      <c r="M21227">
        <v>17952</v>
      </c>
      <c r="N21227" t="s">
        <v>157</v>
      </c>
      <c r="O21227">
        <v>250724</v>
      </c>
      <c r="P21227">
        <v>10.81</v>
      </c>
    </row>
    <row r="21228" spans="1:16" x14ac:dyDescent="0.25">
      <c r="A21228" t="s">
        <v>3296</v>
      </c>
      <c r="B21228" t="s">
        <v>2931</v>
      </c>
      <c r="C21228">
        <v>9661</v>
      </c>
      <c r="D21228" t="str">
        <f t="shared" si="423"/>
        <v xml:space="preserve">12527021412 </v>
      </c>
      <c r="E21228" t="s">
        <v>309</v>
      </c>
      <c r="F21228" t="s">
        <v>310</v>
      </c>
      <c r="G21228">
        <v>9.68</v>
      </c>
      <c r="H21228">
        <v>250630</v>
      </c>
      <c r="I21228">
        <v>4369</v>
      </c>
      <c r="J21228" t="s">
        <v>188</v>
      </c>
      <c r="K21228">
        <v>111.7</v>
      </c>
      <c r="L21228">
        <v>1.97</v>
      </c>
      <c r="M21228">
        <v>17971</v>
      </c>
      <c r="N21228" t="s">
        <v>27</v>
      </c>
      <c r="O21228">
        <v>250724</v>
      </c>
      <c r="P21228">
        <v>7.71</v>
      </c>
    </row>
    <row r="21229" spans="1:16" x14ac:dyDescent="0.25">
      <c r="A21229" t="s">
        <v>3296</v>
      </c>
      <c r="B21229" t="s">
        <v>2931</v>
      </c>
      <c r="C21229">
        <v>9661</v>
      </c>
      <c r="D21229" t="str">
        <f t="shared" si="423"/>
        <v xml:space="preserve">12527021412 </v>
      </c>
      <c r="E21229" t="s">
        <v>309</v>
      </c>
      <c r="F21229" t="s">
        <v>310</v>
      </c>
      <c r="G21229">
        <v>7.07</v>
      </c>
      <c r="H21229">
        <v>250630</v>
      </c>
      <c r="I21229">
        <v>4369</v>
      </c>
      <c r="J21229" t="s">
        <v>188</v>
      </c>
      <c r="K21229">
        <v>111.7</v>
      </c>
      <c r="L21229">
        <v>1.44</v>
      </c>
      <c r="M21229">
        <v>17972</v>
      </c>
      <c r="N21229" t="s">
        <v>28</v>
      </c>
      <c r="O21229">
        <v>250724</v>
      </c>
      <c r="P21229">
        <v>5.63</v>
      </c>
    </row>
    <row r="21230" spans="1:16" x14ac:dyDescent="0.25">
      <c r="A21230" t="s">
        <v>3296</v>
      </c>
      <c r="B21230" t="s">
        <v>2931</v>
      </c>
      <c r="C21230">
        <v>9662</v>
      </c>
      <c r="D21230" t="str">
        <f>"12527021429 "</f>
        <v xml:space="preserve">12527021429 </v>
      </c>
      <c r="E21230" t="s">
        <v>309</v>
      </c>
      <c r="F21230" t="s">
        <v>310</v>
      </c>
      <c r="G21230">
        <v>54.4</v>
      </c>
      <c r="H21230">
        <v>250630</v>
      </c>
      <c r="I21230">
        <v>4369</v>
      </c>
      <c r="J21230" t="s">
        <v>188</v>
      </c>
      <c r="K21230">
        <v>54.4</v>
      </c>
      <c r="L21230">
        <v>11.05</v>
      </c>
      <c r="M21230">
        <v>10002</v>
      </c>
      <c r="N21230" t="s">
        <v>513</v>
      </c>
      <c r="O21230">
        <v>250724</v>
      </c>
      <c r="P21230">
        <v>43.35</v>
      </c>
    </row>
    <row r="21231" spans="1:16" x14ac:dyDescent="0.25">
      <c r="A21231" t="s">
        <v>3296</v>
      </c>
      <c r="B21231" t="s">
        <v>2931</v>
      </c>
      <c r="C21231">
        <v>9663</v>
      </c>
      <c r="D21231" t="str">
        <f>"12527021401 "</f>
        <v xml:space="preserve">12527021401 </v>
      </c>
      <c r="E21231" t="s">
        <v>309</v>
      </c>
      <c r="F21231" t="s">
        <v>310</v>
      </c>
      <c r="G21231">
        <v>17.71</v>
      </c>
      <c r="H21231">
        <v>250630</v>
      </c>
      <c r="I21231">
        <v>4369</v>
      </c>
      <c r="J21231" t="s">
        <v>188</v>
      </c>
      <c r="K21231">
        <v>31.26</v>
      </c>
      <c r="L21231">
        <v>3.6</v>
      </c>
      <c r="M21231">
        <v>46554</v>
      </c>
      <c r="N21231" t="s">
        <v>102</v>
      </c>
      <c r="O21231">
        <v>250724</v>
      </c>
      <c r="P21231">
        <v>14.11</v>
      </c>
    </row>
    <row r="21232" spans="1:16" x14ac:dyDescent="0.25">
      <c r="A21232" t="s">
        <v>3296</v>
      </c>
      <c r="B21232" t="s">
        <v>2931</v>
      </c>
      <c r="C21232">
        <v>9663</v>
      </c>
      <c r="D21232" t="str">
        <f>"12527021401 "</f>
        <v xml:space="preserve">12527021401 </v>
      </c>
      <c r="E21232" t="s">
        <v>309</v>
      </c>
      <c r="F21232" t="s">
        <v>310</v>
      </c>
      <c r="G21232">
        <v>13.55</v>
      </c>
      <c r="H21232">
        <v>250630</v>
      </c>
      <c r="I21232">
        <v>4369</v>
      </c>
      <c r="J21232" t="s">
        <v>188</v>
      </c>
      <c r="K21232">
        <v>31.26</v>
      </c>
      <c r="L21232">
        <v>2.75</v>
      </c>
      <c r="M21232">
        <v>46554</v>
      </c>
      <c r="N21232" t="s">
        <v>102</v>
      </c>
      <c r="O21232">
        <v>250724</v>
      </c>
      <c r="P21232">
        <v>10.8</v>
      </c>
    </row>
    <row r="21233" spans="1:16" x14ac:dyDescent="0.25">
      <c r="A21233" t="s">
        <v>3296</v>
      </c>
      <c r="B21233" t="s">
        <v>2931</v>
      </c>
      <c r="C21233">
        <v>9665</v>
      </c>
      <c r="D21233" t="str">
        <f t="shared" ref="D21233:D21239" si="424">"12527021393 "</f>
        <v xml:space="preserve">12527021393 </v>
      </c>
      <c r="E21233" t="s">
        <v>309</v>
      </c>
      <c r="F21233" t="s">
        <v>310</v>
      </c>
      <c r="G21233">
        <v>23.72</v>
      </c>
      <c r="H21233">
        <v>250630</v>
      </c>
      <c r="I21233">
        <v>4369</v>
      </c>
      <c r="J21233" t="s">
        <v>188</v>
      </c>
      <c r="K21233">
        <v>54.22</v>
      </c>
      <c r="L21233">
        <v>4.82</v>
      </c>
      <c r="M21233">
        <v>54222</v>
      </c>
      <c r="N21233" t="s">
        <v>48</v>
      </c>
      <c r="O21233">
        <v>250724</v>
      </c>
      <c r="P21233">
        <v>18.899999999999999</v>
      </c>
    </row>
    <row r="21234" spans="1:16" x14ac:dyDescent="0.25">
      <c r="A21234" t="s">
        <v>3296</v>
      </c>
      <c r="B21234" t="s">
        <v>2931</v>
      </c>
      <c r="C21234">
        <v>9665</v>
      </c>
      <c r="D21234" t="str">
        <f t="shared" si="424"/>
        <v xml:space="preserve">12527021393 </v>
      </c>
      <c r="E21234" t="s">
        <v>309</v>
      </c>
      <c r="F21234" t="s">
        <v>310</v>
      </c>
      <c r="G21234">
        <v>3.39</v>
      </c>
      <c r="H21234">
        <v>250630</v>
      </c>
      <c r="I21234">
        <v>4369</v>
      </c>
      <c r="J21234" t="s">
        <v>188</v>
      </c>
      <c r="K21234">
        <v>54.22</v>
      </c>
      <c r="L21234">
        <v>0.69</v>
      </c>
      <c r="M21234">
        <v>54251</v>
      </c>
      <c r="N21234" t="s">
        <v>485</v>
      </c>
      <c r="O21234">
        <v>250724</v>
      </c>
      <c r="P21234">
        <v>2.7</v>
      </c>
    </row>
    <row r="21235" spans="1:16" x14ac:dyDescent="0.25">
      <c r="A21235" t="s">
        <v>3296</v>
      </c>
      <c r="B21235" t="s">
        <v>2931</v>
      </c>
      <c r="C21235">
        <v>9665</v>
      </c>
      <c r="D21235" t="str">
        <f t="shared" si="424"/>
        <v xml:space="preserve">12527021393 </v>
      </c>
      <c r="E21235" t="s">
        <v>309</v>
      </c>
      <c r="F21235" t="s">
        <v>310</v>
      </c>
      <c r="G21235">
        <v>3.39</v>
      </c>
      <c r="H21235">
        <v>250630</v>
      </c>
      <c r="I21235">
        <v>4369</v>
      </c>
      <c r="J21235" t="s">
        <v>188</v>
      </c>
      <c r="K21235">
        <v>54.22</v>
      </c>
      <c r="L21235">
        <v>0.69</v>
      </c>
      <c r="M21235">
        <v>54252</v>
      </c>
      <c r="N21235" t="s">
        <v>742</v>
      </c>
      <c r="O21235">
        <v>250724</v>
      </c>
      <c r="P21235">
        <v>2.7</v>
      </c>
    </row>
    <row r="21236" spans="1:16" x14ac:dyDescent="0.25">
      <c r="A21236" t="s">
        <v>3296</v>
      </c>
      <c r="B21236" t="s">
        <v>2931</v>
      </c>
      <c r="C21236">
        <v>9665</v>
      </c>
      <c r="D21236" t="str">
        <f t="shared" si="424"/>
        <v xml:space="preserve">12527021393 </v>
      </c>
      <c r="E21236" t="s">
        <v>309</v>
      </c>
      <c r="F21236" t="s">
        <v>310</v>
      </c>
      <c r="G21236">
        <v>6.78</v>
      </c>
      <c r="H21236">
        <v>250630</v>
      </c>
      <c r="I21236">
        <v>4369</v>
      </c>
      <c r="J21236" t="s">
        <v>188</v>
      </c>
      <c r="K21236">
        <v>54.22</v>
      </c>
      <c r="L21236">
        <v>1.38</v>
      </c>
      <c r="M21236">
        <v>54422</v>
      </c>
      <c r="N21236" t="s">
        <v>49</v>
      </c>
      <c r="O21236">
        <v>250724</v>
      </c>
      <c r="P21236">
        <v>5.4</v>
      </c>
    </row>
    <row r="21237" spans="1:16" x14ac:dyDescent="0.25">
      <c r="A21237" t="s">
        <v>3296</v>
      </c>
      <c r="B21237" t="s">
        <v>2931</v>
      </c>
      <c r="C21237">
        <v>9665</v>
      </c>
      <c r="D21237" t="str">
        <f t="shared" si="424"/>
        <v xml:space="preserve">12527021393 </v>
      </c>
      <c r="E21237" t="s">
        <v>309</v>
      </c>
      <c r="F21237" t="s">
        <v>310</v>
      </c>
      <c r="G21237">
        <v>6.78</v>
      </c>
      <c r="H21237">
        <v>250630</v>
      </c>
      <c r="I21237">
        <v>4369</v>
      </c>
      <c r="J21237" t="s">
        <v>188</v>
      </c>
      <c r="K21237">
        <v>54.22</v>
      </c>
      <c r="L21237">
        <v>1.38</v>
      </c>
      <c r="M21237">
        <v>54451</v>
      </c>
      <c r="N21237" t="s">
        <v>218</v>
      </c>
      <c r="O21237">
        <v>250724</v>
      </c>
      <c r="P21237">
        <v>5.4</v>
      </c>
    </row>
    <row r="21238" spans="1:16" x14ac:dyDescent="0.25">
      <c r="A21238" t="s">
        <v>3296</v>
      </c>
      <c r="B21238" t="s">
        <v>2931</v>
      </c>
      <c r="C21238">
        <v>9665</v>
      </c>
      <c r="D21238" t="str">
        <f t="shared" si="424"/>
        <v xml:space="preserve">12527021393 </v>
      </c>
      <c r="E21238" t="s">
        <v>309</v>
      </c>
      <c r="F21238" t="s">
        <v>310</v>
      </c>
      <c r="G21238">
        <v>6.78</v>
      </c>
      <c r="H21238">
        <v>250630</v>
      </c>
      <c r="I21238">
        <v>4369</v>
      </c>
      <c r="J21238" t="s">
        <v>188</v>
      </c>
      <c r="K21238">
        <v>54.22</v>
      </c>
      <c r="L21238">
        <v>1.38</v>
      </c>
      <c r="M21238">
        <v>56563</v>
      </c>
      <c r="N21238" t="s">
        <v>55</v>
      </c>
      <c r="O21238">
        <v>250724</v>
      </c>
      <c r="P21238">
        <v>5.4</v>
      </c>
    </row>
    <row r="21239" spans="1:16" x14ac:dyDescent="0.25">
      <c r="A21239" t="s">
        <v>3296</v>
      </c>
      <c r="B21239" t="s">
        <v>2931</v>
      </c>
      <c r="C21239">
        <v>9665</v>
      </c>
      <c r="D21239" t="str">
        <f t="shared" si="424"/>
        <v xml:space="preserve">12527021393 </v>
      </c>
      <c r="E21239" t="s">
        <v>309</v>
      </c>
      <c r="F21239" t="s">
        <v>310</v>
      </c>
      <c r="G21239">
        <v>3.38</v>
      </c>
      <c r="H21239">
        <v>250630</v>
      </c>
      <c r="I21239">
        <v>4369</v>
      </c>
      <c r="J21239" t="s">
        <v>188</v>
      </c>
      <c r="K21239">
        <v>54.22</v>
      </c>
      <c r="L21239">
        <v>0.69</v>
      </c>
      <c r="M21239">
        <v>58601</v>
      </c>
      <c r="N21239" t="s">
        <v>59</v>
      </c>
      <c r="O21239">
        <v>250724</v>
      </c>
      <c r="P21239">
        <v>2.69</v>
      </c>
    </row>
    <row r="21240" spans="1:16" x14ac:dyDescent="0.25">
      <c r="A21240" t="s">
        <v>3296</v>
      </c>
      <c r="B21240" t="s">
        <v>2931</v>
      </c>
      <c r="C21240">
        <v>9666</v>
      </c>
      <c r="D21240" t="str">
        <f>"12527021402 "</f>
        <v xml:space="preserve">12527021402 </v>
      </c>
      <c r="E21240" t="s">
        <v>309</v>
      </c>
      <c r="F21240" t="s">
        <v>310</v>
      </c>
      <c r="G21240">
        <v>3.39</v>
      </c>
      <c r="H21240">
        <v>250630</v>
      </c>
      <c r="I21240">
        <v>4369</v>
      </c>
      <c r="J21240" t="s">
        <v>188</v>
      </c>
      <c r="K21240">
        <v>37.159999999999997</v>
      </c>
      <c r="L21240">
        <v>0.69</v>
      </c>
      <c r="M21240">
        <v>48601</v>
      </c>
      <c r="N21240" t="s">
        <v>107</v>
      </c>
      <c r="O21240">
        <v>250724</v>
      </c>
      <c r="P21240">
        <v>2.7</v>
      </c>
    </row>
    <row r="21241" spans="1:16" x14ac:dyDescent="0.25">
      <c r="A21241" t="s">
        <v>3296</v>
      </c>
      <c r="B21241" t="s">
        <v>2931</v>
      </c>
      <c r="C21241">
        <v>9666</v>
      </c>
      <c r="D21241" t="str">
        <f>"12527021402 "</f>
        <v xml:space="preserve">12527021402 </v>
      </c>
      <c r="E21241" t="s">
        <v>309</v>
      </c>
      <c r="F21241" t="s">
        <v>310</v>
      </c>
      <c r="G21241">
        <v>3.39</v>
      </c>
      <c r="H21241">
        <v>250630</v>
      </c>
      <c r="I21241">
        <v>4369</v>
      </c>
      <c r="J21241" t="s">
        <v>188</v>
      </c>
      <c r="K21241">
        <v>37.159999999999997</v>
      </c>
      <c r="L21241">
        <v>0.69</v>
      </c>
      <c r="M21241">
        <v>49111</v>
      </c>
      <c r="N21241" t="s">
        <v>108</v>
      </c>
      <c r="O21241">
        <v>250724</v>
      </c>
      <c r="P21241">
        <v>2.7</v>
      </c>
    </row>
    <row r="21242" spans="1:16" x14ac:dyDescent="0.25">
      <c r="A21242" t="s">
        <v>3296</v>
      </c>
      <c r="B21242" t="s">
        <v>2931</v>
      </c>
      <c r="C21242">
        <v>9666</v>
      </c>
      <c r="D21242" t="str">
        <f>"12527021402 "</f>
        <v xml:space="preserve">12527021402 </v>
      </c>
      <c r="E21242" t="s">
        <v>309</v>
      </c>
      <c r="F21242" t="s">
        <v>310</v>
      </c>
      <c r="G21242">
        <v>10.050000000000001</v>
      </c>
      <c r="H21242">
        <v>250630</v>
      </c>
      <c r="I21242">
        <v>4369</v>
      </c>
      <c r="J21242" t="s">
        <v>188</v>
      </c>
      <c r="K21242">
        <v>37.159999999999997</v>
      </c>
      <c r="L21242">
        <v>2.04</v>
      </c>
      <c r="M21242">
        <v>49704</v>
      </c>
      <c r="N21242" t="s">
        <v>113</v>
      </c>
      <c r="O21242">
        <v>250724</v>
      </c>
      <c r="P21242">
        <v>8.01</v>
      </c>
    </row>
    <row r="21243" spans="1:16" x14ac:dyDescent="0.25">
      <c r="A21243" t="s">
        <v>3296</v>
      </c>
      <c r="B21243" t="s">
        <v>2931</v>
      </c>
      <c r="C21243">
        <v>9666</v>
      </c>
      <c r="D21243" t="str">
        <f>"12527021402 "</f>
        <v xml:space="preserve">12527021402 </v>
      </c>
      <c r="E21243" t="s">
        <v>309</v>
      </c>
      <c r="F21243" t="s">
        <v>310</v>
      </c>
      <c r="G21243">
        <v>20.329999999999998</v>
      </c>
      <c r="H21243">
        <v>250630</v>
      </c>
      <c r="I21243">
        <v>4369</v>
      </c>
      <c r="J21243" t="s">
        <v>188</v>
      </c>
      <c r="K21243">
        <v>37.159999999999997</v>
      </c>
      <c r="L21243">
        <v>4.13</v>
      </c>
      <c r="M21243">
        <v>49705</v>
      </c>
      <c r="N21243" t="s">
        <v>114</v>
      </c>
      <c r="O21243">
        <v>250724</v>
      </c>
      <c r="P21243">
        <v>16.2</v>
      </c>
    </row>
    <row r="21244" spans="1:16" x14ac:dyDescent="0.25">
      <c r="A21244" t="s">
        <v>3296</v>
      </c>
      <c r="B21244" t="s">
        <v>2931</v>
      </c>
      <c r="C21244">
        <v>9667</v>
      </c>
      <c r="D21244" t="str">
        <f>"12527021408 "</f>
        <v xml:space="preserve">12527021408 </v>
      </c>
      <c r="E21244" t="s">
        <v>309</v>
      </c>
      <c r="F21244" t="s">
        <v>310</v>
      </c>
      <c r="G21244">
        <v>3.61</v>
      </c>
      <c r="H21244">
        <v>250630</v>
      </c>
      <c r="I21244">
        <v>4369</v>
      </c>
      <c r="J21244" t="s">
        <v>188</v>
      </c>
      <c r="K21244">
        <v>3.61</v>
      </c>
      <c r="L21244">
        <v>0.73</v>
      </c>
      <c r="M21244">
        <v>11900</v>
      </c>
      <c r="N21244" t="s">
        <v>30</v>
      </c>
      <c r="O21244">
        <v>250724</v>
      </c>
      <c r="P21244">
        <v>2.88</v>
      </c>
    </row>
    <row r="21245" spans="1:16" x14ac:dyDescent="0.25">
      <c r="A21245" t="s">
        <v>3296</v>
      </c>
      <c r="B21245" t="s">
        <v>2931</v>
      </c>
      <c r="C21245">
        <v>9668</v>
      </c>
      <c r="D21245" t="str">
        <f>"12527021405 "</f>
        <v xml:space="preserve">12527021405 </v>
      </c>
      <c r="E21245" t="s">
        <v>309</v>
      </c>
      <c r="F21245" t="s">
        <v>310</v>
      </c>
      <c r="G21245">
        <v>6.59</v>
      </c>
      <c r="H21245">
        <v>250630</v>
      </c>
      <c r="I21245">
        <v>4369</v>
      </c>
      <c r="J21245" t="s">
        <v>188</v>
      </c>
      <c r="K21245">
        <v>43.11</v>
      </c>
      <c r="L21245">
        <v>1.34</v>
      </c>
      <c r="M21245">
        <v>44222</v>
      </c>
      <c r="N21245" t="s">
        <v>96</v>
      </c>
      <c r="O21245">
        <v>250724</v>
      </c>
      <c r="P21245">
        <v>5.25</v>
      </c>
    </row>
    <row r="21246" spans="1:16" x14ac:dyDescent="0.25">
      <c r="A21246" t="s">
        <v>3296</v>
      </c>
      <c r="B21246" t="s">
        <v>2931</v>
      </c>
      <c r="C21246">
        <v>9668</v>
      </c>
      <c r="D21246" t="str">
        <f>"12527021405 "</f>
        <v xml:space="preserve">12527021405 </v>
      </c>
      <c r="E21246" t="s">
        <v>309</v>
      </c>
      <c r="F21246" t="s">
        <v>310</v>
      </c>
      <c r="G21246">
        <v>23.34</v>
      </c>
      <c r="H21246">
        <v>250630</v>
      </c>
      <c r="I21246">
        <v>4369</v>
      </c>
      <c r="J21246" t="s">
        <v>188</v>
      </c>
      <c r="K21246">
        <v>43.11</v>
      </c>
      <c r="L21246">
        <v>4.74</v>
      </c>
      <c r="M21246">
        <v>44222</v>
      </c>
      <c r="N21246" t="s">
        <v>96</v>
      </c>
      <c r="O21246">
        <v>250724</v>
      </c>
      <c r="P21246">
        <v>18.600000000000001</v>
      </c>
    </row>
    <row r="21247" spans="1:16" x14ac:dyDescent="0.25">
      <c r="A21247" t="s">
        <v>3296</v>
      </c>
      <c r="B21247" t="s">
        <v>2931</v>
      </c>
      <c r="C21247">
        <v>9668</v>
      </c>
      <c r="D21247" t="str">
        <f>"12527021405 "</f>
        <v xml:space="preserve">12527021405 </v>
      </c>
      <c r="E21247" t="s">
        <v>309</v>
      </c>
      <c r="F21247" t="s">
        <v>310</v>
      </c>
      <c r="G21247">
        <v>3.39</v>
      </c>
      <c r="H21247">
        <v>250630</v>
      </c>
      <c r="I21247">
        <v>4369</v>
      </c>
      <c r="J21247" t="s">
        <v>188</v>
      </c>
      <c r="K21247">
        <v>43.11</v>
      </c>
      <c r="L21247">
        <v>0.69</v>
      </c>
      <c r="M21247">
        <v>44251</v>
      </c>
      <c r="N21247" t="s">
        <v>215</v>
      </c>
      <c r="O21247">
        <v>250724</v>
      </c>
      <c r="P21247">
        <v>2.7</v>
      </c>
    </row>
    <row r="21248" spans="1:16" x14ac:dyDescent="0.25">
      <c r="A21248" t="s">
        <v>3296</v>
      </c>
      <c r="B21248" t="s">
        <v>2931</v>
      </c>
      <c r="C21248">
        <v>9668</v>
      </c>
      <c r="D21248" t="str">
        <f>"12527021405 "</f>
        <v xml:space="preserve">12527021405 </v>
      </c>
      <c r="E21248" t="s">
        <v>309</v>
      </c>
      <c r="F21248" t="s">
        <v>310</v>
      </c>
      <c r="G21248">
        <v>3.2</v>
      </c>
      <c r="H21248">
        <v>250630</v>
      </c>
      <c r="I21248">
        <v>4369</v>
      </c>
      <c r="J21248" t="s">
        <v>188</v>
      </c>
      <c r="K21248">
        <v>43.11</v>
      </c>
      <c r="L21248">
        <v>0.65</v>
      </c>
      <c r="M21248">
        <v>44253</v>
      </c>
      <c r="N21248" t="s">
        <v>403</v>
      </c>
      <c r="O21248">
        <v>250724</v>
      </c>
      <c r="P21248">
        <v>2.5499999999999998</v>
      </c>
    </row>
    <row r="21249" spans="1:16" x14ac:dyDescent="0.25">
      <c r="A21249" t="s">
        <v>3296</v>
      </c>
      <c r="B21249" t="s">
        <v>2931</v>
      </c>
      <c r="C21249">
        <v>9668</v>
      </c>
      <c r="D21249" t="str">
        <f>"12527021405 "</f>
        <v xml:space="preserve">12527021405 </v>
      </c>
      <c r="E21249" t="s">
        <v>309</v>
      </c>
      <c r="F21249" t="s">
        <v>310</v>
      </c>
      <c r="G21249">
        <v>6.59</v>
      </c>
      <c r="H21249">
        <v>250630</v>
      </c>
      <c r="I21249">
        <v>4369</v>
      </c>
      <c r="J21249" t="s">
        <v>188</v>
      </c>
      <c r="K21249">
        <v>43.11</v>
      </c>
      <c r="L21249">
        <v>1.34</v>
      </c>
      <c r="M21249">
        <v>49702</v>
      </c>
      <c r="N21249" t="s">
        <v>112</v>
      </c>
      <c r="O21249">
        <v>250724</v>
      </c>
      <c r="P21249">
        <v>5.25</v>
      </c>
    </row>
    <row r="21250" spans="1:16" x14ac:dyDescent="0.25">
      <c r="A21250" t="s">
        <v>3296</v>
      </c>
      <c r="B21250" t="s">
        <v>2931</v>
      </c>
      <c r="C21250">
        <v>9669</v>
      </c>
      <c r="D21250" t="str">
        <f>"12527021390 "</f>
        <v xml:space="preserve">12527021390 </v>
      </c>
      <c r="E21250" t="s">
        <v>309</v>
      </c>
      <c r="F21250" t="s">
        <v>310</v>
      </c>
      <c r="G21250">
        <v>3.39</v>
      </c>
      <c r="H21250">
        <v>250630</v>
      </c>
      <c r="I21250">
        <v>4369</v>
      </c>
      <c r="J21250" t="s">
        <v>188</v>
      </c>
      <c r="K21250">
        <v>30.12</v>
      </c>
      <c r="L21250">
        <v>0.69</v>
      </c>
      <c r="M21250">
        <v>56522</v>
      </c>
      <c r="N21250" t="s">
        <v>68</v>
      </c>
      <c r="O21250">
        <v>250724</v>
      </c>
      <c r="P21250">
        <v>2.7</v>
      </c>
    </row>
    <row r="21251" spans="1:16" x14ac:dyDescent="0.25">
      <c r="A21251" t="s">
        <v>3296</v>
      </c>
      <c r="B21251" t="s">
        <v>2931</v>
      </c>
      <c r="C21251">
        <v>9669</v>
      </c>
      <c r="D21251" t="str">
        <f>"12527021390 "</f>
        <v xml:space="preserve">12527021390 </v>
      </c>
      <c r="E21251" t="s">
        <v>309</v>
      </c>
      <c r="F21251" t="s">
        <v>310</v>
      </c>
      <c r="G21251">
        <v>13.18</v>
      </c>
      <c r="H21251">
        <v>250630</v>
      </c>
      <c r="I21251">
        <v>4369</v>
      </c>
      <c r="J21251" t="s">
        <v>188</v>
      </c>
      <c r="K21251">
        <v>30.12</v>
      </c>
      <c r="L21251">
        <v>2.68</v>
      </c>
      <c r="M21251">
        <v>56524</v>
      </c>
      <c r="N21251" t="s">
        <v>69</v>
      </c>
      <c r="O21251">
        <v>250724</v>
      </c>
      <c r="P21251">
        <v>10.5</v>
      </c>
    </row>
    <row r="21252" spans="1:16" x14ac:dyDescent="0.25">
      <c r="A21252" t="s">
        <v>3296</v>
      </c>
      <c r="B21252" t="s">
        <v>2931</v>
      </c>
      <c r="C21252">
        <v>9669</v>
      </c>
      <c r="D21252" t="str">
        <f>"12527021390 "</f>
        <v xml:space="preserve">12527021390 </v>
      </c>
      <c r="E21252" t="s">
        <v>309</v>
      </c>
      <c r="F21252" t="s">
        <v>310</v>
      </c>
      <c r="G21252">
        <v>13.55</v>
      </c>
      <c r="H21252">
        <v>250630</v>
      </c>
      <c r="I21252">
        <v>4369</v>
      </c>
      <c r="J21252" t="s">
        <v>188</v>
      </c>
      <c r="K21252">
        <v>30.12</v>
      </c>
      <c r="L21252">
        <v>2.75</v>
      </c>
      <c r="M21252">
        <v>56528</v>
      </c>
      <c r="N21252" t="s">
        <v>70</v>
      </c>
      <c r="O21252">
        <v>250724</v>
      </c>
      <c r="P21252">
        <v>10.8</v>
      </c>
    </row>
    <row r="21253" spans="1:16" x14ac:dyDescent="0.25">
      <c r="A21253" t="s">
        <v>3296</v>
      </c>
      <c r="B21253" t="s">
        <v>2931</v>
      </c>
      <c r="C21253">
        <v>9679</v>
      </c>
      <c r="D21253" t="str">
        <f t="shared" ref="D21253:D21261" si="425">"12527021388 "</f>
        <v xml:space="preserve">12527021388 </v>
      </c>
      <c r="E21253" t="s">
        <v>309</v>
      </c>
      <c r="F21253" t="s">
        <v>310</v>
      </c>
      <c r="G21253">
        <v>7.71</v>
      </c>
      <c r="H21253">
        <v>250630</v>
      </c>
      <c r="I21253">
        <v>4369</v>
      </c>
      <c r="J21253" t="s">
        <v>188</v>
      </c>
      <c r="K21253">
        <v>94.89</v>
      </c>
      <c r="L21253">
        <v>1.57</v>
      </c>
      <c r="M21253">
        <v>14971</v>
      </c>
      <c r="N21253" t="s">
        <v>81</v>
      </c>
      <c r="O21253">
        <v>250724</v>
      </c>
      <c r="P21253">
        <v>6.14</v>
      </c>
    </row>
    <row r="21254" spans="1:16" x14ac:dyDescent="0.25">
      <c r="A21254" t="s">
        <v>3296</v>
      </c>
      <c r="B21254" t="s">
        <v>2931</v>
      </c>
      <c r="C21254">
        <v>9679</v>
      </c>
      <c r="D21254" t="str">
        <f t="shared" si="425"/>
        <v xml:space="preserve">12527021388 </v>
      </c>
      <c r="E21254" t="s">
        <v>309</v>
      </c>
      <c r="F21254" t="s">
        <v>310</v>
      </c>
      <c r="G21254">
        <v>6.59</v>
      </c>
      <c r="H21254">
        <v>250630</v>
      </c>
      <c r="I21254">
        <v>4369</v>
      </c>
      <c r="J21254" t="s">
        <v>188</v>
      </c>
      <c r="K21254">
        <v>94.89</v>
      </c>
      <c r="L21254">
        <v>1.34</v>
      </c>
      <c r="M21254">
        <v>17972</v>
      </c>
      <c r="N21254" t="s">
        <v>28</v>
      </c>
      <c r="O21254">
        <v>250724</v>
      </c>
      <c r="P21254">
        <v>5.25</v>
      </c>
    </row>
    <row r="21255" spans="1:16" x14ac:dyDescent="0.25">
      <c r="A21255" t="s">
        <v>3296</v>
      </c>
      <c r="B21255" t="s">
        <v>2931</v>
      </c>
      <c r="C21255">
        <v>9679</v>
      </c>
      <c r="D21255" t="str">
        <f t="shared" si="425"/>
        <v xml:space="preserve">12527021388 </v>
      </c>
      <c r="E21255" t="s">
        <v>309</v>
      </c>
      <c r="F21255" t="s">
        <v>310</v>
      </c>
      <c r="G21255">
        <v>21.46</v>
      </c>
      <c r="H21255">
        <v>250630</v>
      </c>
      <c r="I21255">
        <v>4369</v>
      </c>
      <c r="J21255" t="s">
        <v>188</v>
      </c>
      <c r="K21255">
        <v>94.89</v>
      </c>
      <c r="L21255">
        <v>4.3600000000000003</v>
      </c>
      <c r="M21255">
        <v>18010</v>
      </c>
      <c r="N21255" t="s">
        <v>36</v>
      </c>
      <c r="O21255">
        <v>250724</v>
      </c>
      <c r="P21255">
        <v>17.100000000000001</v>
      </c>
    </row>
    <row r="21256" spans="1:16" x14ac:dyDescent="0.25">
      <c r="A21256" t="s">
        <v>3296</v>
      </c>
      <c r="B21256" t="s">
        <v>2931</v>
      </c>
      <c r="C21256">
        <v>9679</v>
      </c>
      <c r="D21256" t="str">
        <f t="shared" si="425"/>
        <v xml:space="preserve">12527021388 </v>
      </c>
      <c r="E21256" t="s">
        <v>309</v>
      </c>
      <c r="F21256" t="s">
        <v>310</v>
      </c>
      <c r="G21256">
        <v>3.39</v>
      </c>
      <c r="H21256">
        <v>250630</v>
      </c>
      <c r="I21256">
        <v>4369</v>
      </c>
      <c r="J21256" t="s">
        <v>188</v>
      </c>
      <c r="K21256">
        <v>94.89</v>
      </c>
      <c r="L21256">
        <v>0.69</v>
      </c>
      <c r="M21256">
        <v>18120</v>
      </c>
      <c r="N21256" t="s">
        <v>37</v>
      </c>
      <c r="O21256">
        <v>250724</v>
      </c>
      <c r="P21256">
        <v>2.7</v>
      </c>
    </row>
    <row r="21257" spans="1:16" x14ac:dyDescent="0.25">
      <c r="A21257" t="s">
        <v>3296</v>
      </c>
      <c r="B21257" t="s">
        <v>2931</v>
      </c>
      <c r="C21257">
        <v>9679</v>
      </c>
      <c r="D21257" t="str">
        <f t="shared" si="425"/>
        <v xml:space="preserve">12527021388 </v>
      </c>
      <c r="E21257" t="s">
        <v>309</v>
      </c>
      <c r="F21257" t="s">
        <v>310</v>
      </c>
      <c r="G21257">
        <v>3.76</v>
      </c>
      <c r="H21257">
        <v>250630</v>
      </c>
      <c r="I21257">
        <v>4369</v>
      </c>
      <c r="J21257" t="s">
        <v>188</v>
      </c>
      <c r="K21257">
        <v>94.89</v>
      </c>
      <c r="L21257">
        <v>0.76</v>
      </c>
      <c r="M21257">
        <v>18122</v>
      </c>
      <c r="N21257" t="s">
        <v>176</v>
      </c>
      <c r="O21257">
        <v>250724</v>
      </c>
      <c r="P21257">
        <v>3</v>
      </c>
    </row>
    <row r="21258" spans="1:16" x14ac:dyDescent="0.25">
      <c r="A21258" t="s">
        <v>3296</v>
      </c>
      <c r="B21258" t="s">
        <v>2931</v>
      </c>
      <c r="C21258">
        <v>9679</v>
      </c>
      <c r="D21258" t="str">
        <f t="shared" si="425"/>
        <v xml:space="preserve">12527021388 </v>
      </c>
      <c r="E21258" t="s">
        <v>309</v>
      </c>
      <c r="F21258" t="s">
        <v>310</v>
      </c>
      <c r="G21258">
        <v>6.4</v>
      </c>
      <c r="H21258">
        <v>250630</v>
      </c>
      <c r="I21258">
        <v>4369</v>
      </c>
      <c r="J21258" t="s">
        <v>188</v>
      </c>
      <c r="K21258">
        <v>94.89</v>
      </c>
      <c r="L21258">
        <v>1.3</v>
      </c>
      <c r="M21258">
        <v>18971</v>
      </c>
      <c r="N21258" t="s">
        <v>38</v>
      </c>
      <c r="O21258">
        <v>250724</v>
      </c>
      <c r="P21258">
        <v>5.0999999999999996</v>
      </c>
    </row>
    <row r="21259" spans="1:16" x14ac:dyDescent="0.25">
      <c r="A21259" t="s">
        <v>3296</v>
      </c>
      <c r="B21259" t="s">
        <v>2931</v>
      </c>
      <c r="C21259">
        <v>9679</v>
      </c>
      <c r="D21259" t="str">
        <f t="shared" si="425"/>
        <v xml:space="preserve">12527021388 </v>
      </c>
      <c r="E21259" t="s">
        <v>309</v>
      </c>
      <c r="F21259" t="s">
        <v>310</v>
      </c>
      <c r="G21259">
        <v>35.6</v>
      </c>
      <c r="H21259">
        <v>250630</v>
      </c>
      <c r="I21259">
        <v>4369</v>
      </c>
      <c r="J21259" t="s">
        <v>188</v>
      </c>
      <c r="K21259">
        <v>94.89</v>
      </c>
      <c r="L21259">
        <v>7.23</v>
      </c>
      <c r="M21259">
        <v>18972</v>
      </c>
      <c r="N21259" t="s">
        <v>39</v>
      </c>
      <c r="O21259">
        <v>250724</v>
      </c>
      <c r="P21259">
        <v>28.37</v>
      </c>
    </row>
    <row r="21260" spans="1:16" x14ac:dyDescent="0.25">
      <c r="A21260" t="s">
        <v>3296</v>
      </c>
      <c r="B21260" t="s">
        <v>2931</v>
      </c>
      <c r="C21260">
        <v>9679</v>
      </c>
      <c r="D21260" t="str">
        <f t="shared" si="425"/>
        <v xml:space="preserve">12527021388 </v>
      </c>
      <c r="E21260" t="s">
        <v>309</v>
      </c>
      <c r="F21260" t="s">
        <v>310</v>
      </c>
      <c r="G21260">
        <v>3.39</v>
      </c>
      <c r="H21260">
        <v>250630</v>
      </c>
      <c r="I21260">
        <v>4369</v>
      </c>
      <c r="J21260" t="s">
        <v>188</v>
      </c>
      <c r="K21260">
        <v>94.89</v>
      </c>
      <c r="L21260">
        <v>0.69</v>
      </c>
      <c r="M21260">
        <v>49702</v>
      </c>
      <c r="N21260" t="s">
        <v>112</v>
      </c>
      <c r="O21260">
        <v>250724</v>
      </c>
      <c r="P21260">
        <v>2.7</v>
      </c>
    </row>
    <row r="21261" spans="1:16" x14ac:dyDescent="0.25">
      <c r="A21261" t="s">
        <v>3296</v>
      </c>
      <c r="B21261" t="s">
        <v>2931</v>
      </c>
      <c r="C21261">
        <v>9679</v>
      </c>
      <c r="D21261" t="str">
        <f t="shared" si="425"/>
        <v xml:space="preserve">12527021388 </v>
      </c>
      <c r="E21261" t="s">
        <v>309</v>
      </c>
      <c r="F21261" t="s">
        <v>310</v>
      </c>
      <c r="G21261">
        <v>6.59</v>
      </c>
      <c r="H21261">
        <v>250630</v>
      </c>
      <c r="I21261">
        <v>4369</v>
      </c>
      <c r="J21261" t="s">
        <v>188</v>
      </c>
      <c r="K21261">
        <v>94.89</v>
      </c>
      <c r="L21261">
        <v>1.34</v>
      </c>
      <c r="M21261">
        <v>59702</v>
      </c>
      <c r="N21261" t="s">
        <v>45</v>
      </c>
      <c r="O21261">
        <v>250724</v>
      </c>
      <c r="P21261">
        <v>5.25</v>
      </c>
    </row>
    <row r="21262" spans="1:16" x14ac:dyDescent="0.25">
      <c r="A21262" t="s">
        <v>3296</v>
      </c>
      <c r="B21262" t="s">
        <v>2931</v>
      </c>
      <c r="C21262">
        <v>9741</v>
      </c>
      <c r="D21262" t="str">
        <f t="shared" ref="D21262:D21271" si="426">"12527021411 "</f>
        <v xml:space="preserve">12527021411 </v>
      </c>
      <c r="E21262" t="s">
        <v>309</v>
      </c>
      <c r="F21262" t="s">
        <v>310</v>
      </c>
      <c r="G21262">
        <v>6.59</v>
      </c>
      <c r="H21262">
        <v>250630</v>
      </c>
      <c r="I21262">
        <v>4369</v>
      </c>
      <c r="J21262" t="s">
        <v>188</v>
      </c>
      <c r="K21262">
        <v>96.18</v>
      </c>
      <c r="L21262">
        <v>1.34</v>
      </c>
      <c r="M21262">
        <v>16321</v>
      </c>
      <c r="N21262" t="s">
        <v>16</v>
      </c>
      <c r="O21262">
        <v>250728</v>
      </c>
      <c r="P21262">
        <v>5.25</v>
      </c>
    </row>
    <row r="21263" spans="1:16" x14ac:dyDescent="0.25">
      <c r="A21263" t="s">
        <v>3296</v>
      </c>
      <c r="B21263" t="s">
        <v>2931</v>
      </c>
      <c r="C21263">
        <v>9741</v>
      </c>
      <c r="D21263" t="str">
        <f t="shared" si="426"/>
        <v xml:space="preserve">12527021411 </v>
      </c>
      <c r="E21263" t="s">
        <v>309</v>
      </c>
      <c r="F21263" t="s">
        <v>310</v>
      </c>
      <c r="G21263">
        <v>10.17</v>
      </c>
      <c r="H21263">
        <v>250630</v>
      </c>
      <c r="I21263">
        <v>4369</v>
      </c>
      <c r="J21263" t="s">
        <v>188</v>
      </c>
      <c r="K21263">
        <v>96.18</v>
      </c>
      <c r="L21263">
        <v>2.0699999999999998</v>
      </c>
      <c r="M21263">
        <v>16431</v>
      </c>
      <c r="N21263" t="s">
        <v>17</v>
      </c>
      <c r="O21263">
        <v>250728</v>
      </c>
      <c r="P21263">
        <v>8.1</v>
      </c>
    </row>
    <row r="21264" spans="1:16" x14ac:dyDescent="0.25">
      <c r="A21264" t="s">
        <v>3296</v>
      </c>
      <c r="B21264" t="s">
        <v>2931</v>
      </c>
      <c r="C21264">
        <v>9741</v>
      </c>
      <c r="D21264" t="str">
        <f t="shared" si="426"/>
        <v xml:space="preserve">12527021411 </v>
      </c>
      <c r="E21264" t="s">
        <v>309</v>
      </c>
      <c r="F21264" t="s">
        <v>310</v>
      </c>
      <c r="G21264">
        <v>13.18</v>
      </c>
      <c r="H21264">
        <v>250630</v>
      </c>
      <c r="I21264">
        <v>4369</v>
      </c>
      <c r="J21264" t="s">
        <v>188</v>
      </c>
      <c r="K21264">
        <v>96.18</v>
      </c>
      <c r="L21264">
        <v>2.68</v>
      </c>
      <c r="M21264">
        <v>17802</v>
      </c>
      <c r="N21264" t="s">
        <v>18</v>
      </c>
      <c r="O21264">
        <v>250728</v>
      </c>
      <c r="P21264">
        <v>10.5</v>
      </c>
    </row>
    <row r="21265" spans="1:16" x14ac:dyDescent="0.25">
      <c r="A21265" t="s">
        <v>3296</v>
      </c>
      <c r="B21265" t="s">
        <v>2931</v>
      </c>
      <c r="C21265">
        <v>9741</v>
      </c>
      <c r="D21265" t="str">
        <f t="shared" si="426"/>
        <v xml:space="preserve">12527021411 </v>
      </c>
      <c r="E21265" t="s">
        <v>309</v>
      </c>
      <c r="F21265" t="s">
        <v>310</v>
      </c>
      <c r="G21265">
        <v>9.98</v>
      </c>
      <c r="H21265">
        <v>250630</v>
      </c>
      <c r="I21265">
        <v>4369</v>
      </c>
      <c r="J21265" t="s">
        <v>188</v>
      </c>
      <c r="K21265">
        <v>96.18</v>
      </c>
      <c r="L21265">
        <v>2.0299999999999998</v>
      </c>
      <c r="M21265">
        <v>17803</v>
      </c>
      <c r="N21265" t="s">
        <v>19</v>
      </c>
      <c r="O21265">
        <v>250728</v>
      </c>
      <c r="P21265">
        <v>7.95</v>
      </c>
    </row>
    <row r="21266" spans="1:16" x14ac:dyDescent="0.25">
      <c r="A21266" t="s">
        <v>3296</v>
      </c>
      <c r="B21266" t="s">
        <v>2931</v>
      </c>
      <c r="C21266">
        <v>9741</v>
      </c>
      <c r="D21266" t="str">
        <f t="shared" si="426"/>
        <v xml:space="preserve">12527021411 </v>
      </c>
      <c r="E21266" t="s">
        <v>309</v>
      </c>
      <c r="F21266" t="s">
        <v>310</v>
      </c>
      <c r="G21266">
        <v>4.41</v>
      </c>
      <c r="H21266">
        <v>250630</v>
      </c>
      <c r="I21266">
        <v>4369</v>
      </c>
      <c r="J21266" t="s">
        <v>188</v>
      </c>
      <c r="K21266">
        <v>96.18</v>
      </c>
      <c r="L21266">
        <v>0.9</v>
      </c>
      <c r="M21266">
        <v>17804</v>
      </c>
      <c r="N21266" t="s">
        <v>20</v>
      </c>
      <c r="O21266">
        <v>250728</v>
      </c>
      <c r="P21266">
        <v>3.51</v>
      </c>
    </row>
    <row r="21267" spans="1:16" x14ac:dyDescent="0.25">
      <c r="A21267" t="s">
        <v>3296</v>
      </c>
      <c r="B21267" t="s">
        <v>2931</v>
      </c>
      <c r="C21267">
        <v>9741</v>
      </c>
      <c r="D21267" t="str">
        <f t="shared" si="426"/>
        <v xml:space="preserve">12527021411 </v>
      </c>
      <c r="E21267" t="s">
        <v>309</v>
      </c>
      <c r="F21267" t="s">
        <v>310</v>
      </c>
      <c r="G21267">
        <v>3.39</v>
      </c>
      <c r="H21267">
        <v>250630</v>
      </c>
      <c r="I21267">
        <v>4369</v>
      </c>
      <c r="J21267" t="s">
        <v>188</v>
      </c>
      <c r="K21267">
        <v>96.18</v>
      </c>
      <c r="L21267">
        <v>0.69</v>
      </c>
      <c r="M21267">
        <v>17805</v>
      </c>
      <c r="N21267" t="s">
        <v>21</v>
      </c>
      <c r="O21267">
        <v>250728</v>
      </c>
      <c r="P21267">
        <v>2.7</v>
      </c>
    </row>
    <row r="21268" spans="1:16" x14ac:dyDescent="0.25">
      <c r="A21268" t="s">
        <v>3296</v>
      </c>
      <c r="B21268" t="s">
        <v>2931</v>
      </c>
      <c r="C21268">
        <v>9741</v>
      </c>
      <c r="D21268" t="str">
        <f t="shared" si="426"/>
        <v xml:space="preserve">12527021411 </v>
      </c>
      <c r="E21268" t="s">
        <v>309</v>
      </c>
      <c r="F21268" t="s">
        <v>310</v>
      </c>
      <c r="G21268">
        <v>6.78</v>
      </c>
      <c r="H21268">
        <v>250630</v>
      </c>
      <c r="I21268">
        <v>4369</v>
      </c>
      <c r="J21268" t="s">
        <v>188</v>
      </c>
      <c r="K21268">
        <v>96.18</v>
      </c>
      <c r="L21268">
        <v>1.38</v>
      </c>
      <c r="M21268">
        <v>17806</v>
      </c>
      <c r="N21268" t="s">
        <v>22</v>
      </c>
      <c r="O21268">
        <v>250728</v>
      </c>
      <c r="P21268">
        <v>5.4</v>
      </c>
    </row>
    <row r="21269" spans="1:16" x14ac:dyDescent="0.25">
      <c r="A21269" t="s">
        <v>3296</v>
      </c>
      <c r="B21269" t="s">
        <v>2931</v>
      </c>
      <c r="C21269">
        <v>9741</v>
      </c>
      <c r="D21269" t="str">
        <f t="shared" si="426"/>
        <v xml:space="preserve">12527021411 </v>
      </c>
      <c r="E21269" t="s">
        <v>309</v>
      </c>
      <c r="F21269" t="s">
        <v>310</v>
      </c>
      <c r="G21269">
        <v>23.53</v>
      </c>
      <c r="H21269">
        <v>250630</v>
      </c>
      <c r="I21269">
        <v>4369</v>
      </c>
      <c r="J21269" t="s">
        <v>188</v>
      </c>
      <c r="K21269">
        <v>96.18</v>
      </c>
      <c r="L21269">
        <v>4.78</v>
      </c>
      <c r="M21269">
        <v>17807</v>
      </c>
      <c r="N21269" t="s">
        <v>23</v>
      </c>
      <c r="O21269">
        <v>250728</v>
      </c>
      <c r="P21269">
        <v>18.75</v>
      </c>
    </row>
    <row r="21270" spans="1:16" x14ac:dyDescent="0.25">
      <c r="A21270" t="s">
        <v>3296</v>
      </c>
      <c r="B21270" t="s">
        <v>2931</v>
      </c>
      <c r="C21270">
        <v>9741</v>
      </c>
      <c r="D21270" t="str">
        <f t="shared" si="426"/>
        <v xml:space="preserve">12527021411 </v>
      </c>
      <c r="E21270" t="s">
        <v>309</v>
      </c>
      <c r="F21270" t="s">
        <v>310</v>
      </c>
      <c r="G21270">
        <v>10.17</v>
      </c>
      <c r="H21270">
        <v>250630</v>
      </c>
      <c r="I21270">
        <v>4369</v>
      </c>
      <c r="J21270" t="s">
        <v>188</v>
      </c>
      <c r="K21270">
        <v>96.18</v>
      </c>
      <c r="L21270">
        <v>2.0699999999999998</v>
      </c>
      <c r="M21270">
        <v>17808</v>
      </c>
      <c r="N21270" t="s">
        <v>24</v>
      </c>
      <c r="O21270">
        <v>250728</v>
      </c>
      <c r="P21270">
        <v>8.1</v>
      </c>
    </row>
    <row r="21271" spans="1:16" x14ac:dyDescent="0.25">
      <c r="A21271" t="s">
        <v>3296</v>
      </c>
      <c r="B21271" t="s">
        <v>2931</v>
      </c>
      <c r="C21271">
        <v>9741</v>
      </c>
      <c r="D21271" t="str">
        <f t="shared" si="426"/>
        <v xml:space="preserve">12527021411 </v>
      </c>
      <c r="E21271" t="s">
        <v>309</v>
      </c>
      <c r="F21271" t="s">
        <v>310</v>
      </c>
      <c r="G21271">
        <v>7.98</v>
      </c>
      <c r="H21271">
        <v>250630</v>
      </c>
      <c r="I21271">
        <v>4369</v>
      </c>
      <c r="J21271" t="s">
        <v>188</v>
      </c>
      <c r="K21271">
        <v>96.18</v>
      </c>
      <c r="L21271">
        <v>1.62</v>
      </c>
      <c r="M21271">
        <v>17809</v>
      </c>
      <c r="N21271" t="s">
        <v>25</v>
      </c>
      <c r="O21271">
        <v>250728</v>
      </c>
      <c r="P21271">
        <v>6.36</v>
      </c>
    </row>
    <row r="21272" spans="1:16" x14ac:dyDescent="0.25">
      <c r="A21272" t="s">
        <v>3296</v>
      </c>
      <c r="B21272" t="s">
        <v>2931</v>
      </c>
      <c r="C21272">
        <v>9743</v>
      </c>
      <c r="D21272" t="str">
        <f>"12527021417 "</f>
        <v xml:space="preserve">12527021417 </v>
      </c>
      <c r="E21272" t="s">
        <v>309</v>
      </c>
      <c r="F21272" t="s">
        <v>310</v>
      </c>
      <c r="G21272">
        <v>58.12</v>
      </c>
      <c r="H21272">
        <v>250630</v>
      </c>
      <c r="I21272">
        <v>4369</v>
      </c>
      <c r="J21272" t="s">
        <v>188</v>
      </c>
      <c r="K21272">
        <v>58.12</v>
      </c>
      <c r="L21272">
        <v>11.81</v>
      </c>
      <c r="M21272">
        <v>11801</v>
      </c>
      <c r="N21272" t="s">
        <v>40</v>
      </c>
      <c r="O21272">
        <v>250728</v>
      </c>
      <c r="P21272">
        <v>46.31</v>
      </c>
    </row>
    <row r="21273" spans="1:16" x14ac:dyDescent="0.25">
      <c r="A21273" t="s">
        <v>3296</v>
      </c>
      <c r="B21273" t="s">
        <v>2931</v>
      </c>
      <c r="C21273">
        <v>9747</v>
      </c>
      <c r="D21273" t="str">
        <f t="shared" ref="D21273:D21278" si="427">"12527021410 "</f>
        <v xml:space="preserve">12527021410 </v>
      </c>
      <c r="E21273" t="s">
        <v>309</v>
      </c>
      <c r="F21273" t="s">
        <v>310</v>
      </c>
      <c r="G21273">
        <v>3.39</v>
      </c>
      <c r="H21273">
        <v>250630</v>
      </c>
      <c r="I21273">
        <v>4369</v>
      </c>
      <c r="J21273" t="s">
        <v>188</v>
      </c>
      <c r="K21273">
        <v>73.319999999999993</v>
      </c>
      <c r="L21273">
        <v>0.69</v>
      </c>
      <c r="M21273">
        <v>17132</v>
      </c>
      <c r="N21273" t="s">
        <v>174</v>
      </c>
      <c r="O21273">
        <v>250728</v>
      </c>
      <c r="P21273">
        <v>2.7</v>
      </c>
    </row>
    <row r="21274" spans="1:16" x14ac:dyDescent="0.25">
      <c r="A21274" t="s">
        <v>3296</v>
      </c>
      <c r="B21274" t="s">
        <v>2931</v>
      </c>
      <c r="C21274">
        <v>9747</v>
      </c>
      <c r="D21274" t="str">
        <f t="shared" si="427"/>
        <v xml:space="preserve">12527021410 </v>
      </c>
      <c r="E21274" t="s">
        <v>309</v>
      </c>
      <c r="F21274" t="s">
        <v>310</v>
      </c>
      <c r="G21274">
        <v>10.17</v>
      </c>
      <c r="H21274">
        <v>250630</v>
      </c>
      <c r="I21274">
        <v>4369</v>
      </c>
      <c r="J21274" t="s">
        <v>188</v>
      </c>
      <c r="K21274">
        <v>73.319999999999993</v>
      </c>
      <c r="L21274">
        <v>2.0699999999999998</v>
      </c>
      <c r="M21274">
        <v>17913</v>
      </c>
      <c r="N21274" t="s">
        <v>26</v>
      </c>
      <c r="O21274">
        <v>250728</v>
      </c>
      <c r="P21274">
        <v>8.1</v>
      </c>
    </row>
    <row r="21275" spans="1:16" x14ac:dyDescent="0.25">
      <c r="A21275" t="s">
        <v>3296</v>
      </c>
      <c r="B21275" t="s">
        <v>2931</v>
      </c>
      <c r="C21275">
        <v>9747</v>
      </c>
      <c r="D21275" t="str">
        <f t="shared" si="427"/>
        <v xml:space="preserve">12527021410 </v>
      </c>
      <c r="E21275" t="s">
        <v>309</v>
      </c>
      <c r="F21275" t="s">
        <v>310</v>
      </c>
      <c r="G21275">
        <v>27.16</v>
      </c>
      <c r="H21275">
        <v>250630</v>
      </c>
      <c r="I21275">
        <v>4369</v>
      </c>
      <c r="J21275" t="s">
        <v>188</v>
      </c>
      <c r="K21275">
        <v>73.319999999999993</v>
      </c>
      <c r="L21275">
        <v>5.52</v>
      </c>
      <c r="M21275">
        <v>17951</v>
      </c>
      <c r="N21275" t="s">
        <v>207</v>
      </c>
      <c r="O21275">
        <v>250728</v>
      </c>
      <c r="P21275">
        <v>21.64</v>
      </c>
    </row>
    <row r="21276" spans="1:16" x14ac:dyDescent="0.25">
      <c r="A21276" t="s">
        <v>3296</v>
      </c>
      <c r="B21276" t="s">
        <v>2931</v>
      </c>
      <c r="C21276">
        <v>9747</v>
      </c>
      <c r="D21276" t="str">
        <f t="shared" si="427"/>
        <v xml:space="preserve">12527021410 </v>
      </c>
      <c r="E21276" t="s">
        <v>309</v>
      </c>
      <c r="F21276" t="s">
        <v>310</v>
      </c>
      <c r="G21276">
        <v>13.73</v>
      </c>
      <c r="H21276">
        <v>250630</v>
      </c>
      <c r="I21276">
        <v>4369</v>
      </c>
      <c r="J21276" t="s">
        <v>188</v>
      </c>
      <c r="K21276">
        <v>73.319999999999993</v>
      </c>
      <c r="L21276">
        <v>2.79</v>
      </c>
      <c r="M21276">
        <v>17971</v>
      </c>
      <c r="N21276" t="s">
        <v>27</v>
      </c>
      <c r="O21276">
        <v>250728</v>
      </c>
      <c r="P21276">
        <v>10.94</v>
      </c>
    </row>
    <row r="21277" spans="1:16" x14ac:dyDescent="0.25">
      <c r="A21277" t="s">
        <v>3296</v>
      </c>
      <c r="B21277" t="s">
        <v>2931</v>
      </c>
      <c r="C21277">
        <v>9747</v>
      </c>
      <c r="D21277" t="str">
        <f t="shared" si="427"/>
        <v xml:space="preserve">12527021410 </v>
      </c>
      <c r="E21277" t="s">
        <v>309</v>
      </c>
      <c r="F21277" t="s">
        <v>310</v>
      </c>
      <c r="G21277">
        <v>6.59</v>
      </c>
      <c r="H21277">
        <v>250630</v>
      </c>
      <c r="I21277">
        <v>4369</v>
      </c>
      <c r="J21277" t="s">
        <v>188</v>
      </c>
      <c r="K21277">
        <v>73.319999999999993</v>
      </c>
      <c r="L21277">
        <v>1.34</v>
      </c>
      <c r="M21277">
        <v>17974</v>
      </c>
      <c r="N21277" t="s">
        <v>153</v>
      </c>
      <c r="O21277">
        <v>250728</v>
      </c>
      <c r="P21277">
        <v>5.25</v>
      </c>
    </row>
    <row r="21278" spans="1:16" x14ac:dyDescent="0.25">
      <c r="A21278" t="s">
        <v>3296</v>
      </c>
      <c r="B21278" t="s">
        <v>2931</v>
      </c>
      <c r="C21278">
        <v>9747</v>
      </c>
      <c r="D21278" t="str">
        <f t="shared" si="427"/>
        <v xml:space="preserve">12527021410 </v>
      </c>
      <c r="E21278" t="s">
        <v>309</v>
      </c>
      <c r="F21278" t="s">
        <v>310</v>
      </c>
      <c r="G21278">
        <v>12.28</v>
      </c>
      <c r="H21278">
        <v>250630</v>
      </c>
      <c r="I21278">
        <v>4369</v>
      </c>
      <c r="J21278" t="s">
        <v>188</v>
      </c>
      <c r="K21278">
        <v>73.319999999999993</v>
      </c>
      <c r="L21278">
        <v>2.5</v>
      </c>
      <c r="M21278">
        <v>17975</v>
      </c>
      <c r="N21278" t="s">
        <v>29</v>
      </c>
      <c r="O21278">
        <v>250728</v>
      </c>
      <c r="P21278">
        <v>9.7799999999999994</v>
      </c>
    </row>
    <row r="21279" spans="1:16" x14ac:dyDescent="0.25">
      <c r="A21279" t="s">
        <v>3296</v>
      </c>
      <c r="B21279" t="s">
        <v>2931</v>
      </c>
      <c r="C21279">
        <v>9748</v>
      </c>
      <c r="D21279" t="str">
        <f>"12527021419 "</f>
        <v xml:space="preserve">12527021419 </v>
      </c>
      <c r="E21279" t="s">
        <v>309</v>
      </c>
      <c r="F21279" t="s">
        <v>310</v>
      </c>
      <c r="G21279">
        <v>3.2</v>
      </c>
      <c r="H21279">
        <v>250630</v>
      </c>
      <c r="I21279">
        <v>4369</v>
      </c>
      <c r="J21279" t="s">
        <v>188</v>
      </c>
      <c r="K21279">
        <v>3.2</v>
      </c>
      <c r="L21279">
        <v>0.65</v>
      </c>
      <c r="M21279">
        <v>13801</v>
      </c>
      <c r="N21279" t="s">
        <v>33</v>
      </c>
      <c r="O21279">
        <v>250728</v>
      </c>
      <c r="P21279">
        <v>2.5499999999999998</v>
      </c>
    </row>
    <row r="21280" spans="1:16" x14ac:dyDescent="0.25">
      <c r="A21280" t="s">
        <v>3296</v>
      </c>
      <c r="B21280" t="s">
        <v>2931</v>
      </c>
      <c r="C21280">
        <v>9762</v>
      </c>
      <c r="D21280" t="str">
        <f>"105480586   "</f>
        <v xml:space="preserve">105480586   </v>
      </c>
      <c r="E21280" t="s">
        <v>309</v>
      </c>
      <c r="F21280" t="s">
        <v>310</v>
      </c>
      <c r="G21280">
        <v>85.65</v>
      </c>
      <c r="H21280">
        <v>250630</v>
      </c>
      <c r="I21280">
        <v>4369</v>
      </c>
      <c r="J21280" t="s">
        <v>188</v>
      </c>
      <c r="K21280">
        <v>85.65</v>
      </c>
      <c r="L21280">
        <v>17.399999999999999</v>
      </c>
      <c r="M21280">
        <v>11801</v>
      </c>
      <c r="N21280" t="s">
        <v>40</v>
      </c>
      <c r="O21280">
        <v>250728</v>
      </c>
      <c r="P21280">
        <v>68.25</v>
      </c>
    </row>
    <row r="21281" spans="1:16" x14ac:dyDescent="0.25">
      <c r="A21281" t="s">
        <v>3296</v>
      </c>
      <c r="B21281" t="s">
        <v>2931</v>
      </c>
      <c r="C21281">
        <v>9764</v>
      </c>
      <c r="D21281" t="str">
        <f>"105480554   "</f>
        <v xml:space="preserve">105480554   </v>
      </c>
      <c r="E21281" t="s">
        <v>309</v>
      </c>
      <c r="F21281" t="s">
        <v>310</v>
      </c>
      <c r="G21281">
        <v>39.53</v>
      </c>
      <c r="H21281">
        <v>250630</v>
      </c>
      <c r="I21281">
        <v>4369</v>
      </c>
      <c r="J21281" t="s">
        <v>188</v>
      </c>
      <c r="K21281">
        <v>39.53</v>
      </c>
      <c r="L21281">
        <v>8.0299999999999994</v>
      </c>
      <c r="M21281">
        <v>11801</v>
      </c>
      <c r="N21281" t="s">
        <v>40</v>
      </c>
      <c r="O21281">
        <v>250728</v>
      </c>
      <c r="P21281">
        <v>31.5</v>
      </c>
    </row>
    <row r="21282" spans="1:16" x14ac:dyDescent="0.25">
      <c r="A21282" t="s">
        <v>3296</v>
      </c>
      <c r="B21282" t="s">
        <v>2931</v>
      </c>
      <c r="C21282">
        <v>9803</v>
      </c>
      <c r="D21282" t="str">
        <f>"105471217   "</f>
        <v xml:space="preserve">105471217   </v>
      </c>
      <c r="E21282" t="s">
        <v>309</v>
      </c>
      <c r="F21282" t="s">
        <v>310</v>
      </c>
      <c r="G21282">
        <v>81.569999999999993</v>
      </c>
      <c r="H21282">
        <v>250630</v>
      </c>
      <c r="I21282">
        <v>4369</v>
      </c>
      <c r="J21282" t="s">
        <v>188</v>
      </c>
      <c r="K21282">
        <v>81.569999999999993</v>
      </c>
      <c r="L21282">
        <v>16.57</v>
      </c>
      <c r="M21282">
        <v>18972</v>
      </c>
      <c r="N21282" t="s">
        <v>39</v>
      </c>
      <c r="O21282">
        <v>250729</v>
      </c>
      <c r="P21282">
        <v>65</v>
      </c>
    </row>
    <row r="21283" spans="1:16" x14ac:dyDescent="0.25">
      <c r="A21283" t="s">
        <v>3296</v>
      </c>
      <c r="B21283" t="s">
        <v>2931</v>
      </c>
      <c r="C21283">
        <v>9965</v>
      </c>
      <c r="D21283" t="str">
        <f t="shared" ref="D21283:D21292" si="428">"12527021414 "</f>
        <v xml:space="preserve">12527021414 </v>
      </c>
      <c r="E21283" t="s">
        <v>309</v>
      </c>
      <c r="F21283" t="s">
        <v>310</v>
      </c>
      <c r="G21283">
        <v>20.329999999999998</v>
      </c>
      <c r="H21283">
        <v>250704</v>
      </c>
      <c r="I21283">
        <v>4369</v>
      </c>
      <c r="J21283" t="s">
        <v>188</v>
      </c>
      <c r="K21283">
        <v>57.52</v>
      </c>
      <c r="L21283">
        <v>4.13</v>
      </c>
      <c r="M21283">
        <v>16121</v>
      </c>
      <c r="N21283" t="s">
        <v>127</v>
      </c>
      <c r="O21283">
        <v>250805</v>
      </c>
      <c r="P21283">
        <v>16.2</v>
      </c>
    </row>
    <row r="21284" spans="1:16" x14ac:dyDescent="0.25">
      <c r="A21284" t="s">
        <v>3296</v>
      </c>
      <c r="B21284" t="s">
        <v>2931</v>
      </c>
      <c r="C21284">
        <v>9965</v>
      </c>
      <c r="D21284" t="str">
        <f t="shared" si="428"/>
        <v xml:space="preserve">12527021414 </v>
      </c>
      <c r="E21284" t="s">
        <v>309</v>
      </c>
      <c r="F21284" t="s">
        <v>310</v>
      </c>
      <c r="G21284">
        <v>6.78</v>
      </c>
      <c r="H21284">
        <v>250704</v>
      </c>
      <c r="I21284">
        <v>4369</v>
      </c>
      <c r="J21284" t="s">
        <v>188</v>
      </c>
      <c r="K21284">
        <v>57.52</v>
      </c>
      <c r="L21284">
        <v>1.38</v>
      </c>
      <c r="M21284">
        <v>16322</v>
      </c>
      <c r="N21284" t="s">
        <v>331</v>
      </c>
      <c r="O21284">
        <v>250805</v>
      </c>
      <c r="P21284">
        <v>5.4</v>
      </c>
    </row>
    <row r="21285" spans="1:16" x14ac:dyDescent="0.25">
      <c r="A21285" t="s">
        <v>3296</v>
      </c>
      <c r="B21285" t="s">
        <v>2931</v>
      </c>
      <c r="C21285">
        <v>9965</v>
      </c>
      <c r="D21285" t="str">
        <f t="shared" si="428"/>
        <v xml:space="preserve">12527021414 </v>
      </c>
      <c r="E21285" t="s">
        <v>309</v>
      </c>
      <c r="F21285" t="s">
        <v>310</v>
      </c>
      <c r="G21285">
        <v>3.39</v>
      </c>
      <c r="H21285">
        <v>250704</v>
      </c>
      <c r="I21285">
        <v>4369</v>
      </c>
      <c r="J21285" t="s">
        <v>188</v>
      </c>
      <c r="K21285">
        <v>57.52</v>
      </c>
      <c r="L21285">
        <v>0.69</v>
      </c>
      <c r="M21285">
        <v>16820</v>
      </c>
      <c r="N21285" t="s">
        <v>128</v>
      </c>
      <c r="O21285">
        <v>250805</v>
      </c>
      <c r="P21285">
        <v>2.7</v>
      </c>
    </row>
    <row r="21286" spans="1:16" x14ac:dyDescent="0.25">
      <c r="A21286" t="s">
        <v>3296</v>
      </c>
      <c r="B21286" t="s">
        <v>2931</v>
      </c>
      <c r="C21286">
        <v>9965</v>
      </c>
      <c r="D21286" t="str">
        <f t="shared" si="428"/>
        <v xml:space="preserve">12527021414 </v>
      </c>
      <c r="E21286" t="s">
        <v>309</v>
      </c>
      <c r="F21286" t="s">
        <v>310</v>
      </c>
      <c r="G21286">
        <v>6.88</v>
      </c>
      <c r="H21286">
        <v>250704</v>
      </c>
      <c r="I21286">
        <v>4369</v>
      </c>
      <c r="J21286" t="s">
        <v>188</v>
      </c>
      <c r="K21286">
        <v>57.52</v>
      </c>
      <c r="L21286">
        <v>1.4</v>
      </c>
      <c r="M21286">
        <v>16820</v>
      </c>
      <c r="N21286" t="s">
        <v>128</v>
      </c>
      <c r="O21286">
        <v>250805</v>
      </c>
      <c r="P21286">
        <v>5.48</v>
      </c>
    </row>
    <row r="21287" spans="1:16" x14ac:dyDescent="0.25">
      <c r="A21287" t="s">
        <v>3296</v>
      </c>
      <c r="B21287" t="s">
        <v>2931</v>
      </c>
      <c r="C21287">
        <v>9965</v>
      </c>
      <c r="D21287" t="str">
        <f t="shared" si="428"/>
        <v xml:space="preserve">12527021414 </v>
      </c>
      <c r="E21287" t="s">
        <v>309</v>
      </c>
      <c r="F21287" t="s">
        <v>310</v>
      </c>
      <c r="G21287">
        <v>3.39</v>
      </c>
      <c r="H21287">
        <v>250704</v>
      </c>
      <c r="I21287">
        <v>4369</v>
      </c>
      <c r="J21287" t="s">
        <v>188</v>
      </c>
      <c r="K21287">
        <v>57.52</v>
      </c>
      <c r="L21287">
        <v>0.69</v>
      </c>
      <c r="M21287">
        <v>17862</v>
      </c>
      <c r="N21287" t="s">
        <v>130</v>
      </c>
      <c r="O21287">
        <v>250805</v>
      </c>
      <c r="P21287">
        <v>2.7</v>
      </c>
    </row>
    <row r="21288" spans="1:16" x14ac:dyDescent="0.25">
      <c r="A21288" t="s">
        <v>3296</v>
      </c>
      <c r="B21288" t="s">
        <v>2931</v>
      </c>
      <c r="C21288">
        <v>9965</v>
      </c>
      <c r="D21288" t="str">
        <f t="shared" si="428"/>
        <v xml:space="preserve">12527021414 </v>
      </c>
      <c r="E21288" t="s">
        <v>309</v>
      </c>
      <c r="F21288" t="s">
        <v>310</v>
      </c>
      <c r="G21288">
        <v>3.39</v>
      </c>
      <c r="H21288">
        <v>250704</v>
      </c>
      <c r="I21288">
        <v>4369</v>
      </c>
      <c r="J21288" t="s">
        <v>188</v>
      </c>
      <c r="K21288">
        <v>57.52</v>
      </c>
      <c r="L21288">
        <v>0.69</v>
      </c>
      <c r="M21288">
        <v>17950</v>
      </c>
      <c r="N21288" t="s">
        <v>132</v>
      </c>
      <c r="O21288">
        <v>250805</v>
      </c>
      <c r="P21288">
        <v>2.7</v>
      </c>
    </row>
    <row r="21289" spans="1:16" x14ac:dyDescent="0.25">
      <c r="A21289" t="s">
        <v>3296</v>
      </c>
      <c r="B21289" t="s">
        <v>2931</v>
      </c>
      <c r="C21289">
        <v>9965</v>
      </c>
      <c r="D21289" t="str">
        <f t="shared" si="428"/>
        <v xml:space="preserve">12527021414 </v>
      </c>
      <c r="E21289" t="s">
        <v>309</v>
      </c>
      <c r="F21289" t="s">
        <v>310</v>
      </c>
      <c r="G21289">
        <v>3.39</v>
      </c>
      <c r="H21289">
        <v>250704</v>
      </c>
      <c r="I21289">
        <v>4369</v>
      </c>
      <c r="J21289" t="s">
        <v>188</v>
      </c>
      <c r="K21289">
        <v>57.52</v>
      </c>
      <c r="L21289">
        <v>0.69</v>
      </c>
      <c r="M21289">
        <v>17971</v>
      </c>
      <c r="N21289" t="s">
        <v>27</v>
      </c>
      <c r="O21289">
        <v>250805</v>
      </c>
      <c r="P21289">
        <v>2.7</v>
      </c>
    </row>
    <row r="21290" spans="1:16" x14ac:dyDescent="0.25">
      <c r="A21290" t="s">
        <v>3296</v>
      </c>
      <c r="B21290" t="s">
        <v>2931</v>
      </c>
      <c r="C21290">
        <v>9965</v>
      </c>
      <c r="D21290" t="str">
        <f t="shared" si="428"/>
        <v xml:space="preserve">12527021414 </v>
      </c>
      <c r="E21290" t="s">
        <v>309</v>
      </c>
      <c r="F21290" t="s">
        <v>310</v>
      </c>
      <c r="G21290">
        <v>3.39</v>
      </c>
      <c r="H21290">
        <v>250704</v>
      </c>
      <c r="I21290">
        <v>4369</v>
      </c>
      <c r="J21290" t="s">
        <v>188</v>
      </c>
      <c r="K21290">
        <v>57.52</v>
      </c>
      <c r="L21290">
        <v>0.69</v>
      </c>
      <c r="M21290">
        <v>17972</v>
      </c>
      <c r="N21290" t="s">
        <v>28</v>
      </c>
      <c r="O21290">
        <v>250805</v>
      </c>
      <c r="P21290">
        <v>2.7</v>
      </c>
    </row>
    <row r="21291" spans="1:16" x14ac:dyDescent="0.25">
      <c r="A21291" t="s">
        <v>3296</v>
      </c>
      <c r="B21291" t="s">
        <v>2931</v>
      </c>
      <c r="C21291">
        <v>9965</v>
      </c>
      <c r="D21291" t="str">
        <f t="shared" si="428"/>
        <v xml:space="preserve">12527021414 </v>
      </c>
      <c r="E21291" t="s">
        <v>309</v>
      </c>
      <c r="F21291" t="s">
        <v>310</v>
      </c>
      <c r="G21291">
        <v>3.2</v>
      </c>
      <c r="H21291">
        <v>250704</v>
      </c>
      <c r="I21291">
        <v>4369</v>
      </c>
      <c r="J21291" t="s">
        <v>188</v>
      </c>
      <c r="K21291">
        <v>57.52</v>
      </c>
      <c r="L21291">
        <v>0.65</v>
      </c>
      <c r="M21291">
        <v>17974</v>
      </c>
      <c r="N21291" t="s">
        <v>153</v>
      </c>
      <c r="O21291">
        <v>250805</v>
      </c>
      <c r="P21291">
        <v>2.5499999999999998</v>
      </c>
    </row>
    <row r="21292" spans="1:16" x14ac:dyDescent="0.25">
      <c r="A21292" t="s">
        <v>3296</v>
      </c>
      <c r="B21292" t="s">
        <v>2931</v>
      </c>
      <c r="C21292">
        <v>9965</v>
      </c>
      <c r="D21292" t="str">
        <f t="shared" si="428"/>
        <v xml:space="preserve">12527021414 </v>
      </c>
      <c r="E21292" t="s">
        <v>309</v>
      </c>
      <c r="F21292" t="s">
        <v>310</v>
      </c>
      <c r="G21292">
        <v>3.38</v>
      </c>
      <c r="H21292">
        <v>250704</v>
      </c>
      <c r="I21292">
        <v>4369</v>
      </c>
      <c r="J21292" t="s">
        <v>188</v>
      </c>
      <c r="K21292">
        <v>57.52</v>
      </c>
      <c r="L21292">
        <v>0.69</v>
      </c>
      <c r="M21292">
        <v>17974</v>
      </c>
      <c r="N21292" t="s">
        <v>153</v>
      </c>
      <c r="O21292">
        <v>250805</v>
      </c>
      <c r="P21292">
        <v>2.69</v>
      </c>
    </row>
    <row r="21293" spans="1:16" x14ac:dyDescent="0.25">
      <c r="A21293" t="s">
        <v>3296</v>
      </c>
      <c r="B21293" t="s">
        <v>2931</v>
      </c>
      <c r="C21293">
        <v>10237</v>
      </c>
      <c r="D21293" t="str">
        <f>"12532021227 "</f>
        <v xml:space="preserve">12532021227 </v>
      </c>
      <c r="E21293" t="s">
        <v>309</v>
      </c>
      <c r="F21293" t="s">
        <v>310</v>
      </c>
      <c r="G21293">
        <v>3.39</v>
      </c>
      <c r="H21293">
        <v>250731</v>
      </c>
      <c r="I21293">
        <v>4369</v>
      </c>
      <c r="J21293" t="s">
        <v>188</v>
      </c>
      <c r="K21293">
        <v>23.15</v>
      </c>
      <c r="L21293">
        <v>0</v>
      </c>
      <c r="M21293">
        <v>59702</v>
      </c>
      <c r="N21293" t="s">
        <v>45</v>
      </c>
      <c r="O21293">
        <v>250813</v>
      </c>
      <c r="P21293">
        <v>3.39</v>
      </c>
    </row>
    <row r="21294" spans="1:16" x14ac:dyDescent="0.25">
      <c r="A21294" t="s">
        <v>3296</v>
      </c>
      <c r="B21294" t="s">
        <v>2931</v>
      </c>
      <c r="C21294">
        <v>10237</v>
      </c>
      <c r="D21294" t="str">
        <f>"12532021227 "</f>
        <v xml:space="preserve">12532021227 </v>
      </c>
      <c r="E21294" t="s">
        <v>309</v>
      </c>
      <c r="F21294" t="s">
        <v>310</v>
      </c>
      <c r="G21294">
        <v>9.7799999999999994</v>
      </c>
      <c r="H21294">
        <v>250731</v>
      </c>
      <c r="I21294">
        <v>4369</v>
      </c>
      <c r="J21294" t="s">
        <v>188</v>
      </c>
      <c r="K21294">
        <v>23.15</v>
      </c>
      <c r="L21294">
        <v>1.99</v>
      </c>
      <c r="M21294">
        <v>59702</v>
      </c>
      <c r="N21294" t="s">
        <v>45</v>
      </c>
      <c r="O21294">
        <v>250813</v>
      </c>
      <c r="P21294">
        <v>7.79</v>
      </c>
    </row>
    <row r="21295" spans="1:16" x14ac:dyDescent="0.25">
      <c r="A21295" t="s">
        <v>3296</v>
      </c>
      <c r="B21295" t="s">
        <v>2931</v>
      </c>
      <c r="C21295">
        <v>10237</v>
      </c>
      <c r="D21295" t="str">
        <f>"12532021227 "</f>
        <v xml:space="preserve">12532021227 </v>
      </c>
      <c r="E21295" t="s">
        <v>309</v>
      </c>
      <c r="F21295" t="s">
        <v>310</v>
      </c>
      <c r="G21295">
        <v>9.98</v>
      </c>
      <c r="H21295">
        <v>250731</v>
      </c>
      <c r="I21295">
        <v>4369</v>
      </c>
      <c r="J21295" t="s">
        <v>188</v>
      </c>
      <c r="K21295">
        <v>23.15</v>
      </c>
      <c r="L21295">
        <v>2.0299999999999998</v>
      </c>
      <c r="M21295">
        <v>59704</v>
      </c>
      <c r="N21295" t="s">
        <v>46</v>
      </c>
      <c r="O21295">
        <v>250813</v>
      </c>
      <c r="P21295">
        <v>7.95</v>
      </c>
    </row>
    <row r="21296" spans="1:16" x14ac:dyDescent="0.25">
      <c r="A21296" t="s">
        <v>3296</v>
      </c>
      <c r="B21296" t="s">
        <v>2931</v>
      </c>
      <c r="C21296">
        <v>10238</v>
      </c>
      <c r="D21296" t="str">
        <f t="shared" ref="D21296:D21305" si="429">"12532021250 "</f>
        <v xml:space="preserve">12532021250 </v>
      </c>
      <c r="E21296" t="s">
        <v>309</v>
      </c>
      <c r="F21296" t="s">
        <v>310</v>
      </c>
      <c r="G21296">
        <v>20.329999999999998</v>
      </c>
      <c r="H21296">
        <v>250731</v>
      </c>
      <c r="I21296">
        <v>4369</v>
      </c>
      <c r="J21296" t="s">
        <v>188</v>
      </c>
      <c r="K21296">
        <v>57.99</v>
      </c>
      <c r="L21296">
        <v>4.13</v>
      </c>
      <c r="M21296">
        <v>16121</v>
      </c>
      <c r="N21296" t="s">
        <v>127</v>
      </c>
      <c r="O21296">
        <v>250813</v>
      </c>
      <c r="P21296">
        <v>16.2</v>
      </c>
    </row>
    <row r="21297" spans="1:16" x14ac:dyDescent="0.25">
      <c r="A21297" t="s">
        <v>3296</v>
      </c>
      <c r="B21297" t="s">
        <v>2931</v>
      </c>
      <c r="C21297">
        <v>10238</v>
      </c>
      <c r="D21297" t="str">
        <f t="shared" si="429"/>
        <v xml:space="preserve">12532021250 </v>
      </c>
      <c r="E21297" t="s">
        <v>309</v>
      </c>
      <c r="F21297" t="s">
        <v>310</v>
      </c>
      <c r="G21297">
        <v>6.78</v>
      </c>
      <c r="H21297">
        <v>250731</v>
      </c>
      <c r="I21297">
        <v>4369</v>
      </c>
      <c r="J21297" t="s">
        <v>188</v>
      </c>
      <c r="K21297">
        <v>57.99</v>
      </c>
      <c r="L21297">
        <v>1.38</v>
      </c>
      <c r="M21297">
        <v>16322</v>
      </c>
      <c r="N21297" t="s">
        <v>331</v>
      </c>
      <c r="O21297">
        <v>250813</v>
      </c>
      <c r="P21297">
        <v>5.4</v>
      </c>
    </row>
    <row r="21298" spans="1:16" x14ac:dyDescent="0.25">
      <c r="A21298" t="s">
        <v>3296</v>
      </c>
      <c r="B21298" t="s">
        <v>2931</v>
      </c>
      <c r="C21298">
        <v>10238</v>
      </c>
      <c r="D21298" t="str">
        <f t="shared" si="429"/>
        <v xml:space="preserve">12532021250 </v>
      </c>
      <c r="E21298" t="s">
        <v>309</v>
      </c>
      <c r="F21298" t="s">
        <v>310</v>
      </c>
      <c r="G21298">
        <v>3.38</v>
      </c>
      <c r="H21298">
        <v>250731</v>
      </c>
      <c r="I21298">
        <v>4369</v>
      </c>
      <c r="J21298" t="s">
        <v>188</v>
      </c>
      <c r="K21298">
        <v>57.99</v>
      </c>
      <c r="L21298">
        <v>0.69</v>
      </c>
      <c r="M21298">
        <v>16820</v>
      </c>
      <c r="N21298" t="s">
        <v>128</v>
      </c>
      <c r="O21298">
        <v>250813</v>
      </c>
      <c r="P21298">
        <v>2.69</v>
      </c>
    </row>
    <row r="21299" spans="1:16" x14ac:dyDescent="0.25">
      <c r="A21299" t="s">
        <v>3296</v>
      </c>
      <c r="B21299" t="s">
        <v>2931</v>
      </c>
      <c r="C21299">
        <v>10238</v>
      </c>
      <c r="D21299" t="str">
        <f t="shared" si="429"/>
        <v xml:space="preserve">12532021250 </v>
      </c>
      <c r="E21299" t="s">
        <v>309</v>
      </c>
      <c r="F21299" t="s">
        <v>310</v>
      </c>
      <c r="G21299">
        <v>7.35</v>
      </c>
      <c r="H21299">
        <v>250731</v>
      </c>
      <c r="I21299">
        <v>4369</v>
      </c>
      <c r="J21299" t="s">
        <v>188</v>
      </c>
      <c r="K21299">
        <v>57.99</v>
      </c>
      <c r="L21299">
        <v>1.49</v>
      </c>
      <c r="M21299">
        <v>16820</v>
      </c>
      <c r="N21299" t="s">
        <v>128</v>
      </c>
      <c r="O21299">
        <v>250813</v>
      </c>
      <c r="P21299">
        <v>5.86</v>
      </c>
    </row>
    <row r="21300" spans="1:16" x14ac:dyDescent="0.25">
      <c r="A21300" t="s">
        <v>3296</v>
      </c>
      <c r="B21300" t="s">
        <v>2931</v>
      </c>
      <c r="C21300">
        <v>10238</v>
      </c>
      <c r="D21300" t="str">
        <f t="shared" si="429"/>
        <v xml:space="preserve">12532021250 </v>
      </c>
      <c r="E21300" t="s">
        <v>309</v>
      </c>
      <c r="F21300" t="s">
        <v>310</v>
      </c>
      <c r="G21300">
        <v>3.39</v>
      </c>
      <c r="H21300">
        <v>250731</v>
      </c>
      <c r="I21300">
        <v>4369</v>
      </c>
      <c r="J21300" t="s">
        <v>188</v>
      </c>
      <c r="K21300">
        <v>57.99</v>
      </c>
      <c r="L21300">
        <v>0.69</v>
      </c>
      <c r="M21300">
        <v>17862</v>
      </c>
      <c r="N21300" t="s">
        <v>130</v>
      </c>
      <c r="O21300">
        <v>250813</v>
      </c>
      <c r="P21300">
        <v>2.7</v>
      </c>
    </row>
    <row r="21301" spans="1:16" x14ac:dyDescent="0.25">
      <c r="A21301" t="s">
        <v>3296</v>
      </c>
      <c r="B21301" t="s">
        <v>2931</v>
      </c>
      <c r="C21301">
        <v>10238</v>
      </c>
      <c r="D21301" t="str">
        <f t="shared" si="429"/>
        <v xml:space="preserve">12532021250 </v>
      </c>
      <c r="E21301" t="s">
        <v>309</v>
      </c>
      <c r="F21301" t="s">
        <v>310</v>
      </c>
      <c r="G21301">
        <v>3.39</v>
      </c>
      <c r="H21301">
        <v>250731</v>
      </c>
      <c r="I21301">
        <v>4369</v>
      </c>
      <c r="J21301" t="s">
        <v>188</v>
      </c>
      <c r="K21301">
        <v>57.99</v>
      </c>
      <c r="L21301">
        <v>0.69</v>
      </c>
      <c r="M21301">
        <v>17950</v>
      </c>
      <c r="N21301" t="s">
        <v>132</v>
      </c>
      <c r="O21301">
        <v>250813</v>
      </c>
      <c r="P21301">
        <v>2.7</v>
      </c>
    </row>
    <row r="21302" spans="1:16" x14ac:dyDescent="0.25">
      <c r="A21302" t="s">
        <v>3296</v>
      </c>
      <c r="B21302" t="s">
        <v>2931</v>
      </c>
      <c r="C21302">
        <v>10238</v>
      </c>
      <c r="D21302" t="str">
        <f t="shared" si="429"/>
        <v xml:space="preserve">12532021250 </v>
      </c>
      <c r="E21302" t="s">
        <v>309</v>
      </c>
      <c r="F21302" t="s">
        <v>310</v>
      </c>
      <c r="G21302">
        <v>3.39</v>
      </c>
      <c r="H21302">
        <v>250731</v>
      </c>
      <c r="I21302">
        <v>4369</v>
      </c>
      <c r="J21302" t="s">
        <v>188</v>
      </c>
      <c r="K21302">
        <v>57.99</v>
      </c>
      <c r="L21302">
        <v>0.69</v>
      </c>
      <c r="M21302">
        <v>17971</v>
      </c>
      <c r="N21302" t="s">
        <v>27</v>
      </c>
      <c r="O21302">
        <v>250813</v>
      </c>
      <c r="P21302">
        <v>2.7</v>
      </c>
    </row>
    <row r="21303" spans="1:16" x14ac:dyDescent="0.25">
      <c r="A21303" t="s">
        <v>3296</v>
      </c>
      <c r="B21303" t="s">
        <v>2931</v>
      </c>
      <c r="C21303">
        <v>10238</v>
      </c>
      <c r="D21303" t="str">
        <f t="shared" si="429"/>
        <v xml:space="preserve">12532021250 </v>
      </c>
      <c r="E21303" t="s">
        <v>309</v>
      </c>
      <c r="F21303" t="s">
        <v>310</v>
      </c>
      <c r="G21303">
        <v>3.39</v>
      </c>
      <c r="H21303">
        <v>250731</v>
      </c>
      <c r="I21303">
        <v>4369</v>
      </c>
      <c r="J21303" t="s">
        <v>188</v>
      </c>
      <c r="K21303">
        <v>57.99</v>
      </c>
      <c r="L21303">
        <v>0.69</v>
      </c>
      <c r="M21303">
        <v>17972</v>
      </c>
      <c r="N21303" t="s">
        <v>28</v>
      </c>
      <c r="O21303">
        <v>250813</v>
      </c>
      <c r="P21303">
        <v>2.7</v>
      </c>
    </row>
    <row r="21304" spans="1:16" x14ac:dyDescent="0.25">
      <c r="A21304" t="s">
        <v>3296</v>
      </c>
      <c r="B21304" t="s">
        <v>2931</v>
      </c>
      <c r="C21304">
        <v>10238</v>
      </c>
      <c r="D21304" t="str">
        <f t="shared" si="429"/>
        <v xml:space="preserve">12532021250 </v>
      </c>
      <c r="E21304" t="s">
        <v>309</v>
      </c>
      <c r="F21304" t="s">
        <v>310</v>
      </c>
      <c r="G21304">
        <v>3.2</v>
      </c>
      <c r="H21304">
        <v>250731</v>
      </c>
      <c r="I21304">
        <v>4369</v>
      </c>
      <c r="J21304" t="s">
        <v>188</v>
      </c>
      <c r="K21304">
        <v>57.99</v>
      </c>
      <c r="L21304">
        <v>0.65</v>
      </c>
      <c r="M21304">
        <v>17974</v>
      </c>
      <c r="N21304" t="s">
        <v>153</v>
      </c>
      <c r="O21304">
        <v>250813</v>
      </c>
      <c r="P21304">
        <v>2.5499999999999998</v>
      </c>
    </row>
    <row r="21305" spans="1:16" x14ac:dyDescent="0.25">
      <c r="A21305" t="s">
        <v>3296</v>
      </c>
      <c r="B21305" t="s">
        <v>2931</v>
      </c>
      <c r="C21305">
        <v>10238</v>
      </c>
      <c r="D21305" t="str">
        <f t="shared" si="429"/>
        <v xml:space="preserve">12532021250 </v>
      </c>
      <c r="E21305" t="s">
        <v>309</v>
      </c>
      <c r="F21305" t="s">
        <v>310</v>
      </c>
      <c r="G21305">
        <v>3.39</v>
      </c>
      <c r="H21305">
        <v>250731</v>
      </c>
      <c r="I21305">
        <v>4369</v>
      </c>
      <c r="J21305" t="s">
        <v>188</v>
      </c>
      <c r="K21305">
        <v>57.99</v>
      </c>
      <c r="L21305">
        <v>0.69</v>
      </c>
      <c r="M21305">
        <v>17974</v>
      </c>
      <c r="N21305" t="s">
        <v>153</v>
      </c>
      <c r="O21305">
        <v>250813</v>
      </c>
      <c r="P21305">
        <v>2.7</v>
      </c>
    </row>
    <row r="21306" spans="1:16" x14ac:dyDescent="0.25">
      <c r="A21306" t="s">
        <v>3296</v>
      </c>
      <c r="B21306" t="s">
        <v>2931</v>
      </c>
      <c r="C21306">
        <v>10240</v>
      </c>
      <c r="D21306" t="str">
        <f>"12532021234 "</f>
        <v xml:space="preserve">12532021234 </v>
      </c>
      <c r="E21306" t="s">
        <v>309</v>
      </c>
      <c r="F21306" t="s">
        <v>310</v>
      </c>
      <c r="G21306">
        <v>32.75</v>
      </c>
      <c r="H21306">
        <v>250731</v>
      </c>
      <c r="I21306">
        <v>4369</v>
      </c>
      <c r="J21306" t="s">
        <v>188</v>
      </c>
      <c r="K21306">
        <v>46.12</v>
      </c>
      <c r="L21306">
        <v>6.65</v>
      </c>
      <c r="M21306">
        <v>41126</v>
      </c>
      <c r="N21306" t="s">
        <v>94</v>
      </c>
      <c r="O21306">
        <v>250813</v>
      </c>
      <c r="P21306">
        <v>26.1</v>
      </c>
    </row>
    <row r="21307" spans="1:16" x14ac:dyDescent="0.25">
      <c r="A21307" t="s">
        <v>3296</v>
      </c>
      <c r="B21307" t="s">
        <v>2931</v>
      </c>
      <c r="C21307">
        <v>10240</v>
      </c>
      <c r="D21307" t="str">
        <f>"12532021234 "</f>
        <v xml:space="preserve">12532021234 </v>
      </c>
      <c r="E21307" t="s">
        <v>309</v>
      </c>
      <c r="F21307" t="s">
        <v>310</v>
      </c>
      <c r="G21307">
        <v>13.37</v>
      </c>
      <c r="H21307">
        <v>250731</v>
      </c>
      <c r="I21307">
        <v>4369</v>
      </c>
      <c r="J21307" t="s">
        <v>188</v>
      </c>
      <c r="K21307">
        <v>46.12</v>
      </c>
      <c r="L21307">
        <v>2.72</v>
      </c>
      <c r="M21307">
        <v>46222</v>
      </c>
      <c r="N21307" t="s">
        <v>101</v>
      </c>
      <c r="O21307">
        <v>250813</v>
      </c>
      <c r="P21307">
        <v>10.65</v>
      </c>
    </row>
    <row r="21308" spans="1:16" x14ac:dyDescent="0.25">
      <c r="A21308" t="s">
        <v>3296</v>
      </c>
      <c r="B21308" t="s">
        <v>2931</v>
      </c>
      <c r="C21308">
        <v>10241</v>
      </c>
      <c r="D21308" t="str">
        <f>"12532021235 "</f>
        <v xml:space="preserve">12532021235 </v>
      </c>
      <c r="E21308" t="s">
        <v>309</v>
      </c>
      <c r="F21308" t="s">
        <v>310</v>
      </c>
      <c r="G21308">
        <v>6.78</v>
      </c>
      <c r="H21308">
        <v>250731</v>
      </c>
      <c r="I21308">
        <v>4369</v>
      </c>
      <c r="J21308" t="s">
        <v>188</v>
      </c>
      <c r="K21308">
        <v>13.55</v>
      </c>
      <c r="L21308">
        <v>1.38</v>
      </c>
      <c r="M21308">
        <v>49701</v>
      </c>
      <c r="N21308" t="s">
        <v>111</v>
      </c>
      <c r="O21308">
        <v>250813</v>
      </c>
      <c r="P21308">
        <v>5.4</v>
      </c>
    </row>
    <row r="21309" spans="1:16" x14ac:dyDescent="0.25">
      <c r="A21309" t="s">
        <v>3296</v>
      </c>
      <c r="B21309" t="s">
        <v>2931</v>
      </c>
      <c r="C21309">
        <v>10241</v>
      </c>
      <c r="D21309" t="str">
        <f>"12532021235 "</f>
        <v xml:space="preserve">12532021235 </v>
      </c>
      <c r="E21309" t="s">
        <v>309</v>
      </c>
      <c r="F21309" t="s">
        <v>310</v>
      </c>
      <c r="G21309">
        <v>6.77</v>
      </c>
      <c r="H21309">
        <v>250731</v>
      </c>
      <c r="I21309">
        <v>4369</v>
      </c>
      <c r="J21309" t="s">
        <v>188</v>
      </c>
      <c r="K21309">
        <v>13.55</v>
      </c>
      <c r="L21309">
        <v>1.38</v>
      </c>
      <c r="M21309">
        <v>49702</v>
      </c>
      <c r="N21309" t="s">
        <v>112</v>
      </c>
      <c r="O21309">
        <v>250813</v>
      </c>
      <c r="P21309">
        <v>5.39</v>
      </c>
    </row>
    <row r="21310" spans="1:16" x14ac:dyDescent="0.25">
      <c r="A21310" t="s">
        <v>3296</v>
      </c>
      <c r="B21310" t="s">
        <v>2931</v>
      </c>
      <c r="C21310">
        <v>10245</v>
      </c>
      <c r="D21310" t="str">
        <f>"12532021233 "</f>
        <v xml:space="preserve">12532021233 </v>
      </c>
      <c r="E21310" t="s">
        <v>309</v>
      </c>
      <c r="F21310" t="s">
        <v>310</v>
      </c>
      <c r="G21310">
        <v>30.99</v>
      </c>
      <c r="H21310">
        <v>250731</v>
      </c>
      <c r="I21310">
        <v>4369</v>
      </c>
      <c r="J21310" t="s">
        <v>188</v>
      </c>
      <c r="K21310">
        <v>30.99</v>
      </c>
      <c r="L21310">
        <v>6.3</v>
      </c>
      <c r="M21310">
        <v>49501</v>
      </c>
      <c r="N21310" t="s">
        <v>110</v>
      </c>
      <c r="O21310">
        <v>250813</v>
      </c>
      <c r="P21310">
        <v>24.69</v>
      </c>
    </row>
    <row r="21311" spans="1:16" x14ac:dyDescent="0.25">
      <c r="A21311" t="s">
        <v>3296</v>
      </c>
      <c r="B21311" t="s">
        <v>2931</v>
      </c>
      <c r="C21311">
        <v>10246</v>
      </c>
      <c r="D21311" t="str">
        <f t="shared" ref="D21311:D21320" si="430">"12532021230 "</f>
        <v xml:space="preserve">12532021230 </v>
      </c>
      <c r="E21311" t="s">
        <v>309</v>
      </c>
      <c r="F21311" t="s">
        <v>310</v>
      </c>
      <c r="G21311">
        <v>3.37</v>
      </c>
      <c r="H21311">
        <v>250731</v>
      </c>
      <c r="I21311">
        <v>4369</v>
      </c>
      <c r="J21311" t="s">
        <v>188</v>
      </c>
      <c r="K21311">
        <v>43.86</v>
      </c>
      <c r="L21311">
        <v>0.68</v>
      </c>
      <c r="M21311">
        <v>11301</v>
      </c>
      <c r="N21311" t="s">
        <v>92</v>
      </c>
      <c r="O21311">
        <v>250813</v>
      </c>
      <c r="P21311">
        <v>2.69</v>
      </c>
    </row>
    <row r="21312" spans="1:16" x14ac:dyDescent="0.25">
      <c r="A21312" t="s">
        <v>3296</v>
      </c>
      <c r="B21312" t="s">
        <v>2931</v>
      </c>
      <c r="C21312">
        <v>10246</v>
      </c>
      <c r="D21312" t="str">
        <f t="shared" si="430"/>
        <v xml:space="preserve">12532021230 </v>
      </c>
      <c r="E21312" t="s">
        <v>309</v>
      </c>
      <c r="F21312" t="s">
        <v>310</v>
      </c>
      <c r="G21312">
        <v>3.39</v>
      </c>
      <c r="H21312">
        <v>250731</v>
      </c>
      <c r="I21312">
        <v>4369</v>
      </c>
      <c r="J21312" t="s">
        <v>188</v>
      </c>
      <c r="K21312">
        <v>43.86</v>
      </c>
      <c r="L21312">
        <v>0.69</v>
      </c>
      <c r="M21312">
        <v>11900</v>
      </c>
      <c r="N21312" t="s">
        <v>30</v>
      </c>
      <c r="O21312">
        <v>250813</v>
      </c>
      <c r="P21312">
        <v>2.7</v>
      </c>
    </row>
    <row r="21313" spans="1:16" x14ac:dyDescent="0.25">
      <c r="A21313" t="s">
        <v>3296</v>
      </c>
      <c r="B21313" t="s">
        <v>2931</v>
      </c>
      <c r="C21313">
        <v>10246</v>
      </c>
      <c r="D21313" t="str">
        <f t="shared" si="430"/>
        <v xml:space="preserve">12532021230 </v>
      </c>
      <c r="E21313" t="s">
        <v>309</v>
      </c>
      <c r="F21313" t="s">
        <v>310</v>
      </c>
      <c r="G21313">
        <v>3.39</v>
      </c>
      <c r="H21313">
        <v>250731</v>
      </c>
      <c r="I21313">
        <v>4369</v>
      </c>
      <c r="J21313" t="s">
        <v>188</v>
      </c>
      <c r="K21313">
        <v>43.86</v>
      </c>
      <c r="L21313">
        <v>0.69</v>
      </c>
      <c r="M21313">
        <v>11901</v>
      </c>
      <c r="N21313" t="s">
        <v>31</v>
      </c>
      <c r="O21313">
        <v>250813</v>
      </c>
      <c r="P21313">
        <v>2.7</v>
      </c>
    </row>
    <row r="21314" spans="1:16" x14ac:dyDescent="0.25">
      <c r="A21314" t="s">
        <v>3296</v>
      </c>
      <c r="B21314" t="s">
        <v>2931</v>
      </c>
      <c r="C21314">
        <v>10246</v>
      </c>
      <c r="D21314" t="str">
        <f t="shared" si="430"/>
        <v xml:space="preserve">12532021230 </v>
      </c>
      <c r="E21314" t="s">
        <v>309</v>
      </c>
      <c r="F21314" t="s">
        <v>310</v>
      </c>
      <c r="G21314">
        <v>6.59</v>
      </c>
      <c r="H21314">
        <v>250731</v>
      </c>
      <c r="I21314">
        <v>4369</v>
      </c>
      <c r="J21314" t="s">
        <v>188</v>
      </c>
      <c r="K21314">
        <v>43.86</v>
      </c>
      <c r="L21314">
        <v>0</v>
      </c>
      <c r="M21314">
        <v>11901</v>
      </c>
      <c r="N21314" t="s">
        <v>31</v>
      </c>
      <c r="O21314">
        <v>250813</v>
      </c>
      <c r="P21314">
        <v>6.59</v>
      </c>
    </row>
    <row r="21315" spans="1:16" x14ac:dyDescent="0.25">
      <c r="A21315" t="s">
        <v>3296</v>
      </c>
      <c r="B21315" t="s">
        <v>2931</v>
      </c>
      <c r="C21315">
        <v>10246</v>
      </c>
      <c r="D21315" t="str">
        <f t="shared" si="430"/>
        <v xml:space="preserve">12532021230 </v>
      </c>
      <c r="E21315" t="s">
        <v>309</v>
      </c>
      <c r="F21315" t="s">
        <v>310</v>
      </c>
      <c r="G21315">
        <v>6.78</v>
      </c>
      <c r="H21315">
        <v>250731</v>
      </c>
      <c r="I21315">
        <v>4369</v>
      </c>
      <c r="J21315" t="s">
        <v>188</v>
      </c>
      <c r="K21315">
        <v>43.86</v>
      </c>
      <c r="L21315">
        <v>1.38</v>
      </c>
      <c r="M21315">
        <v>11901</v>
      </c>
      <c r="N21315" t="s">
        <v>31</v>
      </c>
      <c r="O21315">
        <v>250813</v>
      </c>
      <c r="P21315">
        <v>5.4</v>
      </c>
    </row>
    <row r="21316" spans="1:16" x14ac:dyDescent="0.25">
      <c r="A21316" t="s">
        <v>3296</v>
      </c>
      <c r="B21316" t="s">
        <v>2931</v>
      </c>
      <c r="C21316">
        <v>10246</v>
      </c>
      <c r="D21316" t="str">
        <f t="shared" si="430"/>
        <v xml:space="preserve">12532021230 </v>
      </c>
      <c r="E21316" t="s">
        <v>309</v>
      </c>
      <c r="F21316" t="s">
        <v>310</v>
      </c>
      <c r="G21316">
        <v>3.39</v>
      </c>
      <c r="H21316">
        <v>250731</v>
      </c>
      <c r="I21316">
        <v>4369</v>
      </c>
      <c r="J21316" t="s">
        <v>188</v>
      </c>
      <c r="K21316">
        <v>43.86</v>
      </c>
      <c r="L21316">
        <v>0.69</v>
      </c>
      <c r="M21316">
        <v>11903</v>
      </c>
      <c r="N21316" t="s">
        <v>32</v>
      </c>
      <c r="O21316">
        <v>250813</v>
      </c>
      <c r="P21316">
        <v>2.7</v>
      </c>
    </row>
    <row r="21317" spans="1:16" x14ac:dyDescent="0.25">
      <c r="A21317" t="s">
        <v>3296</v>
      </c>
      <c r="B21317" t="s">
        <v>2931</v>
      </c>
      <c r="C21317">
        <v>10246</v>
      </c>
      <c r="D21317" t="str">
        <f t="shared" si="430"/>
        <v xml:space="preserve">12532021230 </v>
      </c>
      <c r="E21317" t="s">
        <v>309</v>
      </c>
      <c r="F21317" t="s">
        <v>310</v>
      </c>
      <c r="G21317">
        <v>3.39</v>
      </c>
      <c r="H21317">
        <v>250731</v>
      </c>
      <c r="I21317">
        <v>4369</v>
      </c>
      <c r="J21317" t="s">
        <v>188</v>
      </c>
      <c r="K21317">
        <v>43.86</v>
      </c>
      <c r="L21317">
        <v>0.69</v>
      </c>
      <c r="M21317">
        <v>11903</v>
      </c>
      <c r="N21317" t="s">
        <v>32</v>
      </c>
      <c r="O21317">
        <v>250813</v>
      </c>
      <c r="P21317">
        <v>2.7</v>
      </c>
    </row>
    <row r="21318" spans="1:16" x14ac:dyDescent="0.25">
      <c r="A21318" t="s">
        <v>3296</v>
      </c>
      <c r="B21318" t="s">
        <v>2931</v>
      </c>
      <c r="C21318">
        <v>10246</v>
      </c>
      <c r="D21318" t="str">
        <f t="shared" si="430"/>
        <v xml:space="preserve">12532021230 </v>
      </c>
      <c r="E21318" t="s">
        <v>309</v>
      </c>
      <c r="F21318" t="s">
        <v>310</v>
      </c>
      <c r="G21318">
        <v>6.78</v>
      </c>
      <c r="H21318">
        <v>250731</v>
      </c>
      <c r="I21318">
        <v>4369</v>
      </c>
      <c r="J21318" t="s">
        <v>188</v>
      </c>
      <c r="K21318">
        <v>43.86</v>
      </c>
      <c r="L21318">
        <v>1.38</v>
      </c>
      <c r="M21318">
        <v>11903</v>
      </c>
      <c r="N21318" t="s">
        <v>32</v>
      </c>
      <c r="O21318">
        <v>250813</v>
      </c>
      <c r="P21318">
        <v>5.4</v>
      </c>
    </row>
    <row r="21319" spans="1:16" x14ac:dyDescent="0.25">
      <c r="A21319" t="s">
        <v>3296</v>
      </c>
      <c r="B21319" t="s">
        <v>2931</v>
      </c>
      <c r="C21319">
        <v>10246</v>
      </c>
      <c r="D21319" t="str">
        <f t="shared" si="430"/>
        <v xml:space="preserve">12532021230 </v>
      </c>
      <c r="E21319" t="s">
        <v>309</v>
      </c>
      <c r="F21319" t="s">
        <v>310</v>
      </c>
      <c r="G21319">
        <v>3.39</v>
      </c>
      <c r="H21319">
        <v>250731</v>
      </c>
      <c r="I21319">
        <v>4369</v>
      </c>
      <c r="J21319" t="s">
        <v>188</v>
      </c>
      <c r="K21319">
        <v>43.86</v>
      </c>
      <c r="L21319">
        <v>0.69</v>
      </c>
      <c r="M21319">
        <v>11905</v>
      </c>
      <c r="N21319" t="s">
        <v>643</v>
      </c>
      <c r="O21319">
        <v>250813</v>
      </c>
      <c r="P21319">
        <v>2.7</v>
      </c>
    </row>
    <row r="21320" spans="1:16" x14ac:dyDescent="0.25">
      <c r="A21320" t="s">
        <v>3296</v>
      </c>
      <c r="B21320" t="s">
        <v>2931</v>
      </c>
      <c r="C21320">
        <v>10246</v>
      </c>
      <c r="D21320" t="str">
        <f t="shared" si="430"/>
        <v xml:space="preserve">12532021230 </v>
      </c>
      <c r="E21320" t="s">
        <v>309</v>
      </c>
      <c r="F21320" t="s">
        <v>310</v>
      </c>
      <c r="G21320">
        <v>3.39</v>
      </c>
      <c r="H21320">
        <v>250731</v>
      </c>
      <c r="I21320">
        <v>4369</v>
      </c>
      <c r="J21320" t="s">
        <v>188</v>
      </c>
      <c r="K21320">
        <v>43.86</v>
      </c>
      <c r="L21320">
        <v>0.69</v>
      </c>
      <c r="M21320">
        <v>12500</v>
      </c>
      <c r="N21320" t="s">
        <v>1502</v>
      </c>
      <c r="O21320">
        <v>250813</v>
      </c>
      <c r="P21320">
        <v>2.7</v>
      </c>
    </row>
    <row r="21321" spans="1:16" x14ac:dyDescent="0.25">
      <c r="A21321" t="s">
        <v>3296</v>
      </c>
      <c r="B21321" t="s">
        <v>2931</v>
      </c>
      <c r="C21321">
        <v>10247</v>
      </c>
      <c r="D21321" t="str">
        <f t="shared" ref="D21321:D21349" si="431">"12532021228 "</f>
        <v xml:space="preserve">12532021228 </v>
      </c>
      <c r="E21321" t="s">
        <v>309</v>
      </c>
      <c r="F21321" t="s">
        <v>310</v>
      </c>
      <c r="G21321">
        <v>33.89</v>
      </c>
      <c r="H21321">
        <v>250731</v>
      </c>
      <c r="I21321">
        <v>4369</v>
      </c>
      <c r="J21321" t="s">
        <v>188</v>
      </c>
      <c r="K21321">
        <v>354.1</v>
      </c>
      <c r="L21321">
        <v>6.89</v>
      </c>
      <c r="M21321">
        <v>61122</v>
      </c>
      <c r="N21321" t="s">
        <v>86</v>
      </c>
      <c r="O21321">
        <v>250813</v>
      </c>
      <c r="P21321">
        <v>27</v>
      </c>
    </row>
    <row r="21322" spans="1:16" x14ac:dyDescent="0.25">
      <c r="A21322" t="s">
        <v>3296</v>
      </c>
      <c r="B21322" t="s">
        <v>2931</v>
      </c>
      <c r="C21322">
        <v>10247</v>
      </c>
      <c r="D21322" t="str">
        <f t="shared" si="431"/>
        <v xml:space="preserve">12532021228 </v>
      </c>
      <c r="E21322" t="s">
        <v>309</v>
      </c>
      <c r="F21322" t="s">
        <v>310</v>
      </c>
      <c r="G21322">
        <v>3.39</v>
      </c>
      <c r="H21322">
        <v>250731</v>
      </c>
      <c r="I21322">
        <v>4369</v>
      </c>
      <c r="J21322" t="s">
        <v>188</v>
      </c>
      <c r="K21322">
        <v>354.1</v>
      </c>
      <c r="L21322">
        <v>0.69</v>
      </c>
      <c r="M21322">
        <v>61122</v>
      </c>
      <c r="N21322" t="s">
        <v>86</v>
      </c>
      <c r="O21322">
        <v>250813</v>
      </c>
      <c r="P21322">
        <v>2.7</v>
      </c>
    </row>
    <row r="21323" spans="1:16" x14ac:dyDescent="0.25">
      <c r="A21323" t="s">
        <v>3296</v>
      </c>
      <c r="B21323" t="s">
        <v>2931</v>
      </c>
      <c r="C21323">
        <v>10247</v>
      </c>
      <c r="D21323" t="str">
        <f t="shared" si="431"/>
        <v xml:space="preserve">12532021228 </v>
      </c>
      <c r="E21323" t="s">
        <v>309</v>
      </c>
      <c r="F21323" t="s">
        <v>310</v>
      </c>
      <c r="G21323">
        <v>13.55</v>
      </c>
      <c r="H21323">
        <v>250731</v>
      </c>
      <c r="I21323">
        <v>4369</v>
      </c>
      <c r="J21323" t="s">
        <v>188</v>
      </c>
      <c r="K21323">
        <v>354.1</v>
      </c>
      <c r="L21323">
        <v>2.75</v>
      </c>
      <c r="M21323">
        <v>65222</v>
      </c>
      <c r="N21323" t="s">
        <v>87</v>
      </c>
      <c r="O21323">
        <v>250813</v>
      </c>
      <c r="P21323">
        <v>10.8</v>
      </c>
    </row>
    <row r="21324" spans="1:16" x14ac:dyDescent="0.25">
      <c r="A21324" t="s">
        <v>3296</v>
      </c>
      <c r="B21324" t="s">
        <v>2931</v>
      </c>
      <c r="C21324">
        <v>10247</v>
      </c>
      <c r="D21324" t="str">
        <f t="shared" si="431"/>
        <v xml:space="preserve">12532021228 </v>
      </c>
      <c r="E21324" t="s">
        <v>309</v>
      </c>
      <c r="F21324" t="s">
        <v>310</v>
      </c>
      <c r="G21324">
        <v>3.39</v>
      </c>
      <c r="H21324">
        <v>250731</v>
      </c>
      <c r="I21324">
        <v>4369</v>
      </c>
      <c r="J21324" t="s">
        <v>188</v>
      </c>
      <c r="K21324">
        <v>354.1</v>
      </c>
      <c r="L21324">
        <v>0.69</v>
      </c>
      <c r="M21324">
        <v>65422</v>
      </c>
      <c r="N21324" t="s">
        <v>117</v>
      </c>
      <c r="O21324">
        <v>250813</v>
      </c>
      <c r="P21324">
        <v>2.7</v>
      </c>
    </row>
    <row r="21325" spans="1:16" x14ac:dyDescent="0.25">
      <c r="A21325" t="s">
        <v>3296</v>
      </c>
      <c r="B21325" t="s">
        <v>2931</v>
      </c>
      <c r="C21325">
        <v>10247</v>
      </c>
      <c r="D21325" t="str">
        <f t="shared" si="431"/>
        <v xml:space="preserve">12532021228 </v>
      </c>
      <c r="E21325" t="s">
        <v>309</v>
      </c>
      <c r="F21325" t="s">
        <v>310</v>
      </c>
      <c r="G21325">
        <v>10.17</v>
      </c>
      <c r="H21325">
        <v>250731</v>
      </c>
      <c r="I21325">
        <v>4369</v>
      </c>
      <c r="J21325" t="s">
        <v>188</v>
      </c>
      <c r="K21325">
        <v>354.1</v>
      </c>
      <c r="L21325">
        <v>2.0699999999999998</v>
      </c>
      <c r="M21325">
        <v>66722</v>
      </c>
      <c r="N21325" t="s">
        <v>118</v>
      </c>
      <c r="O21325">
        <v>250813</v>
      </c>
      <c r="P21325">
        <v>8.1</v>
      </c>
    </row>
    <row r="21326" spans="1:16" x14ac:dyDescent="0.25">
      <c r="A21326" t="s">
        <v>3296</v>
      </c>
      <c r="B21326" t="s">
        <v>2931</v>
      </c>
      <c r="C21326">
        <v>10247</v>
      </c>
      <c r="D21326" t="str">
        <f t="shared" si="431"/>
        <v xml:space="preserve">12532021228 </v>
      </c>
      <c r="E21326" t="s">
        <v>309</v>
      </c>
      <c r="F21326" t="s">
        <v>310</v>
      </c>
      <c r="G21326">
        <v>11.36</v>
      </c>
      <c r="H21326">
        <v>250731</v>
      </c>
      <c r="I21326">
        <v>4369</v>
      </c>
      <c r="J21326" t="s">
        <v>188</v>
      </c>
      <c r="K21326">
        <v>354.1</v>
      </c>
      <c r="L21326">
        <v>2.31</v>
      </c>
      <c r="M21326">
        <v>66754</v>
      </c>
      <c r="N21326" t="s">
        <v>119</v>
      </c>
      <c r="O21326">
        <v>250813</v>
      </c>
      <c r="P21326">
        <v>9.0500000000000007</v>
      </c>
    </row>
    <row r="21327" spans="1:16" x14ac:dyDescent="0.25">
      <c r="A21327" t="s">
        <v>3296</v>
      </c>
      <c r="B21327" t="s">
        <v>2931</v>
      </c>
      <c r="C21327">
        <v>10247</v>
      </c>
      <c r="D21327" t="str">
        <f t="shared" si="431"/>
        <v xml:space="preserve">12532021228 </v>
      </c>
      <c r="E21327" t="s">
        <v>309</v>
      </c>
      <c r="F21327" t="s">
        <v>310</v>
      </c>
      <c r="G21327">
        <v>6.78</v>
      </c>
      <c r="H21327">
        <v>250731</v>
      </c>
      <c r="I21327">
        <v>4369</v>
      </c>
      <c r="J21327" t="s">
        <v>188</v>
      </c>
      <c r="K21327">
        <v>354.1</v>
      </c>
      <c r="L21327">
        <v>1.38</v>
      </c>
      <c r="M21327">
        <v>66754</v>
      </c>
      <c r="N21327" t="s">
        <v>119</v>
      </c>
      <c r="O21327">
        <v>250813</v>
      </c>
      <c r="P21327">
        <v>5.4</v>
      </c>
    </row>
    <row r="21328" spans="1:16" x14ac:dyDescent="0.25">
      <c r="A21328" t="s">
        <v>3296</v>
      </c>
      <c r="B21328" t="s">
        <v>2931</v>
      </c>
      <c r="C21328">
        <v>10247</v>
      </c>
      <c r="D21328" t="str">
        <f t="shared" si="431"/>
        <v xml:space="preserve">12532021228 </v>
      </c>
      <c r="E21328" t="s">
        <v>309</v>
      </c>
      <c r="F21328" t="s">
        <v>310</v>
      </c>
      <c r="G21328">
        <v>3.39</v>
      </c>
      <c r="H21328">
        <v>250731</v>
      </c>
      <c r="I21328">
        <v>4369</v>
      </c>
      <c r="J21328" t="s">
        <v>188</v>
      </c>
      <c r="K21328">
        <v>354.1</v>
      </c>
      <c r="L21328">
        <v>0.69</v>
      </c>
      <c r="M21328">
        <v>66754</v>
      </c>
      <c r="N21328" t="s">
        <v>119</v>
      </c>
      <c r="O21328">
        <v>250813</v>
      </c>
      <c r="P21328">
        <v>2.7</v>
      </c>
    </row>
    <row r="21329" spans="1:16" x14ac:dyDescent="0.25">
      <c r="A21329" t="s">
        <v>3296</v>
      </c>
      <c r="B21329" t="s">
        <v>2931</v>
      </c>
      <c r="C21329">
        <v>10247</v>
      </c>
      <c r="D21329" t="str">
        <f t="shared" si="431"/>
        <v xml:space="preserve">12532021228 </v>
      </c>
      <c r="E21329" t="s">
        <v>309</v>
      </c>
      <c r="F21329" t="s">
        <v>310</v>
      </c>
      <c r="G21329">
        <v>13.65</v>
      </c>
      <c r="H21329">
        <v>250731</v>
      </c>
      <c r="I21329">
        <v>4369</v>
      </c>
      <c r="J21329" t="s">
        <v>188</v>
      </c>
      <c r="K21329">
        <v>354.1</v>
      </c>
      <c r="L21329">
        <v>2.77</v>
      </c>
      <c r="M21329">
        <v>66754</v>
      </c>
      <c r="N21329" t="s">
        <v>119</v>
      </c>
      <c r="O21329">
        <v>250813</v>
      </c>
      <c r="P21329">
        <v>10.88</v>
      </c>
    </row>
    <row r="21330" spans="1:16" x14ac:dyDescent="0.25">
      <c r="A21330" t="s">
        <v>3296</v>
      </c>
      <c r="B21330" t="s">
        <v>2931</v>
      </c>
      <c r="C21330">
        <v>10247</v>
      </c>
      <c r="D21330" t="str">
        <f t="shared" si="431"/>
        <v xml:space="preserve">12532021228 </v>
      </c>
      <c r="E21330" t="s">
        <v>309</v>
      </c>
      <c r="F21330" t="s">
        <v>310</v>
      </c>
      <c r="G21330">
        <v>13.37</v>
      </c>
      <c r="H21330">
        <v>250731</v>
      </c>
      <c r="I21330">
        <v>4369</v>
      </c>
      <c r="J21330" t="s">
        <v>188</v>
      </c>
      <c r="K21330">
        <v>354.1</v>
      </c>
      <c r="L21330">
        <v>2.72</v>
      </c>
      <c r="M21330">
        <v>66756</v>
      </c>
      <c r="N21330" t="s">
        <v>120</v>
      </c>
      <c r="O21330">
        <v>250813</v>
      </c>
      <c r="P21330">
        <v>10.65</v>
      </c>
    </row>
    <row r="21331" spans="1:16" x14ac:dyDescent="0.25">
      <c r="A21331" t="s">
        <v>3296</v>
      </c>
      <c r="B21331" t="s">
        <v>2931</v>
      </c>
      <c r="C21331">
        <v>10247</v>
      </c>
      <c r="D21331" t="str">
        <f t="shared" si="431"/>
        <v xml:space="preserve">12532021228 </v>
      </c>
      <c r="E21331" t="s">
        <v>309</v>
      </c>
      <c r="F21331" t="s">
        <v>310</v>
      </c>
      <c r="G21331">
        <v>24.07</v>
      </c>
      <c r="H21331">
        <v>250731</v>
      </c>
      <c r="I21331">
        <v>4369</v>
      </c>
      <c r="J21331" t="s">
        <v>188</v>
      </c>
      <c r="K21331">
        <v>354.1</v>
      </c>
      <c r="L21331">
        <v>4.8899999999999997</v>
      </c>
      <c r="M21331">
        <v>67522</v>
      </c>
      <c r="N21331" t="s">
        <v>121</v>
      </c>
      <c r="O21331">
        <v>250813</v>
      </c>
      <c r="P21331">
        <v>19.18</v>
      </c>
    </row>
    <row r="21332" spans="1:16" x14ac:dyDescent="0.25">
      <c r="A21332" t="s">
        <v>3296</v>
      </c>
      <c r="B21332" t="s">
        <v>2931</v>
      </c>
      <c r="C21332">
        <v>10247</v>
      </c>
      <c r="D21332" t="str">
        <f t="shared" si="431"/>
        <v xml:space="preserve">12532021228 </v>
      </c>
      <c r="E21332" t="s">
        <v>309</v>
      </c>
      <c r="F21332" t="s">
        <v>310</v>
      </c>
      <c r="G21332">
        <v>13.55</v>
      </c>
      <c r="H21332">
        <v>250731</v>
      </c>
      <c r="I21332">
        <v>4369</v>
      </c>
      <c r="J21332" t="s">
        <v>188</v>
      </c>
      <c r="K21332">
        <v>354.1</v>
      </c>
      <c r="L21332">
        <v>2.75</v>
      </c>
      <c r="M21332">
        <v>67522</v>
      </c>
      <c r="N21332" t="s">
        <v>121</v>
      </c>
      <c r="O21332">
        <v>250813</v>
      </c>
      <c r="P21332">
        <v>10.8</v>
      </c>
    </row>
    <row r="21333" spans="1:16" x14ac:dyDescent="0.25">
      <c r="A21333" t="s">
        <v>3296</v>
      </c>
      <c r="B21333" t="s">
        <v>2931</v>
      </c>
      <c r="C21333">
        <v>10247</v>
      </c>
      <c r="D21333" t="str">
        <f t="shared" si="431"/>
        <v xml:space="preserve">12532021228 </v>
      </c>
      <c r="E21333" t="s">
        <v>309</v>
      </c>
      <c r="F21333" t="s">
        <v>310</v>
      </c>
      <c r="G21333">
        <v>1.76</v>
      </c>
      <c r="H21333">
        <v>250731</v>
      </c>
      <c r="I21333">
        <v>4369</v>
      </c>
      <c r="J21333" t="s">
        <v>188</v>
      </c>
      <c r="K21333">
        <v>354.1</v>
      </c>
      <c r="L21333">
        <v>0.36</v>
      </c>
      <c r="M21333">
        <v>67554</v>
      </c>
      <c r="N21333" t="s">
        <v>317</v>
      </c>
      <c r="O21333">
        <v>250813</v>
      </c>
      <c r="P21333">
        <v>1.4</v>
      </c>
    </row>
    <row r="21334" spans="1:16" x14ac:dyDescent="0.25">
      <c r="A21334" t="s">
        <v>3296</v>
      </c>
      <c r="B21334" t="s">
        <v>2931</v>
      </c>
      <c r="C21334">
        <v>10247</v>
      </c>
      <c r="D21334" t="str">
        <f t="shared" si="431"/>
        <v xml:space="preserve">12532021228 </v>
      </c>
      <c r="E21334" t="s">
        <v>309</v>
      </c>
      <c r="F21334" t="s">
        <v>310</v>
      </c>
      <c r="G21334">
        <v>6.86</v>
      </c>
      <c r="H21334">
        <v>250731</v>
      </c>
      <c r="I21334">
        <v>4369</v>
      </c>
      <c r="J21334" t="s">
        <v>188</v>
      </c>
      <c r="K21334">
        <v>354.1</v>
      </c>
      <c r="L21334">
        <v>1.39</v>
      </c>
      <c r="M21334">
        <v>67554</v>
      </c>
      <c r="N21334" t="s">
        <v>317</v>
      </c>
      <c r="O21334">
        <v>250813</v>
      </c>
      <c r="P21334">
        <v>5.47</v>
      </c>
    </row>
    <row r="21335" spans="1:16" x14ac:dyDescent="0.25">
      <c r="A21335" t="s">
        <v>3296</v>
      </c>
      <c r="B21335" t="s">
        <v>2931</v>
      </c>
      <c r="C21335">
        <v>10247</v>
      </c>
      <c r="D21335" t="str">
        <f t="shared" si="431"/>
        <v xml:space="preserve">12532021228 </v>
      </c>
      <c r="E21335" t="s">
        <v>309</v>
      </c>
      <c r="F21335" t="s">
        <v>310</v>
      </c>
      <c r="G21335">
        <v>77.849999999999994</v>
      </c>
      <c r="H21335">
        <v>250731</v>
      </c>
      <c r="I21335">
        <v>4369</v>
      </c>
      <c r="J21335" t="s">
        <v>188</v>
      </c>
      <c r="K21335">
        <v>354.1</v>
      </c>
      <c r="L21335">
        <v>15.82</v>
      </c>
      <c r="M21335">
        <v>67554</v>
      </c>
      <c r="N21335" t="s">
        <v>317</v>
      </c>
      <c r="O21335">
        <v>250813</v>
      </c>
      <c r="P21335">
        <v>62.03</v>
      </c>
    </row>
    <row r="21336" spans="1:16" x14ac:dyDescent="0.25">
      <c r="A21336" t="s">
        <v>3296</v>
      </c>
      <c r="B21336" t="s">
        <v>2931</v>
      </c>
      <c r="C21336">
        <v>10247</v>
      </c>
      <c r="D21336" t="str">
        <f t="shared" si="431"/>
        <v xml:space="preserve">12532021228 </v>
      </c>
      <c r="E21336" t="s">
        <v>309</v>
      </c>
      <c r="F21336" t="s">
        <v>310</v>
      </c>
      <c r="G21336">
        <v>3.39</v>
      </c>
      <c r="H21336">
        <v>250731</v>
      </c>
      <c r="I21336">
        <v>4369</v>
      </c>
      <c r="J21336" t="s">
        <v>188</v>
      </c>
      <c r="K21336">
        <v>354.1</v>
      </c>
      <c r="L21336">
        <v>0.69</v>
      </c>
      <c r="M21336">
        <v>67554</v>
      </c>
      <c r="N21336" t="s">
        <v>317</v>
      </c>
      <c r="O21336">
        <v>250813</v>
      </c>
      <c r="P21336">
        <v>2.7</v>
      </c>
    </row>
    <row r="21337" spans="1:16" x14ac:dyDescent="0.25">
      <c r="A21337" t="s">
        <v>3296</v>
      </c>
      <c r="B21337" t="s">
        <v>2931</v>
      </c>
      <c r="C21337">
        <v>10247</v>
      </c>
      <c r="D21337" t="str">
        <f t="shared" si="431"/>
        <v xml:space="preserve">12532021228 </v>
      </c>
      <c r="E21337" t="s">
        <v>309</v>
      </c>
      <c r="F21337" t="s">
        <v>310</v>
      </c>
      <c r="G21337">
        <v>12.3</v>
      </c>
      <c r="H21337">
        <v>250731</v>
      </c>
      <c r="I21337">
        <v>4369</v>
      </c>
      <c r="J21337" t="s">
        <v>188</v>
      </c>
      <c r="K21337">
        <v>354.1</v>
      </c>
      <c r="L21337">
        <v>2.5</v>
      </c>
      <c r="M21337">
        <v>68601</v>
      </c>
      <c r="N21337" t="s">
        <v>1031</v>
      </c>
      <c r="O21337">
        <v>250813</v>
      </c>
      <c r="P21337">
        <v>9.8000000000000007</v>
      </c>
    </row>
    <row r="21338" spans="1:16" x14ac:dyDescent="0.25">
      <c r="A21338" t="s">
        <v>3296</v>
      </c>
      <c r="B21338" t="s">
        <v>2931</v>
      </c>
      <c r="C21338">
        <v>10247</v>
      </c>
      <c r="D21338" t="str">
        <f t="shared" si="431"/>
        <v xml:space="preserve">12532021228 </v>
      </c>
      <c r="E21338" t="s">
        <v>309</v>
      </c>
      <c r="F21338" t="s">
        <v>310</v>
      </c>
      <c r="G21338">
        <v>3.39</v>
      </c>
      <c r="H21338">
        <v>250731</v>
      </c>
      <c r="I21338">
        <v>4369</v>
      </c>
      <c r="J21338" t="s">
        <v>188</v>
      </c>
      <c r="K21338">
        <v>354.1</v>
      </c>
      <c r="L21338">
        <v>0.69</v>
      </c>
      <c r="M21338">
        <v>68601</v>
      </c>
      <c r="N21338" t="s">
        <v>1031</v>
      </c>
      <c r="O21338">
        <v>250813</v>
      </c>
      <c r="P21338">
        <v>2.7</v>
      </c>
    </row>
    <row r="21339" spans="1:16" x14ac:dyDescent="0.25">
      <c r="A21339" t="s">
        <v>3296</v>
      </c>
      <c r="B21339" t="s">
        <v>2931</v>
      </c>
      <c r="C21339">
        <v>10247</v>
      </c>
      <c r="D21339" t="str">
        <f t="shared" si="431"/>
        <v xml:space="preserve">12532021228 </v>
      </c>
      <c r="E21339" t="s">
        <v>309</v>
      </c>
      <c r="F21339" t="s">
        <v>310</v>
      </c>
      <c r="G21339">
        <v>10.17</v>
      </c>
      <c r="H21339">
        <v>250731</v>
      </c>
      <c r="I21339">
        <v>4369</v>
      </c>
      <c r="J21339" t="s">
        <v>188</v>
      </c>
      <c r="K21339">
        <v>354.1</v>
      </c>
      <c r="L21339">
        <v>2.0699999999999998</v>
      </c>
      <c r="M21339">
        <v>69111</v>
      </c>
      <c r="N21339" t="s">
        <v>657</v>
      </c>
      <c r="O21339">
        <v>250813</v>
      </c>
      <c r="P21339">
        <v>8.1</v>
      </c>
    </row>
    <row r="21340" spans="1:16" x14ac:dyDescent="0.25">
      <c r="A21340" t="s">
        <v>3296</v>
      </c>
      <c r="B21340" t="s">
        <v>2931</v>
      </c>
      <c r="C21340">
        <v>10247</v>
      </c>
      <c r="D21340" t="str">
        <f t="shared" si="431"/>
        <v xml:space="preserve">12532021228 </v>
      </c>
      <c r="E21340" t="s">
        <v>309</v>
      </c>
      <c r="F21340" t="s">
        <v>310</v>
      </c>
      <c r="G21340">
        <v>6.78</v>
      </c>
      <c r="H21340">
        <v>250731</v>
      </c>
      <c r="I21340">
        <v>4369</v>
      </c>
      <c r="J21340" t="s">
        <v>188</v>
      </c>
      <c r="K21340">
        <v>354.1</v>
      </c>
      <c r="L21340">
        <v>1.38</v>
      </c>
      <c r="M21340">
        <v>69112</v>
      </c>
      <c r="N21340" t="s">
        <v>227</v>
      </c>
      <c r="O21340">
        <v>250813</v>
      </c>
      <c r="P21340">
        <v>5.4</v>
      </c>
    </row>
    <row r="21341" spans="1:16" x14ac:dyDescent="0.25">
      <c r="A21341" t="s">
        <v>3296</v>
      </c>
      <c r="B21341" t="s">
        <v>2931</v>
      </c>
      <c r="C21341">
        <v>10247</v>
      </c>
      <c r="D21341" t="str">
        <f t="shared" si="431"/>
        <v xml:space="preserve">12532021228 </v>
      </c>
      <c r="E21341" t="s">
        <v>309</v>
      </c>
      <c r="F21341" t="s">
        <v>310</v>
      </c>
      <c r="G21341">
        <v>10.17</v>
      </c>
      <c r="H21341">
        <v>250731</v>
      </c>
      <c r="I21341">
        <v>4369</v>
      </c>
      <c r="J21341" t="s">
        <v>188</v>
      </c>
      <c r="K21341">
        <v>354.1</v>
      </c>
      <c r="L21341">
        <v>2.0699999999999998</v>
      </c>
      <c r="M21341">
        <v>69113</v>
      </c>
      <c r="N21341" t="s">
        <v>122</v>
      </c>
      <c r="O21341">
        <v>250813</v>
      </c>
      <c r="P21341">
        <v>8.1</v>
      </c>
    </row>
    <row r="21342" spans="1:16" x14ac:dyDescent="0.25">
      <c r="A21342" t="s">
        <v>3296</v>
      </c>
      <c r="B21342" t="s">
        <v>2931</v>
      </c>
      <c r="C21342">
        <v>10247</v>
      </c>
      <c r="D21342" t="str">
        <f t="shared" si="431"/>
        <v xml:space="preserve">12532021228 </v>
      </c>
      <c r="E21342" t="s">
        <v>309</v>
      </c>
      <c r="F21342" t="s">
        <v>310</v>
      </c>
      <c r="G21342">
        <v>26.79</v>
      </c>
      <c r="H21342">
        <v>250731</v>
      </c>
      <c r="I21342">
        <v>4369</v>
      </c>
      <c r="J21342" t="s">
        <v>188</v>
      </c>
      <c r="K21342">
        <v>354.1</v>
      </c>
      <c r="L21342">
        <v>5.44</v>
      </c>
      <c r="M21342">
        <v>69501</v>
      </c>
      <c r="N21342" t="s">
        <v>123</v>
      </c>
      <c r="O21342">
        <v>250813</v>
      </c>
      <c r="P21342">
        <v>21.35</v>
      </c>
    </row>
    <row r="21343" spans="1:16" x14ac:dyDescent="0.25">
      <c r="A21343" t="s">
        <v>3296</v>
      </c>
      <c r="B21343" t="s">
        <v>2931</v>
      </c>
      <c r="C21343">
        <v>10247</v>
      </c>
      <c r="D21343" t="str">
        <f t="shared" si="431"/>
        <v xml:space="preserve">12532021228 </v>
      </c>
      <c r="E21343" t="s">
        <v>309</v>
      </c>
      <c r="F21343" t="s">
        <v>310</v>
      </c>
      <c r="G21343">
        <v>5.2</v>
      </c>
      <c r="H21343">
        <v>250731</v>
      </c>
      <c r="I21343">
        <v>4369</v>
      </c>
      <c r="J21343" t="s">
        <v>188</v>
      </c>
      <c r="K21343">
        <v>354.1</v>
      </c>
      <c r="L21343">
        <v>1.06</v>
      </c>
      <c r="M21343">
        <v>69701</v>
      </c>
      <c r="N21343" t="s">
        <v>1030</v>
      </c>
      <c r="O21343">
        <v>250813</v>
      </c>
      <c r="P21343">
        <v>4.1399999999999997</v>
      </c>
    </row>
    <row r="21344" spans="1:16" x14ac:dyDescent="0.25">
      <c r="A21344" t="s">
        <v>3296</v>
      </c>
      <c r="B21344" t="s">
        <v>2931</v>
      </c>
      <c r="C21344">
        <v>10247</v>
      </c>
      <c r="D21344" t="str">
        <f t="shared" si="431"/>
        <v xml:space="preserve">12532021228 </v>
      </c>
      <c r="E21344" t="s">
        <v>309</v>
      </c>
      <c r="F21344" t="s">
        <v>310</v>
      </c>
      <c r="G21344">
        <v>3.39</v>
      </c>
      <c r="H21344">
        <v>250731</v>
      </c>
      <c r="I21344">
        <v>4369</v>
      </c>
      <c r="J21344" t="s">
        <v>188</v>
      </c>
      <c r="K21344">
        <v>354.1</v>
      </c>
      <c r="L21344">
        <v>0.69</v>
      </c>
      <c r="M21344">
        <v>69702</v>
      </c>
      <c r="N21344" t="s">
        <v>124</v>
      </c>
      <c r="O21344">
        <v>250813</v>
      </c>
      <c r="P21344">
        <v>2.7</v>
      </c>
    </row>
    <row r="21345" spans="1:16" x14ac:dyDescent="0.25">
      <c r="A21345" t="s">
        <v>3296</v>
      </c>
      <c r="B21345" t="s">
        <v>2931</v>
      </c>
      <c r="C21345">
        <v>10247</v>
      </c>
      <c r="D21345" t="str">
        <f t="shared" si="431"/>
        <v xml:space="preserve">12532021228 </v>
      </c>
      <c r="E21345" t="s">
        <v>309</v>
      </c>
      <c r="F21345" t="s">
        <v>310</v>
      </c>
      <c r="G21345">
        <v>6.59</v>
      </c>
      <c r="H21345">
        <v>250731</v>
      </c>
      <c r="I21345">
        <v>4369</v>
      </c>
      <c r="J21345" t="s">
        <v>188</v>
      </c>
      <c r="K21345">
        <v>354.1</v>
      </c>
      <c r="L21345">
        <v>1.34</v>
      </c>
      <c r="M21345">
        <v>69702</v>
      </c>
      <c r="N21345" t="s">
        <v>124</v>
      </c>
      <c r="O21345">
        <v>250813</v>
      </c>
      <c r="P21345">
        <v>5.25</v>
      </c>
    </row>
    <row r="21346" spans="1:16" x14ac:dyDescent="0.25">
      <c r="A21346" t="s">
        <v>3296</v>
      </c>
      <c r="B21346" t="s">
        <v>2931</v>
      </c>
      <c r="C21346">
        <v>10247</v>
      </c>
      <c r="D21346" t="str">
        <f t="shared" si="431"/>
        <v xml:space="preserve">12532021228 </v>
      </c>
      <c r="E21346" t="s">
        <v>309</v>
      </c>
      <c r="F21346" t="s">
        <v>310</v>
      </c>
      <c r="G21346">
        <v>5.36</v>
      </c>
      <c r="H21346">
        <v>250731</v>
      </c>
      <c r="I21346">
        <v>4369</v>
      </c>
      <c r="J21346" t="s">
        <v>188</v>
      </c>
      <c r="K21346">
        <v>354.1</v>
      </c>
      <c r="L21346">
        <v>1.0900000000000001</v>
      </c>
      <c r="M21346">
        <v>69703</v>
      </c>
      <c r="N21346" t="s">
        <v>88</v>
      </c>
      <c r="O21346">
        <v>250813</v>
      </c>
      <c r="P21346">
        <v>4.2699999999999996</v>
      </c>
    </row>
    <row r="21347" spans="1:16" x14ac:dyDescent="0.25">
      <c r="A21347" t="s">
        <v>3296</v>
      </c>
      <c r="B21347" t="s">
        <v>2931</v>
      </c>
      <c r="C21347">
        <v>10247</v>
      </c>
      <c r="D21347" t="str">
        <f t="shared" si="431"/>
        <v xml:space="preserve">12532021228 </v>
      </c>
      <c r="E21347" t="s">
        <v>309</v>
      </c>
      <c r="F21347" t="s">
        <v>310</v>
      </c>
      <c r="G21347">
        <v>6.59</v>
      </c>
      <c r="H21347">
        <v>250731</v>
      </c>
      <c r="I21347">
        <v>4369</v>
      </c>
      <c r="J21347" t="s">
        <v>188</v>
      </c>
      <c r="K21347">
        <v>354.1</v>
      </c>
      <c r="L21347">
        <v>1.34</v>
      </c>
      <c r="M21347">
        <v>69704</v>
      </c>
      <c r="N21347" t="s">
        <v>89</v>
      </c>
      <c r="O21347">
        <v>250813</v>
      </c>
      <c r="P21347">
        <v>5.25</v>
      </c>
    </row>
    <row r="21348" spans="1:16" x14ac:dyDescent="0.25">
      <c r="A21348" t="s">
        <v>3296</v>
      </c>
      <c r="B21348" t="s">
        <v>2931</v>
      </c>
      <c r="C21348">
        <v>10247</v>
      </c>
      <c r="D21348" t="str">
        <f t="shared" si="431"/>
        <v xml:space="preserve">12532021228 </v>
      </c>
      <c r="E21348" t="s">
        <v>309</v>
      </c>
      <c r="F21348" t="s">
        <v>310</v>
      </c>
      <c r="G21348">
        <v>10.17</v>
      </c>
      <c r="H21348">
        <v>250731</v>
      </c>
      <c r="I21348">
        <v>4369</v>
      </c>
      <c r="J21348" t="s">
        <v>188</v>
      </c>
      <c r="K21348">
        <v>354.1</v>
      </c>
      <c r="L21348">
        <v>2.0699999999999998</v>
      </c>
      <c r="M21348">
        <v>69707</v>
      </c>
      <c r="N21348" t="s">
        <v>90</v>
      </c>
      <c r="O21348">
        <v>250813</v>
      </c>
      <c r="P21348">
        <v>8.1</v>
      </c>
    </row>
    <row r="21349" spans="1:16" x14ac:dyDescent="0.25">
      <c r="A21349" t="s">
        <v>3296</v>
      </c>
      <c r="B21349" t="s">
        <v>2931</v>
      </c>
      <c r="C21349">
        <v>10247</v>
      </c>
      <c r="D21349" t="str">
        <f t="shared" si="431"/>
        <v xml:space="preserve">12532021228 </v>
      </c>
      <c r="E21349" t="s">
        <v>309</v>
      </c>
      <c r="F21349" t="s">
        <v>310</v>
      </c>
      <c r="G21349">
        <v>6.78</v>
      </c>
      <c r="H21349">
        <v>250731</v>
      </c>
      <c r="I21349">
        <v>4369</v>
      </c>
      <c r="J21349" t="s">
        <v>188</v>
      </c>
      <c r="K21349">
        <v>354.1</v>
      </c>
      <c r="L21349">
        <v>1.38</v>
      </c>
      <c r="M21349">
        <v>69708</v>
      </c>
      <c r="N21349" t="s">
        <v>125</v>
      </c>
      <c r="O21349">
        <v>250813</v>
      </c>
      <c r="P21349">
        <v>5.4</v>
      </c>
    </row>
    <row r="21350" spans="1:16" x14ac:dyDescent="0.25">
      <c r="A21350" t="s">
        <v>3296</v>
      </c>
      <c r="B21350" t="s">
        <v>2931</v>
      </c>
      <c r="C21350">
        <v>10248</v>
      </c>
      <c r="D21350" t="str">
        <f>"12532021238 "</f>
        <v xml:space="preserve">12532021238 </v>
      </c>
      <c r="E21350" t="s">
        <v>309</v>
      </c>
      <c r="F21350" t="s">
        <v>310</v>
      </c>
      <c r="G21350">
        <v>3.39</v>
      </c>
      <c r="H21350">
        <v>250731</v>
      </c>
      <c r="I21350">
        <v>4369</v>
      </c>
      <c r="J21350" t="s">
        <v>188</v>
      </c>
      <c r="K21350">
        <v>37.119999999999997</v>
      </c>
      <c r="L21350">
        <v>0.69</v>
      </c>
      <c r="M21350">
        <v>48601</v>
      </c>
      <c r="N21350" t="s">
        <v>107</v>
      </c>
      <c r="O21350">
        <v>250813</v>
      </c>
      <c r="P21350">
        <v>2.7</v>
      </c>
    </row>
    <row r="21351" spans="1:16" x14ac:dyDescent="0.25">
      <c r="A21351" t="s">
        <v>3296</v>
      </c>
      <c r="B21351" t="s">
        <v>2931</v>
      </c>
      <c r="C21351">
        <v>10248</v>
      </c>
      <c r="D21351" t="str">
        <f>"12532021238 "</f>
        <v xml:space="preserve">12532021238 </v>
      </c>
      <c r="E21351" t="s">
        <v>309</v>
      </c>
      <c r="F21351" t="s">
        <v>310</v>
      </c>
      <c r="G21351">
        <v>3.39</v>
      </c>
      <c r="H21351">
        <v>250731</v>
      </c>
      <c r="I21351">
        <v>4369</v>
      </c>
      <c r="J21351" t="s">
        <v>188</v>
      </c>
      <c r="K21351">
        <v>37.119999999999997</v>
      </c>
      <c r="L21351">
        <v>0.69</v>
      </c>
      <c r="M21351">
        <v>49111</v>
      </c>
      <c r="N21351" t="s">
        <v>108</v>
      </c>
      <c r="O21351">
        <v>250813</v>
      </c>
      <c r="P21351">
        <v>2.7</v>
      </c>
    </row>
    <row r="21352" spans="1:16" x14ac:dyDescent="0.25">
      <c r="A21352" t="s">
        <v>3296</v>
      </c>
      <c r="B21352" t="s">
        <v>2931</v>
      </c>
      <c r="C21352">
        <v>10248</v>
      </c>
      <c r="D21352" t="str">
        <f>"12532021238 "</f>
        <v xml:space="preserve">12532021238 </v>
      </c>
      <c r="E21352" t="s">
        <v>309</v>
      </c>
      <c r="F21352" t="s">
        <v>310</v>
      </c>
      <c r="G21352">
        <v>10.01</v>
      </c>
      <c r="H21352">
        <v>250731</v>
      </c>
      <c r="I21352">
        <v>4369</v>
      </c>
      <c r="J21352" t="s">
        <v>188</v>
      </c>
      <c r="K21352">
        <v>37.119999999999997</v>
      </c>
      <c r="L21352">
        <v>2.0299999999999998</v>
      </c>
      <c r="M21352">
        <v>49704</v>
      </c>
      <c r="N21352" t="s">
        <v>113</v>
      </c>
      <c r="O21352">
        <v>250813</v>
      </c>
      <c r="P21352">
        <v>7.98</v>
      </c>
    </row>
    <row r="21353" spans="1:16" x14ac:dyDescent="0.25">
      <c r="A21353" t="s">
        <v>3296</v>
      </c>
      <c r="B21353" t="s">
        <v>2931</v>
      </c>
      <c r="C21353">
        <v>10248</v>
      </c>
      <c r="D21353" t="str">
        <f>"12532021238 "</f>
        <v xml:space="preserve">12532021238 </v>
      </c>
      <c r="E21353" t="s">
        <v>309</v>
      </c>
      <c r="F21353" t="s">
        <v>310</v>
      </c>
      <c r="G21353">
        <v>20.329999999999998</v>
      </c>
      <c r="H21353">
        <v>250731</v>
      </c>
      <c r="I21353">
        <v>4369</v>
      </c>
      <c r="J21353" t="s">
        <v>188</v>
      </c>
      <c r="K21353">
        <v>37.119999999999997</v>
      </c>
      <c r="L21353">
        <v>4.13</v>
      </c>
      <c r="M21353">
        <v>49705</v>
      </c>
      <c r="N21353" t="s">
        <v>114</v>
      </c>
      <c r="O21353">
        <v>250813</v>
      </c>
      <c r="P21353">
        <v>16.2</v>
      </c>
    </row>
    <row r="21354" spans="1:16" x14ac:dyDescent="0.25">
      <c r="A21354" t="s">
        <v>3296</v>
      </c>
      <c r="B21354" t="s">
        <v>2931</v>
      </c>
      <c r="C21354">
        <v>10249</v>
      </c>
      <c r="D21354" t="str">
        <f>"12532021236 "</f>
        <v xml:space="preserve">12532021236 </v>
      </c>
      <c r="E21354" t="s">
        <v>309</v>
      </c>
      <c r="F21354" t="s">
        <v>310</v>
      </c>
      <c r="G21354">
        <v>20.329999999999998</v>
      </c>
      <c r="H21354">
        <v>250731</v>
      </c>
      <c r="I21354">
        <v>4369</v>
      </c>
      <c r="J21354" t="s">
        <v>188</v>
      </c>
      <c r="K21354">
        <v>23.72</v>
      </c>
      <c r="L21354">
        <v>4.13</v>
      </c>
      <c r="M21354">
        <v>47522</v>
      </c>
      <c r="N21354" t="s">
        <v>106</v>
      </c>
      <c r="O21354">
        <v>250813</v>
      </c>
      <c r="P21354">
        <v>16.2</v>
      </c>
    </row>
    <row r="21355" spans="1:16" x14ac:dyDescent="0.25">
      <c r="A21355" t="s">
        <v>3296</v>
      </c>
      <c r="B21355" t="s">
        <v>2931</v>
      </c>
      <c r="C21355">
        <v>10249</v>
      </c>
      <c r="D21355" t="str">
        <f>"12532021236 "</f>
        <v xml:space="preserve">12532021236 </v>
      </c>
      <c r="E21355" t="s">
        <v>309</v>
      </c>
      <c r="F21355" t="s">
        <v>310</v>
      </c>
      <c r="G21355">
        <v>3.39</v>
      </c>
      <c r="H21355">
        <v>250731</v>
      </c>
      <c r="I21355">
        <v>4369</v>
      </c>
      <c r="J21355" t="s">
        <v>188</v>
      </c>
      <c r="K21355">
        <v>23.72</v>
      </c>
      <c r="L21355">
        <v>0.69</v>
      </c>
      <c r="M21355">
        <v>49702</v>
      </c>
      <c r="N21355" t="s">
        <v>112</v>
      </c>
      <c r="O21355">
        <v>250813</v>
      </c>
      <c r="P21355">
        <v>2.7</v>
      </c>
    </row>
    <row r="21356" spans="1:16" x14ac:dyDescent="0.25">
      <c r="A21356" t="s">
        <v>3296</v>
      </c>
      <c r="B21356" t="s">
        <v>2931</v>
      </c>
      <c r="C21356">
        <v>10250</v>
      </c>
      <c r="D21356" t="str">
        <f>"12532021242 "</f>
        <v xml:space="preserve">12532021242 </v>
      </c>
      <c r="E21356" t="s">
        <v>309</v>
      </c>
      <c r="F21356" t="s">
        <v>310</v>
      </c>
      <c r="G21356">
        <v>7.02</v>
      </c>
      <c r="H21356">
        <v>250731</v>
      </c>
      <c r="I21356">
        <v>4369</v>
      </c>
      <c r="J21356" t="s">
        <v>188</v>
      </c>
      <c r="K21356">
        <v>7.02</v>
      </c>
      <c r="L21356">
        <v>1.43</v>
      </c>
      <c r="M21356">
        <v>49112</v>
      </c>
      <c r="N21356" t="s">
        <v>109</v>
      </c>
      <c r="O21356">
        <v>250813</v>
      </c>
      <c r="P21356">
        <v>5.59</v>
      </c>
    </row>
    <row r="21357" spans="1:16" x14ac:dyDescent="0.25">
      <c r="A21357" t="s">
        <v>3296</v>
      </c>
      <c r="B21357" t="s">
        <v>2931</v>
      </c>
      <c r="C21357">
        <v>10251</v>
      </c>
      <c r="D21357" t="str">
        <f t="shared" ref="D21357:D21366" si="432">"12532021248 "</f>
        <v xml:space="preserve">12532021248 </v>
      </c>
      <c r="E21357" t="s">
        <v>309</v>
      </c>
      <c r="F21357" t="s">
        <v>310</v>
      </c>
      <c r="G21357">
        <v>10.16</v>
      </c>
      <c r="H21357">
        <v>250731</v>
      </c>
      <c r="I21357">
        <v>4369</v>
      </c>
      <c r="J21357" t="s">
        <v>188</v>
      </c>
      <c r="K21357">
        <v>104.22</v>
      </c>
      <c r="L21357">
        <v>2.06</v>
      </c>
      <c r="M21357">
        <v>17131</v>
      </c>
      <c r="N21357" t="s">
        <v>154</v>
      </c>
      <c r="O21357">
        <v>250813</v>
      </c>
      <c r="P21357">
        <v>8.1</v>
      </c>
    </row>
    <row r="21358" spans="1:16" x14ac:dyDescent="0.25">
      <c r="A21358" t="s">
        <v>3296</v>
      </c>
      <c r="B21358" t="s">
        <v>2931</v>
      </c>
      <c r="C21358">
        <v>10251</v>
      </c>
      <c r="D21358" t="str">
        <f t="shared" si="432"/>
        <v xml:space="preserve">12532021248 </v>
      </c>
      <c r="E21358" t="s">
        <v>309</v>
      </c>
      <c r="F21358" t="s">
        <v>310</v>
      </c>
      <c r="G21358">
        <v>13.55</v>
      </c>
      <c r="H21358">
        <v>250731</v>
      </c>
      <c r="I21358">
        <v>4369</v>
      </c>
      <c r="J21358" t="s">
        <v>188</v>
      </c>
      <c r="K21358">
        <v>104.22</v>
      </c>
      <c r="L21358">
        <v>2.75</v>
      </c>
      <c r="M21358">
        <v>17711</v>
      </c>
      <c r="N21358" t="s">
        <v>155</v>
      </c>
      <c r="O21358">
        <v>250813</v>
      </c>
      <c r="P21358">
        <v>10.8</v>
      </c>
    </row>
    <row r="21359" spans="1:16" x14ac:dyDescent="0.25">
      <c r="A21359" t="s">
        <v>3296</v>
      </c>
      <c r="B21359" t="s">
        <v>2931</v>
      </c>
      <c r="C21359">
        <v>10251</v>
      </c>
      <c r="D21359" t="str">
        <f t="shared" si="432"/>
        <v xml:space="preserve">12532021248 </v>
      </c>
      <c r="E21359" t="s">
        <v>309</v>
      </c>
      <c r="F21359" t="s">
        <v>310</v>
      </c>
      <c r="G21359">
        <v>6.78</v>
      </c>
      <c r="H21359">
        <v>250731</v>
      </c>
      <c r="I21359">
        <v>4369</v>
      </c>
      <c r="J21359" t="s">
        <v>188</v>
      </c>
      <c r="K21359">
        <v>104.22</v>
      </c>
      <c r="L21359">
        <v>1.38</v>
      </c>
      <c r="M21359">
        <v>17737</v>
      </c>
      <c r="N21359" t="s">
        <v>156</v>
      </c>
      <c r="O21359">
        <v>250813</v>
      </c>
      <c r="P21359">
        <v>5.4</v>
      </c>
    </row>
    <row r="21360" spans="1:16" x14ac:dyDescent="0.25">
      <c r="A21360" t="s">
        <v>3296</v>
      </c>
      <c r="B21360" t="s">
        <v>2931</v>
      </c>
      <c r="C21360">
        <v>10251</v>
      </c>
      <c r="D21360" t="str">
        <f t="shared" si="432"/>
        <v xml:space="preserve">12532021248 </v>
      </c>
      <c r="E21360" t="s">
        <v>309</v>
      </c>
      <c r="F21360" t="s">
        <v>310</v>
      </c>
      <c r="G21360">
        <v>23.04</v>
      </c>
      <c r="H21360">
        <v>250731</v>
      </c>
      <c r="I21360">
        <v>4369</v>
      </c>
      <c r="J21360" t="s">
        <v>188</v>
      </c>
      <c r="K21360">
        <v>104.22</v>
      </c>
      <c r="L21360">
        <v>4.68</v>
      </c>
      <c r="M21360">
        <v>17737</v>
      </c>
      <c r="N21360" t="s">
        <v>156</v>
      </c>
      <c r="O21360">
        <v>250813</v>
      </c>
      <c r="P21360">
        <v>18.36</v>
      </c>
    </row>
    <row r="21361" spans="1:16" x14ac:dyDescent="0.25">
      <c r="A21361" t="s">
        <v>3296</v>
      </c>
      <c r="B21361" t="s">
        <v>2931</v>
      </c>
      <c r="C21361">
        <v>10251</v>
      </c>
      <c r="D21361" t="str">
        <f t="shared" si="432"/>
        <v xml:space="preserve">12532021248 </v>
      </c>
      <c r="E21361" t="s">
        <v>309</v>
      </c>
      <c r="F21361" t="s">
        <v>310</v>
      </c>
      <c r="G21361">
        <v>16.72</v>
      </c>
      <c r="H21361">
        <v>250731</v>
      </c>
      <c r="I21361">
        <v>4369</v>
      </c>
      <c r="J21361" t="s">
        <v>188</v>
      </c>
      <c r="K21361">
        <v>104.22</v>
      </c>
      <c r="L21361">
        <v>3.4</v>
      </c>
      <c r="M21361">
        <v>17737</v>
      </c>
      <c r="N21361" t="s">
        <v>156</v>
      </c>
      <c r="O21361">
        <v>250813</v>
      </c>
      <c r="P21361">
        <v>13.32</v>
      </c>
    </row>
    <row r="21362" spans="1:16" x14ac:dyDescent="0.25">
      <c r="A21362" t="s">
        <v>3296</v>
      </c>
      <c r="B21362" t="s">
        <v>2931</v>
      </c>
      <c r="C21362">
        <v>10251</v>
      </c>
      <c r="D21362" t="str">
        <f t="shared" si="432"/>
        <v xml:space="preserve">12532021248 </v>
      </c>
      <c r="E21362" t="s">
        <v>309</v>
      </c>
      <c r="F21362" t="s">
        <v>310</v>
      </c>
      <c r="G21362">
        <v>3.39</v>
      </c>
      <c r="H21362">
        <v>250731</v>
      </c>
      <c r="I21362">
        <v>4369</v>
      </c>
      <c r="J21362" t="s">
        <v>188</v>
      </c>
      <c r="K21362">
        <v>104.22</v>
      </c>
      <c r="L21362">
        <v>0.69</v>
      </c>
      <c r="M21362">
        <v>17912</v>
      </c>
      <c r="N21362" t="s">
        <v>505</v>
      </c>
      <c r="O21362">
        <v>250813</v>
      </c>
      <c r="P21362">
        <v>2.7</v>
      </c>
    </row>
    <row r="21363" spans="1:16" x14ac:dyDescent="0.25">
      <c r="A21363" t="s">
        <v>3296</v>
      </c>
      <c r="B21363" t="s">
        <v>2931</v>
      </c>
      <c r="C21363">
        <v>10251</v>
      </c>
      <c r="D21363" t="str">
        <f t="shared" si="432"/>
        <v xml:space="preserve">12532021248 </v>
      </c>
      <c r="E21363" t="s">
        <v>309</v>
      </c>
      <c r="F21363" t="s">
        <v>310</v>
      </c>
      <c r="G21363">
        <v>3.44</v>
      </c>
      <c r="H21363">
        <v>250731</v>
      </c>
      <c r="I21363">
        <v>4369</v>
      </c>
      <c r="J21363" t="s">
        <v>188</v>
      </c>
      <c r="K21363">
        <v>104.22</v>
      </c>
      <c r="L21363">
        <v>0.7</v>
      </c>
      <c r="M21363">
        <v>17915</v>
      </c>
      <c r="N21363" t="s">
        <v>305</v>
      </c>
      <c r="O21363">
        <v>250813</v>
      </c>
      <c r="P21363">
        <v>2.74</v>
      </c>
    </row>
    <row r="21364" spans="1:16" x14ac:dyDescent="0.25">
      <c r="A21364" t="s">
        <v>3296</v>
      </c>
      <c r="B21364" t="s">
        <v>2931</v>
      </c>
      <c r="C21364">
        <v>10251</v>
      </c>
      <c r="D21364" t="str">
        <f t="shared" si="432"/>
        <v xml:space="preserve">12532021248 </v>
      </c>
      <c r="E21364" t="s">
        <v>309</v>
      </c>
      <c r="F21364" t="s">
        <v>310</v>
      </c>
      <c r="G21364">
        <v>13.55</v>
      </c>
      <c r="H21364">
        <v>250731</v>
      </c>
      <c r="I21364">
        <v>4369</v>
      </c>
      <c r="J21364" t="s">
        <v>188</v>
      </c>
      <c r="K21364">
        <v>104.22</v>
      </c>
      <c r="L21364">
        <v>2.75</v>
      </c>
      <c r="M21364">
        <v>17952</v>
      </c>
      <c r="N21364" t="s">
        <v>157</v>
      </c>
      <c r="O21364">
        <v>250813</v>
      </c>
      <c r="P21364">
        <v>10.8</v>
      </c>
    </row>
    <row r="21365" spans="1:16" x14ac:dyDescent="0.25">
      <c r="A21365" t="s">
        <v>3296</v>
      </c>
      <c r="B21365" t="s">
        <v>2931</v>
      </c>
      <c r="C21365">
        <v>10251</v>
      </c>
      <c r="D21365" t="str">
        <f t="shared" si="432"/>
        <v xml:space="preserve">12532021248 </v>
      </c>
      <c r="E21365" t="s">
        <v>309</v>
      </c>
      <c r="F21365" t="s">
        <v>310</v>
      </c>
      <c r="G21365">
        <v>6.81</v>
      </c>
      <c r="H21365">
        <v>250731</v>
      </c>
      <c r="I21365">
        <v>4369</v>
      </c>
      <c r="J21365" t="s">
        <v>188</v>
      </c>
      <c r="K21365">
        <v>104.22</v>
      </c>
      <c r="L21365">
        <v>1.38</v>
      </c>
      <c r="M21365">
        <v>17971</v>
      </c>
      <c r="N21365" t="s">
        <v>27</v>
      </c>
      <c r="O21365">
        <v>250813</v>
      </c>
      <c r="P21365">
        <v>5.43</v>
      </c>
    </row>
    <row r="21366" spans="1:16" x14ac:dyDescent="0.25">
      <c r="A21366" t="s">
        <v>3296</v>
      </c>
      <c r="B21366" t="s">
        <v>2931</v>
      </c>
      <c r="C21366">
        <v>10251</v>
      </c>
      <c r="D21366" t="str">
        <f t="shared" si="432"/>
        <v xml:space="preserve">12532021248 </v>
      </c>
      <c r="E21366" t="s">
        <v>309</v>
      </c>
      <c r="F21366" t="s">
        <v>310</v>
      </c>
      <c r="G21366">
        <v>6.78</v>
      </c>
      <c r="H21366">
        <v>250731</v>
      </c>
      <c r="I21366">
        <v>4369</v>
      </c>
      <c r="J21366" t="s">
        <v>188</v>
      </c>
      <c r="K21366">
        <v>104.22</v>
      </c>
      <c r="L21366">
        <v>1.38</v>
      </c>
      <c r="M21366">
        <v>17972</v>
      </c>
      <c r="N21366" t="s">
        <v>28</v>
      </c>
      <c r="O21366">
        <v>250813</v>
      </c>
      <c r="P21366">
        <v>5.4</v>
      </c>
    </row>
    <row r="21367" spans="1:16" x14ac:dyDescent="0.25">
      <c r="A21367" t="s">
        <v>3296</v>
      </c>
      <c r="B21367" t="s">
        <v>2931</v>
      </c>
      <c r="C21367">
        <v>10252</v>
      </c>
      <c r="D21367" t="str">
        <f>"12532021237 "</f>
        <v xml:space="preserve">12532021237 </v>
      </c>
      <c r="E21367" t="s">
        <v>309</v>
      </c>
      <c r="F21367" t="s">
        <v>310</v>
      </c>
      <c r="G21367">
        <v>17.71</v>
      </c>
      <c r="H21367">
        <v>250731</v>
      </c>
      <c r="I21367">
        <v>4369</v>
      </c>
      <c r="J21367" t="s">
        <v>188</v>
      </c>
      <c r="K21367">
        <v>31.26</v>
      </c>
      <c r="L21367">
        <v>3.6</v>
      </c>
      <c r="M21367">
        <v>46554</v>
      </c>
      <c r="N21367" t="s">
        <v>102</v>
      </c>
      <c r="O21367">
        <v>250813</v>
      </c>
      <c r="P21367">
        <v>14.11</v>
      </c>
    </row>
    <row r="21368" spans="1:16" x14ac:dyDescent="0.25">
      <c r="A21368" t="s">
        <v>3296</v>
      </c>
      <c r="B21368" t="s">
        <v>2931</v>
      </c>
      <c r="C21368">
        <v>10252</v>
      </c>
      <c r="D21368" t="str">
        <f>"12532021237 "</f>
        <v xml:space="preserve">12532021237 </v>
      </c>
      <c r="E21368" t="s">
        <v>309</v>
      </c>
      <c r="F21368" t="s">
        <v>310</v>
      </c>
      <c r="G21368">
        <v>13.55</v>
      </c>
      <c r="H21368">
        <v>250731</v>
      </c>
      <c r="I21368">
        <v>4369</v>
      </c>
      <c r="J21368" t="s">
        <v>188</v>
      </c>
      <c r="K21368">
        <v>31.26</v>
      </c>
      <c r="L21368">
        <v>2.75</v>
      </c>
      <c r="M21368">
        <v>46554</v>
      </c>
      <c r="N21368" t="s">
        <v>102</v>
      </c>
      <c r="O21368">
        <v>250813</v>
      </c>
      <c r="P21368">
        <v>10.8</v>
      </c>
    </row>
    <row r="21369" spans="1:16" x14ac:dyDescent="0.25">
      <c r="A21369" t="s">
        <v>3296</v>
      </c>
      <c r="B21369" t="s">
        <v>2931</v>
      </c>
      <c r="C21369">
        <v>10253</v>
      </c>
      <c r="D21369" t="str">
        <f t="shared" ref="D21369:D21374" si="433">"12532021239 "</f>
        <v xml:space="preserve">12532021239 </v>
      </c>
      <c r="E21369" t="s">
        <v>309</v>
      </c>
      <c r="F21369" t="s">
        <v>310</v>
      </c>
      <c r="G21369">
        <v>10.17</v>
      </c>
      <c r="H21369">
        <v>250731</v>
      </c>
      <c r="I21369">
        <v>4369</v>
      </c>
      <c r="J21369" t="s">
        <v>188</v>
      </c>
      <c r="K21369">
        <v>36.19</v>
      </c>
      <c r="L21369">
        <v>2.0699999999999998</v>
      </c>
      <c r="M21369">
        <v>43222</v>
      </c>
      <c r="N21369" t="s">
        <v>95</v>
      </c>
      <c r="O21369">
        <v>250813</v>
      </c>
      <c r="P21369">
        <v>8.1</v>
      </c>
    </row>
    <row r="21370" spans="1:16" x14ac:dyDescent="0.25">
      <c r="A21370" t="s">
        <v>3296</v>
      </c>
      <c r="B21370" t="s">
        <v>2931</v>
      </c>
      <c r="C21370">
        <v>10253</v>
      </c>
      <c r="D21370" t="str">
        <f t="shared" si="433"/>
        <v xml:space="preserve">12532021239 </v>
      </c>
      <c r="E21370" t="s">
        <v>309</v>
      </c>
      <c r="F21370" t="s">
        <v>310</v>
      </c>
      <c r="G21370">
        <v>3.39</v>
      </c>
      <c r="H21370">
        <v>250731</v>
      </c>
      <c r="I21370">
        <v>4369</v>
      </c>
      <c r="J21370" t="s">
        <v>188</v>
      </c>
      <c r="K21370">
        <v>36.19</v>
      </c>
      <c r="L21370">
        <v>0.69</v>
      </c>
      <c r="M21370">
        <v>44422</v>
      </c>
      <c r="N21370" t="s">
        <v>97</v>
      </c>
      <c r="O21370">
        <v>250813</v>
      </c>
      <c r="P21370">
        <v>2.7</v>
      </c>
    </row>
    <row r="21371" spans="1:16" x14ac:dyDescent="0.25">
      <c r="A21371" t="s">
        <v>3296</v>
      </c>
      <c r="B21371" t="s">
        <v>2931</v>
      </c>
      <c r="C21371">
        <v>10253</v>
      </c>
      <c r="D21371" t="str">
        <f t="shared" si="433"/>
        <v xml:space="preserve">12532021239 </v>
      </c>
      <c r="E21371" t="s">
        <v>309</v>
      </c>
      <c r="F21371" t="s">
        <v>310</v>
      </c>
      <c r="G21371">
        <v>6.78</v>
      </c>
      <c r="H21371">
        <v>250731</v>
      </c>
      <c r="I21371">
        <v>4369</v>
      </c>
      <c r="J21371" t="s">
        <v>188</v>
      </c>
      <c r="K21371">
        <v>36.19</v>
      </c>
      <c r="L21371">
        <v>1.38</v>
      </c>
      <c r="M21371">
        <v>44423</v>
      </c>
      <c r="N21371" t="s">
        <v>98</v>
      </c>
      <c r="O21371">
        <v>250813</v>
      </c>
      <c r="P21371">
        <v>5.4</v>
      </c>
    </row>
    <row r="21372" spans="1:16" x14ac:dyDescent="0.25">
      <c r="A21372" t="s">
        <v>3296</v>
      </c>
      <c r="B21372" t="s">
        <v>2931</v>
      </c>
      <c r="C21372">
        <v>10253</v>
      </c>
      <c r="D21372" t="str">
        <f t="shared" si="433"/>
        <v xml:space="preserve">12532021239 </v>
      </c>
      <c r="E21372" t="s">
        <v>309</v>
      </c>
      <c r="F21372" t="s">
        <v>310</v>
      </c>
      <c r="G21372">
        <v>3.39</v>
      </c>
      <c r="H21372">
        <v>250731</v>
      </c>
      <c r="I21372">
        <v>4369</v>
      </c>
      <c r="J21372" t="s">
        <v>188</v>
      </c>
      <c r="K21372">
        <v>36.19</v>
      </c>
      <c r="L21372">
        <v>0.69</v>
      </c>
      <c r="M21372">
        <v>44453</v>
      </c>
      <c r="N21372" t="s">
        <v>100</v>
      </c>
      <c r="O21372">
        <v>250813</v>
      </c>
      <c r="P21372">
        <v>2.7</v>
      </c>
    </row>
    <row r="21373" spans="1:16" x14ac:dyDescent="0.25">
      <c r="A21373" t="s">
        <v>3296</v>
      </c>
      <c r="B21373" t="s">
        <v>2931</v>
      </c>
      <c r="C21373">
        <v>10253</v>
      </c>
      <c r="D21373" t="str">
        <f t="shared" si="433"/>
        <v xml:space="preserve">12532021239 </v>
      </c>
      <c r="E21373" t="s">
        <v>309</v>
      </c>
      <c r="F21373" t="s">
        <v>310</v>
      </c>
      <c r="G21373">
        <v>3.39</v>
      </c>
      <c r="H21373">
        <v>250731</v>
      </c>
      <c r="I21373">
        <v>4369</v>
      </c>
      <c r="J21373" t="s">
        <v>188</v>
      </c>
      <c r="K21373">
        <v>36.19</v>
      </c>
      <c r="L21373">
        <v>0.69</v>
      </c>
      <c r="M21373">
        <v>48601</v>
      </c>
      <c r="N21373" t="s">
        <v>107</v>
      </c>
      <c r="O21373">
        <v>250813</v>
      </c>
      <c r="P21373">
        <v>2.7</v>
      </c>
    </row>
    <row r="21374" spans="1:16" x14ac:dyDescent="0.25">
      <c r="A21374" t="s">
        <v>3296</v>
      </c>
      <c r="B21374" t="s">
        <v>2931</v>
      </c>
      <c r="C21374">
        <v>10253</v>
      </c>
      <c r="D21374" t="str">
        <f t="shared" si="433"/>
        <v xml:space="preserve">12532021239 </v>
      </c>
      <c r="E21374" t="s">
        <v>309</v>
      </c>
      <c r="F21374" t="s">
        <v>310</v>
      </c>
      <c r="G21374">
        <v>9.07</v>
      </c>
      <c r="H21374">
        <v>250731</v>
      </c>
      <c r="I21374">
        <v>4369</v>
      </c>
      <c r="J21374" t="s">
        <v>188</v>
      </c>
      <c r="K21374">
        <v>36.19</v>
      </c>
      <c r="L21374">
        <v>1.84</v>
      </c>
      <c r="M21374">
        <v>49702</v>
      </c>
      <c r="N21374" t="s">
        <v>112</v>
      </c>
      <c r="O21374">
        <v>250813</v>
      </c>
      <c r="P21374">
        <v>7.23</v>
      </c>
    </row>
    <row r="21375" spans="1:16" x14ac:dyDescent="0.25">
      <c r="A21375" t="s">
        <v>3296</v>
      </c>
      <c r="B21375" t="s">
        <v>2931</v>
      </c>
      <c r="C21375">
        <v>10254</v>
      </c>
      <c r="D21375" t="str">
        <f t="shared" ref="D21375:D21381" si="434">"12532021229 "</f>
        <v xml:space="preserve">12532021229 </v>
      </c>
      <c r="E21375" t="s">
        <v>309</v>
      </c>
      <c r="F21375" t="s">
        <v>310</v>
      </c>
      <c r="G21375">
        <v>23.72</v>
      </c>
      <c r="H21375">
        <v>250731</v>
      </c>
      <c r="I21375">
        <v>4369</v>
      </c>
      <c r="J21375" t="s">
        <v>188</v>
      </c>
      <c r="K21375">
        <v>54.22</v>
      </c>
      <c r="L21375">
        <v>4.82</v>
      </c>
      <c r="M21375">
        <v>54222</v>
      </c>
      <c r="N21375" t="s">
        <v>48</v>
      </c>
      <c r="O21375">
        <v>250813</v>
      </c>
      <c r="P21375">
        <v>18.899999999999999</v>
      </c>
    </row>
    <row r="21376" spans="1:16" x14ac:dyDescent="0.25">
      <c r="A21376" t="s">
        <v>3296</v>
      </c>
      <c r="B21376" t="s">
        <v>2931</v>
      </c>
      <c r="C21376">
        <v>10254</v>
      </c>
      <c r="D21376" t="str">
        <f t="shared" si="434"/>
        <v xml:space="preserve">12532021229 </v>
      </c>
      <c r="E21376" t="s">
        <v>309</v>
      </c>
      <c r="F21376" t="s">
        <v>310</v>
      </c>
      <c r="G21376">
        <v>3.39</v>
      </c>
      <c r="H21376">
        <v>250731</v>
      </c>
      <c r="I21376">
        <v>4369</v>
      </c>
      <c r="J21376" t="s">
        <v>188</v>
      </c>
      <c r="K21376">
        <v>54.22</v>
      </c>
      <c r="L21376">
        <v>0.69</v>
      </c>
      <c r="M21376">
        <v>54251</v>
      </c>
      <c r="N21376" t="s">
        <v>485</v>
      </c>
      <c r="O21376">
        <v>250813</v>
      </c>
      <c r="P21376">
        <v>2.7</v>
      </c>
    </row>
    <row r="21377" spans="1:16" x14ac:dyDescent="0.25">
      <c r="A21377" t="s">
        <v>3296</v>
      </c>
      <c r="B21377" t="s">
        <v>2931</v>
      </c>
      <c r="C21377">
        <v>10254</v>
      </c>
      <c r="D21377" t="str">
        <f t="shared" si="434"/>
        <v xml:space="preserve">12532021229 </v>
      </c>
      <c r="E21377" t="s">
        <v>309</v>
      </c>
      <c r="F21377" t="s">
        <v>310</v>
      </c>
      <c r="G21377">
        <v>3.39</v>
      </c>
      <c r="H21377">
        <v>250731</v>
      </c>
      <c r="I21377">
        <v>4369</v>
      </c>
      <c r="J21377" t="s">
        <v>188</v>
      </c>
      <c r="K21377">
        <v>54.22</v>
      </c>
      <c r="L21377">
        <v>0.69</v>
      </c>
      <c r="M21377">
        <v>54252</v>
      </c>
      <c r="N21377" t="s">
        <v>742</v>
      </c>
      <c r="O21377">
        <v>250813</v>
      </c>
      <c r="P21377">
        <v>2.7</v>
      </c>
    </row>
    <row r="21378" spans="1:16" x14ac:dyDescent="0.25">
      <c r="A21378" t="s">
        <v>3296</v>
      </c>
      <c r="B21378" t="s">
        <v>2931</v>
      </c>
      <c r="C21378">
        <v>10254</v>
      </c>
      <c r="D21378" t="str">
        <f t="shared" si="434"/>
        <v xml:space="preserve">12532021229 </v>
      </c>
      <c r="E21378" t="s">
        <v>309</v>
      </c>
      <c r="F21378" t="s">
        <v>310</v>
      </c>
      <c r="G21378">
        <v>6.78</v>
      </c>
      <c r="H21378">
        <v>250731</v>
      </c>
      <c r="I21378">
        <v>4369</v>
      </c>
      <c r="J21378" t="s">
        <v>188</v>
      </c>
      <c r="K21378">
        <v>54.22</v>
      </c>
      <c r="L21378">
        <v>1.38</v>
      </c>
      <c r="M21378">
        <v>54422</v>
      </c>
      <c r="N21378" t="s">
        <v>49</v>
      </c>
      <c r="O21378">
        <v>250813</v>
      </c>
      <c r="P21378">
        <v>5.4</v>
      </c>
    </row>
    <row r="21379" spans="1:16" x14ac:dyDescent="0.25">
      <c r="A21379" t="s">
        <v>3296</v>
      </c>
      <c r="B21379" t="s">
        <v>2931</v>
      </c>
      <c r="C21379">
        <v>10254</v>
      </c>
      <c r="D21379" t="str">
        <f t="shared" si="434"/>
        <v xml:space="preserve">12532021229 </v>
      </c>
      <c r="E21379" t="s">
        <v>309</v>
      </c>
      <c r="F21379" t="s">
        <v>310</v>
      </c>
      <c r="G21379">
        <v>6.78</v>
      </c>
      <c r="H21379">
        <v>250731</v>
      </c>
      <c r="I21379">
        <v>4369</v>
      </c>
      <c r="J21379" t="s">
        <v>188</v>
      </c>
      <c r="K21379">
        <v>54.22</v>
      </c>
      <c r="L21379">
        <v>1.38</v>
      </c>
      <c r="M21379">
        <v>54451</v>
      </c>
      <c r="N21379" t="s">
        <v>218</v>
      </c>
      <c r="O21379">
        <v>250813</v>
      </c>
      <c r="P21379">
        <v>5.4</v>
      </c>
    </row>
    <row r="21380" spans="1:16" x14ac:dyDescent="0.25">
      <c r="A21380" t="s">
        <v>3296</v>
      </c>
      <c r="B21380" t="s">
        <v>2931</v>
      </c>
      <c r="C21380">
        <v>10254</v>
      </c>
      <c r="D21380" t="str">
        <f t="shared" si="434"/>
        <v xml:space="preserve">12532021229 </v>
      </c>
      <c r="E21380" t="s">
        <v>309</v>
      </c>
      <c r="F21380" t="s">
        <v>310</v>
      </c>
      <c r="G21380">
        <v>6.78</v>
      </c>
      <c r="H21380">
        <v>250731</v>
      </c>
      <c r="I21380">
        <v>4369</v>
      </c>
      <c r="J21380" t="s">
        <v>188</v>
      </c>
      <c r="K21380">
        <v>54.22</v>
      </c>
      <c r="L21380">
        <v>1.38</v>
      </c>
      <c r="M21380">
        <v>56563</v>
      </c>
      <c r="N21380" t="s">
        <v>55</v>
      </c>
      <c r="O21380">
        <v>250813</v>
      </c>
      <c r="P21380">
        <v>5.4</v>
      </c>
    </row>
    <row r="21381" spans="1:16" x14ac:dyDescent="0.25">
      <c r="A21381" t="s">
        <v>3296</v>
      </c>
      <c r="B21381" t="s">
        <v>2931</v>
      </c>
      <c r="C21381">
        <v>10254</v>
      </c>
      <c r="D21381" t="str">
        <f t="shared" si="434"/>
        <v xml:space="preserve">12532021229 </v>
      </c>
      <c r="E21381" t="s">
        <v>309</v>
      </c>
      <c r="F21381" t="s">
        <v>310</v>
      </c>
      <c r="G21381">
        <v>3.38</v>
      </c>
      <c r="H21381">
        <v>250731</v>
      </c>
      <c r="I21381">
        <v>4369</v>
      </c>
      <c r="J21381" t="s">
        <v>188</v>
      </c>
      <c r="K21381">
        <v>54.22</v>
      </c>
      <c r="L21381">
        <v>0.69</v>
      </c>
      <c r="M21381">
        <v>58601</v>
      </c>
      <c r="N21381" t="s">
        <v>59</v>
      </c>
      <c r="O21381">
        <v>250813</v>
      </c>
      <c r="P21381">
        <v>2.69</v>
      </c>
    </row>
    <row r="21382" spans="1:16" x14ac:dyDescent="0.25">
      <c r="A21382" t="s">
        <v>3296</v>
      </c>
      <c r="B21382" t="s">
        <v>2931</v>
      </c>
      <c r="C21382">
        <v>10255</v>
      </c>
      <c r="D21382" t="str">
        <f t="shared" ref="D21382:D21388" si="435">"12532021245 "</f>
        <v xml:space="preserve">12532021245 </v>
      </c>
      <c r="E21382" t="s">
        <v>309</v>
      </c>
      <c r="F21382" t="s">
        <v>310</v>
      </c>
      <c r="G21382">
        <v>2.2000000000000002</v>
      </c>
      <c r="H21382">
        <v>250731</v>
      </c>
      <c r="I21382">
        <v>4369</v>
      </c>
      <c r="J21382" t="s">
        <v>188</v>
      </c>
      <c r="K21382">
        <v>16.940000000000001</v>
      </c>
      <c r="L21382">
        <v>0.45</v>
      </c>
      <c r="M21382">
        <v>41126</v>
      </c>
      <c r="N21382" t="s">
        <v>94</v>
      </c>
      <c r="O21382">
        <v>250813</v>
      </c>
      <c r="P21382">
        <v>1.75</v>
      </c>
    </row>
    <row r="21383" spans="1:16" x14ac:dyDescent="0.25">
      <c r="A21383" t="s">
        <v>3296</v>
      </c>
      <c r="B21383" t="s">
        <v>2931</v>
      </c>
      <c r="C21383">
        <v>10255</v>
      </c>
      <c r="D21383" t="str">
        <f t="shared" si="435"/>
        <v xml:space="preserve">12532021245 </v>
      </c>
      <c r="E21383" t="s">
        <v>309</v>
      </c>
      <c r="F21383" t="s">
        <v>310</v>
      </c>
      <c r="G21383">
        <v>1.69</v>
      </c>
      <c r="H21383">
        <v>250731</v>
      </c>
      <c r="I21383">
        <v>4369</v>
      </c>
      <c r="J21383" t="s">
        <v>188</v>
      </c>
      <c r="K21383">
        <v>16.940000000000001</v>
      </c>
      <c r="L21383">
        <v>0.34</v>
      </c>
      <c r="M21383">
        <v>43222</v>
      </c>
      <c r="N21383" t="s">
        <v>95</v>
      </c>
      <c r="O21383">
        <v>250813</v>
      </c>
      <c r="P21383">
        <v>1.35</v>
      </c>
    </row>
    <row r="21384" spans="1:16" x14ac:dyDescent="0.25">
      <c r="A21384" t="s">
        <v>3296</v>
      </c>
      <c r="B21384" t="s">
        <v>2931</v>
      </c>
      <c r="C21384">
        <v>10255</v>
      </c>
      <c r="D21384" t="str">
        <f t="shared" si="435"/>
        <v xml:space="preserve">12532021245 </v>
      </c>
      <c r="E21384" t="s">
        <v>309</v>
      </c>
      <c r="F21384" t="s">
        <v>310</v>
      </c>
      <c r="G21384">
        <v>2.0299999999999998</v>
      </c>
      <c r="H21384">
        <v>250731</v>
      </c>
      <c r="I21384">
        <v>4369</v>
      </c>
      <c r="J21384" t="s">
        <v>188</v>
      </c>
      <c r="K21384">
        <v>16.940000000000001</v>
      </c>
      <c r="L21384">
        <v>0.41</v>
      </c>
      <c r="M21384">
        <v>44222</v>
      </c>
      <c r="N21384" t="s">
        <v>96</v>
      </c>
      <c r="O21384">
        <v>250813</v>
      </c>
      <c r="P21384">
        <v>1.62</v>
      </c>
    </row>
    <row r="21385" spans="1:16" x14ac:dyDescent="0.25">
      <c r="A21385" t="s">
        <v>3296</v>
      </c>
      <c r="B21385" t="s">
        <v>2931</v>
      </c>
      <c r="C21385">
        <v>10255</v>
      </c>
      <c r="D21385" t="str">
        <f t="shared" si="435"/>
        <v xml:space="preserve">12532021245 </v>
      </c>
      <c r="E21385" t="s">
        <v>309</v>
      </c>
      <c r="F21385" t="s">
        <v>310</v>
      </c>
      <c r="G21385">
        <v>2.2000000000000002</v>
      </c>
      <c r="H21385">
        <v>250731</v>
      </c>
      <c r="I21385">
        <v>4369</v>
      </c>
      <c r="J21385" t="s">
        <v>188</v>
      </c>
      <c r="K21385">
        <v>16.940000000000001</v>
      </c>
      <c r="L21385">
        <v>0.45</v>
      </c>
      <c r="M21385">
        <v>44424</v>
      </c>
      <c r="N21385" t="s">
        <v>99</v>
      </c>
      <c r="O21385">
        <v>250813</v>
      </c>
      <c r="P21385">
        <v>1.75</v>
      </c>
    </row>
    <row r="21386" spans="1:16" x14ac:dyDescent="0.25">
      <c r="A21386" t="s">
        <v>3296</v>
      </c>
      <c r="B21386" t="s">
        <v>2931</v>
      </c>
      <c r="C21386">
        <v>10255</v>
      </c>
      <c r="D21386" t="str">
        <f t="shared" si="435"/>
        <v xml:space="preserve">12532021245 </v>
      </c>
      <c r="E21386" t="s">
        <v>309</v>
      </c>
      <c r="F21386" t="s">
        <v>310</v>
      </c>
      <c r="G21386">
        <v>1.19</v>
      </c>
      <c r="H21386">
        <v>250731</v>
      </c>
      <c r="I21386">
        <v>4369</v>
      </c>
      <c r="J21386" t="s">
        <v>188</v>
      </c>
      <c r="K21386">
        <v>16.940000000000001</v>
      </c>
      <c r="L21386">
        <v>0.24</v>
      </c>
      <c r="M21386">
        <v>46222</v>
      </c>
      <c r="N21386" t="s">
        <v>101</v>
      </c>
      <c r="O21386">
        <v>250813</v>
      </c>
      <c r="P21386">
        <v>0.95</v>
      </c>
    </row>
    <row r="21387" spans="1:16" x14ac:dyDescent="0.25">
      <c r="A21387" t="s">
        <v>3296</v>
      </c>
      <c r="B21387" t="s">
        <v>2931</v>
      </c>
      <c r="C21387">
        <v>10255</v>
      </c>
      <c r="D21387" t="str">
        <f t="shared" si="435"/>
        <v xml:space="preserve">12532021245 </v>
      </c>
      <c r="E21387" t="s">
        <v>309</v>
      </c>
      <c r="F21387" t="s">
        <v>310</v>
      </c>
      <c r="G21387">
        <v>6.78</v>
      </c>
      <c r="H21387">
        <v>250731</v>
      </c>
      <c r="I21387">
        <v>4369</v>
      </c>
      <c r="J21387" t="s">
        <v>188</v>
      </c>
      <c r="K21387">
        <v>16.940000000000001</v>
      </c>
      <c r="L21387">
        <v>1.38</v>
      </c>
      <c r="M21387">
        <v>46559</v>
      </c>
      <c r="N21387" t="s">
        <v>105</v>
      </c>
      <c r="O21387">
        <v>250813</v>
      </c>
      <c r="P21387">
        <v>5.4</v>
      </c>
    </row>
    <row r="21388" spans="1:16" x14ac:dyDescent="0.25">
      <c r="A21388" t="s">
        <v>3296</v>
      </c>
      <c r="B21388" t="s">
        <v>2931</v>
      </c>
      <c r="C21388">
        <v>10255</v>
      </c>
      <c r="D21388" t="str">
        <f t="shared" si="435"/>
        <v xml:space="preserve">12532021245 </v>
      </c>
      <c r="E21388" t="s">
        <v>309</v>
      </c>
      <c r="F21388" t="s">
        <v>310</v>
      </c>
      <c r="G21388">
        <v>0.85</v>
      </c>
      <c r="H21388">
        <v>250731</v>
      </c>
      <c r="I21388">
        <v>4369</v>
      </c>
      <c r="J21388" t="s">
        <v>188</v>
      </c>
      <c r="K21388">
        <v>16.940000000000001</v>
      </c>
      <c r="L21388">
        <v>0.17</v>
      </c>
      <c r="M21388">
        <v>47522</v>
      </c>
      <c r="N21388" t="s">
        <v>106</v>
      </c>
      <c r="O21388">
        <v>250813</v>
      </c>
      <c r="P21388">
        <v>0.68</v>
      </c>
    </row>
    <row r="21389" spans="1:16" x14ac:dyDescent="0.25">
      <c r="A21389" t="s">
        <v>3296</v>
      </c>
      <c r="B21389" t="s">
        <v>2931</v>
      </c>
      <c r="C21389">
        <v>10256</v>
      </c>
      <c r="D21389" t="str">
        <f>"12532021244 "</f>
        <v xml:space="preserve">12532021244 </v>
      </c>
      <c r="E21389" t="s">
        <v>309</v>
      </c>
      <c r="F21389" t="s">
        <v>310</v>
      </c>
      <c r="G21389">
        <v>3.39</v>
      </c>
      <c r="H21389">
        <v>250731</v>
      </c>
      <c r="I21389">
        <v>4369</v>
      </c>
      <c r="J21389" t="s">
        <v>188</v>
      </c>
      <c r="K21389">
        <v>3.39</v>
      </c>
      <c r="L21389">
        <v>0.69</v>
      </c>
      <c r="M21389">
        <v>11900</v>
      </c>
      <c r="N21389" t="s">
        <v>30</v>
      </c>
      <c r="O21389">
        <v>250813</v>
      </c>
      <c r="P21389">
        <v>2.7</v>
      </c>
    </row>
    <row r="21390" spans="1:16" x14ac:dyDescent="0.25">
      <c r="A21390" t="s">
        <v>3296</v>
      </c>
      <c r="B21390" t="s">
        <v>2931</v>
      </c>
      <c r="C21390">
        <v>10257</v>
      </c>
      <c r="D21390" t="str">
        <f t="shared" ref="D21390:D21398" si="436">"12532021224 "</f>
        <v xml:space="preserve">12532021224 </v>
      </c>
      <c r="E21390" t="s">
        <v>309</v>
      </c>
      <c r="F21390" t="s">
        <v>310</v>
      </c>
      <c r="G21390">
        <v>12.87</v>
      </c>
      <c r="H21390">
        <v>250731</v>
      </c>
      <c r="I21390">
        <v>4369</v>
      </c>
      <c r="J21390" t="s">
        <v>188</v>
      </c>
      <c r="K21390">
        <v>98</v>
      </c>
      <c r="L21390">
        <v>2.62</v>
      </c>
      <c r="M21390">
        <v>14971</v>
      </c>
      <c r="N21390" t="s">
        <v>81</v>
      </c>
      <c r="O21390">
        <v>250813</v>
      </c>
      <c r="P21390">
        <v>10.25</v>
      </c>
    </row>
    <row r="21391" spans="1:16" x14ac:dyDescent="0.25">
      <c r="A21391" t="s">
        <v>3296</v>
      </c>
      <c r="B21391" t="s">
        <v>2931</v>
      </c>
      <c r="C21391">
        <v>10257</v>
      </c>
      <c r="D21391" t="str">
        <f t="shared" si="436"/>
        <v xml:space="preserve">12532021224 </v>
      </c>
      <c r="E21391" t="s">
        <v>309</v>
      </c>
      <c r="F21391" t="s">
        <v>310</v>
      </c>
      <c r="G21391">
        <v>6.59</v>
      </c>
      <c r="H21391">
        <v>250731</v>
      </c>
      <c r="I21391">
        <v>4369</v>
      </c>
      <c r="J21391" t="s">
        <v>188</v>
      </c>
      <c r="K21391">
        <v>98</v>
      </c>
      <c r="L21391">
        <v>1.34</v>
      </c>
      <c r="M21391">
        <v>17972</v>
      </c>
      <c r="N21391" t="s">
        <v>28</v>
      </c>
      <c r="O21391">
        <v>250813</v>
      </c>
      <c r="P21391">
        <v>5.25</v>
      </c>
    </row>
    <row r="21392" spans="1:16" x14ac:dyDescent="0.25">
      <c r="A21392" t="s">
        <v>3296</v>
      </c>
      <c r="B21392" t="s">
        <v>2931</v>
      </c>
      <c r="C21392">
        <v>10257</v>
      </c>
      <c r="D21392" t="str">
        <f t="shared" si="436"/>
        <v xml:space="preserve">12532021224 </v>
      </c>
      <c r="E21392" t="s">
        <v>309</v>
      </c>
      <c r="F21392" t="s">
        <v>310</v>
      </c>
      <c r="G21392">
        <v>20.46</v>
      </c>
      <c r="H21392">
        <v>250731</v>
      </c>
      <c r="I21392">
        <v>4369</v>
      </c>
      <c r="J21392" t="s">
        <v>188</v>
      </c>
      <c r="K21392">
        <v>98</v>
      </c>
      <c r="L21392">
        <v>4.16</v>
      </c>
      <c r="M21392">
        <v>18010</v>
      </c>
      <c r="N21392" t="s">
        <v>36</v>
      </c>
      <c r="O21392">
        <v>250813</v>
      </c>
      <c r="P21392">
        <v>16.3</v>
      </c>
    </row>
    <row r="21393" spans="1:16" x14ac:dyDescent="0.25">
      <c r="A21393" t="s">
        <v>3296</v>
      </c>
      <c r="B21393" t="s">
        <v>2931</v>
      </c>
      <c r="C21393">
        <v>10257</v>
      </c>
      <c r="D21393" t="str">
        <f t="shared" si="436"/>
        <v xml:space="preserve">12532021224 </v>
      </c>
      <c r="E21393" t="s">
        <v>309</v>
      </c>
      <c r="F21393" t="s">
        <v>310</v>
      </c>
      <c r="G21393">
        <v>3.39</v>
      </c>
      <c r="H21393">
        <v>250731</v>
      </c>
      <c r="I21393">
        <v>4369</v>
      </c>
      <c r="J21393" t="s">
        <v>188</v>
      </c>
      <c r="K21393">
        <v>98</v>
      </c>
      <c r="L21393">
        <v>0.69</v>
      </c>
      <c r="M21393">
        <v>18120</v>
      </c>
      <c r="N21393" t="s">
        <v>37</v>
      </c>
      <c r="O21393">
        <v>250813</v>
      </c>
      <c r="P21393">
        <v>2.7</v>
      </c>
    </row>
    <row r="21394" spans="1:16" x14ac:dyDescent="0.25">
      <c r="A21394" t="s">
        <v>3296</v>
      </c>
      <c r="B21394" t="s">
        <v>2931</v>
      </c>
      <c r="C21394">
        <v>10257</v>
      </c>
      <c r="D21394" t="str">
        <f t="shared" si="436"/>
        <v xml:space="preserve">12532021224 </v>
      </c>
      <c r="E21394" t="s">
        <v>309</v>
      </c>
      <c r="F21394" t="s">
        <v>310</v>
      </c>
      <c r="G21394">
        <v>3.5</v>
      </c>
      <c r="H21394">
        <v>250731</v>
      </c>
      <c r="I21394">
        <v>4369</v>
      </c>
      <c r="J21394" t="s">
        <v>188</v>
      </c>
      <c r="K21394">
        <v>98</v>
      </c>
      <c r="L21394">
        <v>0.71</v>
      </c>
      <c r="M21394">
        <v>18122</v>
      </c>
      <c r="N21394" t="s">
        <v>176</v>
      </c>
      <c r="O21394">
        <v>250813</v>
      </c>
      <c r="P21394">
        <v>2.79</v>
      </c>
    </row>
    <row r="21395" spans="1:16" x14ac:dyDescent="0.25">
      <c r="A21395" t="s">
        <v>3296</v>
      </c>
      <c r="B21395" t="s">
        <v>2931</v>
      </c>
      <c r="C21395">
        <v>10257</v>
      </c>
      <c r="D21395" t="str">
        <f t="shared" si="436"/>
        <v xml:space="preserve">12532021224 </v>
      </c>
      <c r="E21395" t="s">
        <v>309</v>
      </c>
      <c r="F21395" t="s">
        <v>310</v>
      </c>
      <c r="G21395">
        <v>6.4</v>
      </c>
      <c r="H21395">
        <v>250731</v>
      </c>
      <c r="I21395">
        <v>4369</v>
      </c>
      <c r="J21395" t="s">
        <v>188</v>
      </c>
      <c r="K21395">
        <v>98</v>
      </c>
      <c r="L21395">
        <v>1.3</v>
      </c>
      <c r="M21395">
        <v>18972</v>
      </c>
      <c r="N21395" t="s">
        <v>39</v>
      </c>
      <c r="O21395">
        <v>250813</v>
      </c>
      <c r="P21395">
        <v>5.0999999999999996</v>
      </c>
    </row>
    <row r="21396" spans="1:16" x14ac:dyDescent="0.25">
      <c r="A21396" t="s">
        <v>3296</v>
      </c>
      <c r="B21396" t="s">
        <v>2931</v>
      </c>
      <c r="C21396">
        <v>10257</v>
      </c>
      <c r="D21396" t="str">
        <f t="shared" si="436"/>
        <v xml:space="preserve">12532021224 </v>
      </c>
      <c r="E21396" t="s">
        <v>309</v>
      </c>
      <c r="F21396" t="s">
        <v>310</v>
      </c>
      <c r="G21396">
        <v>34.43</v>
      </c>
      <c r="H21396">
        <v>250731</v>
      </c>
      <c r="I21396">
        <v>4369</v>
      </c>
      <c r="J21396" t="s">
        <v>188</v>
      </c>
      <c r="K21396">
        <v>98</v>
      </c>
      <c r="L21396">
        <v>7</v>
      </c>
      <c r="M21396">
        <v>18972</v>
      </c>
      <c r="N21396" t="s">
        <v>39</v>
      </c>
      <c r="O21396">
        <v>250813</v>
      </c>
      <c r="P21396">
        <v>27.43</v>
      </c>
    </row>
    <row r="21397" spans="1:16" x14ac:dyDescent="0.25">
      <c r="A21397" t="s">
        <v>3296</v>
      </c>
      <c r="B21397" t="s">
        <v>2931</v>
      </c>
      <c r="C21397">
        <v>10257</v>
      </c>
      <c r="D21397" t="str">
        <f t="shared" si="436"/>
        <v xml:space="preserve">12532021224 </v>
      </c>
      <c r="E21397" t="s">
        <v>309</v>
      </c>
      <c r="F21397" t="s">
        <v>310</v>
      </c>
      <c r="G21397">
        <v>3.77</v>
      </c>
      <c r="H21397">
        <v>250731</v>
      </c>
      <c r="I21397">
        <v>4369</v>
      </c>
      <c r="J21397" t="s">
        <v>188</v>
      </c>
      <c r="K21397">
        <v>98</v>
      </c>
      <c r="L21397">
        <v>0.77</v>
      </c>
      <c r="M21397">
        <v>49702</v>
      </c>
      <c r="N21397" t="s">
        <v>112</v>
      </c>
      <c r="O21397">
        <v>250813</v>
      </c>
      <c r="P21397">
        <v>3</v>
      </c>
    </row>
    <row r="21398" spans="1:16" x14ac:dyDescent="0.25">
      <c r="A21398" t="s">
        <v>3296</v>
      </c>
      <c r="B21398" t="s">
        <v>2931</v>
      </c>
      <c r="C21398">
        <v>10257</v>
      </c>
      <c r="D21398" t="str">
        <f t="shared" si="436"/>
        <v xml:space="preserve">12532021224 </v>
      </c>
      <c r="E21398" t="s">
        <v>309</v>
      </c>
      <c r="F21398" t="s">
        <v>310</v>
      </c>
      <c r="G21398">
        <v>6.59</v>
      </c>
      <c r="H21398">
        <v>250731</v>
      </c>
      <c r="I21398">
        <v>4369</v>
      </c>
      <c r="J21398" t="s">
        <v>188</v>
      </c>
      <c r="K21398">
        <v>98</v>
      </c>
      <c r="L21398">
        <v>1.34</v>
      </c>
      <c r="M21398">
        <v>59702</v>
      </c>
      <c r="N21398" t="s">
        <v>45</v>
      </c>
      <c r="O21398">
        <v>250813</v>
      </c>
      <c r="P21398">
        <v>5.25</v>
      </c>
    </row>
    <row r="21399" spans="1:16" x14ac:dyDescent="0.25">
      <c r="A21399" t="s">
        <v>3296</v>
      </c>
      <c r="B21399" t="s">
        <v>2931</v>
      </c>
      <c r="C21399">
        <v>10258</v>
      </c>
      <c r="D21399" t="str">
        <f>"12532021243 "</f>
        <v xml:space="preserve">12532021243 </v>
      </c>
      <c r="E21399" t="s">
        <v>309</v>
      </c>
      <c r="F21399" t="s">
        <v>310</v>
      </c>
      <c r="G21399">
        <v>16.940000000000001</v>
      </c>
      <c r="H21399">
        <v>250731</v>
      </c>
      <c r="I21399">
        <v>4369</v>
      </c>
      <c r="J21399" t="s">
        <v>188</v>
      </c>
      <c r="K21399">
        <v>79.84</v>
      </c>
      <c r="L21399">
        <v>3.44</v>
      </c>
      <c r="M21399">
        <v>46555</v>
      </c>
      <c r="N21399" t="s">
        <v>103</v>
      </c>
      <c r="O21399">
        <v>250813</v>
      </c>
      <c r="P21399">
        <v>13.5</v>
      </c>
    </row>
    <row r="21400" spans="1:16" x14ac:dyDescent="0.25">
      <c r="A21400" t="s">
        <v>3296</v>
      </c>
      <c r="B21400" t="s">
        <v>2931</v>
      </c>
      <c r="C21400">
        <v>10258</v>
      </c>
      <c r="D21400" t="str">
        <f>"12532021243 "</f>
        <v xml:space="preserve">12532021243 </v>
      </c>
      <c r="E21400" t="s">
        <v>309</v>
      </c>
      <c r="F21400" t="s">
        <v>310</v>
      </c>
      <c r="G21400">
        <v>62.9</v>
      </c>
      <c r="H21400">
        <v>250731</v>
      </c>
      <c r="I21400">
        <v>4369</v>
      </c>
      <c r="J21400" t="s">
        <v>188</v>
      </c>
      <c r="K21400">
        <v>79.84</v>
      </c>
      <c r="L21400">
        <v>12.78</v>
      </c>
      <c r="M21400">
        <v>48601</v>
      </c>
      <c r="N21400" t="s">
        <v>107</v>
      </c>
      <c r="O21400">
        <v>250813</v>
      </c>
      <c r="P21400">
        <v>50.12</v>
      </c>
    </row>
    <row r="21401" spans="1:16" x14ac:dyDescent="0.25">
      <c r="A21401" t="s">
        <v>3296</v>
      </c>
      <c r="B21401" t="s">
        <v>2931</v>
      </c>
      <c r="C21401">
        <v>10259</v>
      </c>
      <c r="D21401" t="str">
        <f t="shared" ref="D21401:D21411" si="437">"12532021231 "</f>
        <v xml:space="preserve">12532021231 </v>
      </c>
      <c r="E21401" t="s">
        <v>309</v>
      </c>
      <c r="F21401" t="s">
        <v>310</v>
      </c>
      <c r="G21401">
        <v>3.39</v>
      </c>
      <c r="H21401">
        <v>250731</v>
      </c>
      <c r="I21401">
        <v>4369</v>
      </c>
      <c r="J21401" t="s">
        <v>188</v>
      </c>
      <c r="K21401">
        <v>64.38</v>
      </c>
      <c r="L21401">
        <v>0.69</v>
      </c>
      <c r="M21401">
        <v>51157</v>
      </c>
      <c r="N21401" t="s">
        <v>998</v>
      </c>
      <c r="O21401">
        <v>250813</v>
      </c>
      <c r="P21401">
        <v>2.7</v>
      </c>
    </row>
    <row r="21402" spans="1:16" x14ac:dyDescent="0.25">
      <c r="A21402" t="s">
        <v>3296</v>
      </c>
      <c r="B21402" t="s">
        <v>2931</v>
      </c>
      <c r="C21402">
        <v>10259</v>
      </c>
      <c r="D21402" t="str">
        <f t="shared" si="437"/>
        <v xml:space="preserve">12532021231 </v>
      </c>
      <c r="E21402" t="s">
        <v>309</v>
      </c>
      <c r="F21402" t="s">
        <v>310</v>
      </c>
      <c r="G21402">
        <v>3.39</v>
      </c>
      <c r="H21402">
        <v>250731</v>
      </c>
      <c r="I21402">
        <v>4369</v>
      </c>
      <c r="J21402" t="s">
        <v>188</v>
      </c>
      <c r="K21402">
        <v>64.38</v>
      </c>
      <c r="L21402">
        <v>0.69</v>
      </c>
      <c r="M21402">
        <v>56526</v>
      </c>
      <c r="N21402" t="s">
        <v>506</v>
      </c>
      <c r="O21402">
        <v>250813</v>
      </c>
      <c r="P21402">
        <v>2.7</v>
      </c>
    </row>
    <row r="21403" spans="1:16" x14ac:dyDescent="0.25">
      <c r="A21403" t="s">
        <v>3296</v>
      </c>
      <c r="B21403" t="s">
        <v>2931</v>
      </c>
      <c r="C21403">
        <v>10259</v>
      </c>
      <c r="D21403" t="str">
        <f t="shared" si="437"/>
        <v xml:space="preserve">12532021231 </v>
      </c>
      <c r="E21403" t="s">
        <v>309</v>
      </c>
      <c r="F21403" t="s">
        <v>310</v>
      </c>
      <c r="G21403">
        <v>16.940000000000001</v>
      </c>
      <c r="H21403">
        <v>250731</v>
      </c>
      <c r="I21403">
        <v>4369</v>
      </c>
      <c r="J21403" t="s">
        <v>188</v>
      </c>
      <c r="K21403">
        <v>64.38</v>
      </c>
      <c r="L21403">
        <v>3.44</v>
      </c>
      <c r="M21403">
        <v>56558</v>
      </c>
      <c r="N21403" t="s">
        <v>50</v>
      </c>
      <c r="O21403">
        <v>250813</v>
      </c>
      <c r="P21403">
        <v>13.5</v>
      </c>
    </row>
    <row r="21404" spans="1:16" x14ac:dyDescent="0.25">
      <c r="A21404" t="s">
        <v>3296</v>
      </c>
      <c r="B21404" t="s">
        <v>2931</v>
      </c>
      <c r="C21404">
        <v>10259</v>
      </c>
      <c r="D21404" t="str">
        <f t="shared" si="437"/>
        <v xml:space="preserve">12532021231 </v>
      </c>
      <c r="E21404" t="s">
        <v>309</v>
      </c>
      <c r="F21404" t="s">
        <v>310</v>
      </c>
      <c r="G21404">
        <v>10.17</v>
      </c>
      <c r="H21404">
        <v>250731</v>
      </c>
      <c r="I21404">
        <v>4369</v>
      </c>
      <c r="J21404" t="s">
        <v>188</v>
      </c>
      <c r="K21404">
        <v>64.38</v>
      </c>
      <c r="L21404">
        <v>2.0699999999999998</v>
      </c>
      <c r="M21404">
        <v>56559</v>
      </c>
      <c r="N21404" t="s">
        <v>51</v>
      </c>
      <c r="O21404">
        <v>250813</v>
      </c>
      <c r="P21404">
        <v>8.1</v>
      </c>
    </row>
    <row r="21405" spans="1:16" x14ac:dyDescent="0.25">
      <c r="A21405" t="s">
        <v>3296</v>
      </c>
      <c r="B21405" t="s">
        <v>2931</v>
      </c>
      <c r="C21405">
        <v>10259</v>
      </c>
      <c r="D21405" t="str">
        <f t="shared" si="437"/>
        <v xml:space="preserve">12532021231 </v>
      </c>
      <c r="E21405" t="s">
        <v>309</v>
      </c>
      <c r="F21405" t="s">
        <v>310</v>
      </c>
      <c r="G21405">
        <v>6.78</v>
      </c>
      <c r="H21405">
        <v>250731</v>
      </c>
      <c r="I21405">
        <v>4369</v>
      </c>
      <c r="J21405" t="s">
        <v>188</v>
      </c>
      <c r="K21405">
        <v>64.38</v>
      </c>
      <c r="L21405">
        <v>1.38</v>
      </c>
      <c r="M21405">
        <v>56560</v>
      </c>
      <c r="N21405" t="s">
        <v>52</v>
      </c>
      <c r="O21405">
        <v>250813</v>
      </c>
      <c r="P21405">
        <v>5.4</v>
      </c>
    </row>
    <row r="21406" spans="1:16" x14ac:dyDescent="0.25">
      <c r="A21406" t="s">
        <v>3296</v>
      </c>
      <c r="B21406" t="s">
        <v>2931</v>
      </c>
      <c r="C21406">
        <v>10259</v>
      </c>
      <c r="D21406" t="str">
        <f t="shared" si="437"/>
        <v xml:space="preserve">12532021231 </v>
      </c>
      <c r="E21406" t="s">
        <v>309</v>
      </c>
      <c r="F21406" t="s">
        <v>310</v>
      </c>
      <c r="G21406">
        <v>3.39</v>
      </c>
      <c r="H21406">
        <v>250731</v>
      </c>
      <c r="I21406">
        <v>4369</v>
      </c>
      <c r="J21406" t="s">
        <v>188</v>
      </c>
      <c r="K21406">
        <v>64.38</v>
      </c>
      <c r="L21406">
        <v>0.69</v>
      </c>
      <c r="M21406">
        <v>56561</v>
      </c>
      <c r="N21406" t="s">
        <v>53</v>
      </c>
      <c r="O21406">
        <v>250813</v>
      </c>
      <c r="P21406">
        <v>2.7</v>
      </c>
    </row>
    <row r="21407" spans="1:16" x14ac:dyDescent="0.25">
      <c r="A21407" t="s">
        <v>3296</v>
      </c>
      <c r="B21407" t="s">
        <v>2931</v>
      </c>
      <c r="C21407">
        <v>10259</v>
      </c>
      <c r="D21407" t="str">
        <f t="shared" si="437"/>
        <v xml:space="preserve">12532021231 </v>
      </c>
      <c r="E21407" t="s">
        <v>309</v>
      </c>
      <c r="F21407" t="s">
        <v>310</v>
      </c>
      <c r="G21407">
        <v>6.78</v>
      </c>
      <c r="H21407">
        <v>250731</v>
      </c>
      <c r="I21407">
        <v>4369</v>
      </c>
      <c r="J21407" t="s">
        <v>188</v>
      </c>
      <c r="K21407">
        <v>64.38</v>
      </c>
      <c r="L21407">
        <v>1.38</v>
      </c>
      <c r="M21407">
        <v>56562</v>
      </c>
      <c r="N21407" t="s">
        <v>54</v>
      </c>
      <c r="O21407">
        <v>250813</v>
      </c>
      <c r="P21407">
        <v>5.4</v>
      </c>
    </row>
    <row r="21408" spans="1:16" x14ac:dyDescent="0.25">
      <c r="A21408" t="s">
        <v>3296</v>
      </c>
      <c r="B21408" t="s">
        <v>2931</v>
      </c>
      <c r="C21408">
        <v>10259</v>
      </c>
      <c r="D21408" t="str">
        <f t="shared" si="437"/>
        <v xml:space="preserve">12532021231 </v>
      </c>
      <c r="E21408" t="s">
        <v>309</v>
      </c>
      <c r="F21408" t="s">
        <v>310</v>
      </c>
      <c r="G21408">
        <v>3.39</v>
      </c>
      <c r="H21408">
        <v>250731</v>
      </c>
      <c r="I21408">
        <v>4369</v>
      </c>
      <c r="J21408" t="s">
        <v>188</v>
      </c>
      <c r="K21408">
        <v>64.38</v>
      </c>
      <c r="L21408">
        <v>0.69</v>
      </c>
      <c r="M21408">
        <v>56564</v>
      </c>
      <c r="N21408" t="s">
        <v>56</v>
      </c>
      <c r="O21408">
        <v>250813</v>
      </c>
      <c r="P21408">
        <v>2.7</v>
      </c>
    </row>
    <row r="21409" spans="1:16" x14ac:dyDescent="0.25">
      <c r="A21409" t="s">
        <v>3296</v>
      </c>
      <c r="B21409" t="s">
        <v>2931</v>
      </c>
      <c r="C21409">
        <v>10259</v>
      </c>
      <c r="D21409" t="str">
        <f t="shared" si="437"/>
        <v xml:space="preserve">12532021231 </v>
      </c>
      <c r="E21409" t="s">
        <v>309</v>
      </c>
      <c r="F21409" t="s">
        <v>310</v>
      </c>
      <c r="G21409">
        <v>3.39</v>
      </c>
      <c r="H21409">
        <v>250731</v>
      </c>
      <c r="I21409">
        <v>4369</v>
      </c>
      <c r="J21409" t="s">
        <v>188</v>
      </c>
      <c r="K21409">
        <v>64.38</v>
      </c>
      <c r="L21409">
        <v>0.69</v>
      </c>
      <c r="M21409">
        <v>56565</v>
      </c>
      <c r="N21409" t="s">
        <v>57</v>
      </c>
      <c r="O21409">
        <v>250813</v>
      </c>
      <c r="P21409">
        <v>2.7</v>
      </c>
    </row>
    <row r="21410" spans="1:16" x14ac:dyDescent="0.25">
      <c r="A21410" t="s">
        <v>3296</v>
      </c>
      <c r="B21410" t="s">
        <v>2931</v>
      </c>
      <c r="C21410">
        <v>10259</v>
      </c>
      <c r="D21410" t="str">
        <f t="shared" si="437"/>
        <v xml:space="preserve">12532021231 </v>
      </c>
      <c r="E21410" t="s">
        <v>309</v>
      </c>
      <c r="F21410" t="s">
        <v>310</v>
      </c>
      <c r="G21410">
        <v>3.38</v>
      </c>
      <c r="H21410">
        <v>250731</v>
      </c>
      <c r="I21410">
        <v>4369</v>
      </c>
      <c r="J21410" t="s">
        <v>188</v>
      </c>
      <c r="K21410">
        <v>64.38</v>
      </c>
      <c r="L21410">
        <v>0.69</v>
      </c>
      <c r="M21410">
        <v>56566</v>
      </c>
      <c r="N21410" t="s">
        <v>58</v>
      </c>
      <c r="O21410">
        <v>250813</v>
      </c>
      <c r="P21410">
        <v>2.69</v>
      </c>
    </row>
    <row r="21411" spans="1:16" x14ac:dyDescent="0.25">
      <c r="A21411" t="s">
        <v>3296</v>
      </c>
      <c r="B21411" t="s">
        <v>2931</v>
      </c>
      <c r="C21411">
        <v>10259</v>
      </c>
      <c r="D21411" t="str">
        <f t="shared" si="437"/>
        <v xml:space="preserve">12532021231 </v>
      </c>
      <c r="E21411" t="s">
        <v>309</v>
      </c>
      <c r="F21411" t="s">
        <v>310</v>
      </c>
      <c r="G21411">
        <v>3.38</v>
      </c>
      <c r="H21411">
        <v>250731</v>
      </c>
      <c r="I21411">
        <v>4369</v>
      </c>
      <c r="J21411" t="s">
        <v>188</v>
      </c>
      <c r="K21411">
        <v>64.38</v>
      </c>
      <c r="L21411">
        <v>0.69</v>
      </c>
      <c r="M21411">
        <v>56568</v>
      </c>
      <c r="N21411" t="s">
        <v>354</v>
      </c>
      <c r="O21411">
        <v>250813</v>
      </c>
      <c r="P21411">
        <v>2.69</v>
      </c>
    </row>
    <row r="21412" spans="1:16" x14ac:dyDescent="0.25">
      <c r="A21412" t="s">
        <v>3296</v>
      </c>
      <c r="B21412" t="s">
        <v>2931</v>
      </c>
      <c r="C21412">
        <v>10260</v>
      </c>
      <c r="D21412" t="str">
        <f>"12532021241 "</f>
        <v xml:space="preserve">12532021241 </v>
      </c>
      <c r="E21412" t="s">
        <v>309</v>
      </c>
      <c r="F21412" t="s">
        <v>310</v>
      </c>
      <c r="G21412">
        <v>6.59</v>
      </c>
      <c r="H21412">
        <v>250731</v>
      </c>
      <c r="I21412">
        <v>4369</v>
      </c>
      <c r="J21412" t="s">
        <v>188</v>
      </c>
      <c r="K21412">
        <v>43.6</v>
      </c>
      <c r="L21412">
        <v>1.34</v>
      </c>
      <c r="M21412">
        <v>44222</v>
      </c>
      <c r="N21412" t="s">
        <v>96</v>
      </c>
      <c r="O21412">
        <v>250813</v>
      </c>
      <c r="P21412">
        <v>5.25</v>
      </c>
    </row>
    <row r="21413" spans="1:16" x14ac:dyDescent="0.25">
      <c r="A21413" t="s">
        <v>3296</v>
      </c>
      <c r="B21413" t="s">
        <v>2931</v>
      </c>
      <c r="C21413">
        <v>10260</v>
      </c>
      <c r="D21413" t="str">
        <f>"12532021241 "</f>
        <v xml:space="preserve">12532021241 </v>
      </c>
      <c r="E21413" t="s">
        <v>309</v>
      </c>
      <c r="F21413" t="s">
        <v>310</v>
      </c>
      <c r="G21413">
        <v>23.83</v>
      </c>
      <c r="H21413">
        <v>250731</v>
      </c>
      <c r="I21413">
        <v>4369</v>
      </c>
      <c r="J21413" t="s">
        <v>188</v>
      </c>
      <c r="K21413">
        <v>43.6</v>
      </c>
      <c r="L21413">
        <v>4.84</v>
      </c>
      <c r="M21413">
        <v>44222</v>
      </c>
      <c r="N21413" t="s">
        <v>96</v>
      </c>
      <c r="O21413">
        <v>250813</v>
      </c>
      <c r="P21413">
        <v>18.989999999999998</v>
      </c>
    </row>
    <row r="21414" spans="1:16" x14ac:dyDescent="0.25">
      <c r="A21414" t="s">
        <v>3296</v>
      </c>
      <c r="B21414" t="s">
        <v>2931</v>
      </c>
      <c r="C21414">
        <v>10260</v>
      </c>
      <c r="D21414" t="str">
        <f>"12532021241 "</f>
        <v xml:space="preserve">12532021241 </v>
      </c>
      <c r="E21414" t="s">
        <v>309</v>
      </c>
      <c r="F21414" t="s">
        <v>310</v>
      </c>
      <c r="G21414">
        <v>3.39</v>
      </c>
      <c r="H21414">
        <v>250731</v>
      </c>
      <c r="I21414">
        <v>4369</v>
      </c>
      <c r="J21414" t="s">
        <v>188</v>
      </c>
      <c r="K21414">
        <v>43.6</v>
      </c>
      <c r="L21414">
        <v>0.69</v>
      </c>
      <c r="M21414">
        <v>44251</v>
      </c>
      <c r="N21414" t="s">
        <v>215</v>
      </c>
      <c r="O21414">
        <v>250813</v>
      </c>
      <c r="P21414">
        <v>2.7</v>
      </c>
    </row>
    <row r="21415" spans="1:16" x14ac:dyDescent="0.25">
      <c r="A21415" t="s">
        <v>3296</v>
      </c>
      <c r="B21415" t="s">
        <v>2931</v>
      </c>
      <c r="C21415">
        <v>10260</v>
      </c>
      <c r="D21415" t="str">
        <f>"12532021241 "</f>
        <v xml:space="preserve">12532021241 </v>
      </c>
      <c r="E21415" t="s">
        <v>309</v>
      </c>
      <c r="F21415" t="s">
        <v>310</v>
      </c>
      <c r="G21415">
        <v>3.2</v>
      </c>
      <c r="H21415">
        <v>250731</v>
      </c>
      <c r="I21415">
        <v>4369</v>
      </c>
      <c r="J21415" t="s">
        <v>188</v>
      </c>
      <c r="K21415">
        <v>43.6</v>
      </c>
      <c r="L21415">
        <v>0.65</v>
      </c>
      <c r="M21415">
        <v>44253</v>
      </c>
      <c r="N21415" t="s">
        <v>403</v>
      </c>
      <c r="O21415">
        <v>250813</v>
      </c>
      <c r="P21415">
        <v>2.5499999999999998</v>
      </c>
    </row>
    <row r="21416" spans="1:16" x14ac:dyDescent="0.25">
      <c r="A21416" t="s">
        <v>3296</v>
      </c>
      <c r="B21416" t="s">
        <v>2931</v>
      </c>
      <c r="C21416">
        <v>10260</v>
      </c>
      <c r="D21416" t="str">
        <f>"12532021241 "</f>
        <v xml:space="preserve">12532021241 </v>
      </c>
      <c r="E21416" t="s">
        <v>309</v>
      </c>
      <c r="F21416" t="s">
        <v>310</v>
      </c>
      <c r="G21416">
        <v>6.59</v>
      </c>
      <c r="H21416">
        <v>250731</v>
      </c>
      <c r="I21416">
        <v>4369</v>
      </c>
      <c r="J21416" t="s">
        <v>188</v>
      </c>
      <c r="K21416">
        <v>43.6</v>
      </c>
      <c r="L21416">
        <v>1.34</v>
      </c>
      <c r="M21416">
        <v>49702</v>
      </c>
      <c r="N21416" t="s">
        <v>112</v>
      </c>
      <c r="O21416">
        <v>250813</v>
      </c>
      <c r="P21416">
        <v>5.25</v>
      </c>
    </row>
    <row r="21417" spans="1:16" x14ac:dyDescent="0.25">
      <c r="A21417" t="s">
        <v>3296</v>
      </c>
      <c r="B21417" t="s">
        <v>2931</v>
      </c>
      <c r="C21417">
        <v>10261</v>
      </c>
      <c r="D21417" t="str">
        <f>"12532021258 "</f>
        <v xml:space="preserve">12532021258 </v>
      </c>
      <c r="E21417" t="s">
        <v>309</v>
      </c>
      <c r="F21417" t="s">
        <v>310</v>
      </c>
      <c r="G21417">
        <v>6.78</v>
      </c>
      <c r="H21417">
        <v>250731</v>
      </c>
      <c r="I21417">
        <v>4369</v>
      </c>
      <c r="J21417" t="s">
        <v>188</v>
      </c>
      <c r="K21417">
        <v>6.78</v>
      </c>
      <c r="L21417">
        <v>1.38</v>
      </c>
      <c r="M21417">
        <v>46557</v>
      </c>
      <c r="N21417" t="s">
        <v>104</v>
      </c>
      <c r="O21417">
        <v>250813</v>
      </c>
      <c r="P21417">
        <v>5.4</v>
      </c>
    </row>
    <row r="21418" spans="1:16" x14ac:dyDescent="0.25">
      <c r="A21418" t="s">
        <v>3296</v>
      </c>
      <c r="B21418" t="s">
        <v>2931</v>
      </c>
      <c r="C21418">
        <v>10262</v>
      </c>
      <c r="D21418" t="str">
        <f>"12532021255 "</f>
        <v xml:space="preserve">12532021255 </v>
      </c>
      <c r="E21418" t="s">
        <v>309</v>
      </c>
      <c r="F21418" t="s">
        <v>310</v>
      </c>
      <c r="G21418">
        <v>3.2</v>
      </c>
      <c r="H21418">
        <v>250731</v>
      </c>
      <c r="I21418">
        <v>4369</v>
      </c>
      <c r="J21418" t="s">
        <v>188</v>
      </c>
      <c r="K21418">
        <v>3.2</v>
      </c>
      <c r="L21418">
        <v>0.65</v>
      </c>
      <c r="M21418">
        <v>13801</v>
      </c>
      <c r="N21418" t="s">
        <v>33</v>
      </c>
      <c r="O21418">
        <v>250813</v>
      </c>
      <c r="P21418">
        <v>2.5499999999999998</v>
      </c>
    </row>
    <row r="21419" spans="1:16" x14ac:dyDescent="0.25">
      <c r="A21419" t="s">
        <v>3296</v>
      </c>
      <c r="B21419" t="s">
        <v>2931</v>
      </c>
      <c r="C21419">
        <v>10263</v>
      </c>
      <c r="D21419" t="str">
        <f t="shared" ref="D21419:D21444" si="438">"12532021249 "</f>
        <v xml:space="preserve">12532021249 </v>
      </c>
      <c r="E21419" t="s">
        <v>309</v>
      </c>
      <c r="F21419" t="s">
        <v>310</v>
      </c>
      <c r="G21419">
        <v>1.49</v>
      </c>
      <c r="H21419">
        <v>250731</v>
      </c>
      <c r="I21419">
        <v>4369</v>
      </c>
      <c r="J21419" t="s">
        <v>188</v>
      </c>
      <c r="K21419">
        <v>213.95</v>
      </c>
      <c r="L21419">
        <v>0.3</v>
      </c>
      <c r="M21419">
        <v>13540</v>
      </c>
      <c r="N21419" t="s">
        <v>131</v>
      </c>
      <c r="O21419">
        <v>250813</v>
      </c>
      <c r="P21419">
        <v>1.19</v>
      </c>
    </row>
    <row r="21420" spans="1:16" x14ac:dyDescent="0.25">
      <c r="A21420" t="s">
        <v>3296</v>
      </c>
      <c r="B21420" t="s">
        <v>2931</v>
      </c>
      <c r="C21420">
        <v>10263</v>
      </c>
      <c r="D21420" t="str">
        <f t="shared" si="438"/>
        <v xml:space="preserve">12532021249 </v>
      </c>
      <c r="E21420" t="s">
        <v>309</v>
      </c>
      <c r="F21420" t="s">
        <v>310</v>
      </c>
      <c r="G21420">
        <v>9.98</v>
      </c>
      <c r="H21420">
        <v>250731</v>
      </c>
      <c r="I21420">
        <v>4369</v>
      </c>
      <c r="J21420" t="s">
        <v>188</v>
      </c>
      <c r="K21420">
        <v>213.95</v>
      </c>
      <c r="L21420">
        <v>2.0299999999999998</v>
      </c>
      <c r="M21420">
        <v>16930</v>
      </c>
      <c r="N21420" t="s">
        <v>135</v>
      </c>
      <c r="O21420">
        <v>250813</v>
      </c>
      <c r="P21420">
        <v>7.95</v>
      </c>
    </row>
    <row r="21421" spans="1:16" x14ac:dyDescent="0.25">
      <c r="A21421" t="s">
        <v>3296</v>
      </c>
      <c r="B21421" t="s">
        <v>2931</v>
      </c>
      <c r="C21421">
        <v>10263</v>
      </c>
      <c r="D21421" t="str">
        <f t="shared" si="438"/>
        <v xml:space="preserve">12532021249 </v>
      </c>
      <c r="E21421" t="s">
        <v>309</v>
      </c>
      <c r="F21421" t="s">
        <v>310</v>
      </c>
      <c r="G21421">
        <v>3.36</v>
      </c>
      <c r="H21421">
        <v>250731</v>
      </c>
      <c r="I21421">
        <v>4369</v>
      </c>
      <c r="J21421" t="s">
        <v>188</v>
      </c>
      <c r="K21421">
        <v>213.95</v>
      </c>
      <c r="L21421">
        <v>0.68</v>
      </c>
      <c r="M21421">
        <v>16951</v>
      </c>
      <c r="N21421" t="s">
        <v>488</v>
      </c>
      <c r="O21421">
        <v>250813</v>
      </c>
      <c r="P21421">
        <v>2.68</v>
      </c>
    </row>
    <row r="21422" spans="1:16" x14ac:dyDescent="0.25">
      <c r="A21422" t="s">
        <v>3296</v>
      </c>
      <c r="B21422" t="s">
        <v>2931</v>
      </c>
      <c r="C21422">
        <v>10263</v>
      </c>
      <c r="D21422" t="str">
        <f t="shared" si="438"/>
        <v xml:space="preserve">12532021249 </v>
      </c>
      <c r="E21422" t="s">
        <v>309</v>
      </c>
      <c r="F21422" t="s">
        <v>310</v>
      </c>
      <c r="G21422">
        <v>13.55</v>
      </c>
      <c r="H21422">
        <v>250731</v>
      </c>
      <c r="I21422">
        <v>4369</v>
      </c>
      <c r="J21422" t="s">
        <v>188</v>
      </c>
      <c r="K21422">
        <v>213.95</v>
      </c>
      <c r="L21422">
        <v>2.75</v>
      </c>
      <c r="M21422">
        <v>17521</v>
      </c>
      <c r="N21422" t="s">
        <v>136</v>
      </c>
      <c r="O21422">
        <v>250813</v>
      </c>
      <c r="P21422">
        <v>10.8</v>
      </c>
    </row>
    <row r="21423" spans="1:16" x14ac:dyDescent="0.25">
      <c r="A21423" t="s">
        <v>3296</v>
      </c>
      <c r="B21423" t="s">
        <v>2931</v>
      </c>
      <c r="C21423">
        <v>10263</v>
      </c>
      <c r="D21423" t="str">
        <f t="shared" si="438"/>
        <v xml:space="preserve">12532021249 </v>
      </c>
      <c r="E21423" t="s">
        <v>309</v>
      </c>
      <c r="F21423" t="s">
        <v>310</v>
      </c>
      <c r="G21423">
        <v>6.78</v>
      </c>
      <c r="H21423">
        <v>250731</v>
      </c>
      <c r="I21423">
        <v>4369</v>
      </c>
      <c r="J21423" t="s">
        <v>188</v>
      </c>
      <c r="K21423">
        <v>213.95</v>
      </c>
      <c r="L21423">
        <v>1.38</v>
      </c>
      <c r="M21423">
        <v>17522</v>
      </c>
      <c r="N21423" t="s">
        <v>137</v>
      </c>
      <c r="O21423">
        <v>250813</v>
      </c>
      <c r="P21423">
        <v>5.4</v>
      </c>
    </row>
    <row r="21424" spans="1:16" x14ac:dyDescent="0.25">
      <c r="A21424" t="s">
        <v>3296</v>
      </c>
      <c r="B21424" t="s">
        <v>2931</v>
      </c>
      <c r="C21424">
        <v>10263</v>
      </c>
      <c r="D21424" t="str">
        <f t="shared" si="438"/>
        <v xml:space="preserve">12532021249 </v>
      </c>
      <c r="E21424" t="s">
        <v>309</v>
      </c>
      <c r="F21424" t="s">
        <v>310</v>
      </c>
      <c r="G21424">
        <v>11.14</v>
      </c>
      <c r="H21424">
        <v>250731</v>
      </c>
      <c r="I21424">
        <v>4369</v>
      </c>
      <c r="J21424" t="s">
        <v>188</v>
      </c>
      <c r="K21424">
        <v>213.95</v>
      </c>
      <c r="L21424">
        <v>2.2599999999999998</v>
      </c>
      <c r="M21424">
        <v>17523</v>
      </c>
      <c r="N21424" t="s">
        <v>138</v>
      </c>
      <c r="O21424">
        <v>250813</v>
      </c>
      <c r="P21424">
        <v>8.8800000000000008</v>
      </c>
    </row>
    <row r="21425" spans="1:16" x14ac:dyDescent="0.25">
      <c r="A21425" t="s">
        <v>3296</v>
      </c>
      <c r="B21425" t="s">
        <v>2931</v>
      </c>
      <c r="C21425">
        <v>10263</v>
      </c>
      <c r="D21425" t="str">
        <f t="shared" si="438"/>
        <v xml:space="preserve">12532021249 </v>
      </c>
      <c r="E21425" t="s">
        <v>309</v>
      </c>
      <c r="F21425" t="s">
        <v>310</v>
      </c>
      <c r="G21425">
        <v>6.78</v>
      </c>
      <c r="H21425">
        <v>250731</v>
      </c>
      <c r="I21425">
        <v>4369</v>
      </c>
      <c r="J21425" t="s">
        <v>188</v>
      </c>
      <c r="K21425">
        <v>213.95</v>
      </c>
      <c r="L21425">
        <v>1.38</v>
      </c>
      <c r="M21425">
        <v>17524</v>
      </c>
      <c r="N21425" t="s">
        <v>139</v>
      </c>
      <c r="O21425">
        <v>250813</v>
      </c>
      <c r="P21425">
        <v>5.4</v>
      </c>
    </row>
    <row r="21426" spans="1:16" x14ac:dyDescent="0.25">
      <c r="A21426" t="s">
        <v>3296</v>
      </c>
      <c r="B21426" t="s">
        <v>2931</v>
      </c>
      <c r="C21426">
        <v>10263</v>
      </c>
      <c r="D21426" t="str">
        <f t="shared" si="438"/>
        <v xml:space="preserve">12532021249 </v>
      </c>
      <c r="E21426" t="s">
        <v>309</v>
      </c>
      <c r="F21426" t="s">
        <v>310</v>
      </c>
      <c r="G21426">
        <v>3.39</v>
      </c>
      <c r="H21426">
        <v>250731</v>
      </c>
      <c r="I21426">
        <v>4369</v>
      </c>
      <c r="J21426" t="s">
        <v>188</v>
      </c>
      <c r="K21426">
        <v>213.95</v>
      </c>
      <c r="L21426">
        <v>0.69</v>
      </c>
      <c r="M21426">
        <v>17525</v>
      </c>
      <c r="N21426" t="s">
        <v>140</v>
      </c>
      <c r="O21426">
        <v>250813</v>
      </c>
      <c r="P21426">
        <v>2.7</v>
      </c>
    </row>
    <row r="21427" spans="1:16" x14ac:dyDescent="0.25">
      <c r="A21427" t="s">
        <v>3296</v>
      </c>
      <c r="B21427" t="s">
        <v>2931</v>
      </c>
      <c r="C21427">
        <v>10263</v>
      </c>
      <c r="D21427" t="str">
        <f t="shared" si="438"/>
        <v xml:space="preserve">12532021249 </v>
      </c>
      <c r="E21427" t="s">
        <v>309</v>
      </c>
      <c r="F21427" t="s">
        <v>310</v>
      </c>
      <c r="G21427">
        <v>6.78</v>
      </c>
      <c r="H21427">
        <v>250731</v>
      </c>
      <c r="I21427">
        <v>4369</v>
      </c>
      <c r="J21427" t="s">
        <v>188</v>
      </c>
      <c r="K21427">
        <v>213.95</v>
      </c>
      <c r="L21427">
        <v>1.38</v>
      </c>
      <c r="M21427">
        <v>17526</v>
      </c>
      <c r="N21427" t="s">
        <v>141</v>
      </c>
      <c r="O21427">
        <v>250813</v>
      </c>
      <c r="P21427">
        <v>5.4</v>
      </c>
    </row>
    <row r="21428" spans="1:16" x14ac:dyDescent="0.25">
      <c r="A21428" t="s">
        <v>3296</v>
      </c>
      <c r="B21428" t="s">
        <v>2931</v>
      </c>
      <c r="C21428">
        <v>10263</v>
      </c>
      <c r="D21428" t="str">
        <f t="shared" si="438"/>
        <v xml:space="preserve">12532021249 </v>
      </c>
      <c r="E21428" t="s">
        <v>309</v>
      </c>
      <c r="F21428" t="s">
        <v>310</v>
      </c>
      <c r="G21428">
        <v>7.54</v>
      </c>
      <c r="H21428">
        <v>250731</v>
      </c>
      <c r="I21428">
        <v>4369</v>
      </c>
      <c r="J21428" t="s">
        <v>188</v>
      </c>
      <c r="K21428">
        <v>213.95</v>
      </c>
      <c r="L21428">
        <v>1.53</v>
      </c>
      <c r="M21428">
        <v>17527</v>
      </c>
      <c r="N21428" t="s">
        <v>142</v>
      </c>
      <c r="O21428">
        <v>250813</v>
      </c>
      <c r="P21428">
        <v>6.01</v>
      </c>
    </row>
    <row r="21429" spans="1:16" x14ac:dyDescent="0.25">
      <c r="A21429" t="s">
        <v>3296</v>
      </c>
      <c r="B21429" t="s">
        <v>2931</v>
      </c>
      <c r="C21429">
        <v>10263</v>
      </c>
      <c r="D21429" t="str">
        <f t="shared" si="438"/>
        <v xml:space="preserve">12532021249 </v>
      </c>
      <c r="E21429" t="s">
        <v>309</v>
      </c>
      <c r="F21429" t="s">
        <v>310</v>
      </c>
      <c r="G21429">
        <v>6.78</v>
      </c>
      <c r="H21429">
        <v>250731</v>
      </c>
      <c r="I21429">
        <v>4369</v>
      </c>
      <c r="J21429" t="s">
        <v>188</v>
      </c>
      <c r="K21429">
        <v>213.95</v>
      </c>
      <c r="L21429">
        <v>1.38</v>
      </c>
      <c r="M21429">
        <v>17529</v>
      </c>
      <c r="N21429" t="s">
        <v>143</v>
      </c>
      <c r="O21429">
        <v>250813</v>
      </c>
      <c r="P21429">
        <v>5.4</v>
      </c>
    </row>
    <row r="21430" spans="1:16" x14ac:dyDescent="0.25">
      <c r="A21430" t="s">
        <v>3296</v>
      </c>
      <c r="B21430" t="s">
        <v>2931</v>
      </c>
      <c r="C21430">
        <v>10263</v>
      </c>
      <c r="D21430" t="str">
        <f t="shared" si="438"/>
        <v xml:space="preserve">12532021249 </v>
      </c>
      <c r="E21430" t="s">
        <v>309</v>
      </c>
      <c r="F21430" t="s">
        <v>310</v>
      </c>
      <c r="G21430">
        <v>17.13</v>
      </c>
      <c r="H21430">
        <v>250731</v>
      </c>
      <c r="I21430">
        <v>4369</v>
      </c>
      <c r="J21430" t="s">
        <v>188</v>
      </c>
      <c r="K21430">
        <v>213.95</v>
      </c>
      <c r="L21430">
        <v>3.48</v>
      </c>
      <c r="M21430">
        <v>17530</v>
      </c>
      <c r="N21430" t="s">
        <v>144</v>
      </c>
      <c r="O21430">
        <v>250813</v>
      </c>
      <c r="P21430">
        <v>13.65</v>
      </c>
    </row>
    <row r="21431" spans="1:16" x14ac:dyDescent="0.25">
      <c r="A21431" t="s">
        <v>3296</v>
      </c>
      <c r="B21431" t="s">
        <v>2931</v>
      </c>
      <c r="C21431">
        <v>10263</v>
      </c>
      <c r="D21431" t="str">
        <f t="shared" si="438"/>
        <v xml:space="preserve">12532021249 </v>
      </c>
      <c r="E21431" t="s">
        <v>309</v>
      </c>
      <c r="F21431" t="s">
        <v>310</v>
      </c>
      <c r="G21431">
        <v>13.18</v>
      </c>
      <c r="H21431">
        <v>250731</v>
      </c>
      <c r="I21431">
        <v>4369</v>
      </c>
      <c r="J21431" t="s">
        <v>188</v>
      </c>
      <c r="K21431">
        <v>213.95</v>
      </c>
      <c r="L21431">
        <v>2.68</v>
      </c>
      <c r="M21431">
        <v>17531</v>
      </c>
      <c r="N21431" t="s">
        <v>145</v>
      </c>
      <c r="O21431">
        <v>250813</v>
      </c>
      <c r="P21431">
        <v>10.5</v>
      </c>
    </row>
    <row r="21432" spans="1:16" x14ac:dyDescent="0.25">
      <c r="A21432" t="s">
        <v>3296</v>
      </c>
      <c r="B21432" t="s">
        <v>2931</v>
      </c>
      <c r="C21432">
        <v>10263</v>
      </c>
      <c r="D21432" t="str">
        <f t="shared" si="438"/>
        <v xml:space="preserve">12532021249 </v>
      </c>
      <c r="E21432" t="s">
        <v>309</v>
      </c>
      <c r="F21432" t="s">
        <v>310</v>
      </c>
      <c r="G21432">
        <v>12.99</v>
      </c>
      <c r="H21432">
        <v>250731</v>
      </c>
      <c r="I21432">
        <v>4369</v>
      </c>
      <c r="J21432" t="s">
        <v>188</v>
      </c>
      <c r="K21432">
        <v>213.95</v>
      </c>
      <c r="L21432">
        <v>2.64</v>
      </c>
      <c r="M21432">
        <v>17532</v>
      </c>
      <c r="N21432" t="s">
        <v>146</v>
      </c>
      <c r="O21432">
        <v>250813</v>
      </c>
      <c r="P21432">
        <v>10.35</v>
      </c>
    </row>
    <row r="21433" spans="1:16" x14ac:dyDescent="0.25">
      <c r="A21433" t="s">
        <v>3296</v>
      </c>
      <c r="B21433" t="s">
        <v>2931</v>
      </c>
      <c r="C21433">
        <v>10263</v>
      </c>
      <c r="D21433" t="str">
        <f t="shared" si="438"/>
        <v xml:space="preserve">12532021249 </v>
      </c>
      <c r="E21433" t="s">
        <v>309</v>
      </c>
      <c r="F21433" t="s">
        <v>310</v>
      </c>
      <c r="G21433">
        <v>6.78</v>
      </c>
      <c r="H21433">
        <v>250731</v>
      </c>
      <c r="I21433">
        <v>4369</v>
      </c>
      <c r="J21433" t="s">
        <v>188</v>
      </c>
      <c r="K21433">
        <v>213.95</v>
      </c>
      <c r="L21433">
        <v>1.38</v>
      </c>
      <c r="M21433">
        <v>17533</v>
      </c>
      <c r="N21433" t="s">
        <v>147</v>
      </c>
      <c r="O21433">
        <v>250813</v>
      </c>
      <c r="P21433">
        <v>5.4</v>
      </c>
    </row>
    <row r="21434" spans="1:16" x14ac:dyDescent="0.25">
      <c r="A21434" t="s">
        <v>3296</v>
      </c>
      <c r="B21434" t="s">
        <v>2931</v>
      </c>
      <c r="C21434">
        <v>10263</v>
      </c>
      <c r="D21434" t="str">
        <f t="shared" si="438"/>
        <v xml:space="preserve">12532021249 </v>
      </c>
      <c r="E21434" t="s">
        <v>309</v>
      </c>
      <c r="F21434" t="s">
        <v>310</v>
      </c>
      <c r="G21434">
        <v>6.78</v>
      </c>
      <c r="H21434">
        <v>250731</v>
      </c>
      <c r="I21434">
        <v>4369</v>
      </c>
      <c r="J21434" t="s">
        <v>188</v>
      </c>
      <c r="K21434">
        <v>213.95</v>
      </c>
      <c r="L21434">
        <v>1.38</v>
      </c>
      <c r="M21434">
        <v>17534</v>
      </c>
      <c r="N21434" t="s">
        <v>148</v>
      </c>
      <c r="O21434">
        <v>250813</v>
      </c>
      <c r="P21434">
        <v>5.4</v>
      </c>
    </row>
    <row r="21435" spans="1:16" x14ac:dyDescent="0.25">
      <c r="A21435" t="s">
        <v>3296</v>
      </c>
      <c r="B21435" t="s">
        <v>2931</v>
      </c>
      <c r="C21435">
        <v>10263</v>
      </c>
      <c r="D21435" t="str">
        <f t="shared" si="438"/>
        <v xml:space="preserve">12532021249 </v>
      </c>
      <c r="E21435" t="s">
        <v>309</v>
      </c>
      <c r="F21435" t="s">
        <v>310</v>
      </c>
      <c r="G21435">
        <v>3.39</v>
      </c>
      <c r="H21435">
        <v>250731</v>
      </c>
      <c r="I21435">
        <v>4369</v>
      </c>
      <c r="J21435" t="s">
        <v>188</v>
      </c>
      <c r="K21435">
        <v>213.95</v>
      </c>
      <c r="L21435">
        <v>0.69</v>
      </c>
      <c r="M21435">
        <v>17535</v>
      </c>
      <c r="N21435" t="s">
        <v>149</v>
      </c>
      <c r="O21435">
        <v>250813</v>
      </c>
      <c r="P21435">
        <v>2.7</v>
      </c>
    </row>
    <row r="21436" spans="1:16" x14ac:dyDescent="0.25">
      <c r="A21436" t="s">
        <v>3296</v>
      </c>
      <c r="B21436" t="s">
        <v>2931</v>
      </c>
      <c r="C21436">
        <v>10263</v>
      </c>
      <c r="D21436" t="str">
        <f t="shared" si="438"/>
        <v xml:space="preserve">12532021249 </v>
      </c>
      <c r="E21436" t="s">
        <v>309</v>
      </c>
      <c r="F21436" t="s">
        <v>310</v>
      </c>
      <c r="G21436">
        <v>6.78</v>
      </c>
      <c r="H21436">
        <v>250731</v>
      </c>
      <c r="I21436">
        <v>4369</v>
      </c>
      <c r="J21436" t="s">
        <v>188</v>
      </c>
      <c r="K21436">
        <v>213.95</v>
      </c>
      <c r="L21436">
        <v>1.38</v>
      </c>
      <c r="M21436">
        <v>17536</v>
      </c>
      <c r="N21436" t="s">
        <v>150</v>
      </c>
      <c r="O21436">
        <v>250813</v>
      </c>
      <c r="P21436">
        <v>5.4</v>
      </c>
    </row>
    <row r="21437" spans="1:16" x14ac:dyDescent="0.25">
      <c r="A21437" t="s">
        <v>3296</v>
      </c>
      <c r="B21437" t="s">
        <v>2931</v>
      </c>
      <c r="C21437">
        <v>10263</v>
      </c>
      <c r="D21437" t="str">
        <f t="shared" si="438"/>
        <v xml:space="preserve">12532021249 </v>
      </c>
      <c r="E21437" t="s">
        <v>309</v>
      </c>
      <c r="F21437" t="s">
        <v>310</v>
      </c>
      <c r="G21437">
        <v>13.18</v>
      </c>
      <c r="H21437">
        <v>250731</v>
      </c>
      <c r="I21437">
        <v>4369</v>
      </c>
      <c r="J21437" t="s">
        <v>188</v>
      </c>
      <c r="K21437">
        <v>213.95</v>
      </c>
      <c r="L21437">
        <v>2.68</v>
      </c>
      <c r="M21437">
        <v>17537</v>
      </c>
      <c r="N21437" t="s">
        <v>151</v>
      </c>
      <c r="O21437">
        <v>250813</v>
      </c>
      <c r="P21437">
        <v>10.5</v>
      </c>
    </row>
    <row r="21438" spans="1:16" x14ac:dyDescent="0.25">
      <c r="A21438" t="s">
        <v>3296</v>
      </c>
      <c r="B21438" t="s">
        <v>2931</v>
      </c>
      <c r="C21438">
        <v>10263</v>
      </c>
      <c r="D21438" t="str">
        <f t="shared" si="438"/>
        <v xml:space="preserve">12532021249 </v>
      </c>
      <c r="E21438" t="s">
        <v>309</v>
      </c>
      <c r="F21438" t="s">
        <v>310</v>
      </c>
      <c r="G21438">
        <v>10.17</v>
      </c>
      <c r="H21438">
        <v>250731</v>
      </c>
      <c r="I21438">
        <v>4369</v>
      </c>
      <c r="J21438" t="s">
        <v>188</v>
      </c>
      <c r="K21438">
        <v>213.95</v>
      </c>
      <c r="L21438">
        <v>2.0699999999999998</v>
      </c>
      <c r="M21438">
        <v>17538</v>
      </c>
      <c r="N21438" t="s">
        <v>129</v>
      </c>
      <c r="O21438">
        <v>250813</v>
      </c>
      <c r="P21438">
        <v>8.1</v>
      </c>
    </row>
    <row r="21439" spans="1:16" x14ac:dyDescent="0.25">
      <c r="A21439" t="s">
        <v>3296</v>
      </c>
      <c r="B21439" t="s">
        <v>2931</v>
      </c>
      <c r="C21439">
        <v>10263</v>
      </c>
      <c r="D21439" t="str">
        <f t="shared" si="438"/>
        <v xml:space="preserve">12532021249 </v>
      </c>
      <c r="E21439" t="s">
        <v>309</v>
      </c>
      <c r="F21439" t="s">
        <v>310</v>
      </c>
      <c r="G21439">
        <v>12.06</v>
      </c>
      <c r="H21439">
        <v>250731</v>
      </c>
      <c r="I21439">
        <v>4369</v>
      </c>
      <c r="J21439" t="s">
        <v>188</v>
      </c>
      <c r="K21439">
        <v>213.95</v>
      </c>
      <c r="L21439">
        <v>2.4500000000000002</v>
      </c>
      <c r="M21439">
        <v>17950</v>
      </c>
      <c r="N21439" t="s">
        <v>132</v>
      </c>
      <c r="O21439">
        <v>250813</v>
      </c>
      <c r="P21439">
        <v>9.61</v>
      </c>
    </row>
    <row r="21440" spans="1:16" x14ac:dyDescent="0.25">
      <c r="A21440" t="s">
        <v>3296</v>
      </c>
      <c r="B21440" t="s">
        <v>2931</v>
      </c>
      <c r="C21440">
        <v>10263</v>
      </c>
      <c r="D21440" t="str">
        <f t="shared" si="438"/>
        <v xml:space="preserve">12532021249 </v>
      </c>
      <c r="E21440" t="s">
        <v>309</v>
      </c>
      <c r="F21440" t="s">
        <v>310</v>
      </c>
      <c r="G21440">
        <v>3.39</v>
      </c>
      <c r="H21440">
        <v>250731</v>
      </c>
      <c r="I21440">
        <v>4369</v>
      </c>
      <c r="J21440" t="s">
        <v>188</v>
      </c>
      <c r="K21440">
        <v>213.95</v>
      </c>
      <c r="L21440">
        <v>0.69</v>
      </c>
      <c r="M21440">
        <v>17956</v>
      </c>
      <c r="N21440" t="s">
        <v>170</v>
      </c>
      <c r="O21440">
        <v>250813</v>
      </c>
      <c r="P21440">
        <v>2.7</v>
      </c>
    </row>
    <row r="21441" spans="1:16" x14ac:dyDescent="0.25">
      <c r="A21441" t="s">
        <v>3296</v>
      </c>
      <c r="B21441" t="s">
        <v>2931</v>
      </c>
      <c r="C21441">
        <v>10263</v>
      </c>
      <c r="D21441" t="str">
        <f t="shared" si="438"/>
        <v xml:space="preserve">12532021249 </v>
      </c>
      <c r="E21441" t="s">
        <v>309</v>
      </c>
      <c r="F21441" t="s">
        <v>310</v>
      </c>
      <c r="G21441">
        <v>16.940000000000001</v>
      </c>
      <c r="H21441">
        <v>250731</v>
      </c>
      <c r="I21441">
        <v>4369</v>
      </c>
      <c r="J21441" t="s">
        <v>188</v>
      </c>
      <c r="K21441">
        <v>213.95</v>
      </c>
      <c r="L21441">
        <v>3.44</v>
      </c>
      <c r="M21441">
        <v>17971</v>
      </c>
      <c r="N21441" t="s">
        <v>27</v>
      </c>
      <c r="O21441">
        <v>250813</v>
      </c>
      <c r="P21441">
        <v>13.5</v>
      </c>
    </row>
    <row r="21442" spans="1:16" x14ac:dyDescent="0.25">
      <c r="A21442" t="s">
        <v>3296</v>
      </c>
      <c r="B21442" t="s">
        <v>2931</v>
      </c>
      <c r="C21442">
        <v>10263</v>
      </c>
      <c r="D21442" t="str">
        <f t="shared" si="438"/>
        <v xml:space="preserve">12532021249 </v>
      </c>
      <c r="E21442" t="s">
        <v>309</v>
      </c>
      <c r="F21442" t="s">
        <v>310</v>
      </c>
      <c r="G21442">
        <v>3.39</v>
      </c>
      <c r="H21442">
        <v>250731</v>
      </c>
      <c r="I21442">
        <v>4369</v>
      </c>
      <c r="J21442" t="s">
        <v>188</v>
      </c>
      <c r="K21442">
        <v>213.95</v>
      </c>
      <c r="L21442">
        <v>0.69</v>
      </c>
      <c r="M21442">
        <v>17972</v>
      </c>
      <c r="N21442" t="s">
        <v>28</v>
      </c>
      <c r="O21442">
        <v>250813</v>
      </c>
      <c r="P21442">
        <v>2.7</v>
      </c>
    </row>
    <row r="21443" spans="1:16" x14ac:dyDescent="0.25">
      <c r="A21443" t="s">
        <v>3296</v>
      </c>
      <c r="B21443" t="s">
        <v>2931</v>
      </c>
      <c r="C21443">
        <v>10263</v>
      </c>
      <c r="D21443" t="str">
        <f t="shared" si="438"/>
        <v xml:space="preserve">12532021249 </v>
      </c>
      <c r="E21443" t="s">
        <v>309</v>
      </c>
      <c r="F21443" t="s">
        <v>310</v>
      </c>
      <c r="G21443">
        <v>3.39</v>
      </c>
      <c r="H21443">
        <v>250731</v>
      </c>
      <c r="I21443">
        <v>4369</v>
      </c>
      <c r="J21443" t="s">
        <v>188</v>
      </c>
      <c r="K21443">
        <v>213.95</v>
      </c>
      <c r="L21443">
        <v>0.69</v>
      </c>
      <c r="M21443">
        <v>17974</v>
      </c>
      <c r="N21443" t="s">
        <v>153</v>
      </c>
      <c r="O21443">
        <v>250813</v>
      </c>
      <c r="P21443">
        <v>2.7</v>
      </c>
    </row>
    <row r="21444" spans="1:16" x14ac:dyDescent="0.25">
      <c r="A21444" t="s">
        <v>3296</v>
      </c>
      <c r="B21444" t="s">
        <v>2931</v>
      </c>
      <c r="C21444">
        <v>10263</v>
      </c>
      <c r="D21444" t="str">
        <f t="shared" si="438"/>
        <v xml:space="preserve">12532021249 </v>
      </c>
      <c r="E21444" t="s">
        <v>309</v>
      </c>
      <c r="F21444" t="s">
        <v>310</v>
      </c>
      <c r="G21444">
        <v>6.83</v>
      </c>
      <c r="H21444">
        <v>250731</v>
      </c>
      <c r="I21444">
        <v>4369</v>
      </c>
      <c r="J21444" t="s">
        <v>188</v>
      </c>
      <c r="K21444">
        <v>213.95</v>
      </c>
      <c r="L21444">
        <v>1.39</v>
      </c>
      <c r="M21444">
        <v>17975</v>
      </c>
      <c r="N21444" t="s">
        <v>29</v>
      </c>
      <c r="O21444">
        <v>250813</v>
      </c>
      <c r="P21444">
        <v>5.44</v>
      </c>
    </row>
    <row r="21445" spans="1:16" x14ac:dyDescent="0.25">
      <c r="A21445" t="s">
        <v>3296</v>
      </c>
      <c r="B21445" t="s">
        <v>2931</v>
      </c>
      <c r="C21445">
        <v>10264</v>
      </c>
      <c r="D21445" t="str">
        <f>"12532021256 "</f>
        <v xml:space="preserve">12532021256 </v>
      </c>
      <c r="E21445" t="s">
        <v>309</v>
      </c>
      <c r="F21445" t="s">
        <v>310</v>
      </c>
      <c r="G21445">
        <v>2.57</v>
      </c>
      <c r="H21445">
        <v>250731</v>
      </c>
      <c r="I21445">
        <v>4369</v>
      </c>
      <c r="J21445" t="s">
        <v>188</v>
      </c>
      <c r="K21445">
        <v>23.53</v>
      </c>
      <c r="L21445">
        <v>0.52</v>
      </c>
      <c r="M21445">
        <v>53222</v>
      </c>
      <c r="N21445" t="s">
        <v>41</v>
      </c>
      <c r="O21445">
        <v>250813</v>
      </c>
      <c r="P21445">
        <v>2.0499999999999998</v>
      </c>
    </row>
    <row r="21446" spans="1:16" x14ac:dyDescent="0.25">
      <c r="A21446" t="s">
        <v>3296</v>
      </c>
      <c r="B21446" t="s">
        <v>2931</v>
      </c>
      <c r="C21446">
        <v>10264</v>
      </c>
      <c r="D21446" t="str">
        <f>"12532021256 "</f>
        <v xml:space="preserve">12532021256 </v>
      </c>
      <c r="E21446" t="s">
        <v>309</v>
      </c>
      <c r="F21446" t="s">
        <v>310</v>
      </c>
      <c r="G21446">
        <v>14.18</v>
      </c>
      <c r="H21446">
        <v>250731</v>
      </c>
      <c r="I21446">
        <v>4369</v>
      </c>
      <c r="J21446" t="s">
        <v>188</v>
      </c>
      <c r="K21446">
        <v>23.53</v>
      </c>
      <c r="L21446">
        <v>2.88</v>
      </c>
      <c r="M21446">
        <v>53222</v>
      </c>
      <c r="N21446" t="s">
        <v>41</v>
      </c>
      <c r="O21446">
        <v>250813</v>
      </c>
      <c r="P21446">
        <v>11.3</v>
      </c>
    </row>
    <row r="21447" spans="1:16" x14ac:dyDescent="0.25">
      <c r="A21447" t="s">
        <v>3296</v>
      </c>
      <c r="B21447" t="s">
        <v>2931</v>
      </c>
      <c r="C21447">
        <v>10264</v>
      </c>
      <c r="D21447" t="str">
        <f>"12532021256 "</f>
        <v xml:space="preserve">12532021256 </v>
      </c>
      <c r="E21447" t="s">
        <v>309</v>
      </c>
      <c r="F21447" t="s">
        <v>310</v>
      </c>
      <c r="G21447">
        <v>3.39</v>
      </c>
      <c r="H21447">
        <v>250731</v>
      </c>
      <c r="I21447">
        <v>4369</v>
      </c>
      <c r="J21447" t="s">
        <v>188</v>
      </c>
      <c r="K21447">
        <v>23.53</v>
      </c>
      <c r="L21447">
        <v>0.69</v>
      </c>
      <c r="M21447">
        <v>54622</v>
      </c>
      <c r="N21447" t="s">
        <v>42</v>
      </c>
      <c r="O21447">
        <v>250813</v>
      </c>
      <c r="P21447">
        <v>2.7</v>
      </c>
    </row>
    <row r="21448" spans="1:16" x14ac:dyDescent="0.25">
      <c r="A21448" t="s">
        <v>3296</v>
      </c>
      <c r="B21448" t="s">
        <v>2931</v>
      </c>
      <c r="C21448">
        <v>10264</v>
      </c>
      <c r="D21448" t="str">
        <f>"12532021256 "</f>
        <v xml:space="preserve">12532021256 </v>
      </c>
      <c r="E21448" t="s">
        <v>309</v>
      </c>
      <c r="F21448" t="s">
        <v>310</v>
      </c>
      <c r="G21448">
        <v>3.39</v>
      </c>
      <c r="H21448">
        <v>250731</v>
      </c>
      <c r="I21448">
        <v>4369</v>
      </c>
      <c r="J21448" t="s">
        <v>188</v>
      </c>
      <c r="K21448">
        <v>23.53</v>
      </c>
      <c r="L21448">
        <v>0.69</v>
      </c>
      <c r="M21448">
        <v>55222</v>
      </c>
      <c r="N21448" t="s">
        <v>43</v>
      </c>
      <c r="O21448">
        <v>250813</v>
      </c>
      <c r="P21448">
        <v>2.7</v>
      </c>
    </row>
    <row r="21449" spans="1:16" x14ac:dyDescent="0.25">
      <c r="A21449" t="s">
        <v>3296</v>
      </c>
      <c r="B21449" t="s">
        <v>2931</v>
      </c>
      <c r="C21449">
        <v>10265</v>
      </c>
      <c r="D21449" t="str">
        <f t="shared" ref="D21449:D21454" si="439">"12532021246 "</f>
        <v xml:space="preserve">12532021246 </v>
      </c>
      <c r="E21449" t="s">
        <v>309</v>
      </c>
      <c r="F21449" t="s">
        <v>310</v>
      </c>
      <c r="G21449">
        <v>3.39</v>
      </c>
      <c r="H21449">
        <v>250731</v>
      </c>
      <c r="I21449">
        <v>4369</v>
      </c>
      <c r="J21449" t="s">
        <v>188</v>
      </c>
      <c r="K21449">
        <v>67.489999999999995</v>
      </c>
      <c r="L21449">
        <v>0.69</v>
      </c>
      <c r="M21449">
        <v>17132</v>
      </c>
      <c r="N21449" t="s">
        <v>174</v>
      </c>
      <c r="O21449">
        <v>250813</v>
      </c>
      <c r="P21449">
        <v>2.7</v>
      </c>
    </row>
    <row r="21450" spans="1:16" x14ac:dyDescent="0.25">
      <c r="A21450" t="s">
        <v>3296</v>
      </c>
      <c r="B21450" t="s">
        <v>2931</v>
      </c>
      <c r="C21450">
        <v>10265</v>
      </c>
      <c r="D21450" t="str">
        <f t="shared" si="439"/>
        <v xml:space="preserve">12532021246 </v>
      </c>
      <c r="E21450" t="s">
        <v>309</v>
      </c>
      <c r="F21450" t="s">
        <v>310</v>
      </c>
      <c r="G21450">
        <v>10.17</v>
      </c>
      <c r="H21450">
        <v>250731</v>
      </c>
      <c r="I21450">
        <v>4369</v>
      </c>
      <c r="J21450" t="s">
        <v>188</v>
      </c>
      <c r="K21450">
        <v>67.489999999999995</v>
      </c>
      <c r="L21450">
        <v>2.0699999999999998</v>
      </c>
      <c r="M21450">
        <v>17913</v>
      </c>
      <c r="N21450" t="s">
        <v>26</v>
      </c>
      <c r="O21450">
        <v>250813</v>
      </c>
      <c r="P21450">
        <v>8.1</v>
      </c>
    </row>
    <row r="21451" spans="1:16" x14ac:dyDescent="0.25">
      <c r="A21451" t="s">
        <v>3296</v>
      </c>
      <c r="B21451" t="s">
        <v>2931</v>
      </c>
      <c r="C21451">
        <v>10265</v>
      </c>
      <c r="D21451" t="str">
        <f t="shared" si="439"/>
        <v xml:space="preserve">12532021246 </v>
      </c>
      <c r="E21451" t="s">
        <v>309</v>
      </c>
      <c r="F21451" t="s">
        <v>310</v>
      </c>
      <c r="G21451">
        <v>27.11</v>
      </c>
      <c r="H21451">
        <v>250731</v>
      </c>
      <c r="I21451">
        <v>4369</v>
      </c>
      <c r="J21451" t="s">
        <v>188</v>
      </c>
      <c r="K21451">
        <v>67.489999999999995</v>
      </c>
      <c r="L21451">
        <v>5.51</v>
      </c>
      <c r="M21451">
        <v>17951</v>
      </c>
      <c r="N21451" t="s">
        <v>207</v>
      </c>
      <c r="O21451">
        <v>250813</v>
      </c>
      <c r="P21451">
        <v>21.6</v>
      </c>
    </row>
    <row r="21452" spans="1:16" x14ac:dyDescent="0.25">
      <c r="A21452" t="s">
        <v>3296</v>
      </c>
      <c r="B21452" t="s">
        <v>2931</v>
      </c>
      <c r="C21452">
        <v>10265</v>
      </c>
      <c r="D21452" t="str">
        <f t="shared" si="439"/>
        <v xml:space="preserve">12532021246 </v>
      </c>
      <c r="E21452" t="s">
        <v>309</v>
      </c>
      <c r="F21452" t="s">
        <v>310</v>
      </c>
      <c r="G21452">
        <v>13.65</v>
      </c>
      <c r="H21452">
        <v>250731</v>
      </c>
      <c r="I21452">
        <v>4369</v>
      </c>
      <c r="J21452" t="s">
        <v>188</v>
      </c>
      <c r="K21452">
        <v>67.489999999999995</v>
      </c>
      <c r="L21452">
        <v>2.77</v>
      </c>
      <c r="M21452">
        <v>17971</v>
      </c>
      <c r="N21452" t="s">
        <v>27</v>
      </c>
      <c r="O21452">
        <v>250813</v>
      </c>
      <c r="P21452">
        <v>10.88</v>
      </c>
    </row>
    <row r="21453" spans="1:16" x14ac:dyDescent="0.25">
      <c r="A21453" t="s">
        <v>3296</v>
      </c>
      <c r="B21453" t="s">
        <v>2931</v>
      </c>
      <c r="C21453">
        <v>10265</v>
      </c>
      <c r="D21453" t="str">
        <f t="shared" si="439"/>
        <v xml:space="preserve">12532021246 </v>
      </c>
      <c r="E21453" t="s">
        <v>309</v>
      </c>
      <c r="F21453" t="s">
        <v>310</v>
      </c>
      <c r="G21453">
        <v>6.59</v>
      </c>
      <c r="H21453">
        <v>250731</v>
      </c>
      <c r="I21453">
        <v>4369</v>
      </c>
      <c r="J21453" t="s">
        <v>188</v>
      </c>
      <c r="K21453">
        <v>67.489999999999995</v>
      </c>
      <c r="L21453">
        <v>1.34</v>
      </c>
      <c r="M21453">
        <v>17974</v>
      </c>
      <c r="N21453" t="s">
        <v>153</v>
      </c>
      <c r="O21453">
        <v>250813</v>
      </c>
      <c r="P21453">
        <v>5.25</v>
      </c>
    </row>
    <row r="21454" spans="1:16" x14ac:dyDescent="0.25">
      <c r="A21454" t="s">
        <v>3296</v>
      </c>
      <c r="B21454" t="s">
        <v>2931</v>
      </c>
      <c r="C21454">
        <v>10265</v>
      </c>
      <c r="D21454" t="str">
        <f t="shared" si="439"/>
        <v xml:space="preserve">12532021246 </v>
      </c>
      <c r="E21454" t="s">
        <v>309</v>
      </c>
      <c r="F21454" t="s">
        <v>310</v>
      </c>
      <c r="G21454">
        <v>6.58</v>
      </c>
      <c r="H21454">
        <v>250731</v>
      </c>
      <c r="I21454">
        <v>4369</v>
      </c>
      <c r="J21454" t="s">
        <v>188</v>
      </c>
      <c r="K21454">
        <v>67.489999999999995</v>
      </c>
      <c r="L21454">
        <v>1.34</v>
      </c>
      <c r="M21454">
        <v>17975</v>
      </c>
      <c r="N21454" t="s">
        <v>29</v>
      </c>
      <c r="O21454">
        <v>250813</v>
      </c>
      <c r="P21454">
        <v>5.24</v>
      </c>
    </row>
    <row r="21455" spans="1:16" x14ac:dyDescent="0.25">
      <c r="A21455" t="s">
        <v>3296</v>
      </c>
      <c r="B21455" t="s">
        <v>2931</v>
      </c>
      <c r="C21455">
        <v>10266</v>
      </c>
      <c r="D21455" t="str">
        <f>"12532021252 "</f>
        <v xml:space="preserve">12532021252 </v>
      </c>
      <c r="E21455" t="s">
        <v>309</v>
      </c>
      <c r="F21455" t="s">
        <v>310</v>
      </c>
      <c r="G21455">
        <v>26.92</v>
      </c>
      <c r="H21455">
        <v>250731</v>
      </c>
      <c r="I21455">
        <v>4369</v>
      </c>
      <c r="J21455" t="s">
        <v>188</v>
      </c>
      <c r="K21455">
        <v>33.700000000000003</v>
      </c>
      <c r="L21455">
        <v>5.47</v>
      </c>
      <c r="M21455">
        <v>13601</v>
      </c>
      <c r="N21455" t="s">
        <v>115</v>
      </c>
      <c r="O21455">
        <v>250813</v>
      </c>
      <c r="P21455">
        <v>21.45</v>
      </c>
    </row>
    <row r="21456" spans="1:16" x14ac:dyDescent="0.25">
      <c r="A21456" t="s">
        <v>3296</v>
      </c>
      <c r="B21456" t="s">
        <v>2931</v>
      </c>
      <c r="C21456">
        <v>10266</v>
      </c>
      <c r="D21456" t="str">
        <f>"12532021252 "</f>
        <v xml:space="preserve">12532021252 </v>
      </c>
      <c r="E21456" t="s">
        <v>309</v>
      </c>
      <c r="F21456" t="s">
        <v>310</v>
      </c>
      <c r="G21456">
        <v>3.39</v>
      </c>
      <c r="H21456">
        <v>250731</v>
      </c>
      <c r="I21456">
        <v>4369</v>
      </c>
      <c r="J21456" t="s">
        <v>188</v>
      </c>
      <c r="K21456">
        <v>33.700000000000003</v>
      </c>
      <c r="L21456">
        <v>0.69</v>
      </c>
      <c r="M21456">
        <v>13601</v>
      </c>
      <c r="N21456" t="s">
        <v>115</v>
      </c>
      <c r="O21456">
        <v>250813</v>
      </c>
      <c r="P21456">
        <v>2.7</v>
      </c>
    </row>
    <row r="21457" spans="1:16" x14ac:dyDescent="0.25">
      <c r="A21457" t="s">
        <v>3296</v>
      </c>
      <c r="B21457" t="s">
        <v>2931</v>
      </c>
      <c r="C21457">
        <v>10266</v>
      </c>
      <c r="D21457" t="str">
        <f>"12532021252 "</f>
        <v xml:space="preserve">12532021252 </v>
      </c>
      <c r="E21457" t="s">
        <v>309</v>
      </c>
      <c r="F21457" t="s">
        <v>310</v>
      </c>
      <c r="G21457">
        <v>3.39</v>
      </c>
      <c r="H21457">
        <v>250731</v>
      </c>
      <c r="I21457">
        <v>4369</v>
      </c>
      <c r="J21457" t="s">
        <v>188</v>
      </c>
      <c r="K21457">
        <v>33.700000000000003</v>
      </c>
      <c r="L21457">
        <v>0.69</v>
      </c>
      <c r="M21457">
        <v>13661</v>
      </c>
      <c r="N21457" t="s">
        <v>243</v>
      </c>
      <c r="O21457">
        <v>250813</v>
      </c>
      <c r="P21457">
        <v>2.7</v>
      </c>
    </row>
    <row r="21458" spans="1:16" x14ac:dyDescent="0.25">
      <c r="A21458" t="s">
        <v>3296</v>
      </c>
      <c r="B21458" t="s">
        <v>2931</v>
      </c>
      <c r="C21458">
        <v>10268</v>
      </c>
      <c r="D21458" t="str">
        <f t="shared" ref="D21458:D21467" si="440">"12532021247 "</f>
        <v xml:space="preserve">12532021247 </v>
      </c>
      <c r="E21458" t="s">
        <v>309</v>
      </c>
      <c r="F21458" t="s">
        <v>310</v>
      </c>
      <c r="G21458">
        <v>6.59</v>
      </c>
      <c r="H21458">
        <v>250731</v>
      </c>
      <c r="I21458">
        <v>4369</v>
      </c>
      <c r="J21458" t="s">
        <v>188</v>
      </c>
      <c r="K21458">
        <v>96.07</v>
      </c>
      <c r="L21458">
        <v>1.34</v>
      </c>
      <c r="M21458">
        <v>16321</v>
      </c>
      <c r="N21458" t="s">
        <v>16</v>
      </c>
      <c r="O21458">
        <v>250813</v>
      </c>
      <c r="P21458">
        <v>5.25</v>
      </c>
    </row>
    <row r="21459" spans="1:16" x14ac:dyDescent="0.25">
      <c r="A21459" t="s">
        <v>3296</v>
      </c>
      <c r="B21459" t="s">
        <v>2931</v>
      </c>
      <c r="C21459">
        <v>10268</v>
      </c>
      <c r="D21459" t="str">
        <f t="shared" si="440"/>
        <v xml:space="preserve">12532021247 </v>
      </c>
      <c r="E21459" t="s">
        <v>309</v>
      </c>
      <c r="F21459" t="s">
        <v>310</v>
      </c>
      <c r="G21459">
        <v>10.17</v>
      </c>
      <c r="H21459">
        <v>250731</v>
      </c>
      <c r="I21459">
        <v>4369</v>
      </c>
      <c r="J21459" t="s">
        <v>188</v>
      </c>
      <c r="K21459">
        <v>96.07</v>
      </c>
      <c r="L21459">
        <v>2.0699999999999998</v>
      </c>
      <c r="M21459">
        <v>16431</v>
      </c>
      <c r="N21459" t="s">
        <v>17</v>
      </c>
      <c r="O21459">
        <v>250813</v>
      </c>
      <c r="P21459">
        <v>8.1</v>
      </c>
    </row>
    <row r="21460" spans="1:16" x14ac:dyDescent="0.25">
      <c r="A21460" t="s">
        <v>3296</v>
      </c>
      <c r="B21460" t="s">
        <v>2931</v>
      </c>
      <c r="C21460">
        <v>10268</v>
      </c>
      <c r="D21460" t="str">
        <f t="shared" si="440"/>
        <v xml:space="preserve">12532021247 </v>
      </c>
      <c r="E21460" t="s">
        <v>309</v>
      </c>
      <c r="F21460" t="s">
        <v>310</v>
      </c>
      <c r="G21460">
        <v>13.18</v>
      </c>
      <c r="H21460">
        <v>250731</v>
      </c>
      <c r="I21460">
        <v>4369</v>
      </c>
      <c r="J21460" t="s">
        <v>188</v>
      </c>
      <c r="K21460">
        <v>96.07</v>
      </c>
      <c r="L21460">
        <v>2.68</v>
      </c>
      <c r="M21460">
        <v>17802</v>
      </c>
      <c r="N21460" t="s">
        <v>18</v>
      </c>
      <c r="O21460">
        <v>250813</v>
      </c>
      <c r="P21460">
        <v>10.5</v>
      </c>
    </row>
    <row r="21461" spans="1:16" x14ac:dyDescent="0.25">
      <c r="A21461" t="s">
        <v>3296</v>
      </c>
      <c r="B21461" t="s">
        <v>2931</v>
      </c>
      <c r="C21461">
        <v>10268</v>
      </c>
      <c r="D21461" t="str">
        <f t="shared" si="440"/>
        <v xml:space="preserve">12532021247 </v>
      </c>
      <c r="E21461" t="s">
        <v>309</v>
      </c>
      <c r="F21461" t="s">
        <v>310</v>
      </c>
      <c r="G21461">
        <v>9.98</v>
      </c>
      <c r="H21461">
        <v>250731</v>
      </c>
      <c r="I21461">
        <v>4369</v>
      </c>
      <c r="J21461" t="s">
        <v>188</v>
      </c>
      <c r="K21461">
        <v>96.07</v>
      </c>
      <c r="L21461">
        <v>2.0299999999999998</v>
      </c>
      <c r="M21461">
        <v>17803</v>
      </c>
      <c r="N21461" t="s">
        <v>19</v>
      </c>
      <c r="O21461">
        <v>250813</v>
      </c>
      <c r="P21461">
        <v>7.95</v>
      </c>
    </row>
    <row r="21462" spans="1:16" x14ac:dyDescent="0.25">
      <c r="A21462" t="s">
        <v>3296</v>
      </c>
      <c r="B21462" t="s">
        <v>2931</v>
      </c>
      <c r="C21462">
        <v>10268</v>
      </c>
      <c r="D21462" t="str">
        <f t="shared" si="440"/>
        <v xml:space="preserve">12532021247 </v>
      </c>
      <c r="E21462" t="s">
        <v>309</v>
      </c>
      <c r="F21462" t="s">
        <v>310</v>
      </c>
      <c r="G21462">
        <v>3.66</v>
      </c>
      <c r="H21462">
        <v>250731</v>
      </c>
      <c r="I21462">
        <v>4369</v>
      </c>
      <c r="J21462" t="s">
        <v>188</v>
      </c>
      <c r="K21462">
        <v>96.07</v>
      </c>
      <c r="L21462">
        <v>0.74</v>
      </c>
      <c r="M21462">
        <v>17804</v>
      </c>
      <c r="N21462" t="s">
        <v>20</v>
      </c>
      <c r="O21462">
        <v>250813</v>
      </c>
      <c r="P21462">
        <v>2.92</v>
      </c>
    </row>
    <row r="21463" spans="1:16" x14ac:dyDescent="0.25">
      <c r="A21463" t="s">
        <v>3296</v>
      </c>
      <c r="B21463" t="s">
        <v>2931</v>
      </c>
      <c r="C21463">
        <v>10268</v>
      </c>
      <c r="D21463" t="str">
        <f t="shared" si="440"/>
        <v xml:space="preserve">12532021247 </v>
      </c>
      <c r="E21463" t="s">
        <v>309</v>
      </c>
      <c r="F21463" t="s">
        <v>310</v>
      </c>
      <c r="G21463">
        <v>3.39</v>
      </c>
      <c r="H21463">
        <v>250731</v>
      </c>
      <c r="I21463">
        <v>4369</v>
      </c>
      <c r="J21463" t="s">
        <v>188</v>
      </c>
      <c r="K21463">
        <v>96.07</v>
      </c>
      <c r="L21463">
        <v>0.69</v>
      </c>
      <c r="M21463">
        <v>17805</v>
      </c>
      <c r="N21463" t="s">
        <v>21</v>
      </c>
      <c r="O21463">
        <v>250813</v>
      </c>
      <c r="P21463">
        <v>2.7</v>
      </c>
    </row>
    <row r="21464" spans="1:16" x14ac:dyDescent="0.25">
      <c r="A21464" t="s">
        <v>3296</v>
      </c>
      <c r="B21464" t="s">
        <v>2931</v>
      </c>
      <c r="C21464">
        <v>10268</v>
      </c>
      <c r="D21464" t="str">
        <f t="shared" si="440"/>
        <v xml:space="preserve">12532021247 </v>
      </c>
      <c r="E21464" t="s">
        <v>309</v>
      </c>
      <c r="F21464" t="s">
        <v>310</v>
      </c>
      <c r="G21464">
        <v>6.78</v>
      </c>
      <c r="H21464">
        <v>250731</v>
      </c>
      <c r="I21464">
        <v>4369</v>
      </c>
      <c r="J21464" t="s">
        <v>188</v>
      </c>
      <c r="K21464">
        <v>96.07</v>
      </c>
      <c r="L21464">
        <v>1.38</v>
      </c>
      <c r="M21464">
        <v>17806</v>
      </c>
      <c r="N21464" t="s">
        <v>22</v>
      </c>
      <c r="O21464">
        <v>250813</v>
      </c>
      <c r="P21464">
        <v>5.4</v>
      </c>
    </row>
    <row r="21465" spans="1:16" x14ac:dyDescent="0.25">
      <c r="A21465" t="s">
        <v>3296</v>
      </c>
      <c r="B21465" t="s">
        <v>2931</v>
      </c>
      <c r="C21465">
        <v>10268</v>
      </c>
      <c r="D21465" t="str">
        <f t="shared" si="440"/>
        <v xml:space="preserve">12532021247 </v>
      </c>
      <c r="E21465" t="s">
        <v>309</v>
      </c>
      <c r="F21465" t="s">
        <v>310</v>
      </c>
      <c r="G21465">
        <v>23.53</v>
      </c>
      <c r="H21465">
        <v>250731</v>
      </c>
      <c r="I21465">
        <v>4369</v>
      </c>
      <c r="J21465" t="s">
        <v>188</v>
      </c>
      <c r="K21465">
        <v>96.07</v>
      </c>
      <c r="L21465">
        <v>4.78</v>
      </c>
      <c r="M21465">
        <v>17807</v>
      </c>
      <c r="N21465" t="s">
        <v>23</v>
      </c>
      <c r="O21465">
        <v>250813</v>
      </c>
      <c r="P21465">
        <v>18.75</v>
      </c>
    </row>
    <row r="21466" spans="1:16" x14ac:dyDescent="0.25">
      <c r="A21466" t="s">
        <v>3296</v>
      </c>
      <c r="B21466" t="s">
        <v>2931</v>
      </c>
      <c r="C21466">
        <v>10268</v>
      </c>
      <c r="D21466" t="str">
        <f t="shared" si="440"/>
        <v xml:space="preserve">12532021247 </v>
      </c>
      <c r="E21466" t="s">
        <v>309</v>
      </c>
      <c r="F21466" t="s">
        <v>310</v>
      </c>
      <c r="G21466">
        <v>10.17</v>
      </c>
      <c r="H21466">
        <v>250731</v>
      </c>
      <c r="I21466">
        <v>4369</v>
      </c>
      <c r="J21466" t="s">
        <v>188</v>
      </c>
      <c r="K21466">
        <v>96.07</v>
      </c>
      <c r="L21466">
        <v>2.0699999999999998</v>
      </c>
      <c r="M21466">
        <v>17808</v>
      </c>
      <c r="N21466" t="s">
        <v>24</v>
      </c>
      <c r="O21466">
        <v>250813</v>
      </c>
      <c r="P21466">
        <v>8.1</v>
      </c>
    </row>
    <row r="21467" spans="1:16" x14ac:dyDescent="0.25">
      <c r="A21467" t="s">
        <v>3296</v>
      </c>
      <c r="B21467" t="s">
        <v>2931</v>
      </c>
      <c r="C21467">
        <v>10268</v>
      </c>
      <c r="D21467" t="str">
        <f t="shared" si="440"/>
        <v xml:space="preserve">12532021247 </v>
      </c>
      <c r="E21467" t="s">
        <v>309</v>
      </c>
      <c r="F21467" t="s">
        <v>310</v>
      </c>
      <c r="G21467">
        <v>8.6199999999999992</v>
      </c>
      <c r="H21467">
        <v>250731</v>
      </c>
      <c r="I21467">
        <v>4369</v>
      </c>
      <c r="J21467" t="s">
        <v>188</v>
      </c>
      <c r="K21467">
        <v>96.07</v>
      </c>
      <c r="L21467">
        <v>1.75</v>
      </c>
      <c r="M21467">
        <v>17809</v>
      </c>
      <c r="N21467" t="s">
        <v>25</v>
      </c>
      <c r="O21467">
        <v>250813</v>
      </c>
      <c r="P21467">
        <v>6.87</v>
      </c>
    </row>
    <row r="21468" spans="1:16" x14ac:dyDescent="0.25">
      <c r="A21468" t="s">
        <v>3296</v>
      </c>
      <c r="B21468" t="s">
        <v>2931</v>
      </c>
      <c r="C21468">
        <v>10269</v>
      </c>
      <c r="D21468" t="str">
        <f>"12532021257 "</f>
        <v xml:space="preserve">12532021257 </v>
      </c>
      <c r="E21468" t="s">
        <v>309</v>
      </c>
      <c r="F21468" t="s">
        <v>310</v>
      </c>
      <c r="G21468">
        <v>7.03</v>
      </c>
      <c r="H21468">
        <v>250731</v>
      </c>
      <c r="I21468">
        <v>4369</v>
      </c>
      <c r="J21468" t="s">
        <v>188</v>
      </c>
      <c r="K21468">
        <v>27.36</v>
      </c>
      <c r="L21468">
        <v>1.43</v>
      </c>
      <c r="M21468">
        <v>11101</v>
      </c>
      <c r="N21468" t="s">
        <v>67</v>
      </c>
      <c r="O21468">
        <v>250813</v>
      </c>
      <c r="P21468">
        <v>5.6</v>
      </c>
    </row>
    <row r="21469" spans="1:16" x14ac:dyDescent="0.25">
      <c r="A21469" t="s">
        <v>3296</v>
      </c>
      <c r="B21469" t="s">
        <v>2931</v>
      </c>
      <c r="C21469">
        <v>10269</v>
      </c>
      <c r="D21469" t="str">
        <f>"12532021257 "</f>
        <v xml:space="preserve">12532021257 </v>
      </c>
      <c r="E21469" t="s">
        <v>309</v>
      </c>
      <c r="F21469" t="s">
        <v>310</v>
      </c>
      <c r="G21469">
        <v>16.940000000000001</v>
      </c>
      <c r="H21469">
        <v>250731</v>
      </c>
      <c r="I21469">
        <v>4369</v>
      </c>
      <c r="J21469" t="s">
        <v>188</v>
      </c>
      <c r="K21469">
        <v>27.36</v>
      </c>
      <c r="L21469">
        <v>3.44</v>
      </c>
      <c r="M21469">
        <v>11101</v>
      </c>
      <c r="N21469" t="s">
        <v>67</v>
      </c>
      <c r="O21469">
        <v>250813</v>
      </c>
      <c r="P21469">
        <v>13.5</v>
      </c>
    </row>
    <row r="21470" spans="1:16" x14ac:dyDescent="0.25">
      <c r="A21470" t="s">
        <v>3296</v>
      </c>
      <c r="B21470" t="s">
        <v>2931</v>
      </c>
      <c r="C21470">
        <v>10269</v>
      </c>
      <c r="D21470" t="str">
        <f>"12532021257 "</f>
        <v xml:space="preserve">12532021257 </v>
      </c>
      <c r="E21470" t="s">
        <v>309</v>
      </c>
      <c r="F21470" t="s">
        <v>310</v>
      </c>
      <c r="G21470">
        <v>3.39</v>
      </c>
      <c r="H21470">
        <v>250731</v>
      </c>
      <c r="I21470">
        <v>4369</v>
      </c>
      <c r="J21470" t="s">
        <v>188</v>
      </c>
      <c r="K21470">
        <v>27.36</v>
      </c>
      <c r="L21470">
        <v>0.69</v>
      </c>
      <c r="M21470">
        <v>11201</v>
      </c>
      <c r="N21470" t="s">
        <v>35</v>
      </c>
      <c r="O21470">
        <v>250813</v>
      </c>
      <c r="P21470">
        <v>2.7</v>
      </c>
    </row>
    <row r="21471" spans="1:16" x14ac:dyDescent="0.25">
      <c r="A21471" t="s">
        <v>3296</v>
      </c>
      <c r="B21471" t="s">
        <v>2931</v>
      </c>
      <c r="C21471">
        <v>10270</v>
      </c>
      <c r="D21471" t="str">
        <f>"12532021240 "</f>
        <v xml:space="preserve">12532021240 </v>
      </c>
      <c r="E21471" t="s">
        <v>309</v>
      </c>
      <c r="F21471" t="s">
        <v>310</v>
      </c>
      <c r="G21471">
        <v>6.78</v>
      </c>
      <c r="H21471">
        <v>250731</v>
      </c>
      <c r="I21471">
        <v>4369</v>
      </c>
      <c r="J21471" t="s">
        <v>188</v>
      </c>
      <c r="K21471">
        <v>6.78</v>
      </c>
      <c r="L21471">
        <v>1.38</v>
      </c>
      <c r="M21471">
        <v>46556</v>
      </c>
      <c r="N21471" t="s">
        <v>458</v>
      </c>
      <c r="O21471">
        <v>250813</v>
      </c>
      <c r="P21471">
        <v>5.4</v>
      </c>
    </row>
    <row r="21472" spans="1:16" x14ac:dyDescent="0.25">
      <c r="A21472" t="s">
        <v>3296</v>
      </c>
      <c r="B21472" t="s">
        <v>2931</v>
      </c>
      <c r="C21472">
        <v>10271</v>
      </c>
      <c r="D21472" t="str">
        <f>"12532021254 "</f>
        <v xml:space="preserve">12532021254 </v>
      </c>
      <c r="E21472" t="s">
        <v>309</v>
      </c>
      <c r="F21472" t="s">
        <v>310</v>
      </c>
      <c r="G21472">
        <v>3.39</v>
      </c>
      <c r="H21472">
        <v>250731</v>
      </c>
      <c r="I21472">
        <v>4369</v>
      </c>
      <c r="J21472" t="s">
        <v>188</v>
      </c>
      <c r="K21472">
        <v>10.17</v>
      </c>
      <c r="L21472">
        <v>0.69</v>
      </c>
      <c r="M21472">
        <v>11901</v>
      </c>
      <c r="N21472" t="s">
        <v>31</v>
      </c>
      <c r="O21472">
        <v>250813</v>
      </c>
      <c r="P21472">
        <v>2.7</v>
      </c>
    </row>
    <row r="21473" spans="1:16" x14ac:dyDescent="0.25">
      <c r="A21473" t="s">
        <v>3296</v>
      </c>
      <c r="B21473" t="s">
        <v>2931</v>
      </c>
      <c r="C21473">
        <v>10271</v>
      </c>
      <c r="D21473" t="str">
        <f>"12532021254 "</f>
        <v xml:space="preserve">12532021254 </v>
      </c>
      <c r="E21473" t="s">
        <v>309</v>
      </c>
      <c r="F21473" t="s">
        <v>310</v>
      </c>
      <c r="G21473">
        <v>3.39</v>
      </c>
      <c r="H21473">
        <v>250731</v>
      </c>
      <c r="I21473">
        <v>4369</v>
      </c>
      <c r="J21473" t="s">
        <v>188</v>
      </c>
      <c r="K21473">
        <v>10.17</v>
      </c>
      <c r="L21473">
        <v>0.69</v>
      </c>
      <c r="M21473">
        <v>11901</v>
      </c>
      <c r="N21473" t="s">
        <v>31</v>
      </c>
      <c r="O21473">
        <v>250813</v>
      </c>
      <c r="P21473">
        <v>2.7</v>
      </c>
    </row>
    <row r="21474" spans="1:16" x14ac:dyDescent="0.25">
      <c r="A21474" t="s">
        <v>3296</v>
      </c>
      <c r="B21474" t="s">
        <v>2931</v>
      </c>
      <c r="C21474">
        <v>10271</v>
      </c>
      <c r="D21474" t="str">
        <f>"12532021254 "</f>
        <v xml:space="preserve">12532021254 </v>
      </c>
      <c r="E21474" t="s">
        <v>309</v>
      </c>
      <c r="F21474" t="s">
        <v>310</v>
      </c>
      <c r="G21474">
        <v>3.39</v>
      </c>
      <c r="H21474">
        <v>250731</v>
      </c>
      <c r="I21474">
        <v>4369</v>
      </c>
      <c r="J21474" t="s">
        <v>188</v>
      </c>
      <c r="K21474">
        <v>10.17</v>
      </c>
      <c r="L21474">
        <v>0.69</v>
      </c>
      <c r="M21474">
        <v>11903</v>
      </c>
      <c r="N21474" t="s">
        <v>32</v>
      </c>
      <c r="O21474">
        <v>250813</v>
      </c>
      <c r="P21474">
        <v>2.7</v>
      </c>
    </row>
    <row r="21475" spans="1:16" x14ac:dyDescent="0.25">
      <c r="A21475" t="s">
        <v>3296</v>
      </c>
      <c r="B21475" t="s">
        <v>2931</v>
      </c>
      <c r="C21475">
        <v>10272</v>
      </c>
      <c r="D21475" t="str">
        <f>"12532021253 "</f>
        <v xml:space="preserve">12532021253 </v>
      </c>
      <c r="E21475" t="s">
        <v>309</v>
      </c>
      <c r="F21475" t="s">
        <v>310</v>
      </c>
      <c r="G21475">
        <v>57.92</v>
      </c>
      <c r="H21475">
        <v>250731</v>
      </c>
      <c r="I21475">
        <v>4369</v>
      </c>
      <c r="J21475" t="s">
        <v>188</v>
      </c>
      <c r="K21475">
        <v>57.92</v>
      </c>
      <c r="L21475">
        <v>11.77</v>
      </c>
      <c r="M21475">
        <v>11801</v>
      </c>
      <c r="N21475" t="s">
        <v>40</v>
      </c>
      <c r="O21475">
        <v>250813</v>
      </c>
      <c r="P21475">
        <v>46.15</v>
      </c>
    </row>
    <row r="21476" spans="1:16" x14ac:dyDescent="0.25">
      <c r="A21476" t="s">
        <v>3296</v>
      </c>
      <c r="B21476" t="s">
        <v>2931</v>
      </c>
      <c r="C21476">
        <v>10273</v>
      </c>
      <c r="D21476" t="str">
        <f>"12532021265 "</f>
        <v xml:space="preserve">12532021265 </v>
      </c>
      <c r="E21476" t="s">
        <v>309</v>
      </c>
      <c r="F21476" t="s">
        <v>310</v>
      </c>
      <c r="G21476">
        <v>112.01</v>
      </c>
      <c r="H21476">
        <v>250731</v>
      </c>
      <c r="I21476">
        <v>4369</v>
      </c>
      <c r="J21476" t="s">
        <v>188</v>
      </c>
      <c r="K21476">
        <v>112.01</v>
      </c>
      <c r="L21476">
        <v>22.76</v>
      </c>
      <c r="M21476">
        <v>10002</v>
      </c>
      <c r="N21476" t="s">
        <v>513</v>
      </c>
      <c r="O21476">
        <v>250813</v>
      </c>
      <c r="P21476">
        <v>89.25</v>
      </c>
    </row>
    <row r="21477" spans="1:16" x14ac:dyDescent="0.25">
      <c r="A21477" t="s">
        <v>3296</v>
      </c>
      <c r="B21477" t="s">
        <v>2931</v>
      </c>
      <c r="C21477">
        <v>10274</v>
      </c>
      <c r="D21477" t="str">
        <f t="shared" ref="D21477:D21492" si="441">"12532021225 "</f>
        <v xml:space="preserve">12532021225 </v>
      </c>
      <c r="E21477" t="s">
        <v>309</v>
      </c>
      <c r="F21477" t="s">
        <v>310</v>
      </c>
      <c r="G21477">
        <v>3.39</v>
      </c>
      <c r="H21477">
        <v>250731</v>
      </c>
      <c r="I21477">
        <v>4369</v>
      </c>
      <c r="J21477" t="s">
        <v>188</v>
      </c>
      <c r="K21477">
        <v>231.28</v>
      </c>
      <c r="L21477">
        <v>0.69</v>
      </c>
      <c r="M21477">
        <v>54422</v>
      </c>
      <c r="N21477" t="s">
        <v>49</v>
      </c>
      <c r="O21477">
        <v>250813</v>
      </c>
      <c r="P21477">
        <v>2.7</v>
      </c>
    </row>
    <row r="21478" spans="1:16" x14ac:dyDescent="0.25">
      <c r="A21478" t="s">
        <v>3296</v>
      </c>
      <c r="B21478" t="s">
        <v>2931</v>
      </c>
      <c r="C21478">
        <v>10274</v>
      </c>
      <c r="D21478" t="str">
        <f t="shared" si="441"/>
        <v xml:space="preserve">12532021225 </v>
      </c>
      <c r="E21478" t="s">
        <v>309</v>
      </c>
      <c r="F21478" t="s">
        <v>310</v>
      </c>
      <c r="G21478">
        <v>3.39</v>
      </c>
      <c r="H21478">
        <v>250731</v>
      </c>
      <c r="I21478">
        <v>4369</v>
      </c>
      <c r="J21478" t="s">
        <v>188</v>
      </c>
      <c r="K21478">
        <v>231.28</v>
      </c>
      <c r="L21478">
        <v>0.69</v>
      </c>
      <c r="M21478">
        <v>54451</v>
      </c>
      <c r="N21478" t="s">
        <v>218</v>
      </c>
      <c r="O21478">
        <v>250813</v>
      </c>
      <c r="P21478">
        <v>2.7</v>
      </c>
    </row>
    <row r="21479" spans="1:16" x14ac:dyDescent="0.25">
      <c r="A21479" t="s">
        <v>3296</v>
      </c>
      <c r="B21479" t="s">
        <v>2931</v>
      </c>
      <c r="C21479">
        <v>10274</v>
      </c>
      <c r="D21479" t="str">
        <f t="shared" si="441"/>
        <v xml:space="preserve">12532021225 </v>
      </c>
      <c r="E21479" t="s">
        <v>309</v>
      </c>
      <c r="F21479" t="s">
        <v>310</v>
      </c>
      <c r="G21479">
        <v>13.18</v>
      </c>
      <c r="H21479">
        <v>250731</v>
      </c>
      <c r="I21479">
        <v>4369</v>
      </c>
      <c r="J21479" t="s">
        <v>188</v>
      </c>
      <c r="K21479">
        <v>231.28</v>
      </c>
      <c r="L21479">
        <v>2.68</v>
      </c>
      <c r="M21479">
        <v>59111</v>
      </c>
      <c r="N21479" t="s">
        <v>60</v>
      </c>
      <c r="O21479">
        <v>250813</v>
      </c>
      <c r="P21479">
        <v>10.5</v>
      </c>
    </row>
    <row r="21480" spans="1:16" x14ac:dyDescent="0.25">
      <c r="A21480" t="s">
        <v>3296</v>
      </c>
      <c r="B21480" t="s">
        <v>2931</v>
      </c>
      <c r="C21480">
        <v>10274</v>
      </c>
      <c r="D21480" t="str">
        <f t="shared" si="441"/>
        <v xml:space="preserve">12532021225 </v>
      </c>
      <c r="E21480" t="s">
        <v>309</v>
      </c>
      <c r="F21480" t="s">
        <v>310</v>
      </c>
      <c r="G21480">
        <v>10.17</v>
      </c>
      <c r="H21480">
        <v>250731</v>
      </c>
      <c r="I21480">
        <v>4369</v>
      </c>
      <c r="J21480" t="s">
        <v>188</v>
      </c>
      <c r="K21480">
        <v>231.28</v>
      </c>
      <c r="L21480">
        <v>2.0699999999999998</v>
      </c>
      <c r="M21480">
        <v>59113</v>
      </c>
      <c r="N21480" t="s">
        <v>61</v>
      </c>
      <c r="O21480">
        <v>250813</v>
      </c>
      <c r="P21480">
        <v>8.1</v>
      </c>
    </row>
    <row r="21481" spans="1:16" x14ac:dyDescent="0.25">
      <c r="A21481" t="s">
        <v>3296</v>
      </c>
      <c r="B21481" t="s">
        <v>2931</v>
      </c>
      <c r="C21481">
        <v>10274</v>
      </c>
      <c r="D21481" t="str">
        <f t="shared" si="441"/>
        <v xml:space="preserve">12532021225 </v>
      </c>
      <c r="E21481" t="s">
        <v>309</v>
      </c>
      <c r="F21481" t="s">
        <v>310</v>
      </c>
      <c r="G21481">
        <v>3.39</v>
      </c>
      <c r="H21481">
        <v>250731</v>
      </c>
      <c r="I21481">
        <v>4369</v>
      </c>
      <c r="J21481" t="s">
        <v>188</v>
      </c>
      <c r="K21481">
        <v>231.28</v>
      </c>
      <c r="L21481">
        <v>0.69</v>
      </c>
      <c r="M21481">
        <v>59114</v>
      </c>
      <c r="N21481" t="s">
        <v>299</v>
      </c>
      <c r="O21481">
        <v>250813</v>
      </c>
      <c r="P21481">
        <v>2.7</v>
      </c>
    </row>
    <row r="21482" spans="1:16" x14ac:dyDescent="0.25">
      <c r="A21482" t="s">
        <v>3296</v>
      </c>
      <c r="B21482" t="s">
        <v>2931</v>
      </c>
      <c r="C21482">
        <v>10274</v>
      </c>
      <c r="D21482" t="str">
        <f t="shared" si="441"/>
        <v xml:space="preserve">12532021225 </v>
      </c>
      <c r="E21482" t="s">
        <v>309</v>
      </c>
      <c r="F21482" t="s">
        <v>310</v>
      </c>
      <c r="G21482">
        <v>68.010000000000005</v>
      </c>
      <c r="H21482">
        <v>250731</v>
      </c>
      <c r="I21482">
        <v>4369</v>
      </c>
      <c r="J21482" t="s">
        <v>188</v>
      </c>
      <c r="K21482">
        <v>231.28</v>
      </c>
      <c r="L21482">
        <v>13.82</v>
      </c>
      <c r="M21482">
        <v>59501</v>
      </c>
      <c r="N21482" t="s">
        <v>62</v>
      </c>
      <c r="O21482">
        <v>250813</v>
      </c>
      <c r="P21482">
        <v>54.19</v>
      </c>
    </row>
    <row r="21483" spans="1:16" x14ac:dyDescent="0.25">
      <c r="A21483" t="s">
        <v>3296</v>
      </c>
      <c r="B21483" t="s">
        <v>2931</v>
      </c>
      <c r="C21483">
        <v>10274</v>
      </c>
      <c r="D21483" t="str">
        <f t="shared" si="441"/>
        <v xml:space="preserve">12532021225 </v>
      </c>
      <c r="E21483" t="s">
        <v>309</v>
      </c>
      <c r="F21483" t="s">
        <v>310</v>
      </c>
      <c r="G21483">
        <v>40.03</v>
      </c>
      <c r="H21483">
        <v>250731</v>
      </c>
      <c r="I21483">
        <v>4369</v>
      </c>
      <c r="J21483" t="s">
        <v>188</v>
      </c>
      <c r="K21483">
        <v>231.28</v>
      </c>
      <c r="L21483">
        <v>8.1300000000000008</v>
      </c>
      <c r="M21483">
        <v>59502</v>
      </c>
      <c r="N21483" t="s">
        <v>63</v>
      </c>
      <c r="O21483">
        <v>250813</v>
      </c>
      <c r="P21483">
        <v>31.9</v>
      </c>
    </row>
    <row r="21484" spans="1:16" x14ac:dyDescent="0.25">
      <c r="A21484" t="s">
        <v>3296</v>
      </c>
      <c r="B21484" t="s">
        <v>2931</v>
      </c>
      <c r="C21484">
        <v>10274</v>
      </c>
      <c r="D21484" t="str">
        <f t="shared" si="441"/>
        <v xml:space="preserve">12532021225 </v>
      </c>
      <c r="E21484" t="s">
        <v>309</v>
      </c>
      <c r="F21484" t="s">
        <v>310</v>
      </c>
      <c r="G21484">
        <v>10.23</v>
      </c>
      <c r="H21484">
        <v>250731</v>
      </c>
      <c r="I21484">
        <v>4369</v>
      </c>
      <c r="J21484" t="s">
        <v>188</v>
      </c>
      <c r="K21484">
        <v>231.28</v>
      </c>
      <c r="L21484">
        <v>2.08</v>
      </c>
      <c r="M21484">
        <v>59504</v>
      </c>
      <c r="N21484" t="s">
        <v>193</v>
      </c>
      <c r="O21484">
        <v>250813</v>
      </c>
      <c r="P21484">
        <v>8.15</v>
      </c>
    </row>
    <row r="21485" spans="1:16" x14ac:dyDescent="0.25">
      <c r="A21485" t="s">
        <v>3296</v>
      </c>
      <c r="B21485" t="s">
        <v>2931</v>
      </c>
      <c r="C21485">
        <v>10274</v>
      </c>
      <c r="D21485" t="str">
        <f t="shared" si="441"/>
        <v xml:space="preserve">12532021225 </v>
      </c>
      <c r="E21485" t="s">
        <v>309</v>
      </c>
      <c r="F21485" t="s">
        <v>310</v>
      </c>
      <c r="G21485">
        <v>6.78</v>
      </c>
      <c r="H21485">
        <v>250731</v>
      </c>
      <c r="I21485">
        <v>4369</v>
      </c>
      <c r="J21485" t="s">
        <v>188</v>
      </c>
      <c r="K21485">
        <v>231.28</v>
      </c>
      <c r="L21485">
        <v>1.38</v>
      </c>
      <c r="M21485">
        <v>59505</v>
      </c>
      <c r="N21485" t="s">
        <v>194</v>
      </c>
      <c r="O21485">
        <v>250813</v>
      </c>
      <c r="P21485">
        <v>5.4</v>
      </c>
    </row>
    <row r="21486" spans="1:16" x14ac:dyDescent="0.25">
      <c r="A21486" t="s">
        <v>3296</v>
      </c>
      <c r="B21486" t="s">
        <v>2931</v>
      </c>
      <c r="C21486">
        <v>10274</v>
      </c>
      <c r="D21486" t="str">
        <f t="shared" si="441"/>
        <v xml:space="preserve">12532021225 </v>
      </c>
      <c r="E21486" t="s">
        <v>309</v>
      </c>
      <c r="F21486" t="s">
        <v>310</v>
      </c>
      <c r="G21486">
        <v>13.55</v>
      </c>
      <c r="H21486">
        <v>250731</v>
      </c>
      <c r="I21486">
        <v>4369</v>
      </c>
      <c r="J21486" t="s">
        <v>188</v>
      </c>
      <c r="K21486">
        <v>231.28</v>
      </c>
      <c r="L21486">
        <v>2.75</v>
      </c>
      <c r="M21486">
        <v>59701</v>
      </c>
      <c r="N21486" t="s">
        <v>64</v>
      </c>
      <c r="O21486">
        <v>250813</v>
      </c>
      <c r="P21486">
        <v>10.8</v>
      </c>
    </row>
    <row r="21487" spans="1:16" x14ac:dyDescent="0.25">
      <c r="A21487" t="s">
        <v>3296</v>
      </c>
      <c r="B21487" t="s">
        <v>2931</v>
      </c>
      <c r="C21487">
        <v>10274</v>
      </c>
      <c r="D21487" t="str">
        <f t="shared" si="441"/>
        <v xml:space="preserve">12532021225 </v>
      </c>
      <c r="E21487" t="s">
        <v>309</v>
      </c>
      <c r="F21487" t="s">
        <v>310</v>
      </c>
      <c r="G21487">
        <v>6.88</v>
      </c>
      <c r="H21487">
        <v>250731</v>
      </c>
      <c r="I21487">
        <v>4369</v>
      </c>
      <c r="J21487" t="s">
        <v>188</v>
      </c>
      <c r="K21487">
        <v>231.28</v>
      </c>
      <c r="L21487">
        <v>1.4</v>
      </c>
      <c r="M21487">
        <v>59702</v>
      </c>
      <c r="N21487" t="s">
        <v>45</v>
      </c>
      <c r="O21487">
        <v>250813</v>
      </c>
      <c r="P21487">
        <v>5.48</v>
      </c>
    </row>
    <row r="21488" spans="1:16" x14ac:dyDescent="0.25">
      <c r="A21488" t="s">
        <v>3296</v>
      </c>
      <c r="B21488" t="s">
        <v>2931</v>
      </c>
      <c r="C21488">
        <v>10274</v>
      </c>
      <c r="D21488" t="str">
        <f t="shared" si="441"/>
        <v xml:space="preserve">12532021225 </v>
      </c>
      <c r="E21488" t="s">
        <v>309</v>
      </c>
      <c r="F21488" t="s">
        <v>310</v>
      </c>
      <c r="G21488">
        <v>6.59</v>
      </c>
      <c r="H21488">
        <v>250731</v>
      </c>
      <c r="I21488">
        <v>4369</v>
      </c>
      <c r="J21488" t="s">
        <v>188</v>
      </c>
      <c r="K21488">
        <v>231.28</v>
      </c>
      <c r="L21488">
        <v>1.34</v>
      </c>
      <c r="M21488">
        <v>59704</v>
      </c>
      <c r="N21488" t="s">
        <v>46</v>
      </c>
      <c r="O21488">
        <v>250813</v>
      </c>
      <c r="P21488">
        <v>5.25</v>
      </c>
    </row>
    <row r="21489" spans="1:16" x14ac:dyDescent="0.25">
      <c r="A21489" t="s">
        <v>3296</v>
      </c>
      <c r="B21489" t="s">
        <v>2931</v>
      </c>
      <c r="C21489">
        <v>10274</v>
      </c>
      <c r="D21489" t="str">
        <f t="shared" si="441"/>
        <v xml:space="preserve">12532021225 </v>
      </c>
      <c r="E21489" t="s">
        <v>309</v>
      </c>
      <c r="F21489" t="s">
        <v>310</v>
      </c>
      <c r="G21489">
        <v>3.39</v>
      </c>
      <c r="H21489">
        <v>250731</v>
      </c>
      <c r="I21489">
        <v>4369</v>
      </c>
      <c r="J21489" t="s">
        <v>188</v>
      </c>
      <c r="K21489">
        <v>231.28</v>
      </c>
      <c r="L21489">
        <v>0.69</v>
      </c>
      <c r="M21489">
        <v>59705</v>
      </c>
      <c r="N21489" t="s">
        <v>47</v>
      </c>
      <c r="O21489">
        <v>250813</v>
      </c>
      <c r="P21489">
        <v>2.7</v>
      </c>
    </row>
    <row r="21490" spans="1:16" x14ac:dyDescent="0.25">
      <c r="A21490" t="s">
        <v>3296</v>
      </c>
      <c r="B21490" t="s">
        <v>2931</v>
      </c>
      <c r="C21490">
        <v>10274</v>
      </c>
      <c r="D21490" t="str">
        <f t="shared" si="441"/>
        <v xml:space="preserve">12532021225 </v>
      </c>
      <c r="E21490" t="s">
        <v>309</v>
      </c>
      <c r="F21490" t="s">
        <v>310</v>
      </c>
      <c r="G21490">
        <v>19.95</v>
      </c>
      <c r="H21490">
        <v>250731</v>
      </c>
      <c r="I21490">
        <v>4369</v>
      </c>
      <c r="J21490" t="s">
        <v>188</v>
      </c>
      <c r="K21490">
        <v>231.28</v>
      </c>
      <c r="L21490">
        <v>4.05</v>
      </c>
      <c r="M21490">
        <v>59802</v>
      </c>
      <c r="N21490" t="s">
        <v>195</v>
      </c>
      <c r="O21490">
        <v>250813</v>
      </c>
      <c r="P21490">
        <v>15.9</v>
      </c>
    </row>
    <row r="21491" spans="1:16" x14ac:dyDescent="0.25">
      <c r="A21491" t="s">
        <v>3296</v>
      </c>
      <c r="B21491" t="s">
        <v>2931</v>
      </c>
      <c r="C21491">
        <v>10274</v>
      </c>
      <c r="D21491" t="str">
        <f t="shared" si="441"/>
        <v xml:space="preserve">12532021225 </v>
      </c>
      <c r="E21491" t="s">
        <v>309</v>
      </c>
      <c r="F21491" t="s">
        <v>310</v>
      </c>
      <c r="G21491">
        <v>18.97</v>
      </c>
      <c r="H21491">
        <v>250731</v>
      </c>
      <c r="I21491">
        <v>4369</v>
      </c>
      <c r="J21491" t="s">
        <v>188</v>
      </c>
      <c r="K21491">
        <v>231.28</v>
      </c>
      <c r="L21491">
        <v>3.85</v>
      </c>
      <c r="M21491">
        <v>59812</v>
      </c>
      <c r="N21491" t="s">
        <v>196</v>
      </c>
      <c r="O21491">
        <v>250813</v>
      </c>
      <c r="P21491">
        <v>15.12</v>
      </c>
    </row>
    <row r="21492" spans="1:16" x14ac:dyDescent="0.25">
      <c r="A21492" t="s">
        <v>3296</v>
      </c>
      <c r="B21492" t="s">
        <v>2931</v>
      </c>
      <c r="C21492">
        <v>10274</v>
      </c>
      <c r="D21492" t="str">
        <f t="shared" si="441"/>
        <v xml:space="preserve">12532021225 </v>
      </c>
      <c r="E21492" t="s">
        <v>309</v>
      </c>
      <c r="F21492" t="s">
        <v>310</v>
      </c>
      <c r="G21492">
        <v>3.38</v>
      </c>
      <c r="H21492">
        <v>250731</v>
      </c>
      <c r="I21492">
        <v>4369</v>
      </c>
      <c r="J21492" t="s">
        <v>188</v>
      </c>
      <c r="K21492">
        <v>231.28</v>
      </c>
      <c r="L21492">
        <v>0.69</v>
      </c>
      <c r="M21492">
        <v>59815</v>
      </c>
      <c r="N21492" t="s">
        <v>1001</v>
      </c>
      <c r="O21492">
        <v>250813</v>
      </c>
      <c r="P21492">
        <v>2.69</v>
      </c>
    </row>
    <row r="21493" spans="1:16" x14ac:dyDescent="0.25">
      <c r="A21493" t="s">
        <v>3296</v>
      </c>
      <c r="B21493" t="s">
        <v>2931</v>
      </c>
      <c r="C21493">
        <v>10275</v>
      </c>
      <c r="D21493" t="str">
        <f>"12532021226 "</f>
        <v xml:space="preserve">12532021226 </v>
      </c>
      <c r="E21493" t="s">
        <v>309</v>
      </c>
      <c r="F21493" t="s">
        <v>310</v>
      </c>
      <c r="G21493">
        <v>3.39</v>
      </c>
      <c r="H21493">
        <v>250731</v>
      </c>
      <c r="I21493">
        <v>4369</v>
      </c>
      <c r="J21493" t="s">
        <v>188</v>
      </c>
      <c r="K21493">
        <v>30.12</v>
      </c>
      <c r="L21493">
        <v>0.69</v>
      </c>
      <c r="M21493">
        <v>56522</v>
      </c>
      <c r="N21493" t="s">
        <v>68</v>
      </c>
      <c r="O21493">
        <v>250813</v>
      </c>
      <c r="P21493">
        <v>2.7</v>
      </c>
    </row>
    <row r="21494" spans="1:16" x14ac:dyDescent="0.25">
      <c r="A21494" t="s">
        <v>3296</v>
      </c>
      <c r="B21494" t="s">
        <v>2931</v>
      </c>
      <c r="C21494">
        <v>10275</v>
      </c>
      <c r="D21494" t="str">
        <f>"12532021226 "</f>
        <v xml:space="preserve">12532021226 </v>
      </c>
      <c r="E21494" t="s">
        <v>309</v>
      </c>
      <c r="F21494" t="s">
        <v>310</v>
      </c>
      <c r="G21494">
        <v>13.17</v>
      </c>
      <c r="H21494">
        <v>250731</v>
      </c>
      <c r="I21494">
        <v>4369</v>
      </c>
      <c r="J21494" t="s">
        <v>188</v>
      </c>
      <c r="K21494">
        <v>30.12</v>
      </c>
      <c r="L21494">
        <v>2.68</v>
      </c>
      <c r="M21494">
        <v>56524</v>
      </c>
      <c r="N21494" t="s">
        <v>69</v>
      </c>
      <c r="O21494">
        <v>250813</v>
      </c>
      <c r="P21494">
        <v>10.49</v>
      </c>
    </row>
    <row r="21495" spans="1:16" x14ac:dyDescent="0.25">
      <c r="A21495" t="s">
        <v>3296</v>
      </c>
      <c r="B21495" t="s">
        <v>2931</v>
      </c>
      <c r="C21495">
        <v>10275</v>
      </c>
      <c r="D21495" t="str">
        <f>"12532021226 "</f>
        <v xml:space="preserve">12532021226 </v>
      </c>
      <c r="E21495" t="s">
        <v>309</v>
      </c>
      <c r="F21495" t="s">
        <v>310</v>
      </c>
      <c r="G21495">
        <v>13.56</v>
      </c>
      <c r="H21495">
        <v>250731</v>
      </c>
      <c r="I21495">
        <v>4369</v>
      </c>
      <c r="J21495" t="s">
        <v>188</v>
      </c>
      <c r="K21495">
        <v>30.12</v>
      </c>
      <c r="L21495">
        <v>2.76</v>
      </c>
      <c r="M21495">
        <v>56528</v>
      </c>
      <c r="N21495" t="s">
        <v>70</v>
      </c>
      <c r="O21495">
        <v>250813</v>
      </c>
      <c r="P21495">
        <v>10.8</v>
      </c>
    </row>
    <row r="21496" spans="1:16" x14ac:dyDescent="0.25">
      <c r="A21496" t="s">
        <v>3296</v>
      </c>
      <c r="B21496" t="s">
        <v>2931</v>
      </c>
      <c r="C21496">
        <v>10327</v>
      </c>
      <c r="D21496" t="str">
        <f>"105504501   "</f>
        <v xml:space="preserve">105504501   </v>
      </c>
      <c r="E21496" t="s">
        <v>309</v>
      </c>
      <c r="F21496" t="s">
        <v>310</v>
      </c>
      <c r="G21496">
        <v>87.45</v>
      </c>
      <c r="H21496">
        <v>250731</v>
      </c>
      <c r="I21496">
        <v>4369</v>
      </c>
      <c r="J21496" t="s">
        <v>188</v>
      </c>
      <c r="K21496">
        <v>87.45</v>
      </c>
      <c r="L21496">
        <v>17.77</v>
      </c>
      <c r="M21496">
        <v>18972</v>
      </c>
      <c r="N21496" t="s">
        <v>39</v>
      </c>
      <c r="O21496">
        <v>250814</v>
      </c>
      <c r="P21496">
        <v>69.680000000000007</v>
      </c>
    </row>
    <row r="21497" spans="1:16" x14ac:dyDescent="0.25">
      <c r="A21497" t="s">
        <v>3296</v>
      </c>
      <c r="B21497" t="s">
        <v>2931</v>
      </c>
      <c r="C21497">
        <v>10364</v>
      </c>
      <c r="D21497" t="str">
        <f>"105513137   "</f>
        <v xml:space="preserve">105513137   </v>
      </c>
      <c r="E21497" t="s">
        <v>309</v>
      </c>
      <c r="F21497" t="s">
        <v>310</v>
      </c>
      <c r="G21497">
        <v>26.36</v>
      </c>
      <c r="H21497">
        <v>250731</v>
      </c>
      <c r="I21497">
        <v>4369</v>
      </c>
      <c r="J21497" t="s">
        <v>188</v>
      </c>
      <c r="K21497">
        <v>26.36</v>
      </c>
      <c r="L21497">
        <v>5.36</v>
      </c>
      <c r="M21497">
        <v>13901</v>
      </c>
      <c r="N21497" t="s">
        <v>116</v>
      </c>
      <c r="O21497">
        <v>250818</v>
      </c>
      <c r="P21497">
        <v>21</v>
      </c>
    </row>
    <row r="21498" spans="1:16" x14ac:dyDescent="0.25">
      <c r="A21498" t="s">
        <v>3296</v>
      </c>
      <c r="B21498" t="s">
        <v>2931</v>
      </c>
      <c r="C21498">
        <v>10371</v>
      </c>
      <c r="D21498" t="str">
        <f t="shared" ref="D21498:D21517" si="442">"12532021259 "</f>
        <v xml:space="preserve">12532021259 </v>
      </c>
      <c r="E21498" t="s">
        <v>309</v>
      </c>
      <c r="F21498" t="s">
        <v>310</v>
      </c>
      <c r="G21498">
        <v>20.21</v>
      </c>
      <c r="H21498">
        <v>250731</v>
      </c>
      <c r="I21498">
        <v>4369</v>
      </c>
      <c r="J21498" t="s">
        <v>188</v>
      </c>
      <c r="K21498">
        <v>236.28</v>
      </c>
      <c r="L21498">
        <v>4.1100000000000003</v>
      </c>
      <c r="M21498">
        <v>11601</v>
      </c>
      <c r="N21498" t="s">
        <v>12</v>
      </c>
      <c r="O21498">
        <v>250818</v>
      </c>
      <c r="P21498">
        <v>16.100000000000001</v>
      </c>
    </row>
    <row r="21499" spans="1:16" x14ac:dyDescent="0.25">
      <c r="A21499" t="s">
        <v>3296</v>
      </c>
      <c r="B21499" t="s">
        <v>2931</v>
      </c>
      <c r="C21499">
        <v>10371</v>
      </c>
      <c r="D21499" t="str">
        <f t="shared" si="442"/>
        <v xml:space="preserve">12532021259 </v>
      </c>
      <c r="E21499" t="s">
        <v>309</v>
      </c>
      <c r="F21499" t="s">
        <v>310</v>
      </c>
      <c r="G21499">
        <v>3.2</v>
      </c>
      <c r="H21499">
        <v>250731</v>
      </c>
      <c r="I21499">
        <v>4369</v>
      </c>
      <c r="J21499" t="s">
        <v>188</v>
      </c>
      <c r="K21499">
        <v>236.28</v>
      </c>
      <c r="L21499">
        <v>0.65</v>
      </c>
      <c r="M21499">
        <v>11603</v>
      </c>
      <c r="N21499" t="s">
        <v>897</v>
      </c>
      <c r="O21499">
        <v>250818</v>
      </c>
      <c r="P21499">
        <v>2.5499999999999998</v>
      </c>
    </row>
    <row r="21500" spans="1:16" x14ac:dyDescent="0.25">
      <c r="A21500" t="s">
        <v>3296</v>
      </c>
      <c r="B21500" t="s">
        <v>2931</v>
      </c>
      <c r="C21500">
        <v>10371</v>
      </c>
      <c r="D21500" t="str">
        <f t="shared" si="442"/>
        <v xml:space="preserve">12532021259 </v>
      </c>
      <c r="E21500" t="s">
        <v>309</v>
      </c>
      <c r="F21500" t="s">
        <v>310</v>
      </c>
      <c r="G21500">
        <v>16.940000000000001</v>
      </c>
      <c r="H21500">
        <v>250731</v>
      </c>
      <c r="I21500">
        <v>4369</v>
      </c>
      <c r="J21500" t="s">
        <v>188</v>
      </c>
      <c r="K21500">
        <v>236.28</v>
      </c>
      <c r="L21500">
        <v>3.44</v>
      </c>
      <c r="M21500">
        <v>14121</v>
      </c>
      <c r="N21500" t="s">
        <v>71</v>
      </c>
      <c r="O21500">
        <v>250818</v>
      </c>
      <c r="P21500">
        <v>13.5</v>
      </c>
    </row>
    <row r="21501" spans="1:16" x14ac:dyDescent="0.25">
      <c r="A21501" t="s">
        <v>3296</v>
      </c>
      <c r="B21501" t="s">
        <v>2931</v>
      </c>
      <c r="C21501">
        <v>10371</v>
      </c>
      <c r="D21501" t="str">
        <f t="shared" si="442"/>
        <v xml:space="preserve">12532021259 </v>
      </c>
      <c r="E21501" t="s">
        <v>309</v>
      </c>
      <c r="F21501" t="s">
        <v>310</v>
      </c>
      <c r="G21501">
        <v>23.71</v>
      </c>
      <c r="H21501">
        <v>250731</v>
      </c>
      <c r="I21501">
        <v>4369</v>
      </c>
      <c r="J21501" t="s">
        <v>188</v>
      </c>
      <c r="K21501">
        <v>236.28</v>
      </c>
      <c r="L21501">
        <v>4.82</v>
      </c>
      <c r="M21501">
        <v>14321</v>
      </c>
      <c r="N21501" t="s">
        <v>72</v>
      </c>
      <c r="O21501">
        <v>250818</v>
      </c>
      <c r="P21501">
        <v>18.89</v>
      </c>
    </row>
    <row r="21502" spans="1:16" x14ac:dyDescent="0.25">
      <c r="A21502" t="s">
        <v>3296</v>
      </c>
      <c r="B21502" t="s">
        <v>2931</v>
      </c>
      <c r="C21502">
        <v>10371</v>
      </c>
      <c r="D21502" t="str">
        <f t="shared" si="442"/>
        <v xml:space="preserve">12532021259 </v>
      </c>
      <c r="E21502" t="s">
        <v>309</v>
      </c>
      <c r="F21502" t="s">
        <v>310</v>
      </c>
      <c r="G21502">
        <v>16.940000000000001</v>
      </c>
      <c r="H21502">
        <v>250731</v>
      </c>
      <c r="I21502">
        <v>4369</v>
      </c>
      <c r="J21502" t="s">
        <v>188</v>
      </c>
      <c r="K21502">
        <v>236.28</v>
      </c>
      <c r="L21502">
        <v>3.44</v>
      </c>
      <c r="M21502">
        <v>14422</v>
      </c>
      <c r="N21502" t="s">
        <v>73</v>
      </c>
      <c r="O21502">
        <v>250818</v>
      </c>
      <c r="P21502">
        <v>13.5</v>
      </c>
    </row>
    <row r="21503" spans="1:16" x14ac:dyDescent="0.25">
      <c r="A21503" t="s">
        <v>3296</v>
      </c>
      <c r="B21503" t="s">
        <v>2931</v>
      </c>
      <c r="C21503">
        <v>10371</v>
      </c>
      <c r="D21503" t="str">
        <f t="shared" si="442"/>
        <v xml:space="preserve">12532021259 </v>
      </c>
      <c r="E21503" t="s">
        <v>309</v>
      </c>
      <c r="F21503" t="s">
        <v>310</v>
      </c>
      <c r="G21503">
        <v>10.16</v>
      </c>
      <c r="H21503">
        <v>250731</v>
      </c>
      <c r="I21503">
        <v>4369</v>
      </c>
      <c r="J21503" t="s">
        <v>188</v>
      </c>
      <c r="K21503">
        <v>236.28</v>
      </c>
      <c r="L21503">
        <v>2.06</v>
      </c>
      <c r="M21503">
        <v>14431</v>
      </c>
      <c r="N21503" t="s">
        <v>74</v>
      </c>
      <c r="O21503">
        <v>250818</v>
      </c>
      <c r="P21503">
        <v>8.1</v>
      </c>
    </row>
    <row r="21504" spans="1:16" x14ac:dyDescent="0.25">
      <c r="A21504" t="s">
        <v>3296</v>
      </c>
      <c r="B21504" t="s">
        <v>2931</v>
      </c>
      <c r="C21504">
        <v>10371</v>
      </c>
      <c r="D21504" t="str">
        <f t="shared" si="442"/>
        <v xml:space="preserve">12532021259 </v>
      </c>
      <c r="E21504" t="s">
        <v>309</v>
      </c>
      <c r="F21504" t="s">
        <v>310</v>
      </c>
      <c r="G21504">
        <v>13.36</v>
      </c>
      <c r="H21504">
        <v>250731</v>
      </c>
      <c r="I21504">
        <v>4369</v>
      </c>
      <c r="J21504" t="s">
        <v>188</v>
      </c>
      <c r="K21504">
        <v>236.28</v>
      </c>
      <c r="L21504">
        <v>2.71</v>
      </c>
      <c r="M21504">
        <v>14432</v>
      </c>
      <c r="N21504" t="s">
        <v>75</v>
      </c>
      <c r="O21504">
        <v>250818</v>
      </c>
      <c r="P21504">
        <v>10.65</v>
      </c>
    </row>
    <row r="21505" spans="1:16" x14ac:dyDescent="0.25">
      <c r="A21505" t="s">
        <v>3296</v>
      </c>
      <c r="B21505" t="s">
        <v>2931</v>
      </c>
      <c r="C21505">
        <v>10371</v>
      </c>
      <c r="D21505" t="str">
        <f t="shared" si="442"/>
        <v xml:space="preserve">12532021259 </v>
      </c>
      <c r="E21505" t="s">
        <v>309</v>
      </c>
      <c r="F21505" t="s">
        <v>310</v>
      </c>
      <c r="G21505">
        <v>10.16</v>
      </c>
      <c r="H21505">
        <v>250731</v>
      </c>
      <c r="I21505">
        <v>4369</v>
      </c>
      <c r="J21505" t="s">
        <v>188</v>
      </c>
      <c r="K21505">
        <v>236.28</v>
      </c>
      <c r="L21505">
        <v>2.06</v>
      </c>
      <c r="M21505">
        <v>14541</v>
      </c>
      <c r="N21505" t="s">
        <v>76</v>
      </c>
      <c r="O21505">
        <v>250818</v>
      </c>
      <c r="P21505">
        <v>8.1</v>
      </c>
    </row>
    <row r="21506" spans="1:16" x14ac:dyDescent="0.25">
      <c r="A21506" t="s">
        <v>3296</v>
      </c>
      <c r="B21506" t="s">
        <v>2931</v>
      </c>
      <c r="C21506">
        <v>10371</v>
      </c>
      <c r="D21506" t="str">
        <f t="shared" si="442"/>
        <v xml:space="preserve">12532021259 </v>
      </c>
      <c r="E21506" t="s">
        <v>309</v>
      </c>
      <c r="F21506" t="s">
        <v>310</v>
      </c>
      <c r="G21506">
        <v>49.69</v>
      </c>
      <c r="H21506">
        <v>250731</v>
      </c>
      <c r="I21506">
        <v>4369</v>
      </c>
      <c r="J21506" t="s">
        <v>188</v>
      </c>
      <c r="K21506">
        <v>236.28</v>
      </c>
      <c r="L21506">
        <v>10.1</v>
      </c>
      <c r="M21506">
        <v>14622</v>
      </c>
      <c r="N21506" t="s">
        <v>77</v>
      </c>
      <c r="O21506">
        <v>250818</v>
      </c>
      <c r="P21506">
        <v>39.590000000000003</v>
      </c>
    </row>
    <row r="21507" spans="1:16" x14ac:dyDescent="0.25">
      <c r="A21507" t="s">
        <v>3296</v>
      </c>
      <c r="B21507" t="s">
        <v>2931</v>
      </c>
      <c r="C21507">
        <v>10371</v>
      </c>
      <c r="D21507" t="str">
        <f t="shared" si="442"/>
        <v xml:space="preserve">12532021259 </v>
      </c>
      <c r="E21507" t="s">
        <v>309</v>
      </c>
      <c r="F21507" t="s">
        <v>310</v>
      </c>
      <c r="G21507">
        <v>6.77</v>
      </c>
      <c r="H21507">
        <v>250731</v>
      </c>
      <c r="I21507">
        <v>4369</v>
      </c>
      <c r="J21507" t="s">
        <v>188</v>
      </c>
      <c r="K21507">
        <v>236.28</v>
      </c>
      <c r="L21507">
        <v>1.38</v>
      </c>
      <c r="M21507">
        <v>14640</v>
      </c>
      <c r="N21507" t="s">
        <v>78</v>
      </c>
      <c r="O21507">
        <v>250818</v>
      </c>
      <c r="P21507">
        <v>5.39</v>
      </c>
    </row>
    <row r="21508" spans="1:16" x14ac:dyDescent="0.25">
      <c r="A21508" t="s">
        <v>3296</v>
      </c>
      <c r="B21508" t="s">
        <v>2931</v>
      </c>
      <c r="C21508">
        <v>10371</v>
      </c>
      <c r="D21508" t="str">
        <f t="shared" si="442"/>
        <v xml:space="preserve">12532021259 </v>
      </c>
      <c r="E21508" t="s">
        <v>309</v>
      </c>
      <c r="F21508" t="s">
        <v>310</v>
      </c>
      <c r="G21508">
        <v>3.39</v>
      </c>
      <c r="H21508">
        <v>250731</v>
      </c>
      <c r="I21508">
        <v>4369</v>
      </c>
      <c r="J21508" t="s">
        <v>188</v>
      </c>
      <c r="K21508">
        <v>236.28</v>
      </c>
      <c r="L21508">
        <v>0.69</v>
      </c>
      <c r="M21508">
        <v>14861</v>
      </c>
      <c r="N21508" t="s">
        <v>79</v>
      </c>
      <c r="O21508">
        <v>250818</v>
      </c>
      <c r="P21508">
        <v>2.7</v>
      </c>
    </row>
    <row r="21509" spans="1:16" x14ac:dyDescent="0.25">
      <c r="A21509" t="s">
        <v>3296</v>
      </c>
      <c r="B21509" t="s">
        <v>2931</v>
      </c>
      <c r="C21509">
        <v>10371</v>
      </c>
      <c r="D21509" t="str">
        <f t="shared" si="442"/>
        <v xml:space="preserve">12532021259 </v>
      </c>
      <c r="E21509" t="s">
        <v>309</v>
      </c>
      <c r="F21509" t="s">
        <v>310</v>
      </c>
      <c r="G21509">
        <v>6.77</v>
      </c>
      <c r="H21509">
        <v>250731</v>
      </c>
      <c r="I21509">
        <v>4369</v>
      </c>
      <c r="J21509" t="s">
        <v>188</v>
      </c>
      <c r="K21509">
        <v>236.28</v>
      </c>
      <c r="L21509">
        <v>1.38</v>
      </c>
      <c r="M21509">
        <v>14912</v>
      </c>
      <c r="N21509" t="s">
        <v>80</v>
      </c>
      <c r="O21509">
        <v>250818</v>
      </c>
      <c r="P21509">
        <v>5.39</v>
      </c>
    </row>
    <row r="21510" spans="1:16" x14ac:dyDescent="0.25">
      <c r="A21510" t="s">
        <v>3296</v>
      </c>
      <c r="B21510" t="s">
        <v>2931</v>
      </c>
      <c r="C21510">
        <v>10371</v>
      </c>
      <c r="D21510" t="str">
        <f t="shared" si="442"/>
        <v xml:space="preserve">12532021259 </v>
      </c>
      <c r="E21510" t="s">
        <v>309</v>
      </c>
      <c r="F21510" t="s">
        <v>310</v>
      </c>
      <c r="G21510">
        <v>3.51</v>
      </c>
      <c r="H21510">
        <v>250731</v>
      </c>
      <c r="I21510">
        <v>4369</v>
      </c>
      <c r="J21510" t="s">
        <v>188</v>
      </c>
      <c r="K21510">
        <v>236.28</v>
      </c>
      <c r="L21510">
        <v>0.71</v>
      </c>
      <c r="M21510">
        <v>14971</v>
      </c>
      <c r="N21510" t="s">
        <v>81</v>
      </c>
      <c r="O21510">
        <v>250818</v>
      </c>
      <c r="P21510">
        <v>2.8</v>
      </c>
    </row>
    <row r="21511" spans="1:16" x14ac:dyDescent="0.25">
      <c r="A21511" t="s">
        <v>3296</v>
      </c>
      <c r="B21511" t="s">
        <v>2931</v>
      </c>
      <c r="C21511">
        <v>10371</v>
      </c>
      <c r="D21511" t="str">
        <f t="shared" si="442"/>
        <v xml:space="preserve">12532021259 </v>
      </c>
      <c r="E21511" t="s">
        <v>309</v>
      </c>
      <c r="F21511" t="s">
        <v>310</v>
      </c>
      <c r="G21511">
        <v>3.39</v>
      </c>
      <c r="H21511">
        <v>250731</v>
      </c>
      <c r="I21511">
        <v>4369</v>
      </c>
      <c r="J21511" t="s">
        <v>188</v>
      </c>
      <c r="K21511">
        <v>236.28</v>
      </c>
      <c r="L21511">
        <v>0.69</v>
      </c>
      <c r="M21511">
        <v>14972</v>
      </c>
      <c r="N21511" t="s">
        <v>82</v>
      </c>
      <c r="O21511">
        <v>250818</v>
      </c>
      <c r="P21511">
        <v>2.7</v>
      </c>
    </row>
    <row r="21512" spans="1:16" x14ac:dyDescent="0.25">
      <c r="A21512" t="s">
        <v>3296</v>
      </c>
      <c r="B21512" t="s">
        <v>2931</v>
      </c>
      <c r="C21512">
        <v>10371</v>
      </c>
      <c r="D21512" t="str">
        <f t="shared" si="442"/>
        <v xml:space="preserve">12532021259 </v>
      </c>
      <c r="E21512" t="s">
        <v>309</v>
      </c>
      <c r="F21512" t="s">
        <v>310</v>
      </c>
      <c r="G21512">
        <v>3.39</v>
      </c>
      <c r="H21512">
        <v>250731</v>
      </c>
      <c r="I21512">
        <v>4369</v>
      </c>
      <c r="J21512" t="s">
        <v>188</v>
      </c>
      <c r="K21512">
        <v>236.28</v>
      </c>
      <c r="L21512">
        <v>0.69</v>
      </c>
      <c r="M21512">
        <v>14974</v>
      </c>
      <c r="N21512" t="s">
        <v>83</v>
      </c>
      <c r="O21512">
        <v>250818</v>
      </c>
      <c r="P21512">
        <v>2.7</v>
      </c>
    </row>
    <row r="21513" spans="1:16" x14ac:dyDescent="0.25">
      <c r="A21513" t="s">
        <v>3296</v>
      </c>
      <c r="B21513" t="s">
        <v>2931</v>
      </c>
      <c r="C21513">
        <v>10371</v>
      </c>
      <c r="D21513" t="str">
        <f t="shared" si="442"/>
        <v xml:space="preserve">12532021259 </v>
      </c>
      <c r="E21513" t="s">
        <v>309</v>
      </c>
      <c r="F21513" t="s">
        <v>310</v>
      </c>
      <c r="G21513">
        <v>13.55</v>
      </c>
      <c r="H21513">
        <v>250731</v>
      </c>
      <c r="I21513">
        <v>4369</v>
      </c>
      <c r="J21513" t="s">
        <v>188</v>
      </c>
      <c r="K21513">
        <v>236.28</v>
      </c>
      <c r="L21513">
        <v>2.75</v>
      </c>
      <c r="M21513">
        <v>14975</v>
      </c>
      <c r="N21513" t="s">
        <v>84</v>
      </c>
      <c r="O21513">
        <v>250818</v>
      </c>
      <c r="P21513">
        <v>10.8</v>
      </c>
    </row>
    <row r="21514" spans="1:16" x14ac:dyDescent="0.25">
      <c r="A21514" t="s">
        <v>3296</v>
      </c>
      <c r="B21514" t="s">
        <v>2931</v>
      </c>
      <c r="C21514">
        <v>10371</v>
      </c>
      <c r="D21514" t="str">
        <f t="shared" si="442"/>
        <v xml:space="preserve">12532021259 </v>
      </c>
      <c r="E21514" t="s">
        <v>309</v>
      </c>
      <c r="F21514" t="s">
        <v>310</v>
      </c>
      <c r="G21514">
        <v>10.81</v>
      </c>
      <c r="H21514">
        <v>250731</v>
      </c>
      <c r="I21514">
        <v>4369</v>
      </c>
      <c r="J21514" t="s">
        <v>188</v>
      </c>
      <c r="K21514">
        <v>236.28</v>
      </c>
      <c r="L21514">
        <v>2.2000000000000002</v>
      </c>
      <c r="M21514">
        <v>14990</v>
      </c>
      <c r="N21514" t="s">
        <v>85</v>
      </c>
      <c r="O21514">
        <v>250818</v>
      </c>
      <c r="P21514">
        <v>8.61</v>
      </c>
    </row>
    <row r="21515" spans="1:16" x14ac:dyDescent="0.25">
      <c r="A21515" t="s">
        <v>3296</v>
      </c>
      <c r="B21515" t="s">
        <v>2931</v>
      </c>
      <c r="C21515">
        <v>10371</v>
      </c>
      <c r="D21515" t="str">
        <f t="shared" si="442"/>
        <v xml:space="preserve">12532021259 </v>
      </c>
      <c r="E21515" t="s">
        <v>309</v>
      </c>
      <c r="F21515" t="s">
        <v>310</v>
      </c>
      <c r="G21515">
        <v>3.39</v>
      </c>
      <c r="H21515">
        <v>250731</v>
      </c>
      <c r="I21515">
        <v>4369</v>
      </c>
      <c r="J21515" t="s">
        <v>188</v>
      </c>
      <c r="K21515">
        <v>236.28</v>
      </c>
      <c r="L21515">
        <v>0.69</v>
      </c>
      <c r="M21515">
        <v>14990</v>
      </c>
      <c r="N21515" t="s">
        <v>85</v>
      </c>
      <c r="O21515">
        <v>250818</v>
      </c>
      <c r="P21515">
        <v>2.7</v>
      </c>
    </row>
    <row r="21516" spans="1:16" x14ac:dyDescent="0.25">
      <c r="A21516" t="s">
        <v>3296</v>
      </c>
      <c r="B21516" t="s">
        <v>2931</v>
      </c>
      <c r="C21516">
        <v>10371</v>
      </c>
      <c r="D21516" t="str">
        <f t="shared" si="442"/>
        <v xml:space="preserve">12532021259 </v>
      </c>
      <c r="E21516" t="s">
        <v>309</v>
      </c>
      <c r="F21516" t="s">
        <v>310</v>
      </c>
      <c r="G21516">
        <v>3.39</v>
      </c>
      <c r="H21516">
        <v>250731</v>
      </c>
      <c r="I21516">
        <v>4369</v>
      </c>
      <c r="J21516" t="s">
        <v>188</v>
      </c>
      <c r="K21516">
        <v>236.28</v>
      </c>
      <c r="L21516">
        <v>0.69</v>
      </c>
      <c r="M21516">
        <v>18120</v>
      </c>
      <c r="N21516" t="s">
        <v>37</v>
      </c>
      <c r="O21516">
        <v>250818</v>
      </c>
      <c r="P21516">
        <v>2.7</v>
      </c>
    </row>
    <row r="21517" spans="1:16" x14ac:dyDescent="0.25">
      <c r="A21517" t="s">
        <v>3296</v>
      </c>
      <c r="B21517" t="s">
        <v>2931</v>
      </c>
      <c r="C21517">
        <v>10371</v>
      </c>
      <c r="D21517" t="str">
        <f t="shared" si="442"/>
        <v xml:space="preserve">12532021259 </v>
      </c>
      <c r="E21517" t="s">
        <v>309</v>
      </c>
      <c r="F21517" t="s">
        <v>310</v>
      </c>
      <c r="G21517">
        <v>13.55</v>
      </c>
      <c r="H21517">
        <v>250731</v>
      </c>
      <c r="I21517">
        <v>4369</v>
      </c>
      <c r="J21517" t="s">
        <v>188</v>
      </c>
      <c r="K21517">
        <v>236.28</v>
      </c>
      <c r="L21517">
        <v>2.75</v>
      </c>
      <c r="M21517">
        <v>18972</v>
      </c>
      <c r="N21517" t="s">
        <v>39</v>
      </c>
      <c r="O21517">
        <v>250818</v>
      </c>
      <c r="P21517">
        <v>10.8</v>
      </c>
    </row>
    <row r="21518" spans="1:16" x14ac:dyDescent="0.25">
      <c r="A21518" t="s">
        <v>3296</v>
      </c>
      <c r="B21518" t="s">
        <v>2931</v>
      </c>
      <c r="C21518">
        <v>10374</v>
      </c>
      <c r="D21518" t="str">
        <f t="shared" ref="D21518:D21526" si="443">"12532021251 "</f>
        <v xml:space="preserve">12532021251 </v>
      </c>
      <c r="E21518" t="s">
        <v>309</v>
      </c>
      <c r="F21518" t="s">
        <v>310</v>
      </c>
      <c r="G21518">
        <v>3.4</v>
      </c>
      <c r="H21518">
        <v>250731</v>
      </c>
      <c r="I21518">
        <v>4369</v>
      </c>
      <c r="J21518" t="s">
        <v>188</v>
      </c>
      <c r="K21518">
        <v>134.1</v>
      </c>
      <c r="L21518">
        <v>0</v>
      </c>
      <c r="M21518">
        <v>13201</v>
      </c>
      <c r="N21518" t="s">
        <v>269</v>
      </c>
      <c r="O21518">
        <v>250818</v>
      </c>
      <c r="P21518">
        <v>3.4</v>
      </c>
    </row>
    <row r="21519" spans="1:16" x14ac:dyDescent="0.25">
      <c r="A21519" t="s">
        <v>3296</v>
      </c>
      <c r="B21519" t="s">
        <v>2931</v>
      </c>
      <c r="C21519">
        <v>10374</v>
      </c>
      <c r="D21519" t="str">
        <f t="shared" si="443"/>
        <v xml:space="preserve">12532021251 </v>
      </c>
      <c r="E21519" t="s">
        <v>309</v>
      </c>
      <c r="F21519" t="s">
        <v>310</v>
      </c>
      <c r="G21519">
        <v>33.700000000000003</v>
      </c>
      <c r="H21519">
        <v>250731</v>
      </c>
      <c r="I21519">
        <v>4369</v>
      </c>
      <c r="J21519" t="s">
        <v>188</v>
      </c>
      <c r="K21519">
        <v>134.1</v>
      </c>
      <c r="L21519">
        <v>6.85</v>
      </c>
      <c r="M21519">
        <v>13401</v>
      </c>
      <c r="N21519" t="s">
        <v>10</v>
      </c>
      <c r="O21519">
        <v>250818</v>
      </c>
      <c r="P21519">
        <v>26.85</v>
      </c>
    </row>
    <row r="21520" spans="1:16" x14ac:dyDescent="0.25">
      <c r="A21520" t="s">
        <v>3296</v>
      </c>
      <c r="B21520" t="s">
        <v>2931</v>
      </c>
      <c r="C21520">
        <v>10374</v>
      </c>
      <c r="D21520" t="str">
        <f t="shared" si="443"/>
        <v xml:space="preserve">12532021251 </v>
      </c>
      <c r="E21520" t="s">
        <v>309</v>
      </c>
      <c r="F21520" t="s">
        <v>310</v>
      </c>
      <c r="G21520">
        <v>6.77</v>
      </c>
      <c r="H21520">
        <v>250731</v>
      </c>
      <c r="I21520">
        <v>4369</v>
      </c>
      <c r="J21520" t="s">
        <v>188</v>
      </c>
      <c r="K21520">
        <v>134.1</v>
      </c>
      <c r="L21520">
        <v>1.38</v>
      </c>
      <c r="M21520">
        <v>13401</v>
      </c>
      <c r="N21520" t="s">
        <v>10</v>
      </c>
      <c r="O21520">
        <v>250818</v>
      </c>
      <c r="P21520">
        <v>5.39</v>
      </c>
    </row>
    <row r="21521" spans="1:16" x14ac:dyDescent="0.25">
      <c r="A21521" t="s">
        <v>3296</v>
      </c>
      <c r="B21521" t="s">
        <v>2931</v>
      </c>
      <c r="C21521">
        <v>10374</v>
      </c>
      <c r="D21521" t="str">
        <f t="shared" si="443"/>
        <v xml:space="preserve">12532021251 </v>
      </c>
      <c r="E21521" t="s">
        <v>309</v>
      </c>
      <c r="F21521" t="s">
        <v>310</v>
      </c>
      <c r="G21521">
        <v>33.9</v>
      </c>
      <c r="H21521">
        <v>250731</v>
      </c>
      <c r="I21521">
        <v>4369</v>
      </c>
      <c r="J21521" t="s">
        <v>188</v>
      </c>
      <c r="K21521">
        <v>134.1</v>
      </c>
      <c r="L21521">
        <v>6.89</v>
      </c>
      <c r="M21521">
        <v>13501</v>
      </c>
      <c r="N21521" t="s">
        <v>66</v>
      </c>
      <c r="O21521">
        <v>250818</v>
      </c>
      <c r="P21521">
        <v>27.01</v>
      </c>
    </row>
    <row r="21522" spans="1:16" x14ac:dyDescent="0.25">
      <c r="A21522" t="s">
        <v>3296</v>
      </c>
      <c r="B21522" t="s">
        <v>2931</v>
      </c>
      <c r="C21522">
        <v>10374</v>
      </c>
      <c r="D21522" t="str">
        <f t="shared" si="443"/>
        <v xml:space="preserve">12532021251 </v>
      </c>
      <c r="E21522" t="s">
        <v>309</v>
      </c>
      <c r="F21522" t="s">
        <v>310</v>
      </c>
      <c r="G21522">
        <v>3.4</v>
      </c>
      <c r="H21522">
        <v>250731</v>
      </c>
      <c r="I21522">
        <v>4369</v>
      </c>
      <c r="J21522" t="s">
        <v>188</v>
      </c>
      <c r="K21522">
        <v>134.1</v>
      </c>
      <c r="L21522">
        <v>0.69</v>
      </c>
      <c r="M21522">
        <v>13561</v>
      </c>
      <c r="N21522" t="s">
        <v>241</v>
      </c>
      <c r="O21522">
        <v>250818</v>
      </c>
      <c r="P21522">
        <v>2.71</v>
      </c>
    </row>
    <row r="21523" spans="1:16" x14ac:dyDescent="0.25">
      <c r="A21523" t="s">
        <v>3296</v>
      </c>
      <c r="B21523" t="s">
        <v>2931</v>
      </c>
      <c r="C21523">
        <v>10374</v>
      </c>
      <c r="D21523" t="str">
        <f t="shared" si="443"/>
        <v xml:space="preserve">12532021251 </v>
      </c>
      <c r="E21523" t="s">
        <v>309</v>
      </c>
      <c r="F21523" t="s">
        <v>310</v>
      </c>
      <c r="G21523">
        <v>3.4</v>
      </c>
      <c r="H21523">
        <v>250731</v>
      </c>
      <c r="I21523">
        <v>4369</v>
      </c>
      <c r="J21523" t="s">
        <v>188</v>
      </c>
      <c r="K21523">
        <v>134.1</v>
      </c>
      <c r="L21523">
        <v>0.69</v>
      </c>
      <c r="M21523">
        <v>13561</v>
      </c>
      <c r="N21523" t="s">
        <v>241</v>
      </c>
      <c r="O21523">
        <v>250818</v>
      </c>
      <c r="P21523">
        <v>2.71</v>
      </c>
    </row>
    <row r="21524" spans="1:16" x14ac:dyDescent="0.25">
      <c r="A21524" t="s">
        <v>3296</v>
      </c>
      <c r="B21524" t="s">
        <v>2931</v>
      </c>
      <c r="C21524">
        <v>10374</v>
      </c>
      <c r="D21524" t="str">
        <f t="shared" si="443"/>
        <v xml:space="preserve">12532021251 </v>
      </c>
      <c r="E21524" t="s">
        <v>309</v>
      </c>
      <c r="F21524" t="s">
        <v>310</v>
      </c>
      <c r="G21524">
        <v>19.260000000000002</v>
      </c>
      <c r="H21524">
        <v>250731</v>
      </c>
      <c r="I21524">
        <v>4369</v>
      </c>
      <c r="J21524" t="s">
        <v>188</v>
      </c>
      <c r="K21524">
        <v>134.1</v>
      </c>
      <c r="L21524">
        <v>3.91</v>
      </c>
      <c r="M21524">
        <v>13801</v>
      </c>
      <c r="N21524" t="s">
        <v>33</v>
      </c>
      <c r="O21524">
        <v>250818</v>
      </c>
      <c r="P21524">
        <v>15.35</v>
      </c>
    </row>
    <row r="21525" spans="1:16" x14ac:dyDescent="0.25">
      <c r="A21525" t="s">
        <v>3296</v>
      </c>
      <c r="B21525" t="s">
        <v>2931</v>
      </c>
      <c r="C21525">
        <v>10374</v>
      </c>
      <c r="D21525" t="str">
        <f t="shared" si="443"/>
        <v xml:space="preserve">12532021251 </v>
      </c>
      <c r="E21525" t="s">
        <v>309</v>
      </c>
      <c r="F21525" t="s">
        <v>310</v>
      </c>
      <c r="G21525">
        <v>16.95</v>
      </c>
      <c r="H21525">
        <v>250731</v>
      </c>
      <c r="I21525">
        <v>4369</v>
      </c>
      <c r="J21525" t="s">
        <v>188</v>
      </c>
      <c r="K21525">
        <v>134.1</v>
      </c>
      <c r="L21525">
        <v>3.44</v>
      </c>
      <c r="M21525">
        <v>13801</v>
      </c>
      <c r="N21525" t="s">
        <v>33</v>
      </c>
      <c r="O21525">
        <v>250818</v>
      </c>
      <c r="P21525">
        <v>13.51</v>
      </c>
    </row>
    <row r="21526" spans="1:16" x14ac:dyDescent="0.25">
      <c r="A21526" t="s">
        <v>3296</v>
      </c>
      <c r="B21526" t="s">
        <v>2931</v>
      </c>
      <c r="C21526">
        <v>10374</v>
      </c>
      <c r="D21526" t="str">
        <f t="shared" si="443"/>
        <v xml:space="preserve">12532021251 </v>
      </c>
      <c r="E21526" t="s">
        <v>309</v>
      </c>
      <c r="F21526" t="s">
        <v>310</v>
      </c>
      <c r="G21526">
        <v>13.32</v>
      </c>
      <c r="H21526">
        <v>250731</v>
      </c>
      <c r="I21526">
        <v>4369</v>
      </c>
      <c r="J21526" t="s">
        <v>188</v>
      </c>
      <c r="K21526">
        <v>134.1</v>
      </c>
      <c r="L21526">
        <v>2.71</v>
      </c>
      <c r="M21526">
        <v>13802</v>
      </c>
      <c r="N21526" t="s">
        <v>34</v>
      </c>
      <c r="O21526">
        <v>250818</v>
      </c>
      <c r="P21526">
        <v>10.61</v>
      </c>
    </row>
    <row r="21527" spans="1:16" x14ac:dyDescent="0.25">
      <c r="A21527" t="s">
        <v>3296</v>
      </c>
      <c r="B21527" t="s">
        <v>2931</v>
      </c>
      <c r="C21527">
        <v>10377</v>
      </c>
      <c r="D21527" t="str">
        <f>"12532021232 "</f>
        <v xml:space="preserve">12532021232 </v>
      </c>
      <c r="E21527" t="s">
        <v>309</v>
      </c>
      <c r="F21527" t="s">
        <v>310</v>
      </c>
      <c r="G21527">
        <v>52.1</v>
      </c>
      <c r="H21527">
        <v>250731</v>
      </c>
      <c r="I21527">
        <v>4369</v>
      </c>
      <c r="J21527" t="s">
        <v>188</v>
      </c>
      <c r="K21527">
        <v>52.1</v>
      </c>
      <c r="L21527">
        <v>10.59</v>
      </c>
      <c r="M21527">
        <v>13940</v>
      </c>
      <c r="N21527" t="s">
        <v>14</v>
      </c>
      <c r="O21527">
        <v>250818</v>
      </c>
      <c r="P21527">
        <v>41.51</v>
      </c>
    </row>
    <row r="21528" spans="1:16" x14ac:dyDescent="0.25">
      <c r="A21528" t="s">
        <v>3296</v>
      </c>
      <c r="B21528" t="s">
        <v>2931</v>
      </c>
      <c r="C21528">
        <v>10379</v>
      </c>
      <c r="D21528" t="str">
        <f t="shared" ref="D21528:D21535" si="444">"12532021223 "</f>
        <v xml:space="preserve">12532021223 </v>
      </c>
      <c r="E21528" t="s">
        <v>309</v>
      </c>
      <c r="F21528" t="s">
        <v>310</v>
      </c>
      <c r="G21528">
        <v>3.39</v>
      </c>
      <c r="H21528">
        <v>250731</v>
      </c>
      <c r="I21528">
        <v>4369</v>
      </c>
      <c r="J21528" t="s">
        <v>188</v>
      </c>
      <c r="K21528">
        <v>98.24</v>
      </c>
      <c r="L21528">
        <v>0.69</v>
      </c>
      <c r="M21528">
        <v>11001</v>
      </c>
      <c r="N21528" t="s">
        <v>93</v>
      </c>
      <c r="O21528">
        <v>250818</v>
      </c>
      <c r="P21528">
        <v>2.7</v>
      </c>
    </row>
    <row r="21529" spans="1:16" x14ac:dyDescent="0.25">
      <c r="A21529" t="s">
        <v>3296</v>
      </c>
      <c r="B21529" t="s">
        <v>2931</v>
      </c>
      <c r="C21529">
        <v>10379</v>
      </c>
      <c r="D21529" t="str">
        <f t="shared" si="444"/>
        <v xml:space="preserve">12532021223 </v>
      </c>
      <c r="E21529" t="s">
        <v>309</v>
      </c>
      <c r="F21529" t="s">
        <v>310</v>
      </c>
      <c r="G21529">
        <v>44.94</v>
      </c>
      <c r="H21529">
        <v>250731</v>
      </c>
      <c r="I21529">
        <v>4369</v>
      </c>
      <c r="J21529" t="s">
        <v>188</v>
      </c>
      <c r="K21529">
        <v>98.24</v>
      </c>
      <c r="L21529">
        <v>0</v>
      </c>
      <c r="M21529">
        <v>11001</v>
      </c>
      <c r="N21529" t="s">
        <v>93</v>
      </c>
      <c r="O21529">
        <v>250818</v>
      </c>
      <c r="P21529">
        <v>44.94</v>
      </c>
    </row>
    <row r="21530" spans="1:16" x14ac:dyDescent="0.25">
      <c r="A21530" t="s">
        <v>3296</v>
      </c>
      <c r="B21530" t="s">
        <v>2931</v>
      </c>
      <c r="C21530">
        <v>10379</v>
      </c>
      <c r="D21530" t="str">
        <f t="shared" si="444"/>
        <v xml:space="preserve">12532021223 </v>
      </c>
      <c r="E21530" t="s">
        <v>309</v>
      </c>
      <c r="F21530" t="s">
        <v>310</v>
      </c>
      <c r="G21530">
        <v>1.1299999999999999</v>
      </c>
      <c r="H21530">
        <v>250731</v>
      </c>
      <c r="I21530">
        <v>4369</v>
      </c>
      <c r="J21530" t="s">
        <v>188</v>
      </c>
      <c r="K21530">
        <v>98.24</v>
      </c>
      <c r="L21530">
        <v>0.23</v>
      </c>
      <c r="M21530">
        <v>11401</v>
      </c>
      <c r="N21530" t="s">
        <v>91</v>
      </c>
      <c r="O21530">
        <v>250818</v>
      </c>
      <c r="P21530">
        <v>0.9</v>
      </c>
    </row>
    <row r="21531" spans="1:16" x14ac:dyDescent="0.25">
      <c r="A21531" t="s">
        <v>3296</v>
      </c>
      <c r="B21531" t="s">
        <v>2931</v>
      </c>
      <c r="C21531">
        <v>10379</v>
      </c>
      <c r="D21531" t="str">
        <f t="shared" si="444"/>
        <v xml:space="preserve">12532021223 </v>
      </c>
      <c r="E21531" t="s">
        <v>309</v>
      </c>
      <c r="F21531" t="s">
        <v>310</v>
      </c>
      <c r="G21531">
        <v>6.99</v>
      </c>
      <c r="H21531">
        <v>250731</v>
      </c>
      <c r="I21531">
        <v>4369</v>
      </c>
      <c r="J21531" t="s">
        <v>188</v>
      </c>
      <c r="K21531">
        <v>98.24</v>
      </c>
      <c r="L21531">
        <v>1.42</v>
      </c>
      <c r="M21531">
        <v>11501</v>
      </c>
      <c r="N21531" t="s">
        <v>13</v>
      </c>
      <c r="O21531">
        <v>250818</v>
      </c>
      <c r="P21531">
        <v>5.57</v>
      </c>
    </row>
    <row r="21532" spans="1:16" x14ac:dyDescent="0.25">
      <c r="A21532" t="s">
        <v>3296</v>
      </c>
      <c r="B21532" t="s">
        <v>2931</v>
      </c>
      <c r="C21532">
        <v>10379</v>
      </c>
      <c r="D21532" t="str">
        <f t="shared" si="444"/>
        <v xml:space="preserve">12532021223 </v>
      </c>
      <c r="E21532" t="s">
        <v>309</v>
      </c>
      <c r="F21532" t="s">
        <v>310</v>
      </c>
      <c r="G21532">
        <v>3.39</v>
      </c>
      <c r="H21532">
        <v>250731</v>
      </c>
      <c r="I21532">
        <v>4369</v>
      </c>
      <c r="J21532" t="s">
        <v>188</v>
      </c>
      <c r="K21532">
        <v>98.24</v>
      </c>
      <c r="L21532">
        <v>0.69</v>
      </c>
      <c r="M21532">
        <v>11701</v>
      </c>
      <c r="N21532" t="s">
        <v>973</v>
      </c>
      <c r="O21532">
        <v>250818</v>
      </c>
      <c r="P21532">
        <v>2.7</v>
      </c>
    </row>
    <row r="21533" spans="1:16" x14ac:dyDescent="0.25">
      <c r="A21533" t="s">
        <v>3296</v>
      </c>
      <c r="B21533" t="s">
        <v>2931</v>
      </c>
      <c r="C21533">
        <v>10379</v>
      </c>
      <c r="D21533" t="str">
        <f t="shared" si="444"/>
        <v xml:space="preserve">12532021223 </v>
      </c>
      <c r="E21533" t="s">
        <v>309</v>
      </c>
      <c r="F21533" t="s">
        <v>310</v>
      </c>
      <c r="G21533">
        <v>3.39</v>
      </c>
      <c r="H21533">
        <v>250731</v>
      </c>
      <c r="I21533">
        <v>4369</v>
      </c>
      <c r="J21533" t="s">
        <v>188</v>
      </c>
      <c r="K21533">
        <v>98.24</v>
      </c>
      <c r="L21533">
        <v>0.69</v>
      </c>
      <c r="M21533">
        <v>11751</v>
      </c>
      <c r="N21533" t="s">
        <v>167</v>
      </c>
      <c r="O21533">
        <v>250818</v>
      </c>
      <c r="P21533">
        <v>2.7</v>
      </c>
    </row>
    <row r="21534" spans="1:16" x14ac:dyDescent="0.25">
      <c r="A21534" t="s">
        <v>3296</v>
      </c>
      <c r="B21534" t="s">
        <v>2931</v>
      </c>
      <c r="C21534">
        <v>10379</v>
      </c>
      <c r="D21534" t="str">
        <f t="shared" si="444"/>
        <v xml:space="preserve">12532021223 </v>
      </c>
      <c r="E21534" t="s">
        <v>309</v>
      </c>
      <c r="F21534" t="s">
        <v>310</v>
      </c>
      <c r="G21534">
        <v>31.12</v>
      </c>
      <c r="H21534">
        <v>250731</v>
      </c>
      <c r="I21534">
        <v>4369</v>
      </c>
      <c r="J21534" t="s">
        <v>188</v>
      </c>
      <c r="K21534">
        <v>98.24</v>
      </c>
      <c r="L21534">
        <v>6.32</v>
      </c>
      <c r="M21534">
        <v>14622</v>
      </c>
      <c r="N21534" t="s">
        <v>77</v>
      </c>
      <c r="O21534">
        <v>250818</v>
      </c>
      <c r="P21534">
        <v>24.8</v>
      </c>
    </row>
    <row r="21535" spans="1:16" x14ac:dyDescent="0.25">
      <c r="A21535" t="s">
        <v>3296</v>
      </c>
      <c r="B21535" t="s">
        <v>2931</v>
      </c>
      <c r="C21535">
        <v>10379</v>
      </c>
      <c r="D21535" t="str">
        <f t="shared" si="444"/>
        <v xml:space="preserve">12532021223 </v>
      </c>
      <c r="E21535" t="s">
        <v>309</v>
      </c>
      <c r="F21535" t="s">
        <v>310</v>
      </c>
      <c r="G21535">
        <v>3.89</v>
      </c>
      <c r="H21535">
        <v>250731</v>
      </c>
      <c r="I21535">
        <v>4369</v>
      </c>
      <c r="J21535" t="s">
        <v>188</v>
      </c>
      <c r="K21535">
        <v>98.24</v>
      </c>
      <c r="L21535">
        <v>0.79</v>
      </c>
      <c r="M21535">
        <v>14952</v>
      </c>
      <c r="N21535" t="s">
        <v>213</v>
      </c>
      <c r="O21535">
        <v>250818</v>
      </c>
      <c r="P21535">
        <v>3.1</v>
      </c>
    </row>
    <row r="21536" spans="1:16" x14ac:dyDescent="0.25">
      <c r="A21536" t="s">
        <v>3296</v>
      </c>
      <c r="B21536" t="s">
        <v>2931</v>
      </c>
      <c r="C21536">
        <v>10386</v>
      </c>
      <c r="D21536" t="str">
        <f>"105513138   "</f>
        <v xml:space="preserve">105513138   </v>
      </c>
      <c r="E21536" t="s">
        <v>309</v>
      </c>
      <c r="F21536" t="s">
        <v>310</v>
      </c>
      <c r="G21536">
        <v>26.36</v>
      </c>
      <c r="H21536">
        <v>250731</v>
      </c>
      <c r="I21536">
        <v>4369</v>
      </c>
      <c r="J21536" t="s">
        <v>188</v>
      </c>
      <c r="K21536">
        <v>26.36</v>
      </c>
      <c r="L21536">
        <v>5.36</v>
      </c>
      <c r="M21536">
        <v>11801</v>
      </c>
      <c r="N21536" t="s">
        <v>40</v>
      </c>
      <c r="O21536">
        <v>250818</v>
      </c>
      <c r="P21536">
        <v>21</v>
      </c>
    </row>
    <row r="21537" spans="1:16" x14ac:dyDescent="0.25">
      <c r="A21537" t="s">
        <v>3296</v>
      </c>
      <c r="B21537" t="s">
        <v>2931</v>
      </c>
      <c r="C21537">
        <v>10388</v>
      </c>
      <c r="D21537" t="str">
        <f t="shared" ref="D21537:D21545" si="445">"12532021222 "</f>
        <v xml:space="preserve">12532021222 </v>
      </c>
      <c r="E21537" t="s">
        <v>309</v>
      </c>
      <c r="F21537" t="s">
        <v>310</v>
      </c>
      <c r="G21537">
        <v>6.4</v>
      </c>
      <c r="H21537">
        <v>250731</v>
      </c>
      <c r="I21537">
        <v>4369</v>
      </c>
      <c r="J21537" t="s">
        <v>188</v>
      </c>
      <c r="K21537">
        <v>76.88</v>
      </c>
      <c r="L21537">
        <v>1.3</v>
      </c>
      <c r="M21537">
        <v>10002</v>
      </c>
      <c r="N21537" t="s">
        <v>513</v>
      </c>
      <c r="O21537">
        <v>250818</v>
      </c>
      <c r="P21537">
        <v>5.0999999999999996</v>
      </c>
    </row>
    <row r="21538" spans="1:16" x14ac:dyDescent="0.25">
      <c r="A21538" t="s">
        <v>3296</v>
      </c>
      <c r="B21538" t="s">
        <v>2931</v>
      </c>
      <c r="C21538">
        <v>10388</v>
      </c>
      <c r="D21538" t="str">
        <f t="shared" si="445"/>
        <v xml:space="preserve">12532021222 </v>
      </c>
      <c r="E21538" t="s">
        <v>309</v>
      </c>
      <c r="F21538" t="s">
        <v>310</v>
      </c>
      <c r="G21538">
        <v>6.4</v>
      </c>
      <c r="H21538">
        <v>250731</v>
      </c>
      <c r="I21538">
        <v>4369</v>
      </c>
      <c r="J21538" t="s">
        <v>188</v>
      </c>
      <c r="K21538">
        <v>76.88</v>
      </c>
      <c r="L21538">
        <v>1.3</v>
      </c>
      <c r="M21538">
        <v>11001</v>
      </c>
      <c r="N21538" t="s">
        <v>93</v>
      </c>
      <c r="O21538">
        <v>250818</v>
      </c>
      <c r="P21538">
        <v>5.0999999999999996</v>
      </c>
    </row>
    <row r="21539" spans="1:16" x14ac:dyDescent="0.25">
      <c r="A21539" t="s">
        <v>3296</v>
      </c>
      <c r="B21539" t="s">
        <v>2931</v>
      </c>
      <c r="C21539">
        <v>10388</v>
      </c>
      <c r="D21539" t="str">
        <f t="shared" si="445"/>
        <v xml:space="preserve">12532021222 </v>
      </c>
      <c r="E21539" t="s">
        <v>309</v>
      </c>
      <c r="F21539" t="s">
        <v>310</v>
      </c>
      <c r="G21539">
        <v>6.58</v>
      </c>
      <c r="H21539">
        <v>250731</v>
      </c>
      <c r="I21539">
        <v>4369</v>
      </c>
      <c r="J21539" t="s">
        <v>188</v>
      </c>
      <c r="K21539">
        <v>76.88</v>
      </c>
      <c r="L21539">
        <v>1.34</v>
      </c>
      <c r="M21539">
        <v>11001</v>
      </c>
      <c r="N21539" t="s">
        <v>93</v>
      </c>
      <c r="O21539">
        <v>250818</v>
      </c>
      <c r="P21539">
        <v>5.24</v>
      </c>
    </row>
    <row r="21540" spans="1:16" x14ac:dyDescent="0.25">
      <c r="A21540" t="s">
        <v>3296</v>
      </c>
      <c r="B21540" t="s">
        <v>2931</v>
      </c>
      <c r="C21540">
        <v>10388</v>
      </c>
      <c r="D21540" t="str">
        <f t="shared" si="445"/>
        <v xml:space="preserve">12532021222 </v>
      </c>
      <c r="E21540" t="s">
        <v>309</v>
      </c>
      <c r="F21540" t="s">
        <v>310</v>
      </c>
      <c r="G21540">
        <v>10.17</v>
      </c>
      <c r="H21540">
        <v>250731</v>
      </c>
      <c r="I21540">
        <v>4369</v>
      </c>
      <c r="J21540" t="s">
        <v>188</v>
      </c>
      <c r="K21540">
        <v>76.88</v>
      </c>
      <c r="L21540">
        <v>2.0699999999999998</v>
      </c>
      <c r="M21540">
        <v>11301</v>
      </c>
      <c r="N21540" t="s">
        <v>92</v>
      </c>
      <c r="O21540">
        <v>250818</v>
      </c>
      <c r="P21540">
        <v>8.1</v>
      </c>
    </row>
    <row r="21541" spans="1:16" x14ac:dyDescent="0.25">
      <c r="A21541" t="s">
        <v>3296</v>
      </c>
      <c r="B21541" t="s">
        <v>2931</v>
      </c>
      <c r="C21541">
        <v>10388</v>
      </c>
      <c r="D21541" t="str">
        <f t="shared" si="445"/>
        <v xml:space="preserve">12532021222 </v>
      </c>
      <c r="E21541" t="s">
        <v>309</v>
      </c>
      <c r="F21541" t="s">
        <v>310</v>
      </c>
      <c r="G21541">
        <v>0.99</v>
      </c>
      <c r="H21541">
        <v>250731</v>
      </c>
      <c r="I21541">
        <v>4369</v>
      </c>
      <c r="J21541" t="s">
        <v>188</v>
      </c>
      <c r="K21541">
        <v>76.88</v>
      </c>
      <c r="L21541">
        <v>0</v>
      </c>
      <c r="M21541">
        <v>11401</v>
      </c>
      <c r="N21541" t="s">
        <v>91</v>
      </c>
      <c r="O21541">
        <v>250818</v>
      </c>
      <c r="P21541">
        <v>0.99</v>
      </c>
    </row>
    <row r="21542" spans="1:16" x14ac:dyDescent="0.25">
      <c r="A21542" t="s">
        <v>3296</v>
      </c>
      <c r="B21542" t="s">
        <v>2931</v>
      </c>
      <c r="C21542">
        <v>10388</v>
      </c>
      <c r="D21542" t="str">
        <f t="shared" si="445"/>
        <v xml:space="preserve">12532021222 </v>
      </c>
      <c r="E21542" t="s">
        <v>309</v>
      </c>
      <c r="F21542" t="s">
        <v>310</v>
      </c>
      <c r="G21542">
        <v>3.39</v>
      </c>
      <c r="H21542">
        <v>250731</v>
      </c>
      <c r="I21542">
        <v>4369</v>
      </c>
      <c r="J21542" t="s">
        <v>188</v>
      </c>
      <c r="K21542">
        <v>76.88</v>
      </c>
      <c r="L21542">
        <v>0</v>
      </c>
      <c r="M21542">
        <v>11401</v>
      </c>
      <c r="N21542" t="s">
        <v>91</v>
      </c>
      <c r="O21542">
        <v>250818</v>
      </c>
      <c r="P21542">
        <v>3.39</v>
      </c>
    </row>
    <row r="21543" spans="1:16" x14ac:dyDescent="0.25">
      <c r="A21543" t="s">
        <v>3296</v>
      </c>
      <c r="B21543" t="s">
        <v>2931</v>
      </c>
      <c r="C21543">
        <v>10388</v>
      </c>
      <c r="D21543" t="str">
        <f t="shared" si="445"/>
        <v xml:space="preserve">12532021222 </v>
      </c>
      <c r="E21543" t="s">
        <v>309</v>
      </c>
      <c r="F21543" t="s">
        <v>310</v>
      </c>
      <c r="G21543">
        <v>25.8</v>
      </c>
      <c r="H21543">
        <v>250731</v>
      </c>
      <c r="I21543">
        <v>4369</v>
      </c>
      <c r="J21543" t="s">
        <v>188</v>
      </c>
      <c r="K21543">
        <v>76.88</v>
      </c>
      <c r="L21543">
        <v>5.24</v>
      </c>
      <c r="M21543">
        <v>11401</v>
      </c>
      <c r="N21543" t="s">
        <v>91</v>
      </c>
      <c r="O21543">
        <v>250818</v>
      </c>
      <c r="P21543">
        <v>20.56</v>
      </c>
    </row>
    <row r="21544" spans="1:16" x14ac:dyDescent="0.25">
      <c r="A21544" t="s">
        <v>3296</v>
      </c>
      <c r="B21544" t="s">
        <v>2931</v>
      </c>
      <c r="C21544">
        <v>10388</v>
      </c>
      <c r="D21544" t="str">
        <f t="shared" si="445"/>
        <v xml:space="preserve">12532021222 </v>
      </c>
      <c r="E21544" t="s">
        <v>309</v>
      </c>
      <c r="F21544" t="s">
        <v>310</v>
      </c>
      <c r="G21544">
        <v>3.97</v>
      </c>
      <c r="H21544">
        <v>250731</v>
      </c>
      <c r="I21544">
        <v>4369</v>
      </c>
      <c r="J21544" t="s">
        <v>188</v>
      </c>
      <c r="K21544">
        <v>76.88</v>
      </c>
      <c r="L21544">
        <v>0.81</v>
      </c>
      <c r="M21544">
        <v>11501</v>
      </c>
      <c r="N21544" t="s">
        <v>13</v>
      </c>
      <c r="O21544">
        <v>250818</v>
      </c>
      <c r="P21544">
        <v>3.16</v>
      </c>
    </row>
    <row r="21545" spans="1:16" x14ac:dyDescent="0.25">
      <c r="A21545" t="s">
        <v>3296</v>
      </c>
      <c r="B21545" t="s">
        <v>2931</v>
      </c>
      <c r="C21545">
        <v>10388</v>
      </c>
      <c r="D21545" t="str">
        <f t="shared" si="445"/>
        <v xml:space="preserve">12532021222 </v>
      </c>
      <c r="E21545" t="s">
        <v>309</v>
      </c>
      <c r="F21545" t="s">
        <v>310</v>
      </c>
      <c r="G21545">
        <v>13.18</v>
      </c>
      <c r="H21545">
        <v>250731</v>
      </c>
      <c r="I21545">
        <v>4369</v>
      </c>
      <c r="J21545" t="s">
        <v>188</v>
      </c>
      <c r="K21545">
        <v>76.88</v>
      </c>
      <c r="L21545">
        <v>2.68</v>
      </c>
      <c r="M21545">
        <v>18972</v>
      </c>
      <c r="N21545" t="s">
        <v>39</v>
      </c>
      <c r="O21545">
        <v>250818</v>
      </c>
      <c r="P21545">
        <v>10.5</v>
      </c>
    </row>
    <row r="21546" spans="1:16" x14ac:dyDescent="0.25">
      <c r="A21546" t="s">
        <v>3296</v>
      </c>
      <c r="B21546" t="s">
        <v>2931</v>
      </c>
      <c r="C21546">
        <v>10560</v>
      </c>
      <c r="D21546" t="str">
        <f>"105513168   "</f>
        <v xml:space="preserve">105513168   </v>
      </c>
      <c r="E21546" t="s">
        <v>309</v>
      </c>
      <c r="F21546" t="s">
        <v>310</v>
      </c>
      <c r="G21546">
        <v>85.65</v>
      </c>
      <c r="H21546">
        <v>250811</v>
      </c>
      <c r="I21546">
        <v>4369</v>
      </c>
      <c r="J21546" t="s">
        <v>188</v>
      </c>
      <c r="K21546">
        <v>85.65</v>
      </c>
      <c r="L21546">
        <v>17.399999999999999</v>
      </c>
      <c r="M21546">
        <v>11801</v>
      </c>
      <c r="N21546" t="s">
        <v>40</v>
      </c>
      <c r="O21546">
        <v>250820</v>
      </c>
      <c r="P21546">
        <v>68.25</v>
      </c>
    </row>
    <row r="21547" spans="1:16" x14ac:dyDescent="0.25">
      <c r="A21547" t="s">
        <v>3296</v>
      </c>
      <c r="B21547" t="s">
        <v>2931</v>
      </c>
      <c r="C21547">
        <v>11632</v>
      </c>
      <c r="D21547" t="str">
        <f>"12536021127 "</f>
        <v xml:space="preserve">12536021127 </v>
      </c>
      <c r="E21547" t="s">
        <v>309</v>
      </c>
      <c r="F21547" t="s">
        <v>310</v>
      </c>
      <c r="G21547">
        <v>3.39</v>
      </c>
      <c r="H21547">
        <v>250831</v>
      </c>
      <c r="I21547">
        <v>4369</v>
      </c>
      <c r="J21547" t="s">
        <v>188</v>
      </c>
      <c r="K21547">
        <v>30.73</v>
      </c>
      <c r="L21547">
        <v>0</v>
      </c>
      <c r="M21547">
        <v>59702</v>
      </c>
      <c r="N21547" t="s">
        <v>45</v>
      </c>
      <c r="O21547">
        <v>250909</v>
      </c>
      <c r="P21547">
        <v>3.39</v>
      </c>
    </row>
    <row r="21548" spans="1:16" x14ac:dyDescent="0.25">
      <c r="A21548" t="s">
        <v>3296</v>
      </c>
      <c r="B21548" t="s">
        <v>2931</v>
      </c>
      <c r="C21548">
        <v>11632</v>
      </c>
      <c r="D21548" t="str">
        <f>"12536021127 "</f>
        <v xml:space="preserve">12536021127 </v>
      </c>
      <c r="E21548" t="s">
        <v>309</v>
      </c>
      <c r="F21548" t="s">
        <v>310</v>
      </c>
      <c r="G21548">
        <v>17.37</v>
      </c>
      <c r="H21548">
        <v>250831</v>
      </c>
      <c r="I21548">
        <v>4369</v>
      </c>
      <c r="J21548" t="s">
        <v>188</v>
      </c>
      <c r="K21548">
        <v>30.73</v>
      </c>
      <c r="L21548">
        <v>3.53</v>
      </c>
      <c r="M21548">
        <v>59702</v>
      </c>
      <c r="N21548" t="s">
        <v>45</v>
      </c>
      <c r="O21548">
        <v>250909</v>
      </c>
      <c r="P21548">
        <v>13.84</v>
      </c>
    </row>
    <row r="21549" spans="1:16" x14ac:dyDescent="0.25">
      <c r="A21549" t="s">
        <v>3296</v>
      </c>
      <c r="B21549" t="s">
        <v>2931</v>
      </c>
      <c r="C21549">
        <v>11632</v>
      </c>
      <c r="D21549" t="str">
        <f>"12536021127 "</f>
        <v xml:space="preserve">12536021127 </v>
      </c>
      <c r="E21549" t="s">
        <v>309</v>
      </c>
      <c r="F21549" t="s">
        <v>310</v>
      </c>
      <c r="G21549">
        <v>9.9700000000000006</v>
      </c>
      <c r="H21549">
        <v>250831</v>
      </c>
      <c r="I21549">
        <v>4369</v>
      </c>
      <c r="J21549" t="s">
        <v>188</v>
      </c>
      <c r="K21549">
        <v>30.73</v>
      </c>
      <c r="L21549">
        <v>2.0299999999999998</v>
      </c>
      <c r="M21549">
        <v>59704</v>
      </c>
      <c r="N21549" t="s">
        <v>46</v>
      </c>
      <c r="O21549">
        <v>250909</v>
      </c>
      <c r="P21549">
        <v>7.94</v>
      </c>
    </row>
    <row r="21550" spans="1:16" x14ac:dyDescent="0.25">
      <c r="A21550" t="s">
        <v>3296</v>
      </c>
      <c r="B21550" t="s">
        <v>2931</v>
      </c>
      <c r="C21550">
        <v>11633</v>
      </c>
      <c r="D21550" t="str">
        <f t="shared" ref="D21550:D21556" si="446">"12536021129 "</f>
        <v xml:space="preserve">12536021129 </v>
      </c>
      <c r="E21550" t="s">
        <v>309</v>
      </c>
      <c r="F21550" t="s">
        <v>310</v>
      </c>
      <c r="G21550">
        <v>20.329999999999998</v>
      </c>
      <c r="H21550">
        <v>250831</v>
      </c>
      <c r="I21550">
        <v>4369</v>
      </c>
      <c r="J21550" t="s">
        <v>188</v>
      </c>
      <c r="K21550">
        <v>50.83</v>
      </c>
      <c r="L21550">
        <v>4.13</v>
      </c>
      <c r="M21550">
        <v>54222</v>
      </c>
      <c r="N21550" t="s">
        <v>48</v>
      </c>
      <c r="O21550">
        <v>250909</v>
      </c>
      <c r="P21550">
        <v>16.2</v>
      </c>
    </row>
    <row r="21551" spans="1:16" x14ac:dyDescent="0.25">
      <c r="A21551" t="s">
        <v>3296</v>
      </c>
      <c r="B21551" t="s">
        <v>2931</v>
      </c>
      <c r="C21551">
        <v>11633</v>
      </c>
      <c r="D21551" t="str">
        <f t="shared" si="446"/>
        <v xml:space="preserve">12536021129 </v>
      </c>
      <c r="E21551" t="s">
        <v>309</v>
      </c>
      <c r="F21551" t="s">
        <v>310</v>
      </c>
      <c r="G21551">
        <v>3.39</v>
      </c>
      <c r="H21551">
        <v>250831</v>
      </c>
      <c r="I21551">
        <v>4369</v>
      </c>
      <c r="J21551" t="s">
        <v>188</v>
      </c>
      <c r="K21551">
        <v>50.83</v>
      </c>
      <c r="L21551">
        <v>0.69</v>
      </c>
      <c r="M21551">
        <v>54251</v>
      </c>
      <c r="N21551" t="s">
        <v>485</v>
      </c>
      <c r="O21551">
        <v>250909</v>
      </c>
      <c r="P21551">
        <v>2.7</v>
      </c>
    </row>
    <row r="21552" spans="1:16" x14ac:dyDescent="0.25">
      <c r="A21552" t="s">
        <v>3296</v>
      </c>
      <c r="B21552" t="s">
        <v>2931</v>
      </c>
      <c r="C21552">
        <v>11633</v>
      </c>
      <c r="D21552" t="str">
        <f t="shared" si="446"/>
        <v xml:space="preserve">12536021129 </v>
      </c>
      <c r="E21552" t="s">
        <v>309</v>
      </c>
      <c r="F21552" t="s">
        <v>310</v>
      </c>
      <c r="G21552">
        <v>3.39</v>
      </c>
      <c r="H21552">
        <v>250831</v>
      </c>
      <c r="I21552">
        <v>4369</v>
      </c>
      <c r="J21552" t="s">
        <v>188</v>
      </c>
      <c r="K21552">
        <v>50.83</v>
      </c>
      <c r="L21552">
        <v>0.69</v>
      </c>
      <c r="M21552">
        <v>54252</v>
      </c>
      <c r="N21552" t="s">
        <v>742</v>
      </c>
      <c r="O21552">
        <v>250909</v>
      </c>
      <c r="P21552">
        <v>2.7</v>
      </c>
    </row>
    <row r="21553" spans="1:16" x14ac:dyDescent="0.25">
      <c r="A21553" t="s">
        <v>3296</v>
      </c>
      <c r="B21553" t="s">
        <v>2931</v>
      </c>
      <c r="C21553">
        <v>11633</v>
      </c>
      <c r="D21553" t="str">
        <f t="shared" si="446"/>
        <v xml:space="preserve">12536021129 </v>
      </c>
      <c r="E21553" t="s">
        <v>309</v>
      </c>
      <c r="F21553" t="s">
        <v>310</v>
      </c>
      <c r="G21553">
        <v>6.78</v>
      </c>
      <c r="H21553">
        <v>250831</v>
      </c>
      <c r="I21553">
        <v>4369</v>
      </c>
      <c r="J21553" t="s">
        <v>188</v>
      </c>
      <c r="K21553">
        <v>50.83</v>
      </c>
      <c r="L21553">
        <v>1.38</v>
      </c>
      <c r="M21553">
        <v>54422</v>
      </c>
      <c r="N21553" t="s">
        <v>49</v>
      </c>
      <c r="O21553">
        <v>250909</v>
      </c>
      <c r="P21553">
        <v>5.4</v>
      </c>
    </row>
    <row r="21554" spans="1:16" x14ac:dyDescent="0.25">
      <c r="A21554" t="s">
        <v>3296</v>
      </c>
      <c r="B21554" t="s">
        <v>2931</v>
      </c>
      <c r="C21554">
        <v>11633</v>
      </c>
      <c r="D21554" t="str">
        <f t="shared" si="446"/>
        <v xml:space="preserve">12536021129 </v>
      </c>
      <c r="E21554" t="s">
        <v>309</v>
      </c>
      <c r="F21554" t="s">
        <v>310</v>
      </c>
      <c r="G21554">
        <v>6.78</v>
      </c>
      <c r="H21554">
        <v>250831</v>
      </c>
      <c r="I21554">
        <v>4369</v>
      </c>
      <c r="J21554" t="s">
        <v>188</v>
      </c>
      <c r="K21554">
        <v>50.83</v>
      </c>
      <c r="L21554">
        <v>1.38</v>
      </c>
      <c r="M21554">
        <v>54451</v>
      </c>
      <c r="N21554" t="s">
        <v>218</v>
      </c>
      <c r="O21554">
        <v>250909</v>
      </c>
      <c r="P21554">
        <v>5.4</v>
      </c>
    </row>
    <row r="21555" spans="1:16" x14ac:dyDescent="0.25">
      <c r="A21555" t="s">
        <v>3296</v>
      </c>
      <c r="B21555" t="s">
        <v>2931</v>
      </c>
      <c r="C21555">
        <v>11633</v>
      </c>
      <c r="D21555" t="str">
        <f t="shared" si="446"/>
        <v xml:space="preserve">12536021129 </v>
      </c>
      <c r="E21555" t="s">
        <v>309</v>
      </c>
      <c r="F21555" t="s">
        <v>310</v>
      </c>
      <c r="G21555">
        <v>6.78</v>
      </c>
      <c r="H21555">
        <v>250831</v>
      </c>
      <c r="I21555">
        <v>4369</v>
      </c>
      <c r="J21555" t="s">
        <v>188</v>
      </c>
      <c r="K21555">
        <v>50.83</v>
      </c>
      <c r="L21555">
        <v>1.38</v>
      </c>
      <c r="M21555">
        <v>56563</v>
      </c>
      <c r="N21555" t="s">
        <v>55</v>
      </c>
      <c r="O21555">
        <v>250909</v>
      </c>
      <c r="P21555">
        <v>5.4</v>
      </c>
    </row>
    <row r="21556" spans="1:16" x14ac:dyDescent="0.25">
      <c r="A21556" t="s">
        <v>3296</v>
      </c>
      <c r="B21556" t="s">
        <v>2931</v>
      </c>
      <c r="C21556">
        <v>11633</v>
      </c>
      <c r="D21556" t="str">
        <f t="shared" si="446"/>
        <v xml:space="preserve">12536021129 </v>
      </c>
      <c r="E21556" t="s">
        <v>309</v>
      </c>
      <c r="F21556" t="s">
        <v>310</v>
      </c>
      <c r="G21556">
        <v>3.38</v>
      </c>
      <c r="H21556">
        <v>250831</v>
      </c>
      <c r="I21556">
        <v>4369</v>
      </c>
      <c r="J21556" t="s">
        <v>188</v>
      </c>
      <c r="K21556">
        <v>50.83</v>
      </c>
      <c r="L21556">
        <v>0.69</v>
      </c>
      <c r="M21556">
        <v>58601</v>
      </c>
      <c r="N21556" t="s">
        <v>59</v>
      </c>
      <c r="O21556">
        <v>250909</v>
      </c>
      <c r="P21556">
        <v>2.69</v>
      </c>
    </row>
    <row r="21557" spans="1:16" x14ac:dyDescent="0.25">
      <c r="A21557" t="s">
        <v>3296</v>
      </c>
      <c r="B21557" t="s">
        <v>2931</v>
      </c>
      <c r="C21557">
        <v>11635</v>
      </c>
      <c r="D21557" t="str">
        <f t="shared" ref="D21557:D21566" si="447">"12536021147 "</f>
        <v xml:space="preserve">12536021147 </v>
      </c>
      <c r="E21557" t="s">
        <v>309</v>
      </c>
      <c r="F21557" t="s">
        <v>310</v>
      </c>
      <c r="G21557">
        <v>6.59</v>
      </c>
      <c r="H21557">
        <v>250831</v>
      </c>
      <c r="I21557">
        <v>4369</v>
      </c>
      <c r="J21557" t="s">
        <v>188</v>
      </c>
      <c r="K21557">
        <v>103.18</v>
      </c>
      <c r="L21557">
        <v>1.34</v>
      </c>
      <c r="M21557">
        <v>16321</v>
      </c>
      <c r="N21557" t="s">
        <v>16</v>
      </c>
      <c r="O21557">
        <v>250909</v>
      </c>
      <c r="P21557">
        <v>5.25</v>
      </c>
    </row>
    <row r="21558" spans="1:16" x14ac:dyDescent="0.25">
      <c r="A21558" t="s">
        <v>3296</v>
      </c>
      <c r="B21558" t="s">
        <v>2931</v>
      </c>
      <c r="C21558">
        <v>11635</v>
      </c>
      <c r="D21558" t="str">
        <f t="shared" si="447"/>
        <v xml:space="preserve">12536021147 </v>
      </c>
      <c r="E21558" t="s">
        <v>309</v>
      </c>
      <c r="F21558" t="s">
        <v>310</v>
      </c>
      <c r="G21558">
        <v>10.17</v>
      </c>
      <c r="H21558">
        <v>250831</v>
      </c>
      <c r="I21558">
        <v>4369</v>
      </c>
      <c r="J21558" t="s">
        <v>188</v>
      </c>
      <c r="K21558">
        <v>103.18</v>
      </c>
      <c r="L21558">
        <v>2.0699999999999998</v>
      </c>
      <c r="M21558">
        <v>16431</v>
      </c>
      <c r="N21558" t="s">
        <v>17</v>
      </c>
      <c r="O21558">
        <v>250909</v>
      </c>
      <c r="P21558">
        <v>8.1</v>
      </c>
    </row>
    <row r="21559" spans="1:16" x14ac:dyDescent="0.25">
      <c r="A21559" t="s">
        <v>3296</v>
      </c>
      <c r="B21559" t="s">
        <v>2931</v>
      </c>
      <c r="C21559">
        <v>11635</v>
      </c>
      <c r="D21559" t="str">
        <f t="shared" si="447"/>
        <v xml:space="preserve">12536021147 </v>
      </c>
      <c r="E21559" t="s">
        <v>309</v>
      </c>
      <c r="F21559" t="s">
        <v>310</v>
      </c>
      <c r="G21559">
        <v>17.38</v>
      </c>
      <c r="H21559">
        <v>250831</v>
      </c>
      <c r="I21559">
        <v>4369</v>
      </c>
      <c r="J21559" t="s">
        <v>188</v>
      </c>
      <c r="K21559">
        <v>103.18</v>
      </c>
      <c r="L21559">
        <v>3.53</v>
      </c>
      <c r="M21559">
        <v>17802</v>
      </c>
      <c r="N21559" t="s">
        <v>18</v>
      </c>
      <c r="O21559">
        <v>250909</v>
      </c>
      <c r="P21559">
        <v>13.85</v>
      </c>
    </row>
    <row r="21560" spans="1:16" x14ac:dyDescent="0.25">
      <c r="A21560" t="s">
        <v>3296</v>
      </c>
      <c r="B21560" t="s">
        <v>2931</v>
      </c>
      <c r="C21560">
        <v>11635</v>
      </c>
      <c r="D21560" t="str">
        <f t="shared" si="447"/>
        <v xml:space="preserve">12536021147 </v>
      </c>
      <c r="E21560" t="s">
        <v>309</v>
      </c>
      <c r="F21560" t="s">
        <v>310</v>
      </c>
      <c r="G21560">
        <v>10.01</v>
      </c>
      <c r="H21560">
        <v>250831</v>
      </c>
      <c r="I21560">
        <v>4369</v>
      </c>
      <c r="J21560" t="s">
        <v>188</v>
      </c>
      <c r="K21560">
        <v>103.18</v>
      </c>
      <c r="L21560">
        <v>2.0299999999999998</v>
      </c>
      <c r="M21560">
        <v>17803</v>
      </c>
      <c r="N21560" t="s">
        <v>19</v>
      </c>
      <c r="O21560">
        <v>250909</v>
      </c>
      <c r="P21560">
        <v>7.98</v>
      </c>
    </row>
    <row r="21561" spans="1:16" x14ac:dyDescent="0.25">
      <c r="A21561" t="s">
        <v>3296</v>
      </c>
      <c r="B21561" t="s">
        <v>2931</v>
      </c>
      <c r="C21561">
        <v>11635</v>
      </c>
      <c r="D21561" t="str">
        <f t="shared" si="447"/>
        <v xml:space="preserve">12536021147 </v>
      </c>
      <c r="E21561" t="s">
        <v>309</v>
      </c>
      <c r="F21561" t="s">
        <v>310</v>
      </c>
      <c r="G21561">
        <v>3.93</v>
      </c>
      <c r="H21561">
        <v>250831</v>
      </c>
      <c r="I21561">
        <v>4369</v>
      </c>
      <c r="J21561" t="s">
        <v>188</v>
      </c>
      <c r="K21561">
        <v>103.18</v>
      </c>
      <c r="L21561">
        <v>0.8</v>
      </c>
      <c r="M21561">
        <v>17804</v>
      </c>
      <c r="N21561" t="s">
        <v>20</v>
      </c>
      <c r="O21561">
        <v>250909</v>
      </c>
      <c r="P21561">
        <v>3.13</v>
      </c>
    </row>
    <row r="21562" spans="1:16" x14ac:dyDescent="0.25">
      <c r="A21562" t="s">
        <v>3296</v>
      </c>
      <c r="B21562" t="s">
        <v>2931</v>
      </c>
      <c r="C21562">
        <v>11635</v>
      </c>
      <c r="D21562" t="str">
        <f t="shared" si="447"/>
        <v xml:space="preserve">12536021147 </v>
      </c>
      <c r="E21562" t="s">
        <v>309</v>
      </c>
      <c r="F21562" t="s">
        <v>310</v>
      </c>
      <c r="G21562">
        <v>3.39</v>
      </c>
      <c r="H21562">
        <v>250831</v>
      </c>
      <c r="I21562">
        <v>4369</v>
      </c>
      <c r="J21562" t="s">
        <v>188</v>
      </c>
      <c r="K21562">
        <v>103.18</v>
      </c>
      <c r="L21562">
        <v>0.69</v>
      </c>
      <c r="M21562">
        <v>17805</v>
      </c>
      <c r="N21562" t="s">
        <v>21</v>
      </c>
      <c r="O21562">
        <v>250909</v>
      </c>
      <c r="P21562">
        <v>2.7</v>
      </c>
    </row>
    <row r="21563" spans="1:16" x14ac:dyDescent="0.25">
      <c r="A21563" t="s">
        <v>3296</v>
      </c>
      <c r="B21563" t="s">
        <v>2931</v>
      </c>
      <c r="C21563">
        <v>11635</v>
      </c>
      <c r="D21563" t="str">
        <f t="shared" si="447"/>
        <v xml:space="preserve">12536021147 </v>
      </c>
      <c r="E21563" t="s">
        <v>309</v>
      </c>
      <c r="F21563" t="s">
        <v>310</v>
      </c>
      <c r="G21563">
        <v>10.32</v>
      </c>
      <c r="H21563">
        <v>250831</v>
      </c>
      <c r="I21563">
        <v>4369</v>
      </c>
      <c r="J21563" t="s">
        <v>188</v>
      </c>
      <c r="K21563">
        <v>103.18</v>
      </c>
      <c r="L21563">
        <v>2.1</v>
      </c>
      <c r="M21563">
        <v>17806</v>
      </c>
      <c r="N21563" t="s">
        <v>22</v>
      </c>
      <c r="O21563">
        <v>250909</v>
      </c>
      <c r="P21563">
        <v>8.2200000000000006</v>
      </c>
    </row>
    <row r="21564" spans="1:16" x14ac:dyDescent="0.25">
      <c r="A21564" t="s">
        <v>3296</v>
      </c>
      <c r="B21564" t="s">
        <v>2931</v>
      </c>
      <c r="C21564">
        <v>11635</v>
      </c>
      <c r="D21564" t="str">
        <f t="shared" si="447"/>
        <v xml:space="preserve">12536021147 </v>
      </c>
      <c r="E21564" t="s">
        <v>309</v>
      </c>
      <c r="F21564" t="s">
        <v>310</v>
      </c>
      <c r="G21564">
        <v>23.53</v>
      </c>
      <c r="H21564">
        <v>250831</v>
      </c>
      <c r="I21564">
        <v>4369</v>
      </c>
      <c r="J21564" t="s">
        <v>188</v>
      </c>
      <c r="K21564">
        <v>103.18</v>
      </c>
      <c r="L21564">
        <v>4.78</v>
      </c>
      <c r="M21564">
        <v>17807</v>
      </c>
      <c r="N21564" t="s">
        <v>23</v>
      </c>
      <c r="O21564">
        <v>250909</v>
      </c>
      <c r="P21564">
        <v>18.75</v>
      </c>
    </row>
    <row r="21565" spans="1:16" x14ac:dyDescent="0.25">
      <c r="A21565" t="s">
        <v>3296</v>
      </c>
      <c r="B21565" t="s">
        <v>2931</v>
      </c>
      <c r="C21565">
        <v>11635</v>
      </c>
      <c r="D21565" t="str">
        <f t="shared" si="447"/>
        <v xml:space="preserve">12536021147 </v>
      </c>
      <c r="E21565" t="s">
        <v>309</v>
      </c>
      <c r="F21565" t="s">
        <v>310</v>
      </c>
      <c r="G21565">
        <v>10.17</v>
      </c>
      <c r="H21565">
        <v>250831</v>
      </c>
      <c r="I21565">
        <v>4369</v>
      </c>
      <c r="J21565" t="s">
        <v>188</v>
      </c>
      <c r="K21565">
        <v>103.18</v>
      </c>
      <c r="L21565">
        <v>2.0699999999999998</v>
      </c>
      <c r="M21565">
        <v>17808</v>
      </c>
      <c r="N21565" t="s">
        <v>24</v>
      </c>
      <c r="O21565">
        <v>250909</v>
      </c>
      <c r="P21565">
        <v>8.1</v>
      </c>
    </row>
    <row r="21566" spans="1:16" x14ac:dyDescent="0.25">
      <c r="A21566" t="s">
        <v>3296</v>
      </c>
      <c r="B21566" t="s">
        <v>2931</v>
      </c>
      <c r="C21566">
        <v>11635</v>
      </c>
      <c r="D21566" t="str">
        <f t="shared" si="447"/>
        <v xml:space="preserve">12536021147 </v>
      </c>
      <c r="E21566" t="s">
        <v>309</v>
      </c>
      <c r="F21566" t="s">
        <v>310</v>
      </c>
      <c r="G21566">
        <v>7.69</v>
      </c>
      <c r="H21566">
        <v>250831</v>
      </c>
      <c r="I21566">
        <v>4369</v>
      </c>
      <c r="J21566" t="s">
        <v>188</v>
      </c>
      <c r="K21566">
        <v>103.18</v>
      </c>
      <c r="L21566">
        <v>1.56</v>
      </c>
      <c r="M21566">
        <v>17809</v>
      </c>
      <c r="N21566" t="s">
        <v>25</v>
      </c>
      <c r="O21566">
        <v>250909</v>
      </c>
      <c r="P21566">
        <v>6.13</v>
      </c>
    </row>
    <row r="21567" spans="1:16" x14ac:dyDescent="0.25">
      <c r="A21567" t="s">
        <v>3296</v>
      </c>
      <c r="B21567" t="s">
        <v>2931</v>
      </c>
      <c r="C21567">
        <v>11636</v>
      </c>
      <c r="D21567" t="str">
        <f t="shared" ref="D21567:D21574" si="448">"12536021132 "</f>
        <v xml:space="preserve">12536021132 </v>
      </c>
      <c r="E21567" t="s">
        <v>309</v>
      </c>
      <c r="F21567" t="s">
        <v>310</v>
      </c>
      <c r="G21567">
        <v>6.77</v>
      </c>
      <c r="H21567">
        <v>250831</v>
      </c>
      <c r="I21567">
        <v>4369</v>
      </c>
      <c r="J21567" t="s">
        <v>188</v>
      </c>
      <c r="K21567">
        <v>43.55</v>
      </c>
      <c r="L21567">
        <v>1.38</v>
      </c>
      <c r="M21567">
        <v>13901</v>
      </c>
      <c r="N21567" t="s">
        <v>116</v>
      </c>
      <c r="O21567">
        <v>250909</v>
      </c>
      <c r="P21567">
        <v>5.39</v>
      </c>
    </row>
    <row r="21568" spans="1:16" x14ac:dyDescent="0.25">
      <c r="A21568" t="s">
        <v>3296</v>
      </c>
      <c r="B21568" t="s">
        <v>2931</v>
      </c>
      <c r="C21568">
        <v>11636</v>
      </c>
      <c r="D21568" t="str">
        <f t="shared" si="448"/>
        <v xml:space="preserve">12536021132 </v>
      </c>
      <c r="E21568" t="s">
        <v>309</v>
      </c>
      <c r="F21568" t="s">
        <v>310</v>
      </c>
      <c r="G21568">
        <v>3.39</v>
      </c>
      <c r="H21568">
        <v>250831</v>
      </c>
      <c r="I21568">
        <v>4369</v>
      </c>
      <c r="J21568" t="s">
        <v>188</v>
      </c>
      <c r="K21568">
        <v>43.55</v>
      </c>
      <c r="L21568">
        <v>0.69</v>
      </c>
      <c r="M21568">
        <v>13901</v>
      </c>
      <c r="N21568" t="s">
        <v>116</v>
      </c>
      <c r="O21568">
        <v>250909</v>
      </c>
      <c r="P21568">
        <v>2.7</v>
      </c>
    </row>
    <row r="21569" spans="1:16" x14ac:dyDescent="0.25">
      <c r="A21569" t="s">
        <v>3296</v>
      </c>
      <c r="B21569" t="s">
        <v>2931</v>
      </c>
      <c r="C21569">
        <v>11636</v>
      </c>
      <c r="D21569" t="str">
        <f t="shared" si="448"/>
        <v xml:space="preserve">12536021132 </v>
      </c>
      <c r="E21569" t="s">
        <v>309</v>
      </c>
      <c r="F21569" t="s">
        <v>310</v>
      </c>
      <c r="G21569">
        <v>3.39</v>
      </c>
      <c r="H21569">
        <v>250831</v>
      </c>
      <c r="I21569">
        <v>4369</v>
      </c>
      <c r="J21569" t="s">
        <v>188</v>
      </c>
      <c r="K21569">
        <v>43.55</v>
      </c>
      <c r="L21569">
        <v>0.69</v>
      </c>
      <c r="M21569">
        <v>13901</v>
      </c>
      <c r="N21569" t="s">
        <v>116</v>
      </c>
      <c r="O21569">
        <v>250909</v>
      </c>
      <c r="P21569">
        <v>2.7</v>
      </c>
    </row>
    <row r="21570" spans="1:16" x14ac:dyDescent="0.25">
      <c r="A21570" t="s">
        <v>3296</v>
      </c>
      <c r="B21570" t="s">
        <v>2931</v>
      </c>
      <c r="C21570">
        <v>11636</v>
      </c>
      <c r="D21570" t="str">
        <f t="shared" si="448"/>
        <v xml:space="preserve">12536021132 </v>
      </c>
      <c r="E21570" t="s">
        <v>309</v>
      </c>
      <c r="F21570" t="s">
        <v>310</v>
      </c>
      <c r="G21570">
        <v>3.39</v>
      </c>
      <c r="H21570">
        <v>250831</v>
      </c>
      <c r="I21570">
        <v>4369</v>
      </c>
      <c r="J21570" t="s">
        <v>188</v>
      </c>
      <c r="K21570">
        <v>43.55</v>
      </c>
      <c r="L21570">
        <v>0.69</v>
      </c>
      <c r="M21570">
        <v>13901</v>
      </c>
      <c r="N21570" t="s">
        <v>116</v>
      </c>
      <c r="O21570">
        <v>250909</v>
      </c>
      <c r="P21570">
        <v>2.7</v>
      </c>
    </row>
    <row r="21571" spans="1:16" x14ac:dyDescent="0.25">
      <c r="A21571" t="s">
        <v>3296</v>
      </c>
      <c r="B21571" t="s">
        <v>2931</v>
      </c>
      <c r="C21571">
        <v>11636</v>
      </c>
      <c r="D21571" t="str">
        <f t="shared" si="448"/>
        <v xml:space="preserve">12536021132 </v>
      </c>
      <c r="E21571" t="s">
        <v>309</v>
      </c>
      <c r="F21571" t="s">
        <v>310</v>
      </c>
      <c r="G21571">
        <v>3.39</v>
      </c>
      <c r="H21571">
        <v>250831</v>
      </c>
      <c r="I21571">
        <v>4369</v>
      </c>
      <c r="J21571" t="s">
        <v>188</v>
      </c>
      <c r="K21571">
        <v>43.55</v>
      </c>
      <c r="L21571">
        <v>0.69</v>
      </c>
      <c r="M21571">
        <v>13901</v>
      </c>
      <c r="N21571" t="s">
        <v>116</v>
      </c>
      <c r="O21571">
        <v>250909</v>
      </c>
      <c r="P21571">
        <v>2.7</v>
      </c>
    </row>
    <row r="21572" spans="1:16" x14ac:dyDescent="0.25">
      <c r="A21572" t="s">
        <v>3296</v>
      </c>
      <c r="B21572" t="s">
        <v>2931</v>
      </c>
      <c r="C21572">
        <v>11636</v>
      </c>
      <c r="D21572" t="str">
        <f t="shared" si="448"/>
        <v xml:space="preserve">12536021132 </v>
      </c>
      <c r="E21572" t="s">
        <v>309</v>
      </c>
      <c r="F21572" t="s">
        <v>310</v>
      </c>
      <c r="G21572">
        <v>3.39</v>
      </c>
      <c r="H21572">
        <v>250831</v>
      </c>
      <c r="I21572">
        <v>4369</v>
      </c>
      <c r="J21572" t="s">
        <v>188</v>
      </c>
      <c r="K21572">
        <v>43.55</v>
      </c>
      <c r="L21572">
        <v>0.69</v>
      </c>
      <c r="M21572">
        <v>13901</v>
      </c>
      <c r="N21572" t="s">
        <v>116</v>
      </c>
      <c r="O21572">
        <v>250909</v>
      </c>
      <c r="P21572">
        <v>2.7</v>
      </c>
    </row>
    <row r="21573" spans="1:16" x14ac:dyDescent="0.25">
      <c r="A21573" t="s">
        <v>3296</v>
      </c>
      <c r="B21573" t="s">
        <v>2931</v>
      </c>
      <c r="C21573">
        <v>11636</v>
      </c>
      <c r="D21573" t="str">
        <f t="shared" si="448"/>
        <v xml:space="preserve">12536021132 </v>
      </c>
      <c r="E21573" t="s">
        <v>309</v>
      </c>
      <c r="F21573" t="s">
        <v>310</v>
      </c>
      <c r="G21573">
        <v>9.6</v>
      </c>
      <c r="H21573">
        <v>250831</v>
      </c>
      <c r="I21573">
        <v>4369</v>
      </c>
      <c r="J21573" t="s">
        <v>188</v>
      </c>
      <c r="K21573">
        <v>43.55</v>
      </c>
      <c r="L21573">
        <v>1.95</v>
      </c>
      <c r="M21573">
        <v>13901</v>
      </c>
      <c r="N21573" t="s">
        <v>116</v>
      </c>
      <c r="O21573">
        <v>250909</v>
      </c>
      <c r="P21573">
        <v>7.65</v>
      </c>
    </row>
    <row r="21574" spans="1:16" x14ac:dyDescent="0.25">
      <c r="A21574" t="s">
        <v>3296</v>
      </c>
      <c r="B21574" t="s">
        <v>2931</v>
      </c>
      <c r="C21574">
        <v>11636</v>
      </c>
      <c r="D21574" t="str">
        <f t="shared" si="448"/>
        <v xml:space="preserve">12536021132 </v>
      </c>
      <c r="E21574" t="s">
        <v>309</v>
      </c>
      <c r="F21574" t="s">
        <v>310</v>
      </c>
      <c r="G21574">
        <v>10.23</v>
      </c>
      <c r="H21574">
        <v>250831</v>
      </c>
      <c r="I21574">
        <v>4369</v>
      </c>
      <c r="J21574" t="s">
        <v>188</v>
      </c>
      <c r="K21574">
        <v>43.55</v>
      </c>
      <c r="L21574">
        <v>2.08</v>
      </c>
      <c r="M21574">
        <v>13940</v>
      </c>
      <c r="N21574" t="s">
        <v>14</v>
      </c>
      <c r="O21574">
        <v>250909</v>
      </c>
      <c r="P21574">
        <v>8.15</v>
      </c>
    </row>
    <row r="21575" spans="1:16" x14ac:dyDescent="0.25">
      <c r="A21575" t="s">
        <v>3296</v>
      </c>
      <c r="B21575" t="s">
        <v>2931</v>
      </c>
      <c r="C21575">
        <v>11637</v>
      </c>
      <c r="D21575" t="str">
        <f t="shared" ref="D21575:D21581" si="449">"12536021145 "</f>
        <v xml:space="preserve">12536021145 </v>
      </c>
      <c r="E21575" t="s">
        <v>309</v>
      </c>
      <c r="F21575" t="s">
        <v>310</v>
      </c>
      <c r="G21575">
        <v>2.2200000000000002</v>
      </c>
      <c r="H21575">
        <v>250831</v>
      </c>
      <c r="I21575">
        <v>4369</v>
      </c>
      <c r="J21575" t="s">
        <v>188</v>
      </c>
      <c r="K21575">
        <v>17.14</v>
      </c>
      <c r="L21575">
        <v>0.45</v>
      </c>
      <c r="M21575">
        <v>41126</v>
      </c>
      <c r="N21575" t="s">
        <v>94</v>
      </c>
      <c r="O21575">
        <v>250909</v>
      </c>
      <c r="P21575">
        <v>1.77</v>
      </c>
    </row>
    <row r="21576" spans="1:16" x14ac:dyDescent="0.25">
      <c r="A21576" t="s">
        <v>3296</v>
      </c>
      <c r="B21576" t="s">
        <v>2931</v>
      </c>
      <c r="C21576">
        <v>11637</v>
      </c>
      <c r="D21576" t="str">
        <f t="shared" si="449"/>
        <v xml:space="preserve">12536021145 </v>
      </c>
      <c r="E21576" t="s">
        <v>309</v>
      </c>
      <c r="F21576" t="s">
        <v>310</v>
      </c>
      <c r="G21576">
        <v>1.71</v>
      </c>
      <c r="H21576">
        <v>250831</v>
      </c>
      <c r="I21576">
        <v>4369</v>
      </c>
      <c r="J21576" t="s">
        <v>188</v>
      </c>
      <c r="K21576">
        <v>17.14</v>
      </c>
      <c r="L21576">
        <v>0.35</v>
      </c>
      <c r="M21576">
        <v>43222</v>
      </c>
      <c r="N21576" t="s">
        <v>95</v>
      </c>
      <c r="O21576">
        <v>250909</v>
      </c>
      <c r="P21576">
        <v>1.36</v>
      </c>
    </row>
    <row r="21577" spans="1:16" x14ac:dyDescent="0.25">
      <c r="A21577" t="s">
        <v>3296</v>
      </c>
      <c r="B21577" t="s">
        <v>2931</v>
      </c>
      <c r="C21577">
        <v>11637</v>
      </c>
      <c r="D21577" t="str">
        <f t="shared" si="449"/>
        <v xml:space="preserve">12536021145 </v>
      </c>
      <c r="E21577" t="s">
        <v>309</v>
      </c>
      <c r="F21577" t="s">
        <v>310</v>
      </c>
      <c r="G21577">
        <v>2.06</v>
      </c>
      <c r="H21577">
        <v>250831</v>
      </c>
      <c r="I21577">
        <v>4369</v>
      </c>
      <c r="J21577" t="s">
        <v>188</v>
      </c>
      <c r="K21577">
        <v>17.14</v>
      </c>
      <c r="L21577">
        <v>0.42</v>
      </c>
      <c r="M21577">
        <v>44222</v>
      </c>
      <c r="N21577" t="s">
        <v>96</v>
      </c>
      <c r="O21577">
        <v>250909</v>
      </c>
      <c r="P21577">
        <v>1.64</v>
      </c>
    </row>
    <row r="21578" spans="1:16" x14ac:dyDescent="0.25">
      <c r="A21578" t="s">
        <v>3296</v>
      </c>
      <c r="B21578" t="s">
        <v>2931</v>
      </c>
      <c r="C21578">
        <v>11637</v>
      </c>
      <c r="D21578" t="str">
        <f t="shared" si="449"/>
        <v xml:space="preserve">12536021145 </v>
      </c>
      <c r="E21578" t="s">
        <v>309</v>
      </c>
      <c r="F21578" t="s">
        <v>310</v>
      </c>
      <c r="G21578">
        <v>2.23</v>
      </c>
      <c r="H21578">
        <v>250831</v>
      </c>
      <c r="I21578">
        <v>4369</v>
      </c>
      <c r="J21578" t="s">
        <v>188</v>
      </c>
      <c r="K21578">
        <v>17.14</v>
      </c>
      <c r="L21578">
        <v>0.45</v>
      </c>
      <c r="M21578">
        <v>44424</v>
      </c>
      <c r="N21578" t="s">
        <v>99</v>
      </c>
      <c r="O21578">
        <v>250909</v>
      </c>
      <c r="P21578">
        <v>1.78</v>
      </c>
    </row>
    <row r="21579" spans="1:16" x14ac:dyDescent="0.25">
      <c r="A21579" t="s">
        <v>3296</v>
      </c>
      <c r="B21579" t="s">
        <v>2931</v>
      </c>
      <c r="C21579">
        <v>11637</v>
      </c>
      <c r="D21579" t="str">
        <f t="shared" si="449"/>
        <v xml:space="preserve">12536021145 </v>
      </c>
      <c r="E21579" t="s">
        <v>309</v>
      </c>
      <c r="F21579" t="s">
        <v>310</v>
      </c>
      <c r="G21579">
        <v>1.2</v>
      </c>
      <c r="H21579">
        <v>250831</v>
      </c>
      <c r="I21579">
        <v>4369</v>
      </c>
      <c r="J21579" t="s">
        <v>188</v>
      </c>
      <c r="K21579">
        <v>17.14</v>
      </c>
      <c r="L21579">
        <v>0.24</v>
      </c>
      <c r="M21579">
        <v>46222</v>
      </c>
      <c r="N21579" t="s">
        <v>101</v>
      </c>
      <c r="O21579">
        <v>250909</v>
      </c>
      <c r="P21579">
        <v>0.96</v>
      </c>
    </row>
    <row r="21580" spans="1:16" x14ac:dyDescent="0.25">
      <c r="A21580" t="s">
        <v>3296</v>
      </c>
      <c r="B21580" t="s">
        <v>2931</v>
      </c>
      <c r="C21580">
        <v>11637</v>
      </c>
      <c r="D21580" t="str">
        <f t="shared" si="449"/>
        <v xml:space="preserve">12536021145 </v>
      </c>
      <c r="E21580" t="s">
        <v>309</v>
      </c>
      <c r="F21580" t="s">
        <v>310</v>
      </c>
      <c r="G21580">
        <v>6.86</v>
      </c>
      <c r="H21580">
        <v>250831</v>
      </c>
      <c r="I21580">
        <v>4369</v>
      </c>
      <c r="J21580" t="s">
        <v>188</v>
      </c>
      <c r="K21580">
        <v>17.14</v>
      </c>
      <c r="L21580">
        <v>1.39</v>
      </c>
      <c r="M21580">
        <v>46559</v>
      </c>
      <c r="N21580" t="s">
        <v>105</v>
      </c>
      <c r="O21580">
        <v>250909</v>
      </c>
      <c r="P21580">
        <v>5.47</v>
      </c>
    </row>
    <row r="21581" spans="1:16" x14ac:dyDescent="0.25">
      <c r="A21581" t="s">
        <v>3296</v>
      </c>
      <c r="B21581" t="s">
        <v>2931</v>
      </c>
      <c r="C21581">
        <v>11637</v>
      </c>
      <c r="D21581" t="str">
        <f t="shared" si="449"/>
        <v xml:space="preserve">12536021145 </v>
      </c>
      <c r="E21581" t="s">
        <v>309</v>
      </c>
      <c r="F21581" t="s">
        <v>310</v>
      </c>
      <c r="G21581">
        <v>0.86</v>
      </c>
      <c r="H21581">
        <v>250831</v>
      </c>
      <c r="I21581">
        <v>4369</v>
      </c>
      <c r="J21581" t="s">
        <v>188</v>
      </c>
      <c r="K21581">
        <v>17.14</v>
      </c>
      <c r="L21581">
        <v>0.17</v>
      </c>
      <c r="M21581">
        <v>47522</v>
      </c>
      <c r="N21581" t="s">
        <v>106</v>
      </c>
      <c r="O21581">
        <v>250909</v>
      </c>
      <c r="P21581">
        <v>0.69</v>
      </c>
    </row>
    <row r="21582" spans="1:16" x14ac:dyDescent="0.25">
      <c r="A21582" t="s">
        <v>3296</v>
      </c>
      <c r="B21582" t="s">
        <v>2931</v>
      </c>
      <c r="C21582">
        <v>11638</v>
      </c>
      <c r="D21582" t="str">
        <f>"12536021153 "</f>
        <v xml:space="preserve">12536021153 </v>
      </c>
      <c r="E21582" t="s">
        <v>309</v>
      </c>
      <c r="F21582" t="s">
        <v>310</v>
      </c>
      <c r="G21582">
        <v>64.63</v>
      </c>
      <c r="H21582">
        <v>250831</v>
      </c>
      <c r="I21582">
        <v>4369</v>
      </c>
      <c r="J21582" t="s">
        <v>188</v>
      </c>
      <c r="K21582">
        <v>64.63</v>
      </c>
      <c r="L21582">
        <v>13.13</v>
      </c>
      <c r="M21582">
        <v>11801</v>
      </c>
      <c r="N21582" t="s">
        <v>40</v>
      </c>
      <c r="O21582">
        <v>250909</v>
      </c>
      <c r="P21582">
        <v>51.5</v>
      </c>
    </row>
    <row r="21583" spans="1:16" x14ac:dyDescent="0.25">
      <c r="A21583" t="s">
        <v>3296</v>
      </c>
      <c r="B21583" t="s">
        <v>2931</v>
      </c>
      <c r="C21583">
        <v>11639</v>
      </c>
      <c r="D21583" t="str">
        <f>"12536021135 "</f>
        <v xml:space="preserve">12536021135 </v>
      </c>
      <c r="E21583" t="s">
        <v>309</v>
      </c>
      <c r="F21583" t="s">
        <v>310</v>
      </c>
      <c r="G21583">
        <v>6.8</v>
      </c>
      <c r="H21583">
        <v>250831</v>
      </c>
      <c r="I21583">
        <v>4369</v>
      </c>
      <c r="J21583" t="s">
        <v>188</v>
      </c>
      <c r="K21583">
        <v>13.58</v>
      </c>
      <c r="L21583">
        <v>1.38</v>
      </c>
      <c r="M21583">
        <v>49701</v>
      </c>
      <c r="N21583" t="s">
        <v>111</v>
      </c>
      <c r="O21583">
        <v>250909</v>
      </c>
      <c r="P21583">
        <v>5.42</v>
      </c>
    </row>
    <row r="21584" spans="1:16" x14ac:dyDescent="0.25">
      <c r="A21584" t="s">
        <v>3296</v>
      </c>
      <c r="B21584" t="s">
        <v>2931</v>
      </c>
      <c r="C21584">
        <v>11639</v>
      </c>
      <c r="D21584" t="str">
        <f>"12536021135 "</f>
        <v xml:space="preserve">12536021135 </v>
      </c>
      <c r="E21584" t="s">
        <v>309</v>
      </c>
      <c r="F21584" t="s">
        <v>310</v>
      </c>
      <c r="G21584">
        <v>6.78</v>
      </c>
      <c r="H21584">
        <v>250831</v>
      </c>
      <c r="I21584">
        <v>4369</v>
      </c>
      <c r="J21584" t="s">
        <v>188</v>
      </c>
      <c r="K21584">
        <v>13.58</v>
      </c>
      <c r="L21584">
        <v>1.38</v>
      </c>
      <c r="M21584">
        <v>49702</v>
      </c>
      <c r="N21584" t="s">
        <v>112</v>
      </c>
      <c r="O21584">
        <v>250909</v>
      </c>
      <c r="P21584">
        <v>5.4</v>
      </c>
    </row>
    <row r="21585" spans="1:16" x14ac:dyDescent="0.25">
      <c r="A21585" t="s">
        <v>3296</v>
      </c>
      <c r="B21585" t="s">
        <v>2931</v>
      </c>
      <c r="C21585">
        <v>11642</v>
      </c>
      <c r="D21585" t="str">
        <f t="shared" ref="D21585:D21590" si="450">"12536021146 "</f>
        <v xml:space="preserve">12536021146 </v>
      </c>
      <c r="E21585" t="s">
        <v>309</v>
      </c>
      <c r="F21585" t="s">
        <v>310</v>
      </c>
      <c r="G21585">
        <v>3.39</v>
      </c>
      <c r="H21585">
        <v>250831</v>
      </c>
      <c r="I21585">
        <v>4369</v>
      </c>
      <c r="J21585" t="s">
        <v>188</v>
      </c>
      <c r="K21585">
        <v>68.75</v>
      </c>
      <c r="L21585">
        <v>0.69</v>
      </c>
      <c r="M21585">
        <v>17132</v>
      </c>
      <c r="N21585" t="s">
        <v>174</v>
      </c>
      <c r="O21585">
        <v>250909</v>
      </c>
      <c r="P21585">
        <v>2.7</v>
      </c>
    </row>
    <row r="21586" spans="1:16" x14ac:dyDescent="0.25">
      <c r="A21586" t="s">
        <v>3296</v>
      </c>
      <c r="B21586" t="s">
        <v>2931</v>
      </c>
      <c r="C21586">
        <v>11642</v>
      </c>
      <c r="D21586" t="str">
        <f t="shared" si="450"/>
        <v xml:space="preserve">12536021146 </v>
      </c>
      <c r="E21586" t="s">
        <v>309</v>
      </c>
      <c r="F21586" t="s">
        <v>310</v>
      </c>
      <c r="G21586">
        <v>10.220000000000001</v>
      </c>
      <c r="H21586">
        <v>250831</v>
      </c>
      <c r="I21586">
        <v>4369</v>
      </c>
      <c r="J21586" t="s">
        <v>188</v>
      </c>
      <c r="K21586">
        <v>68.75</v>
      </c>
      <c r="L21586">
        <v>2.08</v>
      </c>
      <c r="M21586">
        <v>17913</v>
      </c>
      <c r="N21586" t="s">
        <v>26</v>
      </c>
      <c r="O21586">
        <v>250909</v>
      </c>
      <c r="P21586">
        <v>8.14</v>
      </c>
    </row>
    <row r="21587" spans="1:16" x14ac:dyDescent="0.25">
      <c r="A21587" t="s">
        <v>3296</v>
      </c>
      <c r="B21587" t="s">
        <v>2931</v>
      </c>
      <c r="C21587">
        <v>11642</v>
      </c>
      <c r="D21587" t="str">
        <f t="shared" si="450"/>
        <v xml:space="preserve">12536021146 </v>
      </c>
      <c r="E21587" t="s">
        <v>309</v>
      </c>
      <c r="F21587" t="s">
        <v>310</v>
      </c>
      <c r="G21587">
        <v>27.75</v>
      </c>
      <c r="H21587">
        <v>250831</v>
      </c>
      <c r="I21587">
        <v>4369</v>
      </c>
      <c r="J21587" t="s">
        <v>188</v>
      </c>
      <c r="K21587">
        <v>68.75</v>
      </c>
      <c r="L21587">
        <v>5.64</v>
      </c>
      <c r="M21587">
        <v>17951</v>
      </c>
      <c r="N21587" t="s">
        <v>207</v>
      </c>
      <c r="O21587">
        <v>250909</v>
      </c>
      <c r="P21587">
        <v>22.11</v>
      </c>
    </row>
    <row r="21588" spans="1:16" x14ac:dyDescent="0.25">
      <c r="A21588" t="s">
        <v>3296</v>
      </c>
      <c r="B21588" t="s">
        <v>2931</v>
      </c>
      <c r="C21588">
        <v>11642</v>
      </c>
      <c r="D21588" t="str">
        <f t="shared" si="450"/>
        <v xml:space="preserve">12536021146 </v>
      </c>
      <c r="E21588" t="s">
        <v>309</v>
      </c>
      <c r="F21588" t="s">
        <v>310</v>
      </c>
      <c r="G21588">
        <v>13.59</v>
      </c>
      <c r="H21588">
        <v>250831</v>
      </c>
      <c r="I21588">
        <v>4369</v>
      </c>
      <c r="J21588" t="s">
        <v>188</v>
      </c>
      <c r="K21588">
        <v>68.75</v>
      </c>
      <c r="L21588">
        <v>2.76</v>
      </c>
      <c r="M21588">
        <v>17971</v>
      </c>
      <c r="N21588" t="s">
        <v>27</v>
      </c>
      <c r="O21588">
        <v>250909</v>
      </c>
      <c r="P21588">
        <v>10.83</v>
      </c>
    </row>
    <row r="21589" spans="1:16" x14ac:dyDescent="0.25">
      <c r="A21589" t="s">
        <v>3296</v>
      </c>
      <c r="B21589" t="s">
        <v>2931</v>
      </c>
      <c r="C21589">
        <v>11642</v>
      </c>
      <c r="D21589" t="str">
        <f t="shared" si="450"/>
        <v xml:space="preserve">12536021146 </v>
      </c>
      <c r="E21589" t="s">
        <v>309</v>
      </c>
      <c r="F21589" t="s">
        <v>310</v>
      </c>
      <c r="G21589">
        <v>6.8</v>
      </c>
      <c r="H21589">
        <v>250831</v>
      </c>
      <c r="I21589">
        <v>4369</v>
      </c>
      <c r="J21589" t="s">
        <v>188</v>
      </c>
      <c r="K21589">
        <v>68.75</v>
      </c>
      <c r="L21589">
        <v>1.38</v>
      </c>
      <c r="M21589">
        <v>17974</v>
      </c>
      <c r="N21589" t="s">
        <v>153</v>
      </c>
      <c r="O21589">
        <v>250909</v>
      </c>
      <c r="P21589">
        <v>5.42</v>
      </c>
    </row>
    <row r="21590" spans="1:16" x14ac:dyDescent="0.25">
      <c r="A21590" t="s">
        <v>3296</v>
      </c>
      <c r="B21590" t="s">
        <v>2931</v>
      </c>
      <c r="C21590">
        <v>11642</v>
      </c>
      <c r="D21590" t="str">
        <f t="shared" si="450"/>
        <v xml:space="preserve">12536021146 </v>
      </c>
      <c r="E21590" t="s">
        <v>309</v>
      </c>
      <c r="F21590" t="s">
        <v>310</v>
      </c>
      <c r="G21590">
        <v>7</v>
      </c>
      <c r="H21590">
        <v>250831</v>
      </c>
      <c r="I21590">
        <v>4369</v>
      </c>
      <c r="J21590" t="s">
        <v>188</v>
      </c>
      <c r="K21590">
        <v>68.75</v>
      </c>
      <c r="L21590">
        <v>1.42</v>
      </c>
      <c r="M21590">
        <v>17975</v>
      </c>
      <c r="N21590" t="s">
        <v>29</v>
      </c>
      <c r="O21590">
        <v>250909</v>
      </c>
      <c r="P21590">
        <v>5.58</v>
      </c>
    </row>
    <row r="21591" spans="1:16" x14ac:dyDescent="0.25">
      <c r="A21591" t="s">
        <v>3296</v>
      </c>
      <c r="B21591" t="s">
        <v>2931</v>
      </c>
      <c r="C21591">
        <v>11643</v>
      </c>
      <c r="D21591" t="str">
        <f>"12536021143 "</f>
        <v xml:space="preserve">12536021143 </v>
      </c>
      <c r="E21591" t="s">
        <v>309</v>
      </c>
      <c r="F21591" t="s">
        <v>310</v>
      </c>
      <c r="G21591">
        <v>16.97</v>
      </c>
      <c r="H21591">
        <v>250831</v>
      </c>
      <c r="I21591">
        <v>4369</v>
      </c>
      <c r="J21591" t="s">
        <v>188</v>
      </c>
      <c r="K21591">
        <v>20.36</v>
      </c>
      <c r="L21591">
        <v>3.45</v>
      </c>
      <c r="M21591">
        <v>46555</v>
      </c>
      <c r="N21591" t="s">
        <v>103</v>
      </c>
      <c r="O21591">
        <v>250909</v>
      </c>
      <c r="P21591">
        <v>13.52</v>
      </c>
    </row>
    <row r="21592" spans="1:16" x14ac:dyDescent="0.25">
      <c r="A21592" t="s">
        <v>3296</v>
      </c>
      <c r="B21592" t="s">
        <v>2931</v>
      </c>
      <c r="C21592">
        <v>11643</v>
      </c>
      <c r="D21592" t="str">
        <f>"12536021143 "</f>
        <v xml:space="preserve">12536021143 </v>
      </c>
      <c r="E21592" t="s">
        <v>309</v>
      </c>
      <c r="F21592" t="s">
        <v>310</v>
      </c>
      <c r="G21592">
        <v>3.39</v>
      </c>
      <c r="H21592">
        <v>250831</v>
      </c>
      <c r="I21592">
        <v>4369</v>
      </c>
      <c r="J21592" t="s">
        <v>188</v>
      </c>
      <c r="K21592">
        <v>20.36</v>
      </c>
      <c r="L21592">
        <v>0.69</v>
      </c>
      <c r="M21592">
        <v>48601</v>
      </c>
      <c r="N21592" t="s">
        <v>107</v>
      </c>
      <c r="O21592">
        <v>250909</v>
      </c>
      <c r="P21592">
        <v>2.7</v>
      </c>
    </row>
    <row r="21593" spans="1:16" x14ac:dyDescent="0.25">
      <c r="A21593" t="s">
        <v>3296</v>
      </c>
      <c r="B21593" t="s">
        <v>2931</v>
      </c>
      <c r="C21593">
        <v>11644</v>
      </c>
      <c r="D21593" t="str">
        <f>"12536021165 "</f>
        <v xml:space="preserve">12536021165 </v>
      </c>
      <c r="E21593" t="s">
        <v>309</v>
      </c>
      <c r="F21593" t="s">
        <v>310</v>
      </c>
      <c r="G21593">
        <v>112.01</v>
      </c>
      <c r="H21593">
        <v>250831</v>
      </c>
      <c r="I21593">
        <v>4369</v>
      </c>
      <c r="J21593" t="s">
        <v>188</v>
      </c>
      <c r="K21593">
        <v>112.01</v>
      </c>
      <c r="L21593">
        <v>22.76</v>
      </c>
      <c r="M21593">
        <v>10002</v>
      </c>
      <c r="N21593" t="s">
        <v>513</v>
      </c>
      <c r="O21593">
        <v>250909</v>
      </c>
      <c r="P21593">
        <v>89.25</v>
      </c>
    </row>
    <row r="21594" spans="1:16" x14ac:dyDescent="0.25">
      <c r="A21594" t="s">
        <v>3296</v>
      </c>
      <c r="B21594" t="s">
        <v>2931</v>
      </c>
      <c r="C21594">
        <v>11646</v>
      </c>
      <c r="D21594" t="str">
        <f t="shared" ref="D21594:D21603" si="451">"12536021148 "</f>
        <v xml:space="preserve">12536021148 </v>
      </c>
      <c r="E21594" t="s">
        <v>309</v>
      </c>
      <c r="F21594" t="s">
        <v>310</v>
      </c>
      <c r="G21594">
        <v>13.55</v>
      </c>
      <c r="H21594">
        <v>250831</v>
      </c>
      <c r="I21594">
        <v>4369</v>
      </c>
      <c r="J21594" t="s">
        <v>188</v>
      </c>
      <c r="K21594">
        <v>98.97</v>
      </c>
      <c r="L21594">
        <v>2.75</v>
      </c>
      <c r="M21594">
        <v>17131</v>
      </c>
      <c r="N21594" t="s">
        <v>154</v>
      </c>
      <c r="O21594">
        <v>250909</v>
      </c>
      <c r="P21594">
        <v>10.8</v>
      </c>
    </row>
    <row r="21595" spans="1:16" x14ac:dyDescent="0.25">
      <c r="A21595" t="s">
        <v>3296</v>
      </c>
      <c r="B21595" t="s">
        <v>2931</v>
      </c>
      <c r="C21595">
        <v>11646</v>
      </c>
      <c r="D21595" t="str">
        <f t="shared" si="451"/>
        <v xml:space="preserve">12536021148 </v>
      </c>
      <c r="E21595" t="s">
        <v>309</v>
      </c>
      <c r="F21595" t="s">
        <v>310</v>
      </c>
      <c r="G21595">
        <v>10.220000000000001</v>
      </c>
      <c r="H21595">
        <v>250831</v>
      </c>
      <c r="I21595">
        <v>4369</v>
      </c>
      <c r="J21595" t="s">
        <v>188</v>
      </c>
      <c r="K21595">
        <v>98.97</v>
      </c>
      <c r="L21595">
        <v>2.08</v>
      </c>
      <c r="M21595">
        <v>17711</v>
      </c>
      <c r="N21595" t="s">
        <v>155</v>
      </c>
      <c r="O21595">
        <v>250909</v>
      </c>
      <c r="P21595">
        <v>8.14</v>
      </c>
    </row>
    <row r="21596" spans="1:16" x14ac:dyDescent="0.25">
      <c r="A21596" t="s">
        <v>3296</v>
      </c>
      <c r="B21596" t="s">
        <v>2931</v>
      </c>
      <c r="C21596">
        <v>11646</v>
      </c>
      <c r="D21596" t="str">
        <f t="shared" si="451"/>
        <v xml:space="preserve">12536021148 </v>
      </c>
      <c r="E21596" t="s">
        <v>309</v>
      </c>
      <c r="F21596" t="s">
        <v>310</v>
      </c>
      <c r="G21596">
        <v>6.83</v>
      </c>
      <c r="H21596">
        <v>250831</v>
      </c>
      <c r="I21596">
        <v>4369</v>
      </c>
      <c r="J21596" t="s">
        <v>188</v>
      </c>
      <c r="K21596">
        <v>98.97</v>
      </c>
      <c r="L21596">
        <v>1.39</v>
      </c>
      <c r="M21596">
        <v>17737</v>
      </c>
      <c r="N21596" t="s">
        <v>156</v>
      </c>
      <c r="O21596">
        <v>250909</v>
      </c>
      <c r="P21596">
        <v>5.44</v>
      </c>
    </row>
    <row r="21597" spans="1:16" x14ac:dyDescent="0.25">
      <c r="A21597" t="s">
        <v>3296</v>
      </c>
      <c r="B21597" t="s">
        <v>2931</v>
      </c>
      <c r="C21597">
        <v>11646</v>
      </c>
      <c r="D21597" t="str">
        <f t="shared" si="451"/>
        <v xml:space="preserve">12536021148 </v>
      </c>
      <c r="E21597" t="s">
        <v>309</v>
      </c>
      <c r="F21597" t="s">
        <v>310</v>
      </c>
      <c r="G21597">
        <v>16.940000000000001</v>
      </c>
      <c r="H21597">
        <v>250831</v>
      </c>
      <c r="I21597">
        <v>4369</v>
      </c>
      <c r="J21597" t="s">
        <v>188</v>
      </c>
      <c r="K21597">
        <v>98.97</v>
      </c>
      <c r="L21597">
        <v>3.44</v>
      </c>
      <c r="M21597">
        <v>17737</v>
      </c>
      <c r="N21597" t="s">
        <v>156</v>
      </c>
      <c r="O21597">
        <v>250909</v>
      </c>
      <c r="P21597">
        <v>13.5</v>
      </c>
    </row>
    <row r="21598" spans="1:16" x14ac:dyDescent="0.25">
      <c r="A21598" t="s">
        <v>3296</v>
      </c>
      <c r="B21598" t="s">
        <v>2931</v>
      </c>
      <c r="C21598">
        <v>11646</v>
      </c>
      <c r="D21598" t="str">
        <f t="shared" si="451"/>
        <v xml:space="preserve">12536021148 </v>
      </c>
      <c r="E21598" t="s">
        <v>309</v>
      </c>
      <c r="F21598" t="s">
        <v>310</v>
      </c>
      <c r="G21598">
        <v>16.75</v>
      </c>
      <c r="H21598">
        <v>250831</v>
      </c>
      <c r="I21598">
        <v>4369</v>
      </c>
      <c r="J21598" t="s">
        <v>188</v>
      </c>
      <c r="K21598">
        <v>98.97</v>
      </c>
      <c r="L21598">
        <v>3.4</v>
      </c>
      <c r="M21598">
        <v>17737</v>
      </c>
      <c r="N21598" t="s">
        <v>156</v>
      </c>
      <c r="O21598">
        <v>250909</v>
      </c>
      <c r="P21598">
        <v>13.35</v>
      </c>
    </row>
    <row r="21599" spans="1:16" x14ac:dyDescent="0.25">
      <c r="A21599" t="s">
        <v>3296</v>
      </c>
      <c r="B21599" t="s">
        <v>2931</v>
      </c>
      <c r="C21599">
        <v>11646</v>
      </c>
      <c r="D21599" t="str">
        <f t="shared" si="451"/>
        <v xml:space="preserve">12536021148 </v>
      </c>
      <c r="E21599" t="s">
        <v>309</v>
      </c>
      <c r="F21599" t="s">
        <v>310</v>
      </c>
      <c r="G21599">
        <v>3.39</v>
      </c>
      <c r="H21599">
        <v>250831</v>
      </c>
      <c r="I21599">
        <v>4369</v>
      </c>
      <c r="J21599" t="s">
        <v>188</v>
      </c>
      <c r="K21599">
        <v>98.97</v>
      </c>
      <c r="L21599">
        <v>0.69</v>
      </c>
      <c r="M21599">
        <v>17912</v>
      </c>
      <c r="N21599" t="s">
        <v>505</v>
      </c>
      <c r="O21599">
        <v>250909</v>
      </c>
      <c r="P21599">
        <v>2.7</v>
      </c>
    </row>
    <row r="21600" spans="1:16" x14ac:dyDescent="0.25">
      <c r="A21600" t="s">
        <v>3296</v>
      </c>
      <c r="B21600" t="s">
        <v>2931</v>
      </c>
      <c r="C21600">
        <v>11646</v>
      </c>
      <c r="D21600" t="str">
        <f t="shared" si="451"/>
        <v xml:space="preserve">12536021148 </v>
      </c>
      <c r="E21600" t="s">
        <v>309</v>
      </c>
      <c r="F21600" t="s">
        <v>310</v>
      </c>
      <c r="G21600">
        <v>3.39</v>
      </c>
      <c r="H21600">
        <v>250831</v>
      </c>
      <c r="I21600">
        <v>4369</v>
      </c>
      <c r="J21600" t="s">
        <v>188</v>
      </c>
      <c r="K21600">
        <v>98.97</v>
      </c>
      <c r="L21600">
        <v>0.69</v>
      </c>
      <c r="M21600">
        <v>17915</v>
      </c>
      <c r="N21600" t="s">
        <v>305</v>
      </c>
      <c r="O21600">
        <v>250909</v>
      </c>
      <c r="P21600">
        <v>2.7</v>
      </c>
    </row>
    <row r="21601" spans="1:16" x14ac:dyDescent="0.25">
      <c r="A21601" t="s">
        <v>3296</v>
      </c>
      <c r="B21601" t="s">
        <v>2931</v>
      </c>
      <c r="C21601">
        <v>11646</v>
      </c>
      <c r="D21601" t="str">
        <f t="shared" si="451"/>
        <v xml:space="preserve">12536021148 </v>
      </c>
      <c r="E21601" t="s">
        <v>309</v>
      </c>
      <c r="F21601" t="s">
        <v>310</v>
      </c>
      <c r="G21601">
        <v>13.64</v>
      </c>
      <c r="H21601">
        <v>250831</v>
      </c>
      <c r="I21601">
        <v>4369</v>
      </c>
      <c r="J21601" t="s">
        <v>188</v>
      </c>
      <c r="K21601">
        <v>98.97</v>
      </c>
      <c r="L21601">
        <v>2.77</v>
      </c>
      <c r="M21601">
        <v>17952</v>
      </c>
      <c r="N21601" t="s">
        <v>157</v>
      </c>
      <c r="O21601">
        <v>250909</v>
      </c>
      <c r="P21601">
        <v>10.87</v>
      </c>
    </row>
    <row r="21602" spans="1:16" x14ac:dyDescent="0.25">
      <c r="A21602" t="s">
        <v>3296</v>
      </c>
      <c r="B21602" t="s">
        <v>2931</v>
      </c>
      <c r="C21602">
        <v>11646</v>
      </c>
      <c r="D21602" t="str">
        <f t="shared" si="451"/>
        <v xml:space="preserve">12536021148 </v>
      </c>
      <c r="E21602" t="s">
        <v>309</v>
      </c>
      <c r="F21602" t="s">
        <v>310</v>
      </c>
      <c r="G21602">
        <v>7.02</v>
      </c>
      <c r="H21602">
        <v>250831</v>
      </c>
      <c r="I21602">
        <v>4369</v>
      </c>
      <c r="J21602" t="s">
        <v>188</v>
      </c>
      <c r="K21602">
        <v>98.97</v>
      </c>
      <c r="L21602">
        <v>1.43</v>
      </c>
      <c r="M21602">
        <v>17971</v>
      </c>
      <c r="N21602" t="s">
        <v>27</v>
      </c>
      <c r="O21602">
        <v>250909</v>
      </c>
      <c r="P21602">
        <v>5.59</v>
      </c>
    </row>
    <row r="21603" spans="1:16" x14ac:dyDescent="0.25">
      <c r="A21603" t="s">
        <v>3296</v>
      </c>
      <c r="B21603" t="s">
        <v>2931</v>
      </c>
      <c r="C21603">
        <v>11646</v>
      </c>
      <c r="D21603" t="str">
        <f t="shared" si="451"/>
        <v xml:space="preserve">12536021148 </v>
      </c>
      <c r="E21603" t="s">
        <v>309</v>
      </c>
      <c r="F21603" t="s">
        <v>310</v>
      </c>
      <c r="G21603">
        <v>7.24</v>
      </c>
      <c r="H21603">
        <v>250831</v>
      </c>
      <c r="I21603">
        <v>4369</v>
      </c>
      <c r="J21603" t="s">
        <v>188</v>
      </c>
      <c r="K21603">
        <v>98.97</v>
      </c>
      <c r="L21603">
        <v>1.47</v>
      </c>
      <c r="M21603">
        <v>17972</v>
      </c>
      <c r="N21603" t="s">
        <v>28</v>
      </c>
      <c r="O21603">
        <v>250909</v>
      </c>
      <c r="P21603">
        <v>5.77</v>
      </c>
    </row>
    <row r="21604" spans="1:16" x14ac:dyDescent="0.25">
      <c r="A21604" t="s">
        <v>3296</v>
      </c>
      <c r="B21604" t="s">
        <v>2931</v>
      </c>
      <c r="C21604">
        <v>11647</v>
      </c>
      <c r="D21604" t="str">
        <f>"12536021144 "</f>
        <v xml:space="preserve">12536021144 </v>
      </c>
      <c r="E21604" t="s">
        <v>309</v>
      </c>
      <c r="F21604" t="s">
        <v>310</v>
      </c>
      <c r="G21604">
        <v>3.39</v>
      </c>
      <c r="H21604">
        <v>250831</v>
      </c>
      <c r="I21604">
        <v>4369</v>
      </c>
      <c r="J21604" t="s">
        <v>188</v>
      </c>
      <c r="K21604">
        <v>3.39</v>
      </c>
      <c r="L21604">
        <v>0.69</v>
      </c>
      <c r="M21604">
        <v>11900</v>
      </c>
      <c r="N21604" t="s">
        <v>30</v>
      </c>
      <c r="O21604">
        <v>250909</v>
      </c>
      <c r="P21604">
        <v>2.7</v>
      </c>
    </row>
    <row r="21605" spans="1:16" x14ac:dyDescent="0.25">
      <c r="A21605" t="s">
        <v>3296</v>
      </c>
      <c r="B21605" t="s">
        <v>2931</v>
      </c>
      <c r="C21605">
        <v>11649</v>
      </c>
      <c r="D21605" t="str">
        <f>"12536021154 "</f>
        <v xml:space="preserve">12536021154 </v>
      </c>
      <c r="E21605" t="s">
        <v>309</v>
      </c>
      <c r="F21605" t="s">
        <v>310</v>
      </c>
      <c r="G21605">
        <v>3.39</v>
      </c>
      <c r="H21605">
        <v>250831</v>
      </c>
      <c r="I21605">
        <v>4369</v>
      </c>
      <c r="J21605" t="s">
        <v>188</v>
      </c>
      <c r="K21605">
        <v>6.78</v>
      </c>
      <c r="L21605">
        <v>0.69</v>
      </c>
      <c r="M21605">
        <v>11901</v>
      </c>
      <c r="N21605" t="s">
        <v>31</v>
      </c>
      <c r="O21605">
        <v>250909</v>
      </c>
      <c r="P21605">
        <v>2.7</v>
      </c>
    </row>
    <row r="21606" spans="1:16" x14ac:dyDescent="0.25">
      <c r="A21606" t="s">
        <v>3296</v>
      </c>
      <c r="B21606" t="s">
        <v>2931</v>
      </c>
      <c r="C21606">
        <v>11649</v>
      </c>
      <c r="D21606" t="str">
        <f>"12536021154 "</f>
        <v xml:space="preserve">12536021154 </v>
      </c>
      <c r="E21606" t="s">
        <v>309</v>
      </c>
      <c r="F21606" t="s">
        <v>310</v>
      </c>
      <c r="G21606">
        <v>3.39</v>
      </c>
      <c r="H21606">
        <v>250831</v>
      </c>
      <c r="I21606">
        <v>4369</v>
      </c>
      <c r="J21606" t="s">
        <v>188</v>
      </c>
      <c r="K21606">
        <v>6.78</v>
      </c>
      <c r="L21606">
        <v>0.69</v>
      </c>
      <c r="M21606">
        <v>11903</v>
      </c>
      <c r="N21606" t="s">
        <v>32</v>
      </c>
      <c r="O21606">
        <v>250909</v>
      </c>
      <c r="P21606">
        <v>2.7</v>
      </c>
    </row>
    <row r="21607" spans="1:16" x14ac:dyDescent="0.25">
      <c r="A21607" t="s">
        <v>3296</v>
      </c>
      <c r="B21607" t="s">
        <v>2931</v>
      </c>
      <c r="C21607">
        <v>11650</v>
      </c>
      <c r="D21607" t="str">
        <f t="shared" ref="D21607:D21635" si="452">"12536021128 "</f>
        <v xml:space="preserve">12536021128 </v>
      </c>
      <c r="E21607" t="s">
        <v>309</v>
      </c>
      <c r="F21607" t="s">
        <v>310</v>
      </c>
      <c r="G21607">
        <v>30.65</v>
      </c>
      <c r="H21607">
        <v>250831</v>
      </c>
      <c r="I21607">
        <v>4369</v>
      </c>
      <c r="J21607" t="s">
        <v>188</v>
      </c>
      <c r="K21607">
        <v>343.98</v>
      </c>
      <c r="L21607">
        <v>6.23</v>
      </c>
      <c r="M21607">
        <v>61122</v>
      </c>
      <c r="N21607" t="s">
        <v>86</v>
      </c>
      <c r="O21607">
        <v>250909</v>
      </c>
      <c r="P21607">
        <v>24.42</v>
      </c>
    </row>
    <row r="21608" spans="1:16" x14ac:dyDescent="0.25">
      <c r="A21608" t="s">
        <v>3296</v>
      </c>
      <c r="B21608" t="s">
        <v>2931</v>
      </c>
      <c r="C21608">
        <v>11650</v>
      </c>
      <c r="D21608" t="str">
        <f t="shared" si="452"/>
        <v xml:space="preserve">12536021128 </v>
      </c>
      <c r="E21608" t="s">
        <v>309</v>
      </c>
      <c r="F21608" t="s">
        <v>310</v>
      </c>
      <c r="G21608">
        <v>3.39</v>
      </c>
      <c r="H21608">
        <v>250831</v>
      </c>
      <c r="I21608">
        <v>4369</v>
      </c>
      <c r="J21608" t="s">
        <v>188</v>
      </c>
      <c r="K21608">
        <v>343.98</v>
      </c>
      <c r="L21608">
        <v>0.69</v>
      </c>
      <c r="M21608">
        <v>61122</v>
      </c>
      <c r="N21608" t="s">
        <v>86</v>
      </c>
      <c r="O21608">
        <v>250909</v>
      </c>
      <c r="P21608">
        <v>2.7</v>
      </c>
    </row>
    <row r="21609" spans="1:16" x14ac:dyDescent="0.25">
      <c r="A21609" t="s">
        <v>3296</v>
      </c>
      <c r="B21609" t="s">
        <v>2931</v>
      </c>
      <c r="C21609">
        <v>11650</v>
      </c>
      <c r="D21609" t="str">
        <f t="shared" si="452"/>
        <v xml:space="preserve">12536021128 </v>
      </c>
      <c r="E21609" t="s">
        <v>309</v>
      </c>
      <c r="F21609" t="s">
        <v>310</v>
      </c>
      <c r="G21609">
        <v>13.62</v>
      </c>
      <c r="H21609">
        <v>250831</v>
      </c>
      <c r="I21609">
        <v>4369</v>
      </c>
      <c r="J21609" t="s">
        <v>188</v>
      </c>
      <c r="K21609">
        <v>343.98</v>
      </c>
      <c r="L21609">
        <v>2.77</v>
      </c>
      <c r="M21609">
        <v>65222</v>
      </c>
      <c r="N21609" t="s">
        <v>87</v>
      </c>
      <c r="O21609">
        <v>250909</v>
      </c>
      <c r="P21609">
        <v>10.85</v>
      </c>
    </row>
    <row r="21610" spans="1:16" x14ac:dyDescent="0.25">
      <c r="A21610" t="s">
        <v>3296</v>
      </c>
      <c r="B21610" t="s">
        <v>2931</v>
      </c>
      <c r="C21610">
        <v>11650</v>
      </c>
      <c r="D21610" t="str">
        <f t="shared" si="452"/>
        <v xml:space="preserve">12536021128 </v>
      </c>
      <c r="E21610" t="s">
        <v>309</v>
      </c>
      <c r="F21610" t="s">
        <v>310</v>
      </c>
      <c r="G21610">
        <v>3.39</v>
      </c>
      <c r="H21610">
        <v>250831</v>
      </c>
      <c r="I21610">
        <v>4369</v>
      </c>
      <c r="J21610" t="s">
        <v>188</v>
      </c>
      <c r="K21610">
        <v>343.98</v>
      </c>
      <c r="L21610">
        <v>0.69</v>
      </c>
      <c r="M21610">
        <v>65422</v>
      </c>
      <c r="N21610" t="s">
        <v>117</v>
      </c>
      <c r="O21610">
        <v>250909</v>
      </c>
      <c r="P21610">
        <v>2.7</v>
      </c>
    </row>
    <row r="21611" spans="1:16" x14ac:dyDescent="0.25">
      <c r="A21611" t="s">
        <v>3296</v>
      </c>
      <c r="B21611" t="s">
        <v>2931</v>
      </c>
      <c r="C21611">
        <v>11650</v>
      </c>
      <c r="D21611" t="str">
        <f t="shared" si="452"/>
        <v xml:space="preserve">12536021128 </v>
      </c>
      <c r="E21611" t="s">
        <v>309</v>
      </c>
      <c r="F21611" t="s">
        <v>310</v>
      </c>
      <c r="G21611">
        <v>11.85</v>
      </c>
      <c r="H21611">
        <v>250831</v>
      </c>
      <c r="I21611">
        <v>4369</v>
      </c>
      <c r="J21611" t="s">
        <v>188</v>
      </c>
      <c r="K21611">
        <v>343.98</v>
      </c>
      <c r="L21611">
        <v>2.41</v>
      </c>
      <c r="M21611">
        <v>66722</v>
      </c>
      <c r="N21611" t="s">
        <v>118</v>
      </c>
      <c r="O21611">
        <v>250909</v>
      </c>
      <c r="P21611">
        <v>9.44</v>
      </c>
    </row>
    <row r="21612" spans="1:16" x14ac:dyDescent="0.25">
      <c r="A21612" t="s">
        <v>3296</v>
      </c>
      <c r="B21612" t="s">
        <v>2931</v>
      </c>
      <c r="C21612">
        <v>11650</v>
      </c>
      <c r="D21612" t="str">
        <f t="shared" si="452"/>
        <v xml:space="preserve">12536021128 </v>
      </c>
      <c r="E21612" t="s">
        <v>309</v>
      </c>
      <c r="F21612" t="s">
        <v>310</v>
      </c>
      <c r="G21612">
        <v>11.32</v>
      </c>
      <c r="H21612">
        <v>250831</v>
      </c>
      <c r="I21612">
        <v>4369</v>
      </c>
      <c r="J21612" t="s">
        <v>188</v>
      </c>
      <c r="K21612">
        <v>343.98</v>
      </c>
      <c r="L21612">
        <v>2.2999999999999998</v>
      </c>
      <c r="M21612">
        <v>66754</v>
      </c>
      <c r="N21612" t="s">
        <v>119</v>
      </c>
      <c r="O21612">
        <v>250909</v>
      </c>
      <c r="P21612">
        <v>9.02</v>
      </c>
    </row>
    <row r="21613" spans="1:16" x14ac:dyDescent="0.25">
      <c r="A21613" t="s">
        <v>3296</v>
      </c>
      <c r="B21613" t="s">
        <v>2931</v>
      </c>
      <c r="C21613">
        <v>11650</v>
      </c>
      <c r="D21613" t="str">
        <f t="shared" si="452"/>
        <v xml:space="preserve">12536021128 </v>
      </c>
      <c r="E21613" t="s">
        <v>309</v>
      </c>
      <c r="F21613" t="s">
        <v>310</v>
      </c>
      <c r="G21613">
        <v>6.78</v>
      </c>
      <c r="H21613">
        <v>250831</v>
      </c>
      <c r="I21613">
        <v>4369</v>
      </c>
      <c r="J21613" t="s">
        <v>188</v>
      </c>
      <c r="K21613">
        <v>343.98</v>
      </c>
      <c r="L21613">
        <v>1.38</v>
      </c>
      <c r="M21613">
        <v>66754</v>
      </c>
      <c r="N21613" t="s">
        <v>119</v>
      </c>
      <c r="O21613">
        <v>250909</v>
      </c>
      <c r="P21613">
        <v>5.4</v>
      </c>
    </row>
    <row r="21614" spans="1:16" x14ac:dyDescent="0.25">
      <c r="A21614" t="s">
        <v>3296</v>
      </c>
      <c r="B21614" t="s">
        <v>2931</v>
      </c>
      <c r="C21614">
        <v>11650</v>
      </c>
      <c r="D21614" t="str">
        <f t="shared" si="452"/>
        <v xml:space="preserve">12536021128 </v>
      </c>
      <c r="E21614" t="s">
        <v>309</v>
      </c>
      <c r="F21614" t="s">
        <v>310</v>
      </c>
      <c r="G21614">
        <v>3.39</v>
      </c>
      <c r="H21614">
        <v>250831</v>
      </c>
      <c r="I21614">
        <v>4369</v>
      </c>
      <c r="J21614" t="s">
        <v>188</v>
      </c>
      <c r="K21614">
        <v>343.98</v>
      </c>
      <c r="L21614">
        <v>0.69</v>
      </c>
      <c r="M21614">
        <v>66754</v>
      </c>
      <c r="N21614" t="s">
        <v>119</v>
      </c>
      <c r="O21614">
        <v>250909</v>
      </c>
      <c r="P21614">
        <v>2.7</v>
      </c>
    </row>
    <row r="21615" spans="1:16" x14ac:dyDescent="0.25">
      <c r="A21615" t="s">
        <v>3296</v>
      </c>
      <c r="B21615" t="s">
        <v>2931</v>
      </c>
      <c r="C21615">
        <v>11650</v>
      </c>
      <c r="D21615" t="str">
        <f t="shared" si="452"/>
        <v xml:space="preserve">12536021128 </v>
      </c>
      <c r="E21615" t="s">
        <v>309</v>
      </c>
      <c r="F21615" t="s">
        <v>310</v>
      </c>
      <c r="G21615">
        <v>10.37</v>
      </c>
      <c r="H21615">
        <v>250831</v>
      </c>
      <c r="I21615">
        <v>4369</v>
      </c>
      <c r="J21615" t="s">
        <v>188</v>
      </c>
      <c r="K21615">
        <v>343.98</v>
      </c>
      <c r="L21615">
        <v>2.11</v>
      </c>
      <c r="M21615">
        <v>66754</v>
      </c>
      <c r="N21615" t="s">
        <v>119</v>
      </c>
      <c r="O21615">
        <v>250909</v>
      </c>
      <c r="P21615">
        <v>8.26</v>
      </c>
    </row>
    <row r="21616" spans="1:16" x14ac:dyDescent="0.25">
      <c r="A21616" t="s">
        <v>3296</v>
      </c>
      <c r="B21616" t="s">
        <v>2931</v>
      </c>
      <c r="C21616">
        <v>11650</v>
      </c>
      <c r="D21616" t="str">
        <f t="shared" si="452"/>
        <v xml:space="preserve">12536021128 </v>
      </c>
      <c r="E21616" t="s">
        <v>309</v>
      </c>
      <c r="F21616" t="s">
        <v>310</v>
      </c>
      <c r="G21616">
        <v>15.01</v>
      </c>
      <c r="H21616">
        <v>250831</v>
      </c>
      <c r="I21616">
        <v>4369</v>
      </c>
      <c r="J21616" t="s">
        <v>188</v>
      </c>
      <c r="K21616">
        <v>343.98</v>
      </c>
      <c r="L21616">
        <v>3.05</v>
      </c>
      <c r="M21616">
        <v>66756</v>
      </c>
      <c r="N21616" t="s">
        <v>120</v>
      </c>
      <c r="O21616">
        <v>250909</v>
      </c>
      <c r="P21616">
        <v>11.96</v>
      </c>
    </row>
    <row r="21617" spans="1:16" x14ac:dyDescent="0.25">
      <c r="A21617" t="s">
        <v>3296</v>
      </c>
      <c r="B21617" t="s">
        <v>2931</v>
      </c>
      <c r="C21617">
        <v>11650</v>
      </c>
      <c r="D21617" t="str">
        <f t="shared" si="452"/>
        <v xml:space="preserve">12536021128 </v>
      </c>
      <c r="E21617" t="s">
        <v>309</v>
      </c>
      <c r="F21617" t="s">
        <v>310</v>
      </c>
      <c r="G21617">
        <v>23.98</v>
      </c>
      <c r="H21617">
        <v>250831</v>
      </c>
      <c r="I21617">
        <v>4369</v>
      </c>
      <c r="J21617" t="s">
        <v>188</v>
      </c>
      <c r="K21617">
        <v>343.98</v>
      </c>
      <c r="L21617">
        <v>4.87</v>
      </c>
      <c r="M21617">
        <v>67522</v>
      </c>
      <c r="N21617" t="s">
        <v>121</v>
      </c>
      <c r="O21617">
        <v>250909</v>
      </c>
      <c r="P21617">
        <v>19.11</v>
      </c>
    </row>
    <row r="21618" spans="1:16" x14ac:dyDescent="0.25">
      <c r="A21618" t="s">
        <v>3296</v>
      </c>
      <c r="B21618" t="s">
        <v>2931</v>
      </c>
      <c r="C21618">
        <v>11650</v>
      </c>
      <c r="D21618" t="str">
        <f t="shared" si="452"/>
        <v xml:space="preserve">12536021128 </v>
      </c>
      <c r="E21618" t="s">
        <v>309</v>
      </c>
      <c r="F21618" t="s">
        <v>310</v>
      </c>
      <c r="G21618">
        <v>16.940000000000001</v>
      </c>
      <c r="H21618">
        <v>250831</v>
      </c>
      <c r="I21618">
        <v>4369</v>
      </c>
      <c r="J21618" t="s">
        <v>188</v>
      </c>
      <c r="K21618">
        <v>343.98</v>
      </c>
      <c r="L21618">
        <v>3.44</v>
      </c>
      <c r="M21618">
        <v>67522</v>
      </c>
      <c r="N21618" t="s">
        <v>121</v>
      </c>
      <c r="O21618">
        <v>250909</v>
      </c>
      <c r="P21618">
        <v>13.5</v>
      </c>
    </row>
    <row r="21619" spans="1:16" x14ac:dyDescent="0.25">
      <c r="A21619" t="s">
        <v>3296</v>
      </c>
      <c r="B21619" t="s">
        <v>2931</v>
      </c>
      <c r="C21619">
        <v>11650</v>
      </c>
      <c r="D21619" t="str">
        <f t="shared" si="452"/>
        <v xml:space="preserve">12536021128 </v>
      </c>
      <c r="E21619" t="s">
        <v>309</v>
      </c>
      <c r="F21619" t="s">
        <v>310</v>
      </c>
      <c r="G21619">
        <v>1.72</v>
      </c>
      <c r="H21619">
        <v>250831</v>
      </c>
      <c r="I21619">
        <v>4369</v>
      </c>
      <c r="J21619" t="s">
        <v>188</v>
      </c>
      <c r="K21619">
        <v>343.98</v>
      </c>
      <c r="L21619">
        <v>0.35</v>
      </c>
      <c r="M21619">
        <v>67554</v>
      </c>
      <c r="N21619" t="s">
        <v>317</v>
      </c>
      <c r="O21619">
        <v>250909</v>
      </c>
      <c r="P21619">
        <v>1.37</v>
      </c>
    </row>
    <row r="21620" spans="1:16" x14ac:dyDescent="0.25">
      <c r="A21620" t="s">
        <v>3296</v>
      </c>
      <c r="B21620" t="s">
        <v>2931</v>
      </c>
      <c r="C21620">
        <v>11650</v>
      </c>
      <c r="D21620" t="str">
        <f t="shared" si="452"/>
        <v xml:space="preserve">12536021128 </v>
      </c>
      <c r="E21620" t="s">
        <v>309</v>
      </c>
      <c r="F21620" t="s">
        <v>310</v>
      </c>
      <c r="G21620">
        <v>6.89</v>
      </c>
      <c r="H21620">
        <v>250831</v>
      </c>
      <c r="I21620">
        <v>4369</v>
      </c>
      <c r="J21620" t="s">
        <v>188</v>
      </c>
      <c r="K21620">
        <v>343.98</v>
      </c>
      <c r="L21620">
        <v>1.4</v>
      </c>
      <c r="M21620">
        <v>67554</v>
      </c>
      <c r="N21620" t="s">
        <v>317</v>
      </c>
      <c r="O21620">
        <v>250909</v>
      </c>
      <c r="P21620">
        <v>5.49</v>
      </c>
    </row>
    <row r="21621" spans="1:16" x14ac:dyDescent="0.25">
      <c r="A21621" t="s">
        <v>3296</v>
      </c>
      <c r="B21621" t="s">
        <v>2931</v>
      </c>
      <c r="C21621">
        <v>11650</v>
      </c>
      <c r="D21621" t="str">
        <f t="shared" si="452"/>
        <v xml:space="preserve">12536021128 </v>
      </c>
      <c r="E21621" t="s">
        <v>309</v>
      </c>
      <c r="F21621" t="s">
        <v>310</v>
      </c>
      <c r="G21621">
        <v>66.19</v>
      </c>
      <c r="H21621">
        <v>250831</v>
      </c>
      <c r="I21621">
        <v>4369</v>
      </c>
      <c r="J21621" t="s">
        <v>188</v>
      </c>
      <c r="K21621">
        <v>343.98</v>
      </c>
      <c r="L21621">
        <v>13.45</v>
      </c>
      <c r="M21621">
        <v>67554</v>
      </c>
      <c r="N21621" t="s">
        <v>317</v>
      </c>
      <c r="O21621">
        <v>250909</v>
      </c>
      <c r="P21621">
        <v>52.74</v>
      </c>
    </row>
    <row r="21622" spans="1:16" x14ac:dyDescent="0.25">
      <c r="A21622" t="s">
        <v>3296</v>
      </c>
      <c r="B21622" t="s">
        <v>2931</v>
      </c>
      <c r="C21622">
        <v>11650</v>
      </c>
      <c r="D21622" t="str">
        <f t="shared" si="452"/>
        <v xml:space="preserve">12536021128 </v>
      </c>
      <c r="E21622" t="s">
        <v>309</v>
      </c>
      <c r="F21622" t="s">
        <v>310</v>
      </c>
      <c r="G21622">
        <v>3.39</v>
      </c>
      <c r="H21622">
        <v>250831</v>
      </c>
      <c r="I21622">
        <v>4369</v>
      </c>
      <c r="J21622" t="s">
        <v>188</v>
      </c>
      <c r="K21622">
        <v>343.98</v>
      </c>
      <c r="L21622">
        <v>0.69</v>
      </c>
      <c r="M21622">
        <v>67554</v>
      </c>
      <c r="N21622" t="s">
        <v>317</v>
      </c>
      <c r="O21622">
        <v>250909</v>
      </c>
      <c r="P21622">
        <v>2.7</v>
      </c>
    </row>
    <row r="21623" spans="1:16" x14ac:dyDescent="0.25">
      <c r="A21623" t="s">
        <v>3296</v>
      </c>
      <c r="B21623" t="s">
        <v>2931</v>
      </c>
      <c r="C21623">
        <v>11650</v>
      </c>
      <c r="D21623" t="str">
        <f t="shared" si="452"/>
        <v xml:space="preserve">12536021128 </v>
      </c>
      <c r="E21623" t="s">
        <v>309</v>
      </c>
      <c r="F21623" t="s">
        <v>310</v>
      </c>
      <c r="G21623">
        <v>12.3</v>
      </c>
      <c r="H21623">
        <v>250831</v>
      </c>
      <c r="I21623">
        <v>4369</v>
      </c>
      <c r="J21623" t="s">
        <v>188</v>
      </c>
      <c r="K21623">
        <v>343.98</v>
      </c>
      <c r="L21623">
        <v>2.5</v>
      </c>
      <c r="M21623">
        <v>68601</v>
      </c>
      <c r="N21623" t="s">
        <v>1031</v>
      </c>
      <c r="O21623">
        <v>250909</v>
      </c>
      <c r="P21623">
        <v>9.8000000000000007</v>
      </c>
    </row>
    <row r="21624" spans="1:16" x14ac:dyDescent="0.25">
      <c r="A21624" t="s">
        <v>3296</v>
      </c>
      <c r="B21624" t="s">
        <v>2931</v>
      </c>
      <c r="C21624">
        <v>11650</v>
      </c>
      <c r="D21624" t="str">
        <f t="shared" si="452"/>
        <v xml:space="preserve">12536021128 </v>
      </c>
      <c r="E21624" t="s">
        <v>309</v>
      </c>
      <c r="F21624" t="s">
        <v>310</v>
      </c>
      <c r="G21624">
        <v>3.39</v>
      </c>
      <c r="H21624">
        <v>250831</v>
      </c>
      <c r="I21624">
        <v>4369</v>
      </c>
      <c r="J21624" t="s">
        <v>188</v>
      </c>
      <c r="K21624">
        <v>343.98</v>
      </c>
      <c r="L21624">
        <v>0.69</v>
      </c>
      <c r="M21624">
        <v>68601</v>
      </c>
      <c r="N21624" t="s">
        <v>1031</v>
      </c>
      <c r="O21624">
        <v>250909</v>
      </c>
      <c r="P21624">
        <v>2.7</v>
      </c>
    </row>
    <row r="21625" spans="1:16" x14ac:dyDescent="0.25">
      <c r="A21625" t="s">
        <v>3296</v>
      </c>
      <c r="B21625" t="s">
        <v>2931</v>
      </c>
      <c r="C21625">
        <v>11650</v>
      </c>
      <c r="D21625" t="str">
        <f t="shared" si="452"/>
        <v xml:space="preserve">12536021128 </v>
      </c>
      <c r="E21625" t="s">
        <v>309</v>
      </c>
      <c r="F21625" t="s">
        <v>310</v>
      </c>
      <c r="G21625">
        <v>10.17</v>
      </c>
      <c r="H21625">
        <v>250831</v>
      </c>
      <c r="I21625">
        <v>4369</v>
      </c>
      <c r="J21625" t="s">
        <v>188</v>
      </c>
      <c r="K21625">
        <v>343.98</v>
      </c>
      <c r="L21625">
        <v>2.0699999999999998</v>
      </c>
      <c r="M21625">
        <v>69111</v>
      </c>
      <c r="N21625" t="s">
        <v>657</v>
      </c>
      <c r="O21625">
        <v>250909</v>
      </c>
      <c r="P21625">
        <v>8.1</v>
      </c>
    </row>
    <row r="21626" spans="1:16" x14ac:dyDescent="0.25">
      <c r="A21626" t="s">
        <v>3296</v>
      </c>
      <c r="B21626" t="s">
        <v>2931</v>
      </c>
      <c r="C21626">
        <v>11650</v>
      </c>
      <c r="D21626" t="str">
        <f t="shared" si="452"/>
        <v xml:space="preserve">12536021128 </v>
      </c>
      <c r="E21626" t="s">
        <v>309</v>
      </c>
      <c r="F21626" t="s">
        <v>310</v>
      </c>
      <c r="G21626">
        <v>3.5</v>
      </c>
      <c r="H21626">
        <v>250831</v>
      </c>
      <c r="I21626">
        <v>4369</v>
      </c>
      <c r="J21626" t="s">
        <v>188</v>
      </c>
      <c r="K21626">
        <v>343.98</v>
      </c>
      <c r="L21626">
        <v>0.71</v>
      </c>
      <c r="M21626">
        <v>69112</v>
      </c>
      <c r="N21626" t="s">
        <v>227</v>
      </c>
      <c r="O21626">
        <v>250909</v>
      </c>
      <c r="P21626">
        <v>2.79</v>
      </c>
    </row>
    <row r="21627" spans="1:16" x14ac:dyDescent="0.25">
      <c r="A21627" t="s">
        <v>3296</v>
      </c>
      <c r="B21627" t="s">
        <v>2931</v>
      </c>
      <c r="C21627">
        <v>11650</v>
      </c>
      <c r="D21627" t="str">
        <f t="shared" si="452"/>
        <v xml:space="preserve">12536021128 </v>
      </c>
      <c r="E21627" t="s">
        <v>309</v>
      </c>
      <c r="F21627" t="s">
        <v>310</v>
      </c>
      <c r="G21627">
        <v>13.82</v>
      </c>
      <c r="H21627">
        <v>250831</v>
      </c>
      <c r="I21627">
        <v>4369</v>
      </c>
      <c r="J21627" t="s">
        <v>188</v>
      </c>
      <c r="K21627">
        <v>343.98</v>
      </c>
      <c r="L21627">
        <v>2.81</v>
      </c>
      <c r="M21627">
        <v>69113</v>
      </c>
      <c r="N21627" t="s">
        <v>122</v>
      </c>
      <c r="O21627">
        <v>250909</v>
      </c>
      <c r="P21627">
        <v>11.01</v>
      </c>
    </row>
    <row r="21628" spans="1:16" x14ac:dyDescent="0.25">
      <c r="A21628" t="s">
        <v>3296</v>
      </c>
      <c r="B21628" t="s">
        <v>2931</v>
      </c>
      <c r="C21628">
        <v>11650</v>
      </c>
      <c r="D21628" t="str">
        <f t="shared" si="452"/>
        <v xml:space="preserve">12536021128 </v>
      </c>
      <c r="E21628" t="s">
        <v>309</v>
      </c>
      <c r="F21628" t="s">
        <v>310</v>
      </c>
      <c r="G21628">
        <v>27.42</v>
      </c>
      <c r="H21628">
        <v>250831</v>
      </c>
      <c r="I21628">
        <v>4369</v>
      </c>
      <c r="J21628" t="s">
        <v>188</v>
      </c>
      <c r="K21628">
        <v>343.98</v>
      </c>
      <c r="L21628">
        <v>5.57</v>
      </c>
      <c r="M21628">
        <v>69501</v>
      </c>
      <c r="N21628" t="s">
        <v>123</v>
      </c>
      <c r="O21628">
        <v>250909</v>
      </c>
      <c r="P21628">
        <v>21.85</v>
      </c>
    </row>
    <row r="21629" spans="1:16" x14ac:dyDescent="0.25">
      <c r="A21629" t="s">
        <v>3296</v>
      </c>
      <c r="B21629" t="s">
        <v>2931</v>
      </c>
      <c r="C21629">
        <v>11650</v>
      </c>
      <c r="D21629" t="str">
        <f t="shared" si="452"/>
        <v xml:space="preserve">12536021128 </v>
      </c>
      <c r="E21629" t="s">
        <v>309</v>
      </c>
      <c r="F21629" t="s">
        <v>310</v>
      </c>
      <c r="G21629">
        <v>5.05</v>
      </c>
      <c r="H21629">
        <v>250831</v>
      </c>
      <c r="I21629">
        <v>4369</v>
      </c>
      <c r="J21629" t="s">
        <v>188</v>
      </c>
      <c r="K21629">
        <v>343.98</v>
      </c>
      <c r="L21629">
        <v>1.03</v>
      </c>
      <c r="M21629">
        <v>69701</v>
      </c>
      <c r="N21629" t="s">
        <v>1030</v>
      </c>
      <c r="O21629">
        <v>250909</v>
      </c>
      <c r="P21629">
        <v>4.0199999999999996</v>
      </c>
    </row>
    <row r="21630" spans="1:16" x14ac:dyDescent="0.25">
      <c r="A21630" t="s">
        <v>3296</v>
      </c>
      <c r="B21630" t="s">
        <v>2931</v>
      </c>
      <c r="C21630">
        <v>11650</v>
      </c>
      <c r="D21630" t="str">
        <f t="shared" si="452"/>
        <v xml:space="preserve">12536021128 </v>
      </c>
      <c r="E21630" t="s">
        <v>309</v>
      </c>
      <c r="F21630" t="s">
        <v>310</v>
      </c>
      <c r="G21630">
        <v>3.39</v>
      </c>
      <c r="H21630">
        <v>250831</v>
      </c>
      <c r="I21630">
        <v>4369</v>
      </c>
      <c r="J21630" t="s">
        <v>188</v>
      </c>
      <c r="K21630">
        <v>343.98</v>
      </c>
      <c r="L21630">
        <v>0.69</v>
      </c>
      <c r="M21630">
        <v>69702</v>
      </c>
      <c r="N21630" t="s">
        <v>124</v>
      </c>
      <c r="O21630">
        <v>250909</v>
      </c>
      <c r="P21630">
        <v>2.7</v>
      </c>
    </row>
    <row r="21631" spans="1:16" x14ac:dyDescent="0.25">
      <c r="A21631" t="s">
        <v>3296</v>
      </c>
      <c r="B21631" t="s">
        <v>2931</v>
      </c>
      <c r="C21631">
        <v>11650</v>
      </c>
      <c r="D21631" t="str">
        <f t="shared" si="452"/>
        <v xml:space="preserve">12536021128 </v>
      </c>
      <c r="E21631" t="s">
        <v>309</v>
      </c>
      <c r="F21631" t="s">
        <v>310</v>
      </c>
      <c r="G21631">
        <v>5.08</v>
      </c>
      <c r="H21631">
        <v>250831</v>
      </c>
      <c r="I21631">
        <v>4369</v>
      </c>
      <c r="J21631" t="s">
        <v>188</v>
      </c>
      <c r="K21631">
        <v>343.98</v>
      </c>
      <c r="L21631">
        <v>1.03</v>
      </c>
      <c r="M21631">
        <v>69703</v>
      </c>
      <c r="N21631" t="s">
        <v>88</v>
      </c>
      <c r="O21631">
        <v>250909</v>
      </c>
      <c r="P21631">
        <v>4.05</v>
      </c>
    </row>
    <row r="21632" spans="1:16" x14ac:dyDescent="0.25">
      <c r="A21632" t="s">
        <v>3296</v>
      </c>
      <c r="B21632" t="s">
        <v>2931</v>
      </c>
      <c r="C21632">
        <v>11650</v>
      </c>
      <c r="D21632" t="str">
        <f t="shared" si="452"/>
        <v xml:space="preserve">12536021128 </v>
      </c>
      <c r="E21632" t="s">
        <v>309</v>
      </c>
      <c r="F21632" t="s">
        <v>310</v>
      </c>
      <c r="G21632">
        <v>6.79</v>
      </c>
      <c r="H21632">
        <v>250831</v>
      </c>
      <c r="I21632">
        <v>4369</v>
      </c>
      <c r="J21632" t="s">
        <v>188</v>
      </c>
      <c r="K21632">
        <v>343.98</v>
      </c>
      <c r="L21632">
        <v>1.38</v>
      </c>
      <c r="M21632">
        <v>69704</v>
      </c>
      <c r="N21632" t="s">
        <v>89</v>
      </c>
      <c r="O21632">
        <v>250909</v>
      </c>
      <c r="P21632">
        <v>5.41</v>
      </c>
    </row>
    <row r="21633" spans="1:16" x14ac:dyDescent="0.25">
      <c r="A21633" t="s">
        <v>3296</v>
      </c>
      <c r="B21633" t="s">
        <v>2931</v>
      </c>
      <c r="C21633">
        <v>11650</v>
      </c>
      <c r="D21633" t="str">
        <f t="shared" si="452"/>
        <v xml:space="preserve">12536021128 </v>
      </c>
      <c r="E21633" t="s">
        <v>309</v>
      </c>
      <c r="F21633" t="s">
        <v>310</v>
      </c>
      <c r="G21633">
        <v>7.22</v>
      </c>
      <c r="H21633">
        <v>250831</v>
      </c>
      <c r="I21633">
        <v>4369</v>
      </c>
      <c r="J21633" t="s">
        <v>188</v>
      </c>
      <c r="K21633">
        <v>343.98</v>
      </c>
      <c r="L21633">
        <v>1.47</v>
      </c>
      <c r="M21633">
        <v>69704</v>
      </c>
      <c r="N21633" t="s">
        <v>89</v>
      </c>
      <c r="O21633">
        <v>250909</v>
      </c>
      <c r="P21633">
        <v>5.75</v>
      </c>
    </row>
    <row r="21634" spans="1:16" x14ac:dyDescent="0.25">
      <c r="A21634" t="s">
        <v>3296</v>
      </c>
      <c r="B21634" t="s">
        <v>2931</v>
      </c>
      <c r="C21634">
        <v>11650</v>
      </c>
      <c r="D21634" t="str">
        <f t="shared" si="452"/>
        <v xml:space="preserve">12536021128 </v>
      </c>
      <c r="E21634" t="s">
        <v>309</v>
      </c>
      <c r="F21634" t="s">
        <v>310</v>
      </c>
      <c r="G21634">
        <v>10.19</v>
      </c>
      <c r="H21634">
        <v>250831</v>
      </c>
      <c r="I21634">
        <v>4369</v>
      </c>
      <c r="J21634" t="s">
        <v>188</v>
      </c>
      <c r="K21634">
        <v>343.98</v>
      </c>
      <c r="L21634">
        <v>2.0699999999999998</v>
      </c>
      <c r="M21634">
        <v>69707</v>
      </c>
      <c r="N21634" t="s">
        <v>90</v>
      </c>
      <c r="O21634">
        <v>250909</v>
      </c>
      <c r="P21634">
        <v>8.1199999999999992</v>
      </c>
    </row>
    <row r="21635" spans="1:16" x14ac:dyDescent="0.25">
      <c r="A21635" t="s">
        <v>3296</v>
      </c>
      <c r="B21635" t="s">
        <v>2931</v>
      </c>
      <c r="C21635">
        <v>11650</v>
      </c>
      <c r="D21635" t="str">
        <f t="shared" si="452"/>
        <v xml:space="preserve">12536021128 </v>
      </c>
      <c r="E21635" t="s">
        <v>309</v>
      </c>
      <c r="F21635" t="s">
        <v>310</v>
      </c>
      <c r="G21635">
        <v>6.78</v>
      </c>
      <c r="H21635">
        <v>250831</v>
      </c>
      <c r="I21635">
        <v>4369</v>
      </c>
      <c r="J21635" t="s">
        <v>188</v>
      </c>
      <c r="K21635">
        <v>343.98</v>
      </c>
      <c r="L21635">
        <v>1.38</v>
      </c>
      <c r="M21635">
        <v>69708</v>
      </c>
      <c r="N21635" t="s">
        <v>125</v>
      </c>
      <c r="O21635">
        <v>250909</v>
      </c>
      <c r="P21635">
        <v>5.4</v>
      </c>
    </row>
    <row r="21636" spans="1:16" x14ac:dyDescent="0.25">
      <c r="A21636" t="s">
        <v>3296</v>
      </c>
      <c r="B21636" t="s">
        <v>2931</v>
      </c>
      <c r="C21636">
        <v>11651</v>
      </c>
      <c r="D21636" t="str">
        <f>"12536021141 "</f>
        <v xml:space="preserve">12536021141 </v>
      </c>
      <c r="E21636" t="s">
        <v>309</v>
      </c>
      <c r="F21636" t="s">
        <v>310</v>
      </c>
      <c r="G21636">
        <v>6.68</v>
      </c>
      <c r="H21636">
        <v>250831</v>
      </c>
      <c r="I21636">
        <v>4369</v>
      </c>
      <c r="J21636" t="s">
        <v>188</v>
      </c>
      <c r="K21636">
        <v>43.28</v>
      </c>
      <c r="L21636">
        <v>1.36</v>
      </c>
      <c r="M21636">
        <v>44222</v>
      </c>
      <c r="N21636" t="s">
        <v>96</v>
      </c>
      <c r="O21636">
        <v>250909</v>
      </c>
      <c r="P21636">
        <v>5.32</v>
      </c>
    </row>
    <row r="21637" spans="1:16" x14ac:dyDescent="0.25">
      <c r="A21637" t="s">
        <v>3296</v>
      </c>
      <c r="B21637" t="s">
        <v>2931</v>
      </c>
      <c r="C21637">
        <v>11651</v>
      </c>
      <c r="D21637" t="str">
        <f>"12536021141 "</f>
        <v xml:space="preserve">12536021141 </v>
      </c>
      <c r="E21637" t="s">
        <v>309</v>
      </c>
      <c r="F21637" t="s">
        <v>310</v>
      </c>
      <c r="G21637">
        <v>23.34</v>
      </c>
      <c r="H21637">
        <v>250831</v>
      </c>
      <c r="I21637">
        <v>4369</v>
      </c>
      <c r="J21637" t="s">
        <v>188</v>
      </c>
      <c r="K21637">
        <v>43.28</v>
      </c>
      <c r="L21637">
        <v>4.74</v>
      </c>
      <c r="M21637">
        <v>44222</v>
      </c>
      <c r="N21637" t="s">
        <v>96</v>
      </c>
      <c r="O21637">
        <v>250909</v>
      </c>
      <c r="P21637">
        <v>18.600000000000001</v>
      </c>
    </row>
    <row r="21638" spans="1:16" x14ac:dyDescent="0.25">
      <c r="A21638" t="s">
        <v>3296</v>
      </c>
      <c r="B21638" t="s">
        <v>2931</v>
      </c>
      <c r="C21638">
        <v>11651</v>
      </c>
      <c r="D21638" t="str">
        <f>"12536021141 "</f>
        <v xml:space="preserve">12536021141 </v>
      </c>
      <c r="E21638" t="s">
        <v>309</v>
      </c>
      <c r="F21638" t="s">
        <v>310</v>
      </c>
      <c r="G21638">
        <v>3.39</v>
      </c>
      <c r="H21638">
        <v>250831</v>
      </c>
      <c r="I21638">
        <v>4369</v>
      </c>
      <c r="J21638" t="s">
        <v>188</v>
      </c>
      <c r="K21638">
        <v>43.28</v>
      </c>
      <c r="L21638">
        <v>0.69</v>
      </c>
      <c r="M21638">
        <v>44251</v>
      </c>
      <c r="N21638" t="s">
        <v>215</v>
      </c>
      <c r="O21638">
        <v>250909</v>
      </c>
      <c r="P21638">
        <v>2.7</v>
      </c>
    </row>
    <row r="21639" spans="1:16" x14ac:dyDescent="0.25">
      <c r="A21639" t="s">
        <v>3296</v>
      </c>
      <c r="B21639" t="s">
        <v>2931</v>
      </c>
      <c r="C21639">
        <v>11651</v>
      </c>
      <c r="D21639" t="str">
        <f>"12536021141 "</f>
        <v xml:space="preserve">12536021141 </v>
      </c>
      <c r="E21639" t="s">
        <v>309</v>
      </c>
      <c r="F21639" t="s">
        <v>310</v>
      </c>
      <c r="G21639">
        <v>3.2</v>
      </c>
      <c r="H21639">
        <v>250831</v>
      </c>
      <c r="I21639">
        <v>4369</v>
      </c>
      <c r="J21639" t="s">
        <v>188</v>
      </c>
      <c r="K21639">
        <v>43.28</v>
      </c>
      <c r="L21639">
        <v>0.65</v>
      </c>
      <c r="M21639">
        <v>44253</v>
      </c>
      <c r="N21639" t="s">
        <v>403</v>
      </c>
      <c r="O21639">
        <v>250909</v>
      </c>
      <c r="P21639">
        <v>2.5499999999999998</v>
      </c>
    </row>
    <row r="21640" spans="1:16" x14ac:dyDescent="0.25">
      <c r="A21640" t="s">
        <v>3296</v>
      </c>
      <c r="B21640" t="s">
        <v>2931</v>
      </c>
      <c r="C21640">
        <v>11651</v>
      </c>
      <c r="D21640" t="str">
        <f>"12536021141 "</f>
        <v xml:space="preserve">12536021141 </v>
      </c>
      <c r="E21640" t="s">
        <v>309</v>
      </c>
      <c r="F21640" t="s">
        <v>310</v>
      </c>
      <c r="G21640">
        <v>6.67</v>
      </c>
      <c r="H21640">
        <v>250831</v>
      </c>
      <c r="I21640">
        <v>4369</v>
      </c>
      <c r="J21640" t="s">
        <v>188</v>
      </c>
      <c r="K21640">
        <v>43.28</v>
      </c>
      <c r="L21640">
        <v>1.36</v>
      </c>
      <c r="M21640">
        <v>49702</v>
      </c>
      <c r="N21640" t="s">
        <v>112</v>
      </c>
      <c r="O21640">
        <v>250909</v>
      </c>
      <c r="P21640">
        <v>5.31</v>
      </c>
    </row>
    <row r="21641" spans="1:16" x14ac:dyDescent="0.25">
      <c r="A21641" t="s">
        <v>3296</v>
      </c>
      <c r="B21641" t="s">
        <v>2931</v>
      </c>
      <c r="C21641">
        <v>11652</v>
      </c>
      <c r="D21641" t="str">
        <f>"12536021133 "</f>
        <v xml:space="preserve">12536021133 </v>
      </c>
      <c r="E21641" t="s">
        <v>309</v>
      </c>
      <c r="F21641" t="s">
        <v>310</v>
      </c>
      <c r="G21641">
        <v>32.229999999999997</v>
      </c>
      <c r="H21641">
        <v>250831</v>
      </c>
      <c r="I21641">
        <v>4369</v>
      </c>
      <c r="J21641" t="s">
        <v>188</v>
      </c>
      <c r="K21641">
        <v>32.229999999999997</v>
      </c>
      <c r="L21641">
        <v>6.55</v>
      </c>
      <c r="M21641">
        <v>49501</v>
      </c>
      <c r="N21641" t="s">
        <v>110</v>
      </c>
      <c r="O21641">
        <v>250909</v>
      </c>
      <c r="P21641">
        <v>25.68</v>
      </c>
    </row>
    <row r="21642" spans="1:16" x14ac:dyDescent="0.25">
      <c r="A21642" t="s">
        <v>3296</v>
      </c>
      <c r="B21642" t="s">
        <v>2931</v>
      </c>
      <c r="C21642">
        <v>11653</v>
      </c>
      <c r="D21642" t="str">
        <f>"12536021140 "</f>
        <v xml:space="preserve">12536021140 </v>
      </c>
      <c r="E21642" t="s">
        <v>309</v>
      </c>
      <c r="F21642" t="s">
        <v>310</v>
      </c>
      <c r="G21642">
        <v>7.33</v>
      </c>
      <c r="H21642">
        <v>250831</v>
      </c>
      <c r="I21642">
        <v>4369</v>
      </c>
      <c r="J21642" t="s">
        <v>188</v>
      </c>
      <c r="K21642">
        <v>7.33</v>
      </c>
      <c r="L21642">
        <v>1.49</v>
      </c>
      <c r="M21642">
        <v>46556</v>
      </c>
      <c r="N21642" t="s">
        <v>458</v>
      </c>
      <c r="O21642">
        <v>250909</v>
      </c>
      <c r="P21642">
        <v>5.84</v>
      </c>
    </row>
    <row r="21643" spans="1:16" x14ac:dyDescent="0.25">
      <c r="A21643" t="s">
        <v>3296</v>
      </c>
      <c r="B21643" t="s">
        <v>2931</v>
      </c>
      <c r="C21643">
        <v>11654</v>
      </c>
      <c r="D21643" t="str">
        <f>"12536021152 "</f>
        <v xml:space="preserve">12536021152 </v>
      </c>
      <c r="E21643" t="s">
        <v>309</v>
      </c>
      <c r="F21643" t="s">
        <v>310</v>
      </c>
      <c r="G21643">
        <v>27.04</v>
      </c>
      <c r="H21643">
        <v>250831</v>
      </c>
      <c r="I21643">
        <v>4369</v>
      </c>
      <c r="J21643" t="s">
        <v>188</v>
      </c>
      <c r="K21643">
        <v>33.82</v>
      </c>
      <c r="L21643">
        <v>5.49</v>
      </c>
      <c r="M21643">
        <v>13601</v>
      </c>
      <c r="N21643" t="s">
        <v>115</v>
      </c>
      <c r="O21643">
        <v>250909</v>
      </c>
      <c r="P21643">
        <v>21.55</v>
      </c>
    </row>
    <row r="21644" spans="1:16" x14ac:dyDescent="0.25">
      <c r="A21644" t="s">
        <v>3296</v>
      </c>
      <c r="B21644" t="s">
        <v>2931</v>
      </c>
      <c r="C21644">
        <v>11654</v>
      </c>
      <c r="D21644" t="str">
        <f>"12536021152 "</f>
        <v xml:space="preserve">12536021152 </v>
      </c>
      <c r="E21644" t="s">
        <v>309</v>
      </c>
      <c r="F21644" t="s">
        <v>310</v>
      </c>
      <c r="G21644">
        <v>3.39</v>
      </c>
      <c r="H21644">
        <v>250831</v>
      </c>
      <c r="I21644">
        <v>4369</v>
      </c>
      <c r="J21644" t="s">
        <v>188</v>
      </c>
      <c r="K21644">
        <v>33.82</v>
      </c>
      <c r="L21644">
        <v>0.69</v>
      </c>
      <c r="M21644">
        <v>13601</v>
      </c>
      <c r="N21644" t="s">
        <v>115</v>
      </c>
      <c r="O21644">
        <v>250909</v>
      </c>
      <c r="P21644">
        <v>2.7</v>
      </c>
    </row>
    <row r="21645" spans="1:16" x14ac:dyDescent="0.25">
      <c r="A21645" t="s">
        <v>3296</v>
      </c>
      <c r="B21645" t="s">
        <v>2931</v>
      </c>
      <c r="C21645">
        <v>11654</v>
      </c>
      <c r="D21645" t="str">
        <f>"12536021152 "</f>
        <v xml:space="preserve">12536021152 </v>
      </c>
      <c r="E21645" t="s">
        <v>309</v>
      </c>
      <c r="F21645" t="s">
        <v>310</v>
      </c>
      <c r="G21645">
        <v>3.39</v>
      </c>
      <c r="H21645">
        <v>250831</v>
      </c>
      <c r="I21645">
        <v>4369</v>
      </c>
      <c r="J21645" t="s">
        <v>188</v>
      </c>
      <c r="K21645">
        <v>33.82</v>
      </c>
      <c r="L21645">
        <v>0.69</v>
      </c>
      <c r="M21645">
        <v>13661</v>
      </c>
      <c r="N21645" t="s">
        <v>243</v>
      </c>
      <c r="O21645">
        <v>250909</v>
      </c>
      <c r="P21645">
        <v>2.7</v>
      </c>
    </row>
    <row r="21646" spans="1:16" x14ac:dyDescent="0.25">
      <c r="A21646" t="s">
        <v>3296</v>
      </c>
      <c r="B21646" t="s">
        <v>2931</v>
      </c>
      <c r="C21646">
        <v>11656</v>
      </c>
      <c r="D21646" t="str">
        <f>"12536021142 "</f>
        <v xml:space="preserve">12536021142 </v>
      </c>
      <c r="E21646" t="s">
        <v>309</v>
      </c>
      <c r="F21646" t="s">
        <v>310</v>
      </c>
      <c r="G21646">
        <v>7.14</v>
      </c>
      <c r="H21646">
        <v>250831</v>
      </c>
      <c r="I21646">
        <v>4369</v>
      </c>
      <c r="J21646" t="s">
        <v>188</v>
      </c>
      <c r="K21646">
        <v>7.14</v>
      </c>
      <c r="L21646">
        <v>1.45</v>
      </c>
      <c r="M21646">
        <v>49112</v>
      </c>
      <c r="N21646" t="s">
        <v>109</v>
      </c>
      <c r="O21646">
        <v>250909</v>
      </c>
      <c r="P21646">
        <v>5.69</v>
      </c>
    </row>
    <row r="21647" spans="1:16" x14ac:dyDescent="0.25">
      <c r="A21647" t="s">
        <v>3296</v>
      </c>
      <c r="B21647" t="s">
        <v>2931</v>
      </c>
      <c r="C21647">
        <v>11657</v>
      </c>
      <c r="D21647" t="str">
        <f>"12536021134 "</f>
        <v xml:space="preserve">12536021134 </v>
      </c>
      <c r="E21647" t="s">
        <v>309</v>
      </c>
      <c r="F21647" t="s">
        <v>310</v>
      </c>
      <c r="G21647">
        <v>25.98</v>
      </c>
      <c r="H21647">
        <v>250831</v>
      </c>
      <c r="I21647">
        <v>4369</v>
      </c>
      <c r="J21647" t="s">
        <v>188</v>
      </c>
      <c r="K21647">
        <v>46.37</v>
      </c>
      <c r="L21647">
        <v>5.28</v>
      </c>
      <c r="M21647">
        <v>41126</v>
      </c>
      <c r="N21647" t="s">
        <v>94</v>
      </c>
      <c r="O21647">
        <v>250909</v>
      </c>
      <c r="P21647">
        <v>20.7</v>
      </c>
    </row>
    <row r="21648" spans="1:16" x14ac:dyDescent="0.25">
      <c r="A21648" t="s">
        <v>3296</v>
      </c>
      <c r="B21648" t="s">
        <v>2931</v>
      </c>
      <c r="C21648">
        <v>11657</v>
      </c>
      <c r="D21648" t="str">
        <f>"12536021134 "</f>
        <v xml:space="preserve">12536021134 </v>
      </c>
      <c r="E21648" t="s">
        <v>309</v>
      </c>
      <c r="F21648" t="s">
        <v>310</v>
      </c>
      <c r="G21648">
        <v>6.99</v>
      </c>
      <c r="H21648">
        <v>250831</v>
      </c>
      <c r="I21648">
        <v>4369</v>
      </c>
      <c r="J21648" t="s">
        <v>188</v>
      </c>
      <c r="K21648">
        <v>46.37</v>
      </c>
      <c r="L21648">
        <v>1.42</v>
      </c>
      <c r="M21648">
        <v>41127</v>
      </c>
      <c r="N21648" t="s">
        <v>2273</v>
      </c>
      <c r="O21648">
        <v>250909</v>
      </c>
      <c r="P21648">
        <v>5.57</v>
      </c>
    </row>
    <row r="21649" spans="1:16" x14ac:dyDescent="0.25">
      <c r="A21649" t="s">
        <v>3296</v>
      </c>
      <c r="B21649" t="s">
        <v>2931</v>
      </c>
      <c r="C21649">
        <v>11657</v>
      </c>
      <c r="D21649" t="str">
        <f>"12536021134 "</f>
        <v xml:space="preserve">12536021134 </v>
      </c>
      <c r="E21649" t="s">
        <v>309</v>
      </c>
      <c r="F21649" t="s">
        <v>310</v>
      </c>
      <c r="G21649">
        <v>13.4</v>
      </c>
      <c r="H21649">
        <v>250831</v>
      </c>
      <c r="I21649">
        <v>4369</v>
      </c>
      <c r="J21649" t="s">
        <v>188</v>
      </c>
      <c r="K21649">
        <v>46.37</v>
      </c>
      <c r="L21649">
        <v>2.72</v>
      </c>
      <c r="M21649">
        <v>46222</v>
      </c>
      <c r="N21649" t="s">
        <v>101</v>
      </c>
      <c r="O21649">
        <v>250909</v>
      </c>
      <c r="P21649">
        <v>10.68</v>
      </c>
    </row>
    <row r="21650" spans="1:16" x14ac:dyDescent="0.25">
      <c r="A21650" t="s">
        <v>3296</v>
      </c>
      <c r="B21650" t="s">
        <v>2931</v>
      </c>
      <c r="C21650">
        <v>11658</v>
      </c>
      <c r="D21650" t="str">
        <f>"12536021156 "</f>
        <v xml:space="preserve">12536021156 </v>
      </c>
      <c r="E21650" t="s">
        <v>309</v>
      </c>
      <c r="F21650" t="s">
        <v>310</v>
      </c>
      <c r="G21650">
        <v>2.54</v>
      </c>
      <c r="H21650">
        <v>250831</v>
      </c>
      <c r="I21650">
        <v>4369</v>
      </c>
      <c r="J21650" t="s">
        <v>188</v>
      </c>
      <c r="K21650">
        <v>23.9</v>
      </c>
      <c r="L21650">
        <v>0.52</v>
      </c>
      <c r="M21650">
        <v>53222</v>
      </c>
      <c r="N21650" t="s">
        <v>41</v>
      </c>
      <c r="O21650">
        <v>250909</v>
      </c>
      <c r="P21650">
        <v>2.02</v>
      </c>
    </row>
    <row r="21651" spans="1:16" x14ac:dyDescent="0.25">
      <c r="A21651" t="s">
        <v>3296</v>
      </c>
      <c r="B21651" t="s">
        <v>2931</v>
      </c>
      <c r="C21651">
        <v>11658</v>
      </c>
      <c r="D21651" t="str">
        <f>"12536021156 "</f>
        <v xml:space="preserve">12536021156 </v>
      </c>
      <c r="E21651" t="s">
        <v>309</v>
      </c>
      <c r="F21651" t="s">
        <v>310</v>
      </c>
      <c r="G21651">
        <v>14.4</v>
      </c>
      <c r="H21651">
        <v>250831</v>
      </c>
      <c r="I21651">
        <v>4369</v>
      </c>
      <c r="J21651" t="s">
        <v>188</v>
      </c>
      <c r="K21651">
        <v>23.9</v>
      </c>
      <c r="L21651">
        <v>2.93</v>
      </c>
      <c r="M21651">
        <v>53222</v>
      </c>
      <c r="N21651" t="s">
        <v>41</v>
      </c>
      <c r="O21651">
        <v>250909</v>
      </c>
      <c r="P21651">
        <v>11.47</v>
      </c>
    </row>
    <row r="21652" spans="1:16" x14ac:dyDescent="0.25">
      <c r="A21652" t="s">
        <v>3296</v>
      </c>
      <c r="B21652" t="s">
        <v>2931</v>
      </c>
      <c r="C21652">
        <v>11658</v>
      </c>
      <c r="D21652" t="str">
        <f>"12536021156 "</f>
        <v xml:space="preserve">12536021156 </v>
      </c>
      <c r="E21652" t="s">
        <v>309</v>
      </c>
      <c r="F21652" t="s">
        <v>310</v>
      </c>
      <c r="G21652">
        <v>3.39</v>
      </c>
      <c r="H21652">
        <v>250831</v>
      </c>
      <c r="I21652">
        <v>4369</v>
      </c>
      <c r="J21652" t="s">
        <v>188</v>
      </c>
      <c r="K21652">
        <v>23.9</v>
      </c>
      <c r="L21652">
        <v>0.69</v>
      </c>
      <c r="M21652">
        <v>54622</v>
      </c>
      <c r="N21652" t="s">
        <v>42</v>
      </c>
      <c r="O21652">
        <v>250909</v>
      </c>
      <c r="P21652">
        <v>2.7</v>
      </c>
    </row>
    <row r="21653" spans="1:16" x14ac:dyDescent="0.25">
      <c r="A21653" t="s">
        <v>3296</v>
      </c>
      <c r="B21653" t="s">
        <v>2931</v>
      </c>
      <c r="C21653">
        <v>11658</v>
      </c>
      <c r="D21653" t="str">
        <f>"12536021156 "</f>
        <v xml:space="preserve">12536021156 </v>
      </c>
      <c r="E21653" t="s">
        <v>309</v>
      </c>
      <c r="F21653" t="s">
        <v>310</v>
      </c>
      <c r="G21653">
        <v>3.57</v>
      </c>
      <c r="H21653">
        <v>250831</v>
      </c>
      <c r="I21653">
        <v>4369</v>
      </c>
      <c r="J21653" t="s">
        <v>188</v>
      </c>
      <c r="K21653">
        <v>23.9</v>
      </c>
      <c r="L21653">
        <v>0.73</v>
      </c>
      <c r="M21653">
        <v>55222</v>
      </c>
      <c r="N21653" t="s">
        <v>43</v>
      </c>
      <c r="O21653">
        <v>250909</v>
      </c>
      <c r="P21653">
        <v>2.84</v>
      </c>
    </row>
    <row r="21654" spans="1:16" x14ac:dyDescent="0.25">
      <c r="A21654" t="s">
        <v>3296</v>
      </c>
      <c r="B21654" t="s">
        <v>2931</v>
      </c>
      <c r="C21654">
        <v>11659</v>
      </c>
      <c r="D21654" t="str">
        <f>"12536021158 "</f>
        <v xml:space="preserve">12536021158 </v>
      </c>
      <c r="E21654" t="s">
        <v>309</v>
      </c>
      <c r="F21654" t="s">
        <v>310</v>
      </c>
      <c r="G21654">
        <v>6.81</v>
      </c>
      <c r="H21654">
        <v>250831</v>
      </c>
      <c r="I21654">
        <v>4369</v>
      </c>
      <c r="J21654" t="s">
        <v>188</v>
      </c>
      <c r="K21654">
        <v>6.81</v>
      </c>
      <c r="L21654">
        <v>1.38</v>
      </c>
      <c r="M21654">
        <v>46557</v>
      </c>
      <c r="N21654" t="s">
        <v>104</v>
      </c>
      <c r="O21654">
        <v>250909</v>
      </c>
      <c r="P21654">
        <v>5.43</v>
      </c>
    </row>
    <row r="21655" spans="1:16" x14ac:dyDescent="0.25">
      <c r="A21655" t="s">
        <v>3296</v>
      </c>
      <c r="B21655" t="s">
        <v>2931</v>
      </c>
      <c r="C21655">
        <v>11660</v>
      </c>
      <c r="D21655" t="str">
        <f t="shared" ref="D21655:D21660" si="453">"12536021139 "</f>
        <v xml:space="preserve">12536021139 </v>
      </c>
      <c r="E21655" t="s">
        <v>309</v>
      </c>
      <c r="F21655" t="s">
        <v>310</v>
      </c>
      <c r="G21655">
        <v>10.39</v>
      </c>
      <c r="H21655">
        <v>250831</v>
      </c>
      <c r="I21655">
        <v>4369</v>
      </c>
      <c r="J21655" t="s">
        <v>188</v>
      </c>
      <c r="K21655">
        <v>70.92</v>
      </c>
      <c r="L21655">
        <v>2.11</v>
      </c>
      <c r="M21655">
        <v>43222</v>
      </c>
      <c r="N21655" t="s">
        <v>95</v>
      </c>
      <c r="O21655">
        <v>250909</v>
      </c>
      <c r="P21655">
        <v>8.2799999999999994</v>
      </c>
    </row>
    <row r="21656" spans="1:16" x14ac:dyDescent="0.25">
      <c r="A21656" t="s">
        <v>3296</v>
      </c>
      <c r="B21656" t="s">
        <v>2931</v>
      </c>
      <c r="C21656">
        <v>11660</v>
      </c>
      <c r="D21656" t="str">
        <f t="shared" si="453"/>
        <v xml:space="preserve">12536021139 </v>
      </c>
      <c r="E21656" t="s">
        <v>309</v>
      </c>
      <c r="F21656" t="s">
        <v>310</v>
      </c>
      <c r="G21656">
        <v>3.39</v>
      </c>
      <c r="H21656">
        <v>250831</v>
      </c>
      <c r="I21656">
        <v>4369</v>
      </c>
      <c r="J21656" t="s">
        <v>188</v>
      </c>
      <c r="K21656">
        <v>70.92</v>
      </c>
      <c r="L21656">
        <v>0.69</v>
      </c>
      <c r="M21656">
        <v>44422</v>
      </c>
      <c r="N21656" t="s">
        <v>97</v>
      </c>
      <c r="O21656">
        <v>250909</v>
      </c>
      <c r="P21656">
        <v>2.7</v>
      </c>
    </row>
    <row r="21657" spans="1:16" x14ac:dyDescent="0.25">
      <c r="A21657" t="s">
        <v>3296</v>
      </c>
      <c r="B21657" t="s">
        <v>2931</v>
      </c>
      <c r="C21657">
        <v>11660</v>
      </c>
      <c r="D21657" t="str">
        <f t="shared" si="453"/>
        <v xml:space="preserve">12536021139 </v>
      </c>
      <c r="E21657" t="s">
        <v>309</v>
      </c>
      <c r="F21657" t="s">
        <v>310</v>
      </c>
      <c r="G21657">
        <v>6.77</v>
      </c>
      <c r="H21657">
        <v>250831</v>
      </c>
      <c r="I21657">
        <v>4369</v>
      </c>
      <c r="J21657" t="s">
        <v>188</v>
      </c>
      <c r="K21657">
        <v>70.92</v>
      </c>
      <c r="L21657">
        <v>1.38</v>
      </c>
      <c r="M21657">
        <v>44423</v>
      </c>
      <c r="N21657" t="s">
        <v>98</v>
      </c>
      <c r="O21657">
        <v>250909</v>
      </c>
      <c r="P21657">
        <v>5.39</v>
      </c>
    </row>
    <row r="21658" spans="1:16" x14ac:dyDescent="0.25">
      <c r="A21658" t="s">
        <v>3296</v>
      </c>
      <c r="B21658" t="s">
        <v>2931</v>
      </c>
      <c r="C21658">
        <v>11660</v>
      </c>
      <c r="D21658" t="str">
        <f t="shared" si="453"/>
        <v xml:space="preserve">12536021139 </v>
      </c>
      <c r="E21658" t="s">
        <v>309</v>
      </c>
      <c r="F21658" t="s">
        <v>310</v>
      </c>
      <c r="G21658">
        <v>3.39</v>
      </c>
      <c r="H21658">
        <v>250831</v>
      </c>
      <c r="I21658">
        <v>4369</v>
      </c>
      <c r="J21658" t="s">
        <v>188</v>
      </c>
      <c r="K21658">
        <v>70.92</v>
      </c>
      <c r="L21658">
        <v>0.69</v>
      </c>
      <c r="M21658">
        <v>44453</v>
      </c>
      <c r="N21658" t="s">
        <v>100</v>
      </c>
      <c r="O21658">
        <v>250909</v>
      </c>
      <c r="P21658">
        <v>2.7</v>
      </c>
    </row>
    <row r="21659" spans="1:16" x14ac:dyDescent="0.25">
      <c r="A21659" t="s">
        <v>3296</v>
      </c>
      <c r="B21659" t="s">
        <v>2931</v>
      </c>
      <c r="C21659">
        <v>11660</v>
      </c>
      <c r="D21659" t="str">
        <f t="shared" si="453"/>
        <v xml:space="preserve">12536021139 </v>
      </c>
      <c r="E21659" t="s">
        <v>309</v>
      </c>
      <c r="F21659" t="s">
        <v>310</v>
      </c>
      <c r="G21659">
        <v>3.39</v>
      </c>
      <c r="H21659">
        <v>250831</v>
      </c>
      <c r="I21659">
        <v>4369</v>
      </c>
      <c r="J21659" t="s">
        <v>188</v>
      </c>
      <c r="K21659">
        <v>70.92</v>
      </c>
      <c r="L21659">
        <v>0.69</v>
      </c>
      <c r="M21659">
        <v>48601</v>
      </c>
      <c r="N21659" t="s">
        <v>107</v>
      </c>
      <c r="O21659">
        <v>250909</v>
      </c>
      <c r="P21659">
        <v>2.7</v>
      </c>
    </row>
    <row r="21660" spans="1:16" x14ac:dyDescent="0.25">
      <c r="A21660" t="s">
        <v>3296</v>
      </c>
      <c r="B21660" t="s">
        <v>2931</v>
      </c>
      <c r="C21660">
        <v>11660</v>
      </c>
      <c r="D21660" t="str">
        <f t="shared" si="453"/>
        <v xml:space="preserve">12536021139 </v>
      </c>
      <c r="E21660" t="s">
        <v>309</v>
      </c>
      <c r="F21660" t="s">
        <v>310</v>
      </c>
      <c r="G21660">
        <v>43.59</v>
      </c>
      <c r="H21660">
        <v>250831</v>
      </c>
      <c r="I21660">
        <v>4369</v>
      </c>
      <c r="J21660" t="s">
        <v>188</v>
      </c>
      <c r="K21660">
        <v>70.92</v>
      </c>
      <c r="L21660">
        <v>8.86</v>
      </c>
      <c r="M21660">
        <v>49702</v>
      </c>
      <c r="N21660" t="s">
        <v>112</v>
      </c>
      <c r="O21660">
        <v>250909</v>
      </c>
      <c r="P21660">
        <v>34.729999999999997</v>
      </c>
    </row>
    <row r="21661" spans="1:16" x14ac:dyDescent="0.25">
      <c r="A21661" t="s">
        <v>3296</v>
      </c>
      <c r="B21661" t="s">
        <v>2931</v>
      </c>
      <c r="C21661">
        <v>11661</v>
      </c>
      <c r="D21661" t="str">
        <f>"12536021126 "</f>
        <v xml:space="preserve">12536021126 </v>
      </c>
      <c r="E21661" t="s">
        <v>309</v>
      </c>
      <c r="F21661" t="s">
        <v>310</v>
      </c>
      <c r="G21661">
        <v>3.39</v>
      </c>
      <c r="H21661">
        <v>250831</v>
      </c>
      <c r="I21661">
        <v>4369</v>
      </c>
      <c r="J21661" t="s">
        <v>188</v>
      </c>
      <c r="K21661">
        <v>30.32</v>
      </c>
      <c r="L21661">
        <v>0.69</v>
      </c>
      <c r="M21661">
        <v>56522</v>
      </c>
      <c r="N21661" t="s">
        <v>68</v>
      </c>
      <c r="O21661">
        <v>250909</v>
      </c>
      <c r="P21661">
        <v>2.7</v>
      </c>
    </row>
    <row r="21662" spans="1:16" x14ac:dyDescent="0.25">
      <c r="A21662" t="s">
        <v>3296</v>
      </c>
      <c r="B21662" t="s">
        <v>2931</v>
      </c>
      <c r="C21662">
        <v>11661</v>
      </c>
      <c r="D21662" t="str">
        <f>"12536021126 "</f>
        <v xml:space="preserve">12536021126 </v>
      </c>
      <c r="E21662" t="s">
        <v>309</v>
      </c>
      <c r="F21662" t="s">
        <v>310</v>
      </c>
      <c r="G21662">
        <v>13.17</v>
      </c>
      <c r="H21662">
        <v>250831</v>
      </c>
      <c r="I21662">
        <v>4369</v>
      </c>
      <c r="J21662" t="s">
        <v>188</v>
      </c>
      <c r="K21662">
        <v>30.32</v>
      </c>
      <c r="L21662">
        <v>2.68</v>
      </c>
      <c r="M21662">
        <v>56524</v>
      </c>
      <c r="N21662" t="s">
        <v>69</v>
      </c>
      <c r="O21662">
        <v>250909</v>
      </c>
      <c r="P21662">
        <v>10.49</v>
      </c>
    </row>
    <row r="21663" spans="1:16" x14ac:dyDescent="0.25">
      <c r="A21663" t="s">
        <v>3296</v>
      </c>
      <c r="B21663" t="s">
        <v>2931</v>
      </c>
      <c r="C21663">
        <v>11661</v>
      </c>
      <c r="D21663" t="str">
        <f>"12536021126 "</f>
        <v xml:space="preserve">12536021126 </v>
      </c>
      <c r="E21663" t="s">
        <v>309</v>
      </c>
      <c r="F21663" t="s">
        <v>310</v>
      </c>
      <c r="G21663">
        <v>13.76</v>
      </c>
      <c r="H21663">
        <v>250831</v>
      </c>
      <c r="I21663">
        <v>4369</v>
      </c>
      <c r="J21663" t="s">
        <v>188</v>
      </c>
      <c r="K21663">
        <v>30.32</v>
      </c>
      <c r="L21663">
        <v>2.8</v>
      </c>
      <c r="M21663">
        <v>56528</v>
      </c>
      <c r="N21663" t="s">
        <v>70</v>
      </c>
      <c r="O21663">
        <v>250909</v>
      </c>
      <c r="P21663">
        <v>10.96</v>
      </c>
    </row>
    <row r="21664" spans="1:16" x14ac:dyDescent="0.25">
      <c r="A21664" t="s">
        <v>3296</v>
      </c>
      <c r="B21664" t="s">
        <v>2931</v>
      </c>
      <c r="C21664">
        <v>11662</v>
      </c>
      <c r="D21664" t="str">
        <f t="shared" ref="D21664:D21673" si="454">"12536021150 "</f>
        <v xml:space="preserve">12536021150 </v>
      </c>
      <c r="E21664" t="s">
        <v>309</v>
      </c>
      <c r="F21664" t="s">
        <v>310</v>
      </c>
      <c r="G21664">
        <v>20.48</v>
      </c>
      <c r="H21664">
        <v>250831</v>
      </c>
      <c r="I21664">
        <v>4369</v>
      </c>
      <c r="J21664" t="s">
        <v>188</v>
      </c>
      <c r="K21664">
        <v>57.87</v>
      </c>
      <c r="L21664">
        <v>4.16</v>
      </c>
      <c r="M21664">
        <v>16121</v>
      </c>
      <c r="N21664" t="s">
        <v>127</v>
      </c>
      <c r="O21664">
        <v>250909</v>
      </c>
      <c r="P21664">
        <v>16.32</v>
      </c>
    </row>
    <row r="21665" spans="1:16" x14ac:dyDescent="0.25">
      <c r="A21665" t="s">
        <v>3296</v>
      </c>
      <c r="B21665" t="s">
        <v>2931</v>
      </c>
      <c r="C21665">
        <v>11662</v>
      </c>
      <c r="D21665" t="str">
        <f t="shared" si="454"/>
        <v xml:space="preserve">12536021150 </v>
      </c>
      <c r="E21665" t="s">
        <v>309</v>
      </c>
      <c r="F21665" t="s">
        <v>310</v>
      </c>
      <c r="G21665">
        <v>6.77</v>
      </c>
      <c r="H21665">
        <v>250831</v>
      </c>
      <c r="I21665">
        <v>4369</v>
      </c>
      <c r="J21665" t="s">
        <v>188</v>
      </c>
      <c r="K21665">
        <v>57.87</v>
      </c>
      <c r="L21665">
        <v>1.38</v>
      </c>
      <c r="M21665">
        <v>16322</v>
      </c>
      <c r="N21665" t="s">
        <v>331</v>
      </c>
      <c r="O21665">
        <v>250909</v>
      </c>
      <c r="P21665">
        <v>5.39</v>
      </c>
    </row>
    <row r="21666" spans="1:16" x14ac:dyDescent="0.25">
      <c r="A21666" t="s">
        <v>3296</v>
      </c>
      <c r="B21666" t="s">
        <v>2931</v>
      </c>
      <c r="C21666">
        <v>11662</v>
      </c>
      <c r="D21666" t="str">
        <f t="shared" si="454"/>
        <v xml:space="preserve">12536021150 </v>
      </c>
      <c r="E21666" t="s">
        <v>309</v>
      </c>
      <c r="F21666" t="s">
        <v>310</v>
      </c>
      <c r="G21666">
        <v>3.38</v>
      </c>
      <c r="H21666">
        <v>250831</v>
      </c>
      <c r="I21666">
        <v>4369</v>
      </c>
      <c r="J21666" t="s">
        <v>188</v>
      </c>
      <c r="K21666">
        <v>57.87</v>
      </c>
      <c r="L21666">
        <v>0.69</v>
      </c>
      <c r="M21666">
        <v>16820</v>
      </c>
      <c r="N21666" t="s">
        <v>128</v>
      </c>
      <c r="O21666">
        <v>250909</v>
      </c>
      <c r="P21666">
        <v>2.69</v>
      </c>
    </row>
    <row r="21667" spans="1:16" x14ac:dyDescent="0.25">
      <c r="A21667" t="s">
        <v>3296</v>
      </c>
      <c r="B21667" t="s">
        <v>2931</v>
      </c>
      <c r="C21667">
        <v>11662</v>
      </c>
      <c r="D21667" t="str">
        <f t="shared" si="454"/>
        <v xml:space="preserve">12536021150 </v>
      </c>
      <c r="E21667" t="s">
        <v>309</v>
      </c>
      <c r="F21667" t="s">
        <v>310</v>
      </c>
      <c r="G21667">
        <v>6.77</v>
      </c>
      <c r="H21667">
        <v>250831</v>
      </c>
      <c r="I21667">
        <v>4369</v>
      </c>
      <c r="J21667" t="s">
        <v>188</v>
      </c>
      <c r="K21667">
        <v>57.87</v>
      </c>
      <c r="L21667">
        <v>1.38</v>
      </c>
      <c r="M21667">
        <v>16820</v>
      </c>
      <c r="N21667" t="s">
        <v>128</v>
      </c>
      <c r="O21667">
        <v>250909</v>
      </c>
      <c r="P21667">
        <v>5.39</v>
      </c>
    </row>
    <row r="21668" spans="1:16" x14ac:dyDescent="0.25">
      <c r="A21668" t="s">
        <v>3296</v>
      </c>
      <c r="B21668" t="s">
        <v>2931</v>
      </c>
      <c r="C21668">
        <v>11662</v>
      </c>
      <c r="D21668" t="str">
        <f t="shared" si="454"/>
        <v xml:space="preserve">12536021150 </v>
      </c>
      <c r="E21668" t="s">
        <v>309</v>
      </c>
      <c r="F21668" t="s">
        <v>310</v>
      </c>
      <c r="G21668">
        <v>3.38</v>
      </c>
      <c r="H21668">
        <v>250831</v>
      </c>
      <c r="I21668">
        <v>4369</v>
      </c>
      <c r="J21668" t="s">
        <v>188</v>
      </c>
      <c r="K21668">
        <v>57.87</v>
      </c>
      <c r="L21668">
        <v>0.69</v>
      </c>
      <c r="M21668">
        <v>17862</v>
      </c>
      <c r="N21668" t="s">
        <v>130</v>
      </c>
      <c r="O21668">
        <v>250909</v>
      </c>
      <c r="P21668">
        <v>2.69</v>
      </c>
    </row>
    <row r="21669" spans="1:16" x14ac:dyDescent="0.25">
      <c r="A21669" t="s">
        <v>3296</v>
      </c>
      <c r="B21669" t="s">
        <v>2931</v>
      </c>
      <c r="C21669">
        <v>11662</v>
      </c>
      <c r="D21669" t="str">
        <f t="shared" si="454"/>
        <v xml:space="preserve">12536021150 </v>
      </c>
      <c r="E21669" t="s">
        <v>309</v>
      </c>
      <c r="F21669" t="s">
        <v>310</v>
      </c>
      <c r="G21669">
        <v>3.38</v>
      </c>
      <c r="H21669">
        <v>250831</v>
      </c>
      <c r="I21669">
        <v>4369</v>
      </c>
      <c r="J21669" t="s">
        <v>188</v>
      </c>
      <c r="K21669">
        <v>57.87</v>
      </c>
      <c r="L21669">
        <v>0.69</v>
      </c>
      <c r="M21669">
        <v>17950</v>
      </c>
      <c r="N21669" t="s">
        <v>132</v>
      </c>
      <c r="O21669">
        <v>250909</v>
      </c>
      <c r="P21669">
        <v>2.69</v>
      </c>
    </row>
    <row r="21670" spans="1:16" x14ac:dyDescent="0.25">
      <c r="A21670" t="s">
        <v>3296</v>
      </c>
      <c r="B21670" t="s">
        <v>2931</v>
      </c>
      <c r="C21670">
        <v>11662</v>
      </c>
      <c r="D21670" t="str">
        <f t="shared" si="454"/>
        <v xml:space="preserve">12536021150 </v>
      </c>
      <c r="E21670" t="s">
        <v>309</v>
      </c>
      <c r="F21670" t="s">
        <v>310</v>
      </c>
      <c r="G21670">
        <v>3.6</v>
      </c>
      <c r="H21670">
        <v>250831</v>
      </c>
      <c r="I21670">
        <v>4369</v>
      </c>
      <c r="J21670" t="s">
        <v>188</v>
      </c>
      <c r="K21670">
        <v>57.87</v>
      </c>
      <c r="L21670">
        <v>0.73</v>
      </c>
      <c r="M21670">
        <v>17971</v>
      </c>
      <c r="N21670" t="s">
        <v>27</v>
      </c>
      <c r="O21670">
        <v>250909</v>
      </c>
      <c r="P21670">
        <v>2.87</v>
      </c>
    </row>
    <row r="21671" spans="1:16" x14ac:dyDescent="0.25">
      <c r="A21671" t="s">
        <v>3296</v>
      </c>
      <c r="B21671" t="s">
        <v>2931</v>
      </c>
      <c r="C21671">
        <v>11662</v>
      </c>
      <c r="D21671" t="str">
        <f t="shared" si="454"/>
        <v xml:space="preserve">12536021150 </v>
      </c>
      <c r="E21671" t="s">
        <v>309</v>
      </c>
      <c r="F21671" t="s">
        <v>310</v>
      </c>
      <c r="G21671">
        <v>3.38</v>
      </c>
      <c r="H21671">
        <v>250831</v>
      </c>
      <c r="I21671">
        <v>4369</v>
      </c>
      <c r="J21671" t="s">
        <v>188</v>
      </c>
      <c r="K21671">
        <v>57.87</v>
      </c>
      <c r="L21671">
        <v>0.69</v>
      </c>
      <c r="M21671">
        <v>17972</v>
      </c>
      <c r="N21671" t="s">
        <v>28</v>
      </c>
      <c r="O21671">
        <v>250909</v>
      </c>
      <c r="P21671">
        <v>2.69</v>
      </c>
    </row>
    <row r="21672" spans="1:16" x14ac:dyDescent="0.25">
      <c r="A21672" t="s">
        <v>3296</v>
      </c>
      <c r="B21672" t="s">
        <v>2931</v>
      </c>
      <c r="C21672">
        <v>11662</v>
      </c>
      <c r="D21672" t="str">
        <f t="shared" si="454"/>
        <v xml:space="preserve">12536021150 </v>
      </c>
      <c r="E21672" t="s">
        <v>309</v>
      </c>
      <c r="F21672" t="s">
        <v>310</v>
      </c>
      <c r="G21672">
        <v>3.2</v>
      </c>
      <c r="H21672">
        <v>250831</v>
      </c>
      <c r="I21672">
        <v>4369</v>
      </c>
      <c r="J21672" t="s">
        <v>188</v>
      </c>
      <c r="K21672">
        <v>57.87</v>
      </c>
      <c r="L21672">
        <v>0.65</v>
      </c>
      <c r="M21672">
        <v>17974</v>
      </c>
      <c r="N21672" t="s">
        <v>153</v>
      </c>
      <c r="O21672">
        <v>250909</v>
      </c>
      <c r="P21672">
        <v>2.5499999999999998</v>
      </c>
    </row>
    <row r="21673" spans="1:16" x14ac:dyDescent="0.25">
      <c r="A21673" t="s">
        <v>3296</v>
      </c>
      <c r="B21673" t="s">
        <v>2931</v>
      </c>
      <c r="C21673">
        <v>11662</v>
      </c>
      <c r="D21673" t="str">
        <f t="shared" si="454"/>
        <v xml:space="preserve">12536021150 </v>
      </c>
      <c r="E21673" t="s">
        <v>309</v>
      </c>
      <c r="F21673" t="s">
        <v>310</v>
      </c>
      <c r="G21673">
        <v>3.53</v>
      </c>
      <c r="H21673">
        <v>250831</v>
      </c>
      <c r="I21673">
        <v>4369</v>
      </c>
      <c r="J21673" t="s">
        <v>188</v>
      </c>
      <c r="K21673">
        <v>57.87</v>
      </c>
      <c r="L21673">
        <v>0.72</v>
      </c>
      <c r="M21673">
        <v>17974</v>
      </c>
      <c r="N21673" t="s">
        <v>153</v>
      </c>
      <c r="O21673">
        <v>250909</v>
      </c>
      <c r="P21673">
        <v>2.81</v>
      </c>
    </row>
    <row r="21674" spans="1:16" x14ac:dyDescent="0.25">
      <c r="A21674" t="s">
        <v>3296</v>
      </c>
      <c r="B21674" t="s">
        <v>2931</v>
      </c>
      <c r="C21674">
        <v>11663</v>
      </c>
      <c r="D21674" t="str">
        <f>"12536021137 "</f>
        <v xml:space="preserve">12536021137 </v>
      </c>
      <c r="E21674" t="s">
        <v>309</v>
      </c>
      <c r="F21674" t="s">
        <v>310</v>
      </c>
      <c r="G21674">
        <v>17.71</v>
      </c>
      <c r="H21674">
        <v>250831</v>
      </c>
      <c r="I21674">
        <v>4369</v>
      </c>
      <c r="J21674" t="s">
        <v>188</v>
      </c>
      <c r="K21674">
        <v>31.48</v>
      </c>
      <c r="L21674">
        <v>3.6</v>
      </c>
      <c r="M21674">
        <v>46554</v>
      </c>
      <c r="N21674" t="s">
        <v>102</v>
      </c>
      <c r="O21674">
        <v>250909</v>
      </c>
      <c r="P21674">
        <v>14.11</v>
      </c>
    </row>
    <row r="21675" spans="1:16" x14ac:dyDescent="0.25">
      <c r="A21675" t="s">
        <v>3296</v>
      </c>
      <c r="B21675" t="s">
        <v>2931</v>
      </c>
      <c r="C21675">
        <v>11663</v>
      </c>
      <c r="D21675" t="str">
        <f>"12536021137 "</f>
        <v xml:space="preserve">12536021137 </v>
      </c>
      <c r="E21675" t="s">
        <v>309</v>
      </c>
      <c r="F21675" t="s">
        <v>310</v>
      </c>
      <c r="G21675">
        <v>13.77</v>
      </c>
      <c r="H21675">
        <v>250831</v>
      </c>
      <c r="I21675">
        <v>4369</v>
      </c>
      <c r="J21675" t="s">
        <v>188</v>
      </c>
      <c r="K21675">
        <v>31.48</v>
      </c>
      <c r="L21675">
        <v>2.8</v>
      </c>
      <c r="M21675">
        <v>46554</v>
      </c>
      <c r="N21675" t="s">
        <v>102</v>
      </c>
      <c r="O21675">
        <v>250909</v>
      </c>
      <c r="P21675">
        <v>10.97</v>
      </c>
    </row>
    <row r="21676" spans="1:16" x14ac:dyDescent="0.25">
      <c r="A21676" t="s">
        <v>3296</v>
      </c>
      <c r="B21676" t="s">
        <v>2931</v>
      </c>
      <c r="C21676">
        <v>11664</v>
      </c>
      <c r="D21676" t="str">
        <f t="shared" ref="D21676:D21692" si="455">"12536021125 "</f>
        <v xml:space="preserve">12536021125 </v>
      </c>
      <c r="E21676" t="s">
        <v>309</v>
      </c>
      <c r="F21676" t="s">
        <v>310</v>
      </c>
      <c r="G21676">
        <v>4.38</v>
      </c>
      <c r="H21676">
        <v>250831</v>
      </c>
      <c r="I21676">
        <v>4369</v>
      </c>
      <c r="J21676" t="s">
        <v>188</v>
      </c>
      <c r="K21676">
        <v>257.85000000000002</v>
      </c>
      <c r="L21676">
        <v>0.89</v>
      </c>
      <c r="M21676">
        <v>54422</v>
      </c>
      <c r="N21676" t="s">
        <v>49</v>
      </c>
      <c r="O21676">
        <v>250909</v>
      </c>
      <c r="P21676">
        <v>3.49</v>
      </c>
    </row>
    <row r="21677" spans="1:16" x14ac:dyDescent="0.25">
      <c r="A21677" t="s">
        <v>3296</v>
      </c>
      <c r="B21677" t="s">
        <v>2931</v>
      </c>
      <c r="C21677">
        <v>11664</v>
      </c>
      <c r="D21677" t="str">
        <f t="shared" si="455"/>
        <v xml:space="preserve">12536021125 </v>
      </c>
      <c r="E21677" t="s">
        <v>309</v>
      </c>
      <c r="F21677" t="s">
        <v>310</v>
      </c>
      <c r="G21677">
        <v>3.39</v>
      </c>
      <c r="H21677">
        <v>250831</v>
      </c>
      <c r="I21677">
        <v>4369</v>
      </c>
      <c r="J21677" t="s">
        <v>188</v>
      </c>
      <c r="K21677">
        <v>257.85000000000002</v>
      </c>
      <c r="L21677">
        <v>0.69</v>
      </c>
      <c r="M21677">
        <v>54451</v>
      </c>
      <c r="N21677" t="s">
        <v>218</v>
      </c>
      <c r="O21677">
        <v>250909</v>
      </c>
      <c r="P21677">
        <v>2.7</v>
      </c>
    </row>
    <row r="21678" spans="1:16" x14ac:dyDescent="0.25">
      <c r="A21678" t="s">
        <v>3296</v>
      </c>
      <c r="B21678" t="s">
        <v>2931</v>
      </c>
      <c r="C21678">
        <v>11664</v>
      </c>
      <c r="D21678" t="str">
        <f t="shared" si="455"/>
        <v xml:space="preserve">12536021125 </v>
      </c>
      <c r="E21678" t="s">
        <v>309</v>
      </c>
      <c r="F21678" t="s">
        <v>310</v>
      </c>
      <c r="G21678">
        <v>3.39</v>
      </c>
      <c r="H21678">
        <v>250831</v>
      </c>
      <c r="I21678">
        <v>4369</v>
      </c>
      <c r="J21678" t="s">
        <v>188</v>
      </c>
      <c r="K21678">
        <v>257.85000000000002</v>
      </c>
      <c r="L21678">
        <v>0.69</v>
      </c>
      <c r="M21678">
        <v>56566</v>
      </c>
      <c r="N21678" t="s">
        <v>58</v>
      </c>
      <c r="O21678">
        <v>250909</v>
      </c>
      <c r="P21678">
        <v>2.7</v>
      </c>
    </row>
    <row r="21679" spans="1:16" x14ac:dyDescent="0.25">
      <c r="A21679" t="s">
        <v>3296</v>
      </c>
      <c r="B21679" t="s">
        <v>2931</v>
      </c>
      <c r="C21679">
        <v>11664</v>
      </c>
      <c r="D21679" t="str">
        <f t="shared" si="455"/>
        <v xml:space="preserve">12536021125 </v>
      </c>
      <c r="E21679" t="s">
        <v>309</v>
      </c>
      <c r="F21679" t="s">
        <v>310</v>
      </c>
      <c r="G21679">
        <v>22.99</v>
      </c>
      <c r="H21679">
        <v>250831</v>
      </c>
      <c r="I21679">
        <v>4369</v>
      </c>
      <c r="J21679" t="s">
        <v>188</v>
      </c>
      <c r="K21679">
        <v>257.85000000000002</v>
      </c>
      <c r="L21679">
        <v>4.67</v>
      </c>
      <c r="M21679">
        <v>59111</v>
      </c>
      <c r="N21679" t="s">
        <v>60</v>
      </c>
      <c r="O21679">
        <v>250909</v>
      </c>
      <c r="P21679">
        <v>18.32</v>
      </c>
    </row>
    <row r="21680" spans="1:16" x14ac:dyDescent="0.25">
      <c r="A21680" t="s">
        <v>3296</v>
      </c>
      <c r="B21680" t="s">
        <v>2931</v>
      </c>
      <c r="C21680">
        <v>11664</v>
      </c>
      <c r="D21680" t="str">
        <f t="shared" si="455"/>
        <v xml:space="preserve">12536021125 </v>
      </c>
      <c r="E21680" t="s">
        <v>309</v>
      </c>
      <c r="F21680" t="s">
        <v>310</v>
      </c>
      <c r="G21680">
        <v>10.44</v>
      </c>
      <c r="H21680">
        <v>250831</v>
      </c>
      <c r="I21680">
        <v>4369</v>
      </c>
      <c r="J21680" t="s">
        <v>188</v>
      </c>
      <c r="K21680">
        <v>257.85000000000002</v>
      </c>
      <c r="L21680">
        <v>2.12</v>
      </c>
      <c r="M21680">
        <v>59113</v>
      </c>
      <c r="N21680" t="s">
        <v>61</v>
      </c>
      <c r="O21680">
        <v>250909</v>
      </c>
      <c r="P21680">
        <v>8.32</v>
      </c>
    </row>
    <row r="21681" spans="1:16" x14ac:dyDescent="0.25">
      <c r="A21681" t="s">
        <v>3296</v>
      </c>
      <c r="B21681" t="s">
        <v>2931</v>
      </c>
      <c r="C21681">
        <v>11664</v>
      </c>
      <c r="D21681" t="str">
        <f t="shared" si="455"/>
        <v xml:space="preserve">12536021125 </v>
      </c>
      <c r="E21681" t="s">
        <v>309</v>
      </c>
      <c r="F21681" t="s">
        <v>310</v>
      </c>
      <c r="G21681">
        <v>3.39</v>
      </c>
      <c r="H21681">
        <v>250831</v>
      </c>
      <c r="I21681">
        <v>4369</v>
      </c>
      <c r="J21681" t="s">
        <v>188</v>
      </c>
      <c r="K21681">
        <v>257.85000000000002</v>
      </c>
      <c r="L21681">
        <v>0.69</v>
      </c>
      <c r="M21681">
        <v>59114</v>
      </c>
      <c r="N21681" t="s">
        <v>299</v>
      </c>
      <c r="O21681">
        <v>250909</v>
      </c>
      <c r="P21681">
        <v>2.7</v>
      </c>
    </row>
    <row r="21682" spans="1:16" x14ac:dyDescent="0.25">
      <c r="A21682" t="s">
        <v>3296</v>
      </c>
      <c r="B21682" t="s">
        <v>2931</v>
      </c>
      <c r="C21682">
        <v>11664</v>
      </c>
      <c r="D21682" t="str">
        <f t="shared" si="455"/>
        <v xml:space="preserve">12536021125 </v>
      </c>
      <c r="E21682" t="s">
        <v>309</v>
      </c>
      <c r="F21682" t="s">
        <v>310</v>
      </c>
      <c r="G21682">
        <v>69.66</v>
      </c>
      <c r="H21682">
        <v>250831</v>
      </c>
      <c r="I21682">
        <v>4369</v>
      </c>
      <c r="J21682" t="s">
        <v>188</v>
      </c>
      <c r="K21682">
        <v>257.85000000000002</v>
      </c>
      <c r="L21682">
        <v>14.15</v>
      </c>
      <c r="M21682">
        <v>59501</v>
      </c>
      <c r="N21682" t="s">
        <v>62</v>
      </c>
      <c r="O21682">
        <v>250909</v>
      </c>
      <c r="P21682">
        <v>55.51</v>
      </c>
    </row>
    <row r="21683" spans="1:16" x14ac:dyDescent="0.25">
      <c r="A21683" t="s">
        <v>3296</v>
      </c>
      <c r="B21683" t="s">
        <v>2931</v>
      </c>
      <c r="C21683">
        <v>11664</v>
      </c>
      <c r="D21683" t="str">
        <f t="shared" si="455"/>
        <v xml:space="preserve">12536021125 </v>
      </c>
      <c r="E21683" t="s">
        <v>309</v>
      </c>
      <c r="F21683" t="s">
        <v>310</v>
      </c>
      <c r="G21683">
        <v>39.28</v>
      </c>
      <c r="H21683">
        <v>250831</v>
      </c>
      <c r="I21683">
        <v>4369</v>
      </c>
      <c r="J21683" t="s">
        <v>188</v>
      </c>
      <c r="K21683">
        <v>257.85000000000002</v>
      </c>
      <c r="L21683">
        <v>7.98</v>
      </c>
      <c r="M21683">
        <v>59502</v>
      </c>
      <c r="N21683" t="s">
        <v>63</v>
      </c>
      <c r="O21683">
        <v>250909</v>
      </c>
      <c r="P21683">
        <v>31.3</v>
      </c>
    </row>
    <row r="21684" spans="1:16" x14ac:dyDescent="0.25">
      <c r="A21684" t="s">
        <v>3296</v>
      </c>
      <c r="B21684" t="s">
        <v>2931</v>
      </c>
      <c r="C21684">
        <v>11664</v>
      </c>
      <c r="D21684" t="str">
        <f t="shared" si="455"/>
        <v xml:space="preserve">12536021125 </v>
      </c>
      <c r="E21684" t="s">
        <v>309</v>
      </c>
      <c r="F21684" t="s">
        <v>310</v>
      </c>
      <c r="G21684">
        <v>10.48</v>
      </c>
      <c r="H21684">
        <v>250831</v>
      </c>
      <c r="I21684">
        <v>4369</v>
      </c>
      <c r="J21684" t="s">
        <v>188</v>
      </c>
      <c r="K21684">
        <v>257.85000000000002</v>
      </c>
      <c r="L21684">
        <v>2.13</v>
      </c>
      <c r="M21684">
        <v>59504</v>
      </c>
      <c r="N21684" t="s">
        <v>193</v>
      </c>
      <c r="O21684">
        <v>250909</v>
      </c>
      <c r="P21684">
        <v>8.35</v>
      </c>
    </row>
    <row r="21685" spans="1:16" x14ac:dyDescent="0.25">
      <c r="A21685" t="s">
        <v>3296</v>
      </c>
      <c r="B21685" t="s">
        <v>2931</v>
      </c>
      <c r="C21685">
        <v>11664</v>
      </c>
      <c r="D21685" t="str">
        <f t="shared" si="455"/>
        <v xml:space="preserve">12536021125 </v>
      </c>
      <c r="E21685" t="s">
        <v>309</v>
      </c>
      <c r="F21685" t="s">
        <v>310</v>
      </c>
      <c r="G21685">
        <v>6.78</v>
      </c>
      <c r="H21685">
        <v>250831</v>
      </c>
      <c r="I21685">
        <v>4369</v>
      </c>
      <c r="J21685" t="s">
        <v>188</v>
      </c>
      <c r="K21685">
        <v>257.85000000000002</v>
      </c>
      <c r="L21685">
        <v>1.38</v>
      </c>
      <c r="M21685">
        <v>59505</v>
      </c>
      <c r="N21685" t="s">
        <v>194</v>
      </c>
      <c r="O21685">
        <v>250909</v>
      </c>
      <c r="P21685">
        <v>5.4</v>
      </c>
    </row>
    <row r="21686" spans="1:16" x14ac:dyDescent="0.25">
      <c r="A21686" t="s">
        <v>3296</v>
      </c>
      <c r="B21686" t="s">
        <v>2931</v>
      </c>
      <c r="C21686">
        <v>11664</v>
      </c>
      <c r="D21686" t="str">
        <f t="shared" si="455"/>
        <v xml:space="preserve">12536021125 </v>
      </c>
      <c r="E21686" t="s">
        <v>309</v>
      </c>
      <c r="F21686" t="s">
        <v>310</v>
      </c>
      <c r="G21686">
        <v>13.88</v>
      </c>
      <c r="H21686">
        <v>250831</v>
      </c>
      <c r="I21686">
        <v>4369</v>
      </c>
      <c r="J21686" t="s">
        <v>188</v>
      </c>
      <c r="K21686">
        <v>257.85000000000002</v>
      </c>
      <c r="L21686">
        <v>2.82</v>
      </c>
      <c r="M21686">
        <v>59701</v>
      </c>
      <c r="N21686" t="s">
        <v>64</v>
      </c>
      <c r="O21686">
        <v>250909</v>
      </c>
      <c r="P21686">
        <v>11.06</v>
      </c>
    </row>
    <row r="21687" spans="1:16" x14ac:dyDescent="0.25">
      <c r="A21687" t="s">
        <v>3296</v>
      </c>
      <c r="B21687" t="s">
        <v>2931</v>
      </c>
      <c r="C21687">
        <v>11664</v>
      </c>
      <c r="D21687" t="str">
        <f t="shared" si="455"/>
        <v xml:space="preserve">12536021125 </v>
      </c>
      <c r="E21687" t="s">
        <v>309</v>
      </c>
      <c r="F21687" t="s">
        <v>310</v>
      </c>
      <c r="G21687">
        <v>7.69</v>
      </c>
      <c r="H21687">
        <v>250831</v>
      </c>
      <c r="I21687">
        <v>4369</v>
      </c>
      <c r="J21687" t="s">
        <v>188</v>
      </c>
      <c r="K21687">
        <v>257.85000000000002</v>
      </c>
      <c r="L21687">
        <v>1.56</v>
      </c>
      <c r="M21687">
        <v>59702</v>
      </c>
      <c r="N21687" t="s">
        <v>45</v>
      </c>
      <c r="O21687">
        <v>250909</v>
      </c>
      <c r="P21687">
        <v>6.13</v>
      </c>
    </row>
    <row r="21688" spans="1:16" x14ac:dyDescent="0.25">
      <c r="A21688" t="s">
        <v>3296</v>
      </c>
      <c r="B21688" t="s">
        <v>2931</v>
      </c>
      <c r="C21688">
        <v>11664</v>
      </c>
      <c r="D21688" t="str">
        <f t="shared" si="455"/>
        <v xml:space="preserve">12536021125 </v>
      </c>
      <c r="E21688" t="s">
        <v>309</v>
      </c>
      <c r="F21688" t="s">
        <v>310</v>
      </c>
      <c r="G21688">
        <v>6.59</v>
      </c>
      <c r="H21688">
        <v>250831</v>
      </c>
      <c r="I21688">
        <v>4369</v>
      </c>
      <c r="J21688" t="s">
        <v>188</v>
      </c>
      <c r="K21688">
        <v>257.85000000000002</v>
      </c>
      <c r="L21688">
        <v>1.34</v>
      </c>
      <c r="M21688">
        <v>59704</v>
      </c>
      <c r="N21688" t="s">
        <v>46</v>
      </c>
      <c r="O21688">
        <v>250909</v>
      </c>
      <c r="P21688">
        <v>5.25</v>
      </c>
    </row>
    <row r="21689" spans="1:16" x14ac:dyDescent="0.25">
      <c r="A21689" t="s">
        <v>3296</v>
      </c>
      <c r="B21689" t="s">
        <v>2931</v>
      </c>
      <c r="C21689">
        <v>11664</v>
      </c>
      <c r="D21689" t="str">
        <f t="shared" si="455"/>
        <v xml:space="preserve">12536021125 </v>
      </c>
      <c r="E21689" t="s">
        <v>309</v>
      </c>
      <c r="F21689" t="s">
        <v>310</v>
      </c>
      <c r="G21689">
        <v>3.71</v>
      </c>
      <c r="H21689">
        <v>250831</v>
      </c>
      <c r="I21689">
        <v>4369</v>
      </c>
      <c r="J21689" t="s">
        <v>188</v>
      </c>
      <c r="K21689">
        <v>257.85000000000002</v>
      </c>
      <c r="L21689">
        <v>0.75</v>
      </c>
      <c r="M21689">
        <v>59705</v>
      </c>
      <c r="N21689" t="s">
        <v>47</v>
      </c>
      <c r="O21689">
        <v>250909</v>
      </c>
      <c r="P21689">
        <v>2.96</v>
      </c>
    </row>
    <row r="21690" spans="1:16" x14ac:dyDescent="0.25">
      <c r="A21690" t="s">
        <v>3296</v>
      </c>
      <c r="B21690" t="s">
        <v>2931</v>
      </c>
      <c r="C21690">
        <v>11664</v>
      </c>
      <c r="D21690" t="str">
        <f t="shared" si="455"/>
        <v xml:space="preserve">12536021125 </v>
      </c>
      <c r="E21690" t="s">
        <v>309</v>
      </c>
      <c r="F21690" t="s">
        <v>310</v>
      </c>
      <c r="G21690">
        <v>19.95</v>
      </c>
      <c r="H21690">
        <v>250831</v>
      </c>
      <c r="I21690">
        <v>4369</v>
      </c>
      <c r="J21690" t="s">
        <v>188</v>
      </c>
      <c r="K21690">
        <v>257.85000000000002</v>
      </c>
      <c r="L21690">
        <v>4.05</v>
      </c>
      <c r="M21690">
        <v>59802</v>
      </c>
      <c r="N21690" t="s">
        <v>195</v>
      </c>
      <c r="O21690">
        <v>250909</v>
      </c>
      <c r="P21690">
        <v>15.9</v>
      </c>
    </row>
    <row r="21691" spans="1:16" x14ac:dyDescent="0.25">
      <c r="A21691" t="s">
        <v>3296</v>
      </c>
      <c r="B21691" t="s">
        <v>2931</v>
      </c>
      <c r="C21691">
        <v>11664</v>
      </c>
      <c r="D21691" t="str">
        <f t="shared" si="455"/>
        <v xml:space="preserve">12536021125 </v>
      </c>
      <c r="E21691" t="s">
        <v>309</v>
      </c>
      <c r="F21691" t="s">
        <v>310</v>
      </c>
      <c r="G21691">
        <v>17.93</v>
      </c>
      <c r="H21691">
        <v>250831</v>
      </c>
      <c r="I21691">
        <v>4369</v>
      </c>
      <c r="J21691" t="s">
        <v>188</v>
      </c>
      <c r="K21691">
        <v>257.85000000000002</v>
      </c>
      <c r="L21691">
        <v>3.64</v>
      </c>
      <c r="M21691">
        <v>59812</v>
      </c>
      <c r="N21691" t="s">
        <v>196</v>
      </c>
      <c r="O21691">
        <v>250909</v>
      </c>
      <c r="P21691">
        <v>14.29</v>
      </c>
    </row>
    <row r="21692" spans="1:16" x14ac:dyDescent="0.25">
      <c r="A21692" t="s">
        <v>3296</v>
      </c>
      <c r="B21692" t="s">
        <v>2931</v>
      </c>
      <c r="C21692">
        <v>11664</v>
      </c>
      <c r="D21692" t="str">
        <f t="shared" si="455"/>
        <v xml:space="preserve">12536021125 </v>
      </c>
      <c r="E21692" t="s">
        <v>309</v>
      </c>
      <c r="F21692" t="s">
        <v>310</v>
      </c>
      <c r="G21692">
        <v>13.92</v>
      </c>
      <c r="H21692">
        <v>250831</v>
      </c>
      <c r="I21692">
        <v>4369</v>
      </c>
      <c r="J21692" t="s">
        <v>188</v>
      </c>
      <c r="K21692">
        <v>257.85000000000002</v>
      </c>
      <c r="L21692">
        <v>2.83</v>
      </c>
      <c r="M21692">
        <v>59815</v>
      </c>
      <c r="N21692" t="s">
        <v>1001</v>
      </c>
      <c r="O21692">
        <v>250909</v>
      </c>
      <c r="P21692">
        <v>11.09</v>
      </c>
    </row>
    <row r="21693" spans="1:16" x14ac:dyDescent="0.25">
      <c r="A21693" t="s">
        <v>3296</v>
      </c>
      <c r="B21693" t="s">
        <v>2931</v>
      </c>
      <c r="C21693">
        <v>11665</v>
      </c>
      <c r="D21693" t="str">
        <f>"12536021157 "</f>
        <v xml:space="preserve">12536021157 </v>
      </c>
      <c r="E21693" t="s">
        <v>309</v>
      </c>
      <c r="F21693" t="s">
        <v>310</v>
      </c>
      <c r="G21693">
        <v>6.59</v>
      </c>
      <c r="H21693">
        <v>250831</v>
      </c>
      <c r="I21693">
        <v>4369</v>
      </c>
      <c r="J21693" t="s">
        <v>188</v>
      </c>
      <c r="K21693">
        <v>27.01</v>
      </c>
      <c r="L21693">
        <v>1.34</v>
      </c>
      <c r="M21693">
        <v>11101</v>
      </c>
      <c r="N21693" t="s">
        <v>67</v>
      </c>
      <c r="O21693">
        <v>250909</v>
      </c>
      <c r="P21693">
        <v>5.25</v>
      </c>
    </row>
    <row r="21694" spans="1:16" x14ac:dyDescent="0.25">
      <c r="A21694" t="s">
        <v>3296</v>
      </c>
      <c r="B21694" t="s">
        <v>2931</v>
      </c>
      <c r="C21694">
        <v>11665</v>
      </c>
      <c r="D21694" t="str">
        <f>"12536021157 "</f>
        <v xml:space="preserve">12536021157 </v>
      </c>
      <c r="E21694" t="s">
        <v>309</v>
      </c>
      <c r="F21694" t="s">
        <v>310</v>
      </c>
      <c r="G21694">
        <v>17.03</v>
      </c>
      <c r="H21694">
        <v>250831</v>
      </c>
      <c r="I21694">
        <v>4369</v>
      </c>
      <c r="J21694" t="s">
        <v>188</v>
      </c>
      <c r="K21694">
        <v>27.01</v>
      </c>
      <c r="L21694">
        <v>3.46</v>
      </c>
      <c r="M21694">
        <v>11101</v>
      </c>
      <c r="N21694" t="s">
        <v>67</v>
      </c>
      <c r="O21694">
        <v>250909</v>
      </c>
      <c r="P21694">
        <v>13.57</v>
      </c>
    </row>
    <row r="21695" spans="1:16" x14ac:dyDescent="0.25">
      <c r="A21695" t="s">
        <v>3296</v>
      </c>
      <c r="B21695" t="s">
        <v>2931</v>
      </c>
      <c r="C21695">
        <v>11665</v>
      </c>
      <c r="D21695" t="str">
        <f>"12536021157 "</f>
        <v xml:space="preserve">12536021157 </v>
      </c>
      <c r="E21695" t="s">
        <v>309</v>
      </c>
      <c r="F21695" t="s">
        <v>310</v>
      </c>
      <c r="G21695">
        <v>3.39</v>
      </c>
      <c r="H21695">
        <v>250831</v>
      </c>
      <c r="I21695">
        <v>4369</v>
      </c>
      <c r="J21695" t="s">
        <v>188</v>
      </c>
      <c r="K21695">
        <v>27.01</v>
      </c>
      <c r="L21695">
        <v>0.69</v>
      </c>
      <c r="M21695">
        <v>11201</v>
      </c>
      <c r="N21695" t="s">
        <v>35</v>
      </c>
      <c r="O21695">
        <v>250909</v>
      </c>
      <c r="P21695">
        <v>2.7</v>
      </c>
    </row>
    <row r="21696" spans="1:16" x14ac:dyDescent="0.25">
      <c r="A21696" t="s">
        <v>3296</v>
      </c>
      <c r="B21696" t="s">
        <v>2931</v>
      </c>
      <c r="C21696">
        <v>11666</v>
      </c>
      <c r="D21696" t="str">
        <f>"12536021136 "</f>
        <v xml:space="preserve">12536021136 </v>
      </c>
      <c r="E21696" t="s">
        <v>309</v>
      </c>
      <c r="F21696" t="s">
        <v>310</v>
      </c>
      <c r="G21696">
        <v>20.329999999999998</v>
      </c>
      <c r="H21696">
        <v>250831</v>
      </c>
      <c r="I21696">
        <v>4369</v>
      </c>
      <c r="J21696" t="s">
        <v>188</v>
      </c>
      <c r="K21696">
        <v>25.19</v>
      </c>
      <c r="L21696">
        <v>4.13</v>
      </c>
      <c r="M21696">
        <v>47522</v>
      </c>
      <c r="N21696" t="s">
        <v>106</v>
      </c>
      <c r="O21696">
        <v>250909</v>
      </c>
      <c r="P21696">
        <v>16.2</v>
      </c>
    </row>
    <row r="21697" spans="1:16" x14ac:dyDescent="0.25">
      <c r="A21697" t="s">
        <v>3296</v>
      </c>
      <c r="B21697" t="s">
        <v>2931</v>
      </c>
      <c r="C21697">
        <v>11666</v>
      </c>
      <c r="D21697" t="str">
        <f>"12536021136 "</f>
        <v xml:space="preserve">12536021136 </v>
      </c>
      <c r="E21697" t="s">
        <v>309</v>
      </c>
      <c r="F21697" t="s">
        <v>310</v>
      </c>
      <c r="G21697">
        <v>4.8600000000000003</v>
      </c>
      <c r="H21697">
        <v>250831</v>
      </c>
      <c r="I21697">
        <v>4369</v>
      </c>
      <c r="J21697" t="s">
        <v>188</v>
      </c>
      <c r="K21697">
        <v>25.19</v>
      </c>
      <c r="L21697">
        <v>0.99</v>
      </c>
      <c r="M21697">
        <v>49702</v>
      </c>
      <c r="N21697" t="s">
        <v>112</v>
      </c>
      <c r="O21697">
        <v>250909</v>
      </c>
      <c r="P21697">
        <v>3.87</v>
      </c>
    </row>
    <row r="21698" spans="1:16" x14ac:dyDescent="0.25">
      <c r="A21698" t="s">
        <v>3296</v>
      </c>
      <c r="B21698" t="s">
        <v>2931</v>
      </c>
      <c r="C21698">
        <v>11668</v>
      </c>
      <c r="D21698" t="str">
        <f>"12536021138 "</f>
        <v xml:space="preserve">12536021138 </v>
      </c>
      <c r="E21698" t="s">
        <v>309</v>
      </c>
      <c r="F21698" t="s">
        <v>310</v>
      </c>
      <c r="G21698">
        <v>3.92</v>
      </c>
      <c r="H21698">
        <v>250831</v>
      </c>
      <c r="I21698">
        <v>4369</v>
      </c>
      <c r="J21698" t="s">
        <v>188</v>
      </c>
      <c r="K21698">
        <v>38.5</v>
      </c>
      <c r="L21698">
        <v>0.8</v>
      </c>
      <c r="M21698">
        <v>48601</v>
      </c>
      <c r="N21698" t="s">
        <v>107</v>
      </c>
      <c r="O21698">
        <v>250909</v>
      </c>
      <c r="P21698">
        <v>3.12</v>
      </c>
    </row>
    <row r="21699" spans="1:16" x14ac:dyDescent="0.25">
      <c r="A21699" t="s">
        <v>3296</v>
      </c>
      <c r="B21699" t="s">
        <v>2931</v>
      </c>
      <c r="C21699">
        <v>11668</v>
      </c>
      <c r="D21699" t="str">
        <f>"12536021138 "</f>
        <v xml:space="preserve">12536021138 </v>
      </c>
      <c r="E21699" t="s">
        <v>309</v>
      </c>
      <c r="F21699" t="s">
        <v>310</v>
      </c>
      <c r="G21699">
        <v>3.5</v>
      </c>
      <c r="H21699">
        <v>250831</v>
      </c>
      <c r="I21699">
        <v>4369</v>
      </c>
      <c r="J21699" t="s">
        <v>188</v>
      </c>
      <c r="K21699">
        <v>38.5</v>
      </c>
      <c r="L21699">
        <v>0.71</v>
      </c>
      <c r="M21699">
        <v>49111</v>
      </c>
      <c r="N21699" t="s">
        <v>108</v>
      </c>
      <c r="O21699">
        <v>250909</v>
      </c>
      <c r="P21699">
        <v>2.79</v>
      </c>
    </row>
    <row r="21700" spans="1:16" x14ac:dyDescent="0.25">
      <c r="A21700" t="s">
        <v>3296</v>
      </c>
      <c r="B21700" t="s">
        <v>2931</v>
      </c>
      <c r="C21700">
        <v>11668</v>
      </c>
      <c r="D21700" t="str">
        <f>"12536021138 "</f>
        <v xml:space="preserve">12536021138 </v>
      </c>
      <c r="E21700" t="s">
        <v>309</v>
      </c>
      <c r="F21700" t="s">
        <v>310</v>
      </c>
      <c r="G21700">
        <v>10.76</v>
      </c>
      <c r="H21700">
        <v>250831</v>
      </c>
      <c r="I21700">
        <v>4369</v>
      </c>
      <c r="J21700" t="s">
        <v>188</v>
      </c>
      <c r="K21700">
        <v>38.5</v>
      </c>
      <c r="L21700">
        <v>2.19</v>
      </c>
      <c r="M21700">
        <v>49704</v>
      </c>
      <c r="N21700" t="s">
        <v>113</v>
      </c>
      <c r="O21700">
        <v>250909</v>
      </c>
      <c r="P21700">
        <v>8.57</v>
      </c>
    </row>
    <row r="21701" spans="1:16" x14ac:dyDescent="0.25">
      <c r="A21701" t="s">
        <v>3296</v>
      </c>
      <c r="B21701" t="s">
        <v>2931</v>
      </c>
      <c r="C21701">
        <v>11668</v>
      </c>
      <c r="D21701" t="str">
        <f>"12536021138 "</f>
        <v xml:space="preserve">12536021138 </v>
      </c>
      <c r="E21701" t="s">
        <v>309</v>
      </c>
      <c r="F21701" t="s">
        <v>310</v>
      </c>
      <c r="G21701">
        <v>20.32</v>
      </c>
      <c r="H21701">
        <v>250831</v>
      </c>
      <c r="I21701">
        <v>4369</v>
      </c>
      <c r="J21701" t="s">
        <v>188</v>
      </c>
      <c r="K21701">
        <v>38.5</v>
      </c>
      <c r="L21701">
        <v>4.13</v>
      </c>
      <c r="M21701">
        <v>49705</v>
      </c>
      <c r="N21701" t="s">
        <v>114</v>
      </c>
      <c r="O21701">
        <v>250909</v>
      </c>
      <c r="P21701">
        <v>16.190000000000001</v>
      </c>
    </row>
    <row r="21702" spans="1:16" x14ac:dyDescent="0.25">
      <c r="A21702" t="s">
        <v>3296</v>
      </c>
      <c r="B21702" t="s">
        <v>2931</v>
      </c>
      <c r="C21702">
        <v>11669</v>
      </c>
      <c r="D21702" t="str">
        <f>"12536021155 "</f>
        <v xml:space="preserve">12536021155 </v>
      </c>
      <c r="E21702" t="s">
        <v>309</v>
      </c>
      <c r="F21702" t="s">
        <v>310</v>
      </c>
      <c r="G21702">
        <v>3.2</v>
      </c>
      <c r="H21702">
        <v>250831</v>
      </c>
      <c r="I21702">
        <v>4369</v>
      </c>
      <c r="J21702" t="s">
        <v>188</v>
      </c>
      <c r="K21702">
        <v>3.2</v>
      </c>
      <c r="L21702">
        <v>0.65</v>
      </c>
      <c r="M21702">
        <v>13801</v>
      </c>
      <c r="N21702" t="s">
        <v>33</v>
      </c>
      <c r="O21702">
        <v>250909</v>
      </c>
      <c r="P21702">
        <v>2.5499999999999998</v>
      </c>
    </row>
    <row r="21703" spans="1:16" x14ac:dyDescent="0.25">
      <c r="A21703" t="s">
        <v>3296</v>
      </c>
      <c r="B21703" t="s">
        <v>2931</v>
      </c>
      <c r="C21703">
        <v>11749</v>
      </c>
      <c r="D21703" t="str">
        <f t="shared" ref="D21703:D21727" si="456">"12536021149 "</f>
        <v xml:space="preserve">12536021149 </v>
      </c>
      <c r="E21703" t="s">
        <v>309</v>
      </c>
      <c r="F21703" t="s">
        <v>310</v>
      </c>
      <c r="G21703">
        <v>14.87</v>
      </c>
      <c r="H21703">
        <v>250831</v>
      </c>
      <c r="I21703">
        <v>4369</v>
      </c>
      <c r="J21703" t="s">
        <v>188</v>
      </c>
      <c r="K21703">
        <v>218.9</v>
      </c>
      <c r="L21703">
        <v>3.02</v>
      </c>
      <c r="M21703">
        <v>16930</v>
      </c>
      <c r="N21703" t="s">
        <v>135</v>
      </c>
      <c r="O21703">
        <v>250910</v>
      </c>
      <c r="P21703">
        <v>11.85</v>
      </c>
    </row>
    <row r="21704" spans="1:16" x14ac:dyDescent="0.25">
      <c r="A21704" t="s">
        <v>3296</v>
      </c>
      <c r="B21704" t="s">
        <v>2931</v>
      </c>
      <c r="C21704">
        <v>11749</v>
      </c>
      <c r="D21704" t="str">
        <f t="shared" si="456"/>
        <v xml:space="preserve">12536021149 </v>
      </c>
      <c r="E21704" t="s">
        <v>309</v>
      </c>
      <c r="F21704" t="s">
        <v>310</v>
      </c>
      <c r="G21704">
        <v>3.35</v>
      </c>
      <c r="H21704">
        <v>250831</v>
      </c>
      <c r="I21704">
        <v>4369</v>
      </c>
      <c r="J21704" t="s">
        <v>188</v>
      </c>
      <c r="K21704">
        <v>218.9</v>
      </c>
      <c r="L21704">
        <v>0.68</v>
      </c>
      <c r="M21704">
        <v>16951</v>
      </c>
      <c r="N21704" t="s">
        <v>488</v>
      </c>
      <c r="O21704">
        <v>250910</v>
      </c>
      <c r="P21704">
        <v>2.67</v>
      </c>
    </row>
    <row r="21705" spans="1:16" x14ac:dyDescent="0.25">
      <c r="A21705" t="s">
        <v>3296</v>
      </c>
      <c r="B21705" t="s">
        <v>2931</v>
      </c>
      <c r="C21705">
        <v>11749</v>
      </c>
      <c r="D21705" t="str">
        <f t="shared" si="456"/>
        <v xml:space="preserve">12536021149 </v>
      </c>
      <c r="E21705" t="s">
        <v>309</v>
      </c>
      <c r="F21705" t="s">
        <v>310</v>
      </c>
      <c r="G21705">
        <v>13.98</v>
      </c>
      <c r="H21705">
        <v>250831</v>
      </c>
      <c r="I21705">
        <v>4369</v>
      </c>
      <c r="J21705" t="s">
        <v>188</v>
      </c>
      <c r="K21705">
        <v>218.9</v>
      </c>
      <c r="L21705">
        <v>2.84</v>
      </c>
      <c r="M21705">
        <v>17521</v>
      </c>
      <c r="N21705" t="s">
        <v>136</v>
      </c>
      <c r="O21705">
        <v>250910</v>
      </c>
      <c r="P21705">
        <v>11.14</v>
      </c>
    </row>
    <row r="21706" spans="1:16" x14ac:dyDescent="0.25">
      <c r="A21706" t="s">
        <v>3296</v>
      </c>
      <c r="B21706" t="s">
        <v>2931</v>
      </c>
      <c r="C21706">
        <v>11749</v>
      </c>
      <c r="D21706" t="str">
        <f t="shared" si="456"/>
        <v xml:space="preserve">12536021149 </v>
      </c>
      <c r="E21706" t="s">
        <v>309</v>
      </c>
      <c r="F21706" t="s">
        <v>310</v>
      </c>
      <c r="G21706">
        <v>7.27</v>
      </c>
      <c r="H21706">
        <v>250831</v>
      </c>
      <c r="I21706">
        <v>4369</v>
      </c>
      <c r="J21706" t="s">
        <v>188</v>
      </c>
      <c r="K21706">
        <v>218.9</v>
      </c>
      <c r="L21706">
        <v>1.48</v>
      </c>
      <c r="M21706">
        <v>17522</v>
      </c>
      <c r="N21706" t="s">
        <v>137</v>
      </c>
      <c r="O21706">
        <v>250910</v>
      </c>
      <c r="P21706">
        <v>5.79</v>
      </c>
    </row>
    <row r="21707" spans="1:16" x14ac:dyDescent="0.25">
      <c r="A21707" t="s">
        <v>3296</v>
      </c>
      <c r="B21707" t="s">
        <v>2931</v>
      </c>
      <c r="C21707">
        <v>11749</v>
      </c>
      <c r="D21707" t="str">
        <f t="shared" si="456"/>
        <v xml:space="preserve">12536021149 </v>
      </c>
      <c r="E21707" t="s">
        <v>309</v>
      </c>
      <c r="F21707" t="s">
        <v>310</v>
      </c>
      <c r="G21707">
        <v>11.56</v>
      </c>
      <c r="H21707">
        <v>250831</v>
      </c>
      <c r="I21707">
        <v>4369</v>
      </c>
      <c r="J21707" t="s">
        <v>188</v>
      </c>
      <c r="K21707">
        <v>218.9</v>
      </c>
      <c r="L21707">
        <v>2.35</v>
      </c>
      <c r="M21707">
        <v>17523</v>
      </c>
      <c r="N21707" t="s">
        <v>138</v>
      </c>
      <c r="O21707">
        <v>250910</v>
      </c>
      <c r="P21707">
        <v>9.2100000000000009</v>
      </c>
    </row>
    <row r="21708" spans="1:16" x14ac:dyDescent="0.25">
      <c r="A21708" t="s">
        <v>3296</v>
      </c>
      <c r="B21708" t="s">
        <v>2931</v>
      </c>
      <c r="C21708">
        <v>11749</v>
      </c>
      <c r="D21708" t="str">
        <f t="shared" si="456"/>
        <v xml:space="preserve">12536021149 </v>
      </c>
      <c r="E21708" t="s">
        <v>309</v>
      </c>
      <c r="F21708" t="s">
        <v>310</v>
      </c>
      <c r="G21708">
        <v>6.78</v>
      </c>
      <c r="H21708">
        <v>250831</v>
      </c>
      <c r="I21708">
        <v>4369</v>
      </c>
      <c r="J21708" t="s">
        <v>188</v>
      </c>
      <c r="K21708">
        <v>218.9</v>
      </c>
      <c r="L21708">
        <v>1.38</v>
      </c>
      <c r="M21708">
        <v>17524</v>
      </c>
      <c r="N21708" t="s">
        <v>139</v>
      </c>
      <c r="O21708">
        <v>250910</v>
      </c>
      <c r="P21708">
        <v>5.4</v>
      </c>
    </row>
    <row r="21709" spans="1:16" x14ac:dyDescent="0.25">
      <c r="A21709" t="s">
        <v>3296</v>
      </c>
      <c r="B21709" t="s">
        <v>2931</v>
      </c>
      <c r="C21709">
        <v>11749</v>
      </c>
      <c r="D21709" t="str">
        <f t="shared" si="456"/>
        <v xml:space="preserve">12536021149 </v>
      </c>
      <c r="E21709" t="s">
        <v>309</v>
      </c>
      <c r="F21709" t="s">
        <v>310</v>
      </c>
      <c r="G21709">
        <v>3.82</v>
      </c>
      <c r="H21709">
        <v>250831</v>
      </c>
      <c r="I21709">
        <v>4369</v>
      </c>
      <c r="J21709" t="s">
        <v>188</v>
      </c>
      <c r="K21709">
        <v>218.9</v>
      </c>
      <c r="L21709">
        <v>0.78</v>
      </c>
      <c r="M21709">
        <v>17525</v>
      </c>
      <c r="N21709" t="s">
        <v>140</v>
      </c>
      <c r="O21709">
        <v>250910</v>
      </c>
      <c r="P21709">
        <v>3.04</v>
      </c>
    </row>
    <row r="21710" spans="1:16" x14ac:dyDescent="0.25">
      <c r="A21710" t="s">
        <v>3296</v>
      </c>
      <c r="B21710" t="s">
        <v>2931</v>
      </c>
      <c r="C21710">
        <v>11749</v>
      </c>
      <c r="D21710" t="str">
        <f t="shared" si="456"/>
        <v xml:space="preserve">12536021149 </v>
      </c>
      <c r="E21710" t="s">
        <v>309</v>
      </c>
      <c r="F21710" t="s">
        <v>310</v>
      </c>
      <c r="G21710">
        <v>6.78</v>
      </c>
      <c r="H21710">
        <v>250831</v>
      </c>
      <c r="I21710">
        <v>4369</v>
      </c>
      <c r="J21710" t="s">
        <v>188</v>
      </c>
      <c r="K21710">
        <v>218.9</v>
      </c>
      <c r="L21710">
        <v>1.38</v>
      </c>
      <c r="M21710">
        <v>17526</v>
      </c>
      <c r="N21710" t="s">
        <v>141</v>
      </c>
      <c r="O21710">
        <v>250910</v>
      </c>
      <c r="P21710">
        <v>5.4</v>
      </c>
    </row>
    <row r="21711" spans="1:16" x14ac:dyDescent="0.25">
      <c r="A21711" t="s">
        <v>3296</v>
      </c>
      <c r="B21711" t="s">
        <v>2931</v>
      </c>
      <c r="C21711">
        <v>11749</v>
      </c>
      <c r="D21711" t="str">
        <f t="shared" si="456"/>
        <v xml:space="preserve">12536021149 </v>
      </c>
      <c r="E21711" t="s">
        <v>309</v>
      </c>
      <c r="F21711" t="s">
        <v>310</v>
      </c>
      <c r="G21711">
        <v>8.6300000000000008</v>
      </c>
      <c r="H21711">
        <v>250831</v>
      </c>
      <c r="I21711">
        <v>4369</v>
      </c>
      <c r="J21711" t="s">
        <v>188</v>
      </c>
      <c r="K21711">
        <v>218.9</v>
      </c>
      <c r="L21711">
        <v>1.75</v>
      </c>
      <c r="M21711">
        <v>17527</v>
      </c>
      <c r="N21711" t="s">
        <v>142</v>
      </c>
      <c r="O21711">
        <v>250910</v>
      </c>
      <c r="P21711">
        <v>6.88</v>
      </c>
    </row>
    <row r="21712" spans="1:16" x14ac:dyDescent="0.25">
      <c r="A21712" t="s">
        <v>3296</v>
      </c>
      <c r="B21712" t="s">
        <v>2931</v>
      </c>
      <c r="C21712">
        <v>11749</v>
      </c>
      <c r="D21712" t="str">
        <f t="shared" si="456"/>
        <v xml:space="preserve">12536021149 </v>
      </c>
      <c r="E21712" t="s">
        <v>309</v>
      </c>
      <c r="F21712" t="s">
        <v>310</v>
      </c>
      <c r="G21712">
        <v>6.78</v>
      </c>
      <c r="H21712">
        <v>250831</v>
      </c>
      <c r="I21712">
        <v>4369</v>
      </c>
      <c r="J21712" t="s">
        <v>188</v>
      </c>
      <c r="K21712">
        <v>218.9</v>
      </c>
      <c r="L21712">
        <v>1.38</v>
      </c>
      <c r="M21712">
        <v>17529</v>
      </c>
      <c r="N21712" t="s">
        <v>143</v>
      </c>
      <c r="O21712">
        <v>250910</v>
      </c>
      <c r="P21712">
        <v>5.4</v>
      </c>
    </row>
    <row r="21713" spans="1:16" x14ac:dyDescent="0.25">
      <c r="A21713" t="s">
        <v>3296</v>
      </c>
      <c r="B21713" t="s">
        <v>2931</v>
      </c>
      <c r="C21713">
        <v>11749</v>
      </c>
      <c r="D21713" t="str">
        <f t="shared" si="456"/>
        <v xml:space="preserve">12536021149 </v>
      </c>
      <c r="E21713" t="s">
        <v>309</v>
      </c>
      <c r="F21713" t="s">
        <v>310</v>
      </c>
      <c r="G21713">
        <v>10.63</v>
      </c>
      <c r="H21713">
        <v>250831</v>
      </c>
      <c r="I21713">
        <v>4369</v>
      </c>
      <c r="J21713" t="s">
        <v>188</v>
      </c>
      <c r="K21713">
        <v>218.9</v>
      </c>
      <c r="L21713">
        <v>2.16</v>
      </c>
      <c r="M21713">
        <v>17530</v>
      </c>
      <c r="N21713" t="s">
        <v>144</v>
      </c>
      <c r="O21713">
        <v>250910</v>
      </c>
      <c r="P21713">
        <v>8.4700000000000006</v>
      </c>
    </row>
    <row r="21714" spans="1:16" x14ac:dyDescent="0.25">
      <c r="A21714" t="s">
        <v>3296</v>
      </c>
      <c r="B21714" t="s">
        <v>2931</v>
      </c>
      <c r="C21714">
        <v>11749</v>
      </c>
      <c r="D21714" t="str">
        <f t="shared" si="456"/>
        <v xml:space="preserve">12536021149 </v>
      </c>
      <c r="E21714" t="s">
        <v>309</v>
      </c>
      <c r="F21714" t="s">
        <v>310</v>
      </c>
      <c r="G21714">
        <v>13.18</v>
      </c>
      <c r="H21714">
        <v>250831</v>
      </c>
      <c r="I21714">
        <v>4369</v>
      </c>
      <c r="J21714" t="s">
        <v>188</v>
      </c>
      <c r="K21714">
        <v>218.9</v>
      </c>
      <c r="L21714">
        <v>2.68</v>
      </c>
      <c r="M21714">
        <v>17531</v>
      </c>
      <c r="N21714" t="s">
        <v>145</v>
      </c>
      <c r="O21714">
        <v>250910</v>
      </c>
      <c r="P21714">
        <v>10.5</v>
      </c>
    </row>
    <row r="21715" spans="1:16" x14ac:dyDescent="0.25">
      <c r="A21715" t="s">
        <v>3296</v>
      </c>
      <c r="B21715" t="s">
        <v>2931</v>
      </c>
      <c r="C21715">
        <v>11749</v>
      </c>
      <c r="D21715" t="str">
        <f t="shared" si="456"/>
        <v xml:space="preserve">12536021149 </v>
      </c>
      <c r="E21715" t="s">
        <v>309</v>
      </c>
      <c r="F21715" t="s">
        <v>310</v>
      </c>
      <c r="G21715">
        <v>12.99</v>
      </c>
      <c r="H21715">
        <v>250831</v>
      </c>
      <c r="I21715">
        <v>4369</v>
      </c>
      <c r="J21715" t="s">
        <v>188</v>
      </c>
      <c r="K21715">
        <v>218.9</v>
      </c>
      <c r="L21715">
        <v>2.64</v>
      </c>
      <c r="M21715">
        <v>17532</v>
      </c>
      <c r="N21715" t="s">
        <v>146</v>
      </c>
      <c r="O21715">
        <v>250910</v>
      </c>
      <c r="P21715">
        <v>10.35</v>
      </c>
    </row>
    <row r="21716" spans="1:16" x14ac:dyDescent="0.25">
      <c r="A21716" t="s">
        <v>3296</v>
      </c>
      <c r="B21716" t="s">
        <v>2931</v>
      </c>
      <c r="C21716">
        <v>11749</v>
      </c>
      <c r="D21716" t="str">
        <f t="shared" si="456"/>
        <v xml:space="preserve">12536021149 </v>
      </c>
      <c r="E21716" t="s">
        <v>309</v>
      </c>
      <c r="F21716" t="s">
        <v>310</v>
      </c>
      <c r="G21716">
        <v>6.84</v>
      </c>
      <c r="H21716">
        <v>250831</v>
      </c>
      <c r="I21716">
        <v>4369</v>
      </c>
      <c r="J21716" t="s">
        <v>188</v>
      </c>
      <c r="K21716">
        <v>218.9</v>
      </c>
      <c r="L21716">
        <v>1.39</v>
      </c>
      <c r="M21716">
        <v>17533</v>
      </c>
      <c r="N21716" t="s">
        <v>147</v>
      </c>
      <c r="O21716">
        <v>250910</v>
      </c>
      <c r="P21716">
        <v>5.45</v>
      </c>
    </row>
    <row r="21717" spans="1:16" x14ac:dyDescent="0.25">
      <c r="A21717" t="s">
        <v>3296</v>
      </c>
      <c r="B21717" t="s">
        <v>2931</v>
      </c>
      <c r="C21717">
        <v>11749</v>
      </c>
      <c r="D21717" t="str">
        <f t="shared" si="456"/>
        <v xml:space="preserve">12536021149 </v>
      </c>
      <c r="E21717" t="s">
        <v>309</v>
      </c>
      <c r="F21717" t="s">
        <v>310</v>
      </c>
      <c r="G21717">
        <v>6.78</v>
      </c>
      <c r="H21717">
        <v>250831</v>
      </c>
      <c r="I21717">
        <v>4369</v>
      </c>
      <c r="J21717" t="s">
        <v>188</v>
      </c>
      <c r="K21717">
        <v>218.9</v>
      </c>
      <c r="L21717">
        <v>1.38</v>
      </c>
      <c r="M21717">
        <v>17534</v>
      </c>
      <c r="N21717" t="s">
        <v>148</v>
      </c>
      <c r="O21717">
        <v>250910</v>
      </c>
      <c r="P21717">
        <v>5.4</v>
      </c>
    </row>
    <row r="21718" spans="1:16" x14ac:dyDescent="0.25">
      <c r="A21718" t="s">
        <v>3296</v>
      </c>
      <c r="B21718" t="s">
        <v>2931</v>
      </c>
      <c r="C21718">
        <v>11749</v>
      </c>
      <c r="D21718" t="str">
        <f t="shared" si="456"/>
        <v xml:space="preserve">12536021149 </v>
      </c>
      <c r="E21718" t="s">
        <v>309</v>
      </c>
      <c r="F21718" t="s">
        <v>310</v>
      </c>
      <c r="G21718">
        <v>3.39</v>
      </c>
      <c r="H21718">
        <v>250831</v>
      </c>
      <c r="I21718">
        <v>4369</v>
      </c>
      <c r="J21718" t="s">
        <v>188</v>
      </c>
      <c r="K21718">
        <v>218.9</v>
      </c>
      <c r="L21718">
        <v>0.69</v>
      </c>
      <c r="M21718">
        <v>17535</v>
      </c>
      <c r="N21718" t="s">
        <v>149</v>
      </c>
      <c r="O21718">
        <v>250910</v>
      </c>
      <c r="P21718">
        <v>2.7</v>
      </c>
    </row>
    <row r="21719" spans="1:16" x14ac:dyDescent="0.25">
      <c r="A21719" t="s">
        <v>3296</v>
      </c>
      <c r="B21719" t="s">
        <v>2931</v>
      </c>
      <c r="C21719">
        <v>11749</v>
      </c>
      <c r="D21719" t="str">
        <f t="shared" si="456"/>
        <v xml:space="preserve">12536021149 </v>
      </c>
      <c r="E21719" t="s">
        <v>309</v>
      </c>
      <c r="F21719" t="s">
        <v>310</v>
      </c>
      <c r="G21719">
        <v>10.17</v>
      </c>
      <c r="H21719">
        <v>250831</v>
      </c>
      <c r="I21719">
        <v>4369</v>
      </c>
      <c r="J21719" t="s">
        <v>188</v>
      </c>
      <c r="K21719">
        <v>218.9</v>
      </c>
      <c r="L21719">
        <v>2.0699999999999998</v>
      </c>
      <c r="M21719">
        <v>17536</v>
      </c>
      <c r="N21719" t="s">
        <v>150</v>
      </c>
      <c r="O21719">
        <v>250910</v>
      </c>
      <c r="P21719">
        <v>8.1</v>
      </c>
    </row>
    <row r="21720" spans="1:16" x14ac:dyDescent="0.25">
      <c r="A21720" t="s">
        <v>3296</v>
      </c>
      <c r="B21720" t="s">
        <v>2931</v>
      </c>
      <c r="C21720">
        <v>11749</v>
      </c>
      <c r="D21720" t="str">
        <f t="shared" si="456"/>
        <v xml:space="preserve">12536021149 </v>
      </c>
      <c r="E21720" t="s">
        <v>309</v>
      </c>
      <c r="F21720" t="s">
        <v>310</v>
      </c>
      <c r="G21720">
        <v>13.18</v>
      </c>
      <c r="H21720">
        <v>250831</v>
      </c>
      <c r="I21720">
        <v>4369</v>
      </c>
      <c r="J21720" t="s">
        <v>188</v>
      </c>
      <c r="K21720">
        <v>218.9</v>
      </c>
      <c r="L21720">
        <v>2.68</v>
      </c>
      <c r="M21720">
        <v>17537</v>
      </c>
      <c r="N21720" t="s">
        <v>151</v>
      </c>
      <c r="O21720">
        <v>250910</v>
      </c>
      <c r="P21720">
        <v>10.5</v>
      </c>
    </row>
    <row r="21721" spans="1:16" x14ac:dyDescent="0.25">
      <c r="A21721" t="s">
        <v>3296</v>
      </c>
      <c r="B21721" t="s">
        <v>2931</v>
      </c>
      <c r="C21721">
        <v>11749</v>
      </c>
      <c r="D21721" t="str">
        <f t="shared" si="456"/>
        <v xml:space="preserve">12536021149 </v>
      </c>
      <c r="E21721" t="s">
        <v>309</v>
      </c>
      <c r="F21721" t="s">
        <v>310</v>
      </c>
      <c r="G21721">
        <v>10.17</v>
      </c>
      <c r="H21721">
        <v>250831</v>
      </c>
      <c r="I21721">
        <v>4369</v>
      </c>
      <c r="J21721" t="s">
        <v>188</v>
      </c>
      <c r="K21721">
        <v>218.9</v>
      </c>
      <c r="L21721">
        <v>2.0699999999999998</v>
      </c>
      <c r="M21721">
        <v>17538</v>
      </c>
      <c r="N21721" t="s">
        <v>129</v>
      </c>
      <c r="O21721">
        <v>250910</v>
      </c>
      <c r="P21721">
        <v>8.1</v>
      </c>
    </row>
    <row r="21722" spans="1:16" x14ac:dyDescent="0.25">
      <c r="A21722" t="s">
        <v>3296</v>
      </c>
      <c r="B21722" t="s">
        <v>2931</v>
      </c>
      <c r="C21722">
        <v>11749</v>
      </c>
      <c r="D21722" t="str">
        <f t="shared" si="456"/>
        <v xml:space="preserve">12536021149 </v>
      </c>
      <c r="E21722" t="s">
        <v>309</v>
      </c>
      <c r="F21722" t="s">
        <v>310</v>
      </c>
      <c r="G21722">
        <v>13.62</v>
      </c>
      <c r="H21722">
        <v>250831</v>
      </c>
      <c r="I21722">
        <v>4369</v>
      </c>
      <c r="J21722" t="s">
        <v>188</v>
      </c>
      <c r="K21722">
        <v>218.9</v>
      </c>
      <c r="L21722">
        <v>2.77</v>
      </c>
      <c r="M21722">
        <v>17950</v>
      </c>
      <c r="N21722" t="s">
        <v>132</v>
      </c>
      <c r="O21722">
        <v>250910</v>
      </c>
      <c r="P21722">
        <v>10.85</v>
      </c>
    </row>
    <row r="21723" spans="1:16" x14ac:dyDescent="0.25">
      <c r="A21723" t="s">
        <v>3296</v>
      </c>
      <c r="B21723" t="s">
        <v>2931</v>
      </c>
      <c r="C21723">
        <v>11749</v>
      </c>
      <c r="D21723" t="str">
        <f t="shared" si="456"/>
        <v xml:space="preserve">12536021149 </v>
      </c>
      <c r="E21723" t="s">
        <v>309</v>
      </c>
      <c r="F21723" t="s">
        <v>310</v>
      </c>
      <c r="G21723">
        <v>3.39</v>
      </c>
      <c r="H21723">
        <v>250831</v>
      </c>
      <c r="I21723">
        <v>4369</v>
      </c>
      <c r="J21723" t="s">
        <v>188</v>
      </c>
      <c r="K21723">
        <v>218.9</v>
      </c>
      <c r="L21723">
        <v>0.69</v>
      </c>
      <c r="M21723">
        <v>17956</v>
      </c>
      <c r="N21723" t="s">
        <v>170</v>
      </c>
      <c r="O21723">
        <v>250910</v>
      </c>
      <c r="P21723">
        <v>2.7</v>
      </c>
    </row>
    <row r="21724" spans="1:16" x14ac:dyDescent="0.25">
      <c r="A21724" t="s">
        <v>3296</v>
      </c>
      <c r="B21724" t="s">
        <v>2931</v>
      </c>
      <c r="C21724">
        <v>11749</v>
      </c>
      <c r="D21724" t="str">
        <f t="shared" si="456"/>
        <v xml:space="preserve">12536021149 </v>
      </c>
      <c r="E21724" t="s">
        <v>309</v>
      </c>
      <c r="F21724" t="s">
        <v>310</v>
      </c>
      <c r="G21724">
        <v>17.010000000000002</v>
      </c>
      <c r="H21724">
        <v>250831</v>
      </c>
      <c r="I21724">
        <v>4369</v>
      </c>
      <c r="J21724" t="s">
        <v>188</v>
      </c>
      <c r="K21724">
        <v>218.9</v>
      </c>
      <c r="L21724">
        <v>3.46</v>
      </c>
      <c r="M21724">
        <v>17971</v>
      </c>
      <c r="N21724" t="s">
        <v>27</v>
      </c>
      <c r="O21724">
        <v>250910</v>
      </c>
      <c r="P21724">
        <v>13.55</v>
      </c>
    </row>
    <row r="21725" spans="1:16" x14ac:dyDescent="0.25">
      <c r="A21725" t="s">
        <v>3296</v>
      </c>
      <c r="B21725" t="s">
        <v>2931</v>
      </c>
      <c r="C21725">
        <v>11749</v>
      </c>
      <c r="D21725" t="str">
        <f t="shared" si="456"/>
        <v xml:space="preserve">12536021149 </v>
      </c>
      <c r="E21725" t="s">
        <v>309</v>
      </c>
      <c r="F21725" t="s">
        <v>310</v>
      </c>
      <c r="G21725">
        <v>3.39</v>
      </c>
      <c r="H21725">
        <v>250831</v>
      </c>
      <c r="I21725">
        <v>4369</v>
      </c>
      <c r="J21725" t="s">
        <v>188</v>
      </c>
      <c r="K21725">
        <v>218.9</v>
      </c>
      <c r="L21725">
        <v>0.69</v>
      </c>
      <c r="M21725">
        <v>17972</v>
      </c>
      <c r="N21725" t="s">
        <v>28</v>
      </c>
      <c r="O21725">
        <v>250910</v>
      </c>
      <c r="P21725">
        <v>2.7</v>
      </c>
    </row>
    <row r="21726" spans="1:16" x14ac:dyDescent="0.25">
      <c r="A21726" t="s">
        <v>3296</v>
      </c>
      <c r="B21726" t="s">
        <v>2931</v>
      </c>
      <c r="C21726">
        <v>11749</v>
      </c>
      <c r="D21726" t="str">
        <f t="shared" si="456"/>
        <v xml:space="preserve">12536021149 </v>
      </c>
      <c r="E21726" t="s">
        <v>309</v>
      </c>
      <c r="F21726" t="s">
        <v>310</v>
      </c>
      <c r="G21726">
        <v>3.39</v>
      </c>
      <c r="H21726">
        <v>250831</v>
      </c>
      <c r="I21726">
        <v>4369</v>
      </c>
      <c r="J21726" t="s">
        <v>188</v>
      </c>
      <c r="K21726">
        <v>218.9</v>
      </c>
      <c r="L21726">
        <v>0.69</v>
      </c>
      <c r="M21726">
        <v>17974</v>
      </c>
      <c r="N21726" t="s">
        <v>153</v>
      </c>
      <c r="O21726">
        <v>250910</v>
      </c>
      <c r="P21726">
        <v>2.7</v>
      </c>
    </row>
    <row r="21727" spans="1:16" x14ac:dyDescent="0.25">
      <c r="A21727" t="s">
        <v>3296</v>
      </c>
      <c r="B21727" t="s">
        <v>2931</v>
      </c>
      <c r="C21727">
        <v>11749</v>
      </c>
      <c r="D21727" t="str">
        <f t="shared" si="456"/>
        <v xml:space="preserve">12536021149 </v>
      </c>
      <c r="E21727" t="s">
        <v>309</v>
      </c>
      <c r="F21727" t="s">
        <v>310</v>
      </c>
      <c r="G21727">
        <v>6.95</v>
      </c>
      <c r="H21727">
        <v>250831</v>
      </c>
      <c r="I21727">
        <v>4369</v>
      </c>
      <c r="J21727" t="s">
        <v>188</v>
      </c>
      <c r="K21727">
        <v>218.9</v>
      </c>
      <c r="L21727">
        <v>1.41</v>
      </c>
      <c r="M21727">
        <v>17975</v>
      </c>
      <c r="N21727" t="s">
        <v>29</v>
      </c>
      <c r="O21727">
        <v>250910</v>
      </c>
      <c r="P21727">
        <v>5.54</v>
      </c>
    </row>
    <row r="21728" spans="1:16" x14ac:dyDescent="0.25">
      <c r="A21728" t="s">
        <v>3296</v>
      </c>
      <c r="B21728" t="s">
        <v>2931</v>
      </c>
      <c r="C21728">
        <v>11794</v>
      </c>
      <c r="D21728" t="str">
        <f>"105544447   "</f>
        <v xml:space="preserve">105544447   </v>
      </c>
      <c r="E21728" t="s">
        <v>309</v>
      </c>
      <c r="F21728" t="s">
        <v>310</v>
      </c>
      <c r="G21728">
        <v>26.36</v>
      </c>
      <c r="H21728">
        <v>250831</v>
      </c>
      <c r="I21728">
        <v>4369</v>
      </c>
      <c r="J21728" t="s">
        <v>188</v>
      </c>
      <c r="K21728">
        <v>26.36</v>
      </c>
      <c r="L21728">
        <v>5.36</v>
      </c>
      <c r="M21728">
        <v>11801</v>
      </c>
      <c r="N21728" t="s">
        <v>40</v>
      </c>
      <c r="O21728">
        <v>250910</v>
      </c>
      <c r="P21728">
        <v>21</v>
      </c>
    </row>
    <row r="21729" spans="1:16" x14ac:dyDescent="0.25">
      <c r="A21729" t="s">
        <v>3296</v>
      </c>
      <c r="B21729" t="s">
        <v>2931</v>
      </c>
      <c r="C21729">
        <v>11811</v>
      </c>
      <c r="D21729" t="str">
        <f>"105544481   "</f>
        <v xml:space="preserve">105544481   </v>
      </c>
      <c r="E21729" t="s">
        <v>309</v>
      </c>
      <c r="F21729" t="s">
        <v>310</v>
      </c>
      <c r="G21729">
        <v>85.65</v>
      </c>
      <c r="H21729">
        <v>250831</v>
      </c>
      <c r="I21729">
        <v>4369</v>
      </c>
      <c r="J21729" t="s">
        <v>188</v>
      </c>
      <c r="K21729">
        <v>85.65</v>
      </c>
      <c r="L21729">
        <v>17.399999999999999</v>
      </c>
      <c r="M21729">
        <v>11801</v>
      </c>
      <c r="N21729" t="s">
        <v>40</v>
      </c>
      <c r="O21729">
        <v>250910</v>
      </c>
      <c r="P21729">
        <v>68.25</v>
      </c>
    </row>
    <row r="21730" spans="1:16" x14ac:dyDescent="0.25">
      <c r="A21730" t="s">
        <v>3296</v>
      </c>
      <c r="B21730" t="s">
        <v>2931</v>
      </c>
      <c r="C21730">
        <v>11920</v>
      </c>
      <c r="D21730" t="str">
        <f t="shared" ref="D21730:D21737" si="457">"12536021122 "</f>
        <v xml:space="preserve">12536021122 </v>
      </c>
      <c r="E21730" t="s">
        <v>309</v>
      </c>
      <c r="F21730" t="s">
        <v>310</v>
      </c>
      <c r="G21730">
        <v>6.4</v>
      </c>
      <c r="H21730">
        <v>250831</v>
      </c>
      <c r="I21730">
        <v>4369</v>
      </c>
      <c r="J21730" t="s">
        <v>188</v>
      </c>
      <c r="K21730">
        <v>65.16</v>
      </c>
      <c r="L21730">
        <v>1.3</v>
      </c>
      <c r="M21730">
        <v>10002</v>
      </c>
      <c r="N21730" t="s">
        <v>513</v>
      </c>
      <c r="O21730">
        <v>250912</v>
      </c>
      <c r="P21730">
        <v>5.0999999999999996</v>
      </c>
    </row>
    <row r="21731" spans="1:16" x14ac:dyDescent="0.25">
      <c r="A21731" t="s">
        <v>3296</v>
      </c>
      <c r="B21731" t="s">
        <v>2931</v>
      </c>
      <c r="C21731">
        <v>11920</v>
      </c>
      <c r="D21731" t="str">
        <f t="shared" si="457"/>
        <v xml:space="preserve">12536021122 </v>
      </c>
      <c r="E21731" t="s">
        <v>309</v>
      </c>
      <c r="F21731" t="s">
        <v>310</v>
      </c>
      <c r="G21731">
        <v>6.4</v>
      </c>
      <c r="H21731">
        <v>250831</v>
      </c>
      <c r="I21731">
        <v>4369</v>
      </c>
      <c r="J21731" t="s">
        <v>188</v>
      </c>
      <c r="K21731">
        <v>65.16</v>
      </c>
      <c r="L21731">
        <v>1.3</v>
      </c>
      <c r="M21731">
        <v>11001</v>
      </c>
      <c r="N21731" t="s">
        <v>93</v>
      </c>
      <c r="O21731">
        <v>250912</v>
      </c>
      <c r="P21731">
        <v>5.0999999999999996</v>
      </c>
    </row>
    <row r="21732" spans="1:16" x14ac:dyDescent="0.25">
      <c r="A21732" t="s">
        <v>3296</v>
      </c>
      <c r="B21732" t="s">
        <v>2931</v>
      </c>
      <c r="C21732">
        <v>11920</v>
      </c>
      <c r="D21732" t="str">
        <f t="shared" si="457"/>
        <v xml:space="preserve">12536021122 </v>
      </c>
      <c r="E21732" t="s">
        <v>309</v>
      </c>
      <c r="F21732" t="s">
        <v>310</v>
      </c>
      <c r="G21732">
        <v>6.58</v>
      </c>
      <c r="H21732">
        <v>250831</v>
      </c>
      <c r="I21732">
        <v>4369</v>
      </c>
      <c r="J21732" t="s">
        <v>188</v>
      </c>
      <c r="K21732">
        <v>65.16</v>
      </c>
      <c r="L21732">
        <v>1.34</v>
      </c>
      <c r="M21732">
        <v>11001</v>
      </c>
      <c r="N21732" t="s">
        <v>93</v>
      </c>
      <c r="O21732">
        <v>250912</v>
      </c>
      <c r="P21732">
        <v>5.24</v>
      </c>
    </row>
    <row r="21733" spans="1:16" x14ac:dyDescent="0.25">
      <c r="A21733" t="s">
        <v>3296</v>
      </c>
      <c r="B21733" t="s">
        <v>2931</v>
      </c>
      <c r="C21733">
        <v>11920</v>
      </c>
      <c r="D21733" t="str">
        <f t="shared" si="457"/>
        <v xml:space="preserve">12536021122 </v>
      </c>
      <c r="E21733" t="s">
        <v>309</v>
      </c>
      <c r="F21733" t="s">
        <v>310</v>
      </c>
      <c r="G21733">
        <v>10.25</v>
      </c>
      <c r="H21733">
        <v>250831</v>
      </c>
      <c r="I21733">
        <v>4369</v>
      </c>
      <c r="J21733" t="s">
        <v>188</v>
      </c>
      <c r="K21733">
        <v>65.16</v>
      </c>
      <c r="L21733">
        <v>2.08</v>
      </c>
      <c r="M21733">
        <v>11301</v>
      </c>
      <c r="N21733" t="s">
        <v>92</v>
      </c>
      <c r="O21733">
        <v>250912</v>
      </c>
      <c r="P21733">
        <v>8.17</v>
      </c>
    </row>
    <row r="21734" spans="1:16" x14ac:dyDescent="0.25">
      <c r="A21734" t="s">
        <v>3296</v>
      </c>
      <c r="B21734" t="s">
        <v>2931</v>
      </c>
      <c r="C21734">
        <v>11920</v>
      </c>
      <c r="D21734" t="str">
        <f t="shared" si="457"/>
        <v xml:space="preserve">12536021122 </v>
      </c>
      <c r="E21734" t="s">
        <v>309</v>
      </c>
      <c r="F21734" t="s">
        <v>310</v>
      </c>
      <c r="G21734">
        <v>6.01</v>
      </c>
      <c r="H21734">
        <v>250831</v>
      </c>
      <c r="I21734">
        <v>4369</v>
      </c>
      <c r="J21734" t="s">
        <v>188</v>
      </c>
      <c r="K21734">
        <v>65.16</v>
      </c>
      <c r="L21734">
        <v>0</v>
      </c>
      <c r="M21734">
        <v>11401</v>
      </c>
      <c r="N21734" t="s">
        <v>91</v>
      </c>
      <c r="O21734">
        <v>250912</v>
      </c>
      <c r="P21734">
        <v>6.01</v>
      </c>
    </row>
    <row r="21735" spans="1:16" x14ac:dyDescent="0.25">
      <c r="A21735" t="s">
        <v>3296</v>
      </c>
      <c r="B21735" t="s">
        <v>2931</v>
      </c>
      <c r="C21735">
        <v>11920</v>
      </c>
      <c r="D21735" t="str">
        <f t="shared" si="457"/>
        <v xml:space="preserve">12536021122 </v>
      </c>
      <c r="E21735" t="s">
        <v>309</v>
      </c>
      <c r="F21735" t="s">
        <v>310</v>
      </c>
      <c r="G21735">
        <v>12.94</v>
      </c>
      <c r="H21735">
        <v>250831</v>
      </c>
      <c r="I21735">
        <v>4369</v>
      </c>
      <c r="J21735" t="s">
        <v>188</v>
      </c>
      <c r="K21735">
        <v>65.16</v>
      </c>
      <c r="L21735">
        <v>2.63</v>
      </c>
      <c r="M21735">
        <v>11401</v>
      </c>
      <c r="N21735" t="s">
        <v>91</v>
      </c>
      <c r="O21735">
        <v>250912</v>
      </c>
      <c r="P21735">
        <v>10.31</v>
      </c>
    </row>
    <row r="21736" spans="1:16" x14ac:dyDescent="0.25">
      <c r="A21736" t="s">
        <v>3296</v>
      </c>
      <c r="B21736" t="s">
        <v>2931</v>
      </c>
      <c r="C21736">
        <v>11920</v>
      </c>
      <c r="D21736" t="str">
        <f t="shared" si="457"/>
        <v xml:space="preserve">12536021122 </v>
      </c>
      <c r="E21736" t="s">
        <v>309</v>
      </c>
      <c r="F21736" t="s">
        <v>310</v>
      </c>
      <c r="G21736">
        <v>3.39</v>
      </c>
      <c r="H21736">
        <v>250831</v>
      </c>
      <c r="I21736">
        <v>4369</v>
      </c>
      <c r="J21736" t="s">
        <v>188</v>
      </c>
      <c r="K21736">
        <v>65.16</v>
      </c>
      <c r="L21736">
        <v>0.69</v>
      </c>
      <c r="M21736">
        <v>11501</v>
      </c>
      <c r="N21736" t="s">
        <v>13</v>
      </c>
      <c r="O21736">
        <v>250912</v>
      </c>
      <c r="P21736">
        <v>2.7</v>
      </c>
    </row>
    <row r="21737" spans="1:16" x14ac:dyDescent="0.25">
      <c r="A21737" t="s">
        <v>3296</v>
      </c>
      <c r="B21737" t="s">
        <v>2931</v>
      </c>
      <c r="C21737">
        <v>11920</v>
      </c>
      <c r="D21737" t="str">
        <f t="shared" si="457"/>
        <v xml:space="preserve">12536021122 </v>
      </c>
      <c r="E21737" t="s">
        <v>309</v>
      </c>
      <c r="F21737" t="s">
        <v>310</v>
      </c>
      <c r="G21737">
        <v>13.19</v>
      </c>
      <c r="H21737">
        <v>250831</v>
      </c>
      <c r="I21737">
        <v>4369</v>
      </c>
      <c r="J21737" t="s">
        <v>188</v>
      </c>
      <c r="K21737">
        <v>65.16</v>
      </c>
      <c r="L21737">
        <v>2.68</v>
      </c>
      <c r="M21737">
        <v>18972</v>
      </c>
      <c r="N21737" t="s">
        <v>39</v>
      </c>
      <c r="O21737">
        <v>250912</v>
      </c>
      <c r="P21737">
        <v>10.51</v>
      </c>
    </row>
    <row r="21738" spans="1:16" x14ac:dyDescent="0.25">
      <c r="A21738" t="s">
        <v>3296</v>
      </c>
      <c r="B21738" t="s">
        <v>2931</v>
      </c>
      <c r="C21738">
        <v>11922</v>
      </c>
      <c r="D21738" t="str">
        <f t="shared" ref="D21738:D21746" si="458">"12536021130 "</f>
        <v xml:space="preserve">12536021130 </v>
      </c>
      <c r="E21738" t="s">
        <v>309</v>
      </c>
      <c r="F21738" t="s">
        <v>310</v>
      </c>
      <c r="G21738">
        <v>3.38</v>
      </c>
      <c r="H21738">
        <v>250831</v>
      </c>
      <c r="I21738">
        <v>4369</v>
      </c>
      <c r="J21738" t="s">
        <v>188</v>
      </c>
      <c r="K21738">
        <v>37.68</v>
      </c>
      <c r="L21738">
        <v>0.69</v>
      </c>
      <c r="M21738">
        <v>11301</v>
      </c>
      <c r="N21738" t="s">
        <v>92</v>
      </c>
      <c r="O21738">
        <v>250912</v>
      </c>
      <c r="P21738">
        <v>2.69</v>
      </c>
    </row>
    <row r="21739" spans="1:16" x14ac:dyDescent="0.25">
      <c r="A21739" t="s">
        <v>3296</v>
      </c>
      <c r="B21739" t="s">
        <v>2931</v>
      </c>
      <c r="C21739">
        <v>11922</v>
      </c>
      <c r="D21739" t="str">
        <f t="shared" si="458"/>
        <v xml:space="preserve">12536021130 </v>
      </c>
      <c r="E21739" t="s">
        <v>309</v>
      </c>
      <c r="F21739" t="s">
        <v>310</v>
      </c>
      <c r="G21739">
        <v>3.93</v>
      </c>
      <c r="H21739">
        <v>250831</v>
      </c>
      <c r="I21739">
        <v>4369</v>
      </c>
      <c r="J21739" t="s">
        <v>188</v>
      </c>
      <c r="K21739">
        <v>37.68</v>
      </c>
      <c r="L21739">
        <v>0.8</v>
      </c>
      <c r="M21739">
        <v>11900</v>
      </c>
      <c r="N21739" t="s">
        <v>30</v>
      </c>
      <c r="O21739">
        <v>250912</v>
      </c>
      <c r="P21739">
        <v>3.13</v>
      </c>
    </row>
    <row r="21740" spans="1:16" x14ac:dyDescent="0.25">
      <c r="A21740" t="s">
        <v>3296</v>
      </c>
      <c r="B21740" t="s">
        <v>2931</v>
      </c>
      <c r="C21740">
        <v>11922</v>
      </c>
      <c r="D21740" t="str">
        <f t="shared" si="458"/>
        <v xml:space="preserve">12536021130 </v>
      </c>
      <c r="E21740" t="s">
        <v>309</v>
      </c>
      <c r="F21740" t="s">
        <v>310</v>
      </c>
      <c r="G21740">
        <v>6.64</v>
      </c>
      <c r="H21740">
        <v>250831</v>
      </c>
      <c r="I21740">
        <v>4369</v>
      </c>
      <c r="J21740" t="s">
        <v>188</v>
      </c>
      <c r="K21740">
        <v>37.68</v>
      </c>
      <c r="L21740">
        <v>0</v>
      </c>
      <c r="M21740">
        <v>11901</v>
      </c>
      <c r="N21740" t="s">
        <v>31</v>
      </c>
      <c r="O21740">
        <v>250912</v>
      </c>
      <c r="P21740">
        <v>6.64</v>
      </c>
    </row>
    <row r="21741" spans="1:16" x14ac:dyDescent="0.25">
      <c r="A21741" t="s">
        <v>3296</v>
      </c>
      <c r="B21741" t="s">
        <v>2931</v>
      </c>
      <c r="C21741">
        <v>11922</v>
      </c>
      <c r="D21741" t="str">
        <f t="shared" si="458"/>
        <v xml:space="preserve">12536021130 </v>
      </c>
      <c r="E21741" t="s">
        <v>309</v>
      </c>
      <c r="F21741" t="s">
        <v>310</v>
      </c>
      <c r="G21741">
        <v>6.78</v>
      </c>
      <c r="H21741">
        <v>250831</v>
      </c>
      <c r="I21741">
        <v>4369</v>
      </c>
      <c r="J21741" t="s">
        <v>188</v>
      </c>
      <c r="K21741">
        <v>37.68</v>
      </c>
      <c r="L21741">
        <v>1.38</v>
      </c>
      <c r="M21741">
        <v>11901</v>
      </c>
      <c r="N21741" t="s">
        <v>31</v>
      </c>
      <c r="O21741">
        <v>250912</v>
      </c>
      <c r="P21741">
        <v>5.4</v>
      </c>
    </row>
    <row r="21742" spans="1:16" x14ac:dyDescent="0.25">
      <c r="A21742" t="s">
        <v>3296</v>
      </c>
      <c r="B21742" t="s">
        <v>2931</v>
      </c>
      <c r="C21742">
        <v>11922</v>
      </c>
      <c r="D21742" t="str">
        <f t="shared" si="458"/>
        <v xml:space="preserve">12536021130 </v>
      </c>
      <c r="E21742" t="s">
        <v>309</v>
      </c>
      <c r="F21742" t="s">
        <v>310</v>
      </c>
      <c r="G21742">
        <v>3.39</v>
      </c>
      <c r="H21742">
        <v>250831</v>
      </c>
      <c r="I21742">
        <v>4369</v>
      </c>
      <c r="J21742" t="s">
        <v>188</v>
      </c>
      <c r="K21742">
        <v>37.68</v>
      </c>
      <c r="L21742">
        <v>0.69</v>
      </c>
      <c r="M21742">
        <v>11903</v>
      </c>
      <c r="N21742" t="s">
        <v>32</v>
      </c>
      <c r="O21742">
        <v>250912</v>
      </c>
      <c r="P21742">
        <v>2.7</v>
      </c>
    </row>
    <row r="21743" spans="1:16" x14ac:dyDescent="0.25">
      <c r="A21743" t="s">
        <v>3296</v>
      </c>
      <c r="B21743" t="s">
        <v>2931</v>
      </c>
      <c r="C21743">
        <v>11922</v>
      </c>
      <c r="D21743" t="str">
        <f t="shared" si="458"/>
        <v xml:space="preserve">12536021130 </v>
      </c>
      <c r="E21743" t="s">
        <v>309</v>
      </c>
      <c r="F21743" t="s">
        <v>310</v>
      </c>
      <c r="G21743">
        <v>3.39</v>
      </c>
      <c r="H21743">
        <v>250831</v>
      </c>
      <c r="I21743">
        <v>4369</v>
      </c>
      <c r="J21743" t="s">
        <v>188</v>
      </c>
      <c r="K21743">
        <v>37.68</v>
      </c>
      <c r="L21743">
        <v>0.69</v>
      </c>
      <c r="M21743">
        <v>11903</v>
      </c>
      <c r="N21743" t="s">
        <v>32</v>
      </c>
      <c r="O21743">
        <v>250912</v>
      </c>
      <c r="P21743">
        <v>2.7</v>
      </c>
    </row>
    <row r="21744" spans="1:16" x14ac:dyDescent="0.25">
      <c r="A21744" t="s">
        <v>3296</v>
      </c>
      <c r="B21744" t="s">
        <v>2931</v>
      </c>
      <c r="C21744">
        <v>11922</v>
      </c>
      <c r="D21744" t="str">
        <f t="shared" si="458"/>
        <v xml:space="preserve">12536021130 </v>
      </c>
      <c r="E21744" t="s">
        <v>309</v>
      </c>
      <c r="F21744" t="s">
        <v>310</v>
      </c>
      <c r="G21744">
        <v>3.39</v>
      </c>
      <c r="H21744">
        <v>250831</v>
      </c>
      <c r="I21744">
        <v>4369</v>
      </c>
      <c r="J21744" t="s">
        <v>188</v>
      </c>
      <c r="K21744">
        <v>37.68</v>
      </c>
      <c r="L21744">
        <v>0.69</v>
      </c>
      <c r="M21744">
        <v>11903</v>
      </c>
      <c r="N21744" t="s">
        <v>32</v>
      </c>
      <c r="O21744">
        <v>250912</v>
      </c>
      <c r="P21744">
        <v>2.7</v>
      </c>
    </row>
    <row r="21745" spans="1:16" x14ac:dyDescent="0.25">
      <c r="A21745" t="s">
        <v>3296</v>
      </c>
      <c r="B21745" t="s">
        <v>2931</v>
      </c>
      <c r="C21745">
        <v>11922</v>
      </c>
      <c r="D21745" t="str">
        <f t="shared" si="458"/>
        <v xml:space="preserve">12536021130 </v>
      </c>
      <c r="E21745" t="s">
        <v>309</v>
      </c>
      <c r="F21745" t="s">
        <v>310</v>
      </c>
      <c r="G21745">
        <v>3.39</v>
      </c>
      <c r="H21745">
        <v>250831</v>
      </c>
      <c r="I21745">
        <v>4369</v>
      </c>
      <c r="J21745" t="s">
        <v>188</v>
      </c>
      <c r="K21745">
        <v>37.68</v>
      </c>
      <c r="L21745">
        <v>0.69</v>
      </c>
      <c r="M21745">
        <v>11905</v>
      </c>
      <c r="N21745" t="s">
        <v>643</v>
      </c>
      <c r="O21745">
        <v>250912</v>
      </c>
      <c r="P21745">
        <v>2.7</v>
      </c>
    </row>
    <row r="21746" spans="1:16" x14ac:dyDescent="0.25">
      <c r="A21746" t="s">
        <v>3296</v>
      </c>
      <c r="B21746" t="s">
        <v>2931</v>
      </c>
      <c r="C21746">
        <v>11922</v>
      </c>
      <c r="D21746" t="str">
        <f t="shared" si="458"/>
        <v xml:space="preserve">12536021130 </v>
      </c>
      <c r="E21746" t="s">
        <v>309</v>
      </c>
      <c r="F21746" t="s">
        <v>310</v>
      </c>
      <c r="G21746">
        <v>3.39</v>
      </c>
      <c r="H21746">
        <v>250831</v>
      </c>
      <c r="I21746">
        <v>4369</v>
      </c>
      <c r="J21746" t="s">
        <v>188</v>
      </c>
      <c r="K21746">
        <v>37.68</v>
      </c>
      <c r="L21746">
        <v>0.69</v>
      </c>
      <c r="M21746">
        <v>12500</v>
      </c>
      <c r="N21746" t="s">
        <v>1502</v>
      </c>
      <c r="O21746">
        <v>250912</v>
      </c>
      <c r="P21746">
        <v>2.7</v>
      </c>
    </row>
    <row r="21747" spans="1:16" x14ac:dyDescent="0.25">
      <c r="A21747" t="s">
        <v>3296</v>
      </c>
      <c r="B21747" t="s">
        <v>2931</v>
      </c>
      <c r="C21747">
        <v>11925</v>
      </c>
      <c r="D21747" t="str">
        <f t="shared" ref="D21747:D21757" si="459">"12536021131 "</f>
        <v xml:space="preserve">12536021131 </v>
      </c>
      <c r="E21747" t="s">
        <v>309</v>
      </c>
      <c r="F21747" t="s">
        <v>310</v>
      </c>
      <c r="G21747">
        <v>3.39</v>
      </c>
      <c r="H21747">
        <v>250831</v>
      </c>
      <c r="I21747">
        <v>4369</v>
      </c>
      <c r="J21747" t="s">
        <v>188</v>
      </c>
      <c r="K21747">
        <v>79.319999999999993</v>
      </c>
      <c r="L21747">
        <v>0.69</v>
      </c>
      <c r="M21747">
        <v>51157</v>
      </c>
      <c r="N21747" t="s">
        <v>998</v>
      </c>
      <c r="O21747">
        <v>250912</v>
      </c>
      <c r="P21747">
        <v>2.7</v>
      </c>
    </row>
    <row r="21748" spans="1:16" x14ac:dyDescent="0.25">
      <c r="A21748" t="s">
        <v>3296</v>
      </c>
      <c r="B21748" t="s">
        <v>2931</v>
      </c>
      <c r="C21748">
        <v>11925</v>
      </c>
      <c r="D21748" t="str">
        <f t="shared" si="459"/>
        <v xml:space="preserve">12536021131 </v>
      </c>
      <c r="E21748" t="s">
        <v>309</v>
      </c>
      <c r="F21748" t="s">
        <v>310</v>
      </c>
      <c r="G21748">
        <v>3.39</v>
      </c>
      <c r="H21748">
        <v>250831</v>
      </c>
      <c r="I21748">
        <v>4369</v>
      </c>
      <c r="J21748" t="s">
        <v>188</v>
      </c>
      <c r="K21748">
        <v>79.319999999999993</v>
      </c>
      <c r="L21748">
        <v>0.69</v>
      </c>
      <c r="M21748">
        <v>56526</v>
      </c>
      <c r="N21748" t="s">
        <v>506</v>
      </c>
      <c r="O21748">
        <v>250912</v>
      </c>
      <c r="P21748">
        <v>2.7</v>
      </c>
    </row>
    <row r="21749" spans="1:16" x14ac:dyDescent="0.25">
      <c r="A21749" t="s">
        <v>3296</v>
      </c>
      <c r="B21749" t="s">
        <v>2931</v>
      </c>
      <c r="C21749">
        <v>11925</v>
      </c>
      <c r="D21749" t="str">
        <f t="shared" si="459"/>
        <v xml:space="preserve">12536021131 </v>
      </c>
      <c r="E21749" t="s">
        <v>309</v>
      </c>
      <c r="F21749" t="s">
        <v>310</v>
      </c>
      <c r="G21749">
        <v>24.2</v>
      </c>
      <c r="H21749">
        <v>250831</v>
      </c>
      <c r="I21749">
        <v>4369</v>
      </c>
      <c r="J21749" t="s">
        <v>188</v>
      </c>
      <c r="K21749">
        <v>79.319999999999993</v>
      </c>
      <c r="L21749">
        <v>4.92</v>
      </c>
      <c r="M21749">
        <v>56558</v>
      </c>
      <c r="N21749" t="s">
        <v>50</v>
      </c>
      <c r="O21749">
        <v>250912</v>
      </c>
      <c r="P21749">
        <v>19.28</v>
      </c>
    </row>
    <row r="21750" spans="1:16" x14ac:dyDescent="0.25">
      <c r="A21750" t="s">
        <v>3296</v>
      </c>
      <c r="B21750" t="s">
        <v>2931</v>
      </c>
      <c r="C21750">
        <v>11925</v>
      </c>
      <c r="D21750" t="str">
        <f t="shared" si="459"/>
        <v xml:space="preserve">12536021131 </v>
      </c>
      <c r="E21750" t="s">
        <v>309</v>
      </c>
      <c r="F21750" t="s">
        <v>310</v>
      </c>
      <c r="G21750">
        <v>10.98</v>
      </c>
      <c r="H21750">
        <v>250831</v>
      </c>
      <c r="I21750">
        <v>4369</v>
      </c>
      <c r="J21750" t="s">
        <v>188</v>
      </c>
      <c r="K21750">
        <v>79.319999999999993</v>
      </c>
      <c r="L21750">
        <v>2.23</v>
      </c>
      <c r="M21750">
        <v>56559</v>
      </c>
      <c r="N21750" t="s">
        <v>51</v>
      </c>
      <c r="O21750">
        <v>250912</v>
      </c>
      <c r="P21750">
        <v>8.75</v>
      </c>
    </row>
    <row r="21751" spans="1:16" x14ac:dyDescent="0.25">
      <c r="A21751" t="s">
        <v>3296</v>
      </c>
      <c r="B21751" t="s">
        <v>2931</v>
      </c>
      <c r="C21751">
        <v>11925</v>
      </c>
      <c r="D21751" t="str">
        <f t="shared" si="459"/>
        <v xml:space="preserve">12536021131 </v>
      </c>
      <c r="E21751" t="s">
        <v>309</v>
      </c>
      <c r="F21751" t="s">
        <v>310</v>
      </c>
      <c r="G21751">
        <v>6.77</v>
      </c>
      <c r="H21751">
        <v>250831</v>
      </c>
      <c r="I21751">
        <v>4369</v>
      </c>
      <c r="J21751" t="s">
        <v>188</v>
      </c>
      <c r="K21751">
        <v>79.319999999999993</v>
      </c>
      <c r="L21751">
        <v>1.38</v>
      </c>
      <c r="M21751">
        <v>56560</v>
      </c>
      <c r="N21751" t="s">
        <v>52</v>
      </c>
      <c r="O21751">
        <v>250912</v>
      </c>
      <c r="P21751">
        <v>5.39</v>
      </c>
    </row>
    <row r="21752" spans="1:16" x14ac:dyDescent="0.25">
      <c r="A21752" t="s">
        <v>3296</v>
      </c>
      <c r="B21752" t="s">
        <v>2931</v>
      </c>
      <c r="C21752">
        <v>11925</v>
      </c>
      <c r="D21752" t="str">
        <f t="shared" si="459"/>
        <v xml:space="preserve">12536021131 </v>
      </c>
      <c r="E21752" t="s">
        <v>309</v>
      </c>
      <c r="F21752" t="s">
        <v>310</v>
      </c>
      <c r="G21752">
        <v>3.39</v>
      </c>
      <c r="H21752">
        <v>250831</v>
      </c>
      <c r="I21752">
        <v>4369</v>
      </c>
      <c r="J21752" t="s">
        <v>188</v>
      </c>
      <c r="K21752">
        <v>79.319999999999993</v>
      </c>
      <c r="L21752">
        <v>0.69</v>
      </c>
      <c r="M21752">
        <v>56561</v>
      </c>
      <c r="N21752" t="s">
        <v>53</v>
      </c>
      <c r="O21752">
        <v>250912</v>
      </c>
      <c r="P21752">
        <v>2.7</v>
      </c>
    </row>
    <row r="21753" spans="1:16" x14ac:dyDescent="0.25">
      <c r="A21753" t="s">
        <v>3296</v>
      </c>
      <c r="B21753" t="s">
        <v>2931</v>
      </c>
      <c r="C21753">
        <v>11925</v>
      </c>
      <c r="D21753" t="str">
        <f t="shared" si="459"/>
        <v xml:space="preserve">12536021131 </v>
      </c>
      <c r="E21753" t="s">
        <v>309</v>
      </c>
      <c r="F21753" t="s">
        <v>310</v>
      </c>
      <c r="G21753">
        <v>10.16</v>
      </c>
      <c r="H21753">
        <v>250831</v>
      </c>
      <c r="I21753">
        <v>4369</v>
      </c>
      <c r="J21753" t="s">
        <v>188</v>
      </c>
      <c r="K21753">
        <v>79.319999999999993</v>
      </c>
      <c r="L21753">
        <v>2.06</v>
      </c>
      <c r="M21753">
        <v>56562</v>
      </c>
      <c r="N21753" t="s">
        <v>54</v>
      </c>
      <c r="O21753">
        <v>250912</v>
      </c>
      <c r="P21753">
        <v>8.1</v>
      </c>
    </row>
    <row r="21754" spans="1:16" x14ac:dyDescent="0.25">
      <c r="A21754" t="s">
        <v>3296</v>
      </c>
      <c r="B21754" t="s">
        <v>2931</v>
      </c>
      <c r="C21754">
        <v>11925</v>
      </c>
      <c r="D21754" t="str">
        <f t="shared" si="459"/>
        <v xml:space="preserve">12536021131 </v>
      </c>
      <c r="E21754" t="s">
        <v>309</v>
      </c>
      <c r="F21754" t="s">
        <v>310</v>
      </c>
      <c r="G21754">
        <v>3.39</v>
      </c>
      <c r="H21754">
        <v>250831</v>
      </c>
      <c r="I21754">
        <v>4369</v>
      </c>
      <c r="J21754" t="s">
        <v>188</v>
      </c>
      <c r="K21754">
        <v>79.319999999999993</v>
      </c>
      <c r="L21754">
        <v>0.69</v>
      </c>
      <c r="M21754">
        <v>56564</v>
      </c>
      <c r="N21754" t="s">
        <v>56</v>
      </c>
      <c r="O21754">
        <v>250912</v>
      </c>
      <c r="P21754">
        <v>2.7</v>
      </c>
    </row>
    <row r="21755" spans="1:16" x14ac:dyDescent="0.25">
      <c r="A21755" t="s">
        <v>3296</v>
      </c>
      <c r="B21755" t="s">
        <v>2931</v>
      </c>
      <c r="C21755">
        <v>11925</v>
      </c>
      <c r="D21755" t="str">
        <f t="shared" si="459"/>
        <v xml:space="preserve">12536021131 </v>
      </c>
      <c r="E21755" t="s">
        <v>309</v>
      </c>
      <c r="F21755" t="s">
        <v>310</v>
      </c>
      <c r="G21755">
        <v>3.52</v>
      </c>
      <c r="H21755">
        <v>250831</v>
      </c>
      <c r="I21755">
        <v>4369</v>
      </c>
      <c r="J21755" t="s">
        <v>188</v>
      </c>
      <c r="K21755">
        <v>79.319999999999993</v>
      </c>
      <c r="L21755">
        <v>0.72</v>
      </c>
      <c r="M21755">
        <v>56565</v>
      </c>
      <c r="N21755" t="s">
        <v>57</v>
      </c>
      <c r="O21755">
        <v>250912</v>
      </c>
      <c r="P21755">
        <v>2.8</v>
      </c>
    </row>
    <row r="21756" spans="1:16" x14ac:dyDescent="0.25">
      <c r="A21756" t="s">
        <v>3296</v>
      </c>
      <c r="B21756" t="s">
        <v>2931</v>
      </c>
      <c r="C21756">
        <v>11925</v>
      </c>
      <c r="D21756" t="str">
        <f t="shared" si="459"/>
        <v xml:space="preserve">12536021131 </v>
      </c>
      <c r="E21756" t="s">
        <v>309</v>
      </c>
      <c r="F21756" t="s">
        <v>310</v>
      </c>
      <c r="G21756">
        <v>6.74</v>
      </c>
      <c r="H21756">
        <v>250831</v>
      </c>
      <c r="I21756">
        <v>4369</v>
      </c>
      <c r="J21756" t="s">
        <v>188</v>
      </c>
      <c r="K21756">
        <v>79.319999999999993</v>
      </c>
      <c r="L21756">
        <v>1.37</v>
      </c>
      <c r="M21756">
        <v>56566</v>
      </c>
      <c r="N21756" t="s">
        <v>58</v>
      </c>
      <c r="O21756">
        <v>250912</v>
      </c>
      <c r="P21756">
        <v>5.37</v>
      </c>
    </row>
    <row r="21757" spans="1:16" x14ac:dyDescent="0.25">
      <c r="A21757" t="s">
        <v>3296</v>
      </c>
      <c r="B21757" t="s">
        <v>2931</v>
      </c>
      <c r="C21757">
        <v>11925</v>
      </c>
      <c r="D21757" t="str">
        <f t="shared" si="459"/>
        <v xml:space="preserve">12536021131 </v>
      </c>
      <c r="E21757" t="s">
        <v>309</v>
      </c>
      <c r="F21757" t="s">
        <v>310</v>
      </c>
      <c r="G21757">
        <v>3.39</v>
      </c>
      <c r="H21757">
        <v>250831</v>
      </c>
      <c r="I21757">
        <v>4369</v>
      </c>
      <c r="J21757" t="s">
        <v>188</v>
      </c>
      <c r="K21757">
        <v>79.319999999999993</v>
      </c>
      <c r="L21757">
        <v>0.69</v>
      </c>
      <c r="M21757">
        <v>56568</v>
      </c>
      <c r="N21757" t="s">
        <v>354</v>
      </c>
      <c r="O21757">
        <v>250912</v>
      </c>
      <c r="P21757">
        <v>2.7</v>
      </c>
    </row>
    <row r="21758" spans="1:16" x14ac:dyDescent="0.25">
      <c r="A21758" t="s">
        <v>3296</v>
      </c>
      <c r="B21758" t="s">
        <v>2931</v>
      </c>
      <c r="C21758">
        <v>12010</v>
      </c>
      <c r="D21758" t="str">
        <f t="shared" ref="D21758:D21765" si="460">"12536021124 "</f>
        <v xml:space="preserve">12536021124 </v>
      </c>
      <c r="E21758" t="s">
        <v>309</v>
      </c>
      <c r="F21758" t="s">
        <v>310</v>
      </c>
      <c r="G21758">
        <v>6.75</v>
      </c>
      <c r="H21758">
        <v>250831</v>
      </c>
      <c r="I21758">
        <v>4369</v>
      </c>
      <c r="J21758" t="s">
        <v>188</v>
      </c>
      <c r="K21758">
        <v>102.48</v>
      </c>
      <c r="L21758">
        <v>1.37</v>
      </c>
      <c r="M21758">
        <v>14971</v>
      </c>
      <c r="N21758" t="s">
        <v>81</v>
      </c>
      <c r="O21758">
        <v>250915</v>
      </c>
      <c r="P21758">
        <v>5.38</v>
      </c>
    </row>
    <row r="21759" spans="1:16" x14ac:dyDescent="0.25">
      <c r="A21759" t="s">
        <v>3296</v>
      </c>
      <c r="B21759" t="s">
        <v>2931</v>
      </c>
      <c r="C21759">
        <v>12010</v>
      </c>
      <c r="D21759" t="str">
        <f t="shared" si="460"/>
        <v xml:space="preserve">12536021124 </v>
      </c>
      <c r="E21759" t="s">
        <v>309</v>
      </c>
      <c r="F21759" t="s">
        <v>310</v>
      </c>
      <c r="G21759">
        <v>6.65</v>
      </c>
      <c r="H21759">
        <v>250831</v>
      </c>
      <c r="I21759">
        <v>4369</v>
      </c>
      <c r="J21759" t="s">
        <v>188</v>
      </c>
      <c r="K21759">
        <v>102.48</v>
      </c>
      <c r="L21759">
        <v>1.35</v>
      </c>
      <c r="M21759">
        <v>17972</v>
      </c>
      <c r="N21759" t="s">
        <v>28</v>
      </c>
      <c r="O21759">
        <v>250915</v>
      </c>
      <c r="P21759">
        <v>5.3</v>
      </c>
    </row>
    <row r="21760" spans="1:16" x14ac:dyDescent="0.25">
      <c r="A21760" t="s">
        <v>3296</v>
      </c>
      <c r="B21760" t="s">
        <v>2931</v>
      </c>
      <c r="C21760">
        <v>12010</v>
      </c>
      <c r="D21760" t="str">
        <f t="shared" si="460"/>
        <v xml:space="preserve">12536021124 </v>
      </c>
      <c r="E21760" t="s">
        <v>309</v>
      </c>
      <c r="F21760" t="s">
        <v>310</v>
      </c>
      <c r="G21760">
        <v>30.85</v>
      </c>
      <c r="H21760">
        <v>250831</v>
      </c>
      <c r="I21760">
        <v>4369</v>
      </c>
      <c r="J21760" t="s">
        <v>188</v>
      </c>
      <c r="K21760">
        <v>102.48</v>
      </c>
      <c r="L21760">
        <v>6.27</v>
      </c>
      <c r="M21760">
        <v>18010</v>
      </c>
      <c r="N21760" t="s">
        <v>36</v>
      </c>
      <c r="O21760">
        <v>250915</v>
      </c>
      <c r="P21760">
        <v>24.58</v>
      </c>
    </row>
    <row r="21761" spans="1:16" x14ac:dyDescent="0.25">
      <c r="A21761" t="s">
        <v>3296</v>
      </c>
      <c r="B21761" t="s">
        <v>2931</v>
      </c>
      <c r="C21761">
        <v>12010</v>
      </c>
      <c r="D21761" t="str">
        <f t="shared" si="460"/>
        <v xml:space="preserve">12536021124 </v>
      </c>
      <c r="E21761" t="s">
        <v>309</v>
      </c>
      <c r="F21761" t="s">
        <v>310</v>
      </c>
      <c r="G21761">
        <v>3.39</v>
      </c>
      <c r="H21761">
        <v>250831</v>
      </c>
      <c r="I21761">
        <v>4369</v>
      </c>
      <c r="J21761" t="s">
        <v>188</v>
      </c>
      <c r="K21761">
        <v>102.48</v>
      </c>
      <c r="L21761">
        <v>0.69</v>
      </c>
      <c r="M21761">
        <v>18120</v>
      </c>
      <c r="N21761" t="s">
        <v>37</v>
      </c>
      <c r="O21761">
        <v>250915</v>
      </c>
      <c r="P21761">
        <v>2.7</v>
      </c>
    </row>
    <row r="21762" spans="1:16" x14ac:dyDescent="0.25">
      <c r="A21762" t="s">
        <v>3296</v>
      </c>
      <c r="B21762" t="s">
        <v>2931</v>
      </c>
      <c r="C21762">
        <v>12010</v>
      </c>
      <c r="D21762" t="str">
        <f t="shared" si="460"/>
        <v xml:space="preserve">12536021124 </v>
      </c>
      <c r="E21762" t="s">
        <v>309</v>
      </c>
      <c r="F21762" t="s">
        <v>310</v>
      </c>
      <c r="G21762">
        <v>6.4</v>
      </c>
      <c r="H21762">
        <v>250831</v>
      </c>
      <c r="I21762">
        <v>4369</v>
      </c>
      <c r="J21762" t="s">
        <v>188</v>
      </c>
      <c r="K21762">
        <v>102.48</v>
      </c>
      <c r="L21762">
        <v>1.3</v>
      </c>
      <c r="M21762">
        <v>18971</v>
      </c>
      <c r="N21762" t="s">
        <v>38</v>
      </c>
      <c r="O21762">
        <v>250915</v>
      </c>
      <c r="P21762">
        <v>5.0999999999999996</v>
      </c>
    </row>
    <row r="21763" spans="1:16" x14ac:dyDescent="0.25">
      <c r="A21763" t="s">
        <v>3296</v>
      </c>
      <c r="B21763" t="s">
        <v>2931</v>
      </c>
      <c r="C21763">
        <v>12010</v>
      </c>
      <c r="D21763" t="str">
        <f t="shared" si="460"/>
        <v xml:space="preserve">12536021124 </v>
      </c>
      <c r="E21763" t="s">
        <v>309</v>
      </c>
      <c r="F21763" t="s">
        <v>310</v>
      </c>
      <c r="G21763">
        <v>38.200000000000003</v>
      </c>
      <c r="H21763">
        <v>250831</v>
      </c>
      <c r="I21763">
        <v>4369</v>
      </c>
      <c r="J21763" t="s">
        <v>188</v>
      </c>
      <c r="K21763">
        <v>102.48</v>
      </c>
      <c r="L21763">
        <v>7.76</v>
      </c>
      <c r="M21763">
        <v>18972</v>
      </c>
      <c r="N21763" t="s">
        <v>39</v>
      </c>
      <c r="O21763">
        <v>250915</v>
      </c>
      <c r="P21763">
        <v>30.44</v>
      </c>
    </row>
    <row r="21764" spans="1:16" x14ac:dyDescent="0.25">
      <c r="A21764" t="s">
        <v>3296</v>
      </c>
      <c r="B21764" t="s">
        <v>2931</v>
      </c>
      <c r="C21764">
        <v>12010</v>
      </c>
      <c r="D21764" t="str">
        <f t="shared" si="460"/>
        <v xml:space="preserve">12536021124 </v>
      </c>
      <c r="E21764" t="s">
        <v>309</v>
      </c>
      <c r="F21764" t="s">
        <v>310</v>
      </c>
      <c r="G21764">
        <v>3.65</v>
      </c>
      <c r="H21764">
        <v>250831</v>
      </c>
      <c r="I21764">
        <v>4369</v>
      </c>
      <c r="J21764" t="s">
        <v>188</v>
      </c>
      <c r="K21764">
        <v>102.48</v>
      </c>
      <c r="L21764">
        <v>0.74</v>
      </c>
      <c r="M21764">
        <v>49702</v>
      </c>
      <c r="N21764" t="s">
        <v>112</v>
      </c>
      <c r="O21764">
        <v>250915</v>
      </c>
      <c r="P21764">
        <v>2.91</v>
      </c>
    </row>
    <row r="21765" spans="1:16" x14ac:dyDescent="0.25">
      <c r="A21765" t="s">
        <v>3296</v>
      </c>
      <c r="B21765" t="s">
        <v>2931</v>
      </c>
      <c r="C21765">
        <v>12010</v>
      </c>
      <c r="D21765" t="str">
        <f t="shared" si="460"/>
        <v xml:space="preserve">12536021124 </v>
      </c>
      <c r="E21765" t="s">
        <v>309</v>
      </c>
      <c r="F21765" t="s">
        <v>310</v>
      </c>
      <c r="G21765">
        <v>6.59</v>
      </c>
      <c r="H21765">
        <v>250831</v>
      </c>
      <c r="I21765">
        <v>4369</v>
      </c>
      <c r="J21765" t="s">
        <v>188</v>
      </c>
      <c r="K21765">
        <v>102.48</v>
      </c>
      <c r="L21765">
        <v>1.34</v>
      </c>
      <c r="M21765">
        <v>59702</v>
      </c>
      <c r="N21765" t="s">
        <v>45</v>
      </c>
      <c r="O21765">
        <v>250915</v>
      </c>
      <c r="P21765">
        <v>5.25</v>
      </c>
    </row>
    <row r="21766" spans="1:16" x14ac:dyDescent="0.25">
      <c r="A21766" t="s">
        <v>3296</v>
      </c>
      <c r="B21766" t="s">
        <v>2931</v>
      </c>
      <c r="C21766">
        <v>12011</v>
      </c>
      <c r="D21766" t="str">
        <f t="shared" ref="D21766:D21774" si="461">"12536021151 "</f>
        <v xml:space="preserve">12536021151 </v>
      </c>
      <c r="E21766" t="s">
        <v>309</v>
      </c>
      <c r="F21766" t="s">
        <v>310</v>
      </c>
      <c r="G21766">
        <v>3.4</v>
      </c>
      <c r="H21766">
        <v>250831</v>
      </c>
      <c r="I21766">
        <v>4369</v>
      </c>
      <c r="J21766" t="s">
        <v>188</v>
      </c>
      <c r="K21766">
        <v>142.27000000000001</v>
      </c>
      <c r="L21766">
        <v>0</v>
      </c>
      <c r="M21766">
        <v>13201</v>
      </c>
      <c r="N21766" t="s">
        <v>269</v>
      </c>
      <c r="O21766">
        <v>250915</v>
      </c>
      <c r="P21766">
        <v>3.4</v>
      </c>
    </row>
    <row r="21767" spans="1:16" x14ac:dyDescent="0.25">
      <c r="A21767" t="s">
        <v>3296</v>
      </c>
      <c r="B21767" t="s">
        <v>2931</v>
      </c>
      <c r="C21767">
        <v>12011</v>
      </c>
      <c r="D21767" t="str">
        <f t="shared" si="461"/>
        <v xml:space="preserve">12536021151 </v>
      </c>
      <c r="E21767" t="s">
        <v>309</v>
      </c>
      <c r="F21767" t="s">
        <v>310</v>
      </c>
      <c r="G21767">
        <v>40.47</v>
      </c>
      <c r="H21767">
        <v>250831</v>
      </c>
      <c r="I21767">
        <v>4369</v>
      </c>
      <c r="J21767" t="s">
        <v>188</v>
      </c>
      <c r="K21767">
        <v>142.27000000000001</v>
      </c>
      <c r="L21767">
        <v>8.2200000000000006</v>
      </c>
      <c r="M21767">
        <v>13401</v>
      </c>
      <c r="N21767" t="s">
        <v>10</v>
      </c>
      <c r="O21767">
        <v>250915</v>
      </c>
      <c r="P21767">
        <v>32.25</v>
      </c>
    </row>
    <row r="21768" spans="1:16" x14ac:dyDescent="0.25">
      <c r="A21768" t="s">
        <v>3296</v>
      </c>
      <c r="B21768" t="s">
        <v>2931</v>
      </c>
      <c r="C21768">
        <v>12011</v>
      </c>
      <c r="D21768" t="str">
        <f t="shared" si="461"/>
        <v xml:space="preserve">12536021151 </v>
      </c>
      <c r="E21768" t="s">
        <v>309</v>
      </c>
      <c r="F21768" t="s">
        <v>310</v>
      </c>
      <c r="G21768">
        <v>6.91</v>
      </c>
      <c r="H21768">
        <v>250831</v>
      </c>
      <c r="I21768">
        <v>4369</v>
      </c>
      <c r="J21768" t="s">
        <v>188</v>
      </c>
      <c r="K21768">
        <v>142.27000000000001</v>
      </c>
      <c r="L21768">
        <v>1.4</v>
      </c>
      <c r="M21768">
        <v>13401</v>
      </c>
      <c r="N21768" t="s">
        <v>10</v>
      </c>
      <c r="O21768">
        <v>250915</v>
      </c>
      <c r="P21768">
        <v>5.51</v>
      </c>
    </row>
    <row r="21769" spans="1:16" x14ac:dyDescent="0.25">
      <c r="A21769" t="s">
        <v>3296</v>
      </c>
      <c r="B21769" t="s">
        <v>2931</v>
      </c>
      <c r="C21769">
        <v>12011</v>
      </c>
      <c r="D21769" t="str">
        <f t="shared" si="461"/>
        <v xml:space="preserve">12536021151 </v>
      </c>
      <c r="E21769" t="s">
        <v>309</v>
      </c>
      <c r="F21769" t="s">
        <v>310</v>
      </c>
      <c r="G21769">
        <v>34.299999999999997</v>
      </c>
      <c r="H21769">
        <v>250831</v>
      </c>
      <c r="I21769">
        <v>4369</v>
      </c>
      <c r="J21769" t="s">
        <v>188</v>
      </c>
      <c r="K21769">
        <v>142.27000000000001</v>
      </c>
      <c r="L21769">
        <v>6.97</v>
      </c>
      <c r="M21769">
        <v>13501</v>
      </c>
      <c r="N21769" t="s">
        <v>66</v>
      </c>
      <c r="O21769">
        <v>250915</v>
      </c>
      <c r="P21769">
        <v>27.33</v>
      </c>
    </row>
    <row r="21770" spans="1:16" x14ac:dyDescent="0.25">
      <c r="A21770" t="s">
        <v>3296</v>
      </c>
      <c r="B21770" t="s">
        <v>2931</v>
      </c>
      <c r="C21770">
        <v>12011</v>
      </c>
      <c r="D21770" t="str">
        <f t="shared" si="461"/>
        <v xml:space="preserve">12536021151 </v>
      </c>
      <c r="E21770" t="s">
        <v>309</v>
      </c>
      <c r="F21770" t="s">
        <v>310</v>
      </c>
      <c r="G21770">
        <v>3.4</v>
      </c>
      <c r="H21770">
        <v>250831</v>
      </c>
      <c r="I21770">
        <v>4369</v>
      </c>
      <c r="J21770" t="s">
        <v>188</v>
      </c>
      <c r="K21770">
        <v>142.27000000000001</v>
      </c>
      <c r="L21770">
        <v>0.69</v>
      </c>
      <c r="M21770">
        <v>13561</v>
      </c>
      <c r="N21770" t="s">
        <v>241</v>
      </c>
      <c r="O21770">
        <v>250915</v>
      </c>
      <c r="P21770">
        <v>2.71</v>
      </c>
    </row>
    <row r="21771" spans="1:16" x14ac:dyDescent="0.25">
      <c r="A21771" t="s">
        <v>3296</v>
      </c>
      <c r="B21771" t="s">
        <v>2931</v>
      </c>
      <c r="C21771">
        <v>12011</v>
      </c>
      <c r="D21771" t="str">
        <f t="shared" si="461"/>
        <v xml:space="preserve">12536021151 </v>
      </c>
      <c r="E21771" t="s">
        <v>309</v>
      </c>
      <c r="F21771" t="s">
        <v>310</v>
      </c>
      <c r="G21771">
        <v>3.4</v>
      </c>
      <c r="H21771">
        <v>250831</v>
      </c>
      <c r="I21771">
        <v>4369</v>
      </c>
      <c r="J21771" t="s">
        <v>188</v>
      </c>
      <c r="K21771">
        <v>142.27000000000001</v>
      </c>
      <c r="L21771">
        <v>0.69</v>
      </c>
      <c r="M21771">
        <v>13561</v>
      </c>
      <c r="N21771" t="s">
        <v>241</v>
      </c>
      <c r="O21771">
        <v>250915</v>
      </c>
      <c r="P21771">
        <v>2.71</v>
      </c>
    </row>
    <row r="21772" spans="1:16" x14ac:dyDescent="0.25">
      <c r="A21772" t="s">
        <v>3296</v>
      </c>
      <c r="B21772" t="s">
        <v>2931</v>
      </c>
      <c r="C21772">
        <v>12011</v>
      </c>
      <c r="D21772" t="str">
        <f t="shared" si="461"/>
        <v xml:space="preserve">12536021151 </v>
      </c>
      <c r="E21772" t="s">
        <v>309</v>
      </c>
      <c r="F21772" t="s">
        <v>310</v>
      </c>
      <c r="G21772">
        <v>19.75</v>
      </c>
      <c r="H21772">
        <v>250831</v>
      </c>
      <c r="I21772">
        <v>4369</v>
      </c>
      <c r="J21772" t="s">
        <v>188</v>
      </c>
      <c r="K21772">
        <v>142.27000000000001</v>
      </c>
      <c r="L21772">
        <v>4.01</v>
      </c>
      <c r="M21772">
        <v>13801</v>
      </c>
      <c r="N21772" t="s">
        <v>33</v>
      </c>
      <c r="O21772">
        <v>250915</v>
      </c>
      <c r="P21772">
        <v>15.74</v>
      </c>
    </row>
    <row r="21773" spans="1:16" x14ac:dyDescent="0.25">
      <c r="A21773" t="s">
        <v>3296</v>
      </c>
      <c r="B21773" t="s">
        <v>2931</v>
      </c>
      <c r="C21773">
        <v>12011</v>
      </c>
      <c r="D21773" t="str">
        <f t="shared" si="461"/>
        <v xml:space="preserve">12536021151 </v>
      </c>
      <c r="E21773" t="s">
        <v>309</v>
      </c>
      <c r="F21773" t="s">
        <v>310</v>
      </c>
      <c r="G21773">
        <v>16.95</v>
      </c>
      <c r="H21773">
        <v>250831</v>
      </c>
      <c r="I21773">
        <v>4369</v>
      </c>
      <c r="J21773" t="s">
        <v>188</v>
      </c>
      <c r="K21773">
        <v>142.27000000000001</v>
      </c>
      <c r="L21773">
        <v>3.44</v>
      </c>
      <c r="M21773">
        <v>13801</v>
      </c>
      <c r="N21773" t="s">
        <v>33</v>
      </c>
      <c r="O21773">
        <v>250915</v>
      </c>
      <c r="P21773">
        <v>13.51</v>
      </c>
    </row>
    <row r="21774" spans="1:16" x14ac:dyDescent="0.25">
      <c r="A21774" t="s">
        <v>3296</v>
      </c>
      <c r="B21774" t="s">
        <v>2931</v>
      </c>
      <c r="C21774">
        <v>12011</v>
      </c>
      <c r="D21774" t="str">
        <f t="shared" si="461"/>
        <v xml:space="preserve">12536021151 </v>
      </c>
      <c r="E21774" t="s">
        <v>309</v>
      </c>
      <c r="F21774" t="s">
        <v>310</v>
      </c>
      <c r="G21774">
        <v>13.69</v>
      </c>
      <c r="H21774">
        <v>250831</v>
      </c>
      <c r="I21774">
        <v>4369</v>
      </c>
      <c r="J21774" t="s">
        <v>188</v>
      </c>
      <c r="K21774">
        <v>142.27000000000001</v>
      </c>
      <c r="L21774">
        <v>2.78</v>
      </c>
      <c r="M21774">
        <v>13802</v>
      </c>
      <c r="N21774" t="s">
        <v>34</v>
      </c>
      <c r="O21774">
        <v>250915</v>
      </c>
      <c r="P21774">
        <v>10.91</v>
      </c>
    </row>
    <row r="21775" spans="1:16" x14ac:dyDescent="0.25">
      <c r="A21775" t="s">
        <v>3296</v>
      </c>
      <c r="B21775" t="s">
        <v>2931</v>
      </c>
      <c r="C21775">
        <v>12251</v>
      </c>
      <c r="D21775" t="str">
        <f>"105535180   "</f>
        <v xml:space="preserve">105535180   </v>
      </c>
      <c r="E21775" t="s">
        <v>309</v>
      </c>
      <c r="F21775" t="s">
        <v>310</v>
      </c>
      <c r="G21775">
        <v>87.85</v>
      </c>
      <c r="H21775">
        <v>250831</v>
      </c>
      <c r="I21775">
        <v>4369</v>
      </c>
      <c r="J21775" t="s">
        <v>188</v>
      </c>
      <c r="K21775">
        <v>87.85</v>
      </c>
      <c r="L21775">
        <v>17.850000000000001</v>
      </c>
      <c r="M21775">
        <v>18972</v>
      </c>
      <c r="N21775" t="s">
        <v>39</v>
      </c>
      <c r="O21775">
        <v>250918</v>
      </c>
      <c r="P21775">
        <v>70</v>
      </c>
    </row>
    <row r="21776" spans="1:16" x14ac:dyDescent="0.25">
      <c r="A21776" t="s">
        <v>3296</v>
      </c>
      <c r="B21776" t="s">
        <v>2931</v>
      </c>
      <c r="C21776">
        <v>12253</v>
      </c>
      <c r="D21776" t="str">
        <f t="shared" ref="D21776:D21783" si="462">"12536021123 "</f>
        <v xml:space="preserve">12536021123 </v>
      </c>
      <c r="E21776" t="s">
        <v>309</v>
      </c>
      <c r="F21776" t="s">
        <v>310</v>
      </c>
      <c r="G21776">
        <v>3.39</v>
      </c>
      <c r="H21776">
        <v>250831</v>
      </c>
      <c r="I21776">
        <v>4369</v>
      </c>
      <c r="J21776" t="s">
        <v>188</v>
      </c>
      <c r="K21776">
        <v>147.31</v>
      </c>
      <c r="L21776">
        <v>0.69</v>
      </c>
      <c r="M21776">
        <v>11001</v>
      </c>
      <c r="N21776" t="s">
        <v>93</v>
      </c>
      <c r="O21776">
        <v>250918</v>
      </c>
      <c r="P21776">
        <v>2.7</v>
      </c>
    </row>
    <row r="21777" spans="1:16" x14ac:dyDescent="0.25">
      <c r="A21777" t="s">
        <v>3296</v>
      </c>
      <c r="B21777" t="s">
        <v>2931</v>
      </c>
      <c r="C21777">
        <v>12253</v>
      </c>
      <c r="D21777" t="str">
        <f t="shared" si="462"/>
        <v xml:space="preserve">12536021123 </v>
      </c>
      <c r="E21777" t="s">
        <v>309</v>
      </c>
      <c r="F21777" t="s">
        <v>310</v>
      </c>
      <c r="G21777">
        <v>93.75</v>
      </c>
      <c r="H21777">
        <v>250831</v>
      </c>
      <c r="I21777">
        <v>4369</v>
      </c>
      <c r="J21777" t="s">
        <v>188</v>
      </c>
      <c r="K21777">
        <v>147.31</v>
      </c>
      <c r="L21777">
        <v>0</v>
      </c>
      <c r="M21777">
        <v>11001</v>
      </c>
      <c r="N21777" t="s">
        <v>93</v>
      </c>
      <c r="O21777">
        <v>250918</v>
      </c>
      <c r="P21777">
        <v>93.75</v>
      </c>
    </row>
    <row r="21778" spans="1:16" x14ac:dyDescent="0.25">
      <c r="A21778" t="s">
        <v>3296</v>
      </c>
      <c r="B21778" t="s">
        <v>2931</v>
      </c>
      <c r="C21778">
        <v>12253</v>
      </c>
      <c r="D21778" t="str">
        <f t="shared" si="462"/>
        <v xml:space="preserve">12536021123 </v>
      </c>
      <c r="E21778" t="s">
        <v>309</v>
      </c>
      <c r="F21778" t="s">
        <v>310</v>
      </c>
      <c r="G21778">
        <v>1.1299999999999999</v>
      </c>
      <c r="H21778">
        <v>250831</v>
      </c>
      <c r="I21778">
        <v>4369</v>
      </c>
      <c r="J21778" t="s">
        <v>188</v>
      </c>
      <c r="K21778">
        <v>147.31</v>
      </c>
      <c r="L21778">
        <v>0.23</v>
      </c>
      <c r="M21778">
        <v>11401</v>
      </c>
      <c r="N21778" t="s">
        <v>91</v>
      </c>
      <c r="O21778">
        <v>250918</v>
      </c>
      <c r="P21778">
        <v>0.9</v>
      </c>
    </row>
    <row r="21779" spans="1:16" x14ac:dyDescent="0.25">
      <c r="A21779" t="s">
        <v>3296</v>
      </c>
      <c r="B21779" t="s">
        <v>2931</v>
      </c>
      <c r="C21779">
        <v>12253</v>
      </c>
      <c r="D21779" t="str">
        <f t="shared" si="462"/>
        <v xml:space="preserve">12536021123 </v>
      </c>
      <c r="E21779" t="s">
        <v>309</v>
      </c>
      <c r="F21779" t="s">
        <v>310</v>
      </c>
      <c r="G21779">
        <v>7.25</v>
      </c>
      <c r="H21779">
        <v>250831</v>
      </c>
      <c r="I21779">
        <v>4369</v>
      </c>
      <c r="J21779" t="s">
        <v>188</v>
      </c>
      <c r="K21779">
        <v>147.31</v>
      </c>
      <c r="L21779">
        <v>1.47</v>
      </c>
      <c r="M21779">
        <v>11501</v>
      </c>
      <c r="N21779" t="s">
        <v>13</v>
      </c>
      <c r="O21779">
        <v>250918</v>
      </c>
      <c r="P21779">
        <v>5.78</v>
      </c>
    </row>
    <row r="21780" spans="1:16" x14ac:dyDescent="0.25">
      <c r="A21780" t="s">
        <v>3296</v>
      </c>
      <c r="B21780" t="s">
        <v>2931</v>
      </c>
      <c r="C21780">
        <v>12253</v>
      </c>
      <c r="D21780" t="str">
        <f t="shared" si="462"/>
        <v xml:space="preserve">12536021123 </v>
      </c>
      <c r="E21780" t="s">
        <v>309</v>
      </c>
      <c r="F21780" t="s">
        <v>310</v>
      </c>
      <c r="G21780">
        <v>3.39</v>
      </c>
      <c r="H21780">
        <v>250831</v>
      </c>
      <c r="I21780">
        <v>4369</v>
      </c>
      <c r="J21780" t="s">
        <v>188</v>
      </c>
      <c r="K21780">
        <v>147.31</v>
      </c>
      <c r="L21780">
        <v>0.69</v>
      </c>
      <c r="M21780">
        <v>11701</v>
      </c>
      <c r="N21780" t="s">
        <v>973</v>
      </c>
      <c r="O21780">
        <v>250918</v>
      </c>
      <c r="P21780">
        <v>2.7</v>
      </c>
    </row>
    <row r="21781" spans="1:16" x14ac:dyDescent="0.25">
      <c r="A21781" t="s">
        <v>3296</v>
      </c>
      <c r="B21781" t="s">
        <v>2931</v>
      </c>
      <c r="C21781">
        <v>12253</v>
      </c>
      <c r="D21781" t="str">
        <f t="shared" si="462"/>
        <v xml:space="preserve">12536021123 </v>
      </c>
      <c r="E21781" t="s">
        <v>309</v>
      </c>
      <c r="F21781" t="s">
        <v>310</v>
      </c>
      <c r="G21781">
        <v>3.39</v>
      </c>
      <c r="H21781">
        <v>250831</v>
      </c>
      <c r="I21781">
        <v>4369</v>
      </c>
      <c r="J21781" t="s">
        <v>188</v>
      </c>
      <c r="K21781">
        <v>147.31</v>
      </c>
      <c r="L21781">
        <v>0.69</v>
      </c>
      <c r="M21781">
        <v>11751</v>
      </c>
      <c r="N21781" t="s">
        <v>167</v>
      </c>
      <c r="O21781">
        <v>250918</v>
      </c>
      <c r="P21781">
        <v>2.7</v>
      </c>
    </row>
    <row r="21782" spans="1:16" x14ac:dyDescent="0.25">
      <c r="A21782" t="s">
        <v>3296</v>
      </c>
      <c r="B21782" t="s">
        <v>2931</v>
      </c>
      <c r="C21782">
        <v>12253</v>
      </c>
      <c r="D21782" t="str">
        <f t="shared" si="462"/>
        <v xml:space="preserve">12536021123 </v>
      </c>
      <c r="E21782" t="s">
        <v>309</v>
      </c>
      <c r="F21782" t="s">
        <v>310</v>
      </c>
      <c r="G21782">
        <v>31.12</v>
      </c>
      <c r="H21782">
        <v>250831</v>
      </c>
      <c r="I21782">
        <v>4369</v>
      </c>
      <c r="J21782" t="s">
        <v>188</v>
      </c>
      <c r="K21782">
        <v>147.31</v>
      </c>
      <c r="L21782">
        <v>6.32</v>
      </c>
      <c r="M21782">
        <v>14622</v>
      </c>
      <c r="N21782" t="s">
        <v>77</v>
      </c>
      <c r="O21782">
        <v>250918</v>
      </c>
      <c r="P21782">
        <v>24.8</v>
      </c>
    </row>
    <row r="21783" spans="1:16" x14ac:dyDescent="0.25">
      <c r="A21783" t="s">
        <v>3296</v>
      </c>
      <c r="B21783" t="s">
        <v>2931</v>
      </c>
      <c r="C21783">
        <v>12253</v>
      </c>
      <c r="D21783" t="str">
        <f t="shared" si="462"/>
        <v xml:space="preserve">12536021123 </v>
      </c>
      <c r="E21783" t="s">
        <v>309</v>
      </c>
      <c r="F21783" t="s">
        <v>310</v>
      </c>
      <c r="G21783">
        <v>3.89</v>
      </c>
      <c r="H21783">
        <v>250831</v>
      </c>
      <c r="I21783">
        <v>4369</v>
      </c>
      <c r="J21783" t="s">
        <v>188</v>
      </c>
      <c r="K21783">
        <v>147.31</v>
      </c>
      <c r="L21783">
        <v>0.79</v>
      </c>
      <c r="M21783">
        <v>14952</v>
      </c>
      <c r="N21783" t="s">
        <v>213</v>
      </c>
      <c r="O21783">
        <v>250918</v>
      </c>
      <c r="P21783">
        <v>3.1</v>
      </c>
    </row>
    <row r="21784" spans="1:16" x14ac:dyDescent="0.25">
      <c r="A21784" t="s">
        <v>3296</v>
      </c>
      <c r="B21784" t="s">
        <v>2931</v>
      </c>
      <c r="C21784">
        <v>12450</v>
      </c>
      <c r="D21784" t="str">
        <f t="shared" ref="D21784:D21804" si="463">"12536021159 "</f>
        <v xml:space="preserve">12536021159 </v>
      </c>
      <c r="E21784" t="s">
        <v>309</v>
      </c>
      <c r="F21784" t="s">
        <v>310</v>
      </c>
      <c r="G21784">
        <v>20.49</v>
      </c>
      <c r="H21784">
        <v>250901</v>
      </c>
      <c r="I21784">
        <v>4369</v>
      </c>
      <c r="J21784" t="s">
        <v>188</v>
      </c>
      <c r="K21784">
        <v>241.42</v>
      </c>
      <c r="L21784">
        <v>4.16</v>
      </c>
      <c r="M21784">
        <v>11601</v>
      </c>
      <c r="N21784" t="s">
        <v>12</v>
      </c>
      <c r="O21784">
        <v>250922</v>
      </c>
      <c r="P21784">
        <v>16.329999999999998</v>
      </c>
    </row>
    <row r="21785" spans="1:16" x14ac:dyDescent="0.25">
      <c r="A21785" t="s">
        <v>3296</v>
      </c>
      <c r="B21785" t="s">
        <v>2931</v>
      </c>
      <c r="C21785">
        <v>12450</v>
      </c>
      <c r="D21785" t="str">
        <f t="shared" si="463"/>
        <v xml:space="preserve">12536021159 </v>
      </c>
      <c r="E21785" t="s">
        <v>309</v>
      </c>
      <c r="F21785" t="s">
        <v>310</v>
      </c>
      <c r="G21785">
        <v>3.19</v>
      </c>
      <c r="H21785">
        <v>250901</v>
      </c>
      <c r="I21785">
        <v>4369</v>
      </c>
      <c r="J21785" t="s">
        <v>188</v>
      </c>
      <c r="K21785">
        <v>241.42</v>
      </c>
      <c r="L21785">
        <v>0.65</v>
      </c>
      <c r="M21785">
        <v>11603</v>
      </c>
      <c r="N21785" t="s">
        <v>897</v>
      </c>
      <c r="O21785">
        <v>250922</v>
      </c>
      <c r="P21785">
        <v>2.54</v>
      </c>
    </row>
    <row r="21786" spans="1:16" x14ac:dyDescent="0.25">
      <c r="A21786" t="s">
        <v>3296</v>
      </c>
      <c r="B21786" t="s">
        <v>2931</v>
      </c>
      <c r="C21786">
        <v>12450</v>
      </c>
      <c r="D21786" t="str">
        <f t="shared" si="463"/>
        <v xml:space="preserve">12536021159 </v>
      </c>
      <c r="E21786" t="s">
        <v>309</v>
      </c>
      <c r="F21786" t="s">
        <v>310</v>
      </c>
      <c r="G21786">
        <v>20.39</v>
      </c>
      <c r="H21786">
        <v>250901</v>
      </c>
      <c r="I21786">
        <v>4369</v>
      </c>
      <c r="J21786" t="s">
        <v>188</v>
      </c>
      <c r="K21786">
        <v>241.42</v>
      </c>
      <c r="L21786">
        <v>4.1399999999999997</v>
      </c>
      <c r="M21786">
        <v>14121</v>
      </c>
      <c r="N21786" t="s">
        <v>71</v>
      </c>
      <c r="O21786">
        <v>250922</v>
      </c>
      <c r="P21786">
        <v>16.25</v>
      </c>
    </row>
    <row r="21787" spans="1:16" x14ac:dyDescent="0.25">
      <c r="A21787" t="s">
        <v>3296</v>
      </c>
      <c r="B21787" t="s">
        <v>2931</v>
      </c>
      <c r="C21787">
        <v>12450</v>
      </c>
      <c r="D21787" t="str">
        <f t="shared" si="463"/>
        <v xml:space="preserve">12536021159 </v>
      </c>
      <c r="E21787" t="s">
        <v>309</v>
      </c>
      <c r="F21787" t="s">
        <v>310</v>
      </c>
      <c r="G21787">
        <v>24.76</v>
      </c>
      <c r="H21787">
        <v>250901</v>
      </c>
      <c r="I21787">
        <v>4369</v>
      </c>
      <c r="J21787" t="s">
        <v>188</v>
      </c>
      <c r="K21787">
        <v>241.42</v>
      </c>
      <c r="L21787">
        <v>5.03</v>
      </c>
      <c r="M21787">
        <v>14321</v>
      </c>
      <c r="N21787" t="s">
        <v>72</v>
      </c>
      <c r="O21787">
        <v>250922</v>
      </c>
      <c r="P21787">
        <v>19.73</v>
      </c>
    </row>
    <row r="21788" spans="1:16" x14ac:dyDescent="0.25">
      <c r="A21788" t="s">
        <v>3296</v>
      </c>
      <c r="B21788" t="s">
        <v>2931</v>
      </c>
      <c r="C21788">
        <v>12450</v>
      </c>
      <c r="D21788" t="str">
        <f t="shared" si="463"/>
        <v xml:space="preserve">12536021159 </v>
      </c>
      <c r="E21788" t="s">
        <v>309</v>
      </c>
      <c r="F21788" t="s">
        <v>310</v>
      </c>
      <c r="G21788">
        <v>15.51</v>
      </c>
      <c r="H21788">
        <v>250901</v>
      </c>
      <c r="I21788">
        <v>4369</v>
      </c>
      <c r="J21788" t="s">
        <v>188</v>
      </c>
      <c r="K21788">
        <v>241.42</v>
      </c>
      <c r="L21788">
        <v>3.15</v>
      </c>
      <c r="M21788">
        <v>14422</v>
      </c>
      <c r="N21788" t="s">
        <v>73</v>
      </c>
      <c r="O21788">
        <v>250922</v>
      </c>
      <c r="P21788">
        <v>12.36</v>
      </c>
    </row>
    <row r="21789" spans="1:16" x14ac:dyDescent="0.25">
      <c r="A21789" t="s">
        <v>3296</v>
      </c>
      <c r="B21789" t="s">
        <v>2931</v>
      </c>
      <c r="C21789">
        <v>12450</v>
      </c>
      <c r="D21789" t="str">
        <f t="shared" si="463"/>
        <v xml:space="preserve">12536021159 </v>
      </c>
      <c r="E21789" t="s">
        <v>309</v>
      </c>
      <c r="F21789" t="s">
        <v>310</v>
      </c>
      <c r="G21789">
        <v>10.17</v>
      </c>
      <c r="H21789">
        <v>250901</v>
      </c>
      <c r="I21789">
        <v>4369</v>
      </c>
      <c r="J21789" t="s">
        <v>188</v>
      </c>
      <c r="K21789">
        <v>241.42</v>
      </c>
      <c r="L21789">
        <v>2.0699999999999998</v>
      </c>
      <c r="M21789">
        <v>14431</v>
      </c>
      <c r="N21789" t="s">
        <v>74</v>
      </c>
      <c r="O21789">
        <v>250922</v>
      </c>
      <c r="P21789">
        <v>8.1</v>
      </c>
    </row>
    <row r="21790" spans="1:16" x14ac:dyDescent="0.25">
      <c r="A21790" t="s">
        <v>3296</v>
      </c>
      <c r="B21790" t="s">
        <v>2931</v>
      </c>
      <c r="C21790">
        <v>12450</v>
      </c>
      <c r="D21790" t="str">
        <f t="shared" si="463"/>
        <v xml:space="preserve">12536021159 </v>
      </c>
      <c r="E21790" t="s">
        <v>309</v>
      </c>
      <c r="F21790" t="s">
        <v>310</v>
      </c>
      <c r="G21790">
        <v>14.51</v>
      </c>
      <c r="H21790">
        <v>250901</v>
      </c>
      <c r="I21790">
        <v>4369</v>
      </c>
      <c r="J21790" t="s">
        <v>188</v>
      </c>
      <c r="K21790">
        <v>241.42</v>
      </c>
      <c r="L21790">
        <v>2.95</v>
      </c>
      <c r="M21790">
        <v>14432</v>
      </c>
      <c r="N21790" t="s">
        <v>75</v>
      </c>
      <c r="O21790">
        <v>250922</v>
      </c>
      <c r="P21790">
        <v>11.56</v>
      </c>
    </row>
    <row r="21791" spans="1:16" x14ac:dyDescent="0.25">
      <c r="A21791" t="s">
        <v>3296</v>
      </c>
      <c r="B21791" t="s">
        <v>2931</v>
      </c>
      <c r="C21791">
        <v>12450</v>
      </c>
      <c r="D21791" t="str">
        <f t="shared" si="463"/>
        <v xml:space="preserve">12536021159 </v>
      </c>
      <c r="E21791" t="s">
        <v>309</v>
      </c>
      <c r="F21791" t="s">
        <v>310</v>
      </c>
      <c r="G21791">
        <v>11.77</v>
      </c>
      <c r="H21791">
        <v>250901</v>
      </c>
      <c r="I21791">
        <v>4369</v>
      </c>
      <c r="J21791" t="s">
        <v>188</v>
      </c>
      <c r="K21791">
        <v>241.42</v>
      </c>
      <c r="L21791">
        <v>2.39</v>
      </c>
      <c r="M21791">
        <v>14541</v>
      </c>
      <c r="N21791" t="s">
        <v>76</v>
      </c>
      <c r="O21791">
        <v>250922</v>
      </c>
      <c r="P21791">
        <v>9.3800000000000008</v>
      </c>
    </row>
    <row r="21792" spans="1:16" x14ac:dyDescent="0.25">
      <c r="A21792" t="s">
        <v>3296</v>
      </c>
      <c r="B21792" t="s">
        <v>2931</v>
      </c>
      <c r="C21792">
        <v>12450</v>
      </c>
      <c r="D21792" t="str">
        <f t="shared" si="463"/>
        <v xml:space="preserve">12536021159 </v>
      </c>
      <c r="E21792" t="s">
        <v>309</v>
      </c>
      <c r="F21792" t="s">
        <v>310</v>
      </c>
      <c r="G21792">
        <v>49.85</v>
      </c>
      <c r="H21792">
        <v>250901</v>
      </c>
      <c r="I21792">
        <v>4369</v>
      </c>
      <c r="J21792" t="s">
        <v>188</v>
      </c>
      <c r="K21792">
        <v>241.42</v>
      </c>
      <c r="L21792">
        <v>10.130000000000001</v>
      </c>
      <c r="M21792">
        <v>14622</v>
      </c>
      <c r="N21792" t="s">
        <v>77</v>
      </c>
      <c r="O21792">
        <v>250922</v>
      </c>
      <c r="P21792">
        <v>39.72</v>
      </c>
    </row>
    <row r="21793" spans="1:16" x14ac:dyDescent="0.25">
      <c r="A21793" t="s">
        <v>3296</v>
      </c>
      <c r="B21793" t="s">
        <v>2931</v>
      </c>
      <c r="C21793">
        <v>12450</v>
      </c>
      <c r="D21793" t="str">
        <f t="shared" si="463"/>
        <v xml:space="preserve">12536021159 </v>
      </c>
      <c r="E21793" t="s">
        <v>309</v>
      </c>
      <c r="F21793" t="s">
        <v>310</v>
      </c>
      <c r="G21793">
        <v>6.99</v>
      </c>
      <c r="H21793">
        <v>250901</v>
      </c>
      <c r="I21793">
        <v>4369</v>
      </c>
      <c r="J21793" t="s">
        <v>188</v>
      </c>
      <c r="K21793">
        <v>241.42</v>
      </c>
      <c r="L21793">
        <v>1.42</v>
      </c>
      <c r="M21793">
        <v>14640</v>
      </c>
      <c r="N21793" t="s">
        <v>78</v>
      </c>
      <c r="O21793">
        <v>250922</v>
      </c>
      <c r="P21793">
        <v>5.57</v>
      </c>
    </row>
    <row r="21794" spans="1:16" x14ac:dyDescent="0.25">
      <c r="A21794" t="s">
        <v>3296</v>
      </c>
      <c r="B21794" t="s">
        <v>2931</v>
      </c>
      <c r="C21794">
        <v>12450</v>
      </c>
      <c r="D21794" t="str">
        <f t="shared" si="463"/>
        <v xml:space="preserve">12536021159 </v>
      </c>
      <c r="E21794" t="s">
        <v>309</v>
      </c>
      <c r="F21794" t="s">
        <v>310</v>
      </c>
      <c r="G21794">
        <v>3.39</v>
      </c>
      <c r="H21794">
        <v>250901</v>
      </c>
      <c r="I21794">
        <v>4369</v>
      </c>
      <c r="J21794" t="s">
        <v>188</v>
      </c>
      <c r="K21794">
        <v>241.42</v>
      </c>
      <c r="L21794">
        <v>0.69</v>
      </c>
      <c r="M21794">
        <v>14861</v>
      </c>
      <c r="N21794" t="s">
        <v>79</v>
      </c>
      <c r="O21794">
        <v>250922</v>
      </c>
      <c r="P21794">
        <v>2.7</v>
      </c>
    </row>
    <row r="21795" spans="1:16" x14ac:dyDescent="0.25">
      <c r="A21795" t="s">
        <v>3296</v>
      </c>
      <c r="B21795" t="s">
        <v>2931</v>
      </c>
      <c r="C21795">
        <v>12450</v>
      </c>
      <c r="D21795" t="str">
        <f t="shared" si="463"/>
        <v xml:space="preserve">12536021159 </v>
      </c>
      <c r="E21795" t="s">
        <v>309</v>
      </c>
      <c r="F21795" t="s">
        <v>310</v>
      </c>
      <c r="G21795">
        <v>7.29</v>
      </c>
      <c r="H21795">
        <v>250901</v>
      </c>
      <c r="I21795">
        <v>4369</v>
      </c>
      <c r="J21795" t="s">
        <v>188</v>
      </c>
      <c r="K21795">
        <v>241.42</v>
      </c>
      <c r="L21795">
        <v>1.48</v>
      </c>
      <c r="M21795">
        <v>14912</v>
      </c>
      <c r="N21795" t="s">
        <v>80</v>
      </c>
      <c r="O21795">
        <v>250922</v>
      </c>
      <c r="P21795">
        <v>5.81</v>
      </c>
    </row>
    <row r="21796" spans="1:16" x14ac:dyDescent="0.25">
      <c r="A21796" t="s">
        <v>3296</v>
      </c>
      <c r="B21796" t="s">
        <v>2931</v>
      </c>
      <c r="C21796">
        <v>12450</v>
      </c>
      <c r="D21796" t="str">
        <f t="shared" si="463"/>
        <v xml:space="preserve">12536021159 </v>
      </c>
      <c r="E21796" t="s">
        <v>309</v>
      </c>
      <c r="F21796" t="s">
        <v>310</v>
      </c>
      <c r="G21796">
        <v>3.48</v>
      </c>
      <c r="H21796">
        <v>250901</v>
      </c>
      <c r="I21796">
        <v>4369</v>
      </c>
      <c r="J21796" t="s">
        <v>188</v>
      </c>
      <c r="K21796">
        <v>241.42</v>
      </c>
      <c r="L21796">
        <v>0.71</v>
      </c>
      <c r="M21796">
        <v>14971</v>
      </c>
      <c r="N21796" t="s">
        <v>81</v>
      </c>
      <c r="O21796">
        <v>250922</v>
      </c>
      <c r="P21796">
        <v>2.77</v>
      </c>
    </row>
    <row r="21797" spans="1:16" x14ac:dyDescent="0.25">
      <c r="A21797" t="s">
        <v>3296</v>
      </c>
      <c r="B21797" t="s">
        <v>2931</v>
      </c>
      <c r="C21797">
        <v>12450</v>
      </c>
      <c r="D21797" t="str">
        <f t="shared" si="463"/>
        <v xml:space="preserve">12536021159 </v>
      </c>
      <c r="E21797" t="s">
        <v>309</v>
      </c>
      <c r="F21797" t="s">
        <v>310</v>
      </c>
      <c r="G21797">
        <v>3.39</v>
      </c>
      <c r="H21797">
        <v>250901</v>
      </c>
      <c r="I21797">
        <v>4369</v>
      </c>
      <c r="J21797" t="s">
        <v>188</v>
      </c>
      <c r="K21797">
        <v>241.42</v>
      </c>
      <c r="L21797">
        <v>0.69</v>
      </c>
      <c r="M21797">
        <v>14972</v>
      </c>
      <c r="N21797" t="s">
        <v>82</v>
      </c>
      <c r="O21797">
        <v>250922</v>
      </c>
      <c r="P21797">
        <v>2.7</v>
      </c>
    </row>
    <row r="21798" spans="1:16" x14ac:dyDescent="0.25">
      <c r="A21798" t="s">
        <v>3296</v>
      </c>
      <c r="B21798" t="s">
        <v>2931</v>
      </c>
      <c r="C21798">
        <v>12450</v>
      </c>
      <c r="D21798" t="str">
        <f t="shared" si="463"/>
        <v xml:space="preserve">12536021159 </v>
      </c>
      <c r="E21798" t="s">
        <v>309</v>
      </c>
      <c r="F21798" t="s">
        <v>310</v>
      </c>
      <c r="G21798">
        <v>7.29</v>
      </c>
      <c r="H21798">
        <v>250901</v>
      </c>
      <c r="I21798">
        <v>4369</v>
      </c>
      <c r="J21798" t="s">
        <v>188</v>
      </c>
      <c r="K21798">
        <v>241.42</v>
      </c>
      <c r="L21798">
        <v>1.48</v>
      </c>
      <c r="M21798">
        <v>14974</v>
      </c>
      <c r="N21798" t="s">
        <v>83</v>
      </c>
      <c r="O21798">
        <v>250922</v>
      </c>
      <c r="P21798">
        <v>5.81</v>
      </c>
    </row>
    <row r="21799" spans="1:16" x14ac:dyDescent="0.25">
      <c r="A21799" t="s">
        <v>3296</v>
      </c>
      <c r="B21799" t="s">
        <v>2931</v>
      </c>
      <c r="C21799">
        <v>12450</v>
      </c>
      <c r="D21799" t="str">
        <f t="shared" si="463"/>
        <v xml:space="preserve">12536021159 </v>
      </c>
      <c r="E21799" t="s">
        <v>309</v>
      </c>
      <c r="F21799" t="s">
        <v>310</v>
      </c>
      <c r="G21799">
        <v>13.55</v>
      </c>
      <c r="H21799">
        <v>250901</v>
      </c>
      <c r="I21799">
        <v>4369</v>
      </c>
      <c r="J21799" t="s">
        <v>188</v>
      </c>
      <c r="K21799">
        <v>241.42</v>
      </c>
      <c r="L21799">
        <v>2.75</v>
      </c>
      <c r="M21799">
        <v>14975</v>
      </c>
      <c r="N21799" t="s">
        <v>84</v>
      </c>
      <c r="O21799">
        <v>250922</v>
      </c>
      <c r="P21799">
        <v>10.8</v>
      </c>
    </row>
    <row r="21800" spans="1:16" x14ac:dyDescent="0.25">
      <c r="A21800" t="s">
        <v>3296</v>
      </c>
      <c r="B21800" t="s">
        <v>2931</v>
      </c>
      <c r="C21800">
        <v>12450</v>
      </c>
      <c r="D21800" t="str">
        <f t="shared" si="463"/>
        <v xml:space="preserve">12536021159 </v>
      </c>
      <c r="E21800" t="s">
        <v>309</v>
      </c>
      <c r="F21800" t="s">
        <v>310</v>
      </c>
      <c r="G21800">
        <v>5.0599999999999996</v>
      </c>
      <c r="H21800">
        <v>250901</v>
      </c>
      <c r="I21800">
        <v>4369</v>
      </c>
      <c r="J21800" t="s">
        <v>188</v>
      </c>
      <c r="K21800">
        <v>241.42</v>
      </c>
      <c r="L21800">
        <v>1.03</v>
      </c>
      <c r="M21800">
        <v>14990</v>
      </c>
      <c r="N21800" t="s">
        <v>85</v>
      </c>
      <c r="O21800">
        <v>250922</v>
      </c>
      <c r="P21800">
        <v>4.03</v>
      </c>
    </row>
    <row r="21801" spans="1:16" x14ac:dyDescent="0.25">
      <c r="A21801" t="s">
        <v>3296</v>
      </c>
      <c r="B21801" t="s">
        <v>2931</v>
      </c>
      <c r="C21801">
        <v>12450</v>
      </c>
      <c r="D21801" t="str">
        <f t="shared" si="463"/>
        <v xml:space="preserve">12536021159 </v>
      </c>
      <c r="E21801" t="s">
        <v>309</v>
      </c>
      <c r="F21801" t="s">
        <v>310</v>
      </c>
      <c r="G21801">
        <v>3.39</v>
      </c>
      <c r="H21801">
        <v>250901</v>
      </c>
      <c r="I21801">
        <v>4369</v>
      </c>
      <c r="J21801" t="s">
        <v>188</v>
      </c>
      <c r="K21801">
        <v>241.42</v>
      </c>
      <c r="L21801">
        <v>0.69</v>
      </c>
      <c r="M21801">
        <v>14990</v>
      </c>
      <c r="N21801" t="s">
        <v>85</v>
      </c>
      <c r="O21801">
        <v>250922</v>
      </c>
      <c r="P21801">
        <v>2.7</v>
      </c>
    </row>
    <row r="21802" spans="1:16" x14ac:dyDescent="0.25">
      <c r="A21802" t="s">
        <v>3296</v>
      </c>
      <c r="B21802" t="s">
        <v>2931</v>
      </c>
      <c r="C21802">
        <v>12450</v>
      </c>
      <c r="D21802" t="str">
        <f t="shared" si="463"/>
        <v xml:space="preserve">12536021159 </v>
      </c>
      <c r="E21802" t="s">
        <v>309</v>
      </c>
      <c r="F21802" t="s">
        <v>310</v>
      </c>
      <c r="G21802">
        <v>3.39</v>
      </c>
      <c r="H21802">
        <v>250901</v>
      </c>
      <c r="I21802">
        <v>4369</v>
      </c>
      <c r="J21802" t="s">
        <v>188</v>
      </c>
      <c r="K21802">
        <v>241.42</v>
      </c>
      <c r="L21802">
        <v>0.69</v>
      </c>
      <c r="M21802">
        <v>18120</v>
      </c>
      <c r="N21802" t="s">
        <v>37</v>
      </c>
      <c r="O21802">
        <v>250922</v>
      </c>
      <c r="P21802">
        <v>2.7</v>
      </c>
    </row>
    <row r="21803" spans="1:16" x14ac:dyDescent="0.25">
      <c r="A21803" t="s">
        <v>3296</v>
      </c>
      <c r="B21803" t="s">
        <v>2931</v>
      </c>
      <c r="C21803">
        <v>12450</v>
      </c>
      <c r="D21803" t="str">
        <f t="shared" si="463"/>
        <v xml:space="preserve">12536021159 </v>
      </c>
      <c r="E21803" t="s">
        <v>309</v>
      </c>
      <c r="F21803" t="s">
        <v>310</v>
      </c>
      <c r="G21803">
        <v>3.39</v>
      </c>
      <c r="H21803">
        <v>250901</v>
      </c>
      <c r="I21803">
        <v>4369</v>
      </c>
      <c r="J21803" t="s">
        <v>188</v>
      </c>
      <c r="K21803">
        <v>241.42</v>
      </c>
      <c r="L21803">
        <v>0.69</v>
      </c>
      <c r="M21803">
        <v>18120</v>
      </c>
      <c r="N21803" t="s">
        <v>37</v>
      </c>
      <c r="O21803">
        <v>250922</v>
      </c>
      <c r="P21803">
        <v>2.7</v>
      </c>
    </row>
    <row r="21804" spans="1:16" x14ac:dyDescent="0.25">
      <c r="A21804" t="s">
        <v>3296</v>
      </c>
      <c r="B21804" t="s">
        <v>2931</v>
      </c>
      <c r="C21804">
        <v>12450</v>
      </c>
      <c r="D21804" t="str">
        <f t="shared" si="463"/>
        <v xml:space="preserve">12536021159 </v>
      </c>
      <c r="E21804" t="s">
        <v>309</v>
      </c>
      <c r="F21804" t="s">
        <v>310</v>
      </c>
      <c r="G21804">
        <v>10.17</v>
      </c>
      <c r="H21804">
        <v>250901</v>
      </c>
      <c r="I21804">
        <v>4369</v>
      </c>
      <c r="J21804" t="s">
        <v>188</v>
      </c>
      <c r="K21804">
        <v>241.42</v>
      </c>
      <c r="L21804">
        <v>2.0699999999999998</v>
      </c>
      <c r="M21804">
        <v>18972</v>
      </c>
      <c r="N21804" t="s">
        <v>39</v>
      </c>
      <c r="O21804">
        <v>250922</v>
      </c>
      <c r="P21804">
        <v>8.1</v>
      </c>
    </row>
    <row r="21805" spans="1:16" x14ac:dyDescent="0.25">
      <c r="A21805" t="s">
        <v>3296</v>
      </c>
      <c r="B21805" t="s">
        <v>2931</v>
      </c>
      <c r="C21805">
        <v>13182</v>
      </c>
      <c r="D21805" t="str">
        <f t="shared" ref="D21805:D21821" si="464">"12541020971 "</f>
        <v xml:space="preserve">12541020971 </v>
      </c>
      <c r="E21805" t="s">
        <v>309</v>
      </c>
      <c r="F21805" t="s">
        <v>310</v>
      </c>
      <c r="G21805">
        <v>3.56</v>
      </c>
      <c r="H21805">
        <v>250930</v>
      </c>
      <c r="I21805">
        <v>4369</v>
      </c>
      <c r="J21805" t="s">
        <v>188</v>
      </c>
      <c r="K21805">
        <v>245.31</v>
      </c>
      <c r="L21805">
        <v>0.72</v>
      </c>
      <c r="M21805">
        <v>54422</v>
      </c>
      <c r="N21805" t="s">
        <v>49</v>
      </c>
      <c r="O21805">
        <v>251006</v>
      </c>
      <c r="P21805">
        <v>2.84</v>
      </c>
    </row>
    <row r="21806" spans="1:16" x14ac:dyDescent="0.25">
      <c r="A21806" t="s">
        <v>3296</v>
      </c>
      <c r="B21806" t="s">
        <v>2931</v>
      </c>
      <c r="C21806">
        <v>13182</v>
      </c>
      <c r="D21806" t="str">
        <f t="shared" si="464"/>
        <v xml:space="preserve">12541020971 </v>
      </c>
      <c r="E21806" t="s">
        <v>309</v>
      </c>
      <c r="F21806" t="s">
        <v>310</v>
      </c>
      <c r="G21806">
        <v>3.39</v>
      </c>
      <c r="H21806">
        <v>250930</v>
      </c>
      <c r="I21806">
        <v>4369</v>
      </c>
      <c r="J21806" t="s">
        <v>188</v>
      </c>
      <c r="K21806">
        <v>245.31</v>
      </c>
      <c r="L21806">
        <v>0.69</v>
      </c>
      <c r="M21806">
        <v>54451</v>
      </c>
      <c r="N21806" t="s">
        <v>218</v>
      </c>
      <c r="O21806">
        <v>251006</v>
      </c>
      <c r="P21806">
        <v>2.7</v>
      </c>
    </row>
    <row r="21807" spans="1:16" x14ac:dyDescent="0.25">
      <c r="A21807" t="s">
        <v>3296</v>
      </c>
      <c r="B21807" t="s">
        <v>2931</v>
      </c>
      <c r="C21807">
        <v>13182</v>
      </c>
      <c r="D21807" t="str">
        <f t="shared" si="464"/>
        <v xml:space="preserve">12541020971 </v>
      </c>
      <c r="E21807" t="s">
        <v>309</v>
      </c>
      <c r="F21807" t="s">
        <v>310</v>
      </c>
      <c r="G21807">
        <v>3.39</v>
      </c>
      <c r="H21807">
        <v>250930</v>
      </c>
      <c r="I21807">
        <v>4369</v>
      </c>
      <c r="J21807" t="s">
        <v>188</v>
      </c>
      <c r="K21807">
        <v>245.31</v>
      </c>
      <c r="L21807">
        <v>0.69</v>
      </c>
      <c r="M21807">
        <v>56566</v>
      </c>
      <c r="N21807" t="s">
        <v>58</v>
      </c>
      <c r="O21807">
        <v>251006</v>
      </c>
      <c r="P21807">
        <v>2.7</v>
      </c>
    </row>
    <row r="21808" spans="1:16" x14ac:dyDescent="0.25">
      <c r="A21808" t="s">
        <v>3296</v>
      </c>
      <c r="B21808" t="s">
        <v>2931</v>
      </c>
      <c r="C21808">
        <v>13182</v>
      </c>
      <c r="D21808" t="str">
        <f t="shared" si="464"/>
        <v xml:space="preserve">12541020971 </v>
      </c>
      <c r="E21808" t="s">
        <v>309</v>
      </c>
      <c r="F21808" t="s">
        <v>310</v>
      </c>
      <c r="G21808">
        <v>13.18</v>
      </c>
      <c r="H21808">
        <v>250930</v>
      </c>
      <c r="I21808">
        <v>4369</v>
      </c>
      <c r="J21808" t="s">
        <v>188</v>
      </c>
      <c r="K21808">
        <v>245.31</v>
      </c>
      <c r="L21808">
        <v>2.68</v>
      </c>
      <c r="M21808">
        <v>59111</v>
      </c>
      <c r="N21808" t="s">
        <v>60</v>
      </c>
      <c r="O21808">
        <v>251006</v>
      </c>
      <c r="P21808">
        <v>10.5</v>
      </c>
    </row>
    <row r="21809" spans="1:16" x14ac:dyDescent="0.25">
      <c r="A21809" t="s">
        <v>3296</v>
      </c>
      <c r="B21809" t="s">
        <v>2931</v>
      </c>
      <c r="C21809">
        <v>13182</v>
      </c>
      <c r="D21809" t="str">
        <f t="shared" si="464"/>
        <v xml:space="preserve">12541020971 </v>
      </c>
      <c r="E21809" t="s">
        <v>309</v>
      </c>
      <c r="F21809" t="s">
        <v>310</v>
      </c>
      <c r="G21809">
        <v>10.17</v>
      </c>
      <c r="H21809">
        <v>250930</v>
      </c>
      <c r="I21809">
        <v>4369</v>
      </c>
      <c r="J21809" t="s">
        <v>188</v>
      </c>
      <c r="K21809">
        <v>245.31</v>
      </c>
      <c r="L21809">
        <v>2.0699999999999998</v>
      </c>
      <c r="M21809">
        <v>59113</v>
      </c>
      <c r="N21809" t="s">
        <v>61</v>
      </c>
      <c r="O21809">
        <v>251006</v>
      </c>
      <c r="P21809">
        <v>8.1</v>
      </c>
    </row>
    <row r="21810" spans="1:16" x14ac:dyDescent="0.25">
      <c r="A21810" t="s">
        <v>3296</v>
      </c>
      <c r="B21810" t="s">
        <v>2931</v>
      </c>
      <c r="C21810">
        <v>13182</v>
      </c>
      <c r="D21810" t="str">
        <f t="shared" si="464"/>
        <v xml:space="preserve">12541020971 </v>
      </c>
      <c r="E21810" t="s">
        <v>309</v>
      </c>
      <c r="F21810" t="s">
        <v>310</v>
      </c>
      <c r="G21810">
        <v>3.46</v>
      </c>
      <c r="H21810">
        <v>250930</v>
      </c>
      <c r="I21810">
        <v>4369</v>
      </c>
      <c r="J21810" t="s">
        <v>188</v>
      </c>
      <c r="K21810">
        <v>245.31</v>
      </c>
      <c r="L21810">
        <v>0.7</v>
      </c>
      <c r="M21810">
        <v>59114</v>
      </c>
      <c r="N21810" t="s">
        <v>299</v>
      </c>
      <c r="O21810">
        <v>251006</v>
      </c>
      <c r="P21810">
        <v>2.76</v>
      </c>
    </row>
    <row r="21811" spans="1:16" x14ac:dyDescent="0.25">
      <c r="A21811" t="s">
        <v>3296</v>
      </c>
      <c r="B21811" t="s">
        <v>2931</v>
      </c>
      <c r="C21811">
        <v>13182</v>
      </c>
      <c r="D21811" t="str">
        <f t="shared" si="464"/>
        <v xml:space="preserve">12541020971 </v>
      </c>
      <c r="E21811" t="s">
        <v>309</v>
      </c>
      <c r="F21811" t="s">
        <v>310</v>
      </c>
      <c r="G21811">
        <v>72.14</v>
      </c>
      <c r="H21811">
        <v>250930</v>
      </c>
      <c r="I21811">
        <v>4369</v>
      </c>
      <c r="J21811" t="s">
        <v>188</v>
      </c>
      <c r="K21811">
        <v>245.31</v>
      </c>
      <c r="L21811">
        <v>14.66</v>
      </c>
      <c r="M21811">
        <v>59501</v>
      </c>
      <c r="N21811" t="s">
        <v>62</v>
      </c>
      <c r="O21811">
        <v>251006</v>
      </c>
      <c r="P21811">
        <v>57.48</v>
      </c>
    </row>
    <row r="21812" spans="1:16" x14ac:dyDescent="0.25">
      <c r="A21812" t="s">
        <v>3296</v>
      </c>
      <c r="B21812" t="s">
        <v>2931</v>
      </c>
      <c r="C21812">
        <v>13182</v>
      </c>
      <c r="D21812" t="str">
        <f t="shared" si="464"/>
        <v xml:space="preserve">12541020971 </v>
      </c>
      <c r="E21812" t="s">
        <v>309</v>
      </c>
      <c r="F21812" t="s">
        <v>310</v>
      </c>
      <c r="G21812">
        <v>40.03</v>
      </c>
      <c r="H21812">
        <v>250930</v>
      </c>
      <c r="I21812">
        <v>4369</v>
      </c>
      <c r="J21812" t="s">
        <v>188</v>
      </c>
      <c r="K21812">
        <v>245.31</v>
      </c>
      <c r="L21812">
        <v>8.1300000000000008</v>
      </c>
      <c r="M21812">
        <v>59502</v>
      </c>
      <c r="N21812" t="s">
        <v>63</v>
      </c>
      <c r="O21812">
        <v>251006</v>
      </c>
      <c r="P21812">
        <v>31.9</v>
      </c>
    </row>
    <row r="21813" spans="1:16" x14ac:dyDescent="0.25">
      <c r="A21813" t="s">
        <v>3296</v>
      </c>
      <c r="B21813" t="s">
        <v>2931</v>
      </c>
      <c r="C21813">
        <v>13182</v>
      </c>
      <c r="D21813" t="str">
        <f t="shared" si="464"/>
        <v xml:space="preserve">12541020971 </v>
      </c>
      <c r="E21813" t="s">
        <v>309</v>
      </c>
      <c r="F21813" t="s">
        <v>310</v>
      </c>
      <c r="G21813">
        <v>10.17</v>
      </c>
      <c r="H21813">
        <v>250930</v>
      </c>
      <c r="I21813">
        <v>4369</v>
      </c>
      <c r="J21813" t="s">
        <v>188</v>
      </c>
      <c r="K21813">
        <v>245.31</v>
      </c>
      <c r="L21813">
        <v>2.0699999999999998</v>
      </c>
      <c r="M21813">
        <v>59504</v>
      </c>
      <c r="N21813" t="s">
        <v>193</v>
      </c>
      <c r="O21813">
        <v>251006</v>
      </c>
      <c r="P21813">
        <v>8.1</v>
      </c>
    </row>
    <row r="21814" spans="1:16" x14ac:dyDescent="0.25">
      <c r="A21814" t="s">
        <v>3296</v>
      </c>
      <c r="B21814" t="s">
        <v>2931</v>
      </c>
      <c r="C21814">
        <v>13182</v>
      </c>
      <c r="D21814" t="str">
        <f t="shared" si="464"/>
        <v xml:space="preserve">12541020971 </v>
      </c>
      <c r="E21814" t="s">
        <v>309</v>
      </c>
      <c r="F21814" t="s">
        <v>310</v>
      </c>
      <c r="G21814">
        <v>6.78</v>
      </c>
      <c r="H21814">
        <v>250930</v>
      </c>
      <c r="I21814">
        <v>4369</v>
      </c>
      <c r="J21814" t="s">
        <v>188</v>
      </c>
      <c r="K21814">
        <v>245.31</v>
      </c>
      <c r="L21814">
        <v>1.38</v>
      </c>
      <c r="M21814">
        <v>59505</v>
      </c>
      <c r="N21814" t="s">
        <v>194</v>
      </c>
      <c r="O21814">
        <v>251006</v>
      </c>
      <c r="P21814">
        <v>5.4</v>
      </c>
    </row>
    <row r="21815" spans="1:16" x14ac:dyDescent="0.25">
      <c r="A21815" t="s">
        <v>3296</v>
      </c>
      <c r="B21815" t="s">
        <v>2931</v>
      </c>
      <c r="C21815">
        <v>13182</v>
      </c>
      <c r="D21815" t="str">
        <f t="shared" si="464"/>
        <v xml:space="preserve">12541020971 </v>
      </c>
      <c r="E21815" t="s">
        <v>309</v>
      </c>
      <c r="F21815" t="s">
        <v>310</v>
      </c>
      <c r="G21815">
        <v>13.69</v>
      </c>
      <c r="H21815">
        <v>250930</v>
      </c>
      <c r="I21815">
        <v>4369</v>
      </c>
      <c r="J21815" t="s">
        <v>188</v>
      </c>
      <c r="K21815">
        <v>245.31</v>
      </c>
      <c r="L21815">
        <v>2.78</v>
      </c>
      <c r="M21815">
        <v>59701</v>
      </c>
      <c r="N21815" t="s">
        <v>64</v>
      </c>
      <c r="O21815">
        <v>251006</v>
      </c>
      <c r="P21815">
        <v>10.91</v>
      </c>
    </row>
    <row r="21816" spans="1:16" x14ac:dyDescent="0.25">
      <c r="A21816" t="s">
        <v>3296</v>
      </c>
      <c r="B21816" t="s">
        <v>2931</v>
      </c>
      <c r="C21816">
        <v>13182</v>
      </c>
      <c r="D21816" t="str">
        <f t="shared" si="464"/>
        <v xml:space="preserve">12541020971 </v>
      </c>
      <c r="E21816" t="s">
        <v>309</v>
      </c>
      <c r="F21816" t="s">
        <v>310</v>
      </c>
      <c r="G21816">
        <v>7.37</v>
      </c>
      <c r="H21816">
        <v>250930</v>
      </c>
      <c r="I21816">
        <v>4369</v>
      </c>
      <c r="J21816" t="s">
        <v>188</v>
      </c>
      <c r="K21816">
        <v>245.31</v>
      </c>
      <c r="L21816">
        <v>1.5</v>
      </c>
      <c r="M21816">
        <v>59702</v>
      </c>
      <c r="N21816" t="s">
        <v>45</v>
      </c>
      <c r="O21816">
        <v>251006</v>
      </c>
      <c r="P21816">
        <v>5.87</v>
      </c>
    </row>
    <row r="21817" spans="1:16" x14ac:dyDescent="0.25">
      <c r="A21817" t="s">
        <v>3296</v>
      </c>
      <c r="B21817" t="s">
        <v>2931</v>
      </c>
      <c r="C21817">
        <v>13182</v>
      </c>
      <c r="D21817" t="str">
        <f t="shared" si="464"/>
        <v xml:space="preserve">12541020971 </v>
      </c>
      <c r="E21817" t="s">
        <v>309</v>
      </c>
      <c r="F21817" t="s">
        <v>310</v>
      </c>
      <c r="G21817">
        <v>6.59</v>
      </c>
      <c r="H21817">
        <v>250930</v>
      </c>
      <c r="I21817">
        <v>4369</v>
      </c>
      <c r="J21817" t="s">
        <v>188</v>
      </c>
      <c r="K21817">
        <v>245.31</v>
      </c>
      <c r="L21817">
        <v>1.34</v>
      </c>
      <c r="M21817">
        <v>59704</v>
      </c>
      <c r="N21817" t="s">
        <v>46</v>
      </c>
      <c r="O21817">
        <v>251006</v>
      </c>
      <c r="P21817">
        <v>5.25</v>
      </c>
    </row>
    <row r="21818" spans="1:16" x14ac:dyDescent="0.25">
      <c r="A21818" t="s">
        <v>3296</v>
      </c>
      <c r="B21818" t="s">
        <v>2931</v>
      </c>
      <c r="C21818">
        <v>13182</v>
      </c>
      <c r="D21818" t="str">
        <f t="shared" si="464"/>
        <v xml:space="preserve">12541020971 </v>
      </c>
      <c r="E21818" t="s">
        <v>309</v>
      </c>
      <c r="F21818" t="s">
        <v>310</v>
      </c>
      <c r="G21818">
        <v>3.45</v>
      </c>
      <c r="H21818">
        <v>250930</v>
      </c>
      <c r="I21818">
        <v>4369</v>
      </c>
      <c r="J21818" t="s">
        <v>188</v>
      </c>
      <c r="K21818">
        <v>245.31</v>
      </c>
      <c r="L21818">
        <v>0.7</v>
      </c>
      <c r="M21818">
        <v>59705</v>
      </c>
      <c r="N21818" t="s">
        <v>47</v>
      </c>
      <c r="O21818">
        <v>251006</v>
      </c>
      <c r="P21818">
        <v>2.75</v>
      </c>
    </row>
    <row r="21819" spans="1:16" x14ac:dyDescent="0.25">
      <c r="A21819" t="s">
        <v>3296</v>
      </c>
      <c r="B21819" t="s">
        <v>2931</v>
      </c>
      <c r="C21819">
        <v>13182</v>
      </c>
      <c r="D21819" t="str">
        <f t="shared" si="464"/>
        <v xml:space="preserve">12541020971 </v>
      </c>
      <c r="E21819" t="s">
        <v>309</v>
      </c>
      <c r="F21819" t="s">
        <v>310</v>
      </c>
      <c r="G21819">
        <v>19.95</v>
      </c>
      <c r="H21819">
        <v>250930</v>
      </c>
      <c r="I21819">
        <v>4369</v>
      </c>
      <c r="J21819" t="s">
        <v>188</v>
      </c>
      <c r="K21819">
        <v>245.31</v>
      </c>
      <c r="L21819">
        <v>4.05</v>
      </c>
      <c r="M21819">
        <v>59802</v>
      </c>
      <c r="N21819" t="s">
        <v>195</v>
      </c>
      <c r="O21819">
        <v>251006</v>
      </c>
      <c r="P21819">
        <v>15.9</v>
      </c>
    </row>
    <row r="21820" spans="1:16" x14ac:dyDescent="0.25">
      <c r="A21820" t="s">
        <v>3296</v>
      </c>
      <c r="B21820" t="s">
        <v>2931</v>
      </c>
      <c r="C21820">
        <v>13182</v>
      </c>
      <c r="D21820" t="str">
        <f t="shared" si="464"/>
        <v xml:space="preserve">12541020971 </v>
      </c>
      <c r="E21820" t="s">
        <v>309</v>
      </c>
      <c r="F21820" t="s">
        <v>310</v>
      </c>
      <c r="G21820">
        <v>19.45</v>
      </c>
      <c r="H21820">
        <v>250930</v>
      </c>
      <c r="I21820">
        <v>4369</v>
      </c>
      <c r="J21820" t="s">
        <v>188</v>
      </c>
      <c r="K21820">
        <v>245.31</v>
      </c>
      <c r="L21820">
        <v>3.95</v>
      </c>
      <c r="M21820">
        <v>59812</v>
      </c>
      <c r="N21820" t="s">
        <v>196</v>
      </c>
      <c r="O21820">
        <v>251006</v>
      </c>
      <c r="P21820">
        <v>15.5</v>
      </c>
    </row>
    <row r="21821" spans="1:16" x14ac:dyDescent="0.25">
      <c r="A21821" t="s">
        <v>3296</v>
      </c>
      <c r="B21821" t="s">
        <v>2931</v>
      </c>
      <c r="C21821">
        <v>13182</v>
      </c>
      <c r="D21821" t="str">
        <f t="shared" si="464"/>
        <v xml:space="preserve">12541020971 </v>
      </c>
      <c r="E21821" t="s">
        <v>309</v>
      </c>
      <c r="F21821" t="s">
        <v>310</v>
      </c>
      <c r="G21821">
        <v>8.5399999999999991</v>
      </c>
      <c r="H21821">
        <v>250930</v>
      </c>
      <c r="I21821">
        <v>4369</v>
      </c>
      <c r="J21821" t="s">
        <v>188</v>
      </c>
      <c r="K21821">
        <v>245.31</v>
      </c>
      <c r="L21821">
        <v>1.74</v>
      </c>
      <c r="M21821">
        <v>59815</v>
      </c>
      <c r="N21821" t="s">
        <v>1001</v>
      </c>
      <c r="O21821">
        <v>251006</v>
      </c>
      <c r="P21821">
        <v>6.8</v>
      </c>
    </row>
    <row r="21822" spans="1:16" x14ac:dyDescent="0.25">
      <c r="A21822" t="s">
        <v>3296</v>
      </c>
      <c r="B21822" t="s">
        <v>2931</v>
      </c>
      <c r="C21822">
        <v>13183</v>
      </c>
      <c r="D21822" t="str">
        <f>"12541020973 "</f>
        <v xml:space="preserve">12541020973 </v>
      </c>
      <c r="E21822" t="s">
        <v>309</v>
      </c>
      <c r="F21822" t="s">
        <v>310</v>
      </c>
      <c r="G21822">
        <v>3.64</v>
      </c>
      <c r="H21822">
        <v>250930</v>
      </c>
      <c r="I21822">
        <v>4369</v>
      </c>
      <c r="J21822" t="s">
        <v>188</v>
      </c>
      <c r="K21822">
        <v>34.159999999999997</v>
      </c>
      <c r="L21822">
        <v>0</v>
      </c>
      <c r="M21822">
        <v>59702</v>
      </c>
      <c r="N21822" t="s">
        <v>45</v>
      </c>
      <c r="O21822">
        <v>251006</v>
      </c>
      <c r="P21822">
        <v>3.64</v>
      </c>
    </row>
    <row r="21823" spans="1:16" x14ac:dyDescent="0.25">
      <c r="A21823" t="s">
        <v>3296</v>
      </c>
      <c r="B21823" t="s">
        <v>2931</v>
      </c>
      <c r="C21823">
        <v>13183</v>
      </c>
      <c r="D21823" t="str">
        <f>"12541020973 "</f>
        <v xml:space="preserve">12541020973 </v>
      </c>
      <c r="E21823" t="s">
        <v>309</v>
      </c>
      <c r="F21823" t="s">
        <v>310</v>
      </c>
      <c r="G21823">
        <v>20.54</v>
      </c>
      <c r="H21823">
        <v>250930</v>
      </c>
      <c r="I21823">
        <v>4369</v>
      </c>
      <c r="J21823" t="s">
        <v>188</v>
      </c>
      <c r="K21823">
        <v>34.159999999999997</v>
      </c>
      <c r="L21823">
        <v>4.17</v>
      </c>
      <c r="M21823">
        <v>59702</v>
      </c>
      <c r="N21823" t="s">
        <v>45</v>
      </c>
      <c r="O21823">
        <v>251006</v>
      </c>
      <c r="P21823">
        <v>16.37</v>
      </c>
    </row>
    <row r="21824" spans="1:16" x14ac:dyDescent="0.25">
      <c r="A21824" t="s">
        <v>3296</v>
      </c>
      <c r="B21824" t="s">
        <v>2931</v>
      </c>
      <c r="C21824">
        <v>13183</v>
      </c>
      <c r="D21824" t="str">
        <f>"12541020973 "</f>
        <v xml:space="preserve">12541020973 </v>
      </c>
      <c r="E21824" t="s">
        <v>309</v>
      </c>
      <c r="F21824" t="s">
        <v>310</v>
      </c>
      <c r="G21824">
        <v>9.98</v>
      </c>
      <c r="H21824">
        <v>250930</v>
      </c>
      <c r="I21824">
        <v>4369</v>
      </c>
      <c r="J21824" t="s">
        <v>188</v>
      </c>
      <c r="K21824">
        <v>34.159999999999997</v>
      </c>
      <c r="L21824">
        <v>2.0299999999999998</v>
      </c>
      <c r="M21824">
        <v>59704</v>
      </c>
      <c r="N21824" t="s">
        <v>46</v>
      </c>
      <c r="O21824">
        <v>251006</v>
      </c>
      <c r="P21824">
        <v>7.95</v>
      </c>
    </row>
    <row r="21825" spans="1:16" x14ac:dyDescent="0.25">
      <c r="A21825" t="s">
        <v>3296</v>
      </c>
      <c r="B21825" t="s">
        <v>2931</v>
      </c>
      <c r="C21825">
        <v>13297</v>
      </c>
      <c r="D21825" t="str">
        <f t="shared" ref="D21825:D21834" si="465">"12541020994 "</f>
        <v xml:space="preserve">12541020994 </v>
      </c>
      <c r="E21825" t="s">
        <v>309</v>
      </c>
      <c r="F21825" t="s">
        <v>310</v>
      </c>
      <c r="G21825">
        <v>10.16</v>
      </c>
      <c r="H21825">
        <v>250930</v>
      </c>
      <c r="I21825">
        <v>4369</v>
      </c>
      <c r="J21825" t="s">
        <v>188</v>
      </c>
      <c r="K21825">
        <v>101.13</v>
      </c>
      <c r="L21825">
        <v>2.06</v>
      </c>
      <c r="M21825">
        <v>17131</v>
      </c>
      <c r="N21825" t="s">
        <v>154</v>
      </c>
      <c r="O21825">
        <v>251007</v>
      </c>
      <c r="P21825">
        <v>8.1</v>
      </c>
    </row>
    <row r="21826" spans="1:16" x14ac:dyDescent="0.25">
      <c r="A21826" t="s">
        <v>3296</v>
      </c>
      <c r="B21826" t="s">
        <v>2931</v>
      </c>
      <c r="C21826">
        <v>13297</v>
      </c>
      <c r="D21826" t="str">
        <f t="shared" si="465"/>
        <v xml:space="preserve">12541020994 </v>
      </c>
      <c r="E21826" t="s">
        <v>309</v>
      </c>
      <c r="F21826" t="s">
        <v>310</v>
      </c>
      <c r="G21826">
        <v>10.16</v>
      </c>
      <c r="H21826">
        <v>250930</v>
      </c>
      <c r="I21826">
        <v>4369</v>
      </c>
      <c r="J21826" t="s">
        <v>188</v>
      </c>
      <c r="K21826">
        <v>101.13</v>
      </c>
      <c r="L21826">
        <v>2.06</v>
      </c>
      <c r="M21826">
        <v>17711</v>
      </c>
      <c r="N21826" t="s">
        <v>155</v>
      </c>
      <c r="O21826">
        <v>251007</v>
      </c>
      <c r="P21826">
        <v>8.1</v>
      </c>
    </row>
    <row r="21827" spans="1:16" x14ac:dyDescent="0.25">
      <c r="A21827" t="s">
        <v>3296</v>
      </c>
      <c r="B21827" t="s">
        <v>2931</v>
      </c>
      <c r="C21827">
        <v>13297</v>
      </c>
      <c r="D21827" t="str">
        <f t="shared" si="465"/>
        <v xml:space="preserve">12541020994 </v>
      </c>
      <c r="E21827" t="s">
        <v>309</v>
      </c>
      <c r="F21827" t="s">
        <v>310</v>
      </c>
      <c r="G21827">
        <v>6.97</v>
      </c>
      <c r="H21827">
        <v>250930</v>
      </c>
      <c r="I21827">
        <v>4369</v>
      </c>
      <c r="J21827" t="s">
        <v>188</v>
      </c>
      <c r="K21827">
        <v>101.13</v>
      </c>
      <c r="L21827">
        <v>1.42</v>
      </c>
      <c r="M21827">
        <v>17737</v>
      </c>
      <c r="N21827" t="s">
        <v>156</v>
      </c>
      <c r="O21827">
        <v>251007</v>
      </c>
      <c r="P21827">
        <v>5.55</v>
      </c>
    </row>
    <row r="21828" spans="1:16" x14ac:dyDescent="0.25">
      <c r="A21828" t="s">
        <v>3296</v>
      </c>
      <c r="B21828" t="s">
        <v>2931</v>
      </c>
      <c r="C21828">
        <v>13297</v>
      </c>
      <c r="D21828" t="str">
        <f t="shared" si="465"/>
        <v xml:space="preserve">12541020994 </v>
      </c>
      <c r="E21828" t="s">
        <v>309</v>
      </c>
      <c r="F21828" t="s">
        <v>310</v>
      </c>
      <c r="G21828">
        <v>16.940000000000001</v>
      </c>
      <c r="H21828">
        <v>250930</v>
      </c>
      <c r="I21828">
        <v>4369</v>
      </c>
      <c r="J21828" t="s">
        <v>188</v>
      </c>
      <c r="K21828">
        <v>101.13</v>
      </c>
      <c r="L21828">
        <v>3.44</v>
      </c>
      <c r="M21828">
        <v>17737</v>
      </c>
      <c r="N21828" t="s">
        <v>156</v>
      </c>
      <c r="O21828">
        <v>251007</v>
      </c>
      <c r="P21828">
        <v>13.5</v>
      </c>
    </row>
    <row r="21829" spans="1:16" x14ac:dyDescent="0.25">
      <c r="A21829" t="s">
        <v>3296</v>
      </c>
      <c r="B21829" t="s">
        <v>2931</v>
      </c>
      <c r="C21829">
        <v>13297</v>
      </c>
      <c r="D21829" t="str">
        <f t="shared" si="465"/>
        <v xml:space="preserve">12541020994 </v>
      </c>
      <c r="E21829" t="s">
        <v>309</v>
      </c>
      <c r="F21829" t="s">
        <v>310</v>
      </c>
      <c r="G21829">
        <v>18.59</v>
      </c>
      <c r="H21829">
        <v>250930</v>
      </c>
      <c r="I21829">
        <v>4369</v>
      </c>
      <c r="J21829" t="s">
        <v>188</v>
      </c>
      <c r="K21829">
        <v>101.13</v>
      </c>
      <c r="L21829">
        <v>3.78</v>
      </c>
      <c r="M21829">
        <v>17737</v>
      </c>
      <c r="N21829" t="s">
        <v>156</v>
      </c>
      <c r="O21829">
        <v>251007</v>
      </c>
      <c r="P21829">
        <v>14.81</v>
      </c>
    </row>
    <row r="21830" spans="1:16" x14ac:dyDescent="0.25">
      <c r="A21830" t="s">
        <v>3296</v>
      </c>
      <c r="B21830" t="s">
        <v>2931</v>
      </c>
      <c r="C21830">
        <v>13297</v>
      </c>
      <c r="D21830" t="str">
        <f t="shared" si="465"/>
        <v xml:space="preserve">12541020994 </v>
      </c>
      <c r="E21830" t="s">
        <v>309</v>
      </c>
      <c r="F21830" t="s">
        <v>310</v>
      </c>
      <c r="G21830">
        <v>3.39</v>
      </c>
      <c r="H21830">
        <v>250930</v>
      </c>
      <c r="I21830">
        <v>4369</v>
      </c>
      <c r="J21830" t="s">
        <v>188</v>
      </c>
      <c r="K21830">
        <v>101.13</v>
      </c>
      <c r="L21830">
        <v>0.69</v>
      </c>
      <c r="M21830">
        <v>17912</v>
      </c>
      <c r="N21830" t="s">
        <v>505</v>
      </c>
      <c r="O21830">
        <v>251007</v>
      </c>
      <c r="P21830">
        <v>2.7</v>
      </c>
    </row>
    <row r="21831" spans="1:16" x14ac:dyDescent="0.25">
      <c r="A21831" t="s">
        <v>3296</v>
      </c>
      <c r="B21831" t="s">
        <v>2931</v>
      </c>
      <c r="C21831">
        <v>13297</v>
      </c>
      <c r="D21831" t="str">
        <f t="shared" si="465"/>
        <v xml:space="preserve">12541020994 </v>
      </c>
      <c r="E21831" t="s">
        <v>309</v>
      </c>
      <c r="F21831" t="s">
        <v>310</v>
      </c>
      <c r="G21831">
        <v>3.39</v>
      </c>
      <c r="H21831">
        <v>250930</v>
      </c>
      <c r="I21831">
        <v>4369</v>
      </c>
      <c r="J21831" t="s">
        <v>188</v>
      </c>
      <c r="K21831">
        <v>101.13</v>
      </c>
      <c r="L21831">
        <v>0.69</v>
      </c>
      <c r="M21831">
        <v>17915</v>
      </c>
      <c r="N21831" t="s">
        <v>305</v>
      </c>
      <c r="O21831">
        <v>251007</v>
      </c>
      <c r="P21831">
        <v>2.7</v>
      </c>
    </row>
    <row r="21832" spans="1:16" x14ac:dyDescent="0.25">
      <c r="A21832" t="s">
        <v>3296</v>
      </c>
      <c r="B21832" t="s">
        <v>2931</v>
      </c>
      <c r="C21832">
        <v>13297</v>
      </c>
      <c r="D21832" t="str">
        <f t="shared" si="465"/>
        <v xml:space="preserve">12541020994 </v>
      </c>
      <c r="E21832" t="s">
        <v>309</v>
      </c>
      <c r="F21832" t="s">
        <v>310</v>
      </c>
      <c r="G21832">
        <v>13.77</v>
      </c>
      <c r="H21832">
        <v>250930</v>
      </c>
      <c r="I21832">
        <v>4369</v>
      </c>
      <c r="J21832" t="s">
        <v>188</v>
      </c>
      <c r="K21832">
        <v>101.13</v>
      </c>
      <c r="L21832">
        <v>2.8</v>
      </c>
      <c r="M21832">
        <v>17952</v>
      </c>
      <c r="N21832" t="s">
        <v>157</v>
      </c>
      <c r="O21832">
        <v>251007</v>
      </c>
      <c r="P21832">
        <v>10.97</v>
      </c>
    </row>
    <row r="21833" spans="1:16" x14ac:dyDescent="0.25">
      <c r="A21833" t="s">
        <v>3296</v>
      </c>
      <c r="B21833" t="s">
        <v>2931</v>
      </c>
      <c r="C21833">
        <v>13297</v>
      </c>
      <c r="D21833" t="str">
        <f t="shared" si="465"/>
        <v xml:space="preserve">12541020994 </v>
      </c>
      <c r="E21833" t="s">
        <v>309</v>
      </c>
      <c r="F21833" t="s">
        <v>310</v>
      </c>
      <c r="G21833">
        <v>10.98</v>
      </c>
      <c r="H21833">
        <v>250930</v>
      </c>
      <c r="I21833">
        <v>4369</v>
      </c>
      <c r="J21833" t="s">
        <v>188</v>
      </c>
      <c r="K21833">
        <v>101.13</v>
      </c>
      <c r="L21833">
        <v>2.23</v>
      </c>
      <c r="M21833">
        <v>17971</v>
      </c>
      <c r="N21833" t="s">
        <v>27</v>
      </c>
      <c r="O21833">
        <v>251007</v>
      </c>
      <c r="P21833">
        <v>8.75</v>
      </c>
    </row>
    <row r="21834" spans="1:16" x14ac:dyDescent="0.25">
      <c r="A21834" t="s">
        <v>3296</v>
      </c>
      <c r="B21834" t="s">
        <v>2931</v>
      </c>
      <c r="C21834">
        <v>13297</v>
      </c>
      <c r="D21834" t="str">
        <f t="shared" si="465"/>
        <v xml:space="preserve">12541020994 </v>
      </c>
      <c r="E21834" t="s">
        <v>309</v>
      </c>
      <c r="F21834" t="s">
        <v>310</v>
      </c>
      <c r="G21834">
        <v>6.78</v>
      </c>
      <c r="H21834">
        <v>250930</v>
      </c>
      <c r="I21834">
        <v>4369</v>
      </c>
      <c r="J21834" t="s">
        <v>188</v>
      </c>
      <c r="K21834">
        <v>101.13</v>
      </c>
      <c r="L21834">
        <v>1.38</v>
      </c>
      <c r="M21834">
        <v>17972</v>
      </c>
      <c r="N21834" t="s">
        <v>28</v>
      </c>
      <c r="O21834">
        <v>251007</v>
      </c>
      <c r="P21834">
        <v>5.4</v>
      </c>
    </row>
    <row r="21835" spans="1:16" x14ac:dyDescent="0.25">
      <c r="A21835" t="s">
        <v>3296</v>
      </c>
      <c r="B21835" t="s">
        <v>2931</v>
      </c>
      <c r="C21835">
        <v>13299</v>
      </c>
      <c r="D21835" t="str">
        <f t="shared" ref="D21835:D21844" si="466">"12541020993 "</f>
        <v xml:space="preserve">12541020993 </v>
      </c>
      <c r="E21835" t="s">
        <v>309</v>
      </c>
      <c r="F21835" t="s">
        <v>310</v>
      </c>
      <c r="G21835">
        <v>6.59</v>
      </c>
      <c r="H21835">
        <v>250930</v>
      </c>
      <c r="I21835">
        <v>4369</v>
      </c>
      <c r="J21835" t="s">
        <v>188</v>
      </c>
      <c r="K21835">
        <v>101.38</v>
      </c>
      <c r="L21835">
        <v>1.34</v>
      </c>
      <c r="M21835">
        <v>16321</v>
      </c>
      <c r="N21835" t="s">
        <v>16</v>
      </c>
      <c r="O21835">
        <v>251007</v>
      </c>
      <c r="P21835">
        <v>5.25</v>
      </c>
    </row>
    <row r="21836" spans="1:16" x14ac:dyDescent="0.25">
      <c r="A21836" t="s">
        <v>3296</v>
      </c>
      <c r="B21836" t="s">
        <v>2931</v>
      </c>
      <c r="C21836">
        <v>13299</v>
      </c>
      <c r="D21836" t="str">
        <f t="shared" si="466"/>
        <v xml:space="preserve">12541020993 </v>
      </c>
      <c r="E21836" t="s">
        <v>309</v>
      </c>
      <c r="F21836" t="s">
        <v>310</v>
      </c>
      <c r="G21836">
        <v>10.98</v>
      </c>
      <c r="H21836">
        <v>250930</v>
      </c>
      <c r="I21836">
        <v>4369</v>
      </c>
      <c r="J21836" t="s">
        <v>188</v>
      </c>
      <c r="K21836">
        <v>101.38</v>
      </c>
      <c r="L21836">
        <v>2.23</v>
      </c>
      <c r="M21836">
        <v>16431</v>
      </c>
      <c r="N21836" t="s">
        <v>17</v>
      </c>
      <c r="O21836">
        <v>251007</v>
      </c>
      <c r="P21836">
        <v>8.75</v>
      </c>
    </row>
    <row r="21837" spans="1:16" x14ac:dyDescent="0.25">
      <c r="A21837" t="s">
        <v>3296</v>
      </c>
      <c r="B21837" t="s">
        <v>2931</v>
      </c>
      <c r="C21837">
        <v>13299</v>
      </c>
      <c r="D21837" t="str">
        <f t="shared" si="466"/>
        <v xml:space="preserve">12541020993 </v>
      </c>
      <c r="E21837" t="s">
        <v>309</v>
      </c>
      <c r="F21837" t="s">
        <v>310</v>
      </c>
      <c r="G21837">
        <v>18.27</v>
      </c>
      <c r="H21837">
        <v>250930</v>
      </c>
      <c r="I21837">
        <v>4369</v>
      </c>
      <c r="J21837" t="s">
        <v>188</v>
      </c>
      <c r="K21837">
        <v>101.38</v>
      </c>
      <c r="L21837">
        <v>3.71</v>
      </c>
      <c r="M21837">
        <v>17802</v>
      </c>
      <c r="N21837" t="s">
        <v>18</v>
      </c>
      <c r="O21837">
        <v>251007</v>
      </c>
      <c r="P21837">
        <v>14.56</v>
      </c>
    </row>
    <row r="21838" spans="1:16" x14ac:dyDescent="0.25">
      <c r="A21838" t="s">
        <v>3296</v>
      </c>
      <c r="B21838" t="s">
        <v>2931</v>
      </c>
      <c r="C21838">
        <v>13299</v>
      </c>
      <c r="D21838" t="str">
        <f t="shared" si="466"/>
        <v xml:space="preserve">12541020993 </v>
      </c>
      <c r="E21838" t="s">
        <v>309</v>
      </c>
      <c r="F21838" t="s">
        <v>310</v>
      </c>
      <c r="G21838">
        <v>10.029999999999999</v>
      </c>
      <c r="H21838">
        <v>250930</v>
      </c>
      <c r="I21838">
        <v>4369</v>
      </c>
      <c r="J21838" t="s">
        <v>188</v>
      </c>
      <c r="K21838">
        <v>101.38</v>
      </c>
      <c r="L21838">
        <v>2.04</v>
      </c>
      <c r="M21838">
        <v>17803</v>
      </c>
      <c r="N21838" t="s">
        <v>19</v>
      </c>
      <c r="O21838">
        <v>251007</v>
      </c>
      <c r="P21838">
        <v>7.99</v>
      </c>
    </row>
    <row r="21839" spans="1:16" x14ac:dyDescent="0.25">
      <c r="A21839" t="s">
        <v>3296</v>
      </c>
      <c r="B21839" t="s">
        <v>2931</v>
      </c>
      <c r="C21839">
        <v>13299</v>
      </c>
      <c r="D21839" t="str">
        <f t="shared" si="466"/>
        <v xml:space="preserve">12541020993 </v>
      </c>
      <c r="E21839" t="s">
        <v>309</v>
      </c>
      <c r="F21839" t="s">
        <v>310</v>
      </c>
      <c r="G21839">
        <v>3.5</v>
      </c>
      <c r="H21839">
        <v>250930</v>
      </c>
      <c r="I21839">
        <v>4369</v>
      </c>
      <c r="J21839" t="s">
        <v>188</v>
      </c>
      <c r="K21839">
        <v>101.38</v>
      </c>
      <c r="L21839">
        <v>0.71</v>
      </c>
      <c r="M21839">
        <v>17804</v>
      </c>
      <c r="N21839" t="s">
        <v>20</v>
      </c>
      <c r="O21839">
        <v>251007</v>
      </c>
      <c r="P21839">
        <v>2.79</v>
      </c>
    </row>
    <row r="21840" spans="1:16" x14ac:dyDescent="0.25">
      <c r="A21840" t="s">
        <v>3296</v>
      </c>
      <c r="B21840" t="s">
        <v>2931</v>
      </c>
      <c r="C21840">
        <v>13299</v>
      </c>
      <c r="D21840" t="str">
        <f t="shared" si="466"/>
        <v xml:space="preserve">12541020993 </v>
      </c>
      <c r="E21840" t="s">
        <v>309</v>
      </c>
      <c r="F21840" t="s">
        <v>310</v>
      </c>
      <c r="G21840">
        <v>3.39</v>
      </c>
      <c r="H21840">
        <v>250930</v>
      </c>
      <c r="I21840">
        <v>4369</v>
      </c>
      <c r="J21840" t="s">
        <v>188</v>
      </c>
      <c r="K21840">
        <v>101.38</v>
      </c>
      <c r="L21840">
        <v>0.69</v>
      </c>
      <c r="M21840">
        <v>17805</v>
      </c>
      <c r="N21840" t="s">
        <v>21</v>
      </c>
      <c r="O21840">
        <v>251007</v>
      </c>
      <c r="P21840">
        <v>2.7</v>
      </c>
    </row>
    <row r="21841" spans="1:16" x14ac:dyDescent="0.25">
      <c r="A21841" t="s">
        <v>3296</v>
      </c>
      <c r="B21841" t="s">
        <v>2931</v>
      </c>
      <c r="C21841">
        <v>13299</v>
      </c>
      <c r="D21841" t="str">
        <f t="shared" si="466"/>
        <v xml:space="preserve">12541020993 </v>
      </c>
      <c r="E21841" t="s">
        <v>309</v>
      </c>
      <c r="F21841" t="s">
        <v>310</v>
      </c>
      <c r="G21841">
        <v>6.78</v>
      </c>
      <c r="H21841">
        <v>250930</v>
      </c>
      <c r="I21841">
        <v>4369</v>
      </c>
      <c r="J21841" t="s">
        <v>188</v>
      </c>
      <c r="K21841">
        <v>101.38</v>
      </c>
      <c r="L21841">
        <v>1.38</v>
      </c>
      <c r="M21841">
        <v>17806</v>
      </c>
      <c r="N21841" t="s">
        <v>22</v>
      </c>
      <c r="O21841">
        <v>251007</v>
      </c>
      <c r="P21841">
        <v>5.4</v>
      </c>
    </row>
    <row r="21842" spans="1:16" x14ac:dyDescent="0.25">
      <c r="A21842" t="s">
        <v>3296</v>
      </c>
      <c r="B21842" t="s">
        <v>2931</v>
      </c>
      <c r="C21842">
        <v>13299</v>
      </c>
      <c r="D21842" t="str">
        <f t="shared" si="466"/>
        <v xml:space="preserve">12541020993 </v>
      </c>
      <c r="E21842" t="s">
        <v>309</v>
      </c>
      <c r="F21842" t="s">
        <v>310</v>
      </c>
      <c r="G21842">
        <v>23.53</v>
      </c>
      <c r="H21842">
        <v>250930</v>
      </c>
      <c r="I21842">
        <v>4369</v>
      </c>
      <c r="J21842" t="s">
        <v>188</v>
      </c>
      <c r="K21842">
        <v>101.38</v>
      </c>
      <c r="L21842">
        <v>4.78</v>
      </c>
      <c r="M21842">
        <v>17807</v>
      </c>
      <c r="N21842" t="s">
        <v>23</v>
      </c>
      <c r="O21842">
        <v>251007</v>
      </c>
      <c r="P21842">
        <v>18.75</v>
      </c>
    </row>
    <row r="21843" spans="1:16" x14ac:dyDescent="0.25">
      <c r="A21843" t="s">
        <v>3296</v>
      </c>
      <c r="B21843" t="s">
        <v>2931</v>
      </c>
      <c r="C21843">
        <v>13299</v>
      </c>
      <c r="D21843" t="str">
        <f t="shared" si="466"/>
        <v xml:space="preserve">12541020993 </v>
      </c>
      <c r="E21843" t="s">
        <v>309</v>
      </c>
      <c r="F21843" t="s">
        <v>310</v>
      </c>
      <c r="G21843">
        <v>10.17</v>
      </c>
      <c r="H21843">
        <v>250930</v>
      </c>
      <c r="I21843">
        <v>4369</v>
      </c>
      <c r="J21843" t="s">
        <v>188</v>
      </c>
      <c r="K21843">
        <v>101.38</v>
      </c>
      <c r="L21843">
        <v>2.0699999999999998</v>
      </c>
      <c r="M21843">
        <v>17808</v>
      </c>
      <c r="N21843" t="s">
        <v>24</v>
      </c>
      <c r="O21843">
        <v>251007</v>
      </c>
      <c r="P21843">
        <v>8.1</v>
      </c>
    </row>
    <row r="21844" spans="1:16" x14ac:dyDescent="0.25">
      <c r="A21844" t="s">
        <v>3296</v>
      </c>
      <c r="B21844" t="s">
        <v>2931</v>
      </c>
      <c r="C21844">
        <v>13299</v>
      </c>
      <c r="D21844" t="str">
        <f t="shared" si="466"/>
        <v xml:space="preserve">12541020993 </v>
      </c>
      <c r="E21844" t="s">
        <v>309</v>
      </c>
      <c r="F21844" t="s">
        <v>310</v>
      </c>
      <c r="G21844">
        <v>8.14</v>
      </c>
      <c r="H21844">
        <v>250930</v>
      </c>
      <c r="I21844">
        <v>4369</v>
      </c>
      <c r="J21844" t="s">
        <v>188</v>
      </c>
      <c r="K21844">
        <v>101.38</v>
      </c>
      <c r="L21844">
        <v>1.65</v>
      </c>
      <c r="M21844">
        <v>17809</v>
      </c>
      <c r="N21844" t="s">
        <v>25</v>
      </c>
      <c r="O21844">
        <v>251007</v>
      </c>
      <c r="P21844">
        <v>6.49</v>
      </c>
    </row>
    <row r="21845" spans="1:16" x14ac:dyDescent="0.25">
      <c r="A21845" t="s">
        <v>3296</v>
      </c>
      <c r="B21845" t="s">
        <v>2931</v>
      </c>
      <c r="C21845">
        <v>13303</v>
      </c>
      <c r="D21845" t="str">
        <f>"12541021002 "</f>
        <v xml:space="preserve">12541021002 </v>
      </c>
      <c r="E21845" t="s">
        <v>309</v>
      </c>
      <c r="F21845" t="s">
        <v>310</v>
      </c>
      <c r="G21845">
        <v>1.52</v>
      </c>
      <c r="H21845">
        <v>250930</v>
      </c>
      <c r="I21845">
        <v>4369</v>
      </c>
      <c r="J21845" t="s">
        <v>188</v>
      </c>
      <c r="K21845">
        <v>17.02</v>
      </c>
      <c r="L21845">
        <v>0.31</v>
      </c>
      <c r="M21845">
        <v>53222</v>
      </c>
      <c r="N21845" t="s">
        <v>41</v>
      </c>
      <c r="O21845">
        <v>251007</v>
      </c>
      <c r="P21845">
        <v>1.21</v>
      </c>
    </row>
    <row r="21846" spans="1:16" x14ac:dyDescent="0.25">
      <c r="A21846" t="s">
        <v>3296</v>
      </c>
      <c r="B21846" t="s">
        <v>2931</v>
      </c>
      <c r="C21846">
        <v>13303</v>
      </c>
      <c r="D21846" t="str">
        <f>"12541021002 "</f>
        <v xml:space="preserve">12541021002 </v>
      </c>
      <c r="E21846" t="s">
        <v>309</v>
      </c>
      <c r="F21846" t="s">
        <v>310</v>
      </c>
      <c r="G21846">
        <v>8.65</v>
      </c>
      <c r="H21846">
        <v>250930</v>
      </c>
      <c r="I21846">
        <v>4369</v>
      </c>
      <c r="J21846" t="s">
        <v>188</v>
      </c>
      <c r="K21846">
        <v>17.02</v>
      </c>
      <c r="L21846">
        <v>1.76</v>
      </c>
      <c r="M21846">
        <v>53222</v>
      </c>
      <c r="N21846" t="s">
        <v>41</v>
      </c>
      <c r="O21846">
        <v>251007</v>
      </c>
      <c r="P21846">
        <v>6.89</v>
      </c>
    </row>
    <row r="21847" spans="1:16" x14ac:dyDescent="0.25">
      <c r="A21847" t="s">
        <v>3296</v>
      </c>
      <c r="B21847" t="s">
        <v>2931</v>
      </c>
      <c r="C21847">
        <v>13303</v>
      </c>
      <c r="D21847" t="str">
        <f>"12541021002 "</f>
        <v xml:space="preserve">12541021002 </v>
      </c>
      <c r="E21847" t="s">
        <v>309</v>
      </c>
      <c r="F21847" t="s">
        <v>310</v>
      </c>
      <c r="G21847">
        <v>3.39</v>
      </c>
      <c r="H21847">
        <v>250930</v>
      </c>
      <c r="I21847">
        <v>4369</v>
      </c>
      <c r="J21847" t="s">
        <v>188</v>
      </c>
      <c r="K21847">
        <v>17.02</v>
      </c>
      <c r="L21847">
        <v>0.69</v>
      </c>
      <c r="M21847">
        <v>54622</v>
      </c>
      <c r="N21847" t="s">
        <v>42</v>
      </c>
      <c r="O21847">
        <v>251007</v>
      </c>
      <c r="P21847">
        <v>2.7</v>
      </c>
    </row>
    <row r="21848" spans="1:16" x14ac:dyDescent="0.25">
      <c r="A21848" t="s">
        <v>3296</v>
      </c>
      <c r="B21848" t="s">
        <v>2931</v>
      </c>
      <c r="C21848">
        <v>13303</v>
      </c>
      <c r="D21848" t="str">
        <f>"12541021002 "</f>
        <v xml:space="preserve">12541021002 </v>
      </c>
      <c r="E21848" t="s">
        <v>309</v>
      </c>
      <c r="F21848" t="s">
        <v>310</v>
      </c>
      <c r="G21848">
        <v>3.46</v>
      </c>
      <c r="H21848">
        <v>250930</v>
      </c>
      <c r="I21848">
        <v>4369</v>
      </c>
      <c r="J21848" t="s">
        <v>188</v>
      </c>
      <c r="K21848">
        <v>17.02</v>
      </c>
      <c r="L21848">
        <v>0.7</v>
      </c>
      <c r="M21848">
        <v>55222</v>
      </c>
      <c r="N21848" t="s">
        <v>43</v>
      </c>
      <c r="O21848">
        <v>251007</v>
      </c>
      <c r="P21848">
        <v>2.76</v>
      </c>
    </row>
    <row r="21849" spans="1:16" x14ac:dyDescent="0.25">
      <c r="A21849" t="s">
        <v>3296</v>
      </c>
      <c r="B21849" t="s">
        <v>2931</v>
      </c>
      <c r="C21849">
        <v>13304</v>
      </c>
      <c r="D21849" t="str">
        <f t="shared" ref="D21849:D21859" si="467">"12541020977 "</f>
        <v xml:space="preserve">12541020977 </v>
      </c>
      <c r="E21849" t="s">
        <v>309</v>
      </c>
      <c r="F21849" t="s">
        <v>310</v>
      </c>
      <c r="G21849">
        <v>3.84</v>
      </c>
      <c r="H21849">
        <v>250930</v>
      </c>
      <c r="I21849">
        <v>4369</v>
      </c>
      <c r="J21849" t="s">
        <v>188</v>
      </c>
      <c r="K21849">
        <v>74.56</v>
      </c>
      <c r="L21849">
        <v>0.78</v>
      </c>
      <c r="M21849">
        <v>51157</v>
      </c>
      <c r="N21849" t="s">
        <v>998</v>
      </c>
      <c r="O21849">
        <v>251007</v>
      </c>
      <c r="P21849">
        <v>3.06</v>
      </c>
    </row>
    <row r="21850" spans="1:16" x14ac:dyDescent="0.25">
      <c r="A21850" t="s">
        <v>3296</v>
      </c>
      <c r="B21850" t="s">
        <v>2931</v>
      </c>
      <c r="C21850">
        <v>13304</v>
      </c>
      <c r="D21850" t="str">
        <f t="shared" si="467"/>
        <v xml:space="preserve">12541020977 </v>
      </c>
      <c r="E21850" t="s">
        <v>309</v>
      </c>
      <c r="F21850" t="s">
        <v>310</v>
      </c>
      <c r="G21850">
        <v>3.39</v>
      </c>
      <c r="H21850">
        <v>250930</v>
      </c>
      <c r="I21850">
        <v>4369</v>
      </c>
      <c r="J21850" t="s">
        <v>188</v>
      </c>
      <c r="K21850">
        <v>74.56</v>
      </c>
      <c r="L21850">
        <v>0.69</v>
      </c>
      <c r="M21850">
        <v>56526</v>
      </c>
      <c r="N21850" t="s">
        <v>506</v>
      </c>
      <c r="O21850">
        <v>251007</v>
      </c>
      <c r="P21850">
        <v>2.7</v>
      </c>
    </row>
    <row r="21851" spans="1:16" x14ac:dyDescent="0.25">
      <c r="A21851" t="s">
        <v>3296</v>
      </c>
      <c r="B21851" t="s">
        <v>2931</v>
      </c>
      <c r="C21851">
        <v>13304</v>
      </c>
      <c r="D21851" t="str">
        <f t="shared" si="467"/>
        <v xml:space="preserve">12541020977 </v>
      </c>
      <c r="E21851" t="s">
        <v>309</v>
      </c>
      <c r="F21851" t="s">
        <v>310</v>
      </c>
      <c r="G21851">
        <v>17.41</v>
      </c>
      <c r="H21851">
        <v>250930</v>
      </c>
      <c r="I21851">
        <v>4369</v>
      </c>
      <c r="J21851" t="s">
        <v>188</v>
      </c>
      <c r="K21851">
        <v>74.56</v>
      </c>
      <c r="L21851">
        <v>3.54</v>
      </c>
      <c r="M21851">
        <v>56558</v>
      </c>
      <c r="N21851" t="s">
        <v>50</v>
      </c>
      <c r="O21851">
        <v>251007</v>
      </c>
      <c r="P21851">
        <v>13.87</v>
      </c>
    </row>
    <row r="21852" spans="1:16" x14ac:dyDescent="0.25">
      <c r="A21852" t="s">
        <v>3296</v>
      </c>
      <c r="B21852" t="s">
        <v>2931</v>
      </c>
      <c r="C21852">
        <v>13304</v>
      </c>
      <c r="D21852" t="str">
        <f t="shared" si="467"/>
        <v xml:space="preserve">12541020977 </v>
      </c>
      <c r="E21852" t="s">
        <v>309</v>
      </c>
      <c r="F21852" t="s">
        <v>310</v>
      </c>
      <c r="G21852">
        <v>12.46</v>
      </c>
      <c r="H21852">
        <v>250930</v>
      </c>
      <c r="I21852">
        <v>4369</v>
      </c>
      <c r="J21852" t="s">
        <v>188</v>
      </c>
      <c r="K21852">
        <v>74.56</v>
      </c>
      <c r="L21852">
        <v>2.5299999999999998</v>
      </c>
      <c r="M21852">
        <v>56559</v>
      </c>
      <c r="N21852" t="s">
        <v>51</v>
      </c>
      <c r="O21852">
        <v>251007</v>
      </c>
      <c r="P21852">
        <v>9.93</v>
      </c>
    </row>
    <row r="21853" spans="1:16" x14ac:dyDescent="0.25">
      <c r="A21853" t="s">
        <v>3296</v>
      </c>
      <c r="B21853" t="s">
        <v>2931</v>
      </c>
      <c r="C21853">
        <v>13304</v>
      </c>
      <c r="D21853" t="str">
        <f t="shared" si="467"/>
        <v xml:space="preserve">12541020977 </v>
      </c>
      <c r="E21853" t="s">
        <v>309</v>
      </c>
      <c r="F21853" t="s">
        <v>310</v>
      </c>
      <c r="G21853">
        <v>7.14</v>
      </c>
      <c r="H21853">
        <v>250930</v>
      </c>
      <c r="I21853">
        <v>4369</v>
      </c>
      <c r="J21853" t="s">
        <v>188</v>
      </c>
      <c r="K21853">
        <v>74.56</v>
      </c>
      <c r="L21853">
        <v>1.45</v>
      </c>
      <c r="M21853">
        <v>56560</v>
      </c>
      <c r="N21853" t="s">
        <v>52</v>
      </c>
      <c r="O21853">
        <v>251007</v>
      </c>
      <c r="P21853">
        <v>5.69</v>
      </c>
    </row>
    <row r="21854" spans="1:16" x14ac:dyDescent="0.25">
      <c r="A21854" t="s">
        <v>3296</v>
      </c>
      <c r="B21854" t="s">
        <v>2931</v>
      </c>
      <c r="C21854">
        <v>13304</v>
      </c>
      <c r="D21854" t="str">
        <f t="shared" si="467"/>
        <v xml:space="preserve">12541020977 </v>
      </c>
      <c r="E21854" t="s">
        <v>309</v>
      </c>
      <c r="F21854" t="s">
        <v>310</v>
      </c>
      <c r="G21854">
        <v>3.39</v>
      </c>
      <c r="H21854">
        <v>250930</v>
      </c>
      <c r="I21854">
        <v>4369</v>
      </c>
      <c r="J21854" t="s">
        <v>188</v>
      </c>
      <c r="K21854">
        <v>74.56</v>
      </c>
      <c r="L21854">
        <v>0.69</v>
      </c>
      <c r="M21854">
        <v>56561</v>
      </c>
      <c r="N21854" t="s">
        <v>53</v>
      </c>
      <c r="O21854">
        <v>251007</v>
      </c>
      <c r="P21854">
        <v>2.7</v>
      </c>
    </row>
    <row r="21855" spans="1:16" x14ac:dyDescent="0.25">
      <c r="A21855" t="s">
        <v>3296</v>
      </c>
      <c r="B21855" t="s">
        <v>2931</v>
      </c>
      <c r="C21855">
        <v>13304</v>
      </c>
      <c r="D21855" t="str">
        <f t="shared" si="467"/>
        <v xml:space="preserve">12541020977 </v>
      </c>
      <c r="E21855" t="s">
        <v>309</v>
      </c>
      <c r="F21855" t="s">
        <v>310</v>
      </c>
      <c r="G21855">
        <v>10.23</v>
      </c>
      <c r="H21855">
        <v>250930</v>
      </c>
      <c r="I21855">
        <v>4369</v>
      </c>
      <c r="J21855" t="s">
        <v>188</v>
      </c>
      <c r="K21855">
        <v>74.56</v>
      </c>
      <c r="L21855">
        <v>2.08</v>
      </c>
      <c r="M21855">
        <v>56562</v>
      </c>
      <c r="N21855" t="s">
        <v>54</v>
      </c>
      <c r="O21855">
        <v>251007</v>
      </c>
      <c r="P21855">
        <v>8.15</v>
      </c>
    </row>
    <row r="21856" spans="1:16" x14ac:dyDescent="0.25">
      <c r="A21856" t="s">
        <v>3296</v>
      </c>
      <c r="B21856" t="s">
        <v>2931</v>
      </c>
      <c r="C21856">
        <v>13304</v>
      </c>
      <c r="D21856" t="str">
        <f t="shared" si="467"/>
        <v xml:space="preserve">12541020977 </v>
      </c>
      <c r="E21856" t="s">
        <v>309</v>
      </c>
      <c r="F21856" t="s">
        <v>310</v>
      </c>
      <c r="G21856">
        <v>3.39</v>
      </c>
      <c r="H21856">
        <v>250930</v>
      </c>
      <c r="I21856">
        <v>4369</v>
      </c>
      <c r="J21856" t="s">
        <v>188</v>
      </c>
      <c r="K21856">
        <v>74.56</v>
      </c>
      <c r="L21856">
        <v>0.69</v>
      </c>
      <c r="M21856">
        <v>56564</v>
      </c>
      <c r="N21856" t="s">
        <v>56</v>
      </c>
      <c r="O21856">
        <v>251007</v>
      </c>
      <c r="P21856">
        <v>2.7</v>
      </c>
    </row>
    <row r="21857" spans="1:16" x14ac:dyDescent="0.25">
      <c r="A21857" t="s">
        <v>3296</v>
      </c>
      <c r="B21857" t="s">
        <v>2931</v>
      </c>
      <c r="C21857">
        <v>13304</v>
      </c>
      <c r="D21857" t="str">
        <f t="shared" si="467"/>
        <v xml:space="preserve">12541020977 </v>
      </c>
      <c r="E21857" t="s">
        <v>309</v>
      </c>
      <c r="F21857" t="s">
        <v>310</v>
      </c>
      <c r="G21857">
        <v>3.14</v>
      </c>
      <c r="H21857">
        <v>250930</v>
      </c>
      <c r="I21857">
        <v>4369</v>
      </c>
      <c r="J21857" t="s">
        <v>188</v>
      </c>
      <c r="K21857">
        <v>74.56</v>
      </c>
      <c r="L21857">
        <v>0.64</v>
      </c>
      <c r="M21857">
        <v>56565</v>
      </c>
      <c r="N21857" t="s">
        <v>57</v>
      </c>
      <c r="O21857">
        <v>251007</v>
      </c>
      <c r="P21857">
        <v>2.5</v>
      </c>
    </row>
    <row r="21858" spans="1:16" x14ac:dyDescent="0.25">
      <c r="A21858" t="s">
        <v>3296</v>
      </c>
      <c r="B21858" t="s">
        <v>2931</v>
      </c>
      <c r="C21858">
        <v>13304</v>
      </c>
      <c r="D21858" t="str">
        <f t="shared" si="467"/>
        <v xml:space="preserve">12541020977 </v>
      </c>
      <c r="E21858" t="s">
        <v>309</v>
      </c>
      <c r="F21858" t="s">
        <v>310</v>
      </c>
      <c r="G21858">
        <v>6.78</v>
      </c>
      <c r="H21858">
        <v>250930</v>
      </c>
      <c r="I21858">
        <v>4369</v>
      </c>
      <c r="J21858" t="s">
        <v>188</v>
      </c>
      <c r="K21858">
        <v>74.56</v>
      </c>
      <c r="L21858">
        <v>1.38</v>
      </c>
      <c r="M21858">
        <v>56566</v>
      </c>
      <c r="N21858" t="s">
        <v>58</v>
      </c>
      <c r="O21858">
        <v>251007</v>
      </c>
      <c r="P21858">
        <v>5.4</v>
      </c>
    </row>
    <row r="21859" spans="1:16" x14ac:dyDescent="0.25">
      <c r="A21859" t="s">
        <v>3296</v>
      </c>
      <c r="B21859" t="s">
        <v>2931</v>
      </c>
      <c r="C21859">
        <v>13304</v>
      </c>
      <c r="D21859" t="str">
        <f t="shared" si="467"/>
        <v xml:space="preserve">12541020977 </v>
      </c>
      <c r="E21859" t="s">
        <v>309</v>
      </c>
      <c r="F21859" t="s">
        <v>310</v>
      </c>
      <c r="G21859">
        <v>3.39</v>
      </c>
      <c r="H21859">
        <v>250930</v>
      </c>
      <c r="I21859">
        <v>4369</v>
      </c>
      <c r="J21859" t="s">
        <v>188</v>
      </c>
      <c r="K21859">
        <v>74.56</v>
      </c>
      <c r="L21859">
        <v>0.69</v>
      </c>
      <c r="M21859">
        <v>56568</v>
      </c>
      <c r="N21859" t="s">
        <v>354</v>
      </c>
      <c r="O21859">
        <v>251007</v>
      </c>
      <c r="P21859">
        <v>2.7</v>
      </c>
    </row>
    <row r="21860" spans="1:16" x14ac:dyDescent="0.25">
      <c r="A21860" t="s">
        <v>3296</v>
      </c>
      <c r="B21860" t="s">
        <v>2931</v>
      </c>
      <c r="C21860">
        <v>13306</v>
      </c>
      <c r="D21860" t="str">
        <f>"12541020990 "</f>
        <v xml:space="preserve">12541020990 </v>
      </c>
      <c r="E21860" t="s">
        <v>309</v>
      </c>
      <c r="F21860" t="s">
        <v>310</v>
      </c>
      <c r="G21860">
        <v>3.59</v>
      </c>
      <c r="H21860">
        <v>250930</v>
      </c>
      <c r="I21860">
        <v>4369</v>
      </c>
      <c r="J21860" t="s">
        <v>188</v>
      </c>
      <c r="K21860">
        <v>3.59</v>
      </c>
      <c r="L21860">
        <v>0.73</v>
      </c>
      <c r="M21860">
        <v>11900</v>
      </c>
      <c r="N21860" t="s">
        <v>30</v>
      </c>
      <c r="O21860">
        <v>251007</v>
      </c>
      <c r="P21860">
        <v>2.86</v>
      </c>
    </row>
    <row r="21861" spans="1:16" x14ac:dyDescent="0.25">
      <c r="A21861" t="s">
        <v>3296</v>
      </c>
      <c r="B21861" t="s">
        <v>2931</v>
      </c>
      <c r="C21861">
        <v>13308</v>
      </c>
      <c r="D21861" t="str">
        <f t="shared" ref="D21861:D21866" si="468">"12541020992 "</f>
        <v xml:space="preserve">12541020992 </v>
      </c>
      <c r="E21861" t="s">
        <v>309</v>
      </c>
      <c r="F21861" t="s">
        <v>310</v>
      </c>
      <c r="G21861">
        <v>3.39</v>
      </c>
      <c r="H21861">
        <v>250930</v>
      </c>
      <c r="I21861">
        <v>4369</v>
      </c>
      <c r="J21861" t="s">
        <v>188</v>
      </c>
      <c r="K21861">
        <v>73.790000000000006</v>
      </c>
      <c r="L21861">
        <v>0.69</v>
      </c>
      <c r="M21861">
        <v>17132</v>
      </c>
      <c r="N21861" t="s">
        <v>174</v>
      </c>
      <c r="O21861">
        <v>251007</v>
      </c>
      <c r="P21861">
        <v>2.7</v>
      </c>
    </row>
    <row r="21862" spans="1:16" x14ac:dyDescent="0.25">
      <c r="A21862" t="s">
        <v>3296</v>
      </c>
      <c r="B21862" t="s">
        <v>2931</v>
      </c>
      <c r="C21862">
        <v>13308</v>
      </c>
      <c r="D21862" t="str">
        <f t="shared" si="468"/>
        <v xml:space="preserve">12541020992 </v>
      </c>
      <c r="E21862" t="s">
        <v>309</v>
      </c>
      <c r="F21862" t="s">
        <v>310</v>
      </c>
      <c r="G21862">
        <v>10.19</v>
      </c>
      <c r="H21862">
        <v>250930</v>
      </c>
      <c r="I21862">
        <v>4369</v>
      </c>
      <c r="J21862" t="s">
        <v>188</v>
      </c>
      <c r="K21862">
        <v>73.790000000000006</v>
      </c>
      <c r="L21862">
        <v>2.0699999999999998</v>
      </c>
      <c r="M21862">
        <v>17913</v>
      </c>
      <c r="N21862" t="s">
        <v>26</v>
      </c>
      <c r="O21862">
        <v>251007</v>
      </c>
      <c r="P21862">
        <v>8.1199999999999992</v>
      </c>
    </row>
    <row r="21863" spans="1:16" x14ac:dyDescent="0.25">
      <c r="A21863" t="s">
        <v>3296</v>
      </c>
      <c r="B21863" t="s">
        <v>2931</v>
      </c>
      <c r="C21863">
        <v>13308</v>
      </c>
      <c r="D21863" t="str">
        <f t="shared" si="468"/>
        <v xml:space="preserve">12541020992 </v>
      </c>
      <c r="E21863" t="s">
        <v>309</v>
      </c>
      <c r="F21863" t="s">
        <v>310</v>
      </c>
      <c r="G21863">
        <v>27.3</v>
      </c>
      <c r="H21863">
        <v>250930</v>
      </c>
      <c r="I21863">
        <v>4369</v>
      </c>
      <c r="J21863" t="s">
        <v>188</v>
      </c>
      <c r="K21863">
        <v>73.790000000000006</v>
      </c>
      <c r="L21863">
        <v>5.55</v>
      </c>
      <c r="M21863">
        <v>17951</v>
      </c>
      <c r="N21863" t="s">
        <v>207</v>
      </c>
      <c r="O21863">
        <v>251007</v>
      </c>
      <c r="P21863">
        <v>21.75</v>
      </c>
    </row>
    <row r="21864" spans="1:16" x14ac:dyDescent="0.25">
      <c r="A21864" t="s">
        <v>3296</v>
      </c>
      <c r="B21864" t="s">
        <v>2931</v>
      </c>
      <c r="C21864">
        <v>13308</v>
      </c>
      <c r="D21864" t="str">
        <f t="shared" si="468"/>
        <v xml:space="preserve">12541020992 </v>
      </c>
      <c r="E21864" t="s">
        <v>309</v>
      </c>
      <c r="F21864" t="s">
        <v>310</v>
      </c>
      <c r="G21864">
        <v>13.78</v>
      </c>
      <c r="H21864">
        <v>250930</v>
      </c>
      <c r="I21864">
        <v>4369</v>
      </c>
      <c r="J21864" t="s">
        <v>188</v>
      </c>
      <c r="K21864">
        <v>73.790000000000006</v>
      </c>
      <c r="L21864">
        <v>2.8</v>
      </c>
      <c r="M21864">
        <v>17971</v>
      </c>
      <c r="N21864" t="s">
        <v>27</v>
      </c>
      <c r="O21864">
        <v>251007</v>
      </c>
      <c r="P21864">
        <v>10.98</v>
      </c>
    </row>
    <row r="21865" spans="1:16" x14ac:dyDescent="0.25">
      <c r="A21865" t="s">
        <v>3296</v>
      </c>
      <c r="B21865" t="s">
        <v>2931</v>
      </c>
      <c r="C21865">
        <v>13308</v>
      </c>
      <c r="D21865" t="str">
        <f t="shared" si="468"/>
        <v xml:space="preserve">12541020992 </v>
      </c>
      <c r="E21865" t="s">
        <v>309</v>
      </c>
      <c r="F21865" t="s">
        <v>310</v>
      </c>
      <c r="G21865">
        <v>6.59</v>
      </c>
      <c r="H21865">
        <v>250930</v>
      </c>
      <c r="I21865">
        <v>4369</v>
      </c>
      <c r="J21865" t="s">
        <v>188</v>
      </c>
      <c r="K21865">
        <v>73.790000000000006</v>
      </c>
      <c r="L21865">
        <v>1.34</v>
      </c>
      <c r="M21865">
        <v>17974</v>
      </c>
      <c r="N21865" t="s">
        <v>153</v>
      </c>
      <c r="O21865">
        <v>251007</v>
      </c>
      <c r="P21865">
        <v>5.25</v>
      </c>
    </row>
    <row r="21866" spans="1:16" x14ac:dyDescent="0.25">
      <c r="A21866" t="s">
        <v>3296</v>
      </c>
      <c r="B21866" t="s">
        <v>2931</v>
      </c>
      <c r="C21866">
        <v>13308</v>
      </c>
      <c r="D21866" t="str">
        <f t="shared" si="468"/>
        <v xml:space="preserve">12541020992 </v>
      </c>
      <c r="E21866" t="s">
        <v>309</v>
      </c>
      <c r="F21866" t="s">
        <v>310</v>
      </c>
      <c r="G21866">
        <v>12.54</v>
      </c>
      <c r="H21866">
        <v>250930</v>
      </c>
      <c r="I21866">
        <v>4369</v>
      </c>
      <c r="J21866" t="s">
        <v>188</v>
      </c>
      <c r="K21866">
        <v>73.790000000000006</v>
      </c>
      <c r="L21866">
        <v>2.5499999999999998</v>
      </c>
      <c r="M21866">
        <v>17975</v>
      </c>
      <c r="N21866" t="s">
        <v>29</v>
      </c>
      <c r="O21866">
        <v>251007</v>
      </c>
      <c r="P21866">
        <v>9.99</v>
      </c>
    </row>
    <row r="21867" spans="1:16" x14ac:dyDescent="0.25">
      <c r="A21867" t="s">
        <v>3296</v>
      </c>
      <c r="B21867" t="s">
        <v>2931</v>
      </c>
      <c r="C21867">
        <v>13309</v>
      </c>
      <c r="D21867" t="str">
        <f>"12541021001 "</f>
        <v xml:space="preserve">12541021001 </v>
      </c>
      <c r="E21867" t="s">
        <v>309</v>
      </c>
      <c r="F21867" t="s">
        <v>310</v>
      </c>
      <c r="G21867">
        <v>3.2</v>
      </c>
      <c r="H21867">
        <v>250930</v>
      </c>
      <c r="I21867">
        <v>4369</v>
      </c>
      <c r="J21867" t="s">
        <v>188</v>
      </c>
      <c r="K21867">
        <v>3.2</v>
      </c>
      <c r="L21867">
        <v>0.65</v>
      </c>
      <c r="M21867">
        <v>13801</v>
      </c>
      <c r="N21867" t="s">
        <v>33</v>
      </c>
      <c r="O21867">
        <v>251007</v>
      </c>
      <c r="P21867">
        <v>2.5499999999999998</v>
      </c>
    </row>
    <row r="21868" spans="1:16" x14ac:dyDescent="0.25">
      <c r="A21868" t="s">
        <v>3296</v>
      </c>
      <c r="B21868" t="s">
        <v>2931</v>
      </c>
      <c r="C21868">
        <v>13539</v>
      </c>
      <c r="D21868" t="str">
        <f t="shared" ref="D21868:D21877" si="469">"12541020996 "</f>
        <v xml:space="preserve">12541020996 </v>
      </c>
      <c r="E21868" t="s">
        <v>309</v>
      </c>
      <c r="F21868" t="s">
        <v>310</v>
      </c>
      <c r="G21868">
        <v>20.329999999999998</v>
      </c>
      <c r="H21868">
        <v>250930</v>
      </c>
      <c r="I21868">
        <v>4369</v>
      </c>
      <c r="J21868" t="s">
        <v>188</v>
      </c>
      <c r="K21868">
        <v>57.59</v>
      </c>
      <c r="L21868">
        <v>4.13</v>
      </c>
      <c r="M21868">
        <v>16121</v>
      </c>
      <c r="N21868" t="s">
        <v>127</v>
      </c>
      <c r="O21868">
        <v>251010</v>
      </c>
      <c r="P21868">
        <v>16.2</v>
      </c>
    </row>
    <row r="21869" spans="1:16" x14ac:dyDescent="0.25">
      <c r="A21869" t="s">
        <v>3296</v>
      </c>
      <c r="B21869" t="s">
        <v>2931</v>
      </c>
      <c r="C21869">
        <v>13539</v>
      </c>
      <c r="D21869" t="str">
        <f t="shared" si="469"/>
        <v xml:space="preserve">12541020996 </v>
      </c>
      <c r="E21869" t="s">
        <v>309</v>
      </c>
      <c r="F21869" t="s">
        <v>310</v>
      </c>
      <c r="G21869">
        <v>6.81</v>
      </c>
      <c r="H21869">
        <v>250930</v>
      </c>
      <c r="I21869">
        <v>4369</v>
      </c>
      <c r="J21869" t="s">
        <v>188</v>
      </c>
      <c r="K21869">
        <v>57.59</v>
      </c>
      <c r="L21869">
        <v>1.38</v>
      </c>
      <c r="M21869">
        <v>16322</v>
      </c>
      <c r="N21869" t="s">
        <v>331</v>
      </c>
      <c r="O21869">
        <v>251010</v>
      </c>
      <c r="P21869">
        <v>5.43</v>
      </c>
    </row>
    <row r="21870" spans="1:16" x14ac:dyDescent="0.25">
      <c r="A21870" t="s">
        <v>3296</v>
      </c>
      <c r="B21870" t="s">
        <v>2931</v>
      </c>
      <c r="C21870">
        <v>13539</v>
      </c>
      <c r="D21870" t="str">
        <f t="shared" si="469"/>
        <v xml:space="preserve">12541020996 </v>
      </c>
      <c r="E21870" t="s">
        <v>309</v>
      </c>
      <c r="F21870" t="s">
        <v>310</v>
      </c>
      <c r="G21870">
        <v>3.39</v>
      </c>
      <c r="H21870">
        <v>250930</v>
      </c>
      <c r="I21870">
        <v>4369</v>
      </c>
      <c r="J21870" t="s">
        <v>188</v>
      </c>
      <c r="K21870">
        <v>57.59</v>
      </c>
      <c r="L21870">
        <v>0.69</v>
      </c>
      <c r="M21870">
        <v>16820</v>
      </c>
      <c r="N21870" t="s">
        <v>128</v>
      </c>
      <c r="O21870">
        <v>251010</v>
      </c>
      <c r="P21870">
        <v>2.7</v>
      </c>
    </row>
    <row r="21871" spans="1:16" x14ac:dyDescent="0.25">
      <c r="A21871" t="s">
        <v>3296</v>
      </c>
      <c r="B21871" t="s">
        <v>2931</v>
      </c>
      <c r="C21871">
        <v>13539</v>
      </c>
      <c r="D21871" t="str">
        <f t="shared" si="469"/>
        <v xml:space="preserve">12541020996 </v>
      </c>
      <c r="E21871" t="s">
        <v>309</v>
      </c>
      <c r="F21871" t="s">
        <v>310</v>
      </c>
      <c r="G21871">
        <v>6.78</v>
      </c>
      <c r="H21871">
        <v>250930</v>
      </c>
      <c r="I21871">
        <v>4369</v>
      </c>
      <c r="J21871" t="s">
        <v>188</v>
      </c>
      <c r="K21871">
        <v>57.59</v>
      </c>
      <c r="L21871">
        <v>1.38</v>
      </c>
      <c r="M21871">
        <v>16820</v>
      </c>
      <c r="N21871" t="s">
        <v>128</v>
      </c>
      <c r="O21871">
        <v>251010</v>
      </c>
      <c r="P21871">
        <v>5.4</v>
      </c>
    </row>
    <row r="21872" spans="1:16" x14ac:dyDescent="0.25">
      <c r="A21872" t="s">
        <v>3296</v>
      </c>
      <c r="B21872" t="s">
        <v>2931</v>
      </c>
      <c r="C21872">
        <v>13539</v>
      </c>
      <c r="D21872" t="str">
        <f t="shared" si="469"/>
        <v xml:space="preserve">12541020996 </v>
      </c>
      <c r="E21872" t="s">
        <v>309</v>
      </c>
      <c r="F21872" t="s">
        <v>310</v>
      </c>
      <c r="G21872">
        <v>3.39</v>
      </c>
      <c r="H21872">
        <v>250930</v>
      </c>
      <c r="I21872">
        <v>4369</v>
      </c>
      <c r="J21872" t="s">
        <v>188</v>
      </c>
      <c r="K21872">
        <v>57.59</v>
      </c>
      <c r="L21872">
        <v>0.69</v>
      </c>
      <c r="M21872">
        <v>17862</v>
      </c>
      <c r="N21872" t="s">
        <v>130</v>
      </c>
      <c r="O21872">
        <v>251010</v>
      </c>
      <c r="P21872">
        <v>2.7</v>
      </c>
    </row>
    <row r="21873" spans="1:16" x14ac:dyDescent="0.25">
      <c r="A21873" t="s">
        <v>3296</v>
      </c>
      <c r="B21873" t="s">
        <v>2931</v>
      </c>
      <c r="C21873">
        <v>13539</v>
      </c>
      <c r="D21873" t="str">
        <f t="shared" si="469"/>
        <v xml:space="preserve">12541020996 </v>
      </c>
      <c r="E21873" t="s">
        <v>309</v>
      </c>
      <c r="F21873" t="s">
        <v>310</v>
      </c>
      <c r="G21873">
        <v>3.39</v>
      </c>
      <c r="H21873">
        <v>250930</v>
      </c>
      <c r="I21873">
        <v>4369</v>
      </c>
      <c r="J21873" t="s">
        <v>188</v>
      </c>
      <c r="K21873">
        <v>57.59</v>
      </c>
      <c r="L21873">
        <v>0.69</v>
      </c>
      <c r="M21873">
        <v>17950</v>
      </c>
      <c r="N21873" t="s">
        <v>132</v>
      </c>
      <c r="O21873">
        <v>251010</v>
      </c>
      <c r="P21873">
        <v>2.7</v>
      </c>
    </row>
    <row r="21874" spans="1:16" x14ac:dyDescent="0.25">
      <c r="A21874" t="s">
        <v>3296</v>
      </c>
      <c r="B21874" t="s">
        <v>2931</v>
      </c>
      <c r="C21874">
        <v>13539</v>
      </c>
      <c r="D21874" t="str">
        <f t="shared" si="469"/>
        <v xml:space="preserve">12541020996 </v>
      </c>
      <c r="E21874" t="s">
        <v>309</v>
      </c>
      <c r="F21874" t="s">
        <v>310</v>
      </c>
      <c r="G21874">
        <v>3.39</v>
      </c>
      <c r="H21874">
        <v>250930</v>
      </c>
      <c r="I21874">
        <v>4369</v>
      </c>
      <c r="J21874" t="s">
        <v>188</v>
      </c>
      <c r="K21874">
        <v>57.59</v>
      </c>
      <c r="L21874">
        <v>0.69</v>
      </c>
      <c r="M21874">
        <v>17971</v>
      </c>
      <c r="N21874" t="s">
        <v>27</v>
      </c>
      <c r="O21874">
        <v>251010</v>
      </c>
      <c r="P21874">
        <v>2.7</v>
      </c>
    </row>
    <row r="21875" spans="1:16" x14ac:dyDescent="0.25">
      <c r="A21875" t="s">
        <v>3296</v>
      </c>
      <c r="B21875" t="s">
        <v>2931</v>
      </c>
      <c r="C21875">
        <v>13539</v>
      </c>
      <c r="D21875" t="str">
        <f t="shared" si="469"/>
        <v xml:space="preserve">12541020996 </v>
      </c>
      <c r="E21875" t="s">
        <v>309</v>
      </c>
      <c r="F21875" t="s">
        <v>310</v>
      </c>
      <c r="G21875">
        <v>3.39</v>
      </c>
      <c r="H21875">
        <v>250930</v>
      </c>
      <c r="I21875">
        <v>4369</v>
      </c>
      <c r="J21875" t="s">
        <v>188</v>
      </c>
      <c r="K21875">
        <v>57.59</v>
      </c>
      <c r="L21875">
        <v>0.69</v>
      </c>
      <c r="M21875">
        <v>17972</v>
      </c>
      <c r="N21875" t="s">
        <v>28</v>
      </c>
      <c r="O21875">
        <v>251010</v>
      </c>
      <c r="P21875">
        <v>2.7</v>
      </c>
    </row>
    <row r="21876" spans="1:16" x14ac:dyDescent="0.25">
      <c r="A21876" t="s">
        <v>3296</v>
      </c>
      <c r="B21876" t="s">
        <v>2931</v>
      </c>
      <c r="C21876">
        <v>13539</v>
      </c>
      <c r="D21876" t="str">
        <f t="shared" si="469"/>
        <v xml:space="preserve">12541020996 </v>
      </c>
      <c r="E21876" t="s">
        <v>309</v>
      </c>
      <c r="F21876" t="s">
        <v>310</v>
      </c>
      <c r="G21876">
        <v>3.2</v>
      </c>
      <c r="H21876">
        <v>250930</v>
      </c>
      <c r="I21876">
        <v>4369</v>
      </c>
      <c r="J21876" t="s">
        <v>188</v>
      </c>
      <c r="K21876">
        <v>57.59</v>
      </c>
      <c r="L21876">
        <v>0.65</v>
      </c>
      <c r="M21876">
        <v>17974</v>
      </c>
      <c r="N21876" t="s">
        <v>153</v>
      </c>
      <c r="O21876">
        <v>251010</v>
      </c>
      <c r="P21876">
        <v>2.5499999999999998</v>
      </c>
    </row>
    <row r="21877" spans="1:16" x14ac:dyDescent="0.25">
      <c r="A21877" t="s">
        <v>3296</v>
      </c>
      <c r="B21877" t="s">
        <v>2931</v>
      </c>
      <c r="C21877">
        <v>13539</v>
      </c>
      <c r="D21877" t="str">
        <f t="shared" si="469"/>
        <v xml:space="preserve">12541020996 </v>
      </c>
      <c r="E21877" t="s">
        <v>309</v>
      </c>
      <c r="F21877" t="s">
        <v>310</v>
      </c>
      <c r="G21877">
        <v>3.52</v>
      </c>
      <c r="H21877">
        <v>250930</v>
      </c>
      <c r="I21877">
        <v>4369</v>
      </c>
      <c r="J21877" t="s">
        <v>188</v>
      </c>
      <c r="K21877">
        <v>57.59</v>
      </c>
      <c r="L21877">
        <v>0.72</v>
      </c>
      <c r="M21877">
        <v>17974</v>
      </c>
      <c r="N21877" t="s">
        <v>153</v>
      </c>
      <c r="O21877">
        <v>251010</v>
      </c>
      <c r="P21877">
        <v>2.8</v>
      </c>
    </row>
    <row r="21878" spans="1:16" x14ac:dyDescent="0.25">
      <c r="A21878" t="s">
        <v>3296</v>
      </c>
      <c r="B21878" t="s">
        <v>2931</v>
      </c>
      <c r="C21878">
        <v>13544</v>
      </c>
      <c r="D21878" t="str">
        <f t="shared" ref="D21878:D21883" si="470">"12541020987 "</f>
        <v xml:space="preserve">12541020987 </v>
      </c>
      <c r="E21878" t="s">
        <v>309</v>
      </c>
      <c r="F21878" t="s">
        <v>310</v>
      </c>
      <c r="G21878">
        <v>6.92</v>
      </c>
      <c r="H21878">
        <v>250930</v>
      </c>
      <c r="I21878">
        <v>4369</v>
      </c>
      <c r="J21878" t="s">
        <v>188</v>
      </c>
      <c r="K21878">
        <v>50.11</v>
      </c>
      <c r="L21878">
        <v>1.41</v>
      </c>
      <c r="M21878">
        <v>44222</v>
      </c>
      <c r="N21878" t="s">
        <v>96</v>
      </c>
      <c r="O21878">
        <v>251010</v>
      </c>
      <c r="P21878">
        <v>5.51</v>
      </c>
    </row>
    <row r="21879" spans="1:16" x14ac:dyDescent="0.25">
      <c r="A21879" t="s">
        <v>3296</v>
      </c>
      <c r="B21879" t="s">
        <v>2931</v>
      </c>
      <c r="C21879">
        <v>13544</v>
      </c>
      <c r="D21879" t="str">
        <f t="shared" si="470"/>
        <v xml:space="preserve">12541020987 </v>
      </c>
      <c r="E21879" t="s">
        <v>309</v>
      </c>
      <c r="F21879" t="s">
        <v>310</v>
      </c>
      <c r="G21879">
        <v>6.49</v>
      </c>
      <c r="H21879">
        <v>250930</v>
      </c>
      <c r="I21879">
        <v>4369</v>
      </c>
      <c r="J21879" t="s">
        <v>188</v>
      </c>
      <c r="K21879">
        <v>50.11</v>
      </c>
      <c r="L21879">
        <v>0.8</v>
      </c>
      <c r="M21879">
        <v>44222</v>
      </c>
      <c r="N21879" t="s">
        <v>96</v>
      </c>
      <c r="O21879">
        <v>251010</v>
      </c>
      <c r="P21879">
        <v>5.69</v>
      </c>
    </row>
    <row r="21880" spans="1:16" x14ac:dyDescent="0.25">
      <c r="A21880" t="s">
        <v>3296</v>
      </c>
      <c r="B21880" t="s">
        <v>2931</v>
      </c>
      <c r="C21880">
        <v>13544</v>
      </c>
      <c r="D21880" t="str">
        <f t="shared" si="470"/>
        <v xml:space="preserve">12541020987 </v>
      </c>
      <c r="E21880" t="s">
        <v>309</v>
      </c>
      <c r="F21880" t="s">
        <v>310</v>
      </c>
      <c r="G21880">
        <v>23.52</v>
      </c>
      <c r="H21880">
        <v>250930</v>
      </c>
      <c r="I21880">
        <v>4369</v>
      </c>
      <c r="J21880" t="s">
        <v>188</v>
      </c>
      <c r="K21880">
        <v>50.11</v>
      </c>
      <c r="L21880">
        <v>4.78</v>
      </c>
      <c r="M21880">
        <v>44222</v>
      </c>
      <c r="N21880" t="s">
        <v>96</v>
      </c>
      <c r="O21880">
        <v>251010</v>
      </c>
      <c r="P21880">
        <v>18.739999999999998</v>
      </c>
    </row>
    <row r="21881" spans="1:16" x14ac:dyDescent="0.25">
      <c r="A21881" t="s">
        <v>3296</v>
      </c>
      <c r="B21881" t="s">
        <v>2931</v>
      </c>
      <c r="C21881">
        <v>13544</v>
      </c>
      <c r="D21881" t="str">
        <f t="shared" si="470"/>
        <v xml:space="preserve">12541020987 </v>
      </c>
      <c r="E21881" t="s">
        <v>309</v>
      </c>
      <c r="F21881" t="s">
        <v>310</v>
      </c>
      <c r="G21881">
        <v>3.39</v>
      </c>
      <c r="H21881">
        <v>250930</v>
      </c>
      <c r="I21881">
        <v>4369</v>
      </c>
      <c r="J21881" t="s">
        <v>188</v>
      </c>
      <c r="K21881">
        <v>50.11</v>
      </c>
      <c r="L21881">
        <v>0.69</v>
      </c>
      <c r="M21881">
        <v>44251</v>
      </c>
      <c r="N21881" t="s">
        <v>215</v>
      </c>
      <c r="O21881">
        <v>251010</v>
      </c>
      <c r="P21881">
        <v>2.7</v>
      </c>
    </row>
    <row r="21882" spans="1:16" x14ac:dyDescent="0.25">
      <c r="A21882" t="s">
        <v>3296</v>
      </c>
      <c r="B21882" t="s">
        <v>2931</v>
      </c>
      <c r="C21882">
        <v>13544</v>
      </c>
      <c r="D21882" t="str">
        <f t="shared" si="470"/>
        <v xml:space="preserve">12541020987 </v>
      </c>
      <c r="E21882" t="s">
        <v>309</v>
      </c>
      <c r="F21882" t="s">
        <v>310</v>
      </c>
      <c r="G21882">
        <v>3.2</v>
      </c>
      <c r="H21882">
        <v>250930</v>
      </c>
      <c r="I21882">
        <v>4369</v>
      </c>
      <c r="J21882" t="s">
        <v>188</v>
      </c>
      <c r="K21882">
        <v>50.11</v>
      </c>
      <c r="L21882">
        <v>0.65</v>
      </c>
      <c r="M21882">
        <v>44253</v>
      </c>
      <c r="N21882" t="s">
        <v>403</v>
      </c>
      <c r="O21882">
        <v>251010</v>
      </c>
      <c r="P21882">
        <v>2.5499999999999998</v>
      </c>
    </row>
    <row r="21883" spans="1:16" x14ac:dyDescent="0.25">
      <c r="A21883" t="s">
        <v>3296</v>
      </c>
      <c r="B21883" t="s">
        <v>2931</v>
      </c>
      <c r="C21883">
        <v>13544</v>
      </c>
      <c r="D21883" t="str">
        <f t="shared" si="470"/>
        <v xml:space="preserve">12541020987 </v>
      </c>
      <c r="E21883" t="s">
        <v>309</v>
      </c>
      <c r="F21883" t="s">
        <v>310</v>
      </c>
      <c r="G21883">
        <v>6.59</v>
      </c>
      <c r="H21883">
        <v>250930</v>
      </c>
      <c r="I21883">
        <v>4369</v>
      </c>
      <c r="J21883" t="s">
        <v>188</v>
      </c>
      <c r="K21883">
        <v>50.11</v>
      </c>
      <c r="L21883">
        <v>1.34</v>
      </c>
      <c r="M21883">
        <v>49702</v>
      </c>
      <c r="N21883" t="s">
        <v>112</v>
      </c>
      <c r="O21883">
        <v>251010</v>
      </c>
      <c r="P21883">
        <v>5.25</v>
      </c>
    </row>
    <row r="21884" spans="1:16" x14ac:dyDescent="0.25">
      <c r="A21884" t="s">
        <v>3296</v>
      </c>
      <c r="B21884" t="s">
        <v>2931</v>
      </c>
      <c r="C21884">
        <v>13546</v>
      </c>
      <c r="D21884" t="str">
        <f>"12541021011 "</f>
        <v xml:space="preserve">12541021011 </v>
      </c>
      <c r="E21884" t="s">
        <v>309</v>
      </c>
      <c r="F21884" t="s">
        <v>310</v>
      </c>
      <c r="G21884">
        <v>57.6</v>
      </c>
      <c r="H21884">
        <v>250930</v>
      </c>
      <c r="I21884">
        <v>4369</v>
      </c>
      <c r="J21884" t="s">
        <v>188</v>
      </c>
      <c r="K21884">
        <v>57.6</v>
      </c>
      <c r="L21884">
        <v>11.7</v>
      </c>
      <c r="M21884">
        <v>10002</v>
      </c>
      <c r="N21884" t="s">
        <v>513</v>
      </c>
      <c r="O21884">
        <v>251010</v>
      </c>
      <c r="P21884">
        <v>45.9</v>
      </c>
    </row>
    <row r="21885" spans="1:16" x14ac:dyDescent="0.25">
      <c r="A21885" t="s">
        <v>3296</v>
      </c>
      <c r="B21885" t="s">
        <v>2931</v>
      </c>
      <c r="C21885">
        <v>13549</v>
      </c>
      <c r="D21885" t="str">
        <f>"12541020982 "</f>
        <v xml:space="preserve">12541020982 </v>
      </c>
      <c r="E21885" t="s">
        <v>309</v>
      </c>
      <c r="F21885" t="s">
        <v>310</v>
      </c>
      <c r="G21885">
        <v>20.76</v>
      </c>
      <c r="H21885">
        <v>250930</v>
      </c>
      <c r="I21885">
        <v>4369</v>
      </c>
      <c r="J21885" t="s">
        <v>188</v>
      </c>
      <c r="K21885">
        <v>24.15</v>
      </c>
      <c r="L21885">
        <v>4.22</v>
      </c>
      <c r="M21885">
        <v>47522</v>
      </c>
      <c r="N21885" t="s">
        <v>106</v>
      </c>
      <c r="O21885">
        <v>251010</v>
      </c>
      <c r="P21885">
        <v>16.54</v>
      </c>
    </row>
    <row r="21886" spans="1:16" x14ac:dyDescent="0.25">
      <c r="A21886" t="s">
        <v>3296</v>
      </c>
      <c r="B21886" t="s">
        <v>2931</v>
      </c>
      <c r="C21886">
        <v>13549</v>
      </c>
      <c r="D21886" t="str">
        <f>"12541020982 "</f>
        <v xml:space="preserve">12541020982 </v>
      </c>
      <c r="E21886" t="s">
        <v>309</v>
      </c>
      <c r="F21886" t="s">
        <v>310</v>
      </c>
      <c r="G21886">
        <v>3.39</v>
      </c>
      <c r="H21886">
        <v>250930</v>
      </c>
      <c r="I21886">
        <v>4369</v>
      </c>
      <c r="J21886" t="s">
        <v>188</v>
      </c>
      <c r="K21886">
        <v>24.15</v>
      </c>
      <c r="L21886">
        <v>0.69</v>
      </c>
      <c r="M21886">
        <v>49702</v>
      </c>
      <c r="N21886" t="s">
        <v>112</v>
      </c>
      <c r="O21886">
        <v>251010</v>
      </c>
      <c r="P21886">
        <v>2.7</v>
      </c>
    </row>
    <row r="21887" spans="1:16" x14ac:dyDescent="0.25">
      <c r="A21887" t="s">
        <v>3296</v>
      </c>
      <c r="B21887" t="s">
        <v>2931</v>
      </c>
      <c r="C21887">
        <v>13551</v>
      </c>
      <c r="D21887" t="str">
        <f>"12541020979 "</f>
        <v xml:space="preserve">12541020979 </v>
      </c>
      <c r="E21887" t="s">
        <v>309</v>
      </c>
      <c r="F21887" t="s">
        <v>310</v>
      </c>
      <c r="G21887">
        <v>31.26</v>
      </c>
      <c r="H21887">
        <v>250930</v>
      </c>
      <c r="I21887">
        <v>4369</v>
      </c>
      <c r="J21887" t="s">
        <v>188</v>
      </c>
      <c r="K21887">
        <v>31.26</v>
      </c>
      <c r="L21887">
        <v>6.35</v>
      </c>
      <c r="M21887">
        <v>49501</v>
      </c>
      <c r="N21887" t="s">
        <v>110</v>
      </c>
      <c r="O21887">
        <v>251010</v>
      </c>
      <c r="P21887">
        <v>24.91</v>
      </c>
    </row>
    <row r="21888" spans="1:16" x14ac:dyDescent="0.25">
      <c r="A21888" t="s">
        <v>3296</v>
      </c>
      <c r="B21888" t="s">
        <v>2931</v>
      </c>
      <c r="C21888">
        <v>13552</v>
      </c>
      <c r="D21888" t="str">
        <f t="shared" ref="D21888:D21894" si="471">"12541020975 "</f>
        <v xml:space="preserve">12541020975 </v>
      </c>
      <c r="E21888" t="s">
        <v>309</v>
      </c>
      <c r="F21888" t="s">
        <v>310</v>
      </c>
      <c r="G21888">
        <v>16.940000000000001</v>
      </c>
      <c r="H21888">
        <v>250930</v>
      </c>
      <c r="I21888">
        <v>4369</v>
      </c>
      <c r="J21888" t="s">
        <v>188</v>
      </c>
      <c r="K21888">
        <v>52.18</v>
      </c>
      <c r="L21888">
        <v>3.44</v>
      </c>
      <c r="M21888">
        <v>54222</v>
      </c>
      <c r="N21888" t="s">
        <v>48</v>
      </c>
      <c r="O21888">
        <v>251010</v>
      </c>
      <c r="P21888">
        <v>13.5</v>
      </c>
    </row>
    <row r="21889" spans="1:16" x14ac:dyDescent="0.25">
      <c r="A21889" t="s">
        <v>3296</v>
      </c>
      <c r="B21889" t="s">
        <v>2931</v>
      </c>
      <c r="C21889">
        <v>13552</v>
      </c>
      <c r="D21889" t="str">
        <f t="shared" si="471"/>
        <v xml:space="preserve">12541020975 </v>
      </c>
      <c r="E21889" t="s">
        <v>309</v>
      </c>
      <c r="F21889" t="s">
        <v>310</v>
      </c>
      <c r="G21889">
        <v>3.39</v>
      </c>
      <c r="H21889">
        <v>250930</v>
      </c>
      <c r="I21889">
        <v>4369</v>
      </c>
      <c r="J21889" t="s">
        <v>188</v>
      </c>
      <c r="K21889">
        <v>52.18</v>
      </c>
      <c r="L21889">
        <v>0.69</v>
      </c>
      <c r="M21889">
        <v>54251</v>
      </c>
      <c r="N21889" t="s">
        <v>485</v>
      </c>
      <c r="O21889">
        <v>251010</v>
      </c>
      <c r="P21889">
        <v>2.7</v>
      </c>
    </row>
    <row r="21890" spans="1:16" x14ac:dyDescent="0.25">
      <c r="A21890" t="s">
        <v>3296</v>
      </c>
      <c r="B21890" t="s">
        <v>2931</v>
      </c>
      <c r="C21890">
        <v>13552</v>
      </c>
      <c r="D21890" t="str">
        <f t="shared" si="471"/>
        <v xml:space="preserve">12541020975 </v>
      </c>
      <c r="E21890" t="s">
        <v>309</v>
      </c>
      <c r="F21890" t="s">
        <v>310</v>
      </c>
      <c r="G21890">
        <v>3.39</v>
      </c>
      <c r="H21890">
        <v>250930</v>
      </c>
      <c r="I21890">
        <v>4369</v>
      </c>
      <c r="J21890" t="s">
        <v>188</v>
      </c>
      <c r="K21890">
        <v>52.18</v>
      </c>
      <c r="L21890">
        <v>0.69</v>
      </c>
      <c r="M21890">
        <v>54252</v>
      </c>
      <c r="N21890" t="s">
        <v>742</v>
      </c>
      <c r="O21890">
        <v>251010</v>
      </c>
      <c r="P21890">
        <v>2.7</v>
      </c>
    </row>
    <row r="21891" spans="1:16" x14ac:dyDescent="0.25">
      <c r="A21891" t="s">
        <v>3296</v>
      </c>
      <c r="B21891" t="s">
        <v>2931</v>
      </c>
      <c r="C21891">
        <v>13552</v>
      </c>
      <c r="D21891" t="str">
        <f t="shared" si="471"/>
        <v xml:space="preserve">12541020975 </v>
      </c>
      <c r="E21891" t="s">
        <v>309</v>
      </c>
      <c r="F21891" t="s">
        <v>310</v>
      </c>
      <c r="G21891">
        <v>11.06</v>
      </c>
      <c r="H21891">
        <v>250930</v>
      </c>
      <c r="I21891">
        <v>4369</v>
      </c>
      <c r="J21891" t="s">
        <v>188</v>
      </c>
      <c r="K21891">
        <v>52.18</v>
      </c>
      <c r="L21891">
        <v>2.25</v>
      </c>
      <c r="M21891">
        <v>54422</v>
      </c>
      <c r="N21891" t="s">
        <v>49</v>
      </c>
      <c r="O21891">
        <v>251010</v>
      </c>
      <c r="P21891">
        <v>8.81</v>
      </c>
    </row>
    <row r="21892" spans="1:16" x14ac:dyDescent="0.25">
      <c r="A21892" t="s">
        <v>3296</v>
      </c>
      <c r="B21892" t="s">
        <v>2931</v>
      </c>
      <c r="C21892">
        <v>13552</v>
      </c>
      <c r="D21892" t="str">
        <f t="shared" si="471"/>
        <v xml:space="preserve">12541020975 </v>
      </c>
      <c r="E21892" t="s">
        <v>309</v>
      </c>
      <c r="F21892" t="s">
        <v>310</v>
      </c>
      <c r="G21892">
        <v>6.78</v>
      </c>
      <c r="H21892">
        <v>250930</v>
      </c>
      <c r="I21892">
        <v>4369</v>
      </c>
      <c r="J21892" t="s">
        <v>188</v>
      </c>
      <c r="K21892">
        <v>52.18</v>
      </c>
      <c r="L21892">
        <v>1.38</v>
      </c>
      <c r="M21892">
        <v>54451</v>
      </c>
      <c r="N21892" t="s">
        <v>218</v>
      </c>
      <c r="O21892">
        <v>251010</v>
      </c>
      <c r="P21892">
        <v>5.4</v>
      </c>
    </row>
    <row r="21893" spans="1:16" x14ac:dyDescent="0.25">
      <c r="A21893" t="s">
        <v>3296</v>
      </c>
      <c r="B21893" t="s">
        <v>2931</v>
      </c>
      <c r="C21893">
        <v>13552</v>
      </c>
      <c r="D21893" t="str">
        <f t="shared" si="471"/>
        <v xml:space="preserve">12541020975 </v>
      </c>
      <c r="E21893" t="s">
        <v>309</v>
      </c>
      <c r="F21893" t="s">
        <v>310</v>
      </c>
      <c r="G21893">
        <v>7.24</v>
      </c>
      <c r="H21893">
        <v>250930</v>
      </c>
      <c r="I21893">
        <v>4369</v>
      </c>
      <c r="J21893" t="s">
        <v>188</v>
      </c>
      <c r="K21893">
        <v>52.18</v>
      </c>
      <c r="L21893">
        <v>1.47</v>
      </c>
      <c r="M21893">
        <v>56563</v>
      </c>
      <c r="N21893" t="s">
        <v>55</v>
      </c>
      <c r="O21893">
        <v>251010</v>
      </c>
      <c r="P21893">
        <v>5.77</v>
      </c>
    </row>
    <row r="21894" spans="1:16" x14ac:dyDescent="0.25">
      <c r="A21894" t="s">
        <v>3296</v>
      </c>
      <c r="B21894" t="s">
        <v>2931</v>
      </c>
      <c r="C21894">
        <v>13552</v>
      </c>
      <c r="D21894" t="str">
        <f t="shared" si="471"/>
        <v xml:space="preserve">12541020975 </v>
      </c>
      <c r="E21894" t="s">
        <v>309</v>
      </c>
      <c r="F21894" t="s">
        <v>310</v>
      </c>
      <c r="G21894">
        <v>3.38</v>
      </c>
      <c r="H21894">
        <v>250930</v>
      </c>
      <c r="I21894">
        <v>4369</v>
      </c>
      <c r="J21894" t="s">
        <v>188</v>
      </c>
      <c r="K21894">
        <v>52.18</v>
      </c>
      <c r="L21894">
        <v>0.69</v>
      </c>
      <c r="M21894">
        <v>58601</v>
      </c>
      <c r="N21894" t="s">
        <v>59</v>
      </c>
      <c r="O21894">
        <v>251010</v>
      </c>
      <c r="P21894">
        <v>2.69</v>
      </c>
    </row>
    <row r="21895" spans="1:16" x14ac:dyDescent="0.25">
      <c r="A21895" t="s">
        <v>3296</v>
      </c>
      <c r="B21895" t="s">
        <v>2931</v>
      </c>
      <c r="C21895">
        <v>13553</v>
      </c>
      <c r="D21895" t="str">
        <f t="shared" ref="D21895:D21923" si="472">"12541020974 "</f>
        <v xml:space="preserve">12541020974 </v>
      </c>
      <c r="E21895" t="s">
        <v>309</v>
      </c>
      <c r="F21895" t="s">
        <v>310</v>
      </c>
      <c r="G21895">
        <v>27.89</v>
      </c>
      <c r="H21895">
        <v>250930</v>
      </c>
      <c r="I21895">
        <v>4369</v>
      </c>
      <c r="J21895" t="s">
        <v>188</v>
      </c>
      <c r="K21895">
        <v>334.77</v>
      </c>
      <c r="L21895">
        <v>5.67</v>
      </c>
      <c r="M21895">
        <v>61122</v>
      </c>
      <c r="N21895" t="s">
        <v>86</v>
      </c>
      <c r="O21895">
        <v>251010</v>
      </c>
      <c r="P21895">
        <v>22.22</v>
      </c>
    </row>
    <row r="21896" spans="1:16" x14ac:dyDescent="0.25">
      <c r="A21896" t="s">
        <v>3296</v>
      </c>
      <c r="B21896" t="s">
        <v>2931</v>
      </c>
      <c r="C21896">
        <v>13553</v>
      </c>
      <c r="D21896" t="str">
        <f t="shared" si="472"/>
        <v xml:space="preserve">12541020974 </v>
      </c>
      <c r="E21896" t="s">
        <v>309</v>
      </c>
      <c r="F21896" t="s">
        <v>310</v>
      </c>
      <c r="G21896">
        <v>3.39</v>
      </c>
      <c r="H21896">
        <v>250930</v>
      </c>
      <c r="I21896">
        <v>4369</v>
      </c>
      <c r="J21896" t="s">
        <v>188</v>
      </c>
      <c r="K21896">
        <v>334.77</v>
      </c>
      <c r="L21896">
        <v>0.69</v>
      </c>
      <c r="M21896">
        <v>61122</v>
      </c>
      <c r="N21896" t="s">
        <v>86</v>
      </c>
      <c r="O21896">
        <v>251010</v>
      </c>
      <c r="P21896">
        <v>2.7</v>
      </c>
    </row>
    <row r="21897" spans="1:16" x14ac:dyDescent="0.25">
      <c r="A21897" t="s">
        <v>3296</v>
      </c>
      <c r="B21897" t="s">
        <v>2931</v>
      </c>
      <c r="C21897">
        <v>13553</v>
      </c>
      <c r="D21897" t="str">
        <f t="shared" si="472"/>
        <v xml:space="preserve">12541020974 </v>
      </c>
      <c r="E21897" t="s">
        <v>309</v>
      </c>
      <c r="F21897" t="s">
        <v>310</v>
      </c>
      <c r="G21897">
        <v>13.55</v>
      </c>
      <c r="H21897">
        <v>250930</v>
      </c>
      <c r="I21897">
        <v>4369</v>
      </c>
      <c r="J21897" t="s">
        <v>188</v>
      </c>
      <c r="K21897">
        <v>334.77</v>
      </c>
      <c r="L21897">
        <v>2.75</v>
      </c>
      <c r="M21897">
        <v>65222</v>
      </c>
      <c r="N21897" t="s">
        <v>87</v>
      </c>
      <c r="O21897">
        <v>251010</v>
      </c>
      <c r="P21897">
        <v>10.8</v>
      </c>
    </row>
    <row r="21898" spans="1:16" x14ac:dyDescent="0.25">
      <c r="A21898" t="s">
        <v>3296</v>
      </c>
      <c r="B21898" t="s">
        <v>2931</v>
      </c>
      <c r="C21898">
        <v>13553</v>
      </c>
      <c r="D21898" t="str">
        <f t="shared" si="472"/>
        <v xml:space="preserve">12541020974 </v>
      </c>
      <c r="E21898" t="s">
        <v>309</v>
      </c>
      <c r="F21898" t="s">
        <v>310</v>
      </c>
      <c r="G21898">
        <v>3.39</v>
      </c>
      <c r="H21898">
        <v>250930</v>
      </c>
      <c r="I21898">
        <v>4369</v>
      </c>
      <c r="J21898" t="s">
        <v>188</v>
      </c>
      <c r="K21898">
        <v>334.77</v>
      </c>
      <c r="L21898">
        <v>0.69</v>
      </c>
      <c r="M21898">
        <v>65422</v>
      </c>
      <c r="N21898" t="s">
        <v>117</v>
      </c>
      <c r="O21898">
        <v>251010</v>
      </c>
      <c r="P21898">
        <v>2.7</v>
      </c>
    </row>
    <row r="21899" spans="1:16" x14ac:dyDescent="0.25">
      <c r="A21899" t="s">
        <v>3296</v>
      </c>
      <c r="B21899" t="s">
        <v>2931</v>
      </c>
      <c r="C21899">
        <v>13553</v>
      </c>
      <c r="D21899" t="str">
        <f t="shared" si="472"/>
        <v xml:space="preserve">12541020974 </v>
      </c>
      <c r="E21899" t="s">
        <v>309</v>
      </c>
      <c r="F21899" t="s">
        <v>310</v>
      </c>
      <c r="G21899">
        <v>10.17</v>
      </c>
      <c r="H21899">
        <v>250930</v>
      </c>
      <c r="I21899">
        <v>4369</v>
      </c>
      <c r="J21899" t="s">
        <v>188</v>
      </c>
      <c r="K21899">
        <v>334.77</v>
      </c>
      <c r="L21899">
        <v>2.0699999999999998</v>
      </c>
      <c r="M21899">
        <v>66722</v>
      </c>
      <c r="N21899" t="s">
        <v>118</v>
      </c>
      <c r="O21899">
        <v>251010</v>
      </c>
      <c r="P21899">
        <v>8.1</v>
      </c>
    </row>
    <row r="21900" spans="1:16" x14ac:dyDescent="0.25">
      <c r="A21900" t="s">
        <v>3296</v>
      </c>
      <c r="B21900" t="s">
        <v>2931</v>
      </c>
      <c r="C21900">
        <v>13553</v>
      </c>
      <c r="D21900" t="str">
        <f t="shared" si="472"/>
        <v xml:space="preserve">12541020974 </v>
      </c>
      <c r="E21900" t="s">
        <v>309</v>
      </c>
      <c r="F21900" t="s">
        <v>310</v>
      </c>
      <c r="G21900">
        <v>11.75</v>
      </c>
      <c r="H21900">
        <v>250930</v>
      </c>
      <c r="I21900">
        <v>4369</v>
      </c>
      <c r="J21900" t="s">
        <v>188</v>
      </c>
      <c r="K21900">
        <v>334.77</v>
      </c>
      <c r="L21900">
        <v>2.39</v>
      </c>
      <c r="M21900">
        <v>66754</v>
      </c>
      <c r="N21900" t="s">
        <v>119</v>
      </c>
      <c r="O21900">
        <v>251010</v>
      </c>
      <c r="P21900">
        <v>9.36</v>
      </c>
    </row>
    <row r="21901" spans="1:16" x14ac:dyDescent="0.25">
      <c r="A21901" t="s">
        <v>3296</v>
      </c>
      <c r="B21901" t="s">
        <v>2931</v>
      </c>
      <c r="C21901">
        <v>13553</v>
      </c>
      <c r="D21901" t="str">
        <f t="shared" si="472"/>
        <v xml:space="preserve">12541020974 </v>
      </c>
      <c r="E21901" t="s">
        <v>309</v>
      </c>
      <c r="F21901" t="s">
        <v>310</v>
      </c>
      <c r="G21901">
        <v>6.8</v>
      </c>
      <c r="H21901">
        <v>250930</v>
      </c>
      <c r="I21901">
        <v>4369</v>
      </c>
      <c r="J21901" t="s">
        <v>188</v>
      </c>
      <c r="K21901">
        <v>334.77</v>
      </c>
      <c r="L21901">
        <v>1.38</v>
      </c>
      <c r="M21901">
        <v>66754</v>
      </c>
      <c r="N21901" t="s">
        <v>119</v>
      </c>
      <c r="O21901">
        <v>251010</v>
      </c>
      <c r="P21901">
        <v>5.42</v>
      </c>
    </row>
    <row r="21902" spans="1:16" x14ac:dyDescent="0.25">
      <c r="A21902" t="s">
        <v>3296</v>
      </c>
      <c r="B21902" t="s">
        <v>2931</v>
      </c>
      <c r="C21902">
        <v>13553</v>
      </c>
      <c r="D21902" t="str">
        <f t="shared" si="472"/>
        <v xml:space="preserve">12541020974 </v>
      </c>
      <c r="E21902" t="s">
        <v>309</v>
      </c>
      <c r="F21902" t="s">
        <v>310</v>
      </c>
      <c r="G21902">
        <v>3.53</v>
      </c>
      <c r="H21902">
        <v>250930</v>
      </c>
      <c r="I21902">
        <v>4369</v>
      </c>
      <c r="J21902" t="s">
        <v>188</v>
      </c>
      <c r="K21902">
        <v>334.77</v>
      </c>
      <c r="L21902">
        <v>0.72</v>
      </c>
      <c r="M21902">
        <v>66754</v>
      </c>
      <c r="N21902" t="s">
        <v>119</v>
      </c>
      <c r="O21902">
        <v>251010</v>
      </c>
      <c r="P21902">
        <v>2.81</v>
      </c>
    </row>
    <row r="21903" spans="1:16" x14ac:dyDescent="0.25">
      <c r="A21903" t="s">
        <v>3296</v>
      </c>
      <c r="B21903" t="s">
        <v>2931</v>
      </c>
      <c r="C21903">
        <v>13553</v>
      </c>
      <c r="D21903" t="str">
        <f t="shared" si="472"/>
        <v xml:space="preserve">12541020974 </v>
      </c>
      <c r="E21903" t="s">
        <v>309</v>
      </c>
      <c r="F21903" t="s">
        <v>310</v>
      </c>
      <c r="G21903">
        <v>10.17</v>
      </c>
      <c r="H21903">
        <v>250930</v>
      </c>
      <c r="I21903">
        <v>4369</v>
      </c>
      <c r="J21903" t="s">
        <v>188</v>
      </c>
      <c r="K21903">
        <v>334.77</v>
      </c>
      <c r="L21903">
        <v>2.0699999999999998</v>
      </c>
      <c r="M21903">
        <v>66754</v>
      </c>
      <c r="N21903" t="s">
        <v>119</v>
      </c>
      <c r="O21903">
        <v>251010</v>
      </c>
      <c r="P21903">
        <v>8.1</v>
      </c>
    </row>
    <row r="21904" spans="1:16" x14ac:dyDescent="0.25">
      <c r="A21904" t="s">
        <v>3296</v>
      </c>
      <c r="B21904" t="s">
        <v>2931</v>
      </c>
      <c r="C21904">
        <v>13553</v>
      </c>
      <c r="D21904" t="str">
        <f t="shared" si="472"/>
        <v xml:space="preserve">12541020974 </v>
      </c>
      <c r="E21904" t="s">
        <v>309</v>
      </c>
      <c r="F21904" t="s">
        <v>310</v>
      </c>
      <c r="G21904">
        <v>10.35</v>
      </c>
      <c r="H21904">
        <v>250930</v>
      </c>
      <c r="I21904">
        <v>4369</v>
      </c>
      <c r="J21904" t="s">
        <v>188</v>
      </c>
      <c r="K21904">
        <v>334.77</v>
      </c>
      <c r="L21904">
        <v>2.1</v>
      </c>
      <c r="M21904">
        <v>66756</v>
      </c>
      <c r="N21904" t="s">
        <v>120</v>
      </c>
      <c r="O21904">
        <v>251010</v>
      </c>
      <c r="P21904">
        <v>8.25</v>
      </c>
    </row>
    <row r="21905" spans="1:16" x14ac:dyDescent="0.25">
      <c r="A21905" t="s">
        <v>3296</v>
      </c>
      <c r="B21905" t="s">
        <v>2931</v>
      </c>
      <c r="C21905">
        <v>13553</v>
      </c>
      <c r="D21905" t="str">
        <f t="shared" si="472"/>
        <v xml:space="preserve">12541020974 </v>
      </c>
      <c r="E21905" t="s">
        <v>309</v>
      </c>
      <c r="F21905" t="s">
        <v>310</v>
      </c>
      <c r="G21905">
        <v>24.97</v>
      </c>
      <c r="H21905">
        <v>250930</v>
      </c>
      <c r="I21905">
        <v>4369</v>
      </c>
      <c r="J21905" t="s">
        <v>188</v>
      </c>
      <c r="K21905">
        <v>334.77</v>
      </c>
      <c r="L21905">
        <v>5.07</v>
      </c>
      <c r="M21905">
        <v>67522</v>
      </c>
      <c r="N21905" t="s">
        <v>121</v>
      </c>
      <c r="O21905">
        <v>251010</v>
      </c>
      <c r="P21905">
        <v>19.899999999999999</v>
      </c>
    </row>
    <row r="21906" spans="1:16" x14ac:dyDescent="0.25">
      <c r="A21906" t="s">
        <v>3296</v>
      </c>
      <c r="B21906" t="s">
        <v>2931</v>
      </c>
      <c r="C21906">
        <v>13553</v>
      </c>
      <c r="D21906" t="str">
        <f t="shared" si="472"/>
        <v xml:space="preserve">12541020974 </v>
      </c>
      <c r="E21906" t="s">
        <v>309</v>
      </c>
      <c r="F21906" t="s">
        <v>310</v>
      </c>
      <c r="G21906">
        <v>19.09</v>
      </c>
      <c r="H21906">
        <v>250930</v>
      </c>
      <c r="I21906">
        <v>4369</v>
      </c>
      <c r="J21906" t="s">
        <v>188</v>
      </c>
      <c r="K21906">
        <v>334.77</v>
      </c>
      <c r="L21906">
        <v>3.88</v>
      </c>
      <c r="M21906">
        <v>67522</v>
      </c>
      <c r="N21906" t="s">
        <v>121</v>
      </c>
      <c r="O21906">
        <v>251010</v>
      </c>
      <c r="P21906">
        <v>15.21</v>
      </c>
    </row>
    <row r="21907" spans="1:16" x14ac:dyDescent="0.25">
      <c r="A21907" t="s">
        <v>3296</v>
      </c>
      <c r="B21907" t="s">
        <v>2931</v>
      </c>
      <c r="C21907">
        <v>13553</v>
      </c>
      <c r="D21907" t="str">
        <f t="shared" si="472"/>
        <v xml:space="preserve">12541020974 </v>
      </c>
      <c r="E21907" t="s">
        <v>309</v>
      </c>
      <c r="F21907" t="s">
        <v>310</v>
      </c>
      <c r="G21907">
        <v>2.15</v>
      </c>
      <c r="H21907">
        <v>250930</v>
      </c>
      <c r="I21907">
        <v>4369</v>
      </c>
      <c r="J21907" t="s">
        <v>188</v>
      </c>
      <c r="K21907">
        <v>334.77</v>
      </c>
      <c r="L21907">
        <v>0.44</v>
      </c>
      <c r="M21907">
        <v>67554</v>
      </c>
      <c r="N21907" t="s">
        <v>317</v>
      </c>
      <c r="O21907">
        <v>251010</v>
      </c>
      <c r="P21907">
        <v>1.71</v>
      </c>
    </row>
    <row r="21908" spans="1:16" x14ac:dyDescent="0.25">
      <c r="A21908" t="s">
        <v>3296</v>
      </c>
      <c r="B21908" t="s">
        <v>2931</v>
      </c>
      <c r="C21908">
        <v>13553</v>
      </c>
      <c r="D21908" t="str">
        <f t="shared" si="472"/>
        <v xml:space="preserve">12541020974 </v>
      </c>
      <c r="E21908" t="s">
        <v>309</v>
      </c>
      <c r="F21908" t="s">
        <v>310</v>
      </c>
      <c r="G21908">
        <v>3.48</v>
      </c>
      <c r="H21908">
        <v>250930</v>
      </c>
      <c r="I21908">
        <v>4369</v>
      </c>
      <c r="J21908" t="s">
        <v>188</v>
      </c>
      <c r="K21908">
        <v>334.77</v>
      </c>
      <c r="L21908">
        <v>0.71</v>
      </c>
      <c r="M21908">
        <v>67554</v>
      </c>
      <c r="N21908" t="s">
        <v>317</v>
      </c>
      <c r="O21908">
        <v>251010</v>
      </c>
      <c r="P21908">
        <v>2.77</v>
      </c>
    </row>
    <row r="21909" spans="1:16" x14ac:dyDescent="0.25">
      <c r="A21909" t="s">
        <v>3296</v>
      </c>
      <c r="B21909" t="s">
        <v>2931</v>
      </c>
      <c r="C21909">
        <v>13553</v>
      </c>
      <c r="D21909" t="str">
        <f t="shared" si="472"/>
        <v xml:space="preserve">12541020974 </v>
      </c>
      <c r="E21909" t="s">
        <v>309</v>
      </c>
      <c r="F21909" t="s">
        <v>310</v>
      </c>
      <c r="G21909">
        <v>59.78</v>
      </c>
      <c r="H21909">
        <v>250930</v>
      </c>
      <c r="I21909">
        <v>4369</v>
      </c>
      <c r="J21909" t="s">
        <v>188</v>
      </c>
      <c r="K21909">
        <v>334.77</v>
      </c>
      <c r="L21909">
        <v>12.15</v>
      </c>
      <c r="M21909">
        <v>67554</v>
      </c>
      <c r="N21909" t="s">
        <v>317</v>
      </c>
      <c r="O21909">
        <v>251010</v>
      </c>
      <c r="P21909">
        <v>47.63</v>
      </c>
    </row>
    <row r="21910" spans="1:16" x14ac:dyDescent="0.25">
      <c r="A21910" t="s">
        <v>3296</v>
      </c>
      <c r="B21910" t="s">
        <v>2931</v>
      </c>
      <c r="C21910">
        <v>13553</v>
      </c>
      <c r="D21910" t="str">
        <f t="shared" si="472"/>
        <v xml:space="preserve">12541020974 </v>
      </c>
      <c r="E21910" t="s">
        <v>309</v>
      </c>
      <c r="F21910" t="s">
        <v>310</v>
      </c>
      <c r="G21910">
        <v>3.5</v>
      </c>
      <c r="H21910">
        <v>250930</v>
      </c>
      <c r="I21910">
        <v>4369</v>
      </c>
      <c r="J21910" t="s">
        <v>188</v>
      </c>
      <c r="K21910">
        <v>334.77</v>
      </c>
      <c r="L21910">
        <v>0.71</v>
      </c>
      <c r="M21910">
        <v>67554</v>
      </c>
      <c r="N21910" t="s">
        <v>317</v>
      </c>
      <c r="O21910">
        <v>251010</v>
      </c>
      <c r="P21910">
        <v>2.79</v>
      </c>
    </row>
    <row r="21911" spans="1:16" x14ac:dyDescent="0.25">
      <c r="A21911" t="s">
        <v>3296</v>
      </c>
      <c r="B21911" t="s">
        <v>2931</v>
      </c>
      <c r="C21911">
        <v>13553</v>
      </c>
      <c r="D21911" t="str">
        <f t="shared" si="472"/>
        <v xml:space="preserve">12541020974 </v>
      </c>
      <c r="E21911" t="s">
        <v>309</v>
      </c>
      <c r="F21911" t="s">
        <v>310</v>
      </c>
      <c r="G21911">
        <v>12.3</v>
      </c>
      <c r="H21911">
        <v>250930</v>
      </c>
      <c r="I21911">
        <v>4369</v>
      </c>
      <c r="J21911" t="s">
        <v>188</v>
      </c>
      <c r="K21911">
        <v>334.77</v>
      </c>
      <c r="L21911">
        <v>2.5</v>
      </c>
      <c r="M21911">
        <v>68601</v>
      </c>
      <c r="N21911" t="s">
        <v>1031</v>
      </c>
      <c r="O21911">
        <v>251010</v>
      </c>
      <c r="P21911">
        <v>9.8000000000000007</v>
      </c>
    </row>
    <row r="21912" spans="1:16" x14ac:dyDescent="0.25">
      <c r="A21912" t="s">
        <v>3296</v>
      </c>
      <c r="B21912" t="s">
        <v>2931</v>
      </c>
      <c r="C21912">
        <v>13553</v>
      </c>
      <c r="D21912" t="str">
        <f t="shared" si="472"/>
        <v xml:space="preserve">12541020974 </v>
      </c>
      <c r="E21912" t="s">
        <v>309</v>
      </c>
      <c r="F21912" t="s">
        <v>310</v>
      </c>
      <c r="G21912">
        <v>7</v>
      </c>
      <c r="H21912">
        <v>250930</v>
      </c>
      <c r="I21912">
        <v>4369</v>
      </c>
      <c r="J21912" t="s">
        <v>188</v>
      </c>
      <c r="K21912">
        <v>334.77</v>
      </c>
      <c r="L21912">
        <v>1.42</v>
      </c>
      <c r="M21912">
        <v>68601</v>
      </c>
      <c r="N21912" t="s">
        <v>1031</v>
      </c>
      <c r="O21912">
        <v>251010</v>
      </c>
      <c r="P21912">
        <v>5.58</v>
      </c>
    </row>
    <row r="21913" spans="1:16" x14ac:dyDescent="0.25">
      <c r="A21913" t="s">
        <v>3296</v>
      </c>
      <c r="B21913" t="s">
        <v>2931</v>
      </c>
      <c r="C21913">
        <v>13553</v>
      </c>
      <c r="D21913" t="str">
        <f t="shared" si="472"/>
        <v xml:space="preserve">12541020974 </v>
      </c>
      <c r="E21913" t="s">
        <v>309</v>
      </c>
      <c r="F21913" t="s">
        <v>310</v>
      </c>
      <c r="G21913">
        <v>10.18</v>
      </c>
      <c r="H21913">
        <v>250930</v>
      </c>
      <c r="I21913">
        <v>4369</v>
      </c>
      <c r="J21913" t="s">
        <v>188</v>
      </c>
      <c r="K21913">
        <v>334.77</v>
      </c>
      <c r="L21913">
        <v>2.0699999999999998</v>
      </c>
      <c r="M21913">
        <v>69111</v>
      </c>
      <c r="N21913" t="s">
        <v>657</v>
      </c>
      <c r="O21913">
        <v>251010</v>
      </c>
      <c r="P21913">
        <v>8.11</v>
      </c>
    </row>
    <row r="21914" spans="1:16" x14ac:dyDescent="0.25">
      <c r="A21914" t="s">
        <v>3296</v>
      </c>
      <c r="B21914" t="s">
        <v>2931</v>
      </c>
      <c r="C21914">
        <v>13553</v>
      </c>
      <c r="D21914" t="str">
        <f t="shared" si="472"/>
        <v xml:space="preserve">12541020974 </v>
      </c>
      <c r="E21914" t="s">
        <v>309</v>
      </c>
      <c r="F21914" t="s">
        <v>310</v>
      </c>
      <c r="G21914">
        <v>3.39</v>
      </c>
      <c r="H21914">
        <v>250930</v>
      </c>
      <c r="I21914">
        <v>4369</v>
      </c>
      <c r="J21914" t="s">
        <v>188</v>
      </c>
      <c r="K21914">
        <v>334.77</v>
      </c>
      <c r="L21914">
        <v>0.69</v>
      </c>
      <c r="M21914">
        <v>69112</v>
      </c>
      <c r="N21914" t="s">
        <v>227</v>
      </c>
      <c r="O21914">
        <v>251010</v>
      </c>
      <c r="P21914">
        <v>2.7</v>
      </c>
    </row>
    <row r="21915" spans="1:16" x14ac:dyDescent="0.25">
      <c r="A21915" t="s">
        <v>3296</v>
      </c>
      <c r="B21915" t="s">
        <v>2931</v>
      </c>
      <c r="C21915">
        <v>13553</v>
      </c>
      <c r="D21915" t="str">
        <f t="shared" si="472"/>
        <v xml:space="preserve">12541020974 </v>
      </c>
      <c r="E21915" t="s">
        <v>309</v>
      </c>
      <c r="F21915" t="s">
        <v>310</v>
      </c>
      <c r="G21915">
        <v>14.24</v>
      </c>
      <c r="H21915">
        <v>250930</v>
      </c>
      <c r="I21915">
        <v>4369</v>
      </c>
      <c r="J21915" t="s">
        <v>188</v>
      </c>
      <c r="K21915">
        <v>334.77</v>
      </c>
      <c r="L21915">
        <v>2.89</v>
      </c>
      <c r="M21915">
        <v>69113</v>
      </c>
      <c r="N21915" t="s">
        <v>122</v>
      </c>
      <c r="O21915">
        <v>251010</v>
      </c>
      <c r="P21915">
        <v>11.35</v>
      </c>
    </row>
    <row r="21916" spans="1:16" x14ac:dyDescent="0.25">
      <c r="A21916" t="s">
        <v>3296</v>
      </c>
      <c r="B21916" t="s">
        <v>2931</v>
      </c>
      <c r="C21916">
        <v>13553</v>
      </c>
      <c r="D21916" t="str">
        <f t="shared" si="472"/>
        <v xml:space="preserve">12541020974 </v>
      </c>
      <c r="E21916" t="s">
        <v>309</v>
      </c>
      <c r="F21916" t="s">
        <v>310</v>
      </c>
      <c r="G21916">
        <v>28.9</v>
      </c>
      <c r="H21916">
        <v>250930</v>
      </c>
      <c r="I21916">
        <v>4369</v>
      </c>
      <c r="J21916" t="s">
        <v>188</v>
      </c>
      <c r="K21916">
        <v>334.77</v>
      </c>
      <c r="L21916">
        <v>5.87</v>
      </c>
      <c r="M21916">
        <v>69501</v>
      </c>
      <c r="N21916" t="s">
        <v>123</v>
      </c>
      <c r="O21916">
        <v>251010</v>
      </c>
      <c r="P21916">
        <v>23.03</v>
      </c>
    </row>
    <row r="21917" spans="1:16" x14ac:dyDescent="0.25">
      <c r="A21917" t="s">
        <v>3296</v>
      </c>
      <c r="B21917" t="s">
        <v>2931</v>
      </c>
      <c r="C21917">
        <v>13553</v>
      </c>
      <c r="D21917" t="str">
        <f t="shared" si="472"/>
        <v xml:space="preserve">12541020974 </v>
      </c>
      <c r="E21917" t="s">
        <v>309</v>
      </c>
      <c r="F21917" t="s">
        <v>310</v>
      </c>
      <c r="G21917">
        <v>5.07</v>
      </c>
      <c r="H21917">
        <v>250930</v>
      </c>
      <c r="I21917">
        <v>4369</v>
      </c>
      <c r="J21917" t="s">
        <v>188</v>
      </c>
      <c r="K21917">
        <v>334.77</v>
      </c>
      <c r="L21917">
        <v>1.03</v>
      </c>
      <c r="M21917">
        <v>69701</v>
      </c>
      <c r="N21917" t="s">
        <v>1030</v>
      </c>
      <c r="O21917">
        <v>251010</v>
      </c>
      <c r="P21917">
        <v>4.04</v>
      </c>
    </row>
    <row r="21918" spans="1:16" x14ac:dyDescent="0.25">
      <c r="A21918" t="s">
        <v>3296</v>
      </c>
      <c r="B21918" t="s">
        <v>2931</v>
      </c>
      <c r="C21918">
        <v>13553</v>
      </c>
      <c r="D21918" t="str">
        <f t="shared" si="472"/>
        <v xml:space="preserve">12541020974 </v>
      </c>
      <c r="E21918" t="s">
        <v>309</v>
      </c>
      <c r="F21918" t="s">
        <v>310</v>
      </c>
      <c r="G21918">
        <v>3.39</v>
      </c>
      <c r="H21918">
        <v>250930</v>
      </c>
      <c r="I21918">
        <v>4369</v>
      </c>
      <c r="J21918" t="s">
        <v>188</v>
      </c>
      <c r="K21918">
        <v>334.77</v>
      </c>
      <c r="L21918">
        <v>0.69</v>
      </c>
      <c r="M21918">
        <v>69702</v>
      </c>
      <c r="N21918" t="s">
        <v>124</v>
      </c>
      <c r="O21918">
        <v>251010</v>
      </c>
      <c r="P21918">
        <v>2.7</v>
      </c>
    </row>
    <row r="21919" spans="1:16" x14ac:dyDescent="0.25">
      <c r="A21919" t="s">
        <v>3296</v>
      </c>
      <c r="B21919" t="s">
        <v>2931</v>
      </c>
      <c r="C21919">
        <v>13553</v>
      </c>
      <c r="D21919" t="str">
        <f t="shared" si="472"/>
        <v xml:space="preserve">12541020974 </v>
      </c>
      <c r="E21919" t="s">
        <v>309</v>
      </c>
      <c r="F21919" t="s">
        <v>310</v>
      </c>
      <c r="G21919">
        <v>6.59</v>
      </c>
      <c r="H21919">
        <v>250930</v>
      </c>
      <c r="I21919">
        <v>4369</v>
      </c>
      <c r="J21919" t="s">
        <v>188</v>
      </c>
      <c r="K21919">
        <v>334.77</v>
      </c>
      <c r="L21919">
        <v>1.34</v>
      </c>
      <c r="M21919">
        <v>69702</v>
      </c>
      <c r="N21919" t="s">
        <v>124</v>
      </c>
      <c r="O21919">
        <v>251010</v>
      </c>
      <c r="P21919">
        <v>5.25</v>
      </c>
    </row>
    <row r="21920" spans="1:16" x14ac:dyDescent="0.25">
      <c r="A21920" t="s">
        <v>3296</v>
      </c>
      <c r="B21920" t="s">
        <v>2931</v>
      </c>
      <c r="C21920">
        <v>13553</v>
      </c>
      <c r="D21920" t="str">
        <f t="shared" si="472"/>
        <v xml:space="preserve">12541020974 </v>
      </c>
      <c r="E21920" t="s">
        <v>309</v>
      </c>
      <c r="F21920" t="s">
        <v>310</v>
      </c>
      <c r="G21920">
        <v>5.57</v>
      </c>
      <c r="H21920">
        <v>250930</v>
      </c>
      <c r="I21920">
        <v>4369</v>
      </c>
      <c r="J21920" t="s">
        <v>188</v>
      </c>
      <c r="K21920">
        <v>334.77</v>
      </c>
      <c r="L21920">
        <v>1.1299999999999999</v>
      </c>
      <c r="M21920">
        <v>69703</v>
      </c>
      <c r="N21920" t="s">
        <v>88</v>
      </c>
      <c r="O21920">
        <v>251010</v>
      </c>
      <c r="P21920">
        <v>4.4400000000000004</v>
      </c>
    </row>
    <row r="21921" spans="1:16" x14ac:dyDescent="0.25">
      <c r="A21921" t="s">
        <v>3296</v>
      </c>
      <c r="B21921" t="s">
        <v>2931</v>
      </c>
      <c r="C21921">
        <v>13553</v>
      </c>
      <c r="D21921" t="str">
        <f t="shared" si="472"/>
        <v xml:space="preserve">12541020974 </v>
      </c>
      <c r="E21921" t="s">
        <v>309</v>
      </c>
      <c r="F21921" t="s">
        <v>310</v>
      </c>
      <c r="G21921">
        <v>6.93</v>
      </c>
      <c r="H21921">
        <v>250930</v>
      </c>
      <c r="I21921">
        <v>4369</v>
      </c>
      <c r="J21921" t="s">
        <v>188</v>
      </c>
      <c r="K21921">
        <v>334.77</v>
      </c>
      <c r="L21921">
        <v>1.41</v>
      </c>
      <c r="M21921">
        <v>69704</v>
      </c>
      <c r="N21921" t="s">
        <v>89</v>
      </c>
      <c r="O21921">
        <v>251010</v>
      </c>
      <c r="P21921">
        <v>5.52</v>
      </c>
    </row>
    <row r="21922" spans="1:16" x14ac:dyDescent="0.25">
      <c r="A21922" t="s">
        <v>3296</v>
      </c>
      <c r="B21922" t="s">
        <v>2931</v>
      </c>
      <c r="C21922">
        <v>13553</v>
      </c>
      <c r="D21922" t="str">
        <f t="shared" si="472"/>
        <v xml:space="preserve">12541020974 </v>
      </c>
      <c r="E21922" t="s">
        <v>309</v>
      </c>
      <c r="F21922" t="s">
        <v>310</v>
      </c>
      <c r="G21922">
        <v>10.17</v>
      </c>
      <c r="H21922">
        <v>250930</v>
      </c>
      <c r="I21922">
        <v>4369</v>
      </c>
      <c r="J21922" t="s">
        <v>188</v>
      </c>
      <c r="K21922">
        <v>334.77</v>
      </c>
      <c r="L21922">
        <v>2.0699999999999998</v>
      </c>
      <c r="M21922">
        <v>69707</v>
      </c>
      <c r="N21922" t="s">
        <v>90</v>
      </c>
      <c r="O21922">
        <v>251010</v>
      </c>
      <c r="P21922">
        <v>8.1</v>
      </c>
    </row>
    <row r="21923" spans="1:16" x14ac:dyDescent="0.25">
      <c r="A21923" t="s">
        <v>3296</v>
      </c>
      <c r="B21923" t="s">
        <v>2931</v>
      </c>
      <c r="C21923">
        <v>13553</v>
      </c>
      <c r="D21923" t="str">
        <f t="shared" si="472"/>
        <v xml:space="preserve">12541020974 </v>
      </c>
      <c r="E21923" t="s">
        <v>309</v>
      </c>
      <c r="F21923" t="s">
        <v>310</v>
      </c>
      <c r="G21923">
        <v>7.08</v>
      </c>
      <c r="H21923">
        <v>250930</v>
      </c>
      <c r="I21923">
        <v>4369</v>
      </c>
      <c r="J21923" t="s">
        <v>188</v>
      </c>
      <c r="K21923">
        <v>334.77</v>
      </c>
      <c r="L21923">
        <v>1.44</v>
      </c>
      <c r="M21923">
        <v>69708</v>
      </c>
      <c r="N21923" t="s">
        <v>125</v>
      </c>
      <c r="O21923">
        <v>251010</v>
      </c>
      <c r="P21923">
        <v>5.64</v>
      </c>
    </row>
    <row r="21924" spans="1:16" x14ac:dyDescent="0.25">
      <c r="A21924" t="s">
        <v>3296</v>
      </c>
      <c r="B21924" t="s">
        <v>2931</v>
      </c>
      <c r="C21924">
        <v>13592</v>
      </c>
      <c r="D21924" t="str">
        <f>"12541020981 "</f>
        <v xml:space="preserve">12541020981 </v>
      </c>
      <c r="E21924" t="s">
        <v>309</v>
      </c>
      <c r="F21924" t="s">
        <v>310</v>
      </c>
      <c r="G21924">
        <v>13.8</v>
      </c>
      <c r="H21924">
        <v>250930</v>
      </c>
      <c r="I21924">
        <v>4369</v>
      </c>
      <c r="J21924" t="s">
        <v>188</v>
      </c>
      <c r="K21924">
        <v>20.58</v>
      </c>
      <c r="L21924">
        <v>2.8</v>
      </c>
      <c r="M21924">
        <v>49701</v>
      </c>
      <c r="N21924" t="s">
        <v>111</v>
      </c>
      <c r="O21924">
        <v>251013</v>
      </c>
      <c r="P21924">
        <v>11</v>
      </c>
    </row>
    <row r="21925" spans="1:16" x14ac:dyDescent="0.25">
      <c r="A21925" t="s">
        <v>3296</v>
      </c>
      <c r="B21925" t="s">
        <v>2931</v>
      </c>
      <c r="C21925">
        <v>13592</v>
      </c>
      <c r="D21925" t="str">
        <f>"12541020981 "</f>
        <v xml:space="preserve">12541020981 </v>
      </c>
      <c r="E21925" t="s">
        <v>309</v>
      </c>
      <c r="F21925" t="s">
        <v>310</v>
      </c>
      <c r="G21925">
        <v>6.78</v>
      </c>
      <c r="H21925">
        <v>250930</v>
      </c>
      <c r="I21925">
        <v>4369</v>
      </c>
      <c r="J21925" t="s">
        <v>188</v>
      </c>
      <c r="K21925">
        <v>20.58</v>
      </c>
      <c r="L21925">
        <v>1.38</v>
      </c>
      <c r="M21925">
        <v>49702</v>
      </c>
      <c r="N21925" t="s">
        <v>112</v>
      </c>
      <c r="O21925">
        <v>251013</v>
      </c>
      <c r="P21925">
        <v>5.4</v>
      </c>
    </row>
    <row r="21926" spans="1:16" x14ac:dyDescent="0.25">
      <c r="A21926" t="s">
        <v>3296</v>
      </c>
      <c r="B21926" t="s">
        <v>2931</v>
      </c>
      <c r="C21926">
        <v>13593</v>
      </c>
      <c r="D21926" t="str">
        <f t="shared" ref="D21926:D21933" si="473">"12541020970 "</f>
        <v xml:space="preserve">12541020970 </v>
      </c>
      <c r="E21926" t="s">
        <v>309</v>
      </c>
      <c r="F21926" t="s">
        <v>310</v>
      </c>
      <c r="G21926">
        <v>6.59</v>
      </c>
      <c r="H21926">
        <v>250930</v>
      </c>
      <c r="I21926">
        <v>4369</v>
      </c>
      <c r="J21926" t="s">
        <v>188</v>
      </c>
      <c r="K21926">
        <v>101.73</v>
      </c>
      <c r="L21926">
        <v>1.34</v>
      </c>
      <c r="M21926">
        <v>14971</v>
      </c>
      <c r="N21926" t="s">
        <v>81</v>
      </c>
      <c r="O21926">
        <v>251013</v>
      </c>
      <c r="P21926">
        <v>5.25</v>
      </c>
    </row>
    <row r="21927" spans="1:16" x14ac:dyDescent="0.25">
      <c r="A21927" t="s">
        <v>3296</v>
      </c>
      <c r="B21927" t="s">
        <v>2931</v>
      </c>
      <c r="C21927">
        <v>13593</v>
      </c>
      <c r="D21927" t="str">
        <f t="shared" si="473"/>
        <v xml:space="preserve">12541020970 </v>
      </c>
      <c r="E21927" t="s">
        <v>309</v>
      </c>
      <c r="F21927" t="s">
        <v>310</v>
      </c>
      <c r="G21927">
        <v>6.59</v>
      </c>
      <c r="H21927">
        <v>250930</v>
      </c>
      <c r="I21927">
        <v>4369</v>
      </c>
      <c r="J21927" t="s">
        <v>188</v>
      </c>
      <c r="K21927">
        <v>101.73</v>
      </c>
      <c r="L21927">
        <v>1.34</v>
      </c>
      <c r="M21927">
        <v>17972</v>
      </c>
      <c r="N21927" t="s">
        <v>28</v>
      </c>
      <c r="O21927">
        <v>251013</v>
      </c>
      <c r="P21927">
        <v>5.25</v>
      </c>
    </row>
    <row r="21928" spans="1:16" x14ac:dyDescent="0.25">
      <c r="A21928" t="s">
        <v>3296</v>
      </c>
      <c r="B21928" t="s">
        <v>2931</v>
      </c>
      <c r="C21928">
        <v>13593</v>
      </c>
      <c r="D21928" t="str">
        <f t="shared" si="473"/>
        <v xml:space="preserve">12541020970 </v>
      </c>
      <c r="E21928" t="s">
        <v>309</v>
      </c>
      <c r="F21928" t="s">
        <v>310</v>
      </c>
      <c r="G21928">
        <v>22.26</v>
      </c>
      <c r="H21928">
        <v>250930</v>
      </c>
      <c r="I21928">
        <v>4369</v>
      </c>
      <c r="J21928" t="s">
        <v>188</v>
      </c>
      <c r="K21928">
        <v>101.73</v>
      </c>
      <c r="L21928">
        <v>4.5199999999999996</v>
      </c>
      <c r="M21928">
        <v>18010</v>
      </c>
      <c r="N21928" t="s">
        <v>36</v>
      </c>
      <c r="O21928">
        <v>251013</v>
      </c>
      <c r="P21928">
        <v>17.739999999999998</v>
      </c>
    </row>
    <row r="21929" spans="1:16" x14ac:dyDescent="0.25">
      <c r="A21929" t="s">
        <v>3296</v>
      </c>
      <c r="B21929" t="s">
        <v>2931</v>
      </c>
      <c r="C21929">
        <v>13593</v>
      </c>
      <c r="D21929" t="str">
        <f t="shared" si="473"/>
        <v xml:space="preserve">12541020970 </v>
      </c>
      <c r="E21929" t="s">
        <v>309</v>
      </c>
      <c r="F21929" t="s">
        <v>310</v>
      </c>
      <c r="G21929">
        <v>3.39</v>
      </c>
      <c r="H21929">
        <v>250930</v>
      </c>
      <c r="I21929">
        <v>4369</v>
      </c>
      <c r="J21929" t="s">
        <v>188</v>
      </c>
      <c r="K21929">
        <v>101.73</v>
      </c>
      <c r="L21929">
        <v>0.69</v>
      </c>
      <c r="M21929">
        <v>18120</v>
      </c>
      <c r="N21929" t="s">
        <v>37</v>
      </c>
      <c r="O21929">
        <v>251013</v>
      </c>
      <c r="P21929">
        <v>2.7</v>
      </c>
    </row>
    <row r="21930" spans="1:16" x14ac:dyDescent="0.25">
      <c r="A21930" t="s">
        <v>3296</v>
      </c>
      <c r="B21930" t="s">
        <v>2931</v>
      </c>
      <c r="C21930">
        <v>13593</v>
      </c>
      <c r="D21930" t="str">
        <f t="shared" si="473"/>
        <v xml:space="preserve">12541020970 </v>
      </c>
      <c r="E21930" t="s">
        <v>309</v>
      </c>
      <c r="F21930" t="s">
        <v>310</v>
      </c>
      <c r="G21930">
        <v>6.4</v>
      </c>
      <c r="H21930">
        <v>250930</v>
      </c>
      <c r="I21930">
        <v>4369</v>
      </c>
      <c r="J21930" t="s">
        <v>188</v>
      </c>
      <c r="K21930">
        <v>101.73</v>
      </c>
      <c r="L21930">
        <v>1.3</v>
      </c>
      <c r="M21930">
        <v>18971</v>
      </c>
      <c r="N21930" t="s">
        <v>38</v>
      </c>
      <c r="O21930">
        <v>251013</v>
      </c>
      <c r="P21930">
        <v>5.0999999999999996</v>
      </c>
    </row>
    <row r="21931" spans="1:16" x14ac:dyDescent="0.25">
      <c r="A21931" t="s">
        <v>3296</v>
      </c>
      <c r="B21931" t="s">
        <v>2931</v>
      </c>
      <c r="C21931">
        <v>13593</v>
      </c>
      <c r="D21931" t="str">
        <f t="shared" si="473"/>
        <v xml:space="preserve">12541020970 </v>
      </c>
      <c r="E21931" t="s">
        <v>309</v>
      </c>
      <c r="F21931" t="s">
        <v>310</v>
      </c>
      <c r="G21931">
        <v>46.47</v>
      </c>
      <c r="H21931">
        <v>250930</v>
      </c>
      <c r="I21931">
        <v>4369</v>
      </c>
      <c r="J21931" t="s">
        <v>188</v>
      </c>
      <c r="K21931">
        <v>101.73</v>
      </c>
      <c r="L21931">
        <v>9.44</v>
      </c>
      <c r="M21931">
        <v>18972</v>
      </c>
      <c r="N21931" t="s">
        <v>39</v>
      </c>
      <c r="O21931">
        <v>251013</v>
      </c>
      <c r="P21931">
        <v>37.03</v>
      </c>
    </row>
    <row r="21932" spans="1:16" x14ac:dyDescent="0.25">
      <c r="A21932" t="s">
        <v>3296</v>
      </c>
      <c r="B21932" t="s">
        <v>2931</v>
      </c>
      <c r="C21932">
        <v>13593</v>
      </c>
      <c r="D21932" t="str">
        <f t="shared" si="473"/>
        <v xml:space="preserve">12541020970 </v>
      </c>
      <c r="E21932" t="s">
        <v>309</v>
      </c>
      <c r="F21932" t="s">
        <v>310</v>
      </c>
      <c r="G21932">
        <v>3.39</v>
      </c>
      <c r="H21932">
        <v>250930</v>
      </c>
      <c r="I21932">
        <v>4369</v>
      </c>
      <c r="J21932" t="s">
        <v>188</v>
      </c>
      <c r="K21932">
        <v>101.73</v>
      </c>
      <c r="L21932">
        <v>0.69</v>
      </c>
      <c r="M21932">
        <v>49702</v>
      </c>
      <c r="N21932" t="s">
        <v>112</v>
      </c>
      <c r="O21932">
        <v>251013</v>
      </c>
      <c r="P21932">
        <v>2.7</v>
      </c>
    </row>
    <row r="21933" spans="1:16" x14ac:dyDescent="0.25">
      <c r="A21933" t="s">
        <v>3296</v>
      </c>
      <c r="B21933" t="s">
        <v>2931</v>
      </c>
      <c r="C21933">
        <v>13593</v>
      </c>
      <c r="D21933" t="str">
        <f t="shared" si="473"/>
        <v xml:space="preserve">12541020970 </v>
      </c>
      <c r="E21933" t="s">
        <v>309</v>
      </c>
      <c r="F21933" t="s">
        <v>310</v>
      </c>
      <c r="G21933">
        <v>6.64</v>
      </c>
      <c r="H21933">
        <v>250930</v>
      </c>
      <c r="I21933">
        <v>4369</v>
      </c>
      <c r="J21933" t="s">
        <v>188</v>
      </c>
      <c r="K21933">
        <v>101.73</v>
      </c>
      <c r="L21933">
        <v>1.35</v>
      </c>
      <c r="M21933">
        <v>59702</v>
      </c>
      <c r="N21933" t="s">
        <v>45</v>
      </c>
      <c r="O21933">
        <v>251013</v>
      </c>
      <c r="P21933">
        <v>5.29</v>
      </c>
    </row>
    <row r="21934" spans="1:16" x14ac:dyDescent="0.25">
      <c r="A21934" t="s">
        <v>3296</v>
      </c>
      <c r="B21934" t="s">
        <v>2931</v>
      </c>
      <c r="C21934">
        <v>13599</v>
      </c>
      <c r="D21934" t="str">
        <f t="shared" ref="D21934:D21959" si="474">"12541020995 "</f>
        <v xml:space="preserve">12541020995 </v>
      </c>
      <c r="E21934" t="s">
        <v>309</v>
      </c>
      <c r="F21934" t="s">
        <v>310</v>
      </c>
      <c r="G21934">
        <v>1.49</v>
      </c>
      <c r="H21934">
        <v>250930</v>
      </c>
      <c r="I21934">
        <v>4369</v>
      </c>
      <c r="J21934" t="s">
        <v>188</v>
      </c>
      <c r="K21934">
        <v>228.51</v>
      </c>
      <c r="L21934">
        <v>0.3</v>
      </c>
      <c r="M21934">
        <v>13540</v>
      </c>
      <c r="N21934" t="s">
        <v>131</v>
      </c>
      <c r="O21934">
        <v>251013</v>
      </c>
      <c r="P21934">
        <v>1.19</v>
      </c>
    </row>
    <row r="21935" spans="1:16" x14ac:dyDescent="0.25">
      <c r="A21935" t="s">
        <v>3296</v>
      </c>
      <c r="B21935" t="s">
        <v>2931</v>
      </c>
      <c r="C21935">
        <v>13599</v>
      </c>
      <c r="D21935" t="str">
        <f t="shared" si="474"/>
        <v xml:space="preserve">12541020995 </v>
      </c>
      <c r="E21935" t="s">
        <v>309</v>
      </c>
      <c r="F21935" t="s">
        <v>310</v>
      </c>
      <c r="G21935">
        <v>9.98</v>
      </c>
      <c r="H21935">
        <v>250930</v>
      </c>
      <c r="I21935">
        <v>4369</v>
      </c>
      <c r="J21935" t="s">
        <v>188</v>
      </c>
      <c r="K21935">
        <v>228.51</v>
      </c>
      <c r="L21935">
        <v>2.0299999999999998</v>
      </c>
      <c r="M21935">
        <v>16930</v>
      </c>
      <c r="N21935" t="s">
        <v>135</v>
      </c>
      <c r="O21935">
        <v>251013</v>
      </c>
      <c r="P21935">
        <v>7.95</v>
      </c>
    </row>
    <row r="21936" spans="1:16" x14ac:dyDescent="0.25">
      <c r="A21936" t="s">
        <v>3296</v>
      </c>
      <c r="B21936" t="s">
        <v>2931</v>
      </c>
      <c r="C21936">
        <v>13599</v>
      </c>
      <c r="D21936" t="str">
        <f t="shared" si="474"/>
        <v xml:space="preserve">12541020995 </v>
      </c>
      <c r="E21936" t="s">
        <v>309</v>
      </c>
      <c r="F21936" t="s">
        <v>310</v>
      </c>
      <c r="G21936">
        <v>3.35</v>
      </c>
      <c r="H21936">
        <v>250930</v>
      </c>
      <c r="I21936">
        <v>4369</v>
      </c>
      <c r="J21936" t="s">
        <v>188</v>
      </c>
      <c r="K21936">
        <v>228.51</v>
      </c>
      <c r="L21936">
        <v>0.68</v>
      </c>
      <c r="M21936">
        <v>16951</v>
      </c>
      <c r="N21936" t="s">
        <v>488</v>
      </c>
      <c r="O21936">
        <v>251013</v>
      </c>
      <c r="P21936">
        <v>2.67</v>
      </c>
    </row>
    <row r="21937" spans="1:16" x14ac:dyDescent="0.25">
      <c r="A21937" t="s">
        <v>3296</v>
      </c>
      <c r="B21937" t="s">
        <v>2931</v>
      </c>
      <c r="C21937">
        <v>13599</v>
      </c>
      <c r="D21937" t="str">
        <f t="shared" si="474"/>
        <v xml:space="preserve">12541020995 </v>
      </c>
      <c r="E21937" t="s">
        <v>309</v>
      </c>
      <c r="F21937" t="s">
        <v>310</v>
      </c>
      <c r="G21937">
        <v>15.59</v>
      </c>
      <c r="H21937">
        <v>250930</v>
      </c>
      <c r="I21937">
        <v>4369</v>
      </c>
      <c r="J21937" t="s">
        <v>188</v>
      </c>
      <c r="K21937">
        <v>228.51</v>
      </c>
      <c r="L21937">
        <v>3.17</v>
      </c>
      <c r="M21937">
        <v>17521</v>
      </c>
      <c r="N21937" t="s">
        <v>136</v>
      </c>
      <c r="O21937">
        <v>251013</v>
      </c>
      <c r="P21937">
        <v>12.42</v>
      </c>
    </row>
    <row r="21938" spans="1:16" x14ac:dyDescent="0.25">
      <c r="A21938" t="s">
        <v>3296</v>
      </c>
      <c r="B21938" t="s">
        <v>2931</v>
      </c>
      <c r="C21938">
        <v>13599</v>
      </c>
      <c r="D21938" t="str">
        <f t="shared" si="474"/>
        <v xml:space="preserve">12541020995 </v>
      </c>
      <c r="E21938" t="s">
        <v>309</v>
      </c>
      <c r="F21938" t="s">
        <v>310</v>
      </c>
      <c r="G21938">
        <v>6.86</v>
      </c>
      <c r="H21938">
        <v>250930</v>
      </c>
      <c r="I21938">
        <v>4369</v>
      </c>
      <c r="J21938" t="s">
        <v>188</v>
      </c>
      <c r="K21938">
        <v>228.51</v>
      </c>
      <c r="L21938">
        <v>1.39</v>
      </c>
      <c r="M21938">
        <v>17522</v>
      </c>
      <c r="N21938" t="s">
        <v>137</v>
      </c>
      <c r="O21938">
        <v>251013</v>
      </c>
      <c r="P21938">
        <v>5.47</v>
      </c>
    </row>
    <row r="21939" spans="1:16" x14ac:dyDescent="0.25">
      <c r="A21939" t="s">
        <v>3296</v>
      </c>
      <c r="B21939" t="s">
        <v>2931</v>
      </c>
      <c r="C21939">
        <v>13599</v>
      </c>
      <c r="D21939" t="str">
        <f t="shared" si="474"/>
        <v xml:space="preserve">12541020995 </v>
      </c>
      <c r="E21939" t="s">
        <v>309</v>
      </c>
      <c r="F21939" t="s">
        <v>310</v>
      </c>
      <c r="G21939">
        <v>11.43</v>
      </c>
      <c r="H21939">
        <v>250930</v>
      </c>
      <c r="I21939">
        <v>4369</v>
      </c>
      <c r="J21939" t="s">
        <v>188</v>
      </c>
      <c r="K21939">
        <v>228.51</v>
      </c>
      <c r="L21939">
        <v>2.3199999999999998</v>
      </c>
      <c r="M21939">
        <v>17523</v>
      </c>
      <c r="N21939" t="s">
        <v>138</v>
      </c>
      <c r="O21939">
        <v>251013</v>
      </c>
      <c r="P21939">
        <v>9.11</v>
      </c>
    </row>
    <row r="21940" spans="1:16" x14ac:dyDescent="0.25">
      <c r="A21940" t="s">
        <v>3296</v>
      </c>
      <c r="B21940" t="s">
        <v>2931</v>
      </c>
      <c r="C21940">
        <v>13599</v>
      </c>
      <c r="D21940" t="str">
        <f t="shared" si="474"/>
        <v xml:space="preserve">12541020995 </v>
      </c>
      <c r="E21940" t="s">
        <v>309</v>
      </c>
      <c r="F21940" t="s">
        <v>310</v>
      </c>
      <c r="G21940">
        <v>16.670000000000002</v>
      </c>
      <c r="H21940">
        <v>250930</v>
      </c>
      <c r="I21940">
        <v>4369</v>
      </c>
      <c r="J21940" t="s">
        <v>188</v>
      </c>
      <c r="K21940">
        <v>228.51</v>
      </c>
      <c r="L21940">
        <v>3.39</v>
      </c>
      <c r="M21940">
        <v>17524</v>
      </c>
      <c r="N21940" t="s">
        <v>139</v>
      </c>
      <c r="O21940">
        <v>251013</v>
      </c>
      <c r="P21940">
        <v>13.28</v>
      </c>
    </row>
    <row r="21941" spans="1:16" x14ac:dyDescent="0.25">
      <c r="A21941" t="s">
        <v>3296</v>
      </c>
      <c r="B21941" t="s">
        <v>2931</v>
      </c>
      <c r="C21941">
        <v>13599</v>
      </c>
      <c r="D21941" t="str">
        <f t="shared" si="474"/>
        <v xml:space="preserve">12541020995 </v>
      </c>
      <c r="E21941" t="s">
        <v>309</v>
      </c>
      <c r="F21941" t="s">
        <v>310</v>
      </c>
      <c r="G21941">
        <v>3.5</v>
      </c>
      <c r="H21941">
        <v>250930</v>
      </c>
      <c r="I21941">
        <v>4369</v>
      </c>
      <c r="J21941" t="s">
        <v>188</v>
      </c>
      <c r="K21941">
        <v>228.51</v>
      </c>
      <c r="L21941">
        <v>0.71</v>
      </c>
      <c r="M21941">
        <v>17525</v>
      </c>
      <c r="N21941" t="s">
        <v>140</v>
      </c>
      <c r="O21941">
        <v>251013</v>
      </c>
      <c r="P21941">
        <v>2.79</v>
      </c>
    </row>
    <row r="21942" spans="1:16" x14ac:dyDescent="0.25">
      <c r="A21942" t="s">
        <v>3296</v>
      </c>
      <c r="B21942" t="s">
        <v>2931</v>
      </c>
      <c r="C21942">
        <v>13599</v>
      </c>
      <c r="D21942" t="str">
        <f t="shared" si="474"/>
        <v xml:space="preserve">12541020995 </v>
      </c>
      <c r="E21942" t="s">
        <v>309</v>
      </c>
      <c r="F21942" t="s">
        <v>310</v>
      </c>
      <c r="G21942">
        <v>6.78</v>
      </c>
      <c r="H21942">
        <v>250930</v>
      </c>
      <c r="I21942">
        <v>4369</v>
      </c>
      <c r="J21942" t="s">
        <v>188</v>
      </c>
      <c r="K21942">
        <v>228.51</v>
      </c>
      <c r="L21942">
        <v>1.38</v>
      </c>
      <c r="M21942">
        <v>17526</v>
      </c>
      <c r="N21942" t="s">
        <v>141</v>
      </c>
      <c r="O21942">
        <v>251013</v>
      </c>
      <c r="P21942">
        <v>5.4</v>
      </c>
    </row>
    <row r="21943" spans="1:16" x14ac:dyDescent="0.25">
      <c r="A21943" t="s">
        <v>3296</v>
      </c>
      <c r="B21943" t="s">
        <v>2931</v>
      </c>
      <c r="C21943">
        <v>13599</v>
      </c>
      <c r="D21943" t="str">
        <f t="shared" si="474"/>
        <v xml:space="preserve">12541020995 </v>
      </c>
      <c r="E21943" t="s">
        <v>309</v>
      </c>
      <c r="F21943" t="s">
        <v>310</v>
      </c>
      <c r="G21943">
        <v>12.44</v>
      </c>
      <c r="H21943">
        <v>250930</v>
      </c>
      <c r="I21943">
        <v>4369</v>
      </c>
      <c r="J21943" t="s">
        <v>188</v>
      </c>
      <c r="K21943">
        <v>228.51</v>
      </c>
      <c r="L21943">
        <v>2.5299999999999998</v>
      </c>
      <c r="M21943">
        <v>17527</v>
      </c>
      <c r="N21943" t="s">
        <v>142</v>
      </c>
      <c r="O21943">
        <v>251013</v>
      </c>
      <c r="P21943">
        <v>9.91</v>
      </c>
    </row>
    <row r="21944" spans="1:16" x14ac:dyDescent="0.25">
      <c r="A21944" t="s">
        <v>3296</v>
      </c>
      <c r="B21944" t="s">
        <v>2931</v>
      </c>
      <c r="C21944">
        <v>13599</v>
      </c>
      <c r="D21944" t="str">
        <f t="shared" si="474"/>
        <v xml:space="preserve">12541020995 </v>
      </c>
      <c r="E21944" t="s">
        <v>309</v>
      </c>
      <c r="F21944" t="s">
        <v>310</v>
      </c>
      <c r="G21944">
        <v>6.79</v>
      </c>
      <c r="H21944">
        <v>250930</v>
      </c>
      <c r="I21944">
        <v>4369</v>
      </c>
      <c r="J21944" t="s">
        <v>188</v>
      </c>
      <c r="K21944">
        <v>228.51</v>
      </c>
      <c r="L21944">
        <v>1.38</v>
      </c>
      <c r="M21944">
        <v>17529</v>
      </c>
      <c r="N21944" t="s">
        <v>143</v>
      </c>
      <c r="O21944">
        <v>251013</v>
      </c>
      <c r="P21944">
        <v>5.41</v>
      </c>
    </row>
    <row r="21945" spans="1:16" x14ac:dyDescent="0.25">
      <c r="A21945" t="s">
        <v>3296</v>
      </c>
      <c r="B21945" t="s">
        <v>2931</v>
      </c>
      <c r="C21945">
        <v>13599</v>
      </c>
      <c r="D21945" t="str">
        <f t="shared" si="474"/>
        <v xml:space="preserve">12541020995 </v>
      </c>
      <c r="E21945" t="s">
        <v>309</v>
      </c>
      <c r="F21945" t="s">
        <v>310</v>
      </c>
      <c r="G21945">
        <v>10.37</v>
      </c>
      <c r="H21945">
        <v>250930</v>
      </c>
      <c r="I21945">
        <v>4369</v>
      </c>
      <c r="J21945" t="s">
        <v>188</v>
      </c>
      <c r="K21945">
        <v>228.51</v>
      </c>
      <c r="L21945">
        <v>2.11</v>
      </c>
      <c r="M21945">
        <v>17530</v>
      </c>
      <c r="N21945" t="s">
        <v>144</v>
      </c>
      <c r="O21945">
        <v>251013</v>
      </c>
      <c r="P21945">
        <v>8.26</v>
      </c>
    </row>
    <row r="21946" spans="1:16" x14ac:dyDescent="0.25">
      <c r="A21946" t="s">
        <v>3296</v>
      </c>
      <c r="B21946" t="s">
        <v>2931</v>
      </c>
      <c r="C21946">
        <v>13599</v>
      </c>
      <c r="D21946" t="str">
        <f t="shared" si="474"/>
        <v xml:space="preserve">12541020995 </v>
      </c>
      <c r="E21946" t="s">
        <v>309</v>
      </c>
      <c r="F21946" t="s">
        <v>310</v>
      </c>
      <c r="G21946">
        <v>13.18</v>
      </c>
      <c r="H21946">
        <v>250930</v>
      </c>
      <c r="I21946">
        <v>4369</v>
      </c>
      <c r="J21946" t="s">
        <v>188</v>
      </c>
      <c r="K21946">
        <v>228.51</v>
      </c>
      <c r="L21946">
        <v>2.68</v>
      </c>
      <c r="M21946">
        <v>17531</v>
      </c>
      <c r="N21946" t="s">
        <v>145</v>
      </c>
      <c r="O21946">
        <v>251013</v>
      </c>
      <c r="P21946">
        <v>10.5</v>
      </c>
    </row>
    <row r="21947" spans="1:16" x14ac:dyDescent="0.25">
      <c r="A21947" t="s">
        <v>3296</v>
      </c>
      <c r="B21947" t="s">
        <v>2931</v>
      </c>
      <c r="C21947">
        <v>13599</v>
      </c>
      <c r="D21947" t="str">
        <f t="shared" si="474"/>
        <v xml:space="preserve">12541020995 </v>
      </c>
      <c r="E21947" t="s">
        <v>309</v>
      </c>
      <c r="F21947" t="s">
        <v>310</v>
      </c>
      <c r="G21947">
        <v>12.99</v>
      </c>
      <c r="H21947">
        <v>250930</v>
      </c>
      <c r="I21947">
        <v>4369</v>
      </c>
      <c r="J21947" t="s">
        <v>188</v>
      </c>
      <c r="K21947">
        <v>228.51</v>
      </c>
      <c r="L21947">
        <v>2.64</v>
      </c>
      <c r="M21947">
        <v>17532</v>
      </c>
      <c r="N21947" t="s">
        <v>146</v>
      </c>
      <c r="O21947">
        <v>251013</v>
      </c>
      <c r="P21947">
        <v>10.35</v>
      </c>
    </row>
    <row r="21948" spans="1:16" x14ac:dyDescent="0.25">
      <c r="A21948" t="s">
        <v>3296</v>
      </c>
      <c r="B21948" t="s">
        <v>2931</v>
      </c>
      <c r="C21948">
        <v>13599</v>
      </c>
      <c r="D21948" t="str">
        <f t="shared" si="474"/>
        <v xml:space="preserve">12541020995 </v>
      </c>
      <c r="E21948" t="s">
        <v>309</v>
      </c>
      <c r="F21948" t="s">
        <v>310</v>
      </c>
      <c r="G21948">
        <v>6.78</v>
      </c>
      <c r="H21948">
        <v>250930</v>
      </c>
      <c r="I21948">
        <v>4369</v>
      </c>
      <c r="J21948" t="s">
        <v>188</v>
      </c>
      <c r="K21948">
        <v>228.51</v>
      </c>
      <c r="L21948">
        <v>1.38</v>
      </c>
      <c r="M21948">
        <v>17533</v>
      </c>
      <c r="N21948" t="s">
        <v>147</v>
      </c>
      <c r="O21948">
        <v>251013</v>
      </c>
      <c r="P21948">
        <v>5.4</v>
      </c>
    </row>
    <row r="21949" spans="1:16" x14ac:dyDescent="0.25">
      <c r="A21949" t="s">
        <v>3296</v>
      </c>
      <c r="B21949" t="s">
        <v>2931</v>
      </c>
      <c r="C21949">
        <v>13599</v>
      </c>
      <c r="D21949" t="str">
        <f t="shared" si="474"/>
        <v xml:space="preserve">12541020995 </v>
      </c>
      <c r="E21949" t="s">
        <v>309</v>
      </c>
      <c r="F21949" t="s">
        <v>310</v>
      </c>
      <c r="G21949">
        <v>7.37</v>
      </c>
      <c r="H21949">
        <v>250930</v>
      </c>
      <c r="I21949">
        <v>4369</v>
      </c>
      <c r="J21949" t="s">
        <v>188</v>
      </c>
      <c r="K21949">
        <v>228.51</v>
      </c>
      <c r="L21949">
        <v>1.5</v>
      </c>
      <c r="M21949">
        <v>17534</v>
      </c>
      <c r="N21949" t="s">
        <v>148</v>
      </c>
      <c r="O21949">
        <v>251013</v>
      </c>
      <c r="P21949">
        <v>5.87</v>
      </c>
    </row>
    <row r="21950" spans="1:16" x14ac:dyDescent="0.25">
      <c r="A21950" t="s">
        <v>3296</v>
      </c>
      <c r="B21950" t="s">
        <v>2931</v>
      </c>
      <c r="C21950">
        <v>13599</v>
      </c>
      <c r="D21950" t="str">
        <f t="shared" si="474"/>
        <v xml:space="preserve">12541020995 </v>
      </c>
      <c r="E21950" t="s">
        <v>309</v>
      </c>
      <c r="F21950" t="s">
        <v>310</v>
      </c>
      <c r="G21950">
        <v>3.53</v>
      </c>
      <c r="H21950">
        <v>250930</v>
      </c>
      <c r="I21950">
        <v>4369</v>
      </c>
      <c r="J21950" t="s">
        <v>188</v>
      </c>
      <c r="K21950">
        <v>228.51</v>
      </c>
      <c r="L21950">
        <v>0.72</v>
      </c>
      <c r="M21950">
        <v>17535</v>
      </c>
      <c r="N21950" t="s">
        <v>149</v>
      </c>
      <c r="O21950">
        <v>251013</v>
      </c>
      <c r="P21950">
        <v>2.81</v>
      </c>
    </row>
    <row r="21951" spans="1:16" x14ac:dyDescent="0.25">
      <c r="A21951" t="s">
        <v>3296</v>
      </c>
      <c r="B21951" t="s">
        <v>2931</v>
      </c>
      <c r="C21951">
        <v>13599</v>
      </c>
      <c r="D21951" t="str">
        <f t="shared" si="474"/>
        <v xml:space="preserve">12541020995 </v>
      </c>
      <c r="E21951" t="s">
        <v>309</v>
      </c>
      <c r="F21951" t="s">
        <v>310</v>
      </c>
      <c r="G21951">
        <v>6.78</v>
      </c>
      <c r="H21951">
        <v>250930</v>
      </c>
      <c r="I21951">
        <v>4369</v>
      </c>
      <c r="J21951" t="s">
        <v>188</v>
      </c>
      <c r="K21951">
        <v>228.51</v>
      </c>
      <c r="L21951">
        <v>1.38</v>
      </c>
      <c r="M21951">
        <v>17536</v>
      </c>
      <c r="N21951" t="s">
        <v>150</v>
      </c>
      <c r="O21951">
        <v>251013</v>
      </c>
      <c r="P21951">
        <v>5.4</v>
      </c>
    </row>
    <row r="21952" spans="1:16" x14ac:dyDescent="0.25">
      <c r="A21952" t="s">
        <v>3296</v>
      </c>
      <c r="B21952" t="s">
        <v>2931</v>
      </c>
      <c r="C21952">
        <v>13599</v>
      </c>
      <c r="D21952" t="str">
        <f t="shared" si="474"/>
        <v xml:space="preserve">12541020995 </v>
      </c>
      <c r="E21952" t="s">
        <v>309</v>
      </c>
      <c r="F21952" t="s">
        <v>310</v>
      </c>
      <c r="G21952">
        <v>13.18</v>
      </c>
      <c r="H21952">
        <v>250930</v>
      </c>
      <c r="I21952">
        <v>4369</v>
      </c>
      <c r="J21952" t="s">
        <v>188</v>
      </c>
      <c r="K21952">
        <v>228.51</v>
      </c>
      <c r="L21952">
        <v>2.68</v>
      </c>
      <c r="M21952">
        <v>17537</v>
      </c>
      <c r="N21952" t="s">
        <v>151</v>
      </c>
      <c r="O21952">
        <v>251013</v>
      </c>
      <c r="P21952">
        <v>10.5</v>
      </c>
    </row>
    <row r="21953" spans="1:16" x14ac:dyDescent="0.25">
      <c r="A21953" t="s">
        <v>3296</v>
      </c>
      <c r="B21953" t="s">
        <v>2931</v>
      </c>
      <c r="C21953">
        <v>13599</v>
      </c>
      <c r="D21953" t="str">
        <f t="shared" si="474"/>
        <v xml:space="preserve">12541020995 </v>
      </c>
      <c r="E21953" t="s">
        <v>309</v>
      </c>
      <c r="F21953" t="s">
        <v>310</v>
      </c>
      <c r="G21953">
        <v>10.17</v>
      </c>
      <c r="H21953">
        <v>250930</v>
      </c>
      <c r="I21953">
        <v>4369</v>
      </c>
      <c r="J21953" t="s">
        <v>188</v>
      </c>
      <c r="K21953">
        <v>228.51</v>
      </c>
      <c r="L21953">
        <v>2.0699999999999998</v>
      </c>
      <c r="M21953">
        <v>17538</v>
      </c>
      <c r="N21953" t="s">
        <v>129</v>
      </c>
      <c r="O21953">
        <v>251013</v>
      </c>
      <c r="P21953">
        <v>8.1</v>
      </c>
    </row>
    <row r="21954" spans="1:16" x14ac:dyDescent="0.25">
      <c r="A21954" t="s">
        <v>3296</v>
      </c>
      <c r="B21954" t="s">
        <v>2931</v>
      </c>
      <c r="C21954">
        <v>13599</v>
      </c>
      <c r="D21954" t="str">
        <f t="shared" si="474"/>
        <v xml:space="preserve">12541020995 </v>
      </c>
      <c r="E21954" t="s">
        <v>309</v>
      </c>
      <c r="F21954" t="s">
        <v>310</v>
      </c>
      <c r="G21954">
        <v>12.06</v>
      </c>
      <c r="H21954">
        <v>250930</v>
      </c>
      <c r="I21954">
        <v>4369</v>
      </c>
      <c r="J21954" t="s">
        <v>188</v>
      </c>
      <c r="K21954">
        <v>228.51</v>
      </c>
      <c r="L21954">
        <v>2.4500000000000002</v>
      </c>
      <c r="M21954">
        <v>17950</v>
      </c>
      <c r="N21954" t="s">
        <v>132</v>
      </c>
      <c r="O21954">
        <v>251013</v>
      </c>
      <c r="P21954">
        <v>9.61</v>
      </c>
    </row>
    <row r="21955" spans="1:16" x14ac:dyDescent="0.25">
      <c r="A21955" t="s">
        <v>3296</v>
      </c>
      <c r="B21955" t="s">
        <v>2931</v>
      </c>
      <c r="C21955">
        <v>13599</v>
      </c>
      <c r="D21955" t="str">
        <f t="shared" si="474"/>
        <v xml:space="preserve">12541020995 </v>
      </c>
      <c r="E21955" t="s">
        <v>309</v>
      </c>
      <c r="F21955" t="s">
        <v>310</v>
      </c>
      <c r="G21955">
        <v>3.39</v>
      </c>
      <c r="H21955">
        <v>250930</v>
      </c>
      <c r="I21955">
        <v>4369</v>
      </c>
      <c r="J21955" t="s">
        <v>188</v>
      </c>
      <c r="K21955">
        <v>228.51</v>
      </c>
      <c r="L21955">
        <v>0.69</v>
      </c>
      <c r="M21955">
        <v>17956</v>
      </c>
      <c r="N21955" t="s">
        <v>170</v>
      </c>
      <c r="O21955">
        <v>251013</v>
      </c>
      <c r="P21955">
        <v>2.7</v>
      </c>
    </row>
    <row r="21956" spans="1:16" x14ac:dyDescent="0.25">
      <c r="A21956" t="s">
        <v>3296</v>
      </c>
      <c r="B21956" t="s">
        <v>2931</v>
      </c>
      <c r="C21956">
        <v>13599</v>
      </c>
      <c r="D21956" t="str">
        <f t="shared" si="474"/>
        <v xml:space="preserve">12541020995 </v>
      </c>
      <c r="E21956" t="s">
        <v>309</v>
      </c>
      <c r="F21956" t="s">
        <v>310</v>
      </c>
      <c r="G21956">
        <v>20.12</v>
      </c>
      <c r="H21956">
        <v>250930</v>
      </c>
      <c r="I21956">
        <v>4369</v>
      </c>
      <c r="J21956" t="s">
        <v>188</v>
      </c>
      <c r="K21956">
        <v>228.51</v>
      </c>
      <c r="L21956">
        <v>4.09</v>
      </c>
      <c r="M21956">
        <v>17971</v>
      </c>
      <c r="N21956" t="s">
        <v>27</v>
      </c>
      <c r="O21956">
        <v>251013</v>
      </c>
      <c r="P21956">
        <v>16.03</v>
      </c>
    </row>
    <row r="21957" spans="1:16" x14ac:dyDescent="0.25">
      <c r="A21957" t="s">
        <v>3296</v>
      </c>
      <c r="B21957" t="s">
        <v>2931</v>
      </c>
      <c r="C21957">
        <v>13599</v>
      </c>
      <c r="D21957" t="str">
        <f t="shared" si="474"/>
        <v xml:space="preserve">12541020995 </v>
      </c>
      <c r="E21957" t="s">
        <v>309</v>
      </c>
      <c r="F21957" t="s">
        <v>310</v>
      </c>
      <c r="G21957">
        <v>3.39</v>
      </c>
      <c r="H21957">
        <v>250930</v>
      </c>
      <c r="I21957">
        <v>4369</v>
      </c>
      <c r="J21957" t="s">
        <v>188</v>
      </c>
      <c r="K21957">
        <v>228.51</v>
      </c>
      <c r="L21957">
        <v>0.69</v>
      </c>
      <c r="M21957">
        <v>17972</v>
      </c>
      <c r="N21957" t="s">
        <v>28</v>
      </c>
      <c r="O21957">
        <v>251013</v>
      </c>
      <c r="P21957">
        <v>2.7</v>
      </c>
    </row>
    <row r="21958" spans="1:16" x14ac:dyDescent="0.25">
      <c r="A21958" t="s">
        <v>3296</v>
      </c>
      <c r="B21958" t="s">
        <v>2931</v>
      </c>
      <c r="C21958">
        <v>13599</v>
      </c>
      <c r="D21958" t="str">
        <f t="shared" si="474"/>
        <v xml:space="preserve">12541020995 </v>
      </c>
      <c r="E21958" t="s">
        <v>309</v>
      </c>
      <c r="F21958" t="s">
        <v>310</v>
      </c>
      <c r="G21958">
        <v>3.39</v>
      </c>
      <c r="H21958">
        <v>250930</v>
      </c>
      <c r="I21958">
        <v>4369</v>
      </c>
      <c r="J21958" t="s">
        <v>188</v>
      </c>
      <c r="K21958">
        <v>228.51</v>
      </c>
      <c r="L21958">
        <v>0.69</v>
      </c>
      <c r="M21958">
        <v>17974</v>
      </c>
      <c r="N21958" t="s">
        <v>153</v>
      </c>
      <c r="O21958">
        <v>251013</v>
      </c>
      <c r="P21958">
        <v>2.7</v>
      </c>
    </row>
    <row r="21959" spans="1:16" x14ac:dyDescent="0.25">
      <c r="A21959" t="s">
        <v>3296</v>
      </c>
      <c r="B21959" t="s">
        <v>2931</v>
      </c>
      <c r="C21959">
        <v>13599</v>
      </c>
      <c r="D21959" t="str">
        <f t="shared" si="474"/>
        <v xml:space="preserve">12541020995 </v>
      </c>
      <c r="E21959" t="s">
        <v>309</v>
      </c>
      <c r="F21959" t="s">
        <v>310</v>
      </c>
      <c r="G21959">
        <v>6.93</v>
      </c>
      <c r="H21959">
        <v>250930</v>
      </c>
      <c r="I21959">
        <v>4369</v>
      </c>
      <c r="J21959" t="s">
        <v>188</v>
      </c>
      <c r="K21959">
        <v>228.51</v>
      </c>
      <c r="L21959">
        <v>1.41</v>
      </c>
      <c r="M21959">
        <v>17975</v>
      </c>
      <c r="N21959" t="s">
        <v>29</v>
      </c>
      <c r="O21959">
        <v>251013</v>
      </c>
      <c r="P21959">
        <v>5.52</v>
      </c>
    </row>
    <row r="21960" spans="1:16" x14ac:dyDescent="0.25">
      <c r="A21960" t="s">
        <v>3296</v>
      </c>
      <c r="B21960" t="s">
        <v>2931</v>
      </c>
      <c r="C21960">
        <v>13622</v>
      </c>
      <c r="D21960" t="str">
        <f>"12541020986 "</f>
        <v xml:space="preserve">12541020986 </v>
      </c>
      <c r="E21960" t="s">
        <v>309</v>
      </c>
      <c r="F21960" t="s">
        <v>310</v>
      </c>
      <c r="G21960">
        <v>6.8</v>
      </c>
      <c r="H21960">
        <v>250930</v>
      </c>
      <c r="I21960">
        <v>4369</v>
      </c>
      <c r="J21960" t="s">
        <v>188</v>
      </c>
      <c r="K21960">
        <v>6.8</v>
      </c>
      <c r="L21960">
        <v>1.38</v>
      </c>
      <c r="M21960">
        <v>46556</v>
      </c>
      <c r="N21960" t="s">
        <v>458</v>
      </c>
      <c r="O21960">
        <v>251013</v>
      </c>
      <c r="P21960">
        <v>5.42</v>
      </c>
    </row>
    <row r="21961" spans="1:16" x14ac:dyDescent="0.25">
      <c r="A21961" t="s">
        <v>3296</v>
      </c>
      <c r="B21961" t="s">
        <v>2931</v>
      </c>
      <c r="C21961">
        <v>13623</v>
      </c>
      <c r="D21961" t="str">
        <f>"12541020983 "</f>
        <v xml:space="preserve">12541020983 </v>
      </c>
      <c r="E21961" t="s">
        <v>309</v>
      </c>
      <c r="F21961" t="s">
        <v>310</v>
      </c>
      <c r="G21961">
        <v>17.71</v>
      </c>
      <c r="H21961">
        <v>250930</v>
      </c>
      <c r="I21961">
        <v>4369</v>
      </c>
      <c r="J21961" t="s">
        <v>188</v>
      </c>
      <c r="K21961">
        <v>31.95</v>
      </c>
      <c r="L21961">
        <v>3.6</v>
      </c>
      <c r="M21961">
        <v>46554</v>
      </c>
      <c r="N21961" t="s">
        <v>102</v>
      </c>
      <c r="O21961">
        <v>251013</v>
      </c>
      <c r="P21961">
        <v>14.11</v>
      </c>
    </row>
    <row r="21962" spans="1:16" x14ac:dyDescent="0.25">
      <c r="A21962" t="s">
        <v>3296</v>
      </c>
      <c r="B21962" t="s">
        <v>2931</v>
      </c>
      <c r="C21962">
        <v>13623</v>
      </c>
      <c r="D21962" t="str">
        <f>"12541020983 "</f>
        <v xml:space="preserve">12541020983 </v>
      </c>
      <c r="E21962" t="s">
        <v>309</v>
      </c>
      <c r="F21962" t="s">
        <v>310</v>
      </c>
      <c r="G21962">
        <v>14.24</v>
      </c>
      <c r="H21962">
        <v>250930</v>
      </c>
      <c r="I21962">
        <v>4369</v>
      </c>
      <c r="J21962" t="s">
        <v>188</v>
      </c>
      <c r="K21962">
        <v>31.95</v>
      </c>
      <c r="L21962">
        <v>2.89</v>
      </c>
      <c r="M21962">
        <v>46554</v>
      </c>
      <c r="N21962" t="s">
        <v>102</v>
      </c>
      <c r="O21962">
        <v>251013</v>
      </c>
      <c r="P21962">
        <v>11.35</v>
      </c>
    </row>
    <row r="21963" spans="1:16" x14ac:dyDescent="0.25">
      <c r="A21963" t="s">
        <v>3296</v>
      </c>
      <c r="B21963" t="s">
        <v>2931</v>
      </c>
      <c r="C21963">
        <v>13626</v>
      </c>
      <c r="D21963" t="str">
        <f>"12541020989 "</f>
        <v xml:space="preserve">12541020989 </v>
      </c>
      <c r="E21963" t="s">
        <v>309</v>
      </c>
      <c r="F21963" t="s">
        <v>310</v>
      </c>
      <c r="G21963">
        <v>13.55</v>
      </c>
      <c r="H21963">
        <v>250930</v>
      </c>
      <c r="I21963">
        <v>4369</v>
      </c>
      <c r="J21963" t="s">
        <v>188</v>
      </c>
      <c r="K21963">
        <v>13.55</v>
      </c>
      <c r="L21963">
        <v>2.75</v>
      </c>
      <c r="M21963">
        <v>46555</v>
      </c>
      <c r="N21963" t="s">
        <v>103</v>
      </c>
      <c r="O21963">
        <v>251013</v>
      </c>
      <c r="P21963">
        <v>10.8</v>
      </c>
    </row>
    <row r="21964" spans="1:16" x14ac:dyDescent="0.25">
      <c r="A21964" t="s">
        <v>3296</v>
      </c>
      <c r="B21964" t="s">
        <v>2931</v>
      </c>
      <c r="C21964">
        <v>13628</v>
      </c>
      <c r="D21964" t="str">
        <f t="shared" ref="D21964:D21970" si="475">"12541020991 "</f>
        <v xml:space="preserve">12541020991 </v>
      </c>
      <c r="E21964" t="s">
        <v>309</v>
      </c>
      <c r="F21964" t="s">
        <v>310</v>
      </c>
      <c r="G21964">
        <v>1.76</v>
      </c>
      <c r="H21964">
        <v>250930</v>
      </c>
      <c r="I21964">
        <v>4369</v>
      </c>
      <c r="J21964" t="s">
        <v>188</v>
      </c>
      <c r="K21964">
        <v>13.55</v>
      </c>
      <c r="L21964">
        <v>0.36</v>
      </c>
      <c r="M21964">
        <v>41126</v>
      </c>
      <c r="N21964" t="s">
        <v>94</v>
      </c>
      <c r="O21964">
        <v>251013</v>
      </c>
      <c r="P21964">
        <v>1.4</v>
      </c>
    </row>
    <row r="21965" spans="1:16" x14ac:dyDescent="0.25">
      <c r="A21965" t="s">
        <v>3296</v>
      </c>
      <c r="B21965" t="s">
        <v>2931</v>
      </c>
      <c r="C21965">
        <v>13628</v>
      </c>
      <c r="D21965" t="str">
        <f t="shared" si="475"/>
        <v xml:space="preserve">12541020991 </v>
      </c>
      <c r="E21965" t="s">
        <v>309</v>
      </c>
      <c r="F21965" t="s">
        <v>310</v>
      </c>
      <c r="G21965">
        <v>1.35</v>
      </c>
      <c r="H21965">
        <v>250930</v>
      </c>
      <c r="I21965">
        <v>4369</v>
      </c>
      <c r="J21965" t="s">
        <v>188</v>
      </c>
      <c r="K21965">
        <v>13.55</v>
      </c>
      <c r="L21965">
        <v>0.27</v>
      </c>
      <c r="M21965">
        <v>43222</v>
      </c>
      <c r="N21965" t="s">
        <v>95</v>
      </c>
      <c r="O21965">
        <v>251013</v>
      </c>
      <c r="P21965">
        <v>1.08</v>
      </c>
    </row>
    <row r="21966" spans="1:16" x14ac:dyDescent="0.25">
      <c r="A21966" t="s">
        <v>3296</v>
      </c>
      <c r="B21966" t="s">
        <v>2931</v>
      </c>
      <c r="C21966">
        <v>13628</v>
      </c>
      <c r="D21966" t="str">
        <f t="shared" si="475"/>
        <v xml:space="preserve">12541020991 </v>
      </c>
      <c r="E21966" t="s">
        <v>309</v>
      </c>
      <c r="F21966" t="s">
        <v>310</v>
      </c>
      <c r="G21966">
        <v>1.63</v>
      </c>
      <c r="H21966">
        <v>250930</v>
      </c>
      <c r="I21966">
        <v>4369</v>
      </c>
      <c r="J21966" t="s">
        <v>188</v>
      </c>
      <c r="K21966">
        <v>13.55</v>
      </c>
      <c r="L21966">
        <v>0.33</v>
      </c>
      <c r="M21966">
        <v>44222</v>
      </c>
      <c r="N21966" t="s">
        <v>96</v>
      </c>
      <c r="O21966">
        <v>251013</v>
      </c>
      <c r="P21966">
        <v>1.3</v>
      </c>
    </row>
    <row r="21967" spans="1:16" x14ac:dyDescent="0.25">
      <c r="A21967" t="s">
        <v>3296</v>
      </c>
      <c r="B21967" t="s">
        <v>2931</v>
      </c>
      <c r="C21967">
        <v>13628</v>
      </c>
      <c r="D21967" t="str">
        <f t="shared" si="475"/>
        <v xml:space="preserve">12541020991 </v>
      </c>
      <c r="E21967" t="s">
        <v>309</v>
      </c>
      <c r="F21967" t="s">
        <v>310</v>
      </c>
      <c r="G21967">
        <v>1.76</v>
      </c>
      <c r="H21967">
        <v>250930</v>
      </c>
      <c r="I21967">
        <v>4369</v>
      </c>
      <c r="J21967" t="s">
        <v>188</v>
      </c>
      <c r="K21967">
        <v>13.55</v>
      </c>
      <c r="L21967">
        <v>0.36</v>
      </c>
      <c r="M21967">
        <v>44424</v>
      </c>
      <c r="N21967" t="s">
        <v>99</v>
      </c>
      <c r="O21967">
        <v>251013</v>
      </c>
      <c r="P21967">
        <v>1.4</v>
      </c>
    </row>
    <row r="21968" spans="1:16" x14ac:dyDescent="0.25">
      <c r="A21968" t="s">
        <v>3296</v>
      </c>
      <c r="B21968" t="s">
        <v>2931</v>
      </c>
      <c r="C21968">
        <v>13628</v>
      </c>
      <c r="D21968" t="str">
        <f t="shared" si="475"/>
        <v xml:space="preserve">12541020991 </v>
      </c>
      <c r="E21968" t="s">
        <v>309</v>
      </c>
      <c r="F21968" t="s">
        <v>310</v>
      </c>
      <c r="G21968">
        <v>0.95</v>
      </c>
      <c r="H21968">
        <v>250930</v>
      </c>
      <c r="I21968">
        <v>4369</v>
      </c>
      <c r="J21968" t="s">
        <v>188</v>
      </c>
      <c r="K21968">
        <v>13.55</v>
      </c>
      <c r="L21968">
        <v>0.19</v>
      </c>
      <c r="M21968">
        <v>46222</v>
      </c>
      <c r="N21968" t="s">
        <v>101</v>
      </c>
      <c r="O21968">
        <v>251013</v>
      </c>
      <c r="P21968">
        <v>0.76</v>
      </c>
    </row>
    <row r="21969" spans="1:16" x14ac:dyDescent="0.25">
      <c r="A21969" t="s">
        <v>3296</v>
      </c>
      <c r="B21969" t="s">
        <v>2931</v>
      </c>
      <c r="C21969">
        <v>13628</v>
      </c>
      <c r="D21969" t="str">
        <f t="shared" si="475"/>
        <v xml:space="preserve">12541020991 </v>
      </c>
      <c r="E21969" t="s">
        <v>309</v>
      </c>
      <c r="F21969" t="s">
        <v>310</v>
      </c>
      <c r="G21969">
        <v>5.42</v>
      </c>
      <c r="H21969">
        <v>250930</v>
      </c>
      <c r="I21969">
        <v>4369</v>
      </c>
      <c r="J21969" t="s">
        <v>188</v>
      </c>
      <c r="K21969">
        <v>13.55</v>
      </c>
      <c r="L21969">
        <v>1.1000000000000001</v>
      </c>
      <c r="M21969">
        <v>46559</v>
      </c>
      <c r="N21969" t="s">
        <v>105</v>
      </c>
      <c r="O21969">
        <v>251013</v>
      </c>
      <c r="P21969">
        <v>4.32</v>
      </c>
    </row>
    <row r="21970" spans="1:16" x14ac:dyDescent="0.25">
      <c r="A21970" t="s">
        <v>3296</v>
      </c>
      <c r="B21970" t="s">
        <v>2931</v>
      </c>
      <c r="C21970">
        <v>13628</v>
      </c>
      <c r="D21970" t="str">
        <f t="shared" si="475"/>
        <v xml:space="preserve">12541020991 </v>
      </c>
      <c r="E21970" t="s">
        <v>309</v>
      </c>
      <c r="F21970" t="s">
        <v>310</v>
      </c>
      <c r="G21970">
        <v>0.68</v>
      </c>
      <c r="H21970">
        <v>250930</v>
      </c>
      <c r="I21970">
        <v>4369</v>
      </c>
      <c r="J21970" t="s">
        <v>188</v>
      </c>
      <c r="K21970">
        <v>13.55</v>
      </c>
      <c r="L21970">
        <v>0.14000000000000001</v>
      </c>
      <c r="M21970">
        <v>47522</v>
      </c>
      <c r="N21970" t="s">
        <v>106</v>
      </c>
      <c r="O21970">
        <v>251013</v>
      </c>
      <c r="P21970">
        <v>0.54</v>
      </c>
    </row>
    <row r="21971" spans="1:16" x14ac:dyDescent="0.25">
      <c r="A21971" t="s">
        <v>3296</v>
      </c>
      <c r="B21971" t="s">
        <v>2931</v>
      </c>
      <c r="C21971">
        <v>13631</v>
      </c>
      <c r="D21971" t="str">
        <f t="shared" ref="D21971:D21976" si="476">"12541020985 "</f>
        <v xml:space="preserve">12541020985 </v>
      </c>
      <c r="E21971" t="s">
        <v>309</v>
      </c>
      <c r="F21971" t="s">
        <v>310</v>
      </c>
      <c r="G21971">
        <v>10.17</v>
      </c>
      <c r="H21971">
        <v>250930</v>
      </c>
      <c r="I21971">
        <v>4369</v>
      </c>
      <c r="J21971" t="s">
        <v>188</v>
      </c>
      <c r="K21971">
        <v>53.29</v>
      </c>
      <c r="L21971">
        <v>2.0699999999999998</v>
      </c>
      <c r="M21971">
        <v>43222</v>
      </c>
      <c r="N21971" t="s">
        <v>95</v>
      </c>
      <c r="O21971">
        <v>251013</v>
      </c>
      <c r="P21971">
        <v>8.1</v>
      </c>
    </row>
    <row r="21972" spans="1:16" x14ac:dyDescent="0.25">
      <c r="A21972" t="s">
        <v>3296</v>
      </c>
      <c r="B21972" t="s">
        <v>2931</v>
      </c>
      <c r="C21972">
        <v>13631</v>
      </c>
      <c r="D21972" t="str">
        <f t="shared" si="476"/>
        <v xml:space="preserve">12541020985 </v>
      </c>
      <c r="E21972" t="s">
        <v>309</v>
      </c>
      <c r="F21972" t="s">
        <v>310</v>
      </c>
      <c r="G21972">
        <v>3.39</v>
      </c>
      <c r="H21972">
        <v>250930</v>
      </c>
      <c r="I21972">
        <v>4369</v>
      </c>
      <c r="J21972" t="s">
        <v>188</v>
      </c>
      <c r="K21972">
        <v>53.29</v>
      </c>
      <c r="L21972">
        <v>0.69</v>
      </c>
      <c r="M21972">
        <v>44422</v>
      </c>
      <c r="N21972" t="s">
        <v>97</v>
      </c>
      <c r="O21972">
        <v>251013</v>
      </c>
      <c r="P21972">
        <v>2.7</v>
      </c>
    </row>
    <row r="21973" spans="1:16" x14ac:dyDescent="0.25">
      <c r="A21973" t="s">
        <v>3296</v>
      </c>
      <c r="B21973" t="s">
        <v>2931</v>
      </c>
      <c r="C21973">
        <v>13631</v>
      </c>
      <c r="D21973" t="str">
        <f t="shared" si="476"/>
        <v xml:space="preserve">12541020985 </v>
      </c>
      <c r="E21973" t="s">
        <v>309</v>
      </c>
      <c r="F21973" t="s">
        <v>310</v>
      </c>
      <c r="G21973">
        <v>6.78</v>
      </c>
      <c r="H21973">
        <v>250930</v>
      </c>
      <c r="I21973">
        <v>4369</v>
      </c>
      <c r="J21973" t="s">
        <v>188</v>
      </c>
      <c r="K21973">
        <v>53.29</v>
      </c>
      <c r="L21973">
        <v>1.38</v>
      </c>
      <c r="M21973">
        <v>44423</v>
      </c>
      <c r="N21973" t="s">
        <v>98</v>
      </c>
      <c r="O21973">
        <v>251013</v>
      </c>
      <c r="P21973">
        <v>5.4</v>
      </c>
    </row>
    <row r="21974" spans="1:16" x14ac:dyDescent="0.25">
      <c r="A21974" t="s">
        <v>3296</v>
      </c>
      <c r="B21974" t="s">
        <v>2931</v>
      </c>
      <c r="C21974">
        <v>13631</v>
      </c>
      <c r="D21974" t="str">
        <f t="shared" si="476"/>
        <v xml:space="preserve">12541020985 </v>
      </c>
      <c r="E21974" t="s">
        <v>309</v>
      </c>
      <c r="F21974" t="s">
        <v>310</v>
      </c>
      <c r="G21974">
        <v>3.39</v>
      </c>
      <c r="H21974">
        <v>250930</v>
      </c>
      <c r="I21974">
        <v>4369</v>
      </c>
      <c r="J21974" t="s">
        <v>188</v>
      </c>
      <c r="K21974">
        <v>53.29</v>
      </c>
      <c r="L21974">
        <v>0.69</v>
      </c>
      <c r="M21974">
        <v>44453</v>
      </c>
      <c r="N21974" t="s">
        <v>100</v>
      </c>
      <c r="O21974">
        <v>251013</v>
      </c>
      <c r="P21974">
        <v>2.7</v>
      </c>
    </row>
    <row r="21975" spans="1:16" x14ac:dyDescent="0.25">
      <c r="A21975" t="s">
        <v>3296</v>
      </c>
      <c r="B21975" t="s">
        <v>2931</v>
      </c>
      <c r="C21975">
        <v>13631</v>
      </c>
      <c r="D21975" t="str">
        <f t="shared" si="476"/>
        <v xml:space="preserve">12541020985 </v>
      </c>
      <c r="E21975" t="s">
        <v>309</v>
      </c>
      <c r="F21975" t="s">
        <v>310</v>
      </c>
      <c r="G21975">
        <v>3.39</v>
      </c>
      <c r="H21975">
        <v>250930</v>
      </c>
      <c r="I21975">
        <v>4369</v>
      </c>
      <c r="J21975" t="s">
        <v>188</v>
      </c>
      <c r="K21975">
        <v>53.29</v>
      </c>
      <c r="L21975">
        <v>0.69</v>
      </c>
      <c r="M21975">
        <v>48601</v>
      </c>
      <c r="N21975" t="s">
        <v>107</v>
      </c>
      <c r="O21975">
        <v>251013</v>
      </c>
      <c r="P21975">
        <v>2.7</v>
      </c>
    </row>
    <row r="21976" spans="1:16" x14ac:dyDescent="0.25">
      <c r="A21976" t="s">
        <v>3296</v>
      </c>
      <c r="B21976" t="s">
        <v>2931</v>
      </c>
      <c r="C21976">
        <v>13631</v>
      </c>
      <c r="D21976" t="str">
        <f t="shared" si="476"/>
        <v xml:space="preserve">12541020985 </v>
      </c>
      <c r="E21976" t="s">
        <v>309</v>
      </c>
      <c r="F21976" t="s">
        <v>310</v>
      </c>
      <c r="G21976">
        <v>26.17</v>
      </c>
      <c r="H21976">
        <v>250930</v>
      </c>
      <c r="I21976">
        <v>4369</v>
      </c>
      <c r="J21976" t="s">
        <v>188</v>
      </c>
      <c r="K21976">
        <v>53.29</v>
      </c>
      <c r="L21976">
        <v>5.32</v>
      </c>
      <c r="M21976">
        <v>49702</v>
      </c>
      <c r="N21976" t="s">
        <v>112</v>
      </c>
      <c r="O21976">
        <v>251013</v>
      </c>
      <c r="P21976">
        <v>20.85</v>
      </c>
    </row>
    <row r="21977" spans="1:16" x14ac:dyDescent="0.25">
      <c r="A21977" t="s">
        <v>3296</v>
      </c>
      <c r="B21977" t="s">
        <v>2931</v>
      </c>
      <c r="C21977">
        <v>13634</v>
      </c>
      <c r="D21977" t="str">
        <f>"12541020980 "</f>
        <v xml:space="preserve">12541020980 </v>
      </c>
      <c r="E21977" t="s">
        <v>309</v>
      </c>
      <c r="F21977" t="s">
        <v>310</v>
      </c>
      <c r="G21977">
        <v>32.81</v>
      </c>
      <c r="H21977">
        <v>250930</v>
      </c>
      <c r="I21977">
        <v>4369</v>
      </c>
      <c r="J21977" t="s">
        <v>188</v>
      </c>
      <c r="K21977">
        <v>49.38</v>
      </c>
      <c r="L21977">
        <v>6.67</v>
      </c>
      <c r="M21977">
        <v>41126</v>
      </c>
      <c r="N21977" t="s">
        <v>94</v>
      </c>
      <c r="O21977">
        <v>251013</v>
      </c>
      <c r="P21977">
        <v>26.14</v>
      </c>
    </row>
    <row r="21978" spans="1:16" x14ac:dyDescent="0.25">
      <c r="A21978" t="s">
        <v>3296</v>
      </c>
      <c r="B21978" t="s">
        <v>2931</v>
      </c>
      <c r="C21978">
        <v>13634</v>
      </c>
      <c r="D21978" t="str">
        <f>"12541020980 "</f>
        <v xml:space="preserve">12541020980 </v>
      </c>
      <c r="E21978" t="s">
        <v>309</v>
      </c>
      <c r="F21978" t="s">
        <v>310</v>
      </c>
      <c r="G21978">
        <v>16.57</v>
      </c>
      <c r="H21978">
        <v>250930</v>
      </c>
      <c r="I21978">
        <v>4369</v>
      </c>
      <c r="J21978" t="s">
        <v>188</v>
      </c>
      <c r="K21978">
        <v>49.38</v>
      </c>
      <c r="L21978">
        <v>3.37</v>
      </c>
      <c r="M21978">
        <v>46222</v>
      </c>
      <c r="N21978" t="s">
        <v>101</v>
      </c>
      <c r="O21978">
        <v>251013</v>
      </c>
      <c r="P21978">
        <v>13.2</v>
      </c>
    </row>
    <row r="21979" spans="1:16" x14ac:dyDescent="0.25">
      <c r="A21979" t="s">
        <v>3296</v>
      </c>
      <c r="B21979" t="s">
        <v>2931</v>
      </c>
      <c r="C21979">
        <v>13638</v>
      </c>
      <c r="D21979" t="str">
        <f>"105568028   "</f>
        <v xml:space="preserve">105568028   </v>
      </c>
      <c r="E21979" t="s">
        <v>309</v>
      </c>
      <c r="F21979" t="s">
        <v>310</v>
      </c>
      <c r="G21979">
        <v>87.85</v>
      </c>
      <c r="H21979">
        <v>250930</v>
      </c>
      <c r="I21979">
        <v>4369</v>
      </c>
      <c r="J21979" t="s">
        <v>188</v>
      </c>
      <c r="K21979">
        <v>87.85</v>
      </c>
      <c r="L21979">
        <v>17.850000000000001</v>
      </c>
      <c r="M21979">
        <v>18972</v>
      </c>
      <c r="N21979" t="s">
        <v>39</v>
      </c>
      <c r="O21979">
        <v>251013</v>
      </c>
      <c r="P21979">
        <v>70</v>
      </c>
    </row>
    <row r="21980" spans="1:16" x14ac:dyDescent="0.25">
      <c r="A21980" t="s">
        <v>3296</v>
      </c>
      <c r="B21980" t="s">
        <v>2931</v>
      </c>
      <c r="C21980">
        <v>13641</v>
      </c>
      <c r="D21980" t="str">
        <f>"12541020984 "</f>
        <v xml:space="preserve">12541020984 </v>
      </c>
      <c r="E21980" t="s">
        <v>309</v>
      </c>
      <c r="F21980" t="s">
        <v>310</v>
      </c>
      <c r="G21980">
        <v>4.76</v>
      </c>
      <c r="H21980">
        <v>250930</v>
      </c>
      <c r="I21980">
        <v>4369</v>
      </c>
      <c r="J21980" t="s">
        <v>188</v>
      </c>
      <c r="K21980">
        <v>31.85</v>
      </c>
      <c r="L21980">
        <v>0.97</v>
      </c>
      <c r="M21980">
        <v>48601</v>
      </c>
      <c r="N21980" t="s">
        <v>107</v>
      </c>
      <c r="O21980">
        <v>251013</v>
      </c>
      <c r="P21980">
        <v>3.79</v>
      </c>
    </row>
    <row r="21981" spans="1:16" x14ac:dyDescent="0.25">
      <c r="A21981" t="s">
        <v>3296</v>
      </c>
      <c r="B21981" t="s">
        <v>2931</v>
      </c>
      <c r="C21981">
        <v>13641</v>
      </c>
      <c r="D21981" t="str">
        <f>"12541020984 "</f>
        <v xml:space="preserve">12541020984 </v>
      </c>
      <c r="E21981" t="s">
        <v>309</v>
      </c>
      <c r="F21981" t="s">
        <v>310</v>
      </c>
      <c r="G21981">
        <v>3.48</v>
      </c>
      <c r="H21981">
        <v>250930</v>
      </c>
      <c r="I21981">
        <v>4369</v>
      </c>
      <c r="J21981" t="s">
        <v>188</v>
      </c>
      <c r="K21981">
        <v>31.85</v>
      </c>
      <c r="L21981">
        <v>0.71</v>
      </c>
      <c r="M21981">
        <v>49111</v>
      </c>
      <c r="N21981" t="s">
        <v>108</v>
      </c>
      <c r="O21981">
        <v>251013</v>
      </c>
      <c r="P21981">
        <v>2.77</v>
      </c>
    </row>
    <row r="21982" spans="1:16" x14ac:dyDescent="0.25">
      <c r="A21982" t="s">
        <v>3296</v>
      </c>
      <c r="B21982" t="s">
        <v>2931</v>
      </c>
      <c r="C21982">
        <v>13641</v>
      </c>
      <c r="D21982" t="str">
        <f>"12541020984 "</f>
        <v xml:space="preserve">12541020984 </v>
      </c>
      <c r="E21982" t="s">
        <v>309</v>
      </c>
      <c r="F21982" t="s">
        <v>310</v>
      </c>
      <c r="G21982">
        <v>10.07</v>
      </c>
      <c r="H21982">
        <v>250930</v>
      </c>
      <c r="I21982">
        <v>4369</v>
      </c>
      <c r="J21982" t="s">
        <v>188</v>
      </c>
      <c r="K21982">
        <v>31.85</v>
      </c>
      <c r="L21982">
        <v>2.0499999999999998</v>
      </c>
      <c r="M21982">
        <v>49704</v>
      </c>
      <c r="N21982" t="s">
        <v>113</v>
      </c>
      <c r="O21982">
        <v>251013</v>
      </c>
      <c r="P21982">
        <v>8.02</v>
      </c>
    </row>
    <row r="21983" spans="1:16" x14ac:dyDescent="0.25">
      <c r="A21983" t="s">
        <v>3296</v>
      </c>
      <c r="B21983" t="s">
        <v>2931</v>
      </c>
      <c r="C21983">
        <v>13641</v>
      </c>
      <c r="D21983" t="str">
        <f>"12541020984 "</f>
        <v xml:space="preserve">12541020984 </v>
      </c>
      <c r="E21983" t="s">
        <v>309</v>
      </c>
      <c r="F21983" t="s">
        <v>310</v>
      </c>
      <c r="G21983">
        <v>13.54</v>
      </c>
      <c r="H21983">
        <v>250930</v>
      </c>
      <c r="I21983">
        <v>4369</v>
      </c>
      <c r="J21983" t="s">
        <v>188</v>
      </c>
      <c r="K21983">
        <v>31.85</v>
      </c>
      <c r="L21983">
        <v>2.75</v>
      </c>
      <c r="M21983">
        <v>49705</v>
      </c>
      <c r="N21983" t="s">
        <v>114</v>
      </c>
      <c r="O21983">
        <v>251013</v>
      </c>
      <c r="P21983">
        <v>10.79</v>
      </c>
    </row>
    <row r="21984" spans="1:16" x14ac:dyDescent="0.25">
      <c r="A21984" t="s">
        <v>3296</v>
      </c>
      <c r="B21984" t="s">
        <v>2931</v>
      </c>
      <c r="C21984">
        <v>13650</v>
      </c>
      <c r="D21984" t="str">
        <f>"12541021004 "</f>
        <v xml:space="preserve">12541021004 </v>
      </c>
      <c r="E21984" t="s">
        <v>309</v>
      </c>
      <c r="F21984" t="s">
        <v>310</v>
      </c>
      <c r="G21984">
        <v>6.89</v>
      </c>
      <c r="H21984">
        <v>250930</v>
      </c>
      <c r="I21984">
        <v>4369</v>
      </c>
      <c r="J21984" t="s">
        <v>188</v>
      </c>
      <c r="K21984">
        <v>6.89</v>
      </c>
      <c r="L21984">
        <v>1.4</v>
      </c>
      <c r="M21984">
        <v>46557</v>
      </c>
      <c r="N21984" t="s">
        <v>104</v>
      </c>
      <c r="O21984">
        <v>251013</v>
      </c>
      <c r="P21984">
        <v>5.49</v>
      </c>
    </row>
    <row r="21985" spans="1:16" x14ac:dyDescent="0.25">
      <c r="A21985" t="s">
        <v>3296</v>
      </c>
      <c r="B21985" t="s">
        <v>2931</v>
      </c>
      <c r="C21985">
        <v>13655</v>
      </c>
      <c r="D21985" t="str">
        <f>"12541020972 "</f>
        <v xml:space="preserve">12541020972 </v>
      </c>
      <c r="E21985" t="s">
        <v>309</v>
      </c>
      <c r="F21985" t="s">
        <v>310</v>
      </c>
      <c r="G21985">
        <v>3.39</v>
      </c>
      <c r="H21985">
        <v>250930</v>
      </c>
      <c r="I21985">
        <v>4369</v>
      </c>
      <c r="J21985" t="s">
        <v>188</v>
      </c>
      <c r="K21985">
        <v>26.86</v>
      </c>
      <c r="L21985">
        <v>0.69</v>
      </c>
      <c r="M21985">
        <v>56522</v>
      </c>
      <c r="N21985" t="s">
        <v>68</v>
      </c>
      <c r="O21985">
        <v>251013</v>
      </c>
      <c r="P21985">
        <v>2.7</v>
      </c>
    </row>
    <row r="21986" spans="1:16" x14ac:dyDescent="0.25">
      <c r="A21986" t="s">
        <v>3296</v>
      </c>
      <c r="B21986" t="s">
        <v>2931</v>
      </c>
      <c r="C21986">
        <v>13655</v>
      </c>
      <c r="D21986" t="str">
        <f>"12541020972 "</f>
        <v xml:space="preserve">12541020972 </v>
      </c>
      <c r="E21986" t="s">
        <v>309</v>
      </c>
      <c r="F21986" t="s">
        <v>310</v>
      </c>
      <c r="G21986">
        <v>13.18</v>
      </c>
      <c r="H21986">
        <v>250930</v>
      </c>
      <c r="I21986">
        <v>4369</v>
      </c>
      <c r="J21986" t="s">
        <v>188</v>
      </c>
      <c r="K21986">
        <v>26.86</v>
      </c>
      <c r="L21986">
        <v>2.68</v>
      </c>
      <c r="M21986">
        <v>56524</v>
      </c>
      <c r="N21986" t="s">
        <v>69</v>
      </c>
      <c r="O21986">
        <v>251013</v>
      </c>
      <c r="P21986">
        <v>10.5</v>
      </c>
    </row>
    <row r="21987" spans="1:16" x14ac:dyDescent="0.25">
      <c r="A21987" t="s">
        <v>3296</v>
      </c>
      <c r="B21987" t="s">
        <v>2931</v>
      </c>
      <c r="C21987">
        <v>13655</v>
      </c>
      <c r="D21987" t="str">
        <f>"12541020972 "</f>
        <v xml:space="preserve">12541020972 </v>
      </c>
      <c r="E21987" t="s">
        <v>309</v>
      </c>
      <c r="F21987" t="s">
        <v>310</v>
      </c>
      <c r="G21987">
        <v>10.29</v>
      </c>
      <c r="H21987">
        <v>250930</v>
      </c>
      <c r="I21987">
        <v>4369</v>
      </c>
      <c r="J21987" t="s">
        <v>188</v>
      </c>
      <c r="K21987">
        <v>26.86</v>
      </c>
      <c r="L21987">
        <v>2.09</v>
      </c>
      <c r="M21987">
        <v>56528</v>
      </c>
      <c r="N21987" t="s">
        <v>70</v>
      </c>
      <c r="O21987">
        <v>251013</v>
      </c>
      <c r="P21987">
        <v>8.1999999999999993</v>
      </c>
    </row>
    <row r="21988" spans="1:16" x14ac:dyDescent="0.25">
      <c r="A21988" t="s">
        <v>3296</v>
      </c>
      <c r="B21988" t="s">
        <v>2931</v>
      </c>
      <c r="C21988">
        <v>13658</v>
      </c>
      <c r="D21988" t="str">
        <f>"12541021003 "</f>
        <v xml:space="preserve">12541021003 </v>
      </c>
      <c r="E21988" t="s">
        <v>309</v>
      </c>
      <c r="F21988" t="s">
        <v>310</v>
      </c>
      <c r="G21988">
        <v>6.59</v>
      </c>
      <c r="H21988">
        <v>250930</v>
      </c>
      <c r="I21988">
        <v>4369</v>
      </c>
      <c r="J21988" t="s">
        <v>188</v>
      </c>
      <c r="K21988">
        <v>31.12</v>
      </c>
      <c r="L21988">
        <v>1.34</v>
      </c>
      <c r="M21988">
        <v>11101</v>
      </c>
      <c r="N21988" t="s">
        <v>67</v>
      </c>
      <c r="O21988">
        <v>251013</v>
      </c>
      <c r="P21988">
        <v>5.25</v>
      </c>
    </row>
    <row r="21989" spans="1:16" x14ac:dyDescent="0.25">
      <c r="A21989" t="s">
        <v>3296</v>
      </c>
      <c r="B21989" t="s">
        <v>2931</v>
      </c>
      <c r="C21989">
        <v>13658</v>
      </c>
      <c r="D21989" t="str">
        <f>"12541021003 "</f>
        <v xml:space="preserve">12541021003 </v>
      </c>
      <c r="E21989" t="s">
        <v>309</v>
      </c>
      <c r="F21989" t="s">
        <v>310</v>
      </c>
      <c r="G21989">
        <v>17.75</v>
      </c>
      <c r="H21989">
        <v>250930</v>
      </c>
      <c r="I21989">
        <v>4369</v>
      </c>
      <c r="J21989" t="s">
        <v>188</v>
      </c>
      <c r="K21989">
        <v>31.12</v>
      </c>
      <c r="L21989">
        <v>3.61</v>
      </c>
      <c r="M21989">
        <v>11101</v>
      </c>
      <c r="N21989" t="s">
        <v>67</v>
      </c>
      <c r="O21989">
        <v>251013</v>
      </c>
      <c r="P21989">
        <v>14.14</v>
      </c>
    </row>
    <row r="21990" spans="1:16" x14ac:dyDescent="0.25">
      <c r="A21990" t="s">
        <v>3296</v>
      </c>
      <c r="B21990" t="s">
        <v>2931</v>
      </c>
      <c r="C21990">
        <v>13658</v>
      </c>
      <c r="D21990" t="str">
        <f>"12541021003 "</f>
        <v xml:space="preserve">12541021003 </v>
      </c>
      <c r="E21990" t="s">
        <v>309</v>
      </c>
      <c r="F21990" t="s">
        <v>310</v>
      </c>
      <c r="G21990">
        <v>3.39</v>
      </c>
      <c r="H21990">
        <v>250930</v>
      </c>
      <c r="I21990">
        <v>4369</v>
      </c>
      <c r="J21990" t="s">
        <v>188</v>
      </c>
      <c r="K21990">
        <v>31.12</v>
      </c>
      <c r="L21990">
        <v>0.69</v>
      </c>
      <c r="M21990">
        <v>11201</v>
      </c>
      <c r="N21990" t="s">
        <v>35</v>
      </c>
      <c r="O21990">
        <v>251013</v>
      </c>
      <c r="P21990">
        <v>2.7</v>
      </c>
    </row>
    <row r="21991" spans="1:16" x14ac:dyDescent="0.25">
      <c r="A21991" t="s">
        <v>3296</v>
      </c>
      <c r="B21991" t="s">
        <v>2931</v>
      </c>
      <c r="C21991">
        <v>13658</v>
      </c>
      <c r="D21991" t="str">
        <f>"12541021003 "</f>
        <v xml:space="preserve">12541021003 </v>
      </c>
      <c r="E21991" t="s">
        <v>309</v>
      </c>
      <c r="F21991" t="s">
        <v>310</v>
      </c>
      <c r="G21991">
        <v>3.39</v>
      </c>
      <c r="H21991">
        <v>250930</v>
      </c>
      <c r="I21991">
        <v>4369</v>
      </c>
      <c r="J21991" t="s">
        <v>188</v>
      </c>
      <c r="K21991">
        <v>31.12</v>
      </c>
      <c r="L21991">
        <v>0.69</v>
      </c>
      <c r="M21991">
        <v>11701</v>
      </c>
      <c r="N21991" t="s">
        <v>973</v>
      </c>
      <c r="O21991">
        <v>251013</v>
      </c>
      <c r="P21991">
        <v>2.7</v>
      </c>
    </row>
    <row r="21992" spans="1:16" x14ac:dyDescent="0.25">
      <c r="A21992" t="s">
        <v>3296</v>
      </c>
      <c r="B21992" t="s">
        <v>2931</v>
      </c>
      <c r="C21992">
        <v>13659</v>
      </c>
      <c r="D21992" t="str">
        <f t="shared" ref="D21992:D22012" si="477">"12541021005 "</f>
        <v xml:space="preserve">12541021005 </v>
      </c>
      <c r="E21992" t="s">
        <v>309</v>
      </c>
      <c r="F21992" t="s">
        <v>310</v>
      </c>
      <c r="G21992">
        <v>20.21</v>
      </c>
      <c r="H21992">
        <v>250930</v>
      </c>
      <c r="I21992">
        <v>4369</v>
      </c>
      <c r="J21992" t="s">
        <v>188</v>
      </c>
      <c r="K21992">
        <v>226.43</v>
      </c>
      <c r="L21992">
        <v>4.1100000000000003</v>
      </c>
      <c r="M21992">
        <v>11601</v>
      </c>
      <c r="N21992" t="s">
        <v>12</v>
      </c>
      <c r="O21992">
        <v>251013</v>
      </c>
      <c r="P21992">
        <v>16.100000000000001</v>
      </c>
    </row>
    <row r="21993" spans="1:16" x14ac:dyDescent="0.25">
      <c r="A21993" t="s">
        <v>3296</v>
      </c>
      <c r="B21993" t="s">
        <v>2931</v>
      </c>
      <c r="C21993">
        <v>13659</v>
      </c>
      <c r="D21993" t="str">
        <f t="shared" si="477"/>
        <v xml:space="preserve">12541021005 </v>
      </c>
      <c r="E21993" t="s">
        <v>309</v>
      </c>
      <c r="F21993" t="s">
        <v>310</v>
      </c>
      <c r="G21993">
        <v>3.2</v>
      </c>
      <c r="H21993">
        <v>250930</v>
      </c>
      <c r="I21993">
        <v>4369</v>
      </c>
      <c r="J21993" t="s">
        <v>188</v>
      </c>
      <c r="K21993">
        <v>226.43</v>
      </c>
      <c r="L21993">
        <v>0.65</v>
      </c>
      <c r="M21993">
        <v>11603</v>
      </c>
      <c r="N21993" t="s">
        <v>897</v>
      </c>
      <c r="O21993">
        <v>251013</v>
      </c>
      <c r="P21993">
        <v>2.5499999999999998</v>
      </c>
    </row>
    <row r="21994" spans="1:16" x14ac:dyDescent="0.25">
      <c r="A21994" t="s">
        <v>3296</v>
      </c>
      <c r="B21994" t="s">
        <v>2931</v>
      </c>
      <c r="C21994">
        <v>13659</v>
      </c>
      <c r="D21994" t="str">
        <f t="shared" si="477"/>
        <v xml:space="preserve">12541021005 </v>
      </c>
      <c r="E21994" t="s">
        <v>309</v>
      </c>
      <c r="F21994" t="s">
        <v>310</v>
      </c>
      <c r="G21994">
        <v>21.59</v>
      </c>
      <c r="H21994">
        <v>250930</v>
      </c>
      <c r="I21994">
        <v>4369</v>
      </c>
      <c r="J21994" t="s">
        <v>188</v>
      </c>
      <c r="K21994">
        <v>226.43</v>
      </c>
      <c r="L21994">
        <v>4.3899999999999997</v>
      </c>
      <c r="M21994">
        <v>14121</v>
      </c>
      <c r="N21994" t="s">
        <v>71</v>
      </c>
      <c r="O21994">
        <v>251013</v>
      </c>
      <c r="P21994">
        <v>17.2</v>
      </c>
    </row>
    <row r="21995" spans="1:16" x14ac:dyDescent="0.25">
      <c r="A21995" t="s">
        <v>3296</v>
      </c>
      <c r="B21995" t="s">
        <v>2931</v>
      </c>
      <c r="C21995">
        <v>13659</v>
      </c>
      <c r="D21995" t="str">
        <f t="shared" si="477"/>
        <v xml:space="preserve">12541021005 </v>
      </c>
      <c r="E21995" t="s">
        <v>309</v>
      </c>
      <c r="F21995" t="s">
        <v>310</v>
      </c>
      <c r="G21995">
        <v>20.37</v>
      </c>
      <c r="H21995">
        <v>250930</v>
      </c>
      <c r="I21995">
        <v>4369</v>
      </c>
      <c r="J21995" t="s">
        <v>188</v>
      </c>
      <c r="K21995">
        <v>226.43</v>
      </c>
      <c r="L21995">
        <v>4.1399999999999997</v>
      </c>
      <c r="M21995">
        <v>14321</v>
      </c>
      <c r="N21995" t="s">
        <v>72</v>
      </c>
      <c r="O21995">
        <v>251013</v>
      </c>
      <c r="P21995">
        <v>16.23</v>
      </c>
    </row>
    <row r="21996" spans="1:16" x14ac:dyDescent="0.25">
      <c r="A21996" t="s">
        <v>3296</v>
      </c>
      <c r="B21996" t="s">
        <v>2931</v>
      </c>
      <c r="C21996">
        <v>13659</v>
      </c>
      <c r="D21996" t="str">
        <f t="shared" si="477"/>
        <v xml:space="preserve">12541021005 </v>
      </c>
      <c r="E21996" t="s">
        <v>309</v>
      </c>
      <c r="F21996" t="s">
        <v>310</v>
      </c>
      <c r="G21996">
        <v>13.72</v>
      </c>
      <c r="H21996">
        <v>250930</v>
      </c>
      <c r="I21996">
        <v>4369</v>
      </c>
      <c r="J21996" t="s">
        <v>188</v>
      </c>
      <c r="K21996">
        <v>226.43</v>
      </c>
      <c r="L21996">
        <v>2.79</v>
      </c>
      <c r="M21996">
        <v>14422</v>
      </c>
      <c r="N21996" t="s">
        <v>73</v>
      </c>
      <c r="O21996">
        <v>251013</v>
      </c>
      <c r="P21996">
        <v>10.93</v>
      </c>
    </row>
    <row r="21997" spans="1:16" x14ac:dyDescent="0.25">
      <c r="A21997" t="s">
        <v>3296</v>
      </c>
      <c r="B21997" t="s">
        <v>2931</v>
      </c>
      <c r="C21997">
        <v>13659</v>
      </c>
      <c r="D21997" t="str">
        <f t="shared" si="477"/>
        <v xml:space="preserve">12541021005 </v>
      </c>
      <c r="E21997" t="s">
        <v>309</v>
      </c>
      <c r="F21997" t="s">
        <v>310</v>
      </c>
      <c r="G21997">
        <v>10.17</v>
      </c>
      <c r="H21997">
        <v>250930</v>
      </c>
      <c r="I21997">
        <v>4369</v>
      </c>
      <c r="J21997" t="s">
        <v>188</v>
      </c>
      <c r="K21997">
        <v>226.43</v>
      </c>
      <c r="L21997">
        <v>2.0699999999999998</v>
      </c>
      <c r="M21997">
        <v>14431</v>
      </c>
      <c r="N21997" t="s">
        <v>74</v>
      </c>
      <c r="O21997">
        <v>251013</v>
      </c>
      <c r="P21997">
        <v>8.1</v>
      </c>
    </row>
    <row r="21998" spans="1:16" x14ac:dyDescent="0.25">
      <c r="A21998" t="s">
        <v>3296</v>
      </c>
      <c r="B21998" t="s">
        <v>2931</v>
      </c>
      <c r="C21998">
        <v>13659</v>
      </c>
      <c r="D21998" t="str">
        <f t="shared" si="477"/>
        <v xml:space="preserve">12541021005 </v>
      </c>
      <c r="E21998" t="s">
        <v>309</v>
      </c>
      <c r="F21998" t="s">
        <v>310</v>
      </c>
      <c r="G21998">
        <v>13.68</v>
      </c>
      <c r="H21998">
        <v>250930</v>
      </c>
      <c r="I21998">
        <v>4369</v>
      </c>
      <c r="J21998" t="s">
        <v>188</v>
      </c>
      <c r="K21998">
        <v>226.43</v>
      </c>
      <c r="L21998">
        <v>2.78</v>
      </c>
      <c r="M21998">
        <v>14432</v>
      </c>
      <c r="N21998" t="s">
        <v>75</v>
      </c>
      <c r="O21998">
        <v>251013</v>
      </c>
      <c r="P21998">
        <v>10.9</v>
      </c>
    </row>
    <row r="21999" spans="1:16" x14ac:dyDescent="0.25">
      <c r="A21999" t="s">
        <v>3296</v>
      </c>
      <c r="B21999" t="s">
        <v>2931</v>
      </c>
      <c r="C21999">
        <v>13659</v>
      </c>
      <c r="D21999" t="str">
        <f t="shared" si="477"/>
        <v xml:space="preserve">12541021005 </v>
      </c>
      <c r="E21999" t="s">
        <v>309</v>
      </c>
      <c r="F21999" t="s">
        <v>310</v>
      </c>
      <c r="G21999">
        <v>11.16</v>
      </c>
      <c r="H21999">
        <v>250930</v>
      </c>
      <c r="I21999">
        <v>4369</v>
      </c>
      <c r="J21999" t="s">
        <v>188</v>
      </c>
      <c r="K21999">
        <v>226.43</v>
      </c>
      <c r="L21999">
        <v>2.27</v>
      </c>
      <c r="M21999">
        <v>14541</v>
      </c>
      <c r="N21999" t="s">
        <v>76</v>
      </c>
      <c r="O21999">
        <v>251013</v>
      </c>
      <c r="P21999">
        <v>8.89</v>
      </c>
    </row>
    <row r="22000" spans="1:16" x14ac:dyDescent="0.25">
      <c r="A22000" t="s">
        <v>3296</v>
      </c>
      <c r="B22000" t="s">
        <v>2931</v>
      </c>
      <c r="C22000">
        <v>13659</v>
      </c>
      <c r="D22000" t="str">
        <f t="shared" si="477"/>
        <v xml:space="preserve">12541021005 </v>
      </c>
      <c r="E22000" t="s">
        <v>309</v>
      </c>
      <c r="F22000" t="s">
        <v>310</v>
      </c>
      <c r="G22000">
        <v>43.46</v>
      </c>
      <c r="H22000">
        <v>250930</v>
      </c>
      <c r="I22000">
        <v>4369</v>
      </c>
      <c r="J22000" t="s">
        <v>188</v>
      </c>
      <c r="K22000">
        <v>226.43</v>
      </c>
      <c r="L22000">
        <v>8.83</v>
      </c>
      <c r="M22000">
        <v>14622</v>
      </c>
      <c r="N22000" t="s">
        <v>77</v>
      </c>
      <c r="O22000">
        <v>251013</v>
      </c>
      <c r="P22000">
        <v>34.630000000000003</v>
      </c>
    </row>
    <row r="22001" spans="1:16" x14ac:dyDescent="0.25">
      <c r="A22001" t="s">
        <v>3296</v>
      </c>
      <c r="B22001" t="s">
        <v>2931</v>
      </c>
      <c r="C22001">
        <v>13659</v>
      </c>
      <c r="D22001" t="str">
        <f t="shared" si="477"/>
        <v xml:space="preserve">12541021005 </v>
      </c>
      <c r="E22001" t="s">
        <v>309</v>
      </c>
      <c r="F22001" t="s">
        <v>310</v>
      </c>
      <c r="G22001">
        <v>6.78</v>
      </c>
      <c r="H22001">
        <v>250930</v>
      </c>
      <c r="I22001">
        <v>4369</v>
      </c>
      <c r="J22001" t="s">
        <v>188</v>
      </c>
      <c r="K22001">
        <v>226.43</v>
      </c>
      <c r="L22001">
        <v>1.38</v>
      </c>
      <c r="M22001">
        <v>14640</v>
      </c>
      <c r="N22001" t="s">
        <v>78</v>
      </c>
      <c r="O22001">
        <v>251013</v>
      </c>
      <c r="P22001">
        <v>5.4</v>
      </c>
    </row>
    <row r="22002" spans="1:16" x14ac:dyDescent="0.25">
      <c r="A22002" t="s">
        <v>3296</v>
      </c>
      <c r="B22002" t="s">
        <v>2931</v>
      </c>
      <c r="C22002">
        <v>13659</v>
      </c>
      <c r="D22002" t="str">
        <f t="shared" si="477"/>
        <v xml:space="preserve">12541021005 </v>
      </c>
      <c r="E22002" t="s">
        <v>309</v>
      </c>
      <c r="F22002" t="s">
        <v>310</v>
      </c>
      <c r="G22002">
        <v>3.39</v>
      </c>
      <c r="H22002">
        <v>250930</v>
      </c>
      <c r="I22002">
        <v>4369</v>
      </c>
      <c r="J22002" t="s">
        <v>188</v>
      </c>
      <c r="K22002">
        <v>226.43</v>
      </c>
      <c r="L22002">
        <v>0.69</v>
      </c>
      <c r="M22002">
        <v>14861</v>
      </c>
      <c r="N22002" t="s">
        <v>79</v>
      </c>
      <c r="O22002">
        <v>251013</v>
      </c>
      <c r="P22002">
        <v>2.7</v>
      </c>
    </row>
    <row r="22003" spans="1:16" x14ac:dyDescent="0.25">
      <c r="A22003" t="s">
        <v>3296</v>
      </c>
      <c r="B22003" t="s">
        <v>2931</v>
      </c>
      <c r="C22003">
        <v>13659</v>
      </c>
      <c r="D22003" t="str">
        <f t="shared" si="477"/>
        <v xml:space="preserve">12541021005 </v>
      </c>
      <c r="E22003" t="s">
        <v>309</v>
      </c>
      <c r="F22003" t="s">
        <v>310</v>
      </c>
      <c r="G22003">
        <v>7.14</v>
      </c>
      <c r="H22003">
        <v>250930</v>
      </c>
      <c r="I22003">
        <v>4369</v>
      </c>
      <c r="J22003" t="s">
        <v>188</v>
      </c>
      <c r="K22003">
        <v>226.43</v>
      </c>
      <c r="L22003">
        <v>1.45</v>
      </c>
      <c r="M22003">
        <v>14912</v>
      </c>
      <c r="N22003" t="s">
        <v>80</v>
      </c>
      <c r="O22003">
        <v>251013</v>
      </c>
      <c r="P22003">
        <v>5.69</v>
      </c>
    </row>
    <row r="22004" spans="1:16" x14ac:dyDescent="0.25">
      <c r="A22004" t="s">
        <v>3296</v>
      </c>
      <c r="B22004" t="s">
        <v>2931</v>
      </c>
      <c r="C22004">
        <v>13659</v>
      </c>
      <c r="D22004" t="str">
        <f t="shared" si="477"/>
        <v xml:space="preserve">12541021005 </v>
      </c>
      <c r="E22004" t="s">
        <v>309</v>
      </c>
      <c r="F22004" t="s">
        <v>310</v>
      </c>
      <c r="G22004">
        <v>3.39</v>
      </c>
      <c r="H22004">
        <v>250930</v>
      </c>
      <c r="I22004">
        <v>4369</v>
      </c>
      <c r="J22004" t="s">
        <v>188</v>
      </c>
      <c r="K22004">
        <v>226.43</v>
      </c>
      <c r="L22004">
        <v>0.69</v>
      </c>
      <c r="M22004">
        <v>14971</v>
      </c>
      <c r="N22004" t="s">
        <v>81</v>
      </c>
      <c r="O22004">
        <v>251013</v>
      </c>
      <c r="P22004">
        <v>2.7</v>
      </c>
    </row>
    <row r="22005" spans="1:16" x14ac:dyDescent="0.25">
      <c r="A22005" t="s">
        <v>3296</v>
      </c>
      <c r="B22005" t="s">
        <v>2931</v>
      </c>
      <c r="C22005">
        <v>13659</v>
      </c>
      <c r="D22005" t="str">
        <f t="shared" si="477"/>
        <v xml:space="preserve">12541021005 </v>
      </c>
      <c r="E22005" t="s">
        <v>309</v>
      </c>
      <c r="F22005" t="s">
        <v>310</v>
      </c>
      <c r="G22005">
        <v>6.78</v>
      </c>
      <c r="H22005">
        <v>250930</v>
      </c>
      <c r="I22005">
        <v>4369</v>
      </c>
      <c r="J22005" t="s">
        <v>188</v>
      </c>
      <c r="K22005">
        <v>226.43</v>
      </c>
      <c r="L22005">
        <v>1.38</v>
      </c>
      <c r="M22005">
        <v>14972</v>
      </c>
      <c r="N22005" t="s">
        <v>82</v>
      </c>
      <c r="O22005">
        <v>251013</v>
      </c>
      <c r="P22005">
        <v>5.4</v>
      </c>
    </row>
    <row r="22006" spans="1:16" x14ac:dyDescent="0.25">
      <c r="A22006" t="s">
        <v>3296</v>
      </c>
      <c r="B22006" t="s">
        <v>2931</v>
      </c>
      <c r="C22006">
        <v>13659</v>
      </c>
      <c r="D22006" t="str">
        <f t="shared" si="477"/>
        <v xml:space="preserve">12541021005 </v>
      </c>
      <c r="E22006" t="s">
        <v>309</v>
      </c>
      <c r="F22006" t="s">
        <v>310</v>
      </c>
      <c r="G22006">
        <v>3.51</v>
      </c>
      <c r="H22006">
        <v>250930</v>
      </c>
      <c r="I22006">
        <v>4369</v>
      </c>
      <c r="J22006" t="s">
        <v>188</v>
      </c>
      <c r="K22006">
        <v>226.43</v>
      </c>
      <c r="L22006">
        <v>0.71</v>
      </c>
      <c r="M22006">
        <v>14974</v>
      </c>
      <c r="N22006" t="s">
        <v>83</v>
      </c>
      <c r="O22006">
        <v>251013</v>
      </c>
      <c r="P22006">
        <v>2.8</v>
      </c>
    </row>
    <row r="22007" spans="1:16" x14ac:dyDescent="0.25">
      <c r="A22007" t="s">
        <v>3296</v>
      </c>
      <c r="B22007" t="s">
        <v>2931</v>
      </c>
      <c r="C22007">
        <v>13659</v>
      </c>
      <c r="D22007" t="str">
        <f t="shared" si="477"/>
        <v xml:space="preserve">12541021005 </v>
      </c>
      <c r="E22007" t="s">
        <v>309</v>
      </c>
      <c r="F22007" t="s">
        <v>310</v>
      </c>
      <c r="G22007">
        <v>13.55</v>
      </c>
      <c r="H22007">
        <v>250930</v>
      </c>
      <c r="I22007">
        <v>4369</v>
      </c>
      <c r="J22007" t="s">
        <v>188</v>
      </c>
      <c r="K22007">
        <v>226.43</v>
      </c>
      <c r="L22007">
        <v>2.75</v>
      </c>
      <c r="M22007">
        <v>14975</v>
      </c>
      <c r="N22007" t="s">
        <v>84</v>
      </c>
      <c r="O22007">
        <v>251013</v>
      </c>
      <c r="P22007">
        <v>10.8</v>
      </c>
    </row>
    <row r="22008" spans="1:16" x14ac:dyDescent="0.25">
      <c r="A22008" t="s">
        <v>3296</v>
      </c>
      <c r="B22008" t="s">
        <v>2931</v>
      </c>
      <c r="C22008">
        <v>13659</v>
      </c>
      <c r="D22008" t="str">
        <f t="shared" si="477"/>
        <v xml:space="preserve">12541021005 </v>
      </c>
      <c r="E22008" t="s">
        <v>309</v>
      </c>
      <c r="F22008" t="s">
        <v>310</v>
      </c>
      <c r="G22008">
        <v>3.99</v>
      </c>
      <c r="H22008">
        <v>250930</v>
      </c>
      <c r="I22008">
        <v>4369</v>
      </c>
      <c r="J22008" t="s">
        <v>188</v>
      </c>
      <c r="K22008">
        <v>226.43</v>
      </c>
      <c r="L22008">
        <v>0.81</v>
      </c>
      <c r="M22008">
        <v>14990</v>
      </c>
      <c r="N22008" t="s">
        <v>85</v>
      </c>
      <c r="O22008">
        <v>251013</v>
      </c>
      <c r="P22008">
        <v>3.18</v>
      </c>
    </row>
    <row r="22009" spans="1:16" x14ac:dyDescent="0.25">
      <c r="A22009" t="s">
        <v>3296</v>
      </c>
      <c r="B22009" t="s">
        <v>2931</v>
      </c>
      <c r="C22009">
        <v>13659</v>
      </c>
      <c r="D22009" t="str">
        <f t="shared" si="477"/>
        <v xml:space="preserve">12541021005 </v>
      </c>
      <c r="E22009" t="s">
        <v>309</v>
      </c>
      <c r="F22009" t="s">
        <v>310</v>
      </c>
      <c r="G22009">
        <v>3.39</v>
      </c>
      <c r="H22009">
        <v>250930</v>
      </c>
      <c r="I22009">
        <v>4369</v>
      </c>
      <c r="J22009" t="s">
        <v>188</v>
      </c>
      <c r="K22009">
        <v>226.43</v>
      </c>
      <c r="L22009">
        <v>0.69</v>
      </c>
      <c r="M22009">
        <v>14990</v>
      </c>
      <c r="N22009" t="s">
        <v>85</v>
      </c>
      <c r="O22009">
        <v>251013</v>
      </c>
      <c r="P22009">
        <v>2.7</v>
      </c>
    </row>
    <row r="22010" spans="1:16" x14ac:dyDescent="0.25">
      <c r="A22010" t="s">
        <v>3296</v>
      </c>
      <c r="B22010" t="s">
        <v>2931</v>
      </c>
      <c r="C22010">
        <v>13659</v>
      </c>
      <c r="D22010" t="str">
        <f t="shared" si="477"/>
        <v xml:space="preserve">12541021005 </v>
      </c>
      <c r="E22010" t="s">
        <v>309</v>
      </c>
      <c r="F22010" t="s">
        <v>310</v>
      </c>
      <c r="G22010">
        <v>3.39</v>
      </c>
      <c r="H22010">
        <v>250930</v>
      </c>
      <c r="I22010">
        <v>4369</v>
      </c>
      <c r="J22010" t="s">
        <v>188</v>
      </c>
      <c r="K22010">
        <v>226.43</v>
      </c>
      <c r="L22010">
        <v>0.69</v>
      </c>
      <c r="M22010">
        <v>18120</v>
      </c>
      <c r="N22010" t="s">
        <v>37</v>
      </c>
      <c r="O22010">
        <v>251013</v>
      </c>
      <c r="P22010">
        <v>2.7</v>
      </c>
    </row>
    <row r="22011" spans="1:16" x14ac:dyDescent="0.25">
      <c r="A22011" t="s">
        <v>3296</v>
      </c>
      <c r="B22011" t="s">
        <v>2931</v>
      </c>
      <c r="C22011">
        <v>13659</v>
      </c>
      <c r="D22011" t="str">
        <f t="shared" si="477"/>
        <v xml:space="preserve">12541021005 </v>
      </c>
      <c r="E22011" t="s">
        <v>309</v>
      </c>
      <c r="F22011" t="s">
        <v>310</v>
      </c>
      <c r="G22011">
        <v>3.39</v>
      </c>
      <c r="H22011">
        <v>250930</v>
      </c>
      <c r="I22011">
        <v>4369</v>
      </c>
      <c r="J22011" t="s">
        <v>188</v>
      </c>
      <c r="K22011">
        <v>226.43</v>
      </c>
      <c r="L22011">
        <v>0.69</v>
      </c>
      <c r="M22011">
        <v>18972</v>
      </c>
      <c r="N22011" t="s">
        <v>39</v>
      </c>
      <c r="O22011">
        <v>251013</v>
      </c>
      <c r="P22011">
        <v>2.7</v>
      </c>
    </row>
    <row r="22012" spans="1:16" x14ac:dyDescent="0.25">
      <c r="A22012" t="s">
        <v>3296</v>
      </c>
      <c r="B22012" t="s">
        <v>2931</v>
      </c>
      <c r="C22012">
        <v>13659</v>
      </c>
      <c r="D22012" t="str">
        <f t="shared" si="477"/>
        <v xml:space="preserve">12541021005 </v>
      </c>
      <c r="E22012" t="s">
        <v>309</v>
      </c>
      <c r="F22012" t="s">
        <v>310</v>
      </c>
      <c r="G22012">
        <v>10.17</v>
      </c>
      <c r="H22012">
        <v>250930</v>
      </c>
      <c r="I22012">
        <v>4369</v>
      </c>
      <c r="J22012" t="s">
        <v>188</v>
      </c>
      <c r="K22012">
        <v>226.43</v>
      </c>
      <c r="L22012">
        <v>2.0699999999999998</v>
      </c>
      <c r="M22012">
        <v>18972</v>
      </c>
      <c r="N22012" t="s">
        <v>39</v>
      </c>
      <c r="O22012">
        <v>251013</v>
      </c>
      <c r="P22012">
        <v>8.1</v>
      </c>
    </row>
    <row r="22013" spans="1:16" x14ac:dyDescent="0.25">
      <c r="A22013" t="s">
        <v>3296</v>
      </c>
      <c r="B22013" t="s">
        <v>2931</v>
      </c>
      <c r="C22013">
        <v>13662</v>
      </c>
      <c r="D22013" t="str">
        <f>"12541020988 "</f>
        <v xml:space="preserve">12541020988 </v>
      </c>
      <c r="E22013" t="s">
        <v>309</v>
      </c>
      <c r="F22013" t="s">
        <v>310</v>
      </c>
      <c r="G22013">
        <v>7.77</v>
      </c>
      <c r="H22013">
        <v>250930</v>
      </c>
      <c r="I22013">
        <v>4369</v>
      </c>
      <c r="J22013" t="s">
        <v>188</v>
      </c>
      <c r="K22013">
        <v>7.77</v>
      </c>
      <c r="L22013">
        <v>1.58</v>
      </c>
      <c r="M22013">
        <v>49112</v>
      </c>
      <c r="N22013" t="s">
        <v>109</v>
      </c>
      <c r="O22013">
        <v>251013</v>
      </c>
      <c r="P22013">
        <v>6.19</v>
      </c>
    </row>
    <row r="22014" spans="1:16" x14ac:dyDescent="0.25">
      <c r="A22014" t="s">
        <v>3296</v>
      </c>
      <c r="B22014" t="s">
        <v>2931</v>
      </c>
      <c r="C22014">
        <v>13682</v>
      </c>
      <c r="D22014" t="str">
        <f>"12541021000 "</f>
        <v xml:space="preserve">12541021000 </v>
      </c>
      <c r="E22014" t="s">
        <v>309</v>
      </c>
      <c r="F22014" t="s">
        <v>310</v>
      </c>
      <c r="G22014">
        <v>3.39</v>
      </c>
      <c r="H22014">
        <v>250930</v>
      </c>
      <c r="I22014">
        <v>4369</v>
      </c>
      <c r="J22014" t="s">
        <v>188</v>
      </c>
      <c r="K22014">
        <v>6.78</v>
      </c>
      <c r="L22014">
        <v>0.69</v>
      </c>
      <c r="M22014">
        <v>11901</v>
      </c>
      <c r="N22014" t="s">
        <v>31</v>
      </c>
      <c r="O22014">
        <v>251013</v>
      </c>
      <c r="P22014">
        <v>2.7</v>
      </c>
    </row>
    <row r="22015" spans="1:16" x14ac:dyDescent="0.25">
      <c r="A22015" t="s">
        <v>3296</v>
      </c>
      <c r="B22015" t="s">
        <v>2931</v>
      </c>
      <c r="C22015">
        <v>13682</v>
      </c>
      <c r="D22015" t="str">
        <f>"12541021000 "</f>
        <v xml:space="preserve">12541021000 </v>
      </c>
      <c r="E22015" t="s">
        <v>309</v>
      </c>
      <c r="F22015" t="s">
        <v>310</v>
      </c>
      <c r="G22015">
        <v>3.39</v>
      </c>
      <c r="H22015">
        <v>250930</v>
      </c>
      <c r="I22015">
        <v>4369</v>
      </c>
      <c r="J22015" t="s">
        <v>188</v>
      </c>
      <c r="K22015">
        <v>6.78</v>
      </c>
      <c r="L22015">
        <v>0.69</v>
      </c>
      <c r="M22015">
        <v>11903</v>
      </c>
      <c r="N22015" t="s">
        <v>32</v>
      </c>
      <c r="O22015">
        <v>251013</v>
      </c>
      <c r="P22015">
        <v>2.7</v>
      </c>
    </row>
    <row r="22016" spans="1:16" x14ac:dyDescent="0.25">
      <c r="A22016" t="s">
        <v>3296</v>
      </c>
      <c r="B22016" t="s">
        <v>2931</v>
      </c>
      <c r="C22016">
        <v>13687</v>
      </c>
      <c r="D22016" t="str">
        <f t="shared" ref="D22016:D22024" si="478">"12541020976 "</f>
        <v xml:space="preserve">12541020976 </v>
      </c>
      <c r="E22016" t="s">
        <v>309</v>
      </c>
      <c r="F22016" t="s">
        <v>310</v>
      </c>
      <c r="G22016">
        <v>3.39</v>
      </c>
      <c r="H22016">
        <v>250930</v>
      </c>
      <c r="I22016">
        <v>4369</v>
      </c>
      <c r="J22016" t="s">
        <v>188</v>
      </c>
      <c r="K22016">
        <v>37.799999999999997</v>
      </c>
      <c r="L22016">
        <v>0.69</v>
      </c>
      <c r="M22016">
        <v>11301</v>
      </c>
      <c r="N22016" t="s">
        <v>92</v>
      </c>
      <c r="O22016">
        <v>251014</v>
      </c>
      <c r="P22016">
        <v>2.7</v>
      </c>
    </row>
    <row r="22017" spans="1:16" x14ac:dyDescent="0.25">
      <c r="A22017" t="s">
        <v>3296</v>
      </c>
      <c r="B22017" t="s">
        <v>2931</v>
      </c>
      <c r="C22017">
        <v>13687</v>
      </c>
      <c r="D22017" t="str">
        <f t="shared" si="478"/>
        <v xml:space="preserve">12541020976 </v>
      </c>
      <c r="E22017" t="s">
        <v>309</v>
      </c>
      <c r="F22017" t="s">
        <v>310</v>
      </c>
      <c r="G22017">
        <v>3.39</v>
      </c>
      <c r="H22017">
        <v>250930</v>
      </c>
      <c r="I22017">
        <v>4369</v>
      </c>
      <c r="J22017" t="s">
        <v>188</v>
      </c>
      <c r="K22017">
        <v>37.799999999999997</v>
      </c>
      <c r="L22017">
        <v>0.69</v>
      </c>
      <c r="M22017">
        <v>11900</v>
      </c>
      <c r="N22017" t="s">
        <v>30</v>
      </c>
      <c r="O22017">
        <v>251014</v>
      </c>
      <c r="P22017">
        <v>2.7</v>
      </c>
    </row>
    <row r="22018" spans="1:16" x14ac:dyDescent="0.25">
      <c r="A22018" t="s">
        <v>3296</v>
      </c>
      <c r="B22018" t="s">
        <v>2931</v>
      </c>
      <c r="C22018">
        <v>13687</v>
      </c>
      <c r="D22018" t="str">
        <f t="shared" si="478"/>
        <v xml:space="preserve">12541020976 </v>
      </c>
      <c r="E22018" t="s">
        <v>309</v>
      </c>
      <c r="F22018" t="s">
        <v>310</v>
      </c>
      <c r="G22018">
        <v>6.78</v>
      </c>
      <c r="H22018">
        <v>250930</v>
      </c>
      <c r="I22018">
        <v>4369</v>
      </c>
      <c r="J22018" t="s">
        <v>188</v>
      </c>
      <c r="K22018">
        <v>37.799999999999997</v>
      </c>
      <c r="L22018">
        <v>0</v>
      </c>
      <c r="M22018">
        <v>11901</v>
      </c>
      <c r="N22018" t="s">
        <v>31</v>
      </c>
      <c r="O22018">
        <v>251014</v>
      </c>
      <c r="P22018">
        <v>6.78</v>
      </c>
    </row>
    <row r="22019" spans="1:16" x14ac:dyDescent="0.25">
      <c r="A22019" t="s">
        <v>3296</v>
      </c>
      <c r="B22019" t="s">
        <v>2931</v>
      </c>
      <c r="C22019">
        <v>13687</v>
      </c>
      <c r="D22019" t="str">
        <f t="shared" si="478"/>
        <v xml:space="preserve">12541020976 </v>
      </c>
      <c r="E22019" t="s">
        <v>309</v>
      </c>
      <c r="F22019" t="s">
        <v>310</v>
      </c>
      <c r="G22019">
        <v>6.78</v>
      </c>
      <c r="H22019">
        <v>250930</v>
      </c>
      <c r="I22019">
        <v>4369</v>
      </c>
      <c r="J22019" t="s">
        <v>188</v>
      </c>
      <c r="K22019">
        <v>37.799999999999997</v>
      </c>
      <c r="L22019">
        <v>1.38</v>
      </c>
      <c r="M22019">
        <v>11901</v>
      </c>
      <c r="N22019" t="s">
        <v>31</v>
      </c>
      <c r="O22019">
        <v>251014</v>
      </c>
      <c r="P22019">
        <v>5.4</v>
      </c>
    </row>
    <row r="22020" spans="1:16" x14ac:dyDescent="0.25">
      <c r="A22020" t="s">
        <v>3296</v>
      </c>
      <c r="B22020" t="s">
        <v>2931</v>
      </c>
      <c r="C22020">
        <v>13687</v>
      </c>
      <c r="D22020" t="str">
        <f t="shared" si="478"/>
        <v xml:space="preserve">12541020976 </v>
      </c>
      <c r="E22020" t="s">
        <v>309</v>
      </c>
      <c r="F22020" t="s">
        <v>310</v>
      </c>
      <c r="G22020">
        <v>3.39</v>
      </c>
      <c r="H22020">
        <v>250930</v>
      </c>
      <c r="I22020">
        <v>4369</v>
      </c>
      <c r="J22020" t="s">
        <v>188</v>
      </c>
      <c r="K22020">
        <v>37.799999999999997</v>
      </c>
      <c r="L22020">
        <v>0.69</v>
      </c>
      <c r="M22020">
        <v>11903</v>
      </c>
      <c r="N22020" t="s">
        <v>32</v>
      </c>
      <c r="O22020">
        <v>251014</v>
      </c>
      <c r="P22020">
        <v>2.7</v>
      </c>
    </row>
    <row r="22021" spans="1:16" x14ac:dyDescent="0.25">
      <c r="A22021" t="s">
        <v>3296</v>
      </c>
      <c r="B22021" t="s">
        <v>2931</v>
      </c>
      <c r="C22021">
        <v>13687</v>
      </c>
      <c r="D22021" t="str">
        <f t="shared" si="478"/>
        <v xml:space="preserve">12541020976 </v>
      </c>
      <c r="E22021" t="s">
        <v>309</v>
      </c>
      <c r="F22021" t="s">
        <v>310</v>
      </c>
      <c r="G22021">
        <v>3.39</v>
      </c>
      <c r="H22021">
        <v>250930</v>
      </c>
      <c r="I22021">
        <v>4369</v>
      </c>
      <c r="J22021" t="s">
        <v>188</v>
      </c>
      <c r="K22021">
        <v>37.799999999999997</v>
      </c>
      <c r="L22021">
        <v>0.69</v>
      </c>
      <c r="M22021">
        <v>11903</v>
      </c>
      <c r="N22021" t="s">
        <v>32</v>
      </c>
      <c r="O22021">
        <v>251014</v>
      </c>
      <c r="P22021">
        <v>2.7</v>
      </c>
    </row>
    <row r="22022" spans="1:16" x14ac:dyDescent="0.25">
      <c r="A22022" t="s">
        <v>3296</v>
      </c>
      <c r="B22022" t="s">
        <v>2931</v>
      </c>
      <c r="C22022">
        <v>13687</v>
      </c>
      <c r="D22022" t="str">
        <f t="shared" si="478"/>
        <v xml:space="preserve">12541020976 </v>
      </c>
      <c r="E22022" t="s">
        <v>309</v>
      </c>
      <c r="F22022" t="s">
        <v>310</v>
      </c>
      <c r="G22022">
        <v>3.9</v>
      </c>
      <c r="H22022">
        <v>250930</v>
      </c>
      <c r="I22022">
        <v>4369</v>
      </c>
      <c r="J22022" t="s">
        <v>188</v>
      </c>
      <c r="K22022">
        <v>37.799999999999997</v>
      </c>
      <c r="L22022">
        <v>0.79</v>
      </c>
      <c r="M22022">
        <v>11903</v>
      </c>
      <c r="N22022" t="s">
        <v>32</v>
      </c>
      <c r="O22022">
        <v>251014</v>
      </c>
      <c r="P22022">
        <v>3.11</v>
      </c>
    </row>
    <row r="22023" spans="1:16" x14ac:dyDescent="0.25">
      <c r="A22023" t="s">
        <v>3296</v>
      </c>
      <c r="B22023" t="s">
        <v>2931</v>
      </c>
      <c r="C22023">
        <v>13687</v>
      </c>
      <c r="D22023" t="str">
        <f t="shared" si="478"/>
        <v xml:space="preserve">12541020976 </v>
      </c>
      <c r="E22023" t="s">
        <v>309</v>
      </c>
      <c r="F22023" t="s">
        <v>310</v>
      </c>
      <c r="G22023">
        <v>3.39</v>
      </c>
      <c r="H22023">
        <v>250930</v>
      </c>
      <c r="I22023">
        <v>4369</v>
      </c>
      <c r="J22023" t="s">
        <v>188</v>
      </c>
      <c r="K22023">
        <v>37.799999999999997</v>
      </c>
      <c r="L22023">
        <v>0.69</v>
      </c>
      <c r="M22023">
        <v>11905</v>
      </c>
      <c r="N22023" t="s">
        <v>643</v>
      </c>
      <c r="O22023">
        <v>251014</v>
      </c>
      <c r="P22023">
        <v>2.7</v>
      </c>
    </row>
    <row r="22024" spans="1:16" x14ac:dyDescent="0.25">
      <c r="A22024" t="s">
        <v>3296</v>
      </c>
      <c r="B22024" t="s">
        <v>2931</v>
      </c>
      <c r="C22024">
        <v>13687</v>
      </c>
      <c r="D22024" t="str">
        <f t="shared" si="478"/>
        <v xml:space="preserve">12541020976 </v>
      </c>
      <c r="E22024" t="s">
        <v>309</v>
      </c>
      <c r="F22024" t="s">
        <v>310</v>
      </c>
      <c r="G22024">
        <v>3.39</v>
      </c>
      <c r="H22024">
        <v>250930</v>
      </c>
      <c r="I22024">
        <v>4369</v>
      </c>
      <c r="J22024" t="s">
        <v>188</v>
      </c>
      <c r="K22024">
        <v>37.799999999999997</v>
      </c>
      <c r="L22024">
        <v>0.69</v>
      </c>
      <c r="M22024">
        <v>12500</v>
      </c>
      <c r="N22024" t="s">
        <v>1502</v>
      </c>
      <c r="O22024">
        <v>251014</v>
      </c>
      <c r="P22024">
        <v>2.7</v>
      </c>
    </row>
    <row r="22025" spans="1:16" x14ac:dyDescent="0.25">
      <c r="A22025" t="s">
        <v>3296</v>
      </c>
      <c r="B22025" t="s">
        <v>2931</v>
      </c>
      <c r="C22025">
        <v>13689</v>
      </c>
      <c r="D22025" t="str">
        <f t="shared" ref="D22025:D22032" si="479">"12541020969 "</f>
        <v xml:space="preserve">12541020969 </v>
      </c>
      <c r="E22025" t="s">
        <v>309</v>
      </c>
      <c r="F22025" t="s">
        <v>310</v>
      </c>
      <c r="G22025">
        <v>3.39</v>
      </c>
      <c r="H22025">
        <v>250930</v>
      </c>
      <c r="I22025">
        <v>4369</v>
      </c>
      <c r="J22025" t="s">
        <v>188</v>
      </c>
      <c r="K22025">
        <v>70.930000000000007</v>
      </c>
      <c r="L22025">
        <v>0.69</v>
      </c>
      <c r="M22025">
        <v>11001</v>
      </c>
      <c r="N22025" t="s">
        <v>93</v>
      </c>
      <c r="O22025">
        <v>251015</v>
      </c>
      <c r="P22025">
        <v>2.7</v>
      </c>
    </row>
    <row r="22026" spans="1:16" x14ac:dyDescent="0.25">
      <c r="A22026" t="s">
        <v>3296</v>
      </c>
      <c r="B22026" t="s">
        <v>2931</v>
      </c>
      <c r="C22026">
        <v>13689</v>
      </c>
      <c r="D22026" t="str">
        <f t="shared" si="479"/>
        <v xml:space="preserve">12541020969 </v>
      </c>
      <c r="E22026" t="s">
        <v>309</v>
      </c>
      <c r="F22026" t="s">
        <v>310</v>
      </c>
      <c r="G22026">
        <v>17.09</v>
      </c>
      <c r="H22026">
        <v>250930</v>
      </c>
      <c r="I22026">
        <v>4369</v>
      </c>
      <c r="J22026" t="s">
        <v>188</v>
      </c>
      <c r="K22026">
        <v>70.930000000000007</v>
      </c>
      <c r="L22026">
        <v>0</v>
      </c>
      <c r="M22026">
        <v>11001</v>
      </c>
      <c r="N22026" t="s">
        <v>93</v>
      </c>
      <c r="O22026">
        <v>251015</v>
      </c>
      <c r="P22026">
        <v>17.09</v>
      </c>
    </row>
    <row r="22027" spans="1:16" x14ac:dyDescent="0.25">
      <c r="A22027" t="s">
        <v>3296</v>
      </c>
      <c r="B22027" t="s">
        <v>2931</v>
      </c>
      <c r="C22027">
        <v>13689</v>
      </c>
      <c r="D22027" t="str">
        <f t="shared" si="479"/>
        <v xml:space="preserve">12541020969 </v>
      </c>
      <c r="E22027" t="s">
        <v>309</v>
      </c>
      <c r="F22027" t="s">
        <v>310</v>
      </c>
      <c r="G22027">
        <v>1.66</v>
      </c>
      <c r="H22027">
        <v>250930</v>
      </c>
      <c r="I22027">
        <v>4369</v>
      </c>
      <c r="J22027" t="s">
        <v>188</v>
      </c>
      <c r="K22027">
        <v>70.930000000000007</v>
      </c>
      <c r="L22027">
        <v>0.34</v>
      </c>
      <c r="M22027">
        <v>11401</v>
      </c>
      <c r="N22027" t="s">
        <v>91</v>
      </c>
      <c r="O22027">
        <v>251015</v>
      </c>
      <c r="P22027">
        <v>1.32</v>
      </c>
    </row>
    <row r="22028" spans="1:16" x14ac:dyDescent="0.25">
      <c r="A22028" t="s">
        <v>3296</v>
      </c>
      <c r="B22028" t="s">
        <v>2931</v>
      </c>
      <c r="C22028">
        <v>13689</v>
      </c>
      <c r="D22028" t="str">
        <f t="shared" si="479"/>
        <v xml:space="preserve">12541020969 </v>
      </c>
      <c r="E22028" t="s">
        <v>309</v>
      </c>
      <c r="F22028" t="s">
        <v>310</v>
      </c>
      <c r="G22028">
        <v>7.53</v>
      </c>
      <c r="H22028">
        <v>250930</v>
      </c>
      <c r="I22028">
        <v>4369</v>
      </c>
      <c r="J22028" t="s">
        <v>188</v>
      </c>
      <c r="K22028">
        <v>70.930000000000007</v>
      </c>
      <c r="L22028">
        <v>1.53</v>
      </c>
      <c r="M22028">
        <v>11501</v>
      </c>
      <c r="N22028" t="s">
        <v>13</v>
      </c>
      <c r="O22028">
        <v>251015</v>
      </c>
      <c r="P22028">
        <v>6</v>
      </c>
    </row>
    <row r="22029" spans="1:16" x14ac:dyDescent="0.25">
      <c r="A22029" t="s">
        <v>3296</v>
      </c>
      <c r="B22029" t="s">
        <v>2931</v>
      </c>
      <c r="C22029">
        <v>13689</v>
      </c>
      <c r="D22029" t="str">
        <f t="shared" si="479"/>
        <v xml:space="preserve">12541020969 </v>
      </c>
      <c r="E22029" t="s">
        <v>309</v>
      </c>
      <c r="F22029" t="s">
        <v>310</v>
      </c>
      <c r="G22029">
        <v>3.39</v>
      </c>
      <c r="H22029">
        <v>250930</v>
      </c>
      <c r="I22029">
        <v>4369</v>
      </c>
      <c r="J22029" t="s">
        <v>188</v>
      </c>
      <c r="K22029">
        <v>70.930000000000007</v>
      </c>
      <c r="L22029">
        <v>0.69</v>
      </c>
      <c r="M22029">
        <v>11701</v>
      </c>
      <c r="N22029" t="s">
        <v>973</v>
      </c>
      <c r="O22029">
        <v>251015</v>
      </c>
      <c r="P22029">
        <v>2.7</v>
      </c>
    </row>
    <row r="22030" spans="1:16" x14ac:dyDescent="0.25">
      <c r="A22030" t="s">
        <v>3296</v>
      </c>
      <c r="B22030" t="s">
        <v>2931</v>
      </c>
      <c r="C22030">
        <v>13689</v>
      </c>
      <c r="D22030" t="str">
        <f t="shared" si="479"/>
        <v xml:space="preserve">12541020969 </v>
      </c>
      <c r="E22030" t="s">
        <v>309</v>
      </c>
      <c r="F22030" t="s">
        <v>310</v>
      </c>
      <c r="G22030">
        <v>3.39</v>
      </c>
      <c r="H22030">
        <v>250930</v>
      </c>
      <c r="I22030">
        <v>4369</v>
      </c>
      <c r="J22030" t="s">
        <v>188</v>
      </c>
      <c r="K22030">
        <v>70.930000000000007</v>
      </c>
      <c r="L22030">
        <v>0.69</v>
      </c>
      <c r="M22030">
        <v>11751</v>
      </c>
      <c r="N22030" t="s">
        <v>167</v>
      </c>
      <c r="O22030">
        <v>251015</v>
      </c>
      <c r="P22030">
        <v>2.7</v>
      </c>
    </row>
    <row r="22031" spans="1:16" x14ac:dyDescent="0.25">
      <c r="A22031" t="s">
        <v>3296</v>
      </c>
      <c r="B22031" t="s">
        <v>2931</v>
      </c>
      <c r="C22031">
        <v>13689</v>
      </c>
      <c r="D22031" t="str">
        <f t="shared" si="479"/>
        <v xml:space="preserve">12541020969 </v>
      </c>
      <c r="E22031" t="s">
        <v>309</v>
      </c>
      <c r="F22031" t="s">
        <v>310</v>
      </c>
      <c r="G22031">
        <v>31.12</v>
      </c>
      <c r="H22031">
        <v>250930</v>
      </c>
      <c r="I22031">
        <v>4369</v>
      </c>
      <c r="J22031" t="s">
        <v>188</v>
      </c>
      <c r="K22031">
        <v>70.930000000000007</v>
      </c>
      <c r="L22031">
        <v>6.32</v>
      </c>
      <c r="M22031">
        <v>14622</v>
      </c>
      <c r="N22031" t="s">
        <v>77</v>
      </c>
      <c r="O22031">
        <v>251015</v>
      </c>
      <c r="P22031">
        <v>24.8</v>
      </c>
    </row>
    <row r="22032" spans="1:16" x14ac:dyDescent="0.25">
      <c r="A22032" t="s">
        <v>3296</v>
      </c>
      <c r="B22032" t="s">
        <v>2931</v>
      </c>
      <c r="C22032">
        <v>13689</v>
      </c>
      <c r="D22032" t="str">
        <f t="shared" si="479"/>
        <v xml:space="preserve">12541020969 </v>
      </c>
      <c r="E22032" t="s">
        <v>309</v>
      </c>
      <c r="F22032" t="s">
        <v>310</v>
      </c>
      <c r="G22032">
        <v>3.36</v>
      </c>
      <c r="H22032">
        <v>250930</v>
      </c>
      <c r="I22032">
        <v>4369</v>
      </c>
      <c r="J22032" t="s">
        <v>188</v>
      </c>
      <c r="K22032">
        <v>70.930000000000007</v>
      </c>
      <c r="L22032">
        <v>0.68</v>
      </c>
      <c r="M22032">
        <v>14952</v>
      </c>
      <c r="N22032" t="s">
        <v>213</v>
      </c>
      <c r="O22032">
        <v>251015</v>
      </c>
      <c r="P22032">
        <v>2.68</v>
      </c>
    </row>
    <row r="22033" spans="1:16" x14ac:dyDescent="0.25">
      <c r="A22033" t="s">
        <v>3296</v>
      </c>
      <c r="B22033" t="s">
        <v>2931</v>
      </c>
      <c r="C22033">
        <v>13690</v>
      </c>
      <c r="D22033" t="str">
        <f>"12541020998 "</f>
        <v xml:space="preserve">12541020998 </v>
      </c>
      <c r="E22033" t="s">
        <v>309</v>
      </c>
      <c r="F22033" t="s">
        <v>310</v>
      </c>
      <c r="G22033">
        <v>36.5</v>
      </c>
      <c r="H22033">
        <v>250930</v>
      </c>
      <c r="I22033">
        <v>4369</v>
      </c>
      <c r="J22033" t="s">
        <v>188</v>
      </c>
      <c r="K22033">
        <v>43.27</v>
      </c>
      <c r="L22033">
        <v>7.42</v>
      </c>
      <c r="M22033">
        <v>13601</v>
      </c>
      <c r="N22033" t="s">
        <v>115</v>
      </c>
      <c r="O22033">
        <v>251015</v>
      </c>
      <c r="P22033">
        <v>29.08</v>
      </c>
    </row>
    <row r="22034" spans="1:16" x14ac:dyDescent="0.25">
      <c r="A22034" t="s">
        <v>3296</v>
      </c>
      <c r="B22034" t="s">
        <v>2931</v>
      </c>
      <c r="C22034">
        <v>13690</v>
      </c>
      <c r="D22034" t="str">
        <f>"12541020998 "</f>
        <v xml:space="preserve">12541020998 </v>
      </c>
      <c r="E22034" t="s">
        <v>309</v>
      </c>
      <c r="F22034" t="s">
        <v>310</v>
      </c>
      <c r="G22034">
        <v>3.39</v>
      </c>
      <c r="H22034">
        <v>250930</v>
      </c>
      <c r="I22034">
        <v>4369</v>
      </c>
      <c r="J22034" t="s">
        <v>188</v>
      </c>
      <c r="K22034">
        <v>43.27</v>
      </c>
      <c r="L22034">
        <v>0.69</v>
      </c>
      <c r="M22034">
        <v>13601</v>
      </c>
      <c r="N22034" t="s">
        <v>115</v>
      </c>
      <c r="O22034">
        <v>251015</v>
      </c>
      <c r="P22034">
        <v>2.7</v>
      </c>
    </row>
    <row r="22035" spans="1:16" x14ac:dyDescent="0.25">
      <c r="A22035" t="s">
        <v>3296</v>
      </c>
      <c r="B22035" t="s">
        <v>2931</v>
      </c>
      <c r="C22035">
        <v>13690</v>
      </c>
      <c r="D22035" t="str">
        <f>"12541020998 "</f>
        <v xml:space="preserve">12541020998 </v>
      </c>
      <c r="E22035" t="s">
        <v>309</v>
      </c>
      <c r="F22035" t="s">
        <v>310</v>
      </c>
      <c r="G22035">
        <v>3.38</v>
      </c>
      <c r="H22035">
        <v>250930</v>
      </c>
      <c r="I22035">
        <v>4369</v>
      </c>
      <c r="J22035" t="s">
        <v>188</v>
      </c>
      <c r="K22035">
        <v>43.27</v>
      </c>
      <c r="L22035">
        <v>0.69</v>
      </c>
      <c r="M22035">
        <v>13661</v>
      </c>
      <c r="N22035" t="s">
        <v>243</v>
      </c>
      <c r="O22035">
        <v>251015</v>
      </c>
      <c r="P22035">
        <v>2.69</v>
      </c>
    </row>
    <row r="22036" spans="1:16" x14ac:dyDescent="0.25">
      <c r="A22036" t="s">
        <v>3296</v>
      </c>
      <c r="B22036" t="s">
        <v>2931</v>
      </c>
      <c r="C22036">
        <v>13744</v>
      </c>
      <c r="D22036" t="str">
        <f t="shared" ref="D22036:D22043" si="480">"12541020968 "</f>
        <v xml:space="preserve">12541020968 </v>
      </c>
      <c r="E22036" t="s">
        <v>309</v>
      </c>
      <c r="F22036" t="s">
        <v>310</v>
      </c>
      <c r="G22036">
        <v>6.4</v>
      </c>
      <c r="H22036">
        <v>250930</v>
      </c>
      <c r="I22036">
        <v>4369</v>
      </c>
      <c r="J22036" t="s">
        <v>188</v>
      </c>
      <c r="K22036">
        <v>58.07</v>
      </c>
      <c r="L22036">
        <v>1.3</v>
      </c>
      <c r="M22036">
        <v>10002</v>
      </c>
      <c r="N22036" t="s">
        <v>513</v>
      </c>
      <c r="O22036">
        <v>251017</v>
      </c>
      <c r="P22036">
        <v>5.0999999999999996</v>
      </c>
    </row>
    <row r="22037" spans="1:16" x14ac:dyDescent="0.25">
      <c r="A22037" t="s">
        <v>3296</v>
      </c>
      <c r="B22037" t="s">
        <v>2931</v>
      </c>
      <c r="C22037">
        <v>13744</v>
      </c>
      <c r="D22037" t="str">
        <f t="shared" si="480"/>
        <v xml:space="preserve">12541020968 </v>
      </c>
      <c r="E22037" t="s">
        <v>309</v>
      </c>
      <c r="F22037" t="s">
        <v>310</v>
      </c>
      <c r="G22037">
        <v>6.4</v>
      </c>
      <c r="H22037">
        <v>250930</v>
      </c>
      <c r="I22037">
        <v>4369</v>
      </c>
      <c r="J22037" t="s">
        <v>188</v>
      </c>
      <c r="K22037">
        <v>58.07</v>
      </c>
      <c r="L22037">
        <v>1.3</v>
      </c>
      <c r="M22037">
        <v>11001</v>
      </c>
      <c r="N22037" t="s">
        <v>93</v>
      </c>
      <c r="O22037">
        <v>251017</v>
      </c>
      <c r="P22037">
        <v>5.0999999999999996</v>
      </c>
    </row>
    <row r="22038" spans="1:16" x14ac:dyDescent="0.25">
      <c r="A22038" t="s">
        <v>3296</v>
      </c>
      <c r="B22038" t="s">
        <v>2931</v>
      </c>
      <c r="C22038">
        <v>13744</v>
      </c>
      <c r="D22038" t="str">
        <f t="shared" si="480"/>
        <v xml:space="preserve">12541020968 </v>
      </c>
      <c r="E22038" t="s">
        <v>309</v>
      </c>
      <c r="F22038" t="s">
        <v>310</v>
      </c>
      <c r="G22038">
        <v>7.16</v>
      </c>
      <c r="H22038">
        <v>250930</v>
      </c>
      <c r="I22038">
        <v>4369</v>
      </c>
      <c r="J22038" t="s">
        <v>188</v>
      </c>
      <c r="K22038">
        <v>58.07</v>
      </c>
      <c r="L22038">
        <v>1.45</v>
      </c>
      <c r="M22038">
        <v>11001</v>
      </c>
      <c r="N22038" t="s">
        <v>93</v>
      </c>
      <c r="O22038">
        <v>251017</v>
      </c>
      <c r="P22038">
        <v>5.71</v>
      </c>
    </row>
    <row r="22039" spans="1:16" x14ac:dyDescent="0.25">
      <c r="A22039" t="s">
        <v>3296</v>
      </c>
      <c r="B22039" t="s">
        <v>2931</v>
      </c>
      <c r="C22039">
        <v>13744</v>
      </c>
      <c r="D22039" t="str">
        <f t="shared" si="480"/>
        <v xml:space="preserve">12541020968 </v>
      </c>
      <c r="E22039" t="s">
        <v>309</v>
      </c>
      <c r="F22039" t="s">
        <v>310</v>
      </c>
      <c r="G22039">
        <v>10.17</v>
      </c>
      <c r="H22039">
        <v>250930</v>
      </c>
      <c r="I22039">
        <v>4369</v>
      </c>
      <c r="J22039" t="s">
        <v>188</v>
      </c>
      <c r="K22039">
        <v>58.07</v>
      </c>
      <c r="L22039">
        <v>2.0699999999999998</v>
      </c>
      <c r="M22039">
        <v>11301</v>
      </c>
      <c r="N22039" t="s">
        <v>92</v>
      </c>
      <c r="O22039">
        <v>251017</v>
      </c>
      <c r="P22039">
        <v>8.1</v>
      </c>
    </row>
    <row r="22040" spans="1:16" x14ac:dyDescent="0.25">
      <c r="A22040" t="s">
        <v>3296</v>
      </c>
      <c r="B22040" t="s">
        <v>2931</v>
      </c>
      <c r="C22040">
        <v>13744</v>
      </c>
      <c r="D22040" t="str">
        <f t="shared" si="480"/>
        <v xml:space="preserve">12541020968 </v>
      </c>
      <c r="E22040" t="s">
        <v>309</v>
      </c>
      <c r="F22040" t="s">
        <v>310</v>
      </c>
      <c r="G22040">
        <v>4.3</v>
      </c>
      <c r="H22040">
        <v>250930</v>
      </c>
      <c r="I22040">
        <v>4369</v>
      </c>
      <c r="J22040" t="s">
        <v>188</v>
      </c>
      <c r="K22040">
        <v>58.07</v>
      </c>
      <c r="L22040">
        <v>0</v>
      </c>
      <c r="M22040">
        <v>11401</v>
      </c>
      <c r="N22040" t="s">
        <v>91</v>
      </c>
      <c r="O22040">
        <v>251017</v>
      </c>
      <c r="P22040">
        <v>4.3</v>
      </c>
    </row>
    <row r="22041" spans="1:16" x14ac:dyDescent="0.25">
      <c r="A22041" t="s">
        <v>3296</v>
      </c>
      <c r="B22041" t="s">
        <v>2931</v>
      </c>
      <c r="C22041">
        <v>13744</v>
      </c>
      <c r="D22041" t="str">
        <f t="shared" si="480"/>
        <v xml:space="preserve">12541020968 </v>
      </c>
      <c r="E22041" t="s">
        <v>309</v>
      </c>
      <c r="F22041" t="s">
        <v>310</v>
      </c>
      <c r="G22041">
        <v>9.93</v>
      </c>
      <c r="H22041">
        <v>250930</v>
      </c>
      <c r="I22041">
        <v>4369</v>
      </c>
      <c r="J22041" t="s">
        <v>188</v>
      </c>
      <c r="K22041">
        <v>58.07</v>
      </c>
      <c r="L22041">
        <v>2.02</v>
      </c>
      <c r="M22041">
        <v>11401</v>
      </c>
      <c r="N22041" t="s">
        <v>91</v>
      </c>
      <c r="O22041">
        <v>251017</v>
      </c>
      <c r="P22041">
        <v>7.91</v>
      </c>
    </row>
    <row r="22042" spans="1:16" x14ac:dyDescent="0.25">
      <c r="A22042" t="s">
        <v>3296</v>
      </c>
      <c r="B22042" t="s">
        <v>2931</v>
      </c>
      <c r="C22042">
        <v>13744</v>
      </c>
      <c r="D22042" t="str">
        <f t="shared" si="480"/>
        <v xml:space="preserve">12541020968 </v>
      </c>
      <c r="E22042" t="s">
        <v>309</v>
      </c>
      <c r="F22042" t="s">
        <v>310</v>
      </c>
      <c r="G22042">
        <v>3.59</v>
      </c>
      <c r="H22042">
        <v>250930</v>
      </c>
      <c r="I22042">
        <v>4369</v>
      </c>
      <c r="J22042" t="s">
        <v>188</v>
      </c>
      <c r="K22042">
        <v>58.07</v>
      </c>
      <c r="L22042">
        <v>0.73</v>
      </c>
      <c r="M22042">
        <v>11501</v>
      </c>
      <c r="N22042" t="s">
        <v>13</v>
      </c>
      <c r="O22042">
        <v>251017</v>
      </c>
      <c r="P22042">
        <v>2.86</v>
      </c>
    </row>
    <row r="22043" spans="1:16" x14ac:dyDescent="0.25">
      <c r="A22043" t="s">
        <v>3296</v>
      </c>
      <c r="B22043" t="s">
        <v>2931</v>
      </c>
      <c r="C22043">
        <v>13744</v>
      </c>
      <c r="D22043" t="str">
        <f t="shared" si="480"/>
        <v xml:space="preserve">12541020968 </v>
      </c>
      <c r="E22043" t="s">
        <v>309</v>
      </c>
      <c r="F22043" t="s">
        <v>310</v>
      </c>
      <c r="G22043">
        <v>10.119999999999999</v>
      </c>
      <c r="H22043">
        <v>250930</v>
      </c>
      <c r="I22043">
        <v>4369</v>
      </c>
      <c r="J22043" t="s">
        <v>188</v>
      </c>
      <c r="K22043">
        <v>58.07</v>
      </c>
      <c r="L22043">
        <v>2.06</v>
      </c>
      <c r="M22043">
        <v>18972</v>
      </c>
      <c r="N22043" t="s">
        <v>39</v>
      </c>
      <c r="O22043">
        <v>251017</v>
      </c>
      <c r="P22043">
        <v>8.06</v>
      </c>
    </row>
    <row r="22044" spans="1:16" x14ac:dyDescent="0.25">
      <c r="A22044" t="s">
        <v>3296</v>
      </c>
      <c r="B22044" t="s">
        <v>2931</v>
      </c>
      <c r="C22044">
        <v>13857</v>
      </c>
      <c r="D22044" t="str">
        <f t="shared" ref="D22044:D22052" si="481">"12541020997 "</f>
        <v xml:space="preserve">12541020997 </v>
      </c>
      <c r="E22044" t="s">
        <v>309</v>
      </c>
      <c r="F22044" t="s">
        <v>310</v>
      </c>
      <c r="G22044">
        <v>3.4</v>
      </c>
      <c r="H22044">
        <v>251001</v>
      </c>
      <c r="I22044">
        <v>4369</v>
      </c>
      <c r="J22044" t="s">
        <v>188</v>
      </c>
      <c r="K22044">
        <v>134.96</v>
      </c>
      <c r="L22044">
        <v>0</v>
      </c>
      <c r="M22044">
        <v>13201</v>
      </c>
      <c r="N22044" t="s">
        <v>269</v>
      </c>
      <c r="O22044">
        <v>251020</v>
      </c>
      <c r="P22044">
        <v>3.4</v>
      </c>
    </row>
    <row r="22045" spans="1:16" x14ac:dyDescent="0.25">
      <c r="A22045" t="s">
        <v>3296</v>
      </c>
      <c r="B22045" t="s">
        <v>2931</v>
      </c>
      <c r="C22045">
        <v>13857</v>
      </c>
      <c r="D22045" t="str">
        <f t="shared" si="481"/>
        <v xml:space="preserve">12541020997 </v>
      </c>
      <c r="E22045" t="s">
        <v>309</v>
      </c>
      <c r="F22045" t="s">
        <v>310</v>
      </c>
      <c r="G22045">
        <v>40.47</v>
      </c>
      <c r="H22045">
        <v>251001</v>
      </c>
      <c r="I22045">
        <v>4369</v>
      </c>
      <c r="J22045" t="s">
        <v>188</v>
      </c>
      <c r="K22045">
        <v>134.96</v>
      </c>
      <c r="L22045">
        <v>8.2200000000000006</v>
      </c>
      <c r="M22045">
        <v>13401</v>
      </c>
      <c r="N22045" t="s">
        <v>10</v>
      </c>
      <c r="O22045">
        <v>251020</v>
      </c>
      <c r="P22045">
        <v>32.25</v>
      </c>
    </row>
    <row r="22046" spans="1:16" x14ac:dyDescent="0.25">
      <c r="A22046" t="s">
        <v>3296</v>
      </c>
      <c r="B22046" t="s">
        <v>2931</v>
      </c>
      <c r="C22046">
        <v>13857</v>
      </c>
      <c r="D22046" t="str">
        <f t="shared" si="481"/>
        <v xml:space="preserve">12541020997 </v>
      </c>
      <c r="E22046" t="s">
        <v>309</v>
      </c>
      <c r="F22046" t="s">
        <v>310</v>
      </c>
      <c r="G22046">
        <v>7.95</v>
      </c>
      <c r="H22046">
        <v>251001</v>
      </c>
      <c r="I22046">
        <v>4369</v>
      </c>
      <c r="J22046" t="s">
        <v>188</v>
      </c>
      <c r="K22046">
        <v>134.96</v>
      </c>
      <c r="L22046">
        <v>1.62</v>
      </c>
      <c r="M22046">
        <v>13401</v>
      </c>
      <c r="N22046" t="s">
        <v>10</v>
      </c>
      <c r="O22046">
        <v>251020</v>
      </c>
      <c r="P22046">
        <v>6.33</v>
      </c>
    </row>
    <row r="22047" spans="1:16" x14ac:dyDescent="0.25">
      <c r="A22047" t="s">
        <v>3296</v>
      </c>
      <c r="B22047" t="s">
        <v>2931</v>
      </c>
      <c r="C22047">
        <v>13857</v>
      </c>
      <c r="D22047" t="str">
        <f t="shared" si="481"/>
        <v xml:space="preserve">12541020997 </v>
      </c>
      <c r="E22047" t="s">
        <v>309</v>
      </c>
      <c r="F22047" t="s">
        <v>310</v>
      </c>
      <c r="G22047">
        <v>31.91</v>
      </c>
      <c r="H22047">
        <v>251001</v>
      </c>
      <c r="I22047">
        <v>4369</v>
      </c>
      <c r="J22047" t="s">
        <v>188</v>
      </c>
      <c r="K22047">
        <v>134.96</v>
      </c>
      <c r="L22047">
        <v>6.48</v>
      </c>
      <c r="M22047">
        <v>13501</v>
      </c>
      <c r="N22047" t="s">
        <v>66</v>
      </c>
      <c r="O22047">
        <v>251020</v>
      </c>
      <c r="P22047">
        <v>25.43</v>
      </c>
    </row>
    <row r="22048" spans="1:16" x14ac:dyDescent="0.25">
      <c r="A22048" t="s">
        <v>3296</v>
      </c>
      <c r="B22048" t="s">
        <v>2931</v>
      </c>
      <c r="C22048">
        <v>13857</v>
      </c>
      <c r="D22048" t="str">
        <f t="shared" si="481"/>
        <v xml:space="preserve">12541020997 </v>
      </c>
      <c r="E22048" t="s">
        <v>309</v>
      </c>
      <c r="F22048" t="s">
        <v>310</v>
      </c>
      <c r="G22048">
        <v>3.4</v>
      </c>
      <c r="H22048">
        <v>251001</v>
      </c>
      <c r="I22048">
        <v>4369</v>
      </c>
      <c r="J22048" t="s">
        <v>188</v>
      </c>
      <c r="K22048">
        <v>134.96</v>
      </c>
      <c r="L22048">
        <v>0.69</v>
      </c>
      <c r="M22048">
        <v>13561</v>
      </c>
      <c r="N22048" t="s">
        <v>241</v>
      </c>
      <c r="O22048">
        <v>251020</v>
      </c>
      <c r="P22048">
        <v>2.71</v>
      </c>
    </row>
    <row r="22049" spans="1:16" x14ac:dyDescent="0.25">
      <c r="A22049" t="s">
        <v>3296</v>
      </c>
      <c r="B22049" t="s">
        <v>2931</v>
      </c>
      <c r="C22049">
        <v>13857</v>
      </c>
      <c r="D22049" t="str">
        <f t="shared" si="481"/>
        <v xml:space="preserve">12541020997 </v>
      </c>
      <c r="E22049" t="s">
        <v>309</v>
      </c>
      <c r="F22049" t="s">
        <v>310</v>
      </c>
      <c r="G22049">
        <v>3.48</v>
      </c>
      <c r="H22049">
        <v>251001</v>
      </c>
      <c r="I22049">
        <v>4369</v>
      </c>
      <c r="J22049" t="s">
        <v>188</v>
      </c>
      <c r="K22049">
        <v>134.96</v>
      </c>
      <c r="L22049">
        <v>0.71</v>
      </c>
      <c r="M22049">
        <v>13561</v>
      </c>
      <c r="N22049" t="s">
        <v>241</v>
      </c>
      <c r="O22049">
        <v>251020</v>
      </c>
      <c r="P22049">
        <v>2.77</v>
      </c>
    </row>
    <row r="22050" spans="1:16" x14ac:dyDescent="0.25">
      <c r="A22050" t="s">
        <v>3296</v>
      </c>
      <c r="B22050" t="s">
        <v>2931</v>
      </c>
      <c r="C22050">
        <v>13857</v>
      </c>
      <c r="D22050" t="str">
        <f t="shared" si="481"/>
        <v xml:space="preserve">12541020997 </v>
      </c>
      <c r="E22050" t="s">
        <v>309</v>
      </c>
      <c r="F22050" t="s">
        <v>310</v>
      </c>
      <c r="G22050">
        <v>16.399999999999999</v>
      </c>
      <c r="H22050">
        <v>251001</v>
      </c>
      <c r="I22050">
        <v>4369</v>
      </c>
      <c r="J22050" t="s">
        <v>188</v>
      </c>
      <c r="K22050">
        <v>134.96</v>
      </c>
      <c r="L22050">
        <v>3.33</v>
      </c>
      <c r="M22050">
        <v>13801</v>
      </c>
      <c r="N22050" t="s">
        <v>33</v>
      </c>
      <c r="O22050">
        <v>251020</v>
      </c>
      <c r="P22050">
        <v>13.07</v>
      </c>
    </row>
    <row r="22051" spans="1:16" x14ac:dyDescent="0.25">
      <c r="A22051" t="s">
        <v>3296</v>
      </c>
      <c r="B22051" t="s">
        <v>2931</v>
      </c>
      <c r="C22051">
        <v>13857</v>
      </c>
      <c r="D22051" t="str">
        <f t="shared" si="481"/>
        <v xml:space="preserve">12541020997 </v>
      </c>
      <c r="E22051" t="s">
        <v>309</v>
      </c>
      <c r="F22051" t="s">
        <v>310</v>
      </c>
      <c r="G22051">
        <v>14.6</v>
      </c>
      <c r="H22051">
        <v>251001</v>
      </c>
      <c r="I22051">
        <v>4369</v>
      </c>
      <c r="J22051" t="s">
        <v>188</v>
      </c>
      <c r="K22051">
        <v>134.96</v>
      </c>
      <c r="L22051">
        <v>2.97</v>
      </c>
      <c r="M22051">
        <v>13801</v>
      </c>
      <c r="N22051" t="s">
        <v>33</v>
      </c>
      <c r="O22051">
        <v>251020</v>
      </c>
      <c r="P22051">
        <v>11.63</v>
      </c>
    </row>
    <row r="22052" spans="1:16" x14ac:dyDescent="0.25">
      <c r="A22052" t="s">
        <v>3296</v>
      </c>
      <c r="B22052" t="s">
        <v>2931</v>
      </c>
      <c r="C22052">
        <v>13857</v>
      </c>
      <c r="D22052" t="str">
        <f t="shared" si="481"/>
        <v xml:space="preserve">12541020997 </v>
      </c>
      <c r="E22052" t="s">
        <v>309</v>
      </c>
      <c r="F22052" t="s">
        <v>310</v>
      </c>
      <c r="G22052">
        <v>13.35</v>
      </c>
      <c r="H22052">
        <v>251001</v>
      </c>
      <c r="I22052">
        <v>4369</v>
      </c>
      <c r="J22052" t="s">
        <v>188</v>
      </c>
      <c r="K22052">
        <v>134.96</v>
      </c>
      <c r="L22052">
        <v>2.71</v>
      </c>
      <c r="M22052">
        <v>13802</v>
      </c>
      <c r="N22052" t="s">
        <v>34</v>
      </c>
      <c r="O22052">
        <v>251020</v>
      </c>
      <c r="P22052">
        <v>10.64</v>
      </c>
    </row>
    <row r="22053" spans="1:16" x14ac:dyDescent="0.25">
      <c r="A22053" t="s">
        <v>3296</v>
      </c>
      <c r="B22053" t="s">
        <v>2931</v>
      </c>
      <c r="C22053">
        <v>13892</v>
      </c>
      <c r="D22053" t="str">
        <f>"12541020999 "</f>
        <v xml:space="preserve">12541020999 </v>
      </c>
      <c r="E22053" t="s">
        <v>309</v>
      </c>
      <c r="F22053" t="s">
        <v>310</v>
      </c>
      <c r="G22053">
        <v>64.06</v>
      </c>
      <c r="H22053">
        <v>251001</v>
      </c>
      <c r="I22053">
        <v>4369</v>
      </c>
      <c r="J22053" t="s">
        <v>188</v>
      </c>
      <c r="K22053">
        <v>64.06</v>
      </c>
      <c r="L22053">
        <v>13.02</v>
      </c>
      <c r="M22053">
        <v>11801</v>
      </c>
      <c r="N22053" t="s">
        <v>40</v>
      </c>
      <c r="O22053">
        <v>251020</v>
      </c>
      <c r="P22053">
        <v>51.04</v>
      </c>
    </row>
    <row r="22054" spans="1:16" x14ac:dyDescent="0.25">
      <c r="A22054" t="s">
        <v>3296</v>
      </c>
      <c r="B22054" t="s">
        <v>2931</v>
      </c>
      <c r="C22054">
        <v>13950</v>
      </c>
      <c r="D22054" t="str">
        <f>"105576705   "</f>
        <v xml:space="preserve">105576705   </v>
      </c>
      <c r="E22054" t="s">
        <v>309</v>
      </c>
      <c r="F22054" t="s">
        <v>310</v>
      </c>
      <c r="G22054">
        <v>26.36</v>
      </c>
      <c r="H22054">
        <v>251001</v>
      </c>
      <c r="I22054">
        <v>4369</v>
      </c>
      <c r="J22054" t="s">
        <v>188</v>
      </c>
      <c r="K22054">
        <v>26.36</v>
      </c>
      <c r="L22054">
        <v>5.36</v>
      </c>
      <c r="M22054">
        <v>11801</v>
      </c>
      <c r="N22054" t="s">
        <v>40</v>
      </c>
      <c r="O22054">
        <v>251021</v>
      </c>
      <c r="P22054">
        <v>21</v>
      </c>
    </row>
    <row r="22055" spans="1:16" x14ac:dyDescent="0.25">
      <c r="A22055" t="s">
        <v>3296</v>
      </c>
      <c r="B22055" t="s">
        <v>2931</v>
      </c>
      <c r="C22055">
        <v>13955</v>
      </c>
      <c r="D22055" t="str">
        <f>"105576734   "</f>
        <v xml:space="preserve">105576734   </v>
      </c>
      <c r="E22055" t="s">
        <v>309</v>
      </c>
      <c r="F22055" t="s">
        <v>310</v>
      </c>
      <c r="G22055">
        <v>85.65</v>
      </c>
      <c r="H22055">
        <v>251009</v>
      </c>
      <c r="I22055">
        <v>4369</v>
      </c>
      <c r="J22055" t="s">
        <v>188</v>
      </c>
      <c r="K22055">
        <v>85.65</v>
      </c>
      <c r="L22055">
        <v>17.399999999999999</v>
      </c>
      <c r="M22055">
        <v>11801</v>
      </c>
      <c r="N22055" t="s">
        <v>40</v>
      </c>
      <c r="O22055">
        <v>251021</v>
      </c>
      <c r="P22055">
        <v>68.25</v>
      </c>
    </row>
    <row r="22056" spans="1:16" x14ac:dyDescent="0.25">
      <c r="A22056" t="s">
        <v>3296</v>
      </c>
      <c r="B22056" t="s">
        <v>2931</v>
      </c>
      <c r="C22056">
        <v>14013</v>
      </c>
      <c r="D22056" t="str">
        <f>"105576704   "</f>
        <v xml:space="preserve">105576704   </v>
      </c>
      <c r="E22056" t="s">
        <v>309</v>
      </c>
      <c r="F22056" t="s">
        <v>310</v>
      </c>
      <c r="G22056">
        <v>26.36</v>
      </c>
      <c r="H22056">
        <v>251001</v>
      </c>
      <c r="I22056">
        <v>4369</v>
      </c>
      <c r="J22056" t="s">
        <v>188</v>
      </c>
      <c r="K22056">
        <v>26.36</v>
      </c>
      <c r="L22056">
        <v>5.36</v>
      </c>
      <c r="M22056">
        <v>13940</v>
      </c>
      <c r="N22056" t="s">
        <v>14</v>
      </c>
      <c r="O22056">
        <v>251021</v>
      </c>
      <c r="P22056">
        <v>21</v>
      </c>
    </row>
    <row r="22057" spans="1:16" x14ac:dyDescent="0.25">
      <c r="A22057" t="s">
        <v>3296</v>
      </c>
      <c r="B22057" t="s">
        <v>2931</v>
      </c>
      <c r="C22057">
        <v>14765</v>
      </c>
      <c r="D22057" t="str">
        <f t="shared" ref="D22057:D22066" si="482">"12545020839 "</f>
        <v xml:space="preserve">12545020839 </v>
      </c>
      <c r="E22057" t="s">
        <v>309</v>
      </c>
      <c r="F22057" t="s">
        <v>310</v>
      </c>
      <c r="G22057">
        <v>10.17</v>
      </c>
      <c r="H22057">
        <v>251031</v>
      </c>
      <c r="I22057">
        <v>4369</v>
      </c>
      <c r="J22057" t="s">
        <v>188</v>
      </c>
      <c r="K22057">
        <v>95.02</v>
      </c>
      <c r="L22057">
        <v>2.0699999999999998</v>
      </c>
      <c r="M22057">
        <v>17131</v>
      </c>
      <c r="N22057" t="s">
        <v>154</v>
      </c>
      <c r="O22057">
        <v>251106</v>
      </c>
      <c r="P22057">
        <v>8.1</v>
      </c>
    </row>
    <row r="22058" spans="1:16" x14ac:dyDescent="0.25">
      <c r="A22058" t="s">
        <v>3296</v>
      </c>
      <c r="B22058" t="s">
        <v>2931</v>
      </c>
      <c r="C22058">
        <v>14765</v>
      </c>
      <c r="D22058" t="str">
        <f t="shared" si="482"/>
        <v xml:space="preserve">12545020839 </v>
      </c>
      <c r="E22058" t="s">
        <v>309</v>
      </c>
      <c r="F22058" t="s">
        <v>310</v>
      </c>
      <c r="G22058">
        <v>13.55</v>
      </c>
      <c r="H22058">
        <v>251031</v>
      </c>
      <c r="I22058">
        <v>4369</v>
      </c>
      <c r="J22058" t="s">
        <v>188</v>
      </c>
      <c r="K22058">
        <v>95.02</v>
      </c>
      <c r="L22058">
        <v>2.75</v>
      </c>
      <c r="M22058">
        <v>17711</v>
      </c>
      <c r="N22058" t="s">
        <v>155</v>
      </c>
      <c r="O22058">
        <v>251106</v>
      </c>
      <c r="P22058">
        <v>10.8</v>
      </c>
    </row>
    <row r="22059" spans="1:16" x14ac:dyDescent="0.25">
      <c r="A22059" t="s">
        <v>3296</v>
      </c>
      <c r="B22059" t="s">
        <v>2931</v>
      </c>
      <c r="C22059">
        <v>14765</v>
      </c>
      <c r="D22059" t="str">
        <f t="shared" si="482"/>
        <v xml:space="preserve">12545020839 </v>
      </c>
      <c r="E22059" t="s">
        <v>309</v>
      </c>
      <c r="F22059" t="s">
        <v>310</v>
      </c>
      <c r="G22059">
        <v>6.78</v>
      </c>
      <c r="H22059">
        <v>251031</v>
      </c>
      <c r="I22059">
        <v>4369</v>
      </c>
      <c r="J22059" t="s">
        <v>188</v>
      </c>
      <c r="K22059">
        <v>95.02</v>
      </c>
      <c r="L22059">
        <v>1.38</v>
      </c>
      <c r="M22059">
        <v>17737</v>
      </c>
      <c r="N22059" t="s">
        <v>156</v>
      </c>
      <c r="O22059">
        <v>251106</v>
      </c>
      <c r="P22059">
        <v>5.4</v>
      </c>
    </row>
    <row r="22060" spans="1:16" x14ac:dyDescent="0.25">
      <c r="A22060" t="s">
        <v>3296</v>
      </c>
      <c r="B22060" t="s">
        <v>2931</v>
      </c>
      <c r="C22060">
        <v>14765</v>
      </c>
      <c r="D22060" t="str">
        <f t="shared" si="482"/>
        <v xml:space="preserve">12545020839 </v>
      </c>
      <c r="E22060" t="s">
        <v>309</v>
      </c>
      <c r="F22060" t="s">
        <v>310</v>
      </c>
      <c r="G22060">
        <v>13.55</v>
      </c>
      <c r="H22060">
        <v>251031</v>
      </c>
      <c r="I22060">
        <v>4369</v>
      </c>
      <c r="J22060" t="s">
        <v>188</v>
      </c>
      <c r="K22060">
        <v>95.02</v>
      </c>
      <c r="L22060">
        <v>2.75</v>
      </c>
      <c r="M22060">
        <v>17737</v>
      </c>
      <c r="N22060" t="s">
        <v>156</v>
      </c>
      <c r="O22060">
        <v>251106</v>
      </c>
      <c r="P22060">
        <v>10.8</v>
      </c>
    </row>
    <row r="22061" spans="1:16" x14ac:dyDescent="0.25">
      <c r="A22061" t="s">
        <v>3296</v>
      </c>
      <c r="B22061" t="s">
        <v>2931</v>
      </c>
      <c r="C22061">
        <v>14765</v>
      </c>
      <c r="D22061" t="str">
        <f t="shared" si="482"/>
        <v xml:space="preserve">12545020839 </v>
      </c>
      <c r="E22061" t="s">
        <v>309</v>
      </c>
      <c r="F22061" t="s">
        <v>310</v>
      </c>
      <c r="G22061">
        <v>16.760000000000002</v>
      </c>
      <c r="H22061">
        <v>251031</v>
      </c>
      <c r="I22061">
        <v>4369</v>
      </c>
      <c r="J22061" t="s">
        <v>188</v>
      </c>
      <c r="K22061">
        <v>95.02</v>
      </c>
      <c r="L22061">
        <v>3.41</v>
      </c>
      <c r="M22061">
        <v>17737</v>
      </c>
      <c r="N22061" t="s">
        <v>156</v>
      </c>
      <c r="O22061">
        <v>251106</v>
      </c>
      <c r="P22061">
        <v>13.35</v>
      </c>
    </row>
    <row r="22062" spans="1:16" x14ac:dyDescent="0.25">
      <c r="A22062" t="s">
        <v>3296</v>
      </c>
      <c r="B22062" t="s">
        <v>2931</v>
      </c>
      <c r="C22062">
        <v>14765</v>
      </c>
      <c r="D22062" t="str">
        <f t="shared" si="482"/>
        <v xml:space="preserve">12545020839 </v>
      </c>
      <c r="E22062" t="s">
        <v>309</v>
      </c>
      <c r="F22062" t="s">
        <v>310</v>
      </c>
      <c r="G22062">
        <v>3.39</v>
      </c>
      <c r="H22062">
        <v>251031</v>
      </c>
      <c r="I22062">
        <v>4369</v>
      </c>
      <c r="J22062" t="s">
        <v>188</v>
      </c>
      <c r="K22062">
        <v>95.02</v>
      </c>
      <c r="L22062">
        <v>0.69</v>
      </c>
      <c r="M22062">
        <v>17912</v>
      </c>
      <c r="N22062" t="s">
        <v>505</v>
      </c>
      <c r="O22062">
        <v>251106</v>
      </c>
      <c r="P22062">
        <v>2.7</v>
      </c>
    </row>
    <row r="22063" spans="1:16" x14ac:dyDescent="0.25">
      <c r="A22063" t="s">
        <v>3296</v>
      </c>
      <c r="B22063" t="s">
        <v>2931</v>
      </c>
      <c r="C22063">
        <v>14765</v>
      </c>
      <c r="D22063" t="str">
        <f t="shared" si="482"/>
        <v xml:space="preserve">12545020839 </v>
      </c>
      <c r="E22063" t="s">
        <v>309</v>
      </c>
      <c r="F22063" t="s">
        <v>310</v>
      </c>
      <c r="G22063">
        <v>3.39</v>
      </c>
      <c r="H22063">
        <v>251031</v>
      </c>
      <c r="I22063">
        <v>4369</v>
      </c>
      <c r="J22063" t="s">
        <v>188</v>
      </c>
      <c r="K22063">
        <v>95.02</v>
      </c>
      <c r="L22063">
        <v>0.69</v>
      </c>
      <c r="M22063">
        <v>17915</v>
      </c>
      <c r="N22063" t="s">
        <v>305</v>
      </c>
      <c r="O22063">
        <v>251106</v>
      </c>
      <c r="P22063">
        <v>2.7</v>
      </c>
    </row>
    <row r="22064" spans="1:16" x14ac:dyDescent="0.25">
      <c r="A22064" t="s">
        <v>3296</v>
      </c>
      <c r="B22064" t="s">
        <v>2931</v>
      </c>
      <c r="C22064">
        <v>14765</v>
      </c>
      <c r="D22064" t="str">
        <f t="shared" si="482"/>
        <v xml:space="preserve">12545020839 </v>
      </c>
      <c r="E22064" t="s">
        <v>309</v>
      </c>
      <c r="F22064" t="s">
        <v>310</v>
      </c>
      <c r="G22064">
        <v>13.55</v>
      </c>
      <c r="H22064">
        <v>251031</v>
      </c>
      <c r="I22064">
        <v>4369</v>
      </c>
      <c r="J22064" t="s">
        <v>188</v>
      </c>
      <c r="K22064">
        <v>95.02</v>
      </c>
      <c r="L22064">
        <v>2.75</v>
      </c>
      <c r="M22064">
        <v>17952</v>
      </c>
      <c r="N22064" t="s">
        <v>157</v>
      </c>
      <c r="O22064">
        <v>251106</v>
      </c>
      <c r="P22064">
        <v>10.8</v>
      </c>
    </row>
    <row r="22065" spans="1:16" x14ac:dyDescent="0.25">
      <c r="A22065" t="s">
        <v>3296</v>
      </c>
      <c r="B22065" t="s">
        <v>2931</v>
      </c>
      <c r="C22065">
        <v>14765</v>
      </c>
      <c r="D22065" t="str">
        <f t="shared" si="482"/>
        <v xml:space="preserve">12545020839 </v>
      </c>
      <c r="E22065" t="s">
        <v>309</v>
      </c>
      <c r="F22065" t="s">
        <v>310</v>
      </c>
      <c r="G22065">
        <v>7.1</v>
      </c>
      <c r="H22065">
        <v>251031</v>
      </c>
      <c r="I22065">
        <v>4369</v>
      </c>
      <c r="J22065" t="s">
        <v>188</v>
      </c>
      <c r="K22065">
        <v>95.02</v>
      </c>
      <c r="L22065">
        <v>1.44</v>
      </c>
      <c r="M22065">
        <v>17971</v>
      </c>
      <c r="N22065" t="s">
        <v>27</v>
      </c>
      <c r="O22065">
        <v>251106</v>
      </c>
      <c r="P22065">
        <v>5.66</v>
      </c>
    </row>
    <row r="22066" spans="1:16" x14ac:dyDescent="0.25">
      <c r="A22066" t="s">
        <v>3296</v>
      </c>
      <c r="B22066" t="s">
        <v>2931</v>
      </c>
      <c r="C22066">
        <v>14765</v>
      </c>
      <c r="D22066" t="str">
        <f t="shared" si="482"/>
        <v xml:space="preserve">12545020839 </v>
      </c>
      <c r="E22066" t="s">
        <v>309</v>
      </c>
      <c r="F22066" t="s">
        <v>310</v>
      </c>
      <c r="G22066">
        <v>6.78</v>
      </c>
      <c r="H22066">
        <v>251031</v>
      </c>
      <c r="I22066">
        <v>4369</v>
      </c>
      <c r="J22066" t="s">
        <v>188</v>
      </c>
      <c r="K22066">
        <v>95.02</v>
      </c>
      <c r="L22066">
        <v>1.38</v>
      </c>
      <c r="M22066">
        <v>17972</v>
      </c>
      <c r="N22066" t="s">
        <v>28</v>
      </c>
      <c r="O22066">
        <v>251106</v>
      </c>
      <c r="P22066">
        <v>5.4</v>
      </c>
    </row>
    <row r="22067" spans="1:16" x14ac:dyDescent="0.25">
      <c r="A22067" t="s">
        <v>3296</v>
      </c>
      <c r="B22067" t="s">
        <v>2931</v>
      </c>
      <c r="C22067">
        <v>14770</v>
      </c>
      <c r="D22067" t="str">
        <f t="shared" ref="D22067:D22083" si="483">"12545020816 "</f>
        <v xml:space="preserve">12545020816 </v>
      </c>
      <c r="E22067" t="s">
        <v>309</v>
      </c>
      <c r="F22067" t="s">
        <v>310</v>
      </c>
      <c r="G22067">
        <v>4.25</v>
      </c>
      <c r="H22067">
        <v>251031</v>
      </c>
      <c r="I22067">
        <v>4369</v>
      </c>
      <c r="J22067" t="s">
        <v>188</v>
      </c>
      <c r="K22067">
        <v>294.3</v>
      </c>
      <c r="L22067">
        <v>0.86</v>
      </c>
      <c r="M22067">
        <v>54422</v>
      </c>
      <c r="N22067" t="s">
        <v>49</v>
      </c>
      <c r="O22067">
        <v>251106</v>
      </c>
      <c r="P22067">
        <v>3.39</v>
      </c>
    </row>
    <row r="22068" spans="1:16" x14ac:dyDescent="0.25">
      <c r="A22068" t="s">
        <v>3296</v>
      </c>
      <c r="B22068" t="s">
        <v>2931</v>
      </c>
      <c r="C22068">
        <v>14770</v>
      </c>
      <c r="D22068" t="str">
        <f t="shared" si="483"/>
        <v xml:space="preserve">12545020816 </v>
      </c>
      <c r="E22068" t="s">
        <v>309</v>
      </c>
      <c r="F22068" t="s">
        <v>310</v>
      </c>
      <c r="G22068">
        <v>3.39</v>
      </c>
      <c r="H22068">
        <v>251031</v>
      </c>
      <c r="I22068">
        <v>4369</v>
      </c>
      <c r="J22068" t="s">
        <v>188</v>
      </c>
      <c r="K22068">
        <v>294.3</v>
      </c>
      <c r="L22068">
        <v>0.69</v>
      </c>
      <c r="M22068">
        <v>54451</v>
      </c>
      <c r="N22068" t="s">
        <v>218</v>
      </c>
      <c r="O22068">
        <v>251106</v>
      </c>
      <c r="P22068">
        <v>2.7</v>
      </c>
    </row>
    <row r="22069" spans="1:16" x14ac:dyDescent="0.25">
      <c r="A22069" t="s">
        <v>3296</v>
      </c>
      <c r="B22069" t="s">
        <v>2931</v>
      </c>
      <c r="C22069">
        <v>14770</v>
      </c>
      <c r="D22069" t="str">
        <f t="shared" si="483"/>
        <v xml:space="preserve">12545020816 </v>
      </c>
      <c r="E22069" t="s">
        <v>309</v>
      </c>
      <c r="F22069" t="s">
        <v>310</v>
      </c>
      <c r="G22069">
        <v>3.39</v>
      </c>
      <c r="H22069">
        <v>251031</v>
      </c>
      <c r="I22069">
        <v>4369</v>
      </c>
      <c r="J22069" t="s">
        <v>188</v>
      </c>
      <c r="K22069">
        <v>294.3</v>
      </c>
      <c r="L22069">
        <v>0.69</v>
      </c>
      <c r="M22069">
        <v>56566</v>
      </c>
      <c r="N22069" t="s">
        <v>58</v>
      </c>
      <c r="O22069">
        <v>251106</v>
      </c>
      <c r="P22069">
        <v>2.7</v>
      </c>
    </row>
    <row r="22070" spans="1:16" x14ac:dyDescent="0.25">
      <c r="A22070" t="s">
        <v>3296</v>
      </c>
      <c r="B22070" t="s">
        <v>2931</v>
      </c>
      <c r="C22070">
        <v>14770</v>
      </c>
      <c r="D22070" t="str">
        <f t="shared" si="483"/>
        <v xml:space="preserve">12545020816 </v>
      </c>
      <c r="E22070" t="s">
        <v>309</v>
      </c>
      <c r="F22070" t="s">
        <v>310</v>
      </c>
      <c r="G22070">
        <v>32.76</v>
      </c>
      <c r="H22070">
        <v>251031</v>
      </c>
      <c r="I22070">
        <v>4369</v>
      </c>
      <c r="J22070" t="s">
        <v>188</v>
      </c>
      <c r="K22070">
        <v>294.3</v>
      </c>
      <c r="L22070">
        <v>6.66</v>
      </c>
      <c r="M22070">
        <v>59111</v>
      </c>
      <c r="N22070" t="s">
        <v>60</v>
      </c>
      <c r="O22070">
        <v>251106</v>
      </c>
      <c r="P22070">
        <v>26.1</v>
      </c>
    </row>
    <row r="22071" spans="1:16" x14ac:dyDescent="0.25">
      <c r="A22071" t="s">
        <v>3296</v>
      </c>
      <c r="B22071" t="s">
        <v>2931</v>
      </c>
      <c r="C22071">
        <v>14770</v>
      </c>
      <c r="D22071" t="str">
        <f t="shared" si="483"/>
        <v xml:space="preserve">12545020816 </v>
      </c>
      <c r="E22071" t="s">
        <v>309</v>
      </c>
      <c r="F22071" t="s">
        <v>310</v>
      </c>
      <c r="G22071">
        <v>10.17</v>
      </c>
      <c r="H22071">
        <v>251031</v>
      </c>
      <c r="I22071">
        <v>4369</v>
      </c>
      <c r="J22071" t="s">
        <v>188</v>
      </c>
      <c r="K22071">
        <v>294.3</v>
      </c>
      <c r="L22071">
        <v>2.0699999999999998</v>
      </c>
      <c r="M22071">
        <v>59113</v>
      </c>
      <c r="N22071" t="s">
        <v>61</v>
      </c>
      <c r="O22071">
        <v>251106</v>
      </c>
      <c r="P22071">
        <v>8.1</v>
      </c>
    </row>
    <row r="22072" spans="1:16" x14ac:dyDescent="0.25">
      <c r="A22072" t="s">
        <v>3296</v>
      </c>
      <c r="B22072" t="s">
        <v>2931</v>
      </c>
      <c r="C22072">
        <v>14770</v>
      </c>
      <c r="D22072" t="str">
        <f t="shared" si="483"/>
        <v xml:space="preserve">12545020816 </v>
      </c>
      <c r="E22072" t="s">
        <v>309</v>
      </c>
      <c r="F22072" t="s">
        <v>310</v>
      </c>
      <c r="G22072">
        <v>3.5</v>
      </c>
      <c r="H22072">
        <v>251031</v>
      </c>
      <c r="I22072">
        <v>4369</v>
      </c>
      <c r="J22072" t="s">
        <v>188</v>
      </c>
      <c r="K22072">
        <v>294.3</v>
      </c>
      <c r="L22072">
        <v>0.71</v>
      </c>
      <c r="M22072">
        <v>59114</v>
      </c>
      <c r="N22072" t="s">
        <v>299</v>
      </c>
      <c r="O22072">
        <v>251106</v>
      </c>
      <c r="P22072">
        <v>2.79</v>
      </c>
    </row>
    <row r="22073" spans="1:16" x14ac:dyDescent="0.25">
      <c r="A22073" t="s">
        <v>3296</v>
      </c>
      <c r="B22073" t="s">
        <v>2931</v>
      </c>
      <c r="C22073">
        <v>14770</v>
      </c>
      <c r="D22073" t="str">
        <f t="shared" si="483"/>
        <v xml:space="preserve">12545020816 </v>
      </c>
      <c r="E22073" t="s">
        <v>309</v>
      </c>
      <c r="F22073" t="s">
        <v>310</v>
      </c>
      <c r="G22073">
        <v>85.63</v>
      </c>
      <c r="H22073">
        <v>251031</v>
      </c>
      <c r="I22073">
        <v>4369</v>
      </c>
      <c r="J22073" t="s">
        <v>188</v>
      </c>
      <c r="K22073">
        <v>294.3</v>
      </c>
      <c r="L22073">
        <v>17.399999999999999</v>
      </c>
      <c r="M22073">
        <v>59501</v>
      </c>
      <c r="N22073" t="s">
        <v>62</v>
      </c>
      <c r="O22073">
        <v>251106</v>
      </c>
      <c r="P22073">
        <v>68.23</v>
      </c>
    </row>
    <row r="22074" spans="1:16" x14ac:dyDescent="0.25">
      <c r="A22074" t="s">
        <v>3296</v>
      </c>
      <c r="B22074" t="s">
        <v>2931</v>
      </c>
      <c r="C22074">
        <v>14770</v>
      </c>
      <c r="D22074" t="str">
        <f t="shared" si="483"/>
        <v xml:space="preserve">12545020816 </v>
      </c>
      <c r="E22074" t="s">
        <v>309</v>
      </c>
      <c r="F22074" t="s">
        <v>310</v>
      </c>
      <c r="G22074">
        <v>40.03</v>
      </c>
      <c r="H22074">
        <v>251031</v>
      </c>
      <c r="I22074">
        <v>4369</v>
      </c>
      <c r="J22074" t="s">
        <v>188</v>
      </c>
      <c r="K22074">
        <v>294.3</v>
      </c>
      <c r="L22074">
        <v>8.1300000000000008</v>
      </c>
      <c r="M22074">
        <v>59502</v>
      </c>
      <c r="N22074" t="s">
        <v>63</v>
      </c>
      <c r="O22074">
        <v>251106</v>
      </c>
      <c r="P22074">
        <v>31.9</v>
      </c>
    </row>
    <row r="22075" spans="1:16" x14ac:dyDescent="0.25">
      <c r="A22075" t="s">
        <v>3296</v>
      </c>
      <c r="B22075" t="s">
        <v>2931</v>
      </c>
      <c r="C22075">
        <v>14770</v>
      </c>
      <c r="D22075" t="str">
        <f t="shared" si="483"/>
        <v xml:space="preserve">12545020816 </v>
      </c>
      <c r="E22075" t="s">
        <v>309</v>
      </c>
      <c r="F22075" t="s">
        <v>310</v>
      </c>
      <c r="G22075">
        <v>10.17</v>
      </c>
      <c r="H22075">
        <v>251031</v>
      </c>
      <c r="I22075">
        <v>4369</v>
      </c>
      <c r="J22075" t="s">
        <v>188</v>
      </c>
      <c r="K22075">
        <v>294.3</v>
      </c>
      <c r="L22075">
        <v>2.0699999999999998</v>
      </c>
      <c r="M22075">
        <v>59504</v>
      </c>
      <c r="N22075" t="s">
        <v>193</v>
      </c>
      <c r="O22075">
        <v>251106</v>
      </c>
      <c r="P22075">
        <v>8.1</v>
      </c>
    </row>
    <row r="22076" spans="1:16" x14ac:dyDescent="0.25">
      <c r="A22076" t="s">
        <v>3296</v>
      </c>
      <c r="B22076" t="s">
        <v>2931</v>
      </c>
      <c r="C22076">
        <v>14770</v>
      </c>
      <c r="D22076" t="str">
        <f t="shared" si="483"/>
        <v xml:space="preserve">12545020816 </v>
      </c>
      <c r="E22076" t="s">
        <v>309</v>
      </c>
      <c r="F22076" t="s">
        <v>310</v>
      </c>
      <c r="G22076">
        <v>6.78</v>
      </c>
      <c r="H22076">
        <v>251031</v>
      </c>
      <c r="I22076">
        <v>4369</v>
      </c>
      <c r="J22076" t="s">
        <v>188</v>
      </c>
      <c r="K22076">
        <v>294.3</v>
      </c>
      <c r="L22076">
        <v>1.38</v>
      </c>
      <c r="M22076">
        <v>59505</v>
      </c>
      <c r="N22076" t="s">
        <v>194</v>
      </c>
      <c r="O22076">
        <v>251106</v>
      </c>
      <c r="P22076">
        <v>5.4</v>
      </c>
    </row>
    <row r="22077" spans="1:16" x14ac:dyDescent="0.25">
      <c r="A22077" t="s">
        <v>3296</v>
      </c>
      <c r="B22077" t="s">
        <v>2931</v>
      </c>
      <c r="C22077">
        <v>14770</v>
      </c>
      <c r="D22077" t="str">
        <f t="shared" si="483"/>
        <v xml:space="preserve">12545020816 </v>
      </c>
      <c r="E22077" t="s">
        <v>309</v>
      </c>
      <c r="F22077" t="s">
        <v>310</v>
      </c>
      <c r="G22077">
        <v>13.73</v>
      </c>
      <c r="H22077">
        <v>251031</v>
      </c>
      <c r="I22077">
        <v>4369</v>
      </c>
      <c r="J22077" t="s">
        <v>188</v>
      </c>
      <c r="K22077">
        <v>294.3</v>
      </c>
      <c r="L22077">
        <v>2.79</v>
      </c>
      <c r="M22077">
        <v>59701</v>
      </c>
      <c r="N22077" t="s">
        <v>64</v>
      </c>
      <c r="O22077">
        <v>251106</v>
      </c>
      <c r="P22077">
        <v>10.94</v>
      </c>
    </row>
    <row r="22078" spans="1:16" x14ac:dyDescent="0.25">
      <c r="A22078" t="s">
        <v>3296</v>
      </c>
      <c r="B22078" t="s">
        <v>2931</v>
      </c>
      <c r="C22078">
        <v>14770</v>
      </c>
      <c r="D22078" t="str">
        <f t="shared" si="483"/>
        <v xml:space="preserve">12545020816 </v>
      </c>
      <c r="E22078" t="s">
        <v>309</v>
      </c>
      <c r="F22078" t="s">
        <v>310</v>
      </c>
      <c r="G22078">
        <v>21.44</v>
      </c>
      <c r="H22078">
        <v>251031</v>
      </c>
      <c r="I22078">
        <v>4369</v>
      </c>
      <c r="J22078" t="s">
        <v>188</v>
      </c>
      <c r="K22078">
        <v>294.3</v>
      </c>
      <c r="L22078">
        <v>4.3600000000000003</v>
      </c>
      <c r="M22078">
        <v>59702</v>
      </c>
      <c r="N22078" t="s">
        <v>45</v>
      </c>
      <c r="O22078">
        <v>251106</v>
      </c>
      <c r="P22078">
        <v>17.079999999999998</v>
      </c>
    </row>
    <row r="22079" spans="1:16" x14ac:dyDescent="0.25">
      <c r="A22079" t="s">
        <v>3296</v>
      </c>
      <c r="B22079" t="s">
        <v>2931</v>
      </c>
      <c r="C22079">
        <v>14770</v>
      </c>
      <c r="D22079" t="str">
        <f t="shared" si="483"/>
        <v xml:space="preserve">12545020816 </v>
      </c>
      <c r="E22079" t="s">
        <v>309</v>
      </c>
      <c r="F22079" t="s">
        <v>310</v>
      </c>
      <c r="G22079">
        <v>6.59</v>
      </c>
      <c r="H22079">
        <v>251031</v>
      </c>
      <c r="I22079">
        <v>4369</v>
      </c>
      <c r="J22079" t="s">
        <v>188</v>
      </c>
      <c r="K22079">
        <v>294.3</v>
      </c>
      <c r="L22079">
        <v>1.34</v>
      </c>
      <c r="M22079">
        <v>59704</v>
      </c>
      <c r="N22079" t="s">
        <v>46</v>
      </c>
      <c r="O22079">
        <v>251106</v>
      </c>
      <c r="P22079">
        <v>5.25</v>
      </c>
    </row>
    <row r="22080" spans="1:16" x14ac:dyDescent="0.25">
      <c r="A22080" t="s">
        <v>3296</v>
      </c>
      <c r="B22080" t="s">
        <v>2931</v>
      </c>
      <c r="C22080">
        <v>14770</v>
      </c>
      <c r="D22080" t="str">
        <f t="shared" si="483"/>
        <v xml:space="preserve">12545020816 </v>
      </c>
      <c r="E22080" t="s">
        <v>309</v>
      </c>
      <c r="F22080" t="s">
        <v>310</v>
      </c>
      <c r="G22080">
        <v>3.39</v>
      </c>
      <c r="H22080">
        <v>251031</v>
      </c>
      <c r="I22080">
        <v>4369</v>
      </c>
      <c r="J22080" t="s">
        <v>188</v>
      </c>
      <c r="K22080">
        <v>294.3</v>
      </c>
      <c r="L22080">
        <v>0.69</v>
      </c>
      <c r="M22080">
        <v>59705</v>
      </c>
      <c r="N22080" t="s">
        <v>47</v>
      </c>
      <c r="O22080">
        <v>251106</v>
      </c>
      <c r="P22080">
        <v>2.7</v>
      </c>
    </row>
    <row r="22081" spans="1:16" x14ac:dyDescent="0.25">
      <c r="A22081" t="s">
        <v>3296</v>
      </c>
      <c r="B22081" t="s">
        <v>2931</v>
      </c>
      <c r="C22081">
        <v>14770</v>
      </c>
      <c r="D22081" t="str">
        <f t="shared" si="483"/>
        <v xml:space="preserve">12545020816 </v>
      </c>
      <c r="E22081" t="s">
        <v>309</v>
      </c>
      <c r="F22081" t="s">
        <v>310</v>
      </c>
      <c r="G22081">
        <v>19.95</v>
      </c>
      <c r="H22081">
        <v>251031</v>
      </c>
      <c r="I22081">
        <v>4369</v>
      </c>
      <c r="J22081" t="s">
        <v>188</v>
      </c>
      <c r="K22081">
        <v>294.3</v>
      </c>
      <c r="L22081">
        <v>4.05</v>
      </c>
      <c r="M22081">
        <v>59802</v>
      </c>
      <c r="N22081" t="s">
        <v>195</v>
      </c>
      <c r="O22081">
        <v>251106</v>
      </c>
      <c r="P22081">
        <v>15.9</v>
      </c>
    </row>
    <row r="22082" spans="1:16" x14ac:dyDescent="0.25">
      <c r="A22082" t="s">
        <v>3296</v>
      </c>
      <c r="B22082" t="s">
        <v>2931</v>
      </c>
      <c r="C22082">
        <v>14770</v>
      </c>
      <c r="D22082" t="str">
        <f t="shared" si="483"/>
        <v xml:space="preserve">12545020816 </v>
      </c>
      <c r="E22082" t="s">
        <v>309</v>
      </c>
      <c r="F22082" t="s">
        <v>310</v>
      </c>
      <c r="G22082">
        <v>25.75</v>
      </c>
      <c r="H22082">
        <v>251031</v>
      </c>
      <c r="I22082">
        <v>4369</v>
      </c>
      <c r="J22082" t="s">
        <v>188</v>
      </c>
      <c r="K22082">
        <v>294.3</v>
      </c>
      <c r="L22082">
        <v>5.23</v>
      </c>
      <c r="M22082">
        <v>59812</v>
      </c>
      <c r="N22082" t="s">
        <v>196</v>
      </c>
      <c r="O22082">
        <v>251106</v>
      </c>
      <c r="P22082">
        <v>20.52</v>
      </c>
    </row>
    <row r="22083" spans="1:16" x14ac:dyDescent="0.25">
      <c r="A22083" t="s">
        <v>3296</v>
      </c>
      <c r="B22083" t="s">
        <v>2931</v>
      </c>
      <c r="C22083">
        <v>14770</v>
      </c>
      <c r="D22083" t="str">
        <f t="shared" si="483"/>
        <v xml:space="preserve">12545020816 </v>
      </c>
      <c r="E22083" t="s">
        <v>309</v>
      </c>
      <c r="F22083" t="s">
        <v>310</v>
      </c>
      <c r="G22083">
        <v>3.38</v>
      </c>
      <c r="H22083">
        <v>251031</v>
      </c>
      <c r="I22083">
        <v>4369</v>
      </c>
      <c r="J22083" t="s">
        <v>188</v>
      </c>
      <c r="K22083">
        <v>294.3</v>
      </c>
      <c r="L22083">
        <v>0.69</v>
      </c>
      <c r="M22083">
        <v>59815</v>
      </c>
      <c r="N22083" t="s">
        <v>1001</v>
      </c>
      <c r="O22083">
        <v>251106</v>
      </c>
      <c r="P22083">
        <v>2.69</v>
      </c>
    </row>
    <row r="22084" spans="1:16" x14ac:dyDescent="0.25">
      <c r="A22084" t="s">
        <v>3296</v>
      </c>
      <c r="B22084" t="s">
        <v>2931</v>
      </c>
      <c r="C22084">
        <v>14772</v>
      </c>
      <c r="D22084" t="str">
        <f>"12545020818 "</f>
        <v xml:space="preserve">12545020818 </v>
      </c>
      <c r="E22084" t="s">
        <v>309</v>
      </c>
      <c r="F22084" t="s">
        <v>310</v>
      </c>
      <c r="G22084">
        <v>3.39</v>
      </c>
      <c r="H22084">
        <v>251031</v>
      </c>
      <c r="I22084">
        <v>4369</v>
      </c>
      <c r="J22084" t="s">
        <v>188</v>
      </c>
      <c r="K22084">
        <v>35.54</v>
      </c>
      <c r="L22084">
        <v>0</v>
      </c>
      <c r="M22084">
        <v>59702</v>
      </c>
      <c r="N22084" t="s">
        <v>45</v>
      </c>
      <c r="O22084">
        <v>251106</v>
      </c>
      <c r="P22084">
        <v>3.39</v>
      </c>
    </row>
    <row r="22085" spans="1:16" x14ac:dyDescent="0.25">
      <c r="A22085" t="s">
        <v>3296</v>
      </c>
      <c r="B22085" t="s">
        <v>2931</v>
      </c>
      <c r="C22085">
        <v>14772</v>
      </c>
      <c r="D22085" t="str">
        <f>"12545020818 "</f>
        <v xml:space="preserve">12545020818 </v>
      </c>
      <c r="E22085" t="s">
        <v>309</v>
      </c>
      <c r="F22085" t="s">
        <v>310</v>
      </c>
      <c r="G22085">
        <v>22.18</v>
      </c>
      <c r="H22085">
        <v>251031</v>
      </c>
      <c r="I22085">
        <v>4369</v>
      </c>
      <c r="J22085" t="s">
        <v>188</v>
      </c>
      <c r="K22085">
        <v>35.54</v>
      </c>
      <c r="L22085">
        <v>4.51</v>
      </c>
      <c r="M22085">
        <v>59702</v>
      </c>
      <c r="N22085" t="s">
        <v>45</v>
      </c>
      <c r="O22085">
        <v>251106</v>
      </c>
      <c r="P22085">
        <v>17.670000000000002</v>
      </c>
    </row>
    <row r="22086" spans="1:16" x14ac:dyDescent="0.25">
      <c r="A22086" t="s">
        <v>3296</v>
      </c>
      <c r="B22086" t="s">
        <v>2931</v>
      </c>
      <c r="C22086">
        <v>14772</v>
      </c>
      <c r="D22086" t="str">
        <f>"12545020818 "</f>
        <v xml:space="preserve">12545020818 </v>
      </c>
      <c r="E22086" t="s">
        <v>309</v>
      </c>
      <c r="F22086" t="s">
        <v>310</v>
      </c>
      <c r="G22086">
        <v>9.9700000000000006</v>
      </c>
      <c r="H22086">
        <v>251031</v>
      </c>
      <c r="I22086">
        <v>4369</v>
      </c>
      <c r="J22086" t="s">
        <v>188</v>
      </c>
      <c r="K22086">
        <v>35.54</v>
      </c>
      <c r="L22086">
        <v>2.0299999999999998</v>
      </c>
      <c r="M22086">
        <v>59704</v>
      </c>
      <c r="N22086" t="s">
        <v>46</v>
      </c>
      <c r="O22086">
        <v>251106</v>
      </c>
      <c r="P22086">
        <v>7.94</v>
      </c>
    </row>
    <row r="22087" spans="1:16" x14ac:dyDescent="0.25">
      <c r="A22087" t="s">
        <v>3296</v>
      </c>
      <c r="B22087" t="s">
        <v>2931</v>
      </c>
      <c r="C22087">
        <v>14775</v>
      </c>
      <c r="D22087" t="str">
        <f>"12545020833 "</f>
        <v xml:space="preserve">12545020833 </v>
      </c>
      <c r="E22087" t="s">
        <v>309</v>
      </c>
      <c r="F22087" t="s">
        <v>310</v>
      </c>
      <c r="G22087">
        <v>6.95</v>
      </c>
      <c r="H22087">
        <v>251031</v>
      </c>
      <c r="I22087">
        <v>4369</v>
      </c>
      <c r="J22087" t="s">
        <v>188</v>
      </c>
      <c r="K22087">
        <v>6.95</v>
      </c>
      <c r="L22087">
        <v>1.41</v>
      </c>
      <c r="M22087">
        <v>49112</v>
      </c>
      <c r="N22087" t="s">
        <v>109</v>
      </c>
      <c r="O22087">
        <v>251106</v>
      </c>
      <c r="P22087">
        <v>5.54</v>
      </c>
    </row>
    <row r="22088" spans="1:16" x14ac:dyDescent="0.25">
      <c r="A22088" t="s">
        <v>3296</v>
      </c>
      <c r="B22088" t="s">
        <v>2931</v>
      </c>
      <c r="C22088">
        <v>14780</v>
      </c>
      <c r="D22088" t="str">
        <f t="shared" ref="D22088:D22093" si="484">"12545020830 "</f>
        <v xml:space="preserve">12545020830 </v>
      </c>
      <c r="E22088" t="s">
        <v>309</v>
      </c>
      <c r="F22088" t="s">
        <v>310</v>
      </c>
      <c r="G22088">
        <v>10.17</v>
      </c>
      <c r="H22088">
        <v>251031</v>
      </c>
      <c r="I22088">
        <v>4369</v>
      </c>
      <c r="J22088" t="s">
        <v>188</v>
      </c>
      <c r="K22088">
        <v>47.72</v>
      </c>
      <c r="L22088">
        <v>2.0699999999999998</v>
      </c>
      <c r="M22088">
        <v>43222</v>
      </c>
      <c r="N22088" t="s">
        <v>95</v>
      </c>
      <c r="O22088">
        <v>251106</v>
      </c>
      <c r="P22088">
        <v>8.1</v>
      </c>
    </row>
    <row r="22089" spans="1:16" x14ac:dyDescent="0.25">
      <c r="A22089" t="s">
        <v>3296</v>
      </c>
      <c r="B22089" t="s">
        <v>2931</v>
      </c>
      <c r="C22089">
        <v>14780</v>
      </c>
      <c r="D22089" t="str">
        <f t="shared" si="484"/>
        <v xml:space="preserve">12545020830 </v>
      </c>
      <c r="E22089" t="s">
        <v>309</v>
      </c>
      <c r="F22089" t="s">
        <v>310</v>
      </c>
      <c r="G22089">
        <v>3.39</v>
      </c>
      <c r="H22089">
        <v>251031</v>
      </c>
      <c r="I22089">
        <v>4369</v>
      </c>
      <c r="J22089" t="s">
        <v>188</v>
      </c>
      <c r="K22089">
        <v>47.72</v>
      </c>
      <c r="L22089">
        <v>0.69</v>
      </c>
      <c r="M22089">
        <v>44422</v>
      </c>
      <c r="N22089" t="s">
        <v>97</v>
      </c>
      <c r="O22089">
        <v>251106</v>
      </c>
      <c r="P22089">
        <v>2.7</v>
      </c>
    </row>
    <row r="22090" spans="1:16" x14ac:dyDescent="0.25">
      <c r="A22090" t="s">
        <v>3296</v>
      </c>
      <c r="B22090" t="s">
        <v>2931</v>
      </c>
      <c r="C22090">
        <v>14780</v>
      </c>
      <c r="D22090" t="str">
        <f t="shared" si="484"/>
        <v xml:space="preserve">12545020830 </v>
      </c>
      <c r="E22090" t="s">
        <v>309</v>
      </c>
      <c r="F22090" t="s">
        <v>310</v>
      </c>
      <c r="G22090">
        <v>6.9</v>
      </c>
      <c r="H22090">
        <v>251031</v>
      </c>
      <c r="I22090">
        <v>4369</v>
      </c>
      <c r="J22090" t="s">
        <v>188</v>
      </c>
      <c r="K22090">
        <v>47.72</v>
      </c>
      <c r="L22090">
        <v>1.4</v>
      </c>
      <c r="M22090">
        <v>44423</v>
      </c>
      <c r="N22090" t="s">
        <v>98</v>
      </c>
      <c r="O22090">
        <v>251106</v>
      </c>
      <c r="P22090">
        <v>5.5</v>
      </c>
    </row>
    <row r="22091" spans="1:16" x14ac:dyDescent="0.25">
      <c r="A22091" t="s">
        <v>3296</v>
      </c>
      <c r="B22091" t="s">
        <v>2931</v>
      </c>
      <c r="C22091">
        <v>14780</v>
      </c>
      <c r="D22091" t="str">
        <f t="shared" si="484"/>
        <v xml:space="preserve">12545020830 </v>
      </c>
      <c r="E22091" t="s">
        <v>309</v>
      </c>
      <c r="F22091" t="s">
        <v>310</v>
      </c>
      <c r="G22091">
        <v>3.39</v>
      </c>
      <c r="H22091">
        <v>251031</v>
      </c>
      <c r="I22091">
        <v>4369</v>
      </c>
      <c r="J22091" t="s">
        <v>188</v>
      </c>
      <c r="K22091">
        <v>47.72</v>
      </c>
      <c r="L22091">
        <v>0.69</v>
      </c>
      <c r="M22091">
        <v>44453</v>
      </c>
      <c r="N22091" t="s">
        <v>100</v>
      </c>
      <c r="O22091">
        <v>251106</v>
      </c>
      <c r="P22091">
        <v>2.7</v>
      </c>
    </row>
    <row r="22092" spans="1:16" x14ac:dyDescent="0.25">
      <c r="A22092" t="s">
        <v>3296</v>
      </c>
      <c r="B22092" t="s">
        <v>2931</v>
      </c>
      <c r="C22092">
        <v>14780</v>
      </c>
      <c r="D22092" t="str">
        <f t="shared" si="484"/>
        <v xml:space="preserve">12545020830 </v>
      </c>
      <c r="E22092" t="s">
        <v>309</v>
      </c>
      <c r="F22092" t="s">
        <v>310</v>
      </c>
      <c r="G22092">
        <v>3.39</v>
      </c>
      <c r="H22092">
        <v>251031</v>
      </c>
      <c r="I22092">
        <v>4369</v>
      </c>
      <c r="J22092" t="s">
        <v>188</v>
      </c>
      <c r="K22092">
        <v>47.72</v>
      </c>
      <c r="L22092">
        <v>0.69</v>
      </c>
      <c r="M22092">
        <v>48601</v>
      </c>
      <c r="N22092" t="s">
        <v>107</v>
      </c>
      <c r="O22092">
        <v>251106</v>
      </c>
      <c r="P22092">
        <v>2.7</v>
      </c>
    </row>
    <row r="22093" spans="1:16" x14ac:dyDescent="0.25">
      <c r="A22093" t="s">
        <v>3296</v>
      </c>
      <c r="B22093" t="s">
        <v>2931</v>
      </c>
      <c r="C22093">
        <v>14780</v>
      </c>
      <c r="D22093" t="str">
        <f t="shared" si="484"/>
        <v xml:space="preserve">12545020830 </v>
      </c>
      <c r="E22093" t="s">
        <v>309</v>
      </c>
      <c r="F22093" t="s">
        <v>310</v>
      </c>
      <c r="G22093">
        <v>20.48</v>
      </c>
      <c r="H22093">
        <v>251031</v>
      </c>
      <c r="I22093">
        <v>4369</v>
      </c>
      <c r="J22093" t="s">
        <v>188</v>
      </c>
      <c r="K22093">
        <v>47.72</v>
      </c>
      <c r="L22093">
        <v>4.16</v>
      </c>
      <c r="M22093">
        <v>49702</v>
      </c>
      <c r="N22093" t="s">
        <v>112</v>
      </c>
      <c r="O22093">
        <v>251106</v>
      </c>
      <c r="P22093">
        <v>16.32</v>
      </c>
    </row>
    <row r="22094" spans="1:16" x14ac:dyDescent="0.25">
      <c r="A22094" t="s">
        <v>3296</v>
      </c>
      <c r="B22094" t="s">
        <v>2931</v>
      </c>
      <c r="C22094">
        <v>14782</v>
      </c>
      <c r="D22094" t="str">
        <f>"12545020817 "</f>
        <v xml:space="preserve">12545020817 </v>
      </c>
      <c r="E22094" t="s">
        <v>309</v>
      </c>
      <c r="F22094" t="s">
        <v>310</v>
      </c>
      <c r="G22094">
        <v>3.39</v>
      </c>
      <c r="H22094">
        <v>251031</v>
      </c>
      <c r="I22094">
        <v>4369</v>
      </c>
      <c r="J22094" t="s">
        <v>188</v>
      </c>
      <c r="K22094">
        <v>48.59</v>
      </c>
      <c r="L22094">
        <v>0.69</v>
      </c>
      <c r="M22094">
        <v>56522</v>
      </c>
      <c r="N22094" t="s">
        <v>68</v>
      </c>
      <c r="O22094">
        <v>251106</v>
      </c>
      <c r="P22094">
        <v>2.7</v>
      </c>
    </row>
    <row r="22095" spans="1:16" x14ac:dyDescent="0.25">
      <c r="A22095" t="s">
        <v>3296</v>
      </c>
      <c r="B22095" t="s">
        <v>2931</v>
      </c>
      <c r="C22095">
        <v>14782</v>
      </c>
      <c r="D22095" t="str">
        <f>"12545020817 "</f>
        <v xml:space="preserve">12545020817 </v>
      </c>
      <c r="E22095" t="s">
        <v>309</v>
      </c>
      <c r="F22095" t="s">
        <v>310</v>
      </c>
      <c r="G22095">
        <v>35.04</v>
      </c>
      <c r="H22095">
        <v>251031</v>
      </c>
      <c r="I22095">
        <v>4369</v>
      </c>
      <c r="J22095" t="s">
        <v>188</v>
      </c>
      <c r="K22095">
        <v>48.59</v>
      </c>
      <c r="L22095">
        <v>7.12</v>
      </c>
      <c r="M22095">
        <v>56524</v>
      </c>
      <c r="N22095" t="s">
        <v>69</v>
      </c>
      <c r="O22095">
        <v>251106</v>
      </c>
      <c r="P22095">
        <v>27.92</v>
      </c>
    </row>
    <row r="22096" spans="1:16" x14ac:dyDescent="0.25">
      <c r="A22096" t="s">
        <v>3296</v>
      </c>
      <c r="B22096" t="s">
        <v>2931</v>
      </c>
      <c r="C22096">
        <v>14782</v>
      </c>
      <c r="D22096" t="str">
        <f>"12545020817 "</f>
        <v xml:space="preserve">12545020817 </v>
      </c>
      <c r="E22096" t="s">
        <v>309</v>
      </c>
      <c r="F22096" t="s">
        <v>310</v>
      </c>
      <c r="G22096">
        <v>10.16</v>
      </c>
      <c r="H22096">
        <v>251031</v>
      </c>
      <c r="I22096">
        <v>4369</v>
      </c>
      <c r="J22096" t="s">
        <v>188</v>
      </c>
      <c r="K22096">
        <v>48.59</v>
      </c>
      <c r="L22096">
        <v>2.06</v>
      </c>
      <c r="M22096">
        <v>56528</v>
      </c>
      <c r="N22096" t="s">
        <v>70</v>
      </c>
      <c r="O22096">
        <v>251106</v>
      </c>
      <c r="P22096">
        <v>8.1</v>
      </c>
    </row>
    <row r="22097" spans="1:16" x14ac:dyDescent="0.25">
      <c r="A22097" t="s">
        <v>3296</v>
      </c>
      <c r="B22097" t="s">
        <v>2931</v>
      </c>
      <c r="C22097">
        <v>14784</v>
      </c>
      <c r="D22097" t="str">
        <f>"12545020844 "</f>
        <v xml:space="preserve">12545020844 </v>
      </c>
      <c r="E22097" t="s">
        <v>309</v>
      </c>
      <c r="F22097" t="s">
        <v>310</v>
      </c>
      <c r="G22097">
        <v>63.95</v>
      </c>
      <c r="H22097">
        <v>251031</v>
      </c>
      <c r="I22097">
        <v>4369</v>
      </c>
      <c r="J22097" t="s">
        <v>188</v>
      </c>
      <c r="K22097">
        <v>63.95</v>
      </c>
      <c r="L22097">
        <v>12.99</v>
      </c>
      <c r="M22097">
        <v>11801</v>
      </c>
      <c r="N22097" t="s">
        <v>40</v>
      </c>
      <c r="O22097">
        <v>251106</v>
      </c>
      <c r="P22097">
        <v>50.96</v>
      </c>
    </row>
    <row r="22098" spans="1:16" x14ac:dyDescent="0.25">
      <c r="A22098" t="s">
        <v>3296</v>
      </c>
      <c r="B22098" t="s">
        <v>2931</v>
      </c>
      <c r="C22098">
        <v>14806</v>
      </c>
      <c r="D22098" t="str">
        <f>"12545020831 "</f>
        <v xml:space="preserve">12545020831 </v>
      </c>
      <c r="E22098" t="s">
        <v>309</v>
      </c>
      <c r="F22098" t="s">
        <v>310</v>
      </c>
      <c r="G22098">
        <v>6.81</v>
      </c>
      <c r="H22098">
        <v>251031</v>
      </c>
      <c r="I22098">
        <v>4369</v>
      </c>
      <c r="J22098" t="s">
        <v>188</v>
      </c>
      <c r="K22098">
        <v>6.81</v>
      </c>
      <c r="L22098">
        <v>1.38</v>
      </c>
      <c r="M22098">
        <v>46556</v>
      </c>
      <c r="N22098" t="s">
        <v>458</v>
      </c>
      <c r="O22098">
        <v>251107</v>
      </c>
      <c r="P22098">
        <v>5.43</v>
      </c>
    </row>
    <row r="22099" spans="1:16" x14ac:dyDescent="0.25">
      <c r="A22099" t="s">
        <v>3296</v>
      </c>
      <c r="B22099" t="s">
        <v>2931</v>
      </c>
      <c r="C22099">
        <v>14807</v>
      </c>
      <c r="D22099" t="str">
        <f>"12545020829 "</f>
        <v xml:space="preserve">12545020829 </v>
      </c>
      <c r="E22099" t="s">
        <v>309</v>
      </c>
      <c r="F22099" t="s">
        <v>310</v>
      </c>
      <c r="G22099">
        <v>4.83</v>
      </c>
      <c r="H22099">
        <v>251031</v>
      </c>
      <c r="I22099">
        <v>4369</v>
      </c>
      <c r="J22099" t="s">
        <v>188</v>
      </c>
      <c r="K22099">
        <v>31.83</v>
      </c>
      <c r="L22099">
        <v>0.98</v>
      </c>
      <c r="M22099">
        <v>48601</v>
      </c>
      <c r="N22099" t="s">
        <v>107</v>
      </c>
      <c r="O22099">
        <v>251107</v>
      </c>
      <c r="P22099">
        <v>3.85</v>
      </c>
    </row>
    <row r="22100" spans="1:16" x14ac:dyDescent="0.25">
      <c r="A22100" t="s">
        <v>3296</v>
      </c>
      <c r="B22100" t="s">
        <v>2931</v>
      </c>
      <c r="C22100">
        <v>14807</v>
      </c>
      <c r="D22100" t="str">
        <f>"12545020829 "</f>
        <v xml:space="preserve">12545020829 </v>
      </c>
      <c r="E22100" t="s">
        <v>309</v>
      </c>
      <c r="F22100" t="s">
        <v>310</v>
      </c>
      <c r="G22100">
        <v>3.39</v>
      </c>
      <c r="H22100">
        <v>251031</v>
      </c>
      <c r="I22100">
        <v>4369</v>
      </c>
      <c r="J22100" t="s">
        <v>188</v>
      </c>
      <c r="K22100">
        <v>31.83</v>
      </c>
      <c r="L22100">
        <v>0.69</v>
      </c>
      <c r="M22100">
        <v>49111</v>
      </c>
      <c r="N22100" t="s">
        <v>108</v>
      </c>
      <c r="O22100">
        <v>251107</v>
      </c>
      <c r="P22100">
        <v>2.7</v>
      </c>
    </row>
    <row r="22101" spans="1:16" x14ac:dyDescent="0.25">
      <c r="A22101" t="s">
        <v>3296</v>
      </c>
      <c r="B22101" t="s">
        <v>2931</v>
      </c>
      <c r="C22101">
        <v>14807</v>
      </c>
      <c r="D22101" t="str">
        <f>"12545020829 "</f>
        <v xml:space="preserve">12545020829 </v>
      </c>
      <c r="E22101" t="s">
        <v>309</v>
      </c>
      <c r="F22101" t="s">
        <v>310</v>
      </c>
      <c r="G22101">
        <v>9.98</v>
      </c>
      <c r="H22101">
        <v>251031</v>
      </c>
      <c r="I22101">
        <v>4369</v>
      </c>
      <c r="J22101" t="s">
        <v>188</v>
      </c>
      <c r="K22101">
        <v>31.83</v>
      </c>
      <c r="L22101">
        <v>2.0299999999999998</v>
      </c>
      <c r="M22101">
        <v>49704</v>
      </c>
      <c r="N22101" t="s">
        <v>113</v>
      </c>
      <c r="O22101">
        <v>251107</v>
      </c>
      <c r="P22101">
        <v>7.95</v>
      </c>
    </row>
    <row r="22102" spans="1:16" x14ac:dyDescent="0.25">
      <c r="A22102" t="s">
        <v>3296</v>
      </c>
      <c r="B22102" t="s">
        <v>2931</v>
      </c>
      <c r="C22102">
        <v>14807</v>
      </c>
      <c r="D22102" t="str">
        <f>"12545020829 "</f>
        <v xml:space="preserve">12545020829 </v>
      </c>
      <c r="E22102" t="s">
        <v>309</v>
      </c>
      <c r="F22102" t="s">
        <v>310</v>
      </c>
      <c r="G22102">
        <v>13.63</v>
      </c>
      <c r="H22102">
        <v>251031</v>
      </c>
      <c r="I22102">
        <v>4369</v>
      </c>
      <c r="J22102" t="s">
        <v>188</v>
      </c>
      <c r="K22102">
        <v>31.83</v>
      </c>
      <c r="L22102">
        <v>2.77</v>
      </c>
      <c r="M22102">
        <v>49705</v>
      </c>
      <c r="N22102" t="s">
        <v>114</v>
      </c>
      <c r="O22102">
        <v>251107</v>
      </c>
      <c r="P22102">
        <v>10.86</v>
      </c>
    </row>
    <row r="22103" spans="1:16" x14ac:dyDescent="0.25">
      <c r="A22103" t="s">
        <v>3296</v>
      </c>
      <c r="B22103" t="s">
        <v>2931</v>
      </c>
      <c r="C22103">
        <v>14808</v>
      </c>
      <c r="D22103" t="str">
        <f>"12545020856 "</f>
        <v xml:space="preserve">12545020856 </v>
      </c>
      <c r="E22103" t="s">
        <v>309</v>
      </c>
      <c r="F22103" t="s">
        <v>310</v>
      </c>
      <c r="G22103">
        <v>57.6</v>
      </c>
      <c r="H22103">
        <v>251031</v>
      </c>
      <c r="I22103">
        <v>4369</v>
      </c>
      <c r="J22103" t="s">
        <v>188</v>
      </c>
      <c r="K22103">
        <v>57.6</v>
      </c>
      <c r="L22103">
        <v>11.7</v>
      </c>
      <c r="M22103">
        <v>10002</v>
      </c>
      <c r="N22103" t="s">
        <v>513</v>
      </c>
      <c r="O22103">
        <v>251107</v>
      </c>
      <c r="P22103">
        <v>45.9</v>
      </c>
    </row>
    <row r="22104" spans="1:16" x14ac:dyDescent="0.25">
      <c r="A22104" t="s">
        <v>3296</v>
      </c>
      <c r="B22104" t="s">
        <v>2931</v>
      </c>
      <c r="C22104">
        <v>14809</v>
      </c>
      <c r="D22104" t="str">
        <f>"12545020849 "</f>
        <v xml:space="preserve">12545020849 </v>
      </c>
      <c r="E22104" t="s">
        <v>309</v>
      </c>
      <c r="F22104" t="s">
        <v>310</v>
      </c>
      <c r="G22104">
        <v>6.92</v>
      </c>
      <c r="H22104">
        <v>251031</v>
      </c>
      <c r="I22104">
        <v>4369</v>
      </c>
      <c r="J22104" t="s">
        <v>188</v>
      </c>
      <c r="K22104">
        <v>6.92</v>
      </c>
      <c r="L22104">
        <v>1.41</v>
      </c>
      <c r="M22104">
        <v>46557</v>
      </c>
      <c r="N22104" t="s">
        <v>104</v>
      </c>
      <c r="O22104">
        <v>251107</v>
      </c>
      <c r="P22104">
        <v>5.51</v>
      </c>
    </row>
    <row r="22105" spans="1:16" x14ac:dyDescent="0.25">
      <c r="A22105" t="s">
        <v>3296</v>
      </c>
      <c r="B22105" t="s">
        <v>2931</v>
      </c>
      <c r="C22105">
        <v>14810</v>
      </c>
      <c r="D22105" t="str">
        <f t="shared" ref="D22105:D22114" si="485">"12545020838 "</f>
        <v xml:space="preserve">12545020838 </v>
      </c>
      <c r="E22105" t="s">
        <v>309</v>
      </c>
      <c r="F22105" t="s">
        <v>310</v>
      </c>
      <c r="G22105">
        <v>6.59</v>
      </c>
      <c r="H22105">
        <v>251031</v>
      </c>
      <c r="I22105">
        <v>4369</v>
      </c>
      <c r="J22105" t="s">
        <v>188</v>
      </c>
      <c r="K22105">
        <v>106.86</v>
      </c>
      <c r="L22105">
        <v>1.34</v>
      </c>
      <c r="M22105">
        <v>16321</v>
      </c>
      <c r="N22105" t="s">
        <v>16</v>
      </c>
      <c r="O22105">
        <v>251107</v>
      </c>
      <c r="P22105">
        <v>5.25</v>
      </c>
    </row>
    <row r="22106" spans="1:16" x14ac:dyDescent="0.25">
      <c r="A22106" t="s">
        <v>3296</v>
      </c>
      <c r="B22106" t="s">
        <v>2931</v>
      </c>
      <c r="C22106">
        <v>14810</v>
      </c>
      <c r="D22106" t="str">
        <f t="shared" si="485"/>
        <v xml:space="preserve">12545020838 </v>
      </c>
      <c r="E22106" t="s">
        <v>309</v>
      </c>
      <c r="F22106" t="s">
        <v>310</v>
      </c>
      <c r="G22106">
        <v>10.67</v>
      </c>
      <c r="H22106">
        <v>251031</v>
      </c>
      <c r="I22106">
        <v>4369</v>
      </c>
      <c r="J22106" t="s">
        <v>188</v>
      </c>
      <c r="K22106">
        <v>106.86</v>
      </c>
      <c r="L22106">
        <v>2.17</v>
      </c>
      <c r="M22106">
        <v>16431</v>
      </c>
      <c r="N22106" t="s">
        <v>17</v>
      </c>
      <c r="O22106">
        <v>251107</v>
      </c>
      <c r="P22106">
        <v>8.5</v>
      </c>
    </row>
    <row r="22107" spans="1:16" x14ac:dyDescent="0.25">
      <c r="A22107" t="s">
        <v>3296</v>
      </c>
      <c r="B22107" t="s">
        <v>2931</v>
      </c>
      <c r="C22107">
        <v>14810</v>
      </c>
      <c r="D22107" t="str">
        <f t="shared" si="485"/>
        <v xml:space="preserve">12545020838 </v>
      </c>
      <c r="E22107" t="s">
        <v>309</v>
      </c>
      <c r="F22107" t="s">
        <v>310</v>
      </c>
      <c r="G22107">
        <v>17.809999999999999</v>
      </c>
      <c r="H22107">
        <v>251031</v>
      </c>
      <c r="I22107">
        <v>4369</v>
      </c>
      <c r="J22107" t="s">
        <v>188</v>
      </c>
      <c r="K22107">
        <v>106.86</v>
      </c>
      <c r="L22107">
        <v>3.62</v>
      </c>
      <c r="M22107">
        <v>17802</v>
      </c>
      <c r="N22107" t="s">
        <v>18</v>
      </c>
      <c r="O22107">
        <v>251107</v>
      </c>
      <c r="P22107">
        <v>14.19</v>
      </c>
    </row>
    <row r="22108" spans="1:16" x14ac:dyDescent="0.25">
      <c r="A22108" t="s">
        <v>3296</v>
      </c>
      <c r="B22108" t="s">
        <v>2931</v>
      </c>
      <c r="C22108">
        <v>14810</v>
      </c>
      <c r="D22108" t="str">
        <f t="shared" si="485"/>
        <v xml:space="preserve">12545020838 </v>
      </c>
      <c r="E22108" t="s">
        <v>309</v>
      </c>
      <c r="F22108" t="s">
        <v>310</v>
      </c>
      <c r="G22108">
        <v>10.050000000000001</v>
      </c>
      <c r="H22108">
        <v>251031</v>
      </c>
      <c r="I22108">
        <v>4369</v>
      </c>
      <c r="J22108" t="s">
        <v>188</v>
      </c>
      <c r="K22108">
        <v>106.86</v>
      </c>
      <c r="L22108">
        <v>2.04</v>
      </c>
      <c r="M22108">
        <v>17803</v>
      </c>
      <c r="N22108" t="s">
        <v>19</v>
      </c>
      <c r="O22108">
        <v>251107</v>
      </c>
      <c r="P22108">
        <v>8.01</v>
      </c>
    </row>
    <row r="22109" spans="1:16" x14ac:dyDescent="0.25">
      <c r="A22109" t="s">
        <v>3296</v>
      </c>
      <c r="B22109" t="s">
        <v>2931</v>
      </c>
      <c r="C22109">
        <v>14810</v>
      </c>
      <c r="D22109" t="str">
        <f t="shared" si="485"/>
        <v xml:space="preserve">12545020838 </v>
      </c>
      <c r="E22109" t="s">
        <v>309</v>
      </c>
      <c r="F22109" t="s">
        <v>310</v>
      </c>
      <c r="G22109">
        <v>3.39</v>
      </c>
      <c r="H22109">
        <v>251031</v>
      </c>
      <c r="I22109">
        <v>4369</v>
      </c>
      <c r="J22109" t="s">
        <v>188</v>
      </c>
      <c r="K22109">
        <v>106.86</v>
      </c>
      <c r="L22109">
        <v>0.69</v>
      </c>
      <c r="M22109">
        <v>17804</v>
      </c>
      <c r="N22109" t="s">
        <v>20</v>
      </c>
      <c r="O22109">
        <v>251107</v>
      </c>
      <c r="P22109">
        <v>2.7</v>
      </c>
    </row>
    <row r="22110" spans="1:16" x14ac:dyDescent="0.25">
      <c r="A22110" t="s">
        <v>3296</v>
      </c>
      <c r="B22110" t="s">
        <v>2931</v>
      </c>
      <c r="C22110">
        <v>14810</v>
      </c>
      <c r="D22110" t="str">
        <f t="shared" si="485"/>
        <v xml:space="preserve">12545020838 </v>
      </c>
      <c r="E22110" t="s">
        <v>309</v>
      </c>
      <c r="F22110" t="s">
        <v>310</v>
      </c>
      <c r="G22110">
        <v>3.39</v>
      </c>
      <c r="H22110">
        <v>251031</v>
      </c>
      <c r="I22110">
        <v>4369</v>
      </c>
      <c r="J22110" t="s">
        <v>188</v>
      </c>
      <c r="K22110">
        <v>106.86</v>
      </c>
      <c r="L22110">
        <v>0.69</v>
      </c>
      <c r="M22110">
        <v>17805</v>
      </c>
      <c r="N22110" t="s">
        <v>21</v>
      </c>
      <c r="O22110">
        <v>251107</v>
      </c>
      <c r="P22110">
        <v>2.7</v>
      </c>
    </row>
    <row r="22111" spans="1:16" x14ac:dyDescent="0.25">
      <c r="A22111" t="s">
        <v>3296</v>
      </c>
      <c r="B22111" t="s">
        <v>2931</v>
      </c>
      <c r="C22111">
        <v>14810</v>
      </c>
      <c r="D22111" t="str">
        <f t="shared" si="485"/>
        <v xml:space="preserve">12545020838 </v>
      </c>
      <c r="E22111" t="s">
        <v>309</v>
      </c>
      <c r="F22111" t="s">
        <v>310</v>
      </c>
      <c r="G22111">
        <v>6.78</v>
      </c>
      <c r="H22111">
        <v>251031</v>
      </c>
      <c r="I22111">
        <v>4369</v>
      </c>
      <c r="J22111" t="s">
        <v>188</v>
      </c>
      <c r="K22111">
        <v>106.86</v>
      </c>
      <c r="L22111">
        <v>1.38</v>
      </c>
      <c r="M22111">
        <v>17806</v>
      </c>
      <c r="N22111" t="s">
        <v>22</v>
      </c>
      <c r="O22111">
        <v>251107</v>
      </c>
      <c r="P22111">
        <v>5.4</v>
      </c>
    </row>
    <row r="22112" spans="1:16" x14ac:dyDescent="0.25">
      <c r="A22112" t="s">
        <v>3296</v>
      </c>
      <c r="B22112" t="s">
        <v>2931</v>
      </c>
      <c r="C22112">
        <v>14810</v>
      </c>
      <c r="D22112" t="str">
        <f t="shared" si="485"/>
        <v xml:space="preserve">12545020838 </v>
      </c>
      <c r="E22112" t="s">
        <v>309</v>
      </c>
      <c r="F22112" t="s">
        <v>310</v>
      </c>
      <c r="G22112">
        <v>23.53</v>
      </c>
      <c r="H22112">
        <v>251031</v>
      </c>
      <c r="I22112">
        <v>4369</v>
      </c>
      <c r="J22112" t="s">
        <v>188</v>
      </c>
      <c r="K22112">
        <v>106.86</v>
      </c>
      <c r="L22112">
        <v>4.78</v>
      </c>
      <c r="M22112">
        <v>17807</v>
      </c>
      <c r="N22112" t="s">
        <v>23</v>
      </c>
      <c r="O22112">
        <v>251107</v>
      </c>
      <c r="P22112">
        <v>18.75</v>
      </c>
    </row>
    <row r="22113" spans="1:16" x14ac:dyDescent="0.25">
      <c r="A22113" t="s">
        <v>3296</v>
      </c>
      <c r="B22113" t="s">
        <v>2931</v>
      </c>
      <c r="C22113">
        <v>14810</v>
      </c>
      <c r="D22113" t="str">
        <f t="shared" si="485"/>
        <v xml:space="preserve">12545020838 </v>
      </c>
      <c r="E22113" t="s">
        <v>309</v>
      </c>
      <c r="F22113" t="s">
        <v>310</v>
      </c>
      <c r="G22113">
        <v>10.17</v>
      </c>
      <c r="H22113">
        <v>251031</v>
      </c>
      <c r="I22113">
        <v>4369</v>
      </c>
      <c r="J22113" t="s">
        <v>188</v>
      </c>
      <c r="K22113">
        <v>106.86</v>
      </c>
      <c r="L22113">
        <v>2.0699999999999998</v>
      </c>
      <c r="M22113">
        <v>17808</v>
      </c>
      <c r="N22113" t="s">
        <v>24</v>
      </c>
      <c r="O22113">
        <v>251107</v>
      </c>
      <c r="P22113">
        <v>8.1</v>
      </c>
    </row>
    <row r="22114" spans="1:16" x14ac:dyDescent="0.25">
      <c r="A22114" t="s">
        <v>3296</v>
      </c>
      <c r="B22114" t="s">
        <v>2931</v>
      </c>
      <c r="C22114">
        <v>14810</v>
      </c>
      <c r="D22114" t="str">
        <f t="shared" si="485"/>
        <v xml:space="preserve">12545020838 </v>
      </c>
      <c r="E22114" t="s">
        <v>309</v>
      </c>
      <c r="F22114" t="s">
        <v>310</v>
      </c>
      <c r="G22114">
        <v>14.48</v>
      </c>
      <c r="H22114">
        <v>251031</v>
      </c>
      <c r="I22114">
        <v>4369</v>
      </c>
      <c r="J22114" t="s">
        <v>188</v>
      </c>
      <c r="K22114">
        <v>106.86</v>
      </c>
      <c r="L22114">
        <v>2.94</v>
      </c>
      <c r="M22114">
        <v>17809</v>
      </c>
      <c r="N22114" t="s">
        <v>25</v>
      </c>
      <c r="O22114">
        <v>251107</v>
      </c>
      <c r="P22114">
        <v>11.54</v>
      </c>
    </row>
    <row r="22115" spans="1:16" x14ac:dyDescent="0.25">
      <c r="A22115" t="s">
        <v>3296</v>
      </c>
      <c r="B22115" t="s">
        <v>2931</v>
      </c>
      <c r="C22115">
        <v>14811</v>
      </c>
      <c r="D22115" t="str">
        <f>"12545020834 "</f>
        <v xml:space="preserve">12545020834 </v>
      </c>
      <c r="E22115" t="s">
        <v>309</v>
      </c>
      <c r="F22115" t="s">
        <v>310</v>
      </c>
      <c r="G22115">
        <v>13.55</v>
      </c>
      <c r="H22115">
        <v>251031</v>
      </c>
      <c r="I22115">
        <v>4369</v>
      </c>
      <c r="J22115" t="s">
        <v>188</v>
      </c>
      <c r="K22115">
        <v>13.55</v>
      </c>
      <c r="L22115">
        <v>2.75</v>
      </c>
      <c r="M22115">
        <v>46555</v>
      </c>
      <c r="N22115" t="s">
        <v>103</v>
      </c>
      <c r="O22115">
        <v>251107</v>
      </c>
      <c r="P22115">
        <v>10.8</v>
      </c>
    </row>
    <row r="22116" spans="1:16" x14ac:dyDescent="0.25">
      <c r="A22116" t="s">
        <v>3296</v>
      </c>
      <c r="B22116" t="s">
        <v>2931</v>
      </c>
      <c r="C22116">
        <v>14812</v>
      </c>
      <c r="D22116" t="str">
        <f t="shared" ref="D22116:D22125" si="486">"12545020841 "</f>
        <v xml:space="preserve">12545020841 </v>
      </c>
      <c r="E22116" t="s">
        <v>309</v>
      </c>
      <c r="F22116" t="s">
        <v>310</v>
      </c>
      <c r="G22116">
        <v>20.329999999999998</v>
      </c>
      <c r="H22116">
        <v>251031</v>
      </c>
      <c r="I22116">
        <v>4369</v>
      </c>
      <c r="J22116" t="s">
        <v>188</v>
      </c>
      <c r="K22116">
        <v>57.96</v>
      </c>
      <c r="L22116">
        <v>4.13</v>
      </c>
      <c r="M22116">
        <v>16121</v>
      </c>
      <c r="N22116" t="s">
        <v>127</v>
      </c>
      <c r="O22116">
        <v>251107</v>
      </c>
      <c r="P22116">
        <v>16.2</v>
      </c>
    </row>
    <row r="22117" spans="1:16" x14ac:dyDescent="0.25">
      <c r="A22117" t="s">
        <v>3296</v>
      </c>
      <c r="B22117" t="s">
        <v>2931</v>
      </c>
      <c r="C22117">
        <v>14812</v>
      </c>
      <c r="D22117" t="str">
        <f t="shared" si="486"/>
        <v xml:space="preserve">12545020841 </v>
      </c>
      <c r="E22117" t="s">
        <v>309</v>
      </c>
      <c r="F22117" t="s">
        <v>310</v>
      </c>
      <c r="G22117">
        <v>6.78</v>
      </c>
      <c r="H22117">
        <v>251031</v>
      </c>
      <c r="I22117">
        <v>4369</v>
      </c>
      <c r="J22117" t="s">
        <v>188</v>
      </c>
      <c r="K22117">
        <v>57.96</v>
      </c>
      <c r="L22117">
        <v>1.38</v>
      </c>
      <c r="M22117">
        <v>16322</v>
      </c>
      <c r="N22117" t="s">
        <v>331</v>
      </c>
      <c r="O22117">
        <v>251107</v>
      </c>
      <c r="P22117">
        <v>5.4</v>
      </c>
    </row>
    <row r="22118" spans="1:16" x14ac:dyDescent="0.25">
      <c r="A22118" t="s">
        <v>3296</v>
      </c>
      <c r="B22118" t="s">
        <v>2931</v>
      </c>
      <c r="C22118">
        <v>14812</v>
      </c>
      <c r="D22118" t="str">
        <f t="shared" si="486"/>
        <v xml:space="preserve">12545020841 </v>
      </c>
      <c r="E22118" t="s">
        <v>309</v>
      </c>
      <c r="F22118" t="s">
        <v>310</v>
      </c>
      <c r="G22118">
        <v>3.39</v>
      </c>
      <c r="H22118">
        <v>251031</v>
      </c>
      <c r="I22118">
        <v>4369</v>
      </c>
      <c r="J22118" t="s">
        <v>188</v>
      </c>
      <c r="K22118">
        <v>57.96</v>
      </c>
      <c r="L22118">
        <v>0.69</v>
      </c>
      <c r="M22118">
        <v>16820</v>
      </c>
      <c r="N22118" t="s">
        <v>128</v>
      </c>
      <c r="O22118">
        <v>251107</v>
      </c>
      <c r="P22118">
        <v>2.7</v>
      </c>
    </row>
    <row r="22119" spans="1:16" x14ac:dyDescent="0.25">
      <c r="A22119" t="s">
        <v>3296</v>
      </c>
      <c r="B22119" t="s">
        <v>2931</v>
      </c>
      <c r="C22119">
        <v>14812</v>
      </c>
      <c r="D22119" t="str">
        <f t="shared" si="486"/>
        <v xml:space="preserve">12545020841 </v>
      </c>
      <c r="E22119" t="s">
        <v>309</v>
      </c>
      <c r="F22119" t="s">
        <v>310</v>
      </c>
      <c r="G22119">
        <v>7.32</v>
      </c>
      <c r="H22119">
        <v>251031</v>
      </c>
      <c r="I22119">
        <v>4369</v>
      </c>
      <c r="J22119" t="s">
        <v>188</v>
      </c>
      <c r="K22119">
        <v>57.96</v>
      </c>
      <c r="L22119">
        <v>1.49</v>
      </c>
      <c r="M22119">
        <v>16820</v>
      </c>
      <c r="N22119" t="s">
        <v>128</v>
      </c>
      <c r="O22119">
        <v>251107</v>
      </c>
      <c r="P22119">
        <v>5.83</v>
      </c>
    </row>
    <row r="22120" spans="1:16" x14ac:dyDescent="0.25">
      <c r="A22120" t="s">
        <v>3296</v>
      </c>
      <c r="B22120" t="s">
        <v>2931</v>
      </c>
      <c r="C22120">
        <v>14812</v>
      </c>
      <c r="D22120" t="str">
        <f t="shared" si="486"/>
        <v xml:space="preserve">12545020841 </v>
      </c>
      <c r="E22120" t="s">
        <v>309</v>
      </c>
      <c r="F22120" t="s">
        <v>310</v>
      </c>
      <c r="G22120">
        <v>3.39</v>
      </c>
      <c r="H22120">
        <v>251031</v>
      </c>
      <c r="I22120">
        <v>4369</v>
      </c>
      <c r="J22120" t="s">
        <v>188</v>
      </c>
      <c r="K22120">
        <v>57.96</v>
      </c>
      <c r="L22120">
        <v>0.69</v>
      </c>
      <c r="M22120">
        <v>17862</v>
      </c>
      <c r="N22120" t="s">
        <v>130</v>
      </c>
      <c r="O22120">
        <v>251107</v>
      </c>
      <c r="P22120">
        <v>2.7</v>
      </c>
    </row>
    <row r="22121" spans="1:16" x14ac:dyDescent="0.25">
      <c r="A22121" t="s">
        <v>3296</v>
      </c>
      <c r="B22121" t="s">
        <v>2931</v>
      </c>
      <c r="C22121">
        <v>14812</v>
      </c>
      <c r="D22121" t="str">
        <f t="shared" si="486"/>
        <v xml:space="preserve">12545020841 </v>
      </c>
      <c r="E22121" t="s">
        <v>309</v>
      </c>
      <c r="F22121" t="s">
        <v>310</v>
      </c>
      <c r="G22121">
        <v>3.39</v>
      </c>
      <c r="H22121">
        <v>251031</v>
      </c>
      <c r="I22121">
        <v>4369</v>
      </c>
      <c r="J22121" t="s">
        <v>188</v>
      </c>
      <c r="K22121">
        <v>57.96</v>
      </c>
      <c r="L22121">
        <v>0.69</v>
      </c>
      <c r="M22121">
        <v>17950</v>
      </c>
      <c r="N22121" t="s">
        <v>132</v>
      </c>
      <c r="O22121">
        <v>251107</v>
      </c>
      <c r="P22121">
        <v>2.7</v>
      </c>
    </row>
    <row r="22122" spans="1:16" x14ac:dyDescent="0.25">
      <c r="A22122" t="s">
        <v>3296</v>
      </c>
      <c r="B22122" t="s">
        <v>2931</v>
      </c>
      <c r="C22122">
        <v>14812</v>
      </c>
      <c r="D22122" t="str">
        <f t="shared" si="486"/>
        <v xml:space="preserve">12545020841 </v>
      </c>
      <c r="E22122" t="s">
        <v>309</v>
      </c>
      <c r="F22122" t="s">
        <v>310</v>
      </c>
      <c r="G22122">
        <v>3.38</v>
      </c>
      <c r="H22122">
        <v>251031</v>
      </c>
      <c r="I22122">
        <v>4369</v>
      </c>
      <c r="J22122" t="s">
        <v>188</v>
      </c>
      <c r="K22122">
        <v>57.96</v>
      </c>
      <c r="L22122">
        <v>0.69</v>
      </c>
      <c r="M22122">
        <v>17971</v>
      </c>
      <c r="N22122" t="s">
        <v>27</v>
      </c>
      <c r="O22122">
        <v>251107</v>
      </c>
      <c r="P22122">
        <v>2.69</v>
      </c>
    </row>
    <row r="22123" spans="1:16" x14ac:dyDescent="0.25">
      <c r="A22123" t="s">
        <v>3296</v>
      </c>
      <c r="B22123" t="s">
        <v>2931</v>
      </c>
      <c r="C22123">
        <v>14812</v>
      </c>
      <c r="D22123" t="str">
        <f t="shared" si="486"/>
        <v xml:space="preserve">12545020841 </v>
      </c>
      <c r="E22123" t="s">
        <v>309</v>
      </c>
      <c r="F22123" t="s">
        <v>310</v>
      </c>
      <c r="G22123">
        <v>3.39</v>
      </c>
      <c r="H22123">
        <v>251031</v>
      </c>
      <c r="I22123">
        <v>4369</v>
      </c>
      <c r="J22123" t="s">
        <v>188</v>
      </c>
      <c r="K22123">
        <v>57.96</v>
      </c>
      <c r="L22123">
        <v>0.69</v>
      </c>
      <c r="M22123">
        <v>17972</v>
      </c>
      <c r="N22123" t="s">
        <v>28</v>
      </c>
      <c r="O22123">
        <v>251107</v>
      </c>
      <c r="P22123">
        <v>2.7</v>
      </c>
    </row>
    <row r="22124" spans="1:16" x14ac:dyDescent="0.25">
      <c r="A22124" t="s">
        <v>3296</v>
      </c>
      <c r="B22124" t="s">
        <v>2931</v>
      </c>
      <c r="C22124">
        <v>14812</v>
      </c>
      <c r="D22124" t="str">
        <f t="shared" si="486"/>
        <v xml:space="preserve">12545020841 </v>
      </c>
      <c r="E22124" t="s">
        <v>309</v>
      </c>
      <c r="F22124" t="s">
        <v>310</v>
      </c>
      <c r="G22124">
        <v>3.2</v>
      </c>
      <c r="H22124">
        <v>251031</v>
      </c>
      <c r="I22124">
        <v>4369</v>
      </c>
      <c r="J22124" t="s">
        <v>188</v>
      </c>
      <c r="K22124">
        <v>57.96</v>
      </c>
      <c r="L22124">
        <v>0.65</v>
      </c>
      <c r="M22124">
        <v>17974</v>
      </c>
      <c r="N22124" t="s">
        <v>153</v>
      </c>
      <c r="O22124">
        <v>251107</v>
      </c>
      <c r="P22124">
        <v>2.5499999999999998</v>
      </c>
    </row>
    <row r="22125" spans="1:16" x14ac:dyDescent="0.25">
      <c r="A22125" t="s">
        <v>3296</v>
      </c>
      <c r="B22125" t="s">
        <v>2931</v>
      </c>
      <c r="C22125">
        <v>14812</v>
      </c>
      <c r="D22125" t="str">
        <f t="shared" si="486"/>
        <v xml:space="preserve">12545020841 </v>
      </c>
      <c r="E22125" t="s">
        <v>309</v>
      </c>
      <c r="F22125" t="s">
        <v>310</v>
      </c>
      <c r="G22125">
        <v>3.39</v>
      </c>
      <c r="H22125">
        <v>251031</v>
      </c>
      <c r="I22125">
        <v>4369</v>
      </c>
      <c r="J22125" t="s">
        <v>188</v>
      </c>
      <c r="K22125">
        <v>57.96</v>
      </c>
      <c r="L22125">
        <v>0.69</v>
      </c>
      <c r="M22125">
        <v>17974</v>
      </c>
      <c r="N22125" t="s">
        <v>153</v>
      </c>
      <c r="O22125">
        <v>251107</v>
      </c>
      <c r="P22125">
        <v>2.7</v>
      </c>
    </row>
    <row r="22126" spans="1:16" x14ac:dyDescent="0.25">
      <c r="A22126" t="s">
        <v>3296</v>
      </c>
      <c r="B22126" t="s">
        <v>2931</v>
      </c>
      <c r="C22126">
        <v>14813</v>
      </c>
      <c r="D22126" t="str">
        <f t="shared" ref="D22126:D22136" si="487">"12545020822 "</f>
        <v xml:space="preserve">12545020822 </v>
      </c>
      <c r="E22126" t="s">
        <v>309</v>
      </c>
      <c r="F22126" t="s">
        <v>310</v>
      </c>
      <c r="G22126">
        <v>3.49</v>
      </c>
      <c r="H22126">
        <v>251031</v>
      </c>
      <c r="I22126">
        <v>4369</v>
      </c>
      <c r="J22126" t="s">
        <v>188</v>
      </c>
      <c r="K22126">
        <v>85.18</v>
      </c>
      <c r="L22126">
        <v>0.71</v>
      </c>
      <c r="M22126">
        <v>51157</v>
      </c>
      <c r="N22126" t="s">
        <v>998</v>
      </c>
      <c r="O22126">
        <v>251107</v>
      </c>
      <c r="P22126">
        <v>2.78</v>
      </c>
    </row>
    <row r="22127" spans="1:16" x14ac:dyDescent="0.25">
      <c r="A22127" t="s">
        <v>3296</v>
      </c>
      <c r="B22127" t="s">
        <v>2931</v>
      </c>
      <c r="C22127">
        <v>14813</v>
      </c>
      <c r="D22127" t="str">
        <f t="shared" si="487"/>
        <v xml:space="preserve">12545020822 </v>
      </c>
      <c r="E22127" t="s">
        <v>309</v>
      </c>
      <c r="F22127" t="s">
        <v>310</v>
      </c>
      <c r="G22127">
        <v>3.39</v>
      </c>
      <c r="H22127">
        <v>251031</v>
      </c>
      <c r="I22127">
        <v>4369</v>
      </c>
      <c r="J22127" t="s">
        <v>188</v>
      </c>
      <c r="K22127">
        <v>85.18</v>
      </c>
      <c r="L22127">
        <v>0.69</v>
      </c>
      <c r="M22127">
        <v>56526</v>
      </c>
      <c r="N22127" t="s">
        <v>506</v>
      </c>
      <c r="O22127">
        <v>251107</v>
      </c>
      <c r="P22127">
        <v>2.7</v>
      </c>
    </row>
    <row r="22128" spans="1:16" x14ac:dyDescent="0.25">
      <c r="A22128" t="s">
        <v>3296</v>
      </c>
      <c r="B22128" t="s">
        <v>2931</v>
      </c>
      <c r="C22128">
        <v>14813</v>
      </c>
      <c r="D22128" t="str">
        <f t="shared" si="487"/>
        <v xml:space="preserve">12545020822 </v>
      </c>
      <c r="E22128" t="s">
        <v>309</v>
      </c>
      <c r="F22128" t="s">
        <v>310</v>
      </c>
      <c r="G22128">
        <v>16.940000000000001</v>
      </c>
      <c r="H22128">
        <v>251031</v>
      </c>
      <c r="I22128">
        <v>4369</v>
      </c>
      <c r="J22128" t="s">
        <v>188</v>
      </c>
      <c r="K22128">
        <v>85.18</v>
      </c>
      <c r="L22128">
        <v>3.44</v>
      </c>
      <c r="M22128">
        <v>56558</v>
      </c>
      <c r="N22128" t="s">
        <v>50</v>
      </c>
      <c r="O22128">
        <v>251107</v>
      </c>
      <c r="P22128">
        <v>13.5</v>
      </c>
    </row>
    <row r="22129" spans="1:16" x14ac:dyDescent="0.25">
      <c r="A22129" t="s">
        <v>3296</v>
      </c>
      <c r="B22129" t="s">
        <v>2931</v>
      </c>
      <c r="C22129">
        <v>14813</v>
      </c>
      <c r="D22129" t="str">
        <f t="shared" si="487"/>
        <v xml:space="preserve">12545020822 </v>
      </c>
      <c r="E22129" t="s">
        <v>309</v>
      </c>
      <c r="F22129" t="s">
        <v>310</v>
      </c>
      <c r="G22129">
        <v>11.4</v>
      </c>
      <c r="H22129">
        <v>251031</v>
      </c>
      <c r="I22129">
        <v>4369</v>
      </c>
      <c r="J22129" t="s">
        <v>188</v>
      </c>
      <c r="K22129">
        <v>85.18</v>
      </c>
      <c r="L22129">
        <v>2.3199999999999998</v>
      </c>
      <c r="M22129">
        <v>56559</v>
      </c>
      <c r="N22129" t="s">
        <v>51</v>
      </c>
      <c r="O22129">
        <v>251107</v>
      </c>
      <c r="P22129">
        <v>9.08</v>
      </c>
    </row>
    <row r="22130" spans="1:16" x14ac:dyDescent="0.25">
      <c r="A22130" t="s">
        <v>3296</v>
      </c>
      <c r="B22130" t="s">
        <v>2931</v>
      </c>
      <c r="C22130">
        <v>14813</v>
      </c>
      <c r="D22130" t="str">
        <f t="shared" si="487"/>
        <v xml:space="preserve">12545020822 </v>
      </c>
      <c r="E22130" t="s">
        <v>309</v>
      </c>
      <c r="F22130" t="s">
        <v>310</v>
      </c>
      <c r="G22130">
        <v>6.78</v>
      </c>
      <c r="H22130">
        <v>251031</v>
      </c>
      <c r="I22130">
        <v>4369</v>
      </c>
      <c r="J22130" t="s">
        <v>188</v>
      </c>
      <c r="K22130">
        <v>85.18</v>
      </c>
      <c r="L22130">
        <v>1.38</v>
      </c>
      <c r="M22130">
        <v>56560</v>
      </c>
      <c r="N22130" t="s">
        <v>52</v>
      </c>
      <c r="O22130">
        <v>251107</v>
      </c>
      <c r="P22130">
        <v>5.4</v>
      </c>
    </row>
    <row r="22131" spans="1:16" x14ac:dyDescent="0.25">
      <c r="A22131" t="s">
        <v>3296</v>
      </c>
      <c r="B22131" t="s">
        <v>2931</v>
      </c>
      <c r="C22131">
        <v>14813</v>
      </c>
      <c r="D22131" t="str">
        <f t="shared" si="487"/>
        <v xml:space="preserve">12545020822 </v>
      </c>
      <c r="E22131" t="s">
        <v>309</v>
      </c>
      <c r="F22131" t="s">
        <v>310</v>
      </c>
      <c r="G22131">
        <v>16.079999999999998</v>
      </c>
      <c r="H22131">
        <v>251031</v>
      </c>
      <c r="I22131">
        <v>4369</v>
      </c>
      <c r="J22131" t="s">
        <v>188</v>
      </c>
      <c r="K22131">
        <v>85.18</v>
      </c>
      <c r="L22131">
        <v>3.27</v>
      </c>
      <c r="M22131">
        <v>56561</v>
      </c>
      <c r="N22131" t="s">
        <v>53</v>
      </c>
      <c r="O22131">
        <v>251107</v>
      </c>
      <c r="P22131">
        <v>12.81</v>
      </c>
    </row>
    <row r="22132" spans="1:16" x14ac:dyDescent="0.25">
      <c r="A22132" t="s">
        <v>3296</v>
      </c>
      <c r="B22132" t="s">
        <v>2931</v>
      </c>
      <c r="C22132">
        <v>14813</v>
      </c>
      <c r="D22132" t="str">
        <f t="shared" si="487"/>
        <v xml:space="preserve">12545020822 </v>
      </c>
      <c r="E22132" t="s">
        <v>309</v>
      </c>
      <c r="F22132" t="s">
        <v>310</v>
      </c>
      <c r="G22132">
        <v>10.17</v>
      </c>
      <c r="H22132">
        <v>251031</v>
      </c>
      <c r="I22132">
        <v>4369</v>
      </c>
      <c r="J22132" t="s">
        <v>188</v>
      </c>
      <c r="K22132">
        <v>85.18</v>
      </c>
      <c r="L22132">
        <v>2.0699999999999998</v>
      </c>
      <c r="M22132">
        <v>56562</v>
      </c>
      <c r="N22132" t="s">
        <v>54</v>
      </c>
      <c r="O22132">
        <v>251107</v>
      </c>
      <c r="P22132">
        <v>8.1</v>
      </c>
    </row>
    <row r="22133" spans="1:16" x14ac:dyDescent="0.25">
      <c r="A22133" t="s">
        <v>3296</v>
      </c>
      <c r="B22133" t="s">
        <v>2931</v>
      </c>
      <c r="C22133">
        <v>14813</v>
      </c>
      <c r="D22133" t="str">
        <f t="shared" si="487"/>
        <v xml:space="preserve">12545020822 </v>
      </c>
      <c r="E22133" t="s">
        <v>309</v>
      </c>
      <c r="F22133" t="s">
        <v>310</v>
      </c>
      <c r="G22133">
        <v>3.39</v>
      </c>
      <c r="H22133">
        <v>251031</v>
      </c>
      <c r="I22133">
        <v>4369</v>
      </c>
      <c r="J22133" t="s">
        <v>188</v>
      </c>
      <c r="K22133">
        <v>85.18</v>
      </c>
      <c r="L22133">
        <v>0.69</v>
      </c>
      <c r="M22133">
        <v>56564</v>
      </c>
      <c r="N22133" t="s">
        <v>56</v>
      </c>
      <c r="O22133">
        <v>251107</v>
      </c>
      <c r="P22133">
        <v>2.7</v>
      </c>
    </row>
    <row r="22134" spans="1:16" x14ac:dyDescent="0.25">
      <c r="A22134" t="s">
        <v>3296</v>
      </c>
      <c r="B22134" t="s">
        <v>2931</v>
      </c>
      <c r="C22134">
        <v>14813</v>
      </c>
      <c r="D22134" t="str">
        <f t="shared" si="487"/>
        <v xml:space="preserve">12545020822 </v>
      </c>
      <c r="E22134" t="s">
        <v>309</v>
      </c>
      <c r="F22134" t="s">
        <v>310</v>
      </c>
      <c r="G22134">
        <v>3.39</v>
      </c>
      <c r="H22134">
        <v>251031</v>
      </c>
      <c r="I22134">
        <v>4369</v>
      </c>
      <c r="J22134" t="s">
        <v>188</v>
      </c>
      <c r="K22134">
        <v>85.18</v>
      </c>
      <c r="L22134">
        <v>0.69</v>
      </c>
      <c r="M22134">
        <v>56565</v>
      </c>
      <c r="N22134" t="s">
        <v>57</v>
      </c>
      <c r="O22134">
        <v>251107</v>
      </c>
      <c r="P22134">
        <v>2.7</v>
      </c>
    </row>
    <row r="22135" spans="1:16" x14ac:dyDescent="0.25">
      <c r="A22135" t="s">
        <v>3296</v>
      </c>
      <c r="B22135" t="s">
        <v>2931</v>
      </c>
      <c r="C22135">
        <v>14813</v>
      </c>
      <c r="D22135" t="str">
        <f t="shared" si="487"/>
        <v xml:space="preserve">12545020822 </v>
      </c>
      <c r="E22135" t="s">
        <v>309</v>
      </c>
      <c r="F22135" t="s">
        <v>310</v>
      </c>
      <c r="G22135">
        <v>6.78</v>
      </c>
      <c r="H22135">
        <v>251031</v>
      </c>
      <c r="I22135">
        <v>4369</v>
      </c>
      <c r="J22135" t="s">
        <v>188</v>
      </c>
      <c r="K22135">
        <v>85.18</v>
      </c>
      <c r="L22135">
        <v>1.38</v>
      </c>
      <c r="M22135">
        <v>56566</v>
      </c>
      <c r="N22135" t="s">
        <v>58</v>
      </c>
      <c r="O22135">
        <v>251107</v>
      </c>
      <c r="P22135">
        <v>5.4</v>
      </c>
    </row>
    <row r="22136" spans="1:16" x14ac:dyDescent="0.25">
      <c r="A22136" t="s">
        <v>3296</v>
      </c>
      <c r="B22136" t="s">
        <v>2931</v>
      </c>
      <c r="C22136">
        <v>14813</v>
      </c>
      <c r="D22136" t="str">
        <f t="shared" si="487"/>
        <v xml:space="preserve">12545020822 </v>
      </c>
      <c r="E22136" t="s">
        <v>309</v>
      </c>
      <c r="F22136" t="s">
        <v>310</v>
      </c>
      <c r="G22136">
        <v>3.37</v>
      </c>
      <c r="H22136">
        <v>251031</v>
      </c>
      <c r="I22136">
        <v>4369</v>
      </c>
      <c r="J22136" t="s">
        <v>188</v>
      </c>
      <c r="K22136">
        <v>85.18</v>
      </c>
      <c r="L22136">
        <v>0.68</v>
      </c>
      <c r="M22136">
        <v>56568</v>
      </c>
      <c r="N22136" t="s">
        <v>354</v>
      </c>
      <c r="O22136">
        <v>251107</v>
      </c>
      <c r="P22136">
        <v>2.69</v>
      </c>
    </row>
    <row r="22137" spans="1:16" x14ac:dyDescent="0.25">
      <c r="A22137" t="s">
        <v>3296</v>
      </c>
      <c r="B22137" t="s">
        <v>2931</v>
      </c>
      <c r="C22137">
        <v>14884</v>
      </c>
      <c r="D22137" t="str">
        <f>"12545020847 "</f>
        <v xml:space="preserve">12545020847 </v>
      </c>
      <c r="E22137" t="s">
        <v>309</v>
      </c>
      <c r="F22137" t="s">
        <v>310</v>
      </c>
      <c r="G22137">
        <v>10.17</v>
      </c>
      <c r="H22137">
        <v>251031</v>
      </c>
      <c r="I22137">
        <v>4369</v>
      </c>
      <c r="J22137" t="s">
        <v>188</v>
      </c>
      <c r="K22137">
        <v>17.28</v>
      </c>
      <c r="L22137">
        <v>2.0699999999999998</v>
      </c>
      <c r="M22137">
        <v>53222</v>
      </c>
      <c r="N22137" t="s">
        <v>41</v>
      </c>
      <c r="O22137">
        <v>251107</v>
      </c>
      <c r="P22137">
        <v>8.1</v>
      </c>
    </row>
    <row r="22138" spans="1:16" x14ac:dyDescent="0.25">
      <c r="A22138" t="s">
        <v>3296</v>
      </c>
      <c r="B22138" t="s">
        <v>2931</v>
      </c>
      <c r="C22138">
        <v>14884</v>
      </c>
      <c r="D22138" t="str">
        <f>"12545020847 "</f>
        <v xml:space="preserve">12545020847 </v>
      </c>
      <c r="E22138" t="s">
        <v>309</v>
      </c>
      <c r="F22138" t="s">
        <v>310</v>
      </c>
      <c r="G22138">
        <v>3.39</v>
      </c>
      <c r="H22138">
        <v>251031</v>
      </c>
      <c r="I22138">
        <v>4369</v>
      </c>
      <c r="J22138" t="s">
        <v>188</v>
      </c>
      <c r="K22138">
        <v>17.28</v>
      </c>
      <c r="L22138">
        <v>0.69</v>
      </c>
      <c r="M22138">
        <v>54622</v>
      </c>
      <c r="N22138" t="s">
        <v>42</v>
      </c>
      <c r="O22138">
        <v>251107</v>
      </c>
      <c r="P22138">
        <v>2.7</v>
      </c>
    </row>
    <row r="22139" spans="1:16" x14ac:dyDescent="0.25">
      <c r="A22139" t="s">
        <v>3296</v>
      </c>
      <c r="B22139" t="s">
        <v>2931</v>
      </c>
      <c r="C22139">
        <v>14884</v>
      </c>
      <c r="D22139" t="str">
        <f>"12545020847 "</f>
        <v xml:space="preserve">12545020847 </v>
      </c>
      <c r="E22139" t="s">
        <v>309</v>
      </c>
      <c r="F22139" t="s">
        <v>310</v>
      </c>
      <c r="G22139">
        <v>3.72</v>
      </c>
      <c r="H22139">
        <v>251031</v>
      </c>
      <c r="I22139">
        <v>4369</v>
      </c>
      <c r="J22139" t="s">
        <v>188</v>
      </c>
      <c r="K22139">
        <v>17.28</v>
      </c>
      <c r="L22139">
        <v>0.76</v>
      </c>
      <c r="M22139">
        <v>55222</v>
      </c>
      <c r="N22139" t="s">
        <v>43</v>
      </c>
      <c r="O22139">
        <v>251107</v>
      </c>
      <c r="P22139">
        <v>2.96</v>
      </c>
    </row>
    <row r="22140" spans="1:16" x14ac:dyDescent="0.25">
      <c r="A22140" t="s">
        <v>3296</v>
      </c>
      <c r="B22140" t="s">
        <v>2931</v>
      </c>
      <c r="C22140">
        <v>14885</v>
      </c>
      <c r="D22140" t="str">
        <f>"12545020828 "</f>
        <v xml:space="preserve">12545020828 </v>
      </c>
      <c r="E22140" t="s">
        <v>309</v>
      </c>
      <c r="F22140" t="s">
        <v>310</v>
      </c>
      <c r="G22140">
        <v>17.71</v>
      </c>
      <c r="H22140">
        <v>251031</v>
      </c>
      <c r="I22140">
        <v>4369</v>
      </c>
      <c r="J22140" t="s">
        <v>188</v>
      </c>
      <c r="K22140">
        <v>28.38</v>
      </c>
      <c r="L22140">
        <v>3.6</v>
      </c>
      <c r="M22140">
        <v>46554</v>
      </c>
      <c r="N22140" t="s">
        <v>102</v>
      </c>
      <c r="O22140">
        <v>251107</v>
      </c>
      <c r="P22140">
        <v>14.11</v>
      </c>
    </row>
    <row r="22141" spans="1:16" x14ac:dyDescent="0.25">
      <c r="A22141" t="s">
        <v>3296</v>
      </c>
      <c r="B22141" t="s">
        <v>2931</v>
      </c>
      <c r="C22141">
        <v>14885</v>
      </c>
      <c r="D22141" t="str">
        <f>"12545020828 "</f>
        <v xml:space="preserve">12545020828 </v>
      </c>
      <c r="E22141" t="s">
        <v>309</v>
      </c>
      <c r="F22141" t="s">
        <v>310</v>
      </c>
      <c r="G22141">
        <v>10.67</v>
      </c>
      <c r="H22141">
        <v>251031</v>
      </c>
      <c r="I22141">
        <v>4369</v>
      </c>
      <c r="J22141" t="s">
        <v>188</v>
      </c>
      <c r="K22141">
        <v>28.38</v>
      </c>
      <c r="L22141">
        <v>2.17</v>
      </c>
      <c r="M22141">
        <v>46554</v>
      </c>
      <c r="N22141" t="s">
        <v>102</v>
      </c>
      <c r="O22141">
        <v>251107</v>
      </c>
      <c r="P22141">
        <v>8.5</v>
      </c>
    </row>
    <row r="22142" spans="1:16" x14ac:dyDescent="0.25">
      <c r="A22142" t="s">
        <v>3296</v>
      </c>
      <c r="B22142" t="s">
        <v>2931</v>
      </c>
      <c r="C22142">
        <v>14886</v>
      </c>
      <c r="D22142" t="str">
        <f>"12545020827 "</f>
        <v xml:space="preserve">12545020827 </v>
      </c>
      <c r="E22142" t="s">
        <v>309</v>
      </c>
      <c r="F22142" t="s">
        <v>310</v>
      </c>
      <c r="G22142">
        <v>20.329999999999998</v>
      </c>
      <c r="H22142">
        <v>251031</v>
      </c>
      <c r="I22142">
        <v>4369</v>
      </c>
      <c r="J22142" t="s">
        <v>188</v>
      </c>
      <c r="K22142">
        <v>23.72</v>
      </c>
      <c r="L22142">
        <v>4.13</v>
      </c>
      <c r="M22142">
        <v>47522</v>
      </c>
      <c r="N22142" t="s">
        <v>106</v>
      </c>
      <c r="O22142">
        <v>251107</v>
      </c>
      <c r="P22142">
        <v>16.2</v>
      </c>
    </row>
    <row r="22143" spans="1:16" x14ac:dyDescent="0.25">
      <c r="A22143" t="s">
        <v>3296</v>
      </c>
      <c r="B22143" t="s">
        <v>2931</v>
      </c>
      <c r="C22143">
        <v>14886</v>
      </c>
      <c r="D22143" t="str">
        <f>"12545020827 "</f>
        <v xml:space="preserve">12545020827 </v>
      </c>
      <c r="E22143" t="s">
        <v>309</v>
      </c>
      <c r="F22143" t="s">
        <v>310</v>
      </c>
      <c r="G22143">
        <v>3.39</v>
      </c>
      <c r="H22143">
        <v>251031</v>
      </c>
      <c r="I22143">
        <v>4369</v>
      </c>
      <c r="J22143" t="s">
        <v>188</v>
      </c>
      <c r="K22143">
        <v>23.72</v>
      </c>
      <c r="L22143">
        <v>0.69</v>
      </c>
      <c r="M22143">
        <v>49702</v>
      </c>
      <c r="N22143" t="s">
        <v>112</v>
      </c>
      <c r="O22143">
        <v>251107</v>
      </c>
      <c r="P22143">
        <v>2.7</v>
      </c>
    </row>
    <row r="22144" spans="1:16" x14ac:dyDescent="0.25">
      <c r="A22144" t="s">
        <v>3296</v>
      </c>
      <c r="B22144" t="s">
        <v>2931</v>
      </c>
      <c r="C22144">
        <v>14887</v>
      </c>
      <c r="D22144" t="str">
        <f>"12545020824 "</f>
        <v xml:space="preserve">12545020824 </v>
      </c>
      <c r="E22144" t="s">
        <v>309</v>
      </c>
      <c r="F22144" t="s">
        <v>310</v>
      </c>
      <c r="G22144">
        <v>30.84</v>
      </c>
      <c r="H22144">
        <v>251031</v>
      </c>
      <c r="I22144">
        <v>4369</v>
      </c>
      <c r="J22144" t="s">
        <v>188</v>
      </c>
      <c r="K22144">
        <v>30.84</v>
      </c>
      <c r="L22144">
        <v>6.27</v>
      </c>
      <c r="M22144">
        <v>49501</v>
      </c>
      <c r="N22144" t="s">
        <v>110</v>
      </c>
      <c r="O22144">
        <v>251107</v>
      </c>
      <c r="P22144">
        <v>24.57</v>
      </c>
    </row>
    <row r="22145" spans="1:16" x14ac:dyDescent="0.25">
      <c r="A22145" t="s">
        <v>3296</v>
      </c>
      <c r="B22145" t="s">
        <v>2931</v>
      </c>
      <c r="C22145">
        <v>14889</v>
      </c>
      <c r="D22145" t="str">
        <f t="shared" ref="D22145:D22151" si="488">"12545020820 "</f>
        <v xml:space="preserve">12545020820 </v>
      </c>
      <c r="E22145" t="s">
        <v>309</v>
      </c>
      <c r="F22145" t="s">
        <v>310</v>
      </c>
      <c r="G22145">
        <v>17.02</v>
      </c>
      <c r="H22145">
        <v>251031</v>
      </c>
      <c r="I22145">
        <v>4369</v>
      </c>
      <c r="J22145" t="s">
        <v>188</v>
      </c>
      <c r="K22145">
        <v>47.51</v>
      </c>
      <c r="L22145">
        <v>3.46</v>
      </c>
      <c r="M22145">
        <v>54222</v>
      </c>
      <c r="N22145" t="s">
        <v>48</v>
      </c>
      <c r="O22145">
        <v>251107</v>
      </c>
      <c r="P22145">
        <v>13.56</v>
      </c>
    </row>
    <row r="22146" spans="1:16" x14ac:dyDescent="0.25">
      <c r="A22146" t="s">
        <v>3296</v>
      </c>
      <c r="B22146" t="s">
        <v>2931</v>
      </c>
      <c r="C22146">
        <v>14889</v>
      </c>
      <c r="D22146" t="str">
        <f t="shared" si="488"/>
        <v xml:space="preserve">12545020820 </v>
      </c>
      <c r="E22146" t="s">
        <v>309</v>
      </c>
      <c r="F22146" t="s">
        <v>310</v>
      </c>
      <c r="G22146">
        <v>3.39</v>
      </c>
      <c r="H22146">
        <v>251031</v>
      </c>
      <c r="I22146">
        <v>4369</v>
      </c>
      <c r="J22146" t="s">
        <v>188</v>
      </c>
      <c r="K22146">
        <v>47.51</v>
      </c>
      <c r="L22146">
        <v>0.69</v>
      </c>
      <c r="M22146">
        <v>54251</v>
      </c>
      <c r="N22146" t="s">
        <v>485</v>
      </c>
      <c r="O22146">
        <v>251107</v>
      </c>
      <c r="P22146">
        <v>2.7</v>
      </c>
    </row>
    <row r="22147" spans="1:16" x14ac:dyDescent="0.25">
      <c r="A22147" t="s">
        <v>3296</v>
      </c>
      <c r="B22147" t="s">
        <v>2931</v>
      </c>
      <c r="C22147">
        <v>14889</v>
      </c>
      <c r="D22147" t="str">
        <f t="shared" si="488"/>
        <v xml:space="preserve">12545020820 </v>
      </c>
      <c r="E22147" t="s">
        <v>309</v>
      </c>
      <c r="F22147" t="s">
        <v>310</v>
      </c>
      <c r="G22147">
        <v>3.39</v>
      </c>
      <c r="H22147">
        <v>251031</v>
      </c>
      <c r="I22147">
        <v>4369</v>
      </c>
      <c r="J22147" t="s">
        <v>188</v>
      </c>
      <c r="K22147">
        <v>47.51</v>
      </c>
      <c r="L22147">
        <v>0.69</v>
      </c>
      <c r="M22147">
        <v>54252</v>
      </c>
      <c r="N22147" t="s">
        <v>742</v>
      </c>
      <c r="O22147">
        <v>251107</v>
      </c>
      <c r="P22147">
        <v>2.7</v>
      </c>
    </row>
    <row r="22148" spans="1:16" x14ac:dyDescent="0.25">
      <c r="A22148" t="s">
        <v>3296</v>
      </c>
      <c r="B22148" t="s">
        <v>2931</v>
      </c>
      <c r="C22148">
        <v>14889</v>
      </c>
      <c r="D22148" t="str">
        <f t="shared" si="488"/>
        <v xml:space="preserve">12545020820 </v>
      </c>
      <c r="E22148" t="s">
        <v>309</v>
      </c>
      <c r="F22148" t="s">
        <v>310</v>
      </c>
      <c r="G22148">
        <v>6.78</v>
      </c>
      <c r="H22148">
        <v>251031</v>
      </c>
      <c r="I22148">
        <v>4369</v>
      </c>
      <c r="J22148" t="s">
        <v>188</v>
      </c>
      <c r="K22148">
        <v>47.51</v>
      </c>
      <c r="L22148">
        <v>1.38</v>
      </c>
      <c r="M22148">
        <v>54422</v>
      </c>
      <c r="N22148" t="s">
        <v>49</v>
      </c>
      <c r="O22148">
        <v>251107</v>
      </c>
      <c r="P22148">
        <v>5.4</v>
      </c>
    </row>
    <row r="22149" spans="1:16" x14ac:dyDescent="0.25">
      <c r="A22149" t="s">
        <v>3296</v>
      </c>
      <c r="B22149" t="s">
        <v>2931</v>
      </c>
      <c r="C22149">
        <v>14889</v>
      </c>
      <c r="D22149" t="str">
        <f t="shared" si="488"/>
        <v xml:space="preserve">12545020820 </v>
      </c>
      <c r="E22149" t="s">
        <v>309</v>
      </c>
      <c r="F22149" t="s">
        <v>310</v>
      </c>
      <c r="G22149">
        <v>6.78</v>
      </c>
      <c r="H22149">
        <v>251031</v>
      </c>
      <c r="I22149">
        <v>4369</v>
      </c>
      <c r="J22149" t="s">
        <v>188</v>
      </c>
      <c r="K22149">
        <v>47.51</v>
      </c>
      <c r="L22149">
        <v>1.38</v>
      </c>
      <c r="M22149">
        <v>54451</v>
      </c>
      <c r="N22149" t="s">
        <v>218</v>
      </c>
      <c r="O22149">
        <v>251107</v>
      </c>
      <c r="P22149">
        <v>5.4</v>
      </c>
    </row>
    <row r="22150" spans="1:16" x14ac:dyDescent="0.25">
      <c r="A22150" t="s">
        <v>3296</v>
      </c>
      <c r="B22150" t="s">
        <v>2931</v>
      </c>
      <c r="C22150">
        <v>14889</v>
      </c>
      <c r="D22150" t="str">
        <f t="shared" si="488"/>
        <v xml:space="preserve">12545020820 </v>
      </c>
      <c r="E22150" t="s">
        <v>309</v>
      </c>
      <c r="F22150" t="s">
        <v>310</v>
      </c>
      <c r="G22150">
        <v>6.78</v>
      </c>
      <c r="H22150">
        <v>251031</v>
      </c>
      <c r="I22150">
        <v>4369</v>
      </c>
      <c r="J22150" t="s">
        <v>188</v>
      </c>
      <c r="K22150">
        <v>47.51</v>
      </c>
      <c r="L22150">
        <v>1.38</v>
      </c>
      <c r="M22150">
        <v>56563</v>
      </c>
      <c r="N22150" t="s">
        <v>55</v>
      </c>
      <c r="O22150">
        <v>251107</v>
      </c>
      <c r="P22150">
        <v>5.4</v>
      </c>
    </row>
    <row r="22151" spans="1:16" x14ac:dyDescent="0.25">
      <c r="A22151" t="s">
        <v>3296</v>
      </c>
      <c r="B22151" t="s">
        <v>2931</v>
      </c>
      <c r="C22151">
        <v>14889</v>
      </c>
      <c r="D22151" t="str">
        <f t="shared" si="488"/>
        <v xml:space="preserve">12545020820 </v>
      </c>
      <c r="E22151" t="s">
        <v>309</v>
      </c>
      <c r="F22151" t="s">
        <v>310</v>
      </c>
      <c r="G22151">
        <v>3.37</v>
      </c>
      <c r="H22151">
        <v>251031</v>
      </c>
      <c r="I22151">
        <v>4369</v>
      </c>
      <c r="J22151" t="s">
        <v>188</v>
      </c>
      <c r="K22151">
        <v>47.51</v>
      </c>
      <c r="L22151">
        <v>0.68</v>
      </c>
      <c r="M22151">
        <v>58601</v>
      </c>
      <c r="N22151" t="s">
        <v>59</v>
      </c>
      <c r="O22151">
        <v>251107</v>
      </c>
      <c r="P22151">
        <v>2.69</v>
      </c>
    </row>
    <row r="22152" spans="1:16" x14ac:dyDescent="0.25">
      <c r="A22152" t="s">
        <v>3296</v>
      </c>
      <c r="B22152" t="s">
        <v>2931</v>
      </c>
      <c r="C22152">
        <v>15112</v>
      </c>
      <c r="D22152" t="str">
        <f t="shared" ref="D22152:D22177" si="489">"12545020840 "</f>
        <v xml:space="preserve">12545020840 </v>
      </c>
      <c r="E22152" t="s">
        <v>309</v>
      </c>
      <c r="F22152" t="s">
        <v>310</v>
      </c>
      <c r="G22152">
        <v>1.49</v>
      </c>
      <c r="H22152">
        <v>251031</v>
      </c>
      <c r="I22152">
        <v>4369</v>
      </c>
      <c r="J22152" t="s">
        <v>188</v>
      </c>
      <c r="K22152">
        <v>214.53</v>
      </c>
      <c r="L22152">
        <v>0.3</v>
      </c>
      <c r="M22152">
        <v>13540</v>
      </c>
      <c r="N22152" t="s">
        <v>131</v>
      </c>
      <c r="O22152">
        <v>251111</v>
      </c>
      <c r="P22152">
        <v>1.19</v>
      </c>
    </row>
    <row r="22153" spans="1:16" x14ac:dyDescent="0.25">
      <c r="A22153" t="s">
        <v>3296</v>
      </c>
      <c r="B22153" t="s">
        <v>2931</v>
      </c>
      <c r="C22153">
        <v>15112</v>
      </c>
      <c r="D22153" t="str">
        <f t="shared" si="489"/>
        <v xml:space="preserve">12545020840 </v>
      </c>
      <c r="E22153" t="s">
        <v>309</v>
      </c>
      <c r="F22153" t="s">
        <v>310</v>
      </c>
      <c r="G22153">
        <v>9.98</v>
      </c>
      <c r="H22153">
        <v>251031</v>
      </c>
      <c r="I22153">
        <v>4369</v>
      </c>
      <c r="J22153" t="s">
        <v>188</v>
      </c>
      <c r="K22153">
        <v>214.53</v>
      </c>
      <c r="L22153">
        <v>2.0299999999999998</v>
      </c>
      <c r="M22153">
        <v>16930</v>
      </c>
      <c r="N22153" t="s">
        <v>135</v>
      </c>
      <c r="O22153">
        <v>251111</v>
      </c>
      <c r="P22153">
        <v>7.95</v>
      </c>
    </row>
    <row r="22154" spans="1:16" x14ac:dyDescent="0.25">
      <c r="A22154" t="s">
        <v>3296</v>
      </c>
      <c r="B22154" t="s">
        <v>2931</v>
      </c>
      <c r="C22154">
        <v>15112</v>
      </c>
      <c r="D22154" t="str">
        <f t="shared" si="489"/>
        <v xml:space="preserve">12545020840 </v>
      </c>
      <c r="E22154" t="s">
        <v>309</v>
      </c>
      <c r="F22154" t="s">
        <v>310</v>
      </c>
      <c r="G22154">
        <v>3.39</v>
      </c>
      <c r="H22154">
        <v>251031</v>
      </c>
      <c r="I22154">
        <v>4369</v>
      </c>
      <c r="J22154" t="s">
        <v>188</v>
      </c>
      <c r="K22154">
        <v>214.53</v>
      </c>
      <c r="L22154">
        <v>0.69</v>
      </c>
      <c r="M22154">
        <v>16951</v>
      </c>
      <c r="N22154" t="s">
        <v>488</v>
      </c>
      <c r="O22154">
        <v>251111</v>
      </c>
      <c r="P22154">
        <v>2.7</v>
      </c>
    </row>
    <row r="22155" spans="1:16" x14ac:dyDescent="0.25">
      <c r="A22155" t="s">
        <v>3296</v>
      </c>
      <c r="B22155" t="s">
        <v>2931</v>
      </c>
      <c r="C22155">
        <v>15112</v>
      </c>
      <c r="D22155" t="str">
        <f t="shared" si="489"/>
        <v xml:space="preserve">12545020840 </v>
      </c>
      <c r="E22155" t="s">
        <v>309</v>
      </c>
      <c r="F22155" t="s">
        <v>310</v>
      </c>
      <c r="G22155">
        <v>14.38</v>
      </c>
      <c r="H22155">
        <v>251031</v>
      </c>
      <c r="I22155">
        <v>4369</v>
      </c>
      <c r="J22155" t="s">
        <v>188</v>
      </c>
      <c r="K22155">
        <v>214.53</v>
      </c>
      <c r="L22155">
        <v>2.92</v>
      </c>
      <c r="M22155">
        <v>17521</v>
      </c>
      <c r="N22155" t="s">
        <v>136</v>
      </c>
      <c r="O22155">
        <v>251111</v>
      </c>
      <c r="P22155">
        <v>11.46</v>
      </c>
    </row>
    <row r="22156" spans="1:16" x14ac:dyDescent="0.25">
      <c r="A22156" t="s">
        <v>3296</v>
      </c>
      <c r="B22156" t="s">
        <v>2931</v>
      </c>
      <c r="C22156">
        <v>15112</v>
      </c>
      <c r="D22156" t="str">
        <f t="shared" si="489"/>
        <v xml:space="preserve">12545020840 </v>
      </c>
      <c r="E22156" t="s">
        <v>309</v>
      </c>
      <c r="F22156" t="s">
        <v>310</v>
      </c>
      <c r="G22156">
        <v>6.85</v>
      </c>
      <c r="H22156">
        <v>251031</v>
      </c>
      <c r="I22156">
        <v>4369</v>
      </c>
      <c r="J22156" t="s">
        <v>188</v>
      </c>
      <c r="K22156">
        <v>214.53</v>
      </c>
      <c r="L22156">
        <v>1.39</v>
      </c>
      <c r="M22156">
        <v>17522</v>
      </c>
      <c r="N22156" t="s">
        <v>137</v>
      </c>
      <c r="O22156">
        <v>251111</v>
      </c>
      <c r="P22156">
        <v>5.46</v>
      </c>
    </row>
    <row r="22157" spans="1:16" x14ac:dyDescent="0.25">
      <c r="A22157" t="s">
        <v>3296</v>
      </c>
      <c r="B22157" t="s">
        <v>2931</v>
      </c>
      <c r="C22157">
        <v>15112</v>
      </c>
      <c r="D22157" t="str">
        <f t="shared" si="489"/>
        <v xml:space="preserve">12545020840 </v>
      </c>
      <c r="E22157" t="s">
        <v>309</v>
      </c>
      <c r="F22157" t="s">
        <v>310</v>
      </c>
      <c r="G22157">
        <v>15.52</v>
      </c>
      <c r="H22157">
        <v>251031</v>
      </c>
      <c r="I22157">
        <v>4369</v>
      </c>
      <c r="J22157" t="s">
        <v>188</v>
      </c>
      <c r="K22157">
        <v>214.53</v>
      </c>
      <c r="L22157">
        <v>3.15</v>
      </c>
      <c r="M22157">
        <v>17523</v>
      </c>
      <c r="N22157" t="s">
        <v>138</v>
      </c>
      <c r="O22157">
        <v>251111</v>
      </c>
      <c r="P22157">
        <v>12.37</v>
      </c>
    </row>
    <row r="22158" spans="1:16" x14ac:dyDescent="0.25">
      <c r="A22158" t="s">
        <v>3296</v>
      </c>
      <c r="B22158" t="s">
        <v>2931</v>
      </c>
      <c r="C22158">
        <v>15112</v>
      </c>
      <c r="D22158" t="str">
        <f t="shared" si="489"/>
        <v xml:space="preserve">12545020840 </v>
      </c>
      <c r="E22158" t="s">
        <v>309</v>
      </c>
      <c r="F22158" t="s">
        <v>310</v>
      </c>
      <c r="G22158">
        <v>6.98</v>
      </c>
      <c r="H22158">
        <v>251031</v>
      </c>
      <c r="I22158">
        <v>4369</v>
      </c>
      <c r="J22158" t="s">
        <v>188</v>
      </c>
      <c r="K22158">
        <v>214.53</v>
      </c>
      <c r="L22158">
        <v>1.42</v>
      </c>
      <c r="M22158">
        <v>17524</v>
      </c>
      <c r="N22158" t="s">
        <v>139</v>
      </c>
      <c r="O22158">
        <v>251111</v>
      </c>
      <c r="P22158">
        <v>5.56</v>
      </c>
    </row>
    <row r="22159" spans="1:16" x14ac:dyDescent="0.25">
      <c r="A22159" t="s">
        <v>3296</v>
      </c>
      <c r="B22159" t="s">
        <v>2931</v>
      </c>
      <c r="C22159">
        <v>15112</v>
      </c>
      <c r="D22159" t="str">
        <f t="shared" si="489"/>
        <v xml:space="preserve">12545020840 </v>
      </c>
      <c r="E22159" t="s">
        <v>309</v>
      </c>
      <c r="F22159" t="s">
        <v>310</v>
      </c>
      <c r="G22159">
        <v>3.39</v>
      </c>
      <c r="H22159">
        <v>251031</v>
      </c>
      <c r="I22159">
        <v>4369</v>
      </c>
      <c r="J22159" t="s">
        <v>188</v>
      </c>
      <c r="K22159">
        <v>214.53</v>
      </c>
      <c r="L22159">
        <v>0.69</v>
      </c>
      <c r="M22159">
        <v>17525</v>
      </c>
      <c r="N22159" t="s">
        <v>140</v>
      </c>
      <c r="O22159">
        <v>251111</v>
      </c>
      <c r="P22159">
        <v>2.7</v>
      </c>
    </row>
    <row r="22160" spans="1:16" x14ac:dyDescent="0.25">
      <c r="A22160" t="s">
        <v>3296</v>
      </c>
      <c r="B22160" t="s">
        <v>2931</v>
      </c>
      <c r="C22160">
        <v>15112</v>
      </c>
      <c r="D22160" t="str">
        <f t="shared" si="489"/>
        <v xml:space="preserve">12545020840 </v>
      </c>
      <c r="E22160" t="s">
        <v>309</v>
      </c>
      <c r="F22160" t="s">
        <v>310</v>
      </c>
      <c r="G22160">
        <v>6.78</v>
      </c>
      <c r="H22160">
        <v>251031</v>
      </c>
      <c r="I22160">
        <v>4369</v>
      </c>
      <c r="J22160" t="s">
        <v>188</v>
      </c>
      <c r="K22160">
        <v>214.53</v>
      </c>
      <c r="L22160">
        <v>1.38</v>
      </c>
      <c r="M22160">
        <v>17526</v>
      </c>
      <c r="N22160" t="s">
        <v>141</v>
      </c>
      <c r="O22160">
        <v>251111</v>
      </c>
      <c r="P22160">
        <v>5.4</v>
      </c>
    </row>
    <row r="22161" spans="1:16" x14ac:dyDescent="0.25">
      <c r="A22161" t="s">
        <v>3296</v>
      </c>
      <c r="B22161" t="s">
        <v>2931</v>
      </c>
      <c r="C22161">
        <v>15112</v>
      </c>
      <c r="D22161" t="str">
        <f t="shared" si="489"/>
        <v xml:space="preserve">12545020840 </v>
      </c>
      <c r="E22161" t="s">
        <v>309</v>
      </c>
      <c r="F22161" t="s">
        <v>310</v>
      </c>
      <c r="G22161">
        <v>7.88</v>
      </c>
      <c r="H22161">
        <v>251031</v>
      </c>
      <c r="I22161">
        <v>4369</v>
      </c>
      <c r="J22161" t="s">
        <v>188</v>
      </c>
      <c r="K22161">
        <v>214.53</v>
      </c>
      <c r="L22161">
        <v>1.6</v>
      </c>
      <c r="M22161">
        <v>17527</v>
      </c>
      <c r="N22161" t="s">
        <v>142</v>
      </c>
      <c r="O22161">
        <v>251111</v>
      </c>
      <c r="P22161">
        <v>6.28</v>
      </c>
    </row>
    <row r="22162" spans="1:16" x14ac:dyDescent="0.25">
      <c r="A22162" t="s">
        <v>3296</v>
      </c>
      <c r="B22162" t="s">
        <v>2931</v>
      </c>
      <c r="C22162">
        <v>15112</v>
      </c>
      <c r="D22162" t="str">
        <f t="shared" si="489"/>
        <v xml:space="preserve">12545020840 </v>
      </c>
      <c r="E22162" t="s">
        <v>309</v>
      </c>
      <c r="F22162" t="s">
        <v>310</v>
      </c>
      <c r="G22162">
        <v>7.07</v>
      </c>
      <c r="H22162">
        <v>251031</v>
      </c>
      <c r="I22162">
        <v>4369</v>
      </c>
      <c r="J22162" t="s">
        <v>188</v>
      </c>
      <c r="K22162">
        <v>214.53</v>
      </c>
      <c r="L22162">
        <v>1.44</v>
      </c>
      <c r="M22162">
        <v>17529</v>
      </c>
      <c r="N22162" t="s">
        <v>143</v>
      </c>
      <c r="O22162">
        <v>251111</v>
      </c>
      <c r="P22162">
        <v>5.63</v>
      </c>
    </row>
    <row r="22163" spans="1:16" x14ac:dyDescent="0.25">
      <c r="A22163" t="s">
        <v>3296</v>
      </c>
      <c r="B22163" t="s">
        <v>2931</v>
      </c>
      <c r="C22163">
        <v>15112</v>
      </c>
      <c r="D22163" t="str">
        <f t="shared" si="489"/>
        <v xml:space="preserve">12545020840 </v>
      </c>
      <c r="E22163" t="s">
        <v>309</v>
      </c>
      <c r="F22163" t="s">
        <v>310</v>
      </c>
      <c r="G22163">
        <v>10.47</v>
      </c>
      <c r="H22163">
        <v>251031</v>
      </c>
      <c r="I22163">
        <v>4369</v>
      </c>
      <c r="J22163" t="s">
        <v>188</v>
      </c>
      <c r="K22163">
        <v>214.53</v>
      </c>
      <c r="L22163">
        <v>2.13</v>
      </c>
      <c r="M22163">
        <v>17530</v>
      </c>
      <c r="N22163" t="s">
        <v>144</v>
      </c>
      <c r="O22163">
        <v>251111</v>
      </c>
      <c r="P22163">
        <v>8.34</v>
      </c>
    </row>
    <row r="22164" spans="1:16" x14ac:dyDescent="0.25">
      <c r="A22164" t="s">
        <v>3296</v>
      </c>
      <c r="B22164" t="s">
        <v>2931</v>
      </c>
      <c r="C22164">
        <v>15112</v>
      </c>
      <c r="D22164" t="str">
        <f t="shared" si="489"/>
        <v xml:space="preserve">12545020840 </v>
      </c>
      <c r="E22164" t="s">
        <v>309</v>
      </c>
      <c r="F22164" t="s">
        <v>310</v>
      </c>
      <c r="G22164">
        <v>13.18</v>
      </c>
      <c r="H22164">
        <v>251031</v>
      </c>
      <c r="I22164">
        <v>4369</v>
      </c>
      <c r="J22164" t="s">
        <v>188</v>
      </c>
      <c r="K22164">
        <v>214.53</v>
      </c>
      <c r="L22164">
        <v>2.68</v>
      </c>
      <c r="M22164">
        <v>17531</v>
      </c>
      <c r="N22164" t="s">
        <v>145</v>
      </c>
      <c r="O22164">
        <v>251111</v>
      </c>
      <c r="P22164">
        <v>10.5</v>
      </c>
    </row>
    <row r="22165" spans="1:16" x14ac:dyDescent="0.25">
      <c r="A22165" t="s">
        <v>3296</v>
      </c>
      <c r="B22165" t="s">
        <v>2931</v>
      </c>
      <c r="C22165">
        <v>15112</v>
      </c>
      <c r="D22165" t="str">
        <f t="shared" si="489"/>
        <v xml:space="preserve">12545020840 </v>
      </c>
      <c r="E22165" t="s">
        <v>309</v>
      </c>
      <c r="F22165" t="s">
        <v>310</v>
      </c>
      <c r="G22165">
        <v>12.98</v>
      </c>
      <c r="H22165">
        <v>251031</v>
      </c>
      <c r="I22165">
        <v>4369</v>
      </c>
      <c r="J22165" t="s">
        <v>188</v>
      </c>
      <c r="K22165">
        <v>214.53</v>
      </c>
      <c r="L22165">
        <v>2.64</v>
      </c>
      <c r="M22165">
        <v>17532</v>
      </c>
      <c r="N22165" t="s">
        <v>146</v>
      </c>
      <c r="O22165">
        <v>251111</v>
      </c>
      <c r="P22165">
        <v>10.34</v>
      </c>
    </row>
    <row r="22166" spans="1:16" x14ac:dyDescent="0.25">
      <c r="A22166" t="s">
        <v>3296</v>
      </c>
      <c r="B22166" t="s">
        <v>2931</v>
      </c>
      <c r="C22166">
        <v>15112</v>
      </c>
      <c r="D22166" t="str">
        <f t="shared" si="489"/>
        <v xml:space="preserve">12545020840 </v>
      </c>
      <c r="E22166" t="s">
        <v>309</v>
      </c>
      <c r="F22166" t="s">
        <v>310</v>
      </c>
      <c r="G22166">
        <v>7.2</v>
      </c>
      <c r="H22166">
        <v>251031</v>
      </c>
      <c r="I22166">
        <v>4369</v>
      </c>
      <c r="J22166" t="s">
        <v>188</v>
      </c>
      <c r="K22166">
        <v>214.53</v>
      </c>
      <c r="L22166">
        <v>1.46</v>
      </c>
      <c r="M22166">
        <v>17533</v>
      </c>
      <c r="N22166" t="s">
        <v>147</v>
      </c>
      <c r="O22166">
        <v>251111</v>
      </c>
      <c r="P22166">
        <v>5.74</v>
      </c>
    </row>
    <row r="22167" spans="1:16" x14ac:dyDescent="0.25">
      <c r="A22167" t="s">
        <v>3296</v>
      </c>
      <c r="B22167" t="s">
        <v>2931</v>
      </c>
      <c r="C22167">
        <v>15112</v>
      </c>
      <c r="D22167" t="str">
        <f t="shared" si="489"/>
        <v xml:space="preserve">12545020840 </v>
      </c>
      <c r="E22167" t="s">
        <v>309</v>
      </c>
      <c r="F22167" t="s">
        <v>310</v>
      </c>
      <c r="G22167">
        <v>6.78</v>
      </c>
      <c r="H22167">
        <v>251031</v>
      </c>
      <c r="I22167">
        <v>4369</v>
      </c>
      <c r="J22167" t="s">
        <v>188</v>
      </c>
      <c r="K22167">
        <v>214.53</v>
      </c>
      <c r="L22167">
        <v>1.38</v>
      </c>
      <c r="M22167">
        <v>17534</v>
      </c>
      <c r="N22167" t="s">
        <v>148</v>
      </c>
      <c r="O22167">
        <v>251111</v>
      </c>
      <c r="P22167">
        <v>5.4</v>
      </c>
    </row>
    <row r="22168" spans="1:16" x14ac:dyDescent="0.25">
      <c r="A22168" t="s">
        <v>3296</v>
      </c>
      <c r="B22168" t="s">
        <v>2931</v>
      </c>
      <c r="C22168">
        <v>15112</v>
      </c>
      <c r="D22168" t="str">
        <f t="shared" si="489"/>
        <v xml:space="preserve">12545020840 </v>
      </c>
      <c r="E22168" t="s">
        <v>309</v>
      </c>
      <c r="F22168" t="s">
        <v>310</v>
      </c>
      <c r="G22168">
        <v>3.39</v>
      </c>
      <c r="H22168">
        <v>251031</v>
      </c>
      <c r="I22168">
        <v>4369</v>
      </c>
      <c r="J22168" t="s">
        <v>188</v>
      </c>
      <c r="K22168">
        <v>214.53</v>
      </c>
      <c r="L22168">
        <v>0.69</v>
      </c>
      <c r="M22168">
        <v>17535</v>
      </c>
      <c r="N22168" t="s">
        <v>149</v>
      </c>
      <c r="O22168">
        <v>251111</v>
      </c>
      <c r="P22168">
        <v>2.7</v>
      </c>
    </row>
    <row r="22169" spans="1:16" x14ac:dyDescent="0.25">
      <c r="A22169" t="s">
        <v>3296</v>
      </c>
      <c r="B22169" t="s">
        <v>2931</v>
      </c>
      <c r="C22169">
        <v>15112</v>
      </c>
      <c r="D22169" t="str">
        <f t="shared" si="489"/>
        <v xml:space="preserve">12545020840 </v>
      </c>
      <c r="E22169" t="s">
        <v>309</v>
      </c>
      <c r="F22169" t="s">
        <v>310</v>
      </c>
      <c r="G22169">
        <v>6.78</v>
      </c>
      <c r="H22169">
        <v>251031</v>
      </c>
      <c r="I22169">
        <v>4369</v>
      </c>
      <c r="J22169" t="s">
        <v>188</v>
      </c>
      <c r="K22169">
        <v>214.53</v>
      </c>
      <c r="L22169">
        <v>1.38</v>
      </c>
      <c r="M22169">
        <v>17536</v>
      </c>
      <c r="N22169" t="s">
        <v>150</v>
      </c>
      <c r="O22169">
        <v>251111</v>
      </c>
      <c r="P22169">
        <v>5.4</v>
      </c>
    </row>
    <row r="22170" spans="1:16" x14ac:dyDescent="0.25">
      <c r="A22170" t="s">
        <v>3296</v>
      </c>
      <c r="B22170" t="s">
        <v>2931</v>
      </c>
      <c r="C22170">
        <v>15112</v>
      </c>
      <c r="D22170" t="str">
        <f t="shared" si="489"/>
        <v xml:space="preserve">12545020840 </v>
      </c>
      <c r="E22170" t="s">
        <v>309</v>
      </c>
      <c r="F22170" t="s">
        <v>310</v>
      </c>
      <c r="G22170">
        <v>13.18</v>
      </c>
      <c r="H22170">
        <v>251031</v>
      </c>
      <c r="I22170">
        <v>4369</v>
      </c>
      <c r="J22170" t="s">
        <v>188</v>
      </c>
      <c r="K22170">
        <v>214.53</v>
      </c>
      <c r="L22170">
        <v>2.68</v>
      </c>
      <c r="M22170">
        <v>17537</v>
      </c>
      <c r="N22170" t="s">
        <v>151</v>
      </c>
      <c r="O22170">
        <v>251111</v>
      </c>
      <c r="P22170">
        <v>10.5</v>
      </c>
    </row>
    <row r="22171" spans="1:16" x14ac:dyDescent="0.25">
      <c r="A22171" t="s">
        <v>3296</v>
      </c>
      <c r="B22171" t="s">
        <v>2931</v>
      </c>
      <c r="C22171">
        <v>15112</v>
      </c>
      <c r="D22171" t="str">
        <f t="shared" si="489"/>
        <v xml:space="preserve">12545020840 </v>
      </c>
      <c r="E22171" t="s">
        <v>309</v>
      </c>
      <c r="F22171" t="s">
        <v>310</v>
      </c>
      <c r="G22171">
        <v>10.17</v>
      </c>
      <c r="H22171">
        <v>251031</v>
      </c>
      <c r="I22171">
        <v>4369</v>
      </c>
      <c r="J22171" t="s">
        <v>188</v>
      </c>
      <c r="K22171">
        <v>214.53</v>
      </c>
      <c r="L22171">
        <v>2.0699999999999998</v>
      </c>
      <c r="M22171">
        <v>17538</v>
      </c>
      <c r="N22171" t="s">
        <v>129</v>
      </c>
      <c r="O22171">
        <v>251111</v>
      </c>
      <c r="P22171">
        <v>8.1</v>
      </c>
    </row>
    <row r="22172" spans="1:16" x14ac:dyDescent="0.25">
      <c r="A22172" t="s">
        <v>3296</v>
      </c>
      <c r="B22172" t="s">
        <v>2931</v>
      </c>
      <c r="C22172">
        <v>15112</v>
      </c>
      <c r="D22172" t="str">
        <f t="shared" si="489"/>
        <v xml:space="preserve">12545020840 </v>
      </c>
      <c r="E22172" t="s">
        <v>309</v>
      </c>
      <c r="F22172" t="s">
        <v>310</v>
      </c>
      <c r="G22172">
        <v>12.06</v>
      </c>
      <c r="H22172">
        <v>251031</v>
      </c>
      <c r="I22172">
        <v>4369</v>
      </c>
      <c r="J22172" t="s">
        <v>188</v>
      </c>
      <c r="K22172">
        <v>214.53</v>
      </c>
      <c r="L22172">
        <v>2.4500000000000002</v>
      </c>
      <c r="M22172">
        <v>17950</v>
      </c>
      <c r="N22172" t="s">
        <v>132</v>
      </c>
      <c r="O22172">
        <v>251111</v>
      </c>
      <c r="P22172">
        <v>9.61</v>
      </c>
    </row>
    <row r="22173" spans="1:16" x14ac:dyDescent="0.25">
      <c r="A22173" t="s">
        <v>3296</v>
      </c>
      <c r="B22173" t="s">
        <v>2931</v>
      </c>
      <c r="C22173">
        <v>15112</v>
      </c>
      <c r="D22173" t="str">
        <f t="shared" si="489"/>
        <v xml:space="preserve">12545020840 </v>
      </c>
      <c r="E22173" t="s">
        <v>309</v>
      </c>
      <c r="F22173" t="s">
        <v>310</v>
      </c>
      <c r="G22173">
        <v>3.38</v>
      </c>
      <c r="H22173">
        <v>251031</v>
      </c>
      <c r="I22173">
        <v>4369</v>
      </c>
      <c r="J22173" t="s">
        <v>188</v>
      </c>
      <c r="K22173">
        <v>214.53</v>
      </c>
      <c r="L22173">
        <v>0.69</v>
      </c>
      <c r="M22173">
        <v>17956</v>
      </c>
      <c r="N22173" t="s">
        <v>170</v>
      </c>
      <c r="O22173">
        <v>251111</v>
      </c>
      <c r="P22173">
        <v>2.69</v>
      </c>
    </row>
    <row r="22174" spans="1:16" x14ac:dyDescent="0.25">
      <c r="A22174" t="s">
        <v>3296</v>
      </c>
      <c r="B22174" t="s">
        <v>2931</v>
      </c>
      <c r="C22174">
        <v>15112</v>
      </c>
      <c r="D22174" t="str">
        <f t="shared" si="489"/>
        <v xml:space="preserve">12545020840 </v>
      </c>
      <c r="E22174" t="s">
        <v>309</v>
      </c>
      <c r="F22174" t="s">
        <v>310</v>
      </c>
      <c r="G22174">
        <v>17.37</v>
      </c>
      <c r="H22174">
        <v>251031</v>
      </c>
      <c r="I22174">
        <v>4369</v>
      </c>
      <c r="J22174" t="s">
        <v>188</v>
      </c>
      <c r="K22174">
        <v>214.53</v>
      </c>
      <c r="L22174">
        <v>3.53</v>
      </c>
      <c r="M22174">
        <v>17971</v>
      </c>
      <c r="N22174" t="s">
        <v>27</v>
      </c>
      <c r="O22174">
        <v>251111</v>
      </c>
      <c r="P22174">
        <v>13.84</v>
      </c>
    </row>
    <row r="22175" spans="1:16" x14ac:dyDescent="0.25">
      <c r="A22175" t="s">
        <v>3296</v>
      </c>
      <c r="B22175" t="s">
        <v>2931</v>
      </c>
      <c r="C22175">
        <v>15112</v>
      </c>
      <c r="D22175" t="str">
        <f t="shared" si="489"/>
        <v xml:space="preserve">12545020840 </v>
      </c>
      <c r="E22175" t="s">
        <v>309</v>
      </c>
      <c r="F22175" t="s">
        <v>310</v>
      </c>
      <c r="G22175">
        <v>3.39</v>
      </c>
      <c r="H22175">
        <v>251031</v>
      </c>
      <c r="I22175">
        <v>4369</v>
      </c>
      <c r="J22175" t="s">
        <v>188</v>
      </c>
      <c r="K22175">
        <v>214.53</v>
      </c>
      <c r="L22175">
        <v>0.69</v>
      </c>
      <c r="M22175">
        <v>17972</v>
      </c>
      <c r="N22175" t="s">
        <v>28</v>
      </c>
      <c r="O22175">
        <v>251111</v>
      </c>
      <c r="P22175">
        <v>2.7</v>
      </c>
    </row>
    <row r="22176" spans="1:16" x14ac:dyDescent="0.25">
      <c r="A22176" t="s">
        <v>3296</v>
      </c>
      <c r="B22176" t="s">
        <v>2931</v>
      </c>
      <c r="C22176">
        <v>15112</v>
      </c>
      <c r="D22176" t="str">
        <f t="shared" si="489"/>
        <v xml:space="preserve">12545020840 </v>
      </c>
      <c r="E22176" t="s">
        <v>309</v>
      </c>
      <c r="F22176" t="s">
        <v>310</v>
      </c>
      <c r="G22176">
        <v>3.39</v>
      </c>
      <c r="H22176">
        <v>251031</v>
      </c>
      <c r="I22176">
        <v>4369</v>
      </c>
      <c r="J22176" t="s">
        <v>188</v>
      </c>
      <c r="K22176">
        <v>214.53</v>
      </c>
      <c r="L22176">
        <v>0.69</v>
      </c>
      <c r="M22176">
        <v>17974</v>
      </c>
      <c r="N22176" t="s">
        <v>153</v>
      </c>
      <c r="O22176">
        <v>251111</v>
      </c>
      <c r="P22176">
        <v>2.7</v>
      </c>
    </row>
    <row r="22177" spans="1:16" x14ac:dyDescent="0.25">
      <c r="A22177" t="s">
        <v>3296</v>
      </c>
      <c r="B22177" t="s">
        <v>2931</v>
      </c>
      <c r="C22177">
        <v>15112</v>
      </c>
      <c r="D22177" t="str">
        <f t="shared" si="489"/>
        <v xml:space="preserve">12545020840 </v>
      </c>
      <c r="E22177" t="s">
        <v>309</v>
      </c>
      <c r="F22177" t="s">
        <v>310</v>
      </c>
      <c r="G22177">
        <v>7.1</v>
      </c>
      <c r="H22177">
        <v>251031</v>
      </c>
      <c r="I22177">
        <v>4369</v>
      </c>
      <c r="J22177" t="s">
        <v>188</v>
      </c>
      <c r="K22177">
        <v>214.53</v>
      </c>
      <c r="L22177">
        <v>1.44</v>
      </c>
      <c r="M22177">
        <v>17975</v>
      </c>
      <c r="N22177" t="s">
        <v>29</v>
      </c>
      <c r="O22177">
        <v>251111</v>
      </c>
      <c r="P22177">
        <v>5.66</v>
      </c>
    </row>
    <row r="22178" spans="1:16" x14ac:dyDescent="0.25">
      <c r="A22178" t="s">
        <v>3296</v>
      </c>
      <c r="B22178" t="s">
        <v>2931</v>
      </c>
      <c r="C22178">
        <v>15115</v>
      </c>
      <c r="D22178" t="str">
        <f t="shared" ref="D22178:D22185" si="490">"12545020814 "</f>
        <v xml:space="preserve">12545020814 </v>
      </c>
      <c r="E22178" t="s">
        <v>309</v>
      </c>
      <c r="F22178" t="s">
        <v>310</v>
      </c>
      <c r="G22178">
        <v>3.39</v>
      </c>
      <c r="H22178">
        <v>251031</v>
      </c>
      <c r="I22178">
        <v>4369</v>
      </c>
      <c r="J22178" t="s">
        <v>188</v>
      </c>
      <c r="K22178">
        <v>103.27</v>
      </c>
      <c r="L22178">
        <v>0.69</v>
      </c>
      <c r="M22178">
        <v>11001</v>
      </c>
      <c r="N22178" t="s">
        <v>93</v>
      </c>
      <c r="O22178">
        <v>251111</v>
      </c>
      <c r="P22178">
        <v>2.7</v>
      </c>
    </row>
    <row r="22179" spans="1:16" x14ac:dyDescent="0.25">
      <c r="A22179" t="s">
        <v>3296</v>
      </c>
      <c r="B22179" t="s">
        <v>2931</v>
      </c>
      <c r="C22179">
        <v>15115</v>
      </c>
      <c r="D22179" t="str">
        <f t="shared" si="490"/>
        <v xml:space="preserve">12545020814 </v>
      </c>
      <c r="E22179" t="s">
        <v>309</v>
      </c>
      <c r="F22179" t="s">
        <v>310</v>
      </c>
      <c r="G22179">
        <v>50.19</v>
      </c>
      <c r="H22179">
        <v>251031</v>
      </c>
      <c r="I22179">
        <v>4369</v>
      </c>
      <c r="J22179" t="s">
        <v>188</v>
      </c>
      <c r="K22179">
        <v>103.27</v>
      </c>
      <c r="L22179">
        <v>0</v>
      </c>
      <c r="M22179">
        <v>11001</v>
      </c>
      <c r="N22179" t="s">
        <v>93</v>
      </c>
      <c r="O22179">
        <v>251111</v>
      </c>
      <c r="P22179">
        <v>50.19</v>
      </c>
    </row>
    <row r="22180" spans="1:16" x14ac:dyDescent="0.25">
      <c r="A22180" t="s">
        <v>3296</v>
      </c>
      <c r="B22180" t="s">
        <v>2931</v>
      </c>
      <c r="C22180">
        <v>15115</v>
      </c>
      <c r="D22180" t="str">
        <f t="shared" si="490"/>
        <v xml:space="preserve">12545020814 </v>
      </c>
      <c r="E22180" t="s">
        <v>309</v>
      </c>
      <c r="F22180" t="s">
        <v>310</v>
      </c>
      <c r="G22180">
        <v>1.62</v>
      </c>
      <c r="H22180">
        <v>251031</v>
      </c>
      <c r="I22180">
        <v>4369</v>
      </c>
      <c r="J22180" t="s">
        <v>188</v>
      </c>
      <c r="K22180">
        <v>103.27</v>
      </c>
      <c r="L22180">
        <v>0.33</v>
      </c>
      <c r="M22180">
        <v>11401</v>
      </c>
      <c r="N22180" t="s">
        <v>91</v>
      </c>
      <c r="O22180">
        <v>251111</v>
      </c>
      <c r="P22180">
        <v>1.29</v>
      </c>
    </row>
    <row r="22181" spans="1:16" x14ac:dyDescent="0.25">
      <c r="A22181" t="s">
        <v>3296</v>
      </c>
      <c r="B22181" t="s">
        <v>2931</v>
      </c>
      <c r="C22181">
        <v>15115</v>
      </c>
      <c r="D22181" t="str">
        <f t="shared" si="490"/>
        <v xml:space="preserve">12545020814 </v>
      </c>
      <c r="E22181" t="s">
        <v>309</v>
      </c>
      <c r="F22181" t="s">
        <v>310</v>
      </c>
      <c r="G22181">
        <v>6.78</v>
      </c>
      <c r="H22181">
        <v>251031</v>
      </c>
      <c r="I22181">
        <v>4369</v>
      </c>
      <c r="J22181" t="s">
        <v>188</v>
      </c>
      <c r="K22181">
        <v>103.27</v>
      </c>
      <c r="L22181">
        <v>1.38</v>
      </c>
      <c r="M22181">
        <v>11501</v>
      </c>
      <c r="N22181" t="s">
        <v>13</v>
      </c>
      <c r="O22181">
        <v>251111</v>
      </c>
      <c r="P22181">
        <v>5.4</v>
      </c>
    </row>
    <row r="22182" spans="1:16" x14ac:dyDescent="0.25">
      <c r="A22182" t="s">
        <v>3296</v>
      </c>
      <c r="B22182" t="s">
        <v>2931</v>
      </c>
      <c r="C22182">
        <v>15115</v>
      </c>
      <c r="D22182" t="str">
        <f t="shared" si="490"/>
        <v xml:space="preserve">12545020814 </v>
      </c>
      <c r="E22182" t="s">
        <v>309</v>
      </c>
      <c r="F22182" t="s">
        <v>310</v>
      </c>
      <c r="G22182">
        <v>3.39</v>
      </c>
      <c r="H22182">
        <v>251031</v>
      </c>
      <c r="I22182">
        <v>4369</v>
      </c>
      <c r="J22182" t="s">
        <v>188</v>
      </c>
      <c r="K22182">
        <v>103.27</v>
      </c>
      <c r="L22182">
        <v>0.69</v>
      </c>
      <c r="M22182">
        <v>11701</v>
      </c>
      <c r="N22182" t="s">
        <v>973</v>
      </c>
      <c r="O22182">
        <v>251111</v>
      </c>
      <c r="P22182">
        <v>2.7</v>
      </c>
    </row>
    <row r="22183" spans="1:16" x14ac:dyDescent="0.25">
      <c r="A22183" t="s">
        <v>3296</v>
      </c>
      <c r="B22183" t="s">
        <v>2931</v>
      </c>
      <c r="C22183">
        <v>15115</v>
      </c>
      <c r="D22183" t="str">
        <f t="shared" si="490"/>
        <v xml:space="preserve">12545020814 </v>
      </c>
      <c r="E22183" t="s">
        <v>309</v>
      </c>
      <c r="F22183" t="s">
        <v>310</v>
      </c>
      <c r="G22183">
        <v>3.39</v>
      </c>
      <c r="H22183">
        <v>251031</v>
      </c>
      <c r="I22183">
        <v>4369</v>
      </c>
      <c r="J22183" t="s">
        <v>188</v>
      </c>
      <c r="K22183">
        <v>103.27</v>
      </c>
      <c r="L22183">
        <v>0.69</v>
      </c>
      <c r="M22183">
        <v>11751</v>
      </c>
      <c r="N22183" t="s">
        <v>167</v>
      </c>
      <c r="O22183">
        <v>251111</v>
      </c>
      <c r="P22183">
        <v>2.7</v>
      </c>
    </row>
    <row r="22184" spans="1:16" x14ac:dyDescent="0.25">
      <c r="A22184" t="s">
        <v>3296</v>
      </c>
      <c r="B22184" t="s">
        <v>2931</v>
      </c>
      <c r="C22184">
        <v>15115</v>
      </c>
      <c r="D22184" t="str">
        <f t="shared" si="490"/>
        <v xml:space="preserve">12545020814 </v>
      </c>
      <c r="E22184" t="s">
        <v>309</v>
      </c>
      <c r="F22184" t="s">
        <v>310</v>
      </c>
      <c r="G22184">
        <v>31.12</v>
      </c>
      <c r="H22184">
        <v>251031</v>
      </c>
      <c r="I22184">
        <v>4369</v>
      </c>
      <c r="J22184" t="s">
        <v>188</v>
      </c>
      <c r="K22184">
        <v>103.27</v>
      </c>
      <c r="L22184">
        <v>6.32</v>
      </c>
      <c r="M22184">
        <v>14622</v>
      </c>
      <c r="N22184" t="s">
        <v>77</v>
      </c>
      <c r="O22184">
        <v>251111</v>
      </c>
      <c r="P22184">
        <v>24.8</v>
      </c>
    </row>
    <row r="22185" spans="1:16" x14ac:dyDescent="0.25">
      <c r="A22185" t="s">
        <v>3296</v>
      </c>
      <c r="B22185" t="s">
        <v>2931</v>
      </c>
      <c r="C22185">
        <v>15115</v>
      </c>
      <c r="D22185" t="str">
        <f t="shared" si="490"/>
        <v xml:space="preserve">12545020814 </v>
      </c>
      <c r="E22185" t="s">
        <v>309</v>
      </c>
      <c r="F22185" t="s">
        <v>310</v>
      </c>
      <c r="G22185">
        <v>3.39</v>
      </c>
      <c r="H22185">
        <v>251031</v>
      </c>
      <c r="I22185">
        <v>4369</v>
      </c>
      <c r="J22185" t="s">
        <v>188</v>
      </c>
      <c r="K22185">
        <v>103.27</v>
      </c>
      <c r="L22185">
        <v>0.69</v>
      </c>
      <c r="M22185">
        <v>14952</v>
      </c>
      <c r="N22185" t="s">
        <v>213</v>
      </c>
      <c r="O22185">
        <v>251111</v>
      </c>
      <c r="P22185">
        <v>2.7</v>
      </c>
    </row>
    <row r="22186" spans="1:16" x14ac:dyDescent="0.25">
      <c r="A22186" t="s">
        <v>3296</v>
      </c>
      <c r="B22186" t="s">
        <v>2931</v>
      </c>
      <c r="C22186">
        <v>15118</v>
      </c>
      <c r="D22186" t="str">
        <f>"12545020823 "</f>
        <v xml:space="preserve">12545020823 </v>
      </c>
      <c r="E22186" t="s">
        <v>309</v>
      </c>
      <c r="F22186" t="s">
        <v>310</v>
      </c>
      <c r="G22186">
        <v>35.130000000000003</v>
      </c>
      <c r="H22186">
        <v>251031</v>
      </c>
      <c r="I22186">
        <v>4369</v>
      </c>
      <c r="J22186" t="s">
        <v>188</v>
      </c>
      <c r="K22186">
        <v>35.130000000000003</v>
      </c>
      <c r="L22186">
        <v>7.14</v>
      </c>
      <c r="M22186">
        <v>13901</v>
      </c>
      <c r="N22186" t="s">
        <v>116</v>
      </c>
      <c r="O22186">
        <v>251111</v>
      </c>
      <c r="P22186">
        <v>27.99</v>
      </c>
    </row>
    <row r="22187" spans="1:16" x14ac:dyDescent="0.25">
      <c r="A22187" t="s">
        <v>3296</v>
      </c>
      <c r="B22187" t="s">
        <v>2931</v>
      </c>
      <c r="C22187">
        <v>15121</v>
      </c>
      <c r="D22187" t="str">
        <f t="shared" ref="D22187:D22215" si="491">"12545020819 "</f>
        <v xml:space="preserve">12545020819 </v>
      </c>
      <c r="E22187" t="s">
        <v>309</v>
      </c>
      <c r="F22187" t="s">
        <v>310</v>
      </c>
      <c r="G22187">
        <v>27.22</v>
      </c>
      <c r="H22187">
        <v>251031</v>
      </c>
      <c r="I22187">
        <v>4369</v>
      </c>
      <c r="J22187" t="s">
        <v>188</v>
      </c>
      <c r="K22187">
        <v>329.83</v>
      </c>
      <c r="L22187">
        <v>5.53</v>
      </c>
      <c r="M22187">
        <v>61122</v>
      </c>
      <c r="N22187" t="s">
        <v>86</v>
      </c>
      <c r="O22187">
        <v>251111</v>
      </c>
      <c r="P22187">
        <v>21.69</v>
      </c>
    </row>
    <row r="22188" spans="1:16" x14ac:dyDescent="0.25">
      <c r="A22188" t="s">
        <v>3296</v>
      </c>
      <c r="B22188" t="s">
        <v>2931</v>
      </c>
      <c r="C22188">
        <v>15121</v>
      </c>
      <c r="D22188" t="str">
        <f t="shared" si="491"/>
        <v xml:space="preserve">12545020819 </v>
      </c>
      <c r="E22188" t="s">
        <v>309</v>
      </c>
      <c r="F22188" t="s">
        <v>310</v>
      </c>
      <c r="G22188">
        <v>3.39</v>
      </c>
      <c r="H22188">
        <v>251031</v>
      </c>
      <c r="I22188">
        <v>4369</v>
      </c>
      <c r="J22188" t="s">
        <v>188</v>
      </c>
      <c r="K22188">
        <v>329.83</v>
      </c>
      <c r="L22188">
        <v>0.69</v>
      </c>
      <c r="M22188">
        <v>61122</v>
      </c>
      <c r="N22188" t="s">
        <v>86</v>
      </c>
      <c r="O22188">
        <v>251111</v>
      </c>
      <c r="P22188">
        <v>2.7</v>
      </c>
    </row>
    <row r="22189" spans="1:16" x14ac:dyDescent="0.25">
      <c r="A22189" t="s">
        <v>3296</v>
      </c>
      <c r="B22189" t="s">
        <v>2931</v>
      </c>
      <c r="C22189">
        <v>15121</v>
      </c>
      <c r="D22189" t="str">
        <f t="shared" si="491"/>
        <v xml:space="preserve">12545020819 </v>
      </c>
      <c r="E22189" t="s">
        <v>309</v>
      </c>
      <c r="F22189" t="s">
        <v>310</v>
      </c>
      <c r="G22189">
        <v>13.74</v>
      </c>
      <c r="H22189">
        <v>251031</v>
      </c>
      <c r="I22189">
        <v>4369</v>
      </c>
      <c r="J22189" t="s">
        <v>188</v>
      </c>
      <c r="K22189">
        <v>329.83</v>
      </c>
      <c r="L22189">
        <v>2.79</v>
      </c>
      <c r="M22189">
        <v>65222</v>
      </c>
      <c r="N22189" t="s">
        <v>87</v>
      </c>
      <c r="O22189">
        <v>251111</v>
      </c>
      <c r="P22189">
        <v>10.95</v>
      </c>
    </row>
    <row r="22190" spans="1:16" x14ac:dyDescent="0.25">
      <c r="A22190" t="s">
        <v>3296</v>
      </c>
      <c r="B22190" t="s">
        <v>2931</v>
      </c>
      <c r="C22190">
        <v>15121</v>
      </c>
      <c r="D22190" t="str">
        <f t="shared" si="491"/>
        <v xml:space="preserve">12545020819 </v>
      </c>
      <c r="E22190" t="s">
        <v>309</v>
      </c>
      <c r="F22190" t="s">
        <v>310</v>
      </c>
      <c r="G22190">
        <v>3.39</v>
      </c>
      <c r="H22190">
        <v>251031</v>
      </c>
      <c r="I22190">
        <v>4369</v>
      </c>
      <c r="J22190" t="s">
        <v>188</v>
      </c>
      <c r="K22190">
        <v>329.83</v>
      </c>
      <c r="L22190">
        <v>0.69</v>
      </c>
      <c r="M22190">
        <v>65422</v>
      </c>
      <c r="N22190" t="s">
        <v>117</v>
      </c>
      <c r="O22190">
        <v>251111</v>
      </c>
      <c r="P22190">
        <v>2.7</v>
      </c>
    </row>
    <row r="22191" spans="1:16" x14ac:dyDescent="0.25">
      <c r="A22191" t="s">
        <v>3296</v>
      </c>
      <c r="B22191" t="s">
        <v>2931</v>
      </c>
      <c r="C22191">
        <v>15121</v>
      </c>
      <c r="D22191" t="str">
        <f t="shared" si="491"/>
        <v xml:space="preserve">12545020819 </v>
      </c>
      <c r="E22191" t="s">
        <v>309</v>
      </c>
      <c r="F22191" t="s">
        <v>310</v>
      </c>
      <c r="G22191">
        <v>10.17</v>
      </c>
      <c r="H22191">
        <v>251031</v>
      </c>
      <c r="I22191">
        <v>4369</v>
      </c>
      <c r="J22191" t="s">
        <v>188</v>
      </c>
      <c r="K22191">
        <v>329.83</v>
      </c>
      <c r="L22191">
        <v>2.0699999999999998</v>
      </c>
      <c r="M22191">
        <v>66722</v>
      </c>
      <c r="N22191" t="s">
        <v>118</v>
      </c>
      <c r="O22191">
        <v>251111</v>
      </c>
      <c r="P22191">
        <v>8.1</v>
      </c>
    </row>
    <row r="22192" spans="1:16" x14ac:dyDescent="0.25">
      <c r="A22192" t="s">
        <v>3296</v>
      </c>
      <c r="B22192" t="s">
        <v>2931</v>
      </c>
      <c r="C22192">
        <v>15121</v>
      </c>
      <c r="D22192" t="str">
        <f t="shared" si="491"/>
        <v xml:space="preserve">12545020819 </v>
      </c>
      <c r="E22192" t="s">
        <v>309</v>
      </c>
      <c r="F22192" t="s">
        <v>310</v>
      </c>
      <c r="G22192">
        <v>11.73</v>
      </c>
      <c r="H22192">
        <v>251031</v>
      </c>
      <c r="I22192">
        <v>4369</v>
      </c>
      <c r="J22192" t="s">
        <v>188</v>
      </c>
      <c r="K22192">
        <v>329.83</v>
      </c>
      <c r="L22192">
        <v>2.38</v>
      </c>
      <c r="M22192">
        <v>66754</v>
      </c>
      <c r="N22192" t="s">
        <v>119</v>
      </c>
      <c r="O22192">
        <v>251111</v>
      </c>
      <c r="P22192">
        <v>9.35</v>
      </c>
    </row>
    <row r="22193" spans="1:16" x14ac:dyDescent="0.25">
      <c r="A22193" t="s">
        <v>3296</v>
      </c>
      <c r="B22193" t="s">
        <v>2931</v>
      </c>
      <c r="C22193">
        <v>15121</v>
      </c>
      <c r="D22193" t="str">
        <f t="shared" si="491"/>
        <v xml:space="preserve">12545020819 </v>
      </c>
      <c r="E22193" t="s">
        <v>309</v>
      </c>
      <c r="F22193" t="s">
        <v>310</v>
      </c>
      <c r="G22193">
        <v>6.79</v>
      </c>
      <c r="H22193">
        <v>251031</v>
      </c>
      <c r="I22193">
        <v>4369</v>
      </c>
      <c r="J22193" t="s">
        <v>188</v>
      </c>
      <c r="K22193">
        <v>329.83</v>
      </c>
      <c r="L22193">
        <v>1.38</v>
      </c>
      <c r="M22193">
        <v>66754</v>
      </c>
      <c r="N22193" t="s">
        <v>119</v>
      </c>
      <c r="O22193">
        <v>251111</v>
      </c>
      <c r="P22193">
        <v>5.41</v>
      </c>
    </row>
    <row r="22194" spans="1:16" x14ac:dyDescent="0.25">
      <c r="A22194" t="s">
        <v>3296</v>
      </c>
      <c r="B22194" t="s">
        <v>2931</v>
      </c>
      <c r="C22194">
        <v>15121</v>
      </c>
      <c r="D22194" t="str">
        <f t="shared" si="491"/>
        <v xml:space="preserve">12545020819 </v>
      </c>
      <c r="E22194" t="s">
        <v>309</v>
      </c>
      <c r="F22194" t="s">
        <v>310</v>
      </c>
      <c r="G22194">
        <v>3.77</v>
      </c>
      <c r="H22194">
        <v>251031</v>
      </c>
      <c r="I22194">
        <v>4369</v>
      </c>
      <c r="J22194" t="s">
        <v>188</v>
      </c>
      <c r="K22194">
        <v>329.83</v>
      </c>
      <c r="L22194">
        <v>0.77</v>
      </c>
      <c r="M22194">
        <v>66754</v>
      </c>
      <c r="N22194" t="s">
        <v>119</v>
      </c>
      <c r="O22194">
        <v>251111</v>
      </c>
      <c r="P22194">
        <v>3</v>
      </c>
    </row>
    <row r="22195" spans="1:16" x14ac:dyDescent="0.25">
      <c r="A22195" t="s">
        <v>3296</v>
      </c>
      <c r="B22195" t="s">
        <v>2931</v>
      </c>
      <c r="C22195">
        <v>15121</v>
      </c>
      <c r="D22195" t="str">
        <f t="shared" si="491"/>
        <v xml:space="preserve">12545020819 </v>
      </c>
      <c r="E22195" t="s">
        <v>309</v>
      </c>
      <c r="F22195" t="s">
        <v>310</v>
      </c>
      <c r="G22195">
        <v>10.19</v>
      </c>
      <c r="H22195">
        <v>251031</v>
      </c>
      <c r="I22195">
        <v>4369</v>
      </c>
      <c r="J22195" t="s">
        <v>188</v>
      </c>
      <c r="K22195">
        <v>329.83</v>
      </c>
      <c r="L22195">
        <v>2.0699999999999998</v>
      </c>
      <c r="M22195">
        <v>66754</v>
      </c>
      <c r="N22195" t="s">
        <v>119</v>
      </c>
      <c r="O22195">
        <v>251111</v>
      </c>
      <c r="P22195">
        <v>8.1199999999999992</v>
      </c>
    </row>
    <row r="22196" spans="1:16" x14ac:dyDescent="0.25">
      <c r="A22196" t="s">
        <v>3296</v>
      </c>
      <c r="B22196" t="s">
        <v>2931</v>
      </c>
      <c r="C22196">
        <v>15121</v>
      </c>
      <c r="D22196" t="str">
        <f t="shared" si="491"/>
        <v xml:space="preserve">12545020819 </v>
      </c>
      <c r="E22196" t="s">
        <v>309</v>
      </c>
      <c r="F22196" t="s">
        <v>310</v>
      </c>
      <c r="G22196">
        <v>10.14</v>
      </c>
      <c r="H22196">
        <v>251031</v>
      </c>
      <c r="I22196">
        <v>4369</v>
      </c>
      <c r="J22196" t="s">
        <v>188</v>
      </c>
      <c r="K22196">
        <v>329.83</v>
      </c>
      <c r="L22196">
        <v>2.06</v>
      </c>
      <c r="M22196">
        <v>66756</v>
      </c>
      <c r="N22196" t="s">
        <v>120</v>
      </c>
      <c r="O22196">
        <v>251111</v>
      </c>
      <c r="P22196">
        <v>8.08</v>
      </c>
    </row>
    <row r="22197" spans="1:16" x14ac:dyDescent="0.25">
      <c r="A22197" t="s">
        <v>3296</v>
      </c>
      <c r="B22197" t="s">
        <v>2931</v>
      </c>
      <c r="C22197">
        <v>15121</v>
      </c>
      <c r="D22197" t="str">
        <f t="shared" si="491"/>
        <v xml:space="preserve">12545020819 </v>
      </c>
      <c r="E22197" t="s">
        <v>309</v>
      </c>
      <c r="F22197" t="s">
        <v>310</v>
      </c>
      <c r="G22197">
        <v>25.36</v>
      </c>
      <c r="H22197">
        <v>251031</v>
      </c>
      <c r="I22197">
        <v>4369</v>
      </c>
      <c r="J22197" t="s">
        <v>188</v>
      </c>
      <c r="K22197">
        <v>329.83</v>
      </c>
      <c r="L22197">
        <v>5.15</v>
      </c>
      <c r="M22197">
        <v>67522</v>
      </c>
      <c r="N22197" t="s">
        <v>121</v>
      </c>
      <c r="O22197">
        <v>251111</v>
      </c>
      <c r="P22197">
        <v>20.21</v>
      </c>
    </row>
    <row r="22198" spans="1:16" x14ac:dyDescent="0.25">
      <c r="A22198" t="s">
        <v>3296</v>
      </c>
      <c r="B22198" t="s">
        <v>2931</v>
      </c>
      <c r="C22198">
        <v>15121</v>
      </c>
      <c r="D22198" t="str">
        <f t="shared" si="491"/>
        <v xml:space="preserve">12545020819 </v>
      </c>
      <c r="E22198" t="s">
        <v>309</v>
      </c>
      <c r="F22198" t="s">
        <v>310</v>
      </c>
      <c r="G22198">
        <v>17.600000000000001</v>
      </c>
      <c r="H22198">
        <v>251031</v>
      </c>
      <c r="I22198">
        <v>4369</v>
      </c>
      <c r="J22198" t="s">
        <v>188</v>
      </c>
      <c r="K22198">
        <v>329.83</v>
      </c>
      <c r="L22198">
        <v>3.58</v>
      </c>
      <c r="M22198">
        <v>67522</v>
      </c>
      <c r="N22198" t="s">
        <v>121</v>
      </c>
      <c r="O22198">
        <v>251111</v>
      </c>
      <c r="P22198">
        <v>14.02</v>
      </c>
    </row>
    <row r="22199" spans="1:16" x14ac:dyDescent="0.25">
      <c r="A22199" t="s">
        <v>3296</v>
      </c>
      <c r="B22199" t="s">
        <v>2931</v>
      </c>
      <c r="C22199">
        <v>15121</v>
      </c>
      <c r="D22199" t="str">
        <f t="shared" si="491"/>
        <v xml:space="preserve">12545020819 </v>
      </c>
      <c r="E22199" t="s">
        <v>309</v>
      </c>
      <c r="F22199" t="s">
        <v>310</v>
      </c>
      <c r="G22199">
        <v>2.13</v>
      </c>
      <c r="H22199">
        <v>251031</v>
      </c>
      <c r="I22199">
        <v>4369</v>
      </c>
      <c r="J22199" t="s">
        <v>188</v>
      </c>
      <c r="K22199">
        <v>329.83</v>
      </c>
      <c r="L22199">
        <v>0.43</v>
      </c>
      <c r="M22199">
        <v>67554</v>
      </c>
      <c r="N22199" t="s">
        <v>317</v>
      </c>
      <c r="O22199">
        <v>251111</v>
      </c>
      <c r="P22199">
        <v>1.7</v>
      </c>
    </row>
    <row r="22200" spans="1:16" x14ac:dyDescent="0.25">
      <c r="A22200" t="s">
        <v>3296</v>
      </c>
      <c r="B22200" t="s">
        <v>2931</v>
      </c>
      <c r="C22200">
        <v>15121</v>
      </c>
      <c r="D22200" t="str">
        <f t="shared" si="491"/>
        <v xml:space="preserve">12545020819 </v>
      </c>
      <c r="E22200" t="s">
        <v>309</v>
      </c>
      <c r="F22200" t="s">
        <v>310</v>
      </c>
      <c r="G22200">
        <v>3.48</v>
      </c>
      <c r="H22200">
        <v>251031</v>
      </c>
      <c r="I22200">
        <v>4369</v>
      </c>
      <c r="J22200" t="s">
        <v>188</v>
      </c>
      <c r="K22200">
        <v>329.83</v>
      </c>
      <c r="L22200">
        <v>0.71</v>
      </c>
      <c r="M22200">
        <v>67554</v>
      </c>
      <c r="N22200" t="s">
        <v>317</v>
      </c>
      <c r="O22200">
        <v>251111</v>
      </c>
      <c r="P22200">
        <v>2.77</v>
      </c>
    </row>
    <row r="22201" spans="1:16" x14ac:dyDescent="0.25">
      <c r="A22201" t="s">
        <v>3296</v>
      </c>
      <c r="B22201" t="s">
        <v>2931</v>
      </c>
      <c r="C22201">
        <v>15121</v>
      </c>
      <c r="D22201" t="str">
        <f t="shared" si="491"/>
        <v xml:space="preserve">12545020819 </v>
      </c>
      <c r="E22201" t="s">
        <v>309</v>
      </c>
      <c r="F22201" t="s">
        <v>310</v>
      </c>
      <c r="G22201">
        <v>63.04</v>
      </c>
      <c r="H22201">
        <v>251031</v>
      </c>
      <c r="I22201">
        <v>4369</v>
      </c>
      <c r="J22201" t="s">
        <v>188</v>
      </c>
      <c r="K22201">
        <v>329.83</v>
      </c>
      <c r="L22201">
        <v>12.81</v>
      </c>
      <c r="M22201">
        <v>67554</v>
      </c>
      <c r="N22201" t="s">
        <v>317</v>
      </c>
      <c r="O22201">
        <v>251111</v>
      </c>
      <c r="P22201">
        <v>50.23</v>
      </c>
    </row>
    <row r="22202" spans="1:16" x14ac:dyDescent="0.25">
      <c r="A22202" t="s">
        <v>3296</v>
      </c>
      <c r="B22202" t="s">
        <v>2931</v>
      </c>
      <c r="C22202">
        <v>15121</v>
      </c>
      <c r="D22202" t="str">
        <f t="shared" si="491"/>
        <v xml:space="preserve">12545020819 </v>
      </c>
      <c r="E22202" t="s">
        <v>309</v>
      </c>
      <c r="F22202" t="s">
        <v>310</v>
      </c>
      <c r="G22202">
        <v>3.43</v>
      </c>
      <c r="H22202">
        <v>251031</v>
      </c>
      <c r="I22202">
        <v>4369</v>
      </c>
      <c r="J22202" t="s">
        <v>188</v>
      </c>
      <c r="K22202">
        <v>329.83</v>
      </c>
      <c r="L22202">
        <v>0.7</v>
      </c>
      <c r="M22202">
        <v>67554</v>
      </c>
      <c r="N22202" t="s">
        <v>317</v>
      </c>
      <c r="O22202">
        <v>251111</v>
      </c>
      <c r="P22202">
        <v>2.73</v>
      </c>
    </row>
    <row r="22203" spans="1:16" x14ac:dyDescent="0.25">
      <c r="A22203" t="s">
        <v>3296</v>
      </c>
      <c r="B22203" t="s">
        <v>2931</v>
      </c>
      <c r="C22203">
        <v>15121</v>
      </c>
      <c r="D22203" t="str">
        <f t="shared" si="491"/>
        <v xml:space="preserve">12545020819 </v>
      </c>
      <c r="E22203" t="s">
        <v>309</v>
      </c>
      <c r="F22203" t="s">
        <v>310</v>
      </c>
      <c r="G22203">
        <v>12.3</v>
      </c>
      <c r="H22203">
        <v>251031</v>
      </c>
      <c r="I22203">
        <v>4369</v>
      </c>
      <c r="J22203" t="s">
        <v>188</v>
      </c>
      <c r="K22203">
        <v>329.83</v>
      </c>
      <c r="L22203">
        <v>2.5</v>
      </c>
      <c r="M22203">
        <v>68601</v>
      </c>
      <c r="N22203" t="s">
        <v>1031</v>
      </c>
      <c r="O22203">
        <v>251111</v>
      </c>
      <c r="P22203">
        <v>9.8000000000000007</v>
      </c>
    </row>
    <row r="22204" spans="1:16" x14ac:dyDescent="0.25">
      <c r="A22204" t="s">
        <v>3296</v>
      </c>
      <c r="B22204" t="s">
        <v>2931</v>
      </c>
      <c r="C22204">
        <v>15121</v>
      </c>
      <c r="D22204" t="str">
        <f t="shared" si="491"/>
        <v xml:space="preserve">12545020819 </v>
      </c>
      <c r="E22204" t="s">
        <v>309</v>
      </c>
      <c r="F22204" t="s">
        <v>310</v>
      </c>
      <c r="G22204">
        <v>3.44</v>
      </c>
      <c r="H22204">
        <v>251031</v>
      </c>
      <c r="I22204">
        <v>4369</v>
      </c>
      <c r="J22204" t="s">
        <v>188</v>
      </c>
      <c r="K22204">
        <v>329.83</v>
      </c>
      <c r="L22204">
        <v>0.7</v>
      </c>
      <c r="M22204">
        <v>68601</v>
      </c>
      <c r="N22204" t="s">
        <v>1031</v>
      </c>
      <c r="O22204">
        <v>251111</v>
      </c>
      <c r="P22204">
        <v>2.74</v>
      </c>
    </row>
    <row r="22205" spans="1:16" x14ac:dyDescent="0.25">
      <c r="A22205" t="s">
        <v>3296</v>
      </c>
      <c r="B22205" t="s">
        <v>2931</v>
      </c>
      <c r="C22205">
        <v>15121</v>
      </c>
      <c r="D22205" t="str">
        <f t="shared" si="491"/>
        <v xml:space="preserve">12545020819 </v>
      </c>
      <c r="E22205" t="s">
        <v>309</v>
      </c>
      <c r="F22205" t="s">
        <v>310</v>
      </c>
      <c r="G22205">
        <v>10.17</v>
      </c>
      <c r="H22205">
        <v>251031</v>
      </c>
      <c r="I22205">
        <v>4369</v>
      </c>
      <c r="J22205" t="s">
        <v>188</v>
      </c>
      <c r="K22205">
        <v>329.83</v>
      </c>
      <c r="L22205">
        <v>2.0699999999999998</v>
      </c>
      <c r="M22205">
        <v>69111</v>
      </c>
      <c r="N22205" t="s">
        <v>657</v>
      </c>
      <c r="O22205">
        <v>251111</v>
      </c>
      <c r="P22205">
        <v>8.1</v>
      </c>
    </row>
    <row r="22206" spans="1:16" x14ac:dyDescent="0.25">
      <c r="A22206" t="s">
        <v>3296</v>
      </c>
      <c r="B22206" t="s">
        <v>2931</v>
      </c>
      <c r="C22206">
        <v>15121</v>
      </c>
      <c r="D22206" t="str">
        <f t="shared" si="491"/>
        <v xml:space="preserve">12545020819 </v>
      </c>
      <c r="E22206" t="s">
        <v>309</v>
      </c>
      <c r="F22206" t="s">
        <v>310</v>
      </c>
      <c r="G22206">
        <v>3.39</v>
      </c>
      <c r="H22206">
        <v>251031</v>
      </c>
      <c r="I22206">
        <v>4369</v>
      </c>
      <c r="J22206" t="s">
        <v>188</v>
      </c>
      <c r="K22206">
        <v>329.83</v>
      </c>
      <c r="L22206">
        <v>0.69</v>
      </c>
      <c r="M22206">
        <v>69112</v>
      </c>
      <c r="N22206" t="s">
        <v>227</v>
      </c>
      <c r="O22206">
        <v>251111</v>
      </c>
      <c r="P22206">
        <v>2.7</v>
      </c>
    </row>
    <row r="22207" spans="1:16" x14ac:dyDescent="0.25">
      <c r="A22207" t="s">
        <v>3296</v>
      </c>
      <c r="B22207" t="s">
        <v>2931</v>
      </c>
      <c r="C22207">
        <v>15121</v>
      </c>
      <c r="D22207" t="str">
        <f t="shared" si="491"/>
        <v xml:space="preserve">12545020819 </v>
      </c>
      <c r="E22207" t="s">
        <v>309</v>
      </c>
      <c r="F22207" t="s">
        <v>310</v>
      </c>
      <c r="G22207">
        <v>13.86</v>
      </c>
      <c r="H22207">
        <v>251031</v>
      </c>
      <c r="I22207">
        <v>4369</v>
      </c>
      <c r="J22207" t="s">
        <v>188</v>
      </c>
      <c r="K22207">
        <v>329.83</v>
      </c>
      <c r="L22207">
        <v>2.82</v>
      </c>
      <c r="M22207">
        <v>69113</v>
      </c>
      <c r="N22207" t="s">
        <v>122</v>
      </c>
      <c r="O22207">
        <v>251111</v>
      </c>
      <c r="P22207">
        <v>11.04</v>
      </c>
    </row>
    <row r="22208" spans="1:16" x14ac:dyDescent="0.25">
      <c r="A22208" t="s">
        <v>3296</v>
      </c>
      <c r="B22208" t="s">
        <v>2931</v>
      </c>
      <c r="C22208">
        <v>15121</v>
      </c>
      <c r="D22208" t="str">
        <f t="shared" si="491"/>
        <v xml:space="preserve">12545020819 </v>
      </c>
      <c r="E22208" t="s">
        <v>309</v>
      </c>
      <c r="F22208" t="s">
        <v>310</v>
      </c>
      <c r="G22208">
        <v>27.33</v>
      </c>
      <c r="H22208">
        <v>251031</v>
      </c>
      <c r="I22208">
        <v>4369</v>
      </c>
      <c r="J22208" t="s">
        <v>188</v>
      </c>
      <c r="K22208">
        <v>329.83</v>
      </c>
      <c r="L22208">
        <v>5.55</v>
      </c>
      <c r="M22208">
        <v>69501</v>
      </c>
      <c r="N22208" t="s">
        <v>123</v>
      </c>
      <c r="O22208">
        <v>251111</v>
      </c>
      <c r="P22208">
        <v>21.78</v>
      </c>
    </row>
    <row r="22209" spans="1:16" x14ac:dyDescent="0.25">
      <c r="A22209" t="s">
        <v>3296</v>
      </c>
      <c r="B22209" t="s">
        <v>2931</v>
      </c>
      <c r="C22209">
        <v>15121</v>
      </c>
      <c r="D22209" t="str">
        <f t="shared" si="491"/>
        <v xml:space="preserve">12545020819 </v>
      </c>
      <c r="E22209" t="s">
        <v>309</v>
      </c>
      <c r="F22209" t="s">
        <v>310</v>
      </c>
      <c r="G22209">
        <v>5.09</v>
      </c>
      <c r="H22209">
        <v>251031</v>
      </c>
      <c r="I22209">
        <v>4369</v>
      </c>
      <c r="J22209" t="s">
        <v>188</v>
      </c>
      <c r="K22209">
        <v>329.83</v>
      </c>
      <c r="L22209">
        <v>1.03</v>
      </c>
      <c r="M22209">
        <v>69701</v>
      </c>
      <c r="N22209" t="s">
        <v>1030</v>
      </c>
      <c r="O22209">
        <v>251111</v>
      </c>
      <c r="P22209">
        <v>4.0599999999999996</v>
      </c>
    </row>
    <row r="22210" spans="1:16" x14ac:dyDescent="0.25">
      <c r="A22210" t="s">
        <v>3296</v>
      </c>
      <c r="B22210" t="s">
        <v>2931</v>
      </c>
      <c r="C22210">
        <v>15121</v>
      </c>
      <c r="D22210" t="str">
        <f t="shared" si="491"/>
        <v xml:space="preserve">12545020819 </v>
      </c>
      <c r="E22210" t="s">
        <v>309</v>
      </c>
      <c r="F22210" t="s">
        <v>310</v>
      </c>
      <c r="G22210">
        <v>3.39</v>
      </c>
      <c r="H22210">
        <v>251031</v>
      </c>
      <c r="I22210">
        <v>4369</v>
      </c>
      <c r="J22210" t="s">
        <v>188</v>
      </c>
      <c r="K22210">
        <v>329.83</v>
      </c>
      <c r="L22210">
        <v>0.69</v>
      </c>
      <c r="M22210">
        <v>69702</v>
      </c>
      <c r="N22210" t="s">
        <v>124</v>
      </c>
      <c r="O22210">
        <v>251111</v>
      </c>
      <c r="P22210">
        <v>2.7</v>
      </c>
    </row>
    <row r="22211" spans="1:16" x14ac:dyDescent="0.25">
      <c r="A22211" t="s">
        <v>3296</v>
      </c>
      <c r="B22211" t="s">
        <v>2931</v>
      </c>
      <c r="C22211">
        <v>15121</v>
      </c>
      <c r="D22211" t="str">
        <f t="shared" si="491"/>
        <v xml:space="preserve">12545020819 </v>
      </c>
      <c r="E22211" t="s">
        <v>309</v>
      </c>
      <c r="F22211" t="s">
        <v>310</v>
      </c>
      <c r="G22211">
        <v>5.16</v>
      </c>
      <c r="H22211">
        <v>251031</v>
      </c>
      <c r="I22211">
        <v>4369</v>
      </c>
      <c r="J22211" t="s">
        <v>188</v>
      </c>
      <c r="K22211">
        <v>329.83</v>
      </c>
      <c r="L22211">
        <v>1.05</v>
      </c>
      <c r="M22211">
        <v>69703</v>
      </c>
      <c r="N22211" t="s">
        <v>88</v>
      </c>
      <c r="O22211">
        <v>251111</v>
      </c>
      <c r="P22211">
        <v>4.1100000000000003</v>
      </c>
    </row>
    <row r="22212" spans="1:16" x14ac:dyDescent="0.25">
      <c r="A22212" t="s">
        <v>3296</v>
      </c>
      <c r="B22212" t="s">
        <v>2931</v>
      </c>
      <c r="C22212">
        <v>15121</v>
      </c>
      <c r="D22212" t="str">
        <f t="shared" si="491"/>
        <v xml:space="preserve">12545020819 </v>
      </c>
      <c r="E22212" t="s">
        <v>309</v>
      </c>
      <c r="F22212" t="s">
        <v>310</v>
      </c>
      <c r="G22212">
        <v>6.59</v>
      </c>
      <c r="H22212">
        <v>251031</v>
      </c>
      <c r="I22212">
        <v>4369</v>
      </c>
      <c r="J22212" t="s">
        <v>188</v>
      </c>
      <c r="K22212">
        <v>329.83</v>
      </c>
      <c r="L22212">
        <v>1.34</v>
      </c>
      <c r="M22212">
        <v>69704</v>
      </c>
      <c r="N22212" t="s">
        <v>89</v>
      </c>
      <c r="O22212">
        <v>251111</v>
      </c>
      <c r="P22212">
        <v>5.25</v>
      </c>
    </row>
    <row r="22213" spans="1:16" x14ac:dyDescent="0.25">
      <c r="A22213" t="s">
        <v>3296</v>
      </c>
      <c r="B22213" t="s">
        <v>2931</v>
      </c>
      <c r="C22213">
        <v>15121</v>
      </c>
      <c r="D22213" t="str">
        <f t="shared" si="491"/>
        <v xml:space="preserve">12545020819 </v>
      </c>
      <c r="E22213" t="s">
        <v>309</v>
      </c>
      <c r="F22213" t="s">
        <v>310</v>
      </c>
      <c r="G22213">
        <v>6.59</v>
      </c>
      <c r="H22213">
        <v>251031</v>
      </c>
      <c r="I22213">
        <v>4369</v>
      </c>
      <c r="J22213" t="s">
        <v>188</v>
      </c>
      <c r="K22213">
        <v>329.83</v>
      </c>
      <c r="L22213">
        <v>1.34</v>
      </c>
      <c r="M22213">
        <v>69704</v>
      </c>
      <c r="N22213" t="s">
        <v>89</v>
      </c>
      <c r="O22213">
        <v>251111</v>
      </c>
      <c r="P22213">
        <v>5.25</v>
      </c>
    </row>
    <row r="22214" spans="1:16" x14ac:dyDescent="0.25">
      <c r="A22214" t="s">
        <v>3296</v>
      </c>
      <c r="B22214" t="s">
        <v>2931</v>
      </c>
      <c r="C22214">
        <v>15121</v>
      </c>
      <c r="D22214" t="str">
        <f t="shared" si="491"/>
        <v xml:space="preserve">12545020819 </v>
      </c>
      <c r="E22214" t="s">
        <v>309</v>
      </c>
      <c r="F22214" t="s">
        <v>310</v>
      </c>
      <c r="G22214">
        <v>10.17</v>
      </c>
      <c r="H22214">
        <v>251031</v>
      </c>
      <c r="I22214">
        <v>4369</v>
      </c>
      <c r="J22214" t="s">
        <v>188</v>
      </c>
      <c r="K22214">
        <v>329.83</v>
      </c>
      <c r="L22214">
        <v>2.0699999999999998</v>
      </c>
      <c r="M22214">
        <v>69707</v>
      </c>
      <c r="N22214" t="s">
        <v>90</v>
      </c>
      <c r="O22214">
        <v>251111</v>
      </c>
      <c r="P22214">
        <v>8.1</v>
      </c>
    </row>
    <row r="22215" spans="1:16" x14ac:dyDescent="0.25">
      <c r="A22215" t="s">
        <v>3296</v>
      </c>
      <c r="B22215" t="s">
        <v>2931</v>
      </c>
      <c r="C22215">
        <v>15121</v>
      </c>
      <c r="D22215" t="str">
        <f t="shared" si="491"/>
        <v xml:space="preserve">12545020819 </v>
      </c>
      <c r="E22215" t="s">
        <v>309</v>
      </c>
      <c r="F22215" t="s">
        <v>310</v>
      </c>
      <c r="G22215">
        <v>6.78</v>
      </c>
      <c r="H22215">
        <v>251031</v>
      </c>
      <c r="I22215">
        <v>4369</v>
      </c>
      <c r="J22215" t="s">
        <v>188</v>
      </c>
      <c r="K22215">
        <v>329.83</v>
      </c>
      <c r="L22215">
        <v>1.38</v>
      </c>
      <c r="M22215">
        <v>69708</v>
      </c>
      <c r="N22215" t="s">
        <v>125</v>
      </c>
      <c r="O22215">
        <v>251111</v>
      </c>
      <c r="P22215">
        <v>5.4</v>
      </c>
    </row>
    <row r="22216" spans="1:16" x14ac:dyDescent="0.25">
      <c r="A22216" t="s">
        <v>3296</v>
      </c>
      <c r="B22216" t="s">
        <v>2931</v>
      </c>
      <c r="C22216">
        <v>15124</v>
      </c>
      <c r="D22216" t="str">
        <f t="shared" ref="D22216:D22224" si="492">"12545020842 "</f>
        <v xml:space="preserve">12545020842 </v>
      </c>
      <c r="E22216" t="s">
        <v>309</v>
      </c>
      <c r="F22216" t="s">
        <v>310</v>
      </c>
      <c r="G22216">
        <v>3.4</v>
      </c>
      <c r="H22216">
        <v>251031</v>
      </c>
      <c r="I22216">
        <v>4369</v>
      </c>
      <c r="J22216" t="s">
        <v>188</v>
      </c>
      <c r="K22216">
        <v>135.04</v>
      </c>
      <c r="L22216">
        <v>0</v>
      </c>
      <c r="M22216">
        <v>13201</v>
      </c>
      <c r="N22216" t="s">
        <v>269</v>
      </c>
      <c r="O22216">
        <v>251111</v>
      </c>
      <c r="P22216">
        <v>3.4</v>
      </c>
    </row>
    <row r="22217" spans="1:16" x14ac:dyDescent="0.25">
      <c r="A22217" t="s">
        <v>3296</v>
      </c>
      <c r="B22217" t="s">
        <v>2931</v>
      </c>
      <c r="C22217">
        <v>15124</v>
      </c>
      <c r="D22217" t="str">
        <f t="shared" si="492"/>
        <v xml:space="preserve">12545020842 </v>
      </c>
      <c r="E22217" t="s">
        <v>309</v>
      </c>
      <c r="F22217" t="s">
        <v>310</v>
      </c>
      <c r="G22217">
        <v>40.47</v>
      </c>
      <c r="H22217">
        <v>251031</v>
      </c>
      <c r="I22217">
        <v>4369</v>
      </c>
      <c r="J22217" t="s">
        <v>188</v>
      </c>
      <c r="K22217">
        <v>135.04</v>
      </c>
      <c r="L22217">
        <v>8.2200000000000006</v>
      </c>
      <c r="M22217">
        <v>13401</v>
      </c>
      <c r="N22217" t="s">
        <v>10</v>
      </c>
      <c r="O22217">
        <v>251111</v>
      </c>
      <c r="P22217">
        <v>32.25</v>
      </c>
    </row>
    <row r="22218" spans="1:16" x14ac:dyDescent="0.25">
      <c r="A22218" t="s">
        <v>3296</v>
      </c>
      <c r="B22218" t="s">
        <v>2931</v>
      </c>
      <c r="C22218">
        <v>15124</v>
      </c>
      <c r="D22218" t="str">
        <f t="shared" si="492"/>
        <v xml:space="preserve">12545020842 </v>
      </c>
      <c r="E22218" t="s">
        <v>309</v>
      </c>
      <c r="F22218" t="s">
        <v>310</v>
      </c>
      <c r="G22218">
        <v>10.16</v>
      </c>
      <c r="H22218">
        <v>251031</v>
      </c>
      <c r="I22218">
        <v>4369</v>
      </c>
      <c r="J22218" t="s">
        <v>188</v>
      </c>
      <c r="K22218">
        <v>135.04</v>
      </c>
      <c r="L22218">
        <v>2.06</v>
      </c>
      <c r="M22218">
        <v>13401</v>
      </c>
      <c r="N22218" t="s">
        <v>10</v>
      </c>
      <c r="O22218">
        <v>251111</v>
      </c>
      <c r="P22218">
        <v>8.1</v>
      </c>
    </row>
    <row r="22219" spans="1:16" x14ac:dyDescent="0.25">
      <c r="A22219" t="s">
        <v>3296</v>
      </c>
      <c r="B22219" t="s">
        <v>2931</v>
      </c>
      <c r="C22219">
        <v>15124</v>
      </c>
      <c r="D22219" t="str">
        <f t="shared" si="492"/>
        <v xml:space="preserve">12545020842 </v>
      </c>
      <c r="E22219" t="s">
        <v>309</v>
      </c>
      <c r="F22219" t="s">
        <v>310</v>
      </c>
      <c r="G22219">
        <v>30.93</v>
      </c>
      <c r="H22219">
        <v>251031</v>
      </c>
      <c r="I22219">
        <v>4369</v>
      </c>
      <c r="J22219" t="s">
        <v>188</v>
      </c>
      <c r="K22219">
        <v>135.04</v>
      </c>
      <c r="L22219">
        <v>6.28</v>
      </c>
      <c r="M22219">
        <v>13501</v>
      </c>
      <c r="N22219" t="s">
        <v>66</v>
      </c>
      <c r="O22219">
        <v>251111</v>
      </c>
      <c r="P22219">
        <v>24.65</v>
      </c>
    </row>
    <row r="22220" spans="1:16" x14ac:dyDescent="0.25">
      <c r="A22220" t="s">
        <v>3296</v>
      </c>
      <c r="B22220" t="s">
        <v>2931</v>
      </c>
      <c r="C22220">
        <v>15124</v>
      </c>
      <c r="D22220" t="str">
        <f t="shared" si="492"/>
        <v xml:space="preserve">12545020842 </v>
      </c>
      <c r="E22220" t="s">
        <v>309</v>
      </c>
      <c r="F22220" t="s">
        <v>310</v>
      </c>
      <c r="G22220">
        <v>3.4</v>
      </c>
      <c r="H22220">
        <v>251031</v>
      </c>
      <c r="I22220">
        <v>4369</v>
      </c>
      <c r="J22220" t="s">
        <v>188</v>
      </c>
      <c r="K22220">
        <v>135.04</v>
      </c>
      <c r="L22220">
        <v>0.69</v>
      </c>
      <c r="M22220">
        <v>13501</v>
      </c>
      <c r="N22220" t="s">
        <v>66</v>
      </c>
      <c r="O22220">
        <v>251111</v>
      </c>
      <c r="P22220">
        <v>2.71</v>
      </c>
    </row>
    <row r="22221" spans="1:16" x14ac:dyDescent="0.25">
      <c r="A22221" t="s">
        <v>3296</v>
      </c>
      <c r="B22221" t="s">
        <v>2931</v>
      </c>
      <c r="C22221">
        <v>15124</v>
      </c>
      <c r="D22221" t="str">
        <f t="shared" si="492"/>
        <v xml:space="preserve">12545020842 </v>
      </c>
      <c r="E22221" t="s">
        <v>309</v>
      </c>
      <c r="F22221" t="s">
        <v>310</v>
      </c>
      <c r="G22221">
        <v>3.4</v>
      </c>
      <c r="H22221">
        <v>251031</v>
      </c>
      <c r="I22221">
        <v>4369</v>
      </c>
      <c r="J22221" t="s">
        <v>188</v>
      </c>
      <c r="K22221">
        <v>135.04</v>
      </c>
      <c r="L22221">
        <v>0.69</v>
      </c>
      <c r="M22221">
        <v>13561</v>
      </c>
      <c r="N22221" t="s">
        <v>241</v>
      </c>
      <c r="O22221">
        <v>251111</v>
      </c>
      <c r="P22221">
        <v>2.71</v>
      </c>
    </row>
    <row r="22222" spans="1:16" x14ac:dyDescent="0.25">
      <c r="A22222" t="s">
        <v>3296</v>
      </c>
      <c r="B22222" t="s">
        <v>2931</v>
      </c>
      <c r="C22222">
        <v>15124</v>
      </c>
      <c r="D22222" t="str">
        <f t="shared" si="492"/>
        <v xml:space="preserve">12545020842 </v>
      </c>
      <c r="E22222" t="s">
        <v>309</v>
      </c>
      <c r="F22222" t="s">
        <v>310</v>
      </c>
      <c r="G22222">
        <v>16.399999999999999</v>
      </c>
      <c r="H22222">
        <v>251031</v>
      </c>
      <c r="I22222">
        <v>4369</v>
      </c>
      <c r="J22222" t="s">
        <v>188</v>
      </c>
      <c r="K22222">
        <v>135.04</v>
      </c>
      <c r="L22222">
        <v>3.33</v>
      </c>
      <c r="M22222">
        <v>13801</v>
      </c>
      <c r="N22222" t="s">
        <v>33</v>
      </c>
      <c r="O22222">
        <v>251111</v>
      </c>
      <c r="P22222">
        <v>13.07</v>
      </c>
    </row>
    <row r="22223" spans="1:16" x14ac:dyDescent="0.25">
      <c r="A22223" t="s">
        <v>3296</v>
      </c>
      <c r="B22223" t="s">
        <v>2931</v>
      </c>
      <c r="C22223">
        <v>15124</v>
      </c>
      <c r="D22223" t="str">
        <f t="shared" si="492"/>
        <v xml:space="preserve">12545020842 </v>
      </c>
      <c r="E22223" t="s">
        <v>309</v>
      </c>
      <c r="F22223" t="s">
        <v>310</v>
      </c>
      <c r="G22223">
        <v>13.55</v>
      </c>
      <c r="H22223">
        <v>251031</v>
      </c>
      <c r="I22223">
        <v>4369</v>
      </c>
      <c r="J22223" t="s">
        <v>188</v>
      </c>
      <c r="K22223">
        <v>135.04</v>
      </c>
      <c r="L22223">
        <v>2.75</v>
      </c>
      <c r="M22223">
        <v>13801</v>
      </c>
      <c r="N22223" t="s">
        <v>33</v>
      </c>
      <c r="O22223">
        <v>251111</v>
      </c>
      <c r="P22223">
        <v>10.8</v>
      </c>
    </row>
    <row r="22224" spans="1:16" x14ac:dyDescent="0.25">
      <c r="A22224" t="s">
        <v>3296</v>
      </c>
      <c r="B22224" t="s">
        <v>2931</v>
      </c>
      <c r="C22224">
        <v>15124</v>
      </c>
      <c r="D22224" t="str">
        <f t="shared" si="492"/>
        <v xml:space="preserve">12545020842 </v>
      </c>
      <c r="E22224" t="s">
        <v>309</v>
      </c>
      <c r="F22224" t="s">
        <v>310</v>
      </c>
      <c r="G22224">
        <v>13.33</v>
      </c>
      <c r="H22224">
        <v>251031</v>
      </c>
      <c r="I22224">
        <v>4369</v>
      </c>
      <c r="J22224" t="s">
        <v>188</v>
      </c>
      <c r="K22224">
        <v>135.04</v>
      </c>
      <c r="L22224">
        <v>2.71</v>
      </c>
      <c r="M22224">
        <v>13802</v>
      </c>
      <c r="N22224" t="s">
        <v>34</v>
      </c>
      <c r="O22224">
        <v>251111</v>
      </c>
      <c r="P22224">
        <v>10.62</v>
      </c>
    </row>
    <row r="22225" spans="1:16" x14ac:dyDescent="0.25">
      <c r="A22225" t="s">
        <v>3296</v>
      </c>
      <c r="B22225" t="s">
        <v>2931</v>
      </c>
      <c r="C22225">
        <v>15126</v>
      </c>
      <c r="D22225" t="str">
        <f>"12545020832 "</f>
        <v xml:space="preserve">12545020832 </v>
      </c>
      <c r="E22225" t="s">
        <v>309</v>
      </c>
      <c r="F22225" t="s">
        <v>310</v>
      </c>
      <c r="G22225">
        <v>6.78</v>
      </c>
      <c r="H22225">
        <v>251031</v>
      </c>
      <c r="I22225">
        <v>4369</v>
      </c>
      <c r="J22225" t="s">
        <v>188</v>
      </c>
      <c r="K22225">
        <v>43.66</v>
      </c>
      <c r="L22225">
        <v>1.38</v>
      </c>
      <c r="M22225">
        <v>44222</v>
      </c>
      <c r="N22225" t="s">
        <v>96</v>
      </c>
      <c r="O22225">
        <v>251111</v>
      </c>
      <c r="P22225">
        <v>5.4</v>
      </c>
    </row>
    <row r="22226" spans="1:16" x14ac:dyDescent="0.25">
      <c r="A22226" t="s">
        <v>3296</v>
      </c>
      <c r="B22226" t="s">
        <v>2931</v>
      </c>
      <c r="C22226">
        <v>15126</v>
      </c>
      <c r="D22226" t="str">
        <f>"12545020832 "</f>
        <v xml:space="preserve">12545020832 </v>
      </c>
      <c r="E22226" t="s">
        <v>309</v>
      </c>
      <c r="F22226" t="s">
        <v>310</v>
      </c>
      <c r="G22226">
        <v>23.71</v>
      </c>
      <c r="H22226">
        <v>251031</v>
      </c>
      <c r="I22226">
        <v>4369</v>
      </c>
      <c r="J22226" t="s">
        <v>188</v>
      </c>
      <c r="K22226">
        <v>43.66</v>
      </c>
      <c r="L22226">
        <v>4.82</v>
      </c>
      <c r="M22226">
        <v>44222</v>
      </c>
      <c r="N22226" t="s">
        <v>96</v>
      </c>
      <c r="O22226">
        <v>251111</v>
      </c>
      <c r="P22226">
        <v>18.89</v>
      </c>
    </row>
    <row r="22227" spans="1:16" x14ac:dyDescent="0.25">
      <c r="A22227" t="s">
        <v>3296</v>
      </c>
      <c r="B22227" t="s">
        <v>2931</v>
      </c>
      <c r="C22227">
        <v>15126</v>
      </c>
      <c r="D22227" t="str">
        <f>"12545020832 "</f>
        <v xml:space="preserve">12545020832 </v>
      </c>
      <c r="E22227" t="s">
        <v>309</v>
      </c>
      <c r="F22227" t="s">
        <v>310</v>
      </c>
      <c r="G22227">
        <v>3.39</v>
      </c>
      <c r="H22227">
        <v>251031</v>
      </c>
      <c r="I22227">
        <v>4369</v>
      </c>
      <c r="J22227" t="s">
        <v>188</v>
      </c>
      <c r="K22227">
        <v>43.66</v>
      </c>
      <c r="L22227">
        <v>0.69</v>
      </c>
      <c r="M22227">
        <v>44251</v>
      </c>
      <c r="N22227" t="s">
        <v>215</v>
      </c>
      <c r="O22227">
        <v>251111</v>
      </c>
      <c r="P22227">
        <v>2.7</v>
      </c>
    </row>
    <row r="22228" spans="1:16" x14ac:dyDescent="0.25">
      <c r="A22228" t="s">
        <v>3296</v>
      </c>
      <c r="B22228" t="s">
        <v>2931</v>
      </c>
      <c r="C22228">
        <v>15126</v>
      </c>
      <c r="D22228" t="str">
        <f>"12545020832 "</f>
        <v xml:space="preserve">12545020832 </v>
      </c>
      <c r="E22228" t="s">
        <v>309</v>
      </c>
      <c r="F22228" t="s">
        <v>310</v>
      </c>
      <c r="G22228">
        <v>3.2</v>
      </c>
      <c r="H22228">
        <v>251031</v>
      </c>
      <c r="I22228">
        <v>4369</v>
      </c>
      <c r="J22228" t="s">
        <v>188</v>
      </c>
      <c r="K22228">
        <v>43.66</v>
      </c>
      <c r="L22228">
        <v>0.65</v>
      </c>
      <c r="M22228">
        <v>44253</v>
      </c>
      <c r="N22228" t="s">
        <v>403</v>
      </c>
      <c r="O22228">
        <v>251111</v>
      </c>
      <c r="P22228">
        <v>2.5499999999999998</v>
      </c>
    </row>
    <row r="22229" spans="1:16" x14ac:dyDescent="0.25">
      <c r="A22229" t="s">
        <v>3296</v>
      </c>
      <c r="B22229" t="s">
        <v>2931</v>
      </c>
      <c r="C22229">
        <v>15126</v>
      </c>
      <c r="D22229" t="str">
        <f>"12545020832 "</f>
        <v xml:space="preserve">12545020832 </v>
      </c>
      <c r="E22229" t="s">
        <v>309</v>
      </c>
      <c r="F22229" t="s">
        <v>310</v>
      </c>
      <c r="G22229">
        <v>6.58</v>
      </c>
      <c r="H22229">
        <v>251031</v>
      </c>
      <c r="I22229">
        <v>4369</v>
      </c>
      <c r="J22229" t="s">
        <v>188</v>
      </c>
      <c r="K22229">
        <v>43.66</v>
      </c>
      <c r="L22229">
        <v>1.34</v>
      </c>
      <c r="M22229">
        <v>49702</v>
      </c>
      <c r="N22229" t="s">
        <v>112</v>
      </c>
      <c r="O22229">
        <v>251111</v>
      </c>
      <c r="P22229">
        <v>5.24</v>
      </c>
    </row>
    <row r="22230" spans="1:16" x14ac:dyDescent="0.25">
      <c r="A22230" t="s">
        <v>3296</v>
      </c>
      <c r="B22230" t="s">
        <v>2931</v>
      </c>
      <c r="C22230">
        <v>15138</v>
      </c>
      <c r="D22230" t="str">
        <f>"12545020835 "</f>
        <v xml:space="preserve">12545020835 </v>
      </c>
      <c r="E22230" t="s">
        <v>309</v>
      </c>
      <c r="F22230" t="s">
        <v>310</v>
      </c>
      <c r="G22230">
        <v>6.88</v>
      </c>
      <c r="H22230">
        <v>251031</v>
      </c>
      <c r="I22230">
        <v>4369</v>
      </c>
      <c r="J22230" t="s">
        <v>188</v>
      </c>
      <c r="K22230">
        <v>6.88</v>
      </c>
      <c r="L22230">
        <v>1.4</v>
      </c>
      <c r="M22230">
        <v>11900</v>
      </c>
      <c r="N22230" t="s">
        <v>30</v>
      </c>
      <c r="O22230">
        <v>251112</v>
      </c>
      <c r="P22230">
        <v>5.48</v>
      </c>
    </row>
    <row r="22231" spans="1:16" x14ac:dyDescent="0.25">
      <c r="A22231" t="s">
        <v>3296</v>
      </c>
      <c r="B22231" t="s">
        <v>2931</v>
      </c>
      <c r="C22231">
        <v>15139</v>
      </c>
      <c r="D22231" t="str">
        <f>"12545020845 "</f>
        <v xml:space="preserve">12545020845 </v>
      </c>
      <c r="E22231" t="s">
        <v>309</v>
      </c>
      <c r="F22231" t="s">
        <v>310</v>
      </c>
      <c r="G22231">
        <v>3.39</v>
      </c>
      <c r="H22231">
        <v>251031</v>
      </c>
      <c r="I22231">
        <v>4369</v>
      </c>
      <c r="J22231" t="s">
        <v>188</v>
      </c>
      <c r="K22231">
        <v>6.78</v>
      </c>
      <c r="L22231">
        <v>0.69</v>
      </c>
      <c r="M22231">
        <v>11901</v>
      </c>
      <c r="N22231" t="s">
        <v>31</v>
      </c>
      <c r="O22231">
        <v>251112</v>
      </c>
      <c r="P22231">
        <v>2.7</v>
      </c>
    </row>
    <row r="22232" spans="1:16" x14ac:dyDescent="0.25">
      <c r="A22232" t="s">
        <v>3296</v>
      </c>
      <c r="B22232" t="s">
        <v>2931</v>
      </c>
      <c r="C22232">
        <v>15139</v>
      </c>
      <c r="D22232" t="str">
        <f>"12545020845 "</f>
        <v xml:space="preserve">12545020845 </v>
      </c>
      <c r="E22232" t="s">
        <v>309</v>
      </c>
      <c r="F22232" t="s">
        <v>310</v>
      </c>
      <c r="G22232">
        <v>3.39</v>
      </c>
      <c r="H22232">
        <v>251031</v>
      </c>
      <c r="I22232">
        <v>4369</v>
      </c>
      <c r="J22232" t="s">
        <v>188</v>
      </c>
      <c r="K22232">
        <v>6.78</v>
      </c>
      <c r="L22232">
        <v>0.69</v>
      </c>
      <c r="M22232">
        <v>11903</v>
      </c>
      <c r="N22232" t="s">
        <v>32</v>
      </c>
      <c r="O22232">
        <v>251112</v>
      </c>
      <c r="P22232">
        <v>2.7</v>
      </c>
    </row>
    <row r="22233" spans="1:16" x14ac:dyDescent="0.25">
      <c r="A22233" t="s">
        <v>3296</v>
      </c>
      <c r="B22233" t="s">
        <v>2931</v>
      </c>
      <c r="C22233">
        <v>15140</v>
      </c>
      <c r="D22233" t="str">
        <f>"12545020826 "</f>
        <v xml:space="preserve">12545020826 </v>
      </c>
      <c r="E22233" t="s">
        <v>309</v>
      </c>
      <c r="F22233" t="s">
        <v>310</v>
      </c>
      <c r="G22233">
        <v>6.78</v>
      </c>
      <c r="H22233">
        <v>251031</v>
      </c>
      <c r="I22233">
        <v>4369</v>
      </c>
      <c r="J22233" t="s">
        <v>188</v>
      </c>
      <c r="K22233">
        <v>13.55</v>
      </c>
      <c r="L22233">
        <v>1.38</v>
      </c>
      <c r="M22233">
        <v>49701</v>
      </c>
      <c r="N22233" t="s">
        <v>111</v>
      </c>
      <c r="O22233">
        <v>251112</v>
      </c>
      <c r="P22233">
        <v>5.4</v>
      </c>
    </row>
    <row r="22234" spans="1:16" x14ac:dyDescent="0.25">
      <c r="A22234" t="s">
        <v>3296</v>
      </c>
      <c r="B22234" t="s">
        <v>2931</v>
      </c>
      <c r="C22234">
        <v>15140</v>
      </c>
      <c r="D22234" t="str">
        <f>"12545020826 "</f>
        <v xml:space="preserve">12545020826 </v>
      </c>
      <c r="E22234" t="s">
        <v>309</v>
      </c>
      <c r="F22234" t="s">
        <v>310</v>
      </c>
      <c r="G22234">
        <v>6.77</v>
      </c>
      <c r="H22234">
        <v>251031</v>
      </c>
      <c r="I22234">
        <v>4369</v>
      </c>
      <c r="J22234" t="s">
        <v>188</v>
      </c>
      <c r="K22234">
        <v>13.55</v>
      </c>
      <c r="L22234">
        <v>1.38</v>
      </c>
      <c r="M22234">
        <v>49702</v>
      </c>
      <c r="N22234" t="s">
        <v>112</v>
      </c>
      <c r="O22234">
        <v>251112</v>
      </c>
      <c r="P22234">
        <v>5.39</v>
      </c>
    </row>
    <row r="22235" spans="1:16" x14ac:dyDescent="0.25">
      <c r="A22235" t="s">
        <v>3296</v>
      </c>
      <c r="B22235" t="s">
        <v>2931</v>
      </c>
      <c r="C22235">
        <v>15141</v>
      </c>
      <c r="D22235" t="str">
        <f>"12545020825 "</f>
        <v xml:space="preserve">12545020825 </v>
      </c>
      <c r="E22235" t="s">
        <v>309</v>
      </c>
      <c r="F22235" t="s">
        <v>310</v>
      </c>
      <c r="G22235">
        <v>33.200000000000003</v>
      </c>
      <c r="H22235">
        <v>251031</v>
      </c>
      <c r="I22235">
        <v>4369</v>
      </c>
      <c r="J22235" t="s">
        <v>188</v>
      </c>
      <c r="K22235">
        <v>49.77</v>
      </c>
      <c r="L22235">
        <v>6.75</v>
      </c>
      <c r="M22235">
        <v>41126</v>
      </c>
      <c r="N22235" t="s">
        <v>94</v>
      </c>
      <c r="O22235">
        <v>251112</v>
      </c>
      <c r="P22235">
        <v>26.45</v>
      </c>
    </row>
    <row r="22236" spans="1:16" x14ac:dyDescent="0.25">
      <c r="A22236" t="s">
        <v>3296</v>
      </c>
      <c r="B22236" t="s">
        <v>2931</v>
      </c>
      <c r="C22236">
        <v>15141</v>
      </c>
      <c r="D22236" t="str">
        <f>"12545020825 "</f>
        <v xml:space="preserve">12545020825 </v>
      </c>
      <c r="E22236" t="s">
        <v>309</v>
      </c>
      <c r="F22236" t="s">
        <v>310</v>
      </c>
      <c r="G22236">
        <v>16.57</v>
      </c>
      <c r="H22236">
        <v>251031</v>
      </c>
      <c r="I22236">
        <v>4369</v>
      </c>
      <c r="J22236" t="s">
        <v>188</v>
      </c>
      <c r="K22236">
        <v>49.77</v>
      </c>
      <c r="L22236">
        <v>3.37</v>
      </c>
      <c r="M22236">
        <v>46222</v>
      </c>
      <c r="N22236" t="s">
        <v>101</v>
      </c>
      <c r="O22236">
        <v>251112</v>
      </c>
      <c r="P22236">
        <v>13.2</v>
      </c>
    </row>
    <row r="22237" spans="1:16" x14ac:dyDescent="0.25">
      <c r="A22237" t="s">
        <v>3296</v>
      </c>
      <c r="B22237" t="s">
        <v>2931</v>
      </c>
      <c r="C22237">
        <v>15142</v>
      </c>
      <c r="D22237" t="str">
        <f>"12545020837 "</f>
        <v xml:space="preserve">12545020837 </v>
      </c>
      <c r="E22237" t="s">
        <v>309</v>
      </c>
      <c r="F22237" t="s">
        <v>310</v>
      </c>
      <c r="G22237">
        <v>10.72</v>
      </c>
      <c r="H22237">
        <v>251031</v>
      </c>
      <c r="I22237">
        <v>4369</v>
      </c>
      <c r="J22237" t="s">
        <v>188</v>
      </c>
      <c r="K22237">
        <v>76.040000000000006</v>
      </c>
      <c r="L22237">
        <v>2.1800000000000002</v>
      </c>
      <c r="M22237">
        <v>17913</v>
      </c>
      <c r="N22237" t="s">
        <v>26</v>
      </c>
      <c r="O22237">
        <v>251112</v>
      </c>
      <c r="P22237">
        <v>8.5399999999999991</v>
      </c>
    </row>
    <row r="22238" spans="1:16" x14ac:dyDescent="0.25">
      <c r="A22238" t="s">
        <v>3296</v>
      </c>
      <c r="B22238" t="s">
        <v>2931</v>
      </c>
      <c r="C22238">
        <v>15142</v>
      </c>
      <c r="D22238" t="str">
        <f>"12545020837 "</f>
        <v xml:space="preserve">12545020837 </v>
      </c>
      <c r="E22238" t="s">
        <v>309</v>
      </c>
      <c r="F22238" t="s">
        <v>310</v>
      </c>
      <c r="G22238">
        <v>27.11</v>
      </c>
      <c r="H22238">
        <v>251031</v>
      </c>
      <c r="I22238">
        <v>4369</v>
      </c>
      <c r="J22238" t="s">
        <v>188</v>
      </c>
      <c r="K22238">
        <v>76.040000000000006</v>
      </c>
      <c r="L22238">
        <v>5.51</v>
      </c>
      <c r="M22238">
        <v>17951</v>
      </c>
      <c r="N22238" t="s">
        <v>207</v>
      </c>
      <c r="O22238">
        <v>251112</v>
      </c>
      <c r="P22238">
        <v>21.6</v>
      </c>
    </row>
    <row r="22239" spans="1:16" x14ac:dyDescent="0.25">
      <c r="A22239" t="s">
        <v>3296</v>
      </c>
      <c r="B22239" t="s">
        <v>2931</v>
      </c>
      <c r="C22239">
        <v>15142</v>
      </c>
      <c r="D22239" t="str">
        <f>"12545020837 "</f>
        <v xml:space="preserve">12545020837 </v>
      </c>
      <c r="E22239" t="s">
        <v>309</v>
      </c>
      <c r="F22239" t="s">
        <v>310</v>
      </c>
      <c r="G22239">
        <v>13.64</v>
      </c>
      <c r="H22239">
        <v>251031</v>
      </c>
      <c r="I22239">
        <v>4369</v>
      </c>
      <c r="J22239" t="s">
        <v>188</v>
      </c>
      <c r="K22239">
        <v>76.040000000000006</v>
      </c>
      <c r="L22239">
        <v>2.77</v>
      </c>
      <c r="M22239">
        <v>17971</v>
      </c>
      <c r="N22239" t="s">
        <v>27</v>
      </c>
      <c r="O22239">
        <v>251112</v>
      </c>
      <c r="P22239">
        <v>10.87</v>
      </c>
    </row>
    <row r="22240" spans="1:16" x14ac:dyDescent="0.25">
      <c r="A22240" t="s">
        <v>3296</v>
      </c>
      <c r="B22240" t="s">
        <v>2931</v>
      </c>
      <c r="C22240">
        <v>15142</v>
      </c>
      <c r="D22240" t="str">
        <f>"12545020837 "</f>
        <v xml:space="preserve">12545020837 </v>
      </c>
      <c r="E22240" t="s">
        <v>309</v>
      </c>
      <c r="F22240" t="s">
        <v>310</v>
      </c>
      <c r="G22240">
        <v>6.59</v>
      </c>
      <c r="H22240">
        <v>251031</v>
      </c>
      <c r="I22240">
        <v>4369</v>
      </c>
      <c r="J22240" t="s">
        <v>188</v>
      </c>
      <c r="K22240">
        <v>76.040000000000006</v>
      </c>
      <c r="L22240">
        <v>1.34</v>
      </c>
      <c r="M22240">
        <v>17974</v>
      </c>
      <c r="N22240" t="s">
        <v>153</v>
      </c>
      <c r="O22240">
        <v>251112</v>
      </c>
      <c r="P22240">
        <v>5.25</v>
      </c>
    </row>
    <row r="22241" spans="1:16" x14ac:dyDescent="0.25">
      <c r="A22241" t="s">
        <v>3296</v>
      </c>
      <c r="B22241" t="s">
        <v>2931</v>
      </c>
      <c r="C22241">
        <v>15142</v>
      </c>
      <c r="D22241" t="str">
        <f>"12545020837 "</f>
        <v xml:space="preserve">12545020837 </v>
      </c>
      <c r="E22241" t="s">
        <v>309</v>
      </c>
      <c r="F22241" t="s">
        <v>310</v>
      </c>
      <c r="G22241">
        <v>17.98</v>
      </c>
      <c r="H22241">
        <v>251031</v>
      </c>
      <c r="I22241">
        <v>4369</v>
      </c>
      <c r="J22241" t="s">
        <v>188</v>
      </c>
      <c r="K22241">
        <v>76.040000000000006</v>
      </c>
      <c r="L22241">
        <v>3.65</v>
      </c>
      <c r="M22241">
        <v>17975</v>
      </c>
      <c r="N22241" t="s">
        <v>29</v>
      </c>
      <c r="O22241">
        <v>251112</v>
      </c>
      <c r="P22241">
        <v>14.33</v>
      </c>
    </row>
    <row r="22242" spans="1:16" x14ac:dyDescent="0.25">
      <c r="A22242" t="s">
        <v>3296</v>
      </c>
      <c r="B22242" t="s">
        <v>2931</v>
      </c>
      <c r="C22242">
        <v>15143</v>
      </c>
      <c r="D22242" t="str">
        <f t="shared" ref="D22242:D22250" si="493">"12545020821 "</f>
        <v xml:space="preserve">12545020821 </v>
      </c>
      <c r="E22242" t="s">
        <v>309</v>
      </c>
      <c r="F22242" t="s">
        <v>310</v>
      </c>
      <c r="G22242">
        <v>3.39</v>
      </c>
      <c r="H22242">
        <v>251031</v>
      </c>
      <c r="I22242">
        <v>4369</v>
      </c>
      <c r="J22242" t="s">
        <v>188</v>
      </c>
      <c r="K22242">
        <v>42.36</v>
      </c>
      <c r="L22242">
        <v>0.69</v>
      </c>
      <c r="M22242">
        <v>11301</v>
      </c>
      <c r="N22242" t="s">
        <v>92</v>
      </c>
      <c r="O22242">
        <v>251112</v>
      </c>
      <c r="P22242">
        <v>2.7</v>
      </c>
    </row>
    <row r="22243" spans="1:16" x14ac:dyDescent="0.25">
      <c r="A22243" t="s">
        <v>3296</v>
      </c>
      <c r="B22243" t="s">
        <v>2931</v>
      </c>
      <c r="C22243">
        <v>15143</v>
      </c>
      <c r="D22243" t="str">
        <f t="shared" si="493"/>
        <v xml:space="preserve">12545020821 </v>
      </c>
      <c r="E22243" t="s">
        <v>309</v>
      </c>
      <c r="F22243" t="s">
        <v>310</v>
      </c>
      <c r="G22243">
        <v>3.4</v>
      </c>
      <c r="H22243">
        <v>251031</v>
      </c>
      <c r="I22243">
        <v>4369</v>
      </c>
      <c r="J22243" t="s">
        <v>188</v>
      </c>
      <c r="K22243">
        <v>42.36</v>
      </c>
      <c r="L22243">
        <v>0.69</v>
      </c>
      <c r="M22243">
        <v>11900</v>
      </c>
      <c r="N22243" t="s">
        <v>30</v>
      </c>
      <c r="O22243">
        <v>251112</v>
      </c>
      <c r="P22243">
        <v>2.71</v>
      </c>
    </row>
    <row r="22244" spans="1:16" x14ac:dyDescent="0.25">
      <c r="A22244" t="s">
        <v>3296</v>
      </c>
      <c r="B22244" t="s">
        <v>2931</v>
      </c>
      <c r="C22244">
        <v>15143</v>
      </c>
      <c r="D22244" t="str">
        <f t="shared" si="493"/>
        <v xml:space="preserve">12545020821 </v>
      </c>
      <c r="E22244" t="s">
        <v>309</v>
      </c>
      <c r="F22244" t="s">
        <v>310</v>
      </c>
      <c r="G22244">
        <v>6.76</v>
      </c>
      <c r="H22244">
        <v>251031</v>
      </c>
      <c r="I22244">
        <v>4369</v>
      </c>
      <c r="J22244" t="s">
        <v>188</v>
      </c>
      <c r="K22244">
        <v>42.36</v>
      </c>
      <c r="L22244">
        <v>0</v>
      </c>
      <c r="M22244">
        <v>11901</v>
      </c>
      <c r="N22244" t="s">
        <v>31</v>
      </c>
      <c r="O22244">
        <v>251112</v>
      </c>
      <c r="P22244">
        <v>6.76</v>
      </c>
    </row>
    <row r="22245" spans="1:16" x14ac:dyDescent="0.25">
      <c r="A22245" t="s">
        <v>3296</v>
      </c>
      <c r="B22245" t="s">
        <v>2931</v>
      </c>
      <c r="C22245">
        <v>15143</v>
      </c>
      <c r="D22245" t="str">
        <f t="shared" si="493"/>
        <v xml:space="preserve">12545020821 </v>
      </c>
      <c r="E22245" t="s">
        <v>309</v>
      </c>
      <c r="F22245" t="s">
        <v>310</v>
      </c>
      <c r="G22245">
        <v>6.78</v>
      </c>
      <c r="H22245">
        <v>251031</v>
      </c>
      <c r="I22245">
        <v>4369</v>
      </c>
      <c r="J22245" t="s">
        <v>188</v>
      </c>
      <c r="K22245">
        <v>42.36</v>
      </c>
      <c r="L22245">
        <v>1.38</v>
      </c>
      <c r="M22245">
        <v>11901</v>
      </c>
      <c r="N22245" t="s">
        <v>31</v>
      </c>
      <c r="O22245">
        <v>251112</v>
      </c>
      <c r="P22245">
        <v>5.4</v>
      </c>
    </row>
    <row r="22246" spans="1:16" x14ac:dyDescent="0.25">
      <c r="A22246" t="s">
        <v>3296</v>
      </c>
      <c r="B22246" t="s">
        <v>2931</v>
      </c>
      <c r="C22246">
        <v>15143</v>
      </c>
      <c r="D22246" t="str">
        <f t="shared" si="493"/>
        <v xml:space="preserve">12545020821 </v>
      </c>
      <c r="E22246" t="s">
        <v>309</v>
      </c>
      <c r="F22246" t="s">
        <v>310</v>
      </c>
      <c r="G22246">
        <v>8.2799999999999994</v>
      </c>
      <c r="H22246">
        <v>251031</v>
      </c>
      <c r="I22246">
        <v>4369</v>
      </c>
      <c r="J22246" t="s">
        <v>188</v>
      </c>
      <c r="K22246">
        <v>42.36</v>
      </c>
      <c r="L22246">
        <v>1.68</v>
      </c>
      <c r="M22246">
        <v>11903</v>
      </c>
      <c r="N22246" t="s">
        <v>32</v>
      </c>
      <c r="O22246">
        <v>251112</v>
      </c>
      <c r="P22246">
        <v>6.6</v>
      </c>
    </row>
    <row r="22247" spans="1:16" x14ac:dyDescent="0.25">
      <c r="A22247" t="s">
        <v>3296</v>
      </c>
      <c r="B22247" t="s">
        <v>2931</v>
      </c>
      <c r="C22247">
        <v>15143</v>
      </c>
      <c r="D22247" t="str">
        <f t="shared" si="493"/>
        <v xml:space="preserve">12545020821 </v>
      </c>
      <c r="E22247" t="s">
        <v>309</v>
      </c>
      <c r="F22247" t="s">
        <v>310</v>
      </c>
      <c r="G22247">
        <v>3.39</v>
      </c>
      <c r="H22247">
        <v>251031</v>
      </c>
      <c r="I22247">
        <v>4369</v>
      </c>
      <c r="J22247" t="s">
        <v>188</v>
      </c>
      <c r="K22247">
        <v>42.36</v>
      </c>
      <c r="L22247">
        <v>0.69</v>
      </c>
      <c r="M22247">
        <v>11903</v>
      </c>
      <c r="N22247" t="s">
        <v>32</v>
      </c>
      <c r="O22247">
        <v>251112</v>
      </c>
      <c r="P22247">
        <v>2.7</v>
      </c>
    </row>
    <row r="22248" spans="1:16" x14ac:dyDescent="0.25">
      <c r="A22248" t="s">
        <v>3296</v>
      </c>
      <c r="B22248" t="s">
        <v>2931</v>
      </c>
      <c r="C22248">
        <v>15143</v>
      </c>
      <c r="D22248" t="str">
        <f t="shared" si="493"/>
        <v xml:space="preserve">12545020821 </v>
      </c>
      <c r="E22248" t="s">
        <v>309</v>
      </c>
      <c r="F22248" t="s">
        <v>310</v>
      </c>
      <c r="G22248">
        <v>3.58</v>
      </c>
      <c r="H22248">
        <v>251031</v>
      </c>
      <c r="I22248">
        <v>4369</v>
      </c>
      <c r="J22248" t="s">
        <v>188</v>
      </c>
      <c r="K22248">
        <v>42.36</v>
      </c>
      <c r="L22248">
        <v>0.73</v>
      </c>
      <c r="M22248">
        <v>11903</v>
      </c>
      <c r="N22248" t="s">
        <v>32</v>
      </c>
      <c r="O22248">
        <v>251112</v>
      </c>
      <c r="P22248">
        <v>2.85</v>
      </c>
    </row>
    <row r="22249" spans="1:16" x14ac:dyDescent="0.25">
      <c r="A22249" t="s">
        <v>3296</v>
      </c>
      <c r="B22249" t="s">
        <v>2931</v>
      </c>
      <c r="C22249">
        <v>15143</v>
      </c>
      <c r="D22249" t="str">
        <f t="shared" si="493"/>
        <v xml:space="preserve">12545020821 </v>
      </c>
      <c r="E22249" t="s">
        <v>309</v>
      </c>
      <c r="F22249" t="s">
        <v>310</v>
      </c>
      <c r="G22249">
        <v>3.39</v>
      </c>
      <c r="H22249">
        <v>251031</v>
      </c>
      <c r="I22249">
        <v>4369</v>
      </c>
      <c r="J22249" t="s">
        <v>188</v>
      </c>
      <c r="K22249">
        <v>42.36</v>
      </c>
      <c r="L22249">
        <v>0.69</v>
      </c>
      <c r="M22249">
        <v>11905</v>
      </c>
      <c r="N22249" t="s">
        <v>643</v>
      </c>
      <c r="O22249">
        <v>251112</v>
      </c>
      <c r="P22249">
        <v>2.7</v>
      </c>
    </row>
    <row r="22250" spans="1:16" x14ac:dyDescent="0.25">
      <c r="A22250" t="s">
        <v>3296</v>
      </c>
      <c r="B22250" t="s">
        <v>2931</v>
      </c>
      <c r="C22250">
        <v>15143</v>
      </c>
      <c r="D22250" t="str">
        <f t="shared" si="493"/>
        <v xml:space="preserve">12545020821 </v>
      </c>
      <c r="E22250" t="s">
        <v>309</v>
      </c>
      <c r="F22250" t="s">
        <v>310</v>
      </c>
      <c r="G22250">
        <v>3.39</v>
      </c>
      <c r="H22250">
        <v>251031</v>
      </c>
      <c r="I22250">
        <v>4369</v>
      </c>
      <c r="J22250" t="s">
        <v>188</v>
      </c>
      <c r="K22250">
        <v>42.36</v>
      </c>
      <c r="L22250">
        <v>0.69</v>
      </c>
      <c r="M22250">
        <v>12500</v>
      </c>
      <c r="N22250" t="s">
        <v>1502</v>
      </c>
      <c r="O22250">
        <v>251112</v>
      </c>
      <c r="P22250">
        <v>2.7</v>
      </c>
    </row>
    <row r="22251" spans="1:16" x14ac:dyDescent="0.25">
      <c r="A22251" t="s">
        <v>3296</v>
      </c>
      <c r="B22251" t="s">
        <v>2931</v>
      </c>
      <c r="C22251">
        <v>15144</v>
      </c>
      <c r="D22251" t="str">
        <f>"12545020846 "</f>
        <v xml:space="preserve">12545020846 </v>
      </c>
      <c r="E22251" t="s">
        <v>309</v>
      </c>
      <c r="F22251" t="s">
        <v>310</v>
      </c>
      <c r="G22251">
        <v>3.2</v>
      </c>
      <c r="H22251">
        <v>251031</v>
      </c>
      <c r="I22251">
        <v>4369</v>
      </c>
      <c r="J22251" t="s">
        <v>188</v>
      </c>
      <c r="K22251">
        <v>3.2</v>
      </c>
      <c r="L22251">
        <v>0.65</v>
      </c>
      <c r="M22251">
        <v>13801</v>
      </c>
      <c r="N22251" t="s">
        <v>33</v>
      </c>
      <c r="O22251">
        <v>251112</v>
      </c>
      <c r="P22251">
        <v>2.5499999999999998</v>
      </c>
    </row>
    <row r="22252" spans="1:16" x14ac:dyDescent="0.25">
      <c r="A22252" t="s">
        <v>3296</v>
      </c>
      <c r="B22252" t="s">
        <v>2931</v>
      </c>
      <c r="C22252">
        <v>15145</v>
      </c>
      <c r="D22252" t="str">
        <f>"12545020843 "</f>
        <v xml:space="preserve">12545020843 </v>
      </c>
      <c r="E22252" t="s">
        <v>309</v>
      </c>
      <c r="F22252" t="s">
        <v>310</v>
      </c>
      <c r="G22252">
        <v>27.33</v>
      </c>
      <c r="H22252">
        <v>251031</v>
      </c>
      <c r="I22252">
        <v>4369</v>
      </c>
      <c r="J22252" t="s">
        <v>188</v>
      </c>
      <c r="K22252">
        <v>34.11</v>
      </c>
      <c r="L22252">
        <v>5.55</v>
      </c>
      <c r="M22252">
        <v>13601</v>
      </c>
      <c r="N22252" t="s">
        <v>115</v>
      </c>
      <c r="O22252">
        <v>251112</v>
      </c>
      <c r="P22252">
        <v>21.78</v>
      </c>
    </row>
    <row r="22253" spans="1:16" x14ac:dyDescent="0.25">
      <c r="A22253" t="s">
        <v>3296</v>
      </c>
      <c r="B22253" t="s">
        <v>2931</v>
      </c>
      <c r="C22253">
        <v>15145</v>
      </c>
      <c r="D22253" t="str">
        <f>"12545020843 "</f>
        <v xml:space="preserve">12545020843 </v>
      </c>
      <c r="E22253" t="s">
        <v>309</v>
      </c>
      <c r="F22253" t="s">
        <v>310</v>
      </c>
      <c r="G22253">
        <v>3.39</v>
      </c>
      <c r="H22253">
        <v>251031</v>
      </c>
      <c r="I22253">
        <v>4369</v>
      </c>
      <c r="J22253" t="s">
        <v>188</v>
      </c>
      <c r="K22253">
        <v>34.11</v>
      </c>
      <c r="L22253">
        <v>0.69</v>
      </c>
      <c r="M22253">
        <v>13601</v>
      </c>
      <c r="N22253" t="s">
        <v>115</v>
      </c>
      <c r="O22253">
        <v>251112</v>
      </c>
      <c r="P22253">
        <v>2.7</v>
      </c>
    </row>
    <row r="22254" spans="1:16" x14ac:dyDescent="0.25">
      <c r="A22254" t="s">
        <v>3296</v>
      </c>
      <c r="B22254" t="s">
        <v>2931</v>
      </c>
      <c r="C22254">
        <v>15145</v>
      </c>
      <c r="D22254" t="str">
        <f>"12545020843 "</f>
        <v xml:space="preserve">12545020843 </v>
      </c>
      <c r="E22254" t="s">
        <v>309</v>
      </c>
      <c r="F22254" t="s">
        <v>310</v>
      </c>
      <c r="G22254">
        <v>3.39</v>
      </c>
      <c r="H22254">
        <v>251031</v>
      </c>
      <c r="I22254">
        <v>4369</v>
      </c>
      <c r="J22254" t="s">
        <v>188</v>
      </c>
      <c r="K22254">
        <v>34.11</v>
      </c>
      <c r="L22254">
        <v>0.69</v>
      </c>
      <c r="M22254">
        <v>13661</v>
      </c>
      <c r="N22254" t="s">
        <v>243</v>
      </c>
      <c r="O22254">
        <v>251112</v>
      </c>
      <c r="P22254">
        <v>2.7</v>
      </c>
    </row>
    <row r="22255" spans="1:16" x14ac:dyDescent="0.25">
      <c r="A22255" t="s">
        <v>3296</v>
      </c>
      <c r="B22255" t="s">
        <v>2931</v>
      </c>
      <c r="C22255">
        <v>15190</v>
      </c>
      <c r="D22255" t="str">
        <f t="shared" ref="D22255:D22274" si="494">"12545020850 "</f>
        <v xml:space="preserve">12545020850 </v>
      </c>
      <c r="E22255" t="s">
        <v>309</v>
      </c>
      <c r="F22255" t="s">
        <v>310</v>
      </c>
      <c r="G22255">
        <v>20.97</v>
      </c>
      <c r="H22255">
        <v>251031</v>
      </c>
      <c r="I22255">
        <v>4369</v>
      </c>
      <c r="J22255" t="s">
        <v>188</v>
      </c>
      <c r="K22255">
        <v>234.18</v>
      </c>
      <c r="L22255">
        <v>4.26</v>
      </c>
      <c r="M22255">
        <v>11601</v>
      </c>
      <c r="N22255" t="s">
        <v>12</v>
      </c>
      <c r="O22255">
        <v>251113</v>
      </c>
      <c r="P22255">
        <v>16.71</v>
      </c>
    </row>
    <row r="22256" spans="1:16" x14ac:dyDescent="0.25">
      <c r="A22256" t="s">
        <v>3296</v>
      </c>
      <c r="B22256" t="s">
        <v>2931</v>
      </c>
      <c r="C22256">
        <v>15190</v>
      </c>
      <c r="D22256" t="str">
        <f t="shared" si="494"/>
        <v xml:space="preserve">12545020850 </v>
      </c>
      <c r="E22256" t="s">
        <v>309</v>
      </c>
      <c r="F22256" t="s">
        <v>310</v>
      </c>
      <c r="G22256">
        <v>3.2</v>
      </c>
      <c r="H22256">
        <v>251031</v>
      </c>
      <c r="I22256">
        <v>4369</v>
      </c>
      <c r="J22256" t="s">
        <v>188</v>
      </c>
      <c r="K22256">
        <v>234.18</v>
      </c>
      <c r="L22256">
        <v>0.65</v>
      </c>
      <c r="M22256">
        <v>11603</v>
      </c>
      <c r="N22256" t="s">
        <v>897</v>
      </c>
      <c r="O22256">
        <v>251113</v>
      </c>
      <c r="P22256">
        <v>2.5499999999999998</v>
      </c>
    </row>
    <row r="22257" spans="1:16" x14ac:dyDescent="0.25">
      <c r="A22257" t="s">
        <v>3296</v>
      </c>
      <c r="B22257" t="s">
        <v>2931</v>
      </c>
      <c r="C22257">
        <v>15190</v>
      </c>
      <c r="D22257" t="str">
        <f t="shared" si="494"/>
        <v xml:space="preserve">12545020850 </v>
      </c>
      <c r="E22257" t="s">
        <v>309</v>
      </c>
      <c r="F22257" t="s">
        <v>310</v>
      </c>
      <c r="G22257">
        <v>16.940000000000001</v>
      </c>
      <c r="H22257">
        <v>251031</v>
      </c>
      <c r="I22257">
        <v>4369</v>
      </c>
      <c r="J22257" t="s">
        <v>188</v>
      </c>
      <c r="K22257">
        <v>234.18</v>
      </c>
      <c r="L22257">
        <v>3.44</v>
      </c>
      <c r="M22257">
        <v>14121</v>
      </c>
      <c r="N22257" t="s">
        <v>71</v>
      </c>
      <c r="O22257">
        <v>251113</v>
      </c>
      <c r="P22257">
        <v>13.5</v>
      </c>
    </row>
    <row r="22258" spans="1:16" x14ac:dyDescent="0.25">
      <c r="A22258" t="s">
        <v>3296</v>
      </c>
      <c r="B22258" t="s">
        <v>2931</v>
      </c>
      <c r="C22258">
        <v>15190</v>
      </c>
      <c r="D22258" t="str">
        <f t="shared" si="494"/>
        <v xml:space="preserve">12545020850 </v>
      </c>
      <c r="E22258" t="s">
        <v>309</v>
      </c>
      <c r="F22258" t="s">
        <v>310</v>
      </c>
      <c r="G22258">
        <v>36.799999999999997</v>
      </c>
      <c r="H22258">
        <v>251031</v>
      </c>
      <c r="I22258">
        <v>4369</v>
      </c>
      <c r="J22258" t="s">
        <v>188</v>
      </c>
      <c r="K22258">
        <v>234.18</v>
      </c>
      <c r="L22258">
        <v>7.48</v>
      </c>
      <c r="M22258">
        <v>14321</v>
      </c>
      <c r="N22258" t="s">
        <v>72</v>
      </c>
      <c r="O22258">
        <v>251113</v>
      </c>
      <c r="P22258">
        <v>29.32</v>
      </c>
    </row>
    <row r="22259" spans="1:16" x14ac:dyDescent="0.25">
      <c r="A22259" t="s">
        <v>3296</v>
      </c>
      <c r="B22259" t="s">
        <v>2931</v>
      </c>
      <c r="C22259">
        <v>15190</v>
      </c>
      <c r="D22259" t="str">
        <f t="shared" si="494"/>
        <v xml:space="preserve">12545020850 </v>
      </c>
      <c r="E22259" t="s">
        <v>309</v>
      </c>
      <c r="F22259" t="s">
        <v>310</v>
      </c>
      <c r="G22259">
        <v>13.85</v>
      </c>
      <c r="H22259">
        <v>251031</v>
      </c>
      <c r="I22259">
        <v>4369</v>
      </c>
      <c r="J22259" t="s">
        <v>188</v>
      </c>
      <c r="K22259">
        <v>234.18</v>
      </c>
      <c r="L22259">
        <v>2.81</v>
      </c>
      <c r="M22259">
        <v>14422</v>
      </c>
      <c r="N22259" t="s">
        <v>73</v>
      </c>
      <c r="O22259">
        <v>251113</v>
      </c>
      <c r="P22259">
        <v>11.04</v>
      </c>
    </row>
    <row r="22260" spans="1:16" x14ac:dyDescent="0.25">
      <c r="A22260" t="s">
        <v>3296</v>
      </c>
      <c r="B22260" t="s">
        <v>2931</v>
      </c>
      <c r="C22260">
        <v>15190</v>
      </c>
      <c r="D22260" t="str">
        <f t="shared" si="494"/>
        <v xml:space="preserve">12545020850 </v>
      </c>
      <c r="E22260" t="s">
        <v>309</v>
      </c>
      <c r="F22260" t="s">
        <v>310</v>
      </c>
      <c r="G22260">
        <v>10.16</v>
      </c>
      <c r="H22260">
        <v>251031</v>
      </c>
      <c r="I22260">
        <v>4369</v>
      </c>
      <c r="J22260" t="s">
        <v>188</v>
      </c>
      <c r="K22260">
        <v>234.18</v>
      </c>
      <c r="L22260">
        <v>2.06</v>
      </c>
      <c r="M22260">
        <v>14431</v>
      </c>
      <c r="N22260" t="s">
        <v>74</v>
      </c>
      <c r="O22260">
        <v>251113</v>
      </c>
      <c r="P22260">
        <v>8.1</v>
      </c>
    </row>
    <row r="22261" spans="1:16" x14ac:dyDescent="0.25">
      <c r="A22261" t="s">
        <v>3296</v>
      </c>
      <c r="B22261" t="s">
        <v>2931</v>
      </c>
      <c r="C22261">
        <v>15190</v>
      </c>
      <c r="D22261" t="str">
        <f t="shared" si="494"/>
        <v xml:space="preserve">12545020850 </v>
      </c>
      <c r="E22261" t="s">
        <v>309</v>
      </c>
      <c r="F22261" t="s">
        <v>310</v>
      </c>
      <c r="G22261">
        <v>13.36</v>
      </c>
      <c r="H22261">
        <v>251031</v>
      </c>
      <c r="I22261">
        <v>4369</v>
      </c>
      <c r="J22261" t="s">
        <v>188</v>
      </c>
      <c r="K22261">
        <v>234.18</v>
      </c>
      <c r="L22261">
        <v>2.71</v>
      </c>
      <c r="M22261">
        <v>14432</v>
      </c>
      <c r="N22261" t="s">
        <v>75</v>
      </c>
      <c r="O22261">
        <v>251113</v>
      </c>
      <c r="P22261">
        <v>10.65</v>
      </c>
    </row>
    <row r="22262" spans="1:16" x14ac:dyDescent="0.25">
      <c r="A22262" t="s">
        <v>3296</v>
      </c>
      <c r="B22262" t="s">
        <v>2931</v>
      </c>
      <c r="C22262">
        <v>15190</v>
      </c>
      <c r="D22262" t="str">
        <f t="shared" si="494"/>
        <v xml:space="preserve">12545020850 </v>
      </c>
      <c r="E22262" t="s">
        <v>309</v>
      </c>
      <c r="F22262" t="s">
        <v>310</v>
      </c>
      <c r="G22262">
        <v>10.19</v>
      </c>
      <c r="H22262">
        <v>251031</v>
      </c>
      <c r="I22262">
        <v>4369</v>
      </c>
      <c r="J22262" t="s">
        <v>188</v>
      </c>
      <c r="K22262">
        <v>234.18</v>
      </c>
      <c r="L22262">
        <v>2.0699999999999998</v>
      </c>
      <c r="M22262">
        <v>14541</v>
      </c>
      <c r="N22262" t="s">
        <v>76</v>
      </c>
      <c r="O22262">
        <v>251113</v>
      </c>
      <c r="P22262">
        <v>8.1199999999999992</v>
      </c>
    </row>
    <row r="22263" spans="1:16" x14ac:dyDescent="0.25">
      <c r="A22263" t="s">
        <v>3296</v>
      </c>
      <c r="B22263" t="s">
        <v>2931</v>
      </c>
      <c r="C22263">
        <v>15190</v>
      </c>
      <c r="D22263" t="str">
        <f t="shared" si="494"/>
        <v xml:space="preserve">12545020850 </v>
      </c>
      <c r="E22263" t="s">
        <v>309</v>
      </c>
      <c r="F22263" t="s">
        <v>310</v>
      </c>
      <c r="G22263">
        <v>43.1</v>
      </c>
      <c r="H22263">
        <v>251031</v>
      </c>
      <c r="I22263">
        <v>4369</v>
      </c>
      <c r="J22263" t="s">
        <v>188</v>
      </c>
      <c r="K22263">
        <v>234.18</v>
      </c>
      <c r="L22263">
        <v>8.76</v>
      </c>
      <c r="M22263">
        <v>14622</v>
      </c>
      <c r="N22263" t="s">
        <v>77</v>
      </c>
      <c r="O22263">
        <v>251113</v>
      </c>
      <c r="P22263">
        <v>34.340000000000003</v>
      </c>
    </row>
    <row r="22264" spans="1:16" x14ac:dyDescent="0.25">
      <c r="A22264" t="s">
        <v>3296</v>
      </c>
      <c r="B22264" t="s">
        <v>2931</v>
      </c>
      <c r="C22264">
        <v>15190</v>
      </c>
      <c r="D22264" t="str">
        <f t="shared" si="494"/>
        <v xml:space="preserve">12545020850 </v>
      </c>
      <c r="E22264" t="s">
        <v>309</v>
      </c>
      <c r="F22264" t="s">
        <v>310</v>
      </c>
      <c r="G22264">
        <v>6.77</v>
      </c>
      <c r="H22264">
        <v>251031</v>
      </c>
      <c r="I22264">
        <v>4369</v>
      </c>
      <c r="J22264" t="s">
        <v>188</v>
      </c>
      <c r="K22264">
        <v>234.18</v>
      </c>
      <c r="L22264">
        <v>1.38</v>
      </c>
      <c r="M22264">
        <v>14640</v>
      </c>
      <c r="N22264" t="s">
        <v>78</v>
      </c>
      <c r="O22264">
        <v>251113</v>
      </c>
      <c r="P22264">
        <v>5.39</v>
      </c>
    </row>
    <row r="22265" spans="1:16" x14ac:dyDescent="0.25">
      <c r="A22265" t="s">
        <v>3296</v>
      </c>
      <c r="B22265" t="s">
        <v>2931</v>
      </c>
      <c r="C22265">
        <v>15190</v>
      </c>
      <c r="D22265" t="str">
        <f t="shared" si="494"/>
        <v xml:space="preserve">12545020850 </v>
      </c>
      <c r="E22265" t="s">
        <v>309</v>
      </c>
      <c r="F22265" t="s">
        <v>310</v>
      </c>
      <c r="G22265">
        <v>3.53</v>
      </c>
      <c r="H22265">
        <v>251031</v>
      </c>
      <c r="I22265">
        <v>4369</v>
      </c>
      <c r="J22265" t="s">
        <v>188</v>
      </c>
      <c r="K22265">
        <v>234.18</v>
      </c>
      <c r="L22265">
        <v>0.72</v>
      </c>
      <c r="M22265">
        <v>14861</v>
      </c>
      <c r="N22265" t="s">
        <v>79</v>
      </c>
      <c r="O22265">
        <v>251113</v>
      </c>
      <c r="P22265">
        <v>2.81</v>
      </c>
    </row>
    <row r="22266" spans="1:16" x14ac:dyDescent="0.25">
      <c r="A22266" t="s">
        <v>3296</v>
      </c>
      <c r="B22266" t="s">
        <v>2931</v>
      </c>
      <c r="C22266">
        <v>15190</v>
      </c>
      <c r="D22266" t="str">
        <f t="shared" si="494"/>
        <v xml:space="preserve">12545020850 </v>
      </c>
      <c r="E22266" t="s">
        <v>309</v>
      </c>
      <c r="F22266" t="s">
        <v>310</v>
      </c>
      <c r="G22266">
        <v>6.95</v>
      </c>
      <c r="H22266">
        <v>251031</v>
      </c>
      <c r="I22266">
        <v>4369</v>
      </c>
      <c r="J22266" t="s">
        <v>188</v>
      </c>
      <c r="K22266">
        <v>234.18</v>
      </c>
      <c r="L22266">
        <v>1.41</v>
      </c>
      <c r="M22266">
        <v>14912</v>
      </c>
      <c r="N22266" t="s">
        <v>80</v>
      </c>
      <c r="O22266">
        <v>251113</v>
      </c>
      <c r="P22266">
        <v>5.54</v>
      </c>
    </row>
    <row r="22267" spans="1:16" x14ac:dyDescent="0.25">
      <c r="A22267" t="s">
        <v>3296</v>
      </c>
      <c r="B22267" t="s">
        <v>2931</v>
      </c>
      <c r="C22267">
        <v>15190</v>
      </c>
      <c r="D22267" t="str">
        <f t="shared" si="494"/>
        <v xml:space="preserve">12545020850 </v>
      </c>
      <c r="E22267" t="s">
        <v>309</v>
      </c>
      <c r="F22267" t="s">
        <v>310</v>
      </c>
      <c r="G22267">
        <v>3.39</v>
      </c>
      <c r="H22267">
        <v>251031</v>
      </c>
      <c r="I22267">
        <v>4369</v>
      </c>
      <c r="J22267" t="s">
        <v>188</v>
      </c>
      <c r="K22267">
        <v>234.18</v>
      </c>
      <c r="L22267">
        <v>0.69</v>
      </c>
      <c r="M22267">
        <v>14971</v>
      </c>
      <c r="N22267" t="s">
        <v>81</v>
      </c>
      <c r="O22267">
        <v>251113</v>
      </c>
      <c r="P22267">
        <v>2.7</v>
      </c>
    </row>
    <row r="22268" spans="1:16" x14ac:dyDescent="0.25">
      <c r="A22268" t="s">
        <v>3296</v>
      </c>
      <c r="B22268" t="s">
        <v>2931</v>
      </c>
      <c r="C22268">
        <v>15190</v>
      </c>
      <c r="D22268" t="str">
        <f t="shared" si="494"/>
        <v xml:space="preserve">12545020850 </v>
      </c>
      <c r="E22268" t="s">
        <v>309</v>
      </c>
      <c r="F22268" t="s">
        <v>310</v>
      </c>
      <c r="G22268">
        <v>6.77</v>
      </c>
      <c r="H22268">
        <v>251031</v>
      </c>
      <c r="I22268">
        <v>4369</v>
      </c>
      <c r="J22268" t="s">
        <v>188</v>
      </c>
      <c r="K22268">
        <v>234.18</v>
      </c>
      <c r="L22268">
        <v>1.38</v>
      </c>
      <c r="M22268">
        <v>14972</v>
      </c>
      <c r="N22268" t="s">
        <v>82</v>
      </c>
      <c r="O22268">
        <v>251113</v>
      </c>
      <c r="P22268">
        <v>5.39</v>
      </c>
    </row>
    <row r="22269" spans="1:16" x14ac:dyDescent="0.25">
      <c r="A22269" t="s">
        <v>3296</v>
      </c>
      <c r="B22269" t="s">
        <v>2931</v>
      </c>
      <c r="C22269">
        <v>15190</v>
      </c>
      <c r="D22269" t="str">
        <f t="shared" si="494"/>
        <v xml:space="preserve">12545020850 </v>
      </c>
      <c r="E22269" t="s">
        <v>309</v>
      </c>
      <c r="F22269" t="s">
        <v>310</v>
      </c>
      <c r="G22269">
        <v>3.39</v>
      </c>
      <c r="H22269">
        <v>251031</v>
      </c>
      <c r="I22269">
        <v>4369</v>
      </c>
      <c r="J22269" t="s">
        <v>188</v>
      </c>
      <c r="K22269">
        <v>234.18</v>
      </c>
      <c r="L22269">
        <v>0.69</v>
      </c>
      <c r="M22269">
        <v>14974</v>
      </c>
      <c r="N22269" t="s">
        <v>83</v>
      </c>
      <c r="O22269">
        <v>251113</v>
      </c>
      <c r="P22269">
        <v>2.7</v>
      </c>
    </row>
    <row r="22270" spans="1:16" x14ac:dyDescent="0.25">
      <c r="A22270" t="s">
        <v>3296</v>
      </c>
      <c r="B22270" t="s">
        <v>2931</v>
      </c>
      <c r="C22270">
        <v>15190</v>
      </c>
      <c r="D22270" t="str">
        <f t="shared" si="494"/>
        <v xml:space="preserve">12545020850 </v>
      </c>
      <c r="E22270" t="s">
        <v>309</v>
      </c>
      <c r="F22270" t="s">
        <v>310</v>
      </c>
      <c r="G22270">
        <v>10.16</v>
      </c>
      <c r="H22270">
        <v>251031</v>
      </c>
      <c r="I22270">
        <v>4369</v>
      </c>
      <c r="J22270" t="s">
        <v>188</v>
      </c>
      <c r="K22270">
        <v>234.18</v>
      </c>
      <c r="L22270">
        <v>2.06</v>
      </c>
      <c r="M22270">
        <v>14975</v>
      </c>
      <c r="N22270" t="s">
        <v>84</v>
      </c>
      <c r="O22270">
        <v>251113</v>
      </c>
      <c r="P22270">
        <v>8.1</v>
      </c>
    </row>
    <row r="22271" spans="1:16" x14ac:dyDescent="0.25">
      <c r="A22271" t="s">
        <v>3296</v>
      </c>
      <c r="B22271" t="s">
        <v>2931</v>
      </c>
      <c r="C22271">
        <v>15190</v>
      </c>
      <c r="D22271" t="str">
        <f t="shared" si="494"/>
        <v xml:space="preserve">12545020850 </v>
      </c>
      <c r="E22271" t="s">
        <v>309</v>
      </c>
      <c r="F22271" t="s">
        <v>310</v>
      </c>
      <c r="G22271">
        <v>7.55</v>
      </c>
      <c r="H22271">
        <v>251031</v>
      </c>
      <c r="I22271">
        <v>4369</v>
      </c>
      <c r="J22271" t="s">
        <v>188</v>
      </c>
      <c r="K22271">
        <v>234.18</v>
      </c>
      <c r="L22271">
        <v>1.53</v>
      </c>
      <c r="M22271">
        <v>14990</v>
      </c>
      <c r="N22271" t="s">
        <v>85</v>
      </c>
      <c r="O22271">
        <v>251113</v>
      </c>
      <c r="P22271">
        <v>6.02</v>
      </c>
    </row>
    <row r="22272" spans="1:16" x14ac:dyDescent="0.25">
      <c r="A22272" t="s">
        <v>3296</v>
      </c>
      <c r="B22272" t="s">
        <v>2931</v>
      </c>
      <c r="C22272">
        <v>15190</v>
      </c>
      <c r="D22272" t="str">
        <f t="shared" si="494"/>
        <v xml:space="preserve">12545020850 </v>
      </c>
      <c r="E22272" t="s">
        <v>309</v>
      </c>
      <c r="F22272" t="s">
        <v>310</v>
      </c>
      <c r="G22272">
        <v>3.55</v>
      </c>
      <c r="H22272">
        <v>251031</v>
      </c>
      <c r="I22272">
        <v>4369</v>
      </c>
      <c r="J22272" t="s">
        <v>188</v>
      </c>
      <c r="K22272">
        <v>234.18</v>
      </c>
      <c r="L22272">
        <v>0.72</v>
      </c>
      <c r="M22272">
        <v>14990</v>
      </c>
      <c r="N22272" t="s">
        <v>85</v>
      </c>
      <c r="O22272">
        <v>251113</v>
      </c>
      <c r="P22272">
        <v>2.83</v>
      </c>
    </row>
    <row r="22273" spans="1:16" x14ac:dyDescent="0.25">
      <c r="A22273" t="s">
        <v>3296</v>
      </c>
      <c r="B22273" t="s">
        <v>2931</v>
      </c>
      <c r="C22273">
        <v>15190</v>
      </c>
      <c r="D22273" t="str">
        <f t="shared" si="494"/>
        <v xml:space="preserve">12545020850 </v>
      </c>
      <c r="E22273" t="s">
        <v>309</v>
      </c>
      <c r="F22273" t="s">
        <v>310</v>
      </c>
      <c r="G22273">
        <v>3.39</v>
      </c>
      <c r="H22273">
        <v>251031</v>
      </c>
      <c r="I22273">
        <v>4369</v>
      </c>
      <c r="J22273" t="s">
        <v>188</v>
      </c>
      <c r="K22273">
        <v>234.18</v>
      </c>
      <c r="L22273">
        <v>0.69</v>
      </c>
      <c r="M22273">
        <v>18972</v>
      </c>
      <c r="N22273" t="s">
        <v>39</v>
      </c>
      <c r="O22273">
        <v>251113</v>
      </c>
      <c r="P22273">
        <v>2.7</v>
      </c>
    </row>
    <row r="22274" spans="1:16" x14ac:dyDescent="0.25">
      <c r="A22274" t="s">
        <v>3296</v>
      </c>
      <c r="B22274" t="s">
        <v>2931</v>
      </c>
      <c r="C22274">
        <v>15190</v>
      </c>
      <c r="D22274" t="str">
        <f t="shared" si="494"/>
        <v xml:space="preserve">12545020850 </v>
      </c>
      <c r="E22274" t="s">
        <v>309</v>
      </c>
      <c r="F22274" t="s">
        <v>310</v>
      </c>
      <c r="G22274">
        <v>10.16</v>
      </c>
      <c r="H22274">
        <v>251031</v>
      </c>
      <c r="I22274">
        <v>4369</v>
      </c>
      <c r="J22274" t="s">
        <v>188</v>
      </c>
      <c r="K22274">
        <v>234.18</v>
      </c>
      <c r="L22274">
        <v>2.06</v>
      </c>
      <c r="M22274">
        <v>18972</v>
      </c>
      <c r="N22274" t="s">
        <v>39</v>
      </c>
      <c r="O22274">
        <v>251113</v>
      </c>
      <c r="P22274">
        <v>8.1</v>
      </c>
    </row>
    <row r="22275" spans="1:16" x14ac:dyDescent="0.25">
      <c r="A22275" t="s">
        <v>3296</v>
      </c>
      <c r="B22275" t="s">
        <v>2931</v>
      </c>
      <c r="C22275">
        <v>15191</v>
      </c>
      <c r="D22275" t="str">
        <f t="shared" ref="D22275:D22281" si="495">"12545020836 "</f>
        <v xml:space="preserve">12545020836 </v>
      </c>
      <c r="E22275" t="s">
        <v>309</v>
      </c>
      <c r="F22275" t="s">
        <v>310</v>
      </c>
      <c r="G22275">
        <v>1.76</v>
      </c>
      <c r="H22275">
        <v>251031</v>
      </c>
      <c r="I22275">
        <v>4369</v>
      </c>
      <c r="J22275" t="s">
        <v>188</v>
      </c>
      <c r="K22275">
        <v>13.55</v>
      </c>
      <c r="L22275">
        <v>0.36</v>
      </c>
      <c r="M22275">
        <v>41126</v>
      </c>
      <c r="N22275" t="s">
        <v>94</v>
      </c>
      <c r="O22275">
        <v>251113</v>
      </c>
      <c r="P22275">
        <v>1.4</v>
      </c>
    </row>
    <row r="22276" spans="1:16" x14ac:dyDescent="0.25">
      <c r="A22276" t="s">
        <v>3296</v>
      </c>
      <c r="B22276" t="s">
        <v>2931</v>
      </c>
      <c r="C22276">
        <v>15191</v>
      </c>
      <c r="D22276" t="str">
        <f t="shared" si="495"/>
        <v xml:space="preserve">12545020836 </v>
      </c>
      <c r="E22276" t="s">
        <v>309</v>
      </c>
      <c r="F22276" t="s">
        <v>310</v>
      </c>
      <c r="G22276">
        <v>1.35</v>
      </c>
      <c r="H22276">
        <v>251031</v>
      </c>
      <c r="I22276">
        <v>4369</v>
      </c>
      <c r="J22276" t="s">
        <v>188</v>
      </c>
      <c r="K22276">
        <v>13.55</v>
      </c>
      <c r="L22276">
        <v>0.27</v>
      </c>
      <c r="M22276">
        <v>43222</v>
      </c>
      <c r="N22276" t="s">
        <v>95</v>
      </c>
      <c r="O22276">
        <v>251113</v>
      </c>
      <c r="P22276">
        <v>1.08</v>
      </c>
    </row>
    <row r="22277" spans="1:16" x14ac:dyDescent="0.25">
      <c r="A22277" t="s">
        <v>3296</v>
      </c>
      <c r="B22277" t="s">
        <v>2931</v>
      </c>
      <c r="C22277">
        <v>15191</v>
      </c>
      <c r="D22277" t="str">
        <f t="shared" si="495"/>
        <v xml:space="preserve">12545020836 </v>
      </c>
      <c r="E22277" t="s">
        <v>309</v>
      </c>
      <c r="F22277" t="s">
        <v>310</v>
      </c>
      <c r="G22277">
        <v>1.63</v>
      </c>
      <c r="H22277">
        <v>251031</v>
      </c>
      <c r="I22277">
        <v>4369</v>
      </c>
      <c r="J22277" t="s">
        <v>188</v>
      </c>
      <c r="K22277">
        <v>13.55</v>
      </c>
      <c r="L22277">
        <v>0.33</v>
      </c>
      <c r="M22277">
        <v>44222</v>
      </c>
      <c r="N22277" t="s">
        <v>96</v>
      </c>
      <c r="O22277">
        <v>251113</v>
      </c>
      <c r="P22277">
        <v>1.3</v>
      </c>
    </row>
    <row r="22278" spans="1:16" x14ac:dyDescent="0.25">
      <c r="A22278" t="s">
        <v>3296</v>
      </c>
      <c r="B22278" t="s">
        <v>2931</v>
      </c>
      <c r="C22278">
        <v>15191</v>
      </c>
      <c r="D22278" t="str">
        <f t="shared" si="495"/>
        <v xml:space="preserve">12545020836 </v>
      </c>
      <c r="E22278" t="s">
        <v>309</v>
      </c>
      <c r="F22278" t="s">
        <v>310</v>
      </c>
      <c r="G22278">
        <v>1.76</v>
      </c>
      <c r="H22278">
        <v>251031</v>
      </c>
      <c r="I22278">
        <v>4369</v>
      </c>
      <c r="J22278" t="s">
        <v>188</v>
      </c>
      <c r="K22278">
        <v>13.55</v>
      </c>
      <c r="L22278">
        <v>0.36</v>
      </c>
      <c r="M22278">
        <v>44424</v>
      </c>
      <c r="N22278" t="s">
        <v>99</v>
      </c>
      <c r="O22278">
        <v>251113</v>
      </c>
      <c r="P22278">
        <v>1.4</v>
      </c>
    </row>
    <row r="22279" spans="1:16" x14ac:dyDescent="0.25">
      <c r="A22279" t="s">
        <v>3296</v>
      </c>
      <c r="B22279" t="s">
        <v>2931</v>
      </c>
      <c r="C22279">
        <v>15191</v>
      </c>
      <c r="D22279" t="str">
        <f t="shared" si="495"/>
        <v xml:space="preserve">12545020836 </v>
      </c>
      <c r="E22279" t="s">
        <v>309</v>
      </c>
      <c r="F22279" t="s">
        <v>310</v>
      </c>
      <c r="G22279">
        <v>0.95</v>
      </c>
      <c r="H22279">
        <v>251031</v>
      </c>
      <c r="I22279">
        <v>4369</v>
      </c>
      <c r="J22279" t="s">
        <v>188</v>
      </c>
      <c r="K22279">
        <v>13.55</v>
      </c>
      <c r="L22279">
        <v>0.19</v>
      </c>
      <c r="M22279">
        <v>46222</v>
      </c>
      <c r="N22279" t="s">
        <v>101</v>
      </c>
      <c r="O22279">
        <v>251113</v>
      </c>
      <c r="P22279">
        <v>0.76</v>
      </c>
    </row>
    <row r="22280" spans="1:16" x14ac:dyDescent="0.25">
      <c r="A22280" t="s">
        <v>3296</v>
      </c>
      <c r="B22280" t="s">
        <v>2931</v>
      </c>
      <c r="C22280">
        <v>15191</v>
      </c>
      <c r="D22280" t="str">
        <f t="shared" si="495"/>
        <v xml:space="preserve">12545020836 </v>
      </c>
      <c r="E22280" t="s">
        <v>309</v>
      </c>
      <c r="F22280" t="s">
        <v>310</v>
      </c>
      <c r="G22280">
        <v>5.42</v>
      </c>
      <c r="H22280">
        <v>251031</v>
      </c>
      <c r="I22280">
        <v>4369</v>
      </c>
      <c r="J22280" t="s">
        <v>188</v>
      </c>
      <c r="K22280">
        <v>13.55</v>
      </c>
      <c r="L22280">
        <v>1.1000000000000001</v>
      </c>
      <c r="M22280">
        <v>46559</v>
      </c>
      <c r="N22280" t="s">
        <v>105</v>
      </c>
      <c r="O22280">
        <v>251113</v>
      </c>
      <c r="P22280">
        <v>4.32</v>
      </c>
    </row>
    <row r="22281" spans="1:16" x14ac:dyDescent="0.25">
      <c r="A22281" t="s">
        <v>3296</v>
      </c>
      <c r="B22281" t="s">
        <v>2931</v>
      </c>
      <c r="C22281">
        <v>15191</v>
      </c>
      <c r="D22281" t="str">
        <f t="shared" si="495"/>
        <v xml:space="preserve">12545020836 </v>
      </c>
      <c r="E22281" t="s">
        <v>309</v>
      </c>
      <c r="F22281" t="s">
        <v>310</v>
      </c>
      <c r="G22281">
        <v>0.68</v>
      </c>
      <c r="H22281">
        <v>251031</v>
      </c>
      <c r="I22281">
        <v>4369</v>
      </c>
      <c r="J22281" t="s">
        <v>188</v>
      </c>
      <c r="K22281">
        <v>13.55</v>
      </c>
      <c r="L22281">
        <v>0.14000000000000001</v>
      </c>
      <c r="M22281">
        <v>47522</v>
      </c>
      <c r="N22281" t="s">
        <v>106</v>
      </c>
      <c r="O22281">
        <v>251113</v>
      </c>
      <c r="P22281">
        <v>0.54</v>
      </c>
    </row>
    <row r="22282" spans="1:16" x14ac:dyDescent="0.25">
      <c r="A22282" t="s">
        <v>3296</v>
      </c>
      <c r="B22282" t="s">
        <v>2931</v>
      </c>
      <c r="C22282">
        <v>15284</v>
      </c>
      <c r="D22282" t="str">
        <f t="shared" ref="D22282:D22289" si="496">"12545020813 "</f>
        <v xml:space="preserve">12545020813 </v>
      </c>
      <c r="E22282" t="s">
        <v>309</v>
      </c>
      <c r="F22282" t="s">
        <v>310</v>
      </c>
      <c r="G22282">
        <v>6.4</v>
      </c>
      <c r="H22282">
        <v>251031</v>
      </c>
      <c r="I22282">
        <v>4369</v>
      </c>
      <c r="J22282" t="s">
        <v>188</v>
      </c>
      <c r="K22282">
        <v>63.87</v>
      </c>
      <c r="L22282">
        <v>1.3</v>
      </c>
      <c r="M22282">
        <v>10002</v>
      </c>
      <c r="N22282" t="s">
        <v>513</v>
      </c>
      <c r="O22282">
        <v>251117</v>
      </c>
      <c r="P22282">
        <v>5.0999999999999996</v>
      </c>
    </row>
    <row r="22283" spans="1:16" x14ac:dyDescent="0.25">
      <c r="A22283" t="s">
        <v>3296</v>
      </c>
      <c r="B22283" t="s">
        <v>2931</v>
      </c>
      <c r="C22283">
        <v>15284</v>
      </c>
      <c r="D22283" t="str">
        <f t="shared" si="496"/>
        <v xml:space="preserve">12545020813 </v>
      </c>
      <c r="E22283" t="s">
        <v>309</v>
      </c>
      <c r="F22283" t="s">
        <v>310</v>
      </c>
      <c r="G22283">
        <v>6.4</v>
      </c>
      <c r="H22283">
        <v>251031</v>
      </c>
      <c r="I22283">
        <v>4369</v>
      </c>
      <c r="J22283" t="s">
        <v>188</v>
      </c>
      <c r="K22283">
        <v>63.87</v>
      </c>
      <c r="L22283">
        <v>1.3</v>
      </c>
      <c r="M22283">
        <v>11001</v>
      </c>
      <c r="N22283" t="s">
        <v>93</v>
      </c>
      <c r="O22283">
        <v>251117</v>
      </c>
      <c r="P22283">
        <v>5.0999999999999996</v>
      </c>
    </row>
    <row r="22284" spans="1:16" x14ac:dyDescent="0.25">
      <c r="A22284" t="s">
        <v>3296</v>
      </c>
      <c r="B22284" t="s">
        <v>2931</v>
      </c>
      <c r="C22284">
        <v>15284</v>
      </c>
      <c r="D22284" t="str">
        <f t="shared" si="496"/>
        <v xml:space="preserve">12545020813 </v>
      </c>
      <c r="E22284" t="s">
        <v>309</v>
      </c>
      <c r="F22284" t="s">
        <v>310</v>
      </c>
      <c r="G22284">
        <v>12.41</v>
      </c>
      <c r="H22284">
        <v>251031</v>
      </c>
      <c r="I22284">
        <v>4369</v>
      </c>
      <c r="J22284" t="s">
        <v>188</v>
      </c>
      <c r="K22284">
        <v>63.87</v>
      </c>
      <c r="L22284">
        <v>2.52</v>
      </c>
      <c r="M22284">
        <v>11001</v>
      </c>
      <c r="N22284" t="s">
        <v>93</v>
      </c>
      <c r="O22284">
        <v>251117</v>
      </c>
      <c r="P22284">
        <v>9.89</v>
      </c>
    </row>
    <row r="22285" spans="1:16" x14ac:dyDescent="0.25">
      <c r="A22285" t="s">
        <v>3296</v>
      </c>
      <c r="B22285" t="s">
        <v>2931</v>
      </c>
      <c r="C22285">
        <v>15284</v>
      </c>
      <c r="D22285" t="str">
        <f t="shared" si="496"/>
        <v xml:space="preserve">12545020813 </v>
      </c>
      <c r="E22285" t="s">
        <v>309</v>
      </c>
      <c r="F22285" t="s">
        <v>310</v>
      </c>
      <c r="G22285">
        <v>10.220000000000001</v>
      </c>
      <c r="H22285">
        <v>251031</v>
      </c>
      <c r="I22285">
        <v>4369</v>
      </c>
      <c r="J22285" t="s">
        <v>188</v>
      </c>
      <c r="K22285">
        <v>63.87</v>
      </c>
      <c r="L22285">
        <v>2.08</v>
      </c>
      <c r="M22285">
        <v>11301</v>
      </c>
      <c r="N22285" t="s">
        <v>92</v>
      </c>
      <c r="O22285">
        <v>251117</v>
      </c>
      <c r="P22285">
        <v>8.14</v>
      </c>
    </row>
    <row r="22286" spans="1:16" x14ac:dyDescent="0.25">
      <c r="A22286" t="s">
        <v>3296</v>
      </c>
      <c r="B22286" t="s">
        <v>2931</v>
      </c>
      <c r="C22286">
        <v>15284</v>
      </c>
      <c r="D22286" t="str">
        <f t="shared" si="496"/>
        <v xml:space="preserve">12545020813 </v>
      </c>
      <c r="E22286" t="s">
        <v>309</v>
      </c>
      <c r="F22286" t="s">
        <v>310</v>
      </c>
      <c r="G22286">
        <v>4.38</v>
      </c>
      <c r="H22286">
        <v>251031</v>
      </c>
      <c r="I22286">
        <v>4369</v>
      </c>
      <c r="J22286" t="s">
        <v>188</v>
      </c>
      <c r="K22286">
        <v>63.87</v>
      </c>
      <c r="L22286">
        <v>0</v>
      </c>
      <c r="M22286">
        <v>11401</v>
      </c>
      <c r="N22286" t="s">
        <v>91</v>
      </c>
      <c r="O22286">
        <v>251117</v>
      </c>
      <c r="P22286">
        <v>4.38</v>
      </c>
    </row>
    <row r="22287" spans="1:16" x14ac:dyDescent="0.25">
      <c r="A22287" t="s">
        <v>3296</v>
      </c>
      <c r="B22287" t="s">
        <v>2931</v>
      </c>
      <c r="C22287">
        <v>15284</v>
      </c>
      <c r="D22287" t="str">
        <f t="shared" si="496"/>
        <v xml:space="preserve">12545020813 </v>
      </c>
      <c r="E22287" t="s">
        <v>309</v>
      </c>
      <c r="F22287" t="s">
        <v>310</v>
      </c>
      <c r="G22287">
        <v>9.7899999999999991</v>
      </c>
      <c r="H22287">
        <v>251031</v>
      </c>
      <c r="I22287">
        <v>4369</v>
      </c>
      <c r="J22287" t="s">
        <v>188</v>
      </c>
      <c r="K22287">
        <v>63.87</v>
      </c>
      <c r="L22287">
        <v>1.99</v>
      </c>
      <c r="M22287">
        <v>11401</v>
      </c>
      <c r="N22287" t="s">
        <v>91</v>
      </c>
      <c r="O22287">
        <v>251117</v>
      </c>
      <c r="P22287">
        <v>7.8</v>
      </c>
    </row>
    <row r="22288" spans="1:16" x14ac:dyDescent="0.25">
      <c r="A22288" t="s">
        <v>3296</v>
      </c>
      <c r="B22288" t="s">
        <v>2931</v>
      </c>
      <c r="C22288">
        <v>15284</v>
      </c>
      <c r="D22288" t="str">
        <f t="shared" si="496"/>
        <v xml:space="preserve">12545020813 </v>
      </c>
      <c r="E22288" t="s">
        <v>309</v>
      </c>
      <c r="F22288" t="s">
        <v>310</v>
      </c>
      <c r="G22288">
        <v>3.56</v>
      </c>
      <c r="H22288">
        <v>251031</v>
      </c>
      <c r="I22288">
        <v>4369</v>
      </c>
      <c r="J22288" t="s">
        <v>188</v>
      </c>
      <c r="K22288">
        <v>63.87</v>
      </c>
      <c r="L22288">
        <v>0.72</v>
      </c>
      <c r="M22288">
        <v>11501</v>
      </c>
      <c r="N22288" t="s">
        <v>13</v>
      </c>
      <c r="O22288">
        <v>251117</v>
      </c>
      <c r="P22288">
        <v>2.84</v>
      </c>
    </row>
    <row r="22289" spans="1:16" x14ac:dyDescent="0.25">
      <c r="A22289" t="s">
        <v>3296</v>
      </c>
      <c r="B22289" t="s">
        <v>2931</v>
      </c>
      <c r="C22289">
        <v>15284</v>
      </c>
      <c r="D22289" t="str">
        <f t="shared" si="496"/>
        <v xml:space="preserve">12545020813 </v>
      </c>
      <c r="E22289" t="s">
        <v>309</v>
      </c>
      <c r="F22289" t="s">
        <v>310</v>
      </c>
      <c r="G22289">
        <v>10.71</v>
      </c>
      <c r="H22289">
        <v>251031</v>
      </c>
      <c r="I22289">
        <v>4369</v>
      </c>
      <c r="J22289" t="s">
        <v>188</v>
      </c>
      <c r="K22289">
        <v>63.87</v>
      </c>
      <c r="L22289">
        <v>2.1800000000000002</v>
      </c>
      <c r="M22289">
        <v>18972</v>
      </c>
      <c r="N22289" t="s">
        <v>39</v>
      </c>
      <c r="O22289">
        <v>251117</v>
      </c>
      <c r="P22289">
        <v>8.5299999999999994</v>
      </c>
    </row>
    <row r="22290" spans="1:16" x14ac:dyDescent="0.25">
      <c r="A22290" t="s">
        <v>3296</v>
      </c>
      <c r="B22290" t="s">
        <v>2931</v>
      </c>
      <c r="C22290">
        <v>15348</v>
      </c>
      <c r="D22290" t="str">
        <f t="shared" ref="D22290:D22297" si="497">"12545020815 "</f>
        <v xml:space="preserve">12545020815 </v>
      </c>
      <c r="E22290" t="s">
        <v>309</v>
      </c>
      <c r="F22290" t="s">
        <v>310</v>
      </c>
      <c r="G22290">
        <v>30.09</v>
      </c>
      <c r="H22290">
        <v>251031</v>
      </c>
      <c r="I22290">
        <v>4369</v>
      </c>
      <c r="J22290" t="s">
        <v>188</v>
      </c>
      <c r="K22290">
        <v>152.87</v>
      </c>
      <c r="L22290">
        <v>6.11</v>
      </c>
      <c r="M22290">
        <v>14971</v>
      </c>
      <c r="N22290" t="s">
        <v>81</v>
      </c>
      <c r="O22290">
        <v>251119</v>
      </c>
      <c r="P22290">
        <v>23.98</v>
      </c>
    </row>
    <row r="22291" spans="1:16" x14ac:dyDescent="0.25">
      <c r="A22291" t="s">
        <v>3296</v>
      </c>
      <c r="B22291" t="s">
        <v>2931</v>
      </c>
      <c r="C22291">
        <v>15348</v>
      </c>
      <c r="D22291" t="str">
        <f t="shared" si="497"/>
        <v xml:space="preserve">12545020815 </v>
      </c>
      <c r="E22291" t="s">
        <v>309</v>
      </c>
      <c r="F22291" t="s">
        <v>310</v>
      </c>
      <c r="G22291">
        <v>6.59</v>
      </c>
      <c r="H22291">
        <v>251031</v>
      </c>
      <c r="I22291">
        <v>4369</v>
      </c>
      <c r="J22291" t="s">
        <v>188</v>
      </c>
      <c r="K22291">
        <v>152.87</v>
      </c>
      <c r="L22291">
        <v>1.34</v>
      </c>
      <c r="M22291">
        <v>17972</v>
      </c>
      <c r="N22291" t="s">
        <v>28</v>
      </c>
      <c r="O22291">
        <v>251119</v>
      </c>
      <c r="P22291">
        <v>5.25</v>
      </c>
    </row>
    <row r="22292" spans="1:16" x14ac:dyDescent="0.25">
      <c r="A22292" t="s">
        <v>3296</v>
      </c>
      <c r="B22292" t="s">
        <v>2931</v>
      </c>
      <c r="C22292">
        <v>15348</v>
      </c>
      <c r="D22292" t="str">
        <f t="shared" si="497"/>
        <v xml:space="preserve">12545020815 </v>
      </c>
      <c r="E22292" t="s">
        <v>309</v>
      </c>
      <c r="F22292" t="s">
        <v>310</v>
      </c>
      <c r="G22292">
        <v>61.6</v>
      </c>
      <c r="H22292">
        <v>251031</v>
      </c>
      <c r="I22292">
        <v>4369</v>
      </c>
      <c r="J22292" t="s">
        <v>188</v>
      </c>
      <c r="K22292">
        <v>152.87</v>
      </c>
      <c r="L22292">
        <v>12.52</v>
      </c>
      <c r="M22292">
        <v>18010</v>
      </c>
      <c r="N22292" t="s">
        <v>36</v>
      </c>
      <c r="O22292">
        <v>251119</v>
      </c>
      <c r="P22292">
        <v>49.08</v>
      </c>
    </row>
    <row r="22293" spans="1:16" x14ac:dyDescent="0.25">
      <c r="A22293" t="s">
        <v>3296</v>
      </c>
      <c r="B22293" t="s">
        <v>2931</v>
      </c>
      <c r="C22293">
        <v>15348</v>
      </c>
      <c r="D22293" t="str">
        <f t="shared" si="497"/>
        <v xml:space="preserve">12545020815 </v>
      </c>
      <c r="E22293" t="s">
        <v>309</v>
      </c>
      <c r="F22293" t="s">
        <v>310</v>
      </c>
      <c r="G22293">
        <v>3.39</v>
      </c>
      <c r="H22293">
        <v>251031</v>
      </c>
      <c r="I22293">
        <v>4369</v>
      </c>
      <c r="J22293" t="s">
        <v>188</v>
      </c>
      <c r="K22293">
        <v>152.87</v>
      </c>
      <c r="L22293">
        <v>0.69</v>
      </c>
      <c r="M22293">
        <v>18120</v>
      </c>
      <c r="N22293" t="s">
        <v>37</v>
      </c>
      <c r="O22293">
        <v>251119</v>
      </c>
      <c r="P22293">
        <v>2.7</v>
      </c>
    </row>
    <row r="22294" spans="1:16" x14ac:dyDescent="0.25">
      <c r="A22294" t="s">
        <v>3296</v>
      </c>
      <c r="B22294" t="s">
        <v>2931</v>
      </c>
      <c r="C22294">
        <v>15348</v>
      </c>
      <c r="D22294" t="str">
        <f t="shared" si="497"/>
        <v xml:space="preserve">12545020815 </v>
      </c>
      <c r="E22294" t="s">
        <v>309</v>
      </c>
      <c r="F22294" t="s">
        <v>310</v>
      </c>
      <c r="G22294">
        <v>6.4</v>
      </c>
      <c r="H22294">
        <v>251031</v>
      </c>
      <c r="I22294">
        <v>4369</v>
      </c>
      <c r="J22294" t="s">
        <v>188</v>
      </c>
      <c r="K22294">
        <v>152.87</v>
      </c>
      <c r="L22294">
        <v>1.3</v>
      </c>
      <c r="M22294">
        <v>18971</v>
      </c>
      <c r="N22294" t="s">
        <v>38</v>
      </c>
      <c r="O22294">
        <v>251119</v>
      </c>
      <c r="P22294">
        <v>5.0999999999999996</v>
      </c>
    </row>
    <row r="22295" spans="1:16" x14ac:dyDescent="0.25">
      <c r="A22295" t="s">
        <v>3296</v>
      </c>
      <c r="B22295" t="s">
        <v>2931</v>
      </c>
      <c r="C22295">
        <v>15348</v>
      </c>
      <c r="D22295" t="str">
        <f t="shared" si="497"/>
        <v xml:space="preserve">12545020815 </v>
      </c>
      <c r="E22295" t="s">
        <v>309</v>
      </c>
      <c r="F22295" t="s">
        <v>310</v>
      </c>
      <c r="G22295">
        <v>34.82</v>
      </c>
      <c r="H22295">
        <v>251031</v>
      </c>
      <c r="I22295">
        <v>4369</v>
      </c>
      <c r="J22295" t="s">
        <v>188</v>
      </c>
      <c r="K22295">
        <v>152.87</v>
      </c>
      <c r="L22295">
        <v>7.07</v>
      </c>
      <c r="M22295">
        <v>18972</v>
      </c>
      <c r="N22295" t="s">
        <v>39</v>
      </c>
      <c r="O22295">
        <v>251119</v>
      </c>
      <c r="P22295">
        <v>27.75</v>
      </c>
    </row>
    <row r="22296" spans="1:16" x14ac:dyDescent="0.25">
      <c r="A22296" t="s">
        <v>3296</v>
      </c>
      <c r="B22296" t="s">
        <v>2931</v>
      </c>
      <c r="C22296">
        <v>15348</v>
      </c>
      <c r="D22296" t="str">
        <f t="shared" si="497"/>
        <v xml:space="preserve">12545020815 </v>
      </c>
      <c r="E22296" t="s">
        <v>309</v>
      </c>
      <c r="F22296" t="s">
        <v>310</v>
      </c>
      <c r="G22296">
        <v>3.39</v>
      </c>
      <c r="H22296">
        <v>251031</v>
      </c>
      <c r="I22296">
        <v>4369</v>
      </c>
      <c r="J22296" t="s">
        <v>188</v>
      </c>
      <c r="K22296">
        <v>152.87</v>
      </c>
      <c r="L22296">
        <v>0.69</v>
      </c>
      <c r="M22296">
        <v>49702</v>
      </c>
      <c r="N22296" t="s">
        <v>112</v>
      </c>
      <c r="O22296">
        <v>251119</v>
      </c>
      <c r="P22296">
        <v>2.7</v>
      </c>
    </row>
    <row r="22297" spans="1:16" x14ac:dyDescent="0.25">
      <c r="A22297" t="s">
        <v>3296</v>
      </c>
      <c r="B22297" t="s">
        <v>2931</v>
      </c>
      <c r="C22297">
        <v>15348</v>
      </c>
      <c r="D22297" t="str">
        <f t="shared" si="497"/>
        <v xml:space="preserve">12545020815 </v>
      </c>
      <c r="E22297" t="s">
        <v>309</v>
      </c>
      <c r="F22297" t="s">
        <v>310</v>
      </c>
      <c r="G22297">
        <v>6.59</v>
      </c>
      <c r="H22297">
        <v>251031</v>
      </c>
      <c r="I22297">
        <v>4369</v>
      </c>
      <c r="J22297" t="s">
        <v>188</v>
      </c>
      <c r="K22297">
        <v>152.87</v>
      </c>
      <c r="L22297">
        <v>1.34</v>
      </c>
      <c r="M22297">
        <v>59702</v>
      </c>
      <c r="N22297" t="s">
        <v>45</v>
      </c>
      <c r="O22297">
        <v>251119</v>
      </c>
      <c r="P22297">
        <v>5.25</v>
      </c>
    </row>
    <row r="22298" spans="1:16" x14ac:dyDescent="0.25">
      <c r="A22298" t="s">
        <v>3296</v>
      </c>
      <c r="B22298" t="s">
        <v>2931</v>
      </c>
      <c r="C22298">
        <v>15499</v>
      </c>
      <c r="D22298" t="str">
        <f>"105608302   "</f>
        <v xml:space="preserve">105608302   </v>
      </c>
      <c r="E22298" t="s">
        <v>309</v>
      </c>
      <c r="F22298" t="s">
        <v>310</v>
      </c>
      <c r="G22298">
        <v>26.36</v>
      </c>
      <c r="H22298">
        <v>251101</v>
      </c>
      <c r="I22298">
        <v>4369</v>
      </c>
      <c r="J22298" t="s">
        <v>188</v>
      </c>
      <c r="K22298">
        <v>26.36</v>
      </c>
      <c r="L22298">
        <v>5.36</v>
      </c>
      <c r="M22298">
        <v>11801</v>
      </c>
      <c r="N22298" t="s">
        <v>40</v>
      </c>
      <c r="O22298">
        <v>251121</v>
      </c>
      <c r="P22298">
        <v>21</v>
      </c>
    </row>
    <row r="22299" spans="1:16" x14ac:dyDescent="0.25">
      <c r="A22299" t="s">
        <v>3296</v>
      </c>
      <c r="B22299" t="s">
        <v>2931</v>
      </c>
      <c r="C22299">
        <v>15509</v>
      </c>
      <c r="D22299" t="str">
        <f>"105608335   "</f>
        <v xml:space="preserve">105608335   </v>
      </c>
      <c r="E22299" t="s">
        <v>309</v>
      </c>
      <c r="F22299" t="s">
        <v>310</v>
      </c>
      <c r="G22299">
        <v>85.65</v>
      </c>
      <c r="H22299">
        <v>251111</v>
      </c>
      <c r="I22299">
        <v>4369</v>
      </c>
      <c r="J22299" t="s">
        <v>188</v>
      </c>
      <c r="K22299">
        <v>85.65</v>
      </c>
      <c r="L22299">
        <v>17.399999999999999</v>
      </c>
      <c r="M22299">
        <v>11801</v>
      </c>
      <c r="N22299" t="s">
        <v>40</v>
      </c>
      <c r="O22299">
        <v>251121</v>
      </c>
      <c r="P22299">
        <v>68.25</v>
      </c>
    </row>
    <row r="22300" spans="1:16" x14ac:dyDescent="0.25">
      <c r="A22300" t="s">
        <v>3296</v>
      </c>
      <c r="B22300" t="s">
        <v>2931</v>
      </c>
      <c r="C22300">
        <v>15617</v>
      </c>
      <c r="D22300" t="str">
        <f>"105598934   "</f>
        <v xml:space="preserve">105598934   </v>
      </c>
      <c r="E22300" t="s">
        <v>309</v>
      </c>
      <c r="F22300" t="s">
        <v>310</v>
      </c>
      <c r="G22300">
        <v>87.85</v>
      </c>
      <c r="H22300">
        <v>251101</v>
      </c>
      <c r="I22300">
        <v>4369</v>
      </c>
      <c r="J22300" t="s">
        <v>188</v>
      </c>
      <c r="K22300">
        <v>87.85</v>
      </c>
      <c r="L22300">
        <v>17.850000000000001</v>
      </c>
      <c r="M22300">
        <v>18972</v>
      </c>
      <c r="N22300" t="s">
        <v>39</v>
      </c>
      <c r="O22300">
        <v>251124</v>
      </c>
      <c r="P22300">
        <v>70</v>
      </c>
    </row>
    <row r="22301" spans="1:16" x14ac:dyDescent="0.25">
      <c r="A22301" t="s">
        <v>3296</v>
      </c>
      <c r="B22301" t="s">
        <v>2931</v>
      </c>
      <c r="C22301">
        <v>15680</v>
      </c>
      <c r="D22301" t="str">
        <f>"12545020848 "</f>
        <v xml:space="preserve">12545020848 </v>
      </c>
      <c r="E22301" t="s">
        <v>309</v>
      </c>
      <c r="F22301" t="s">
        <v>310</v>
      </c>
      <c r="G22301">
        <v>9.7100000000000009</v>
      </c>
      <c r="H22301">
        <v>251101</v>
      </c>
      <c r="I22301">
        <v>4369</v>
      </c>
      <c r="J22301" t="s">
        <v>188</v>
      </c>
      <c r="K22301">
        <v>33.549999999999997</v>
      </c>
      <c r="L22301">
        <v>1.97</v>
      </c>
      <c r="M22301">
        <v>11101</v>
      </c>
      <c r="N22301" t="s">
        <v>67</v>
      </c>
      <c r="O22301">
        <v>251125</v>
      </c>
      <c r="P22301">
        <v>7.74</v>
      </c>
    </row>
    <row r="22302" spans="1:16" x14ac:dyDescent="0.25">
      <c r="A22302" t="s">
        <v>3296</v>
      </c>
      <c r="B22302" t="s">
        <v>2931</v>
      </c>
      <c r="C22302">
        <v>15680</v>
      </c>
      <c r="D22302" t="str">
        <f>"12545020848 "</f>
        <v xml:space="preserve">12545020848 </v>
      </c>
      <c r="E22302" t="s">
        <v>309</v>
      </c>
      <c r="F22302" t="s">
        <v>310</v>
      </c>
      <c r="G22302">
        <v>16.95</v>
      </c>
      <c r="H22302">
        <v>251101</v>
      </c>
      <c r="I22302">
        <v>4369</v>
      </c>
      <c r="J22302" t="s">
        <v>188</v>
      </c>
      <c r="K22302">
        <v>33.549999999999997</v>
      </c>
      <c r="L22302">
        <v>3.44</v>
      </c>
      <c r="M22302">
        <v>11101</v>
      </c>
      <c r="N22302" t="s">
        <v>67</v>
      </c>
      <c r="O22302">
        <v>251125</v>
      </c>
      <c r="P22302">
        <v>13.51</v>
      </c>
    </row>
    <row r="22303" spans="1:16" x14ac:dyDescent="0.25">
      <c r="A22303" t="s">
        <v>3296</v>
      </c>
      <c r="B22303" t="s">
        <v>2931</v>
      </c>
      <c r="C22303">
        <v>15680</v>
      </c>
      <c r="D22303" t="str">
        <f>"12545020848 "</f>
        <v xml:space="preserve">12545020848 </v>
      </c>
      <c r="E22303" t="s">
        <v>309</v>
      </c>
      <c r="F22303" t="s">
        <v>310</v>
      </c>
      <c r="G22303">
        <v>3.5</v>
      </c>
      <c r="H22303">
        <v>251101</v>
      </c>
      <c r="I22303">
        <v>4369</v>
      </c>
      <c r="J22303" t="s">
        <v>188</v>
      </c>
      <c r="K22303">
        <v>33.549999999999997</v>
      </c>
      <c r="L22303">
        <v>0.71</v>
      </c>
      <c r="M22303">
        <v>11201</v>
      </c>
      <c r="N22303" t="s">
        <v>35</v>
      </c>
      <c r="O22303">
        <v>251125</v>
      </c>
      <c r="P22303">
        <v>2.79</v>
      </c>
    </row>
    <row r="22304" spans="1:16" x14ac:dyDescent="0.25">
      <c r="A22304" t="s">
        <v>3296</v>
      </c>
      <c r="B22304" t="s">
        <v>2931</v>
      </c>
      <c r="C22304">
        <v>15680</v>
      </c>
      <c r="D22304" t="str">
        <f>"12545020848 "</f>
        <v xml:space="preserve">12545020848 </v>
      </c>
      <c r="E22304" t="s">
        <v>309</v>
      </c>
      <c r="F22304" t="s">
        <v>310</v>
      </c>
      <c r="G22304">
        <v>3.39</v>
      </c>
      <c r="H22304">
        <v>251101</v>
      </c>
      <c r="I22304">
        <v>4369</v>
      </c>
      <c r="J22304" t="s">
        <v>188</v>
      </c>
      <c r="K22304">
        <v>33.549999999999997</v>
      </c>
      <c r="L22304">
        <v>0.69</v>
      </c>
      <c r="M22304">
        <v>11701</v>
      </c>
      <c r="N22304" t="s">
        <v>973</v>
      </c>
      <c r="O22304">
        <v>251125</v>
      </c>
      <c r="P22304">
        <v>2.7</v>
      </c>
    </row>
    <row r="22305" spans="1:16" x14ac:dyDescent="0.25">
      <c r="A22305" t="s">
        <v>3296</v>
      </c>
      <c r="B22305" t="s">
        <v>2931</v>
      </c>
      <c r="C22305">
        <v>16249</v>
      </c>
      <c r="D22305" t="str">
        <f t="shared" ref="D22305:D22315" si="498">"12549020703 "</f>
        <v xml:space="preserve">12549020703 </v>
      </c>
      <c r="E22305" t="s">
        <v>309</v>
      </c>
      <c r="F22305" t="s">
        <v>310</v>
      </c>
      <c r="G22305">
        <v>3.39</v>
      </c>
      <c r="H22305">
        <v>251130</v>
      </c>
      <c r="I22305">
        <v>4369</v>
      </c>
      <c r="J22305" t="s">
        <v>188</v>
      </c>
      <c r="K22305">
        <v>73.92</v>
      </c>
      <c r="L22305">
        <v>0.69</v>
      </c>
      <c r="M22305">
        <v>51157</v>
      </c>
      <c r="N22305" t="s">
        <v>998</v>
      </c>
      <c r="O22305">
        <v>251205</v>
      </c>
      <c r="P22305">
        <v>2.7</v>
      </c>
    </row>
    <row r="22306" spans="1:16" x14ac:dyDescent="0.25">
      <c r="A22306" t="s">
        <v>3296</v>
      </c>
      <c r="B22306" t="s">
        <v>2931</v>
      </c>
      <c r="C22306">
        <v>16249</v>
      </c>
      <c r="D22306" t="str">
        <f t="shared" si="498"/>
        <v xml:space="preserve">12549020703 </v>
      </c>
      <c r="E22306" t="s">
        <v>309</v>
      </c>
      <c r="F22306" t="s">
        <v>310</v>
      </c>
      <c r="G22306">
        <v>3.39</v>
      </c>
      <c r="H22306">
        <v>251130</v>
      </c>
      <c r="I22306">
        <v>4369</v>
      </c>
      <c r="J22306" t="s">
        <v>188</v>
      </c>
      <c r="K22306">
        <v>73.92</v>
      </c>
      <c r="L22306">
        <v>0.69</v>
      </c>
      <c r="M22306">
        <v>56526</v>
      </c>
      <c r="N22306" t="s">
        <v>506</v>
      </c>
      <c r="O22306">
        <v>251205</v>
      </c>
      <c r="P22306">
        <v>2.7</v>
      </c>
    </row>
    <row r="22307" spans="1:16" x14ac:dyDescent="0.25">
      <c r="A22307" t="s">
        <v>3296</v>
      </c>
      <c r="B22307" t="s">
        <v>2931</v>
      </c>
      <c r="C22307">
        <v>16249</v>
      </c>
      <c r="D22307" t="str">
        <f t="shared" si="498"/>
        <v xml:space="preserve">12549020703 </v>
      </c>
      <c r="E22307" t="s">
        <v>309</v>
      </c>
      <c r="F22307" t="s">
        <v>310</v>
      </c>
      <c r="G22307">
        <v>16.940000000000001</v>
      </c>
      <c r="H22307">
        <v>251130</v>
      </c>
      <c r="I22307">
        <v>4369</v>
      </c>
      <c r="J22307" t="s">
        <v>188</v>
      </c>
      <c r="K22307">
        <v>73.92</v>
      </c>
      <c r="L22307">
        <v>3.44</v>
      </c>
      <c r="M22307">
        <v>56558</v>
      </c>
      <c r="N22307" t="s">
        <v>50</v>
      </c>
      <c r="O22307">
        <v>251205</v>
      </c>
      <c r="P22307">
        <v>13.5</v>
      </c>
    </row>
    <row r="22308" spans="1:16" x14ac:dyDescent="0.25">
      <c r="A22308" t="s">
        <v>3296</v>
      </c>
      <c r="B22308" t="s">
        <v>2931</v>
      </c>
      <c r="C22308">
        <v>16249</v>
      </c>
      <c r="D22308" t="str">
        <f t="shared" si="498"/>
        <v xml:space="preserve">12549020703 </v>
      </c>
      <c r="E22308" t="s">
        <v>309</v>
      </c>
      <c r="F22308" t="s">
        <v>310</v>
      </c>
      <c r="G22308">
        <v>12.89</v>
      </c>
      <c r="H22308">
        <v>251130</v>
      </c>
      <c r="I22308">
        <v>4369</v>
      </c>
      <c r="J22308" t="s">
        <v>188</v>
      </c>
      <c r="K22308">
        <v>73.92</v>
      </c>
      <c r="L22308">
        <v>2.62</v>
      </c>
      <c r="M22308">
        <v>56559</v>
      </c>
      <c r="N22308" t="s">
        <v>51</v>
      </c>
      <c r="O22308">
        <v>251205</v>
      </c>
      <c r="P22308">
        <v>10.27</v>
      </c>
    </row>
    <row r="22309" spans="1:16" x14ac:dyDescent="0.25">
      <c r="A22309" t="s">
        <v>3296</v>
      </c>
      <c r="B22309" t="s">
        <v>2931</v>
      </c>
      <c r="C22309">
        <v>16249</v>
      </c>
      <c r="D22309" t="str">
        <f t="shared" si="498"/>
        <v xml:space="preserve">12549020703 </v>
      </c>
      <c r="E22309" t="s">
        <v>309</v>
      </c>
      <c r="F22309" t="s">
        <v>310</v>
      </c>
      <c r="G22309">
        <v>6.78</v>
      </c>
      <c r="H22309">
        <v>251130</v>
      </c>
      <c r="I22309">
        <v>4369</v>
      </c>
      <c r="J22309" t="s">
        <v>188</v>
      </c>
      <c r="K22309">
        <v>73.92</v>
      </c>
      <c r="L22309">
        <v>1.38</v>
      </c>
      <c r="M22309">
        <v>56560</v>
      </c>
      <c r="N22309" t="s">
        <v>52</v>
      </c>
      <c r="O22309">
        <v>251205</v>
      </c>
      <c r="P22309">
        <v>5.4</v>
      </c>
    </row>
    <row r="22310" spans="1:16" x14ac:dyDescent="0.25">
      <c r="A22310" t="s">
        <v>3296</v>
      </c>
      <c r="B22310" t="s">
        <v>2931</v>
      </c>
      <c r="C22310">
        <v>16249</v>
      </c>
      <c r="D22310" t="str">
        <f t="shared" si="498"/>
        <v xml:space="preserve">12549020703 </v>
      </c>
      <c r="E22310" t="s">
        <v>309</v>
      </c>
      <c r="F22310" t="s">
        <v>310</v>
      </c>
      <c r="G22310">
        <v>3.39</v>
      </c>
      <c r="H22310">
        <v>251130</v>
      </c>
      <c r="I22310">
        <v>4369</v>
      </c>
      <c r="J22310" t="s">
        <v>188</v>
      </c>
      <c r="K22310">
        <v>73.92</v>
      </c>
      <c r="L22310">
        <v>0.69</v>
      </c>
      <c r="M22310">
        <v>56561</v>
      </c>
      <c r="N22310" t="s">
        <v>53</v>
      </c>
      <c r="O22310">
        <v>251205</v>
      </c>
      <c r="P22310">
        <v>2.7</v>
      </c>
    </row>
    <row r="22311" spans="1:16" x14ac:dyDescent="0.25">
      <c r="A22311" t="s">
        <v>3296</v>
      </c>
      <c r="B22311" t="s">
        <v>2931</v>
      </c>
      <c r="C22311">
        <v>16249</v>
      </c>
      <c r="D22311" t="str">
        <f t="shared" si="498"/>
        <v xml:space="preserve">12549020703 </v>
      </c>
      <c r="E22311" t="s">
        <v>309</v>
      </c>
      <c r="F22311" t="s">
        <v>310</v>
      </c>
      <c r="G22311">
        <v>10.199999999999999</v>
      </c>
      <c r="H22311">
        <v>251130</v>
      </c>
      <c r="I22311">
        <v>4369</v>
      </c>
      <c r="J22311" t="s">
        <v>188</v>
      </c>
      <c r="K22311">
        <v>73.92</v>
      </c>
      <c r="L22311">
        <v>2.0699999999999998</v>
      </c>
      <c r="M22311">
        <v>56562</v>
      </c>
      <c r="N22311" t="s">
        <v>54</v>
      </c>
      <c r="O22311">
        <v>251205</v>
      </c>
      <c r="P22311">
        <v>8.1300000000000008</v>
      </c>
    </row>
    <row r="22312" spans="1:16" x14ac:dyDescent="0.25">
      <c r="A22312" t="s">
        <v>3296</v>
      </c>
      <c r="B22312" t="s">
        <v>2931</v>
      </c>
      <c r="C22312">
        <v>16249</v>
      </c>
      <c r="D22312" t="str">
        <f t="shared" si="498"/>
        <v xml:space="preserve">12549020703 </v>
      </c>
      <c r="E22312" t="s">
        <v>309</v>
      </c>
      <c r="F22312" t="s">
        <v>310</v>
      </c>
      <c r="G22312">
        <v>3.39</v>
      </c>
      <c r="H22312">
        <v>251130</v>
      </c>
      <c r="I22312">
        <v>4369</v>
      </c>
      <c r="J22312" t="s">
        <v>188</v>
      </c>
      <c r="K22312">
        <v>73.92</v>
      </c>
      <c r="L22312">
        <v>0.69</v>
      </c>
      <c r="M22312">
        <v>56564</v>
      </c>
      <c r="N22312" t="s">
        <v>56</v>
      </c>
      <c r="O22312">
        <v>251205</v>
      </c>
      <c r="P22312">
        <v>2.7</v>
      </c>
    </row>
    <row r="22313" spans="1:16" x14ac:dyDescent="0.25">
      <c r="A22313" t="s">
        <v>3296</v>
      </c>
      <c r="B22313" t="s">
        <v>2931</v>
      </c>
      <c r="C22313">
        <v>16249</v>
      </c>
      <c r="D22313" t="str">
        <f t="shared" si="498"/>
        <v xml:space="preserve">12549020703 </v>
      </c>
      <c r="E22313" t="s">
        <v>309</v>
      </c>
      <c r="F22313" t="s">
        <v>310</v>
      </c>
      <c r="G22313">
        <v>3.39</v>
      </c>
      <c r="H22313">
        <v>251130</v>
      </c>
      <c r="I22313">
        <v>4369</v>
      </c>
      <c r="J22313" t="s">
        <v>188</v>
      </c>
      <c r="K22313">
        <v>73.92</v>
      </c>
      <c r="L22313">
        <v>0.69</v>
      </c>
      <c r="M22313">
        <v>56565</v>
      </c>
      <c r="N22313" t="s">
        <v>57</v>
      </c>
      <c r="O22313">
        <v>251205</v>
      </c>
      <c r="P22313">
        <v>2.7</v>
      </c>
    </row>
    <row r="22314" spans="1:16" x14ac:dyDescent="0.25">
      <c r="A22314" t="s">
        <v>3296</v>
      </c>
      <c r="B22314" t="s">
        <v>2931</v>
      </c>
      <c r="C22314">
        <v>16249</v>
      </c>
      <c r="D22314" t="str">
        <f t="shared" si="498"/>
        <v xml:space="preserve">12549020703 </v>
      </c>
      <c r="E22314" t="s">
        <v>309</v>
      </c>
      <c r="F22314" t="s">
        <v>310</v>
      </c>
      <c r="G22314">
        <v>6.78</v>
      </c>
      <c r="H22314">
        <v>251130</v>
      </c>
      <c r="I22314">
        <v>4369</v>
      </c>
      <c r="J22314" t="s">
        <v>188</v>
      </c>
      <c r="K22314">
        <v>73.92</v>
      </c>
      <c r="L22314">
        <v>1.38</v>
      </c>
      <c r="M22314">
        <v>56566</v>
      </c>
      <c r="N22314" t="s">
        <v>58</v>
      </c>
      <c r="O22314">
        <v>251205</v>
      </c>
      <c r="P22314">
        <v>5.4</v>
      </c>
    </row>
    <row r="22315" spans="1:16" x14ac:dyDescent="0.25">
      <c r="A22315" t="s">
        <v>3296</v>
      </c>
      <c r="B22315" t="s">
        <v>2931</v>
      </c>
      <c r="C22315">
        <v>16249</v>
      </c>
      <c r="D22315" t="str">
        <f t="shared" si="498"/>
        <v xml:space="preserve">12549020703 </v>
      </c>
      <c r="E22315" t="s">
        <v>309</v>
      </c>
      <c r="F22315" t="s">
        <v>310</v>
      </c>
      <c r="G22315">
        <v>3.38</v>
      </c>
      <c r="H22315">
        <v>251130</v>
      </c>
      <c r="I22315">
        <v>4369</v>
      </c>
      <c r="J22315" t="s">
        <v>188</v>
      </c>
      <c r="K22315">
        <v>73.92</v>
      </c>
      <c r="L22315">
        <v>0.69</v>
      </c>
      <c r="M22315">
        <v>56568</v>
      </c>
      <c r="N22315" t="s">
        <v>354</v>
      </c>
      <c r="O22315">
        <v>251205</v>
      </c>
      <c r="P22315">
        <v>2.69</v>
      </c>
    </row>
    <row r="22316" spans="1:16" x14ac:dyDescent="0.25">
      <c r="A22316" t="s">
        <v>3296</v>
      </c>
      <c r="B22316" t="s">
        <v>2931</v>
      </c>
      <c r="C22316">
        <v>16250</v>
      </c>
      <c r="D22316" t="str">
        <f>"12549020727 "</f>
        <v xml:space="preserve">12549020727 </v>
      </c>
      <c r="E22316" t="s">
        <v>309</v>
      </c>
      <c r="F22316" t="s">
        <v>310</v>
      </c>
      <c r="G22316">
        <v>3.2</v>
      </c>
      <c r="H22316">
        <v>251130</v>
      </c>
      <c r="I22316">
        <v>4369</v>
      </c>
      <c r="J22316" t="s">
        <v>188</v>
      </c>
      <c r="K22316">
        <v>3.2</v>
      </c>
      <c r="L22316">
        <v>0.65</v>
      </c>
      <c r="M22316">
        <v>13801</v>
      </c>
      <c r="N22316" t="s">
        <v>33</v>
      </c>
      <c r="O22316">
        <v>251205</v>
      </c>
      <c r="P22316">
        <v>2.5499999999999998</v>
      </c>
    </row>
    <row r="22317" spans="1:16" x14ac:dyDescent="0.25">
      <c r="A22317" t="s">
        <v>3296</v>
      </c>
      <c r="B22317" t="s">
        <v>2931</v>
      </c>
      <c r="C22317">
        <v>16251</v>
      </c>
      <c r="D22317" t="str">
        <f t="shared" ref="D22317:D22333" si="499">"12549020697 "</f>
        <v xml:space="preserve">12549020697 </v>
      </c>
      <c r="E22317" t="s">
        <v>309</v>
      </c>
      <c r="F22317" t="s">
        <v>310</v>
      </c>
      <c r="G22317">
        <v>3.77</v>
      </c>
      <c r="H22317">
        <v>251130</v>
      </c>
      <c r="I22317">
        <v>4369</v>
      </c>
      <c r="J22317" t="s">
        <v>188</v>
      </c>
      <c r="K22317">
        <v>248.19</v>
      </c>
      <c r="L22317">
        <v>0.77</v>
      </c>
      <c r="M22317">
        <v>54422</v>
      </c>
      <c r="N22317" t="s">
        <v>49</v>
      </c>
      <c r="O22317">
        <v>251205</v>
      </c>
      <c r="P22317">
        <v>3</v>
      </c>
    </row>
    <row r="22318" spans="1:16" x14ac:dyDescent="0.25">
      <c r="A22318" t="s">
        <v>3296</v>
      </c>
      <c r="B22318" t="s">
        <v>2931</v>
      </c>
      <c r="C22318">
        <v>16251</v>
      </c>
      <c r="D22318" t="str">
        <f t="shared" si="499"/>
        <v xml:space="preserve">12549020697 </v>
      </c>
      <c r="E22318" t="s">
        <v>309</v>
      </c>
      <c r="F22318" t="s">
        <v>310</v>
      </c>
      <c r="G22318">
        <v>3.39</v>
      </c>
      <c r="H22318">
        <v>251130</v>
      </c>
      <c r="I22318">
        <v>4369</v>
      </c>
      <c r="J22318" t="s">
        <v>188</v>
      </c>
      <c r="K22318">
        <v>248.19</v>
      </c>
      <c r="L22318">
        <v>0.69</v>
      </c>
      <c r="M22318">
        <v>54451</v>
      </c>
      <c r="N22318" t="s">
        <v>218</v>
      </c>
      <c r="O22318">
        <v>251205</v>
      </c>
      <c r="P22318">
        <v>2.7</v>
      </c>
    </row>
    <row r="22319" spans="1:16" x14ac:dyDescent="0.25">
      <c r="A22319" t="s">
        <v>3296</v>
      </c>
      <c r="B22319" t="s">
        <v>2931</v>
      </c>
      <c r="C22319">
        <v>16251</v>
      </c>
      <c r="D22319" t="str">
        <f t="shared" si="499"/>
        <v xml:space="preserve">12549020697 </v>
      </c>
      <c r="E22319" t="s">
        <v>309</v>
      </c>
      <c r="F22319" t="s">
        <v>310</v>
      </c>
      <c r="G22319">
        <v>3.39</v>
      </c>
      <c r="H22319">
        <v>251130</v>
      </c>
      <c r="I22319">
        <v>4369</v>
      </c>
      <c r="J22319" t="s">
        <v>188</v>
      </c>
      <c r="K22319">
        <v>248.19</v>
      </c>
      <c r="L22319">
        <v>0.69</v>
      </c>
      <c r="M22319">
        <v>56566</v>
      </c>
      <c r="N22319" t="s">
        <v>58</v>
      </c>
      <c r="O22319">
        <v>251205</v>
      </c>
      <c r="P22319">
        <v>2.7</v>
      </c>
    </row>
    <row r="22320" spans="1:16" x14ac:dyDescent="0.25">
      <c r="A22320" t="s">
        <v>3296</v>
      </c>
      <c r="B22320" t="s">
        <v>2931</v>
      </c>
      <c r="C22320">
        <v>16251</v>
      </c>
      <c r="D22320" t="str">
        <f t="shared" si="499"/>
        <v xml:space="preserve">12549020697 </v>
      </c>
      <c r="E22320" t="s">
        <v>309</v>
      </c>
      <c r="F22320" t="s">
        <v>310</v>
      </c>
      <c r="G22320">
        <v>13.18</v>
      </c>
      <c r="H22320">
        <v>251130</v>
      </c>
      <c r="I22320">
        <v>4369</v>
      </c>
      <c r="J22320" t="s">
        <v>188</v>
      </c>
      <c r="K22320">
        <v>248.19</v>
      </c>
      <c r="L22320">
        <v>2.68</v>
      </c>
      <c r="M22320">
        <v>59111</v>
      </c>
      <c r="N22320" t="s">
        <v>60</v>
      </c>
      <c r="O22320">
        <v>251205</v>
      </c>
      <c r="P22320">
        <v>10.5</v>
      </c>
    </row>
    <row r="22321" spans="1:16" x14ac:dyDescent="0.25">
      <c r="A22321" t="s">
        <v>3296</v>
      </c>
      <c r="B22321" t="s">
        <v>2931</v>
      </c>
      <c r="C22321">
        <v>16251</v>
      </c>
      <c r="D22321" t="str">
        <f t="shared" si="499"/>
        <v xml:space="preserve">12549020697 </v>
      </c>
      <c r="E22321" t="s">
        <v>309</v>
      </c>
      <c r="F22321" t="s">
        <v>310</v>
      </c>
      <c r="G22321">
        <v>10.17</v>
      </c>
      <c r="H22321">
        <v>251130</v>
      </c>
      <c r="I22321">
        <v>4369</v>
      </c>
      <c r="J22321" t="s">
        <v>188</v>
      </c>
      <c r="K22321">
        <v>248.19</v>
      </c>
      <c r="L22321">
        <v>2.0699999999999998</v>
      </c>
      <c r="M22321">
        <v>59113</v>
      </c>
      <c r="N22321" t="s">
        <v>61</v>
      </c>
      <c r="O22321">
        <v>251205</v>
      </c>
      <c r="P22321">
        <v>8.1</v>
      </c>
    </row>
    <row r="22322" spans="1:16" x14ac:dyDescent="0.25">
      <c r="A22322" t="s">
        <v>3296</v>
      </c>
      <c r="B22322" t="s">
        <v>2931</v>
      </c>
      <c r="C22322">
        <v>16251</v>
      </c>
      <c r="D22322" t="str">
        <f t="shared" si="499"/>
        <v xml:space="preserve">12549020697 </v>
      </c>
      <c r="E22322" t="s">
        <v>309</v>
      </c>
      <c r="F22322" t="s">
        <v>310</v>
      </c>
      <c r="G22322">
        <v>3.39</v>
      </c>
      <c r="H22322">
        <v>251130</v>
      </c>
      <c r="I22322">
        <v>4369</v>
      </c>
      <c r="J22322" t="s">
        <v>188</v>
      </c>
      <c r="K22322">
        <v>248.19</v>
      </c>
      <c r="L22322">
        <v>0.69</v>
      </c>
      <c r="M22322">
        <v>59114</v>
      </c>
      <c r="N22322" t="s">
        <v>299</v>
      </c>
      <c r="O22322">
        <v>251205</v>
      </c>
      <c r="P22322">
        <v>2.7</v>
      </c>
    </row>
    <row r="22323" spans="1:16" x14ac:dyDescent="0.25">
      <c r="A22323" t="s">
        <v>3296</v>
      </c>
      <c r="B22323" t="s">
        <v>2931</v>
      </c>
      <c r="C22323">
        <v>16251</v>
      </c>
      <c r="D22323" t="str">
        <f t="shared" si="499"/>
        <v xml:space="preserve">12549020697 </v>
      </c>
      <c r="E22323" t="s">
        <v>309</v>
      </c>
      <c r="F22323" t="s">
        <v>310</v>
      </c>
      <c r="G22323">
        <v>73.77</v>
      </c>
      <c r="H22323">
        <v>251130</v>
      </c>
      <c r="I22323">
        <v>4369</v>
      </c>
      <c r="J22323" t="s">
        <v>188</v>
      </c>
      <c r="K22323">
        <v>248.19</v>
      </c>
      <c r="L22323">
        <v>14.99</v>
      </c>
      <c r="M22323">
        <v>59501</v>
      </c>
      <c r="N22323" t="s">
        <v>62</v>
      </c>
      <c r="O22323">
        <v>251205</v>
      </c>
      <c r="P22323">
        <v>58.78</v>
      </c>
    </row>
    <row r="22324" spans="1:16" x14ac:dyDescent="0.25">
      <c r="A22324" t="s">
        <v>3296</v>
      </c>
      <c r="B22324" t="s">
        <v>2931</v>
      </c>
      <c r="C22324">
        <v>16251</v>
      </c>
      <c r="D22324" t="str">
        <f t="shared" si="499"/>
        <v xml:space="preserve">12549020697 </v>
      </c>
      <c r="E22324" t="s">
        <v>309</v>
      </c>
      <c r="F22324" t="s">
        <v>310</v>
      </c>
      <c r="G22324">
        <v>40.03</v>
      </c>
      <c r="H22324">
        <v>251130</v>
      </c>
      <c r="I22324">
        <v>4369</v>
      </c>
      <c r="J22324" t="s">
        <v>188</v>
      </c>
      <c r="K22324">
        <v>248.19</v>
      </c>
      <c r="L22324">
        <v>8.1300000000000008</v>
      </c>
      <c r="M22324">
        <v>59502</v>
      </c>
      <c r="N22324" t="s">
        <v>63</v>
      </c>
      <c r="O22324">
        <v>251205</v>
      </c>
      <c r="P22324">
        <v>31.9</v>
      </c>
    </row>
    <row r="22325" spans="1:16" x14ac:dyDescent="0.25">
      <c r="A22325" t="s">
        <v>3296</v>
      </c>
      <c r="B22325" t="s">
        <v>2931</v>
      </c>
      <c r="C22325">
        <v>16251</v>
      </c>
      <c r="D22325" t="str">
        <f t="shared" si="499"/>
        <v xml:space="preserve">12549020697 </v>
      </c>
      <c r="E22325" t="s">
        <v>309</v>
      </c>
      <c r="F22325" t="s">
        <v>310</v>
      </c>
      <c r="G22325">
        <v>10.83</v>
      </c>
      <c r="H22325">
        <v>251130</v>
      </c>
      <c r="I22325">
        <v>4369</v>
      </c>
      <c r="J22325" t="s">
        <v>188</v>
      </c>
      <c r="K22325">
        <v>248.19</v>
      </c>
      <c r="L22325">
        <v>2.2000000000000002</v>
      </c>
      <c r="M22325">
        <v>59504</v>
      </c>
      <c r="N22325" t="s">
        <v>193</v>
      </c>
      <c r="O22325">
        <v>251205</v>
      </c>
      <c r="P22325">
        <v>8.6300000000000008</v>
      </c>
    </row>
    <row r="22326" spans="1:16" x14ac:dyDescent="0.25">
      <c r="A22326" t="s">
        <v>3296</v>
      </c>
      <c r="B22326" t="s">
        <v>2931</v>
      </c>
      <c r="C22326">
        <v>16251</v>
      </c>
      <c r="D22326" t="str">
        <f t="shared" si="499"/>
        <v xml:space="preserve">12549020697 </v>
      </c>
      <c r="E22326" t="s">
        <v>309</v>
      </c>
      <c r="F22326" t="s">
        <v>310</v>
      </c>
      <c r="G22326">
        <v>6.78</v>
      </c>
      <c r="H22326">
        <v>251130</v>
      </c>
      <c r="I22326">
        <v>4369</v>
      </c>
      <c r="J22326" t="s">
        <v>188</v>
      </c>
      <c r="K22326">
        <v>248.19</v>
      </c>
      <c r="L22326">
        <v>1.38</v>
      </c>
      <c r="M22326">
        <v>59505</v>
      </c>
      <c r="N22326" t="s">
        <v>194</v>
      </c>
      <c r="O22326">
        <v>251205</v>
      </c>
      <c r="P22326">
        <v>5.4</v>
      </c>
    </row>
    <row r="22327" spans="1:16" x14ac:dyDescent="0.25">
      <c r="A22327" t="s">
        <v>3296</v>
      </c>
      <c r="B22327" t="s">
        <v>2931</v>
      </c>
      <c r="C22327">
        <v>16251</v>
      </c>
      <c r="D22327" t="str">
        <f t="shared" si="499"/>
        <v xml:space="preserve">12549020697 </v>
      </c>
      <c r="E22327" t="s">
        <v>309</v>
      </c>
      <c r="F22327" t="s">
        <v>310</v>
      </c>
      <c r="G22327">
        <v>13.6</v>
      </c>
      <c r="H22327">
        <v>251130</v>
      </c>
      <c r="I22327">
        <v>4369</v>
      </c>
      <c r="J22327" t="s">
        <v>188</v>
      </c>
      <c r="K22327">
        <v>248.19</v>
      </c>
      <c r="L22327">
        <v>2.76</v>
      </c>
      <c r="M22327">
        <v>59701</v>
      </c>
      <c r="N22327" t="s">
        <v>64</v>
      </c>
      <c r="O22327">
        <v>251205</v>
      </c>
      <c r="P22327">
        <v>10.84</v>
      </c>
    </row>
    <row r="22328" spans="1:16" x14ac:dyDescent="0.25">
      <c r="A22328" t="s">
        <v>3296</v>
      </c>
      <c r="B22328" t="s">
        <v>2931</v>
      </c>
      <c r="C22328">
        <v>16251</v>
      </c>
      <c r="D22328" t="str">
        <f t="shared" si="499"/>
        <v xml:space="preserve">12549020697 </v>
      </c>
      <c r="E22328" t="s">
        <v>309</v>
      </c>
      <c r="F22328" t="s">
        <v>310</v>
      </c>
      <c r="G22328">
        <v>11.67</v>
      </c>
      <c r="H22328">
        <v>251130</v>
      </c>
      <c r="I22328">
        <v>4369</v>
      </c>
      <c r="J22328" t="s">
        <v>188</v>
      </c>
      <c r="K22328">
        <v>248.19</v>
      </c>
      <c r="L22328">
        <v>2.37</v>
      </c>
      <c r="M22328">
        <v>59702</v>
      </c>
      <c r="N22328" t="s">
        <v>45</v>
      </c>
      <c r="O22328">
        <v>251205</v>
      </c>
      <c r="P22328">
        <v>9.3000000000000007</v>
      </c>
    </row>
    <row r="22329" spans="1:16" x14ac:dyDescent="0.25">
      <c r="A22329" t="s">
        <v>3296</v>
      </c>
      <c r="B22329" t="s">
        <v>2931</v>
      </c>
      <c r="C22329">
        <v>16251</v>
      </c>
      <c r="D22329" t="str">
        <f t="shared" si="499"/>
        <v xml:space="preserve">12549020697 </v>
      </c>
      <c r="E22329" t="s">
        <v>309</v>
      </c>
      <c r="F22329" t="s">
        <v>310</v>
      </c>
      <c r="G22329">
        <v>6.59</v>
      </c>
      <c r="H22329">
        <v>251130</v>
      </c>
      <c r="I22329">
        <v>4369</v>
      </c>
      <c r="J22329" t="s">
        <v>188</v>
      </c>
      <c r="K22329">
        <v>248.19</v>
      </c>
      <c r="L22329">
        <v>1.34</v>
      </c>
      <c r="M22329">
        <v>59704</v>
      </c>
      <c r="N22329" t="s">
        <v>46</v>
      </c>
      <c r="O22329">
        <v>251205</v>
      </c>
      <c r="P22329">
        <v>5.25</v>
      </c>
    </row>
    <row r="22330" spans="1:16" x14ac:dyDescent="0.25">
      <c r="A22330" t="s">
        <v>3296</v>
      </c>
      <c r="B22330" t="s">
        <v>2931</v>
      </c>
      <c r="C22330">
        <v>16251</v>
      </c>
      <c r="D22330" t="str">
        <f t="shared" si="499"/>
        <v xml:space="preserve">12549020697 </v>
      </c>
      <c r="E22330" t="s">
        <v>309</v>
      </c>
      <c r="F22330" t="s">
        <v>310</v>
      </c>
      <c r="G22330">
        <v>3.39</v>
      </c>
      <c r="H22330">
        <v>251130</v>
      </c>
      <c r="I22330">
        <v>4369</v>
      </c>
      <c r="J22330" t="s">
        <v>188</v>
      </c>
      <c r="K22330">
        <v>248.19</v>
      </c>
      <c r="L22330">
        <v>0.69</v>
      </c>
      <c r="M22330">
        <v>59705</v>
      </c>
      <c r="N22330" t="s">
        <v>47</v>
      </c>
      <c r="O22330">
        <v>251205</v>
      </c>
      <c r="P22330">
        <v>2.7</v>
      </c>
    </row>
    <row r="22331" spans="1:16" x14ac:dyDescent="0.25">
      <c r="A22331" t="s">
        <v>3296</v>
      </c>
      <c r="B22331" t="s">
        <v>2931</v>
      </c>
      <c r="C22331">
        <v>16251</v>
      </c>
      <c r="D22331" t="str">
        <f t="shared" si="499"/>
        <v xml:space="preserve">12549020697 </v>
      </c>
      <c r="E22331" t="s">
        <v>309</v>
      </c>
      <c r="F22331" t="s">
        <v>310</v>
      </c>
      <c r="G22331">
        <v>19.95</v>
      </c>
      <c r="H22331">
        <v>251130</v>
      </c>
      <c r="I22331">
        <v>4369</v>
      </c>
      <c r="J22331" t="s">
        <v>188</v>
      </c>
      <c r="K22331">
        <v>248.19</v>
      </c>
      <c r="L22331">
        <v>4.05</v>
      </c>
      <c r="M22331">
        <v>59802</v>
      </c>
      <c r="N22331" t="s">
        <v>195</v>
      </c>
      <c r="O22331">
        <v>251205</v>
      </c>
      <c r="P22331">
        <v>15.9</v>
      </c>
    </row>
    <row r="22332" spans="1:16" x14ac:dyDescent="0.25">
      <c r="A22332" t="s">
        <v>3296</v>
      </c>
      <c r="B22332" t="s">
        <v>2931</v>
      </c>
      <c r="C22332">
        <v>16251</v>
      </c>
      <c r="D22332" t="str">
        <f t="shared" si="499"/>
        <v xml:space="preserve">12549020697 </v>
      </c>
      <c r="E22332" t="s">
        <v>309</v>
      </c>
      <c r="F22332" t="s">
        <v>310</v>
      </c>
      <c r="G22332">
        <v>20.53</v>
      </c>
      <c r="H22332">
        <v>251130</v>
      </c>
      <c r="I22332">
        <v>4369</v>
      </c>
      <c r="J22332" t="s">
        <v>188</v>
      </c>
      <c r="K22332">
        <v>248.19</v>
      </c>
      <c r="L22332">
        <v>4.17</v>
      </c>
      <c r="M22332">
        <v>59812</v>
      </c>
      <c r="N22332" t="s">
        <v>196</v>
      </c>
      <c r="O22332">
        <v>251205</v>
      </c>
      <c r="P22332">
        <v>16.36</v>
      </c>
    </row>
    <row r="22333" spans="1:16" x14ac:dyDescent="0.25">
      <c r="A22333" t="s">
        <v>3296</v>
      </c>
      <c r="B22333" t="s">
        <v>2931</v>
      </c>
      <c r="C22333">
        <v>16251</v>
      </c>
      <c r="D22333" t="str">
        <f t="shared" si="499"/>
        <v xml:space="preserve">12549020697 </v>
      </c>
      <c r="E22333" t="s">
        <v>309</v>
      </c>
      <c r="F22333" t="s">
        <v>310</v>
      </c>
      <c r="G22333">
        <v>3.76</v>
      </c>
      <c r="H22333">
        <v>251130</v>
      </c>
      <c r="I22333">
        <v>4369</v>
      </c>
      <c r="J22333" t="s">
        <v>188</v>
      </c>
      <c r="K22333">
        <v>248.19</v>
      </c>
      <c r="L22333">
        <v>0.76</v>
      </c>
      <c r="M22333">
        <v>59815</v>
      </c>
      <c r="N22333" t="s">
        <v>1001</v>
      </c>
      <c r="O22333">
        <v>251205</v>
      </c>
      <c r="P22333">
        <v>3</v>
      </c>
    </row>
    <row r="22334" spans="1:16" x14ac:dyDescent="0.25">
      <c r="A22334" t="s">
        <v>3296</v>
      </c>
      <c r="B22334" t="s">
        <v>2931</v>
      </c>
      <c r="C22334">
        <v>16252</v>
      </c>
      <c r="D22334" t="str">
        <f>"12549020699 "</f>
        <v xml:space="preserve">12549020699 </v>
      </c>
      <c r="E22334" t="s">
        <v>309</v>
      </c>
      <c r="F22334" t="s">
        <v>310</v>
      </c>
      <c r="G22334">
        <v>3.39</v>
      </c>
      <c r="H22334">
        <v>251130</v>
      </c>
      <c r="I22334">
        <v>4369</v>
      </c>
      <c r="J22334" t="s">
        <v>188</v>
      </c>
      <c r="K22334">
        <v>23.33</v>
      </c>
      <c r="L22334">
        <v>0</v>
      </c>
      <c r="M22334">
        <v>59702</v>
      </c>
      <c r="N22334" t="s">
        <v>45</v>
      </c>
      <c r="O22334">
        <v>251205</v>
      </c>
      <c r="P22334">
        <v>3.39</v>
      </c>
    </row>
    <row r="22335" spans="1:16" x14ac:dyDescent="0.25">
      <c r="A22335" t="s">
        <v>3296</v>
      </c>
      <c r="B22335" t="s">
        <v>2931</v>
      </c>
      <c r="C22335">
        <v>16252</v>
      </c>
      <c r="D22335" t="str">
        <f>"12549020699 "</f>
        <v xml:space="preserve">12549020699 </v>
      </c>
      <c r="E22335" t="s">
        <v>309</v>
      </c>
      <c r="F22335" t="s">
        <v>310</v>
      </c>
      <c r="G22335">
        <v>9.7899999999999991</v>
      </c>
      <c r="H22335">
        <v>251130</v>
      </c>
      <c r="I22335">
        <v>4369</v>
      </c>
      <c r="J22335" t="s">
        <v>188</v>
      </c>
      <c r="K22335">
        <v>23.33</v>
      </c>
      <c r="L22335">
        <v>1.99</v>
      </c>
      <c r="M22335">
        <v>59702</v>
      </c>
      <c r="N22335" t="s">
        <v>45</v>
      </c>
      <c r="O22335">
        <v>251205</v>
      </c>
      <c r="P22335">
        <v>7.8</v>
      </c>
    </row>
    <row r="22336" spans="1:16" x14ac:dyDescent="0.25">
      <c r="A22336" t="s">
        <v>3296</v>
      </c>
      <c r="B22336" t="s">
        <v>2931</v>
      </c>
      <c r="C22336">
        <v>16252</v>
      </c>
      <c r="D22336" t="str">
        <f>"12549020699 "</f>
        <v xml:space="preserve">12549020699 </v>
      </c>
      <c r="E22336" t="s">
        <v>309</v>
      </c>
      <c r="F22336" t="s">
        <v>310</v>
      </c>
      <c r="G22336">
        <v>10.15</v>
      </c>
      <c r="H22336">
        <v>251130</v>
      </c>
      <c r="I22336">
        <v>4369</v>
      </c>
      <c r="J22336" t="s">
        <v>188</v>
      </c>
      <c r="K22336">
        <v>23.33</v>
      </c>
      <c r="L22336">
        <v>2.06</v>
      </c>
      <c r="M22336">
        <v>59704</v>
      </c>
      <c r="N22336" t="s">
        <v>46</v>
      </c>
      <c r="O22336">
        <v>251205</v>
      </c>
      <c r="P22336">
        <v>8.09</v>
      </c>
    </row>
    <row r="22337" spans="1:16" x14ac:dyDescent="0.25">
      <c r="A22337" t="s">
        <v>3296</v>
      </c>
      <c r="B22337" t="s">
        <v>2931</v>
      </c>
      <c r="C22337">
        <v>16324</v>
      </c>
      <c r="D22337" t="str">
        <f>"12549020724 "</f>
        <v xml:space="preserve">12549020724 </v>
      </c>
      <c r="E22337" t="s">
        <v>309</v>
      </c>
      <c r="F22337" t="s">
        <v>310</v>
      </c>
      <c r="G22337">
        <v>27.33</v>
      </c>
      <c r="H22337">
        <v>251130</v>
      </c>
      <c r="I22337">
        <v>4369</v>
      </c>
      <c r="J22337" t="s">
        <v>188</v>
      </c>
      <c r="K22337">
        <v>34.15</v>
      </c>
      <c r="L22337">
        <v>5.55</v>
      </c>
      <c r="M22337">
        <v>13601</v>
      </c>
      <c r="N22337" t="s">
        <v>115</v>
      </c>
      <c r="O22337">
        <v>251205</v>
      </c>
      <c r="P22337">
        <v>21.78</v>
      </c>
    </row>
    <row r="22338" spans="1:16" x14ac:dyDescent="0.25">
      <c r="A22338" t="s">
        <v>3296</v>
      </c>
      <c r="B22338" t="s">
        <v>2931</v>
      </c>
      <c r="C22338">
        <v>16324</v>
      </c>
      <c r="D22338" t="str">
        <f>"12549020724 "</f>
        <v xml:space="preserve">12549020724 </v>
      </c>
      <c r="E22338" t="s">
        <v>309</v>
      </c>
      <c r="F22338" t="s">
        <v>310</v>
      </c>
      <c r="G22338">
        <v>3.39</v>
      </c>
      <c r="H22338">
        <v>251130</v>
      </c>
      <c r="I22338">
        <v>4369</v>
      </c>
      <c r="J22338" t="s">
        <v>188</v>
      </c>
      <c r="K22338">
        <v>34.15</v>
      </c>
      <c r="L22338">
        <v>0.69</v>
      </c>
      <c r="M22338">
        <v>13601</v>
      </c>
      <c r="N22338" t="s">
        <v>115</v>
      </c>
      <c r="O22338">
        <v>251205</v>
      </c>
      <c r="P22338">
        <v>2.7</v>
      </c>
    </row>
    <row r="22339" spans="1:16" x14ac:dyDescent="0.25">
      <c r="A22339" t="s">
        <v>3296</v>
      </c>
      <c r="B22339" t="s">
        <v>2931</v>
      </c>
      <c r="C22339">
        <v>16324</v>
      </c>
      <c r="D22339" t="str">
        <f>"12549020724 "</f>
        <v xml:space="preserve">12549020724 </v>
      </c>
      <c r="E22339" t="s">
        <v>309</v>
      </c>
      <c r="F22339" t="s">
        <v>310</v>
      </c>
      <c r="G22339">
        <v>3.43</v>
      </c>
      <c r="H22339">
        <v>251130</v>
      </c>
      <c r="I22339">
        <v>4369</v>
      </c>
      <c r="J22339" t="s">
        <v>188</v>
      </c>
      <c r="K22339">
        <v>34.15</v>
      </c>
      <c r="L22339">
        <v>0.7</v>
      </c>
      <c r="M22339">
        <v>13661</v>
      </c>
      <c r="N22339" t="s">
        <v>243</v>
      </c>
      <c r="O22339">
        <v>251205</v>
      </c>
      <c r="P22339">
        <v>2.73</v>
      </c>
    </row>
    <row r="22340" spans="1:16" x14ac:dyDescent="0.25">
      <c r="A22340" t="s">
        <v>3296</v>
      </c>
      <c r="B22340" t="s">
        <v>2931</v>
      </c>
      <c r="C22340">
        <v>16325</v>
      </c>
      <c r="D22340" t="str">
        <f t="shared" ref="D22340:D22349" si="500">"12549020719 "</f>
        <v xml:space="preserve">12549020719 </v>
      </c>
      <c r="E22340" t="s">
        <v>309</v>
      </c>
      <c r="F22340" t="s">
        <v>310</v>
      </c>
      <c r="G22340">
        <v>6.59</v>
      </c>
      <c r="H22340">
        <v>251130</v>
      </c>
      <c r="I22340">
        <v>4369</v>
      </c>
      <c r="J22340" t="s">
        <v>188</v>
      </c>
      <c r="K22340">
        <v>102.17</v>
      </c>
      <c r="L22340">
        <v>1.34</v>
      </c>
      <c r="M22340">
        <v>16321</v>
      </c>
      <c r="N22340" t="s">
        <v>16</v>
      </c>
      <c r="O22340">
        <v>251205</v>
      </c>
      <c r="P22340">
        <v>5.25</v>
      </c>
    </row>
    <row r="22341" spans="1:16" x14ac:dyDescent="0.25">
      <c r="A22341" t="s">
        <v>3296</v>
      </c>
      <c r="B22341" t="s">
        <v>2931</v>
      </c>
      <c r="C22341">
        <v>16325</v>
      </c>
      <c r="D22341" t="str">
        <f t="shared" si="500"/>
        <v xml:space="preserve">12549020719 </v>
      </c>
      <c r="E22341" t="s">
        <v>309</v>
      </c>
      <c r="F22341" t="s">
        <v>310</v>
      </c>
      <c r="G22341">
        <v>10.63</v>
      </c>
      <c r="H22341">
        <v>251130</v>
      </c>
      <c r="I22341">
        <v>4369</v>
      </c>
      <c r="J22341" t="s">
        <v>188</v>
      </c>
      <c r="K22341">
        <v>102.17</v>
      </c>
      <c r="L22341">
        <v>2.16</v>
      </c>
      <c r="M22341">
        <v>16431</v>
      </c>
      <c r="N22341" t="s">
        <v>17</v>
      </c>
      <c r="O22341">
        <v>251205</v>
      </c>
      <c r="P22341">
        <v>8.4700000000000006</v>
      </c>
    </row>
    <row r="22342" spans="1:16" x14ac:dyDescent="0.25">
      <c r="A22342" t="s">
        <v>3296</v>
      </c>
      <c r="B22342" t="s">
        <v>2931</v>
      </c>
      <c r="C22342">
        <v>16325</v>
      </c>
      <c r="D22342" t="str">
        <f t="shared" si="500"/>
        <v xml:space="preserve">12549020719 </v>
      </c>
      <c r="E22342" t="s">
        <v>309</v>
      </c>
      <c r="F22342" t="s">
        <v>310</v>
      </c>
      <c r="G22342">
        <v>19.7</v>
      </c>
      <c r="H22342">
        <v>251130</v>
      </c>
      <c r="I22342">
        <v>4369</v>
      </c>
      <c r="J22342" t="s">
        <v>188</v>
      </c>
      <c r="K22342">
        <v>102.17</v>
      </c>
      <c r="L22342">
        <v>4</v>
      </c>
      <c r="M22342">
        <v>17802</v>
      </c>
      <c r="N22342" t="s">
        <v>18</v>
      </c>
      <c r="O22342">
        <v>251205</v>
      </c>
      <c r="P22342">
        <v>15.7</v>
      </c>
    </row>
    <row r="22343" spans="1:16" x14ac:dyDescent="0.25">
      <c r="A22343" t="s">
        <v>3296</v>
      </c>
      <c r="B22343" t="s">
        <v>2931</v>
      </c>
      <c r="C22343">
        <v>16325</v>
      </c>
      <c r="D22343" t="str">
        <f t="shared" si="500"/>
        <v xml:space="preserve">12549020719 </v>
      </c>
      <c r="E22343" t="s">
        <v>309</v>
      </c>
      <c r="F22343" t="s">
        <v>310</v>
      </c>
      <c r="G22343">
        <v>9.98</v>
      </c>
      <c r="H22343">
        <v>251130</v>
      </c>
      <c r="I22343">
        <v>4369</v>
      </c>
      <c r="J22343" t="s">
        <v>188</v>
      </c>
      <c r="K22343">
        <v>102.17</v>
      </c>
      <c r="L22343">
        <v>2.0299999999999998</v>
      </c>
      <c r="M22343">
        <v>17803</v>
      </c>
      <c r="N22343" t="s">
        <v>19</v>
      </c>
      <c r="O22343">
        <v>251205</v>
      </c>
      <c r="P22343">
        <v>7.95</v>
      </c>
    </row>
    <row r="22344" spans="1:16" x14ac:dyDescent="0.25">
      <c r="A22344" t="s">
        <v>3296</v>
      </c>
      <c r="B22344" t="s">
        <v>2931</v>
      </c>
      <c r="C22344">
        <v>16325</v>
      </c>
      <c r="D22344" t="str">
        <f t="shared" si="500"/>
        <v xml:space="preserve">12549020719 </v>
      </c>
      <c r="E22344" t="s">
        <v>309</v>
      </c>
      <c r="F22344" t="s">
        <v>310</v>
      </c>
      <c r="G22344">
        <v>3.56</v>
      </c>
      <c r="H22344">
        <v>251130</v>
      </c>
      <c r="I22344">
        <v>4369</v>
      </c>
      <c r="J22344" t="s">
        <v>188</v>
      </c>
      <c r="K22344">
        <v>102.17</v>
      </c>
      <c r="L22344">
        <v>0.72</v>
      </c>
      <c r="M22344">
        <v>17804</v>
      </c>
      <c r="N22344" t="s">
        <v>20</v>
      </c>
      <c r="O22344">
        <v>251205</v>
      </c>
      <c r="P22344">
        <v>2.84</v>
      </c>
    </row>
    <row r="22345" spans="1:16" x14ac:dyDescent="0.25">
      <c r="A22345" t="s">
        <v>3296</v>
      </c>
      <c r="B22345" t="s">
        <v>2931</v>
      </c>
      <c r="C22345">
        <v>16325</v>
      </c>
      <c r="D22345" t="str">
        <f t="shared" si="500"/>
        <v xml:space="preserve">12549020719 </v>
      </c>
      <c r="E22345" t="s">
        <v>309</v>
      </c>
      <c r="F22345" t="s">
        <v>310</v>
      </c>
      <c r="G22345">
        <v>3.39</v>
      </c>
      <c r="H22345">
        <v>251130</v>
      </c>
      <c r="I22345">
        <v>4369</v>
      </c>
      <c r="J22345" t="s">
        <v>188</v>
      </c>
      <c r="K22345">
        <v>102.17</v>
      </c>
      <c r="L22345">
        <v>0.69</v>
      </c>
      <c r="M22345">
        <v>17805</v>
      </c>
      <c r="N22345" t="s">
        <v>21</v>
      </c>
      <c r="O22345">
        <v>251205</v>
      </c>
      <c r="P22345">
        <v>2.7</v>
      </c>
    </row>
    <row r="22346" spans="1:16" x14ac:dyDescent="0.25">
      <c r="A22346" t="s">
        <v>3296</v>
      </c>
      <c r="B22346" t="s">
        <v>2931</v>
      </c>
      <c r="C22346">
        <v>16325</v>
      </c>
      <c r="D22346" t="str">
        <f t="shared" si="500"/>
        <v xml:space="preserve">12549020719 </v>
      </c>
      <c r="E22346" t="s">
        <v>309</v>
      </c>
      <c r="F22346" t="s">
        <v>310</v>
      </c>
      <c r="G22346">
        <v>6.84</v>
      </c>
      <c r="H22346">
        <v>251130</v>
      </c>
      <c r="I22346">
        <v>4369</v>
      </c>
      <c r="J22346" t="s">
        <v>188</v>
      </c>
      <c r="K22346">
        <v>102.17</v>
      </c>
      <c r="L22346">
        <v>1.39</v>
      </c>
      <c r="M22346">
        <v>17806</v>
      </c>
      <c r="N22346" t="s">
        <v>22</v>
      </c>
      <c r="O22346">
        <v>251205</v>
      </c>
      <c r="P22346">
        <v>5.45</v>
      </c>
    </row>
    <row r="22347" spans="1:16" x14ac:dyDescent="0.25">
      <c r="A22347" t="s">
        <v>3296</v>
      </c>
      <c r="B22347" t="s">
        <v>2931</v>
      </c>
      <c r="C22347">
        <v>16325</v>
      </c>
      <c r="D22347" t="str">
        <f t="shared" si="500"/>
        <v xml:space="preserve">12549020719 </v>
      </c>
      <c r="E22347" t="s">
        <v>309</v>
      </c>
      <c r="F22347" t="s">
        <v>310</v>
      </c>
      <c r="G22347">
        <v>23.53</v>
      </c>
      <c r="H22347">
        <v>251130</v>
      </c>
      <c r="I22347">
        <v>4369</v>
      </c>
      <c r="J22347" t="s">
        <v>188</v>
      </c>
      <c r="K22347">
        <v>102.17</v>
      </c>
      <c r="L22347">
        <v>4.78</v>
      </c>
      <c r="M22347">
        <v>17807</v>
      </c>
      <c r="N22347" t="s">
        <v>23</v>
      </c>
      <c r="O22347">
        <v>251205</v>
      </c>
      <c r="P22347">
        <v>18.75</v>
      </c>
    </row>
    <row r="22348" spans="1:16" x14ac:dyDescent="0.25">
      <c r="A22348" t="s">
        <v>3296</v>
      </c>
      <c r="B22348" t="s">
        <v>2931</v>
      </c>
      <c r="C22348">
        <v>16325</v>
      </c>
      <c r="D22348" t="str">
        <f t="shared" si="500"/>
        <v xml:space="preserve">12549020719 </v>
      </c>
      <c r="E22348" t="s">
        <v>309</v>
      </c>
      <c r="F22348" t="s">
        <v>310</v>
      </c>
      <c r="G22348">
        <v>10.17</v>
      </c>
      <c r="H22348">
        <v>251130</v>
      </c>
      <c r="I22348">
        <v>4369</v>
      </c>
      <c r="J22348" t="s">
        <v>188</v>
      </c>
      <c r="K22348">
        <v>102.17</v>
      </c>
      <c r="L22348">
        <v>2.0699999999999998</v>
      </c>
      <c r="M22348">
        <v>17808</v>
      </c>
      <c r="N22348" t="s">
        <v>24</v>
      </c>
      <c r="O22348">
        <v>251205</v>
      </c>
      <c r="P22348">
        <v>8.1</v>
      </c>
    </row>
    <row r="22349" spans="1:16" x14ac:dyDescent="0.25">
      <c r="A22349" t="s">
        <v>3296</v>
      </c>
      <c r="B22349" t="s">
        <v>2931</v>
      </c>
      <c r="C22349">
        <v>16325</v>
      </c>
      <c r="D22349" t="str">
        <f t="shared" si="500"/>
        <v xml:space="preserve">12549020719 </v>
      </c>
      <c r="E22349" t="s">
        <v>309</v>
      </c>
      <c r="F22349" t="s">
        <v>310</v>
      </c>
      <c r="G22349">
        <v>7.78</v>
      </c>
      <c r="H22349">
        <v>251130</v>
      </c>
      <c r="I22349">
        <v>4369</v>
      </c>
      <c r="J22349" t="s">
        <v>188</v>
      </c>
      <c r="K22349">
        <v>102.17</v>
      </c>
      <c r="L22349">
        <v>1.58</v>
      </c>
      <c r="M22349">
        <v>17809</v>
      </c>
      <c r="N22349" t="s">
        <v>25</v>
      </c>
      <c r="O22349">
        <v>251205</v>
      </c>
      <c r="P22349">
        <v>6.2</v>
      </c>
    </row>
    <row r="22350" spans="1:16" x14ac:dyDescent="0.25">
      <c r="A22350" t="s">
        <v>3296</v>
      </c>
      <c r="B22350" t="s">
        <v>2931</v>
      </c>
      <c r="C22350">
        <v>16326</v>
      </c>
      <c r="D22350" t="str">
        <f>"12549020728 "</f>
        <v xml:space="preserve">12549020728 </v>
      </c>
      <c r="E22350" t="s">
        <v>309</v>
      </c>
      <c r="F22350" t="s">
        <v>310</v>
      </c>
      <c r="G22350">
        <v>10.16</v>
      </c>
      <c r="H22350">
        <v>251130</v>
      </c>
      <c r="I22350">
        <v>4369</v>
      </c>
      <c r="J22350" t="s">
        <v>188</v>
      </c>
      <c r="K22350">
        <v>16.940000000000001</v>
      </c>
      <c r="L22350">
        <v>2.06</v>
      </c>
      <c r="M22350">
        <v>53222</v>
      </c>
      <c r="N22350" t="s">
        <v>41</v>
      </c>
      <c r="O22350">
        <v>251205</v>
      </c>
      <c r="P22350">
        <v>8.1</v>
      </c>
    </row>
    <row r="22351" spans="1:16" x14ac:dyDescent="0.25">
      <c r="A22351" t="s">
        <v>3296</v>
      </c>
      <c r="B22351" t="s">
        <v>2931</v>
      </c>
      <c r="C22351">
        <v>16326</v>
      </c>
      <c r="D22351" t="str">
        <f>"12549020728 "</f>
        <v xml:space="preserve">12549020728 </v>
      </c>
      <c r="E22351" t="s">
        <v>309</v>
      </c>
      <c r="F22351" t="s">
        <v>310</v>
      </c>
      <c r="G22351">
        <v>3.39</v>
      </c>
      <c r="H22351">
        <v>251130</v>
      </c>
      <c r="I22351">
        <v>4369</v>
      </c>
      <c r="J22351" t="s">
        <v>188</v>
      </c>
      <c r="K22351">
        <v>16.940000000000001</v>
      </c>
      <c r="L22351">
        <v>0.69</v>
      </c>
      <c r="M22351">
        <v>54622</v>
      </c>
      <c r="N22351" t="s">
        <v>42</v>
      </c>
      <c r="O22351">
        <v>251205</v>
      </c>
      <c r="P22351">
        <v>2.7</v>
      </c>
    </row>
    <row r="22352" spans="1:16" x14ac:dyDescent="0.25">
      <c r="A22352" t="s">
        <v>3296</v>
      </c>
      <c r="B22352" t="s">
        <v>2931</v>
      </c>
      <c r="C22352">
        <v>16326</v>
      </c>
      <c r="D22352" t="str">
        <f>"12549020728 "</f>
        <v xml:space="preserve">12549020728 </v>
      </c>
      <c r="E22352" t="s">
        <v>309</v>
      </c>
      <c r="F22352" t="s">
        <v>310</v>
      </c>
      <c r="G22352">
        <v>3.39</v>
      </c>
      <c r="H22352">
        <v>251130</v>
      </c>
      <c r="I22352">
        <v>4369</v>
      </c>
      <c r="J22352" t="s">
        <v>188</v>
      </c>
      <c r="K22352">
        <v>16.940000000000001</v>
      </c>
      <c r="L22352">
        <v>0.69</v>
      </c>
      <c r="M22352">
        <v>55222</v>
      </c>
      <c r="N22352" t="s">
        <v>43</v>
      </c>
      <c r="O22352">
        <v>251205</v>
      </c>
      <c r="P22352">
        <v>2.7</v>
      </c>
    </row>
    <row r="22353" spans="1:16" x14ac:dyDescent="0.25">
      <c r="A22353" t="s">
        <v>3296</v>
      </c>
      <c r="B22353" t="s">
        <v>2931</v>
      </c>
      <c r="C22353">
        <v>16327</v>
      </c>
      <c r="D22353" t="str">
        <f>"12549020718 "</f>
        <v xml:space="preserve">12549020718 </v>
      </c>
      <c r="E22353" t="s">
        <v>309</v>
      </c>
      <c r="F22353" t="s">
        <v>310</v>
      </c>
      <c r="G22353">
        <v>10.17</v>
      </c>
      <c r="H22353">
        <v>251130</v>
      </c>
      <c r="I22353">
        <v>4369</v>
      </c>
      <c r="J22353" t="s">
        <v>188</v>
      </c>
      <c r="K22353">
        <v>64.86</v>
      </c>
      <c r="L22353">
        <v>2.0699999999999998</v>
      </c>
      <c r="M22353">
        <v>17913</v>
      </c>
      <c r="N22353" t="s">
        <v>26</v>
      </c>
      <c r="O22353">
        <v>251205</v>
      </c>
      <c r="P22353">
        <v>8.1</v>
      </c>
    </row>
    <row r="22354" spans="1:16" x14ac:dyDescent="0.25">
      <c r="A22354" t="s">
        <v>3296</v>
      </c>
      <c r="B22354" t="s">
        <v>2931</v>
      </c>
      <c r="C22354">
        <v>16327</v>
      </c>
      <c r="D22354" t="str">
        <f>"12549020718 "</f>
        <v xml:space="preserve">12549020718 </v>
      </c>
      <c r="E22354" t="s">
        <v>309</v>
      </c>
      <c r="F22354" t="s">
        <v>310</v>
      </c>
      <c r="G22354">
        <v>27.96</v>
      </c>
      <c r="H22354">
        <v>251130</v>
      </c>
      <c r="I22354">
        <v>4369</v>
      </c>
      <c r="J22354" t="s">
        <v>188</v>
      </c>
      <c r="K22354">
        <v>64.86</v>
      </c>
      <c r="L22354">
        <v>5.68</v>
      </c>
      <c r="M22354">
        <v>17951</v>
      </c>
      <c r="N22354" t="s">
        <v>207</v>
      </c>
      <c r="O22354">
        <v>251205</v>
      </c>
      <c r="P22354">
        <v>22.28</v>
      </c>
    </row>
    <row r="22355" spans="1:16" x14ac:dyDescent="0.25">
      <c r="A22355" t="s">
        <v>3296</v>
      </c>
      <c r="B22355" t="s">
        <v>2931</v>
      </c>
      <c r="C22355">
        <v>16327</v>
      </c>
      <c r="D22355" t="str">
        <f>"12549020718 "</f>
        <v xml:space="preserve">12549020718 </v>
      </c>
      <c r="E22355" t="s">
        <v>309</v>
      </c>
      <c r="F22355" t="s">
        <v>310</v>
      </c>
      <c r="G22355">
        <v>13.55</v>
      </c>
      <c r="H22355">
        <v>251130</v>
      </c>
      <c r="I22355">
        <v>4369</v>
      </c>
      <c r="J22355" t="s">
        <v>188</v>
      </c>
      <c r="K22355">
        <v>64.86</v>
      </c>
      <c r="L22355">
        <v>2.75</v>
      </c>
      <c r="M22355">
        <v>17971</v>
      </c>
      <c r="N22355" t="s">
        <v>27</v>
      </c>
      <c r="O22355">
        <v>251205</v>
      </c>
      <c r="P22355">
        <v>10.8</v>
      </c>
    </row>
    <row r="22356" spans="1:16" x14ac:dyDescent="0.25">
      <c r="A22356" t="s">
        <v>3296</v>
      </c>
      <c r="B22356" t="s">
        <v>2931</v>
      </c>
      <c r="C22356">
        <v>16327</v>
      </c>
      <c r="D22356" t="str">
        <f>"12549020718 "</f>
        <v xml:space="preserve">12549020718 </v>
      </c>
      <c r="E22356" t="s">
        <v>309</v>
      </c>
      <c r="F22356" t="s">
        <v>310</v>
      </c>
      <c r="G22356">
        <v>6.59</v>
      </c>
      <c r="H22356">
        <v>251130</v>
      </c>
      <c r="I22356">
        <v>4369</v>
      </c>
      <c r="J22356" t="s">
        <v>188</v>
      </c>
      <c r="K22356">
        <v>64.86</v>
      </c>
      <c r="L22356">
        <v>1.34</v>
      </c>
      <c r="M22356">
        <v>17974</v>
      </c>
      <c r="N22356" t="s">
        <v>153</v>
      </c>
      <c r="O22356">
        <v>251205</v>
      </c>
      <c r="P22356">
        <v>5.25</v>
      </c>
    </row>
    <row r="22357" spans="1:16" x14ac:dyDescent="0.25">
      <c r="A22357" t="s">
        <v>3296</v>
      </c>
      <c r="B22357" t="s">
        <v>2931</v>
      </c>
      <c r="C22357">
        <v>16327</v>
      </c>
      <c r="D22357" t="str">
        <f>"12549020718 "</f>
        <v xml:space="preserve">12549020718 </v>
      </c>
      <c r="E22357" t="s">
        <v>309</v>
      </c>
      <c r="F22357" t="s">
        <v>310</v>
      </c>
      <c r="G22357">
        <v>6.59</v>
      </c>
      <c r="H22357">
        <v>251130</v>
      </c>
      <c r="I22357">
        <v>4369</v>
      </c>
      <c r="J22357" t="s">
        <v>188</v>
      </c>
      <c r="K22357">
        <v>64.86</v>
      </c>
      <c r="L22357">
        <v>1.34</v>
      </c>
      <c r="M22357">
        <v>17975</v>
      </c>
      <c r="N22357" t="s">
        <v>29</v>
      </c>
      <c r="O22357">
        <v>251205</v>
      </c>
      <c r="P22357">
        <v>5.25</v>
      </c>
    </row>
    <row r="22358" spans="1:16" x14ac:dyDescent="0.25">
      <c r="A22358" t="s">
        <v>3296</v>
      </c>
      <c r="B22358" t="s">
        <v>2931</v>
      </c>
      <c r="C22358">
        <v>16328</v>
      </c>
      <c r="D22358" t="str">
        <f>"12549020725 "</f>
        <v xml:space="preserve">12549020725 </v>
      </c>
      <c r="E22358" t="s">
        <v>309</v>
      </c>
      <c r="F22358" t="s">
        <v>310</v>
      </c>
      <c r="G22358">
        <v>66.62</v>
      </c>
      <c r="H22358">
        <v>251130</v>
      </c>
      <c r="I22358">
        <v>4369</v>
      </c>
      <c r="J22358" t="s">
        <v>188</v>
      </c>
      <c r="K22358">
        <v>66.62</v>
      </c>
      <c r="L22358">
        <v>13.54</v>
      </c>
      <c r="M22358">
        <v>11801</v>
      </c>
      <c r="N22358" t="s">
        <v>40</v>
      </c>
      <c r="O22358">
        <v>251205</v>
      </c>
      <c r="P22358">
        <v>53.08</v>
      </c>
    </row>
    <row r="22359" spans="1:16" x14ac:dyDescent="0.25">
      <c r="A22359" t="s">
        <v>3296</v>
      </c>
      <c r="B22359" t="s">
        <v>2931</v>
      </c>
      <c r="C22359">
        <v>16329</v>
      </c>
      <c r="D22359" t="str">
        <f>"12549020716 "</f>
        <v xml:space="preserve">12549020716 </v>
      </c>
      <c r="E22359" t="s">
        <v>309</v>
      </c>
      <c r="F22359" t="s">
        <v>310</v>
      </c>
      <c r="G22359">
        <v>3.39</v>
      </c>
      <c r="H22359">
        <v>251130</v>
      </c>
      <c r="I22359">
        <v>4369</v>
      </c>
      <c r="J22359" t="s">
        <v>188</v>
      </c>
      <c r="K22359">
        <v>3.39</v>
      </c>
      <c r="L22359">
        <v>0.69</v>
      </c>
      <c r="M22359">
        <v>11900</v>
      </c>
      <c r="N22359" t="s">
        <v>30</v>
      </c>
      <c r="O22359">
        <v>251205</v>
      </c>
      <c r="P22359">
        <v>2.7</v>
      </c>
    </row>
    <row r="22360" spans="1:16" x14ac:dyDescent="0.25">
      <c r="A22360" t="s">
        <v>3296</v>
      </c>
      <c r="B22360" t="s">
        <v>2931</v>
      </c>
      <c r="C22360">
        <v>16330</v>
      </c>
      <c r="D22360" t="str">
        <f>"12549020737 "</f>
        <v xml:space="preserve">12549020737 </v>
      </c>
      <c r="E22360" t="s">
        <v>309</v>
      </c>
      <c r="F22360" t="s">
        <v>310</v>
      </c>
      <c r="G22360">
        <v>57.6</v>
      </c>
      <c r="H22360">
        <v>251130</v>
      </c>
      <c r="I22360">
        <v>4369</v>
      </c>
      <c r="J22360" t="s">
        <v>188</v>
      </c>
      <c r="K22360">
        <v>57.6</v>
      </c>
      <c r="L22360">
        <v>11.7</v>
      </c>
      <c r="M22360">
        <v>10002</v>
      </c>
      <c r="N22360" t="s">
        <v>513</v>
      </c>
      <c r="O22360">
        <v>251205</v>
      </c>
      <c r="P22360">
        <v>45.9</v>
      </c>
    </row>
    <row r="22361" spans="1:16" x14ac:dyDescent="0.25">
      <c r="A22361" t="s">
        <v>3296</v>
      </c>
      <c r="B22361" t="s">
        <v>2931</v>
      </c>
      <c r="C22361">
        <v>16440</v>
      </c>
      <c r="D22361" t="str">
        <f t="shared" ref="D22361:D22370" si="501">"12549020720 "</f>
        <v xml:space="preserve">12549020720 </v>
      </c>
      <c r="E22361" t="s">
        <v>309</v>
      </c>
      <c r="F22361" t="s">
        <v>310</v>
      </c>
      <c r="G22361">
        <v>10.37</v>
      </c>
      <c r="H22361">
        <v>251130</v>
      </c>
      <c r="I22361">
        <v>4369</v>
      </c>
      <c r="J22361" t="s">
        <v>188</v>
      </c>
      <c r="K22361">
        <v>98.05</v>
      </c>
      <c r="L22361">
        <v>2.11</v>
      </c>
      <c r="M22361">
        <v>17131</v>
      </c>
      <c r="N22361" t="s">
        <v>154</v>
      </c>
      <c r="O22361">
        <v>251208</v>
      </c>
      <c r="P22361">
        <v>8.26</v>
      </c>
    </row>
    <row r="22362" spans="1:16" x14ac:dyDescent="0.25">
      <c r="A22362" t="s">
        <v>3296</v>
      </c>
      <c r="B22362" t="s">
        <v>2931</v>
      </c>
      <c r="C22362">
        <v>16440</v>
      </c>
      <c r="D22362" t="str">
        <f t="shared" si="501"/>
        <v xml:space="preserve">12549020720 </v>
      </c>
      <c r="E22362" t="s">
        <v>309</v>
      </c>
      <c r="F22362" t="s">
        <v>310</v>
      </c>
      <c r="G22362">
        <v>13.68</v>
      </c>
      <c r="H22362">
        <v>251130</v>
      </c>
      <c r="I22362">
        <v>4369</v>
      </c>
      <c r="J22362" t="s">
        <v>188</v>
      </c>
      <c r="K22362">
        <v>98.05</v>
      </c>
      <c r="L22362">
        <v>2.78</v>
      </c>
      <c r="M22362">
        <v>17711</v>
      </c>
      <c r="N22362" t="s">
        <v>155</v>
      </c>
      <c r="O22362">
        <v>251208</v>
      </c>
      <c r="P22362">
        <v>10.9</v>
      </c>
    </row>
    <row r="22363" spans="1:16" x14ac:dyDescent="0.25">
      <c r="A22363" t="s">
        <v>3296</v>
      </c>
      <c r="B22363" t="s">
        <v>2931</v>
      </c>
      <c r="C22363">
        <v>16440</v>
      </c>
      <c r="D22363" t="str">
        <f t="shared" si="501"/>
        <v xml:space="preserve">12549020720 </v>
      </c>
      <c r="E22363" t="s">
        <v>309</v>
      </c>
      <c r="F22363" t="s">
        <v>310</v>
      </c>
      <c r="G22363">
        <v>6.99</v>
      </c>
      <c r="H22363">
        <v>251130</v>
      </c>
      <c r="I22363">
        <v>4369</v>
      </c>
      <c r="J22363" t="s">
        <v>188</v>
      </c>
      <c r="K22363">
        <v>98.05</v>
      </c>
      <c r="L22363">
        <v>1.42</v>
      </c>
      <c r="M22363">
        <v>17737</v>
      </c>
      <c r="N22363" t="s">
        <v>156</v>
      </c>
      <c r="O22363">
        <v>251208</v>
      </c>
      <c r="P22363">
        <v>5.57</v>
      </c>
    </row>
    <row r="22364" spans="1:16" x14ac:dyDescent="0.25">
      <c r="A22364" t="s">
        <v>3296</v>
      </c>
      <c r="B22364" t="s">
        <v>2931</v>
      </c>
      <c r="C22364">
        <v>16440</v>
      </c>
      <c r="D22364" t="str">
        <f t="shared" si="501"/>
        <v xml:space="preserve">12549020720 </v>
      </c>
      <c r="E22364" t="s">
        <v>309</v>
      </c>
      <c r="F22364" t="s">
        <v>310</v>
      </c>
      <c r="G22364">
        <v>13.55</v>
      </c>
      <c r="H22364">
        <v>251130</v>
      </c>
      <c r="I22364">
        <v>4369</v>
      </c>
      <c r="J22364" t="s">
        <v>188</v>
      </c>
      <c r="K22364">
        <v>98.05</v>
      </c>
      <c r="L22364">
        <v>2.75</v>
      </c>
      <c r="M22364">
        <v>17737</v>
      </c>
      <c r="N22364" t="s">
        <v>156</v>
      </c>
      <c r="O22364">
        <v>251208</v>
      </c>
      <c r="P22364">
        <v>10.8</v>
      </c>
    </row>
    <row r="22365" spans="1:16" x14ac:dyDescent="0.25">
      <c r="A22365" t="s">
        <v>3296</v>
      </c>
      <c r="B22365" t="s">
        <v>2931</v>
      </c>
      <c r="C22365">
        <v>16440</v>
      </c>
      <c r="D22365" t="str">
        <f t="shared" si="501"/>
        <v xml:space="preserve">12549020720 </v>
      </c>
      <c r="E22365" t="s">
        <v>309</v>
      </c>
      <c r="F22365" t="s">
        <v>310</v>
      </c>
      <c r="G22365">
        <v>16.75</v>
      </c>
      <c r="H22365">
        <v>251130</v>
      </c>
      <c r="I22365">
        <v>4369</v>
      </c>
      <c r="J22365" t="s">
        <v>188</v>
      </c>
      <c r="K22365">
        <v>98.05</v>
      </c>
      <c r="L22365">
        <v>3.4</v>
      </c>
      <c r="M22365">
        <v>17737</v>
      </c>
      <c r="N22365" t="s">
        <v>156</v>
      </c>
      <c r="O22365">
        <v>251208</v>
      </c>
      <c r="P22365">
        <v>13.35</v>
      </c>
    </row>
    <row r="22366" spans="1:16" x14ac:dyDescent="0.25">
      <c r="A22366" t="s">
        <v>3296</v>
      </c>
      <c r="B22366" t="s">
        <v>2931</v>
      </c>
      <c r="C22366">
        <v>16440</v>
      </c>
      <c r="D22366" t="str">
        <f t="shared" si="501"/>
        <v xml:space="preserve">12549020720 </v>
      </c>
      <c r="E22366" t="s">
        <v>309</v>
      </c>
      <c r="F22366" t="s">
        <v>310</v>
      </c>
      <c r="G22366">
        <v>3.39</v>
      </c>
      <c r="H22366">
        <v>251130</v>
      </c>
      <c r="I22366">
        <v>4369</v>
      </c>
      <c r="J22366" t="s">
        <v>188</v>
      </c>
      <c r="K22366">
        <v>98.05</v>
      </c>
      <c r="L22366">
        <v>0.69</v>
      </c>
      <c r="M22366">
        <v>17912</v>
      </c>
      <c r="N22366" t="s">
        <v>505</v>
      </c>
      <c r="O22366">
        <v>251208</v>
      </c>
      <c r="P22366">
        <v>2.7</v>
      </c>
    </row>
    <row r="22367" spans="1:16" x14ac:dyDescent="0.25">
      <c r="A22367" t="s">
        <v>3296</v>
      </c>
      <c r="B22367" t="s">
        <v>2931</v>
      </c>
      <c r="C22367">
        <v>16440</v>
      </c>
      <c r="D22367" t="str">
        <f t="shared" si="501"/>
        <v xml:space="preserve">12549020720 </v>
      </c>
      <c r="E22367" t="s">
        <v>309</v>
      </c>
      <c r="F22367" t="s">
        <v>310</v>
      </c>
      <c r="G22367">
        <v>3.39</v>
      </c>
      <c r="H22367">
        <v>251130</v>
      </c>
      <c r="I22367">
        <v>4369</v>
      </c>
      <c r="J22367" t="s">
        <v>188</v>
      </c>
      <c r="K22367">
        <v>98.05</v>
      </c>
      <c r="L22367">
        <v>0.69</v>
      </c>
      <c r="M22367">
        <v>17915</v>
      </c>
      <c r="N22367" t="s">
        <v>305</v>
      </c>
      <c r="O22367">
        <v>251208</v>
      </c>
      <c r="P22367">
        <v>2.7</v>
      </c>
    </row>
    <row r="22368" spans="1:16" x14ac:dyDescent="0.25">
      <c r="A22368" t="s">
        <v>3296</v>
      </c>
      <c r="B22368" t="s">
        <v>2931</v>
      </c>
      <c r="C22368">
        <v>16440</v>
      </c>
      <c r="D22368" t="str">
        <f t="shared" si="501"/>
        <v xml:space="preserve">12549020720 </v>
      </c>
      <c r="E22368" t="s">
        <v>309</v>
      </c>
      <c r="F22368" t="s">
        <v>310</v>
      </c>
      <c r="G22368">
        <v>14.42</v>
      </c>
      <c r="H22368">
        <v>251130</v>
      </c>
      <c r="I22368">
        <v>4369</v>
      </c>
      <c r="J22368" t="s">
        <v>188</v>
      </c>
      <c r="K22368">
        <v>98.05</v>
      </c>
      <c r="L22368">
        <v>2.93</v>
      </c>
      <c r="M22368">
        <v>17952</v>
      </c>
      <c r="N22368" t="s">
        <v>157</v>
      </c>
      <c r="O22368">
        <v>251208</v>
      </c>
      <c r="P22368">
        <v>11.49</v>
      </c>
    </row>
    <row r="22369" spans="1:16" x14ac:dyDescent="0.25">
      <c r="A22369" t="s">
        <v>3296</v>
      </c>
      <c r="B22369" t="s">
        <v>2931</v>
      </c>
      <c r="C22369">
        <v>16440</v>
      </c>
      <c r="D22369" t="str">
        <f t="shared" si="501"/>
        <v xml:space="preserve">12549020720 </v>
      </c>
      <c r="E22369" t="s">
        <v>309</v>
      </c>
      <c r="F22369" t="s">
        <v>310</v>
      </c>
      <c r="G22369">
        <v>8.73</v>
      </c>
      <c r="H22369">
        <v>251130</v>
      </c>
      <c r="I22369">
        <v>4369</v>
      </c>
      <c r="J22369" t="s">
        <v>188</v>
      </c>
      <c r="K22369">
        <v>98.05</v>
      </c>
      <c r="L22369">
        <v>1.77</v>
      </c>
      <c r="M22369">
        <v>17971</v>
      </c>
      <c r="N22369" t="s">
        <v>27</v>
      </c>
      <c r="O22369">
        <v>251208</v>
      </c>
      <c r="P22369">
        <v>6.96</v>
      </c>
    </row>
    <row r="22370" spans="1:16" x14ac:dyDescent="0.25">
      <c r="A22370" t="s">
        <v>3296</v>
      </c>
      <c r="B22370" t="s">
        <v>2931</v>
      </c>
      <c r="C22370">
        <v>16440</v>
      </c>
      <c r="D22370" t="str">
        <f t="shared" si="501"/>
        <v xml:space="preserve">12549020720 </v>
      </c>
      <c r="E22370" t="s">
        <v>309</v>
      </c>
      <c r="F22370" t="s">
        <v>310</v>
      </c>
      <c r="G22370">
        <v>6.78</v>
      </c>
      <c r="H22370">
        <v>251130</v>
      </c>
      <c r="I22370">
        <v>4369</v>
      </c>
      <c r="J22370" t="s">
        <v>188</v>
      </c>
      <c r="K22370">
        <v>98.05</v>
      </c>
      <c r="L22370">
        <v>1.38</v>
      </c>
      <c r="M22370">
        <v>17972</v>
      </c>
      <c r="N22370" t="s">
        <v>28</v>
      </c>
      <c r="O22370">
        <v>251208</v>
      </c>
      <c r="P22370">
        <v>5.4</v>
      </c>
    </row>
    <row r="22371" spans="1:16" x14ac:dyDescent="0.25">
      <c r="A22371" t="s">
        <v>3296</v>
      </c>
      <c r="B22371" t="s">
        <v>2931</v>
      </c>
      <c r="C22371">
        <v>16441</v>
      </c>
      <c r="D22371" t="str">
        <f t="shared" ref="D22371:D22396" si="502">"12549020721 "</f>
        <v xml:space="preserve">12549020721 </v>
      </c>
      <c r="E22371" t="s">
        <v>309</v>
      </c>
      <c r="F22371" t="s">
        <v>310</v>
      </c>
      <c r="G22371">
        <v>1.49</v>
      </c>
      <c r="H22371">
        <v>251130</v>
      </c>
      <c r="I22371">
        <v>4369</v>
      </c>
      <c r="J22371" t="s">
        <v>188</v>
      </c>
      <c r="K22371">
        <v>209.94</v>
      </c>
      <c r="L22371">
        <v>0.3</v>
      </c>
      <c r="M22371">
        <v>13540</v>
      </c>
      <c r="N22371" t="s">
        <v>131</v>
      </c>
      <c r="O22371">
        <v>251208</v>
      </c>
      <c r="P22371">
        <v>1.19</v>
      </c>
    </row>
    <row r="22372" spans="1:16" x14ac:dyDescent="0.25">
      <c r="A22372" t="s">
        <v>3296</v>
      </c>
      <c r="B22372" t="s">
        <v>2931</v>
      </c>
      <c r="C22372">
        <v>16441</v>
      </c>
      <c r="D22372" t="str">
        <f t="shared" si="502"/>
        <v xml:space="preserve">12549020721 </v>
      </c>
      <c r="E22372" t="s">
        <v>309</v>
      </c>
      <c r="F22372" t="s">
        <v>310</v>
      </c>
      <c r="G22372">
        <v>9.98</v>
      </c>
      <c r="H22372">
        <v>251130</v>
      </c>
      <c r="I22372">
        <v>4369</v>
      </c>
      <c r="J22372" t="s">
        <v>188</v>
      </c>
      <c r="K22372">
        <v>209.94</v>
      </c>
      <c r="L22372">
        <v>2.0299999999999998</v>
      </c>
      <c r="M22372">
        <v>16930</v>
      </c>
      <c r="N22372" t="s">
        <v>135</v>
      </c>
      <c r="O22372">
        <v>251208</v>
      </c>
      <c r="P22372">
        <v>7.95</v>
      </c>
    </row>
    <row r="22373" spans="1:16" x14ac:dyDescent="0.25">
      <c r="A22373" t="s">
        <v>3296</v>
      </c>
      <c r="B22373" t="s">
        <v>2931</v>
      </c>
      <c r="C22373">
        <v>16441</v>
      </c>
      <c r="D22373" t="str">
        <f t="shared" si="502"/>
        <v xml:space="preserve">12549020721 </v>
      </c>
      <c r="E22373" t="s">
        <v>309</v>
      </c>
      <c r="F22373" t="s">
        <v>310</v>
      </c>
      <c r="G22373">
        <v>3.35</v>
      </c>
      <c r="H22373">
        <v>251130</v>
      </c>
      <c r="I22373">
        <v>4369</v>
      </c>
      <c r="J22373" t="s">
        <v>188</v>
      </c>
      <c r="K22373">
        <v>209.94</v>
      </c>
      <c r="L22373">
        <v>0.68</v>
      </c>
      <c r="M22373">
        <v>16951</v>
      </c>
      <c r="N22373" t="s">
        <v>488</v>
      </c>
      <c r="O22373">
        <v>251208</v>
      </c>
      <c r="P22373">
        <v>2.67</v>
      </c>
    </row>
    <row r="22374" spans="1:16" x14ac:dyDescent="0.25">
      <c r="A22374" t="s">
        <v>3296</v>
      </c>
      <c r="B22374" t="s">
        <v>2931</v>
      </c>
      <c r="C22374">
        <v>16441</v>
      </c>
      <c r="D22374" t="str">
        <f t="shared" si="502"/>
        <v xml:space="preserve">12549020721 </v>
      </c>
      <c r="E22374" t="s">
        <v>309</v>
      </c>
      <c r="F22374" t="s">
        <v>310</v>
      </c>
      <c r="G22374">
        <v>14.71</v>
      </c>
      <c r="H22374">
        <v>251130</v>
      </c>
      <c r="I22374">
        <v>4369</v>
      </c>
      <c r="J22374" t="s">
        <v>188</v>
      </c>
      <c r="K22374">
        <v>209.94</v>
      </c>
      <c r="L22374">
        <v>2.99</v>
      </c>
      <c r="M22374">
        <v>17521</v>
      </c>
      <c r="N22374" t="s">
        <v>136</v>
      </c>
      <c r="O22374">
        <v>251208</v>
      </c>
      <c r="P22374">
        <v>11.72</v>
      </c>
    </row>
    <row r="22375" spans="1:16" x14ac:dyDescent="0.25">
      <c r="A22375" t="s">
        <v>3296</v>
      </c>
      <c r="B22375" t="s">
        <v>2931</v>
      </c>
      <c r="C22375">
        <v>16441</v>
      </c>
      <c r="D22375" t="str">
        <f t="shared" si="502"/>
        <v xml:space="preserve">12549020721 </v>
      </c>
      <c r="E22375" t="s">
        <v>309</v>
      </c>
      <c r="F22375" t="s">
        <v>310</v>
      </c>
      <c r="G22375">
        <v>7.07</v>
      </c>
      <c r="H22375">
        <v>251130</v>
      </c>
      <c r="I22375">
        <v>4369</v>
      </c>
      <c r="J22375" t="s">
        <v>188</v>
      </c>
      <c r="K22375">
        <v>209.94</v>
      </c>
      <c r="L22375">
        <v>1.44</v>
      </c>
      <c r="M22375">
        <v>17522</v>
      </c>
      <c r="N22375" t="s">
        <v>137</v>
      </c>
      <c r="O22375">
        <v>251208</v>
      </c>
      <c r="P22375">
        <v>5.63</v>
      </c>
    </row>
    <row r="22376" spans="1:16" x14ac:dyDescent="0.25">
      <c r="A22376" t="s">
        <v>3296</v>
      </c>
      <c r="B22376" t="s">
        <v>2931</v>
      </c>
      <c r="C22376">
        <v>16441</v>
      </c>
      <c r="D22376" t="str">
        <f t="shared" si="502"/>
        <v xml:space="preserve">12549020721 </v>
      </c>
      <c r="E22376" t="s">
        <v>309</v>
      </c>
      <c r="F22376" t="s">
        <v>310</v>
      </c>
      <c r="G22376">
        <v>10.86</v>
      </c>
      <c r="H22376">
        <v>251130</v>
      </c>
      <c r="I22376">
        <v>4369</v>
      </c>
      <c r="J22376" t="s">
        <v>188</v>
      </c>
      <c r="K22376">
        <v>209.94</v>
      </c>
      <c r="L22376">
        <v>2.21</v>
      </c>
      <c r="M22376">
        <v>17523</v>
      </c>
      <c r="N22376" t="s">
        <v>138</v>
      </c>
      <c r="O22376">
        <v>251208</v>
      </c>
      <c r="P22376">
        <v>8.65</v>
      </c>
    </row>
    <row r="22377" spans="1:16" x14ac:dyDescent="0.25">
      <c r="A22377" t="s">
        <v>3296</v>
      </c>
      <c r="B22377" t="s">
        <v>2931</v>
      </c>
      <c r="C22377">
        <v>16441</v>
      </c>
      <c r="D22377" t="str">
        <f t="shared" si="502"/>
        <v xml:space="preserve">12549020721 </v>
      </c>
      <c r="E22377" t="s">
        <v>309</v>
      </c>
      <c r="F22377" t="s">
        <v>310</v>
      </c>
      <c r="G22377">
        <v>6.78</v>
      </c>
      <c r="H22377">
        <v>251130</v>
      </c>
      <c r="I22377">
        <v>4369</v>
      </c>
      <c r="J22377" t="s">
        <v>188</v>
      </c>
      <c r="K22377">
        <v>209.94</v>
      </c>
      <c r="L22377">
        <v>1.38</v>
      </c>
      <c r="M22377">
        <v>17524</v>
      </c>
      <c r="N22377" t="s">
        <v>139</v>
      </c>
      <c r="O22377">
        <v>251208</v>
      </c>
      <c r="P22377">
        <v>5.4</v>
      </c>
    </row>
    <row r="22378" spans="1:16" x14ac:dyDescent="0.25">
      <c r="A22378" t="s">
        <v>3296</v>
      </c>
      <c r="B22378" t="s">
        <v>2931</v>
      </c>
      <c r="C22378">
        <v>16441</v>
      </c>
      <c r="D22378" t="str">
        <f t="shared" si="502"/>
        <v xml:space="preserve">12549020721 </v>
      </c>
      <c r="E22378" t="s">
        <v>309</v>
      </c>
      <c r="F22378" t="s">
        <v>310</v>
      </c>
      <c r="G22378">
        <v>3.39</v>
      </c>
      <c r="H22378">
        <v>251130</v>
      </c>
      <c r="I22378">
        <v>4369</v>
      </c>
      <c r="J22378" t="s">
        <v>188</v>
      </c>
      <c r="K22378">
        <v>209.94</v>
      </c>
      <c r="L22378">
        <v>0.69</v>
      </c>
      <c r="M22378">
        <v>17525</v>
      </c>
      <c r="N22378" t="s">
        <v>140</v>
      </c>
      <c r="O22378">
        <v>251208</v>
      </c>
      <c r="P22378">
        <v>2.7</v>
      </c>
    </row>
    <row r="22379" spans="1:16" x14ac:dyDescent="0.25">
      <c r="A22379" t="s">
        <v>3296</v>
      </c>
      <c r="B22379" t="s">
        <v>2931</v>
      </c>
      <c r="C22379">
        <v>16441</v>
      </c>
      <c r="D22379" t="str">
        <f t="shared" si="502"/>
        <v xml:space="preserve">12549020721 </v>
      </c>
      <c r="E22379" t="s">
        <v>309</v>
      </c>
      <c r="F22379" t="s">
        <v>310</v>
      </c>
      <c r="G22379">
        <v>6.78</v>
      </c>
      <c r="H22379">
        <v>251130</v>
      </c>
      <c r="I22379">
        <v>4369</v>
      </c>
      <c r="J22379" t="s">
        <v>188</v>
      </c>
      <c r="K22379">
        <v>209.94</v>
      </c>
      <c r="L22379">
        <v>1.38</v>
      </c>
      <c r="M22379">
        <v>17526</v>
      </c>
      <c r="N22379" t="s">
        <v>141</v>
      </c>
      <c r="O22379">
        <v>251208</v>
      </c>
      <c r="P22379">
        <v>5.4</v>
      </c>
    </row>
    <row r="22380" spans="1:16" x14ac:dyDescent="0.25">
      <c r="A22380" t="s">
        <v>3296</v>
      </c>
      <c r="B22380" t="s">
        <v>2931</v>
      </c>
      <c r="C22380">
        <v>16441</v>
      </c>
      <c r="D22380" t="str">
        <f t="shared" si="502"/>
        <v xml:space="preserve">12549020721 </v>
      </c>
      <c r="E22380" t="s">
        <v>309</v>
      </c>
      <c r="F22380" t="s">
        <v>310</v>
      </c>
      <c r="G22380">
        <v>7.96</v>
      </c>
      <c r="H22380">
        <v>251130</v>
      </c>
      <c r="I22380">
        <v>4369</v>
      </c>
      <c r="J22380" t="s">
        <v>188</v>
      </c>
      <c r="K22380">
        <v>209.94</v>
      </c>
      <c r="L22380">
        <v>1.62</v>
      </c>
      <c r="M22380">
        <v>17527</v>
      </c>
      <c r="N22380" t="s">
        <v>142</v>
      </c>
      <c r="O22380">
        <v>251208</v>
      </c>
      <c r="P22380">
        <v>6.34</v>
      </c>
    </row>
    <row r="22381" spans="1:16" x14ac:dyDescent="0.25">
      <c r="A22381" t="s">
        <v>3296</v>
      </c>
      <c r="B22381" t="s">
        <v>2931</v>
      </c>
      <c r="C22381">
        <v>16441</v>
      </c>
      <c r="D22381" t="str">
        <f t="shared" si="502"/>
        <v xml:space="preserve">12549020721 </v>
      </c>
      <c r="E22381" t="s">
        <v>309</v>
      </c>
      <c r="F22381" t="s">
        <v>310</v>
      </c>
      <c r="G22381">
        <v>3.73</v>
      </c>
      <c r="H22381">
        <v>251130</v>
      </c>
      <c r="I22381">
        <v>4369</v>
      </c>
      <c r="J22381" t="s">
        <v>188</v>
      </c>
      <c r="K22381">
        <v>209.94</v>
      </c>
      <c r="L22381">
        <v>0.76</v>
      </c>
      <c r="M22381">
        <v>17529</v>
      </c>
      <c r="N22381" t="s">
        <v>143</v>
      </c>
      <c r="O22381">
        <v>251208</v>
      </c>
      <c r="P22381">
        <v>2.97</v>
      </c>
    </row>
    <row r="22382" spans="1:16" x14ac:dyDescent="0.25">
      <c r="A22382" t="s">
        <v>3296</v>
      </c>
      <c r="B22382" t="s">
        <v>2931</v>
      </c>
      <c r="C22382">
        <v>16441</v>
      </c>
      <c r="D22382" t="str">
        <f t="shared" si="502"/>
        <v xml:space="preserve">12549020721 </v>
      </c>
      <c r="E22382" t="s">
        <v>309</v>
      </c>
      <c r="F22382" t="s">
        <v>310</v>
      </c>
      <c r="G22382">
        <v>11.06</v>
      </c>
      <c r="H22382">
        <v>251130</v>
      </c>
      <c r="I22382">
        <v>4369</v>
      </c>
      <c r="J22382" t="s">
        <v>188</v>
      </c>
      <c r="K22382">
        <v>209.94</v>
      </c>
      <c r="L22382">
        <v>2.25</v>
      </c>
      <c r="M22382">
        <v>17530</v>
      </c>
      <c r="N22382" t="s">
        <v>144</v>
      </c>
      <c r="O22382">
        <v>251208</v>
      </c>
      <c r="P22382">
        <v>8.81</v>
      </c>
    </row>
    <row r="22383" spans="1:16" x14ac:dyDescent="0.25">
      <c r="A22383" t="s">
        <v>3296</v>
      </c>
      <c r="B22383" t="s">
        <v>2931</v>
      </c>
      <c r="C22383">
        <v>16441</v>
      </c>
      <c r="D22383" t="str">
        <f t="shared" si="502"/>
        <v xml:space="preserve">12549020721 </v>
      </c>
      <c r="E22383" t="s">
        <v>309</v>
      </c>
      <c r="F22383" t="s">
        <v>310</v>
      </c>
      <c r="G22383">
        <v>13.18</v>
      </c>
      <c r="H22383">
        <v>251130</v>
      </c>
      <c r="I22383">
        <v>4369</v>
      </c>
      <c r="J22383" t="s">
        <v>188</v>
      </c>
      <c r="K22383">
        <v>209.94</v>
      </c>
      <c r="L22383">
        <v>2.68</v>
      </c>
      <c r="M22383">
        <v>17531</v>
      </c>
      <c r="N22383" t="s">
        <v>145</v>
      </c>
      <c r="O22383">
        <v>251208</v>
      </c>
      <c r="P22383">
        <v>10.5</v>
      </c>
    </row>
    <row r="22384" spans="1:16" x14ac:dyDescent="0.25">
      <c r="A22384" t="s">
        <v>3296</v>
      </c>
      <c r="B22384" t="s">
        <v>2931</v>
      </c>
      <c r="C22384">
        <v>16441</v>
      </c>
      <c r="D22384" t="str">
        <f t="shared" si="502"/>
        <v xml:space="preserve">12549020721 </v>
      </c>
      <c r="E22384" t="s">
        <v>309</v>
      </c>
      <c r="F22384" t="s">
        <v>310</v>
      </c>
      <c r="G22384">
        <v>12.99</v>
      </c>
      <c r="H22384">
        <v>251130</v>
      </c>
      <c r="I22384">
        <v>4369</v>
      </c>
      <c r="J22384" t="s">
        <v>188</v>
      </c>
      <c r="K22384">
        <v>209.94</v>
      </c>
      <c r="L22384">
        <v>2.64</v>
      </c>
      <c r="M22384">
        <v>17532</v>
      </c>
      <c r="N22384" t="s">
        <v>146</v>
      </c>
      <c r="O22384">
        <v>251208</v>
      </c>
      <c r="P22384">
        <v>10.35</v>
      </c>
    </row>
    <row r="22385" spans="1:16" x14ac:dyDescent="0.25">
      <c r="A22385" t="s">
        <v>3296</v>
      </c>
      <c r="B22385" t="s">
        <v>2931</v>
      </c>
      <c r="C22385">
        <v>16441</v>
      </c>
      <c r="D22385" t="str">
        <f t="shared" si="502"/>
        <v xml:space="preserve">12549020721 </v>
      </c>
      <c r="E22385" t="s">
        <v>309</v>
      </c>
      <c r="F22385" t="s">
        <v>310</v>
      </c>
      <c r="G22385">
        <v>6.97</v>
      </c>
      <c r="H22385">
        <v>251130</v>
      </c>
      <c r="I22385">
        <v>4369</v>
      </c>
      <c r="J22385" t="s">
        <v>188</v>
      </c>
      <c r="K22385">
        <v>209.94</v>
      </c>
      <c r="L22385">
        <v>1.42</v>
      </c>
      <c r="M22385">
        <v>17533</v>
      </c>
      <c r="N22385" t="s">
        <v>147</v>
      </c>
      <c r="O22385">
        <v>251208</v>
      </c>
      <c r="P22385">
        <v>5.55</v>
      </c>
    </row>
    <row r="22386" spans="1:16" x14ac:dyDescent="0.25">
      <c r="A22386" t="s">
        <v>3296</v>
      </c>
      <c r="B22386" t="s">
        <v>2931</v>
      </c>
      <c r="C22386">
        <v>16441</v>
      </c>
      <c r="D22386" t="str">
        <f t="shared" si="502"/>
        <v xml:space="preserve">12549020721 </v>
      </c>
      <c r="E22386" t="s">
        <v>309</v>
      </c>
      <c r="F22386" t="s">
        <v>310</v>
      </c>
      <c r="G22386">
        <v>6.85</v>
      </c>
      <c r="H22386">
        <v>251130</v>
      </c>
      <c r="I22386">
        <v>4369</v>
      </c>
      <c r="J22386" t="s">
        <v>188</v>
      </c>
      <c r="K22386">
        <v>209.94</v>
      </c>
      <c r="L22386">
        <v>1.39</v>
      </c>
      <c r="M22386">
        <v>17534</v>
      </c>
      <c r="N22386" t="s">
        <v>148</v>
      </c>
      <c r="O22386">
        <v>251208</v>
      </c>
      <c r="P22386">
        <v>5.46</v>
      </c>
    </row>
    <row r="22387" spans="1:16" x14ac:dyDescent="0.25">
      <c r="A22387" t="s">
        <v>3296</v>
      </c>
      <c r="B22387" t="s">
        <v>2931</v>
      </c>
      <c r="C22387">
        <v>16441</v>
      </c>
      <c r="D22387" t="str">
        <f t="shared" si="502"/>
        <v xml:space="preserve">12549020721 </v>
      </c>
      <c r="E22387" t="s">
        <v>309</v>
      </c>
      <c r="F22387" t="s">
        <v>310</v>
      </c>
      <c r="G22387">
        <v>3.39</v>
      </c>
      <c r="H22387">
        <v>251130</v>
      </c>
      <c r="I22387">
        <v>4369</v>
      </c>
      <c r="J22387" t="s">
        <v>188</v>
      </c>
      <c r="K22387">
        <v>209.94</v>
      </c>
      <c r="L22387">
        <v>0.69</v>
      </c>
      <c r="M22387">
        <v>17535</v>
      </c>
      <c r="N22387" t="s">
        <v>149</v>
      </c>
      <c r="O22387">
        <v>251208</v>
      </c>
      <c r="P22387">
        <v>2.7</v>
      </c>
    </row>
    <row r="22388" spans="1:16" x14ac:dyDescent="0.25">
      <c r="A22388" t="s">
        <v>3296</v>
      </c>
      <c r="B22388" t="s">
        <v>2931</v>
      </c>
      <c r="C22388">
        <v>16441</v>
      </c>
      <c r="D22388" t="str">
        <f t="shared" si="502"/>
        <v xml:space="preserve">12549020721 </v>
      </c>
      <c r="E22388" t="s">
        <v>309</v>
      </c>
      <c r="F22388" t="s">
        <v>310</v>
      </c>
      <c r="G22388">
        <v>6.78</v>
      </c>
      <c r="H22388">
        <v>251130</v>
      </c>
      <c r="I22388">
        <v>4369</v>
      </c>
      <c r="J22388" t="s">
        <v>188</v>
      </c>
      <c r="K22388">
        <v>209.94</v>
      </c>
      <c r="L22388">
        <v>1.38</v>
      </c>
      <c r="M22388">
        <v>17536</v>
      </c>
      <c r="N22388" t="s">
        <v>150</v>
      </c>
      <c r="O22388">
        <v>251208</v>
      </c>
      <c r="P22388">
        <v>5.4</v>
      </c>
    </row>
    <row r="22389" spans="1:16" x14ac:dyDescent="0.25">
      <c r="A22389" t="s">
        <v>3296</v>
      </c>
      <c r="B22389" t="s">
        <v>2931</v>
      </c>
      <c r="C22389">
        <v>16441</v>
      </c>
      <c r="D22389" t="str">
        <f t="shared" si="502"/>
        <v xml:space="preserve">12549020721 </v>
      </c>
      <c r="E22389" t="s">
        <v>309</v>
      </c>
      <c r="F22389" t="s">
        <v>310</v>
      </c>
      <c r="G22389">
        <v>13.3</v>
      </c>
      <c r="H22389">
        <v>251130</v>
      </c>
      <c r="I22389">
        <v>4369</v>
      </c>
      <c r="J22389" t="s">
        <v>188</v>
      </c>
      <c r="K22389">
        <v>209.94</v>
      </c>
      <c r="L22389">
        <v>2.7</v>
      </c>
      <c r="M22389">
        <v>17537</v>
      </c>
      <c r="N22389" t="s">
        <v>151</v>
      </c>
      <c r="O22389">
        <v>251208</v>
      </c>
      <c r="P22389">
        <v>10.6</v>
      </c>
    </row>
    <row r="22390" spans="1:16" x14ac:dyDescent="0.25">
      <c r="A22390" t="s">
        <v>3296</v>
      </c>
      <c r="B22390" t="s">
        <v>2931</v>
      </c>
      <c r="C22390">
        <v>16441</v>
      </c>
      <c r="D22390" t="str">
        <f t="shared" si="502"/>
        <v xml:space="preserve">12549020721 </v>
      </c>
      <c r="E22390" t="s">
        <v>309</v>
      </c>
      <c r="F22390" t="s">
        <v>310</v>
      </c>
      <c r="G22390">
        <v>10.17</v>
      </c>
      <c r="H22390">
        <v>251130</v>
      </c>
      <c r="I22390">
        <v>4369</v>
      </c>
      <c r="J22390" t="s">
        <v>188</v>
      </c>
      <c r="K22390">
        <v>209.94</v>
      </c>
      <c r="L22390">
        <v>2.0699999999999998</v>
      </c>
      <c r="M22390">
        <v>17538</v>
      </c>
      <c r="N22390" t="s">
        <v>129</v>
      </c>
      <c r="O22390">
        <v>251208</v>
      </c>
      <c r="P22390">
        <v>8.1</v>
      </c>
    </row>
    <row r="22391" spans="1:16" x14ac:dyDescent="0.25">
      <c r="A22391" t="s">
        <v>3296</v>
      </c>
      <c r="B22391" t="s">
        <v>2931</v>
      </c>
      <c r="C22391">
        <v>16441</v>
      </c>
      <c r="D22391" t="str">
        <f t="shared" si="502"/>
        <v xml:space="preserve">12549020721 </v>
      </c>
      <c r="E22391" t="s">
        <v>309</v>
      </c>
      <c r="F22391" t="s">
        <v>310</v>
      </c>
      <c r="G22391">
        <v>12.06</v>
      </c>
      <c r="H22391">
        <v>251130</v>
      </c>
      <c r="I22391">
        <v>4369</v>
      </c>
      <c r="J22391" t="s">
        <v>188</v>
      </c>
      <c r="K22391">
        <v>209.94</v>
      </c>
      <c r="L22391">
        <v>2.4500000000000002</v>
      </c>
      <c r="M22391">
        <v>17950</v>
      </c>
      <c r="N22391" t="s">
        <v>132</v>
      </c>
      <c r="O22391">
        <v>251208</v>
      </c>
      <c r="P22391">
        <v>9.61</v>
      </c>
    </row>
    <row r="22392" spans="1:16" x14ac:dyDescent="0.25">
      <c r="A22392" t="s">
        <v>3296</v>
      </c>
      <c r="B22392" t="s">
        <v>2931</v>
      </c>
      <c r="C22392">
        <v>16441</v>
      </c>
      <c r="D22392" t="str">
        <f t="shared" si="502"/>
        <v xml:space="preserve">12549020721 </v>
      </c>
      <c r="E22392" t="s">
        <v>309</v>
      </c>
      <c r="F22392" t="s">
        <v>310</v>
      </c>
      <c r="G22392">
        <v>3.39</v>
      </c>
      <c r="H22392">
        <v>251130</v>
      </c>
      <c r="I22392">
        <v>4369</v>
      </c>
      <c r="J22392" t="s">
        <v>188</v>
      </c>
      <c r="K22392">
        <v>209.94</v>
      </c>
      <c r="L22392">
        <v>0.69</v>
      </c>
      <c r="M22392">
        <v>17956</v>
      </c>
      <c r="N22392" t="s">
        <v>170</v>
      </c>
      <c r="O22392">
        <v>251208</v>
      </c>
      <c r="P22392">
        <v>2.7</v>
      </c>
    </row>
    <row r="22393" spans="1:16" x14ac:dyDescent="0.25">
      <c r="A22393" t="s">
        <v>3296</v>
      </c>
      <c r="B22393" t="s">
        <v>2931</v>
      </c>
      <c r="C22393">
        <v>16441</v>
      </c>
      <c r="D22393" t="str">
        <f t="shared" si="502"/>
        <v xml:space="preserve">12549020721 </v>
      </c>
      <c r="E22393" t="s">
        <v>309</v>
      </c>
      <c r="F22393" t="s">
        <v>310</v>
      </c>
      <c r="G22393">
        <v>20.02</v>
      </c>
      <c r="H22393">
        <v>251130</v>
      </c>
      <c r="I22393">
        <v>4369</v>
      </c>
      <c r="J22393" t="s">
        <v>188</v>
      </c>
      <c r="K22393">
        <v>209.94</v>
      </c>
      <c r="L22393">
        <v>4.07</v>
      </c>
      <c r="M22393">
        <v>17971</v>
      </c>
      <c r="N22393" t="s">
        <v>27</v>
      </c>
      <c r="O22393">
        <v>251208</v>
      </c>
      <c r="P22393">
        <v>15.95</v>
      </c>
    </row>
    <row r="22394" spans="1:16" x14ac:dyDescent="0.25">
      <c r="A22394" t="s">
        <v>3296</v>
      </c>
      <c r="B22394" t="s">
        <v>2931</v>
      </c>
      <c r="C22394">
        <v>16441</v>
      </c>
      <c r="D22394" t="str">
        <f t="shared" si="502"/>
        <v xml:space="preserve">12549020721 </v>
      </c>
      <c r="E22394" t="s">
        <v>309</v>
      </c>
      <c r="F22394" t="s">
        <v>310</v>
      </c>
      <c r="G22394">
        <v>3.39</v>
      </c>
      <c r="H22394">
        <v>251130</v>
      </c>
      <c r="I22394">
        <v>4369</v>
      </c>
      <c r="J22394" t="s">
        <v>188</v>
      </c>
      <c r="K22394">
        <v>209.94</v>
      </c>
      <c r="L22394">
        <v>0.69</v>
      </c>
      <c r="M22394">
        <v>17972</v>
      </c>
      <c r="N22394" t="s">
        <v>28</v>
      </c>
      <c r="O22394">
        <v>251208</v>
      </c>
      <c r="P22394">
        <v>2.7</v>
      </c>
    </row>
    <row r="22395" spans="1:16" x14ac:dyDescent="0.25">
      <c r="A22395" t="s">
        <v>3296</v>
      </c>
      <c r="B22395" t="s">
        <v>2931</v>
      </c>
      <c r="C22395">
        <v>16441</v>
      </c>
      <c r="D22395" t="str">
        <f t="shared" si="502"/>
        <v xml:space="preserve">12549020721 </v>
      </c>
      <c r="E22395" t="s">
        <v>309</v>
      </c>
      <c r="F22395" t="s">
        <v>310</v>
      </c>
      <c r="G22395">
        <v>3.39</v>
      </c>
      <c r="H22395">
        <v>251130</v>
      </c>
      <c r="I22395">
        <v>4369</v>
      </c>
      <c r="J22395" t="s">
        <v>188</v>
      </c>
      <c r="K22395">
        <v>209.94</v>
      </c>
      <c r="L22395">
        <v>0.69</v>
      </c>
      <c r="M22395">
        <v>17974</v>
      </c>
      <c r="N22395" t="s">
        <v>153</v>
      </c>
      <c r="O22395">
        <v>251208</v>
      </c>
      <c r="P22395">
        <v>2.7</v>
      </c>
    </row>
    <row r="22396" spans="1:16" x14ac:dyDescent="0.25">
      <c r="A22396" t="s">
        <v>3296</v>
      </c>
      <c r="B22396" t="s">
        <v>2931</v>
      </c>
      <c r="C22396">
        <v>16441</v>
      </c>
      <c r="D22396" t="str">
        <f t="shared" si="502"/>
        <v xml:space="preserve">12549020721 </v>
      </c>
      <c r="E22396" t="s">
        <v>309</v>
      </c>
      <c r="F22396" t="s">
        <v>310</v>
      </c>
      <c r="G22396">
        <v>6.9</v>
      </c>
      <c r="H22396">
        <v>251130</v>
      </c>
      <c r="I22396">
        <v>4369</v>
      </c>
      <c r="J22396" t="s">
        <v>188</v>
      </c>
      <c r="K22396">
        <v>209.94</v>
      </c>
      <c r="L22396">
        <v>1.4</v>
      </c>
      <c r="M22396">
        <v>17975</v>
      </c>
      <c r="N22396" t="s">
        <v>29</v>
      </c>
      <c r="O22396">
        <v>251208</v>
      </c>
      <c r="P22396">
        <v>5.5</v>
      </c>
    </row>
    <row r="22397" spans="1:16" x14ac:dyDescent="0.25">
      <c r="A22397" t="s">
        <v>3296</v>
      </c>
      <c r="B22397" t="s">
        <v>2931</v>
      </c>
      <c r="C22397">
        <v>16720</v>
      </c>
      <c r="D22397" t="str">
        <f>"12549020715 "</f>
        <v xml:space="preserve">12549020715 </v>
      </c>
      <c r="E22397" t="s">
        <v>309</v>
      </c>
      <c r="F22397" t="s">
        <v>310</v>
      </c>
      <c r="G22397">
        <v>13.55</v>
      </c>
      <c r="H22397">
        <v>251130</v>
      </c>
      <c r="I22397">
        <v>4369</v>
      </c>
      <c r="J22397" t="s">
        <v>188</v>
      </c>
      <c r="K22397">
        <v>13.55</v>
      </c>
      <c r="L22397">
        <v>2.75</v>
      </c>
      <c r="M22397">
        <v>46555</v>
      </c>
      <c r="N22397" t="s">
        <v>103</v>
      </c>
      <c r="O22397">
        <v>251211</v>
      </c>
      <c r="P22397">
        <v>10.8</v>
      </c>
    </row>
    <row r="22398" spans="1:16" x14ac:dyDescent="0.25">
      <c r="A22398" t="s">
        <v>3296</v>
      </c>
      <c r="B22398" t="s">
        <v>2931</v>
      </c>
      <c r="C22398">
        <v>16721</v>
      </c>
      <c r="D22398" t="str">
        <f>"12549020710 "</f>
        <v xml:space="preserve">12549020710 </v>
      </c>
      <c r="E22398" t="s">
        <v>309</v>
      </c>
      <c r="F22398" t="s">
        <v>310</v>
      </c>
      <c r="G22398">
        <v>4.63</v>
      </c>
      <c r="H22398">
        <v>251130</v>
      </c>
      <c r="I22398">
        <v>4369</v>
      </c>
      <c r="J22398" t="s">
        <v>188</v>
      </c>
      <c r="K22398">
        <v>40.39</v>
      </c>
      <c r="L22398">
        <v>0.94</v>
      </c>
      <c r="M22398">
        <v>48601</v>
      </c>
      <c r="N22398" t="s">
        <v>107</v>
      </c>
      <c r="O22398">
        <v>251211</v>
      </c>
      <c r="P22398">
        <v>3.69</v>
      </c>
    </row>
    <row r="22399" spans="1:16" x14ac:dyDescent="0.25">
      <c r="A22399" t="s">
        <v>3296</v>
      </c>
      <c r="B22399" t="s">
        <v>2931</v>
      </c>
      <c r="C22399">
        <v>16721</v>
      </c>
      <c r="D22399" t="str">
        <f>"12549020710 "</f>
        <v xml:space="preserve">12549020710 </v>
      </c>
      <c r="E22399" t="s">
        <v>309</v>
      </c>
      <c r="F22399" t="s">
        <v>310</v>
      </c>
      <c r="G22399">
        <v>11.67</v>
      </c>
      <c r="H22399">
        <v>251130</v>
      </c>
      <c r="I22399">
        <v>4369</v>
      </c>
      <c r="J22399" t="s">
        <v>188</v>
      </c>
      <c r="K22399">
        <v>40.39</v>
      </c>
      <c r="L22399">
        <v>2.37</v>
      </c>
      <c r="M22399">
        <v>49111</v>
      </c>
      <c r="N22399" t="s">
        <v>108</v>
      </c>
      <c r="O22399">
        <v>251211</v>
      </c>
      <c r="P22399">
        <v>9.3000000000000007</v>
      </c>
    </row>
    <row r="22400" spans="1:16" x14ac:dyDescent="0.25">
      <c r="A22400" t="s">
        <v>3296</v>
      </c>
      <c r="B22400" t="s">
        <v>2931</v>
      </c>
      <c r="C22400">
        <v>16721</v>
      </c>
      <c r="D22400" t="str">
        <f>"12549020710 "</f>
        <v xml:space="preserve">12549020710 </v>
      </c>
      <c r="E22400" t="s">
        <v>309</v>
      </c>
      <c r="F22400" t="s">
        <v>310</v>
      </c>
      <c r="G22400">
        <v>10.19</v>
      </c>
      <c r="H22400">
        <v>251130</v>
      </c>
      <c r="I22400">
        <v>4369</v>
      </c>
      <c r="J22400" t="s">
        <v>188</v>
      </c>
      <c r="K22400">
        <v>40.39</v>
      </c>
      <c r="L22400">
        <v>2.0699999999999998</v>
      </c>
      <c r="M22400">
        <v>49704</v>
      </c>
      <c r="N22400" t="s">
        <v>113</v>
      </c>
      <c r="O22400">
        <v>251211</v>
      </c>
      <c r="P22400">
        <v>8.1199999999999992</v>
      </c>
    </row>
    <row r="22401" spans="1:16" x14ac:dyDescent="0.25">
      <c r="A22401" t="s">
        <v>3296</v>
      </c>
      <c r="B22401" t="s">
        <v>2931</v>
      </c>
      <c r="C22401">
        <v>16721</v>
      </c>
      <c r="D22401" t="str">
        <f>"12549020710 "</f>
        <v xml:space="preserve">12549020710 </v>
      </c>
      <c r="E22401" t="s">
        <v>309</v>
      </c>
      <c r="F22401" t="s">
        <v>310</v>
      </c>
      <c r="G22401">
        <v>13.9</v>
      </c>
      <c r="H22401">
        <v>251130</v>
      </c>
      <c r="I22401">
        <v>4369</v>
      </c>
      <c r="J22401" t="s">
        <v>188</v>
      </c>
      <c r="K22401">
        <v>40.39</v>
      </c>
      <c r="L22401">
        <v>2.82</v>
      </c>
      <c r="M22401">
        <v>49705</v>
      </c>
      <c r="N22401" t="s">
        <v>114</v>
      </c>
      <c r="O22401">
        <v>251211</v>
      </c>
      <c r="P22401">
        <v>11.08</v>
      </c>
    </row>
    <row r="22402" spans="1:16" x14ac:dyDescent="0.25">
      <c r="A22402" t="s">
        <v>3296</v>
      </c>
      <c r="B22402" t="s">
        <v>2931</v>
      </c>
      <c r="C22402">
        <v>16722</v>
      </c>
      <c r="D22402" t="str">
        <f>"12549020709 "</f>
        <v xml:space="preserve">12549020709 </v>
      </c>
      <c r="E22402" t="s">
        <v>309</v>
      </c>
      <c r="F22402" t="s">
        <v>310</v>
      </c>
      <c r="G22402">
        <v>17.71</v>
      </c>
      <c r="H22402">
        <v>251130</v>
      </c>
      <c r="I22402">
        <v>4369</v>
      </c>
      <c r="J22402" t="s">
        <v>188</v>
      </c>
      <c r="K22402">
        <v>28.4</v>
      </c>
      <c r="L22402">
        <v>3.6</v>
      </c>
      <c r="M22402">
        <v>46554</v>
      </c>
      <c r="N22402" t="s">
        <v>102</v>
      </c>
      <c r="O22402">
        <v>251211</v>
      </c>
      <c r="P22402">
        <v>14.11</v>
      </c>
    </row>
    <row r="22403" spans="1:16" x14ac:dyDescent="0.25">
      <c r="A22403" t="s">
        <v>3296</v>
      </c>
      <c r="B22403" t="s">
        <v>2931</v>
      </c>
      <c r="C22403">
        <v>16722</v>
      </c>
      <c r="D22403" t="str">
        <f>"12549020709 "</f>
        <v xml:space="preserve">12549020709 </v>
      </c>
      <c r="E22403" t="s">
        <v>309</v>
      </c>
      <c r="F22403" t="s">
        <v>310</v>
      </c>
      <c r="G22403">
        <v>10.69</v>
      </c>
      <c r="H22403">
        <v>251130</v>
      </c>
      <c r="I22403">
        <v>4369</v>
      </c>
      <c r="J22403" t="s">
        <v>188</v>
      </c>
      <c r="K22403">
        <v>28.4</v>
      </c>
      <c r="L22403">
        <v>2.17</v>
      </c>
      <c r="M22403">
        <v>46554</v>
      </c>
      <c r="N22403" t="s">
        <v>102</v>
      </c>
      <c r="O22403">
        <v>251211</v>
      </c>
      <c r="P22403">
        <v>8.52</v>
      </c>
    </row>
    <row r="22404" spans="1:16" x14ac:dyDescent="0.25">
      <c r="A22404" t="s">
        <v>3296</v>
      </c>
      <c r="B22404" t="s">
        <v>2931</v>
      </c>
      <c r="C22404">
        <v>16723</v>
      </c>
      <c r="D22404" t="str">
        <f t="shared" ref="D22404:D22410" si="503">"12549020717 "</f>
        <v xml:space="preserve">12549020717 </v>
      </c>
      <c r="E22404" t="s">
        <v>309</v>
      </c>
      <c r="F22404" t="s">
        <v>310</v>
      </c>
      <c r="G22404">
        <v>1.76</v>
      </c>
      <c r="H22404">
        <v>251130</v>
      </c>
      <c r="I22404">
        <v>4369</v>
      </c>
      <c r="J22404" t="s">
        <v>188</v>
      </c>
      <c r="K22404">
        <v>13.55</v>
      </c>
      <c r="L22404">
        <v>0.36</v>
      </c>
      <c r="M22404">
        <v>41126</v>
      </c>
      <c r="N22404" t="s">
        <v>94</v>
      </c>
      <c r="O22404">
        <v>251211</v>
      </c>
      <c r="P22404">
        <v>1.4</v>
      </c>
    </row>
    <row r="22405" spans="1:16" x14ac:dyDescent="0.25">
      <c r="A22405" t="s">
        <v>3296</v>
      </c>
      <c r="B22405" t="s">
        <v>2931</v>
      </c>
      <c r="C22405">
        <v>16723</v>
      </c>
      <c r="D22405" t="str">
        <f t="shared" si="503"/>
        <v xml:space="preserve">12549020717 </v>
      </c>
      <c r="E22405" t="s">
        <v>309</v>
      </c>
      <c r="F22405" t="s">
        <v>310</v>
      </c>
      <c r="G22405">
        <v>1.35</v>
      </c>
      <c r="H22405">
        <v>251130</v>
      </c>
      <c r="I22405">
        <v>4369</v>
      </c>
      <c r="J22405" t="s">
        <v>188</v>
      </c>
      <c r="K22405">
        <v>13.55</v>
      </c>
      <c r="L22405">
        <v>0.27</v>
      </c>
      <c r="M22405">
        <v>43222</v>
      </c>
      <c r="N22405" t="s">
        <v>95</v>
      </c>
      <c r="O22405">
        <v>251211</v>
      </c>
      <c r="P22405">
        <v>1.08</v>
      </c>
    </row>
    <row r="22406" spans="1:16" x14ac:dyDescent="0.25">
      <c r="A22406" t="s">
        <v>3296</v>
      </c>
      <c r="B22406" t="s">
        <v>2931</v>
      </c>
      <c r="C22406">
        <v>16723</v>
      </c>
      <c r="D22406" t="str">
        <f t="shared" si="503"/>
        <v xml:space="preserve">12549020717 </v>
      </c>
      <c r="E22406" t="s">
        <v>309</v>
      </c>
      <c r="F22406" t="s">
        <v>310</v>
      </c>
      <c r="G22406">
        <v>1.63</v>
      </c>
      <c r="H22406">
        <v>251130</v>
      </c>
      <c r="I22406">
        <v>4369</v>
      </c>
      <c r="J22406" t="s">
        <v>188</v>
      </c>
      <c r="K22406">
        <v>13.55</v>
      </c>
      <c r="L22406">
        <v>0.33</v>
      </c>
      <c r="M22406">
        <v>44222</v>
      </c>
      <c r="N22406" t="s">
        <v>96</v>
      </c>
      <c r="O22406">
        <v>251211</v>
      </c>
      <c r="P22406">
        <v>1.3</v>
      </c>
    </row>
    <row r="22407" spans="1:16" x14ac:dyDescent="0.25">
      <c r="A22407" t="s">
        <v>3296</v>
      </c>
      <c r="B22407" t="s">
        <v>2931</v>
      </c>
      <c r="C22407">
        <v>16723</v>
      </c>
      <c r="D22407" t="str">
        <f t="shared" si="503"/>
        <v xml:space="preserve">12549020717 </v>
      </c>
      <c r="E22407" t="s">
        <v>309</v>
      </c>
      <c r="F22407" t="s">
        <v>310</v>
      </c>
      <c r="G22407">
        <v>1.76</v>
      </c>
      <c r="H22407">
        <v>251130</v>
      </c>
      <c r="I22407">
        <v>4369</v>
      </c>
      <c r="J22407" t="s">
        <v>188</v>
      </c>
      <c r="K22407">
        <v>13.55</v>
      </c>
      <c r="L22407">
        <v>0.36</v>
      </c>
      <c r="M22407">
        <v>44424</v>
      </c>
      <c r="N22407" t="s">
        <v>99</v>
      </c>
      <c r="O22407">
        <v>251211</v>
      </c>
      <c r="P22407">
        <v>1.4</v>
      </c>
    </row>
    <row r="22408" spans="1:16" x14ac:dyDescent="0.25">
      <c r="A22408" t="s">
        <v>3296</v>
      </c>
      <c r="B22408" t="s">
        <v>2931</v>
      </c>
      <c r="C22408">
        <v>16723</v>
      </c>
      <c r="D22408" t="str">
        <f t="shared" si="503"/>
        <v xml:space="preserve">12549020717 </v>
      </c>
      <c r="E22408" t="s">
        <v>309</v>
      </c>
      <c r="F22408" t="s">
        <v>310</v>
      </c>
      <c r="G22408">
        <v>0.95</v>
      </c>
      <c r="H22408">
        <v>251130</v>
      </c>
      <c r="I22408">
        <v>4369</v>
      </c>
      <c r="J22408" t="s">
        <v>188</v>
      </c>
      <c r="K22408">
        <v>13.55</v>
      </c>
      <c r="L22408">
        <v>0.19</v>
      </c>
      <c r="M22408">
        <v>46222</v>
      </c>
      <c r="N22408" t="s">
        <v>101</v>
      </c>
      <c r="O22408">
        <v>251211</v>
      </c>
      <c r="P22408">
        <v>0.76</v>
      </c>
    </row>
    <row r="22409" spans="1:16" x14ac:dyDescent="0.25">
      <c r="A22409" t="s">
        <v>3296</v>
      </c>
      <c r="B22409" t="s">
        <v>2931</v>
      </c>
      <c r="C22409">
        <v>16723</v>
      </c>
      <c r="D22409" t="str">
        <f t="shared" si="503"/>
        <v xml:space="preserve">12549020717 </v>
      </c>
      <c r="E22409" t="s">
        <v>309</v>
      </c>
      <c r="F22409" t="s">
        <v>310</v>
      </c>
      <c r="G22409">
        <v>5.42</v>
      </c>
      <c r="H22409">
        <v>251130</v>
      </c>
      <c r="I22409">
        <v>4369</v>
      </c>
      <c r="J22409" t="s">
        <v>188</v>
      </c>
      <c r="K22409">
        <v>13.55</v>
      </c>
      <c r="L22409">
        <v>1.1000000000000001</v>
      </c>
      <c r="M22409">
        <v>46559</v>
      </c>
      <c r="N22409" t="s">
        <v>105</v>
      </c>
      <c r="O22409">
        <v>251211</v>
      </c>
      <c r="P22409">
        <v>4.32</v>
      </c>
    </row>
    <row r="22410" spans="1:16" x14ac:dyDescent="0.25">
      <c r="A22410" t="s">
        <v>3296</v>
      </c>
      <c r="B22410" t="s">
        <v>2931</v>
      </c>
      <c r="C22410">
        <v>16723</v>
      </c>
      <c r="D22410" t="str">
        <f t="shared" si="503"/>
        <v xml:space="preserve">12549020717 </v>
      </c>
      <c r="E22410" t="s">
        <v>309</v>
      </c>
      <c r="F22410" t="s">
        <v>310</v>
      </c>
      <c r="G22410">
        <v>0.68</v>
      </c>
      <c r="H22410">
        <v>251130</v>
      </c>
      <c r="I22410">
        <v>4369</v>
      </c>
      <c r="J22410" t="s">
        <v>188</v>
      </c>
      <c r="K22410">
        <v>13.55</v>
      </c>
      <c r="L22410">
        <v>0.14000000000000001</v>
      </c>
      <c r="M22410">
        <v>47522</v>
      </c>
      <c r="N22410" t="s">
        <v>106</v>
      </c>
      <c r="O22410">
        <v>251211</v>
      </c>
      <c r="P22410">
        <v>0.54</v>
      </c>
    </row>
    <row r="22411" spans="1:16" x14ac:dyDescent="0.25">
      <c r="A22411" t="s">
        <v>3296</v>
      </c>
      <c r="B22411" t="s">
        <v>2931</v>
      </c>
      <c r="C22411">
        <v>16724</v>
      </c>
      <c r="D22411" t="str">
        <f>"12549020712 "</f>
        <v xml:space="preserve">12549020712 </v>
      </c>
      <c r="E22411" t="s">
        <v>309</v>
      </c>
      <c r="F22411" t="s">
        <v>310</v>
      </c>
      <c r="G22411">
        <v>6.78</v>
      </c>
      <c r="H22411">
        <v>251130</v>
      </c>
      <c r="I22411">
        <v>4369</v>
      </c>
      <c r="J22411" t="s">
        <v>188</v>
      </c>
      <c r="K22411">
        <v>6.78</v>
      </c>
      <c r="L22411">
        <v>1.38</v>
      </c>
      <c r="M22411">
        <v>46556</v>
      </c>
      <c r="N22411" t="s">
        <v>458</v>
      </c>
      <c r="O22411">
        <v>251211</v>
      </c>
      <c r="P22411">
        <v>5.4</v>
      </c>
    </row>
    <row r="22412" spans="1:16" x14ac:dyDescent="0.25">
      <c r="A22412" t="s">
        <v>3296</v>
      </c>
      <c r="B22412" t="s">
        <v>2931</v>
      </c>
      <c r="C22412">
        <v>16725</v>
      </c>
      <c r="D22412" t="str">
        <f t="shared" ref="D22412:D22417" si="504">"12549020711 "</f>
        <v xml:space="preserve">12549020711 </v>
      </c>
      <c r="E22412" t="s">
        <v>309</v>
      </c>
      <c r="F22412" t="s">
        <v>310</v>
      </c>
      <c r="G22412">
        <v>10.17</v>
      </c>
      <c r="H22412">
        <v>251130</v>
      </c>
      <c r="I22412">
        <v>4369</v>
      </c>
      <c r="J22412" t="s">
        <v>188</v>
      </c>
      <c r="K22412">
        <v>47.65</v>
      </c>
      <c r="L22412">
        <v>2.0699999999999998</v>
      </c>
      <c r="M22412">
        <v>43222</v>
      </c>
      <c r="N22412" t="s">
        <v>95</v>
      </c>
      <c r="O22412">
        <v>251211</v>
      </c>
      <c r="P22412">
        <v>8.1</v>
      </c>
    </row>
    <row r="22413" spans="1:16" x14ac:dyDescent="0.25">
      <c r="A22413" t="s">
        <v>3296</v>
      </c>
      <c r="B22413" t="s">
        <v>2931</v>
      </c>
      <c r="C22413">
        <v>16725</v>
      </c>
      <c r="D22413" t="str">
        <f t="shared" si="504"/>
        <v xml:space="preserve">12549020711 </v>
      </c>
      <c r="E22413" t="s">
        <v>309</v>
      </c>
      <c r="F22413" t="s">
        <v>310</v>
      </c>
      <c r="G22413">
        <v>3.39</v>
      </c>
      <c r="H22413">
        <v>251130</v>
      </c>
      <c r="I22413">
        <v>4369</v>
      </c>
      <c r="J22413" t="s">
        <v>188</v>
      </c>
      <c r="K22413">
        <v>47.65</v>
      </c>
      <c r="L22413">
        <v>0.69</v>
      </c>
      <c r="M22413">
        <v>44422</v>
      </c>
      <c r="N22413" t="s">
        <v>97</v>
      </c>
      <c r="O22413">
        <v>251211</v>
      </c>
      <c r="P22413">
        <v>2.7</v>
      </c>
    </row>
    <row r="22414" spans="1:16" x14ac:dyDescent="0.25">
      <c r="A22414" t="s">
        <v>3296</v>
      </c>
      <c r="B22414" t="s">
        <v>2931</v>
      </c>
      <c r="C22414">
        <v>16725</v>
      </c>
      <c r="D22414" t="str">
        <f t="shared" si="504"/>
        <v xml:space="preserve">12549020711 </v>
      </c>
      <c r="E22414" t="s">
        <v>309</v>
      </c>
      <c r="F22414" t="s">
        <v>310</v>
      </c>
      <c r="G22414">
        <v>6.84</v>
      </c>
      <c r="H22414">
        <v>251130</v>
      </c>
      <c r="I22414">
        <v>4369</v>
      </c>
      <c r="J22414" t="s">
        <v>188</v>
      </c>
      <c r="K22414">
        <v>47.65</v>
      </c>
      <c r="L22414">
        <v>1.39</v>
      </c>
      <c r="M22414">
        <v>44423</v>
      </c>
      <c r="N22414" t="s">
        <v>98</v>
      </c>
      <c r="O22414">
        <v>251211</v>
      </c>
      <c r="P22414">
        <v>5.45</v>
      </c>
    </row>
    <row r="22415" spans="1:16" x14ac:dyDescent="0.25">
      <c r="A22415" t="s">
        <v>3296</v>
      </c>
      <c r="B22415" t="s">
        <v>2931</v>
      </c>
      <c r="C22415">
        <v>16725</v>
      </c>
      <c r="D22415" t="str">
        <f t="shared" si="504"/>
        <v xml:space="preserve">12549020711 </v>
      </c>
      <c r="E22415" t="s">
        <v>309</v>
      </c>
      <c r="F22415" t="s">
        <v>310</v>
      </c>
      <c r="G22415">
        <v>3.39</v>
      </c>
      <c r="H22415">
        <v>251130</v>
      </c>
      <c r="I22415">
        <v>4369</v>
      </c>
      <c r="J22415" t="s">
        <v>188</v>
      </c>
      <c r="K22415">
        <v>47.65</v>
      </c>
      <c r="L22415">
        <v>0.69</v>
      </c>
      <c r="M22415">
        <v>44453</v>
      </c>
      <c r="N22415" t="s">
        <v>100</v>
      </c>
      <c r="O22415">
        <v>251211</v>
      </c>
      <c r="P22415">
        <v>2.7</v>
      </c>
    </row>
    <row r="22416" spans="1:16" x14ac:dyDescent="0.25">
      <c r="A22416" t="s">
        <v>3296</v>
      </c>
      <c r="B22416" t="s">
        <v>2931</v>
      </c>
      <c r="C22416">
        <v>16725</v>
      </c>
      <c r="D22416" t="str">
        <f t="shared" si="504"/>
        <v xml:space="preserve">12549020711 </v>
      </c>
      <c r="E22416" t="s">
        <v>309</v>
      </c>
      <c r="F22416" t="s">
        <v>310</v>
      </c>
      <c r="G22416">
        <v>3.39</v>
      </c>
      <c r="H22416">
        <v>251130</v>
      </c>
      <c r="I22416">
        <v>4369</v>
      </c>
      <c r="J22416" t="s">
        <v>188</v>
      </c>
      <c r="K22416">
        <v>47.65</v>
      </c>
      <c r="L22416">
        <v>0.69</v>
      </c>
      <c r="M22416">
        <v>48601</v>
      </c>
      <c r="N22416" t="s">
        <v>107</v>
      </c>
      <c r="O22416">
        <v>251211</v>
      </c>
      <c r="P22416">
        <v>2.7</v>
      </c>
    </row>
    <row r="22417" spans="1:16" x14ac:dyDescent="0.25">
      <c r="A22417" t="s">
        <v>3296</v>
      </c>
      <c r="B22417" t="s">
        <v>2931</v>
      </c>
      <c r="C22417">
        <v>16725</v>
      </c>
      <c r="D22417" t="str">
        <f t="shared" si="504"/>
        <v xml:space="preserve">12549020711 </v>
      </c>
      <c r="E22417" t="s">
        <v>309</v>
      </c>
      <c r="F22417" t="s">
        <v>310</v>
      </c>
      <c r="G22417">
        <v>20.47</v>
      </c>
      <c r="H22417">
        <v>251130</v>
      </c>
      <c r="I22417">
        <v>4369</v>
      </c>
      <c r="J22417" t="s">
        <v>188</v>
      </c>
      <c r="K22417">
        <v>47.65</v>
      </c>
      <c r="L22417">
        <v>4.16</v>
      </c>
      <c r="M22417">
        <v>49702</v>
      </c>
      <c r="N22417" t="s">
        <v>112</v>
      </c>
      <c r="O22417">
        <v>251211</v>
      </c>
      <c r="P22417">
        <v>16.309999999999999</v>
      </c>
    </row>
    <row r="22418" spans="1:16" x14ac:dyDescent="0.25">
      <c r="A22418" t="s">
        <v>3296</v>
      </c>
      <c r="B22418" t="s">
        <v>2931</v>
      </c>
      <c r="C22418">
        <v>16726</v>
      </c>
      <c r="D22418" t="str">
        <f>"12549020729 "</f>
        <v xml:space="preserve">12549020729 </v>
      </c>
      <c r="E22418" t="s">
        <v>309</v>
      </c>
      <c r="F22418" t="s">
        <v>310</v>
      </c>
      <c r="G22418">
        <v>3.39</v>
      </c>
      <c r="H22418">
        <v>251130</v>
      </c>
      <c r="I22418">
        <v>4369</v>
      </c>
      <c r="J22418" t="s">
        <v>188</v>
      </c>
      <c r="K22418">
        <v>27.17</v>
      </c>
      <c r="L22418">
        <v>0.69</v>
      </c>
      <c r="M22418">
        <v>11101</v>
      </c>
      <c r="N22418" t="s">
        <v>67</v>
      </c>
      <c r="O22418">
        <v>251211</v>
      </c>
      <c r="P22418">
        <v>2.7</v>
      </c>
    </row>
    <row r="22419" spans="1:16" x14ac:dyDescent="0.25">
      <c r="A22419" t="s">
        <v>3296</v>
      </c>
      <c r="B22419" t="s">
        <v>2931</v>
      </c>
      <c r="C22419">
        <v>16726</v>
      </c>
      <c r="D22419" t="str">
        <f>"12549020729 "</f>
        <v xml:space="preserve">12549020729 </v>
      </c>
      <c r="E22419" t="s">
        <v>309</v>
      </c>
      <c r="F22419" t="s">
        <v>310</v>
      </c>
      <c r="G22419">
        <v>17</v>
      </c>
      <c r="H22419">
        <v>251130</v>
      </c>
      <c r="I22419">
        <v>4369</v>
      </c>
      <c r="J22419" t="s">
        <v>188</v>
      </c>
      <c r="K22419">
        <v>27.17</v>
      </c>
      <c r="L22419">
        <v>3.45</v>
      </c>
      <c r="M22419">
        <v>11101</v>
      </c>
      <c r="N22419" t="s">
        <v>67</v>
      </c>
      <c r="O22419">
        <v>251211</v>
      </c>
      <c r="P22419">
        <v>13.55</v>
      </c>
    </row>
    <row r="22420" spans="1:16" x14ac:dyDescent="0.25">
      <c r="A22420" t="s">
        <v>3296</v>
      </c>
      <c r="B22420" t="s">
        <v>2931</v>
      </c>
      <c r="C22420">
        <v>16726</v>
      </c>
      <c r="D22420" t="str">
        <f>"12549020729 "</f>
        <v xml:space="preserve">12549020729 </v>
      </c>
      <c r="E22420" t="s">
        <v>309</v>
      </c>
      <c r="F22420" t="s">
        <v>310</v>
      </c>
      <c r="G22420">
        <v>3.39</v>
      </c>
      <c r="H22420">
        <v>251130</v>
      </c>
      <c r="I22420">
        <v>4369</v>
      </c>
      <c r="J22420" t="s">
        <v>188</v>
      </c>
      <c r="K22420">
        <v>27.17</v>
      </c>
      <c r="L22420">
        <v>0.69</v>
      </c>
      <c r="M22420">
        <v>11201</v>
      </c>
      <c r="N22420" t="s">
        <v>35</v>
      </c>
      <c r="O22420">
        <v>251211</v>
      </c>
      <c r="P22420">
        <v>2.7</v>
      </c>
    </row>
    <row r="22421" spans="1:16" x14ac:dyDescent="0.25">
      <c r="A22421" t="s">
        <v>3296</v>
      </c>
      <c r="B22421" t="s">
        <v>2931</v>
      </c>
      <c r="C22421">
        <v>16726</v>
      </c>
      <c r="D22421" t="str">
        <f>"12549020729 "</f>
        <v xml:space="preserve">12549020729 </v>
      </c>
      <c r="E22421" t="s">
        <v>309</v>
      </c>
      <c r="F22421" t="s">
        <v>310</v>
      </c>
      <c r="G22421">
        <v>3.39</v>
      </c>
      <c r="H22421">
        <v>251130</v>
      </c>
      <c r="I22421">
        <v>4369</v>
      </c>
      <c r="J22421" t="s">
        <v>188</v>
      </c>
      <c r="K22421">
        <v>27.17</v>
      </c>
      <c r="L22421">
        <v>0.69</v>
      </c>
      <c r="M22421">
        <v>11701</v>
      </c>
      <c r="N22421" t="s">
        <v>973</v>
      </c>
      <c r="O22421">
        <v>251211</v>
      </c>
      <c r="P22421">
        <v>2.7</v>
      </c>
    </row>
    <row r="22422" spans="1:16" x14ac:dyDescent="0.25">
      <c r="A22422" t="s">
        <v>3296</v>
      </c>
      <c r="B22422" t="s">
        <v>2931</v>
      </c>
      <c r="C22422">
        <v>16727</v>
      </c>
      <c r="D22422" t="str">
        <f>"12549020704 "</f>
        <v xml:space="preserve">12549020704 </v>
      </c>
      <c r="E22422" t="s">
        <v>309</v>
      </c>
      <c r="F22422" t="s">
        <v>310</v>
      </c>
      <c r="G22422">
        <v>37.11</v>
      </c>
      <c r="H22422">
        <v>251130</v>
      </c>
      <c r="I22422">
        <v>4369</v>
      </c>
      <c r="J22422" t="s">
        <v>188</v>
      </c>
      <c r="K22422">
        <v>44.34</v>
      </c>
      <c r="L22422">
        <v>7.54</v>
      </c>
      <c r="M22422">
        <v>13901</v>
      </c>
      <c r="N22422" t="s">
        <v>116</v>
      </c>
      <c r="O22422">
        <v>251211</v>
      </c>
      <c r="P22422">
        <v>29.57</v>
      </c>
    </row>
    <row r="22423" spans="1:16" x14ac:dyDescent="0.25">
      <c r="A22423" t="s">
        <v>3296</v>
      </c>
      <c r="B22423" t="s">
        <v>2931</v>
      </c>
      <c r="C22423">
        <v>16727</v>
      </c>
      <c r="D22423" t="str">
        <f>"12549020704 "</f>
        <v xml:space="preserve">12549020704 </v>
      </c>
      <c r="E22423" t="s">
        <v>309</v>
      </c>
      <c r="F22423" t="s">
        <v>310</v>
      </c>
      <c r="G22423">
        <v>7.23</v>
      </c>
      <c r="H22423">
        <v>251130</v>
      </c>
      <c r="I22423">
        <v>4369</v>
      </c>
      <c r="J22423" t="s">
        <v>188</v>
      </c>
      <c r="K22423">
        <v>44.34</v>
      </c>
      <c r="L22423">
        <v>1.47</v>
      </c>
      <c r="M22423">
        <v>13940</v>
      </c>
      <c r="N22423" t="s">
        <v>14</v>
      </c>
      <c r="O22423">
        <v>251211</v>
      </c>
      <c r="P22423">
        <v>5.76</v>
      </c>
    </row>
    <row r="22424" spans="1:16" x14ac:dyDescent="0.25">
      <c r="A22424" t="s">
        <v>3296</v>
      </c>
      <c r="B22424" t="s">
        <v>2931</v>
      </c>
      <c r="C22424">
        <v>16728</v>
      </c>
      <c r="D22424" t="str">
        <f t="shared" ref="D22424:D22431" si="505">"12549020696 "</f>
        <v xml:space="preserve">12549020696 </v>
      </c>
      <c r="E22424" t="s">
        <v>309</v>
      </c>
      <c r="F22424" t="s">
        <v>310</v>
      </c>
      <c r="G22424">
        <v>6.59</v>
      </c>
      <c r="H22424">
        <v>251130</v>
      </c>
      <c r="I22424">
        <v>4369</v>
      </c>
      <c r="J22424" t="s">
        <v>188</v>
      </c>
      <c r="K22424">
        <v>105.63</v>
      </c>
      <c r="L22424">
        <v>1.34</v>
      </c>
      <c r="M22424">
        <v>14971</v>
      </c>
      <c r="N22424" t="s">
        <v>81</v>
      </c>
      <c r="O22424">
        <v>251211</v>
      </c>
      <c r="P22424">
        <v>5.25</v>
      </c>
    </row>
    <row r="22425" spans="1:16" x14ac:dyDescent="0.25">
      <c r="A22425" t="s">
        <v>3296</v>
      </c>
      <c r="B22425" t="s">
        <v>2931</v>
      </c>
      <c r="C22425">
        <v>16728</v>
      </c>
      <c r="D22425" t="str">
        <f t="shared" si="505"/>
        <v xml:space="preserve">12549020696 </v>
      </c>
      <c r="E22425" t="s">
        <v>309</v>
      </c>
      <c r="F22425" t="s">
        <v>310</v>
      </c>
      <c r="G22425">
        <v>6.59</v>
      </c>
      <c r="H22425">
        <v>251130</v>
      </c>
      <c r="I22425">
        <v>4369</v>
      </c>
      <c r="J22425" t="s">
        <v>188</v>
      </c>
      <c r="K22425">
        <v>105.63</v>
      </c>
      <c r="L22425">
        <v>1.34</v>
      </c>
      <c r="M22425">
        <v>17972</v>
      </c>
      <c r="N22425" t="s">
        <v>28</v>
      </c>
      <c r="O22425">
        <v>251211</v>
      </c>
      <c r="P22425">
        <v>5.25</v>
      </c>
    </row>
    <row r="22426" spans="1:16" x14ac:dyDescent="0.25">
      <c r="A22426" t="s">
        <v>3296</v>
      </c>
      <c r="B22426" t="s">
        <v>2931</v>
      </c>
      <c r="C22426">
        <v>16728</v>
      </c>
      <c r="D22426" t="str">
        <f t="shared" si="505"/>
        <v xml:space="preserve">12549020696 </v>
      </c>
      <c r="E22426" t="s">
        <v>309</v>
      </c>
      <c r="F22426" t="s">
        <v>310</v>
      </c>
      <c r="G22426">
        <v>37.729999999999997</v>
      </c>
      <c r="H22426">
        <v>251130</v>
      </c>
      <c r="I22426">
        <v>4369</v>
      </c>
      <c r="J22426" t="s">
        <v>188</v>
      </c>
      <c r="K22426">
        <v>105.63</v>
      </c>
      <c r="L22426">
        <v>7.67</v>
      </c>
      <c r="M22426">
        <v>18010</v>
      </c>
      <c r="N22426" t="s">
        <v>36</v>
      </c>
      <c r="O22426">
        <v>251211</v>
      </c>
      <c r="P22426">
        <v>30.06</v>
      </c>
    </row>
    <row r="22427" spans="1:16" x14ac:dyDescent="0.25">
      <c r="A22427" t="s">
        <v>3296</v>
      </c>
      <c r="B22427" t="s">
        <v>2931</v>
      </c>
      <c r="C22427">
        <v>16728</v>
      </c>
      <c r="D22427" t="str">
        <f t="shared" si="505"/>
        <v xml:space="preserve">12549020696 </v>
      </c>
      <c r="E22427" t="s">
        <v>309</v>
      </c>
      <c r="F22427" t="s">
        <v>310</v>
      </c>
      <c r="G22427">
        <v>3.39</v>
      </c>
      <c r="H22427">
        <v>251130</v>
      </c>
      <c r="I22427">
        <v>4369</v>
      </c>
      <c r="J22427" t="s">
        <v>188</v>
      </c>
      <c r="K22427">
        <v>105.63</v>
      </c>
      <c r="L22427">
        <v>0.69</v>
      </c>
      <c r="M22427">
        <v>18120</v>
      </c>
      <c r="N22427" t="s">
        <v>37</v>
      </c>
      <c r="O22427">
        <v>251211</v>
      </c>
      <c r="P22427">
        <v>2.7</v>
      </c>
    </row>
    <row r="22428" spans="1:16" x14ac:dyDescent="0.25">
      <c r="A22428" t="s">
        <v>3296</v>
      </c>
      <c r="B22428" t="s">
        <v>2931</v>
      </c>
      <c r="C22428">
        <v>16728</v>
      </c>
      <c r="D22428" t="str">
        <f t="shared" si="505"/>
        <v xml:space="preserve">12549020696 </v>
      </c>
      <c r="E22428" t="s">
        <v>309</v>
      </c>
      <c r="F22428" t="s">
        <v>310</v>
      </c>
      <c r="G22428">
        <v>6.4</v>
      </c>
      <c r="H22428">
        <v>251130</v>
      </c>
      <c r="I22428">
        <v>4369</v>
      </c>
      <c r="J22428" t="s">
        <v>188</v>
      </c>
      <c r="K22428">
        <v>105.63</v>
      </c>
      <c r="L22428">
        <v>1.3</v>
      </c>
      <c r="M22428">
        <v>18971</v>
      </c>
      <c r="N22428" t="s">
        <v>38</v>
      </c>
      <c r="O22428">
        <v>251211</v>
      </c>
      <c r="P22428">
        <v>5.0999999999999996</v>
      </c>
    </row>
    <row r="22429" spans="1:16" x14ac:dyDescent="0.25">
      <c r="A22429" t="s">
        <v>3296</v>
      </c>
      <c r="B22429" t="s">
        <v>2931</v>
      </c>
      <c r="C22429">
        <v>16728</v>
      </c>
      <c r="D22429" t="str">
        <f t="shared" si="505"/>
        <v xml:space="preserve">12549020696 </v>
      </c>
      <c r="E22429" t="s">
        <v>309</v>
      </c>
      <c r="F22429" t="s">
        <v>310</v>
      </c>
      <c r="G22429">
        <v>34.94</v>
      </c>
      <c r="H22429">
        <v>251130</v>
      </c>
      <c r="I22429">
        <v>4369</v>
      </c>
      <c r="J22429" t="s">
        <v>188</v>
      </c>
      <c r="K22429">
        <v>105.63</v>
      </c>
      <c r="L22429">
        <v>7.1</v>
      </c>
      <c r="M22429">
        <v>18972</v>
      </c>
      <c r="N22429" t="s">
        <v>39</v>
      </c>
      <c r="O22429">
        <v>251211</v>
      </c>
      <c r="P22429">
        <v>27.84</v>
      </c>
    </row>
    <row r="22430" spans="1:16" x14ac:dyDescent="0.25">
      <c r="A22430" t="s">
        <v>3296</v>
      </c>
      <c r="B22430" t="s">
        <v>2931</v>
      </c>
      <c r="C22430">
        <v>16728</v>
      </c>
      <c r="D22430" t="str">
        <f t="shared" si="505"/>
        <v xml:space="preserve">12549020696 </v>
      </c>
      <c r="E22430" t="s">
        <v>309</v>
      </c>
      <c r="F22430" t="s">
        <v>310</v>
      </c>
      <c r="G22430">
        <v>3.39</v>
      </c>
      <c r="H22430">
        <v>251130</v>
      </c>
      <c r="I22430">
        <v>4369</v>
      </c>
      <c r="J22430" t="s">
        <v>188</v>
      </c>
      <c r="K22430">
        <v>105.63</v>
      </c>
      <c r="L22430">
        <v>0.69</v>
      </c>
      <c r="M22430">
        <v>49702</v>
      </c>
      <c r="N22430" t="s">
        <v>112</v>
      </c>
      <c r="O22430">
        <v>251211</v>
      </c>
      <c r="P22430">
        <v>2.7</v>
      </c>
    </row>
    <row r="22431" spans="1:16" x14ac:dyDescent="0.25">
      <c r="A22431" t="s">
        <v>3296</v>
      </c>
      <c r="B22431" t="s">
        <v>2931</v>
      </c>
      <c r="C22431">
        <v>16728</v>
      </c>
      <c r="D22431" t="str">
        <f t="shared" si="505"/>
        <v xml:space="preserve">12549020696 </v>
      </c>
      <c r="E22431" t="s">
        <v>309</v>
      </c>
      <c r="F22431" t="s">
        <v>310</v>
      </c>
      <c r="G22431">
        <v>6.6</v>
      </c>
      <c r="H22431">
        <v>251130</v>
      </c>
      <c r="I22431">
        <v>4369</v>
      </c>
      <c r="J22431" t="s">
        <v>188</v>
      </c>
      <c r="K22431">
        <v>105.63</v>
      </c>
      <c r="L22431">
        <v>1.34</v>
      </c>
      <c r="M22431">
        <v>59702</v>
      </c>
      <c r="N22431" t="s">
        <v>45</v>
      </c>
      <c r="O22431">
        <v>251211</v>
      </c>
      <c r="P22431">
        <v>5.26</v>
      </c>
    </row>
    <row r="22432" spans="1:16" x14ac:dyDescent="0.25">
      <c r="A22432" t="s">
        <v>3296</v>
      </c>
      <c r="B22432" t="s">
        <v>2931</v>
      </c>
      <c r="C22432">
        <v>16729</v>
      </c>
      <c r="D22432" t="str">
        <f>"12549020706 "</f>
        <v xml:space="preserve">12549020706 </v>
      </c>
      <c r="E22432" t="s">
        <v>309</v>
      </c>
      <c r="F22432" t="s">
        <v>310</v>
      </c>
      <c r="G22432">
        <v>25.98</v>
      </c>
      <c r="H22432">
        <v>251130</v>
      </c>
      <c r="I22432">
        <v>4369</v>
      </c>
      <c r="J22432" t="s">
        <v>188</v>
      </c>
      <c r="K22432">
        <v>49.61</v>
      </c>
      <c r="L22432">
        <v>5.28</v>
      </c>
      <c r="M22432">
        <v>41126</v>
      </c>
      <c r="N22432" t="s">
        <v>94</v>
      </c>
      <c r="O22432">
        <v>251211</v>
      </c>
      <c r="P22432">
        <v>20.7</v>
      </c>
    </row>
    <row r="22433" spans="1:16" x14ac:dyDescent="0.25">
      <c r="A22433" t="s">
        <v>3296</v>
      </c>
      <c r="B22433" t="s">
        <v>2931</v>
      </c>
      <c r="C22433">
        <v>16729</v>
      </c>
      <c r="D22433" t="str">
        <f>"12549020706 "</f>
        <v xml:space="preserve">12549020706 </v>
      </c>
      <c r="E22433" t="s">
        <v>309</v>
      </c>
      <c r="F22433" t="s">
        <v>310</v>
      </c>
      <c r="G22433">
        <v>6.78</v>
      </c>
      <c r="H22433">
        <v>251130</v>
      </c>
      <c r="I22433">
        <v>4369</v>
      </c>
      <c r="J22433" t="s">
        <v>188</v>
      </c>
      <c r="K22433">
        <v>49.61</v>
      </c>
      <c r="L22433">
        <v>1.38</v>
      </c>
      <c r="M22433">
        <v>41127</v>
      </c>
      <c r="N22433" t="s">
        <v>2273</v>
      </c>
      <c r="O22433">
        <v>251211</v>
      </c>
      <c r="P22433">
        <v>5.4</v>
      </c>
    </row>
    <row r="22434" spans="1:16" x14ac:dyDescent="0.25">
      <c r="A22434" t="s">
        <v>3296</v>
      </c>
      <c r="B22434" t="s">
        <v>2931</v>
      </c>
      <c r="C22434">
        <v>16729</v>
      </c>
      <c r="D22434" t="str">
        <f>"12549020706 "</f>
        <v xml:space="preserve">12549020706 </v>
      </c>
      <c r="E22434" t="s">
        <v>309</v>
      </c>
      <c r="F22434" t="s">
        <v>310</v>
      </c>
      <c r="G22434">
        <v>16.850000000000001</v>
      </c>
      <c r="H22434">
        <v>251130</v>
      </c>
      <c r="I22434">
        <v>4369</v>
      </c>
      <c r="J22434" t="s">
        <v>188</v>
      </c>
      <c r="K22434">
        <v>49.61</v>
      </c>
      <c r="L22434">
        <v>3.42</v>
      </c>
      <c r="M22434">
        <v>46222</v>
      </c>
      <c r="N22434" t="s">
        <v>101</v>
      </c>
      <c r="O22434">
        <v>251211</v>
      </c>
      <c r="P22434">
        <v>13.43</v>
      </c>
    </row>
    <row r="22435" spans="1:16" x14ac:dyDescent="0.25">
      <c r="A22435" t="s">
        <v>3296</v>
      </c>
      <c r="B22435" t="s">
        <v>2931</v>
      </c>
      <c r="C22435">
        <v>16730</v>
      </c>
      <c r="D22435" t="str">
        <f>"12549020730 "</f>
        <v xml:space="preserve">12549020730 </v>
      </c>
      <c r="E22435" t="s">
        <v>309</v>
      </c>
      <c r="F22435" t="s">
        <v>310</v>
      </c>
      <c r="G22435">
        <v>6.81</v>
      </c>
      <c r="H22435">
        <v>251130</v>
      </c>
      <c r="I22435">
        <v>4369</v>
      </c>
      <c r="J22435" t="s">
        <v>188</v>
      </c>
      <c r="K22435">
        <v>6.81</v>
      </c>
      <c r="L22435">
        <v>1.38</v>
      </c>
      <c r="M22435">
        <v>46557</v>
      </c>
      <c r="N22435" t="s">
        <v>104</v>
      </c>
      <c r="O22435">
        <v>251211</v>
      </c>
      <c r="P22435">
        <v>5.43</v>
      </c>
    </row>
    <row r="22436" spans="1:16" x14ac:dyDescent="0.25">
      <c r="A22436" t="s">
        <v>3296</v>
      </c>
      <c r="B22436" t="s">
        <v>2931</v>
      </c>
      <c r="C22436">
        <v>16731</v>
      </c>
      <c r="D22436" t="str">
        <f t="shared" ref="D22436:D22444" si="506">"12549020694 "</f>
        <v xml:space="preserve">12549020694 </v>
      </c>
      <c r="E22436" t="s">
        <v>309</v>
      </c>
      <c r="F22436" t="s">
        <v>310</v>
      </c>
      <c r="G22436">
        <v>6.4</v>
      </c>
      <c r="H22436">
        <v>251130</v>
      </c>
      <c r="I22436">
        <v>4369</v>
      </c>
      <c r="J22436" t="s">
        <v>188</v>
      </c>
      <c r="K22436">
        <v>67.23</v>
      </c>
      <c r="L22436">
        <v>1.3</v>
      </c>
      <c r="M22436">
        <v>10002</v>
      </c>
      <c r="N22436" t="s">
        <v>513</v>
      </c>
      <c r="O22436">
        <v>251211</v>
      </c>
      <c r="P22436">
        <v>5.0999999999999996</v>
      </c>
    </row>
    <row r="22437" spans="1:16" x14ac:dyDescent="0.25">
      <c r="A22437" t="s">
        <v>3296</v>
      </c>
      <c r="B22437" t="s">
        <v>2931</v>
      </c>
      <c r="C22437">
        <v>16731</v>
      </c>
      <c r="D22437" t="str">
        <f t="shared" si="506"/>
        <v xml:space="preserve">12549020694 </v>
      </c>
      <c r="E22437" t="s">
        <v>309</v>
      </c>
      <c r="F22437" t="s">
        <v>310</v>
      </c>
      <c r="G22437">
        <v>6.4</v>
      </c>
      <c r="H22437">
        <v>251130</v>
      </c>
      <c r="I22437">
        <v>4369</v>
      </c>
      <c r="J22437" t="s">
        <v>188</v>
      </c>
      <c r="K22437">
        <v>67.23</v>
      </c>
      <c r="L22437">
        <v>1.3</v>
      </c>
      <c r="M22437">
        <v>11001</v>
      </c>
      <c r="N22437" t="s">
        <v>93</v>
      </c>
      <c r="O22437">
        <v>251211</v>
      </c>
      <c r="P22437">
        <v>5.0999999999999996</v>
      </c>
    </row>
    <row r="22438" spans="1:16" x14ac:dyDescent="0.25">
      <c r="A22438" t="s">
        <v>3296</v>
      </c>
      <c r="B22438" t="s">
        <v>2931</v>
      </c>
      <c r="C22438">
        <v>16731</v>
      </c>
      <c r="D22438" t="str">
        <f t="shared" si="506"/>
        <v xml:space="preserve">12549020694 </v>
      </c>
      <c r="E22438" t="s">
        <v>309</v>
      </c>
      <c r="F22438" t="s">
        <v>310</v>
      </c>
      <c r="G22438">
        <v>6.59</v>
      </c>
      <c r="H22438">
        <v>251130</v>
      </c>
      <c r="I22438">
        <v>4369</v>
      </c>
      <c r="J22438" t="s">
        <v>188</v>
      </c>
      <c r="K22438">
        <v>67.23</v>
      </c>
      <c r="L22438">
        <v>1.34</v>
      </c>
      <c r="M22438">
        <v>11001</v>
      </c>
      <c r="N22438" t="s">
        <v>93</v>
      </c>
      <c r="O22438">
        <v>251211</v>
      </c>
      <c r="P22438">
        <v>5.25</v>
      </c>
    </row>
    <row r="22439" spans="1:16" x14ac:dyDescent="0.25">
      <c r="A22439" t="s">
        <v>3296</v>
      </c>
      <c r="B22439" t="s">
        <v>2931</v>
      </c>
      <c r="C22439">
        <v>16731</v>
      </c>
      <c r="D22439" t="str">
        <f t="shared" si="506"/>
        <v xml:space="preserve">12549020694 </v>
      </c>
      <c r="E22439" t="s">
        <v>309</v>
      </c>
      <c r="F22439" t="s">
        <v>310</v>
      </c>
      <c r="G22439">
        <v>10.17</v>
      </c>
      <c r="H22439">
        <v>251130</v>
      </c>
      <c r="I22439">
        <v>4369</v>
      </c>
      <c r="J22439" t="s">
        <v>188</v>
      </c>
      <c r="K22439">
        <v>67.23</v>
      </c>
      <c r="L22439">
        <v>2.0699999999999998</v>
      </c>
      <c r="M22439">
        <v>11301</v>
      </c>
      <c r="N22439" t="s">
        <v>92</v>
      </c>
      <c r="O22439">
        <v>251211</v>
      </c>
      <c r="P22439">
        <v>8.1</v>
      </c>
    </row>
    <row r="22440" spans="1:16" x14ac:dyDescent="0.25">
      <c r="A22440" t="s">
        <v>3296</v>
      </c>
      <c r="B22440" t="s">
        <v>2931</v>
      </c>
      <c r="C22440">
        <v>16731</v>
      </c>
      <c r="D22440" t="str">
        <f t="shared" si="506"/>
        <v xml:space="preserve">12549020694 </v>
      </c>
      <c r="E22440" t="s">
        <v>309</v>
      </c>
      <c r="F22440" t="s">
        <v>310</v>
      </c>
      <c r="G22440">
        <v>0.99</v>
      </c>
      <c r="H22440">
        <v>251130</v>
      </c>
      <c r="I22440">
        <v>4369</v>
      </c>
      <c r="J22440" t="s">
        <v>188</v>
      </c>
      <c r="K22440">
        <v>67.23</v>
      </c>
      <c r="L22440">
        <v>0</v>
      </c>
      <c r="M22440">
        <v>11401</v>
      </c>
      <c r="N22440" t="s">
        <v>91</v>
      </c>
      <c r="O22440">
        <v>251211</v>
      </c>
      <c r="P22440">
        <v>0.99</v>
      </c>
    </row>
    <row r="22441" spans="1:16" x14ac:dyDescent="0.25">
      <c r="A22441" t="s">
        <v>3296</v>
      </c>
      <c r="B22441" t="s">
        <v>2931</v>
      </c>
      <c r="C22441">
        <v>16731</v>
      </c>
      <c r="D22441" t="str">
        <f t="shared" si="506"/>
        <v xml:space="preserve">12549020694 </v>
      </c>
      <c r="E22441" t="s">
        <v>309</v>
      </c>
      <c r="F22441" t="s">
        <v>310</v>
      </c>
      <c r="G22441">
        <v>2.7</v>
      </c>
      <c r="H22441">
        <v>251130</v>
      </c>
      <c r="I22441">
        <v>4369</v>
      </c>
      <c r="J22441" t="s">
        <v>188</v>
      </c>
      <c r="K22441">
        <v>67.23</v>
      </c>
      <c r="L22441">
        <v>0</v>
      </c>
      <c r="M22441">
        <v>11401</v>
      </c>
      <c r="N22441" t="s">
        <v>91</v>
      </c>
      <c r="O22441">
        <v>251211</v>
      </c>
      <c r="P22441">
        <v>2.7</v>
      </c>
    </row>
    <row r="22442" spans="1:16" x14ac:dyDescent="0.25">
      <c r="A22442" t="s">
        <v>3296</v>
      </c>
      <c r="B22442" t="s">
        <v>2931</v>
      </c>
      <c r="C22442">
        <v>16731</v>
      </c>
      <c r="D22442" t="str">
        <f t="shared" si="506"/>
        <v xml:space="preserve">12549020694 </v>
      </c>
      <c r="E22442" t="s">
        <v>309</v>
      </c>
      <c r="F22442" t="s">
        <v>310</v>
      </c>
      <c r="G22442">
        <v>7.8</v>
      </c>
      <c r="H22442">
        <v>251130</v>
      </c>
      <c r="I22442">
        <v>4369</v>
      </c>
      <c r="J22442" t="s">
        <v>188</v>
      </c>
      <c r="K22442">
        <v>67.23</v>
      </c>
      <c r="L22442">
        <v>1.58</v>
      </c>
      <c r="M22442">
        <v>11401</v>
      </c>
      <c r="N22442" t="s">
        <v>91</v>
      </c>
      <c r="O22442">
        <v>251211</v>
      </c>
      <c r="P22442">
        <v>6.22</v>
      </c>
    </row>
    <row r="22443" spans="1:16" x14ac:dyDescent="0.25">
      <c r="A22443" t="s">
        <v>3296</v>
      </c>
      <c r="B22443" t="s">
        <v>2931</v>
      </c>
      <c r="C22443">
        <v>16731</v>
      </c>
      <c r="D22443" t="str">
        <f t="shared" si="506"/>
        <v xml:space="preserve">12549020694 </v>
      </c>
      <c r="E22443" t="s">
        <v>309</v>
      </c>
      <c r="F22443" t="s">
        <v>310</v>
      </c>
      <c r="G22443">
        <v>3.55</v>
      </c>
      <c r="H22443">
        <v>251130</v>
      </c>
      <c r="I22443">
        <v>4369</v>
      </c>
      <c r="J22443" t="s">
        <v>188</v>
      </c>
      <c r="K22443">
        <v>67.23</v>
      </c>
      <c r="L22443">
        <v>0.72</v>
      </c>
      <c r="M22443">
        <v>11501</v>
      </c>
      <c r="N22443" t="s">
        <v>13</v>
      </c>
      <c r="O22443">
        <v>251211</v>
      </c>
      <c r="P22443">
        <v>2.83</v>
      </c>
    </row>
    <row r="22444" spans="1:16" x14ac:dyDescent="0.25">
      <c r="A22444" t="s">
        <v>3296</v>
      </c>
      <c r="B22444" t="s">
        <v>2931</v>
      </c>
      <c r="C22444">
        <v>16731</v>
      </c>
      <c r="D22444" t="str">
        <f t="shared" si="506"/>
        <v xml:space="preserve">12549020694 </v>
      </c>
      <c r="E22444" t="s">
        <v>309</v>
      </c>
      <c r="F22444" t="s">
        <v>310</v>
      </c>
      <c r="G22444">
        <v>22.63</v>
      </c>
      <c r="H22444">
        <v>251130</v>
      </c>
      <c r="I22444">
        <v>4369</v>
      </c>
      <c r="J22444" t="s">
        <v>188</v>
      </c>
      <c r="K22444">
        <v>67.23</v>
      </c>
      <c r="L22444">
        <v>4.5999999999999996</v>
      </c>
      <c r="M22444">
        <v>18972</v>
      </c>
      <c r="N22444" t="s">
        <v>39</v>
      </c>
      <c r="O22444">
        <v>251211</v>
      </c>
      <c r="P22444">
        <v>18.03</v>
      </c>
    </row>
    <row r="22445" spans="1:16" x14ac:dyDescent="0.25">
      <c r="A22445" t="s">
        <v>3296</v>
      </c>
      <c r="B22445" t="s">
        <v>2931</v>
      </c>
      <c r="C22445">
        <v>16732</v>
      </c>
      <c r="D22445" t="str">
        <f>"12549020705 "</f>
        <v xml:space="preserve">12549020705 </v>
      </c>
      <c r="E22445" t="s">
        <v>309</v>
      </c>
      <c r="F22445" t="s">
        <v>310</v>
      </c>
      <c r="G22445">
        <v>30.63</v>
      </c>
      <c r="H22445">
        <v>251130</v>
      </c>
      <c r="I22445">
        <v>4369</v>
      </c>
      <c r="J22445" t="s">
        <v>188</v>
      </c>
      <c r="K22445">
        <v>30.63</v>
      </c>
      <c r="L22445">
        <v>6.22</v>
      </c>
      <c r="M22445">
        <v>49501</v>
      </c>
      <c r="N22445" t="s">
        <v>110</v>
      </c>
      <c r="O22445">
        <v>251211</v>
      </c>
      <c r="P22445">
        <v>24.41</v>
      </c>
    </row>
    <row r="22446" spans="1:16" x14ac:dyDescent="0.25">
      <c r="A22446" t="s">
        <v>3296</v>
      </c>
      <c r="B22446" t="s">
        <v>2931</v>
      </c>
      <c r="C22446">
        <v>16734</v>
      </c>
      <c r="D22446" t="str">
        <f t="shared" ref="D22446:D22455" si="507">"12549020722 "</f>
        <v xml:space="preserve">12549020722 </v>
      </c>
      <c r="E22446" t="s">
        <v>309</v>
      </c>
      <c r="F22446" t="s">
        <v>310</v>
      </c>
      <c r="G22446">
        <v>20.38</v>
      </c>
      <c r="H22446">
        <v>251130</v>
      </c>
      <c r="I22446">
        <v>4369</v>
      </c>
      <c r="J22446" t="s">
        <v>188</v>
      </c>
      <c r="K22446">
        <v>58.43</v>
      </c>
      <c r="L22446">
        <v>4.1399999999999997</v>
      </c>
      <c r="M22446">
        <v>16121</v>
      </c>
      <c r="N22446" t="s">
        <v>127</v>
      </c>
      <c r="O22446">
        <v>251211</v>
      </c>
      <c r="P22446">
        <v>16.239999999999998</v>
      </c>
    </row>
    <row r="22447" spans="1:16" x14ac:dyDescent="0.25">
      <c r="A22447" t="s">
        <v>3296</v>
      </c>
      <c r="B22447" t="s">
        <v>2931</v>
      </c>
      <c r="C22447">
        <v>16734</v>
      </c>
      <c r="D22447" t="str">
        <f t="shared" si="507"/>
        <v xml:space="preserve">12549020722 </v>
      </c>
      <c r="E22447" t="s">
        <v>309</v>
      </c>
      <c r="F22447" t="s">
        <v>310</v>
      </c>
      <c r="G22447">
        <v>6.78</v>
      </c>
      <c r="H22447">
        <v>251130</v>
      </c>
      <c r="I22447">
        <v>4369</v>
      </c>
      <c r="J22447" t="s">
        <v>188</v>
      </c>
      <c r="K22447">
        <v>58.43</v>
      </c>
      <c r="L22447">
        <v>1.38</v>
      </c>
      <c r="M22447">
        <v>16322</v>
      </c>
      <c r="N22447" t="s">
        <v>331</v>
      </c>
      <c r="O22447">
        <v>251211</v>
      </c>
      <c r="P22447">
        <v>5.4</v>
      </c>
    </row>
    <row r="22448" spans="1:16" x14ac:dyDescent="0.25">
      <c r="A22448" t="s">
        <v>3296</v>
      </c>
      <c r="B22448" t="s">
        <v>2931</v>
      </c>
      <c r="C22448">
        <v>16734</v>
      </c>
      <c r="D22448" t="str">
        <f t="shared" si="507"/>
        <v xml:space="preserve">12549020722 </v>
      </c>
      <c r="E22448" t="s">
        <v>309</v>
      </c>
      <c r="F22448" t="s">
        <v>310</v>
      </c>
      <c r="G22448">
        <v>3.39</v>
      </c>
      <c r="H22448">
        <v>251130</v>
      </c>
      <c r="I22448">
        <v>4369</v>
      </c>
      <c r="J22448" t="s">
        <v>188</v>
      </c>
      <c r="K22448">
        <v>58.43</v>
      </c>
      <c r="L22448">
        <v>0.69</v>
      </c>
      <c r="M22448">
        <v>16820</v>
      </c>
      <c r="N22448" t="s">
        <v>128</v>
      </c>
      <c r="O22448">
        <v>251211</v>
      </c>
      <c r="P22448">
        <v>2.7</v>
      </c>
    </row>
    <row r="22449" spans="1:16" x14ac:dyDescent="0.25">
      <c r="A22449" t="s">
        <v>3296</v>
      </c>
      <c r="B22449" t="s">
        <v>2931</v>
      </c>
      <c r="C22449">
        <v>16734</v>
      </c>
      <c r="D22449" t="str">
        <f t="shared" si="507"/>
        <v xml:space="preserve">12549020722 </v>
      </c>
      <c r="E22449" t="s">
        <v>309</v>
      </c>
      <c r="F22449" t="s">
        <v>310</v>
      </c>
      <c r="G22449">
        <v>7.74</v>
      </c>
      <c r="H22449">
        <v>251130</v>
      </c>
      <c r="I22449">
        <v>4369</v>
      </c>
      <c r="J22449" t="s">
        <v>188</v>
      </c>
      <c r="K22449">
        <v>58.43</v>
      </c>
      <c r="L22449">
        <v>1.57</v>
      </c>
      <c r="M22449">
        <v>16820</v>
      </c>
      <c r="N22449" t="s">
        <v>128</v>
      </c>
      <c r="O22449">
        <v>251211</v>
      </c>
      <c r="P22449">
        <v>6.17</v>
      </c>
    </row>
    <row r="22450" spans="1:16" x14ac:dyDescent="0.25">
      <c r="A22450" t="s">
        <v>3296</v>
      </c>
      <c r="B22450" t="s">
        <v>2931</v>
      </c>
      <c r="C22450">
        <v>16734</v>
      </c>
      <c r="D22450" t="str">
        <f t="shared" si="507"/>
        <v xml:space="preserve">12549020722 </v>
      </c>
      <c r="E22450" t="s">
        <v>309</v>
      </c>
      <c r="F22450" t="s">
        <v>310</v>
      </c>
      <c r="G22450">
        <v>3.39</v>
      </c>
      <c r="H22450">
        <v>251130</v>
      </c>
      <c r="I22450">
        <v>4369</v>
      </c>
      <c r="J22450" t="s">
        <v>188</v>
      </c>
      <c r="K22450">
        <v>58.43</v>
      </c>
      <c r="L22450">
        <v>0.69</v>
      </c>
      <c r="M22450">
        <v>17862</v>
      </c>
      <c r="N22450" t="s">
        <v>130</v>
      </c>
      <c r="O22450">
        <v>251211</v>
      </c>
      <c r="P22450">
        <v>2.7</v>
      </c>
    </row>
    <row r="22451" spans="1:16" x14ac:dyDescent="0.25">
      <c r="A22451" t="s">
        <v>3296</v>
      </c>
      <c r="B22451" t="s">
        <v>2931</v>
      </c>
      <c r="C22451">
        <v>16734</v>
      </c>
      <c r="D22451" t="str">
        <f t="shared" si="507"/>
        <v xml:space="preserve">12549020722 </v>
      </c>
      <c r="E22451" t="s">
        <v>309</v>
      </c>
      <c r="F22451" t="s">
        <v>310</v>
      </c>
      <c r="G22451">
        <v>3.39</v>
      </c>
      <c r="H22451">
        <v>251130</v>
      </c>
      <c r="I22451">
        <v>4369</v>
      </c>
      <c r="J22451" t="s">
        <v>188</v>
      </c>
      <c r="K22451">
        <v>58.43</v>
      </c>
      <c r="L22451">
        <v>0.69</v>
      </c>
      <c r="M22451">
        <v>17950</v>
      </c>
      <c r="N22451" t="s">
        <v>132</v>
      </c>
      <c r="O22451">
        <v>251211</v>
      </c>
      <c r="P22451">
        <v>2.7</v>
      </c>
    </row>
    <row r="22452" spans="1:16" x14ac:dyDescent="0.25">
      <c r="A22452" t="s">
        <v>3296</v>
      </c>
      <c r="B22452" t="s">
        <v>2931</v>
      </c>
      <c r="C22452">
        <v>16734</v>
      </c>
      <c r="D22452" t="str">
        <f t="shared" si="507"/>
        <v xml:space="preserve">12549020722 </v>
      </c>
      <c r="E22452" t="s">
        <v>309</v>
      </c>
      <c r="F22452" t="s">
        <v>310</v>
      </c>
      <c r="G22452">
        <v>3.39</v>
      </c>
      <c r="H22452">
        <v>251130</v>
      </c>
      <c r="I22452">
        <v>4369</v>
      </c>
      <c r="J22452" t="s">
        <v>188</v>
      </c>
      <c r="K22452">
        <v>58.43</v>
      </c>
      <c r="L22452">
        <v>0.69</v>
      </c>
      <c r="M22452">
        <v>17971</v>
      </c>
      <c r="N22452" t="s">
        <v>27</v>
      </c>
      <c r="O22452">
        <v>251211</v>
      </c>
      <c r="P22452">
        <v>2.7</v>
      </c>
    </row>
    <row r="22453" spans="1:16" x14ac:dyDescent="0.25">
      <c r="A22453" t="s">
        <v>3296</v>
      </c>
      <c r="B22453" t="s">
        <v>2931</v>
      </c>
      <c r="C22453">
        <v>16734</v>
      </c>
      <c r="D22453" t="str">
        <f t="shared" si="507"/>
        <v xml:space="preserve">12549020722 </v>
      </c>
      <c r="E22453" t="s">
        <v>309</v>
      </c>
      <c r="F22453" t="s">
        <v>310</v>
      </c>
      <c r="G22453">
        <v>3.39</v>
      </c>
      <c r="H22453">
        <v>251130</v>
      </c>
      <c r="I22453">
        <v>4369</v>
      </c>
      <c r="J22453" t="s">
        <v>188</v>
      </c>
      <c r="K22453">
        <v>58.43</v>
      </c>
      <c r="L22453">
        <v>0.69</v>
      </c>
      <c r="M22453">
        <v>17972</v>
      </c>
      <c r="N22453" t="s">
        <v>28</v>
      </c>
      <c r="O22453">
        <v>251211</v>
      </c>
      <c r="P22453">
        <v>2.7</v>
      </c>
    </row>
    <row r="22454" spans="1:16" x14ac:dyDescent="0.25">
      <c r="A22454" t="s">
        <v>3296</v>
      </c>
      <c r="B22454" t="s">
        <v>2931</v>
      </c>
      <c r="C22454">
        <v>16734</v>
      </c>
      <c r="D22454" t="str">
        <f t="shared" si="507"/>
        <v xml:space="preserve">12549020722 </v>
      </c>
      <c r="E22454" t="s">
        <v>309</v>
      </c>
      <c r="F22454" t="s">
        <v>310</v>
      </c>
      <c r="G22454">
        <v>3.2</v>
      </c>
      <c r="H22454">
        <v>251130</v>
      </c>
      <c r="I22454">
        <v>4369</v>
      </c>
      <c r="J22454" t="s">
        <v>188</v>
      </c>
      <c r="K22454">
        <v>58.43</v>
      </c>
      <c r="L22454">
        <v>0.65</v>
      </c>
      <c r="M22454">
        <v>17974</v>
      </c>
      <c r="N22454" t="s">
        <v>153</v>
      </c>
      <c r="O22454">
        <v>251211</v>
      </c>
      <c r="P22454">
        <v>2.5499999999999998</v>
      </c>
    </row>
    <row r="22455" spans="1:16" x14ac:dyDescent="0.25">
      <c r="A22455" t="s">
        <v>3296</v>
      </c>
      <c r="B22455" t="s">
        <v>2931</v>
      </c>
      <c r="C22455">
        <v>16734</v>
      </c>
      <c r="D22455" t="str">
        <f t="shared" si="507"/>
        <v xml:space="preserve">12549020722 </v>
      </c>
      <c r="E22455" t="s">
        <v>309</v>
      </c>
      <c r="F22455" t="s">
        <v>310</v>
      </c>
      <c r="G22455">
        <v>3.38</v>
      </c>
      <c r="H22455">
        <v>251130</v>
      </c>
      <c r="I22455">
        <v>4369</v>
      </c>
      <c r="J22455" t="s">
        <v>188</v>
      </c>
      <c r="K22455">
        <v>58.43</v>
      </c>
      <c r="L22455">
        <v>0.69</v>
      </c>
      <c r="M22455">
        <v>17974</v>
      </c>
      <c r="N22455" t="s">
        <v>153</v>
      </c>
      <c r="O22455">
        <v>251211</v>
      </c>
      <c r="P22455">
        <v>2.69</v>
      </c>
    </row>
    <row r="22456" spans="1:16" x14ac:dyDescent="0.25">
      <c r="A22456" t="s">
        <v>3296</v>
      </c>
      <c r="B22456" t="s">
        <v>2931</v>
      </c>
      <c r="C22456">
        <v>16735</v>
      </c>
      <c r="D22456" t="str">
        <f>"12549020707 "</f>
        <v xml:space="preserve">12549020707 </v>
      </c>
      <c r="E22456" t="s">
        <v>309</v>
      </c>
      <c r="F22456" t="s">
        <v>310</v>
      </c>
      <c r="G22456">
        <v>6.78</v>
      </c>
      <c r="H22456">
        <v>251130</v>
      </c>
      <c r="I22456">
        <v>4369</v>
      </c>
      <c r="J22456" t="s">
        <v>188</v>
      </c>
      <c r="K22456">
        <v>13.96</v>
      </c>
      <c r="L22456">
        <v>1.38</v>
      </c>
      <c r="M22456">
        <v>49701</v>
      </c>
      <c r="N22456" t="s">
        <v>111</v>
      </c>
      <c r="O22456">
        <v>251211</v>
      </c>
      <c r="P22456">
        <v>5.4</v>
      </c>
    </row>
    <row r="22457" spans="1:16" x14ac:dyDescent="0.25">
      <c r="A22457" t="s">
        <v>3296</v>
      </c>
      <c r="B22457" t="s">
        <v>2931</v>
      </c>
      <c r="C22457">
        <v>16735</v>
      </c>
      <c r="D22457" t="str">
        <f>"12549020707 "</f>
        <v xml:space="preserve">12549020707 </v>
      </c>
      <c r="E22457" t="s">
        <v>309</v>
      </c>
      <c r="F22457" t="s">
        <v>310</v>
      </c>
      <c r="G22457">
        <v>7.18</v>
      </c>
      <c r="H22457">
        <v>251130</v>
      </c>
      <c r="I22457">
        <v>4369</v>
      </c>
      <c r="J22457" t="s">
        <v>188</v>
      </c>
      <c r="K22457">
        <v>13.96</v>
      </c>
      <c r="L22457">
        <v>1.46</v>
      </c>
      <c r="M22457">
        <v>49702</v>
      </c>
      <c r="N22457" t="s">
        <v>112</v>
      </c>
      <c r="O22457">
        <v>251211</v>
      </c>
      <c r="P22457">
        <v>5.72</v>
      </c>
    </row>
    <row r="22458" spans="1:16" x14ac:dyDescent="0.25">
      <c r="A22458" t="s">
        <v>3296</v>
      </c>
      <c r="B22458" t="s">
        <v>2931</v>
      </c>
      <c r="C22458">
        <v>16736</v>
      </c>
      <c r="D22458" t="str">
        <f>"12549020714 "</f>
        <v xml:space="preserve">12549020714 </v>
      </c>
      <c r="E22458" t="s">
        <v>309</v>
      </c>
      <c r="F22458" t="s">
        <v>310</v>
      </c>
      <c r="G22458">
        <v>7.99</v>
      </c>
      <c r="H22458">
        <v>251130</v>
      </c>
      <c r="I22458">
        <v>4369</v>
      </c>
      <c r="J22458" t="s">
        <v>188</v>
      </c>
      <c r="K22458">
        <v>7.99</v>
      </c>
      <c r="L22458">
        <v>1.62</v>
      </c>
      <c r="M22458">
        <v>49112</v>
      </c>
      <c r="N22458" t="s">
        <v>109</v>
      </c>
      <c r="O22458">
        <v>251211</v>
      </c>
      <c r="P22458">
        <v>6.37</v>
      </c>
    </row>
    <row r="22459" spans="1:16" x14ac:dyDescent="0.25">
      <c r="A22459" t="s">
        <v>3296</v>
      </c>
      <c r="B22459" t="s">
        <v>2931</v>
      </c>
      <c r="C22459">
        <v>16738</v>
      </c>
      <c r="D22459" t="str">
        <f>"12549020713 "</f>
        <v xml:space="preserve">12549020713 </v>
      </c>
      <c r="E22459" t="s">
        <v>309</v>
      </c>
      <c r="F22459" t="s">
        <v>310</v>
      </c>
      <c r="G22459">
        <v>7.72</v>
      </c>
      <c r="H22459">
        <v>251130</v>
      </c>
      <c r="I22459">
        <v>4369</v>
      </c>
      <c r="J22459" t="s">
        <v>188</v>
      </c>
      <c r="K22459">
        <v>44.35</v>
      </c>
      <c r="L22459">
        <v>1.57</v>
      </c>
      <c r="M22459">
        <v>44222</v>
      </c>
      <c r="N22459" t="s">
        <v>96</v>
      </c>
      <c r="O22459">
        <v>251211</v>
      </c>
      <c r="P22459">
        <v>6.15</v>
      </c>
    </row>
    <row r="22460" spans="1:16" x14ac:dyDescent="0.25">
      <c r="A22460" t="s">
        <v>3296</v>
      </c>
      <c r="B22460" t="s">
        <v>2931</v>
      </c>
      <c r="C22460">
        <v>16738</v>
      </c>
      <c r="D22460" t="str">
        <f>"12549020713 "</f>
        <v xml:space="preserve">12549020713 </v>
      </c>
      <c r="E22460" t="s">
        <v>309</v>
      </c>
      <c r="F22460" t="s">
        <v>310</v>
      </c>
      <c r="G22460">
        <v>23.46</v>
      </c>
      <c r="H22460">
        <v>251130</v>
      </c>
      <c r="I22460">
        <v>4369</v>
      </c>
      <c r="J22460" t="s">
        <v>188</v>
      </c>
      <c r="K22460">
        <v>44.35</v>
      </c>
      <c r="L22460">
        <v>4.7699999999999996</v>
      </c>
      <c r="M22460">
        <v>44222</v>
      </c>
      <c r="N22460" t="s">
        <v>96</v>
      </c>
      <c r="O22460">
        <v>251211</v>
      </c>
      <c r="P22460">
        <v>18.690000000000001</v>
      </c>
    </row>
    <row r="22461" spans="1:16" x14ac:dyDescent="0.25">
      <c r="A22461" t="s">
        <v>3296</v>
      </c>
      <c r="B22461" t="s">
        <v>2931</v>
      </c>
      <c r="C22461">
        <v>16738</v>
      </c>
      <c r="D22461" t="str">
        <f>"12549020713 "</f>
        <v xml:space="preserve">12549020713 </v>
      </c>
      <c r="E22461" t="s">
        <v>309</v>
      </c>
      <c r="F22461" t="s">
        <v>310</v>
      </c>
      <c r="G22461">
        <v>3.39</v>
      </c>
      <c r="H22461">
        <v>251130</v>
      </c>
      <c r="I22461">
        <v>4369</v>
      </c>
      <c r="J22461" t="s">
        <v>188</v>
      </c>
      <c r="K22461">
        <v>44.35</v>
      </c>
      <c r="L22461">
        <v>0.69</v>
      </c>
      <c r="M22461">
        <v>44251</v>
      </c>
      <c r="N22461" t="s">
        <v>215</v>
      </c>
      <c r="O22461">
        <v>251211</v>
      </c>
      <c r="P22461">
        <v>2.7</v>
      </c>
    </row>
    <row r="22462" spans="1:16" x14ac:dyDescent="0.25">
      <c r="A22462" t="s">
        <v>3296</v>
      </c>
      <c r="B22462" t="s">
        <v>2931</v>
      </c>
      <c r="C22462">
        <v>16738</v>
      </c>
      <c r="D22462" t="str">
        <f>"12549020713 "</f>
        <v xml:space="preserve">12549020713 </v>
      </c>
      <c r="E22462" t="s">
        <v>309</v>
      </c>
      <c r="F22462" t="s">
        <v>310</v>
      </c>
      <c r="G22462">
        <v>3.2</v>
      </c>
      <c r="H22462">
        <v>251130</v>
      </c>
      <c r="I22462">
        <v>4369</v>
      </c>
      <c r="J22462" t="s">
        <v>188</v>
      </c>
      <c r="K22462">
        <v>44.35</v>
      </c>
      <c r="L22462">
        <v>0.65</v>
      </c>
      <c r="M22462">
        <v>44253</v>
      </c>
      <c r="N22462" t="s">
        <v>403</v>
      </c>
      <c r="O22462">
        <v>251211</v>
      </c>
      <c r="P22462">
        <v>2.5499999999999998</v>
      </c>
    </row>
    <row r="22463" spans="1:16" x14ac:dyDescent="0.25">
      <c r="A22463" t="s">
        <v>3296</v>
      </c>
      <c r="B22463" t="s">
        <v>2931</v>
      </c>
      <c r="C22463">
        <v>16738</v>
      </c>
      <c r="D22463" t="str">
        <f>"12549020713 "</f>
        <v xml:space="preserve">12549020713 </v>
      </c>
      <c r="E22463" t="s">
        <v>309</v>
      </c>
      <c r="F22463" t="s">
        <v>310</v>
      </c>
      <c r="G22463">
        <v>6.58</v>
      </c>
      <c r="H22463">
        <v>251130</v>
      </c>
      <c r="I22463">
        <v>4369</v>
      </c>
      <c r="J22463" t="s">
        <v>188</v>
      </c>
      <c r="K22463">
        <v>44.35</v>
      </c>
      <c r="L22463">
        <v>1.34</v>
      </c>
      <c r="M22463">
        <v>49702</v>
      </c>
      <c r="N22463" t="s">
        <v>112</v>
      </c>
      <c r="O22463">
        <v>251211</v>
      </c>
      <c r="P22463">
        <v>5.24</v>
      </c>
    </row>
    <row r="22464" spans="1:16" x14ac:dyDescent="0.25">
      <c r="A22464" t="s">
        <v>3296</v>
      </c>
      <c r="B22464" t="s">
        <v>2931</v>
      </c>
      <c r="C22464">
        <v>16739</v>
      </c>
      <c r="D22464" t="str">
        <f>"12549020708 "</f>
        <v xml:space="preserve">12549020708 </v>
      </c>
      <c r="E22464" t="s">
        <v>309</v>
      </c>
      <c r="F22464" t="s">
        <v>310</v>
      </c>
      <c r="G22464">
        <v>20.329999999999998</v>
      </c>
      <c r="H22464">
        <v>251130</v>
      </c>
      <c r="I22464">
        <v>4369</v>
      </c>
      <c r="J22464" t="s">
        <v>188</v>
      </c>
      <c r="K22464">
        <v>23.72</v>
      </c>
      <c r="L22464">
        <v>4.13</v>
      </c>
      <c r="M22464">
        <v>47522</v>
      </c>
      <c r="N22464" t="s">
        <v>106</v>
      </c>
      <c r="O22464">
        <v>251211</v>
      </c>
      <c r="P22464">
        <v>16.2</v>
      </c>
    </row>
    <row r="22465" spans="1:16" x14ac:dyDescent="0.25">
      <c r="A22465" t="s">
        <v>3296</v>
      </c>
      <c r="B22465" t="s">
        <v>2931</v>
      </c>
      <c r="C22465">
        <v>16739</v>
      </c>
      <c r="D22465" t="str">
        <f>"12549020708 "</f>
        <v xml:space="preserve">12549020708 </v>
      </c>
      <c r="E22465" t="s">
        <v>309</v>
      </c>
      <c r="F22465" t="s">
        <v>310</v>
      </c>
      <c r="G22465">
        <v>3.39</v>
      </c>
      <c r="H22465">
        <v>251130</v>
      </c>
      <c r="I22465">
        <v>4369</v>
      </c>
      <c r="J22465" t="s">
        <v>188</v>
      </c>
      <c r="K22465">
        <v>23.72</v>
      </c>
      <c r="L22465">
        <v>0.69</v>
      </c>
      <c r="M22465">
        <v>49702</v>
      </c>
      <c r="N22465" t="s">
        <v>112</v>
      </c>
      <c r="O22465">
        <v>251211</v>
      </c>
      <c r="P22465">
        <v>2.7</v>
      </c>
    </row>
    <row r="22466" spans="1:16" x14ac:dyDescent="0.25">
      <c r="A22466" t="s">
        <v>3296</v>
      </c>
      <c r="B22466" t="s">
        <v>2931</v>
      </c>
      <c r="C22466">
        <v>16757</v>
      </c>
      <c r="D22466" t="str">
        <f>"105630792   "</f>
        <v xml:space="preserve">105630792   </v>
      </c>
      <c r="E22466" t="s">
        <v>309</v>
      </c>
      <c r="F22466" t="s">
        <v>310</v>
      </c>
      <c r="G22466">
        <v>87.85</v>
      </c>
      <c r="H22466">
        <v>251130</v>
      </c>
      <c r="I22466">
        <v>4369</v>
      </c>
      <c r="J22466" t="s">
        <v>188</v>
      </c>
      <c r="K22466">
        <v>87.85</v>
      </c>
      <c r="L22466">
        <v>17.850000000000001</v>
      </c>
      <c r="M22466">
        <v>18972</v>
      </c>
      <c r="N22466" t="s">
        <v>39</v>
      </c>
      <c r="O22466">
        <v>251211</v>
      </c>
      <c r="P22466">
        <v>70</v>
      </c>
    </row>
    <row r="22467" spans="1:16" x14ac:dyDescent="0.25">
      <c r="A22467" t="s">
        <v>3296</v>
      </c>
      <c r="B22467" t="s">
        <v>2931</v>
      </c>
      <c r="C22467">
        <v>16802</v>
      </c>
      <c r="D22467" t="str">
        <f>"105639543   "</f>
        <v xml:space="preserve">105639543   </v>
      </c>
      <c r="E22467" t="s">
        <v>309</v>
      </c>
      <c r="F22467" t="s">
        <v>310</v>
      </c>
      <c r="G22467">
        <v>26.36</v>
      </c>
      <c r="H22467">
        <v>251130</v>
      </c>
      <c r="I22467">
        <v>4369</v>
      </c>
      <c r="J22467" t="s">
        <v>188</v>
      </c>
      <c r="K22467">
        <v>26.36</v>
      </c>
      <c r="L22467">
        <v>5.36</v>
      </c>
      <c r="M22467">
        <v>11801</v>
      </c>
      <c r="N22467" t="s">
        <v>40</v>
      </c>
      <c r="O22467">
        <v>251212</v>
      </c>
      <c r="P22467">
        <v>21</v>
      </c>
    </row>
    <row r="22468" spans="1:16" x14ac:dyDescent="0.25">
      <c r="A22468" t="s">
        <v>3296</v>
      </c>
      <c r="B22468" t="s">
        <v>2931</v>
      </c>
      <c r="C22468">
        <v>16803</v>
      </c>
      <c r="D22468" t="str">
        <f>"105639573   "</f>
        <v xml:space="preserve">105639573   </v>
      </c>
      <c r="E22468" t="s">
        <v>309</v>
      </c>
      <c r="F22468" t="s">
        <v>310</v>
      </c>
      <c r="G22468">
        <v>85.65</v>
      </c>
      <c r="H22468">
        <v>251130</v>
      </c>
      <c r="I22468">
        <v>4369</v>
      </c>
      <c r="J22468" t="s">
        <v>188</v>
      </c>
      <c r="K22468">
        <v>85.65</v>
      </c>
      <c r="L22468">
        <v>17.399999999999999</v>
      </c>
      <c r="M22468">
        <v>11801</v>
      </c>
      <c r="N22468" t="s">
        <v>40</v>
      </c>
      <c r="O22468">
        <v>251212</v>
      </c>
      <c r="P22468">
        <v>68.25</v>
      </c>
    </row>
    <row r="22469" spans="1:16" x14ac:dyDescent="0.25">
      <c r="A22469" t="s">
        <v>3296</v>
      </c>
      <c r="B22469" t="s">
        <v>2931</v>
      </c>
      <c r="C22469">
        <v>16826</v>
      </c>
      <c r="D22469" t="str">
        <f>"105639542   "</f>
        <v xml:space="preserve">105639542   </v>
      </c>
      <c r="E22469" t="s">
        <v>309</v>
      </c>
      <c r="F22469" t="s">
        <v>310</v>
      </c>
      <c r="G22469">
        <v>26.36</v>
      </c>
      <c r="H22469">
        <v>251130</v>
      </c>
      <c r="I22469">
        <v>4369</v>
      </c>
      <c r="J22469" t="s">
        <v>188</v>
      </c>
      <c r="K22469">
        <v>26.36</v>
      </c>
      <c r="L22469">
        <v>5.36</v>
      </c>
      <c r="M22469">
        <v>13940</v>
      </c>
      <c r="N22469" t="s">
        <v>14</v>
      </c>
      <c r="O22469">
        <v>251212</v>
      </c>
      <c r="P22469">
        <v>21</v>
      </c>
    </row>
    <row r="22470" spans="1:16" x14ac:dyDescent="0.25">
      <c r="A22470" t="s">
        <v>3296</v>
      </c>
      <c r="B22470" t="s">
        <v>2931</v>
      </c>
      <c r="C22470">
        <v>16926</v>
      </c>
      <c r="D22470" t="str">
        <f>"12549020698 "</f>
        <v xml:space="preserve">12549020698 </v>
      </c>
      <c r="E22470" t="s">
        <v>309</v>
      </c>
      <c r="F22470" t="s">
        <v>310</v>
      </c>
      <c r="G22470">
        <v>3.39</v>
      </c>
      <c r="H22470">
        <v>251130</v>
      </c>
      <c r="I22470">
        <v>4369</v>
      </c>
      <c r="J22470" t="s">
        <v>188</v>
      </c>
      <c r="K22470">
        <v>26.79</v>
      </c>
      <c r="L22470">
        <v>0.69</v>
      </c>
      <c r="M22470">
        <v>56522</v>
      </c>
      <c r="N22470" t="s">
        <v>68</v>
      </c>
      <c r="O22470">
        <v>251216</v>
      </c>
      <c r="P22470">
        <v>2.7</v>
      </c>
    </row>
    <row r="22471" spans="1:16" x14ac:dyDescent="0.25">
      <c r="A22471" t="s">
        <v>3296</v>
      </c>
      <c r="B22471" t="s">
        <v>2931</v>
      </c>
      <c r="C22471">
        <v>16926</v>
      </c>
      <c r="D22471" t="str">
        <f>"12549020698 "</f>
        <v xml:space="preserve">12549020698 </v>
      </c>
      <c r="E22471" t="s">
        <v>309</v>
      </c>
      <c r="F22471" t="s">
        <v>310</v>
      </c>
      <c r="G22471">
        <v>13.29</v>
      </c>
      <c r="H22471">
        <v>251130</v>
      </c>
      <c r="I22471">
        <v>4369</v>
      </c>
      <c r="J22471" t="s">
        <v>188</v>
      </c>
      <c r="K22471">
        <v>26.79</v>
      </c>
      <c r="L22471">
        <v>2.7</v>
      </c>
      <c r="M22471">
        <v>56524</v>
      </c>
      <c r="N22471" t="s">
        <v>69</v>
      </c>
      <c r="O22471">
        <v>251216</v>
      </c>
      <c r="P22471">
        <v>10.59</v>
      </c>
    </row>
    <row r="22472" spans="1:16" x14ac:dyDescent="0.25">
      <c r="A22472" t="s">
        <v>3296</v>
      </c>
      <c r="B22472" t="s">
        <v>2931</v>
      </c>
      <c r="C22472">
        <v>16926</v>
      </c>
      <c r="D22472" t="str">
        <f>"12549020698 "</f>
        <v xml:space="preserve">12549020698 </v>
      </c>
      <c r="E22472" t="s">
        <v>309</v>
      </c>
      <c r="F22472" t="s">
        <v>310</v>
      </c>
      <c r="G22472">
        <v>10.11</v>
      </c>
      <c r="H22472">
        <v>251130</v>
      </c>
      <c r="I22472">
        <v>4369</v>
      </c>
      <c r="J22472" t="s">
        <v>188</v>
      </c>
      <c r="K22472">
        <v>26.79</v>
      </c>
      <c r="L22472">
        <v>2.0499999999999998</v>
      </c>
      <c r="M22472">
        <v>56528</v>
      </c>
      <c r="N22472" t="s">
        <v>70</v>
      </c>
      <c r="O22472">
        <v>251216</v>
      </c>
      <c r="P22472">
        <v>8.06</v>
      </c>
    </row>
    <row r="22473" spans="1:16" x14ac:dyDescent="0.25">
      <c r="A22473" t="s">
        <v>3296</v>
      </c>
      <c r="B22473" t="s">
        <v>2931</v>
      </c>
      <c r="C22473">
        <v>16933</v>
      </c>
      <c r="D22473" t="str">
        <f t="shared" ref="D22473:D22492" si="508">"12549020731 "</f>
        <v xml:space="preserve">12549020731 </v>
      </c>
      <c r="E22473" t="s">
        <v>309</v>
      </c>
      <c r="F22473" t="s">
        <v>310</v>
      </c>
      <c r="G22473">
        <v>20.73</v>
      </c>
      <c r="H22473">
        <v>251130</v>
      </c>
      <c r="I22473">
        <v>4369</v>
      </c>
      <c r="J22473" t="s">
        <v>188</v>
      </c>
      <c r="K22473">
        <v>234.26</v>
      </c>
      <c r="L22473">
        <v>4.21</v>
      </c>
      <c r="M22473">
        <v>11601</v>
      </c>
      <c r="N22473" t="s">
        <v>12</v>
      </c>
      <c r="O22473">
        <v>251216</v>
      </c>
      <c r="P22473">
        <v>16.52</v>
      </c>
    </row>
    <row r="22474" spans="1:16" x14ac:dyDescent="0.25">
      <c r="A22474" t="s">
        <v>3296</v>
      </c>
      <c r="B22474" t="s">
        <v>2931</v>
      </c>
      <c r="C22474">
        <v>16933</v>
      </c>
      <c r="D22474" t="str">
        <f t="shared" si="508"/>
        <v xml:space="preserve">12549020731 </v>
      </c>
      <c r="E22474" t="s">
        <v>309</v>
      </c>
      <c r="F22474" t="s">
        <v>310</v>
      </c>
      <c r="G22474">
        <v>3.2</v>
      </c>
      <c r="H22474">
        <v>251130</v>
      </c>
      <c r="I22474">
        <v>4369</v>
      </c>
      <c r="J22474" t="s">
        <v>188</v>
      </c>
      <c r="K22474">
        <v>234.26</v>
      </c>
      <c r="L22474">
        <v>0.65</v>
      </c>
      <c r="M22474">
        <v>11603</v>
      </c>
      <c r="N22474" t="s">
        <v>897</v>
      </c>
      <c r="O22474">
        <v>251216</v>
      </c>
      <c r="P22474">
        <v>2.5499999999999998</v>
      </c>
    </row>
    <row r="22475" spans="1:16" x14ac:dyDescent="0.25">
      <c r="A22475" t="s">
        <v>3296</v>
      </c>
      <c r="B22475" t="s">
        <v>2931</v>
      </c>
      <c r="C22475">
        <v>16933</v>
      </c>
      <c r="D22475" t="str">
        <f t="shared" si="508"/>
        <v xml:space="preserve">12549020731 </v>
      </c>
      <c r="E22475" t="s">
        <v>309</v>
      </c>
      <c r="F22475" t="s">
        <v>310</v>
      </c>
      <c r="G22475">
        <v>17.07</v>
      </c>
      <c r="H22475">
        <v>251130</v>
      </c>
      <c r="I22475">
        <v>4369</v>
      </c>
      <c r="J22475" t="s">
        <v>188</v>
      </c>
      <c r="K22475">
        <v>234.26</v>
      </c>
      <c r="L22475">
        <v>3.47</v>
      </c>
      <c r="M22475">
        <v>14121</v>
      </c>
      <c r="N22475" t="s">
        <v>71</v>
      </c>
      <c r="O22475">
        <v>251216</v>
      </c>
      <c r="P22475">
        <v>13.6</v>
      </c>
    </row>
    <row r="22476" spans="1:16" x14ac:dyDescent="0.25">
      <c r="A22476" t="s">
        <v>3296</v>
      </c>
      <c r="B22476" t="s">
        <v>2931</v>
      </c>
      <c r="C22476">
        <v>16933</v>
      </c>
      <c r="D22476" t="str">
        <f t="shared" si="508"/>
        <v xml:space="preserve">12549020731 </v>
      </c>
      <c r="E22476" t="s">
        <v>309</v>
      </c>
      <c r="F22476" t="s">
        <v>310</v>
      </c>
      <c r="G22476">
        <v>17.14</v>
      </c>
      <c r="H22476">
        <v>251130</v>
      </c>
      <c r="I22476">
        <v>4369</v>
      </c>
      <c r="J22476" t="s">
        <v>188</v>
      </c>
      <c r="K22476">
        <v>234.26</v>
      </c>
      <c r="L22476">
        <v>3.48</v>
      </c>
      <c r="M22476">
        <v>14321</v>
      </c>
      <c r="N22476" t="s">
        <v>72</v>
      </c>
      <c r="O22476">
        <v>251216</v>
      </c>
      <c r="P22476">
        <v>13.66</v>
      </c>
    </row>
    <row r="22477" spans="1:16" x14ac:dyDescent="0.25">
      <c r="A22477" t="s">
        <v>3296</v>
      </c>
      <c r="B22477" t="s">
        <v>2931</v>
      </c>
      <c r="C22477">
        <v>16933</v>
      </c>
      <c r="D22477" t="str">
        <f t="shared" si="508"/>
        <v xml:space="preserve">12549020731 </v>
      </c>
      <c r="E22477" t="s">
        <v>309</v>
      </c>
      <c r="F22477" t="s">
        <v>310</v>
      </c>
      <c r="G22477">
        <v>6.78</v>
      </c>
      <c r="H22477">
        <v>251130</v>
      </c>
      <c r="I22477">
        <v>4369</v>
      </c>
      <c r="J22477" t="s">
        <v>188</v>
      </c>
      <c r="K22477">
        <v>234.26</v>
      </c>
      <c r="L22477">
        <v>1.38</v>
      </c>
      <c r="M22477">
        <v>14422</v>
      </c>
      <c r="N22477" t="s">
        <v>73</v>
      </c>
      <c r="O22477">
        <v>251216</v>
      </c>
      <c r="P22477">
        <v>5.4</v>
      </c>
    </row>
    <row r="22478" spans="1:16" x14ac:dyDescent="0.25">
      <c r="A22478" t="s">
        <v>3296</v>
      </c>
      <c r="B22478" t="s">
        <v>2931</v>
      </c>
      <c r="C22478">
        <v>16933</v>
      </c>
      <c r="D22478" t="str">
        <f t="shared" si="508"/>
        <v xml:space="preserve">12549020731 </v>
      </c>
      <c r="E22478" t="s">
        <v>309</v>
      </c>
      <c r="F22478" t="s">
        <v>310</v>
      </c>
      <c r="G22478">
        <v>22.75</v>
      </c>
      <c r="H22478">
        <v>251130</v>
      </c>
      <c r="I22478">
        <v>4369</v>
      </c>
      <c r="J22478" t="s">
        <v>188</v>
      </c>
      <c r="K22478">
        <v>234.26</v>
      </c>
      <c r="L22478">
        <v>4.62</v>
      </c>
      <c r="M22478">
        <v>14422</v>
      </c>
      <c r="N22478" t="s">
        <v>73</v>
      </c>
      <c r="O22478">
        <v>251216</v>
      </c>
      <c r="P22478">
        <v>18.13</v>
      </c>
    </row>
    <row r="22479" spans="1:16" x14ac:dyDescent="0.25">
      <c r="A22479" t="s">
        <v>3296</v>
      </c>
      <c r="B22479" t="s">
        <v>2931</v>
      </c>
      <c r="C22479">
        <v>16933</v>
      </c>
      <c r="D22479" t="str">
        <f t="shared" si="508"/>
        <v xml:space="preserve">12549020731 </v>
      </c>
      <c r="E22479" t="s">
        <v>309</v>
      </c>
      <c r="F22479" t="s">
        <v>310</v>
      </c>
      <c r="G22479">
        <v>10.17</v>
      </c>
      <c r="H22479">
        <v>251130</v>
      </c>
      <c r="I22479">
        <v>4369</v>
      </c>
      <c r="J22479" t="s">
        <v>188</v>
      </c>
      <c r="K22479">
        <v>234.26</v>
      </c>
      <c r="L22479">
        <v>2.0699999999999998</v>
      </c>
      <c r="M22479">
        <v>14431</v>
      </c>
      <c r="N22479" t="s">
        <v>74</v>
      </c>
      <c r="O22479">
        <v>251216</v>
      </c>
      <c r="P22479">
        <v>8.1</v>
      </c>
    </row>
    <row r="22480" spans="1:16" x14ac:dyDescent="0.25">
      <c r="A22480" t="s">
        <v>3296</v>
      </c>
      <c r="B22480" t="s">
        <v>2931</v>
      </c>
      <c r="C22480">
        <v>16933</v>
      </c>
      <c r="D22480" t="str">
        <f t="shared" si="508"/>
        <v xml:space="preserve">12549020731 </v>
      </c>
      <c r="E22480" t="s">
        <v>309</v>
      </c>
      <c r="F22480" t="s">
        <v>310</v>
      </c>
      <c r="G22480">
        <v>13.55</v>
      </c>
      <c r="H22480">
        <v>251130</v>
      </c>
      <c r="I22480">
        <v>4369</v>
      </c>
      <c r="J22480" t="s">
        <v>188</v>
      </c>
      <c r="K22480">
        <v>234.26</v>
      </c>
      <c r="L22480">
        <v>2.75</v>
      </c>
      <c r="M22480">
        <v>14432</v>
      </c>
      <c r="N22480" t="s">
        <v>75</v>
      </c>
      <c r="O22480">
        <v>251216</v>
      </c>
      <c r="P22480">
        <v>10.8</v>
      </c>
    </row>
    <row r="22481" spans="1:16" x14ac:dyDescent="0.25">
      <c r="A22481" t="s">
        <v>3296</v>
      </c>
      <c r="B22481" t="s">
        <v>2931</v>
      </c>
      <c r="C22481">
        <v>16933</v>
      </c>
      <c r="D22481" t="str">
        <f t="shared" si="508"/>
        <v xml:space="preserve">12549020731 </v>
      </c>
      <c r="E22481" t="s">
        <v>309</v>
      </c>
      <c r="F22481" t="s">
        <v>310</v>
      </c>
      <c r="G22481">
        <v>10.88</v>
      </c>
      <c r="H22481">
        <v>251130</v>
      </c>
      <c r="I22481">
        <v>4369</v>
      </c>
      <c r="J22481" t="s">
        <v>188</v>
      </c>
      <c r="K22481">
        <v>234.26</v>
      </c>
      <c r="L22481">
        <v>2.21</v>
      </c>
      <c r="M22481">
        <v>14541</v>
      </c>
      <c r="N22481" t="s">
        <v>76</v>
      </c>
      <c r="O22481">
        <v>251216</v>
      </c>
      <c r="P22481">
        <v>8.67</v>
      </c>
    </row>
    <row r="22482" spans="1:16" x14ac:dyDescent="0.25">
      <c r="A22482" t="s">
        <v>3296</v>
      </c>
      <c r="B22482" t="s">
        <v>2931</v>
      </c>
      <c r="C22482">
        <v>16933</v>
      </c>
      <c r="D22482" t="str">
        <f t="shared" si="508"/>
        <v xml:space="preserve">12549020731 </v>
      </c>
      <c r="E22482" t="s">
        <v>309</v>
      </c>
      <c r="F22482" t="s">
        <v>310</v>
      </c>
      <c r="G22482">
        <v>43.11</v>
      </c>
      <c r="H22482">
        <v>251130</v>
      </c>
      <c r="I22482">
        <v>4369</v>
      </c>
      <c r="J22482" t="s">
        <v>188</v>
      </c>
      <c r="K22482">
        <v>234.26</v>
      </c>
      <c r="L22482">
        <v>8.76</v>
      </c>
      <c r="M22482">
        <v>14622</v>
      </c>
      <c r="N22482" t="s">
        <v>77</v>
      </c>
      <c r="O22482">
        <v>251216</v>
      </c>
      <c r="P22482">
        <v>34.35</v>
      </c>
    </row>
    <row r="22483" spans="1:16" x14ac:dyDescent="0.25">
      <c r="A22483" t="s">
        <v>3296</v>
      </c>
      <c r="B22483" t="s">
        <v>2931</v>
      </c>
      <c r="C22483">
        <v>16933</v>
      </c>
      <c r="D22483" t="str">
        <f t="shared" si="508"/>
        <v xml:space="preserve">12549020731 </v>
      </c>
      <c r="E22483" t="s">
        <v>309</v>
      </c>
      <c r="F22483" t="s">
        <v>310</v>
      </c>
      <c r="G22483">
        <v>3.39</v>
      </c>
      <c r="H22483">
        <v>251130</v>
      </c>
      <c r="I22483">
        <v>4369</v>
      </c>
      <c r="J22483" t="s">
        <v>188</v>
      </c>
      <c r="K22483">
        <v>234.26</v>
      </c>
      <c r="L22483">
        <v>0.69</v>
      </c>
      <c r="M22483">
        <v>14861</v>
      </c>
      <c r="N22483" t="s">
        <v>79</v>
      </c>
      <c r="O22483">
        <v>251216</v>
      </c>
      <c r="P22483">
        <v>2.7</v>
      </c>
    </row>
    <row r="22484" spans="1:16" x14ac:dyDescent="0.25">
      <c r="A22484" t="s">
        <v>3296</v>
      </c>
      <c r="B22484" t="s">
        <v>2931</v>
      </c>
      <c r="C22484">
        <v>16933</v>
      </c>
      <c r="D22484" t="str">
        <f t="shared" si="508"/>
        <v xml:space="preserve">12549020731 </v>
      </c>
      <c r="E22484" t="s">
        <v>309</v>
      </c>
      <c r="F22484" t="s">
        <v>310</v>
      </c>
      <c r="G22484">
        <v>7.08</v>
      </c>
      <c r="H22484">
        <v>251130</v>
      </c>
      <c r="I22484">
        <v>4369</v>
      </c>
      <c r="J22484" t="s">
        <v>188</v>
      </c>
      <c r="K22484">
        <v>234.26</v>
      </c>
      <c r="L22484">
        <v>1.44</v>
      </c>
      <c r="M22484">
        <v>14912</v>
      </c>
      <c r="N22484" t="s">
        <v>80</v>
      </c>
      <c r="O22484">
        <v>251216</v>
      </c>
      <c r="P22484">
        <v>5.64</v>
      </c>
    </row>
    <row r="22485" spans="1:16" x14ac:dyDescent="0.25">
      <c r="A22485" t="s">
        <v>3296</v>
      </c>
      <c r="B22485" t="s">
        <v>2931</v>
      </c>
      <c r="C22485">
        <v>16933</v>
      </c>
      <c r="D22485" t="str">
        <f t="shared" si="508"/>
        <v xml:space="preserve">12549020731 </v>
      </c>
      <c r="E22485" t="s">
        <v>309</v>
      </c>
      <c r="F22485" t="s">
        <v>310</v>
      </c>
      <c r="G22485">
        <v>3.39</v>
      </c>
      <c r="H22485">
        <v>251130</v>
      </c>
      <c r="I22485">
        <v>4369</v>
      </c>
      <c r="J22485" t="s">
        <v>188</v>
      </c>
      <c r="K22485">
        <v>234.26</v>
      </c>
      <c r="L22485">
        <v>0.69</v>
      </c>
      <c r="M22485">
        <v>14971</v>
      </c>
      <c r="N22485" t="s">
        <v>81</v>
      </c>
      <c r="O22485">
        <v>251216</v>
      </c>
      <c r="P22485">
        <v>2.7</v>
      </c>
    </row>
    <row r="22486" spans="1:16" x14ac:dyDescent="0.25">
      <c r="A22486" t="s">
        <v>3296</v>
      </c>
      <c r="B22486" t="s">
        <v>2931</v>
      </c>
      <c r="C22486">
        <v>16933</v>
      </c>
      <c r="D22486" t="str">
        <f t="shared" si="508"/>
        <v xml:space="preserve">12549020731 </v>
      </c>
      <c r="E22486" t="s">
        <v>309</v>
      </c>
      <c r="F22486" t="s">
        <v>310</v>
      </c>
      <c r="G22486">
        <v>6.85</v>
      </c>
      <c r="H22486">
        <v>251130</v>
      </c>
      <c r="I22486">
        <v>4369</v>
      </c>
      <c r="J22486" t="s">
        <v>188</v>
      </c>
      <c r="K22486">
        <v>234.26</v>
      </c>
      <c r="L22486">
        <v>1.39</v>
      </c>
      <c r="M22486">
        <v>14972</v>
      </c>
      <c r="N22486" t="s">
        <v>82</v>
      </c>
      <c r="O22486">
        <v>251216</v>
      </c>
      <c r="P22486">
        <v>5.46</v>
      </c>
    </row>
    <row r="22487" spans="1:16" x14ac:dyDescent="0.25">
      <c r="A22487" t="s">
        <v>3296</v>
      </c>
      <c r="B22487" t="s">
        <v>2931</v>
      </c>
      <c r="C22487">
        <v>16933</v>
      </c>
      <c r="D22487" t="str">
        <f t="shared" si="508"/>
        <v xml:space="preserve">12549020731 </v>
      </c>
      <c r="E22487" t="s">
        <v>309</v>
      </c>
      <c r="F22487" t="s">
        <v>310</v>
      </c>
      <c r="G22487">
        <v>3.39</v>
      </c>
      <c r="H22487">
        <v>251130</v>
      </c>
      <c r="I22487">
        <v>4369</v>
      </c>
      <c r="J22487" t="s">
        <v>188</v>
      </c>
      <c r="K22487">
        <v>234.26</v>
      </c>
      <c r="L22487">
        <v>0.69</v>
      </c>
      <c r="M22487">
        <v>14974</v>
      </c>
      <c r="N22487" t="s">
        <v>83</v>
      </c>
      <c r="O22487">
        <v>251216</v>
      </c>
      <c r="P22487">
        <v>2.7</v>
      </c>
    </row>
    <row r="22488" spans="1:16" x14ac:dyDescent="0.25">
      <c r="A22488" t="s">
        <v>3296</v>
      </c>
      <c r="B22488" t="s">
        <v>2931</v>
      </c>
      <c r="C22488">
        <v>16933</v>
      </c>
      <c r="D22488" t="str">
        <f t="shared" si="508"/>
        <v xml:space="preserve">12549020731 </v>
      </c>
      <c r="E22488" t="s">
        <v>309</v>
      </c>
      <c r="F22488" t="s">
        <v>310</v>
      </c>
      <c r="G22488">
        <v>10.17</v>
      </c>
      <c r="H22488">
        <v>251130</v>
      </c>
      <c r="I22488">
        <v>4369</v>
      </c>
      <c r="J22488" t="s">
        <v>188</v>
      </c>
      <c r="K22488">
        <v>234.26</v>
      </c>
      <c r="L22488">
        <v>2.0699999999999998</v>
      </c>
      <c r="M22488">
        <v>14975</v>
      </c>
      <c r="N22488" t="s">
        <v>84</v>
      </c>
      <c r="O22488">
        <v>251216</v>
      </c>
      <c r="P22488">
        <v>8.1</v>
      </c>
    </row>
    <row r="22489" spans="1:16" x14ac:dyDescent="0.25">
      <c r="A22489" t="s">
        <v>3296</v>
      </c>
      <c r="B22489" t="s">
        <v>2931</v>
      </c>
      <c r="C22489">
        <v>16933</v>
      </c>
      <c r="D22489" t="str">
        <f t="shared" si="508"/>
        <v xml:space="preserve">12549020731 </v>
      </c>
      <c r="E22489" t="s">
        <v>309</v>
      </c>
      <c r="F22489" t="s">
        <v>310</v>
      </c>
      <c r="G22489">
        <v>17.62</v>
      </c>
      <c r="H22489">
        <v>251130</v>
      </c>
      <c r="I22489">
        <v>4369</v>
      </c>
      <c r="J22489" t="s">
        <v>188</v>
      </c>
      <c r="K22489">
        <v>234.26</v>
      </c>
      <c r="L22489">
        <v>3.58</v>
      </c>
      <c r="M22489">
        <v>14990</v>
      </c>
      <c r="N22489" t="s">
        <v>85</v>
      </c>
      <c r="O22489">
        <v>251216</v>
      </c>
      <c r="P22489">
        <v>14.04</v>
      </c>
    </row>
    <row r="22490" spans="1:16" x14ac:dyDescent="0.25">
      <c r="A22490" t="s">
        <v>3296</v>
      </c>
      <c r="B22490" t="s">
        <v>2931</v>
      </c>
      <c r="C22490">
        <v>16933</v>
      </c>
      <c r="D22490" t="str">
        <f t="shared" si="508"/>
        <v xml:space="preserve">12549020731 </v>
      </c>
      <c r="E22490" t="s">
        <v>309</v>
      </c>
      <c r="F22490" t="s">
        <v>310</v>
      </c>
      <c r="G22490">
        <v>3.39</v>
      </c>
      <c r="H22490">
        <v>251130</v>
      </c>
      <c r="I22490">
        <v>4369</v>
      </c>
      <c r="J22490" t="s">
        <v>188</v>
      </c>
      <c r="K22490">
        <v>234.26</v>
      </c>
      <c r="L22490">
        <v>0.69</v>
      </c>
      <c r="M22490">
        <v>14990</v>
      </c>
      <c r="N22490" t="s">
        <v>85</v>
      </c>
      <c r="O22490">
        <v>251216</v>
      </c>
      <c r="P22490">
        <v>2.7</v>
      </c>
    </row>
    <row r="22491" spans="1:16" x14ac:dyDescent="0.25">
      <c r="A22491" t="s">
        <v>3296</v>
      </c>
      <c r="B22491" t="s">
        <v>2931</v>
      </c>
      <c r="C22491">
        <v>16933</v>
      </c>
      <c r="D22491" t="str">
        <f t="shared" si="508"/>
        <v xml:space="preserve">12549020731 </v>
      </c>
      <c r="E22491" t="s">
        <v>309</v>
      </c>
      <c r="F22491" t="s">
        <v>310</v>
      </c>
      <c r="G22491">
        <v>3.43</v>
      </c>
      <c r="H22491">
        <v>251130</v>
      </c>
      <c r="I22491">
        <v>4369</v>
      </c>
      <c r="J22491" t="s">
        <v>188</v>
      </c>
      <c r="K22491">
        <v>234.26</v>
      </c>
      <c r="L22491">
        <v>0.7</v>
      </c>
      <c r="M22491">
        <v>18972</v>
      </c>
      <c r="N22491" t="s">
        <v>39</v>
      </c>
      <c r="O22491">
        <v>251216</v>
      </c>
      <c r="P22491">
        <v>2.73</v>
      </c>
    </row>
    <row r="22492" spans="1:16" x14ac:dyDescent="0.25">
      <c r="A22492" t="s">
        <v>3296</v>
      </c>
      <c r="B22492" t="s">
        <v>2931</v>
      </c>
      <c r="C22492">
        <v>16933</v>
      </c>
      <c r="D22492" t="str">
        <f t="shared" si="508"/>
        <v xml:space="preserve">12549020731 </v>
      </c>
      <c r="E22492" t="s">
        <v>309</v>
      </c>
      <c r="F22492" t="s">
        <v>310</v>
      </c>
      <c r="G22492">
        <v>10.17</v>
      </c>
      <c r="H22492">
        <v>251130</v>
      </c>
      <c r="I22492">
        <v>4369</v>
      </c>
      <c r="J22492" t="s">
        <v>188</v>
      </c>
      <c r="K22492">
        <v>234.26</v>
      </c>
      <c r="L22492">
        <v>2.0699999999999998</v>
      </c>
      <c r="M22492">
        <v>18972</v>
      </c>
      <c r="N22492" t="s">
        <v>39</v>
      </c>
      <c r="O22492">
        <v>251216</v>
      </c>
      <c r="P22492">
        <v>8.1</v>
      </c>
    </row>
    <row r="22493" spans="1:16" x14ac:dyDescent="0.25">
      <c r="A22493" t="s">
        <v>3296</v>
      </c>
      <c r="B22493" t="s">
        <v>2931</v>
      </c>
      <c r="C22493">
        <v>16934</v>
      </c>
      <c r="D22493" t="str">
        <f t="shared" ref="D22493:D22500" si="509">"12549020695 "</f>
        <v xml:space="preserve">12549020695 </v>
      </c>
      <c r="E22493" t="s">
        <v>309</v>
      </c>
      <c r="F22493" t="s">
        <v>310</v>
      </c>
      <c r="G22493">
        <v>3.39</v>
      </c>
      <c r="H22493">
        <v>251130</v>
      </c>
      <c r="I22493">
        <v>4369</v>
      </c>
      <c r="J22493" t="s">
        <v>188</v>
      </c>
      <c r="K22493">
        <v>81.39</v>
      </c>
      <c r="L22493">
        <v>0.69</v>
      </c>
      <c r="M22493">
        <v>11001</v>
      </c>
      <c r="N22493" t="s">
        <v>93</v>
      </c>
      <c r="O22493">
        <v>251216</v>
      </c>
      <c r="P22493">
        <v>2.7</v>
      </c>
    </row>
    <row r="22494" spans="1:16" x14ac:dyDescent="0.25">
      <c r="A22494" t="s">
        <v>3296</v>
      </c>
      <c r="B22494" t="s">
        <v>2931</v>
      </c>
      <c r="C22494">
        <v>16934</v>
      </c>
      <c r="D22494" t="str">
        <f t="shared" si="509"/>
        <v xml:space="preserve">12549020695 </v>
      </c>
      <c r="E22494" t="s">
        <v>309</v>
      </c>
      <c r="F22494" t="s">
        <v>310</v>
      </c>
      <c r="G22494">
        <v>28.3</v>
      </c>
      <c r="H22494">
        <v>251130</v>
      </c>
      <c r="I22494">
        <v>4369</v>
      </c>
      <c r="J22494" t="s">
        <v>188</v>
      </c>
      <c r="K22494">
        <v>81.39</v>
      </c>
      <c r="L22494">
        <v>0</v>
      </c>
      <c r="M22494">
        <v>11001</v>
      </c>
      <c r="N22494" t="s">
        <v>93</v>
      </c>
      <c r="O22494">
        <v>251216</v>
      </c>
      <c r="P22494">
        <v>28.3</v>
      </c>
    </row>
    <row r="22495" spans="1:16" x14ac:dyDescent="0.25">
      <c r="A22495" t="s">
        <v>3296</v>
      </c>
      <c r="B22495" t="s">
        <v>2931</v>
      </c>
      <c r="C22495">
        <v>16934</v>
      </c>
      <c r="D22495" t="str">
        <f t="shared" si="509"/>
        <v xml:space="preserve">12549020695 </v>
      </c>
      <c r="E22495" t="s">
        <v>309</v>
      </c>
      <c r="F22495" t="s">
        <v>310</v>
      </c>
      <c r="G22495">
        <v>1.63</v>
      </c>
      <c r="H22495">
        <v>251130</v>
      </c>
      <c r="I22495">
        <v>4369</v>
      </c>
      <c r="J22495" t="s">
        <v>188</v>
      </c>
      <c r="K22495">
        <v>81.39</v>
      </c>
      <c r="L22495">
        <v>0.33</v>
      </c>
      <c r="M22495">
        <v>11401</v>
      </c>
      <c r="N22495" t="s">
        <v>91</v>
      </c>
      <c r="O22495">
        <v>251216</v>
      </c>
      <c r="P22495">
        <v>1.3</v>
      </c>
    </row>
    <row r="22496" spans="1:16" x14ac:dyDescent="0.25">
      <c r="A22496" t="s">
        <v>3296</v>
      </c>
      <c r="B22496" t="s">
        <v>2931</v>
      </c>
      <c r="C22496">
        <v>16934</v>
      </c>
      <c r="D22496" t="str">
        <f t="shared" si="509"/>
        <v xml:space="preserve">12549020695 </v>
      </c>
      <c r="E22496" t="s">
        <v>309</v>
      </c>
      <c r="F22496" t="s">
        <v>310</v>
      </c>
      <c r="G22496">
        <v>6.78</v>
      </c>
      <c r="H22496">
        <v>251130</v>
      </c>
      <c r="I22496">
        <v>4369</v>
      </c>
      <c r="J22496" t="s">
        <v>188</v>
      </c>
      <c r="K22496">
        <v>81.39</v>
      </c>
      <c r="L22496">
        <v>1.38</v>
      </c>
      <c r="M22496">
        <v>11501</v>
      </c>
      <c r="N22496" t="s">
        <v>13</v>
      </c>
      <c r="O22496">
        <v>251216</v>
      </c>
      <c r="P22496">
        <v>5.4</v>
      </c>
    </row>
    <row r="22497" spans="1:16" x14ac:dyDescent="0.25">
      <c r="A22497" t="s">
        <v>3296</v>
      </c>
      <c r="B22497" t="s">
        <v>2931</v>
      </c>
      <c r="C22497">
        <v>16934</v>
      </c>
      <c r="D22497" t="str">
        <f t="shared" si="509"/>
        <v xml:space="preserve">12549020695 </v>
      </c>
      <c r="E22497" t="s">
        <v>309</v>
      </c>
      <c r="F22497" t="s">
        <v>310</v>
      </c>
      <c r="G22497">
        <v>3.39</v>
      </c>
      <c r="H22497">
        <v>251130</v>
      </c>
      <c r="I22497">
        <v>4369</v>
      </c>
      <c r="J22497" t="s">
        <v>188</v>
      </c>
      <c r="K22497">
        <v>81.39</v>
      </c>
      <c r="L22497">
        <v>0.69</v>
      </c>
      <c r="M22497">
        <v>11701</v>
      </c>
      <c r="N22497" t="s">
        <v>973</v>
      </c>
      <c r="O22497">
        <v>251216</v>
      </c>
      <c r="P22497">
        <v>2.7</v>
      </c>
    </row>
    <row r="22498" spans="1:16" x14ac:dyDescent="0.25">
      <c r="A22498" t="s">
        <v>3296</v>
      </c>
      <c r="B22498" t="s">
        <v>2931</v>
      </c>
      <c r="C22498">
        <v>16934</v>
      </c>
      <c r="D22498" t="str">
        <f t="shared" si="509"/>
        <v xml:space="preserve">12549020695 </v>
      </c>
      <c r="E22498" t="s">
        <v>309</v>
      </c>
      <c r="F22498" t="s">
        <v>310</v>
      </c>
      <c r="G22498">
        <v>3.39</v>
      </c>
      <c r="H22498">
        <v>251130</v>
      </c>
      <c r="I22498">
        <v>4369</v>
      </c>
      <c r="J22498" t="s">
        <v>188</v>
      </c>
      <c r="K22498">
        <v>81.39</v>
      </c>
      <c r="L22498">
        <v>0.69</v>
      </c>
      <c r="M22498">
        <v>11751</v>
      </c>
      <c r="N22498" t="s">
        <v>167</v>
      </c>
      <c r="O22498">
        <v>251216</v>
      </c>
      <c r="P22498">
        <v>2.7</v>
      </c>
    </row>
    <row r="22499" spans="1:16" x14ac:dyDescent="0.25">
      <c r="A22499" t="s">
        <v>3296</v>
      </c>
      <c r="B22499" t="s">
        <v>2931</v>
      </c>
      <c r="C22499">
        <v>16934</v>
      </c>
      <c r="D22499" t="str">
        <f t="shared" si="509"/>
        <v xml:space="preserve">12549020695 </v>
      </c>
      <c r="E22499" t="s">
        <v>309</v>
      </c>
      <c r="F22499" t="s">
        <v>310</v>
      </c>
      <c r="G22499">
        <v>31.12</v>
      </c>
      <c r="H22499">
        <v>251130</v>
      </c>
      <c r="I22499">
        <v>4369</v>
      </c>
      <c r="J22499" t="s">
        <v>188</v>
      </c>
      <c r="K22499">
        <v>81.39</v>
      </c>
      <c r="L22499">
        <v>6.32</v>
      </c>
      <c r="M22499">
        <v>14622</v>
      </c>
      <c r="N22499" t="s">
        <v>77</v>
      </c>
      <c r="O22499">
        <v>251216</v>
      </c>
      <c r="P22499">
        <v>24.8</v>
      </c>
    </row>
    <row r="22500" spans="1:16" x14ac:dyDescent="0.25">
      <c r="A22500" t="s">
        <v>3296</v>
      </c>
      <c r="B22500" t="s">
        <v>2931</v>
      </c>
      <c r="C22500">
        <v>16934</v>
      </c>
      <c r="D22500" t="str">
        <f t="shared" si="509"/>
        <v xml:space="preserve">12549020695 </v>
      </c>
      <c r="E22500" t="s">
        <v>309</v>
      </c>
      <c r="F22500" t="s">
        <v>310</v>
      </c>
      <c r="G22500">
        <v>3.39</v>
      </c>
      <c r="H22500">
        <v>251130</v>
      </c>
      <c r="I22500">
        <v>4369</v>
      </c>
      <c r="J22500" t="s">
        <v>188</v>
      </c>
      <c r="K22500">
        <v>81.39</v>
      </c>
      <c r="L22500">
        <v>0.69</v>
      </c>
      <c r="M22500">
        <v>14952</v>
      </c>
      <c r="N22500" t="s">
        <v>213</v>
      </c>
      <c r="O22500">
        <v>251216</v>
      </c>
      <c r="P22500">
        <v>2.7</v>
      </c>
    </row>
    <row r="22501" spans="1:16" x14ac:dyDescent="0.25">
      <c r="A22501" t="s">
        <v>3296</v>
      </c>
      <c r="B22501" t="s">
        <v>2931</v>
      </c>
      <c r="C22501">
        <v>16935</v>
      </c>
      <c r="D22501" t="str">
        <f t="shared" ref="D22501:D22509" si="510">"12549020723 "</f>
        <v xml:space="preserve">12549020723 </v>
      </c>
      <c r="E22501" t="s">
        <v>309</v>
      </c>
      <c r="F22501" t="s">
        <v>310</v>
      </c>
      <c r="G22501">
        <v>3.86</v>
      </c>
      <c r="H22501">
        <v>251130</v>
      </c>
      <c r="I22501">
        <v>4369</v>
      </c>
      <c r="J22501" t="s">
        <v>188</v>
      </c>
      <c r="K22501">
        <v>135.79</v>
      </c>
      <c r="L22501">
        <v>0</v>
      </c>
      <c r="M22501">
        <v>13201</v>
      </c>
      <c r="N22501" t="s">
        <v>269</v>
      </c>
      <c r="O22501">
        <v>251216</v>
      </c>
      <c r="P22501">
        <v>3.86</v>
      </c>
    </row>
    <row r="22502" spans="1:16" x14ac:dyDescent="0.25">
      <c r="A22502" t="s">
        <v>3296</v>
      </c>
      <c r="B22502" t="s">
        <v>2931</v>
      </c>
      <c r="C22502">
        <v>16935</v>
      </c>
      <c r="D22502" t="str">
        <f t="shared" si="510"/>
        <v xml:space="preserve">12549020723 </v>
      </c>
      <c r="E22502" t="s">
        <v>309</v>
      </c>
      <c r="F22502" t="s">
        <v>310</v>
      </c>
      <c r="G22502">
        <v>40.47</v>
      </c>
      <c r="H22502">
        <v>251130</v>
      </c>
      <c r="I22502">
        <v>4369</v>
      </c>
      <c r="J22502" t="s">
        <v>188</v>
      </c>
      <c r="K22502">
        <v>135.79</v>
      </c>
      <c r="L22502">
        <v>8.2200000000000006</v>
      </c>
      <c r="M22502">
        <v>13401</v>
      </c>
      <c r="N22502" t="s">
        <v>10</v>
      </c>
      <c r="O22502">
        <v>251216</v>
      </c>
      <c r="P22502">
        <v>32.25</v>
      </c>
    </row>
    <row r="22503" spans="1:16" x14ac:dyDescent="0.25">
      <c r="A22503" t="s">
        <v>3296</v>
      </c>
      <c r="B22503" t="s">
        <v>2931</v>
      </c>
      <c r="C22503">
        <v>16935</v>
      </c>
      <c r="D22503" t="str">
        <f t="shared" si="510"/>
        <v xml:space="preserve">12549020723 </v>
      </c>
      <c r="E22503" t="s">
        <v>309</v>
      </c>
      <c r="F22503" t="s">
        <v>310</v>
      </c>
      <c r="G22503">
        <v>10.25</v>
      </c>
      <c r="H22503">
        <v>251130</v>
      </c>
      <c r="I22503">
        <v>4369</v>
      </c>
      <c r="J22503" t="s">
        <v>188</v>
      </c>
      <c r="K22503">
        <v>135.79</v>
      </c>
      <c r="L22503">
        <v>2.08</v>
      </c>
      <c r="M22503">
        <v>13401</v>
      </c>
      <c r="N22503" t="s">
        <v>10</v>
      </c>
      <c r="O22503">
        <v>251216</v>
      </c>
      <c r="P22503">
        <v>8.17</v>
      </c>
    </row>
    <row r="22504" spans="1:16" x14ac:dyDescent="0.25">
      <c r="A22504" t="s">
        <v>3296</v>
      </c>
      <c r="B22504" t="s">
        <v>2931</v>
      </c>
      <c r="C22504">
        <v>16935</v>
      </c>
      <c r="D22504" t="str">
        <f t="shared" si="510"/>
        <v xml:space="preserve">12549020723 </v>
      </c>
      <c r="E22504" t="s">
        <v>309</v>
      </c>
      <c r="F22504" t="s">
        <v>310</v>
      </c>
      <c r="G22504">
        <v>30.98</v>
      </c>
      <c r="H22504">
        <v>251130</v>
      </c>
      <c r="I22504">
        <v>4369</v>
      </c>
      <c r="J22504" t="s">
        <v>188</v>
      </c>
      <c r="K22504">
        <v>135.79</v>
      </c>
      <c r="L22504">
        <v>6.29</v>
      </c>
      <c r="M22504">
        <v>13501</v>
      </c>
      <c r="N22504" t="s">
        <v>66</v>
      </c>
      <c r="O22504">
        <v>251216</v>
      </c>
      <c r="P22504">
        <v>24.69</v>
      </c>
    </row>
    <row r="22505" spans="1:16" x14ac:dyDescent="0.25">
      <c r="A22505" t="s">
        <v>3296</v>
      </c>
      <c r="B22505" t="s">
        <v>2931</v>
      </c>
      <c r="C22505">
        <v>16935</v>
      </c>
      <c r="D22505" t="str">
        <f t="shared" si="510"/>
        <v xml:space="preserve">12549020723 </v>
      </c>
      <c r="E22505" t="s">
        <v>309</v>
      </c>
      <c r="F22505" t="s">
        <v>310</v>
      </c>
      <c r="G22505">
        <v>3.4</v>
      </c>
      <c r="H22505">
        <v>251130</v>
      </c>
      <c r="I22505">
        <v>4369</v>
      </c>
      <c r="J22505" t="s">
        <v>188</v>
      </c>
      <c r="K22505">
        <v>135.79</v>
      </c>
      <c r="L22505">
        <v>0.69</v>
      </c>
      <c r="M22505">
        <v>13561</v>
      </c>
      <c r="N22505" t="s">
        <v>241</v>
      </c>
      <c r="O22505">
        <v>251216</v>
      </c>
      <c r="P22505">
        <v>2.71</v>
      </c>
    </row>
    <row r="22506" spans="1:16" x14ac:dyDescent="0.25">
      <c r="A22506" t="s">
        <v>3296</v>
      </c>
      <c r="B22506" t="s">
        <v>2931</v>
      </c>
      <c r="C22506">
        <v>16935</v>
      </c>
      <c r="D22506" t="str">
        <f t="shared" si="510"/>
        <v xml:space="preserve">12549020723 </v>
      </c>
      <c r="E22506" t="s">
        <v>309</v>
      </c>
      <c r="F22506" t="s">
        <v>310</v>
      </c>
      <c r="G22506">
        <v>3.43</v>
      </c>
      <c r="H22506">
        <v>251130</v>
      </c>
      <c r="I22506">
        <v>4369</v>
      </c>
      <c r="J22506" t="s">
        <v>188</v>
      </c>
      <c r="K22506">
        <v>135.79</v>
      </c>
      <c r="L22506">
        <v>0.7</v>
      </c>
      <c r="M22506">
        <v>13561</v>
      </c>
      <c r="N22506" t="s">
        <v>241</v>
      </c>
      <c r="O22506">
        <v>251216</v>
      </c>
      <c r="P22506">
        <v>2.73</v>
      </c>
    </row>
    <row r="22507" spans="1:16" x14ac:dyDescent="0.25">
      <c r="A22507" t="s">
        <v>3296</v>
      </c>
      <c r="B22507" t="s">
        <v>2931</v>
      </c>
      <c r="C22507">
        <v>16935</v>
      </c>
      <c r="D22507" t="str">
        <f t="shared" si="510"/>
        <v xml:space="preserve">12549020723 </v>
      </c>
      <c r="E22507" t="s">
        <v>309</v>
      </c>
      <c r="F22507" t="s">
        <v>310</v>
      </c>
      <c r="G22507">
        <v>16.399999999999999</v>
      </c>
      <c r="H22507">
        <v>251130</v>
      </c>
      <c r="I22507">
        <v>4369</v>
      </c>
      <c r="J22507" t="s">
        <v>188</v>
      </c>
      <c r="K22507">
        <v>135.79</v>
      </c>
      <c r="L22507">
        <v>3.33</v>
      </c>
      <c r="M22507">
        <v>13801</v>
      </c>
      <c r="N22507" t="s">
        <v>33</v>
      </c>
      <c r="O22507">
        <v>251216</v>
      </c>
      <c r="P22507">
        <v>13.07</v>
      </c>
    </row>
    <row r="22508" spans="1:16" x14ac:dyDescent="0.25">
      <c r="A22508" t="s">
        <v>3296</v>
      </c>
      <c r="B22508" t="s">
        <v>2931</v>
      </c>
      <c r="C22508">
        <v>16935</v>
      </c>
      <c r="D22508" t="str">
        <f t="shared" si="510"/>
        <v xml:space="preserve">12549020723 </v>
      </c>
      <c r="E22508" t="s">
        <v>309</v>
      </c>
      <c r="F22508" t="s">
        <v>310</v>
      </c>
      <c r="G22508">
        <v>13.55</v>
      </c>
      <c r="H22508">
        <v>251130</v>
      </c>
      <c r="I22508">
        <v>4369</v>
      </c>
      <c r="J22508" t="s">
        <v>188</v>
      </c>
      <c r="K22508">
        <v>135.79</v>
      </c>
      <c r="L22508">
        <v>2.75</v>
      </c>
      <c r="M22508">
        <v>13801</v>
      </c>
      <c r="N22508" t="s">
        <v>33</v>
      </c>
      <c r="O22508">
        <v>251216</v>
      </c>
      <c r="P22508">
        <v>10.8</v>
      </c>
    </row>
    <row r="22509" spans="1:16" x14ac:dyDescent="0.25">
      <c r="A22509" t="s">
        <v>3296</v>
      </c>
      <c r="B22509" t="s">
        <v>2931</v>
      </c>
      <c r="C22509">
        <v>16935</v>
      </c>
      <c r="D22509" t="str">
        <f t="shared" si="510"/>
        <v xml:space="preserve">12549020723 </v>
      </c>
      <c r="E22509" t="s">
        <v>309</v>
      </c>
      <c r="F22509" t="s">
        <v>310</v>
      </c>
      <c r="G22509">
        <v>13.45</v>
      </c>
      <c r="H22509">
        <v>251130</v>
      </c>
      <c r="I22509">
        <v>4369</v>
      </c>
      <c r="J22509" t="s">
        <v>188</v>
      </c>
      <c r="K22509">
        <v>135.79</v>
      </c>
      <c r="L22509">
        <v>2.73</v>
      </c>
      <c r="M22509">
        <v>13802</v>
      </c>
      <c r="N22509" t="s">
        <v>34</v>
      </c>
      <c r="O22509">
        <v>251216</v>
      </c>
      <c r="P22509">
        <v>10.72</v>
      </c>
    </row>
    <row r="22510" spans="1:16" x14ac:dyDescent="0.25">
      <c r="A22510" t="s">
        <v>3296</v>
      </c>
      <c r="B22510" t="s">
        <v>2931</v>
      </c>
      <c r="C22510">
        <v>16938</v>
      </c>
      <c r="D22510" t="str">
        <f t="shared" ref="D22510:D22516" si="511">"12549020701 "</f>
        <v xml:space="preserve">12549020701 </v>
      </c>
      <c r="E22510" t="s">
        <v>309</v>
      </c>
      <c r="F22510" t="s">
        <v>310</v>
      </c>
      <c r="G22510">
        <v>17.16</v>
      </c>
      <c r="H22510">
        <v>251130</v>
      </c>
      <c r="I22510">
        <v>4369</v>
      </c>
      <c r="J22510" t="s">
        <v>188</v>
      </c>
      <c r="K22510">
        <v>47.98</v>
      </c>
      <c r="L22510">
        <v>3.49</v>
      </c>
      <c r="M22510">
        <v>54222</v>
      </c>
      <c r="N22510" t="s">
        <v>48</v>
      </c>
      <c r="O22510">
        <v>251216</v>
      </c>
      <c r="P22510">
        <v>13.67</v>
      </c>
    </row>
    <row r="22511" spans="1:16" x14ac:dyDescent="0.25">
      <c r="A22511" t="s">
        <v>3296</v>
      </c>
      <c r="B22511" t="s">
        <v>2931</v>
      </c>
      <c r="C22511">
        <v>16938</v>
      </c>
      <c r="D22511" t="str">
        <f t="shared" si="511"/>
        <v xml:space="preserve">12549020701 </v>
      </c>
      <c r="E22511" t="s">
        <v>309</v>
      </c>
      <c r="F22511" t="s">
        <v>310</v>
      </c>
      <c r="G22511">
        <v>3.39</v>
      </c>
      <c r="H22511">
        <v>251130</v>
      </c>
      <c r="I22511">
        <v>4369</v>
      </c>
      <c r="J22511" t="s">
        <v>188</v>
      </c>
      <c r="K22511">
        <v>47.98</v>
      </c>
      <c r="L22511">
        <v>0.69</v>
      </c>
      <c r="M22511">
        <v>54251</v>
      </c>
      <c r="N22511" t="s">
        <v>485</v>
      </c>
      <c r="O22511">
        <v>251216</v>
      </c>
      <c r="P22511">
        <v>2.7</v>
      </c>
    </row>
    <row r="22512" spans="1:16" x14ac:dyDescent="0.25">
      <c r="A22512" t="s">
        <v>3296</v>
      </c>
      <c r="B22512" t="s">
        <v>2931</v>
      </c>
      <c r="C22512">
        <v>16938</v>
      </c>
      <c r="D22512" t="str">
        <f t="shared" si="511"/>
        <v xml:space="preserve">12549020701 </v>
      </c>
      <c r="E22512" t="s">
        <v>309</v>
      </c>
      <c r="F22512" t="s">
        <v>310</v>
      </c>
      <c r="G22512">
        <v>3.39</v>
      </c>
      <c r="H22512">
        <v>251130</v>
      </c>
      <c r="I22512">
        <v>4369</v>
      </c>
      <c r="J22512" t="s">
        <v>188</v>
      </c>
      <c r="K22512">
        <v>47.98</v>
      </c>
      <c r="L22512">
        <v>0.69</v>
      </c>
      <c r="M22512">
        <v>54252</v>
      </c>
      <c r="N22512" t="s">
        <v>742</v>
      </c>
      <c r="O22512">
        <v>251216</v>
      </c>
      <c r="P22512">
        <v>2.7</v>
      </c>
    </row>
    <row r="22513" spans="1:16" x14ac:dyDescent="0.25">
      <c r="A22513" t="s">
        <v>3296</v>
      </c>
      <c r="B22513" t="s">
        <v>2931</v>
      </c>
      <c r="C22513">
        <v>16938</v>
      </c>
      <c r="D22513" t="str">
        <f t="shared" si="511"/>
        <v xml:space="preserve">12549020701 </v>
      </c>
      <c r="E22513" t="s">
        <v>309</v>
      </c>
      <c r="F22513" t="s">
        <v>310</v>
      </c>
      <c r="G22513">
        <v>7.08</v>
      </c>
      <c r="H22513">
        <v>251130</v>
      </c>
      <c r="I22513">
        <v>4369</v>
      </c>
      <c r="J22513" t="s">
        <v>188</v>
      </c>
      <c r="K22513">
        <v>47.98</v>
      </c>
      <c r="L22513">
        <v>1.44</v>
      </c>
      <c r="M22513">
        <v>54422</v>
      </c>
      <c r="N22513" t="s">
        <v>49</v>
      </c>
      <c r="O22513">
        <v>251216</v>
      </c>
      <c r="P22513">
        <v>5.64</v>
      </c>
    </row>
    <row r="22514" spans="1:16" x14ac:dyDescent="0.25">
      <c r="A22514" t="s">
        <v>3296</v>
      </c>
      <c r="B22514" t="s">
        <v>2931</v>
      </c>
      <c r="C22514">
        <v>16938</v>
      </c>
      <c r="D22514" t="str">
        <f t="shared" si="511"/>
        <v xml:space="preserve">12549020701 </v>
      </c>
      <c r="E22514" t="s">
        <v>309</v>
      </c>
      <c r="F22514" t="s">
        <v>310</v>
      </c>
      <c r="G22514">
        <v>6.78</v>
      </c>
      <c r="H22514">
        <v>251130</v>
      </c>
      <c r="I22514">
        <v>4369</v>
      </c>
      <c r="J22514" t="s">
        <v>188</v>
      </c>
      <c r="K22514">
        <v>47.98</v>
      </c>
      <c r="L22514">
        <v>1.38</v>
      </c>
      <c r="M22514">
        <v>54451</v>
      </c>
      <c r="N22514" t="s">
        <v>218</v>
      </c>
      <c r="O22514">
        <v>251216</v>
      </c>
      <c r="P22514">
        <v>5.4</v>
      </c>
    </row>
    <row r="22515" spans="1:16" x14ac:dyDescent="0.25">
      <c r="A22515" t="s">
        <v>3296</v>
      </c>
      <c r="B22515" t="s">
        <v>2931</v>
      </c>
      <c r="C22515">
        <v>16938</v>
      </c>
      <c r="D22515" t="str">
        <f t="shared" si="511"/>
        <v xml:space="preserve">12549020701 </v>
      </c>
      <c r="E22515" t="s">
        <v>309</v>
      </c>
      <c r="F22515" t="s">
        <v>310</v>
      </c>
      <c r="G22515">
        <v>6.8</v>
      </c>
      <c r="H22515">
        <v>251130</v>
      </c>
      <c r="I22515">
        <v>4369</v>
      </c>
      <c r="J22515" t="s">
        <v>188</v>
      </c>
      <c r="K22515">
        <v>47.98</v>
      </c>
      <c r="L22515">
        <v>1.38</v>
      </c>
      <c r="M22515">
        <v>56563</v>
      </c>
      <c r="N22515" t="s">
        <v>55</v>
      </c>
      <c r="O22515">
        <v>251216</v>
      </c>
      <c r="P22515">
        <v>5.42</v>
      </c>
    </row>
    <row r="22516" spans="1:16" x14ac:dyDescent="0.25">
      <c r="A22516" t="s">
        <v>3296</v>
      </c>
      <c r="B22516" t="s">
        <v>2931</v>
      </c>
      <c r="C22516">
        <v>16938</v>
      </c>
      <c r="D22516" t="str">
        <f t="shared" si="511"/>
        <v xml:space="preserve">12549020701 </v>
      </c>
      <c r="E22516" t="s">
        <v>309</v>
      </c>
      <c r="F22516" t="s">
        <v>310</v>
      </c>
      <c r="G22516">
        <v>3.38</v>
      </c>
      <c r="H22516">
        <v>251130</v>
      </c>
      <c r="I22516">
        <v>4369</v>
      </c>
      <c r="J22516" t="s">
        <v>188</v>
      </c>
      <c r="K22516">
        <v>47.98</v>
      </c>
      <c r="L22516">
        <v>0.69</v>
      </c>
      <c r="M22516">
        <v>58601</v>
      </c>
      <c r="N22516" t="s">
        <v>59</v>
      </c>
      <c r="O22516">
        <v>251216</v>
      </c>
      <c r="P22516">
        <v>2.69</v>
      </c>
    </row>
    <row r="22517" spans="1:16" x14ac:dyDescent="0.25">
      <c r="A22517" t="s">
        <v>3296</v>
      </c>
      <c r="B22517" t="s">
        <v>2931</v>
      </c>
      <c r="C22517">
        <v>17137</v>
      </c>
      <c r="D22517" t="str">
        <f>"12549020726 "</f>
        <v xml:space="preserve">12549020726 </v>
      </c>
      <c r="E22517" t="s">
        <v>309</v>
      </c>
      <c r="F22517" t="s">
        <v>310</v>
      </c>
      <c r="G22517">
        <v>3.39</v>
      </c>
      <c r="H22517">
        <v>251130</v>
      </c>
      <c r="I22517">
        <v>4369</v>
      </c>
      <c r="J22517" t="s">
        <v>188</v>
      </c>
      <c r="K22517">
        <v>6.78</v>
      </c>
      <c r="L22517">
        <v>0.69</v>
      </c>
      <c r="M22517">
        <v>11901</v>
      </c>
      <c r="N22517" t="s">
        <v>31</v>
      </c>
      <c r="O22517">
        <v>251217</v>
      </c>
      <c r="P22517">
        <v>2.7</v>
      </c>
    </row>
    <row r="22518" spans="1:16" x14ac:dyDescent="0.25">
      <c r="A22518" t="s">
        <v>3296</v>
      </c>
      <c r="B22518" t="s">
        <v>2931</v>
      </c>
      <c r="C22518">
        <v>17137</v>
      </c>
      <c r="D22518" t="str">
        <f>"12549020726 "</f>
        <v xml:space="preserve">12549020726 </v>
      </c>
      <c r="E22518" t="s">
        <v>309</v>
      </c>
      <c r="F22518" t="s">
        <v>310</v>
      </c>
      <c r="G22518">
        <v>3.39</v>
      </c>
      <c r="H22518">
        <v>251130</v>
      </c>
      <c r="I22518">
        <v>4369</v>
      </c>
      <c r="J22518" t="s">
        <v>188</v>
      </c>
      <c r="K22518">
        <v>6.78</v>
      </c>
      <c r="L22518">
        <v>0.69</v>
      </c>
      <c r="M22518">
        <v>11903</v>
      </c>
      <c r="N22518" t="s">
        <v>32</v>
      </c>
      <c r="O22518">
        <v>251217</v>
      </c>
      <c r="P22518">
        <v>2.7</v>
      </c>
    </row>
    <row r="22519" spans="1:16" x14ac:dyDescent="0.25">
      <c r="A22519" t="s">
        <v>3296</v>
      </c>
      <c r="B22519" t="s">
        <v>2931</v>
      </c>
      <c r="C22519">
        <v>17141</v>
      </c>
      <c r="D22519" t="str">
        <f t="shared" ref="D22519:D22527" si="512">"12549020702 "</f>
        <v xml:space="preserve">12549020702 </v>
      </c>
      <c r="E22519" t="s">
        <v>309</v>
      </c>
      <c r="F22519" t="s">
        <v>310</v>
      </c>
      <c r="G22519">
        <v>3.39</v>
      </c>
      <c r="H22519">
        <v>251130</v>
      </c>
      <c r="I22519">
        <v>4369</v>
      </c>
      <c r="J22519" t="s">
        <v>188</v>
      </c>
      <c r="K22519">
        <v>42.19</v>
      </c>
      <c r="L22519">
        <v>0.69</v>
      </c>
      <c r="M22519">
        <v>11301</v>
      </c>
      <c r="N22519" t="s">
        <v>92</v>
      </c>
      <c r="O22519">
        <v>251217</v>
      </c>
      <c r="P22519">
        <v>2.7</v>
      </c>
    </row>
    <row r="22520" spans="1:16" x14ac:dyDescent="0.25">
      <c r="A22520" t="s">
        <v>3296</v>
      </c>
      <c r="B22520" t="s">
        <v>2931</v>
      </c>
      <c r="C22520">
        <v>17141</v>
      </c>
      <c r="D22520" t="str">
        <f t="shared" si="512"/>
        <v xml:space="preserve">12549020702 </v>
      </c>
      <c r="E22520" t="s">
        <v>309</v>
      </c>
      <c r="F22520" t="s">
        <v>310</v>
      </c>
      <c r="G22520">
        <v>3.38</v>
      </c>
      <c r="H22520">
        <v>251130</v>
      </c>
      <c r="I22520">
        <v>4369</v>
      </c>
      <c r="J22520" t="s">
        <v>188</v>
      </c>
      <c r="K22520">
        <v>42.19</v>
      </c>
      <c r="L22520">
        <v>0.69</v>
      </c>
      <c r="M22520">
        <v>11900</v>
      </c>
      <c r="N22520" t="s">
        <v>30</v>
      </c>
      <c r="O22520">
        <v>251217</v>
      </c>
      <c r="P22520">
        <v>2.69</v>
      </c>
    </row>
    <row r="22521" spans="1:16" x14ac:dyDescent="0.25">
      <c r="A22521" t="s">
        <v>3296</v>
      </c>
      <c r="B22521" t="s">
        <v>2931</v>
      </c>
      <c r="C22521">
        <v>17141</v>
      </c>
      <c r="D22521" t="str">
        <f t="shared" si="512"/>
        <v xml:space="preserve">12549020702 </v>
      </c>
      <c r="E22521" t="s">
        <v>309</v>
      </c>
      <c r="F22521" t="s">
        <v>310</v>
      </c>
      <c r="G22521">
        <v>6.59</v>
      </c>
      <c r="H22521">
        <v>251130</v>
      </c>
      <c r="I22521">
        <v>4369</v>
      </c>
      <c r="J22521" t="s">
        <v>188</v>
      </c>
      <c r="K22521">
        <v>42.19</v>
      </c>
      <c r="L22521">
        <v>0</v>
      </c>
      <c r="M22521">
        <v>11901</v>
      </c>
      <c r="N22521" t="s">
        <v>31</v>
      </c>
      <c r="O22521">
        <v>251217</v>
      </c>
      <c r="P22521">
        <v>6.59</v>
      </c>
    </row>
    <row r="22522" spans="1:16" x14ac:dyDescent="0.25">
      <c r="A22522" t="s">
        <v>3296</v>
      </c>
      <c r="B22522" t="s">
        <v>2931</v>
      </c>
      <c r="C22522">
        <v>17141</v>
      </c>
      <c r="D22522" t="str">
        <f t="shared" si="512"/>
        <v xml:space="preserve">12549020702 </v>
      </c>
      <c r="E22522" t="s">
        <v>309</v>
      </c>
      <c r="F22522" t="s">
        <v>310</v>
      </c>
      <c r="G22522">
        <v>6.78</v>
      </c>
      <c r="H22522">
        <v>251130</v>
      </c>
      <c r="I22522">
        <v>4369</v>
      </c>
      <c r="J22522" t="s">
        <v>188</v>
      </c>
      <c r="K22522">
        <v>42.19</v>
      </c>
      <c r="L22522">
        <v>1.38</v>
      </c>
      <c r="M22522">
        <v>11901</v>
      </c>
      <c r="N22522" t="s">
        <v>31</v>
      </c>
      <c r="O22522">
        <v>251217</v>
      </c>
      <c r="P22522">
        <v>5.4</v>
      </c>
    </row>
    <row r="22523" spans="1:16" x14ac:dyDescent="0.25">
      <c r="A22523" t="s">
        <v>3296</v>
      </c>
      <c r="B22523" t="s">
        <v>2931</v>
      </c>
      <c r="C22523">
        <v>17141</v>
      </c>
      <c r="D22523" t="str">
        <f t="shared" si="512"/>
        <v xml:space="preserve">12549020702 </v>
      </c>
      <c r="E22523" t="s">
        <v>309</v>
      </c>
      <c r="F22523" t="s">
        <v>310</v>
      </c>
      <c r="G22523">
        <v>8.2799999999999994</v>
      </c>
      <c r="H22523">
        <v>251130</v>
      </c>
      <c r="I22523">
        <v>4369</v>
      </c>
      <c r="J22523" t="s">
        <v>188</v>
      </c>
      <c r="K22523">
        <v>42.19</v>
      </c>
      <c r="L22523">
        <v>1.68</v>
      </c>
      <c r="M22523">
        <v>11903</v>
      </c>
      <c r="N22523" t="s">
        <v>32</v>
      </c>
      <c r="O22523">
        <v>251217</v>
      </c>
      <c r="P22523">
        <v>6.6</v>
      </c>
    </row>
    <row r="22524" spans="1:16" x14ac:dyDescent="0.25">
      <c r="A22524" t="s">
        <v>3296</v>
      </c>
      <c r="B22524" t="s">
        <v>2931</v>
      </c>
      <c r="C22524">
        <v>17141</v>
      </c>
      <c r="D22524" t="str">
        <f t="shared" si="512"/>
        <v xml:space="preserve">12549020702 </v>
      </c>
      <c r="E22524" t="s">
        <v>309</v>
      </c>
      <c r="F22524" t="s">
        <v>310</v>
      </c>
      <c r="G22524">
        <v>3.39</v>
      </c>
      <c r="H22524">
        <v>251130</v>
      </c>
      <c r="I22524">
        <v>4369</v>
      </c>
      <c r="J22524" t="s">
        <v>188</v>
      </c>
      <c r="K22524">
        <v>42.19</v>
      </c>
      <c r="L22524">
        <v>0.69</v>
      </c>
      <c r="M22524">
        <v>11903</v>
      </c>
      <c r="N22524" t="s">
        <v>32</v>
      </c>
      <c r="O22524">
        <v>251217</v>
      </c>
      <c r="P22524">
        <v>2.7</v>
      </c>
    </row>
    <row r="22525" spans="1:16" x14ac:dyDescent="0.25">
      <c r="A22525" t="s">
        <v>3296</v>
      </c>
      <c r="B22525" t="s">
        <v>2931</v>
      </c>
      <c r="C22525">
        <v>17141</v>
      </c>
      <c r="D22525" t="str">
        <f t="shared" si="512"/>
        <v xml:space="preserve">12549020702 </v>
      </c>
      <c r="E22525" t="s">
        <v>309</v>
      </c>
      <c r="F22525" t="s">
        <v>310</v>
      </c>
      <c r="G22525">
        <v>3.6</v>
      </c>
      <c r="H22525">
        <v>251130</v>
      </c>
      <c r="I22525">
        <v>4369</v>
      </c>
      <c r="J22525" t="s">
        <v>188</v>
      </c>
      <c r="K22525">
        <v>42.19</v>
      </c>
      <c r="L22525">
        <v>0.73</v>
      </c>
      <c r="M22525">
        <v>11903</v>
      </c>
      <c r="N22525" t="s">
        <v>32</v>
      </c>
      <c r="O22525">
        <v>251217</v>
      </c>
      <c r="P22525">
        <v>2.87</v>
      </c>
    </row>
    <row r="22526" spans="1:16" x14ac:dyDescent="0.25">
      <c r="A22526" t="s">
        <v>3296</v>
      </c>
      <c r="B22526" t="s">
        <v>2931</v>
      </c>
      <c r="C22526">
        <v>17141</v>
      </c>
      <c r="D22526" t="str">
        <f t="shared" si="512"/>
        <v xml:space="preserve">12549020702 </v>
      </c>
      <c r="E22526" t="s">
        <v>309</v>
      </c>
      <c r="F22526" t="s">
        <v>310</v>
      </c>
      <c r="G22526">
        <v>3.39</v>
      </c>
      <c r="H22526">
        <v>251130</v>
      </c>
      <c r="I22526">
        <v>4369</v>
      </c>
      <c r="J22526" t="s">
        <v>188</v>
      </c>
      <c r="K22526">
        <v>42.19</v>
      </c>
      <c r="L22526">
        <v>0.69</v>
      </c>
      <c r="M22526">
        <v>11905</v>
      </c>
      <c r="N22526" t="s">
        <v>643</v>
      </c>
      <c r="O22526">
        <v>251217</v>
      </c>
      <c r="P22526">
        <v>2.7</v>
      </c>
    </row>
    <row r="22527" spans="1:16" x14ac:dyDescent="0.25">
      <c r="A22527" t="s">
        <v>3296</v>
      </c>
      <c r="B22527" t="s">
        <v>2931</v>
      </c>
      <c r="C22527">
        <v>17141</v>
      </c>
      <c r="D22527" t="str">
        <f t="shared" si="512"/>
        <v xml:space="preserve">12549020702 </v>
      </c>
      <c r="E22527" t="s">
        <v>309</v>
      </c>
      <c r="F22527" t="s">
        <v>310</v>
      </c>
      <c r="G22527">
        <v>3.39</v>
      </c>
      <c r="H22527">
        <v>251130</v>
      </c>
      <c r="I22527">
        <v>4369</v>
      </c>
      <c r="J22527" t="s">
        <v>188</v>
      </c>
      <c r="K22527">
        <v>42.19</v>
      </c>
      <c r="L22527">
        <v>0.69</v>
      </c>
      <c r="M22527">
        <v>12500</v>
      </c>
      <c r="N22527" t="s">
        <v>1502</v>
      </c>
      <c r="O22527">
        <v>251217</v>
      </c>
      <c r="P22527">
        <v>2.7</v>
      </c>
    </row>
    <row r="22528" spans="1:16" x14ac:dyDescent="0.25">
      <c r="A22528" t="s">
        <v>3296</v>
      </c>
      <c r="B22528" t="s">
        <v>2931</v>
      </c>
      <c r="C22528">
        <v>17272</v>
      </c>
      <c r="D22528" t="str">
        <f t="shared" ref="D22528:D22556" si="513">"12549020700 "</f>
        <v xml:space="preserve">12549020700 </v>
      </c>
      <c r="E22528" t="s">
        <v>309</v>
      </c>
      <c r="F22528" t="s">
        <v>310</v>
      </c>
      <c r="G22528">
        <v>1.69</v>
      </c>
      <c r="H22528">
        <v>251201</v>
      </c>
      <c r="I22528">
        <v>4369</v>
      </c>
      <c r="J22528" t="s">
        <v>188</v>
      </c>
      <c r="K22528">
        <v>330.4</v>
      </c>
      <c r="L22528">
        <v>0.34</v>
      </c>
      <c r="M22528">
        <v>17737</v>
      </c>
      <c r="N22528" t="s">
        <v>156</v>
      </c>
      <c r="O22528">
        <v>251219</v>
      </c>
      <c r="P22528">
        <v>1.35</v>
      </c>
    </row>
    <row r="22529" spans="1:16" x14ac:dyDescent="0.25">
      <c r="A22529" t="s">
        <v>3296</v>
      </c>
      <c r="B22529" t="s">
        <v>2931</v>
      </c>
      <c r="C22529">
        <v>17272</v>
      </c>
      <c r="D22529" t="str">
        <f t="shared" si="513"/>
        <v xml:space="preserve">12549020700 </v>
      </c>
      <c r="E22529" t="s">
        <v>309</v>
      </c>
      <c r="F22529" t="s">
        <v>310</v>
      </c>
      <c r="G22529">
        <v>20.72</v>
      </c>
      <c r="H22529">
        <v>251201</v>
      </c>
      <c r="I22529">
        <v>4369</v>
      </c>
      <c r="J22529" t="s">
        <v>188</v>
      </c>
      <c r="K22529">
        <v>330.4</v>
      </c>
      <c r="L22529">
        <v>4.21</v>
      </c>
      <c r="M22529">
        <v>61122</v>
      </c>
      <c r="N22529" t="s">
        <v>86</v>
      </c>
      <c r="O22529">
        <v>251219</v>
      </c>
      <c r="P22529">
        <v>16.510000000000002</v>
      </c>
    </row>
    <row r="22530" spans="1:16" x14ac:dyDescent="0.25">
      <c r="A22530" t="s">
        <v>3296</v>
      </c>
      <c r="B22530" t="s">
        <v>2931</v>
      </c>
      <c r="C22530">
        <v>17272</v>
      </c>
      <c r="D22530" t="str">
        <f t="shared" si="513"/>
        <v xml:space="preserve">12549020700 </v>
      </c>
      <c r="E22530" t="s">
        <v>309</v>
      </c>
      <c r="F22530" t="s">
        <v>310</v>
      </c>
      <c r="G22530">
        <v>3.87</v>
      </c>
      <c r="H22530">
        <v>251201</v>
      </c>
      <c r="I22530">
        <v>4369</v>
      </c>
      <c r="J22530" t="s">
        <v>188</v>
      </c>
      <c r="K22530">
        <v>330.4</v>
      </c>
      <c r="L22530">
        <v>0.79</v>
      </c>
      <c r="M22530">
        <v>61122</v>
      </c>
      <c r="N22530" t="s">
        <v>86</v>
      </c>
      <c r="O22530">
        <v>251219</v>
      </c>
      <c r="P22530">
        <v>3.08</v>
      </c>
    </row>
    <row r="22531" spans="1:16" x14ac:dyDescent="0.25">
      <c r="A22531" t="s">
        <v>3296</v>
      </c>
      <c r="B22531" t="s">
        <v>2931</v>
      </c>
      <c r="C22531">
        <v>17272</v>
      </c>
      <c r="D22531" t="str">
        <f t="shared" si="513"/>
        <v xml:space="preserve">12549020700 </v>
      </c>
      <c r="E22531" t="s">
        <v>309</v>
      </c>
      <c r="F22531" t="s">
        <v>310</v>
      </c>
      <c r="G22531">
        <v>13.67</v>
      </c>
      <c r="H22531">
        <v>251201</v>
      </c>
      <c r="I22531">
        <v>4369</v>
      </c>
      <c r="J22531" t="s">
        <v>188</v>
      </c>
      <c r="K22531">
        <v>330.4</v>
      </c>
      <c r="L22531">
        <v>2.78</v>
      </c>
      <c r="M22531">
        <v>65222</v>
      </c>
      <c r="N22531" t="s">
        <v>87</v>
      </c>
      <c r="O22531">
        <v>251219</v>
      </c>
      <c r="P22531">
        <v>10.89</v>
      </c>
    </row>
    <row r="22532" spans="1:16" x14ac:dyDescent="0.25">
      <c r="A22532" t="s">
        <v>3296</v>
      </c>
      <c r="B22532" t="s">
        <v>2931</v>
      </c>
      <c r="C22532">
        <v>17272</v>
      </c>
      <c r="D22532" t="str">
        <f t="shared" si="513"/>
        <v xml:space="preserve">12549020700 </v>
      </c>
      <c r="E22532" t="s">
        <v>309</v>
      </c>
      <c r="F22532" t="s">
        <v>310</v>
      </c>
      <c r="G22532">
        <v>3.39</v>
      </c>
      <c r="H22532">
        <v>251201</v>
      </c>
      <c r="I22532">
        <v>4369</v>
      </c>
      <c r="J22532" t="s">
        <v>188</v>
      </c>
      <c r="K22532">
        <v>330.4</v>
      </c>
      <c r="L22532">
        <v>0.69</v>
      </c>
      <c r="M22532">
        <v>65422</v>
      </c>
      <c r="N22532" t="s">
        <v>117</v>
      </c>
      <c r="O22532">
        <v>251219</v>
      </c>
      <c r="P22532">
        <v>2.7</v>
      </c>
    </row>
    <row r="22533" spans="1:16" x14ac:dyDescent="0.25">
      <c r="A22533" t="s">
        <v>3296</v>
      </c>
      <c r="B22533" t="s">
        <v>2931</v>
      </c>
      <c r="C22533">
        <v>17272</v>
      </c>
      <c r="D22533" t="str">
        <f t="shared" si="513"/>
        <v xml:space="preserve">12549020700 </v>
      </c>
      <c r="E22533" t="s">
        <v>309</v>
      </c>
      <c r="F22533" t="s">
        <v>310</v>
      </c>
      <c r="G22533">
        <v>19.52</v>
      </c>
      <c r="H22533">
        <v>251201</v>
      </c>
      <c r="I22533">
        <v>4369</v>
      </c>
      <c r="J22533" t="s">
        <v>188</v>
      </c>
      <c r="K22533">
        <v>330.4</v>
      </c>
      <c r="L22533">
        <v>3.97</v>
      </c>
      <c r="M22533">
        <v>66722</v>
      </c>
      <c r="N22533" t="s">
        <v>118</v>
      </c>
      <c r="O22533">
        <v>251219</v>
      </c>
      <c r="P22533">
        <v>15.55</v>
      </c>
    </row>
    <row r="22534" spans="1:16" x14ac:dyDescent="0.25">
      <c r="A22534" t="s">
        <v>3296</v>
      </c>
      <c r="B22534" t="s">
        <v>2931</v>
      </c>
      <c r="C22534">
        <v>17272</v>
      </c>
      <c r="D22534" t="str">
        <f t="shared" si="513"/>
        <v xml:space="preserve">12549020700 </v>
      </c>
      <c r="E22534" t="s">
        <v>309</v>
      </c>
      <c r="F22534" t="s">
        <v>310</v>
      </c>
      <c r="G22534">
        <v>11.3</v>
      </c>
      <c r="H22534">
        <v>251201</v>
      </c>
      <c r="I22534">
        <v>4369</v>
      </c>
      <c r="J22534" t="s">
        <v>188</v>
      </c>
      <c r="K22534">
        <v>330.4</v>
      </c>
      <c r="L22534">
        <v>2.2999999999999998</v>
      </c>
      <c r="M22534">
        <v>66754</v>
      </c>
      <c r="N22534" t="s">
        <v>119</v>
      </c>
      <c r="O22534">
        <v>251219</v>
      </c>
      <c r="P22534">
        <v>9</v>
      </c>
    </row>
    <row r="22535" spans="1:16" x14ac:dyDescent="0.25">
      <c r="A22535" t="s">
        <v>3296</v>
      </c>
      <c r="B22535" t="s">
        <v>2931</v>
      </c>
      <c r="C22535">
        <v>17272</v>
      </c>
      <c r="D22535" t="str">
        <f t="shared" si="513"/>
        <v xml:space="preserve">12549020700 </v>
      </c>
      <c r="E22535" t="s">
        <v>309</v>
      </c>
      <c r="F22535" t="s">
        <v>310</v>
      </c>
      <c r="G22535">
        <v>6.78</v>
      </c>
      <c r="H22535">
        <v>251201</v>
      </c>
      <c r="I22535">
        <v>4369</v>
      </c>
      <c r="J22535" t="s">
        <v>188</v>
      </c>
      <c r="K22535">
        <v>330.4</v>
      </c>
      <c r="L22535">
        <v>1.38</v>
      </c>
      <c r="M22535">
        <v>66754</v>
      </c>
      <c r="N22535" t="s">
        <v>119</v>
      </c>
      <c r="O22535">
        <v>251219</v>
      </c>
      <c r="P22535">
        <v>5.4</v>
      </c>
    </row>
    <row r="22536" spans="1:16" x14ac:dyDescent="0.25">
      <c r="A22536" t="s">
        <v>3296</v>
      </c>
      <c r="B22536" t="s">
        <v>2931</v>
      </c>
      <c r="C22536">
        <v>17272</v>
      </c>
      <c r="D22536" t="str">
        <f t="shared" si="513"/>
        <v xml:space="preserve">12549020700 </v>
      </c>
      <c r="E22536" t="s">
        <v>309</v>
      </c>
      <c r="F22536" t="s">
        <v>310</v>
      </c>
      <c r="G22536">
        <v>3.48</v>
      </c>
      <c r="H22536">
        <v>251201</v>
      </c>
      <c r="I22536">
        <v>4369</v>
      </c>
      <c r="J22536" t="s">
        <v>188</v>
      </c>
      <c r="K22536">
        <v>330.4</v>
      </c>
      <c r="L22536">
        <v>0.71</v>
      </c>
      <c r="M22536">
        <v>66754</v>
      </c>
      <c r="N22536" t="s">
        <v>119</v>
      </c>
      <c r="O22536">
        <v>251219</v>
      </c>
      <c r="P22536">
        <v>2.77</v>
      </c>
    </row>
    <row r="22537" spans="1:16" x14ac:dyDescent="0.25">
      <c r="A22537" t="s">
        <v>3296</v>
      </c>
      <c r="B22537" t="s">
        <v>2931</v>
      </c>
      <c r="C22537">
        <v>17272</v>
      </c>
      <c r="D22537" t="str">
        <f t="shared" si="513"/>
        <v xml:space="preserve">12549020700 </v>
      </c>
      <c r="E22537" t="s">
        <v>309</v>
      </c>
      <c r="F22537" t="s">
        <v>310</v>
      </c>
      <c r="G22537">
        <v>10.19</v>
      </c>
      <c r="H22537">
        <v>251201</v>
      </c>
      <c r="I22537">
        <v>4369</v>
      </c>
      <c r="J22537" t="s">
        <v>188</v>
      </c>
      <c r="K22537">
        <v>330.4</v>
      </c>
      <c r="L22537">
        <v>2.0699999999999998</v>
      </c>
      <c r="M22537">
        <v>66754</v>
      </c>
      <c r="N22537" t="s">
        <v>119</v>
      </c>
      <c r="O22537">
        <v>251219</v>
      </c>
      <c r="P22537">
        <v>8.1199999999999992</v>
      </c>
    </row>
    <row r="22538" spans="1:16" x14ac:dyDescent="0.25">
      <c r="A22538" t="s">
        <v>3296</v>
      </c>
      <c r="B22538" t="s">
        <v>2931</v>
      </c>
      <c r="C22538">
        <v>17272</v>
      </c>
      <c r="D22538" t="str">
        <f t="shared" si="513"/>
        <v xml:space="preserve">12549020700 </v>
      </c>
      <c r="E22538" t="s">
        <v>309</v>
      </c>
      <c r="F22538" t="s">
        <v>310</v>
      </c>
      <c r="G22538">
        <v>10.039999999999999</v>
      </c>
      <c r="H22538">
        <v>251201</v>
      </c>
      <c r="I22538">
        <v>4369</v>
      </c>
      <c r="J22538" t="s">
        <v>188</v>
      </c>
      <c r="K22538">
        <v>330.4</v>
      </c>
      <c r="L22538">
        <v>2.04</v>
      </c>
      <c r="M22538">
        <v>66756</v>
      </c>
      <c r="N22538" t="s">
        <v>120</v>
      </c>
      <c r="O22538">
        <v>251219</v>
      </c>
      <c r="P22538">
        <v>8</v>
      </c>
    </row>
    <row r="22539" spans="1:16" x14ac:dyDescent="0.25">
      <c r="A22539" t="s">
        <v>3296</v>
      </c>
      <c r="B22539" t="s">
        <v>2931</v>
      </c>
      <c r="C22539">
        <v>17272</v>
      </c>
      <c r="D22539" t="str">
        <f t="shared" si="513"/>
        <v xml:space="preserve">12549020700 </v>
      </c>
      <c r="E22539" t="s">
        <v>309</v>
      </c>
      <c r="F22539" t="s">
        <v>310</v>
      </c>
      <c r="G22539">
        <v>24.17</v>
      </c>
      <c r="H22539">
        <v>251201</v>
      </c>
      <c r="I22539">
        <v>4369</v>
      </c>
      <c r="J22539" t="s">
        <v>188</v>
      </c>
      <c r="K22539">
        <v>330.4</v>
      </c>
      <c r="L22539">
        <v>4.91</v>
      </c>
      <c r="M22539">
        <v>67522</v>
      </c>
      <c r="N22539" t="s">
        <v>121</v>
      </c>
      <c r="O22539">
        <v>251219</v>
      </c>
      <c r="P22539">
        <v>19.260000000000002</v>
      </c>
    </row>
    <row r="22540" spans="1:16" x14ac:dyDescent="0.25">
      <c r="A22540" t="s">
        <v>3296</v>
      </c>
      <c r="B22540" t="s">
        <v>2931</v>
      </c>
      <c r="C22540">
        <v>17272</v>
      </c>
      <c r="D22540" t="str">
        <f t="shared" si="513"/>
        <v xml:space="preserve">12549020700 </v>
      </c>
      <c r="E22540" t="s">
        <v>309</v>
      </c>
      <c r="F22540" t="s">
        <v>310</v>
      </c>
      <c r="G22540">
        <v>16.899999999999999</v>
      </c>
      <c r="H22540">
        <v>251201</v>
      </c>
      <c r="I22540">
        <v>4369</v>
      </c>
      <c r="J22540" t="s">
        <v>188</v>
      </c>
      <c r="K22540">
        <v>330.4</v>
      </c>
      <c r="L22540">
        <v>3.43</v>
      </c>
      <c r="M22540">
        <v>67522</v>
      </c>
      <c r="N22540" t="s">
        <v>121</v>
      </c>
      <c r="O22540">
        <v>251219</v>
      </c>
      <c r="P22540">
        <v>13.47</v>
      </c>
    </row>
    <row r="22541" spans="1:16" x14ac:dyDescent="0.25">
      <c r="A22541" t="s">
        <v>3296</v>
      </c>
      <c r="B22541" t="s">
        <v>2931</v>
      </c>
      <c r="C22541">
        <v>17272</v>
      </c>
      <c r="D22541" t="str">
        <f t="shared" si="513"/>
        <v xml:space="preserve">12549020700 </v>
      </c>
      <c r="E22541" t="s">
        <v>309</v>
      </c>
      <c r="F22541" t="s">
        <v>310</v>
      </c>
      <c r="G22541">
        <v>3.39</v>
      </c>
      <c r="H22541">
        <v>251201</v>
      </c>
      <c r="I22541">
        <v>4369</v>
      </c>
      <c r="J22541" t="s">
        <v>188</v>
      </c>
      <c r="K22541">
        <v>330.4</v>
      </c>
      <c r="L22541">
        <v>0.69</v>
      </c>
      <c r="M22541">
        <v>67554</v>
      </c>
      <c r="N22541" t="s">
        <v>317</v>
      </c>
      <c r="O22541">
        <v>251219</v>
      </c>
      <c r="P22541">
        <v>2.7</v>
      </c>
    </row>
    <row r="22542" spans="1:16" x14ac:dyDescent="0.25">
      <c r="A22542" t="s">
        <v>3296</v>
      </c>
      <c r="B22542" t="s">
        <v>2931</v>
      </c>
      <c r="C22542">
        <v>17272</v>
      </c>
      <c r="D22542" t="str">
        <f t="shared" si="513"/>
        <v xml:space="preserve">12549020700 </v>
      </c>
      <c r="E22542" t="s">
        <v>309</v>
      </c>
      <c r="F22542" t="s">
        <v>310</v>
      </c>
      <c r="G22542">
        <v>58.29</v>
      </c>
      <c r="H22542">
        <v>251201</v>
      </c>
      <c r="I22542">
        <v>4369</v>
      </c>
      <c r="J22542" t="s">
        <v>188</v>
      </c>
      <c r="K22542">
        <v>330.4</v>
      </c>
      <c r="L22542">
        <v>11.84</v>
      </c>
      <c r="M22542">
        <v>67554</v>
      </c>
      <c r="N22542" t="s">
        <v>317</v>
      </c>
      <c r="O22542">
        <v>251219</v>
      </c>
      <c r="P22542">
        <v>46.45</v>
      </c>
    </row>
    <row r="22543" spans="1:16" x14ac:dyDescent="0.25">
      <c r="A22543" t="s">
        <v>3296</v>
      </c>
      <c r="B22543" t="s">
        <v>2931</v>
      </c>
      <c r="C22543">
        <v>17272</v>
      </c>
      <c r="D22543" t="str">
        <f t="shared" si="513"/>
        <v xml:space="preserve">12549020700 </v>
      </c>
      <c r="E22543" t="s">
        <v>309</v>
      </c>
      <c r="F22543" t="s">
        <v>310</v>
      </c>
      <c r="G22543">
        <v>7.38</v>
      </c>
      <c r="H22543">
        <v>251201</v>
      </c>
      <c r="I22543">
        <v>4369</v>
      </c>
      <c r="J22543" t="s">
        <v>188</v>
      </c>
      <c r="K22543">
        <v>330.4</v>
      </c>
      <c r="L22543">
        <v>1.5</v>
      </c>
      <c r="M22543">
        <v>67554</v>
      </c>
      <c r="N22543" t="s">
        <v>317</v>
      </c>
      <c r="O22543">
        <v>251219</v>
      </c>
      <c r="P22543">
        <v>5.88</v>
      </c>
    </row>
    <row r="22544" spans="1:16" x14ac:dyDescent="0.25">
      <c r="A22544" t="s">
        <v>3296</v>
      </c>
      <c r="B22544" t="s">
        <v>2931</v>
      </c>
      <c r="C22544">
        <v>17272</v>
      </c>
      <c r="D22544" t="str">
        <f t="shared" si="513"/>
        <v xml:space="preserve">12549020700 </v>
      </c>
      <c r="E22544" t="s">
        <v>309</v>
      </c>
      <c r="F22544" t="s">
        <v>310</v>
      </c>
      <c r="G22544">
        <v>12.3</v>
      </c>
      <c r="H22544">
        <v>251201</v>
      </c>
      <c r="I22544">
        <v>4369</v>
      </c>
      <c r="J22544" t="s">
        <v>188</v>
      </c>
      <c r="K22544">
        <v>330.4</v>
      </c>
      <c r="L22544">
        <v>2.5</v>
      </c>
      <c r="M22544">
        <v>68601</v>
      </c>
      <c r="N22544" t="s">
        <v>1031</v>
      </c>
      <c r="O22544">
        <v>251219</v>
      </c>
      <c r="P22544">
        <v>9.8000000000000007</v>
      </c>
    </row>
    <row r="22545" spans="1:16" x14ac:dyDescent="0.25">
      <c r="A22545" t="s">
        <v>3296</v>
      </c>
      <c r="B22545" t="s">
        <v>2931</v>
      </c>
      <c r="C22545">
        <v>17272</v>
      </c>
      <c r="D22545" t="str">
        <f t="shared" si="513"/>
        <v xml:space="preserve">12549020700 </v>
      </c>
      <c r="E22545" t="s">
        <v>309</v>
      </c>
      <c r="F22545" t="s">
        <v>310</v>
      </c>
      <c r="G22545">
        <v>3.39</v>
      </c>
      <c r="H22545">
        <v>251201</v>
      </c>
      <c r="I22545">
        <v>4369</v>
      </c>
      <c r="J22545" t="s">
        <v>188</v>
      </c>
      <c r="K22545">
        <v>330.4</v>
      </c>
      <c r="L22545">
        <v>0.69</v>
      </c>
      <c r="M22545">
        <v>68601</v>
      </c>
      <c r="N22545" t="s">
        <v>1031</v>
      </c>
      <c r="O22545">
        <v>251219</v>
      </c>
      <c r="P22545">
        <v>2.7</v>
      </c>
    </row>
    <row r="22546" spans="1:16" x14ac:dyDescent="0.25">
      <c r="A22546" t="s">
        <v>3296</v>
      </c>
      <c r="B22546" t="s">
        <v>2931</v>
      </c>
      <c r="C22546">
        <v>17272</v>
      </c>
      <c r="D22546" t="str">
        <f t="shared" si="513"/>
        <v xml:space="preserve">12549020700 </v>
      </c>
      <c r="E22546" t="s">
        <v>309</v>
      </c>
      <c r="F22546" t="s">
        <v>310</v>
      </c>
      <c r="G22546">
        <v>10.28</v>
      </c>
      <c r="H22546">
        <v>251201</v>
      </c>
      <c r="I22546">
        <v>4369</v>
      </c>
      <c r="J22546" t="s">
        <v>188</v>
      </c>
      <c r="K22546">
        <v>330.4</v>
      </c>
      <c r="L22546">
        <v>2.09</v>
      </c>
      <c r="M22546">
        <v>69111</v>
      </c>
      <c r="N22546" t="s">
        <v>657</v>
      </c>
      <c r="O22546">
        <v>251219</v>
      </c>
      <c r="P22546">
        <v>8.19</v>
      </c>
    </row>
    <row r="22547" spans="1:16" x14ac:dyDescent="0.25">
      <c r="A22547" t="s">
        <v>3296</v>
      </c>
      <c r="B22547" t="s">
        <v>2931</v>
      </c>
      <c r="C22547">
        <v>17272</v>
      </c>
      <c r="D22547" t="str">
        <f t="shared" si="513"/>
        <v xml:space="preserve">12549020700 </v>
      </c>
      <c r="E22547" t="s">
        <v>309</v>
      </c>
      <c r="F22547" t="s">
        <v>310</v>
      </c>
      <c r="G22547">
        <v>3.51</v>
      </c>
      <c r="H22547">
        <v>251201</v>
      </c>
      <c r="I22547">
        <v>4369</v>
      </c>
      <c r="J22547" t="s">
        <v>188</v>
      </c>
      <c r="K22547">
        <v>330.4</v>
      </c>
      <c r="L22547">
        <v>0.71</v>
      </c>
      <c r="M22547">
        <v>69112</v>
      </c>
      <c r="N22547" t="s">
        <v>227</v>
      </c>
      <c r="O22547">
        <v>251219</v>
      </c>
      <c r="P22547">
        <v>2.8</v>
      </c>
    </row>
    <row r="22548" spans="1:16" x14ac:dyDescent="0.25">
      <c r="A22548" t="s">
        <v>3296</v>
      </c>
      <c r="B22548" t="s">
        <v>2931</v>
      </c>
      <c r="C22548">
        <v>17272</v>
      </c>
      <c r="D22548" t="str">
        <f t="shared" si="513"/>
        <v xml:space="preserve">12549020700 </v>
      </c>
      <c r="E22548" t="s">
        <v>309</v>
      </c>
      <c r="F22548" t="s">
        <v>310</v>
      </c>
      <c r="G22548">
        <v>13.77</v>
      </c>
      <c r="H22548">
        <v>251201</v>
      </c>
      <c r="I22548">
        <v>4369</v>
      </c>
      <c r="J22548" t="s">
        <v>188</v>
      </c>
      <c r="K22548">
        <v>330.4</v>
      </c>
      <c r="L22548">
        <v>2.8</v>
      </c>
      <c r="M22548">
        <v>69113</v>
      </c>
      <c r="N22548" t="s">
        <v>122</v>
      </c>
      <c r="O22548">
        <v>251219</v>
      </c>
      <c r="P22548">
        <v>10.97</v>
      </c>
    </row>
    <row r="22549" spans="1:16" x14ac:dyDescent="0.25">
      <c r="A22549" t="s">
        <v>3296</v>
      </c>
      <c r="B22549" t="s">
        <v>2931</v>
      </c>
      <c r="C22549">
        <v>17272</v>
      </c>
      <c r="D22549" t="str">
        <f t="shared" si="513"/>
        <v xml:space="preserve">12549020700 </v>
      </c>
      <c r="E22549" t="s">
        <v>309</v>
      </c>
      <c r="F22549" t="s">
        <v>310</v>
      </c>
      <c r="G22549">
        <v>28.2</v>
      </c>
      <c r="H22549">
        <v>251201</v>
      </c>
      <c r="I22549">
        <v>4369</v>
      </c>
      <c r="J22549" t="s">
        <v>188</v>
      </c>
      <c r="K22549">
        <v>330.4</v>
      </c>
      <c r="L22549">
        <v>5.73</v>
      </c>
      <c r="M22549">
        <v>69501</v>
      </c>
      <c r="N22549" t="s">
        <v>123</v>
      </c>
      <c r="O22549">
        <v>251219</v>
      </c>
      <c r="P22549">
        <v>22.47</v>
      </c>
    </row>
    <row r="22550" spans="1:16" x14ac:dyDescent="0.25">
      <c r="A22550" t="s">
        <v>3296</v>
      </c>
      <c r="B22550" t="s">
        <v>2931</v>
      </c>
      <c r="C22550">
        <v>17272</v>
      </c>
      <c r="D22550" t="str">
        <f t="shared" si="513"/>
        <v xml:space="preserve">12549020700 </v>
      </c>
      <c r="E22550" t="s">
        <v>309</v>
      </c>
      <c r="F22550" t="s">
        <v>310</v>
      </c>
      <c r="G22550">
        <v>5.3</v>
      </c>
      <c r="H22550">
        <v>251201</v>
      </c>
      <c r="I22550">
        <v>4369</v>
      </c>
      <c r="J22550" t="s">
        <v>188</v>
      </c>
      <c r="K22550">
        <v>330.4</v>
      </c>
      <c r="L22550">
        <v>1.08</v>
      </c>
      <c r="M22550">
        <v>69701</v>
      </c>
      <c r="N22550" t="s">
        <v>1030</v>
      </c>
      <c r="O22550">
        <v>251219</v>
      </c>
      <c r="P22550">
        <v>4.22</v>
      </c>
    </row>
    <row r="22551" spans="1:16" x14ac:dyDescent="0.25">
      <c r="A22551" t="s">
        <v>3296</v>
      </c>
      <c r="B22551" t="s">
        <v>2931</v>
      </c>
      <c r="C22551">
        <v>17272</v>
      </c>
      <c r="D22551" t="str">
        <f t="shared" si="513"/>
        <v xml:space="preserve">12549020700 </v>
      </c>
      <c r="E22551" t="s">
        <v>309</v>
      </c>
      <c r="F22551" t="s">
        <v>310</v>
      </c>
      <c r="G22551">
        <v>3.39</v>
      </c>
      <c r="H22551">
        <v>251201</v>
      </c>
      <c r="I22551">
        <v>4369</v>
      </c>
      <c r="J22551" t="s">
        <v>188</v>
      </c>
      <c r="K22551">
        <v>330.4</v>
      </c>
      <c r="L22551">
        <v>0.69</v>
      </c>
      <c r="M22551">
        <v>69702</v>
      </c>
      <c r="N22551" t="s">
        <v>124</v>
      </c>
      <c r="O22551">
        <v>251219</v>
      </c>
      <c r="P22551">
        <v>2.7</v>
      </c>
    </row>
    <row r="22552" spans="1:16" x14ac:dyDescent="0.25">
      <c r="A22552" t="s">
        <v>3296</v>
      </c>
      <c r="B22552" t="s">
        <v>2931</v>
      </c>
      <c r="C22552">
        <v>17272</v>
      </c>
      <c r="D22552" t="str">
        <f t="shared" si="513"/>
        <v xml:space="preserve">12549020700 </v>
      </c>
      <c r="E22552" t="s">
        <v>309</v>
      </c>
      <c r="F22552" t="s">
        <v>310</v>
      </c>
      <c r="G22552">
        <v>6.59</v>
      </c>
      <c r="H22552">
        <v>251201</v>
      </c>
      <c r="I22552">
        <v>4369</v>
      </c>
      <c r="J22552" t="s">
        <v>188</v>
      </c>
      <c r="K22552">
        <v>330.4</v>
      </c>
      <c r="L22552">
        <v>1.34</v>
      </c>
      <c r="M22552">
        <v>69702</v>
      </c>
      <c r="N22552" t="s">
        <v>124</v>
      </c>
      <c r="O22552">
        <v>251219</v>
      </c>
      <c r="P22552">
        <v>5.25</v>
      </c>
    </row>
    <row r="22553" spans="1:16" x14ac:dyDescent="0.25">
      <c r="A22553" t="s">
        <v>3296</v>
      </c>
      <c r="B22553" t="s">
        <v>2931</v>
      </c>
      <c r="C22553">
        <v>17272</v>
      </c>
      <c r="D22553" t="str">
        <f t="shared" si="513"/>
        <v xml:space="preserve">12549020700 </v>
      </c>
      <c r="E22553" t="s">
        <v>309</v>
      </c>
      <c r="F22553" t="s">
        <v>310</v>
      </c>
      <c r="G22553">
        <v>5.35</v>
      </c>
      <c r="H22553">
        <v>251201</v>
      </c>
      <c r="I22553">
        <v>4369</v>
      </c>
      <c r="J22553" t="s">
        <v>188</v>
      </c>
      <c r="K22553">
        <v>330.4</v>
      </c>
      <c r="L22553">
        <v>1.0900000000000001</v>
      </c>
      <c r="M22553">
        <v>69703</v>
      </c>
      <c r="N22553" t="s">
        <v>88</v>
      </c>
      <c r="O22553">
        <v>251219</v>
      </c>
      <c r="P22553">
        <v>4.26</v>
      </c>
    </row>
    <row r="22554" spans="1:16" x14ac:dyDescent="0.25">
      <c r="A22554" t="s">
        <v>3296</v>
      </c>
      <c r="B22554" t="s">
        <v>2931</v>
      </c>
      <c r="C22554">
        <v>17272</v>
      </c>
      <c r="D22554" t="str">
        <f t="shared" si="513"/>
        <v xml:space="preserve">12549020700 </v>
      </c>
      <c r="E22554" t="s">
        <v>309</v>
      </c>
      <c r="F22554" t="s">
        <v>310</v>
      </c>
      <c r="G22554">
        <v>6.59</v>
      </c>
      <c r="H22554">
        <v>251201</v>
      </c>
      <c r="I22554">
        <v>4369</v>
      </c>
      <c r="J22554" t="s">
        <v>188</v>
      </c>
      <c r="K22554">
        <v>330.4</v>
      </c>
      <c r="L22554">
        <v>1.34</v>
      </c>
      <c r="M22554">
        <v>69704</v>
      </c>
      <c r="N22554" t="s">
        <v>89</v>
      </c>
      <c r="O22554">
        <v>251219</v>
      </c>
      <c r="P22554">
        <v>5.25</v>
      </c>
    </row>
    <row r="22555" spans="1:16" x14ac:dyDescent="0.25">
      <c r="A22555" t="s">
        <v>3296</v>
      </c>
      <c r="B22555" t="s">
        <v>2931</v>
      </c>
      <c r="C22555">
        <v>17272</v>
      </c>
      <c r="D22555" t="str">
        <f t="shared" si="513"/>
        <v xml:space="preserve">12549020700 </v>
      </c>
      <c r="E22555" t="s">
        <v>309</v>
      </c>
      <c r="F22555" t="s">
        <v>310</v>
      </c>
      <c r="G22555">
        <v>10.17</v>
      </c>
      <c r="H22555">
        <v>251201</v>
      </c>
      <c r="I22555">
        <v>4369</v>
      </c>
      <c r="J22555" t="s">
        <v>188</v>
      </c>
      <c r="K22555">
        <v>330.4</v>
      </c>
      <c r="L22555">
        <v>2.0699999999999998</v>
      </c>
      <c r="M22555">
        <v>69707</v>
      </c>
      <c r="N22555" t="s">
        <v>90</v>
      </c>
      <c r="O22555">
        <v>251219</v>
      </c>
      <c r="P22555">
        <v>8.1</v>
      </c>
    </row>
    <row r="22556" spans="1:16" x14ac:dyDescent="0.25">
      <c r="A22556" t="s">
        <v>3296</v>
      </c>
      <c r="B22556" t="s">
        <v>2931</v>
      </c>
      <c r="C22556">
        <v>17272</v>
      </c>
      <c r="D22556" t="str">
        <f t="shared" si="513"/>
        <v xml:space="preserve">12549020700 </v>
      </c>
      <c r="E22556" t="s">
        <v>309</v>
      </c>
      <c r="F22556" t="s">
        <v>310</v>
      </c>
      <c r="G22556">
        <v>6.78</v>
      </c>
      <c r="H22556">
        <v>251201</v>
      </c>
      <c r="I22556">
        <v>4369</v>
      </c>
      <c r="J22556" t="s">
        <v>188</v>
      </c>
      <c r="K22556">
        <v>330.4</v>
      </c>
      <c r="L22556">
        <v>1.38</v>
      </c>
      <c r="M22556">
        <v>69708</v>
      </c>
      <c r="N22556" t="s">
        <v>125</v>
      </c>
      <c r="O22556">
        <v>251219</v>
      </c>
      <c r="P22556">
        <v>5.4</v>
      </c>
    </row>
    <row r="22557" spans="1:16" x14ac:dyDescent="0.25">
      <c r="A22557" t="s">
        <v>3296</v>
      </c>
      <c r="B22557" t="s">
        <v>2931</v>
      </c>
      <c r="C22557">
        <v>18326</v>
      </c>
      <c r="D22557" t="str">
        <f>"12602020492 "</f>
        <v xml:space="preserve">12602020492 </v>
      </c>
      <c r="E22557" t="s">
        <v>309</v>
      </c>
      <c r="F22557" t="s">
        <v>310</v>
      </c>
      <c r="G22557">
        <v>3.39</v>
      </c>
      <c r="H22557">
        <v>251231</v>
      </c>
      <c r="I22557">
        <v>4369</v>
      </c>
      <c r="J22557" t="s">
        <v>188</v>
      </c>
      <c r="K22557">
        <v>26.73</v>
      </c>
      <c r="L22557">
        <v>0.69</v>
      </c>
      <c r="M22557">
        <v>56522</v>
      </c>
      <c r="N22557" t="s">
        <v>68</v>
      </c>
      <c r="O22557">
        <v>260113</v>
      </c>
      <c r="P22557">
        <v>2.7</v>
      </c>
    </row>
    <row r="22558" spans="1:16" x14ac:dyDescent="0.25">
      <c r="A22558" t="s">
        <v>3296</v>
      </c>
      <c r="B22558" t="s">
        <v>2931</v>
      </c>
      <c r="C22558">
        <v>18326</v>
      </c>
      <c r="D22558" t="str">
        <f>"12602020492 "</f>
        <v xml:space="preserve">12602020492 </v>
      </c>
      <c r="E22558" t="s">
        <v>309</v>
      </c>
      <c r="F22558" t="s">
        <v>310</v>
      </c>
      <c r="G22558">
        <v>13.18</v>
      </c>
      <c r="H22558">
        <v>251231</v>
      </c>
      <c r="I22558">
        <v>4369</v>
      </c>
      <c r="J22558" t="s">
        <v>188</v>
      </c>
      <c r="K22558">
        <v>26.73</v>
      </c>
      <c r="L22558">
        <v>2.68</v>
      </c>
      <c r="M22558">
        <v>56524</v>
      </c>
      <c r="N22558" t="s">
        <v>69</v>
      </c>
      <c r="O22558">
        <v>260113</v>
      </c>
      <c r="P22558">
        <v>10.5</v>
      </c>
    </row>
    <row r="22559" spans="1:16" x14ac:dyDescent="0.25">
      <c r="A22559" t="s">
        <v>3296</v>
      </c>
      <c r="B22559" t="s">
        <v>2931</v>
      </c>
      <c r="C22559">
        <v>18326</v>
      </c>
      <c r="D22559" t="str">
        <f>"12602020492 "</f>
        <v xml:space="preserve">12602020492 </v>
      </c>
      <c r="E22559" t="s">
        <v>309</v>
      </c>
      <c r="F22559" t="s">
        <v>310</v>
      </c>
      <c r="G22559">
        <v>10.16</v>
      </c>
      <c r="H22559">
        <v>251231</v>
      </c>
      <c r="I22559">
        <v>4369</v>
      </c>
      <c r="J22559" t="s">
        <v>188</v>
      </c>
      <c r="K22559">
        <v>26.73</v>
      </c>
      <c r="L22559">
        <v>2.06</v>
      </c>
      <c r="M22559">
        <v>56528</v>
      </c>
      <c r="N22559" t="s">
        <v>70</v>
      </c>
      <c r="O22559">
        <v>260113</v>
      </c>
      <c r="P22559">
        <v>8.1</v>
      </c>
    </row>
    <row r="22560" spans="1:16" x14ac:dyDescent="0.25">
      <c r="A22560" t="s">
        <v>3296</v>
      </c>
      <c r="B22560" t="s">
        <v>2931</v>
      </c>
      <c r="C22560">
        <v>18328</v>
      </c>
      <c r="D22560" t="str">
        <f>"12602020499 "</f>
        <v xml:space="preserve">12602020499 </v>
      </c>
      <c r="E22560" t="s">
        <v>309</v>
      </c>
      <c r="F22560" t="s">
        <v>310</v>
      </c>
      <c r="G22560">
        <v>34.32</v>
      </c>
      <c r="H22560">
        <v>251231</v>
      </c>
      <c r="I22560">
        <v>4369</v>
      </c>
      <c r="J22560" t="s">
        <v>188</v>
      </c>
      <c r="K22560">
        <v>34.32</v>
      </c>
      <c r="L22560">
        <v>6.97</v>
      </c>
      <c r="M22560">
        <v>49501</v>
      </c>
      <c r="N22560" t="s">
        <v>110</v>
      </c>
      <c r="O22560">
        <v>260113</v>
      </c>
      <c r="P22560">
        <v>27.35</v>
      </c>
    </row>
    <row r="22561" spans="1:16" x14ac:dyDescent="0.25">
      <c r="A22561" t="s">
        <v>3296</v>
      </c>
      <c r="B22561" t="s">
        <v>2931</v>
      </c>
      <c r="C22561">
        <v>18331</v>
      </c>
      <c r="D22561" t="str">
        <f t="shared" ref="D22561:D22570" si="514">"12602020514 "</f>
        <v xml:space="preserve">12602020514 </v>
      </c>
      <c r="E22561" t="s">
        <v>309</v>
      </c>
      <c r="F22561" t="s">
        <v>310</v>
      </c>
      <c r="G22561">
        <v>10.17</v>
      </c>
      <c r="H22561">
        <v>251231</v>
      </c>
      <c r="I22561">
        <v>4369</v>
      </c>
      <c r="J22561" t="s">
        <v>188</v>
      </c>
      <c r="K22561">
        <v>119.78</v>
      </c>
      <c r="L22561">
        <v>2.0699999999999998</v>
      </c>
      <c r="M22561">
        <v>17131</v>
      </c>
      <c r="N22561" t="s">
        <v>154</v>
      </c>
      <c r="O22561">
        <v>260113</v>
      </c>
      <c r="P22561">
        <v>8.1</v>
      </c>
    </row>
    <row r="22562" spans="1:16" x14ac:dyDescent="0.25">
      <c r="A22562" t="s">
        <v>3296</v>
      </c>
      <c r="B22562" t="s">
        <v>2931</v>
      </c>
      <c r="C22562">
        <v>18331</v>
      </c>
      <c r="D22562" t="str">
        <f t="shared" si="514"/>
        <v xml:space="preserve">12602020514 </v>
      </c>
      <c r="E22562" t="s">
        <v>309</v>
      </c>
      <c r="F22562" t="s">
        <v>310</v>
      </c>
      <c r="G22562">
        <v>23.44</v>
      </c>
      <c r="H22562">
        <v>251231</v>
      </c>
      <c r="I22562">
        <v>4369</v>
      </c>
      <c r="J22562" t="s">
        <v>188</v>
      </c>
      <c r="K22562">
        <v>119.78</v>
      </c>
      <c r="L22562">
        <v>4.76</v>
      </c>
      <c r="M22562">
        <v>17711</v>
      </c>
      <c r="N22562" t="s">
        <v>155</v>
      </c>
      <c r="O22562">
        <v>260113</v>
      </c>
      <c r="P22562">
        <v>18.68</v>
      </c>
    </row>
    <row r="22563" spans="1:16" x14ac:dyDescent="0.25">
      <c r="A22563" t="s">
        <v>3296</v>
      </c>
      <c r="B22563" t="s">
        <v>2931</v>
      </c>
      <c r="C22563">
        <v>18331</v>
      </c>
      <c r="D22563" t="str">
        <f t="shared" si="514"/>
        <v xml:space="preserve">12602020514 </v>
      </c>
      <c r="E22563" t="s">
        <v>309</v>
      </c>
      <c r="F22563" t="s">
        <v>310</v>
      </c>
      <c r="G22563">
        <v>7.1</v>
      </c>
      <c r="H22563">
        <v>251231</v>
      </c>
      <c r="I22563">
        <v>4369</v>
      </c>
      <c r="J22563" t="s">
        <v>188</v>
      </c>
      <c r="K22563">
        <v>119.78</v>
      </c>
      <c r="L22563">
        <v>1.44</v>
      </c>
      <c r="M22563">
        <v>17737</v>
      </c>
      <c r="N22563" t="s">
        <v>156</v>
      </c>
      <c r="O22563">
        <v>260113</v>
      </c>
      <c r="P22563">
        <v>5.66</v>
      </c>
    </row>
    <row r="22564" spans="1:16" x14ac:dyDescent="0.25">
      <c r="A22564" t="s">
        <v>3296</v>
      </c>
      <c r="B22564" t="s">
        <v>2931</v>
      </c>
      <c r="C22564">
        <v>18331</v>
      </c>
      <c r="D22564" t="str">
        <f t="shared" si="514"/>
        <v xml:space="preserve">12602020514 </v>
      </c>
      <c r="E22564" t="s">
        <v>309</v>
      </c>
      <c r="F22564" t="s">
        <v>310</v>
      </c>
      <c r="G22564">
        <v>13.55</v>
      </c>
      <c r="H22564">
        <v>251231</v>
      </c>
      <c r="I22564">
        <v>4369</v>
      </c>
      <c r="J22564" t="s">
        <v>188</v>
      </c>
      <c r="K22564">
        <v>119.78</v>
      </c>
      <c r="L22564">
        <v>2.75</v>
      </c>
      <c r="M22564">
        <v>17737</v>
      </c>
      <c r="N22564" t="s">
        <v>156</v>
      </c>
      <c r="O22564">
        <v>260113</v>
      </c>
      <c r="P22564">
        <v>10.8</v>
      </c>
    </row>
    <row r="22565" spans="1:16" x14ac:dyDescent="0.25">
      <c r="A22565" t="s">
        <v>3296</v>
      </c>
      <c r="B22565" t="s">
        <v>2931</v>
      </c>
      <c r="C22565">
        <v>18331</v>
      </c>
      <c r="D22565" t="str">
        <f t="shared" si="514"/>
        <v xml:space="preserve">12602020514 </v>
      </c>
      <c r="E22565" t="s">
        <v>309</v>
      </c>
      <c r="F22565" t="s">
        <v>310</v>
      </c>
      <c r="G22565">
        <v>16.75</v>
      </c>
      <c r="H22565">
        <v>251231</v>
      </c>
      <c r="I22565">
        <v>4369</v>
      </c>
      <c r="J22565" t="s">
        <v>188</v>
      </c>
      <c r="K22565">
        <v>119.78</v>
      </c>
      <c r="L22565">
        <v>3.4</v>
      </c>
      <c r="M22565">
        <v>17737</v>
      </c>
      <c r="N22565" t="s">
        <v>156</v>
      </c>
      <c r="O22565">
        <v>260113</v>
      </c>
      <c r="P22565">
        <v>13.35</v>
      </c>
    </row>
    <row r="22566" spans="1:16" x14ac:dyDescent="0.25">
      <c r="A22566" t="s">
        <v>3296</v>
      </c>
      <c r="B22566" t="s">
        <v>2931</v>
      </c>
      <c r="C22566">
        <v>18331</v>
      </c>
      <c r="D22566" t="str">
        <f t="shared" si="514"/>
        <v xml:space="preserve">12602020514 </v>
      </c>
      <c r="E22566" t="s">
        <v>309</v>
      </c>
      <c r="F22566" t="s">
        <v>310</v>
      </c>
      <c r="G22566">
        <v>3.39</v>
      </c>
      <c r="H22566">
        <v>251231</v>
      </c>
      <c r="I22566">
        <v>4369</v>
      </c>
      <c r="J22566" t="s">
        <v>188</v>
      </c>
      <c r="K22566">
        <v>119.78</v>
      </c>
      <c r="L22566">
        <v>0.69</v>
      </c>
      <c r="M22566">
        <v>17912</v>
      </c>
      <c r="N22566" t="s">
        <v>505</v>
      </c>
      <c r="O22566">
        <v>260113</v>
      </c>
      <c r="P22566">
        <v>2.7</v>
      </c>
    </row>
    <row r="22567" spans="1:16" x14ac:dyDescent="0.25">
      <c r="A22567" t="s">
        <v>3296</v>
      </c>
      <c r="B22567" t="s">
        <v>2931</v>
      </c>
      <c r="C22567">
        <v>18331</v>
      </c>
      <c r="D22567" t="str">
        <f t="shared" si="514"/>
        <v xml:space="preserve">12602020514 </v>
      </c>
      <c r="E22567" t="s">
        <v>309</v>
      </c>
      <c r="F22567" t="s">
        <v>310</v>
      </c>
      <c r="G22567">
        <v>3.39</v>
      </c>
      <c r="H22567">
        <v>251231</v>
      </c>
      <c r="I22567">
        <v>4369</v>
      </c>
      <c r="J22567" t="s">
        <v>188</v>
      </c>
      <c r="K22567">
        <v>119.78</v>
      </c>
      <c r="L22567">
        <v>0.69</v>
      </c>
      <c r="M22567">
        <v>17915</v>
      </c>
      <c r="N22567" t="s">
        <v>305</v>
      </c>
      <c r="O22567">
        <v>260113</v>
      </c>
      <c r="P22567">
        <v>2.7</v>
      </c>
    </row>
    <row r="22568" spans="1:16" x14ac:dyDescent="0.25">
      <c r="A22568" t="s">
        <v>3296</v>
      </c>
      <c r="B22568" t="s">
        <v>2931</v>
      </c>
      <c r="C22568">
        <v>18331</v>
      </c>
      <c r="D22568" t="str">
        <f t="shared" si="514"/>
        <v xml:space="preserve">12602020514 </v>
      </c>
      <c r="E22568" t="s">
        <v>309</v>
      </c>
      <c r="F22568" t="s">
        <v>310</v>
      </c>
      <c r="G22568">
        <v>13.56</v>
      </c>
      <c r="H22568">
        <v>251231</v>
      </c>
      <c r="I22568">
        <v>4369</v>
      </c>
      <c r="J22568" t="s">
        <v>188</v>
      </c>
      <c r="K22568">
        <v>119.78</v>
      </c>
      <c r="L22568">
        <v>2.76</v>
      </c>
      <c r="M22568">
        <v>17952</v>
      </c>
      <c r="N22568" t="s">
        <v>157</v>
      </c>
      <c r="O22568">
        <v>260113</v>
      </c>
      <c r="P22568">
        <v>10.8</v>
      </c>
    </row>
    <row r="22569" spans="1:16" x14ac:dyDescent="0.25">
      <c r="A22569" t="s">
        <v>3296</v>
      </c>
      <c r="B22569" t="s">
        <v>2931</v>
      </c>
      <c r="C22569">
        <v>18331</v>
      </c>
      <c r="D22569" t="str">
        <f t="shared" si="514"/>
        <v xml:space="preserve">12602020514 </v>
      </c>
      <c r="E22569" t="s">
        <v>309</v>
      </c>
      <c r="F22569" t="s">
        <v>310</v>
      </c>
      <c r="G22569">
        <v>21.51</v>
      </c>
      <c r="H22569">
        <v>251231</v>
      </c>
      <c r="I22569">
        <v>4369</v>
      </c>
      <c r="J22569" t="s">
        <v>188</v>
      </c>
      <c r="K22569">
        <v>119.78</v>
      </c>
      <c r="L22569">
        <v>4.37</v>
      </c>
      <c r="M22569">
        <v>17971</v>
      </c>
      <c r="N22569" t="s">
        <v>27</v>
      </c>
      <c r="O22569">
        <v>260113</v>
      </c>
      <c r="P22569">
        <v>17.14</v>
      </c>
    </row>
    <row r="22570" spans="1:16" x14ac:dyDescent="0.25">
      <c r="A22570" t="s">
        <v>3296</v>
      </c>
      <c r="B22570" t="s">
        <v>2931</v>
      </c>
      <c r="C22570">
        <v>18331</v>
      </c>
      <c r="D22570" t="str">
        <f t="shared" si="514"/>
        <v xml:space="preserve">12602020514 </v>
      </c>
      <c r="E22570" t="s">
        <v>309</v>
      </c>
      <c r="F22570" t="s">
        <v>310</v>
      </c>
      <c r="G22570">
        <v>6.92</v>
      </c>
      <c r="H22570">
        <v>251231</v>
      </c>
      <c r="I22570">
        <v>4369</v>
      </c>
      <c r="J22570" t="s">
        <v>188</v>
      </c>
      <c r="K22570">
        <v>119.78</v>
      </c>
      <c r="L22570">
        <v>1.41</v>
      </c>
      <c r="M22570">
        <v>17972</v>
      </c>
      <c r="N22570" t="s">
        <v>28</v>
      </c>
      <c r="O22570">
        <v>260113</v>
      </c>
      <c r="P22570">
        <v>5.51</v>
      </c>
    </row>
    <row r="22571" spans="1:16" x14ac:dyDescent="0.25">
      <c r="A22571" t="s">
        <v>3296</v>
      </c>
      <c r="B22571" t="s">
        <v>2931</v>
      </c>
      <c r="C22571">
        <v>18333</v>
      </c>
      <c r="D22571" t="str">
        <f>"12602020506 "</f>
        <v xml:space="preserve">12602020506 </v>
      </c>
      <c r="E22571" t="s">
        <v>309</v>
      </c>
      <c r="F22571" t="s">
        <v>310</v>
      </c>
      <c r="G22571">
        <v>6.78</v>
      </c>
      <c r="H22571">
        <v>251231</v>
      </c>
      <c r="I22571">
        <v>4369</v>
      </c>
      <c r="J22571" t="s">
        <v>188</v>
      </c>
      <c r="K22571">
        <v>6.78</v>
      </c>
      <c r="L22571">
        <v>1.38</v>
      </c>
      <c r="M22571">
        <v>46556</v>
      </c>
      <c r="N22571" t="s">
        <v>458</v>
      </c>
      <c r="O22571">
        <v>260113</v>
      </c>
      <c r="P22571">
        <v>5.4</v>
      </c>
    </row>
    <row r="22572" spans="1:16" x14ac:dyDescent="0.25">
      <c r="A22572" t="s">
        <v>3296</v>
      </c>
      <c r="B22572" t="s">
        <v>2931</v>
      </c>
      <c r="C22572">
        <v>18339</v>
      </c>
      <c r="D22572" t="str">
        <f>"12602020521 "</f>
        <v xml:space="preserve">12602020521 </v>
      </c>
      <c r="E22572" t="s">
        <v>309</v>
      </c>
      <c r="F22572" t="s">
        <v>310</v>
      </c>
      <c r="G22572">
        <v>3.2</v>
      </c>
      <c r="H22572">
        <v>251231</v>
      </c>
      <c r="I22572">
        <v>4369</v>
      </c>
      <c r="J22572" t="s">
        <v>188</v>
      </c>
      <c r="K22572">
        <v>3.2</v>
      </c>
      <c r="L22572">
        <v>0.65</v>
      </c>
      <c r="M22572">
        <v>13801</v>
      </c>
      <c r="N22572" t="s">
        <v>33</v>
      </c>
      <c r="O22572">
        <v>260113</v>
      </c>
      <c r="P22572">
        <v>2.5499999999999998</v>
      </c>
    </row>
    <row r="22573" spans="1:16" x14ac:dyDescent="0.25">
      <c r="A22573" t="s">
        <v>3296</v>
      </c>
      <c r="B22573" t="s">
        <v>2931</v>
      </c>
      <c r="C22573">
        <v>18359</v>
      </c>
      <c r="D22573" t="str">
        <f>"12602020493 "</f>
        <v xml:space="preserve">12602020493 </v>
      </c>
      <c r="E22573" t="s">
        <v>309</v>
      </c>
      <c r="F22573" t="s">
        <v>310</v>
      </c>
      <c r="G22573">
        <v>3.39</v>
      </c>
      <c r="H22573">
        <v>251231</v>
      </c>
      <c r="I22573">
        <v>4369</v>
      </c>
      <c r="J22573" t="s">
        <v>188</v>
      </c>
      <c r="K22573">
        <v>23.15</v>
      </c>
      <c r="L22573">
        <v>0</v>
      </c>
      <c r="M22573">
        <v>59702</v>
      </c>
      <c r="N22573" t="s">
        <v>45</v>
      </c>
      <c r="O22573">
        <v>260113</v>
      </c>
      <c r="P22573">
        <v>3.39</v>
      </c>
    </row>
    <row r="22574" spans="1:16" x14ac:dyDescent="0.25">
      <c r="A22574" t="s">
        <v>3296</v>
      </c>
      <c r="B22574" t="s">
        <v>2931</v>
      </c>
      <c r="C22574">
        <v>18359</v>
      </c>
      <c r="D22574" t="str">
        <f>"12602020493 "</f>
        <v xml:space="preserve">12602020493 </v>
      </c>
      <c r="E22574" t="s">
        <v>309</v>
      </c>
      <c r="F22574" t="s">
        <v>310</v>
      </c>
      <c r="G22574">
        <v>9.7899999999999991</v>
      </c>
      <c r="H22574">
        <v>251231</v>
      </c>
      <c r="I22574">
        <v>4369</v>
      </c>
      <c r="J22574" t="s">
        <v>188</v>
      </c>
      <c r="K22574">
        <v>23.15</v>
      </c>
      <c r="L22574">
        <v>1.99</v>
      </c>
      <c r="M22574">
        <v>59702</v>
      </c>
      <c r="N22574" t="s">
        <v>45</v>
      </c>
      <c r="O22574">
        <v>260113</v>
      </c>
      <c r="P22574">
        <v>7.8</v>
      </c>
    </row>
    <row r="22575" spans="1:16" x14ac:dyDescent="0.25">
      <c r="A22575" t="s">
        <v>3296</v>
      </c>
      <c r="B22575" t="s">
        <v>2931</v>
      </c>
      <c r="C22575">
        <v>18359</v>
      </c>
      <c r="D22575" t="str">
        <f>"12602020493 "</f>
        <v xml:space="preserve">12602020493 </v>
      </c>
      <c r="E22575" t="s">
        <v>309</v>
      </c>
      <c r="F22575" t="s">
        <v>310</v>
      </c>
      <c r="G22575">
        <v>9.9700000000000006</v>
      </c>
      <c r="H22575">
        <v>251231</v>
      </c>
      <c r="I22575">
        <v>4369</v>
      </c>
      <c r="J22575" t="s">
        <v>188</v>
      </c>
      <c r="K22575">
        <v>23.15</v>
      </c>
      <c r="L22575">
        <v>2.0299999999999998</v>
      </c>
      <c r="M22575">
        <v>59704</v>
      </c>
      <c r="N22575" t="s">
        <v>46</v>
      </c>
      <c r="O22575">
        <v>260113</v>
      </c>
      <c r="P22575">
        <v>7.94</v>
      </c>
    </row>
    <row r="22576" spans="1:16" x14ac:dyDescent="0.25">
      <c r="A22576" t="s">
        <v>3296</v>
      </c>
      <c r="B22576" t="s">
        <v>2931</v>
      </c>
      <c r="C22576">
        <v>18362</v>
      </c>
      <c r="D22576" t="str">
        <f>"12602020503 "</f>
        <v xml:space="preserve">12602020503 </v>
      </c>
      <c r="E22576" t="s">
        <v>309</v>
      </c>
      <c r="F22576" t="s">
        <v>310</v>
      </c>
      <c r="G22576">
        <v>17.71</v>
      </c>
      <c r="H22576">
        <v>251231</v>
      </c>
      <c r="I22576">
        <v>4369</v>
      </c>
      <c r="J22576" t="s">
        <v>188</v>
      </c>
      <c r="K22576">
        <v>28.34</v>
      </c>
      <c r="L22576">
        <v>3.6</v>
      </c>
      <c r="M22576">
        <v>46554</v>
      </c>
      <c r="N22576" t="s">
        <v>102</v>
      </c>
      <c r="O22576">
        <v>260113</v>
      </c>
      <c r="P22576">
        <v>14.11</v>
      </c>
    </row>
    <row r="22577" spans="1:16" x14ac:dyDescent="0.25">
      <c r="A22577" t="s">
        <v>3296</v>
      </c>
      <c r="B22577" t="s">
        <v>2931</v>
      </c>
      <c r="C22577">
        <v>18362</v>
      </c>
      <c r="D22577" t="str">
        <f>"12602020503 "</f>
        <v xml:space="preserve">12602020503 </v>
      </c>
      <c r="E22577" t="s">
        <v>309</v>
      </c>
      <c r="F22577" t="s">
        <v>310</v>
      </c>
      <c r="G22577">
        <v>10.63</v>
      </c>
      <c r="H22577">
        <v>251231</v>
      </c>
      <c r="I22577">
        <v>4369</v>
      </c>
      <c r="J22577" t="s">
        <v>188</v>
      </c>
      <c r="K22577">
        <v>28.34</v>
      </c>
      <c r="L22577">
        <v>2.16</v>
      </c>
      <c r="M22577">
        <v>46554</v>
      </c>
      <c r="N22577" t="s">
        <v>102</v>
      </c>
      <c r="O22577">
        <v>260113</v>
      </c>
      <c r="P22577">
        <v>8.4700000000000006</v>
      </c>
    </row>
    <row r="22578" spans="1:16" x14ac:dyDescent="0.25">
      <c r="A22578" t="s">
        <v>3296</v>
      </c>
      <c r="B22578" t="s">
        <v>2931</v>
      </c>
      <c r="C22578">
        <v>18364</v>
      </c>
      <c r="D22578" t="str">
        <f>"12602020531 "</f>
        <v xml:space="preserve">12602020531 </v>
      </c>
      <c r="E22578" t="s">
        <v>309</v>
      </c>
      <c r="F22578" t="s">
        <v>310</v>
      </c>
      <c r="G22578">
        <v>57.6</v>
      </c>
      <c r="H22578">
        <v>251231</v>
      </c>
      <c r="I22578">
        <v>4369</v>
      </c>
      <c r="J22578" t="s">
        <v>188</v>
      </c>
      <c r="K22578">
        <v>57.6</v>
      </c>
      <c r="L22578">
        <v>11.7</v>
      </c>
      <c r="M22578">
        <v>10002</v>
      </c>
      <c r="N22578" t="s">
        <v>513</v>
      </c>
      <c r="O22578">
        <v>260113</v>
      </c>
      <c r="P22578">
        <v>45.9</v>
      </c>
    </row>
    <row r="22579" spans="1:16" x14ac:dyDescent="0.25">
      <c r="A22579" t="s">
        <v>3296</v>
      </c>
      <c r="B22579" t="s">
        <v>2931</v>
      </c>
      <c r="C22579">
        <v>18365</v>
      </c>
      <c r="D22579" t="str">
        <f>"12602020504 "</f>
        <v xml:space="preserve">12602020504 </v>
      </c>
      <c r="E22579" t="s">
        <v>309</v>
      </c>
      <c r="F22579" t="s">
        <v>310</v>
      </c>
      <c r="G22579">
        <v>6.09</v>
      </c>
      <c r="H22579">
        <v>251231</v>
      </c>
      <c r="I22579">
        <v>4369</v>
      </c>
      <c r="J22579" t="s">
        <v>188</v>
      </c>
      <c r="K22579">
        <v>33.24</v>
      </c>
      <c r="L22579">
        <v>1.24</v>
      </c>
      <c r="M22579">
        <v>48601</v>
      </c>
      <c r="N22579" t="s">
        <v>107</v>
      </c>
      <c r="O22579">
        <v>260113</v>
      </c>
      <c r="P22579">
        <v>4.8499999999999996</v>
      </c>
    </row>
    <row r="22580" spans="1:16" x14ac:dyDescent="0.25">
      <c r="A22580" t="s">
        <v>3296</v>
      </c>
      <c r="B22580" t="s">
        <v>2931</v>
      </c>
      <c r="C22580">
        <v>18365</v>
      </c>
      <c r="D22580" t="str">
        <f>"12602020504 "</f>
        <v xml:space="preserve">12602020504 </v>
      </c>
      <c r="E22580" t="s">
        <v>309</v>
      </c>
      <c r="F22580" t="s">
        <v>310</v>
      </c>
      <c r="G22580">
        <v>3.39</v>
      </c>
      <c r="H22580">
        <v>251231</v>
      </c>
      <c r="I22580">
        <v>4369</v>
      </c>
      <c r="J22580" t="s">
        <v>188</v>
      </c>
      <c r="K22580">
        <v>33.24</v>
      </c>
      <c r="L22580">
        <v>0.69</v>
      </c>
      <c r="M22580">
        <v>49111</v>
      </c>
      <c r="N22580" t="s">
        <v>108</v>
      </c>
      <c r="O22580">
        <v>260113</v>
      </c>
      <c r="P22580">
        <v>2.7</v>
      </c>
    </row>
    <row r="22581" spans="1:16" x14ac:dyDescent="0.25">
      <c r="A22581" t="s">
        <v>3296</v>
      </c>
      <c r="B22581" t="s">
        <v>2931</v>
      </c>
      <c r="C22581">
        <v>18365</v>
      </c>
      <c r="D22581" t="str">
        <f>"12602020504 "</f>
        <v xml:space="preserve">12602020504 </v>
      </c>
      <c r="E22581" t="s">
        <v>309</v>
      </c>
      <c r="F22581" t="s">
        <v>310</v>
      </c>
      <c r="G22581">
        <v>10.050000000000001</v>
      </c>
      <c r="H22581">
        <v>251231</v>
      </c>
      <c r="I22581">
        <v>4369</v>
      </c>
      <c r="J22581" t="s">
        <v>188</v>
      </c>
      <c r="K22581">
        <v>33.24</v>
      </c>
      <c r="L22581">
        <v>2.04</v>
      </c>
      <c r="M22581">
        <v>49704</v>
      </c>
      <c r="N22581" t="s">
        <v>113</v>
      </c>
      <c r="O22581">
        <v>260113</v>
      </c>
      <c r="P22581">
        <v>8.01</v>
      </c>
    </row>
    <row r="22582" spans="1:16" x14ac:dyDescent="0.25">
      <c r="A22582" t="s">
        <v>3296</v>
      </c>
      <c r="B22582" t="s">
        <v>2931</v>
      </c>
      <c r="C22582">
        <v>18365</v>
      </c>
      <c r="D22582" t="str">
        <f>"12602020504 "</f>
        <v xml:space="preserve">12602020504 </v>
      </c>
      <c r="E22582" t="s">
        <v>309</v>
      </c>
      <c r="F22582" t="s">
        <v>310</v>
      </c>
      <c r="G22582">
        <v>13.71</v>
      </c>
      <c r="H22582">
        <v>251231</v>
      </c>
      <c r="I22582">
        <v>4369</v>
      </c>
      <c r="J22582" t="s">
        <v>188</v>
      </c>
      <c r="K22582">
        <v>33.24</v>
      </c>
      <c r="L22582">
        <v>2.79</v>
      </c>
      <c r="M22582">
        <v>49705</v>
      </c>
      <c r="N22582" t="s">
        <v>114</v>
      </c>
      <c r="O22582">
        <v>260113</v>
      </c>
      <c r="P22582">
        <v>10.92</v>
      </c>
    </row>
    <row r="22583" spans="1:16" x14ac:dyDescent="0.25">
      <c r="A22583" t="s">
        <v>3296</v>
      </c>
      <c r="B22583" t="s">
        <v>2931</v>
      </c>
      <c r="C22583">
        <v>18368</v>
      </c>
      <c r="D22583" t="str">
        <f>"12602020524 "</f>
        <v xml:space="preserve">12602020524 </v>
      </c>
      <c r="E22583" t="s">
        <v>309</v>
      </c>
      <c r="F22583" t="s">
        <v>310</v>
      </c>
      <c r="G22583">
        <v>6.9</v>
      </c>
      <c r="H22583">
        <v>251231</v>
      </c>
      <c r="I22583">
        <v>4369</v>
      </c>
      <c r="J22583" t="s">
        <v>188</v>
      </c>
      <c r="K22583">
        <v>6.9</v>
      </c>
      <c r="L22583">
        <v>1.4</v>
      </c>
      <c r="M22583">
        <v>46557</v>
      </c>
      <c r="N22583" t="s">
        <v>104</v>
      </c>
      <c r="O22583">
        <v>260113</v>
      </c>
      <c r="P22583">
        <v>5.5</v>
      </c>
    </row>
    <row r="22584" spans="1:16" x14ac:dyDescent="0.25">
      <c r="A22584" t="s">
        <v>3296</v>
      </c>
      <c r="B22584" t="s">
        <v>2931</v>
      </c>
      <c r="C22584">
        <v>18382</v>
      </c>
      <c r="D22584" t="str">
        <f t="shared" ref="D22584:D22590" si="515">"12602020495 "</f>
        <v xml:space="preserve">12602020495 </v>
      </c>
      <c r="E22584" t="s">
        <v>309</v>
      </c>
      <c r="F22584" t="s">
        <v>310</v>
      </c>
      <c r="G22584">
        <v>16.940000000000001</v>
      </c>
      <c r="H22584">
        <v>251231</v>
      </c>
      <c r="I22584">
        <v>4369</v>
      </c>
      <c r="J22584" t="s">
        <v>188</v>
      </c>
      <c r="K22584">
        <v>47.44</v>
      </c>
      <c r="L22584">
        <v>3.44</v>
      </c>
      <c r="M22584">
        <v>54222</v>
      </c>
      <c r="N22584" t="s">
        <v>48</v>
      </c>
      <c r="O22584">
        <v>260113</v>
      </c>
      <c r="P22584">
        <v>13.5</v>
      </c>
    </row>
    <row r="22585" spans="1:16" x14ac:dyDescent="0.25">
      <c r="A22585" t="s">
        <v>3296</v>
      </c>
      <c r="B22585" t="s">
        <v>2931</v>
      </c>
      <c r="C22585">
        <v>18382</v>
      </c>
      <c r="D22585" t="str">
        <f t="shared" si="515"/>
        <v xml:space="preserve">12602020495 </v>
      </c>
      <c r="E22585" t="s">
        <v>309</v>
      </c>
      <c r="F22585" t="s">
        <v>310</v>
      </c>
      <c r="G22585">
        <v>3.38</v>
      </c>
      <c r="H22585">
        <v>251231</v>
      </c>
      <c r="I22585">
        <v>4369</v>
      </c>
      <c r="J22585" t="s">
        <v>188</v>
      </c>
      <c r="K22585">
        <v>47.44</v>
      </c>
      <c r="L22585">
        <v>0.69</v>
      </c>
      <c r="M22585">
        <v>54251</v>
      </c>
      <c r="N22585" t="s">
        <v>485</v>
      </c>
      <c r="O22585">
        <v>260113</v>
      </c>
      <c r="P22585">
        <v>2.69</v>
      </c>
    </row>
    <row r="22586" spans="1:16" x14ac:dyDescent="0.25">
      <c r="A22586" t="s">
        <v>3296</v>
      </c>
      <c r="B22586" t="s">
        <v>2931</v>
      </c>
      <c r="C22586">
        <v>18382</v>
      </c>
      <c r="D22586" t="str">
        <f t="shared" si="515"/>
        <v xml:space="preserve">12602020495 </v>
      </c>
      <c r="E22586" t="s">
        <v>309</v>
      </c>
      <c r="F22586" t="s">
        <v>310</v>
      </c>
      <c r="G22586">
        <v>3.39</v>
      </c>
      <c r="H22586">
        <v>251231</v>
      </c>
      <c r="I22586">
        <v>4369</v>
      </c>
      <c r="J22586" t="s">
        <v>188</v>
      </c>
      <c r="K22586">
        <v>47.44</v>
      </c>
      <c r="L22586">
        <v>0.69</v>
      </c>
      <c r="M22586">
        <v>54252</v>
      </c>
      <c r="N22586" t="s">
        <v>742</v>
      </c>
      <c r="O22586">
        <v>260113</v>
      </c>
      <c r="P22586">
        <v>2.7</v>
      </c>
    </row>
    <row r="22587" spans="1:16" x14ac:dyDescent="0.25">
      <c r="A22587" t="s">
        <v>3296</v>
      </c>
      <c r="B22587" t="s">
        <v>2931</v>
      </c>
      <c r="C22587">
        <v>18382</v>
      </c>
      <c r="D22587" t="str">
        <f t="shared" si="515"/>
        <v xml:space="preserve">12602020495 </v>
      </c>
      <c r="E22587" t="s">
        <v>309</v>
      </c>
      <c r="F22587" t="s">
        <v>310</v>
      </c>
      <c r="G22587">
        <v>6.78</v>
      </c>
      <c r="H22587">
        <v>251231</v>
      </c>
      <c r="I22587">
        <v>4369</v>
      </c>
      <c r="J22587" t="s">
        <v>188</v>
      </c>
      <c r="K22587">
        <v>47.44</v>
      </c>
      <c r="L22587">
        <v>1.38</v>
      </c>
      <c r="M22587">
        <v>54422</v>
      </c>
      <c r="N22587" t="s">
        <v>49</v>
      </c>
      <c r="O22587">
        <v>260113</v>
      </c>
      <c r="P22587">
        <v>5.4</v>
      </c>
    </row>
    <row r="22588" spans="1:16" x14ac:dyDescent="0.25">
      <c r="A22588" t="s">
        <v>3296</v>
      </c>
      <c r="B22588" t="s">
        <v>2931</v>
      </c>
      <c r="C22588">
        <v>18382</v>
      </c>
      <c r="D22588" t="str">
        <f t="shared" si="515"/>
        <v xml:space="preserve">12602020495 </v>
      </c>
      <c r="E22588" t="s">
        <v>309</v>
      </c>
      <c r="F22588" t="s">
        <v>310</v>
      </c>
      <c r="G22588">
        <v>6.78</v>
      </c>
      <c r="H22588">
        <v>251231</v>
      </c>
      <c r="I22588">
        <v>4369</v>
      </c>
      <c r="J22588" t="s">
        <v>188</v>
      </c>
      <c r="K22588">
        <v>47.44</v>
      </c>
      <c r="L22588">
        <v>1.38</v>
      </c>
      <c r="M22588">
        <v>54451</v>
      </c>
      <c r="N22588" t="s">
        <v>218</v>
      </c>
      <c r="O22588">
        <v>260113</v>
      </c>
      <c r="P22588">
        <v>5.4</v>
      </c>
    </row>
    <row r="22589" spans="1:16" x14ac:dyDescent="0.25">
      <c r="A22589" t="s">
        <v>3296</v>
      </c>
      <c r="B22589" t="s">
        <v>2931</v>
      </c>
      <c r="C22589">
        <v>18382</v>
      </c>
      <c r="D22589" t="str">
        <f t="shared" si="515"/>
        <v xml:space="preserve">12602020495 </v>
      </c>
      <c r="E22589" t="s">
        <v>309</v>
      </c>
      <c r="F22589" t="s">
        <v>310</v>
      </c>
      <c r="G22589">
        <v>6.78</v>
      </c>
      <c r="H22589">
        <v>251231</v>
      </c>
      <c r="I22589">
        <v>4369</v>
      </c>
      <c r="J22589" t="s">
        <v>188</v>
      </c>
      <c r="K22589">
        <v>47.44</v>
      </c>
      <c r="L22589">
        <v>1.38</v>
      </c>
      <c r="M22589">
        <v>56563</v>
      </c>
      <c r="N22589" t="s">
        <v>55</v>
      </c>
      <c r="O22589">
        <v>260113</v>
      </c>
      <c r="P22589">
        <v>5.4</v>
      </c>
    </row>
    <row r="22590" spans="1:16" x14ac:dyDescent="0.25">
      <c r="A22590" t="s">
        <v>3296</v>
      </c>
      <c r="B22590" t="s">
        <v>2931</v>
      </c>
      <c r="C22590">
        <v>18382</v>
      </c>
      <c r="D22590" t="str">
        <f t="shared" si="515"/>
        <v xml:space="preserve">12602020495 </v>
      </c>
      <c r="E22590" t="s">
        <v>309</v>
      </c>
      <c r="F22590" t="s">
        <v>310</v>
      </c>
      <c r="G22590">
        <v>3.39</v>
      </c>
      <c r="H22590">
        <v>251231</v>
      </c>
      <c r="I22590">
        <v>4369</v>
      </c>
      <c r="J22590" t="s">
        <v>188</v>
      </c>
      <c r="K22590">
        <v>47.44</v>
      </c>
      <c r="L22590">
        <v>0.69</v>
      </c>
      <c r="M22590">
        <v>58601</v>
      </c>
      <c r="N22590" t="s">
        <v>59</v>
      </c>
      <c r="O22590">
        <v>260113</v>
      </c>
      <c r="P22590">
        <v>2.7</v>
      </c>
    </row>
    <row r="22591" spans="1:16" x14ac:dyDescent="0.25">
      <c r="A22591" t="s">
        <v>3296</v>
      </c>
      <c r="B22591" t="s">
        <v>2931</v>
      </c>
      <c r="C22591">
        <v>18387</v>
      </c>
      <c r="D22591" t="str">
        <f t="shared" ref="D22591:D22619" si="516">"12602020494 "</f>
        <v xml:space="preserve">12602020494 </v>
      </c>
      <c r="E22591" t="s">
        <v>309</v>
      </c>
      <c r="F22591" t="s">
        <v>310</v>
      </c>
      <c r="G22591">
        <v>17.86</v>
      </c>
      <c r="H22591">
        <v>251231</v>
      </c>
      <c r="I22591">
        <v>4369</v>
      </c>
      <c r="J22591" t="s">
        <v>188</v>
      </c>
      <c r="K22591">
        <v>319.26</v>
      </c>
      <c r="L22591">
        <v>3.63</v>
      </c>
      <c r="M22591">
        <v>61122</v>
      </c>
      <c r="N22591" t="s">
        <v>86</v>
      </c>
      <c r="O22591">
        <v>260113</v>
      </c>
      <c r="P22591">
        <v>14.23</v>
      </c>
    </row>
    <row r="22592" spans="1:16" x14ac:dyDescent="0.25">
      <c r="A22592" t="s">
        <v>3296</v>
      </c>
      <c r="B22592" t="s">
        <v>2931</v>
      </c>
      <c r="C22592">
        <v>18387</v>
      </c>
      <c r="D22592" t="str">
        <f t="shared" si="516"/>
        <v xml:space="preserve">12602020494 </v>
      </c>
      <c r="E22592" t="s">
        <v>309</v>
      </c>
      <c r="F22592" t="s">
        <v>310</v>
      </c>
      <c r="G22592">
        <v>3.39</v>
      </c>
      <c r="H22592">
        <v>251231</v>
      </c>
      <c r="I22592">
        <v>4369</v>
      </c>
      <c r="J22592" t="s">
        <v>188</v>
      </c>
      <c r="K22592">
        <v>319.26</v>
      </c>
      <c r="L22592">
        <v>0.69</v>
      </c>
      <c r="M22592">
        <v>61122</v>
      </c>
      <c r="N22592" t="s">
        <v>86</v>
      </c>
      <c r="O22592">
        <v>260113</v>
      </c>
      <c r="P22592">
        <v>2.7</v>
      </c>
    </row>
    <row r="22593" spans="1:16" x14ac:dyDescent="0.25">
      <c r="A22593" t="s">
        <v>3296</v>
      </c>
      <c r="B22593" t="s">
        <v>2931</v>
      </c>
      <c r="C22593">
        <v>18387</v>
      </c>
      <c r="D22593" t="str">
        <f t="shared" si="516"/>
        <v xml:space="preserve">12602020494 </v>
      </c>
      <c r="E22593" t="s">
        <v>309</v>
      </c>
      <c r="F22593" t="s">
        <v>310</v>
      </c>
      <c r="G22593">
        <v>13.55</v>
      </c>
      <c r="H22593">
        <v>251231</v>
      </c>
      <c r="I22593">
        <v>4369</v>
      </c>
      <c r="J22593" t="s">
        <v>188</v>
      </c>
      <c r="K22593">
        <v>319.26</v>
      </c>
      <c r="L22593">
        <v>2.75</v>
      </c>
      <c r="M22593">
        <v>65222</v>
      </c>
      <c r="N22593" t="s">
        <v>87</v>
      </c>
      <c r="O22593">
        <v>260113</v>
      </c>
      <c r="P22593">
        <v>10.8</v>
      </c>
    </row>
    <row r="22594" spans="1:16" x14ac:dyDescent="0.25">
      <c r="A22594" t="s">
        <v>3296</v>
      </c>
      <c r="B22594" t="s">
        <v>2931</v>
      </c>
      <c r="C22594">
        <v>18387</v>
      </c>
      <c r="D22594" t="str">
        <f t="shared" si="516"/>
        <v xml:space="preserve">12602020494 </v>
      </c>
      <c r="E22594" t="s">
        <v>309</v>
      </c>
      <c r="F22594" t="s">
        <v>310</v>
      </c>
      <c r="G22594">
        <v>3.39</v>
      </c>
      <c r="H22594">
        <v>251231</v>
      </c>
      <c r="I22594">
        <v>4369</v>
      </c>
      <c r="J22594" t="s">
        <v>188</v>
      </c>
      <c r="K22594">
        <v>319.26</v>
      </c>
      <c r="L22594">
        <v>0.69</v>
      </c>
      <c r="M22594">
        <v>65422</v>
      </c>
      <c r="N22594" t="s">
        <v>117</v>
      </c>
      <c r="O22594">
        <v>260113</v>
      </c>
      <c r="P22594">
        <v>2.7</v>
      </c>
    </row>
    <row r="22595" spans="1:16" x14ac:dyDescent="0.25">
      <c r="A22595" t="s">
        <v>3296</v>
      </c>
      <c r="B22595" t="s">
        <v>2931</v>
      </c>
      <c r="C22595">
        <v>18387</v>
      </c>
      <c r="D22595" t="str">
        <f t="shared" si="516"/>
        <v xml:space="preserve">12602020494 </v>
      </c>
      <c r="E22595" t="s">
        <v>309</v>
      </c>
      <c r="F22595" t="s">
        <v>310</v>
      </c>
      <c r="G22595">
        <v>9</v>
      </c>
      <c r="H22595">
        <v>251231</v>
      </c>
      <c r="I22595">
        <v>4369</v>
      </c>
      <c r="J22595" t="s">
        <v>188</v>
      </c>
      <c r="K22595">
        <v>319.26</v>
      </c>
      <c r="L22595">
        <v>1.83</v>
      </c>
      <c r="M22595">
        <v>66722</v>
      </c>
      <c r="N22595" t="s">
        <v>118</v>
      </c>
      <c r="O22595">
        <v>260113</v>
      </c>
      <c r="P22595">
        <v>7.17</v>
      </c>
    </row>
    <row r="22596" spans="1:16" x14ac:dyDescent="0.25">
      <c r="A22596" t="s">
        <v>3296</v>
      </c>
      <c r="B22596" t="s">
        <v>2931</v>
      </c>
      <c r="C22596">
        <v>18387</v>
      </c>
      <c r="D22596" t="str">
        <f t="shared" si="516"/>
        <v xml:space="preserve">12602020494 </v>
      </c>
      <c r="E22596" t="s">
        <v>309</v>
      </c>
      <c r="F22596" t="s">
        <v>310</v>
      </c>
      <c r="G22596">
        <v>13.05</v>
      </c>
      <c r="H22596">
        <v>251231</v>
      </c>
      <c r="I22596">
        <v>4369</v>
      </c>
      <c r="J22596" t="s">
        <v>188</v>
      </c>
      <c r="K22596">
        <v>319.26</v>
      </c>
      <c r="L22596">
        <v>2.65</v>
      </c>
      <c r="M22596">
        <v>66754</v>
      </c>
      <c r="N22596" t="s">
        <v>119</v>
      </c>
      <c r="O22596">
        <v>260113</v>
      </c>
      <c r="P22596">
        <v>10.4</v>
      </c>
    </row>
    <row r="22597" spans="1:16" x14ac:dyDescent="0.25">
      <c r="A22597" t="s">
        <v>3296</v>
      </c>
      <c r="B22597" t="s">
        <v>2931</v>
      </c>
      <c r="C22597">
        <v>18387</v>
      </c>
      <c r="D22597" t="str">
        <f t="shared" si="516"/>
        <v xml:space="preserve">12602020494 </v>
      </c>
      <c r="E22597" t="s">
        <v>309</v>
      </c>
      <c r="F22597" t="s">
        <v>310</v>
      </c>
      <c r="G22597">
        <v>6.78</v>
      </c>
      <c r="H22597">
        <v>251231</v>
      </c>
      <c r="I22597">
        <v>4369</v>
      </c>
      <c r="J22597" t="s">
        <v>188</v>
      </c>
      <c r="K22597">
        <v>319.26</v>
      </c>
      <c r="L22597">
        <v>1.38</v>
      </c>
      <c r="M22597">
        <v>66754</v>
      </c>
      <c r="N22597" t="s">
        <v>119</v>
      </c>
      <c r="O22597">
        <v>260113</v>
      </c>
      <c r="P22597">
        <v>5.4</v>
      </c>
    </row>
    <row r="22598" spans="1:16" x14ac:dyDescent="0.25">
      <c r="A22598" t="s">
        <v>3296</v>
      </c>
      <c r="B22598" t="s">
        <v>2931</v>
      </c>
      <c r="C22598">
        <v>18387</v>
      </c>
      <c r="D22598" t="str">
        <f t="shared" si="516"/>
        <v xml:space="preserve">12602020494 </v>
      </c>
      <c r="E22598" t="s">
        <v>309</v>
      </c>
      <c r="F22598" t="s">
        <v>310</v>
      </c>
      <c r="G22598">
        <v>3.39</v>
      </c>
      <c r="H22598">
        <v>251231</v>
      </c>
      <c r="I22598">
        <v>4369</v>
      </c>
      <c r="J22598" t="s">
        <v>188</v>
      </c>
      <c r="K22598">
        <v>319.26</v>
      </c>
      <c r="L22598">
        <v>0.69</v>
      </c>
      <c r="M22598">
        <v>66754</v>
      </c>
      <c r="N22598" t="s">
        <v>119</v>
      </c>
      <c r="O22598">
        <v>260113</v>
      </c>
      <c r="P22598">
        <v>2.7</v>
      </c>
    </row>
    <row r="22599" spans="1:16" x14ac:dyDescent="0.25">
      <c r="A22599" t="s">
        <v>3296</v>
      </c>
      <c r="B22599" t="s">
        <v>2931</v>
      </c>
      <c r="C22599">
        <v>18387</v>
      </c>
      <c r="D22599" t="str">
        <f t="shared" si="516"/>
        <v xml:space="preserve">12602020494 </v>
      </c>
      <c r="E22599" t="s">
        <v>309</v>
      </c>
      <c r="F22599" t="s">
        <v>310</v>
      </c>
      <c r="G22599">
        <v>10.47</v>
      </c>
      <c r="H22599">
        <v>251231</v>
      </c>
      <c r="I22599">
        <v>4369</v>
      </c>
      <c r="J22599" t="s">
        <v>188</v>
      </c>
      <c r="K22599">
        <v>319.26</v>
      </c>
      <c r="L22599">
        <v>2.13</v>
      </c>
      <c r="M22599">
        <v>66754</v>
      </c>
      <c r="N22599" t="s">
        <v>119</v>
      </c>
      <c r="O22599">
        <v>260113</v>
      </c>
      <c r="P22599">
        <v>8.34</v>
      </c>
    </row>
    <row r="22600" spans="1:16" x14ac:dyDescent="0.25">
      <c r="A22600" t="s">
        <v>3296</v>
      </c>
      <c r="B22600" t="s">
        <v>2931</v>
      </c>
      <c r="C22600">
        <v>18387</v>
      </c>
      <c r="D22600" t="str">
        <f t="shared" si="516"/>
        <v xml:space="preserve">12602020494 </v>
      </c>
      <c r="E22600" t="s">
        <v>309</v>
      </c>
      <c r="F22600" t="s">
        <v>310</v>
      </c>
      <c r="G22600">
        <v>10.74</v>
      </c>
      <c r="H22600">
        <v>251231</v>
      </c>
      <c r="I22600">
        <v>4369</v>
      </c>
      <c r="J22600" t="s">
        <v>188</v>
      </c>
      <c r="K22600">
        <v>319.26</v>
      </c>
      <c r="L22600">
        <v>2.1800000000000002</v>
      </c>
      <c r="M22600">
        <v>66756</v>
      </c>
      <c r="N22600" t="s">
        <v>120</v>
      </c>
      <c r="O22600">
        <v>260113</v>
      </c>
      <c r="P22600">
        <v>8.56</v>
      </c>
    </row>
    <row r="22601" spans="1:16" x14ac:dyDescent="0.25">
      <c r="A22601" t="s">
        <v>3296</v>
      </c>
      <c r="B22601" t="s">
        <v>2931</v>
      </c>
      <c r="C22601">
        <v>18387</v>
      </c>
      <c r="D22601" t="str">
        <f t="shared" si="516"/>
        <v xml:space="preserve">12602020494 </v>
      </c>
      <c r="E22601" t="s">
        <v>309</v>
      </c>
      <c r="F22601" t="s">
        <v>310</v>
      </c>
      <c r="G22601">
        <v>24.43</v>
      </c>
      <c r="H22601">
        <v>251231</v>
      </c>
      <c r="I22601">
        <v>4369</v>
      </c>
      <c r="J22601" t="s">
        <v>188</v>
      </c>
      <c r="K22601">
        <v>319.26</v>
      </c>
      <c r="L22601">
        <v>4.96</v>
      </c>
      <c r="M22601">
        <v>67522</v>
      </c>
      <c r="N22601" t="s">
        <v>121</v>
      </c>
      <c r="O22601">
        <v>260113</v>
      </c>
      <c r="P22601">
        <v>19.47</v>
      </c>
    </row>
    <row r="22602" spans="1:16" x14ac:dyDescent="0.25">
      <c r="A22602" t="s">
        <v>3296</v>
      </c>
      <c r="B22602" t="s">
        <v>2931</v>
      </c>
      <c r="C22602">
        <v>18387</v>
      </c>
      <c r="D22602" t="str">
        <f t="shared" si="516"/>
        <v xml:space="preserve">12602020494 </v>
      </c>
      <c r="E22602" t="s">
        <v>309</v>
      </c>
      <c r="F22602" t="s">
        <v>310</v>
      </c>
      <c r="G22602">
        <v>16.989999999999998</v>
      </c>
      <c r="H22602">
        <v>251231</v>
      </c>
      <c r="I22602">
        <v>4369</v>
      </c>
      <c r="J22602" t="s">
        <v>188</v>
      </c>
      <c r="K22602">
        <v>319.26</v>
      </c>
      <c r="L22602">
        <v>3.45</v>
      </c>
      <c r="M22602">
        <v>67522</v>
      </c>
      <c r="N22602" t="s">
        <v>121</v>
      </c>
      <c r="O22602">
        <v>260113</v>
      </c>
      <c r="P22602">
        <v>13.54</v>
      </c>
    </row>
    <row r="22603" spans="1:16" x14ac:dyDescent="0.25">
      <c r="A22603" t="s">
        <v>3296</v>
      </c>
      <c r="B22603" t="s">
        <v>2931</v>
      </c>
      <c r="C22603">
        <v>18387</v>
      </c>
      <c r="D22603" t="str">
        <f t="shared" si="516"/>
        <v xml:space="preserve">12602020494 </v>
      </c>
      <c r="E22603" t="s">
        <v>309</v>
      </c>
      <c r="F22603" t="s">
        <v>310</v>
      </c>
      <c r="G22603">
        <v>1.17</v>
      </c>
      <c r="H22603">
        <v>251231</v>
      </c>
      <c r="I22603">
        <v>4369</v>
      </c>
      <c r="J22603" t="s">
        <v>188</v>
      </c>
      <c r="K22603">
        <v>319.26</v>
      </c>
      <c r="L22603">
        <v>0.24</v>
      </c>
      <c r="M22603">
        <v>67554</v>
      </c>
      <c r="N22603" t="s">
        <v>317</v>
      </c>
      <c r="O22603">
        <v>260113</v>
      </c>
      <c r="P22603">
        <v>0.93</v>
      </c>
    </row>
    <row r="22604" spans="1:16" x14ac:dyDescent="0.25">
      <c r="A22604" t="s">
        <v>3296</v>
      </c>
      <c r="B22604" t="s">
        <v>2931</v>
      </c>
      <c r="C22604">
        <v>18387</v>
      </c>
      <c r="D22604" t="str">
        <f t="shared" si="516"/>
        <v xml:space="preserve">12602020494 </v>
      </c>
      <c r="E22604" t="s">
        <v>309</v>
      </c>
      <c r="F22604" t="s">
        <v>310</v>
      </c>
      <c r="G22604">
        <v>3.39</v>
      </c>
      <c r="H22604">
        <v>251231</v>
      </c>
      <c r="I22604">
        <v>4369</v>
      </c>
      <c r="J22604" t="s">
        <v>188</v>
      </c>
      <c r="K22604">
        <v>319.26</v>
      </c>
      <c r="L22604">
        <v>0.69</v>
      </c>
      <c r="M22604">
        <v>67554</v>
      </c>
      <c r="N22604" t="s">
        <v>317</v>
      </c>
      <c r="O22604">
        <v>260113</v>
      </c>
      <c r="P22604">
        <v>2.7</v>
      </c>
    </row>
    <row r="22605" spans="1:16" x14ac:dyDescent="0.25">
      <c r="A22605" t="s">
        <v>3296</v>
      </c>
      <c r="B22605" t="s">
        <v>2931</v>
      </c>
      <c r="C22605">
        <v>18387</v>
      </c>
      <c r="D22605" t="str">
        <f t="shared" si="516"/>
        <v xml:space="preserve">12602020494 </v>
      </c>
      <c r="E22605" t="s">
        <v>309</v>
      </c>
      <c r="F22605" t="s">
        <v>310</v>
      </c>
      <c r="G22605">
        <v>57.15</v>
      </c>
      <c r="H22605">
        <v>251231</v>
      </c>
      <c r="I22605">
        <v>4369</v>
      </c>
      <c r="J22605" t="s">
        <v>188</v>
      </c>
      <c r="K22605">
        <v>319.26</v>
      </c>
      <c r="L22605">
        <v>11.61</v>
      </c>
      <c r="M22605">
        <v>67554</v>
      </c>
      <c r="N22605" t="s">
        <v>317</v>
      </c>
      <c r="O22605">
        <v>260113</v>
      </c>
      <c r="P22605">
        <v>45.54</v>
      </c>
    </row>
    <row r="22606" spans="1:16" x14ac:dyDescent="0.25">
      <c r="A22606" t="s">
        <v>3296</v>
      </c>
      <c r="B22606" t="s">
        <v>2931</v>
      </c>
      <c r="C22606">
        <v>18387</v>
      </c>
      <c r="D22606" t="str">
        <f t="shared" si="516"/>
        <v xml:space="preserve">12602020494 </v>
      </c>
      <c r="E22606" t="s">
        <v>309</v>
      </c>
      <c r="F22606" t="s">
        <v>310</v>
      </c>
      <c r="G22606">
        <v>6.88</v>
      </c>
      <c r="H22606">
        <v>251231</v>
      </c>
      <c r="I22606">
        <v>4369</v>
      </c>
      <c r="J22606" t="s">
        <v>188</v>
      </c>
      <c r="K22606">
        <v>319.26</v>
      </c>
      <c r="L22606">
        <v>1.4</v>
      </c>
      <c r="M22606">
        <v>67554</v>
      </c>
      <c r="N22606" t="s">
        <v>317</v>
      </c>
      <c r="O22606">
        <v>260113</v>
      </c>
      <c r="P22606">
        <v>5.48</v>
      </c>
    </row>
    <row r="22607" spans="1:16" x14ac:dyDescent="0.25">
      <c r="A22607" t="s">
        <v>3296</v>
      </c>
      <c r="B22607" t="s">
        <v>2931</v>
      </c>
      <c r="C22607">
        <v>18387</v>
      </c>
      <c r="D22607" t="str">
        <f t="shared" si="516"/>
        <v xml:space="preserve">12602020494 </v>
      </c>
      <c r="E22607" t="s">
        <v>309</v>
      </c>
      <c r="F22607" t="s">
        <v>310</v>
      </c>
      <c r="G22607">
        <v>12.3</v>
      </c>
      <c r="H22607">
        <v>251231</v>
      </c>
      <c r="I22607">
        <v>4369</v>
      </c>
      <c r="J22607" t="s">
        <v>188</v>
      </c>
      <c r="K22607">
        <v>319.26</v>
      </c>
      <c r="L22607">
        <v>2.5</v>
      </c>
      <c r="M22607">
        <v>68601</v>
      </c>
      <c r="N22607" t="s">
        <v>1031</v>
      </c>
      <c r="O22607">
        <v>260113</v>
      </c>
      <c r="P22607">
        <v>9.8000000000000007</v>
      </c>
    </row>
    <row r="22608" spans="1:16" x14ac:dyDescent="0.25">
      <c r="A22608" t="s">
        <v>3296</v>
      </c>
      <c r="B22608" t="s">
        <v>2931</v>
      </c>
      <c r="C22608">
        <v>18387</v>
      </c>
      <c r="D22608" t="str">
        <f t="shared" si="516"/>
        <v xml:space="preserve">12602020494 </v>
      </c>
      <c r="E22608" t="s">
        <v>309</v>
      </c>
      <c r="F22608" t="s">
        <v>310</v>
      </c>
      <c r="G22608">
        <v>3.39</v>
      </c>
      <c r="H22608">
        <v>251231</v>
      </c>
      <c r="I22608">
        <v>4369</v>
      </c>
      <c r="J22608" t="s">
        <v>188</v>
      </c>
      <c r="K22608">
        <v>319.26</v>
      </c>
      <c r="L22608">
        <v>0.69</v>
      </c>
      <c r="M22608">
        <v>68601</v>
      </c>
      <c r="N22608" t="s">
        <v>1031</v>
      </c>
      <c r="O22608">
        <v>260113</v>
      </c>
      <c r="P22608">
        <v>2.7</v>
      </c>
    </row>
    <row r="22609" spans="1:16" x14ac:dyDescent="0.25">
      <c r="A22609" t="s">
        <v>3296</v>
      </c>
      <c r="B22609" t="s">
        <v>2931</v>
      </c>
      <c r="C22609">
        <v>18387</v>
      </c>
      <c r="D22609" t="str">
        <f t="shared" si="516"/>
        <v xml:space="preserve">12602020494 </v>
      </c>
      <c r="E22609" t="s">
        <v>309</v>
      </c>
      <c r="F22609" t="s">
        <v>310</v>
      </c>
      <c r="G22609">
        <v>10.17</v>
      </c>
      <c r="H22609">
        <v>251231</v>
      </c>
      <c r="I22609">
        <v>4369</v>
      </c>
      <c r="J22609" t="s">
        <v>188</v>
      </c>
      <c r="K22609">
        <v>319.26</v>
      </c>
      <c r="L22609">
        <v>2.0699999999999998</v>
      </c>
      <c r="M22609">
        <v>69111</v>
      </c>
      <c r="N22609" t="s">
        <v>657</v>
      </c>
      <c r="O22609">
        <v>260113</v>
      </c>
      <c r="P22609">
        <v>8.1</v>
      </c>
    </row>
    <row r="22610" spans="1:16" x14ac:dyDescent="0.25">
      <c r="A22610" t="s">
        <v>3296</v>
      </c>
      <c r="B22610" t="s">
        <v>2931</v>
      </c>
      <c r="C22610">
        <v>18387</v>
      </c>
      <c r="D22610" t="str">
        <f t="shared" si="516"/>
        <v xml:space="preserve">12602020494 </v>
      </c>
      <c r="E22610" t="s">
        <v>309</v>
      </c>
      <c r="F22610" t="s">
        <v>310</v>
      </c>
      <c r="G22610">
        <v>3.39</v>
      </c>
      <c r="H22610">
        <v>251231</v>
      </c>
      <c r="I22610">
        <v>4369</v>
      </c>
      <c r="J22610" t="s">
        <v>188</v>
      </c>
      <c r="K22610">
        <v>319.26</v>
      </c>
      <c r="L22610">
        <v>0.69</v>
      </c>
      <c r="M22610">
        <v>69112</v>
      </c>
      <c r="N22610" t="s">
        <v>227</v>
      </c>
      <c r="O22610">
        <v>260113</v>
      </c>
      <c r="P22610">
        <v>2.7</v>
      </c>
    </row>
    <row r="22611" spans="1:16" x14ac:dyDescent="0.25">
      <c r="A22611" t="s">
        <v>3296</v>
      </c>
      <c r="B22611" t="s">
        <v>2931</v>
      </c>
      <c r="C22611">
        <v>18387</v>
      </c>
      <c r="D22611" t="str">
        <f t="shared" si="516"/>
        <v xml:space="preserve">12602020494 </v>
      </c>
      <c r="E22611" t="s">
        <v>309</v>
      </c>
      <c r="F22611" t="s">
        <v>310</v>
      </c>
      <c r="G22611">
        <v>13.58</v>
      </c>
      <c r="H22611">
        <v>251231</v>
      </c>
      <c r="I22611">
        <v>4369</v>
      </c>
      <c r="J22611" t="s">
        <v>188</v>
      </c>
      <c r="K22611">
        <v>319.26</v>
      </c>
      <c r="L22611">
        <v>2.76</v>
      </c>
      <c r="M22611">
        <v>69113</v>
      </c>
      <c r="N22611" t="s">
        <v>122</v>
      </c>
      <c r="O22611">
        <v>260113</v>
      </c>
      <c r="P22611">
        <v>10.82</v>
      </c>
    </row>
    <row r="22612" spans="1:16" x14ac:dyDescent="0.25">
      <c r="A22612" t="s">
        <v>3296</v>
      </c>
      <c r="B22612" t="s">
        <v>2931</v>
      </c>
      <c r="C22612">
        <v>18387</v>
      </c>
      <c r="D22612" t="str">
        <f t="shared" si="516"/>
        <v xml:space="preserve">12602020494 </v>
      </c>
      <c r="E22612" t="s">
        <v>309</v>
      </c>
      <c r="F22612" t="s">
        <v>310</v>
      </c>
      <c r="G22612">
        <v>30.76</v>
      </c>
      <c r="H22612">
        <v>251231</v>
      </c>
      <c r="I22612">
        <v>4369</v>
      </c>
      <c r="J22612" t="s">
        <v>188</v>
      </c>
      <c r="K22612">
        <v>319.26</v>
      </c>
      <c r="L22612">
        <v>6.25</v>
      </c>
      <c r="M22612">
        <v>69501</v>
      </c>
      <c r="N22612" t="s">
        <v>123</v>
      </c>
      <c r="O22612">
        <v>260113</v>
      </c>
      <c r="P22612">
        <v>24.51</v>
      </c>
    </row>
    <row r="22613" spans="1:16" x14ac:dyDescent="0.25">
      <c r="A22613" t="s">
        <v>3296</v>
      </c>
      <c r="B22613" t="s">
        <v>2931</v>
      </c>
      <c r="C22613">
        <v>18387</v>
      </c>
      <c r="D22613" t="str">
        <f t="shared" si="516"/>
        <v xml:space="preserve">12602020494 </v>
      </c>
      <c r="E22613" t="s">
        <v>309</v>
      </c>
      <c r="F22613" t="s">
        <v>310</v>
      </c>
      <c r="G22613">
        <v>5.0599999999999996</v>
      </c>
      <c r="H22613">
        <v>251231</v>
      </c>
      <c r="I22613">
        <v>4369</v>
      </c>
      <c r="J22613" t="s">
        <v>188</v>
      </c>
      <c r="K22613">
        <v>319.26</v>
      </c>
      <c r="L22613">
        <v>1.03</v>
      </c>
      <c r="M22613">
        <v>69701</v>
      </c>
      <c r="N22613" t="s">
        <v>1030</v>
      </c>
      <c r="O22613">
        <v>260113</v>
      </c>
      <c r="P22613">
        <v>4.03</v>
      </c>
    </row>
    <row r="22614" spans="1:16" x14ac:dyDescent="0.25">
      <c r="A22614" t="s">
        <v>3296</v>
      </c>
      <c r="B22614" t="s">
        <v>2931</v>
      </c>
      <c r="C22614">
        <v>18387</v>
      </c>
      <c r="D22614" t="str">
        <f t="shared" si="516"/>
        <v xml:space="preserve">12602020494 </v>
      </c>
      <c r="E22614" t="s">
        <v>309</v>
      </c>
      <c r="F22614" t="s">
        <v>310</v>
      </c>
      <c r="G22614">
        <v>3.39</v>
      </c>
      <c r="H22614">
        <v>251231</v>
      </c>
      <c r="I22614">
        <v>4369</v>
      </c>
      <c r="J22614" t="s">
        <v>188</v>
      </c>
      <c r="K22614">
        <v>319.26</v>
      </c>
      <c r="L22614">
        <v>0.69</v>
      </c>
      <c r="M22614">
        <v>69702</v>
      </c>
      <c r="N22614" t="s">
        <v>124</v>
      </c>
      <c r="O22614">
        <v>260113</v>
      </c>
      <c r="P22614">
        <v>2.7</v>
      </c>
    </row>
    <row r="22615" spans="1:16" x14ac:dyDescent="0.25">
      <c r="A22615" t="s">
        <v>3296</v>
      </c>
      <c r="B22615" t="s">
        <v>2931</v>
      </c>
      <c r="C22615">
        <v>18387</v>
      </c>
      <c r="D22615" t="str">
        <f t="shared" si="516"/>
        <v xml:space="preserve">12602020494 </v>
      </c>
      <c r="E22615" t="s">
        <v>309</v>
      </c>
      <c r="F22615" t="s">
        <v>310</v>
      </c>
      <c r="G22615">
        <v>5.46</v>
      </c>
      <c r="H22615">
        <v>251231</v>
      </c>
      <c r="I22615">
        <v>4369</v>
      </c>
      <c r="J22615" t="s">
        <v>188</v>
      </c>
      <c r="K22615">
        <v>319.26</v>
      </c>
      <c r="L22615">
        <v>1.1100000000000001</v>
      </c>
      <c r="M22615">
        <v>69703</v>
      </c>
      <c r="N22615" t="s">
        <v>88</v>
      </c>
      <c r="O22615">
        <v>260113</v>
      </c>
      <c r="P22615">
        <v>4.3499999999999996</v>
      </c>
    </row>
    <row r="22616" spans="1:16" x14ac:dyDescent="0.25">
      <c r="A22616" t="s">
        <v>3296</v>
      </c>
      <c r="B22616" t="s">
        <v>2931</v>
      </c>
      <c r="C22616">
        <v>18387</v>
      </c>
      <c r="D22616" t="str">
        <f t="shared" si="516"/>
        <v xml:space="preserve">12602020494 </v>
      </c>
      <c r="E22616" t="s">
        <v>309</v>
      </c>
      <c r="F22616" t="s">
        <v>310</v>
      </c>
      <c r="G22616">
        <v>6.59</v>
      </c>
      <c r="H22616">
        <v>251231</v>
      </c>
      <c r="I22616">
        <v>4369</v>
      </c>
      <c r="J22616" t="s">
        <v>188</v>
      </c>
      <c r="K22616">
        <v>319.26</v>
      </c>
      <c r="L22616">
        <v>1.34</v>
      </c>
      <c r="M22616">
        <v>69704</v>
      </c>
      <c r="N22616" t="s">
        <v>89</v>
      </c>
      <c r="O22616">
        <v>260113</v>
      </c>
      <c r="P22616">
        <v>5.25</v>
      </c>
    </row>
    <row r="22617" spans="1:16" x14ac:dyDescent="0.25">
      <c r="A22617" t="s">
        <v>3296</v>
      </c>
      <c r="B22617" t="s">
        <v>2931</v>
      </c>
      <c r="C22617">
        <v>18387</v>
      </c>
      <c r="D22617" t="str">
        <f t="shared" si="516"/>
        <v xml:space="preserve">12602020494 </v>
      </c>
      <c r="E22617" t="s">
        <v>309</v>
      </c>
      <c r="F22617" t="s">
        <v>310</v>
      </c>
      <c r="G22617">
        <v>6.59</v>
      </c>
      <c r="H22617">
        <v>251231</v>
      </c>
      <c r="I22617">
        <v>4369</v>
      </c>
      <c r="J22617" t="s">
        <v>188</v>
      </c>
      <c r="K22617">
        <v>319.26</v>
      </c>
      <c r="L22617">
        <v>1.34</v>
      </c>
      <c r="M22617">
        <v>69704</v>
      </c>
      <c r="N22617" t="s">
        <v>89</v>
      </c>
      <c r="O22617">
        <v>260113</v>
      </c>
      <c r="P22617">
        <v>5.25</v>
      </c>
    </row>
    <row r="22618" spans="1:16" x14ac:dyDescent="0.25">
      <c r="A22618" t="s">
        <v>3296</v>
      </c>
      <c r="B22618" t="s">
        <v>2931</v>
      </c>
      <c r="C22618">
        <v>18387</v>
      </c>
      <c r="D22618" t="str">
        <f t="shared" si="516"/>
        <v xml:space="preserve">12602020494 </v>
      </c>
      <c r="E22618" t="s">
        <v>309</v>
      </c>
      <c r="F22618" t="s">
        <v>310</v>
      </c>
      <c r="G22618">
        <v>10.17</v>
      </c>
      <c r="H22618">
        <v>251231</v>
      </c>
      <c r="I22618">
        <v>4369</v>
      </c>
      <c r="J22618" t="s">
        <v>188</v>
      </c>
      <c r="K22618">
        <v>319.26</v>
      </c>
      <c r="L22618">
        <v>2.0699999999999998</v>
      </c>
      <c r="M22618">
        <v>69707</v>
      </c>
      <c r="N22618" t="s">
        <v>90</v>
      </c>
      <c r="O22618">
        <v>260113</v>
      </c>
      <c r="P22618">
        <v>8.1</v>
      </c>
    </row>
    <row r="22619" spans="1:16" x14ac:dyDescent="0.25">
      <c r="A22619" t="s">
        <v>3296</v>
      </c>
      <c r="B22619" t="s">
        <v>2931</v>
      </c>
      <c r="C22619">
        <v>18387</v>
      </c>
      <c r="D22619" t="str">
        <f t="shared" si="516"/>
        <v xml:space="preserve">12602020494 </v>
      </c>
      <c r="E22619" t="s">
        <v>309</v>
      </c>
      <c r="F22619" t="s">
        <v>310</v>
      </c>
      <c r="G22619">
        <v>6.78</v>
      </c>
      <c r="H22619">
        <v>251231</v>
      </c>
      <c r="I22619">
        <v>4369</v>
      </c>
      <c r="J22619" t="s">
        <v>188</v>
      </c>
      <c r="K22619">
        <v>319.26</v>
      </c>
      <c r="L22619">
        <v>1.38</v>
      </c>
      <c r="M22619">
        <v>69708</v>
      </c>
      <c r="N22619" t="s">
        <v>125</v>
      </c>
      <c r="O22619">
        <v>260113</v>
      </c>
      <c r="P22619">
        <v>5.4</v>
      </c>
    </row>
    <row r="22620" spans="1:16" x14ac:dyDescent="0.25">
      <c r="A22620" t="s">
        <v>3296</v>
      </c>
      <c r="B22620" t="s">
        <v>2931</v>
      </c>
      <c r="C22620">
        <v>18390</v>
      </c>
      <c r="D22620" t="str">
        <f>"12602020509 "</f>
        <v xml:space="preserve">12602020509 </v>
      </c>
      <c r="E22620" t="s">
        <v>309</v>
      </c>
      <c r="F22620" t="s">
        <v>310</v>
      </c>
      <c r="G22620">
        <v>13.55</v>
      </c>
      <c r="H22620">
        <v>251231</v>
      </c>
      <c r="I22620">
        <v>4369</v>
      </c>
      <c r="J22620" t="s">
        <v>188</v>
      </c>
      <c r="K22620">
        <v>13.55</v>
      </c>
      <c r="L22620">
        <v>2.75</v>
      </c>
      <c r="M22620">
        <v>46555</v>
      </c>
      <c r="N22620" t="s">
        <v>103</v>
      </c>
      <c r="O22620">
        <v>260113</v>
      </c>
      <c r="P22620">
        <v>10.8</v>
      </c>
    </row>
    <row r="22621" spans="1:16" x14ac:dyDescent="0.25">
      <c r="A22621" t="s">
        <v>3296</v>
      </c>
      <c r="B22621" t="s">
        <v>2931</v>
      </c>
      <c r="C22621">
        <v>18395</v>
      </c>
      <c r="D22621" t="str">
        <f>"12602020508 "</f>
        <v xml:space="preserve">12602020508 </v>
      </c>
      <c r="E22621" t="s">
        <v>309</v>
      </c>
      <c r="F22621" t="s">
        <v>310</v>
      </c>
      <c r="G22621">
        <v>7.67</v>
      </c>
      <c r="H22621">
        <v>251231</v>
      </c>
      <c r="I22621">
        <v>4369</v>
      </c>
      <c r="J22621" t="s">
        <v>188</v>
      </c>
      <c r="K22621">
        <v>7.67</v>
      </c>
      <c r="L22621">
        <v>1.56</v>
      </c>
      <c r="M22621">
        <v>49112</v>
      </c>
      <c r="N22621" t="s">
        <v>109</v>
      </c>
      <c r="O22621">
        <v>260113</v>
      </c>
      <c r="P22621">
        <v>6.11</v>
      </c>
    </row>
    <row r="22622" spans="1:16" x14ac:dyDescent="0.25">
      <c r="A22622" t="s">
        <v>3296</v>
      </c>
      <c r="B22622" t="s">
        <v>2931</v>
      </c>
      <c r="C22622">
        <v>18400</v>
      </c>
      <c r="D22622" t="str">
        <f t="shared" ref="D22622:D22630" si="517">"12602020517 "</f>
        <v xml:space="preserve">12602020517 </v>
      </c>
      <c r="E22622" t="s">
        <v>309</v>
      </c>
      <c r="F22622" t="s">
        <v>310</v>
      </c>
      <c r="G22622">
        <v>17.03</v>
      </c>
      <c r="H22622">
        <v>251231</v>
      </c>
      <c r="I22622">
        <v>4369</v>
      </c>
      <c r="J22622" t="s">
        <v>188</v>
      </c>
      <c r="K22622">
        <v>155.66</v>
      </c>
      <c r="L22622">
        <v>0</v>
      </c>
      <c r="M22622">
        <v>13201</v>
      </c>
      <c r="N22622" t="s">
        <v>269</v>
      </c>
      <c r="O22622">
        <v>260113</v>
      </c>
      <c r="P22622">
        <v>17.03</v>
      </c>
    </row>
    <row r="22623" spans="1:16" x14ac:dyDescent="0.25">
      <c r="A22623" t="s">
        <v>3296</v>
      </c>
      <c r="B22623" t="s">
        <v>2931</v>
      </c>
      <c r="C22623">
        <v>18400</v>
      </c>
      <c r="D22623" t="str">
        <f t="shared" si="517"/>
        <v xml:space="preserve">12602020517 </v>
      </c>
      <c r="E22623" t="s">
        <v>309</v>
      </c>
      <c r="F22623" t="s">
        <v>310</v>
      </c>
      <c r="G22623">
        <v>40.47</v>
      </c>
      <c r="H22623">
        <v>251231</v>
      </c>
      <c r="I22623">
        <v>4369</v>
      </c>
      <c r="J22623" t="s">
        <v>188</v>
      </c>
      <c r="K22623">
        <v>155.66</v>
      </c>
      <c r="L22623">
        <v>8.2200000000000006</v>
      </c>
      <c r="M22623">
        <v>13401</v>
      </c>
      <c r="N22623" t="s">
        <v>10</v>
      </c>
      <c r="O22623">
        <v>260113</v>
      </c>
      <c r="P22623">
        <v>32.25</v>
      </c>
    </row>
    <row r="22624" spans="1:16" x14ac:dyDescent="0.25">
      <c r="A22624" t="s">
        <v>3296</v>
      </c>
      <c r="B22624" t="s">
        <v>2931</v>
      </c>
      <c r="C22624">
        <v>18400</v>
      </c>
      <c r="D22624" t="str">
        <f t="shared" si="517"/>
        <v xml:space="preserve">12602020517 </v>
      </c>
      <c r="E22624" t="s">
        <v>309</v>
      </c>
      <c r="F22624" t="s">
        <v>310</v>
      </c>
      <c r="G22624">
        <v>10.16</v>
      </c>
      <c r="H22624">
        <v>251231</v>
      </c>
      <c r="I22624">
        <v>4369</v>
      </c>
      <c r="J22624" t="s">
        <v>188</v>
      </c>
      <c r="K22624">
        <v>155.66</v>
      </c>
      <c r="L22624">
        <v>2.06</v>
      </c>
      <c r="M22624">
        <v>13401</v>
      </c>
      <c r="N22624" t="s">
        <v>10</v>
      </c>
      <c r="O22624">
        <v>260113</v>
      </c>
      <c r="P22624">
        <v>8.1</v>
      </c>
    </row>
    <row r="22625" spans="1:16" x14ac:dyDescent="0.25">
      <c r="A22625" t="s">
        <v>3296</v>
      </c>
      <c r="B22625" t="s">
        <v>2931</v>
      </c>
      <c r="C22625">
        <v>18400</v>
      </c>
      <c r="D22625" t="str">
        <f t="shared" si="517"/>
        <v xml:space="preserve">12602020517 </v>
      </c>
      <c r="E22625" t="s">
        <v>309</v>
      </c>
      <c r="F22625" t="s">
        <v>310</v>
      </c>
      <c r="G22625">
        <v>30.84</v>
      </c>
      <c r="H22625">
        <v>251231</v>
      </c>
      <c r="I22625">
        <v>4369</v>
      </c>
      <c r="J22625" t="s">
        <v>188</v>
      </c>
      <c r="K22625">
        <v>155.66</v>
      </c>
      <c r="L22625">
        <v>6.27</v>
      </c>
      <c r="M22625">
        <v>13501</v>
      </c>
      <c r="N22625" t="s">
        <v>66</v>
      </c>
      <c r="O22625">
        <v>260113</v>
      </c>
      <c r="P22625">
        <v>24.57</v>
      </c>
    </row>
    <row r="22626" spans="1:16" x14ac:dyDescent="0.25">
      <c r="A22626" t="s">
        <v>3296</v>
      </c>
      <c r="B22626" t="s">
        <v>2931</v>
      </c>
      <c r="C22626">
        <v>18400</v>
      </c>
      <c r="D22626" t="str">
        <f t="shared" si="517"/>
        <v xml:space="preserve">12602020517 </v>
      </c>
      <c r="E22626" t="s">
        <v>309</v>
      </c>
      <c r="F22626" t="s">
        <v>310</v>
      </c>
      <c r="G22626">
        <v>3.4</v>
      </c>
      <c r="H22626">
        <v>251231</v>
      </c>
      <c r="I22626">
        <v>4369</v>
      </c>
      <c r="J22626" t="s">
        <v>188</v>
      </c>
      <c r="K22626">
        <v>155.66</v>
      </c>
      <c r="L22626">
        <v>0.69</v>
      </c>
      <c r="M22626">
        <v>13561</v>
      </c>
      <c r="N22626" t="s">
        <v>241</v>
      </c>
      <c r="O22626">
        <v>260113</v>
      </c>
      <c r="P22626">
        <v>2.71</v>
      </c>
    </row>
    <row r="22627" spans="1:16" x14ac:dyDescent="0.25">
      <c r="A22627" t="s">
        <v>3296</v>
      </c>
      <c r="B22627" t="s">
        <v>2931</v>
      </c>
      <c r="C22627">
        <v>18400</v>
      </c>
      <c r="D22627" t="str">
        <f t="shared" si="517"/>
        <v xml:space="preserve">12602020517 </v>
      </c>
      <c r="E22627" t="s">
        <v>309</v>
      </c>
      <c r="F22627" t="s">
        <v>310</v>
      </c>
      <c r="G22627">
        <v>3.4</v>
      </c>
      <c r="H22627">
        <v>251231</v>
      </c>
      <c r="I22627">
        <v>4369</v>
      </c>
      <c r="J22627" t="s">
        <v>188</v>
      </c>
      <c r="K22627">
        <v>155.66</v>
      </c>
      <c r="L22627">
        <v>0.69</v>
      </c>
      <c r="M22627">
        <v>13561</v>
      </c>
      <c r="N22627" t="s">
        <v>241</v>
      </c>
      <c r="O22627">
        <v>260113</v>
      </c>
      <c r="P22627">
        <v>2.71</v>
      </c>
    </row>
    <row r="22628" spans="1:16" x14ac:dyDescent="0.25">
      <c r="A22628" t="s">
        <v>3296</v>
      </c>
      <c r="B22628" t="s">
        <v>2931</v>
      </c>
      <c r="C22628">
        <v>18400</v>
      </c>
      <c r="D22628" t="str">
        <f t="shared" si="517"/>
        <v xml:space="preserve">12602020517 </v>
      </c>
      <c r="E22628" t="s">
        <v>309</v>
      </c>
      <c r="F22628" t="s">
        <v>310</v>
      </c>
      <c r="G22628">
        <v>16.37</v>
      </c>
      <c r="H22628">
        <v>251231</v>
      </c>
      <c r="I22628">
        <v>4369</v>
      </c>
      <c r="J22628" t="s">
        <v>188</v>
      </c>
      <c r="K22628">
        <v>155.66</v>
      </c>
      <c r="L22628">
        <v>3.33</v>
      </c>
      <c r="M22628">
        <v>13801</v>
      </c>
      <c r="N22628" t="s">
        <v>33</v>
      </c>
      <c r="O22628">
        <v>260113</v>
      </c>
      <c r="P22628">
        <v>13.04</v>
      </c>
    </row>
    <row r="22629" spans="1:16" x14ac:dyDescent="0.25">
      <c r="A22629" t="s">
        <v>3296</v>
      </c>
      <c r="B22629" t="s">
        <v>2931</v>
      </c>
      <c r="C22629">
        <v>18400</v>
      </c>
      <c r="D22629" t="str">
        <f t="shared" si="517"/>
        <v xml:space="preserve">12602020517 </v>
      </c>
      <c r="E22629" t="s">
        <v>309</v>
      </c>
      <c r="F22629" t="s">
        <v>310</v>
      </c>
      <c r="G22629">
        <v>13.8</v>
      </c>
      <c r="H22629">
        <v>251231</v>
      </c>
      <c r="I22629">
        <v>4369</v>
      </c>
      <c r="J22629" t="s">
        <v>188</v>
      </c>
      <c r="K22629">
        <v>155.66</v>
      </c>
      <c r="L22629">
        <v>2.8</v>
      </c>
      <c r="M22629">
        <v>13801</v>
      </c>
      <c r="N22629" t="s">
        <v>33</v>
      </c>
      <c r="O22629">
        <v>260113</v>
      </c>
      <c r="P22629">
        <v>11</v>
      </c>
    </row>
    <row r="22630" spans="1:16" x14ac:dyDescent="0.25">
      <c r="A22630" t="s">
        <v>3296</v>
      </c>
      <c r="B22630" t="s">
        <v>2931</v>
      </c>
      <c r="C22630">
        <v>18400</v>
      </c>
      <c r="D22630" t="str">
        <f t="shared" si="517"/>
        <v xml:space="preserve">12602020517 </v>
      </c>
      <c r="E22630" t="s">
        <v>309</v>
      </c>
      <c r="F22630" t="s">
        <v>310</v>
      </c>
      <c r="G22630">
        <v>20.190000000000001</v>
      </c>
      <c r="H22630">
        <v>251231</v>
      </c>
      <c r="I22630">
        <v>4369</v>
      </c>
      <c r="J22630" t="s">
        <v>188</v>
      </c>
      <c r="K22630">
        <v>155.66</v>
      </c>
      <c r="L22630">
        <v>4.0999999999999996</v>
      </c>
      <c r="M22630">
        <v>13802</v>
      </c>
      <c r="N22630" t="s">
        <v>34</v>
      </c>
      <c r="O22630">
        <v>260113</v>
      </c>
      <c r="P22630">
        <v>16.09</v>
      </c>
    </row>
    <row r="22631" spans="1:16" x14ac:dyDescent="0.25">
      <c r="A22631" t="s">
        <v>3296</v>
      </c>
      <c r="B22631" t="s">
        <v>2931</v>
      </c>
      <c r="C22631">
        <v>18401</v>
      </c>
      <c r="D22631" t="str">
        <f>"12602020518 "</f>
        <v xml:space="preserve">12602020518 </v>
      </c>
      <c r="E22631" t="s">
        <v>309</v>
      </c>
      <c r="F22631" t="s">
        <v>310</v>
      </c>
      <c r="G22631">
        <v>26.92</v>
      </c>
      <c r="H22631">
        <v>251231</v>
      </c>
      <c r="I22631">
        <v>4369</v>
      </c>
      <c r="J22631" t="s">
        <v>188</v>
      </c>
      <c r="K22631">
        <v>33.799999999999997</v>
      </c>
      <c r="L22631">
        <v>5.47</v>
      </c>
      <c r="M22631">
        <v>13601</v>
      </c>
      <c r="N22631" t="s">
        <v>115</v>
      </c>
      <c r="O22631">
        <v>260113</v>
      </c>
      <c r="P22631">
        <v>21.45</v>
      </c>
    </row>
    <row r="22632" spans="1:16" x14ac:dyDescent="0.25">
      <c r="A22632" t="s">
        <v>3296</v>
      </c>
      <c r="B22632" t="s">
        <v>2931</v>
      </c>
      <c r="C22632">
        <v>18401</v>
      </c>
      <c r="D22632" t="str">
        <f>"12602020518 "</f>
        <v xml:space="preserve">12602020518 </v>
      </c>
      <c r="E22632" t="s">
        <v>309</v>
      </c>
      <c r="F22632" t="s">
        <v>310</v>
      </c>
      <c r="G22632">
        <v>3.39</v>
      </c>
      <c r="H22632">
        <v>251231</v>
      </c>
      <c r="I22632">
        <v>4369</v>
      </c>
      <c r="J22632" t="s">
        <v>188</v>
      </c>
      <c r="K22632">
        <v>33.799999999999997</v>
      </c>
      <c r="L22632">
        <v>0.69</v>
      </c>
      <c r="M22632">
        <v>13601</v>
      </c>
      <c r="N22632" t="s">
        <v>115</v>
      </c>
      <c r="O22632">
        <v>260113</v>
      </c>
      <c r="P22632">
        <v>2.7</v>
      </c>
    </row>
    <row r="22633" spans="1:16" x14ac:dyDescent="0.25">
      <c r="A22633" t="s">
        <v>3296</v>
      </c>
      <c r="B22633" t="s">
        <v>2931</v>
      </c>
      <c r="C22633">
        <v>18401</v>
      </c>
      <c r="D22633" t="str">
        <f>"12602020518 "</f>
        <v xml:space="preserve">12602020518 </v>
      </c>
      <c r="E22633" t="s">
        <v>309</v>
      </c>
      <c r="F22633" t="s">
        <v>310</v>
      </c>
      <c r="G22633">
        <v>3.49</v>
      </c>
      <c r="H22633">
        <v>251231</v>
      </c>
      <c r="I22633">
        <v>4369</v>
      </c>
      <c r="J22633" t="s">
        <v>188</v>
      </c>
      <c r="K22633">
        <v>33.799999999999997</v>
      </c>
      <c r="L22633">
        <v>0.71</v>
      </c>
      <c r="M22633">
        <v>13661</v>
      </c>
      <c r="N22633" t="s">
        <v>243</v>
      </c>
      <c r="O22633">
        <v>260113</v>
      </c>
      <c r="P22633">
        <v>2.78</v>
      </c>
    </row>
    <row r="22634" spans="1:16" x14ac:dyDescent="0.25">
      <c r="A22634" t="s">
        <v>3296</v>
      </c>
      <c r="B22634" t="s">
        <v>2931</v>
      </c>
      <c r="C22634">
        <v>18403</v>
      </c>
      <c r="D22634" t="str">
        <f t="shared" ref="D22634:D22650" si="518">"12602020491 "</f>
        <v xml:space="preserve">12602020491 </v>
      </c>
      <c r="E22634" t="s">
        <v>309</v>
      </c>
      <c r="F22634" t="s">
        <v>310</v>
      </c>
      <c r="G22634">
        <v>3.48</v>
      </c>
      <c r="H22634">
        <v>251231</v>
      </c>
      <c r="I22634">
        <v>4369</v>
      </c>
      <c r="J22634" t="s">
        <v>188</v>
      </c>
      <c r="K22634">
        <v>243.43</v>
      </c>
      <c r="L22634">
        <v>0.71</v>
      </c>
      <c r="M22634">
        <v>54422</v>
      </c>
      <c r="N22634" t="s">
        <v>49</v>
      </c>
      <c r="O22634">
        <v>260113</v>
      </c>
      <c r="P22634">
        <v>2.77</v>
      </c>
    </row>
    <row r="22635" spans="1:16" x14ac:dyDescent="0.25">
      <c r="A22635" t="s">
        <v>3296</v>
      </c>
      <c r="B22635" t="s">
        <v>2931</v>
      </c>
      <c r="C22635">
        <v>18403</v>
      </c>
      <c r="D22635" t="str">
        <f t="shared" si="518"/>
        <v xml:space="preserve">12602020491 </v>
      </c>
      <c r="E22635" t="s">
        <v>309</v>
      </c>
      <c r="F22635" t="s">
        <v>310</v>
      </c>
      <c r="G22635">
        <v>3.39</v>
      </c>
      <c r="H22635">
        <v>251231</v>
      </c>
      <c r="I22635">
        <v>4369</v>
      </c>
      <c r="J22635" t="s">
        <v>188</v>
      </c>
      <c r="K22635">
        <v>243.43</v>
      </c>
      <c r="L22635">
        <v>0.69</v>
      </c>
      <c r="M22635">
        <v>54451</v>
      </c>
      <c r="N22635" t="s">
        <v>218</v>
      </c>
      <c r="O22635">
        <v>260113</v>
      </c>
      <c r="P22635">
        <v>2.7</v>
      </c>
    </row>
    <row r="22636" spans="1:16" x14ac:dyDescent="0.25">
      <c r="A22636" t="s">
        <v>3296</v>
      </c>
      <c r="B22636" t="s">
        <v>2931</v>
      </c>
      <c r="C22636">
        <v>18403</v>
      </c>
      <c r="D22636" t="str">
        <f t="shared" si="518"/>
        <v xml:space="preserve">12602020491 </v>
      </c>
      <c r="E22636" t="s">
        <v>309</v>
      </c>
      <c r="F22636" t="s">
        <v>310</v>
      </c>
      <c r="G22636">
        <v>3.38</v>
      </c>
      <c r="H22636">
        <v>251231</v>
      </c>
      <c r="I22636">
        <v>4369</v>
      </c>
      <c r="J22636" t="s">
        <v>188</v>
      </c>
      <c r="K22636">
        <v>243.43</v>
      </c>
      <c r="L22636">
        <v>0.69</v>
      </c>
      <c r="M22636">
        <v>56566</v>
      </c>
      <c r="N22636" t="s">
        <v>58</v>
      </c>
      <c r="O22636">
        <v>260113</v>
      </c>
      <c r="P22636">
        <v>2.69</v>
      </c>
    </row>
    <row r="22637" spans="1:16" x14ac:dyDescent="0.25">
      <c r="A22637" t="s">
        <v>3296</v>
      </c>
      <c r="B22637" t="s">
        <v>2931</v>
      </c>
      <c r="C22637">
        <v>18403</v>
      </c>
      <c r="D22637" t="str">
        <f t="shared" si="518"/>
        <v xml:space="preserve">12602020491 </v>
      </c>
      <c r="E22637" t="s">
        <v>309</v>
      </c>
      <c r="F22637" t="s">
        <v>310</v>
      </c>
      <c r="G22637">
        <v>10.84</v>
      </c>
      <c r="H22637">
        <v>251231</v>
      </c>
      <c r="I22637">
        <v>4369</v>
      </c>
      <c r="J22637" t="s">
        <v>188</v>
      </c>
      <c r="K22637">
        <v>243.43</v>
      </c>
      <c r="L22637">
        <v>2.2000000000000002</v>
      </c>
      <c r="M22637">
        <v>59111</v>
      </c>
      <c r="N22637" t="s">
        <v>60</v>
      </c>
      <c r="O22637">
        <v>260113</v>
      </c>
      <c r="P22637">
        <v>8.64</v>
      </c>
    </row>
    <row r="22638" spans="1:16" x14ac:dyDescent="0.25">
      <c r="A22638" t="s">
        <v>3296</v>
      </c>
      <c r="B22638" t="s">
        <v>2931</v>
      </c>
      <c r="C22638">
        <v>18403</v>
      </c>
      <c r="D22638" t="str">
        <f t="shared" si="518"/>
        <v xml:space="preserve">12602020491 </v>
      </c>
      <c r="E22638" t="s">
        <v>309</v>
      </c>
      <c r="F22638" t="s">
        <v>310</v>
      </c>
      <c r="G22638">
        <v>10.17</v>
      </c>
      <c r="H22638">
        <v>251231</v>
      </c>
      <c r="I22638">
        <v>4369</v>
      </c>
      <c r="J22638" t="s">
        <v>188</v>
      </c>
      <c r="K22638">
        <v>243.43</v>
      </c>
      <c r="L22638">
        <v>2.0699999999999998</v>
      </c>
      <c r="M22638">
        <v>59113</v>
      </c>
      <c r="N22638" t="s">
        <v>61</v>
      </c>
      <c r="O22638">
        <v>260113</v>
      </c>
      <c r="P22638">
        <v>8.1</v>
      </c>
    </row>
    <row r="22639" spans="1:16" x14ac:dyDescent="0.25">
      <c r="A22639" t="s">
        <v>3296</v>
      </c>
      <c r="B22639" t="s">
        <v>2931</v>
      </c>
      <c r="C22639">
        <v>18403</v>
      </c>
      <c r="D22639" t="str">
        <f t="shared" si="518"/>
        <v xml:space="preserve">12602020491 </v>
      </c>
      <c r="E22639" t="s">
        <v>309</v>
      </c>
      <c r="F22639" t="s">
        <v>310</v>
      </c>
      <c r="G22639">
        <v>4.03</v>
      </c>
      <c r="H22639">
        <v>251231</v>
      </c>
      <c r="I22639">
        <v>4369</v>
      </c>
      <c r="J22639" t="s">
        <v>188</v>
      </c>
      <c r="K22639">
        <v>243.43</v>
      </c>
      <c r="L22639">
        <v>0.82</v>
      </c>
      <c r="M22639">
        <v>59114</v>
      </c>
      <c r="N22639" t="s">
        <v>299</v>
      </c>
      <c r="O22639">
        <v>260113</v>
      </c>
      <c r="P22639">
        <v>3.21</v>
      </c>
    </row>
    <row r="22640" spans="1:16" x14ac:dyDescent="0.25">
      <c r="A22640" t="s">
        <v>3296</v>
      </c>
      <c r="B22640" t="s">
        <v>2931</v>
      </c>
      <c r="C22640">
        <v>18403</v>
      </c>
      <c r="D22640" t="str">
        <f t="shared" si="518"/>
        <v xml:space="preserve">12602020491 </v>
      </c>
      <c r="E22640" t="s">
        <v>309</v>
      </c>
      <c r="F22640" t="s">
        <v>310</v>
      </c>
      <c r="G22640">
        <v>63.84</v>
      </c>
      <c r="H22640">
        <v>251231</v>
      </c>
      <c r="I22640">
        <v>4369</v>
      </c>
      <c r="J22640" t="s">
        <v>188</v>
      </c>
      <c r="K22640">
        <v>243.43</v>
      </c>
      <c r="L22640">
        <v>12.97</v>
      </c>
      <c r="M22640">
        <v>59501</v>
      </c>
      <c r="N22640" t="s">
        <v>62</v>
      </c>
      <c r="O22640">
        <v>260113</v>
      </c>
      <c r="P22640">
        <v>50.87</v>
      </c>
    </row>
    <row r="22641" spans="1:16" x14ac:dyDescent="0.25">
      <c r="A22641" t="s">
        <v>3296</v>
      </c>
      <c r="B22641" t="s">
        <v>2931</v>
      </c>
      <c r="C22641">
        <v>18403</v>
      </c>
      <c r="D22641" t="str">
        <f t="shared" si="518"/>
        <v xml:space="preserve">12602020491 </v>
      </c>
      <c r="E22641" t="s">
        <v>309</v>
      </c>
      <c r="F22641" t="s">
        <v>310</v>
      </c>
      <c r="G22641">
        <v>40.03</v>
      </c>
      <c r="H22641">
        <v>251231</v>
      </c>
      <c r="I22641">
        <v>4369</v>
      </c>
      <c r="J22641" t="s">
        <v>188</v>
      </c>
      <c r="K22641">
        <v>243.43</v>
      </c>
      <c r="L22641">
        <v>8.1300000000000008</v>
      </c>
      <c r="M22641">
        <v>59502</v>
      </c>
      <c r="N22641" t="s">
        <v>63</v>
      </c>
      <c r="O22641">
        <v>260113</v>
      </c>
      <c r="P22641">
        <v>31.9</v>
      </c>
    </row>
    <row r="22642" spans="1:16" x14ac:dyDescent="0.25">
      <c r="A22642" t="s">
        <v>3296</v>
      </c>
      <c r="B22642" t="s">
        <v>2931</v>
      </c>
      <c r="C22642">
        <v>18403</v>
      </c>
      <c r="D22642" t="str">
        <f t="shared" si="518"/>
        <v xml:space="preserve">12602020491 </v>
      </c>
      <c r="E22642" t="s">
        <v>309</v>
      </c>
      <c r="F22642" t="s">
        <v>310</v>
      </c>
      <c r="G22642">
        <v>10.17</v>
      </c>
      <c r="H22642">
        <v>251231</v>
      </c>
      <c r="I22642">
        <v>4369</v>
      </c>
      <c r="J22642" t="s">
        <v>188</v>
      </c>
      <c r="K22642">
        <v>243.43</v>
      </c>
      <c r="L22642">
        <v>2.0699999999999998</v>
      </c>
      <c r="M22642">
        <v>59504</v>
      </c>
      <c r="N22642" t="s">
        <v>193</v>
      </c>
      <c r="O22642">
        <v>260113</v>
      </c>
      <c r="P22642">
        <v>8.1</v>
      </c>
    </row>
    <row r="22643" spans="1:16" x14ac:dyDescent="0.25">
      <c r="A22643" t="s">
        <v>3296</v>
      </c>
      <c r="B22643" t="s">
        <v>2931</v>
      </c>
      <c r="C22643">
        <v>18403</v>
      </c>
      <c r="D22643" t="str">
        <f t="shared" si="518"/>
        <v xml:space="preserve">12602020491 </v>
      </c>
      <c r="E22643" t="s">
        <v>309</v>
      </c>
      <c r="F22643" t="s">
        <v>310</v>
      </c>
      <c r="G22643">
        <v>6.78</v>
      </c>
      <c r="H22643">
        <v>251231</v>
      </c>
      <c r="I22643">
        <v>4369</v>
      </c>
      <c r="J22643" t="s">
        <v>188</v>
      </c>
      <c r="K22643">
        <v>243.43</v>
      </c>
      <c r="L22643">
        <v>1.38</v>
      </c>
      <c r="M22643">
        <v>59505</v>
      </c>
      <c r="N22643" t="s">
        <v>194</v>
      </c>
      <c r="O22643">
        <v>260113</v>
      </c>
      <c r="P22643">
        <v>5.4</v>
      </c>
    </row>
    <row r="22644" spans="1:16" x14ac:dyDescent="0.25">
      <c r="A22644" t="s">
        <v>3296</v>
      </c>
      <c r="B22644" t="s">
        <v>2931</v>
      </c>
      <c r="C22644">
        <v>18403</v>
      </c>
      <c r="D22644" t="str">
        <f t="shared" si="518"/>
        <v xml:space="preserve">12602020491 </v>
      </c>
      <c r="E22644" t="s">
        <v>309</v>
      </c>
      <c r="F22644" t="s">
        <v>310</v>
      </c>
      <c r="G22644">
        <v>13.97</v>
      </c>
      <c r="H22644">
        <v>251231</v>
      </c>
      <c r="I22644">
        <v>4369</v>
      </c>
      <c r="J22644" t="s">
        <v>188</v>
      </c>
      <c r="K22644">
        <v>243.43</v>
      </c>
      <c r="L22644">
        <v>2.84</v>
      </c>
      <c r="M22644">
        <v>59701</v>
      </c>
      <c r="N22644" t="s">
        <v>64</v>
      </c>
      <c r="O22644">
        <v>260113</v>
      </c>
      <c r="P22644">
        <v>11.13</v>
      </c>
    </row>
    <row r="22645" spans="1:16" x14ac:dyDescent="0.25">
      <c r="A22645" t="s">
        <v>3296</v>
      </c>
      <c r="B22645" t="s">
        <v>2931</v>
      </c>
      <c r="C22645">
        <v>18403</v>
      </c>
      <c r="D22645" t="str">
        <f t="shared" si="518"/>
        <v xml:space="preserve">12602020491 </v>
      </c>
      <c r="E22645" t="s">
        <v>309</v>
      </c>
      <c r="F22645" t="s">
        <v>310</v>
      </c>
      <c r="G22645">
        <v>10.64</v>
      </c>
      <c r="H22645">
        <v>251231</v>
      </c>
      <c r="I22645">
        <v>4369</v>
      </c>
      <c r="J22645" t="s">
        <v>188</v>
      </c>
      <c r="K22645">
        <v>243.43</v>
      </c>
      <c r="L22645">
        <v>2.16</v>
      </c>
      <c r="M22645">
        <v>59702</v>
      </c>
      <c r="N22645" t="s">
        <v>45</v>
      </c>
      <c r="O22645">
        <v>260113</v>
      </c>
      <c r="P22645">
        <v>8.48</v>
      </c>
    </row>
    <row r="22646" spans="1:16" x14ac:dyDescent="0.25">
      <c r="A22646" t="s">
        <v>3296</v>
      </c>
      <c r="B22646" t="s">
        <v>2931</v>
      </c>
      <c r="C22646">
        <v>18403</v>
      </c>
      <c r="D22646" t="str">
        <f t="shared" si="518"/>
        <v xml:space="preserve">12602020491 </v>
      </c>
      <c r="E22646" t="s">
        <v>309</v>
      </c>
      <c r="F22646" t="s">
        <v>310</v>
      </c>
      <c r="G22646">
        <v>6.59</v>
      </c>
      <c r="H22646">
        <v>251231</v>
      </c>
      <c r="I22646">
        <v>4369</v>
      </c>
      <c r="J22646" t="s">
        <v>188</v>
      </c>
      <c r="K22646">
        <v>243.43</v>
      </c>
      <c r="L22646">
        <v>1.34</v>
      </c>
      <c r="M22646">
        <v>59704</v>
      </c>
      <c r="N22646" t="s">
        <v>46</v>
      </c>
      <c r="O22646">
        <v>260113</v>
      </c>
      <c r="P22646">
        <v>5.25</v>
      </c>
    </row>
    <row r="22647" spans="1:16" x14ac:dyDescent="0.25">
      <c r="A22647" t="s">
        <v>3296</v>
      </c>
      <c r="B22647" t="s">
        <v>2931</v>
      </c>
      <c r="C22647">
        <v>18403</v>
      </c>
      <c r="D22647" t="str">
        <f t="shared" si="518"/>
        <v xml:space="preserve">12602020491 </v>
      </c>
      <c r="E22647" t="s">
        <v>309</v>
      </c>
      <c r="F22647" t="s">
        <v>310</v>
      </c>
      <c r="G22647">
        <v>3.39</v>
      </c>
      <c r="H22647">
        <v>251231</v>
      </c>
      <c r="I22647">
        <v>4369</v>
      </c>
      <c r="J22647" t="s">
        <v>188</v>
      </c>
      <c r="K22647">
        <v>243.43</v>
      </c>
      <c r="L22647">
        <v>0.69</v>
      </c>
      <c r="M22647">
        <v>59705</v>
      </c>
      <c r="N22647" t="s">
        <v>47</v>
      </c>
      <c r="O22647">
        <v>260113</v>
      </c>
      <c r="P22647">
        <v>2.7</v>
      </c>
    </row>
    <row r="22648" spans="1:16" x14ac:dyDescent="0.25">
      <c r="A22648" t="s">
        <v>3296</v>
      </c>
      <c r="B22648" t="s">
        <v>2931</v>
      </c>
      <c r="C22648">
        <v>18403</v>
      </c>
      <c r="D22648" t="str">
        <f t="shared" si="518"/>
        <v xml:space="preserve">12602020491 </v>
      </c>
      <c r="E22648" t="s">
        <v>309</v>
      </c>
      <c r="F22648" t="s">
        <v>310</v>
      </c>
      <c r="G22648">
        <v>19.95</v>
      </c>
      <c r="H22648">
        <v>251231</v>
      </c>
      <c r="I22648">
        <v>4369</v>
      </c>
      <c r="J22648" t="s">
        <v>188</v>
      </c>
      <c r="K22648">
        <v>243.43</v>
      </c>
      <c r="L22648">
        <v>4.05</v>
      </c>
      <c r="M22648">
        <v>59802</v>
      </c>
      <c r="N22648" t="s">
        <v>195</v>
      </c>
      <c r="O22648">
        <v>260113</v>
      </c>
      <c r="P22648">
        <v>15.9</v>
      </c>
    </row>
    <row r="22649" spans="1:16" x14ac:dyDescent="0.25">
      <c r="A22649" t="s">
        <v>3296</v>
      </c>
      <c r="B22649" t="s">
        <v>2931</v>
      </c>
      <c r="C22649">
        <v>18403</v>
      </c>
      <c r="D22649" t="str">
        <f t="shared" si="518"/>
        <v xml:space="preserve">12602020491 </v>
      </c>
      <c r="E22649" t="s">
        <v>309</v>
      </c>
      <c r="F22649" t="s">
        <v>310</v>
      </c>
      <c r="G22649">
        <v>20.260000000000002</v>
      </c>
      <c r="H22649">
        <v>251231</v>
      </c>
      <c r="I22649">
        <v>4369</v>
      </c>
      <c r="J22649" t="s">
        <v>188</v>
      </c>
      <c r="K22649">
        <v>243.43</v>
      </c>
      <c r="L22649">
        <v>4.12</v>
      </c>
      <c r="M22649">
        <v>59812</v>
      </c>
      <c r="N22649" t="s">
        <v>196</v>
      </c>
      <c r="O22649">
        <v>260113</v>
      </c>
      <c r="P22649">
        <v>16.14</v>
      </c>
    </row>
    <row r="22650" spans="1:16" x14ac:dyDescent="0.25">
      <c r="A22650" t="s">
        <v>3296</v>
      </c>
      <c r="B22650" t="s">
        <v>2931</v>
      </c>
      <c r="C22650">
        <v>18403</v>
      </c>
      <c r="D22650" t="str">
        <f t="shared" si="518"/>
        <v xml:space="preserve">12602020491 </v>
      </c>
      <c r="E22650" t="s">
        <v>309</v>
      </c>
      <c r="F22650" t="s">
        <v>310</v>
      </c>
      <c r="G22650">
        <v>12.52</v>
      </c>
      <c r="H22650">
        <v>251231</v>
      </c>
      <c r="I22650">
        <v>4369</v>
      </c>
      <c r="J22650" t="s">
        <v>188</v>
      </c>
      <c r="K22650">
        <v>243.43</v>
      </c>
      <c r="L22650">
        <v>2.54</v>
      </c>
      <c r="M22650">
        <v>59815</v>
      </c>
      <c r="N22650" t="s">
        <v>1001</v>
      </c>
      <c r="O22650">
        <v>260113</v>
      </c>
      <c r="P22650">
        <v>9.98</v>
      </c>
    </row>
    <row r="22651" spans="1:16" x14ac:dyDescent="0.25">
      <c r="A22651" t="s">
        <v>3296</v>
      </c>
      <c r="B22651" t="s">
        <v>2931</v>
      </c>
      <c r="C22651">
        <v>18412</v>
      </c>
      <c r="D22651" t="str">
        <f t="shared" ref="D22651:D22661" si="519">"12602020497 "</f>
        <v xml:space="preserve">12602020497 </v>
      </c>
      <c r="E22651" t="s">
        <v>309</v>
      </c>
      <c r="F22651" t="s">
        <v>310</v>
      </c>
      <c r="G22651">
        <v>3.39</v>
      </c>
      <c r="H22651">
        <v>251231</v>
      </c>
      <c r="I22651">
        <v>4369</v>
      </c>
      <c r="J22651" t="s">
        <v>188</v>
      </c>
      <c r="K22651">
        <v>72.02</v>
      </c>
      <c r="L22651">
        <v>0.69</v>
      </c>
      <c r="M22651">
        <v>51157</v>
      </c>
      <c r="N22651" t="s">
        <v>998</v>
      </c>
      <c r="O22651">
        <v>260113</v>
      </c>
      <c r="P22651">
        <v>2.7</v>
      </c>
    </row>
    <row r="22652" spans="1:16" x14ac:dyDescent="0.25">
      <c r="A22652" t="s">
        <v>3296</v>
      </c>
      <c r="B22652" t="s">
        <v>2931</v>
      </c>
      <c r="C22652">
        <v>18412</v>
      </c>
      <c r="D22652" t="str">
        <f t="shared" si="519"/>
        <v xml:space="preserve">12602020497 </v>
      </c>
      <c r="E22652" t="s">
        <v>309</v>
      </c>
      <c r="F22652" t="s">
        <v>310</v>
      </c>
      <c r="G22652">
        <v>3.38</v>
      </c>
      <c r="H22652">
        <v>251231</v>
      </c>
      <c r="I22652">
        <v>4369</v>
      </c>
      <c r="J22652" t="s">
        <v>188</v>
      </c>
      <c r="K22652">
        <v>72.02</v>
      </c>
      <c r="L22652">
        <v>0.69</v>
      </c>
      <c r="M22652">
        <v>56526</v>
      </c>
      <c r="N22652" t="s">
        <v>506</v>
      </c>
      <c r="O22652">
        <v>260113</v>
      </c>
      <c r="P22652">
        <v>2.69</v>
      </c>
    </row>
    <row r="22653" spans="1:16" x14ac:dyDescent="0.25">
      <c r="A22653" t="s">
        <v>3296</v>
      </c>
      <c r="B22653" t="s">
        <v>2931</v>
      </c>
      <c r="C22653">
        <v>18412</v>
      </c>
      <c r="D22653" t="str">
        <f t="shared" si="519"/>
        <v xml:space="preserve">12602020497 </v>
      </c>
      <c r="E22653" t="s">
        <v>309</v>
      </c>
      <c r="F22653" t="s">
        <v>310</v>
      </c>
      <c r="G22653">
        <v>16.940000000000001</v>
      </c>
      <c r="H22653">
        <v>251231</v>
      </c>
      <c r="I22653">
        <v>4369</v>
      </c>
      <c r="J22653" t="s">
        <v>188</v>
      </c>
      <c r="K22653">
        <v>72.02</v>
      </c>
      <c r="L22653">
        <v>3.44</v>
      </c>
      <c r="M22653">
        <v>56558</v>
      </c>
      <c r="N22653" t="s">
        <v>50</v>
      </c>
      <c r="O22653">
        <v>260113</v>
      </c>
      <c r="P22653">
        <v>13.5</v>
      </c>
    </row>
    <row r="22654" spans="1:16" x14ac:dyDescent="0.25">
      <c r="A22654" t="s">
        <v>3296</v>
      </c>
      <c r="B22654" t="s">
        <v>2931</v>
      </c>
      <c r="C22654">
        <v>18412</v>
      </c>
      <c r="D22654" t="str">
        <f t="shared" si="519"/>
        <v xml:space="preserve">12602020497 </v>
      </c>
      <c r="E22654" t="s">
        <v>309</v>
      </c>
      <c r="F22654" t="s">
        <v>310</v>
      </c>
      <c r="G22654">
        <v>10.96</v>
      </c>
      <c r="H22654">
        <v>251231</v>
      </c>
      <c r="I22654">
        <v>4369</v>
      </c>
      <c r="J22654" t="s">
        <v>188</v>
      </c>
      <c r="K22654">
        <v>72.02</v>
      </c>
      <c r="L22654">
        <v>2.23</v>
      </c>
      <c r="M22654">
        <v>56559</v>
      </c>
      <c r="N22654" t="s">
        <v>51</v>
      </c>
      <c r="O22654">
        <v>260113</v>
      </c>
      <c r="P22654">
        <v>8.73</v>
      </c>
    </row>
    <row r="22655" spans="1:16" x14ac:dyDescent="0.25">
      <c r="A22655" t="s">
        <v>3296</v>
      </c>
      <c r="B22655" t="s">
        <v>2931</v>
      </c>
      <c r="C22655">
        <v>18412</v>
      </c>
      <c r="D22655" t="str">
        <f t="shared" si="519"/>
        <v xml:space="preserve">12602020497 </v>
      </c>
      <c r="E22655" t="s">
        <v>309</v>
      </c>
      <c r="F22655" t="s">
        <v>310</v>
      </c>
      <c r="G22655">
        <v>6.78</v>
      </c>
      <c r="H22655">
        <v>251231</v>
      </c>
      <c r="I22655">
        <v>4369</v>
      </c>
      <c r="J22655" t="s">
        <v>188</v>
      </c>
      <c r="K22655">
        <v>72.02</v>
      </c>
      <c r="L22655">
        <v>1.38</v>
      </c>
      <c r="M22655">
        <v>56560</v>
      </c>
      <c r="N22655" t="s">
        <v>52</v>
      </c>
      <c r="O22655">
        <v>260113</v>
      </c>
      <c r="P22655">
        <v>5.4</v>
      </c>
    </row>
    <row r="22656" spans="1:16" x14ac:dyDescent="0.25">
      <c r="A22656" t="s">
        <v>3296</v>
      </c>
      <c r="B22656" t="s">
        <v>2931</v>
      </c>
      <c r="C22656">
        <v>18412</v>
      </c>
      <c r="D22656" t="str">
        <f t="shared" si="519"/>
        <v xml:space="preserve">12602020497 </v>
      </c>
      <c r="E22656" t="s">
        <v>309</v>
      </c>
      <c r="F22656" t="s">
        <v>310</v>
      </c>
      <c r="G22656">
        <v>3.39</v>
      </c>
      <c r="H22656">
        <v>251231</v>
      </c>
      <c r="I22656">
        <v>4369</v>
      </c>
      <c r="J22656" t="s">
        <v>188</v>
      </c>
      <c r="K22656">
        <v>72.02</v>
      </c>
      <c r="L22656">
        <v>0.69</v>
      </c>
      <c r="M22656">
        <v>56561</v>
      </c>
      <c r="N22656" t="s">
        <v>53</v>
      </c>
      <c r="O22656">
        <v>260113</v>
      </c>
      <c r="P22656">
        <v>2.7</v>
      </c>
    </row>
    <row r="22657" spans="1:16" x14ac:dyDescent="0.25">
      <c r="A22657" t="s">
        <v>3296</v>
      </c>
      <c r="B22657" t="s">
        <v>2931</v>
      </c>
      <c r="C22657">
        <v>18412</v>
      </c>
      <c r="D22657" t="str">
        <f t="shared" si="519"/>
        <v xml:space="preserve">12602020497 </v>
      </c>
      <c r="E22657" t="s">
        <v>309</v>
      </c>
      <c r="F22657" t="s">
        <v>310</v>
      </c>
      <c r="G22657">
        <v>10.17</v>
      </c>
      <c r="H22657">
        <v>251231</v>
      </c>
      <c r="I22657">
        <v>4369</v>
      </c>
      <c r="J22657" t="s">
        <v>188</v>
      </c>
      <c r="K22657">
        <v>72.02</v>
      </c>
      <c r="L22657">
        <v>2.0699999999999998</v>
      </c>
      <c r="M22657">
        <v>56562</v>
      </c>
      <c r="N22657" t="s">
        <v>54</v>
      </c>
      <c r="O22657">
        <v>260113</v>
      </c>
      <c r="P22657">
        <v>8.1</v>
      </c>
    </row>
    <row r="22658" spans="1:16" x14ac:dyDescent="0.25">
      <c r="A22658" t="s">
        <v>3296</v>
      </c>
      <c r="B22658" t="s">
        <v>2931</v>
      </c>
      <c r="C22658">
        <v>18412</v>
      </c>
      <c r="D22658" t="str">
        <f t="shared" si="519"/>
        <v xml:space="preserve">12602020497 </v>
      </c>
      <c r="E22658" t="s">
        <v>309</v>
      </c>
      <c r="F22658" t="s">
        <v>310</v>
      </c>
      <c r="G22658">
        <v>3.39</v>
      </c>
      <c r="H22658">
        <v>251231</v>
      </c>
      <c r="I22658">
        <v>4369</v>
      </c>
      <c r="J22658" t="s">
        <v>188</v>
      </c>
      <c r="K22658">
        <v>72.02</v>
      </c>
      <c r="L22658">
        <v>0.69</v>
      </c>
      <c r="M22658">
        <v>56564</v>
      </c>
      <c r="N22658" t="s">
        <v>56</v>
      </c>
      <c r="O22658">
        <v>260113</v>
      </c>
      <c r="P22658">
        <v>2.7</v>
      </c>
    </row>
    <row r="22659" spans="1:16" x14ac:dyDescent="0.25">
      <c r="A22659" t="s">
        <v>3296</v>
      </c>
      <c r="B22659" t="s">
        <v>2931</v>
      </c>
      <c r="C22659">
        <v>18412</v>
      </c>
      <c r="D22659" t="str">
        <f t="shared" si="519"/>
        <v xml:space="preserve">12602020497 </v>
      </c>
      <c r="E22659" t="s">
        <v>309</v>
      </c>
      <c r="F22659" t="s">
        <v>310</v>
      </c>
      <c r="G22659">
        <v>3.46</v>
      </c>
      <c r="H22659">
        <v>251231</v>
      </c>
      <c r="I22659">
        <v>4369</v>
      </c>
      <c r="J22659" t="s">
        <v>188</v>
      </c>
      <c r="K22659">
        <v>72.02</v>
      </c>
      <c r="L22659">
        <v>0.7</v>
      </c>
      <c r="M22659">
        <v>56565</v>
      </c>
      <c r="N22659" t="s">
        <v>57</v>
      </c>
      <c r="O22659">
        <v>260113</v>
      </c>
      <c r="P22659">
        <v>2.76</v>
      </c>
    </row>
    <row r="22660" spans="1:16" x14ac:dyDescent="0.25">
      <c r="A22660" t="s">
        <v>3296</v>
      </c>
      <c r="B22660" t="s">
        <v>2931</v>
      </c>
      <c r="C22660">
        <v>18412</v>
      </c>
      <c r="D22660" t="str">
        <f t="shared" si="519"/>
        <v xml:space="preserve">12602020497 </v>
      </c>
      <c r="E22660" t="s">
        <v>309</v>
      </c>
      <c r="F22660" t="s">
        <v>310</v>
      </c>
      <c r="G22660">
        <v>6.78</v>
      </c>
      <c r="H22660">
        <v>251231</v>
      </c>
      <c r="I22660">
        <v>4369</v>
      </c>
      <c r="J22660" t="s">
        <v>188</v>
      </c>
      <c r="K22660">
        <v>72.02</v>
      </c>
      <c r="L22660">
        <v>1.38</v>
      </c>
      <c r="M22660">
        <v>56566</v>
      </c>
      <c r="N22660" t="s">
        <v>58</v>
      </c>
      <c r="O22660">
        <v>260113</v>
      </c>
      <c r="P22660">
        <v>5.4</v>
      </c>
    </row>
    <row r="22661" spans="1:16" x14ac:dyDescent="0.25">
      <c r="A22661" t="s">
        <v>3296</v>
      </c>
      <c r="B22661" t="s">
        <v>2931</v>
      </c>
      <c r="C22661">
        <v>18412</v>
      </c>
      <c r="D22661" t="str">
        <f t="shared" si="519"/>
        <v xml:space="preserve">12602020497 </v>
      </c>
      <c r="E22661" t="s">
        <v>309</v>
      </c>
      <c r="F22661" t="s">
        <v>310</v>
      </c>
      <c r="G22661">
        <v>3.38</v>
      </c>
      <c r="H22661">
        <v>251231</v>
      </c>
      <c r="I22661">
        <v>4369</v>
      </c>
      <c r="J22661" t="s">
        <v>188</v>
      </c>
      <c r="K22661">
        <v>72.02</v>
      </c>
      <c r="L22661">
        <v>0.69</v>
      </c>
      <c r="M22661">
        <v>56568</v>
      </c>
      <c r="N22661" t="s">
        <v>354</v>
      </c>
      <c r="O22661">
        <v>260113</v>
      </c>
      <c r="P22661">
        <v>2.69</v>
      </c>
    </row>
    <row r="22662" spans="1:16" x14ac:dyDescent="0.25">
      <c r="A22662" t="s">
        <v>3296</v>
      </c>
      <c r="B22662" t="s">
        <v>2931</v>
      </c>
      <c r="C22662">
        <v>18417</v>
      </c>
      <c r="D22662" t="str">
        <f>"12602020502 "</f>
        <v xml:space="preserve">12602020502 </v>
      </c>
      <c r="E22662" t="s">
        <v>309</v>
      </c>
      <c r="F22662" t="s">
        <v>310</v>
      </c>
      <c r="G22662">
        <v>20.53</v>
      </c>
      <c r="H22662">
        <v>251231</v>
      </c>
      <c r="I22662">
        <v>4369</v>
      </c>
      <c r="J22662" t="s">
        <v>188</v>
      </c>
      <c r="K22662">
        <v>23.92</v>
      </c>
      <c r="L22662">
        <v>4.17</v>
      </c>
      <c r="M22662">
        <v>47522</v>
      </c>
      <c r="N22662" t="s">
        <v>106</v>
      </c>
      <c r="O22662">
        <v>260113</v>
      </c>
      <c r="P22662">
        <v>16.36</v>
      </c>
    </row>
    <row r="22663" spans="1:16" x14ac:dyDescent="0.25">
      <c r="A22663" t="s">
        <v>3296</v>
      </c>
      <c r="B22663" t="s">
        <v>2931</v>
      </c>
      <c r="C22663">
        <v>18417</v>
      </c>
      <c r="D22663" t="str">
        <f>"12602020502 "</f>
        <v xml:space="preserve">12602020502 </v>
      </c>
      <c r="E22663" t="s">
        <v>309</v>
      </c>
      <c r="F22663" t="s">
        <v>310</v>
      </c>
      <c r="G22663">
        <v>3.39</v>
      </c>
      <c r="H22663">
        <v>251231</v>
      </c>
      <c r="I22663">
        <v>4369</v>
      </c>
      <c r="J22663" t="s">
        <v>188</v>
      </c>
      <c r="K22663">
        <v>23.92</v>
      </c>
      <c r="L22663">
        <v>0.69</v>
      </c>
      <c r="M22663">
        <v>49702</v>
      </c>
      <c r="N22663" t="s">
        <v>112</v>
      </c>
      <c r="O22663">
        <v>260113</v>
      </c>
      <c r="P22663">
        <v>2.7</v>
      </c>
    </row>
    <row r="22664" spans="1:16" x14ac:dyDescent="0.25">
      <c r="A22664" t="s">
        <v>3296</v>
      </c>
      <c r="B22664" t="s">
        <v>2931</v>
      </c>
      <c r="C22664">
        <v>18418</v>
      </c>
      <c r="D22664" t="str">
        <f t="shared" ref="D22664:D22673" si="520">"12602020513 "</f>
        <v xml:space="preserve">12602020513 </v>
      </c>
      <c r="E22664" t="s">
        <v>309</v>
      </c>
      <c r="F22664" t="s">
        <v>310</v>
      </c>
      <c r="G22664">
        <v>6.59</v>
      </c>
      <c r="H22664">
        <v>251231</v>
      </c>
      <c r="I22664">
        <v>4369</v>
      </c>
      <c r="J22664" t="s">
        <v>188</v>
      </c>
      <c r="K22664">
        <v>98.17</v>
      </c>
      <c r="L22664">
        <v>1.34</v>
      </c>
      <c r="M22664">
        <v>16321</v>
      </c>
      <c r="N22664" t="s">
        <v>16</v>
      </c>
      <c r="O22664">
        <v>260113</v>
      </c>
      <c r="P22664">
        <v>5.25</v>
      </c>
    </row>
    <row r="22665" spans="1:16" x14ac:dyDescent="0.25">
      <c r="A22665" t="s">
        <v>3296</v>
      </c>
      <c r="B22665" t="s">
        <v>2931</v>
      </c>
      <c r="C22665">
        <v>18418</v>
      </c>
      <c r="D22665" t="str">
        <f t="shared" si="520"/>
        <v xml:space="preserve">12602020513 </v>
      </c>
      <c r="E22665" t="s">
        <v>309</v>
      </c>
      <c r="F22665" t="s">
        <v>310</v>
      </c>
      <c r="G22665">
        <v>10.38</v>
      </c>
      <c r="H22665">
        <v>251231</v>
      </c>
      <c r="I22665">
        <v>4369</v>
      </c>
      <c r="J22665" t="s">
        <v>188</v>
      </c>
      <c r="K22665">
        <v>98.17</v>
      </c>
      <c r="L22665">
        <v>2.11</v>
      </c>
      <c r="M22665">
        <v>16431</v>
      </c>
      <c r="N22665" t="s">
        <v>17</v>
      </c>
      <c r="O22665">
        <v>260113</v>
      </c>
      <c r="P22665">
        <v>8.27</v>
      </c>
    </row>
    <row r="22666" spans="1:16" x14ac:dyDescent="0.25">
      <c r="A22666" t="s">
        <v>3296</v>
      </c>
      <c r="B22666" t="s">
        <v>2931</v>
      </c>
      <c r="C22666">
        <v>18418</v>
      </c>
      <c r="D22666" t="str">
        <f t="shared" si="520"/>
        <v xml:space="preserve">12602020513 </v>
      </c>
      <c r="E22666" t="s">
        <v>309</v>
      </c>
      <c r="F22666" t="s">
        <v>310</v>
      </c>
      <c r="G22666">
        <v>15.05</v>
      </c>
      <c r="H22666">
        <v>251231</v>
      </c>
      <c r="I22666">
        <v>4369</v>
      </c>
      <c r="J22666" t="s">
        <v>188</v>
      </c>
      <c r="K22666">
        <v>98.17</v>
      </c>
      <c r="L22666">
        <v>3.06</v>
      </c>
      <c r="M22666">
        <v>17802</v>
      </c>
      <c r="N22666" t="s">
        <v>18</v>
      </c>
      <c r="O22666">
        <v>260113</v>
      </c>
      <c r="P22666">
        <v>11.99</v>
      </c>
    </row>
    <row r="22667" spans="1:16" x14ac:dyDescent="0.25">
      <c r="A22667" t="s">
        <v>3296</v>
      </c>
      <c r="B22667" t="s">
        <v>2931</v>
      </c>
      <c r="C22667">
        <v>18418</v>
      </c>
      <c r="D22667" t="str">
        <f t="shared" si="520"/>
        <v xml:space="preserve">12602020513 </v>
      </c>
      <c r="E22667" t="s">
        <v>309</v>
      </c>
      <c r="F22667" t="s">
        <v>310</v>
      </c>
      <c r="G22667">
        <v>9.99</v>
      </c>
      <c r="H22667">
        <v>251231</v>
      </c>
      <c r="I22667">
        <v>4369</v>
      </c>
      <c r="J22667" t="s">
        <v>188</v>
      </c>
      <c r="K22667">
        <v>98.17</v>
      </c>
      <c r="L22667">
        <v>2.0299999999999998</v>
      </c>
      <c r="M22667">
        <v>17803</v>
      </c>
      <c r="N22667" t="s">
        <v>19</v>
      </c>
      <c r="O22667">
        <v>260113</v>
      </c>
      <c r="P22667">
        <v>7.96</v>
      </c>
    </row>
    <row r="22668" spans="1:16" x14ac:dyDescent="0.25">
      <c r="A22668" t="s">
        <v>3296</v>
      </c>
      <c r="B22668" t="s">
        <v>2931</v>
      </c>
      <c r="C22668">
        <v>18418</v>
      </c>
      <c r="D22668" t="str">
        <f t="shared" si="520"/>
        <v xml:space="preserve">12602020513 </v>
      </c>
      <c r="E22668" t="s">
        <v>309</v>
      </c>
      <c r="F22668" t="s">
        <v>310</v>
      </c>
      <c r="G22668">
        <v>3.39</v>
      </c>
      <c r="H22668">
        <v>251231</v>
      </c>
      <c r="I22668">
        <v>4369</v>
      </c>
      <c r="J22668" t="s">
        <v>188</v>
      </c>
      <c r="K22668">
        <v>98.17</v>
      </c>
      <c r="L22668">
        <v>0.69</v>
      </c>
      <c r="M22668">
        <v>17804</v>
      </c>
      <c r="N22668" t="s">
        <v>20</v>
      </c>
      <c r="O22668">
        <v>260113</v>
      </c>
      <c r="P22668">
        <v>2.7</v>
      </c>
    </row>
    <row r="22669" spans="1:16" x14ac:dyDescent="0.25">
      <c r="A22669" t="s">
        <v>3296</v>
      </c>
      <c r="B22669" t="s">
        <v>2931</v>
      </c>
      <c r="C22669">
        <v>18418</v>
      </c>
      <c r="D22669" t="str">
        <f t="shared" si="520"/>
        <v xml:space="preserve">12602020513 </v>
      </c>
      <c r="E22669" t="s">
        <v>309</v>
      </c>
      <c r="F22669" t="s">
        <v>310</v>
      </c>
      <c r="G22669">
        <v>3.39</v>
      </c>
      <c r="H22669">
        <v>251231</v>
      </c>
      <c r="I22669">
        <v>4369</v>
      </c>
      <c r="J22669" t="s">
        <v>188</v>
      </c>
      <c r="K22669">
        <v>98.17</v>
      </c>
      <c r="L22669">
        <v>0.69</v>
      </c>
      <c r="M22669">
        <v>17805</v>
      </c>
      <c r="N22669" t="s">
        <v>21</v>
      </c>
      <c r="O22669">
        <v>260113</v>
      </c>
      <c r="P22669">
        <v>2.7</v>
      </c>
    </row>
    <row r="22670" spans="1:16" x14ac:dyDescent="0.25">
      <c r="A22670" t="s">
        <v>3296</v>
      </c>
      <c r="B22670" t="s">
        <v>2931</v>
      </c>
      <c r="C22670">
        <v>18418</v>
      </c>
      <c r="D22670" t="str">
        <f t="shared" si="520"/>
        <v xml:space="preserve">12602020513 </v>
      </c>
      <c r="E22670" t="s">
        <v>309</v>
      </c>
      <c r="F22670" t="s">
        <v>310</v>
      </c>
      <c r="G22670">
        <v>6.78</v>
      </c>
      <c r="H22670">
        <v>251231</v>
      </c>
      <c r="I22670">
        <v>4369</v>
      </c>
      <c r="J22670" t="s">
        <v>188</v>
      </c>
      <c r="K22670">
        <v>98.17</v>
      </c>
      <c r="L22670">
        <v>1.38</v>
      </c>
      <c r="M22670">
        <v>17806</v>
      </c>
      <c r="N22670" t="s">
        <v>22</v>
      </c>
      <c r="O22670">
        <v>260113</v>
      </c>
      <c r="P22670">
        <v>5.4</v>
      </c>
    </row>
    <row r="22671" spans="1:16" x14ac:dyDescent="0.25">
      <c r="A22671" t="s">
        <v>3296</v>
      </c>
      <c r="B22671" t="s">
        <v>2931</v>
      </c>
      <c r="C22671">
        <v>18418</v>
      </c>
      <c r="D22671" t="str">
        <f t="shared" si="520"/>
        <v xml:space="preserve">12602020513 </v>
      </c>
      <c r="E22671" t="s">
        <v>309</v>
      </c>
      <c r="F22671" t="s">
        <v>310</v>
      </c>
      <c r="G22671">
        <v>23.53</v>
      </c>
      <c r="H22671">
        <v>251231</v>
      </c>
      <c r="I22671">
        <v>4369</v>
      </c>
      <c r="J22671" t="s">
        <v>188</v>
      </c>
      <c r="K22671">
        <v>98.17</v>
      </c>
      <c r="L22671">
        <v>4.78</v>
      </c>
      <c r="M22671">
        <v>17807</v>
      </c>
      <c r="N22671" t="s">
        <v>23</v>
      </c>
      <c r="O22671">
        <v>260113</v>
      </c>
      <c r="P22671">
        <v>18.75</v>
      </c>
    </row>
    <row r="22672" spans="1:16" x14ac:dyDescent="0.25">
      <c r="A22672" t="s">
        <v>3296</v>
      </c>
      <c r="B22672" t="s">
        <v>2931</v>
      </c>
      <c r="C22672">
        <v>18418</v>
      </c>
      <c r="D22672" t="str">
        <f t="shared" si="520"/>
        <v xml:space="preserve">12602020513 </v>
      </c>
      <c r="E22672" t="s">
        <v>309</v>
      </c>
      <c r="F22672" t="s">
        <v>310</v>
      </c>
      <c r="G22672">
        <v>10.17</v>
      </c>
      <c r="H22672">
        <v>251231</v>
      </c>
      <c r="I22672">
        <v>4369</v>
      </c>
      <c r="J22672" t="s">
        <v>188</v>
      </c>
      <c r="K22672">
        <v>98.17</v>
      </c>
      <c r="L22672">
        <v>2.0699999999999998</v>
      </c>
      <c r="M22672">
        <v>17808</v>
      </c>
      <c r="N22672" t="s">
        <v>24</v>
      </c>
      <c r="O22672">
        <v>260113</v>
      </c>
      <c r="P22672">
        <v>8.1</v>
      </c>
    </row>
    <row r="22673" spans="1:16" x14ac:dyDescent="0.25">
      <c r="A22673" t="s">
        <v>3296</v>
      </c>
      <c r="B22673" t="s">
        <v>2931</v>
      </c>
      <c r="C22673">
        <v>18418</v>
      </c>
      <c r="D22673" t="str">
        <f t="shared" si="520"/>
        <v xml:space="preserve">12602020513 </v>
      </c>
      <c r="E22673" t="s">
        <v>309</v>
      </c>
      <c r="F22673" t="s">
        <v>310</v>
      </c>
      <c r="G22673">
        <v>8.9</v>
      </c>
      <c r="H22673">
        <v>251231</v>
      </c>
      <c r="I22673">
        <v>4369</v>
      </c>
      <c r="J22673" t="s">
        <v>188</v>
      </c>
      <c r="K22673">
        <v>98.17</v>
      </c>
      <c r="L22673">
        <v>1.81</v>
      </c>
      <c r="M22673">
        <v>17809</v>
      </c>
      <c r="N22673" t="s">
        <v>25</v>
      </c>
      <c r="O22673">
        <v>260113</v>
      </c>
      <c r="P22673">
        <v>7.09</v>
      </c>
    </row>
    <row r="22674" spans="1:16" x14ac:dyDescent="0.25">
      <c r="A22674" t="s">
        <v>3296</v>
      </c>
      <c r="B22674" t="s">
        <v>2931</v>
      </c>
      <c r="C22674">
        <v>18422</v>
      </c>
      <c r="D22674" t="str">
        <f>"12602020501 "</f>
        <v xml:space="preserve">12602020501 </v>
      </c>
      <c r="E22674" t="s">
        <v>309</v>
      </c>
      <c r="F22674" t="s">
        <v>310</v>
      </c>
      <c r="G22674">
        <v>14.58</v>
      </c>
      <c r="H22674">
        <v>251231</v>
      </c>
      <c r="I22674">
        <v>4369</v>
      </c>
      <c r="J22674" t="s">
        <v>188</v>
      </c>
      <c r="K22674">
        <v>21.36</v>
      </c>
      <c r="L22674">
        <v>2.96</v>
      </c>
      <c r="M22674">
        <v>49701</v>
      </c>
      <c r="N22674" t="s">
        <v>111</v>
      </c>
      <c r="O22674">
        <v>260113</v>
      </c>
      <c r="P22674">
        <v>11.62</v>
      </c>
    </row>
    <row r="22675" spans="1:16" x14ac:dyDescent="0.25">
      <c r="A22675" t="s">
        <v>3296</v>
      </c>
      <c r="B22675" t="s">
        <v>2931</v>
      </c>
      <c r="C22675">
        <v>18422</v>
      </c>
      <c r="D22675" t="str">
        <f>"12602020501 "</f>
        <v xml:space="preserve">12602020501 </v>
      </c>
      <c r="E22675" t="s">
        <v>309</v>
      </c>
      <c r="F22675" t="s">
        <v>310</v>
      </c>
      <c r="G22675">
        <v>6.78</v>
      </c>
      <c r="H22675">
        <v>251231</v>
      </c>
      <c r="I22675">
        <v>4369</v>
      </c>
      <c r="J22675" t="s">
        <v>188</v>
      </c>
      <c r="K22675">
        <v>21.36</v>
      </c>
      <c r="L22675">
        <v>1.38</v>
      </c>
      <c r="M22675">
        <v>49702</v>
      </c>
      <c r="N22675" t="s">
        <v>112</v>
      </c>
      <c r="O22675">
        <v>260113</v>
      </c>
      <c r="P22675">
        <v>5.4</v>
      </c>
    </row>
    <row r="22676" spans="1:16" x14ac:dyDescent="0.25">
      <c r="A22676" t="s">
        <v>3296</v>
      </c>
      <c r="B22676" t="s">
        <v>2931</v>
      </c>
      <c r="C22676">
        <v>18426</v>
      </c>
      <c r="D22676" t="str">
        <f t="shared" ref="D22676:D22701" si="521">"12602020515 "</f>
        <v xml:space="preserve">12602020515 </v>
      </c>
      <c r="E22676" t="s">
        <v>309</v>
      </c>
      <c r="F22676" t="s">
        <v>310</v>
      </c>
      <c r="G22676">
        <v>1.49</v>
      </c>
      <c r="H22676">
        <v>251231</v>
      </c>
      <c r="I22676">
        <v>4369</v>
      </c>
      <c r="J22676" t="s">
        <v>188</v>
      </c>
      <c r="K22676">
        <v>237.01</v>
      </c>
      <c r="L22676">
        <v>0.3</v>
      </c>
      <c r="M22676">
        <v>13540</v>
      </c>
      <c r="N22676" t="s">
        <v>131</v>
      </c>
      <c r="O22676">
        <v>260113</v>
      </c>
      <c r="P22676">
        <v>1.19</v>
      </c>
    </row>
    <row r="22677" spans="1:16" x14ac:dyDescent="0.25">
      <c r="A22677" t="s">
        <v>3296</v>
      </c>
      <c r="B22677" t="s">
        <v>2931</v>
      </c>
      <c r="C22677">
        <v>18426</v>
      </c>
      <c r="D22677" t="str">
        <f t="shared" si="521"/>
        <v xml:space="preserve">12602020515 </v>
      </c>
      <c r="E22677" t="s">
        <v>309</v>
      </c>
      <c r="F22677" t="s">
        <v>310</v>
      </c>
      <c r="G22677">
        <v>9.98</v>
      </c>
      <c r="H22677">
        <v>251231</v>
      </c>
      <c r="I22677">
        <v>4369</v>
      </c>
      <c r="J22677" t="s">
        <v>188</v>
      </c>
      <c r="K22677">
        <v>237.01</v>
      </c>
      <c r="L22677">
        <v>2.0299999999999998</v>
      </c>
      <c r="M22677">
        <v>16930</v>
      </c>
      <c r="N22677" t="s">
        <v>135</v>
      </c>
      <c r="O22677">
        <v>260113</v>
      </c>
      <c r="P22677">
        <v>7.95</v>
      </c>
    </row>
    <row r="22678" spans="1:16" x14ac:dyDescent="0.25">
      <c r="A22678" t="s">
        <v>3296</v>
      </c>
      <c r="B22678" t="s">
        <v>2931</v>
      </c>
      <c r="C22678">
        <v>18426</v>
      </c>
      <c r="D22678" t="str">
        <f t="shared" si="521"/>
        <v xml:space="preserve">12602020515 </v>
      </c>
      <c r="E22678" t="s">
        <v>309</v>
      </c>
      <c r="F22678" t="s">
        <v>310</v>
      </c>
      <c r="G22678">
        <v>14.51</v>
      </c>
      <c r="H22678">
        <v>251231</v>
      </c>
      <c r="I22678">
        <v>4369</v>
      </c>
      <c r="J22678" t="s">
        <v>188</v>
      </c>
      <c r="K22678">
        <v>237.01</v>
      </c>
      <c r="L22678">
        <v>2.95</v>
      </c>
      <c r="M22678">
        <v>17521</v>
      </c>
      <c r="N22678" t="s">
        <v>136</v>
      </c>
      <c r="O22678">
        <v>260113</v>
      </c>
      <c r="P22678">
        <v>11.56</v>
      </c>
    </row>
    <row r="22679" spans="1:16" x14ac:dyDescent="0.25">
      <c r="A22679" t="s">
        <v>3296</v>
      </c>
      <c r="B22679" t="s">
        <v>2931</v>
      </c>
      <c r="C22679">
        <v>18426</v>
      </c>
      <c r="D22679" t="str">
        <f t="shared" si="521"/>
        <v xml:space="preserve">12602020515 </v>
      </c>
      <c r="E22679" t="s">
        <v>309</v>
      </c>
      <c r="F22679" t="s">
        <v>310</v>
      </c>
      <c r="G22679">
        <v>6.78</v>
      </c>
      <c r="H22679">
        <v>251231</v>
      </c>
      <c r="I22679">
        <v>4369</v>
      </c>
      <c r="J22679" t="s">
        <v>188</v>
      </c>
      <c r="K22679">
        <v>237.01</v>
      </c>
      <c r="L22679">
        <v>1.38</v>
      </c>
      <c r="M22679">
        <v>17522</v>
      </c>
      <c r="N22679" t="s">
        <v>137</v>
      </c>
      <c r="O22679">
        <v>260113</v>
      </c>
      <c r="P22679">
        <v>5.4</v>
      </c>
    </row>
    <row r="22680" spans="1:16" x14ac:dyDescent="0.25">
      <c r="A22680" t="s">
        <v>3296</v>
      </c>
      <c r="B22680" t="s">
        <v>2931</v>
      </c>
      <c r="C22680">
        <v>18426</v>
      </c>
      <c r="D22680" t="str">
        <f t="shared" si="521"/>
        <v xml:space="preserve">12602020515 </v>
      </c>
      <c r="E22680" t="s">
        <v>309</v>
      </c>
      <c r="F22680" t="s">
        <v>310</v>
      </c>
      <c r="G22680">
        <v>10.83</v>
      </c>
      <c r="H22680">
        <v>251231</v>
      </c>
      <c r="I22680">
        <v>4369</v>
      </c>
      <c r="J22680" t="s">
        <v>188</v>
      </c>
      <c r="K22680">
        <v>237.01</v>
      </c>
      <c r="L22680">
        <v>2.2000000000000002</v>
      </c>
      <c r="M22680">
        <v>17523</v>
      </c>
      <c r="N22680" t="s">
        <v>138</v>
      </c>
      <c r="O22680">
        <v>260113</v>
      </c>
      <c r="P22680">
        <v>8.6300000000000008</v>
      </c>
    </row>
    <row r="22681" spans="1:16" x14ac:dyDescent="0.25">
      <c r="A22681" t="s">
        <v>3296</v>
      </c>
      <c r="B22681" t="s">
        <v>2931</v>
      </c>
      <c r="C22681">
        <v>18426</v>
      </c>
      <c r="D22681" t="str">
        <f t="shared" si="521"/>
        <v xml:space="preserve">12602020515 </v>
      </c>
      <c r="E22681" t="s">
        <v>309</v>
      </c>
      <c r="F22681" t="s">
        <v>310</v>
      </c>
      <c r="G22681">
        <v>6.79</v>
      </c>
      <c r="H22681">
        <v>251231</v>
      </c>
      <c r="I22681">
        <v>4369</v>
      </c>
      <c r="J22681" t="s">
        <v>188</v>
      </c>
      <c r="K22681">
        <v>237.01</v>
      </c>
      <c r="L22681">
        <v>1.38</v>
      </c>
      <c r="M22681">
        <v>17524</v>
      </c>
      <c r="N22681" t="s">
        <v>139</v>
      </c>
      <c r="O22681">
        <v>260113</v>
      </c>
      <c r="P22681">
        <v>5.41</v>
      </c>
    </row>
    <row r="22682" spans="1:16" x14ac:dyDescent="0.25">
      <c r="A22682" t="s">
        <v>3296</v>
      </c>
      <c r="B22682" t="s">
        <v>2931</v>
      </c>
      <c r="C22682">
        <v>18426</v>
      </c>
      <c r="D22682" t="str">
        <f t="shared" si="521"/>
        <v xml:space="preserve">12602020515 </v>
      </c>
      <c r="E22682" t="s">
        <v>309</v>
      </c>
      <c r="F22682" t="s">
        <v>310</v>
      </c>
      <c r="G22682">
        <v>3.45</v>
      </c>
      <c r="H22682">
        <v>251231</v>
      </c>
      <c r="I22682">
        <v>4369</v>
      </c>
      <c r="J22682" t="s">
        <v>188</v>
      </c>
      <c r="K22682">
        <v>237.01</v>
      </c>
      <c r="L22682">
        <v>0.7</v>
      </c>
      <c r="M22682">
        <v>17525</v>
      </c>
      <c r="N22682" t="s">
        <v>140</v>
      </c>
      <c r="O22682">
        <v>260113</v>
      </c>
      <c r="P22682">
        <v>2.75</v>
      </c>
    </row>
    <row r="22683" spans="1:16" x14ac:dyDescent="0.25">
      <c r="A22683" t="s">
        <v>3296</v>
      </c>
      <c r="B22683" t="s">
        <v>2931</v>
      </c>
      <c r="C22683">
        <v>18426</v>
      </c>
      <c r="D22683" t="str">
        <f t="shared" si="521"/>
        <v xml:space="preserve">12602020515 </v>
      </c>
      <c r="E22683" t="s">
        <v>309</v>
      </c>
      <c r="F22683" t="s">
        <v>310</v>
      </c>
      <c r="G22683">
        <v>6.78</v>
      </c>
      <c r="H22683">
        <v>251231</v>
      </c>
      <c r="I22683">
        <v>4369</v>
      </c>
      <c r="J22683" t="s">
        <v>188</v>
      </c>
      <c r="K22683">
        <v>237.01</v>
      </c>
      <c r="L22683">
        <v>1.38</v>
      </c>
      <c r="M22683">
        <v>17526</v>
      </c>
      <c r="N22683" t="s">
        <v>141</v>
      </c>
      <c r="O22683">
        <v>260113</v>
      </c>
      <c r="P22683">
        <v>5.4</v>
      </c>
    </row>
    <row r="22684" spans="1:16" x14ac:dyDescent="0.25">
      <c r="A22684" t="s">
        <v>3296</v>
      </c>
      <c r="B22684" t="s">
        <v>2931</v>
      </c>
      <c r="C22684">
        <v>18426</v>
      </c>
      <c r="D22684" t="str">
        <f t="shared" si="521"/>
        <v xml:space="preserve">12602020515 </v>
      </c>
      <c r="E22684" t="s">
        <v>309</v>
      </c>
      <c r="F22684" t="s">
        <v>310</v>
      </c>
      <c r="G22684">
        <v>6.98</v>
      </c>
      <c r="H22684">
        <v>251231</v>
      </c>
      <c r="I22684">
        <v>4369</v>
      </c>
      <c r="J22684" t="s">
        <v>188</v>
      </c>
      <c r="K22684">
        <v>237.01</v>
      </c>
      <c r="L22684">
        <v>1.42</v>
      </c>
      <c r="M22684">
        <v>17527</v>
      </c>
      <c r="N22684" t="s">
        <v>142</v>
      </c>
      <c r="O22684">
        <v>260113</v>
      </c>
      <c r="P22684">
        <v>5.56</v>
      </c>
    </row>
    <row r="22685" spans="1:16" x14ac:dyDescent="0.25">
      <c r="A22685" t="s">
        <v>3296</v>
      </c>
      <c r="B22685" t="s">
        <v>2931</v>
      </c>
      <c r="C22685">
        <v>18426</v>
      </c>
      <c r="D22685" t="str">
        <f t="shared" si="521"/>
        <v xml:space="preserve">12602020515 </v>
      </c>
      <c r="E22685" t="s">
        <v>309</v>
      </c>
      <c r="F22685" t="s">
        <v>310</v>
      </c>
      <c r="G22685">
        <v>3.79</v>
      </c>
      <c r="H22685">
        <v>251231</v>
      </c>
      <c r="I22685">
        <v>4369</v>
      </c>
      <c r="J22685" t="s">
        <v>188</v>
      </c>
      <c r="K22685">
        <v>237.01</v>
      </c>
      <c r="L22685">
        <v>0.77</v>
      </c>
      <c r="M22685">
        <v>17529</v>
      </c>
      <c r="N22685" t="s">
        <v>143</v>
      </c>
      <c r="O22685">
        <v>260113</v>
      </c>
      <c r="P22685">
        <v>3.02</v>
      </c>
    </row>
    <row r="22686" spans="1:16" x14ac:dyDescent="0.25">
      <c r="A22686" t="s">
        <v>3296</v>
      </c>
      <c r="B22686" t="s">
        <v>2931</v>
      </c>
      <c r="C22686">
        <v>18426</v>
      </c>
      <c r="D22686" t="str">
        <f t="shared" si="521"/>
        <v xml:space="preserve">12602020515 </v>
      </c>
      <c r="E22686" t="s">
        <v>309</v>
      </c>
      <c r="F22686" t="s">
        <v>310</v>
      </c>
      <c r="G22686">
        <v>10.19</v>
      </c>
      <c r="H22686">
        <v>251231</v>
      </c>
      <c r="I22686">
        <v>4369</v>
      </c>
      <c r="J22686" t="s">
        <v>188</v>
      </c>
      <c r="K22686">
        <v>237.01</v>
      </c>
      <c r="L22686">
        <v>2.0699999999999998</v>
      </c>
      <c r="M22686">
        <v>17530</v>
      </c>
      <c r="N22686" t="s">
        <v>144</v>
      </c>
      <c r="O22686">
        <v>260113</v>
      </c>
      <c r="P22686">
        <v>8.1199999999999992</v>
      </c>
    </row>
    <row r="22687" spans="1:16" x14ac:dyDescent="0.25">
      <c r="A22687" t="s">
        <v>3296</v>
      </c>
      <c r="B22687" t="s">
        <v>2931</v>
      </c>
      <c r="C22687">
        <v>18426</v>
      </c>
      <c r="D22687" t="str">
        <f t="shared" si="521"/>
        <v xml:space="preserve">12602020515 </v>
      </c>
      <c r="E22687" t="s">
        <v>309</v>
      </c>
      <c r="F22687" t="s">
        <v>310</v>
      </c>
      <c r="G22687">
        <v>13.18</v>
      </c>
      <c r="H22687">
        <v>251231</v>
      </c>
      <c r="I22687">
        <v>4369</v>
      </c>
      <c r="J22687" t="s">
        <v>188</v>
      </c>
      <c r="K22687">
        <v>237.01</v>
      </c>
      <c r="L22687">
        <v>2.68</v>
      </c>
      <c r="M22687">
        <v>17531</v>
      </c>
      <c r="N22687" t="s">
        <v>145</v>
      </c>
      <c r="O22687">
        <v>260113</v>
      </c>
      <c r="P22687">
        <v>10.5</v>
      </c>
    </row>
    <row r="22688" spans="1:16" x14ac:dyDescent="0.25">
      <c r="A22688" t="s">
        <v>3296</v>
      </c>
      <c r="B22688" t="s">
        <v>2931</v>
      </c>
      <c r="C22688">
        <v>18426</v>
      </c>
      <c r="D22688" t="str">
        <f t="shared" si="521"/>
        <v xml:space="preserve">12602020515 </v>
      </c>
      <c r="E22688" t="s">
        <v>309</v>
      </c>
      <c r="F22688" t="s">
        <v>310</v>
      </c>
      <c r="G22688">
        <v>12.97</v>
      </c>
      <c r="H22688">
        <v>251231</v>
      </c>
      <c r="I22688">
        <v>4369</v>
      </c>
      <c r="J22688" t="s">
        <v>188</v>
      </c>
      <c r="K22688">
        <v>237.01</v>
      </c>
      <c r="L22688">
        <v>2.64</v>
      </c>
      <c r="M22688">
        <v>17532</v>
      </c>
      <c r="N22688" t="s">
        <v>146</v>
      </c>
      <c r="O22688">
        <v>260113</v>
      </c>
      <c r="P22688">
        <v>10.33</v>
      </c>
    </row>
    <row r="22689" spans="1:16" x14ac:dyDescent="0.25">
      <c r="A22689" t="s">
        <v>3296</v>
      </c>
      <c r="B22689" t="s">
        <v>2931</v>
      </c>
      <c r="C22689">
        <v>18426</v>
      </c>
      <c r="D22689" t="str">
        <f t="shared" si="521"/>
        <v xml:space="preserve">12602020515 </v>
      </c>
      <c r="E22689" t="s">
        <v>309</v>
      </c>
      <c r="F22689" t="s">
        <v>310</v>
      </c>
      <c r="G22689">
        <v>6.78</v>
      </c>
      <c r="H22689">
        <v>251231</v>
      </c>
      <c r="I22689">
        <v>4369</v>
      </c>
      <c r="J22689" t="s">
        <v>188</v>
      </c>
      <c r="K22689">
        <v>237.01</v>
      </c>
      <c r="L22689">
        <v>1.38</v>
      </c>
      <c r="M22689">
        <v>17533</v>
      </c>
      <c r="N22689" t="s">
        <v>147</v>
      </c>
      <c r="O22689">
        <v>260113</v>
      </c>
      <c r="P22689">
        <v>5.4</v>
      </c>
    </row>
    <row r="22690" spans="1:16" x14ac:dyDescent="0.25">
      <c r="A22690" t="s">
        <v>3296</v>
      </c>
      <c r="B22690" t="s">
        <v>2931</v>
      </c>
      <c r="C22690">
        <v>18426</v>
      </c>
      <c r="D22690" t="str">
        <f t="shared" si="521"/>
        <v xml:space="preserve">12602020515 </v>
      </c>
      <c r="E22690" t="s">
        <v>309</v>
      </c>
      <c r="F22690" t="s">
        <v>310</v>
      </c>
      <c r="G22690">
        <v>10.17</v>
      </c>
      <c r="H22690">
        <v>251231</v>
      </c>
      <c r="I22690">
        <v>4369</v>
      </c>
      <c r="J22690" t="s">
        <v>188</v>
      </c>
      <c r="K22690">
        <v>237.01</v>
      </c>
      <c r="L22690">
        <v>2.0699999999999998</v>
      </c>
      <c r="M22690">
        <v>17534</v>
      </c>
      <c r="N22690" t="s">
        <v>148</v>
      </c>
      <c r="O22690">
        <v>260113</v>
      </c>
      <c r="P22690">
        <v>8.1</v>
      </c>
    </row>
    <row r="22691" spans="1:16" x14ac:dyDescent="0.25">
      <c r="A22691" t="s">
        <v>3296</v>
      </c>
      <c r="B22691" t="s">
        <v>2931</v>
      </c>
      <c r="C22691">
        <v>18426</v>
      </c>
      <c r="D22691" t="str">
        <f t="shared" si="521"/>
        <v xml:space="preserve">12602020515 </v>
      </c>
      <c r="E22691" t="s">
        <v>309</v>
      </c>
      <c r="F22691" t="s">
        <v>310</v>
      </c>
      <c r="G22691">
        <v>3.39</v>
      </c>
      <c r="H22691">
        <v>251231</v>
      </c>
      <c r="I22691">
        <v>4369</v>
      </c>
      <c r="J22691" t="s">
        <v>188</v>
      </c>
      <c r="K22691">
        <v>237.01</v>
      </c>
      <c r="L22691">
        <v>0.69</v>
      </c>
      <c r="M22691">
        <v>17535</v>
      </c>
      <c r="N22691" t="s">
        <v>149</v>
      </c>
      <c r="O22691">
        <v>260113</v>
      </c>
      <c r="P22691">
        <v>2.7</v>
      </c>
    </row>
    <row r="22692" spans="1:16" x14ac:dyDescent="0.25">
      <c r="A22692" t="s">
        <v>3296</v>
      </c>
      <c r="B22692" t="s">
        <v>2931</v>
      </c>
      <c r="C22692">
        <v>18426</v>
      </c>
      <c r="D22692" t="str">
        <f t="shared" si="521"/>
        <v xml:space="preserve">12602020515 </v>
      </c>
      <c r="E22692" t="s">
        <v>309</v>
      </c>
      <c r="F22692" t="s">
        <v>310</v>
      </c>
      <c r="G22692">
        <v>6.78</v>
      </c>
      <c r="H22692">
        <v>251231</v>
      </c>
      <c r="I22692">
        <v>4369</v>
      </c>
      <c r="J22692" t="s">
        <v>188</v>
      </c>
      <c r="K22692">
        <v>237.01</v>
      </c>
      <c r="L22692">
        <v>1.38</v>
      </c>
      <c r="M22692">
        <v>17536</v>
      </c>
      <c r="N22692" t="s">
        <v>150</v>
      </c>
      <c r="O22692">
        <v>260113</v>
      </c>
      <c r="P22692">
        <v>5.4</v>
      </c>
    </row>
    <row r="22693" spans="1:16" x14ac:dyDescent="0.25">
      <c r="A22693" t="s">
        <v>3296</v>
      </c>
      <c r="B22693" t="s">
        <v>2931</v>
      </c>
      <c r="C22693">
        <v>18426</v>
      </c>
      <c r="D22693" t="str">
        <f t="shared" si="521"/>
        <v xml:space="preserve">12602020515 </v>
      </c>
      <c r="E22693" t="s">
        <v>309</v>
      </c>
      <c r="F22693" t="s">
        <v>310</v>
      </c>
      <c r="G22693">
        <v>13.25</v>
      </c>
      <c r="H22693">
        <v>251231</v>
      </c>
      <c r="I22693">
        <v>4369</v>
      </c>
      <c r="J22693" t="s">
        <v>188</v>
      </c>
      <c r="K22693">
        <v>237.01</v>
      </c>
      <c r="L22693">
        <v>2.69</v>
      </c>
      <c r="M22693">
        <v>17537</v>
      </c>
      <c r="N22693" t="s">
        <v>151</v>
      </c>
      <c r="O22693">
        <v>260113</v>
      </c>
      <c r="P22693">
        <v>10.56</v>
      </c>
    </row>
    <row r="22694" spans="1:16" x14ac:dyDescent="0.25">
      <c r="A22694" t="s">
        <v>3296</v>
      </c>
      <c r="B22694" t="s">
        <v>2931</v>
      </c>
      <c r="C22694">
        <v>18426</v>
      </c>
      <c r="D22694" t="str">
        <f t="shared" si="521"/>
        <v xml:space="preserve">12602020515 </v>
      </c>
      <c r="E22694" t="s">
        <v>309</v>
      </c>
      <c r="F22694" t="s">
        <v>310</v>
      </c>
      <c r="G22694">
        <v>10.17</v>
      </c>
      <c r="H22694">
        <v>251231</v>
      </c>
      <c r="I22694">
        <v>4369</v>
      </c>
      <c r="J22694" t="s">
        <v>188</v>
      </c>
      <c r="K22694">
        <v>237.01</v>
      </c>
      <c r="L22694">
        <v>2.0699999999999998</v>
      </c>
      <c r="M22694">
        <v>17538</v>
      </c>
      <c r="N22694" t="s">
        <v>129</v>
      </c>
      <c r="O22694">
        <v>260113</v>
      </c>
      <c r="P22694">
        <v>8.1</v>
      </c>
    </row>
    <row r="22695" spans="1:16" x14ac:dyDescent="0.25">
      <c r="A22695" t="s">
        <v>3296</v>
      </c>
      <c r="B22695" t="s">
        <v>2931</v>
      </c>
      <c r="C22695">
        <v>18426</v>
      </c>
      <c r="D22695" t="str">
        <f t="shared" si="521"/>
        <v xml:space="preserve">12602020515 </v>
      </c>
      <c r="E22695" t="s">
        <v>309</v>
      </c>
      <c r="F22695" t="s">
        <v>310</v>
      </c>
      <c r="G22695">
        <v>12.06</v>
      </c>
      <c r="H22695">
        <v>251231</v>
      </c>
      <c r="I22695">
        <v>4369</v>
      </c>
      <c r="J22695" t="s">
        <v>188</v>
      </c>
      <c r="K22695">
        <v>237.01</v>
      </c>
      <c r="L22695">
        <v>2.4500000000000002</v>
      </c>
      <c r="M22695">
        <v>17950</v>
      </c>
      <c r="N22695" t="s">
        <v>132</v>
      </c>
      <c r="O22695">
        <v>260113</v>
      </c>
      <c r="P22695">
        <v>9.61</v>
      </c>
    </row>
    <row r="22696" spans="1:16" x14ac:dyDescent="0.25">
      <c r="A22696" t="s">
        <v>3296</v>
      </c>
      <c r="B22696" t="s">
        <v>2931</v>
      </c>
      <c r="C22696">
        <v>18426</v>
      </c>
      <c r="D22696" t="str">
        <f t="shared" si="521"/>
        <v xml:space="preserve">12602020515 </v>
      </c>
      <c r="E22696" t="s">
        <v>309</v>
      </c>
      <c r="F22696" t="s">
        <v>310</v>
      </c>
      <c r="G22696">
        <v>3.39</v>
      </c>
      <c r="H22696">
        <v>251231</v>
      </c>
      <c r="I22696">
        <v>4369</v>
      </c>
      <c r="J22696" t="s">
        <v>188</v>
      </c>
      <c r="K22696">
        <v>237.01</v>
      </c>
      <c r="L22696">
        <v>0.69</v>
      </c>
      <c r="M22696">
        <v>17951</v>
      </c>
      <c r="N22696" t="s">
        <v>207</v>
      </c>
      <c r="O22696">
        <v>260113</v>
      </c>
      <c r="P22696">
        <v>2.7</v>
      </c>
    </row>
    <row r="22697" spans="1:16" x14ac:dyDescent="0.25">
      <c r="A22697" t="s">
        <v>3296</v>
      </c>
      <c r="B22697" t="s">
        <v>2931</v>
      </c>
      <c r="C22697">
        <v>18426</v>
      </c>
      <c r="D22697" t="str">
        <f t="shared" si="521"/>
        <v xml:space="preserve">12602020515 </v>
      </c>
      <c r="E22697" t="s">
        <v>309</v>
      </c>
      <c r="F22697" t="s">
        <v>310</v>
      </c>
      <c r="G22697">
        <v>3.39</v>
      </c>
      <c r="H22697">
        <v>251231</v>
      </c>
      <c r="I22697">
        <v>4369</v>
      </c>
      <c r="J22697" t="s">
        <v>188</v>
      </c>
      <c r="K22697">
        <v>237.01</v>
      </c>
      <c r="L22697">
        <v>0.69</v>
      </c>
      <c r="M22697">
        <v>17956</v>
      </c>
      <c r="N22697" t="s">
        <v>170</v>
      </c>
      <c r="O22697">
        <v>260113</v>
      </c>
      <c r="P22697">
        <v>2.7</v>
      </c>
    </row>
    <row r="22698" spans="1:16" x14ac:dyDescent="0.25">
      <c r="A22698" t="s">
        <v>3296</v>
      </c>
      <c r="B22698" t="s">
        <v>2931</v>
      </c>
      <c r="C22698">
        <v>18426</v>
      </c>
      <c r="D22698" t="str">
        <f t="shared" si="521"/>
        <v xml:space="preserve">12602020515 </v>
      </c>
      <c r="E22698" t="s">
        <v>309</v>
      </c>
      <c r="F22698" t="s">
        <v>310</v>
      </c>
      <c r="G22698">
        <v>16.989999999999998</v>
      </c>
      <c r="H22698">
        <v>251231</v>
      </c>
      <c r="I22698">
        <v>4369</v>
      </c>
      <c r="J22698" t="s">
        <v>188</v>
      </c>
      <c r="K22698">
        <v>237.01</v>
      </c>
      <c r="L22698">
        <v>3.45</v>
      </c>
      <c r="M22698">
        <v>17971</v>
      </c>
      <c r="N22698" t="s">
        <v>27</v>
      </c>
      <c r="O22698">
        <v>260113</v>
      </c>
      <c r="P22698">
        <v>13.54</v>
      </c>
    </row>
    <row r="22699" spans="1:16" x14ac:dyDescent="0.25">
      <c r="A22699" t="s">
        <v>3296</v>
      </c>
      <c r="B22699" t="s">
        <v>2931</v>
      </c>
      <c r="C22699">
        <v>18426</v>
      </c>
      <c r="D22699" t="str">
        <f t="shared" si="521"/>
        <v xml:space="preserve">12602020515 </v>
      </c>
      <c r="E22699" t="s">
        <v>309</v>
      </c>
      <c r="F22699" t="s">
        <v>310</v>
      </c>
      <c r="G22699">
        <v>3.39</v>
      </c>
      <c r="H22699">
        <v>251231</v>
      </c>
      <c r="I22699">
        <v>4369</v>
      </c>
      <c r="J22699" t="s">
        <v>188</v>
      </c>
      <c r="K22699">
        <v>237.01</v>
      </c>
      <c r="L22699">
        <v>0.69</v>
      </c>
      <c r="M22699">
        <v>17972</v>
      </c>
      <c r="N22699" t="s">
        <v>28</v>
      </c>
      <c r="O22699">
        <v>260113</v>
      </c>
      <c r="P22699">
        <v>2.7</v>
      </c>
    </row>
    <row r="22700" spans="1:16" x14ac:dyDescent="0.25">
      <c r="A22700" t="s">
        <v>3296</v>
      </c>
      <c r="B22700" t="s">
        <v>2931</v>
      </c>
      <c r="C22700">
        <v>18426</v>
      </c>
      <c r="D22700" t="str">
        <f t="shared" si="521"/>
        <v xml:space="preserve">12602020515 </v>
      </c>
      <c r="E22700" t="s">
        <v>309</v>
      </c>
      <c r="F22700" t="s">
        <v>310</v>
      </c>
      <c r="G22700">
        <v>3.39</v>
      </c>
      <c r="H22700">
        <v>251231</v>
      </c>
      <c r="I22700">
        <v>4369</v>
      </c>
      <c r="J22700" t="s">
        <v>188</v>
      </c>
      <c r="K22700">
        <v>237.01</v>
      </c>
      <c r="L22700">
        <v>0.69</v>
      </c>
      <c r="M22700">
        <v>17974</v>
      </c>
      <c r="N22700" t="s">
        <v>153</v>
      </c>
      <c r="O22700">
        <v>260113</v>
      </c>
      <c r="P22700">
        <v>2.7</v>
      </c>
    </row>
    <row r="22701" spans="1:16" x14ac:dyDescent="0.25">
      <c r="A22701" t="s">
        <v>3296</v>
      </c>
      <c r="B22701" t="s">
        <v>2931</v>
      </c>
      <c r="C22701">
        <v>18426</v>
      </c>
      <c r="D22701" t="str">
        <f t="shared" si="521"/>
        <v xml:space="preserve">12602020515 </v>
      </c>
      <c r="E22701" t="s">
        <v>309</v>
      </c>
      <c r="F22701" t="s">
        <v>310</v>
      </c>
      <c r="G22701">
        <v>6.77</v>
      </c>
      <c r="H22701">
        <v>251231</v>
      </c>
      <c r="I22701">
        <v>4369</v>
      </c>
      <c r="J22701" t="s">
        <v>188</v>
      </c>
      <c r="K22701">
        <v>237.01</v>
      </c>
      <c r="L22701">
        <v>1.38</v>
      </c>
      <c r="M22701">
        <v>17975</v>
      </c>
      <c r="N22701" t="s">
        <v>29</v>
      </c>
      <c r="O22701">
        <v>260113</v>
      </c>
      <c r="P22701">
        <v>5.39</v>
      </c>
    </row>
    <row r="22702" spans="1:16" x14ac:dyDescent="0.25">
      <c r="A22702" t="s">
        <v>3296</v>
      </c>
      <c r="B22702" t="s">
        <v>2931</v>
      </c>
      <c r="C22702">
        <v>18433</v>
      </c>
      <c r="D22702" t="str">
        <f t="shared" ref="D22702:D22707" si="522">"12602020505 "</f>
        <v xml:space="preserve">12602020505 </v>
      </c>
      <c r="E22702" t="s">
        <v>309</v>
      </c>
      <c r="F22702" t="s">
        <v>310</v>
      </c>
      <c r="G22702">
        <v>10.17</v>
      </c>
      <c r="H22702">
        <v>251231</v>
      </c>
      <c r="I22702">
        <v>4369</v>
      </c>
      <c r="J22702" t="s">
        <v>188</v>
      </c>
      <c r="K22702">
        <v>47.59</v>
      </c>
      <c r="L22702">
        <v>2.0699999999999998</v>
      </c>
      <c r="M22702">
        <v>43222</v>
      </c>
      <c r="N22702" t="s">
        <v>95</v>
      </c>
      <c r="O22702">
        <v>260113</v>
      </c>
      <c r="P22702">
        <v>8.1</v>
      </c>
    </row>
    <row r="22703" spans="1:16" x14ac:dyDescent="0.25">
      <c r="A22703" t="s">
        <v>3296</v>
      </c>
      <c r="B22703" t="s">
        <v>2931</v>
      </c>
      <c r="C22703">
        <v>18433</v>
      </c>
      <c r="D22703" t="str">
        <f t="shared" si="522"/>
        <v xml:space="preserve">12602020505 </v>
      </c>
      <c r="E22703" t="s">
        <v>309</v>
      </c>
      <c r="F22703" t="s">
        <v>310</v>
      </c>
      <c r="G22703">
        <v>3.39</v>
      </c>
      <c r="H22703">
        <v>251231</v>
      </c>
      <c r="I22703">
        <v>4369</v>
      </c>
      <c r="J22703" t="s">
        <v>188</v>
      </c>
      <c r="K22703">
        <v>47.59</v>
      </c>
      <c r="L22703">
        <v>0.69</v>
      </c>
      <c r="M22703">
        <v>44422</v>
      </c>
      <c r="N22703" t="s">
        <v>97</v>
      </c>
      <c r="O22703">
        <v>260113</v>
      </c>
      <c r="P22703">
        <v>2.7</v>
      </c>
    </row>
    <row r="22704" spans="1:16" x14ac:dyDescent="0.25">
      <c r="A22704" t="s">
        <v>3296</v>
      </c>
      <c r="B22704" t="s">
        <v>2931</v>
      </c>
      <c r="C22704">
        <v>18433</v>
      </c>
      <c r="D22704" t="str">
        <f t="shared" si="522"/>
        <v xml:space="preserve">12602020505 </v>
      </c>
      <c r="E22704" t="s">
        <v>309</v>
      </c>
      <c r="F22704" t="s">
        <v>310</v>
      </c>
      <c r="G22704">
        <v>6.78</v>
      </c>
      <c r="H22704">
        <v>251231</v>
      </c>
      <c r="I22704">
        <v>4369</v>
      </c>
      <c r="J22704" t="s">
        <v>188</v>
      </c>
      <c r="K22704">
        <v>47.59</v>
      </c>
      <c r="L22704">
        <v>1.38</v>
      </c>
      <c r="M22704">
        <v>44423</v>
      </c>
      <c r="N22704" t="s">
        <v>98</v>
      </c>
      <c r="O22704">
        <v>260113</v>
      </c>
      <c r="P22704">
        <v>5.4</v>
      </c>
    </row>
    <row r="22705" spans="1:16" x14ac:dyDescent="0.25">
      <c r="A22705" t="s">
        <v>3296</v>
      </c>
      <c r="B22705" t="s">
        <v>2931</v>
      </c>
      <c r="C22705">
        <v>18433</v>
      </c>
      <c r="D22705" t="str">
        <f t="shared" si="522"/>
        <v xml:space="preserve">12602020505 </v>
      </c>
      <c r="E22705" t="s">
        <v>309</v>
      </c>
      <c r="F22705" t="s">
        <v>310</v>
      </c>
      <c r="G22705">
        <v>3.39</v>
      </c>
      <c r="H22705">
        <v>251231</v>
      </c>
      <c r="I22705">
        <v>4369</v>
      </c>
      <c r="J22705" t="s">
        <v>188</v>
      </c>
      <c r="K22705">
        <v>47.59</v>
      </c>
      <c r="L22705">
        <v>0.69</v>
      </c>
      <c r="M22705">
        <v>44453</v>
      </c>
      <c r="N22705" t="s">
        <v>100</v>
      </c>
      <c r="O22705">
        <v>260113</v>
      </c>
      <c r="P22705">
        <v>2.7</v>
      </c>
    </row>
    <row r="22706" spans="1:16" x14ac:dyDescent="0.25">
      <c r="A22706" t="s">
        <v>3296</v>
      </c>
      <c r="B22706" t="s">
        <v>2931</v>
      </c>
      <c r="C22706">
        <v>18433</v>
      </c>
      <c r="D22706" t="str">
        <f t="shared" si="522"/>
        <v xml:space="preserve">12602020505 </v>
      </c>
      <c r="E22706" t="s">
        <v>309</v>
      </c>
      <c r="F22706" t="s">
        <v>310</v>
      </c>
      <c r="G22706">
        <v>3.39</v>
      </c>
      <c r="H22706">
        <v>251231</v>
      </c>
      <c r="I22706">
        <v>4369</v>
      </c>
      <c r="J22706" t="s">
        <v>188</v>
      </c>
      <c r="K22706">
        <v>47.59</v>
      </c>
      <c r="L22706">
        <v>0.69</v>
      </c>
      <c r="M22706">
        <v>48601</v>
      </c>
      <c r="N22706" t="s">
        <v>107</v>
      </c>
      <c r="O22706">
        <v>260113</v>
      </c>
      <c r="P22706">
        <v>2.7</v>
      </c>
    </row>
    <row r="22707" spans="1:16" x14ac:dyDescent="0.25">
      <c r="A22707" t="s">
        <v>3296</v>
      </c>
      <c r="B22707" t="s">
        <v>2931</v>
      </c>
      <c r="C22707">
        <v>18433</v>
      </c>
      <c r="D22707" t="str">
        <f t="shared" si="522"/>
        <v xml:space="preserve">12602020505 </v>
      </c>
      <c r="E22707" t="s">
        <v>309</v>
      </c>
      <c r="F22707" t="s">
        <v>310</v>
      </c>
      <c r="G22707">
        <v>20.47</v>
      </c>
      <c r="H22707">
        <v>251231</v>
      </c>
      <c r="I22707">
        <v>4369</v>
      </c>
      <c r="J22707" t="s">
        <v>188</v>
      </c>
      <c r="K22707">
        <v>47.59</v>
      </c>
      <c r="L22707">
        <v>4.16</v>
      </c>
      <c r="M22707">
        <v>49702</v>
      </c>
      <c r="N22707" t="s">
        <v>112</v>
      </c>
      <c r="O22707">
        <v>260113</v>
      </c>
      <c r="P22707">
        <v>16.309999999999999</v>
      </c>
    </row>
    <row r="22708" spans="1:16" x14ac:dyDescent="0.25">
      <c r="A22708" t="s">
        <v>3296</v>
      </c>
      <c r="B22708" t="s">
        <v>2931</v>
      </c>
      <c r="C22708">
        <v>18442</v>
      </c>
      <c r="D22708" t="str">
        <f>"12602020498 "</f>
        <v xml:space="preserve">12602020498 </v>
      </c>
      <c r="E22708" t="s">
        <v>309</v>
      </c>
      <c r="F22708" t="s">
        <v>310</v>
      </c>
      <c r="G22708">
        <v>30.63</v>
      </c>
      <c r="H22708">
        <v>251231</v>
      </c>
      <c r="I22708">
        <v>4369</v>
      </c>
      <c r="J22708" t="s">
        <v>188</v>
      </c>
      <c r="K22708">
        <v>36.6</v>
      </c>
      <c r="L22708">
        <v>6.22</v>
      </c>
      <c r="M22708">
        <v>13901</v>
      </c>
      <c r="N22708" t="s">
        <v>116</v>
      </c>
      <c r="O22708">
        <v>260113</v>
      </c>
      <c r="P22708">
        <v>24.41</v>
      </c>
    </row>
    <row r="22709" spans="1:16" x14ac:dyDescent="0.25">
      <c r="A22709" t="s">
        <v>3296</v>
      </c>
      <c r="B22709" t="s">
        <v>2931</v>
      </c>
      <c r="C22709">
        <v>18442</v>
      </c>
      <c r="D22709" t="str">
        <f>"12602020498 "</f>
        <v xml:space="preserve">12602020498 </v>
      </c>
      <c r="E22709" t="s">
        <v>309</v>
      </c>
      <c r="F22709" t="s">
        <v>310</v>
      </c>
      <c r="G22709">
        <v>5.97</v>
      </c>
      <c r="H22709">
        <v>251231</v>
      </c>
      <c r="I22709">
        <v>4369</v>
      </c>
      <c r="J22709" t="s">
        <v>188</v>
      </c>
      <c r="K22709">
        <v>36.6</v>
      </c>
      <c r="L22709">
        <v>1.21</v>
      </c>
      <c r="M22709">
        <v>13940</v>
      </c>
      <c r="N22709" t="s">
        <v>14</v>
      </c>
      <c r="O22709">
        <v>260113</v>
      </c>
      <c r="P22709">
        <v>4.76</v>
      </c>
    </row>
    <row r="22710" spans="1:16" x14ac:dyDescent="0.25">
      <c r="A22710" t="s">
        <v>3296</v>
      </c>
      <c r="B22710" t="s">
        <v>2931</v>
      </c>
      <c r="C22710">
        <v>18447</v>
      </c>
      <c r="D22710" t="str">
        <f t="shared" ref="D22710:D22716" si="523">"12602020511 "</f>
        <v xml:space="preserve">12602020511 </v>
      </c>
      <c r="E22710" t="s">
        <v>309</v>
      </c>
      <c r="F22710" t="s">
        <v>310</v>
      </c>
      <c r="G22710">
        <v>1.76</v>
      </c>
      <c r="H22710">
        <v>251231</v>
      </c>
      <c r="I22710">
        <v>4369</v>
      </c>
      <c r="J22710" t="s">
        <v>188</v>
      </c>
      <c r="K22710">
        <v>13.55</v>
      </c>
      <c r="L22710">
        <v>0.36</v>
      </c>
      <c r="M22710">
        <v>41126</v>
      </c>
      <c r="N22710" t="s">
        <v>94</v>
      </c>
      <c r="O22710">
        <v>260113</v>
      </c>
      <c r="P22710">
        <v>1.4</v>
      </c>
    </row>
    <row r="22711" spans="1:16" x14ac:dyDescent="0.25">
      <c r="A22711" t="s">
        <v>3296</v>
      </c>
      <c r="B22711" t="s">
        <v>2931</v>
      </c>
      <c r="C22711">
        <v>18447</v>
      </c>
      <c r="D22711" t="str">
        <f t="shared" si="523"/>
        <v xml:space="preserve">12602020511 </v>
      </c>
      <c r="E22711" t="s">
        <v>309</v>
      </c>
      <c r="F22711" t="s">
        <v>310</v>
      </c>
      <c r="G22711">
        <v>1.35</v>
      </c>
      <c r="H22711">
        <v>251231</v>
      </c>
      <c r="I22711">
        <v>4369</v>
      </c>
      <c r="J22711" t="s">
        <v>188</v>
      </c>
      <c r="K22711">
        <v>13.55</v>
      </c>
      <c r="L22711">
        <v>0.27</v>
      </c>
      <c r="M22711">
        <v>43222</v>
      </c>
      <c r="N22711" t="s">
        <v>95</v>
      </c>
      <c r="O22711">
        <v>260113</v>
      </c>
      <c r="P22711">
        <v>1.08</v>
      </c>
    </row>
    <row r="22712" spans="1:16" x14ac:dyDescent="0.25">
      <c r="A22712" t="s">
        <v>3296</v>
      </c>
      <c r="B22712" t="s">
        <v>2931</v>
      </c>
      <c r="C22712">
        <v>18447</v>
      </c>
      <c r="D22712" t="str">
        <f t="shared" si="523"/>
        <v xml:space="preserve">12602020511 </v>
      </c>
      <c r="E22712" t="s">
        <v>309</v>
      </c>
      <c r="F22712" t="s">
        <v>310</v>
      </c>
      <c r="G22712">
        <v>1.63</v>
      </c>
      <c r="H22712">
        <v>251231</v>
      </c>
      <c r="I22712">
        <v>4369</v>
      </c>
      <c r="J22712" t="s">
        <v>188</v>
      </c>
      <c r="K22712">
        <v>13.55</v>
      </c>
      <c r="L22712">
        <v>0.33</v>
      </c>
      <c r="M22712">
        <v>44222</v>
      </c>
      <c r="N22712" t="s">
        <v>96</v>
      </c>
      <c r="O22712">
        <v>260113</v>
      </c>
      <c r="P22712">
        <v>1.3</v>
      </c>
    </row>
    <row r="22713" spans="1:16" x14ac:dyDescent="0.25">
      <c r="A22713" t="s">
        <v>3296</v>
      </c>
      <c r="B22713" t="s">
        <v>2931</v>
      </c>
      <c r="C22713">
        <v>18447</v>
      </c>
      <c r="D22713" t="str">
        <f t="shared" si="523"/>
        <v xml:space="preserve">12602020511 </v>
      </c>
      <c r="E22713" t="s">
        <v>309</v>
      </c>
      <c r="F22713" t="s">
        <v>310</v>
      </c>
      <c r="G22713">
        <v>1.76</v>
      </c>
      <c r="H22713">
        <v>251231</v>
      </c>
      <c r="I22713">
        <v>4369</v>
      </c>
      <c r="J22713" t="s">
        <v>188</v>
      </c>
      <c r="K22713">
        <v>13.55</v>
      </c>
      <c r="L22713">
        <v>0.36</v>
      </c>
      <c r="M22713">
        <v>44424</v>
      </c>
      <c r="N22713" t="s">
        <v>99</v>
      </c>
      <c r="O22713">
        <v>260113</v>
      </c>
      <c r="P22713">
        <v>1.4</v>
      </c>
    </row>
    <row r="22714" spans="1:16" x14ac:dyDescent="0.25">
      <c r="A22714" t="s">
        <v>3296</v>
      </c>
      <c r="B22714" t="s">
        <v>2931</v>
      </c>
      <c r="C22714">
        <v>18447</v>
      </c>
      <c r="D22714" t="str">
        <f t="shared" si="523"/>
        <v xml:space="preserve">12602020511 </v>
      </c>
      <c r="E22714" t="s">
        <v>309</v>
      </c>
      <c r="F22714" t="s">
        <v>310</v>
      </c>
      <c r="G22714">
        <v>0.95</v>
      </c>
      <c r="H22714">
        <v>251231</v>
      </c>
      <c r="I22714">
        <v>4369</v>
      </c>
      <c r="J22714" t="s">
        <v>188</v>
      </c>
      <c r="K22714">
        <v>13.55</v>
      </c>
      <c r="L22714">
        <v>0.19</v>
      </c>
      <c r="M22714">
        <v>46222</v>
      </c>
      <c r="N22714" t="s">
        <v>101</v>
      </c>
      <c r="O22714">
        <v>260113</v>
      </c>
      <c r="P22714">
        <v>0.76</v>
      </c>
    </row>
    <row r="22715" spans="1:16" x14ac:dyDescent="0.25">
      <c r="A22715" t="s">
        <v>3296</v>
      </c>
      <c r="B22715" t="s">
        <v>2931</v>
      </c>
      <c r="C22715">
        <v>18447</v>
      </c>
      <c r="D22715" t="str">
        <f t="shared" si="523"/>
        <v xml:space="preserve">12602020511 </v>
      </c>
      <c r="E22715" t="s">
        <v>309</v>
      </c>
      <c r="F22715" t="s">
        <v>310</v>
      </c>
      <c r="G22715">
        <v>5.42</v>
      </c>
      <c r="H22715">
        <v>251231</v>
      </c>
      <c r="I22715">
        <v>4369</v>
      </c>
      <c r="J22715" t="s">
        <v>188</v>
      </c>
      <c r="K22715">
        <v>13.55</v>
      </c>
      <c r="L22715">
        <v>1.1000000000000001</v>
      </c>
      <c r="M22715">
        <v>46559</v>
      </c>
      <c r="N22715" t="s">
        <v>105</v>
      </c>
      <c r="O22715">
        <v>260113</v>
      </c>
      <c r="P22715">
        <v>4.32</v>
      </c>
    </row>
    <row r="22716" spans="1:16" x14ac:dyDescent="0.25">
      <c r="A22716" t="s">
        <v>3296</v>
      </c>
      <c r="B22716" t="s">
        <v>2931</v>
      </c>
      <c r="C22716">
        <v>18447</v>
      </c>
      <c r="D22716" t="str">
        <f t="shared" si="523"/>
        <v xml:space="preserve">12602020511 </v>
      </c>
      <c r="E22716" t="s">
        <v>309</v>
      </c>
      <c r="F22716" t="s">
        <v>310</v>
      </c>
      <c r="G22716">
        <v>0.68</v>
      </c>
      <c r="H22716">
        <v>251231</v>
      </c>
      <c r="I22716">
        <v>4369</v>
      </c>
      <c r="J22716" t="s">
        <v>188</v>
      </c>
      <c r="K22716">
        <v>13.55</v>
      </c>
      <c r="L22716">
        <v>0.14000000000000001</v>
      </c>
      <c r="M22716">
        <v>47522</v>
      </c>
      <c r="N22716" t="s">
        <v>106</v>
      </c>
      <c r="O22716">
        <v>260113</v>
      </c>
      <c r="P22716">
        <v>0.54</v>
      </c>
    </row>
    <row r="22717" spans="1:16" x14ac:dyDescent="0.25">
      <c r="A22717" t="s">
        <v>3296</v>
      </c>
      <c r="B22717" t="s">
        <v>2931</v>
      </c>
      <c r="C22717">
        <v>18451</v>
      </c>
      <c r="D22717" t="str">
        <f>"12602020519 "</f>
        <v xml:space="preserve">12602020519 </v>
      </c>
      <c r="E22717" t="s">
        <v>309</v>
      </c>
      <c r="F22717" t="s">
        <v>310</v>
      </c>
      <c r="G22717">
        <v>66.38</v>
      </c>
      <c r="H22717">
        <v>251231</v>
      </c>
      <c r="I22717">
        <v>4369</v>
      </c>
      <c r="J22717" t="s">
        <v>188</v>
      </c>
      <c r="K22717">
        <v>66.38</v>
      </c>
      <c r="L22717">
        <v>13.49</v>
      </c>
      <c r="M22717">
        <v>11801</v>
      </c>
      <c r="N22717" t="s">
        <v>40</v>
      </c>
      <c r="O22717">
        <v>260113</v>
      </c>
      <c r="P22717">
        <v>52.89</v>
      </c>
    </row>
    <row r="22718" spans="1:16" x14ac:dyDescent="0.25">
      <c r="A22718" t="s">
        <v>3296</v>
      </c>
      <c r="B22718" t="s">
        <v>2931</v>
      </c>
      <c r="C22718">
        <v>18457</v>
      </c>
      <c r="D22718" t="str">
        <f t="shared" ref="D22718:D22727" si="524">"12602020516 "</f>
        <v xml:space="preserve">12602020516 </v>
      </c>
      <c r="E22718" t="s">
        <v>309</v>
      </c>
      <c r="F22718" t="s">
        <v>310</v>
      </c>
      <c r="G22718">
        <v>20.329999999999998</v>
      </c>
      <c r="H22718">
        <v>251231</v>
      </c>
      <c r="I22718">
        <v>4369</v>
      </c>
      <c r="J22718" t="s">
        <v>188</v>
      </c>
      <c r="K22718">
        <v>57.89</v>
      </c>
      <c r="L22718">
        <v>4.13</v>
      </c>
      <c r="M22718">
        <v>16121</v>
      </c>
      <c r="N22718" t="s">
        <v>127</v>
      </c>
      <c r="O22718">
        <v>260113</v>
      </c>
      <c r="P22718">
        <v>16.2</v>
      </c>
    </row>
    <row r="22719" spans="1:16" x14ac:dyDescent="0.25">
      <c r="A22719" t="s">
        <v>3296</v>
      </c>
      <c r="B22719" t="s">
        <v>2931</v>
      </c>
      <c r="C22719">
        <v>18457</v>
      </c>
      <c r="D22719" t="str">
        <f t="shared" si="524"/>
        <v xml:space="preserve">12602020516 </v>
      </c>
      <c r="E22719" t="s">
        <v>309</v>
      </c>
      <c r="F22719" t="s">
        <v>310</v>
      </c>
      <c r="G22719">
        <v>6.78</v>
      </c>
      <c r="H22719">
        <v>251231</v>
      </c>
      <c r="I22719">
        <v>4369</v>
      </c>
      <c r="J22719" t="s">
        <v>188</v>
      </c>
      <c r="K22719">
        <v>57.89</v>
      </c>
      <c r="L22719">
        <v>1.38</v>
      </c>
      <c r="M22719">
        <v>16322</v>
      </c>
      <c r="N22719" t="s">
        <v>331</v>
      </c>
      <c r="O22719">
        <v>260113</v>
      </c>
      <c r="P22719">
        <v>5.4</v>
      </c>
    </row>
    <row r="22720" spans="1:16" x14ac:dyDescent="0.25">
      <c r="A22720" t="s">
        <v>3296</v>
      </c>
      <c r="B22720" t="s">
        <v>2931</v>
      </c>
      <c r="C22720">
        <v>18457</v>
      </c>
      <c r="D22720" t="str">
        <f t="shared" si="524"/>
        <v xml:space="preserve">12602020516 </v>
      </c>
      <c r="E22720" t="s">
        <v>309</v>
      </c>
      <c r="F22720" t="s">
        <v>310</v>
      </c>
      <c r="G22720">
        <v>3.39</v>
      </c>
      <c r="H22720">
        <v>251231</v>
      </c>
      <c r="I22720">
        <v>4369</v>
      </c>
      <c r="J22720" t="s">
        <v>188</v>
      </c>
      <c r="K22720">
        <v>57.89</v>
      </c>
      <c r="L22720">
        <v>0.69</v>
      </c>
      <c r="M22720">
        <v>16820</v>
      </c>
      <c r="N22720" t="s">
        <v>128</v>
      </c>
      <c r="O22720">
        <v>260113</v>
      </c>
      <c r="P22720">
        <v>2.7</v>
      </c>
    </row>
    <row r="22721" spans="1:16" x14ac:dyDescent="0.25">
      <c r="A22721" t="s">
        <v>3296</v>
      </c>
      <c r="B22721" t="s">
        <v>2931</v>
      </c>
      <c r="C22721">
        <v>18457</v>
      </c>
      <c r="D22721" t="str">
        <f t="shared" si="524"/>
        <v xml:space="preserve">12602020516 </v>
      </c>
      <c r="E22721" t="s">
        <v>309</v>
      </c>
      <c r="F22721" t="s">
        <v>310</v>
      </c>
      <c r="G22721">
        <v>7.25</v>
      </c>
      <c r="H22721">
        <v>251231</v>
      </c>
      <c r="I22721">
        <v>4369</v>
      </c>
      <c r="J22721" t="s">
        <v>188</v>
      </c>
      <c r="K22721">
        <v>57.89</v>
      </c>
      <c r="L22721">
        <v>1.47</v>
      </c>
      <c r="M22721">
        <v>16820</v>
      </c>
      <c r="N22721" t="s">
        <v>128</v>
      </c>
      <c r="O22721">
        <v>260113</v>
      </c>
      <c r="P22721">
        <v>5.78</v>
      </c>
    </row>
    <row r="22722" spans="1:16" x14ac:dyDescent="0.25">
      <c r="A22722" t="s">
        <v>3296</v>
      </c>
      <c r="B22722" t="s">
        <v>2931</v>
      </c>
      <c r="C22722">
        <v>18457</v>
      </c>
      <c r="D22722" t="str">
        <f t="shared" si="524"/>
        <v xml:space="preserve">12602020516 </v>
      </c>
      <c r="E22722" t="s">
        <v>309</v>
      </c>
      <c r="F22722" t="s">
        <v>310</v>
      </c>
      <c r="G22722">
        <v>3.39</v>
      </c>
      <c r="H22722">
        <v>251231</v>
      </c>
      <c r="I22722">
        <v>4369</v>
      </c>
      <c r="J22722" t="s">
        <v>188</v>
      </c>
      <c r="K22722">
        <v>57.89</v>
      </c>
      <c r="L22722">
        <v>0.69</v>
      </c>
      <c r="M22722">
        <v>17862</v>
      </c>
      <c r="N22722" t="s">
        <v>130</v>
      </c>
      <c r="O22722">
        <v>260113</v>
      </c>
      <c r="P22722">
        <v>2.7</v>
      </c>
    </row>
    <row r="22723" spans="1:16" x14ac:dyDescent="0.25">
      <c r="A22723" t="s">
        <v>3296</v>
      </c>
      <c r="B22723" t="s">
        <v>2931</v>
      </c>
      <c r="C22723">
        <v>18457</v>
      </c>
      <c r="D22723" t="str">
        <f t="shared" si="524"/>
        <v xml:space="preserve">12602020516 </v>
      </c>
      <c r="E22723" t="s">
        <v>309</v>
      </c>
      <c r="F22723" t="s">
        <v>310</v>
      </c>
      <c r="G22723">
        <v>3.39</v>
      </c>
      <c r="H22723">
        <v>251231</v>
      </c>
      <c r="I22723">
        <v>4369</v>
      </c>
      <c r="J22723" t="s">
        <v>188</v>
      </c>
      <c r="K22723">
        <v>57.89</v>
      </c>
      <c r="L22723">
        <v>0.69</v>
      </c>
      <c r="M22723">
        <v>17950</v>
      </c>
      <c r="N22723" t="s">
        <v>132</v>
      </c>
      <c r="O22723">
        <v>260113</v>
      </c>
      <c r="P22723">
        <v>2.7</v>
      </c>
    </row>
    <row r="22724" spans="1:16" x14ac:dyDescent="0.25">
      <c r="A22724" t="s">
        <v>3296</v>
      </c>
      <c r="B22724" t="s">
        <v>2931</v>
      </c>
      <c r="C22724">
        <v>18457</v>
      </c>
      <c r="D22724" t="str">
        <f t="shared" si="524"/>
        <v xml:space="preserve">12602020516 </v>
      </c>
      <c r="E22724" t="s">
        <v>309</v>
      </c>
      <c r="F22724" t="s">
        <v>310</v>
      </c>
      <c r="G22724">
        <v>3.38</v>
      </c>
      <c r="H22724">
        <v>251231</v>
      </c>
      <c r="I22724">
        <v>4369</v>
      </c>
      <c r="J22724" t="s">
        <v>188</v>
      </c>
      <c r="K22724">
        <v>57.89</v>
      </c>
      <c r="L22724">
        <v>0.69</v>
      </c>
      <c r="M22724">
        <v>17971</v>
      </c>
      <c r="N22724" t="s">
        <v>27</v>
      </c>
      <c r="O22724">
        <v>260113</v>
      </c>
      <c r="P22724">
        <v>2.69</v>
      </c>
    </row>
    <row r="22725" spans="1:16" x14ac:dyDescent="0.25">
      <c r="A22725" t="s">
        <v>3296</v>
      </c>
      <c r="B22725" t="s">
        <v>2931</v>
      </c>
      <c r="C22725">
        <v>18457</v>
      </c>
      <c r="D22725" t="str">
        <f t="shared" si="524"/>
        <v xml:space="preserve">12602020516 </v>
      </c>
      <c r="E22725" t="s">
        <v>309</v>
      </c>
      <c r="F22725" t="s">
        <v>310</v>
      </c>
      <c r="G22725">
        <v>3.39</v>
      </c>
      <c r="H22725">
        <v>251231</v>
      </c>
      <c r="I22725">
        <v>4369</v>
      </c>
      <c r="J22725" t="s">
        <v>188</v>
      </c>
      <c r="K22725">
        <v>57.89</v>
      </c>
      <c r="L22725">
        <v>0.69</v>
      </c>
      <c r="M22725">
        <v>17972</v>
      </c>
      <c r="N22725" t="s">
        <v>28</v>
      </c>
      <c r="O22725">
        <v>260113</v>
      </c>
      <c r="P22725">
        <v>2.7</v>
      </c>
    </row>
    <row r="22726" spans="1:16" x14ac:dyDescent="0.25">
      <c r="A22726" t="s">
        <v>3296</v>
      </c>
      <c r="B22726" t="s">
        <v>2931</v>
      </c>
      <c r="C22726">
        <v>18457</v>
      </c>
      <c r="D22726" t="str">
        <f t="shared" si="524"/>
        <v xml:space="preserve">12602020516 </v>
      </c>
      <c r="E22726" t="s">
        <v>309</v>
      </c>
      <c r="F22726" t="s">
        <v>310</v>
      </c>
      <c r="G22726">
        <v>3.2</v>
      </c>
      <c r="H22726">
        <v>251231</v>
      </c>
      <c r="I22726">
        <v>4369</v>
      </c>
      <c r="J22726" t="s">
        <v>188</v>
      </c>
      <c r="K22726">
        <v>57.89</v>
      </c>
      <c r="L22726">
        <v>0.65</v>
      </c>
      <c r="M22726">
        <v>17974</v>
      </c>
      <c r="N22726" t="s">
        <v>153</v>
      </c>
      <c r="O22726">
        <v>260113</v>
      </c>
      <c r="P22726">
        <v>2.5499999999999998</v>
      </c>
    </row>
    <row r="22727" spans="1:16" x14ac:dyDescent="0.25">
      <c r="A22727" t="s">
        <v>3296</v>
      </c>
      <c r="B22727" t="s">
        <v>2931</v>
      </c>
      <c r="C22727">
        <v>18457</v>
      </c>
      <c r="D22727" t="str">
        <f t="shared" si="524"/>
        <v xml:space="preserve">12602020516 </v>
      </c>
      <c r="E22727" t="s">
        <v>309</v>
      </c>
      <c r="F22727" t="s">
        <v>310</v>
      </c>
      <c r="G22727">
        <v>3.39</v>
      </c>
      <c r="H22727">
        <v>251231</v>
      </c>
      <c r="I22727">
        <v>4369</v>
      </c>
      <c r="J22727" t="s">
        <v>188</v>
      </c>
      <c r="K22727">
        <v>57.89</v>
      </c>
      <c r="L22727">
        <v>0.69</v>
      </c>
      <c r="M22727">
        <v>17974</v>
      </c>
      <c r="N22727" t="s">
        <v>153</v>
      </c>
      <c r="O22727">
        <v>260113</v>
      </c>
      <c r="P22727">
        <v>2.7</v>
      </c>
    </row>
    <row r="22728" spans="1:16" x14ac:dyDescent="0.25">
      <c r="A22728" t="s">
        <v>3296</v>
      </c>
      <c r="B22728" t="s">
        <v>2931</v>
      </c>
      <c r="C22728">
        <v>18458</v>
      </c>
      <c r="D22728" t="str">
        <f>"12602020523 "</f>
        <v xml:space="preserve">12602020523 </v>
      </c>
      <c r="E22728" t="s">
        <v>309</v>
      </c>
      <c r="F22728" t="s">
        <v>310</v>
      </c>
      <c r="G22728">
        <v>3.39</v>
      </c>
      <c r="H22728">
        <v>251231</v>
      </c>
      <c r="I22728">
        <v>4369</v>
      </c>
      <c r="J22728" t="s">
        <v>188</v>
      </c>
      <c r="K22728">
        <v>27.25</v>
      </c>
      <c r="L22728">
        <v>0.69</v>
      </c>
      <c r="M22728">
        <v>11101</v>
      </c>
      <c r="N22728" t="s">
        <v>67</v>
      </c>
      <c r="O22728">
        <v>260113</v>
      </c>
      <c r="P22728">
        <v>2.7</v>
      </c>
    </row>
    <row r="22729" spans="1:16" x14ac:dyDescent="0.25">
      <c r="A22729" t="s">
        <v>3296</v>
      </c>
      <c r="B22729" t="s">
        <v>2931</v>
      </c>
      <c r="C22729">
        <v>18458</v>
      </c>
      <c r="D22729" t="str">
        <f>"12602020523 "</f>
        <v xml:space="preserve">12602020523 </v>
      </c>
      <c r="E22729" t="s">
        <v>309</v>
      </c>
      <c r="F22729" t="s">
        <v>310</v>
      </c>
      <c r="G22729">
        <v>17.079999999999998</v>
      </c>
      <c r="H22729">
        <v>251231</v>
      </c>
      <c r="I22729">
        <v>4369</v>
      </c>
      <c r="J22729" t="s">
        <v>188</v>
      </c>
      <c r="K22729">
        <v>27.25</v>
      </c>
      <c r="L22729">
        <v>3.47</v>
      </c>
      <c r="M22729">
        <v>11101</v>
      </c>
      <c r="N22729" t="s">
        <v>67</v>
      </c>
      <c r="O22729">
        <v>260113</v>
      </c>
      <c r="P22729">
        <v>13.61</v>
      </c>
    </row>
    <row r="22730" spans="1:16" x14ac:dyDescent="0.25">
      <c r="A22730" t="s">
        <v>3296</v>
      </c>
      <c r="B22730" t="s">
        <v>2931</v>
      </c>
      <c r="C22730">
        <v>18458</v>
      </c>
      <c r="D22730" t="str">
        <f>"12602020523 "</f>
        <v xml:space="preserve">12602020523 </v>
      </c>
      <c r="E22730" t="s">
        <v>309</v>
      </c>
      <c r="F22730" t="s">
        <v>310</v>
      </c>
      <c r="G22730">
        <v>3.39</v>
      </c>
      <c r="H22730">
        <v>251231</v>
      </c>
      <c r="I22730">
        <v>4369</v>
      </c>
      <c r="J22730" t="s">
        <v>188</v>
      </c>
      <c r="K22730">
        <v>27.25</v>
      </c>
      <c r="L22730">
        <v>0.69</v>
      </c>
      <c r="M22730">
        <v>11201</v>
      </c>
      <c r="N22730" t="s">
        <v>35</v>
      </c>
      <c r="O22730">
        <v>260113</v>
      </c>
      <c r="P22730">
        <v>2.7</v>
      </c>
    </row>
    <row r="22731" spans="1:16" x14ac:dyDescent="0.25">
      <c r="A22731" t="s">
        <v>3296</v>
      </c>
      <c r="B22731" t="s">
        <v>2931</v>
      </c>
      <c r="C22731">
        <v>18458</v>
      </c>
      <c r="D22731" t="str">
        <f>"12602020523 "</f>
        <v xml:space="preserve">12602020523 </v>
      </c>
      <c r="E22731" t="s">
        <v>309</v>
      </c>
      <c r="F22731" t="s">
        <v>310</v>
      </c>
      <c r="G22731">
        <v>3.39</v>
      </c>
      <c r="H22731">
        <v>251231</v>
      </c>
      <c r="I22731">
        <v>4369</v>
      </c>
      <c r="J22731" t="s">
        <v>188</v>
      </c>
      <c r="K22731">
        <v>27.25</v>
      </c>
      <c r="L22731">
        <v>0.69</v>
      </c>
      <c r="M22731">
        <v>11701</v>
      </c>
      <c r="N22731" t="s">
        <v>973</v>
      </c>
      <c r="O22731">
        <v>260113</v>
      </c>
      <c r="P22731">
        <v>2.7</v>
      </c>
    </row>
    <row r="22732" spans="1:16" x14ac:dyDescent="0.25">
      <c r="A22732" t="s">
        <v>3296</v>
      </c>
      <c r="B22732" t="s">
        <v>2931</v>
      </c>
      <c r="C22732">
        <v>18459</v>
      </c>
      <c r="D22732" t="str">
        <f>"12602020507 "</f>
        <v xml:space="preserve">12602020507 </v>
      </c>
      <c r="E22732" t="s">
        <v>309</v>
      </c>
      <c r="F22732" t="s">
        <v>310</v>
      </c>
      <c r="G22732">
        <v>6.65</v>
      </c>
      <c r="H22732">
        <v>251231</v>
      </c>
      <c r="I22732">
        <v>4369</v>
      </c>
      <c r="J22732" t="s">
        <v>188</v>
      </c>
      <c r="K22732">
        <v>43.31</v>
      </c>
      <c r="L22732">
        <v>1.35</v>
      </c>
      <c r="M22732">
        <v>44222</v>
      </c>
      <c r="N22732" t="s">
        <v>96</v>
      </c>
      <c r="O22732">
        <v>260113</v>
      </c>
      <c r="P22732">
        <v>5.3</v>
      </c>
    </row>
    <row r="22733" spans="1:16" x14ac:dyDescent="0.25">
      <c r="A22733" t="s">
        <v>3296</v>
      </c>
      <c r="B22733" t="s">
        <v>2931</v>
      </c>
      <c r="C22733">
        <v>18459</v>
      </c>
      <c r="D22733" t="str">
        <f>"12602020507 "</f>
        <v xml:space="preserve">12602020507 </v>
      </c>
      <c r="E22733" t="s">
        <v>309</v>
      </c>
      <c r="F22733" t="s">
        <v>310</v>
      </c>
      <c r="G22733">
        <v>23.48</v>
      </c>
      <c r="H22733">
        <v>251231</v>
      </c>
      <c r="I22733">
        <v>4369</v>
      </c>
      <c r="J22733" t="s">
        <v>188</v>
      </c>
      <c r="K22733">
        <v>43.31</v>
      </c>
      <c r="L22733">
        <v>4.7699999999999996</v>
      </c>
      <c r="M22733">
        <v>44222</v>
      </c>
      <c r="N22733" t="s">
        <v>96</v>
      </c>
      <c r="O22733">
        <v>260113</v>
      </c>
      <c r="P22733">
        <v>18.71</v>
      </c>
    </row>
    <row r="22734" spans="1:16" x14ac:dyDescent="0.25">
      <c r="A22734" t="s">
        <v>3296</v>
      </c>
      <c r="B22734" t="s">
        <v>2931</v>
      </c>
      <c r="C22734">
        <v>18459</v>
      </c>
      <c r="D22734" t="str">
        <f>"12602020507 "</f>
        <v xml:space="preserve">12602020507 </v>
      </c>
      <c r="E22734" t="s">
        <v>309</v>
      </c>
      <c r="F22734" t="s">
        <v>310</v>
      </c>
      <c r="G22734">
        <v>3.39</v>
      </c>
      <c r="H22734">
        <v>251231</v>
      </c>
      <c r="I22734">
        <v>4369</v>
      </c>
      <c r="J22734" t="s">
        <v>188</v>
      </c>
      <c r="K22734">
        <v>43.31</v>
      </c>
      <c r="L22734">
        <v>0.69</v>
      </c>
      <c r="M22734">
        <v>44251</v>
      </c>
      <c r="N22734" t="s">
        <v>215</v>
      </c>
      <c r="O22734">
        <v>260113</v>
      </c>
      <c r="P22734">
        <v>2.7</v>
      </c>
    </row>
    <row r="22735" spans="1:16" x14ac:dyDescent="0.25">
      <c r="A22735" t="s">
        <v>3296</v>
      </c>
      <c r="B22735" t="s">
        <v>2931</v>
      </c>
      <c r="C22735">
        <v>18459</v>
      </c>
      <c r="D22735" t="str">
        <f>"12602020507 "</f>
        <v xml:space="preserve">12602020507 </v>
      </c>
      <c r="E22735" t="s">
        <v>309</v>
      </c>
      <c r="F22735" t="s">
        <v>310</v>
      </c>
      <c r="G22735">
        <v>3.2</v>
      </c>
      <c r="H22735">
        <v>251231</v>
      </c>
      <c r="I22735">
        <v>4369</v>
      </c>
      <c r="J22735" t="s">
        <v>188</v>
      </c>
      <c r="K22735">
        <v>43.31</v>
      </c>
      <c r="L22735">
        <v>0.65</v>
      </c>
      <c r="M22735">
        <v>44253</v>
      </c>
      <c r="N22735" t="s">
        <v>403</v>
      </c>
      <c r="O22735">
        <v>260113</v>
      </c>
      <c r="P22735">
        <v>2.5499999999999998</v>
      </c>
    </row>
    <row r="22736" spans="1:16" x14ac:dyDescent="0.25">
      <c r="A22736" t="s">
        <v>3296</v>
      </c>
      <c r="B22736" t="s">
        <v>2931</v>
      </c>
      <c r="C22736">
        <v>18459</v>
      </c>
      <c r="D22736" t="str">
        <f>"12602020507 "</f>
        <v xml:space="preserve">12602020507 </v>
      </c>
      <c r="E22736" t="s">
        <v>309</v>
      </c>
      <c r="F22736" t="s">
        <v>310</v>
      </c>
      <c r="G22736">
        <v>6.59</v>
      </c>
      <c r="H22736">
        <v>251231</v>
      </c>
      <c r="I22736">
        <v>4369</v>
      </c>
      <c r="J22736" t="s">
        <v>188</v>
      </c>
      <c r="K22736">
        <v>43.31</v>
      </c>
      <c r="L22736">
        <v>1.34</v>
      </c>
      <c r="M22736">
        <v>49702</v>
      </c>
      <c r="N22736" t="s">
        <v>112</v>
      </c>
      <c r="O22736">
        <v>260113</v>
      </c>
      <c r="P22736">
        <v>5.25</v>
      </c>
    </row>
    <row r="22737" spans="1:16" x14ac:dyDescent="0.25">
      <c r="A22737" t="s">
        <v>3296</v>
      </c>
      <c r="B22737" t="s">
        <v>2931</v>
      </c>
      <c r="C22737">
        <v>18464</v>
      </c>
      <c r="D22737" t="str">
        <f>"12602020500 "</f>
        <v xml:space="preserve">12602020500 </v>
      </c>
      <c r="E22737" t="s">
        <v>309</v>
      </c>
      <c r="F22737" t="s">
        <v>310</v>
      </c>
      <c r="G22737">
        <v>32.75</v>
      </c>
      <c r="H22737">
        <v>251231</v>
      </c>
      <c r="I22737">
        <v>4369</v>
      </c>
      <c r="J22737" t="s">
        <v>188</v>
      </c>
      <c r="K22737">
        <v>49.32</v>
      </c>
      <c r="L22737">
        <v>6.65</v>
      </c>
      <c r="M22737">
        <v>41126</v>
      </c>
      <c r="N22737" t="s">
        <v>94</v>
      </c>
      <c r="O22737">
        <v>260113</v>
      </c>
      <c r="P22737">
        <v>26.1</v>
      </c>
    </row>
    <row r="22738" spans="1:16" x14ac:dyDescent="0.25">
      <c r="A22738" t="s">
        <v>3296</v>
      </c>
      <c r="B22738" t="s">
        <v>2931</v>
      </c>
      <c r="C22738">
        <v>18464</v>
      </c>
      <c r="D22738" t="str">
        <f>"12602020500 "</f>
        <v xml:space="preserve">12602020500 </v>
      </c>
      <c r="E22738" t="s">
        <v>309</v>
      </c>
      <c r="F22738" t="s">
        <v>310</v>
      </c>
      <c r="G22738">
        <v>16.57</v>
      </c>
      <c r="H22738">
        <v>251231</v>
      </c>
      <c r="I22738">
        <v>4369</v>
      </c>
      <c r="J22738" t="s">
        <v>188</v>
      </c>
      <c r="K22738">
        <v>49.32</v>
      </c>
      <c r="L22738">
        <v>3.37</v>
      </c>
      <c r="M22738">
        <v>46222</v>
      </c>
      <c r="N22738" t="s">
        <v>101</v>
      </c>
      <c r="O22738">
        <v>260113</v>
      </c>
      <c r="P22738">
        <v>13.2</v>
      </c>
    </row>
    <row r="22739" spans="1:16" x14ac:dyDescent="0.25">
      <c r="A22739" t="s">
        <v>3296</v>
      </c>
      <c r="B22739" t="s">
        <v>2931</v>
      </c>
      <c r="C22739">
        <v>18466</v>
      </c>
      <c r="D22739" t="str">
        <f>"12602020522 "</f>
        <v xml:space="preserve">12602020522 </v>
      </c>
      <c r="E22739" t="s">
        <v>309</v>
      </c>
      <c r="F22739" t="s">
        <v>310</v>
      </c>
      <c r="G22739">
        <v>10.17</v>
      </c>
      <c r="H22739">
        <v>251231</v>
      </c>
      <c r="I22739">
        <v>4369</v>
      </c>
      <c r="J22739" t="s">
        <v>188</v>
      </c>
      <c r="K22739">
        <v>17.02</v>
      </c>
      <c r="L22739">
        <v>2.0699999999999998</v>
      </c>
      <c r="M22739">
        <v>53222</v>
      </c>
      <c r="N22739" t="s">
        <v>41</v>
      </c>
      <c r="O22739">
        <v>260114</v>
      </c>
      <c r="P22739">
        <v>8.1</v>
      </c>
    </row>
    <row r="22740" spans="1:16" x14ac:dyDescent="0.25">
      <c r="A22740" t="s">
        <v>3296</v>
      </c>
      <c r="B22740" t="s">
        <v>2931</v>
      </c>
      <c r="C22740">
        <v>18466</v>
      </c>
      <c r="D22740" t="str">
        <f>"12602020522 "</f>
        <v xml:space="preserve">12602020522 </v>
      </c>
      <c r="E22740" t="s">
        <v>309</v>
      </c>
      <c r="F22740" t="s">
        <v>310</v>
      </c>
      <c r="G22740">
        <v>3.39</v>
      </c>
      <c r="H22740">
        <v>251231</v>
      </c>
      <c r="I22740">
        <v>4369</v>
      </c>
      <c r="J22740" t="s">
        <v>188</v>
      </c>
      <c r="K22740">
        <v>17.02</v>
      </c>
      <c r="L22740">
        <v>0.69</v>
      </c>
      <c r="M22740">
        <v>54622</v>
      </c>
      <c r="N22740" t="s">
        <v>42</v>
      </c>
      <c r="O22740">
        <v>260114</v>
      </c>
      <c r="P22740">
        <v>2.7</v>
      </c>
    </row>
    <row r="22741" spans="1:16" x14ac:dyDescent="0.25">
      <c r="A22741" t="s">
        <v>3296</v>
      </c>
      <c r="B22741" t="s">
        <v>2931</v>
      </c>
      <c r="C22741">
        <v>18466</v>
      </c>
      <c r="D22741" t="str">
        <f>"12602020522 "</f>
        <v xml:space="preserve">12602020522 </v>
      </c>
      <c r="E22741" t="s">
        <v>309</v>
      </c>
      <c r="F22741" t="s">
        <v>310</v>
      </c>
      <c r="G22741">
        <v>3.46</v>
      </c>
      <c r="H22741">
        <v>251231</v>
      </c>
      <c r="I22741">
        <v>4369</v>
      </c>
      <c r="J22741" t="s">
        <v>188</v>
      </c>
      <c r="K22741">
        <v>17.02</v>
      </c>
      <c r="L22741">
        <v>0.7</v>
      </c>
      <c r="M22741">
        <v>55222</v>
      </c>
      <c r="N22741" t="s">
        <v>43</v>
      </c>
      <c r="O22741">
        <v>260114</v>
      </c>
      <c r="P22741">
        <v>2.76</v>
      </c>
    </row>
    <row r="22742" spans="1:16" x14ac:dyDescent="0.25">
      <c r="A22742" t="s">
        <v>3296</v>
      </c>
      <c r="B22742" t="s">
        <v>2931</v>
      </c>
      <c r="C22742">
        <v>18468</v>
      </c>
      <c r="D22742" t="str">
        <f>"12602020510 "</f>
        <v xml:space="preserve">12602020510 </v>
      </c>
      <c r="E22742" t="s">
        <v>309</v>
      </c>
      <c r="F22742" t="s">
        <v>310</v>
      </c>
      <c r="G22742">
        <v>4.24</v>
      </c>
      <c r="H22742">
        <v>251231</v>
      </c>
      <c r="I22742">
        <v>4369</v>
      </c>
      <c r="J22742" t="s">
        <v>188</v>
      </c>
      <c r="K22742">
        <v>4.24</v>
      </c>
      <c r="L22742">
        <v>0.86</v>
      </c>
      <c r="M22742">
        <v>11900</v>
      </c>
      <c r="N22742" t="s">
        <v>30</v>
      </c>
      <c r="O22742">
        <v>260114</v>
      </c>
      <c r="P22742">
        <v>3.38</v>
      </c>
    </row>
    <row r="22743" spans="1:16" x14ac:dyDescent="0.25">
      <c r="A22743" t="s">
        <v>3296</v>
      </c>
      <c r="B22743" t="s">
        <v>2931</v>
      </c>
      <c r="C22743">
        <v>18469</v>
      </c>
      <c r="D22743" t="str">
        <f>"12602020520 "</f>
        <v xml:space="preserve">12602020520 </v>
      </c>
      <c r="E22743" t="s">
        <v>309</v>
      </c>
      <c r="F22743" t="s">
        <v>310</v>
      </c>
      <c r="G22743">
        <v>7.58</v>
      </c>
      <c r="H22743">
        <v>251231</v>
      </c>
      <c r="I22743">
        <v>4369</v>
      </c>
      <c r="J22743" t="s">
        <v>188</v>
      </c>
      <c r="K22743">
        <v>10.97</v>
      </c>
      <c r="L22743">
        <v>1.54</v>
      </c>
      <c r="M22743">
        <v>11901</v>
      </c>
      <c r="N22743" t="s">
        <v>31</v>
      </c>
      <c r="O22743">
        <v>260114</v>
      </c>
      <c r="P22743">
        <v>6.04</v>
      </c>
    </row>
    <row r="22744" spans="1:16" x14ac:dyDescent="0.25">
      <c r="A22744" t="s">
        <v>3296</v>
      </c>
      <c r="B22744" t="s">
        <v>2931</v>
      </c>
      <c r="C22744">
        <v>18469</v>
      </c>
      <c r="D22744" t="str">
        <f>"12602020520 "</f>
        <v xml:space="preserve">12602020520 </v>
      </c>
      <c r="E22744" t="s">
        <v>309</v>
      </c>
      <c r="F22744" t="s">
        <v>310</v>
      </c>
      <c r="G22744">
        <v>3.39</v>
      </c>
      <c r="H22744">
        <v>251231</v>
      </c>
      <c r="I22744">
        <v>4369</v>
      </c>
      <c r="J22744" t="s">
        <v>188</v>
      </c>
      <c r="K22744">
        <v>10.97</v>
      </c>
      <c r="L22744">
        <v>0.69</v>
      </c>
      <c r="M22744">
        <v>11903</v>
      </c>
      <c r="N22744" t="s">
        <v>32</v>
      </c>
      <c r="O22744">
        <v>260114</v>
      </c>
      <c r="P22744">
        <v>2.7</v>
      </c>
    </row>
    <row r="22745" spans="1:16" x14ac:dyDescent="0.25">
      <c r="A22745" t="s">
        <v>3296</v>
      </c>
      <c r="B22745" t="s">
        <v>2931</v>
      </c>
      <c r="C22745">
        <v>18475</v>
      </c>
      <c r="D22745" t="str">
        <f>"12602020512 "</f>
        <v xml:space="preserve">12602020512 </v>
      </c>
      <c r="E22745" t="s">
        <v>309</v>
      </c>
      <c r="F22745" t="s">
        <v>310</v>
      </c>
      <c r="G22745">
        <v>10.17</v>
      </c>
      <c r="H22745">
        <v>251231</v>
      </c>
      <c r="I22745">
        <v>4369</v>
      </c>
      <c r="J22745" t="s">
        <v>188</v>
      </c>
      <c r="K22745">
        <v>69.77</v>
      </c>
      <c r="L22745">
        <v>2.0699999999999998</v>
      </c>
      <c r="M22745">
        <v>17913</v>
      </c>
      <c r="N22745" t="s">
        <v>26</v>
      </c>
      <c r="O22745">
        <v>260114</v>
      </c>
      <c r="P22745">
        <v>8.1</v>
      </c>
    </row>
    <row r="22746" spans="1:16" x14ac:dyDescent="0.25">
      <c r="A22746" t="s">
        <v>3296</v>
      </c>
      <c r="B22746" t="s">
        <v>2931</v>
      </c>
      <c r="C22746">
        <v>18475</v>
      </c>
      <c r="D22746" t="str">
        <f>"12602020512 "</f>
        <v xml:space="preserve">12602020512 </v>
      </c>
      <c r="E22746" t="s">
        <v>309</v>
      </c>
      <c r="F22746" t="s">
        <v>310</v>
      </c>
      <c r="G22746">
        <v>27.17</v>
      </c>
      <c r="H22746">
        <v>251231</v>
      </c>
      <c r="I22746">
        <v>4369</v>
      </c>
      <c r="J22746" t="s">
        <v>188</v>
      </c>
      <c r="K22746">
        <v>69.77</v>
      </c>
      <c r="L22746">
        <v>5.52</v>
      </c>
      <c r="M22746">
        <v>17951</v>
      </c>
      <c r="N22746" t="s">
        <v>207</v>
      </c>
      <c r="O22746">
        <v>260114</v>
      </c>
      <c r="P22746">
        <v>21.65</v>
      </c>
    </row>
    <row r="22747" spans="1:16" x14ac:dyDescent="0.25">
      <c r="A22747" t="s">
        <v>3296</v>
      </c>
      <c r="B22747" t="s">
        <v>2931</v>
      </c>
      <c r="C22747">
        <v>18475</v>
      </c>
      <c r="D22747" t="str">
        <f>"12602020512 "</f>
        <v xml:space="preserve">12602020512 </v>
      </c>
      <c r="E22747" t="s">
        <v>309</v>
      </c>
      <c r="F22747" t="s">
        <v>310</v>
      </c>
      <c r="G22747">
        <v>13.55</v>
      </c>
      <c r="H22747">
        <v>251231</v>
      </c>
      <c r="I22747">
        <v>4369</v>
      </c>
      <c r="J22747" t="s">
        <v>188</v>
      </c>
      <c r="K22747">
        <v>69.77</v>
      </c>
      <c r="L22747">
        <v>2.75</v>
      </c>
      <c r="M22747">
        <v>17971</v>
      </c>
      <c r="N22747" t="s">
        <v>27</v>
      </c>
      <c r="O22747">
        <v>260114</v>
      </c>
      <c r="P22747">
        <v>10.8</v>
      </c>
    </row>
    <row r="22748" spans="1:16" x14ac:dyDescent="0.25">
      <c r="A22748" t="s">
        <v>3296</v>
      </c>
      <c r="B22748" t="s">
        <v>2931</v>
      </c>
      <c r="C22748">
        <v>18475</v>
      </c>
      <c r="D22748" t="str">
        <f>"12602020512 "</f>
        <v xml:space="preserve">12602020512 </v>
      </c>
      <c r="E22748" t="s">
        <v>309</v>
      </c>
      <c r="F22748" t="s">
        <v>310</v>
      </c>
      <c r="G22748">
        <v>6.59</v>
      </c>
      <c r="H22748">
        <v>251231</v>
      </c>
      <c r="I22748">
        <v>4369</v>
      </c>
      <c r="J22748" t="s">
        <v>188</v>
      </c>
      <c r="K22748">
        <v>69.77</v>
      </c>
      <c r="L22748">
        <v>1.34</v>
      </c>
      <c r="M22748">
        <v>17974</v>
      </c>
      <c r="N22748" t="s">
        <v>153</v>
      </c>
      <c r="O22748">
        <v>260114</v>
      </c>
      <c r="P22748">
        <v>5.25</v>
      </c>
    </row>
    <row r="22749" spans="1:16" x14ac:dyDescent="0.25">
      <c r="A22749" t="s">
        <v>3296</v>
      </c>
      <c r="B22749" t="s">
        <v>2931</v>
      </c>
      <c r="C22749">
        <v>18475</v>
      </c>
      <c r="D22749" t="str">
        <f>"12602020512 "</f>
        <v xml:space="preserve">12602020512 </v>
      </c>
      <c r="E22749" t="s">
        <v>309</v>
      </c>
      <c r="F22749" t="s">
        <v>310</v>
      </c>
      <c r="G22749">
        <v>12.29</v>
      </c>
      <c r="H22749">
        <v>251231</v>
      </c>
      <c r="I22749">
        <v>4369</v>
      </c>
      <c r="J22749" t="s">
        <v>188</v>
      </c>
      <c r="K22749">
        <v>69.77</v>
      </c>
      <c r="L22749">
        <v>2.5</v>
      </c>
      <c r="M22749">
        <v>17975</v>
      </c>
      <c r="N22749" t="s">
        <v>29</v>
      </c>
      <c r="O22749">
        <v>260114</v>
      </c>
      <c r="P22749">
        <v>9.7899999999999991</v>
      </c>
    </row>
    <row r="22750" spans="1:16" x14ac:dyDescent="0.25">
      <c r="A22750" t="s">
        <v>3296</v>
      </c>
      <c r="B22750" t="s">
        <v>2931</v>
      </c>
      <c r="C22750">
        <v>18479</v>
      </c>
      <c r="D22750" t="str">
        <f t="shared" ref="D22750:D22757" si="525">"12602020488 "</f>
        <v xml:space="preserve">12602020488 </v>
      </c>
      <c r="E22750" t="s">
        <v>309</v>
      </c>
      <c r="F22750" t="s">
        <v>310</v>
      </c>
      <c r="G22750">
        <v>6.4</v>
      </c>
      <c r="H22750">
        <v>251231</v>
      </c>
      <c r="I22750">
        <v>4369</v>
      </c>
      <c r="J22750" t="s">
        <v>188</v>
      </c>
      <c r="K22750">
        <v>57</v>
      </c>
      <c r="L22750">
        <v>1.3</v>
      </c>
      <c r="M22750">
        <v>11001</v>
      </c>
      <c r="N22750" t="s">
        <v>93</v>
      </c>
      <c r="O22750">
        <v>260114</v>
      </c>
      <c r="P22750">
        <v>5.0999999999999996</v>
      </c>
    </row>
    <row r="22751" spans="1:16" x14ac:dyDescent="0.25">
      <c r="A22751" t="s">
        <v>3296</v>
      </c>
      <c r="B22751" t="s">
        <v>2931</v>
      </c>
      <c r="C22751">
        <v>18479</v>
      </c>
      <c r="D22751" t="str">
        <f t="shared" si="525"/>
        <v xml:space="preserve">12602020488 </v>
      </c>
      <c r="E22751" t="s">
        <v>309</v>
      </c>
      <c r="F22751" t="s">
        <v>310</v>
      </c>
      <c r="G22751">
        <v>6.4</v>
      </c>
      <c r="H22751">
        <v>251231</v>
      </c>
      <c r="I22751">
        <v>4369</v>
      </c>
      <c r="J22751" t="s">
        <v>188</v>
      </c>
      <c r="K22751">
        <v>57</v>
      </c>
      <c r="L22751">
        <v>1.3</v>
      </c>
      <c r="M22751">
        <v>11001</v>
      </c>
      <c r="N22751" t="s">
        <v>93</v>
      </c>
      <c r="O22751">
        <v>260114</v>
      </c>
      <c r="P22751">
        <v>5.0999999999999996</v>
      </c>
    </row>
    <row r="22752" spans="1:16" x14ac:dyDescent="0.25">
      <c r="A22752" t="s">
        <v>3296</v>
      </c>
      <c r="B22752" t="s">
        <v>2931</v>
      </c>
      <c r="C22752">
        <v>18479</v>
      </c>
      <c r="D22752" t="str">
        <f t="shared" si="525"/>
        <v xml:space="preserve">12602020488 </v>
      </c>
      <c r="E22752" t="s">
        <v>309</v>
      </c>
      <c r="F22752" t="s">
        <v>310</v>
      </c>
      <c r="G22752">
        <v>6.58</v>
      </c>
      <c r="H22752">
        <v>251231</v>
      </c>
      <c r="I22752">
        <v>4369</v>
      </c>
      <c r="J22752" t="s">
        <v>188</v>
      </c>
      <c r="K22752">
        <v>57</v>
      </c>
      <c r="L22752">
        <v>1.34</v>
      </c>
      <c r="M22752">
        <v>11001</v>
      </c>
      <c r="N22752" t="s">
        <v>93</v>
      </c>
      <c r="O22752">
        <v>260114</v>
      </c>
      <c r="P22752">
        <v>5.24</v>
      </c>
    </row>
    <row r="22753" spans="1:16" x14ac:dyDescent="0.25">
      <c r="A22753" t="s">
        <v>3296</v>
      </c>
      <c r="B22753" t="s">
        <v>2931</v>
      </c>
      <c r="C22753">
        <v>18479</v>
      </c>
      <c r="D22753" t="str">
        <f t="shared" si="525"/>
        <v xml:space="preserve">12602020488 </v>
      </c>
      <c r="E22753" t="s">
        <v>309</v>
      </c>
      <c r="F22753" t="s">
        <v>310</v>
      </c>
      <c r="G22753">
        <v>10.17</v>
      </c>
      <c r="H22753">
        <v>251231</v>
      </c>
      <c r="I22753">
        <v>4369</v>
      </c>
      <c r="J22753" t="s">
        <v>188</v>
      </c>
      <c r="K22753">
        <v>57</v>
      </c>
      <c r="L22753">
        <v>2.0699999999999998</v>
      </c>
      <c r="M22753">
        <v>11301</v>
      </c>
      <c r="N22753" t="s">
        <v>92</v>
      </c>
      <c r="O22753">
        <v>260114</v>
      </c>
      <c r="P22753">
        <v>8.1</v>
      </c>
    </row>
    <row r="22754" spans="1:16" x14ac:dyDescent="0.25">
      <c r="A22754" t="s">
        <v>3296</v>
      </c>
      <c r="B22754" t="s">
        <v>2931</v>
      </c>
      <c r="C22754">
        <v>18479</v>
      </c>
      <c r="D22754" t="str">
        <f t="shared" si="525"/>
        <v xml:space="preserve">12602020488 </v>
      </c>
      <c r="E22754" t="s">
        <v>309</v>
      </c>
      <c r="F22754" t="s">
        <v>310</v>
      </c>
      <c r="G22754">
        <v>4.38</v>
      </c>
      <c r="H22754">
        <v>251231</v>
      </c>
      <c r="I22754">
        <v>4369</v>
      </c>
      <c r="J22754" t="s">
        <v>188</v>
      </c>
      <c r="K22754">
        <v>57</v>
      </c>
      <c r="L22754">
        <v>0</v>
      </c>
      <c r="M22754">
        <v>11401</v>
      </c>
      <c r="N22754" t="s">
        <v>91</v>
      </c>
      <c r="O22754">
        <v>260114</v>
      </c>
      <c r="P22754">
        <v>4.38</v>
      </c>
    </row>
    <row r="22755" spans="1:16" x14ac:dyDescent="0.25">
      <c r="A22755" t="s">
        <v>3296</v>
      </c>
      <c r="B22755" t="s">
        <v>2931</v>
      </c>
      <c r="C22755">
        <v>18479</v>
      </c>
      <c r="D22755" t="str">
        <f t="shared" si="525"/>
        <v xml:space="preserve">12602020488 </v>
      </c>
      <c r="E22755" t="s">
        <v>309</v>
      </c>
      <c r="F22755" t="s">
        <v>310</v>
      </c>
      <c r="G22755">
        <v>9.7899999999999991</v>
      </c>
      <c r="H22755">
        <v>251231</v>
      </c>
      <c r="I22755">
        <v>4369</v>
      </c>
      <c r="J22755" t="s">
        <v>188</v>
      </c>
      <c r="K22755">
        <v>57</v>
      </c>
      <c r="L22755">
        <v>1.99</v>
      </c>
      <c r="M22755">
        <v>11401</v>
      </c>
      <c r="N22755" t="s">
        <v>91</v>
      </c>
      <c r="O22755">
        <v>260114</v>
      </c>
      <c r="P22755">
        <v>7.8</v>
      </c>
    </row>
    <row r="22756" spans="1:16" x14ac:dyDescent="0.25">
      <c r="A22756" t="s">
        <v>3296</v>
      </c>
      <c r="B22756" t="s">
        <v>2931</v>
      </c>
      <c r="C22756">
        <v>18479</v>
      </c>
      <c r="D22756" t="str">
        <f t="shared" si="525"/>
        <v xml:space="preserve">12602020488 </v>
      </c>
      <c r="E22756" t="s">
        <v>309</v>
      </c>
      <c r="F22756" t="s">
        <v>310</v>
      </c>
      <c r="G22756">
        <v>3.49</v>
      </c>
      <c r="H22756">
        <v>251231</v>
      </c>
      <c r="I22756">
        <v>4369</v>
      </c>
      <c r="J22756" t="s">
        <v>188</v>
      </c>
      <c r="K22756">
        <v>57</v>
      </c>
      <c r="L22756">
        <v>0.71</v>
      </c>
      <c r="M22756">
        <v>11501</v>
      </c>
      <c r="N22756" t="s">
        <v>13</v>
      </c>
      <c r="O22756">
        <v>260114</v>
      </c>
      <c r="P22756">
        <v>2.78</v>
      </c>
    </row>
    <row r="22757" spans="1:16" x14ac:dyDescent="0.25">
      <c r="A22757" t="s">
        <v>3296</v>
      </c>
      <c r="B22757" t="s">
        <v>2931</v>
      </c>
      <c r="C22757">
        <v>18479</v>
      </c>
      <c r="D22757" t="str">
        <f t="shared" si="525"/>
        <v xml:space="preserve">12602020488 </v>
      </c>
      <c r="E22757" t="s">
        <v>309</v>
      </c>
      <c r="F22757" t="s">
        <v>310</v>
      </c>
      <c r="G22757">
        <v>9.7899999999999991</v>
      </c>
      <c r="H22757">
        <v>251231</v>
      </c>
      <c r="I22757">
        <v>4369</v>
      </c>
      <c r="J22757" t="s">
        <v>188</v>
      </c>
      <c r="K22757">
        <v>57</v>
      </c>
      <c r="L22757">
        <v>1.99</v>
      </c>
      <c r="M22757">
        <v>18972</v>
      </c>
      <c r="N22757" t="s">
        <v>39</v>
      </c>
      <c r="O22757">
        <v>260114</v>
      </c>
      <c r="P22757">
        <v>7.8</v>
      </c>
    </row>
    <row r="22758" spans="1:16" x14ac:dyDescent="0.25">
      <c r="A22758" t="s">
        <v>3296</v>
      </c>
      <c r="B22758" t="s">
        <v>2931</v>
      </c>
      <c r="C22758">
        <v>18483</v>
      </c>
      <c r="D22758" t="str">
        <f>"105671300   "</f>
        <v xml:space="preserve">105671300   </v>
      </c>
      <c r="E22758" t="s">
        <v>309</v>
      </c>
      <c r="F22758" t="s">
        <v>310</v>
      </c>
      <c r="G22758">
        <v>85.65</v>
      </c>
      <c r="H22758">
        <v>251231</v>
      </c>
      <c r="I22758">
        <v>4369</v>
      </c>
      <c r="J22758" t="s">
        <v>188</v>
      </c>
      <c r="K22758">
        <v>85.65</v>
      </c>
      <c r="L22758">
        <v>17.399999999999999</v>
      </c>
      <c r="M22758">
        <v>11801</v>
      </c>
      <c r="N22758" t="s">
        <v>40</v>
      </c>
      <c r="O22758">
        <v>260114</v>
      </c>
      <c r="P22758">
        <v>68.25</v>
      </c>
    </row>
    <row r="22759" spans="1:16" x14ac:dyDescent="0.25">
      <c r="A22759" t="s">
        <v>3296</v>
      </c>
      <c r="B22759" t="s">
        <v>2931</v>
      </c>
      <c r="C22759">
        <v>18488</v>
      </c>
      <c r="D22759" t="str">
        <f t="shared" ref="D22759:D22767" si="526">"12602020489 "</f>
        <v xml:space="preserve">12602020489 </v>
      </c>
      <c r="E22759" t="s">
        <v>309</v>
      </c>
      <c r="F22759" t="s">
        <v>310</v>
      </c>
      <c r="G22759">
        <v>3.39</v>
      </c>
      <c r="H22759">
        <v>251231</v>
      </c>
      <c r="I22759">
        <v>4369</v>
      </c>
      <c r="J22759" t="s">
        <v>188</v>
      </c>
      <c r="K22759">
        <v>96.94</v>
      </c>
      <c r="L22759">
        <v>0.69</v>
      </c>
      <c r="M22759">
        <v>11001</v>
      </c>
      <c r="N22759" t="s">
        <v>93</v>
      </c>
      <c r="O22759">
        <v>260114</v>
      </c>
      <c r="P22759">
        <v>2.7</v>
      </c>
    </row>
    <row r="22760" spans="1:16" x14ac:dyDescent="0.25">
      <c r="A22760" t="s">
        <v>3296</v>
      </c>
      <c r="B22760" t="s">
        <v>2931</v>
      </c>
      <c r="C22760">
        <v>18488</v>
      </c>
      <c r="D22760" t="str">
        <f t="shared" si="526"/>
        <v xml:space="preserve">12602020489 </v>
      </c>
      <c r="E22760" t="s">
        <v>309</v>
      </c>
      <c r="F22760" t="s">
        <v>310</v>
      </c>
      <c r="G22760">
        <v>40.06</v>
      </c>
      <c r="H22760">
        <v>251231</v>
      </c>
      <c r="I22760">
        <v>4369</v>
      </c>
      <c r="J22760" t="s">
        <v>188</v>
      </c>
      <c r="K22760">
        <v>96.94</v>
      </c>
      <c r="L22760">
        <v>0</v>
      </c>
      <c r="M22760">
        <v>11001</v>
      </c>
      <c r="N22760" t="s">
        <v>93</v>
      </c>
      <c r="O22760">
        <v>260114</v>
      </c>
      <c r="P22760">
        <v>40.06</v>
      </c>
    </row>
    <row r="22761" spans="1:16" x14ac:dyDescent="0.25">
      <c r="A22761" t="s">
        <v>3296</v>
      </c>
      <c r="B22761" t="s">
        <v>2931</v>
      </c>
      <c r="C22761">
        <v>18488</v>
      </c>
      <c r="D22761" t="str">
        <f t="shared" si="526"/>
        <v xml:space="preserve">12602020489 </v>
      </c>
      <c r="E22761" t="s">
        <v>309</v>
      </c>
      <c r="F22761" t="s">
        <v>310</v>
      </c>
      <c r="G22761">
        <v>1.1299999999999999</v>
      </c>
      <c r="H22761">
        <v>251231</v>
      </c>
      <c r="I22761">
        <v>4369</v>
      </c>
      <c r="J22761" t="s">
        <v>188</v>
      </c>
      <c r="K22761">
        <v>96.94</v>
      </c>
      <c r="L22761">
        <v>0.23</v>
      </c>
      <c r="M22761">
        <v>11401</v>
      </c>
      <c r="N22761" t="s">
        <v>91</v>
      </c>
      <c r="O22761">
        <v>260114</v>
      </c>
      <c r="P22761">
        <v>0.9</v>
      </c>
    </row>
    <row r="22762" spans="1:16" x14ac:dyDescent="0.25">
      <c r="A22762" t="s">
        <v>3296</v>
      </c>
      <c r="B22762" t="s">
        <v>2931</v>
      </c>
      <c r="C22762">
        <v>18488</v>
      </c>
      <c r="D22762" t="str">
        <f t="shared" si="526"/>
        <v xml:space="preserve">12602020489 </v>
      </c>
      <c r="E22762" t="s">
        <v>309</v>
      </c>
      <c r="F22762" t="s">
        <v>310</v>
      </c>
      <c r="G22762">
        <v>7.03</v>
      </c>
      <c r="H22762">
        <v>251231</v>
      </c>
      <c r="I22762">
        <v>4369</v>
      </c>
      <c r="J22762" t="s">
        <v>188</v>
      </c>
      <c r="K22762">
        <v>96.94</v>
      </c>
      <c r="L22762">
        <v>1.43</v>
      </c>
      <c r="M22762">
        <v>11501</v>
      </c>
      <c r="N22762" t="s">
        <v>13</v>
      </c>
      <c r="O22762">
        <v>260114</v>
      </c>
      <c r="P22762">
        <v>5.6</v>
      </c>
    </row>
    <row r="22763" spans="1:16" x14ac:dyDescent="0.25">
      <c r="A22763" t="s">
        <v>3296</v>
      </c>
      <c r="B22763" t="s">
        <v>2931</v>
      </c>
      <c r="C22763">
        <v>18488</v>
      </c>
      <c r="D22763" t="str">
        <f t="shared" si="526"/>
        <v xml:space="preserve">12602020489 </v>
      </c>
      <c r="E22763" t="s">
        <v>309</v>
      </c>
      <c r="F22763" t="s">
        <v>310</v>
      </c>
      <c r="G22763">
        <v>3.39</v>
      </c>
      <c r="H22763">
        <v>251231</v>
      </c>
      <c r="I22763">
        <v>4369</v>
      </c>
      <c r="J22763" t="s">
        <v>188</v>
      </c>
      <c r="K22763">
        <v>96.94</v>
      </c>
      <c r="L22763">
        <v>0.69</v>
      </c>
      <c r="M22763">
        <v>11701</v>
      </c>
      <c r="N22763" t="s">
        <v>973</v>
      </c>
      <c r="O22763">
        <v>260114</v>
      </c>
      <c r="P22763">
        <v>2.7</v>
      </c>
    </row>
    <row r="22764" spans="1:16" x14ac:dyDescent="0.25">
      <c r="A22764" t="s">
        <v>3296</v>
      </c>
      <c r="B22764" t="s">
        <v>2931</v>
      </c>
      <c r="C22764">
        <v>18488</v>
      </c>
      <c r="D22764" t="str">
        <f t="shared" si="526"/>
        <v xml:space="preserve">12602020489 </v>
      </c>
      <c r="E22764" t="s">
        <v>309</v>
      </c>
      <c r="F22764" t="s">
        <v>310</v>
      </c>
      <c r="G22764">
        <v>3.54</v>
      </c>
      <c r="H22764">
        <v>251231</v>
      </c>
      <c r="I22764">
        <v>4369</v>
      </c>
      <c r="J22764" t="s">
        <v>188</v>
      </c>
      <c r="K22764">
        <v>96.94</v>
      </c>
      <c r="L22764">
        <v>0.72</v>
      </c>
      <c r="M22764">
        <v>11751</v>
      </c>
      <c r="N22764" t="s">
        <v>167</v>
      </c>
      <c r="O22764">
        <v>260114</v>
      </c>
      <c r="P22764">
        <v>2.82</v>
      </c>
    </row>
    <row r="22765" spans="1:16" x14ac:dyDescent="0.25">
      <c r="A22765" t="s">
        <v>3296</v>
      </c>
      <c r="B22765" t="s">
        <v>2931</v>
      </c>
      <c r="C22765">
        <v>18488</v>
      </c>
      <c r="D22765" t="str">
        <f t="shared" si="526"/>
        <v xml:space="preserve">12602020489 </v>
      </c>
      <c r="E22765" t="s">
        <v>309</v>
      </c>
      <c r="F22765" t="s">
        <v>310</v>
      </c>
      <c r="G22765">
        <v>3.39</v>
      </c>
      <c r="H22765">
        <v>251231</v>
      </c>
      <c r="I22765">
        <v>4369</v>
      </c>
      <c r="J22765" t="s">
        <v>188</v>
      </c>
      <c r="K22765">
        <v>96.94</v>
      </c>
      <c r="L22765">
        <v>0.69</v>
      </c>
      <c r="M22765">
        <v>11801</v>
      </c>
      <c r="N22765" t="s">
        <v>40</v>
      </c>
      <c r="O22765">
        <v>260114</v>
      </c>
      <c r="P22765">
        <v>2.7</v>
      </c>
    </row>
    <row r="22766" spans="1:16" x14ac:dyDescent="0.25">
      <c r="A22766" t="s">
        <v>3296</v>
      </c>
      <c r="B22766" t="s">
        <v>2931</v>
      </c>
      <c r="C22766">
        <v>18488</v>
      </c>
      <c r="D22766" t="str">
        <f t="shared" si="526"/>
        <v xml:space="preserve">12602020489 </v>
      </c>
      <c r="E22766" t="s">
        <v>309</v>
      </c>
      <c r="F22766" t="s">
        <v>310</v>
      </c>
      <c r="G22766">
        <v>31.12</v>
      </c>
      <c r="H22766">
        <v>251231</v>
      </c>
      <c r="I22766">
        <v>4369</v>
      </c>
      <c r="J22766" t="s">
        <v>188</v>
      </c>
      <c r="K22766">
        <v>96.94</v>
      </c>
      <c r="L22766">
        <v>6.32</v>
      </c>
      <c r="M22766">
        <v>14622</v>
      </c>
      <c r="N22766" t="s">
        <v>77</v>
      </c>
      <c r="O22766">
        <v>260114</v>
      </c>
      <c r="P22766">
        <v>24.8</v>
      </c>
    </row>
    <row r="22767" spans="1:16" x14ac:dyDescent="0.25">
      <c r="A22767" t="s">
        <v>3296</v>
      </c>
      <c r="B22767" t="s">
        <v>2931</v>
      </c>
      <c r="C22767">
        <v>18488</v>
      </c>
      <c r="D22767" t="str">
        <f t="shared" si="526"/>
        <v xml:space="preserve">12602020489 </v>
      </c>
      <c r="E22767" t="s">
        <v>309</v>
      </c>
      <c r="F22767" t="s">
        <v>310</v>
      </c>
      <c r="G22767">
        <v>3.89</v>
      </c>
      <c r="H22767">
        <v>251231</v>
      </c>
      <c r="I22767">
        <v>4369</v>
      </c>
      <c r="J22767" t="s">
        <v>188</v>
      </c>
      <c r="K22767">
        <v>96.94</v>
      </c>
      <c r="L22767">
        <v>0.79</v>
      </c>
      <c r="M22767">
        <v>14952</v>
      </c>
      <c r="N22767" t="s">
        <v>213</v>
      </c>
      <c r="O22767">
        <v>260114</v>
      </c>
      <c r="P22767">
        <v>3.1</v>
      </c>
    </row>
    <row r="22768" spans="1:16" x14ac:dyDescent="0.25">
      <c r="A22768" t="s">
        <v>3296</v>
      </c>
      <c r="B22768" t="s">
        <v>2931</v>
      </c>
      <c r="C22768">
        <v>18540</v>
      </c>
      <c r="D22768" t="str">
        <f t="shared" ref="D22768:D22776" si="527">"12602020496 "</f>
        <v xml:space="preserve">12602020496 </v>
      </c>
      <c r="E22768" t="s">
        <v>309</v>
      </c>
      <c r="F22768" t="s">
        <v>310</v>
      </c>
      <c r="G22768">
        <v>3.39</v>
      </c>
      <c r="H22768">
        <v>251231</v>
      </c>
      <c r="I22768">
        <v>4369</v>
      </c>
      <c r="J22768" t="s">
        <v>188</v>
      </c>
      <c r="K22768">
        <v>54.38</v>
      </c>
      <c r="L22768">
        <v>0.69</v>
      </c>
      <c r="M22768">
        <v>11301</v>
      </c>
      <c r="N22768" t="s">
        <v>92</v>
      </c>
      <c r="O22768">
        <v>260115</v>
      </c>
      <c r="P22768">
        <v>2.7</v>
      </c>
    </row>
    <row r="22769" spans="1:16" x14ac:dyDescent="0.25">
      <c r="A22769" t="s">
        <v>3296</v>
      </c>
      <c r="B22769" t="s">
        <v>2931</v>
      </c>
      <c r="C22769">
        <v>18540</v>
      </c>
      <c r="D22769" t="str">
        <f t="shared" si="527"/>
        <v xml:space="preserve">12602020496 </v>
      </c>
      <c r="E22769" t="s">
        <v>309</v>
      </c>
      <c r="F22769" t="s">
        <v>310</v>
      </c>
      <c r="G22769">
        <v>3.39</v>
      </c>
      <c r="H22769">
        <v>251231</v>
      </c>
      <c r="I22769">
        <v>4369</v>
      </c>
      <c r="J22769" t="s">
        <v>188</v>
      </c>
      <c r="K22769">
        <v>54.38</v>
      </c>
      <c r="L22769">
        <v>0.69</v>
      </c>
      <c r="M22769">
        <v>11900</v>
      </c>
      <c r="N22769" t="s">
        <v>30</v>
      </c>
      <c r="O22769">
        <v>260115</v>
      </c>
      <c r="P22769">
        <v>2.7</v>
      </c>
    </row>
    <row r="22770" spans="1:16" x14ac:dyDescent="0.25">
      <c r="A22770" t="s">
        <v>3296</v>
      </c>
      <c r="B22770" t="s">
        <v>2931</v>
      </c>
      <c r="C22770">
        <v>18540</v>
      </c>
      <c r="D22770" t="str">
        <f t="shared" si="527"/>
        <v xml:space="preserve">12602020496 </v>
      </c>
      <c r="E22770" t="s">
        <v>309</v>
      </c>
      <c r="F22770" t="s">
        <v>310</v>
      </c>
      <c r="G22770">
        <v>6.78</v>
      </c>
      <c r="H22770">
        <v>251231</v>
      </c>
      <c r="I22770">
        <v>4369</v>
      </c>
      <c r="J22770" t="s">
        <v>188</v>
      </c>
      <c r="K22770">
        <v>54.38</v>
      </c>
      <c r="L22770">
        <v>1.38</v>
      </c>
      <c r="M22770">
        <v>11901</v>
      </c>
      <c r="N22770" t="s">
        <v>31</v>
      </c>
      <c r="O22770">
        <v>260115</v>
      </c>
      <c r="P22770">
        <v>5.4</v>
      </c>
    </row>
    <row r="22771" spans="1:16" x14ac:dyDescent="0.25">
      <c r="A22771" t="s">
        <v>3296</v>
      </c>
      <c r="B22771" t="s">
        <v>2931</v>
      </c>
      <c r="C22771">
        <v>18540</v>
      </c>
      <c r="D22771" t="str">
        <f t="shared" si="527"/>
        <v xml:space="preserve">12602020496 </v>
      </c>
      <c r="E22771" t="s">
        <v>309</v>
      </c>
      <c r="F22771" t="s">
        <v>310</v>
      </c>
      <c r="G22771">
        <v>8.06</v>
      </c>
      <c r="H22771">
        <v>251231</v>
      </c>
      <c r="I22771">
        <v>4369</v>
      </c>
      <c r="J22771" t="s">
        <v>188</v>
      </c>
      <c r="K22771">
        <v>54.38</v>
      </c>
      <c r="L22771">
        <v>0</v>
      </c>
      <c r="M22771">
        <v>11901</v>
      </c>
      <c r="N22771" t="s">
        <v>31</v>
      </c>
      <c r="O22771">
        <v>260115</v>
      </c>
      <c r="P22771">
        <v>8.06</v>
      </c>
    </row>
    <row r="22772" spans="1:16" x14ac:dyDescent="0.25">
      <c r="A22772" t="s">
        <v>3296</v>
      </c>
      <c r="B22772" t="s">
        <v>2931</v>
      </c>
      <c r="C22772">
        <v>18540</v>
      </c>
      <c r="D22772" t="str">
        <f t="shared" si="527"/>
        <v xml:space="preserve">12602020496 </v>
      </c>
      <c r="E22772" t="s">
        <v>309</v>
      </c>
      <c r="F22772" t="s">
        <v>310</v>
      </c>
      <c r="G22772">
        <v>13.18</v>
      </c>
      <c r="H22772">
        <v>251231</v>
      </c>
      <c r="I22772">
        <v>4369</v>
      </c>
      <c r="J22772" t="s">
        <v>188</v>
      </c>
      <c r="K22772">
        <v>54.38</v>
      </c>
      <c r="L22772">
        <v>2.68</v>
      </c>
      <c r="M22772">
        <v>11903</v>
      </c>
      <c r="N22772" t="s">
        <v>32</v>
      </c>
      <c r="O22772">
        <v>260115</v>
      </c>
      <c r="P22772">
        <v>10.5</v>
      </c>
    </row>
    <row r="22773" spans="1:16" x14ac:dyDescent="0.25">
      <c r="A22773" t="s">
        <v>3296</v>
      </c>
      <c r="B22773" t="s">
        <v>2931</v>
      </c>
      <c r="C22773">
        <v>18540</v>
      </c>
      <c r="D22773" t="str">
        <f t="shared" si="527"/>
        <v xml:space="preserve">12602020496 </v>
      </c>
      <c r="E22773" t="s">
        <v>309</v>
      </c>
      <c r="F22773" t="s">
        <v>310</v>
      </c>
      <c r="G22773">
        <v>3.39</v>
      </c>
      <c r="H22773">
        <v>251231</v>
      </c>
      <c r="I22773">
        <v>4369</v>
      </c>
      <c r="J22773" t="s">
        <v>188</v>
      </c>
      <c r="K22773">
        <v>54.38</v>
      </c>
      <c r="L22773">
        <v>0.69</v>
      </c>
      <c r="M22773">
        <v>11903</v>
      </c>
      <c r="N22773" t="s">
        <v>32</v>
      </c>
      <c r="O22773">
        <v>260115</v>
      </c>
      <c r="P22773">
        <v>2.7</v>
      </c>
    </row>
    <row r="22774" spans="1:16" x14ac:dyDescent="0.25">
      <c r="A22774" t="s">
        <v>3296</v>
      </c>
      <c r="B22774" t="s">
        <v>2931</v>
      </c>
      <c r="C22774">
        <v>18540</v>
      </c>
      <c r="D22774" t="str">
        <f t="shared" si="527"/>
        <v xml:space="preserve">12602020496 </v>
      </c>
      <c r="E22774" t="s">
        <v>309</v>
      </c>
      <c r="F22774" t="s">
        <v>310</v>
      </c>
      <c r="G22774">
        <v>3.39</v>
      </c>
      <c r="H22774">
        <v>251231</v>
      </c>
      <c r="I22774">
        <v>4369</v>
      </c>
      <c r="J22774" t="s">
        <v>188</v>
      </c>
      <c r="K22774">
        <v>54.38</v>
      </c>
      <c r="L22774">
        <v>0.69</v>
      </c>
      <c r="M22774">
        <v>11903</v>
      </c>
      <c r="N22774" t="s">
        <v>32</v>
      </c>
      <c r="O22774">
        <v>260115</v>
      </c>
      <c r="P22774">
        <v>2.7</v>
      </c>
    </row>
    <row r="22775" spans="1:16" x14ac:dyDescent="0.25">
      <c r="A22775" t="s">
        <v>3296</v>
      </c>
      <c r="B22775" t="s">
        <v>2931</v>
      </c>
      <c r="C22775">
        <v>18540</v>
      </c>
      <c r="D22775" t="str">
        <f t="shared" si="527"/>
        <v xml:space="preserve">12602020496 </v>
      </c>
      <c r="E22775" t="s">
        <v>309</v>
      </c>
      <c r="F22775" t="s">
        <v>310</v>
      </c>
      <c r="G22775">
        <v>3.39</v>
      </c>
      <c r="H22775">
        <v>251231</v>
      </c>
      <c r="I22775">
        <v>4369</v>
      </c>
      <c r="J22775" t="s">
        <v>188</v>
      </c>
      <c r="K22775">
        <v>54.38</v>
      </c>
      <c r="L22775">
        <v>0.69</v>
      </c>
      <c r="M22775">
        <v>11905</v>
      </c>
      <c r="N22775" t="s">
        <v>643</v>
      </c>
      <c r="O22775">
        <v>260115</v>
      </c>
      <c r="P22775">
        <v>2.7</v>
      </c>
    </row>
    <row r="22776" spans="1:16" x14ac:dyDescent="0.25">
      <c r="A22776" t="s">
        <v>3296</v>
      </c>
      <c r="B22776" t="s">
        <v>2931</v>
      </c>
      <c r="C22776">
        <v>18540</v>
      </c>
      <c r="D22776" t="str">
        <f t="shared" si="527"/>
        <v xml:space="preserve">12602020496 </v>
      </c>
      <c r="E22776" t="s">
        <v>309</v>
      </c>
      <c r="F22776" t="s">
        <v>310</v>
      </c>
      <c r="G22776">
        <v>9.41</v>
      </c>
      <c r="H22776">
        <v>251231</v>
      </c>
      <c r="I22776">
        <v>4369</v>
      </c>
      <c r="J22776" t="s">
        <v>188</v>
      </c>
      <c r="K22776">
        <v>54.38</v>
      </c>
      <c r="L22776">
        <v>1.91</v>
      </c>
      <c r="M22776">
        <v>12500</v>
      </c>
      <c r="N22776" t="s">
        <v>1502</v>
      </c>
      <c r="O22776">
        <v>260115</v>
      </c>
      <c r="P22776">
        <v>7.5</v>
      </c>
    </row>
    <row r="22777" spans="1:16" x14ac:dyDescent="0.25">
      <c r="A22777" t="s">
        <v>3296</v>
      </c>
      <c r="B22777" t="s">
        <v>2931</v>
      </c>
      <c r="C22777">
        <v>18545</v>
      </c>
      <c r="D22777" t="str">
        <f>"105671269   "</f>
        <v xml:space="preserve">105671269   </v>
      </c>
      <c r="E22777" t="s">
        <v>309</v>
      </c>
      <c r="F22777" t="s">
        <v>310</v>
      </c>
      <c r="G22777">
        <v>26.36</v>
      </c>
      <c r="H22777">
        <v>251231</v>
      </c>
      <c r="I22777">
        <v>4369</v>
      </c>
      <c r="J22777" t="s">
        <v>188</v>
      </c>
      <c r="K22777">
        <v>26.36</v>
      </c>
      <c r="L22777">
        <v>5.36</v>
      </c>
      <c r="M22777">
        <v>11801</v>
      </c>
      <c r="N22777" t="s">
        <v>40</v>
      </c>
      <c r="O22777">
        <v>260115</v>
      </c>
      <c r="P22777">
        <v>21</v>
      </c>
    </row>
    <row r="22778" spans="1:16" x14ac:dyDescent="0.25">
      <c r="A22778" t="s">
        <v>3296</v>
      </c>
      <c r="B22778" t="s">
        <v>2931</v>
      </c>
      <c r="C22778">
        <v>18563</v>
      </c>
      <c r="D22778" t="str">
        <f>"105661757   "</f>
        <v xml:space="preserve">105661757   </v>
      </c>
      <c r="E22778" t="s">
        <v>309</v>
      </c>
      <c r="F22778" t="s">
        <v>310</v>
      </c>
      <c r="G22778">
        <v>87.85</v>
      </c>
      <c r="H22778">
        <v>251231</v>
      </c>
      <c r="I22778">
        <v>4369</v>
      </c>
      <c r="J22778" t="s">
        <v>188</v>
      </c>
      <c r="K22778">
        <v>87.85</v>
      </c>
      <c r="L22778">
        <v>17.850000000000001</v>
      </c>
      <c r="M22778">
        <v>18972</v>
      </c>
      <c r="N22778" t="s">
        <v>39</v>
      </c>
      <c r="O22778">
        <v>260116</v>
      </c>
      <c r="P22778">
        <v>70</v>
      </c>
    </row>
    <row r="22779" spans="1:16" x14ac:dyDescent="0.25">
      <c r="A22779" t="s">
        <v>3296</v>
      </c>
      <c r="B22779" t="s">
        <v>2931</v>
      </c>
      <c r="C22779">
        <v>18583</v>
      </c>
      <c r="D22779" t="str">
        <f t="shared" ref="D22779:D22786" si="528">"12602020490 "</f>
        <v xml:space="preserve">12602020490 </v>
      </c>
      <c r="E22779" t="s">
        <v>309</v>
      </c>
      <c r="F22779" t="s">
        <v>310</v>
      </c>
      <c r="G22779">
        <v>6.69</v>
      </c>
      <c r="H22779">
        <v>251231</v>
      </c>
      <c r="I22779">
        <v>4369</v>
      </c>
      <c r="J22779" t="s">
        <v>188</v>
      </c>
      <c r="K22779">
        <v>97.9</v>
      </c>
      <c r="L22779">
        <v>1.36</v>
      </c>
      <c r="M22779">
        <v>14971</v>
      </c>
      <c r="N22779" t="s">
        <v>81</v>
      </c>
      <c r="O22779">
        <v>260116</v>
      </c>
      <c r="P22779">
        <v>5.33</v>
      </c>
    </row>
    <row r="22780" spans="1:16" x14ac:dyDescent="0.25">
      <c r="A22780" t="s">
        <v>3296</v>
      </c>
      <c r="B22780" t="s">
        <v>2931</v>
      </c>
      <c r="C22780">
        <v>18583</v>
      </c>
      <c r="D22780" t="str">
        <f t="shared" si="528"/>
        <v xml:space="preserve">12602020490 </v>
      </c>
      <c r="E22780" t="s">
        <v>309</v>
      </c>
      <c r="F22780" t="s">
        <v>310</v>
      </c>
      <c r="G22780">
        <v>6.59</v>
      </c>
      <c r="H22780">
        <v>251231</v>
      </c>
      <c r="I22780">
        <v>4369</v>
      </c>
      <c r="J22780" t="s">
        <v>188</v>
      </c>
      <c r="K22780">
        <v>97.9</v>
      </c>
      <c r="L22780">
        <v>1.34</v>
      </c>
      <c r="M22780">
        <v>17972</v>
      </c>
      <c r="N22780" t="s">
        <v>28</v>
      </c>
      <c r="O22780">
        <v>260116</v>
      </c>
      <c r="P22780">
        <v>5.25</v>
      </c>
    </row>
    <row r="22781" spans="1:16" x14ac:dyDescent="0.25">
      <c r="A22781" t="s">
        <v>3296</v>
      </c>
      <c r="B22781" t="s">
        <v>2931</v>
      </c>
      <c r="C22781">
        <v>18583</v>
      </c>
      <c r="D22781" t="str">
        <f t="shared" si="528"/>
        <v xml:space="preserve">12602020490 </v>
      </c>
      <c r="E22781" t="s">
        <v>309</v>
      </c>
      <c r="F22781" t="s">
        <v>310</v>
      </c>
      <c r="G22781">
        <v>31.12</v>
      </c>
      <c r="H22781">
        <v>251231</v>
      </c>
      <c r="I22781">
        <v>4369</v>
      </c>
      <c r="J22781" t="s">
        <v>188</v>
      </c>
      <c r="K22781">
        <v>97.9</v>
      </c>
      <c r="L22781">
        <v>6.32</v>
      </c>
      <c r="M22781">
        <v>18010</v>
      </c>
      <c r="N22781" t="s">
        <v>36</v>
      </c>
      <c r="O22781">
        <v>260116</v>
      </c>
      <c r="P22781">
        <v>24.8</v>
      </c>
    </row>
    <row r="22782" spans="1:16" x14ac:dyDescent="0.25">
      <c r="A22782" t="s">
        <v>3296</v>
      </c>
      <c r="B22782" t="s">
        <v>2931</v>
      </c>
      <c r="C22782">
        <v>18583</v>
      </c>
      <c r="D22782" t="str">
        <f t="shared" si="528"/>
        <v xml:space="preserve">12602020490 </v>
      </c>
      <c r="E22782" t="s">
        <v>309</v>
      </c>
      <c r="F22782" t="s">
        <v>310</v>
      </c>
      <c r="G22782">
        <v>3.39</v>
      </c>
      <c r="H22782">
        <v>251231</v>
      </c>
      <c r="I22782">
        <v>4369</v>
      </c>
      <c r="J22782" t="s">
        <v>188</v>
      </c>
      <c r="K22782">
        <v>97.9</v>
      </c>
      <c r="L22782">
        <v>0.69</v>
      </c>
      <c r="M22782">
        <v>18120</v>
      </c>
      <c r="N22782" t="s">
        <v>37</v>
      </c>
      <c r="O22782">
        <v>260116</v>
      </c>
      <c r="P22782">
        <v>2.7</v>
      </c>
    </row>
    <row r="22783" spans="1:16" x14ac:dyDescent="0.25">
      <c r="A22783" t="s">
        <v>3296</v>
      </c>
      <c r="B22783" t="s">
        <v>2931</v>
      </c>
      <c r="C22783">
        <v>18583</v>
      </c>
      <c r="D22783" t="str">
        <f t="shared" si="528"/>
        <v xml:space="preserve">12602020490 </v>
      </c>
      <c r="E22783" t="s">
        <v>309</v>
      </c>
      <c r="F22783" t="s">
        <v>310</v>
      </c>
      <c r="G22783">
        <v>6.4</v>
      </c>
      <c r="H22783">
        <v>251231</v>
      </c>
      <c r="I22783">
        <v>4369</v>
      </c>
      <c r="J22783" t="s">
        <v>188</v>
      </c>
      <c r="K22783">
        <v>97.9</v>
      </c>
      <c r="L22783">
        <v>1.3</v>
      </c>
      <c r="M22783">
        <v>18971</v>
      </c>
      <c r="N22783" t="s">
        <v>38</v>
      </c>
      <c r="O22783">
        <v>260116</v>
      </c>
      <c r="P22783">
        <v>5.0999999999999996</v>
      </c>
    </row>
    <row r="22784" spans="1:16" x14ac:dyDescent="0.25">
      <c r="A22784" t="s">
        <v>3296</v>
      </c>
      <c r="B22784" t="s">
        <v>2931</v>
      </c>
      <c r="C22784">
        <v>18583</v>
      </c>
      <c r="D22784" t="str">
        <f t="shared" si="528"/>
        <v xml:space="preserve">12602020490 </v>
      </c>
      <c r="E22784" t="s">
        <v>309</v>
      </c>
      <c r="F22784" t="s">
        <v>310</v>
      </c>
      <c r="G22784">
        <v>33.69</v>
      </c>
      <c r="H22784">
        <v>251231</v>
      </c>
      <c r="I22784">
        <v>4369</v>
      </c>
      <c r="J22784" t="s">
        <v>188</v>
      </c>
      <c r="K22784">
        <v>97.9</v>
      </c>
      <c r="L22784">
        <v>6.85</v>
      </c>
      <c r="M22784">
        <v>18972</v>
      </c>
      <c r="N22784" t="s">
        <v>39</v>
      </c>
      <c r="O22784">
        <v>260116</v>
      </c>
      <c r="P22784">
        <v>26.84</v>
      </c>
    </row>
    <row r="22785" spans="1:16" x14ac:dyDescent="0.25">
      <c r="A22785" t="s">
        <v>3296</v>
      </c>
      <c r="B22785" t="s">
        <v>2931</v>
      </c>
      <c r="C22785">
        <v>18583</v>
      </c>
      <c r="D22785" t="str">
        <f t="shared" si="528"/>
        <v xml:space="preserve">12602020490 </v>
      </c>
      <c r="E22785" t="s">
        <v>309</v>
      </c>
      <c r="F22785" t="s">
        <v>310</v>
      </c>
      <c r="G22785">
        <v>3.43</v>
      </c>
      <c r="H22785">
        <v>251231</v>
      </c>
      <c r="I22785">
        <v>4369</v>
      </c>
      <c r="J22785" t="s">
        <v>188</v>
      </c>
      <c r="K22785">
        <v>97.9</v>
      </c>
      <c r="L22785">
        <v>0.7</v>
      </c>
      <c r="M22785">
        <v>49702</v>
      </c>
      <c r="N22785" t="s">
        <v>112</v>
      </c>
      <c r="O22785">
        <v>260116</v>
      </c>
      <c r="P22785">
        <v>2.73</v>
      </c>
    </row>
    <row r="22786" spans="1:16" x14ac:dyDescent="0.25">
      <c r="A22786" t="s">
        <v>3296</v>
      </c>
      <c r="B22786" t="s">
        <v>2931</v>
      </c>
      <c r="C22786">
        <v>18583</v>
      </c>
      <c r="D22786" t="str">
        <f t="shared" si="528"/>
        <v xml:space="preserve">12602020490 </v>
      </c>
      <c r="E22786" t="s">
        <v>309</v>
      </c>
      <c r="F22786" t="s">
        <v>310</v>
      </c>
      <c r="G22786">
        <v>6.59</v>
      </c>
      <c r="H22786">
        <v>251231</v>
      </c>
      <c r="I22786">
        <v>4369</v>
      </c>
      <c r="J22786" t="s">
        <v>188</v>
      </c>
      <c r="K22786">
        <v>97.9</v>
      </c>
      <c r="L22786">
        <v>1.34</v>
      </c>
      <c r="M22786">
        <v>59702</v>
      </c>
      <c r="N22786" t="s">
        <v>45</v>
      </c>
      <c r="O22786">
        <v>260116</v>
      </c>
      <c r="P22786">
        <v>5.25</v>
      </c>
    </row>
    <row r="22787" spans="1:16" x14ac:dyDescent="0.25">
      <c r="A22787" t="s">
        <v>3296</v>
      </c>
      <c r="B22787" t="s">
        <v>2931</v>
      </c>
      <c r="C22787">
        <v>18584</v>
      </c>
      <c r="D22787" t="str">
        <f t="shared" ref="D22787:D22806" si="529">"12602020525 "</f>
        <v xml:space="preserve">12602020525 </v>
      </c>
      <c r="E22787" t="s">
        <v>309</v>
      </c>
      <c r="F22787" t="s">
        <v>310</v>
      </c>
      <c r="G22787">
        <v>20.56</v>
      </c>
      <c r="H22787">
        <v>251231</v>
      </c>
      <c r="I22787">
        <v>4369</v>
      </c>
      <c r="J22787" t="s">
        <v>188</v>
      </c>
      <c r="K22787">
        <v>217.78</v>
      </c>
      <c r="L22787">
        <v>4.18</v>
      </c>
      <c r="M22787">
        <v>11601</v>
      </c>
      <c r="N22787" t="s">
        <v>12</v>
      </c>
      <c r="O22787">
        <v>260116</v>
      </c>
      <c r="P22787">
        <v>16.38</v>
      </c>
    </row>
    <row r="22788" spans="1:16" x14ac:dyDescent="0.25">
      <c r="A22788" t="s">
        <v>3296</v>
      </c>
      <c r="B22788" t="s">
        <v>2931</v>
      </c>
      <c r="C22788">
        <v>18584</v>
      </c>
      <c r="D22788" t="str">
        <f t="shared" si="529"/>
        <v xml:space="preserve">12602020525 </v>
      </c>
      <c r="E22788" t="s">
        <v>309</v>
      </c>
      <c r="F22788" t="s">
        <v>310</v>
      </c>
      <c r="G22788">
        <v>3.2</v>
      </c>
      <c r="H22788">
        <v>251231</v>
      </c>
      <c r="I22788">
        <v>4369</v>
      </c>
      <c r="J22788" t="s">
        <v>188</v>
      </c>
      <c r="K22788">
        <v>217.78</v>
      </c>
      <c r="L22788">
        <v>0.65</v>
      </c>
      <c r="M22788">
        <v>11603</v>
      </c>
      <c r="N22788" t="s">
        <v>897</v>
      </c>
      <c r="O22788">
        <v>260116</v>
      </c>
      <c r="P22788">
        <v>2.5499999999999998</v>
      </c>
    </row>
    <row r="22789" spans="1:16" x14ac:dyDescent="0.25">
      <c r="A22789" t="s">
        <v>3296</v>
      </c>
      <c r="B22789" t="s">
        <v>2931</v>
      </c>
      <c r="C22789">
        <v>18584</v>
      </c>
      <c r="D22789" t="str">
        <f t="shared" si="529"/>
        <v xml:space="preserve">12602020525 </v>
      </c>
      <c r="E22789" t="s">
        <v>309</v>
      </c>
      <c r="F22789" t="s">
        <v>310</v>
      </c>
      <c r="G22789">
        <v>17.329999999999998</v>
      </c>
      <c r="H22789">
        <v>251231</v>
      </c>
      <c r="I22789">
        <v>4369</v>
      </c>
      <c r="J22789" t="s">
        <v>188</v>
      </c>
      <c r="K22789">
        <v>217.78</v>
      </c>
      <c r="L22789">
        <v>3.52</v>
      </c>
      <c r="M22789">
        <v>14121</v>
      </c>
      <c r="N22789" t="s">
        <v>71</v>
      </c>
      <c r="O22789">
        <v>260116</v>
      </c>
      <c r="P22789">
        <v>13.81</v>
      </c>
    </row>
    <row r="22790" spans="1:16" x14ac:dyDescent="0.25">
      <c r="A22790" t="s">
        <v>3296</v>
      </c>
      <c r="B22790" t="s">
        <v>2931</v>
      </c>
      <c r="C22790">
        <v>18584</v>
      </c>
      <c r="D22790" t="str">
        <f t="shared" si="529"/>
        <v xml:space="preserve">12602020525 </v>
      </c>
      <c r="E22790" t="s">
        <v>309</v>
      </c>
      <c r="F22790" t="s">
        <v>310</v>
      </c>
      <c r="G22790">
        <v>16.940000000000001</v>
      </c>
      <c r="H22790">
        <v>251231</v>
      </c>
      <c r="I22790">
        <v>4369</v>
      </c>
      <c r="J22790" t="s">
        <v>188</v>
      </c>
      <c r="K22790">
        <v>217.78</v>
      </c>
      <c r="L22790">
        <v>3.44</v>
      </c>
      <c r="M22790">
        <v>14321</v>
      </c>
      <c r="N22790" t="s">
        <v>72</v>
      </c>
      <c r="O22790">
        <v>260116</v>
      </c>
      <c r="P22790">
        <v>13.5</v>
      </c>
    </row>
    <row r="22791" spans="1:16" x14ac:dyDescent="0.25">
      <c r="A22791" t="s">
        <v>3296</v>
      </c>
      <c r="B22791" t="s">
        <v>2931</v>
      </c>
      <c r="C22791">
        <v>18584</v>
      </c>
      <c r="D22791" t="str">
        <f t="shared" si="529"/>
        <v xml:space="preserve">12602020525 </v>
      </c>
      <c r="E22791" t="s">
        <v>309</v>
      </c>
      <c r="F22791" t="s">
        <v>310</v>
      </c>
      <c r="G22791">
        <v>13.78</v>
      </c>
      <c r="H22791">
        <v>251231</v>
      </c>
      <c r="I22791">
        <v>4369</v>
      </c>
      <c r="J22791" t="s">
        <v>188</v>
      </c>
      <c r="K22791">
        <v>217.78</v>
      </c>
      <c r="L22791">
        <v>2.8</v>
      </c>
      <c r="M22791">
        <v>14422</v>
      </c>
      <c r="N22791" t="s">
        <v>73</v>
      </c>
      <c r="O22791">
        <v>260116</v>
      </c>
      <c r="P22791">
        <v>10.98</v>
      </c>
    </row>
    <row r="22792" spans="1:16" x14ac:dyDescent="0.25">
      <c r="A22792" t="s">
        <v>3296</v>
      </c>
      <c r="B22792" t="s">
        <v>2931</v>
      </c>
      <c r="C22792">
        <v>18584</v>
      </c>
      <c r="D22792" t="str">
        <f t="shared" si="529"/>
        <v xml:space="preserve">12602020525 </v>
      </c>
      <c r="E22792" t="s">
        <v>309</v>
      </c>
      <c r="F22792" t="s">
        <v>310</v>
      </c>
      <c r="G22792">
        <v>10.17</v>
      </c>
      <c r="H22792">
        <v>251231</v>
      </c>
      <c r="I22792">
        <v>4369</v>
      </c>
      <c r="J22792" t="s">
        <v>188</v>
      </c>
      <c r="K22792">
        <v>217.78</v>
      </c>
      <c r="L22792">
        <v>2.0699999999999998</v>
      </c>
      <c r="M22792">
        <v>14431</v>
      </c>
      <c r="N22792" t="s">
        <v>74</v>
      </c>
      <c r="O22792">
        <v>260116</v>
      </c>
      <c r="P22792">
        <v>8.1</v>
      </c>
    </row>
    <row r="22793" spans="1:16" x14ac:dyDescent="0.25">
      <c r="A22793" t="s">
        <v>3296</v>
      </c>
      <c r="B22793" t="s">
        <v>2931</v>
      </c>
      <c r="C22793">
        <v>18584</v>
      </c>
      <c r="D22793" t="str">
        <f t="shared" si="529"/>
        <v xml:space="preserve">12602020525 </v>
      </c>
      <c r="E22793" t="s">
        <v>309</v>
      </c>
      <c r="F22793" t="s">
        <v>310</v>
      </c>
      <c r="G22793">
        <v>13.37</v>
      </c>
      <c r="H22793">
        <v>251231</v>
      </c>
      <c r="I22793">
        <v>4369</v>
      </c>
      <c r="J22793" t="s">
        <v>188</v>
      </c>
      <c r="K22793">
        <v>217.78</v>
      </c>
      <c r="L22793">
        <v>2.72</v>
      </c>
      <c r="M22793">
        <v>14432</v>
      </c>
      <c r="N22793" t="s">
        <v>75</v>
      </c>
      <c r="O22793">
        <v>260116</v>
      </c>
      <c r="P22793">
        <v>10.65</v>
      </c>
    </row>
    <row r="22794" spans="1:16" x14ac:dyDescent="0.25">
      <c r="A22794" t="s">
        <v>3296</v>
      </c>
      <c r="B22794" t="s">
        <v>2931</v>
      </c>
      <c r="C22794">
        <v>18584</v>
      </c>
      <c r="D22794" t="str">
        <f t="shared" si="529"/>
        <v xml:space="preserve">12602020525 </v>
      </c>
      <c r="E22794" t="s">
        <v>309</v>
      </c>
      <c r="F22794" t="s">
        <v>310</v>
      </c>
      <c r="G22794">
        <v>10.17</v>
      </c>
      <c r="H22794">
        <v>251231</v>
      </c>
      <c r="I22794">
        <v>4369</v>
      </c>
      <c r="J22794" t="s">
        <v>188</v>
      </c>
      <c r="K22794">
        <v>217.78</v>
      </c>
      <c r="L22794">
        <v>2.0699999999999998</v>
      </c>
      <c r="M22794">
        <v>14541</v>
      </c>
      <c r="N22794" t="s">
        <v>76</v>
      </c>
      <c r="O22794">
        <v>260116</v>
      </c>
      <c r="P22794">
        <v>8.1</v>
      </c>
    </row>
    <row r="22795" spans="1:16" x14ac:dyDescent="0.25">
      <c r="A22795" t="s">
        <v>3296</v>
      </c>
      <c r="B22795" t="s">
        <v>2931</v>
      </c>
      <c r="C22795">
        <v>18584</v>
      </c>
      <c r="D22795" t="str">
        <f t="shared" si="529"/>
        <v xml:space="preserve">12602020525 </v>
      </c>
      <c r="E22795" t="s">
        <v>309</v>
      </c>
      <c r="F22795" t="s">
        <v>310</v>
      </c>
      <c r="G22795">
        <v>43.11</v>
      </c>
      <c r="H22795">
        <v>251231</v>
      </c>
      <c r="I22795">
        <v>4369</v>
      </c>
      <c r="J22795" t="s">
        <v>188</v>
      </c>
      <c r="K22795">
        <v>217.78</v>
      </c>
      <c r="L22795">
        <v>8.76</v>
      </c>
      <c r="M22795">
        <v>14622</v>
      </c>
      <c r="N22795" t="s">
        <v>77</v>
      </c>
      <c r="O22795">
        <v>260116</v>
      </c>
      <c r="P22795">
        <v>34.35</v>
      </c>
    </row>
    <row r="22796" spans="1:16" x14ac:dyDescent="0.25">
      <c r="A22796" t="s">
        <v>3296</v>
      </c>
      <c r="B22796" t="s">
        <v>2931</v>
      </c>
      <c r="C22796">
        <v>18584</v>
      </c>
      <c r="D22796" t="str">
        <f t="shared" si="529"/>
        <v xml:space="preserve">12602020525 </v>
      </c>
      <c r="E22796" t="s">
        <v>309</v>
      </c>
      <c r="F22796" t="s">
        <v>310</v>
      </c>
      <c r="G22796">
        <v>6.89</v>
      </c>
      <c r="H22796">
        <v>251231</v>
      </c>
      <c r="I22796">
        <v>4369</v>
      </c>
      <c r="J22796" t="s">
        <v>188</v>
      </c>
      <c r="K22796">
        <v>217.78</v>
      </c>
      <c r="L22796">
        <v>1.4</v>
      </c>
      <c r="M22796">
        <v>14640</v>
      </c>
      <c r="N22796" t="s">
        <v>78</v>
      </c>
      <c r="O22796">
        <v>260116</v>
      </c>
      <c r="P22796">
        <v>5.49</v>
      </c>
    </row>
    <row r="22797" spans="1:16" x14ac:dyDescent="0.25">
      <c r="A22797" t="s">
        <v>3296</v>
      </c>
      <c r="B22797" t="s">
        <v>2931</v>
      </c>
      <c r="C22797">
        <v>18584</v>
      </c>
      <c r="D22797" t="str">
        <f t="shared" si="529"/>
        <v xml:space="preserve">12602020525 </v>
      </c>
      <c r="E22797" t="s">
        <v>309</v>
      </c>
      <c r="F22797" t="s">
        <v>310</v>
      </c>
      <c r="G22797">
        <v>3.39</v>
      </c>
      <c r="H22797">
        <v>251231</v>
      </c>
      <c r="I22797">
        <v>4369</v>
      </c>
      <c r="J22797" t="s">
        <v>188</v>
      </c>
      <c r="K22797">
        <v>217.78</v>
      </c>
      <c r="L22797">
        <v>0.69</v>
      </c>
      <c r="M22797">
        <v>14861</v>
      </c>
      <c r="N22797" t="s">
        <v>79</v>
      </c>
      <c r="O22797">
        <v>260116</v>
      </c>
      <c r="P22797">
        <v>2.7</v>
      </c>
    </row>
    <row r="22798" spans="1:16" x14ac:dyDescent="0.25">
      <c r="A22798" t="s">
        <v>3296</v>
      </c>
      <c r="B22798" t="s">
        <v>2931</v>
      </c>
      <c r="C22798">
        <v>18584</v>
      </c>
      <c r="D22798" t="str">
        <f t="shared" si="529"/>
        <v xml:space="preserve">12602020525 </v>
      </c>
      <c r="E22798" t="s">
        <v>309</v>
      </c>
      <c r="F22798" t="s">
        <v>310</v>
      </c>
      <c r="G22798">
        <v>6.86</v>
      </c>
      <c r="H22798">
        <v>251231</v>
      </c>
      <c r="I22798">
        <v>4369</v>
      </c>
      <c r="J22798" t="s">
        <v>188</v>
      </c>
      <c r="K22798">
        <v>217.78</v>
      </c>
      <c r="L22798">
        <v>1.39</v>
      </c>
      <c r="M22798">
        <v>14912</v>
      </c>
      <c r="N22798" t="s">
        <v>80</v>
      </c>
      <c r="O22798">
        <v>260116</v>
      </c>
      <c r="P22798">
        <v>5.47</v>
      </c>
    </row>
    <row r="22799" spans="1:16" x14ac:dyDescent="0.25">
      <c r="A22799" t="s">
        <v>3296</v>
      </c>
      <c r="B22799" t="s">
        <v>2931</v>
      </c>
      <c r="C22799">
        <v>18584</v>
      </c>
      <c r="D22799" t="str">
        <f t="shared" si="529"/>
        <v xml:space="preserve">12602020525 </v>
      </c>
      <c r="E22799" t="s">
        <v>309</v>
      </c>
      <c r="F22799" t="s">
        <v>310</v>
      </c>
      <c r="G22799">
        <v>3.39</v>
      </c>
      <c r="H22799">
        <v>251231</v>
      </c>
      <c r="I22799">
        <v>4369</v>
      </c>
      <c r="J22799" t="s">
        <v>188</v>
      </c>
      <c r="K22799">
        <v>217.78</v>
      </c>
      <c r="L22799">
        <v>0.69</v>
      </c>
      <c r="M22799">
        <v>14971</v>
      </c>
      <c r="N22799" t="s">
        <v>81</v>
      </c>
      <c r="O22799">
        <v>260116</v>
      </c>
      <c r="P22799">
        <v>2.7</v>
      </c>
    </row>
    <row r="22800" spans="1:16" x14ac:dyDescent="0.25">
      <c r="A22800" t="s">
        <v>3296</v>
      </c>
      <c r="B22800" t="s">
        <v>2931</v>
      </c>
      <c r="C22800">
        <v>18584</v>
      </c>
      <c r="D22800" t="str">
        <f t="shared" si="529"/>
        <v xml:space="preserve">12602020525 </v>
      </c>
      <c r="E22800" t="s">
        <v>309</v>
      </c>
      <c r="F22800" t="s">
        <v>310</v>
      </c>
      <c r="G22800">
        <v>6.85</v>
      </c>
      <c r="H22800">
        <v>251231</v>
      </c>
      <c r="I22800">
        <v>4369</v>
      </c>
      <c r="J22800" t="s">
        <v>188</v>
      </c>
      <c r="K22800">
        <v>217.78</v>
      </c>
      <c r="L22800">
        <v>1.39</v>
      </c>
      <c r="M22800">
        <v>14972</v>
      </c>
      <c r="N22800" t="s">
        <v>82</v>
      </c>
      <c r="O22800">
        <v>260116</v>
      </c>
      <c r="P22800">
        <v>5.46</v>
      </c>
    </row>
    <row r="22801" spans="1:16" x14ac:dyDescent="0.25">
      <c r="A22801" t="s">
        <v>3296</v>
      </c>
      <c r="B22801" t="s">
        <v>2931</v>
      </c>
      <c r="C22801">
        <v>18584</v>
      </c>
      <c r="D22801" t="str">
        <f t="shared" si="529"/>
        <v xml:space="preserve">12602020525 </v>
      </c>
      <c r="E22801" t="s">
        <v>309</v>
      </c>
      <c r="F22801" t="s">
        <v>310</v>
      </c>
      <c r="G22801">
        <v>3.39</v>
      </c>
      <c r="H22801">
        <v>251231</v>
      </c>
      <c r="I22801">
        <v>4369</v>
      </c>
      <c r="J22801" t="s">
        <v>188</v>
      </c>
      <c r="K22801">
        <v>217.78</v>
      </c>
      <c r="L22801">
        <v>0.69</v>
      </c>
      <c r="M22801">
        <v>14974</v>
      </c>
      <c r="N22801" t="s">
        <v>83</v>
      </c>
      <c r="O22801">
        <v>260116</v>
      </c>
      <c r="P22801">
        <v>2.7</v>
      </c>
    </row>
    <row r="22802" spans="1:16" x14ac:dyDescent="0.25">
      <c r="A22802" t="s">
        <v>3296</v>
      </c>
      <c r="B22802" t="s">
        <v>2931</v>
      </c>
      <c r="C22802">
        <v>18584</v>
      </c>
      <c r="D22802" t="str">
        <f t="shared" si="529"/>
        <v xml:space="preserve">12602020525 </v>
      </c>
      <c r="E22802" t="s">
        <v>309</v>
      </c>
      <c r="F22802" t="s">
        <v>310</v>
      </c>
      <c r="G22802">
        <v>10.17</v>
      </c>
      <c r="H22802">
        <v>251231</v>
      </c>
      <c r="I22802">
        <v>4369</v>
      </c>
      <c r="J22802" t="s">
        <v>188</v>
      </c>
      <c r="K22802">
        <v>217.78</v>
      </c>
      <c r="L22802">
        <v>2.0699999999999998</v>
      </c>
      <c r="M22802">
        <v>14975</v>
      </c>
      <c r="N22802" t="s">
        <v>84</v>
      </c>
      <c r="O22802">
        <v>260116</v>
      </c>
      <c r="P22802">
        <v>8.1</v>
      </c>
    </row>
    <row r="22803" spans="1:16" x14ac:dyDescent="0.25">
      <c r="A22803" t="s">
        <v>3296</v>
      </c>
      <c r="B22803" t="s">
        <v>2931</v>
      </c>
      <c r="C22803">
        <v>18584</v>
      </c>
      <c r="D22803" t="str">
        <f t="shared" si="529"/>
        <v xml:space="preserve">12602020525 </v>
      </c>
      <c r="E22803" t="s">
        <v>309</v>
      </c>
      <c r="F22803" t="s">
        <v>310</v>
      </c>
      <c r="G22803">
        <v>11.28</v>
      </c>
      <c r="H22803">
        <v>251231</v>
      </c>
      <c r="I22803">
        <v>4369</v>
      </c>
      <c r="J22803" t="s">
        <v>188</v>
      </c>
      <c r="K22803">
        <v>217.78</v>
      </c>
      <c r="L22803">
        <v>2.29</v>
      </c>
      <c r="M22803">
        <v>14990</v>
      </c>
      <c r="N22803" t="s">
        <v>85</v>
      </c>
      <c r="O22803">
        <v>260116</v>
      </c>
      <c r="P22803">
        <v>8.99</v>
      </c>
    </row>
    <row r="22804" spans="1:16" x14ac:dyDescent="0.25">
      <c r="A22804" t="s">
        <v>3296</v>
      </c>
      <c r="B22804" t="s">
        <v>2931</v>
      </c>
      <c r="C22804">
        <v>18584</v>
      </c>
      <c r="D22804" t="str">
        <f t="shared" si="529"/>
        <v xml:space="preserve">12602020525 </v>
      </c>
      <c r="E22804" t="s">
        <v>309</v>
      </c>
      <c r="F22804" t="s">
        <v>310</v>
      </c>
      <c r="G22804">
        <v>3.39</v>
      </c>
      <c r="H22804">
        <v>251231</v>
      </c>
      <c r="I22804">
        <v>4369</v>
      </c>
      <c r="J22804" t="s">
        <v>188</v>
      </c>
      <c r="K22804">
        <v>217.78</v>
      </c>
      <c r="L22804">
        <v>0.69</v>
      </c>
      <c r="M22804">
        <v>14990</v>
      </c>
      <c r="N22804" t="s">
        <v>85</v>
      </c>
      <c r="O22804">
        <v>260116</v>
      </c>
      <c r="P22804">
        <v>2.7</v>
      </c>
    </row>
    <row r="22805" spans="1:16" x14ac:dyDescent="0.25">
      <c r="A22805" t="s">
        <v>3296</v>
      </c>
      <c r="B22805" t="s">
        <v>2931</v>
      </c>
      <c r="C22805">
        <v>18584</v>
      </c>
      <c r="D22805" t="str">
        <f t="shared" si="529"/>
        <v xml:space="preserve">12602020525 </v>
      </c>
      <c r="E22805" t="s">
        <v>309</v>
      </c>
      <c r="F22805" t="s">
        <v>310</v>
      </c>
      <c r="G22805">
        <v>3.37</v>
      </c>
      <c r="H22805">
        <v>251231</v>
      </c>
      <c r="I22805">
        <v>4369</v>
      </c>
      <c r="J22805" t="s">
        <v>188</v>
      </c>
      <c r="K22805">
        <v>217.78</v>
      </c>
      <c r="L22805">
        <v>0.68</v>
      </c>
      <c r="M22805">
        <v>18972</v>
      </c>
      <c r="N22805" t="s">
        <v>39</v>
      </c>
      <c r="O22805">
        <v>260116</v>
      </c>
      <c r="P22805">
        <v>2.69</v>
      </c>
    </row>
    <row r="22806" spans="1:16" x14ac:dyDescent="0.25">
      <c r="A22806" t="s">
        <v>3296</v>
      </c>
      <c r="B22806" t="s">
        <v>2931</v>
      </c>
      <c r="C22806">
        <v>18584</v>
      </c>
      <c r="D22806" t="str">
        <f t="shared" si="529"/>
        <v xml:space="preserve">12602020525 </v>
      </c>
      <c r="E22806" t="s">
        <v>309</v>
      </c>
      <c r="F22806" t="s">
        <v>310</v>
      </c>
      <c r="G22806">
        <v>10.17</v>
      </c>
      <c r="H22806">
        <v>251231</v>
      </c>
      <c r="I22806">
        <v>4369</v>
      </c>
      <c r="J22806" t="s">
        <v>188</v>
      </c>
      <c r="K22806">
        <v>217.78</v>
      </c>
      <c r="L22806">
        <v>2.0699999999999998</v>
      </c>
      <c r="M22806">
        <v>18972</v>
      </c>
      <c r="N22806" t="s">
        <v>39</v>
      </c>
      <c r="O22806">
        <v>260116</v>
      </c>
      <c r="P22806">
        <v>8.1</v>
      </c>
    </row>
    <row r="22807" spans="1:16" x14ac:dyDescent="0.25">
      <c r="A22807" t="s">
        <v>3296</v>
      </c>
      <c r="B22807" t="s">
        <v>2931</v>
      </c>
      <c r="C22807">
        <v>13977</v>
      </c>
      <c r="D22807" t="str">
        <f>"20194833    "</f>
        <v xml:space="preserve">20194833    </v>
      </c>
      <c r="E22807" t="s">
        <v>309</v>
      </c>
      <c r="F22807" t="s">
        <v>310</v>
      </c>
      <c r="G22807">
        <v>47.06</v>
      </c>
      <c r="H22807">
        <v>251002</v>
      </c>
      <c r="I22807">
        <v>4400</v>
      </c>
      <c r="J22807" t="s">
        <v>162</v>
      </c>
      <c r="K22807">
        <v>47.06</v>
      </c>
      <c r="L22807">
        <v>9.56</v>
      </c>
      <c r="M22807">
        <v>13601</v>
      </c>
      <c r="N22807" t="s">
        <v>115</v>
      </c>
      <c r="O22807">
        <v>251021</v>
      </c>
      <c r="P22807">
        <v>37.5</v>
      </c>
    </row>
    <row r="22808" spans="1:16" x14ac:dyDescent="0.25">
      <c r="A22808" t="s">
        <v>3296</v>
      </c>
      <c r="B22808" t="s">
        <v>2931</v>
      </c>
      <c r="C22808">
        <v>741</v>
      </c>
      <c r="D22808" t="str">
        <f>"20129096    "</f>
        <v xml:space="preserve">20129096    </v>
      </c>
      <c r="E22808" t="s">
        <v>309</v>
      </c>
      <c r="F22808" t="s">
        <v>310</v>
      </c>
      <c r="G22808">
        <v>29.25</v>
      </c>
      <c r="H22808">
        <v>250120</v>
      </c>
      <c r="I22808">
        <v>4500</v>
      </c>
      <c r="J22808" t="s">
        <v>312</v>
      </c>
      <c r="K22808">
        <v>29.25</v>
      </c>
      <c r="L22808">
        <v>5.94</v>
      </c>
      <c r="M22808">
        <v>13601</v>
      </c>
      <c r="N22808" t="s">
        <v>115</v>
      </c>
      <c r="O22808">
        <v>250128</v>
      </c>
      <c r="P22808">
        <v>23.31</v>
      </c>
    </row>
    <row r="22809" spans="1:16" x14ac:dyDescent="0.25">
      <c r="A22809" t="s">
        <v>3296</v>
      </c>
      <c r="B22809" t="s">
        <v>2931</v>
      </c>
      <c r="C22809">
        <v>1037</v>
      </c>
      <c r="D22809" t="str">
        <f>"20131447    "</f>
        <v xml:space="preserve">20131447    </v>
      </c>
      <c r="E22809" t="s">
        <v>309</v>
      </c>
      <c r="F22809" t="s">
        <v>310</v>
      </c>
      <c r="G22809">
        <v>71.03</v>
      </c>
      <c r="H22809">
        <v>250128</v>
      </c>
      <c r="I22809">
        <v>4500</v>
      </c>
      <c r="J22809" t="s">
        <v>312</v>
      </c>
      <c r="K22809">
        <v>71.03</v>
      </c>
      <c r="L22809">
        <v>14.43</v>
      </c>
      <c r="M22809">
        <v>13601</v>
      </c>
      <c r="N22809" t="s">
        <v>115</v>
      </c>
      <c r="O22809">
        <v>250203</v>
      </c>
      <c r="P22809">
        <v>56.6</v>
      </c>
    </row>
    <row r="22810" spans="1:16" x14ac:dyDescent="0.25">
      <c r="A22810" t="s">
        <v>3296</v>
      </c>
      <c r="B22810" t="s">
        <v>2931</v>
      </c>
      <c r="C22810">
        <v>5587</v>
      </c>
      <c r="D22810" t="str">
        <f>"20150458    "</f>
        <v xml:space="preserve">20150458    </v>
      </c>
      <c r="E22810" t="s">
        <v>309</v>
      </c>
      <c r="F22810" t="s">
        <v>310</v>
      </c>
      <c r="G22810">
        <v>33.28</v>
      </c>
      <c r="H22810">
        <v>250407</v>
      </c>
      <c r="I22810">
        <v>4500</v>
      </c>
      <c r="J22810" t="s">
        <v>312</v>
      </c>
      <c r="K22810">
        <v>225.46</v>
      </c>
      <c r="L22810">
        <v>6.76</v>
      </c>
      <c r="M22810">
        <v>14974</v>
      </c>
      <c r="N22810" t="s">
        <v>83</v>
      </c>
      <c r="O22810">
        <v>250425</v>
      </c>
      <c r="P22810">
        <v>26.52</v>
      </c>
    </row>
    <row r="22811" spans="1:16" x14ac:dyDescent="0.25">
      <c r="A22811" t="s">
        <v>3296</v>
      </c>
      <c r="B22811" t="s">
        <v>2931</v>
      </c>
      <c r="C22811">
        <v>5814</v>
      </c>
      <c r="D22811" t="str">
        <f>"20152104    "</f>
        <v xml:space="preserve">20152104    </v>
      </c>
      <c r="E22811" t="s">
        <v>309</v>
      </c>
      <c r="F22811" t="s">
        <v>310</v>
      </c>
      <c r="G22811">
        <v>21.96</v>
      </c>
      <c r="H22811">
        <v>250411</v>
      </c>
      <c r="I22811">
        <v>4500</v>
      </c>
      <c r="J22811" t="s">
        <v>312</v>
      </c>
      <c r="K22811">
        <v>21.96</v>
      </c>
      <c r="L22811">
        <v>4.46</v>
      </c>
      <c r="M22811">
        <v>14971</v>
      </c>
      <c r="N22811" t="s">
        <v>81</v>
      </c>
      <c r="O22811">
        <v>250505</v>
      </c>
      <c r="P22811">
        <v>17.5</v>
      </c>
    </row>
    <row r="22812" spans="1:16" x14ac:dyDescent="0.25">
      <c r="A22812" t="s">
        <v>3296</v>
      </c>
      <c r="B22812" t="s">
        <v>2931</v>
      </c>
      <c r="C22812">
        <v>8678</v>
      </c>
      <c r="D22812" t="str">
        <f>"20163951    "</f>
        <v xml:space="preserve">20163951    </v>
      </c>
      <c r="E22812" t="s">
        <v>309</v>
      </c>
      <c r="F22812" t="s">
        <v>310</v>
      </c>
      <c r="G22812">
        <v>57.42</v>
      </c>
      <c r="H22812">
        <v>250528</v>
      </c>
      <c r="I22812">
        <v>4500</v>
      </c>
      <c r="J22812" t="s">
        <v>312</v>
      </c>
      <c r="K22812">
        <v>57.42</v>
      </c>
      <c r="L22812">
        <v>11.67</v>
      </c>
      <c r="M22812">
        <v>14972</v>
      </c>
      <c r="N22812" t="s">
        <v>82</v>
      </c>
      <c r="O22812">
        <v>250617</v>
      </c>
      <c r="P22812">
        <v>45.75</v>
      </c>
    </row>
    <row r="22813" spans="1:16" x14ac:dyDescent="0.25">
      <c r="A22813" t="s">
        <v>3296</v>
      </c>
      <c r="B22813" t="s">
        <v>2931</v>
      </c>
      <c r="C22813">
        <v>8959</v>
      </c>
      <c r="D22813" t="str">
        <f>"20166671    "</f>
        <v xml:space="preserve">20166671    </v>
      </c>
      <c r="E22813" t="s">
        <v>309</v>
      </c>
      <c r="F22813" t="s">
        <v>310</v>
      </c>
      <c r="G22813">
        <v>54.6</v>
      </c>
      <c r="H22813">
        <v>250606</v>
      </c>
      <c r="I22813">
        <v>4500</v>
      </c>
      <c r="J22813" t="s">
        <v>312</v>
      </c>
      <c r="K22813">
        <v>54.6</v>
      </c>
      <c r="L22813">
        <v>11.09</v>
      </c>
      <c r="M22813">
        <v>14971</v>
      </c>
      <c r="N22813" t="s">
        <v>81</v>
      </c>
      <c r="O22813">
        <v>250619</v>
      </c>
      <c r="P22813">
        <v>43.51</v>
      </c>
    </row>
    <row r="22814" spans="1:16" x14ac:dyDescent="0.25">
      <c r="A22814" t="s">
        <v>3296</v>
      </c>
      <c r="B22814" t="s">
        <v>2931</v>
      </c>
      <c r="C22814">
        <v>17821</v>
      </c>
      <c r="D22814" t="str">
        <f>"20216570    "</f>
        <v xml:space="preserve">20216570    </v>
      </c>
      <c r="E22814" t="s">
        <v>309</v>
      </c>
      <c r="F22814" t="s">
        <v>310</v>
      </c>
      <c r="G22814">
        <v>16.940000000000001</v>
      </c>
      <c r="H22814">
        <v>251217</v>
      </c>
      <c r="I22814">
        <v>4500</v>
      </c>
      <c r="J22814" t="s">
        <v>312</v>
      </c>
      <c r="K22814">
        <v>16.940000000000001</v>
      </c>
      <c r="L22814">
        <v>3.44</v>
      </c>
      <c r="M22814">
        <v>17529</v>
      </c>
      <c r="N22814" t="s">
        <v>143</v>
      </c>
      <c r="O22814">
        <v>251230</v>
      </c>
      <c r="P22814">
        <v>13.5</v>
      </c>
    </row>
    <row r="22815" spans="1:16" x14ac:dyDescent="0.25">
      <c r="A22815" t="s">
        <v>3296</v>
      </c>
      <c r="B22815" t="s">
        <v>2931</v>
      </c>
      <c r="C22815">
        <v>313</v>
      </c>
      <c r="D22815" t="str">
        <f>"20125367    "</f>
        <v xml:space="preserve">20125367    </v>
      </c>
      <c r="E22815" t="s">
        <v>309</v>
      </c>
      <c r="F22815" t="s">
        <v>310</v>
      </c>
      <c r="G22815">
        <v>194.29</v>
      </c>
      <c r="H22815">
        <v>250107</v>
      </c>
      <c r="I22815">
        <v>4580</v>
      </c>
      <c r="J22815" t="s">
        <v>126</v>
      </c>
      <c r="K22815">
        <v>194.29</v>
      </c>
      <c r="L22815">
        <v>39.479999999999997</v>
      </c>
      <c r="M22815">
        <v>17951</v>
      </c>
      <c r="N22815" t="s">
        <v>207</v>
      </c>
      <c r="O22815">
        <v>250121</v>
      </c>
      <c r="P22815">
        <v>154.81</v>
      </c>
    </row>
    <row r="22816" spans="1:16" x14ac:dyDescent="0.25">
      <c r="A22816" t="s">
        <v>3296</v>
      </c>
      <c r="B22816" t="s">
        <v>2931</v>
      </c>
      <c r="C22816">
        <v>369</v>
      </c>
      <c r="D22816" t="str">
        <f>"20126065    "</f>
        <v xml:space="preserve">20126065    </v>
      </c>
      <c r="E22816" t="s">
        <v>309</v>
      </c>
      <c r="F22816" t="s">
        <v>310</v>
      </c>
      <c r="G22816">
        <v>263.92</v>
      </c>
      <c r="H22816">
        <v>250109</v>
      </c>
      <c r="I22816">
        <v>4580</v>
      </c>
      <c r="J22816" t="s">
        <v>126</v>
      </c>
      <c r="K22816">
        <v>263.92</v>
      </c>
      <c r="L22816">
        <v>53.63</v>
      </c>
      <c r="M22816">
        <v>14432</v>
      </c>
      <c r="N22816" t="s">
        <v>75</v>
      </c>
      <c r="O22816">
        <v>250122</v>
      </c>
      <c r="P22816">
        <v>210.29</v>
      </c>
    </row>
    <row r="22817" spans="1:16" x14ac:dyDescent="0.25">
      <c r="A22817" t="s">
        <v>3296</v>
      </c>
      <c r="B22817" t="s">
        <v>2931</v>
      </c>
      <c r="C22817">
        <v>384</v>
      </c>
      <c r="D22817" t="str">
        <f>"20126496    "</f>
        <v xml:space="preserve">20126496    </v>
      </c>
      <c r="E22817" t="s">
        <v>309</v>
      </c>
      <c r="F22817" t="s">
        <v>310</v>
      </c>
      <c r="G22817">
        <v>377.4</v>
      </c>
      <c r="H22817">
        <v>250110</v>
      </c>
      <c r="I22817">
        <v>4580</v>
      </c>
      <c r="J22817" t="s">
        <v>126</v>
      </c>
      <c r="K22817">
        <v>377.4</v>
      </c>
      <c r="L22817">
        <v>76.680000000000007</v>
      </c>
      <c r="M22817">
        <v>17737</v>
      </c>
      <c r="N22817" t="s">
        <v>156</v>
      </c>
      <c r="O22817">
        <v>250122</v>
      </c>
      <c r="P22817">
        <v>300.72000000000003</v>
      </c>
    </row>
    <row r="22818" spans="1:16" x14ac:dyDescent="0.25">
      <c r="A22818" t="s">
        <v>3296</v>
      </c>
      <c r="B22818" t="s">
        <v>2931</v>
      </c>
      <c r="C22818">
        <v>680</v>
      </c>
      <c r="D22818" t="str">
        <f>"20127893    "</f>
        <v xml:space="preserve">20127893    </v>
      </c>
      <c r="E22818" t="s">
        <v>309</v>
      </c>
      <c r="F22818" t="s">
        <v>310</v>
      </c>
      <c r="G22818">
        <v>264.55</v>
      </c>
      <c r="H22818">
        <v>250115</v>
      </c>
      <c r="I22818">
        <v>4580</v>
      </c>
      <c r="J22818" t="s">
        <v>126</v>
      </c>
      <c r="K22818">
        <v>264.55</v>
      </c>
      <c r="L22818">
        <v>53.75</v>
      </c>
      <c r="M22818">
        <v>13601</v>
      </c>
      <c r="N22818" t="s">
        <v>115</v>
      </c>
      <c r="O22818">
        <v>250127</v>
      </c>
      <c r="P22818">
        <v>210.8</v>
      </c>
    </row>
    <row r="22819" spans="1:16" x14ac:dyDescent="0.25">
      <c r="A22819" t="s">
        <v>3296</v>
      </c>
      <c r="B22819" t="s">
        <v>2931</v>
      </c>
      <c r="C22819">
        <v>705</v>
      </c>
      <c r="D22819" t="str">
        <f>"20127541    "</f>
        <v xml:space="preserve">20127541    </v>
      </c>
      <c r="E22819" t="s">
        <v>309</v>
      </c>
      <c r="F22819" t="s">
        <v>310</v>
      </c>
      <c r="G22819">
        <v>352.18</v>
      </c>
      <c r="H22819">
        <v>250114</v>
      </c>
      <c r="I22819">
        <v>4580</v>
      </c>
      <c r="J22819" t="s">
        <v>126</v>
      </c>
      <c r="K22819">
        <v>352.18</v>
      </c>
      <c r="L22819">
        <v>71.56</v>
      </c>
      <c r="M22819">
        <v>14990</v>
      </c>
      <c r="N22819" t="s">
        <v>85</v>
      </c>
      <c r="O22819">
        <v>250128</v>
      </c>
      <c r="P22819">
        <v>280.62</v>
      </c>
    </row>
    <row r="22820" spans="1:16" x14ac:dyDescent="0.25">
      <c r="A22820" t="s">
        <v>3296</v>
      </c>
      <c r="B22820" t="s">
        <v>2931</v>
      </c>
      <c r="C22820">
        <v>706</v>
      </c>
      <c r="D22820" t="str">
        <f>"20128901    "</f>
        <v xml:space="preserve">20128901    </v>
      </c>
      <c r="E22820" t="s">
        <v>309</v>
      </c>
      <c r="F22820" t="s">
        <v>310</v>
      </c>
      <c r="G22820">
        <v>-176.09</v>
      </c>
      <c r="H22820">
        <v>250124</v>
      </c>
      <c r="I22820">
        <v>4580</v>
      </c>
      <c r="J22820" t="s">
        <v>126</v>
      </c>
      <c r="K22820">
        <v>-176.09</v>
      </c>
      <c r="L22820">
        <v>-35.78</v>
      </c>
      <c r="M22820">
        <v>14990</v>
      </c>
      <c r="N22820" t="s">
        <v>85</v>
      </c>
      <c r="O22820">
        <v>250128</v>
      </c>
      <c r="P22820">
        <v>-140.31</v>
      </c>
    </row>
    <row r="22821" spans="1:16" x14ac:dyDescent="0.25">
      <c r="A22821" t="s">
        <v>3296</v>
      </c>
      <c r="B22821" t="s">
        <v>2931</v>
      </c>
      <c r="C22821">
        <v>748</v>
      </c>
      <c r="D22821" t="str">
        <f>"20130728    "</f>
        <v xml:space="preserve">20130728    </v>
      </c>
      <c r="E22821" t="s">
        <v>309</v>
      </c>
      <c r="F22821" t="s">
        <v>310</v>
      </c>
      <c r="G22821">
        <v>118.67</v>
      </c>
      <c r="H22821">
        <v>250124</v>
      </c>
      <c r="I22821">
        <v>4580</v>
      </c>
      <c r="J22821" t="s">
        <v>126</v>
      </c>
      <c r="K22821">
        <v>127.57</v>
      </c>
      <c r="L22821">
        <v>24.11</v>
      </c>
      <c r="M22821">
        <v>17711</v>
      </c>
      <c r="N22821" t="s">
        <v>155</v>
      </c>
      <c r="O22821">
        <v>250128</v>
      </c>
      <c r="P22821">
        <v>94.56</v>
      </c>
    </row>
    <row r="22822" spans="1:16" x14ac:dyDescent="0.25">
      <c r="A22822" t="s">
        <v>3296</v>
      </c>
      <c r="B22822" t="s">
        <v>2931</v>
      </c>
      <c r="C22822">
        <v>920</v>
      </c>
      <c r="D22822" t="str">
        <f>"20125674    "</f>
        <v xml:space="preserve">20125674    </v>
      </c>
      <c r="E22822" t="s">
        <v>309</v>
      </c>
      <c r="F22822" t="s">
        <v>310</v>
      </c>
      <c r="G22822">
        <v>201.18</v>
      </c>
      <c r="H22822">
        <v>250108</v>
      </c>
      <c r="I22822">
        <v>4580</v>
      </c>
      <c r="J22822" t="s">
        <v>126</v>
      </c>
      <c r="K22822">
        <v>201.18</v>
      </c>
      <c r="L22822">
        <v>40.880000000000003</v>
      </c>
      <c r="M22822">
        <v>17521</v>
      </c>
      <c r="N22822" t="s">
        <v>136</v>
      </c>
      <c r="O22822">
        <v>250131</v>
      </c>
      <c r="P22822">
        <v>160.30000000000001</v>
      </c>
    </row>
    <row r="22823" spans="1:16" x14ac:dyDescent="0.25">
      <c r="A22823" t="s">
        <v>3296</v>
      </c>
      <c r="B22823" t="s">
        <v>2931</v>
      </c>
      <c r="C22823">
        <v>1125</v>
      </c>
      <c r="D22823" t="str">
        <f>"20132684    "</f>
        <v xml:space="preserve">20132684    </v>
      </c>
      <c r="E22823" t="s">
        <v>309</v>
      </c>
      <c r="F22823" t="s">
        <v>310</v>
      </c>
      <c r="G22823">
        <v>219.38</v>
      </c>
      <c r="H22823">
        <v>250131</v>
      </c>
      <c r="I22823">
        <v>4580</v>
      </c>
      <c r="J22823" t="s">
        <v>126</v>
      </c>
      <c r="K22823">
        <v>219.38</v>
      </c>
      <c r="L22823">
        <v>44.58</v>
      </c>
      <c r="M22823">
        <v>49705</v>
      </c>
      <c r="N22823" t="s">
        <v>114</v>
      </c>
      <c r="O22823">
        <v>250204</v>
      </c>
      <c r="P22823">
        <v>174.8</v>
      </c>
    </row>
    <row r="22824" spans="1:16" x14ac:dyDescent="0.25">
      <c r="A22824" t="s">
        <v>3296</v>
      </c>
      <c r="B22824" t="s">
        <v>2931</v>
      </c>
      <c r="C22824">
        <v>2215</v>
      </c>
      <c r="D22824" t="str">
        <f>"20134920    "</f>
        <v xml:space="preserve">20134920    </v>
      </c>
      <c r="E22824" t="s">
        <v>309</v>
      </c>
      <c r="F22824" t="s">
        <v>310</v>
      </c>
      <c r="G22824">
        <v>236.32</v>
      </c>
      <c r="H22824">
        <v>250210</v>
      </c>
      <c r="I22824">
        <v>4580</v>
      </c>
      <c r="J22824" t="s">
        <v>126</v>
      </c>
      <c r="K22824">
        <v>448.74</v>
      </c>
      <c r="L22824">
        <v>48.02</v>
      </c>
      <c r="M22824">
        <v>13801</v>
      </c>
      <c r="N22824" t="s">
        <v>33</v>
      </c>
      <c r="O22824">
        <v>250221</v>
      </c>
      <c r="P22824">
        <v>188.3</v>
      </c>
    </row>
    <row r="22825" spans="1:16" x14ac:dyDescent="0.25">
      <c r="A22825" t="s">
        <v>3296</v>
      </c>
      <c r="B22825" t="s">
        <v>2931</v>
      </c>
      <c r="C22825">
        <v>2215</v>
      </c>
      <c r="D22825" t="str">
        <f>"20134920    "</f>
        <v xml:space="preserve">20134920    </v>
      </c>
      <c r="E22825" t="s">
        <v>309</v>
      </c>
      <c r="F22825" t="s">
        <v>310</v>
      </c>
      <c r="G22825">
        <v>212.42</v>
      </c>
      <c r="H22825">
        <v>250210</v>
      </c>
      <c r="I22825">
        <v>4580</v>
      </c>
      <c r="J22825" t="s">
        <v>126</v>
      </c>
      <c r="K22825">
        <v>448.74</v>
      </c>
      <c r="L22825">
        <v>43.16</v>
      </c>
      <c r="M22825">
        <v>14321</v>
      </c>
      <c r="N22825" t="s">
        <v>72</v>
      </c>
      <c r="O22825">
        <v>250221</v>
      </c>
      <c r="P22825">
        <v>169.26</v>
      </c>
    </row>
    <row r="22826" spans="1:16" x14ac:dyDescent="0.25">
      <c r="A22826" t="s">
        <v>3296</v>
      </c>
      <c r="B22826" t="s">
        <v>2931</v>
      </c>
      <c r="C22826">
        <v>2310</v>
      </c>
      <c r="D22826" t="str">
        <f>"20135680    "</f>
        <v xml:space="preserve">20135680    </v>
      </c>
      <c r="E22826" t="s">
        <v>309</v>
      </c>
      <c r="F22826" t="s">
        <v>310</v>
      </c>
      <c r="G22826">
        <v>212.41</v>
      </c>
      <c r="H22826">
        <v>250212</v>
      </c>
      <c r="I22826">
        <v>4580</v>
      </c>
      <c r="J22826" t="s">
        <v>126</v>
      </c>
      <c r="K22826">
        <v>212.41</v>
      </c>
      <c r="L22826">
        <v>43.16</v>
      </c>
      <c r="M22826">
        <v>14990</v>
      </c>
      <c r="N22826" t="s">
        <v>85</v>
      </c>
      <c r="O22826">
        <v>250224</v>
      </c>
      <c r="P22826">
        <v>169.25</v>
      </c>
    </row>
    <row r="22827" spans="1:16" x14ac:dyDescent="0.25">
      <c r="A22827" t="s">
        <v>3296</v>
      </c>
      <c r="B22827" t="s">
        <v>2931</v>
      </c>
      <c r="C22827">
        <v>2338</v>
      </c>
      <c r="D22827" t="str">
        <f>"20135970    "</f>
        <v xml:space="preserve">20135970    </v>
      </c>
      <c r="E22827" t="s">
        <v>309</v>
      </c>
      <c r="F22827" t="s">
        <v>310</v>
      </c>
      <c r="G22827">
        <v>13.12</v>
      </c>
      <c r="H22827">
        <v>250213</v>
      </c>
      <c r="I22827">
        <v>4580</v>
      </c>
      <c r="J22827" t="s">
        <v>126</v>
      </c>
      <c r="K22827">
        <v>240.05</v>
      </c>
      <c r="L22827">
        <v>2.67</v>
      </c>
      <c r="M22827">
        <v>16121</v>
      </c>
      <c r="N22827" t="s">
        <v>127</v>
      </c>
      <c r="O22827">
        <v>250224</v>
      </c>
      <c r="P22827">
        <v>10.45</v>
      </c>
    </row>
    <row r="22828" spans="1:16" x14ac:dyDescent="0.25">
      <c r="A22828" t="s">
        <v>3296</v>
      </c>
      <c r="B22828" t="s">
        <v>2931</v>
      </c>
      <c r="C22828">
        <v>2338</v>
      </c>
      <c r="D22828" t="str">
        <f>"20135970    "</f>
        <v xml:space="preserve">20135970    </v>
      </c>
      <c r="E22828" t="s">
        <v>309</v>
      </c>
      <c r="F22828" t="s">
        <v>310</v>
      </c>
      <c r="G22828">
        <v>226.93</v>
      </c>
      <c r="H22828">
        <v>250213</v>
      </c>
      <c r="I22828">
        <v>4580</v>
      </c>
      <c r="J22828" t="s">
        <v>126</v>
      </c>
      <c r="K22828">
        <v>240.05</v>
      </c>
      <c r="L22828">
        <v>46.11</v>
      </c>
      <c r="M22828">
        <v>17808</v>
      </c>
      <c r="N22828" t="s">
        <v>24</v>
      </c>
      <c r="O22828">
        <v>250224</v>
      </c>
      <c r="P22828">
        <v>180.82</v>
      </c>
    </row>
    <row r="22829" spans="1:16" x14ac:dyDescent="0.25">
      <c r="A22829" t="s">
        <v>3296</v>
      </c>
      <c r="B22829" t="s">
        <v>2931</v>
      </c>
      <c r="C22829">
        <v>2878</v>
      </c>
      <c r="D22829" t="str">
        <f>"20138865    "</f>
        <v xml:space="preserve">20138865    </v>
      </c>
      <c r="E22829" t="s">
        <v>309</v>
      </c>
      <c r="F22829" t="s">
        <v>310</v>
      </c>
      <c r="G22829">
        <v>248.77</v>
      </c>
      <c r="H22829">
        <v>250225</v>
      </c>
      <c r="I22829">
        <v>4580</v>
      </c>
      <c r="J22829" t="s">
        <v>126</v>
      </c>
      <c r="K22829">
        <v>248.77</v>
      </c>
      <c r="L22829">
        <v>50.55</v>
      </c>
      <c r="M22829">
        <v>11801</v>
      </c>
      <c r="N22829" t="s">
        <v>40</v>
      </c>
      <c r="O22829">
        <v>250312</v>
      </c>
      <c r="P22829">
        <v>198.22</v>
      </c>
    </row>
    <row r="22830" spans="1:16" x14ac:dyDescent="0.25">
      <c r="A22830" t="s">
        <v>3296</v>
      </c>
      <c r="B22830" t="s">
        <v>2931</v>
      </c>
      <c r="C22830">
        <v>3701</v>
      </c>
      <c r="D22830" t="str">
        <f>"20142256    "</f>
        <v xml:space="preserve">20142256    </v>
      </c>
      <c r="E22830" t="s">
        <v>309</v>
      </c>
      <c r="F22830" t="s">
        <v>310</v>
      </c>
      <c r="G22830">
        <v>238.71</v>
      </c>
      <c r="H22830">
        <v>250310</v>
      </c>
      <c r="I22830">
        <v>4580</v>
      </c>
      <c r="J22830" t="s">
        <v>126</v>
      </c>
      <c r="K22830">
        <v>238.71</v>
      </c>
      <c r="L22830">
        <v>48.5</v>
      </c>
      <c r="M22830">
        <v>61122</v>
      </c>
      <c r="N22830" t="s">
        <v>86</v>
      </c>
      <c r="O22830">
        <v>250328</v>
      </c>
      <c r="P22830">
        <v>190.21</v>
      </c>
    </row>
    <row r="22831" spans="1:16" x14ac:dyDescent="0.25">
      <c r="A22831" t="s">
        <v>3296</v>
      </c>
      <c r="B22831" t="s">
        <v>2931</v>
      </c>
      <c r="C22831">
        <v>3722</v>
      </c>
      <c r="D22831" t="str">
        <f>"20142758    "</f>
        <v xml:space="preserve">20142758    </v>
      </c>
      <c r="E22831" t="s">
        <v>309</v>
      </c>
      <c r="F22831" t="s">
        <v>310</v>
      </c>
      <c r="G22831">
        <v>207.96</v>
      </c>
      <c r="H22831">
        <v>250311</v>
      </c>
      <c r="I22831">
        <v>4580</v>
      </c>
      <c r="J22831" t="s">
        <v>126</v>
      </c>
      <c r="K22831">
        <v>207.96</v>
      </c>
      <c r="L22831">
        <v>42.25</v>
      </c>
      <c r="M22831">
        <v>46557</v>
      </c>
      <c r="N22831" t="s">
        <v>104</v>
      </c>
      <c r="O22831">
        <v>250328</v>
      </c>
      <c r="P22831">
        <v>165.71</v>
      </c>
    </row>
    <row r="22832" spans="1:16" x14ac:dyDescent="0.25">
      <c r="A22832" t="s">
        <v>3296</v>
      </c>
      <c r="B22832" t="s">
        <v>2931</v>
      </c>
      <c r="C22832">
        <v>4762</v>
      </c>
      <c r="D22832" t="str">
        <f>"20144722    "</f>
        <v xml:space="preserve">20144722    </v>
      </c>
      <c r="E22832" t="s">
        <v>309</v>
      </c>
      <c r="F22832" t="s">
        <v>310</v>
      </c>
      <c r="G22832">
        <v>200.95</v>
      </c>
      <c r="H22832">
        <v>250318</v>
      </c>
      <c r="I22832">
        <v>4580</v>
      </c>
      <c r="J22832" t="s">
        <v>126</v>
      </c>
      <c r="K22832">
        <v>200.95</v>
      </c>
      <c r="L22832">
        <v>40.83</v>
      </c>
      <c r="M22832">
        <v>14422</v>
      </c>
      <c r="N22832" t="s">
        <v>73</v>
      </c>
      <c r="O22832">
        <v>250415</v>
      </c>
      <c r="P22832">
        <v>160.12</v>
      </c>
    </row>
    <row r="22833" spans="1:16" x14ac:dyDescent="0.25">
      <c r="A22833" t="s">
        <v>3296</v>
      </c>
      <c r="B22833" t="s">
        <v>2931</v>
      </c>
      <c r="C22833">
        <v>5555</v>
      </c>
      <c r="D22833" t="str">
        <f>"20150099    "</f>
        <v xml:space="preserve">20150099    </v>
      </c>
      <c r="E22833" t="s">
        <v>309</v>
      </c>
      <c r="F22833" t="s">
        <v>310</v>
      </c>
      <c r="G22833">
        <v>209.12</v>
      </c>
      <c r="H22833">
        <v>250404</v>
      </c>
      <c r="I22833">
        <v>4580</v>
      </c>
      <c r="J22833" t="s">
        <v>126</v>
      </c>
      <c r="K22833">
        <v>209.12</v>
      </c>
      <c r="L22833">
        <v>42.49</v>
      </c>
      <c r="M22833">
        <v>17809</v>
      </c>
      <c r="N22833" t="s">
        <v>25</v>
      </c>
      <c r="O22833">
        <v>250425</v>
      </c>
      <c r="P22833">
        <v>166.63</v>
      </c>
    </row>
    <row r="22834" spans="1:16" x14ac:dyDescent="0.25">
      <c r="A22834" t="s">
        <v>3296</v>
      </c>
      <c r="B22834" t="s">
        <v>2931</v>
      </c>
      <c r="C22834">
        <v>5587</v>
      </c>
      <c r="D22834" t="str">
        <f>"20150458    "</f>
        <v xml:space="preserve">20150458    </v>
      </c>
      <c r="E22834" t="s">
        <v>309</v>
      </c>
      <c r="F22834" t="s">
        <v>310</v>
      </c>
      <c r="G22834">
        <v>192.18</v>
      </c>
      <c r="H22834">
        <v>250407</v>
      </c>
      <c r="I22834">
        <v>4580</v>
      </c>
      <c r="J22834" t="s">
        <v>126</v>
      </c>
      <c r="K22834">
        <v>225.46</v>
      </c>
      <c r="L22834">
        <v>39.049999999999997</v>
      </c>
      <c r="M22834">
        <v>14971</v>
      </c>
      <c r="N22834" t="s">
        <v>81</v>
      </c>
      <c r="O22834">
        <v>250425</v>
      </c>
      <c r="P22834">
        <v>153.13</v>
      </c>
    </row>
    <row r="22835" spans="1:16" x14ac:dyDescent="0.25">
      <c r="A22835" t="s">
        <v>3296</v>
      </c>
      <c r="B22835" t="s">
        <v>2931</v>
      </c>
      <c r="C22835">
        <v>5807</v>
      </c>
      <c r="D22835" t="str">
        <f>"20151606    "</f>
        <v xml:space="preserve">20151606    </v>
      </c>
      <c r="E22835" t="s">
        <v>309</v>
      </c>
      <c r="F22835" t="s">
        <v>310</v>
      </c>
      <c r="G22835">
        <v>191.47</v>
      </c>
      <c r="H22835">
        <v>250410</v>
      </c>
      <c r="I22835">
        <v>4580</v>
      </c>
      <c r="J22835" t="s">
        <v>126</v>
      </c>
      <c r="K22835">
        <v>191.47</v>
      </c>
      <c r="L22835">
        <v>38.9</v>
      </c>
      <c r="M22835">
        <v>14971</v>
      </c>
      <c r="N22835" t="s">
        <v>81</v>
      </c>
      <c r="O22835">
        <v>250505</v>
      </c>
      <c r="P22835">
        <v>152.57</v>
      </c>
    </row>
    <row r="22836" spans="1:16" x14ac:dyDescent="0.25">
      <c r="A22836" t="s">
        <v>3296</v>
      </c>
      <c r="B22836" t="s">
        <v>2931</v>
      </c>
      <c r="C22836">
        <v>6120</v>
      </c>
      <c r="D22836" t="str">
        <f>"20153229    "</f>
        <v xml:space="preserve">20153229    </v>
      </c>
      <c r="E22836" t="s">
        <v>309</v>
      </c>
      <c r="F22836" t="s">
        <v>310</v>
      </c>
      <c r="G22836">
        <v>192.18</v>
      </c>
      <c r="H22836">
        <v>250416</v>
      </c>
      <c r="I22836">
        <v>4580</v>
      </c>
      <c r="J22836" t="s">
        <v>126</v>
      </c>
      <c r="K22836">
        <v>192.18</v>
      </c>
      <c r="L22836">
        <v>39.049999999999997</v>
      </c>
      <c r="M22836">
        <v>17913</v>
      </c>
      <c r="N22836" t="s">
        <v>26</v>
      </c>
      <c r="O22836">
        <v>250509</v>
      </c>
      <c r="P22836">
        <v>153.13</v>
      </c>
    </row>
    <row r="22837" spans="1:16" x14ac:dyDescent="0.25">
      <c r="A22837" t="s">
        <v>3296</v>
      </c>
      <c r="B22837" t="s">
        <v>2931</v>
      </c>
      <c r="C22837">
        <v>6640</v>
      </c>
      <c r="D22837" t="str">
        <f>"20157006    "</f>
        <v xml:space="preserve">20157006    </v>
      </c>
      <c r="E22837" t="s">
        <v>309</v>
      </c>
      <c r="F22837" t="s">
        <v>310</v>
      </c>
      <c r="G22837">
        <v>40.770000000000003</v>
      </c>
      <c r="H22837">
        <v>250505</v>
      </c>
      <c r="I22837">
        <v>4580</v>
      </c>
      <c r="J22837" t="s">
        <v>126</v>
      </c>
      <c r="K22837">
        <v>163.08000000000001</v>
      </c>
      <c r="L22837">
        <v>8.2799999999999994</v>
      </c>
      <c r="M22837">
        <v>67522</v>
      </c>
      <c r="N22837" t="s">
        <v>121</v>
      </c>
      <c r="O22837">
        <v>250514</v>
      </c>
      <c r="P22837">
        <v>32.49</v>
      </c>
    </row>
    <row r="22838" spans="1:16" x14ac:dyDescent="0.25">
      <c r="A22838" t="s">
        <v>3296</v>
      </c>
      <c r="B22838" t="s">
        <v>2931</v>
      </c>
      <c r="C22838">
        <v>6640</v>
      </c>
      <c r="D22838" t="str">
        <f>"20157006    "</f>
        <v xml:space="preserve">20157006    </v>
      </c>
      <c r="E22838" t="s">
        <v>309</v>
      </c>
      <c r="F22838" t="s">
        <v>310</v>
      </c>
      <c r="G22838">
        <v>122.31</v>
      </c>
      <c r="H22838">
        <v>250505</v>
      </c>
      <c r="I22838">
        <v>4580</v>
      </c>
      <c r="J22838" t="s">
        <v>126</v>
      </c>
      <c r="K22838">
        <v>163.08000000000001</v>
      </c>
      <c r="L22838">
        <v>24.85</v>
      </c>
      <c r="M22838">
        <v>67554</v>
      </c>
      <c r="N22838" t="s">
        <v>317</v>
      </c>
      <c r="O22838">
        <v>250514</v>
      </c>
      <c r="P22838">
        <v>97.46</v>
      </c>
    </row>
    <row r="22839" spans="1:16" x14ac:dyDescent="0.25">
      <c r="A22839" t="s">
        <v>3296</v>
      </c>
      <c r="B22839" t="s">
        <v>2931</v>
      </c>
      <c r="C22839">
        <v>6678</v>
      </c>
      <c r="D22839" t="str">
        <f>"20155915    "</f>
        <v xml:space="preserve">20155915    </v>
      </c>
      <c r="E22839" t="s">
        <v>309</v>
      </c>
      <c r="F22839" t="s">
        <v>310</v>
      </c>
      <c r="G22839">
        <v>198.66</v>
      </c>
      <c r="H22839">
        <v>250430</v>
      </c>
      <c r="I22839">
        <v>4580</v>
      </c>
      <c r="J22839" t="s">
        <v>126</v>
      </c>
      <c r="K22839">
        <v>198.66</v>
      </c>
      <c r="L22839">
        <v>40.369999999999997</v>
      </c>
      <c r="M22839">
        <v>66754</v>
      </c>
      <c r="N22839" t="s">
        <v>119</v>
      </c>
      <c r="O22839">
        <v>250515</v>
      </c>
      <c r="P22839">
        <v>158.29</v>
      </c>
    </row>
    <row r="22840" spans="1:16" x14ac:dyDescent="0.25">
      <c r="A22840" t="s">
        <v>3296</v>
      </c>
      <c r="B22840" t="s">
        <v>2931</v>
      </c>
      <c r="C22840">
        <v>7840</v>
      </c>
      <c r="D22840" t="str">
        <f>"20160263    "</f>
        <v xml:space="preserve">20160263    </v>
      </c>
      <c r="E22840" t="s">
        <v>309</v>
      </c>
      <c r="F22840" t="s">
        <v>310</v>
      </c>
      <c r="G22840">
        <v>157.13999999999999</v>
      </c>
      <c r="H22840">
        <v>250514</v>
      </c>
      <c r="I22840">
        <v>4580</v>
      </c>
      <c r="J22840" t="s">
        <v>126</v>
      </c>
      <c r="K22840">
        <v>157.13999999999999</v>
      </c>
      <c r="L22840">
        <v>31.93</v>
      </c>
      <c r="M22840">
        <v>66756</v>
      </c>
      <c r="N22840" t="s">
        <v>120</v>
      </c>
      <c r="O22840">
        <v>250609</v>
      </c>
      <c r="P22840">
        <v>125.21</v>
      </c>
    </row>
    <row r="22841" spans="1:16" x14ac:dyDescent="0.25">
      <c r="A22841" t="s">
        <v>3296</v>
      </c>
      <c r="B22841" t="s">
        <v>2931</v>
      </c>
      <c r="C22841">
        <v>7971</v>
      </c>
      <c r="D22841" t="str">
        <f>"20160661    "</f>
        <v xml:space="preserve">20160661    </v>
      </c>
      <c r="E22841" t="s">
        <v>309</v>
      </c>
      <c r="F22841" t="s">
        <v>310</v>
      </c>
      <c r="G22841">
        <v>64.06</v>
      </c>
      <c r="H22841">
        <v>250515</v>
      </c>
      <c r="I22841">
        <v>4580</v>
      </c>
      <c r="J22841" t="s">
        <v>126</v>
      </c>
      <c r="K22841">
        <v>192.16</v>
      </c>
      <c r="L22841">
        <v>13.02</v>
      </c>
      <c r="M22841">
        <v>13281</v>
      </c>
      <c r="N22841" t="s">
        <v>476</v>
      </c>
      <c r="O22841">
        <v>250610</v>
      </c>
      <c r="P22841">
        <v>51.04</v>
      </c>
    </row>
    <row r="22842" spans="1:16" x14ac:dyDescent="0.25">
      <c r="A22842" t="s">
        <v>3296</v>
      </c>
      <c r="B22842" t="s">
        <v>2931</v>
      </c>
      <c r="C22842">
        <v>7971</v>
      </c>
      <c r="D22842" t="str">
        <f>"20160661    "</f>
        <v xml:space="preserve">20160661    </v>
      </c>
      <c r="E22842" t="s">
        <v>309</v>
      </c>
      <c r="F22842" t="s">
        <v>310</v>
      </c>
      <c r="G22842">
        <v>64.05</v>
      </c>
      <c r="H22842">
        <v>250515</v>
      </c>
      <c r="I22842">
        <v>4580</v>
      </c>
      <c r="J22842" t="s">
        <v>126</v>
      </c>
      <c r="K22842">
        <v>192.16</v>
      </c>
      <c r="L22842">
        <v>13.01</v>
      </c>
      <c r="M22842">
        <v>13461</v>
      </c>
      <c r="N22842" t="s">
        <v>1544</v>
      </c>
      <c r="O22842">
        <v>250610</v>
      </c>
      <c r="P22842">
        <v>51.04</v>
      </c>
    </row>
    <row r="22843" spans="1:16" x14ac:dyDescent="0.25">
      <c r="A22843" t="s">
        <v>3296</v>
      </c>
      <c r="B22843" t="s">
        <v>2931</v>
      </c>
      <c r="C22843">
        <v>7971</v>
      </c>
      <c r="D22843" t="str">
        <f>"20160661    "</f>
        <v xml:space="preserve">20160661    </v>
      </c>
      <c r="E22843" t="s">
        <v>309</v>
      </c>
      <c r="F22843" t="s">
        <v>310</v>
      </c>
      <c r="G22843">
        <v>64.05</v>
      </c>
      <c r="H22843">
        <v>250515</v>
      </c>
      <c r="I22843">
        <v>4580</v>
      </c>
      <c r="J22843" t="s">
        <v>126</v>
      </c>
      <c r="K22843">
        <v>192.16</v>
      </c>
      <c r="L22843">
        <v>13.01</v>
      </c>
      <c r="M22843">
        <v>13561</v>
      </c>
      <c r="N22843" t="s">
        <v>241</v>
      </c>
      <c r="O22843">
        <v>250610</v>
      </c>
      <c r="P22843">
        <v>51.04</v>
      </c>
    </row>
    <row r="22844" spans="1:16" x14ac:dyDescent="0.25">
      <c r="A22844" t="s">
        <v>3296</v>
      </c>
      <c r="B22844" t="s">
        <v>2931</v>
      </c>
      <c r="C22844">
        <v>8354</v>
      </c>
      <c r="D22844" t="str">
        <f>"20162246    "</f>
        <v xml:space="preserve">20162246    </v>
      </c>
      <c r="E22844" t="s">
        <v>309</v>
      </c>
      <c r="F22844" t="s">
        <v>310</v>
      </c>
      <c r="G22844">
        <v>205.97</v>
      </c>
      <c r="H22844">
        <v>250521</v>
      </c>
      <c r="I22844">
        <v>4580</v>
      </c>
      <c r="J22844" t="s">
        <v>126</v>
      </c>
      <c r="K22844">
        <v>205.97</v>
      </c>
      <c r="L22844">
        <v>41.85</v>
      </c>
      <c r="M22844">
        <v>61122</v>
      </c>
      <c r="N22844" t="s">
        <v>86</v>
      </c>
      <c r="O22844">
        <v>250613</v>
      </c>
      <c r="P22844">
        <v>164.12</v>
      </c>
    </row>
    <row r="22845" spans="1:16" x14ac:dyDescent="0.25">
      <c r="A22845" t="s">
        <v>3296</v>
      </c>
      <c r="B22845" t="s">
        <v>2931</v>
      </c>
      <c r="C22845">
        <v>8420</v>
      </c>
      <c r="D22845" t="str">
        <f>"20162643    "</f>
        <v xml:space="preserve">20162643    </v>
      </c>
      <c r="E22845" t="s">
        <v>309</v>
      </c>
      <c r="F22845" t="s">
        <v>310</v>
      </c>
      <c r="G22845">
        <v>199.05</v>
      </c>
      <c r="H22845">
        <v>250522</v>
      </c>
      <c r="I22845">
        <v>4580</v>
      </c>
      <c r="J22845" t="s">
        <v>126</v>
      </c>
      <c r="K22845">
        <v>199.05</v>
      </c>
      <c r="L22845">
        <v>40.44</v>
      </c>
      <c r="M22845">
        <v>17711</v>
      </c>
      <c r="N22845" t="s">
        <v>155</v>
      </c>
      <c r="O22845">
        <v>250613</v>
      </c>
      <c r="P22845">
        <v>158.61000000000001</v>
      </c>
    </row>
    <row r="22846" spans="1:16" x14ac:dyDescent="0.25">
      <c r="A22846" t="s">
        <v>3296</v>
      </c>
      <c r="B22846" t="s">
        <v>2931</v>
      </c>
      <c r="C22846">
        <v>8458</v>
      </c>
      <c r="D22846" t="str">
        <f>"20162999    "</f>
        <v xml:space="preserve">20162999    </v>
      </c>
      <c r="E22846" t="s">
        <v>309</v>
      </c>
      <c r="F22846" t="s">
        <v>310</v>
      </c>
      <c r="G22846">
        <v>157.13999999999999</v>
      </c>
      <c r="H22846">
        <v>250523</v>
      </c>
      <c r="I22846">
        <v>4580</v>
      </c>
      <c r="J22846" t="s">
        <v>126</v>
      </c>
      <c r="K22846">
        <v>157.13999999999999</v>
      </c>
      <c r="L22846">
        <v>31.93</v>
      </c>
      <c r="M22846">
        <v>69702</v>
      </c>
      <c r="N22846" t="s">
        <v>124</v>
      </c>
      <c r="O22846">
        <v>250613</v>
      </c>
      <c r="P22846">
        <v>125.21</v>
      </c>
    </row>
    <row r="22847" spans="1:16" x14ac:dyDescent="0.25">
      <c r="A22847" t="s">
        <v>3296</v>
      </c>
      <c r="B22847" t="s">
        <v>2931</v>
      </c>
      <c r="C22847">
        <v>8583</v>
      </c>
      <c r="D22847" t="str">
        <f>"20163314    "</f>
        <v xml:space="preserve">20163314    </v>
      </c>
      <c r="E22847" t="s">
        <v>309</v>
      </c>
      <c r="F22847" t="s">
        <v>310</v>
      </c>
      <c r="G22847">
        <v>182.87</v>
      </c>
      <c r="H22847">
        <v>250526</v>
      </c>
      <c r="I22847">
        <v>4580</v>
      </c>
      <c r="J22847" t="s">
        <v>126</v>
      </c>
      <c r="K22847">
        <v>365.74</v>
      </c>
      <c r="L22847">
        <v>37.159999999999997</v>
      </c>
      <c r="M22847">
        <v>18972</v>
      </c>
      <c r="N22847" t="s">
        <v>39</v>
      </c>
      <c r="O22847">
        <v>250617</v>
      </c>
      <c r="P22847">
        <v>145.71</v>
      </c>
    </row>
    <row r="22848" spans="1:16" x14ac:dyDescent="0.25">
      <c r="A22848" t="s">
        <v>3296</v>
      </c>
      <c r="B22848" t="s">
        <v>2931</v>
      </c>
      <c r="C22848">
        <v>8583</v>
      </c>
      <c r="D22848" t="str">
        <f>"20163314    "</f>
        <v xml:space="preserve">20163314    </v>
      </c>
      <c r="E22848" t="s">
        <v>309</v>
      </c>
      <c r="F22848" t="s">
        <v>310</v>
      </c>
      <c r="G22848">
        <v>182.87</v>
      </c>
      <c r="H22848">
        <v>250526</v>
      </c>
      <c r="I22848">
        <v>4580</v>
      </c>
      <c r="J22848" t="s">
        <v>126</v>
      </c>
      <c r="K22848">
        <v>365.74</v>
      </c>
      <c r="L22848">
        <v>37.159999999999997</v>
      </c>
      <c r="M22848">
        <v>56558</v>
      </c>
      <c r="N22848" t="s">
        <v>50</v>
      </c>
      <c r="O22848">
        <v>250617</v>
      </c>
      <c r="P22848">
        <v>145.71</v>
      </c>
    </row>
    <row r="22849" spans="1:16" x14ac:dyDescent="0.25">
      <c r="A22849" t="s">
        <v>3296</v>
      </c>
      <c r="B22849" t="s">
        <v>2931</v>
      </c>
      <c r="C22849">
        <v>9147</v>
      </c>
      <c r="D22849" t="str">
        <f>"20164458    "</f>
        <v xml:space="preserve">20164458    </v>
      </c>
      <c r="E22849" t="s">
        <v>309</v>
      </c>
      <c r="F22849" t="s">
        <v>310</v>
      </c>
      <c r="G22849">
        <v>18.62</v>
      </c>
      <c r="H22849">
        <v>250602</v>
      </c>
      <c r="I22849">
        <v>4580</v>
      </c>
      <c r="J22849" t="s">
        <v>126</v>
      </c>
      <c r="K22849">
        <v>78.58</v>
      </c>
      <c r="L22849">
        <v>3.78</v>
      </c>
      <c r="M22849">
        <v>14971</v>
      </c>
      <c r="N22849" t="s">
        <v>81</v>
      </c>
      <c r="O22849">
        <v>250627</v>
      </c>
      <c r="P22849">
        <v>14.84</v>
      </c>
    </row>
    <row r="22850" spans="1:16" x14ac:dyDescent="0.25">
      <c r="A22850" t="s">
        <v>3296</v>
      </c>
      <c r="B22850" t="s">
        <v>2931</v>
      </c>
      <c r="C22850">
        <v>9147</v>
      </c>
      <c r="D22850" t="str">
        <f>"20164458    "</f>
        <v xml:space="preserve">20164458    </v>
      </c>
      <c r="E22850" t="s">
        <v>309</v>
      </c>
      <c r="F22850" t="s">
        <v>310</v>
      </c>
      <c r="G22850">
        <v>29.98</v>
      </c>
      <c r="H22850">
        <v>250602</v>
      </c>
      <c r="I22850">
        <v>4580</v>
      </c>
      <c r="J22850" t="s">
        <v>126</v>
      </c>
      <c r="K22850">
        <v>78.58</v>
      </c>
      <c r="L22850">
        <v>6.09</v>
      </c>
      <c r="M22850">
        <v>18972</v>
      </c>
      <c r="N22850" t="s">
        <v>39</v>
      </c>
      <c r="O22850">
        <v>250627</v>
      </c>
      <c r="P22850">
        <v>23.89</v>
      </c>
    </row>
    <row r="22851" spans="1:16" x14ac:dyDescent="0.25">
      <c r="A22851" t="s">
        <v>3296</v>
      </c>
      <c r="B22851" t="s">
        <v>2931</v>
      </c>
      <c r="C22851">
        <v>9147</v>
      </c>
      <c r="D22851" t="str">
        <f>"20164458    "</f>
        <v xml:space="preserve">20164458    </v>
      </c>
      <c r="E22851" t="s">
        <v>309</v>
      </c>
      <c r="F22851" t="s">
        <v>310</v>
      </c>
      <c r="G22851">
        <v>29.98</v>
      </c>
      <c r="H22851">
        <v>250602</v>
      </c>
      <c r="I22851">
        <v>4580</v>
      </c>
      <c r="J22851" t="s">
        <v>126</v>
      </c>
      <c r="K22851">
        <v>78.58</v>
      </c>
      <c r="L22851">
        <v>6.09</v>
      </c>
      <c r="M22851">
        <v>56558</v>
      </c>
      <c r="N22851" t="s">
        <v>50</v>
      </c>
      <c r="O22851">
        <v>250627</v>
      </c>
      <c r="P22851">
        <v>23.89</v>
      </c>
    </row>
    <row r="22852" spans="1:16" x14ac:dyDescent="0.25">
      <c r="A22852" t="s">
        <v>3296</v>
      </c>
      <c r="B22852" t="s">
        <v>2931</v>
      </c>
      <c r="C22852">
        <v>10297</v>
      </c>
      <c r="D22852" t="str">
        <f>"20176514    "</f>
        <v xml:space="preserve">20176514    </v>
      </c>
      <c r="E22852" t="s">
        <v>309</v>
      </c>
      <c r="F22852" t="s">
        <v>310</v>
      </c>
      <c r="G22852">
        <v>217.81</v>
      </c>
      <c r="H22852">
        <v>250731</v>
      </c>
      <c r="I22852">
        <v>4580</v>
      </c>
      <c r="J22852" t="s">
        <v>126</v>
      </c>
      <c r="K22852">
        <v>435.62</v>
      </c>
      <c r="L22852">
        <v>44.26</v>
      </c>
      <c r="M22852">
        <v>46555</v>
      </c>
      <c r="N22852" t="s">
        <v>103</v>
      </c>
      <c r="O22852">
        <v>250813</v>
      </c>
      <c r="P22852">
        <v>173.55</v>
      </c>
    </row>
    <row r="22853" spans="1:16" x14ac:dyDescent="0.25">
      <c r="A22853" t="s">
        <v>3296</v>
      </c>
      <c r="B22853" t="s">
        <v>2931</v>
      </c>
      <c r="C22853">
        <v>10297</v>
      </c>
      <c r="D22853" t="str">
        <f>"20176514    "</f>
        <v xml:space="preserve">20176514    </v>
      </c>
      <c r="E22853" t="s">
        <v>309</v>
      </c>
      <c r="F22853" t="s">
        <v>310</v>
      </c>
      <c r="G22853">
        <v>217.81</v>
      </c>
      <c r="H22853">
        <v>250731</v>
      </c>
      <c r="I22853">
        <v>4580</v>
      </c>
      <c r="J22853" t="s">
        <v>126</v>
      </c>
      <c r="K22853">
        <v>435.62</v>
      </c>
      <c r="L22853">
        <v>44.26</v>
      </c>
      <c r="M22853">
        <v>47522</v>
      </c>
      <c r="N22853" t="s">
        <v>106</v>
      </c>
      <c r="O22853">
        <v>250813</v>
      </c>
      <c r="P22853">
        <v>173.55</v>
      </c>
    </row>
    <row r="22854" spans="1:16" x14ac:dyDescent="0.25">
      <c r="A22854" t="s">
        <v>3296</v>
      </c>
      <c r="B22854" t="s">
        <v>2931</v>
      </c>
      <c r="C22854">
        <v>10393</v>
      </c>
      <c r="D22854" t="str">
        <f>"20176660    "</f>
        <v xml:space="preserve">20176660    </v>
      </c>
      <c r="E22854" t="s">
        <v>309</v>
      </c>
      <c r="F22854" t="s">
        <v>310</v>
      </c>
      <c r="G22854">
        <v>225.91</v>
      </c>
      <c r="H22854">
        <v>250731</v>
      </c>
      <c r="I22854">
        <v>4580</v>
      </c>
      <c r="J22854" t="s">
        <v>126</v>
      </c>
      <c r="K22854">
        <v>451.82</v>
      </c>
      <c r="L22854">
        <v>45.9</v>
      </c>
      <c r="M22854">
        <v>56558</v>
      </c>
      <c r="N22854" t="s">
        <v>50</v>
      </c>
      <c r="O22854">
        <v>250818</v>
      </c>
      <c r="P22854">
        <v>180.01</v>
      </c>
    </row>
    <row r="22855" spans="1:16" x14ac:dyDescent="0.25">
      <c r="A22855" t="s">
        <v>3296</v>
      </c>
      <c r="B22855" t="s">
        <v>2931</v>
      </c>
      <c r="C22855">
        <v>10393</v>
      </c>
      <c r="D22855" t="str">
        <f>"20176660    "</f>
        <v xml:space="preserve">20176660    </v>
      </c>
      <c r="E22855" t="s">
        <v>309</v>
      </c>
      <c r="F22855" t="s">
        <v>310</v>
      </c>
      <c r="G22855">
        <v>225.91</v>
      </c>
      <c r="H22855">
        <v>250731</v>
      </c>
      <c r="I22855">
        <v>4580</v>
      </c>
      <c r="J22855" t="s">
        <v>126</v>
      </c>
      <c r="K22855">
        <v>451.82</v>
      </c>
      <c r="L22855">
        <v>45.9</v>
      </c>
      <c r="M22855">
        <v>56562</v>
      </c>
      <c r="N22855" t="s">
        <v>54</v>
      </c>
      <c r="O22855">
        <v>250818</v>
      </c>
      <c r="P22855">
        <v>180.01</v>
      </c>
    </row>
    <row r="22856" spans="1:16" x14ac:dyDescent="0.25">
      <c r="A22856" t="s">
        <v>3296</v>
      </c>
      <c r="B22856" t="s">
        <v>2931</v>
      </c>
      <c r="C22856">
        <v>10666</v>
      </c>
      <c r="D22856" t="str">
        <f>"20179011    "</f>
        <v xml:space="preserve">20179011    </v>
      </c>
      <c r="E22856" t="s">
        <v>309</v>
      </c>
      <c r="F22856" t="s">
        <v>310</v>
      </c>
      <c r="G22856">
        <v>217.81</v>
      </c>
      <c r="H22856">
        <v>250811</v>
      </c>
      <c r="I22856">
        <v>4580</v>
      </c>
      <c r="J22856" t="s">
        <v>126</v>
      </c>
      <c r="K22856">
        <v>653.42999999999995</v>
      </c>
      <c r="L22856">
        <v>44.26</v>
      </c>
      <c r="M22856">
        <v>11801</v>
      </c>
      <c r="N22856" t="s">
        <v>40</v>
      </c>
      <c r="O22856">
        <v>250821</v>
      </c>
      <c r="P22856">
        <v>173.55</v>
      </c>
    </row>
    <row r="22857" spans="1:16" x14ac:dyDescent="0.25">
      <c r="A22857" t="s">
        <v>3296</v>
      </c>
      <c r="B22857" t="s">
        <v>2931</v>
      </c>
      <c r="C22857">
        <v>10666</v>
      </c>
      <c r="D22857" t="str">
        <f>"20179011    "</f>
        <v xml:space="preserve">20179011    </v>
      </c>
      <c r="E22857" t="s">
        <v>309</v>
      </c>
      <c r="F22857" t="s">
        <v>310</v>
      </c>
      <c r="G22857">
        <v>217.81</v>
      </c>
      <c r="H22857">
        <v>250811</v>
      </c>
      <c r="I22857">
        <v>4580</v>
      </c>
      <c r="J22857" t="s">
        <v>126</v>
      </c>
      <c r="K22857">
        <v>653.42999999999995</v>
      </c>
      <c r="L22857">
        <v>44.26</v>
      </c>
      <c r="M22857">
        <v>17536</v>
      </c>
      <c r="N22857" t="s">
        <v>150</v>
      </c>
      <c r="O22857">
        <v>250821</v>
      </c>
      <c r="P22857">
        <v>173.55</v>
      </c>
    </row>
    <row r="22858" spans="1:16" x14ac:dyDescent="0.25">
      <c r="A22858" t="s">
        <v>3296</v>
      </c>
      <c r="B22858" t="s">
        <v>2931</v>
      </c>
      <c r="C22858">
        <v>10666</v>
      </c>
      <c r="D22858" t="str">
        <f>"20179011    "</f>
        <v xml:space="preserve">20179011    </v>
      </c>
      <c r="E22858" t="s">
        <v>309</v>
      </c>
      <c r="F22858" t="s">
        <v>310</v>
      </c>
      <c r="G22858">
        <v>217.81</v>
      </c>
      <c r="H22858">
        <v>250811</v>
      </c>
      <c r="I22858">
        <v>4580</v>
      </c>
      <c r="J22858" t="s">
        <v>126</v>
      </c>
      <c r="K22858">
        <v>653.42999999999995</v>
      </c>
      <c r="L22858">
        <v>44.26</v>
      </c>
      <c r="M22858">
        <v>44222</v>
      </c>
      <c r="N22858" t="s">
        <v>96</v>
      </c>
      <c r="O22858">
        <v>250821</v>
      </c>
      <c r="P22858">
        <v>173.55</v>
      </c>
    </row>
    <row r="22859" spans="1:16" x14ac:dyDescent="0.25">
      <c r="A22859" t="s">
        <v>3296</v>
      </c>
      <c r="B22859" t="s">
        <v>2931</v>
      </c>
      <c r="C22859">
        <v>10682</v>
      </c>
      <c r="D22859" t="str">
        <f>"20179501    "</f>
        <v xml:space="preserve">20179501    </v>
      </c>
      <c r="E22859" t="s">
        <v>309</v>
      </c>
      <c r="F22859" t="s">
        <v>310</v>
      </c>
      <c r="G22859">
        <v>225.91</v>
      </c>
      <c r="H22859">
        <v>250812</v>
      </c>
      <c r="I22859">
        <v>4580</v>
      </c>
      <c r="J22859" t="s">
        <v>126</v>
      </c>
      <c r="K22859">
        <v>225.91</v>
      </c>
      <c r="L22859">
        <v>45.9</v>
      </c>
      <c r="M22859">
        <v>56558</v>
      </c>
      <c r="N22859" t="s">
        <v>50</v>
      </c>
      <c r="O22859">
        <v>250821</v>
      </c>
      <c r="P22859">
        <v>180.01</v>
      </c>
    </row>
    <row r="22860" spans="1:16" x14ac:dyDescent="0.25">
      <c r="A22860" t="s">
        <v>3296</v>
      </c>
      <c r="B22860" t="s">
        <v>2931</v>
      </c>
      <c r="C22860">
        <v>10736</v>
      </c>
      <c r="D22860" t="str">
        <f>"20181131    "</f>
        <v xml:space="preserve">20181131    </v>
      </c>
      <c r="E22860" t="s">
        <v>309</v>
      </c>
      <c r="F22860" t="s">
        <v>310</v>
      </c>
      <c r="G22860">
        <v>38.630000000000003</v>
      </c>
      <c r="H22860">
        <v>250818</v>
      </c>
      <c r="I22860">
        <v>4580</v>
      </c>
      <c r="J22860" t="s">
        <v>126</v>
      </c>
      <c r="K22860">
        <v>284.32</v>
      </c>
      <c r="L22860">
        <v>7.85</v>
      </c>
      <c r="M22860">
        <v>13801</v>
      </c>
      <c r="N22860" t="s">
        <v>33</v>
      </c>
      <c r="O22860">
        <v>250821</v>
      </c>
      <c r="P22860">
        <v>30.78</v>
      </c>
    </row>
    <row r="22861" spans="1:16" x14ac:dyDescent="0.25">
      <c r="A22861" t="s">
        <v>3296</v>
      </c>
      <c r="B22861" t="s">
        <v>2931</v>
      </c>
      <c r="C22861">
        <v>10736</v>
      </c>
      <c r="D22861" t="str">
        <f>"20181131    "</f>
        <v xml:space="preserve">20181131    </v>
      </c>
      <c r="E22861" t="s">
        <v>309</v>
      </c>
      <c r="F22861" t="s">
        <v>310</v>
      </c>
      <c r="G22861">
        <v>104.16</v>
      </c>
      <c r="H22861">
        <v>250818</v>
      </c>
      <c r="I22861">
        <v>4580</v>
      </c>
      <c r="J22861" t="s">
        <v>126</v>
      </c>
      <c r="K22861">
        <v>284.32</v>
      </c>
      <c r="L22861">
        <v>21.16</v>
      </c>
      <c r="M22861">
        <v>17803</v>
      </c>
      <c r="N22861" t="s">
        <v>19</v>
      </c>
      <c r="O22861">
        <v>250821</v>
      </c>
      <c r="P22861">
        <v>83</v>
      </c>
    </row>
    <row r="22862" spans="1:16" x14ac:dyDescent="0.25">
      <c r="A22862" t="s">
        <v>3296</v>
      </c>
      <c r="B22862" t="s">
        <v>2931</v>
      </c>
      <c r="C22862">
        <v>10736</v>
      </c>
      <c r="D22862" t="str">
        <f>"20181131    "</f>
        <v xml:space="preserve">20181131    </v>
      </c>
      <c r="E22862" t="s">
        <v>309</v>
      </c>
      <c r="F22862" t="s">
        <v>310</v>
      </c>
      <c r="G22862">
        <v>104.17</v>
      </c>
      <c r="H22862">
        <v>250818</v>
      </c>
      <c r="I22862">
        <v>4580</v>
      </c>
      <c r="J22862" t="s">
        <v>126</v>
      </c>
      <c r="K22862">
        <v>284.32</v>
      </c>
      <c r="L22862">
        <v>21.17</v>
      </c>
      <c r="M22862">
        <v>17804</v>
      </c>
      <c r="N22862" t="s">
        <v>20</v>
      </c>
      <c r="O22862">
        <v>250821</v>
      </c>
      <c r="P22862">
        <v>83</v>
      </c>
    </row>
    <row r="22863" spans="1:16" x14ac:dyDescent="0.25">
      <c r="A22863" t="s">
        <v>3296</v>
      </c>
      <c r="B22863" t="s">
        <v>2931</v>
      </c>
      <c r="C22863">
        <v>10736</v>
      </c>
      <c r="D22863" t="str">
        <f>"20181131    "</f>
        <v xml:space="preserve">20181131    </v>
      </c>
      <c r="E22863" t="s">
        <v>309</v>
      </c>
      <c r="F22863" t="s">
        <v>310</v>
      </c>
      <c r="G22863">
        <v>37.36</v>
      </c>
      <c r="H22863">
        <v>250818</v>
      </c>
      <c r="I22863">
        <v>4580</v>
      </c>
      <c r="J22863" t="s">
        <v>126</v>
      </c>
      <c r="K22863">
        <v>284.32</v>
      </c>
      <c r="L22863">
        <v>7.59</v>
      </c>
      <c r="M22863">
        <v>17806</v>
      </c>
      <c r="N22863" t="s">
        <v>22</v>
      </c>
      <c r="O22863">
        <v>250821</v>
      </c>
      <c r="P22863">
        <v>29.77</v>
      </c>
    </row>
    <row r="22864" spans="1:16" x14ac:dyDescent="0.25">
      <c r="A22864" t="s">
        <v>3296</v>
      </c>
      <c r="B22864" t="s">
        <v>2931</v>
      </c>
      <c r="C22864">
        <v>10804</v>
      </c>
      <c r="D22864" t="str">
        <f>"20182564    "</f>
        <v xml:space="preserve">20182564    </v>
      </c>
      <c r="E22864" t="s">
        <v>309</v>
      </c>
      <c r="F22864" t="s">
        <v>310</v>
      </c>
      <c r="G22864">
        <v>129.11000000000001</v>
      </c>
      <c r="H22864">
        <v>250821</v>
      </c>
      <c r="I22864">
        <v>4580</v>
      </c>
      <c r="J22864" t="s">
        <v>126</v>
      </c>
      <c r="K22864">
        <v>129.11000000000001</v>
      </c>
      <c r="L22864">
        <v>26.23</v>
      </c>
      <c r="M22864">
        <v>69702</v>
      </c>
      <c r="N22864" t="s">
        <v>124</v>
      </c>
      <c r="O22864">
        <v>250822</v>
      </c>
      <c r="P22864">
        <v>102.88</v>
      </c>
    </row>
    <row r="22865" spans="1:16" x14ac:dyDescent="0.25">
      <c r="A22865" t="s">
        <v>3296</v>
      </c>
      <c r="B22865" t="s">
        <v>2931</v>
      </c>
      <c r="C22865">
        <v>11192</v>
      </c>
      <c r="D22865" t="str">
        <f>"20183819    "</f>
        <v xml:space="preserve">20183819    </v>
      </c>
      <c r="E22865" t="s">
        <v>309</v>
      </c>
      <c r="F22865" t="s">
        <v>310</v>
      </c>
      <c r="G22865">
        <v>351.58</v>
      </c>
      <c r="H22865">
        <v>250826</v>
      </c>
      <c r="I22865">
        <v>4580</v>
      </c>
      <c r="J22865" t="s">
        <v>126</v>
      </c>
      <c r="K22865">
        <v>351.58</v>
      </c>
      <c r="L22865">
        <v>71.44</v>
      </c>
      <c r="M22865">
        <v>17538</v>
      </c>
      <c r="N22865" t="s">
        <v>129</v>
      </c>
      <c r="O22865">
        <v>250901</v>
      </c>
      <c r="P22865">
        <v>280.14</v>
      </c>
    </row>
    <row r="22866" spans="1:16" x14ac:dyDescent="0.25">
      <c r="A22866" t="s">
        <v>3296</v>
      </c>
      <c r="B22866" t="s">
        <v>2931</v>
      </c>
      <c r="C22866">
        <v>12395</v>
      </c>
      <c r="D22866" t="str">
        <f>"20188509    "</f>
        <v xml:space="preserve">20188509    </v>
      </c>
      <c r="E22866" t="s">
        <v>309</v>
      </c>
      <c r="F22866" t="s">
        <v>310</v>
      </c>
      <c r="G22866">
        <v>72.64</v>
      </c>
      <c r="H22866">
        <v>250911</v>
      </c>
      <c r="I22866">
        <v>4580</v>
      </c>
      <c r="J22866" t="s">
        <v>126</v>
      </c>
      <c r="K22866">
        <v>660.37</v>
      </c>
      <c r="L22866">
        <v>14.76</v>
      </c>
      <c r="M22866">
        <v>13540</v>
      </c>
      <c r="N22866" t="s">
        <v>131</v>
      </c>
      <c r="O22866">
        <v>250919</v>
      </c>
      <c r="P22866">
        <v>57.88</v>
      </c>
    </row>
    <row r="22867" spans="1:16" x14ac:dyDescent="0.25">
      <c r="A22867" t="s">
        <v>3296</v>
      </c>
      <c r="B22867" t="s">
        <v>2931</v>
      </c>
      <c r="C22867">
        <v>12395</v>
      </c>
      <c r="D22867" t="str">
        <f>"20188509    "</f>
        <v xml:space="preserve">20188509    </v>
      </c>
      <c r="E22867" t="s">
        <v>309</v>
      </c>
      <c r="F22867" t="s">
        <v>310</v>
      </c>
      <c r="G22867">
        <v>587.73</v>
      </c>
      <c r="H22867">
        <v>250911</v>
      </c>
      <c r="I22867">
        <v>4580</v>
      </c>
      <c r="J22867" t="s">
        <v>126</v>
      </c>
      <c r="K22867">
        <v>660.37</v>
      </c>
      <c r="L22867">
        <v>119.42</v>
      </c>
      <c r="M22867">
        <v>17950</v>
      </c>
      <c r="N22867" t="s">
        <v>132</v>
      </c>
      <c r="O22867">
        <v>250919</v>
      </c>
      <c r="P22867">
        <v>468.31</v>
      </c>
    </row>
    <row r="22868" spans="1:16" x14ac:dyDescent="0.25">
      <c r="A22868" t="s">
        <v>3296</v>
      </c>
      <c r="B22868" t="s">
        <v>2931</v>
      </c>
      <c r="C22868">
        <v>12799</v>
      </c>
      <c r="D22868" t="str">
        <f>"20190345    "</f>
        <v xml:space="preserve">20190345    </v>
      </c>
      <c r="E22868" t="s">
        <v>309</v>
      </c>
      <c r="F22868" t="s">
        <v>310</v>
      </c>
      <c r="G22868">
        <v>223.47</v>
      </c>
      <c r="H22868">
        <v>250918</v>
      </c>
      <c r="I22868">
        <v>4580</v>
      </c>
      <c r="J22868" t="s">
        <v>126</v>
      </c>
      <c r="K22868">
        <v>223.47</v>
      </c>
      <c r="L22868">
        <v>45.41</v>
      </c>
      <c r="M22868">
        <v>17912</v>
      </c>
      <c r="N22868" t="s">
        <v>505</v>
      </c>
      <c r="O22868">
        <v>250930</v>
      </c>
      <c r="P22868">
        <v>178.06</v>
      </c>
    </row>
    <row r="22869" spans="1:16" x14ac:dyDescent="0.25">
      <c r="A22869" t="s">
        <v>3296</v>
      </c>
      <c r="B22869" t="s">
        <v>2931</v>
      </c>
      <c r="C22869">
        <v>13073</v>
      </c>
      <c r="D22869" t="str">
        <f>"20191293    "</f>
        <v xml:space="preserve">20191293    </v>
      </c>
      <c r="E22869" t="s">
        <v>309</v>
      </c>
      <c r="F22869" t="s">
        <v>310</v>
      </c>
      <c r="G22869">
        <v>23.85</v>
      </c>
      <c r="H22869">
        <v>250922</v>
      </c>
      <c r="I22869">
        <v>4580</v>
      </c>
      <c r="J22869" t="s">
        <v>126</v>
      </c>
      <c r="K22869">
        <v>23.85</v>
      </c>
      <c r="L22869">
        <v>4.8499999999999996</v>
      </c>
      <c r="M22869">
        <v>11401</v>
      </c>
      <c r="N22869" t="s">
        <v>91</v>
      </c>
      <c r="O22869">
        <v>251003</v>
      </c>
      <c r="P22869">
        <v>19</v>
      </c>
    </row>
    <row r="22870" spans="1:16" x14ac:dyDescent="0.25">
      <c r="A22870" t="s">
        <v>3296</v>
      </c>
      <c r="B22870" t="s">
        <v>2931</v>
      </c>
      <c r="C22870">
        <v>13260</v>
      </c>
      <c r="D22870" t="str">
        <f>"20189936    "</f>
        <v xml:space="preserve">20189936    </v>
      </c>
      <c r="E22870" t="s">
        <v>309</v>
      </c>
      <c r="F22870" t="s">
        <v>310</v>
      </c>
      <c r="G22870">
        <v>21.21</v>
      </c>
      <c r="H22870">
        <v>250917</v>
      </c>
      <c r="I22870">
        <v>4580</v>
      </c>
      <c r="J22870" t="s">
        <v>126</v>
      </c>
      <c r="K22870">
        <v>21.21</v>
      </c>
      <c r="L22870">
        <v>4.3099999999999996</v>
      </c>
      <c r="M22870">
        <v>11401</v>
      </c>
      <c r="N22870" t="s">
        <v>91</v>
      </c>
      <c r="O22870">
        <v>251007</v>
      </c>
      <c r="P22870">
        <v>16.899999999999999</v>
      </c>
    </row>
    <row r="22871" spans="1:16" x14ac:dyDescent="0.25">
      <c r="A22871" t="s">
        <v>3296</v>
      </c>
      <c r="B22871" t="s">
        <v>2931</v>
      </c>
      <c r="C22871">
        <v>13281</v>
      </c>
      <c r="D22871" t="str">
        <f>"20189151    "</f>
        <v xml:space="preserve">20189151    </v>
      </c>
      <c r="E22871" t="s">
        <v>309</v>
      </c>
      <c r="F22871" t="s">
        <v>310</v>
      </c>
      <c r="G22871">
        <v>218.88</v>
      </c>
      <c r="H22871">
        <v>250915</v>
      </c>
      <c r="I22871">
        <v>4580</v>
      </c>
      <c r="J22871" t="s">
        <v>126</v>
      </c>
      <c r="K22871">
        <v>218.88</v>
      </c>
      <c r="L22871">
        <v>44.47</v>
      </c>
      <c r="M22871">
        <v>14622</v>
      </c>
      <c r="N22871" t="s">
        <v>77</v>
      </c>
      <c r="O22871">
        <v>251007</v>
      </c>
      <c r="P22871">
        <v>174.41</v>
      </c>
    </row>
    <row r="22872" spans="1:16" x14ac:dyDescent="0.25">
      <c r="A22872" t="s">
        <v>3296</v>
      </c>
      <c r="B22872" t="s">
        <v>2931</v>
      </c>
      <c r="C22872">
        <v>13853</v>
      </c>
      <c r="D22872" t="str">
        <f>"20195853    "</f>
        <v xml:space="preserve">20195853    </v>
      </c>
      <c r="E22872" t="s">
        <v>309</v>
      </c>
      <c r="F22872" t="s">
        <v>310</v>
      </c>
      <c r="G22872">
        <v>296.88</v>
      </c>
      <c r="H22872">
        <v>251007</v>
      </c>
      <c r="I22872">
        <v>4580</v>
      </c>
      <c r="J22872" t="s">
        <v>126</v>
      </c>
      <c r="K22872">
        <v>593.76</v>
      </c>
      <c r="L22872">
        <v>60.32</v>
      </c>
      <c r="M22872">
        <v>65222</v>
      </c>
      <c r="N22872" t="s">
        <v>87</v>
      </c>
      <c r="O22872">
        <v>251020</v>
      </c>
      <c r="P22872">
        <v>236.56</v>
      </c>
    </row>
    <row r="22873" spans="1:16" x14ac:dyDescent="0.25">
      <c r="A22873" t="s">
        <v>3296</v>
      </c>
      <c r="B22873" t="s">
        <v>2931</v>
      </c>
      <c r="C22873">
        <v>13853</v>
      </c>
      <c r="D22873" t="str">
        <f>"20195853    "</f>
        <v xml:space="preserve">20195853    </v>
      </c>
      <c r="E22873" t="s">
        <v>309</v>
      </c>
      <c r="F22873" t="s">
        <v>310</v>
      </c>
      <c r="G22873">
        <v>296.88</v>
      </c>
      <c r="H22873">
        <v>251007</v>
      </c>
      <c r="I22873">
        <v>4580</v>
      </c>
      <c r="J22873" t="s">
        <v>126</v>
      </c>
      <c r="K22873">
        <v>593.76</v>
      </c>
      <c r="L22873">
        <v>60.32</v>
      </c>
      <c r="M22873">
        <v>69704</v>
      </c>
      <c r="N22873" t="s">
        <v>89</v>
      </c>
      <c r="O22873">
        <v>251020</v>
      </c>
      <c r="P22873">
        <v>236.56</v>
      </c>
    </row>
    <row r="22874" spans="1:16" x14ac:dyDescent="0.25">
      <c r="A22874" t="s">
        <v>3296</v>
      </c>
      <c r="B22874" t="s">
        <v>2931</v>
      </c>
      <c r="C22874">
        <v>13866</v>
      </c>
      <c r="D22874" t="str">
        <f>"20196231    "</f>
        <v xml:space="preserve">20196231    </v>
      </c>
      <c r="E22874" t="s">
        <v>309</v>
      </c>
      <c r="F22874" t="s">
        <v>310</v>
      </c>
      <c r="G22874">
        <v>265.56</v>
      </c>
      <c r="H22874">
        <v>251008</v>
      </c>
      <c r="I22874">
        <v>4580</v>
      </c>
      <c r="J22874" t="s">
        <v>126</v>
      </c>
      <c r="K22874">
        <v>265.56</v>
      </c>
      <c r="L22874">
        <v>53.96</v>
      </c>
      <c r="M22874">
        <v>17711</v>
      </c>
      <c r="N22874" t="s">
        <v>155</v>
      </c>
      <c r="O22874">
        <v>251020</v>
      </c>
      <c r="P22874">
        <v>211.6</v>
      </c>
    </row>
    <row r="22875" spans="1:16" x14ac:dyDescent="0.25">
      <c r="A22875" t="s">
        <v>3296</v>
      </c>
      <c r="B22875" t="s">
        <v>2931</v>
      </c>
      <c r="C22875">
        <v>14153</v>
      </c>
      <c r="D22875" t="str">
        <f>"20196689    "</f>
        <v xml:space="preserve">20196689    </v>
      </c>
      <c r="E22875" t="s">
        <v>309</v>
      </c>
      <c r="F22875" t="s">
        <v>310</v>
      </c>
      <c r="G22875">
        <v>129.94999999999999</v>
      </c>
      <c r="H22875">
        <v>251009</v>
      </c>
      <c r="I22875">
        <v>4580</v>
      </c>
      <c r="J22875" t="s">
        <v>126</v>
      </c>
      <c r="K22875">
        <v>519.79999999999995</v>
      </c>
      <c r="L22875">
        <v>26.4</v>
      </c>
      <c r="M22875">
        <v>13401</v>
      </c>
      <c r="N22875" t="s">
        <v>10</v>
      </c>
      <c r="O22875">
        <v>251024</v>
      </c>
      <c r="P22875">
        <v>103.55</v>
      </c>
    </row>
    <row r="22876" spans="1:16" x14ac:dyDescent="0.25">
      <c r="A22876" t="s">
        <v>3296</v>
      </c>
      <c r="B22876" t="s">
        <v>2931</v>
      </c>
      <c r="C22876">
        <v>14153</v>
      </c>
      <c r="D22876" t="str">
        <f>"20196689    "</f>
        <v xml:space="preserve">20196689    </v>
      </c>
      <c r="E22876" t="s">
        <v>309</v>
      </c>
      <c r="F22876" t="s">
        <v>310</v>
      </c>
      <c r="G22876">
        <v>129.94999999999999</v>
      </c>
      <c r="H22876">
        <v>251009</v>
      </c>
      <c r="I22876">
        <v>4580</v>
      </c>
      <c r="J22876" t="s">
        <v>126</v>
      </c>
      <c r="K22876">
        <v>519.79999999999995</v>
      </c>
      <c r="L22876">
        <v>26.4</v>
      </c>
      <c r="M22876">
        <v>13501</v>
      </c>
      <c r="N22876" t="s">
        <v>66</v>
      </c>
      <c r="O22876">
        <v>251024</v>
      </c>
      <c r="P22876">
        <v>103.55</v>
      </c>
    </row>
    <row r="22877" spans="1:16" x14ac:dyDescent="0.25">
      <c r="A22877" t="s">
        <v>3296</v>
      </c>
      <c r="B22877" t="s">
        <v>2931</v>
      </c>
      <c r="C22877">
        <v>14153</v>
      </c>
      <c r="D22877" t="str">
        <f>"20196689    "</f>
        <v xml:space="preserve">20196689    </v>
      </c>
      <c r="E22877" t="s">
        <v>309</v>
      </c>
      <c r="F22877" t="s">
        <v>310</v>
      </c>
      <c r="G22877">
        <v>259.89999999999998</v>
      </c>
      <c r="H22877">
        <v>251009</v>
      </c>
      <c r="I22877">
        <v>4580</v>
      </c>
      <c r="J22877" t="s">
        <v>126</v>
      </c>
      <c r="K22877">
        <v>519.79999999999995</v>
      </c>
      <c r="L22877">
        <v>52.81</v>
      </c>
      <c r="M22877">
        <v>49705</v>
      </c>
      <c r="N22877" t="s">
        <v>114</v>
      </c>
      <c r="O22877">
        <v>251024</v>
      </c>
      <c r="P22877">
        <v>207.09</v>
      </c>
    </row>
    <row r="22878" spans="1:16" x14ac:dyDescent="0.25">
      <c r="A22878" t="s">
        <v>3296</v>
      </c>
      <c r="B22878" t="s">
        <v>2931</v>
      </c>
      <c r="C22878">
        <v>14336</v>
      </c>
      <c r="D22878" t="str">
        <f>"20198717    "</f>
        <v xml:space="preserve">20198717    </v>
      </c>
      <c r="E22878" t="s">
        <v>309</v>
      </c>
      <c r="F22878" t="s">
        <v>310</v>
      </c>
      <c r="G22878">
        <v>351.58</v>
      </c>
      <c r="H22878">
        <v>251016</v>
      </c>
      <c r="I22878">
        <v>4580</v>
      </c>
      <c r="J22878" t="s">
        <v>126</v>
      </c>
      <c r="K22878">
        <v>351.58</v>
      </c>
      <c r="L22878">
        <v>71.44</v>
      </c>
      <c r="M22878">
        <v>16321</v>
      </c>
      <c r="N22878" t="s">
        <v>16</v>
      </c>
      <c r="O22878">
        <v>251029</v>
      </c>
      <c r="P22878">
        <v>280.14</v>
      </c>
    </row>
    <row r="22879" spans="1:16" x14ac:dyDescent="0.25">
      <c r="A22879" t="s">
        <v>3296</v>
      </c>
      <c r="B22879" t="s">
        <v>2931</v>
      </c>
      <c r="C22879">
        <v>14503</v>
      </c>
      <c r="D22879" t="str">
        <f>"20202283    "</f>
        <v xml:space="preserve">20202283    </v>
      </c>
      <c r="E22879" t="s">
        <v>309</v>
      </c>
      <c r="F22879" t="s">
        <v>310</v>
      </c>
      <c r="G22879">
        <v>279.11</v>
      </c>
      <c r="H22879">
        <v>251030</v>
      </c>
      <c r="I22879">
        <v>4580</v>
      </c>
      <c r="J22879" t="s">
        <v>126</v>
      </c>
      <c r="K22879">
        <v>279.11</v>
      </c>
      <c r="L22879">
        <v>56.71</v>
      </c>
      <c r="M22879">
        <v>11751</v>
      </c>
      <c r="N22879" t="s">
        <v>167</v>
      </c>
      <c r="O22879">
        <v>251103</v>
      </c>
      <c r="P22879">
        <v>222.4</v>
      </c>
    </row>
    <row r="22880" spans="1:16" x14ac:dyDescent="0.25">
      <c r="A22880" t="s">
        <v>3296</v>
      </c>
      <c r="B22880" t="s">
        <v>2931</v>
      </c>
      <c r="C22880">
        <v>15528</v>
      </c>
      <c r="D22880" t="str">
        <f>"20205140    "</f>
        <v xml:space="preserve">20205140    </v>
      </c>
      <c r="E22880" t="s">
        <v>309</v>
      </c>
      <c r="F22880" t="s">
        <v>310</v>
      </c>
      <c r="G22880">
        <v>299.39</v>
      </c>
      <c r="H22880">
        <v>251110</v>
      </c>
      <c r="I22880">
        <v>4580</v>
      </c>
      <c r="J22880" t="s">
        <v>126</v>
      </c>
      <c r="K22880">
        <v>299.39</v>
      </c>
      <c r="L22880">
        <v>60.83</v>
      </c>
      <c r="M22880">
        <v>66722</v>
      </c>
      <c r="N22880" t="s">
        <v>118</v>
      </c>
      <c r="O22880">
        <v>251121</v>
      </c>
      <c r="P22880">
        <v>238.56</v>
      </c>
    </row>
    <row r="22881" spans="1:16" x14ac:dyDescent="0.25">
      <c r="A22881" t="s">
        <v>3296</v>
      </c>
      <c r="B22881" t="s">
        <v>2931</v>
      </c>
      <c r="C22881">
        <v>15531</v>
      </c>
      <c r="D22881" t="str">
        <f>"20205460    "</f>
        <v xml:space="preserve">20205460    </v>
      </c>
      <c r="E22881" t="s">
        <v>309</v>
      </c>
      <c r="F22881" t="s">
        <v>310</v>
      </c>
      <c r="G22881">
        <v>351.58</v>
      </c>
      <c r="H22881">
        <v>251111</v>
      </c>
      <c r="I22881">
        <v>4580</v>
      </c>
      <c r="J22881" t="s">
        <v>126</v>
      </c>
      <c r="K22881">
        <v>351.58</v>
      </c>
      <c r="L22881">
        <v>71.44</v>
      </c>
      <c r="M22881">
        <v>17952</v>
      </c>
      <c r="N22881" t="s">
        <v>157</v>
      </c>
      <c r="O22881">
        <v>251121</v>
      </c>
      <c r="P22881">
        <v>280.14</v>
      </c>
    </row>
    <row r="22882" spans="1:16" x14ac:dyDescent="0.25">
      <c r="A22882" t="s">
        <v>3296</v>
      </c>
      <c r="B22882" t="s">
        <v>2931</v>
      </c>
      <c r="C22882">
        <v>15643</v>
      </c>
      <c r="D22882" t="str">
        <f>"20204023    "</f>
        <v xml:space="preserve">20204023    </v>
      </c>
      <c r="E22882" t="s">
        <v>309</v>
      </c>
      <c r="F22882" t="s">
        <v>310</v>
      </c>
      <c r="G22882">
        <v>293.73</v>
      </c>
      <c r="H22882">
        <v>251105</v>
      </c>
      <c r="I22882">
        <v>4580</v>
      </c>
      <c r="J22882" t="s">
        <v>126</v>
      </c>
      <c r="K22882">
        <v>587.46</v>
      </c>
      <c r="L22882">
        <v>59.68</v>
      </c>
      <c r="M22882">
        <v>46554</v>
      </c>
      <c r="N22882" t="s">
        <v>102</v>
      </c>
      <c r="O22882">
        <v>251124</v>
      </c>
      <c r="P22882">
        <v>234.05</v>
      </c>
    </row>
    <row r="22883" spans="1:16" x14ac:dyDescent="0.25">
      <c r="A22883" t="s">
        <v>3296</v>
      </c>
      <c r="B22883" t="s">
        <v>2931</v>
      </c>
      <c r="C22883">
        <v>15643</v>
      </c>
      <c r="D22883" t="str">
        <f>"20204023    "</f>
        <v xml:space="preserve">20204023    </v>
      </c>
      <c r="E22883" t="s">
        <v>309</v>
      </c>
      <c r="F22883" t="s">
        <v>310</v>
      </c>
      <c r="G22883">
        <v>293.73</v>
      </c>
      <c r="H22883">
        <v>251105</v>
      </c>
      <c r="I22883">
        <v>4580</v>
      </c>
      <c r="J22883" t="s">
        <v>126</v>
      </c>
      <c r="K22883">
        <v>587.46</v>
      </c>
      <c r="L22883">
        <v>59.68</v>
      </c>
      <c r="M22883">
        <v>46554</v>
      </c>
      <c r="N22883" t="s">
        <v>102</v>
      </c>
      <c r="O22883">
        <v>251124</v>
      </c>
      <c r="P22883">
        <v>234.05</v>
      </c>
    </row>
    <row r="22884" spans="1:16" x14ac:dyDescent="0.25">
      <c r="A22884" t="s">
        <v>3296</v>
      </c>
      <c r="B22884" t="s">
        <v>2931</v>
      </c>
      <c r="C22884">
        <v>16473</v>
      </c>
      <c r="D22884" t="str">
        <f>"20205829    "</f>
        <v xml:space="preserve">20205829    </v>
      </c>
      <c r="E22884" t="s">
        <v>309</v>
      </c>
      <c r="F22884" t="s">
        <v>310</v>
      </c>
      <c r="G22884">
        <v>331.33</v>
      </c>
      <c r="H22884">
        <v>251112</v>
      </c>
      <c r="I22884">
        <v>4580</v>
      </c>
      <c r="J22884" t="s">
        <v>126</v>
      </c>
      <c r="K22884">
        <v>699.05</v>
      </c>
      <c r="L22884">
        <v>67.319999999999993</v>
      </c>
      <c r="M22884">
        <v>14541</v>
      </c>
      <c r="N22884" t="s">
        <v>76</v>
      </c>
      <c r="O22884">
        <v>251209</v>
      </c>
      <c r="P22884">
        <v>264.01</v>
      </c>
    </row>
    <row r="22885" spans="1:16" x14ac:dyDescent="0.25">
      <c r="A22885" t="s">
        <v>3296</v>
      </c>
      <c r="B22885" t="s">
        <v>2931</v>
      </c>
      <c r="C22885">
        <v>16473</v>
      </c>
      <c r="D22885" t="str">
        <f>"20205829    "</f>
        <v xml:space="preserve">20205829    </v>
      </c>
      <c r="E22885" t="s">
        <v>309</v>
      </c>
      <c r="F22885" t="s">
        <v>310</v>
      </c>
      <c r="G22885">
        <v>367.72</v>
      </c>
      <c r="H22885">
        <v>251112</v>
      </c>
      <c r="I22885">
        <v>4580</v>
      </c>
      <c r="J22885" t="s">
        <v>126</v>
      </c>
      <c r="K22885">
        <v>699.05</v>
      </c>
      <c r="L22885">
        <v>74.72</v>
      </c>
      <c r="M22885">
        <v>14541</v>
      </c>
      <c r="N22885" t="s">
        <v>76</v>
      </c>
      <c r="O22885">
        <v>251209</v>
      </c>
      <c r="P22885">
        <v>293</v>
      </c>
    </row>
    <row r="22886" spans="1:16" x14ac:dyDescent="0.25">
      <c r="A22886" t="s">
        <v>3296</v>
      </c>
      <c r="B22886" t="s">
        <v>2931</v>
      </c>
      <c r="C22886">
        <v>16768</v>
      </c>
      <c r="D22886" t="str">
        <f>"20212035    "</f>
        <v xml:space="preserve">20212035    </v>
      </c>
      <c r="E22886" t="s">
        <v>309</v>
      </c>
      <c r="F22886" t="s">
        <v>310</v>
      </c>
      <c r="G22886">
        <v>20.71</v>
      </c>
      <c r="H22886">
        <v>251202</v>
      </c>
      <c r="I22886">
        <v>4580</v>
      </c>
      <c r="J22886" t="s">
        <v>126</v>
      </c>
      <c r="K22886">
        <v>20.71</v>
      </c>
      <c r="L22886">
        <v>4.21</v>
      </c>
      <c r="M22886">
        <v>18972</v>
      </c>
      <c r="N22886" t="s">
        <v>39</v>
      </c>
      <c r="O22886">
        <v>251211</v>
      </c>
      <c r="P22886">
        <v>16.5</v>
      </c>
    </row>
    <row r="22887" spans="1:16" x14ac:dyDescent="0.25">
      <c r="A22887" t="s">
        <v>3296</v>
      </c>
      <c r="B22887" t="s">
        <v>2931</v>
      </c>
      <c r="C22887">
        <v>16812</v>
      </c>
      <c r="D22887" t="str">
        <f>"20212485    "</f>
        <v xml:space="preserve">20212485    </v>
      </c>
      <c r="E22887" t="s">
        <v>309</v>
      </c>
      <c r="F22887" t="s">
        <v>310</v>
      </c>
      <c r="G22887">
        <v>280.36</v>
      </c>
      <c r="H22887">
        <v>251201</v>
      </c>
      <c r="I22887">
        <v>4580</v>
      </c>
      <c r="J22887" t="s">
        <v>126</v>
      </c>
      <c r="K22887">
        <v>280.36</v>
      </c>
      <c r="L22887">
        <v>56.97</v>
      </c>
      <c r="M22887">
        <v>17913</v>
      </c>
      <c r="N22887" t="s">
        <v>26</v>
      </c>
      <c r="O22887">
        <v>251212</v>
      </c>
      <c r="P22887">
        <v>223.39</v>
      </c>
    </row>
    <row r="22888" spans="1:16" x14ac:dyDescent="0.25">
      <c r="A22888" t="s">
        <v>3296</v>
      </c>
      <c r="B22888" t="s">
        <v>2931</v>
      </c>
      <c r="C22888">
        <v>17817</v>
      </c>
      <c r="D22888" t="str">
        <f>"20214438    "</f>
        <v xml:space="preserve">20214438    </v>
      </c>
      <c r="E22888" t="s">
        <v>309</v>
      </c>
      <c r="F22888" t="s">
        <v>310</v>
      </c>
      <c r="G22888">
        <v>263.19</v>
      </c>
      <c r="H22888">
        <v>251210</v>
      </c>
      <c r="I22888">
        <v>4580</v>
      </c>
      <c r="J22888" t="s">
        <v>126</v>
      </c>
      <c r="K22888">
        <v>263.19</v>
      </c>
      <c r="L22888">
        <v>53.48</v>
      </c>
      <c r="M22888">
        <v>49501</v>
      </c>
      <c r="N22888" t="s">
        <v>110</v>
      </c>
      <c r="O22888">
        <v>251230</v>
      </c>
      <c r="P22888">
        <v>209.71</v>
      </c>
    </row>
    <row r="22889" spans="1:16" x14ac:dyDescent="0.25">
      <c r="A22889" t="s">
        <v>3296</v>
      </c>
      <c r="B22889" t="s">
        <v>2931</v>
      </c>
      <c r="C22889">
        <v>18104</v>
      </c>
      <c r="D22889" t="str">
        <f>"20216999    "</f>
        <v xml:space="preserve">20216999    </v>
      </c>
      <c r="E22889" t="s">
        <v>309</v>
      </c>
      <c r="F22889" t="s">
        <v>310</v>
      </c>
      <c r="G22889">
        <v>28.74</v>
      </c>
      <c r="H22889">
        <v>251231</v>
      </c>
      <c r="I22889">
        <v>4580</v>
      </c>
      <c r="J22889" t="s">
        <v>126</v>
      </c>
      <c r="K22889">
        <v>28.74</v>
      </c>
      <c r="L22889">
        <v>5.84</v>
      </c>
      <c r="M22889">
        <v>17971</v>
      </c>
      <c r="N22889" t="s">
        <v>27</v>
      </c>
      <c r="O22889">
        <v>260109</v>
      </c>
      <c r="P22889">
        <v>22.9</v>
      </c>
    </row>
    <row r="22890" spans="1:16" x14ac:dyDescent="0.25">
      <c r="A22890" t="s">
        <v>3296</v>
      </c>
      <c r="B22890" t="s">
        <v>2931</v>
      </c>
      <c r="C22890">
        <v>1686</v>
      </c>
      <c r="D22890" t="str">
        <f>"20133780    "</f>
        <v xml:space="preserve">20133780    </v>
      </c>
      <c r="E22890" t="s">
        <v>309</v>
      </c>
      <c r="F22890" t="s">
        <v>310</v>
      </c>
      <c r="G22890">
        <v>43.09</v>
      </c>
      <c r="H22890">
        <v>250205</v>
      </c>
      <c r="I22890">
        <v>4600</v>
      </c>
      <c r="J22890" t="s">
        <v>278</v>
      </c>
      <c r="K22890">
        <v>43.09</v>
      </c>
      <c r="L22890">
        <v>8.76</v>
      </c>
      <c r="M22890">
        <v>17737</v>
      </c>
      <c r="N22890" t="s">
        <v>156</v>
      </c>
      <c r="O22890">
        <v>250212</v>
      </c>
      <c r="P22890">
        <v>34.33</v>
      </c>
    </row>
    <row r="22891" spans="1:16" x14ac:dyDescent="0.25">
      <c r="A22891" t="s">
        <v>3296</v>
      </c>
      <c r="B22891" t="s">
        <v>2931</v>
      </c>
      <c r="C22891">
        <v>2753</v>
      </c>
      <c r="D22891" t="str">
        <f>"20138074    "</f>
        <v xml:space="preserve">20138074    </v>
      </c>
      <c r="E22891" t="s">
        <v>309</v>
      </c>
      <c r="F22891" t="s">
        <v>310</v>
      </c>
      <c r="G22891">
        <v>220.63</v>
      </c>
      <c r="H22891">
        <v>250221</v>
      </c>
      <c r="I22891">
        <v>4600</v>
      </c>
      <c r="J22891" t="s">
        <v>278</v>
      </c>
      <c r="K22891">
        <v>220.63</v>
      </c>
      <c r="L22891">
        <v>44.83</v>
      </c>
      <c r="M22891">
        <v>55222</v>
      </c>
      <c r="N22891" t="s">
        <v>43</v>
      </c>
      <c r="O22891">
        <v>250311</v>
      </c>
      <c r="P22891">
        <v>175.8</v>
      </c>
    </row>
    <row r="22892" spans="1:16" x14ac:dyDescent="0.25">
      <c r="A22892" t="s">
        <v>3296</v>
      </c>
      <c r="B22892" t="s">
        <v>2931</v>
      </c>
      <c r="C22892">
        <v>3539</v>
      </c>
      <c r="D22892" t="str">
        <f>"20141066    "</f>
        <v xml:space="preserve">20141066    </v>
      </c>
      <c r="E22892" t="s">
        <v>309</v>
      </c>
      <c r="F22892" t="s">
        <v>310</v>
      </c>
      <c r="G22892">
        <v>69.09</v>
      </c>
      <c r="H22892">
        <v>250305</v>
      </c>
      <c r="I22892">
        <v>4600</v>
      </c>
      <c r="J22892" t="s">
        <v>278</v>
      </c>
      <c r="K22892">
        <v>69.09</v>
      </c>
      <c r="L22892">
        <v>14.04</v>
      </c>
      <c r="M22892">
        <v>14971</v>
      </c>
      <c r="N22892" t="s">
        <v>81</v>
      </c>
      <c r="O22892">
        <v>250325</v>
      </c>
      <c r="P22892">
        <v>55.05</v>
      </c>
    </row>
    <row r="22893" spans="1:16" x14ac:dyDescent="0.25">
      <c r="A22893" t="s">
        <v>3296</v>
      </c>
      <c r="B22893" t="s">
        <v>2931</v>
      </c>
      <c r="C22893">
        <v>11268</v>
      </c>
      <c r="D22893" t="str">
        <f>"20184518    "</f>
        <v xml:space="preserve">20184518    </v>
      </c>
      <c r="E22893" t="s">
        <v>309</v>
      </c>
      <c r="F22893" t="s">
        <v>310</v>
      </c>
      <c r="G22893">
        <v>217.81</v>
      </c>
      <c r="H22893">
        <v>250828</v>
      </c>
      <c r="I22893">
        <v>4600</v>
      </c>
      <c r="J22893" t="s">
        <v>278</v>
      </c>
      <c r="K22893">
        <v>217.81</v>
      </c>
      <c r="L22893">
        <v>44.26</v>
      </c>
      <c r="M22893">
        <v>67522</v>
      </c>
      <c r="N22893" t="s">
        <v>121</v>
      </c>
      <c r="O22893">
        <v>250902</v>
      </c>
      <c r="P22893">
        <v>173.55</v>
      </c>
    </row>
    <row r="22894" spans="1:16" x14ac:dyDescent="0.25">
      <c r="A22894" t="s">
        <v>3296</v>
      </c>
      <c r="B22894" t="s">
        <v>2931</v>
      </c>
      <c r="C22894">
        <v>12831</v>
      </c>
      <c r="D22894" t="str">
        <f>"20191764    "</f>
        <v xml:space="preserve">20191764    </v>
      </c>
      <c r="E22894" t="s">
        <v>309</v>
      </c>
      <c r="F22894" t="s">
        <v>310</v>
      </c>
      <c r="G22894">
        <v>255.13</v>
      </c>
      <c r="H22894">
        <v>250923</v>
      </c>
      <c r="I22894">
        <v>4600</v>
      </c>
      <c r="J22894" t="s">
        <v>278</v>
      </c>
      <c r="K22894">
        <v>255.13</v>
      </c>
      <c r="L22894">
        <v>51.84</v>
      </c>
      <c r="M22894">
        <v>59501</v>
      </c>
      <c r="N22894" t="s">
        <v>62</v>
      </c>
      <c r="O22894">
        <v>250930</v>
      </c>
      <c r="P22894">
        <v>203.29</v>
      </c>
    </row>
    <row r="22895" spans="1:16" x14ac:dyDescent="0.25">
      <c r="A22895" t="s">
        <v>3296</v>
      </c>
      <c r="B22895" t="s">
        <v>2931</v>
      </c>
      <c r="C22895">
        <v>13660</v>
      </c>
      <c r="D22895" t="str">
        <f>"12541020978 "</f>
        <v xml:space="preserve">12541020978 </v>
      </c>
      <c r="E22895" t="s">
        <v>309</v>
      </c>
      <c r="F22895" t="s">
        <v>310</v>
      </c>
      <c r="G22895">
        <v>35.79</v>
      </c>
      <c r="H22895">
        <v>250930</v>
      </c>
      <c r="I22895">
        <v>4841</v>
      </c>
      <c r="J22895" t="s">
        <v>9</v>
      </c>
      <c r="K22895">
        <v>35.79</v>
      </c>
      <c r="L22895">
        <v>7.27</v>
      </c>
      <c r="M22895">
        <v>13940</v>
      </c>
      <c r="N22895" t="s">
        <v>14</v>
      </c>
      <c r="O22895">
        <v>251013</v>
      </c>
      <c r="P22895">
        <v>28.52</v>
      </c>
    </row>
    <row r="22896" spans="1:16" x14ac:dyDescent="0.25">
      <c r="A22896" t="s">
        <v>3296</v>
      </c>
      <c r="B22896" t="s">
        <v>2931</v>
      </c>
      <c r="C22896">
        <v>446</v>
      </c>
      <c r="D22896" t="str">
        <f>"1001037497  "</f>
        <v xml:space="preserve">1001037497  </v>
      </c>
      <c r="E22896" t="s">
        <v>520</v>
      </c>
      <c r="F22896" t="s">
        <v>521</v>
      </c>
      <c r="G22896">
        <v>358.9</v>
      </c>
      <c r="H22896">
        <v>250120</v>
      </c>
      <c r="I22896">
        <v>4390</v>
      </c>
      <c r="J22896" t="s">
        <v>232</v>
      </c>
      <c r="K22896">
        <v>358.9</v>
      </c>
      <c r="L22896">
        <v>0</v>
      </c>
      <c r="M22896">
        <v>59502</v>
      </c>
      <c r="N22896" t="s">
        <v>63</v>
      </c>
      <c r="O22896">
        <v>250122</v>
      </c>
      <c r="P22896">
        <v>358.9</v>
      </c>
    </row>
    <row r="22897" spans="1:16" x14ac:dyDescent="0.25">
      <c r="A22897" t="s">
        <v>3296</v>
      </c>
      <c r="B22897" t="s">
        <v>2931</v>
      </c>
      <c r="C22897">
        <v>682</v>
      </c>
      <c r="D22897" t="str">
        <f>"1001037521  "</f>
        <v xml:space="preserve">1001037521  </v>
      </c>
      <c r="E22897" t="s">
        <v>520</v>
      </c>
      <c r="F22897" t="s">
        <v>521</v>
      </c>
      <c r="G22897">
        <v>249.86</v>
      </c>
      <c r="H22897">
        <v>250123</v>
      </c>
      <c r="I22897">
        <v>4400</v>
      </c>
      <c r="J22897" t="s">
        <v>162</v>
      </c>
      <c r="K22897">
        <v>249.86</v>
      </c>
      <c r="L22897">
        <v>50.77</v>
      </c>
      <c r="M22897">
        <v>59504</v>
      </c>
      <c r="N22897" t="s">
        <v>193</v>
      </c>
      <c r="O22897">
        <v>250127</v>
      </c>
      <c r="P22897">
        <v>199.09</v>
      </c>
    </row>
    <row r="22898" spans="1:16" x14ac:dyDescent="0.25">
      <c r="A22898" t="s">
        <v>3296</v>
      </c>
      <c r="B22898" t="s">
        <v>2931</v>
      </c>
      <c r="C22898">
        <v>10437</v>
      </c>
      <c r="D22898" t="str">
        <f>"1001038757  "</f>
        <v xml:space="preserve">1001038757  </v>
      </c>
      <c r="E22898" t="s">
        <v>520</v>
      </c>
      <c r="F22898" t="s">
        <v>521</v>
      </c>
      <c r="G22898">
        <v>161.75</v>
      </c>
      <c r="H22898">
        <v>250811</v>
      </c>
      <c r="I22898">
        <v>4400</v>
      </c>
      <c r="J22898" t="s">
        <v>162</v>
      </c>
      <c r="K22898">
        <v>161.75</v>
      </c>
      <c r="L22898">
        <v>31.31</v>
      </c>
      <c r="M22898">
        <v>59504</v>
      </c>
      <c r="N22898" t="s">
        <v>193</v>
      </c>
      <c r="O22898">
        <v>250819</v>
      </c>
      <c r="P22898">
        <v>130.44</v>
      </c>
    </row>
    <row r="22899" spans="1:16" x14ac:dyDescent="0.25">
      <c r="A22899" t="s">
        <v>3296</v>
      </c>
      <c r="B22899" t="s">
        <v>2931</v>
      </c>
      <c r="C22899">
        <v>17017</v>
      </c>
      <c r="D22899" t="str">
        <f>"1001039889  "</f>
        <v xml:space="preserve">1001039889  </v>
      </c>
      <c r="E22899" t="s">
        <v>520</v>
      </c>
      <c r="F22899" t="s">
        <v>521</v>
      </c>
      <c r="G22899">
        <v>415.81</v>
      </c>
      <c r="H22899">
        <v>251211</v>
      </c>
      <c r="I22899">
        <v>4400</v>
      </c>
      <c r="J22899" t="s">
        <v>162</v>
      </c>
      <c r="K22899">
        <v>415.81</v>
      </c>
      <c r="L22899">
        <v>0</v>
      </c>
      <c r="M22899">
        <v>59112</v>
      </c>
      <c r="N22899" t="s">
        <v>44</v>
      </c>
      <c r="O22899">
        <v>251216</v>
      </c>
      <c r="P22899">
        <v>415.81</v>
      </c>
    </row>
    <row r="22900" spans="1:16" x14ac:dyDescent="0.25">
      <c r="A22900" t="s">
        <v>3296</v>
      </c>
      <c r="B22900" t="s">
        <v>2931</v>
      </c>
      <c r="C22900">
        <v>17907</v>
      </c>
      <c r="D22900" t="str">
        <f>"1001039983  "</f>
        <v xml:space="preserve">1001039983  </v>
      </c>
      <c r="E22900" t="s">
        <v>520</v>
      </c>
      <c r="F22900" t="s">
        <v>521</v>
      </c>
      <c r="G22900">
        <v>290.33999999999997</v>
      </c>
      <c r="H22900">
        <v>251219</v>
      </c>
      <c r="I22900">
        <v>4400</v>
      </c>
      <c r="J22900" t="s">
        <v>162</v>
      </c>
      <c r="K22900">
        <v>290.33999999999997</v>
      </c>
      <c r="L22900">
        <v>0</v>
      </c>
      <c r="M22900">
        <v>59504</v>
      </c>
      <c r="N22900" t="s">
        <v>193</v>
      </c>
      <c r="O22900">
        <v>260107</v>
      </c>
      <c r="P22900">
        <v>290.33999999999997</v>
      </c>
    </row>
    <row r="22901" spans="1:16" x14ac:dyDescent="0.25">
      <c r="A22901" t="s">
        <v>3296</v>
      </c>
      <c r="B22901" t="s">
        <v>2931</v>
      </c>
      <c r="C22901">
        <v>2503</v>
      </c>
      <c r="D22901" t="str">
        <f>"1001037681  "</f>
        <v xml:space="preserve">1001037681  </v>
      </c>
      <c r="E22901" t="s">
        <v>520</v>
      </c>
      <c r="F22901" t="s">
        <v>521</v>
      </c>
      <c r="G22901">
        <v>61.29</v>
      </c>
      <c r="H22901">
        <v>250217</v>
      </c>
      <c r="I22901">
        <v>4572</v>
      </c>
      <c r="J22901" t="s">
        <v>173</v>
      </c>
      <c r="K22901">
        <v>61.29</v>
      </c>
      <c r="L22901">
        <v>12.45</v>
      </c>
      <c r="M22901">
        <v>59502</v>
      </c>
      <c r="N22901" t="s">
        <v>63</v>
      </c>
      <c r="O22901">
        <v>250303</v>
      </c>
      <c r="P22901">
        <v>48.84</v>
      </c>
    </row>
    <row r="22902" spans="1:16" x14ac:dyDescent="0.25">
      <c r="A22902" t="s">
        <v>3296</v>
      </c>
      <c r="B22902" t="s">
        <v>2931</v>
      </c>
      <c r="C22902">
        <v>9893</v>
      </c>
      <c r="D22902" t="str">
        <f>"1001038722  "</f>
        <v xml:space="preserve">1001038722  </v>
      </c>
      <c r="E22902" t="s">
        <v>520</v>
      </c>
      <c r="F22902" t="s">
        <v>521</v>
      </c>
      <c r="G22902">
        <v>137.66</v>
      </c>
      <c r="H22902">
        <v>250729</v>
      </c>
      <c r="I22902">
        <v>4572</v>
      </c>
      <c r="J22902" t="s">
        <v>173</v>
      </c>
      <c r="K22902">
        <v>137.66</v>
      </c>
      <c r="L22902">
        <v>27.97</v>
      </c>
      <c r="M22902">
        <v>59501</v>
      </c>
      <c r="N22902" t="s">
        <v>62</v>
      </c>
      <c r="O22902">
        <v>250801</v>
      </c>
      <c r="P22902">
        <v>109.69</v>
      </c>
    </row>
    <row r="22903" spans="1:16" x14ac:dyDescent="0.25">
      <c r="A22903" t="s">
        <v>3296</v>
      </c>
      <c r="B22903" t="s">
        <v>2931</v>
      </c>
      <c r="C22903">
        <v>10166</v>
      </c>
      <c r="D22903" t="str">
        <f>"1001038733  "</f>
        <v xml:space="preserve">1001038733  </v>
      </c>
      <c r="E22903" t="s">
        <v>520</v>
      </c>
      <c r="F22903" t="s">
        <v>521</v>
      </c>
      <c r="G22903">
        <v>605.20000000000005</v>
      </c>
      <c r="H22903">
        <v>250805</v>
      </c>
      <c r="I22903">
        <v>4572</v>
      </c>
      <c r="J22903" t="s">
        <v>173</v>
      </c>
      <c r="K22903">
        <v>605.20000000000005</v>
      </c>
      <c r="L22903">
        <v>122.97</v>
      </c>
      <c r="M22903">
        <v>59502</v>
      </c>
      <c r="N22903" t="s">
        <v>63</v>
      </c>
      <c r="O22903">
        <v>250812</v>
      </c>
      <c r="P22903">
        <v>482.23</v>
      </c>
    </row>
    <row r="22904" spans="1:16" x14ac:dyDescent="0.25">
      <c r="A22904" t="s">
        <v>3296</v>
      </c>
      <c r="B22904" t="s">
        <v>2931</v>
      </c>
      <c r="C22904">
        <v>10313</v>
      </c>
      <c r="D22904" t="str">
        <f>"1001038740  "</f>
        <v xml:space="preserve">1001038740  </v>
      </c>
      <c r="E22904" t="s">
        <v>520</v>
      </c>
      <c r="F22904" t="s">
        <v>521</v>
      </c>
      <c r="G22904">
        <v>5.97</v>
      </c>
      <c r="H22904">
        <v>250808</v>
      </c>
      <c r="I22904">
        <v>4572</v>
      </c>
      <c r="J22904" t="s">
        <v>173</v>
      </c>
      <c r="K22904">
        <v>22.1</v>
      </c>
      <c r="L22904">
        <v>1.21</v>
      </c>
      <c r="M22904">
        <v>59112</v>
      </c>
      <c r="N22904" t="s">
        <v>44</v>
      </c>
      <c r="O22904">
        <v>250814</v>
      </c>
      <c r="P22904">
        <v>4.76</v>
      </c>
    </row>
    <row r="22905" spans="1:16" x14ac:dyDescent="0.25">
      <c r="A22905" t="s">
        <v>3296</v>
      </c>
      <c r="B22905" t="s">
        <v>2931</v>
      </c>
      <c r="C22905">
        <v>10313</v>
      </c>
      <c r="D22905" t="str">
        <f>"1001038740  "</f>
        <v xml:space="preserve">1001038740  </v>
      </c>
      <c r="E22905" t="s">
        <v>520</v>
      </c>
      <c r="F22905" t="s">
        <v>521</v>
      </c>
      <c r="G22905">
        <v>16.13</v>
      </c>
      <c r="H22905">
        <v>250808</v>
      </c>
      <c r="I22905">
        <v>4572</v>
      </c>
      <c r="J22905" t="s">
        <v>173</v>
      </c>
      <c r="K22905">
        <v>22.1</v>
      </c>
      <c r="L22905">
        <v>3.28</v>
      </c>
      <c r="M22905">
        <v>59504</v>
      </c>
      <c r="N22905" t="s">
        <v>193</v>
      </c>
      <c r="O22905">
        <v>250814</v>
      </c>
      <c r="P22905">
        <v>12.85</v>
      </c>
    </row>
    <row r="22906" spans="1:16" x14ac:dyDescent="0.25">
      <c r="A22906" t="s">
        <v>3296</v>
      </c>
      <c r="B22906" t="s">
        <v>2931</v>
      </c>
      <c r="C22906">
        <v>12640</v>
      </c>
      <c r="D22906" t="str">
        <f>"1001039091  "</f>
        <v xml:space="preserve">1001039091  </v>
      </c>
      <c r="E22906" t="s">
        <v>520</v>
      </c>
      <c r="F22906" t="s">
        <v>521</v>
      </c>
      <c r="G22906">
        <v>17.87</v>
      </c>
      <c r="H22906">
        <v>250919</v>
      </c>
      <c r="I22906">
        <v>4572</v>
      </c>
      <c r="J22906" t="s">
        <v>173</v>
      </c>
      <c r="K22906">
        <v>66.19</v>
      </c>
      <c r="L22906">
        <v>3.63</v>
      </c>
      <c r="M22906">
        <v>59112</v>
      </c>
      <c r="N22906" t="s">
        <v>44</v>
      </c>
      <c r="O22906">
        <v>250929</v>
      </c>
      <c r="P22906">
        <v>14.24</v>
      </c>
    </row>
    <row r="22907" spans="1:16" x14ac:dyDescent="0.25">
      <c r="A22907" t="s">
        <v>3296</v>
      </c>
      <c r="B22907" t="s">
        <v>2931</v>
      </c>
      <c r="C22907">
        <v>12640</v>
      </c>
      <c r="D22907" t="str">
        <f>"1001039091  "</f>
        <v xml:space="preserve">1001039091  </v>
      </c>
      <c r="E22907" t="s">
        <v>520</v>
      </c>
      <c r="F22907" t="s">
        <v>521</v>
      </c>
      <c r="G22907">
        <v>48.32</v>
      </c>
      <c r="H22907">
        <v>250919</v>
      </c>
      <c r="I22907">
        <v>4572</v>
      </c>
      <c r="J22907" t="s">
        <v>173</v>
      </c>
      <c r="K22907">
        <v>66.19</v>
      </c>
      <c r="L22907">
        <v>9.82</v>
      </c>
      <c r="M22907">
        <v>59504</v>
      </c>
      <c r="N22907" t="s">
        <v>193</v>
      </c>
      <c r="O22907">
        <v>250929</v>
      </c>
      <c r="P22907">
        <v>38.5</v>
      </c>
    </row>
    <row r="22908" spans="1:16" x14ac:dyDescent="0.25">
      <c r="A22908" t="s">
        <v>3296</v>
      </c>
      <c r="B22908" t="s">
        <v>2931</v>
      </c>
      <c r="C22908">
        <v>13728</v>
      </c>
      <c r="D22908" t="str">
        <f>"1001039263  "</f>
        <v xml:space="preserve">1001039263  </v>
      </c>
      <c r="E22908" t="s">
        <v>520</v>
      </c>
      <c r="F22908" t="s">
        <v>521</v>
      </c>
      <c r="G22908">
        <v>148.43</v>
      </c>
      <c r="H22908">
        <v>251008</v>
      </c>
      <c r="I22908">
        <v>4572</v>
      </c>
      <c r="J22908" t="s">
        <v>173</v>
      </c>
      <c r="K22908">
        <v>148.43</v>
      </c>
      <c r="L22908">
        <v>30.16</v>
      </c>
      <c r="M22908">
        <v>59501</v>
      </c>
      <c r="N22908" t="s">
        <v>62</v>
      </c>
      <c r="O22908">
        <v>251017</v>
      </c>
      <c r="P22908">
        <v>118.27</v>
      </c>
    </row>
    <row r="22909" spans="1:16" x14ac:dyDescent="0.25">
      <c r="A22909" t="s">
        <v>3296</v>
      </c>
      <c r="B22909" t="s">
        <v>2931</v>
      </c>
      <c r="C22909">
        <v>14098</v>
      </c>
      <c r="D22909" t="str">
        <f>"1001039333  "</f>
        <v xml:space="preserve">1001039333  </v>
      </c>
      <c r="E22909" t="s">
        <v>520</v>
      </c>
      <c r="F22909" t="s">
        <v>521</v>
      </c>
      <c r="G22909">
        <v>373.51</v>
      </c>
      <c r="H22909">
        <v>251017</v>
      </c>
      <c r="I22909">
        <v>4572</v>
      </c>
      <c r="J22909" t="s">
        <v>173</v>
      </c>
      <c r="K22909">
        <v>373.51</v>
      </c>
      <c r="L22909">
        <v>75.89</v>
      </c>
      <c r="M22909">
        <v>59501</v>
      </c>
      <c r="N22909" t="s">
        <v>62</v>
      </c>
      <c r="O22909">
        <v>251024</v>
      </c>
      <c r="P22909">
        <v>297.62</v>
      </c>
    </row>
    <row r="22910" spans="1:16" x14ac:dyDescent="0.25">
      <c r="A22910" t="s">
        <v>3296</v>
      </c>
      <c r="B22910" t="s">
        <v>2931</v>
      </c>
      <c r="C22910">
        <v>14267</v>
      </c>
      <c r="D22910" t="str">
        <f>"1001039359  "</f>
        <v xml:space="preserve">1001039359  </v>
      </c>
      <c r="E22910" t="s">
        <v>520</v>
      </c>
      <c r="F22910" t="s">
        <v>521</v>
      </c>
      <c r="G22910">
        <v>130.9</v>
      </c>
      <c r="H22910">
        <v>251023</v>
      </c>
      <c r="I22910">
        <v>4572</v>
      </c>
      <c r="J22910" t="s">
        <v>173</v>
      </c>
      <c r="K22910">
        <v>130.9</v>
      </c>
      <c r="L22910">
        <v>26.6</v>
      </c>
      <c r="M22910">
        <v>59502</v>
      </c>
      <c r="N22910" t="s">
        <v>63</v>
      </c>
      <c r="O22910">
        <v>251028</v>
      </c>
      <c r="P22910">
        <v>104.3</v>
      </c>
    </row>
    <row r="22911" spans="1:16" x14ac:dyDescent="0.25">
      <c r="A22911" t="s">
        <v>3296</v>
      </c>
      <c r="B22911" t="s">
        <v>2931</v>
      </c>
      <c r="C22911">
        <v>15114</v>
      </c>
      <c r="D22911" t="str">
        <f>"1001039553  "</f>
        <v xml:space="preserve">1001039553  </v>
      </c>
      <c r="E22911" t="s">
        <v>520</v>
      </c>
      <c r="F22911" t="s">
        <v>521</v>
      </c>
      <c r="G22911">
        <v>158.29</v>
      </c>
      <c r="H22911">
        <v>251108</v>
      </c>
      <c r="I22911">
        <v>4572</v>
      </c>
      <c r="J22911" t="s">
        <v>173</v>
      </c>
      <c r="K22911">
        <v>158.29</v>
      </c>
      <c r="L22911">
        <v>32.159999999999997</v>
      </c>
      <c r="M22911">
        <v>59501</v>
      </c>
      <c r="N22911" t="s">
        <v>62</v>
      </c>
      <c r="O22911">
        <v>251111</v>
      </c>
      <c r="P22911">
        <v>126.13</v>
      </c>
    </row>
    <row r="22912" spans="1:16" x14ac:dyDescent="0.25">
      <c r="A22912" t="s">
        <v>3296</v>
      </c>
      <c r="B22912" t="s">
        <v>2931</v>
      </c>
      <c r="C22912">
        <v>17061</v>
      </c>
      <c r="D22912" t="str">
        <f>"1001039874  "</f>
        <v xml:space="preserve">1001039874  </v>
      </c>
      <c r="E22912" t="s">
        <v>520</v>
      </c>
      <c r="F22912" t="s">
        <v>521</v>
      </c>
      <c r="G22912">
        <v>208.49</v>
      </c>
      <c r="H22912">
        <v>251211</v>
      </c>
      <c r="I22912">
        <v>4572</v>
      </c>
      <c r="J22912" t="s">
        <v>173</v>
      </c>
      <c r="K22912">
        <v>208.49</v>
      </c>
      <c r="L22912">
        <v>42.36</v>
      </c>
      <c r="M22912">
        <v>59504</v>
      </c>
      <c r="N22912" t="s">
        <v>193</v>
      </c>
      <c r="O22912">
        <v>251216</v>
      </c>
      <c r="P22912">
        <v>166.13</v>
      </c>
    </row>
    <row r="22913" spans="1:16" x14ac:dyDescent="0.25">
      <c r="A22913" t="s">
        <v>3296</v>
      </c>
      <c r="B22913" t="s">
        <v>2931</v>
      </c>
      <c r="C22913">
        <v>17170</v>
      </c>
      <c r="D22913" t="str">
        <f>"1001039908  "</f>
        <v xml:space="preserve">1001039908  </v>
      </c>
      <c r="E22913" t="s">
        <v>520</v>
      </c>
      <c r="F22913" t="s">
        <v>521</v>
      </c>
      <c r="G22913">
        <v>172.83</v>
      </c>
      <c r="H22913">
        <v>251212</v>
      </c>
      <c r="I22913">
        <v>4572</v>
      </c>
      <c r="J22913" t="s">
        <v>173</v>
      </c>
      <c r="K22913">
        <v>172.83</v>
      </c>
      <c r="L22913">
        <v>35.119999999999997</v>
      </c>
      <c r="M22913">
        <v>59505</v>
      </c>
      <c r="N22913" t="s">
        <v>194</v>
      </c>
      <c r="O22913">
        <v>251218</v>
      </c>
      <c r="P22913">
        <v>137.71</v>
      </c>
    </row>
    <row r="22914" spans="1:16" x14ac:dyDescent="0.25">
      <c r="A22914" t="s">
        <v>3296</v>
      </c>
      <c r="B22914" t="s">
        <v>2931</v>
      </c>
      <c r="C22914">
        <v>5438</v>
      </c>
      <c r="D22914" t="str">
        <f>"1001038108  "</f>
        <v xml:space="preserve">1001038108  </v>
      </c>
      <c r="E22914" t="s">
        <v>520</v>
      </c>
      <c r="F22914" t="s">
        <v>521</v>
      </c>
      <c r="G22914">
        <v>13.22</v>
      </c>
      <c r="H22914">
        <v>250416</v>
      </c>
      <c r="I22914">
        <v>4600</v>
      </c>
      <c r="J22914" t="s">
        <v>278</v>
      </c>
      <c r="K22914">
        <v>13.22</v>
      </c>
      <c r="L22914">
        <v>2.69</v>
      </c>
      <c r="M22914">
        <v>59504</v>
      </c>
      <c r="N22914" t="s">
        <v>193</v>
      </c>
      <c r="O22914">
        <v>250424</v>
      </c>
      <c r="P22914">
        <v>10.53</v>
      </c>
    </row>
    <row r="22915" spans="1:16" x14ac:dyDescent="0.25">
      <c r="A22915" t="s">
        <v>3296</v>
      </c>
      <c r="B22915" t="s">
        <v>2931</v>
      </c>
      <c r="C22915">
        <v>3642</v>
      </c>
      <c r="D22915" t="str">
        <f>"16043294    "</f>
        <v xml:space="preserve">16043294    </v>
      </c>
      <c r="E22915" t="s">
        <v>1485</v>
      </c>
      <c r="F22915" t="s">
        <v>1486</v>
      </c>
      <c r="G22915">
        <v>1579.74</v>
      </c>
      <c r="H22915">
        <v>250311</v>
      </c>
      <c r="I22915">
        <v>4600</v>
      </c>
      <c r="J22915" t="s">
        <v>278</v>
      </c>
      <c r="K22915">
        <v>1579.74</v>
      </c>
      <c r="L22915">
        <v>320.98</v>
      </c>
      <c r="M22915">
        <v>17522</v>
      </c>
      <c r="N22915" t="s">
        <v>137</v>
      </c>
      <c r="O22915">
        <v>250327</v>
      </c>
      <c r="P22915">
        <v>1258.76</v>
      </c>
    </row>
    <row r="22916" spans="1:16" x14ac:dyDescent="0.25">
      <c r="A22916" t="s">
        <v>3296</v>
      </c>
      <c r="B22916" t="s">
        <v>2931</v>
      </c>
      <c r="C22916">
        <v>1874</v>
      </c>
      <c r="D22916" t="str">
        <f>"7888        "</f>
        <v xml:space="preserve">7888        </v>
      </c>
      <c r="E22916" t="s">
        <v>3219</v>
      </c>
      <c r="F22916" t="s">
        <v>3220</v>
      </c>
      <c r="G22916">
        <v>13822</v>
      </c>
      <c r="H22916">
        <v>250131</v>
      </c>
      <c r="I22916">
        <v>1020</v>
      </c>
      <c r="J22916" t="s">
        <v>2923</v>
      </c>
      <c r="K22916">
        <v>13822</v>
      </c>
      <c r="L22916">
        <v>0</v>
      </c>
      <c r="M22916">
        <v>97628</v>
      </c>
      <c r="N22916" t="s">
        <v>737</v>
      </c>
      <c r="O22916">
        <v>250214</v>
      </c>
      <c r="P22916">
        <v>13822</v>
      </c>
    </row>
    <row r="22917" spans="1:16" x14ac:dyDescent="0.25">
      <c r="A22917" t="s">
        <v>3296</v>
      </c>
      <c r="B22917" t="s">
        <v>2931</v>
      </c>
      <c r="C22917">
        <v>10534</v>
      </c>
      <c r="D22917" t="str">
        <f>"8468        "</f>
        <v xml:space="preserve">8468        </v>
      </c>
      <c r="E22917" t="s">
        <v>3219</v>
      </c>
      <c r="F22917" t="s">
        <v>3220</v>
      </c>
      <c r="G22917">
        <v>503.01</v>
      </c>
      <c r="H22917">
        <v>250801</v>
      </c>
      <c r="I22917">
        <v>4367</v>
      </c>
      <c r="J22917" t="s">
        <v>159</v>
      </c>
      <c r="K22917">
        <v>600</v>
      </c>
      <c r="L22917">
        <v>0</v>
      </c>
      <c r="M22917">
        <v>17711</v>
      </c>
      <c r="N22917" t="s">
        <v>155</v>
      </c>
      <c r="O22917">
        <v>250820</v>
      </c>
      <c r="P22917">
        <v>503.01</v>
      </c>
    </row>
    <row r="22918" spans="1:16" x14ac:dyDescent="0.25">
      <c r="A22918" t="s">
        <v>3296</v>
      </c>
      <c r="B22918" t="s">
        <v>2931</v>
      </c>
      <c r="C22918">
        <v>18044</v>
      </c>
      <c r="D22918" t="str">
        <f>"8942        "</f>
        <v xml:space="preserve">8942        </v>
      </c>
      <c r="E22918" t="s">
        <v>3219</v>
      </c>
      <c r="F22918" t="s">
        <v>3220</v>
      </c>
      <c r="G22918">
        <v>2400</v>
      </c>
      <c r="H22918">
        <v>251215</v>
      </c>
      <c r="I22918">
        <v>4367</v>
      </c>
      <c r="J22918" t="s">
        <v>159</v>
      </c>
      <c r="K22918">
        <v>4800</v>
      </c>
      <c r="L22918">
        <v>0</v>
      </c>
      <c r="M22918">
        <v>67522</v>
      </c>
      <c r="N22918" t="s">
        <v>121</v>
      </c>
      <c r="O22918">
        <v>260108</v>
      </c>
      <c r="P22918">
        <v>2400</v>
      </c>
    </row>
    <row r="22919" spans="1:16" x14ac:dyDescent="0.25">
      <c r="A22919" t="s">
        <v>3296</v>
      </c>
      <c r="B22919" t="s">
        <v>2931</v>
      </c>
      <c r="C22919">
        <v>18044</v>
      </c>
      <c r="D22919" t="str">
        <f>"8942        "</f>
        <v xml:space="preserve">8942        </v>
      </c>
      <c r="E22919" t="s">
        <v>3219</v>
      </c>
      <c r="F22919" t="s">
        <v>3220</v>
      </c>
      <c r="G22919">
        <v>2400</v>
      </c>
      <c r="H22919">
        <v>251215</v>
      </c>
      <c r="I22919">
        <v>4367</v>
      </c>
      <c r="J22919" t="s">
        <v>159</v>
      </c>
      <c r="K22919">
        <v>4800</v>
      </c>
      <c r="L22919">
        <v>0</v>
      </c>
      <c r="M22919">
        <v>67522</v>
      </c>
      <c r="N22919" t="s">
        <v>121</v>
      </c>
      <c r="O22919">
        <v>260108</v>
      </c>
      <c r="P22919">
        <v>2400</v>
      </c>
    </row>
    <row r="22920" spans="1:16" x14ac:dyDescent="0.25">
      <c r="A22920" t="s">
        <v>3296</v>
      </c>
      <c r="B22920" t="s">
        <v>2931</v>
      </c>
      <c r="C22920">
        <v>1872</v>
      </c>
      <c r="D22920" t="str">
        <f>"7889        "</f>
        <v xml:space="preserve">7889        </v>
      </c>
      <c r="E22920" t="s">
        <v>3219</v>
      </c>
      <c r="F22920" t="s">
        <v>3220</v>
      </c>
      <c r="G22920">
        <v>3611</v>
      </c>
      <c r="H22920">
        <v>250131</v>
      </c>
      <c r="I22920">
        <v>4580</v>
      </c>
      <c r="J22920" t="s">
        <v>126</v>
      </c>
      <c r="K22920">
        <v>3611</v>
      </c>
      <c r="L22920">
        <v>0</v>
      </c>
      <c r="M22920">
        <v>17711</v>
      </c>
      <c r="N22920" t="s">
        <v>155</v>
      </c>
      <c r="O22920">
        <v>250214</v>
      </c>
      <c r="P22920">
        <v>3611</v>
      </c>
    </row>
    <row r="22921" spans="1:16" x14ac:dyDescent="0.25">
      <c r="A22921" t="s">
        <v>3296</v>
      </c>
      <c r="B22921" t="s">
        <v>2931</v>
      </c>
      <c r="C22921">
        <v>14358</v>
      </c>
      <c r="D22921" t="str">
        <f>"21010083    "</f>
        <v xml:space="preserve">21010083    </v>
      </c>
      <c r="E22921" t="s">
        <v>2499</v>
      </c>
      <c r="F22921" t="s">
        <v>2500</v>
      </c>
      <c r="G22921">
        <v>40.9</v>
      </c>
      <c r="H22921">
        <v>251020</v>
      </c>
      <c r="I22921">
        <v>4500</v>
      </c>
      <c r="J22921" t="s">
        <v>312</v>
      </c>
      <c r="K22921">
        <v>40.9</v>
      </c>
      <c r="L22921">
        <v>8.31</v>
      </c>
      <c r="M22921">
        <v>53222</v>
      </c>
      <c r="N22921" t="s">
        <v>41</v>
      </c>
      <c r="O22921">
        <v>251030</v>
      </c>
      <c r="P22921">
        <v>32.590000000000003</v>
      </c>
    </row>
    <row r="22922" spans="1:16" x14ac:dyDescent="0.25">
      <c r="A22922" t="s">
        <v>3296</v>
      </c>
      <c r="B22922" t="s">
        <v>2931</v>
      </c>
      <c r="C22922">
        <v>971</v>
      </c>
      <c r="D22922" t="str">
        <f>"94314       "</f>
        <v xml:space="preserve">94314       </v>
      </c>
      <c r="E22922" t="s">
        <v>795</v>
      </c>
      <c r="F22922" t="s">
        <v>796</v>
      </c>
      <c r="G22922">
        <v>556</v>
      </c>
      <c r="H22922">
        <v>250128</v>
      </c>
      <c r="I22922">
        <v>4590</v>
      </c>
      <c r="J22922" t="s">
        <v>388</v>
      </c>
      <c r="K22922">
        <v>556</v>
      </c>
      <c r="L22922">
        <v>112.97</v>
      </c>
      <c r="M22922">
        <v>56561</v>
      </c>
      <c r="N22922" t="s">
        <v>53</v>
      </c>
      <c r="O22922">
        <v>250131</v>
      </c>
      <c r="P22922">
        <v>443.03</v>
      </c>
    </row>
    <row r="22923" spans="1:16" x14ac:dyDescent="0.25">
      <c r="A22923" t="s">
        <v>3296</v>
      </c>
      <c r="B22923" t="s">
        <v>2931</v>
      </c>
      <c r="C22923">
        <v>12752</v>
      </c>
      <c r="D22923" t="str">
        <f>"301515      "</f>
        <v xml:space="preserve">301515      </v>
      </c>
      <c r="E22923" t="s">
        <v>2384</v>
      </c>
      <c r="F22923" t="s">
        <v>2385</v>
      </c>
      <c r="G22923">
        <v>465.61</v>
      </c>
      <c r="H22923">
        <v>250923</v>
      </c>
      <c r="I22923">
        <v>4600</v>
      </c>
      <c r="J22923" t="s">
        <v>278</v>
      </c>
      <c r="K22923">
        <v>465.61</v>
      </c>
      <c r="L22923">
        <v>94.61</v>
      </c>
      <c r="M22923">
        <v>56528</v>
      </c>
      <c r="N22923" t="s">
        <v>70</v>
      </c>
      <c r="O22923">
        <v>250930</v>
      </c>
      <c r="P22923">
        <v>371</v>
      </c>
    </row>
    <row r="22924" spans="1:16" x14ac:dyDescent="0.25">
      <c r="A22924" t="s">
        <v>3296</v>
      </c>
      <c r="B22924" t="s">
        <v>2931</v>
      </c>
      <c r="C22924">
        <v>10976</v>
      </c>
      <c r="D22924" t="str">
        <f>"90780       "</f>
        <v xml:space="preserve">90780       </v>
      </c>
      <c r="E22924" t="s">
        <v>2237</v>
      </c>
      <c r="F22924" t="s">
        <v>2238</v>
      </c>
      <c r="G22924">
        <v>624.99</v>
      </c>
      <c r="H22924">
        <v>250825</v>
      </c>
      <c r="I22924">
        <v>4580</v>
      </c>
      <c r="J22924" t="s">
        <v>126</v>
      </c>
      <c r="K22924">
        <v>624.99</v>
      </c>
      <c r="L22924">
        <v>126.99</v>
      </c>
      <c r="M22924">
        <v>17521</v>
      </c>
      <c r="N22924" t="s">
        <v>136</v>
      </c>
      <c r="O22924">
        <v>250828</v>
      </c>
      <c r="P22924">
        <v>498</v>
      </c>
    </row>
    <row r="22925" spans="1:16" x14ac:dyDescent="0.25">
      <c r="A22925" t="s">
        <v>3296</v>
      </c>
      <c r="B22925" t="s">
        <v>2931</v>
      </c>
      <c r="C22925">
        <v>10514</v>
      </c>
      <c r="D22925" t="str">
        <f>"2503003090  "</f>
        <v xml:space="preserve">2503003090  </v>
      </c>
      <c r="E22925" t="s">
        <v>1041</v>
      </c>
      <c r="F22925" t="s">
        <v>1042</v>
      </c>
      <c r="G22925">
        <v>170.68</v>
      </c>
      <c r="H22925">
        <v>250815</v>
      </c>
      <c r="I22925">
        <v>4400</v>
      </c>
      <c r="J22925" t="s">
        <v>162</v>
      </c>
      <c r="K22925">
        <v>170.68</v>
      </c>
      <c r="L22925">
        <v>34.68</v>
      </c>
      <c r="M22925">
        <v>17523</v>
      </c>
      <c r="N22925" t="s">
        <v>138</v>
      </c>
      <c r="O22925">
        <v>250820</v>
      </c>
      <c r="P22925">
        <v>136</v>
      </c>
    </row>
    <row r="22926" spans="1:16" x14ac:dyDescent="0.25">
      <c r="A22926" t="s">
        <v>3296</v>
      </c>
      <c r="B22926" t="s">
        <v>2931</v>
      </c>
      <c r="C22926">
        <v>1579</v>
      </c>
      <c r="D22926" t="str">
        <f>"2503000505  "</f>
        <v xml:space="preserve">2503000505  </v>
      </c>
      <c r="E22926" t="s">
        <v>1041</v>
      </c>
      <c r="F22926" t="s">
        <v>1042</v>
      </c>
      <c r="G22926">
        <v>733.84</v>
      </c>
      <c r="H22926">
        <v>250207</v>
      </c>
      <c r="I22926">
        <v>4600</v>
      </c>
      <c r="J22926" t="s">
        <v>278</v>
      </c>
      <c r="K22926">
        <v>733.84</v>
      </c>
      <c r="L22926">
        <v>149.11000000000001</v>
      </c>
      <c r="M22926">
        <v>17524</v>
      </c>
      <c r="N22926" t="s">
        <v>139</v>
      </c>
      <c r="O22926">
        <v>250211</v>
      </c>
      <c r="P22926">
        <v>584.73</v>
      </c>
    </row>
    <row r="22927" spans="1:16" x14ac:dyDescent="0.25">
      <c r="A22927" t="s">
        <v>3296</v>
      </c>
      <c r="B22927" t="s">
        <v>2931</v>
      </c>
      <c r="C22927">
        <v>5964</v>
      </c>
      <c r="D22927" t="str">
        <f>"2503001694  "</f>
        <v xml:space="preserve">2503001694  </v>
      </c>
      <c r="E22927" t="s">
        <v>1041</v>
      </c>
      <c r="F22927" t="s">
        <v>1042</v>
      </c>
      <c r="G22927">
        <v>609.51</v>
      </c>
      <c r="H22927">
        <v>250430</v>
      </c>
      <c r="I22927">
        <v>4600</v>
      </c>
      <c r="J22927" t="s">
        <v>278</v>
      </c>
      <c r="K22927">
        <v>609.51</v>
      </c>
      <c r="L22927">
        <v>123.84</v>
      </c>
      <c r="M22927">
        <v>17524</v>
      </c>
      <c r="N22927" t="s">
        <v>139</v>
      </c>
      <c r="O22927">
        <v>250507</v>
      </c>
      <c r="P22927">
        <v>485.67</v>
      </c>
    </row>
    <row r="22928" spans="1:16" x14ac:dyDescent="0.25">
      <c r="A22928" t="s">
        <v>3296</v>
      </c>
      <c r="B22928" t="s">
        <v>2931</v>
      </c>
      <c r="C22928">
        <v>15673</v>
      </c>
      <c r="D22928" t="str">
        <f>"394384      "</f>
        <v xml:space="preserve">394384      </v>
      </c>
      <c r="E22928" t="s">
        <v>1012</v>
      </c>
      <c r="F22928" t="s">
        <v>1013</v>
      </c>
      <c r="G22928">
        <v>729.95</v>
      </c>
      <c r="H22928">
        <v>251119</v>
      </c>
      <c r="I22928">
        <v>4500</v>
      </c>
      <c r="J22928" t="s">
        <v>312</v>
      </c>
      <c r="K22928">
        <v>729.95</v>
      </c>
      <c r="L22928">
        <v>148.32</v>
      </c>
      <c r="M22928">
        <v>13202</v>
      </c>
      <c r="N22928" t="s">
        <v>601</v>
      </c>
      <c r="O22928">
        <v>251124</v>
      </c>
      <c r="P22928">
        <v>581.63</v>
      </c>
    </row>
    <row r="22929" spans="1:16" x14ac:dyDescent="0.25">
      <c r="A22929" t="s">
        <v>3296</v>
      </c>
      <c r="B22929" t="s">
        <v>2931</v>
      </c>
      <c r="C22929">
        <v>1504</v>
      </c>
      <c r="D22929" t="str">
        <f>"377917      "</f>
        <v xml:space="preserve">377917      </v>
      </c>
      <c r="E22929" t="s">
        <v>1012</v>
      </c>
      <c r="F22929" t="s">
        <v>1013</v>
      </c>
      <c r="G22929">
        <v>135.54</v>
      </c>
      <c r="H22929">
        <v>250131</v>
      </c>
      <c r="I22929">
        <v>4555</v>
      </c>
      <c r="J22929" t="s">
        <v>352</v>
      </c>
      <c r="K22929">
        <v>135.54</v>
      </c>
      <c r="L22929">
        <v>27.54</v>
      </c>
      <c r="M22929">
        <v>17805</v>
      </c>
      <c r="N22929" t="s">
        <v>21</v>
      </c>
      <c r="O22929">
        <v>250210</v>
      </c>
      <c r="P22929">
        <v>108</v>
      </c>
    </row>
    <row r="22930" spans="1:16" x14ac:dyDescent="0.25">
      <c r="A22930" t="s">
        <v>3296</v>
      </c>
      <c r="B22930" t="s">
        <v>2931</v>
      </c>
      <c r="C22930">
        <v>11530</v>
      </c>
      <c r="D22930" t="str">
        <f>"388332      "</f>
        <v xml:space="preserve">388332      </v>
      </c>
      <c r="E22930" t="s">
        <v>1012</v>
      </c>
      <c r="F22930" t="s">
        <v>1013</v>
      </c>
      <c r="G22930">
        <v>358.3</v>
      </c>
      <c r="H22930">
        <v>250902</v>
      </c>
      <c r="I22930">
        <v>4600</v>
      </c>
      <c r="J22930" t="s">
        <v>278</v>
      </c>
      <c r="K22930">
        <v>358.3</v>
      </c>
      <c r="L22930">
        <v>72.8</v>
      </c>
      <c r="M22930">
        <v>17805</v>
      </c>
      <c r="N22930" t="s">
        <v>21</v>
      </c>
      <c r="O22930">
        <v>250908</v>
      </c>
      <c r="P22930">
        <v>285.5</v>
      </c>
    </row>
    <row r="22931" spans="1:16" x14ac:dyDescent="0.25">
      <c r="A22931" t="s">
        <v>3296</v>
      </c>
      <c r="B22931" t="s">
        <v>2931</v>
      </c>
      <c r="C22931">
        <v>17814</v>
      </c>
      <c r="D22931" t="str">
        <f>"397617      "</f>
        <v xml:space="preserve">397617      </v>
      </c>
      <c r="E22931" t="s">
        <v>1012</v>
      </c>
      <c r="F22931" t="s">
        <v>1013</v>
      </c>
      <c r="G22931">
        <v>450.86</v>
      </c>
      <c r="H22931">
        <v>251218</v>
      </c>
      <c r="I22931">
        <v>4600</v>
      </c>
      <c r="J22931" t="s">
        <v>278</v>
      </c>
      <c r="K22931">
        <v>450.86</v>
      </c>
      <c r="L22931">
        <v>91.61</v>
      </c>
      <c r="M22931">
        <v>13401</v>
      </c>
      <c r="N22931" t="s">
        <v>10</v>
      </c>
      <c r="O22931">
        <v>251230</v>
      </c>
      <c r="P22931">
        <v>359.25</v>
      </c>
    </row>
    <row r="22932" spans="1:16" x14ac:dyDescent="0.25">
      <c r="A22932" t="s">
        <v>3296</v>
      </c>
      <c r="B22932" t="s">
        <v>2931</v>
      </c>
      <c r="C22932">
        <v>17815</v>
      </c>
      <c r="D22932" t="str">
        <f>"397616      "</f>
        <v xml:space="preserve">397616      </v>
      </c>
      <c r="E22932" t="s">
        <v>1012</v>
      </c>
      <c r="F22932" t="s">
        <v>1013</v>
      </c>
      <c r="G22932">
        <v>901.72</v>
      </c>
      <c r="H22932">
        <v>251218</v>
      </c>
      <c r="I22932">
        <v>4600</v>
      </c>
      <c r="J22932" t="s">
        <v>278</v>
      </c>
      <c r="K22932">
        <v>1223.3900000000001</v>
      </c>
      <c r="L22932">
        <v>183.22</v>
      </c>
      <c r="M22932">
        <v>13201</v>
      </c>
      <c r="N22932" t="s">
        <v>269</v>
      </c>
      <c r="O22932">
        <v>251230</v>
      </c>
      <c r="P22932">
        <v>718.5</v>
      </c>
    </row>
    <row r="22933" spans="1:16" x14ac:dyDescent="0.25">
      <c r="A22933" t="s">
        <v>3296</v>
      </c>
      <c r="B22933" t="s">
        <v>2931</v>
      </c>
      <c r="C22933">
        <v>17815</v>
      </c>
      <c r="D22933" t="str">
        <f>"397616      "</f>
        <v xml:space="preserve">397616      </v>
      </c>
      <c r="E22933" t="s">
        <v>1012</v>
      </c>
      <c r="F22933" t="s">
        <v>1013</v>
      </c>
      <c r="G22933">
        <v>321.67</v>
      </c>
      <c r="H22933">
        <v>251218</v>
      </c>
      <c r="I22933">
        <v>4600</v>
      </c>
      <c r="J22933" t="s">
        <v>278</v>
      </c>
      <c r="K22933">
        <v>1223.3900000000001</v>
      </c>
      <c r="L22933">
        <v>65.36</v>
      </c>
      <c r="M22933">
        <v>13401</v>
      </c>
      <c r="N22933" t="s">
        <v>10</v>
      </c>
      <c r="O22933">
        <v>251230</v>
      </c>
      <c r="P22933">
        <v>256.31</v>
      </c>
    </row>
    <row r="22934" spans="1:16" x14ac:dyDescent="0.25">
      <c r="A22934" t="s">
        <v>3296</v>
      </c>
      <c r="B22934" t="s">
        <v>2931</v>
      </c>
      <c r="C22934">
        <v>2410</v>
      </c>
      <c r="D22934" t="str">
        <f>"RH710058358 "</f>
        <v xml:space="preserve">RH710058358 </v>
      </c>
      <c r="E22934" t="s">
        <v>3222</v>
      </c>
      <c r="F22934" t="s">
        <v>3223</v>
      </c>
      <c r="G22934">
        <v>212</v>
      </c>
      <c r="H22934">
        <v>250213</v>
      </c>
      <c r="I22934">
        <v>4420</v>
      </c>
      <c r="J22934" t="s">
        <v>330</v>
      </c>
      <c r="K22934">
        <v>1393.7</v>
      </c>
      <c r="L22934">
        <v>0</v>
      </c>
      <c r="M22934">
        <v>17535</v>
      </c>
      <c r="N22934" t="s">
        <v>149</v>
      </c>
      <c r="O22934">
        <v>250225</v>
      </c>
      <c r="P22934">
        <v>212</v>
      </c>
    </row>
    <row r="22935" spans="1:16" x14ac:dyDescent="0.25">
      <c r="A22935" t="s">
        <v>3296</v>
      </c>
      <c r="B22935" t="s">
        <v>2931</v>
      </c>
      <c r="C22935">
        <v>2410</v>
      </c>
      <c r="D22935" t="str">
        <f>"RH710058358 "</f>
        <v xml:space="preserve">RH710058358 </v>
      </c>
      <c r="E22935" t="s">
        <v>3222</v>
      </c>
      <c r="F22935" t="s">
        <v>3223</v>
      </c>
      <c r="G22935">
        <v>1181.7</v>
      </c>
      <c r="H22935">
        <v>250213</v>
      </c>
      <c r="I22935">
        <v>4600</v>
      </c>
      <c r="J22935" t="s">
        <v>278</v>
      </c>
      <c r="K22935">
        <v>1393.7</v>
      </c>
      <c r="L22935">
        <v>0</v>
      </c>
      <c r="M22935">
        <v>17649</v>
      </c>
      <c r="N22935" t="s">
        <v>2329</v>
      </c>
      <c r="O22935">
        <v>250225</v>
      </c>
      <c r="P22935">
        <v>1181.7</v>
      </c>
    </row>
    <row r="22936" spans="1:16" x14ac:dyDescent="0.25">
      <c r="A22936" t="s">
        <v>3296</v>
      </c>
      <c r="B22936" t="s">
        <v>2931</v>
      </c>
      <c r="C22936">
        <v>14249</v>
      </c>
      <c r="D22936" t="str">
        <f>"84781671    "</f>
        <v xml:space="preserve">84781671    </v>
      </c>
      <c r="E22936" t="s">
        <v>3221</v>
      </c>
      <c r="G22936">
        <v>169.16</v>
      </c>
      <c r="H22936">
        <v>251023</v>
      </c>
      <c r="I22936">
        <v>4580</v>
      </c>
      <c r="J22936" t="s">
        <v>126</v>
      </c>
      <c r="K22936">
        <v>169.16</v>
      </c>
      <c r="L22936">
        <v>0</v>
      </c>
      <c r="M22936">
        <v>13901</v>
      </c>
      <c r="N22936" t="s">
        <v>116</v>
      </c>
      <c r="O22936">
        <v>251028</v>
      </c>
      <c r="P22936">
        <v>169.16</v>
      </c>
    </row>
    <row r="22937" spans="1:16" x14ac:dyDescent="0.25">
      <c r="A22937" t="s">
        <v>3296</v>
      </c>
      <c r="B22937" t="s">
        <v>2931</v>
      </c>
      <c r="C22937">
        <v>2266</v>
      </c>
      <c r="D22937" t="str">
        <f>"79897727    "</f>
        <v xml:space="preserve">79897727    </v>
      </c>
      <c r="E22937" t="s">
        <v>3221</v>
      </c>
      <c r="G22937">
        <v>317.39999999999998</v>
      </c>
      <c r="H22937">
        <v>250219</v>
      </c>
      <c r="I22937">
        <v>4600</v>
      </c>
      <c r="J22937" t="s">
        <v>278</v>
      </c>
      <c r="K22937">
        <v>317.39999999999998</v>
      </c>
      <c r="L22937">
        <v>0</v>
      </c>
      <c r="M22937">
        <v>13901</v>
      </c>
      <c r="N22937" t="s">
        <v>116</v>
      </c>
      <c r="O22937">
        <v>250224</v>
      </c>
      <c r="P22937">
        <v>317.39999999999998</v>
      </c>
    </row>
    <row r="22938" spans="1:16" x14ac:dyDescent="0.25">
      <c r="A22938" t="s">
        <v>3296</v>
      </c>
      <c r="B22938" t="s">
        <v>2931</v>
      </c>
      <c r="C22938">
        <v>11952</v>
      </c>
      <c r="D22938" t="str">
        <f>"20251000    "</f>
        <v xml:space="preserve">20251000    </v>
      </c>
      <c r="E22938" t="s">
        <v>2304</v>
      </c>
      <c r="F22938" t="s">
        <v>3318</v>
      </c>
      <c r="G22938">
        <v>2448.5</v>
      </c>
      <c r="H22938">
        <v>250908</v>
      </c>
      <c r="I22938">
        <v>4557</v>
      </c>
      <c r="J22938" t="s">
        <v>1152</v>
      </c>
      <c r="K22938">
        <v>2448.5</v>
      </c>
      <c r="L22938">
        <v>0</v>
      </c>
      <c r="M22938">
        <v>66754</v>
      </c>
      <c r="N22938" t="s">
        <v>119</v>
      </c>
      <c r="O22938">
        <v>250912</v>
      </c>
      <c r="P22938">
        <v>2448.5</v>
      </c>
    </row>
    <row r="22939" spans="1:16" x14ac:dyDescent="0.25">
      <c r="A22939" t="s">
        <v>3296</v>
      </c>
      <c r="B22939" t="s">
        <v>2931</v>
      </c>
      <c r="C22939">
        <v>1979</v>
      </c>
      <c r="D22939" t="str">
        <f>"1972        "</f>
        <v xml:space="preserve">1972        </v>
      </c>
      <c r="E22939" t="s">
        <v>1174</v>
      </c>
      <c r="F22939" t="s">
        <v>1175</v>
      </c>
      <c r="G22939">
        <v>10767.9</v>
      </c>
      <c r="H22939">
        <v>250131</v>
      </c>
      <c r="I22939">
        <v>4440</v>
      </c>
      <c r="J22939" t="s">
        <v>346</v>
      </c>
      <c r="K22939">
        <v>10767.9</v>
      </c>
      <c r="L22939">
        <v>2187.9</v>
      </c>
      <c r="M22939">
        <v>18122</v>
      </c>
      <c r="N22939" t="s">
        <v>176</v>
      </c>
      <c r="O22939">
        <v>250218</v>
      </c>
      <c r="P22939">
        <v>8580</v>
      </c>
    </row>
    <row r="22940" spans="1:16" x14ac:dyDescent="0.25">
      <c r="A22940" t="s">
        <v>3296</v>
      </c>
      <c r="B22940" t="s">
        <v>2931</v>
      </c>
      <c r="C22940">
        <v>1992</v>
      </c>
      <c r="D22940" t="str">
        <f>"1973        "</f>
        <v xml:space="preserve">1973        </v>
      </c>
      <c r="E22940" t="s">
        <v>1174</v>
      </c>
      <c r="F22940" t="s">
        <v>1175</v>
      </c>
      <c r="G22940">
        <v>11828.38</v>
      </c>
      <c r="H22940">
        <v>250207</v>
      </c>
      <c r="I22940">
        <v>4440</v>
      </c>
      <c r="J22940" t="s">
        <v>346</v>
      </c>
      <c r="K22940">
        <v>11828.38</v>
      </c>
      <c r="L22940">
        <v>2403.38</v>
      </c>
      <c r="M22940">
        <v>18122</v>
      </c>
      <c r="N22940" t="s">
        <v>176</v>
      </c>
      <c r="O22940">
        <v>250218</v>
      </c>
      <c r="P22940">
        <v>9425</v>
      </c>
    </row>
    <row r="22941" spans="1:16" x14ac:dyDescent="0.25">
      <c r="A22941" t="s">
        <v>3296</v>
      </c>
      <c r="B22941" t="s">
        <v>2931</v>
      </c>
      <c r="C22941">
        <v>3583</v>
      </c>
      <c r="D22941" t="str">
        <f>"2001        "</f>
        <v xml:space="preserve">2001        </v>
      </c>
      <c r="E22941" t="s">
        <v>1174</v>
      </c>
      <c r="F22941" t="s">
        <v>1175</v>
      </c>
      <c r="G22941">
        <v>407.88</v>
      </c>
      <c r="H22941">
        <v>250314</v>
      </c>
      <c r="I22941">
        <v>4440</v>
      </c>
      <c r="J22941" t="s">
        <v>346</v>
      </c>
      <c r="K22941">
        <v>407.88</v>
      </c>
      <c r="L22941">
        <v>82.88</v>
      </c>
      <c r="M22941">
        <v>18122</v>
      </c>
      <c r="N22941" t="s">
        <v>176</v>
      </c>
      <c r="O22941">
        <v>250325</v>
      </c>
      <c r="P22941">
        <v>325</v>
      </c>
    </row>
    <row r="22942" spans="1:16" x14ac:dyDescent="0.25">
      <c r="A22942" t="s">
        <v>3296</v>
      </c>
      <c r="B22942" t="s">
        <v>2931</v>
      </c>
      <c r="C22942">
        <v>3587</v>
      </c>
      <c r="D22942" t="str">
        <f>"2003        "</f>
        <v xml:space="preserve">2003        </v>
      </c>
      <c r="E22942" t="s">
        <v>1174</v>
      </c>
      <c r="F22942" t="s">
        <v>1175</v>
      </c>
      <c r="G22942">
        <v>1631.5</v>
      </c>
      <c r="H22942">
        <v>250314</v>
      </c>
      <c r="I22942">
        <v>4440</v>
      </c>
      <c r="J22942" t="s">
        <v>346</v>
      </c>
      <c r="K22942">
        <v>1631.5</v>
      </c>
      <c r="L22942">
        <v>331.5</v>
      </c>
      <c r="M22942">
        <v>18122</v>
      </c>
      <c r="N22942" t="s">
        <v>176</v>
      </c>
      <c r="O22942">
        <v>250325</v>
      </c>
      <c r="P22942">
        <v>1300</v>
      </c>
    </row>
    <row r="22943" spans="1:16" x14ac:dyDescent="0.25">
      <c r="A22943" t="s">
        <v>3296</v>
      </c>
      <c r="B22943" t="s">
        <v>2931</v>
      </c>
      <c r="C22943">
        <v>3602</v>
      </c>
      <c r="D22943" t="str">
        <f>"2002        "</f>
        <v xml:space="preserve">2002        </v>
      </c>
      <c r="E22943" t="s">
        <v>1174</v>
      </c>
      <c r="F22943" t="s">
        <v>1175</v>
      </c>
      <c r="G22943">
        <v>489.45</v>
      </c>
      <c r="H22943">
        <v>250314</v>
      </c>
      <c r="I22943">
        <v>4440</v>
      </c>
      <c r="J22943" t="s">
        <v>346</v>
      </c>
      <c r="K22943">
        <v>489.45</v>
      </c>
      <c r="L22943">
        <v>99.45</v>
      </c>
      <c r="M22943">
        <v>18122</v>
      </c>
      <c r="N22943" t="s">
        <v>176</v>
      </c>
      <c r="O22943">
        <v>250326</v>
      </c>
      <c r="P22943">
        <v>390</v>
      </c>
    </row>
    <row r="22944" spans="1:16" x14ac:dyDescent="0.25">
      <c r="A22944" t="s">
        <v>3296</v>
      </c>
      <c r="B22944" t="s">
        <v>2931</v>
      </c>
      <c r="C22944">
        <v>3727</v>
      </c>
      <c r="D22944" t="str">
        <f>"2024        "</f>
        <v xml:space="preserve">2024        </v>
      </c>
      <c r="E22944" t="s">
        <v>1174</v>
      </c>
      <c r="F22944" t="s">
        <v>1175</v>
      </c>
      <c r="G22944">
        <v>7379.4</v>
      </c>
      <c r="H22944">
        <v>250319</v>
      </c>
      <c r="I22944">
        <v>4440</v>
      </c>
      <c r="J22944" t="s">
        <v>346</v>
      </c>
      <c r="K22944">
        <v>7379.4</v>
      </c>
      <c r="L22944">
        <v>1499.4</v>
      </c>
      <c r="M22944">
        <v>18820</v>
      </c>
      <c r="N22944" t="s">
        <v>372</v>
      </c>
      <c r="O22944">
        <v>250401</v>
      </c>
      <c r="P22944">
        <v>5880</v>
      </c>
    </row>
    <row r="22945" spans="1:16" x14ac:dyDescent="0.25">
      <c r="A22945" t="s">
        <v>3296</v>
      </c>
      <c r="B22945" t="s">
        <v>2931</v>
      </c>
      <c r="C22945">
        <v>5392</v>
      </c>
      <c r="D22945" t="str">
        <f>"2036        "</f>
        <v xml:space="preserve">2036        </v>
      </c>
      <c r="E22945" t="s">
        <v>1174</v>
      </c>
      <c r="F22945" t="s">
        <v>1175</v>
      </c>
      <c r="G22945">
        <v>11420.5</v>
      </c>
      <c r="H22945">
        <v>250411</v>
      </c>
      <c r="I22945">
        <v>4440</v>
      </c>
      <c r="J22945" t="s">
        <v>346</v>
      </c>
      <c r="K22945">
        <v>11420.5</v>
      </c>
      <c r="L22945">
        <v>2320.5</v>
      </c>
      <c r="M22945">
        <v>18122</v>
      </c>
      <c r="N22945" t="s">
        <v>176</v>
      </c>
      <c r="O22945">
        <v>250424</v>
      </c>
      <c r="P22945">
        <v>9100</v>
      </c>
    </row>
    <row r="22946" spans="1:16" x14ac:dyDescent="0.25">
      <c r="A22946" t="s">
        <v>3296</v>
      </c>
      <c r="B22946" t="s">
        <v>2931</v>
      </c>
      <c r="C22946">
        <v>8992</v>
      </c>
      <c r="D22946" t="str">
        <f>"2058        "</f>
        <v xml:space="preserve">2058        </v>
      </c>
      <c r="E22946" t="s">
        <v>1174</v>
      </c>
      <c r="F22946" t="s">
        <v>1175</v>
      </c>
      <c r="G22946">
        <v>7203.7</v>
      </c>
      <c r="H22946">
        <v>250611</v>
      </c>
      <c r="I22946">
        <v>4440</v>
      </c>
      <c r="J22946" t="s">
        <v>346</v>
      </c>
      <c r="K22946">
        <v>7203.7</v>
      </c>
      <c r="L22946">
        <v>1463.7</v>
      </c>
      <c r="M22946">
        <v>18820</v>
      </c>
      <c r="N22946" t="s">
        <v>372</v>
      </c>
      <c r="O22946">
        <v>250624</v>
      </c>
      <c r="P22946">
        <v>5740</v>
      </c>
    </row>
    <row r="22947" spans="1:16" x14ac:dyDescent="0.25">
      <c r="A22947" t="s">
        <v>3296</v>
      </c>
      <c r="B22947" t="s">
        <v>2931</v>
      </c>
      <c r="C22947">
        <v>11676</v>
      </c>
      <c r="D22947" t="str">
        <f>"2100        "</f>
        <v xml:space="preserve">2100        </v>
      </c>
      <c r="E22947" t="s">
        <v>1174</v>
      </c>
      <c r="F22947" t="s">
        <v>1175</v>
      </c>
      <c r="G22947">
        <v>13459.88</v>
      </c>
      <c r="H22947">
        <v>250829</v>
      </c>
      <c r="I22947">
        <v>4440</v>
      </c>
      <c r="J22947" t="s">
        <v>346</v>
      </c>
      <c r="K22947">
        <v>13459.88</v>
      </c>
      <c r="L22947">
        <v>2734.88</v>
      </c>
      <c r="M22947">
        <v>18122</v>
      </c>
      <c r="N22947" t="s">
        <v>176</v>
      </c>
      <c r="O22947">
        <v>250910</v>
      </c>
      <c r="P22947">
        <v>10725</v>
      </c>
    </row>
    <row r="22948" spans="1:16" x14ac:dyDescent="0.25">
      <c r="A22948" t="s">
        <v>3296</v>
      </c>
      <c r="B22948" t="s">
        <v>2931</v>
      </c>
      <c r="C22948">
        <v>12886</v>
      </c>
      <c r="D22948" t="str">
        <f>"2109        "</f>
        <v xml:space="preserve">2109        </v>
      </c>
      <c r="E22948" t="s">
        <v>1174</v>
      </c>
      <c r="F22948" t="s">
        <v>1175</v>
      </c>
      <c r="G22948">
        <v>3765</v>
      </c>
      <c r="H22948">
        <v>250926</v>
      </c>
      <c r="I22948">
        <v>4440</v>
      </c>
      <c r="J22948" t="s">
        <v>346</v>
      </c>
      <c r="K22948">
        <v>3765</v>
      </c>
      <c r="L22948">
        <v>765</v>
      </c>
      <c r="M22948">
        <v>18122</v>
      </c>
      <c r="N22948" t="s">
        <v>176</v>
      </c>
      <c r="O22948">
        <v>251001</v>
      </c>
      <c r="P22948">
        <v>3000</v>
      </c>
    </row>
    <row r="22949" spans="1:16" x14ac:dyDescent="0.25">
      <c r="A22949" t="s">
        <v>3296</v>
      </c>
      <c r="B22949" t="s">
        <v>2931</v>
      </c>
      <c r="C22949">
        <v>14022</v>
      </c>
      <c r="D22949" t="str">
        <f>"2119        "</f>
        <v xml:space="preserve">2119        </v>
      </c>
      <c r="E22949" t="s">
        <v>1174</v>
      </c>
      <c r="F22949" t="s">
        <v>1175</v>
      </c>
      <c r="G22949">
        <v>2855.14</v>
      </c>
      <c r="H22949">
        <v>251013</v>
      </c>
      <c r="I22949">
        <v>4440</v>
      </c>
      <c r="J22949" t="s">
        <v>346</v>
      </c>
      <c r="K22949">
        <v>2855.14</v>
      </c>
      <c r="L22949">
        <v>580.13</v>
      </c>
      <c r="M22949">
        <v>18122</v>
      </c>
      <c r="N22949" t="s">
        <v>176</v>
      </c>
      <c r="O22949">
        <v>251022</v>
      </c>
      <c r="P22949">
        <v>2275.0100000000002</v>
      </c>
    </row>
    <row r="22950" spans="1:16" x14ac:dyDescent="0.25">
      <c r="A22950" t="s">
        <v>3296</v>
      </c>
      <c r="B22950" t="s">
        <v>2931</v>
      </c>
      <c r="C22950">
        <v>14494</v>
      </c>
      <c r="D22950" t="str">
        <f>"2126        "</f>
        <v xml:space="preserve">2126        </v>
      </c>
      <c r="E22950" t="s">
        <v>1174</v>
      </c>
      <c r="F22950" t="s">
        <v>1175</v>
      </c>
      <c r="G22950">
        <v>14275.64</v>
      </c>
      <c r="H22950">
        <v>251030</v>
      </c>
      <c r="I22950">
        <v>4440</v>
      </c>
      <c r="J22950" t="s">
        <v>346</v>
      </c>
      <c r="K22950">
        <v>14275.64</v>
      </c>
      <c r="L22950">
        <v>2900.63</v>
      </c>
      <c r="M22950">
        <v>18122</v>
      </c>
      <c r="N22950" t="s">
        <v>176</v>
      </c>
      <c r="O22950">
        <v>251103</v>
      </c>
      <c r="P22950">
        <v>11375.01</v>
      </c>
    </row>
    <row r="22951" spans="1:16" x14ac:dyDescent="0.25">
      <c r="A22951" t="s">
        <v>3296</v>
      </c>
      <c r="B22951" t="s">
        <v>2931</v>
      </c>
      <c r="C22951">
        <v>16451</v>
      </c>
      <c r="D22951" t="str">
        <f>"2134        "</f>
        <v xml:space="preserve">2134        </v>
      </c>
      <c r="E22951" t="s">
        <v>1174</v>
      </c>
      <c r="F22951" t="s">
        <v>1175</v>
      </c>
      <c r="G22951">
        <v>815.75</v>
      </c>
      <c r="H22951">
        <v>251130</v>
      </c>
      <c r="I22951">
        <v>4440</v>
      </c>
      <c r="J22951" t="s">
        <v>346</v>
      </c>
      <c r="K22951">
        <v>815.75</v>
      </c>
      <c r="L22951">
        <v>165.75</v>
      </c>
      <c r="M22951">
        <v>18122</v>
      </c>
      <c r="N22951" t="s">
        <v>176</v>
      </c>
      <c r="O22951">
        <v>251208</v>
      </c>
      <c r="P22951">
        <v>650</v>
      </c>
    </row>
    <row r="22952" spans="1:16" x14ac:dyDescent="0.25">
      <c r="A22952" t="s">
        <v>3296</v>
      </c>
      <c r="B22952" t="s">
        <v>2931</v>
      </c>
      <c r="C22952">
        <v>16766</v>
      </c>
      <c r="D22952" t="str">
        <f>"2135        "</f>
        <v xml:space="preserve">2135        </v>
      </c>
      <c r="E22952" t="s">
        <v>1174</v>
      </c>
      <c r="F22952" t="s">
        <v>1175</v>
      </c>
      <c r="G22952">
        <v>10014.9</v>
      </c>
      <c r="H22952">
        <v>251130</v>
      </c>
      <c r="I22952">
        <v>4440</v>
      </c>
      <c r="J22952" t="s">
        <v>346</v>
      </c>
      <c r="K22952">
        <v>10014.9</v>
      </c>
      <c r="L22952">
        <v>2034.9</v>
      </c>
      <c r="M22952">
        <v>18820</v>
      </c>
      <c r="N22952" t="s">
        <v>372</v>
      </c>
      <c r="O22952">
        <v>251211</v>
      </c>
      <c r="P22952">
        <v>7980</v>
      </c>
    </row>
    <row r="22953" spans="1:16" x14ac:dyDescent="0.25">
      <c r="A22953" t="s">
        <v>3296</v>
      </c>
      <c r="B22953" t="s">
        <v>2931</v>
      </c>
      <c r="C22953">
        <v>16932</v>
      </c>
      <c r="D22953" t="str">
        <f>"2133        "</f>
        <v xml:space="preserve">2133        </v>
      </c>
      <c r="E22953" t="s">
        <v>1174</v>
      </c>
      <c r="F22953" t="s">
        <v>1175</v>
      </c>
      <c r="G22953">
        <v>11295</v>
      </c>
      <c r="H22953">
        <v>251130</v>
      </c>
      <c r="I22953">
        <v>4440</v>
      </c>
      <c r="J22953" t="s">
        <v>346</v>
      </c>
      <c r="K22953">
        <v>11295</v>
      </c>
      <c r="L22953">
        <v>2295</v>
      </c>
      <c r="M22953">
        <v>18120</v>
      </c>
      <c r="N22953" t="s">
        <v>37</v>
      </c>
      <c r="O22953">
        <v>251216</v>
      </c>
      <c r="P22953">
        <v>9000</v>
      </c>
    </row>
    <row r="22954" spans="1:16" x14ac:dyDescent="0.25">
      <c r="A22954" t="s">
        <v>3296</v>
      </c>
      <c r="B22954" t="s">
        <v>2931</v>
      </c>
      <c r="C22954">
        <v>17445</v>
      </c>
      <c r="D22954" t="str">
        <f>"2146        "</f>
        <v xml:space="preserve">2146        </v>
      </c>
      <c r="E22954" t="s">
        <v>1174</v>
      </c>
      <c r="F22954" t="s">
        <v>1175</v>
      </c>
      <c r="G22954">
        <v>3921.88</v>
      </c>
      <c r="H22954">
        <v>251209</v>
      </c>
      <c r="I22954">
        <v>4440</v>
      </c>
      <c r="J22954" t="s">
        <v>346</v>
      </c>
      <c r="K22954">
        <v>3921.88</v>
      </c>
      <c r="L22954">
        <v>796.88</v>
      </c>
      <c r="M22954">
        <v>18122</v>
      </c>
      <c r="N22954" t="s">
        <v>176</v>
      </c>
      <c r="O22954">
        <v>251219</v>
      </c>
      <c r="P22954">
        <v>3125</v>
      </c>
    </row>
    <row r="22955" spans="1:16" x14ac:dyDescent="0.25">
      <c r="A22955" t="s">
        <v>3296</v>
      </c>
      <c r="B22955" t="s">
        <v>2931</v>
      </c>
      <c r="C22955">
        <v>2716</v>
      </c>
      <c r="D22955" t="str">
        <f>"32622       "</f>
        <v xml:space="preserve">32622       </v>
      </c>
      <c r="E22955" t="s">
        <v>1338</v>
      </c>
      <c r="F22955" t="s">
        <v>1339</v>
      </c>
      <c r="G22955">
        <v>350</v>
      </c>
      <c r="H22955">
        <v>250201</v>
      </c>
      <c r="I22955">
        <v>4600</v>
      </c>
      <c r="J22955" t="s">
        <v>278</v>
      </c>
      <c r="K22955">
        <v>350</v>
      </c>
      <c r="L22955">
        <v>0</v>
      </c>
      <c r="M22955">
        <v>11601</v>
      </c>
      <c r="N22955" t="s">
        <v>12</v>
      </c>
      <c r="O22955">
        <v>250311</v>
      </c>
      <c r="P22955">
        <v>350</v>
      </c>
    </row>
    <row r="22956" spans="1:16" x14ac:dyDescent="0.25">
      <c r="A22956" t="s">
        <v>3296</v>
      </c>
      <c r="B22956" t="s">
        <v>2931</v>
      </c>
      <c r="C22956">
        <v>14073</v>
      </c>
      <c r="D22956" t="str">
        <f>"33749       "</f>
        <v xml:space="preserve">33749       </v>
      </c>
      <c r="E22956" t="s">
        <v>1338</v>
      </c>
      <c r="F22956" t="s">
        <v>1339</v>
      </c>
      <c r="G22956">
        <v>50</v>
      </c>
      <c r="H22956">
        <v>251016</v>
      </c>
      <c r="I22956">
        <v>4600</v>
      </c>
      <c r="J22956" t="s">
        <v>278</v>
      </c>
      <c r="K22956">
        <v>50</v>
      </c>
      <c r="L22956">
        <v>0</v>
      </c>
      <c r="M22956">
        <v>13801</v>
      </c>
      <c r="N22956" t="s">
        <v>33</v>
      </c>
      <c r="O22956">
        <v>251023</v>
      </c>
      <c r="P22956">
        <v>50</v>
      </c>
    </row>
    <row r="22957" spans="1:16" x14ac:dyDescent="0.25">
      <c r="A22957" t="s">
        <v>3296</v>
      </c>
      <c r="B22957" t="s">
        <v>2931</v>
      </c>
      <c r="C22957">
        <v>9937</v>
      </c>
      <c r="D22957" t="str">
        <f>"1285        "</f>
        <v xml:space="preserve">1285        </v>
      </c>
      <c r="E22957" t="s">
        <v>2159</v>
      </c>
      <c r="F22957" t="s">
        <v>2160</v>
      </c>
      <c r="G22957">
        <v>2349.7800000000002</v>
      </c>
      <c r="H22957">
        <v>250801</v>
      </c>
      <c r="I22957">
        <v>4367</v>
      </c>
      <c r="J22957" t="s">
        <v>159</v>
      </c>
      <c r="K22957">
        <v>11269.9</v>
      </c>
      <c r="L22957">
        <v>477.45</v>
      </c>
      <c r="M22957">
        <v>18972</v>
      </c>
      <c r="N22957" t="s">
        <v>39</v>
      </c>
      <c r="O22957">
        <v>250805</v>
      </c>
      <c r="P22957">
        <v>1872.33</v>
      </c>
    </row>
    <row r="22958" spans="1:16" x14ac:dyDescent="0.25">
      <c r="A22958" t="s">
        <v>3296</v>
      </c>
      <c r="B22958" t="s">
        <v>2931</v>
      </c>
      <c r="C22958">
        <v>10777</v>
      </c>
      <c r="D22958" t="str">
        <f>"190825      "</f>
        <v xml:space="preserve">190825      </v>
      </c>
      <c r="E22958" t="s">
        <v>2213</v>
      </c>
      <c r="F22958" t="s">
        <v>2214</v>
      </c>
      <c r="G22958">
        <v>375.25</v>
      </c>
      <c r="H22958">
        <v>250819</v>
      </c>
      <c r="I22958">
        <v>4440</v>
      </c>
      <c r="J22958" t="s">
        <v>346</v>
      </c>
      <c r="K22958">
        <v>375.25</v>
      </c>
      <c r="L22958">
        <v>76.25</v>
      </c>
      <c r="M22958">
        <v>16930</v>
      </c>
      <c r="N22958" t="s">
        <v>135</v>
      </c>
      <c r="O22958">
        <v>250822</v>
      </c>
      <c r="P22958">
        <v>299</v>
      </c>
    </row>
    <row r="22959" spans="1:16" x14ac:dyDescent="0.25">
      <c r="A22959" t="s">
        <v>3296</v>
      </c>
      <c r="B22959" t="s">
        <v>2931</v>
      </c>
      <c r="C22959">
        <v>12927</v>
      </c>
      <c r="D22959" t="str">
        <f>"1032        "</f>
        <v xml:space="preserve">1032        </v>
      </c>
      <c r="E22959" t="s">
        <v>2408</v>
      </c>
      <c r="F22959" t="s">
        <v>2409</v>
      </c>
      <c r="G22959">
        <v>1404.48</v>
      </c>
      <c r="H22959">
        <v>250928</v>
      </c>
      <c r="I22959">
        <v>4554</v>
      </c>
      <c r="J22959" t="s">
        <v>351</v>
      </c>
      <c r="K22959">
        <v>1404.48</v>
      </c>
      <c r="L22959">
        <v>172.48</v>
      </c>
      <c r="M22959">
        <v>17737</v>
      </c>
      <c r="N22959" t="s">
        <v>156</v>
      </c>
      <c r="O22959">
        <v>251002</v>
      </c>
      <c r="P22959">
        <v>1232</v>
      </c>
    </row>
    <row r="22960" spans="1:16" x14ac:dyDescent="0.25">
      <c r="A22960" t="s">
        <v>3296</v>
      </c>
      <c r="B22960" t="s">
        <v>2931</v>
      </c>
      <c r="C22960">
        <v>1294</v>
      </c>
      <c r="D22960" t="str">
        <f>"357         "</f>
        <v xml:space="preserve">357         </v>
      </c>
      <c r="E22960" t="s">
        <v>933</v>
      </c>
      <c r="F22960" t="s">
        <v>934</v>
      </c>
      <c r="G22960">
        <v>1430.7</v>
      </c>
      <c r="H22960">
        <v>250204</v>
      </c>
      <c r="I22960">
        <v>4400</v>
      </c>
      <c r="J22960" t="s">
        <v>162</v>
      </c>
      <c r="K22960">
        <v>1430.7</v>
      </c>
      <c r="L22960">
        <v>290.7</v>
      </c>
      <c r="M22960">
        <v>46557</v>
      </c>
      <c r="N22960" t="s">
        <v>104</v>
      </c>
      <c r="O22960">
        <v>250206</v>
      </c>
      <c r="P22960">
        <v>1140</v>
      </c>
    </row>
    <row r="22961" spans="1:16" x14ac:dyDescent="0.25">
      <c r="A22961" t="s">
        <v>3296</v>
      </c>
      <c r="B22961" t="s">
        <v>2931</v>
      </c>
      <c r="C22961">
        <v>10578</v>
      </c>
      <c r="D22961" t="str">
        <f>"394         "</f>
        <v xml:space="preserve">394         </v>
      </c>
      <c r="E22961" t="s">
        <v>933</v>
      </c>
      <c r="F22961" t="s">
        <v>934</v>
      </c>
      <c r="G22961">
        <v>225</v>
      </c>
      <c r="H22961">
        <v>250814</v>
      </c>
      <c r="I22961">
        <v>4400</v>
      </c>
      <c r="J22961" t="s">
        <v>162</v>
      </c>
      <c r="K22961">
        <v>407.88</v>
      </c>
      <c r="L22961">
        <v>45.72</v>
      </c>
      <c r="M22961">
        <v>46557</v>
      </c>
      <c r="N22961" t="s">
        <v>104</v>
      </c>
      <c r="O22961">
        <v>250820</v>
      </c>
      <c r="P22961">
        <v>179.28</v>
      </c>
    </row>
    <row r="22962" spans="1:16" x14ac:dyDescent="0.25">
      <c r="A22962" t="s">
        <v>3296</v>
      </c>
      <c r="B22962" t="s">
        <v>2931</v>
      </c>
      <c r="C22962">
        <v>10578</v>
      </c>
      <c r="D22962" t="str">
        <f>"394         "</f>
        <v xml:space="preserve">394         </v>
      </c>
      <c r="E22962" t="s">
        <v>933</v>
      </c>
      <c r="F22962" t="s">
        <v>934</v>
      </c>
      <c r="G22962">
        <v>182.88</v>
      </c>
      <c r="H22962">
        <v>250814</v>
      </c>
      <c r="I22962">
        <v>4600</v>
      </c>
      <c r="J22962" t="s">
        <v>278</v>
      </c>
      <c r="K22962">
        <v>407.88</v>
      </c>
      <c r="L22962">
        <v>37.159999999999997</v>
      </c>
      <c r="M22962">
        <v>46557</v>
      </c>
      <c r="N22962" t="s">
        <v>104</v>
      </c>
      <c r="O22962">
        <v>250820</v>
      </c>
      <c r="P22962">
        <v>145.72</v>
      </c>
    </row>
    <row r="22963" spans="1:16" x14ac:dyDescent="0.25">
      <c r="A22963" t="s">
        <v>3296</v>
      </c>
      <c r="B22963" t="s">
        <v>2931</v>
      </c>
      <c r="C22963">
        <v>595</v>
      </c>
      <c r="D22963" t="str">
        <f>"18437       "</f>
        <v xml:space="preserve">18437       </v>
      </c>
      <c r="E22963" t="s">
        <v>605</v>
      </c>
      <c r="F22963" t="s">
        <v>606</v>
      </c>
      <c r="G22963">
        <v>304.91000000000003</v>
      </c>
      <c r="H22963">
        <v>250120</v>
      </c>
      <c r="I22963">
        <v>4400</v>
      </c>
      <c r="J22963" t="s">
        <v>162</v>
      </c>
      <c r="K22963">
        <v>499.94</v>
      </c>
      <c r="L22963">
        <v>61.95</v>
      </c>
      <c r="M22963">
        <v>59502</v>
      </c>
      <c r="N22963" t="s">
        <v>63</v>
      </c>
      <c r="O22963">
        <v>250124</v>
      </c>
      <c r="P22963">
        <v>242.96</v>
      </c>
    </row>
    <row r="22964" spans="1:16" x14ac:dyDescent="0.25">
      <c r="A22964" t="s">
        <v>3296</v>
      </c>
      <c r="B22964" t="s">
        <v>2931</v>
      </c>
      <c r="C22964">
        <v>595</v>
      </c>
      <c r="D22964" t="str">
        <f>"18437       "</f>
        <v xml:space="preserve">18437       </v>
      </c>
      <c r="E22964" t="s">
        <v>605</v>
      </c>
      <c r="F22964" t="s">
        <v>606</v>
      </c>
      <c r="G22964">
        <v>195.03</v>
      </c>
      <c r="H22964">
        <v>250120</v>
      </c>
      <c r="I22964">
        <v>4400</v>
      </c>
      <c r="J22964" t="s">
        <v>162</v>
      </c>
      <c r="K22964">
        <v>499.94</v>
      </c>
      <c r="L22964">
        <v>39.630000000000003</v>
      </c>
      <c r="M22964">
        <v>59802</v>
      </c>
      <c r="N22964" t="s">
        <v>195</v>
      </c>
      <c r="O22964">
        <v>250124</v>
      </c>
      <c r="P22964">
        <v>155.4</v>
      </c>
    </row>
    <row r="22965" spans="1:16" x14ac:dyDescent="0.25">
      <c r="A22965" t="s">
        <v>3296</v>
      </c>
      <c r="B22965" t="s">
        <v>2931</v>
      </c>
      <c r="C22965">
        <v>4486</v>
      </c>
      <c r="D22965" t="str">
        <f>"19008       "</f>
        <v xml:space="preserve">19008       </v>
      </c>
      <c r="E22965" t="s">
        <v>605</v>
      </c>
      <c r="F22965" t="s">
        <v>606</v>
      </c>
      <c r="G22965">
        <v>247.36</v>
      </c>
      <c r="H22965">
        <v>250331</v>
      </c>
      <c r="I22965">
        <v>4400</v>
      </c>
      <c r="J22965" t="s">
        <v>162</v>
      </c>
      <c r="K22965">
        <v>247.36</v>
      </c>
      <c r="L22965">
        <v>50.26</v>
      </c>
      <c r="M22965">
        <v>59501</v>
      </c>
      <c r="N22965" t="s">
        <v>62</v>
      </c>
      <c r="O22965">
        <v>250411</v>
      </c>
      <c r="P22965">
        <v>197.1</v>
      </c>
    </row>
    <row r="22966" spans="1:16" x14ac:dyDescent="0.25">
      <c r="A22966" t="s">
        <v>3296</v>
      </c>
      <c r="B22966" t="s">
        <v>2931</v>
      </c>
      <c r="C22966">
        <v>6190</v>
      </c>
      <c r="D22966" t="str">
        <f>"19218       "</f>
        <v xml:space="preserve">19218       </v>
      </c>
      <c r="E22966" t="s">
        <v>605</v>
      </c>
      <c r="F22966" t="s">
        <v>606</v>
      </c>
      <c r="G22966">
        <v>596.64</v>
      </c>
      <c r="H22966">
        <v>250429</v>
      </c>
      <c r="I22966">
        <v>4400</v>
      </c>
      <c r="J22966" t="s">
        <v>162</v>
      </c>
      <c r="K22966">
        <v>596.64</v>
      </c>
      <c r="L22966">
        <v>121.23</v>
      </c>
      <c r="M22966">
        <v>17951</v>
      </c>
      <c r="N22966" t="s">
        <v>207</v>
      </c>
      <c r="O22966">
        <v>250509</v>
      </c>
      <c r="P22966">
        <v>475.41</v>
      </c>
    </row>
    <row r="22967" spans="1:16" x14ac:dyDescent="0.25">
      <c r="A22967" t="s">
        <v>3296</v>
      </c>
      <c r="B22967" t="s">
        <v>2931</v>
      </c>
      <c r="C22967">
        <v>10977</v>
      </c>
      <c r="D22967" t="str">
        <f>"19882       "</f>
        <v xml:space="preserve">19882       </v>
      </c>
      <c r="E22967" t="s">
        <v>605</v>
      </c>
      <c r="F22967" t="s">
        <v>606</v>
      </c>
      <c r="G22967">
        <v>83.44</v>
      </c>
      <c r="H22967">
        <v>250825</v>
      </c>
      <c r="I22967">
        <v>4400</v>
      </c>
      <c r="J22967" t="s">
        <v>162</v>
      </c>
      <c r="K22967">
        <v>136.81</v>
      </c>
      <c r="L22967">
        <v>16.95</v>
      </c>
      <c r="M22967">
        <v>59502</v>
      </c>
      <c r="N22967" t="s">
        <v>63</v>
      </c>
      <c r="O22967">
        <v>250828</v>
      </c>
      <c r="P22967">
        <v>66.489999999999995</v>
      </c>
    </row>
    <row r="22968" spans="1:16" x14ac:dyDescent="0.25">
      <c r="A22968" t="s">
        <v>3296</v>
      </c>
      <c r="B22968" t="s">
        <v>2931</v>
      </c>
      <c r="C22968">
        <v>10977</v>
      </c>
      <c r="D22968" t="str">
        <f>"19882       "</f>
        <v xml:space="preserve">19882       </v>
      </c>
      <c r="E22968" t="s">
        <v>605</v>
      </c>
      <c r="F22968" t="s">
        <v>606</v>
      </c>
      <c r="G22968">
        <v>53.37</v>
      </c>
      <c r="H22968">
        <v>250825</v>
      </c>
      <c r="I22968">
        <v>4400</v>
      </c>
      <c r="J22968" t="s">
        <v>162</v>
      </c>
      <c r="K22968">
        <v>136.81</v>
      </c>
      <c r="L22968">
        <v>10.84</v>
      </c>
      <c r="M22968">
        <v>59802</v>
      </c>
      <c r="N22968" t="s">
        <v>195</v>
      </c>
      <c r="O22968">
        <v>250828</v>
      </c>
      <c r="P22968">
        <v>42.53</v>
      </c>
    </row>
    <row r="22969" spans="1:16" x14ac:dyDescent="0.25">
      <c r="A22969" t="s">
        <v>3296</v>
      </c>
      <c r="B22969" t="s">
        <v>2931</v>
      </c>
      <c r="C22969">
        <v>16074</v>
      </c>
      <c r="D22969" t="str">
        <f>"20566       "</f>
        <v xml:space="preserve">20566       </v>
      </c>
      <c r="E22969" t="s">
        <v>605</v>
      </c>
      <c r="F22969" t="s">
        <v>606</v>
      </c>
      <c r="G22969">
        <v>118.71</v>
      </c>
      <c r="H22969">
        <v>251130</v>
      </c>
      <c r="I22969">
        <v>4400</v>
      </c>
      <c r="J22969" t="s">
        <v>162</v>
      </c>
      <c r="K22969">
        <v>118.71</v>
      </c>
      <c r="L22969">
        <v>24.12</v>
      </c>
      <c r="M22969">
        <v>59501</v>
      </c>
      <c r="N22969" t="s">
        <v>62</v>
      </c>
      <c r="O22969">
        <v>251203</v>
      </c>
      <c r="P22969">
        <v>94.59</v>
      </c>
    </row>
    <row r="22970" spans="1:16" x14ac:dyDescent="0.25">
      <c r="A22970" t="s">
        <v>3296</v>
      </c>
      <c r="B22970" t="s">
        <v>2931</v>
      </c>
      <c r="C22970">
        <v>17063</v>
      </c>
      <c r="D22970" t="str">
        <f>"20638       "</f>
        <v xml:space="preserve">20638       </v>
      </c>
      <c r="E22970" t="s">
        <v>605</v>
      </c>
      <c r="F22970" t="s">
        <v>606</v>
      </c>
      <c r="G22970">
        <v>188.26</v>
      </c>
      <c r="H22970">
        <v>251130</v>
      </c>
      <c r="I22970">
        <v>4400</v>
      </c>
      <c r="J22970" t="s">
        <v>162</v>
      </c>
      <c r="K22970">
        <v>188.26</v>
      </c>
      <c r="L22970">
        <v>38.25</v>
      </c>
      <c r="M22970">
        <v>56558</v>
      </c>
      <c r="N22970" t="s">
        <v>50</v>
      </c>
      <c r="O22970">
        <v>251216</v>
      </c>
      <c r="P22970">
        <v>150.01</v>
      </c>
    </row>
    <row r="22971" spans="1:16" x14ac:dyDescent="0.25">
      <c r="A22971" t="s">
        <v>3296</v>
      </c>
      <c r="B22971" t="s">
        <v>2931</v>
      </c>
      <c r="C22971">
        <v>9487</v>
      </c>
      <c r="D22971" t="str">
        <f>"216         "</f>
        <v xml:space="preserve">216         </v>
      </c>
      <c r="E22971" t="s">
        <v>2130</v>
      </c>
      <c r="F22971" t="s">
        <v>2131</v>
      </c>
      <c r="G22971">
        <v>952.73</v>
      </c>
      <c r="H22971">
        <v>250703</v>
      </c>
      <c r="I22971">
        <v>4380</v>
      </c>
      <c r="J22971" t="s">
        <v>211</v>
      </c>
      <c r="K22971">
        <v>1561.85</v>
      </c>
      <c r="L22971">
        <v>193.58</v>
      </c>
      <c r="M22971">
        <v>59502</v>
      </c>
      <c r="N22971" t="s">
        <v>63</v>
      </c>
      <c r="O22971">
        <v>250709</v>
      </c>
      <c r="P22971">
        <v>759.15</v>
      </c>
    </row>
    <row r="22972" spans="1:16" x14ac:dyDescent="0.25">
      <c r="A22972" t="s">
        <v>3296</v>
      </c>
      <c r="B22972" t="s">
        <v>2931</v>
      </c>
      <c r="C22972">
        <v>9487</v>
      </c>
      <c r="D22972" t="str">
        <f>"216         "</f>
        <v xml:space="preserve">216         </v>
      </c>
      <c r="E22972" t="s">
        <v>2130</v>
      </c>
      <c r="F22972" t="s">
        <v>2131</v>
      </c>
      <c r="G22972">
        <v>609.12</v>
      </c>
      <c r="H22972">
        <v>250703</v>
      </c>
      <c r="I22972">
        <v>4380</v>
      </c>
      <c r="J22972" t="s">
        <v>211</v>
      </c>
      <c r="K22972">
        <v>1561.85</v>
      </c>
      <c r="L22972">
        <v>123.77</v>
      </c>
      <c r="M22972">
        <v>59802</v>
      </c>
      <c r="N22972" t="s">
        <v>195</v>
      </c>
      <c r="O22972">
        <v>250709</v>
      </c>
      <c r="P22972">
        <v>485.35</v>
      </c>
    </row>
    <row r="22973" spans="1:16" x14ac:dyDescent="0.25">
      <c r="A22973" t="s">
        <v>3296</v>
      </c>
      <c r="B22973" t="s">
        <v>2931</v>
      </c>
      <c r="C22973">
        <v>316</v>
      </c>
      <c r="D22973" t="str">
        <f>"0016157772  "</f>
        <v xml:space="preserve">0016157772  </v>
      </c>
      <c r="E22973" t="s">
        <v>413</v>
      </c>
      <c r="F22973" t="s">
        <v>414</v>
      </c>
      <c r="G22973">
        <v>3113.66</v>
      </c>
      <c r="H22973">
        <v>250108</v>
      </c>
      <c r="I22973">
        <v>4600</v>
      </c>
      <c r="J22973" t="s">
        <v>278</v>
      </c>
      <c r="K22973">
        <v>3113.66</v>
      </c>
      <c r="L22973">
        <v>632.66</v>
      </c>
      <c r="M22973">
        <v>17803</v>
      </c>
      <c r="N22973" t="s">
        <v>19</v>
      </c>
      <c r="O22973">
        <v>250121</v>
      </c>
      <c r="P22973">
        <v>2481</v>
      </c>
    </row>
    <row r="22974" spans="1:16" x14ac:dyDescent="0.25">
      <c r="A22974" t="s">
        <v>3296</v>
      </c>
      <c r="B22974" t="s">
        <v>2931</v>
      </c>
      <c r="C22974">
        <v>17210</v>
      </c>
      <c r="D22974" t="str">
        <f>"0016177074  "</f>
        <v xml:space="preserve">0016177074  </v>
      </c>
      <c r="E22974" t="s">
        <v>413</v>
      </c>
      <c r="F22974" t="s">
        <v>414</v>
      </c>
      <c r="G22974">
        <v>125.5</v>
      </c>
      <c r="H22974">
        <v>251210</v>
      </c>
      <c r="I22974">
        <v>4600</v>
      </c>
      <c r="J22974" t="s">
        <v>278</v>
      </c>
      <c r="K22974">
        <v>125.5</v>
      </c>
      <c r="L22974">
        <v>25.5</v>
      </c>
      <c r="M22974">
        <v>17633</v>
      </c>
      <c r="N22974" t="s">
        <v>628</v>
      </c>
      <c r="O22974">
        <v>251218</v>
      </c>
      <c r="P22974">
        <v>100</v>
      </c>
    </row>
    <row r="22975" spans="1:16" x14ac:dyDescent="0.25">
      <c r="A22975" t="s">
        <v>3296</v>
      </c>
      <c r="B22975" t="s">
        <v>2931</v>
      </c>
      <c r="C22975">
        <v>5325</v>
      </c>
      <c r="D22975" t="str">
        <f>"1096        "</f>
        <v xml:space="preserve">1096        </v>
      </c>
      <c r="E22975" t="s">
        <v>1714</v>
      </c>
      <c r="F22975" t="s">
        <v>1715</v>
      </c>
      <c r="G22975">
        <v>29.3</v>
      </c>
      <c r="H22975">
        <v>250412</v>
      </c>
      <c r="I22975">
        <v>4600</v>
      </c>
      <c r="J22975" t="s">
        <v>278</v>
      </c>
      <c r="K22975">
        <v>29.3</v>
      </c>
      <c r="L22975">
        <v>5.95</v>
      </c>
      <c r="M22975">
        <v>13802</v>
      </c>
      <c r="N22975" t="s">
        <v>34</v>
      </c>
      <c r="O22975">
        <v>250423</v>
      </c>
      <c r="P22975">
        <v>23.35</v>
      </c>
    </row>
    <row r="22976" spans="1:16" x14ac:dyDescent="0.25">
      <c r="A22976" t="s">
        <v>3296</v>
      </c>
      <c r="B22976" t="s">
        <v>2931</v>
      </c>
      <c r="C22976">
        <v>13809</v>
      </c>
      <c r="D22976" t="str">
        <f>"1191        "</f>
        <v xml:space="preserve">1191        </v>
      </c>
      <c r="E22976" t="s">
        <v>1714</v>
      </c>
      <c r="F22976" t="s">
        <v>1715</v>
      </c>
      <c r="G22976">
        <v>20.399999999999999</v>
      </c>
      <c r="H22976">
        <v>251013</v>
      </c>
      <c r="I22976">
        <v>4600</v>
      </c>
      <c r="J22976" t="s">
        <v>278</v>
      </c>
      <c r="K22976">
        <v>20.399999999999999</v>
      </c>
      <c r="L22976">
        <v>4.1500000000000004</v>
      </c>
      <c r="M22976">
        <v>13802</v>
      </c>
      <c r="N22976" t="s">
        <v>34</v>
      </c>
      <c r="O22976">
        <v>251020</v>
      </c>
      <c r="P22976">
        <v>16.25</v>
      </c>
    </row>
    <row r="22977" spans="1:16" x14ac:dyDescent="0.25">
      <c r="A22977" t="s">
        <v>3296</v>
      </c>
      <c r="B22977" t="s">
        <v>2931</v>
      </c>
      <c r="C22977">
        <v>1933</v>
      </c>
      <c r="D22977" t="str">
        <f>"302521586   "</f>
        <v xml:space="preserve">302521586   </v>
      </c>
      <c r="E22977" t="s">
        <v>1159</v>
      </c>
      <c r="F22977" t="s">
        <v>1160</v>
      </c>
      <c r="G22977">
        <v>77.790000000000006</v>
      </c>
      <c r="H22977">
        <v>250130</v>
      </c>
      <c r="I22977">
        <v>4500</v>
      </c>
      <c r="J22977" t="s">
        <v>312</v>
      </c>
      <c r="K22977">
        <v>77.790000000000006</v>
      </c>
      <c r="L22977">
        <v>15.81</v>
      </c>
      <c r="M22977">
        <v>11903</v>
      </c>
      <c r="N22977" t="s">
        <v>32</v>
      </c>
      <c r="O22977">
        <v>250218</v>
      </c>
      <c r="P22977">
        <v>61.98</v>
      </c>
    </row>
    <row r="22978" spans="1:16" x14ac:dyDescent="0.25">
      <c r="A22978" t="s">
        <v>3296</v>
      </c>
      <c r="B22978" t="s">
        <v>2931</v>
      </c>
      <c r="C22978">
        <v>11080</v>
      </c>
      <c r="D22978" t="str">
        <f>"302523314   "</f>
        <v xml:space="preserve">302523314   </v>
      </c>
      <c r="E22978" t="s">
        <v>1159</v>
      </c>
      <c r="F22978" t="s">
        <v>1160</v>
      </c>
      <c r="G22978">
        <v>188.1</v>
      </c>
      <c r="H22978">
        <v>250827</v>
      </c>
      <c r="I22978">
        <v>4580</v>
      </c>
      <c r="J22978" t="s">
        <v>126</v>
      </c>
      <c r="K22978">
        <v>188.1</v>
      </c>
      <c r="L22978">
        <v>38.22</v>
      </c>
      <c r="M22978">
        <v>17532</v>
      </c>
      <c r="N22978" t="s">
        <v>146</v>
      </c>
      <c r="O22978">
        <v>250829</v>
      </c>
      <c r="P22978">
        <v>149.88</v>
      </c>
    </row>
    <row r="22979" spans="1:16" x14ac:dyDescent="0.25">
      <c r="A22979" t="s">
        <v>3296</v>
      </c>
      <c r="B22979" t="s">
        <v>2931</v>
      </c>
      <c r="C22979">
        <v>17657</v>
      </c>
      <c r="D22979" t="str">
        <f>"133323      "</f>
        <v xml:space="preserve">133323      </v>
      </c>
      <c r="E22979" t="s">
        <v>879</v>
      </c>
      <c r="F22979" t="s">
        <v>880</v>
      </c>
      <c r="G22979">
        <v>591.98</v>
      </c>
      <c r="H22979">
        <v>251219</v>
      </c>
      <c r="I22979">
        <v>1198</v>
      </c>
      <c r="J22979" t="s">
        <v>610</v>
      </c>
      <c r="K22979">
        <v>591.98</v>
      </c>
      <c r="L22979">
        <v>120.28</v>
      </c>
      <c r="M22979">
        <v>97628</v>
      </c>
      <c r="N22979" t="s">
        <v>737</v>
      </c>
      <c r="O22979">
        <v>251229</v>
      </c>
      <c r="P22979">
        <v>471.7</v>
      </c>
    </row>
    <row r="22980" spans="1:16" x14ac:dyDescent="0.25">
      <c r="A22980" t="s">
        <v>3296</v>
      </c>
      <c r="B22980" t="s">
        <v>2931</v>
      </c>
      <c r="C22980">
        <v>1183</v>
      </c>
      <c r="D22980" t="str">
        <f>"129654      "</f>
        <v xml:space="preserve">129654      </v>
      </c>
      <c r="E22980" t="s">
        <v>879</v>
      </c>
      <c r="F22980" t="s">
        <v>880</v>
      </c>
      <c r="G22980">
        <v>83.08</v>
      </c>
      <c r="H22980">
        <v>250131</v>
      </c>
      <c r="I22980">
        <v>4500</v>
      </c>
      <c r="J22980" t="s">
        <v>312</v>
      </c>
      <c r="K22980">
        <v>83.08</v>
      </c>
      <c r="L22980">
        <v>16.88</v>
      </c>
      <c r="M22980">
        <v>13502</v>
      </c>
      <c r="N22980" t="s">
        <v>302</v>
      </c>
      <c r="O22980">
        <v>250205</v>
      </c>
      <c r="P22980">
        <v>66.2</v>
      </c>
    </row>
    <row r="22981" spans="1:16" x14ac:dyDescent="0.25">
      <c r="A22981" t="s">
        <v>3296</v>
      </c>
      <c r="B22981" t="s">
        <v>2931</v>
      </c>
      <c r="C22981">
        <v>7288</v>
      </c>
      <c r="D22981" t="str">
        <f>"130978      "</f>
        <v xml:space="preserve">130978      </v>
      </c>
      <c r="E22981" t="s">
        <v>879</v>
      </c>
      <c r="F22981" t="s">
        <v>880</v>
      </c>
      <c r="G22981">
        <v>410.96</v>
      </c>
      <c r="H22981">
        <v>250520</v>
      </c>
      <c r="I22981">
        <v>4534</v>
      </c>
      <c r="J22981" t="s">
        <v>349</v>
      </c>
      <c r="K22981">
        <v>410.96</v>
      </c>
      <c r="L22981">
        <v>83.5</v>
      </c>
      <c r="M22981">
        <v>17521</v>
      </c>
      <c r="N22981" t="s">
        <v>136</v>
      </c>
      <c r="O22981">
        <v>250602</v>
      </c>
      <c r="P22981">
        <v>327.45999999999998</v>
      </c>
    </row>
    <row r="22982" spans="1:16" x14ac:dyDescent="0.25">
      <c r="A22982" t="s">
        <v>3296</v>
      </c>
      <c r="B22982" t="s">
        <v>2931</v>
      </c>
      <c r="C22982">
        <v>7602</v>
      </c>
      <c r="D22982" t="str">
        <f>"131036      "</f>
        <v xml:space="preserve">131036      </v>
      </c>
      <c r="E22982" t="s">
        <v>879</v>
      </c>
      <c r="F22982" t="s">
        <v>880</v>
      </c>
      <c r="G22982">
        <v>2.9</v>
      </c>
      <c r="H22982">
        <v>250523</v>
      </c>
      <c r="I22982">
        <v>4534</v>
      </c>
      <c r="J22982" t="s">
        <v>349</v>
      </c>
      <c r="K22982">
        <v>236.68</v>
      </c>
      <c r="L22982">
        <v>0.59</v>
      </c>
      <c r="M22982">
        <v>13540</v>
      </c>
      <c r="N22982" t="s">
        <v>131</v>
      </c>
      <c r="O22982">
        <v>250605</v>
      </c>
      <c r="P22982">
        <v>2.31</v>
      </c>
    </row>
    <row r="22983" spans="1:16" x14ac:dyDescent="0.25">
      <c r="A22983" t="s">
        <v>3296</v>
      </c>
      <c r="B22983" t="s">
        <v>2931</v>
      </c>
      <c r="C22983">
        <v>7602</v>
      </c>
      <c r="D22983" t="str">
        <f>"131036      "</f>
        <v xml:space="preserve">131036      </v>
      </c>
      <c r="E22983" t="s">
        <v>879</v>
      </c>
      <c r="F22983" t="s">
        <v>880</v>
      </c>
      <c r="G22983">
        <v>210.34</v>
      </c>
      <c r="H22983">
        <v>250523</v>
      </c>
      <c r="I22983">
        <v>4534</v>
      </c>
      <c r="J22983" t="s">
        <v>349</v>
      </c>
      <c r="K22983">
        <v>236.68</v>
      </c>
      <c r="L22983">
        <v>42.74</v>
      </c>
      <c r="M22983">
        <v>17521</v>
      </c>
      <c r="N22983" t="s">
        <v>136</v>
      </c>
      <c r="O22983">
        <v>250605</v>
      </c>
      <c r="P22983">
        <v>167.6</v>
      </c>
    </row>
    <row r="22984" spans="1:16" x14ac:dyDescent="0.25">
      <c r="A22984" t="s">
        <v>3296</v>
      </c>
      <c r="B22984" t="s">
        <v>2931</v>
      </c>
      <c r="C22984">
        <v>7602</v>
      </c>
      <c r="D22984" t="str">
        <f>"131036      "</f>
        <v xml:space="preserve">131036      </v>
      </c>
      <c r="E22984" t="s">
        <v>879</v>
      </c>
      <c r="F22984" t="s">
        <v>880</v>
      </c>
      <c r="G22984">
        <v>19.760000000000002</v>
      </c>
      <c r="H22984">
        <v>250523</v>
      </c>
      <c r="I22984">
        <v>4534</v>
      </c>
      <c r="J22984" t="s">
        <v>349</v>
      </c>
      <c r="K22984">
        <v>236.68</v>
      </c>
      <c r="L22984">
        <v>4.01</v>
      </c>
      <c r="M22984">
        <v>17950</v>
      </c>
      <c r="N22984" t="s">
        <v>132</v>
      </c>
      <c r="O22984">
        <v>250605</v>
      </c>
      <c r="P22984">
        <v>15.75</v>
      </c>
    </row>
    <row r="22985" spans="1:16" x14ac:dyDescent="0.25">
      <c r="A22985" t="s">
        <v>3296</v>
      </c>
      <c r="B22985" t="s">
        <v>2931</v>
      </c>
      <c r="C22985">
        <v>7602</v>
      </c>
      <c r="D22985" t="str">
        <f>"131036      "</f>
        <v xml:space="preserve">131036      </v>
      </c>
      <c r="E22985" t="s">
        <v>879</v>
      </c>
      <c r="F22985" t="s">
        <v>880</v>
      </c>
      <c r="G22985">
        <v>3.68</v>
      </c>
      <c r="H22985">
        <v>250523</v>
      </c>
      <c r="I22985">
        <v>4534</v>
      </c>
      <c r="J22985" t="s">
        <v>349</v>
      </c>
      <c r="K22985">
        <v>236.68</v>
      </c>
      <c r="L22985">
        <v>0.75</v>
      </c>
      <c r="M22985">
        <v>17956</v>
      </c>
      <c r="N22985" t="s">
        <v>170</v>
      </c>
      <c r="O22985">
        <v>250605</v>
      </c>
      <c r="P22985">
        <v>2.93</v>
      </c>
    </row>
    <row r="22986" spans="1:16" x14ac:dyDescent="0.25">
      <c r="A22986" t="s">
        <v>3296</v>
      </c>
      <c r="B22986" t="s">
        <v>2931</v>
      </c>
      <c r="C22986">
        <v>7365</v>
      </c>
      <c r="D22986" t="str">
        <f>"24743       "</f>
        <v xml:space="preserve">24743       </v>
      </c>
      <c r="E22986" t="s">
        <v>1955</v>
      </c>
      <c r="F22986" t="s">
        <v>1956</v>
      </c>
      <c r="G22986">
        <v>390</v>
      </c>
      <c r="H22986">
        <v>250522</v>
      </c>
      <c r="I22986">
        <v>4420</v>
      </c>
      <c r="J22986" t="s">
        <v>330</v>
      </c>
      <c r="K22986">
        <v>390</v>
      </c>
      <c r="L22986">
        <v>47.89</v>
      </c>
      <c r="M22986">
        <v>59702</v>
      </c>
      <c r="N22986" t="s">
        <v>45</v>
      </c>
      <c r="O22986">
        <v>250603</v>
      </c>
      <c r="P22986">
        <v>342.11</v>
      </c>
    </row>
    <row r="22987" spans="1:16" x14ac:dyDescent="0.25">
      <c r="A22987" t="s">
        <v>3296</v>
      </c>
      <c r="B22987" t="s">
        <v>2931</v>
      </c>
      <c r="C22987">
        <v>17600</v>
      </c>
      <c r="D22987" t="str">
        <f>"3025297     "</f>
        <v xml:space="preserve">3025297     </v>
      </c>
      <c r="E22987" t="s">
        <v>2763</v>
      </c>
      <c r="F22987" t="s">
        <v>2764</v>
      </c>
      <c r="G22987">
        <v>529.62</v>
      </c>
      <c r="H22987">
        <v>251218</v>
      </c>
      <c r="I22987">
        <v>4580</v>
      </c>
      <c r="J22987" t="s">
        <v>126</v>
      </c>
      <c r="K22987">
        <v>529.62</v>
      </c>
      <c r="L22987">
        <v>107.61</v>
      </c>
      <c r="M22987">
        <v>67554</v>
      </c>
      <c r="N22987" t="s">
        <v>317</v>
      </c>
      <c r="O22987">
        <v>251223</v>
      </c>
      <c r="P22987">
        <v>422.01</v>
      </c>
    </row>
    <row r="22988" spans="1:16" x14ac:dyDescent="0.25">
      <c r="A22988" t="s">
        <v>3296</v>
      </c>
      <c r="B22988" t="s">
        <v>2931</v>
      </c>
      <c r="C22988">
        <v>9109</v>
      </c>
      <c r="D22988" t="str">
        <f>"5634072     "</f>
        <v xml:space="preserve">5634072     </v>
      </c>
      <c r="E22988" t="s">
        <v>449</v>
      </c>
      <c r="F22988" t="s">
        <v>450</v>
      </c>
      <c r="G22988">
        <v>5.0199999999999996</v>
      </c>
      <c r="H22988">
        <v>250615</v>
      </c>
      <c r="I22988">
        <v>4400</v>
      </c>
      <c r="J22988" t="s">
        <v>162</v>
      </c>
      <c r="K22988">
        <v>100.34</v>
      </c>
      <c r="L22988">
        <v>1.02</v>
      </c>
      <c r="M22988">
        <v>13501</v>
      </c>
      <c r="N22988" t="s">
        <v>66</v>
      </c>
      <c r="O22988">
        <v>250626</v>
      </c>
      <c r="P22988">
        <v>4</v>
      </c>
    </row>
    <row r="22989" spans="1:16" x14ac:dyDescent="0.25">
      <c r="A22989" t="s">
        <v>3296</v>
      </c>
      <c r="B22989" t="s">
        <v>2931</v>
      </c>
      <c r="C22989">
        <v>9109</v>
      </c>
      <c r="D22989" t="str">
        <f>"5634072     "</f>
        <v xml:space="preserve">5634072     </v>
      </c>
      <c r="E22989" t="s">
        <v>449</v>
      </c>
      <c r="F22989" t="s">
        <v>450</v>
      </c>
      <c r="G22989">
        <v>95.32</v>
      </c>
      <c r="H22989">
        <v>250615</v>
      </c>
      <c r="I22989">
        <v>4400</v>
      </c>
      <c r="J22989" t="s">
        <v>162</v>
      </c>
      <c r="K22989">
        <v>100.34</v>
      </c>
      <c r="L22989">
        <v>19.37</v>
      </c>
      <c r="M22989">
        <v>17538</v>
      </c>
      <c r="N22989" t="s">
        <v>129</v>
      </c>
      <c r="O22989">
        <v>250626</v>
      </c>
      <c r="P22989">
        <v>75.95</v>
      </c>
    </row>
    <row r="22990" spans="1:16" x14ac:dyDescent="0.25">
      <c r="A22990" t="s">
        <v>3296</v>
      </c>
      <c r="B22990" t="s">
        <v>2931</v>
      </c>
      <c r="C22990">
        <v>16185</v>
      </c>
      <c r="D22990" t="str">
        <f>"5677974     "</f>
        <v xml:space="preserve">5677974     </v>
      </c>
      <c r="E22990" t="s">
        <v>449</v>
      </c>
      <c r="F22990" t="s">
        <v>450</v>
      </c>
      <c r="G22990">
        <v>38.56</v>
      </c>
      <c r="H22990">
        <v>251130</v>
      </c>
      <c r="I22990">
        <v>4400</v>
      </c>
      <c r="J22990" t="s">
        <v>162</v>
      </c>
      <c r="K22990">
        <v>325.35000000000002</v>
      </c>
      <c r="L22990">
        <v>7.83</v>
      </c>
      <c r="M22990">
        <v>17521</v>
      </c>
      <c r="N22990" t="s">
        <v>136</v>
      </c>
      <c r="O22990">
        <v>251204</v>
      </c>
      <c r="P22990">
        <v>30.73</v>
      </c>
    </row>
    <row r="22991" spans="1:16" x14ac:dyDescent="0.25">
      <c r="A22991" t="s">
        <v>3296</v>
      </c>
      <c r="B22991" t="s">
        <v>2931</v>
      </c>
      <c r="C22991">
        <v>1784</v>
      </c>
      <c r="D22991" t="str">
        <f>"5596936     "</f>
        <v xml:space="preserve">5596936     </v>
      </c>
      <c r="E22991" t="s">
        <v>449</v>
      </c>
      <c r="F22991" t="s">
        <v>450</v>
      </c>
      <c r="G22991">
        <v>5.3</v>
      </c>
      <c r="H22991">
        <v>250131</v>
      </c>
      <c r="I22991">
        <v>4500</v>
      </c>
      <c r="J22991" t="s">
        <v>312</v>
      </c>
      <c r="K22991">
        <v>749.95</v>
      </c>
      <c r="L22991">
        <v>1.08</v>
      </c>
      <c r="M22991">
        <v>44222</v>
      </c>
      <c r="N22991" t="s">
        <v>96</v>
      </c>
      <c r="O22991">
        <v>250214</v>
      </c>
      <c r="P22991">
        <v>4.22</v>
      </c>
    </row>
    <row r="22992" spans="1:16" x14ac:dyDescent="0.25">
      <c r="A22992" t="s">
        <v>3296</v>
      </c>
      <c r="B22992" t="s">
        <v>2931</v>
      </c>
      <c r="C22992">
        <v>2807</v>
      </c>
      <c r="D22992" t="str">
        <f>"5606626     "</f>
        <v xml:space="preserve">5606626     </v>
      </c>
      <c r="E22992" t="s">
        <v>449</v>
      </c>
      <c r="F22992" t="s">
        <v>450</v>
      </c>
      <c r="G22992">
        <v>15.89</v>
      </c>
      <c r="H22992">
        <v>250228</v>
      </c>
      <c r="I22992">
        <v>4500</v>
      </c>
      <c r="J22992" t="s">
        <v>312</v>
      </c>
      <c r="K22992">
        <v>15.89</v>
      </c>
      <c r="L22992">
        <v>3.23</v>
      </c>
      <c r="M22992">
        <v>17971</v>
      </c>
      <c r="N22992" t="s">
        <v>27</v>
      </c>
      <c r="O22992">
        <v>250312</v>
      </c>
      <c r="P22992">
        <v>12.66</v>
      </c>
    </row>
    <row r="22993" spans="1:16" x14ac:dyDescent="0.25">
      <c r="A22993" t="s">
        <v>3296</v>
      </c>
      <c r="B22993" t="s">
        <v>2931</v>
      </c>
      <c r="C22993">
        <v>3691</v>
      </c>
      <c r="D22993" t="str">
        <f>"5610263     "</f>
        <v xml:space="preserve">5610263     </v>
      </c>
      <c r="E22993" t="s">
        <v>449</v>
      </c>
      <c r="F22993" t="s">
        <v>450</v>
      </c>
      <c r="G22993">
        <v>2.37</v>
      </c>
      <c r="H22993">
        <v>250315</v>
      </c>
      <c r="I22993">
        <v>4500</v>
      </c>
      <c r="J22993" t="s">
        <v>312</v>
      </c>
      <c r="K22993">
        <v>302.66000000000003</v>
      </c>
      <c r="L22993">
        <v>0.28999999999999998</v>
      </c>
      <c r="M22993">
        <v>13801</v>
      </c>
      <c r="N22993" t="s">
        <v>33</v>
      </c>
      <c r="O22993">
        <v>250328</v>
      </c>
      <c r="P22993">
        <v>2.08</v>
      </c>
    </row>
    <row r="22994" spans="1:16" x14ac:dyDescent="0.25">
      <c r="A22994" t="s">
        <v>3296</v>
      </c>
      <c r="B22994" t="s">
        <v>2931</v>
      </c>
      <c r="C22994">
        <v>3691</v>
      </c>
      <c r="D22994" t="str">
        <f>"5610263     "</f>
        <v xml:space="preserve">5610263     </v>
      </c>
      <c r="E22994" t="s">
        <v>449</v>
      </c>
      <c r="F22994" t="s">
        <v>450</v>
      </c>
      <c r="G22994">
        <v>22.66</v>
      </c>
      <c r="H22994">
        <v>250315</v>
      </c>
      <c r="I22994">
        <v>4500</v>
      </c>
      <c r="J22994" t="s">
        <v>312</v>
      </c>
      <c r="K22994">
        <v>302.66000000000003</v>
      </c>
      <c r="L22994">
        <v>4.5999999999999996</v>
      </c>
      <c r="M22994">
        <v>13801</v>
      </c>
      <c r="N22994" t="s">
        <v>33</v>
      </c>
      <c r="O22994">
        <v>250328</v>
      </c>
      <c r="P22994">
        <v>18.059999999999999</v>
      </c>
    </row>
    <row r="22995" spans="1:16" x14ac:dyDescent="0.25">
      <c r="A22995" t="s">
        <v>3296</v>
      </c>
      <c r="B22995" t="s">
        <v>2931</v>
      </c>
      <c r="C22995">
        <v>5241</v>
      </c>
      <c r="D22995" t="str">
        <f>"5613808     "</f>
        <v xml:space="preserve">5613808     </v>
      </c>
      <c r="E22995" t="s">
        <v>449</v>
      </c>
      <c r="F22995" t="s">
        <v>450</v>
      </c>
      <c r="G22995">
        <v>16.62</v>
      </c>
      <c r="H22995">
        <v>250401</v>
      </c>
      <c r="I22995">
        <v>4500</v>
      </c>
      <c r="J22995" t="s">
        <v>312</v>
      </c>
      <c r="K22995">
        <v>326.04000000000002</v>
      </c>
      <c r="L22995">
        <v>3.38</v>
      </c>
      <c r="M22995">
        <v>17538</v>
      </c>
      <c r="N22995" t="s">
        <v>129</v>
      </c>
      <c r="O22995">
        <v>250423</v>
      </c>
      <c r="P22995">
        <v>13.24</v>
      </c>
    </row>
    <row r="22996" spans="1:16" x14ac:dyDescent="0.25">
      <c r="A22996" t="s">
        <v>3296</v>
      </c>
      <c r="B22996" t="s">
        <v>2931</v>
      </c>
      <c r="C22996">
        <v>5685</v>
      </c>
      <c r="D22996" t="str">
        <f>"5617591     "</f>
        <v xml:space="preserve">5617591     </v>
      </c>
      <c r="E22996" t="s">
        <v>449</v>
      </c>
      <c r="F22996" t="s">
        <v>450</v>
      </c>
      <c r="G22996">
        <v>26.05</v>
      </c>
      <c r="H22996">
        <v>250415</v>
      </c>
      <c r="I22996">
        <v>4500</v>
      </c>
      <c r="J22996" t="s">
        <v>312</v>
      </c>
      <c r="K22996">
        <v>59.72</v>
      </c>
      <c r="L22996">
        <v>5.29</v>
      </c>
      <c r="M22996">
        <v>17524</v>
      </c>
      <c r="N22996" t="s">
        <v>139</v>
      </c>
      <c r="O22996">
        <v>250429</v>
      </c>
      <c r="P22996">
        <v>20.76</v>
      </c>
    </row>
    <row r="22997" spans="1:16" x14ac:dyDescent="0.25">
      <c r="A22997" t="s">
        <v>3296</v>
      </c>
      <c r="B22997" t="s">
        <v>2931</v>
      </c>
      <c r="C22997">
        <v>7056</v>
      </c>
      <c r="D22997" t="str">
        <f>"5627204     "</f>
        <v xml:space="preserve">5627204     </v>
      </c>
      <c r="E22997" t="s">
        <v>449</v>
      </c>
      <c r="F22997" t="s">
        <v>450</v>
      </c>
      <c r="G22997">
        <v>65.150000000000006</v>
      </c>
      <c r="H22997">
        <v>250515</v>
      </c>
      <c r="I22997">
        <v>4500</v>
      </c>
      <c r="J22997" t="s">
        <v>312</v>
      </c>
      <c r="K22997">
        <v>125.13</v>
      </c>
      <c r="L22997">
        <v>13.24</v>
      </c>
      <c r="M22997">
        <v>17537</v>
      </c>
      <c r="N22997" t="s">
        <v>151</v>
      </c>
      <c r="O22997">
        <v>250522</v>
      </c>
      <c r="P22997">
        <v>51.91</v>
      </c>
    </row>
    <row r="22998" spans="1:16" x14ac:dyDescent="0.25">
      <c r="A22998" t="s">
        <v>3296</v>
      </c>
      <c r="B22998" t="s">
        <v>2931</v>
      </c>
      <c r="C22998">
        <v>10779</v>
      </c>
      <c r="D22998" t="str">
        <f>"5648514     "</f>
        <v xml:space="preserve">5648514     </v>
      </c>
      <c r="E22998" t="s">
        <v>449</v>
      </c>
      <c r="F22998" t="s">
        <v>450</v>
      </c>
      <c r="G22998">
        <v>52.75</v>
      </c>
      <c r="H22998">
        <v>250815</v>
      </c>
      <c r="I22998">
        <v>4500</v>
      </c>
      <c r="J22998" t="s">
        <v>312</v>
      </c>
      <c r="K22998">
        <v>86.93</v>
      </c>
      <c r="L22998">
        <v>10.72</v>
      </c>
      <c r="M22998">
        <v>11903</v>
      </c>
      <c r="N22998" t="s">
        <v>32</v>
      </c>
      <c r="O22998">
        <v>250822</v>
      </c>
      <c r="P22998">
        <v>42.03</v>
      </c>
    </row>
    <row r="22999" spans="1:16" x14ac:dyDescent="0.25">
      <c r="A22999" t="s">
        <v>3296</v>
      </c>
      <c r="B22999" t="s">
        <v>2931</v>
      </c>
      <c r="C22999">
        <v>12505</v>
      </c>
      <c r="D22999" t="str">
        <f>"5656278     "</f>
        <v xml:space="preserve">5656278     </v>
      </c>
      <c r="E22999" t="s">
        <v>449</v>
      </c>
      <c r="F22999" t="s">
        <v>450</v>
      </c>
      <c r="G22999">
        <v>130.72</v>
      </c>
      <c r="H22999">
        <v>250915</v>
      </c>
      <c r="I22999">
        <v>4500</v>
      </c>
      <c r="J22999" t="s">
        <v>312</v>
      </c>
      <c r="K22999">
        <v>315.26</v>
      </c>
      <c r="L22999">
        <v>26.56</v>
      </c>
      <c r="M22999">
        <v>17538</v>
      </c>
      <c r="N22999" t="s">
        <v>129</v>
      </c>
      <c r="O22999">
        <v>250925</v>
      </c>
      <c r="P22999">
        <v>104.16</v>
      </c>
    </row>
    <row r="23000" spans="1:16" x14ac:dyDescent="0.25">
      <c r="A23000" t="s">
        <v>3296</v>
      </c>
      <c r="B23000" t="s">
        <v>2931</v>
      </c>
      <c r="C23000">
        <v>13440</v>
      </c>
      <c r="D23000" t="str">
        <f>"5660664     "</f>
        <v xml:space="preserve">5660664     </v>
      </c>
      <c r="E23000" t="s">
        <v>449</v>
      </c>
      <c r="F23000" t="s">
        <v>450</v>
      </c>
      <c r="G23000">
        <v>16.940000000000001</v>
      </c>
      <c r="H23000">
        <v>250930</v>
      </c>
      <c r="I23000">
        <v>4500</v>
      </c>
      <c r="J23000" t="s">
        <v>312</v>
      </c>
      <c r="K23000">
        <v>328.97</v>
      </c>
      <c r="L23000">
        <v>3.44</v>
      </c>
      <c r="M23000">
        <v>17538</v>
      </c>
      <c r="N23000" t="s">
        <v>129</v>
      </c>
      <c r="O23000">
        <v>251010</v>
      </c>
      <c r="P23000">
        <v>13.5</v>
      </c>
    </row>
    <row r="23001" spans="1:16" x14ac:dyDescent="0.25">
      <c r="A23001" t="s">
        <v>3296</v>
      </c>
      <c r="B23001" t="s">
        <v>2931</v>
      </c>
      <c r="C23001">
        <v>14711</v>
      </c>
      <c r="D23001" t="str">
        <f>"5666571     "</f>
        <v xml:space="preserve">5666571     </v>
      </c>
      <c r="E23001" t="s">
        <v>449</v>
      </c>
      <c r="F23001" t="s">
        <v>450</v>
      </c>
      <c r="G23001">
        <v>68.38</v>
      </c>
      <c r="H23001">
        <v>251031</v>
      </c>
      <c r="I23001">
        <v>4500</v>
      </c>
      <c r="J23001" t="s">
        <v>312</v>
      </c>
      <c r="K23001">
        <v>534.19000000000005</v>
      </c>
      <c r="L23001">
        <v>13.89</v>
      </c>
      <c r="M23001">
        <v>49111</v>
      </c>
      <c r="N23001" t="s">
        <v>108</v>
      </c>
      <c r="O23001">
        <v>251106</v>
      </c>
      <c r="P23001">
        <v>54.49</v>
      </c>
    </row>
    <row r="23002" spans="1:16" x14ac:dyDescent="0.25">
      <c r="A23002" t="s">
        <v>3296</v>
      </c>
      <c r="B23002" t="s">
        <v>2931</v>
      </c>
      <c r="C23002">
        <v>14711</v>
      </c>
      <c r="D23002" t="str">
        <f>"5666571     "</f>
        <v xml:space="preserve">5666571     </v>
      </c>
      <c r="E23002" t="s">
        <v>449</v>
      </c>
      <c r="F23002" t="s">
        <v>450</v>
      </c>
      <c r="G23002">
        <v>7.77</v>
      </c>
      <c r="H23002">
        <v>251031</v>
      </c>
      <c r="I23002">
        <v>4500</v>
      </c>
      <c r="J23002" t="s">
        <v>312</v>
      </c>
      <c r="K23002">
        <v>534.19000000000005</v>
      </c>
      <c r="L23002">
        <v>1.58</v>
      </c>
      <c r="M23002">
        <v>49704</v>
      </c>
      <c r="N23002" t="s">
        <v>113</v>
      </c>
      <c r="O23002">
        <v>251106</v>
      </c>
      <c r="P23002">
        <v>6.19</v>
      </c>
    </row>
    <row r="23003" spans="1:16" x14ac:dyDescent="0.25">
      <c r="A23003" t="s">
        <v>3296</v>
      </c>
      <c r="B23003" t="s">
        <v>2931</v>
      </c>
      <c r="C23003">
        <v>17417</v>
      </c>
      <c r="D23003" t="str">
        <f>"5682633     "</f>
        <v xml:space="preserve">5682633     </v>
      </c>
      <c r="E23003" t="s">
        <v>449</v>
      </c>
      <c r="F23003" t="s">
        <v>450</v>
      </c>
      <c r="G23003">
        <v>33.83</v>
      </c>
      <c r="H23003">
        <v>251215</v>
      </c>
      <c r="I23003">
        <v>4500</v>
      </c>
      <c r="J23003" t="s">
        <v>312</v>
      </c>
      <c r="K23003">
        <v>112.44</v>
      </c>
      <c r="L23003">
        <v>6.87</v>
      </c>
      <c r="M23003">
        <v>17538</v>
      </c>
      <c r="N23003" t="s">
        <v>129</v>
      </c>
      <c r="O23003">
        <v>251219</v>
      </c>
      <c r="P23003">
        <v>26.96</v>
      </c>
    </row>
    <row r="23004" spans="1:16" x14ac:dyDescent="0.25">
      <c r="A23004" t="s">
        <v>3296</v>
      </c>
      <c r="B23004" t="s">
        <v>2931</v>
      </c>
      <c r="C23004">
        <v>18500</v>
      </c>
      <c r="D23004" t="str">
        <f>"5688995     "</f>
        <v xml:space="preserve">5688995     </v>
      </c>
      <c r="E23004" t="s">
        <v>449</v>
      </c>
      <c r="F23004" t="s">
        <v>450</v>
      </c>
      <c r="G23004">
        <v>7.52</v>
      </c>
      <c r="H23004">
        <v>251231</v>
      </c>
      <c r="I23004">
        <v>4500</v>
      </c>
      <c r="J23004" t="s">
        <v>312</v>
      </c>
      <c r="K23004">
        <v>87.39</v>
      </c>
      <c r="L23004">
        <v>1.53</v>
      </c>
      <c r="M23004">
        <v>17531</v>
      </c>
      <c r="N23004" t="s">
        <v>145</v>
      </c>
      <c r="O23004">
        <v>260114</v>
      </c>
      <c r="P23004">
        <v>5.99</v>
      </c>
    </row>
    <row r="23005" spans="1:16" x14ac:dyDescent="0.25">
      <c r="A23005" t="s">
        <v>3296</v>
      </c>
      <c r="B23005" t="s">
        <v>2931</v>
      </c>
      <c r="C23005">
        <v>10040</v>
      </c>
      <c r="D23005" t="str">
        <f>"5644480     "</f>
        <v xml:space="preserve">5644480     </v>
      </c>
      <c r="E23005" t="s">
        <v>449</v>
      </c>
      <c r="F23005" t="s">
        <v>450</v>
      </c>
      <c r="G23005">
        <v>15.86</v>
      </c>
      <c r="H23005">
        <v>250731</v>
      </c>
      <c r="I23005">
        <v>4510</v>
      </c>
      <c r="J23005" t="s">
        <v>240</v>
      </c>
      <c r="K23005">
        <v>127.35</v>
      </c>
      <c r="L23005">
        <v>1.95</v>
      </c>
      <c r="M23005">
        <v>17912</v>
      </c>
      <c r="N23005" t="s">
        <v>505</v>
      </c>
      <c r="O23005">
        <v>250808</v>
      </c>
      <c r="P23005">
        <v>13.91</v>
      </c>
    </row>
    <row r="23006" spans="1:16" x14ac:dyDescent="0.25">
      <c r="A23006" t="s">
        <v>3296</v>
      </c>
      <c r="B23006" t="s">
        <v>2931</v>
      </c>
      <c r="C23006">
        <v>353</v>
      </c>
      <c r="D23006" t="str">
        <f>"5594565     "</f>
        <v xml:space="preserve">5594565     </v>
      </c>
      <c r="E23006" t="s">
        <v>449</v>
      </c>
      <c r="F23006" t="s">
        <v>450</v>
      </c>
      <c r="G23006">
        <v>14.3</v>
      </c>
      <c r="H23006">
        <v>250115</v>
      </c>
      <c r="I23006">
        <v>4520</v>
      </c>
      <c r="J23006" t="s">
        <v>280</v>
      </c>
      <c r="K23006">
        <v>238.29</v>
      </c>
      <c r="L23006">
        <v>1.76</v>
      </c>
      <c r="M23006">
        <v>17737</v>
      </c>
      <c r="N23006" t="s">
        <v>156</v>
      </c>
      <c r="O23006">
        <v>250122</v>
      </c>
      <c r="P23006">
        <v>12.54</v>
      </c>
    </row>
    <row r="23007" spans="1:16" x14ac:dyDescent="0.25">
      <c r="A23007" t="s">
        <v>3296</v>
      </c>
      <c r="B23007" t="s">
        <v>2931</v>
      </c>
      <c r="C23007">
        <v>1324</v>
      </c>
      <c r="D23007" t="str">
        <f>"5598588     "</f>
        <v xml:space="preserve">5598588     </v>
      </c>
      <c r="E23007" t="s">
        <v>449</v>
      </c>
      <c r="F23007" t="s">
        <v>450</v>
      </c>
      <c r="G23007">
        <v>3.6</v>
      </c>
      <c r="H23007">
        <v>250131</v>
      </c>
      <c r="I23007">
        <v>4520</v>
      </c>
      <c r="J23007" t="s">
        <v>280</v>
      </c>
      <c r="K23007">
        <v>186.34</v>
      </c>
      <c r="L23007">
        <v>0.44</v>
      </c>
      <c r="M23007">
        <v>17912</v>
      </c>
      <c r="N23007" t="s">
        <v>505</v>
      </c>
      <c r="O23007">
        <v>250207</v>
      </c>
      <c r="P23007">
        <v>3.16</v>
      </c>
    </row>
    <row r="23008" spans="1:16" x14ac:dyDescent="0.25">
      <c r="A23008" t="s">
        <v>3296</v>
      </c>
      <c r="B23008" t="s">
        <v>2931</v>
      </c>
      <c r="C23008">
        <v>1617</v>
      </c>
      <c r="D23008" t="str">
        <f>"5597370     "</f>
        <v xml:space="preserve">5597370     </v>
      </c>
      <c r="E23008" t="s">
        <v>449</v>
      </c>
      <c r="F23008" t="s">
        <v>450</v>
      </c>
      <c r="G23008">
        <v>102.27</v>
      </c>
      <c r="H23008">
        <v>250131</v>
      </c>
      <c r="I23008">
        <v>4520</v>
      </c>
      <c r="J23008" t="s">
        <v>280</v>
      </c>
      <c r="K23008">
        <v>300.81</v>
      </c>
      <c r="L23008">
        <v>12.56</v>
      </c>
      <c r="M23008">
        <v>54222</v>
      </c>
      <c r="N23008" t="s">
        <v>48</v>
      </c>
      <c r="O23008">
        <v>250211</v>
      </c>
      <c r="P23008">
        <v>89.71</v>
      </c>
    </row>
    <row r="23009" spans="1:16" x14ac:dyDescent="0.25">
      <c r="A23009" t="s">
        <v>3296</v>
      </c>
      <c r="B23009" t="s">
        <v>2931</v>
      </c>
      <c r="C23009">
        <v>2206</v>
      </c>
      <c r="D23009" t="str">
        <f>"5602852     "</f>
        <v xml:space="preserve">5602852     </v>
      </c>
      <c r="E23009" t="s">
        <v>449</v>
      </c>
      <c r="F23009" t="s">
        <v>450</v>
      </c>
      <c r="G23009">
        <v>7.02</v>
      </c>
      <c r="H23009">
        <v>250215</v>
      </c>
      <c r="I23009">
        <v>4520</v>
      </c>
      <c r="J23009" t="s">
        <v>280</v>
      </c>
      <c r="K23009">
        <v>307.45</v>
      </c>
      <c r="L23009">
        <v>0.86</v>
      </c>
      <c r="M23009">
        <v>17521</v>
      </c>
      <c r="N23009" t="s">
        <v>136</v>
      </c>
      <c r="O23009">
        <v>250221</v>
      </c>
      <c r="P23009">
        <v>6.16</v>
      </c>
    </row>
    <row r="23010" spans="1:16" x14ac:dyDescent="0.25">
      <c r="A23010" t="s">
        <v>3296</v>
      </c>
      <c r="B23010" t="s">
        <v>2931</v>
      </c>
      <c r="C23010">
        <v>2766</v>
      </c>
      <c r="D23010" t="str">
        <f>"5604706     "</f>
        <v xml:space="preserve">5604706     </v>
      </c>
      <c r="E23010" t="s">
        <v>449</v>
      </c>
      <c r="F23010" t="s">
        <v>450</v>
      </c>
      <c r="G23010">
        <v>16.79</v>
      </c>
      <c r="H23010">
        <v>250228</v>
      </c>
      <c r="I23010">
        <v>4520</v>
      </c>
      <c r="J23010" t="s">
        <v>280</v>
      </c>
      <c r="K23010">
        <v>221.48</v>
      </c>
      <c r="L23010">
        <v>2.06</v>
      </c>
      <c r="M23010">
        <v>49705</v>
      </c>
      <c r="N23010" t="s">
        <v>114</v>
      </c>
      <c r="O23010">
        <v>250311</v>
      </c>
      <c r="P23010">
        <v>14.73</v>
      </c>
    </row>
    <row r="23011" spans="1:16" x14ac:dyDescent="0.25">
      <c r="A23011" t="s">
        <v>3296</v>
      </c>
      <c r="B23011" t="s">
        <v>2931</v>
      </c>
      <c r="C23011">
        <v>2796</v>
      </c>
      <c r="D23011" t="str">
        <f>"5604876     "</f>
        <v xml:space="preserve">5604876     </v>
      </c>
      <c r="E23011" t="s">
        <v>449</v>
      </c>
      <c r="F23011" t="s">
        <v>450</v>
      </c>
      <c r="G23011">
        <v>26.09</v>
      </c>
      <c r="H23011">
        <v>250228</v>
      </c>
      <c r="I23011">
        <v>4520</v>
      </c>
      <c r="J23011" t="s">
        <v>280</v>
      </c>
      <c r="K23011">
        <v>26.09</v>
      </c>
      <c r="L23011">
        <v>3.2</v>
      </c>
      <c r="M23011">
        <v>69707</v>
      </c>
      <c r="N23011" t="s">
        <v>90</v>
      </c>
      <c r="O23011">
        <v>250312</v>
      </c>
      <c r="P23011">
        <v>22.89</v>
      </c>
    </row>
    <row r="23012" spans="1:16" x14ac:dyDescent="0.25">
      <c r="A23012" t="s">
        <v>3296</v>
      </c>
      <c r="B23012" t="s">
        <v>2931</v>
      </c>
      <c r="C23012">
        <v>3336</v>
      </c>
      <c r="D23012" t="str">
        <f>"5605085     "</f>
        <v xml:space="preserve">5605085     </v>
      </c>
      <c r="E23012" t="s">
        <v>449</v>
      </c>
      <c r="F23012" t="s">
        <v>450</v>
      </c>
      <c r="G23012">
        <v>29.6</v>
      </c>
      <c r="H23012">
        <v>250228</v>
      </c>
      <c r="I23012">
        <v>4520</v>
      </c>
      <c r="J23012" t="s">
        <v>280</v>
      </c>
      <c r="K23012">
        <v>362.41</v>
      </c>
      <c r="L23012">
        <v>3.64</v>
      </c>
      <c r="M23012">
        <v>54222</v>
      </c>
      <c r="N23012" t="s">
        <v>48</v>
      </c>
      <c r="O23012">
        <v>250318</v>
      </c>
      <c r="P23012">
        <v>25.96</v>
      </c>
    </row>
    <row r="23013" spans="1:16" x14ac:dyDescent="0.25">
      <c r="A23013" t="s">
        <v>3296</v>
      </c>
      <c r="B23013" t="s">
        <v>2931</v>
      </c>
      <c r="C23013">
        <v>3336</v>
      </c>
      <c r="D23013" t="str">
        <f>"5605085     "</f>
        <v xml:space="preserve">5605085     </v>
      </c>
      <c r="E23013" t="s">
        <v>449</v>
      </c>
      <c r="F23013" t="s">
        <v>450</v>
      </c>
      <c r="G23013">
        <v>85.9</v>
      </c>
      <c r="H23013">
        <v>250228</v>
      </c>
      <c r="I23013">
        <v>4520</v>
      </c>
      <c r="J23013" t="s">
        <v>280</v>
      </c>
      <c r="K23013">
        <v>362.41</v>
      </c>
      <c r="L23013">
        <v>10.55</v>
      </c>
      <c r="M23013">
        <v>54251</v>
      </c>
      <c r="N23013" t="s">
        <v>485</v>
      </c>
      <c r="O23013">
        <v>250318</v>
      </c>
      <c r="P23013">
        <v>75.349999999999994</v>
      </c>
    </row>
    <row r="23014" spans="1:16" x14ac:dyDescent="0.25">
      <c r="A23014" t="s">
        <v>3296</v>
      </c>
      <c r="B23014" t="s">
        <v>2931</v>
      </c>
      <c r="C23014">
        <v>3336</v>
      </c>
      <c r="D23014" t="str">
        <f>"5605085     "</f>
        <v xml:space="preserve">5605085     </v>
      </c>
      <c r="E23014" t="s">
        <v>449</v>
      </c>
      <c r="F23014" t="s">
        <v>450</v>
      </c>
      <c r="G23014">
        <v>7.02</v>
      </c>
      <c r="H23014">
        <v>250228</v>
      </c>
      <c r="I23014">
        <v>4520</v>
      </c>
      <c r="J23014" t="s">
        <v>280</v>
      </c>
      <c r="K23014">
        <v>362.41</v>
      </c>
      <c r="L23014">
        <v>0.86</v>
      </c>
      <c r="M23014">
        <v>59501</v>
      </c>
      <c r="N23014" t="s">
        <v>62</v>
      </c>
      <c r="O23014">
        <v>250318</v>
      </c>
      <c r="P23014">
        <v>6.16</v>
      </c>
    </row>
    <row r="23015" spans="1:16" x14ac:dyDescent="0.25">
      <c r="A23015" t="s">
        <v>3296</v>
      </c>
      <c r="B23015" t="s">
        <v>2931</v>
      </c>
      <c r="C23015">
        <v>3691</v>
      </c>
      <c r="D23015" t="str">
        <f>"5610263     "</f>
        <v xml:space="preserve">5610263     </v>
      </c>
      <c r="E23015" t="s">
        <v>449</v>
      </c>
      <c r="F23015" t="s">
        <v>450</v>
      </c>
      <c r="G23015">
        <v>30.78</v>
      </c>
      <c r="H23015">
        <v>250315</v>
      </c>
      <c r="I23015">
        <v>4520</v>
      </c>
      <c r="J23015" t="s">
        <v>280</v>
      </c>
      <c r="K23015">
        <v>302.66000000000003</v>
      </c>
      <c r="L23015">
        <v>3.78</v>
      </c>
      <c r="M23015">
        <v>13601</v>
      </c>
      <c r="N23015" t="s">
        <v>115</v>
      </c>
      <c r="O23015">
        <v>250328</v>
      </c>
      <c r="P23015">
        <v>27</v>
      </c>
    </row>
    <row r="23016" spans="1:16" x14ac:dyDescent="0.25">
      <c r="A23016" t="s">
        <v>3296</v>
      </c>
      <c r="B23016" t="s">
        <v>2931</v>
      </c>
      <c r="C23016">
        <v>4460</v>
      </c>
      <c r="D23016" t="str">
        <f>"5611750     "</f>
        <v xml:space="preserve">5611750     </v>
      </c>
      <c r="E23016" t="s">
        <v>449</v>
      </c>
      <c r="F23016" t="s">
        <v>450</v>
      </c>
      <c r="G23016">
        <v>16.88</v>
      </c>
      <c r="H23016">
        <v>250331</v>
      </c>
      <c r="I23016">
        <v>4520</v>
      </c>
      <c r="J23016" t="s">
        <v>280</v>
      </c>
      <c r="K23016">
        <v>286.73</v>
      </c>
      <c r="L23016">
        <v>2.0699999999999998</v>
      </c>
      <c r="M23016">
        <v>69111</v>
      </c>
      <c r="N23016" t="s">
        <v>657</v>
      </c>
      <c r="O23016">
        <v>250411</v>
      </c>
      <c r="P23016">
        <v>14.81</v>
      </c>
    </row>
    <row r="23017" spans="1:16" x14ac:dyDescent="0.25">
      <c r="A23017" t="s">
        <v>3296</v>
      </c>
      <c r="B23017" t="s">
        <v>2931</v>
      </c>
      <c r="C23017">
        <v>4717</v>
      </c>
      <c r="D23017" t="str">
        <f>"5611533     "</f>
        <v xml:space="preserve">5611533     </v>
      </c>
      <c r="E23017" t="s">
        <v>449</v>
      </c>
      <c r="F23017" t="s">
        <v>450</v>
      </c>
      <c r="G23017">
        <v>14.63</v>
      </c>
      <c r="H23017">
        <v>250331</v>
      </c>
      <c r="I23017">
        <v>4520</v>
      </c>
      <c r="J23017" t="s">
        <v>280</v>
      </c>
      <c r="K23017">
        <v>251.29</v>
      </c>
      <c r="L23017">
        <v>1.8</v>
      </c>
      <c r="M23017">
        <v>44222</v>
      </c>
      <c r="N23017" t="s">
        <v>96</v>
      </c>
      <c r="O23017">
        <v>250415</v>
      </c>
      <c r="P23017">
        <v>12.83</v>
      </c>
    </row>
    <row r="23018" spans="1:16" x14ac:dyDescent="0.25">
      <c r="A23018" t="s">
        <v>3296</v>
      </c>
      <c r="B23018" t="s">
        <v>2931</v>
      </c>
      <c r="C23018">
        <v>4717</v>
      </c>
      <c r="D23018" t="str">
        <f>"5611533     "</f>
        <v xml:space="preserve">5611533     </v>
      </c>
      <c r="E23018" t="s">
        <v>449</v>
      </c>
      <c r="F23018" t="s">
        <v>450</v>
      </c>
      <c r="G23018">
        <v>4.74</v>
      </c>
      <c r="H23018">
        <v>250331</v>
      </c>
      <c r="I23018">
        <v>4520</v>
      </c>
      <c r="J23018" t="s">
        <v>280</v>
      </c>
      <c r="K23018">
        <v>251.29</v>
      </c>
      <c r="L23018">
        <v>0.57999999999999996</v>
      </c>
      <c r="M23018">
        <v>49111</v>
      </c>
      <c r="N23018" t="s">
        <v>108</v>
      </c>
      <c r="O23018">
        <v>250415</v>
      </c>
      <c r="P23018">
        <v>4.16</v>
      </c>
    </row>
    <row r="23019" spans="1:16" x14ac:dyDescent="0.25">
      <c r="A23019" t="s">
        <v>3296</v>
      </c>
      <c r="B23019" t="s">
        <v>2931</v>
      </c>
      <c r="C23019">
        <v>4852</v>
      </c>
      <c r="D23019" t="str">
        <f>"5611972     "</f>
        <v xml:space="preserve">5611972     </v>
      </c>
      <c r="E23019" t="s">
        <v>449</v>
      </c>
      <c r="F23019" t="s">
        <v>450</v>
      </c>
      <c r="G23019">
        <v>43.45</v>
      </c>
      <c r="H23019">
        <v>250331</v>
      </c>
      <c r="I23019">
        <v>4520</v>
      </c>
      <c r="J23019" t="s">
        <v>280</v>
      </c>
      <c r="K23019">
        <v>119.35</v>
      </c>
      <c r="L23019">
        <v>5.34</v>
      </c>
      <c r="M23019">
        <v>54222</v>
      </c>
      <c r="N23019" t="s">
        <v>48</v>
      </c>
      <c r="O23019">
        <v>250416</v>
      </c>
      <c r="P23019">
        <v>38.11</v>
      </c>
    </row>
    <row r="23020" spans="1:16" x14ac:dyDescent="0.25">
      <c r="A23020" t="s">
        <v>3296</v>
      </c>
      <c r="B23020" t="s">
        <v>2931</v>
      </c>
      <c r="C23020">
        <v>5241</v>
      </c>
      <c r="D23020" t="str">
        <f>"5613808     "</f>
        <v xml:space="preserve">5613808     </v>
      </c>
      <c r="E23020" t="s">
        <v>449</v>
      </c>
      <c r="F23020" t="s">
        <v>450</v>
      </c>
      <c r="G23020">
        <v>18.43</v>
      </c>
      <c r="H23020">
        <v>250401</v>
      </c>
      <c r="I23020">
        <v>4520</v>
      </c>
      <c r="J23020" t="s">
        <v>280</v>
      </c>
      <c r="K23020">
        <v>326.04000000000002</v>
      </c>
      <c r="L23020">
        <v>2.2599999999999998</v>
      </c>
      <c r="M23020">
        <v>13561</v>
      </c>
      <c r="N23020" t="s">
        <v>241</v>
      </c>
      <c r="O23020">
        <v>250423</v>
      </c>
      <c r="P23020">
        <v>16.170000000000002</v>
      </c>
    </row>
    <row r="23021" spans="1:16" x14ac:dyDescent="0.25">
      <c r="A23021" t="s">
        <v>3296</v>
      </c>
      <c r="B23021" t="s">
        <v>2931</v>
      </c>
      <c r="C23021">
        <v>5241</v>
      </c>
      <c r="D23021" t="str">
        <f>"5613808     "</f>
        <v xml:space="preserve">5613808     </v>
      </c>
      <c r="E23021" t="s">
        <v>449</v>
      </c>
      <c r="F23021" t="s">
        <v>450</v>
      </c>
      <c r="G23021">
        <v>27</v>
      </c>
      <c r="H23021">
        <v>250401</v>
      </c>
      <c r="I23021">
        <v>4520</v>
      </c>
      <c r="J23021" t="s">
        <v>280</v>
      </c>
      <c r="K23021">
        <v>326.04000000000002</v>
      </c>
      <c r="L23021">
        <v>3.32</v>
      </c>
      <c r="M23021">
        <v>17538</v>
      </c>
      <c r="N23021" t="s">
        <v>129</v>
      </c>
      <c r="O23021">
        <v>250423</v>
      </c>
      <c r="P23021">
        <v>23.68</v>
      </c>
    </row>
    <row r="23022" spans="1:16" x14ac:dyDescent="0.25">
      <c r="A23022" t="s">
        <v>3296</v>
      </c>
      <c r="B23022" t="s">
        <v>2931</v>
      </c>
      <c r="C23022">
        <v>5241</v>
      </c>
      <c r="D23022" t="str">
        <f>"5613808     "</f>
        <v xml:space="preserve">5613808     </v>
      </c>
      <c r="E23022" t="s">
        <v>449</v>
      </c>
      <c r="F23022" t="s">
        <v>450</v>
      </c>
      <c r="G23022">
        <v>149.16</v>
      </c>
      <c r="H23022">
        <v>250401</v>
      </c>
      <c r="I23022">
        <v>4520</v>
      </c>
      <c r="J23022" t="s">
        <v>280</v>
      </c>
      <c r="K23022">
        <v>326.04000000000002</v>
      </c>
      <c r="L23022">
        <v>18.32</v>
      </c>
      <c r="M23022">
        <v>17971</v>
      </c>
      <c r="N23022" t="s">
        <v>27</v>
      </c>
      <c r="O23022">
        <v>250423</v>
      </c>
      <c r="P23022">
        <v>130.84</v>
      </c>
    </row>
    <row r="23023" spans="1:16" x14ac:dyDescent="0.25">
      <c r="A23023" t="s">
        <v>3296</v>
      </c>
      <c r="B23023" t="s">
        <v>2931</v>
      </c>
      <c r="C23023">
        <v>5241</v>
      </c>
      <c r="D23023" t="str">
        <f>"5613808     "</f>
        <v xml:space="preserve">5613808     </v>
      </c>
      <c r="E23023" t="s">
        <v>449</v>
      </c>
      <c r="F23023" t="s">
        <v>450</v>
      </c>
      <c r="G23023">
        <v>11.2</v>
      </c>
      <c r="H23023">
        <v>250401</v>
      </c>
      <c r="I23023">
        <v>4520</v>
      </c>
      <c r="J23023" t="s">
        <v>280</v>
      </c>
      <c r="K23023">
        <v>326.04000000000002</v>
      </c>
      <c r="L23023">
        <v>1.38</v>
      </c>
      <c r="M23023">
        <v>17974</v>
      </c>
      <c r="N23023" t="s">
        <v>153</v>
      </c>
      <c r="O23023">
        <v>250423</v>
      </c>
      <c r="P23023">
        <v>9.82</v>
      </c>
    </row>
    <row r="23024" spans="1:16" x14ac:dyDescent="0.25">
      <c r="A23024" t="s">
        <v>3296</v>
      </c>
      <c r="B23024" t="s">
        <v>2931</v>
      </c>
      <c r="C23024">
        <v>5384</v>
      </c>
      <c r="D23024" t="str">
        <f>"5616899     "</f>
        <v xml:space="preserve">5616899     </v>
      </c>
      <c r="E23024" t="s">
        <v>449</v>
      </c>
      <c r="F23024" t="s">
        <v>450</v>
      </c>
      <c r="G23024">
        <v>17.350000000000001</v>
      </c>
      <c r="H23024">
        <v>250415</v>
      </c>
      <c r="I23024">
        <v>4520</v>
      </c>
      <c r="J23024" t="s">
        <v>280</v>
      </c>
      <c r="K23024">
        <v>259.85000000000002</v>
      </c>
      <c r="L23024">
        <v>2.13</v>
      </c>
      <c r="M23024">
        <v>17912</v>
      </c>
      <c r="N23024" t="s">
        <v>505</v>
      </c>
      <c r="O23024">
        <v>250424</v>
      </c>
      <c r="P23024">
        <v>15.22</v>
      </c>
    </row>
    <row r="23025" spans="1:16" x14ac:dyDescent="0.25">
      <c r="A23025" t="s">
        <v>3296</v>
      </c>
      <c r="B23025" t="s">
        <v>2931</v>
      </c>
      <c r="C23025">
        <v>5384</v>
      </c>
      <c r="D23025" t="str">
        <f>"5616899     "</f>
        <v xml:space="preserve">5616899     </v>
      </c>
      <c r="E23025" t="s">
        <v>449</v>
      </c>
      <c r="F23025" t="s">
        <v>450</v>
      </c>
      <c r="G23025">
        <v>6.3</v>
      </c>
      <c r="H23025">
        <v>250415</v>
      </c>
      <c r="I23025">
        <v>4520</v>
      </c>
      <c r="J23025" t="s">
        <v>280</v>
      </c>
      <c r="K23025">
        <v>259.85000000000002</v>
      </c>
      <c r="L23025">
        <v>0.77</v>
      </c>
      <c r="M23025">
        <v>17952</v>
      </c>
      <c r="N23025" t="s">
        <v>157</v>
      </c>
      <c r="O23025">
        <v>250424</v>
      </c>
      <c r="P23025">
        <v>5.53</v>
      </c>
    </row>
    <row r="23026" spans="1:16" x14ac:dyDescent="0.25">
      <c r="A23026" t="s">
        <v>3296</v>
      </c>
      <c r="B23026" t="s">
        <v>2931</v>
      </c>
      <c r="C23026">
        <v>5395</v>
      </c>
      <c r="D23026" t="str">
        <f>"5618324     "</f>
        <v xml:space="preserve">5618324     </v>
      </c>
      <c r="E23026" t="s">
        <v>449</v>
      </c>
      <c r="F23026" t="s">
        <v>450</v>
      </c>
      <c r="G23026">
        <v>34.93</v>
      </c>
      <c r="H23026">
        <v>250415</v>
      </c>
      <c r="I23026">
        <v>4520</v>
      </c>
      <c r="J23026" t="s">
        <v>280</v>
      </c>
      <c r="K23026">
        <v>59.91</v>
      </c>
      <c r="L23026">
        <v>4.29</v>
      </c>
      <c r="M23026">
        <v>13802</v>
      </c>
      <c r="N23026" t="s">
        <v>34</v>
      </c>
      <c r="O23026">
        <v>250424</v>
      </c>
      <c r="P23026">
        <v>30.64</v>
      </c>
    </row>
    <row r="23027" spans="1:16" x14ac:dyDescent="0.25">
      <c r="A23027" t="s">
        <v>3296</v>
      </c>
      <c r="B23027" t="s">
        <v>2931</v>
      </c>
      <c r="C23027">
        <v>5685</v>
      </c>
      <c r="D23027" t="str">
        <f>"5617591     "</f>
        <v xml:space="preserve">5617591     </v>
      </c>
      <c r="E23027" t="s">
        <v>449</v>
      </c>
      <c r="F23027" t="s">
        <v>450</v>
      </c>
      <c r="G23027">
        <v>24.47</v>
      </c>
      <c r="H23027">
        <v>250415</v>
      </c>
      <c r="I23027">
        <v>4520</v>
      </c>
      <c r="J23027" t="s">
        <v>280</v>
      </c>
      <c r="K23027">
        <v>59.72</v>
      </c>
      <c r="L23027">
        <v>3.01</v>
      </c>
      <c r="M23027">
        <v>17862</v>
      </c>
      <c r="N23027" t="s">
        <v>130</v>
      </c>
      <c r="O23027">
        <v>250429</v>
      </c>
      <c r="P23027">
        <v>21.46</v>
      </c>
    </row>
    <row r="23028" spans="1:16" x14ac:dyDescent="0.25">
      <c r="A23028" t="s">
        <v>3296</v>
      </c>
      <c r="B23028" t="s">
        <v>2931</v>
      </c>
      <c r="C23028">
        <v>6750</v>
      </c>
      <c r="D23028" t="str">
        <f>"5619811     "</f>
        <v xml:space="preserve">5619811     </v>
      </c>
      <c r="E23028" t="s">
        <v>449</v>
      </c>
      <c r="F23028" t="s">
        <v>450</v>
      </c>
      <c r="G23028">
        <v>23.7</v>
      </c>
      <c r="H23028">
        <v>250430</v>
      </c>
      <c r="I23028">
        <v>4520</v>
      </c>
      <c r="J23028" t="s">
        <v>280</v>
      </c>
      <c r="K23028">
        <v>334.19</v>
      </c>
      <c r="L23028">
        <v>2.91</v>
      </c>
      <c r="M23028">
        <v>49705</v>
      </c>
      <c r="N23028" t="s">
        <v>114</v>
      </c>
      <c r="O23028">
        <v>250516</v>
      </c>
      <c r="P23028">
        <v>20.79</v>
      </c>
    </row>
    <row r="23029" spans="1:16" x14ac:dyDescent="0.25">
      <c r="A23029" t="s">
        <v>3296</v>
      </c>
      <c r="B23029" t="s">
        <v>2931</v>
      </c>
      <c r="C23029">
        <v>7022</v>
      </c>
      <c r="D23029" t="str">
        <f>"5620018     "</f>
        <v xml:space="preserve">5620018     </v>
      </c>
      <c r="E23029" t="s">
        <v>449</v>
      </c>
      <c r="F23029" t="s">
        <v>450</v>
      </c>
      <c r="G23029">
        <v>11.23</v>
      </c>
      <c r="H23029">
        <v>250516</v>
      </c>
      <c r="I23029">
        <v>4520</v>
      </c>
      <c r="J23029" t="s">
        <v>280</v>
      </c>
      <c r="K23029">
        <v>375.79</v>
      </c>
      <c r="L23029">
        <v>1.38</v>
      </c>
      <c r="M23029">
        <v>69111</v>
      </c>
      <c r="N23029" t="s">
        <v>657</v>
      </c>
      <c r="O23029">
        <v>250521</v>
      </c>
      <c r="P23029">
        <v>9.85</v>
      </c>
    </row>
    <row r="23030" spans="1:16" x14ac:dyDescent="0.25">
      <c r="A23030" t="s">
        <v>3296</v>
      </c>
      <c r="B23030" t="s">
        <v>2931</v>
      </c>
      <c r="C23030">
        <v>7043</v>
      </c>
      <c r="D23030" t="str">
        <f>"5624958     "</f>
        <v xml:space="preserve">5624958     </v>
      </c>
      <c r="E23030" t="s">
        <v>449</v>
      </c>
      <c r="F23030" t="s">
        <v>450</v>
      </c>
      <c r="G23030">
        <v>291.18</v>
      </c>
      <c r="H23030">
        <v>250515</v>
      </c>
      <c r="I23030">
        <v>4520</v>
      </c>
      <c r="J23030" t="s">
        <v>280</v>
      </c>
      <c r="K23030">
        <v>594.84</v>
      </c>
      <c r="L23030">
        <v>59.16</v>
      </c>
      <c r="M23030">
        <v>17131</v>
      </c>
      <c r="N23030" t="s">
        <v>154</v>
      </c>
      <c r="O23030">
        <v>250522</v>
      </c>
      <c r="P23030">
        <v>232.02</v>
      </c>
    </row>
    <row r="23031" spans="1:16" x14ac:dyDescent="0.25">
      <c r="A23031" t="s">
        <v>3296</v>
      </c>
      <c r="B23031" t="s">
        <v>2931</v>
      </c>
      <c r="C23031">
        <v>7043</v>
      </c>
      <c r="D23031" t="str">
        <f>"5624958     "</f>
        <v xml:space="preserve">5624958     </v>
      </c>
      <c r="E23031" t="s">
        <v>449</v>
      </c>
      <c r="F23031" t="s">
        <v>450</v>
      </c>
      <c r="G23031">
        <v>4.3899999999999997</v>
      </c>
      <c r="H23031">
        <v>250515</v>
      </c>
      <c r="I23031">
        <v>4520</v>
      </c>
      <c r="J23031" t="s">
        <v>280</v>
      </c>
      <c r="K23031">
        <v>594.84</v>
      </c>
      <c r="L23031">
        <v>0.54</v>
      </c>
      <c r="M23031">
        <v>17131</v>
      </c>
      <c r="N23031" t="s">
        <v>154</v>
      </c>
      <c r="O23031">
        <v>250522</v>
      </c>
      <c r="P23031">
        <v>3.85</v>
      </c>
    </row>
    <row r="23032" spans="1:16" x14ac:dyDescent="0.25">
      <c r="A23032" t="s">
        <v>3296</v>
      </c>
      <c r="B23032" t="s">
        <v>2931</v>
      </c>
      <c r="C23032">
        <v>7043</v>
      </c>
      <c r="D23032" t="str">
        <f>"5624958     "</f>
        <v xml:space="preserve">5624958     </v>
      </c>
      <c r="E23032" t="s">
        <v>449</v>
      </c>
      <c r="F23032" t="s">
        <v>450</v>
      </c>
      <c r="G23032">
        <v>286.79000000000002</v>
      </c>
      <c r="H23032">
        <v>250515</v>
      </c>
      <c r="I23032">
        <v>4520</v>
      </c>
      <c r="J23032" t="s">
        <v>280</v>
      </c>
      <c r="K23032">
        <v>594.84</v>
      </c>
      <c r="L23032">
        <v>58.27</v>
      </c>
      <c r="M23032">
        <v>17131</v>
      </c>
      <c r="N23032" t="s">
        <v>154</v>
      </c>
      <c r="O23032">
        <v>250522</v>
      </c>
      <c r="P23032">
        <v>228.52</v>
      </c>
    </row>
    <row r="23033" spans="1:16" x14ac:dyDescent="0.25">
      <c r="A23033" t="s">
        <v>3296</v>
      </c>
      <c r="B23033" t="s">
        <v>2931</v>
      </c>
      <c r="C23033">
        <v>7060</v>
      </c>
      <c r="D23033" t="str">
        <f>"5620255     "</f>
        <v xml:space="preserve">5620255     </v>
      </c>
      <c r="E23033" t="s">
        <v>449</v>
      </c>
      <c r="F23033" t="s">
        <v>450</v>
      </c>
      <c r="G23033">
        <v>28.37</v>
      </c>
      <c r="H23033">
        <v>250501</v>
      </c>
      <c r="I23033">
        <v>4520</v>
      </c>
      <c r="J23033" t="s">
        <v>280</v>
      </c>
      <c r="K23033">
        <v>164.38</v>
      </c>
      <c r="L23033">
        <v>3.48</v>
      </c>
      <c r="M23033">
        <v>54222</v>
      </c>
      <c r="N23033" t="s">
        <v>48</v>
      </c>
      <c r="O23033">
        <v>250522</v>
      </c>
      <c r="P23033">
        <v>24.89</v>
      </c>
    </row>
    <row r="23034" spans="1:16" x14ac:dyDescent="0.25">
      <c r="A23034" t="s">
        <v>3296</v>
      </c>
      <c r="B23034" t="s">
        <v>2931</v>
      </c>
      <c r="C23034">
        <v>8078</v>
      </c>
      <c r="D23034" t="str">
        <f>"5627701     "</f>
        <v xml:space="preserve">5627701     </v>
      </c>
      <c r="E23034" t="s">
        <v>449</v>
      </c>
      <c r="F23034" t="s">
        <v>450</v>
      </c>
      <c r="G23034">
        <v>19.46</v>
      </c>
      <c r="H23034">
        <v>250531</v>
      </c>
      <c r="I23034">
        <v>4520</v>
      </c>
      <c r="J23034" t="s">
        <v>280</v>
      </c>
      <c r="K23034">
        <v>262</v>
      </c>
      <c r="L23034">
        <v>2.39</v>
      </c>
      <c r="M23034">
        <v>49111</v>
      </c>
      <c r="N23034" t="s">
        <v>108</v>
      </c>
      <c r="O23034">
        <v>250611</v>
      </c>
      <c r="P23034">
        <v>17.07</v>
      </c>
    </row>
    <row r="23035" spans="1:16" x14ac:dyDescent="0.25">
      <c r="A23035" t="s">
        <v>3296</v>
      </c>
      <c r="B23035" t="s">
        <v>2931</v>
      </c>
      <c r="C23035">
        <v>8122</v>
      </c>
      <c r="D23035" t="str">
        <f>"5629456     "</f>
        <v xml:space="preserve">5629456     </v>
      </c>
      <c r="E23035" t="s">
        <v>449</v>
      </c>
      <c r="F23035" t="s">
        <v>450</v>
      </c>
      <c r="G23035">
        <v>7.19</v>
      </c>
      <c r="H23035">
        <v>250531</v>
      </c>
      <c r="I23035">
        <v>4520</v>
      </c>
      <c r="J23035" t="s">
        <v>280</v>
      </c>
      <c r="K23035">
        <v>120.06</v>
      </c>
      <c r="L23035">
        <v>0.88</v>
      </c>
      <c r="M23035">
        <v>17711</v>
      </c>
      <c r="N23035" t="s">
        <v>155</v>
      </c>
      <c r="O23035">
        <v>250611</v>
      </c>
      <c r="P23035">
        <v>6.31</v>
      </c>
    </row>
    <row r="23036" spans="1:16" x14ac:dyDescent="0.25">
      <c r="A23036" t="s">
        <v>3296</v>
      </c>
      <c r="B23036" t="s">
        <v>2931</v>
      </c>
      <c r="C23036">
        <v>8122</v>
      </c>
      <c r="D23036" t="str">
        <f>"5629456     "</f>
        <v xml:space="preserve">5629456     </v>
      </c>
      <c r="E23036" t="s">
        <v>449</v>
      </c>
      <c r="F23036" t="s">
        <v>450</v>
      </c>
      <c r="G23036">
        <v>7.6</v>
      </c>
      <c r="H23036">
        <v>250531</v>
      </c>
      <c r="I23036">
        <v>4520</v>
      </c>
      <c r="J23036" t="s">
        <v>280</v>
      </c>
      <c r="K23036">
        <v>120.06</v>
      </c>
      <c r="L23036">
        <v>0.93</v>
      </c>
      <c r="M23036">
        <v>17912</v>
      </c>
      <c r="N23036" t="s">
        <v>505</v>
      </c>
      <c r="O23036">
        <v>250611</v>
      </c>
      <c r="P23036">
        <v>6.67</v>
      </c>
    </row>
    <row r="23037" spans="1:16" x14ac:dyDescent="0.25">
      <c r="A23037" t="s">
        <v>3296</v>
      </c>
      <c r="B23037" t="s">
        <v>2931</v>
      </c>
      <c r="C23037">
        <v>8344</v>
      </c>
      <c r="D23037" t="str">
        <f>"5628172     "</f>
        <v xml:space="preserve">5628172     </v>
      </c>
      <c r="E23037" t="s">
        <v>449</v>
      </c>
      <c r="F23037" t="s">
        <v>450</v>
      </c>
      <c r="G23037">
        <v>21.59</v>
      </c>
      <c r="H23037">
        <v>250531</v>
      </c>
      <c r="I23037">
        <v>4520</v>
      </c>
      <c r="J23037" t="s">
        <v>280</v>
      </c>
      <c r="K23037">
        <v>137.69</v>
      </c>
      <c r="L23037">
        <v>2.65</v>
      </c>
      <c r="M23037">
        <v>56524</v>
      </c>
      <c r="N23037" t="s">
        <v>69</v>
      </c>
      <c r="O23037">
        <v>250613</v>
      </c>
      <c r="P23037">
        <v>18.940000000000001</v>
      </c>
    </row>
    <row r="23038" spans="1:16" x14ac:dyDescent="0.25">
      <c r="A23038" t="s">
        <v>3296</v>
      </c>
      <c r="B23038" t="s">
        <v>2931</v>
      </c>
      <c r="C23038">
        <v>9359</v>
      </c>
      <c r="D23038" t="str">
        <f>"5637484     "</f>
        <v xml:space="preserve">5637484     </v>
      </c>
      <c r="E23038" t="s">
        <v>449</v>
      </c>
      <c r="F23038" t="s">
        <v>450</v>
      </c>
      <c r="G23038">
        <v>17.53</v>
      </c>
      <c r="H23038">
        <v>250630</v>
      </c>
      <c r="I23038">
        <v>4520</v>
      </c>
      <c r="J23038" t="s">
        <v>280</v>
      </c>
      <c r="K23038">
        <v>97.2</v>
      </c>
      <c r="L23038">
        <v>2.15</v>
      </c>
      <c r="M23038">
        <v>17912</v>
      </c>
      <c r="N23038" t="s">
        <v>505</v>
      </c>
      <c r="O23038">
        <v>250704</v>
      </c>
      <c r="P23038">
        <v>15.38</v>
      </c>
    </row>
    <row r="23039" spans="1:16" x14ac:dyDescent="0.25">
      <c r="A23039" t="s">
        <v>3296</v>
      </c>
      <c r="B23039" t="s">
        <v>2931</v>
      </c>
      <c r="C23039">
        <v>10509</v>
      </c>
      <c r="D23039" t="str">
        <f>"5647885     "</f>
        <v xml:space="preserve">5647885     </v>
      </c>
      <c r="E23039" t="s">
        <v>449</v>
      </c>
      <c r="F23039" t="s">
        <v>450</v>
      </c>
      <c r="G23039">
        <v>17.36</v>
      </c>
      <c r="H23039">
        <v>250815</v>
      </c>
      <c r="I23039">
        <v>4520</v>
      </c>
      <c r="J23039" t="s">
        <v>280</v>
      </c>
      <c r="K23039">
        <v>211.23</v>
      </c>
      <c r="L23039">
        <v>2.13</v>
      </c>
      <c r="M23039">
        <v>17737</v>
      </c>
      <c r="N23039" t="s">
        <v>156</v>
      </c>
      <c r="O23039">
        <v>250820</v>
      </c>
      <c r="P23039">
        <v>15.23</v>
      </c>
    </row>
    <row r="23040" spans="1:16" x14ac:dyDescent="0.25">
      <c r="A23040" t="s">
        <v>3296</v>
      </c>
      <c r="B23040" t="s">
        <v>2931</v>
      </c>
      <c r="C23040">
        <v>10509</v>
      </c>
      <c r="D23040" t="str">
        <f>"5647885     "</f>
        <v xml:space="preserve">5647885     </v>
      </c>
      <c r="E23040" t="s">
        <v>449</v>
      </c>
      <c r="F23040" t="s">
        <v>450</v>
      </c>
      <c r="G23040">
        <v>3.6</v>
      </c>
      <c r="H23040">
        <v>250815</v>
      </c>
      <c r="I23040">
        <v>4520</v>
      </c>
      <c r="J23040" t="s">
        <v>280</v>
      </c>
      <c r="K23040">
        <v>211.23</v>
      </c>
      <c r="L23040">
        <v>0.44</v>
      </c>
      <c r="M23040">
        <v>17912</v>
      </c>
      <c r="N23040" t="s">
        <v>505</v>
      </c>
      <c r="O23040">
        <v>250820</v>
      </c>
      <c r="P23040">
        <v>3.16</v>
      </c>
    </row>
    <row r="23041" spans="1:16" x14ac:dyDescent="0.25">
      <c r="A23041" t="s">
        <v>3296</v>
      </c>
      <c r="B23041" t="s">
        <v>2931</v>
      </c>
      <c r="C23041">
        <v>10509</v>
      </c>
      <c r="D23041" t="str">
        <f>"5647885     "</f>
        <v xml:space="preserve">5647885     </v>
      </c>
      <c r="E23041" t="s">
        <v>449</v>
      </c>
      <c r="F23041" t="s">
        <v>450</v>
      </c>
      <c r="G23041">
        <v>3.95</v>
      </c>
      <c r="H23041">
        <v>250815</v>
      </c>
      <c r="I23041">
        <v>4520</v>
      </c>
      <c r="J23041" t="s">
        <v>280</v>
      </c>
      <c r="K23041">
        <v>211.23</v>
      </c>
      <c r="L23041">
        <v>0.49</v>
      </c>
      <c r="M23041">
        <v>17971</v>
      </c>
      <c r="N23041" t="s">
        <v>27</v>
      </c>
      <c r="O23041">
        <v>250820</v>
      </c>
      <c r="P23041">
        <v>3.46</v>
      </c>
    </row>
    <row r="23042" spans="1:16" x14ac:dyDescent="0.25">
      <c r="A23042" t="s">
        <v>3296</v>
      </c>
      <c r="B23042" t="s">
        <v>2931</v>
      </c>
      <c r="C23042">
        <v>11449</v>
      </c>
      <c r="D23042" t="str">
        <f>"5650551     "</f>
        <v xml:space="preserve">5650551     </v>
      </c>
      <c r="E23042" t="s">
        <v>449</v>
      </c>
      <c r="F23042" t="s">
        <v>450</v>
      </c>
      <c r="G23042">
        <v>30.45</v>
      </c>
      <c r="H23042">
        <v>250831</v>
      </c>
      <c r="I23042">
        <v>4520</v>
      </c>
      <c r="J23042" t="s">
        <v>280</v>
      </c>
      <c r="K23042">
        <v>703.03</v>
      </c>
      <c r="L23042">
        <v>3.74</v>
      </c>
      <c r="M23042">
        <v>49111</v>
      </c>
      <c r="N23042" t="s">
        <v>108</v>
      </c>
      <c r="O23042">
        <v>250905</v>
      </c>
      <c r="P23042">
        <v>26.71</v>
      </c>
    </row>
    <row r="23043" spans="1:16" x14ac:dyDescent="0.25">
      <c r="A23043" t="s">
        <v>3296</v>
      </c>
      <c r="B23043" t="s">
        <v>2931</v>
      </c>
      <c r="C23043">
        <v>11518</v>
      </c>
      <c r="D23043" t="str">
        <f>"5650743     "</f>
        <v xml:space="preserve">5650743     </v>
      </c>
      <c r="E23043" t="s">
        <v>449</v>
      </c>
      <c r="F23043" t="s">
        <v>450</v>
      </c>
      <c r="G23043">
        <v>13.2</v>
      </c>
      <c r="H23043">
        <v>250831</v>
      </c>
      <c r="I23043">
        <v>4520</v>
      </c>
      <c r="J23043" t="s">
        <v>280</v>
      </c>
      <c r="K23043">
        <v>114.29</v>
      </c>
      <c r="L23043">
        <v>1.62</v>
      </c>
      <c r="M23043">
        <v>69111</v>
      </c>
      <c r="N23043" t="s">
        <v>657</v>
      </c>
      <c r="O23043">
        <v>250908</v>
      </c>
      <c r="P23043">
        <v>11.58</v>
      </c>
    </row>
    <row r="23044" spans="1:16" x14ac:dyDescent="0.25">
      <c r="A23044" t="s">
        <v>3296</v>
      </c>
      <c r="B23044" t="s">
        <v>2931</v>
      </c>
      <c r="C23044">
        <v>12493</v>
      </c>
      <c r="D23044" t="str">
        <f>"5655663     "</f>
        <v xml:space="preserve">5655663     </v>
      </c>
      <c r="E23044" t="s">
        <v>449</v>
      </c>
      <c r="F23044" t="s">
        <v>450</v>
      </c>
      <c r="G23044">
        <v>12.75</v>
      </c>
      <c r="H23044">
        <v>250915</v>
      </c>
      <c r="I23044">
        <v>4520</v>
      </c>
      <c r="J23044" t="s">
        <v>280</v>
      </c>
      <c r="K23044">
        <v>123.99</v>
      </c>
      <c r="L23044">
        <v>1.57</v>
      </c>
      <c r="M23044">
        <v>17912</v>
      </c>
      <c r="N23044" t="s">
        <v>505</v>
      </c>
      <c r="O23044">
        <v>250925</v>
      </c>
      <c r="P23044">
        <v>11.18</v>
      </c>
    </row>
    <row r="23045" spans="1:16" x14ac:dyDescent="0.25">
      <c r="A23045" t="s">
        <v>3296</v>
      </c>
      <c r="B23045" t="s">
        <v>2931</v>
      </c>
      <c r="C23045">
        <v>13013</v>
      </c>
      <c r="D23045" t="str">
        <f>"5658800     "</f>
        <v xml:space="preserve">5658800     </v>
      </c>
      <c r="E23045" t="s">
        <v>449</v>
      </c>
      <c r="F23045" t="s">
        <v>450</v>
      </c>
      <c r="G23045">
        <v>94.13</v>
      </c>
      <c r="H23045">
        <v>250930</v>
      </c>
      <c r="I23045">
        <v>4520</v>
      </c>
      <c r="J23045" t="s">
        <v>280</v>
      </c>
      <c r="K23045">
        <v>181.1</v>
      </c>
      <c r="L23045">
        <v>11.56</v>
      </c>
      <c r="M23045">
        <v>54222</v>
      </c>
      <c r="N23045" t="s">
        <v>48</v>
      </c>
      <c r="O23045">
        <v>251003</v>
      </c>
      <c r="P23045">
        <v>82.57</v>
      </c>
    </row>
    <row r="23046" spans="1:16" x14ac:dyDescent="0.25">
      <c r="A23046" t="s">
        <v>3296</v>
      </c>
      <c r="B23046" t="s">
        <v>2931</v>
      </c>
      <c r="C23046">
        <v>13198</v>
      </c>
      <c r="D23046" t="str">
        <f>"5658400     "</f>
        <v xml:space="preserve">5658400     </v>
      </c>
      <c r="E23046" t="s">
        <v>449</v>
      </c>
      <c r="F23046" t="s">
        <v>450</v>
      </c>
      <c r="G23046">
        <v>3.98</v>
      </c>
      <c r="H23046">
        <v>250930</v>
      </c>
      <c r="I23046">
        <v>4520</v>
      </c>
      <c r="J23046" t="s">
        <v>280</v>
      </c>
      <c r="K23046">
        <v>351.11</v>
      </c>
      <c r="L23046">
        <v>0.49</v>
      </c>
      <c r="M23046">
        <v>47522</v>
      </c>
      <c r="N23046" t="s">
        <v>106</v>
      </c>
      <c r="O23046">
        <v>251006</v>
      </c>
      <c r="P23046">
        <v>3.49</v>
      </c>
    </row>
    <row r="23047" spans="1:16" x14ac:dyDescent="0.25">
      <c r="A23047" t="s">
        <v>3296</v>
      </c>
      <c r="B23047" t="s">
        <v>2931</v>
      </c>
      <c r="C23047">
        <v>13198</v>
      </c>
      <c r="D23047" t="str">
        <f>"5658400     "</f>
        <v xml:space="preserve">5658400     </v>
      </c>
      <c r="E23047" t="s">
        <v>449</v>
      </c>
      <c r="F23047" t="s">
        <v>450</v>
      </c>
      <c r="G23047">
        <v>31.87</v>
      </c>
      <c r="H23047">
        <v>250930</v>
      </c>
      <c r="I23047">
        <v>4520</v>
      </c>
      <c r="J23047" t="s">
        <v>280</v>
      </c>
      <c r="K23047">
        <v>351.11</v>
      </c>
      <c r="L23047">
        <v>3.91</v>
      </c>
      <c r="M23047">
        <v>49705</v>
      </c>
      <c r="N23047" t="s">
        <v>114</v>
      </c>
      <c r="O23047">
        <v>251006</v>
      </c>
      <c r="P23047">
        <v>27.96</v>
      </c>
    </row>
    <row r="23048" spans="1:16" x14ac:dyDescent="0.25">
      <c r="A23048" t="s">
        <v>3296</v>
      </c>
      <c r="B23048" t="s">
        <v>2931</v>
      </c>
      <c r="C23048">
        <v>14526</v>
      </c>
      <c r="D23048" t="str">
        <f>"5668310     "</f>
        <v xml:space="preserve">5668310     </v>
      </c>
      <c r="E23048" t="s">
        <v>449</v>
      </c>
      <c r="F23048" t="s">
        <v>450</v>
      </c>
      <c r="G23048">
        <v>5.39</v>
      </c>
      <c r="H23048">
        <v>251031</v>
      </c>
      <c r="I23048">
        <v>4520</v>
      </c>
      <c r="J23048" t="s">
        <v>280</v>
      </c>
      <c r="K23048">
        <v>82.26</v>
      </c>
      <c r="L23048">
        <v>0.66</v>
      </c>
      <c r="M23048">
        <v>17912</v>
      </c>
      <c r="N23048" t="s">
        <v>505</v>
      </c>
      <c r="O23048">
        <v>251104</v>
      </c>
      <c r="P23048">
        <v>4.7300000000000004</v>
      </c>
    </row>
    <row r="23049" spans="1:16" x14ac:dyDescent="0.25">
      <c r="A23049" t="s">
        <v>3296</v>
      </c>
      <c r="B23049" t="s">
        <v>2931</v>
      </c>
      <c r="C23049">
        <v>14701</v>
      </c>
      <c r="D23049" t="str">
        <f>"5667011     "</f>
        <v xml:space="preserve">5667011     </v>
      </c>
      <c r="E23049" t="s">
        <v>449</v>
      </c>
      <c r="F23049" t="s">
        <v>450</v>
      </c>
      <c r="G23049">
        <v>8.9499999999999993</v>
      </c>
      <c r="H23049">
        <v>251031</v>
      </c>
      <c r="I23049">
        <v>4520</v>
      </c>
      <c r="J23049" t="s">
        <v>280</v>
      </c>
      <c r="K23049">
        <v>503.44</v>
      </c>
      <c r="L23049">
        <v>1.1000000000000001</v>
      </c>
      <c r="M23049">
        <v>59111</v>
      </c>
      <c r="N23049" t="s">
        <v>60</v>
      </c>
      <c r="O23049">
        <v>251106</v>
      </c>
      <c r="P23049">
        <v>7.85</v>
      </c>
    </row>
    <row r="23050" spans="1:16" x14ac:dyDescent="0.25">
      <c r="A23050" t="s">
        <v>3296</v>
      </c>
      <c r="B23050" t="s">
        <v>2931</v>
      </c>
      <c r="C23050">
        <v>14711</v>
      </c>
      <c r="D23050" t="str">
        <f>"5666571     "</f>
        <v xml:space="preserve">5666571     </v>
      </c>
      <c r="E23050" t="s">
        <v>449</v>
      </c>
      <c r="F23050" t="s">
        <v>450</v>
      </c>
      <c r="G23050">
        <v>17.440000000000001</v>
      </c>
      <c r="H23050">
        <v>251031</v>
      </c>
      <c r="I23050">
        <v>4520</v>
      </c>
      <c r="J23050" t="s">
        <v>280</v>
      </c>
      <c r="K23050">
        <v>534.19000000000005</v>
      </c>
      <c r="L23050">
        <v>2.14</v>
      </c>
      <c r="M23050">
        <v>44222</v>
      </c>
      <c r="N23050" t="s">
        <v>96</v>
      </c>
      <c r="O23050">
        <v>251106</v>
      </c>
      <c r="P23050">
        <v>15.3</v>
      </c>
    </row>
    <row r="23051" spans="1:16" x14ac:dyDescent="0.25">
      <c r="A23051" t="s">
        <v>3296</v>
      </c>
      <c r="B23051" t="s">
        <v>2931</v>
      </c>
      <c r="C23051">
        <v>14711</v>
      </c>
      <c r="D23051" t="str">
        <f>"5666571     "</f>
        <v xml:space="preserve">5666571     </v>
      </c>
      <c r="E23051" t="s">
        <v>449</v>
      </c>
      <c r="F23051" t="s">
        <v>450</v>
      </c>
      <c r="G23051">
        <v>47.93</v>
      </c>
      <c r="H23051">
        <v>251031</v>
      </c>
      <c r="I23051">
        <v>4520</v>
      </c>
      <c r="J23051" t="s">
        <v>280</v>
      </c>
      <c r="K23051">
        <v>534.19000000000005</v>
      </c>
      <c r="L23051">
        <v>5.89</v>
      </c>
      <c r="M23051">
        <v>49704</v>
      </c>
      <c r="N23051" t="s">
        <v>113</v>
      </c>
      <c r="O23051">
        <v>251106</v>
      </c>
      <c r="P23051">
        <v>42.04</v>
      </c>
    </row>
    <row r="23052" spans="1:16" x14ac:dyDescent="0.25">
      <c r="A23052" t="s">
        <v>3296</v>
      </c>
      <c r="B23052" t="s">
        <v>2931</v>
      </c>
      <c r="C23052">
        <v>14711</v>
      </c>
      <c r="D23052" t="str">
        <f>"5666571     "</f>
        <v xml:space="preserve">5666571     </v>
      </c>
      <c r="E23052" t="s">
        <v>449</v>
      </c>
      <c r="F23052" t="s">
        <v>450</v>
      </c>
      <c r="G23052">
        <v>22.74</v>
      </c>
      <c r="H23052">
        <v>251031</v>
      </c>
      <c r="I23052">
        <v>4520</v>
      </c>
      <c r="J23052" t="s">
        <v>280</v>
      </c>
      <c r="K23052">
        <v>534.19000000000005</v>
      </c>
      <c r="L23052">
        <v>2.79</v>
      </c>
      <c r="M23052">
        <v>49705</v>
      </c>
      <c r="N23052" t="s">
        <v>114</v>
      </c>
      <c r="O23052">
        <v>251106</v>
      </c>
      <c r="P23052">
        <v>19.95</v>
      </c>
    </row>
    <row r="23053" spans="1:16" x14ac:dyDescent="0.25">
      <c r="A23053" t="s">
        <v>3296</v>
      </c>
      <c r="B23053" t="s">
        <v>2931</v>
      </c>
      <c r="C23053">
        <v>15448</v>
      </c>
      <c r="D23053" t="str">
        <f>"5672971     "</f>
        <v xml:space="preserve">5672971     </v>
      </c>
      <c r="E23053" t="s">
        <v>449</v>
      </c>
      <c r="F23053" t="s">
        <v>450</v>
      </c>
      <c r="G23053">
        <v>15.18</v>
      </c>
      <c r="H23053">
        <v>251115</v>
      </c>
      <c r="I23053">
        <v>4520</v>
      </c>
      <c r="J23053" t="s">
        <v>280</v>
      </c>
      <c r="K23053">
        <v>110.12</v>
      </c>
      <c r="L23053">
        <v>1.86</v>
      </c>
      <c r="M23053">
        <v>17538</v>
      </c>
      <c r="N23053" t="s">
        <v>129</v>
      </c>
      <c r="O23053">
        <v>251120</v>
      </c>
      <c r="P23053">
        <v>13.32</v>
      </c>
    </row>
    <row r="23054" spans="1:16" x14ac:dyDescent="0.25">
      <c r="A23054" t="s">
        <v>3296</v>
      </c>
      <c r="B23054" t="s">
        <v>2931</v>
      </c>
      <c r="C23054">
        <v>15785</v>
      </c>
      <c r="D23054" t="str">
        <f>"5672305     "</f>
        <v xml:space="preserve">5672305     </v>
      </c>
      <c r="E23054" t="s">
        <v>449</v>
      </c>
      <c r="F23054" t="s">
        <v>450</v>
      </c>
      <c r="G23054">
        <v>18.7</v>
      </c>
      <c r="H23054">
        <v>251115</v>
      </c>
      <c r="I23054">
        <v>4520</v>
      </c>
      <c r="J23054" t="s">
        <v>280</v>
      </c>
      <c r="K23054">
        <v>86.66</v>
      </c>
      <c r="L23054">
        <v>2.2999999999999998</v>
      </c>
      <c r="M23054">
        <v>17711</v>
      </c>
      <c r="N23054" t="s">
        <v>155</v>
      </c>
      <c r="O23054">
        <v>251127</v>
      </c>
      <c r="P23054">
        <v>16.399999999999999</v>
      </c>
    </row>
    <row r="23055" spans="1:16" x14ac:dyDescent="0.25">
      <c r="A23055" t="s">
        <v>3296</v>
      </c>
      <c r="B23055" t="s">
        <v>2931</v>
      </c>
      <c r="C23055">
        <v>15785</v>
      </c>
      <c r="D23055" t="str">
        <f>"5672305     "</f>
        <v xml:space="preserve">5672305     </v>
      </c>
      <c r="E23055" t="s">
        <v>449</v>
      </c>
      <c r="F23055" t="s">
        <v>450</v>
      </c>
      <c r="G23055">
        <v>20.260000000000002</v>
      </c>
      <c r="H23055">
        <v>251115</v>
      </c>
      <c r="I23055">
        <v>4520</v>
      </c>
      <c r="J23055" t="s">
        <v>280</v>
      </c>
      <c r="K23055">
        <v>86.66</v>
      </c>
      <c r="L23055">
        <v>2.4900000000000002</v>
      </c>
      <c r="M23055">
        <v>17912</v>
      </c>
      <c r="N23055" t="s">
        <v>505</v>
      </c>
      <c r="O23055">
        <v>251127</v>
      </c>
      <c r="P23055">
        <v>17.77</v>
      </c>
    </row>
    <row r="23056" spans="1:16" x14ac:dyDescent="0.25">
      <c r="A23056" t="s">
        <v>3296</v>
      </c>
      <c r="B23056" t="s">
        <v>2931</v>
      </c>
      <c r="C23056">
        <v>16185</v>
      </c>
      <c r="D23056" t="str">
        <f>"5677974     "</f>
        <v xml:space="preserve">5677974     </v>
      </c>
      <c r="E23056" t="s">
        <v>449</v>
      </c>
      <c r="F23056" t="s">
        <v>450</v>
      </c>
      <c r="G23056">
        <v>15</v>
      </c>
      <c r="H23056">
        <v>251130</v>
      </c>
      <c r="I23056">
        <v>4520</v>
      </c>
      <c r="J23056" t="s">
        <v>280</v>
      </c>
      <c r="K23056">
        <v>325.35000000000002</v>
      </c>
      <c r="L23056">
        <v>1.84</v>
      </c>
      <c r="M23056">
        <v>17538</v>
      </c>
      <c r="N23056" t="s">
        <v>129</v>
      </c>
      <c r="O23056">
        <v>251204</v>
      </c>
      <c r="P23056">
        <v>13.16</v>
      </c>
    </row>
    <row r="23057" spans="1:16" x14ac:dyDescent="0.25">
      <c r="A23057" t="s">
        <v>3296</v>
      </c>
      <c r="B23057" t="s">
        <v>2931</v>
      </c>
      <c r="C23057">
        <v>16188</v>
      </c>
      <c r="D23057" t="str">
        <f>"5675241     "</f>
        <v xml:space="preserve">5675241     </v>
      </c>
      <c r="E23057" t="s">
        <v>449</v>
      </c>
      <c r="F23057" t="s">
        <v>450</v>
      </c>
      <c r="G23057">
        <v>22.2</v>
      </c>
      <c r="H23057">
        <v>251130</v>
      </c>
      <c r="I23057">
        <v>4520</v>
      </c>
      <c r="J23057" t="s">
        <v>280</v>
      </c>
      <c r="K23057">
        <v>280.26</v>
      </c>
      <c r="L23057">
        <v>2.73</v>
      </c>
      <c r="M23057">
        <v>46554</v>
      </c>
      <c r="N23057" t="s">
        <v>102</v>
      </c>
      <c r="O23057">
        <v>251204</v>
      </c>
      <c r="P23057">
        <v>19.47</v>
      </c>
    </row>
    <row r="23058" spans="1:16" x14ac:dyDescent="0.25">
      <c r="A23058" t="s">
        <v>3296</v>
      </c>
      <c r="B23058" t="s">
        <v>2931</v>
      </c>
      <c r="C23058">
        <v>16188</v>
      </c>
      <c r="D23058" t="str">
        <f>"5675241     "</f>
        <v xml:space="preserve">5675241     </v>
      </c>
      <c r="E23058" t="s">
        <v>449</v>
      </c>
      <c r="F23058" t="s">
        <v>450</v>
      </c>
      <c r="G23058">
        <v>18.739999999999998</v>
      </c>
      <c r="H23058">
        <v>251130</v>
      </c>
      <c r="I23058">
        <v>4520</v>
      </c>
      <c r="J23058" t="s">
        <v>280</v>
      </c>
      <c r="K23058">
        <v>280.26</v>
      </c>
      <c r="L23058">
        <v>2.2999999999999998</v>
      </c>
      <c r="M23058">
        <v>49704</v>
      </c>
      <c r="N23058" t="s">
        <v>113</v>
      </c>
      <c r="O23058">
        <v>251204</v>
      </c>
      <c r="P23058">
        <v>16.440000000000001</v>
      </c>
    </row>
    <row r="23059" spans="1:16" x14ac:dyDescent="0.25">
      <c r="A23059" t="s">
        <v>3296</v>
      </c>
      <c r="B23059" t="s">
        <v>2931</v>
      </c>
      <c r="C23059">
        <v>16389</v>
      </c>
      <c r="D23059" t="str">
        <f>"5678745     "</f>
        <v xml:space="preserve">5678745     </v>
      </c>
      <c r="E23059" t="s">
        <v>449</v>
      </c>
      <c r="F23059" t="s">
        <v>450</v>
      </c>
      <c r="G23059">
        <v>16.89</v>
      </c>
      <c r="H23059">
        <v>251130</v>
      </c>
      <c r="I23059">
        <v>4520</v>
      </c>
      <c r="J23059" t="s">
        <v>280</v>
      </c>
      <c r="K23059">
        <v>80.14</v>
      </c>
      <c r="L23059">
        <v>2.0699999999999998</v>
      </c>
      <c r="M23059">
        <v>13601</v>
      </c>
      <c r="N23059" t="s">
        <v>115</v>
      </c>
      <c r="O23059">
        <v>251208</v>
      </c>
      <c r="P23059">
        <v>14.82</v>
      </c>
    </row>
    <row r="23060" spans="1:16" x14ac:dyDescent="0.25">
      <c r="A23060" t="s">
        <v>3296</v>
      </c>
      <c r="B23060" t="s">
        <v>2931</v>
      </c>
      <c r="C23060">
        <v>16896</v>
      </c>
      <c r="D23060" t="str">
        <f>"5675759     "</f>
        <v xml:space="preserve">5675759     </v>
      </c>
      <c r="E23060" t="s">
        <v>449</v>
      </c>
      <c r="F23060" t="s">
        <v>450</v>
      </c>
      <c r="G23060">
        <v>246.76</v>
      </c>
      <c r="H23060">
        <v>251130</v>
      </c>
      <c r="I23060">
        <v>4520</v>
      </c>
      <c r="J23060" t="s">
        <v>280</v>
      </c>
      <c r="K23060">
        <v>784.85</v>
      </c>
      <c r="L23060">
        <v>0</v>
      </c>
      <c r="M23060">
        <v>11001</v>
      </c>
      <c r="N23060" t="s">
        <v>93</v>
      </c>
      <c r="O23060">
        <v>251215</v>
      </c>
      <c r="P23060">
        <v>246.76</v>
      </c>
    </row>
    <row r="23061" spans="1:16" x14ac:dyDescent="0.25">
      <c r="A23061" t="s">
        <v>3296</v>
      </c>
      <c r="B23061" t="s">
        <v>2931</v>
      </c>
      <c r="C23061">
        <v>16896</v>
      </c>
      <c r="D23061" t="str">
        <f>"5675759     "</f>
        <v xml:space="preserve">5675759     </v>
      </c>
      <c r="E23061" t="s">
        <v>449</v>
      </c>
      <c r="F23061" t="s">
        <v>450</v>
      </c>
      <c r="G23061">
        <v>64.23</v>
      </c>
      <c r="H23061">
        <v>251130</v>
      </c>
      <c r="I23061">
        <v>4520</v>
      </c>
      <c r="J23061" t="s">
        <v>280</v>
      </c>
      <c r="K23061">
        <v>784.85</v>
      </c>
      <c r="L23061">
        <v>7.89</v>
      </c>
      <c r="M23061">
        <v>54252</v>
      </c>
      <c r="N23061" t="s">
        <v>742</v>
      </c>
      <c r="O23061">
        <v>251215</v>
      </c>
      <c r="P23061">
        <v>56.34</v>
      </c>
    </row>
    <row r="23062" spans="1:16" x14ac:dyDescent="0.25">
      <c r="A23062" t="s">
        <v>3296</v>
      </c>
      <c r="B23062" t="s">
        <v>2931</v>
      </c>
      <c r="C23062">
        <v>16896</v>
      </c>
      <c r="D23062" t="str">
        <f>"5675759     "</f>
        <v xml:space="preserve">5675759     </v>
      </c>
      <c r="E23062" t="s">
        <v>449</v>
      </c>
      <c r="F23062" t="s">
        <v>450</v>
      </c>
      <c r="G23062">
        <v>33.19</v>
      </c>
      <c r="H23062">
        <v>251130</v>
      </c>
      <c r="I23062">
        <v>4520</v>
      </c>
      <c r="J23062" t="s">
        <v>280</v>
      </c>
      <c r="K23062">
        <v>784.85</v>
      </c>
      <c r="L23062">
        <v>4.08</v>
      </c>
      <c r="M23062">
        <v>56524</v>
      </c>
      <c r="N23062" t="s">
        <v>69</v>
      </c>
      <c r="O23062">
        <v>251215</v>
      </c>
      <c r="P23062">
        <v>29.11</v>
      </c>
    </row>
    <row r="23063" spans="1:16" x14ac:dyDescent="0.25">
      <c r="A23063" t="s">
        <v>3296</v>
      </c>
      <c r="B23063" t="s">
        <v>2931</v>
      </c>
      <c r="C23063">
        <v>17202</v>
      </c>
      <c r="D23063" t="str">
        <f>"5681794     "</f>
        <v xml:space="preserve">5681794     </v>
      </c>
      <c r="E23063" t="s">
        <v>449</v>
      </c>
      <c r="F23063" t="s">
        <v>450</v>
      </c>
      <c r="G23063">
        <v>8</v>
      </c>
      <c r="H23063">
        <v>251215</v>
      </c>
      <c r="I23063">
        <v>4520</v>
      </c>
      <c r="J23063" t="s">
        <v>280</v>
      </c>
      <c r="K23063">
        <v>163.62</v>
      </c>
      <c r="L23063">
        <v>0.98</v>
      </c>
      <c r="M23063">
        <v>17912</v>
      </c>
      <c r="N23063" t="s">
        <v>505</v>
      </c>
      <c r="O23063">
        <v>251218</v>
      </c>
      <c r="P23063">
        <v>7.02</v>
      </c>
    </row>
    <row r="23064" spans="1:16" x14ac:dyDescent="0.25">
      <c r="A23064" t="s">
        <v>3296</v>
      </c>
      <c r="B23064" t="s">
        <v>2931</v>
      </c>
      <c r="C23064">
        <v>18158</v>
      </c>
      <c r="D23064" t="str">
        <f>"5685779     "</f>
        <v xml:space="preserve">5685779     </v>
      </c>
      <c r="E23064" t="s">
        <v>449</v>
      </c>
      <c r="F23064" t="s">
        <v>450</v>
      </c>
      <c r="G23064">
        <v>52.37</v>
      </c>
      <c r="H23064">
        <v>251231</v>
      </c>
      <c r="I23064">
        <v>4520</v>
      </c>
      <c r="J23064" t="s">
        <v>280</v>
      </c>
      <c r="K23064">
        <v>432.78</v>
      </c>
      <c r="L23064">
        <v>6.43</v>
      </c>
      <c r="M23064">
        <v>59702</v>
      </c>
      <c r="N23064" t="s">
        <v>45</v>
      </c>
      <c r="O23064">
        <v>260109</v>
      </c>
      <c r="P23064">
        <v>45.94</v>
      </c>
    </row>
    <row r="23065" spans="1:16" x14ac:dyDescent="0.25">
      <c r="A23065" t="s">
        <v>3296</v>
      </c>
      <c r="B23065" t="s">
        <v>2931</v>
      </c>
      <c r="C23065">
        <v>18234</v>
      </c>
      <c r="D23065" t="str">
        <f>"5686403     "</f>
        <v xml:space="preserve">5686403     </v>
      </c>
      <c r="E23065" t="s">
        <v>449</v>
      </c>
      <c r="F23065" t="s">
        <v>450</v>
      </c>
      <c r="G23065">
        <v>26</v>
      </c>
      <c r="H23065">
        <v>251231</v>
      </c>
      <c r="I23065">
        <v>4520</v>
      </c>
      <c r="J23065" t="s">
        <v>280</v>
      </c>
      <c r="K23065">
        <v>130.13999999999999</v>
      </c>
      <c r="L23065">
        <v>3.19</v>
      </c>
      <c r="M23065">
        <v>17808</v>
      </c>
      <c r="N23065" t="s">
        <v>24</v>
      </c>
      <c r="O23065">
        <v>260112</v>
      </c>
      <c r="P23065">
        <v>22.81</v>
      </c>
    </row>
    <row r="23066" spans="1:16" x14ac:dyDescent="0.25">
      <c r="A23066" t="s">
        <v>3296</v>
      </c>
      <c r="B23066" t="s">
        <v>2931</v>
      </c>
      <c r="C23066">
        <v>18404</v>
      </c>
      <c r="D23066" t="str">
        <f>"5685277     "</f>
        <v xml:space="preserve">5685277     </v>
      </c>
      <c r="E23066" t="s">
        <v>449</v>
      </c>
      <c r="F23066" t="s">
        <v>450</v>
      </c>
      <c r="G23066">
        <v>32.520000000000003</v>
      </c>
      <c r="H23066">
        <v>251231</v>
      </c>
      <c r="I23066">
        <v>4520</v>
      </c>
      <c r="J23066" t="s">
        <v>280</v>
      </c>
      <c r="K23066">
        <v>493.71</v>
      </c>
      <c r="L23066">
        <v>3.99</v>
      </c>
      <c r="M23066">
        <v>41126</v>
      </c>
      <c r="N23066" t="s">
        <v>94</v>
      </c>
      <c r="O23066">
        <v>260113</v>
      </c>
      <c r="P23066">
        <v>28.53</v>
      </c>
    </row>
    <row r="23067" spans="1:16" x14ac:dyDescent="0.25">
      <c r="A23067" t="s">
        <v>3296</v>
      </c>
      <c r="B23067" t="s">
        <v>2931</v>
      </c>
      <c r="C23067">
        <v>18404</v>
      </c>
      <c r="D23067" t="str">
        <f>"5685277     "</f>
        <v xml:space="preserve">5685277     </v>
      </c>
      <c r="E23067" t="s">
        <v>449</v>
      </c>
      <c r="F23067" t="s">
        <v>450</v>
      </c>
      <c r="G23067">
        <v>42</v>
      </c>
      <c r="H23067">
        <v>251231</v>
      </c>
      <c r="I23067">
        <v>4520</v>
      </c>
      <c r="J23067" t="s">
        <v>280</v>
      </c>
      <c r="K23067">
        <v>493.71</v>
      </c>
      <c r="L23067">
        <v>5.16</v>
      </c>
      <c r="M23067">
        <v>44222</v>
      </c>
      <c r="N23067" t="s">
        <v>96</v>
      </c>
      <c r="O23067">
        <v>260113</v>
      </c>
      <c r="P23067">
        <v>36.840000000000003</v>
      </c>
    </row>
    <row r="23068" spans="1:16" x14ac:dyDescent="0.25">
      <c r="A23068" t="s">
        <v>3296</v>
      </c>
      <c r="B23068" t="s">
        <v>2931</v>
      </c>
      <c r="C23068">
        <v>18404</v>
      </c>
      <c r="D23068" t="str">
        <f>"5685277     "</f>
        <v xml:space="preserve">5685277     </v>
      </c>
      <c r="E23068" t="s">
        <v>449</v>
      </c>
      <c r="F23068" t="s">
        <v>450</v>
      </c>
      <c r="G23068">
        <v>52</v>
      </c>
      <c r="H23068">
        <v>251231</v>
      </c>
      <c r="I23068">
        <v>4520</v>
      </c>
      <c r="J23068" t="s">
        <v>280</v>
      </c>
      <c r="K23068">
        <v>493.71</v>
      </c>
      <c r="L23068">
        <v>6.39</v>
      </c>
      <c r="M23068">
        <v>49702</v>
      </c>
      <c r="N23068" t="s">
        <v>112</v>
      </c>
      <c r="O23068">
        <v>260113</v>
      </c>
      <c r="P23068">
        <v>45.61</v>
      </c>
    </row>
    <row r="23069" spans="1:16" x14ac:dyDescent="0.25">
      <c r="A23069" t="s">
        <v>3296</v>
      </c>
      <c r="B23069" t="s">
        <v>2931</v>
      </c>
      <c r="C23069">
        <v>1540</v>
      </c>
      <c r="D23069" t="str">
        <f>"5597139     "</f>
        <v xml:space="preserve">5597139     </v>
      </c>
      <c r="E23069" t="s">
        <v>449</v>
      </c>
      <c r="F23069" t="s">
        <v>450</v>
      </c>
      <c r="G23069">
        <v>14.58</v>
      </c>
      <c r="H23069">
        <v>250131</v>
      </c>
      <c r="I23069">
        <v>4530</v>
      </c>
      <c r="J23069" t="s">
        <v>293</v>
      </c>
      <c r="K23069">
        <v>55.84</v>
      </c>
      <c r="L23069">
        <v>2.96</v>
      </c>
      <c r="M23069">
        <v>65422</v>
      </c>
      <c r="N23069" t="s">
        <v>117</v>
      </c>
      <c r="O23069">
        <v>250211</v>
      </c>
      <c r="P23069">
        <v>11.62</v>
      </c>
    </row>
    <row r="23070" spans="1:16" x14ac:dyDescent="0.25">
      <c r="A23070" t="s">
        <v>3296</v>
      </c>
      <c r="B23070" t="s">
        <v>2931</v>
      </c>
      <c r="C23070">
        <v>1784</v>
      </c>
      <c r="D23070" t="str">
        <f>"5596936     "</f>
        <v xml:space="preserve">5596936     </v>
      </c>
      <c r="E23070" t="s">
        <v>449</v>
      </c>
      <c r="F23070" t="s">
        <v>450</v>
      </c>
      <c r="G23070">
        <v>19.88</v>
      </c>
      <c r="H23070">
        <v>250131</v>
      </c>
      <c r="I23070">
        <v>4530</v>
      </c>
      <c r="J23070" t="s">
        <v>293</v>
      </c>
      <c r="K23070">
        <v>749.95</v>
      </c>
      <c r="L23070">
        <v>4.04</v>
      </c>
      <c r="M23070">
        <v>49111</v>
      </c>
      <c r="N23070" t="s">
        <v>108</v>
      </c>
      <c r="O23070">
        <v>250214</v>
      </c>
      <c r="P23070">
        <v>15.84</v>
      </c>
    </row>
    <row r="23071" spans="1:16" x14ac:dyDescent="0.25">
      <c r="A23071" t="s">
        <v>3296</v>
      </c>
      <c r="B23071" t="s">
        <v>2931</v>
      </c>
      <c r="C23071">
        <v>2766</v>
      </c>
      <c r="D23071" t="str">
        <f>"5604706     "</f>
        <v xml:space="preserve">5604706     </v>
      </c>
      <c r="E23071" t="s">
        <v>449</v>
      </c>
      <c r="F23071" t="s">
        <v>450</v>
      </c>
      <c r="G23071">
        <v>21</v>
      </c>
      <c r="H23071">
        <v>250228</v>
      </c>
      <c r="I23071">
        <v>4530</v>
      </c>
      <c r="J23071" t="s">
        <v>293</v>
      </c>
      <c r="K23071">
        <v>221.48</v>
      </c>
      <c r="L23071">
        <v>4.2699999999999996</v>
      </c>
      <c r="M23071">
        <v>46222</v>
      </c>
      <c r="N23071" t="s">
        <v>101</v>
      </c>
      <c r="O23071">
        <v>250311</v>
      </c>
      <c r="P23071">
        <v>16.73</v>
      </c>
    </row>
    <row r="23072" spans="1:16" x14ac:dyDescent="0.25">
      <c r="A23072" t="s">
        <v>3296</v>
      </c>
      <c r="B23072" t="s">
        <v>2931</v>
      </c>
      <c r="C23072">
        <v>7022</v>
      </c>
      <c r="D23072" t="str">
        <f>"5620018     "</f>
        <v xml:space="preserve">5620018     </v>
      </c>
      <c r="E23072" t="s">
        <v>449</v>
      </c>
      <c r="F23072" t="s">
        <v>450</v>
      </c>
      <c r="G23072">
        <v>2.7</v>
      </c>
      <c r="H23072">
        <v>250516</v>
      </c>
      <c r="I23072">
        <v>4530</v>
      </c>
      <c r="J23072" t="s">
        <v>293</v>
      </c>
      <c r="K23072">
        <v>375.79</v>
      </c>
      <c r="L23072">
        <v>0.55000000000000004</v>
      </c>
      <c r="M23072">
        <v>69112</v>
      </c>
      <c r="N23072" t="s">
        <v>227</v>
      </c>
      <c r="O23072">
        <v>250521</v>
      </c>
      <c r="P23072">
        <v>2.15</v>
      </c>
    </row>
    <row r="23073" spans="1:16" x14ac:dyDescent="0.25">
      <c r="A23073" t="s">
        <v>3296</v>
      </c>
      <c r="B23073" t="s">
        <v>2931</v>
      </c>
      <c r="C23073">
        <v>7022</v>
      </c>
      <c r="D23073" t="str">
        <f>"5620018     "</f>
        <v xml:space="preserve">5620018     </v>
      </c>
      <c r="E23073" t="s">
        <v>449</v>
      </c>
      <c r="F23073" t="s">
        <v>450</v>
      </c>
      <c r="G23073">
        <v>38.380000000000003</v>
      </c>
      <c r="H23073">
        <v>250516</v>
      </c>
      <c r="I23073">
        <v>4530</v>
      </c>
      <c r="J23073" t="s">
        <v>293</v>
      </c>
      <c r="K23073">
        <v>375.79</v>
      </c>
      <c r="L23073">
        <v>7.8</v>
      </c>
      <c r="M23073">
        <v>69112</v>
      </c>
      <c r="N23073" t="s">
        <v>227</v>
      </c>
      <c r="O23073">
        <v>250521</v>
      </c>
      <c r="P23073">
        <v>30.58</v>
      </c>
    </row>
    <row r="23074" spans="1:16" x14ac:dyDescent="0.25">
      <c r="A23074" t="s">
        <v>3296</v>
      </c>
      <c r="B23074" t="s">
        <v>2931</v>
      </c>
      <c r="C23074">
        <v>14092</v>
      </c>
      <c r="D23074" t="str">
        <f>"5664397     "</f>
        <v xml:space="preserve">5664397     </v>
      </c>
      <c r="E23074" t="s">
        <v>449</v>
      </c>
      <c r="F23074" t="s">
        <v>450</v>
      </c>
      <c r="G23074">
        <v>25.63</v>
      </c>
      <c r="H23074">
        <v>251015</v>
      </c>
      <c r="I23074">
        <v>4530</v>
      </c>
      <c r="J23074" t="s">
        <v>293</v>
      </c>
      <c r="K23074">
        <v>108.9</v>
      </c>
      <c r="L23074">
        <v>5.21</v>
      </c>
      <c r="M23074">
        <v>17523</v>
      </c>
      <c r="N23074" t="s">
        <v>138</v>
      </c>
      <c r="O23074">
        <v>251023</v>
      </c>
      <c r="P23074">
        <v>20.420000000000002</v>
      </c>
    </row>
    <row r="23075" spans="1:16" x14ac:dyDescent="0.25">
      <c r="A23075" t="s">
        <v>3296</v>
      </c>
      <c r="B23075" t="s">
        <v>2931</v>
      </c>
      <c r="C23075">
        <v>14092</v>
      </c>
      <c r="D23075" t="str">
        <f>"5664397     "</f>
        <v xml:space="preserve">5664397     </v>
      </c>
      <c r="E23075" t="s">
        <v>449</v>
      </c>
      <c r="F23075" t="s">
        <v>450</v>
      </c>
      <c r="G23075">
        <v>21.98</v>
      </c>
      <c r="H23075">
        <v>251015</v>
      </c>
      <c r="I23075">
        <v>4530</v>
      </c>
      <c r="J23075" t="s">
        <v>293</v>
      </c>
      <c r="K23075">
        <v>108.9</v>
      </c>
      <c r="L23075">
        <v>4.47</v>
      </c>
      <c r="M23075">
        <v>17538</v>
      </c>
      <c r="N23075" t="s">
        <v>129</v>
      </c>
      <c r="O23075">
        <v>251023</v>
      </c>
      <c r="P23075">
        <v>17.510000000000002</v>
      </c>
    </row>
    <row r="23076" spans="1:16" x14ac:dyDescent="0.25">
      <c r="A23076" t="s">
        <v>3296</v>
      </c>
      <c r="B23076" t="s">
        <v>2931</v>
      </c>
      <c r="C23076">
        <v>16543</v>
      </c>
      <c r="D23076" t="str">
        <f>"5675484     "</f>
        <v xml:space="preserve">5675484     </v>
      </c>
      <c r="E23076" t="s">
        <v>449</v>
      </c>
      <c r="F23076" t="s">
        <v>450</v>
      </c>
      <c r="G23076">
        <v>5.84</v>
      </c>
      <c r="H23076">
        <v>251130</v>
      </c>
      <c r="I23076">
        <v>4530</v>
      </c>
      <c r="J23076" t="s">
        <v>293</v>
      </c>
      <c r="K23076">
        <v>357.53</v>
      </c>
      <c r="L23076">
        <v>1.19</v>
      </c>
      <c r="M23076">
        <v>67554</v>
      </c>
      <c r="N23076" t="s">
        <v>317</v>
      </c>
      <c r="O23076">
        <v>251209</v>
      </c>
      <c r="P23076">
        <v>4.6500000000000004</v>
      </c>
    </row>
    <row r="23077" spans="1:16" x14ac:dyDescent="0.25">
      <c r="A23077" t="s">
        <v>3296</v>
      </c>
      <c r="B23077" t="s">
        <v>2931</v>
      </c>
      <c r="C23077">
        <v>1540</v>
      </c>
      <c r="D23077" t="str">
        <f>"5597139     "</f>
        <v xml:space="preserve">5597139     </v>
      </c>
      <c r="E23077" t="s">
        <v>449</v>
      </c>
      <c r="F23077" t="s">
        <v>450</v>
      </c>
      <c r="G23077">
        <v>9.94</v>
      </c>
      <c r="H23077">
        <v>250131</v>
      </c>
      <c r="I23077">
        <v>4534</v>
      </c>
      <c r="J23077" t="s">
        <v>349</v>
      </c>
      <c r="K23077">
        <v>55.84</v>
      </c>
      <c r="L23077">
        <v>2.02</v>
      </c>
      <c r="M23077">
        <v>65422</v>
      </c>
      <c r="N23077" t="s">
        <v>117</v>
      </c>
      <c r="O23077">
        <v>250211</v>
      </c>
      <c r="P23077">
        <v>7.92</v>
      </c>
    </row>
    <row r="23078" spans="1:16" x14ac:dyDescent="0.25">
      <c r="A23078" t="s">
        <v>3296</v>
      </c>
      <c r="B23078" t="s">
        <v>2931</v>
      </c>
      <c r="C23078">
        <v>3336</v>
      </c>
      <c r="D23078" t="str">
        <f>"5605085     "</f>
        <v xml:space="preserve">5605085     </v>
      </c>
      <c r="E23078" t="s">
        <v>449</v>
      </c>
      <c r="F23078" t="s">
        <v>450</v>
      </c>
      <c r="G23078">
        <v>148.57</v>
      </c>
      <c r="H23078">
        <v>250228</v>
      </c>
      <c r="I23078">
        <v>4534</v>
      </c>
      <c r="J23078" t="s">
        <v>349</v>
      </c>
      <c r="K23078">
        <v>362.41</v>
      </c>
      <c r="L23078">
        <v>30.19</v>
      </c>
      <c r="M23078">
        <v>54222</v>
      </c>
      <c r="N23078" t="s">
        <v>48</v>
      </c>
      <c r="O23078">
        <v>250318</v>
      </c>
      <c r="P23078">
        <v>118.38</v>
      </c>
    </row>
    <row r="23079" spans="1:16" x14ac:dyDescent="0.25">
      <c r="A23079" t="s">
        <v>3296</v>
      </c>
      <c r="B23079" t="s">
        <v>2931</v>
      </c>
      <c r="C23079">
        <v>2766</v>
      </c>
      <c r="D23079" t="str">
        <f>"5604706     "</f>
        <v xml:space="preserve">5604706     </v>
      </c>
      <c r="E23079" t="s">
        <v>449</v>
      </c>
      <c r="F23079" t="s">
        <v>450</v>
      </c>
      <c r="G23079">
        <v>31.53</v>
      </c>
      <c r="H23079">
        <v>250228</v>
      </c>
      <c r="I23079">
        <v>4550</v>
      </c>
      <c r="J23079" t="s">
        <v>226</v>
      </c>
      <c r="K23079">
        <v>221.48</v>
      </c>
      <c r="L23079">
        <v>6.41</v>
      </c>
      <c r="M23079">
        <v>49501</v>
      </c>
      <c r="N23079" t="s">
        <v>110</v>
      </c>
      <c r="O23079">
        <v>250311</v>
      </c>
      <c r="P23079">
        <v>25.12</v>
      </c>
    </row>
    <row r="23080" spans="1:16" x14ac:dyDescent="0.25">
      <c r="A23080" t="s">
        <v>3296</v>
      </c>
      <c r="B23080" t="s">
        <v>2931</v>
      </c>
      <c r="C23080">
        <v>3336</v>
      </c>
      <c r="D23080" t="str">
        <f>"5605085     "</f>
        <v xml:space="preserve">5605085     </v>
      </c>
      <c r="E23080" t="s">
        <v>449</v>
      </c>
      <c r="F23080" t="s">
        <v>450</v>
      </c>
      <c r="G23080">
        <v>12.53</v>
      </c>
      <c r="H23080">
        <v>250228</v>
      </c>
      <c r="I23080">
        <v>4550</v>
      </c>
      <c r="J23080" t="s">
        <v>226</v>
      </c>
      <c r="K23080">
        <v>362.41</v>
      </c>
      <c r="L23080">
        <v>2.5499999999999998</v>
      </c>
      <c r="M23080">
        <v>59111</v>
      </c>
      <c r="N23080" t="s">
        <v>60</v>
      </c>
      <c r="O23080">
        <v>250318</v>
      </c>
      <c r="P23080">
        <v>9.98</v>
      </c>
    </row>
    <row r="23081" spans="1:16" x14ac:dyDescent="0.25">
      <c r="A23081" t="s">
        <v>3296</v>
      </c>
      <c r="B23081" t="s">
        <v>2931</v>
      </c>
      <c r="C23081">
        <v>6750</v>
      </c>
      <c r="D23081" t="str">
        <f>"5619811     "</f>
        <v xml:space="preserve">5619811     </v>
      </c>
      <c r="E23081" t="s">
        <v>449</v>
      </c>
      <c r="F23081" t="s">
        <v>450</v>
      </c>
      <c r="G23081">
        <v>30.38</v>
      </c>
      <c r="H23081">
        <v>250430</v>
      </c>
      <c r="I23081">
        <v>4550</v>
      </c>
      <c r="J23081" t="s">
        <v>226</v>
      </c>
      <c r="K23081">
        <v>334.19</v>
      </c>
      <c r="L23081">
        <v>6.17</v>
      </c>
      <c r="M23081">
        <v>49501</v>
      </c>
      <c r="N23081" t="s">
        <v>110</v>
      </c>
      <c r="O23081">
        <v>250516</v>
      </c>
      <c r="P23081">
        <v>24.21</v>
      </c>
    </row>
    <row r="23082" spans="1:16" x14ac:dyDescent="0.25">
      <c r="A23082" t="s">
        <v>3296</v>
      </c>
      <c r="B23082" t="s">
        <v>2931</v>
      </c>
      <c r="C23082">
        <v>8078</v>
      </c>
      <c r="D23082" t="str">
        <f>"5627701     "</f>
        <v xml:space="preserve">5627701     </v>
      </c>
      <c r="E23082" t="s">
        <v>449</v>
      </c>
      <c r="F23082" t="s">
        <v>450</v>
      </c>
      <c r="G23082">
        <v>30.35</v>
      </c>
      <c r="H23082">
        <v>250531</v>
      </c>
      <c r="I23082">
        <v>4550</v>
      </c>
      <c r="J23082" t="s">
        <v>226</v>
      </c>
      <c r="K23082">
        <v>262</v>
      </c>
      <c r="L23082">
        <v>6.17</v>
      </c>
      <c r="M23082">
        <v>49111</v>
      </c>
      <c r="N23082" t="s">
        <v>108</v>
      </c>
      <c r="O23082">
        <v>250611</v>
      </c>
      <c r="P23082">
        <v>24.18</v>
      </c>
    </row>
    <row r="23083" spans="1:16" x14ac:dyDescent="0.25">
      <c r="A23083" t="s">
        <v>3296</v>
      </c>
      <c r="B23083" t="s">
        <v>2931</v>
      </c>
      <c r="C23083">
        <v>8078</v>
      </c>
      <c r="D23083" t="str">
        <f>"5627701     "</f>
        <v xml:space="preserve">5627701     </v>
      </c>
      <c r="E23083" t="s">
        <v>449</v>
      </c>
      <c r="F23083" t="s">
        <v>450</v>
      </c>
      <c r="G23083">
        <v>14.99</v>
      </c>
      <c r="H23083">
        <v>250531</v>
      </c>
      <c r="I23083">
        <v>4550</v>
      </c>
      <c r="J23083" t="s">
        <v>226</v>
      </c>
      <c r="K23083">
        <v>262</v>
      </c>
      <c r="L23083">
        <v>3.05</v>
      </c>
      <c r="M23083">
        <v>49501</v>
      </c>
      <c r="N23083" t="s">
        <v>110</v>
      </c>
      <c r="O23083">
        <v>250611</v>
      </c>
      <c r="P23083">
        <v>11.94</v>
      </c>
    </row>
    <row r="23084" spans="1:16" x14ac:dyDescent="0.25">
      <c r="A23084" t="s">
        <v>3296</v>
      </c>
      <c r="B23084" t="s">
        <v>2931</v>
      </c>
      <c r="C23084">
        <v>9991</v>
      </c>
      <c r="D23084" t="str">
        <f>"5643236     "</f>
        <v xml:space="preserve">5643236     </v>
      </c>
      <c r="E23084" t="s">
        <v>449</v>
      </c>
      <c r="F23084" t="s">
        <v>450</v>
      </c>
      <c r="G23084">
        <v>20.37</v>
      </c>
      <c r="H23084">
        <v>250731</v>
      </c>
      <c r="I23084">
        <v>4550</v>
      </c>
      <c r="J23084" t="s">
        <v>226</v>
      </c>
      <c r="K23084">
        <v>78.27</v>
      </c>
      <c r="L23084">
        <v>4.1399999999999997</v>
      </c>
      <c r="M23084">
        <v>49112</v>
      </c>
      <c r="N23084" t="s">
        <v>109</v>
      </c>
      <c r="O23084">
        <v>250806</v>
      </c>
      <c r="P23084">
        <v>16.23</v>
      </c>
    </row>
    <row r="23085" spans="1:16" x14ac:dyDescent="0.25">
      <c r="A23085" t="s">
        <v>3296</v>
      </c>
      <c r="B23085" t="s">
        <v>2931</v>
      </c>
      <c r="C23085">
        <v>11449</v>
      </c>
      <c r="D23085" t="str">
        <f>"5650551     "</f>
        <v xml:space="preserve">5650551     </v>
      </c>
      <c r="E23085" t="s">
        <v>449</v>
      </c>
      <c r="F23085" t="s">
        <v>450</v>
      </c>
      <c r="G23085">
        <v>29.59</v>
      </c>
      <c r="H23085">
        <v>250831</v>
      </c>
      <c r="I23085">
        <v>4550</v>
      </c>
      <c r="J23085" t="s">
        <v>226</v>
      </c>
      <c r="K23085">
        <v>703.03</v>
      </c>
      <c r="L23085">
        <v>6.01</v>
      </c>
      <c r="M23085">
        <v>46554</v>
      </c>
      <c r="N23085" t="s">
        <v>102</v>
      </c>
      <c r="O23085">
        <v>250905</v>
      </c>
      <c r="P23085">
        <v>23.58</v>
      </c>
    </row>
    <row r="23086" spans="1:16" x14ac:dyDescent="0.25">
      <c r="A23086" t="s">
        <v>3296</v>
      </c>
      <c r="B23086" t="s">
        <v>2931</v>
      </c>
      <c r="C23086">
        <v>11449</v>
      </c>
      <c r="D23086" t="str">
        <f>"5650551     "</f>
        <v xml:space="preserve">5650551     </v>
      </c>
      <c r="E23086" t="s">
        <v>449</v>
      </c>
      <c r="F23086" t="s">
        <v>450</v>
      </c>
      <c r="G23086">
        <v>2</v>
      </c>
      <c r="H23086">
        <v>250831</v>
      </c>
      <c r="I23086">
        <v>4550</v>
      </c>
      <c r="J23086" t="s">
        <v>226</v>
      </c>
      <c r="K23086">
        <v>703.03</v>
      </c>
      <c r="L23086">
        <v>0.41</v>
      </c>
      <c r="M23086">
        <v>47522</v>
      </c>
      <c r="N23086" t="s">
        <v>106</v>
      </c>
      <c r="O23086">
        <v>250905</v>
      </c>
      <c r="P23086">
        <v>1.59</v>
      </c>
    </row>
    <row r="23087" spans="1:16" x14ac:dyDescent="0.25">
      <c r="A23087" t="s">
        <v>3296</v>
      </c>
      <c r="B23087" t="s">
        <v>2931</v>
      </c>
      <c r="C23087">
        <v>11449</v>
      </c>
      <c r="D23087" t="str">
        <f>"5650551     "</f>
        <v xml:space="preserve">5650551     </v>
      </c>
      <c r="E23087" t="s">
        <v>449</v>
      </c>
      <c r="F23087" t="s">
        <v>450</v>
      </c>
      <c r="G23087">
        <v>106.48</v>
      </c>
      <c r="H23087">
        <v>250831</v>
      </c>
      <c r="I23087">
        <v>4550</v>
      </c>
      <c r="J23087" t="s">
        <v>226</v>
      </c>
      <c r="K23087">
        <v>703.03</v>
      </c>
      <c r="L23087">
        <v>21.64</v>
      </c>
      <c r="M23087">
        <v>49111</v>
      </c>
      <c r="N23087" t="s">
        <v>108</v>
      </c>
      <c r="O23087">
        <v>250905</v>
      </c>
      <c r="P23087">
        <v>84.84</v>
      </c>
    </row>
    <row r="23088" spans="1:16" x14ac:dyDescent="0.25">
      <c r="A23088" t="s">
        <v>3296</v>
      </c>
      <c r="B23088" t="s">
        <v>2931</v>
      </c>
      <c r="C23088">
        <v>13198</v>
      </c>
      <c r="D23088" t="str">
        <f>"5658400     "</f>
        <v xml:space="preserve">5658400     </v>
      </c>
      <c r="E23088" t="s">
        <v>449</v>
      </c>
      <c r="F23088" t="s">
        <v>450</v>
      </c>
      <c r="G23088">
        <v>50.32</v>
      </c>
      <c r="H23088">
        <v>250930</v>
      </c>
      <c r="I23088">
        <v>4550</v>
      </c>
      <c r="J23088" t="s">
        <v>226</v>
      </c>
      <c r="K23088">
        <v>351.11</v>
      </c>
      <c r="L23088">
        <v>10.220000000000001</v>
      </c>
      <c r="M23088">
        <v>44424</v>
      </c>
      <c r="N23088" t="s">
        <v>99</v>
      </c>
      <c r="O23088">
        <v>251006</v>
      </c>
      <c r="P23088">
        <v>40.1</v>
      </c>
    </row>
    <row r="23089" spans="1:16" x14ac:dyDescent="0.25">
      <c r="A23089" t="s">
        <v>3296</v>
      </c>
      <c r="B23089" t="s">
        <v>2931</v>
      </c>
      <c r="C23089">
        <v>13198</v>
      </c>
      <c r="D23089" t="str">
        <f>"5658400     "</f>
        <v xml:space="preserve">5658400     </v>
      </c>
      <c r="E23089" t="s">
        <v>449</v>
      </c>
      <c r="F23089" t="s">
        <v>450</v>
      </c>
      <c r="G23089">
        <v>40.409999999999997</v>
      </c>
      <c r="H23089">
        <v>250930</v>
      </c>
      <c r="I23089">
        <v>4550</v>
      </c>
      <c r="J23089" t="s">
        <v>226</v>
      </c>
      <c r="K23089">
        <v>351.11</v>
      </c>
      <c r="L23089">
        <v>8.2100000000000009</v>
      </c>
      <c r="M23089">
        <v>49111</v>
      </c>
      <c r="N23089" t="s">
        <v>108</v>
      </c>
      <c r="O23089">
        <v>251006</v>
      </c>
      <c r="P23089">
        <v>32.200000000000003</v>
      </c>
    </row>
    <row r="23090" spans="1:16" x14ac:dyDescent="0.25">
      <c r="A23090" t="s">
        <v>3296</v>
      </c>
      <c r="B23090" t="s">
        <v>2931</v>
      </c>
      <c r="C23090">
        <v>14711</v>
      </c>
      <c r="D23090" t="str">
        <f>"5666571     "</f>
        <v xml:space="preserve">5666571     </v>
      </c>
      <c r="E23090" t="s">
        <v>449</v>
      </c>
      <c r="F23090" t="s">
        <v>450</v>
      </c>
      <c r="G23090">
        <v>92.34</v>
      </c>
      <c r="H23090">
        <v>251031</v>
      </c>
      <c r="I23090">
        <v>4550</v>
      </c>
      <c r="J23090" t="s">
        <v>226</v>
      </c>
      <c r="K23090">
        <v>534.19000000000005</v>
      </c>
      <c r="L23090">
        <v>18.760000000000002</v>
      </c>
      <c r="M23090">
        <v>49111</v>
      </c>
      <c r="N23090" t="s">
        <v>108</v>
      </c>
      <c r="O23090">
        <v>251106</v>
      </c>
      <c r="P23090">
        <v>73.58</v>
      </c>
    </row>
    <row r="23091" spans="1:16" x14ac:dyDescent="0.25">
      <c r="A23091" t="s">
        <v>3296</v>
      </c>
      <c r="B23091" t="s">
        <v>2931</v>
      </c>
      <c r="C23091">
        <v>14819</v>
      </c>
      <c r="D23091" t="str">
        <f>"5666772     "</f>
        <v xml:space="preserve">5666772     </v>
      </c>
      <c r="E23091" t="s">
        <v>449</v>
      </c>
      <c r="F23091" t="s">
        <v>450</v>
      </c>
      <c r="G23091">
        <v>12.94</v>
      </c>
      <c r="H23091">
        <v>251031</v>
      </c>
      <c r="I23091">
        <v>4550</v>
      </c>
      <c r="J23091" t="s">
        <v>226</v>
      </c>
      <c r="K23091">
        <v>391.14</v>
      </c>
      <c r="L23091">
        <v>2.63</v>
      </c>
      <c r="M23091">
        <v>67522</v>
      </c>
      <c r="N23091" t="s">
        <v>121</v>
      </c>
      <c r="O23091">
        <v>251107</v>
      </c>
      <c r="P23091">
        <v>10.31</v>
      </c>
    </row>
    <row r="23092" spans="1:16" x14ac:dyDescent="0.25">
      <c r="A23092" t="s">
        <v>3296</v>
      </c>
      <c r="B23092" t="s">
        <v>2931</v>
      </c>
      <c r="C23092">
        <v>16543</v>
      </c>
      <c r="D23092" t="str">
        <f>"5675484     "</f>
        <v xml:space="preserve">5675484     </v>
      </c>
      <c r="E23092" t="s">
        <v>449</v>
      </c>
      <c r="F23092" t="s">
        <v>450</v>
      </c>
      <c r="G23092">
        <v>20.46</v>
      </c>
      <c r="H23092">
        <v>251130</v>
      </c>
      <c r="I23092">
        <v>4550</v>
      </c>
      <c r="J23092" t="s">
        <v>226</v>
      </c>
      <c r="K23092">
        <v>357.53</v>
      </c>
      <c r="L23092">
        <v>4.16</v>
      </c>
      <c r="M23092">
        <v>66754</v>
      </c>
      <c r="N23092" t="s">
        <v>119</v>
      </c>
      <c r="O23092">
        <v>251209</v>
      </c>
      <c r="P23092">
        <v>16.3</v>
      </c>
    </row>
    <row r="23093" spans="1:16" x14ac:dyDescent="0.25">
      <c r="A23093" t="s">
        <v>3296</v>
      </c>
      <c r="B23093" t="s">
        <v>2931</v>
      </c>
      <c r="C23093">
        <v>16543</v>
      </c>
      <c r="D23093" t="str">
        <f>"5675484     "</f>
        <v xml:space="preserve">5675484     </v>
      </c>
      <c r="E23093" t="s">
        <v>449</v>
      </c>
      <c r="F23093" t="s">
        <v>450</v>
      </c>
      <c r="G23093">
        <v>11.86</v>
      </c>
      <c r="H23093">
        <v>251130</v>
      </c>
      <c r="I23093">
        <v>4550</v>
      </c>
      <c r="J23093" t="s">
        <v>226</v>
      </c>
      <c r="K23093">
        <v>357.53</v>
      </c>
      <c r="L23093">
        <v>2.41</v>
      </c>
      <c r="M23093">
        <v>67554</v>
      </c>
      <c r="N23093" t="s">
        <v>317</v>
      </c>
      <c r="O23093">
        <v>251209</v>
      </c>
      <c r="P23093">
        <v>9.4499999999999993</v>
      </c>
    </row>
    <row r="23094" spans="1:16" x14ac:dyDescent="0.25">
      <c r="A23094" t="s">
        <v>3296</v>
      </c>
      <c r="B23094" t="s">
        <v>2931</v>
      </c>
      <c r="C23094">
        <v>4460</v>
      </c>
      <c r="D23094" t="str">
        <f>"5611750     "</f>
        <v xml:space="preserve">5611750     </v>
      </c>
      <c r="E23094" t="s">
        <v>449</v>
      </c>
      <c r="F23094" t="s">
        <v>450</v>
      </c>
      <c r="G23094">
        <v>8.25</v>
      </c>
      <c r="H23094">
        <v>250331</v>
      </c>
      <c r="I23094">
        <v>4551</v>
      </c>
      <c r="J23094" t="s">
        <v>1127</v>
      </c>
      <c r="K23094">
        <v>286.73</v>
      </c>
      <c r="L23094">
        <v>1.68</v>
      </c>
      <c r="M23094">
        <v>66722</v>
      </c>
      <c r="N23094" t="s">
        <v>118</v>
      </c>
      <c r="O23094">
        <v>250411</v>
      </c>
      <c r="P23094">
        <v>6.57</v>
      </c>
    </row>
    <row r="23095" spans="1:16" x14ac:dyDescent="0.25">
      <c r="A23095" t="s">
        <v>3296</v>
      </c>
      <c r="B23095" t="s">
        <v>2931</v>
      </c>
      <c r="C23095">
        <v>5685</v>
      </c>
      <c r="D23095" t="str">
        <f>"5617591     "</f>
        <v xml:space="preserve">5617591     </v>
      </c>
      <c r="E23095" t="s">
        <v>449</v>
      </c>
      <c r="F23095" t="s">
        <v>450</v>
      </c>
      <c r="G23095">
        <v>3.88</v>
      </c>
      <c r="H23095">
        <v>250415</v>
      </c>
      <c r="I23095">
        <v>4552</v>
      </c>
      <c r="J23095" t="s">
        <v>1025</v>
      </c>
      <c r="K23095">
        <v>59.72</v>
      </c>
      <c r="L23095">
        <v>0.79</v>
      </c>
      <c r="M23095">
        <v>17862</v>
      </c>
      <c r="N23095" t="s">
        <v>130</v>
      </c>
      <c r="O23095">
        <v>250429</v>
      </c>
      <c r="P23095">
        <v>3.09</v>
      </c>
    </row>
    <row r="23096" spans="1:16" x14ac:dyDescent="0.25">
      <c r="A23096" t="s">
        <v>3296</v>
      </c>
      <c r="B23096" t="s">
        <v>2931</v>
      </c>
      <c r="C23096">
        <v>9315</v>
      </c>
      <c r="D23096" t="str">
        <f>"5636321     "</f>
        <v xml:space="preserve">5636321     </v>
      </c>
      <c r="E23096" t="s">
        <v>449</v>
      </c>
      <c r="F23096" t="s">
        <v>450</v>
      </c>
      <c r="G23096">
        <v>16.68</v>
      </c>
      <c r="H23096">
        <v>250630</v>
      </c>
      <c r="I23096">
        <v>4554</v>
      </c>
      <c r="J23096" t="s">
        <v>351</v>
      </c>
      <c r="K23096">
        <v>231.05</v>
      </c>
      <c r="L23096">
        <v>2.0499999999999998</v>
      </c>
      <c r="M23096">
        <v>67522</v>
      </c>
      <c r="N23096" t="s">
        <v>121</v>
      </c>
      <c r="O23096">
        <v>250703</v>
      </c>
      <c r="P23096">
        <v>14.63</v>
      </c>
    </row>
    <row r="23097" spans="1:16" x14ac:dyDescent="0.25">
      <c r="A23097" t="s">
        <v>3296</v>
      </c>
      <c r="B23097" t="s">
        <v>2931</v>
      </c>
      <c r="C23097">
        <v>9315</v>
      </c>
      <c r="D23097" t="str">
        <f>"5636321     "</f>
        <v xml:space="preserve">5636321     </v>
      </c>
      <c r="E23097" t="s">
        <v>449</v>
      </c>
      <c r="F23097" t="s">
        <v>450</v>
      </c>
      <c r="G23097">
        <v>49.36</v>
      </c>
      <c r="H23097">
        <v>250630</v>
      </c>
      <c r="I23097">
        <v>4555</v>
      </c>
      <c r="J23097" t="s">
        <v>352</v>
      </c>
      <c r="K23097">
        <v>231.05</v>
      </c>
      <c r="L23097">
        <v>10.029999999999999</v>
      </c>
      <c r="M23097">
        <v>69501</v>
      </c>
      <c r="N23097" t="s">
        <v>123</v>
      </c>
      <c r="O23097">
        <v>250703</v>
      </c>
      <c r="P23097">
        <v>39.33</v>
      </c>
    </row>
    <row r="23098" spans="1:16" x14ac:dyDescent="0.25">
      <c r="A23098" t="s">
        <v>3296</v>
      </c>
      <c r="B23098" t="s">
        <v>2931</v>
      </c>
      <c r="C23098">
        <v>11448</v>
      </c>
      <c r="D23098" t="str">
        <f>"5654300     "</f>
        <v xml:space="preserve">5654300     </v>
      </c>
      <c r="E23098" t="s">
        <v>449</v>
      </c>
      <c r="F23098" t="s">
        <v>450</v>
      </c>
      <c r="G23098">
        <v>68.66</v>
      </c>
      <c r="H23098">
        <v>250831</v>
      </c>
      <c r="I23098">
        <v>4555</v>
      </c>
      <c r="J23098" t="s">
        <v>352</v>
      </c>
      <c r="K23098">
        <v>312.93</v>
      </c>
      <c r="L23098">
        <v>13.95</v>
      </c>
      <c r="M23098">
        <v>17525</v>
      </c>
      <c r="N23098" t="s">
        <v>140</v>
      </c>
      <c r="O23098">
        <v>250905</v>
      </c>
      <c r="P23098">
        <v>54.71</v>
      </c>
    </row>
    <row r="23099" spans="1:16" x14ac:dyDescent="0.25">
      <c r="A23099" t="s">
        <v>3296</v>
      </c>
      <c r="B23099" t="s">
        <v>2931</v>
      </c>
      <c r="C23099">
        <v>11519</v>
      </c>
      <c r="D23099" t="str">
        <f>"5652771     "</f>
        <v xml:space="preserve">5652771     </v>
      </c>
      <c r="E23099" t="s">
        <v>449</v>
      </c>
      <c r="F23099" t="s">
        <v>450</v>
      </c>
      <c r="G23099">
        <v>11.65</v>
      </c>
      <c r="H23099">
        <v>250831</v>
      </c>
      <c r="I23099">
        <v>4555</v>
      </c>
      <c r="J23099" t="s">
        <v>352</v>
      </c>
      <c r="K23099">
        <v>243.25</v>
      </c>
      <c r="L23099">
        <v>2.37</v>
      </c>
      <c r="M23099">
        <v>17538</v>
      </c>
      <c r="N23099" t="s">
        <v>129</v>
      </c>
      <c r="O23099">
        <v>250908</v>
      </c>
      <c r="P23099">
        <v>9.2799999999999994</v>
      </c>
    </row>
    <row r="23100" spans="1:16" x14ac:dyDescent="0.25">
      <c r="A23100" t="s">
        <v>3296</v>
      </c>
      <c r="B23100" t="s">
        <v>2931</v>
      </c>
      <c r="C23100">
        <v>16185</v>
      </c>
      <c r="D23100" t="str">
        <f>"5677974     "</f>
        <v xml:space="preserve">5677974     </v>
      </c>
      <c r="E23100" t="s">
        <v>449</v>
      </c>
      <c r="F23100" t="s">
        <v>450</v>
      </c>
      <c r="G23100">
        <v>3.91</v>
      </c>
      <c r="H23100">
        <v>251130</v>
      </c>
      <c r="I23100">
        <v>4555</v>
      </c>
      <c r="J23100" t="s">
        <v>352</v>
      </c>
      <c r="K23100">
        <v>325.35000000000002</v>
      </c>
      <c r="L23100">
        <v>0.79</v>
      </c>
      <c r="M23100">
        <v>13501</v>
      </c>
      <c r="N23100" t="s">
        <v>66</v>
      </c>
      <c r="O23100">
        <v>251204</v>
      </c>
      <c r="P23100">
        <v>3.12</v>
      </c>
    </row>
    <row r="23101" spans="1:16" x14ac:dyDescent="0.25">
      <c r="A23101" t="s">
        <v>3296</v>
      </c>
      <c r="B23101" t="s">
        <v>2931</v>
      </c>
      <c r="C23101">
        <v>16185</v>
      </c>
      <c r="D23101" t="str">
        <f>"5677974     "</f>
        <v xml:space="preserve">5677974     </v>
      </c>
      <c r="E23101" t="s">
        <v>449</v>
      </c>
      <c r="F23101" t="s">
        <v>450</v>
      </c>
      <c r="G23101">
        <v>24.77</v>
      </c>
      <c r="H23101">
        <v>251130</v>
      </c>
      <c r="I23101">
        <v>4555</v>
      </c>
      <c r="J23101" t="s">
        <v>352</v>
      </c>
      <c r="K23101">
        <v>325.35000000000002</v>
      </c>
      <c r="L23101">
        <v>5.03</v>
      </c>
      <c r="M23101">
        <v>16121</v>
      </c>
      <c r="N23101" t="s">
        <v>127</v>
      </c>
      <c r="O23101">
        <v>251204</v>
      </c>
      <c r="P23101">
        <v>19.739999999999998</v>
      </c>
    </row>
    <row r="23102" spans="1:16" x14ac:dyDescent="0.25">
      <c r="A23102" t="s">
        <v>3296</v>
      </c>
      <c r="B23102" t="s">
        <v>2931</v>
      </c>
      <c r="C23102">
        <v>16185</v>
      </c>
      <c r="D23102" t="str">
        <f>"5677974     "</f>
        <v xml:space="preserve">5677974     </v>
      </c>
      <c r="E23102" t="s">
        <v>449</v>
      </c>
      <c r="F23102" t="s">
        <v>450</v>
      </c>
      <c r="G23102">
        <v>24.77</v>
      </c>
      <c r="H23102">
        <v>251130</v>
      </c>
      <c r="I23102">
        <v>4555</v>
      </c>
      <c r="J23102" t="s">
        <v>352</v>
      </c>
      <c r="K23102">
        <v>325.35000000000002</v>
      </c>
      <c r="L23102">
        <v>5.03</v>
      </c>
      <c r="M23102">
        <v>16820</v>
      </c>
      <c r="N23102" t="s">
        <v>128</v>
      </c>
      <c r="O23102">
        <v>251204</v>
      </c>
      <c r="P23102">
        <v>19.739999999999998</v>
      </c>
    </row>
    <row r="23103" spans="1:16" x14ac:dyDescent="0.25">
      <c r="A23103" t="s">
        <v>3296</v>
      </c>
      <c r="B23103" t="s">
        <v>2931</v>
      </c>
      <c r="C23103">
        <v>16185</v>
      </c>
      <c r="D23103" t="str">
        <f>"5677974     "</f>
        <v xml:space="preserve">5677974     </v>
      </c>
      <c r="E23103" t="s">
        <v>449</v>
      </c>
      <c r="F23103" t="s">
        <v>450</v>
      </c>
      <c r="G23103">
        <v>24.78</v>
      </c>
      <c r="H23103">
        <v>251130</v>
      </c>
      <c r="I23103">
        <v>4555</v>
      </c>
      <c r="J23103" t="s">
        <v>352</v>
      </c>
      <c r="K23103">
        <v>325.35000000000002</v>
      </c>
      <c r="L23103">
        <v>5.03</v>
      </c>
      <c r="M23103">
        <v>17538</v>
      </c>
      <c r="N23103" t="s">
        <v>129</v>
      </c>
      <c r="O23103">
        <v>251204</v>
      </c>
      <c r="P23103">
        <v>19.75</v>
      </c>
    </row>
    <row r="23104" spans="1:16" x14ac:dyDescent="0.25">
      <c r="A23104" t="s">
        <v>3296</v>
      </c>
      <c r="B23104" t="s">
        <v>2931</v>
      </c>
      <c r="C23104">
        <v>17417</v>
      </c>
      <c r="D23104" t="str">
        <f>"5682633     "</f>
        <v xml:space="preserve">5682633     </v>
      </c>
      <c r="E23104" t="s">
        <v>449</v>
      </c>
      <c r="F23104" t="s">
        <v>450</v>
      </c>
      <c r="G23104">
        <v>29.55</v>
      </c>
      <c r="H23104">
        <v>251215</v>
      </c>
      <c r="I23104">
        <v>4555</v>
      </c>
      <c r="J23104" t="s">
        <v>352</v>
      </c>
      <c r="K23104">
        <v>112.44</v>
      </c>
      <c r="L23104">
        <v>6</v>
      </c>
      <c r="M23104">
        <v>17950</v>
      </c>
      <c r="N23104" t="s">
        <v>132</v>
      </c>
      <c r="O23104">
        <v>251219</v>
      </c>
      <c r="P23104">
        <v>23.55</v>
      </c>
    </row>
    <row r="23105" spans="1:16" x14ac:dyDescent="0.25">
      <c r="A23105" t="s">
        <v>3296</v>
      </c>
      <c r="B23105" t="s">
        <v>2931</v>
      </c>
      <c r="C23105">
        <v>4460</v>
      </c>
      <c r="D23105" t="str">
        <f>"5611750     "</f>
        <v xml:space="preserve">5611750     </v>
      </c>
      <c r="E23105" t="s">
        <v>449</v>
      </c>
      <c r="F23105" t="s">
        <v>450</v>
      </c>
      <c r="G23105">
        <v>46.02</v>
      </c>
      <c r="H23105">
        <v>250331</v>
      </c>
      <c r="I23105">
        <v>4557</v>
      </c>
      <c r="J23105" t="s">
        <v>1152</v>
      </c>
      <c r="K23105">
        <v>286.73</v>
      </c>
      <c r="L23105">
        <v>9.35</v>
      </c>
      <c r="M23105">
        <v>66722</v>
      </c>
      <c r="N23105" t="s">
        <v>118</v>
      </c>
      <c r="O23105">
        <v>250411</v>
      </c>
      <c r="P23105">
        <v>36.67</v>
      </c>
    </row>
    <row r="23106" spans="1:16" x14ac:dyDescent="0.25">
      <c r="A23106" t="s">
        <v>3296</v>
      </c>
      <c r="B23106" t="s">
        <v>2931</v>
      </c>
      <c r="C23106">
        <v>8697</v>
      </c>
      <c r="D23106" t="str">
        <f>"5628855     "</f>
        <v xml:space="preserve">5628855     </v>
      </c>
      <c r="E23106" t="s">
        <v>449</v>
      </c>
      <c r="F23106" t="s">
        <v>450</v>
      </c>
      <c r="G23106">
        <v>43.48</v>
      </c>
      <c r="H23106">
        <v>250531</v>
      </c>
      <c r="I23106">
        <v>4557</v>
      </c>
      <c r="J23106" t="s">
        <v>1152</v>
      </c>
      <c r="K23106">
        <v>73.66</v>
      </c>
      <c r="L23106">
        <v>8.83</v>
      </c>
      <c r="M23106">
        <v>17951</v>
      </c>
      <c r="N23106" t="s">
        <v>207</v>
      </c>
      <c r="O23106">
        <v>250617</v>
      </c>
      <c r="P23106">
        <v>34.65</v>
      </c>
    </row>
    <row r="23107" spans="1:16" x14ac:dyDescent="0.25">
      <c r="A23107" t="s">
        <v>3296</v>
      </c>
      <c r="B23107" t="s">
        <v>2931</v>
      </c>
      <c r="C23107">
        <v>9315</v>
      </c>
      <c r="D23107" t="str">
        <f>"5636321     "</f>
        <v xml:space="preserve">5636321     </v>
      </c>
      <c r="E23107" t="s">
        <v>449</v>
      </c>
      <c r="F23107" t="s">
        <v>450</v>
      </c>
      <c r="G23107">
        <v>30</v>
      </c>
      <c r="H23107">
        <v>250630</v>
      </c>
      <c r="I23107">
        <v>4557</v>
      </c>
      <c r="J23107" t="s">
        <v>1152</v>
      </c>
      <c r="K23107">
        <v>231.05</v>
      </c>
      <c r="L23107">
        <v>6.1</v>
      </c>
      <c r="M23107">
        <v>67522</v>
      </c>
      <c r="N23107" t="s">
        <v>121</v>
      </c>
      <c r="O23107">
        <v>250703</v>
      </c>
      <c r="P23107">
        <v>23.9</v>
      </c>
    </row>
    <row r="23108" spans="1:16" x14ac:dyDescent="0.25">
      <c r="A23108" t="s">
        <v>3296</v>
      </c>
      <c r="B23108" t="s">
        <v>2931</v>
      </c>
      <c r="C23108">
        <v>11518</v>
      </c>
      <c r="D23108" t="str">
        <f>"5650743     "</f>
        <v xml:space="preserve">5650743     </v>
      </c>
      <c r="E23108" t="s">
        <v>449</v>
      </c>
      <c r="F23108" t="s">
        <v>450</v>
      </c>
      <c r="G23108">
        <v>56.49</v>
      </c>
      <c r="H23108">
        <v>250831</v>
      </c>
      <c r="I23108">
        <v>4557</v>
      </c>
      <c r="J23108" t="s">
        <v>1152</v>
      </c>
      <c r="K23108">
        <v>114.29</v>
      </c>
      <c r="L23108">
        <v>11.48</v>
      </c>
      <c r="M23108">
        <v>66754</v>
      </c>
      <c r="N23108" t="s">
        <v>119</v>
      </c>
      <c r="O23108">
        <v>250908</v>
      </c>
      <c r="P23108">
        <v>45.01</v>
      </c>
    </row>
    <row r="23109" spans="1:16" x14ac:dyDescent="0.25">
      <c r="A23109" t="s">
        <v>3296</v>
      </c>
      <c r="B23109" t="s">
        <v>2931</v>
      </c>
      <c r="C23109">
        <v>13440</v>
      </c>
      <c r="D23109" t="str">
        <f>"5660664     "</f>
        <v xml:space="preserve">5660664     </v>
      </c>
      <c r="E23109" t="s">
        <v>449</v>
      </c>
      <c r="F23109" t="s">
        <v>450</v>
      </c>
      <c r="G23109">
        <v>35.979999999999997</v>
      </c>
      <c r="H23109">
        <v>250930</v>
      </c>
      <c r="I23109">
        <v>4557</v>
      </c>
      <c r="J23109" t="s">
        <v>1152</v>
      </c>
      <c r="K23109">
        <v>328.97</v>
      </c>
      <c r="L23109">
        <v>7.31</v>
      </c>
      <c r="M23109">
        <v>17971</v>
      </c>
      <c r="N23109" t="s">
        <v>27</v>
      </c>
      <c r="O23109">
        <v>251010</v>
      </c>
      <c r="P23109">
        <v>28.67</v>
      </c>
    </row>
    <row r="23110" spans="1:16" x14ac:dyDescent="0.25">
      <c r="A23110" t="s">
        <v>3296</v>
      </c>
      <c r="B23110" t="s">
        <v>2931</v>
      </c>
      <c r="C23110">
        <v>14819</v>
      </c>
      <c r="D23110" t="str">
        <f>"5666772     "</f>
        <v xml:space="preserve">5666772     </v>
      </c>
      <c r="E23110" t="s">
        <v>449</v>
      </c>
      <c r="F23110" t="s">
        <v>450</v>
      </c>
      <c r="G23110">
        <v>109.65</v>
      </c>
      <c r="H23110">
        <v>251031</v>
      </c>
      <c r="I23110">
        <v>4557</v>
      </c>
      <c r="J23110" t="s">
        <v>1152</v>
      </c>
      <c r="K23110">
        <v>391.14</v>
      </c>
      <c r="L23110">
        <v>22.28</v>
      </c>
      <c r="M23110">
        <v>66722</v>
      </c>
      <c r="N23110" t="s">
        <v>118</v>
      </c>
      <c r="O23110">
        <v>251107</v>
      </c>
      <c r="P23110">
        <v>87.37</v>
      </c>
    </row>
    <row r="23111" spans="1:16" x14ac:dyDescent="0.25">
      <c r="A23111" t="s">
        <v>3296</v>
      </c>
      <c r="B23111" t="s">
        <v>2931</v>
      </c>
      <c r="C23111">
        <v>6750</v>
      </c>
      <c r="D23111" t="str">
        <f>"5619811     "</f>
        <v xml:space="preserve">5619811     </v>
      </c>
      <c r="E23111" t="s">
        <v>449</v>
      </c>
      <c r="F23111" t="s">
        <v>450</v>
      </c>
      <c r="G23111">
        <v>56.98</v>
      </c>
      <c r="H23111">
        <v>250430</v>
      </c>
      <c r="I23111">
        <v>4560</v>
      </c>
      <c r="J23111" t="s">
        <v>390</v>
      </c>
      <c r="K23111">
        <v>334.19</v>
      </c>
      <c r="L23111">
        <v>11.58</v>
      </c>
      <c r="M23111">
        <v>47522</v>
      </c>
      <c r="N23111" t="s">
        <v>106</v>
      </c>
      <c r="O23111">
        <v>250516</v>
      </c>
      <c r="P23111">
        <v>45.4</v>
      </c>
    </row>
    <row r="23112" spans="1:16" x14ac:dyDescent="0.25">
      <c r="A23112" t="s">
        <v>3296</v>
      </c>
      <c r="B23112" t="s">
        <v>2931</v>
      </c>
      <c r="C23112">
        <v>8078</v>
      </c>
      <c r="D23112" t="str">
        <f>"5627701     "</f>
        <v xml:space="preserve">5627701     </v>
      </c>
      <c r="E23112" t="s">
        <v>449</v>
      </c>
      <c r="F23112" t="s">
        <v>450</v>
      </c>
      <c r="G23112">
        <v>24.68</v>
      </c>
      <c r="H23112">
        <v>250531</v>
      </c>
      <c r="I23112">
        <v>4560</v>
      </c>
      <c r="J23112" t="s">
        <v>390</v>
      </c>
      <c r="K23112">
        <v>262</v>
      </c>
      <c r="L23112">
        <v>5.01</v>
      </c>
      <c r="M23112">
        <v>46554</v>
      </c>
      <c r="N23112" t="s">
        <v>102</v>
      </c>
      <c r="O23112">
        <v>250611</v>
      </c>
      <c r="P23112">
        <v>19.670000000000002</v>
      </c>
    </row>
    <row r="23113" spans="1:16" x14ac:dyDescent="0.25">
      <c r="A23113" t="s">
        <v>3296</v>
      </c>
      <c r="B23113" t="s">
        <v>2931</v>
      </c>
      <c r="C23113">
        <v>10509</v>
      </c>
      <c r="D23113" t="str">
        <f>"5647885     "</f>
        <v xml:space="preserve">5647885     </v>
      </c>
      <c r="E23113" t="s">
        <v>449</v>
      </c>
      <c r="F23113" t="s">
        <v>450</v>
      </c>
      <c r="G23113">
        <v>17.899999999999999</v>
      </c>
      <c r="H23113">
        <v>250815</v>
      </c>
      <c r="I23113">
        <v>4560</v>
      </c>
      <c r="J23113" t="s">
        <v>390</v>
      </c>
      <c r="K23113">
        <v>211.23</v>
      </c>
      <c r="L23113">
        <v>3.64</v>
      </c>
      <c r="M23113">
        <v>17952</v>
      </c>
      <c r="N23113" t="s">
        <v>157</v>
      </c>
      <c r="O23113">
        <v>250820</v>
      </c>
      <c r="P23113">
        <v>14.26</v>
      </c>
    </row>
    <row r="23114" spans="1:16" x14ac:dyDescent="0.25">
      <c r="A23114" t="s">
        <v>3296</v>
      </c>
      <c r="B23114" t="s">
        <v>2931</v>
      </c>
      <c r="C23114">
        <v>12935</v>
      </c>
      <c r="D23114" t="str">
        <f>"5659982     "</f>
        <v xml:space="preserve">5659982     </v>
      </c>
      <c r="E23114" t="s">
        <v>449</v>
      </c>
      <c r="F23114" t="s">
        <v>450</v>
      </c>
      <c r="G23114">
        <v>35.799999999999997</v>
      </c>
      <c r="H23114">
        <v>250930</v>
      </c>
      <c r="I23114">
        <v>4560</v>
      </c>
      <c r="J23114" t="s">
        <v>390</v>
      </c>
      <c r="K23114">
        <v>57.04</v>
      </c>
      <c r="L23114">
        <v>7.27</v>
      </c>
      <c r="M23114">
        <v>17952</v>
      </c>
      <c r="N23114" t="s">
        <v>157</v>
      </c>
      <c r="O23114">
        <v>251002</v>
      </c>
      <c r="P23114">
        <v>28.53</v>
      </c>
    </row>
    <row r="23115" spans="1:16" x14ac:dyDescent="0.25">
      <c r="A23115" t="s">
        <v>3296</v>
      </c>
      <c r="B23115" t="s">
        <v>2931</v>
      </c>
      <c r="C23115">
        <v>17417</v>
      </c>
      <c r="D23115" t="str">
        <f>"5682633     "</f>
        <v xml:space="preserve">5682633     </v>
      </c>
      <c r="E23115" t="s">
        <v>449</v>
      </c>
      <c r="F23115" t="s">
        <v>450</v>
      </c>
      <c r="G23115">
        <v>2.08</v>
      </c>
      <c r="H23115">
        <v>251215</v>
      </c>
      <c r="I23115">
        <v>4560</v>
      </c>
      <c r="J23115" t="s">
        <v>390</v>
      </c>
      <c r="K23115">
        <v>112.44</v>
      </c>
      <c r="L23115">
        <v>0.42</v>
      </c>
      <c r="M23115">
        <v>13501</v>
      </c>
      <c r="N23115" t="s">
        <v>66</v>
      </c>
      <c r="O23115">
        <v>251219</v>
      </c>
      <c r="P23115">
        <v>1.66</v>
      </c>
    </row>
    <row r="23116" spans="1:16" x14ac:dyDescent="0.25">
      <c r="A23116" t="s">
        <v>3296</v>
      </c>
      <c r="B23116" t="s">
        <v>2931</v>
      </c>
      <c r="C23116">
        <v>17417</v>
      </c>
      <c r="D23116" t="str">
        <f>"5682633     "</f>
        <v xml:space="preserve">5682633     </v>
      </c>
      <c r="E23116" t="s">
        <v>449</v>
      </c>
      <c r="F23116" t="s">
        <v>450</v>
      </c>
      <c r="G23116">
        <v>39.450000000000003</v>
      </c>
      <c r="H23116">
        <v>251215</v>
      </c>
      <c r="I23116">
        <v>4560</v>
      </c>
      <c r="J23116" t="s">
        <v>390</v>
      </c>
      <c r="K23116">
        <v>112.44</v>
      </c>
      <c r="L23116">
        <v>8.02</v>
      </c>
      <c r="M23116">
        <v>17538</v>
      </c>
      <c r="N23116" t="s">
        <v>129</v>
      </c>
      <c r="O23116">
        <v>251219</v>
      </c>
      <c r="P23116">
        <v>31.43</v>
      </c>
    </row>
    <row r="23117" spans="1:16" x14ac:dyDescent="0.25">
      <c r="A23117" t="s">
        <v>3296</v>
      </c>
      <c r="B23117" t="s">
        <v>2931</v>
      </c>
      <c r="C23117">
        <v>2735</v>
      </c>
      <c r="D23117" t="str">
        <f>"5606048     "</f>
        <v xml:space="preserve">5606048     </v>
      </c>
      <c r="E23117" t="s">
        <v>449</v>
      </c>
      <c r="F23117" t="s">
        <v>450</v>
      </c>
      <c r="G23117">
        <v>18.95</v>
      </c>
      <c r="H23117">
        <v>250228</v>
      </c>
      <c r="I23117">
        <v>4572</v>
      </c>
      <c r="J23117" t="s">
        <v>173</v>
      </c>
      <c r="K23117">
        <v>157.88</v>
      </c>
      <c r="L23117">
        <v>3.85</v>
      </c>
      <c r="M23117">
        <v>17952</v>
      </c>
      <c r="N23117" t="s">
        <v>157</v>
      </c>
      <c r="O23117">
        <v>250311</v>
      </c>
      <c r="P23117">
        <v>15.1</v>
      </c>
    </row>
    <row r="23118" spans="1:16" x14ac:dyDescent="0.25">
      <c r="A23118" t="s">
        <v>3296</v>
      </c>
      <c r="B23118" t="s">
        <v>2931</v>
      </c>
      <c r="C23118">
        <v>6811</v>
      </c>
      <c r="D23118" t="str">
        <f>"5621416     "</f>
        <v xml:space="preserve">5621416     </v>
      </c>
      <c r="E23118" t="s">
        <v>449</v>
      </c>
      <c r="F23118" t="s">
        <v>450</v>
      </c>
      <c r="G23118">
        <v>32.96</v>
      </c>
      <c r="H23118">
        <v>250430</v>
      </c>
      <c r="I23118">
        <v>4572</v>
      </c>
      <c r="J23118" t="s">
        <v>173</v>
      </c>
      <c r="K23118">
        <v>80.02</v>
      </c>
      <c r="L23118">
        <v>6.7</v>
      </c>
      <c r="M23118">
        <v>17952</v>
      </c>
      <c r="N23118" t="s">
        <v>157</v>
      </c>
      <c r="O23118">
        <v>250516</v>
      </c>
      <c r="P23118">
        <v>26.26</v>
      </c>
    </row>
    <row r="23119" spans="1:16" x14ac:dyDescent="0.25">
      <c r="A23119" t="s">
        <v>3296</v>
      </c>
      <c r="B23119" t="s">
        <v>2931</v>
      </c>
      <c r="C23119">
        <v>9091</v>
      </c>
      <c r="D23119" t="str">
        <f>"5633378     "</f>
        <v xml:space="preserve">5633378     </v>
      </c>
      <c r="E23119" t="s">
        <v>449</v>
      </c>
      <c r="F23119" t="s">
        <v>450</v>
      </c>
      <c r="G23119">
        <v>75.180000000000007</v>
      </c>
      <c r="H23119">
        <v>250615</v>
      </c>
      <c r="I23119">
        <v>4572</v>
      </c>
      <c r="J23119" t="s">
        <v>173</v>
      </c>
      <c r="K23119">
        <v>75.180000000000007</v>
      </c>
      <c r="L23119">
        <v>15.28</v>
      </c>
      <c r="M23119">
        <v>17952</v>
      </c>
      <c r="N23119" t="s">
        <v>157</v>
      </c>
      <c r="O23119">
        <v>250626</v>
      </c>
      <c r="P23119">
        <v>59.9</v>
      </c>
    </row>
    <row r="23120" spans="1:16" x14ac:dyDescent="0.25">
      <c r="A23120" t="s">
        <v>3296</v>
      </c>
      <c r="B23120" t="s">
        <v>2931</v>
      </c>
      <c r="C23120">
        <v>9359</v>
      </c>
      <c r="D23120" t="str">
        <f>"5637484     "</f>
        <v xml:space="preserve">5637484     </v>
      </c>
      <c r="E23120" t="s">
        <v>449</v>
      </c>
      <c r="F23120" t="s">
        <v>450</v>
      </c>
      <c r="G23120">
        <v>30.56</v>
      </c>
      <c r="H23120">
        <v>250630</v>
      </c>
      <c r="I23120">
        <v>4572</v>
      </c>
      <c r="J23120" t="s">
        <v>173</v>
      </c>
      <c r="K23120">
        <v>97.2</v>
      </c>
      <c r="L23120">
        <v>6.21</v>
      </c>
      <c r="M23120">
        <v>17952</v>
      </c>
      <c r="N23120" t="s">
        <v>157</v>
      </c>
      <c r="O23120">
        <v>250704</v>
      </c>
      <c r="P23120">
        <v>24.35</v>
      </c>
    </row>
    <row r="23121" spans="1:16" x14ac:dyDescent="0.25">
      <c r="A23121" t="s">
        <v>3296</v>
      </c>
      <c r="B23121" t="s">
        <v>2931</v>
      </c>
      <c r="C23121">
        <v>2206</v>
      </c>
      <c r="D23121" t="str">
        <f>"5602852     "</f>
        <v xml:space="preserve">5602852     </v>
      </c>
      <c r="E23121" t="s">
        <v>449</v>
      </c>
      <c r="F23121" t="s">
        <v>450</v>
      </c>
      <c r="G23121">
        <v>5.97</v>
      </c>
      <c r="H23121">
        <v>250215</v>
      </c>
      <c r="I23121">
        <v>4574</v>
      </c>
      <c r="J23121" t="s">
        <v>181</v>
      </c>
      <c r="K23121">
        <v>307.45</v>
      </c>
      <c r="L23121">
        <v>1.21</v>
      </c>
      <c r="M23121">
        <v>17536</v>
      </c>
      <c r="N23121" t="s">
        <v>150</v>
      </c>
      <c r="O23121">
        <v>250221</v>
      </c>
      <c r="P23121">
        <v>4.76</v>
      </c>
    </row>
    <row r="23122" spans="1:16" x14ac:dyDescent="0.25">
      <c r="A23122" t="s">
        <v>3296</v>
      </c>
      <c r="B23122" t="s">
        <v>2931</v>
      </c>
      <c r="C23122">
        <v>353</v>
      </c>
      <c r="D23122" t="str">
        <f>"5594565     "</f>
        <v xml:space="preserve">5594565     </v>
      </c>
      <c r="E23122" t="s">
        <v>449</v>
      </c>
      <c r="F23122" t="s">
        <v>450</v>
      </c>
      <c r="G23122">
        <v>107.97</v>
      </c>
      <c r="H23122">
        <v>250115</v>
      </c>
      <c r="I23122">
        <v>4580</v>
      </c>
      <c r="J23122" t="s">
        <v>126</v>
      </c>
      <c r="K23122">
        <v>238.29</v>
      </c>
      <c r="L23122">
        <v>21.94</v>
      </c>
      <c r="M23122">
        <v>17737</v>
      </c>
      <c r="N23122" t="s">
        <v>156</v>
      </c>
      <c r="O23122">
        <v>250122</v>
      </c>
      <c r="P23122">
        <v>86.03</v>
      </c>
    </row>
    <row r="23123" spans="1:16" x14ac:dyDescent="0.25">
      <c r="A23123" t="s">
        <v>3296</v>
      </c>
      <c r="B23123" t="s">
        <v>2931</v>
      </c>
      <c r="C23123">
        <v>1540</v>
      </c>
      <c r="D23123" t="str">
        <f>"5597139     "</f>
        <v xml:space="preserve">5597139     </v>
      </c>
      <c r="E23123" t="s">
        <v>449</v>
      </c>
      <c r="F23123" t="s">
        <v>450</v>
      </c>
      <c r="G23123">
        <v>31.32</v>
      </c>
      <c r="H23123">
        <v>250131</v>
      </c>
      <c r="I23123">
        <v>4580</v>
      </c>
      <c r="J23123" t="s">
        <v>126</v>
      </c>
      <c r="K23123">
        <v>55.84</v>
      </c>
      <c r="L23123">
        <v>6.36</v>
      </c>
      <c r="M23123">
        <v>65422</v>
      </c>
      <c r="N23123" t="s">
        <v>117</v>
      </c>
      <c r="O23123">
        <v>250211</v>
      </c>
      <c r="P23123">
        <v>24.96</v>
      </c>
    </row>
    <row r="23124" spans="1:16" x14ac:dyDescent="0.25">
      <c r="A23124" t="s">
        <v>3296</v>
      </c>
      <c r="B23124" t="s">
        <v>2931</v>
      </c>
      <c r="C23124">
        <v>1784</v>
      </c>
      <c r="D23124" t="str">
        <f>"5596936     "</f>
        <v xml:space="preserve">5596936     </v>
      </c>
      <c r="E23124" t="s">
        <v>449</v>
      </c>
      <c r="F23124" t="s">
        <v>450</v>
      </c>
      <c r="G23124">
        <v>28.49</v>
      </c>
      <c r="H23124">
        <v>250131</v>
      </c>
      <c r="I23124">
        <v>4580</v>
      </c>
      <c r="J23124" t="s">
        <v>126</v>
      </c>
      <c r="K23124">
        <v>749.95</v>
      </c>
      <c r="L23124">
        <v>5.79</v>
      </c>
      <c r="M23124">
        <v>44222</v>
      </c>
      <c r="N23124" t="s">
        <v>96</v>
      </c>
      <c r="O23124">
        <v>250214</v>
      </c>
      <c r="P23124">
        <v>22.7</v>
      </c>
    </row>
    <row r="23125" spans="1:16" x14ac:dyDescent="0.25">
      <c r="A23125" t="s">
        <v>3296</v>
      </c>
      <c r="B23125" t="s">
        <v>2931</v>
      </c>
      <c r="C23125">
        <v>1784</v>
      </c>
      <c r="D23125" t="str">
        <f>"5596936     "</f>
        <v xml:space="preserve">5596936     </v>
      </c>
      <c r="E23125" t="s">
        <v>449</v>
      </c>
      <c r="F23125" t="s">
        <v>450</v>
      </c>
      <c r="G23125">
        <v>106.3</v>
      </c>
      <c r="H23125">
        <v>250131</v>
      </c>
      <c r="I23125">
        <v>4580</v>
      </c>
      <c r="J23125" t="s">
        <v>126</v>
      </c>
      <c r="K23125">
        <v>749.95</v>
      </c>
      <c r="L23125">
        <v>21.6</v>
      </c>
      <c r="M23125">
        <v>46556</v>
      </c>
      <c r="N23125" t="s">
        <v>458</v>
      </c>
      <c r="O23125">
        <v>250214</v>
      </c>
      <c r="P23125">
        <v>84.7</v>
      </c>
    </row>
    <row r="23126" spans="1:16" x14ac:dyDescent="0.25">
      <c r="A23126" t="s">
        <v>3296</v>
      </c>
      <c r="B23126" t="s">
        <v>2931</v>
      </c>
      <c r="C23126">
        <v>1784</v>
      </c>
      <c r="D23126" t="str">
        <f>"5596936     "</f>
        <v xml:space="preserve">5596936     </v>
      </c>
      <c r="E23126" t="s">
        <v>449</v>
      </c>
      <c r="F23126" t="s">
        <v>450</v>
      </c>
      <c r="G23126">
        <v>143.46</v>
      </c>
      <c r="H23126">
        <v>250131</v>
      </c>
      <c r="I23126">
        <v>4580</v>
      </c>
      <c r="J23126" t="s">
        <v>126</v>
      </c>
      <c r="K23126">
        <v>749.95</v>
      </c>
      <c r="L23126">
        <v>29.15</v>
      </c>
      <c r="M23126">
        <v>49111</v>
      </c>
      <c r="N23126" t="s">
        <v>108</v>
      </c>
      <c r="O23126">
        <v>250214</v>
      </c>
      <c r="P23126">
        <v>114.31</v>
      </c>
    </row>
    <row r="23127" spans="1:16" x14ac:dyDescent="0.25">
      <c r="A23127" t="s">
        <v>3296</v>
      </c>
      <c r="B23127" t="s">
        <v>2931</v>
      </c>
      <c r="C23127">
        <v>1785</v>
      </c>
      <c r="D23127" t="str">
        <f>"5599272     "</f>
        <v xml:space="preserve">5599272     </v>
      </c>
      <c r="E23127" t="s">
        <v>449</v>
      </c>
      <c r="F23127" t="s">
        <v>450</v>
      </c>
      <c r="G23127">
        <v>39.97</v>
      </c>
      <c r="H23127">
        <v>250131</v>
      </c>
      <c r="I23127">
        <v>4580</v>
      </c>
      <c r="J23127" t="s">
        <v>126</v>
      </c>
      <c r="K23127">
        <v>294.14</v>
      </c>
      <c r="L23127">
        <v>8.1199999999999992</v>
      </c>
      <c r="M23127">
        <v>17971</v>
      </c>
      <c r="N23127" t="s">
        <v>27</v>
      </c>
      <c r="O23127">
        <v>250214</v>
      </c>
      <c r="P23127">
        <v>31.85</v>
      </c>
    </row>
    <row r="23128" spans="1:16" x14ac:dyDescent="0.25">
      <c r="A23128" t="s">
        <v>3296</v>
      </c>
      <c r="B23128" t="s">
        <v>2931</v>
      </c>
      <c r="C23128">
        <v>2166</v>
      </c>
      <c r="D23128" t="str">
        <f>"5602245     "</f>
        <v xml:space="preserve">5602245     </v>
      </c>
      <c r="E23128" t="s">
        <v>449</v>
      </c>
      <c r="F23128" t="s">
        <v>450</v>
      </c>
      <c r="G23128">
        <v>35.99</v>
      </c>
      <c r="H23128">
        <v>250215</v>
      </c>
      <c r="I23128">
        <v>4580</v>
      </c>
      <c r="J23128" t="s">
        <v>126</v>
      </c>
      <c r="K23128">
        <v>149.58000000000001</v>
      </c>
      <c r="L23128">
        <v>7.31</v>
      </c>
      <c r="M23128">
        <v>17912</v>
      </c>
      <c r="N23128" t="s">
        <v>505</v>
      </c>
      <c r="O23128">
        <v>250220</v>
      </c>
      <c r="P23128">
        <v>28.68</v>
      </c>
    </row>
    <row r="23129" spans="1:16" x14ac:dyDescent="0.25">
      <c r="A23129" t="s">
        <v>3296</v>
      </c>
      <c r="B23129" t="s">
        <v>2931</v>
      </c>
      <c r="C23129">
        <v>2166</v>
      </c>
      <c r="D23129" t="str">
        <f>"5602245     "</f>
        <v xml:space="preserve">5602245     </v>
      </c>
      <c r="E23129" t="s">
        <v>449</v>
      </c>
      <c r="F23129" t="s">
        <v>450</v>
      </c>
      <c r="G23129">
        <v>16.91</v>
      </c>
      <c r="H23129">
        <v>250215</v>
      </c>
      <c r="I23129">
        <v>4580</v>
      </c>
      <c r="J23129" t="s">
        <v>126</v>
      </c>
      <c r="K23129">
        <v>149.58000000000001</v>
      </c>
      <c r="L23129">
        <v>3.44</v>
      </c>
      <c r="M23129">
        <v>17952</v>
      </c>
      <c r="N23129" t="s">
        <v>157</v>
      </c>
      <c r="O23129">
        <v>250220</v>
      </c>
      <c r="P23129">
        <v>13.47</v>
      </c>
    </row>
    <row r="23130" spans="1:16" x14ac:dyDescent="0.25">
      <c r="A23130" t="s">
        <v>3296</v>
      </c>
      <c r="B23130" t="s">
        <v>2931</v>
      </c>
      <c r="C23130">
        <v>2836</v>
      </c>
      <c r="D23130" t="str">
        <f>"5607940     "</f>
        <v xml:space="preserve">5607940     </v>
      </c>
      <c r="E23130" t="s">
        <v>449</v>
      </c>
      <c r="F23130" t="s">
        <v>450</v>
      </c>
      <c r="G23130">
        <v>63.71</v>
      </c>
      <c r="H23130">
        <v>250228</v>
      </c>
      <c r="I23130">
        <v>4580</v>
      </c>
      <c r="J23130" t="s">
        <v>126</v>
      </c>
      <c r="K23130">
        <v>63.71</v>
      </c>
      <c r="L23130">
        <v>12.95</v>
      </c>
      <c r="M23130">
        <v>17537</v>
      </c>
      <c r="N23130" t="s">
        <v>151</v>
      </c>
      <c r="O23130">
        <v>250312</v>
      </c>
      <c r="P23130">
        <v>50.76</v>
      </c>
    </row>
    <row r="23131" spans="1:16" x14ac:dyDescent="0.25">
      <c r="A23131" t="s">
        <v>3296</v>
      </c>
      <c r="B23131" t="s">
        <v>2931</v>
      </c>
      <c r="C23131">
        <v>4460</v>
      </c>
      <c r="D23131" t="str">
        <f>"5611750     "</f>
        <v xml:space="preserve">5611750     </v>
      </c>
      <c r="E23131" t="s">
        <v>449</v>
      </c>
      <c r="F23131" t="s">
        <v>450</v>
      </c>
      <c r="G23131">
        <v>77.260000000000005</v>
      </c>
      <c r="H23131">
        <v>250331</v>
      </c>
      <c r="I23131">
        <v>4580</v>
      </c>
      <c r="J23131" t="s">
        <v>126</v>
      </c>
      <c r="K23131">
        <v>286.73</v>
      </c>
      <c r="L23131">
        <v>15.7</v>
      </c>
      <c r="M23131">
        <v>65222</v>
      </c>
      <c r="N23131" t="s">
        <v>87</v>
      </c>
      <c r="O23131">
        <v>250411</v>
      </c>
      <c r="P23131">
        <v>61.56</v>
      </c>
    </row>
    <row r="23132" spans="1:16" x14ac:dyDescent="0.25">
      <c r="A23132" t="s">
        <v>3296</v>
      </c>
      <c r="B23132" t="s">
        <v>2931</v>
      </c>
      <c r="C23132">
        <v>4717</v>
      </c>
      <c r="D23132" t="str">
        <f>"5611533     "</f>
        <v xml:space="preserve">5611533     </v>
      </c>
      <c r="E23132" t="s">
        <v>449</v>
      </c>
      <c r="F23132" t="s">
        <v>450</v>
      </c>
      <c r="G23132">
        <v>28.49</v>
      </c>
      <c r="H23132">
        <v>250331</v>
      </c>
      <c r="I23132">
        <v>4580</v>
      </c>
      <c r="J23132" t="s">
        <v>126</v>
      </c>
      <c r="K23132">
        <v>251.29</v>
      </c>
      <c r="L23132">
        <v>5.79</v>
      </c>
      <c r="M23132">
        <v>49705</v>
      </c>
      <c r="N23132" t="s">
        <v>114</v>
      </c>
      <c r="O23132">
        <v>250415</v>
      </c>
      <c r="P23132">
        <v>22.7</v>
      </c>
    </row>
    <row r="23133" spans="1:16" x14ac:dyDescent="0.25">
      <c r="A23133" t="s">
        <v>3296</v>
      </c>
      <c r="B23133" t="s">
        <v>2931</v>
      </c>
      <c r="C23133">
        <v>5241</v>
      </c>
      <c r="D23133" t="str">
        <f>"5613808     "</f>
        <v xml:space="preserve">5613808     </v>
      </c>
      <c r="E23133" t="s">
        <v>449</v>
      </c>
      <c r="F23133" t="s">
        <v>450</v>
      </c>
      <c r="G23133">
        <v>35.1</v>
      </c>
      <c r="H23133">
        <v>250401</v>
      </c>
      <c r="I23133">
        <v>4580</v>
      </c>
      <c r="J23133" t="s">
        <v>126</v>
      </c>
      <c r="K23133">
        <v>326.04000000000002</v>
      </c>
      <c r="L23133">
        <v>7.13</v>
      </c>
      <c r="M23133">
        <v>17532</v>
      </c>
      <c r="N23133" t="s">
        <v>146</v>
      </c>
      <c r="O23133">
        <v>250423</v>
      </c>
      <c r="P23133">
        <v>27.97</v>
      </c>
    </row>
    <row r="23134" spans="1:16" x14ac:dyDescent="0.25">
      <c r="A23134" t="s">
        <v>3296</v>
      </c>
      <c r="B23134" t="s">
        <v>2931</v>
      </c>
      <c r="C23134">
        <v>6811</v>
      </c>
      <c r="D23134" t="str">
        <f>"5621416     "</f>
        <v xml:space="preserve">5621416     </v>
      </c>
      <c r="E23134" t="s">
        <v>449</v>
      </c>
      <c r="F23134" t="s">
        <v>450</v>
      </c>
      <c r="G23134">
        <v>27.42</v>
      </c>
      <c r="H23134">
        <v>250430</v>
      </c>
      <c r="I23134">
        <v>4580</v>
      </c>
      <c r="J23134" t="s">
        <v>126</v>
      </c>
      <c r="K23134">
        <v>80.02</v>
      </c>
      <c r="L23134">
        <v>5.57</v>
      </c>
      <c r="M23134">
        <v>17952</v>
      </c>
      <c r="N23134" t="s">
        <v>157</v>
      </c>
      <c r="O23134">
        <v>250516</v>
      </c>
      <c r="P23134">
        <v>21.85</v>
      </c>
    </row>
    <row r="23135" spans="1:16" x14ac:dyDescent="0.25">
      <c r="A23135" t="s">
        <v>3296</v>
      </c>
      <c r="B23135" t="s">
        <v>2931</v>
      </c>
      <c r="C23135">
        <v>7022</v>
      </c>
      <c r="D23135" t="str">
        <f>"5620018     "</f>
        <v xml:space="preserve">5620018     </v>
      </c>
      <c r="E23135" t="s">
        <v>449</v>
      </c>
      <c r="F23135" t="s">
        <v>450</v>
      </c>
      <c r="G23135">
        <v>63.92</v>
      </c>
      <c r="H23135">
        <v>250516</v>
      </c>
      <c r="I23135">
        <v>4580</v>
      </c>
      <c r="J23135" t="s">
        <v>126</v>
      </c>
      <c r="K23135">
        <v>375.79</v>
      </c>
      <c r="L23135">
        <v>12.99</v>
      </c>
      <c r="M23135">
        <v>65222</v>
      </c>
      <c r="N23135" t="s">
        <v>87</v>
      </c>
      <c r="O23135">
        <v>250521</v>
      </c>
      <c r="P23135">
        <v>50.93</v>
      </c>
    </row>
    <row r="23136" spans="1:16" x14ac:dyDescent="0.25">
      <c r="A23136" t="s">
        <v>3296</v>
      </c>
      <c r="B23136" t="s">
        <v>2931</v>
      </c>
      <c r="C23136">
        <v>7022</v>
      </c>
      <c r="D23136" t="str">
        <f>"5620018     "</f>
        <v xml:space="preserve">5620018     </v>
      </c>
      <c r="E23136" t="s">
        <v>449</v>
      </c>
      <c r="F23136" t="s">
        <v>450</v>
      </c>
      <c r="G23136">
        <v>144.6</v>
      </c>
      <c r="H23136">
        <v>250516</v>
      </c>
      <c r="I23136">
        <v>4580</v>
      </c>
      <c r="J23136" t="s">
        <v>126</v>
      </c>
      <c r="K23136">
        <v>375.79</v>
      </c>
      <c r="L23136">
        <v>29.38</v>
      </c>
      <c r="M23136">
        <v>66722</v>
      </c>
      <c r="N23136" t="s">
        <v>118</v>
      </c>
      <c r="O23136">
        <v>250521</v>
      </c>
      <c r="P23136">
        <v>115.22</v>
      </c>
    </row>
    <row r="23137" spans="1:16" x14ac:dyDescent="0.25">
      <c r="A23137" t="s">
        <v>3296</v>
      </c>
      <c r="B23137" t="s">
        <v>2931</v>
      </c>
      <c r="C23137">
        <v>7022</v>
      </c>
      <c r="D23137" t="str">
        <f>"5620018     "</f>
        <v xml:space="preserve">5620018     </v>
      </c>
      <c r="E23137" t="s">
        <v>449</v>
      </c>
      <c r="F23137" t="s">
        <v>450</v>
      </c>
      <c r="G23137">
        <v>32.29</v>
      </c>
      <c r="H23137">
        <v>250516</v>
      </c>
      <c r="I23137">
        <v>4580</v>
      </c>
      <c r="J23137" t="s">
        <v>126</v>
      </c>
      <c r="K23137">
        <v>375.79</v>
      </c>
      <c r="L23137">
        <v>6.56</v>
      </c>
      <c r="M23137">
        <v>67522</v>
      </c>
      <c r="N23137" t="s">
        <v>121</v>
      </c>
      <c r="O23137">
        <v>250521</v>
      </c>
      <c r="P23137">
        <v>25.73</v>
      </c>
    </row>
    <row r="23138" spans="1:16" x14ac:dyDescent="0.25">
      <c r="A23138" t="s">
        <v>3296</v>
      </c>
      <c r="B23138" t="s">
        <v>2931</v>
      </c>
      <c r="C23138">
        <v>7022</v>
      </c>
      <c r="D23138" t="str">
        <f>"5620018     "</f>
        <v xml:space="preserve">5620018     </v>
      </c>
      <c r="E23138" t="s">
        <v>449</v>
      </c>
      <c r="F23138" t="s">
        <v>450</v>
      </c>
      <c r="G23138">
        <v>19.79</v>
      </c>
      <c r="H23138">
        <v>250516</v>
      </c>
      <c r="I23138">
        <v>4580</v>
      </c>
      <c r="J23138" t="s">
        <v>126</v>
      </c>
      <c r="K23138">
        <v>375.79</v>
      </c>
      <c r="L23138">
        <v>4.0199999999999996</v>
      </c>
      <c r="M23138">
        <v>67554</v>
      </c>
      <c r="N23138" t="s">
        <v>317</v>
      </c>
      <c r="O23138">
        <v>250521</v>
      </c>
      <c r="P23138">
        <v>15.77</v>
      </c>
    </row>
    <row r="23139" spans="1:16" x14ac:dyDescent="0.25">
      <c r="A23139" t="s">
        <v>3296</v>
      </c>
      <c r="B23139" t="s">
        <v>2931</v>
      </c>
      <c r="C23139">
        <v>7056</v>
      </c>
      <c r="D23139" t="str">
        <f>"5627204     "</f>
        <v xml:space="preserve">5627204     </v>
      </c>
      <c r="E23139" t="s">
        <v>449</v>
      </c>
      <c r="F23139" t="s">
        <v>450</v>
      </c>
      <c r="G23139">
        <v>52.6</v>
      </c>
      <c r="H23139">
        <v>250515</v>
      </c>
      <c r="I23139">
        <v>4580</v>
      </c>
      <c r="J23139" t="s">
        <v>126</v>
      </c>
      <c r="K23139">
        <v>125.13</v>
      </c>
      <c r="L23139">
        <v>10.69</v>
      </c>
      <c r="M23139">
        <v>17531</v>
      </c>
      <c r="N23139" t="s">
        <v>145</v>
      </c>
      <c r="O23139">
        <v>250522</v>
      </c>
      <c r="P23139">
        <v>41.91</v>
      </c>
    </row>
    <row r="23140" spans="1:16" x14ac:dyDescent="0.25">
      <c r="A23140" t="s">
        <v>3296</v>
      </c>
      <c r="B23140" t="s">
        <v>2931</v>
      </c>
      <c r="C23140">
        <v>7171</v>
      </c>
      <c r="D23140" t="str">
        <f>"5623571     "</f>
        <v xml:space="preserve">5623571     </v>
      </c>
      <c r="E23140" t="s">
        <v>449</v>
      </c>
      <c r="F23140" t="s">
        <v>450</v>
      </c>
      <c r="G23140">
        <v>12.59</v>
      </c>
      <c r="H23140">
        <v>250516</v>
      </c>
      <c r="I23140">
        <v>4580</v>
      </c>
      <c r="J23140" t="s">
        <v>126</v>
      </c>
      <c r="K23140">
        <v>15.55</v>
      </c>
      <c r="L23140">
        <v>2.56</v>
      </c>
      <c r="M23140">
        <v>17975</v>
      </c>
      <c r="N23140" t="s">
        <v>29</v>
      </c>
      <c r="O23140">
        <v>250526</v>
      </c>
      <c r="P23140">
        <v>10.029999999999999</v>
      </c>
    </row>
    <row r="23141" spans="1:16" x14ac:dyDescent="0.25">
      <c r="A23141" t="s">
        <v>3296</v>
      </c>
      <c r="B23141" t="s">
        <v>2931</v>
      </c>
      <c r="C23141">
        <v>8122</v>
      </c>
      <c r="D23141" t="str">
        <f>"5629456     "</f>
        <v xml:space="preserve">5629456     </v>
      </c>
      <c r="E23141" t="s">
        <v>449</v>
      </c>
      <c r="F23141" t="s">
        <v>450</v>
      </c>
      <c r="G23141">
        <v>12.98</v>
      </c>
      <c r="H23141">
        <v>250531</v>
      </c>
      <c r="I23141">
        <v>4580</v>
      </c>
      <c r="J23141" t="s">
        <v>126</v>
      </c>
      <c r="K23141">
        <v>120.06</v>
      </c>
      <c r="L23141">
        <v>2.64</v>
      </c>
      <c r="M23141">
        <v>17952</v>
      </c>
      <c r="N23141" t="s">
        <v>157</v>
      </c>
      <c r="O23141">
        <v>250611</v>
      </c>
      <c r="P23141">
        <v>10.34</v>
      </c>
    </row>
    <row r="23142" spans="1:16" x14ac:dyDescent="0.25">
      <c r="A23142" t="s">
        <v>3296</v>
      </c>
      <c r="B23142" t="s">
        <v>2931</v>
      </c>
      <c r="C23142">
        <v>8135</v>
      </c>
      <c r="D23142" t="str">
        <f>"5627920     "</f>
        <v xml:space="preserve">5627920     </v>
      </c>
      <c r="E23142" t="s">
        <v>449</v>
      </c>
      <c r="F23142" t="s">
        <v>450</v>
      </c>
      <c r="G23142">
        <v>16.14</v>
      </c>
      <c r="H23142">
        <v>250531</v>
      </c>
      <c r="I23142">
        <v>4580</v>
      </c>
      <c r="J23142" t="s">
        <v>126</v>
      </c>
      <c r="K23142">
        <v>63.1</v>
      </c>
      <c r="L23142">
        <v>3.28</v>
      </c>
      <c r="M23142">
        <v>67554</v>
      </c>
      <c r="N23142" t="s">
        <v>317</v>
      </c>
      <c r="O23142">
        <v>250611</v>
      </c>
      <c r="P23142">
        <v>12.86</v>
      </c>
    </row>
    <row r="23143" spans="1:16" x14ac:dyDescent="0.25">
      <c r="A23143" t="s">
        <v>3296</v>
      </c>
      <c r="B23143" t="s">
        <v>2931</v>
      </c>
      <c r="C23143">
        <v>8142</v>
      </c>
      <c r="D23143" t="str">
        <f>"5630163     "</f>
        <v xml:space="preserve">5630163     </v>
      </c>
      <c r="E23143" t="s">
        <v>449</v>
      </c>
      <c r="F23143" t="s">
        <v>450</v>
      </c>
      <c r="G23143">
        <v>37.979999999999997</v>
      </c>
      <c r="H23143">
        <v>250531</v>
      </c>
      <c r="I23143">
        <v>4580</v>
      </c>
      <c r="J23143" t="s">
        <v>126</v>
      </c>
      <c r="K23143">
        <v>92.25</v>
      </c>
      <c r="L23143">
        <v>7.72</v>
      </c>
      <c r="M23143">
        <v>17538</v>
      </c>
      <c r="N23143" t="s">
        <v>129</v>
      </c>
      <c r="O23143">
        <v>250611</v>
      </c>
      <c r="P23143">
        <v>30.26</v>
      </c>
    </row>
    <row r="23144" spans="1:16" x14ac:dyDescent="0.25">
      <c r="A23144" t="s">
        <v>3296</v>
      </c>
      <c r="B23144" t="s">
        <v>2931</v>
      </c>
      <c r="C23144">
        <v>9315</v>
      </c>
      <c r="D23144" t="str">
        <f>"5636321     "</f>
        <v xml:space="preserve">5636321     </v>
      </c>
      <c r="E23144" t="s">
        <v>449</v>
      </c>
      <c r="F23144" t="s">
        <v>450</v>
      </c>
      <c r="G23144">
        <v>108.51</v>
      </c>
      <c r="H23144">
        <v>250630</v>
      </c>
      <c r="I23144">
        <v>4580</v>
      </c>
      <c r="J23144" t="s">
        <v>126</v>
      </c>
      <c r="K23144">
        <v>231.05</v>
      </c>
      <c r="L23144">
        <v>22.05</v>
      </c>
      <c r="M23144">
        <v>67522</v>
      </c>
      <c r="N23144" t="s">
        <v>121</v>
      </c>
      <c r="O23144">
        <v>250703</v>
      </c>
      <c r="P23144">
        <v>86.46</v>
      </c>
    </row>
    <row r="23145" spans="1:16" x14ac:dyDescent="0.25">
      <c r="A23145" t="s">
        <v>3296</v>
      </c>
      <c r="B23145" t="s">
        <v>2931</v>
      </c>
      <c r="C23145">
        <v>9315</v>
      </c>
      <c r="D23145" t="str">
        <f>"5636321     "</f>
        <v xml:space="preserve">5636321     </v>
      </c>
      <c r="E23145" t="s">
        <v>449</v>
      </c>
      <c r="F23145" t="s">
        <v>450</v>
      </c>
      <c r="G23145">
        <v>26.5</v>
      </c>
      <c r="H23145">
        <v>250630</v>
      </c>
      <c r="I23145">
        <v>4580</v>
      </c>
      <c r="J23145" t="s">
        <v>126</v>
      </c>
      <c r="K23145">
        <v>231.05</v>
      </c>
      <c r="L23145">
        <v>5.38</v>
      </c>
      <c r="M23145">
        <v>69501</v>
      </c>
      <c r="N23145" t="s">
        <v>123</v>
      </c>
      <c r="O23145">
        <v>250703</v>
      </c>
      <c r="P23145">
        <v>21.12</v>
      </c>
    </row>
    <row r="23146" spans="1:16" x14ac:dyDescent="0.25">
      <c r="A23146" t="s">
        <v>3296</v>
      </c>
      <c r="B23146" t="s">
        <v>2931</v>
      </c>
      <c r="C23146">
        <v>9489</v>
      </c>
      <c r="D23146" t="str">
        <f>"5636191     "</f>
        <v xml:space="preserve">5636191     </v>
      </c>
      <c r="E23146" t="s">
        <v>449</v>
      </c>
      <c r="F23146" t="s">
        <v>450</v>
      </c>
      <c r="G23146">
        <v>24.29</v>
      </c>
      <c r="H23146">
        <v>250630</v>
      </c>
      <c r="I23146">
        <v>4580</v>
      </c>
      <c r="J23146" t="s">
        <v>126</v>
      </c>
      <c r="K23146">
        <v>86.73</v>
      </c>
      <c r="L23146">
        <v>4.9400000000000004</v>
      </c>
      <c r="M23146">
        <v>49702</v>
      </c>
      <c r="N23146" t="s">
        <v>112</v>
      </c>
      <c r="O23146">
        <v>250709</v>
      </c>
      <c r="P23146">
        <v>19.350000000000001</v>
      </c>
    </row>
    <row r="23147" spans="1:16" x14ac:dyDescent="0.25">
      <c r="A23147" t="s">
        <v>3296</v>
      </c>
      <c r="B23147" t="s">
        <v>2931</v>
      </c>
      <c r="C23147">
        <v>10170</v>
      </c>
      <c r="D23147" t="str">
        <f>"5645077     "</f>
        <v xml:space="preserve">5645077     </v>
      </c>
      <c r="E23147" t="s">
        <v>449</v>
      </c>
      <c r="F23147" t="s">
        <v>450</v>
      </c>
      <c r="G23147">
        <v>7.54</v>
      </c>
      <c r="H23147">
        <v>250731</v>
      </c>
      <c r="I23147">
        <v>4580</v>
      </c>
      <c r="J23147" t="s">
        <v>126</v>
      </c>
      <c r="K23147">
        <v>7.54</v>
      </c>
      <c r="L23147">
        <v>1.53</v>
      </c>
      <c r="M23147">
        <v>17950</v>
      </c>
      <c r="N23147" t="s">
        <v>132</v>
      </c>
      <c r="O23147">
        <v>250812</v>
      </c>
      <c r="P23147">
        <v>6.01</v>
      </c>
    </row>
    <row r="23148" spans="1:16" x14ac:dyDescent="0.25">
      <c r="A23148" t="s">
        <v>3296</v>
      </c>
      <c r="B23148" t="s">
        <v>2931</v>
      </c>
      <c r="C23148">
        <v>10779</v>
      </c>
      <c r="D23148" t="str">
        <f>"5648514     "</f>
        <v xml:space="preserve">5648514     </v>
      </c>
      <c r="E23148" t="s">
        <v>449</v>
      </c>
      <c r="F23148" t="s">
        <v>450</v>
      </c>
      <c r="G23148">
        <v>34.18</v>
      </c>
      <c r="H23148">
        <v>250815</v>
      </c>
      <c r="I23148">
        <v>4580</v>
      </c>
      <c r="J23148" t="s">
        <v>126</v>
      </c>
      <c r="K23148">
        <v>86.93</v>
      </c>
      <c r="L23148">
        <v>6.94</v>
      </c>
      <c r="M23148">
        <v>17521</v>
      </c>
      <c r="N23148" t="s">
        <v>136</v>
      </c>
      <c r="O23148">
        <v>250822</v>
      </c>
      <c r="P23148">
        <v>27.24</v>
      </c>
    </row>
    <row r="23149" spans="1:16" x14ac:dyDescent="0.25">
      <c r="A23149" t="s">
        <v>3296</v>
      </c>
      <c r="B23149" t="s">
        <v>2931</v>
      </c>
      <c r="C23149">
        <v>11215</v>
      </c>
      <c r="D23149" t="str">
        <f>"5652154     "</f>
        <v xml:space="preserve">5652154     </v>
      </c>
      <c r="E23149" t="s">
        <v>449</v>
      </c>
      <c r="F23149" t="s">
        <v>450</v>
      </c>
      <c r="G23149">
        <v>141.93</v>
      </c>
      <c r="H23149">
        <v>250831</v>
      </c>
      <c r="I23149">
        <v>4580</v>
      </c>
      <c r="J23149" t="s">
        <v>126</v>
      </c>
      <c r="K23149">
        <v>229.35</v>
      </c>
      <c r="L23149">
        <v>28.84</v>
      </c>
      <c r="M23149">
        <v>17912</v>
      </c>
      <c r="N23149" t="s">
        <v>505</v>
      </c>
      <c r="O23149">
        <v>250902</v>
      </c>
      <c r="P23149">
        <v>113.09</v>
      </c>
    </row>
    <row r="23150" spans="1:16" x14ac:dyDescent="0.25">
      <c r="A23150" t="s">
        <v>3296</v>
      </c>
      <c r="B23150" t="s">
        <v>2931</v>
      </c>
      <c r="C23150">
        <v>11448</v>
      </c>
      <c r="D23150" t="str">
        <f>"5654300     "</f>
        <v xml:space="preserve">5654300     </v>
      </c>
      <c r="E23150" t="s">
        <v>449</v>
      </c>
      <c r="F23150" t="s">
        <v>450</v>
      </c>
      <c r="G23150">
        <v>10.99</v>
      </c>
      <c r="H23150">
        <v>250831</v>
      </c>
      <c r="I23150">
        <v>4580</v>
      </c>
      <c r="J23150" t="s">
        <v>126</v>
      </c>
      <c r="K23150">
        <v>312.93</v>
      </c>
      <c r="L23150">
        <v>2.23</v>
      </c>
      <c r="M23150">
        <v>17521</v>
      </c>
      <c r="N23150" t="s">
        <v>136</v>
      </c>
      <c r="O23150">
        <v>250905</v>
      </c>
      <c r="P23150">
        <v>8.76</v>
      </c>
    </row>
    <row r="23151" spans="1:16" x14ac:dyDescent="0.25">
      <c r="A23151" t="s">
        <v>3296</v>
      </c>
      <c r="B23151" t="s">
        <v>2931</v>
      </c>
      <c r="C23151">
        <v>11448</v>
      </c>
      <c r="D23151" t="str">
        <f>"5654300     "</f>
        <v xml:space="preserve">5654300     </v>
      </c>
      <c r="E23151" t="s">
        <v>449</v>
      </c>
      <c r="F23151" t="s">
        <v>450</v>
      </c>
      <c r="G23151">
        <v>196.21</v>
      </c>
      <c r="H23151">
        <v>250831</v>
      </c>
      <c r="I23151">
        <v>4580</v>
      </c>
      <c r="J23151" t="s">
        <v>126</v>
      </c>
      <c r="K23151">
        <v>312.93</v>
      </c>
      <c r="L23151">
        <v>39.869999999999997</v>
      </c>
      <c r="M23151">
        <v>17950</v>
      </c>
      <c r="N23151" t="s">
        <v>132</v>
      </c>
      <c r="O23151">
        <v>250905</v>
      </c>
      <c r="P23151">
        <v>156.34</v>
      </c>
    </row>
    <row r="23152" spans="1:16" x14ac:dyDescent="0.25">
      <c r="A23152" t="s">
        <v>3296</v>
      </c>
      <c r="B23152" t="s">
        <v>2931</v>
      </c>
      <c r="C23152">
        <v>11449</v>
      </c>
      <c r="D23152" t="str">
        <f>"5650551     "</f>
        <v xml:space="preserve">5650551     </v>
      </c>
      <c r="E23152" t="s">
        <v>449</v>
      </c>
      <c r="F23152" t="s">
        <v>450</v>
      </c>
      <c r="G23152">
        <v>41.41</v>
      </c>
      <c r="H23152">
        <v>250831</v>
      </c>
      <c r="I23152">
        <v>4580</v>
      </c>
      <c r="J23152" t="s">
        <v>126</v>
      </c>
      <c r="K23152">
        <v>703.03</v>
      </c>
      <c r="L23152">
        <v>8.41</v>
      </c>
      <c r="M23152">
        <v>46554</v>
      </c>
      <c r="N23152" t="s">
        <v>102</v>
      </c>
      <c r="O23152">
        <v>250905</v>
      </c>
      <c r="P23152">
        <v>33</v>
      </c>
    </row>
    <row r="23153" spans="1:16" x14ac:dyDescent="0.25">
      <c r="A23153" t="s">
        <v>3296</v>
      </c>
      <c r="B23153" t="s">
        <v>2931</v>
      </c>
      <c r="C23153">
        <v>12337</v>
      </c>
      <c r="D23153" t="str">
        <f>"5655166     "</f>
        <v xml:space="preserve">5655166     </v>
      </c>
      <c r="E23153" t="s">
        <v>449</v>
      </c>
      <c r="F23153" t="s">
        <v>450</v>
      </c>
      <c r="G23153">
        <v>94.96</v>
      </c>
      <c r="H23153">
        <v>250915</v>
      </c>
      <c r="I23153">
        <v>4580</v>
      </c>
      <c r="J23153" t="s">
        <v>126</v>
      </c>
      <c r="K23153">
        <v>189.91</v>
      </c>
      <c r="L23153">
        <v>19.29</v>
      </c>
      <c r="M23153">
        <v>17805</v>
      </c>
      <c r="N23153" t="s">
        <v>21</v>
      </c>
      <c r="O23153">
        <v>250919</v>
      </c>
      <c r="P23153">
        <v>75.67</v>
      </c>
    </row>
    <row r="23154" spans="1:16" x14ac:dyDescent="0.25">
      <c r="A23154" t="s">
        <v>3296</v>
      </c>
      <c r="B23154" t="s">
        <v>2931</v>
      </c>
      <c r="C23154">
        <v>12337</v>
      </c>
      <c r="D23154" t="str">
        <f>"5655166     "</f>
        <v xml:space="preserve">5655166     </v>
      </c>
      <c r="E23154" t="s">
        <v>449</v>
      </c>
      <c r="F23154" t="s">
        <v>450</v>
      </c>
      <c r="G23154">
        <v>94.95</v>
      </c>
      <c r="H23154">
        <v>250915</v>
      </c>
      <c r="I23154">
        <v>4580</v>
      </c>
      <c r="J23154" t="s">
        <v>126</v>
      </c>
      <c r="K23154">
        <v>189.91</v>
      </c>
      <c r="L23154">
        <v>19.29</v>
      </c>
      <c r="M23154">
        <v>17951</v>
      </c>
      <c r="N23154" t="s">
        <v>207</v>
      </c>
      <c r="O23154">
        <v>250919</v>
      </c>
      <c r="P23154">
        <v>75.66</v>
      </c>
    </row>
    <row r="23155" spans="1:16" x14ac:dyDescent="0.25">
      <c r="A23155" t="s">
        <v>3296</v>
      </c>
      <c r="B23155" t="s">
        <v>2931</v>
      </c>
      <c r="C23155">
        <v>12505</v>
      </c>
      <c r="D23155" t="str">
        <f>"5656278     "</f>
        <v xml:space="preserve">5656278     </v>
      </c>
      <c r="E23155" t="s">
        <v>449</v>
      </c>
      <c r="F23155" t="s">
        <v>450</v>
      </c>
      <c r="G23155">
        <v>119.05</v>
      </c>
      <c r="H23155">
        <v>250915</v>
      </c>
      <c r="I23155">
        <v>4580</v>
      </c>
      <c r="J23155" t="s">
        <v>126</v>
      </c>
      <c r="K23155">
        <v>315.26</v>
      </c>
      <c r="L23155">
        <v>24.19</v>
      </c>
      <c r="M23155">
        <v>11952</v>
      </c>
      <c r="N23155" t="s">
        <v>2362</v>
      </c>
      <c r="O23155">
        <v>250925</v>
      </c>
      <c r="P23155">
        <v>94.86</v>
      </c>
    </row>
    <row r="23156" spans="1:16" x14ac:dyDescent="0.25">
      <c r="A23156" t="s">
        <v>3296</v>
      </c>
      <c r="B23156" t="s">
        <v>2931</v>
      </c>
      <c r="C23156">
        <v>12505</v>
      </c>
      <c r="D23156" t="str">
        <f>"5656278     "</f>
        <v xml:space="preserve">5656278     </v>
      </c>
      <c r="E23156" t="s">
        <v>449</v>
      </c>
      <c r="F23156" t="s">
        <v>450</v>
      </c>
      <c r="G23156">
        <v>22.18</v>
      </c>
      <c r="H23156">
        <v>250915</v>
      </c>
      <c r="I23156">
        <v>4580</v>
      </c>
      <c r="J23156" t="s">
        <v>126</v>
      </c>
      <c r="K23156">
        <v>315.26</v>
      </c>
      <c r="L23156">
        <v>4.51</v>
      </c>
      <c r="M23156">
        <v>17521</v>
      </c>
      <c r="N23156" t="s">
        <v>136</v>
      </c>
      <c r="O23156">
        <v>250925</v>
      </c>
      <c r="P23156">
        <v>17.670000000000002</v>
      </c>
    </row>
    <row r="23157" spans="1:16" x14ac:dyDescent="0.25">
      <c r="A23157" t="s">
        <v>3296</v>
      </c>
      <c r="B23157" t="s">
        <v>2931</v>
      </c>
      <c r="C23157">
        <v>12936</v>
      </c>
      <c r="D23157" t="str">
        <f>"5658594     "</f>
        <v xml:space="preserve">5658594     </v>
      </c>
      <c r="E23157" t="s">
        <v>449</v>
      </c>
      <c r="F23157" t="s">
        <v>450</v>
      </c>
      <c r="G23157">
        <v>34.14</v>
      </c>
      <c r="H23157">
        <v>250930</v>
      </c>
      <c r="I23157">
        <v>4580</v>
      </c>
      <c r="J23157" t="s">
        <v>126</v>
      </c>
      <c r="K23157">
        <v>94.69</v>
      </c>
      <c r="L23157">
        <v>6.94</v>
      </c>
      <c r="M23157">
        <v>66756</v>
      </c>
      <c r="N23157" t="s">
        <v>120</v>
      </c>
      <c r="O23157">
        <v>251002</v>
      </c>
      <c r="P23157">
        <v>27.2</v>
      </c>
    </row>
    <row r="23158" spans="1:16" x14ac:dyDescent="0.25">
      <c r="A23158" t="s">
        <v>3296</v>
      </c>
      <c r="B23158" t="s">
        <v>2931</v>
      </c>
      <c r="C23158">
        <v>12936</v>
      </c>
      <c r="D23158" t="str">
        <f>"5658594     "</f>
        <v xml:space="preserve">5658594     </v>
      </c>
      <c r="E23158" t="s">
        <v>449</v>
      </c>
      <c r="F23158" t="s">
        <v>450</v>
      </c>
      <c r="G23158">
        <v>21.73</v>
      </c>
      <c r="H23158">
        <v>250930</v>
      </c>
      <c r="I23158">
        <v>4580</v>
      </c>
      <c r="J23158" t="s">
        <v>126</v>
      </c>
      <c r="K23158">
        <v>94.69</v>
      </c>
      <c r="L23158">
        <v>4.42</v>
      </c>
      <c r="M23158">
        <v>69502</v>
      </c>
      <c r="N23158" t="s">
        <v>2410</v>
      </c>
      <c r="O23158">
        <v>251002</v>
      </c>
      <c r="P23158">
        <v>17.309999999999999</v>
      </c>
    </row>
    <row r="23159" spans="1:16" x14ac:dyDescent="0.25">
      <c r="A23159" t="s">
        <v>3296</v>
      </c>
      <c r="B23159" t="s">
        <v>2931</v>
      </c>
      <c r="C23159">
        <v>13440</v>
      </c>
      <c r="D23159" t="str">
        <f>"5660664     "</f>
        <v xml:space="preserve">5660664     </v>
      </c>
      <c r="E23159" t="s">
        <v>449</v>
      </c>
      <c r="F23159" t="s">
        <v>450</v>
      </c>
      <c r="G23159">
        <v>2.19</v>
      </c>
      <c r="H23159">
        <v>250930</v>
      </c>
      <c r="I23159">
        <v>4580</v>
      </c>
      <c r="J23159" t="s">
        <v>126</v>
      </c>
      <c r="K23159">
        <v>328.97</v>
      </c>
      <c r="L23159">
        <v>0.44</v>
      </c>
      <c r="M23159">
        <v>13501</v>
      </c>
      <c r="N23159" t="s">
        <v>66</v>
      </c>
      <c r="O23159">
        <v>251010</v>
      </c>
      <c r="P23159">
        <v>1.75</v>
      </c>
    </row>
    <row r="23160" spans="1:16" x14ac:dyDescent="0.25">
      <c r="A23160" t="s">
        <v>3296</v>
      </c>
      <c r="B23160" t="s">
        <v>2931</v>
      </c>
      <c r="C23160">
        <v>13440</v>
      </c>
      <c r="D23160" t="str">
        <f>"5660664     "</f>
        <v xml:space="preserve">5660664     </v>
      </c>
      <c r="E23160" t="s">
        <v>449</v>
      </c>
      <c r="F23160" t="s">
        <v>450</v>
      </c>
      <c r="G23160">
        <v>122.55</v>
      </c>
      <c r="H23160">
        <v>250930</v>
      </c>
      <c r="I23160">
        <v>4580</v>
      </c>
      <c r="J23160" t="s">
        <v>126</v>
      </c>
      <c r="K23160">
        <v>328.97</v>
      </c>
      <c r="L23160">
        <v>24.9</v>
      </c>
      <c r="M23160">
        <v>17526</v>
      </c>
      <c r="N23160" t="s">
        <v>141</v>
      </c>
      <c r="O23160">
        <v>251010</v>
      </c>
      <c r="P23160">
        <v>97.65</v>
      </c>
    </row>
    <row r="23161" spans="1:16" x14ac:dyDescent="0.25">
      <c r="A23161" t="s">
        <v>3296</v>
      </c>
      <c r="B23161" t="s">
        <v>2931</v>
      </c>
      <c r="C23161">
        <v>13440</v>
      </c>
      <c r="D23161" t="str">
        <f>"5660664     "</f>
        <v xml:space="preserve">5660664     </v>
      </c>
      <c r="E23161" t="s">
        <v>449</v>
      </c>
      <c r="F23161" t="s">
        <v>450</v>
      </c>
      <c r="G23161">
        <v>9.99</v>
      </c>
      <c r="H23161">
        <v>250930</v>
      </c>
      <c r="I23161">
        <v>4580</v>
      </c>
      <c r="J23161" t="s">
        <v>126</v>
      </c>
      <c r="K23161">
        <v>328.97</v>
      </c>
      <c r="L23161">
        <v>2.0299999999999998</v>
      </c>
      <c r="M23161">
        <v>17529</v>
      </c>
      <c r="N23161" t="s">
        <v>143</v>
      </c>
      <c r="O23161">
        <v>251010</v>
      </c>
      <c r="P23161">
        <v>7.96</v>
      </c>
    </row>
    <row r="23162" spans="1:16" x14ac:dyDescent="0.25">
      <c r="A23162" t="s">
        <v>3296</v>
      </c>
      <c r="B23162" t="s">
        <v>2931</v>
      </c>
      <c r="C23162">
        <v>13440</v>
      </c>
      <c r="D23162" t="str">
        <f>"5660664     "</f>
        <v xml:space="preserve">5660664     </v>
      </c>
      <c r="E23162" t="s">
        <v>449</v>
      </c>
      <c r="F23162" t="s">
        <v>450</v>
      </c>
      <c r="G23162">
        <v>114.82</v>
      </c>
      <c r="H23162">
        <v>250930</v>
      </c>
      <c r="I23162">
        <v>4580</v>
      </c>
      <c r="J23162" t="s">
        <v>126</v>
      </c>
      <c r="K23162">
        <v>328.97</v>
      </c>
      <c r="L23162">
        <v>23.33</v>
      </c>
      <c r="M23162">
        <v>17950</v>
      </c>
      <c r="N23162" t="s">
        <v>132</v>
      </c>
      <c r="O23162">
        <v>251010</v>
      </c>
      <c r="P23162">
        <v>91.49</v>
      </c>
    </row>
    <row r="23163" spans="1:16" x14ac:dyDescent="0.25">
      <c r="A23163" t="s">
        <v>3296</v>
      </c>
      <c r="B23163" t="s">
        <v>2931</v>
      </c>
      <c r="C23163">
        <v>14819</v>
      </c>
      <c r="D23163" t="str">
        <f>"5666772     "</f>
        <v xml:space="preserve">5666772     </v>
      </c>
      <c r="E23163" t="s">
        <v>449</v>
      </c>
      <c r="F23163" t="s">
        <v>450</v>
      </c>
      <c r="G23163">
        <v>178</v>
      </c>
      <c r="H23163">
        <v>251031</v>
      </c>
      <c r="I23163">
        <v>4580</v>
      </c>
      <c r="J23163" t="s">
        <v>126</v>
      </c>
      <c r="K23163">
        <v>391.14</v>
      </c>
      <c r="L23163">
        <v>36.17</v>
      </c>
      <c r="M23163">
        <v>69704</v>
      </c>
      <c r="N23163" t="s">
        <v>89</v>
      </c>
      <c r="O23163">
        <v>251107</v>
      </c>
      <c r="P23163">
        <v>141.83000000000001</v>
      </c>
    </row>
    <row r="23164" spans="1:16" x14ac:dyDescent="0.25">
      <c r="A23164" t="s">
        <v>3296</v>
      </c>
      <c r="B23164" t="s">
        <v>2931</v>
      </c>
      <c r="C23164">
        <v>14936</v>
      </c>
      <c r="D23164" t="str">
        <f>"5669018     "</f>
        <v xml:space="preserve">5669018     </v>
      </c>
      <c r="E23164" t="s">
        <v>449</v>
      </c>
      <c r="F23164" t="s">
        <v>450</v>
      </c>
      <c r="G23164">
        <v>41.15</v>
      </c>
      <c r="H23164">
        <v>251031</v>
      </c>
      <c r="I23164">
        <v>4580</v>
      </c>
      <c r="J23164" t="s">
        <v>126</v>
      </c>
      <c r="K23164">
        <v>74.95</v>
      </c>
      <c r="L23164">
        <v>8.36</v>
      </c>
      <c r="M23164">
        <v>13201</v>
      </c>
      <c r="N23164" t="s">
        <v>269</v>
      </c>
      <c r="O23164">
        <v>251110</v>
      </c>
      <c r="P23164">
        <v>32.79</v>
      </c>
    </row>
    <row r="23165" spans="1:16" x14ac:dyDescent="0.25">
      <c r="A23165" t="s">
        <v>3296</v>
      </c>
      <c r="B23165" t="s">
        <v>2931</v>
      </c>
      <c r="C23165">
        <v>14936</v>
      </c>
      <c r="D23165" t="str">
        <f>"5669018     "</f>
        <v xml:space="preserve">5669018     </v>
      </c>
      <c r="E23165" t="s">
        <v>449</v>
      </c>
      <c r="F23165" t="s">
        <v>450</v>
      </c>
      <c r="G23165">
        <v>21.21</v>
      </c>
      <c r="H23165">
        <v>251031</v>
      </c>
      <c r="I23165">
        <v>4580</v>
      </c>
      <c r="J23165" t="s">
        <v>126</v>
      </c>
      <c r="K23165">
        <v>74.95</v>
      </c>
      <c r="L23165">
        <v>4.3099999999999996</v>
      </c>
      <c r="M23165">
        <v>17521</v>
      </c>
      <c r="N23165" t="s">
        <v>136</v>
      </c>
      <c r="O23165">
        <v>251110</v>
      </c>
      <c r="P23165">
        <v>16.899999999999999</v>
      </c>
    </row>
    <row r="23166" spans="1:16" x14ac:dyDescent="0.25">
      <c r="A23166" t="s">
        <v>3296</v>
      </c>
      <c r="B23166" t="s">
        <v>2931</v>
      </c>
      <c r="C23166">
        <v>14936</v>
      </c>
      <c r="D23166" t="str">
        <f>"5669018     "</f>
        <v xml:space="preserve">5669018     </v>
      </c>
      <c r="E23166" t="s">
        <v>449</v>
      </c>
      <c r="F23166" t="s">
        <v>450</v>
      </c>
      <c r="G23166">
        <v>6.3</v>
      </c>
      <c r="H23166">
        <v>251031</v>
      </c>
      <c r="I23166">
        <v>4580</v>
      </c>
      <c r="J23166" t="s">
        <v>126</v>
      </c>
      <c r="K23166">
        <v>74.95</v>
      </c>
      <c r="L23166">
        <v>1.28</v>
      </c>
      <c r="M23166">
        <v>17950</v>
      </c>
      <c r="N23166" t="s">
        <v>132</v>
      </c>
      <c r="O23166">
        <v>251110</v>
      </c>
      <c r="P23166">
        <v>5.0199999999999996</v>
      </c>
    </row>
    <row r="23167" spans="1:16" x14ac:dyDescent="0.25">
      <c r="A23167" t="s">
        <v>3296</v>
      </c>
      <c r="B23167" t="s">
        <v>2931</v>
      </c>
      <c r="C23167">
        <v>15017</v>
      </c>
      <c r="D23167" t="str">
        <f>"5669724     "</f>
        <v xml:space="preserve">5669724     </v>
      </c>
      <c r="E23167" t="s">
        <v>449</v>
      </c>
      <c r="F23167" t="s">
        <v>450</v>
      </c>
      <c r="G23167">
        <v>74.02</v>
      </c>
      <c r="H23167">
        <v>251031</v>
      </c>
      <c r="I23167">
        <v>4580</v>
      </c>
      <c r="J23167" t="s">
        <v>126</v>
      </c>
      <c r="K23167">
        <v>125.26</v>
      </c>
      <c r="L23167">
        <v>15.04</v>
      </c>
      <c r="M23167">
        <v>13801</v>
      </c>
      <c r="N23167" t="s">
        <v>33</v>
      </c>
      <c r="O23167">
        <v>251110</v>
      </c>
      <c r="P23167">
        <v>58.98</v>
      </c>
    </row>
    <row r="23168" spans="1:16" x14ac:dyDescent="0.25">
      <c r="A23168" t="s">
        <v>3296</v>
      </c>
      <c r="B23168" t="s">
        <v>2931</v>
      </c>
      <c r="C23168">
        <v>15060</v>
      </c>
      <c r="D23168" t="str">
        <f>"5670702     "</f>
        <v xml:space="preserve">5670702     </v>
      </c>
      <c r="E23168" t="s">
        <v>449</v>
      </c>
      <c r="F23168" t="s">
        <v>450</v>
      </c>
      <c r="G23168">
        <v>47.49</v>
      </c>
      <c r="H23168">
        <v>251031</v>
      </c>
      <c r="I23168">
        <v>4580</v>
      </c>
      <c r="J23168" t="s">
        <v>126</v>
      </c>
      <c r="K23168">
        <v>71.23</v>
      </c>
      <c r="L23168">
        <v>9.65</v>
      </c>
      <c r="M23168">
        <v>17524</v>
      </c>
      <c r="N23168" t="s">
        <v>139</v>
      </c>
      <c r="O23168">
        <v>251111</v>
      </c>
      <c r="P23168">
        <v>37.840000000000003</v>
      </c>
    </row>
    <row r="23169" spans="1:16" x14ac:dyDescent="0.25">
      <c r="A23169" t="s">
        <v>3296</v>
      </c>
      <c r="B23169" t="s">
        <v>2931</v>
      </c>
      <c r="C23169">
        <v>15448</v>
      </c>
      <c r="D23169" t="str">
        <f>"5672971     "</f>
        <v xml:space="preserve">5672971     </v>
      </c>
      <c r="E23169" t="s">
        <v>449</v>
      </c>
      <c r="F23169" t="s">
        <v>450</v>
      </c>
      <c r="G23169">
        <v>26.09</v>
      </c>
      <c r="H23169">
        <v>251115</v>
      </c>
      <c r="I23169">
        <v>4580</v>
      </c>
      <c r="J23169" t="s">
        <v>126</v>
      </c>
      <c r="K23169">
        <v>110.12</v>
      </c>
      <c r="L23169">
        <v>5.3</v>
      </c>
      <c r="M23169">
        <v>17523</v>
      </c>
      <c r="N23169" t="s">
        <v>138</v>
      </c>
      <c r="O23169">
        <v>251120</v>
      </c>
      <c r="P23169">
        <v>20.79</v>
      </c>
    </row>
    <row r="23170" spans="1:16" x14ac:dyDescent="0.25">
      <c r="A23170" t="s">
        <v>3296</v>
      </c>
      <c r="B23170" t="s">
        <v>2931</v>
      </c>
      <c r="C23170">
        <v>15448</v>
      </c>
      <c r="D23170" t="str">
        <f>"5672971     "</f>
        <v xml:space="preserve">5672971     </v>
      </c>
      <c r="E23170" t="s">
        <v>449</v>
      </c>
      <c r="F23170" t="s">
        <v>450</v>
      </c>
      <c r="G23170">
        <v>43.17</v>
      </c>
      <c r="H23170">
        <v>251115</v>
      </c>
      <c r="I23170">
        <v>4580</v>
      </c>
      <c r="J23170" t="s">
        <v>126</v>
      </c>
      <c r="K23170">
        <v>110.12</v>
      </c>
      <c r="L23170">
        <v>8.77</v>
      </c>
      <c r="M23170">
        <v>17538</v>
      </c>
      <c r="N23170" t="s">
        <v>129</v>
      </c>
      <c r="O23170">
        <v>251120</v>
      </c>
      <c r="P23170">
        <v>34.4</v>
      </c>
    </row>
    <row r="23171" spans="1:16" x14ac:dyDescent="0.25">
      <c r="A23171" t="s">
        <v>3296</v>
      </c>
      <c r="B23171" t="s">
        <v>2931</v>
      </c>
      <c r="C23171">
        <v>15451</v>
      </c>
      <c r="D23171" t="str">
        <f>"5674542     "</f>
        <v xml:space="preserve">5674542     </v>
      </c>
      <c r="E23171" t="s">
        <v>449</v>
      </c>
      <c r="F23171" t="s">
        <v>450</v>
      </c>
      <c r="G23171">
        <v>91.92</v>
      </c>
      <c r="H23171">
        <v>251115</v>
      </c>
      <c r="I23171">
        <v>4580</v>
      </c>
      <c r="J23171" t="s">
        <v>126</v>
      </c>
      <c r="K23171">
        <v>91.92</v>
      </c>
      <c r="L23171">
        <v>18.68</v>
      </c>
      <c r="M23171">
        <v>17538</v>
      </c>
      <c r="N23171" t="s">
        <v>129</v>
      </c>
      <c r="O23171">
        <v>251120</v>
      </c>
      <c r="P23171">
        <v>73.239999999999995</v>
      </c>
    </row>
    <row r="23172" spans="1:16" x14ac:dyDescent="0.25">
      <c r="A23172" t="s">
        <v>3296</v>
      </c>
      <c r="B23172" t="s">
        <v>2931</v>
      </c>
      <c r="C23172">
        <v>16188</v>
      </c>
      <c r="D23172" t="str">
        <f>"5675241     "</f>
        <v xml:space="preserve">5675241     </v>
      </c>
      <c r="E23172" t="s">
        <v>449</v>
      </c>
      <c r="F23172" t="s">
        <v>450</v>
      </c>
      <c r="G23172">
        <v>24.29</v>
      </c>
      <c r="H23172">
        <v>251130</v>
      </c>
      <c r="I23172">
        <v>4580</v>
      </c>
      <c r="J23172" t="s">
        <v>126</v>
      </c>
      <c r="K23172">
        <v>280.26</v>
      </c>
      <c r="L23172">
        <v>4.9400000000000004</v>
      </c>
      <c r="M23172">
        <v>49704</v>
      </c>
      <c r="N23172" t="s">
        <v>113</v>
      </c>
      <c r="O23172">
        <v>251204</v>
      </c>
      <c r="P23172">
        <v>19.350000000000001</v>
      </c>
    </row>
    <row r="23173" spans="1:16" x14ac:dyDescent="0.25">
      <c r="A23173" t="s">
        <v>3296</v>
      </c>
      <c r="B23173" t="s">
        <v>2931</v>
      </c>
      <c r="C23173">
        <v>16506</v>
      </c>
      <c r="D23173" t="str">
        <f>"5679764     "</f>
        <v xml:space="preserve">5679764     </v>
      </c>
      <c r="E23173" t="s">
        <v>449</v>
      </c>
      <c r="F23173" t="s">
        <v>450</v>
      </c>
      <c r="G23173">
        <v>18.329999999999998</v>
      </c>
      <c r="H23173">
        <v>251130</v>
      </c>
      <c r="I23173">
        <v>4580</v>
      </c>
      <c r="J23173" t="s">
        <v>126</v>
      </c>
      <c r="K23173">
        <v>18.329999999999998</v>
      </c>
      <c r="L23173">
        <v>3.72</v>
      </c>
      <c r="M23173">
        <v>17524</v>
      </c>
      <c r="N23173" t="s">
        <v>139</v>
      </c>
      <c r="O23173">
        <v>251209</v>
      </c>
      <c r="P23173">
        <v>14.61</v>
      </c>
    </row>
    <row r="23174" spans="1:16" x14ac:dyDescent="0.25">
      <c r="A23174" t="s">
        <v>3296</v>
      </c>
      <c r="B23174" t="s">
        <v>2931</v>
      </c>
      <c r="C23174">
        <v>16543</v>
      </c>
      <c r="D23174" t="str">
        <f>"5675484     "</f>
        <v xml:space="preserve">5675484     </v>
      </c>
      <c r="E23174" t="s">
        <v>449</v>
      </c>
      <c r="F23174" t="s">
        <v>450</v>
      </c>
      <c r="G23174">
        <v>40.4</v>
      </c>
      <c r="H23174">
        <v>251130</v>
      </c>
      <c r="I23174">
        <v>4580</v>
      </c>
      <c r="J23174" t="s">
        <v>126</v>
      </c>
      <c r="K23174">
        <v>357.53</v>
      </c>
      <c r="L23174">
        <v>8.2100000000000009</v>
      </c>
      <c r="M23174">
        <v>66722</v>
      </c>
      <c r="N23174" t="s">
        <v>118</v>
      </c>
      <c r="O23174">
        <v>251209</v>
      </c>
      <c r="P23174">
        <v>32.19</v>
      </c>
    </row>
    <row r="23175" spans="1:16" x14ac:dyDescent="0.25">
      <c r="A23175" t="s">
        <v>3296</v>
      </c>
      <c r="B23175" t="s">
        <v>2931</v>
      </c>
      <c r="C23175">
        <v>16543</v>
      </c>
      <c r="D23175" t="str">
        <f>"5675484     "</f>
        <v xml:space="preserve">5675484     </v>
      </c>
      <c r="E23175" t="s">
        <v>449</v>
      </c>
      <c r="F23175" t="s">
        <v>450</v>
      </c>
      <c r="G23175">
        <v>40.4</v>
      </c>
      <c r="H23175">
        <v>251130</v>
      </c>
      <c r="I23175">
        <v>4580</v>
      </c>
      <c r="J23175" t="s">
        <v>126</v>
      </c>
      <c r="K23175">
        <v>357.53</v>
      </c>
      <c r="L23175">
        <v>8.2100000000000009</v>
      </c>
      <c r="M23175">
        <v>66754</v>
      </c>
      <c r="N23175" t="s">
        <v>119</v>
      </c>
      <c r="O23175">
        <v>251209</v>
      </c>
      <c r="P23175">
        <v>32.19</v>
      </c>
    </row>
    <row r="23176" spans="1:16" x14ac:dyDescent="0.25">
      <c r="A23176" t="s">
        <v>3296</v>
      </c>
      <c r="B23176" t="s">
        <v>2931</v>
      </c>
      <c r="C23176">
        <v>16543</v>
      </c>
      <c r="D23176" t="str">
        <f>"5675484     "</f>
        <v xml:space="preserve">5675484     </v>
      </c>
      <c r="E23176" t="s">
        <v>449</v>
      </c>
      <c r="F23176" t="s">
        <v>450</v>
      </c>
      <c r="G23176">
        <v>21.58</v>
      </c>
      <c r="H23176">
        <v>251130</v>
      </c>
      <c r="I23176">
        <v>4580</v>
      </c>
      <c r="J23176" t="s">
        <v>126</v>
      </c>
      <c r="K23176">
        <v>357.53</v>
      </c>
      <c r="L23176">
        <v>4.38</v>
      </c>
      <c r="M23176">
        <v>67522</v>
      </c>
      <c r="N23176" t="s">
        <v>121</v>
      </c>
      <c r="O23176">
        <v>251209</v>
      </c>
      <c r="P23176">
        <v>17.2</v>
      </c>
    </row>
    <row r="23177" spans="1:16" x14ac:dyDescent="0.25">
      <c r="A23177" t="s">
        <v>3296</v>
      </c>
      <c r="B23177" t="s">
        <v>2931</v>
      </c>
      <c r="C23177">
        <v>16543</v>
      </c>
      <c r="D23177" t="str">
        <f>"5675484     "</f>
        <v xml:space="preserve">5675484     </v>
      </c>
      <c r="E23177" t="s">
        <v>449</v>
      </c>
      <c r="F23177" t="s">
        <v>450</v>
      </c>
      <c r="G23177">
        <v>98.82</v>
      </c>
      <c r="H23177">
        <v>251130</v>
      </c>
      <c r="I23177">
        <v>4580</v>
      </c>
      <c r="J23177" t="s">
        <v>126</v>
      </c>
      <c r="K23177">
        <v>357.53</v>
      </c>
      <c r="L23177">
        <v>20.079999999999998</v>
      </c>
      <c r="M23177">
        <v>67554</v>
      </c>
      <c r="N23177" t="s">
        <v>317</v>
      </c>
      <c r="O23177">
        <v>251209</v>
      </c>
      <c r="P23177">
        <v>78.739999999999995</v>
      </c>
    </row>
    <row r="23178" spans="1:16" x14ac:dyDescent="0.25">
      <c r="A23178" t="s">
        <v>3296</v>
      </c>
      <c r="B23178" t="s">
        <v>2931</v>
      </c>
      <c r="C23178">
        <v>16543</v>
      </c>
      <c r="D23178" t="str">
        <f>"5675484     "</f>
        <v xml:space="preserve">5675484     </v>
      </c>
      <c r="E23178" t="s">
        <v>449</v>
      </c>
      <c r="F23178" t="s">
        <v>450</v>
      </c>
      <c r="G23178">
        <v>24.56</v>
      </c>
      <c r="H23178">
        <v>251130</v>
      </c>
      <c r="I23178">
        <v>4580</v>
      </c>
      <c r="J23178" t="s">
        <v>126</v>
      </c>
      <c r="K23178">
        <v>357.53</v>
      </c>
      <c r="L23178">
        <v>4.99</v>
      </c>
      <c r="M23178">
        <v>69501</v>
      </c>
      <c r="N23178" t="s">
        <v>123</v>
      </c>
      <c r="O23178">
        <v>251209</v>
      </c>
      <c r="P23178">
        <v>19.57</v>
      </c>
    </row>
    <row r="23179" spans="1:16" x14ac:dyDescent="0.25">
      <c r="A23179" t="s">
        <v>3296</v>
      </c>
      <c r="B23179" t="s">
        <v>2931</v>
      </c>
      <c r="C23179">
        <v>18234</v>
      </c>
      <c r="D23179" t="str">
        <f>"5686403     "</f>
        <v xml:space="preserve">5686403     </v>
      </c>
      <c r="E23179" t="s">
        <v>449</v>
      </c>
      <c r="F23179" t="s">
        <v>450</v>
      </c>
      <c r="G23179">
        <v>99.95</v>
      </c>
      <c r="H23179">
        <v>251231</v>
      </c>
      <c r="I23179">
        <v>4580</v>
      </c>
      <c r="J23179" t="s">
        <v>126</v>
      </c>
      <c r="K23179">
        <v>130.13999999999999</v>
      </c>
      <c r="L23179">
        <v>20.309999999999999</v>
      </c>
      <c r="M23179">
        <v>17971</v>
      </c>
      <c r="N23179" t="s">
        <v>27</v>
      </c>
      <c r="O23179">
        <v>260112</v>
      </c>
      <c r="P23179">
        <v>79.64</v>
      </c>
    </row>
    <row r="23180" spans="1:16" x14ac:dyDescent="0.25">
      <c r="A23180" t="s">
        <v>3296</v>
      </c>
      <c r="B23180" t="s">
        <v>2931</v>
      </c>
      <c r="C23180">
        <v>18313</v>
      </c>
      <c r="D23180" t="str">
        <f>"5687596     "</f>
        <v xml:space="preserve">5687596     </v>
      </c>
      <c r="E23180" t="s">
        <v>449</v>
      </c>
      <c r="F23180" t="s">
        <v>450</v>
      </c>
      <c r="G23180">
        <v>15.28</v>
      </c>
      <c r="H23180">
        <v>251231</v>
      </c>
      <c r="I23180">
        <v>4580</v>
      </c>
      <c r="J23180" t="s">
        <v>126</v>
      </c>
      <c r="K23180">
        <v>15.28</v>
      </c>
      <c r="L23180">
        <v>3.1</v>
      </c>
      <c r="M23180">
        <v>17950</v>
      </c>
      <c r="N23180" t="s">
        <v>132</v>
      </c>
      <c r="O23180">
        <v>260113</v>
      </c>
      <c r="P23180">
        <v>12.18</v>
      </c>
    </row>
    <row r="23181" spans="1:16" x14ac:dyDescent="0.25">
      <c r="A23181" t="s">
        <v>3296</v>
      </c>
      <c r="B23181" t="s">
        <v>2931</v>
      </c>
      <c r="C23181">
        <v>18404</v>
      </c>
      <c r="D23181" t="str">
        <f>"5685277     "</f>
        <v xml:space="preserve">5685277     </v>
      </c>
      <c r="E23181" t="s">
        <v>449</v>
      </c>
      <c r="F23181" t="s">
        <v>450</v>
      </c>
      <c r="G23181">
        <v>86.38</v>
      </c>
      <c r="H23181">
        <v>251231</v>
      </c>
      <c r="I23181">
        <v>4580</v>
      </c>
      <c r="J23181" t="s">
        <v>126</v>
      </c>
      <c r="K23181">
        <v>493.71</v>
      </c>
      <c r="L23181">
        <v>17.55</v>
      </c>
      <c r="M23181">
        <v>44222</v>
      </c>
      <c r="N23181" t="s">
        <v>96</v>
      </c>
      <c r="O23181">
        <v>260113</v>
      </c>
      <c r="P23181">
        <v>68.83</v>
      </c>
    </row>
    <row r="23182" spans="1:16" x14ac:dyDescent="0.25">
      <c r="A23182" t="s">
        <v>3296</v>
      </c>
      <c r="B23182" t="s">
        <v>2931</v>
      </c>
      <c r="C23182">
        <v>18404</v>
      </c>
      <c r="D23182" t="str">
        <f>"5685277     "</f>
        <v xml:space="preserve">5685277     </v>
      </c>
      <c r="E23182" t="s">
        <v>449</v>
      </c>
      <c r="F23182" t="s">
        <v>450</v>
      </c>
      <c r="G23182">
        <v>36.86</v>
      </c>
      <c r="H23182">
        <v>251231</v>
      </c>
      <c r="I23182">
        <v>4580</v>
      </c>
      <c r="J23182" t="s">
        <v>126</v>
      </c>
      <c r="K23182">
        <v>493.71</v>
      </c>
      <c r="L23182">
        <v>7.49</v>
      </c>
      <c r="M23182">
        <v>49112</v>
      </c>
      <c r="N23182" t="s">
        <v>109</v>
      </c>
      <c r="O23182">
        <v>260113</v>
      </c>
      <c r="P23182">
        <v>29.37</v>
      </c>
    </row>
    <row r="23183" spans="1:16" x14ac:dyDescent="0.25">
      <c r="A23183" t="s">
        <v>3296</v>
      </c>
      <c r="B23183" t="s">
        <v>2931</v>
      </c>
      <c r="C23183">
        <v>18500</v>
      </c>
      <c r="D23183" t="str">
        <f>"5688995     "</f>
        <v xml:space="preserve">5688995     </v>
      </c>
      <c r="E23183" t="s">
        <v>449</v>
      </c>
      <c r="F23183" t="s">
        <v>450</v>
      </c>
      <c r="G23183">
        <v>33.4</v>
      </c>
      <c r="H23183">
        <v>251231</v>
      </c>
      <c r="I23183">
        <v>4580</v>
      </c>
      <c r="J23183" t="s">
        <v>126</v>
      </c>
      <c r="K23183">
        <v>87.39</v>
      </c>
      <c r="L23183">
        <v>6.79</v>
      </c>
      <c r="M23183">
        <v>17531</v>
      </c>
      <c r="N23183" t="s">
        <v>145</v>
      </c>
      <c r="O23183">
        <v>260114</v>
      </c>
      <c r="P23183">
        <v>26.61</v>
      </c>
    </row>
    <row r="23184" spans="1:16" x14ac:dyDescent="0.25">
      <c r="A23184" t="s">
        <v>3296</v>
      </c>
      <c r="B23184" t="s">
        <v>2931</v>
      </c>
      <c r="C23184">
        <v>2206</v>
      </c>
      <c r="D23184" t="str">
        <f>"5602852     "</f>
        <v xml:space="preserve">5602852     </v>
      </c>
      <c r="E23184" t="s">
        <v>449</v>
      </c>
      <c r="F23184" t="s">
        <v>450</v>
      </c>
      <c r="G23184">
        <v>16.899999999999999</v>
      </c>
      <c r="H23184">
        <v>250215</v>
      </c>
      <c r="I23184">
        <v>4590</v>
      </c>
      <c r="J23184" t="s">
        <v>388</v>
      </c>
      <c r="K23184">
        <v>307.45</v>
      </c>
      <c r="L23184">
        <v>3.43</v>
      </c>
      <c r="M23184">
        <v>17524</v>
      </c>
      <c r="N23184" t="s">
        <v>139</v>
      </c>
      <c r="O23184">
        <v>250221</v>
      </c>
      <c r="P23184">
        <v>13.47</v>
      </c>
    </row>
    <row r="23185" spans="1:16" x14ac:dyDescent="0.25">
      <c r="A23185" t="s">
        <v>3296</v>
      </c>
      <c r="B23185" t="s">
        <v>2931</v>
      </c>
      <c r="C23185">
        <v>2206</v>
      </c>
      <c r="D23185" t="str">
        <f>"5602852     "</f>
        <v xml:space="preserve">5602852     </v>
      </c>
      <c r="E23185" t="s">
        <v>449</v>
      </c>
      <c r="F23185" t="s">
        <v>450</v>
      </c>
      <c r="G23185">
        <v>33.71</v>
      </c>
      <c r="H23185">
        <v>250215</v>
      </c>
      <c r="I23185">
        <v>4590</v>
      </c>
      <c r="J23185" t="s">
        <v>388</v>
      </c>
      <c r="K23185">
        <v>307.45</v>
      </c>
      <c r="L23185">
        <v>6.85</v>
      </c>
      <c r="M23185">
        <v>17524</v>
      </c>
      <c r="N23185" t="s">
        <v>139</v>
      </c>
      <c r="O23185">
        <v>250221</v>
      </c>
      <c r="P23185">
        <v>26.86</v>
      </c>
    </row>
    <row r="23186" spans="1:16" x14ac:dyDescent="0.25">
      <c r="A23186" t="s">
        <v>3296</v>
      </c>
      <c r="B23186" t="s">
        <v>2931</v>
      </c>
      <c r="C23186">
        <v>2735</v>
      </c>
      <c r="D23186" t="str">
        <f>"5606048     "</f>
        <v xml:space="preserve">5606048     </v>
      </c>
      <c r="E23186" t="s">
        <v>449</v>
      </c>
      <c r="F23186" t="s">
        <v>450</v>
      </c>
      <c r="G23186">
        <v>42.26</v>
      </c>
      <c r="H23186">
        <v>250228</v>
      </c>
      <c r="I23186">
        <v>4590</v>
      </c>
      <c r="J23186" t="s">
        <v>388</v>
      </c>
      <c r="K23186">
        <v>157.88</v>
      </c>
      <c r="L23186">
        <v>8.59</v>
      </c>
      <c r="M23186">
        <v>17952</v>
      </c>
      <c r="N23186" t="s">
        <v>157</v>
      </c>
      <c r="O23186">
        <v>250311</v>
      </c>
      <c r="P23186">
        <v>33.67</v>
      </c>
    </row>
    <row r="23187" spans="1:16" x14ac:dyDescent="0.25">
      <c r="A23187" t="s">
        <v>3296</v>
      </c>
      <c r="B23187" t="s">
        <v>2931</v>
      </c>
      <c r="C23187">
        <v>4388</v>
      </c>
      <c r="D23187" t="str">
        <f>"5613150     "</f>
        <v xml:space="preserve">5613150     </v>
      </c>
      <c r="E23187" t="s">
        <v>449</v>
      </c>
      <c r="F23187" t="s">
        <v>450</v>
      </c>
      <c r="G23187">
        <v>18.43</v>
      </c>
      <c r="H23187">
        <v>250331</v>
      </c>
      <c r="I23187">
        <v>4590</v>
      </c>
      <c r="J23187" t="s">
        <v>388</v>
      </c>
      <c r="K23187">
        <v>240.12</v>
      </c>
      <c r="L23187">
        <v>2.2599999999999998</v>
      </c>
      <c r="M23187">
        <v>17711</v>
      </c>
      <c r="N23187" t="s">
        <v>155</v>
      </c>
      <c r="O23187">
        <v>250411</v>
      </c>
      <c r="P23187">
        <v>16.170000000000002</v>
      </c>
    </row>
    <row r="23188" spans="1:16" x14ac:dyDescent="0.25">
      <c r="A23188" t="s">
        <v>3296</v>
      </c>
      <c r="B23188" t="s">
        <v>2931</v>
      </c>
      <c r="C23188">
        <v>4388</v>
      </c>
      <c r="D23188" t="str">
        <f>"5613150     "</f>
        <v xml:space="preserve">5613150     </v>
      </c>
      <c r="E23188" t="s">
        <v>449</v>
      </c>
      <c r="F23188" t="s">
        <v>450</v>
      </c>
      <c r="G23188">
        <v>6.62</v>
      </c>
      <c r="H23188">
        <v>250331</v>
      </c>
      <c r="I23188">
        <v>4590</v>
      </c>
      <c r="J23188" t="s">
        <v>388</v>
      </c>
      <c r="K23188">
        <v>240.12</v>
      </c>
      <c r="L23188">
        <v>0.81</v>
      </c>
      <c r="M23188">
        <v>17912</v>
      </c>
      <c r="N23188" t="s">
        <v>505</v>
      </c>
      <c r="O23188">
        <v>250411</v>
      </c>
      <c r="P23188">
        <v>5.81</v>
      </c>
    </row>
    <row r="23189" spans="1:16" x14ac:dyDescent="0.25">
      <c r="A23189" t="s">
        <v>3296</v>
      </c>
      <c r="B23189" t="s">
        <v>2931</v>
      </c>
      <c r="C23189">
        <v>4388</v>
      </c>
      <c r="D23189" t="str">
        <f>"5613150     "</f>
        <v xml:space="preserve">5613150     </v>
      </c>
      <c r="E23189" t="s">
        <v>449</v>
      </c>
      <c r="F23189" t="s">
        <v>450</v>
      </c>
      <c r="G23189">
        <v>25.47</v>
      </c>
      <c r="H23189">
        <v>250331</v>
      </c>
      <c r="I23189">
        <v>4590</v>
      </c>
      <c r="J23189" t="s">
        <v>388</v>
      </c>
      <c r="K23189">
        <v>240.12</v>
      </c>
      <c r="L23189">
        <v>5.18</v>
      </c>
      <c r="M23189">
        <v>17951</v>
      </c>
      <c r="N23189" t="s">
        <v>207</v>
      </c>
      <c r="O23189">
        <v>250411</v>
      </c>
      <c r="P23189">
        <v>20.29</v>
      </c>
    </row>
    <row r="23190" spans="1:16" x14ac:dyDescent="0.25">
      <c r="A23190" t="s">
        <v>3296</v>
      </c>
      <c r="B23190" t="s">
        <v>2931</v>
      </c>
      <c r="C23190">
        <v>4388</v>
      </c>
      <c r="D23190" t="str">
        <f>"5613150     "</f>
        <v xml:space="preserve">5613150     </v>
      </c>
      <c r="E23190" t="s">
        <v>449</v>
      </c>
      <c r="F23190" t="s">
        <v>450</v>
      </c>
      <c r="G23190">
        <v>30.57</v>
      </c>
      <c r="H23190">
        <v>250331</v>
      </c>
      <c r="I23190">
        <v>4590</v>
      </c>
      <c r="J23190" t="s">
        <v>388</v>
      </c>
      <c r="K23190">
        <v>240.12</v>
      </c>
      <c r="L23190">
        <v>6.21</v>
      </c>
      <c r="M23190">
        <v>17951</v>
      </c>
      <c r="N23190" t="s">
        <v>207</v>
      </c>
      <c r="O23190">
        <v>250411</v>
      </c>
      <c r="P23190">
        <v>24.36</v>
      </c>
    </row>
    <row r="23191" spans="1:16" x14ac:dyDescent="0.25">
      <c r="A23191" t="s">
        <v>3296</v>
      </c>
      <c r="B23191" t="s">
        <v>2931</v>
      </c>
      <c r="C23191">
        <v>4460</v>
      </c>
      <c r="D23191" t="str">
        <f>"5611750     "</f>
        <v xml:space="preserve">5611750     </v>
      </c>
      <c r="E23191" t="s">
        <v>449</v>
      </c>
      <c r="F23191" t="s">
        <v>450</v>
      </c>
      <c r="G23191">
        <v>34.6</v>
      </c>
      <c r="H23191">
        <v>250331</v>
      </c>
      <c r="I23191">
        <v>4590</v>
      </c>
      <c r="J23191" t="s">
        <v>388</v>
      </c>
      <c r="K23191">
        <v>286.73</v>
      </c>
      <c r="L23191">
        <v>7.03</v>
      </c>
      <c r="M23191">
        <v>67522</v>
      </c>
      <c r="N23191" t="s">
        <v>121</v>
      </c>
      <c r="O23191">
        <v>250411</v>
      </c>
      <c r="P23191">
        <v>27.57</v>
      </c>
    </row>
    <row r="23192" spans="1:16" x14ac:dyDescent="0.25">
      <c r="A23192" t="s">
        <v>3296</v>
      </c>
      <c r="B23192" t="s">
        <v>2931</v>
      </c>
      <c r="C23192">
        <v>4717</v>
      </c>
      <c r="D23192" t="str">
        <f>"5611533     "</f>
        <v xml:space="preserve">5611533     </v>
      </c>
      <c r="E23192" t="s">
        <v>449</v>
      </c>
      <c r="F23192" t="s">
        <v>450</v>
      </c>
      <c r="G23192">
        <v>52.78</v>
      </c>
      <c r="H23192">
        <v>250331</v>
      </c>
      <c r="I23192">
        <v>4590</v>
      </c>
      <c r="J23192" t="s">
        <v>388</v>
      </c>
      <c r="K23192">
        <v>251.29</v>
      </c>
      <c r="L23192">
        <v>10.72</v>
      </c>
      <c r="M23192">
        <v>49501</v>
      </c>
      <c r="N23192" t="s">
        <v>110</v>
      </c>
      <c r="O23192">
        <v>250415</v>
      </c>
      <c r="P23192">
        <v>42.06</v>
      </c>
    </row>
    <row r="23193" spans="1:16" x14ac:dyDescent="0.25">
      <c r="A23193" t="s">
        <v>3296</v>
      </c>
      <c r="B23193" t="s">
        <v>2931</v>
      </c>
      <c r="C23193">
        <v>5384</v>
      </c>
      <c r="D23193" t="str">
        <f>"5616899     "</f>
        <v xml:space="preserve">5616899     </v>
      </c>
      <c r="E23193" t="s">
        <v>449</v>
      </c>
      <c r="F23193" t="s">
        <v>450</v>
      </c>
      <c r="G23193">
        <v>9.1</v>
      </c>
      <c r="H23193">
        <v>250415</v>
      </c>
      <c r="I23193">
        <v>4590</v>
      </c>
      <c r="J23193" t="s">
        <v>388</v>
      </c>
      <c r="K23193">
        <v>259.85000000000002</v>
      </c>
      <c r="L23193">
        <v>1.85</v>
      </c>
      <c r="M23193">
        <v>17952</v>
      </c>
      <c r="N23193" t="s">
        <v>157</v>
      </c>
      <c r="O23193">
        <v>250424</v>
      </c>
      <c r="P23193">
        <v>7.25</v>
      </c>
    </row>
    <row r="23194" spans="1:16" x14ac:dyDescent="0.25">
      <c r="A23194" t="s">
        <v>3296</v>
      </c>
      <c r="B23194" t="s">
        <v>2931</v>
      </c>
      <c r="C23194">
        <v>6750</v>
      </c>
      <c r="D23194" t="str">
        <f>"5619811     "</f>
        <v xml:space="preserve">5619811     </v>
      </c>
      <c r="E23194" t="s">
        <v>449</v>
      </c>
      <c r="F23194" t="s">
        <v>450</v>
      </c>
      <c r="G23194">
        <v>50.77</v>
      </c>
      <c r="H23194">
        <v>250430</v>
      </c>
      <c r="I23194">
        <v>4590</v>
      </c>
      <c r="J23194" t="s">
        <v>388</v>
      </c>
      <c r="K23194">
        <v>334.19</v>
      </c>
      <c r="L23194">
        <v>10.32</v>
      </c>
      <c r="M23194">
        <v>46556</v>
      </c>
      <c r="N23194" t="s">
        <v>458</v>
      </c>
      <c r="O23194">
        <v>250516</v>
      </c>
      <c r="P23194">
        <v>40.450000000000003</v>
      </c>
    </row>
    <row r="23195" spans="1:16" x14ac:dyDescent="0.25">
      <c r="A23195" t="s">
        <v>3296</v>
      </c>
      <c r="B23195" t="s">
        <v>2931</v>
      </c>
      <c r="C23195">
        <v>10509</v>
      </c>
      <c r="D23195" t="str">
        <f>"5647885     "</f>
        <v xml:space="preserve">5647885     </v>
      </c>
      <c r="E23195" t="s">
        <v>449</v>
      </c>
      <c r="F23195" t="s">
        <v>450</v>
      </c>
      <c r="G23195">
        <v>47.45</v>
      </c>
      <c r="H23195">
        <v>250815</v>
      </c>
      <c r="I23195">
        <v>4590</v>
      </c>
      <c r="J23195" t="s">
        <v>388</v>
      </c>
      <c r="K23195">
        <v>211.23</v>
      </c>
      <c r="L23195">
        <v>9.64</v>
      </c>
      <c r="M23195">
        <v>17737</v>
      </c>
      <c r="N23195" t="s">
        <v>156</v>
      </c>
      <c r="O23195">
        <v>250820</v>
      </c>
      <c r="P23195">
        <v>37.81</v>
      </c>
    </row>
    <row r="23196" spans="1:16" x14ac:dyDescent="0.25">
      <c r="A23196" t="s">
        <v>3296</v>
      </c>
      <c r="B23196" t="s">
        <v>2931</v>
      </c>
      <c r="C23196">
        <v>10509</v>
      </c>
      <c r="D23196" t="str">
        <f>"5647885     "</f>
        <v xml:space="preserve">5647885     </v>
      </c>
      <c r="E23196" t="s">
        <v>449</v>
      </c>
      <c r="F23196" t="s">
        <v>450</v>
      </c>
      <c r="G23196">
        <v>11.04</v>
      </c>
      <c r="H23196">
        <v>250815</v>
      </c>
      <c r="I23196">
        <v>4590</v>
      </c>
      <c r="J23196" t="s">
        <v>388</v>
      </c>
      <c r="K23196">
        <v>211.23</v>
      </c>
      <c r="L23196">
        <v>2.2400000000000002</v>
      </c>
      <c r="M23196">
        <v>17952</v>
      </c>
      <c r="N23196" t="s">
        <v>157</v>
      </c>
      <c r="O23196">
        <v>250820</v>
      </c>
      <c r="P23196">
        <v>8.8000000000000007</v>
      </c>
    </row>
    <row r="23197" spans="1:16" x14ac:dyDescent="0.25">
      <c r="A23197" t="s">
        <v>3296</v>
      </c>
      <c r="B23197" t="s">
        <v>2931</v>
      </c>
      <c r="C23197">
        <v>14526</v>
      </c>
      <c r="D23197" t="str">
        <f>"5668310     "</f>
        <v xml:space="preserve">5668310     </v>
      </c>
      <c r="E23197" t="s">
        <v>449</v>
      </c>
      <c r="F23197" t="s">
        <v>450</v>
      </c>
      <c r="G23197">
        <v>23.56</v>
      </c>
      <c r="H23197">
        <v>251031</v>
      </c>
      <c r="I23197">
        <v>4590</v>
      </c>
      <c r="J23197" t="s">
        <v>388</v>
      </c>
      <c r="K23197">
        <v>82.26</v>
      </c>
      <c r="L23197">
        <v>4.79</v>
      </c>
      <c r="M23197">
        <v>17952</v>
      </c>
      <c r="N23197" t="s">
        <v>157</v>
      </c>
      <c r="O23197">
        <v>251104</v>
      </c>
      <c r="P23197">
        <v>18.77</v>
      </c>
    </row>
    <row r="23198" spans="1:16" x14ac:dyDescent="0.25">
      <c r="A23198" t="s">
        <v>3296</v>
      </c>
      <c r="B23198" t="s">
        <v>2931</v>
      </c>
      <c r="C23198">
        <v>353</v>
      </c>
      <c r="D23198" t="str">
        <f>"5594565     "</f>
        <v xml:space="preserve">5594565     </v>
      </c>
      <c r="E23198" t="s">
        <v>449</v>
      </c>
      <c r="F23198" t="s">
        <v>450</v>
      </c>
      <c r="G23198">
        <v>79.989999999999995</v>
      </c>
      <c r="H23198">
        <v>250115</v>
      </c>
      <c r="I23198">
        <v>4600</v>
      </c>
      <c r="J23198" t="s">
        <v>278</v>
      </c>
      <c r="K23198">
        <v>238.29</v>
      </c>
      <c r="L23198">
        <v>16.25</v>
      </c>
      <c r="M23198">
        <v>17131</v>
      </c>
      <c r="N23198" t="s">
        <v>154</v>
      </c>
      <c r="O23198">
        <v>250122</v>
      </c>
      <c r="P23198">
        <v>63.74</v>
      </c>
    </row>
    <row r="23199" spans="1:16" x14ac:dyDescent="0.25">
      <c r="A23199" t="s">
        <v>3296</v>
      </c>
      <c r="B23199" t="s">
        <v>2931</v>
      </c>
      <c r="C23199">
        <v>353</v>
      </c>
      <c r="D23199" t="str">
        <f>"5594565     "</f>
        <v xml:space="preserve">5594565     </v>
      </c>
      <c r="E23199" t="s">
        <v>449</v>
      </c>
      <c r="F23199" t="s">
        <v>450</v>
      </c>
      <c r="G23199">
        <v>19.05</v>
      </c>
      <c r="H23199">
        <v>250115</v>
      </c>
      <c r="I23199">
        <v>4600</v>
      </c>
      <c r="J23199" t="s">
        <v>278</v>
      </c>
      <c r="K23199">
        <v>238.29</v>
      </c>
      <c r="L23199">
        <v>3.87</v>
      </c>
      <c r="M23199">
        <v>17737</v>
      </c>
      <c r="N23199" t="s">
        <v>156</v>
      </c>
      <c r="O23199">
        <v>250122</v>
      </c>
      <c r="P23199">
        <v>15.18</v>
      </c>
    </row>
    <row r="23200" spans="1:16" x14ac:dyDescent="0.25">
      <c r="A23200" t="s">
        <v>3296</v>
      </c>
      <c r="B23200" t="s">
        <v>2931</v>
      </c>
      <c r="C23200">
        <v>353</v>
      </c>
      <c r="D23200" t="str">
        <f>"5594565     "</f>
        <v xml:space="preserve">5594565     </v>
      </c>
      <c r="E23200" t="s">
        <v>449</v>
      </c>
      <c r="F23200" t="s">
        <v>450</v>
      </c>
      <c r="G23200">
        <v>16.98</v>
      </c>
      <c r="H23200">
        <v>250115</v>
      </c>
      <c r="I23200">
        <v>4600</v>
      </c>
      <c r="J23200" t="s">
        <v>278</v>
      </c>
      <c r="K23200">
        <v>238.29</v>
      </c>
      <c r="L23200">
        <v>3.45</v>
      </c>
      <c r="M23200">
        <v>17952</v>
      </c>
      <c r="N23200" t="s">
        <v>157</v>
      </c>
      <c r="O23200">
        <v>250122</v>
      </c>
      <c r="P23200">
        <v>13.53</v>
      </c>
    </row>
    <row r="23201" spans="1:16" x14ac:dyDescent="0.25">
      <c r="A23201" t="s">
        <v>3296</v>
      </c>
      <c r="B23201" t="s">
        <v>2931</v>
      </c>
      <c r="C23201">
        <v>412</v>
      </c>
      <c r="D23201" t="str">
        <f>"5595700     "</f>
        <v xml:space="preserve">5595700     </v>
      </c>
      <c r="E23201" t="s">
        <v>449</v>
      </c>
      <c r="F23201" t="s">
        <v>450</v>
      </c>
      <c r="G23201">
        <v>134.68</v>
      </c>
      <c r="H23201">
        <v>250115</v>
      </c>
      <c r="I23201">
        <v>4600</v>
      </c>
      <c r="J23201" t="s">
        <v>278</v>
      </c>
      <c r="K23201">
        <v>134.68</v>
      </c>
      <c r="L23201">
        <v>27.37</v>
      </c>
      <c r="M23201">
        <v>13802</v>
      </c>
      <c r="N23201" t="s">
        <v>34</v>
      </c>
      <c r="O23201">
        <v>250122</v>
      </c>
      <c r="P23201">
        <v>107.31</v>
      </c>
    </row>
    <row r="23202" spans="1:16" x14ac:dyDescent="0.25">
      <c r="A23202" t="s">
        <v>3296</v>
      </c>
      <c r="B23202" t="s">
        <v>2931</v>
      </c>
      <c r="C23202">
        <v>1152</v>
      </c>
      <c r="D23202" t="str">
        <f>"5599986     "</f>
        <v xml:space="preserve">5599986     </v>
      </c>
      <c r="E23202" t="s">
        <v>449</v>
      </c>
      <c r="F23202" t="s">
        <v>450</v>
      </c>
      <c r="G23202">
        <v>23.72</v>
      </c>
      <c r="H23202">
        <v>250131</v>
      </c>
      <c r="I23202">
        <v>4600</v>
      </c>
      <c r="J23202" t="s">
        <v>278</v>
      </c>
      <c r="K23202">
        <v>23.72</v>
      </c>
      <c r="L23202">
        <v>4.82</v>
      </c>
      <c r="M23202">
        <v>13801</v>
      </c>
      <c r="N23202" t="s">
        <v>33</v>
      </c>
      <c r="O23202">
        <v>250205</v>
      </c>
      <c r="P23202">
        <v>18.899999999999999</v>
      </c>
    </row>
    <row r="23203" spans="1:16" x14ac:dyDescent="0.25">
      <c r="A23203" t="s">
        <v>3296</v>
      </c>
      <c r="B23203" t="s">
        <v>2931</v>
      </c>
      <c r="C23203">
        <v>1324</v>
      </c>
      <c r="D23203" t="str">
        <f>"5598588     "</f>
        <v xml:space="preserve">5598588     </v>
      </c>
      <c r="E23203" t="s">
        <v>449</v>
      </c>
      <c r="F23203" t="s">
        <v>450</v>
      </c>
      <c r="G23203">
        <v>85.01</v>
      </c>
      <c r="H23203">
        <v>250131</v>
      </c>
      <c r="I23203">
        <v>4600</v>
      </c>
      <c r="J23203" t="s">
        <v>278</v>
      </c>
      <c r="K23203">
        <v>186.34</v>
      </c>
      <c r="L23203">
        <v>17.27</v>
      </c>
      <c r="M23203">
        <v>17131</v>
      </c>
      <c r="N23203" t="s">
        <v>154</v>
      </c>
      <c r="O23203">
        <v>250207</v>
      </c>
      <c r="P23203">
        <v>67.739999999999995</v>
      </c>
    </row>
    <row r="23204" spans="1:16" x14ac:dyDescent="0.25">
      <c r="A23204" t="s">
        <v>3296</v>
      </c>
      <c r="B23204" t="s">
        <v>2931</v>
      </c>
      <c r="C23204">
        <v>1324</v>
      </c>
      <c r="D23204" t="str">
        <f>"5598588     "</f>
        <v xml:space="preserve">5598588     </v>
      </c>
      <c r="E23204" t="s">
        <v>449</v>
      </c>
      <c r="F23204" t="s">
        <v>450</v>
      </c>
      <c r="G23204">
        <v>88.44</v>
      </c>
      <c r="H23204">
        <v>250131</v>
      </c>
      <c r="I23204">
        <v>4600</v>
      </c>
      <c r="J23204" t="s">
        <v>278</v>
      </c>
      <c r="K23204">
        <v>186.34</v>
      </c>
      <c r="L23204">
        <v>17.97</v>
      </c>
      <c r="M23204">
        <v>17737</v>
      </c>
      <c r="N23204" t="s">
        <v>156</v>
      </c>
      <c r="O23204">
        <v>250207</v>
      </c>
      <c r="P23204">
        <v>70.47</v>
      </c>
    </row>
    <row r="23205" spans="1:16" x14ac:dyDescent="0.25">
      <c r="A23205" t="s">
        <v>3296</v>
      </c>
      <c r="B23205" t="s">
        <v>2931</v>
      </c>
      <c r="C23205">
        <v>1324</v>
      </c>
      <c r="D23205" t="str">
        <f>"5598588     "</f>
        <v xml:space="preserve">5598588     </v>
      </c>
      <c r="E23205" t="s">
        <v>449</v>
      </c>
      <c r="F23205" t="s">
        <v>450</v>
      </c>
      <c r="G23205">
        <v>9.2899999999999991</v>
      </c>
      <c r="H23205">
        <v>250131</v>
      </c>
      <c r="I23205">
        <v>4600</v>
      </c>
      <c r="J23205" t="s">
        <v>278</v>
      </c>
      <c r="K23205">
        <v>186.34</v>
      </c>
      <c r="L23205">
        <v>1.89</v>
      </c>
      <c r="M23205">
        <v>17912</v>
      </c>
      <c r="N23205" t="s">
        <v>505</v>
      </c>
      <c r="O23205">
        <v>250207</v>
      </c>
      <c r="P23205">
        <v>7.4</v>
      </c>
    </row>
    <row r="23206" spans="1:16" x14ac:dyDescent="0.25">
      <c r="A23206" t="s">
        <v>3296</v>
      </c>
      <c r="B23206" t="s">
        <v>2931</v>
      </c>
      <c r="C23206">
        <v>1617</v>
      </c>
      <c r="D23206" t="str">
        <f>"5597370     "</f>
        <v xml:space="preserve">5597370     </v>
      </c>
      <c r="E23206" t="s">
        <v>449</v>
      </c>
      <c r="F23206" t="s">
        <v>450</v>
      </c>
      <c r="G23206">
        <v>55.96</v>
      </c>
      <c r="H23206">
        <v>250131</v>
      </c>
      <c r="I23206">
        <v>4600</v>
      </c>
      <c r="J23206" t="s">
        <v>278</v>
      </c>
      <c r="K23206">
        <v>300.81</v>
      </c>
      <c r="L23206">
        <v>11.37</v>
      </c>
      <c r="M23206">
        <v>13802</v>
      </c>
      <c r="N23206" t="s">
        <v>34</v>
      </c>
      <c r="O23206">
        <v>250211</v>
      </c>
      <c r="P23206">
        <v>44.59</v>
      </c>
    </row>
    <row r="23207" spans="1:16" x14ac:dyDescent="0.25">
      <c r="A23207" t="s">
        <v>3296</v>
      </c>
      <c r="B23207" t="s">
        <v>2931</v>
      </c>
      <c r="C23207">
        <v>1617</v>
      </c>
      <c r="D23207" t="str">
        <f>"5597370     "</f>
        <v xml:space="preserve">5597370     </v>
      </c>
      <c r="E23207" t="s">
        <v>449</v>
      </c>
      <c r="F23207" t="s">
        <v>450</v>
      </c>
      <c r="G23207">
        <v>14.38</v>
      </c>
      <c r="H23207">
        <v>250131</v>
      </c>
      <c r="I23207">
        <v>4600</v>
      </c>
      <c r="J23207" t="s">
        <v>278</v>
      </c>
      <c r="K23207">
        <v>300.81</v>
      </c>
      <c r="L23207">
        <v>2.92</v>
      </c>
      <c r="M23207">
        <v>54222</v>
      </c>
      <c r="N23207" t="s">
        <v>48</v>
      </c>
      <c r="O23207">
        <v>250211</v>
      </c>
      <c r="P23207">
        <v>11.46</v>
      </c>
    </row>
    <row r="23208" spans="1:16" x14ac:dyDescent="0.25">
      <c r="A23208" t="s">
        <v>3296</v>
      </c>
      <c r="B23208" t="s">
        <v>2931</v>
      </c>
      <c r="C23208">
        <v>1617</v>
      </c>
      <c r="D23208" t="str">
        <f>"5597370     "</f>
        <v xml:space="preserve">5597370     </v>
      </c>
      <c r="E23208" t="s">
        <v>449</v>
      </c>
      <c r="F23208" t="s">
        <v>450</v>
      </c>
      <c r="G23208">
        <v>104.87</v>
      </c>
      <c r="H23208">
        <v>250131</v>
      </c>
      <c r="I23208">
        <v>4600</v>
      </c>
      <c r="J23208" t="s">
        <v>278</v>
      </c>
      <c r="K23208">
        <v>300.81</v>
      </c>
      <c r="L23208">
        <v>21.31</v>
      </c>
      <c r="M23208">
        <v>54222</v>
      </c>
      <c r="N23208" t="s">
        <v>48</v>
      </c>
      <c r="O23208">
        <v>250211</v>
      </c>
      <c r="P23208">
        <v>83.56</v>
      </c>
    </row>
    <row r="23209" spans="1:16" x14ac:dyDescent="0.25">
      <c r="A23209" t="s">
        <v>3296</v>
      </c>
      <c r="B23209" t="s">
        <v>2931</v>
      </c>
      <c r="C23209">
        <v>1617</v>
      </c>
      <c r="D23209" t="str">
        <f>"5597370     "</f>
        <v xml:space="preserve">5597370     </v>
      </c>
      <c r="E23209" t="s">
        <v>449</v>
      </c>
      <c r="F23209" t="s">
        <v>450</v>
      </c>
      <c r="G23209">
        <v>4.16</v>
      </c>
      <c r="H23209">
        <v>250131</v>
      </c>
      <c r="I23209">
        <v>4600</v>
      </c>
      <c r="J23209" t="s">
        <v>278</v>
      </c>
      <c r="K23209">
        <v>300.81</v>
      </c>
      <c r="L23209">
        <v>0.85</v>
      </c>
      <c r="M23209">
        <v>56564</v>
      </c>
      <c r="N23209" t="s">
        <v>56</v>
      </c>
      <c r="O23209">
        <v>250211</v>
      </c>
      <c r="P23209">
        <v>3.31</v>
      </c>
    </row>
    <row r="23210" spans="1:16" x14ac:dyDescent="0.25">
      <c r="A23210" t="s">
        <v>3296</v>
      </c>
      <c r="B23210" t="s">
        <v>2931</v>
      </c>
      <c r="C23210">
        <v>1617</v>
      </c>
      <c r="D23210" t="str">
        <f>"5597370     "</f>
        <v xml:space="preserve">5597370     </v>
      </c>
      <c r="E23210" t="s">
        <v>449</v>
      </c>
      <c r="F23210" t="s">
        <v>450</v>
      </c>
      <c r="G23210">
        <v>19.170000000000002</v>
      </c>
      <c r="H23210">
        <v>250131</v>
      </c>
      <c r="I23210">
        <v>4600</v>
      </c>
      <c r="J23210" t="s">
        <v>278</v>
      </c>
      <c r="K23210">
        <v>300.81</v>
      </c>
      <c r="L23210">
        <v>3.9</v>
      </c>
      <c r="M23210">
        <v>56566</v>
      </c>
      <c r="N23210" t="s">
        <v>58</v>
      </c>
      <c r="O23210">
        <v>250211</v>
      </c>
      <c r="P23210">
        <v>15.27</v>
      </c>
    </row>
    <row r="23211" spans="1:16" x14ac:dyDescent="0.25">
      <c r="A23211" t="s">
        <v>3296</v>
      </c>
      <c r="B23211" t="s">
        <v>2931</v>
      </c>
      <c r="C23211">
        <v>1784</v>
      </c>
      <c r="D23211" t="str">
        <f>"5596936     "</f>
        <v xml:space="preserve">5596936     </v>
      </c>
      <c r="E23211" t="s">
        <v>449</v>
      </c>
      <c r="F23211" t="s">
        <v>450</v>
      </c>
      <c r="G23211">
        <v>176.65</v>
      </c>
      <c r="H23211">
        <v>250131</v>
      </c>
      <c r="I23211">
        <v>4600</v>
      </c>
      <c r="J23211" t="s">
        <v>278</v>
      </c>
      <c r="K23211">
        <v>749.95</v>
      </c>
      <c r="L23211">
        <v>35.89</v>
      </c>
      <c r="M23211">
        <v>46554</v>
      </c>
      <c r="N23211" t="s">
        <v>102</v>
      </c>
      <c r="O23211">
        <v>250214</v>
      </c>
      <c r="P23211">
        <v>140.76</v>
      </c>
    </row>
    <row r="23212" spans="1:16" x14ac:dyDescent="0.25">
      <c r="A23212" t="s">
        <v>3296</v>
      </c>
      <c r="B23212" t="s">
        <v>2931</v>
      </c>
      <c r="C23212">
        <v>1784</v>
      </c>
      <c r="D23212" t="str">
        <f>"5596936     "</f>
        <v xml:space="preserve">5596936     </v>
      </c>
      <c r="E23212" t="s">
        <v>449</v>
      </c>
      <c r="F23212" t="s">
        <v>450</v>
      </c>
      <c r="G23212">
        <v>21.27</v>
      </c>
      <c r="H23212">
        <v>250131</v>
      </c>
      <c r="I23212">
        <v>4600</v>
      </c>
      <c r="J23212" t="s">
        <v>278</v>
      </c>
      <c r="K23212">
        <v>749.95</v>
      </c>
      <c r="L23212">
        <v>4.32</v>
      </c>
      <c r="M23212">
        <v>47522</v>
      </c>
      <c r="N23212" t="s">
        <v>106</v>
      </c>
      <c r="O23212">
        <v>250214</v>
      </c>
      <c r="P23212">
        <v>16.95</v>
      </c>
    </row>
    <row r="23213" spans="1:16" x14ac:dyDescent="0.25">
      <c r="A23213" t="s">
        <v>3296</v>
      </c>
      <c r="B23213" t="s">
        <v>2931</v>
      </c>
      <c r="C23213">
        <v>1784</v>
      </c>
      <c r="D23213" t="str">
        <f>"5596936     "</f>
        <v xml:space="preserve">5596936     </v>
      </c>
      <c r="E23213" t="s">
        <v>449</v>
      </c>
      <c r="F23213" t="s">
        <v>450</v>
      </c>
      <c r="G23213">
        <v>56.14</v>
      </c>
      <c r="H23213">
        <v>250131</v>
      </c>
      <c r="I23213">
        <v>4600</v>
      </c>
      <c r="J23213" t="s">
        <v>278</v>
      </c>
      <c r="K23213">
        <v>749.95</v>
      </c>
      <c r="L23213">
        <v>11.41</v>
      </c>
      <c r="M23213">
        <v>49111</v>
      </c>
      <c r="N23213" t="s">
        <v>108</v>
      </c>
      <c r="O23213">
        <v>250214</v>
      </c>
      <c r="P23213">
        <v>44.73</v>
      </c>
    </row>
    <row r="23214" spans="1:16" x14ac:dyDescent="0.25">
      <c r="A23214" t="s">
        <v>3296</v>
      </c>
      <c r="B23214" t="s">
        <v>2931</v>
      </c>
      <c r="C23214">
        <v>1784</v>
      </c>
      <c r="D23214" t="str">
        <f>"5596936     "</f>
        <v xml:space="preserve">5596936     </v>
      </c>
      <c r="E23214" t="s">
        <v>449</v>
      </c>
      <c r="F23214" t="s">
        <v>450</v>
      </c>
      <c r="G23214">
        <v>184.9</v>
      </c>
      <c r="H23214">
        <v>250131</v>
      </c>
      <c r="I23214">
        <v>4600</v>
      </c>
      <c r="J23214" t="s">
        <v>278</v>
      </c>
      <c r="K23214">
        <v>749.95</v>
      </c>
      <c r="L23214">
        <v>37.57</v>
      </c>
      <c r="M23214">
        <v>49501</v>
      </c>
      <c r="N23214" t="s">
        <v>110</v>
      </c>
      <c r="O23214">
        <v>250214</v>
      </c>
      <c r="P23214">
        <v>147.33000000000001</v>
      </c>
    </row>
    <row r="23215" spans="1:16" x14ac:dyDescent="0.25">
      <c r="A23215" t="s">
        <v>3296</v>
      </c>
      <c r="B23215" t="s">
        <v>2931</v>
      </c>
      <c r="C23215">
        <v>1784</v>
      </c>
      <c r="D23215" t="str">
        <f>"5596936     "</f>
        <v xml:space="preserve">5596936     </v>
      </c>
      <c r="E23215" t="s">
        <v>449</v>
      </c>
      <c r="F23215" t="s">
        <v>450</v>
      </c>
      <c r="G23215">
        <v>7.56</v>
      </c>
      <c r="H23215">
        <v>250131</v>
      </c>
      <c r="I23215">
        <v>4600</v>
      </c>
      <c r="J23215" t="s">
        <v>278</v>
      </c>
      <c r="K23215">
        <v>749.95</v>
      </c>
      <c r="L23215">
        <v>1.54</v>
      </c>
      <c r="M23215">
        <v>49705</v>
      </c>
      <c r="N23215" t="s">
        <v>114</v>
      </c>
      <c r="O23215">
        <v>250214</v>
      </c>
      <c r="P23215">
        <v>6.02</v>
      </c>
    </row>
    <row r="23216" spans="1:16" x14ac:dyDescent="0.25">
      <c r="A23216" t="s">
        <v>3296</v>
      </c>
      <c r="B23216" t="s">
        <v>2931</v>
      </c>
      <c r="C23216">
        <v>1785</v>
      </c>
      <c r="D23216" t="str">
        <f t="shared" ref="D23216:D23221" si="530">"5599272     "</f>
        <v xml:space="preserve">5599272     </v>
      </c>
      <c r="E23216" t="s">
        <v>449</v>
      </c>
      <c r="F23216" t="s">
        <v>450</v>
      </c>
      <c r="G23216">
        <v>19.98</v>
      </c>
      <c r="H23216">
        <v>250131</v>
      </c>
      <c r="I23216">
        <v>4600</v>
      </c>
      <c r="J23216" t="s">
        <v>278</v>
      </c>
      <c r="K23216">
        <v>294.14</v>
      </c>
      <c r="L23216">
        <v>4.0599999999999996</v>
      </c>
      <c r="M23216">
        <v>13501</v>
      </c>
      <c r="N23216" t="s">
        <v>66</v>
      </c>
      <c r="O23216">
        <v>250214</v>
      </c>
      <c r="P23216">
        <v>15.92</v>
      </c>
    </row>
    <row r="23217" spans="1:16" x14ac:dyDescent="0.25">
      <c r="A23217" t="s">
        <v>3296</v>
      </c>
      <c r="B23217" t="s">
        <v>2931</v>
      </c>
      <c r="C23217">
        <v>1785</v>
      </c>
      <c r="D23217" t="str">
        <f t="shared" si="530"/>
        <v xml:space="preserve">5599272     </v>
      </c>
      <c r="E23217" t="s">
        <v>449</v>
      </c>
      <c r="F23217" t="s">
        <v>450</v>
      </c>
      <c r="G23217">
        <v>7.12</v>
      </c>
      <c r="H23217">
        <v>250131</v>
      </c>
      <c r="I23217">
        <v>4600</v>
      </c>
      <c r="J23217" t="s">
        <v>278</v>
      </c>
      <c r="K23217">
        <v>294.14</v>
      </c>
      <c r="L23217">
        <v>1.45</v>
      </c>
      <c r="M23217">
        <v>17521</v>
      </c>
      <c r="N23217" t="s">
        <v>136</v>
      </c>
      <c r="O23217">
        <v>250214</v>
      </c>
      <c r="P23217">
        <v>5.67</v>
      </c>
    </row>
    <row r="23218" spans="1:16" x14ac:dyDescent="0.25">
      <c r="A23218" t="s">
        <v>3296</v>
      </c>
      <c r="B23218" t="s">
        <v>2931</v>
      </c>
      <c r="C23218">
        <v>1785</v>
      </c>
      <c r="D23218" t="str">
        <f t="shared" si="530"/>
        <v xml:space="preserve">5599272     </v>
      </c>
      <c r="E23218" t="s">
        <v>449</v>
      </c>
      <c r="F23218" t="s">
        <v>450</v>
      </c>
      <c r="G23218">
        <v>167.01</v>
      </c>
      <c r="H23218">
        <v>250131</v>
      </c>
      <c r="I23218">
        <v>4600</v>
      </c>
      <c r="J23218" t="s">
        <v>278</v>
      </c>
      <c r="K23218">
        <v>294.14</v>
      </c>
      <c r="L23218">
        <v>33.93</v>
      </c>
      <c r="M23218">
        <v>17529</v>
      </c>
      <c r="N23218" t="s">
        <v>143</v>
      </c>
      <c r="O23218">
        <v>250214</v>
      </c>
      <c r="P23218">
        <v>133.08000000000001</v>
      </c>
    </row>
    <row r="23219" spans="1:16" x14ac:dyDescent="0.25">
      <c r="A23219" t="s">
        <v>3296</v>
      </c>
      <c r="B23219" t="s">
        <v>2931</v>
      </c>
      <c r="C23219">
        <v>1785</v>
      </c>
      <c r="D23219" t="str">
        <f t="shared" si="530"/>
        <v xml:space="preserve">5599272     </v>
      </c>
      <c r="E23219" t="s">
        <v>449</v>
      </c>
      <c r="F23219" t="s">
        <v>450</v>
      </c>
      <c r="G23219">
        <v>7.56</v>
      </c>
      <c r="H23219">
        <v>250131</v>
      </c>
      <c r="I23219">
        <v>4600</v>
      </c>
      <c r="J23219" t="s">
        <v>278</v>
      </c>
      <c r="K23219">
        <v>294.14</v>
      </c>
      <c r="L23219">
        <v>1.54</v>
      </c>
      <c r="M23219">
        <v>17538</v>
      </c>
      <c r="N23219" t="s">
        <v>129</v>
      </c>
      <c r="O23219">
        <v>250214</v>
      </c>
      <c r="P23219">
        <v>6.02</v>
      </c>
    </row>
    <row r="23220" spans="1:16" x14ac:dyDescent="0.25">
      <c r="A23220" t="s">
        <v>3296</v>
      </c>
      <c r="B23220" t="s">
        <v>2931</v>
      </c>
      <c r="C23220">
        <v>1785</v>
      </c>
      <c r="D23220" t="str">
        <f t="shared" si="530"/>
        <v xml:space="preserve">5599272     </v>
      </c>
      <c r="E23220" t="s">
        <v>449</v>
      </c>
      <c r="F23220" t="s">
        <v>450</v>
      </c>
      <c r="G23220">
        <v>23.92</v>
      </c>
      <c r="H23220">
        <v>250131</v>
      </c>
      <c r="I23220">
        <v>4600</v>
      </c>
      <c r="J23220" t="s">
        <v>278</v>
      </c>
      <c r="K23220">
        <v>294.14</v>
      </c>
      <c r="L23220">
        <v>2.94</v>
      </c>
      <c r="M23220">
        <v>17971</v>
      </c>
      <c r="N23220" t="s">
        <v>27</v>
      </c>
      <c r="O23220">
        <v>250214</v>
      </c>
      <c r="P23220">
        <v>20.98</v>
      </c>
    </row>
    <row r="23221" spans="1:16" x14ac:dyDescent="0.25">
      <c r="A23221" t="s">
        <v>3296</v>
      </c>
      <c r="B23221" t="s">
        <v>2931</v>
      </c>
      <c r="C23221">
        <v>1785</v>
      </c>
      <c r="D23221" t="str">
        <f t="shared" si="530"/>
        <v xml:space="preserve">5599272     </v>
      </c>
      <c r="E23221" t="s">
        <v>449</v>
      </c>
      <c r="F23221" t="s">
        <v>450</v>
      </c>
      <c r="G23221">
        <v>28.58</v>
      </c>
      <c r="H23221">
        <v>250131</v>
      </c>
      <c r="I23221">
        <v>4600</v>
      </c>
      <c r="J23221" t="s">
        <v>278</v>
      </c>
      <c r="K23221">
        <v>294.14</v>
      </c>
      <c r="L23221">
        <v>5.81</v>
      </c>
      <c r="M23221">
        <v>17971</v>
      </c>
      <c r="N23221" t="s">
        <v>27</v>
      </c>
      <c r="O23221">
        <v>250214</v>
      </c>
      <c r="P23221">
        <v>22.77</v>
      </c>
    </row>
    <row r="23222" spans="1:16" x14ac:dyDescent="0.25">
      <c r="A23222" t="s">
        <v>3296</v>
      </c>
      <c r="B23222" t="s">
        <v>2931</v>
      </c>
      <c r="C23222">
        <v>2166</v>
      </c>
      <c r="D23222" t="str">
        <f>"5602245     "</f>
        <v xml:space="preserve">5602245     </v>
      </c>
      <c r="E23222" t="s">
        <v>449</v>
      </c>
      <c r="F23222" t="s">
        <v>450</v>
      </c>
      <c r="G23222">
        <v>41.37</v>
      </c>
      <c r="H23222">
        <v>250215</v>
      </c>
      <c r="I23222">
        <v>4600</v>
      </c>
      <c r="J23222" t="s">
        <v>278</v>
      </c>
      <c r="K23222">
        <v>149.58000000000001</v>
      </c>
      <c r="L23222">
        <v>8.41</v>
      </c>
      <c r="M23222">
        <v>17952</v>
      </c>
      <c r="N23222" t="s">
        <v>157</v>
      </c>
      <c r="O23222">
        <v>250220</v>
      </c>
      <c r="P23222">
        <v>32.96</v>
      </c>
    </row>
    <row r="23223" spans="1:16" x14ac:dyDescent="0.25">
      <c r="A23223" t="s">
        <v>3296</v>
      </c>
      <c r="B23223" t="s">
        <v>2931</v>
      </c>
      <c r="C23223">
        <v>2166</v>
      </c>
      <c r="D23223" t="str">
        <f>"5602245     "</f>
        <v xml:space="preserve">5602245     </v>
      </c>
      <c r="E23223" t="s">
        <v>449</v>
      </c>
      <c r="F23223" t="s">
        <v>450</v>
      </c>
      <c r="G23223">
        <v>6.29</v>
      </c>
      <c r="H23223">
        <v>250215</v>
      </c>
      <c r="I23223">
        <v>4600</v>
      </c>
      <c r="J23223" t="s">
        <v>278</v>
      </c>
      <c r="K23223">
        <v>149.58000000000001</v>
      </c>
      <c r="L23223">
        <v>1.28</v>
      </c>
      <c r="M23223">
        <v>17972</v>
      </c>
      <c r="N23223" t="s">
        <v>28</v>
      </c>
      <c r="O23223">
        <v>250220</v>
      </c>
      <c r="P23223">
        <v>5.01</v>
      </c>
    </row>
    <row r="23224" spans="1:16" x14ac:dyDescent="0.25">
      <c r="A23224" t="s">
        <v>3296</v>
      </c>
      <c r="B23224" t="s">
        <v>2931</v>
      </c>
      <c r="C23224">
        <v>2166</v>
      </c>
      <c r="D23224" t="str">
        <f>"5602245     "</f>
        <v xml:space="preserve">5602245     </v>
      </c>
      <c r="E23224" t="s">
        <v>449</v>
      </c>
      <c r="F23224" t="s">
        <v>450</v>
      </c>
      <c r="G23224">
        <v>49.02</v>
      </c>
      <c r="H23224">
        <v>250215</v>
      </c>
      <c r="I23224">
        <v>4600</v>
      </c>
      <c r="J23224" t="s">
        <v>278</v>
      </c>
      <c r="K23224">
        <v>149.58000000000001</v>
      </c>
      <c r="L23224">
        <v>9.9600000000000009</v>
      </c>
      <c r="M23224">
        <v>17972</v>
      </c>
      <c r="N23224" t="s">
        <v>28</v>
      </c>
      <c r="O23224">
        <v>250220</v>
      </c>
      <c r="P23224">
        <v>39.06</v>
      </c>
    </row>
    <row r="23225" spans="1:16" x14ac:dyDescent="0.25">
      <c r="A23225" t="s">
        <v>3296</v>
      </c>
      <c r="B23225" t="s">
        <v>2931</v>
      </c>
      <c r="C23225">
        <v>2206</v>
      </c>
      <c r="D23225" t="str">
        <f>"5602852     "</f>
        <v xml:space="preserve">5602852     </v>
      </c>
      <c r="E23225" t="s">
        <v>449</v>
      </c>
      <c r="F23225" t="s">
        <v>450</v>
      </c>
      <c r="G23225">
        <v>23.88</v>
      </c>
      <c r="H23225">
        <v>250215</v>
      </c>
      <c r="I23225">
        <v>4600</v>
      </c>
      <c r="J23225" t="s">
        <v>278</v>
      </c>
      <c r="K23225">
        <v>307.45</v>
      </c>
      <c r="L23225">
        <v>4.8499999999999996</v>
      </c>
      <c r="M23225">
        <v>13501</v>
      </c>
      <c r="N23225" t="s">
        <v>66</v>
      </c>
      <c r="O23225">
        <v>250221</v>
      </c>
      <c r="P23225">
        <v>19.03</v>
      </c>
    </row>
    <row r="23226" spans="1:16" x14ac:dyDescent="0.25">
      <c r="A23226" t="s">
        <v>3296</v>
      </c>
      <c r="B23226" t="s">
        <v>2931</v>
      </c>
      <c r="C23226">
        <v>2206</v>
      </c>
      <c r="D23226" t="str">
        <f>"5602852     "</f>
        <v xml:space="preserve">5602852     </v>
      </c>
      <c r="E23226" t="s">
        <v>449</v>
      </c>
      <c r="F23226" t="s">
        <v>450</v>
      </c>
      <c r="G23226">
        <v>10.76</v>
      </c>
      <c r="H23226">
        <v>250215</v>
      </c>
      <c r="I23226">
        <v>4600</v>
      </c>
      <c r="J23226" t="s">
        <v>278</v>
      </c>
      <c r="K23226">
        <v>307.45</v>
      </c>
      <c r="L23226">
        <v>2.19</v>
      </c>
      <c r="M23226">
        <v>17524</v>
      </c>
      <c r="N23226" t="s">
        <v>139</v>
      </c>
      <c r="O23226">
        <v>250221</v>
      </c>
      <c r="P23226">
        <v>8.57</v>
      </c>
    </row>
    <row r="23227" spans="1:16" x14ac:dyDescent="0.25">
      <c r="A23227" t="s">
        <v>3296</v>
      </c>
      <c r="B23227" t="s">
        <v>2931</v>
      </c>
      <c r="C23227">
        <v>2206</v>
      </c>
      <c r="D23227" t="str">
        <f>"5602852     "</f>
        <v xml:space="preserve">5602852     </v>
      </c>
      <c r="E23227" t="s">
        <v>449</v>
      </c>
      <c r="F23227" t="s">
        <v>450</v>
      </c>
      <c r="G23227">
        <v>71.48</v>
      </c>
      <c r="H23227">
        <v>250215</v>
      </c>
      <c r="I23227">
        <v>4600</v>
      </c>
      <c r="J23227" t="s">
        <v>278</v>
      </c>
      <c r="K23227">
        <v>307.45</v>
      </c>
      <c r="L23227">
        <v>14.52</v>
      </c>
      <c r="M23227">
        <v>17532</v>
      </c>
      <c r="N23227" t="s">
        <v>146</v>
      </c>
      <c r="O23227">
        <v>250221</v>
      </c>
      <c r="P23227">
        <v>56.96</v>
      </c>
    </row>
    <row r="23228" spans="1:16" x14ac:dyDescent="0.25">
      <c r="A23228" t="s">
        <v>3296</v>
      </c>
      <c r="B23228" t="s">
        <v>2931</v>
      </c>
      <c r="C23228">
        <v>2206</v>
      </c>
      <c r="D23228" t="str">
        <f>"5602852     "</f>
        <v xml:space="preserve">5602852     </v>
      </c>
      <c r="E23228" t="s">
        <v>449</v>
      </c>
      <c r="F23228" t="s">
        <v>450</v>
      </c>
      <c r="G23228">
        <v>31.43</v>
      </c>
      <c r="H23228">
        <v>250215</v>
      </c>
      <c r="I23228">
        <v>4600</v>
      </c>
      <c r="J23228" t="s">
        <v>278</v>
      </c>
      <c r="K23228">
        <v>307.45</v>
      </c>
      <c r="L23228">
        <v>6.39</v>
      </c>
      <c r="M23228">
        <v>17533</v>
      </c>
      <c r="N23228" t="s">
        <v>147</v>
      </c>
      <c r="O23228">
        <v>250221</v>
      </c>
      <c r="P23228">
        <v>25.04</v>
      </c>
    </row>
    <row r="23229" spans="1:16" x14ac:dyDescent="0.25">
      <c r="A23229" t="s">
        <v>3296</v>
      </c>
      <c r="B23229" t="s">
        <v>2931</v>
      </c>
      <c r="C23229">
        <v>2206</v>
      </c>
      <c r="D23229" t="str">
        <f>"5602852     "</f>
        <v xml:space="preserve">5602852     </v>
      </c>
      <c r="E23229" t="s">
        <v>449</v>
      </c>
      <c r="F23229" t="s">
        <v>450</v>
      </c>
      <c r="G23229">
        <v>106.3</v>
      </c>
      <c r="H23229">
        <v>250215</v>
      </c>
      <c r="I23229">
        <v>4600</v>
      </c>
      <c r="J23229" t="s">
        <v>278</v>
      </c>
      <c r="K23229">
        <v>307.45</v>
      </c>
      <c r="L23229">
        <v>21.6</v>
      </c>
      <c r="M23229">
        <v>17538</v>
      </c>
      <c r="N23229" t="s">
        <v>129</v>
      </c>
      <c r="O23229">
        <v>250221</v>
      </c>
      <c r="P23229">
        <v>84.7</v>
      </c>
    </row>
    <row r="23230" spans="1:16" x14ac:dyDescent="0.25">
      <c r="A23230" t="s">
        <v>3296</v>
      </c>
      <c r="B23230" t="s">
        <v>2931</v>
      </c>
      <c r="C23230">
        <v>2735</v>
      </c>
      <c r="D23230" t="str">
        <f>"5606048     "</f>
        <v xml:space="preserve">5606048     </v>
      </c>
      <c r="E23230" t="s">
        <v>449</v>
      </c>
      <c r="F23230" t="s">
        <v>450</v>
      </c>
      <c r="G23230">
        <v>71.91</v>
      </c>
      <c r="H23230">
        <v>250228</v>
      </c>
      <c r="I23230">
        <v>4600</v>
      </c>
      <c r="J23230" t="s">
        <v>278</v>
      </c>
      <c r="K23230">
        <v>157.88</v>
      </c>
      <c r="L23230">
        <v>14.61</v>
      </c>
      <c r="M23230">
        <v>17915</v>
      </c>
      <c r="N23230" t="s">
        <v>305</v>
      </c>
      <c r="O23230">
        <v>250311</v>
      </c>
      <c r="P23230">
        <v>57.3</v>
      </c>
    </row>
    <row r="23231" spans="1:16" x14ac:dyDescent="0.25">
      <c r="A23231" t="s">
        <v>3296</v>
      </c>
      <c r="B23231" t="s">
        <v>2931</v>
      </c>
      <c r="C23231">
        <v>2735</v>
      </c>
      <c r="D23231" t="str">
        <f>"5606048     "</f>
        <v xml:space="preserve">5606048     </v>
      </c>
      <c r="E23231" t="s">
        <v>449</v>
      </c>
      <c r="F23231" t="s">
        <v>450</v>
      </c>
      <c r="G23231">
        <v>24.76</v>
      </c>
      <c r="H23231">
        <v>250228</v>
      </c>
      <c r="I23231">
        <v>4600</v>
      </c>
      <c r="J23231" t="s">
        <v>278</v>
      </c>
      <c r="K23231">
        <v>157.88</v>
      </c>
      <c r="L23231">
        <v>5.03</v>
      </c>
      <c r="M23231">
        <v>17952</v>
      </c>
      <c r="N23231" t="s">
        <v>157</v>
      </c>
      <c r="O23231">
        <v>250311</v>
      </c>
      <c r="P23231">
        <v>19.73</v>
      </c>
    </row>
    <row r="23232" spans="1:16" x14ac:dyDescent="0.25">
      <c r="A23232" t="s">
        <v>3296</v>
      </c>
      <c r="B23232" t="s">
        <v>2931</v>
      </c>
      <c r="C23232">
        <v>2766</v>
      </c>
      <c r="D23232" t="str">
        <f>"5604706     "</f>
        <v xml:space="preserve">5604706     </v>
      </c>
      <c r="E23232" t="s">
        <v>449</v>
      </c>
      <c r="F23232" t="s">
        <v>450</v>
      </c>
      <c r="G23232">
        <v>40.159999999999997</v>
      </c>
      <c r="H23232">
        <v>250228</v>
      </c>
      <c r="I23232">
        <v>4600</v>
      </c>
      <c r="J23232" t="s">
        <v>278</v>
      </c>
      <c r="K23232">
        <v>221.48</v>
      </c>
      <c r="L23232">
        <v>8.16</v>
      </c>
      <c r="M23232">
        <v>46222</v>
      </c>
      <c r="N23232" t="s">
        <v>101</v>
      </c>
      <c r="O23232">
        <v>250311</v>
      </c>
      <c r="P23232">
        <v>32</v>
      </c>
    </row>
    <row r="23233" spans="1:16" x14ac:dyDescent="0.25">
      <c r="A23233" t="s">
        <v>3296</v>
      </c>
      <c r="B23233" t="s">
        <v>2931</v>
      </c>
      <c r="C23233">
        <v>2766</v>
      </c>
      <c r="D23233" t="str">
        <f>"5604706     "</f>
        <v xml:space="preserve">5604706     </v>
      </c>
      <c r="E23233" t="s">
        <v>449</v>
      </c>
      <c r="F23233" t="s">
        <v>450</v>
      </c>
      <c r="G23233">
        <v>48.5</v>
      </c>
      <c r="H23233">
        <v>250228</v>
      </c>
      <c r="I23233">
        <v>4600</v>
      </c>
      <c r="J23233" t="s">
        <v>278</v>
      </c>
      <c r="K23233">
        <v>221.48</v>
      </c>
      <c r="L23233">
        <v>9.85</v>
      </c>
      <c r="M23233">
        <v>46557</v>
      </c>
      <c r="N23233" t="s">
        <v>104</v>
      </c>
      <c r="O23233">
        <v>250311</v>
      </c>
      <c r="P23233">
        <v>38.65</v>
      </c>
    </row>
    <row r="23234" spans="1:16" x14ac:dyDescent="0.25">
      <c r="A23234" t="s">
        <v>3296</v>
      </c>
      <c r="B23234" t="s">
        <v>2931</v>
      </c>
      <c r="C23234">
        <v>2766</v>
      </c>
      <c r="D23234" t="str">
        <f>"5604706     "</f>
        <v xml:space="preserve">5604706     </v>
      </c>
      <c r="E23234" t="s">
        <v>449</v>
      </c>
      <c r="F23234" t="s">
        <v>450</v>
      </c>
      <c r="G23234">
        <v>11.4</v>
      </c>
      <c r="H23234">
        <v>250228</v>
      </c>
      <c r="I23234">
        <v>4600</v>
      </c>
      <c r="J23234" t="s">
        <v>278</v>
      </c>
      <c r="K23234">
        <v>221.48</v>
      </c>
      <c r="L23234">
        <v>2.3199999999999998</v>
      </c>
      <c r="M23234">
        <v>47522</v>
      </c>
      <c r="N23234" t="s">
        <v>106</v>
      </c>
      <c r="O23234">
        <v>250311</v>
      </c>
      <c r="P23234">
        <v>9.08</v>
      </c>
    </row>
    <row r="23235" spans="1:16" x14ac:dyDescent="0.25">
      <c r="A23235" t="s">
        <v>3296</v>
      </c>
      <c r="B23235" t="s">
        <v>2931</v>
      </c>
      <c r="C23235">
        <v>2766</v>
      </c>
      <c r="D23235" t="str">
        <f>"5604706     "</f>
        <v xml:space="preserve">5604706     </v>
      </c>
      <c r="E23235" t="s">
        <v>449</v>
      </c>
      <c r="F23235" t="s">
        <v>450</v>
      </c>
      <c r="G23235">
        <v>49.03</v>
      </c>
      <c r="H23235">
        <v>250228</v>
      </c>
      <c r="I23235">
        <v>4600</v>
      </c>
      <c r="J23235" t="s">
        <v>278</v>
      </c>
      <c r="K23235">
        <v>221.48</v>
      </c>
      <c r="L23235">
        <v>9.9600000000000009</v>
      </c>
      <c r="M23235">
        <v>49501</v>
      </c>
      <c r="N23235" t="s">
        <v>110</v>
      </c>
      <c r="O23235">
        <v>250311</v>
      </c>
      <c r="P23235">
        <v>39.07</v>
      </c>
    </row>
    <row r="23236" spans="1:16" x14ac:dyDescent="0.25">
      <c r="A23236" t="s">
        <v>3296</v>
      </c>
      <c r="B23236" t="s">
        <v>2931</v>
      </c>
      <c r="C23236">
        <v>2766</v>
      </c>
      <c r="D23236" t="str">
        <f>"5604706     "</f>
        <v xml:space="preserve">5604706     </v>
      </c>
      <c r="E23236" t="s">
        <v>449</v>
      </c>
      <c r="F23236" t="s">
        <v>450</v>
      </c>
      <c r="G23236">
        <v>3.07</v>
      </c>
      <c r="H23236">
        <v>250228</v>
      </c>
      <c r="I23236">
        <v>4600</v>
      </c>
      <c r="J23236" t="s">
        <v>278</v>
      </c>
      <c r="K23236">
        <v>221.48</v>
      </c>
      <c r="L23236">
        <v>0.62</v>
      </c>
      <c r="M23236">
        <v>49705</v>
      </c>
      <c r="N23236" t="s">
        <v>114</v>
      </c>
      <c r="O23236">
        <v>250311</v>
      </c>
      <c r="P23236">
        <v>2.4500000000000002</v>
      </c>
    </row>
    <row r="23237" spans="1:16" x14ac:dyDescent="0.25">
      <c r="A23237" t="s">
        <v>3296</v>
      </c>
      <c r="B23237" t="s">
        <v>2931</v>
      </c>
      <c r="C23237">
        <v>3336</v>
      </c>
      <c r="D23237" t="str">
        <f>"5605085     "</f>
        <v xml:space="preserve">5605085     </v>
      </c>
      <c r="E23237" t="s">
        <v>449</v>
      </c>
      <c r="F23237" t="s">
        <v>450</v>
      </c>
      <c r="G23237">
        <v>14.28</v>
      </c>
      <c r="H23237">
        <v>250228</v>
      </c>
      <c r="I23237">
        <v>4600</v>
      </c>
      <c r="J23237" t="s">
        <v>278</v>
      </c>
      <c r="K23237">
        <v>362.41</v>
      </c>
      <c r="L23237">
        <v>2.9</v>
      </c>
      <c r="M23237">
        <v>11801</v>
      </c>
      <c r="N23237" t="s">
        <v>40</v>
      </c>
      <c r="O23237">
        <v>250318</v>
      </c>
      <c r="P23237">
        <v>11.38</v>
      </c>
    </row>
    <row r="23238" spans="1:16" x14ac:dyDescent="0.25">
      <c r="A23238" t="s">
        <v>3296</v>
      </c>
      <c r="B23238" t="s">
        <v>2931</v>
      </c>
      <c r="C23238">
        <v>3336</v>
      </c>
      <c r="D23238" t="str">
        <f>"5605085     "</f>
        <v xml:space="preserve">5605085     </v>
      </c>
      <c r="E23238" t="s">
        <v>449</v>
      </c>
      <c r="F23238" t="s">
        <v>450</v>
      </c>
      <c r="G23238">
        <v>5.04</v>
      </c>
      <c r="H23238">
        <v>250228</v>
      </c>
      <c r="I23238">
        <v>4600</v>
      </c>
      <c r="J23238" t="s">
        <v>278</v>
      </c>
      <c r="K23238">
        <v>362.41</v>
      </c>
      <c r="L23238">
        <v>1.02</v>
      </c>
      <c r="M23238">
        <v>54251</v>
      </c>
      <c r="N23238" t="s">
        <v>485</v>
      </c>
      <c r="O23238">
        <v>250318</v>
      </c>
      <c r="P23238">
        <v>4.0199999999999996</v>
      </c>
    </row>
    <row r="23239" spans="1:16" x14ac:dyDescent="0.25">
      <c r="A23239" t="s">
        <v>3296</v>
      </c>
      <c r="B23239" t="s">
        <v>2931</v>
      </c>
      <c r="C23239">
        <v>3336</v>
      </c>
      <c r="D23239" t="str">
        <f>"5605085     "</f>
        <v xml:space="preserve">5605085     </v>
      </c>
      <c r="E23239" t="s">
        <v>449</v>
      </c>
      <c r="F23239" t="s">
        <v>450</v>
      </c>
      <c r="G23239">
        <v>22.67</v>
      </c>
      <c r="H23239">
        <v>250228</v>
      </c>
      <c r="I23239">
        <v>4600</v>
      </c>
      <c r="J23239" t="s">
        <v>278</v>
      </c>
      <c r="K23239">
        <v>362.41</v>
      </c>
      <c r="L23239">
        <v>4.6100000000000003</v>
      </c>
      <c r="M23239">
        <v>59111</v>
      </c>
      <c r="N23239" t="s">
        <v>60</v>
      </c>
      <c r="O23239">
        <v>250318</v>
      </c>
      <c r="P23239">
        <v>18.059999999999999</v>
      </c>
    </row>
    <row r="23240" spans="1:16" x14ac:dyDescent="0.25">
      <c r="A23240" t="s">
        <v>3296</v>
      </c>
      <c r="B23240" t="s">
        <v>2931</v>
      </c>
      <c r="C23240">
        <v>3336</v>
      </c>
      <c r="D23240" t="str">
        <f>"5605085     "</f>
        <v xml:space="preserve">5605085     </v>
      </c>
      <c r="E23240" t="s">
        <v>449</v>
      </c>
      <c r="F23240" t="s">
        <v>450</v>
      </c>
      <c r="G23240">
        <v>36.799999999999997</v>
      </c>
      <c r="H23240">
        <v>250228</v>
      </c>
      <c r="I23240">
        <v>4600</v>
      </c>
      <c r="J23240" t="s">
        <v>278</v>
      </c>
      <c r="K23240">
        <v>362.41</v>
      </c>
      <c r="L23240">
        <v>7.48</v>
      </c>
      <c r="M23240">
        <v>59501</v>
      </c>
      <c r="N23240" t="s">
        <v>62</v>
      </c>
      <c r="O23240">
        <v>250318</v>
      </c>
      <c r="P23240">
        <v>29.32</v>
      </c>
    </row>
    <row r="23241" spans="1:16" x14ac:dyDescent="0.25">
      <c r="A23241" t="s">
        <v>3296</v>
      </c>
      <c r="B23241" t="s">
        <v>2931</v>
      </c>
      <c r="C23241">
        <v>3687</v>
      </c>
      <c r="D23241" t="str">
        <f>"5609101     "</f>
        <v xml:space="preserve">5609101     </v>
      </c>
      <c r="E23241" t="s">
        <v>449</v>
      </c>
      <c r="F23241" t="s">
        <v>450</v>
      </c>
      <c r="G23241">
        <v>36.200000000000003</v>
      </c>
      <c r="H23241">
        <v>250315</v>
      </c>
      <c r="I23241">
        <v>4600</v>
      </c>
      <c r="J23241" t="s">
        <v>278</v>
      </c>
      <c r="K23241">
        <v>50.66</v>
      </c>
      <c r="L23241">
        <v>7.36</v>
      </c>
      <c r="M23241">
        <v>17737</v>
      </c>
      <c r="N23241" t="s">
        <v>156</v>
      </c>
      <c r="O23241">
        <v>250328</v>
      </c>
      <c r="P23241">
        <v>28.84</v>
      </c>
    </row>
    <row r="23242" spans="1:16" x14ac:dyDescent="0.25">
      <c r="A23242" t="s">
        <v>3296</v>
      </c>
      <c r="B23242" t="s">
        <v>2931</v>
      </c>
      <c r="C23242">
        <v>3687</v>
      </c>
      <c r="D23242" t="str">
        <f>"5609101     "</f>
        <v xml:space="preserve">5609101     </v>
      </c>
      <c r="E23242" t="s">
        <v>449</v>
      </c>
      <c r="F23242" t="s">
        <v>450</v>
      </c>
      <c r="G23242">
        <v>14.46</v>
      </c>
      <c r="H23242">
        <v>250315</v>
      </c>
      <c r="I23242">
        <v>4600</v>
      </c>
      <c r="J23242" t="s">
        <v>278</v>
      </c>
      <c r="K23242">
        <v>50.66</v>
      </c>
      <c r="L23242">
        <v>2.94</v>
      </c>
      <c r="M23242">
        <v>17952</v>
      </c>
      <c r="N23242" t="s">
        <v>157</v>
      </c>
      <c r="O23242">
        <v>250328</v>
      </c>
      <c r="P23242">
        <v>11.52</v>
      </c>
    </row>
    <row r="23243" spans="1:16" x14ac:dyDescent="0.25">
      <c r="A23243" t="s">
        <v>3296</v>
      </c>
      <c r="B23243" t="s">
        <v>2931</v>
      </c>
      <c r="C23243">
        <v>3691</v>
      </c>
      <c r="D23243" t="str">
        <f>"5610263     "</f>
        <v xml:space="preserve">5610263     </v>
      </c>
      <c r="E23243" t="s">
        <v>449</v>
      </c>
      <c r="F23243" t="s">
        <v>450</v>
      </c>
      <c r="G23243">
        <v>47.54</v>
      </c>
      <c r="H23243">
        <v>250315</v>
      </c>
      <c r="I23243">
        <v>4600</v>
      </c>
      <c r="J23243" t="s">
        <v>278</v>
      </c>
      <c r="K23243">
        <v>302.66000000000003</v>
      </c>
      <c r="L23243">
        <v>9.66</v>
      </c>
      <c r="M23243">
        <v>13601</v>
      </c>
      <c r="N23243" t="s">
        <v>115</v>
      </c>
      <c r="O23243">
        <v>250328</v>
      </c>
      <c r="P23243">
        <v>37.880000000000003</v>
      </c>
    </row>
    <row r="23244" spans="1:16" x14ac:dyDescent="0.25">
      <c r="A23244" t="s">
        <v>3296</v>
      </c>
      <c r="B23244" t="s">
        <v>2931</v>
      </c>
      <c r="C23244">
        <v>3691</v>
      </c>
      <c r="D23244" t="str">
        <f>"5610263     "</f>
        <v xml:space="preserve">5610263     </v>
      </c>
      <c r="E23244" t="s">
        <v>449</v>
      </c>
      <c r="F23244" t="s">
        <v>450</v>
      </c>
      <c r="G23244">
        <v>199.31</v>
      </c>
      <c r="H23244">
        <v>250315</v>
      </c>
      <c r="I23244">
        <v>4600</v>
      </c>
      <c r="J23244" t="s">
        <v>278</v>
      </c>
      <c r="K23244">
        <v>302.66000000000003</v>
      </c>
      <c r="L23244">
        <v>40.5</v>
      </c>
      <c r="M23244">
        <v>13801</v>
      </c>
      <c r="N23244" t="s">
        <v>33</v>
      </c>
      <c r="O23244">
        <v>250328</v>
      </c>
      <c r="P23244">
        <v>158.81</v>
      </c>
    </row>
    <row r="23245" spans="1:16" x14ac:dyDescent="0.25">
      <c r="A23245" t="s">
        <v>3296</v>
      </c>
      <c r="B23245" t="s">
        <v>2931</v>
      </c>
      <c r="C23245">
        <v>4353</v>
      </c>
      <c r="D23245" t="str">
        <f>"5614470     "</f>
        <v xml:space="preserve">5614470     </v>
      </c>
      <c r="E23245" t="s">
        <v>449</v>
      </c>
      <c r="F23245" t="s">
        <v>450</v>
      </c>
      <c r="G23245">
        <v>24.03</v>
      </c>
      <c r="H23245">
        <v>250331</v>
      </c>
      <c r="I23245">
        <v>4600</v>
      </c>
      <c r="J23245" t="s">
        <v>278</v>
      </c>
      <c r="K23245">
        <v>67.459999999999994</v>
      </c>
      <c r="L23245">
        <v>4.88</v>
      </c>
      <c r="M23245">
        <v>13802</v>
      </c>
      <c r="N23245" t="s">
        <v>34</v>
      </c>
      <c r="O23245">
        <v>250411</v>
      </c>
      <c r="P23245">
        <v>19.149999999999999</v>
      </c>
    </row>
    <row r="23246" spans="1:16" x14ac:dyDescent="0.25">
      <c r="A23246" t="s">
        <v>3296</v>
      </c>
      <c r="B23246" t="s">
        <v>2931</v>
      </c>
      <c r="C23246">
        <v>4353</v>
      </c>
      <c r="D23246" t="str">
        <f>"5614470     "</f>
        <v xml:space="preserve">5614470     </v>
      </c>
      <c r="E23246" t="s">
        <v>449</v>
      </c>
      <c r="F23246" t="s">
        <v>450</v>
      </c>
      <c r="G23246">
        <v>43.43</v>
      </c>
      <c r="H23246">
        <v>250331</v>
      </c>
      <c r="I23246">
        <v>4600</v>
      </c>
      <c r="J23246" t="s">
        <v>278</v>
      </c>
      <c r="K23246">
        <v>67.459999999999994</v>
      </c>
      <c r="L23246">
        <v>8.82</v>
      </c>
      <c r="M23246">
        <v>13861</v>
      </c>
      <c r="N23246" t="s">
        <v>604</v>
      </c>
      <c r="O23246">
        <v>250411</v>
      </c>
      <c r="P23246">
        <v>34.61</v>
      </c>
    </row>
    <row r="23247" spans="1:16" x14ac:dyDescent="0.25">
      <c r="A23247" t="s">
        <v>3296</v>
      </c>
      <c r="B23247" t="s">
        <v>2931</v>
      </c>
      <c r="C23247">
        <v>4388</v>
      </c>
      <c r="D23247" t="str">
        <f>"5613150     "</f>
        <v xml:space="preserve">5613150     </v>
      </c>
      <c r="E23247" t="s">
        <v>449</v>
      </c>
      <c r="F23247" t="s">
        <v>450</v>
      </c>
      <c r="G23247">
        <v>35.32</v>
      </c>
      <c r="H23247">
        <v>250331</v>
      </c>
      <c r="I23247">
        <v>4600</v>
      </c>
      <c r="J23247" t="s">
        <v>278</v>
      </c>
      <c r="K23247">
        <v>240.12</v>
      </c>
      <c r="L23247">
        <v>7.18</v>
      </c>
      <c r="M23247">
        <v>17711</v>
      </c>
      <c r="N23247" t="s">
        <v>155</v>
      </c>
      <c r="O23247">
        <v>250411</v>
      </c>
      <c r="P23247">
        <v>28.14</v>
      </c>
    </row>
    <row r="23248" spans="1:16" x14ac:dyDescent="0.25">
      <c r="A23248" t="s">
        <v>3296</v>
      </c>
      <c r="B23248" t="s">
        <v>2931</v>
      </c>
      <c r="C23248">
        <v>4388</v>
      </c>
      <c r="D23248" t="str">
        <f>"5613150     "</f>
        <v xml:space="preserve">5613150     </v>
      </c>
      <c r="E23248" t="s">
        <v>449</v>
      </c>
      <c r="F23248" t="s">
        <v>450</v>
      </c>
      <c r="G23248">
        <v>121.93</v>
      </c>
      <c r="H23248">
        <v>250331</v>
      </c>
      <c r="I23248">
        <v>4600</v>
      </c>
      <c r="J23248" t="s">
        <v>278</v>
      </c>
      <c r="K23248">
        <v>240.12</v>
      </c>
      <c r="L23248">
        <v>24.77</v>
      </c>
      <c r="M23248">
        <v>17711</v>
      </c>
      <c r="N23248" t="s">
        <v>155</v>
      </c>
      <c r="O23248">
        <v>250411</v>
      </c>
      <c r="P23248">
        <v>97.16</v>
      </c>
    </row>
    <row r="23249" spans="1:16" x14ac:dyDescent="0.25">
      <c r="A23249" t="s">
        <v>3296</v>
      </c>
      <c r="B23249" t="s">
        <v>2931</v>
      </c>
      <c r="C23249">
        <v>4388</v>
      </c>
      <c r="D23249" t="str">
        <f>"5613150     "</f>
        <v xml:space="preserve">5613150     </v>
      </c>
      <c r="E23249" t="s">
        <v>449</v>
      </c>
      <c r="F23249" t="s">
        <v>450</v>
      </c>
      <c r="G23249">
        <v>1.78</v>
      </c>
      <c r="H23249">
        <v>250331</v>
      </c>
      <c r="I23249">
        <v>4600</v>
      </c>
      <c r="J23249" t="s">
        <v>278</v>
      </c>
      <c r="K23249">
        <v>240.12</v>
      </c>
      <c r="L23249">
        <v>0.36</v>
      </c>
      <c r="M23249">
        <v>17912</v>
      </c>
      <c r="N23249" t="s">
        <v>505</v>
      </c>
      <c r="O23249">
        <v>250411</v>
      </c>
      <c r="P23249">
        <v>1.42</v>
      </c>
    </row>
    <row r="23250" spans="1:16" x14ac:dyDescent="0.25">
      <c r="A23250" t="s">
        <v>3296</v>
      </c>
      <c r="B23250" t="s">
        <v>2931</v>
      </c>
      <c r="C23250">
        <v>4460</v>
      </c>
      <c r="D23250" t="str">
        <f>"5611750     "</f>
        <v xml:space="preserve">5611750     </v>
      </c>
      <c r="E23250" t="s">
        <v>449</v>
      </c>
      <c r="F23250" t="s">
        <v>450</v>
      </c>
      <c r="G23250">
        <v>48.96</v>
      </c>
      <c r="H23250">
        <v>250331</v>
      </c>
      <c r="I23250">
        <v>4600</v>
      </c>
      <c r="J23250" t="s">
        <v>278</v>
      </c>
      <c r="K23250">
        <v>286.73</v>
      </c>
      <c r="L23250">
        <v>9.9499999999999993</v>
      </c>
      <c r="M23250">
        <v>66722</v>
      </c>
      <c r="N23250" t="s">
        <v>118</v>
      </c>
      <c r="O23250">
        <v>250411</v>
      </c>
      <c r="P23250">
        <v>39.01</v>
      </c>
    </row>
    <row r="23251" spans="1:16" x14ac:dyDescent="0.25">
      <c r="A23251" t="s">
        <v>3296</v>
      </c>
      <c r="B23251" t="s">
        <v>2931</v>
      </c>
      <c r="C23251">
        <v>4460</v>
      </c>
      <c r="D23251" t="str">
        <f>"5611750     "</f>
        <v xml:space="preserve">5611750     </v>
      </c>
      <c r="E23251" t="s">
        <v>449</v>
      </c>
      <c r="F23251" t="s">
        <v>450</v>
      </c>
      <c r="G23251">
        <v>54.76</v>
      </c>
      <c r="H23251">
        <v>250331</v>
      </c>
      <c r="I23251">
        <v>4600</v>
      </c>
      <c r="J23251" t="s">
        <v>278</v>
      </c>
      <c r="K23251">
        <v>286.73</v>
      </c>
      <c r="L23251">
        <v>11.13</v>
      </c>
      <c r="M23251">
        <v>69111</v>
      </c>
      <c r="N23251" t="s">
        <v>657</v>
      </c>
      <c r="O23251">
        <v>250411</v>
      </c>
      <c r="P23251">
        <v>43.63</v>
      </c>
    </row>
    <row r="23252" spans="1:16" x14ac:dyDescent="0.25">
      <c r="A23252" t="s">
        <v>3296</v>
      </c>
      <c r="B23252" t="s">
        <v>2931</v>
      </c>
      <c r="C23252">
        <v>4717</v>
      </c>
      <c r="D23252" t="str">
        <f>"5611533     "</f>
        <v xml:space="preserve">5611533     </v>
      </c>
      <c r="E23252" t="s">
        <v>449</v>
      </c>
      <c r="F23252" t="s">
        <v>450</v>
      </c>
      <c r="G23252">
        <v>13.7</v>
      </c>
      <c r="H23252">
        <v>250331</v>
      </c>
      <c r="I23252">
        <v>4600</v>
      </c>
      <c r="J23252" t="s">
        <v>278</v>
      </c>
      <c r="K23252">
        <v>251.29</v>
      </c>
      <c r="L23252">
        <v>2.78</v>
      </c>
      <c r="M23252">
        <v>47522</v>
      </c>
      <c r="N23252" t="s">
        <v>106</v>
      </c>
      <c r="O23252">
        <v>250415</v>
      </c>
      <c r="P23252">
        <v>10.92</v>
      </c>
    </row>
    <row r="23253" spans="1:16" x14ac:dyDescent="0.25">
      <c r="A23253" t="s">
        <v>3296</v>
      </c>
      <c r="B23253" t="s">
        <v>2931</v>
      </c>
      <c r="C23253">
        <v>4717</v>
      </c>
      <c r="D23253" t="str">
        <f>"5611533     "</f>
        <v xml:space="preserve">5611533     </v>
      </c>
      <c r="E23253" t="s">
        <v>449</v>
      </c>
      <c r="F23253" t="s">
        <v>450</v>
      </c>
      <c r="G23253">
        <v>22.75</v>
      </c>
      <c r="H23253">
        <v>250331</v>
      </c>
      <c r="I23253">
        <v>4600</v>
      </c>
      <c r="J23253" t="s">
        <v>278</v>
      </c>
      <c r="K23253">
        <v>251.29</v>
      </c>
      <c r="L23253">
        <v>4.62</v>
      </c>
      <c r="M23253">
        <v>49111</v>
      </c>
      <c r="N23253" t="s">
        <v>108</v>
      </c>
      <c r="O23253">
        <v>250415</v>
      </c>
      <c r="P23253">
        <v>18.13</v>
      </c>
    </row>
    <row r="23254" spans="1:16" x14ac:dyDescent="0.25">
      <c r="A23254" t="s">
        <v>3296</v>
      </c>
      <c r="B23254" t="s">
        <v>2931</v>
      </c>
      <c r="C23254">
        <v>4717</v>
      </c>
      <c r="D23254" t="str">
        <f>"5611533     "</f>
        <v xml:space="preserve">5611533     </v>
      </c>
      <c r="E23254" t="s">
        <v>449</v>
      </c>
      <c r="F23254" t="s">
        <v>450</v>
      </c>
      <c r="G23254">
        <v>110.42</v>
      </c>
      <c r="H23254">
        <v>250331</v>
      </c>
      <c r="I23254">
        <v>4600</v>
      </c>
      <c r="J23254" t="s">
        <v>278</v>
      </c>
      <c r="K23254">
        <v>251.29</v>
      </c>
      <c r="L23254">
        <v>22.44</v>
      </c>
      <c r="M23254">
        <v>49501</v>
      </c>
      <c r="N23254" t="s">
        <v>110</v>
      </c>
      <c r="O23254">
        <v>250415</v>
      </c>
      <c r="P23254">
        <v>87.98</v>
      </c>
    </row>
    <row r="23255" spans="1:16" x14ac:dyDescent="0.25">
      <c r="A23255" t="s">
        <v>3296</v>
      </c>
      <c r="B23255" t="s">
        <v>2931</v>
      </c>
      <c r="C23255">
        <v>4717</v>
      </c>
      <c r="D23255" t="str">
        <f>"5611533     "</f>
        <v xml:space="preserve">5611533     </v>
      </c>
      <c r="E23255" t="s">
        <v>449</v>
      </c>
      <c r="F23255" t="s">
        <v>450</v>
      </c>
      <c r="G23255">
        <v>3.78</v>
      </c>
      <c r="H23255">
        <v>250331</v>
      </c>
      <c r="I23255">
        <v>4600</v>
      </c>
      <c r="J23255" t="s">
        <v>278</v>
      </c>
      <c r="K23255">
        <v>251.29</v>
      </c>
      <c r="L23255">
        <v>0.77</v>
      </c>
      <c r="M23255">
        <v>49705</v>
      </c>
      <c r="N23255" t="s">
        <v>114</v>
      </c>
      <c r="O23255">
        <v>250415</v>
      </c>
      <c r="P23255">
        <v>3.01</v>
      </c>
    </row>
    <row r="23256" spans="1:16" x14ac:dyDescent="0.25">
      <c r="A23256" t="s">
        <v>3296</v>
      </c>
      <c r="B23256" t="s">
        <v>2931</v>
      </c>
      <c r="C23256">
        <v>4852</v>
      </c>
      <c r="D23256" t="str">
        <f>"5611972     "</f>
        <v xml:space="preserve">5611972     </v>
      </c>
      <c r="E23256" t="s">
        <v>449</v>
      </c>
      <c r="F23256" t="s">
        <v>450</v>
      </c>
      <c r="G23256">
        <v>75.900000000000006</v>
      </c>
      <c r="H23256">
        <v>250331</v>
      </c>
      <c r="I23256">
        <v>4600</v>
      </c>
      <c r="J23256" t="s">
        <v>278</v>
      </c>
      <c r="K23256">
        <v>119.35</v>
      </c>
      <c r="L23256">
        <v>15.42</v>
      </c>
      <c r="M23256">
        <v>54251</v>
      </c>
      <c r="N23256" t="s">
        <v>485</v>
      </c>
      <c r="O23256">
        <v>250416</v>
      </c>
      <c r="P23256">
        <v>60.48</v>
      </c>
    </row>
    <row r="23257" spans="1:16" x14ac:dyDescent="0.25">
      <c r="A23257" t="s">
        <v>3296</v>
      </c>
      <c r="B23257" t="s">
        <v>2931</v>
      </c>
      <c r="C23257">
        <v>5241</v>
      </c>
      <c r="D23257" t="str">
        <f>"5613808     "</f>
        <v xml:space="preserve">5613808     </v>
      </c>
      <c r="E23257" t="s">
        <v>449</v>
      </c>
      <c r="F23257" t="s">
        <v>450</v>
      </c>
      <c r="G23257">
        <v>31.44</v>
      </c>
      <c r="H23257">
        <v>250401</v>
      </c>
      <c r="I23257">
        <v>4600</v>
      </c>
      <c r="J23257" t="s">
        <v>278</v>
      </c>
      <c r="K23257">
        <v>326.04000000000002</v>
      </c>
      <c r="L23257">
        <v>6.39</v>
      </c>
      <c r="M23257">
        <v>17531</v>
      </c>
      <c r="N23257" t="s">
        <v>145</v>
      </c>
      <c r="O23257">
        <v>250423</v>
      </c>
      <c r="P23257">
        <v>25.05</v>
      </c>
    </row>
    <row r="23258" spans="1:16" x14ac:dyDescent="0.25">
      <c r="A23258" t="s">
        <v>3296</v>
      </c>
      <c r="B23258" t="s">
        <v>2931</v>
      </c>
      <c r="C23258">
        <v>5241</v>
      </c>
      <c r="D23258" t="str">
        <f>"5613808     "</f>
        <v xml:space="preserve">5613808     </v>
      </c>
      <c r="E23258" t="s">
        <v>449</v>
      </c>
      <c r="F23258" t="s">
        <v>450</v>
      </c>
      <c r="G23258">
        <v>0.28999999999999998</v>
      </c>
      <c r="H23258">
        <v>250401</v>
      </c>
      <c r="I23258">
        <v>4600</v>
      </c>
      <c r="J23258" t="s">
        <v>278</v>
      </c>
      <c r="K23258">
        <v>326.04000000000002</v>
      </c>
      <c r="L23258">
        <v>0.06</v>
      </c>
      <c r="M23258">
        <v>17538</v>
      </c>
      <c r="N23258" t="s">
        <v>129</v>
      </c>
      <c r="O23258">
        <v>250423</v>
      </c>
      <c r="P23258">
        <v>0.23</v>
      </c>
    </row>
    <row r="23259" spans="1:16" x14ac:dyDescent="0.25">
      <c r="A23259" t="s">
        <v>3296</v>
      </c>
      <c r="B23259" t="s">
        <v>2931</v>
      </c>
      <c r="C23259">
        <v>5241</v>
      </c>
      <c r="D23259" t="str">
        <f>"5613808     "</f>
        <v xml:space="preserve">5613808     </v>
      </c>
      <c r="E23259" t="s">
        <v>449</v>
      </c>
      <c r="F23259" t="s">
        <v>450</v>
      </c>
      <c r="G23259">
        <v>36.799999999999997</v>
      </c>
      <c r="H23259">
        <v>250401</v>
      </c>
      <c r="I23259">
        <v>4600</v>
      </c>
      <c r="J23259" t="s">
        <v>278</v>
      </c>
      <c r="K23259">
        <v>326.04000000000002</v>
      </c>
      <c r="L23259">
        <v>7.48</v>
      </c>
      <c r="M23259">
        <v>17538</v>
      </c>
      <c r="N23259" t="s">
        <v>129</v>
      </c>
      <c r="O23259">
        <v>250423</v>
      </c>
      <c r="P23259">
        <v>29.32</v>
      </c>
    </row>
    <row r="23260" spans="1:16" x14ac:dyDescent="0.25">
      <c r="A23260" t="s">
        <v>3296</v>
      </c>
      <c r="B23260" t="s">
        <v>2931</v>
      </c>
      <c r="C23260">
        <v>5384</v>
      </c>
      <c r="D23260" t="str">
        <f>"5616899     "</f>
        <v xml:space="preserve">5616899     </v>
      </c>
      <c r="E23260" t="s">
        <v>449</v>
      </c>
      <c r="F23260" t="s">
        <v>450</v>
      </c>
      <c r="G23260">
        <v>10.79</v>
      </c>
      <c r="H23260">
        <v>250415</v>
      </c>
      <c r="I23260">
        <v>4600</v>
      </c>
      <c r="J23260" t="s">
        <v>278</v>
      </c>
      <c r="K23260">
        <v>259.85000000000002</v>
      </c>
      <c r="L23260">
        <v>2.19</v>
      </c>
      <c r="M23260">
        <v>17912</v>
      </c>
      <c r="N23260" t="s">
        <v>505</v>
      </c>
      <c r="O23260">
        <v>250424</v>
      </c>
      <c r="P23260">
        <v>8.6</v>
      </c>
    </row>
    <row r="23261" spans="1:16" x14ac:dyDescent="0.25">
      <c r="A23261" t="s">
        <v>3296</v>
      </c>
      <c r="B23261" t="s">
        <v>2931</v>
      </c>
      <c r="C23261">
        <v>5384</v>
      </c>
      <c r="D23261" t="str">
        <f>"5616899     "</f>
        <v xml:space="preserve">5616899     </v>
      </c>
      <c r="E23261" t="s">
        <v>449</v>
      </c>
      <c r="F23261" t="s">
        <v>450</v>
      </c>
      <c r="G23261">
        <v>21.82</v>
      </c>
      <c r="H23261">
        <v>250415</v>
      </c>
      <c r="I23261">
        <v>4600</v>
      </c>
      <c r="J23261" t="s">
        <v>278</v>
      </c>
      <c r="K23261">
        <v>259.85000000000002</v>
      </c>
      <c r="L23261">
        <v>4.43</v>
      </c>
      <c r="M23261">
        <v>17912</v>
      </c>
      <c r="N23261" t="s">
        <v>505</v>
      </c>
      <c r="O23261">
        <v>250424</v>
      </c>
      <c r="P23261">
        <v>17.39</v>
      </c>
    </row>
    <row r="23262" spans="1:16" x14ac:dyDescent="0.25">
      <c r="A23262" t="s">
        <v>3296</v>
      </c>
      <c r="B23262" t="s">
        <v>2931</v>
      </c>
      <c r="C23262">
        <v>5384</v>
      </c>
      <c r="D23262" t="str">
        <f>"5616899     "</f>
        <v xml:space="preserve">5616899     </v>
      </c>
      <c r="E23262" t="s">
        <v>449</v>
      </c>
      <c r="F23262" t="s">
        <v>450</v>
      </c>
      <c r="G23262">
        <v>13.59</v>
      </c>
      <c r="H23262">
        <v>250415</v>
      </c>
      <c r="I23262">
        <v>4600</v>
      </c>
      <c r="J23262" t="s">
        <v>278</v>
      </c>
      <c r="K23262">
        <v>259.85000000000002</v>
      </c>
      <c r="L23262">
        <v>2.76</v>
      </c>
      <c r="M23262">
        <v>17952</v>
      </c>
      <c r="N23262" t="s">
        <v>157</v>
      </c>
      <c r="O23262">
        <v>250424</v>
      </c>
      <c r="P23262">
        <v>10.83</v>
      </c>
    </row>
    <row r="23263" spans="1:16" x14ac:dyDescent="0.25">
      <c r="A23263" t="s">
        <v>3296</v>
      </c>
      <c r="B23263" t="s">
        <v>2931</v>
      </c>
      <c r="C23263">
        <v>5384</v>
      </c>
      <c r="D23263" t="str">
        <f>"5616899     "</f>
        <v xml:space="preserve">5616899     </v>
      </c>
      <c r="E23263" t="s">
        <v>449</v>
      </c>
      <c r="F23263" t="s">
        <v>450</v>
      </c>
      <c r="G23263">
        <v>180.9</v>
      </c>
      <c r="H23263">
        <v>250415</v>
      </c>
      <c r="I23263">
        <v>4600</v>
      </c>
      <c r="J23263" t="s">
        <v>278</v>
      </c>
      <c r="K23263">
        <v>259.85000000000002</v>
      </c>
      <c r="L23263">
        <v>36.76</v>
      </c>
      <c r="M23263">
        <v>17952</v>
      </c>
      <c r="N23263" t="s">
        <v>157</v>
      </c>
      <c r="O23263">
        <v>250424</v>
      </c>
      <c r="P23263">
        <v>144.13999999999999</v>
      </c>
    </row>
    <row r="23264" spans="1:16" x14ac:dyDescent="0.25">
      <c r="A23264" t="s">
        <v>3296</v>
      </c>
      <c r="B23264" t="s">
        <v>2931</v>
      </c>
      <c r="C23264">
        <v>5395</v>
      </c>
      <c r="D23264" t="str">
        <f>"5618324     "</f>
        <v xml:space="preserve">5618324     </v>
      </c>
      <c r="E23264" t="s">
        <v>449</v>
      </c>
      <c r="F23264" t="s">
        <v>450</v>
      </c>
      <c r="G23264">
        <v>24.98</v>
      </c>
      <c r="H23264">
        <v>250415</v>
      </c>
      <c r="I23264">
        <v>4600</v>
      </c>
      <c r="J23264" t="s">
        <v>278</v>
      </c>
      <c r="K23264">
        <v>59.91</v>
      </c>
      <c r="L23264">
        <v>5.08</v>
      </c>
      <c r="M23264">
        <v>13802</v>
      </c>
      <c r="N23264" t="s">
        <v>34</v>
      </c>
      <c r="O23264">
        <v>250424</v>
      </c>
      <c r="P23264">
        <v>19.899999999999999</v>
      </c>
    </row>
    <row r="23265" spans="1:16" x14ac:dyDescent="0.25">
      <c r="A23265" t="s">
        <v>3296</v>
      </c>
      <c r="B23265" t="s">
        <v>2931</v>
      </c>
      <c r="C23265">
        <v>5685</v>
      </c>
      <c r="D23265" t="str">
        <f>"5617591     "</f>
        <v xml:space="preserve">5617591     </v>
      </c>
      <c r="E23265" t="s">
        <v>449</v>
      </c>
      <c r="F23265" t="s">
        <v>450</v>
      </c>
      <c r="G23265">
        <v>5.32</v>
      </c>
      <c r="H23265">
        <v>250415</v>
      </c>
      <c r="I23265">
        <v>4600</v>
      </c>
      <c r="J23265" t="s">
        <v>278</v>
      </c>
      <c r="K23265">
        <v>59.72</v>
      </c>
      <c r="L23265">
        <v>1.08</v>
      </c>
      <c r="M23265">
        <v>17862</v>
      </c>
      <c r="N23265" t="s">
        <v>130</v>
      </c>
      <c r="O23265">
        <v>250429</v>
      </c>
      <c r="P23265">
        <v>4.24</v>
      </c>
    </row>
    <row r="23266" spans="1:16" x14ac:dyDescent="0.25">
      <c r="A23266" t="s">
        <v>3296</v>
      </c>
      <c r="B23266" t="s">
        <v>2931</v>
      </c>
      <c r="C23266">
        <v>5759</v>
      </c>
      <c r="D23266" t="str">
        <f>"5619350     "</f>
        <v xml:space="preserve">5619350     </v>
      </c>
      <c r="E23266" t="s">
        <v>449</v>
      </c>
      <c r="F23266" t="s">
        <v>450</v>
      </c>
      <c r="G23266">
        <v>3</v>
      </c>
      <c r="H23266">
        <v>250415</v>
      </c>
      <c r="I23266">
        <v>4600</v>
      </c>
      <c r="J23266" t="s">
        <v>278</v>
      </c>
      <c r="K23266">
        <v>20.04</v>
      </c>
      <c r="L23266">
        <v>0.61</v>
      </c>
      <c r="M23266">
        <v>17532</v>
      </c>
      <c r="N23266" t="s">
        <v>146</v>
      </c>
      <c r="O23266">
        <v>250430</v>
      </c>
      <c r="P23266">
        <v>2.39</v>
      </c>
    </row>
    <row r="23267" spans="1:16" x14ac:dyDescent="0.25">
      <c r="A23267" t="s">
        <v>3296</v>
      </c>
      <c r="B23267" t="s">
        <v>2931</v>
      </c>
      <c r="C23267">
        <v>5759</v>
      </c>
      <c r="D23267" t="str">
        <f>"5619350     "</f>
        <v xml:space="preserve">5619350     </v>
      </c>
      <c r="E23267" t="s">
        <v>449</v>
      </c>
      <c r="F23267" t="s">
        <v>450</v>
      </c>
      <c r="G23267">
        <v>17.04</v>
      </c>
      <c r="H23267">
        <v>250415</v>
      </c>
      <c r="I23267">
        <v>4600</v>
      </c>
      <c r="J23267" t="s">
        <v>278</v>
      </c>
      <c r="K23267">
        <v>20.04</v>
      </c>
      <c r="L23267">
        <v>2.09</v>
      </c>
      <c r="M23267">
        <v>17532</v>
      </c>
      <c r="N23267" t="s">
        <v>146</v>
      </c>
      <c r="O23267">
        <v>250430</v>
      </c>
      <c r="P23267">
        <v>14.95</v>
      </c>
    </row>
    <row r="23268" spans="1:16" x14ac:dyDescent="0.25">
      <c r="A23268" t="s">
        <v>3296</v>
      </c>
      <c r="B23268" t="s">
        <v>2931</v>
      </c>
      <c r="C23268">
        <v>6750</v>
      </c>
      <c r="D23268" t="str">
        <f>"5619811     "</f>
        <v xml:space="preserve">5619811     </v>
      </c>
      <c r="E23268" t="s">
        <v>449</v>
      </c>
      <c r="F23268" t="s">
        <v>450</v>
      </c>
      <c r="G23268">
        <v>65.849999999999994</v>
      </c>
      <c r="H23268">
        <v>250430</v>
      </c>
      <c r="I23268">
        <v>4600</v>
      </c>
      <c r="J23268" t="s">
        <v>278</v>
      </c>
      <c r="K23268">
        <v>334.19</v>
      </c>
      <c r="L23268">
        <v>13.38</v>
      </c>
      <c r="M23268">
        <v>47522</v>
      </c>
      <c r="N23268" t="s">
        <v>106</v>
      </c>
      <c r="O23268">
        <v>250516</v>
      </c>
      <c r="P23268">
        <v>52.47</v>
      </c>
    </row>
    <row r="23269" spans="1:16" x14ac:dyDescent="0.25">
      <c r="A23269" t="s">
        <v>3296</v>
      </c>
      <c r="B23269" t="s">
        <v>2931</v>
      </c>
      <c r="C23269">
        <v>6750</v>
      </c>
      <c r="D23269" t="str">
        <f>"5619811     "</f>
        <v xml:space="preserve">5619811     </v>
      </c>
      <c r="E23269" t="s">
        <v>449</v>
      </c>
      <c r="F23269" t="s">
        <v>450</v>
      </c>
      <c r="G23269">
        <v>13.02</v>
      </c>
      <c r="H23269">
        <v>250430</v>
      </c>
      <c r="I23269">
        <v>4600</v>
      </c>
      <c r="J23269" t="s">
        <v>278</v>
      </c>
      <c r="K23269">
        <v>334.19</v>
      </c>
      <c r="L23269">
        <v>2.65</v>
      </c>
      <c r="M23269">
        <v>49111</v>
      </c>
      <c r="N23269" t="s">
        <v>108</v>
      </c>
      <c r="O23269">
        <v>250516</v>
      </c>
      <c r="P23269">
        <v>10.37</v>
      </c>
    </row>
    <row r="23270" spans="1:16" x14ac:dyDescent="0.25">
      <c r="A23270" t="s">
        <v>3296</v>
      </c>
      <c r="B23270" t="s">
        <v>2931</v>
      </c>
      <c r="C23270">
        <v>6750</v>
      </c>
      <c r="D23270" t="str">
        <f>"5619811     "</f>
        <v xml:space="preserve">5619811     </v>
      </c>
      <c r="E23270" t="s">
        <v>449</v>
      </c>
      <c r="F23270" t="s">
        <v>450</v>
      </c>
      <c r="G23270">
        <v>93.49</v>
      </c>
      <c r="H23270">
        <v>250430</v>
      </c>
      <c r="I23270">
        <v>4600</v>
      </c>
      <c r="J23270" t="s">
        <v>278</v>
      </c>
      <c r="K23270">
        <v>334.19</v>
      </c>
      <c r="L23270">
        <v>19</v>
      </c>
      <c r="M23270">
        <v>49501</v>
      </c>
      <c r="N23270" t="s">
        <v>110</v>
      </c>
      <c r="O23270">
        <v>250516</v>
      </c>
      <c r="P23270">
        <v>74.489999999999995</v>
      </c>
    </row>
    <row r="23271" spans="1:16" x14ac:dyDescent="0.25">
      <c r="A23271" t="s">
        <v>3296</v>
      </c>
      <c r="B23271" t="s">
        <v>2931</v>
      </c>
      <c r="C23271">
        <v>6811</v>
      </c>
      <c r="D23271" t="str">
        <f>"5621416     "</f>
        <v xml:space="preserve">5621416     </v>
      </c>
      <c r="E23271" t="s">
        <v>449</v>
      </c>
      <c r="F23271" t="s">
        <v>450</v>
      </c>
      <c r="G23271">
        <v>19.64</v>
      </c>
      <c r="H23271">
        <v>250430</v>
      </c>
      <c r="I23271">
        <v>4600</v>
      </c>
      <c r="J23271" t="s">
        <v>278</v>
      </c>
      <c r="K23271">
        <v>80.02</v>
      </c>
      <c r="L23271">
        <v>3.99</v>
      </c>
      <c r="M23271">
        <v>17952</v>
      </c>
      <c r="N23271" t="s">
        <v>157</v>
      </c>
      <c r="O23271">
        <v>250516</v>
      </c>
      <c r="P23271">
        <v>15.65</v>
      </c>
    </row>
    <row r="23272" spans="1:16" x14ac:dyDescent="0.25">
      <c r="A23272" t="s">
        <v>3296</v>
      </c>
      <c r="B23272" t="s">
        <v>2931</v>
      </c>
      <c r="C23272">
        <v>7022</v>
      </c>
      <c r="D23272" t="str">
        <f>"5620018     "</f>
        <v xml:space="preserve">5620018     </v>
      </c>
      <c r="E23272" t="s">
        <v>449</v>
      </c>
      <c r="F23272" t="s">
        <v>450</v>
      </c>
      <c r="G23272">
        <v>4.3899999999999997</v>
      </c>
      <c r="H23272">
        <v>250516</v>
      </c>
      <c r="I23272">
        <v>4600</v>
      </c>
      <c r="J23272" t="s">
        <v>278</v>
      </c>
      <c r="K23272">
        <v>375.79</v>
      </c>
      <c r="L23272">
        <v>0.89</v>
      </c>
      <c r="M23272">
        <v>65222</v>
      </c>
      <c r="N23272" t="s">
        <v>87</v>
      </c>
      <c r="O23272">
        <v>250521</v>
      </c>
      <c r="P23272">
        <v>3.5</v>
      </c>
    </row>
    <row r="23273" spans="1:16" x14ac:dyDescent="0.25">
      <c r="A23273" t="s">
        <v>3296</v>
      </c>
      <c r="B23273" t="s">
        <v>2931</v>
      </c>
      <c r="C23273">
        <v>7022</v>
      </c>
      <c r="D23273" t="str">
        <f>"5620018     "</f>
        <v xml:space="preserve">5620018     </v>
      </c>
      <c r="E23273" t="s">
        <v>449</v>
      </c>
      <c r="F23273" t="s">
        <v>450</v>
      </c>
      <c r="G23273">
        <v>16.149999999999999</v>
      </c>
      <c r="H23273">
        <v>250516</v>
      </c>
      <c r="I23273">
        <v>4600</v>
      </c>
      <c r="J23273" t="s">
        <v>278</v>
      </c>
      <c r="K23273">
        <v>375.79</v>
      </c>
      <c r="L23273">
        <v>3.28</v>
      </c>
      <c r="M23273">
        <v>66722</v>
      </c>
      <c r="N23273" t="s">
        <v>118</v>
      </c>
      <c r="O23273">
        <v>250521</v>
      </c>
      <c r="P23273">
        <v>12.87</v>
      </c>
    </row>
    <row r="23274" spans="1:16" x14ac:dyDescent="0.25">
      <c r="A23274" t="s">
        <v>3296</v>
      </c>
      <c r="B23274" t="s">
        <v>2931</v>
      </c>
      <c r="C23274">
        <v>7022</v>
      </c>
      <c r="D23274" t="str">
        <f>"5620018     "</f>
        <v xml:space="preserve">5620018     </v>
      </c>
      <c r="E23274" t="s">
        <v>449</v>
      </c>
      <c r="F23274" t="s">
        <v>450</v>
      </c>
      <c r="G23274">
        <v>16.86</v>
      </c>
      <c r="H23274">
        <v>250516</v>
      </c>
      <c r="I23274">
        <v>4600</v>
      </c>
      <c r="J23274" t="s">
        <v>278</v>
      </c>
      <c r="K23274">
        <v>375.79</v>
      </c>
      <c r="L23274">
        <v>3.43</v>
      </c>
      <c r="M23274">
        <v>67522</v>
      </c>
      <c r="N23274" t="s">
        <v>121</v>
      </c>
      <c r="O23274">
        <v>250521</v>
      </c>
      <c r="P23274">
        <v>13.43</v>
      </c>
    </row>
    <row r="23275" spans="1:16" x14ac:dyDescent="0.25">
      <c r="A23275" t="s">
        <v>3296</v>
      </c>
      <c r="B23275" t="s">
        <v>2931</v>
      </c>
      <c r="C23275">
        <v>7022</v>
      </c>
      <c r="D23275" t="str">
        <f>"5620018     "</f>
        <v xml:space="preserve">5620018     </v>
      </c>
      <c r="E23275" t="s">
        <v>449</v>
      </c>
      <c r="F23275" t="s">
        <v>450</v>
      </c>
      <c r="G23275">
        <v>23.08</v>
      </c>
      <c r="H23275">
        <v>250516</v>
      </c>
      <c r="I23275">
        <v>4600</v>
      </c>
      <c r="J23275" t="s">
        <v>278</v>
      </c>
      <c r="K23275">
        <v>375.79</v>
      </c>
      <c r="L23275">
        <v>4.6900000000000004</v>
      </c>
      <c r="M23275">
        <v>67522</v>
      </c>
      <c r="N23275" t="s">
        <v>121</v>
      </c>
      <c r="O23275">
        <v>250521</v>
      </c>
      <c r="P23275">
        <v>18.39</v>
      </c>
    </row>
    <row r="23276" spans="1:16" x14ac:dyDescent="0.25">
      <c r="A23276" t="s">
        <v>3296</v>
      </c>
      <c r="B23276" t="s">
        <v>2931</v>
      </c>
      <c r="C23276">
        <v>7022</v>
      </c>
      <c r="D23276" t="str">
        <f>"5620018     "</f>
        <v xml:space="preserve">5620018     </v>
      </c>
      <c r="E23276" t="s">
        <v>449</v>
      </c>
      <c r="F23276" t="s">
        <v>450</v>
      </c>
      <c r="G23276">
        <v>2.4</v>
      </c>
      <c r="H23276">
        <v>250516</v>
      </c>
      <c r="I23276">
        <v>4600</v>
      </c>
      <c r="J23276" t="s">
        <v>278</v>
      </c>
      <c r="K23276">
        <v>375.79</v>
      </c>
      <c r="L23276">
        <v>0.49</v>
      </c>
      <c r="M23276">
        <v>69111</v>
      </c>
      <c r="N23276" t="s">
        <v>657</v>
      </c>
      <c r="O23276">
        <v>250521</v>
      </c>
      <c r="P23276">
        <v>1.91</v>
      </c>
    </row>
    <row r="23277" spans="1:16" x14ac:dyDescent="0.25">
      <c r="A23277" t="s">
        <v>3296</v>
      </c>
      <c r="B23277" t="s">
        <v>2931</v>
      </c>
      <c r="C23277">
        <v>7043</v>
      </c>
      <c r="D23277" t="str">
        <f>"5624958     "</f>
        <v xml:space="preserve">5624958     </v>
      </c>
      <c r="E23277" t="s">
        <v>449</v>
      </c>
      <c r="F23277" t="s">
        <v>450</v>
      </c>
      <c r="G23277">
        <v>12.48</v>
      </c>
      <c r="H23277">
        <v>250515</v>
      </c>
      <c r="I23277">
        <v>4600</v>
      </c>
      <c r="J23277" t="s">
        <v>278</v>
      </c>
      <c r="K23277">
        <v>594.84</v>
      </c>
      <c r="L23277">
        <v>2.54</v>
      </c>
      <c r="M23277">
        <v>17952</v>
      </c>
      <c r="N23277" t="s">
        <v>157</v>
      </c>
      <c r="O23277">
        <v>250522</v>
      </c>
      <c r="P23277">
        <v>9.94</v>
      </c>
    </row>
    <row r="23278" spans="1:16" x14ac:dyDescent="0.25">
      <c r="A23278" t="s">
        <v>3296</v>
      </c>
      <c r="B23278" t="s">
        <v>2931</v>
      </c>
      <c r="C23278">
        <v>7056</v>
      </c>
      <c r="D23278" t="str">
        <f>"5627204     "</f>
        <v xml:space="preserve">5627204     </v>
      </c>
      <c r="E23278" t="s">
        <v>449</v>
      </c>
      <c r="F23278" t="s">
        <v>450</v>
      </c>
      <c r="G23278">
        <v>7.38</v>
      </c>
      <c r="H23278">
        <v>250515</v>
      </c>
      <c r="I23278">
        <v>4600</v>
      </c>
      <c r="J23278" t="s">
        <v>278</v>
      </c>
      <c r="K23278">
        <v>125.13</v>
      </c>
      <c r="L23278">
        <v>0.91</v>
      </c>
      <c r="M23278">
        <v>17531</v>
      </c>
      <c r="N23278" t="s">
        <v>145</v>
      </c>
      <c r="O23278">
        <v>250522</v>
      </c>
      <c r="P23278">
        <v>6.47</v>
      </c>
    </row>
    <row r="23279" spans="1:16" x14ac:dyDescent="0.25">
      <c r="A23279" t="s">
        <v>3296</v>
      </c>
      <c r="B23279" t="s">
        <v>2931</v>
      </c>
      <c r="C23279">
        <v>7060</v>
      </c>
      <c r="D23279" t="str">
        <f>"5620255     "</f>
        <v xml:space="preserve">5620255     </v>
      </c>
      <c r="E23279" t="s">
        <v>449</v>
      </c>
      <c r="F23279" t="s">
        <v>450</v>
      </c>
      <c r="G23279">
        <v>2.0499999999999998</v>
      </c>
      <c r="H23279">
        <v>250501</v>
      </c>
      <c r="I23279">
        <v>4600</v>
      </c>
      <c r="J23279" t="s">
        <v>278</v>
      </c>
      <c r="K23279">
        <v>164.38</v>
      </c>
      <c r="L23279">
        <v>0.42</v>
      </c>
      <c r="M23279">
        <v>54222</v>
      </c>
      <c r="N23279" t="s">
        <v>48</v>
      </c>
      <c r="O23279">
        <v>250522</v>
      </c>
      <c r="P23279">
        <v>1.63</v>
      </c>
    </row>
    <row r="23280" spans="1:16" x14ac:dyDescent="0.25">
      <c r="A23280" t="s">
        <v>3296</v>
      </c>
      <c r="B23280" t="s">
        <v>2931</v>
      </c>
      <c r="C23280">
        <v>7060</v>
      </c>
      <c r="D23280" t="str">
        <f>"5620255     "</f>
        <v xml:space="preserve">5620255     </v>
      </c>
      <c r="E23280" t="s">
        <v>449</v>
      </c>
      <c r="F23280" t="s">
        <v>450</v>
      </c>
      <c r="G23280">
        <v>96.01</v>
      </c>
      <c r="H23280">
        <v>250501</v>
      </c>
      <c r="I23280">
        <v>4600</v>
      </c>
      <c r="J23280" t="s">
        <v>278</v>
      </c>
      <c r="K23280">
        <v>164.38</v>
      </c>
      <c r="L23280">
        <v>19.510000000000002</v>
      </c>
      <c r="M23280">
        <v>59501</v>
      </c>
      <c r="N23280" t="s">
        <v>62</v>
      </c>
      <c r="O23280">
        <v>250522</v>
      </c>
      <c r="P23280">
        <v>76.5</v>
      </c>
    </row>
    <row r="23281" spans="1:16" x14ac:dyDescent="0.25">
      <c r="A23281" t="s">
        <v>3296</v>
      </c>
      <c r="B23281" t="s">
        <v>2931</v>
      </c>
      <c r="C23281">
        <v>7060</v>
      </c>
      <c r="D23281" t="str">
        <f>"5620255     "</f>
        <v xml:space="preserve">5620255     </v>
      </c>
      <c r="E23281" t="s">
        <v>449</v>
      </c>
      <c r="F23281" t="s">
        <v>450</v>
      </c>
      <c r="G23281">
        <v>37.950000000000003</v>
      </c>
      <c r="H23281">
        <v>250501</v>
      </c>
      <c r="I23281">
        <v>4600</v>
      </c>
      <c r="J23281" t="s">
        <v>278</v>
      </c>
      <c r="K23281">
        <v>164.38</v>
      </c>
      <c r="L23281">
        <v>7.71</v>
      </c>
      <c r="M23281">
        <v>59815</v>
      </c>
      <c r="N23281" t="s">
        <v>1001</v>
      </c>
      <c r="O23281">
        <v>250522</v>
      </c>
      <c r="P23281">
        <v>30.24</v>
      </c>
    </row>
    <row r="23282" spans="1:16" x14ac:dyDescent="0.25">
      <c r="A23282" t="s">
        <v>3296</v>
      </c>
      <c r="B23282" t="s">
        <v>2931</v>
      </c>
      <c r="C23282">
        <v>7169</v>
      </c>
      <c r="D23282" t="str">
        <f>"5625622     "</f>
        <v xml:space="preserve">5625622     </v>
      </c>
      <c r="E23282" t="s">
        <v>449</v>
      </c>
      <c r="F23282" t="s">
        <v>450</v>
      </c>
      <c r="G23282">
        <v>75.16</v>
      </c>
      <c r="H23282">
        <v>250515</v>
      </c>
      <c r="I23282">
        <v>4600</v>
      </c>
      <c r="J23282" t="s">
        <v>278</v>
      </c>
      <c r="K23282">
        <v>197.07</v>
      </c>
      <c r="L23282">
        <v>15.27</v>
      </c>
      <c r="M23282">
        <v>17529</v>
      </c>
      <c r="N23282" t="s">
        <v>143</v>
      </c>
      <c r="O23282">
        <v>250526</v>
      </c>
      <c r="P23282">
        <v>59.89</v>
      </c>
    </row>
    <row r="23283" spans="1:16" x14ac:dyDescent="0.25">
      <c r="A23283" t="s">
        <v>3296</v>
      </c>
      <c r="B23283" t="s">
        <v>2931</v>
      </c>
      <c r="C23283">
        <v>7169</v>
      </c>
      <c r="D23283" t="str">
        <f>"5625622     "</f>
        <v xml:space="preserve">5625622     </v>
      </c>
      <c r="E23283" t="s">
        <v>449</v>
      </c>
      <c r="F23283" t="s">
        <v>450</v>
      </c>
      <c r="G23283">
        <v>101.91</v>
      </c>
      <c r="H23283">
        <v>250515</v>
      </c>
      <c r="I23283">
        <v>4600</v>
      </c>
      <c r="J23283" t="s">
        <v>278</v>
      </c>
      <c r="K23283">
        <v>197.07</v>
      </c>
      <c r="L23283">
        <v>20.71</v>
      </c>
      <c r="M23283">
        <v>17529</v>
      </c>
      <c r="N23283" t="s">
        <v>143</v>
      </c>
      <c r="O23283">
        <v>250526</v>
      </c>
      <c r="P23283">
        <v>81.2</v>
      </c>
    </row>
    <row r="23284" spans="1:16" x14ac:dyDescent="0.25">
      <c r="A23284" t="s">
        <v>3296</v>
      </c>
      <c r="B23284" t="s">
        <v>2931</v>
      </c>
      <c r="C23284">
        <v>7169</v>
      </c>
      <c r="D23284" t="str">
        <f>"5625622     "</f>
        <v xml:space="preserve">5625622     </v>
      </c>
      <c r="E23284" t="s">
        <v>449</v>
      </c>
      <c r="F23284" t="s">
        <v>450</v>
      </c>
      <c r="G23284">
        <v>20</v>
      </c>
      <c r="H23284">
        <v>250515</v>
      </c>
      <c r="I23284">
        <v>4600</v>
      </c>
      <c r="J23284" t="s">
        <v>278</v>
      </c>
      <c r="K23284">
        <v>197.07</v>
      </c>
      <c r="L23284">
        <v>4.0599999999999996</v>
      </c>
      <c r="M23284">
        <v>17950</v>
      </c>
      <c r="N23284" t="s">
        <v>132</v>
      </c>
      <c r="O23284">
        <v>250526</v>
      </c>
      <c r="P23284">
        <v>15.94</v>
      </c>
    </row>
    <row r="23285" spans="1:16" x14ac:dyDescent="0.25">
      <c r="A23285" t="s">
        <v>3296</v>
      </c>
      <c r="B23285" t="s">
        <v>2931</v>
      </c>
      <c r="C23285">
        <v>7171</v>
      </c>
      <c r="D23285" t="str">
        <f>"5623571     "</f>
        <v xml:space="preserve">5623571     </v>
      </c>
      <c r="E23285" t="s">
        <v>449</v>
      </c>
      <c r="F23285" t="s">
        <v>450</v>
      </c>
      <c r="G23285">
        <v>2.96</v>
      </c>
      <c r="H23285">
        <v>250516</v>
      </c>
      <c r="I23285">
        <v>4600</v>
      </c>
      <c r="J23285" t="s">
        <v>278</v>
      </c>
      <c r="K23285">
        <v>15.55</v>
      </c>
      <c r="L23285">
        <v>0.6</v>
      </c>
      <c r="M23285">
        <v>17975</v>
      </c>
      <c r="N23285" t="s">
        <v>29</v>
      </c>
      <c r="O23285">
        <v>250526</v>
      </c>
      <c r="P23285">
        <v>2.36</v>
      </c>
    </row>
    <row r="23286" spans="1:16" x14ac:dyDescent="0.25">
      <c r="A23286" t="s">
        <v>3296</v>
      </c>
      <c r="B23286" t="s">
        <v>2931</v>
      </c>
      <c r="C23286">
        <v>7231</v>
      </c>
      <c r="D23286" t="str">
        <f>"5622711     "</f>
        <v xml:space="preserve">5622711     </v>
      </c>
      <c r="E23286" t="s">
        <v>449</v>
      </c>
      <c r="F23286" t="s">
        <v>450</v>
      </c>
      <c r="G23286">
        <v>61.14</v>
      </c>
      <c r="H23286">
        <v>250501</v>
      </c>
      <c r="I23286">
        <v>4600</v>
      </c>
      <c r="J23286" t="s">
        <v>278</v>
      </c>
      <c r="K23286">
        <v>151.13999999999999</v>
      </c>
      <c r="L23286">
        <v>12.42</v>
      </c>
      <c r="M23286">
        <v>13802</v>
      </c>
      <c r="N23286" t="s">
        <v>34</v>
      </c>
      <c r="O23286">
        <v>250527</v>
      </c>
      <c r="P23286">
        <v>48.72</v>
      </c>
    </row>
    <row r="23287" spans="1:16" x14ac:dyDescent="0.25">
      <c r="A23287" t="s">
        <v>3296</v>
      </c>
      <c r="B23287" t="s">
        <v>2931</v>
      </c>
      <c r="C23287">
        <v>7231</v>
      </c>
      <c r="D23287" t="str">
        <f>"5622711     "</f>
        <v xml:space="preserve">5622711     </v>
      </c>
      <c r="E23287" t="s">
        <v>449</v>
      </c>
      <c r="F23287" t="s">
        <v>450</v>
      </c>
      <c r="G23287">
        <v>90</v>
      </c>
      <c r="H23287">
        <v>250501</v>
      </c>
      <c r="I23287">
        <v>4600</v>
      </c>
      <c r="J23287" t="s">
        <v>278</v>
      </c>
      <c r="K23287">
        <v>151.13999999999999</v>
      </c>
      <c r="L23287">
        <v>0</v>
      </c>
      <c r="M23287">
        <v>13802</v>
      </c>
      <c r="N23287" t="s">
        <v>34</v>
      </c>
      <c r="O23287">
        <v>250527</v>
      </c>
      <c r="P23287">
        <v>90</v>
      </c>
    </row>
    <row r="23288" spans="1:16" x14ac:dyDescent="0.25">
      <c r="A23288" t="s">
        <v>3296</v>
      </c>
      <c r="B23288" t="s">
        <v>2931</v>
      </c>
      <c r="C23288">
        <v>8078</v>
      </c>
      <c r="D23288" t="str">
        <f t="shared" ref="D23288:D23294" si="531">"5627701     "</f>
        <v xml:space="preserve">5627701     </v>
      </c>
      <c r="E23288" t="s">
        <v>449</v>
      </c>
      <c r="F23288" t="s">
        <v>450</v>
      </c>
      <c r="G23288">
        <v>52.68</v>
      </c>
      <c r="H23288">
        <v>250531</v>
      </c>
      <c r="I23288">
        <v>4600</v>
      </c>
      <c r="J23288" t="s">
        <v>278</v>
      </c>
      <c r="K23288">
        <v>262</v>
      </c>
      <c r="L23288">
        <v>10.7</v>
      </c>
      <c r="M23288">
        <v>44423</v>
      </c>
      <c r="N23288" t="s">
        <v>98</v>
      </c>
      <c r="O23288">
        <v>250611</v>
      </c>
      <c r="P23288">
        <v>41.98</v>
      </c>
    </row>
    <row r="23289" spans="1:16" x14ac:dyDescent="0.25">
      <c r="A23289" t="s">
        <v>3296</v>
      </c>
      <c r="B23289" t="s">
        <v>2931</v>
      </c>
      <c r="C23289">
        <v>8078</v>
      </c>
      <c r="D23289" t="str">
        <f t="shared" si="531"/>
        <v xml:space="preserve">5627701     </v>
      </c>
      <c r="E23289" t="s">
        <v>449</v>
      </c>
      <c r="F23289" t="s">
        <v>450</v>
      </c>
      <c r="G23289">
        <v>31.24</v>
      </c>
      <c r="H23289">
        <v>250531</v>
      </c>
      <c r="I23289">
        <v>4600</v>
      </c>
      <c r="J23289" t="s">
        <v>278</v>
      </c>
      <c r="K23289">
        <v>262</v>
      </c>
      <c r="L23289">
        <v>6.35</v>
      </c>
      <c r="M23289">
        <v>46554</v>
      </c>
      <c r="N23289" t="s">
        <v>102</v>
      </c>
      <c r="O23289">
        <v>250611</v>
      </c>
      <c r="P23289">
        <v>24.89</v>
      </c>
    </row>
    <row r="23290" spans="1:16" x14ac:dyDescent="0.25">
      <c r="A23290" t="s">
        <v>3296</v>
      </c>
      <c r="B23290" t="s">
        <v>2931</v>
      </c>
      <c r="C23290">
        <v>8078</v>
      </c>
      <c r="D23290" t="str">
        <f t="shared" si="531"/>
        <v xml:space="preserve">5627701     </v>
      </c>
      <c r="E23290" t="s">
        <v>449</v>
      </c>
      <c r="F23290" t="s">
        <v>450</v>
      </c>
      <c r="G23290">
        <v>10.89</v>
      </c>
      <c r="H23290">
        <v>250531</v>
      </c>
      <c r="I23290">
        <v>4600</v>
      </c>
      <c r="J23290" t="s">
        <v>278</v>
      </c>
      <c r="K23290">
        <v>262</v>
      </c>
      <c r="L23290">
        <v>2.21</v>
      </c>
      <c r="M23290">
        <v>47522</v>
      </c>
      <c r="N23290" t="s">
        <v>106</v>
      </c>
      <c r="O23290">
        <v>250611</v>
      </c>
      <c r="P23290">
        <v>8.68</v>
      </c>
    </row>
    <row r="23291" spans="1:16" x14ac:dyDescent="0.25">
      <c r="A23291" t="s">
        <v>3296</v>
      </c>
      <c r="B23291" t="s">
        <v>2931</v>
      </c>
      <c r="C23291">
        <v>8078</v>
      </c>
      <c r="D23291" t="str">
        <f t="shared" si="531"/>
        <v xml:space="preserve">5627701     </v>
      </c>
      <c r="E23291" t="s">
        <v>449</v>
      </c>
      <c r="F23291" t="s">
        <v>450</v>
      </c>
      <c r="G23291">
        <v>18.57</v>
      </c>
      <c r="H23291">
        <v>250531</v>
      </c>
      <c r="I23291">
        <v>4600</v>
      </c>
      <c r="J23291" t="s">
        <v>278</v>
      </c>
      <c r="K23291">
        <v>262</v>
      </c>
      <c r="L23291">
        <v>3.77</v>
      </c>
      <c r="M23291">
        <v>49111</v>
      </c>
      <c r="N23291" t="s">
        <v>108</v>
      </c>
      <c r="O23291">
        <v>250611</v>
      </c>
      <c r="P23291">
        <v>14.8</v>
      </c>
    </row>
    <row r="23292" spans="1:16" x14ac:dyDescent="0.25">
      <c r="A23292" t="s">
        <v>3296</v>
      </c>
      <c r="B23292" t="s">
        <v>2931</v>
      </c>
      <c r="C23292">
        <v>8078</v>
      </c>
      <c r="D23292" t="str">
        <f t="shared" si="531"/>
        <v xml:space="preserve">5627701     </v>
      </c>
      <c r="E23292" t="s">
        <v>449</v>
      </c>
      <c r="F23292" t="s">
        <v>450</v>
      </c>
      <c r="G23292">
        <v>40.6</v>
      </c>
      <c r="H23292">
        <v>250531</v>
      </c>
      <c r="I23292">
        <v>4600</v>
      </c>
      <c r="J23292" t="s">
        <v>278</v>
      </c>
      <c r="K23292">
        <v>262</v>
      </c>
      <c r="L23292">
        <v>8.25</v>
      </c>
      <c r="M23292">
        <v>49501</v>
      </c>
      <c r="N23292" t="s">
        <v>110</v>
      </c>
      <c r="O23292">
        <v>250611</v>
      </c>
      <c r="P23292">
        <v>32.35</v>
      </c>
    </row>
    <row r="23293" spans="1:16" x14ac:dyDescent="0.25">
      <c r="A23293" t="s">
        <v>3296</v>
      </c>
      <c r="B23293" t="s">
        <v>2931</v>
      </c>
      <c r="C23293">
        <v>8078</v>
      </c>
      <c r="D23293" t="str">
        <f t="shared" si="531"/>
        <v xml:space="preserve">5627701     </v>
      </c>
      <c r="E23293" t="s">
        <v>449</v>
      </c>
      <c r="F23293" t="s">
        <v>450</v>
      </c>
      <c r="G23293">
        <v>13.09</v>
      </c>
      <c r="H23293">
        <v>250531</v>
      </c>
      <c r="I23293">
        <v>4600</v>
      </c>
      <c r="J23293" t="s">
        <v>278</v>
      </c>
      <c r="K23293">
        <v>262</v>
      </c>
      <c r="L23293">
        <v>2.66</v>
      </c>
      <c r="M23293">
        <v>49701</v>
      </c>
      <c r="N23293" t="s">
        <v>111</v>
      </c>
      <c r="O23293">
        <v>250611</v>
      </c>
      <c r="P23293">
        <v>10.43</v>
      </c>
    </row>
    <row r="23294" spans="1:16" x14ac:dyDescent="0.25">
      <c r="A23294" t="s">
        <v>3296</v>
      </c>
      <c r="B23294" t="s">
        <v>2931</v>
      </c>
      <c r="C23294">
        <v>8078</v>
      </c>
      <c r="D23294" t="str">
        <f t="shared" si="531"/>
        <v xml:space="preserve">5627701     </v>
      </c>
      <c r="E23294" t="s">
        <v>449</v>
      </c>
      <c r="F23294" t="s">
        <v>450</v>
      </c>
      <c r="G23294">
        <v>5.45</v>
      </c>
      <c r="H23294">
        <v>250531</v>
      </c>
      <c r="I23294">
        <v>4600</v>
      </c>
      <c r="J23294" t="s">
        <v>278</v>
      </c>
      <c r="K23294">
        <v>262</v>
      </c>
      <c r="L23294">
        <v>1.1100000000000001</v>
      </c>
      <c r="M23294">
        <v>49705</v>
      </c>
      <c r="N23294" t="s">
        <v>114</v>
      </c>
      <c r="O23294">
        <v>250611</v>
      </c>
      <c r="P23294">
        <v>4.34</v>
      </c>
    </row>
    <row r="23295" spans="1:16" x14ac:dyDescent="0.25">
      <c r="A23295" t="s">
        <v>3296</v>
      </c>
      <c r="B23295" t="s">
        <v>2931</v>
      </c>
      <c r="C23295">
        <v>8122</v>
      </c>
      <c r="D23295" t="str">
        <f>"5629456     "</f>
        <v xml:space="preserve">5629456     </v>
      </c>
      <c r="E23295" t="s">
        <v>449</v>
      </c>
      <c r="F23295" t="s">
        <v>450</v>
      </c>
      <c r="G23295">
        <v>10.98</v>
      </c>
      <c r="H23295">
        <v>250531</v>
      </c>
      <c r="I23295">
        <v>4600</v>
      </c>
      <c r="J23295" t="s">
        <v>278</v>
      </c>
      <c r="K23295">
        <v>120.06</v>
      </c>
      <c r="L23295">
        <v>2.23</v>
      </c>
      <c r="M23295">
        <v>17711</v>
      </c>
      <c r="N23295" t="s">
        <v>155</v>
      </c>
      <c r="O23295">
        <v>250611</v>
      </c>
      <c r="P23295">
        <v>8.75</v>
      </c>
    </row>
    <row r="23296" spans="1:16" x14ac:dyDescent="0.25">
      <c r="A23296" t="s">
        <v>3296</v>
      </c>
      <c r="B23296" t="s">
        <v>2931</v>
      </c>
      <c r="C23296">
        <v>8122</v>
      </c>
      <c r="D23296" t="str">
        <f>"5629456     "</f>
        <v xml:space="preserve">5629456     </v>
      </c>
      <c r="E23296" t="s">
        <v>449</v>
      </c>
      <c r="F23296" t="s">
        <v>450</v>
      </c>
      <c r="G23296">
        <v>8.98</v>
      </c>
      <c r="H23296">
        <v>250531</v>
      </c>
      <c r="I23296">
        <v>4600</v>
      </c>
      <c r="J23296" t="s">
        <v>278</v>
      </c>
      <c r="K23296">
        <v>120.06</v>
      </c>
      <c r="L23296">
        <v>1.82</v>
      </c>
      <c r="M23296">
        <v>17912</v>
      </c>
      <c r="N23296" t="s">
        <v>505</v>
      </c>
      <c r="O23296">
        <v>250611</v>
      </c>
      <c r="P23296">
        <v>7.16</v>
      </c>
    </row>
    <row r="23297" spans="1:16" x14ac:dyDescent="0.25">
      <c r="A23297" t="s">
        <v>3296</v>
      </c>
      <c r="B23297" t="s">
        <v>2931</v>
      </c>
      <c r="C23297">
        <v>8122</v>
      </c>
      <c r="D23297" t="str">
        <f>"5629456     "</f>
        <v xml:space="preserve">5629456     </v>
      </c>
      <c r="E23297" t="s">
        <v>449</v>
      </c>
      <c r="F23297" t="s">
        <v>450</v>
      </c>
      <c r="G23297">
        <v>11.21</v>
      </c>
      <c r="H23297">
        <v>250531</v>
      </c>
      <c r="I23297">
        <v>4600</v>
      </c>
      <c r="J23297" t="s">
        <v>278</v>
      </c>
      <c r="K23297">
        <v>120.06</v>
      </c>
      <c r="L23297">
        <v>2.2799999999999998</v>
      </c>
      <c r="M23297">
        <v>17912</v>
      </c>
      <c r="N23297" t="s">
        <v>505</v>
      </c>
      <c r="O23297">
        <v>250611</v>
      </c>
      <c r="P23297">
        <v>8.93</v>
      </c>
    </row>
    <row r="23298" spans="1:16" x14ac:dyDescent="0.25">
      <c r="A23298" t="s">
        <v>3296</v>
      </c>
      <c r="B23298" t="s">
        <v>2931</v>
      </c>
      <c r="C23298">
        <v>8122</v>
      </c>
      <c r="D23298" t="str">
        <f>"5629456     "</f>
        <v xml:space="preserve">5629456     </v>
      </c>
      <c r="E23298" t="s">
        <v>449</v>
      </c>
      <c r="F23298" t="s">
        <v>450</v>
      </c>
      <c r="G23298">
        <v>61.12</v>
      </c>
      <c r="H23298">
        <v>250531</v>
      </c>
      <c r="I23298">
        <v>4600</v>
      </c>
      <c r="J23298" t="s">
        <v>278</v>
      </c>
      <c r="K23298">
        <v>120.06</v>
      </c>
      <c r="L23298">
        <v>12.42</v>
      </c>
      <c r="M23298">
        <v>17912</v>
      </c>
      <c r="N23298" t="s">
        <v>505</v>
      </c>
      <c r="O23298">
        <v>250611</v>
      </c>
      <c r="P23298">
        <v>48.7</v>
      </c>
    </row>
    <row r="23299" spans="1:16" x14ac:dyDescent="0.25">
      <c r="A23299" t="s">
        <v>3296</v>
      </c>
      <c r="B23299" t="s">
        <v>2931</v>
      </c>
      <c r="C23299">
        <v>8135</v>
      </c>
      <c r="D23299" t="str">
        <f>"5627920     "</f>
        <v xml:space="preserve">5627920     </v>
      </c>
      <c r="E23299" t="s">
        <v>449</v>
      </c>
      <c r="F23299" t="s">
        <v>450</v>
      </c>
      <c r="G23299">
        <v>46.96</v>
      </c>
      <c r="H23299">
        <v>250531</v>
      </c>
      <c r="I23299">
        <v>4600</v>
      </c>
      <c r="J23299" t="s">
        <v>278</v>
      </c>
      <c r="K23299">
        <v>63.1</v>
      </c>
      <c r="L23299">
        <v>9.5399999999999991</v>
      </c>
      <c r="M23299">
        <v>69702</v>
      </c>
      <c r="N23299" t="s">
        <v>124</v>
      </c>
      <c r="O23299">
        <v>250611</v>
      </c>
      <c r="P23299">
        <v>37.42</v>
      </c>
    </row>
    <row r="23300" spans="1:16" x14ac:dyDescent="0.25">
      <c r="A23300" t="s">
        <v>3296</v>
      </c>
      <c r="B23300" t="s">
        <v>2931</v>
      </c>
      <c r="C23300">
        <v>8142</v>
      </c>
      <c r="D23300" t="str">
        <f>"5630163     "</f>
        <v xml:space="preserve">5630163     </v>
      </c>
      <c r="E23300" t="s">
        <v>449</v>
      </c>
      <c r="F23300" t="s">
        <v>450</v>
      </c>
      <c r="G23300">
        <v>54.27</v>
      </c>
      <c r="H23300">
        <v>250531</v>
      </c>
      <c r="I23300">
        <v>4600</v>
      </c>
      <c r="J23300" t="s">
        <v>278</v>
      </c>
      <c r="K23300">
        <v>92.25</v>
      </c>
      <c r="L23300">
        <v>11.03</v>
      </c>
      <c r="M23300">
        <v>17536</v>
      </c>
      <c r="N23300" t="s">
        <v>150</v>
      </c>
      <c r="O23300">
        <v>250611</v>
      </c>
      <c r="P23300">
        <v>43.24</v>
      </c>
    </row>
    <row r="23301" spans="1:16" x14ac:dyDescent="0.25">
      <c r="A23301" t="s">
        <v>3296</v>
      </c>
      <c r="B23301" t="s">
        <v>2931</v>
      </c>
      <c r="C23301">
        <v>8344</v>
      </c>
      <c r="D23301" t="str">
        <f>"5628172     "</f>
        <v xml:space="preserve">5628172     </v>
      </c>
      <c r="E23301" t="s">
        <v>449</v>
      </c>
      <c r="F23301" t="s">
        <v>450</v>
      </c>
      <c r="G23301">
        <v>0.49</v>
      </c>
      <c r="H23301">
        <v>250531</v>
      </c>
      <c r="I23301">
        <v>4600</v>
      </c>
      <c r="J23301" t="s">
        <v>278</v>
      </c>
      <c r="K23301">
        <v>137.69</v>
      </c>
      <c r="L23301">
        <v>0.1</v>
      </c>
      <c r="M23301">
        <v>56524</v>
      </c>
      <c r="N23301" t="s">
        <v>69</v>
      </c>
      <c r="O23301">
        <v>250613</v>
      </c>
      <c r="P23301">
        <v>0.39</v>
      </c>
    </row>
    <row r="23302" spans="1:16" x14ac:dyDescent="0.25">
      <c r="A23302" t="s">
        <v>3296</v>
      </c>
      <c r="B23302" t="s">
        <v>2931</v>
      </c>
      <c r="C23302">
        <v>8344</v>
      </c>
      <c r="D23302" t="str">
        <f>"5628172     "</f>
        <v xml:space="preserve">5628172     </v>
      </c>
      <c r="E23302" t="s">
        <v>449</v>
      </c>
      <c r="F23302" t="s">
        <v>450</v>
      </c>
      <c r="G23302">
        <v>115.61</v>
      </c>
      <c r="H23302">
        <v>250531</v>
      </c>
      <c r="I23302">
        <v>4600</v>
      </c>
      <c r="J23302" t="s">
        <v>278</v>
      </c>
      <c r="K23302">
        <v>137.69</v>
      </c>
      <c r="L23302">
        <v>23.49</v>
      </c>
      <c r="M23302">
        <v>59815</v>
      </c>
      <c r="N23302" t="s">
        <v>1001</v>
      </c>
      <c r="O23302">
        <v>250613</v>
      </c>
      <c r="P23302">
        <v>92.12</v>
      </c>
    </row>
    <row r="23303" spans="1:16" x14ac:dyDescent="0.25">
      <c r="A23303" t="s">
        <v>3296</v>
      </c>
      <c r="B23303" t="s">
        <v>2931</v>
      </c>
      <c r="C23303">
        <v>8697</v>
      </c>
      <c r="D23303" t="str">
        <f>"5628855     "</f>
        <v xml:space="preserve">5628855     </v>
      </c>
      <c r="E23303" t="s">
        <v>449</v>
      </c>
      <c r="F23303" t="s">
        <v>450</v>
      </c>
      <c r="G23303">
        <v>30.18</v>
      </c>
      <c r="H23303">
        <v>250531</v>
      </c>
      <c r="I23303">
        <v>4600</v>
      </c>
      <c r="J23303" t="s">
        <v>278</v>
      </c>
      <c r="K23303">
        <v>73.66</v>
      </c>
      <c r="L23303">
        <v>6.13</v>
      </c>
      <c r="M23303">
        <v>17971</v>
      </c>
      <c r="N23303" t="s">
        <v>27</v>
      </c>
      <c r="O23303">
        <v>250617</v>
      </c>
      <c r="P23303">
        <v>24.05</v>
      </c>
    </row>
    <row r="23304" spans="1:16" x14ac:dyDescent="0.25">
      <c r="A23304" t="s">
        <v>3296</v>
      </c>
      <c r="B23304" t="s">
        <v>2931</v>
      </c>
      <c r="C23304">
        <v>9359</v>
      </c>
      <c r="D23304" t="str">
        <f>"5637484     "</f>
        <v xml:space="preserve">5637484     </v>
      </c>
      <c r="E23304" t="s">
        <v>449</v>
      </c>
      <c r="F23304" t="s">
        <v>450</v>
      </c>
      <c r="G23304">
        <v>49.11</v>
      </c>
      <c r="H23304">
        <v>250630</v>
      </c>
      <c r="I23304">
        <v>4600</v>
      </c>
      <c r="J23304" t="s">
        <v>278</v>
      </c>
      <c r="K23304">
        <v>97.2</v>
      </c>
      <c r="L23304">
        <v>9.98</v>
      </c>
      <c r="M23304">
        <v>17912</v>
      </c>
      <c r="N23304" t="s">
        <v>505</v>
      </c>
      <c r="O23304">
        <v>250704</v>
      </c>
      <c r="P23304">
        <v>39.130000000000003</v>
      </c>
    </row>
    <row r="23305" spans="1:16" x14ac:dyDescent="0.25">
      <c r="A23305" t="s">
        <v>3296</v>
      </c>
      <c r="B23305" t="s">
        <v>2931</v>
      </c>
      <c r="C23305">
        <v>9387</v>
      </c>
      <c r="D23305" t="str">
        <f>"5636501     "</f>
        <v xml:space="preserve">5636501     </v>
      </c>
      <c r="E23305" t="s">
        <v>449</v>
      </c>
      <c r="F23305" t="s">
        <v>450</v>
      </c>
      <c r="G23305">
        <v>138.01</v>
      </c>
      <c r="H23305">
        <v>250630</v>
      </c>
      <c r="I23305">
        <v>4600</v>
      </c>
      <c r="J23305" t="s">
        <v>278</v>
      </c>
      <c r="K23305">
        <v>138.01</v>
      </c>
      <c r="L23305">
        <v>28.04</v>
      </c>
      <c r="M23305">
        <v>59111</v>
      </c>
      <c r="N23305" t="s">
        <v>60</v>
      </c>
      <c r="O23305">
        <v>250707</v>
      </c>
      <c r="P23305">
        <v>109.97</v>
      </c>
    </row>
    <row r="23306" spans="1:16" x14ac:dyDescent="0.25">
      <c r="A23306" t="s">
        <v>3296</v>
      </c>
      <c r="B23306" t="s">
        <v>2931</v>
      </c>
      <c r="C23306">
        <v>9489</v>
      </c>
      <c r="D23306" t="str">
        <f>"5636191     "</f>
        <v xml:space="preserve">5636191     </v>
      </c>
      <c r="E23306" t="s">
        <v>449</v>
      </c>
      <c r="F23306" t="s">
        <v>450</v>
      </c>
      <c r="G23306">
        <v>62.44</v>
      </c>
      <c r="H23306">
        <v>250630</v>
      </c>
      <c r="I23306">
        <v>4600</v>
      </c>
      <c r="J23306" t="s">
        <v>278</v>
      </c>
      <c r="K23306">
        <v>86.73</v>
      </c>
      <c r="L23306">
        <v>12.69</v>
      </c>
      <c r="M23306">
        <v>49501</v>
      </c>
      <c r="N23306" t="s">
        <v>110</v>
      </c>
      <c r="O23306">
        <v>250709</v>
      </c>
      <c r="P23306">
        <v>49.75</v>
      </c>
    </row>
    <row r="23307" spans="1:16" x14ac:dyDescent="0.25">
      <c r="A23307" t="s">
        <v>3296</v>
      </c>
      <c r="B23307" t="s">
        <v>2931</v>
      </c>
      <c r="C23307">
        <v>9616</v>
      </c>
      <c r="D23307" t="str">
        <f>"5636991     "</f>
        <v xml:space="preserve">5636991     </v>
      </c>
      <c r="E23307" t="s">
        <v>449</v>
      </c>
      <c r="F23307" t="s">
        <v>450</v>
      </c>
      <c r="G23307">
        <v>20.68</v>
      </c>
      <c r="H23307">
        <v>250630</v>
      </c>
      <c r="I23307">
        <v>4600</v>
      </c>
      <c r="J23307" t="s">
        <v>278</v>
      </c>
      <c r="K23307">
        <v>71.98</v>
      </c>
      <c r="L23307">
        <v>0</v>
      </c>
      <c r="M23307">
        <v>17808</v>
      </c>
      <c r="N23307" t="s">
        <v>24</v>
      </c>
      <c r="O23307">
        <v>250721</v>
      </c>
      <c r="P23307">
        <v>20.68</v>
      </c>
    </row>
    <row r="23308" spans="1:16" x14ac:dyDescent="0.25">
      <c r="A23308" t="s">
        <v>3296</v>
      </c>
      <c r="B23308" t="s">
        <v>2931</v>
      </c>
      <c r="C23308">
        <v>9616</v>
      </c>
      <c r="D23308" t="str">
        <f>"5636991     "</f>
        <v xml:space="preserve">5636991     </v>
      </c>
      <c r="E23308" t="s">
        <v>449</v>
      </c>
      <c r="F23308" t="s">
        <v>450</v>
      </c>
      <c r="G23308">
        <v>51.3</v>
      </c>
      <c r="H23308">
        <v>250630</v>
      </c>
      <c r="I23308">
        <v>4600</v>
      </c>
      <c r="J23308" t="s">
        <v>278</v>
      </c>
      <c r="K23308">
        <v>71.98</v>
      </c>
      <c r="L23308">
        <v>0</v>
      </c>
      <c r="M23308">
        <v>17808</v>
      </c>
      <c r="N23308" t="s">
        <v>24</v>
      </c>
      <c r="O23308">
        <v>250721</v>
      </c>
      <c r="P23308">
        <v>51.3</v>
      </c>
    </row>
    <row r="23309" spans="1:16" x14ac:dyDescent="0.25">
      <c r="A23309" t="s">
        <v>3296</v>
      </c>
      <c r="B23309" t="s">
        <v>2931</v>
      </c>
      <c r="C23309">
        <v>9933</v>
      </c>
      <c r="D23309" t="str">
        <f>"5643507     "</f>
        <v xml:space="preserve">5643507     </v>
      </c>
      <c r="E23309" t="s">
        <v>449</v>
      </c>
      <c r="F23309" t="s">
        <v>450</v>
      </c>
      <c r="G23309">
        <v>34.06</v>
      </c>
      <c r="H23309">
        <v>250731</v>
      </c>
      <c r="I23309">
        <v>4600</v>
      </c>
      <c r="J23309" t="s">
        <v>278</v>
      </c>
      <c r="K23309">
        <v>34.06</v>
      </c>
      <c r="L23309">
        <v>6.92</v>
      </c>
      <c r="M23309">
        <v>59501</v>
      </c>
      <c r="N23309" t="s">
        <v>62</v>
      </c>
      <c r="O23309">
        <v>250805</v>
      </c>
      <c r="P23309">
        <v>27.14</v>
      </c>
    </row>
    <row r="23310" spans="1:16" x14ac:dyDescent="0.25">
      <c r="A23310" t="s">
        <v>3296</v>
      </c>
      <c r="B23310" t="s">
        <v>2931</v>
      </c>
      <c r="C23310">
        <v>9991</v>
      </c>
      <c r="D23310" t="str">
        <f>"5643236     "</f>
        <v xml:space="preserve">5643236     </v>
      </c>
      <c r="E23310" t="s">
        <v>449</v>
      </c>
      <c r="F23310" t="s">
        <v>450</v>
      </c>
      <c r="G23310">
        <v>57.9</v>
      </c>
      <c r="H23310">
        <v>250731</v>
      </c>
      <c r="I23310">
        <v>4600</v>
      </c>
      <c r="J23310" t="s">
        <v>278</v>
      </c>
      <c r="K23310">
        <v>78.27</v>
      </c>
      <c r="L23310">
        <v>11.76</v>
      </c>
      <c r="M23310">
        <v>49501</v>
      </c>
      <c r="N23310" t="s">
        <v>110</v>
      </c>
      <c r="O23310">
        <v>250806</v>
      </c>
      <c r="P23310">
        <v>46.14</v>
      </c>
    </row>
    <row r="23311" spans="1:16" x14ac:dyDescent="0.25">
      <c r="A23311" t="s">
        <v>3296</v>
      </c>
      <c r="B23311" t="s">
        <v>2931</v>
      </c>
      <c r="C23311">
        <v>10040</v>
      </c>
      <c r="D23311" t="str">
        <f>"5644480     "</f>
        <v xml:space="preserve">5644480     </v>
      </c>
      <c r="E23311" t="s">
        <v>449</v>
      </c>
      <c r="F23311" t="s">
        <v>450</v>
      </c>
      <c r="G23311">
        <v>37.79</v>
      </c>
      <c r="H23311">
        <v>250731</v>
      </c>
      <c r="I23311">
        <v>4600</v>
      </c>
      <c r="J23311" t="s">
        <v>278</v>
      </c>
      <c r="K23311">
        <v>127.35</v>
      </c>
      <c r="L23311">
        <v>7.68</v>
      </c>
      <c r="M23311">
        <v>17711</v>
      </c>
      <c r="N23311" t="s">
        <v>155</v>
      </c>
      <c r="O23311">
        <v>250808</v>
      </c>
      <c r="P23311">
        <v>30.11</v>
      </c>
    </row>
    <row r="23312" spans="1:16" x14ac:dyDescent="0.25">
      <c r="A23312" t="s">
        <v>3296</v>
      </c>
      <c r="B23312" t="s">
        <v>2931</v>
      </c>
      <c r="C23312">
        <v>10040</v>
      </c>
      <c r="D23312" t="str">
        <f>"5644480     "</f>
        <v xml:space="preserve">5644480     </v>
      </c>
      <c r="E23312" t="s">
        <v>449</v>
      </c>
      <c r="F23312" t="s">
        <v>450</v>
      </c>
      <c r="G23312">
        <v>73.7</v>
      </c>
      <c r="H23312">
        <v>250731</v>
      </c>
      <c r="I23312">
        <v>4600</v>
      </c>
      <c r="J23312" t="s">
        <v>278</v>
      </c>
      <c r="K23312">
        <v>127.35</v>
      </c>
      <c r="L23312">
        <v>14.97</v>
      </c>
      <c r="M23312">
        <v>17912</v>
      </c>
      <c r="N23312" t="s">
        <v>505</v>
      </c>
      <c r="O23312">
        <v>250808</v>
      </c>
      <c r="P23312">
        <v>58.73</v>
      </c>
    </row>
    <row r="23313" spans="1:16" x14ac:dyDescent="0.25">
      <c r="A23313" t="s">
        <v>3296</v>
      </c>
      <c r="B23313" t="s">
        <v>2931</v>
      </c>
      <c r="C23313">
        <v>10509</v>
      </c>
      <c r="D23313" t="str">
        <f>"5647885     "</f>
        <v xml:space="preserve">5647885     </v>
      </c>
      <c r="E23313" t="s">
        <v>449</v>
      </c>
      <c r="F23313" t="s">
        <v>450</v>
      </c>
      <c r="G23313">
        <v>49.01</v>
      </c>
      <c r="H23313">
        <v>250815</v>
      </c>
      <c r="I23313">
        <v>4600</v>
      </c>
      <c r="J23313" t="s">
        <v>278</v>
      </c>
      <c r="K23313">
        <v>211.23</v>
      </c>
      <c r="L23313">
        <v>9.9600000000000009</v>
      </c>
      <c r="M23313">
        <v>17737</v>
      </c>
      <c r="N23313" t="s">
        <v>156</v>
      </c>
      <c r="O23313">
        <v>250820</v>
      </c>
      <c r="P23313">
        <v>39.049999999999997</v>
      </c>
    </row>
    <row r="23314" spans="1:16" x14ac:dyDescent="0.25">
      <c r="A23314" t="s">
        <v>3296</v>
      </c>
      <c r="B23314" t="s">
        <v>2931</v>
      </c>
      <c r="C23314">
        <v>10509</v>
      </c>
      <c r="D23314" t="str">
        <f>"5647885     "</f>
        <v xml:space="preserve">5647885     </v>
      </c>
      <c r="E23314" t="s">
        <v>449</v>
      </c>
      <c r="F23314" t="s">
        <v>450</v>
      </c>
      <c r="G23314">
        <v>22.08</v>
      </c>
      <c r="H23314">
        <v>250815</v>
      </c>
      <c r="I23314">
        <v>4600</v>
      </c>
      <c r="J23314" t="s">
        <v>278</v>
      </c>
      <c r="K23314">
        <v>211.23</v>
      </c>
      <c r="L23314">
        <v>4.49</v>
      </c>
      <c r="M23314">
        <v>17912</v>
      </c>
      <c r="N23314" t="s">
        <v>505</v>
      </c>
      <c r="O23314">
        <v>250820</v>
      </c>
      <c r="P23314">
        <v>17.59</v>
      </c>
    </row>
    <row r="23315" spans="1:16" x14ac:dyDescent="0.25">
      <c r="A23315" t="s">
        <v>3296</v>
      </c>
      <c r="B23315" t="s">
        <v>2931</v>
      </c>
      <c r="C23315">
        <v>10509</v>
      </c>
      <c r="D23315" t="str">
        <f>"5647885     "</f>
        <v xml:space="preserve">5647885     </v>
      </c>
      <c r="E23315" t="s">
        <v>449</v>
      </c>
      <c r="F23315" t="s">
        <v>450</v>
      </c>
      <c r="G23315">
        <v>37.94</v>
      </c>
      <c r="H23315">
        <v>250815</v>
      </c>
      <c r="I23315">
        <v>4600</v>
      </c>
      <c r="J23315" t="s">
        <v>278</v>
      </c>
      <c r="K23315">
        <v>211.23</v>
      </c>
      <c r="L23315">
        <v>7.71</v>
      </c>
      <c r="M23315">
        <v>17912</v>
      </c>
      <c r="N23315" t="s">
        <v>505</v>
      </c>
      <c r="O23315">
        <v>250820</v>
      </c>
      <c r="P23315">
        <v>30.23</v>
      </c>
    </row>
    <row r="23316" spans="1:16" x14ac:dyDescent="0.25">
      <c r="A23316" t="s">
        <v>3296</v>
      </c>
      <c r="B23316" t="s">
        <v>2931</v>
      </c>
      <c r="C23316">
        <v>10509</v>
      </c>
      <c r="D23316" t="str">
        <f>"5647885     "</f>
        <v xml:space="preserve">5647885     </v>
      </c>
      <c r="E23316" t="s">
        <v>449</v>
      </c>
      <c r="F23316" t="s">
        <v>450</v>
      </c>
      <c r="G23316">
        <v>0.9</v>
      </c>
      <c r="H23316">
        <v>250815</v>
      </c>
      <c r="I23316">
        <v>4600</v>
      </c>
      <c r="J23316" t="s">
        <v>278</v>
      </c>
      <c r="K23316">
        <v>211.23</v>
      </c>
      <c r="L23316">
        <v>0.18</v>
      </c>
      <c r="M23316">
        <v>17971</v>
      </c>
      <c r="N23316" t="s">
        <v>27</v>
      </c>
      <c r="O23316">
        <v>250820</v>
      </c>
      <c r="P23316">
        <v>0.72</v>
      </c>
    </row>
    <row r="23317" spans="1:16" x14ac:dyDescent="0.25">
      <c r="A23317" t="s">
        <v>3296</v>
      </c>
      <c r="B23317" t="s">
        <v>2931</v>
      </c>
      <c r="C23317">
        <v>10513</v>
      </c>
      <c r="D23317" t="str">
        <f>"5650009     "</f>
        <v xml:space="preserve">5650009     </v>
      </c>
      <c r="E23317" t="s">
        <v>449</v>
      </c>
      <c r="F23317" t="s">
        <v>450</v>
      </c>
      <c r="G23317">
        <v>30.36</v>
      </c>
      <c r="H23317">
        <v>250815</v>
      </c>
      <c r="I23317">
        <v>4600</v>
      </c>
      <c r="J23317" t="s">
        <v>278</v>
      </c>
      <c r="K23317">
        <v>30.36</v>
      </c>
      <c r="L23317">
        <v>6.17</v>
      </c>
      <c r="M23317">
        <v>17950</v>
      </c>
      <c r="N23317" t="s">
        <v>132</v>
      </c>
      <c r="O23317">
        <v>250820</v>
      </c>
      <c r="P23317">
        <v>24.19</v>
      </c>
    </row>
    <row r="23318" spans="1:16" x14ac:dyDescent="0.25">
      <c r="A23318" t="s">
        <v>3296</v>
      </c>
      <c r="B23318" t="s">
        <v>2931</v>
      </c>
      <c r="C23318">
        <v>11215</v>
      </c>
      <c r="D23318" t="str">
        <f>"5652154     "</f>
        <v xml:space="preserve">5652154     </v>
      </c>
      <c r="E23318" t="s">
        <v>449</v>
      </c>
      <c r="F23318" t="s">
        <v>450</v>
      </c>
      <c r="G23318">
        <v>78.25</v>
      </c>
      <c r="H23318">
        <v>250831</v>
      </c>
      <c r="I23318">
        <v>4600</v>
      </c>
      <c r="J23318" t="s">
        <v>278</v>
      </c>
      <c r="K23318">
        <v>229.35</v>
      </c>
      <c r="L23318">
        <v>15.9</v>
      </c>
      <c r="M23318">
        <v>17131</v>
      </c>
      <c r="N23318" t="s">
        <v>154</v>
      </c>
      <c r="O23318">
        <v>250902</v>
      </c>
      <c r="P23318">
        <v>62.35</v>
      </c>
    </row>
    <row r="23319" spans="1:16" x14ac:dyDescent="0.25">
      <c r="A23319" t="s">
        <v>3296</v>
      </c>
      <c r="B23319" t="s">
        <v>2931</v>
      </c>
      <c r="C23319">
        <v>11215</v>
      </c>
      <c r="D23319" t="str">
        <f>"5652154     "</f>
        <v xml:space="preserve">5652154     </v>
      </c>
      <c r="E23319" t="s">
        <v>449</v>
      </c>
      <c r="F23319" t="s">
        <v>450</v>
      </c>
      <c r="G23319">
        <v>9.17</v>
      </c>
      <c r="H23319">
        <v>250831</v>
      </c>
      <c r="I23319">
        <v>4600</v>
      </c>
      <c r="J23319" t="s">
        <v>278</v>
      </c>
      <c r="K23319">
        <v>229.35</v>
      </c>
      <c r="L23319">
        <v>1.86</v>
      </c>
      <c r="M23319">
        <v>17912</v>
      </c>
      <c r="N23319" t="s">
        <v>505</v>
      </c>
      <c r="O23319">
        <v>250902</v>
      </c>
      <c r="P23319">
        <v>7.31</v>
      </c>
    </row>
    <row r="23320" spans="1:16" x14ac:dyDescent="0.25">
      <c r="A23320" t="s">
        <v>3296</v>
      </c>
      <c r="B23320" t="s">
        <v>2931</v>
      </c>
      <c r="C23320">
        <v>11319</v>
      </c>
      <c r="D23320" t="str">
        <f>"5650979     "</f>
        <v xml:space="preserve">5650979     </v>
      </c>
      <c r="E23320" t="s">
        <v>449</v>
      </c>
      <c r="F23320" t="s">
        <v>450</v>
      </c>
      <c r="G23320">
        <v>14.82</v>
      </c>
      <c r="H23320">
        <v>250831</v>
      </c>
      <c r="I23320">
        <v>4600</v>
      </c>
      <c r="J23320" t="s">
        <v>278</v>
      </c>
      <c r="K23320">
        <v>107.73</v>
      </c>
      <c r="L23320">
        <v>3.01</v>
      </c>
      <c r="M23320">
        <v>56558</v>
      </c>
      <c r="N23320" t="s">
        <v>50</v>
      </c>
      <c r="O23320">
        <v>250903</v>
      </c>
      <c r="P23320">
        <v>11.81</v>
      </c>
    </row>
    <row r="23321" spans="1:16" x14ac:dyDescent="0.25">
      <c r="A23321" t="s">
        <v>3296</v>
      </c>
      <c r="B23321" t="s">
        <v>2931</v>
      </c>
      <c r="C23321">
        <v>11319</v>
      </c>
      <c r="D23321" t="str">
        <f>"5650979     "</f>
        <v xml:space="preserve">5650979     </v>
      </c>
      <c r="E23321" t="s">
        <v>449</v>
      </c>
      <c r="F23321" t="s">
        <v>450</v>
      </c>
      <c r="G23321">
        <v>56.66</v>
      </c>
      <c r="H23321">
        <v>250831</v>
      </c>
      <c r="I23321">
        <v>4600</v>
      </c>
      <c r="J23321" t="s">
        <v>278</v>
      </c>
      <c r="K23321">
        <v>107.73</v>
      </c>
      <c r="L23321">
        <v>11.51</v>
      </c>
      <c r="M23321">
        <v>59111</v>
      </c>
      <c r="N23321" t="s">
        <v>60</v>
      </c>
      <c r="O23321">
        <v>250903</v>
      </c>
      <c r="P23321">
        <v>45.15</v>
      </c>
    </row>
    <row r="23322" spans="1:16" x14ac:dyDescent="0.25">
      <c r="A23322" t="s">
        <v>3296</v>
      </c>
      <c r="B23322" t="s">
        <v>2931</v>
      </c>
      <c r="C23322">
        <v>11319</v>
      </c>
      <c r="D23322" t="str">
        <f>"5650979     "</f>
        <v xml:space="preserve">5650979     </v>
      </c>
      <c r="E23322" t="s">
        <v>449</v>
      </c>
      <c r="F23322" t="s">
        <v>450</v>
      </c>
      <c r="G23322">
        <v>36.25</v>
      </c>
      <c r="H23322">
        <v>250831</v>
      </c>
      <c r="I23322">
        <v>4600</v>
      </c>
      <c r="J23322" t="s">
        <v>278</v>
      </c>
      <c r="K23322">
        <v>107.73</v>
      </c>
      <c r="L23322">
        <v>4.45</v>
      </c>
      <c r="M23322">
        <v>59705</v>
      </c>
      <c r="N23322" t="s">
        <v>47</v>
      </c>
      <c r="O23322">
        <v>250903</v>
      </c>
      <c r="P23322">
        <v>31.8</v>
      </c>
    </row>
    <row r="23323" spans="1:16" x14ac:dyDescent="0.25">
      <c r="A23323" t="s">
        <v>3296</v>
      </c>
      <c r="B23323" t="s">
        <v>2931</v>
      </c>
      <c r="C23323">
        <v>11448</v>
      </c>
      <c r="D23323" t="str">
        <f>"5654300     "</f>
        <v xml:space="preserve">5654300     </v>
      </c>
      <c r="E23323" t="s">
        <v>449</v>
      </c>
      <c r="F23323" t="s">
        <v>450</v>
      </c>
      <c r="G23323">
        <v>11.37</v>
      </c>
      <c r="H23323">
        <v>250831</v>
      </c>
      <c r="I23323">
        <v>4600</v>
      </c>
      <c r="J23323" t="s">
        <v>278</v>
      </c>
      <c r="K23323">
        <v>312.93</v>
      </c>
      <c r="L23323">
        <v>2.31</v>
      </c>
      <c r="M23323">
        <v>17525</v>
      </c>
      <c r="N23323" t="s">
        <v>140</v>
      </c>
      <c r="O23323">
        <v>250905</v>
      </c>
      <c r="P23323">
        <v>9.06</v>
      </c>
    </row>
    <row r="23324" spans="1:16" x14ac:dyDescent="0.25">
      <c r="A23324" t="s">
        <v>3296</v>
      </c>
      <c r="B23324" t="s">
        <v>2931</v>
      </c>
      <c r="C23324">
        <v>11448</v>
      </c>
      <c r="D23324" t="str">
        <f>"5654300     "</f>
        <v xml:space="preserve">5654300     </v>
      </c>
      <c r="E23324" t="s">
        <v>449</v>
      </c>
      <c r="F23324" t="s">
        <v>450</v>
      </c>
      <c r="G23324">
        <v>25.7</v>
      </c>
      <c r="H23324">
        <v>250831</v>
      </c>
      <c r="I23324">
        <v>4600</v>
      </c>
      <c r="J23324" t="s">
        <v>278</v>
      </c>
      <c r="K23324">
        <v>312.93</v>
      </c>
      <c r="L23324">
        <v>5.22</v>
      </c>
      <c r="M23324">
        <v>17538</v>
      </c>
      <c r="N23324" t="s">
        <v>129</v>
      </c>
      <c r="O23324">
        <v>250905</v>
      </c>
      <c r="P23324">
        <v>20.48</v>
      </c>
    </row>
    <row r="23325" spans="1:16" x14ac:dyDescent="0.25">
      <c r="A23325" t="s">
        <v>3296</v>
      </c>
      <c r="B23325" t="s">
        <v>2931</v>
      </c>
      <c r="C23325">
        <v>11449</v>
      </c>
      <c r="D23325" t="str">
        <f t="shared" ref="D23325:D23332" si="532">"5650551     "</f>
        <v xml:space="preserve">5650551     </v>
      </c>
      <c r="E23325" t="s">
        <v>449</v>
      </c>
      <c r="F23325" t="s">
        <v>450</v>
      </c>
      <c r="G23325">
        <v>20.85</v>
      </c>
      <c r="H23325">
        <v>250831</v>
      </c>
      <c r="I23325">
        <v>4600</v>
      </c>
      <c r="J23325" t="s">
        <v>278</v>
      </c>
      <c r="K23325">
        <v>703.03</v>
      </c>
      <c r="L23325">
        <v>4.24</v>
      </c>
      <c r="M23325">
        <v>44222</v>
      </c>
      <c r="N23325" t="s">
        <v>96</v>
      </c>
      <c r="O23325">
        <v>250905</v>
      </c>
      <c r="P23325">
        <v>16.61</v>
      </c>
    </row>
    <row r="23326" spans="1:16" x14ac:dyDescent="0.25">
      <c r="A23326" t="s">
        <v>3296</v>
      </c>
      <c r="B23326" t="s">
        <v>2931</v>
      </c>
      <c r="C23326">
        <v>11449</v>
      </c>
      <c r="D23326" t="str">
        <f t="shared" si="532"/>
        <v xml:space="preserve">5650551     </v>
      </c>
      <c r="E23326" t="s">
        <v>449</v>
      </c>
      <c r="F23326" t="s">
        <v>450</v>
      </c>
      <c r="G23326">
        <v>68.55</v>
      </c>
      <c r="H23326">
        <v>250831</v>
      </c>
      <c r="I23326">
        <v>4600</v>
      </c>
      <c r="J23326" t="s">
        <v>278</v>
      </c>
      <c r="K23326">
        <v>703.03</v>
      </c>
      <c r="L23326">
        <v>13.93</v>
      </c>
      <c r="M23326">
        <v>44222</v>
      </c>
      <c r="N23326" t="s">
        <v>96</v>
      </c>
      <c r="O23326">
        <v>250905</v>
      </c>
      <c r="P23326">
        <v>54.62</v>
      </c>
    </row>
    <row r="23327" spans="1:16" x14ac:dyDescent="0.25">
      <c r="A23327" t="s">
        <v>3296</v>
      </c>
      <c r="B23327" t="s">
        <v>2931</v>
      </c>
      <c r="C23327">
        <v>11449</v>
      </c>
      <c r="D23327" t="str">
        <f t="shared" si="532"/>
        <v xml:space="preserve">5650551     </v>
      </c>
      <c r="E23327" t="s">
        <v>449</v>
      </c>
      <c r="F23327" t="s">
        <v>450</v>
      </c>
      <c r="G23327">
        <v>110.96</v>
      </c>
      <c r="H23327">
        <v>250831</v>
      </c>
      <c r="I23327">
        <v>4600</v>
      </c>
      <c r="J23327" t="s">
        <v>278</v>
      </c>
      <c r="K23327">
        <v>703.03</v>
      </c>
      <c r="L23327">
        <v>22.55</v>
      </c>
      <c r="M23327">
        <v>46222</v>
      </c>
      <c r="N23327" t="s">
        <v>101</v>
      </c>
      <c r="O23327">
        <v>250905</v>
      </c>
      <c r="P23327">
        <v>88.41</v>
      </c>
    </row>
    <row r="23328" spans="1:16" x14ac:dyDescent="0.25">
      <c r="A23328" t="s">
        <v>3296</v>
      </c>
      <c r="B23328" t="s">
        <v>2931</v>
      </c>
      <c r="C23328">
        <v>11449</v>
      </c>
      <c r="D23328" t="str">
        <f t="shared" si="532"/>
        <v xml:space="preserve">5650551     </v>
      </c>
      <c r="E23328" t="s">
        <v>449</v>
      </c>
      <c r="F23328" t="s">
        <v>450</v>
      </c>
      <c r="G23328">
        <v>7.11</v>
      </c>
      <c r="H23328">
        <v>250831</v>
      </c>
      <c r="I23328">
        <v>4600</v>
      </c>
      <c r="J23328" t="s">
        <v>278</v>
      </c>
      <c r="K23328">
        <v>703.03</v>
      </c>
      <c r="L23328">
        <v>1.44</v>
      </c>
      <c r="M23328">
        <v>46554</v>
      </c>
      <c r="N23328" t="s">
        <v>102</v>
      </c>
      <c r="O23328">
        <v>250905</v>
      </c>
      <c r="P23328">
        <v>5.67</v>
      </c>
    </row>
    <row r="23329" spans="1:16" x14ac:dyDescent="0.25">
      <c r="A23329" t="s">
        <v>3296</v>
      </c>
      <c r="B23329" t="s">
        <v>2931</v>
      </c>
      <c r="C23329">
        <v>11449</v>
      </c>
      <c r="D23329" t="str">
        <f t="shared" si="532"/>
        <v xml:space="preserve">5650551     </v>
      </c>
      <c r="E23329" t="s">
        <v>449</v>
      </c>
      <c r="F23329" t="s">
        <v>450</v>
      </c>
      <c r="G23329">
        <v>15.66</v>
      </c>
      <c r="H23329">
        <v>250831</v>
      </c>
      <c r="I23329">
        <v>4600</v>
      </c>
      <c r="J23329" t="s">
        <v>278</v>
      </c>
      <c r="K23329">
        <v>703.03</v>
      </c>
      <c r="L23329">
        <v>3.18</v>
      </c>
      <c r="M23329">
        <v>46556</v>
      </c>
      <c r="N23329" t="s">
        <v>458</v>
      </c>
      <c r="O23329">
        <v>250905</v>
      </c>
      <c r="P23329">
        <v>12.48</v>
      </c>
    </row>
    <row r="23330" spans="1:16" x14ac:dyDescent="0.25">
      <c r="A23330" t="s">
        <v>3296</v>
      </c>
      <c r="B23330" t="s">
        <v>2931</v>
      </c>
      <c r="C23330">
        <v>11449</v>
      </c>
      <c r="D23330" t="str">
        <f t="shared" si="532"/>
        <v xml:space="preserve">5650551     </v>
      </c>
      <c r="E23330" t="s">
        <v>449</v>
      </c>
      <c r="F23330" t="s">
        <v>450</v>
      </c>
      <c r="G23330">
        <v>94.49</v>
      </c>
      <c r="H23330">
        <v>250831</v>
      </c>
      <c r="I23330">
        <v>4600</v>
      </c>
      <c r="J23330" t="s">
        <v>278</v>
      </c>
      <c r="K23330">
        <v>703.03</v>
      </c>
      <c r="L23330">
        <v>19.2</v>
      </c>
      <c r="M23330">
        <v>47522</v>
      </c>
      <c r="N23330" t="s">
        <v>106</v>
      </c>
      <c r="O23330">
        <v>250905</v>
      </c>
      <c r="P23330">
        <v>75.290000000000006</v>
      </c>
    </row>
    <row r="23331" spans="1:16" x14ac:dyDescent="0.25">
      <c r="A23331" t="s">
        <v>3296</v>
      </c>
      <c r="B23331" t="s">
        <v>2931</v>
      </c>
      <c r="C23331">
        <v>11449</v>
      </c>
      <c r="D23331" t="str">
        <f t="shared" si="532"/>
        <v xml:space="preserve">5650551     </v>
      </c>
      <c r="E23331" t="s">
        <v>449</v>
      </c>
      <c r="F23331" t="s">
        <v>450</v>
      </c>
      <c r="G23331">
        <v>67.44</v>
      </c>
      <c r="H23331">
        <v>250831</v>
      </c>
      <c r="I23331">
        <v>4600</v>
      </c>
      <c r="J23331" t="s">
        <v>278</v>
      </c>
      <c r="K23331">
        <v>703.03</v>
      </c>
      <c r="L23331">
        <v>13.7</v>
      </c>
      <c r="M23331">
        <v>49111</v>
      </c>
      <c r="N23331" t="s">
        <v>108</v>
      </c>
      <c r="O23331">
        <v>250905</v>
      </c>
      <c r="P23331">
        <v>53.74</v>
      </c>
    </row>
    <row r="23332" spans="1:16" x14ac:dyDescent="0.25">
      <c r="A23332" t="s">
        <v>3296</v>
      </c>
      <c r="B23332" t="s">
        <v>2931</v>
      </c>
      <c r="C23332">
        <v>11449</v>
      </c>
      <c r="D23332" t="str">
        <f t="shared" si="532"/>
        <v xml:space="preserve">5650551     </v>
      </c>
      <c r="E23332" t="s">
        <v>449</v>
      </c>
      <c r="F23332" t="s">
        <v>450</v>
      </c>
      <c r="G23332">
        <v>108.04</v>
      </c>
      <c r="H23332">
        <v>250831</v>
      </c>
      <c r="I23332">
        <v>4600</v>
      </c>
      <c r="J23332" t="s">
        <v>278</v>
      </c>
      <c r="K23332">
        <v>703.03</v>
      </c>
      <c r="L23332">
        <v>21.95</v>
      </c>
      <c r="M23332">
        <v>49501</v>
      </c>
      <c r="N23332" t="s">
        <v>110</v>
      </c>
      <c r="O23332">
        <v>250905</v>
      </c>
      <c r="P23332">
        <v>86.09</v>
      </c>
    </row>
    <row r="23333" spans="1:16" x14ac:dyDescent="0.25">
      <c r="A23333" t="s">
        <v>3296</v>
      </c>
      <c r="B23333" t="s">
        <v>2931</v>
      </c>
      <c r="C23333">
        <v>11518</v>
      </c>
      <c r="D23333" t="str">
        <f>"5650743     "</f>
        <v xml:space="preserve">5650743     </v>
      </c>
      <c r="E23333" t="s">
        <v>449</v>
      </c>
      <c r="F23333" t="s">
        <v>450</v>
      </c>
      <c r="G23333">
        <v>44.6</v>
      </c>
      <c r="H23333">
        <v>250831</v>
      </c>
      <c r="I23333">
        <v>4600</v>
      </c>
      <c r="J23333" t="s">
        <v>278</v>
      </c>
      <c r="K23333">
        <v>114.29</v>
      </c>
      <c r="L23333">
        <v>9.06</v>
      </c>
      <c r="M23333">
        <v>66754</v>
      </c>
      <c r="N23333" t="s">
        <v>119</v>
      </c>
      <c r="O23333">
        <v>250908</v>
      </c>
      <c r="P23333">
        <v>35.54</v>
      </c>
    </row>
    <row r="23334" spans="1:16" x14ac:dyDescent="0.25">
      <c r="A23334" t="s">
        <v>3296</v>
      </c>
      <c r="B23334" t="s">
        <v>2931</v>
      </c>
      <c r="C23334">
        <v>11519</v>
      </c>
      <c r="D23334" t="str">
        <f>"5652771     "</f>
        <v xml:space="preserve">5652771     </v>
      </c>
      <c r="E23334" t="s">
        <v>449</v>
      </c>
      <c r="F23334" t="s">
        <v>450</v>
      </c>
      <c r="G23334">
        <v>23.83</v>
      </c>
      <c r="H23334">
        <v>250831</v>
      </c>
      <c r="I23334">
        <v>4600</v>
      </c>
      <c r="J23334" t="s">
        <v>278</v>
      </c>
      <c r="K23334">
        <v>243.25</v>
      </c>
      <c r="L23334">
        <v>4.84</v>
      </c>
      <c r="M23334">
        <v>13501</v>
      </c>
      <c r="N23334" t="s">
        <v>66</v>
      </c>
      <c r="O23334">
        <v>250908</v>
      </c>
      <c r="P23334">
        <v>18.989999999999998</v>
      </c>
    </row>
    <row r="23335" spans="1:16" x14ac:dyDescent="0.25">
      <c r="A23335" t="s">
        <v>3296</v>
      </c>
      <c r="B23335" t="s">
        <v>2931</v>
      </c>
      <c r="C23335">
        <v>11519</v>
      </c>
      <c r="D23335" t="str">
        <f>"5652771     "</f>
        <v xml:space="preserve">5652771     </v>
      </c>
      <c r="E23335" t="s">
        <v>449</v>
      </c>
      <c r="F23335" t="s">
        <v>450</v>
      </c>
      <c r="G23335">
        <v>42.98</v>
      </c>
      <c r="H23335">
        <v>250831</v>
      </c>
      <c r="I23335">
        <v>4600</v>
      </c>
      <c r="J23335" t="s">
        <v>278</v>
      </c>
      <c r="K23335">
        <v>243.25</v>
      </c>
      <c r="L23335">
        <v>8.73</v>
      </c>
      <c r="M23335">
        <v>17529</v>
      </c>
      <c r="N23335" t="s">
        <v>143</v>
      </c>
      <c r="O23335">
        <v>250908</v>
      </c>
      <c r="P23335">
        <v>34.25</v>
      </c>
    </row>
    <row r="23336" spans="1:16" x14ac:dyDescent="0.25">
      <c r="A23336" t="s">
        <v>3296</v>
      </c>
      <c r="B23336" t="s">
        <v>2931</v>
      </c>
      <c r="C23336">
        <v>11519</v>
      </c>
      <c r="D23336" t="str">
        <f>"5652771     "</f>
        <v xml:space="preserve">5652771     </v>
      </c>
      <c r="E23336" t="s">
        <v>449</v>
      </c>
      <c r="F23336" t="s">
        <v>450</v>
      </c>
      <c r="G23336">
        <v>90.56</v>
      </c>
      <c r="H23336">
        <v>250831</v>
      </c>
      <c r="I23336">
        <v>4600</v>
      </c>
      <c r="J23336" t="s">
        <v>278</v>
      </c>
      <c r="K23336">
        <v>243.25</v>
      </c>
      <c r="L23336">
        <v>18.399999999999999</v>
      </c>
      <c r="M23336">
        <v>17531</v>
      </c>
      <c r="N23336" t="s">
        <v>145</v>
      </c>
      <c r="O23336">
        <v>250908</v>
      </c>
      <c r="P23336">
        <v>72.16</v>
      </c>
    </row>
    <row r="23337" spans="1:16" x14ac:dyDescent="0.25">
      <c r="A23337" t="s">
        <v>3296</v>
      </c>
      <c r="B23337" t="s">
        <v>2931</v>
      </c>
      <c r="C23337">
        <v>11519</v>
      </c>
      <c r="D23337" t="str">
        <f>"5652771     "</f>
        <v xml:space="preserve">5652771     </v>
      </c>
      <c r="E23337" t="s">
        <v>449</v>
      </c>
      <c r="F23337" t="s">
        <v>450</v>
      </c>
      <c r="G23337">
        <v>74.23</v>
      </c>
      <c r="H23337">
        <v>250831</v>
      </c>
      <c r="I23337">
        <v>4600</v>
      </c>
      <c r="J23337" t="s">
        <v>278</v>
      </c>
      <c r="K23337">
        <v>243.25</v>
      </c>
      <c r="L23337">
        <v>15.08</v>
      </c>
      <c r="M23337">
        <v>17533</v>
      </c>
      <c r="N23337" t="s">
        <v>147</v>
      </c>
      <c r="O23337">
        <v>250908</v>
      </c>
      <c r="P23337">
        <v>59.15</v>
      </c>
    </row>
    <row r="23338" spans="1:16" x14ac:dyDescent="0.25">
      <c r="A23338" t="s">
        <v>3296</v>
      </c>
      <c r="B23338" t="s">
        <v>2931</v>
      </c>
      <c r="C23338">
        <v>11600</v>
      </c>
      <c r="D23338" t="str">
        <f>"5653402     "</f>
        <v xml:space="preserve">5653402     </v>
      </c>
      <c r="E23338" t="s">
        <v>449</v>
      </c>
      <c r="F23338" t="s">
        <v>450</v>
      </c>
      <c r="G23338">
        <v>4.0999999999999996</v>
      </c>
      <c r="H23338">
        <v>250831</v>
      </c>
      <c r="I23338">
        <v>4600</v>
      </c>
      <c r="J23338" t="s">
        <v>278</v>
      </c>
      <c r="K23338">
        <v>54.1</v>
      </c>
      <c r="L23338">
        <v>0.83</v>
      </c>
      <c r="M23338">
        <v>13801</v>
      </c>
      <c r="N23338" t="s">
        <v>33</v>
      </c>
      <c r="O23338">
        <v>250909</v>
      </c>
      <c r="P23338">
        <v>3.27</v>
      </c>
    </row>
    <row r="23339" spans="1:16" x14ac:dyDescent="0.25">
      <c r="A23339" t="s">
        <v>3296</v>
      </c>
      <c r="B23339" t="s">
        <v>2931</v>
      </c>
      <c r="C23339">
        <v>11600</v>
      </c>
      <c r="D23339" t="str">
        <f>"5653402     "</f>
        <v xml:space="preserve">5653402     </v>
      </c>
      <c r="E23339" t="s">
        <v>449</v>
      </c>
      <c r="F23339" t="s">
        <v>450</v>
      </c>
      <c r="G23339">
        <v>50</v>
      </c>
      <c r="H23339">
        <v>250831</v>
      </c>
      <c r="I23339">
        <v>4600</v>
      </c>
      <c r="J23339" t="s">
        <v>278</v>
      </c>
      <c r="K23339">
        <v>54.1</v>
      </c>
      <c r="L23339">
        <v>0</v>
      </c>
      <c r="M23339">
        <v>13801</v>
      </c>
      <c r="N23339" t="s">
        <v>33</v>
      </c>
      <c r="O23339">
        <v>250909</v>
      </c>
      <c r="P23339">
        <v>50</v>
      </c>
    </row>
    <row r="23340" spans="1:16" x14ac:dyDescent="0.25">
      <c r="A23340" t="s">
        <v>3296</v>
      </c>
      <c r="B23340" t="s">
        <v>2931</v>
      </c>
      <c r="C23340">
        <v>12493</v>
      </c>
      <c r="D23340" t="str">
        <f>"5655663     "</f>
        <v xml:space="preserve">5655663     </v>
      </c>
      <c r="E23340" t="s">
        <v>449</v>
      </c>
      <c r="F23340" t="s">
        <v>450</v>
      </c>
      <c r="G23340">
        <v>111.24</v>
      </c>
      <c r="H23340">
        <v>250915</v>
      </c>
      <c r="I23340">
        <v>4600</v>
      </c>
      <c r="J23340" t="s">
        <v>278</v>
      </c>
      <c r="K23340">
        <v>123.99</v>
      </c>
      <c r="L23340">
        <v>22.6</v>
      </c>
      <c r="M23340">
        <v>17912</v>
      </c>
      <c r="N23340" t="s">
        <v>505</v>
      </c>
      <c r="O23340">
        <v>250925</v>
      </c>
      <c r="P23340">
        <v>88.64</v>
      </c>
    </row>
    <row r="23341" spans="1:16" x14ac:dyDescent="0.25">
      <c r="A23341" t="s">
        <v>3296</v>
      </c>
      <c r="B23341" t="s">
        <v>2931</v>
      </c>
      <c r="C23341">
        <v>12505</v>
      </c>
      <c r="D23341" t="str">
        <f>"5656278     "</f>
        <v xml:space="preserve">5656278     </v>
      </c>
      <c r="E23341" t="s">
        <v>449</v>
      </c>
      <c r="F23341" t="s">
        <v>450</v>
      </c>
      <c r="G23341">
        <v>20.48</v>
      </c>
      <c r="H23341">
        <v>250915</v>
      </c>
      <c r="I23341">
        <v>4600</v>
      </c>
      <c r="J23341" t="s">
        <v>278</v>
      </c>
      <c r="K23341">
        <v>315.26</v>
      </c>
      <c r="L23341">
        <v>4.16</v>
      </c>
      <c r="M23341">
        <v>17531</v>
      </c>
      <c r="N23341" t="s">
        <v>145</v>
      </c>
      <c r="O23341">
        <v>250925</v>
      </c>
      <c r="P23341">
        <v>16.32</v>
      </c>
    </row>
    <row r="23342" spans="1:16" x14ac:dyDescent="0.25">
      <c r="A23342" t="s">
        <v>3296</v>
      </c>
      <c r="B23342" t="s">
        <v>2931</v>
      </c>
      <c r="C23342">
        <v>12505</v>
      </c>
      <c r="D23342" t="str">
        <f>"5656278     "</f>
        <v xml:space="preserve">5656278     </v>
      </c>
      <c r="E23342" t="s">
        <v>449</v>
      </c>
      <c r="F23342" t="s">
        <v>450</v>
      </c>
      <c r="G23342">
        <v>22.83</v>
      </c>
      <c r="H23342">
        <v>250915</v>
      </c>
      <c r="I23342">
        <v>4600</v>
      </c>
      <c r="J23342" t="s">
        <v>278</v>
      </c>
      <c r="K23342">
        <v>315.26</v>
      </c>
      <c r="L23342">
        <v>4.6399999999999997</v>
      </c>
      <c r="M23342">
        <v>17862</v>
      </c>
      <c r="N23342" t="s">
        <v>130</v>
      </c>
      <c r="O23342">
        <v>250925</v>
      </c>
      <c r="P23342">
        <v>18.190000000000001</v>
      </c>
    </row>
    <row r="23343" spans="1:16" x14ac:dyDescent="0.25">
      <c r="A23343" t="s">
        <v>3296</v>
      </c>
      <c r="B23343" t="s">
        <v>2931</v>
      </c>
      <c r="C23343">
        <v>12567</v>
      </c>
      <c r="D23343" t="str">
        <f>"5657836     "</f>
        <v xml:space="preserve">5657836     </v>
      </c>
      <c r="E23343" t="s">
        <v>449</v>
      </c>
      <c r="F23343" t="s">
        <v>450</v>
      </c>
      <c r="G23343">
        <v>14.28</v>
      </c>
      <c r="H23343">
        <v>250915</v>
      </c>
      <c r="I23343">
        <v>4600</v>
      </c>
      <c r="J23343" t="s">
        <v>278</v>
      </c>
      <c r="K23343">
        <v>14.28</v>
      </c>
      <c r="L23343">
        <v>2.9</v>
      </c>
      <c r="M23343">
        <v>17525</v>
      </c>
      <c r="N23343" t="s">
        <v>140</v>
      </c>
      <c r="O23343">
        <v>250926</v>
      </c>
      <c r="P23343">
        <v>11.38</v>
      </c>
    </row>
    <row r="23344" spans="1:16" x14ac:dyDescent="0.25">
      <c r="A23344" t="s">
        <v>3296</v>
      </c>
      <c r="B23344" t="s">
        <v>2931</v>
      </c>
      <c r="C23344">
        <v>12935</v>
      </c>
      <c r="D23344" t="str">
        <f>"5659982     "</f>
        <v xml:space="preserve">5659982     </v>
      </c>
      <c r="E23344" t="s">
        <v>449</v>
      </c>
      <c r="F23344" t="s">
        <v>450</v>
      </c>
      <c r="G23344">
        <v>21.24</v>
      </c>
      <c r="H23344">
        <v>250930</v>
      </c>
      <c r="I23344">
        <v>4600</v>
      </c>
      <c r="J23344" t="s">
        <v>278</v>
      </c>
      <c r="K23344">
        <v>57.04</v>
      </c>
      <c r="L23344">
        <v>4.32</v>
      </c>
      <c r="M23344">
        <v>17971</v>
      </c>
      <c r="N23344" t="s">
        <v>27</v>
      </c>
      <c r="O23344">
        <v>251002</v>
      </c>
      <c r="P23344">
        <v>16.920000000000002</v>
      </c>
    </row>
    <row r="23345" spans="1:16" x14ac:dyDescent="0.25">
      <c r="A23345" t="s">
        <v>3296</v>
      </c>
      <c r="B23345" t="s">
        <v>2931</v>
      </c>
      <c r="C23345">
        <v>12936</v>
      </c>
      <c r="D23345" t="str">
        <f>"5658594     "</f>
        <v xml:space="preserve">5658594     </v>
      </c>
      <c r="E23345" t="s">
        <v>449</v>
      </c>
      <c r="F23345" t="s">
        <v>450</v>
      </c>
      <c r="G23345">
        <v>2.69</v>
      </c>
      <c r="H23345">
        <v>250930</v>
      </c>
      <c r="I23345">
        <v>4600</v>
      </c>
      <c r="J23345" t="s">
        <v>278</v>
      </c>
      <c r="K23345">
        <v>94.69</v>
      </c>
      <c r="L23345">
        <v>0.55000000000000004</v>
      </c>
      <c r="M23345">
        <v>66756</v>
      </c>
      <c r="N23345" t="s">
        <v>120</v>
      </c>
      <c r="O23345">
        <v>251002</v>
      </c>
      <c r="P23345">
        <v>2.14</v>
      </c>
    </row>
    <row r="23346" spans="1:16" x14ac:dyDescent="0.25">
      <c r="A23346" t="s">
        <v>3296</v>
      </c>
      <c r="B23346" t="s">
        <v>2931</v>
      </c>
      <c r="C23346">
        <v>12936</v>
      </c>
      <c r="D23346" t="str">
        <f>"5658594     "</f>
        <v xml:space="preserve">5658594     </v>
      </c>
      <c r="E23346" t="s">
        <v>449</v>
      </c>
      <c r="F23346" t="s">
        <v>450</v>
      </c>
      <c r="G23346">
        <v>36.130000000000003</v>
      </c>
      <c r="H23346">
        <v>250930</v>
      </c>
      <c r="I23346">
        <v>4600</v>
      </c>
      <c r="J23346" t="s">
        <v>278</v>
      </c>
      <c r="K23346">
        <v>94.69</v>
      </c>
      <c r="L23346">
        <v>7.34</v>
      </c>
      <c r="M23346">
        <v>69501</v>
      </c>
      <c r="N23346" t="s">
        <v>123</v>
      </c>
      <c r="O23346">
        <v>251002</v>
      </c>
      <c r="P23346">
        <v>28.79</v>
      </c>
    </row>
    <row r="23347" spans="1:16" x14ac:dyDescent="0.25">
      <c r="A23347" t="s">
        <v>3296</v>
      </c>
      <c r="B23347" t="s">
        <v>2931</v>
      </c>
      <c r="C23347">
        <v>13013</v>
      </c>
      <c r="D23347" t="str">
        <f>"5658800     "</f>
        <v xml:space="preserve">5658800     </v>
      </c>
      <c r="E23347" t="s">
        <v>449</v>
      </c>
      <c r="F23347" t="s">
        <v>450</v>
      </c>
      <c r="G23347">
        <v>54.51</v>
      </c>
      <c r="H23347">
        <v>250930</v>
      </c>
      <c r="I23347">
        <v>4600</v>
      </c>
      <c r="J23347" t="s">
        <v>278</v>
      </c>
      <c r="K23347">
        <v>181.1</v>
      </c>
      <c r="L23347">
        <v>11.08</v>
      </c>
      <c r="M23347">
        <v>54222</v>
      </c>
      <c r="N23347" t="s">
        <v>48</v>
      </c>
      <c r="O23347">
        <v>251003</v>
      </c>
      <c r="P23347">
        <v>43.43</v>
      </c>
    </row>
    <row r="23348" spans="1:16" x14ac:dyDescent="0.25">
      <c r="A23348" t="s">
        <v>3296</v>
      </c>
      <c r="B23348" t="s">
        <v>2931</v>
      </c>
      <c r="C23348">
        <v>13013</v>
      </c>
      <c r="D23348" t="str">
        <f>"5658800     "</f>
        <v xml:space="preserve">5658800     </v>
      </c>
      <c r="E23348" t="s">
        <v>449</v>
      </c>
      <c r="F23348" t="s">
        <v>450</v>
      </c>
      <c r="G23348">
        <v>32.46</v>
      </c>
      <c r="H23348">
        <v>250930</v>
      </c>
      <c r="I23348">
        <v>4600</v>
      </c>
      <c r="J23348" t="s">
        <v>278</v>
      </c>
      <c r="K23348">
        <v>181.1</v>
      </c>
      <c r="L23348">
        <v>6.6</v>
      </c>
      <c r="M23348">
        <v>59501</v>
      </c>
      <c r="N23348" t="s">
        <v>62</v>
      </c>
      <c r="O23348">
        <v>251003</v>
      </c>
      <c r="P23348">
        <v>25.86</v>
      </c>
    </row>
    <row r="23349" spans="1:16" x14ac:dyDescent="0.25">
      <c r="A23349" t="s">
        <v>3296</v>
      </c>
      <c r="B23349" t="s">
        <v>2931</v>
      </c>
      <c r="C23349">
        <v>13198</v>
      </c>
      <c r="D23349" t="str">
        <f t="shared" ref="D23349:D23354" si="533">"5658400     "</f>
        <v xml:space="preserve">5658400     </v>
      </c>
      <c r="E23349" t="s">
        <v>449</v>
      </c>
      <c r="F23349" t="s">
        <v>450</v>
      </c>
      <c r="G23349">
        <v>6.46</v>
      </c>
      <c r="H23349">
        <v>250930</v>
      </c>
      <c r="I23349">
        <v>4600</v>
      </c>
      <c r="J23349" t="s">
        <v>278</v>
      </c>
      <c r="K23349">
        <v>351.11</v>
      </c>
      <c r="L23349">
        <v>1.31</v>
      </c>
      <c r="M23349">
        <v>44424</v>
      </c>
      <c r="N23349" t="s">
        <v>99</v>
      </c>
      <c r="O23349">
        <v>251006</v>
      </c>
      <c r="P23349">
        <v>5.15</v>
      </c>
    </row>
    <row r="23350" spans="1:16" x14ac:dyDescent="0.25">
      <c r="A23350" t="s">
        <v>3296</v>
      </c>
      <c r="B23350" t="s">
        <v>2931</v>
      </c>
      <c r="C23350">
        <v>13198</v>
      </c>
      <c r="D23350" t="str">
        <f t="shared" si="533"/>
        <v xml:space="preserve">5658400     </v>
      </c>
      <c r="E23350" t="s">
        <v>449</v>
      </c>
      <c r="F23350" t="s">
        <v>450</v>
      </c>
      <c r="G23350">
        <v>51.79</v>
      </c>
      <c r="H23350">
        <v>250930</v>
      </c>
      <c r="I23350">
        <v>4600</v>
      </c>
      <c r="J23350" t="s">
        <v>278</v>
      </c>
      <c r="K23350">
        <v>351.11</v>
      </c>
      <c r="L23350">
        <v>10.52</v>
      </c>
      <c r="M23350">
        <v>46556</v>
      </c>
      <c r="N23350" t="s">
        <v>458</v>
      </c>
      <c r="O23350">
        <v>251006</v>
      </c>
      <c r="P23350">
        <v>41.27</v>
      </c>
    </row>
    <row r="23351" spans="1:16" x14ac:dyDescent="0.25">
      <c r="A23351" t="s">
        <v>3296</v>
      </c>
      <c r="B23351" t="s">
        <v>2931</v>
      </c>
      <c r="C23351">
        <v>13198</v>
      </c>
      <c r="D23351" t="str">
        <f t="shared" si="533"/>
        <v xml:space="preserve">5658400     </v>
      </c>
      <c r="E23351" t="s">
        <v>449</v>
      </c>
      <c r="F23351" t="s">
        <v>450</v>
      </c>
      <c r="G23351">
        <v>27.92</v>
      </c>
      <c r="H23351">
        <v>250930</v>
      </c>
      <c r="I23351">
        <v>4600</v>
      </c>
      <c r="J23351" t="s">
        <v>278</v>
      </c>
      <c r="K23351">
        <v>351.11</v>
      </c>
      <c r="L23351">
        <v>5.67</v>
      </c>
      <c r="M23351">
        <v>46557</v>
      </c>
      <c r="N23351" t="s">
        <v>104</v>
      </c>
      <c r="O23351">
        <v>251006</v>
      </c>
      <c r="P23351">
        <v>22.25</v>
      </c>
    </row>
    <row r="23352" spans="1:16" x14ac:dyDescent="0.25">
      <c r="A23352" t="s">
        <v>3296</v>
      </c>
      <c r="B23352" t="s">
        <v>2931</v>
      </c>
      <c r="C23352">
        <v>13198</v>
      </c>
      <c r="D23352" t="str">
        <f t="shared" si="533"/>
        <v xml:space="preserve">5658400     </v>
      </c>
      <c r="E23352" t="s">
        <v>449</v>
      </c>
      <c r="F23352" t="s">
        <v>450</v>
      </c>
      <c r="G23352">
        <v>21.59</v>
      </c>
      <c r="H23352">
        <v>250930</v>
      </c>
      <c r="I23352">
        <v>4600</v>
      </c>
      <c r="J23352" t="s">
        <v>278</v>
      </c>
      <c r="K23352">
        <v>351.11</v>
      </c>
      <c r="L23352">
        <v>4.3899999999999997</v>
      </c>
      <c r="M23352">
        <v>47522</v>
      </c>
      <c r="N23352" t="s">
        <v>106</v>
      </c>
      <c r="O23352">
        <v>251006</v>
      </c>
      <c r="P23352">
        <v>17.2</v>
      </c>
    </row>
    <row r="23353" spans="1:16" x14ac:dyDescent="0.25">
      <c r="A23353" t="s">
        <v>3296</v>
      </c>
      <c r="B23353" t="s">
        <v>2931</v>
      </c>
      <c r="C23353">
        <v>13198</v>
      </c>
      <c r="D23353" t="str">
        <f t="shared" si="533"/>
        <v xml:space="preserve">5658400     </v>
      </c>
      <c r="E23353" t="s">
        <v>449</v>
      </c>
      <c r="F23353" t="s">
        <v>450</v>
      </c>
      <c r="G23353">
        <v>105.04</v>
      </c>
      <c r="H23353">
        <v>250930</v>
      </c>
      <c r="I23353">
        <v>4600</v>
      </c>
      <c r="J23353" t="s">
        <v>278</v>
      </c>
      <c r="K23353">
        <v>351.11</v>
      </c>
      <c r="L23353">
        <v>21.34</v>
      </c>
      <c r="M23353">
        <v>49501</v>
      </c>
      <c r="N23353" t="s">
        <v>110</v>
      </c>
      <c r="O23353">
        <v>251006</v>
      </c>
      <c r="P23353">
        <v>83.7</v>
      </c>
    </row>
    <row r="23354" spans="1:16" x14ac:dyDescent="0.25">
      <c r="A23354" t="s">
        <v>3296</v>
      </c>
      <c r="B23354" t="s">
        <v>2931</v>
      </c>
      <c r="C23354">
        <v>13198</v>
      </c>
      <c r="D23354" t="str">
        <f t="shared" si="533"/>
        <v xml:space="preserve">5658400     </v>
      </c>
      <c r="E23354" t="s">
        <v>449</v>
      </c>
      <c r="F23354" t="s">
        <v>450</v>
      </c>
      <c r="G23354">
        <v>11.73</v>
      </c>
      <c r="H23354">
        <v>250930</v>
      </c>
      <c r="I23354">
        <v>4600</v>
      </c>
      <c r="J23354" t="s">
        <v>278</v>
      </c>
      <c r="K23354">
        <v>351.11</v>
      </c>
      <c r="L23354">
        <v>2.38</v>
      </c>
      <c r="M23354">
        <v>49705</v>
      </c>
      <c r="N23354" t="s">
        <v>114</v>
      </c>
      <c r="O23354">
        <v>251006</v>
      </c>
      <c r="P23354">
        <v>9.35</v>
      </c>
    </row>
    <row r="23355" spans="1:16" x14ac:dyDescent="0.25">
      <c r="A23355" t="s">
        <v>3296</v>
      </c>
      <c r="B23355" t="s">
        <v>2931</v>
      </c>
      <c r="C23355">
        <v>13220</v>
      </c>
      <c r="D23355" t="str">
        <f>"5661306     "</f>
        <v xml:space="preserve">5661306     </v>
      </c>
      <c r="E23355" t="s">
        <v>449</v>
      </c>
      <c r="F23355" t="s">
        <v>450</v>
      </c>
      <c r="G23355">
        <v>27.73</v>
      </c>
      <c r="H23355">
        <v>250930</v>
      </c>
      <c r="I23355">
        <v>4600</v>
      </c>
      <c r="J23355" t="s">
        <v>278</v>
      </c>
      <c r="K23355">
        <v>27.73</v>
      </c>
      <c r="L23355">
        <v>5.63</v>
      </c>
      <c r="M23355">
        <v>13821</v>
      </c>
      <c r="N23355" t="s">
        <v>867</v>
      </c>
      <c r="O23355">
        <v>251006</v>
      </c>
      <c r="P23355">
        <v>22.1</v>
      </c>
    </row>
    <row r="23356" spans="1:16" x14ac:dyDescent="0.25">
      <c r="A23356" t="s">
        <v>3296</v>
      </c>
      <c r="B23356" t="s">
        <v>2931</v>
      </c>
      <c r="C23356">
        <v>13440</v>
      </c>
      <c r="D23356" t="str">
        <f>"5660664     "</f>
        <v xml:space="preserve">5660664     </v>
      </c>
      <c r="E23356" t="s">
        <v>449</v>
      </c>
      <c r="F23356" t="s">
        <v>450</v>
      </c>
      <c r="G23356">
        <v>26.5</v>
      </c>
      <c r="H23356">
        <v>250930</v>
      </c>
      <c r="I23356">
        <v>4600</v>
      </c>
      <c r="J23356" t="s">
        <v>278</v>
      </c>
      <c r="K23356">
        <v>328.97</v>
      </c>
      <c r="L23356">
        <v>5.38</v>
      </c>
      <c r="M23356">
        <v>17524</v>
      </c>
      <c r="N23356" t="s">
        <v>139</v>
      </c>
      <c r="O23356">
        <v>251010</v>
      </c>
      <c r="P23356">
        <v>21.12</v>
      </c>
    </row>
    <row r="23357" spans="1:16" x14ac:dyDescent="0.25">
      <c r="A23357" t="s">
        <v>3296</v>
      </c>
      <c r="B23357" t="s">
        <v>2931</v>
      </c>
      <c r="C23357">
        <v>13843</v>
      </c>
      <c r="D23357" t="str">
        <f>"5663213     "</f>
        <v xml:space="preserve">5663213     </v>
      </c>
      <c r="E23357" t="s">
        <v>449</v>
      </c>
      <c r="F23357" t="s">
        <v>450</v>
      </c>
      <c r="G23357">
        <v>27.21</v>
      </c>
      <c r="H23357">
        <v>251015</v>
      </c>
      <c r="I23357">
        <v>4600</v>
      </c>
      <c r="J23357" t="s">
        <v>278</v>
      </c>
      <c r="K23357">
        <v>27.21</v>
      </c>
      <c r="L23357">
        <v>5.53</v>
      </c>
      <c r="M23357">
        <v>17951</v>
      </c>
      <c r="N23357" t="s">
        <v>207</v>
      </c>
      <c r="O23357">
        <v>251020</v>
      </c>
      <c r="P23357">
        <v>21.68</v>
      </c>
    </row>
    <row r="23358" spans="1:16" x14ac:dyDescent="0.25">
      <c r="A23358" t="s">
        <v>3296</v>
      </c>
      <c r="B23358" t="s">
        <v>2931</v>
      </c>
      <c r="C23358">
        <v>13916</v>
      </c>
      <c r="D23358" t="str">
        <f>"5665039     "</f>
        <v xml:space="preserve">5665039     </v>
      </c>
      <c r="E23358" t="s">
        <v>449</v>
      </c>
      <c r="F23358" t="s">
        <v>450</v>
      </c>
      <c r="G23358">
        <v>38.31</v>
      </c>
      <c r="H23358">
        <v>251015</v>
      </c>
      <c r="I23358">
        <v>4600</v>
      </c>
      <c r="J23358" t="s">
        <v>278</v>
      </c>
      <c r="K23358">
        <v>38.31</v>
      </c>
      <c r="L23358">
        <v>7.78</v>
      </c>
      <c r="M23358">
        <v>13601</v>
      </c>
      <c r="N23358" t="s">
        <v>115</v>
      </c>
      <c r="O23358">
        <v>251020</v>
      </c>
      <c r="P23358">
        <v>30.53</v>
      </c>
    </row>
    <row r="23359" spans="1:16" x14ac:dyDescent="0.25">
      <c r="A23359" t="s">
        <v>3296</v>
      </c>
      <c r="B23359" t="s">
        <v>2931</v>
      </c>
      <c r="C23359">
        <v>13941</v>
      </c>
      <c r="D23359" t="str">
        <f>"5663750     "</f>
        <v xml:space="preserve">5663750     </v>
      </c>
      <c r="E23359" t="s">
        <v>449</v>
      </c>
      <c r="F23359" t="s">
        <v>450</v>
      </c>
      <c r="G23359">
        <v>15.3</v>
      </c>
      <c r="H23359">
        <v>251015</v>
      </c>
      <c r="I23359">
        <v>4600</v>
      </c>
      <c r="J23359" t="s">
        <v>278</v>
      </c>
      <c r="K23359">
        <v>165.79</v>
      </c>
      <c r="L23359">
        <v>3.11</v>
      </c>
      <c r="M23359">
        <v>17131</v>
      </c>
      <c r="N23359" t="s">
        <v>154</v>
      </c>
      <c r="O23359">
        <v>251021</v>
      </c>
      <c r="P23359">
        <v>12.19</v>
      </c>
    </row>
    <row r="23360" spans="1:16" x14ac:dyDescent="0.25">
      <c r="A23360" t="s">
        <v>3296</v>
      </c>
      <c r="B23360" t="s">
        <v>2931</v>
      </c>
      <c r="C23360">
        <v>13941</v>
      </c>
      <c r="D23360" t="str">
        <f>"5663750     "</f>
        <v xml:space="preserve">5663750     </v>
      </c>
      <c r="E23360" t="s">
        <v>449</v>
      </c>
      <c r="F23360" t="s">
        <v>450</v>
      </c>
      <c r="G23360">
        <v>67.59</v>
      </c>
      <c r="H23360">
        <v>251015</v>
      </c>
      <c r="I23360">
        <v>4600</v>
      </c>
      <c r="J23360" t="s">
        <v>278</v>
      </c>
      <c r="K23360">
        <v>165.79</v>
      </c>
      <c r="L23360">
        <v>13.73</v>
      </c>
      <c r="M23360">
        <v>17131</v>
      </c>
      <c r="N23360" t="s">
        <v>154</v>
      </c>
      <c r="O23360">
        <v>251021</v>
      </c>
      <c r="P23360">
        <v>53.86</v>
      </c>
    </row>
    <row r="23361" spans="1:16" x14ac:dyDescent="0.25">
      <c r="A23361" t="s">
        <v>3296</v>
      </c>
      <c r="B23361" t="s">
        <v>2931</v>
      </c>
      <c r="C23361">
        <v>13941</v>
      </c>
      <c r="D23361" t="str">
        <f>"5663750     "</f>
        <v xml:space="preserve">5663750     </v>
      </c>
      <c r="E23361" t="s">
        <v>449</v>
      </c>
      <c r="F23361" t="s">
        <v>450</v>
      </c>
      <c r="G23361">
        <v>15.3</v>
      </c>
      <c r="H23361">
        <v>251015</v>
      </c>
      <c r="I23361">
        <v>4600</v>
      </c>
      <c r="J23361" t="s">
        <v>278</v>
      </c>
      <c r="K23361">
        <v>165.79</v>
      </c>
      <c r="L23361">
        <v>3.11</v>
      </c>
      <c r="M23361">
        <v>17131</v>
      </c>
      <c r="N23361" t="s">
        <v>154</v>
      </c>
      <c r="O23361">
        <v>251021</v>
      </c>
      <c r="P23361">
        <v>12.19</v>
      </c>
    </row>
    <row r="23362" spans="1:16" x14ac:dyDescent="0.25">
      <c r="A23362" t="s">
        <v>3296</v>
      </c>
      <c r="B23362" t="s">
        <v>2931</v>
      </c>
      <c r="C23362">
        <v>13941</v>
      </c>
      <c r="D23362" t="str">
        <f>"5663750     "</f>
        <v xml:space="preserve">5663750     </v>
      </c>
      <c r="E23362" t="s">
        <v>449</v>
      </c>
      <c r="F23362" t="s">
        <v>450</v>
      </c>
      <c r="G23362">
        <v>67.599999999999994</v>
      </c>
      <c r="H23362">
        <v>251015</v>
      </c>
      <c r="I23362">
        <v>4600</v>
      </c>
      <c r="J23362" t="s">
        <v>278</v>
      </c>
      <c r="K23362">
        <v>165.79</v>
      </c>
      <c r="L23362">
        <v>13.74</v>
      </c>
      <c r="M23362">
        <v>17131</v>
      </c>
      <c r="N23362" t="s">
        <v>154</v>
      </c>
      <c r="O23362">
        <v>251021</v>
      </c>
      <c r="P23362">
        <v>53.86</v>
      </c>
    </row>
    <row r="23363" spans="1:16" x14ac:dyDescent="0.25">
      <c r="A23363" t="s">
        <v>3296</v>
      </c>
      <c r="B23363" t="s">
        <v>2931</v>
      </c>
      <c r="C23363">
        <v>14050</v>
      </c>
      <c r="D23363" t="str">
        <f>"5665950     "</f>
        <v xml:space="preserve">5665950     </v>
      </c>
      <c r="E23363" t="s">
        <v>449</v>
      </c>
      <c r="F23363" t="s">
        <v>450</v>
      </c>
      <c r="G23363">
        <v>24.19</v>
      </c>
      <c r="H23363">
        <v>251015</v>
      </c>
      <c r="I23363">
        <v>4600</v>
      </c>
      <c r="J23363" t="s">
        <v>278</v>
      </c>
      <c r="K23363">
        <v>24.19</v>
      </c>
      <c r="L23363">
        <v>4.92</v>
      </c>
      <c r="M23363">
        <v>17527</v>
      </c>
      <c r="N23363" t="s">
        <v>142</v>
      </c>
      <c r="O23363">
        <v>251022</v>
      </c>
      <c r="P23363">
        <v>19.27</v>
      </c>
    </row>
    <row r="23364" spans="1:16" x14ac:dyDescent="0.25">
      <c r="A23364" t="s">
        <v>3296</v>
      </c>
      <c r="B23364" t="s">
        <v>2931</v>
      </c>
      <c r="C23364">
        <v>14092</v>
      </c>
      <c r="D23364" t="str">
        <f>"5664397     "</f>
        <v xml:space="preserve">5664397     </v>
      </c>
      <c r="E23364" t="s">
        <v>449</v>
      </c>
      <c r="F23364" t="s">
        <v>450</v>
      </c>
      <c r="G23364">
        <v>61.29</v>
      </c>
      <c r="H23364">
        <v>251015</v>
      </c>
      <c r="I23364">
        <v>4600</v>
      </c>
      <c r="J23364" t="s">
        <v>278</v>
      </c>
      <c r="K23364">
        <v>108.9</v>
      </c>
      <c r="L23364">
        <v>12.45</v>
      </c>
      <c r="M23364">
        <v>17521</v>
      </c>
      <c r="N23364" t="s">
        <v>136</v>
      </c>
      <c r="O23364">
        <v>251023</v>
      </c>
      <c r="P23364">
        <v>48.84</v>
      </c>
    </row>
    <row r="23365" spans="1:16" x14ac:dyDescent="0.25">
      <c r="A23365" t="s">
        <v>3296</v>
      </c>
      <c r="B23365" t="s">
        <v>2931</v>
      </c>
      <c r="C23365">
        <v>14526</v>
      </c>
      <c r="D23365" t="str">
        <f>"5668310     "</f>
        <v xml:space="preserve">5668310     </v>
      </c>
      <c r="E23365" t="s">
        <v>449</v>
      </c>
      <c r="F23365" t="s">
        <v>450</v>
      </c>
      <c r="G23365">
        <v>11.52</v>
      </c>
      <c r="H23365">
        <v>251031</v>
      </c>
      <c r="I23365">
        <v>4600</v>
      </c>
      <c r="J23365" t="s">
        <v>278</v>
      </c>
      <c r="K23365">
        <v>82.26</v>
      </c>
      <c r="L23365">
        <v>2.34</v>
      </c>
      <c r="M23365">
        <v>17912</v>
      </c>
      <c r="N23365" t="s">
        <v>505</v>
      </c>
      <c r="O23365">
        <v>251104</v>
      </c>
      <c r="P23365">
        <v>9.18</v>
      </c>
    </row>
    <row r="23366" spans="1:16" x14ac:dyDescent="0.25">
      <c r="A23366" t="s">
        <v>3296</v>
      </c>
      <c r="B23366" t="s">
        <v>2931</v>
      </c>
      <c r="C23366">
        <v>14526</v>
      </c>
      <c r="D23366" t="str">
        <f>"5668310     "</f>
        <v xml:space="preserve">5668310     </v>
      </c>
      <c r="E23366" t="s">
        <v>449</v>
      </c>
      <c r="F23366" t="s">
        <v>450</v>
      </c>
      <c r="G23366">
        <v>35.17</v>
      </c>
      <c r="H23366">
        <v>251031</v>
      </c>
      <c r="I23366">
        <v>4600</v>
      </c>
      <c r="J23366" t="s">
        <v>278</v>
      </c>
      <c r="K23366">
        <v>82.26</v>
      </c>
      <c r="L23366">
        <v>7.15</v>
      </c>
      <c r="M23366">
        <v>17912</v>
      </c>
      <c r="N23366" t="s">
        <v>505</v>
      </c>
      <c r="O23366">
        <v>251104</v>
      </c>
      <c r="P23366">
        <v>28.02</v>
      </c>
    </row>
    <row r="23367" spans="1:16" x14ac:dyDescent="0.25">
      <c r="A23367" t="s">
        <v>3296</v>
      </c>
      <c r="B23367" t="s">
        <v>2931</v>
      </c>
      <c r="C23367">
        <v>14526</v>
      </c>
      <c r="D23367" t="str">
        <f>"5668310     "</f>
        <v xml:space="preserve">5668310     </v>
      </c>
      <c r="E23367" t="s">
        <v>449</v>
      </c>
      <c r="F23367" t="s">
        <v>450</v>
      </c>
      <c r="G23367">
        <v>6.62</v>
      </c>
      <c r="H23367">
        <v>251031</v>
      </c>
      <c r="I23367">
        <v>4600</v>
      </c>
      <c r="J23367" t="s">
        <v>278</v>
      </c>
      <c r="K23367">
        <v>82.26</v>
      </c>
      <c r="L23367">
        <v>1.35</v>
      </c>
      <c r="M23367">
        <v>17971</v>
      </c>
      <c r="N23367" t="s">
        <v>27</v>
      </c>
      <c r="O23367">
        <v>251104</v>
      </c>
      <c r="P23367">
        <v>5.27</v>
      </c>
    </row>
    <row r="23368" spans="1:16" x14ac:dyDescent="0.25">
      <c r="A23368" t="s">
        <v>3296</v>
      </c>
      <c r="B23368" t="s">
        <v>2931</v>
      </c>
      <c r="C23368">
        <v>14701</v>
      </c>
      <c r="D23368" t="str">
        <f>"5667011     "</f>
        <v xml:space="preserve">5667011     </v>
      </c>
      <c r="E23368" t="s">
        <v>449</v>
      </c>
      <c r="F23368" t="s">
        <v>450</v>
      </c>
      <c r="G23368">
        <v>215.3</v>
      </c>
      <c r="H23368">
        <v>251031</v>
      </c>
      <c r="I23368">
        <v>4600</v>
      </c>
      <c r="J23368" t="s">
        <v>278</v>
      </c>
      <c r="K23368">
        <v>503.44</v>
      </c>
      <c r="L23368">
        <v>43.75</v>
      </c>
      <c r="M23368">
        <v>54222</v>
      </c>
      <c r="N23368" t="s">
        <v>48</v>
      </c>
      <c r="O23368">
        <v>251106</v>
      </c>
      <c r="P23368">
        <v>171.55</v>
      </c>
    </row>
    <row r="23369" spans="1:16" x14ac:dyDescent="0.25">
      <c r="A23369" t="s">
        <v>3296</v>
      </c>
      <c r="B23369" t="s">
        <v>2931</v>
      </c>
      <c r="C23369">
        <v>14701</v>
      </c>
      <c r="D23369" t="str">
        <f>"5667011     "</f>
        <v xml:space="preserve">5667011     </v>
      </c>
      <c r="E23369" t="s">
        <v>449</v>
      </c>
      <c r="F23369" t="s">
        <v>450</v>
      </c>
      <c r="G23369">
        <v>204.89</v>
      </c>
      <c r="H23369">
        <v>251031</v>
      </c>
      <c r="I23369">
        <v>4600</v>
      </c>
      <c r="J23369" t="s">
        <v>278</v>
      </c>
      <c r="K23369">
        <v>503.44</v>
      </c>
      <c r="L23369">
        <v>41.63</v>
      </c>
      <c r="M23369">
        <v>54451</v>
      </c>
      <c r="N23369" t="s">
        <v>218</v>
      </c>
      <c r="O23369">
        <v>251106</v>
      </c>
      <c r="P23369">
        <v>163.26</v>
      </c>
    </row>
    <row r="23370" spans="1:16" x14ac:dyDescent="0.25">
      <c r="A23370" t="s">
        <v>3296</v>
      </c>
      <c r="B23370" t="s">
        <v>2931</v>
      </c>
      <c r="C23370">
        <v>14701</v>
      </c>
      <c r="D23370" t="str">
        <f>"5667011     "</f>
        <v xml:space="preserve">5667011     </v>
      </c>
      <c r="E23370" t="s">
        <v>449</v>
      </c>
      <c r="F23370" t="s">
        <v>450</v>
      </c>
      <c r="G23370">
        <v>21.26</v>
      </c>
      <c r="H23370">
        <v>251031</v>
      </c>
      <c r="I23370">
        <v>4600</v>
      </c>
      <c r="J23370" t="s">
        <v>278</v>
      </c>
      <c r="K23370">
        <v>503.44</v>
      </c>
      <c r="L23370">
        <v>4.32</v>
      </c>
      <c r="M23370">
        <v>59111</v>
      </c>
      <c r="N23370" t="s">
        <v>60</v>
      </c>
      <c r="O23370">
        <v>251106</v>
      </c>
      <c r="P23370">
        <v>16.940000000000001</v>
      </c>
    </row>
    <row r="23371" spans="1:16" x14ac:dyDescent="0.25">
      <c r="A23371" t="s">
        <v>3296</v>
      </c>
      <c r="B23371" t="s">
        <v>2931</v>
      </c>
      <c r="C23371">
        <v>14701</v>
      </c>
      <c r="D23371" t="str">
        <f>"5667011     "</f>
        <v xml:space="preserve">5667011     </v>
      </c>
      <c r="E23371" t="s">
        <v>449</v>
      </c>
      <c r="F23371" t="s">
        <v>450</v>
      </c>
      <c r="G23371">
        <v>53.04</v>
      </c>
      <c r="H23371">
        <v>251031</v>
      </c>
      <c r="I23371">
        <v>4600</v>
      </c>
      <c r="J23371" t="s">
        <v>278</v>
      </c>
      <c r="K23371">
        <v>503.44</v>
      </c>
      <c r="L23371">
        <v>10.78</v>
      </c>
      <c r="M23371">
        <v>59501</v>
      </c>
      <c r="N23371" t="s">
        <v>62</v>
      </c>
      <c r="O23371">
        <v>251106</v>
      </c>
      <c r="P23371">
        <v>42.26</v>
      </c>
    </row>
    <row r="23372" spans="1:16" x14ac:dyDescent="0.25">
      <c r="A23372" t="s">
        <v>3296</v>
      </c>
      <c r="B23372" t="s">
        <v>2931</v>
      </c>
      <c r="C23372">
        <v>14711</v>
      </c>
      <c r="D23372" t="str">
        <f t="shared" ref="D23372:D23377" si="534">"5666571     "</f>
        <v xml:space="preserve">5666571     </v>
      </c>
      <c r="E23372" t="s">
        <v>449</v>
      </c>
      <c r="F23372" t="s">
        <v>450</v>
      </c>
      <c r="G23372">
        <v>27.76</v>
      </c>
      <c r="H23372">
        <v>251031</v>
      </c>
      <c r="I23372">
        <v>4600</v>
      </c>
      <c r="J23372" t="s">
        <v>278</v>
      </c>
      <c r="K23372">
        <v>534.19000000000005</v>
      </c>
      <c r="L23372">
        <v>5.64</v>
      </c>
      <c r="M23372">
        <v>44222</v>
      </c>
      <c r="N23372" t="s">
        <v>96</v>
      </c>
      <c r="O23372">
        <v>251106</v>
      </c>
      <c r="P23372">
        <v>22.12</v>
      </c>
    </row>
    <row r="23373" spans="1:16" x14ac:dyDescent="0.25">
      <c r="A23373" t="s">
        <v>3296</v>
      </c>
      <c r="B23373" t="s">
        <v>2931</v>
      </c>
      <c r="C23373">
        <v>14711</v>
      </c>
      <c r="D23373" t="str">
        <f t="shared" si="534"/>
        <v xml:space="preserve">5666571     </v>
      </c>
      <c r="E23373" t="s">
        <v>449</v>
      </c>
      <c r="F23373" t="s">
        <v>450</v>
      </c>
      <c r="G23373">
        <v>9.48</v>
      </c>
      <c r="H23373">
        <v>251031</v>
      </c>
      <c r="I23373">
        <v>4600</v>
      </c>
      <c r="J23373" t="s">
        <v>278</v>
      </c>
      <c r="K23373">
        <v>534.19000000000005</v>
      </c>
      <c r="L23373">
        <v>1.93</v>
      </c>
      <c r="M23373">
        <v>49111</v>
      </c>
      <c r="N23373" t="s">
        <v>108</v>
      </c>
      <c r="O23373">
        <v>251106</v>
      </c>
      <c r="P23373">
        <v>7.55</v>
      </c>
    </row>
    <row r="23374" spans="1:16" x14ac:dyDescent="0.25">
      <c r="A23374" t="s">
        <v>3296</v>
      </c>
      <c r="B23374" t="s">
        <v>2931</v>
      </c>
      <c r="C23374">
        <v>14711</v>
      </c>
      <c r="D23374" t="str">
        <f t="shared" si="534"/>
        <v xml:space="preserve">5666571     </v>
      </c>
      <c r="E23374" t="s">
        <v>449</v>
      </c>
      <c r="F23374" t="s">
        <v>450</v>
      </c>
      <c r="G23374">
        <v>17.98</v>
      </c>
      <c r="H23374">
        <v>251031</v>
      </c>
      <c r="I23374">
        <v>4600</v>
      </c>
      <c r="J23374" t="s">
        <v>278</v>
      </c>
      <c r="K23374">
        <v>534.19000000000005</v>
      </c>
      <c r="L23374">
        <v>3.65</v>
      </c>
      <c r="M23374">
        <v>49112</v>
      </c>
      <c r="N23374" t="s">
        <v>109</v>
      </c>
      <c r="O23374">
        <v>251106</v>
      </c>
      <c r="P23374">
        <v>14.33</v>
      </c>
    </row>
    <row r="23375" spans="1:16" x14ac:dyDescent="0.25">
      <c r="A23375" t="s">
        <v>3296</v>
      </c>
      <c r="B23375" t="s">
        <v>2931</v>
      </c>
      <c r="C23375">
        <v>14711</v>
      </c>
      <c r="D23375" t="str">
        <f t="shared" si="534"/>
        <v xml:space="preserve">5666571     </v>
      </c>
      <c r="E23375" t="s">
        <v>449</v>
      </c>
      <c r="F23375" t="s">
        <v>450</v>
      </c>
      <c r="G23375">
        <v>47.36</v>
      </c>
      <c r="H23375">
        <v>251031</v>
      </c>
      <c r="I23375">
        <v>4600</v>
      </c>
      <c r="J23375" t="s">
        <v>278</v>
      </c>
      <c r="K23375">
        <v>534.19000000000005</v>
      </c>
      <c r="L23375">
        <v>9.6199999999999992</v>
      </c>
      <c r="M23375">
        <v>49501</v>
      </c>
      <c r="N23375" t="s">
        <v>110</v>
      </c>
      <c r="O23375">
        <v>251106</v>
      </c>
      <c r="P23375">
        <v>37.74</v>
      </c>
    </row>
    <row r="23376" spans="1:16" x14ac:dyDescent="0.25">
      <c r="A23376" t="s">
        <v>3296</v>
      </c>
      <c r="B23376" t="s">
        <v>2931</v>
      </c>
      <c r="C23376">
        <v>14711</v>
      </c>
      <c r="D23376" t="str">
        <f t="shared" si="534"/>
        <v xml:space="preserve">5666571     </v>
      </c>
      <c r="E23376" t="s">
        <v>449</v>
      </c>
      <c r="F23376" t="s">
        <v>450</v>
      </c>
      <c r="G23376">
        <v>172.76</v>
      </c>
      <c r="H23376">
        <v>251031</v>
      </c>
      <c r="I23376">
        <v>4600</v>
      </c>
      <c r="J23376" t="s">
        <v>278</v>
      </c>
      <c r="K23376">
        <v>534.19000000000005</v>
      </c>
      <c r="L23376">
        <v>35.1</v>
      </c>
      <c r="M23376">
        <v>49704</v>
      </c>
      <c r="N23376" t="s">
        <v>113</v>
      </c>
      <c r="O23376">
        <v>251106</v>
      </c>
      <c r="P23376">
        <v>137.66</v>
      </c>
    </row>
    <row r="23377" spans="1:16" x14ac:dyDescent="0.25">
      <c r="A23377" t="s">
        <v>3296</v>
      </c>
      <c r="B23377" t="s">
        <v>2931</v>
      </c>
      <c r="C23377">
        <v>14711</v>
      </c>
      <c r="D23377" t="str">
        <f t="shared" si="534"/>
        <v xml:space="preserve">5666571     </v>
      </c>
      <c r="E23377" t="s">
        <v>449</v>
      </c>
      <c r="F23377" t="s">
        <v>450</v>
      </c>
      <c r="G23377">
        <v>2.25</v>
      </c>
      <c r="H23377">
        <v>251031</v>
      </c>
      <c r="I23377">
        <v>4600</v>
      </c>
      <c r="J23377" t="s">
        <v>278</v>
      </c>
      <c r="K23377">
        <v>534.19000000000005</v>
      </c>
      <c r="L23377">
        <v>0.46</v>
      </c>
      <c r="M23377">
        <v>49705</v>
      </c>
      <c r="N23377" t="s">
        <v>114</v>
      </c>
      <c r="O23377">
        <v>251106</v>
      </c>
      <c r="P23377">
        <v>1.79</v>
      </c>
    </row>
    <row r="23378" spans="1:16" x14ac:dyDescent="0.25">
      <c r="A23378" t="s">
        <v>3296</v>
      </c>
      <c r="B23378" t="s">
        <v>2931</v>
      </c>
      <c r="C23378">
        <v>14819</v>
      </c>
      <c r="D23378" t="str">
        <f>"5666772     "</f>
        <v xml:space="preserve">5666772     </v>
      </c>
      <c r="E23378" t="s">
        <v>449</v>
      </c>
      <c r="F23378" t="s">
        <v>450</v>
      </c>
      <c r="G23378">
        <v>44.99</v>
      </c>
      <c r="H23378">
        <v>251031</v>
      </c>
      <c r="I23378">
        <v>4600</v>
      </c>
      <c r="J23378" t="s">
        <v>278</v>
      </c>
      <c r="K23378">
        <v>391.14</v>
      </c>
      <c r="L23378">
        <v>0</v>
      </c>
      <c r="M23378">
        <v>65222</v>
      </c>
      <c r="N23378" t="s">
        <v>87</v>
      </c>
      <c r="O23378">
        <v>251107</v>
      </c>
      <c r="P23378">
        <v>44.99</v>
      </c>
    </row>
    <row r="23379" spans="1:16" x14ac:dyDescent="0.25">
      <c r="A23379" t="s">
        <v>3296</v>
      </c>
      <c r="B23379" t="s">
        <v>2931</v>
      </c>
      <c r="C23379">
        <v>14819</v>
      </c>
      <c r="D23379" t="str">
        <f>"5666772     "</f>
        <v xml:space="preserve">5666772     </v>
      </c>
      <c r="E23379" t="s">
        <v>449</v>
      </c>
      <c r="F23379" t="s">
        <v>450</v>
      </c>
      <c r="G23379">
        <v>30.3</v>
      </c>
      <c r="H23379">
        <v>251031</v>
      </c>
      <c r="I23379">
        <v>4600</v>
      </c>
      <c r="J23379" t="s">
        <v>278</v>
      </c>
      <c r="K23379">
        <v>391.14</v>
      </c>
      <c r="L23379">
        <v>6.16</v>
      </c>
      <c r="M23379">
        <v>67522</v>
      </c>
      <c r="N23379" t="s">
        <v>121</v>
      </c>
      <c r="O23379">
        <v>251107</v>
      </c>
      <c r="P23379">
        <v>24.14</v>
      </c>
    </row>
    <row r="23380" spans="1:16" x14ac:dyDescent="0.25">
      <c r="A23380" t="s">
        <v>3296</v>
      </c>
      <c r="B23380" t="s">
        <v>2931</v>
      </c>
      <c r="C23380">
        <v>14819</v>
      </c>
      <c r="D23380" t="str">
        <f>"5666772     "</f>
        <v xml:space="preserve">5666772     </v>
      </c>
      <c r="E23380" t="s">
        <v>449</v>
      </c>
      <c r="F23380" t="s">
        <v>450</v>
      </c>
      <c r="G23380">
        <v>5.36</v>
      </c>
      <c r="H23380">
        <v>251031</v>
      </c>
      <c r="I23380">
        <v>4600</v>
      </c>
      <c r="J23380" t="s">
        <v>278</v>
      </c>
      <c r="K23380">
        <v>391.14</v>
      </c>
      <c r="L23380">
        <v>1.0900000000000001</v>
      </c>
      <c r="M23380">
        <v>69702</v>
      </c>
      <c r="N23380" t="s">
        <v>124</v>
      </c>
      <c r="O23380">
        <v>251107</v>
      </c>
      <c r="P23380">
        <v>4.2699999999999996</v>
      </c>
    </row>
    <row r="23381" spans="1:16" x14ac:dyDescent="0.25">
      <c r="A23381" t="s">
        <v>3296</v>
      </c>
      <c r="B23381" t="s">
        <v>2931</v>
      </c>
      <c r="C23381">
        <v>14819</v>
      </c>
      <c r="D23381" t="str">
        <f>"5666772     "</f>
        <v xml:space="preserve">5666772     </v>
      </c>
      <c r="E23381" t="s">
        <v>449</v>
      </c>
      <c r="F23381" t="s">
        <v>450</v>
      </c>
      <c r="G23381">
        <v>9.9</v>
      </c>
      <c r="H23381">
        <v>251031</v>
      </c>
      <c r="I23381">
        <v>4600</v>
      </c>
      <c r="J23381" t="s">
        <v>278</v>
      </c>
      <c r="K23381">
        <v>391.14</v>
      </c>
      <c r="L23381">
        <v>2.0099999999999998</v>
      </c>
      <c r="M23381">
        <v>69704</v>
      </c>
      <c r="N23381" t="s">
        <v>89</v>
      </c>
      <c r="O23381">
        <v>251107</v>
      </c>
      <c r="P23381">
        <v>7.89</v>
      </c>
    </row>
    <row r="23382" spans="1:16" x14ac:dyDescent="0.25">
      <c r="A23382" t="s">
        <v>3296</v>
      </c>
      <c r="B23382" t="s">
        <v>2931</v>
      </c>
      <c r="C23382">
        <v>14936</v>
      </c>
      <c r="D23382" t="str">
        <f>"5669018     "</f>
        <v xml:space="preserve">5669018     </v>
      </c>
      <c r="E23382" t="s">
        <v>449</v>
      </c>
      <c r="F23382" t="s">
        <v>450</v>
      </c>
      <c r="G23382">
        <v>6.29</v>
      </c>
      <c r="H23382">
        <v>251031</v>
      </c>
      <c r="I23382">
        <v>4600</v>
      </c>
      <c r="J23382" t="s">
        <v>278</v>
      </c>
      <c r="K23382">
        <v>74.95</v>
      </c>
      <c r="L23382">
        <v>1.28</v>
      </c>
      <c r="M23382">
        <v>17950</v>
      </c>
      <c r="N23382" t="s">
        <v>132</v>
      </c>
      <c r="O23382">
        <v>251110</v>
      </c>
      <c r="P23382">
        <v>5.01</v>
      </c>
    </row>
    <row r="23383" spans="1:16" x14ac:dyDescent="0.25">
      <c r="A23383" t="s">
        <v>3296</v>
      </c>
      <c r="B23383" t="s">
        <v>2931</v>
      </c>
      <c r="C23383">
        <v>15017</v>
      </c>
      <c r="D23383" t="str">
        <f>"5669724     "</f>
        <v xml:space="preserve">5669724     </v>
      </c>
      <c r="E23383" t="s">
        <v>449</v>
      </c>
      <c r="F23383" t="s">
        <v>450</v>
      </c>
      <c r="G23383">
        <v>9.86</v>
      </c>
      <c r="H23383">
        <v>251031</v>
      </c>
      <c r="I23383">
        <v>4600</v>
      </c>
      <c r="J23383" t="s">
        <v>278</v>
      </c>
      <c r="K23383">
        <v>125.26</v>
      </c>
      <c r="L23383">
        <v>1.21</v>
      </c>
      <c r="M23383">
        <v>13801</v>
      </c>
      <c r="N23383" t="s">
        <v>33</v>
      </c>
      <c r="O23383">
        <v>251110</v>
      </c>
      <c r="P23383">
        <v>8.65</v>
      </c>
    </row>
    <row r="23384" spans="1:16" x14ac:dyDescent="0.25">
      <c r="A23384" t="s">
        <v>3296</v>
      </c>
      <c r="B23384" t="s">
        <v>2931</v>
      </c>
      <c r="C23384">
        <v>15017</v>
      </c>
      <c r="D23384" t="str">
        <f>"5669724     "</f>
        <v xml:space="preserve">5669724     </v>
      </c>
      <c r="E23384" t="s">
        <v>449</v>
      </c>
      <c r="F23384" t="s">
        <v>450</v>
      </c>
      <c r="G23384">
        <v>41.38</v>
      </c>
      <c r="H23384">
        <v>251031</v>
      </c>
      <c r="I23384">
        <v>4600</v>
      </c>
      <c r="J23384" t="s">
        <v>278</v>
      </c>
      <c r="K23384">
        <v>125.26</v>
      </c>
      <c r="L23384">
        <v>8.41</v>
      </c>
      <c r="M23384">
        <v>13801</v>
      </c>
      <c r="N23384" t="s">
        <v>33</v>
      </c>
      <c r="O23384">
        <v>251110</v>
      </c>
      <c r="P23384">
        <v>32.97</v>
      </c>
    </row>
    <row r="23385" spans="1:16" x14ac:dyDescent="0.25">
      <c r="A23385" t="s">
        <v>3296</v>
      </c>
      <c r="B23385" t="s">
        <v>2931</v>
      </c>
      <c r="C23385">
        <v>15060</v>
      </c>
      <c r="D23385" t="str">
        <f>"5670702     "</f>
        <v xml:space="preserve">5670702     </v>
      </c>
      <c r="E23385" t="s">
        <v>449</v>
      </c>
      <c r="F23385" t="s">
        <v>450</v>
      </c>
      <c r="G23385">
        <v>23.74</v>
      </c>
      <c r="H23385">
        <v>251031</v>
      </c>
      <c r="I23385">
        <v>4600</v>
      </c>
      <c r="J23385" t="s">
        <v>278</v>
      </c>
      <c r="K23385">
        <v>71.23</v>
      </c>
      <c r="L23385">
        <v>4.82</v>
      </c>
      <c r="M23385">
        <v>17524</v>
      </c>
      <c r="N23385" t="s">
        <v>139</v>
      </c>
      <c r="O23385">
        <v>251111</v>
      </c>
      <c r="P23385">
        <v>18.920000000000002</v>
      </c>
    </row>
    <row r="23386" spans="1:16" x14ac:dyDescent="0.25">
      <c r="A23386" t="s">
        <v>3296</v>
      </c>
      <c r="B23386" t="s">
        <v>2931</v>
      </c>
      <c r="C23386">
        <v>15448</v>
      </c>
      <c r="D23386" t="str">
        <f>"5672971     "</f>
        <v xml:space="preserve">5672971     </v>
      </c>
      <c r="E23386" t="s">
        <v>449</v>
      </c>
      <c r="F23386" t="s">
        <v>450</v>
      </c>
      <c r="G23386">
        <v>20.57</v>
      </c>
      <c r="H23386">
        <v>251115</v>
      </c>
      <c r="I23386">
        <v>4600</v>
      </c>
      <c r="J23386" t="s">
        <v>278</v>
      </c>
      <c r="K23386">
        <v>110.12</v>
      </c>
      <c r="L23386">
        <v>4.18</v>
      </c>
      <c r="M23386">
        <v>17531</v>
      </c>
      <c r="N23386" t="s">
        <v>145</v>
      </c>
      <c r="O23386">
        <v>251120</v>
      </c>
      <c r="P23386">
        <v>16.39</v>
      </c>
    </row>
    <row r="23387" spans="1:16" x14ac:dyDescent="0.25">
      <c r="A23387" t="s">
        <v>3296</v>
      </c>
      <c r="B23387" t="s">
        <v>2931</v>
      </c>
      <c r="C23387">
        <v>15448</v>
      </c>
      <c r="D23387" t="str">
        <f>"5672971     "</f>
        <v xml:space="preserve">5672971     </v>
      </c>
      <c r="E23387" t="s">
        <v>449</v>
      </c>
      <c r="F23387" t="s">
        <v>450</v>
      </c>
      <c r="G23387">
        <v>5.1100000000000003</v>
      </c>
      <c r="H23387">
        <v>251115</v>
      </c>
      <c r="I23387">
        <v>4600</v>
      </c>
      <c r="J23387" t="s">
        <v>278</v>
      </c>
      <c r="K23387">
        <v>110.12</v>
      </c>
      <c r="L23387">
        <v>1.04</v>
      </c>
      <c r="M23387">
        <v>17538</v>
      </c>
      <c r="N23387" t="s">
        <v>129</v>
      </c>
      <c r="O23387">
        <v>251120</v>
      </c>
      <c r="P23387">
        <v>4.07</v>
      </c>
    </row>
    <row r="23388" spans="1:16" x14ac:dyDescent="0.25">
      <c r="A23388" t="s">
        <v>3296</v>
      </c>
      <c r="B23388" t="s">
        <v>2931</v>
      </c>
      <c r="C23388">
        <v>15454</v>
      </c>
      <c r="D23388" t="str">
        <f>"5673634     "</f>
        <v xml:space="preserve">5673634     </v>
      </c>
      <c r="E23388" t="s">
        <v>449</v>
      </c>
      <c r="F23388" t="s">
        <v>450</v>
      </c>
      <c r="G23388">
        <v>27.85</v>
      </c>
      <c r="H23388">
        <v>251115</v>
      </c>
      <c r="I23388">
        <v>4600</v>
      </c>
      <c r="J23388" t="s">
        <v>278</v>
      </c>
      <c r="K23388">
        <v>27.85</v>
      </c>
      <c r="L23388">
        <v>5.66</v>
      </c>
      <c r="M23388">
        <v>13802</v>
      </c>
      <c r="N23388" t="s">
        <v>34</v>
      </c>
      <c r="O23388">
        <v>251120</v>
      </c>
      <c r="P23388">
        <v>22.19</v>
      </c>
    </row>
    <row r="23389" spans="1:16" x14ac:dyDescent="0.25">
      <c r="A23389" t="s">
        <v>3296</v>
      </c>
      <c r="B23389" t="s">
        <v>2931</v>
      </c>
      <c r="C23389">
        <v>15578</v>
      </c>
      <c r="D23389" t="str">
        <f>"5671762     "</f>
        <v xml:space="preserve">5671762     </v>
      </c>
      <c r="E23389" t="s">
        <v>449</v>
      </c>
      <c r="F23389" t="s">
        <v>450</v>
      </c>
      <c r="G23389">
        <v>10.44</v>
      </c>
      <c r="H23389">
        <v>251115</v>
      </c>
      <c r="I23389">
        <v>4600</v>
      </c>
      <c r="J23389" t="s">
        <v>278</v>
      </c>
      <c r="K23389">
        <v>10.44</v>
      </c>
      <c r="L23389">
        <v>1.28</v>
      </c>
      <c r="M23389">
        <v>17971</v>
      </c>
      <c r="N23389" t="s">
        <v>27</v>
      </c>
      <c r="O23389">
        <v>251121</v>
      </c>
      <c r="P23389">
        <v>9.16</v>
      </c>
    </row>
    <row r="23390" spans="1:16" x14ac:dyDescent="0.25">
      <c r="A23390" t="s">
        <v>3296</v>
      </c>
      <c r="B23390" t="s">
        <v>2931</v>
      </c>
      <c r="C23390">
        <v>15785</v>
      </c>
      <c r="D23390" t="str">
        <f>"5672305     "</f>
        <v xml:space="preserve">5672305     </v>
      </c>
      <c r="E23390" t="s">
        <v>449</v>
      </c>
      <c r="F23390" t="s">
        <v>450</v>
      </c>
      <c r="G23390">
        <v>14.44</v>
      </c>
      <c r="H23390">
        <v>251115</v>
      </c>
      <c r="I23390">
        <v>4600</v>
      </c>
      <c r="J23390" t="s">
        <v>278</v>
      </c>
      <c r="K23390">
        <v>86.66</v>
      </c>
      <c r="L23390">
        <v>2.93</v>
      </c>
      <c r="M23390">
        <v>17711</v>
      </c>
      <c r="N23390" t="s">
        <v>155</v>
      </c>
      <c r="O23390">
        <v>251127</v>
      </c>
      <c r="P23390">
        <v>11.51</v>
      </c>
    </row>
    <row r="23391" spans="1:16" x14ac:dyDescent="0.25">
      <c r="A23391" t="s">
        <v>3296</v>
      </c>
      <c r="B23391" t="s">
        <v>2931</v>
      </c>
      <c r="C23391">
        <v>15785</v>
      </c>
      <c r="D23391" t="str">
        <f>"5672305     "</f>
        <v xml:space="preserve">5672305     </v>
      </c>
      <c r="E23391" t="s">
        <v>449</v>
      </c>
      <c r="F23391" t="s">
        <v>450</v>
      </c>
      <c r="G23391">
        <v>33.26</v>
      </c>
      <c r="H23391">
        <v>251115</v>
      </c>
      <c r="I23391">
        <v>4600</v>
      </c>
      <c r="J23391" t="s">
        <v>278</v>
      </c>
      <c r="K23391">
        <v>86.66</v>
      </c>
      <c r="L23391">
        <v>6.76</v>
      </c>
      <c r="M23391">
        <v>17912</v>
      </c>
      <c r="N23391" t="s">
        <v>505</v>
      </c>
      <c r="O23391">
        <v>251127</v>
      </c>
      <c r="P23391">
        <v>26.5</v>
      </c>
    </row>
    <row r="23392" spans="1:16" x14ac:dyDescent="0.25">
      <c r="A23392" t="s">
        <v>3296</v>
      </c>
      <c r="B23392" t="s">
        <v>2931</v>
      </c>
      <c r="C23392">
        <v>16185</v>
      </c>
      <c r="D23392" t="str">
        <f>"5677974     "</f>
        <v xml:space="preserve">5677974     </v>
      </c>
      <c r="E23392" t="s">
        <v>449</v>
      </c>
      <c r="F23392" t="s">
        <v>450</v>
      </c>
      <c r="G23392">
        <v>1.8</v>
      </c>
      <c r="H23392">
        <v>251130</v>
      </c>
      <c r="I23392">
        <v>4600</v>
      </c>
      <c r="J23392" t="s">
        <v>278</v>
      </c>
      <c r="K23392">
        <v>325.35000000000002</v>
      </c>
      <c r="L23392">
        <v>0.37</v>
      </c>
      <c r="M23392">
        <v>16121</v>
      </c>
      <c r="N23392" t="s">
        <v>127</v>
      </c>
      <c r="O23392">
        <v>251204</v>
      </c>
      <c r="P23392">
        <v>1.43</v>
      </c>
    </row>
    <row r="23393" spans="1:16" x14ac:dyDescent="0.25">
      <c r="A23393" t="s">
        <v>3296</v>
      </c>
      <c r="B23393" t="s">
        <v>2931</v>
      </c>
      <c r="C23393">
        <v>16185</v>
      </c>
      <c r="D23393" t="str">
        <f>"5677974     "</f>
        <v xml:space="preserve">5677974     </v>
      </c>
      <c r="E23393" t="s">
        <v>449</v>
      </c>
      <c r="F23393" t="s">
        <v>450</v>
      </c>
      <c r="G23393">
        <v>53.16</v>
      </c>
      <c r="H23393">
        <v>251130</v>
      </c>
      <c r="I23393">
        <v>4600</v>
      </c>
      <c r="J23393" t="s">
        <v>278</v>
      </c>
      <c r="K23393">
        <v>325.35000000000002</v>
      </c>
      <c r="L23393">
        <v>10.8</v>
      </c>
      <c r="M23393">
        <v>16121</v>
      </c>
      <c r="N23393" t="s">
        <v>127</v>
      </c>
      <c r="O23393">
        <v>251204</v>
      </c>
      <c r="P23393">
        <v>42.36</v>
      </c>
    </row>
    <row r="23394" spans="1:16" x14ac:dyDescent="0.25">
      <c r="A23394" t="s">
        <v>3296</v>
      </c>
      <c r="B23394" t="s">
        <v>2931</v>
      </c>
      <c r="C23394">
        <v>16185</v>
      </c>
      <c r="D23394" t="str">
        <f>"5677974     "</f>
        <v xml:space="preserve">5677974     </v>
      </c>
      <c r="E23394" t="s">
        <v>449</v>
      </c>
      <c r="F23394" t="s">
        <v>450</v>
      </c>
      <c r="G23394">
        <v>138.6</v>
      </c>
      <c r="H23394">
        <v>251130</v>
      </c>
      <c r="I23394">
        <v>4600</v>
      </c>
      <c r="J23394" t="s">
        <v>278</v>
      </c>
      <c r="K23394">
        <v>325.35000000000002</v>
      </c>
      <c r="L23394">
        <v>28.16</v>
      </c>
      <c r="M23394">
        <v>17538</v>
      </c>
      <c r="N23394" t="s">
        <v>129</v>
      </c>
      <c r="O23394">
        <v>251204</v>
      </c>
      <c r="P23394">
        <v>110.44</v>
      </c>
    </row>
    <row r="23395" spans="1:16" x14ac:dyDescent="0.25">
      <c r="A23395" t="s">
        <v>3296</v>
      </c>
      <c r="B23395" t="s">
        <v>2931</v>
      </c>
      <c r="C23395">
        <v>16186</v>
      </c>
      <c r="D23395" t="str">
        <f>"5677189     "</f>
        <v xml:space="preserve">5677189     </v>
      </c>
      <c r="E23395" t="s">
        <v>449</v>
      </c>
      <c r="F23395" t="s">
        <v>450</v>
      </c>
      <c r="G23395">
        <v>40.68</v>
      </c>
      <c r="H23395">
        <v>251130</v>
      </c>
      <c r="I23395">
        <v>4600</v>
      </c>
      <c r="J23395" t="s">
        <v>278</v>
      </c>
      <c r="K23395">
        <v>40.68</v>
      </c>
      <c r="L23395">
        <v>8.27</v>
      </c>
      <c r="M23395">
        <v>17984</v>
      </c>
      <c r="N23395" t="s">
        <v>655</v>
      </c>
      <c r="O23395">
        <v>251204</v>
      </c>
      <c r="P23395">
        <v>32.409999999999997</v>
      </c>
    </row>
    <row r="23396" spans="1:16" x14ac:dyDescent="0.25">
      <c r="A23396" t="s">
        <v>3296</v>
      </c>
      <c r="B23396" t="s">
        <v>2931</v>
      </c>
      <c r="C23396">
        <v>16188</v>
      </c>
      <c r="D23396" t="str">
        <f>"5675241     "</f>
        <v xml:space="preserve">5675241     </v>
      </c>
      <c r="E23396" t="s">
        <v>449</v>
      </c>
      <c r="F23396" t="s">
        <v>450</v>
      </c>
      <c r="G23396">
        <v>7.99</v>
      </c>
      <c r="H23396">
        <v>251130</v>
      </c>
      <c r="I23396">
        <v>4600</v>
      </c>
      <c r="J23396" t="s">
        <v>278</v>
      </c>
      <c r="K23396">
        <v>280.26</v>
      </c>
      <c r="L23396">
        <v>1.62</v>
      </c>
      <c r="M23396">
        <v>44423</v>
      </c>
      <c r="N23396" t="s">
        <v>98</v>
      </c>
      <c r="O23396">
        <v>251204</v>
      </c>
      <c r="P23396">
        <v>6.37</v>
      </c>
    </row>
    <row r="23397" spans="1:16" x14ac:dyDescent="0.25">
      <c r="A23397" t="s">
        <v>3296</v>
      </c>
      <c r="B23397" t="s">
        <v>2931</v>
      </c>
      <c r="C23397">
        <v>16188</v>
      </c>
      <c r="D23397" t="str">
        <f>"5675241     "</f>
        <v xml:space="preserve">5675241     </v>
      </c>
      <c r="E23397" t="s">
        <v>449</v>
      </c>
      <c r="F23397" t="s">
        <v>450</v>
      </c>
      <c r="G23397">
        <v>22.77</v>
      </c>
      <c r="H23397">
        <v>251130</v>
      </c>
      <c r="I23397">
        <v>4600</v>
      </c>
      <c r="J23397" t="s">
        <v>278</v>
      </c>
      <c r="K23397">
        <v>280.26</v>
      </c>
      <c r="L23397">
        <v>4.63</v>
      </c>
      <c r="M23397">
        <v>49111</v>
      </c>
      <c r="N23397" t="s">
        <v>108</v>
      </c>
      <c r="O23397">
        <v>251204</v>
      </c>
      <c r="P23397">
        <v>18.14</v>
      </c>
    </row>
    <row r="23398" spans="1:16" x14ac:dyDescent="0.25">
      <c r="A23398" t="s">
        <v>3296</v>
      </c>
      <c r="B23398" t="s">
        <v>2931</v>
      </c>
      <c r="C23398">
        <v>16188</v>
      </c>
      <c r="D23398" t="str">
        <f>"5675241     "</f>
        <v xml:space="preserve">5675241     </v>
      </c>
      <c r="E23398" t="s">
        <v>449</v>
      </c>
      <c r="F23398" t="s">
        <v>450</v>
      </c>
      <c r="G23398">
        <v>61.22</v>
      </c>
      <c r="H23398">
        <v>251130</v>
      </c>
      <c r="I23398">
        <v>4600</v>
      </c>
      <c r="J23398" t="s">
        <v>278</v>
      </c>
      <c r="K23398">
        <v>280.26</v>
      </c>
      <c r="L23398">
        <v>12.44</v>
      </c>
      <c r="M23398">
        <v>49501</v>
      </c>
      <c r="N23398" t="s">
        <v>110</v>
      </c>
      <c r="O23398">
        <v>251204</v>
      </c>
      <c r="P23398">
        <v>48.78</v>
      </c>
    </row>
    <row r="23399" spans="1:16" x14ac:dyDescent="0.25">
      <c r="A23399" t="s">
        <v>3296</v>
      </c>
      <c r="B23399" t="s">
        <v>2931</v>
      </c>
      <c r="C23399">
        <v>16188</v>
      </c>
      <c r="D23399" t="str">
        <f>"5675241     "</f>
        <v xml:space="preserve">5675241     </v>
      </c>
      <c r="E23399" t="s">
        <v>449</v>
      </c>
      <c r="F23399" t="s">
        <v>450</v>
      </c>
      <c r="G23399">
        <v>114.09</v>
      </c>
      <c r="H23399">
        <v>251130</v>
      </c>
      <c r="I23399">
        <v>4600</v>
      </c>
      <c r="J23399" t="s">
        <v>278</v>
      </c>
      <c r="K23399">
        <v>280.26</v>
      </c>
      <c r="L23399">
        <v>23.18</v>
      </c>
      <c r="M23399">
        <v>49704</v>
      </c>
      <c r="N23399" t="s">
        <v>113</v>
      </c>
      <c r="O23399">
        <v>251204</v>
      </c>
      <c r="P23399">
        <v>90.91</v>
      </c>
    </row>
    <row r="23400" spans="1:16" x14ac:dyDescent="0.25">
      <c r="A23400" t="s">
        <v>3296</v>
      </c>
      <c r="B23400" t="s">
        <v>2931</v>
      </c>
      <c r="C23400">
        <v>16188</v>
      </c>
      <c r="D23400" t="str">
        <f>"5675241     "</f>
        <v xml:space="preserve">5675241     </v>
      </c>
      <c r="E23400" t="s">
        <v>449</v>
      </c>
      <c r="F23400" t="s">
        <v>450</v>
      </c>
      <c r="G23400">
        <v>8.9600000000000009</v>
      </c>
      <c r="H23400">
        <v>251130</v>
      </c>
      <c r="I23400">
        <v>4600</v>
      </c>
      <c r="J23400" t="s">
        <v>278</v>
      </c>
      <c r="K23400">
        <v>280.26</v>
      </c>
      <c r="L23400">
        <v>1.82</v>
      </c>
      <c r="M23400">
        <v>49705</v>
      </c>
      <c r="N23400" t="s">
        <v>114</v>
      </c>
      <c r="O23400">
        <v>251204</v>
      </c>
      <c r="P23400">
        <v>7.14</v>
      </c>
    </row>
    <row r="23401" spans="1:16" x14ac:dyDescent="0.25">
      <c r="A23401" t="s">
        <v>3296</v>
      </c>
      <c r="B23401" t="s">
        <v>2931</v>
      </c>
      <c r="C23401">
        <v>16389</v>
      </c>
      <c r="D23401" t="str">
        <f>"5678745     "</f>
        <v xml:space="preserve">5678745     </v>
      </c>
      <c r="E23401" t="s">
        <v>449</v>
      </c>
      <c r="F23401" t="s">
        <v>450</v>
      </c>
      <c r="G23401">
        <v>52.81</v>
      </c>
      <c r="H23401">
        <v>251130</v>
      </c>
      <c r="I23401">
        <v>4600</v>
      </c>
      <c r="J23401" t="s">
        <v>278</v>
      </c>
      <c r="K23401">
        <v>80.14</v>
      </c>
      <c r="L23401">
        <v>10.73</v>
      </c>
      <c r="M23401">
        <v>13601</v>
      </c>
      <c r="N23401" t="s">
        <v>115</v>
      </c>
      <c r="O23401">
        <v>251208</v>
      </c>
      <c r="P23401">
        <v>42.08</v>
      </c>
    </row>
    <row r="23402" spans="1:16" x14ac:dyDescent="0.25">
      <c r="A23402" t="s">
        <v>3296</v>
      </c>
      <c r="B23402" t="s">
        <v>2931</v>
      </c>
      <c r="C23402">
        <v>16389</v>
      </c>
      <c r="D23402" t="str">
        <f>"5678745     "</f>
        <v xml:space="preserve">5678745     </v>
      </c>
      <c r="E23402" t="s">
        <v>449</v>
      </c>
      <c r="F23402" t="s">
        <v>450</v>
      </c>
      <c r="G23402">
        <v>10.44</v>
      </c>
      <c r="H23402">
        <v>251130</v>
      </c>
      <c r="I23402">
        <v>4600</v>
      </c>
      <c r="J23402" t="s">
        <v>278</v>
      </c>
      <c r="K23402">
        <v>80.14</v>
      </c>
      <c r="L23402">
        <v>2.12</v>
      </c>
      <c r="M23402">
        <v>13802</v>
      </c>
      <c r="N23402" t="s">
        <v>34</v>
      </c>
      <c r="O23402">
        <v>251208</v>
      </c>
      <c r="P23402">
        <v>8.32</v>
      </c>
    </row>
    <row r="23403" spans="1:16" x14ac:dyDescent="0.25">
      <c r="A23403" t="s">
        <v>3296</v>
      </c>
      <c r="B23403" t="s">
        <v>2931</v>
      </c>
      <c r="C23403">
        <v>16543</v>
      </c>
      <c r="D23403" t="str">
        <f>"5675484     "</f>
        <v xml:space="preserve">5675484     </v>
      </c>
      <c r="E23403" t="s">
        <v>449</v>
      </c>
      <c r="F23403" t="s">
        <v>450</v>
      </c>
      <c r="G23403">
        <v>25.84</v>
      </c>
      <c r="H23403">
        <v>251130</v>
      </c>
      <c r="I23403">
        <v>4600</v>
      </c>
      <c r="J23403" t="s">
        <v>278</v>
      </c>
      <c r="K23403">
        <v>357.53</v>
      </c>
      <c r="L23403">
        <v>5.25</v>
      </c>
      <c r="M23403">
        <v>67522</v>
      </c>
      <c r="N23403" t="s">
        <v>121</v>
      </c>
      <c r="O23403">
        <v>251209</v>
      </c>
      <c r="P23403">
        <v>20.59</v>
      </c>
    </row>
    <row r="23404" spans="1:16" x14ac:dyDescent="0.25">
      <c r="A23404" t="s">
        <v>3296</v>
      </c>
      <c r="B23404" t="s">
        <v>2931</v>
      </c>
      <c r="C23404">
        <v>16543</v>
      </c>
      <c r="D23404" t="str">
        <f>"5675484     "</f>
        <v xml:space="preserve">5675484     </v>
      </c>
      <c r="E23404" t="s">
        <v>449</v>
      </c>
      <c r="F23404" t="s">
        <v>450</v>
      </c>
      <c r="G23404">
        <v>3</v>
      </c>
      <c r="H23404">
        <v>251130</v>
      </c>
      <c r="I23404">
        <v>4600</v>
      </c>
      <c r="J23404" t="s">
        <v>278</v>
      </c>
      <c r="K23404">
        <v>357.53</v>
      </c>
      <c r="L23404">
        <v>0.61</v>
      </c>
      <c r="M23404">
        <v>69704</v>
      </c>
      <c r="N23404" t="s">
        <v>89</v>
      </c>
      <c r="O23404">
        <v>251209</v>
      </c>
      <c r="P23404">
        <v>2.39</v>
      </c>
    </row>
    <row r="23405" spans="1:16" x14ac:dyDescent="0.25">
      <c r="A23405" t="s">
        <v>3296</v>
      </c>
      <c r="B23405" t="s">
        <v>2931</v>
      </c>
      <c r="C23405">
        <v>16543</v>
      </c>
      <c r="D23405" t="str">
        <f>"5675484     "</f>
        <v xml:space="preserve">5675484     </v>
      </c>
      <c r="E23405" t="s">
        <v>449</v>
      </c>
      <c r="F23405" t="s">
        <v>450</v>
      </c>
      <c r="G23405">
        <v>64.77</v>
      </c>
      <c r="H23405">
        <v>251130</v>
      </c>
      <c r="I23405">
        <v>4600</v>
      </c>
      <c r="J23405" t="s">
        <v>278</v>
      </c>
      <c r="K23405">
        <v>357.53</v>
      </c>
      <c r="L23405">
        <v>7.95</v>
      </c>
      <c r="M23405">
        <v>69704</v>
      </c>
      <c r="N23405" t="s">
        <v>89</v>
      </c>
      <c r="O23405">
        <v>251209</v>
      </c>
      <c r="P23405">
        <v>56.82</v>
      </c>
    </row>
    <row r="23406" spans="1:16" x14ac:dyDescent="0.25">
      <c r="A23406" t="s">
        <v>3296</v>
      </c>
      <c r="B23406" t="s">
        <v>2931</v>
      </c>
      <c r="C23406">
        <v>16896</v>
      </c>
      <c r="D23406" t="str">
        <f t="shared" ref="D23406:D23412" si="535">"5675759     "</f>
        <v xml:space="preserve">5675759     </v>
      </c>
      <c r="E23406" t="s">
        <v>449</v>
      </c>
      <c r="F23406" t="s">
        <v>450</v>
      </c>
      <c r="G23406">
        <v>22.88</v>
      </c>
      <c r="H23406">
        <v>251130</v>
      </c>
      <c r="I23406">
        <v>4600</v>
      </c>
      <c r="J23406" t="s">
        <v>278</v>
      </c>
      <c r="K23406">
        <v>784.85</v>
      </c>
      <c r="L23406">
        <v>4.6500000000000004</v>
      </c>
      <c r="M23406">
        <v>54222</v>
      </c>
      <c r="N23406" t="s">
        <v>48</v>
      </c>
      <c r="O23406">
        <v>251215</v>
      </c>
      <c r="P23406">
        <v>18.23</v>
      </c>
    </row>
    <row r="23407" spans="1:16" x14ac:dyDescent="0.25">
      <c r="A23407" t="s">
        <v>3296</v>
      </c>
      <c r="B23407" t="s">
        <v>2931</v>
      </c>
      <c r="C23407">
        <v>16896</v>
      </c>
      <c r="D23407" t="str">
        <f t="shared" si="535"/>
        <v xml:space="preserve">5675759     </v>
      </c>
      <c r="E23407" t="s">
        <v>449</v>
      </c>
      <c r="F23407" t="s">
        <v>450</v>
      </c>
      <c r="G23407">
        <v>84.61</v>
      </c>
      <c r="H23407">
        <v>251130</v>
      </c>
      <c r="I23407">
        <v>4600</v>
      </c>
      <c r="J23407" t="s">
        <v>278</v>
      </c>
      <c r="K23407">
        <v>784.85</v>
      </c>
      <c r="L23407">
        <v>17.190000000000001</v>
      </c>
      <c r="M23407">
        <v>54222</v>
      </c>
      <c r="N23407" t="s">
        <v>48</v>
      </c>
      <c r="O23407">
        <v>251215</v>
      </c>
      <c r="P23407">
        <v>67.42</v>
      </c>
    </row>
    <row r="23408" spans="1:16" x14ac:dyDescent="0.25">
      <c r="A23408" t="s">
        <v>3296</v>
      </c>
      <c r="B23408" t="s">
        <v>2931</v>
      </c>
      <c r="C23408">
        <v>16896</v>
      </c>
      <c r="D23408" t="str">
        <f t="shared" si="535"/>
        <v xml:space="preserve">5675759     </v>
      </c>
      <c r="E23408" t="s">
        <v>449</v>
      </c>
      <c r="F23408" t="s">
        <v>450</v>
      </c>
      <c r="G23408">
        <v>84.6</v>
      </c>
      <c r="H23408">
        <v>251130</v>
      </c>
      <c r="I23408">
        <v>4600</v>
      </c>
      <c r="J23408" t="s">
        <v>278</v>
      </c>
      <c r="K23408">
        <v>784.85</v>
      </c>
      <c r="L23408">
        <v>17.190000000000001</v>
      </c>
      <c r="M23408">
        <v>54251</v>
      </c>
      <c r="N23408" t="s">
        <v>485</v>
      </c>
      <c r="O23408">
        <v>251215</v>
      </c>
      <c r="P23408">
        <v>67.41</v>
      </c>
    </row>
    <row r="23409" spans="1:16" x14ac:dyDescent="0.25">
      <c r="A23409" t="s">
        <v>3296</v>
      </c>
      <c r="B23409" t="s">
        <v>2931</v>
      </c>
      <c r="C23409">
        <v>16896</v>
      </c>
      <c r="D23409" t="str">
        <f t="shared" si="535"/>
        <v xml:space="preserve">5675759     </v>
      </c>
      <c r="E23409" t="s">
        <v>449</v>
      </c>
      <c r="F23409" t="s">
        <v>450</v>
      </c>
      <c r="G23409">
        <v>104.09</v>
      </c>
      <c r="H23409">
        <v>251130</v>
      </c>
      <c r="I23409">
        <v>4600</v>
      </c>
      <c r="J23409" t="s">
        <v>278</v>
      </c>
      <c r="K23409">
        <v>784.85</v>
      </c>
      <c r="L23409">
        <v>21.15</v>
      </c>
      <c r="M23409">
        <v>56524</v>
      </c>
      <c r="N23409" t="s">
        <v>69</v>
      </c>
      <c r="O23409">
        <v>251215</v>
      </c>
      <c r="P23409">
        <v>82.94</v>
      </c>
    </row>
    <row r="23410" spans="1:16" x14ac:dyDescent="0.25">
      <c r="A23410" t="s">
        <v>3296</v>
      </c>
      <c r="B23410" t="s">
        <v>2931</v>
      </c>
      <c r="C23410">
        <v>16896</v>
      </c>
      <c r="D23410" t="str">
        <f t="shared" si="535"/>
        <v xml:space="preserve">5675759     </v>
      </c>
      <c r="E23410" t="s">
        <v>449</v>
      </c>
      <c r="F23410" t="s">
        <v>450</v>
      </c>
      <c r="G23410">
        <v>56.67</v>
      </c>
      <c r="H23410">
        <v>251130</v>
      </c>
      <c r="I23410">
        <v>4600</v>
      </c>
      <c r="J23410" t="s">
        <v>278</v>
      </c>
      <c r="K23410">
        <v>784.85</v>
      </c>
      <c r="L23410">
        <v>11.51</v>
      </c>
      <c r="M23410">
        <v>59505</v>
      </c>
      <c r="N23410" t="s">
        <v>194</v>
      </c>
      <c r="O23410">
        <v>251215</v>
      </c>
      <c r="P23410">
        <v>45.16</v>
      </c>
    </row>
    <row r="23411" spans="1:16" x14ac:dyDescent="0.25">
      <c r="A23411" t="s">
        <v>3296</v>
      </c>
      <c r="B23411" t="s">
        <v>2931</v>
      </c>
      <c r="C23411">
        <v>16896</v>
      </c>
      <c r="D23411" t="str">
        <f t="shared" si="535"/>
        <v xml:space="preserve">5675759     </v>
      </c>
      <c r="E23411" t="s">
        <v>449</v>
      </c>
      <c r="F23411" t="s">
        <v>450</v>
      </c>
      <c r="G23411">
        <v>15.98</v>
      </c>
      <c r="H23411">
        <v>251130</v>
      </c>
      <c r="I23411">
        <v>4600</v>
      </c>
      <c r="J23411" t="s">
        <v>278</v>
      </c>
      <c r="K23411">
        <v>784.85</v>
      </c>
      <c r="L23411">
        <v>3.25</v>
      </c>
      <c r="M23411">
        <v>59702</v>
      </c>
      <c r="N23411" t="s">
        <v>45</v>
      </c>
      <c r="O23411">
        <v>251215</v>
      </c>
      <c r="P23411">
        <v>12.73</v>
      </c>
    </row>
    <row r="23412" spans="1:16" x14ac:dyDescent="0.25">
      <c r="A23412" t="s">
        <v>3296</v>
      </c>
      <c r="B23412" t="s">
        <v>2931</v>
      </c>
      <c r="C23412">
        <v>16896</v>
      </c>
      <c r="D23412" t="str">
        <f t="shared" si="535"/>
        <v xml:space="preserve">5675759     </v>
      </c>
      <c r="E23412" t="s">
        <v>449</v>
      </c>
      <c r="F23412" t="s">
        <v>450</v>
      </c>
      <c r="G23412">
        <v>71.84</v>
      </c>
      <c r="H23412">
        <v>251130</v>
      </c>
      <c r="I23412">
        <v>4600</v>
      </c>
      <c r="J23412" t="s">
        <v>278</v>
      </c>
      <c r="K23412">
        <v>784.85</v>
      </c>
      <c r="L23412">
        <v>14.6</v>
      </c>
      <c r="M23412">
        <v>59702</v>
      </c>
      <c r="N23412" t="s">
        <v>45</v>
      </c>
      <c r="O23412">
        <v>251215</v>
      </c>
      <c r="P23412">
        <v>57.24</v>
      </c>
    </row>
    <row r="23413" spans="1:16" x14ac:dyDescent="0.25">
      <c r="A23413" t="s">
        <v>3296</v>
      </c>
      <c r="B23413" t="s">
        <v>2931</v>
      </c>
      <c r="C23413">
        <v>17199</v>
      </c>
      <c r="D23413" t="str">
        <f>"5683406     "</f>
        <v xml:space="preserve">5683406     </v>
      </c>
      <c r="E23413" t="s">
        <v>449</v>
      </c>
      <c r="F23413" t="s">
        <v>450</v>
      </c>
      <c r="G23413">
        <v>49.99</v>
      </c>
      <c r="H23413">
        <v>251215</v>
      </c>
      <c r="I23413">
        <v>4600</v>
      </c>
      <c r="J23413" t="s">
        <v>278</v>
      </c>
      <c r="K23413">
        <v>49.99</v>
      </c>
      <c r="L23413">
        <v>0</v>
      </c>
      <c r="M23413">
        <v>13802</v>
      </c>
      <c r="N23413" t="s">
        <v>34</v>
      </c>
      <c r="O23413">
        <v>251218</v>
      </c>
      <c r="P23413">
        <v>49.99</v>
      </c>
    </row>
    <row r="23414" spans="1:16" x14ac:dyDescent="0.25">
      <c r="A23414" t="s">
        <v>3296</v>
      </c>
      <c r="B23414" t="s">
        <v>2931</v>
      </c>
      <c r="C23414">
        <v>17202</v>
      </c>
      <c r="D23414" t="str">
        <f>"5681794     "</f>
        <v xml:space="preserve">5681794     </v>
      </c>
      <c r="E23414" t="s">
        <v>449</v>
      </c>
      <c r="F23414" t="s">
        <v>450</v>
      </c>
      <c r="G23414">
        <v>23.37</v>
      </c>
      <c r="H23414">
        <v>251215</v>
      </c>
      <c r="I23414">
        <v>4600</v>
      </c>
      <c r="J23414" t="s">
        <v>278</v>
      </c>
      <c r="K23414">
        <v>163.62</v>
      </c>
      <c r="L23414">
        <v>4.75</v>
      </c>
      <c r="M23414">
        <v>17131</v>
      </c>
      <c r="N23414" t="s">
        <v>154</v>
      </c>
      <c r="O23414">
        <v>251218</v>
      </c>
      <c r="P23414">
        <v>18.62</v>
      </c>
    </row>
    <row r="23415" spans="1:16" x14ac:dyDescent="0.25">
      <c r="A23415" t="s">
        <v>3296</v>
      </c>
      <c r="B23415" t="s">
        <v>2931</v>
      </c>
      <c r="C23415">
        <v>17202</v>
      </c>
      <c r="D23415" t="str">
        <f>"5681794     "</f>
        <v xml:space="preserve">5681794     </v>
      </c>
      <c r="E23415" t="s">
        <v>449</v>
      </c>
      <c r="F23415" t="s">
        <v>450</v>
      </c>
      <c r="G23415">
        <v>65.52</v>
      </c>
      <c r="H23415">
        <v>251215</v>
      </c>
      <c r="I23415">
        <v>4600</v>
      </c>
      <c r="J23415" t="s">
        <v>278</v>
      </c>
      <c r="K23415">
        <v>163.62</v>
      </c>
      <c r="L23415">
        <v>13.31</v>
      </c>
      <c r="M23415">
        <v>17912</v>
      </c>
      <c r="N23415" t="s">
        <v>505</v>
      </c>
      <c r="O23415">
        <v>251218</v>
      </c>
      <c r="P23415">
        <v>52.21</v>
      </c>
    </row>
    <row r="23416" spans="1:16" x14ac:dyDescent="0.25">
      <c r="A23416" t="s">
        <v>3296</v>
      </c>
      <c r="B23416" t="s">
        <v>2931</v>
      </c>
      <c r="C23416">
        <v>17202</v>
      </c>
      <c r="D23416" t="str">
        <f>"5681794     "</f>
        <v xml:space="preserve">5681794     </v>
      </c>
      <c r="E23416" t="s">
        <v>449</v>
      </c>
      <c r="F23416" t="s">
        <v>450</v>
      </c>
      <c r="G23416">
        <v>23.17</v>
      </c>
      <c r="H23416">
        <v>251215</v>
      </c>
      <c r="I23416">
        <v>4600</v>
      </c>
      <c r="J23416" t="s">
        <v>278</v>
      </c>
      <c r="K23416">
        <v>163.62</v>
      </c>
      <c r="L23416">
        <v>4.71</v>
      </c>
      <c r="M23416">
        <v>17952</v>
      </c>
      <c r="N23416" t="s">
        <v>157</v>
      </c>
      <c r="O23416">
        <v>251218</v>
      </c>
      <c r="P23416">
        <v>18.46</v>
      </c>
    </row>
    <row r="23417" spans="1:16" x14ac:dyDescent="0.25">
      <c r="A23417" t="s">
        <v>3296</v>
      </c>
      <c r="B23417" t="s">
        <v>2931</v>
      </c>
      <c r="C23417">
        <v>17202</v>
      </c>
      <c r="D23417" t="str">
        <f>"5681794     "</f>
        <v xml:space="preserve">5681794     </v>
      </c>
      <c r="E23417" t="s">
        <v>449</v>
      </c>
      <c r="F23417" t="s">
        <v>450</v>
      </c>
      <c r="G23417">
        <v>43.56</v>
      </c>
      <c r="H23417">
        <v>251215</v>
      </c>
      <c r="I23417">
        <v>4600</v>
      </c>
      <c r="J23417" t="s">
        <v>278</v>
      </c>
      <c r="K23417">
        <v>163.62</v>
      </c>
      <c r="L23417">
        <v>8.85</v>
      </c>
      <c r="M23417">
        <v>17952</v>
      </c>
      <c r="N23417" t="s">
        <v>157</v>
      </c>
      <c r="O23417">
        <v>251218</v>
      </c>
      <c r="P23417">
        <v>34.71</v>
      </c>
    </row>
    <row r="23418" spans="1:16" x14ac:dyDescent="0.25">
      <c r="A23418" t="s">
        <v>3296</v>
      </c>
      <c r="B23418" t="s">
        <v>2931</v>
      </c>
      <c r="C23418">
        <v>17417</v>
      </c>
      <c r="D23418" t="str">
        <f>"5682633     "</f>
        <v xml:space="preserve">5682633     </v>
      </c>
      <c r="E23418" t="s">
        <v>449</v>
      </c>
      <c r="F23418" t="s">
        <v>450</v>
      </c>
      <c r="G23418">
        <v>7.53</v>
      </c>
      <c r="H23418">
        <v>251215</v>
      </c>
      <c r="I23418">
        <v>4600</v>
      </c>
      <c r="J23418" t="s">
        <v>278</v>
      </c>
      <c r="K23418">
        <v>112.44</v>
      </c>
      <c r="L23418">
        <v>1.53</v>
      </c>
      <c r="M23418">
        <v>17525</v>
      </c>
      <c r="N23418" t="s">
        <v>140</v>
      </c>
      <c r="O23418">
        <v>251219</v>
      </c>
      <c r="P23418">
        <v>6</v>
      </c>
    </row>
    <row r="23419" spans="1:16" x14ac:dyDescent="0.25">
      <c r="A23419" t="s">
        <v>3296</v>
      </c>
      <c r="B23419" t="s">
        <v>2931</v>
      </c>
      <c r="C23419">
        <v>17706</v>
      </c>
      <c r="D23419" t="str">
        <f>"5681133     "</f>
        <v xml:space="preserve">5681133     </v>
      </c>
      <c r="E23419" t="s">
        <v>449</v>
      </c>
      <c r="F23419" t="s">
        <v>450</v>
      </c>
      <c r="G23419">
        <v>41.76</v>
      </c>
      <c r="H23419">
        <v>251215</v>
      </c>
      <c r="I23419">
        <v>4600</v>
      </c>
      <c r="J23419" t="s">
        <v>278</v>
      </c>
      <c r="K23419">
        <v>66.33</v>
      </c>
      <c r="L23419">
        <v>8.49</v>
      </c>
      <c r="M23419">
        <v>17913</v>
      </c>
      <c r="N23419" t="s">
        <v>26</v>
      </c>
      <c r="O23419">
        <v>251229</v>
      </c>
      <c r="P23419">
        <v>33.270000000000003</v>
      </c>
    </row>
    <row r="23420" spans="1:16" x14ac:dyDescent="0.25">
      <c r="A23420" t="s">
        <v>3296</v>
      </c>
      <c r="B23420" t="s">
        <v>2931</v>
      </c>
      <c r="C23420">
        <v>17706</v>
      </c>
      <c r="D23420" t="str">
        <f>"5681133     "</f>
        <v xml:space="preserve">5681133     </v>
      </c>
      <c r="E23420" t="s">
        <v>449</v>
      </c>
      <c r="F23420" t="s">
        <v>450</v>
      </c>
      <c r="G23420">
        <v>24.57</v>
      </c>
      <c r="H23420">
        <v>251215</v>
      </c>
      <c r="I23420">
        <v>4600</v>
      </c>
      <c r="J23420" t="s">
        <v>278</v>
      </c>
      <c r="K23420">
        <v>66.33</v>
      </c>
      <c r="L23420">
        <v>4.99</v>
      </c>
      <c r="M23420">
        <v>17972</v>
      </c>
      <c r="N23420" t="s">
        <v>28</v>
      </c>
      <c r="O23420">
        <v>251229</v>
      </c>
      <c r="P23420">
        <v>19.579999999999998</v>
      </c>
    </row>
    <row r="23421" spans="1:16" x14ac:dyDescent="0.25">
      <c r="A23421" t="s">
        <v>3296</v>
      </c>
      <c r="B23421" t="s">
        <v>2931</v>
      </c>
      <c r="C23421">
        <v>18140</v>
      </c>
      <c r="D23421" t="str">
        <f>"5685459     "</f>
        <v xml:space="preserve">5685459     </v>
      </c>
      <c r="E23421" t="s">
        <v>449</v>
      </c>
      <c r="F23421" t="s">
        <v>450</v>
      </c>
      <c r="G23421">
        <v>27.68</v>
      </c>
      <c r="H23421">
        <v>251231</v>
      </c>
      <c r="I23421">
        <v>4600</v>
      </c>
      <c r="J23421" t="s">
        <v>278</v>
      </c>
      <c r="K23421">
        <v>63.55</v>
      </c>
      <c r="L23421">
        <v>5.62</v>
      </c>
      <c r="M23421">
        <v>65222</v>
      </c>
      <c r="N23421" t="s">
        <v>87</v>
      </c>
      <c r="O23421">
        <v>260109</v>
      </c>
      <c r="P23421">
        <v>22.06</v>
      </c>
    </row>
    <row r="23422" spans="1:16" x14ac:dyDescent="0.25">
      <c r="A23422" t="s">
        <v>3296</v>
      </c>
      <c r="B23422" t="s">
        <v>2931</v>
      </c>
      <c r="C23422">
        <v>18140</v>
      </c>
      <c r="D23422" t="str">
        <f>"5685459     "</f>
        <v xml:space="preserve">5685459     </v>
      </c>
      <c r="E23422" t="s">
        <v>449</v>
      </c>
      <c r="F23422" t="s">
        <v>450</v>
      </c>
      <c r="G23422">
        <v>13.06</v>
      </c>
      <c r="H23422">
        <v>251231</v>
      </c>
      <c r="I23422">
        <v>4600</v>
      </c>
      <c r="J23422" t="s">
        <v>278</v>
      </c>
      <c r="K23422">
        <v>63.55</v>
      </c>
      <c r="L23422">
        <v>2.65</v>
      </c>
      <c r="M23422">
        <v>67522</v>
      </c>
      <c r="N23422" t="s">
        <v>121</v>
      </c>
      <c r="O23422">
        <v>260109</v>
      </c>
      <c r="P23422">
        <v>10.41</v>
      </c>
    </row>
    <row r="23423" spans="1:16" x14ac:dyDescent="0.25">
      <c r="A23423" t="s">
        <v>3296</v>
      </c>
      <c r="B23423" t="s">
        <v>2931</v>
      </c>
      <c r="C23423">
        <v>18140</v>
      </c>
      <c r="D23423" t="str">
        <f>"5685459     "</f>
        <v xml:space="preserve">5685459     </v>
      </c>
      <c r="E23423" t="s">
        <v>449</v>
      </c>
      <c r="F23423" t="s">
        <v>450</v>
      </c>
      <c r="G23423">
        <v>19.809999999999999</v>
      </c>
      <c r="H23423">
        <v>251231</v>
      </c>
      <c r="I23423">
        <v>4600</v>
      </c>
      <c r="J23423" t="s">
        <v>278</v>
      </c>
      <c r="K23423">
        <v>63.55</v>
      </c>
      <c r="L23423">
        <v>4.03</v>
      </c>
      <c r="M23423">
        <v>69112</v>
      </c>
      <c r="N23423" t="s">
        <v>227</v>
      </c>
      <c r="O23423">
        <v>260109</v>
      </c>
      <c r="P23423">
        <v>15.78</v>
      </c>
    </row>
    <row r="23424" spans="1:16" x14ac:dyDescent="0.25">
      <c r="A23424" t="s">
        <v>3296</v>
      </c>
      <c r="B23424" t="s">
        <v>2931</v>
      </c>
      <c r="C23424">
        <v>18140</v>
      </c>
      <c r="D23424" t="str">
        <f>"5685459     "</f>
        <v xml:space="preserve">5685459     </v>
      </c>
      <c r="E23424" t="s">
        <v>449</v>
      </c>
      <c r="F23424" t="s">
        <v>450</v>
      </c>
      <c r="G23424">
        <v>3</v>
      </c>
      <c r="H23424">
        <v>251231</v>
      </c>
      <c r="I23424">
        <v>4600</v>
      </c>
      <c r="J23424" t="s">
        <v>278</v>
      </c>
      <c r="K23424">
        <v>63.55</v>
      </c>
      <c r="L23424">
        <v>0.61</v>
      </c>
      <c r="M23424">
        <v>69113</v>
      </c>
      <c r="N23424" t="s">
        <v>122</v>
      </c>
      <c r="O23424">
        <v>260109</v>
      </c>
      <c r="P23424">
        <v>2.39</v>
      </c>
    </row>
    <row r="23425" spans="1:16" x14ac:dyDescent="0.25">
      <c r="A23425" t="s">
        <v>3296</v>
      </c>
      <c r="B23425" t="s">
        <v>2931</v>
      </c>
      <c r="C23425">
        <v>18158</v>
      </c>
      <c r="D23425" t="str">
        <f>"5685779     "</f>
        <v xml:space="preserve">5685779     </v>
      </c>
      <c r="E23425" t="s">
        <v>449</v>
      </c>
      <c r="F23425" t="s">
        <v>450</v>
      </c>
      <c r="G23425">
        <v>12.01</v>
      </c>
      <c r="H23425">
        <v>251231</v>
      </c>
      <c r="I23425">
        <v>4600</v>
      </c>
      <c r="J23425" t="s">
        <v>278</v>
      </c>
      <c r="K23425">
        <v>432.78</v>
      </c>
      <c r="L23425">
        <v>2.44</v>
      </c>
      <c r="M23425">
        <v>54222</v>
      </c>
      <c r="N23425" t="s">
        <v>48</v>
      </c>
      <c r="O23425">
        <v>260109</v>
      </c>
      <c r="P23425">
        <v>9.57</v>
      </c>
    </row>
    <row r="23426" spans="1:16" x14ac:dyDescent="0.25">
      <c r="A23426" t="s">
        <v>3296</v>
      </c>
      <c r="B23426" t="s">
        <v>2931</v>
      </c>
      <c r="C23426">
        <v>18158</v>
      </c>
      <c r="D23426" t="str">
        <f>"5685779     "</f>
        <v xml:space="preserve">5685779     </v>
      </c>
      <c r="E23426" t="s">
        <v>449</v>
      </c>
      <c r="F23426" t="s">
        <v>450</v>
      </c>
      <c r="G23426">
        <v>153.83000000000001</v>
      </c>
      <c r="H23426">
        <v>251231</v>
      </c>
      <c r="I23426">
        <v>4600</v>
      </c>
      <c r="J23426" t="s">
        <v>278</v>
      </c>
      <c r="K23426">
        <v>432.78</v>
      </c>
      <c r="L23426">
        <v>31.26</v>
      </c>
      <c r="M23426">
        <v>56524</v>
      </c>
      <c r="N23426" t="s">
        <v>69</v>
      </c>
      <c r="O23426">
        <v>260109</v>
      </c>
      <c r="P23426">
        <v>122.57</v>
      </c>
    </row>
    <row r="23427" spans="1:16" x14ac:dyDescent="0.25">
      <c r="A23427" t="s">
        <v>3296</v>
      </c>
      <c r="B23427" t="s">
        <v>2931</v>
      </c>
      <c r="C23427">
        <v>18158</v>
      </c>
      <c r="D23427" t="str">
        <f>"5685779     "</f>
        <v xml:space="preserve">5685779     </v>
      </c>
      <c r="E23427" t="s">
        <v>449</v>
      </c>
      <c r="F23427" t="s">
        <v>450</v>
      </c>
      <c r="G23427">
        <v>69.040000000000006</v>
      </c>
      <c r="H23427">
        <v>251231</v>
      </c>
      <c r="I23427">
        <v>4600</v>
      </c>
      <c r="J23427" t="s">
        <v>278</v>
      </c>
      <c r="K23427">
        <v>432.78</v>
      </c>
      <c r="L23427">
        <v>14.03</v>
      </c>
      <c r="M23427">
        <v>56528</v>
      </c>
      <c r="N23427" t="s">
        <v>70</v>
      </c>
      <c r="O23427">
        <v>260109</v>
      </c>
      <c r="P23427">
        <v>55.01</v>
      </c>
    </row>
    <row r="23428" spans="1:16" x14ac:dyDescent="0.25">
      <c r="A23428" t="s">
        <v>3296</v>
      </c>
      <c r="B23428" t="s">
        <v>2931</v>
      </c>
      <c r="C23428">
        <v>18158</v>
      </c>
      <c r="D23428" t="str">
        <f>"5685779     "</f>
        <v xml:space="preserve">5685779     </v>
      </c>
      <c r="E23428" t="s">
        <v>449</v>
      </c>
      <c r="F23428" t="s">
        <v>450</v>
      </c>
      <c r="G23428">
        <v>39.26</v>
      </c>
      <c r="H23428">
        <v>251231</v>
      </c>
      <c r="I23428">
        <v>4600</v>
      </c>
      <c r="J23428" t="s">
        <v>278</v>
      </c>
      <c r="K23428">
        <v>432.78</v>
      </c>
      <c r="L23428">
        <v>7.98</v>
      </c>
      <c r="M23428">
        <v>59111</v>
      </c>
      <c r="N23428" t="s">
        <v>60</v>
      </c>
      <c r="O23428">
        <v>260109</v>
      </c>
      <c r="P23428">
        <v>31.28</v>
      </c>
    </row>
    <row r="23429" spans="1:16" x14ac:dyDescent="0.25">
      <c r="A23429" t="s">
        <v>3296</v>
      </c>
      <c r="B23429" t="s">
        <v>2931</v>
      </c>
      <c r="C23429">
        <v>18158</v>
      </c>
      <c r="D23429" t="str">
        <f>"5685779     "</f>
        <v xml:space="preserve">5685779     </v>
      </c>
      <c r="E23429" t="s">
        <v>449</v>
      </c>
      <c r="F23429" t="s">
        <v>450</v>
      </c>
      <c r="G23429">
        <v>106.27</v>
      </c>
      <c r="H23429">
        <v>251231</v>
      </c>
      <c r="I23429">
        <v>4600</v>
      </c>
      <c r="J23429" t="s">
        <v>278</v>
      </c>
      <c r="K23429">
        <v>432.78</v>
      </c>
      <c r="L23429">
        <v>21.59</v>
      </c>
      <c r="M23429">
        <v>59501</v>
      </c>
      <c r="N23429" t="s">
        <v>62</v>
      </c>
      <c r="O23429">
        <v>260109</v>
      </c>
      <c r="P23429">
        <v>84.68</v>
      </c>
    </row>
    <row r="23430" spans="1:16" x14ac:dyDescent="0.25">
      <c r="A23430" t="s">
        <v>3296</v>
      </c>
      <c r="B23430" t="s">
        <v>2931</v>
      </c>
      <c r="C23430">
        <v>18234</v>
      </c>
      <c r="D23430" t="str">
        <f>"5686403     "</f>
        <v xml:space="preserve">5686403     </v>
      </c>
      <c r="E23430" t="s">
        <v>449</v>
      </c>
      <c r="F23430" t="s">
        <v>450</v>
      </c>
      <c r="G23430">
        <v>4.1900000000000004</v>
      </c>
      <c r="H23430">
        <v>251231</v>
      </c>
      <c r="I23430">
        <v>4600</v>
      </c>
      <c r="J23430" t="s">
        <v>278</v>
      </c>
      <c r="K23430">
        <v>130.13999999999999</v>
      </c>
      <c r="L23430">
        <v>0.85</v>
      </c>
      <c r="M23430">
        <v>17808</v>
      </c>
      <c r="N23430" t="s">
        <v>24</v>
      </c>
      <c r="O23430">
        <v>260112</v>
      </c>
      <c r="P23430">
        <v>3.34</v>
      </c>
    </row>
    <row r="23431" spans="1:16" x14ac:dyDescent="0.25">
      <c r="A23431" t="s">
        <v>3296</v>
      </c>
      <c r="B23431" t="s">
        <v>2931</v>
      </c>
      <c r="C23431">
        <v>18404</v>
      </c>
      <c r="D23431" t="str">
        <f>"5685277     "</f>
        <v xml:space="preserve">5685277     </v>
      </c>
      <c r="E23431" t="s">
        <v>449</v>
      </c>
      <c r="F23431" t="s">
        <v>450</v>
      </c>
      <c r="G23431">
        <v>26.59</v>
      </c>
      <c r="H23431">
        <v>251231</v>
      </c>
      <c r="I23431">
        <v>4600</v>
      </c>
      <c r="J23431" t="s">
        <v>278</v>
      </c>
      <c r="K23431">
        <v>493.71</v>
      </c>
      <c r="L23431">
        <v>5.4</v>
      </c>
      <c r="M23431">
        <v>41126</v>
      </c>
      <c r="N23431" t="s">
        <v>94</v>
      </c>
      <c r="O23431">
        <v>260113</v>
      </c>
      <c r="P23431">
        <v>21.19</v>
      </c>
    </row>
    <row r="23432" spans="1:16" x14ac:dyDescent="0.25">
      <c r="A23432" t="s">
        <v>3296</v>
      </c>
      <c r="B23432" t="s">
        <v>2931</v>
      </c>
      <c r="C23432">
        <v>18404</v>
      </c>
      <c r="D23432" t="str">
        <f>"5685277     "</f>
        <v xml:space="preserve">5685277     </v>
      </c>
      <c r="E23432" t="s">
        <v>449</v>
      </c>
      <c r="F23432" t="s">
        <v>450</v>
      </c>
      <c r="G23432">
        <v>53.9</v>
      </c>
      <c r="H23432">
        <v>251231</v>
      </c>
      <c r="I23432">
        <v>4600</v>
      </c>
      <c r="J23432" t="s">
        <v>278</v>
      </c>
      <c r="K23432">
        <v>493.71</v>
      </c>
      <c r="L23432">
        <v>10.95</v>
      </c>
      <c r="M23432">
        <v>44222</v>
      </c>
      <c r="N23432" t="s">
        <v>96</v>
      </c>
      <c r="O23432">
        <v>260113</v>
      </c>
      <c r="P23432">
        <v>42.95</v>
      </c>
    </row>
    <row r="23433" spans="1:16" x14ac:dyDescent="0.25">
      <c r="A23433" t="s">
        <v>3296</v>
      </c>
      <c r="B23433" t="s">
        <v>2931</v>
      </c>
      <c r="C23433">
        <v>18404</v>
      </c>
      <c r="D23433" t="str">
        <f>"5685277     "</f>
        <v xml:space="preserve">5685277     </v>
      </c>
      <c r="E23433" t="s">
        <v>449</v>
      </c>
      <c r="F23433" t="s">
        <v>450</v>
      </c>
      <c r="G23433">
        <v>62.91</v>
      </c>
      <c r="H23433">
        <v>251231</v>
      </c>
      <c r="I23433">
        <v>4600</v>
      </c>
      <c r="J23433" t="s">
        <v>278</v>
      </c>
      <c r="K23433">
        <v>493.71</v>
      </c>
      <c r="L23433">
        <v>12.78</v>
      </c>
      <c r="M23433">
        <v>44424</v>
      </c>
      <c r="N23433" t="s">
        <v>99</v>
      </c>
      <c r="O23433">
        <v>260113</v>
      </c>
      <c r="P23433">
        <v>50.13</v>
      </c>
    </row>
    <row r="23434" spans="1:16" x14ac:dyDescent="0.25">
      <c r="A23434" t="s">
        <v>3296</v>
      </c>
      <c r="B23434" t="s">
        <v>2931</v>
      </c>
      <c r="C23434">
        <v>18404</v>
      </c>
      <c r="D23434" t="str">
        <f>"5685277     "</f>
        <v xml:space="preserve">5685277     </v>
      </c>
      <c r="E23434" t="s">
        <v>449</v>
      </c>
      <c r="F23434" t="s">
        <v>450</v>
      </c>
      <c r="G23434">
        <v>100.55</v>
      </c>
      <c r="H23434">
        <v>251231</v>
      </c>
      <c r="I23434">
        <v>4600</v>
      </c>
      <c r="J23434" t="s">
        <v>278</v>
      </c>
      <c r="K23434">
        <v>493.71</v>
      </c>
      <c r="L23434">
        <v>20.43</v>
      </c>
      <c r="M23434">
        <v>49501</v>
      </c>
      <c r="N23434" t="s">
        <v>110</v>
      </c>
      <c r="O23434">
        <v>260113</v>
      </c>
      <c r="P23434">
        <v>80.12</v>
      </c>
    </row>
    <row r="23435" spans="1:16" x14ac:dyDescent="0.25">
      <c r="A23435" t="s">
        <v>3296</v>
      </c>
      <c r="B23435" t="s">
        <v>2931</v>
      </c>
      <c r="C23435">
        <v>18500</v>
      </c>
      <c r="D23435" t="str">
        <f>"5688995     "</f>
        <v xml:space="preserve">5688995     </v>
      </c>
      <c r="E23435" t="s">
        <v>449</v>
      </c>
      <c r="F23435" t="s">
        <v>450</v>
      </c>
      <c r="G23435">
        <v>10</v>
      </c>
      <c r="H23435">
        <v>251231</v>
      </c>
      <c r="I23435">
        <v>4600</v>
      </c>
      <c r="J23435" t="s">
        <v>278</v>
      </c>
      <c r="K23435">
        <v>87.39</v>
      </c>
      <c r="L23435">
        <v>2.0299999999999998</v>
      </c>
      <c r="M23435">
        <v>13501</v>
      </c>
      <c r="N23435" t="s">
        <v>66</v>
      </c>
      <c r="O23435">
        <v>260114</v>
      </c>
      <c r="P23435">
        <v>7.97</v>
      </c>
    </row>
    <row r="23436" spans="1:16" x14ac:dyDescent="0.25">
      <c r="A23436" t="s">
        <v>3296</v>
      </c>
      <c r="B23436" t="s">
        <v>2931</v>
      </c>
      <c r="C23436">
        <v>18500</v>
      </c>
      <c r="D23436" t="str">
        <f>"5688995     "</f>
        <v xml:space="preserve">5688995     </v>
      </c>
      <c r="E23436" t="s">
        <v>449</v>
      </c>
      <c r="F23436" t="s">
        <v>450</v>
      </c>
      <c r="G23436">
        <v>28.08</v>
      </c>
      <c r="H23436">
        <v>251231</v>
      </c>
      <c r="I23436">
        <v>4600</v>
      </c>
      <c r="J23436" t="s">
        <v>278</v>
      </c>
      <c r="K23436">
        <v>87.39</v>
      </c>
      <c r="L23436">
        <v>5.71</v>
      </c>
      <c r="M23436">
        <v>17531</v>
      </c>
      <c r="N23436" t="s">
        <v>145</v>
      </c>
      <c r="O23436">
        <v>260114</v>
      </c>
      <c r="P23436">
        <v>22.37</v>
      </c>
    </row>
    <row r="23437" spans="1:16" x14ac:dyDescent="0.25">
      <c r="A23437" t="s">
        <v>3296</v>
      </c>
      <c r="B23437" t="s">
        <v>2931</v>
      </c>
      <c r="C23437">
        <v>18500</v>
      </c>
      <c r="D23437" t="str">
        <f>"5688995     "</f>
        <v xml:space="preserve">5688995     </v>
      </c>
      <c r="E23437" t="s">
        <v>449</v>
      </c>
      <c r="F23437" t="s">
        <v>450</v>
      </c>
      <c r="G23437">
        <v>8.39</v>
      </c>
      <c r="H23437">
        <v>251231</v>
      </c>
      <c r="I23437">
        <v>4600</v>
      </c>
      <c r="J23437" t="s">
        <v>278</v>
      </c>
      <c r="K23437">
        <v>87.39</v>
      </c>
      <c r="L23437">
        <v>1.7</v>
      </c>
      <c r="M23437">
        <v>17538</v>
      </c>
      <c r="N23437" t="s">
        <v>129</v>
      </c>
      <c r="O23437">
        <v>260114</v>
      </c>
      <c r="P23437">
        <v>6.69</v>
      </c>
    </row>
    <row r="23438" spans="1:16" x14ac:dyDescent="0.25">
      <c r="A23438" t="s">
        <v>3296</v>
      </c>
      <c r="B23438" t="s">
        <v>2931</v>
      </c>
      <c r="C23438">
        <v>630</v>
      </c>
      <c r="D23438" t="str">
        <f>"65          "</f>
        <v xml:space="preserve">65          </v>
      </c>
      <c r="E23438" t="s">
        <v>632</v>
      </c>
      <c r="F23438" t="s">
        <v>633</v>
      </c>
      <c r="G23438">
        <v>276.10000000000002</v>
      </c>
      <c r="H23438">
        <v>250117</v>
      </c>
      <c r="I23438">
        <v>4350</v>
      </c>
      <c r="J23438" t="s">
        <v>290</v>
      </c>
      <c r="K23438">
        <v>276.10000000000002</v>
      </c>
      <c r="L23438">
        <v>56.1</v>
      </c>
      <c r="M23438">
        <v>17524</v>
      </c>
      <c r="N23438" t="s">
        <v>139</v>
      </c>
      <c r="O23438">
        <v>250124</v>
      </c>
      <c r="P23438">
        <v>220</v>
      </c>
    </row>
    <row r="23439" spans="1:16" x14ac:dyDescent="0.25">
      <c r="A23439" t="s">
        <v>3296</v>
      </c>
      <c r="B23439" t="s">
        <v>2931</v>
      </c>
      <c r="C23439">
        <v>10244</v>
      </c>
      <c r="D23439" t="str">
        <f>"1374        "</f>
        <v xml:space="preserve">1374        </v>
      </c>
      <c r="E23439" t="s">
        <v>2177</v>
      </c>
      <c r="F23439" t="s">
        <v>2178</v>
      </c>
      <c r="G23439">
        <v>86.96</v>
      </c>
      <c r="H23439">
        <v>250807</v>
      </c>
      <c r="I23439">
        <v>4580</v>
      </c>
      <c r="J23439" t="s">
        <v>126</v>
      </c>
      <c r="K23439">
        <v>86.96</v>
      </c>
      <c r="L23439">
        <v>17.670000000000002</v>
      </c>
      <c r="M23439">
        <v>17529</v>
      </c>
      <c r="N23439" t="s">
        <v>143</v>
      </c>
      <c r="O23439">
        <v>250813</v>
      </c>
      <c r="P23439">
        <v>69.290000000000006</v>
      </c>
    </row>
    <row r="23440" spans="1:16" x14ac:dyDescent="0.25">
      <c r="A23440" t="s">
        <v>3296</v>
      </c>
      <c r="B23440" t="s">
        <v>2931</v>
      </c>
      <c r="C23440">
        <v>4477</v>
      </c>
      <c r="D23440" t="str">
        <f>"13429990    "</f>
        <v xml:space="preserve">13429990    </v>
      </c>
      <c r="E23440" t="s">
        <v>890</v>
      </c>
      <c r="F23440" t="s">
        <v>891</v>
      </c>
      <c r="G23440">
        <v>65.290000000000006</v>
      </c>
      <c r="H23440">
        <v>250331</v>
      </c>
      <c r="I23440">
        <v>4532</v>
      </c>
      <c r="J23440" t="s">
        <v>296</v>
      </c>
      <c r="K23440">
        <v>65.290000000000006</v>
      </c>
      <c r="L23440">
        <v>13.27</v>
      </c>
      <c r="M23440">
        <v>49501</v>
      </c>
      <c r="N23440" t="s">
        <v>110</v>
      </c>
      <c r="O23440">
        <v>250411</v>
      </c>
      <c r="P23440">
        <v>52.02</v>
      </c>
    </row>
    <row r="23441" spans="1:16" x14ac:dyDescent="0.25">
      <c r="A23441" t="s">
        <v>3296</v>
      </c>
      <c r="B23441" t="s">
        <v>2931</v>
      </c>
      <c r="C23441">
        <v>10582</v>
      </c>
      <c r="D23441" t="str">
        <f>"13534498    "</f>
        <v xml:space="preserve">13534498    </v>
      </c>
      <c r="E23441" t="s">
        <v>890</v>
      </c>
      <c r="F23441" t="s">
        <v>891</v>
      </c>
      <c r="G23441">
        <v>452.65</v>
      </c>
      <c r="H23441">
        <v>250815</v>
      </c>
      <c r="I23441">
        <v>4532</v>
      </c>
      <c r="J23441" t="s">
        <v>296</v>
      </c>
      <c r="K23441">
        <v>452.65</v>
      </c>
      <c r="L23441">
        <v>91.97</v>
      </c>
      <c r="M23441">
        <v>46554</v>
      </c>
      <c r="N23441" t="s">
        <v>102</v>
      </c>
      <c r="O23441">
        <v>250820</v>
      </c>
      <c r="P23441">
        <v>360.68</v>
      </c>
    </row>
    <row r="23442" spans="1:16" x14ac:dyDescent="0.25">
      <c r="A23442" t="s">
        <v>3296</v>
      </c>
      <c r="B23442" t="s">
        <v>2931</v>
      </c>
      <c r="C23442">
        <v>17219</v>
      </c>
      <c r="D23442" t="str">
        <f>"13630893    "</f>
        <v xml:space="preserve">13630893    </v>
      </c>
      <c r="E23442" t="s">
        <v>890</v>
      </c>
      <c r="F23442" t="s">
        <v>891</v>
      </c>
      <c r="G23442">
        <v>281.55</v>
      </c>
      <c r="H23442">
        <v>251215</v>
      </c>
      <c r="I23442">
        <v>4532</v>
      </c>
      <c r="J23442" t="s">
        <v>296</v>
      </c>
      <c r="K23442">
        <v>281.55</v>
      </c>
      <c r="L23442">
        <v>57.21</v>
      </c>
      <c r="M23442">
        <v>49501</v>
      </c>
      <c r="N23442" t="s">
        <v>110</v>
      </c>
      <c r="O23442">
        <v>251218</v>
      </c>
      <c r="P23442">
        <v>224.34</v>
      </c>
    </row>
    <row r="23443" spans="1:16" x14ac:dyDescent="0.25">
      <c r="A23443" t="s">
        <v>3296</v>
      </c>
      <c r="B23443" t="s">
        <v>2931</v>
      </c>
      <c r="C23443">
        <v>1599</v>
      </c>
      <c r="D23443" t="str">
        <f>"13390396    "</f>
        <v xml:space="preserve">13390396    </v>
      </c>
      <c r="E23443" t="s">
        <v>890</v>
      </c>
      <c r="F23443" t="s">
        <v>891</v>
      </c>
      <c r="G23443">
        <v>1048.01</v>
      </c>
      <c r="H23443">
        <v>250131</v>
      </c>
      <c r="I23443">
        <v>4580</v>
      </c>
      <c r="J23443" t="s">
        <v>126</v>
      </c>
      <c r="K23443">
        <v>1048.01</v>
      </c>
      <c r="L23443">
        <v>212.94</v>
      </c>
      <c r="M23443">
        <v>46554</v>
      </c>
      <c r="N23443" t="s">
        <v>102</v>
      </c>
      <c r="O23443">
        <v>250211</v>
      </c>
      <c r="P23443">
        <v>835.07</v>
      </c>
    </row>
    <row r="23444" spans="1:16" x14ac:dyDescent="0.25">
      <c r="A23444" t="s">
        <v>3296</v>
      </c>
      <c r="B23444" t="s">
        <v>2931</v>
      </c>
      <c r="C23444">
        <v>2151</v>
      </c>
      <c r="D23444" t="str">
        <f>"13400552    "</f>
        <v xml:space="preserve">13400552    </v>
      </c>
      <c r="E23444" t="s">
        <v>890</v>
      </c>
      <c r="F23444" t="s">
        <v>891</v>
      </c>
      <c r="G23444">
        <v>3569.19</v>
      </c>
      <c r="H23444">
        <v>250215</v>
      </c>
      <c r="I23444">
        <v>4580</v>
      </c>
      <c r="J23444" t="s">
        <v>126</v>
      </c>
      <c r="K23444">
        <v>3569.19</v>
      </c>
      <c r="L23444">
        <v>725.21</v>
      </c>
      <c r="M23444">
        <v>46554</v>
      </c>
      <c r="N23444" t="s">
        <v>102</v>
      </c>
      <c r="O23444">
        <v>250220</v>
      </c>
      <c r="P23444">
        <v>2843.98</v>
      </c>
    </row>
    <row r="23445" spans="1:16" x14ac:dyDescent="0.25">
      <c r="A23445" t="s">
        <v>3296</v>
      </c>
      <c r="B23445" t="s">
        <v>2931</v>
      </c>
      <c r="C23445">
        <v>2483</v>
      </c>
      <c r="D23445" t="str">
        <f>"13400674    "</f>
        <v xml:space="preserve">13400674    </v>
      </c>
      <c r="E23445" t="s">
        <v>890</v>
      </c>
      <c r="F23445" t="s">
        <v>891</v>
      </c>
      <c r="G23445">
        <v>251.05</v>
      </c>
      <c r="H23445">
        <v>250215</v>
      </c>
      <c r="I23445">
        <v>4580</v>
      </c>
      <c r="J23445" t="s">
        <v>126</v>
      </c>
      <c r="K23445">
        <v>401.35</v>
      </c>
      <c r="L23445">
        <v>51.01</v>
      </c>
      <c r="M23445">
        <v>46554</v>
      </c>
      <c r="N23445" t="s">
        <v>102</v>
      </c>
      <c r="O23445">
        <v>250228</v>
      </c>
      <c r="P23445">
        <v>200.04</v>
      </c>
    </row>
    <row r="23446" spans="1:16" x14ac:dyDescent="0.25">
      <c r="A23446" t="s">
        <v>3296</v>
      </c>
      <c r="B23446" t="s">
        <v>2931</v>
      </c>
      <c r="C23446">
        <v>3607</v>
      </c>
      <c r="D23446" t="str">
        <f>"13419350    "</f>
        <v xml:space="preserve">13419350    </v>
      </c>
      <c r="E23446" t="s">
        <v>890</v>
      </c>
      <c r="F23446" t="s">
        <v>891</v>
      </c>
      <c r="G23446">
        <v>109.03</v>
      </c>
      <c r="H23446">
        <v>250315</v>
      </c>
      <c r="I23446">
        <v>4580</v>
      </c>
      <c r="J23446" t="s">
        <v>126</v>
      </c>
      <c r="K23446">
        <v>109.03</v>
      </c>
      <c r="L23446">
        <v>22.15</v>
      </c>
      <c r="M23446">
        <v>46554</v>
      </c>
      <c r="N23446" t="s">
        <v>102</v>
      </c>
      <c r="O23446">
        <v>250326</v>
      </c>
      <c r="P23446">
        <v>86.88</v>
      </c>
    </row>
    <row r="23447" spans="1:16" x14ac:dyDescent="0.25">
      <c r="A23447" t="s">
        <v>3296</v>
      </c>
      <c r="B23447" t="s">
        <v>2931</v>
      </c>
      <c r="C23447">
        <v>4401</v>
      </c>
      <c r="D23447" t="str">
        <f>"13430015    "</f>
        <v xml:space="preserve">13430015    </v>
      </c>
      <c r="E23447" t="s">
        <v>890</v>
      </c>
      <c r="F23447" t="s">
        <v>891</v>
      </c>
      <c r="G23447">
        <v>332.27</v>
      </c>
      <c r="H23447">
        <v>250331</v>
      </c>
      <c r="I23447">
        <v>4580</v>
      </c>
      <c r="J23447" t="s">
        <v>126</v>
      </c>
      <c r="K23447">
        <v>332.27</v>
      </c>
      <c r="L23447">
        <v>67.510000000000005</v>
      </c>
      <c r="M23447">
        <v>46554</v>
      </c>
      <c r="N23447" t="s">
        <v>102</v>
      </c>
      <c r="O23447">
        <v>250411</v>
      </c>
      <c r="P23447">
        <v>264.76</v>
      </c>
    </row>
    <row r="23448" spans="1:16" x14ac:dyDescent="0.25">
      <c r="A23448" t="s">
        <v>3296</v>
      </c>
      <c r="B23448" t="s">
        <v>2931</v>
      </c>
      <c r="C23448">
        <v>10812</v>
      </c>
      <c r="D23448" t="str">
        <f>"13534276    "</f>
        <v xml:space="preserve">13534276    </v>
      </c>
      <c r="E23448" t="s">
        <v>890</v>
      </c>
      <c r="F23448" t="s">
        <v>891</v>
      </c>
      <c r="G23448">
        <v>74.03</v>
      </c>
      <c r="H23448">
        <v>250815</v>
      </c>
      <c r="I23448">
        <v>4580</v>
      </c>
      <c r="J23448" t="s">
        <v>126</v>
      </c>
      <c r="K23448">
        <v>74.03</v>
      </c>
      <c r="L23448">
        <v>15.04</v>
      </c>
      <c r="M23448">
        <v>46554</v>
      </c>
      <c r="N23448" t="s">
        <v>102</v>
      </c>
      <c r="O23448">
        <v>250825</v>
      </c>
      <c r="P23448">
        <v>58.99</v>
      </c>
    </row>
    <row r="23449" spans="1:16" x14ac:dyDescent="0.25">
      <c r="A23449" t="s">
        <v>3296</v>
      </c>
      <c r="B23449" t="s">
        <v>2931</v>
      </c>
      <c r="C23449">
        <v>11317</v>
      </c>
      <c r="D23449" t="str">
        <f>"13546398    "</f>
        <v xml:space="preserve">13546398    </v>
      </c>
      <c r="E23449" t="s">
        <v>890</v>
      </c>
      <c r="F23449" t="s">
        <v>891</v>
      </c>
      <c r="G23449">
        <v>1495.85</v>
      </c>
      <c r="H23449">
        <v>250831</v>
      </c>
      <c r="I23449">
        <v>4580</v>
      </c>
      <c r="J23449" t="s">
        <v>126</v>
      </c>
      <c r="K23449">
        <v>1495.85</v>
      </c>
      <c r="L23449">
        <v>303.94</v>
      </c>
      <c r="M23449">
        <v>46554</v>
      </c>
      <c r="N23449" t="s">
        <v>102</v>
      </c>
      <c r="O23449">
        <v>250903</v>
      </c>
      <c r="P23449">
        <v>1191.9100000000001</v>
      </c>
    </row>
    <row r="23450" spans="1:16" x14ac:dyDescent="0.25">
      <c r="A23450" t="s">
        <v>3296</v>
      </c>
      <c r="B23450" t="s">
        <v>2931</v>
      </c>
      <c r="C23450">
        <v>12002</v>
      </c>
      <c r="D23450" t="str">
        <f>"13546308    "</f>
        <v xml:space="preserve">13546308    </v>
      </c>
      <c r="E23450" t="s">
        <v>890</v>
      </c>
      <c r="F23450" t="s">
        <v>891</v>
      </c>
      <c r="G23450">
        <v>130.85</v>
      </c>
      <c r="H23450">
        <v>250831</v>
      </c>
      <c r="I23450">
        <v>4580</v>
      </c>
      <c r="J23450" t="s">
        <v>126</v>
      </c>
      <c r="K23450">
        <v>130.85</v>
      </c>
      <c r="L23450">
        <v>26.59</v>
      </c>
      <c r="M23450">
        <v>49501</v>
      </c>
      <c r="N23450" t="s">
        <v>110</v>
      </c>
      <c r="O23450">
        <v>250915</v>
      </c>
      <c r="P23450">
        <v>104.26</v>
      </c>
    </row>
    <row r="23451" spans="1:16" x14ac:dyDescent="0.25">
      <c r="A23451" t="s">
        <v>3296</v>
      </c>
      <c r="B23451" t="s">
        <v>2931</v>
      </c>
      <c r="C23451">
        <v>12259</v>
      </c>
      <c r="D23451" t="str">
        <f>"13557407    "</f>
        <v xml:space="preserve">13557407    </v>
      </c>
      <c r="E23451" t="s">
        <v>890</v>
      </c>
      <c r="F23451" t="s">
        <v>891</v>
      </c>
      <c r="G23451">
        <v>12.78</v>
      </c>
      <c r="H23451">
        <v>250915</v>
      </c>
      <c r="I23451">
        <v>4580</v>
      </c>
      <c r="J23451" t="s">
        <v>126</v>
      </c>
      <c r="K23451">
        <v>12.78</v>
      </c>
      <c r="L23451">
        <v>2.6</v>
      </c>
      <c r="M23451">
        <v>46557</v>
      </c>
      <c r="N23451" t="s">
        <v>104</v>
      </c>
      <c r="O23451">
        <v>250918</v>
      </c>
      <c r="P23451">
        <v>10.18</v>
      </c>
    </row>
    <row r="23452" spans="1:16" x14ac:dyDescent="0.25">
      <c r="A23452" t="s">
        <v>3296</v>
      </c>
      <c r="B23452" t="s">
        <v>2931</v>
      </c>
      <c r="C23452">
        <v>12448</v>
      </c>
      <c r="D23452" t="str">
        <f>"13557608    "</f>
        <v xml:space="preserve">13557608    </v>
      </c>
      <c r="E23452" t="s">
        <v>890</v>
      </c>
      <c r="F23452" t="s">
        <v>891</v>
      </c>
      <c r="G23452">
        <v>30.96</v>
      </c>
      <c r="H23452">
        <v>250915</v>
      </c>
      <c r="I23452">
        <v>4580</v>
      </c>
      <c r="J23452" t="s">
        <v>126</v>
      </c>
      <c r="K23452">
        <v>30.96</v>
      </c>
      <c r="L23452">
        <v>6.29</v>
      </c>
      <c r="M23452">
        <v>49501</v>
      </c>
      <c r="N23452" t="s">
        <v>110</v>
      </c>
      <c r="O23452">
        <v>250922</v>
      </c>
      <c r="P23452">
        <v>24.67</v>
      </c>
    </row>
    <row r="23453" spans="1:16" x14ac:dyDescent="0.25">
      <c r="A23453" t="s">
        <v>3296</v>
      </c>
      <c r="B23453" t="s">
        <v>2931</v>
      </c>
      <c r="C23453">
        <v>15057</v>
      </c>
      <c r="D23453" t="str">
        <f>"13596437    "</f>
        <v xml:space="preserve">13596437    </v>
      </c>
      <c r="E23453" t="s">
        <v>890</v>
      </c>
      <c r="F23453" t="s">
        <v>891</v>
      </c>
      <c r="G23453">
        <v>2234.35</v>
      </c>
      <c r="H23453">
        <v>251031</v>
      </c>
      <c r="I23453">
        <v>4580</v>
      </c>
      <c r="J23453" t="s">
        <v>126</v>
      </c>
      <c r="K23453">
        <v>2234.35</v>
      </c>
      <c r="L23453">
        <v>453.99</v>
      </c>
      <c r="M23453">
        <v>46554</v>
      </c>
      <c r="N23453" t="s">
        <v>102</v>
      </c>
      <c r="O23453">
        <v>251111</v>
      </c>
      <c r="P23453">
        <v>1780.36</v>
      </c>
    </row>
    <row r="23454" spans="1:16" x14ac:dyDescent="0.25">
      <c r="A23454" t="s">
        <v>3296</v>
      </c>
      <c r="B23454" t="s">
        <v>2931</v>
      </c>
      <c r="C23454">
        <v>15444</v>
      </c>
      <c r="D23454" t="str">
        <f>"13608563    "</f>
        <v xml:space="preserve">13608563    </v>
      </c>
      <c r="E23454" t="s">
        <v>890</v>
      </c>
      <c r="F23454" t="s">
        <v>891</v>
      </c>
      <c r="G23454">
        <v>96.2</v>
      </c>
      <c r="H23454">
        <v>251115</v>
      </c>
      <c r="I23454">
        <v>4580</v>
      </c>
      <c r="J23454" t="s">
        <v>126</v>
      </c>
      <c r="K23454">
        <v>96.2</v>
      </c>
      <c r="L23454">
        <v>19.55</v>
      </c>
      <c r="M23454">
        <v>46554</v>
      </c>
      <c r="N23454" t="s">
        <v>102</v>
      </c>
      <c r="O23454">
        <v>251120</v>
      </c>
      <c r="P23454">
        <v>76.650000000000006</v>
      </c>
    </row>
    <row r="23455" spans="1:16" x14ac:dyDescent="0.25">
      <c r="A23455" t="s">
        <v>3296</v>
      </c>
      <c r="B23455" t="s">
        <v>2931</v>
      </c>
      <c r="C23455">
        <v>15445</v>
      </c>
      <c r="D23455" t="str">
        <f>"13608526    "</f>
        <v xml:space="preserve">13608526    </v>
      </c>
      <c r="E23455" t="s">
        <v>890</v>
      </c>
      <c r="F23455" t="s">
        <v>891</v>
      </c>
      <c r="G23455">
        <v>669.22</v>
      </c>
      <c r="H23455">
        <v>251115</v>
      </c>
      <c r="I23455">
        <v>4580</v>
      </c>
      <c r="J23455" t="s">
        <v>126</v>
      </c>
      <c r="K23455">
        <v>669.22</v>
      </c>
      <c r="L23455">
        <v>135.97999999999999</v>
      </c>
      <c r="M23455">
        <v>46554</v>
      </c>
      <c r="N23455" t="s">
        <v>102</v>
      </c>
      <c r="O23455">
        <v>251120</v>
      </c>
      <c r="P23455">
        <v>533.24</v>
      </c>
    </row>
    <row r="23456" spans="1:16" x14ac:dyDescent="0.25">
      <c r="A23456" t="s">
        <v>3296</v>
      </c>
      <c r="B23456" t="s">
        <v>2931</v>
      </c>
      <c r="C23456">
        <v>18009</v>
      </c>
      <c r="D23456" t="str">
        <f>"13639707    "</f>
        <v xml:space="preserve">13639707    </v>
      </c>
      <c r="E23456" t="s">
        <v>890</v>
      </c>
      <c r="F23456" t="s">
        <v>891</v>
      </c>
      <c r="G23456">
        <v>1744.45</v>
      </c>
      <c r="H23456">
        <v>251231</v>
      </c>
      <c r="I23456">
        <v>4580</v>
      </c>
      <c r="J23456" t="s">
        <v>126</v>
      </c>
      <c r="K23456">
        <v>1744.45</v>
      </c>
      <c r="L23456">
        <v>354.45</v>
      </c>
      <c r="M23456">
        <v>46554</v>
      </c>
      <c r="N23456" t="s">
        <v>102</v>
      </c>
      <c r="O23456">
        <v>260108</v>
      </c>
      <c r="P23456">
        <v>1390</v>
      </c>
    </row>
    <row r="23457" spans="1:16" x14ac:dyDescent="0.25">
      <c r="A23457" t="s">
        <v>3296</v>
      </c>
      <c r="B23457" t="s">
        <v>2931</v>
      </c>
      <c r="C23457">
        <v>18145</v>
      </c>
      <c r="D23457" t="str">
        <f>"13639396    "</f>
        <v xml:space="preserve">13639396    </v>
      </c>
      <c r="E23457" t="s">
        <v>890</v>
      </c>
      <c r="F23457" t="s">
        <v>891</v>
      </c>
      <c r="G23457">
        <v>362.52</v>
      </c>
      <c r="H23457">
        <v>251231</v>
      </c>
      <c r="I23457">
        <v>4580</v>
      </c>
      <c r="J23457" t="s">
        <v>126</v>
      </c>
      <c r="K23457">
        <v>419.43</v>
      </c>
      <c r="L23457">
        <v>73.66</v>
      </c>
      <c r="M23457">
        <v>46554</v>
      </c>
      <c r="N23457" t="s">
        <v>102</v>
      </c>
      <c r="O23457">
        <v>260109</v>
      </c>
      <c r="P23457">
        <v>288.86</v>
      </c>
    </row>
    <row r="23458" spans="1:16" x14ac:dyDescent="0.25">
      <c r="A23458" t="s">
        <v>3296</v>
      </c>
      <c r="B23458" t="s">
        <v>2931</v>
      </c>
      <c r="C23458">
        <v>3611</v>
      </c>
      <c r="D23458" t="str">
        <f>"13419324    "</f>
        <v xml:space="preserve">13419324    </v>
      </c>
      <c r="E23458" t="s">
        <v>890</v>
      </c>
      <c r="F23458" t="s">
        <v>891</v>
      </c>
      <c r="G23458">
        <v>250.51</v>
      </c>
      <c r="H23458">
        <v>250315</v>
      </c>
      <c r="I23458">
        <v>4590</v>
      </c>
      <c r="J23458" t="s">
        <v>388</v>
      </c>
      <c r="K23458">
        <v>250.51</v>
      </c>
      <c r="L23458">
        <v>50.9</v>
      </c>
      <c r="M23458">
        <v>49501</v>
      </c>
      <c r="N23458" t="s">
        <v>110</v>
      </c>
      <c r="O23458">
        <v>250326</v>
      </c>
      <c r="P23458">
        <v>199.61</v>
      </c>
    </row>
    <row r="23459" spans="1:16" x14ac:dyDescent="0.25">
      <c r="A23459" t="s">
        <v>3296</v>
      </c>
      <c r="B23459" t="s">
        <v>2931</v>
      </c>
      <c r="C23459">
        <v>1205</v>
      </c>
      <c r="D23459" t="str">
        <f>"13389986    "</f>
        <v xml:space="preserve">13389986    </v>
      </c>
      <c r="E23459" t="s">
        <v>890</v>
      </c>
      <c r="F23459" t="s">
        <v>891</v>
      </c>
      <c r="G23459">
        <v>6.9</v>
      </c>
      <c r="H23459">
        <v>250131</v>
      </c>
      <c r="I23459">
        <v>4600</v>
      </c>
      <c r="J23459" t="s">
        <v>278</v>
      </c>
      <c r="K23459">
        <v>6.9</v>
      </c>
      <c r="L23459">
        <v>1.4</v>
      </c>
      <c r="M23459">
        <v>46557</v>
      </c>
      <c r="N23459" t="s">
        <v>104</v>
      </c>
      <c r="O23459">
        <v>250205</v>
      </c>
      <c r="P23459">
        <v>5.5</v>
      </c>
    </row>
    <row r="23460" spans="1:16" x14ac:dyDescent="0.25">
      <c r="A23460" t="s">
        <v>3296</v>
      </c>
      <c r="B23460" t="s">
        <v>2931</v>
      </c>
      <c r="C23460">
        <v>2147</v>
      </c>
      <c r="D23460" t="str">
        <f>"13400522    "</f>
        <v xml:space="preserve">13400522    </v>
      </c>
      <c r="E23460" t="s">
        <v>890</v>
      </c>
      <c r="F23460" t="s">
        <v>891</v>
      </c>
      <c r="G23460">
        <v>87.64</v>
      </c>
      <c r="H23460">
        <v>250215</v>
      </c>
      <c r="I23460">
        <v>4600</v>
      </c>
      <c r="J23460" t="s">
        <v>278</v>
      </c>
      <c r="K23460">
        <v>87.64</v>
      </c>
      <c r="L23460">
        <v>17.809999999999999</v>
      </c>
      <c r="M23460">
        <v>46556</v>
      </c>
      <c r="N23460" t="s">
        <v>458</v>
      </c>
      <c r="O23460">
        <v>250220</v>
      </c>
      <c r="P23460">
        <v>69.83</v>
      </c>
    </row>
    <row r="23461" spans="1:16" x14ac:dyDescent="0.25">
      <c r="A23461" t="s">
        <v>3296</v>
      </c>
      <c r="B23461" t="s">
        <v>2931</v>
      </c>
      <c r="C23461">
        <v>2148</v>
      </c>
      <c r="D23461" t="str">
        <f>"13400545    "</f>
        <v xml:space="preserve">13400545    </v>
      </c>
      <c r="E23461" t="s">
        <v>890</v>
      </c>
      <c r="F23461" t="s">
        <v>891</v>
      </c>
      <c r="G23461">
        <v>12.75</v>
      </c>
      <c r="H23461">
        <v>250215</v>
      </c>
      <c r="I23461">
        <v>4600</v>
      </c>
      <c r="J23461" t="s">
        <v>278</v>
      </c>
      <c r="K23461">
        <v>12.75</v>
      </c>
      <c r="L23461">
        <v>2.59</v>
      </c>
      <c r="M23461">
        <v>46556</v>
      </c>
      <c r="N23461" t="s">
        <v>458</v>
      </c>
      <c r="O23461">
        <v>250220</v>
      </c>
      <c r="P23461">
        <v>10.16</v>
      </c>
    </row>
    <row r="23462" spans="1:16" x14ac:dyDescent="0.25">
      <c r="A23462" t="s">
        <v>3296</v>
      </c>
      <c r="B23462" t="s">
        <v>2931</v>
      </c>
      <c r="C23462">
        <v>2149</v>
      </c>
      <c r="D23462" t="str">
        <f>"13400583    "</f>
        <v xml:space="preserve">13400583    </v>
      </c>
      <c r="E23462" t="s">
        <v>890</v>
      </c>
      <c r="F23462" t="s">
        <v>891</v>
      </c>
      <c r="G23462">
        <v>9</v>
      </c>
      <c r="H23462">
        <v>250215</v>
      </c>
      <c r="I23462">
        <v>4600</v>
      </c>
      <c r="J23462" t="s">
        <v>278</v>
      </c>
      <c r="K23462">
        <v>9</v>
      </c>
      <c r="L23462">
        <v>1.83</v>
      </c>
      <c r="M23462">
        <v>46554</v>
      </c>
      <c r="N23462" t="s">
        <v>102</v>
      </c>
      <c r="O23462">
        <v>250220</v>
      </c>
      <c r="P23462">
        <v>7.17</v>
      </c>
    </row>
    <row r="23463" spans="1:16" x14ac:dyDescent="0.25">
      <c r="A23463" t="s">
        <v>3296</v>
      </c>
      <c r="B23463" t="s">
        <v>2931</v>
      </c>
      <c r="C23463">
        <v>2152</v>
      </c>
      <c r="D23463" t="str">
        <f>"13400625    "</f>
        <v xml:space="preserve">13400625    </v>
      </c>
      <c r="E23463" t="s">
        <v>890</v>
      </c>
      <c r="F23463" t="s">
        <v>891</v>
      </c>
      <c r="G23463">
        <v>145.19</v>
      </c>
      <c r="H23463">
        <v>250215</v>
      </c>
      <c r="I23463">
        <v>4600</v>
      </c>
      <c r="J23463" t="s">
        <v>278</v>
      </c>
      <c r="K23463">
        <v>145.19</v>
      </c>
      <c r="L23463">
        <v>29.5</v>
      </c>
      <c r="M23463">
        <v>46554</v>
      </c>
      <c r="N23463" t="s">
        <v>102</v>
      </c>
      <c r="O23463">
        <v>250220</v>
      </c>
      <c r="P23463">
        <v>115.69</v>
      </c>
    </row>
    <row r="23464" spans="1:16" x14ac:dyDescent="0.25">
      <c r="A23464" t="s">
        <v>3296</v>
      </c>
      <c r="B23464" t="s">
        <v>2931</v>
      </c>
      <c r="C23464">
        <v>2483</v>
      </c>
      <c r="D23464" t="str">
        <f>"13400674    "</f>
        <v xml:space="preserve">13400674    </v>
      </c>
      <c r="E23464" t="s">
        <v>890</v>
      </c>
      <c r="F23464" t="s">
        <v>891</v>
      </c>
      <c r="G23464">
        <v>150.30000000000001</v>
      </c>
      <c r="H23464">
        <v>250215</v>
      </c>
      <c r="I23464">
        <v>4600</v>
      </c>
      <c r="J23464" t="s">
        <v>278</v>
      </c>
      <c r="K23464">
        <v>401.35</v>
      </c>
      <c r="L23464">
        <v>30.54</v>
      </c>
      <c r="M23464">
        <v>46554</v>
      </c>
      <c r="N23464" t="s">
        <v>102</v>
      </c>
      <c r="O23464">
        <v>250228</v>
      </c>
      <c r="P23464">
        <v>119.76</v>
      </c>
    </row>
    <row r="23465" spans="1:16" x14ac:dyDescent="0.25">
      <c r="A23465" t="s">
        <v>3296</v>
      </c>
      <c r="B23465" t="s">
        <v>2931</v>
      </c>
      <c r="C23465">
        <v>2568</v>
      </c>
      <c r="D23465" t="str">
        <f>"13400664    "</f>
        <v xml:space="preserve">13400664    </v>
      </c>
      <c r="E23465" t="s">
        <v>890</v>
      </c>
      <c r="F23465" t="s">
        <v>891</v>
      </c>
      <c r="G23465">
        <v>126.86</v>
      </c>
      <c r="H23465">
        <v>250215</v>
      </c>
      <c r="I23465">
        <v>4600</v>
      </c>
      <c r="J23465" t="s">
        <v>278</v>
      </c>
      <c r="K23465">
        <v>126.86</v>
      </c>
      <c r="L23465">
        <v>25.78</v>
      </c>
      <c r="M23465">
        <v>46554</v>
      </c>
      <c r="N23465" t="s">
        <v>102</v>
      </c>
      <c r="O23465">
        <v>250305</v>
      </c>
      <c r="P23465">
        <v>101.08</v>
      </c>
    </row>
    <row r="23466" spans="1:16" x14ac:dyDescent="0.25">
      <c r="A23466" t="s">
        <v>3296</v>
      </c>
      <c r="B23466" t="s">
        <v>2931</v>
      </c>
      <c r="C23466">
        <v>2761</v>
      </c>
      <c r="D23466" t="str">
        <f>"13408305    "</f>
        <v xml:space="preserve">13408305    </v>
      </c>
      <c r="E23466" t="s">
        <v>890</v>
      </c>
      <c r="F23466" t="s">
        <v>891</v>
      </c>
      <c r="G23466">
        <v>26.28</v>
      </c>
      <c r="H23466">
        <v>250228</v>
      </c>
      <c r="I23466">
        <v>4600</v>
      </c>
      <c r="J23466" t="s">
        <v>278</v>
      </c>
      <c r="K23466">
        <v>26.28</v>
      </c>
      <c r="L23466">
        <v>5.34</v>
      </c>
      <c r="M23466">
        <v>46554</v>
      </c>
      <c r="N23466" t="s">
        <v>102</v>
      </c>
      <c r="O23466">
        <v>250311</v>
      </c>
      <c r="P23466">
        <v>20.94</v>
      </c>
    </row>
    <row r="23467" spans="1:16" x14ac:dyDescent="0.25">
      <c r="A23467" t="s">
        <v>3296</v>
      </c>
      <c r="B23467" t="s">
        <v>2931</v>
      </c>
      <c r="C23467">
        <v>2786</v>
      </c>
      <c r="D23467" t="str">
        <f>"13408200    "</f>
        <v xml:space="preserve">13408200    </v>
      </c>
      <c r="E23467" t="s">
        <v>890</v>
      </c>
      <c r="F23467" t="s">
        <v>891</v>
      </c>
      <c r="G23467">
        <v>30.46</v>
      </c>
      <c r="H23467">
        <v>250228</v>
      </c>
      <c r="I23467">
        <v>4600</v>
      </c>
      <c r="J23467" t="s">
        <v>278</v>
      </c>
      <c r="K23467">
        <v>30.46</v>
      </c>
      <c r="L23467">
        <v>6.19</v>
      </c>
      <c r="M23467">
        <v>46554</v>
      </c>
      <c r="N23467" t="s">
        <v>102</v>
      </c>
      <c r="O23467">
        <v>250312</v>
      </c>
      <c r="P23467">
        <v>24.27</v>
      </c>
    </row>
    <row r="23468" spans="1:16" x14ac:dyDescent="0.25">
      <c r="A23468" t="s">
        <v>3296</v>
      </c>
      <c r="B23468" t="s">
        <v>2931</v>
      </c>
      <c r="C23468">
        <v>2788</v>
      </c>
      <c r="D23468" t="str">
        <f>"13408201    "</f>
        <v xml:space="preserve">13408201    </v>
      </c>
      <c r="E23468" t="s">
        <v>890</v>
      </c>
      <c r="F23468" t="s">
        <v>891</v>
      </c>
      <c r="G23468">
        <v>22.06</v>
      </c>
      <c r="H23468">
        <v>250228</v>
      </c>
      <c r="I23468">
        <v>4600</v>
      </c>
      <c r="J23468" t="s">
        <v>278</v>
      </c>
      <c r="K23468">
        <v>22.06</v>
      </c>
      <c r="L23468">
        <v>4.4800000000000004</v>
      </c>
      <c r="M23468">
        <v>46554</v>
      </c>
      <c r="N23468" t="s">
        <v>102</v>
      </c>
      <c r="O23468">
        <v>250312</v>
      </c>
      <c r="P23468">
        <v>17.579999999999998</v>
      </c>
    </row>
    <row r="23469" spans="1:16" x14ac:dyDescent="0.25">
      <c r="A23469" t="s">
        <v>3296</v>
      </c>
      <c r="B23469" t="s">
        <v>2931</v>
      </c>
      <c r="C23469">
        <v>2803</v>
      </c>
      <c r="D23469" t="str">
        <f>"13408366    "</f>
        <v xml:space="preserve">13408366    </v>
      </c>
      <c r="E23469" t="s">
        <v>890</v>
      </c>
      <c r="F23469" t="s">
        <v>891</v>
      </c>
      <c r="G23469">
        <v>217.79</v>
      </c>
      <c r="H23469">
        <v>250228</v>
      </c>
      <c r="I23469">
        <v>4600</v>
      </c>
      <c r="J23469" t="s">
        <v>278</v>
      </c>
      <c r="K23469">
        <v>217.79</v>
      </c>
      <c r="L23469">
        <v>44.25</v>
      </c>
      <c r="M23469">
        <v>46554</v>
      </c>
      <c r="N23469" t="s">
        <v>102</v>
      </c>
      <c r="O23469">
        <v>250312</v>
      </c>
      <c r="P23469">
        <v>173.54</v>
      </c>
    </row>
    <row r="23470" spans="1:16" x14ac:dyDescent="0.25">
      <c r="A23470" t="s">
        <v>3296</v>
      </c>
      <c r="B23470" t="s">
        <v>2931</v>
      </c>
      <c r="C23470">
        <v>3362</v>
      </c>
      <c r="D23470" t="str">
        <f>"13408241    "</f>
        <v xml:space="preserve">13408241    </v>
      </c>
      <c r="E23470" t="s">
        <v>890</v>
      </c>
      <c r="F23470" t="s">
        <v>891</v>
      </c>
      <c r="G23470">
        <v>2540.1799999999998</v>
      </c>
      <c r="H23470">
        <v>250228</v>
      </c>
      <c r="I23470">
        <v>4600</v>
      </c>
      <c r="J23470" t="s">
        <v>278</v>
      </c>
      <c r="K23470">
        <v>2540.1799999999998</v>
      </c>
      <c r="L23470">
        <v>516.13</v>
      </c>
      <c r="M23470">
        <v>46554</v>
      </c>
      <c r="N23470" t="s">
        <v>102</v>
      </c>
      <c r="O23470">
        <v>250319</v>
      </c>
      <c r="P23470">
        <v>2024.05</v>
      </c>
    </row>
    <row r="23471" spans="1:16" x14ac:dyDescent="0.25">
      <c r="A23471" t="s">
        <v>3296</v>
      </c>
      <c r="B23471" t="s">
        <v>2931</v>
      </c>
      <c r="C23471">
        <v>3609</v>
      </c>
      <c r="D23471" t="str">
        <f>"13419349    "</f>
        <v xml:space="preserve">13419349    </v>
      </c>
      <c r="E23471" t="s">
        <v>890</v>
      </c>
      <c r="F23471" t="s">
        <v>891</v>
      </c>
      <c r="G23471">
        <v>217.77</v>
      </c>
      <c r="H23471">
        <v>250315</v>
      </c>
      <c r="I23471">
        <v>4600</v>
      </c>
      <c r="J23471" t="s">
        <v>278</v>
      </c>
      <c r="K23471">
        <v>217.77</v>
      </c>
      <c r="L23471">
        <v>44.25</v>
      </c>
      <c r="M23471">
        <v>46554</v>
      </c>
      <c r="N23471" t="s">
        <v>102</v>
      </c>
      <c r="O23471">
        <v>250326</v>
      </c>
      <c r="P23471">
        <v>173.52</v>
      </c>
    </row>
    <row r="23472" spans="1:16" x14ac:dyDescent="0.25">
      <c r="A23472" t="s">
        <v>3296</v>
      </c>
      <c r="B23472" t="s">
        <v>2931</v>
      </c>
      <c r="C23472">
        <v>3610</v>
      </c>
      <c r="D23472" t="str">
        <f>"13419264    "</f>
        <v xml:space="preserve">13419264    </v>
      </c>
      <c r="E23472" t="s">
        <v>890</v>
      </c>
      <c r="F23472" t="s">
        <v>891</v>
      </c>
      <c r="G23472">
        <v>15.83</v>
      </c>
      <c r="H23472">
        <v>250315</v>
      </c>
      <c r="I23472">
        <v>4600</v>
      </c>
      <c r="J23472" t="s">
        <v>278</v>
      </c>
      <c r="K23472">
        <v>15.83</v>
      </c>
      <c r="L23472">
        <v>3.22</v>
      </c>
      <c r="M23472">
        <v>46557</v>
      </c>
      <c r="N23472" t="s">
        <v>104</v>
      </c>
      <c r="O23472">
        <v>250326</v>
      </c>
      <c r="P23472">
        <v>12.61</v>
      </c>
    </row>
    <row r="23473" spans="1:16" x14ac:dyDescent="0.25">
      <c r="A23473" t="s">
        <v>3296</v>
      </c>
      <c r="B23473" t="s">
        <v>2931</v>
      </c>
      <c r="C23473">
        <v>3726</v>
      </c>
      <c r="D23473" t="str">
        <f>"13419325    "</f>
        <v xml:space="preserve">13419325    </v>
      </c>
      <c r="E23473" t="s">
        <v>890</v>
      </c>
      <c r="F23473" t="s">
        <v>891</v>
      </c>
      <c r="G23473">
        <v>68.5</v>
      </c>
      <c r="H23473">
        <v>250315</v>
      </c>
      <c r="I23473">
        <v>4600</v>
      </c>
      <c r="J23473" t="s">
        <v>278</v>
      </c>
      <c r="K23473">
        <v>68.5</v>
      </c>
      <c r="L23473">
        <v>13.92</v>
      </c>
      <c r="M23473">
        <v>49501</v>
      </c>
      <c r="N23473" t="s">
        <v>110</v>
      </c>
      <c r="O23473">
        <v>250401</v>
      </c>
      <c r="P23473">
        <v>54.58</v>
      </c>
    </row>
    <row r="23474" spans="1:16" x14ac:dyDescent="0.25">
      <c r="A23474" t="s">
        <v>3296</v>
      </c>
      <c r="B23474" t="s">
        <v>2931</v>
      </c>
      <c r="C23474">
        <v>4352</v>
      </c>
      <c r="D23474" t="str">
        <f>"13429866    "</f>
        <v xml:space="preserve">13429866    </v>
      </c>
      <c r="E23474" t="s">
        <v>890</v>
      </c>
      <c r="F23474" t="s">
        <v>891</v>
      </c>
      <c r="G23474">
        <v>23.74</v>
      </c>
      <c r="H23474">
        <v>250331</v>
      </c>
      <c r="I23474">
        <v>4600</v>
      </c>
      <c r="J23474" t="s">
        <v>278</v>
      </c>
      <c r="K23474">
        <v>23.74</v>
      </c>
      <c r="L23474">
        <v>4.82</v>
      </c>
      <c r="M23474">
        <v>46564</v>
      </c>
      <c r="N23474" t="s">
        <v>678</v>
      </c>
      <c r="O23474">
        <v>250411</v>
      </c>
      <c r="P23474">
        <v>18.920000000000002</v>
      </c>
    </row>
    <row r="23475" spans="1:16" x14ac:dyDescent="0.25">
      <c r="A23475" t="s">
        <v>3296</v>
      </c>
      <c r="B23475" t="s">
        <v>2931</v>
      </c>
      <c r="C23475">
        <v>4402</v>
      </c>
      <c r="D23475" t="str">
        <f>"13429975    "</f>
        <v xml:space="preserve">13429975    </v>
      </c>
      <c r="E23475" t="s">
        <v>890</v>
      </c>
      <c r="F23475" t="s">
        <v>891</v>
      </c>
      <c r="G23475">
        <v>11.7</v>
      </c>
      <c r="H23475">
        <v>250331</v>
      </c>
      <c r="I23475">
        <v>4600</v>
      </c>
      <c r="J23475" t="s">
        <v>278</v>
      </c>
      <c r="K23475">
        <v>11.7</v>
      </c>
      <c r="L23475">
        <v>2.38</v>
      </c>
      <c r="M23475">
        <v>46554</v>
      </c>
      <c r="N23475" t="s">
        <v>102</v>
      </c>
      <c r="O23475">
        <v>250411</v>
      </c>
      <c r="P23475">
        <v>9.32</v>
      </c>
    </row>
    <row r="23476" spans="1:16" x14ac:dyDescent="0.25">
      <c r="A23476" t="s">
        <v>3296</v>
      </c>
      <c r="B23476" t="s">
        <v>2931</v>
      </c>
      <c r="C23476">
        <v>5955</v>
      </c>
      <c r="D23476" t="str">
        <f>"13452972    "</f>
        <v xml:space="preserve">13452972    </v>
      </c>
      <c r="E23476" t="s">
        <v>890</v>
      </c>
      <c r="F23476" t="s">
        <v>891</v>
      </c>
      <c r="G23476">
        <v>128.55000000000001</v>
      </c>
      <c r="H23476">
        <v>250430</v>
      </c>
      <c r="I23476">
        <v>4600</v>
      </c>
      <c r="J23476" t="s">
        <v>278</v>
      </c>
      <c r="K23476">
        <v>128.55000000000001</v>
      </c>
      <c r="L23476">
        <v>26.12</v>
      </c>
      <c r="M23476">
        <v>46554</v>
      </c>
      <c r="N23476" t="s">
        <v>102</v>
      </c>
      <c r="O23476">
        <v>250507</v>
      </c>
      <c r="P23476">
        <v>102.43</v>
      </c>
    </row>
    <row r="23477" spans="1:16" x14ac:dyDescent="0.25">
      <c r="A23477" t="s">
        <v>3296</v>
      </c>
      <c r="B23477" t="s">
        <v>2931</v>
      </c>
      <c r="C23477">
        <v>5960</v>
      </c>
      <c r="D23477" t="str">
        <f>"13452750    "</f>
        <v xml:space="preserve">13452750    </v>
      </c>
      <c r="E23477" t="s">
        <v>890</v>
      </c>
      <c r="F23477" t="s">
        <v>891</v>
      </c>
      <c r="G23477">
        <v>309.73</v>
      </c>
      <c r="H23477">
        <v>250430</v>
      </c>
      <c r="I23477">
        <v>4600</v>
      </c>
      <c r="J23477" t="s">
        <v>278</v>
      </c>
      <c r="K23477">
        <v>309.73</v>
      </c>
      <c r="L23477">
        <v>62.93</v>
      </c>
      <c r="M23477">
        <v>49501</v>
      </c>
      <c r="N23477" t="s">
        <v>110</v>
      </c>
      <c r="O23477">
        <v>250507</v>
      </c>
      <c r="P23477">
        <v>246.8</v>
      </c>
    </row>
    <row r="23478" spans="1:16" x14ac:dyDescent="0.25">
      <c r="A23478" t="s">
        <v>3296</v>
      </c>
      <c r="B23478" t="s">
        <v>2931</v>
      </c>
      <c r="C23478">
        <v>6071</v>
      </c>
      <c r="D23478" t="str">
        <f>"13452629    "</f>
        <v xml:space="preserve">13452629    </v>
      </c>
      <c r="E23478" t="s">
        <v>890</v>
      </c>
      <c r="F23478" t="s">
        <v>891</v>
      </c>
      <c r="G23478">
        <v>95.71</v>
      </c>
      <c r="H23478">
        <v>250430</v>
      </c>
      <c r="I23478">
        <v>4600</v>
      </c>
      <c r="J23478" t="s">
        <v>278</v>
      </c>
      <c r="K23478">
        <v>95.71</v>
      </c>
      <c r="L23478">
        <v>19.45</v>
      </c>
      <c r="M23478">
        <v>46554</v>
      </c>
      <c r="N23478" t="s">
        <v>102</v>
      </c>
      <c r="O23478">
        <v>250508</v>
      </c>
      <c r="P23478">
        <v>76.260000000000005</v>
      </c>
    </row>
    <row r="23479" spans="1:16" x14ac:dyDescent="0.25">
      <c r="A23479" t="s">
        <v>3296</v>
      </c>
      <c r="B23479" t="s">
        <v>2931</v>
      </c>
      <c r="C23479">
        <v>6881</v>
      </c>
      <c r="D23479" t="str">
        <f>"13464430    "</f>
        <v xml:space="preserve">13464430    </v>
      </c>
      <c r="E23479" t="s">
        <v>890</v>
      </c>
      <c r="F23479" t="s">
        <v>891</v>
      </c>
      <c r="G23479">
        <v>240.86</v>
      </c>
      <c r="H23479">
        <v>250515</v>
      </c>
      <c r="I23479">
        <v>4600</v>
      </c>
      <c r="J23479" t="s">
        <v>278</v>
      </c>
      <c r="K23479">
        <v>240.86</v>
      </c>
      <c r="L23479">
        <v>48.94</v>
      </c>
      <c r="M23479">
        <v>46561</v>
      </c>
      <c r="N23479" t="s">
        <v>1535</v>
      </c>
      <c r="O23479">
        <v>250520</v>
      </c>
      <c r="P23479">
        <v>191.92</v>
      </c>
    </row>
    <row r="23480" spans="1:16" x14ac:dyDescent="0.25">
      <c r="A23480" t="s">
        <v>3296</v>
      </c>
      <c r="B23480" t="s">
        <v>2931</v>
      </c>
      <c r="C23480">
        <v>7991</v>
      </c>
      <c r="D23480" t="str">
        <f>"13479036    "</f>
        <v xml:space="preserve">13479036    </v>
      </c>
      <c r="E23480" t="s">
        <v>890</v>
      </c>
      <c r="F23480" t="s">
        <v>891</v>
      </c>
      <c r="G23480">
        <v>122.22</v>
      </c>
      <c r="H23480">
        <v>250531</v>
      </c>
      <c r="I23480">
        <v>4600</v>
      </c>
      <c r="J23480" t="s">
        <v>278</v>
      </c>
      <c r="K23480">
        <v>122.22</v>
      </c>
      <c r="L23480">
        <v>24.83</v>
      </c>
      <c r="M23480">
        <v>46554</v>
      </c>
      <c r="N23480" t="s">
        <v>102</v>
      </c>
      <c r="O23480">
        <v>250610</v>
      </c>
      <c r="P23480">
        <v>97.39</v>
      </c>
    </row>
    <row r="23481" spans="1:16" x14ac:dyDescent="0.25">
      <c r="A23481" t="s">
        <v>3296</v>
      </c>
      <c r="B23481" t="s">
        <v>2931</v>
      </c>
      <c r="C23481">
        <v>11373</v>
      </c>
      <c r="D23481" t="str">
        <f>"13546351    "</f>
        <v xml:space="preserve">13546351    </v>
      </c>
      <c r="E23481" t="s">
        <v>890</v>
      </c>
      <c r="F23481" t="s">
        <v>891</v>
      </c>
      <c r="G23481">
        <v>22.2</v>
      </c>
      <c r="H23481">
        <v>250831</v>
      </c>
      <c r="I23481">
        <v>4600</v>
      </c>
      <c r="J23481" t="s">
        <v>278</v>
      </c>
      <c r="K23481">
        <v>22.2</v>
      </c>
      <c r="L23481">
        <v>4.51</v>
      </c>
      <c r="M23481">
        <v>46554</v>
      </c>
      <c r="N23481" t="s">
        <v>102</v>
      </c>
      <c r="O23481">
        <v>250904</v>
      </c>
      <c r="P23481">
        <v>17.690000000000001</v>
      </c>
    </row>
    <row r="23482" spans="1:16" x14ac:dyDescent="0.25">
      <c r="A23482" t="s">
        <v>3296</v>
      </c>
      <c r="B23482" t="s">
        <v>2931</v>
      </c>
      <c r="C23482">
        <v>12320</v>
      </c>
      <c r="D23482" t="str">
        <f>"13557694    "</f>
        <v xml:space="preserve">13557694    </v>
      </c>
      <c r="E23482" t="s">
        <v>890</v>
      </c>
      <c r="F23482" t="s">
        <v>891</v>
      </c>
      <c r="G23482">
        <v>378.04</v>
      </c>
      <c r="H23482">
        <v>250915</v>
      </c>
      <c r="I23482">
        <v>4600</v>
      </c>
      <c r="J23482" t="s">
        <v>278</v>
      </c>
      <c r="K23482">
        <v>378.04</v>
      </c>
      <c r="L23482">
        <v>76.81</v>
      </c>
      <c r="M23482">
        <v>46554</v>
      </c>
      <c r="N23482" t="s">
        <v>102</v>
      </c>
      <c r="O23482">
        <v>250919</v>
      </c>
      <c r="P23482">
        <v>301.23</v>
      </c>
    </row>
    <row r="23483" spans="1:16" x14ac:dyDescent="0.25">
      <c r="A23483" t="s">
        <v>3296</v>
      </c>
      <c r="B23483" t="s">
        <v>2931</v>
      </c>
      <c r="C23483">
        <v>13008</v>
      </c>
      <c r="D23483" t="str">
        <f>"13570781    "</f>
        <v xml:space="preserve">13570781    </v>
      </c>
      <c r="E23483" t="s">
        <v>890</v>
      </c>
      <c r="F23483" t="s">
        <v>891</v>
      </c>
      <c r="G23483">
        <v>45.02</v>
      </c>
      <c r="H23483">
        <v>250930</v>
      </c>
      <c r="I23483">
        <v>4600</v>
      </c>
      <c r="J23483" t="s">
        <v>278</v>
      </c>
      <c r="K23483">
        <v>45.02</v>
      </c>
      <c r="L23483">
        <v>9.15</v>
      </c>
      <c r="M23483">
        <v>46554</v>
      </c>
      <c r="N23483" t="s">
        <v>102</v>
      </c>
      <c r="O23483">
        <v>251003</v>
      </c>
      <c r="P23483">
        <v>35.869999999999997</v>
      </c>
    </row>
    <row r="23484" spans="1:16" x14ac:dyDescent="0.25">
      <c r="A23484" t="s">
        <v>3296</v>
      </c>
      <c r="B23484" t="s">
        <v>2931</v>
      </c>
      <c r="C23484">
        <v>13613</v>
      </c>
      <c r="D23484" t="str">
        <f>"13570532    "</f>
        <v xml:space="preserve">13570532    </v>
      </c>
      <c r="E23484" t="s">
        <v>890</v>
      </c>
      <c r="F23484" t="s">
        <v>891</v>
      </c>
      <c r="G23484">
        <v>166.35</v>
      </c>
      <c r="H23484">
        <v>250930</v>
      </c>
      <c r="I23484">
        <v>4600</v>
      </c>
      <c r="J23484" t="s">
        <v>278</v>
      </c>
      <c r="K23484">
        <v>166.35</v>
      </c>
      <c r="L23484">
        <v>33.799999999999997</v>
      </c>
      <c r="M23484">
        <v>46554</v>
      </c>
      <c r="N23484" t="s">
        <v>102</v>
      </c>
      <c r="O23484">
        <v>251013</v>
      </c>
      <c r="P23484">
        <v>132.55000000000001</v>
      </c>
    </row>
    <row r="23485" spans="1:16" x14ac:dyDescent="0.25">
      <c r="A23485" t="s">
        <v>3296</v>
      </c>
      <c r="B23485" t="s">
        <v>2931</v>
      </c>
      <c r="C23485">
        <v>15051</v>
      </c>
      <c r="D23485" t="str">
        <f>"13596784    "</f>
        <v xml:space="preserve">13596784    </v>
      </c>
      <c r="E23485" t="s">
        <v>890</v>
      </c>
      <c r="F23485" t="s">
        <v>891</v>
      </c>
      <c r="G23485">
        <v>83.53</v>
      </c>
      <c r="H23485">
        <v>251031</v>
      </c>
      <c r="I23485">
        <v>4600</v>
      </c>
      <c r="J23485" t="s">
        <v>278</v>
      </c>
      <c r="K23485">
        <v>83.53</v>
      </c>
      <c r="L23485">
        <v>16.97</v>
      </c>
      <c r="M23485">
        <v>46554</v>
      </c>
      <c r="N23485" t="s">
        <v>102</v>
      </c>
      <c r="O23485">
        <v>251111</v>
      </c>
      <c r="P23485">
        <v>66.56</v>
      </c>
    </row>
    <row r="23486" spans="1:16" x14ac:dyDescent="0.25">
      <c r="A23486" t="s">
        <v>3296</v>
      </c>
      <c r="B23486" t="s">
        <v>2931</v>
      </c>
      <c r="C23486">
        <v>18144</v>
      </c>
      <c r="D23486" t="str">
        <f>"13639538    "</f>
        <v xml:space="preserve">13639538    </v>
      </c>
      <c r="E23486" t="s">
        <v>890</v>
      </c>
      <c r="F23486" t="s">
        <v>891</v>
      </c>
      <c r="G23486">
        <v>1140.54</v>
      </c>
      <c r="H23486">
        <v>251231</v>
      </c>
      <c r="I23486">
        <v>4600</v>
      </c>
      <c r="J23486" t="s">
        <v>278</v>
      </c>
      <c r="K23486">
        <v>1140.54</v>
      </c>
      <c r="L23486">
        <v>231.74</v>
      </c>
      <c r="M23486">
        <v>46554</v>
      </c>
      <c r="N23486" t="s">
        <v>102</v>
      </c>
      <c r="O23486">
        <v>260109</v>
      </c>
      <c r="P23486">
        <v>908.8</v>
      </c>
    </row>
    <row r="23487" spans="1:16" x14ac:dyDescent="0.25">
      <c r="A23487" t="s">
        <v>3296</v>
      </c>
      <c r="B23487" t="s">
        <v>2931</v>
      </c>
      <c r="C23487">
        <v>18145</v>
      </c>
      <c r="D23487" t="str">
        <f>"13639396    "</f>
        <v xml:space="preserve">13639396    </v>
      </c>
      <c r="E23487" t="s">
        <v>890</v>
      </c>
      <c r="F23487" t="s">
        <v>891</v>
      </c>
      <c r="G23487">
        <v>56.91</v>
      </c>
      <c r="H23487">
        <v>251231</v>
      </c>
      <c r="I23487">
        <v>4600</v>
      </c>
      <c r="J23487" t="s">
        <v>278</v>
      </c>
      <c r="K23487">
        <v>419.43</v>
      </c>
      <c r="L23487">
        <v>11.56</v>
      </c>
      <c r="M23487">
        <v>46554</v>
      </c>
      <c r="N23487" t="s">
        <v>102</v>
      </c>
      <c r="O23487">
        <v>260109</v>
      </c>
      <c r="P23487">
        <v>45.35</v>
      </c>
    </row>
    <row r="23488" spans="1:16" x14ac:dyDescent="0.25">
      <c r="A23488" t="s">
        <v>3296</v>
      </c>
      <c r="B23488" t="s">
        <v>2931</v>
      </c>
      <c r="C23488">
        <v>18430</v>
      </c>
      <c r="D23488" t="str">
        <f>"13639755    "</f>
        <v xml:space="preserve">13639755    </v>
      </c>
      <c r="E23488" t="s">
        <v>890</v>
      </c>
      <c r="F23488" t="s">
        <v>891</v>
      </c>
      <c r="G23488">
        <v>223.7</v>
      </c>
      <c r="H23488">
        <v>251231</v>
      </c>
      <c r="I23488">
        <v>4600</v>
      </c>
      <c r="J23488" t="s">
        <v>278</v>
      </c>
      <c r="K23488">
        <v>223.7</v>
      </c>
      <c r="L23488">
        <v>45.45</v>
      </c>
      <c r="M23488">
        <v>46554</v>
      </c>
      <c r="N23488" t="s">
        <v>102</v>
      </c>
      <c r="O23488">
        <v>260113</v>
      </c>
      <c r="P23488">
        <v>178.25</v>
      </c>
    </row>
    <row r="23489" spans="1:16" x14ac:dyDescent="0.25">
      <c r="A23489" t="s">
        <v>3296</v>
      </c>
      <c r="B23489" t="s">
        <v>2931</v>
      </c>
      <c r="C23489">
        <v>861</v>
      </c>
      <c r="D23489" t="str">
        <f>"18129       "</f>
        <v xml:space="preserve">18129       </v>
      </c>
      <c r="E23489" t="s">
        <v>756</v>
      </c>
      <c r="F23489" t="s">
        <v>757</v>
      </c>
      <c r="G23489">
        <v>110.5</v>
      </c>
      <c r="H23489">
        <v>250122</v>
      </c>
      <c r="I23489">
        <v>4400</v>
      </c>
      <c r="J23489" t="s">
        <v>162</v>
      </c>
      <c r="K23489">
        <v>110.5</v>
      </c>
      <c r="L23489">
        <v>22.45</v>
      </c>
      <c r="M23489">
        <v>17802</v>
      </c>
      <c r="N23489" t="s">
        <v>18</v>
      </c>
      <c r="O23489">
        <v>250130</v>
      </c>
      <c r="P23489">
        <v>88.05</v>
      </c>
    </row>
    <row r="23490" spans="1:16" x14ac:dyDescent="0.25">
      <c r="A23490" t="s">
        <v>3296</v>
      </c>
      <c r="B23490" t="s">
        <v>2931</v>
      </c>
      <c r="C23490">
        <v>7329</v>
      </c>
      <c r="D23490" t="str">
        <f>"18331       "</f>
        <v xml:space="preserve">18331       </v>
      </c>
      <c r="E23490" t="s">
        <v>756</v>
      </c>
      <c r="F23490" t="s">
        <v>757</v>
      </c>
      <c r="G23490">
        <v>733.81</v>
      </c>
      <c r="H23490">
        <v>250521</v>
      </c>
      <c r="I23490">
        <v>4580</v>
      </c>
      <c r="J23490" t="s">
        <v>126</v>
      </c>
      <c r="K23490">
        <v>733.81</v>
      </c>
      <c r="L23490">
        <v>149.1</v>
      </c>
      <c r="M23490">
        <v>17802</v>
      </c>
      <c r="N23490" t="s">
        <v>18</v>
      </c>
      <c r="O23490">
        <v>250603</v>
      </c>
      <c r="P23490">
        <v>584.71</v>
      </c>
    </row>
    <row r="23491" spans="1:16" x14ac:dyDescent="0.25">
      <c r="A23491" t="s">
        <v>3296</v>
      </c>
      <c r="B23491" t="s">
        <v>2931</v>
      </c>
      <c r="C23491">
        <v>16044</v>
      </c>
      <c r="D23491" t="str">
        <f>"18622       "</f>
        <v xml:space="preserve">18622       </v>
      </c>
      <c r="E23491" t="s">
        <v>756</v>
      </c>
      <c r="F23491" t="s">
        <v>757</v>
      </c>
      <c r="G23491">
        <v>988.72</v>
      </c>
      <c r="H23491">
        <v>251120</v>
      </c>
      <c r="I23491">
        <v>4580</v>
      </c>
      <c r="J23491" t="s">
        <v>126</v>
      </c>
      <c r="K23491">
        <v>988.72</v>
      </c>
      <c r="L23491">
        <v>200.9</v>
      </c>
      <c r="M23491">
        <v>17802</v>
      </c>
      <c r="N23491" t="s">
        <v>18</v>
      </c>
      <c r="O23491">
        <v>251202</v>
      </c>
      <c r="P23491">
        <v>787.82</v>
      </c>
    </row>
    <row r="23492" spans="1:16" x14ac:dyDescent="0.25">
      <c r="A23492" t="s">
        <v>3296</v>
      </c>
      <c r="B23492" t="s">
        <v>2931</v>
      </c>
      <c r="C23492">
        <v>16597</v>
      </c>
      <c r="D23492" t="str">
        <f>"18644       "</f>
        <v xml:space="preserve">18644       </v>
      </c>
      <c r="E23492" t="s">
        <v>756</v>
      </c>
      <c r="F23492" t="s">
        <v>757</v>
      </c>
      <c r="G23492">
        <v>1929.5</v>
      </c>
      <c r="H23492">
        <v>251204</v>
      </c>
      <c r="I23492">
        <v>4580</v>
      </c>
      <c r="J23492" t="s">
        <v>126</v>
      </c>
      <c r="K23492">
        <v>1929.5</v>
      </c>
      <c r="L23492">
        <v>392.05</v>
      </c>
      <c r="M23492">
        <v>17802</v>
      </c>
      <c r="N23492" t="s">
        <v>18</v>
      </c>
      <c r="O23492">
        <v>251210</v>
      </c>
      <c r="P23492">
        <v>1537.45</v>
      </c>
    </row>
    <row r="23493" spans="1:16" x14ac:dyDescent="0.25">
      <c r="A23493" t="s">
        <v>3296</v>
      </c>
      <c r="B23493" t="s">
        <v>2931</v>
      </c>
      <c r="C23493">
        <v>16617</v>
      </c>
      <c r="D23493" t="str">
        <f>"18651       "</f>
        <v xml:space="preserve">18651       </v>
      </c>
      <c r="E23493" t="s">
        <v>756</v>
      </c>
      <c r="F23493" t="s">
        <v>757</v>
      </c>
      <c r="G23493">
        <v>690</v>
      </c>
      <c r="H23493">
        <v>251205</v>
      </c>
      <c r="I23493">
        <v>4580</v>
      </c>
      <c r="J23493" t="s">
        <v>126</v>
      </c>
      <c r="K23493">
        <v>690</v>
      </c>
      <c r="L23493">
        <v>140.19999999999999</v>
      </c>
      <c r="M23493">
        <v>17802</v>
      </c>
      <c r="N23493" t="s">
        <v>18</v>
      </c>
      <c r="O23493">
        <v>251210</v>
      </c>
      <c r="P23493">
        <v>549.79999999999995</v>
      </c>
    </row>
    <row r="23494" spans="1:16" x14ac:dyDescent="0.25">
      <c r="A23494" t="s">
        <v>3296</v>
      </c>
      <c r="B23494" t="s">
        <v>2931</v>
      </c>
      <c r="C23494">
        <v>16020</v>
      </c>
      <c r="D23494" t="str">
        <f>"32          "</f>
        <v xml:space="preserve">32          </v>
      </c>
      <c r="E23494" t="s">
        <v>2648</v>
      </c>
      <c r="F23494" t="s">
        <v>2649</v>
      </c>
      <c r="G23494">
        <v>652.6</v>
      </c>
      <c r="H23494">
        <v>251128</v>
      </c>
      <c r="I23494">
        <v>4860</v>
      </c>
      <c r="J23494" t="s">
        <v>286</v>
      </c>
      <c r="K23494">
        <v>652.6</v>
      </c>
      <c r="L23494">
        <v>132.6</v>
      </c>
      <c r="M23494">
        <v>11951</v>
      </c>
      <c r="N23494" t="s">
        <v>428</v>
      </c>
      <c r="O23494">
        <v>251202</v>
      </c>
      <c r="P23494">
        <v>520</v>
      </c>
    </row>
    <row r="23495" spans="1:16" x14ac:dyDescent="0.25">
      <c r="A23495" t="s">
        <v>3296</v>
      </c>
      <c r="B23495" t="s">
        <v>2931</v>
      </c>
      <c r="C23495">
        <v>11289</v>
      </c>
      <c r="D23495" t="str">
        <f>"574         "</f>
        <v xml:space="preserve">574         </v>
      </c>
      <c r="E23495" t="s">
        <v>2269</v>
      </c>
      <c r="F23495" t="s">
        <v>2270</v>
      </c>
      <c r="G23495">
        <v>171.68</v>
      </c>
      <c r="H23495">
        <v>250902</v>
      </c>
      <c r="I23495">
        <v>4420</v>
      </c>
      <c r="J23495" t="s">
        <v>330</v>
      </c>
      <c r="K23495">
        <v>1960.06</v>
      </c>
      <c r="L23495">
        <v>34.880000000000003</v>
      </c>
      <c r="M23495">
        <v>17131</v>
      </c>
      <c r="N23495" t="s">
        <v>154</v>
      </c>
      <c r="O23495">
        <v>250903</v>
      </c>
      <c r="P23495">
        <v>136.80000000000001</v>
      </c>
    </row>
    <row r="23496" spans="1:16" x14ac:dyDescent="0.25">
      <c r="A23496" t="s">
        <v>3296</v>
      </c>
      <c r="B23496" t="s">
        <v>2931</v>
      </c>
      <c r="C23496">
        <v>11289</v>
      </c>
      <c r="D23496" t="str">
        <f>"574         "</f>
        <v xml:space="preserve">574         </v>
      </c>
      <c r="E23496" t="s">
        <v>2269</v>
      </c>
      <c r="F23496" t="s">
        <v>2270</v>
      </c>
      <c r="G23496">
        <v>1788.38</v>
      </c>
      <c r="H23496">
        <v>250902</v>
      </c>
      <c r="I23496">
        <v>4440</v>
      </c>
      <c r="J23496" t="s">
        <v>346</v>
      </c>
      <c r="K23496">
        <v>1960.06</v>
      </c>
      <c r="L23496">
        <v>363.38</v>
      </c>
      <c r="M23496">
        <v>17131</v>
      </c>
      <c r="N23496" t="s">
        <v>154</v>
      </c>
      <c r="O23496">
        <v>250903</v>
      </c>
      <c r="P23496">
        <v>1425</v>
      </c>
    </row>
    <row r="23497" spans="1:16" x14ac:dyDescent="0.25">
      <c r="A23497" t="s">
        <v>3296</v>
      </c>
      <c r="B23497" t="s">
        <v>2931</v>
      </c>
      <c r="C23497">
        <v>14379</v>
      </c>
      <c r="D23497" t="str">
        <f>"627         "</f>
        <v xml:space="preserve">627         </v>
      </c>
      <c r="E23497" t="s">
        <v>2269</v>
      </c>
      <c r="F23497" t="s">
        <v>2270</v>
      </c>
      <c r="G23497">
        <v>1960.06</v>
      </c>
      <c r="H23497">
        <v>251030</v>
      </c>
      <c r="I23497">
        <v>4470</v>
      </c>
      <c r="J23497" t="s">
        <v>203</v>
      </c>
      <c r="K23497">
        <v>1960.06</v>
      </c>
      <c r="L23497">
        <v>398.26</v>
      </c>
      <c r="M23497">
        <v>17131</v>
      </c>
      <c r="N23497" t="s">
        <v>154</v>
      </c>
      <c r="O23497">
        <v>251031</v>
      </c>
      <c r="P23497">
        <v>1561.8</v>
      </c>
    </row>
    <row r="23498" spans="1:16" x14ac:dyDescent="0.25">
      <c r="A23498" t="s">
        <v>3296</v>
      </c>
      <c r="B23498" t="s">
        <v>2931</v>
      </c>
      <c r="C23498">
        <v>13618</v>
      </c>
      <c r="D23498" t="str">
        <f>"21382       "</f>
        <v xml:space="preserve">21382       </v>
      </c>
      <c r="E23498" t="s">
        <v>1037</v>
      </c>
      <c r="F23498" t="s">
        <v>1038</v>
      </c>
      <c r="G23498">
        <v>480.1</v>
      </c>
      <c r="H23498">
        <v>250916</v>
      </c>
      <c r="I23498">
        <v>4555</v>
      </c>
      <c r="J23498" t="s">
        <v>352</v>
      </c>
      <c r="K23498">
        <v>480.1</v>
      </c>
      <c r="L23498">
        <v>97.55</v>
      </c>
      <c r="M23498">
        <v>44453</v>
      </c>
      <c r="N23498" t="s">
        <v>100</v>
      </c>
      <c r="O23498">
        <v>251013</v>
      </c>
      <c r="P23498">
        <v>382.55</v>
      </c>
    </row>
    <row r="23499" spans="1:16" x14ac:dyDescent="0.25">
      <c r="A23499" t="s">
        <v>3296</v>
      </c>
      <c r="B23499" t="s">
        <v>2931</v>
      </c>
      <c r="C23499">
        <v>16004</v>
      </c>
      <c r="D23499" t="str">
        <f>"21653       "</f>
        <v xml:space="preserve">21653       </v>
      </c>
      <c r="E23499" t="s">
        <v>1037</v>
      </c>
      <c r="F23499" t="s">
        <v>1038</v>
      </c>
      <c r="G23499">
        <v>558.83000000000004</v>
      </c>
      <c r="H23499">
        <v>251124</v>
      </c>
      <c r="I23499">
        <v>4555</v>
      </c>
      <c r="J23499" t="s">
        <v>352</v>
      </c>
      <c r="K23499">
        <v>558.83000000000004</v>
      </c>
      <c r="L23499">
        <v>113.55</v>
      </c>
      <c r="M23499">
        <v>44453</v>
      </c>
      <c r="N23499" t="s">
        <v>100</v>
      </c>
      <c r="O23499">
        <v>251201</v>
      </c>
      <c r="P23499">
        <v>445.28</v>
      </c>
    </row>
    <row r="23500" spans="1:16" x14ac:dyDescent="0.25">
      <c r="A23500" t="s">
        <v>3296</v>
      </c>
      <c r="B23500" t="s">
        <v>2931</v>
      </c>
      <c r="C23500">
        <v>1565</v>
      </c>
      <c r="D23500" t="str">
        <f>"20563       "</f>
        <v xml:space="preserve">20563       </v>
      </c>
      <c r="E23500" t="s">
        <v>1037</v>
      </c>
      <c r="F23500" t="s">
        <v>1038</v>
      </c>
      <c r="G23500">
        <v>215.88</v>
      </c>
      <c r="H23500">
        <v>250129</v>
      </c>
      <c r="I23500">
        <v>4600</v>
      </c>
      <c r="J23500" t="s">
        <v>278</v>
      </c>
      <c r="K23500">
        <v>431.75</v>
      </c>
      <c r="L23500">
        <v>43.86</v>
      </c>
      <c r="M23500">
        <v>54222</v>
      </c>
      <c r="N23500" t="s">
        <v>48</v>
      </c>
      <c r="O23500">
        <v>250211</v>
      </c>
      <c r="P23500">
        <v>172.02</v>
      </c>
    </row>
    <row r="23501" spans="1:16" x14ac:dyDescent="0.25">
      <c r="A23501" t="s">
        <v>3296</v>
      </c>
      <c r="B23501" t="s">
        <v>2931</v>
      </c>
      <c r="C23501">
        <v>1565</v>
      </c>
      <c r="D23501" t="str">
        <f>"20563       "</f>
        <v xml:space="preserve">20563       </v>
      </c>
      <c r="E23501" t="s">
        <v>1037</v>
      </c>
      <c r="F23501" t="s">
        <v>1038</v>
      </c>
      <c r="G23501">
        <v>215.87</v>
      </c>
      <c r="H23501">
        <v>250129</v>
      </c>
      <c r="I23501">
        <v>4600</v>
      </c>
      <c r="J23501" t="s">
        <v>278</v>
      </c>
      <c r="K23501">
        <v>431.75</v>
      </c>
      <c r="L23501">
        <v>43.86</v>
      </c>
      <c r="M23501">
        <v>54251</v>
      </c>
      <c r="N23501" t="s">
        <v>485</v>
      </c>
      <c r="O23501">
        <v>250211</v>
      </c>
      <c r="P23501">
        <v>172.01</v>
      </c>
    </row>
    <row r="23502" spans="1:16" x14ac:dyDescent="0.25">
      <c r="A23502" t="s">
        <v>3296</v>
      </c>
      <c r="B23502" t="s">
        <v>2931</v>
      </c>
      <c r="C23502">
        <v>3748</v>
      </c>
      <c r="D23502" t="str">
        <f>"20746       "</f>
        <v xml:space="preserve">20746       </v>
      </c>
      <c r="E23502" t="s">
        <v>1037</v>
      </c>
      <c r="F23502" t="s">
        <v>1038</v>
      </c>
      <c r="G23502">
        <v>233.75</v>
      </c>
      <c r="H23502">
        <v>250311</v>
      </c>
      <c r="I23502">
        <v>4600</v>
      </c>
      <c r="J23502" t="s">
        <v>278</v>
      </c>
      <c r="K23502">
        <v>467.49</v>
      </c>
      <c r="L23502">
        <v>47.5</v>
      </c>
      <c r="M23502">
        <v>54222</v>
      </c>
      <c r="N23502" t="s">
        <v>48</v>
      </c>
      <c r="O23502">
        <v>250401</v>
      </c>
      <c r="P23502">
        <v>186.25</v>
      </c>
    </row>
    <row r="23503" spans="1:16" x14ac:dyDescent="0.25">
      <c r="A23503" t="s">
        <v>3296</v>
      </c>
      <c r="B23503" t="s">
        <v>2931</v>
      </c>
      <c r="C23503">
        <v>3748</v>
      </c>
      <c r="D23503" t="str">
        <f>"20746       "</f>
        <v xml:space="preserve">20746       </v>
      </c>
      <c r="E23503" t="s">
        <v>1037</v>
      </c>
      <c r="F23503" t="s">
        <v>1038</v>
      </c>
      <c r="G23503">
        <v>233.74</v>
      </c>
      <c r="H23503">
        <v>250311</v>
      </c>
      <c r="I23503">
        <v>4600</v>
      </c>
      <c r="J23503" t="s">
        <v>278</v>
      </c>
      <c r="K23503">
        <v>467.49</v>
      </c>
      <c r="L23503">
        <v>47.49</v>
      </c>
      <c r="M23503">
        <v>54251</v>
      </c>
      <c r="N23503" t="s">
        <v>485</v>
      </c>
      <c r="O23503">
        <v>250401</v>
      </c>
      <c r="P23503">
        <v>186.25</v>
      </c>
    </row>
    <row r="23504" spans="1:16" x14ac:dyDescent="0.25">
      <c r="A23504" t="s">
        <v>3296</v>
      </c>
      <c r="B23504" t="s">
        <v>2931</v>
      </c>
      <c r="C23504">
        <v>13799</v>
      </c>
      <c r="D23504" t="str">
        <f>"495         "</f>
        <v xml:space="preserve">495         </v>
      </c>
      <c r="E23504" t="s">
        <v>1037</v>
      </c>
      <c r="F23504" t="s">
        <v>1038</v>
      </c>
      <c r="G23504">
        <v>292.14999999999998</v>
      </c>
      <c r="H23504">
        <v>251006</v>
      </c>
      <c r="I23504">
        <v>4600</v>
      </c>
      <c r="J23504" t="s">
        <v>278</v>
      </c>
      <c r="K23504">
        <v>584.29</v>
      </c>
      <c r="L23504">
        <v>59.36</v>
      </c>
      <c r="M23504">
        <v>54222</v>
      </c>
      <c r="N23504" t="s">
        <v>48</v>
      </c>
      <c r="O23504">
        <v>251020</v>
      </c>
      <c r="P23504">
        <v>232.79</v>
      </c>
    </row>
    <row r="23505" spans="1:16" x14ac:dyDescent="0.25">
      <c r="A23505" t="s">
        <v>3296</v>
      </c>
      <c r="B23505" t="s">
        <v>2931</v>
      </c>
      <c r="C23505">
        <v>13799</v>
      </c>
      <c r="D23505" t="str">
        <f>"495         "</f>
        <v xml:space="preserve">495         </v>
      </c>
      <c r="E23505" t="s">
        <v>1037</v>
      </c>
      <c r="F23505" t="s">
        <v>1038</v>
      </c>
      <c r="G23505">
        <v>292.14</v>
      </c>
      <c r="H23505">
        <v>251006</v>
      </c>
      <c r="I23505">
        <v>4600</v>
      </c>
      <c r="J23505" t="s">
        <v>278</v>
      </c>
      <c r="K23505">
        <v>584.29</v>
      </c>
      <c r="L23505">
        <v>59.36</v>
      </c>
      <c r="M23505">
        <v>54251</v>
      </c>
      <c r="N23505" t="s">
        <v>485</v>
      </c>
      <c r="O23505">
        <v>251020</v>
      </c>
      <c r="P23505">
        <v>232.78</v>
      </c>
    </row>
    <row r="23506" spans="1:16" x14ac:dyDescent="0.25">
      <c r="A23506" t="s">
        <v>3296</v>
      </c>
      <c r="B23506" t="s">
        <v>2931</v>
      </c>
      <c r="C23506">
        <v>12679</v>
      </c>
      <c r="D23506" t="str">
        <f>"110         "</f>
        <v xml:space="preserve">110         </v>
      </c>
      <c r="E23506" t="s">
        <v>3139</v>
      </c>
      <c r="F23506" t="s">
        <v>3140</v>
      </c>
      <c r="G23506">
        <v>500</v>
      </c>
      <c r="H23506">
        <v>250923</v>
      </c>
      <c r="I23506">
        <v>4470</v>
      </c>
      <c r="J23506" t="s">
        <v>203</v>
      </c>
      <c r="K23506">
        <v>500</v>
      </c>
      <c r="L23506">
        <v>0</v>
      </c>
      <c r="M23506">
        <v>18995</v>
      </c>
      <c r="N23506" t="s">
        <v>2317</v>
      </c>
      <c r="O23506">
        <v>250929</v>
      </c>
      <c r="P23506">
        <v>500</v>
      </c>
    </row>
    <row r="23507" spans="1:16" x14ac:dyDescent="0.25">
      <c r="A23507" t="s">
        <v>3296</v>
      </c>
      <c r="B23507" t="s">
        <v>2931</v>
      </c>
      <c r="C23507">
        <v>16081</v>
      </c>
      <c r="D23507" t="str">
        <f>"250300383   "</f>
        <v xml:space="preserve">250300383   </v>
      </c>
      <c r="E23507" t="s">
        <v>2657</v>
      </c>
      <c r="F23507" t="s">
        <v>2658</v>
      </c>
      <c r="G23507">
        <v>23.01</v>
      </c>
      <c r="H23507">
        <v>251201</v>
      </c>
      <c r="I23507">
        <v>4367</v>
      </c>
      <c r="J23507" t="s">
        <v>159</v>
      </c>
      <c r="K23507">
        <v>276.10000000000002</v>
      </c>
      <c r="L23507">
        <v>4.68</v>
      </c>
      <c r="M23507">
        <v>17711</v>
      </c>
      <c r="N23507" t="s">
        <v>155</v>
      </c>
      <c r="O23507">
        <v>251203</v>
      </c>
      <c r="P23507">
        <v>18.329999999999998</v>
      </c>
    </row>
    <row r="23508" spans="1:16" x14ac:dyDescent="0.25">
      <c r="A23508" t="s">
        <v>3296</v>
      </c>
      <c r="B23508" t="s">
        <v>2931</v>
      </c>
      <c r="C23508">
        <v>7083</v>
      </c>
      <c r="D23508" t="str">
        <f>"20250232    "</f>
        <v xml:space="preserve">20250232    </v>
      </c>
      <c r="E23508" t="s">
        <v>1915</v>
      </c>
      <c r="F23508" t="s">
        <v>1916</v>
      </c>
      <c r="G23508">
        <v>38</v>
      </c>
      <c r="H23508">
        <v>250519</v>
      </c>
      <c r="I23508">
        <v>4860</v>
      </c>
      <c r="J23508" t="s">
        <v>286</v>
      </c>
      <c r="K23508">
        <v>38</v>
      </c>
      <c r="L23508">
        <v>7.72</v>
      </c>
      <c r="M23508">
        <v>13901</v>
      </c>
      <c r="N23508" t="s">
        <v>116</v>
      </c>
      <c r="O23508">
        <v>250522</v>
      </c>
      <c r="P23508">
        <v>30.28</v>
      </c>
    </row>
    <row r="23509" spans="1:16" x14ac:dyDescent="0.25">
      <c r="A23509" t="s">
        <v>3296</v>
      </c>
      <c r="B23509" t="s">
        <v>2931</v>
      </c>
      <c r="C23509">
        <v>8548</v>
      </c>
      <c r="D23509" t="str">
        <f>"160993      "</f>
        <v xml:space="preserve">160993      </v>
      </c>
      <c r="E23509" t="s">
        <v>1708</v>
      </c>
      <c r="F23509" t="s">
        <v>1709</v>
      </c>
      <c r="G23509">
        <v>103.8</v>
      </c>
      <c r="H23509">
        <v>250609</v>
      </c>
      <c r="I23509">
        <v>4400</v>
      </c>
      <c r="J23509" t="s">
        <v>162</v>
      </c>
      <c r="K23509">
        <v>103.8</v>
      </c>
      <c r="L23509">
        <v>21.09</v>
      </c>
      <c r="M23509">
        <v>17951</v>
      </c>
      <c r="N23509" t="s">
        <v>207</v>
      </c>
      <c r="O23509">
        <v>250617</v>
      </c>
      <c r="P23509">
        <v>82.71</v>
      </c>
    </row>
    <row r="23510" spans="1:16" x14ac:dyDescent="0.25">
      <c r="A23510" t="s">
        <v>3296</v>
      </c>
      <c r="B23510" t="s">
        <v>2931</v>
      </c>
      <c r="C23510">
        <v>5287</v>
      </c>
      <c r="D23510" t="str">
        <f>"159319      "</f>
        <v xml:space="preserve">159319      </v>
      </c>
      <c r="E23510" t="s">
        <v>1708</v>
      </c>
      <c r="F23510" t="s">
        <v>1709</v>
      </c>
      <c r="G23510">
        <v>132.44999999999999</v>
      </c>
      <c r="H23510">
        <v>250410</v>
      </c>
      <c r="I23510">
        <v>4600</v>
      </c>
      <c r="J23510" t="s">
        <v>278</v>
      </c>
      <c r="K23510">
        <v>132.44999999999999</v>
      </c>
      <c r="L23510">
        <v>26.91</v>
      </c>
      <c r="M23510">
        <v>56573</v>
      </c>
      <c r="N23510" t="s">
        <v>843</v>
      </c>
      <c r="O23510">
        <v>250423</v>
      </c>
      <c r="P23510">
        <v>105.54</v>
      </c>
    </row>
    <row r="23511" spans="1:16" x14ac:dyDescent="0.25">
      <c r="A23511" t="s">
        <v>3296</v>
      </c>
      <c r="B23511" t="s">
        <v>2931</v>
      </c>
      <c r="C23511">
        <v>12675</v>
      </c>
      <c r="D23511" t="str">
        <f>"163813      "</f>
        <v xml:space="preserve">163813      </v>
      </c>
      <c r="E23511" t="s">
        <v>1708</v>
      </c>
      <c r="F23511" t="s">
        <v>1709</v>
      </c>
      <c r="G23511">
        <v>173.04</v>
      </c>
      <c r="H23511">
        <v>250915</v>
      </c>
      <c r="I23511">
        <v>4600</v>
      </c>
      <c r="J23511" t="s">
        <v>278</v>
      </c>
      <c r="K23511">
        <v>173.04</v>
      </c>
      <c r="L23511">
        <v>35.159999999999997</v>
      </c>
      <c r="M23511">
        <v>56565</v>
      </c>
      <c r="N23511" t="s">
        <v>57</v>
      </c>
      <c r="O23511">
        <v>250929</v>
      </c>
      <c r="P23511">
        <v>137.88</v>
      </c>
    </row>
    <row r="23512" spans="1:16" x14ac:dyDescent="0.25">
      <c r="A23512" t="s">
        <v>3296</v>
      </c>
      <c r="B23512" t="s">
        <v>2931</v>
      </c>
      <c r="C23512">
        <v>13776</v>
      </c>
      <c r="D23512" t="str">
        <f>"164486      "</f>
        <v xml:space="preserve">164486      </v>
      </c>
      <c r="E23512" t="s">
        <v>1708</v>
      </c>
      <c r="F23512" t="s">
        <v>1709</v>
      </c>
      <c r="G23512">
        <v>158.47</v>
      </c>
      <c r="H23512">
        <v>251008</v>
      </c>
      <c r="I23512">
        <v>4600</v>
      </c>
      <c r="J23512" t="s">
        <v>278</v>
      </c>
      <c r="K23512">
        <v>158.47</v>
      </c>
      <c r="L23512">
        <v>32.200000000000003</v>
      </c>
      <c r="M23512">
        <v>56565</v>
      </c>
      <c r="N23512" t="s">
        <v>57</v>
      </c>
      <c r="O23512">
        <v>251020</v>
      </c>
      <c r="P23512">
        <v>126.27</v>
      </c>
    </row>
    <row r="23513" spans="1:16" x14ac:dyDescent="0.25">
      <c r="A23513" t="s">
        <v>3296</v>
      </c>
      <c r="B23513" t="s">
        <v>2931</v>
      </c>
      <c r="C23513">
        <v>11971</v>
      </c>
      <c r="D23513" t="str">
        <f>"403823      "</f>
        <v xml:space="preserve">403823      </v>
      </c>
      <c r="E23513" t="s">
        <v>2305</v>
      </c>
      <c r="F23513" t="s">
        <v>2306</v>
      </c>
      <c r="G23513">
        <v>720</v>
      </c>
      <c r="H23513">
        <v>250908</v>
      </c>
      <c r="I23513">
        <v>4400</v>
      </c>
      <c r="J23513" t="s">
        <v>162</v>
      </c>
      <c r="K23513">
        <v>720</v>
      </c>
      <c r="L23513">
        <v>146.29</v>
      </c>
      <c r="M23513">
        <v>17808</v>
      </c>
      <c r="N23513" t="s">
        <v>24</v>
      </c>
      <c r="O23513">
        <v>250915</v>
      </c>
      <c r="P23513">
        <v>573.71</v>
      </c>
    </row>
    <row r="23514" spans="1:16" x14ac:dyDescent="0.25">
      <c r="A23514" t="s">
        <v>3296</v>
      </c>
      <c r="B23514" t="s">
        <v>2931</v>
      </c>
      <c r="C23514">
        <v>3146</v>
      </c>
      <c r="D23514" t="str">
        <f>"7610        "</f>
        <v xml:space="preserve">7610        </v>
      </c>
      <c r="E23514" t="s">
        <v>1390</v>
      </c>
      <c r="F23514" t="s">
        <v>1391</v>
      </c>
      <c r="G23514">
        <v>935.31</v>
      </c>
      <c r="H23514">
        <v>250228</v>
      </c>
      <c r="I23514">
        <v>4390</v>
      </c>
      <c r="J23514" t="s">
        <v>232</v>
      </c>
      <c r="K23514">
        <v>935.31</v>
      </c>
      <c r="L23514">
        <v>190.04</v>
      </c>
      <c r="M23514">
        <v>49501</v>
      </c>
      <c r="N23514" t="s">
        <v>110</v>
      </c>
      <c r="O23514">
        <v>250314</v>
      </c>
      <c r="P23514">
        <v>745.27</v>
      </c>
    </row>
    <row r="23515" spans="1:16" x14ac:dyDescent="0.25">
      <c r="A23515" t="s">
        <v>3296</v>
      </c>
      <c r="B23515" t="s">
        <v>2931</v>
      </c>
      <c r="C23515">
        <v>15722</v>
      </c>
      <c r="D23515" t="str">
        <f>"91112092    "</f>
        <v xml:space="preserve">91112092    </v>
      </c>
      <c r="E23515" t="s">
        <v>2926</v>
      </c>
      <c r="F23515" t="s">
        <v>2927</v>
      </c>
      <c r="G23515">
        <v>145</v>
      </c>
      <c r="H23515">
        <v>251121</v>
      </c>
      <c r="I23515">
        <v>4440</v>
      </c>
      <c r="J23515" t="s">
        <v>346</v>
      </c>
      <c r="K23515">
        <v>145</v>
      </c>
      <c r="L23515">
        <v>0</v>
      </c>
      <c r="M23515">
        <v>17526</v>
      </c>
      <c r="N23515" t="s">
        <v>141</v>
      </c>
      <c r="O23515">
        <v>251125</v>
      </c>
      <c r="P23515">
        <v>145</v>
      </c>
    </row>
    <row r="23516" spans="1:16" x14ac:dyDescent="0.25">
      <c r="A23516" t="s">
        <v>3296</v>
      </c>
      <c r="B23516" t="s">
        <v>2931</v>
      </c>
      <c r="C23516">
        <v>15750</v>
      </c>
      <c r="D23516" t="str">
        <f>"91112093    "</f>
        <v xml:space="preserve">91112093    </v>
      </c>
      <c r="E23516" t="s">
        <v>2926</v>
      </c>
      <c r="F23516" t="s">
        <v>2927</v>
      </c>
      <c r="G23516">
        <v>149</v>
      </c>
      <c r="H23516">
        <v>251121</v>
      </c>
      <c r="I23516">
        <v>4440</v>
      </c>
      <c r="J23516" t="s">
        <v>346</v>
      </c>
      <c r="K23516">
        <v>149</v>
      </c>
      <c r="L23516">
        <v>0</v>
      </c>
      <c r="M23516">
        <v>17527</v>
      </c>
      <c r="N23516" t="s">
        <v>142</v>
      </c>
      <c r="O23516">
        <v>251126</v>
      </c>
      <c r="P23516">
        <v>149</v>
      </c>
    </row>
    <row r="23517" spans="1:16" x14ac:dyDescent="0.25">
      <c r="A23517" t="s">
        <v>3296</v>
      </c>
      <c r="B23517" t="s">
        <v>2931</v>
      </c>
      <c r="C23517">
        <v>1179</v>
      </c>
      <c r="D23517" t="str">
        <f>"3004526612  "</f>
        <v xml:space="preserve">3004526612  </v>
      </c>
      <c r="E23517" t="s">
        <v>874</v>
      </c>
      <c r="F23517" t="s">
        <v>875</v>
      </c>
      <c r="G23517">
        <v>9</v>
      </c>
      <c r="H23517">
        <v>250131</v>
      </c>
      <c r="I23517">
        <v>4410</v>
      </c>
      <c r="J23517" t="s">
        <v>165</v>
      </c>
      <c r="K23517">
        <v>112</v>
      </c>
      <c r="L23517">
        <v>0</v>
      </c>
      <c r="M23517">
        <v>13861</v>
      </c>
      <c r="N23517" t="s">
        <v>604</v>
      </c>
      <c r="O23517">
        <v>250205</v>
      </c>
      <c r="P23517">
        <v>9</v>
      </c>
    </row>
    <row r="23518" spans="1:16" x14ac:dyDescent="0.25">
      <c r="A23518" t="s">
        <v>3296</v>
      </c>
      <c r="B23518" t="s">
        <v>2931</v>
      </c>
      <c r="C23518">
        <v>1179</v>
      </c>
      <c r="D23518" t="str">
        <f>"3004526612  "</f>
        <v xml:space="preserve">3004526612  </v>
      </c>
      <c r="E23518" t="s">
        <v>874</v>
      </c>
      <c r="F23518" t="s">
        <v>875</v>
      </c>
      <c r="G23518">
        <v>103</v>
      </c>
      <c r="H23518">
        <v>250131</v>
      </c>
      <c r="I23518">
        <v>4410</v>
      </c>
      <c r="J23518" t="s">
        <v>165</v>
      </c>
      <c r="K23518">
        <v>112</v>
      </c>
      <c r="L23518">
        <v>12.65</v>
      </c>
      <c r="M23518">
        <v>13861</v>
      </c>
      <c r="N23518" t="s">
        <v>604</v>
      </c>
      <c r="O23518">
        <v>250205</v>
      </c>
      <c r="P23518">
        <v>90.35</v>
      </c>
    </row>
    <row r="23519" spans="1:16" x14ac:dyDescent="0.25">
      <c r="A23519" t="s">
        <v>3296</v>
      </c>
      <c r="B23519" t="s">
        <v>2931</v>
      </c>
      <c r="C23519">
        <v>2317</v>
      </c>
      <c r="D23519" t="str">
        <f>"3004526611  "</f>
        <v xml:space="preserve">3004526611  </v>
      </c>
      <c r="E23519" t="s">
        <v>874</v>
      </c>
      <c r="F23519" t="s">
        <v>875</v>
      </c>
      <c r="G23519">
        <v>9</v>
      </c>
      <c r="H23519">
        <v>250201</v>
      </c>
      <c r="I23519">
        <v>4410</v>
      </c>
      <c r="J23519" t="s">
        <v>165</v>
      </c>
      <c r="K23519">
        <v>117</v>
      </c>
      <c r="L23519">
        <v>0</v>
      </c>
      <c r="M23519">
        <v>13861</v>
      </c>
      <c r="N23519" t="s">
        <v>604</v>
      </c>
      <c r="O23519">
        <v>250224</v>
      </c>
      <c r="P23519">
        <v>9</v>
      </c>
    </row>
    <row r="23520" spans="1:16" x14ac:dyDescent="0.25">
      <c r="A23520" t="s">
        <v>3296</v>
      </c>
      <c r="B23520" t="s">
        <v>2931</v>
      </c>
      <c r="C23520">
        <v>2317</v>
      </c>
      <c r="D23520" t="str">
        <f>"3004526611  "</f>
        <v xml:space="preserve">3004526611  </v>
      </c>
      <c r="E23520" t="s">
        <v>874</v>
      </c>
      <c r="F23520" t="s">
        <v>875</v>
      </c>
      <c r="G23520">
        <v>103</v>
      </c>
      <c r="H23520">
        <v>250201</v>
      </c>
      <c r="I23520">
        <v>4410</v>
      </c>
      <c r="J23520" t="s">
        <v>165</v>
      </c>
      <c r="K23520">
        <v>117</v>
      </c>
      <c r="L23520">
        <v>12.65</v>
      </c>
      <c r="M23520">
        <v>13861</v>
      </c>
      <c r="N23520" t="s">
        <v>604</v>
      </c>
      <c r="O23520">
        <v>250224</v>
      </c>
      <c r="P23520">
        <v>90.35</v>
      </c>
    </row>
    <row r="23521" spans="1:16" x14ac:dyDescent="0.25">
      <c r="A23521" t="s">
        <v>3296</v>
      </c>
      <c r="B23521" t="s">
        <v>2931</v>
      </c>
      <c r="C23521">
        <v>3395</v>
      </c>
      <c r="D23521" t="str">
        <f>"3004611626  "</f>
        <v xml:space="preserve">3004611626  </v>
      </c>
      <c r="E23521" t="s">
        <v>874</v>
      </c>
      <c r="F23521" t="s">
        <v>875</v>
      </c>
      <c r="G23521">
        <v>5</v>
      </c>
      <c r="H23521">
        <v>250305</v>
      </c>
      <c r="I23521">
        <v>4410</v>
      </c>
      <c r="J23521" t="s">
        <v>165</v>
      </c>
      <c r="K23521">
        <v>100.1</v>
      </c>
      <c r="L23521">
        <v>1.02</v>
      </c>
      <c r="M23521">
        <v>17523</v>
      </c>
      <c r="N23521" t="s">
        <v>138</v>
      </c>
      <c r="O23521">
        <v>250320</v>
      </c>
      <c r="P23521">
        <v>3.98</v>
      </c>
    </row>
    <row r="23522" spans="1:16" x14ac:dyDescent="0.25">
      <c r="A23522" t="s">
        <v>3296</v>
      </c>
      <c r="B23522" t="s">
        <v>2931</v>
      </c>
      <c r="C23522">
        <v>3395</v>
      </c>
      <c r="D23522" t="str">
        <f>"3004611626  "</f>
        <v xml:space="preserve">3004611626  </v>
      </c>
      <c r="E23522" t="s">
        <v>874</v>
      </c>
      <c r="F23522" t="s">
        <v>875</v>
      </c>
      <c r="G23522">
        <v>6.8</v>
      </c>
      <c r="H23522">
        <v>250305</v>
      </c>
      <c r="I23522">
        <v>4410</v>
      </c>
      <c r="J23522" t="s">
        <v>165</v>
      </c>
      <c r="K23522">
        <v>100.1</v>
      </c>
      <c r="L23522">
        <v>0</v>
      </c>
      <c r="M23522">
        <v>17523</v>
      </c>
      <c r="N23522" t="s">
        <v>138</v>
      </c>
      <c r="O23522">
        <v>250320</v>
      </c>
      <c r="P23522">
        <v>6.8</v>
      </c>
    </row>
    <row r="23523" spans="1:16" x14ac:dyDescent="0.25">
      <c r="A23523" t="s">
        <v>3296</v>
      </c>
      <c r="B23523" t="s">
        <v>2931</v>
      </c>
      <c r="C23523">
        <v>3395</v>
      </c>
      <c r="D23523" t="str">
        <f>"3004611626  "</f>
        <v xml:space="preserve">3004611626  </v>
      </c>
      <c r="E23523" t="s">
        <v>874</v>
      </c>
      <c r="F23523" t="s">
        <v>875</v>
      </c>
      <c r="G23523">
        <v>88.3</v>
      </c>
      <c r="H23523">
        <v>250305</v>
      </c>
      <c r="I23523">
        <v>4410</v>
      </c>
      <c r="J23523" t="s">
        <v>165</v>
      </c>
      <c r="K23523">
        <v>100.1</v>
      </c>
      <c r="L23523">
        <v>10.84</v>
      </c>
      <c r="M23523">
        <v>17523</v>
      </c>
      <c r="N23523" t="s">
        <v>138</v>
      </c>
      <c r="O23523">
        <v>250320</v>
      </c>
      <c r="P23523">
        <v>77.459999999999994</v>
      </c>
    </row>
    <row r="23524" spans="1:16" x14ac:dyDescent="0.25">
      <c r="A23524" t="s">
        <v>3296</v>
      </c>
      <c r="B23524" t="s">
        <v>2931</v>
      </c>
      <c r="C23524">
        <v>2317</v>
      </c>
      <c r="D23524" t="str">
        <f>"3004526611  "</f>
        <v xml:space="preserve">3004526611  </v>
      </c>
      <c r="E23524" t="s">
        <v>874</v>
      </c>
      <c r="F23524" t="s">
        <v>875</v>
      </c>
      <c r="G23524">
        <v>5</v>
      </c>
      <c r="H23524">
        <v>250201</v>
      </c>
      <c r="I23524">
        <v>4940</v>
      </c>
      <c r="J23524" t="s">
        <v>250</v>
      </c>
      <c r="K23524">
        <v>117</v>
      </c>
      <c r="L23524">
        <v>1.02</v>
      </c>
      <c r="M23524">
        <v>13861</v>
      </c>
      <c r="N23524" t="s">
        <v>604</v>
      </c>
      <c r="O23524">
        <v>250224</v>
      </c>
      <c r="P23524">
        <v>3.98</v>
      </c>
    </row>
    <row r="23525" spans="1:16" x14ac:dyDescent="0.25">
      <c r="A23525" t="s">
        <v>3296</v>
      </c>
      <c r="B23525" t="s">
        <v>2931</v>
      </c>
      <c r="C23525">
        <v>10312</v>
      </c>
      <c r="D23525" t="str">
        <f>"129         "</f>
        <v xml:space="preserve">129         </v>
      </c>
      <c r="E23525" t="s">
        <v>2181</v>
      </c>
      <c r="F23525" t="s">
        <v>2182</v>
      </c>
      <c r="G23525">
        <v>3270.62</v>
      </c>
      <c r="H23525">
        <v>250808</v>
      </c>
      <c r="I23525">
        <v>4510</v>
      </c>
      <c r="J23525" t="s">
        <v>240</v>
      </c>
      <c r="K23525">
        <v>3270.62</v>
      </c>
      <c r="L23525">
        <v>401.66</v>
      </c>
      <c r="M23525">
        <v>46555</v>
      </c>
      <c r="N23525" t="s">
        <v>103</v>
      </c>
      <c r="O23525">
        <v>250814</v>
      </c>
      <c r="P23525">
        <v>2868.96</v>
      </c>
    </row>
    <row r="23526" spans="1:16" x14ac:dyDescent="0.25">
      <c r="A23526" t="s">
        <v>3296</v>
      </c>
      <c r="B23526" t="s">
        <v>2931</v>
      </c>
      <c r="C23526">
        <v>16304</v>
      </c>
      <c r="D23526" t="str">
        <f>"25163       "</f>
        <v xml:space="preserve">25163       </v>
      </c>
      <c r="E23526" t="s">
        <v>3177</v>
      </c>
      <c r="F23526" t="s">
        <v>3178</v>
      </c>
      <c r="G23526">
        <v>64</v>
      </c>
      <c r="H23526">
        <v>251128</v>
      </c>
      <c r="I23526">
        <v>4440</v>
      </c>
      <c r="J23526" t="s">
        <v>346</v>
      </c>
      <c r="K23526">
        <v>64</v>
      </c>
      <c r="L23526">
        <v>0</v>
      </c>
      <c r="M23526">
        <v>13901</v>
      </c>
      <c r="N23526" t="s">
        <v>116</v>
      </c>
      <c r="O23526">
        <v>251205</v>
      </c>
      <c r="P23526">
        <v>64</v>
      </c>
    </row>
    <row r="23527" spans="1:16" x14ac:dyDescent="0.25">
      <c r="A23527" t="s">
        <v>3296</v>
      </c>
      <c r="B23527" t="s">
        <v>2931</v>
      </c>
      <c r="C23527">
        <v>1582</v>
      </c>
      <c r="D23527" t="str">
        <f>"431         "</f>
        <v xml:space="preserve">431         </v>
      </c>
      <c r="E23527" t="s">
        <v>1045</v>
      </c>
      <c r="F23527" t="s">
        <v>1046</v>
      </c>
      <c r="G23527">
        <v>79.8</v>
      </c>
      <c r="H23527">
        <v>250207</v>
      </c>
      <c r="I23527">
        <v>4580</v>
      </c>
      <c r="J23527" t="s">
        <v>126</v>
      </c>
      <c r="K23527">
        <v>79.8</v>
      </c>
      <c r="L23527">
        <v>16.21</v>
      </c>
      <c r="M23527">
        <v>17521</v>
      </c>
      <c r="N23527" t="s">
        <v>136</v>
      </c>
      <c r="O23527">
        <v>250211</v>
      </c>
      <c r="P23527">
        <v>63.59</v>
      </c>
    </row>
    <row r="23528" spans="1:16" x14ac:dyDescent="0.25">
      <c r="A23528" t="s">
        <v>3296</v>
      </c>
      <c r="B23528" t="s">
        <v>2931</v>
      </c>
      <c r="C23528">
        <v>5402</v>
      </c>
      <c r="D23528" t="str">
        <f>"442         "</f>
        <v xml:space="preserve">442         </v>
      </c>
      <c r="E23528" t="s">
        <v>1045</v>
      </c>
      <c r="F23528" t="s">
        <v>1046</v>
      </c>
      <c r="G23528">
        <v>153.9</v>
      </c>
      <c r="H23528">
        <v>250415</v>
      </c>
      <c r="I23528">
        <v>4580</v>
      </c>
      <c r="J23528" t="s">
        <v>126</v>
      </c>
      <c r="K23528">
        <v>153.9</v>
      </c>
      <c r="L23528">
        <v>31.27</v>
      </c>
      <c r="M23528">
        <v>56528</v>
      </c>
      <c r="N23528" t="s">
        <v>70</v>
      </c>
      <c r="O23528">
        <v>250424</v>
      </c>
      <c r="P23528">
        <v>122.63</v>
      </c>
    </row>
    <row r="23529" spans="1:16" x14ac:dyDescent="0.25">
      <c r="A23529" t="s">
        <v>3296</v>
      </c>
      <c r="B23529" t="s">
        <v>2931</v>
      </c>
      <c r="C23529">
        <v>6764</v>
      </c>
      <c r="D23529" t="str">
        <f>"42656       "</f>
        <v xml:space="preserve">42656       </v>
      </c>
      <c r="E23529" t="s">
        <v>1884</v>
      </c>
      <c r="F23529" t="s">
        <v>1885</v>
      </c>
      <c r="G23529">
        <v>656.01</v>
      </c>
      <c r="H23529">
        <v>250514</v>
      </c>
      <c r="I23529">
        <v>4350</v>
      </c>
      <c r="J23529" t="s">
        <v>290</v>
      </c>
      <c r="K23529">
        <v>656.01</v>
      </c>
      <c r="L23529">
        <v>133.29</v>
      </c>
      <c r="M23529">
        <v>49702</v>
      </c>
      <c r="N23529" t="s">
        <v>112</v>
      </c>
      <c r="O23529">
        <v>250516</v>
      </c>
      <c r="P23529">
        <v>522.72</v>
      </c>
    </row>
    <row r="23530" spans="1:16" x14ac:dyDescent="0.25">
      <c r="A23530" t="s">
        <v>3296</v>
      </c>
      <c r="B23530" t="s">
        <v>2931</v>
      </c>
      <c r="C23530">
        <v>15559</v>
      </c>
      <c r="D23530" t="str">
        <f>"43914       "</f>
        <v xml:space="preserve">43914       </v>
      </c>
      <c r="E23530" t="s">
        <v>1884</v>
      </c>
      <c r="F23530" t="s">
        <v>1885</v>
      </c>
      <c r="G23530">
        <v>656.01</v>
      </c>
      <c r="H23530">
        <v>251119</v>
      </c>
      <c r="I23530">
        <v>4350</v>
      </c>
      <c r="J23530" t="s">
        <v>290</v>
      </c>
      <c r="K23530">
        <v>656.01</v>
      </c>
      <c r="L23530">
        <v>133.29</v>
      </c>
      <c r="M23530">
        <v>49702</v>
      </c>
      <c r="N23530" t="s">
        <v>112</v>
      </c>
      <c r="O23530">
        <v>251121</v>
      </c>
      <c r="P23530">
        <v>522.72</v>
      </c>
    </row>
    <row r="23531" spans="1:16" x14ac:dyDescent="0.25">
      <c r="A23531" t="s">
        <v>3296</v>
      </c>
      <c r="B23531" t="s">
        <v>2931</v>
      </c>
      <c r="C23531">
        <v>1580</v>
      </c>
      <c r="D23531" t="str">
        <f>"125/12180   "</f>
        <v xml:space="preserve">125/12180   </v>
      </c>
      <c r="E23531" t="s">
        <v>1043</v>
      </c>
      <c r="F23531" t="s">
        <v>1044</v>
      </c>
      <c r="G23531">
        <v>590</v>
      </c>
      <c r="H23531">
        <v>250207</v>
      </c>
      <c r="I23531">
        <v>4510</v>
      </c>
      <c r="J23531" t="s">
        <v>240</v>
      </c>
      <c r="K23531">
        <v>590</v>
      </c>
      <c r="L23531">
        <v>72.459999999999994</v>
      </c>
      <c r="M23531">
        <v>58601</v>
      </c>
      <c r="N23531" t="s">
        <v>59</v>
      </c>
      <c r="O23531">
        <v>250211</v>
      </c>
      <c r="P23531">
        <v>517.54</v>
      </c>
    </row>
    <row r="23532" spans="1:16" x14ac:dyDescent="0.25">
      <c r="A23532" t="s">
        <v>3296</v>
      </c>
      <c r="B23532" t="s">
        <v>2931</v>
      </c>
      <c r="C23532">
        <v>17474</v>
      </c>
      <c r="D23532" t="str">
        <f>"126/9273    "</f>
        <v xml:space="preserve">126/9273    </v>
      </c>
      <c r="E23532" t="s">
        <v>1043</v>
      </c>
      <c r="F23532" t="s">
        <v>1044</v>
      </c>
      <c r="G23532">
        <v>54.9</v>
      </c>
      <c r="H23532">
        <v>251212</v>
      </c>
      <c r="I23532">
        <v>4590</v>
      </c>
      <c r="J23532" t="s">
        <v>388</v>
      </c>
      <c r="K23532">
        <v>54.9</v>
      </c>
      <c r="L23532">
        <v>11.15</v>
      </c>
      <c r="M23532">
        <v>56522</v>
      </c>
      <c r="N23532" t="s">
        <v>68</v>
      </c>
      <c r="O23532">
        <v>251222</v>
      </c>
      <c r="P23532">
        <v>43.75</v>
      </c>
    </row>
    <row r="23533" spans="1:16" x14ac:dyDescent="0.25">
      <c r="A23533" t="s">
        <v>3296</v>
      </c>
      <c r="B23533" t="s">
        <v>2931</v>
      </c>
      <c r="C23533">
        <v>5953</v>
      </c>
      <c r="D23533" t="str">
        <f>"126/734     "</f>
        <v xml:space="preserve">126/734     </v>
      </c>
      <c r="E23533" t="s">
        <v>1043</v>
      </c>
      <c r="F23533" t="s">
        <v>1044</v>
      </c>
      <c r="G23533">
        <v>8.9</v>
      </c>
      <c r="H23533">
        <v>250430</v>
      </c>
      <c r="I23533">
        <v>4600</v>
      </c>
      <c r="J23533" t="s">
        <v>278</v>
      </c>
      <c r="K23533">
        <v>8.9</v>
      </c>
      <c r="L23533">
        <v>1.81</v>
      </c>
      <c r="M23533">
        <v>56566</v>
      </c>
      <c r="N23533" t="s">
        <v>58</v>
      </c>
      <c r="O23533">
        <v>250507</v>
      </c>
      <c r="P23533">
        <v>7.09</v>
      </c>
    </row>
    <row r="23534" spans="1:16" x14ac:dyDescent="0.25">
      <c r="A23534" t="s">
        <v>3296</v>
      </c>
      <c r="B23534" t="s">
        <v>2931</v>
      </c>
      <c r="C23534">
        <v>12001</v>
      </c>
      <c r="D23534" t="str">
        <f>"126/5583    "</f>
        <v xml:space="preserve">126/5583    </v>
      </c>
      <c r="E23534" t="s">
        <v>1043</v>
      </c>
      <c r="F23534" t="s">
        <v>1044</v>
      </c>
      <c r="G23534">
        <v>45.3</v>
      </c>
      <c r="H23534">
        <v>250910</v>
      </c>
      <c r="I23534">
        <v>4600</v>
      </c>
      <c r="J23534" t="s">
        <v>278</v>
      </c>
      <c r="K23534">
        <v>45.3</v>
      </c>
      <c r="L23534">
        <v>9.1999999999999993</v>
      </c>
      <c r="M23534">
        <v>59702</v>
      </c>
      <c r="N23534" t="s">
        <v>45</v>
      </c>
      <c r="O23534">
        <v>250915</v>
      </c>
      <c r="P23534">
        <v>36.1</v>
      </c>
    </row>
    <row r="23535" spans="1:16" x14ac:dyDescent="0.25">
      <c r="A23535" t="s">
        <v>3296</v>
      </c>
      <c r="B23535" t="s">
        <v>2931</v>
      </c>
      <c r="C23535">
        <v>2808</v>
      </c>
      <c r="D23535" t="str">
        <f>"36612       "</f>
        <v xml:space="preserve">36612       </v>
      </c>
      <c r="E23535" t="s">
        <v>1360</v>
      </c>
      <c r="F23535" t="s">
        <v>1361</v>
      </c>
      <c r="G23535">
        <v>56.4</v>
      </c>
      <c r="H23535">
        <v>250228</v>
      </c>
      <c r="I23535">
        <v>4364</v>
      </c>
      <c r="J23535" t="s">
        <v>470</v>
      </c>
      <c r="K23535">
        <v>985.36</v>
      </c>
      <c r="L23535">
        <v>11.46</v>
      </c>
      <c r="M23535">
        <v>11301</v>
      </c>
      <c r="N23535" t="s">
        <v>92</v>
      </c>
      <c r="O23535">
        <v>250312</v>
      </c>
      <c r="P23535">
        <v>44.94</v>
      </c>
    </row>
    <row r="23536" spans="1:16" x14ac:dyDescent="0.25">
      <c r="A23536" t="s">
        <v>3296</v>
      </c>
      <c r="B23536" t="s">
        <v>2931</v>
      </c>
      <c r="C23536">
        <v>2795</v>
      </c>
      <c r="D23536" t="str">
        <f>"36611       "</f>
        <v xml:space="preserve">36611       </v>
      </c>
      <c r="E23536" t="s">
        <v>1360</v>
      </c>
      <c r="F23536" t="s">
        <v>1361</v>
      </c>
      <c r="G23536">
        <v>236.44</v>
      </c>
      <c r="H23536">
        <v>250228</v>
      </c>
      <c r="I23536">
        <v>4500</v>
      </c>
      <c r="J23536" t="s">
        <v>312</v>
      </c>
      <c r="K23536">
        <v>236.44</v>
      </c>
      <c r="L23536">
        <v>48.04</v>
      </c>
      <c r="M23536">
        <v>13901</v>
      </c>
      <c r="N23536" t="s">
        <v>116</v>
      </c>
      <c r="O23536">
        <v>250312</v>
      </c>
      <c r="P23536">
        <v>188.4</v>
      </c>
    </row>
    <row r="23537" spans="1:16" x14ac:dyDescent="0.25">
      <c r="A23537" t="s">
        <v>3296</v>
      </c>
      <c r="B23537" t="s">
        <v>2931</v>
      </c>
      <c r="C23537">
        <v>2808</v>
      </c>
      <c r="D23537" t="str">
        <f>"36612       "</f>
        <v xml:space="preserve">36612       </v>
      </c>
      <c r="E23537" t="s">
        <v>1360</v>
      </c>
      <c r="F23537" t="s">
        <v>1361</v>
      </c>
      <c r="G23537">
        <v>928.96</v>
      </c>
      <c r="H23537">
        <v>250228</v>
      </c>
      <c r="I23537">
        <v>4500</v>
      </c>
      <c r="J23537" t="s">
        <v>312</v>
      </c>
      <c r="K23537">
        <v>985.36</v>
      </c>
      <c r="L23537">
        <v>188.75</v>
      </c>
      <c r="M23537">
        <v>11301</v>
      </c>
      <c r="N23537" t="s">
        <v>92</v>
      </c>
      <c r="O23537">
        <v>250312</v>
      </c>
      <c r="P23537">
        <v>740.21</v>
      </c>
    </row>
    <row r="23538" spans="1:16" x14ac:dyDescent="0.25">
      <c r="A23538" t="s">
        <v>3296</v>
      </c>
      <c r="B23538" t="s">
        <v>2931</v>
      </c>
      <c r="C23538">
        <v>6626</v>
      </c>
      <c r="D23538" t="str">
        <f t="shared" ref="D23538:D23545" si="536">"36743       "</f>
        <v xml:space="preserve">36743       </v>
      </c>
      <c r="E23538" t="s">
        <v>1360</v>
      </c>
      <c r="F23538" t="s">
        <v>1361</v>
      </c>
      <c r="G23538">
        <v>157.99</v>
      </c>
      <c r="H23538">
        <v>250430</v>
      </c>
      <c r="I23538">
        <v>4500</v>
      </c>
      <c r="J23538" t="s">
        <v>312</v>
      </c>
      <c r="K23538">
        <v>797.92</v>
      </c>
      <c r="L23538">
        <v>32.1</v>
      </c>
      <c r="M23538">
        <v>14121</v>
      </c>
      <c r="N23538" t="s">
        <v>71</v>
      </c>
      <c r="O23538">
        <v>250514</v>
      </c>
      <c r="P23538">
        <v>125.89</v>
      </c>
    </row>
    <row r="23539" spans="1:16" x14ac:dyDescent="0.25">
      <c r="A23539" t="s">
        <v>3296</v>
      </c>
      <c r="B23539" t="s">
        <v>2931</v>
      </c>
      <c r="C23539">
        <v>6626</v>
      </c>
      <c r="D23539" t="str">
        <f t="shared" si="536"/>
        <v xml:space="preserve">36743       </v>
      </c>
      <c r="E23539" t="s">
        <v>1360</v>
      </c>
      <c r="F23539" t="s">
        <v>1361</v>
      </c>
      <c r="G23539">
        <v>93.36</v>
      </c>
      <c r="H23539">
        <v>250430</v>
      </c>
      <c r="I23539">
        <v>4500</v>
      </c>
      <c r="J23539" t="s">
        <v>312</v>
      </c>
      <c r="K23539">
        <v>797.92</v>
      </c>
      <c r="L23539">
        <v>18.97</v>
      </c>
      <c r="M23539">
        <v>14321</v>
      </c>
      <c r="N23539" t="s">
        <v>72</v>
      </c>
      <c r="O23539">
        <v>250514</v>
      </c>
      <c r="P23539">
        <v>74.39</v>
      </c>
    </row>
    <row r="23540" spans="1:16" x14ac:dyDescent="0.25">
      <c r="A23540" t="s">
        <v>3296</v>
      </c>
      <c r="B23540" t="s">
        <v>2931</v>
      </c>
      <c r="C23540">
        <v>6626</v>
      </c>
      <c r="D23540" t="str">
        <f t="shared" si="536"/>
        <v xml:space="preserve">36743       </v>
      </c>
      <c r="E23540" t="s">
        <v>1360</v>
      </c>
      <c r="F23540" t="s">
        <v>1361</v>
      </c>
      <c r="G23540">
        <v>64.63</v>
      </c>
      <c r="H23540">
        <v>250430</v>
      </c>
      <c r="I23540">
        <v>4500</v>
      </c>
      <c r="J23540" t="s">
        <v>312</v>
      </c>
      <c r="K23540">
        <v>797.92</v>
      </c>
      <c r="L23540">
        <v>13.13</v>
      </c>
      <c r="M23540">
        <v>14422</v>
      </c>
      <c r="N23540" t="s">
        <v>73</v>
      </c>
      <c r="O23540">
        <v>250514</v>
      </c>
      <c r="P23540">
        <v>51.5</v>
      </c>
    </row>
    <row r="23541" spans="1:16" x14ac:dyDescent="0.25">
      <c r="A23541" t="s">
        <v>3296</v>
      </c>
      <c r="B23541" t="s">
        <v>2931</v>
      </c>
      <c r="C23541">
        <v>6626</v>
      </c>
      <c r="D23541" t="str">
        <f t="shared" si="536"/>
        <v xml:space="preserve">36743       </v>
      </c>
      <c r="E23541" t="s">
        <v>1360</v>
      </c>
      <c r="F23541" t="s">
        <v>1361</v>
      </c>
      <c r="G23541">
        <v>64.63</v>
      </c>
      <c r="H23541">
        <v>250430</v>
      </c>
      <c r="I23541">
        <v>4500</v>
      </c>
      <c r="J23541" t="s">
        <v>312</v>
      </c>
      <c r="K23541">
        <v>797.92</v>
      </c>
      <c r="L23541">
        <v>13.13</v>
      </c>
      <c r="M23541">
        <v>14541</v>
      </c>
      <c r="N23541" t="s">
        <v>76</v>
      </c>
      <c r="O23541">
        <v>250514</v>
      </c>
      <c r="P23541">
        <v>51.5</v>
      </c>
    </row>
    <row r="23542" spans="1:16" x14ac:dyDescent="0.25">
      <c r="A23542" t="s">
        <v>3296</v>
      </c>
      <c r="B23542" t="s">
        <v>2931</v>
      </c>
      <c r="C23542">
        <v>6626</v>
      </c>
      <c r="D23542" t="str">
        <f t="shared" si="536"/>
        <v xml:space="preserve">36743       </v>
      </c>
      <c r="E23542" t="s">
        <v>1360</v>
      </c>
      <c r="F23542" t="s">
        <v>1361</v>
      </c>
      <c r="G23542">
        <v>229.8</v>
      </c>
      <c r="H23542">
        <v>250430</v>
      </c>
      <c r="I23542">
        <v>4500</v>
      </c>
      <c r="J23542" t="s">
        <v>312</v>
      </c>
      <c r="K23542">
        <v>797.92</v>
      </c>
      <c r="L23542">
        <v>46.69</v>
      </c>
      <c r="M23542">
        <v>14622</v>
      </c>
      <c r="N23542" t="s">
        <v>77</v>
      </c>
      <c r="O23542">
        <v>250514</v>
      </c>
      <c r="P23542">
        <v>183.11</v>
      </c>
    </row>
    <row r="23543" spans="1:16" x14ac:dyDescent="0.25">
      <c r="A23543" t="s">
        <v>3296</v>
      </c>
      <c r="B23543" t="s">
        <v>2931</v>
      </c>
      <c r="C23543">
        <v>6626</v>
      </c>
      <c r="D23543" t="str">
        <f t="shared" si="536"/>
        <v xml:space="preserve">36743       </v>
      </c>
      <c r="E23543" t="s">
        <v>1360</v>
      </c>
      <c r="F23543" t="s">
        <v>1361</v>
      </c>
      <c r="G23543">
        <v>57.45</v>
      </c>
      <c r="H23543">
        <v>250430</v>
      </c>
      <c r="I23543">
        <v>4500</v>
      </c>
      <c r="J23543" t="s">
        <v>312</v>
      </c>
      <c r="K23543">
        <v>797.92</v>
      </c>
      <c r="L23543">
        <v>11.67</v>
      </c>
      <c r="M23543">
        <v>14640</v>
      </c>
      <c r="N23543" t="s">
        <v>78</v>
      </c>
      <c r="O23543">
        <v>250514</v>
      </c>
      <c r="P23543">
        <v>45.78</v>
      </c>
    </row>
    <row r="23544" spans="1:16" x14ac:dyDescent="0.25">
      <c r="A23544" t="s">
        <v>3296</v>
      </c>
      <c r="B23544" t="s">
        <v>2931</v>
      </c>
      <c r="C23544">
        <v>6626</v>
      </c>
      <c r="D23544" t="str">
        <f t="shared" si="536"/>
        <v xml:space="preserve">36743       </v>
      </c>
      <c r="E23544" t="s">
        <v>1360</v>
      </c>
      <c r="F23544" t="s">
        <v>1361</v>
      </c>
      <c r="G23544">
        <v>50.27</v>
      </c>
      <c r="H23544">
        <v>250430</v>
      </c>
      <c r="I23544">
        <v>4500</v>
      </c>
      <c r="J23544" t="s">
        <v>312</v>
      </c>
      <c r="K23544">
        <v>797.92</v>
      </c>
      <c r="L23544">
        <v>10.210000000000001</v>
      </c>
      <c r="M23544">
        <v>14861</v>
      </c>
      <c r="N23544" t="s">
        <v>79</v>
      </c>
      <c r="O23544">
        <v>250514</v>
      </c>
      <c r="P23544">
        <v>40.06</v>
      </c>
    </row>
    <row r="23545" spans="1:16" x14ac:dyDescent="0.25">
      <c r="A23545" t="s">
        <v>3296</v>
      </c>
      <c r="B23545" t="s">
        <v>2931</v>
      </c>
      <c r="C23545">
        <v>6626</v>
      </c>
      <c r="D23545" t="str">
        <f t="shared" si="536"/>
        <v xml:space="preserve">36743       </v>
      </c>
      <c r="E23545" t="s">
        <v>1360</v>
      </c>
      <c r="F23545" t="s">
        <v>1361</v>
      </c>
      <c r="G23545">
        <v>79.790000000000006</v>
      </c>
      <c r="H23545">
        <v>250430</v>
      </c>
      <c r="I23545">
        <v>4500</v>
      </c>
      <c r="J23545" t="s">
        <v>312</v>
      </c>
      <c r="K23545">
        <v>797.92</v>
      </c>
      <c r="L23545">
        <v>16.21</v>
      </c>
      <c r="M23545">
        <v>14972</v>
      </c>
      <c r="N23545" t="s">
        <v>82</v>
      </c>
      <c r="O23545">
        <v>250514</v>
      </c>
      <c r="P23545">
        <v>63.58</v>
      </c>
    </row>
    <row r="23546" spans="1:16" x14ac:dyDescent="0.25">
      <c r="A23546" t="s">
        <v>3296</v>
      </c>
      <c r="B23546" t="s">
        <v>2931</v>
      </c>
      <c r="C23546">
        <v>11175</v>
      </c>
      <c r="D23546" t="str">
        <f>"36968       "</f>
        <v xml:space="preserve">36968       </v>
      </c>
      <c r="E23546" t="s">
        <v>1360</v>
      </c>
      <c r="F23546" t="s">
        <v>1361</v>
      </c>
      <c r="G23546">
        <v>196.28</v>
      </c>
      <c r="H23546">
        <v>250831</v>
      </c>
      <c r="I23546">
        <v>4500</v>
      </c>
      <c r="J23546" t="s">
        <v>312</v>
      </c>
      <c r="K23546">
        <v>196.28</v>
      </c>
      <c r="L23546">
        <v>39.880000000000003</v>
      </c>
      <c r="M23546">
        <v>17971</v>
      </c>
      <c r="N23546" t="s">
        <v>27</v>
      </c>
      <c r="O23546">
        <v>250901</v>
      </c>
      <c r="P23546">
        <v>156.4</v>
      </c>
    </row>
    <row r="23547" spans="1:16" x14ac:dyDescent="0.25">
      <c r="A23547" t="s">
        <v>3296</v>
      </c>
      <c r="B23547" t="s">
        <v>2931</v>
      </c>
      <c r="C23547">
        <v>8169</v>
      </c>
      <c r="D23547" t="str">
        <f>"526197      "</f>
        <v xml:space="preserve">526197      </v>
      </c>
      <c r="E23547" t="s">
        <v>2019</v>
      </c>
      <c r="F23547" t="s">
        <v>533</v>
      </c>
      <c r="G23547">
        <v>404.26</v>
      </c>
      <c r="H23547">
        <v>250531</v>
      </c>
      <c r="I23547">
        <v>4412</v>
      </c>
      <c r="J23547" t="s">
        <v>884</v>
      </c>
      <c r="K23547">
        <v>768.1</v>
      </c>
      <c r="L23547">
        <v>49.65</v>
      </c>
      <c r="M23547">
        <v>13601</v>
      </c>
      <c r="N23547" t="s">
        <v>115</v>
      </c>
      <c r="O23547">
        <v>250611</v>
      </c>
      <c r="P23547">
        <v>354.61</v>
      </c>
    </row>
    <row r="23548" spans="1:16" x14ac:dyDescent="0.25">
      <c r="A23548" t="s">
        <v>3296</v>
      </c>
      <c r="B23548" t="s">
        <v>2931</v>
      </c>
      <c r="C23548">
        <v>8169</v>
      </c>
      <c r="D23548" t="str">
        <f>"526197      "</f>
        <v xml:space="preserve">526197      </v>
      </c>
      <c r="E23548" t="s">
        <v>2019</v>
      </c>
      <c r="F23548" t="s">
        <v>533</v>
      </c>
      <c r="G23548">
        <v>363.84</v>
      </c>
      <c r="H23548">
        <v>250531</v>
      </c>
      <c r="I23548">
        <v>4412</v>
      </c>
      <c r="J23548" t="s">
        <v>884</v>
      </c>
      <c r="K23548">
        <v>768.1</v>
      </c>
      <c r="L23548">
        <v>44.68</v>
      </c>
      <c r="M23548">
        <v>13801</v>
      </c>
      <c r="N23548" t="s">
        <v>33</v>
      </c>
      <c r="O23548">
        <v>250611</v>
      </c>
      <c r="P23548">
        <v>319.16000000000003</v>
      </c>
    </row>
    <row r="23549" spans="1:16" x14ac:dyDescent="0.25">
      <c r="A23549" t="s">
        <v>3296</v>
      </c>
      <c r="B23549" t="s">
        <v>2931</v>
      </c>
      <c r="C23549">
        <v>8779</v>
      </c>
      <c r="D23549" t="str">
        <f>"90000508    "</f>
        <v xml:space="preserve">90000508    </v>
      </c>
      <c r="E23549" t="s">
        <v>2019</v>
      </c>
      <c r="F23549" t="s">
        <v>533</v>
      </c>
      <c r="G23549">
        <v>49</v>
      </c>
      <c r="H23549">
        <v>250609</v>
      </c>
      <c r="I23549">
        <v>4440</v>
      </c>
      <c r="J23549" t="s">
        <v>346</v>
      </c>
      <c r="K23549">
        <v>49</v>
      </c>
      <c r="L23549">
        <v>6.02</v>
      </c>
      <c r="M23549">
        <v>58601</v>
      </c>
      <c r="N23549" t="s">
        <v>59</v>
      </c>
      <c r="O23549">
        <v>250618</v>
      </c>
      <c r="P23549">
        <v>42.98</v>
      </c>
    </row>
    <row r="23550" spans="1:16" x14ac:dyDescent="0.25">
      <c r="A23550" t="s">
        <v>3296</v>
      </c>
      <c r="B23550" t="s">
        <v>2931</v>
      </c>
      <c r="C23550">
        <v>9304</v>
      </c>
      <c r="D23550" t="str">
        <f>"50304       "</f>
        <v xml:space="preserve">50304       </v>
      </c>
      <c r="E23550" t="s">
        <v>837</v>
      </c>
      <c r="F23550" t="s">
        <v>838</v>
      </c>
      <c r="G23550">
        <v>1171.8599999999999</v>
      </c>
      <c r="H23550">
        <v>250626</v>
      </c>
      <c r="I23550">
        <v>4390</v>
      </c>
      <c r="J23550" t="s">
        <v>232</v>
      </c>
      <c r="K23550">
        <v>3515.6</v>
      </c>
      <c r="L23550">
        <v>0</v>
      </c>
      <c r="M23550">
        <v>11401</v>
      </c>
      <c r="N23550" t="s">
        <v>91</v>
      </c>
      <c r="O23550">
        <v>250703</v>
      </c>
      <c r="P23550">
        <v>1171.8599999999999</v>
      </c>
    </row>
    <row r="23551" spans="1:16" x14ac:dyDescent="0.25">
      <c r="A23551" t="s">
        <v>3296</v>
      </c>
      <c r="B23551" t="s">
        <v>2931</v>
      </c>
      <c r="C23551">
        <v>9304</v>
      </c>
      <c r="D23551" t="str">
        <f>"50304       "</f>
        <v xml:space="preserve">50304       </v>
      </c>
      <c r="E23551" t="s">
        <v>837</v>
      </c>
      <c r="F23551" t="s">
        <v>838</v>
      </c>
      <c r="G23551">
        <v>2343.7399999999998</v>
      </c>
      <c r="H23551">
        <v>250626</v>
      </c>
      <c r="I23551">
        <v>4390</v>
      </c>
      <c r="J23551" t="s">
        <v>232</v>
      </c>
      <c r="K23551">
        <v>3515.6</v>
      </c>
      <c r="L23551">
        <v>0</v>
      </c>
      <c r="M23551">
        <v>14952</v>
      </c>
      <c r="N23551" t="s">
        <v>213</v>
      </c>
      <c r="O23551">
        <v>250703</v>
      </c>
      <c r="P23551">
        <v>2343.7399999999998</v>
      </c>
    </row>
    <row r="23552" spans="1:16" x14ac:dyDescent="0.25">
      <c r="A23552" t="s">
        <v>3296</v>
      </c>
      <c r="B23552" t="s">
        <v>2931</v>
      </c>
      <c r="C23552">
        <v>4459</v>
      </c>
      <c r="D23552" t="str">
        <f>"49746       "</f>
        <v xml:space="preserve">49746       </v>
      </c>
      <c r="E23552" t="s">
        <v>837</v>
      </c>
      <c r="F23552" t="s">
        <v>838</v>
      </c>
      <c r="G23552">
        <v>391.36</v>
      </c>
      <c r="H23552">
        <v>250331</v>
      </c>
      <c r="I23552">
        <v>4400</v>
      </c>
      <c r="J23552" t="s">
        <v>162</v>
      </c>
      <c r="K23552">
        <v>3197.08</v>
      </c>
      <c r="L23552">
        <v>79.52</v>
      </c>
      <c r="M23552">
        <v>11401</v>
      </c>
      <c r="N23552" t="s">
        <v>91</v>
      </c>
      <c r="O23552">
        <v>250411</v>
      </c>
      <c r="P23552">
        <v>311.83999999999997</v>
      </c>
    </row>
    <row r="23553" spans="1:16" x14ac:dyDescent="0.25">
      <c r="A23553" t="s">
        <v>3296</v>
      </c>
      <c r="B23553" t="s">
        <v>2931</v>
      </c>
      <c r="C23553">
        <v>4459</v>
      </c>
      <c r="D23553" t="str">
        <f>"49746       "</f>
        <v xml:space="preserve">49746       </v>
      </c>
      <c r="E23553" t="s">
        <v>837</v>
      </c>
      <c r="F23553" t="s">
        <v>838</v>
      </c>
      <c r="G23553">
        <v>782.72</v>
      </c>
      <c r="H23553">
        <v>250331</v>
      </c>
      <c r="I23553">
        <v>4400</v>
      </c>
      <c r="J23553" t="s">
        <v>162</v>
      </c>
      <c r="K23553">
        <v>3197.08</v>
      </c>
      <c r="L23553">
        <v>159.04</v>
      </c>
      <c r="M23553">
        <v>14952</v>
      </c>
      <c r="N23553" t="s">
        <v>213</v>
      </c>
      <c r="O23553">
        <v>250411</v>
      </c>
      <c r="P23553">
        <v>623.67999999999995</v>
      </c>
    </row>
    <row r="23554" spans="1:16" x14ac:dyDescent="0.25">
      <c r="A23554" t="s">
        <v>3296</v>
      </c>
      <c r="B23554" t="s">
        <v>2931</v>
      </c>
      <c r="C23554">
        <v>8385</v>
      </c>
      <c r="D23554" t="str">
        <f>"50191       "</f>
        <v xml:space="preserve">50191       </v>
      </c>
      <c r="E23554" t="s">
        <v>837</v>
      </c>
      <c r="F23554" t="s">
        <v>838</v>
      </c>
      <c r="G23554">
        <v>50</v>
      </c>
      <c r="H23554">
        <v>250531</v>
      </c>
      <c r="I23554">
        <v>4400</v>
      </c>
      <c r="J23554" t="s">
        <v>162</v>
      </c>
      <c r="K23554">
        <v>50</v>
      </c>
      <c r="L23554">
        <v>10.16</v>
      </c>
      <c r="M23554">
        <v>56558</v>
      </c>
      <c r="N23554" t="s">
        <v>50</v>
      </c>
      <c r="O23554">
        <v>250613</v>
      </c>
      <c r="P23554">
        <v>39.840000000000003</v>
      </c>
    </row>
    <row r="23555" spans="1:16" x14ac:dyDescent="0.25">
      <c r="A23555" t="s">
        <v>3296</v>
      </c>
      <c r="B23555" t="s">
        <v>2931</v>
      </c>
      <c r="C23555">
        <v>16339</v>
      </c>
      <c r="D23555" t="str">
        <f>"51502       "</f>
        <v xml:space="preserve">51502       </v>
      </c>
      <c r="E23555" t="s">
        <v>837</v>
      </c>
      <c r="F23555" t="s">
        <v>838</v>
      </c>
      <c r="G23555">
        <v>500.68</v>
      </c>
      <c r="H23555">
        <v>251130</v>
      </c>
      <c r="I23555">
        <v>4400</v>
      </c>
      <c r="J23555" t="s">
        <v>162</v>
      </c>
      <c r="K23555">
        <v>500.68</v>
      </c>
      <c r="L23555">
        <v>101.73</v>
      </c>
      <c r="M23555">
        <v>59504</v>
      </c>
      <c r="N23555" t="s">
        <v>193</v>
      </c>
      <c r="O23555">
        <v>251208</v>
      </c>
      <c r="P23555">
        <v>398.95</v>
      </c>
    </row>
    <row r="23556" spans="1:16" x14ac:dyDescent="0.25">
      <c r="A23556" t="s">
        <v>3296</v>
      </c>
      <c r="B23556" t="s">
        <v>2931</v>
      </c>
      <c r="C23556">
        <v>4459</v>
      </c>
      <c r="D23556" t="str">
        <f>"49746       "</f>
        <v xml:space="preserve">49746       </v>
      </c>
      <c r="E23556" t="s">
        <v>837</v>
      </c>
      <c r="F23556" t="s">
        <v>838</v>
      </c>
      <c r="G23556">
        <v>674.33</v>
      </c>
      <c r="H23556">
        <v>250331</v>
      </c>
      <c r="I23556">
        <v>4580</v>
      </c>
      <c r="J23556" t="s">
        <v>126</v>
      </c>
      <c r="K23556">
        <v>3197.08</v>
      </c>
      <c r="L23556">
        <v>137.02000000000001</v>
      </c>
      <c r="M23556">
        <v>11401</v>
      </c>
      <c r="N23556" t="s">
        <v>91</v>
      </c>
      <c r="O23556">
        <v>250411</v>
      </c>
      <c r="P23556">
        <v>537.30999999999995</v>
      </c>
    </row>
    <row r="23557" spans="1:16" x14ac:dyDescent="0.25">
      <c r="A23557" t="s">
        <v>3296</v>
      </c>
      <c r="B23557" t="s">
        <v>2931</v>
      </c>
      <c r="C23557">
        <v>4459</v>
      </c>
      <c r="D23557" t="str">
        <f>"49746       "</f>
        <v xml:space="preserve">49746       </v>
      </c>
      <c r="E23557" t="s">
        <v>837</v>
      </c>
      <c r="F23557" t="s">
        <v>838</v>
      </c>
      <c r="G23557">
        <v>1348.67</v>
      </c>
      <c r="H23557">
        <v>250331</v>
      </c>
      <c r="I23557">
        <v>4580</v>
      </c>
      <c r="J23557" t="s">
        <v>126</v>
      </c>
      <c r="K23557">
        <v>3197.08</v>
      </c>
      <c r="L23557">
        <v>274.02999999999997</v>
      </c>
      <c r="M23557">
        <v>14952</v>
      </c>
      <c r="N23557" t="s">
        <v>213</v>
      </c>
      <c r="O23557">
        <v>250411</v>
      </c>
      <c r="P23557">
        <v>1074.6400000000001</v>
      </c>
    </row>
    <row r="23558" spans="1:16" x14ac:dyDescent="0.25">
      <c r="A23558" t="s">
        <v>3296</v>
      </c>
      <c r="B23558" t="s">
        <v>2931</v>
      </c>
      <c r="C23558">
        <v>1075</v>
      </c>
      <c r="D23558" t="str">
        <f>"49296       "</f>
        <v xml:space="preserve">49296       </v>
      </c>
      <c r="E23558" t="s">
        <v>837</v>
      </c>
      <c r="F23558" t="s">
        <v>838</v>
      </c>
      <c r="G23558">
        <v>660.76</v>
      </c>
      <c r="H23558">
        <v>250117</v>
      </c>
      <c r="I23558">
        <v>4600</v>
      </c>
      <c r="J23558" t="s">
        <v>278</v>
      </c>
      <c r="K23558">
        <v>660.76</v>
      </c>
      <c r="L23558">
        <v>134.26</v>
      </c>
      <c r="M23558">
        <v>56560</v>
      </c>
      <c r="N23558" t="s">
        <v>52</v>
      </c>
      <c r="O23558">
        <v>250204</v>
      </c>
      <c r="P23558">
        <v>526.5</v>
      </c>
    </row>
    <row r="23559" spans="1:16" x14ac:dyDescent="0.25">
      <c r="A23559" t="s">
        <v>3296</v>
      </c>
      <c r="B23559" t="s">
        <v>2931</v>
      </c>
      <c r="C23559">
        <v>3896</v>
      </c>
      <c r="D23559" t="str">
        <f>"49682       "</f>
        <v xml:space="preserve">49682       </v>
      </c>
      <c r="E23559" t="s">
        <v>837</v>
      </c>
      <c r="F23559" t="s">
        <v>838</v>
      </c>
      <c r="G23559">
        <v>20.329999999999998</v>
      </c>
      <c r="H23559">
        <v>250320</v>
      </c>
      <c r="I23559">
        <v>4600</v>
      </c>
      <c r="J23559" t="s">
        <v>278</v>
      </c>
      <c r="K23559">
        <v>20.329999999999998</v>
      </c>
      <c r="L23559">
        <v>4.13</v>
      </c>
      <c r="M23559">
        <v>59501</v>
      </c>
      <c r="N23559" t="s">
        <v>62</v>
      </c>
      <c r="O23559">
        <v>250403</v>
      </c>
      <c r="P23559">
        <v>16.2</v>
      </c>
    </row>
    <row r="23560" spans="1:16" x14ac:dyDescent="0.25">
      <c r="A23560" t="s">
        <v>3296</v>
      </c>
      <c r="B23560" t="s">
        <v>2931</v>
      </c>
      <c r="C23560">
        <v>7131</v>
      </c>
      <c r="D23560" t="str">
        <f>"50070       "</f>
        <v xml:space="preserve">50070       </v>
      </c>
      <c r="E23560" t="s">
        <v>837</v>
      </c>
      <c r="F23560" t="s">
        <v>838</v>
      </c>
      <c r="G23560">
        <v>44</v>
      </c>
      <c r="H23560">
        <v>250520</v>
      </c>
      <c r="I23560">
        <v>4600</v>
      </c>
      <c r="J23560" t="s">
        <v>278</v>
      </c>
      <c r="K23560">
        <v>44</v>
      </c>
      <c r="L23560">
        <v>8.94</v>
      </c>
      <c r="M23560">
        <v>56558</v>
      </c>
      <c r="N23560" t="s">
        <v>50</v>
      </c>
      <c r="O23560">
        <v>250523</v>
      </c>
      <c r="P23560">
        <v>35.06</v>
      </c>
    </row>
    <row r="23561" spans="1:16" x14ac:dyDescent="0.25">
      <c r="A23561" t="s">
        <v>3296</v>
      </c>
      <c r="B23561" t="s">
        <v>2931</v>
      </c>
      <c r="C23561">
        <v>7426</v>
      </c>
      <c r="D23561" t="str">
        <f>"50071       "</f>
        <v xml:space="preserve">50071       </v>
      </c>
      <c r="E23561" t="s">
        <v>837</v>
      </c>
      <c r="F23561" t="s">
        <v>838</v>
      </c>
      <c r="G23561">
        <v>104.48</v>
      </c>
      <c r="H23561">
        <v>250520</v>
      </c>
      <c r="I23561">
        <v>4600</v>
      </c>
      <c r="J23561" t="s">
        <v>278</v>
      </c>
      <c r="K23561">
        <v>149.29</v>
      </c>
      <c r="L23561">
        <v>21.23</v>
      </c>
      <c r="M23561">
        <v>56560</v>
      </c>
      <c r="N23561" t="s">
        <v>52</v>
      </c>
      <c r="O23561">
        <v>250603</v>
      </c>
      <c r="P23561">
        <v>83.25</v>
      </c>
    </row>
    <row r="23562" spans="1:16" x14ac:dyDescent="0.25">
      <c r="A23562" t="s">
        <v>3296</v>
      </c>
      <c r="B23562" t="s">
        <v>2931</v>
      </c>
      <c r="C23562">
        <v>7426</v>
      </c>
      <c r="D23562" t="str">
        <f>"50071       "</f>
        <v xml:space="preserve">50071       </v>
      </c>
      <c r="E23562" t="s">
        <v>837</v>
      </c>
      <c r="F23562" t="s">
        <v>838</v>
      </c>
      <c r="G23562">
        <v>44.81</v>
      </c>
      <c r="H23562">
        <v>250520</v>
      </c>
      <c r="I23562">
        <v>4600</v>
      </c>
      <c r="J23562" t="s">
        <v>278</v>
      </c>
      <c r="K23562">
        <v>149.29</v>
      </c>
      <c r="L23562">
        <v>9.1</v>
      </c>
      <c r="M23562">
        <v>59501</v>
      </c>
      <c r="N23562" t="s">
        <v>62</v>
      </c>
      <c r="O23562">
        <v>250603</v>
      </c>
      <c r="P23562">
        <v>35.71</v>
      </c>
    </row>
    <row r="23563" spans="1:16" x14ac:dyDescent="0.25">
      <c r="A23563" t="s">
        <v>3296</v>
      </c>
      <c r="B23563" t="s">
        <v>2931</v>
      </c>
      <c r="C23563">
        <v>7427</v>
      </c>
      <c r="D23563" t="str">
        <f>"50096       "</f>
        <v xml:space="preserve">50096       </v>
      </c>
      <c r="E23563" t="s">
        <v>837</v>
      </c>
      <c r="F23563" t="s">
        <v>838</v>
      </c>
      <c r="G23563">
        <v>1772.1</v>
      </c>
      <c r="H23563">
        <v>250522</v>
      </c>
      <c r="I23563">
        <v>4600</v>
      </c>
      <c r="J23563" t="s">
        <v>278</v>
      </c>
      <c r="K23563">
        <v>1772.1</v>
      </c>
      <c r="L23563">
        <v>360.07</v>
      </c>
      <c r="M23563">
        <v>56560</v>
      </c>
      <c r="N23563" t="s">
        <v>52</v>
      </c>
      <c r="O23563">
        <v>250603</v>
      </c>
      <c r="P23563">
        <v>1412.03</v>
      </c>
    </row>
    <row r="23564" spans="1:16" x14ac:dyDescent="0.25">
      <c r="A23564" t="s">
        <v>3296</v>
      </c>
      <c r="B23564" t="s">
        <v>2931</v>
      </c>
      <c r="C23564">
        <v>7719</v>
      </c>
      <c r="D23564" t="str">
        <f>"50129       "</f>
        <v xml:space="preserve">50129       </v>
      </c>
      <c r="E23564" t="s">
        <v>837</v>
      </c>
      <c r="F23564" t="s">
        <v>838</v>
      </c>
      <c r="G23564">
        <v>376.5</v>
      </c>
      <c r="H23564">
        <v>250528</v>
      </c>
      <c r="I23564">
        <v>4600</v>
      </c>
      <c r="J23564" t="s">
        <v>278</v>
      </c>
      <c r="K23564">
        <v>376.5</v>
      </c>
      <c r="L23564">
        <v>76.5</v>
      </c>
      <c r="M23564">
        <v>56560</v>
      </c>
      <c r="N23564" t="s">
        <v>52</v>
      </c>
      <c r="O23564">
        <v>250609</v>
      </c>
      <c r="P23564">
        <v>300</v>
      </c>
    </row>
    <row r="23565" spans="1:16" x14ac:dyDescent="0.25">
      <c r="A23565" t="s">
        <v>3296</v>
      </c>
      <c r="B23565" t="s">
        <v>2931</v>
      </c>
      <c r="C23565">
        <v>7772</v>
      </c>
      <c r="D23565" t="str">
        <f>"50128       "</f>
        <v xml:space="preserve">50128       </v>
      </c>
      <c r="E23565" t="s">
        <v>837</v>
      </c>
      <c r="F23565" t="s">
        <v>838</v>
      </c>
      <c r="G23565">
        <v>9</v>
      </c>
      <c r="H23565">
        <v>250528</v>
      </c>
      <c r="I23565">
        <v>4600</v>
      </c>
      <c r="J23565" t="s">
        <v>278</v>
      </c>
      <c r="K23565">
        <v>9</v>
      </c>
      <c r="L23565">
        <v>1.83</v>
      </c>
      <c r="M23565">
        <v>55222</v>
      </c>
      <c r="N23565" t="s">
        <v>43</v>
      </c>
      <c r="O23565">
        <v>250609</v>
      </c>
      <c r="P23565">
        <v>7.17</v>
      </c>
    </row>
    <row r="23566" spans="1:16" x14ac:dyDescent="0.25">
      <c r="A23566" t="s">
        <v>3296</v>
      </c>
      <c r="B23566" t="s">
        <v>2931</v>
      </c>
      <c r="C23566">
        <v>13001</v>
      </c>
      <c r="D23566" t="str">
        <f>"50990       "</f>
        <v xml:space="preserve">50990       </v>
      </c>
      <c r="E23566" t="s">
        <v>837</v>
      </c>
      <c r="F23566" t="s">
        <v>838</v>
      </c>
      <c r="G23566">
        <v>792.93</v>
      </c>
      <c r="H23566">
        <v>250930</v>
      </c>
      <c r="I23566">
        <v>4600</v>
      </c>
      <c r="J23566" t="s">
        <v>278</v>
      </c>
      <c r="K23566">
        <v>792.93</v>
      </c>
      <c r="L23566">
        <v>161.11000000000001</v>
      </c>
      <c r="M23566">
        <v>56560</v>
      </c>
      <c r="N23566" t="s">
        <v>52</v>
      </c>
      <c r="O23566">
        <v>251003</v>
      </c>
      <c r="P23566">
        <v>631.82000000000005</v>
      </c>
    </row>
    <row r="23567" spans="1:16" x14ac:dyDescent="0.25">
      <c r="A23567" t="s">
        <v>3296</v>
      </c>
      <c r="B23567" t="s">
        <v>2931</v>
      </c>
      <c r="C23567">
        <v>16013</v>
      </c>
      <c r="D23567" t="str">
        <f>"51503       "</f>
        <v xml:space="preserve">51503       </v>
      </c>
      <c r="E23567" t="s">
        <v>837</v>
      </c>
      <c r="F23567" t="s">
        <v>838</v>
      </c>
      <c r="G23567">
        <v>1424.24</v>
      </c>
      <c r="H23567">
        <v>251121</v>
      </c>
      <c r="I23567">
        <v>4600</v>
      </c>
      <c r="J23567" t="s">
        <v>278</v>
      </c>
      <c r="K23567">
        <v>1424.24</v>
      </c>
      <c r="L23567">
        <v>289.39</v>
      </c>
      <c r="M23567">
        <v>56560</v>
      </c>
      <c r="N23567" t="s">
        <v>52</v>
      </c>
      <c r="O23567">
        <v>251202</v>
      </c>
      <c r="P23567">
        <v>1134.8499999999999</v>
      </c>
    </row>
    <row r="23568" spans="1:16" x14ac:dyDescent="0.25">
      <c r="A23568" t="s">
        <v>3296</v>
      </c>
      <c r="B23568" t="s">
        <v>2931</v>
      </c>
      <c r="C23568">
        <v>16925</v>
      </c>
      <c r="D23568" t="str">
        <f>"51697       "</f>
        <v xml:space="preserve">51697       </v>
      </c>
      <c r="E23568" t="s">
        <v>837</v>
      </c>
      <c r="F23568" t="s">
        <v>838</v>
      </c>
      <c r="G23568">
        <v>788.93</v>
      </c>
      <c r="H23568">
        <v>251130</v>
      </c>
      <c r="I23568">
        <v>4600</v>
      </c>
      <c r="J23568" t="s">
        <v>278</v>
      </c>
      <c r="K23568">
        <v>788.93</v>
      </c>
      <c r="L23568">
        <v>160.30000000000001</v>
      </c>
      <c r="M23568">
        <v>56560</v>
      </c>
      <c r="N23568" t="s">
        <v>52</v>
      </c>
      <c r="O23568">
        <v>251216</v>
      </c>
      <c r="P23568">
        <v>628.63</v>
      </c>
    </row>
    <row r="23569" spans="1:16" x14ac:dyDescent="0.25">
      <c r="A23569" t="s">
        <v>3296</v>
      </c>
      <c r="B23569" t="s">
        <v>2931</v>
      </c>
      <c r="C23569">
        <v>17072</v>
      </c>
      <c r="D23569" t="str">
        <f>"51575       "</f>
        <v xml:space="preserve">51575       </v>
      </c>
      <c r="E23569" t="s">
        <v>837</v>
      </c>
      <c r="F23569" t="s">
        <v>838</v>
      </c>
      <c r="G23569">
        <v>99.4</v>
      </c>
      <c r="H23569">
        <v>251130</v>
      </c>
      <c r="I23569">
        <v>4600</v>
      </c>
      <c r="J23569" t="s">
        <v>278</v>
      </c>
      <c r="K23569">
        <v>99.4</v>
      </c>
      <c r="L23569">
        <v>20.2</v>
      </c>
      <c r="M23569">
        <v>59501</v>
      </c>
      <c r="N23569" t="s">
        <v>62</v>
      </c>
      <c r="O23569">
        <v>251216</v>
      </c>
      <c r="P23569">
        <v>79.2</v>
      </c>
    </row>
    <row r="23570" spans="1:16" x14ac:dyDescent="0.25">
      <c r="A23570" t="s">
        <v>3296</v>
      </c>
      <c r="B23570" t="s">
        <v>2931</v>
      </c>
      <c r="C23570">
        <v>208</v>
      </c>
      <c r="D23570" t="str">
        <f>"V/2025/00094"</f>
        <v>V/2025/00094</v>
      </c>
      <c r="E23570" t="s">
        <v>335</v>
      </c>
      <c r="F23570" t="s">
        <v>336</v>
      </c>
      <c r="G23570">
        <v>337.54</v>
      </c>
      <c r="H23570">
        <v>250103</v>
      </c>
      <c r="I23570">
        <v>4580</v>
      </c>
      <c r="J23570" t="s">
        <v>126</v>
      </c>
      <c r="K23570">
        <v>337.54</v>
      </c>
      <c r="L23570">
        <v>68.58</v>
      </c>
      <c r="M23570">
        <v>17521</v>
      </c>
      <c r="N23570" t="s">
        <v>136</v>
      </c>
      <c r="O23570">
        <v>250116</v>
      </c>
      <c r="P23570">
        <v>268.95999999999998</v>
      </c>
    </row>
    <row r="23571" spans="1:16" x14ac:dyDescent="0.25">
      <c r="A23571" t="s">
        <v>3296</v>
      </c>
      <c r="B23571" t="s">
        <v>2931</v>
      </c>
      <c r="C23571">
        <v>528</v>
      </c>
      <c r="D23571" t="str">
        <f>"V/2025/00236"</f>
        <v>V/2025/00236</v>
      </c>
      <c r="E23571" t="s">
        <v>335</v>
      </c>
      <c r="F23571" t="s">
        <v>336</v>
      </c>
      <c r="G23571">
        <v>195.03</v>
      </c>
      <c r="H23571">
        <v>250108</v>
      </c>
      <c r="I23571">
        <v>4580</v>
      </c>
      <c r="J23571" t="s">
        <v>126</v>
      </c>
      <c r="K23571">
        <v>195.03</v>
      </c>
      <c r="L23571">
        <v>39.630000000000003</v>
      </c>
      <c r="M23571">
        <v>56558</v>
      </c>
      <c r="N23571" t="s">
        <v>50</v>
      </c>
      <c r="O23571">
        <v>250123</v>
      </c>
      <c r="P23571">
        <v>155.4</v>
      </c>
    </row>
    <row r="23572" spans="1:16" x14ac:dyDescent="0.25">
      <c r="A23572" t="s">
        <v>3296</v>
      </c>
      <c r="B23572" t="s">
        <v>2931</v>
      </c>
      <c r="C23572">
        <v>733</v>
      </c>
      <c r="D23572" t="str">
        <f>"V/2025/00351"</f>
        <v>V/2025/00351</v>
      </c>
      <c r="E23572" t="s">
        <v>335</v>
      </c>
      <c r="F23572" t="s">
        <v>336</v>
      </c>
      <c r="G23572">
        <v>97.89</v>
      </c>
      <c r="H23572">
        <v>250110</v>
      </c>
      <c r="I23572">
        <v>4580</v>
      </c>
      <c r="J23572" t="s">
        <v>126</v>
      </c>
      <c r="K23572">
        <v>195.78</v>
      </c>
      <c r="L23572">
        <v>19.89</v>
      </c>
      <c r="M23572">
        <v>17525</v>
      </c>
      <c r="N23572" t="s">
        <v>140</v>
      </c>
      <c r="O23572">
        <v>250128</v>
      </c>
      <c r="P23572">
        <v>78</v>
      </c>
    </row>
    <row r="23573" spans="1:16" x14ac:dyDescent="0.25">
      <c r="A23573" t="s">
        <v>3296</v>
      </c>
      <c r="B23573" t="s">
        <v>2931</v>
      </c>
      <c r="C23573">
        <v>1094</v>
      </c>
      <c r="D23573" t="str">
        <f>"V/2025/00646"</f>
        <v>V/2025/00646</v>
      </c>
      <c r="E23573" t="s">
        <v>335</v>
      </c>
      <c r="F23573" t="s">
        <v>336</v>
      </c>
      <c r="G23573">
        <v>230.92</v>
      </c>
      <c r="H23573">
        <v>250115</v>
      </c>
      <c r="I23573">
        <v>4580</v>
      </c>
      <c r="J23573" t="s">
        <v>126</v>
      </c>
      <c r="K23573">
        <v>230.92</v>
      </c>
      <c r="L23573">
        <v>46.92</v>
      </c>
      <c r="M23573">
        <v>56558</v>
      </c>
      <c r="N23573" t="s">
        <v>50</v>
      </c>
      <c r="O23573">
        <v>250204</v>
      </c>
      <c r="P23573">
        <v>184</v>
      </c>
    </row>
    <row r="23574" spans="1:16" x14ac:dyDescent="0.25">
      <c r="A23574" t="s">
        <v>3296</v>
      </c>
      <c r="B23574" t="s">
        <v>2931</v>
      </c>
      <c r="C23574">
        <v>1102</v>
      </c>
      <c r="D23574" t="str">
        <f>"V/2025/00634"</f>
        <v>V/2025/00634</v>
      </c>
      <c r="E23574" t="s">
        <v>335</v>
      </c>
      <c r="F23574" t="s">
        <v>336</v>
      </c>
      <c r="G23574">
        <v>48.69</v>
      </c>
      <c r="H23574">
        <v>250115</v>
      </c>
      <c r="I23574">
        <v>4580</v>
      </c>
      <c r="J23574" t="s">
        <v>126</v>
      </c>
      <c r="K23574">
        <v>48.69</v>
      </c>
      <c r="L23574">
        <v>9.89</v>
      </c>
      <c r="M23574">
        <v>56558</v>
      </c>
      <c r="N23574" t="s">
        <v>50</v>
      </c>
      <c r="O23574">
        <v>250204</v>
      </c>
      <c r="P23574">
        <v>38.799999999999997</v>
      </c>
    </row>
    <row r="23575" spans="1:16" x14ac:dyDescent="0.25">
      <c r="A23575" t="s">
        <v>3296</v>
      </c>
      <c r="B23575" t="s">
        <v>2931</v>
      </c>
      <c r="C23575">
        <v>1105</v>
      </c>
      <c r="D23575" t="str">
        <f>"V/2025/00838"</f>
        <v>V/2025/00838</v>
      </c>
      <c r="E23575" t="s">
        <v>335</v>
      </c>
      <c r="F23575" t="s">
        <v>336</v>
      </c>
      <c r="G23575">
        <v>208.89</v>
      </c>
      <c r="H23575">
        <v>250117</v>
      </c>
      <c r="I23575">
        <v>4580</v>
      </c>
      <c r="J23575" t="s">
        <v>126</v>
      </c>
      <c r="K23575">
        <v>208.89</v>
      </c>
      <c r="L23575">
        <v>42.44</v>
      </c>
      <c r="M23575">
        <v>56558</v>
      </c>
      <c r="N23575" t="s">
        <v>50</v>
      </c>
      <c r="O23575">
        <v>250204</v>
      </c>
      <c r="P23575">
        <v>166.45</v>
      </c>
    </row>
    <row r="23576" spans="1:16" x14ac:dyDescent="0.25">
      <c r="A23576" t="s">
        <v>3296</v>
      </c>
      <c r="B23576" t="s">
        <v>2931</v>
      </c>
      <c r="C23576">
        <v>1106</v>
      </c>
      <c r="D23576" t="str">
        <f>"V/2025/00837"</f>
        <v>V/2025/00837</v>
      </c>
      <c r="E23576" t="s">
        <v>335</v>
      </c>
      <c r="F23576" t="s">
        <v>336</v>
      </c>
      <c r="G23576">
        <v>352.03</v>
      </c>
      <c r="H23576">
        <v>250117</v>
      </c>
      <c r="I23576">
        <v>4580</v>
      </c>
      <c r="J23576" t="s">
        <v>126</v>
      </c>
      <c r="K23576">
        <v>352.03</v>
      </c>
      <c r="L23576">
        <v>71.53</v>
      </c>
      <c r="M23576">
        <v>56558</v>
      </c>
      <c r="N23576" t="s">
        <v>50</v>
      </c>
      <c r="O23576">
        <v>250204</v>
      </c>
      <c r="P23576">
        <v>280.5</v>
      </c>
    </row>
    <row r="23577" spans="1:16" x14ac:dyDescent="0.25">
      <c r="A23577" t="s">
        <v>3296</v>
      </c>
      <c r="B23577" t="s">
        <v>2931</v>
      </c>
      <c r="C23577">
        <v>1997</v>
      </c>
      <c r="D23577" t="str">
        <f>"V/2025/02105"</f>
        <v>V/2025/02105</v>
      </c>
      <c r="E23577" t="s">
        <v>335</v>
      </c>
      <c r="F23577" t="s">
        <v>336</v>
      </c>
      <c r="G23577">
        <v>171.18</v>
      </c>
      <c r="H23577">
        <v>250207</v>
      </c>
      <c r="I23577">
        <v>4580</v>
      </c>
      <c r="J23577" t="s">
        <v>126</v>
      </c>
      <c r="K23577">
        <v>171.18</v>
      </c>
      <c r="L23577">
        <v>34.78</v>
      </c>
      <c r="M23577">
        <v>46554</v>
      </c>
      <c r="N23577" t="s">
        <v>102</v>
      </c>
      <c r="O23577">
        <v>250218</v>
      </c>
      <c r="P23577">
        <v>136.4</v>
      </c>
    </row>
    <row r="23578" spans="1:16" x14ac:dyDescent="0.25">
      <c r="A23578" t="s">
        <v>3296</v>
      </c>
      <c r="B23578" t="s">
        <v>2931</v>
      </c>
      <c r="C23578">
        <v>733</v>
      </c>
      <c r="D23578" t="str">
        <f>"V/2025/00351"</f>
        <v>V/2025/00351</v>
      </c>
      <c r="E23578" t="s">
        <v>335</v>
      </c>
      <c r="F23578" t="s">
        <v>336</v>
      </c>
      <c r="G23578">
        <v>97.89</v>
      </c>
      <c r="H23578">
        <v>250110</v>
      </c>
      <c r="I23578">
        <v>4600</v>
      </c>
      <c r="J23578" t="s">
        <v>278</v>
      </c>
      <c r="K23578">
        <v>195.78</v>
      </c>
      <c r="L23578">
        <v>19.89</v>
      </c>
      <c r="M23578">
        <v>17636</v>
      </c>
      <c r="N23578" t="s">
        <v>620</v>
      </c>
      <c r="O23578">
        <v>250128</v>
      </c>
      <c r="P23578">
        <v>78</v>
      </c>
    </row>
    <row r="23579" spans="1:16" x14ac:dyDescent="0.25">
      <c r="A23579" t="s">
        <v>3296</v>
      </c>
      <c r="B23579" t="s">
        <v>2931</v>
      </c>
      <c r="C23579">
        <v>12843</v>
      </c>
      <c r="D23579" t="str">
        <f>"5003134370  "</f>
        <v xml:space="preserve">5003134370  </v>
      </c>
      <c r="E23579" t="s">
        <v>2959</v>
      </c>
      <c r="F23579" t="s">
        <v>2960</v>
      </c>
      <c r="G23579">
        <v>6144.23</v>
      </c>
      <c r="H23579">
        <v>250923</v>
      </c>
      <c r="I23579">
        <v>4940</v>
      </c>
      <c r="J23579" t="s">
        <v>250</v>
      </c>
      <c r="K23579">
        <v>6144.23</v>
      </c>
      <c r="L23579">
        <v>0</v>
      </c>
      <c r="M23579">
        <v>18972</v>
      </c>
      <c r="N23579" t="s">
        <v>39</v>
      </c>
      <c r="O23579">
        <v>250930</v>
      </c>
      <c r="P23579">
        <v>6144.23</v>
      </c>
    </row>
    <row r="23580" spans="1:16" x14ac:dyDescent="0.25">
      <c r="A23580" t="s">
        <v>3296</v>
      </c>
      <c r="B23580" t="s">
        <v>2931</v>
      </c>
      <c r="C23580">
        <v>15842</v>
      </c>
      <c r="D23580" t="str">
        <f>"5003246339  "</f>
        <v xml:space="preserve">5003246339  </v>
      </c>
      <c r="E23580" t="s">
        <v>2959</v>
      </c>
      <c r="F23580" t="s">
        <v>2960</v>
      </c>
      <c r="G23580">
        <v>5684.04</v>
      </c>
      <c r="H23580">
        <v>251112</v>
      </c>
      <c r="I23580">
        <v>4940</v>
      </c>
      <c r="J23580" t="s">
        <v>250</v>
      </c>
      <c r="K23580">
        <v>5684.04</v>
      </c>
      <c r="L23580">
        <v>0</v>
      </c>
      <c r="M23580">
        <v>17131</v>
      </c>
      <c r="N23580" t="s">
        <v>154</v>
      </c>
      <c r="O23580">
        <v>251127</v>
      </c>
      <c r="P23580">
        <v>5684.04</v>
      </c>
    </row>
    <row r="23581" spans="1:16" x14ac:dyDescent="0.25">
      <c r="A23581" t="s">
        <v>3296</v>
      </c>
      <c r="B23581" t="s">
        <v>2931</v>
      </c>
      <c r="C23581">
        <v>2852</v>
      </c>
      <c r="D23581" t="str">
        <f>"897         "</f>
        <v xml:space="preserve">897         </v>
      </c>
      <c r="E23581" t="s">
        <v>1372</v>
      </c>
      <c r="F23581" t="s">
        <v>1373</v>
      </c>
      <c r="G23581">
        <v>512.04999999999995</v>
      </c>
      <c r="H23581">
        <v>250218</v>
      </c>
      <c r="I23581">
        <v>4580</v>
      </c>
      <c r="J23581" t="s">
        <v>126</v>
      </c>
      <c r="K23581">
        <v>512.04999999999995</v>
      </c>
      <c r="L23581">
        <v>104.04</v>
      </c>
      <c r="M23581">
        <v>17521</v>
      </c>
      <c r="N23581" t="s">
        <v>136</v>
      </c>
      <c r="O23581">
        <v>250312</v>
      </c>
      <c r="P23581">
        <v>408.01</v>
      </c>
    </row>
    <row r="23582" spans="1:16" x14ac:dyDescent="0.25">
      <c r="A23582" t="s">
        <v>3296</v>
      </c>
      <c r="B23582" t="s">
        <v>2931</v>
      </c>
      <c r="C23582">
        <v>12810</v>
      </c>
      <c r="D23582" t="str">
        <f>"259106095   "</f>
        <v xml:space="preserve">259106095   </v>
      </c>
      <c r="E23582" t="s">
        <v>2876</v>
      </c>
      <c r="F23582" t="s">
        <v>2877</v>
      </c>
      <c r="G23582">
        <v>6212.25</v>
      </c>
      <c r="H23582">
        <v>250909</v>
      </c>
      <c r="I23582">
        <v>4441</v>
      </c>
      <c r="J23582" t="s">
        <v>234</v>
      </c>
      <c r="K23582">
        <v>6212.25</v>
      </c>
      <c r="L23582">
        <v>1262.25</v>
      </c>
      <c r="M23582">
        <v>11602</v>
      </c>
      <c r="N23582" t="s">
        <v>1457</v>
      </c>
      <c r="O23582">
        <v>250930</v>
      </c>
      <c r="P23582">
        <v>4950</v>
      </c>
    </row>
    <row r="23583" spans="1:16" x14ac:dyDescent="0.25">
      <c r="A23583" t="s">
        <v>3296</v>
      </c>
      <c r="B23583" t="s">
        <v>2931</v>
      </c>
      <c r="C23583">
        <v>2661</v>
      </c>
      <c r="D23583" t="str">
        <f>"K2500211    "</f>
        <v xml:space="preserve">K2500211    </v>
      </c>
      <c r="E23583" t="s">
        <v>2979</v>
      </c>
      <c r="F23583" t="s">
        <v>2980</v>
      </c>
      <c r="G23583">
        <v>621.23</v>
      </c>
      <c r="H23583">
        <v>250225</v>
      </c>
      <c r="I23583">
        <v>4440</v>
      </c>
      <c r="J23583" t="s">
        <v>346</v>
      </c>
      <c r="K23583">
        <v>621.23</v>
      </c>
      <c r="L23583">
        <v>126.23</v>
      </c>
      <c r="M23583">
        <v>56566</v>
      </c>
      <c r="N23583" t="s">
        <v>58</v>
      </c>
      <c r="O23583">
        <v>250310</v>
      </c>
      <c r="P23583">
        <v>495</v>
      </c>
    </row>
    <row r="23584" spans="1:16" x14ac:dyDescent="0.25">
      <c r="A23584" t="s">
        <v>3296</v>
      </c>
      <c r="B23584" t="s">
        <v>2931</v>
      </c>
      <c r="C23584">
        <v>2692</v>
      </c>
      <c r="D23584" t="str">
        <f>"T2500904    "</f>
        <v xml:space="preserve">T2500904    </v>
      </c>
      <c r="E23584" t="s">
        <v>2979</v>
      </c>
      <c r="F23584" t="s">
        <v>2980</v>
      </c>
      <c r="G23584">
        <v>125.5</v>
      </c>
      <c r="H23584">
        <v>250226</v>
      </c>
      <c r="I23584">
        <v>4440</v>
      </c>
      <c r="J23584" t="s">
        <v>346</v>
      </c>
      <c r="K23584">
        <v>125.5</v>
      </c>
      <c r="L23584">
        <v>25.5</v>
      </c>
      <c r="M23584">
        <v>56566</v>
      </c>
      <c r="N23584" t="s">
        <v>58</v>
      </c>
      <c r="O23584">
        <v>250311</v>
      </c>
      <c r="P23584">
        <v>100</v>
      </c>
    </row>
    <row r="23585" spans="1:16" x14ac:dyDescent="0.25">
      <c r="A23585" t="s">
        <v>3296</v>
      </c>
      <c r="B23585" t="s">
        <v>2931</v>
      </c>
      <c r="C23585">
        <v>4661</v>
      </c>
      <c r="D23585" t="str">
        <f>"T2501556    "</f>
        <v xml:space="preserve">T2501556    </v>
      </c>
      <c r="E23585" t="s">
        <v>2979</v>
      </c>
      <c r="F23585" t="s">
        <v>2980</v>
      </c>
      <c r="G23585">
        <v>138.05000000000001</v>
      </c>
      <c r="H23585">
        <v>250331</v>
      </c>
      <c r="I23585">
        <v>4440</v>
      </c>
      <c r="J23585" t="s">
        <v>346</v>
      </c>
      <c r="K23585">
        <v>138.05000000000001</v>
      </c>
      <c r="L23585">
        <v>28.05</v>
      </c>
      <c r="M23585">
        <v>56566</v>
      </c>
      <c r="N23585" t="s">
        <v>58</v>
      </c>
      <c r="O23585">
        <v>250414</v>
      </c>
      <c r="P23585">
        <v>110</v>
      </c>
    </row>
    <row r="23586" spans="1:16" x14ac:dyDescent="0.25">
      <c r="A23586" t="s">
        <v>3296</v>
      </c>
      <c r="B23586" t="s">
        <v>2931</v>
      </c>
      <c r="C23586">
        <v>8975</v>
      </c>
      <c r="D23586" t="str">
        <f>"3000193     "</f>
        <v xml:space="preserve">3000193     </v>
      </c>
      <c r="E23586" t="s">
        <v>2979</v>
      </c>
      <c r="F23586" t="s">
        <v>2980</v>
      </c>
      <c r="G23586">
        <v>12.55</v>
      </c>
      <c r="H23586">
        <v>250606</v>
      </c>
      <c r="I23586">
        <v>4440</v>
      </c>
      <c r="J23586" t="s">
        <v>346</v>
      </c>
      <c r="K23586">
        <v>75.3</v>
      </c>
      <c r="L23586">
        <v>2.5499999999999998</v>
      </c>
      <c r="M23586">
        <v>17808</v>
      </c>
      <c r="N23586" t="s">
        <v>24</v>
      </c>
      <c r="O23586">
        <v>250624</v>
      </c>
      <c r="P23586">
        <v>10</v>
      </c>
    </row>
    <row r="23587" spans="1:16" x14ac:dyDescent="0.25">
      <c r="A23587" t="s">
        <v>3296</v>
      </c>
      <c r="B23587" t="s">
        <v>2931</v>
      </c>
      <c r="C23587">
        <v>8975</v>
      </c>
      <c r="D23587" t="str">
        <f>"3000193     "</f>
        <v xml:space="preserve">3000193     </v>
      </c>
      <c r="E23587" t="s">
        <v>2979</v>
      </c>
      <c r="F23587" t="s">
        <v>2980</v>
      </c>
      <c r="G23587">
        <v>62.75</v>
      </c>
      <c r="H23587">
        <v>250606</v>
      </c>
      <c r="I23587">
        <v>4440</v>
      </c>
      <c r="J23587" t="s">
        <v>346</v>
      </c>
      <c r="K23587">
        <v>75.3</v>
      </c>
      <c r="L23587">
        <v>12.75</v>
      </c>
      <c r="M23587">
        <v>56566</v>
      </c>
      <c r="N23587" t="s">
        <v>58</v>
      </c>
      <c r="O23587">
        <v>250624</v>
      </c>
      <c r="P23587">
        <v>50</v>
      </c>
    </row>
    <row r="23588" spans="1:16" x14ac:dyDescent="0.25">
      <c r="A23588" t="s">
        <v>3296</v>
      </c>
      <c r="B23588" t="s">
        <v>2931</v>
      </c>
      <c r="C23588">
        <v>11588</v>
      </c>
      <c r="D23588" t="str">
        <f>"3290585     "</f>
        <v xml:space="preserve">3290585     </v>
      </c>
      <c r="E23588" t="s">
        <v>2979</v>
      </c>
      <c r="F23588" t="s">
        <v>2980</v>
      </c>
      <c r="G23588">
        <v>150.6</v>
      </c>
      <c r="H23588">
        <v>250831</v>
      </c>
      <c r="I23588">
        <v>4440</v>
      </c>
      <c r="J23588" t="s">
        <v>346</v>
      </c>
      <c r="K23588">
        <v>150.6</v>
      </c>
      <c r="L23588">
        <v>30.6</v>
      </c>
      <c r="M23588">
        <v>17711</v>
      </c>
      <c r="N23588" t="s">
        <v>155</v>
      </c>
      <c r="O23588">
        <v>250909</v>
      </c>
      <c r="P23588">
        <v>120</v>
      </c>
    </row>
    <row r="23589" spans="1:16" x14ac:dyDescent="0.25">
      <c r="A23589" t="s">
        <v>3296</v>
      </c>
      <c r="B23589" t="s">
        <v>2931</v>
      </c>
      <c r="C23589">
        <v>14075</v>
      </c>
      <c r="D23589" t="str">
        <f>"2911        "</f>
        <v xml:space="preserve">2911        </v>
      </c>
      <c r="E23589" t="s">
        <v>2979</v>
      </c>
      <c r="F23589" t="s">
        <v>2980</v>
      </c>
      <c r="G23589">
        <v>621.23</v>
      </c>
      <c r="H23589">
        <v>251017</v>
      </c>
      <c r="I23589">
        <v>4440</v>
      </c>
      <c r="J23589" t="s">
        <v>346</v>
      </c>
      <c r="K23589">
        <v>621.23</v>
      </c>
      <c r="L23589">
        <v>126.23</v>
      </c>
      <c r="M23589">
        <v>17808</v>
      </c>
      <c r="N23589" t="s">
        <v>24</v>
      </c>
      <c r="O23589">
        <v>251023</v>
      </c>
      <c r="P23589">
        <v>495</v>
      </c>
    </row>
    <row r="23590" spans="1:16" x14ac:dyDescent="0.25">
      <c r="A23590" t="s">
        <v>3296</v>
      </c>
      <c r="B23590" t="s">
        <v>2931</v>
      </c>
      <c r="C23590">
        <v>14306</v>
      </c>
      <c r="D23590" t="str">
        <f>"3292327     "</f>
        <v xml:space="preserve">3292327     </v>
      </c>
      <c r="E23590" t="s">
        <v>2979</v>
      </c>
      <c r="F23590" t="s">
        <v>2980</v>
      </c>
      <c r="G23590">
        <v>75.3</v>
      </c>
      <c r="H23590">
        <v>251015</v>
      </c>
      <c r="I23590">
        <v>4440</v>
      </c>
      <c r="J23590" t="s">
        <v>346</v>
      </c>
      <c r="K23590">
        <v>163.15</v>
      </c>
      <c r="L23590">
        <v>15.3</v>
      </c>
      <c r="M23590">
        <v>46556</v>
      </c>
      <c r="N23590" t="s">
        <v>458</v>
      </c>
      <c r="O23590">
        <v>251029</v>
      </c>
      <c r="P23590">
        <v>60</v>
      </c>
    </row>
    <row r="23591" spans="1:16" x14ac:dyDescent="0.25">
      <c r="A23591" t="s">
        <v>3296</v>
      </c>
      <c r="B23591" t="s">
        <v>2931</v>
      </c>
      <c r="C23591">
        <v>14306</v>
      </c>
      <c r="D23591" t="str">
        <f>"3292327     "</f>
        <v xml:space="preserve">3292327     </v>
      </c>
      <c r="E23591" t="s">
        <v>2979</v>
      </c>
      <c r="F23591" t="s">
        <v>2980</v>
      </c>
      <c r="G23591">
        <v>75.3</v>
      </c>
      <c r="H23591">
        <v>251015</v>
      </c>
      <c r="I23591">
        <v>4440</v>
      </c>
      <c r="J23591" t="s">
        <v>346</v>
      </c>
      <c r="K23591">
        <v>163.15</v>
      </c>
      <c r="L23591">
        <v>15.3</v>
      </c>
      <c r="M23591">
        <v>46557</v>
      </c>
      <c r="N23591" t="s">
        <v>104</v>
      </c>
      <c r="O23591">
        <v>251029</v>
      </c>
      <c r="P23591">
        <v>60</v>
      </c>
    </row>
    <row r="23592" spans="1:16" x14ac:dyDescent="0.25">
      <c r="A23592" t="s">
        <v>3296</v>
      </c>
      <c r="B23592" t="s">
        <v>2931</v>
      </c>
      <c r="C23592">
        <v>14306</v>
      </c>
      <c r="D23592" t="str">
        <f>"3292327     "</f>
        <v xml:space="preserve">3292327     </v>
      </c>
      <c r="E23592" t="s">
        <v>2979</v>
      </c>
      <c r="F23592" t="s">
        <v>2980</v>
      </c>
      <c r="G23592">
        <v>12.55</v>
      </c>
      <c r="H23592">
        <v>251015</v>
      </c>
      <c r="I23592">
        <v>4440</v>
      </c>
      <c r="J23592" t="s">
        <v>346</v>
      </c>
      <c r="K23592">
        <v>163.15</v>
      </c>
      <c r="L23592">
        <v>2.5499999999999998</v>
      </c>
      <c r="M23592">
        <v>56522</v>
      </c>
      <c r="N23592" t="s">
        <v>68</v>
      </c>
      <c r="O23592">
        <v>251029</v>
      </c>
      <c r="P23592">
        <v>10</v>
      </c>
    </row>
    <row r="23593" spans="1:16" x14ac:dyDescent="0.25">
      <c r="A23593" t="s">
        <v>3296</v>
      </c>
      <c r="B23593" t="s">
        <v>2931</v>
      </c>
      <c r="C23593">
        <v>14684</v>
      </c>
      <c r="D23593" t="str">
        <f>"3293950     "</f>
        <v xml:space="preserve">3293950     </v>
      </c>
      <c r="E23593" t="s">
        <v>2979</v>
      </c>
      <c r="F23593" t="s">
        <v>2980</v>
      </c>
      <c r="G23593">
        <v>12.55</v>
      </c>
      <c r="H23593">
        <v>251029</v>
      </c>
      <c r="I23593">
        <v>4440</v>
      </c>
      <c r="J23593" t="s">
        <v>346</v>
      </c>
      <c r="K23593">
        <v>138.05000000000001</v>
      </c>
      <c r="L23593">
        <v>2.5499999999999998</v>
      </c>
      <c r="M23593">
        <v>44222</v>
      </c>
      <c r="N23593" t="s">
        <v>96</v>
      </c>
      <c r="O23593">
        <v>251106</v>
      </c>
      <c r="P23593">
        <v>10</v>
      </c>
    </row>
    <row r="23594" spans="1:16" x14ac:dyDescent="0.25">
      <c r="A23594" t="s">
        <v>3296</v>
      </c>
      <c r="B23594" t="s">
        <v>2931</v>
      </c>
      <c r="C23594">
        <v>14684</v>
      </c>
      <c r="D23594" t="str">
        <f>"3293950     "</f>
        <v xml:space="preserve">3293950     </v>
      </c>
      <c r="E23594" t="s">
        <v>2979</v>
      </c>
      <c r="F23594" t="s">
        <v>2980</v>
      </c>
      <c r="G23594">
        <v>12.55</v>
      </c>
      <c r="H23594">
        <v>251029</v>
      </c>
      <c r="I23594">
        <v>4440</v>
      </c>
      <c r="J23594" t="s">
        <v>346</v>
      </c>
      <c r="K23594">
        <v>138.05000000000001</v>
      </c>
      <c r="L23594">
        <v>2.5499999999999998</v>
      </c>
      <c r="M23594">
        <v>46555</v>
      </c>
      <c r="N23594" t="s">
        <v>103</v>
      </c>
      <c r="O23594">
        <v>251106</v>
      </c>
      <c r="P23594">
        <v>10</v>
      </c>
    </row>
    <row r="23595" spans="1:16" x14ac:dyDescent="0.25">
      <c r="A23595" t="s">
        <v>3296</v>
      </c>
      <c r="B23595" t="s">
        <v>2931</v>
      </c>
      <c r="C23595">
        <v>14684</v>
      </c>
      <c r="D23595" t="str">
        <f>"3293950     "</f>
        <v xml:space="preserve">3293950     </v>
      </c>
      <c r="E23595" t="s">
        <v>2979</v>
      </c>
      <c r="F23595" t="s">
        <v>2980</v>
      </c>
      <c r="G23595">
        <v>12.55</v>
      </c>
      <c r="H23595">
        <v>251029</v>
      </c>
      <c r="I23595">
        <v>4440</v>
      </c>
      <c r="J23595" t="s">
        <v>346</v>
      </c>
      <c r="K23595">
        <v>138.05000000000001</v>
      </c>
      <c r="L23595">
        <v>2.5499999999999998</v>
      </c>
      <c r="M23595">
        <v>46556</v>
      </c>
      <c r="N23595" t="s">
        <v>458</v>
      </c>
      <c r="O23595">
        <v>251106</v>
      </c>
      <c r="P23595">
        <v>10</v>
      </c>
    </row>
    <row r="23596" spans="1:16" x14ac:dyDescent="0.25">
      <c r="A23596" t="s">
        <v>3296</v>
      </c>
      <c r="B23596" t="s">
        <v>2931</v>
      </c>
      <c r="C23596">
        <v>14684</v>
      </c>
      <c r="D23596" t="str">
        <f>"3293950     "</f>
        <v xml:space="preserve">3293950     </v>
      </c>
      <c r="E23596" t="s">
        <v>2979</v>
      </c>
      <c r="F23596" t="s">
        <v>2980</v>
      </c>
      <c r="G23596">
        <v>12.55</v>
      </c>
      <c r="H23596">
        <v>251029</v>
      </c>
      <c r="I23596">
        <v>4440</v>
      </c>
      <c r="J23596" t="s">
        <v>346</v>
      </c>
      <c r="K23596">
        <v>138.05000000000001</v>
      </c>
      <c r="L23596">
        <v>2.5499999999999998</v>
      </c>
      <c r="M23596">
        <v>49501</v>
      </c>
      <c r="N23596" t="s">
        <v>110</v>
      </c>
      <c r="O23596">
        <v>251106</v>
      </c>
      <c r="P23596">
        <v>10</v>
      </c>
    </row>
    <row r="23597" spans="1:16" x14ac:dyDescent="0.25">
      <c r="A23597" t="s">
        <v>3296</v>
      </c>
      <c r="B23597" t="s">
        <v>2931</v>
      </c>
      <c r="C23597">
        <v>14684</v>
      </c>
      <c r="D23597" t="str">
        <f>"3293950     "</f>
        <v xml:space="preserve">3293950     </v>
      </c>
      <c r="E23597" t="s">
        <v>2979</v>
      </c>
      <c r="F23597" t="s">
        <v>2980</v>
      </c>
      <c r="G23597">
        <v>87.85</v>
      </c>
      <c r="H23597">
        <v>251029</v>
      </c>
      <c r="I23597">
        <v>4440</v>
      </c>
      <c r="J23597" t="s">
        <v>346</v>
      </c>
      <c r="K23597">
        <v>138.05000000000001</v>
      </c>
      <c r="L23597">
        <v>17.850000000000001</v>
      </c>
      <c r="M23597">
        <v>66760</v>
      </c>
      <c r="N23597" t="s">
        <v>2449</v>
      </c>
      <c r="O23597">
        <v>251106</v>
      </c>
      <c r="P23597">
        <v>70</v>
      </c>
    </row>
    <row r="23598" spans="1:16" x14ac:dyDescent="0.25">
      <c r="A23598" t="s">
        <v>3296</v>
      </c>
      <c r="B23598" t="s">
        <v>2931</v>
      </c>
      <c r="C23598">
        <v>16884</v>
      </c>
      <c r="D23598" t="str">
        <f>"3295044     "</f>
        <v xml:space="preserve">3295044     </v>
      </c>
      <c r="E23598" t="s">
        <v>2979</v>
      </c>
      <c r="F23598" t="s">
        <v>2980</v>
      </c>
      <c r="G23598">
        <v>12.55</v>
      </c>
      <c r="H23598">
        <v>251210</v>
      </c>
      <c r="I23598">
        <v>4470</v>
      </c>
      <c r="J23598" t="s">
        <v>203</v>
      </c>
      <c r="K23598">
        <v>87.85</v>
      </c>
      <c r="L23598">
        <v>2.5499999999999998</v>
      </c>
      <c r="M23598">
        <v>17808</v>
      </c>
      <c r="N23598" t="s">
        <v>24</v>
      </c>
      <c r="O23598">
        <v>251215</v>
      </c>
      <c r="P23598">
        <v>10</v>
      </c>
    </row>
    <row r="23599" spans="1:16" x14ac:dyDescent="0.25">
      <c r="A23599" t="s">
        <v>3296</v>
      </c>
      <c r="B23599" t="s">
        <v>2931</v>
      </c>
      <c r="C23599">
        <v>16884</v>
      </c>
      <c r="D23599" t="str">
        <f>"3295044     "</f>
        <v xml:space="preserve">3295044     </v>
      </c>
      <c r="E23599" t="s">
        <v>2979</v>
      </c>
      <c r="F23599" t="s">
        <v>2980</v>
      </c>
      <c r="G23599">
        <v>37.65</v>
      </c>
      <c r="H23599">
        <v>251210</v>
      </c>
      <c r="I23599">
        <v>4470</v>
      </c>
      <c r="J23599" t="s">
        <v>203</v>
      </c>
      <c r="K23599">
        <v>87.85</v>
      </c>
      <c r="L23599">
        <v>7.65</v>
      </c>
      <c r="M23599">
        <v>17808</v>
      </c>
      <c r="N23599" t="s">
        <v>24</v>
      </c>
      <c r="O23599">
        <v>251215</v>
      </c>
      <c r="P23599">
        <v>30</v>
      </c>
    </row>
    <row r="23600" spans="1:16" x14ac:dyDescent="0.25">
      <c r="A23600" t="s">
        <v>3296</v>
      </c>
      <c r="B23600" t="s">
        <v>2931</v>
      </c>
      <c r="C23600">
        <v>16884</v>
      </c>
      <c r="D23600" t="str">
        <f>"3295044     "</f>
        <v xml:space="preserve">3295044     </v>
      </c>
      <c r="E23600" t="s">
        <v>2979</v>
      </c>
      <c r="F23600" t="s">
        <v>2980</v>
      </c>
      <c r="G23600">
        <v>37.65</v>
      </c>
      <c r="H23600">
        <v>251210</v>
      </c>
      <c r="I23600">
        <v>4470</v>
      </c>
      <c r="J23600" t="s">
        <v>203</v>
      </c>
      <c r="K23600">
        <v>87.85</v>
      </c>
      <c r="L23600">
        <v>7.65</v>
      </c>
      <c r="M23600">
        <v>56522</v>
      </c>
      <c r="N23600" t="s">
        <v>68</v>
      </c>
      <c r="O23600">
        <v>251215</v>
      </c>
      <c r="P23600">
        <v>30</v>
      </c>
    </row>
    <row r="23601" spans="1:16" x14ac:dyDescent="0.25">
      <c r="A23601" t="s">
        <v>3296</v>
      </c>
      <c r="B23601" t="s">
        <v>2931</v>
      </c>
      <c r="C23601">
        <v>13251</v>
      </c>
      <c r="D23601" t="str">
        <f>"3292431     "</f>
        <v xml:space="preserve">3292431     </v>
      </c>
      <c r="E23601" t="s">
        <v>2979</v>
      </c>
      <c r="F23601" t="s">
        <v>2980</v>
      </c>
      <c r="G23601">
        <v>75.3</v>
      </c>
      <c r="H23601">
        <v>250930</v>
      </c>
      <c r="I23601">
        <v>4500</v>
      </c>
      <c r="J23601" t="s">
        <v>312</v>
      </c>
      <c r="K23601">
        <v>75.3</v>
      </c>
      <c r="L23601">
        <v>15.3</v>
      </c>
      <c r="M23601">
        <v>14640</v>
      </c>
      <c r="N23601" t="s">
        <v>78</v>
      </c>
      <c r="O23601">
        <v>251007</v>
      </c>
      <c r="P23601">
        <v>60</v>
      </c>
    </row>
    <row r="23602" spans="1:16" x14ac:dyDescent="0.25">
      <c r="A23602" t="s">
        <v>3296</v>
      </c>
      <c r="B23602" t="s">
        <v>2931</v>
      </c>
      <c r="C23602">
        <v>15963</v>
      </c>
      <c r="D23602" t="str">
        <f>"3292436     "</f>
        <v xml:space="preserve">3292436     </v>
      </c>
      <c r="E23602" t="s">
        <v>2979</v>
      </c>
      <c r="F23602" t="s">
        <v>2980</v>
      </c>
      <c r="G23602">
        <v>200.8</v>
      </c>
      <c r="H23602">
        <v>251126</v>
      </c>
      <c r="I23602">
        <v>4510</v>
      </c>
      <c r="J23602" t="s">
        <v>240</v>
      </c>
      <c r="K23602">
        <v>200.8</v>
      </c>
      <c r="L23602">
        <v>40.799999999999997</v>
      </c>
      <c r="M23602">
        <v>56566</v>
      </c>
      <c r="N23602" t="s">
        <v>58</v>
      </c>
      <c r="O23602">
        <v>251201</v>
      </c>
      <c r="P23602">
        <v>160</v>
      </c>
    </row>
    <row r="23603" spans="1:16" x14ac:dyDescent="0.25">
      <c r="A23603" t="s">
        <v>3296</v>
      </c>
      <c r="B23603" t="s">
        <v>2931</v>
      </c>
      <c r="C23603">
        <v>333</v>
      </c>
      <c r="D23603" t="str">
        <f>"T2407135    "</f>
        <v xml:space="preserve">T2407135    </v>
      </c>
      <c r="E23603" t="s">
        <v>2979</v>
      </c>
      <c r="F23603" t="s">
        <v>2980</v>
      </c>
      <c r="G23603">
        <v>10.09</v>
      </c>
      <c r="H23603">
        <v>250101</v>
      </c>
      <c r="I23603">
        <v>4600</v>
      </c>
      <c r="J23603" t="s">
        <v>278</v>
      </c>
      <c r="K23603">
        <v>10.09</v>
      </c>
      <c r="L23603">
        <v>2.0499999999999998</v>
      </c>
      <c r="M23603">
        <v>17806</v>
      </c>
      <c r="N23603" t="s">
        <v>22</v>
      </c>
      <c r="O23603">
        <v>250122</v>
      </c>
      <c r="P23603">
        <v>8.0399999999999991</v>
      </c>
    </row>
    <row r="23604" spans="1:16" x14ac:dyDescent="0.25">
      <c r="A23604" t="s">
        <v>3296</v>
      </c>
      <c r="B23604" t="s">
        <v>2931</v>
      </c>
      <c r="C23604">
        <v>1766</v>
      </c>
      <c r="D23604" t="str">
        <f>"T2500493    "</f>
        <v xml:space="preserve">T2500493    </v>
      </c>
      <c r="E23604" t="s">
        <v>2979</v>
      </c>
      <c r="F23604" t="s">
        <v>2980</v>
      </c>
      <c r="G23604">
        <v>12.55</v>
      </c>
      <c r="H23604">
        <v>250131</v>
      </c>
      <c r="I23604">
        <v>4600</v>
      </c>
      <c r="J23604" t="s">
        <v>278</v>
      </c>
      <c r="K23604">
        <v>12.55</v>
      </c>
      <c r="L23604">
        <v>2.5499999999999998</v>
      </c>
      <c r="M23604">
        <v>17808</v>
      </c>
      <c r="N23604" t="s">
        <v>24</v>
      </c>
      <c r="O23604">
        <v>250213</v>
      </c>
      <c r="P23604">
        <v>10</v>
      </c>
    </row>
    <row r="23605" spans="1:16" x14ac:dyDescent="0.25">
      <c r="A23605" t="s">
        <v>3296</v>
      </c>
      <c r="B23605" t="s">
        <v>2931</v>
      </c>
      <c r="C23605">
        <v>3397</v>
      </c>
      <c r="D23605" t="str">
        <f>"T2501051    "</f>
        <v xml:space="preserve">T2501051    </v>
      </c>
      <c r="E23605" t="s">
        <v>2979</v>
      </c>
      <c r="F23605" t="s">
        <v>2980</v>
      </c>
      <c r="G23605">
        <v>62.75</v>
      </c>
      <c r="H23605">
        <v>250306</v>
      </c>
      <c r="I23605">
        <v>4600</v>
      </c>
      <c r="J23605" t="s">
        <v>278</v>
      </c>
      <c r="K23605">
        <v>62.75</v>
      </c>
      <c r="L23605">
        <v>12.75</v>
      </c>
      <c r="M23605">
        <v>17808</v>
      </c>
      <c r="N23605" t="s">
        <v>24</v>
      </c>
      <c r="O23605">
        <v>250320</v>
      </c>
      <c r="P23605">
        <v>50</v>
      </c>
    </row>
    <row r="23606" spans="1:16" x14ac:dyDescent="0.25">
      <c r="A23606" t="s">
        <v>3296</v>
      </c>
      <c r="B23606" t="s">
        <v>2931</v>
      </c>
      <c r="C23606">
        <v>5263</v>
      </c>
      <c r="D23606" t="str">
        <f>"T2501688    "</f>
        <v xml:space="preserve">T2501688    </v>
      </c>
      <c r="E23606" t="s">
        <v>2979</v>
      </c>
      <c r="F23606" t="s">
        <v>2980</v>
      </c>
      <c r="G23606">
        <v>87.85</v>
      </c>
      <c r="H23606">
        <v>250409</v>
      </c>
      <c r="I23606">
        <v>4600</v>
      </c>
      <c r="J23606" t="s">
        <v>278</v>
      </c>
      <c r="K23606">
        <v>87.85</v>
      </c>
      <c r="L23606">
        <v>17.850000000000001</v>
      </c>
      <c r="M23606">
        <v>46556</v>
      </c>
      <c r="N23606" t="s">
        <v>458</v>
      </c>
      <c r="O23606">
        <v>250423</v>
      </c>
      <c r="P23606">
        <v>70</v>
      </c>
    </row>
    <row r="23607" spans="1:16" x14ac:dyDescent="0.25">
      <c r="A23607" t="s">
        <v>3296</v>
      </c>
      <c r="B23607" t="s">
        <v>2931</v>
      </c>
      <c r="C23607">
        <v>5481</v>
      </c>
      <c r="D23607" t="str">
        <f>"T2501819    "</f>
        <v xml:space="preserve">T2501819    </v>
      </c>
      <c r="E23607" t="s">
        <v>2979</v>
      </c>
      <c r="F23607" t="s">
        <v>2980</v>
      </c>
      <c r="G23607">
        <v>12.55</v>
      </c>
      <c r="H23607">
        <v>250416</v>
      </c>
      <c r="I23607">
        <v>4600</v>
      </c>
      <c r="J23607" t="s">
        <v>278</v>
      </c>
      <c r="K23607">
        <v>12.55</v>
      </c>
      <c r="L23607">
        <v>2.5499999999999998</v>
      </c>
      <c r="M23607">
        <v>17808</v>
      </c>
      <c r="N23607" t="s">
        <v>24</v>
      </c>
      <c r="O23607">
        <v>250424</v>
      </c>
      <c r="P23607">
        <v>10</v>
      </c>
    </row>
    <row r="23608" spans="1:16" x14ac:dyDescent="0.25">
      <c r="A23608" t="s">
        <v>3296</v>
      </c>
      <c r="B23608" t="s">
        <v>2931</v>
      </c>
      <c r="C23608">
        <v>11910</v>
      </c>
      <c r="D23608" t="str">
        <f>"3290485     "</f>
        <v xml:space="preserve">3290485     </v>
      </c>
      <c r="E23608" t="s">
        <v>2979</v>
      </c>
      <c r="F23608" t="s">
        <v>2980</v>
      </c>
      <c r="G23608">
        <v>62.75</v>
      </c>
      <c r="H23608">
        <v>250831</v>
      </c>
      <c r="I23608">
        <v>4600</v>
      </c>
      <c r="J23608" t="s">
        <v>278</v>
      </c>
      <c r="K23608">
        <v>62.75</v>
      </c>
      <c r="L23608">
        <v>12.75</v>
      </c>
      <c r="M23608">
        <v>17808</v>
      </c>
      <c r="N23608" t="s">
        <v>24</v>
      </c>
      <c r="O23608">
        <v>250912</v>
      </c>
      <c r="P23608">
        <v>50</v>
      </c>
    </row>
    <row r="23609" spans="1:16" x14ac:dyDescent="0.25">
      <c r="A23609" t="s">
        <v>3296</v>
      </c>
      <c r="B23609" t="s">
        <v>2931</v>
      </c>
      <c r="C23609">
        <v>12920</v>
      </c>
      <c r="D23609" t="str">
        <f>"3292178     "</f>
        <v xml:space="preserve">3292178     </v>
      </c>
      <c r="E23609" t="s">
        <v>2979</v>
      </c>
      <c r="F23609" t="s">
        <v>2980</v>
      </c>
      <c r="G23609">
        <v>125.5</v>
      </c>
      <c r="H23609">
        <v>250924</v>
      </c>
      <c r="I23609">
        <v>4600</v>
      </c>
      <c r="J23609" t="s">
        <v>278</v>
      </c>
      <c r="K23609">
        <v>125.5</v>
      </c>
      <c r="L23609">
        <v>25.5</v>
      </c>
      <c r="M23609">
        <v>46556</v>
      </c>
      <c r="N23609" t="s">
        <v>458</v>
      </c>
      <c r="O23609">
        <v>251002</v>
      </c>
      <c r="P23609">
        <v>100</v>
      </c>
    </row>
    <row r="23610" spans="1:16" x14ac:dyDescent="0.25">
      <c r="A23610" t="s">
        <v>3296</v>
      </c>
      <c r="B23610" t="s">
        <v>2931</v>
      </c>
      <c r="C23610">
        <v>16681</v>
      </c>
      <c r="D23610" t="str">
        <f>"3295041     "</f>
        <v xml:space="preserve">3295041     </v>
      </c>
      <c r="E23610" t="s">
        <v>2979</v>
      </c>
      <c r="F23610" t="s">
        <v>2980</v>
      </c>
      <c r="G23610">
        <v>25.1</v>
      </c>
      <c r="H23610">
        <v>251130</v>
      </c>
      <c r="I23610">
        <v>4600</v>
      </c>
      <c r="J23610" t="s">
        <v>278</v>
      </c>
      <c r="K23610">
        <v>25.1</v>
      </c>
      <c r="L23610">
        <v>5.0999999999999996</v>
      </c>
      <c r="M23610">
        <v>17808</v>
      </c>
      <c r="N23610" t="s">
        <v>24</v>
      </c>
      <c r="O23610">
        <v>251211</v>
      </c>
      <c r="P23610">
        <v>20</v>
      </c>
    </row>
    <row r="23611" spans="1:16" x14ac:dyDescent="0.25">
      <c r="A23611" t="s">
        <v>3296</v>
      </c>
      <c r="B23611" t="s">
        <v>2931</v>
      </c>
      <c r="C23611">
        <v>17399</v>
      </c>
      <c r="D23611" t="str">
        <f>"3295046     "</f>
        <v xml:space="preserve">3295046     </v>
      </c>
      <c r="E23611" t="s">
        <v>2979</v>
      </c>
      <c r="F23611" t="s">
        <v>2980</v>
      </c>
      <c r="G23611">
        <v>12.55</v>
      </c>
      <c r="H23611">
        <v>251217</v>
      </c>
      <c r="I23611">
        <v>4600</v>
      </c>
      <c r="J23611" t="s">
        <v>278</v>
      </c>
      <c r="K23611">
        <v>12.55</v>
      </c>
      <c r="L23611">
        <v>2.5499999999999998</v>
      </c>
      <c r="M23611">
        <v>17808</v>
      </c>
      <c r="N23611" t="s">
        <v>24</v>
      </c>
      <c r="O23611">
        <v>251219</v>
      </c>
      <c r="P23611">
        <v>10</v>
      </c>
    </row>
    <row r="23612" spans="1:16" x14ac:dyDescent="0.25">
      <c r="A23612" t="s">
        <v>3296</v>
      </c>
      <c r="B23612" t="s">
        <v>2931</v>
      </c>
      <c r="C23612">
        <v>13573</v>
      </c>
      <c r="D23612" t="str">
        <f>"3696        "</f>
        <v xml:space="preserve">3696        </v>
      </c>
      <c r="E23612" t="s">
        <v>3143</v>
      </c>
      <c r="F23612" t="s">
        <v>3144</v>
      </c>
      <c r="G23612">
        <v>700</v>
      </c>
      <c r="H23612">
        <v>250930</v>
      </c>
      <c r="I23612">
        <v>4440</v>
      </c>
      <c r="J23612" t="s">
        <v>346</v>
      </c>
      <c r="K23612">
        <v>700</v>
      </c>
      <c r="L23612">
        <v>0</v>
      </c>
      <c r="M23612">
        <v>16930</v>
      </c>
      <c r="N23612" t="s">
        <v>135</v>
      </c>
      <c r="O23612">
        <v>251013</v>
      </c>
      <c r="P23612">
        <v>700</v>
      </c>
    </row>
    <row r="23613" spans="1:16" x14ac:dyDescent="0.25">
      <c r="A23613" t="s">
        <v>3296</v>
      </c>
      <c r="B23613" t="s">
        <v>2931</v>
      </c>
      <c r="C23613">
        <v>4625</v>
      </c>
      <c r="D23613" t="str">
        <f>"25012       "</f>
        <v xml:space="preserve">25012       </v>
      </c>
      <c r="E23613" t="s">
        <v>3055</v>
      </c>
      <c r="F23613" t="s">
        <v>3056</v>
      </c>
      <c r="G23613">
        <v>100</v>
      </c>
      <c r="H23613">
        <v>250330</v>
      </c>
      <c r="I23613">
        <v>4440</v>
      </c>
      <c r="J23613" t="s">
        <v>346</v>
      </c>
      <c r="K23613">
        <v>100</v>
      </c>
      <c r="L23613">
        <v>0</v>
      </c>
      <c r="M23613">
        <v>17131</v>
      </c>
      <c r="N23613" t="s">
        <v>154</v>
      </c>
      <c r="O23613">
        <v>250414</v>
      </c>
      <c r="P23613">
        <v>100</v>
      </c>
    </row>
    <row r="23614" spans="1:16" x14ac:dyDescent="0.25">
      <c r="A23614" t="s">
        <v>3296</v>
      </c>
      <c r="B23614" t="s">
        <v>2931</v>
      </c>
      <c r="C23614">
        <v>14288</v>
      </c>
      <c r="D23614" t="str">
        <f>"25016       "</f>
        <v xml:space="preserve">25016       </v>
      </c>
      <c r="E23614" t="s">
        <v>3055</v>
      </c>
      <c r="F23614" t="s">
        <v>3056</v>
      </c>
      <c r="G23614">
        <v>100</v>
      </c>
      <c r="H23614">
        <v>251026</v>
      </c>
      <c r="I23614">
        <v>4440</v>
      </c>
      <c r="J23614" t="s">
        <v>346</v>
      </c>
      <c r="K23614">
        <v>100</v>
      </c>
      <c r="L23614">
        <v>0</v>
      </c>
      <c r="M23614">
        <v>17131</v>
      </c>
      <c r="N23614" t="s">
        <v>154</v>
      </c>
      <c r="O23614">
        <v>251028</v>
      </c>
      <c r="P23614">
        <v>100</v>
      </c>
    </row>
    <row r="23615" spans="1:16" x14ac:dyDescent="0.25">
      <c r="A23615" t="s">
        <v>3296</v>
      </c>
      <c r="B23615" t="s">
        <v>2931</v>
      </c>
      <c r="C23615">
        <v>4040</v>
      </c>
      <c r="D23615" t="str">
        <f>"499         "</f>
        <v xml:space="preserve">499         </v>
      </c>
      <c r="E23615" t="s">
        <v>1549</v>
      </c>
      <c r="F23615" t="s">
        <v>1550</v>
      </c>
      <c r="G23615">
        <v>24</v>
      </c>
      <c r="H23615">
        <v>250329</v>
      </c>
      <c r="I23615">
        <v>4470</v>
      </c>
      <c r="J23615" t="s">
        <v>203</v>
      </c>
      <c r="K23615">
        <v>24</v>
      </c>
      <c r="L23615">
        <v>2.95</v>
      </c>
      <c r="M23615">
        <v>49807</v>
      </c>
      <c r="N23615" t="s">
        <v>852</v>
      </c>
      <c r="O23615">
        <v>250407</v>
      </c>
      <c r="P23615">
        <v>21.05</v>
      </c>
    </row>
    <row r="23616" spans="1:16" x14ac:dyDescent="0.25">
      <c r="A23616" t="s">
        <v>3296</v>
      </c>
      <c r="B23616" t="s">
        <v>2931</v>
      </c>
      <c r="C23616">
        <v>7223</v>
      </c>
      <c r="D23616" t="str">
        <f>"514         "</f>
        <v xml:space="preserve">514         </v>
      </c>
      <c r="E23616" t="s">
        <v>1549</v>
      </c>
      <c r="F23616" t="s">
        <v>1550</v>
      </c>
      <c r="G23616">
        <v>48</v>
      </c>
      <c r="H23616">
        <v>250522</v>
      </c>
      <c r="I23616">
        <v>4470</v>
      </c>
      <c r="J23616" t="s">
        <v>203</v>
      </c>
      <c r="K23616">
        <v>48</v>
      </c>
      <c r="L23616">
        <v>5.89</v>
      </c>
      <c r="M23616">
        <v>48601</v>
      </c>
      <c r="N23616" t="s">
        <v>107</v>
      </c>
      <c r="O23616">
        <v>250527</v>
      </c>
      <c r="P23616">
        <v>42.11</v>
      </c>
    </row>
    <row r="23617" spans="1:16" x14ac:dyDescent="0.25">
      <c r="A23617" t="s">
        <v>3296</v>
      </c>
      <c r="B23617" t="s">
        <v>2931</v>
      </c>
      <c r="C23617">
        <v>7334</v>
      </c>
      <c r="D23617" t="str">
        <f>"518         "</f>
        <v xml:space="preserve">518         </v>
      </c>
      <c r="E23617" t="s">
        <v>1549</v>
      </c>
      <c r="F23617" t="s">
        <v>1550</v>
      </c>
      <c r="G23617">
        <v>15</v>
      </c>
      <c r="H23617">
        <v>250526</v>
      </c>
      <c r="I23617">
        <v>4470</v>
      </c>
      <c r="J23617" t="s">
        <v>203</v>
      </c>
      <c r="K23617">
        <v>15</v>
      </c>
      <c r="L23617">
        <v>1.84</v>
      </c>
      <c r="M23617">
        <v>48601</v>
      </c>
      <c r="N23617" t="s">
        <v>107</v>
      </c>
      <c r="O23617">
        <v>250603</v>
      </c>
      <c r="P23617">
        <v>13.16</v>
      </c>
    </row>
    <row r="23618" spans="1:16" x14ac:dyDescent="0.25">
      <c r="A23618" t="s">
        <v>3296</v>
      </c>
      <c r="B23618" t="s">
        <v>2931</v>
      </c>
      <c r="C23618">
        <v>13408</v>
      </c>
      <c r="D23618" t="str">
        <f t="shared" ref="D23618:D23625" si="537">"532         "</f>
        <v xml:space="preserve">532         </v>
      </c>
      <c r="E23618" t="s">
        <v>1549</v>
      </c>
      <c r="F23618" t="s">
        <v>1550</v>
      </c>
      <c r="G23618">
        <v>18</v>
      </c>
      <c r="H23618">
        <v>250930</v>
      </c>
      <c r="I23618">
        <v>4470</v>
      </c>
      <c r="J23618" t="s">
        <v>203</v>
      </c>
      <c r="K23618">
        <v>380</v>
      </c>
      <c r="L23618">
        <v>2.21</v>
      </c>
      <c r="M23618">
        <v>44222</v>
      </c>
      <c r="N23618" t="s">
        <v>96</v>
      </c>
      <c r="O23618">
        <v>251009</v>
      </c>
      <c r="P23618">
        <v>15.79</v>
      </c>
    </row>
    <row r="23619" spans="1:16" x14ac:dyDescent="0.25">
      <c r="A23619" t="s">
        <v>3296</v>
      </c>
      <c r="B23619" t="s">
        <v>2931</v>
      </c>
      <c r="C23619">
        <v>13408</v>
      </c>
      <c r="D23619" t="str">
        <f t="shared" si="537"/>
        <v xml:space="preserve">532         </v>
      </c>
      <c r="E23619" t="s">
        <v>1549</v>
      </c>
      <c r="F23619" t="s">
        <v>1550</v>
      </c>
      <c r="G23619">
        <v>54</v>
      </c>
      <c r="H23619">
        <v>250930</v>
      </c>
      <c r="I23619">
        <v>4470</v>
      </c>
      <c r="J23619" t="s">
        <v>203</v>
      </c>
      <c r="K23619">
        <v>380</v>
      </c>
      <c r="L23619">
        <v>6.63</v>
      </c>
      <c r="M23619">
        <v>44424</v>
      </c>
      <c r="N23619" t="s">
        <v>99</v>
      </c>
      <c r="O23619">
        <v>251009</v>
      </c>
      <c r="P23619">
        <v>47.37</v>
      </c>
    </row>
    <row r="23620" spans="1:16" x14ac:dyDescent="0.25">
      <c r="A23620" t="s">
        <v>3296</v>
      </c>
      <c r="B23620" t="s">
        <v>2931</v>
      </c>
      <c r="C23620">
        <v>13408</v>
      </c>
      <c r="D23620" t="str">
        <f t="shared" si="537"/>
        <v xml:space="preserve">532         </v>
      </c>
      <c r="E23620" t="s">
        <v>1549</v>
      </c>
      <c r="F23620" t="s">
        <v>1550</v>
      </c>
      <c r="G23620">
        <v>20</v>
      </c>
      <c r="H23620">
        <v>250930</v>
      </c>
      <c r="I23620">
        <v>4470</v>
      </c>
      <c r="J23620" t="s">
        <v>203</v>
      </c>
      <c r="K23620">
        <v>380</v>
      </c>
      <c r="L23620">
        <v>2.46</v>
      </c>
      <c r="M23620">
        <v>46222</v>
      </c>
      <c r="N23620" t="s">
        <v>101</v>
      </c>
      <c r="O23620">
        <v>251009</v>
      </c>
      <c r="P23620">
        <v>17.54</v>
      </c>
    </row>
    <row r="23621" spans="1:16" x14ac:dyDescent="0.25">
      <c r="A23621" t="s">
        <v>3296</v>
      </c>
      <c r="B23621" t="s">
        <v>2931</v>
      </c>
      <c r="C23621">
        <v>13408</v>
      </c>
      <c r="D23621" t="str">
        <f t="shared" si="537"/>
        <v xml:space="preserve">532         </v>
      </c>
      <c r="E23621" t="s">
        <v>1549</v>
      </c>
      <c r="F23621" t="s">
        <v>1550</v>
      </c>
      <c r="G23621">
        <v>150</v>
      </c>
      <c r="H23621">
        <v>250930</v>
      </c>
      <c r="I23621">
        <v>4470</v>
      </c>
      <c r="J23621" t="s">
        <v>203</v>
      </c>
      <c r="K23621">
        <v>380</v>
      </c>
      <c r="L23621">
        <v>18.420000000000002</v>
      </c>
      <c r="M23621">
        <v>46554</v>
      </c>
      <c r="N23621" t="s">
        <v>102</v>
      </c>
      <c r="O23621">
        <v>251009</v>
      </c>
      <c r="P23621">
        <v>131.58000000000001</v>
      </c>
    </row>
    <row r="23622" spans="1:16" x14ac:dyDescent="0.25">
      <c r="A23622" t="s">
        <v>3296</v>
      </c>
      <c r="B23622" t="s">
        <v>2931</v>
      </c>
      <c r="C23622">
        <v>13408</v>
      </c>
      <c r="D23622" t="str">
        <f t="shared" si="537"/>
        <v xml:space="preserve">532         </v>
      </c>
      <c r="E23622" t="s">
        <v>1549</v>
      </c>
      <c r="F23622" t="s">
        <v>1550</v>
      </c>
      <c r="G23622">
        <v>27</v>
      </c>
      <c r="H23622">
        <v>250930</v>
      </c>
      <c r="I23622">
        <v>4470</v>
      </c>
      <c r="J23622" t="s">
        <v>203</v>
      </c>
      <c r="K23622">
        <v>380</v>
      </c>
      <c r="L23622">
        <v>3.32</v>
      </c>
      <c r="M23622">
        <v>46556</v>
      </c>
      <c r="N23622" t="s">
        <v>458</v>
      </c>
      <c r="O23622">
        <v>251009</v>
      </c>
      <c r="P23622">
        <v>23.68</v>
      </c>
    </row>
    <row r="23623" spans="1:16" x14ac:dyDescent="0.25">
      <c r="A23623" t="s">
        <v>3296</v>
      </c>
      <c r="B23623" t="s">
        <v>2931</v>
      </c>
      <c r="C23623">
        <v>13408</v>
      </c>
      <c r="D23623" t="str">
        <f t="shared" si="537"/>
        <v xml:space="preserve">532         </v>
      </c>
      <c r="E23623" t="s">
        <v>1549</v>
      </c>
      <c r="F23623" t="s">
        <v>1550</v>
      </c>
      <c r="G23623">
        <v>45</v>
      </c>
      <c r="H23623">
        <v>250930</v>
      </c>
      <c r="I23623">
        <v>4470</v>
      </c>
      <c r="J23623" t="s">
        <v>203</v>
      </c>
      <c r="K23623">
        <v>380</v>
      </c>
      <c r="L23623">
        <v>5.53</v>
      </c>
      <c r="M23623">
        <v>46557</v>
      </c>
      <c r="N23623" t="s">
        <v>104</v>
      </c>
      <c r="O23623">
        <v>251009</v>
      </c>
      <c r="P23623">
        <v>39.47</v>
      </c>
    </row>
    <row r="23624" spans="1:16" x14ac:dyDescent="0.25">
      <c r="A23624" t="s">
        <v>3296</v>
      </c>
      <c r="B23624" t="s">
        <v>2931</v>
      </c>
      <c r="C23624">
        <v>13408</v>
      </c>
      <c r="D23624" t="str">
        <f t="shared" si="537"/>
        <v xml:space="preserve">532         </v>
      </c>
      <c r="E23624" t="s">
        <v>1549</v>
      </c>
      <c r="F23624" t="s">
        <v>1550</v>
      </c>
      <c r="G23624">
        <v>12</v>
      </c>
      <c r="H23624">
        <v>250930</v>
      </c>
      <c r="I23624">
        <v>4470</v>
      </c>
      <c r="J23624" t="s">
        <v>203</v>
      </c>
      <c r="K23624">
        <v>380</v>
      </c>
      <c r="L23624">
        <v>1.47</v>
      </c>
      <c r="M23624">
        <v>48601</v>
      </c>
      <c r="N23624" t="s">
        <v>107</v>
      </c>
      <c r="O23624">
        <v>251009</v>
      </c>
      <c r="P23624">
        <v>10.53</v>
      </c>
    </row>
    <row r="23625" spans="1:16" x14ac:dyDescent="0.25">
      <c r="A23625" t="s">
        <v>3296</v>
      </c>
      <c r="B23625" t="s">
        <v>2931</v>
      </c>
      <c r="C23625">
        <v>13408</v>
      </c>
      <c r="D23625" t="str">
        <f t="shared" si="537"/>
        <v xml:space="preserve">532         </v>
      </c>
      <c r="E23625" t="s">
        <v>1549</v>
      </c>
      <c r="F23625" t="s">
        <v>1550</v>
      </c>
      <c r="G23625">
        <v>54</v>
      </c>
      <c r="H23625">
        <v>250930</v>
      </c>
      <c r="I23625">
        <v>4470</v>
      </c>
      <c r="J23625" t="s">
        <v>203</v>
      </c>
      <c r="K23625">
        <v>380</v>
      </c>
      <c r="L23625">
        <v>6.63</v>
      </c>
      <c r="M23625">
        <v>49807</v>
      </c>
      <c r="N23625" t="s">
        <v>852</v>
      </c>
      <c r="O23625">
        <v>251009</v>
      </c>
      <c r="P23625">
        <v>47.37</v>
      </c>
    </row>
    <row r="23626" spans="1:16" x14ac:dyDescent="0.25">
      <c r="A23626" t="s">
        <v>3296</v>
      </c>
      <c r="B23626" t="s">
        <v>2931</v>
      </c>
      <c r="C23626">
        <v>13420</v>
      </c>
      <c r="D23626" t="str">
        <f>"533         "</f>
        <v xml:space="preserve">533         </v>
      </c>
      <c r="E23626" t="s">
        <v>1549</v>
      </c>
      <c r="F23626" t="s">
        <v>1550</v>
      </c>
      <c r="G23626">
        <v>36</v>
      </c>
      <c r="H23626">
        <v>251006</v>
      </c>
      <c r="I23626">
        <v>4470</v>
      </c>
      <c r="J23626" t="s">
        <v>203</v>
      </c>
      <c r="K23626">
        <v>36</v>
      </c>
      <c r="L23626">
        <v>4.42</v>
      </c>
      <c r="M23626">
        <v>43222</v>
      </c>
      <c r="N23626" t="s">
        <v>95</v>
      </c>
      <c r="O23626">
        <v>251009</v>
      </c>
      <c r="P23626">
        <v>31.58</v>
      </c>
    </row>
    <row r="23627" spans="1:16" x14ac:dyDescent="0.25">
      <c r="A23627" t="s">
        <v>3296</v>
      </c>
      <c r="B23627" t="s">
        <v>2931</v>
      </c>
      <c r="C23627">
        <v>16095</v>
      </c>
      <c r="D23627" t="str">
        <f>"545         "</f>
        <v xml:space="preserve">545         </v>
      </c>
      <c r="E23627" t="s">
        <v>1549</v>
      </c>
      <c r="F23627" t="s">
        <v>1550</v>
      </c>
      <c r="G23627">
        <v>36</v>
      </c>
      <c r="H23627">
        <v>251127</v>
      </c>
      <c r="I23627">
        <v>4470</v>
      </c>
      <c r="J23627" t="s">
        <v>203</v>
      </c>
      <c r="K23627">
        <v>36</v>
      </c>
      <c r="L23627">
        <v>4.42</v>
      </c>
      <c r="M23627">
        <v>49807</v>
      </c>
      <c r="N23627" t="s">
        <v>852</v>
      </c>
      <c r="O23627">
        <v>251203</v>
      </c>
      <c r="P23627">
        <v>31.58</v>
      </c>
    </row>
    <row r="23628" spans="1:16" x14ac:dyDescent="0.25">
      <c r="A23628" t="s">
        <v>3296</v>
      </c>
      <c r="B23628" t="s">
        <v>2931</v>
      </c>
      <c r="C23628">
        <v>5926</v>
      </c>
      <c r="D23628" t="str">
        <f>"1601534     "</f>
        <v xml:space="preserve">1601534     </v>
      </c>
      <c r="E23628" t="s">
        <v>1819</v>
      </c>
      <c r="F23628" t="s">
        <v>1820</v>
      </c>
      <c r="G23628">
        <v>172.67</v>
      </c>
      <c r="H23628">
        <v>250429</v>
      </c>
      <c r="I23628">
        <v>4600</v>
      </c>
      <c r="J23628" t="s">
        <v>278</v>
      </c>
      <c r="K23628">
        <v>172.67</v>
      </c>
      <c r="L23628">
        <v>35.08</v>
      </c>
      <c r="M23628">
        <v>17711</v>
      </c>
      <c r="N23628" t="s">
        <v>155</v>
      </c>
      <c r="O23628">
        <v>250507</v>
      </c>
      <c r="P23628">
        <v>137.59</v>
      </c>
    </row>
    <row r="23629" spans="1:16" x14ac:dyDescent="0.25">
      <c r="A23629" t="s">
        <v>3296</v>
      </c>
      <c r="B23629" t="s">
        <v>2931</v>
      </c>
      <c r="C23629">
        <v>3579</v>
      </c>
      <c r="D23629" t="str">
        <f>"6371067594  "</f>
        <v xml:space="preserve">6371067594  </v>
      </c>
      <c r="E23629" t="s">
        <v>1473</v>
      </c>
      <c r="F23629" t="s">
        <v>1474</v>
      </c>
      <c r="G23629">
        <v>165.55</v>
      </c>
      <c r="H23629">
        <v>250314</v>
      </c>
      <c r="I23629">
        <v>4520</v>
      </c>
      <c r="J23629" t="s">
        <v>280</v>
      </c>
      <c r="K23629">
        <v>165.55</v>
      </c>
      <c r="L23629">
        <v>20.329999999999998</v>
      </c>
      <c r="M23629">
        <v>69811</v>
      </c>
      <c r="N23629" t="s">
        <v>230</v>
      </c>
      <c r="O23629">
        <v>250325</v>
      </c>
      <c r="P23629">
        <v>145.22</v>
      </c>
    </row>
    <row r="23630" spans="1:16" x14ac:dyDescent="0.25">
      <c r="A23630" t="s">
        <v>3296</v>
      </c>
      <c r="B23630" t="s">
        <v>2931</v>
      </c>
      <c r="C23630">
        <v>16680</v>
      </c>
      <c r="D23630" t="str">
        <f>"0029791     "</f>
        <v xml:space="preserve">0029791     </v>
      </c>
      <c r="E23630" t="s">
        <v>2698</v>
      </c>
      <c r="F23630" t="s">
        <v>2699</v>
      </c>
      <c r="G23630">
        <v>1637.78</v>
      </c>
      <c r="H23630">
        <v>251208</v>
      </c>
      <c r="I23630">
        <v>4390</v>
      </c>
      <c r="J23630" t="s">
        <v>232</v>
      </c>
      <c r="K23630">
        <v>1637.78</v>
      </c>
      <c r="L23630">
        <v>332.78</v>
      </c>
      <c r="M23630">
        <v>17952</v>
      </c>
      <c r="N23630" t="s">
        <v>157</v>
      </c>
      <c r="O23630">
        <v>251211</v>
      </c>
      <c r="P23630">
        <v>1305</v>
      </c>
    </row>
    <row r="23631" spans="1:16" x14ac:dyDescent="0.25">
      <c r="A23631" t="s">
        <v>3296</v>
      </c>
      <c r="B23631" t="s">
        <v>2931</v>
      </c>
      <c r="C23631">
        <v>4149</v>
      </c>
      <c r="D23631" t="str">
        <f>"4563        "</f>
        <v xml:space="preserve">4563        </v>
      </c>
      <c r="E23631" t="s">
        <v>1582</v>
      </c>
      <c r="F23631" t="s">
        <v>1583</v>
      </c>
      <c r="G23631">
        <v>877.96</v>
      </c>
      <c r="H23631">
        <v>250327</v>
      </c>
      <c r="I23631">
        <v>4555</v>
      </c>
      <c r="J23631" t="s">
        <v>352</v>
      </c>
      <c r="K23631">
        <v>3984.83</v>
      </c>
      <c r="L23631">
        <v>178.39</v>
      </c>
      <c r="M23631">
        <v>44453</v>
      </c>
      <c r="N23631" t="s">
        <v>100</v>
      </c>
      <c r="O23631">
        <v>250408</v>
      </c>
      <c r="P23631">
        <v>699.57</v>
      </c>
    </row>
    <row r="23632" spans="1:16" x14ac:dyDescent="0.25">
      <c r="A23632" t="s">
        <v>3296</v>
      </c>
      <c r="B23632" t="s">
        <v>2931</v>
      </c>
      <c r="C23632">
        <v>7305</v>
      </c>
      <c r="D23632" t="str">
        <f>"4573        "</f>
        <v xml:space="preserve">4573        </v>
      </c>
      <c r="E23632" t="s">
        <v>1582</v>
      </c>
      <c r="F23632" t="s">
        <v>1583</v>
      </c>
      <c r="G23632">
        <v>1070.93</v>
      </c>
      <c r="H23632">
        <v>250519</v>
      </c>
      <c r="I23632">
        <v>4580</v>
      </c>
      <c r="J23632" t="s">
        <v>126</v>
      </c>
      <c r="K23632">
        <v>3212.8</v>
      </c>
      <c r="L23632">
        <v>217.6</v>
      </c>
      <c r="M23632">
        <v>44423</v>
      </c>
      <c r="N23632" t="s">
        <v>98</v>
      </c>
      <c r="O23632">
        <v>250603</v>
      </c>
      <c r="P23632">
        <v>853.33</v>
      </c>
    </row>
    <row r="23633" spans="1:16" x14ac:dyDescent="0.25">
      <c r="A23633" t="s">
        <v>3296</v>
      </c>
      <c r="B23633" t="s">
        <v>2931</v>
      </c>
      <c r="C23633">
        <v>4149</v>
      </c>
      <c r="D23633" t="str">
        <f>"4563        "</f>
        <v xml:space="preserve">4563        </v>
      </c>
      <c r="E23633" t="s">
        <v>1582</v>
      </c>
      <c r="F23633" t="s">
        <v>1583</v>
      </c>
      <c r="G23633">
        <v>473</v>
      </c>
      <c r="H23633">
        <v>250327</v>
      </c>
      <c r="I23633">
        <v>4600</v>
      </c>
      <c r="J23633" t="s">
        <v>278</v>
      </c>
      <c r="K23633">
        <v>3984.83</v>
      </c>
      <c r="L23633">
        <v>96.11</v>
      </c>
      <c r="M23633">
        <v>44453</v>
      </c>
      <c r="N23633" t="s">
        <v>100</v>
      </c>
      <c r="O23633">
        <v>250408</v>
      </c>
      <c r="P23633">
        <v>376.89</v>
      </c>
    </row>
    <row r="23634" spans="1:16" x14ac:dyDescent="0.25">
      <c r="A23634" t="s">
        <v>3296</v>
      </c>
      <c r="B23634" t="s">
        <v>2931</v>
      </c>
      <c r="C23634">
        <v>4243</v>
      </c>
      <c r="D23634" t="str">
        <f>"1554        "</f>
        <v xml:space="preserve">1554        </v>
      </c>
      <c r="E23634" t="s">
        <v>1600</v>
      </c>
      <c r="F23634" t="s">
        <v>1601</v>
      </c>
      <c r="G23634">
        <v>1203.49</v>
      </c>
      <c r="H23634">
        <v>250327</v>
      </c>
      <c r="I23634">
        <v>4380</v>
      </c>
      <c r="J23634" t="s">
        <v>211</v>
      </c>
      <c r="K23634">
        <v>1203.49</v>
      </c>
      <c r="L23634">
        <v>244.53</v>
      </c>
      <c r="M23634">
        <v>17952</v>
      </c>
      <c r="N23634" t="s">
        <v>157</v>
      </c>
      <c r="O23634">
        <v>250409</v>
      </c>
      <c r="P23634">
        <v>958.96</v>
      </c>
    </row>
    <row r="23635" spans="1:16" x14ac:dyDescent="0.25">
      <c r="A23635" t="s">
        <v>3296</v>
      </c>
      <c r="B23635" t="s">
        <v>2931</v>
      </c>
      <c r="C23635">
        <v>16682</v>
      </c>
      <c r="D23635" t="str">
        <f>"1665        "</f>
        <v xml:space="preserve">1665        </v>
      </c>
      <c r="E23635" t="s">
        <v>1600</v>
      </c>
      <c r="F23635" t="s">
        <v>1601</v>
      </c>
      <c r="G23635">
        <v>872.68</v>
      </c>
      <c r="H23635">
        <v>251208</v>
      </c>
      <c r="I23635">
        <v>4380</v>
      </c>
      <c r="J23635" t="s">
        <v>211</v>
      </c>
      <c r="K23635">
        <v>872.68</v>
      </c>
      <c r="L23635">
        <v>177.32</v>
      </c>
      <c r="M23635">
        <v>17952</v>
      </c>
      <c r="N23635" t="s">
        <v>157</v>
      </c>
      <c r="O23635">
        <v>251211</v>
      </c>
      <c r="P23635">
        <v>695.36</v>
      </c>
    </row>
    <row r="23636" spans="1:16" x14ac:dyDescent="0.25">
      <c r="A23636" t="s">
        <v>3296</v>
      </c>
      <c r="B23636" t="s">
        <v>2931</v>
      </c>
      <c r="C23636">
        <v>17144</v>
      </c>
      <c r="D23636" t="str">
        <f>"2265        "</f>
        <v xml:space="preserve">2265        </v>
      </c>
      <c r="E23636" t="s">
        <v>1513</v>
      </c>
      <c r="F23636" t="s">
        <v>1514</v>
      </c>
      <c r="G23636">
        <v>76</v>
      </c>
      <c r="H23636">
        <v>251212</v>
      </c>
      <c r="I23636">
        <v>4580</v>
      </c>
      <c r="J23636" t="s">
        <v>126</v>
      </c>
      <c r="K23636">
        <v>76</v>
      </c>
      <c r="L23636">
        <v>15.44</v>
      </c>
      <c r="M23636">
        <v>17537</v>
      </c>
      <c r="N23636" t="s">
        <v>151</v>
      </c>
      <c r="O23636">
        <v>251217</v>
      </c>
      <c r="P23636">
        <v>60.56</v>
      </c>
    </row>
    <row r="23637" spans="1:16" x14ac:dyDescent="0.25">
      <c r="A23637" t="s">
        <v>3296</v>
      </c>
      <c r="B23637" t="s">
        <v>2931</v>
      </c>
      <c r="C23637">
        <v>3824</v>
      </c>
      <c r="D23637" t="str">
        <f>"1844        "</f>
        <v xml:space="preserve">1844        </v>
      </c>
      <c r="E23637" t="s">
        <v>1513</v>
      </c>
      <c r="F23637" t="s">
        <v>1514</v>
      </c>
      <c r="G23637">
        <v>54.75</v>
      </c>
      <c r="H23637">
        <v>250319</v>
      </c>
      <c r="I23637">
        <v>4600</v>
      </c>
      <c r="J23637" t="s">
        <v>278</v>
      </c>
      <c r="K23637">
        <v>54.75</v>
      </c>
      <c r="L23637">
        <v>11.12</v>
      </c>
      <c r="M23637">
        <v>17635</v>
      </c>
      <c r="N23637" t="s">
        <v>1264</v>
      </c>
      <c r="O23637">
        <v>250402</v>
      </c>
      <c r="P23637">
        <v>43.63</v>
      </c>
    </row>
    <row r="23638" spans="1:16" x14ac:dyDescent="0.25">
      <c r="A23638" t="s">
        <v>3296</v>
      </c>
      <c r="B23638" t="s">
        <v>2931</v>
      </c>
      <c r="C23638">
        <v>15116</v>
      </c>
      <c r="D23638" t="str">
        <f>"2214        "</f>
        <v xml:space="preserve">2214        </v>
      </c>
      <c r="E23638" t="s">
        <v>1513</v>
      </c>
      <c r="F23638" t="s">
        <v>1514</v>
      </c>
      <c r="G23638">
        <v>28</v>
      </c>
      <c r="H23638">
        <v>251109</v>
      </c>
      <c r="I23638">
        <v>4600</v>
      </c>
      <c r="J23638" t="s">
        <v>278</v>
      </c>
      <c r="K23638">
        <v>1008</v>
      </c>
      <c r="L23638">
        <v>5.69</v>
      </c>
      <c r="M23638">
        <v>17524</v>
      </c>
      <c r="N23638" t="s">
        <v>139</v>
      </c>
      <c r="O23638">
        <v>251111</v>
      </c>
      <c r="P23638">
        <v>22.31</v>
      </c>
    </row>
    <row r="23639" spans="1:16" x14ac:dyDescent="0.25">
      <c r="A23639" t="s">
        <v>3296</v>
      </c>
      <c r="B23639" t="s">
        <v>2931</v>
      </c>
      <c r="C23639">
        <v>15116</v>
      </c>
      <c r="D23639" t="str">
        <f>"2214        "</f>
        <v xml:space="preserve">2214        </v>
      </c>
      <c r="E23639" t="s">
        <v>1513</v>
      </c>
      <c r="F23639" t="s">
        <v>1514</v>
      </c>
      <c r="G23639">
        <v>980</v>
      </c>
      <c r="H23639">
        <v>251109</v>
      </c>
      <c r="I23639">
        <v>4600</v>
      </c>
      <c r="J23639" t="s">
        <v>278</v>
      </c>
      <c r="K23639">
        <v>1008</v>
      </c>
      <c r="L23639">
        <v>120.35</v>
      </c>
      <c r="M23639">
        <v>17635</v>
      </c>
      <c r="N23639" t="s">
        <v>1264</v>
      </c>
      <c r="O23639">
        <v>251111</v>
      </c>
      <c r="P23639">
        <v>859.65</v>
      </c>
    </row>
    <row r="23640" spans="1:16" x14ac:dyDescent="0.25">
      <c r="A23640" t="s">
        <v>3296</v>
      </c>
      <c r="B23640" t="s">
        <v>2931</v>
      </c>
      <c r="C23640">
        <v>17389</v>
      </c>
      <c r="D23640" t="str">
        <f>"2276        "</f>
        <v xml:space="preserve">2276        </v>
      </c>
      <c r="E23640" t="s">
        <v>1513</v>
      </c>
      <c r="F23640" t="s">
        <v>1514</v>
      </c>
      <c r="G23640">
        <v>152.18</v>
      </c>
      <c r="H23640">
        <v>251216</v>
      </c>
      <c r="I23640">
        <v>4600</v>
      </c>
      <c r="J23640" t="s">
        <v>278</v>
      </c>
      <c r="K23640">
        <v>152.18</v>
      </c>
      <c r="L23640">
        <v>30.92</v>
      </c>
      <c r="M23640">
        <v>17635</v>
      </c>
      <c r="N23640" t="s">
        <v>1264</v>
      </c>
      <c r="O23640">
        <v>251219</v>
      </c>
      <c r="P23640">
        <v>121.26</v>
      </c>
    </row>
    <row r="23641" spans="1:16" x14ac:dyDescent="0.25">
      <c r="A23641" t="s">
        <v>3296</v>
      </c>
      <c r="B23641" t="s">
        <v>2931</v>
      </c>
      <c r="C23641">
        <v>2572</v>
      </c>
      <c r="D23641" t="str">
        <f>"35207       "</f>
        <v xml:space="preserve">35207       </v>
      </c>
      <c r="E23641" t="s">
        <v>1312</v>
      </c>
      <c r="F23641" t="s">
        <v>1313</v>
      </c>
      <c r="G23641">
        <v>57.2</v>
      </c>
      <c r="H23641">
        <v>250218</v>
      </c>
      <c r="I23641">
        <v>4580</v>
      </c>
      <c r="J23641" t="s">
        <v>126</v>
      </c>
      <c r="K23641">
        <v>57.2</v>
      </c>
      <c r="L23641">
        <v>11.62</v>
      </c>
      <c r="M23641">
        <v>47522</v>
      </c>
      <c r="N23641" t="s">
        <v>106</v>
      </c>
      <c r="O23641">
        <v>250306</v>
      </c>
      <c r="P23641">
        <v>45.58</v>
      </c>
    </row>
    <row r="23642" spans="1:16" x14ac:dyDescent="0.25">
      <c r="A23642" t="s">
        <v>3296</v>
      </c>
      <c r="B23642" t="s">
        <v>2931</v>
      </c>
      <c r="C23642">
        <v>1861</v>
      </c>
      <c r="D23642" t="str">
        <f>"1046440     "</f>
        <v xml:space="preserve">1046440     </v>
      </c>
      <c r="E23642" t="s">
        <v>3319</v>
      </c>
      <c r="F23642" t="s">
        <v>3320</v>
      </c>
      <c r="G23642">
        <v>5287.18</v>
      </c>
      <c r="H23642">
        <v>250212</v>
      </c>
      <c r="I23642">
        <v>4350</v>
      </c>
      <c r="J23642" t="s">
        <v>290</v>
      </c>
      <c r="K23642">
        <v>5287.18</v>
      </c>
      <c r="L23642">
        <v>1074.29</v>
      </c>
      <c r="M23642">
        <v>11301</v>
      </c>
      <c r="N23642" t="s">
        <v>92</v>
      </c>
      <c r="O23642">
        <v>250214</v>
      </c>
      <c r="P23642">
        <v>4212.8900000000003</v>
      </c>
    </row>
    <row r="23643" spans="1:16" x14ac:dyDescent="0.25">
      <c r="A23643" t="s">
        <v>3296</v>
      </c>
      <c r="B23643" t="s">
        <v>2931</v>
      </c>
      <c r="C23643">
        <v>15108</v>
      </c>
      <c r="D23643" t="str">
        <f>"10004222    "</f>
        <v xml:space="preserve">10004222    </v>
      </c>
      <c r="E23643" t="s">
        <v>3319</v>
      </c>
      <c r="F23643" t="s">
        <v>3320</v>
      </c>
      <c r="G23643">
        <v>5287.19</v>
      </c>
      <c r="H23643">
        <v>251107</v>
      </c>
      <c r="I23643">
        <v>4350</v>
      </c>
      <c r="J23643" t="s">
        <v>290</v>
      </c>
      <c r="K23643">
        <v>5287.19</v>
      </c>
      <c r="L23643">
        <v>1074.29</v>
      </c>
      <c r="M23643">
        <v>11301</v>
      </c>
      <c r="N23643" t="s">
        <v>92</v>
      </c>
      <c r="O23643">
        <v>251111</v>
      </c>
      <c r="P23643">
        <v>4212.8999999999996</v>
      </c>
    </row>
    <row r="23644" spans="1:16" x14ac:dyDescent="0.25">
      <c r="A23644" t="s">
        <v>3296</v>
      </c>
      <c r="B23644" t="s">
        <v>2931</v>
      </c>
      <c r="C23644">
        <v>1008</v>
      </c>
      <c r="D23644" t="str">
        <f>"3920        "</f>
        <v xml:space="preserve">3920        </v>
      </c>
      <c r="E23644" t="s">
        <v>811</v>
      </c>
      <c r="F23644" t="s">
        <v>813</v>
      </c>
      <c r="G23644">
        <v>237.19</v>
      </c>
      <c r="H23644">
        <v>250122</v>
      </c>
      <c r="I23644">
        <v>4590</v>
      </c>
      <c r="J23644" t="s">
        <v>388</v>
      </c>
      <c r="K23644">
        <v>237.19</v>
      </c>
      <c r="L23644">
        <v>48.19</v>
      </c>
      <c r="M23644">
        <v>17957</v>
      </c>
      <c r="N23644" t="s">
        <v>812</v>
      </c>
      <c r="O23644">
        <v>250203</v>
      </c>
      <c r="P23644">
        <v>189</v>
      </c>
    </row>
    <row r="23645" spans="1:16" x14ac:dyDescent="0.25">
      <c r="A23645" t="s">
        <v>3296</v>
      </c>
      <c r="B23645" t="s">
        <v>2931</v>
      </c>
      <c r="C23645">
        <v>4726</v>
      </c>
      <c r="D23645" t="str">
        <f>"3965        "</f>
        <v xml:space="preserve">3965        </v>
      </c>
      <c r="E23645" t="s">
        <v>811</v>
      </c>
      <c r="F23645" t="s">
        <v>813</v>
      </c>
      <c r="G23645">
        <v>126.34</v>
      </c>
      <c r="H23645">
        <v>250407</v>
      </c>
      <c r="I23645">
        <v>4600</v>
      </c>
      <c r="J23645" t="s">
        <v>278</v>
      </c>
      <c r="K23645">
        <v>126.34</v>
      </c>
      <c r="L23645">
        <v>25.67</v>
      </c>
      <c r="M23645">
        <v>17526</v>
      </c>
      <c r="N23645" t="s">
        <v>141</v>
      </c>
      <c r="O23645">
        <v>250415</v>
      </c>
      <c r="P23645">
        <v>100.67</v>
      </c>
    </row>
    <row r="23646" spans="1:16" x14ac:dyDescent="0.25">
      <c r="A23646" t="s">
        <v>3296</v>
      </c>
      <c r="B23646" t="s">
        <v>2931</v>
      </c>
      <c r="C23646">
        <v>5313</v>
      </c>
      <c r="D23646" t="str">
        <f>"3974        "</f>
        <v xml:space="preserve">3974        </v>
      </c>
      <c r="E23646" t="s">
        <v>811</v>
      </c>
      <c r="F23646" t="s">
        <v>813</v>
      </c>
      <c r="G23646">
        <v>269.8</v>
      </c>
      <c r="H23646">
        <v>250415</v>
      </c>
      <c r="I23646">
        <v>4600</v>
      </c>
      <c r="J23646" t="s">
        <v>278</v>
      </c>
      <c r="K23646">
        <v>269.8</v>
      </c>
      <c r="L23646">
        <v>54.82</v>
      </c>
      <c r="M23646">
        <v>17523</v>
      </c>
      <c r="N23646" t="s">
        <v>138</v>
      </c>
      <c r="O23646">
        <v>250423</v>
      </c>
      <c r="P23646">
        <v>214.98</v>
      </c>
    </row>
    <row r="23647" spans="1:16" x14ac:dyDescent="0.25">
      <c r="A23647" t="s">
        <v>3296</v>
      </c>
      <c r="B23647" t="s">
        <v>2931</v>
      </c>
      <c r="C23647">
        <v>12641</v>
      </c>
      <c r="D23647" t="str">
        <f>"4106        "</f>
        <v xml:space="preserve">4106        </v>
      </c>
      <c r="E23647" t="s">
        <v>811</v>
      </c>
      <c r="F23647" t="s">
        <v>813</v>
      </c>
      <c r="G23647">
        <v>559.88</v>
      </c>
      <c r="H23647">
        <v>250923</v>
      </c>
      <c r="I23647">
        <v>4600</v>
      </c>
      <c r="J23647" t="s">
        <v>278</v>
      </c>
      <c r="K23647">
        <v>559.88</v>
      </c>
      <c r="L23647">
        <v>113.76</v>
      </c>
      <c r="M23647">
        <v>17527</v>
      </c>
      <c r="N23647" t="s">
        <v>142</v>
      </c>
      <c r="O23647">
        <v>250929</v>
      </c>
      <c r="P23647">
        <v>446.12</v>
      </c>
    </row>
    <row r="23648" spans="1:16" x14ac:dyDescent="0.25">
      <c r="A23648" t="s">
        <v>3296</v>
      </c>
      <c r="B23648" t="s">
        <v>2931</v>
      </c>
      <c r="C23648">
        <v>193</v>
      </c>
      <c r="D23648" t="str">
        <f>"8056        "</f>
        <v xml:space="preserve">8056        </v>
      </c>
      <c r="E23648" t="s">
        <v>319</v>
      </c>
      <c r="F23648" t="s">
        <v>320</v>
      </c>
      <c r="G23648">
        <v>1189.74</v>
      </c>
      <c r="H23648">
        <v>250110</v>
      </c>
      <c r="I23648">
        <v>4600</v>
      </c>
      <c r="J23648" t="s">
        <v>278</v>
      </c>
      <c r="K23648">
        <v>1189.74</v>
      </c>
      <c r="L23648">
        <v>241.74</v>
      </c>
      <c r="M23648">
        <v>59802</v>
      </c>
      <c r="N23648" t="s">
        <v>195</v>
      </c>
      <c r="O23648">
        <v>250115</v>
      </c>
      <c r="P23648">
        <v>948</v>
      </c>
    </row>
    <row r="23649" spans="1:16" x14ac:dyDescent="0.25">
      <c r="A23649" t="s">
        <v>3296</v>
      </c>
      <c r="B23649" t="s">
        <v>2931</v>
      </c>
      <c r="C23649">
        <v>6158</v>
      </c>
      <c r="D23649" t="str">
        <f>"55251039246 "</f>
        <v xml:space="preserve">55251039246 </v>
      </c>
      <c r="E23649" t="s">
        <v>1845</v>
      </c>
      <c r="F23649" t="s">
        <v>1846</v>
      </c>
      <c r="G23649">
        <v>20.87</v>
      </c>
      <c r="H23649">
        <v>250430</v>
      </c>
      <c r="I23649">
        <v>4572</v>
      </c>
      <c r="J23649" t="s">
        <v>173</v>
      </c>
      <c r="K23649">
        <v>20.87</v>
      </c>
      <c r="L23649">
        <v>4.24</v>
      </c>
      <c r="M23649">
        <v>13841</v>
      </c>
      <c r="N23649" t="s">
        <v>178</v>
      </c>
      <c r="O23649">
        <v>250509</v>
      </c>
      <c r="P23649">
        <v>16.63</v>
      </c>
    </row>
    <row r="23650" spans="1:16" x14ac:dyDescent="0.25">
      <c r="A23650" t="s">
        <v>3296</v>
      </c>
      <c r="B23650" t="s">
        <v>2931</v>
      </c>
      <c r="C23650">
        <v>6164</v>
      </c>
      <c r="D23650" t="str">
        <f>"55251034948 "</f>
        <v xml:space="preserve">55251034948 </v>
      </c>
      <c r="E23650" t="s">
        <v>1845</v>
      </c>
      <c r="F23650" t="s">
        <v>1846</v>
      </c>
      <c r="G23650">
        <v>17.8</v>
      </c>
      <c r="H23650">
        <v>250430</v>
      </c>
      <c r="I23650">
        <v>4572</v>
      </c>
      <c r="J23650" t="s">
        <v>173</v>
      </c>
      <c r="K23650">
        <v>17.8</v>
      </c>
      <c r="L23650">
        <v>3.62</v>
      </c>
      <c r="M23650">
        <v>17956</v>
      </c>
      <c r="N23650" t="s">
        <v>170</v>
      </c>
      <c r="O23650">
        <v>250509</v>
      </c>
      <c r="P23650">
        <v>14.18</v>
      </c>
    </row>
    <row r="23651" spans="1:16" x14ac:dyDescent="0.25">
      <c r="A23651" t="s">
        <v>3296</v>
      </c>
      <c r="B23651" t="s">
        <v>2931</v>
      </c>
      <c r="C23651">
        <v>6180</v>
      </c>
      <c r="D23651" t="str">
        <f>"55251037865 "</f>
        <v xml:space="preserve">55251037865 </v>
      </c>
      <c r="E23651" t="s">
        <v>1845</v>
      </c>
      <c r="F23651" t="s">
        <v>1846</v>
      </c>
      <c r="G23651">
        <v>7.07</v>
      </c>
      <c r="H23651">
        <v>250430</v>
      </c>
      <c r="I23651">
        <v>4572</v>
      </c>
      <c r="J23651" t="s">
        <v>173</v>
      </c>
      <c r="K23651">
        <v>26.18</v>
      </c>
      <c r="L23651">
        <v>1.44</v>
      </c>
      <c r="M23651">
        <v>59112</v>
      </c>
      <c r="N23651" t="s">
        <v>44</v>
      </c>
      <c r="O23651">
        <v>250509</v>
      </c>
      <c r="P23651">
        <v>5.63</v>
      </c>
    </row>
    <row r="23652" spans="1:16" x14ac:dyDescent="0.25">
      <c r="A23652" t="s">
        <v>3296</v>
      </c>
      <c r="B23652" t="s">
        <v>2931</v>
      </c>
      <c r="C23652">
        <v>6180</v>
      </c>
      <c r="D23652" t="str">
        <f>"55251037865 "</f>
        <v xml:space="preserve">55251037865 </v>
      </c>
      <c r="E23652" t="s">
        <v>1845</v>
      </c>
      <c r="F23652" t="s">
        <v>1846</v>
      </c>
      <c r="G23652">
        <v>19.11</v>
      </c>
      <c r="H23652">
        <v>250430</v>
      </c>
      <c r="I23652">
        <v>4572</v>
      </c>
      <c r="J23652" t="s">
        <v>173</v>
      </c>
      <c r="K23652">
        <v>26.18</v>
      </c>
      <c r="L23652">
        <v>3.88</v>
      </c>
      <c r="M23652">
        <v>59504</v>
      </c>
      <c r="N23652" t="s">
        <v>193</v>
      </c>
      <c r="O23652">
        <v>250509</v>
      </c>
      <c r="P23652">
        <v>15.23</v>
      </c>
    </row>
    <row r="23653" spans="1:16" x14ac:dyDescent="0.25">
      <c r="A23653" t="s">
        <v>3296</v>
      </c>
      <c r="B23653" t="s">
        <v>2931</v>
      </c>
      <c r="C23653">
        <v>6181</v>
      </c>
      <c r="D23653" t="str">
        <f>"55251032967 "</f>
        <v xml:space="preserve">55251032967 </v>
      </c>
      <c r="E23653" t="s">
        <v>1845</v>
      </c>
      <c r="F23653" t="s">
        <v>1846</v>
      </c>
      <c r="G23653">
        <v>38.799999999999997</v>
      </c>
      <c r="H23653">
        <v>250430</v>
      </c>
      <c r="I23653">
        <v>4572</v>
      </c>
      <c r="J23653" t="s">
        <v>173</v>
      </c>
      <c r="K23653">
        <v>38.799999999999997</v>
      </c>
      <c r="L23653">
        <v>7.88</v>
      </c>
      <c r="M23653">
        <v>13841</v>
      </c>
      <c r="N23653" t="s">
        <v>178</v>
      </c>
      <c r="O23653">
        <v>250509</v>
      </c>
      <c r="P23653">
        <v>30.92</v>
      </c>
    </row>
    <row r="23654" spans="1:16" x14ac:dyDescent="0.25">
      <c r="A23654" t="s">
        <v>3296</v>
      </c>
      <c r="B23654" t="s">
        <v>2931</v>
      </c>
      <c r="C23654">
        <v>6185</v>
      </c>
      <c r="D23654" t="str">
        <f>"55251031538 "</f>
        <v xml:space="preserve">55251031538 </v>
      </c>
      <c r="E23654" t="s">
        <v>1845</v>
      </c>
      <c r="F23654" t="s">
        <v>1846</v>
      </c>
      <c r="G23654">
        <v>177.06</v>
      </c>
      <c r="H23654">
        <v>250430</v>
      </c>
      <c r="I23654">
        <v>4572</v>
      </c>
      <c r="J23654" t="s">
        <v>173</v>
      </c>
      <c r="K23654">
        <v>177.06</v>
      </c>
      <c r="L23654">
        <v>35.979999999999997</v>
      </c>
      <c r="M23654">
        <v>17956</v>
      </c>
      <c r="N23654" t="s">
        <v>170</v>
      </c>
      <c r="O23654">
        <v>250509</v>
      </c>
      <c r="P23654">
        <v>141.08000000000001</v>
      </c>
    </row>
    <row r="23655" spans="1:16" x14ac:dyDescent="0.25">
      <c r="A23655" t="s">
        <v>3296</v>
      </c>
      <c r="B23655" t="s">
        <v>2931</v>
      </c>
      <c r="C23655">
        <v>6191</v>
      </c>
      <c r="D23655" t="str">
        <f>"55251037752 "</f>
        <v xml:space="preserve">55251037752 </v>
      </c>
      <c r="E23655" t="s">
        <v>1845</v>
      </c>
      <c r="F23655" t="s">
        <v>1846</v>
      </c>
      <c r="G23655">
        <v>317.58999999999997</v>
      </c>
      <c r="H23655">
        <v>250429</v>
      </c>
      <c r="I23655">
        <v>4572</v>
      </c>
      <c r="J23655" t="s">
        <v>173</v>
      </c>
      <c r="K23655">
        <v>317.58999999999997</v>
      </c>
      <c r="L23655">
        <v>64.53</v>
      </c>
      <c r="M23655">
        <v>13841</v>
      </c>
      <c r="N23655" t="s">
        <v>178</v>
      </c>
      <c r="O23655">
        <v>250509</v>
      </c>
      <c r="P23655">
        <v>253.06</v>
      </c>
    </row>
    <row r="23656" spans="1:16" x14ac:dyDescent="0.25">
      <c r="A23656" t="s">
        <v>3296</v>
      </c>
      <c r="B23656" t="s">
        <v>2931</v>
      </c>
      <c r="C23656">
        <v>6192</v>
      </c>
      <c r="D23656" t="str">
        <f>"55251039207 "</f>
        <v xml:space="preserve">55251039207 </v>
      </c>
      <c r="E23656" t="s">
        <v>1845</v>
      </c>
      <c r="F23656" t="s">
        <v>1846</v>
      </c>
      <c r="G23656">
        <v>1116.1500000000001</v>
      </c>
      <c r="H23656">
        <v>250430</v>
      </c>
      <c r="I23656">
        <v>4572</v>
      </c>
      <c r="J23656" t="s">
        <v>173</v>
      </c>
      <c r="K23656">
        <v>1268.3499999999999</v>
      </c>
      <c r="L23656">
        <v>226.79</v>
      </c>
      <c r="M23656">
        <v>59505</v>
      </c>
      <c r="N23656" t="s">
        <v>194</v>
      </c>
      <c r="O23656">
        <v>250509</v>
      </c>
      <c r="P23656">
        <v>889.36</v>
      </c>
    </row>
    <row r="23657" spans="1:16" x14ac:dyDescent="0.25">
      <c r="A23657" t="s">
        <v>3296</v>
      </c>
      <c r="B23657" t="s">
        <v>2931</v>
      </c>
      <c r="C23657">
        <v>6192</v>
      </c>
      <c r="D23657" t="str">
        <f>"55251039207 "</f>
        <v xml:space="preserve">55251039207 </v>
      </c>
      <c r="E23657" t="s">
        <v>1845</v>
      </c>
      <c r="F23657" t="s">
        <v>1846</v>
      </c>
      <c r="G23657">
        <v>152.19999999999999</v>
      </c>
      <c r="H23657">
        <v>250430</v>
      </c>
      <c r="I23657">
        <v>4572</v>
      </c>
      <c r="J23657" t="s">
        <v>173</v>
      </c>
      <c r="K23657">
        <v>1268.3499999999999</v>
      </c>
      <c r="L23657">
        <v>30.93</v>
      </c>
      <c r="M23657">
        <v>59812</v>
      </c>
      <c r="N23657" t="s">
        <v>196</v>
      </c>
      <c r="O23657">
        <v>250509</v>
      </c>
      <c r="P23657">
        <v>121.27</v>
      </c>
    </row>
    <row r="23658" spans="1:16" x14ac:dyDescent="0.25">
      <c r="A23658" t="s">
        <v>3296</v>
      </c>
      <c r="B23658" t="s">
        <v>2931</v>
      </c>
      <c r="C23658">
        <v>6193</v>
      </c>
      <c r="D23658" t="str">
        <f>"55251036938 "</f>
        <v xml:space="preserve">55251036938 </v>
      </c>
      <c r="E23658" t="s">
        <v>1845</v>
      </c>
      <c r="F23658" t="s">
        <v>1846</v>
      </c>
      <c r="G23658">
        <v>18.46</v>
      </c>
      <c r="H23658">
        <v>250430</v>
      </c>
      <c r="I23658">
        <v>4572</v>
      </c>
      <c r="J23658" t="s">
        <v>173</v>
      </c>
      <c r="K23658">
        <v>18.46</v>
      </c>
      <c r="L23658">
        <v>0</v>
      </c>
      <c r="M23658">
        <v>11001</v>
      </c>
      <c r="N23658" t="s">
        <v>93</v>
      </c>
      <c r="O23658">
        <v>250509</v>
      </c>
      <c r="P23658">
        <v>18.46</v>
      </c>
    </row>
    <row r="23659" spans="1:16" x14ac:dyDescent="0.25">
      <c r="A23659" t="s">
        <v>3296</v>
      </c>
      <c r="B23659" t="s">
        <v>2931</v>
      </c>
      <c r="C23659">
        <v>6195</v>
      </c>
      <c r="D23659" t="str">
        <f>"55251039116 "</f>
        <v xml:space="preserve">55251039116 </v>
      </c>
      <c r="E23659" t="s">
        <v>1845</v>
      </c>
      <c r="F23659" t="s">
        <v>1846</v>
      </c>
      <c r="G23659">
        <v>580.63</v>
      </c>
      <c r="H23659">
        <v>250430</v>
      </c>
      <c r="I23659">
        <v>4572</v>
      </c>
      <c r="J23659" t="s">
        <v>173</v>
      </c>
      <c r="K23659">
        <v>5278.43</v>
      </c>
      <c r="L23659">
        <v>117.98</v>
      </c>
      <c r="M23659">
        <v>13540</v>
      </c>
      <c r="N23659" t="s">
        <v>131</v>
      </c>
      <c r="O23659">
        <v>250509</v>
      </c>
      <c r="P23659">
        <v>462.65</v>
      </c>
    </row>
    <row r="23660" spans="1:16" x14ac:dyDescent="0.25">
      <c r="A23660" t="s">
        <v>3296</v>
      </c>
      <c r="B23660" t="s">
        <v>2931</v>
      </c>
      <c r="C23660">
        <v>6195</v>
      </c>
      <c r="D23660" t="str">
        <f>"55251039116 "</f>
        <v xml:space="preserve">55251039116 </v>
      </c>
      <c r="E23660" t="s">
        <v>1845</v>
      </c>
      <c r="F23660" t="s">
        <v>1846</v>
      </c>
      <c r="G23660">
        <v>4697.8</v>
      </c>
      <c r="H23660">
        <v>250430</v>
      </c>
      <c r="I23660">
        <v>4572</v>
      </c>
      <c r="J23660" t="s">
        <v>173</v>
      </c>
      <c r="K23660">
        <v>5278.43</v>
      </c>
      <c r="L23660">
        <v>954.53</v>
      </c>
      <c r="M23660">
        <v>17950</v>
      </c>
      <c r="N23660" t="s">
        <v>132</v>
      </c>
      <c r="O23660">
        <v>250509</v>
      </c>
      <c r="P23660">
        <v>3743.27</v>
      </c>
    </row>
    <row r="23661" spans="1:16" x14ac:dyDescent="0.25">
      <c r="A23661" t="s">
        <v>3296</v>
      </c>
      <c r="B23661" t="s">
        <v>2931</v>
      </c>
      <c r="C23661">
        <v>6197</v>
      </c>
      <c r="D23661" t="str">
        <f>"55251039966 "</f>
        <v xml:space="preserve">55251039966 </v>
      </c>
      <c r="E23661" t="s">
        <v>1845</v>
      </c>
      <c r="F23661" t="s">
        <v>1846</v>
      </c>
      <c r="G23661">
        <v>0.21</v>
      </c>
      <c r="H23661">
        <v>250430</v>
      </c>
      <c r="I23661">
        <v>4572</v>
      </c>
      <c r="J23661" t="s">
        <v>173</v>
      </c>
      <c r="K23661">
        <v>0.78</v>
      </c>
      <c r="L23661">
        <v>0.04</v>
      </c>
      <c r="M23661">
        <v>59112</v>
      </c>
      <c r="N23661" t="s">
        <v>44</v>
      </c>
      <c r="O23661">
        <v>250509</v>
      </c>
      <c r="P23661">
        <v>0.17</v>
      </c>
    </row>
    <row r="23662" spans="1:16" x14ac:dyDescent="0.25">
      <c r="A23662" t="s">
        <v>3296</v>
      </c>
      <c r="B23662" t="s">
        <v>2931</v>
      </c>
      <c r="C23662">
        <v>6197</v>
      </c>
      <c r="D23662" t="str">
        <f>"55251039966 "</f>
        <v xml:space="preserve">55251039966 </v>
      </c>
      <c r="E23662" t="s">
        <v>1845</v>
      </c>
      <c r="F23662" t="s">
        <v>1846</v>
      </c>
      <c r="G23662">
        <v>0.56999999999999995</v>
      </c>
      <c r="H23662">
        <v>250430</v>
      </c>
      <c r="I23662">
        <v>4572</v>
      </c>
      <c r="J23662" t="s">
        <v>173</v>
      </c>
      <c r="K23662">
        <v>0.78</v>
      </c>
      <c r="L23662">
        <v>0.12</v>
      </c>
      <c r="M23662">
        <v>59504</v>
      </c>
      <c r="N23662" t="s">
        <v>193</v>
      </c>
      <c r="O23662">
        <v>250509</v>
      </c>
      <c r="P23662">
        <v>0.45</v>
      </c>
    </row>
    <row r="23663" spans="1:16" x14ac:dyDescent="0.25">
      <c r="A23663" t="s">
        <v>3296</v>
      </c>
      <c r="B23663" t="s">
        <v>2931</v>
      </c>
      <c r="C23663">
        <v>6199</v>
      </c>
      <c r="D23663" t="str">
        <f>"55251039372 "</f>
        <v xml:space="preserve">55251039372 </v>
      </c>
      <c r="E23663" t="s">
        <v>1845</v>
      </c>
      <c r="F23663" t="s">
        <v>1846</v>
      </c>
      <c r="G23663">
        <v>1615.21</v>
      </c>
      <c r="H23663">
        <v>250430</v>
      </c>
      <c r="I23663">
        <v>4572</v>
      </c>
      <c r="J23663" t="s">
        <v>173</v>
      </c>
      <c r="K23663">
        <v>1700.22</v>
      </c>
      <c r="L23663">
        <v>328.19</v>
      </c>
      <c r="M23663">
        <v>49501</v>
      </c>
      <c r="N23663" t="s">
        <v>110</v>
      </c>
      <c r="O23663">
        <v>250509</v>
      </c>
      <c r="P23663">
        <v>1287.02</v>
      </c>
    </row>
    <row r="23664" spans="1:16" x14ac:dyDescent="0.25">
      <c r="A23664" t="s">
        <v>3296</v>
      </c>
      <c r="B23664" t="s">
        <v>2931</v>
      </c>
      <c r="C23664">
        <v>6199</v>
      </c>
      <c r="D23664" t="str">
        <f>"55251039372 "</f>
        <v xml:space="preserve">55251039372 </v>
      </c>
      <c r="E23664" t="s">
        <v>1845</v>
      </c>
      <c r="F23664" t="s">
        <v>1846</v>
      </c>
      <c r="G23664">
        <v>85.01</v>
      </c>
      <c r="H23664">
        <v>250430</v>
      </c>
      <c r="I23664">
        <v>4572</v>
      </c>
      <c r="J23664" t="s">
        <v>173</v>
      </c>
      <c r="K23664">
        <v>1700.22</v>
      </c>
      <c r="L23664">
        <v>17.27</v>
      </c>
      <c r="M23664">
        <v>49801</v>
      </c>
      <c r="N23664" t="s">
        <v>953</v>
      </c>
      <c r="O23664">
        <v>250509</v>
      </c>
      <c r="P23664">
        <v>67.739999999999995</v>
      </c>
    </row>
    <row r="23665" spans="1:16" x14ac:dyDescent="0.25">
      <c r="A23665" t="s">
        <v>3296</v>
      </c>
      <c r="B23665" t="s">
        <v>2931</v>
      </c>
      <c r="C23665">
        <v>6201</v>
      </c>
      <c r="D23665" t="str">
        <f>"55251037810 "</f>
        <v xml:space="preserve">55251037810 </v>
      </c>
      <c r="E23665" t="s">
        <v>1845</v>
      </c>
      <c r="F23665" t="s">
        <v>1846</v>
      </c>
      <c r="G23665">
        <v>120.79</v>
      </c>
      <c r="H23665">
        <v>250430</v>
      </c>
      <c r="I23665">
        <v>4572</v>
      </c>
      <c r="J23665" t="s">
        <v>173</v>
      </c>
      <c r="K23665">
        <v>4026.28</v>
      </c>
      <c r="L23665">
        <v>24.54</v>
      </c>
      <c r="M23665">
        <v>49111</v>
      </c>
      <c r="N23665" t="s">
        <v>108</v>
      </c>
      <c r="O23665">
        <v>250509</v>
      </c>
      <c r="P23665">
        <v>96.25</v>
      </c>
    </row>
    <row r="23666" spans="1:16" x14ac:dyDescent="0.25">
      <c r="A23666" t="s">
        <v>3296</v>
      </c>
      <c r="B23666" t="s">
        <v>2931</v>
      </c>
      <c r="C23666">
        <v>6201</v>
      </c>
      <c r="D23666" t="str">
        <f>"55251037810 "</f>
        <v xml:space="preserve">55251037810 </v>
      </c>
      <c r="E23666" t="s">
        <v>1845</v>
      </c>
      <c r="F23666" t="s">
        <v>1846</v>
      </c>
      <c r="G23666">
        <v>3724.3</v>
      </c>
      <c r="H23666">
        <v>250430</v>
      </c>
      <c r="I23666">
        <v>4572</v>
      </c>
      <c r="J23666" t="s">
        <v>173</v>
      </c>
      <c r="K23666">
        <v>4026.28</v>
      </c>
      <c r="L23666">
        <v>756.73</v>
      </c>
      <c r="M23666">
        <v>49501</v>
      </c>
      <c r="N23666" t="s">
        <v>110</v>
      </c>
      <c r="O23666">
        <v>250509</v>
      </c>
      <c r="P23666">
        <v>2967.57</v>
      </c>
    </row>
    <row r="23667" spans="1:16" x14ac:dyDescent="0.25">
      <c r="A23667" t="s">
        <v>3296</v>
      </c>
      <c r="B23667" t="s">
        <v>2931</v>
      </c>
      <c r="C23667">
        <v>6201</v>
      </c>
      <c r="D23667" t="str">
        <f>"55251037810 "</f>
        <v xml:space="preserve">55251037810 </v>
      </c>
      <c r="E23667" t="s">
        <v>1845</v>
      </c>
      <c r="F23667" t="s">
        <v>1846</v>
      </c>
      <c r="G23667">
        <v>80.53</v>
      </c>
      <c r="H23667">
        <v>250430</v>
      </c>
      <c r="I23667">
        <v>4572</v>
      </c>
      <c r="J23667" t="s">
        <v>173</v>
      </c>
      <c r="K23667">
        <v>4026.28</v>
      </c>
      <c r="L23667">
        <v>16.36</v>
      </c>
      <c r="M23667">
        <v>49801</v>
      </c>
      <c r="N23667" t="s">
        <v>953</v>
      </c>
      <c r="O23667">
        <v>250509</v>
      </c>
      <c r="P23667">
        <v>64.17</v>
      </c>
    </row>
    <row r="23668" spans="1:16" x14ac:dyDescent="0.25">
      <c r="A23668" t="s">
        <v>3296</v>
      </c>
      <c r="B23668" t="s">
        <v>2931</v>
      </c>
      <c r="C23668">
        <v>6201</v>
      </c>
      <c r="D23668" t="str">
        <f>"55251037810 "</f>
        <v xml:space="preserve">55251037810 </v>
      </c>
      <c r="E23668" t="s">
        <v>1845</v>
      </c>
      <c r="F23668" t="s">
        <v>1846</v>
      </c>
      <c r="G23668">
        <v>100.66</v>
      </c>
      <c r="H23668">
        <v>250430</v>
      </c>
      <c r="I23668">
        <v>4572</v>
      </c>
      <c r="J23668" t="s">
        <v>173</v>
      </c>
      <c r="K23668">
        <v>4026.28</v>
      </c>
      <c r="L23668">
        <v>0</v>
      </c>
      <c r="M23668">
        <v>49803</v>
      </c>
      <c r="N23668" t="s">
        <v>956</v>
      </c>
      <c r="O23668">
        <v>250509</v>
      </c>
      <c r="P23668">
        <v>100.66</v>
      </c>
    </row>
    <row r="23669" spans="1:16" x14ac:dyDescent="0.25">
      <c r="A23669" t="s">
        <v>3296</v>
      </c>
      <c r="B23669" t="s">
        <v>2931</v>
      </c>
      <c r="C23669">
        <v>6203</v>
      </c>
      <c r="D23669" t="str">
        <f>"55251037300 "</f>
        <v xml:space="preserve">55251037300 </v>
      </c>
      <c r="E23669" t="s">
        <v>1845</v>
      </c>
      <c r="F23669" t="s">
        <v>1846</v>
      </c>
      <c r="G23669">
        <v>3941.62</v>
      </c>
      <c r="H23669">
        <v>250430</v>
      </c>
      <c r="I23669">
        <v>4572</v>
      </c>
      <c r="J23669" t="s">
        <v>173</v>
      </c>
      <c r="K23669">
        <v>3941.62</v>
      </c>
      <c r="L23669">
        <v>800.89</v>
      </c>
      <c r="M23669">
        <v>17951</v>
      </c>
      <c r="N23669" t="s">
        <v>207</v>
      </c>
      <c r="O23669">
        <v>250509</v>
      </c>
      <c r="P23669">
        <v>3140.73</v>
      </c>
    </row>
    <row r="23670" spans="1:16" x14ac:dyDescent="0.25">
      <c r="A23670" t="s">
        <v>3296</v>
      </c>
      <c r="B23670" t="s">
        <v>2931</v>
      </c>
      <c r="C23670">
        <v>6204</v>
      </c>
      <c r="D23670" t="str">
        <f>"55251037663 "</f>
        <v xml:space="preserve">55251037663 </v>
      </c>
      <c r="E23670" t="s">
        <v>1845</v>
      </c>
      <c r="F23670" t="s">
        <v>1846</v>
      </c>
      <c r="G23670">
        <v>2095.08</v>
      </c>
      <c r="H23670">
        <v>250430</v>
      </c>
      <c r="I23670">
        <v>4572</v>
      </c>
      <c r="J23670" t="s">
        <v>173</v>
      </c>
      <c r="K23670">
        <v>3434.56</v>
      </c>
      <c r="L23670">
        <v>425.69</v>
      </c>
      <c r="M23670">
        <v>59502</v>
      </c>
      <c r="N23670" t="s">
        <v>63</v>
      </c>
      <c r="O23670">
        <v>250509</v>
      </c>
      <c r="P23670">
        <v>1669.39</v>
      </c>
    </row>
    <row r="23671" spans="1:16" x14ac:dyDescent="0.25">
      <c r="A23671" t="s">
        <v>3296</v>
      </c>
      <c r="B23671" t="s">
        <v>2931</v>
      </c>
      <c r="C23671">
        <v>6204</v>
      </c>
      <c r="D23671" t="str">
        <f>"55251037663 "</f>
        <v xml:space="preserve">55251037663 </v>
      </c>
      <c r="E23671" t="s">
        <v>1845</v>
      </c>
      <c r="F23671" t="s">
        <v>1846</v>
      </c>
      <c r="G23671">
        <v>1339.48</v>
      </c>
      <c r="H23671">
        <v>250430</v>
      </c>
      <c r="I23671">
        <v>4572</v>
      </c>
      <c r="J23671" t="s">
        <v>173</v>
      </c>
      <c r="K23671">
        <v>3434.56</v>
      </c>
      <c r="L23671">
        <v>272.17</v>
      </c>
      <c r="M23671">
        <v>59802</v>
      </c>
      <c r="N23671" t="s">
        <v>195</v>
      </c>
      <c r="O23671">
        <v>250509</v>
      </c>
      <c r="P23671">
        <v>1067.31</v>
      </c>
    </row>
    <row r="23672" spans="1:16" x14ac:dyDescent="0.25">
      <c r="A23672" t="s">
        <v>3296</v>
      </c>
      <c r="B23672" t="s">
        <v>2931</v>
      </c>
      <c r="C23672">
        <v>6205</v>
      </c>
      <c r="D23672" t="str">
        <f>"55251030191 "</f>
        <v xml:space="preserve">55251030191 </v>
      </c>
      <c r="E23672" t="s">
        <v>1845</v>
      </c>
      <c r="F23672" t="s">
        <v>1846</v>
      </c>
      <c r="G23672">
        <v>0.28999999999999998</v>
      </c>
      <c r="H23672">
        <v>250430</v>
      </c>
      <c r="I23672">
        <v>4572</v>
      </c>
      <c r="J23672" t="s">
        <v>173</v>
      </c>
      <c r="K23672">
        <v>1.07</v>
      </c>
      <c r="L23672">
        <v>0.06</v>
      </c>
      <c r="M23672">
        <v>59112</v>
      </c>
      <c r="N23672" t="s">
        <v>44</v>
      </c>
      <c r="O23672">
        <v>250509</v>
      </c>
      <c r="P23672">
        <v>0.23</v>
      </c>
    </row>
    <row r="23673" spans="1:16" x14ac:dyDescent="0.25">
      <c r="A23673" t="s">
        <v>3296</v>
      </c>
      <c r="B23673" t="s">
        <v>2931</v>
      </c>
      <c r="C23673">
        <v>6205</v>
      </c>
      <c r="D23673" t="str">
        <f>"55251030191 "</f>
        <v xml:space="preserve">55251030191 </v>
      </c>
      <c r="E23673" t="s">
        <v>1845</v>
      </c>
      <c r="F23673" t="s">
        <v>1846</v>
      </c>
      <c r="G23673">
        <v>0.78</v>
      </c>
      <c r="H23673">
        <v>250430</v>
      </c>
      <c r="I23673">
        <v>4572</v>
      </c>
      <c r="J23673" t="s">
        <v>173</v>
      </c>
      <c r="K23673">
        <v>1.07</v>
      </c>
      <c r="L23673">
        <v>0.16</v>
      </c>
      <c r="M23673">
        <v>59504</v>
      </c>
      <c r="N23673" t="s">
        <v>193</v>
      </c>
      <c r="O23673">
        <v>250509</v>
      </c>
      <c r="P23673">
        <v>0.62</v>
      </c>
    </row>
    <row r="23674" spans="1:16" x14ac:dyDescent="0.25">
      <c r="A23674" t="s">
        <v>3296</v>
      </c>
      <c r="B23674" t="s">
        <v>2931</v>
      </c>
      <c r="C23674">
        <v>6207</v>
      </c>
      <c r="D23674" t="str">
        <f>"55251039778 "</f>
        <v xml:space="preserve">55251039778 </v>
      </c>
      <c r="E23674" t="s">
        <v>1845</v>
      </c>
      <c r="F23674" t="s">
        <v>1846</v>
      </c>
      <c r="G23674">
        <v>388.48</v>
      </c>
      <c r="H23674">
        <v>250430</v>
      </c>
      <c r="I23674">
        <v>4572</v>
      </c>
      <c r="J23674" t="s">
        <v>173</v>
      </c>
      <c r="K23674">
        <v>6474.61</v>
      </c>
      <c r="L23674">
        <v>78.930000000000007</v>
      </c>
      <c r="M23674">
        <v>59111</v>
      </c>
      <c r="N23674" t="s">
        <v>60</v>
      </c>
      <c r="O23674">
        <v>250509</v>
      </c>
      <c r="P23674">
        <v>309.55</v>
      </c>
    </row>
    <row r="23675" spans="1:16" x14ac:dyDescent="0.25">
      <c r="A23675" t="s">
        <v>3296</v>
      </c>
      <c r="B23675" t="s">
        <v>2931</v>
      </c>
      <c r="C23675">
        <v>6207</v>
      </c>
      <c r="D23675" t="str">
        <f>"55251039778 "</f>
        <v xml:space="preserve">55251039778 </v>
      </c>
      <c r="E23675" t="s">
        <v>1845</v>
      </c>
      <c r="F23675" t="s">
        <v>1846</v>
      </c>
      <c r="G23675">
        <v>6086.13</v>
      </c>
      <c r="H23675">
        <v>250430</v>
      </c>
      <c r="I23675">
        <v>4572</v>
      </c>
      <c r="J23675" t="s">
        <v>173</v>
      </c>
      <c r="K23675">
        <v>6474.61</v>
      </c>
      <c r="L23675">
        <v>1236.6199999999999</v>
      </c>
      <c r="M23675">
        <v>59501</v>
      </c>
      <c r="N23675" t="s">
        <v>62</v>
      </c>
      <c r="O23675">
        <v>250509</v>
      </c>
      <c r="P23675">
        <v>4849.51</v>
      </c>
    </row>
    <row r="23676" spans="1:16" x14ac:dyDescent="0.25">
      <c r="A23676" t="s">
        <v>3296</v>
      </c>
      <c r="B23676" t="s">
        <v>2931</v>
      </c>
      <c r="C23676">
        <v>6211</v>
      </c>
      <c r="D23676" t="str">
        <f>"55251034951 "</f>
        <v xml:space="preserve">55251034951 </v>
      </c>
      <c r="E23676" t="s">
        <v>1845</v>
      </c>
      <c r="F23676" t="s">
        <v>1846</v>
      </c>
      <c r="G23676">
        <v>10.039999999999999</v>
      </c>
      <c r="H23676">
        <v>250430</v>
      </c>
      <c r="I23676">
        <v>4572</v>
      </c>
      <c r="J23676" t="s">
        <v>173</v>
      </c>
      <c r="K23676">
        <v>334.62</v>
      </c>
      <c r="L23676">
        <v>2.04</v>
      </c>
      <c r="M23676">
        <v>17739</v>
      </c>
      <c r="N23676" t="s">
        <v>928</v>
      </c>
      <c r="O23676">
        <v>250509</v>
      </c>
      <c r="P23676">
        <v>8</v>
      </c>
    </row>
    <row r="23677" spans="1:16" x14ac:dyDescent="0.25">
      <c r="A23677" t="s">
        <v>3296</v>
      </c>
      <c r="B23677" t="s">
        <v>2931</v>
      </c>
      <c r="C23677">
        <v>6211</v>
      </c>
      <c r="D23677" t="str">
        <f>"55251034951 "</f>
        <v xml:space="preserve">55251034951 </v>
      </c>
      <c r="E23677" t="s">
        <v>1845</v>
      </c>
      <c r="F23677" t="s">
        <v>1846</v>
      </c>
      <c r="G23677">
        <v>110.42</v>
      </c>
      <c r="H23677">
        <v>250430</v>
      </c>
      <c r="I23677">
        <v>4572</v>
      </c>
      <c r="J23677" t="s">
        <v>173</v>
      </c>
      <c r="K23677">
        <v>334.62</v>
      </c>
      <c r="L23677">
        <v>22.44</v>
      </c>
      <c r="M23677">
        <v>17912</v>
      </c>
      <c r="N23677" t="s">
        <v>505</v>
      </c>
      <c r="O23677">
        <v>250509</v>
      </c>
      <c r="P23677">
        <v>87.98</v>
      </c>
    </row>
    <row r="23678" spans="1:16" x14ac:dyDescent="0.25">
      <c r="A23678" t="s">
        <v>3296</v>
      </c>
      <c r="B23678" t="s">
        <v>2931</v>
      </c>
      <c r="C23678">
        <v>6211</v>
      </c>
      <c r="D23678" t="str">
        <f>"55251034951 "</f>
        <v xml:space="preserve">55251034951 </v>
      </c>
      <c r="E23678" t="s">
        <v>1845</v>
      </c>
      <c r="F23678" t="s">
        <v>1846</v>
      </c>
      <c r="G23678">
        <v>214.16</v>
      </c>
      <c r="H23678">
        <v>250430</v>
      </c>
      <c r="I23678">
        <v>4572</v>
      </c>
      <c r="J23678" t="s">
        <v>173</v>
      </c>
      <c r="K23678">
        <v>334.62</v>
      </c>
      <c r="L23678">
        <v>43.51</v>
      </c>
      <c r="M23678">
        <v>17952</v>
      </c>
      <c r="N23678" t="s">
        <v>157</v>
      </c>
      <c r="O23678">
        <v>250509</v>
      </c>
      <c r="P23678">
        <v>170.65</v>
      </c>
    </row>
    <row r="23679" spans="1:16" x14ac:dyDescent="0.25">
      <c r="A23679" t="s">
        <v>3296</v>
      </c>
      <c r="B23679" t="s">
        <v>2931</v>
      </c>
      <c r="C23679">
        <v>6212</v>
      </c>
      <c r="D23679" t="str">
        <f>"55251038546 "</f>
        <v xml:space="preserve">55251038546 </v>
      </c>
      <c r="E23679" t="s">
        <v>1845</v>
      </c>
      <c r="F23679" t="s">
        <v>1846</v>
      </c>
      <c r="G23679">
        <v>459.88</v>
      </c>
      <c r="H23679">
        <v>250430</v>
      </c>
      <c r="I23679">
        <v>4572</v>
      </c>
      <c r="J23679" t="s">
        <v>173</v>
      </c>
      <c r="K23679">
        <v>1703.25</v>
      </c>
      <c r="L23679">
        <v>93.44</v>
      </c>
      <c r="M23679">
        <v>59112</v>
      </c>
      <c r="N23679" t="s">
        <v>44</v>
      </c>
      <c r="O23679">
        <v>250509</v>
      </c>
      <c r="P23679">
        <v>366.44</v>
      </c>
    </row>
    <row r="23680" spans="1:16" x14ac:dyDescent="0.25">
      <c r="A23680" t="s">
        <v>3296</v>
      </c>
      <c r="B23680" t="s">
        <v>2931</v>
      </c>
      <c r="C23680">
        <v>6212</v>
      </c>
      <c r="D23680" t="str">
        <f>"55251038546 "</f>
        <v xml:space="preserve">55251038546 </v>
      </c>
      <c r="E23680" t="s">
        <v>1845</v>
      </c>
      <c r="F23680" t="s">
        <v>1846</v>
      </c>
      <c r="G23680">
        <v>1243.3699999999999</v>
      </c>
      <c r="H23680">
        <v>250430</v>
      </c>
      <c r="I23680">
        <v>4572</v>
      </c>
      <c r="J23680" t="s">
        <v>173</v>
      </c>
      <c r="K23680">
        <v>1703.25</v>
      </c>
      <c r="L23680">
        <v>252.64</v>
      </c>
      <c r="M23680">
        <v>59504</v>
      </c>
      <c r="N23680" t="s">
        <v>193</v>
      </c>
      <c r="O23680">
        <v>250509</v>
      </c>
      <c r="P23680">
        <v>990.73</v>
      </c>
    </row>
    <row r="23681" spans="1:16" x14ac:dyDescent="0.25">
      <c r="A23681" t="s">
        <v>3296</v>
      </c>
      <c r="B23681" t="s">
        <v>2931</v>
      </c>
      <c r="C23681">
        <v>6215</v>
      </c>
      <c r="D23681" t="str">
        <f>"55251035091 "</f>
        <v xml:space="preserve">55251035091 </v>
      </c>
      <c r="E23681" t="s">
        <v>1845</v>
      </c>
      <c r="F23681" t="s">
        <v>1846</v>
      </c>
      <c r="G23681">
        <v>450.56</v>
      </c>
      <c r="H23681">
        <v>250430</v>
      </c>
      <c r="I23681">
        <v>4572</v>
      </c>
      <c r="J23681" t="s">
        <v>173</v>
      </c>
      <c r="K23681">
        <v>450.56</v>
      </c>
      <c r="L23681">
        <v>91.55</v>
      </c>
      <c r="M23681">
        <v>17950</v>
      </c>
      <c r="N23681" t="s">
        <v>132</v>
      </c>
      <c r="O23681">
        <v>250509</v>
      </c>
      <c r="P23681">
        <v>359.01</v>
      </c>
    </row>
    <row r="23682" spans="1:16" x14ac:dyDescent="0.25">
      <c r="A23682" t="s">
        <v>3296</v>
      </c>
      <c r="B23682" t="s">
        <v>2931</v>
      </c>
      <c r="C23682">
        <v>6220</v>
      </c>
      <c r="D23682" t="str">
        <f>"55251039972 "</f>
        <v xml:space="preserve">55251039972 </v>
      </c>
      <c r="E23682" t="s">
        <v>1845</v>
      </c>
      <c r="F23682" t="s">
        <v>1846</v>
      </c>
      <c r="G23682">
        <v>939.83</v>
      </c>
      <c r="H23682">
        <v>250430</v>
      </c>
      <c r="I23682">
        <v>4572</v>
      </c>
      <c r="J23682" t="s">
        <v>173</v>
      </c>
      <c r="K23682">
        <v>939.83</v>
      </c>
      <c r="L23682">
        <v>190.96</v>
      </c>
      <c r="M23682">
        <v>49503</v>
      </c>
      <c r="N23682" t="s">
        <v>267</v>
      </c>
      <c r="O23682">
        <v>250509</v>
      </c>
      <c r="P23682">
        <v>748.87</v>
      </c>
    </row>
    <row r="23683" spans="1:16" x14ac:dyDescent="0.25">
      <c r="A23683" t="s">
        <v>3296</v>
      </c>
      <c r="B23683" t="s">
        <v>2931</v>
      </c>
      <c r="C23683">
        <v>6221</v>
      </c>
      <c r="D23683" t="str">
        <f>"55251035380 "</f>
        <v xml:space="preserve">55251035380 </v>
      </c>
      <c r="E23683" t="s">
        <v>1845</v>
      </c>
      <c r="F23683" t="s">
        <v>1846</v>
      </c>
      <c r="G23683">
        <v>1838.14</v>
      </c>
      <c r="H23683">
        <v>250430</v>
      </c>
      <c r="I23683">
        <v>4572</v>
      </c>
      <c r="J23683" t="s">
        <v>173</v>
      </c>
      <c r="K23683">
        <v>1838.14</v>
      </c>
      <c r="L23683">
        <v>373.49</v>
      </c>
      <c r="M23683">
        <v>17956</v>
      </c>
      <c r="N23683" t="s">
        <v>170</v>
      </c>
      <c r="O23683">
        <v>250509</v>
      </c>
      <c r="P23683">
        <v>1464.65</v>
      </c>
    </row>
    <row r="23684" spans="1:16" x14ac:dyDescent="0.25">
      <c r="A23684" t="s">
        <v>3296</v>
      </c>
      <c r="B23684" t="s">
        <v>2931</v>
      </c>
      <c r="C23684">
        <v>6222</v>
      </c>
      <c r="D23684" t="str">
        <f>"55251040196 "</f>
        <v xml:space="preserve">55251040196 </v>
      </c>
      <c r="E23684" t="s">
        <v>1845</v>
      </c>
      <c r="F23684" t="s">
        <v>1846</v>
      </c>
      <c r="G23684">
        <v>5.0599999999999996</v>
      </c>
      <c r="H23684">
        <v>250430</v>
      </c>
      <c r="I23684">
        <v>4572</v>
      </c>
      <c r="J23684" t="s">
        <v>173</v>
      </c>
      <c r="K23684">
        <v>5.0599999999999996</v>
      </c>
      <c r="L23684">
        <v>1.03</v>
      </c>
      <c r="M23684">
        <v>17981</v>
      </c>
      <c r="N23684" t="s">
        <v>927</v>
      </c>
      <c r="O23684">
        <v>250509</v>
      </c>
      <c r="P23684">
        <v>4.03</v>
      </c>
    </row>
    <row r="23685" spans="1:16" x14ac:dyDescent="0.25">
      <c r="A23685" t="s">
        <v>3296</v>
      </c>
      <c r="B23685" t="s">
        <v>2931</v>
      </c>
      <c r="C23685">
        <v>6223</v>
      </c>
      <c r="D23685" t="str">
        <f>"55251034304 "</f>
        <v xml:space="preserve">55251034304 </v>
      </c>
      <c r="E23685" t="s">
        <v>1845</v>
      </c>
      <c r="F23685" t="s">
        <v>1846</v>
      </c>
      <c r="G23685">
        <v>30.61</v>
      </c>
      <c r="H23685">
        <v>250430</v>
      </c>
      <c r="I23685">
        <v>4572</v>
      </c>
      <c r="J23685" t="s">
        <v>173</v>
      </c>
      <c r="K23685">
        <v>30.61</v>
      </c>
      <c r="L23685">
        <v>6.22</v>
      </c>
      <c r="M23685">
        <v>17956</v>
      </c>
      <c r="N23685" t="s">
        <v>170</v>
      </c>
      <c r="O23685">
        <v>250509</v>
      </c>
      <c r="P23685">
        <v>24.39</v>
      </c>
    </row>
    <row r="23686" spans="1:16" x14ac:dyDescent="0.25">
      <c r="A23686" t="s">
        <v>3296</v>
      </c>
      <c r="B23686" t="s">
        <v>2931</v>
      </c>
      <c r="C23686">
        <v>6224</v>
      </c>
      <c r="D23686" t="str">
        <f>"55251030490 "</f>
        <v xml:space="preserve">55251030490 </v>
      </c>
      <c r="E23686" t="s">
        <v>1845</v>
      </c>
      <c r="F23686" t="s">
        <v>1846</v>
      </c>
      <c r="G23686">
        <v>131.84</v>
      </c>
      <c r="H23686">
        <v>250430</v>
      </c>
      <c r="I23686">
        <v>4572</v>
      </c>
      <c r="J23686" t="s">
        <v>173</v>
      </c>
      <c r="K23686">
        <v>131.84</v>
      </c>
      <c r="L23686">
        <v>26.79</v>
      </c>
      <c r="M23686">
        <v>17956</v>
      </c>
      <c r="N23686" t="s">
        <v>170</v>
      </c>
      <c r="O23686">
        <v>250509</v>
      </c>
      <c r="P23686">
        <v>105.05</v>
      </c>
    </row>
    <row r="23687" spans="1:16" x14ac:dyDescent="0.25">
      <c r="A23687" t="s">
        <v>3296</v>
      </c>
      <c r="B23687" t="s">
        <v>2931</v>
      </c>
      <c r="C23687">
        <v>6306</v>
      </c>
      <c r="D23687" t="str">
        <f>"55251034137 "</f>
        <v xml:space="preserve">55251034137 </v>
      </c>
      <c r="E23687" t="s">
        <v>1845</v>
      </c>
      <c r="F23687" t="s">
        <v>1846</v>
      </c>
      <c r="G23687">
        <v>1435.17</v>
      </c>
      <c r="H23687">
        <v>250430</v>
      </c>
      <c r="I23687">
        <v>4572</v>
      </c>
      <c r="J23687" t="s">
        <v>173</v>
      </c>
      <c r="K23687">
        <v>5230.1899999999996</v>
      </c>
      <c r="L23687">
        <v>291.61</v>
      </c>
      <c r="M23687">
        <v>69111</v>
      </c>
      <c r="N23687" t="s">
        <v>657</v>
      </c>
      <c r="O23687">
        <v>250512</v>
      </c>
      <c r="P23687">
        <v>1143.56</v>
      </c>
    </row>
    <row r="23688" spans="1:16" x14ac:dyDescent="0.25">
      <c r="A23688" t="s">
        <v>3296</v>
      </c>
      <c r="B23688" t="s">
        <v>2931</v>
      </c>
      <c r="C23688">
        <v>6306</v>
      </c>
      <c r="D23688" t="str">
        <f>"55251034137 "</f>
        <v xml:space="preserve">55251034137 </v>
      </c>
      <c r="E23688" t="s">
        <v>1845</v>
      </c>
      <c r="F23688" t="s">
        <v>1846</v>
      </c>
      <c r="G23688">
        <v>3690.42</v>
      </c>
      <c r="H23688">
        <v>250430</v>
      </c>
      <c r="I23688">
        <v>4572</v>
      </c>
      <c r="J23688" t="s">
        <v>173</v>
      </c>
      <c r="K23688">
        <v>5230.1899999999996</v>
      </c>
      <c r="L23688">
        <v>749.85</v>
      </c>
      <c r="M23688">
        <v>69501</v>
      </c>
      <c r="N23688" t="s">
        <v>123</v>
      </c>
      <c r="O23688">
        <v>250512</v>
      </c>
      <c r="P23688">
        <v>2940.57</v>
      </c>
    </row>
    <row r="23689" spans="1:16" x14ac:dyDescent="0.25">
      <c r="A23689" t="s">
        <v>3296</v>
      </c>
      <c r="B23689" t="s">
        <v>2931</v>
      </c>
      <c r="C23689">
        <v>6306</v>
      </c>
      <c r="D23689" t="str">
        <f>"55251034137 "</f>
        <v xml:space="preserve">55251034137 </v>
      </c>
      <c r="E23689" t="s">
        <v>1845</v>
      </c>
      <c r="F23689" t="s">
        <v>1846</v>
      </c>
      <c r="G23689">
        <v>52.3</v>
      </c>
      <c r="H23689">
        <v>250430</v>
      </c>
      <c r="I23689">
        <v>4572</v>
      </c>
      <c r="J23689" t="s">
        <v>173</v>
      </c>
      <c r="K23689">
        <v>5230.1899999999996</v>
      </c>
      <c r="L23689">
        <v>10.63</v>
      </c>
      <c r="M23689">
        <v>69801</v>
      </c>
      <c r="N23689" t="s">
        <v>1077</v>
      </c>
      <c r="O23689">
        <v>250512</v>
      </c>
      <c r="P23689">
        <v>41.67</v>
      </c>
    </row>
    <row r="23690" spans="1:16" x14ac:dyDescent="0.25">
      <c r="A23690" t="s">
        <v>3296</v>
      </c>
      <c r="B23690" t="s">
        <v>2931</v>
      </c>
      <c r="C23690">
        <v>6306</v>
      </c>
      <c r="D23690" t="str">
        <f>"55251034137 "</f>
        <v xml:space="preserve">55251034137 </v>
      </c>
      <c r="E23690" t="s">
        <v>1845</v>
      </c>
      <c r="F23690" t="s">
        <v>1846</v>
      </c>
      <c r="G23690">
        <v>52.3</v>
      </c>
      <c r="H23690">
        <v>250430</v>
      </c>
      <c r="I23690">
        <v>4572</v>
      </c>
      <c r="J23690" t="s">
        <v>173</v>
      </c>
      <c r="K23690">
        <v>5230.1899999999996</v>
      </c>
      <c r="L23690">
        <v>0</v>
      </c>
      <c r="M23690">
        <v>69803</v>
      </c>
      <c r="N23690" t="s">
        <v>391</v>
      </c>
      <c r="O23690">
        <v>250512</v>
      </c>
      <c r="P23690">
        <v>52.3</v>
      </c>
    </row>
    <row r="23691" spans="1:16" x14ac:dyDescent="0.25">
      <c r="A23691" t="s">
        <v>3296</v>
      </c>
      <c r="B23691" t="s">
        <v>2931</v>
      </c>
      <c r="C23691">
        <v>6361</v>
      </c>
      <c r="D23691" t="str">
        <f>"55251098192 "</f>
        <v xml:space="preserve">55251098192 </v>
      </c>
      <c r="E23691" t="s">
        <v>1845</v>
      </c>
      <c r="F23691" t="s">
        <v>1846</v>
      </c>
      <c r="G23691">
        <v>1962.95</v>
      </c>
      <c r="H23691">
        <v>250430</v>
      </c>
      <c r="I23691">
        <v>4572</v>
      </c>
      <c r="J23691" t="s">
        <v>173</v>
      </c>
      <c r="K23691">
        <v>1962.95</v>
      </c>
      <c r="L23691">
        <v>398.85</v>
      </c>
      <c r="M23691">
        <v>17951</v>
      </c>
      <c r="N23691" t="s">
        <v>207</v>
      </c>
      <c r="O23691">
        <v>250512</v>
      </c>
      <c r="P23691">
        <v>1564.1</v>
      </c>
    </row>
    <row r="23692" spans="1:16" x14ac:dyDescent="0.25">
      <c r="A23692" t="s">
        <v>3296</v>
      </c>
      <c r="B23692" t="s">
        <v>2931</v>
      </c>
      <c r="C23692">
        <v>6399</v>
      </c>
      <c r="D23692" t="str">
        <f>"55251039418 "</f>
        <v xml:space="preserve">55251039418 </v>
      </c>
      <c r="E23692" t="s">
        <v>1845</v>
      </c>
      <c r="F23692" t="s">
        <v>1846</v>
      </c>
      <c r="G23692">
        <v>12.66</v>
      </c>
      <c r="H23692">
        <v>250430</v>
      </c>
      <c r="I23692">
        <v>4572</v>
      </c>
      <c r="J23692" t="s">
        <v>173</v>
      </c>
      <c r="K23692">
        <v>42.19</v>
      </c>
      <c r="L23692">
        <v>2.57</v>
      </c>
      <c r="M23692">
        <v>14952</v>
      </c>
      <c r="N23692" t="s">
        <v>213</v>
      </c>
      <c r="O23692">
        <v>250513</v>
      </c>
      <c r="P23692">
        <v>10.09</v>
      </c>
    </row>
    <row r="23693" spans="1:16" x14ac:dyDescent="0.25">
      <c r="A23693" t="s">
        <v>3296</v>
      </c>
      <c r="B23693" t="s">
        <v>2931</v>
      </c>
      <c r="C23693">
        <v>6399</v>
      </c>
      <c r="D23693" t="str">
        <f>"55251039418 "</f>
        <v xml:space="preserve">55251039418 </v>
      </c>
      <c r="E23693" t="s">
        <v>1845</v>
      </c>
      <c r="F23693" t="s">
        <v>1846</v>
      </c>
      <c r="G23693">
        <v>29.53</v>
      </c>
      <c r="H23693">
        <v>250430</v>
      </c>
      <c r="I23693">
        <v>4572</v>
      </c>
      <c r="J23693" t="s">
        <v>173</v>
      </c>
      <c r="K23693">
        <v>42.19</v>
      </c>
      <c r="L23693">
        <v>6</v>
      </c>
      <c r="M23693">
        <v>14981</v>
      </c>
      <c r="N23693" t="s">
        <v>252</v>
      </c>
      <c r="O23693">
        <v>250513</v>
      </c>
      <c r="P23693">
        <v>23.53</v>
      </c>
    </row>
    <row r="23694" spans="1:16" x14ac:dyDescent="0.25">
      <c r="A23694" t="s">
        <v>3296</v>
      </c>
      <c r="B23694" t="s">
        <v>2931</v>
      </c>
      <c r="C23694">
        <v>6402</v>
      </c>
      <c r="D23694" t="str">
        <f>"55251032232 "</f>
        <v xml:space="preserve">55251032232 </v>
      </c>
      <c r="E23694" t="s">
        <v>1845</v>
      </c>
      <c r="F23694" t="s">
        <v>1846</v>
      </c>
      <c r="G23694">
        <v>2.41</v>
      </c>
      <c r="H23694">
        <v>250430</v>
      </c>
      <c r="I23694">
        <v>4572</v>
      </c>
      <c r="J23694" t="s">
        <v>173</v>
      </c>
      <c r="K23694">
        <v>8.0399999999999991</v>
      </c>
      <c r="L23694">
        <v>0.49</v>
      </c>
      <c r="M23694">
        <v>14952</v>
      </c>
      <c r="N23694" t="s">
        <v>213</v>
      </c>
      <c r="O23694">
        <v>250513</v>
      </c>
      <c r="P23694">
        <v>1.92</v>
      </c>
    </row>
    <row r="23695" spans="1:16" x14ac:dyDescent="0.25">
      <c r="A23695" t="s">
        <v>3296</v>
      </c>
      <c r="B23695" t="s">
        <v>2931</v>
      </c>
      <c r="C23695">
        <v>6402</v>
      </c>
      <c r="D23695" t="str">
        <f>"55251032232 "</f>
        <v xml:space="preserve">55251032232 </v>
      </c>
      <c r="E23695" t="s">
        <v>1845</v>
      </c>
      <c r="F23695" t="s">
        <v>1846</v>
      </c>
      <c r="G23695">
        <v>5.63</v>
      </c>
      <c r="H23695">
        <v>250430</v>
      </c>
      <c r="I23695">
        <v>4572</v>
      </c>
      <c r="J23695" t="s">
        <v>173</v>
      </c>
      <c r="K23695">
        <v>8.0399999999999991</v>
      </c>
      <c r="L23695">
        <v>1.1399999999999999</v>
      </c>
      <c r="M23695">
        <v>14981</v>
      </c>
      <c r="N23695" t="s">
        <v>252</v>
      </c>
      <c r="O23695">
        <v>250513</v>
      </c>
      <c r="P23695">
        <v>4.49</v>
      </c>
    </row>
    <row r="23696" spans="1:16" x14ac:dyDescent="0.25">
      <c r="A23696" t="s">
        <v>3296</v>
      </c>
      <c r="B23696" t="s">
        <v>2931</v>
      </c>
      <c r="C23696">
        <v>6403</v>
      </c>
      <c r="D23696" t="str">
        <f>"55251040210 "</f>
        <v xml:space="preserve">55251040210 </v>
      </c>
      <c r="E23696" t="s">
        <v>1845</v>
      </c>
      <c r="F23696" t="s">
        <v>1846</v>
      </c>
      <c r="G23696">
        <v>99.75</v>
      </c>
      <c r="H23696">
        <v>250430</v>
      </c>
      <c r="I23696">
        <v>4572</v>
      </c>
      <c r="J23696" t="s">
        <v>173</v>
      </c>
      <c r="K23696">
        <v>299.27</v>
      </c>
      <c r="L23696">
        <v>20.27</v>
      </c>
      <c r="M23696">
        <v>11401</v>
      </c>
      <c r="N23696" t="s">
        <v>91</v>
      </c>
      <c r="O23696">
        <v>250513</v>
      </c>
      <c r="P23696">
        <v>79.48</v>
      </c>
    </row>
    <row r="23697" spans="1:16" x14ac:dyDescent="0.25">
      <c r="A23697" t="s">
        <v>3296</v>
      </c>
      <c r="B23697" t="s">
        <v>2931</v>
      </c>
      <c r="C23697">
        <v>6403</v>
      </c>
      <c r="D23697" t="str">
        <f>"55251040210 "</f>
        <v xml:space="preserve">55251040210 </v>
      </c>
      <c r="E23697" t="s">
        <v>1845</v>
      </c>
      <c r="F23697" t="s">
        <v>1846</v>
      </c>
      <c r="G23697">
        <v>199.52</v>
      </c>
      <c r="H23697">
        <v>250430</v>
      </c>
      <c r="I23697">
        <v>4572</v>
      </c>
      <c r="J23697" t="s">
        <v>173</v>
      </c>
      <c r="K23697">
        <v>299.27</v>
      </c>
      <c r="L23697">
        <v>40.54</v>
      </c>
      <c r="M23697">
        <v>14952</v>
      </c>
      <c r="N23697" t="s">
        <v>213</v>
      </c>
      <c r="O23697">
        <v>250513</v>
      </c>
      <c r="P23697">
        <v>158.97999999999999</v>
      </c>
    </row>
    <row r="23698" spans="1:16" x14ac:dyDescent="0.25">
      <c r="A23698" t="s">
        <v>3296</v>
      </c>
      <c r="B23698" t="s">
        <v>2931</v>
      </c>
      <c r="C23698">
        <v>6407</v>
      </c>
      <c r="D23698" t="str">
        <f>"55251039634 "</f>
        <v xml:space="preserve">55251039634 </v>
      </c>
      <c r="E23698" t="s">
        <v>1845</v>
      </c>
      <c r="F23698" t="s">
        <v>1846</v>
      </c>
      <c r="G23698">
        <v>2471.87</v>
      </c>
      <c r="H23698">
        <v>250430</v>
      </c>
      <c r="I23698">
        <v>4572</v>
      </c>
      <c r="J23698" t="s">
        <v>173</v>
      </c>
      <c r="K23698">
        <v>2471.87</v>
      </c>
      <c r="L23698">
        <v>502.25</v>
      </c>
      <c r="M23698">
        <v>14951</v>
      </c>
      <c r="N23698" t="s">
        <v>186</v>
      </c>
      <c r="O23698">
        <v>250513</v>
      </c>
      <c r="P23698">
        <v>1969.62</v>
      </c>
    </row>
    <row r="23699" spans="1:16" x14ac:dyDescent="0.25">
      <c r="A23699" t="s">
        <v>3296</v>
      </c>
      <c r="B23699" t="s">
        <v>2931</v>
      </c>
      <c r="C23699">
        <v>6409</v>
      </c>
      <c r="D23699" t="str">
        <f>"55251036056 "</f>
        <v xml:space="preserve">55251036056 </v>
      </c>
      <c r="E23699" t="s">
        <v>1845</v>
      </c>
      <c r="F23699" t="s">
        <v>1846</v>
      </c>
      <c r="G23699">
        <v>18.43</v>
      </c>
      <c r="H23699">
        <v>250430</v>
      </c>
      <c r="I23699">
        <v>4572</v>
      </c>
      <c r="J23699" t="s">
        <v>173</v>
      </c>
      <c r="K23699">
        <v>55.31</v>
      </c>
      <c r="L23699">
        <v>3.74</v>
      </c>
      <c r="M23699">
        <v>11401</v>
      </c>
      <c r="N23699" t="s">
        <v>91</v>
      </c>
      <c r="O23699">
        <v>250513</v>
      </c>
      <c r="P23699">
        <v>14.69</v>
      </c>
    </row>
    <row r="23700" spans="1:16" x14ac:dyDescent="0.25">
      <c r="A23700" t="s">
        <v>3296</v>
      </c>
      <c r="B23700" t="s">
        <v>2931</v>
      </c>
      <c r="C23700">
        <v>6409</v>
      </c>
      <c r="D23700" t="str">
        <f>"55251036056 "</f>
        <v xml:space="preserve">55251036056 </v>
      </c>
      <c r="E23700" t="s">
        <v>1845</v>
      </c>
      <c r="F23700" t="s">
        <v>1846</v>
      </c>
      <c r="G23700">
        <v>36.880000000000003</v>
      </c>
      <c r="H23700">
        <v>250430</v>
      </c>
      <c r="I23700">
        <v>4572</v>
      </c>
      <c r="J23700" t="s">
        <v>173</v>
      </c>
      <c r="K23700">
        <v>55.31</v>
      </c>
      <c r="L23700">
        <v>7.49</v>
      </c>
      <c r="M23700">
        <v>14952</v>
      </c>
      <c r="N23700" t="s">
        <v>213</v>
      </c>
      <c r="O23700">
        <v>250513</v>
      </c>
      <c r="P23700">
        <v>29.39</v>
      </c>
    </row>
    <row r="23701" spans="1:16" x14ac:dyDescent="0.25">
      <c r="A23701" t="s">
        <v>3296</v>
      </c>
      <c r="B23701" t="s">
        <v>2931</v>
      </c>
      <c r="C23701">
        <v>6418</v>
      </c>
      <c r="D23701" t="str">
        <f>"55251033684 "</f>
        <v xml:space="preserve">55251033684 </v>
      </c>
      <c r="E23701" t="s">
        <v>1845</v>
      </c>
      <c r="F23701" t="s">
        <v>1846</v>
      </c>
      <c r="G23701">
        <v>192.58</v>
      </c>
      <c r="H23701">
        <v>250430</v>
      </c>
      <c r="I23701">
        <v>4572</v>
      </c>
      <c r="J23701" t="s">
        <v>173</v>
      </c>
      <c r="K23701">
        <v>641.91999999999996</v>
      </c>
      <c r="L23701">
        <v>39.130000000000003</v>
      </c>
      <c r="M23701">
        <v>14952</v>
      </c>
      <c r="N23701" t="s">
        <v>213</v>
      </c>
      <c r="O23701">
        <v>250513</v>
      </c>
      <c r="P23701">
        <v>153.44999999999999</v>
      </c>
    </row>
    <row r="23702" spans="1:16" x14ac:dyDescent="0.25">
      <c r="A23702" t="s">
        <v>3296</v>
      </c>
      <c r="B23702" t="s">
        <v>2931</v>
      </c>
      <c r="C23702">
        <v>6418</v>
      </c>
      <c r="D23702" t="str">
        <f>"55251033684 "</f>
        <v xml:space="preserve">55251033684 </v>
      </c>
      <c r="E23702" t="s">
        <v>1845</v>
      </c>
      <c r="F23702" t="s">
        <v>1846</v>
      </c>
      <c r="G23702">
        <v>449.34</v>
      </c>
      <c r="H23702">
        <v>250430</v>
      </c>
      <c r="I23702">
        <v>4572</v>
      </c>
      <c r="J23702" t="s">
        <v>173</v>
      </c>
      <c r="K23702">
        <v>641.91999999999996</v>
      </c>
      <c r="L23702">
        <v>91.3</v>
      </c>
      <c r="M23702">
        <v>14981</v>
      </c>
      <c r="N23702" t="s">
        <v>252</v>
      </c>
      <c r="O23702">
        <v>250513</v>
      </c>
      <c r="P23702">
        <v>358.04</v>
      </c>
    </row>
    <row r="23703" spans="1:16" x14ac:dyDescent="0.25">
      <c r="A23703" t="s">
        <v>3296</v>
      </c>
      <c r="B23703" t="s">
        <v>2931</v>
      </c>
      <c r="C23703">
        <v>6419</v>
      </c>
      <c r="D23703" t="str">
        <f>"55251039893 "</f>
        <v xml:space="preserve">55251039893 </v>
      </c>
      <c r="E23703" t="s">
        <v>1845</v>
      </c>
      <c r="F23703" t="s">
        <v>1846</v>
      </c>
      <c r="G23703">
        <v>3.13</v>
      </c>
      <c r="H23703">
        <v>250430</v>
      </c>
      <c r="I23703">
        <v>4572</v>
      </c>
      <c r="J23703" t="s">
        <v>173</v>
      </c>
      <c r="K23703">
        <v>10.42</v>
      </c>
      <c r="L23703">
        <v>0.64</v>
      </c>
      <c r="M23703">
        <v>14952</v>
      </c>
      <c r="N23703" t="s">
        <v>213</v>
      </c>
      <c r="O23703">
        <v>250513</v>
      </c>
      <c r="P23703">
        <v>2.4900000000000002</v>
      </c>
    </row>
    <row r="23704" spans="1:16" x14ac:dyDescent="0.25">
      <c r="A23704" t="s">
        <v>3296</v>
      </c>
      <c r="B23704" t="s">
        <v>2931</v>
      </c>
      <c r="C23704">
        <v>6419</v>
      </c>
      <c r="D23704" t="str">
        <f>"55251039893 "</f>
        <v xml:space="preserve">55251039893 </v>
      </c>
      <c r="E23704" t="s">
        <v>1845</v>
      </c>
      <c r="F23704" t="s">
        <v>1846</v>
      </c>
      <c r="G23704">
        <v>7.29</v>
      </c>
      <c r="H23704">
        <v>250430</v>
      </c>
      <c r="I23704">
        <v>4572</v>
      </c>
      <c r="J23704" t="s">
        <v>173</v>
      </c>
      <c r="K23704">
        <v>10.42</v>
      </c>
      <c r="L23704">
        <v>1.48</v>
      </c>
      <c r="M23704">
        <v>14981</v>
      </c>
      <c r="N23704" t="s">
        <v>252</v>
      </c>
      <c r="O23704">
        <v>250513</v>
      </c>
      <c r="P23704">
        <v>5.81</v>
      </c>
    </row>
    <row r="23705" spans="1:16" x14ac:dyDescent="0.25">
      <c r="A23705" t="s">
        <v>3296</v>
      </c>
      <c r="B23705" t="s">
        <v>2931</v>
      </c>
      <c r="C23705">
        <v>6543</v>
      </c>
      <c r="D23705" t="str">
        <f>"55251032381 "</f>
        <v xml:space="preserve">55251032381 </v>
      </c>
      <c r="E23705" t="s">
        <v>1845</v>
      </c>
      <c r="F23705" t="s">
        <v>1846</v>
      </c>
      <c r="G23705">
        <v>25.49</v>
      </c>
      <c r="H23705">
        <v>250430</v>
      </c>
      <c r="I23705">
        <v>4572</v>
      </c>
      <c r="J23705" t="s">
        <v>173</v>
      </c>
      <c r="K23705">
        <v>25.49</v>
      </c>
      <c r="L23705">
        <v>5.18</v>
      </c>
      <c r="M23705">
        <v>56571</v>
      </c>
      <c r="N23705" t="s">
        <v>553</v>
      </c>
      <c r="O23705">
        <v>250514</v>
      </c>
      <c r="P23705">
        <v>20.309999999999999</v>
      </c>
    </row>
    <row r="23706" spans="1:16" x14ac:dyDescent="0.25">
      <c r="A23706" t="s">
        <v>3296</v>
      </c>
      <c r="B23706" t="s">
        <v>2931</v>
      </c>
      <c r="C23706">
        <v>6544</v>
      </c>
      <c r="D23706" t="str">
        <f>"55251030405 "</f>
        <v xml:space="preserve">55251030405 </v>
      </c>
      <c r="E23706" t="s">
        <v>1845</v>
      </c>
      <c r="F23706" t="s">
        <v>1846</v>
      </c>
      <c r="G23706">
        <v>26.76</v>
      </c>
      <c r="H23706">
        <v>250430</v>
      </c>
      <c r="I23706">
        <v>4572</v>
      </c>
      <c r="J23706" t="s">
        <v>173</v>
      </c>
      <c r="K23706">
        <v>26.76</v>
      </c>
      <c r="L23706">
        <v>5.44</v>
      </c>
      <c r="M23706">
        <v>56571</v>
      </c>
      <c r="N23706" t="s">
        <v>553</v>
      </c>
      <c r="O23706">
        <v>250514</v>
      </c>
      <c r="P23706">
        <v>21.32</v>
      </c>
    </row>
    <row r="23707" spans="1:16" x14ac:dyDescent="0.25">
      <c r="A23707" t="s">
        <v>3296</v>
      </c>
      <c r="B23707" t="s">
        <v>2931</v>
      </c>
      <c r="C23707">
        <v>8201</v>
      </c>
      <c r="D23707" t="str">
        <f>"55251191128 "</f>
        <v xml:space="preserve">55251191128 </v>
      </c>
      <c r="E23707" t="s">
        <v>1845</v>
      </c>
      <c r="F23707" t="s">
        <v>1846</v>
      </c>
      <c r="G23707">
        <v>121.18</v>
      </c>
      <c r="H23707">
        <v>250531</v>
      </c>
      <c r="I23707">
        <v>4572</v>
      </c>
      <c r="J23707" t="s">
        <v>173</v>
      </c>
      <c r="K23707">
        <v>121.18</v>
      </c>
      <c r="L23707">
        <v>24.62</v>
      </c>
      <c r="M23707">
        <v>17956</v>
      </c>
      <c r="N23707" t="s">
        <v>170</v>
      </c>
      <c r="O23707">
        <v>250612</v>
      </c>
      <c r="P23707">
        <v>96.56</v>
      </c>
    </row>
    <row r="23708" spans="1:16" x14ac:dyDescent="0.25">
      <c r="A23708" t="s">
        <v>3296</v>
      </c>
      <c r="B23708" t="s">
        <v>2931</v>
      </c>
      <c r="C23708">
        <v>8203</v>
      </c>
      <c r="D23708" t="str">
        <f>"55251191137 "</f>
        <v xml:space="preserve">55251191137 </v>
      </c>
      <c r="E23708" t="s">
        <v>1845</v>
      </c>
      <c r="F23708" t="s">
        <v>1846</v>
      </c>
      <c r="G23708">
        <v>13.78</v>
      </c>
      <c r="H23708">
        <v>250531</v>
      </c>
      <c r="I23708">
        <v>4572</v>
      </c>
      <c r="J23708" t="s">
        <v>173</v>
      </c>
      <c r="K23708">
        <v>13.78</v>
      </c>
      <c r="L23708">
        <v>2.8</v>
      </c>
      <c r="M23708">
        <v>13841</v>
      </c>
      <c r="N23708" t="s">
        <v>178</v>
      </c>
      <c r="O23708">
        <v>250612</v>
      </c>
      <c r="P23708">
        <v>10.98</v>
      </c>
    </row>
    <row r="23709" spans="1:16" x14ac:dyDescent="0.25">
      <c r="A23709" t="s">
        <v>3296</v>
      </c>
      <c r="B23709" t="s">
        <v>2931</v>
      </c>
      <c r="C23709">
        <v>8208</v>
      </c>
      <c r="D23709" t="str">
        <f>"55251191065 "</f>
        <v xml:space="preserve">55251191065 </v>
      </c>
      <c r="E23709" t="s">
        <v>1845</v>
      </c>
      <c r="F23709" t="s">
        <v>1846</v>
      </c>
      <c r="G23709">
        <v>2.4</v>
      </c>
      <c r="H23709">
        <v>250531</v>
      </c>
      <c r="I23709">
        <v>4572</v>
      </c>
      <c r="J23709" t="s">
        <v>173</v>
      </c>
      <c r="K23709">
        <v>8.01</v>
      </c>
      <c r="L23709">
        <v>0.49</v>
      </c>
      <c r="M23709">
        <v>14952</v>
      </c>
      <c r="N23709" t="s">
        <v>213</v>
      </c>
      <c r="O23709">
        <v>250612</v>
      </c>
      <c r="P23709">
        <v>1.91</v>
      </c>
    </row>
    <row r="23710" spans="1:16" x14ac:dyDescent="0.25">
      <c r="A23710" t="s">
        <v>3296</v>
      </c>
      <c r="B23710" t="s">
        <v>2931</v>
      </c>
      <c r="C23710">
        <v>8208</v>
      </c>
      <c r="D23710" t="str">
        <f>"55251191065 "</f>
        <v xml:space="preserve">55251191065 </v>
      </c>
      <c r="E23710" t="s">
        <v>1845</v>
      </c>
      <c r="F23710" t="s">
        <v>1846</v>
      </c>
      <c r="G23710">
        <v>5.61</v>
      </c>
      <c r="H23710">
        <v>250531</v>
      </c>
      <c r="I23710">
        <v>4572</v>
      </c>
      <c r="J23710" t="s">
        <v>173</v>
      </c>
      <c r="K23710">
        <v>8.01</v>
      </c>
      <c r="L23710">
        <v>1.1399999999999999</v>
      </c>
      <c r="M23710">
        <v>14981</v>
      </c>
      <c r="N23710" t="s">
        <v>252</v>
      </c>
      <c r="O23710">
        <v>250612</v>
      </c>
      <c r="P23710">
        <v>4.47</v>
      </c>
    </row>
    <row r="23711" spans="1:16" x14ac:dyDescent="0.25">
      <c r="A23711" t="s">
        <v>3296</v>
      </c>
      <c r="B23711" t="s">
        <v>2931</v>
      </c>
      <c r="C23711">
        <v>8209</v>
      </c>
      <c r="D23711" t="str">
        <f>"55251191121 "</f>
        <v xml:space="preserve">55251191121 </v>
      </c>
      <c r="E23711" t="s">
        <v>1845</v>
      </c>
      <c r="F23711" t="s">
        <v>1846</v>
      </c>
      <c r="G23711">
        <v>29.93</v>
      </c>
      <c r="H23711">
        <v>250531</v>
      </c>
      <c r="I23711">
        <v>4572</v>
      </c>
      <c r="J23711" t="s">
        <v>173</v>
      </c>
      <c r="K23711">
        <v>29.93</v>
      </c>
      <c r="L23711">
        <v>6.08</v>
      </c>
      <c r="M23711">
        <v>17956</v>
      </c>
      <c r="N23711" t="s">
        <v>170</v>
      </c>
      <c r="O23711">
        <v>250612</v>
      </c>
      <c r="P23711">
        <v>23.85</v>
      </c>
    </row>
    <row r="23712" spans="1:16" x14ac:dyDescent="0.25">
      <c r="A23712" t="s">
        <v>3296</v>
      </c>
      <c r="B23712" t="s">
        <v>2931</v>
      </c>
      <c r="C23712">
        <v>8210</v>
      </c>
      <c r="D23712" t="str">
        <f>"55251191061 "</f>
        <v xml:space="preserve">55251191061 </v>
      </c>
      <c r="E23712" t="s">
        <v>1845</v>
      </c>
      <c r="F23712" t="s">
        <v>1846</v>
      </c>
      <c r="G23712">
        <v>8.84</v>
      </c>
      <c r="H23712">
        <v>250531</v>
      </c>
      <c r="I23712">
        <v>4572</v>
      </c>
      <c r="J23712" t="s">
        <v>173</v>
      </c>
      <c r="K23712">
        <v>176.94</v>
      </c>
      <c r="L23712">
        <v>1.8</v>
      </c>
      <c r="M23712">
        <v>17737</v>
      </c>
      <c r="N23712" t="s">
        <v>156</v>
      </c>
      <c r="O23712">
        <v>250612</v>
      </c>
      <c r="P23712">
        <v>7.04</v>
      </c>
    </row>
    <row r="23713" spans="1:16" x14ac:dyDescent="0.25">
      <c r="A23713" t="s">
        <v>3296</v>
      </c>
      <c r="B23713" t="s">
        <v>2931</v>
      </c>
      <c r="C23713">
        <v>8210</v>
      </c>
      <c r="D23713" t="str">
        <f>"55251191061 "</f>
        <v xml:space="preserve">55251191061 </v>
      </c>
      <c r="E23713" t="s">
        <v>1845</v>
      </c>
      <c r="F23713" t="s">
        <v>1846</v>
      </c>
      <c r="G23713">
        <v>117.67</v>
      </c>
      <c r="H23713">
        <v>250531</v>
      </c>
      <c r="I23713">
        <v>4572</v>
      </c>
      <c r="J23713" t="s">
        <v>173</v>
      </c>
      <c r="K23713">
        <v>176.94</v>
      </c>
      <c r="L23713">
        <v>23.91</v>
      </c>
      <c r="M23713">
        <v>17737</v>
      </c>
      <c r="N23713" t="s">
        <v>156</v>
      </c>
      <c r="O23713">
        <v>250612</v>
      </c>
      <c r="P23713">
        <v>93.76</v>
      </c>
    </row>
    <row r="23714" spans="1:16" x14ac:dyDescent="0.25">
      <c r="A23714" t="s">
        <v>3296</v>
      </c>
      <c r="B23714" t="s">
        <v>2931</v>
      </c>
      <c r="C23714">
        <v>8210</v>
      </c>
      <c r="D23714" t="str">
        <f>"55251191061 "</f>
        <v xml:space="preserve">55251191061 </v>
      </c>
      <c r="E23714" t="s">
        <v>1845</v>
      </c>
      <c r="F23714" t="s">
        <v>1846</v>
      </c>
      <c r="G23714">
        <v>50.43</v>
      </c>
      <c r="H23714">
        <v>250531</v>
      </c>
      <c r="I23714">
        <v>4572</v>
      </c>
      <c r="J23714" t="s">
        <v>173</v>
      </c>
      <c r="K23714">
        <v>176.94</v>
      </c>
      <c r="L23714">
        <v>10.25</v>
      </c>
      <c r="M23714">
        <v>17739</v>
      </c>
      <c r="N23714" t="s">
        <v>928</v>
      </c>
      <c r="O23714">
        <v>250612</v>
      </c>
      <c r="P23714">
        <v>40.18</v>
      </c>
    </row>
    <row r="23715" spans="1:16" x14ac:dyDescent="0.25">
      <c r="A23715" t="s">
        <v>3296</v>
      </c>
      <c r="B23715" t="s">
        <v>2931</v>
      </c>
      <c r="C23715">
        <v>8212</v>
      </c>
      <c r="D23715" t="str">
        <f>"55251190995 "</f>
        <v xml:space="preserve">55251190995 </v>
      </c>
      <c r="E23715" t="s">
        <v>1845</v>
      </c>
      <c r="F23715" t="s">
        <v>1846</v>
      </c>
      <c r="G23715">
        <v>17.420000000000002</v>
      </c>
      <c r="H23715">
        <v>250531</v>
      </c>
      <c r="I23715">
        <v>4572</v>
      </c>
      <c r="J23715" t="s">
        <v>173</v>
      </c>
      <c r="K23715">
        <v>17.420000000000002</v>
      </c>
      <c r="L23715">
        <v>3.54</v>
      </c>
      <c r="M23715">
        <v>13841</v>
      </c>
      <c r="N23715" t="s">
        <v>178</v>
      </c>
      <c r="O23715">
        <v>250612</v>
      </c>
      <c r="P23715">
        <v>13.88</v>
      </c>
    </row>
    <row r="23716" spans="1:16" x14ac:dyDescent="0.25">
      <c r="A23716" t="s">
        <v>3296</v>
      </c>
      <c r="B23716" t="s">
        <v>2931</v>
      </c>
      <c r="C23716">
        <v>8214</v>
      </c>
      <c r="D23716" t="str">
        <f>"55251191026 "</f>
        <v xml:space="preserve">55251191026 </v>
      </c>
      <c r="E23716" t="s">
        <v>1845</v>
      </c>
      <c r="F23716" t="s">
        <v>1846</v>
      </c>
      <c r="G23716">
        <v>1263.0899999999999</v>
      </c>
      <c r="H23716">
        <v>250531</v>
      </c>
      <c r="I23716">
        <v>4572</v>
      </c>
      <c r="J23716" t="s">
        <v>173</v>
      </c>
      <c r="K23716">
        <v>3289.3</v>
      </c>
      <c r="L23716">
        <v>256.64</v>
      </c>
      <c r="M23716">
        <v>69111</v>
      </c>
      <c r="N23716" t="s">
        <v>657</v>
      </c>
      <c r="O23716">
        <v>250612</v>
      </c>
      <c r="P23716">
        <v>1006.45</v>
      </c>
    </row>
    <row r="23717" spans="1:16" x14ac:dyDescent="0.25">
      <c r="A23717" t="s">
        <v>3296</v>
      </c>
      <c r="B23717" t="s">
        <v>2931</v>
      </c>
      <c r="C23717">
        <v>8214</v>
      </c>
      <c r="D23717" t="str">
        <f>"55251191026 "</f>
        <v xml:space="preserve">55251191026 </v>
      </c>
      <c r="E23717" t="s">
        <v>1845</v>
      </c>
      <c r="F23717" t="s">
        <v>1846</v>
      </c>
      <c r="G23717">
        <v>1973.58</v>
      </c>
      <c r="H23717">
        <v>250531</v>
      </c>
      <c r="I23717">
        <v>4572</v>
      </c>
      <c r="J23717" t="s">
        <v>173</v>
      </c>
      <c r="K23717">
        <v>3289.3</v>
      </c>
      <c r="L23717">
        <v>401.01</v>
      </c>
      <c r="M23717">
        <v>69501</v>
      </c>
      <c r="N23717" t="s">
        <v>123</v>
      </c>
      <c r="O23717">
        <v>250612</v>
      </c>
      <c r="P23717">
        <v>1572.57</v>
      </c>
    </row>
    <row r="23718" spans="1:16" x14ac:dyDescent="0.25">
      <c r="A23718" t="s">
        <v>3296</v>
      </c>
      <c r="B23718" t="s">
        <v>2931</v>
      </c>
      <c r="C23718">
        <v>8214</v>
      </c>
      <c r="D23718" t="str">
        <f>"55251191026 "</f>
        <v xml:space="preserve">55251191026 </v>
      </c>
      <c r="E23718" t="s">
        <v>1845</v>
      </c>
      <c r="F23718" t="s">
        <v>1846</v>
      </c>
      <c r="G23718">
        <v>26.32</v>
      </c>
      <c r="H23718">
        <v>250531</v>
      </c>
      <c r="I23718">
        <v>4572</v>
      </c>
      <c r="J23718" t="s">
        <v>173</v>
      </c>
      <c r="K23718">
        <v>3289.3</v>
      </c>
      <c r="L23718">
        <v>5.35</v>
      </c>
      <c r="M23718">
        <v>69801</v>
      </c>
      <c r="N23718" t="s">
        <v>1077</v>
      </c>
      <c r="O23718">
        <v>250612</v>
      </c>
      <c r="P23718">
        <v>20.97</v>
      </c>
    </row>
    <row r="23719" spans="1:16" x14ac:dyDescent="0.25">
      <c r="A23719" t="s">
        <v>3296</v>
      </c>
      <c r="B23719" t="s">
        <v>2931</v>
      </c>
      <c r="C23719">
        <v>8214</v>
      </c>
      <c r="D23719" t="str">
        <f>"55251191026 "</f>
        <v xml:space="preserve">55251191026 </v>
      </c>
      <c r="E23719" t="s">
        <v>1845</v>
      </c>
      <c r="F23719" t="s">
        <v>1846</v>
      </c>
      <c r="G23719">
        <v>26.31</v>
      </c>
      <c r="H23719">
        <v>250531</v>
      </c>
      <c r="I23719">
        <v>4572</v>
      </c>
      <c r="J23719" t="s">
        <v>173</v>
      </c>
      <c r="K23719">
        <v>3289.3</v>
      </c>
      <c r="L23719">
        <v>0</v>
      </c>
      <c r="M23719">
        <v>69803</v>
      </c>
      <c r="N23719" t="s">
        <v>391</v>
      </c>
      <c r="O23719">
        <v>250612</v>
      </c>
      <c r="P23719">
        <v>26.31</v>
      </c>
    </row>
    <row r="23720" spans="1:16" x14ac:dyDescent="0.25">
      <c r="A23720" t="s">
        <v>3296</v>
      </c>
      <c r="B23720" t="s">
        <v>2931</v>
      </c>
      <c r="C23720">
        <v>8242</v>
      </c>
      <c r="D23720" t="str">
        <f>"55251191161 "</f>
        <v xml:space="preserve">55251191161 </v>
      </c>
      <c r="E23720" t="s">
        <v>1845</v>
      </c>
      <c r="F23720" t="s">
        <v>1846</v>
      </c>
      <c r="G23720">
        <v>31.25</v>
      </c>
      <c r="H23720">
        <v>250531</v>
      </c>
      <c r="I23720">
        <v>4572</v>
      </c>
      <c r="J23720" t="s">
        <v>173</v>
      </c>
      <c r="K23720">
        <v>31.25</v>
      </c>
      <c r="L23720">
        <v>0</v>
      </c>
      <c r="M23720">
        <v>11001</v>
      </c>
      <c r="N23720" t="s">
        <v>93</v>
      </c>
      <c r="O23720">
        <v>250612</v>
      </c>
      <c r="P23720">
        <v>31.25</v>
      </c>
    </row>
    <row r="23721" spans="1:16" x14ac:dyDescent="0.25">
      <c r="A23721" t="s">
        <v>3296</v>
      </c>
      <c r="B23721" t="s">
        <v>2931</v>
      </c>
      <c r="C23721">
        <v>8244</v>
      </c>
      <c r="D23721" t="str">
        <f>"55251191103 "</f>
        <v xml:space="preserve">55251191103 </v>
      </c>
      <c r="E23721" t="s">
        <v>1845</v>
      </c>
      <c r="F23721" t="s">
        <v>1846</v>
      </c>
      <c r="G23721">
        <v>3.73</v>
      </c>
      <c r="H23721">
        <v>250531</v>
      </c>
      <c r="I23721">
        <v>4572</v>
      </c>
      <c r="J23721" t="s">
        <v>173</v>
      </c>
      <c r="K23721">
        <v>12.42</v>
      </c>
      <c r="L23721">
        <v>0.76</v>
      </c>
      <c r="M23721">
        <v>14952</v>
      </c>
      <c r="N23721" t="s">
        <v>213</v>
      </c>
      <c r="O23721">
        <v>250612</v>
      </c>
      <c r="P23721">
        <v>2.97</v>
      </c>
    </row>
    <row r="23722" spans="1:16" x14ac:dyDescent="0.25">
      <c r="A23722" t="s">
        <v>3296</v>
      </c>
      <c r="B23722" t="s">
        <v>2931</v>
      </c>
      <c r="C23722">
        <v>8244</v>
      </c>
      <c r="D23722" t="str">
        <f>"55251191103 "</f>
        <v xml:space="preserve">55251191103 </v>
      </c>
      <c r="E23722" t="s">
        <v>1845</v>
      </c>
      <c r="F23722" t="s">
        <v>1846</v>
      </c>
      <c r="G23722">
        <v>8.69</v>
      </c>
      <c r="H23722">
        <v>250531</v>
      </c>
      <c r="I23722">
        <v>4572</v>
      </c>
      <c r="J23722" t="s">
        <v>173</v>
      </c>
      <c r="K23722">
        <v>12.42</v>
      </c>
      <c r="L23722">
        <v>1.77</v>
      </c>
      <c r="M23722">
        <v>14981</v>
      </c>
      <c r="N23722" t="s">
        <v>252</v>
      </c>
      <c r="O23722">
        <v>250612</v>
      </c>
      <c r="P23722">
        <v>6.92</v>
      </c>
    </row>
    <row r="23723" spans="1:16" x14ac:dyDescent="0.25">
      <c r="A23723" t="s">
        <v>3296</v>
      </c>
      <c r="B23723" t="s">
        <v>2931</v>
      </c>
      <c r="C23723">
        <v>8245</v>
      </c>
      <c r="D23723" t="str">
        <f>"55251191100 "</f>
        <v xml:space="preserve">55251191100 </v>
      </c>
      <c r="E23723" t="s">
        <v>1845</v>
      </c>
      <c r="F23723" t="s">
        <v>1846</v>
      </c>
      <c r="G23723">
        <v>0.12</v>
      </c>
      <c r="H23723">
        <v>250531</v>
      </c>
      <c r="I23723">
        <v>4572</v>
      </c>
      <c r="J23723" t="s">
        <v>173</v>
      </c>
      <c r="K23723">
        <v>0.43</v>
      </c>
      <c r="L23723">
        <v>0.02</v>
      </c>
      <c r="M23723">
        <v>59112</v>
      </c>
      <c r="N23723" t="s">
        <v>44</v>
      </c>
      <c r="O23723">
        <v>250612</v>
      </c>
      <c r="P23723">
        <v>0.1</v>
      </c>
    </row>
    <row r="23724" spans="1:16" x14ac:dyDescent="0.25">
      <c r="A23724" t="s">
        <v>3296</v>
      </c>
      <c r="B23724" t="s">
        <v>2931</v>
      </c>
      <c r="C23724">
        <v>8245</v>
      </c>
      <c r="D23724" t="str">
        <f>"55251191100 "</f>
        <v xml:space="preserve">55251191100 </v>
      </c>
      <c r="E23724" t="s">
        <v>1845</v>
      </c>
      <c r="F23724" t="s">
        <v>1846</v>
      </c>
      <c r="G23724">
        <v>0.31</v>
      </c>
      <c r="H23724">
        <v>250531</v>
      </c>
      <c r="I23724">
        <v>4572</v>
      </c>
      <c r="J23724" t="s">
        <v>173</v>
      </c>
      <c r="K23724">
        <v>0.43</v>
      </c>
      <c r="L23724">
        <v>0.06</v>
      </c>
      <c r="M23724">
        <v>59504</v>
      </c>
      <c r="N23724" t="s">
        <v>193</v>
      </c>
      <c r="O23724">
        <v>250612</v>
      </c>
      <c r="P23724">
        <v>0.25</v>
      </c>
    </row>
    <row r="23725" spans="1:16" x14ac:dyDescent="0.25">
      <c r="A23725" t="s">
        <v>3296</v>
      </c>
      <c r="B23725" t="s">
        <v>2931</v>
      </c>
      <c r="C23725">
        <v>8252</v>
      </c>
      <c r="D23725" t="str">
        <f>"55251191003 "</f>
        <v xml:space="preserve">55251191003 </v>
      </c>
      <c r="E23725" t="s">
        <v>1845</v>
      </c>
      <c r="F23725" t="s">
        <v>1846</v>
      </c>
      <c r="G23725">
        <v>789.54</v>
      </c>
      <c r="H23725">
        <v>250531</v>
      </c>
      <c r="I23725">
        <v>4572</v>
      </c>
      <c r="J23725" t="s">
        <v>173</v>
      </c>
      <c r="K23725">
        <v>897.2</v>
      </c>
      <c r="L23725">
        <v>160.41999999999999</v>
      </c>
      <c r="M23725">
        <v>59505</v>
      </c>
      <c r="N23725" t="s">
        <v>194</v>
      </c>
      <c r="O23725">
        <v>250612</v>
      </c>
      <c r="P23725">
        <v>629.12</v>
      </c>
    </row>
    <row r="23726" spans="1:16" x14ac:dyDescent="0.25">
      <c r="A23726" t="s">
        <v>3296</v>
      </c>
      <c r="B23726" t="s">
        <v>2931</v>
      </c>
      <c r="C23726">
        <v>8252</v>
      </c>
      <c r="D23726" t="str">
        <f>"55251191003 "</f>
        <v xml:space="preserve">55251191003 </v>
      </c>
      <c r="E23726" t="s">
        <v>1845</v>
      </c>
      <c r="F23726" t="s">
        <v>1846</v>
      </c>
      <c r="G23726">
        <v>107.66</v>
      </c>
      <c r="H23726">
        <v>250531</v>
      </c>
      <c r="I23726">
        <v>4572</v>
      </c>
      <c r="J23726" t="s">
        <v>173</v>
      </c>
      <c r="K23726">
        <v>897.2</v>
      </c>
      <c r="L23726">
        <v>21.88</v>
      </c>
      <c r="M23726">
        <v>59812</v>
      </c>
      <c r="N23726" t="s">
        <v>196</v>
      </c>
      <c r="O23726">
        <v>250612</v>
      </c>
      <c r="P23726">
        <v>85.78</v>
      </c>
    </row>
    <row r="23727" spans="1:16" x14ac:dyDescent="0.25">
      <c r="A23727" t="s">
        <v>3296</v>
      </c>
      <c r="B23727" t="s">
        <v>2931</v>
      </c>
      <c r="C23727">
        <v>8254</v>
      </c>
      <c r="D23727" t="str">
        <f>"55251191051 "</f>
        <v xml:space="preserve">55251191051 </v>
      </c>
      <c r="E23727" t="s">
        <v>1845</v>
      </c>
      <c r="F23727" t="s">
        <v>1846</v>
      </c>
      <c r="G23727">
        <v>3.01</v>
      </c>
      <c r="H23727">
        <v>250531</v>
      </c>
      <c r="I23727">
        <v>4572</v>
      </c>
      <c r="J23727" t="s">
        <v>173</v>
      </c>
      <c r="K23727">
        <v>3.01</v>
      </c>
      <c r="L23727">
        <v>0.61</v>
      </c>
      <c r="M23727">
        <v>17981</v>
      </c>
      <c r="N23727" t="s">
        <v>927</v>
      </c>
      <c r="O23727">
        <v>250612</v>
      </c>
      <c r="P23727">
        <v>2.4</v>
      </c>
    </row>
    <row r="23728" spans="1:16" x14ac:dyDescent="0.25">
      <c r="A23728" t="s">
        <v>3296</v>
      </c>
      <c r="B23728" t="s">
        <v>2931</v>
      </c>
      <c r="C23728">
        <v>8255</v>
      </c>
      <c r="D23728" t="str">
        <f>"55251190987 "</f>
        <v xml:space="preserve">55251190987 </v>
      </c>
      <c r="E23728" t="s">
        <v>1845</v>
      </c>
      <c r="F23728" t="s">
        <v>1846</v>
      </c>
      <c r="G23728">
        <v>10.01</v>
      </c>
      <c r="H23728">
        <v>250531</v>
      </c>
      <c r="I23728">
        <v>4572</v>
      </c>
      <c r="J23728" t="s">
        <v>173</v>
      </c>
      <c r="K23728">
        <v>33.380000000000003</v>
      </c>
      <c r="L23728">
        <v>2.0299999999999998</v>
      </c>
      <c r="M23728">
        <v>14952</v>
      </c>
      <c r="N23728" t="s">
        <v>213</v>
      </c>
      <c r="O23728">
        <v>250612</v>
      </c>
      <c r="P23728">
        <v>7.98</v>
      </c>
    </row>
    <row r="23729" spans="1:16" x14ac:dyDescent="0.25">
      <c r="A23729" t="s">
        <v>3296</v>
      </c>
      <c r="B23729" t="s">
        <v>2931</v>
      </c>
      <c r="C23729">
        <v>8255</v>
      </c>
      <c r="D23729" t="str">
        <f>"55251190987 "</f>
        <v xml:space="preserve">55251190987 </v>
      </c>
      <c r="E23729" t="s">
        <v>1845</v>
      </c>
      <c r="F23729" t="s">
        <v>1846</v>
      </c>
      <c r="G23729">
        <v>23.37</v>
      </c>
      <c r="H23729">
        <v>250531</v>
      </c>
      <c r="I23729">
        <v>4572</v>
      </c>
      <c r="J23729" t="s">
        <v>173</v>
      </c>
      <c r="K23729">
        <v>33.380000000000003</v>
      </c>
      <c r="L23729">
        <v>4.75</v>
      </c>
      <c r="M23729">
        <v>14981</v>
      </c>
      <c r="N23729" t="s">
        <v>252</v>
      </c>
      <c r="O23729">
        <v>250612</v>
      </c>
      <c r="P23729">
        <v>18.62</v>
      </c>
    </row>
    <row r="23730" spans="1:16" x14ac:dyDescent="0.25">
      <c r="A23730" t="s">
        <v>3296</v>
      </c>
      <c r="B23730" t="s">
        <v>2931</v>
      </c>
      <c r="C23730">
        <v>8257</v>
      </c>
      <c r="D23730" t="str">
        <f>"55251191032 "</f>
        <v xml:space="preserve">55251191032 </v>
      </c>
      <c r="E23730" t="s">
        <v>1845</v>
      </c>
      <c r="F23730" t="s">
        <v>1846</v>
      </c>
      <c r="G23730">
        <v>1304.25</v>
      </c>
      <c r="H23730">
        <v>250531</v>
      </c>
      <c r="I23730">
        <v>4572</v>
      </c>
      <c r="J23730" t="s">
        <v>173</v>
      </c>
      <c r="K23730">
        <v>1304.25</v>
      </c>
      <c r="L23730">
        <v>265.01</v>
      </c>
      <c r="M23730">
        <v>17956</v>
      </c>
      <c r="N23730" t="s">
        <v>170</v>
      </c>
      <c r="O23730">
        <v>250612</v>
      </c>
      <c r="P23730">
        <v>1039.24</v>
      </c>
    </row>
    <row r="23731" spans="1:16" x14ac:dyDescent="0.25">
      <c r="A23731" t="s">
        <v>3296</v>
      </c>
      <c r="B23731" t="s">
        <v>2931</v>
      </c>
      <c r="C23731">
        <v>8262</v>
      </c>
      <c r="D23731" t="str">
        <f>"55251191034 "</f>
        <v xml:space="preserve">55251191034 </v>
      </c>
      <c r="E23731" t="s">
        <v>1845</v>
      </c>
      <c r="F23731" t="s">
        <v>1846</v>
      </c>
      <c r="G23731">
        <v>1494.46</v>
      </c>
      <c r="H23731">
        <v>250531</v>
      </c>
      <c r="I23731">
        <v>4572</v>
      </c>
      <c r="J23731" t="s">
        <v>173</v>
      </c>
      <c r="K23731">
        <v>2449.94</v>
      </c>
      <c r="L23731">
        <v>303.66000000000003</v>
      </c>
      <c r="M23731">
        <v>59502</v>
      </c>
      <c r="N23731" t="s">
        <v>63</v>
      </c>
      <c r="O23731">
        <v>250612</v>
      </c>
      <c r="P23731">
        <v>1190.8</v>
      </c>
    </row>
    <row r="23732" spans="1:16" x14ac:dyDescent="0.25">
      <c r="A23732" t="s">
        <v>3296</v>
      </c>
      <c r="B23732" t="s">
        <v>2931</v>
      </c>
      <c r="C23732">
        <v>8262</v>
      </c>
      <c r="D23732" t="str">
        <f>"55251191034 "</f>
        <v xml:space="preserve">55251191034 </v>
      </c>
      <c r="E23732" t="s">
        <v>1845</v>
      </c>
      <c r="F23732" t="s">
        <v>1846</v>
      </c>
      <c r="G23732">
        <v>955.48</v>
      </c>
      <c r="H23732">
        <v>250531</v>
      </c>
      <c r="I23732">
        <v>4572</v>
      </c>
      <c r="J23732" t="s">
        <v>173</v>
      </c>
      <c r="K23732">
        <v>2449.94</v>
      </c>
      <c r="L23732">
        <v>194.14</v>
      </c>
      <c r="M23732">
        <v>59802</v>
      </c>
      <c r="N23732" t="s">
        <v>195</v>
      </c>
      <c r="O23732">
        <v>250612</v>
      </c>
      <c r="P23732">
        <v>761.34</v>
      </c>
    </row>
    <row r="23733" spans="1:16" x14ac:dyDescent="0.25">
      <c r="A23733" t="s">
        <v>3296</v>
      </c>
      <c r="B23733" t="s">
        <v>2931</v>
      </c>
      <c r="C23733">
        <v>8265</v>
      </c>
      <c r="D23733" t="str">
        <f>"55251191036 "</f>
        <v xml:space="preserve">55251191036 </v>
      </c>
      <c r="E23733" t="s">
        <v>1845</v>
      </c>
      <c r="F23733" t="s">
        <v>1846</v>
      </c>
      <c r="G23733">
        <v>2862.54</v>
      </c>
      <c r="H23733">
        <v>250531</v>
      </c>
      <c r="I23733">
        <v>4572</v>
      </c>
      <c r="J23733" t="s">
        <v>173</v>
      </c>
      <c r="K23733">
        <v>2862.54</v>
      </c>
      <c r="L23733">
        <v>581.63</v>
      </c>
      <c r="M23733">
        <v>17951</v>
      </c>
      <c r="N23733" t="s">
        <v>207</v>
      </c>
      <c r="O23733">
        <v>250612</v>
      </c>
      <c r="P23733">
        <v>2280.91</v>
      </c>
    </row>
    <row r="23734" spans="1:16" x14ac:dyDescent="0.25">
      <c r="A23734" t="s">
        <v>3296</v>
      </c>
      <c r="B23734" t="s">
        <v>2931</v>
      </c>
      <c r="C23734">
        <v>8304</v>
      </c>
      <c r="D23734" t="str">
        <f>"55251191038 "</f>
        <v xml:space="preserve">55251191038 </v>
      </c>
      <c r="E23734" t="s">
        <v>1845</v>
      </c>
      <c r="F23734" t="s">
        <v>1846</v>
      </c>
      <c r="G23734">
        <v>93.16</v>
      </c>
      <c r="H23734">
        <v>250531</v>
      </c>
      <c r="I23734">
        <v>4572</v>
      </c>
      <c r="J23734" t="s">
        <v>173</v>
      </c>
      <c r="K23734">
        <v>93.16</v>
      </c>
      <c r="L23734">
        <v>18.93</v>
      </c>
      <c r="M23734">
        <v>17956</v>
      </c>
      <c r="N23734" t="s">
        <v>170</v>
      </c>
      <c r="O23734">
        <v>250612</v>
      </c>
      <c r="P23734">
        <v>74.23</v>
      </c>
    </row>
    <row r="23735" spans="1:16" x14ac:dyDescent="0.25">
      <c r="A23735" t="s">
        <v>3296</v>
      </c>
      <c r="B23735" t="s">
        <v>2931</v>
      </c>
      <c r="C23735">
        <v>8307</v>
      </c>
      <c r="D23735" t="str">
        <f>"55251191047 "</f>
        <v xml:space="preserve">55251191047 </v>
      </c>
      <c r="E23735" t="s">
        <v>1845</v>
      </c>
      <c r="F23735" t="s">
        <v>1846</v>
      </c>
      <c r="G23735">
        <v>265.86</v>
      </c>
      <c r="H23735">
        <v>250531</v>
      </c>
      <c r="I23735">
        <v>4572</v>
      </c>
      <c r="J23735" t="s">
        <v>173</v>
      </c>
      <c r="K23735">
        <v>4431.07</v>
      </c>
      <c r="L23735">
        <v>54.02</v>
      </c>
      <c r="M23735">
        <v>59111</v>
      </c>
      <c r="N23735" t="s">
        <v>60</v>
      </c>
      <c r="O23735">
        <v>250612</v>
      </c>
      <c r="P23735">
        <v>211.84</v>
      </c>
    </row>
    <row r="23736" spans="1:16" x14ac:dyDescent="0.25">
      <c r="A23736" t="s">
        <v>3296</v>
      </c>
      <c r="B23736" t="s">
        <v>2931</v>
      </c>
      <c r="C23736">
        <v>8307</v>
      </c>
      <c r="D23736" t="str">
        <f>"55251191047 "</f>
        <v xml:space="preserve">55251191047 </v>
      </c>
      <c r="E23736" t="s">
        <v>1845</v>
      </c>
      <c r="F23736" t="s">
        <v>1846</v>
      </c>
      <c r="G23736">
        <v>4165.21</v>
      </c>
      <c r="H23736">
        <v>250531</v>
      </c>
      <c r="I23736">
        <v>4572</v>
      </c>
      <c r="J23736" t="s">
        <v>173</v>
      </c>
      <c r="K23736">
        <v>4431.07</v>
      </c>
      <c r="L23736">
        <v>846.32</v>
      </c>
      <c r="M23736">
        <v>59501</v>
      </c>
      <c r="N23736" t="s">
        <v>62</v>
      </c>
      <c r="O23736">
        <v>250612</v>
      </c>
      <c r="P23736">
        <v>3318.89</v>
      </c>
    </row>
    <row r="23737" spans="1:16" x14ac:dyDescent="0.25">
      <c r="A23737" t="s">
        <v>3296</v>
      </c>
      <c r="B23737" t="s">
        <v>2931</v>
      </c>
      <c r="C23737">
        <v>8308</v>
      </c>
      <c r="D23737" t="str">
        <f>"55251191033 "</f>
        <v xml:space="preserve">55251191033 </v>
      </c>
      <c r="E23737" t="s">
        <v>1845</v>
      </c>
      <c r="F23737" t="s">
        <v>1846</v>
      </c>
      <c r="G23737">
        <v>326.69</v>
      </c>
      <c r="H23737">
        <v>250531</v>
      </c>
      <c r="I23737">
        <v>4572</v>
      </c>
      <c r="J23737" t="s">
        <v>173</v>
      </c>
      <c r="K23737">
        <v>1209.98</v>
      </c>
      <c r="L23737">
        <v>66.38</v>
      </c>
      <c r="M23737">
        <v>59112</v>
      </c>
      <c r="N23737" t="s">
        <v>44</v>
      </c>
      <c r="O23737">
        <v>250612</v>
      </c>
      <c r="P23737">
        <v>260.31</v>
      </c>
    </row>
    <row r="23738" spans="1:16" x14ac:dyDescent="0.25">
      <c r="A23738" t="s">
        <v>3296</v>
      </c>
      <c r="B23738" t="s">
        <v>2931</v>
      </c>
      <c r="C23738">
        <v>8308</v>
      </c>
      <c r="D23738" t="str">
        <f>"55251191033 "</f>
        <v xml:space="preserve">55251191033 </v>
      </c>
      <c r="E23738" t="s">
        <v>1845</v>
      </c>
      <c r="F23738" t="s">
        <v>1846</v>
      </c>
      <c r="G23738">
        <v>883.29</v>
      </c>
      <c r="H23738">
        <v>250531</v>
      </c>
      <c r="I23738">
        <v>4572</v>
      </c>
      <c r="J23738" t="s">
        <v>173</v>
      </c>
      <c r="K23738">
        <v>1209.98</v>
      </c>
      <c r="L23738">
        <v>179.47</v>
      </c>
      <c r="M23738">
        <v>59504</v>
      </c>
      <c r="N23738" t="s">
        <v>193</v>
      </c>
      <c r="O23738">
        <v>250612</v>
      </c>
      <c r="P23738">
        <v>703.82</v>
      </c>
    </row>
    <row r="23739" spans="1:16" x14ac:dyDescent="0.25">
      <c r="A23739" t="s">
        <v>3296</v>
      </c>
      <c r="B23739" t="s">
        <v>2931</v>
      </c>
      <c r="C23739">
        <v>8309</v>
      </c>
      <c r="D23739" t="str">
        <f>"55251191059 "</f>
        <v xml:space="preserve">55251191059 </v>
      </c>
      <c r="E23739" t="s">
        <v>1845</v>
      </c>
      <c r="F23739" t="s">
        <v>1846</v>
      </c>
      <c r="G23739">
        <v>14.67</v>
      </c>
      <c r="H23739">
        <v>250531</v>
      </c>
      <c r="I23739">
        <v>4572</v>
      </c>
      <c r="J23739" t="s">
        <v>173</v>
      </c>
      <c r="K23739">
        <v>14.67</v>
      </c>
      <c r="L23739">
        <v>2.98</v>
      </c>
      <c r="M23739">
        <v>17956</v>
      </c>
      <c r="N23739" t="s">
        <v>170</v>
      </c>
      <c r="O23739">
        <v>250612</v>
      </c>
      <c r="P23739">
        <v>11.69</v>
      </c>
    </row>
    <row r="23740" spans="1:16" x14ac:dyDescent="0.25">
      <c r="A23740" t="s">
        <v>3296</v>
      </c>
      <c r="B23740" t="s">
        <v>2931</v>
      </c>
      <c r="C23740">
        <v>8311</v>
      </c>
      <c r="D23740" t="str">
        <f>"55251190999 "</f>
        <v xml:space="preserve">55251190999 </v>
      </c>
      <c r="E23740" t="s">
        <v>1845</v>
      </c>
      <c r="F23740" t="s">
        <v>1846</v>
      </c>
      <c r="G23740">
        <v>249.59</v>
      </c>
      <c r="H23740">
        <v>250531</v>
      </c>
      <c r="I23740">
        <v>4572</v>
      </c>
      <c r="J23740" t="s">
        <v>173</v>
      </c>
      <c r="K23740">
        <v>249.59</v>
      </c>
      <c r="L23740">
        <v>50.71</v>
      </c>
      <c r="M23740">
        <v>17950</v>
      </c>
      <c r="N23740" t="s">
        <v>132</v>
      </c>
      <c r="O23740">
        <v>250612</v>
      </c>
      <c r="P23740">
        <v>198.88</v>
      </c>
    </row>
    <row r="23741" spans="1:16" x14ac:dyDescent="0.25">
      <c r="A23741" t="s">
        <v>3296</v>
      </c>
      <c r="B23741" t="s">
        <v>2931</v>
      </c>
      <c r="C23741">
        <v>8312</v>
      </c>
      <c r="D23741" t="str">
        <f>"55251190974 "</f>
        <v xml:space="preserve">55251190974 </v>
      </c>
      <c r="E23741" t="s">
        <v>1845</v>
      </c>
      <c r="F23741" t="s">
        <v>1846</v>
      </c>
      <c r="G23741">
        <v>0.16</v>
      </c>
      <c r="H23741">
        <v>250531</v>
      </c>
      <c r="I23741">
        <v>4572</v>
      </c>
      <c r="J23741" t="s">
        <v>173</v>
      </c>
      <c r="K23741">
        <v>0.59</v>
      </c>
      <c r="L23741">
        <v>0.03</v>
      </c>
      <c r="M23741">
        <v>59112</v>
      </c>
      <c r="N23741" t="s">
        <v>44</v>
      </c>
      <c r="O23741">
        <v>250612</v>
      </c>
      <c r="P23741">
        <v>0.13</v>
      </c>
    </row>
    <row r="23742" spans="1:16" x14ac:dyDescent="0.25">
      <c r="A23742" t="s">
        <v>3296</v>
      </c>
      <c r="B23742" t="s">
        <v>2931</v>
      </c>
      <c r="C23742">
        <v>8312</v>
      </c>
      <c r="D23742" t="str">
        <f>"55251190974 "</f>
        <v xml:space="preserve">55251190974 </v>
      </c>
      <c r="E23742" t="s">
        <v>1845</v>
      </c>
      <c r="F23742" t="s">
        <v>1846</v>
      </c>
      <c r="G23742">
        <v>0.43</v>
      </c>
      <c r="H23742">
        <v>250531</v>
      </c>
      <c r="I23742">
        <v>4572</v>
      </c>
      <c r="J23742" t="s">
        <v>173</v>
      </c>
      <c r="K23742">
        <v>0.59</v>
      </c>
      <c r="L23742">
        <v>0.09</v>
      </c>
      <c r="M23742">
        <v>59504</v>
      </c>
      <c r="N23742" t="s">
        <v>193</v>
      </c>
      <c r="O23742">
        <v>250612</v>
      </c>
      <c r="P23742">
        <v>0.34</v>
      </c>
    </row>
    <row r="23743" spans="1:16" x14ac:dyDescent="0.25">
      <c r="A23743" t="s">
        <v>3296</v>
      </c>
      <c r="B23743" t="s">
        <v>2931</v>
      </c>
      <c r="C23743">
        <v>8315</v>
      </c>
      <c r="D23743" t="str">
        <f>"55251190977 "</f>
        <v xml:space="preserve">55251190977 </v>
      </c>
      <c r="E23743" t="s">
        <v>1845</v>
      </c>
      <c r="F23743" t="s">
        <v>1846</v>
      </c>
      <c r="G23743">
        <v>382.43</v>
      </c>
      <c r="H23743">
        <v>250531</v>
      </c>
      <c r="I23743">
        <v>4572</v>
      </c>
      <c r="J23743" t="s">
        <v>173</v>
      </c>
      <c r="K23743">
        <v>3476.66</v>
      </c>
      <c r="L23743">
        <v>77.7</v>
      </c>
      <c r="M23743">
        <v>13540</v>
      </c>
      <c r="N23743" t="s">
        <v>131</v>
      </c>
      <c r="O23743">
        <v>250612</v>
      </c>
      <c r="P23743">
        <v>304.73</v>
      </c>
    </row>
    <row r="23744" spans="1:16" x14ac:dyDescent="0.25">
      <c r="A23744" t="s">
        <v>3296</v>
      </c>
      <c r="B23744" t="s">
        <v>2931</v>
      </c>
      <c r="C23744">
        <v>8315</v>
      </c>
      <c r="D23744" t="str">
        <f>"55251190977 "</f>
        <v xml:space="preserve">55251190977 </v>
      </c>
      <c r="E23744" t="s">
        <v>1845</v>
      </c>
      <c r="F23744" t="s">
        <v>1846</v>
      </c>
      <c r="G23744">
        <v>3094.23</v>
      </c>
      <c r="H23744">
        <v>250531</v>
      </c>
      <c r="I23744">
        <v>4572</v>
      </c>
      <c r="J23744" t="s">
        <v>173</v>
      </c>
      <c r="K23744">
        <v>3476.66</v>
      </c>
      <c r="L23744">
        <v>628.71</v>
      </c>
      <c r="M23744">
        <v>17950</v>
      </c>
      <c r="N23744" t="s">
        <v>132</v>
      </c>
      <c r="O23744">
        <v>250612</v>
      </c>
      <c r="P23744">
        <v>2465.52</v>
      </c>
    </row>
    <row r="23745" spans="1:16" x14ac:dyDescent="0.25">
      <c r="A23745" t="s">
        <v>3296</v>
      </c>
      <c r="B23745" t="s">
        <v>2931</v>
      </c>
      <c r="C23745">
        <v>8316</v>
      </c>
      <c r="D23745" t="str">
        <f>"55251191108 "</f>
        <v xml:space="preserve">55251191108 </v>
      </c>
      <c r="E23745" t="s">
        <v>1845</v>
      </c>
      <c r="F23745" t="s">
        <v>1846</v>
      </c>
      <c r="G23745">
        <v>149.49</v>
      </c>
      <c r="H23745">
        <v>250531</v>
      </c>
      <c r="I23745">
        <v>4572</v>
      </c>
      <c r="J23745" t="s">
        <v>173</v>
      </c>
      <c r="K23745">
        <v>498.29</v>
      </c>
      <c r="L23745">
        <v>30.37</v>
      </c>
      <c r="M23745">
        <v>14952</v>
      </c>
      <c r="N23745" t="s">
        <v>213</v>
      </c>
      <c r="O23745">
        <v>250612</v>
      </c>
      <c r="P23745">
        <v>119.12</v>
      </c>
    </row>
    <row r="23746" spans="1:16" x14ac:dyDescent="0.25">
      <c r="A23746" t="s">
        <v>3296</v>
      </c>
      <c r="B23746" t="s">
        <v>2931</v>
      </c>
      <c r="C23746">
        <v>8316</v>
      </c>
      <c r="D23746" t="str">
        <f>"55251191108 "</f>
        <v xml:space="preserve">55251191108 </v>
      </c>
      <c r="E23746" t="s">
        <v>1845</v>
      </c>
      <c r="F23746" t="s">
        <v>1846</v>
      </c>
      <c r="G23746">
        <v>348.8</v>
      </c>
      <c r="H23746">
        <v>250531</v>
      </c>
      <c r="I23746">
        <v>4572</v>
      </c>
      <c r="J23746" t="s">
        <v>173</v>
      </c>
      <c r="K23746">
        <v>498.29</v>
      </c>
      <c r="L23746">
        <v>70.87</v>
      </c>
      <c r="M23746">
        <v>14981</v>
      </c>
      <c r="N23746" t="s">
        <v>252</v>
      </c>
      <c r="O23746">
        <v>250612</v>
      </c>
      <c r="P23746">
        <v>277.93</v>
      </c>
    </row>
    <row r="23747" spans="1:16" x14ac:dyDescent="0.25">
      <c r="A23747" t="s">
        <v>3296</v>
      </c>
      <c r="B23747" t="s">
        <v>2931</v>
      </c>
      <c r="C23747">
        <v>8317</v>
      </c>
      <c r="D23747" t="str">
        <f>"55251191079 "</f>
        <v xml:space="preserve">55251191079 </v>
      </c>
      <c r="E23747" t="s">
        <v>1845</v>
      </c>
      <c r="F23747" t="s">
        <v>1846</v>
      </c>
      <c r="G23747">
        <v>1765.23</v>
      </c>
      <c r="H23747">
        <v>250531</v>
      </c>
      <c r="I23747">
        <v>4572</v>
      </c>
      <c r="J23747" t="s">
        <v>173</v>
      </c>
      <c r="K23747">
        <v>1765.23</v>
      </c>
      <c r="L23747">
        <v>358.67</v>
      </c>
      <c r="M23747">
        <v>14951</v>
      </c>
      <c r="N23747" t="s">
        <v>186</v>
      </c>
      <c r="O23747">
        <v>250612</v>
      </c>
      <c r="P23747">
        <v>1406.56</v>
      </c>
    </row>
    <row r="23748" spans="1:16" x14ac:dyDescent="0.25">
      <c r="A23748" t="s">
        <v>3296</v>
      </c>
      <c r="B23748" t="s">
        <v>2931</v>
      </c>
      <c r="C23748">
        <v>8318</v>
      </c>
      <c r="D23748" t="str">
        <f>"55251191021 "</f>
        <v xml:space="preserve">55251191021 </v>
      </c>
      <c r="E23748" t="s">
        <v>1845</v>
      </c>
      <c r="F23748" t="s">
        <v>1846</v>
      </c>
      <c r="G23748">
        <v>123.33</v>
      </c>
      <c r="H23748">
        <v>250531</v>
      </c>
      <c r="I23748">
        <v>4572</v>
      </c>
      <c r="J23748" t="s">
        <v>173</v>
      </c>
      <c r="K23748">
        <v>123.33</v>
      </c>
      <c r="L23748">
        <v>25.06</v>
      </c>
      <c r="M23748">
        <v>13841</v>
      </c>
      <c r="N23748" t="s">
        <v>178</v>
      </c>
      <c r="O23748">
        <v>250612</v>
      </c>
      <c r="P23748">
        <v>98.27</v>
      </c>
    </row>
    <row r="23749" spans="1:16" x14ac:dyDescent="0.25">
      <c r="A23749" t="s">
        <v>3296</v>
      </c>
      <c r="B23749" t="s">
        <v>2931</v>
      </c>
      <c r="C23749">
        <v>8319</v>
      </c>
      <c r="D23749" t="str">
        <f>"55251191101 "</f>
        <v xml:space="preserve">55251191101 </v>
      </c>
      <c r="E23749" t="s">
        <v>1845</v>
      </c>
      <c r="F23749" t="s">
        <v>1846</v>
      </c>
      <c r="G23749">
        <v>63.09</v>
      </c>
      <c r="H23749">
        <v>250531</v>
      </c>
      <c r="I23749">
        <v>4572</v>
      </c>
      <c r="J23749" t="s">
        <v>173</v>
      </c>
      <c r="K23749">
        <v>189.28</v>
      </c>
      <c r="L23749">
        <v>12.82</v>
      </c>
      <c r="M23749">
        <v>11401</v>
      </c>
      <c r="N23749" t="s">
        <v>91</v>
      </c>
      <c r="O23749">
        <v>250612</v>
      </c>
      <c r="P23749">
        <v>50.27</v>
      </c>
    </row>
    <row r="23750" spans="1:16" x14ac:dyDescent="0.25">
      <c r="A23750" t="s">
        <v>3296</v>
      </c>
      <c r="B23750" t="s">
        <v>2931</v>
      </c>
      <c r="C23750">
        <v>8319</v>
      </c>
      <c r="D23750" t="str">
        <f>"55251191101 "</f>
        <v xml:space="preserve">55251191101 </v>
      </c>
      <c r="E23750" t="s">
        <v>1845</v>
      </c>
      <c r="F23750" t="s">
        <v>1846</v>
      </c>
      <c r="G23750">
        <v>126.19</v>
      </c>
      <c r="H23750">
        <v>250531</v>
      </c>
      <c r="I23750">
        <v>4572</v>
      </c>
      <c r="J23750" t="s">
        <v>173</v>
      </c>
      <c r="K23750">
        <v>189.28</v>
      </c>
      <c r="L23750">
        <v>25.64</v>
      </c>
      <c r="M23750">
        <v>14952</v>
      </c>
      <c r="N23750" t="s">
        <v>213</v>
      </c>
      <c r="O23750">
        <v>250612</v>
      </c>
      <c r="P23750">
        <v>100.55</v>
      </c>
    </row>
    <row r="23751" spans="1:16" x14ac:dyDescent="0.25">
      <c r="A23751" t="s">
        <v>3296</v>
      </c>
      <c r="B23751" t="s">
        <v>2931</v>
      </c>
      <c r="C23751">
        <v>8320</v>
      </c>
      <c r="D23751" t="str">
        <f>"55251191074 "</f>
        <v xml:space="preserve">55251191074 </v>
      </c>
      <c r="E23751" t="s">
        <v>1845</v>
      </c>
      <c r="F23751" t="s">
        <v>1846</v>
      </c>
      <c r="G23751">
        <v>3.72</v>
      </c>
      <c r="H23751">
        <v>250531</v>
      </c>
      <c r="I23751">
        <v>4572</v>
      </c>
      <c r="J23751" t="s">
        <v>173</v>
      </c>
      <c r="K23751">
        <v>13.77</v>
      </c>
      <c r="L23751">
        <v>0.76</v>
      </c>
      <c r="M23751">
        <v>59112</v>
      </c>
      <c r="N23751" t="s">
        <v>44</v>
      </c>
      <c r="O23751">
        <v>250612</v>
      </c>
      <c r="P23751">
        <v>2.96</v>
      </c>
    </row>
    <row r="23752" spans="1:16" x14ac:dyDescent="0.25">
      <c r="A23752" t="s">
        <v>3296</v>
      </c>
      <c r="B23752" t="s">
        <v>2931</v>
      </c>
      <c r="C23752">
        <v>8320</v>
      </c>
      <c r="D23752" t="str">
        <f>"55251191074 "</f>
        <v xml:space="preserve">55251191074 </v>
      </c>
      <c r="E23752" t="s">
        <v>1845</v>
      </c>
      <c r="F23752" t="s">
        <v>1846</v>
      </c>
      <c r="G23752">
        <v>10.050000000000001</v>
      </c>
      <c r="H23752">
        <v>250531</v>
      </c>
      <c r="I23752">
        <v>4572</v>
      </c>
      <c r="J23752" t="s">
        <v>173</v>
      </c>
      <c r="K23752">
        <v>13.77</v>
      </c>
      <c r="L23752">
        <v>2.04</v>
      </c>
      <c r="M23752">
        <v>59504</v>
      </c>
      <c r="N23752" t="s">
        <v>193</v>
      </c>
      <c r="O23752">
        <v>250612</v>
      </c>
      <c r="P23752">
        <v>8.01</v>
      </c>
    </row>
    <row r="23753" spans="1:16" x14ac:dyDescent="0.25">
      <c r="A23753" t="s">
        <v>3296</v>
      </c>
      <c r="B23753" t="s">
        <v>2931</v>
      </c>
      <c r="C23753">
        <v>8498</v>
      </c>
      <c r="D23753" t="str">
        <f>"55251191132 "</f>
        <v xml:space="preserve">55251191132 </v>
      </c>
      <c r="E23753" t="s">
        <v>1845</v>
      </c>
      <c r="F23753" t="s">
        <v>1846</v>
      </c>
      <c r="G23753">
        <v>153.69</v>
      </c>
      <c r="H23753">
        <v>250531</v>
      </c>
      <c r="I23753">
        <v>4572</v>
      </c>
      <c r="J23753" t="s">
        <v>173</v>
      </c>
      <c r="K23753">
        <v>3073.86</v>
      </c>
      <c r="L23753">
        <v>31.23</v>
      </c>
      <c r="M23753">
        <v>49111</v>
      </c>
      <c r="N23753" t="s">
        <v>108</v>
      </c>
      <c r="O23753">
        <v>250617</v>
      </c>
      <c r="P23753">
        <v>122.46</v>
      </c>
    </row>
    <row r="23754" spans="1:16" x14ac:dyDescent="0.25">
      <c r="A23754" t="s">
        <v>3296</v>
      </c>
      <c r="B23754" t="s">
        <v>2931</v>
      </c>
      <c r="C23754">
        <v>8498</v>
      </c>
      <c r="D23754" t="str">
        <f>"55251191132 "</f>
        <v xml:space="preserve">55251191132 </v>
      </c>
      <c r="E23754" t="s">
        <v>1845</v>
      </c>
      <c r="F23754" t="s">
        <v>1846</v>
      </c>
      <c r="G23754">
        <v>2812.58</v>
      </c>
      <c r="H23754">
        <v>250531</v>
      </c>
      <c r="I23754">
        <v>4572</v>
      </c>
      <c r="J23754" t="s">
        <v>173</v>
      </c>
      <c r="K23754">
        <v>3073.86</v>
      </c>
      <c r="L23754">
        <v>571.48</v>
      </c>
      <c r="M23754">
        <v>49501</v>
      </c>
      <c r="N23754" t="s">
        <v>110</v>
      </c>
      <c r="O23754">
        <v>250617</v>
      </c>
      <c r="P23754">
        <v>2241.1</v>
      </c>
    </row>
    <row r="23755" spans="1:16" x14ac:dyDescent="0.25">
      <c r="A23755" t="s">
        <v>3296</v>
      </c>
      <c r="B23755" t="s">
        <v>2931</v>
      </c>
      <c r="C23755">
        <v>8498</v>
      </c>
      <c r="D23755" t="str">
        <f>"55251191132 "</f>
        <v xml:space="preserve">55251191132 </v>
      </c>
      <c r="E23755" t="s">
        <v>1845</v>
      </c>
      <c r="F23755" t="s">
        <v>1846</v>
      </c>
      <c r="G23755">
        <v>61.48</v>
      </c>
      <c r="H23755">
        <v>250531</v>
      </c>
      <c r="I23755">
        <v>4572</v>
      </c>
      <c r="J23755" t="s">
        <v>173</v>
      </c>
      <c r="K23755">
        <v>3073.86</v>
      </c>
      <c r="L23755">
        <v>12.49</v>
      </c>
      <c r="M23755">
        <v>49801</v>
      </c>
      <c r="N23755" t="s">
        <v>953</v>
      </c>
      <c r="O23755">
        <v>250617</v>
      </c>
      <c r="P23755">
        <v>48.99</v>
      </c>
    </row>
    <row r="23756" spans="1:16" x14ac:dyDescent="0.25">
      <c r="A23756" t="s">
        <v>3296</v>
      </c>
      <c r="B23756" t="s">
        <v>2931</v>
      </c>
      <c r="C23756">
        <v>8498</v>
      </c>
      <c r="D23756" t="str">
        <f>"55251191132 "</f>
        <v xml:space="preserve">55251191132 </v>
      </c>
      <c r="E23756" t="s">
        <v>1845</v>
      </c>
      <c r="F23756" t="s">
        <v>1846</v>
      </c>
      <c r="G23756">
        <v>46.11</v>
      </c>
      <c r="H23756">
        <v>250531</v>
      </c>
      <c r="I23756">
        <v>4572</v>
      </c>
      <c r="J23756" t="s">
        <v>173</v>
      </c>
      <c r="K23756">
        <v>3073.86</v>
      </c>
      <c r="L23756">
        <v>0</v>
      </c>
      <c r="M23756">
        <v>49803</v>
      </c>
      <c r="N23756" t="s">
        <v>956</v>
      </c>
      <c r="O23756">
        <v>250617</v>
      </c>
      <c r="P23756">
        <v>46.11</v>
      </c>
    </row>
    <row r="23757" spans="1:16" x14ac:dyDescent="0.25">
      <c r="A23757" t="s">
        <v>3296</v>
      </c>
      <c r="B23757" t="s">
        <v>2931</v>
      </c>
      <c r="C23757">
        <v>8499</v>
      </c>
      <c r="D23757" t="str">
        <f>"55251191142 "</f>
        <v xml:space="preserve">55251191142 </v>
      </c>
      <c r="E23757" t="s">
        <v>1845</v>
      </c>
      <c r="F23757" t="s">
        <v>1846</v>
      </c>
      <c r="G23757">
        <v>992.04</v>
      </c>
      <c r="H23757">
        <v>250531</v>
      </c>
      <c r="I23757">
        <v>4572</v>
      </c>
      <c r="J23757" t="s">
        <v>173</v>
      </c>
      <c r="K23757">
        <v>1044.25</v>
      </c>
      <c r="L23757">
        <v>201.57</v>
      </c>
      <c r="M23757">
        <v>49501</v>
      </c>
      <c r="N23757" t="s">
        <v>110</v>
      </c>
      <c r="O23757">
        <v>250617</v>
      </c>
      <c r="P23757">
        <v>790.47</v>
      </c>
    </row>
    <row r="23758" spans="1:16" x14ac:dyDescent="0.25">
      <c r="A23758" t="s">
        <v>3296</v>
      </c>
      <c r="B23758" t="s">
        <v>2931</v>
      </c>
      <c r="C23758">
        <v>8499</v>
      </c>
      <c r="D23758" t="str">
        <f>"55251191142 "</f>
        <v xml:space="preserve">55251191142 </v>
      </c>
      <c r="E23758" t="s">
        <v>1845</v>
      </c>
      <c r="F23758" t="s">
        <v>1846</v>
      </c>
      <c r="G23758">
        <v>52.21</v>
      </c>
      <c r="H23758">
        <v>250531</v>
      </c>
      <c r="I23758">
        <v>4572</v>
      </c>
      <c r="J23758" t="s">
        <v>173</v>
      </c>
      <c r="K23758">
        <v>1044.25</v>
      </c>
      <c r="L23758">
        <v>10.61</v>
      </c>
      <c r="M23758">
        <v>49801</v>
      </c>
      <c r="N23758" t="s">
        <v>953</v>
      </c>
      <c r="O23758">
        <v>250617</v>
      </c>
      <c r="P23758">
        <v>41.6</v>
      </c>
    </row>
    <row r="23759" spans="1:16" x14ac:dyDescent="0.25">
      <c r="A23759" t="s">
        <v>3296</v>
      </c>
      <c r="B23759" t="s">
        <v>2931</v>
      </c>
      <c r="C23759">
        <v>8501</v>
      </c>
      <c r="D23759" t="str">
        <f>"55251191090 "</f>
        <v xml:space="preserve">55251191090 </v>
      </c>
      <c r="E23759" t="s">
        <v>1845</v>
      </c>
      <c r="F23759" t="s">
        <v>1846</v>
      </c>
      <c r="G23759">
        <v>533.58000000000004</v>
      </c>
      <c r="H23759">
        <v>250531</v>
      </c>
      <c r="I23759">
        <v>4572</v>
      </c>
      <c r="J23759" t="s">
        <v>173</v>
      </c>
      <c r="K23759">
        <v>533.58000000000004</v>
      </c>
      <c r="L23759">
        <v>108.42</v>
      </c>
      <c r="M23759">
        <v>49503</v>
      </c>
      <c r="N23759" t="s">
        <v>267</v>
      </c>
      <c r="O23759">
        <v>250617</v>
      </c>
      <c r="P23759">
        <v>425.16</v>
      </c>
    </row>
    <row r="23760" spans="1:16" x14ac:dyDescent="0.25">
      <c r="A23760" t="s">
        <v>3296</v>
      </c>
      <c r="B23760" t="s">
        <v>2931</v>
      </c>
      <c r="C23760">
        <v>8575</v>
      </c>
      <c r="D23760" t="str">
        <f>"55251192284 "</f>
        <v xml:space="preserve">55251192284 </v>
      </c>
      <c r="E23760" t="s">
        <v>1845</v>
      </c>
      <c r="F23760" t="s">
        <v>1846</v>
      </c>
      <c r="G23760">
        <v>14.25</v>
      </c>
      <c r="H23760">
        <v>250531</v>
      </c>
      <c r="I23760">
        <v>4572</v>
      </c>
      <c r="J23760" t="s">
        <v>173</v>
      </c>
      <c r="K23760">
        <v>42.75</v>
      </c>
      <c r="L23760">
        <v>2.9</v>
      </c>
      <c r="M23760">
        <v>11401</v>
      </c>
      <c r="N23760" t="s">
        <v>91</v>
      </c>
      <c r="O23760">
        <v>250617</v>
      </c>
      <c r="P23760">
        <v>11.35</v>
      </c>
    </row>
    <row r="23761" spans="1:16" x14ac:dyDescent="0.25">
      <c r="A23761" t="s">
        <v>3296</v>
      </c>
      <c r="B23761" t="s">
        <v>2931</v>
      </c>
      <c r="C23761">
        <v>8575</v>
      </c>
      <c r="D23761" t="str">
        <f>"55251192284 "</f>
        <v xml:space="preserve">55251192284 </v>
      </c>
      <c r="E23761" t="s">
        <v>1845</v>
      </c>
      <c r="F23761" t="s">
        <v>1846</v>
      </c>
      <c r="G23761">
        <v>28.5</v>
      </c>
      <c r="H23761">
        <v>250531</v>
      </c>
      <c r="I23761">
        <v>4572</v>
      </c>
      <c r="J23761" t="s">
        <v>173</v>
      </c>
      <c r="K23761">
        <v>42.75</v>
      </c>
      <c r="L23761">
        <v>5.79</v>
      </c>
      <c r="M23761">
        <v>14952</v>
      </c>
      <c r="N23761" t="s">
        <v>213</v>
      </c>
      <c r="O23761">
        <v>250617</v>
      </c>
      <c r="P23761">
        <v>22.71</v>
      </c>
    </row>
    <row r="23762" spans="1:16" x14ac:dyDescent="0.25">
      <c r="A23762" t="s">
        <v>3296</v>
      </c>
      <c r="B23762" t="s">
        <v>2931</v>
      </c>
      <c r="C23762">
        <v>8917</v>
      </c>
      <c r="D23762" t="str">
        <f>"55251191030 "</f>
        <v xml:space="preserve">55251191030 </v>
      </c>
      <c r="E23762" t="s">
        <v>1845</v>
      </c>
      <c r="F23762" t="s">
        <v>1846</v>
      </c>
      <c r="G23762">
        <v>13.84</v>
      </c>
      <c r="H23762">
        <v>250531</v>
      </c>
      <c r="I23762">
        <v>4572</v>
      </c>
      <c r="J23762" t="s">
        <v>173</v>
      </c>
      <c r="K23762">
        <v>13.84</v>
      </c>
      <c r="L23762">
        <v>2.81</v>
      </c>
      <c r="M23762">
        <v>56571</v>
      </c>
      <c r="N23762" t="s">
        <v>553</v>
      </c>
      <c r="O23762">
        <v>250619</v>
      </c>
      <c r="P23762">
        <v>11.03</v>
      </c>
    </row>
    <row r="23763" spans="1:16" x14ac:dyDescent="0.25">
      <c r="A23763" t="s">
        <v>3296</v>
      </c>
      <c r="B23763" t="s">
        <v>2931</v>
      </c>
      <c r="C23763">
        <v>8918</v>
      </c>
      <c r="D23763" t="str">
        <f>"55251190973 "</f>
        <v xml:space="preserve">55251190973 </v>
      </c>
      <c r="E23763" t="s">
        <v>1845</v>
      </c>
      <c r="F23763" t="s">
        <v>1846</v>
      </c>
      <c r="G23763">
        <v>13.88</v>
      </c>
      <c r="H23763">
        <v>250531</v>
      </c>
      <c r="I23763">
        <v>4572</v>
      </c>
      <c r="J23763" t="s">
        <v>173</v>
      </c>
      <c r="K23763">
        <v>13.88</v>
      </c>
      <c r="L23763">
        <v>2.82</v>
      </c>
      <c r="M23763">
        <v>56571</v>
      </c>
      <c r="N23763" t="s">
        <v>553</v>
      </c>
      <c r="O23763">
        <v>250619</v>
      </c>
      <c r="P23763">
        <v>11.06</v>
      </c>
    </row>
    <row r="23764" spans="1:16" x14ac:dyDescent="0.25">
      <c r="A23764" t="s">
        <v>3296</v>
      </c>
      <c r="B23764" t="s">
        <v>2931</v>
      </c>
      <c r="C23764">
        <v>9162</v>
      </c>
      <c r="D23764" t="str">
        <f>"55251196151 "</f>
        <v xml:space="preserve">55251196151 </v>
      </c>
      <c r="E23764" t="s">
        <v>1845</v>
      </c>
      <c r="F23764" t="s">
        <v>1846</v>
      </c>
      <c r="G23764">
        <v>41.37</v>
      </c>
      <c r="H23764">
        <v>250619</v>
      </c>
      <c r="I23764">
        <v>4572</v>
      </c>
      <c r="J23764" t="s">
        <v>173</v>
      </c>
      <c r="K23764">
        <v>1379.04</v>
      </c>
      <c r="L23764">
        <v>8.41</v>
      </c>
      <c r="M23764">
        <v>17739</v>
      </c>
      <c r="N23764" t="s">
        <v>928</v>
      </c>
      <c r="O23764">
        <v>250627</v>
      </c>
      <c r="P23764">
        <v>32.96</v>
      </c>
    </row>
    <row r="23765" spans="1:16" x14ac:dyDescent="0.25">
      <c r="A23765" t="s">
        <v>3296</v>
      </c>
      <c r="B23765" t="s">
        <v>2931</v>
      </c>
      <c r="C23765">
        <v>9162</v>
      </c>
      <c r="D23765" t="str">
        <f>"55251196151 "</f>
        <v xml:space="preserve">55251196151 </v>
      </c>
      <c r="E23765" t="s">
        <v>1845</v>
      </c>
      <c r="F23765" t="s">
        <v>1846</v>
      </c>
      <c r="G23765">
        <v>455.08</v>
      </c>
      <c r="H23765">
        <v>250619</v>
      </c>
      <c r="I23765">
        <v>4572</v>
      </c>
      <c r="J23765" t="s">
        <v>173</v>
      </c>
      <c r="K23765">
        <v>1379.04</v>
      </c>
      <c r="L23765">
        <v>92.47</v>
      </c>
      <c r="M23765">
        <v>17912</v>
      </c>
      <c r="N23765" t="s">
        <v>505</v>
      </c>
      <c r="O23765">
        <v>250627</v>
      </c>
      <c r="P23765">
        <v>362.61</v>
      </c>
    </row>
    <row r="23766" spans="1:16" x14ac:dyDescent="0.25">
      <c r="A23766" t="s">
        <v>3296</v>
      </c>
      <c r="B23766" t="s">
        <v>2931</v>
      </c>
      <c r="C23766">
        <v>9162</v>
      </c>
      <c r="D23766" t="str">
        <f>"55251196151 "</f>
        <v xml:space="preserve">55251196151 </v>
      </c>
      <c r="E23766" t="s">
        <v>1845</v>
      </c>
      <c r="F23766" t="s">
        <v>1846</v>
      </c>
      <c r="G23766">
        <v>882.59</v>
      </c>
      <c r="H23766">
        <v>250619</v>
      </c>
      <c r="I23766">
        <v>4572</v>
      </c>
      <c r="J23766" t="s">
        <v>173</v>
      </c>
      <c r="K23766">
        <v>1379.04</v>
      </c>
      <c r="L23766">
        <v>179.33</v>
      </c>
      <c r="M23766">
        <v>17952</v>
      </c>
      <c r="N23766" t="s">
        <v>157</v>
      </c>
      <c r="O23766">
        <v>250627</v>
      </c>
      <c r="P23766">
        <v>703.26</v>
      </c>
    </row>
    <row r="23767" spans="1:16" x14ac:dyDescent="0.25">
      <c r="A23767" t="s">
        <v>3296</v>
      </c>
      <c r="B23767" t="s">
        <v>2931</v>
      </c>
      <c r="C23767">
        <v>9448</v>
      </c>
      <c r="D23767" t="str">
        <f>"55251280077 "</f>
        <v xml:space="preserve">55251280077 </v>
      </c>
      <c r="E23767" t="s">
        <v>1845</v>
      </c>
      <c r="F23767" t="s">
        <v>1846</v>
      </c>
      <c r="G23767">
        <v>14.97</v>
      </c>
      <c r="H23767">
        <v>250630</v>
      </c>
      <c r="I23767">
        <v>4572</v>
      </c>
      <c r="J23767" t="s">
        <v>173</v>
      </c>
      <c r="K23767">
        <v>14.97</v>
      </c>
      <c r="L23767">
        <v>3.04</v>
      </c>
      <c r="M23767">
        <v>13841</v>
      </c>
      <c r="N23767" t="s">
        <v>178</v>
      </c>
      <c r="O23767">
        <v>250707</v>
      </c>
      <c r="P23767">
        <v>11.93</v>
      </c>
    </row>
    <row r="23768" spans="1:16" x14ac:dyDescent="0.25">
      <c r="A23768" t="s">
        <v>3296</v>
      </c>
      <c r="B23768" t="s">
        <v>2931</v>
      </c>
      <c r="C23768">
        <v>9450</v>
      </c>
      <c r="D23768" t="str">
        <f>"55251281825 "</f>
        <v xml:space="preserve">55251281825 </v>
      </c>
      <c r="E23768" t="s">
        <v>1845</v>
      </c>
      <c r="F23768" t="s">
        <v>1846</v>
      </c>
      <c r="G23768">
        <v>4.46</v>
      </c>
      <c r="H23768">
        <v>250630</v>
      </c>
      <c r="I23768">
        <v>4572</v>
      </c>
      <c r="J23768" t="s">
        <v>173</v>
      </c>
      <c r="K23768">
        <v>4.46</v>
      </c>
      <c r="L23768">
        <v>0.91</v>
      </c>
      <c r="M23768">
        <v>13841</v>
      </c>
      <c r="N23768" t="s">
        <v>178</v>
      </c>
      <c r="O23768">
        <v>250707</v>
      </c>
      <c r="P23768">
        <v>3.55</v>
      </c>
    </row>
    <row r="23769" spans="1:16" x14ac:dyDescent="0.25">
      <c r="A23769" t="s">
        <v>3296</v>
      </c>
      <c r="B23769" t="s">
        <v>2931</v>
      </c>
      <c r="C23769">
        <v>9454</v>
      </c>
      <c r="D23769" t="str">
        <f>"55251281266 "</f>
        <v xml:space="preserve">55251281266 </v>
      </c>
      <c r="E23769" t="s">
        <v>1845</v>
      </c>
      <c r="F23769" t="s">
        <v>1846</v>
      </c>
      <c r="G23769">
        <v>105.23</v>
      </c>
      <c r="H23769">
        <v>250630</v>
      </c>
      <c r="I23769">
        <v>4572</v>
      </c>
      <c r="J23769" t="s">
        <v>173</v>
      </c>
      <c r="K23769">
        <v>105.23</v>
      </c>
      <c r="L23769">
        <v>21.38</v>
      </c>
      <c r="M23769">
        <v>13841</v>
      </c>
      <c r="N23769" t="s">
        <v>178</v>
      </c>
      <c r="O23769">
        <v>250707</v>
      </c>
      <c r="P23769">
        <v>83.85</v>
      </c>
    </row>
    <row r="23770" spans="1:16" x14ac:dyDescent="0.25">
      <c r="A23770" t="s">
        <v>3296</v>
      </c>
      <c r="B23770" t="s">
        <v>2931</v>
      </c>
      <c r="C23770">
        <v>9470</v>
      </c>
      <c r="D23770" t="str">
        <f>"55251281804 "</f>
        <v xml:space="preserve">55251281804 </v>
      </c>
      <c r="E23770" t="s">
        <v>1845</v>
      </c>
      <c r="F23770" t="s">
        <v>1846</v>
      </c>
      <c r="G23770">
        <v>14.06</v>
      </c>
      <c r="H23770">
        <v>250630</v>
      </c>
      <c r="I23770">
        <v>4572</v>
      </c>
      <c r="J23770" t="s">
        <v>173</v>
      </c>
      <c r="K23770">
        <v>42.2</v>
      </c>
      <c r="L23770">
        <v>2.86</v>
      </c>
      <c r="M23770">
        <v>11401</v>
      </c>
      <c r="N23770" t="s">
        <v>91</v>
      </c>
      <c r="O23770">
        <v>250708</v>
      </c>
      <c r="P23770">
        <v>11.2</v>
      </c>
    </row>
    <row r="23771" spans="1:16" x14ac:dyDescent="0.25">
      <c r="A23771" t="s">
        <v>3296</v>
      </c>
      <c r="B23771" t="s">
        <v>2931</v>
      </c>
      <c r="C23771">
        <v>9470</v>
      </c>
      <c r="D23771" t="str">
        <f>"55251281804 "</f>
        <v xml:space="preserve">55251281804 </v>
      </c>
      <c r="E23771" t="s">
        <v>1845</v>
      </c>
      <c r="F23771" t="s">
        <v>1846</v>
      </c>
      <c r="G23771">
        <v>28.14</v>
      </c>
      <c r="H23771">
        <v>250630</v>
      </c>
      <c r="I23771">
        <v>4572</v>
      </c>
      <c r="J23771" t="s">
        <v>173</v>
      </c>
      <c r="K23771">
        <v>42.2</v>
      </c>
      <c r="L23771">
        <v>5.72</v>
      </c>
      <c r="M23771">
        <v>14952</v>
      </c>
      <c r="N23771" t="s">
        <v>213</v>
      </c>
      <c r="O23771">
        <v>250708</v>
      </c>
      <c r="P23771">
        <v>22.42</v>
      </c>
    </row>
    <row r="23772" spans="1:16" x14ac:dyDescent="0.25">
      <c r="A23772" t="s">
        <v>3296</v>
      </c>
      <c r="B23772" t="s">
        <v>2931</v>
      </c>
      <c r="C23772">
        <v>9471</v>
      </c>
      <c r="D23772" t="str">
        <f>"55251280835 "</f>
        <v xml:space="preserve">55251280835 </v>
      </c>
      <c r="E23772" t="s">
        <v>1845</v>
      </c>
      <c r="F23772" t="s">
        <v>1846</v>
      </c>
      <c r="G23772">
        <v>40.22</v>
      </c>
      <c r="H23772">
        <v>250630</v>
      </c>
      <c r="I23772">
        <v>4572</v>
      </c>
      <c r="J23772" t="s">
        <v>173</v>
      </c>
      <c r="K23772">
        <v>40.22</v>
      </c>
      <c r="L23772">
        <v>0</v>
      </c>
      <c r="M23772">
        <v>11001</v>
      </c>
      <c r="N23772" t="s">
        <v>93</v>
      </c>
      <c r="O23772">
        <v>250708</v>
      </c>
      <c r="P23772">
        <v>40.22</v>
      </c>
    </row>
    <row r="23773" spans="1:16" x14ac:dyDescent="0.25">
      <c r="A23773" t="s">
        <v>3296</v>
      </c>
      <c r="B23773" t="s">
        <v>2931</v>
      </c>
      <c r="C23773">
        <v>9472</v>
      </c>
      <c r="D23773" t="str">
        <f>"55251281893 "</f>
        <v xml:space="preserve">55251281893 </v>
      </c>
      <c r="E23773" t="s">
        <v>1845</v>
      </c>
      <c r="F23773" t="s">
        <v>1846</v>
      </c>
      <c r="G23773">
        <v>4.7300000000000004</v>
      </c>
      <c r="H23773">
        <v>250630</v>
      </c>
      <c r="I23773">
        <v>4572</v>
      </c>
      <c r="J23773" t="s">
        <v>173</v>
      </c>
      <c r="K23773">
        <v>15.76</v>
      </c>
      <c r="L23773">
        <v>0.96</v>
      </c>
      <c r="M23773">
        <v>14952</v>
      </c>
      <c r="N23773" t="s">
        <v>213</v>
      </c>
      <c r="O23773">
        <v>250708</v>
      </c>
      <c r="P23773">
        <v>3.77</v>
      </c>
    </row>
    <row r="23774" spans="1:16" x14ac:dyDescent="0.25">
      <c r="A23774" t="s">
        <v>3296</v>
      </c>
      <c r="B23774" t="s">
        <v>2931</v>
      </c>
      <c r="C23774">
        <v>9472</v>
      </c>
      <c r="D23774" t="str">
        <f>"55251281893 "</f>
        <v xml:space="preserve">55251281893 </v>
      </c>
      <c r="E23774" t="s">
        <v>1845</v>
      </c>
      <c r="F23774" t="s">
        <v>1846</v>
      </c>
      <c r="G23774">
        <v>11.03</v>
      </c>
      <c r="H23774">
        <v>250630</v>
      </c>
      <c r="I23774">
        <v>4572</v>
      </c>
      <c r="J23774" t="s">
        <v>173</v>
      </c>
      <c r="K23774">
        <v>15.76</v>
      </c>
      <c r="L23774">
        <v>2.2400000000000002</v>
      </c>
      <c r="M23774">
        <v>14981</v>
      </c>
      <c r="N23774" t="s">
        <v>252</v>
      </c>
      <c r="O23774">
        <v>250708</v>
      </c>
      <c r="P23774">
        <v>8.7899999999999991</v>
      </c>
    </row>
    <row r="23775" spans="1:16" x14ac:dyDescent="0.25">
      <c r="A23775" t="s">
        <v>3296</v>
      </c>
      <c r="B23775" t="s">
        <v>2931</v>
      </c>
      <c r="C23775">
        <v>9474</v>
      </c>
      <c r="D23775" t="str">
        <f>"55251281861 "</f>
        <v xml:space="preserve">55251281861 </v>
      </c>
      <c r="E23775" t="s">
        <v>1845</v>
      </c>
      <c r="F23775" t="s">
        <v>1846</v>
      </c>
      <c r="G23775">
        <v>2.5099999999999998</v>
      </c>
      <c r="H23775">
        <v>250630</v>
      </c>
      <c r="I23775">
        <v>4572</v>
      </c>
      <c r="J23775" t="s">
        <v>173</v>
      </c>
      <c r="K23775">
        <v>8.3699999999999992</v>
      </c>
      <c r="L23775">
        <v>0.51</v>
      </c>
      <c r="M23775">
        <v>14952</v>
      </c>
      <c r="N23775" t="s">
        <v>213</v>
      </c>
      <c r="O23775">
        <v>250708</v>
      </c>
      <c r="P23775">
        <v>2</v>
      </c>
    </row>
    <row r="23776" spans="1:16" x14ac:dyDescent="0.25">
      <c r="A23776" t="s">
        <v>3296</v>
      </c>
      <c r="B23776" t="s">
        <v>2931</v>
      </c>
      <c r="C23776">
        <v>9474</v>
      </c>
      <c r="D23776" t="str">
        <f>"55251281861 "</f>
        <v xml:space="preserve">55251281861 </v>
      </c>
      <c r="E23776" t="s">
        <v>1845</v>
      </c>
      <c r="F23776" t="s">
        <v>1846</v>
      </c>
      <c r="G23776">
        <v>5.86</v>
      </c>
      <c r="H23776">
        <v>250630</v>
      </c>
      <c r="I23776">
        <v>4572</v>
      </c>
      <c r="J23776" t="s">
        <v>173</v>
      </c>
      <c r="K23776">
        <v>8.3699999999999992</v>
      </c>
      <c r="L23776">
        <v>1.19</v>
      </c>
      <c r="M23776">
        <v>14981</v>
      </c>
      <c r="N23776" t="s">
        <v>252</v>
      </c>
      <c r="O23776">
        <v>250708</v>
      </c>
      <c r="P23776">
        <v>4.67</v>
      </c>
    </row>
    <row r="23777" spans="1:16" x14ac:dyDescent="0.25">
      <c r="A23777" t="s">
        <v>3296</v>
      </c>
      <c r="B23777" t="s">
        <v>2931</v>
      </c>
      <c r="C23777">
        <v>9476</v>
      </c>
      <c r="D23777" t="str">
        <f>"55251280929 "</f>
        <v xml:space="preserve">55251280929 </v>
      </c>
      <c r="E23777" t="s">
        <v>1845</v>
      </c>
      <c r="F23777" t="s">
        <v>1846</v>
      </c>
      <c r="G23777">
        <v>157.97</v>
      </c>
      <c r="H23777">
        <v>250630</v>
      </c>
      <c r="I23777">
        <v>4572</v>
      </c>
      <c r="J23777" t="s">
        <v>173</v>
      </c>
      <c r="K23777">
        <v>526.55999999999995</v>
      </c>
      <c r="L23777">
        <v>32.1</v>
      </c>
      <c r="M23777">
        <v>14952</v>
      </c>
      <c r="N23777" t="s">
        <v>213</v>
      </c>
      <c r="O23777">
        <v>250708</v>
      </c>
      <c r="P23777">
        <v>125.87</v>
      </c>
    </row>
    <row r="23778" spans="1:16" x14ac:dyDescent="0.25">
      <c r="A23778" t="s">
        <v>3296</v>
      </c>
      <c r="B23778" t="s">
        <v>2931</v>
      </c>
      <c r="C23778">
        <v>9476</v>
      </c>
      <c r="D23778" t="str">
        <f>"55251280929 "</f>
        <v xml:space="preserve">55251280929 </v>
      </c>
      <c r="E23778" t="s">
        <v>1845</v>
      </c>
      <c r="F23778" t="s">
        <v>1846</v>
      </c>
      <c r="G23778">
        <v>368.59</v>
      </c>
      <c r="H23778">
        <v>250630</v>
      </c>
      <c r="I23778">
        <v>4572</v>
      </c>
      <c r="J23778" t="s">
        <v>173</v>
      </c>
      <c r="K23778">
        <v>526.55999999999995</v>
      </c>
      <c r="L23778">
        <v>74.89</v>
      </c>
      <c r="M23778">
        <v>14981</v>
      </c>
      <c r="N23778" t="s">
        <v>252</v>
      </c>
      <c r="O23778">
        <v>250708</v>
      </c>
      <c r="P23778">
        <v>293.7</v>
      </c>
    </row>
    <row r="23779" spans="1:16" x14ac:dyDescent="0.25">
      <c r="A23779" t="s">
        <v>3296</v>
      </c>
      <c r="B23779" t="s">
        <v>2931</v>
      </c>
      <c r="C23779">
        <v>9477</v>
      </c>
      <c r="D23779" t="str">
        <f>"55251279613 "</f>
        <v xml:space="preserve">55251279613 </v>
      </c>
      <c r="E23779" t="s">
        <v>1845</v>
      </c>
      <c r="F23779" t="s">
        <v>1846</v>
      </c>
      <c r="G23779">
        <v>9.8699999999999992</v>
      </c>
      <c r="H23779">
        <v>250630</v>
      </c>
      <c r="I23779">
        <v>4572</v>
      </c>
      <c r="J23779" t="s">
        <v>173</v>
      </c>
      <c r="K23779">
        <v>32.89</v>
      </c>
      <c r="L23779">
        <v>2.0099999999999998</v>
      </c>
      <c r="M23779">
        <v>14952</v>
      </c>
      <c r="N23779" t="s">
        <v>213</v>
      </c>
      <c r="O23779">
        <v>250708</v>
      </c>
      <c r="P23779">
        <v>7.86</v>
      </c>
    </row>
    <row r="23780" spans="1:16" x14ac:dyDescent="0.25">
      <c r="A23780" t="s">
        <v>3296</v>
      </c>
      <c r="B23780" t="s">
        <v>2931</v>
      </c>
      <c r="C23780">
        <v>9477</v>
      </c>
      <c r="D23780" t="str">
        <f>"55251279613 "</f>
        <v xml:space="preserve">55251279613 </v>
      </c>
      <c r="E23780" t="s">
        <v>1845</v>
      </c>
      <c r="F23780" t="s">
        <v>1846</v>
      </c>
      <c r="G23780">
        <v>23.02</v>
      </c>
      <c r="H23780">
        <v>250630</v>
      </c>
      <c r="I23780">
        <v>4572</v>
      </c>
      <c r="J23780" t="s">
        <v>173</v>
      </c>
      <c r="K23780">
        <v>32.89</v>
      </c>
      <c r="L23780">
        <v>4.68</v>
      </c>
      <c r="M23780">
        <v>14981</v>
      </c>
      <c r="N23780" t="s">
        <v>252</v>
      </c>
      <c r="O23780">
        <v>250708</v>
      </c>
      <c r="P23780">
        <v>18.34</v>
      </c>
    </row>
    <row r="23781" spans="1:16" x14ac:dyDescent="0.25">
      <c r="A23781" t="s">
        <v>3296</v>
      </c>
      <c r="B23781" t="s">
        <v>2931</v>
      </c>
      <c r="C23781">
        <v>9478</v>
      </c>
      <c r="D23781" t="str">
        <f>"55251281828 "</f>
        <v xml:space="preserve">55251281828 </v>
      </c>
      <c r="E23781" t="s">
        <v>1845</v>
      </c>
      <c r="F23781" t="s">
        <v>1846</v>
      </c>
      <c r="G23781">
        <v>59.22</v>
      </c>
      <c r="H23781">
        <v>250630</v>
      </c>
      <c r="I23781">
        <v>4572</v>
      </c>
      <c r="J23781" t="s">
        <v>173</v>
      </c>
      <c r="K23781">
        <v>177.68</v>
      </c>
      <c r="L23781">
        <v>12.03</v>
      </c>
      <c r="M23781">
        <v>11401</v>
      </c>
      <c r="N23781" t="s">
        <v>91</v>
      </c>
      <c r="O23781">
        <v>250708</v>
      </c>
      <c r="P23781">
        <v>47.19</v>
      </c>
    </row>
    <row r="23782" spans="1:16" x14ac:dyDescent="0.25">
      <c r="A23782" t="s">
        <v>3296</v>
      </c>
      <c r="B23782" t="s">
        <v>2931</v>
      </c>
      <c r="C23782">
        <v>9478</v>
      </c>
      <c r="D23782" t="str">
        <f>"55251281828 "</f>
        <v xml:space="preserve">55251281828 </v>
      </c>
      <c r="E23782" t="s">
        <v>1845</v>
      </c>
      <c r="F23782" t="s">
        <v>1846</v>
      </c>
      <c r="G23782">
        <v>118.46</v>
      </c>
      <c r="H23782">
        <v>250630</v>
      </c>
      <c r="I23782">
        <v>4572</v>
      </c>
      <c r="J23782" t="s">
        <v>173</v>
      </c>
      <c r="K23782">
        <v>177.68</v>
      </c>
      <c r="L23782">
        <v>24.07</v>
      </c>
      <c r="M23782">
        <v>14952</v>
      </c>
      <c r="N23782" t="s">
        <v>213</v>
      </c>
      <c r="O23782">
        <v>250708</v>
      </c>
      <c r="P23782">
        <v>94.39</v>
      </c>
    </row>
    <row r="23783" spans="1:16" x14ac:dyDescent="0.25">
      <c r="A23783" t="s">
        <v>3296</v>
      </c>
      <c r="B23783" t="s">
        <v>2931</v>
      </c>
      <c r="C23783">
        <v>9514</v>
      </c>
      <c r="D23783" t="str">
        <f>"55251280442 "</f>
        <v xml:space="preserve">55251280442 </v>
      </c>
      <c r="E23783" t="s">
        <v>1845</v>
      </c>
      <c r="F23783" t="s">
        <v>1846</v>
      </c>
      <c r="G23783">
        <v>688.77</v>
      </c>
      <c r="H23783">
        <v>250630</v>
      </c>
      <c r="I23783">
        <v>4572</v>
      </c>
      <c r="J23783" t="s">
        <v>173</v>
      </c>
      <c r="K23783">
        <v>782.69</v>
      </c>
      <c r="L23783">
        <v>139.94999999999999</v>
      </c>
      <c r="M23783">
        <v>59505</v>
      </c>
      <c r="N23783" t="s">
        <v>194</v>
      </c>
      <c r="O23783">
        <v>250709</v>
      </c>
      <c r="P23783">
        <v>548.82000000000005</v>
      </c>
    </row>
    <row r="23784" spans="1:16" x14ac:dyDescent="0.25">
      <c r="A23784" t="s">
        <v>3296</v>
      </c>
      <c r="B23784" t="s">
        <v>2931</v>
      </c>
      <c r="C23784">
        <v>9514</v>
      </c>
      <c r="D23784" t="str">
        <f>"55251280442 "</f>
        <v xml:space="preserve">55251280442 </v>
      </c>
      <c r="E23784" t="s">
        <v>1845</v>
      </c>
      <c r="F23784" t="s">
        <v>1846</v>
      </c>
      <c r="G23784">
        <v>93.92</v>
      </c>
      <c r="H23784">
        <v>250630</v>
      </c>
      <c r="I23784">
        <v>4572</v>
      </c>
      <c r="J23784" t="s">
        <v>173</v>
      </c>
      <c r="K23784">
        <v>782.69</v>
      </c>
      <c r="L23784">
        <v>19.079999999999998</v>
      </c>
      <c r="M23784">
        <v>59812</v>
      </c>
      <c r="N23784" t="s">
        <v>196</v>
      </c>
      <c r="O23784">
        <v>250709</v>
      </c>
      <c r="P23784">
        <v>74.84</v>
      </c>
    </row>
    <row r="23785" spans="1:16" x14ac:dyDescent="0.25">
      <c r="A23785" t="s">
        <v>3296</v>
      </c>
      <c r="B23785" t="s">
        <v>2931</v>
      </c>
      <c r="C23785">
        <v>9515</v>
      </c>
      <c r="D23785" t="str">
        <f>"55251280215 "</f>
        <v xml:space="preserve">55251280215 </v>
      </c>
      <c r="E23785" t="s">
        <v>1845</v>
      </c>
      <c r="F23785" t="s">
        <v>1846</v>
      </c>
      <c r="G23785">
        <v>251.28</v>
      </c>
      <c r="H23785">
        <v>250630</v>
      </c>
      <c r="I23785">
        <v>4572</v>
      </c>
      <c r="J23785" t="s">
        <v>173</v>
      </c>
      <c r="K23785">
        <v>930.67</v>
      </c>
      <c r="L23785">
        <v>51.06</v>
      </c>
      <c r="M23785">
        <v>59112</v>
      </c>
      <c r="N23785" t="s">
        <v>44</v>
      </c>
      <c r="O23785">
        <v>250709</v>
      </c>
      <c r="P23785">
        <v>200.22</v>
      </c>
    </row>
    <row r="23786" spans="1:16" x14ac:dyDescent="0.25">
      <c r="A23786" t="s">
        <v>3296</v>
      </c>
      <c r="B23786" t="s">
        <v>2931</v>
      </c>
      <c r="C23786">
        <v>9515</v>
      </c>
      <c r="D23786" t="str">
        <f>"55251280215 "</f>
        <v xml:space="preserve">55251280215 </v>
      </c>
      <c r="E23786" t="s">
        <v>1845</v>
      </c>
      <c r="F23786" t="s">
        <v>1846</v>
      </c>
      <c r="G23786">
        <v>679.39</v>
      </c>
      <c r="H23786">
        <v>250630</v>
      </c>
      <c r="I23786">
        <v>4572</v>
      </c>
      <c r="J23786" t="s">
        <v>173</v>
      </c>
      <c r="K23786">
        <v>930.67</v>
      </c>
      <c r="L23786">
        <v>138.04</v>
      </c>
      <c r="M23786">
        <v>59504</v>
      </c>
      <c r="N23786" t="s">
        <v>193</v>
      </c>
      <c r="O23786">
        <v>250709</v>
      </c>
      <c r="P23786">
        <v>541.35</v>
      </c>
    </row>
    <row r="23787" spans="1:16" x14ac:dyDescent="0.25">
      <c r="A23787" t="s">
        <v>3296</v>
      </c>
      <c r="B23787" t="s">
        <v>2931</v>
      </c>
      <c r="C23787">
        <v>9516</v>
      </c>
      <c r="D23787" t="str">
        <f>"55251279597 "</f>
        <v xml:space="preserve">55251279597 </v>
      </c>
      <c r="E23787" t="s">
        <v>1845</v>
      </c>
      <c r="F23787" t="s">
        <v>1846</v>
      </c>
      <c r="G23787">
        <v>1153.07</v>
      </c>
      <c r="H23787">
        <v>250630</v>
      </c>
      <c r="I23787">
        <v>4572</v>
      </c>
      <c r="J23787" t="s">
        <v>173</v>
      </c>
      <c r="K23787">
        <v>3294.5</v>
      </c>
      <c r="L23787">
        <v>234.29</v>
      </c>
      <c r="M23787">
        <v>69111</v>
      </c>
      <c r="N23787" t="s">
        <v>657</v>
      </c>
      <c r="O23787">
        <v>250709</v>
      </c>
      <c r="P23787">
        <v>918.78</v>
      </c>
    </row>
    <row r="23788" spans="1:16" x14ac:dyDescent="0.25">
      <c r="A23788" t="s">
        <v>3296</v>
      </c>
      <c r="B23788" t="s">
        <v>2931</v>
      </c>
      <c r="C23788">
        <v>9516</v>
      </c>
      <c r="D23788" t="str">
        <f>"55251279597 "</f>
        <v xml:space="preserve">55251279597 </v>
      </c>
      <c r="E23788" t="s">
        <v>1845</v>
      </c>
      <c r="F23788" t="s">
        <v>1846</v>
      </c>
      <c r="G23788">
        <v>2034.36</v>
      </c>
      <c r="H23788">
        <v>250630</v>
      </c>
      <c r="I23788">
        <v>4572</v>
      </c>
      <c r="J23788" t="s">
        <v>173</v>
      </c>
      <c r="K23788">
        <v>3294.5</v>
      </c>
      <c r="L23788">
        <v>413.36</v>
      </c>
      <c r="M23788">
        <v>69501</v>
      </c>
      <c r="N23788" t="s">
        <v>123</v>
      </c>
      <c r="O23788">
        <v>250709</v>
      </c>
      <c r="P23788">
        <v>1621</v>
      </c>
    </row>
    <row r="23789" spans="1:16" x14ac:dyDescent="0.25">
      <c r="A23789" t="s">
        <v>3296</v>
      </c>
      <c r="B23789" t="s">
        <v>2931</v>
      </c>
      <c r="C23789">
        <v>9516</v>
      </c>
      <c r="D23789" t="str">
        <f>"55251279597 "</f>
        <v xml:space="preserve">55251279597 </v>
      </c>
      <c r="E23789" t="s">
        <v>1845</v>
      </c>
      <c r="F23789" t="s">
        <v>1846</v>
      </c>
      <c r="G23789">
        <v>53.53</v>
      </c>
      <c r="H23789">
        <v>250630</v>
      </c>
      <c r="I23789">
        <v>4572</v>
      </c>
      <c r="J23789" t="s">
        <v>173</v>
      </c>
      <c r="K23789">
        <v>3294.5</v>
      </c>
      <c r="L23789">
        <v>10.88</v>
      </c>
      <c r="M23789">
        <v>69801</v>
      </c>
      <c r="N23789" t="s">
        <v>1077</v>
      </c>
      <c r="O23789">
        <v>250709</v>
      </c>
      <c r="P23789">
        <v>42.65</v>
      </c>
    </row>
    <row r="23790" spans="1:16" x14ac:dyDescent="0.25">
      <c r="A23790" t="s">
        <v>3296</v>
      </c>
      <c r="B23790" t="s">
        <v>2931</v>
      </c>
      <c r="C23790">
        <v>9516</v>
      </c>
      <c r="D23790" t="str">
        <f>"55251279597 "</f>
        <v xml:space="preserve">55251279597 </v>
      </c>
      <c r="E23790" t="s">
        <v>1845</v>
      </c>
      <c r="F23790" t="s">
        <v>1846</v>
      </c>
      <c r="G23790">
        <v>53.54</v>
      </c>
      <c r="H23790">
        <v>250630</v>
      </c>
      <c r="I23790">
        <v>4572</v>
      </c>
      <c r="J23790" t="s">
        <v>173</v>
      </c>
      <c r="K23790">
        <v>3294.5</v>
      </c>
      <c r="L23790">
        <v>0</v>
      </c>
      <c r="M23790">
        <v>69803</v>
      </c>
      <c r="N23790" t="s">
        <v>391</v>
      </c>
      <c r="O23790">
        <v>250709</v>
      </c>
      <c r="P23790">
        <v>53.54</v>
      </c>
    </row>
    <row r="23791" spans="1:16" x14ac:dyDescent="0.25">
      <c r="A23791" t="s">
        <v>3296</v>
      </c>
      <c r="B23791" t="s">
        <v>2931</v>
      </c>
      <c r="C23791">
        <v>9517</v>
      </c>
      <c r="D23791" t="str">
        <f>"55251280713 "</f>
        <v xml:space="preserve">55251280713 </v>
      </c>
      <c r="E23791" t="s">
        <v>1845</v>
      </c>
      <c r="F23791" t="s">
        <v>1846</v>
      </c>
      <c r="G23791">
        <v>1854.32</v>
      </c>
      <c r="H23791">
        <v>250630</v>
      </c>
      <c r="I23791">
        <v>4572</v>
      </c>
      <c r="J23791" t="s">
        <v>173</v>
      </c>
      <c r="K23791">
        <v>3039.87</v>
      </c>
      <c r="L23791">
        <v>376.77</v>
      </c>
      <c r="M23791">
        <v>59502</v>
      </c>
      <c r="N23791" t="s">
        <v>63</v>
      </c>
      <c r="O23791">
        <v>250709</v>
      </c>
      <c r="P23791">
        <v>1477.55</v>
      </c>
    </row>
    <row r="23792" spans="1:16" x14ac:dyDescent="0.25">
      <c r="A23792" t="s">
        <v>3296</v>
      </c>
      <c r="B23792" t="s">
        <v>2931</v>
      </c>
      <c r="C23792">
        <v>9517</v>
      </c>
      <c r="D23792" t="str">
        <f>"55251280713 "</f>
        <v xml:space="preserve">55251280713 </v>
      </c>
      <c r="E23792" t="s">
        <v>1845</v>
      </c>
      <c r="F23792" t="s">
        <v>1846</v>
      </c>
      <c r="G23792">
        <v>1185.55</v>
      </c>
      <c r="H23792">
        <v>250630</v>
      </c>
      <c r="I23792">
        <v>4572</v>
      </c>
      <c r="J23792" t="s">
        <v>173</v>
      </c>
      <c r="K23792">
        <v>3039.87</v>
      </c>
      <c r="L23792">
        <v>240.89</v>
      </c>
      <c r="M23792">
        <v>59802</v>
      </c>
      <c r="N23792" t="s">
        <v>195</v>
      </c>
      <c r="O23792">
        <v>250709</v>
      </c>
      <c r="P23792">
        <v>944.66</v>
      </c>
    </row>
    <row r="23793" spans="1:16" x14ac:dyDescent="0.25">
      <c r="A23793" t="s">
        <v>3296</v>
      </c>
      <c r="B23793" t="s">
        <v>2931</v>
      </c>
      <c r="C23793">
        <v>9518</v>
      </c>
      <c r="D23793" t="str">
        <f>"55251280347 "</f>
        <v xml:space="preserve">55251280347 </v>
      </c>
      <c r="E23793" t="s">
        <v>1845</v>
      </c>
      <c r="F23793" t="s">
        <v>1846</v>
      </c>
      <c r="G23793">
        <v>203.9</v>
      </c>
      <c r="H23793">
        <v>250630</v>
      </c>
      <c r="I23793">
        <v>4572</v>
      </c>
      <c r="J23793" t="s">
        <v>173</v>
      </c>
      <c r="K23793">
        <v>3398.29</v>
      </c>
      <c r="L23793">
        <v>41.43</v>
      </c>
      <c r="M23793">
        <v>59111</v>
      </c>
      <c r="N23793" t="s">
        <v>60</v>
      </c>
      <c r="O23793">
        <v>250709</v>
      </c>
      <c r="P23793">
        <v>162.47</v>
      </c>
    </row>
    <row r="23794" spans="1:16" x14ac:dyDescent="0.25">
      <c r="A23794" t="s">
        <v>3296</v>
      </c>
      <c r="B23794" t="s">
        <v>2931</v>
      </c>
      <c r="C23794">
        <v>9518</v>
      </c>
      <c r="D23794" t="str">
        <f>"55251280347 "</f>
        <v xml:space="preserve">55251280347 </v>
      </c>
      <c r="E23794" t="s">
        <v>1845</v>
      </c>
      <c r="F23794" t="s">
        <v>1846</v>
      </c>
      <c r="G23794">
        <v>3194.39</v>
      </c>
      <c r="H23794">
        <v>250630</v>
      </c>
      <c r="I23794">
        <v>4572</v>
      </c>
      <c r="J23794" t="s">
        <v>173</v>
      </c>
      <c r="K23794">
        <v>3398.29</v>
      </c>
      <c r="L23794">
        <v>649.05999999999995</v>
      </c>
      <c r="M23794">
        <v>59501</v>
      </c>
      <c r="N23794" t="s">
        <v>62</v>
      </c>
      <c r="O23794">
        <v>250709</v>
      </c>
      <c r="P23794">
        <v>2545.33</v>
      </c>
    </row>
    <row r="23795" spans="1:16" x14ac:dyDescent="0.25">
      <c r="A23795" t="s">
        <v>3296</v>
      </c>
      <c r="B23795" t="s">
        <v>2931</v>
      </c>
      <c r="C23795">
        <v>9528</v>
      </c>
      <c r="D23795" t="str">
        <f>"55251285957 "</f>
        <v xml:space="preserve">55251285957 </v>
      </c>
      <c r="E23795" t="s">
        <v>1845</v>
      </c>
      <c r="F23795" t="s">
        <v>1846</v>
      </c>
      <c r="G23795">
        <v>1630.28</v>
      </c>
      <c r="H23795">
        <v>250630</v>
      </c>
      <c r="I23795">
        <v>4572</v>
      </c>
      <c r="J23795" t="s">
        <v>173</v>
      </c>
      <c r="K23795">
        <v>1630.28</v>
      </c>
      <c r="L23795">
        <v>331.25</v>
      </c>
      <c r="M23795">
        <v>14951</v>
      </c>
      <c r="N23795" t="s">
        <v>186</v>
      </c>
      <c r="O23795">
        <v>250709</v>
      </c>
      <c r="P23795">
        <v>1299.03</v>
      </c>
    </row>
    <row r="23796" spans="1:16" x14ac:dyDescent="0.25">
      <c r="A23796" t="s">
        <v>3296</v>
      </c>
      <c r="B23796" t="s">
        <v>2931</v>
      </c>
      <c r="C23796">
        <v>9604</v>
      </c>
      <c r="D23796" t="str">
        <f>"55251280765 "</f>
        <v xml:space="preserve">55251280765 </v>
      </c>
      <c r="E23796" t="s">
        <v>1845</v>
      </c>
      <c r="F23796" t="s">
        <v>1846</v>
      </c>
      <c r="G23796">
        <v>7.52</v>
      </c>
      <c r="H23796">
        <v>250630</v>
      </c>
      <c r="I23796">
        <v>4572</v>
      </c>
      <c r="J23796" t="s">
        <v>173</v>
      </c>
      <c r="K23796">
        <v>7.52</v>
      </c>
      <c r="L23796">
        <v>1.53</v>
      </c>
      <c r="M23796">
        <v>56571</v>
      </c>
      <c r="N23796" t="s">
        <v>553</v>
      </c>
      <c r="O23796">
        <v>250721</v>
      </c>
      <c r="P23796">
        <v>5.99</v>
      </c>
    </row>
    <row r="23797" spans="1:16" x14ac:dyDescent="0.25">
      <c r="A23797" t="s">
        <v>3296</v>
      </c>
      <c r="B23797" t="s">
        <v>2931</v>
      </c>
      <c r="C23797">
        <v>9606</v>
      </c>
      <c r="D23797" t="str">
        <f>"55251280569 "</f>
        <v xml:space="preserve">55251280569 </v>
      </c>
      <c r="E23797" t="s">
        <v>1845</v>
      </c>
      <c r="F23797" t="s">
        <v>1846</v>
      </c>
      <c r="G23797">
        <v>7.66</v>
      </c>
      <c r="H23797">
        <v>250630</v>
      </c>
      <c r="I23797">
        <v>4572</v>
      </c>
      <c r="J23797" t="s">
        <v>173</v>
      </c>
      <c r="K23797">
        <v>7.66</v>
      </c>
      <c r="L23797">
        <v>1.56</v>
      </c>
      <c r="M23797">
        <v>56571</v>
      </c>
      <c r="N23797" t="s">
        <v>553</v>
      </c>
      <c r="O23797">
        <v>250721</v>
      </c>
      <c r="P23797">
        <v>6.1</v>
      </c>
    </row>
    <row r="23798" spans="1:16" x14ac:dyDescent="0.25">
      <c r="A23798" t="s">
        <v>3296</v>
      </c>
      <c r="B23798" t="s">
        <v>2931</v>
      </c>
      <c r="C23798">
        <v>9609</v>
      </c>
      <c r="D23798" t="str">
        <f>"55251280358 "</f>
        <v xml:space="preserve">55251280358 </v>
      </c>
      <c r="E23798" t="s">
        <v>1845</v>
      </c>
      <c r="F23798" t="s">
        <v>1846</v>
      </c>
      <c r="G23798">
        <v>987.64</v>
      </c>
      <c r="H23798">
        <v>250630</v>
      </c>
      <c r="I23798">
        <v>4572</v>
      </c>
      <c r="J23798" t="s">
        <v>173</v>
      </c>
      <c r="K23798">
        <v>1039.6199999999999</v>
      </c>
      <c r="L23798">
        <v>200.68</v>
      </c>
      <c r="M23798">
        <v>49501</v>
      </c>
      <c r="N23798" t="s">
        <v>110</v>
      </c>
      <c r="O23798">
        <v>250721</v>
      </c>
      <c r="P23798">
        <v>786.96</v>
      </c>
    </row>
    <row r="23799" spans="1:16" x14ac:dyDescent="0.25">
      <c r="A23799" t="s">
        <v>3296</v>
      </c>
      <c r="B23799" t="s">
        <v>2931</v>
      </c>
      <c r="C23799">
        <v>9609</v>
      </c>
      <c r="D23799" t="str">
        <f>"55251280358 "</f>
        <v xml:space="preserve">55251280358 </v>
      </c>
      <c r="E23799" t="s">
        <v>1845</v>
      </c>
      <c r="F23799" t="s">
        <v>1846</v>
      </c>
      <c r="G23799">
        <v>51.98</v>
      </c>
      <c r="H23799">
        <v>250630</v>
      </c>
      <c r="I23799">
        <v>4572</v>
      </c>
      <c r="J23799" t="s">
        <v>173</v>
      </c>
      <c r="K23799">
        <v>1039.6199999999999</v>
      </c>
      <c r="L23799">
        <v>10.56</v>
      </c>
      <c r="M23799">
        <v>49801</v>
      </c>
      <c r="N23799" t="s">
        <v>953</v>
      </c>
      <c r="O23799">
        <v>250721</v>
      </c>
      <c r="P23799">
        <v>41.42</v>
      </c>
    </row>
    <row r="23800" spans="1:16" x14ac:dyDescent="0.25">
      <c r="A23800" t="s">
        <v>3296</v>
      </c>
      <c r="B23800" t="s">
        <v>2931</v>
      </c>
      <c r="C23800">
        <v>9611</v>
      </c>
      <c r="D23800" t="str">
        <f>"55251280617 "</f>
        <v xml:space="preserve">55251280617 </v>
      </c>
      <c r="E23800" t="s">
        <v>1845</v>
      </c>
      <c r="F23800" t="s">
        <v>1846</v>
      </c>
      <c r="G23800">
        <v>377.55</v>
      </c>
      <c r="H23800">
        <v>250630</v>
      </c>
      <c r="I23800">
        <v>4572</v>
      </c>
      <c r="J23800" t="s">
        <v>173</v>
      </c>
      <c r="K23800">
        <v>377.55</v>
      </c>
      <c r="L23800">
        <v>76.709999999999994</v>
      </c>
      <c r="M23800">
        <v>49503</v>
      </c>
      <c r="N23800" t="s">
        <v>267</v>
      </c>
      <c r="O23800">
        <v>250721</v>
      </c>
      <c r="P23800">
        <v>300.83999999999997</v>
      </c>
    </row>
    <row r="23801" spans="1:16" x14ac:dyDescent="0.25">
      <c r="A23801" t="s">
        <v>3296</v>
      </c>
      <c r="B23801" t="s">
        <v>2931</v>
      </c>
      <c r="C23801">
        <v>9612</v>
      </c>
      <c r="D23801" t="str">
        <f>"55251281338 "</f>
        <v xml:space="preserve">55251281338 </v>
      </c>
      <c r="E23801" t="s">
        <v>1845</v>
      </c>
      <c r="F23801" t="s">
        <v>1846</v>
      </c>
      <c r="G23801">
        <v>77.290000000000006</v>
      </c>
      <c r="H23801">
        <v>250630</v>
      </c>
      <c r="I23801">
        <v>4572</v>
      </c>
      <c r="J23801" t="s">
        <v>173</v>
      </c>
      <c r="K23801">
        <v>2576.2399999999998</v>
      </c>
      <c r="L23801">
        <v>15.7</v>
      </c>
      <c r="M23801">
        <v>49111</v>
      </c>
      <c r="N23801" t="s">
        <v>108</v>
      </c>
      <c r="O23801">
        <v>250721</v>
      </c>
      <c r="P23801">
        <v>61.59</v>
      </c>
    </row>
    <row r="23802" spans="1:16" x14ac:dyDescent="0.25">
      <c r="A23802" t="s">
        <v>3296</v>
      </c>
      <c r="B23802" t="s">
        <v>2931</v>
      </c>
      <c r="C23802">
        <v>9612</v>
      </c>
      <c r="D23802" t="str">
        <f>"55251281338 "</f>
        <v xml:space="preserve">55251281338 </v>
      </c>
      <c r="E23802" t="s">
        <v>1845</v>
      </c>
      <c r="F23802" t="s">
        <v>1846</v>
      </c>
      <c r="G23802">
        <v>2383.02</v>
      </c>
      <c r="H23802">
        <v>250630</v>
      </c>
      <c r="I23802">
        <v>4572</v>
      </c>
      <c r="J23802" t="s">
        <v>173</v>
      </c>
      <c r="K23802">
        <v>2576.2399999999998</v>
      </c>
      <c r="L23802">
        <v>484.2</v>
      </c>
      <c r="M23802">
        <v>49501</v>
      </c>
      <c r="N23802" t="s">
        <v>110</v>
      </c>
      <c r="O23802">
        <v>250721</v>
      </c>
      <c r="P23802">
        <v>1898.82</v>
      </c>
    </row>
    <row r="23803" spans="1:16" x14ac:dyDescent="0.25">
      <c r="A23803" t="s">
        <v>3296</v>
      </c>
      <c r="B23803" t="s">
        <v>2931</v>
      </c>
      <c r="C23803">
        <v>9612</v>
      </c>
      <c r="D23803" t="str">
        <f>"55251281338 "</f>
        <v xml:space="preserve">55251281338 </v>
      </c>
      <c r="E23803" t="s">
        <v>1845</v>
      </c>
      <c r="F23803" t="s">
        <v>1846</v>
      </c>
      <c r="G23803">
        <v>51.52</v>
      </c>
      <c r="H23803">
        <v>250630</v>
      </c>
      <c r="I23803">
        <v>4572</v>
      </c>
      <c r="J23803" t="s">
        <v>173</v>
      </c>
      <c r="K23803">
        <v>2576.2399999999998</v>
      </c>
      <c r="L23803">
        <v>10.47</v>
      </c>
      <c r="M23803">
        <v>49801</v>
      </c>
      <c r="N23803" t="s">
        <v>953</v>
      </c>
      <c r="O23803">
        <v>250721</v>
      </c>
      <c r="P23803">
        <v>41.05</v>
      </c>
    </row>
    <row r="23804" spans="1:16" x14ac:dyDescent="0.25">
      <c r="A23804" t="s">
        <v>3296</v>
      </c>
      <c r="B23804" t="s">
        <v>2931</v>
      </c>
      <c r="C23804">
        <v>9612</v>
      </c>
      <c r="D23804" t="str">
        <f>"55251281338 "</f>
        <v xml:space="preserve">55251281338 </v>
      </c>
      <c r="E23804" t="s">
        <v>1845</v>
      </c>
      <c r="F23804" t="s">
        <v>1846</v>
      </c>
      <c r="G23804">
        <v>64.41</v>
      </c>
      <c r="H23804">
        <v>250630</v>
      </c>
      <c r="I23804">
        <v>4572</v>
      </c>
      <c r="J23804" t="s">
        <v>173</v>
      </c>
      <c r="K23804">
        <v>2576.2399999999998</v>
      </c>
      <c r="L23804">
        <v>0</v>
      </c>
      <c r="M23804">
        <v>49803</v>
      </c>
      <c r="N23804" t="s">
        <v>956</v>
      </c>
      <c r="O23804">
        <v>250721</v>
      </c>
      <c r="P23804">
        <v>64.41</v>
      </c>
    </row>
    <row r="23805" spans="1:16" x14ac:dyDescent="0.25">
      <c r="A23805" t="s">
        <v>3296</v>
      </c>
      <c r="B23805" t="s">
        <v>2931</v>
      </c>
      <c r="C23805">
        <v>9621</v>
      </c>
      <c r="D23805" t="str">
        <f>"55251288617 "</f>
        <v xml:space="preserve">55251288617 </v>
      </c>
      <c r="E23805" t="s">
        <v>1845</v>
      </c>
      <c r="F23805" t="s">
        <v>1846</v>
      </c>
      <c r="G23805">
        <v>2.38</v>
      </c>
      <c r="H23805">
        <v>250630</v>
      </c>
      <c r="I23805">
        <v>4572</v>
      </c>
      <c r="J23805" t="s">
        <v>173</v>
      </c>
      <c r="K23805">
        <v>8.81</v>
      </c>
      <c r="L23805">
        <v>0.48</v>
      </c>
      <c r="M23805">
        <v>59112</v>
      </c>
      <c r="N23805" t="s">
        <v>44</v>
      </c>
      <c r="O23805">
        <v>250721</v>
      </c>
      <c r="P23805">
        <v>1.9</v>
      </c>
    </row>
    <row r="23806" spans="1:16" x14ac:dyDescent="0.25">
      <c r="A23806" t="s">
        <v>3296</v>
      </c>
      <c r="B23806" t="s">
        <v>2931</v>
      </c>
      <c r="C23806">
        <v>9621</v>
      </c>
      <c r="D23806" t="str">
        <f>"55251288617 "</f>
        <v xml:space="preserve">55251288617 </v>
      </c>
      <c r="E23806" t="s">
        <v>1845</v>
      </c>
      <c r="F23806" t="s">
        <v>1846</v>
      </c>
      <c r="G23806">
        <v>6.43</v>
      </c>
      <c r="H23806">
        <v>250630</v>
      </c>
      <c r="I23806">
        <v>4572</v>
      </c>
      <c r="J23806" t="s">
        <v>173</v>
      </c>
      <c r="K23806">
        <v>8.81</v>
      </c>
      <c r="L23806">
        <v>1.31</v>
      </c>
      <c r="M23806">
        <v>59504</v>
      </c>
      <c r="N23806" t="s">
        <v>193</v>
      </c>
      <c r="O23806">
        <v>250721</v>
      </c>
      <c r="P23806">
        <v>5.12</v>
      </c>
    </row>
    <row r="23807" spans="1:16" x14ac:dyDescent="0.25">
      <c r="A23807" t="s">
        <v>3296</v>
      </c>
      <c r="B23807" t="s">
        <v>2931</v>
      </c>
      <c r="C23807">
        <v>9627</v>
      </c>
      <c r="D23807" t="str">
        <f>"55251294038 "</f>
        <v xml:space="preserve">55251294038 </v>
      </c>
      <c r="E23807" t="s">
        <v>1845</v>
      </c>
      <c r="F23807" t="s">
        <v>1846</v>
      </c>
      <c r="G23807">
        <v>0.17</v>
      </c>
      <c r="H23807">
        <v>250630</v>
      </c>
      <c r="I23807">
        <v>4572</v>
      </c>
      <c r="J23807" t="s">
        <v>173</v>
      </c>
      <c r="K23807">
        <v>0.64</v>
      </c>
      <c r="L23807">
        <v>0.03</v>
      </c>
      <c r="M23807">
        <v>59112</v>
      </c>
      <c r="N23807" t="s">
        <v>44</v>
      </c>
      <c r="O23807">
        <v>250721</v>
      </c>
      <c r="P23807">
        <v>0.14000000000000001</v>
      </c>
    </row>
    <row r="23808" spans="1:16" x14ac:dyDescent="0.25">
      <c r="A23808" t="s">
        <v>3296</v>
      </c>
      <c r="B23808" t="s">
        <v>2931</v>
      </c>
      <c r="C23808">
        <v>9627</v>
      </c>
      <c r="D23808" t="str">
        <f>"55251294038 "</f>
        <v xml:space="preserve">55251294038 </v>
      </c>
      <c r="E23808" t="s">
        <v>1845</v>
      </c>
      <c r="F23808" t="s">
        <v>1846</v>
      </c>
      <c r="G23808">
        <v>0.47</v>
      </c>
      <c r="H23808">
        <v>250630</v>
      </c>
      <c r="I23808">
        <v>4572</v>
      </c>
      <c r="J23808" t="s">
        <v>173</v>
      </c>
      <c r="K23808">
        <v>0.64</v>
      </c>
      <c r="L23808">
        <v>0.1</v>
      </c>
      <c r="M23808">
        <v>59504</v>
      </c>
      <c r="N23808" t="s">
        <v>193</v>
      </c>
      <c r="O23808">
        <v>250721</v>
      </c>
      <c r="P23808">
        <v>0.37</v>
      </c>
    </row>
    <row r="23809" spans="1:16" x14ac:dyDescent="0.25">
      <c r="A23809" t="s">
        <v>3296</v>
      </c>
      <c r="B23809" t="s">
        <v>2931</v>
      </c>
      <c r="C23809">
        <v>9631</v>
      </c>
      <c r="D23809" t="str">
        <f>"55251294007 "</f>
        <v xml:space="preserve">55251294007 </v>
      </c>
      <c r="E23809" t="s">
        <v>1845</v>
      </c>
      <c r="F23809" t="s">
        <v>1846</v>
      </c>
      <c r="G23809">
        <v>0.05</v>
      </c>
      <c r="H23809">
        <v>250630</v>
      </c>
      <c r="I23809">
        <v>4572</v>
      </c>
      <c r="J23809" t="s">
        <v>173</v>
      </c>
      <c r="K23809">
        <v>0.2</v>
      </c>
      <c r="L23809">
        <v>0.01</v>
      </c>
      <c r="M23809">
        <v>59112</v>
      </c>
      <c r="N23809" t="s">
        <v>44</v>
      </c>
      <c r="O23809">
        <v>250722</v>
      </c>
      <c r="P23809">
        <v>0.04</v>
      </c>
    </row>
    <row r="23810" spans="1:16" x14ac:dyDescent="0.25">
      <c r="A23810" t="s">
        <v>3296</v>
      </c>
      <c r="B23810" t="s">
        <v>2931</v>
      </c>
      <c r="C23810">
        <v>9631</v>
      </c>
      <c r="D23810" t="str">
        <f>"55251294007 "</f>
        <v xml:space="preserve">55251294007 </v>
      </c>
      <c r="E23810" t="s">
        <v>1845</v>
      </c>
      <c r="F23810" t="s">
        <v>1846</v>
      </c>
      <c r="G23810">
        <v>0.15</v>
      </c>
      <c r="H23810">
        <v>250630</v>
      </c>
      <c r="I23810">
        <v>4572</v>
      </c>
      <c r="J23810" t="s">
        <v>173</v>
      </c>
      <c r="K23810">
        <v>0.2</v>
      </c>
      <c r="L23810">
        <v>0.03</v>
      </c>
      <c r="M23810">
        <v>59504</v>
      </c>
      <c r="N23810" t="s">
        <v>193</v>
      </c>
      <c r="O23810">
        <v>250722</v>
      </c>
      <c r="P23810">
        <v>0.12</v>
      </c>
    </row>
    <row r="23811" spans="1:16" x14ac:dyDescent="0.25">
      <c r="A23811" t="s">
        <v>3296</v>
      </c>
      <c r="B23811" t="s">
        <v>2931</v>
      </c>
      <c r="C23811">
        <v>9704</v>
      </c>
      <c r="D23811" t="str">
        <f>"55251281876 "</f>
        <v xml:space="preserve">55251281876 </v>
      </c>
      <c r="E23811" t="s">
        <v>1845</v>
      </c>
      <c r="F23811" t="s">
        <v>1846</v>
      </c>
      <c r="G23811">
        <v>1552.8</v>
      </c>
      <c r="H23811">
        <v>250630</v>
      </c>
      <c r="I23811">
        <v>4572</v>
      </c>
      <c r="J23811" t="s">
        <v>173</v>
      </c>
      <c r="K23811">
        <v>1552.8</v>
      </c>
      <c r="L23811">
        <v>315.51</v>
      </c>
      <c r="M23811">
        <v>17952</v>
      </c>
      <c r="N23811" t="s">
        <v>157</v>
      </c>
      <c r="O23811">
        <v>250724</v>
      </c>
      <c r="P23811">
        <v>1237.29</v>
      </c>
    </row>
    <row r="23812" spans="1:16" x14ac:dyDescent="0.25">
      <c r="A23812" t="s">
        <v>3296</v>
      </c>
      <c r="B23812" t="s">
        <v>2931</v>
      </c>
      <c r="C23812">
        <v>9705</v>
      </c>
      <c r="D23812" t="str">
        <f>"55251281841 "</f>
        <v xml:space="preserve">55251281841 </v>
      </c>
      <c r="E23812" t="s">
        <v>1845</v>
      </c>
      <c r="F23812" t="s">
        <v>1846</v>
      </c>
      <c r="G23812">
        <v>48.17</v>
      </c>
      <c r="H23812">
        <v>250630</v>
      </c>
      <c r="I23812">
        <v>4572</v>
      </c>
      <c r="J23812" t="s">
        <v>173</v>
      </c>
      <c r="K23812">
        <v>48.17</v>
      </c>
      <c r="L23812">
        <v>9.7899999999999991</v>
      </c>
      <c r="M23812">
        <v>17956</v>
      </c>
      <c r="N23812" t="s">
        <v>170</v>
      </c>
      <c r="O23812">
        <v>250724</v>
      </c>
      <c r="P23812">
        <v>38.380000000000003</v>
      </c>
    </row>
    <row r="23813" spans="1:16" x14ac:dyDescent="0.25">
      <c r="A23813" t="s">
        <v>3296</v>
      </c>
      <c r="B23813" t="s">
        <v>2931</v>
      </c>
      <c r="C23813">
        <v>9706</v>
      </c>
      <c r="D23813" t="str">
        <f>"55251280301 "</f>
        <v xml:space="preserve">55251280301 </v>
      </c>
      <c r="E23813" t="s">
        <v>1845</v>
      </c>
      <c r="F23813" t="s">
        <v>1846</v>
      </c>
      <c r="G23813">
        <v>245.57</v>
      </c>
      <c r="H23813">
        <v>250630</v>
      </c>
      <c r="I23813">
        <v>4572</v>
      </c>
      <c r="J23813" t="s">
        <v>173</v>
      </c>
      <c r="K23813">
        <v>2232.42</v>
      </c>
      <c r="L23813">
        <v>49.9</v>
      </c>
      <c r="M23813">
        <v>13540</v>
      </c>
      <c r="N23813" t="s">
        <v>131</v>
      </c>
      <c r="O23813">
        <v>250724</v>
      </c>
      <c r="P23813">
        <v>195.67</v>
      </c>
    </row>
    <row r="23814" spans="1:16" x14ac:dyDescent="0.25">
      <c r="A23814" t="s">
        <v>3296</v>
      </c>
      <c r="B23814" t="s">
        <v>2931</v>
      </c>
      <c r="C23814">
        <v>9706</v>
      </c>
      <c r="D23814" t="str">
        <f>"55251280301 "</f>
        <v xml:space="preserve">55251280301 </v>
      </c>
      <c r="E23814" t="s">
        <v>1845</v>
      </c>
      <c r="F23814" t="s">
        <v>1846</v>
      </c>
      <c r="G23814">
        <v>1986.85</v>
      </c>
      <c r="H23814">
        <v>250630</v>
      </c>
      <c r="I23814">
        <v>4572</v>
      </c>
      <c r="J23814" t="s">
        <v>173</v>
      </c>
      <c r="K23814">
        <v>2232.42</v>
      </c>
      <c r="L23814">
        <v>403.7</v>
      </c>
      <c r="M23814">
        <v>17950</v>
      </c>
      <c r="N23814" t="s">
        <v>132</v>
      </c>
      <c r="O23814">
        <v>250724</v>
      </c>
      <c r="P23814">
        <v>1583.15</v>
      </c>
    </row>
    <row r="23815" spans="1:16" x14ac:dyDescent="0.25">
      <c r="A23815" t="s">
        <v>3296</v>
      </c>
      <c r="B23815" t="s">
        <v>2931</v>
      </c>
      <c r="C23815">
        <v>9707</v>
      </c>
      <c r="D23815" t="str">
        <f>"55251279908 "</f>
        <v xml:space="preserve">55251279908 </v>
      </c>
      <c r="E23815" t="s">
        <v>1845</v>
      </c>
      <c r="F23815" t="s">
        <v>1846</v>
      </c>
      <c r="G23815">
        <v>79.45</v>
      </c>
      <c r="H23815">
        <v>250630</v>
      </c>
      <c r="I23815">
        <v>4572</v>
      </c>
      <c r="J23815" t="s">
        <v>173</v>
      </c>
      <c r="K23815">
        <v>79.45</v>
      </c>
      <c r="L23815">
        <v>16.14</v>
      </c>
      <c r="M23815">
        <v>17956</v>
      </c>
      <c r="N23815" t="s">
        <v>170</v>
      </c>
      <c r="O23815">
        <v>250724</v>
      </c>
      <c r="P23815">
        <v>63.31</v>
      </c>
    </row>
    <row r="23816" spans="1:16" x14ac:dyDescent="0.25">
      <c r="A23816" t="s">
        <v>3296</v>
      </c>
      <c r="B23816" t="s">
        <v>2931</v>
      </c>
      <c r="C23816">
        <v>9708</v>
      </c>
      <c r="D23816" t="str">
        <f>"55251280075 "</f>
        <v xml:space="preserve">55251280075 </v>
      </c>
      <c r="E23816" t="s">
        <v>1845</v>
      </c>
      <c r="F23816" t="s">
        <v>1846</v>
      </c>
      <c r="G23816">
        <v>2.08</v>
      </c>
      <c r="H23816">
        <v>250630</v>
      </c>
      <c r="I23816">
        <v>4572</v>
      </c>
      <c r="J23816" t="s">
        <v>173</v>
      </c>
      <c r="K23816">
        <v>2.08</v>
      </c>
      <c r="L23816">
        <v>0.42</v>
      </c>
      <c r="M23816">
        <v>17981</v>
      </c>
      <c r="N23816" t="s">
        <v>927</v>
      </c>
      <c r="O23816">
        <v>250724</v>
      </c>
      <c r="P23816">
        <v>1.66</v>
      </c>
    </row>
    <row r="23817" spans="1:16" x14ac:dyDescent="0.25">
      <c r="A23817" t="s">
        <v>3296</v>
      </c>
      <c r="B23817" t="s">
        <v>2931</v>
      </c>
      <c r="C23817">
        <v>9709</v>
      </c>
      <c r="D23817" t="str">
        <f>"55251281245 "</f>
        <v xml:space="preserve">55251281245 </v>
      </c>
      <c r="E23817" t="s">
        <v>1845</v>
      </c>
      <c r="F23817" t="s">
        <v>1846</v>
      </c>
      <c r="G23817">
        <v>1109.8800000000001</v>
      </c>
      <c r="H23817">
        <v>250630</v>
      </c>
      <c r="I23817">
        <v>4572</v>
      </c>
      <c r="J23817" t="s">
        <v>173</v>
      </c>
      <c r="K23817">
        <v>1109.8800000000001</v>
      </c>
      <c r="L23817">
        <v>225.51</v>
      </c>
      <c r="M23817">
        <v>17956</v>
      </c>
      <c r="N23817" t="s">
        <v>170</v>
      </c>
      <c r="O23817">
        <v>250724</v>
      </c>
      <c r="P23817">
        <v>884.37</v>
      </c>
    </row>
    <row r="23818" spans="1:16" x14ac:dyDescent="0.25">
      <c r="A23818" t="s">
        <v>3296</v>
      </c>
      <c r="B23818" t="s">
        <v>2931</v>
      </c>
      <c r="C23818">
        <v>9710</v>
      </c>
      <c r="D23818" t="str">
        <f>"55251279854 "</f>
        <v xml:space="preserve">55251279854 </v>
      </c>
      <c r="E23818" t="s">
        <v>1845</v>
      </c>
      <c r="F23818" t="s">
        <v>1846</v>
      </c>
      <c r="G23818">
        <v>2350.16</v>
      </c>
      <c r="H23818">
        <v>250630</v>
      </c>
      <c r="I23818">
        <v>4572</v>
      </c>
      <c r="J23818" t="s">
        <v>173</v>
      </c>
      <c r="K23818">
        <v>2350.16</v>
      </c>
      <c r="L23818">
        <v>477.52</v>
      </c>
      <c r="M23818">
        <v>17951</v>
      </c>
      <c r="N23818" t="s">
        <v>207</v>
      </c>
      <c r="O23818">
        <v>250725</v>
      </c>
      <c r="P23818">
        <v>1872.64</v>
      </c>
    </row>
    <row r="23819" spans="1:16" x14ac:dyDescent="0.25">
      <c r="A23819" t="s">
        <v>3296</v>
      </c>
      <c r="B23819" t="s">
        <v>2931</v>
      </c>
      <c r="C23819">
        <v>9711</v>
      </c>
      <c r="D23819" t="str">
        <f>"55251280852 "</f>
        <v xml:space="preserve">55251280852 </v>
      </c>
      <c r="E23819" t="s">
        <v>1845</v>
      </c>
      <c r="F23819" t="s">
        <v>1846</v>
      </c>
      <c r="G23819">
        <v>8.09</v>
      </c>
      <c r="H23819">
        <v>250630</v>
      </c>
      <c r="I23819">
        <v>4572</v>
      </c>
      <c r="J23819" t="s">
        <v>173</v>
      </c>
      <c r="K23819">
        <v>8.09</v>
      </c>
      <c r="L23819">
        <v>1.64</v>
      </c>
      <c r="M23819">
        <v>17956</v>
      </c>
      <c r="N23819" t="s">
        <v>170</v>
      </c>
      <c r="O23819">
        <v>250725</v>
      </c>
      <c r="P23819">
        <v>6.45</v>
      </c>
    </row>
    <row r="23820" spans="1:16" x14ac:dyDescent="0.25">
      <c r="A23820" t="s">
        <v>3296</v>
      </c>
      <c r="B23820" t="s">
        <v>2931</v>
      </c>
      <c r="C23820">
        <v>9713</v>
      </c>
      <c r="D23820" t="str">
        <f>"55251279804 "</f>
        <v xml:space="preserve">55251279804 </v>
      </c>
      <c r="E23820" t="s">
        <v>1845</v>
      </c>
      <c r="F23820" t="s">
        <v>1846</v>
      </c>
      <c r="G23820">
        <v>111.87</v>
      </c>
      <c r="H23820">
        <v>250630</v>
      </c>
      <c r="I23820">
        <v>4572</v>
      </c>
      <c r="J23820" t="s">
        <v>173</v>
      </c>
      <c r="K23820">
        <v>111.87</v>
      </c>
      <c r="L23820">
        <v>22.73</v>
      </c>
      <c r="M23820">
        <v>17952</v>
      </c>
      <c r="N23820" t="s">
        <v>157</v>
      </c>
      <c r="O23820">
        <v>250725</v>
      </c>
      <c r="P23820">
        <v>89.14</v>
      </c>
    </row>
    <row r="23821" spans="1:16" x14ac:dyDescent="0.25">
      <c r="A23821" t="s">
        <v>3296</v>
      </c>
      <c r="B23821" t="s">
        <v>2931</v>
      </c>
      <c r="C23821">
        <v>9714</v>
      </c>
      <c r="D23821" t="str">
        <f>"55251281869 "</f>
        <v xml:space="preserve">55251281869 </v>
      </c>
      <c r="E23821" t="s">
        <v>1845</v>
      </c>
      <c r="F23821" t="s">
        <v>1846</v>
      </c>
      <c r="G23821">
        <v>115.37</v>
      </c>
      <c r="H23821">
        <v>250630</v>
      </c>
      <c r="I23821">
        <v>4572</v>
      </c>
      <c r="J23821" t="s">
        <v>173</v>
      </c>
      <c r="K23821">
        <v>115.37</v>
      </c>
      <c r="L23821">
        <v>23.44</v>
      </c>
      <c r="M23821">
        <v>17950</v>
      </c>
      <c r="N23821" t="s">
        <v>132</v>
      </c>
      <c r="O23821">
        <v>250725</v>
      </c>
      <c r="P23821">
        <v>91.93</v>
      </c>
    </row>
    <row r="23822" spans="1:16" x14ac:dyDescent="0.25">
      <c r="A23822" t="s">
        <v>3296</v>
      </c>
      <c r="B23822" t="s">
        <v>2931</v>
      </c>
      <c r="C23822">
        <v>9716</v>
      </c>
      <c r="D23822" t="str">
        <f>"55251287134 "</f>
        <v xml:space="preserve">55251287134 </v>
      </c>
      <c r="E23822" t="s">
        <v>1845</v>
      </c>
      <c r="F23822" t="s">
        <v>1846</v>
      </c>
      <c r="G23822">
        <v>3.74</v>
      </c>
      <c r="H23822">
        <v>250630</v>
      </c>
      <c r="I23822">
        <v>4572</v>
      </c>
      <c r="J23822" t="s">
        <v>173</v>
      </c>
      <c r="K23822">
        <v>3.74</v>
      </c>
      <c r="L23822">
        <v>0.76</v>
      </c>
      <c r="M23822">
        <v>17956</v>
      </c>
      <c r="N23822" t="s">
        <v>170</v>
      </c>
      <c r="O23822">
        <v>250725</v>
      </c>
      <c r="P23822">
        <v>2.98</v>
      </c>
    </row>
    <row r="23823" spans="1:16" x14ac:dyDescent="0.25">
      <c r="A23823" t="s">
        <v>3296</v>
      </c>
      <c r="B23823" t="s">
        <v>2931</v>
      </c>
      <c r="C23823">
        <v>10093</v>
      </c>
      <c r="D23823" t="str">
        <f>"55251389118 "</f>
        <v xml:space="preserve">55251389118 </v>
      </c>
      <c r="E23823" t="s">
        <v>1845</v>
      </c>
      <c r="F23823" t="s">
        <v>1846</v>
      </c>
      <c r="G23823">
        <v>21.82</v>
      </c>
      <c r="H23823">
        <v>250730</v>
      </c>
      <c r="I23823">
        <v>4572</v>
      </c>
      <c r="J23823" t="s">
        <v>173</v>
      </c>
      <c r="K23823">
        <v>21.82</v>
      </c>
      <c r="L23823">
        <v>4.43</v>
      </c>
      <c r="M23823">
        <v>17956</v>
      </c>
      <c r="N23823" t="s">
        <v>170</v>
      </c>
      <c r="O23823">
        <v>250811</v>
      </c>
      <c r="P23823">
        <v>17.39</v>
      </c>
    </row>
    <row r="23824" spans="1:16" x14ac:dyDescent="0.25">
      <c r="A23824" t="s">
        <v>3296</v>
      </c>
      <c r="B23824" t="s">
        <v>2931</v>
      </c>
      <c r="C23824">
        <v>10095</v>
      </c>
      <c r="D23824" t="str">
        <f>"55251387373 "</f>
        <v xml:space="preserve">55251387373 </v>
      </c>
      <c r="E23824" t="s">
        <v>1845</v>
      </c>
      <c r="F23824" t="s">
        <v>1846</v>
      </c>
      <c r="G23824">
        <v>7.41</v>
      </c>
      <c r="H23824">
        <v>250731</v>
      </c>
      <c r="I23824">
        <v>4572</v>
      </c>
      <c r="J23824" t="s">
        <v>173</v>
      </c>
      <c r="K23824">
        <v>7.41</v>
      </c>
      <c r="L23824">
        <v>1.51</v>
      </c>
      <c r="M23824">
        <v>17956</v>
      </c>
      <c r="N23824" t="s">
        <v>170</v>
      </c>
      <c r="O23824">
        <v>250811</v>
      </c>
      <c r="P23824">
        <v>5.9</v>
      </c>
    </row>
    <row r="23825" spans="1:16" x14ac:dyDescent="0.25">
      <c r="A23825" t="s">
        <v>3296</v>
      </c>
      <c r="B23825" t="s">
        <v>2931</v>
      </c>
      <c r="C23825">
        <v>10096</v>
      </c>
      <c r="D23825" t="str">
        <f>"55251387158 "</f>
        <v xml:space="preserve">55251387158 </v>
      </c>
      <c r="E23825" t="s">
        <v>1845</v>
      </c>
      <c r="F23825" t="s">
        <v>1846</v>
      </c>
      <c r="G23825">
        <v>2.44</v>
      </c>
      <c r="H23825">
        <v>250731</v>
      </c>
      <c r="I23825">
        <v>4572</v>
      </c>
      <c r="J23825" t="s">
        <v>173</v>
      </c>
      <c r="K23825">
        <v>9.0500000000000007</v>
      </c>
      <c r="L23825">
        <v>0.5</v>
      </c>
      <c r="M23825">
        <v>59112</v>
      </c>
      <c r="N23825" t="s">
        <v>44</v>
      </c>
      <c r="O23825">
        <v>250811</v>
      </c>
      <c r="P23825">
        <v>1.94</v>
      </c>
    </row>
    <row r="23826" spans="1:16" x14ac:dyDescent="0.25">
      <c r="A23826" t="s">
        <v>3296</v>
      </c>
      <c r="B23826" t="s">
        <v>2931</v>
      </c>
      <c r="C23826">
        <v>10096</v>
      </c>
      <c r="D23826" t="str">
        <f>"55251387158 "</f>
        <v xml:space="preserve">55251387158 </v>
      </c>
      <c r="E23826" t="s">
        <v>1845</v>
      </c>
      <c r="F23826" t="s">
        <v>1846</v>
      </c>
      <c r="G23826">
        <v>6.61</v>
      </c>
      <c r="H23826">
        <v>250731</v>
      </c>
      <c r="I23826">
        <v>4572</v>
      </c>
      <c r="J23826" t="s">
        <v>173</v>
      </c>
      <c r="K23826">
        <v>9.0500000000000007</v>
      </c>
      <c r="L23826">
        <v>1.34</v>
      </c>
      <c r="M23826">
        <v>59504</v>
      </c>
      <c r="N23826" t="s">
        <v>193</v>
      </c>
      <c r="O23826">
        <v>250811</v>
      </c>
      <c r="P23826">
        <v>5.27</v>
      </c>
    </row>
    <row r="23827" spans="1:16" x14ac:dyDescent="0.25">
      <c r="A23827" t="s">
        <v>3296</v>
      </c>
      <c r="B23827" t="s">
        <v>2931</v>
      </c>
      <c r="C23827">
        <v>10099</v>
      </c>
      <c r="D23827" t="str">
        <f>"55251388087 "</f>
        <v xml:space="preserve">55251388087 </v>
      </c>
      <c r="E23827" t="s">
        <v>1845</v>
      </c>
      <c r="F23827" t="s">
        <v>1846</v>
      </c>
      <c r="G23827">
        <v>0.05</v>
      </c>
      <c r="H23827">
        <v>250731</v>
      </c>
      <c r="I23827">
        <v>4572</v>
      </c>
      <c r="J23827" t="s">
        <v>173</v>
      </c>
      <c r="K23827">
        <v>0.19</v>
      </c>
      <c r="L23827">
        <v>0.01</v>
      </c>
      <c r="M23827">
        <v>59112</v>
      </c>
      <c r="N23827" t="s">
        <v>44</v>
      </c>
      <c r="O23827">
        <v>250811</v>
      </c>
      <c r="P23827">
        <v>0.04</v>
      </c>
    </row>
    <row r="23828" spans="1:16" x14ac:dyDescent="0.25">
      <c r="A23828" t="s">
        <v>3296</v>
      </c>
      <c r="B23828" t="s">
        <v>2931</v>
      </c>
      <c r="C23828">
        <v>10099</v>
      </c>
      <c r="D23828" t="str">
        <f>"55251388087 "</f>
        <v xml:space="preserve">55251388087 </v>
      </c>
      <c r="E23828" t="s">
        <v>1845</v>
      </c>
      <c r="F23828" t="s">
        <v>1846</v>
      </c>
      <c r="G23828">
        <v>0.14000000000000001</v>
      </c>
      <c r="H23828">
        <v>250731</v>
      </c>
      <c r="I23828">
        <v>4572</v>
      </c>
      <c r="J23828" t="s">
        <v>173</v>
      </c>
      <c r="K23828">
        <v>0.19</v>
      </c>
      <c r="L23828">
        <v>0.03</v>
      </c>
      <c r="M23828">
        <v>59504</v>
      </c>
      <c r="N23828" t="s">
        <v>193</v>
      </c>
      <c r="O23828">
        <v>250811</v>
      </c>
      <c r="P23828">
        <v>0.11</v>
      </c>
    </row>
    <row r="23829" spans="1:16" x14ac:dyDescent="0.25">
      <c r="A23829" t="s">
        <v>3296</v>
      </c>
      <c r="B23829" t="s">
        <v>2931</v>
      </c>
      <c r="C23829">
        <v>10100</v>
      </c>
      <c r="D23829" t="str">
        <f>"55251389573 "</f>
        <v xml:space="preserve">55251389573 </v>
      </c>
      <c r="E23829" t="s">
        <v>1845</v>
      </c>
      <c r="F23829" t="s">
        <v>1846</v>
      </c>
      <c r="G23829">
        <v>9.4499999999999993</v>
      </c>
      <c r="H23829">
        <v>250730</v>
      </c>
      <c r="I23829">
        <v>4572</v>
      </c>
      <c r="J23829" t="s">
        <v>173</v>
      </c>
      <c r="K23829">
        <v>28.36</v>
      </c>
      <c r="L23829">
        <v>1.92</v>
      </c>
      <c r="M23829">
        <v>11401</v>
      </c>
      <c r="N23829" t="s">
        <v>91</v>
      </c>
      <c r="O23829">
        <v>250811</v>
      </c>
      <c r="P23829">
        <v>7.53</v>
      </c>
    </row>
    <row r="23830" spans="1:16" x14ac:dyDescent="0.25">
      <c r="A23830" t="s">
        <v>3296</v>
      </c>
      <c r="B23830" t="s">
        <v>2931</v>
      </c>
      <c r="C23830">
        <v>10100</v>
      </c>
      <c r="D23830" t="str">
        <f>"55251389573 "</f>
        <v xml:space="preserve">55251389573 </v>
      </c>
      <c r="E23830" t="s">
        <v>1845</v>
      </c>
      <c r="F23830" t="s">
        <v>1846</v>
      </c>
      <c r="G23830">
        <v>18.91</v>
      </c>
      <c r="H23830">
        <v>250730</v>
      </c>
      <c r="I23830">
        <v>4572</v>
      </c>
      <c r="J23830" t="s">
        <v>173</v>
      </c>
      <c r="K23830">
        <v>28.36</v>
      </c>
      <c r="L23830">
        <v>3.84</v>
      </c>
      <c r="M23830">
        <v>14952</v>
      </c>
      <c r="N23830" t="s">
        <v>213</v>
      </c>
      <c r="O23830">
        <v>250811</v>
      </c>
      <c r="P23830">
        <v>15.07</v>
      </c>
    </row>
    <row r="23831" spans="1:16" x14ac:dyDescent="0.25">
      <c r="A23831" t="s">
        <v>3296</v>
      </c>
      <c r="B23831" t="s">
        <v>2931</v>
      </c>
      <c r="C23831">
        <v>10102</v>
      </c>
      <c r="D23831" t="str">
        <f>"55251388215 "</f>
        <v xml:space="preserve">55251388215 </v>
      </c>
      <c r="E23831" t="s">
        <v>1845</v>
      </c>
      <c r="F23831" t="s">
        <v>1846</v>
      </c>
      <c r="G23831">
        <v>5.43</v>
      </c>
      <c r="H23831">
        <v>250731</v>
      </c>
      <c r="I23831">
        <v>4572</v>
      </c>
      <c r="J23831" t="s">
        <v>173</v>
      </c>
      <c r="K23831">
        <v>18.11</v>
      </c>
      <c r="L23831">
        <v>1.1000000000000001</v>
      </c>
      <c r="M23831">
        <v>14952</v>
      </c>
      <c r="N23831" t="s">
        <v>213</v>
      </c>
      <c r="O23831">
        <v>250811</v>
      </c>
      <c r="P23831">
        <v>4.33</v>
      </c>
    </row>
    <row r="23832" spans="1:16" x14ac:dyDescent="0.25">
      <c r="A23832" t="s">
        <v>3296</v>
      </c>
      <c r="B23832" t="s">
        <v>2931</v>
      </c>
      <c r="C23832">
        <v>10102</v>
      </c>
      <c r="D23832" t="str">
        <f>"55251388215 "</f>
        <v xml:space="preserve">55251388215 </v>
      </c>
      <c r="E23832" t="s">
        <v>1845</v>
      </c>
      <c r="F23832" t="s">
        <v>1846</v>
      </c>
      <c r="G23832">
        <v>12.68</v>
      </c>
      <c r="H23832">
        <v>250731</v>
      </c>
      <c r="I23832">
        <v>4572</v>
      </c>
      <c r="J23832" t="s">
        <v>173</v>
      </c>
      <c r="K23832">
        <v>18.11</v>
      </c>
      <c r="L23832">
        <v>2.58</v>
      </c>
      <c r="M23832">
        <v>14981</v>
      </c>
      <c r="N23832" t="s">
        <v>252</v>
      </c>
      <c r="O23832">
        <v>250811</v>
      </c>
      <c r="P23832">
        <v>10.1</v>
      </c>
    </row>
    <row r="23833" spans="1:16" x14ac:dyDescent="0.25">
      <c r="A23833" t="s">
        <v>3296</v>
      </c>
      <c r="B23833" t="s">
        <v>2931</v>
      </c>
      <c r="C23833">
        <v>10103</v>
      </c>
      <c r="D23833" t="str">
        <f>"55251389267 "</f>
        <v xml:space="preserve">55251389267 </v>
      </c>
      <c r="E23833" t="s">
        <v>1845</v>
      </c>
      <c r="F23833" t="s">
        <v>1846</v>
      </c>
      <c r="G23833">
        <v>1193.75</v>
      </c>
      <c r="H23833">
        <v>250731</v>
      </c>
      <c r="I23833">
        <v>4572</v>
      </c>
      <c r="J23833" t="s">
        <v>173</v>
      </c>
      <c r="K23833">
        <v>3315.97</v>
      </c>
      <c r="L23833">
        <v>242.55</v>
      </c>
      <c r="M23833">
        <v>69111</v>
      </c>
      <c r="N23833" t="s">
        <v>657</v>
      </c>
      <c r="O23833">
        <v>250811</v>
      </c>
      <c r="P23833">
        <v>951.2</v>
      </c>
    </row>
    <row r="23834" spans="1:16" x14ac:dyDescent="0.25">
      <c r="A23834" t="s">
        <v>3296</v>
      </c>
      <c r="B23834" t="s">
        <v>2931</v>
      </c>
      <c r="C23834">
        <v>10103</v>
      </c>
      <c r="D23834" t="str">
        <f>"55251389267 "</f>
        <v xml:space="preserve">55251389267 </v>
      </c>
      <c r="E23834" t="s">
        <v>1845</v>
      </c>
      <c r="F23834" t="s">
        <v>1846</v>
      </c>
      <c r="G23834">
        <v>1989.58</v>
      </c>
      <c r="H23834">
        <v>250731</v>
      </c>
      <c r="I23834">
        <v>4572</v>
      </c>
      <c r="J23834" t="s">
        <v>173</v>
      </c>
      <c r="K23834">
        <v>3315.97</v>
      </c>
      <c r="L23834">
        <v>404.26</v>
      </c>
      <c r="M23834">
        <v>69501</v>
      </c>
      <c r="N23834" t="s">
        <v>123</v>
      </c>
      <c r="O23834">
        <v>250811</v>
      </c>
      <c r="P23834">
        <v>1585.32</v>
      </c>
    </row>
    <row r="23835" spans="1:16" x14ac:dyDescent="0.25">
      <c r="A23835" t="s">
        <v>3296</v>
      </c>
      <c r="B23835" t="s">
        <v>2931</v>
      </c>
      <c r="C23835">
        <v>10103</v>
      </c>
      <c r="D23835" t="str">
        <f>"55251389267 "</f>
        <v xml:space="preserve">55251389267 </v>
      </c>
      <c r="E23835" t="s">
        <v>1845</v>
      </c>
      <c r="F23835" t="s">
        <v>1846</v>
      </c>
      <c r="G23835">
        <v>66.319999999999993</v>
      </c>
      <c r="H23835">
        <v>250731</v>
      </c>
      <c r="I23835">
        <v>4572</v>
      </c>
      <c r="J23835" t="s">
        <v>173</v>
      </c>
      <c r="K23835">
        <v>3315.97</v>
      </c>
      <c r="L23835">
        <v>13.48</v>
      </c>
      <c r="M23835">
        <v>69801</v>
      </c>
      <c r="N23835" t="s">
        <v>1077</v>
      </c>
      <c r="O23835">
        <v>250811</v>
      </c>
      <c r="P23835">
        <v>52.84</v>
      </c>
    </row>
    <row r="23836" spans="1:16" x14ac:dyDescent="0.25">
      <c r="A23836" t="s">
        <v>3296</v>
      </c>
      <c r="B23836" t="s">
        <v>2931</v>
      </c>
      <c r="C23836">
        <v>10103</v>
      </c>
      <c r="D23836" t="str">
        <f>"55251389267 "</f>
        <v xml:space="preserve">55251389267 </v>
      </c>
      <c r="E23836" t="s">
        <v>1845</v>
      </c>
      <c r="F23836" t="s">
        <v>1846</v>
      </c>
      <c r="G23836">
        <v>66.319999999999993</v>
      </c>
      <c r="H23836">
        <v>250731</v>
      </c>
      <c r="I23836">
        <v>4572</v>
      </c>
      <c r="J23836" t="s">
        <v>173</v>
      </c>
      <c r="K23836">
        <v>3315.97</v>
      </c>
      <c r="L23836">
        <v>0</v>
      </c>
      <c r="M23836">
        <v>69803</v>
      </c>
      <c r="N23836" t="s">
        <v>391</v>
      </c>
      <c r="O23836">
        <v>250811</v>
      </c>
      <c r="P23836">
        <v>66.319999999999993</v>
      </c>
    </row>
    <row r="23837" spans="1:16" x14ac:dyDescent="0.25">
      <c r="A23837" t="s">
        <v>3296</v>
      </c>
      <c r="B23837" t="s">
        <v>2931</v>
      </c>
      <c r="C23837">
        <v>10105</v>
      </c>
      <c r="D23837" t="str">
        <f>"55251389888 "</f>
        <v xml:space="preserve">55251389888 </v>
      </c>
      <c r="E23837" t="s">
        <v>1845</v>
      </c>
      <c r="F23837" t="s">
        <v>1846</v>
      </c>
      <c r="G23837">
        <v>4.45</v>
      </c>
      <c r="H23837">
        <v>250730</v>
      </c>
      <c r="I23837">
        <v>4572</v>
      </c>
      <c r="J23837" t="s">
        <v>173</v>
      </c>
      <c r="K23837">
        <v>14.82</v>
      </c>
      <c r="L23837">
        <v>0.9</v>
      </c>
      <c r="M23837">
        <v>14952</v>
      </c>
      <c r="N23837" t="s">
        <v>213</v>
      </c>
      <c r="O23837">
        <v>250811</v>
      </c>
      <c r="P23837">
        <v>3.55</v>
      </c>
    </row>
    <row r="23838" spans="1:16" x14ac:dyDescent="0.25">
      <c r="A23838" t="s">
        <v>3296</v>
      </c>
      <c r="B23838" t="s">
        <v>2931</v>
      </c>
      <c r="C23838">
        <v>10105</v>
      </c>
      <c r="D23838" t="str">
        <f>"55251389888 "</f>
        <v xml:space="preserve">55251389888 </v>
      </c>
      <c r="E23838" t="s">
        <v>1845</v>
      </c>
      <c r="F23838" t="s">
        <v>1846</v>
      </c>
      <c r="G23838">
        <v>10.37</v>
      </c>
      <c r="H23838">
        <v>250730</v>
      </c>
      <c r="I23838">
        <v>4572</v>
      </c>
      <c r="J23838" t="s">
        <v>173</v>
      </c>
      <c r="K23838">
        <v>14.82</v>
      </c>
      <c r="L23838">
        <v>2.11</v>
      </c>
      <c r="M23838">
        <v>14981</v>
      </c>
      <c r="N23838" t="s">
        <v>252</v>
      </c>
      <c r="O23838">
        <v>250811</v>
      </c>
      <c r="P23838">
        <v>8.26</v>
      </c>
    </row>
    <row r="23839" spans="1:16" x14ac:dyDescent="0.25">
      <c r="A23839" t="s">
        <v>3296</v>
      </c>
      <c r="B23839" t="s">
        <v>2931</v>
      </c>
      <c r="C23839">
        <v>10106</v>
      </c>
      <c r="D23839" t="str">
        <f>"55251387369 "</f>
        <v xml:space="preserve">55251387369 </v>
      </c>
      <c r="E23839" t="s">
        <v>1845</v>
      </c>
      <c r="F23839" t="s">
        <v>1846</v>
      </c>
      <c r="G23839">
        <v>60.42</v>
      </c>
      <c r="H23839">
        <v>250731</v>
      </c>
      <c r="I23839">
        <v>4572</v>
      </c>
      <c r="J23839" t="s">
        <v>173</v>
      </c>
      <c r="K23839">
        <v>60.42</v>
      </c>
      <c r="L23839">
        <v>12.28</v>
      </c>
      <c r="M23839">
        <v>17950</v>
      </c>
      <c r="N23839" t="s">
        <v>132</v>
      </c>
      <c r="O23839">
        <v>250811</v>
      </c>
      <c r="P23839">
        <v>48.14</v>
      </c>
    </row>
    <row r="23840" spans="1:16" x14ac:dyDescent="0.25">
      <c r="A23840" t="s">
        <v>3296</v>
      </c>
      <c r="B23840" t="s">
        <v>2931</v>
      </c>
      <c r="C23840">
        <v>10107</v>
      </c>
      <c r="D23840" t="str">
        <f>"55251390195 "</f>
        <v xml:space="preserve">55251390195 </v>
      </c>
      <c r="E23840" t="s">
        <v>1845</v>
      </c>
      <c r="F23840" t="s">
        <v>1846</v>
      </c>
      <c r="G23840">
        <v>1618.51</v>
      </c>
      <c r="H23840">
        <v>250730</v>
      </c>
      <c r="I23840">
        <v>4572</v>
      </c>
      <c r="J23840" t="s">
        <v>173</v>
      </c>
      <c r="K23840">
        <v>1618.51</v>
      </c>
      <c r="L23840">
        <v>328.86</v>
      </c>
      <c r="M23840">
        <v>14951</v>
      </c>
      <c r="N23840" t="s">
        <v>186</v>
      </c>
      <c r="O23840">
        <v>250811</v>
      </c>
      <c r="P23840">
        <v>1289.6500000000001</v>
      </c>
    </row>
    <row r="23841" spans="1:16" x14ac:dyDescent="0.25">
      <c r="A23841" t="s">
        <v>3296</v>
      </c>
      <c r="B23841" t="s">
        <v>2931</v>
      </c>
      <c r="C23841">
        <v>10109</v>
      </c>
      <c r="D23841" t="str">
        <f>"55251390156 "</f>
        <v xml:space="preserve">55251390156 </v>
      </c>
      <c r="E23841" t="s">
        <v>1845</v>
      </c>
      <c r="F23841" t="s">
        <v>1846</v>
      </c>
      <c r="G23841">
        <v>1.84</v>
      </c>
      <c r="H23841">
        <v>250730</v>
      </c>
      <c r="I23841">
        <v>4572</v>
      </c>
      <c r="J23841" t="s">
        <v>173</v>
      </c>
      <c r="K23841">
        <v>1.84</v>
      </c>
      <c r="L23841">
        <v>0.37</v>
      </c>
      <c r="M23841">
        <v>17956</v>
      </c>
      <c r="N23841" t="s">
        <v>170</v>
      </c>
      <c r="O23841">
        <v>250811</v>
      </c>
      <c r="P23841">
        <v>1.47</v>
      </c>
    </row>
    <row r="23842" spans="1:16" x14ac:dyDescent="0.25">
      <c r="A23842" t="s">
        <v>3296</v>
      </c>
      <c r="B23842" t="s">
        <v>2931</v>
      </c>
      <c r="C23842">
        <v>10114</v>
      </c>
      <c r="D23842" t="str">
        <f>"55251389327 "</f>
        <v xml:space="preserve">55251389327 </v>
      </c>
      <c r="E23842" t="s">
        <v>1845</v>
      </c>
      <c r="F23842" t="s">
        <v>1846</v>
      </c>
      <c r="G23842">
        <v>329.24</v>
      </c>
      <c r="H23842">
        <v>250730</v>
      </c>
      <c r="I23842">
        <v>4572</v>
      </c>
      <c r="J23842" t="s">
        <v>173</v>
      </c>
      <c r="K23842">
        <v>329.24</v>
      </c>
      <c r="L23842">
        <v>66.900000000000006</v>
      </c>
      <c r="M23842">
        <v>49503</v>
      </c>
      <c r="N23842" t="s">
        <v>267</v>
      </c>
      <c r="O23842">
        <v>250812</v>
      </c>
      <c r="P23842">
        <v>262.33999999999997</v>
      </c>
    </row>
    <row r="23843" spans="1:16" x14ac:dyDescent="0.25">
      <c r="A23843" t="s">
        <v>3296</v>
      </c>
      <c r="B23843" t="s">
        <v>2931</v>
      </c>
      <c r="C23843">
        <v>10115</v>
      </c>
      <c r="D23843" t="str">
        <f>"55251387548 "</f>
        <v xml:space="preserve">55251387548 </v>
      </c>
      <c r="E23843" t="s">
        <v>1845</v>
      </c>
      <c r="F23843" t="s">
        <v>1846</v>
      </c>
      <c r="G23843">
        <v>2.17</v>
      </c>
      <c r="H23843">
        <v>250731</v>
      </c>
      <c r="I23843">
        <v>4572</v>
      </c>
      <c r="J23843" t="s">
        <v>173</v>
      </c>
      <c r="K23843">
        <v>2.17</v>
      </c>
      <c r="L23843">
        <v>0.44</v>
      </c>
      <c r="M23843">
        <v>17981</v>
      </c>
      <c r="N23843" t="s">
        <v>927</v>
      </c>
      <c r="O23843">
        <v>250812</v>
      </c>
      <c r="P23843">
        <v>1.73</v>
      </c>
    </row>
    <row r="23844" spans="1:16" x14ac:dyDescent="0.25">
      <c r="A23844" t="s">
        <v>3296</v>
      </c>
      <c r="B23844" t="s">
        <v>2931</v>
      </c>
      <c r="C23844">
        <v>10116</v>
      </c>
      <c r="D23844" t="str">
        <f>"55251387457 "</f>
        <v xml:space="preserve">55251387457 </v>
      </c>
      <c r="E23844" t="s">
        <v>1845</v>
      </c>
      <c r="F23844" t="s">
        <v>1846</v>
      </c>
      <c r="G23844">
        <v>66.66</v>
      </c>
      <c r="H23844">
        <v>250731</v>
      </c>
      <c r="I23844">
        <v>4572</v>
      </c>
      <c r="J23844" t="s">
        <v>173</v>
      </c>
      <c r="K23844">
        <v>2222.12</v>
      </c>
      <c r="L23844">
        <v>13.54</v>
      </c>
      <c r="M23844">
        <v>49111</v>
      </c>
      <c r="N23844" t="s">
        <v>108</v>
      </c>
      <c r="O23844">
        <v>250812</v>
      </c>
      <c r="P23844">
        <v>53.12</v>
      </c>
    </row>
    <row r="23845" spans="1:16" x14ac:dyDescent="0.25">
      <c r="A23845" t="s">
        <v>3296</v>
      </c>
      <c r="B23845" t="s">
        <v>2931</v>
      </c>
      <c r="C23845">
        <v>10116</v>
      </c>
      <c r="D23845" t="str">
        <f>"55251387457 "</f>
        <v xml:space="preserve">55251387457 </v>
      </c>
      <c r="E23845" t="s">
        <v>1845</v>
      </c>
      <c r="F23845" t="s">
        <v>1846</v>
      </c>
      <c r="G23845">
        <v>2055.4699999999998</v>
      </c>
      <c r="H23845">
        <v>250731</v>
      </c>
      <c r="I23845">
        <v>4572</v>
      </c>
      <c r="J23845" t="s">
        <v>173</v>
      </c>
      <c r="K23845">
        <v>2222.12</v>
      </c>
      <c r="L23845">
        <v>417.65</v>
      </c>
      <c r="M23845">
        <v>49501</v>
      </c>
      <c r="N23845" t="s">
        <v>110</v>
      </c>
      <c r="O23845">
        <v>250812</v>
      </c>
      <c r="P23845">
        <v>1637.82</v>
      </c>
    </row>
    <row r="23846" spans="1:16" x14ac:dyDescent="0.25">
      <c r="A23846" t="s">
        <v>3296</v>
      </c>
      <c r="B23846" t="s">
        <v>2931</v>
      </c>
      <c r="C23846">
        <v>10116</v>
      </c>
      <c r="D23846" t="str">
        <f>"55251387457 "</f>
        <v xml:space="preserve">55251387457 </v>
      </c>
      <c r="E23846" t="s">
        <v>1845</v>
      </c>
      <c r="F23846" t="s">
        <v>1846</v>
      </c>
      <c r="G23846">
        <v>44.44</v>
      </c>
      <c r="H23846">
        <v>250731</v>
      </c>
      <c r="I23846">
        <v>4572</v>
      </c>
      <c r="J23846" t="s">
        <v>173</v>
      </c>
      <c r="K23846">
        <v>2222.12</v>
      </c>
      <c r="L23846">
        <v>9.0299999999999994</v>
      </c>
      <c r="M23846">
        <v>49801</v>
      </c>
      <c r="N23846" t="s">
        <v>953</v>
      </c>
      <c r="O23846">
        <v>250812</v>
      </c>
      <c r="P23846">
        <v>35.409999999999997</v>
      </c>
    </row>
    <row r="23847" spans="1:16" x14ac:dyDescent="0.25">
      <c r="A23847" t="s">
        <v>3296</v>
      </c>
      <c r="B23847" t="s">
        <v>2931</v>
      </c>
      <c r="C23847">
        <v>10116</v>
      </c>
      <c r="D23847" t="str">
        <f>"55251387457 "</f>
        <v xml:space="preserve">55251387457 </v>
      </c>
      <c r="E23847" t="s">
        <v>1845</v>
      </c>
      <c r="F23847" t="s">
        <v>1846</v>
      </c>
      <c r="G23847">
        <v>55.55</v>
      </c>
      <c r="H23847">
        <v>250731</v>
      </c>
      <c r="I23847">
        <v>4572</v>
      </c>
      <c r="J23847" t="s">
        <v>173</v>
      </c>
      <c r="K23847">
        <v>2222.12</v>
      </c>
      <c r="L23847">
        <v>0</v>
      </c>
      <c r="M23847">
        <v>49803</v>
      </c>
      <c r="N23847" t="s">
        <v>956</v>
      </c>
      <c r="O23847">
        <v>250812</v>
      </c>
      <c r="P23847">
        <v>55.55</v>
      </c>
    </row>
    <row r="23848" spans="1:16" x14ac:dyDescent="0.25">
      <c r="A23848" t="s">
        <v>3296</v>
      </c>
      <c r="B23848" t="s">
        <v>2931</v>
      </c>
      <c r="C23848">
        <v>10118</v>
      </c>
      <c r="D23848" t="str">
        <f>"55251387992 "</f>
        <v xml:space="preserve">55251387992 </v>
      </c>
      <c r="E23848" t="s">
        <v>1845</v>
      </c>
      <c r="F23848" t="s">
        <v>1846</v>
      </c>
      <c r="G23848">
        <v>0.17</v>
      </c>
      <c r="H23848">
        <v>250731</v>
      </c>
      <c r="I23848">
        <v>4572</v>
      </c>
      <c r="J23848" t="s">
        <v>173</v>
      </c>
      <c r="K23848">
        <v>0.63</v>
      </c>
      <c r="L23848">
        <v>0.03</v>
      </c>
      <c r="M23848">
        <v>59112</v>
      </c>
      <c r="N23848" t="s">
        <v>44</v>
      </c>
      <c r="O23848">
        <v>250812</v>
      </c>
      <c r="P23848">
        <v>0.14000000000000001</v>
      </c>
    </row>
    <row r="23849" spans="1:16" x14ac:dyDescent="0.25">
      <c r="A23849" t="s">
        <v>3296</v>
      </c>
      <c r="B23849" t="s">
        <v>2931</v>
      </c>
      <c r="C23849">
        <v>10118</v>
      </c>
      <c r="D23849" t="str">
        <f>"55251387992 "</f>
        <v xml:space="preserve">55251387992 </v>
      </c>
      <c r="E23849" t="s">
        <v>1845</v>
      </c>
      <c r="F23849" t="s">
        <v>1846</v>
      </c>
      <c r="G23849">
        <v>0.46</v>
      </c>
      <c r="H23849">
        <v>250731</v>
      </c>
      <c r="I23849">
        <v>4572</v>
      </c>
      <c r="J23849" t="s">
        <v>173</v>
      </c>
      <c r="K23849">
        <v>0.63</v>
      </c>
      <c r="L23849">
        <v>0.09</v>
      </c>
      <c r="M23849">
        <v>59504</v>
      </c>
      <c r="N23849" t="s">
        <v>193</v>
      </c>
      <c r="O23849">
        <v>250812</v>
      </c>
      <c r="P23849">
        <v>0.37</v>
      </c>
    </row>
    <row r="23850" spans="1:16" x14ac:dyDescent="0.25">
      <c r="A23850" t="s">
        <v>3296</v>
      </c>
      <c r="B23850" t="s">
        <v>2931</v>
      </c>
      <c r="C23850">
        <v>10121</v>
      </c>
      <c r="D23850" t="str">
        <f>"55251389683 "</f>
        <v xml:space="preserve">55251389683 </v>
      </c>
      <c r="E23850" t="s">
        <v>1845</v>
      </c>
      <c r="F23850" t="s">
        <v>1846</v>
      </c>
      <c r="G23850">
        <v>2.52</v>
      </c>
      <c r="H23850">
        <v>250730</v>
      </c>
      <c r="I23850">
        <v>4572</v>
      </c>
      <c r="J23850" t="s">
        <v>173</v>
      </c>
      <c r="K23850">
        <v>8.4</v>
      </c>
      <c r="L23850">
        <v>0.51</v>
      </c>
      <c r="M23850">
        <v>14952</v>
      </c>
      <c r="N23850" t="s">
        <v>213</v>
      </c>
      <c r="O23850">
        <v>250812</v>
      </c>
      <c r="P23850">
        <v>2.0099999999999998</v>
      </c>
    </row>
    <row r="23851" spans="1:16" x14ac:dyDescent="0.25">
      <c r="A23851" t="s">
        <v>3296</v>
      </c>
      <c r="B23851" t="s">
        <v>2931</v>
      </c>
      <c r="C23851">
        <v>10121</v>
      </c>
      <c r="D23851" t="str">
        <f>"55251389683 "</f>
        <v xml:space="preserve">55251389683 </v>
      </c>
      <c r="E23851" t="s">
        <v>1845</v>
      </c>
      <c r="F23851" t="s">
        <v>1846</v>
      </c>
      <c r="G23851">
        <v>5.88</v>
      </c>
      <c r="H23851">
        <v>250730</v>
      </c>
      <c r="I23851">
        <v>4572</v>
      </c>
      <c r="J23851" t="s">
        <v>173</v>
      </c>
      <c r="K23851">
        <v>8.4</v>
      </c>
      <c r="L23851">
        <v>1.19</v>
      </c>
      <c r="M23851">
        <v>14981</v>
      </c>
      <c r="N23851" t="s">
        <v>252</v>
      </c>
      <c r="O23851">
        <v>250812</v>
      </c>
      <c r="P23851">
        <v>4.6900000000000004</v>
      </c>
    </row>
    <row r="23852" spans="1:16" x14ac:dyDescent="0.25">
      <c r="A23852" t="s">
        <v>3296</v>
      </c>
      <c r="B23852" t="s">
        <v>2931</v>
      </c>
      <c r="C23852">
        <v>10135</v>
      </c>
      <c r="D23852" t="str">
        <f>"55251389864 "</f>
        <v xml:space="preserve">55251389864 </v>
      </c>
      <c r="E23852" t="s">
        <v>1845</v>
      </c>
      <c r="F23852" t="s">
        <v>1846</v>
      </c>
      <c r="G23852">
        <v>199.51</v>
      </c>
      <c r="H23852">
        <v>250731</v>
      </c>
      <c r="I23852">
        <v>4572</v>
      </c>
      <c r="J23852" t="s">
        <v>173</v>
      </c>
      <c r="K23852">
        <v>738.93</v>
      </c>
      <c r="L23852">
        <v>40.54</v>
      </c>
      <c r="M23852">
        <v>59112</v>
      </c>
      <c r="N23852" t="s">
        <v>44</v>
      </c>
      <c r="O23852">
        <v>250812</v>
      </c>
      <c r="P23852">
        <v>158.97</v>
      </c>
    </row>
    <row r="23853" spans="1:16" x14ac:dyDescent="0.25">
      <c r="A23853" t="s">
        <v>3296</v>
      </c>
      <c r="B23853" t="s">
        <v>2931</v>
      </c>
      <c r="C23853">
        <v>10135</v>
      </c>
      <c r="D23853" t="str">
        <f>"55251389864 "</f>
        <v xml:space="preserve">55251389864 </v>
      </c>
      <c r="E23853" t="s">
        <v>1845</v>
      </c>
      <c r="F23853" t="s">
        <v>1846</v>
      </c>
      <c r="G23853">
        <v>539.41999999999996</v>
      </c>
      <c r="H23853">
        <v>250731</v>
      </c>
      <c r="I23853">
        <v>4572</v>
      </c>
      <c r="J23853" t="s">
        <v>173</v>
      </c>
      <c r="K23853">
        <v>738.93</v>
      </c>
      <c r="L23853">
        <v>109.6</v>
      </c>
      <c r="M23853">
        <v>59504</v>
      </c>
      <c r="N23853" t="s">
        <v>193</v>
      </c>
      <c r="O23853">
        <v>250812</v>
      </c>
      <c r="P23853">
        <v>429.82</v>
      </c>
    </row>
    <row r="23854" spans="1:16" x14ac:dyDescent="0.25">
      <c r="A23854" t="s">
        <v>3296</v>
      </c>
      <c r="B23854" t="s">
        <v>2931</v>
      </c>
      <c r="C23854">
        <v>10136</v>
      </c>
      <c r="D23854" t="str">
        <f>"55251389968 "</f>
        <v xml:space="preserve">55251389968 </v>
      </c>
      <c r="E23854" t="s">
        <v>1845</v>
      </c>
      <c r="F23854" t="s">
        <v>1846</v>
      </c>
      <c r="G23854">
        <v>867.67</v>
      </c>
      <c r="H23854">
        <v>250731</v>
      </c>
      <c r="I23854">
        <v>4572</v>
      </c>
      <c r="J23854" t="s">
        <v>173</v>
      </c>
      <c r="K23854">
        <v>913.34</v>
      </c>
      <c r="L23854">
        <v>176.3</v>
      </c>
      <c r="M23854">
        <v>49501</v>
      </c>
      <c r="N23854" t="s">
        <v>110</v>
      </c>
      <c r="O23854">
        <v>250812</v>
      </c>
      <c r="P23854">
        <v>691.37</v>
      </c>
    </row>
    <row r="23855" spans="1:16" x14ac:dyDescent="0.25">
      <c r="A23855" t="s">
        <v>3296</v>
      </c>
      <c r="B23855" t="s">
        <v>2931</v>
      </c>
      <c r="C23855">
        <v>10136</v>
      </c>
      <c r="D23855" t="str">
        <f>"55251389968 "</f>
        <v xml:space="preserve">55251389968 </v>
      </c>
      <c r="E23855" t="s">
        <v>1845</v>
      </c>
      <c r="F23855" t="s">
        <v>1846</v>
      </c>
      <c r="G23855">
        <v>45.67</v>
      </c>
      <c r="H23855">
        <v>250731</v>
      </c>
      <c r="I23855">
        <v>4572</v>
      </c>
      <c r="J23855" t="s">
        <v>173</v>
      </c>
      <c r="K23855">
        <v>913.34</v>
      </c>
      <c r="L23855">
        <v>9.2799999999999994</v>
      </c>
      <c r="M23855">
        <v>49801</v>
      </c>
      <c r="N23855" t="s">
        <v>953</v>
      </c>
      <c r="O23855">
        <v>250812</v>
      </c>
      <c r="P23855">
        <v>36.39</v>
      </c>
    </row>
    <row r="23856" spans="1:16" x14ac:dyDescent="0.25">
      <c r="A23856" t="s">
        <v>3296</v>
      </c>
      <c r="B23856" t="s">
        <v>2931</v>
      </c>
      <c r="C23856">
        <v>10140</v>
      </c>
      <c r="D23856" t="str">
        <f>"55251390011 "</f>
        <v xml:space="preserve">55251390011 </v>
      </c>
      <c r="E23856" t="s">
        <v>1845</v>
      </c>
      <c r="F23856" t="s">
        <v>1846</v>
      </c>
      <c r="G23856">
        <v>3.67</v>
      </c>
      <c r="H23856">
        <v>250730</v>
      </c>
      <c r="I23856">
        <v>4572</v>
      </c>
      <c r="J23856" t="s">
        <v>173</v>
      </c>
      <c r="K23856">
        <v>73.36</v>
      </c>
      <c r="L23856">
        <v>0.75</v>
      </c>
      <c r="M23856">
        <v>17737</v>
      </c>
      <c r="N23856" t="s">
        <v>156</v>
      </c>
      <c r="O23856">
        <v>250812</v>
      </c>
      <c r="P23856">
        <v>2.92</v>
      </c>
    </row>
    <row r="23857" spans="1:16" x14ac:dyDescent="0.25">
      <c r="A23857" t="s">
        <v>3296</v>
      </c>
      <c r="B23857" t="s">
        <v>2931</v>
      </c>
      <c r="C23857">
        <v>10140</v>
      </c>
      <c r="D23857" t="str">
        <f>"55251390011 "</f>
        <v xml:space="preserve">55251390011 </v>
      </c>
      <c r="E23857" t="s">
        <v>1845</v>
      </c>
      <c r="F23857" t="s">
        <v>1846</v>
      </c>
      <c r="G23857">
        <v>48.65</v>
      </c>
      <c r="H23857">
        <v>250730</v>
      </c>
      <c r="I23857">
        <v>4572</v>
      </c>
      <c r="J23857" t="s">
        <v>173</v>
      </c>
      <c r="K23857">
        <v>73.36</v>
      </c>
      <c r="L23857">
        <v>9.89</v>
      </c>
      <c r="M23857">
        <v>17737</v>
      </c>
      <c r="N23857" t="s">
        <v>156</v>
      </c>
      <c r="O23857">
        <v>250812</v>
      </c>
      <c r="P23857">
        <v>38.76</v>
      </c>
    </row>
    <row r="23858" spans="1:16" x14ac:dyDescent="0.25">
      <c r="A23858" t="s">
        <v>3296</v>
      </c>
      <c r="B23858" t="s">
        <v>2931</v>
      </c>
      <c r="C23858">
        <v>10140</v>
      </c>
      <c r="D23858" t="str">
        <f>"55251390011 "</f>
        <v xml:space="preserve">55251390011 </v>
      </c>
      <c r="E23858" t="s">
        <v>1845</v>
      </c>
      <c r="F23858" t="s">
        <v>1846</v>
      </c>
      <c r="G23858">
        <v>20.91</v>
      </c>
      <c r="H23858">
        <v>250730</v>
      </c>
      <c r="I23858">
        <v>4572</v>
      </c>
      <c r="J23858" t="s">
        <v>173</v>
      </c>
      <c r="K23858">
        <v>73.36</v>
      </c>
      <c r="L23858">
        <v>4.25</v>
      </c>
      <c r="M23858">
        <v>17739</v>
      </c>
      <c r="N23858" t="s">
        <v>928</v>
      </c>
      <c r="O23858">
        <v>250812</v>
      </c>
      <c r="P23858">
        <v>16.66</v>
      </c>
    </row>
    <row r="23859" spans="1:16" x14ac:dyDescent="0.25">
      <c r="A23859" t="s">
        <v>3296</v>
      </c>
      <c r="B23859" t="s">
        <v>2931</v>
      </c>
      <c r="C23859">
        <v>10142</v>
      </c>
      <c r="D23859" t="str">
        <f>"55251388970 "</f>
        <v xml:space="preserve">55251388970 </v>
      </c>
      <c r="E23859" t="s">
        <v>1845</v>
      </c>
      <c r="F23859" t="s">
        <v>1846</v>
      </c>
      <c r="G23859">
        <v>55.03</v>
      </c>
      <c r="H23859">
        <v>250731</v>
      </c>
      <c r="I23859">
        <v>4572</v>
      </c>
      <c r="J23859" t="s">
        <v>173</v>
      </c>
      <c r="K23859">
        <v>165.1</v>
      </c>
      <c r="L23859">
        <v>11.18</v>
      </c>
      <c r="M23859">
        <v>11401</v>
      </c>
      <c r="N23859" t="s">
        <v>91</v>
      </c>
      <c r="O23859">
        <v>250812</v>
      </c>
      <c r="P23859">
        <v>43.85</v>
      </c>
    </row>
    <row r="23860" spans="1:16" x14ac:dyDescent="0.25">
      <c r="A23860" t="s">
        <v>3296</v>
      </c>
      <c r="B23860" t="s">
        <v>2931</v>
      </c>
      <c r="C23860">
        <v>10142</v>
      </c>
      <c r="D23860" t="str">
        <f>"55251388970 "</f>
        <v xml:space="preserve">55251388970 </v>
      </c>
      <c r="E23860" t="s">
        <v>1845</v>
      </c>
      <c r="F23860" t="s">
        <v>1846</v>
      </c>
      <c r="G23860">
        <v>110.07</v>
      </c>
      <c r="H23860">
        <v>250731</v>
      </c>
      <c r="I23860">
        <v>4572</v>
      </c>
      <c r="J23860" t="s">
        <v>173</v>
      </c>
      <c r="K23860">
        <v>165.1</v>
      </c>
      <c r="L23860">
        <v>22.36</v>
      </c>
      <c r="M23860">
        <v>14952</v>
      </c>
      <c r="N23860" t="s">
        <v>213</v>
      </c>
      <c r="O23860">
        <v>250812</v>
      </c>
      <c r="P23860">
        <v>87.71</v>
      </c>
    </row>
    <row r="23861" spans="1:16" x14ac:dyDescent="0.25">
      <c r="A23861" t="s">
        <v>3296</v>
      </c>
      <c r="B23861" t="s">
        <v>2931</v>
      </c>
      <c r="C23861">
        <v>10146</v>
      </c>
      <c r="D23861" t="str">
        <f>"55251388148 "</f>
        <v xml:space="preserve">55251388148 </v>
      </c>
      <c r="E23861" t="s">
        <v>1845</v>
      </c>
      <c r="F23861" t="s">
        <v>1846</v>
      </c>
      <c r="G23861">
        <v>150.07</v>
      </c>
      <c r="H23861">
        <v>250731</v>
      </c>
      <c r="I23861">
        <v>4572</v>
      </c>
      <c r="J23861" t="s">
        <v>173</v>
      </c>
      <c r="K23861">
        <v>500.24</v>
      </c>
      <c r="L23861">
        <v>30.49</v>
      </c>
      <c r="M23861">
        <v>14952</v>
      </c>
      <c r="N23861" t="s">
        <v>213</v>
      </c>
      <c r="O23861">
        <v>250812</v>
      </c>
      <c r="P23861">
        <v>119.58</v>
      </c>
    </row>
    <row r="23862" spans="1:16" x14ac:dyDescent="0.25">
      <c r="A23862" t="s">
        <v>3296</v>
      </c>
      <c r="B23862" t="s">
        <v>2931</v>
      </c>
      <c r="C23862">
        <v>10146</v>
      </c>
      <c r="D23862" t="str">
        <f>"55251388148 "</f>
        <v xml:space="preserve">55251388148 </v>
      </c>
      <c r="E23862" t="s">
        <v>1845</v>
      </c>
      <c r="F23862" t="s">
        <v>1846</v>
      </c>
      <c r="G23862">
        <v>350.17</v>
      </c>
      <c r="H23862">
        <v>250731</v>
      </c>
      <c r="I23862">
        <v>4572</v>
      </c>
      <c r="J23862" t="s">
        <v>173</v>
      </c>
      <c r="K23862">
        <v>500.24</v>
      </c>
      <c r="L23862">
        <v>71.150000000000006</v>
      </c>
      <c r="M23862">
        <v>14981</v>
      </c>
      <c r="N23862" t="s">
        <v>252</v>
      </c>
      <c r="O23862">
        <v>250812</v>
      </c>
      <c r="P23862">
        <v>279.02</v>
      </c>
    </row>
    <row r="23863" spans="1:16" x14ac:dyDescent="0.25">
      <c r="A23863" t="s">
        <v>3296</v>
      </c>
      <c r="B23863" t="s">
        <v>2931</v>
      </c>
      <c r="C23863">
        <v>10158</v>
      </c>
      <c r="D23863" t="str">
        <f>"55251389068 "</f>
        <v xml:space="preserve">55251389068 </v>
      </c>
      <c r="E23863" t="s">
        <v>1845</v>
      </c>
      <c r="F23863" t="s">
        <v>1846</v>
      </c>
      <c r="G23863">
        <v>1891.14</v>
      </c>
      <c r="H23863">
        <v>250731</v>
      </c>
      <c r="I23863">
        <v>4572</v>
      </c>
      <c r="J23863" t="s">
        <v>173</v>
      </c>
      <c r="K23863">
        <v>3100.23</v>
      </c>
      <c r="L23863">
        <v>384.26</v>
      </c>
      <c r="M23863">
        <v>59502</v>
      </c>
      <c r="N23863" t="s">
        <v>63</v>
      </c>
      <c r="O23863">
        <v>250812</v>
      </c>
      <c r="P23863">
        <v>1506.88</v>
      </c>
    </row>
    <row r="23864" spans="1:16" x14ac:dyDescent="0.25">
      <c r="A23864" t="s">
        <v>3296</v>
      </c>
      <c r="B23864" t="s">
        <v>2931</v>
      </c>
      <c r="C23864">
        <v>10158</v>
      </c>
      <c r="D23864" t="str">
        <f>"55251389068 "</f>
        <v xml:space="preserve">55251389068 </v>
      </c>
      <c r="E23864" t="s">
        <v>1845</v>
      </c>
      <c r="F23864" t="s">
        <v>1846</v>
      </c>
      <c r="G23864">
        <v>1209.0899999999999</v>
      </c>
      <c r="H23864">
        <v>250731</v>
      </c>
      <c r="I23864">
        <v>4572</v>
      </c>
      <c r="J23864" t="s">
        <v>173</v>
      </c>
      <c r="K23864">
        <v>3100.23</v>
      </c>
      <c r="L23864">
        <v>245.67</v>
      </c>
      <c r="M23864">
        <v>59802</v>
      </c>
      <c r="N23864" t="s">
        <v>195</v>
      </c>
      <c r="O23864">
        <v>250812</v>
      </c>
      <c r="P23864">
        <v>963.42</v>
      </c>
    </row>
    <row r="23865" spans="1:16" x14ac:dyDescent="0.25">
      <c r="A23865" t="s">
        <v>3296</v>
      </c>
      <c r="B23865" t="s">
        <v>2931</v>
      </c>
      <c r="C23865">
        <v>10160</v>
      </c>
      <c r="D23865" t="str">
        <f>"55251389716 "</f>
        <v xml:space="preserve">55251389716 </v>
      </c>
      <c r="E23865" t="s">
        <v>1845</v>
      </c>
      <c r="F23865" t="s">
        <v>1846</v>
      </c>
      <c r="G23865">
        <v>204.2</v>
      </c>
      <c r="H23865">
        <v>250731</v>
      </c>
      <c r="I23865">
        <v>4572</v>
      </c>
      <c r="J23865" t="s">
        <v>173</v>
      </c>
      <c r="K23865">
        <v>3403.31</v>
      </c>
      <c r="L23865">
        <v>41.49</v>
      </c>
      <c r="M23865">
        <v>59111</v>
      </c>
      <c r="N23865" t="s">
        <v>60</v>
      </c>
      <c r="O23865">
        <v>250812</v>
      </c>
      <c r="P23865">
        <v>162.71</v>
      </c>
    </row>
    <row r="23866" spans="1:16" x14ac:dyDescent="0.25">
      <c r="A23866" t="s">
        <v>3296</v>
      </c>
      <c r="B23866" t="s">
        <v>2931</v>
      </c>
      <c r="C23866">
        <v>10160</v>
      </c>
      <c r="D23866" t="str">
        <f>"55251389716 "</f>
        <v xml:space="preserve">55251389716 </v>
      </c>
      <c r="E23866" t="s">
        <v>1845</v>
      </c>
      <c r="F23866" t="s">
        <v>1846</v>
      </c>
      <c r="G23866">
        <v>3199.11</v>
      </c>
      <c r="H23866">
        <v>250731</v>
      </c>
      <c r="I23866">
        <v>4572</v>
      </c>
      <c r="J23866" t="s">
        <v>173</v>
      </c>
      <c r="K23866">
        <v>3403.31</v>
      </c>
      <c r="L23866">
        <v>650.02</v>
      </c>
      <c r="M23866">
        <v>59501</v>
      </c>
      <c r="N23866" t="s">
        <v>62</v>
      </c>
      <c r="O23866">
        <v>250812</v>
      </c>
      <c r="P23866">
        <v>2549.09</v>
      </c>
    </row>
    <row r="23867" spans="1:16" x14ac:dyDescent="0.25">
      <c r="A23867" t="s">
        <v>3296</v>
      </c>
      <c r="B23867" t="s">
        <v>2931</v>
      </c>
      <c r="C23867">
        <v>10161</v>
      </c>
      <c r="D23867" t="str">
        <f>"55251389982 "</f>
        <v xml:space="preserve">55251389982 </v>
      </c>
      <c r="E23867" t="s">
        <v>1845</v>
      </c>
      <c r="F23867" t="s">
        <v>1846</v>
      </c>
      <c r="G23867">
        <v>655.25</v>
      </c>
      <c r="H23867">
        <v>250730</v>
      </c>
      <c r="I23867">
        <v>4572</v>
      </c>
      <c r="J23867" t="s">
        <v>173</v>
      </c>
      <c r="K23867">
        <v>744.6</v>
      </c>
      <c r="L23867">
        <v>133.13999999999999</v>
      </c>
      <c r="M23867">
        <v>59505</v>
      </c>
      <c r="N23867" t="s">
        <v>194</v>
      </c>
      <c r="O23867">
        <v>250812</v>
      </c>
      <c r="P23867">
        <v>522.11</v>
      </c>
    </row>
    <row r="23868" spans="1:16" x14ac:dyDescent="0.25">
      <c r="A23868" t="s">
        <v>3296</v>
      </c>
      <c r="B23868" t="s">
        <v>2931</v>
      </c>
      <c r="C23868">
        <v>10161</v>
      </c>
      <c r="D23868" t="str">
        <f>"55251389982 "</f>
        <v xml:space="preserve">55251389982 </v>
      </c>
      <c r="E23868" t="s">
        <v>1845</v>
      </c>
      <c r="F23868" t="s">
        <v>1846</v>
      </c>
      <c r="G23868">
        <v>89.35</v>
      </c>
      <c r="H23868">
        <v>250730</v>
      </c>
      <c r="I23868">
        <v>4572</v>
      </c>
      <c r="J23868" t="s">
        <v>173</v>
      </c>
      <c r="K23868">
        <v>744.6</v>
      </c>
      <c r="L23868">
        <v>18.149999999999999</v>
      </c>
      <c r="M23868">
        <v>59812</v>
      </c>
      <c r="N23868" t="s">
        <v>196</v>
      </c>
      <c r="O23868">
        <v>250812</v>
      </c>
      <c r="P23868">
        <v>71.2</v>
      </c>
    </row>
    <row r="23869" spans="1:16" x14ac:dyDescent="0.25">
      <c r="A23869" t="s">
        <v>3296</v>
      </c>
      <c r="B23869" t="s">
        <v>2931</v>
      </c>
      <c r="C23869">
        <v>10173</v>
      </c>
      <c r="D23869" t="str">
        <f>"55251387660 "</f>
        <v xml:space="preserve">55251387660 </v>
      </c>
      <c r="E23869" t="s">
        <v>1845</v>
      </c>
      <c r="F23869" t="s">
        <v>1846</v>
      </c>
      <c r="G23869">
        <v>46.54</v>
      </c>
      <c r="H23869">
        <v>250731</v>
      </c>
      <c r="I23869">
        <v>4572</v>
      </c>
      <c r="J23869" t="s">
        <v>173</v>
      </c>
      <c r="K23869">
        <v>1551.45</v>
      </c>
      <c r="L23869">
        <v>9.4600000000000009</v>
      </c>
      <c r="M23869">
        <v>17739</v>
      </c>
      <c r="N23869" t="s">
        <v>928</v>
      </c>
      <c r="O23869">
        <v>250812</v>
      </c>
      <c r="P23869">
        <v>37.08</v>
      </c>
    </row>
    <row r="23870" spans="1:16" x14ac:dyDescent="0.25">
      <c r="A23870" t="s">
        <v>3296</v>
      </c>
      <c r="B23870" t="s">
        <v>2931</v>
      </c>
      <c r="C23870">
        <v>10173</v>
      </c>
      <c r="D23870" t="str">
        <f>"55251387660 "</f>
        <v xml:space="preserve">55251387660 </v>
      </c>
      <c r="E23870" t="s">
        <v>1845</v>
      </c>
      <c r="F23870" t="s">
        <v>1846</v>
      </c>
      <c r="G23870">
        <v>511.98</v>
      </c>
      <c r="H23870">
        <v>250731</v>
      </c>
      <c r="I23870">
        <v>4572</v>
      </c>
      <c r="J23870" t="s">
        <v>173</v>
      </c>
      <c r="K23870">
        <v>1551.45</v>
      </c>
      <c r="L23870">
        <v>104.03</v>
      </c>
      <c r="M23870">
        <v>17912</v>
      </c>
      <c r="N23870" t="s">
        <v>505</v>
      </c>
      <c r="O23870">
        <v>250812</v>
      </c>
      <c r="P23870">
        <v>407.95</v>
      </c>
    </row>
    <row r="23871" spans="1:16" x14ac:dyDescent="0.25">
      <c r="A23871" t="s">
        <v>3296</v>
      </c>
      <c r="B23871" t="s">
        <v>2931</v>
      </c>
      <c r="C23871">
        <v>10173</v>
      </c>
      <c r="D23871" t="str">
        <f>"55251387660 "</f>
        <v xml:space="preserve">55251387660 </v>
      </c>
      <c r="E23871" t="s">
        <v>1845</v>
      </c>
      <c r="F23871" t="s">
        <v>1846</v>
      </c>
      <c r="G23871">
        <v>991.12</v>
      </c>
      <c r="H23871">
        <v>250731</v>
      </c>
      <c r="I23871">
        <v>4572</v>
      </c>
      <c r="J23871" t="s">
        <v>173</v>
      </c>
      <c r="K23871">
        <v>1551.45</v>
      </c>
      <c r="L23871">
        <v>201.38</v>
      </c>
      <c r="M23871">
        <v>17952</v>
      </c>
      <c r="N23871" t="s">
        <v>157</v>
      </c>
      <c r="O23871">
        <v>250812</v>
      </c>
      <c r="P23871">
        <v>789.74</v>
      </c>
    </row>
    <row r="23872" spans="1:16" x14ac:dyDescent="0.25">
      <c r="A23872" t="s">
        <v>3296</v>
      </c>
      <c r="B23872" t="s">
        <v>2931</v>
      </c>
      <c r="C23872">
        <v>10174</v>
      </c>
      <c r="D23872" t="str">
        <f>"55251388956 "</f>
        <v xml:space="preserve">55251388956 </v>
      </c>
      <c r="E23872" t="s">
        <v>1845</v>
      </c>
      <c r="F23872" t="s">
        <v>1846</v>
      </c>
      <c r="G23872">
        <v>2259.2800000000002</v>
      </c>
      <c r="H23872">
        <v>250730</v>
      </c>
      <c r="I23872">
        <v>4572</v>
      </c>
      <c r="J23872" t="s">
        <v>173</v>
      </c>
      <c r="K23872">
        <v>2262.02</v>
      </c>
      <c r="L23872">
        <v>459.06</v>
      </c>
      <c r="M23872">
        <v>17951</v>
      </c>
      <c r="N23872" t="s">
        <v>207</v>
      </c>
      <c r="O23872">
        <v>250812</v>
      </c>
      <c r="P23872">
        <v>1800.22</v>
      </c>
    </row>
    <row r="23873" spans="1:16" x14ac:dyDescent="0.25">
      <c r="A23873" t="s">
        <v>3296</v>
      </c>
      <c r="B23873" t="s">
        <v>2931</v>
      </c>
      <c r="C23873">
        <v>10185</v>
      </c>
      <c r="D23873" t="str">
        <f>"55251389347 "</f>
        <v xml:space="preserve">55251389347 </v>
      </c>
      <c r="E23873" t="s">
        <v>1845</v>
      </c>
      <c r="F23873" t="s">
        <v>1846</v>
      </c>
      <c r="G23873">
        <v>927.29</v>
      </c>
      <c r="H23873">
        <v>250731</v>
      </c>
      <c r="I23873">
        <v>4572</v>
      </c>
      <c r="J23873" t="s">
        <v>173</v>
      </c>
      <c r="K23873">
        <v>928.58</v>
      </c>
      <c r="L23873">
        <v>188.41</v>
      </c>
      <c r="M23873">
        <v>17956</v>
      </c>
      <c r="N23873" t="s">
        <v>170</v>
      </c>
      <c r="O23873">
        <v>250812</v>
      </c>
      <c r="P23873">
        <v>738.88</v>
      </c>
    </row>
    <row r="23874" spans="1:16" x14ac:dyDescent="0.25">
      <c r="A23874" t="s">
        <v>3296</v>
      </c>
      <c r="B23874" t="s">
        <v>2931</v>
      </c>
      <c r="C23874">
        <v>10186</v>
      </c>
      <c r="D23874" t="str">
        <f>"55251387679 "</f>
        <v xml:space="preserve">55251387679 </v>
      </c>
      <c r="E23874" t="s">
        <v>1845</v>
      </c>
      <c r="F23874" t="s">
        <v>1846</v>
      </c>
      <c r="G23874">
        <v>32.71</v>
      </c>
      <c r="H23874">
        <v>250731</v>
      </c>
      <c r="I23874">
        <v>4572</v>
      </c>
      <c r="J23874" t="s">
        <v>173</v>
      </c>
      <c r="K23874">
        <v>32.799999999999997</v>
      </c>
      <c r="L23874">
        <v>6.65</v>
      </c>
      <c r="M23874">
        <v>17956</v>
      </c>
      <c r="N23874" t="s">
        <v>170</v>
      </c>
      <c r="O23874">
        <v>250812</v>
      </c>
      <c r="P23874">
        <v>26.06</v>
      </c>
    </row>
    <row r="23875" spans="1:16" x14ac:dyDescent="0.25">
      <c r="A23875" t="s">
        <v>3296</v>
      </c>
      <c r="B23875" t="s">
        <v>2931</v>
      </c>
      <c r="C23875">
        <v>10242</v>
      </c>
      <c r="D23875" t="str">
        <f>"55251387097 "</f>
        <v xml:space="preserve">55251387097 </v>
      </c>
      <c r="E23875" t="s">
        <v>1845</v>
      </c>
      <c r="F23875" t="s">
        <v>1846</v>
      </c>
      <c r="G23875">
        <v>228.95</v>
      </c>
      <c r="H23875">
        <v>250731</v>
      </c>
      <c r="I23875">
        <v>4572</v>
      </c>
      <c r="J23875" t="s">
        <v>173</v>
      </c>
      <c r="K23875">
        <v>2081.37</v>
      </c>
      <c r="L23875">
        <v>46.52</v>
      </c>
      <c r="M23875">
        <v>13540</v>
      </c>
      <c r="N23875" t="s">
        <v>131</v>
      </c>
      <c r="O23875">
        <v>250813</v>
      </c>
      <c r="P23875">
        <v>182.43</v>
      </c>
    </row>
    <row r="23876" spans="1:16" x14ac:dyDescent="0.25">
      <c r="A23876" t="s">
        <v>3296</v>
      </c>
      <c r="B23876" t="s">
        <v>2931</v>
      </c>
      <c r="C23876">
        <v>10242</v>
      </c>
      <c r="D23876" t="str">
        <f>"55251387097 "</f>
        <v xml:space="preserve">55251387097 </v>
      </c>
      <c r="E23876" t="s">
        <v>1845</v>
      </c>
      <c r="F23876" t="s">
        <v>1846</v>
      </c>
      <c r="G23876">
        <v>1849.82</v>
      </c>
      <c r="H23876">
        <v>250731</v>
      </c>
      <c r="I23876">
        <v>4572</v>
      </c>
      <c r="J23876" t="s">
        <v>173</v>
      </c>
      <c r="K23876">
        <v>2081.37</v>
      </c>
      <c r="L23876">
        <v>375.86</v>
      </c>
      <c r="M23876">
        <v>17950</v>
      </c>
      <c r="N23876" t="s">
        <v>132</v>
      </c>
      <c r="O23876">
        <v>250813</v>
      </c>
      <c r="P23876">
        <v>1473.96</v>
      </c>
    </row>
    <row r="23877" spans="1:16" x14ac:dyDescent="0.25">
      <c r="A23877" t="s">
        <v>3296</v>
      </c>
      <c r="B23877" t="s">
        <v>2931</v>
      </c>
      <c r="C23877">
        <v>10284</v>
      </c>
      <c r="D23877" t="str">
        <f>"55251389724 "</f>
        <v xml:space="preserve">55251389724 </v>
      </c>
      <c r="E23877" t="s">
        <v>1845</v>
      </c>
      <c r="F23877" t="s">
        <v>1846</v>
      </c>
      <c r="G23877">
        <v>5.21</v>
      </c>
      <c r="H23877">
        <v>250731</v>
      </c>
      <c r="I23877">
        <v>4572</v>
      </c>
      <c r="J23877" t="s">
        <v>173</v>
      </c>
      <c r="K23877">
        <v>5.21</v>
      </c>
      <c r="L23877">
        <v>1.06</v>
      </c>
      <c r="M23877">
        <v>13841</v>
      </c>
      <c r="N23877" t="s">
        <v>178</v>
      </c>
      <c r="O23877">
        <v>250813</v>
      </c>
      <c r="P23877">
        <v>4.1500000000000004</v>
      </c>
    </row>
    <row r="23878" spans="1:16" x14ac:dyDescent="0.25">
      <c r="A23878" t="s">
        <v>3296</v>
      </c>
      <c r="B23878" t="s">
        <v>2931</v>
      </c>
      <c r="C23878">
        <v>10300</v>
      </c>
      <c r="D23878" t="str">
        <f>"55251387686 "</f>
        <v xml:space="preserve">55251387686 </v>
      </c>
      <c r="E23878" t="s">
        <v>1845</v>
      </c>
      <c r="F23878" t="s">
        <v>1846</v>
      </c>
      <c r="G23878">
        <v>23.09</v>
      </c>
      <c r="H23878">
        <v>250731</v>
      </c>
      <c r="I23878">
        <v>4572</v>
      </c>
      <c r="J23878" t="s">
        <v>173</v>
      </c>
      <c r="K23878">
        <v>23.09</v>
      </c>
      <c r="L23878">
        <v>0</v>
      </c>
      <c r="M23878">
        <v>11001</v>
      </c>
      <c r="N23878" t="s">
        <v>93</v>
      </c>
      <c r="O23878">
        <v>250814</v>
      </c>
      <c r="P23878">
        <v>23.09</v>
      </c>
    </row>
    <row r="23879" spans="1:16" x14ac:dyDescent="0.25">
      <c r="A23879" t="s">
        <v>3296</v>
      </c>
      <c r="B23879" t="s">
        <v>2931</v>
      </c>
      <c r="C23879">
        <v>10307</v>
      </c>
      <c r="D23879" t="str">
        <f>"55251389821 "</f>
        <v xml:space="preserve">55251389821 </v>
      </c>
      <c r="E23879" t="s">
        <v>1845</v>
      </c>
      <c r="F23879" t="s">
        <v>1846</v>
      </c>
      <c r="G23879">
        <v>116.16</v>
      </c>
      <c r="H23879">
        <v>250730</v>
      </c>
      <c r="I23879">
        <v>4572</v>
      </c>
      <c r="J23879" t="s">
        <v>173</v>
      </c>
      <c r="K23879">
        <v>116.16</v>
      </c>
      <c r="L23879">
        <v>23.6</v>
      </c>
      <c r="M23879">
        <v>13841</v>
      </c>
      <c r="N23879" t="s">
        <v>178</v>
      </c>
      <c r="O23879">
        <v>250814</v>
      </c>
      <c r="P23879">
        <v>92.56</v>
      </c>
    </row>
    <row r="23880" spans="1:16" x14ac:dyDescent="0.25">
      <c r="A23880" t="s">
        <v>3296</v>
      </c>
      <c r="B23880" t="s">
        <v>2931</v>
      </c>
      <c r="C23880">
        <v>10308</v>
      </c>
      <c r="D23880" t="str">
        <f>"55251388735 "</f>
        <v xml:space="preserve">55251388735 </v>
      </c>
      <c r="E23880" t="s">
        <v>1845</v>
      </c>
      <c r="F23880" t="s">
        <v>1846</v>
      </c>
      <c r="G23880">
        <v>13.69</v>
      </c>
      <c r="H23880">
        <v>250731</v>
      </c>
      <c r="I23880">
        <v>4572</v>
      </c>
      <c r="J23880" t="s">
        <v>173</v>
      </c>
      <c r="K23880">
        <v>13.69</v>
      </c>
      <c r="L23880">
        <v>2.78</v>
      </c>
      <c r="M23880">
        <v>13841</v>
      </c>
      <c r="N23880" t="s">
        <v>178</v>
      </c>
      <c r="O23880">
        <v>250814</v>
      </c>
      <c r="P23880">
        <v>10.91</v>
      </c>
    </row>
    <row r="23881" spans="1:16" x14ac:dyDescent="0.25">
      <c r="A23881" t="s">
        <v>3296</v>
      </c>
      <c r="B23881" t="s">
        <v>2931</v>
      </c>
      <c r="C23881">
        <v>10411</v>
      </c>
      <c r="D23881" t="str">
        <f>"55251389790 "</f>
        <v xml:space="preserve">55251389790 </v>
      </c>
      <c r="E23881" t="s">
        <v>1845</v>
      </c>
      <c r="F23881" t="s">
        <v>1846</v>
      </c>
      <c r="G23881">
        <v>5.74</v>
      </c>
      <c r="H23881">
        <v>250731</v>
      </c>
      <c r="I23881">
        <v>4572</v>
      </c>
      <c r="J23881" t="s">
        <v>173</v>
      </c>
      <c r="K23881">
        <v>5.74</v>
      </c>
      <c r="L23881">
        <v>1.17</v>
      </c>
      <c r="M23881">
        <v>56571</v>
      </c>
      <c r="N23881" t="s">
        <v>553</v>
      </c>
      <c r="O23881">
        <v>250819</v>
      </c>
      <c r="P23881">
        <v>4.57</v>
      </c>
    </row>
    <row r="23882" spans="1:16" x14ac:dyDescent="0.25">
      <c r="A23882" t="s">
        <v>3296</v>
      </c>
      <c r="B23882" t="s">
        <v>2931</v>
      </c>
      <c r="C23882">
        <v>10412</v>
      </c>
      <c r="D23882" t="str">
        <f>"55251389627 "</f>
        <v xml:space="preserve">55251389627 </v>
      </c>
      <c r="E23882" t="s">
        <v>1845</v>
      </c>
      <c r="F23882" t="s">
        <v>1846</v>
      </c>
      <c r="G23882">
        <v>5.36</v>
      </c>
      <c r="H23882">
        <v>250731</v>
      </c>
      <c r="I23882">
        <v>4572</v>
      </c>
      <c r="J23882" t="s">
        <v>173</v>
      </c>
      <c r="K23882">
        <v>5.36</v>
      </c>
      <c r="L23882">
        <v>1.0900000000000001</v>
      </c>
      <c r="M23882">
        <v>56571</v>
      </c>
      <c r="N23882" t="s">
        <v>553</v>
      </c>
      <c r="O23882">
        <v>250819</v>
      </c>
      <c r="P23882">
        <v>4.2699999999999996</v>
      </c>
    </row>
    <row r="23883" spans="1:16" x14ac:dyDescent="0.25">
      <c r="A23883" t="s">
        <v>3296</v>
      </c>
      <c r="B23883" t="s">
        <v>2931</v>
      </c>
      <c r="C23883">
        <v>11464</v>
      </c>
      <c r="D23883" t="str">
        <f>"55251490677 "</f>
        <v xml:space="preserve">55251490677 </v>
      </c>
      <c r="E23883" t="s">
        <v>1845</v>
      </c>
      <c r="F23883" t="s">
        <v>1846</v>
      </c>
      <c r="G23883">
        <v>55.19</v>
      </c>
      <c r="H23883">
        <v>250831</v>
      </c>
      <c r="I23883">
        <v>4572</v>
      </c>
      <c r="J23883" t="s">
        <v>173</v>
      </c>
      <c r="K23883">
        <v>1839.58</v>
      </c>
      <c r="L23883">
        <v>11.21</v>
      </c>
      <c r="M23883">
        <v>17739</v>
      </c>
      <c r="N23883" t="s">
        <v>928</v>
      </c>
      <c r="O23883">
        <v>250905</v>
      </c>
      <c r="P23883">
        <v>43.98</v>
      </c>
    </row>
    <row r="23884" spans="1:16" x14ac:dyDescent="0.25">
      <c r="A23884" t="s">
        <v>3296</v>
      </c>
      <c r="B23884" t="s">
        <v>2931</v>
      </c>
      <c r="C23884">
        <v>11464</v>
      </c>
      <c r="D23884" t="str">
        <f>"55251490677 "</f>
        <v xml:space="preserve">55251490677 </v>
      </c>
      <c r="E23884" t="s">
        <v>1845</v>
      </c>
      <c r="F23884" t="s">
        <v>1846</v>
      </c>
      <c r="G23884">
        <v>607.05999999999995</v>
      </c>
      <c r="H23884">
        <v>250831</v>
      </c>
      <c r="I23884">
        <v>4572</v>
      </c>
      <c r="J23884" t="s">
        <v>173</v>
      </c>
      <c r="K23884">
        <v>1839.58</v>
      </c>
      <c r="L23884">
        <v>123.35</v>
      </c>
      <c r="M23884">
        <v>17912</v>
      </c>
      <c r="N23884" t="s">
        <v>505</v>
      </c>
      <c r="O23884">
        <v>250905</v>
      </c>
      <c r="P23884">
        <v>483.71</v>
      </c>
    </row>
    <row r="23885" spans="1:16" x14ac:dyDescent="0.25">
      <c r="A23885" t="s">
        <v>3296</v>
      </c>
      <c r="B23885" t="s">
        <v>2931</v>
      </c>
      <c r="C23885">
        <v>11464</v>
      </c>
      <c r="D23885" t="str">
        <f>"55251490677 "</f>
        <v xml:space="preserve">55251490677 </v>
      </c>
      <c r="E23885" t="s">
        <v>1845</v>
      </c>
      <c r="F23885" t="s">
        <v>1846</v>
      </c>
      <c r="G23885">
        <v>1177.33</v>
      </c>
      <c r="H23885">
        <v>250831</v>
      </c>
      <c r="I23885">
        <v>4572</v>
      </c>
      <c r="J23885" t="s">
        <v>173</v>
      </c>
      <c r="K23885">
        <v>1839.58</v>
      </c>
      <c r="L23885">
        <v>239.22</v>
      </c>
      <c r="M23885">
        <v>17952</v>
      </c>
      <c r="N23885" t="s">
        <v>157</v>
      </c>
      <c r="O23885">
        <v>250905</v>
      </c>
      <c r="P23885">
        <v>938.11</v>
      </c>
    </row>
    <row r="23886" spans="1:16" x14ac:dyDescent="0.25">
      <c r="A23886" t="s">
        <v>3296</v>
      </c>
      <c r="B23886" t="s">
        <v>2931</v>
      </c>
      <c r="C23886">
        <v>11465</v>
      </c>
      <c r="D23886" t="str">
        <f>"55251490658 "</f>
        <v xml:space="preserve">55251490658 </v>
      </c>
      <c r="E23886" t="s">
        <v>1845</v>
      </c>
      <c r="F23886" t="s">
        <v>1846</v>
      </c>
      <c r="G23886">
        <v>1417.17</v>
      </c>
      <c r="H23886">
        <v>250831</v>
      </c>
      <c r="I23886">
        <v>4572</v>
      </c>
      <c r="J23886" t="s">
        <v>173</v>
      </c>
      <c r="K23886">
        <v>4972.54</v>
      </c>
      <c r="L23886">
        <v>287.95</v>
      </c>
      <c r="M23886">
        <v>69111</v>
      </c>
      <c r="N23886" t="s">
        <v>657</v>
      </c>
      <c r="O23886">
        <v>250905</v>
      </c>
      <c r="P23886">
        <v>1129.22</v>
      </c>
    </row>
    <row r="23887" spans="1:16" x14ac:dyDescent="0.25">
      <c r="A23887" t="s">
        <v>3296</v>
      </c>
      <c r="B23887" t="s">
        <v>2931</v>
      </c>
      <c r="C23887">
        <v>11465</v>
      </c>
      <c r="D23887" t="str">
        <f>"55251490658 "</f>
        <v xml:space="preserve">55251490658 </v>
      </c>
      <c r="E23887" t="s">
        <v>1845</v>
      </c>
      <c r="F23887" t="s">
        <v>1846</v>
      </c>
      <c r="G23887">
        <v>3480.78</v>
      </c>
      <c r="H23887">
        <v>250831</v>
      </c>
      <c r="I23887">
        <v>4572</v>
      </c>
      <c r="J23887" t="s">
        <v>173</v>
      </c>
      <c r="K23887">
        <v>4972.54</v>
      </c>
      <c r="L23887">
        <v>707.25</v>
      </c>
      <c r="M23887">
        <v>69501</v>
      </c>
      <c r="N23887" t="s">
        <v>123</v>
      </c>
      <c r="O23887">
        <v>250905</v>
      </c>
      <c r="P23887">
        <v>2773.53</v>
      </c>
    </row>
    <row r="23888" spans="1:16" x14ac:dyDescent="0.25">
      <c r="A23888" t="s">
        <v>3296</v>
      </c>
      <c r="B23888" t="s">
        <v>2931</v>
      </c>
      <c r="C23888">
        <v>11465</v>
      </c>
      <c r="D23888" t="str">
        <f>"55251490658 "</f>
        <v xml:space="preserve">55251490658 </v>
      </c>
      <c r="E23888" t="s">
        <v>1845</v>
      </c>
      <c r="F23888" t="s">
        <v>1846</v>
      </c>
      <c r="G23888">
        <v>37.299999999999997</v>
      </c>
      <c r="H23888">
        <v>250831</v>
      </c>
      <c r="I23888">
        <v>4572</v>
      </c>
      <c r="J23888" t="s">
        <v>173</v>
      </c>
      <c r="K23888">
        <v>4972.54</v>
      </c>
      <c r="L23888">
        <v>7.58</v>
      </c>
      <c r="M23888">
        <v>69801</v>
      </c>
      <c r="N23888" t="s">
        <v>1077</v>
      </c>
      <c r="O23888">
        <v>250905</v>
      </c>
      <c r="P23888">
        <v>29.72</v>
      </c>
    </row>
    <row r="23889" spans="1:16" x14ac:dyDescent="0.25">
      <c r="A23889" t="s">
        <v>3296</v>
      </c>
      <c r="B23889" t="s">
        <v>2931</v>
      </c>
      <c r="C23889">
        <v>11465</v>
      </c>
      <c r="D23889" t="str">
        <f>"55251490658 "</f>
        <v xml:space="preserve">55251490658 </v>
      </c>
      <c r="E23889" t="s">
        <v>1845</v>
      </c>
      <c r="F23889" t="s">
        <v>1846</v>
      </c>
      <c r="G23889">
        <v>37.29</v>
      </c>
      <c r="H23889">
        <v>250831</v>
      </c>
      <c r="I23889">
        <v>4572</v>
      </c>
      <c r="J23889" t="s">
        <v>173</v>
      </c>
      <c r="K23889">
        <v>4972.54</v>
      </c>
      <c r="L23889">
        <v>0</v>
      </c>
      <c r="M23889">
        <v>69803</v>
      </c>
      <c r="N23889" t="s">
        <v>391</v>
      </c>
      <c r="O23889">
        <v>250905</v>
      </c>
      <c r="P23889">
        <v>37.29</v>
      </c>
    </row>
    <row r="23890" spans="1:16" x14ac:dyDescent="0.25">
      <c r="A23890" t="s">
        <v>3296</v>
      </c>
      <c r="B23890" t="s">
        <v>2931</v>
      </c>
      <c r="C23890">
        <v>11469</v>
      </c>
      <c r="D23890" t="str">
        <f>"55251490686 "</f>
        <v xml:space="preserve">55251490686 </v>
      </c>
      <c r="E23890" t="s">
        <v>1845</v>
      </c>
      <c r="F23890" t="s">
        <v>1846</v>
      </c>
      <c r="G23890">
        <v>10.29</v>
      </c>
      <c r="H23890">
        <v>250831</v>
      </c>
      <c r="I23890">
        <v>4572</v>
      </c>
      <c r="J23890" t="s">
        <v>173</v>
      </c>
      <c r="K23890">
        <v>205.79</v>
      </c>
      <c r="L23890">
        <v>2.09</v>
      </c>
      <c r="M23890">
        <v>17737</v>
      </c>
      <c r="N23890" t="s">
        <v>156</v>
      </c>
      <c r="O23890">
        <v>250905</v>
      </c>
      <c r="P23890">
        <v>8.1999999999999993</v>
      </c>
    </row>
    <row r="23891" spans="1:16" x14ac:dyDescent="0.25">
      <c r="A23891" t="s">
        <v>3296</v>
      </c>
      <c r="B23891" t="s">
        <v>2931</v>
      </c>
      <c r="C23891">
        <v>11469</v>
      </c>
      <c r="D23891" t="str">
        <f>"55251490686 "</f>
        <v xml:space="preserve">55251490686 </v>
      </c>
      <c r="E23891" t="s">
        <v>1845</v>
      </c>
      <c r="F23891" t="s">
        <v>1846</v>
      </c>
      <c r="G23891">
        <v>136.85</v>
      </c>
      <c r="H23891">
        <v>250831</v>
      </c>
      <c r="I23891">
        <v>4572</v>
      </c>
      <c r="J23891" t="s">
        <v>173</v>
      </c>
      <c r="K23891">
        <v>205.79</v>
      </c>
      <c r="L23891">
        <v>27.81</v>
      </c>
      <c r="M23891">
        <v>17737</v>
      </c>
      <c r="N23891" t="s">
        <v>156</v>
      </c>
      <c r="O23891">
        <v>250905</v>
      </c>
      <c r="P23891">
        <v>109.04</v>
      </c>
    </row>
    <row r="23892" spans="1:16" x14ac:dyDescent="0.25">
      <c r="A23892" t="s">
        <v>3296</v>
      </c>
      <c r="B23892" t="s">
        <v>2931</v>
      </c>
      <c r="C23892">
        <v>11469</v>
      </c>
      <c r="D23892" t="str">
        <f>"55251490686 "</f>
        <v xml:space="preserve">55251490686 </v>
      </c>
      <c r="E23892" t="s">
        <v>1845</v>
      </c>
      <c r="F23892" t="s">
        <v>1846</v>
      </c>
      <c r="G23892">
        <v>58.65</v>
      </c>
      <c r="H23892">
        <v>250831</v>
      </c>
      <c r="I23892">
        <v>4572</v>
      </c>
      <c r="J23892" t="s">
        <v>173</v>
      </c>
      <c r="K23892">
        <v>205.79</v>
      </c>
      <c r="L23892">
        <v>11.92</v>
      </c>
      <c r="M23892">
        <v>17739</v>
      </c>
      <c r="N23892" t="s">
        <v>928</v>
      </c>
      <c r="O23892">
        <v>250905</v>
      </c>
      <c r="P23892">
        <v>46.73</v>
      </c>
    </row>
    <row r="23893" spans="1:16" x14ac:dyDescent="0.25">
      <c r="A23893" t="s">
        <v>3296</v>
      </c>
      <c r="B23893" t="s">
        <v>2931</v>
      </c>
      <c r="C23893">
        <v>11566</v>
      </c>
      <c r="D23893" t="str">
        <f>"55251490800 "</f>
        <v xml:space="preserve">55251490800 </v>
      </c>
      <c r="E23893" t="s">
        <v>1845</v>
      </c>
      <c r="F23893" t="s">
        <v>1846</v>
      </c>
      <c r="G23893">
        <v>141.22999999999999</v>
      </c>
      <c r="H23893">
        <v>250831</v>
      </c>
      <c r="I23893">
        <v>4572</v>
      </c>
      <c r="J23893" t="s">
        <v>173</v>
      </c>
      <c r="K23893">
        <v>141.22999999999999</v>
      </c>
      <c r="L23893">
        <v>28.7</v>
      </c>
      <c r="M23893">
        <v>13841</v>
      </c>
      <c r="N23893" t="s">
        <v>178</v>
      </c>
      <c r="O23893">
        <v>250908</v>
      </c>
      <c r="P23893">
        <v>112.53</v>
      </c>
    </row>
    <row r="23894" spans="1:16" x14ac:dyDescent="0.25">
      <c r="A23894" t="s">
        <v>3296</v>
      </c>
      <c r="B23894" t="s">
        <v>2931</v>
      </c>
      <c r="C23894">
        <v>11567</v>
      </c>
      <c r="D23894" t="str">
        <f>"55251490613 "</f>
        <v xml:space="preserve">55251490613 </v>
      </c>
      <c r="E23894" t="s">
        <v>1845</v>
      </c>
      <c r="F23894" t="s">
        <v>1846</v>
      </c>
      <c r="G23894">
        <v>0.22</v>
      </c>
      <c r="H23894">
        <v>250831</v>
      </c>
      <c r="I23894">
        <v>4572</v>
      </c>
      <c r="J23894" t="s">
        <v>173</v>
      </c>
      <c r="K23894">
        <v>0.82</v>
      </c>
      <c r="L23894">
        <v>0.04</v>
      </c>
      <c r="M23894">
        <v>59112</v>
      </c>
      <c r="N23894" t="s">
        <v>44</v>
      </c>
      <c r="O23894">
        <v>250908</v>
      </c>
      <c r="P23894">
        <v>0.18</v>
      </c>
    </row>
    <row r="23895" spans="1:16" x14ac:dyDescent="0.25">
      <c r="A23895" t="s">
        <v>3296</v>
      </c>
      <c r="B23895" t="s">
        <v>2931</v>
      </c>
      <c r="C23895">
        <v>11567</v>
      </c>
      <c r="D23895" t="str">
        <f>"55251490613 "</f>
        <v xml:space="preserve">55251490613 </v>
      </c>
      <c r="E23895" t="s">
        <v>1845</v>
      </c>
      <c r="F23895" t="s">
        <v>1846</v>
      </c>
      <c r="G23895">
        <v>0.6</v>
      </c>
      <c r="H23895">
        <v>250831</v>
      </c>
      <c r="I23895">
        <v>4572</v>
      </c>
      <c r="J23895" t="s">
        <v>173</v>
      </c>
      <c r="K23895">
        <v>0.82</v>
      </c>
      <c r="L23895">
        <v>0.12</v>
      </c>
      <c r="M23895">
        <v>59504</v>
      </c>
      <c r="N23895" t="s">
        <v>193</v>
      </c>
      <c r="O23895">
        <v>250908</v>
      </c>
      <c r="P23895">
        <v>0.48</v>
      </c>
    </row>
    <row r="23896" spans="1:16" x14ac:dyDescent="0.25">
      <c r="A23896" t="s">
        <v>3296</v>
      </c>
      <c r="B23896" t="s">
        <v>2931</v>
      </c>
      <c r="C23896">
        <v>11568</v>
      </c>
      <c r="D23896" t="str">
        <f>"55251490733 "</f>
        <v xml:space="preserve">55251490733 </v>
      </c>
      <c r="E23896" t="s">
        <v>1845</v>
      </c>
      <c r="F23896" t="s">
        <v>1846</v>
      </c>
      <c r="G23896">
        <v>5.6</v>
      </c>
      <c r="H23896">
        <v>250831</v>
      </c>
      <c r="I23896">
        <v>4572</v>
      </c>
      <c r="J23896" t="s">
        <v>173</v>
      </c>
      <c r="K23896">
        <v>5.6</v>
      </c>
      <c r="L23896">
        <v>1.1399999999999999</v>
      </c>
      <c r="M23896">
        <v>13841</v>
      </c>
      <c r="N23896" t="s">
        <v>178</v>
      </c>
      <c r="O23896">
        <v>250908</v>
      </c>
      <c r="P23896">
        <v>4.46</v>
      </c>
    </row>
    <row r="23897" spans="1:16" x14ac:dyDescent="0.25">
      <c r="A23897" t="s">
        <v>3296</v>
      </c>
      <c r="B23897" t="s">
        <v>2931</v>
      </c>
      <c r="C23897">
        <v>11582</v>
      </c>
      <c r="D23897" t="str">
        <f>"55251490560 "</f>
        <v xml:space="preserve">55251490560 </v>
      </c>
      <c r="E23897" t="s">
        <v>1845</v>
      </c>
      <c r="F23897" t="s">
        <v>1846</v>
      </c>
      <c r="G23897">
        <v>361.48</v>
      </c>
      <c r="H23897">
        <v>250831</v>
      </c>
      <c r="I23897">
        <v>4572</v>
      </c>
      <c r="J23897" t="s">
        <v>173</v>
      </c>
      <c r="K23897">
        <v>1338.83</v>
      </c>
      <c r="L23897">
        <v>73.45</v>
      </c>
      <c r="M23897">
        <v>59112</v>
      </c>
      <c r="N23897" t="s">
        <v>44</v>
      </c>
      <c r="O23897">
        <v>250909</v>
      </c>
      <c r="P23897">
        <v>288.02999999999997</v>
      </c>
    </row>
    <row r="23898" spans="1:16" x14ac:dyDescent="0.25">
      <c r="A23898" t="s">
        <v>3296</v>
      </c>
      <c r="B23898" t="s">
        <v>2931</v>
      </c>
      <c r="C23898">
        <v>11582</v>
      </c>
      <c r="D23898" t="str">
        <f>"55251490560 "</f>
        <v xml:space="preserve">55251490560 </v>
      </c>
      <c r="E23898" t="s">
        <v>1845</v>
      </c>
      <c r="F23898" t="s">
        <v>1846</v>
      </c>
      <c r="G23898">
        <v>977.35</v>
      </c>
      <c r="H23898">
        <v>250831</v>
      </c>
      <c r="I23898">
        <v>4572</v>
      </c>
      <c r="J23898" t="s">
        <v>173</v>
      </c>
      <c r="K23898">
        <v>1338.83</v>
      </c>
      <c r="L23898">
        <v>198.59</v>
      </c>
      <c r="M23898">
        <v>59504</v>
      </c>
      <c r="N23898" t="s">
        <v>193</v>
      </c>
      <c r="O23898">
        <v>250909</v>
      </c>
      <c r="P23898">
        <v>778.76</v>
      </c>
    </row>
    <row r="23899" spans="1:16" x14ac:dyDescent="0.25">
      <c r="A23899" t="s">
        <v>3296</v>
      </c>
      <c r="B23899" t="s">
        <v>2931</v>
      </c>
      <c r="C23899">
        <v>11584</v>
      </c>
      <c r="D23899" t="str">
        <f>"55251490489 "</f>
        <v xml:space="preserve">55251490489 </v>
      </c>
      <c r="E23899" t="s">
        <v>1845</v>
      </c>
      <c r="F23899" t="s">
        <v>1846</v>
      </c>
      <c r="G23899">
        <v>24.66</v>
      </c>
      <c r="H23899">
        <v>250831</v>
      </c>
      <c r="I23899">
        <v>4572</v>
      </c>
      <c r="J23899" t="s">
        <v>173</v>
      </c>
      <c r="K23899">
        <v>24.66</v>
      </c>
      <c r="L23899">
        <v>5.01</v>
      </c>
      <c r="M23899">
        <v>13841</v>
      </c>
      <c r="N23899" t="s">
        <v>178</v>
      </c>
      <c r="O23899">
        <v>250909</v>
      </c>
      <c r="P23899">
        <v>19.649999999999999</v>
      </c>
    </row>
    <row r="23900" spans="1:16" x14ac:dyDescent="0.25">
      <c r="A23900" t="s">
        <v>3296</v>
      </c>
      <c r="B23900" t="s">
        <v>2931</v>
      </c>
      <c r="C23900">
        <v>11585</v>
      </c>
      <c r="D23900" t="str">
        <f>"55251490642 "</f>
        <v xml:space="preserve">55251490642 </v>
      </c>
      <c r="E23900" t="s">
        <v>1845</v>
      </c>
      <c r="F23900" t="s">
        <v>1846</v>
      </c>
      <c r="G23900">
        <v>3.15</v>
      </c>
      <c r="H23900">
        <v>250831</v>
      </c>
      <c r="I23900">
        <v>4572</v>
      </c>
      <c r="J23900" t="s">
        <v>173</v>
      </c>
      <c r="K23900">
        <v>11.65</v>
      </c>
      <c r="L23900">
        <v>0.64</v>
      </c>
      <c r="M23900">
        <v>59112</v>
      </c>
      <c r="N23900" t="s">
        <v>44</v>
      </c>
      <c r="O23900">
        <v>250909</v>
      </c>
      <c r="P23900">
        <v>2.5099999999999998</v>
      </c>
    </row>
    <row r="23901" spans="1:16" x14ac:dyDescent="0.25">
      <c r="A23901" t="s">
        <v>3296</v>
      </c>
      <c r="B23901" t="s">
        <v>2931</v>
      </c>
      <c r="C23901">
        <v>11585</v>
      </c>
      <c r="D23901" t="str">
        <f>"55251490642 "</f>
        <v xml:space="preserve">55251490642 </v>
      </c>
      <c r="E23901" t="s">
        <v>1845</v>
      </c>
      <c r="F23901" t="s">
        <v>1846</v>
      </c>
      <c r="G23901">
        <v>8.5</v>
      </c>
      <c r="H23901">
        <v>250831</v>
      </c>
      <c r="I23901">
        <v>4572</v>
      </c>
      <c r="J23901" t="s">
        <v>173</v>
      </c>
      <c r="K23901">
        <v>11.65</v>
      </c>
      <c r="L23901">
        <v>1.73</v>
      </c>
      <c r="M23901">
        <v>59504</v>
      </c>
      <c r="N23901" t="s">
        <v>193</v>
      </c>
      <c r="O23901">
        <v>250909</v>
      </c>
      <c r="P23901">
        <v>6.77</v>
      </c>
    </row>
    <row r="23902" spans="1:16" x14ac:dyDescent="0.25">
      <c r="A23902" t="s">
        <v>3296</v>
      </c>
      <c r="B23902" t="s">
        <v>2931</v>
      </c>
      <c r="C23902">
        <v>11587</v>
      </c>
      <c r="D23902" t="str">
        <f>"55251490651 "</f>
        <v xml:space="preserve">55251490651 </v>
      </c>
      <c r="E23902" t="s">
        <v>1845</v>
      </c>
      <c r="F23902" t="s">
        <v>1846</v>
      </c>
      <c r="G23902">
        <v>1326.21</v>
      </c>
      <c r="H23902">
        <v>250831</v>
      </c>
      <c r="I23902">
        <v>4572</v>
      </c>
      <c r="J23902" t="s">
        <v>173</v>
      </c>
      <c r="K23902">
        <v>1396.01</v>
      </c>
      <c r="L23902">
        <v>269.47000000000003</v>
      </c>
      <c r="M23902">
        <v>49501</v>
      </c>
      <c r="N23902" t="s">
        <v>110</v>
      </c>
      <c r="O23902">
        <v>250909</v>
      </c>
      <c r="P23902">
        <v>1056.74</v>
      </c>
    </row>
    <row r="23903" spans="1:16" x14ac:dyDescent="0.25">
      <c r="A23903" t="s">
        <v>3296</v>
      </c>
      <c r="B23903" t="s">
        <v>2931</v>
      </c>
      <c r="C23903">
        <v>11587</v>
      </c>
      <c r="D23903" t="str">
        <f>"55251490651 "</f>
        <v xml:space="preserve">55251490651 </v>
      </c>
      <c r="E23903" t="s">
        <v>1845</v>
      </c>
      <c r="F23903" t="s">
        <v>1846</v>
      </c>
      <c r="G23903">
        <v>69.8</v>
      </c>
      <c r="H23903">
        <v>250831</v>
      </c>
      <c r="I23903">
        <v>4572</v>
      </c>
      <c r="J23903" t="s">
        <v>173</v>
      </c>
      <c r="K23903">
        <v>1396.01</v>
      </c>
      <c r="L23903">
        <v>14.18</v>
      </c>
      <c r="M23903">
        <v>49801</v>
      </c>
      <c r="N23903" t="s">
        <v>953</v>
      </c>
      <c r="O23903">
        <v>250909</v>
      </c>
      <c r="P23903">
        <v>55.62</v>
      </c>
    </row>
    <row r="23904" spans="1:16" x14ac:dyDescent="0.25">
      <c r="A23904" t="s">
        <v>3296</v>
      </c>
      <c r="B23904" t="s">
        <v>2931</v>
      </c>
      <c r="C23904">
        <v>11589</v>
      </c>
      <c r="D23904" t="str">
        <f>"55251490500 "</f>
        <v xml:space="preserve">55251490500 </v>
      </c>
      <c r="E23904" t="s">
        <v>1845</v>
      </c>
      <c r="F23904" t="s">
        <v>1846</v>
      </c>
      <c r="G23904">
        <v>0.42</v>
      </c>
      <c r="H23904">
        <v>250831</v>
      </c>
      <c r="I23904">
        <v>4572</v>
      </c>
      <c r="J23904" t="s">
        <v>173</v>
      </c>
      <c r="K23904">
        <v>1.56</v>
      </c>
      <c r="L23904">
        <v>0.09</v>
      </c>
      <c r="M23904">
        <v>59112</v>
      </c>
      <c r="N23904" t="s">
        <v>44</v>
      </c>
      <c r="O23904">
        <v>250909</v>
      </c>
      <c r="P23904">
        <v>0.33</v>
      </c>
    </row>
    <row r="23905" spans="1:16" x14ac:dyDescent="0.25">
      <c r="A23905" t="s">
        <v>3296</v>
      </c>
      <c r="B23905" t="s">
        <v>2931</v>
      </c>
      <c r="C23905">
        <v>11589</v>
      </c>
      <c r="D23905" t="str">
        <f>"55251490500 "</f>
        <v xml:space="preserve">55251490500 </v>
      </c>
      <c r="E23905" t="s">
        <v>1845</v>
      </c>
      <c r="F23905" t="s">
        <v>1846</v>
      </c>
      <c r="G23905">
        <v>1.1399999999999999</v>
      </c>
      <c r="H23905">
        <v>250831</v>
      </c>
      <c r="I23905">
        <v>4572</v>
      </c>
      <c r="J23905" t="s">
        <v>173</v>
      </c>
      <c r="K23905">
        <v>1.56</v>
      </c>
      <c r="L23905">
        <v>0.23</v>
      </c>
      <c r="M23905">
        <v>59504</v>
      </c>
      <c r="N23905" t="s">
        <v>193</v>
      </c>
      <c r="O23905">
        <v>250909</v>
      </c>
      <c r="P23905">
        <v>0.91</v>
      </c>
    </row>
    <row r="23906" spans="1:16" x14ac:dyDescent="0.25">
      <c r="A23906" t="s">
        <v>3296</v>
      </c>
      <c r="B23906" t="s">
        <v>2931</v>
      </c>
      <c r="C23906">
        <v>11590</v>
      </c>
      <c r="D23906" t="str">
        <f>"55251490445 "</f>
        <v xml:space="preserve">55251490445 </v>
      </c>
      <c r="E23906" t="s">
        <v>1845</v>
      </c>
      <c r="F23906" t="s">
        <v>1846</v>
      </c>
      <c r="G23906">
        <v>541.16999999999996</v>
      </c>
      <c r="H23906">
        <v>250831</v>
      </c>
      <c r="I23906">
        <v>4572</v>
      </c>
      <c r="J23906" t="s">
        <v>173</v>
      </c>
      <c r="K23906">
        <v>541.16999999999996</v>
      </c>
      <c r="L23906">
        <v>109.96</v>
      </c>
      <c r="M23906">
        <v>49503</v>
      </c>
      <c r="N23906" t="s">
        <v>267</v>
      </c>
      <c r="O23906">
        <v>250909</v>
      </c>
      <c r="P23906">
        <v>431.21</v>
      </c>
    </row>
    <row r="23907" spans="1:16" x14ac:dyDescent="0.25">
      <c r="A23907" t="s">
        <v>3296</v>
      </c>
      <c r="B23907" t="s">
        <v>2931</v>
      </c>
      <c r="C23907">
        <v>11591</v>
      </c>
      <c r="D23907" t="str">
        <f>"55251490766 "</f>
        <v xml:space="preserve">55251490766 </v>
      </c>
      <c r="E23907" t="s">
        <v>1845</v>
      </c>
      <c r="F23907" t="s">
        <v>1846</v>
      </c>
      <c r="G23907">
        <v>124.78</v>
      </c>
      <c r="H23907">
        <v>250831</v>
      </c>
      <c r="I23907">
        <v>4572</v>
      </c>
      <c r="J23907" t="s">
        <v>173</v>
      </c>
      <c r="K23907">
        <v>4159.47</v>
      </c>
      <c r="L23907">
        <v>25.35</v>
      </c>
      <c r="M23907">
        <v>49111</v>
      </c>
      <c r="N23907" t="s">
        <v>108</v>
      </c>
      <c r="O23907">
        <v>250909</v>
      </c>
      <c r="P23907">
        <v>99.43</v>
      </c>
    </row>
    <row r="23908" spans="1:16" x14ac:dyDescent="0.25">
      <c r="A23908" t="s">
        <v>3296</v>
      </c>
      <c r="B23908" t="s">
        <v>2931</v>
      </c>
      <c r="C23908">
        <v>11591</v>
      </c>
      <c r="D23908" t="str">
        <f>"55251490766 "</f>
        <v xml:space="preserve">55251490766 </v>
      </c>
      <c r="E23908" t="s">
        <v>1845</v>
      </c>
      <c r="F23908" t="s">
        <v>1846</v>
      </c>
      <c r="G23908">
        <v>3847.51</v>
      </c>
      <c r="H23908">
        <v>250831</v>
      </c>
      <c r="I23908">
        <v>4572</v>
      </c>
      <c r="J23908" t="s">
        <v>173</v>
      </c>
      <c r="K23908">
        <v>4159.47</v>
      </c>
      <c r="L23908">
        <v>781.76</v>
      </c>
      <c r="M23908">
        <v>49501</v>
      </c>
      <c r="N23908" t="s">
        <v>110</v>
      </c>
      <c r="O23908">
        <v>250909</v>
      </c>
      <c r="P23908">
        <v>3065.75</v>
      </c>
    </row>
    <row r="23909" spans="1:16" x14ac:dyDescent="0.25">
      <c r="A23909" t="s">
        <v>3296</v>
      </c>
      <c r="B23909" t="s">
        <v>2931</v>
      </c>
      <c r="C23909">
        <v>11591</v>
      </c>
      <c r="D23909" t="str">
        <f>"55251490766 "</f>
        <v xml:space="preserve">55251490766 </v>
      </c>
      <c r="E23909" t="s">
        <v>1845</v>
      </c>
      <c r="F23909" t="s">
        <v>1846</v>
      </c>
      <c r="G23909">
        <v>83.19</v>
      </c>
      <c r="H23909">
        <v>250831</v>
      </c>
      <c r="I23909">
        <v>4572</v>
      </c>
      <c r="J23909" t="s">
        <v>173</v>
      </c>
      <c r="K23909">
        <v>4159.47</v>
      </c>
      <c r="L23909">
        <v>16.899999999999999</v>
      </c>
      <c r="M23909">
        <v>49801</v>
      </c>
      <c r="N23909" t="s">
        <v>953</v>
      </c>
      <c r="O23909">
        <v>250909</v>
      </c>
      <c r="P23909">
        <v>66.290000000000006</v>
      </c>
    </row>
    <row r="23910" spans="1:16" x14ac:dyDescent="0.25">
      <c r="A23910" t="s">
        <v>3296</v>
      </c>
      <c r="B23910" t="s">
        <v>2931</v>
      </c>
      <c r="C23910">
        <v>11591</v>
      </c>
      <c r="D23910" t="str">
        <f>"55251490766 "</f>
        <v xml:space="preserve">55251490766 </v>
      </c>
      <c r="E23910" t="s">
        <v>1845</v>
      </c>
      <c r="F23910" t="s">
        <v>1846</v>
      </c>
      <c r="G23910">
        <v>103.99</v>
      </c>
      <c r="H23910">
        <v>250831</v>
      </c>
      <c r="I23910">
        <v>4572</v>
      </c>
      <c r="J23910" t="s">
        <v>173</v>
      </c>
      <c r="K23910">
        <v>4159.47</v>
      </c>
      <c r="L23910">
        <v>0</v>
      </c>
      <c r="M23910">
        <v>49803</v>
      </c>
      <c r="N23910" t="s">
        <v>956</v>
      </c>
      <c r="O23910">
        <v>250909</v>
      </c>
      <c r="P23910">
        <v>103.99</v>
      </c>
    </row>
    <row r="23911" spans="1:16" x14ac:dyDescent="0.25">
      <c r="A23911" t="s">
        <v>3296</v>
      </c>
      <c r="B23911" t="s">
        <v>2931</v>
      </c>
      <c r="C23911">
        <v>11604</v>
      </c>
      <c r="D23911" t="str">
        <f>"55251490511 "</f>
        <v xml:space="preserve">55251490511 </v>
      </c>
      <c r="E23911" t="s">
        <v>1845</v>
      </c>
      <c r="F23911" t="s">
        <v>1846</v>
      </c>
      <c r="G23911">
        <v>4017.36</v>
      </c>
      <c r="H23911">
        <v>250831</v>
      </c>
      <c r="I23911">
        <v>4572</v>
      </c>
      <c r="J23911" t="s">
        <v>173</v>
      </c>
      <c r="K23911">
        <v>4017.36</v>
      </c>
      <c r="L23911">
        <v>816.28</v>
      </c>
      <c r="M23911">
        <v>17951</v>
      </c>
      <c r="N23911" t="s">
        <v>207</v>
      </c>
      <c r="O23911">
        <v>250909</v>
      </c>
      <c r="P23911">
        <v>3201.08</v>
      </c>
    </row>
    <row r="23912" spans="1:16" x14ac:dyDescent="0.25">
      <c r="A23912" t="s">
        <v>3296</v>
      </c>
      <c r="B23912" t="s">
        <v>2931</v>
      </c>
      <c r="C23912">
        <v>11695</v>
      </c>
      <c r="D23912" t="str">
        <f>"55251490845 "</f>
        <v xml:space="preserve">55251490845 </v>
      </c>
      <c r="E23912" t="s">
        <v>1845</v>
      </c>
      <c r="F23912" t="s">
        <v>1846</v>
      </c>
      <c r="G23912">
        <v>488.47</v>
      </c>
      <c r="H23912">
        <v>250831</v>
      </c>
      <c r="I23912">
        <v>4572</v>
      </c>
      <c r="J23912" t="s">
        <v>173</v>
      </c>
      <c r="K23912">
        <v>4440.6400000000003</v>
      </c>
      <c r="L23912">
        <v>99.25</v>
      </c>
      <c r="M23912">
        <v>13540</v>
      </c>
      <c r="N23912" t="s">
        <v>131</v>
      </c>
      <c r="O23912">
        <v>250910</v>
      </c>
      <c r="P23912">
        <v>389.22</v>
      </c>
    </row>
    <row r="23913" spans="1:16" x14ac:dyDescent="0.25">
      <c r="A23913" t="s">
        <v>3296</v>
      </c>
      <c r="B23913" t="s">
        <v>2931</v>
      </c>
      <c r="C23913">
        <v>11695</v>
      </c>
      <c r="D23913" t="str">
        <f>"55251490845 "</f>
        <v xml:space="preserve">55251490845 </v>
      </c>
      <c r="E23913" t="s">
        <v>1845</v>
      </c>
      <c r="F23913" t="s">
        <v>1846</v>
      </c>
      <c r="G23913">
        <v>3952.17</v>
      </c>
      <c r="H23913">
        <v>250831</v>
      </c>
      <c r="I23913">
        <v>4572</v>
      </c>
      <c r="J23913" t="s">
        <v>173</v>
      </c>
      <c r="K23913">
        <v>4440.6400000000003</v>
      </c>
      <c r="L23913">
        <v>803.03</v>
      </c>
      <c r="M23913">
        <v>17950</v>
      </c>
      <c r="N23913" t="s">
        <v>132</v>
      </c>
      <c r="O23913">
        <v>250910</v>
      </c>
      <c r="P23913">
        <v>3149.14</v>
      </c>
    </row>
    <row r="23914" spans="1:16" x14ac:dyDescent="0.25">
      <c r="A23914" t="s">
        <v>3296</v>
      </c>
      <c r="B23914" t="s">
        <v>2931</v>
      </c>
      <c r="C23914">
        <v>11696</v>
      </c>
      <c r="D23914" t="str">
        <f>"55251490678 "</f>
        <v xml:space="preserve">55251490678 </v>
      </c>
      <c r="E23914" t="s">
        <v>1845</v>
      </c>
      <c r="F23914" t="s">
        <v>1846</v>
      </c>
      <c r="G23914">
        <v>76.61</v>
      </c>
      <c r="H23914">
        <v>250831</v>
      </c>
      <c r="I23914">
        <v>4572</v>
      </c>
      <c r="J23914" t="s">
        <v>173</v>
      </c>
      <c r="K23914">
        <v>76.61</v>
      </c>
      <c r="L23914">
        <v>15.57</v>
      </c>
      <c r="M23914">
        <v>17956</v>
      </c>
      <c r="N23914" t="s">
        <v>170</v>
      </c>
      <c r="O23914">
        <v>250910</v>
      </c>
      <c r="P23914">
        <v>61.04</v>
      </c>
    </row>
    <row r="23915" spans="1:16" x14ac:dyDescent="0.25">
      <c r="A23915" t="s">
        <v>3296</v>
      </c>
      <c r="B23915" t="s">
        <v>2931</v>
      </c>
      <c r="C23915">
        <v>11697</v>
      </c>
      <c r="D23915" t="str">
        <f>"55251490568 "</f>
        <v xml:space="preserve">55251490568 </v>
      </c>
      <c r="E23915" t="s">
        <v>1845</v>
      </c>
      <c r="F23915" t="s">
        <v>1846</v>
      </c>
      <c r="G23915">
        <v>1448.76</v>
      </c>
      <c r="H23915">
        <v>250831</v>
      </c>
      <c r="I23915">
        <v>4572</v>
      </c>
      <c r="J23915" t="s">
        <v>173</v>
      </c>
      <c r="K23915">
        <v>1448.76</v>
      </c>
      <c r="L23915">
        <v>294.37</v>
      </c>
      <c r="M23915">
        <v>17956</v>
      </c>
      <c r="N23915" t="s">
        <v>170</v>
      </c>
      <c r="O23915">
        <v>250910</v>
      </c>
      <c r="P23915">
        <v>1154.3900000000001</v>
      </c>
    </row>
    <row r="23916" spans="1:16" x14ac:dyDescent="0.25">
      <c r="A23916" t="s">
        <v>3296</v>
      </c>
      <c r="B23916" t="s">
        <v>2931</v>
      </c>
      <c r="C23916">
        <v>11699</v>
      </c>
      <c r="D23916" t="str">
        <f>"55251490809 "</f>
        <v xml:space="preserve">55251490809 </v>
      </c>
      <c r="E23916" t="s">
        <v>1845</v>
      </c>
      <c r="F23916" t="s">
        <v>1846</v>
      </c>
      <c r="G23916">
        <v>122.98</v>
      </c>
      <c r="H23916">
        <v>250831</v>
      </c>
      <c r="I23916">
        <v>4572</v>
      </c>
      <c r="J23916" t="s">
        <v>173</v>
      </c>
      <c r="K23916">
        <v>122.98</v>
      </c>
      <c r="L23916">
        <v>24.99</v>
      </c>
      <c r="M23916">
        <v>17950</v>
      </c>
      <c r="N23916" t="s">
        <v>132</v>
      </c>
      <c r="O23916">
        <v>250910</v>
      </c>
      <c r="P23916">
        <v>97.99</v>
      </c>
    </row>
    <row r="23917" spans="1:16" x14ac:dyDescent="0.25">
      <c r="A23917" t="s">
        <v>3296</v>
      </c>
      <c r="B23917" t="s">
        <v>2931</v>
      </c>
      <c r="C23917">
        <v>11701</v>
      </c>
      <c r="D23917" t="str">
        <f>"55251490633 "</f>
        <v xml:space="preserve">55251490633 </v>
      </c>
      <c r="E23917" t="s">
        <v>1845</v>
      </c>
      <c r="F23917" t="s">
        <v>1846</v>
      </c>
      <c r="G23917">
        <v>17.18</v>
      </c>
      <c r="H23917">
        <v>250831</v>
      </c>
      <c r="I23917">
        <v>4572</v>
      </c>
      <c r="J23917" t="s">
        <v>173</v>
      </c>
      <c r="K23917">
        <v>17.18</v>
      </c>
      <c r="L23917">
        <v>3.49</v>
      </c>
      <c r="M23917">
        <v>17956</v>
      </c>
      <c r="N23917" t="s">
        <v>170</v>
      </c>
      <c r="O23917">
        <v>250910</v>
      </c>
      <c r="P23917">
        <v>13.69</v>
      </c>
    </row>
    <row r="23918" spans="1:16" x14ac:dyDescent="0.25">
      <c r="A23918" t="s">
        <v>3296</v>
      </c>
      <c r="B23918" t="s">
        <v>2931</v>
      </c>
      <c r="C23918">
        <v>11702</v>
      </c>
      <c r="D23918" t="str">
        <f>"55251490523 "</f>
        <v xml:space="preserve">55251490523 </v>
      </c>
      <c r="E23918" t="s">
        <v>1845</v>
      </c>
      <c r="F23918" t="s">
        <v>1846</v>
      </c>
      <c r="G23918">
        <v>20.239999999999998</v>
      </c>
      <c r="H23918">
        <v>250831</v>
      </c>
      <c r="I23918">
        <v>4572</v>
      </c>
      <c r="J23918" t="s">
        <v>173</v>
      </c>
      <c r="K23918">
        <v>20.239999999999998</v>
      </c>
      <c r="L23918">
        <v>4.1100000000000003</v>
      </c>
      <c r="M23918">
        <v>17956</v>
      </c>
      <c r="N23918" t="s">
        <v>170</v>
      </c>
      <c r="O23918">
        <v>250910</v>
      </c>
      <c r="P23918">
        <v>16.13</v>
      </c>
    </row>
    <row r="23919" spans="1:16" x14ac:dyDescent="0.25">
      <c r="A23919" t="s">
        <v>3296</v>
      </c>
      <c r="B23919" t="s">
        <v>2931</v>
      </c>
      <c r="C23919">
        <v>11703</v>
      </c>
      <c r="D23919" t="str">
        <f>"55251490655 "</f>
        <v xml:space="preserve">55251490655 </v>
      </c>
      <c r="E23919" t="s">
        <v>1845</v>
      </c>
      <c r="F23919" t="s">
        <v>1846</v>
      </c>
      <c r="G23919">
        <v>127.5</v>
      </c>
      <c r="H23919">
        <v>250831</v>
      </c>
      <c r="I23919">
        <v>4572</v>
      </c>
      <c r="J23919" t="s">
        <v>173</v>
      </c>
      <c r="K23919">
        <v>127.5</v>
      </c>
      <c r="L23919">
        <v>25.91</v>
      </c>
      <c r="M23919">
        <v>17956</v>
      </c>
      <c r="N23919" t="s">
        <v>170</v>
      </c>
      <c r="O23919">
        <v>250910</v>
      </c>
      <c r="P23919">
        <v>101.59</v>
      </c>
    </row>
    <row r="23920" spans="1:16" x14ac:dyDescent="0.25">
      <c r="A23920" t="s">
        <v>3296</v>
      </c>
      <c r="B23920" t="s">
        <v>2931</v>
      </c>
      <c r="C23920">
        <v>11718</v>
      </c>
      <c r="D23920" t="str">
        <f>"55251491478 "</f>
        <v xml:space="preserve">55251491478 </v>
      </c>
      <c r="E23920" t="s">
        <v>1845</v>
      </c>
      <c r="F23920" t="s">
        <v>1846</v>
      </c>
      <c r="G23920">
        <v>3.41</v>
      </c>
      <c r="H23920">
        <v>250831</v>
      </c>
      <c r="I23920">
        <v>4572</v>
      </c>
      <c r="J23920" t="s">
        <v>173</v>
      </c>
      <c r="K23920">
        <v>3.41</v>
      </c>
      <c r="L23920">
        <v>0.69</v>
      </c>
      <c r="M23920">
        <v>17981</v>
      </c>
      <c r="N23920" t="s">
        <v>927</v>
      </c>
      <c r="O23920">
        <v>250910</v>
      </c>
      <c r="P23920">
        <v>2.72</v>
      </c>
    </row>
    <row r="23921" spans="1:16" x14ac:dyDescent="0.25">
      <c r="A23921" t="s">
        <v>3296</v>
      </c>
      <c r="B23921" t="s">
        <v>2931</v>
      </c>
      <c r="C23921">
        <v>11856</v>
      </c>
      <c r="D23921" t="str">
        <f>"55251490871 "</f>
        <v xml:space="preserve">55251490871 </v>
      </c>
      <c r="E23921" t="s">
        <v>1845</v>
      </c>
      <c r="F23921" t="s">
        <v>1846</v>
      </c>
      <c r="G23921">
        <v>11.35</v>
      </c>
      <c r="H23921">
        <v>250831</v>
      </c>
      <c r="I23921">
        <v>4572</v>
      </c>
      <c r="J23921" t="s">
        <v>173</v>
      </c>
      <c r="K23921">
        <v>37.85</v>
      </c>
      <c r="L23921">
        <v>2.31</v>
      </c>
      <c r="M23921">
        <v>14952</v>
      </c>
      <c r="N23921" t="s">
        <v>213</v>
      </c>
      <c r="O23921">
        <v>250911</v>
      </c>
      <c r="P23921">
        <v>9.0399999999999991</v>
      </c>
    </row>
    <row r="23922" spans="1:16" x14ac:dyDescent="0.25">
      <c r="A23922" t="s">
        <v>3296</v>
      </c>
      <c r="B23922" t="s">
        <v>2931</v>
      </c>
      <c r="C23922">
        <v>11856</v>
      </c>
      <c r="D23922" t="str">
        <f>"55251490871 "</f>
        <v xml:space="preserve">55251490871 </v>
      </c>
      <c r="E23922" t="s">
        <v>1845</v>
      </c>
      <c r="F23922" t="s">
        <v>1846</v>
      </c>
      <c r="G23922">
        <v>26.5</v>
      </c>
      <c r="H23922">
        <v>250831</v>
      </c>
      <c r="I23922">
        <v>4572</v>
      </c>
      <c r="J23922" t="s">
        <v>173</v>
      </c>
      <c r="K23922">
        <v>37.85</v>
      </c>
      <c r="L23922">
        <v>5.38</v>
      </c>
      <c r="M23922">
        <v>14981</v>
      </c>
      <c r="N23922" t="s">
        <v>252</v>
      </c>
      <c r="O23922">
        <v>250911</v>
      </c>
      <c r="P23922">
        <v>21.12</v>
      </c>
    </row>
    <row r="23923" spans="1:16" x14ac:dyDescent="0.25">
      <c r="A23923" t="s">
        <v>3296</v>
      </c>
      <c r="B23923" t="s">
        <v>2931</v>
      </c>
      <c r="C23923">
        <v>11857</v>
      </c>
      <c r="D23923" t="str">
        <f>"55251490874 "</f>
        <v xml:space="preserve">55251490874 </v>
      </c>
      <c r="E23923" t="s">
        <v>1845</v>
      </c>
      <c r="F23923" t="s">
        <v>1846</v>
      </c>
      <c r="G23923">
        <v>3.19</v>
      </c>
      <c r="H23923">
        <v>250831</v>
      </c>
      <c r="I23923">
        <v>4572</v>
      </c>
      <c r="J23923" t="s">
        <v>173</v>
      </c>
      <c r="K23923">
        <v>10.65</v>
      </c>
      <c r="L23923">
        <v>0.65</v>
      </c>
      <c r="M23923">
        <v>14952</v>
      </c>
      <c r="N23923" t="s">
        <v>213</v>
      </c>
      <c r="O23923">
        <v>250911</v>
      </c>
      <c r="P23923">
        <v>2.54</v>
      </c>
    </row>
    <row r="23924" spans="1:16" x14ac:dyDescent="0.25">
      <c r="A23924" t="s">
        <v>3296</v>
      </c>
      <c r="B23924" t="s">
        <v>2931</v>
      </c>
      <c r="C23924">
        <v>11857</v>
      </c>
      <c r="D23924" t="str">
        <f>"55251490874 "</f>
        <v xml:space="preserve">55251490874 </v>
      </c>
      <c r="E23924" t="s">
        <v>1845</v>
      </c>
      <c r="F23924" t="s">
        <v>1846</v>
      </c>
      <c r="G23924">
        <v>7.46</v>
      </c>
      <c r="H23924">
        <v>250831</v>
      </c>
      <c r="I23924">
        <v>4572</v>
      </c>
      <c r="J23924" t="s">
        <v>173</v>
      </c>
      <c r="K23924">
        <v>10.65</v>
      </c>
      <c r="L23924">
        <v>1.52</v>
      </c>
      <c r="M23924">
        <v>14981</v>
      </c>
      <c r="N23924" t="s">
        <v>252</v>
      </c>
      <c r="O23924">
        <v>250911</v>
      </c>
      <c r="P23924">
        <v>5.94</v>
      </c>
    </row>
    <row r="23925" spans="1:16" x14ac:dyDescent="0.25">
      <c r="A23925" t="s">
        <v>3296</v>
      </c>
      <c r="B23925" t="s">
        <v>2931</v>
      </c>
      <c r="C23925">
        <v>11879</v>
      </c>
      <c r="D23925" t="str">
        <f>"55251490524 "</f>
        <v xml:space="preserve">55251490524 </v>
      </c>
      <c r="E23925" t="s">
        <v>1845</v>
      </c>
      <c r="F23925" t="s">
        <v>1846</v>
      </c>
      <c r="G23925">
        <v>77.09</v>
      </c>
      <c r="H23925">
        <v>250831</v>
      </c>
      <c r="I23925">
        <v>4572</v>
      </c>
      <c r="J23925" t="s">
        <v>173</v>
      </c>
      <c r="K23925">
        <v>256.95999999999998</v>
      </c>
      <c r="L23925">
        <v>15.66</v>
      </c>
      <c r="M23925">
        <v>11401</v>
      </c>
      <c r="N23925" t="s">
        <v>91</v>
      </c>
      <c r="O23925">
        <v>250911</v>
      </c>
      <c r="P23925">
        <v>61.43</v>
      </c>
    </row>
    <row r="23926" spans="1:16" x14ac:dyDescent="0.25">
      <c r="A23926" t="s">
        <v>3296</v>
      </c>
      <c r="B23926" t="s">
        <v>2931</v>
      </c>
      <c r="C23926">
        <v>11879</v>
      </c>
      <c r="D23926" t="str">
        <f>"55251490524 "</f>
        <v xml:space="preserve">55251490524 </v>
      </c>
      <c r="E23926" t="s">
        <v>1845</v>
      </c>
      <c r="F23926" t="s">
        <v>1846</v>
      </c>
      <c r="G23926">
        <v>179.87</v>
      </c>
      <c r="H23926">
        <v>250831</v>
      </c>
      <c r="I23926">
        <v>4572</v>
      </c>
      <c r="J23926" t="s">
        <v>173</v>
      </c>
      <c r="K23926">
        <v>256.95999999999998</v>
      </c>
      <c r="L23926">
        <v>36.549999999999997</v>
      </c>
      <c r="M23926">
        <v>14952</v>
      </c>
      <c r="N23926" t="s">
        <v>213</v>
      </c>
      <c r="O23926">
        <v>250911</v>
      </c>
      <c r="P23926">
        <v>143.32</v>
      </c>
    </row>
    <row r="23927" spans="1:16" x14ac:dyDescent="0.25">
      <c r="A23927" t="s">
        <v>3296</v>
      </c>
      <c r="B23927" t="s">
        <v>2931</v>
      </c>
      <c r="C23927">
        <v>11955</v>
      </c>
      <c r="D23927" t="str">
        <f>"55251491423 "</f>
        <v xml:space="preserve">55251491423 </v>
      </c>
      <c r="E23927" t="s">
        <v>1845</v>
      </c>
      <c r="F23927" t="s">
        <v>1846</v>
      </c>
      <c r="G23927">
        <v>36.11</v>
      </c>
      <c r="H23927">
        <v>250831</v>
      </c>
      <c r="I23927">
        <v>4572</v>
      </c>
      <c r="J23927" t="s">
        <v>173</v>
      </c>
      <c r="K23927">
        <v>36.11</v>
      </c>
      <c r="L23927">
        <v>0</v>
      </c>
      <c r="M23927">
        <v>11001</v>
      </c>
      <c r="N23927" t="s">
        <v>93</v>
      </c>
      <c r="O23927">
        <v>250912</v>
      </c>
      <c r="P23927">
        <v>36.11</v>
      </c>
    </row>
    <row r="23928" spans="1:16" x14ac:dyDescent="0.25">
      <c r="A23928" t="s">
        <v>3296</v>
      </c>
      <c r="B23928" t="s">
        <v>2931</v>
      </c>
      <c r="C23928">
        <v>11977</v>
      </c>
      <c r="D23928" t="str">
        <f>"55251490786 "</f>
        <v xml:space="preserve">55251490786 </v>
      </c>
      <c r="E23928" t="s">
        <v>1845</v>
      </c>
      <c r="F23928" t="s">
        <v>1846</v>
      </c>
      <c r="G23928">
        <v>369.3</v>
      </c>
      <c r="H23928">
        <v>250831</v>
      </c>
      <c r="I23928">
        <v>4572</v>
      </c>
      <c r="J23928" t="s">
        <v>173</v>
      </c>
      <c r="K23928">
        <v>6154.97</v>
      </c>
      <c r="L23928">
        <v>75.040000000000006</v>
      </c>
      <c r="M23928">
        <v>59111</v>
      </c>
      <c r="N23928" t="s">
        <v>60</v>
      </c>
      <c r="O23928">
        <v>250915</v>
      </c>
      <c r="P23928">
        <v>294.26</v>
      </c>
    </row>
    <row r="23929" spans="1:16" x14ac:dyDescent="0.25">
      <c r="A23929" t="s">
        <v>3296</v>
      </c>
      <c r="B23929" t="s">
        <v>2931</v>
      </c>
      <c r="C23929">
        <v>11977</v>
      </c>
      <c r="D23929" t="str">
        <f>"55251490786 "</f>
        <v xml:space="preserve">55251490786 </v>
      </c>
      <c r="E23929" t="s">
        <v>1845</v>
      </c>
      <c r="F23929" t="s">
        <v>1846</v>
      </c>
      <c r="G23929">
        <v>5785.67</v>
      </c>
      <c r="H23929">
        <v>250831</v>
      </c>
      <c r="I23929">
        <v>4572</v>
      </c>
      <c r="J23929" t="s">
        <v>173</v>
      </c>
      <c r="K23929">
        <v>6154.97</v>
      </c>
      <c r="L23929">
        <v>1175.57</v>
      </c>
      <c r="M23929">
        <v>59501</v>
      </c>
      <c r="N23929" t="s">
        <v>62</v>
      </c>
      <c r="O23929">
        <v>250915</v>
      </c>
      <c r="P23929">
        <v>4610.1000000000004</v>
      </c>
    </row>
    <row r="23930" spans="1:16" x14ac:dyDescent="0.25">
      <c r="A23930" t="s">
        <v>3296</v>
      </c>
      <c r="B23930" t="s">
        <v>2931</v>
      </c>
      <c r="C23930">
        <v>11978</v>
      </c>
      <c r="D23930" t="str">
        <f>"55251490808 "</f>
        <v xml:space="preserve">55251490808 </v>
      </c>
      <c r="E23930" t="s">
        <v>1845</v>
      </c>
      <c r="F23930" t="s">
        <v>1846</v>
      </c>
      <c r="G23930">
        <v>6.43</v>
      </c>
      <c r="H23930">
        <v>250831</v>
      </c>
      <c r="I23930">
        <v>4572</v>
      </c>
      <c r="J23930" t="s">
        <v>173</v>
      </c>
      <c r="K23930">
        <v>21.44</v>
      </c>
      <c r="L23930">
        <v>1.31</v>
      </c>
      <c r="M23930">
        <v>14952</v>
      </c>
      <c r="N23930" t="s">
        <v>213</v>
      </c>
      <c r="O23930">
        <v>250915</v>
      </c>
      <c r="P23930">
        <v>5.12</v>
      </c>
    </row>
    <row r="23931" spans="1:16" x14ac:dyDescent="0.25">
      <c r="A23931" t="s">
        <v>3296</v>
      </c>
      <c r="B23931" t="s">
        <v>2931</v>
      </c>
      <c r="C23931">
        <v>11978</v>
      </c>
      <c r="D23931" t="str">
        <f>"55251490808 "</f>
        <v xml:space="preserve">55251490808 </v>
      </c>
      <c r="E23931" t="s">
        <v>1845</v>
      </c>
      <c r="F23931" t="s">
        <v>1846</v>
      </c>
      <c r="G23931">
        <v>15.01</v>
      </c>
      <c r="H23931">
        <v>250831</v>
      </c>
      <c r="I23931">
        <v>4572</v>
      </c>
      <c r="J23931" t="s">
        <v>173</v>
      </c>
      <c r="K23931">
        <v>21.44</v>
      </c>
      <c r="L23931">
        <v>3.05</v>
      </c>
      <c r="M23931">
        <v>14981</v>
      </c>
      <c r="N23931" t="s">
        <v>252</v>
      </c>
      <c r="O23931">
        <v>250915</v>
      </c>
      <c r="P23931">
        <v>11.96</v>
      </c>
    </row>
    <row r="23932" spans="1:16" x14ac:dyDescent="0.25">
      <c r="A23932" t="s">
        <v>3296</v>
      </c>
      <c r="B23932" t="s">
        <v>2931</v>
      </c>
      <c r="C23932">
        <v>11979</v>
      </c>
      <c r="D23932" t="str">
        <f>"55251490779 "</f>
        <v xml:space="preserve">55251490779 </v>
      </c>
      <c r="E23932" t="s">
        <v>1845</v>
      </c>
      <c r="F23932" t="s">
        <v>1846</v>
      </c>
      <c r="G23932">
        <v>2711.15</v>
      </c>
      <c r="H23932">
        <v>250831</v>
      </c>
      <c r="I23932">
        <v>4572</v>
      </c>
      <c r="J23932" t="s">
        <v>173</v>
      </c>
      <c r="K23932">
        <v>4444.51</v>
      </c>
      <c r="L23932">
        <v>550.87</v>
      </c>
      <c r="M23932">
        <v>59502</v>
      </c>
      <c r="N23932" t="s">
        <v>63</v>
      </c>
      <c r="O23932">
        <v>250915</v>
      </c>
      <c r="P23932">
        <v>2160.2800000000002</v>
      </c>
    </row>
    <row r="23933" spans="1:16" x14ac:dyDescent="0.25">
      <c r="A23933" t="s">
        <v>3296</v>
      </c>
      <c r="B23933" t="s">
        <v>2931</v>
      </c>
      <c r="C23933">
        <v>11979</v>
      </c>
      <c r="D23933" t="str">
        <f>"55251490779 "</f>
        <v xml:space="preserve">55251490779 </v>
      </c>
      <c r="E23933" t="s">
        <v>1845</v>
      </c>
      <c r="F23933" t="s">
        <v>1846</v>
      </c>
      <c r="G23933">
        <v>1733.36</v>
      </c>
      <c r="H23933">
        <v>250831</v>
      </c>
      <c r="I23933">
        <v>4572</v>
      </c>
      <c r="J23933" t="s">
        <v>173</v>
      </c>
      <c r="K23933">
        <v>4444.51</v>
      </c>
      <c r="L23933">
        <v>352.2</v>
      </c>
      <c r="M23933">
        <v>59802</v>
      </c>
      <c r="N23933" t="s">
        <v>195</v>
      </c>
      <c r="O23933">
        <v>250915</v>
      </c>
      <c r="P23933">
        <v>1381.16</v>
      </c>
    </row>
    <row r="23934" spans="1:16" x14ac:dyDescent="0.25">
      <c r="A23934" t="s">
        <v>3296</v>
      </c>
      <c r="B23934" t="s">
        <v>2931</v>
      </c>
      <c r="C23934">
        <v>11981</v>
      </c>
      <c r="D23934" t="str">
        <f>"55251490660 "</f>
        <v xml:space="preserve">55251490660 </v>
      </c>
      <c r="E23934" t="s">
        <v>1845</v>
      </c>
      <c r="F23934" t="s">
        <v>1846</v>
      </c>
      <c r="G23934">
        <v>1060.3800000000001</v>
      </c>
      <c r="H23934">
        <v>250831</v>
      </c>
      <c r="I23934">
        <v>4572</v>
      </c>
      <c r="J23934" t="s">
        <v>173</v>
      </c>
      <c r="K23934">
        <v>1204.98</v>
      </c>
      <c r="L23934">
        <v>215.46</v>
      </c>
      <c r="M23934">
        <v>59505</v>
      </c>
      <c r="N23934" t="s">
        <v>194</v>
      </c>
      <c r="O23934">
        <v>250915</v>
      </c>
      <c r="P23934">
        <v>844.92</v>
      </c>
    </row>
    <row r="23935" spans="1:16" x14ac:dyDescent="0.25">
      <c r="A23935" t="s">
        <v>3296</v>
      </c>
      <c r="B23935" t="s">
        <v>2931</v>
      </c>
      <c r="C23935">
        <v>11981</v>
      </c>
      <c r="D23935" t="str">
        <f>"55251490660 "</f>
        <v xml:space="preserve">55251490660 </v>
      </c>
      <c r="E23935" t="s">
        <v>1845</v>
      </c>
      <c r="F23935" t="s">
        <v>1846</v>
      </c>
      <c r="G23935">
        <v>144.6</v>
      </c>
      <c r="H23935">
        <v>250831</v>
      </c>
      <c r="I23935">
        <v>4572</v>
      </c>
      <c r="J23935" t="s">
        <v>173</v>
      </c>
      <c r="K23935">
        <v>1204.98</v>
      </c>
      <c r="L23935">
        <v>29.38</v>
      </c>
      <c r="M23935">
        <v>59812</v>
      </c>
      <c r="N23935" t="s">
        <v>196</v>
      </c>
      <c r="O23935">
        <v>250915</v>
      </c>
      <c r="P23935">
        <v>115.22</v>
      </c>
    </row>
    <row r="23936" spans="1:16" x14ac:dyDescent="0.25">
      <c r="A23936" t="s">
        <v>3296</v>
      </c>
      <c r="B23936" t="s">
        <v>2931</v>
      </c>
      <c r="C23936">
        <v>11982</v>
      </c>
      <c r="D23936" t="str">
        <f>"55251490896 "</f>
        <v xml:space="preserve">55251490896 </v>
      </c>
      <c r="E23936" t="s">
        <v>1845</v>
      </c>
      <c r="F23936" t="s">
        <v>1846</v>
      </c>
      <c r="G23936">
        <v>196.82</v>
      </c>
      <c r="H23936">
        <v>250831</v>
      </c>
      <c r="I23936">
        <v>4572</v>
      </c>
      <c r="J23936" t="s">
        <v>173</v>
      </c>
      <c r="K23936">
        <v>656.05</v>
      </c>
      <c r="L23936">
        <v>39.99</v>
      </c>
      <c r="M23936">
        <v>14952</v>
      </c>
      <c r="N23936" t="s">
        <v>213</v>
      </c>
      <c r="O23936">
        <v>250915</v>
      </c>
      <c r="P23936">
        <v>156.83000000000001</v>
      </c>
    </row>
    <row r="23937" spans="1:16" x14ac:dyDescent="0.25">
      <c r="A23937" t="s">
        <v>3296</v>
      </c>
      <c r="B23937" t="s">
        <v>2931</v>
      </c>
      <c r="C23937">
        <v>11982</v>
      </c>
      <c r="D23937" t="str">
        <f>"55251490896 "</f>
        <v xml:space="preserve">55251490896 </v>
      </c>
      <c r="E23937" t="s">
        <v>1845</v>
      </c>
      <c r="F23937" t="s">
        <v>1846</v>
      </c>
      <c r="G23937">
        <v>459.23</v>
      </c>
      <c r="H23937">
        <v>250831</v>
      </c>
      <c r="I23937">
        <v>4572</v>
      </c>
      <c r="J23937" t="s">
        <v>173</v>
      </c>
      <c r="K23937">
        <v>656.05</v>
      </c>
      <c r="L23937">
        <v>93.31</v>
      </c>
      <c r="M23937">
        <v>14981</v>
      </c>
      <c r="N23937" t="s">
        <v>252</v>
      </c>
      <c r="O23937">
        <v>250915</v>
      </c>
      <c r="P23937">
        <v>365.92</v>
      </c>
    </row>
    <row r="23938" spans="1:16" x14ac:dyDescent="0.25">
      <c r="A23938" t="s">
        <v>3296</v>
      </c>
      <c r="B23938" t="s">
        <v>2931</v>
      </c>
      <c r="C23938">
        <v>11983</v>
      </c>
      <c r="D23938" t="str">
        <f>"55251490940 "</f>
        <v xml:space="preserve">55251490940 </v>
      </c>
      <c r="E23938" t="s">
        <v>1845</v>
      </c>
      <c r="F23938" t="s">
        <v>1846</v>
      </c>
      <c r="G23938">
        <v>17.79</v>
      </c>
      <c r="H23938">
        <v>250831</v>
      </c>
      <c r="I23938">
        <v>4572</v>
      </c>
      <c r="J23938" t="s">
        <v>173</v>
      </c>
      <c r="K23938">
        <v>53.37</v>
      </c>
      <c r="L23938">
        <v>3.61</v>
      </c>
      <c r="M23938">
        <v>11401</v>
      </c>
      <c r="N23938" t="s">
        <v>91</v>
      </c>
      <c r="O23938">
        <v>250915</v>
      </c>
      <c r="P23938">
        <v>14.18</v>
      </c>
    </row>
    <row r="23939" spans="1:16" x14ac:dyDescent="0.25">
      <c r="A23939" t="s">
        <v>3296</v>
      </c>
      <c r="B23939" t="s">
        <v>2931</v>
      </c>
      <c r="C23939">
        <v>11983</v>
      </c>
      <c r="D23939" t="str">
        <f>"55251490940 "</f>
        <v xml:space="preserve">55251490940 </v>
      </c>
      <c r="E23939" t="s">
        <v>1845</v>
      </c>
      <c r="F23939" t="s">
        <v>1846</v>
      </c>
      <c r="G23939">
        <v>35.58</v>
      </c>
      <c r="H23939">
        <v>250831</v>
      </c>
      <c r="I23939">
        <v>4572</v>
      </c>
      <c r="J23939" t="s">
        <v>173</v>
      </c>
      <c r="K23939">
        <v>53.37</v>
      </c>
      <c r="L23939">
        <v>7.23</v>
      </c>
      <c r="M23939">
        <v>14952</v>
      </c>
      <c r="N23939" t="s">
        <v>213</v>
      </c>
      <c r="O23939">
        <v>250915</v>
      </c>
      <c r="P23939">
        <v>28.35</v>
      </c>
    </row>
    <row r="23940" spans="1:16" x14ac:dyDescent="0.25">
      <c r="A23940" t="s">
        <v>3296</v>
      </c>
      <c r="B23940" t="s">
        <v>2931</v>
      </c>
      <c r="C23940">
        <v>11984</v>
      </c>
      <c r="D23940" t="str">
        <f>"55251490537 "</f>
        <v xml:space="preserve">55251490537 </v>
      </c>
      <c r="E23940" t="s">
        <v>1845</v>
      </c>
      <c r="F23940" t="s">
        <v>1846</v>
      </c>
      <c r="G23940">
        <v>2385.6799999999998</v>
      </c>
      <c r="H23940">
        <v>250831</v>
      </c>
      <c r="I23940">
        <v>4572</v>
      </c>
      <c r="J23940" t="s">
        <v>173</v>
      </c>
      <c r="K23940">
        <v>2385.6799999999998</v>
      </c>
      <c r="L23940">
        <v>484.74</v>
      </c>
      <c r="M23940">
        <v>14951</v>
      </c>
      <c r="N23940" t="s">
        <v>186</v>
      </c>
      <c r="O23940">
        <v>250915</v>
      </c>
      <c r="P23940">
        <v>1900.94</v>
      </c>
    </row>
    <row r="23941" spans="1:16" x14ac:dyDescent="0.25">
      <c r="A23941" t="s">
        <v>3296</v>
      </c>
      <c r="B23941" t="s">
        <v>2931</v>
      </c>
      <c r="C23941">
        <v>12225</v>
      </c>
      <c r="D23941" t="str">
        <f>"55251490594 "</f>
        <v xml:space="preserve">55251490594 </v>
      </c>
      <c r="E23941" t="s">
        <v>1845</v>
      </c>
      <c r="F23941" t="s">
        <v>1846</v>
      </c>
      <c r="G23941">
        <v>9.2200000000000006</v>
      </c>
      <c r="H23941">
        <v>250831</v>
      </c>
      <c r="I23941">
        <v>4572</v>
      </c>
      <c r="J23941" t="s">
        <v>173</v>
      </c>
      <c r="K23941">
        <v>9.2200000000000006</v>
      </c>
      <c r="L23941">
        <v>1.87</v>
      </c>
      <c r="M23941">
        <v>56571</v>
      </c>
      <c r="N23941" t="s">
        <v>553</v>
      </c>
      <c r="O23941">
        <v>250917</v>
      </c>
      <c r="P23941">
        <v>7.35</v>
      </c>
    </row>
    <row r="23942" spans="1:16" x14ac:dyDescent="0.25">
      <c r="A23942" t="s">
        <v>3296</v>
      </c>
      <c r="B23942" t="s">
        <v>2931</v>
      </c>
      <c r="C23942">
        <v>12226</v>
      </c>
      <c r="D23942" t="str">
        <f>"55251490749 "</f>
        <v xml:space="preserve">55251490749 </v>
      </c>
      <c r="E23942" t="s">
        <v>1845</v>
      </c>
      <c r="F23942" t="s">
        <v>1846</v>
      </c>
      <c r="G23942">
        <v>8.89</v>
      </c>
      <c r="H23942">
        <v>250831</v>
      </c>
      <c r="I23942">
        <v>4572</v>
      </c>
      <c r="J23942" t="s">
        <v>173</v>
      </c>
      <c r="K23942">
        <v>8.89</v>
      </c>
      <c r="L23942">
        <v>1.81</v>
      </c>
      <c r="M23942">
        <v>56571</v>
      </c>
      <c r="N23942" t="s">
        <v>553</v>
      </c>
      <c r="O23942">
        <v>250917</v>
      </c>
      <c r="P23942">
        <v>7.08</v>
      </c>
    </row>
    <row r="23943" spans="1:16" x14ac:dyDescent="0.25">
      <c r="A23943" t="s">
        <v>3296</v>
      </c>
      <c r="B23943" t="s">
        <v>2931</v>
      </c>
      <c r="C23943">
        <v>13270</v>
      </c>
      <c r="D23943" t="str">
        <f>"55251588845 "</f>
        <v xml:space="preserve">55251588845 </v>
      </c>
      <c r="E23943" t="s">
        <v>1845</v>
      </c>
      <c r="F23943" t="s">
        <v>1846</v>
      </c>
      <c r="G23943">
        <v>1372.47</v>
      </c>
      <c r="H23943">
        <v>250930</v>
      </c>
      <c r="I23943">
        <v>4572</v>
      </c>
      <c r="J23943" t="s">
        <v>173</v>
      </c>
      <c r="K23943">
        <v>1372.47</v>
      </c>
      <c r="L23943">
        <v>278.87</v>
      </c>
      <c r="M23943">
        <v>17956</v>
      </c>
      <c r="N23943" t="s">
        <v>170</v>
      </c>
      <c r="O23943">
        <v>251007</v>
      </c>
      <c r="P23943">
        <v>1093.5999999999999</v>
      </c>
    </row>
    <row r="23944" spans="1:16" x14ac:dyDescent="0.25">
      <c r="A23944" t="s">
        <v>3296</v>
      </c>
      <c r="B23944" t="s">
        <v>2931</v>
      </c>
      <c r="C23944">
        <v>13272</v>
      </c>
      <c r="D23944" t="str">
        <f>"55251588905 "</f>
        <v xml:space="preserve">55251588905 </v>
      </c>
      <c r="E23944" t="s">
        <v>1845</v>
      </c>
      <c r="F23944" t="s">
        <v>1846</v>
      </c>
      <c r="G23944">
        <v>3708.96</v>
      </c>
      <c r="H23944">
        <v>250930</v>
      </c>
      <c r="I23944">
        <v>4572</v>
      </c>
      <c r="J23944" t="s">
        <v>173</v>
      </c>
      <c r="K23944">
        <v>3708.96</v>
      </c>
      <c r="L23944">
        <v>753.61</v>
      </c>
      <c r="M23944">
        <v>17951</v>
      </c>
      <c r="N23944" t="s">
        <v>207</v>
      </c>
      <c r="O23944">
        <v>251007</v>
      </c>
      <c r="P23944">
        <v>2955.35</v>
      </c>
    </row>
    <row r="23945" spans="1:16" x14ac:dyDescent="0.25">
      <c r="A23945" t="s">
        <v>3296</v>
      </c>
      <c r="B23945" t="s">
        <v>2931</v>
      </c>
      <c r="C23945">
        <v>13273</v>
      </c>
      <c r="D23945" t="str">
        <f>"55251588850 "</f>
        <v xml:space="preserve">55251588850 </v>
      </c>
      <c r="E23945" t="s">
        <v>1845</v>
      </c>
      <c r="F23945" t="s">
        <v>1846</v>
      </c>
      <c r="G23945">
        <v>4.97</v>
      </c>
      <c r="H23945">
        <v>250930</v>
      </c>
      <c r="I23945">
        <v>4572</v>
      </c>
      <c r="J23945" t="s">
        <v>173</v>
      </c>
      <c r="K23945">
        <v>16.55</v>
      </c>
      <c r="L23945">
        <v>1.01</v>
      </c>
      <c r="M23945">
        <v>14952</v>
      </c>
      <c r="N23945" t="s">
        <v>213</v>
      </c>
      <c r="O23945">
        <v>251007</v>
      </c>
      <c r="P23945">
        <v>3.96</v>
      </c>
    </row>
    <row r="23946" spans="1:16" x14ac:dyDescent="0.25">
      <c r="A23946" t="s">
        <v>3296</v>
      </c>
      <c r="B23946" t="s">
        <v>2931</v>
      </c>
      <c r="C23946">
        <v>13273</v>
      </c>
      <c r="D23946" t="str">
        <f>"55251588850 "</f>
        <v xml:space="preserve">55251588850 </v>
      </c>
      <c r="E23946" t="s">
        <v>1845</v>
      </c>
      <c r="F23946" t="s">
        <v>1846</v>
      </c>
      <c r="G23946">
        <v>11.58</v>
      </c>
      <c r="H23946">
        <v>250930</v>
      </c>
      <c r="I23946">
        <v>4572</v>
      </c>
      <c r="J23946" t="s">
        <v>173</v>
      </c>
      <c r="K23946">
        <v>16.55</v>
      </c>
      <c r="L23946">
        <v>2.35</v>
      </c>
      <c r="M23946">
        <v>14981</v>
      </c>
      <c r="N23946" t="s">
        <v>252</v>
      </c>
      <c r="O23946">
        <v>251007</v>
      </c>
      <c r="P23946">
        <v>9.23</v>
      </c>
    </row>
    <row r="23947" spans="1:16" x14ac:dyDescent="0.25">
      <c r="A23947" t="s">
        <v>3296</v>
      </c>
      <c r="B23947" t="s">
        <v>2931</v>
      </c>
      <c r="C23947">
        <v>13274</v>
      </c>
      <c r="D23947" t="str">
        <f>"55251588680 "</f>
        <v xml:space="preserve">55251588680 </v>
      </c>
      <c r="E23947" t="s">
        <v>1845</v>
      </c>
      <c r="F23947" t="s">
        <v>1846</v>
      </c>
      <c r="G23947">
        <v>148.68</v>
      </c>
      <c r="H23947">
        <v>250930</v>
      </c>
      <c r="I23947">
        <v>4572</v>
      </c>
      <c r="J23947" t="s">
        <v>173</v>
      </c>
      <c r="K23947">
        <v>148.68</v>
      </c>
      <c r="L23947">
        <v>30.21</v>
      </c>
      <c r="M23947">
        <v>17950</v>
      </c>
      <c r="N23947" t="s">
        <v>132</v>
      </c>
      <c r="O23947">
        <v>251007</v>
      </c>
      <c r="P23947">
        <v>118.47</v>
      </c>
    </row>
    <row r="23948" spans="1:16" x14ac:dyDescent="0.25">
      <c r="A23948" t="s">
        <v>3296</v>
      </c>
      <c r="B23948" t="s">
        <v>2931</v>
      </c>
      <c r="C23948">
        <v>13276</v>
      </c>
      <c r="D23948" t="str">
        <f>"55251588764 "</f>
        <v xml:space="preserve">55251588764 </v>
      </c>
      <c r="E23948" t="s">
        <v>1845</v>
      </c>
      <c r="F23948" t="s">
        <v>1846</v>
      </c>
      <c r="G23948">
        <v>166.2</v>
      </c>
      <c r="H23948">
        <v>250930</v>
      </c>
      <c r="I23948">
        <v>4572</v>
      </c>
      <c r="J23948" t="s">
        <v>173</v>
      </c>
      <c r="K23948">
        <v>166.2</v>
      </c>
      <c r="L23948">
        <v>33.770000000000003</v>
      </c>
      <c r="M23948">
        <v>17956</v>
      </c>
      <c r="N23948" t="s">
        <v>170</v>
      </c>
      <c r="O23948">
        <v>251007</v>
      </c>
      <c r="P23948">
        <v>132.43</v>
      </c>
    </row>
    <row r="23949" spans="1:16" x14ac:dyDescent="0.25">
      <c r="A23949" t="s">
        <v>3296</v>
      </c>
      <c r="B23949" t="s">
        <v>2931</v>
      </c>
      <c r="C23949">
        <v>13277</v>
      </c>
      <c r="D23949" t="str">
        <f>"55251588846 "</f>
        <v xml:space="preserve">55251588846 </v>
      </c>
      <c r="E23949" t="s">
        <v>1845</v>
      </c>
      <c r="F23949" t="s">
        <v>1846</v>
      </c>
      <c r="G23949">
        <v>10.73</v>
      </c>
      <c r="H23949">
        <v>250930</v>
      </c>
      <c r="I23949">
        <v>4572</v>
      </c>
      <c r="J23949" t="s">
        <v>173</v>
      </c>
      <c r="K23949">
        <v>10.73</v>
      </c>
      <c r="L23949">
        <v>2.1800000000000002</v>
      </c>
      <c r="M23949">
        <v>56571</v>
      </c>
      <c r="N23949" t="s">
        <v>553</v>
      </c>
      <c r="O23949">
        <v>251007</v>
      </c>
      <c r="P23949">
        <v>8.5500000000000007</v>
      </c>
    </row>
    <row r="23950" spans="1:16" x14ac:dyDescent="0.25">
      <c r="A23950" t="s">
        <v>3296</v>
      </c>
      <c r="B23950" t="s">
        <v>2931</v>
      </c>
      <c r="C23950">
        <v>13278</v>
      </c>
      <c r="D23950" t="str">
        <f>"55251588631 "</f>
        <v xml:space="preserve">55251588631 </v>
      </c>
      <c r="E23950" t="s">
        <v>1845</v>
      </c>
      <c r="F23950" t="s">
        <v>1846</v>
      </c>
      <c r="G23950">
        <v>14.44</v>
      </c>
      <c r="H23950">
        <v>250930</v>
      </c>
      <c r="I23950">
        <v>4572</v>
      </c>
      <c r="J23950" t="s">
        <v>173</v>
      </c>
      <c r="K23950">
        <v>48.13</v>
      </c>
      <c r="L23950">
        <v>2.93</v>
      </c>
      <c r="M23950">
        <v>11401</v>
      </c>
      <c r="N23950" t="s">
        <v>91</v>
      </c>
      <c r="O23950">
        <v>251007</v>
      </c>
      <c r="P23950">
        <v>11.51</v>
      </c>
    </row>
    <row r="23951" spans="1:16" x14ac:dyDescent="0.25">
      <c r="A23951" t="s">
        <v>3296</v>
      </c>
      <c r="B23951" t="s">
        <v>2931</v>
      </c>
      <c r="C23951">
        <v>13278</v>
      </c>
      <c r="D23951" t="str">
        <f>"55251588631 "</f>
        <v xml:space="preserve">55251588631 </v>
      </c>
      <c r="E23951" t="s">
        <v>1845</v>
      </c>
      <c r="F23951" t="s">
        <v>1846</v>
      </c>
      <c r="G23951">
        <v>33.69</v>
      </c>
      <c r="H23951">
        <v>250930</v>
      </c>
      <c r="I23951">
        <v>4572</v>
      </c>
      <c r="J23951" t="s">
        <v>173</v>
      </c>
      <c r="K23951">
        <v>48.13</v>
      </c>
      <c r="L23951">
        <v>6.85</v>
      </c>
      <c r="M23951">
        <v>14952</v>
      </c>
      <c r="N23951" t="s">
        <v>213</v>
      </c>
      <c r="O23951">
        <v>251007</v>
      </c>
      <c r="P23951">
        <v>26.84</v>
      </c>
    </row>
    <row r="23952" spans="1:16" x14ac:dyDescent="0.25">
      <c r="A23952" t="s">
        <v>3296</v>
      </c>
      <c r="B23952" t="s">
        <v>2931</v>
      </c>
      <c r="C23952">
        <v>13279</v>
      </c>
      <c r="D23952" t="str">
        <f>"55251588620 "</f>
        <v xml:space="preserve">55251588620 </v>
      </c>
      <c r="E23952" t="s">
        <v>1845</v>
      </c>
      <c r="F23952" t="s">
        <v>1846</v>
      </c>
      <c r="G23952">
        <v>486.53</v>
      </c>
      <c r="H23952">
        <v>250930</v>
      </c>
      <c r="I23952">
        <v>4572</v>
      </c>
      <c r="J23952" t="s">
        <v>173</v>
      </c>
      <c r="K23952">
        <v>4423.01</v>
      </c>
      <c r="L23952">
        <v>98.86</v>
      </c>
      <c r="M23952">
        <v>13540</v>
      </c>
      <c r="N23952" t="s">
        <v>131</v>
      </c>
      <c r="O23952">
        <v>251007</v>
      </c>
      <c r="P23952">
        <v>387.67</v>
      </c>
    </row>
    <row r="23953" spans="1:16" x14ac:dyDescent="0.25">
      <c r="A23953" t="s">
        <v>3296</v>
      </c>
      <c r="B23953" t="s">
        <v>2931</v>
      </c>
      <c r="C23953">
        <v>13279</v>
      </c>
      <c r="D23953" t="str">
        <f>"55251588620 "</f>
        <v xml:space="preserve">55251588620 </v>
      </c>
      <c r="E23953" t="s">
        <v>1845</v>
      </c>
      <c r="F23953" t="s">
        <v>1846</v>
      </c>
      <c r="G23953">
        <v>3936.48</v>
      </c>
      <c r="H23953">
        <v>250930</v>
      </c>
      <c r="I23953">
        <v>4572</v>
      </c>
      <c r="J23953" t="s">
        <v>173</v>
      </c>
      <c r="K23953">
        <v>4423.01</v>
      </c>
      <c r="L23953">
        <v>799.84</v>
      </c>
      <c r="M23953">
        <v>17950</v>
      </c>
      <c r="N23953" t="s">
        <v>132</v>
      </c>
      <c r="O23953">
        <v>251007</v>
      </c>
      <c r="P23953">
        <v>3136.64</v>
      </c>
    </row>
    <row r="23954" spans="1:16" x14ac:dyDescent="0.25">
      <c r="A23954" t="s">
        <v>3296</v>
      </c>
      <c r="B23954" t="s">
        <v>2931</v>
      </c>
      <c r="C23954">
        <v>13282</v>
      </c>
      <c r="D23954" t="str">
        <f>"55251588841 "</f>
        <v xml:space="preserve">55251588841 </v>
      </c>
      <c r="E23954" t="s">
        <v>1845</v>
      </c>
      <c r="F23954" t="s">
        <v>1846</v>
      </c>
      <c r="G23954">
        <v>92.08</v>
      </c>
      <c r="H23954">
        <v>250930</v>
      </c>
      <c r="I23954">
        <v>4572</v>
      </c>
      <c r="J23954" t="s">
        <v>173</v>
      </c>
      <c r="K23954">
        <v>92.08</v>
      </c>
      <c r="L23954">
        <v>18.71</v>
      </c>
      <c r="M23954">
        <v>17956</v>
      </c>
      <c r="N23954" t="s">
        <v>170</v>
      </c>
      <c r="O23954">
        <v>251007</v>
      </c>
      <c r="P23954">
        <v>73.37</v>
      </c>
    </row>
    <row r="23955" spans="1:16" x14ac:dyDescent="0.25">
      <c r="A23955" t="s">
        <v>3296</v>
      </c>
      <c r="B23955" t="s">
        <v>2931</v>
      </c>
      <c r="C23955">
        <v>13283</v>
      </c>
      <c r="D23955" t="str">
        <f>"55251588700 "</f>
        <v xml:space="preserve">55251588700 </v>
      </c>
      <c r="E23955" t="s">
        <v>1845</v>
      </c>
      <c r="F23955" t="s">
        <v>1846</v>
      </c>
      <c r="G23955">
        <v>2074.25</v>
      </c>
      <c r="H23955">
        <v>250930</v>
      </c>
      <c r="I23955">
        <v>4572</v>
      </c>
      <c r="J23955" t="s">
        <v>173</v>
      </c>
      <c r="K23955">
        <v>2074.25</v>
      </c>
      <c r="L23955">
        <v>421.46</v>
      </c>
      <c r="M23955">
        <v>14951</v>
      </c>
      <c r="N23955" t="s">
        <v>186</v>
      </c>
      <c r="O23955">
        <v>251007</v>
      </c>
      <c r="P23955">
        <v>1652.79</v>
      </c>
    </row>
    <row r="23956" spans="1:16" x14ac:dyDescent="0.25">
      <c r="A23956" t="s">
        <v>3296</v>
      </c>
      <c r="B23956" t="s">
        <v>2931</v>
      </c>
      <c r="C23956">
        <v>13284</v>
      </c>
      <c r="D23956" t="str">
        <f>"55251588503 "</f>
        <v xml:space="preserve">55251588503 </v>
      </c>
      <c r="E23956" t="s">
        <v>1845</v>
      </c>
      <c r="F23956" t="s">
        <v>1846</v>
      </c>
      <c r="G23956">
        <v>13.62</v>
      </c>
      <c r="H23956">
        <v>250930</v>
      </c>
      <c r="I23956">
        <v>4572</v>
      </c>
      <c r="J23956" t="s">
        <v>173</v>
      </c>
      <c r="K23956">
        <v>272.45</v>
      </c>
      <c r="L23956">
        <v>2.77</v>
      </c>
      <c r="M23956">
        <v>17737</v>
      </c>
      <c r="N23956" t="s">
        <v>156</v>
      </c>
      <c r="O23956">
        <v>251007</v>
      </c>
      <c r="P23956">
        <v>10.85</v>
      </c>
    </row>
    <row r="23957" spans="1:16" x14ac:dyDescent="0.25">
      <c r="A23957" t="s">
        <v>3296</v>
      </c>
      <c r="B23957" t="s">
        <v>2931</v>
      </c>
      <c r="C23957">
        <v>13284</v>
      </c>
      <c r="D23957" t="str">
        <f>"55251588503 "</f>
        <v xml:space="preserve">55251588503 </v>
      </c>
      <c r="E23957" t="s">
        <v>1845</v>
      </c>
      <c r="F23957" t="s">
        <v>1846</v>
      </c>
      <c r="G23957">
        <v>181.18</v>
      </c>
      <c r="H23957">
        <v>250930</v>
      </c>
      <c r="I23957">
        <v>4572</v>
      </c>
      <c r="J23957" t="s">
        <v>173</v>
      </c>
      <c r="K23957">
        <v>272.45</v>
      </c>
      <c r="L23957">
        <v>36.81</v>
      </c>
      <c r="M23957">
        <v>17737</v>
      </c>
      <c r="N23957" t="s">
        <v>156</v>
      </c>
      <c r="O23957">
        <v>251007</v>
      </c>
      <c r="P23957">
        <v>144.37</v>
      </c>
    </row>
    <row r="23958" spans="1:16" x14ac:dyDescent="0.25">
      <c r="A23958" t="s">
        <v>3296</v>
      </c>
      <c r="B23958" t="s">
        <v>2931</v>
      </c>
      <c r="C23958">
        <v>13284</v>
      </c>
      <c r="D23958" t="str">
        <f>"55251588503 "</f>
        <v xml:space="preserve">55251588503 </v>
      </c>
      <c r="E23958" t="s">
        <v>1845</v>
      </c>
      <c r="F23958" t="s">
        <v>1846</v>
      </c>
      <c r="G23958">
        <v>77.650000000000006</v>
      </c>
      <c r="H23958">
        <v>250930</v>
      </c>
      <c r="I23958">
        <v>4572</v>
      </c>
      <c r="J23958" t="s">
        <v>173</v>
      </c>
      <c r="K23958">
        <v>272.45</v>
      </c>
      <c r="L23958">
        <v>15.78</v>
      </c>
      <c r="M23958">
        <v>17739</v>
      </c>
      <c r="N23958" t="s">
        <v>928</v>
      </c>
      <c r="O23958">
        <v>251007</v>
      </c>
      <c r="P23958">
        <v>61.87</v>
      </c>
    </row>
    <row r="23959" spans="1:16" x14ac:dyDescent="0.25">
      <c r="A23959" t="s">
        <v>3296</v>
      </c>
      <c r="B23959" t="s">
        <v>2931</v>
      </c>
      <c r="C23959">
        <v>13285</v>
      </c>
      <c r="D23959" t="str">
        <f>"55251588867 "</f>
        <v xml:space="preserve">55251588867 </v>
      </c>
      <c r="E23959" t="s">
        <v>1845</v>
      </c>
      <c r="F23959" t="s">
        <v>1846</v>
      </c>
      <c r="G23959">
        <v>18.52</v>
      </c>
      <c r="H23959">
        <v>250930</v>
      </c>
      <c r="I23959">
        <v>4572</v>
      </c>
      <c r="J23959" t="s">
        <v>173</v>
      </c>
      <c r="K23959">
        <v>18.52</v>
      </c>
      <c r="L23959">
        <v>3.76</v>
      </c>
      <c r="M23959">
        <v>17956</v>
      </c>
      <c r="N23959" t="s">
        <v>170</v>
      </c>
      <c r="O23959">
        <v>251007</v>
      </c>
      <c r="P23959">
        <v>14.76</v>
      </c>
    </row>
    <row r="23960" spans="1:16" x14ac:dyDescent="0.25">
      <c r="A23960" t="s">
        <v>3296</v>
      </c>
      <c r="B23960" t="s">
        <v>2931</v>
      </c>
      <c r="C23960">
        <v>13318</v>
      </c>
      <c r="D23960" t="str">
        <f>"55251588692 "</f>
        <v xml:space="preserve">55251588692 </v>
      </c>
      <c r="E23960" t="s">
        <v>1845</v>
      </c>
      <c r="F23960" t="s">
        <v>1846</v>
      </c>
      <c r="G23960">
        <v>0.55000000000000004</v>
      </c>
      <c r="H23960">
        <v>250930</v>
      </c>
      <c r="I23960">
        <v>4572</v>
      </c>
      <c r="J23960" t="s">
        <v>173</v>
      </c>
      <c r="K23960">
        <v>2.0499999999999998</v>
      </c>
      <c r="L23960">
        <v>0.11</v>
      </c>
      <c r="M23960">
        <v>59112</v>
      </c>
      <c r="N23960" t="s">
        <v>44</v>
      </c>
      <c r="O23960">
        <v>251007</v>
      </c>
      <c r="P23960">
        <v>0.44</v>
      </c>
    </row>
    <row r="23961" spans="1:16" x14ac:dyDescent="0.25">
      <c r="A23961" t="s">
        <v>3296</v>
      </c>
      <c r="B23961" t="s">
        <v>2931</v>
      </c>
      <c r="C23961">
        <v>13318</v>
      </c>
      <c r="D23961" t="str">
        <f>"55251588692 "</f>
        <v xml:space="preserve">55251588692 </v>
      </c>
      <c r="E23961" t="s">
        <v>1845</v>
      </c>
      <c r="F23961" t="s">
        <v>1846</v>
      </c>
      <c r="G23961">
        <v>1.5</v>
      </c>
      <c r="H23961">
        <v>250930</v>
      </c>
      <c r="I23961">
        <v>4572</v>
      </c>
      <c r="J23961" t="s">
        <v>173</v>
      </c>
      <c r="K23961">
        <v>2.0499999999999998</v>
      </c>
      <c r="L23961">
        <v>0.3</v>
      </c>
      <c r="M23961">
        <v>59504</v>
      </c>
      <c r="N23961" t="s">
        <v>193</v>
      </c>
      <c r="O23961">
        <v>251007</v>
      </c>
      <c r="P23961">
        <v>1.2</v>
      </c>
    </row>
    <row r="23962" spans="1:16" x14ac:dyDescent="0.25">
      <c r="A23962" t="s">
        <v>3296</v>
      </c>
      <c r="B23962" t="s">
        <v>2931</v>
      </c>
      <c r="C23962">
        <v>13319</v>
      </c>
      <c r="D23962" t="str">
        <f>"55251588878 "</f>
        <v xml:space="preserve">55251588878 </v>
      </c>
      <c r="E23962" t="s">
        <v>1845</v>
      </c>
      <c r="F23962" t="s">
        <v>1846</v>
      </c>
      <c r="G23962">
        <v>0.19</v>
      </c>
      <c r="H23962">
        <v>250930</v>
      </c>
      <c r="I23962">
        <v>4572</v>
      </c>
      <c r="J23962" t="s">
        <v>173</v>
      </c>
      <c r="K23962">
        <v>0.72</v>
      </c>
      <c r="L23962">
        <v>0.04</v>
      </c>
      <c r="M23962">
        <v>59112</v>
      </c>
      <c r="N23962" t="s">
        <v>44</v>
      </c>
      <c r="O23962">
        <v>251007</v>
      </c>
      <c r="P23962">
        <v>0.15</v>
      </c>
    </row>
    <row r="23963" spans="1:16" x14ac:dyDescent="0.25">
      <c r="A23963" t="s">
        <v>3296</v>
      </c>
      <c r="B23963" t="s">
        <v>2931</v>
      </c>
      <c r="C23963">
        <v>13319</v>
      </c>
      <c r="D23963" t="str">
        <f>"55251588878 "</f>
        <v xml:space="preserve">55251588878 </v>
      </c>
      <c r="E23963" t="s">
        <v>1845</v>
      </c>
      <c r="F23963" t="s">
        <v>1846</v>
      </c>
      <c r="G23963">
        <v>0.53</v>
      </c>
      <c r="H23963">
        <v>250930</v>
      </c>
      <c r="I23963">
        <v>4572</v>
      </c>
      <c r="J23963" t="s">
        <v>173</v>
      </c>
      <c r="K23963">
        <v>0.72</v>
      </c>
      <c r="L23963">
        <v>0.11</v>
      </c>
      <c r="M23963">
        <v>59504</v>
      </c>
      <c r="N23963" t="s">
        <v>193</v>
      </c>
      <c r="O23963">
        <v>251007</v>
      </c>
      <c r="P23963">
        <v>0.42</v>
      </c>
    </row>
    <row r="23964" spans="1:16" x14ac:dyDescent="0.25">
      <c r="A23964" t="s">
        <v>3296</v>
      </c>
      <c r="B23964" t="s">
        <v>2931</v>
      </c>
      <c r="C23964">
        <v>13320</v>
      </c>
      <c r="D23964" t="str">
        <f>"55251588706 "</f>
        <v xml:space="preserve">55251588706 </v>
      </c>
      <c r="E23964" t="s">
        <v>1845</v>
      </c>
      <c r="F23964" t="s">
        <v>1846</v>
      </c>
      <c r="G23964">
        <v>44.46</v>
      </c>
      <c r="H23964">
        <v>250930</v>
      </c>
      <c r="I23964">
        <v>4572</v>
      </c>
      <c r="J23964" t="s">
        <v>173</v>
      </c>
      <c r="K23964">
        <v>1482.12</v>
      </c>
      <c r="L23964">
        <v>9.0299999999999994</v>
      </c>
      <c r="M23964">
        <v>17739</v>
      </c>
      <c r="N23964" t="s">
        <v>928</v>
      </c>
      <c r="O23964">
        <v>251007</v>
      </c>
      <c r="P23964">
        <v>35.43</v>
      </c>
    </row>
    <row r="23965" spans="1:16" x14ac:dyDescent="0.25">
      <c r="A23965" t="s">
        <v>3296</v>
      </c>
      <c r="B23965" t="s">
        <v>2931</v>
      </c>
      <c r="C23965">
        <v>13320</v>
      </c>
      <c r="D23965" t="str">
        <f>"55251588706 "</f>
        <v xml:space="preserve">55251588706 </v>
      </c>
      <c r="E23965" t="s">
        <v>1845</v>
      </c>
      <c r="F23965" t="s">
        <v>1846</v>
      </c>
      <c r="G23965">
        <v>489.1</v>
      </c>
      <c r="H23965">
        <v>250930</v>
      </c>
      <c r="I23965">
        <v>4572</v>
      </c>
      <c r="J23965" t="s">
        <v>173</v>
      </c>
      <c r="K23965">
        <v>1482.12</v>
      </c>
      <c r="L23965">
        <v>99.38</v>
      </c>
      <c r="M23965">
        <v>17912</v>
      </c>
      <c r="N23965" t="s">
        <v>505</v>
      </c>
      <c r="O23965">
        <v>251007</v>
      </c>
      <c r="P23965">
        <v>389.72</v>
      </c>
    </row>
    <row r="23966" spans="1:16" x14ac:dyDescent="0.25">
      <c r="A23966" t="s">
        <v>3296</v>
      </c>
      <c r="B23966" t="s">
        <v>2931</v>
      </c>
      <c r="C23966">
        <v>13320</v>
      </c>
      <c r="D23966" t="str">
        <f>"55251588706 "</f>
        <v xml:space="preserve">55251588706 </v>
      </c>
      <c r="E23966" t="s">
        <v>1845</v>
      </c>
      <c r="F23966" t="s">
        <v>1846</v>
      </c>
      <c r="G23966">
        <v>948.56</v>
      </c>
      <c r="H23966">
        <v>250930</v>
      </c>
      <c r="I23966">
        <v>4572</v>
      </c>
      <c r="J23966" t="s">
        <v>173</v>
      </c>
      <c r="K23966">
        <v>1482.12</v>
      </c>
      <c r="L23966">
        <v>192.74</v>
      </c>
      <c r="M23966">
        <v>17952</v>
      </c>
      <c r="N23966" t="s">
        <v>157</v>
      </c>
      <c r="O23966">
        <v>251007</v>
      </c>
      <c r="P23966">
        <v>755.82</v>
      </c>
    </row>
    <row r="23967" spans="1:16" x14ac:dyDescent="0.25">
      <c r="A23967" t="s">
        <v>3296</v>
      </c>
      <c r="B23967" t="s">
        <v>2931</v>
      </c>
      <c r="C23967">
        <v>13321</v>
      </c>
      <c r="D23967" t="str">
        <f>"55251588715 "</f>
        <v xml:space="preserve">55251588715 </v>
      </c>
      <c r="E23967" t="s">
        <v>1845</v>
      </c>
      <c r="F23967" t="s">
        <v>1846</v>
      </c>
      <c r="G23967">
        <v>2.66</v>
      </c>
      <c r="H23967">
        <v>250930</v>
      </c>
      <c r="I23967">
        <v>4572</v>
      </c>
      <c r="J23967" t="s">
        <v>173</v>
      </c>
      <c r="K23967">
        <v>8.86</v>
      </c>
      <c r="L23967">
        <v>0.54</v>
      </c>
      <c r="M23967">
        <v>14952</v>
      </c>
      <c r="N23967" t="s">
        <v>213</v>
      </c>
      <c r="O23967">
        <v>251007</v>
      </c>
      <c r="P23967">
        <v>2.12</v>
      </c>
    </row>
    <row r="23968" spans="1:16" x14ac:dyDescent="0.25">
      <c r="A23968" t="s">
        <v>3296</v>
      </c>
      <c r="B23968" t="s">
        <v>2931</v>
      </c>
      <c r="C23968">
        <v>13321</v>
      </c>
      <c r="D23968" t="str">
        <f>"55251588715 "</f>
        <v xml:space="preserve">55251588715 </v>
      </c>
      <c r="E23968" t="s">
        <v>1845</v>
      </c>
      <c r="F23968" t="s">
        <v>1846</v>
      </c>
      <c r="G23968">
        <v>6.2</v>
      </c>
      <c r="H23968">
        <v>250930</v>
      </c>
      <c r="I23968">
        <v>4572</v>
      </c>
      <c r="J23968" t="s">
        <v>173</v>
      </c>
      <c r="K23968">
        <v>8.86</v>
      </c>
      <c r="L23968">
        <v>1.26</v>
      </c>
      <c r="M23968">
        <v>14981</v>
      </c>
      <c r="N23968" t="s">
        <v>252</v>
      </c>
      <c r="O23968">
        <v>251007</v>
      </c>
      <c r="P23968">
        <v>4.9400000000000004</v>
      </c>
    </row>
    <row r="23969" spans="1:16" x14ac:dyDescent="0.25">
      <c r="A23969" t="s">
        <v>3296</v>
      </c>
      <c r="B23969" t="s">
        <v>2931</v>
      </c>
      <c r="C23969">
        <v>13323</v>
      </c>
      <c r="D23969" t="str">
        <f>"55251588591 "</f>
        <v xml:space="preserve">55251588591 </v>
      </c>
      <c r="E23969" t="s">
        <v>1845</v>
      </c>
      <c r="F23969" t="s">
        <v>1846</v>
      </c>
      <c r="G23969">
        <v>2.71</v>
      </c>
      <c r="H23969">
        <v>250930</v>
      </c>
      <c r="I23969">
        <v>4572</v>
      </c>
      <c r="J23969" t="s">
        <v>173</v>
      </c>
      <c r="K23969">
        <v>10.050000000000001</v>
      </c>
      <c r="L23969">
        <v>0.55000000000000004</v>
      </c>
      <c r="M23969">
        <v>59112</v>
      </c>
      <c r="N23969" t="s">
        <v>44</v>
      </c>
      <c r="O23969">
        <v>251007</v>
      </c>
      <c r="P23969">
        <v>2.16</v>
      </c>
    </row>
    <row r="23970" spans="1:16" x14ac:dyDescent="0.25">
      <c r="A23970" t="s">
        <v>3296</v>
      </c>
      <c r="B23970" t="s">
        <v>2931</v>
      </c>
      <c r="C23970">
        <v>13323</v>
      </c>
      <c r="D23970" t="str">
        <f>"55251588591 "</f>
        <v xml:space="preserve">55251588591 </v>
      </c>
      <c r="E23970" t="s">
        <v>1845</v>
      </c>
      <c r="F23970" t="s">
        <v>1846</v>
      </c>
      <c r="G23970">
        <v>7.34</v>
      </c>
      <c r="H23970">
        <v>250930</v>
      </c>
      <c r="I23970">
        <v>4572</v>
      </c>
      <c r="J23970" t="s">
        <v>173</v>
      </c>
      <c r="K23970">
        <v>10.050000000000001</v>
      </c>
      <c r="L23970">
        <v>1.49</v>
      </c>
      <c r="M23970">
        <v>59504</v>
      </c>
      <c r="N23970" t="s">
        <v>193</v>
      </c>
      <c r="O23970">
        <v>251007</v>
      </c>
      <c r="P23970">
        <v>5.85</v>
      </c>
    </row>
    <row r="23971" spans="1:16" x14ac:dyDescent="0.25">
      <c r="A23971" t="s">
        <v>3296</v>
      </c>
      <c r="B23971" t="s">
        <v>2931</v>
      </c>
      <c r="C23971">
        <v>13324</v>
      </c>
      <c r="D23971" t="str">
        <f>"55251588727 "</f>
        <v xml:space="preserve">55251588727 </v>
      </c>
      <c r="E23971" t="s">
        <v>1845</v>
      </c>
      <c r="F23971" t="s">
        <v>1846</v>
      </c>
      <c r="G23971">
        <v>10.52</v>
      </c>
      <c r="H23971">
        <v>250930</v>
      </c>
      <c r="I23971">
        <v>4572</v>
      </c>
      <c r="J23971" t="s">
        <v>173</v>
      </c>
      <c r="K23971">
        <v>10.52</v>
      </c>
      <c r="L23971">
        <v>2.14</v>
      </c>
      <c r="M23971">
        <v>13841</v>
      </c>
      <c r="N23971" t="s">
        <v>178</v>
      </c>
      <c r="O23971">
        <v>251007</v>
      </c>
      <c r="P23971">
        <v>8.3800000000000008</v>
      </c>
    </row>
    <row r="23972" spans="1:16" x14ac:dyDescent="0.25">
      <c r="A23972" t="s">
        <v>3296</v>
      </c>
      <c r="B23972" t="s">
        <v>2931</v>
      </c>
      <c r="C23972">
        <v>13327</v>
      </c>
      <c r="D23972" t="str">
        <f>"55251588728 "</f>
        <v xml:space="preserve">55251588728 </v>
      </c>
      <c r="E23972" t="s">
        <v>1845</v>
      </c>
      <c r="F23972" t="s">
        <v>1846</v>
      </c>
      <c r="G23972">
        <v>5.69</v>
      </c>
      <c r="H23972">
        <v>250930</v>
      </c>
      <c r="I23972">
        <v>4572</v>
      </c>
      <c r="J23972" t="s">
        <v>173</v>
      </c>
      <c r="K23972">
        <v>5.69</v>
      </c>
      <c r="L23972">
        <v>1.1599999999999999</v>
      </c>
      <c r="M23972">
        <v>17981</v>
      </c>
      <c r="N23972" t="s">
        <v>927</v>
      </c>
      <c r="O23972">
        <v>251008</v>
      </c>
      <c r="P23972">
        <v>4.53</v>
      </c>
    </row>
    <row r="23973" spans="1:16" x14ac:dyDescent="0.25">
      <c r="A23973" t="s">
        <v>3296</v>
      </c>
      <c r="B23973" t="s">
        <v>2931</v>
      </c>
      <c r="C23973">
        <v>13328</v>
      </c>
      <c r="D23973" t="str">
        <f>"55251588705 "</f>
        <v xml:space="preserve">55251588705 </v>
      </c>
      <c r="E23973" t="s">
        <v>1845</v>
      </c>
      <c r="F23973" t="s">
        <v>1846</v>
      </c>
      <c r="G23973">
        <v>26.33</v>
      </c>
      <c r="H23973">
        <v>250930</v>
      </c>
      <c r="I23973">
        <v>4572</v>
      </c>
      <c r="J23973" t="s">
        <v>173</v>
      </c>
      <c r="K23973">
        <v>26.33</v>
      </c>
      <c r="L23973">
        <v>5.35</v>
      </c>
      <c r="M23973">
        <v>17956</v>
      </c>
      <c r="N23973" t="s">
        <v>170</v>
      </c>
      <c r="O23973">
        <v>251008</v>
      </c>
      <c r="P23973">
        <v>20.98</v>
      </c>
    </row>
    <row r="23974" spans="1:16" x14ac:dyDescent="0.25">
      <c r="A23974" t="s">
        <v>3296</v>
      </c>
      <c r="B23974" t="s">
        <v>2931</v>
      </c>
      <c r="C23974">
        <v>13329</v>
      </c>
      <c r="D23974" t="str">
        <f>"55251588529 "</f>
        <v xml:space="preserve">55251588529 </v>
      </c>
      <c r="E23974" t="s">
        <v>1845</v>
      </c>
      <c r="F23974" t="s">
        <v>1846</v>
      </c>
      <c r="G23974">
        <v>70.27</v>
      </c>
      <c r="H23974">
        <v>250930</v>
      </c>
      <c r="I23974">
        <v>4572</v>
      </c>
      <c r="J23974" t="s">
        <v>173</v>
      </c>
      <c r="K23974">
        <v>234.25</v>
      </c>
      <c r="L23974">
        <v>14.28</v>
      </c>
      <c r="M23974">
        <v>11401</v>
      </c>
      <c r="N23974" t="s">
        <v>91</v>
      </c>
      <c r="O23974">
        <v>251008</v>
      </c>
      <c r="P23974">
        <v>55.99</v>
      </c>
    </row>
    <row r="23975" spans="1:16" x14ac:dyDescent="0.25">
      <c r="A23975" t="s">
        <v>3296</v>
      </c>
      <c r="B23975" t="s">
        <v>2931</v>
      </c>
      <c r="C23975">
        <v>13329</v>
      </c>
      <c r="D23975" t="str">
        <f>"55251588529 "</f>
        <v xml:space="preserve">55251588529 </v>
      </c>
      <c r="E23975" t="s">
        <v>1845</v>
      </c>
      <c r="F23975" t="s">
        <v>1846</v>
      </c>
      <c r="G23975">
        <v>163.98</v>
      </c>
      <c r="H23975">
        <v>250930</v>
      </c>
      <c r="I23975">
        <v>4572</v>
      </c>
      <c r="J23975" t="s">
        <v>173</v>
      </c>
      <c r="K23975">
        <v>234.25</v>
      </c>
      <c r="L23975">
        <v>33.32</v>
      </c>
      <c r="M23975">
        <v>14952</v>
      </c>
      <c r="N23975" t="s">
        <v>213</v>
      </c>
      <c r="O23975">
        <v>251008</v>
      </c>
      <c r="P23975">
        <v>130.66</v>
      </c>
    </row>
    <row r="23976" spans="1:16" x14ac:dyDescent="0.25">
      <c r="A23976" t="s">
        <v>3296</v>
      </c>
      <c r="B23976" t="s">
        <v>2931</v>
      </c>
      <c r="C23976">
        <v>13330</v>
      </c>
      <c r="D23976" t="str">
        <f>"55251588517 "</f>
        <v xml:space="preserve">55251588517 </v>
      </c>
      <c r="E23976" t="s">
        <v>1845</v>
      </c>
      <c r="F23976" t="s">
        <v>1846</v>
      </c>
      <c r="G23976">
        <v>171.04</v>
      </c>
      <c r="H23976">
        <v>250930</v>
      </c>
      <c r="I23976">
        <v>4572</v>
      </c>
      <c r="J23976" t="s">
        <v>173</v>
      </c>
      <c r="K23976">
        <v>570.12</v>
      </c>
      <c r="L23976">
        <v>34.75</v>
      </c>
      <c r="M23976">
        <v>14952</v>
      </c>
      <c r="N23976" t="s">
        <v>213</v>
      </c>
      <c r="O23976">
        <v>251008</v>
      </c>
      <c r="P23976">
        <v>136.29</v>
      </c>
    </row>
    <row r="23977" spans="1:16" x14ac:dyDescent="0.25">
      <c r="A23977" t="s">
        <v>3296</v>
      </c>
      <c r="B23977" t="s">
        <v>2931</v>
      </c>
      <c r="C23977">
        <v>13330</v>
      </c>
      <c r="D23977" t="str">
        <f>"55251588517 "</f>
        <v xml:space="preserve">55251588517 </v>
      </c>
      <c r="E23977" t="s">
        <v>1845</v>
      </c>
      <c r="F23977" t="s">
        <v>1846</v>
      </c>
      <c r="G23977">
        <v>399.08</v>
      </c>
      <c r="H23977">
        <v>250930</v>
      </c>
      <c r="I23977">
        <v>4572</v>
      </c>
      <c r="J23977" t="s">
        <v>173</v>
      </c>
      <c r="K23977">
        <v>570.12</v>
      </c>
      <c r="L23977">
        <v>81.09</v>
      </c>
      <c r="M23977">
        <v>14981</v>
      </c>
      <c r="N23977" t="s">
        <v>252</v>
      </c>
      <c r="O23977">
        <v>251008</v>
      </c>
      <c r="P23977">
        <v>317.99</v>
      </c>
    </row>
    <row r="23978" spans="1:16" x14ac:dyDescent="0.25">
      <c r="A23978" t="s">
        <v>3296</v>
      </c>
      <c r="B23978" t="s">
        <v>2931</v>
      </c>
      <c r="C23978">
        <v>13340</v>
      </c>
      <c r="D23978" t="str">
        <f>"55251588879 "</f>
        <v xml:space="preserve">55251588879 </v>
      </c>
      <c r="E23978" t="s">
        <v>1845</v>
      </c>
      <c r="F23978" t="s">
        <v>1846</v>
      </c>
      <c r="G23978">
        <v>34.4</v>
      </c>
      <c r="H23978">
        <v>250930</v>
      </c>
      <c r="I23978">
        <v>4572</v>
      </c>
      <c r="J23978" t="s">
        <v>173</v>
      </c>
      <c r="K23978">
        <v>34.4</v>
      </c>
      <c r="L23978">
        <v>0</v>
      </c>
      <c r="M23978">
        <v>11001</v>
      </c>
      <c r="N23978" t="s">
        <v>93</v>
      </c>
      <c r="O23978">
        <v>251008</v>
      </c>
      <c r="P23978">
        <v>34.4</v>
      </c>
    </row>
    <row r="23979" spans="1:16" x14ac:dyDescent="0.25">
      <c r="A23979" t="s">
        <v>3296</v>
      </c>
      <c r="B23979" t="s">
        <v>2931</v>
      </c>
      <c r="C23979">
        <v>13390</v>
      </c>
      <c r="D23979" t="str">
        <f>"55251588927 "</f>
        <v xml:space="preserve">55251588927 </v>
      </c>
      <c r="E23979" t="s">
        <v>1845</v>
      </c>
      <c r="F23979" t="s">
        <v>1846</v>
      </c>
      <c r="G23979">
        <v>35.770000000000003</v>
      </c>
      <c r="H23979">
        <v>250930</v>
      </c>
      <c r="I23979">
        <v>4572</v>
      </c>
      <c r="J23979" t="s">
        <v>173</v>
      </c>
      <c r="K23979">
        <v>35.770000000000003</v>
      </c>
      <c r="L23979">
        <v>7.27</v>
      </c>
      <c r="M23979">
        <v>13841</v>
      </c>
      <c r="N23979" t="s">
        <v>178</v>
      </c>
      <c r="O23979">
        <v>251008</v>
      </c>
      <c r="P23979">
        <v>28.5</v>
      </c>
    </row>
    <row r="23980" spans="1:16" x14ac:dyDescent="0.25">
      <c r="A23980" t="s">
        <v>3296</v>
      </c>
      <c r="B23980" t="s">
        <v>2931</v>
      </c>
      <c r="C23980">
        <v>13397</v>
      </c>
      <c r="D23980" t="str">
        <f>"55251588580 "</f>
        <v xml:space="preserve">55251588580 </v>
      </c>
      <c r="E23980" t="s">
        <v>1845</v>
      </c>
      <c r="F23980" t="s">
        <v>1846</v>
      </c>
      <c r="G23980">
        <v>208.17</v>
      </c>
      <c r="H23980">
        <v>250930</v>
      </c>
      <c r="I23980">
        <v>4572</v>
      </c>
      <c r="J23980" t="s">
        <v>173</v>
      </c>
      <c r="K23980">
        <v>208.17</v>
      </c>
      <c r="L23980">
        <v>42.3</v>
      </c>
      <c r="M23980">
        <v>13841</v>
      </c>
      <c r="N23980" t="s">
        <v>178</v>
      </c>
      <c r="O23980">
        <v>251008</v>
      </c>
      <c r="P23980">
        <v>165.87</v>
      </c>
    </row>
    <row r="23981" spans="1:16" x14ac:dyDescent="0.25">
      <c r="A23981" t="s">
        <v>3296</v>
      </c>
      <c r="B23981" t="s">
        <v>2931</v>
      </c>
      <c r="C23981">
        <v>13492</v>
      </c>
      <c r="D23981" t="str">
        <f>"55251588736 "</f>
        <v xml:space="preserve">55251588736 </v>
      </c>
      <c r="E23981" t="s">
        <v>1845</v>
      </c>
      <c r="F23981" t="s">
        <v>1846</v>
      </c>
      <c r="G23981">
        <v>1272.1400000000001</v>
      </c>
      <c r="H23981">
        <v>250930</v>
      </c>
      <c r="I23981">
        <v>4572</v>
      </c>
      <c r="J23981" t="s">
        <v>173</v>
      </c>
      <c r="K23981">
        <v>1339.09</v>
      </c>
      <c r="L23981">
        <v>258.48</v>
      </c>
      <c r="M23981">
        <v>49501</v>
      </c>
      <c r="N23981" t="s">
        <v>110</v>
      </c>
      <c r="O23981">
        <v>251010</v>
      </c>
      <c r="P23981">
        <v>1013.66</v>
      </c>
    </row>
    <row r="23982" spans="1:16" x14ac:dyDescent="0.25">
      <c r="A23982" t="s">
        <v>3296</v>
      </c>
      <c r="B23982" t="s">
        <v>2931</v>
      </c>
      <c r="C23982">
        <v>13492</v>
      </c>
      <c r="D23982" t="str">
        <f>"55251588736 "</f>
        <v xml:space="preserve">55251588736 </v>
      </c>
      <c r="E23982" t="s">
        <v>1845</v>
      </c>
      <c r="F23982" t="s">
        <v>1846</v>
      </c>
      <c r="G23982">
        <v>66.95</v>
      </c>
      <c r="H23982">
        <v>250930</v>
      </c>
      <c r="I23982">
        <v>4572</v>
      </c>
      <c r="J23982" t="s">
        <v>173</v>
      </c>
      <c r="K23982">
        <v>1339.09</v>
      </c>
      <c r="L23982">
        <v>13.6</v>
      </c>
      <c r="M23982">
        <v>49801</v>
      </c>
      <c r="N23982" t="s">
        <v>953</v>
      </c>
      <c r="O23982">
        <v>251010</v>
      </c>
      <c r="P23982">
        <v>53.35</v>
      </c>
    </row>
    <row r="23983" spans="1:16" x14ac:dyDescent="0.25">
      <c r="A23983" t="s">
        <v>3296</v>
      </c>
      <c r="B23983" t="s">
        <v>2931</v>
      </c>
      <c r="C23983">
        <v>13493</v>
      </c>
      <c r="D23983" t="str">
        <f>"55251588745 "</f>
        <v xml:space="preserve">55251588745 </v>
      </c>
      <c r="E23983" t="s">
        <v>1845</v>
      </c>
      <c r="F23983" t="s">
        <v>1846</v>
      </c>
      <c r="G23983">
        <v>554.29999999999995</v>
      </c>
      <c r="H23983">
        <v>250930</v>
      </c>
      <c r="I23983">
        <v>4572</v>
      </c>
      <c r="J23983" t="s">
        <v>173</v>
      </c>
      <c r="K23983">
        <v>554.29999999999995</v>
      </c>
      <c r="L23983">
        <v>112.63</v>
      </c>
      <c r="M23983">
        <v>49503</v>
      </c>
      <c r="N23983" t="s">
        <v>267</v>
      </c>
      <c r="O23983">
        <v>251010</v>
      </c>
      <c r="P23983">
        <v>441.67</v>
      </c>
    </row>
    <row r="23984" spans="1:16" x14ac:dyDescent="0.25">
      <c r="A23984" t="s">
        <v>3296</v>
      </c>
      <c r="B23984" t="s">
        <v>2931</v>
      </c>
      <c r="C23984">
        <v>13495</v>
      </c>
      <c r="D23984" t="str">
        <f>"55251588832 "</f>
        <v xml:space="preserve">55251588832 </v>
      </c>
      <c r="E23984" t="s">
        <v>1845</v>
      </c>
      <c r="F23984" t="s">
        <v>1846</v>
      </c>
      <c r="G23984">
        <v>990.63</v>
      </c>
      <c r="H23984">
        <v>250930</v>
      </c>
      <c r="I23984">
        <v>4572</v>
      </c>
      <c r="J23984" t="s">
        <v>173</v>
      </c>
      <c r="K23984">
        <v>1125.72</v>
      </c>
      <c r="L23984">
        <v>201.28</v>
      </c>
      <c r="M23984">
        <v>59505</v>
      </c>
      <c r="N23984" t="s">
        <v>194</v>
      </c>
      <c r="O23984">
        <v>251010</v>
      </c>
      <c r="P23984">
        <v>789.35</v>
      </c>
    </row>
    <row r="23985" spans="1:16" x14ac:dyDescent="0.25">
      <c r="A23985" t="s">
        <v>3296</v>
      </c>
      <c r="B23985" t="s">
        <v>2931</v>
      </c>
      <c r="C23985">
        <v>13495</v>
      </c>
      <c r="D23985" t="str">
        <f>"55251588832 "</f>
        <v xml:space="preserve">55251588832 </v>
      </c>
      <c r="E23985" t="s">
        <v>1845</v>
      </c>
      <c r="F23985" t="s">
        <v>1846</v>
      </c>
      <c r="G23985">
        <v>135.09</v>
      </c>
      <c r="H23985">
        <v>250930</v>
      </c>
      <c r="I23985">
        <v>4572</v>
      </c>
      <c r="J23985" t="s">
        <v>173</v>
      </c>
      <c r="K23985">
        <v>1125.72</v>
      </c>
      <c r="L23985">
        <v>27.45</v>
      </c>
      <c r="M23985">
        <v>59812</v>
      </c>
      <c r="N23985" t="s">
        <v>196</v>
      </c>
      <c r="O23985">
        <v>251010</v>
      </c>
      <c r="P23985">
        <v>107.64</v>
      </c>
    </row>
    <row r="23986" spans="1:16" x14ac:dyDescent="0.25">
      <c r="A23986" t="s">
        <v>3296</v>
      </c>
      <c r="B23986" t="s">
        <v>2931</v>
      </c>
      <c r="C23986">
        <v>13514</v>
      </c>
      <c r="D23986" t="str">
        <f>"55251588770 "</f>
        <v xml:space="preserve">55251588770 </v>
      </c>
      <c r="E23986" t="s">
        <v>1845</v>
      </c>
      <c r="F23986" t="s">
        <v>1846</v>
      </c>
      <c r="G23986">
        <v>2219.2800000000002</v>
      </c>
      <c r="H23986">
        <v>250930</v>
      </c>
      <c r="I23986">
        <v>4572</v>
      </c>
      <c r="J23986" t="s">
        <v>173</v>
      </c>
      <c r="K23986">
        <v>3638.16</v>
      </c>
      <c r="L23986">
        <v>450.93</v>
      </c>
      <c r="M23986">
        <v>59502</v>
      </c>
      <c r="N23986" t="s">
        <v>63</v>
      </c>
      <c r="O23986">
        <v>251010</v>
      </c>
      <c r="P23986">
        <v>1768.35</v>
      </c>
    </row>
    <row r="23987" spans="1:16" x14ac:dyDescent="0.25">
      <c r="A23987" t="s">
        <v>3296</v>
      </c>
      <c r="B23987" t="s">
        <v>2931</v>
      </c>
      <c r="C23987">
        <v>13514</v>
      </c>
      <c r="D23987" t="str">
        <f>"55251588770 "</f>
        <v xml:space="preserve">55251588770 </v>
      </c>
      <c r="E23987" t="s">
        <v>1845</v>
      </c>
      <c r="F23987" t="s">
        <v>1846</v>
      </c>
      <c r="G23987">
        <v>1418.88</v>
      </c>
      <c r="H23987">
        <v>250930</v>
      </c>
      <c r="I23987">
        <v>4572</v>
      </c>
      <c r="J23987" t="s">
        <v>173</v>
      </c>
      <c r="K23987">
        <v>3638.16</v>
      </c>
      <c r="L23987">
        <v>288.3</v>
      </c>
      <c r="M23987">
        <v>59802</v>
      </c>
      <c r="N23987" t="s">
        <v>195</v>
      </c>
      <c r="O23987">
        <v>251010</v>
      </c>
      <c r="P23987">
        <v>1130.58</v>
      </c>
    </row>
    <row r="23988" spans="1:16" x14ac:dyDescent="0.25">
      <c r="A23988" t="s">
        <v>3296</v>
      </c>
      <c r="B23988" t="s">
        <v>2931</v>
      </c>
      <c r="C23988">
        <v>13517</v>
      </c>
      <c r="D23988" t="str">
        <f>"55251588709 "</f>
        <v xml:space="preserve">55251588709 </v>
      </c>
      <c r="E23988" t="s">
        <v>1845</v>
      </c>
      <c r="F23988" t="s">
        <v>1846</v>
      </c>
      <c r="G23988">
        <v>336.06</v>
      </c>
      <c r="H23988">
        <v>250930</v>
      </c>
      <c r="I23988">
        <v>4572</v>
      </c>
      <c r="J23988" t="s">
        <v>173</v>
      </c>
      <c r="K23988">
        <v>5600.95</v>
      </c>
      <c r="L23988">
        <v>68.28</v>
      </c>
      <c r="M23988">
        <v>59111</v>
      </c>
      <c r="N23988" t="s">
        <v>60</v>
      </c>
      <c r="O23988">
        <v>251010</v>
      </c>
      <c r="P23988">
        <v>267.77999999999997</v>
      </c>
    </row>
    <row r="23989" spans="1:16" x14ac:dyDescent="0.25">
      <c r="A23989" t="s">
        <v>3296</v>
      </c>
      <c r="B23989" t="s">
        <v>2931</v>
      </c>
      <c r="C23989">
        <v>13517</v>
      </c>
      <c r="D23989" t="str">
        <f>"55251588709 "</f>
        <v xml:space="preserve">55251588709 </v>
      </c>
      <c r="E23989" t="s">
        <v>1845</v>
      </c>
      <c r="F23989" t="s">
        <v>1846</v>
      </c>
      <c r="G23989">
        <v>5264.89</v>
      </c>
      <c r="H23989">
        <v>250930</v>
      </c>
      <c r="I23989">
        <v>4572</v>
      </c>
      <c r="J23989" t="s">
        <v>173</v>
      </c>
      <c r="K23989">
        <v>5600.95</v>
      </c>
      <c r="L23989">
        <v>1069.76</v>
      </c>
      <c r="M23989">
        <v>59501</v>
      </c>
      <c r="N23989" t="s">
        <v>62</v>
      </c>
      <c r="O23989">
        <v>251010</v>
      </c>
      <c r="P23989">
        <v>4195.13</v>
      </c>
    </row>
    <row r="23990" spans="1:16" x14ac:dyDescent="0.25">
      <c r="A23990" t="s">
        <v>3296</v>
      </c>
      <c r="B23990" t="s">
        <v>2931</v>
      </c>
      <c r="C23990">
        <v>13519</v>
      </c>
      <c r="D23990" t="str">
        <f>"55251588866 "</f>
        <v xml:space="preserve">55251588866 </v>
      </c>
      <c r="E23990" t="s">
        <v>1845</v>
      </c>
      <c r="F23990" t="s">
        <v>1846</v>
      </c>
      <c r="G23990">
        <v>1452.1</v>
      </c>
      <c r="H23990">
        <v>250930</v>
      </c>
      <c r="I23990">
        <v>4572</v>
      </c>
      <c r="J23990" t="s">
        <v>173</v>
      </c>
      <c r="K23990">
        <v>5291.9</v>
      </c>
      <c r="L23990">
        <v>295.05</v>
      </c>
      <c r="M23990">
        <v>69111</v>
      </c>
      <c r="N23990" t="s">
        <v>657</v>
      </c>
      <c r="O23990">
        <v>251010</v>
      </c>
      <c r="P23990">
        <v>1157.05</v>
      </c>
    </row>
    <row r="23991" spans="1:16" x14ac:dyDescent="0.25">
      <c r="A23991" t="s">
        <v>3296</v>
      </c>
      <c r="B23991" t="s">
        <v>2931</v>
      </c>
      <c r="C23991">
        <v>13519</v>
      </c>
      <c r="D23991" t="str">
        <f>"55251588866 "</f>
        <v xml:space="preserve">55251588866 </v>
      </c>
      <c r="E23991" t="s">
        <v>1845</v>
      </c>
      <c r="F23991" t="s">
        <v>1846</v>
      </c>
      <c r="G23991">
        <v>3810.17</v>
      </c>
      <c r="H23991">
        <v>250930</v>
      </c>
      <c r="I23991">
        <v>4572</v>
      </c>
      <c r="J23991" t="s">
        <v>173</v>
      </c>
      <c r="K23991">
        <v>5291.9</v>
      </c>
      <c r="L23991">
        <v>774.18</v>
      </c>
      <c r="M23991">
        <v>69501</v>
      </c>
      <c r="N23991" t="s">
        <v>123</v>
      </c>
      <c r="O23991">
        <v>251010</v>
      </c>
      <c r="P23991">
        <v>3035.99</v>
      </c>
    </row>
    <row r="23992" spans="1:16" x14ac:dyDescent="0.25">
      <c r="A23992" t="s">
        <v>3296</v>
      </c>
      <c r="B23992" t="s">
        <v>2931</v>
      </c>
      <c r="C23992">
        <v>13519</v>
      </c>
      <c r="D23992" t="str">
        <f>"55251588866 "</f>
        <v xml:space="preserve">55251588866 </v>
      </c>
      <c r="E23992" t="s">
        <v>1845</v>
      </c>
      <c r="F23992" t="s">
        <v>1846</v>
      </c>
      <c r="G23992">
        <v>29.63</v>
      </c>
      <c r="H23992">
        <v>250930</v>
      </c>
      <c r="I23992">
        <v>4572</v>
      </c>
      <c r="J23992" t="s">
        <v>173</v>
      </c>
      <c r="K23992">
        <v>5291.9</v>
      </c>
      <c r="L23992">
        <v>0</v>
      </c>
      <c r="M23992">
        <v>69803</v>
      </c>
      <c r="N23992" t="s">
        <v>391</v>
      </c>
      <c r="O23992">
        <v>251010</v>
      </c>
      <c r="P23992">
        <v>29.63</v>
      </c>
    </row>
    <row r="23993" spans="1:16" x14ac:dyDescent="0.25">
      <c r="A23993" t="s">
        <v>3296</v>
      </c>
      <c r="B23993" t="s">
        <v>2931</v>
      </c>
      <c r="C23993">
        <v>13520</v>
      </c>
      <c r="D23993" t="str">
        <f>"55251588672 "</f>
        <v xml:space="preserve">55251588672 </v>
      </c>
      <c r="E23993" t="s">
        <v>1845</v>
      </c>
      <c r="F23993" t="s">
        <v>1846</v>
      </c>
      <c r="G23993">
        <v>114.39</v>
      </c>
      <c r="H23993">
        <v>250930</v>
      </c>
      <c r="I23993">
        <v>4572</v>
      </c>
      <c r="J23993" t="s">
        <v>173</v>
      </c>
      <c r="K23993">
        <v>3813.13</v>
      </c>
      <c r="L23993">
        <v>23.24</v>
      </c>
      <c r="M23993">
        <v>49111</v>
      </c>
      <c r="N23993" t="s">
        <v>108</v>
      </c>
      <c r="O23993">
        <v>251010</v>
      </c>
      <c r="P23993">
        <v>91.15</v>
      </c>
    </row>
    <row r="23994" spans="1:16" x14ac:dyDescent="0.25">
      <c r="A23994" t="s">
        <v>3296</v>
      </c>
      <c r="B23994" t="s">
        <v>2931</v>
      </c>
      <c r="C23994">
        <v>13520</v>
      </c>
      <c r="D23994" t="str">
        <f>"55251588672 "</f>
        <v xml:space="preserve">55251588672 </v>
      </c>
      <c r="E23994" t="s">
        <v>1845</v>
      </c>
      <c r="F23994" t="s">
        <v>1846</v>
      </c>
      <c r="G23994">
        <v>3527.15</v>
      </c>
      <c r="H23994">
        <v>250930</v>
      </c>
      <c r="I23994">
        <v>4572</v>
      </c>
      <c r="J23994" t="s">
        <v>173</v>
      </c>
      <c r="K23994">
        <v>3813.13</v>
      </c>
      <c r="L23994">
        <v>716.67</v>
      </c>
      <c r="M23994">
        <v>49501</v>
      </c>
      <c r="N23994" t="s">
        <v>110</v>
      </c>
      <c r="O23994">
        <v>251010</v>
      </c>
      <c r="P23994">
        <v>2810.48</v>
      </c>
    </row>
    <row r="23995" spans="1:16" x14ac:dyDescent="0.25">
      <c r="A23995" t="s">
        <v>3296</v>
      </c>
      <c r="B23995" t="s">
        <v>2931</v>
      </c>
      <c r="C23995">
        <v>13520</v>
      </c>
      <c r="D23995" t="str">
        <f>"55251588672 "</f>
        <v xml:space="preserve">55251588672 </v>
      </c>
      <c r="E23995" t="s">
        <v>1845</v>
      </c>
      <c r="F23995" t="s">
        <v>1846</v>
      </c>
      <c r="G23995">
        <v>114.39</v>
      </c>
      <c r="H23995">
        <v>250930</v>
      </c>
      <c r="I23995">
        <v>4572</v>
      </c>
      <c r="J23995" t="s">
        <v>173</v>
      </c>
      <c r="K23995">
        <v>3813.13</v>
      </c>
      <c r="L23995">
        <v>23.24</v>
      </c>
      <c r="M23995">
        <v>49801</v>
      </c>
      <c r="N23995" t="s">
        <v>953</v>
      </c>
      <c r="O23995">
        <v>251010</v>
      </c>
      <c r="P23995">
        <v>91.15</v>
      </c>
    </row>
    <row r="23996" spans="1:16" x14ac:dyDescent="0.25">
      <c r="A23996" t="s">
        <v>3296</v>
      </c>
      <c r="B23996" t="s">
        <v>2931</v>
      </c>
      <c r="C23996">
        <v>13520</v>
      </c>
      <c r="D23996" t="str">
        <f>"55251588672 "</f>
        <v xml:space="preserve">55251588672 </v>
      </c>
      <c r="E23996" t="s">
        <v>1845</v>
      </c>
      <c r="F23996" t="s">
        <v>1846</v>
      </c>
      <c r="G23996">
        <v>57.2</v>
      </c>
      <c r="H23996">
        <v>250930</v>
      </c>
      <c r="I23996">
        <v>4572</v>
      </c>
      <c r="J23996" t="s">
        <v>173</v>
      </c>
      <c r="K23996">
        <v>3813.13</v>
      </c>
      <c r="L23996">
        <v>0</v>
      </c>
      <c r="M23996">
        <v>49803</v>
      </c>
      <c r="N23996" t="s">
        <v>956</v>
      </c>
      <c r="O23996">
        <v>251010</v>
      </c>
      <c r="P23996">
        <v>57.2</v>
      </c>
    </row>
    <row r="23997" spans="1:16" x14ac:dyDescent="0.25">
      <c r="A23997" t="s">
        <v>3296</v>
      </c>
      <c r="B23997" t="s">
        <v>2931</v>
      </c>
      <c r="C23997">
        <v>13596</v>
      </c>
      <c r="D23997" t="str">
        <f>"55251589098 "</f>
        <v xml:space="preserve">55251589098 </v>
      </c>
      <c r="E23997" t="s">
        <v>1845</v>
      </c>
      <c r="F23997" t="s">
        <v>1846</v>
      </c>
      <c r="G23997">
        <v>9.7899999999999991</v>
      </c>
      <c r="H23997">
        <v>250930</v>
      </c>
      <c r="I23997">
        <v>4572</v>
      </c>
      <c r="J23997" t="s">
        <v>173</v>
      </c>
      <c r="K23997">
        <v>32.619999999999997</v>
      </c>
      <c r="L23997">
        <v>1.99</v>
      </c>
      <c r="M23997">
        <v>14952</v>
      </c>
      <c r="N23997" t="s">
        <v>213</v>
      </c>
      <c r="O23997">
        <v>251013</v>
      </c>
      <c r="P23997">
        <v>7.8</v>
      </c>
    </row>
    <row r="23998" spans="1:16" x14ac:dyDescent="0.25">
      <c r="A23998" t="s">
        <v>3296</v>
      </c>
      <c r="B23998" t="s">
        <v>2931</v>
      </c>
      <c r="C23998">
        <v>13596</v>
      </c>
      <c r="D23998" t="str">
        <f>"55251589098 "</f>
        <v xml:space="preserve">55251589098 </v>
      </c>
      <c r="E23998" t="s">
        <v>1845</v>
      </c>
      <c r="F23998" t="s">
        <v>1846</v>
      </c>
      <c r="G23998">
        <v>22.83</v>
      </c>
      <c r="H23998">
        <v>250930</v>
      </c>
      <c r="I23998">
        <v>4572</v>
      </c>
      <c r="J23998" t="s">
        <v>173</v>
      </c>
      <c r="K23998">
        <v>32.619999999999997</v>
      </c>
      <c r="L23998">
        <v>4.6399999999999997</v>
      </c>
      <c r="M23998">
        <v>14981</v>
      </c>
      <c r="N23998" t="s">
        <v>252</v>
      </c>
      <c r="O23998">
        <v>251013</v>
      </c>
      <c r="P23998">
        <v>18.190000000000001</v>
      </c>
    </row>
    <row r="23999" spans="1:16" x14ac:dyDescent="0.25">
      <c r="A23999" t="s">
        <v>3296</v>
      </c>
      <c r="B23999" t="s">
        <v>2931</v>
      </c>
      <c r="C23999">
        <v>13772</v>
      </c>
      <c r="D23999" t="str">
        <f>"55251588569 "</f>
        <v xml:space="preserve">55251588569 </v>
      </c>
      <c r="E23999" t="s">
        <v>1845</v>
      </c>
      <c r="F23999" t="s">
        <v>1846</v>
      </c>
      <c r="G23999">
        <v>14.77</v>
      </c>
      <c r="H23999">
        <v>251001</v>
      </c>
      <c r="I23999">
        <v>4572</v>
      </c>
      <c r="J23999" t="s">
        <v>173</v>
      </c>
      <c r="K23999">
        <v>14.77</v>
      </c>
      <c r="L23999">
        <v>3</v>
      </c>
      <c r="M23999">
        <v>56571</v>
      </c>
      <c r="N23999" t="s">
        <v>553</v>
      </c>
      <c r="O23999">
        <v>251020</v>
      </c>
      <c r="P23999">
        <v>11.77</v>
      </c>
    </row>
    <row r="24000" spans="1:16" x14ac:dyDescent="0.25">
      <c r="A24000" t="s">
        <v>3296</v>
      </c>
      <c r="B24000" t="s">
        <v>2931</v>
      </c>
      <c r="C24000">
        <v>13773</v>
      </c>
      <c r="D24000" t="str">
        <f>"55251588903 "</f>
        <v xml:space="preserve">55251588903 </v>
      </c>
      <c r="E24000" t="s">
        <v>1845</v>
      </c>
      <c r="F24000" t="s">
        <v>1846</v>
      </c>
      <c r="G24000">
        <v>281.91000000000003</v>
      </c>
      <c r="H24000">
        <v>251001</v>
      </c>
      <c r="I24000">
        <v>4572</v>
      </c>
      <c r="J24000" t="s">
        <v>173</v>
      </c>
      <c r="K24000">
        <v>1044.0999999999999</v>
      </c>
      <c r="L24000">
        <v>57.28</v>
      </c>
      <c r="M24000">
        <v>59112</v>
      </c>
      <c r="N24000" t="s">
        <v>44</v>
      </c>
      <c r="O24000">
        <v>251020</v>
      </c>
      <c r="P24000">
        <v>224.63</v>
      </c>
    </row>
    <row r="24001" spans="1:16" x14ac:dyDescent="0.25">
      <c r="A24001" t="s">
        <v>3296</v>
      </c>
      <c r="B24001" t="s">
        <v>2931</v>
      </c>
      <c r="C24001">
        <v>13773</v>
      </c>
      <c r="D24001" t="str">
        <f>"55251588903 "</f>
        <v xml:space="preserve">55251588903 </v>
      </c>
      <c r="E24001" t="s">
        <v>1845</v>
      </c>
      <c r="F24001" t="s">
        <v>1846</v>
      </c>
      <c r="G24001">
        <v>762.19</v>
      </c>
      <c r="H24001">
        <v>251001</v>
      </c>
      <c r="I24001">
        <v>4572</v>
      </c>
      <c r="J24001" t="s">
        <v>173</v>
      </c>
      <c r="K24001">
        <v>1044.0999999999999</v>
      </c>
      <c r="L24001">
        <v>154.87</v>
      </c>
      <c r="M24001">
        <v>59504</v>
      </c>
      <c r="N24001" t="s">
        <v>193</v>
      </c>
      <c r="O24001">
        <v>251020</v>
      </c>
      <c r="P24001">
        <v>607.32000000000005</v>
      </c>
    </row>
    <row r="24002" spans="1:16" x14ac:dyDescent="0.25">
      <c r="A24002" t="s">
        <v>3296</v>
      </c>
      <c r="B24002" t="s">
        <v>2931</v>
      </c>
      <c r="C24002">
        <v>14603</v>
      </c>
      <c r="D24002" t="str">
        <f>"55251674510 "</f>
        <v xml:space="preserve">55251674510 </v>
      </c>
      <c r="E24002" t="s">
        <v>1845</v>
      </c>
      <c r="F24002" t="s">
        <v>1846</v>
      </c>
      <c r="G24002">
        <v>9.64</v>
      </c>
      <c r="H24002">
        <v>251031</v>
      </c>
      <c r="I24002">
        <v>4572</v>
      </c>
      <c r="J24002" t="s">
        <v>173</v>
      </c>
      <c r="K24002">
        <v>9.64</v>
      </c>
      <c r="L24002">
        <v>1.96</v>
      </c>
      <c r="M24002">
        <v>17981</v>
      </c>
      <c r="N24002" t="s">
        <v>927</v>
      </c>
      <c r="O24002">
        <v>251105</v>
      </c>
      <c r="P24002">
        <v>7.68</v>
      </c>
    </row>
    <row r="24003" spans="1:16" x14ac:dyDescent="0.25">
      <c r="A24003" t="s">
        <v>3296</v>
      </c>
      <c r="B24003" t="s">
        <v>2931</v>
      </c>
      <c r="C24003">
        <v>14604</v>
      </c>
      <c r="D24003" t="str">
        <f>"55251677538 "</f>
        <v xml:space="preserve">55251677538 </v>
      </c>
      <c r="E24003" t="s">
        <v>1845</v>
      </c>
      <c r="F24003" t="s">
        <v>1846</v>
      </c>
      <c r="G24003">
        <v>0.24</v>
      </c>
      <c r="H24003">
        <v>251031</v>
      </c>
      <c r="I24003">
        <v>4572</v>
      </c>
      <c r="J24003" t="s">
        <v>173</v>
      </c>
      <c r="K24003">
        <v>0.88</v>
      </c>
      <c r="L24003">
        <v>0.05</v>
      </c>
      <c r="M24003">
        <v>59112</v>
      </c>
      <c r="N24003" t="s">
        <v>44</v>
      </c>
      <c r="O24003">
        <v>251105</v>
      </c>
      <c r="P24003">
        <v>0.19</v>
      </c>
    </row>
    <row r="24004" spans="1:16" x14ac:dyDescent="0.25">
      <c r="A24004" t="s">
        <v>3296</v>
      </c>
      <c r="B24004" t="s">
        <v>2931</v>
      </c>
      <c r="C24004">
        <v>14604</v>
      </c>
      <c r="D24004" t="str">
        <f>"55251677538 "</f>
        <v xml:space="preserve">55251677538 </v>
      </c>
      <c r="E24004" t="s">
        <v>1845</v>
      </c>
      <c r="F24004" t="s">
        <v>1846</v>
      </c>
      <c r="G24004">
        <v>0.64</v>
      </c>
      <c r="H24004">
        <v>251031</v>
      </c>
      <c r="I24004">
        <v>4572</v>
      </c>
      <c r="J24004" t="s">
        <v>173</v>
      </c>
      <c r="K24004">
        <v>0.88</v>
      </c>
      <c r="L24004">
        <v>0.13</v>
      </c>
      <c r="M24004">
        <v>59504</v>
      </c>
      <c r="N24004" t="s">
        <v>193</v>
      </c>
      <c r="O24004">
        <v>251105</v>
      </c>
      <c r="P24004">
        <v>0.51</v>
      </c>
    </row>
    <row r="24005" spans="1:16" x14ac:dyDescent="0.25">
      <c r="A24005" t="s">
        <v>3296</v>
      </c>
      <c r="B24005" t="s">
        <v>2931</v>
      </c>
      <c r="C24005">
        <v>14610</v>
      </c>
      <c r="D24005" t="str">
        <f>"55251677504 "</f>
        <v xml:space="preserve">55251677504 </v>
      </c>
      <c r="E24005" t="s">
        <v>1845</v>
      </c>
      <c r="F24005" t="s">
        <v>1846</v>
      </c>
      <c r="G24005">
        <v>0.79</v>
      </c>
      <c r="H24005">
        <v>251031</v>
      </c>
      <c r="I24005">
        <v>4572</v>
      </c>
      <c r="J24005" t="s">
        <v>173</v>
      </c>
      <c r="K24005">
        <v>2.92</v>
      </c>
      <c r="L24005">
        <v>0.16</v>
      </c>
      <c r="M24005">
        <v>59112</v>
      </c>
      <c r="N24005" t="s">
        <v>44</v>
      </c>
      <c r="O24005">
        <v>251105</v>
      </c>
      <c r="P24005">
        <v>0.63</v>
      </c>
    </row>
    <row r="24006" spans="1:16" x14ac:dyDescent="0.25">
      <c r="A24006" t="s">
        <v>3296</v>
      </c>
      <c r="B24006" t="s">
        <v>2931</v>
      </c>
      <c r="C24006">
        <v>14610</v>
      </c>
      <c r="D24006" t="str">
        <f>"55251677504 "</f>
        <v xml:space="preserve">55251677504 </v>
      </c>
      <c r="E24006" t="s">
        <v>1845</v>
      </c>
      <c r="F24006" t="s">
        <v>1846</v>
      </c>
      <c r="G24006">
        <v>2.13</v>
      </c>
      <c r="H24006">
        <v>251031</v>
      </c>
      <c r="I24006">
        <v>4572</v>
      </c>
      <c r="J24006" t="s">
        <v>173</v>
      </c>
      <c r="K24006">
        <v>2.92</v>
      </c>
      <c r="L24006">
        <v>0.43</v>
      </c>
      <c r="M24006">
        <v>59504</v>
      </c>
      <c r="N24006" t="s">
        <v>193</v>
      </c>
      <c r="O24006">
        <v>251105</v>
      </c>
      <c r="P24006">
        <v>1.7</v>
      </c>
    </row>
    <row r="24007" spans="1:16" x14ac:dyDescent="0.25">
      <c r="A24007" t="s">
        <v>3296</v>
      </c>
      <c r="B24007" t="s">
        <v>2931</v>
      </c>
      <c r="C24007">
        <v>14611</v>
      </c>
      <c r="D24007" t="str">
        <f>"55251676475 "</f>
        <v xml:space="preserve">55251676475 </v>
      </c>
      <c r="E24007" t="s">
        <v>1845</v>
      </c>
      <c r="F24007" t="s">
        <v>1846</v>
      </c>
      <c r="G24007">
        <v>560.25</v>
      </c>
      <c r="H24007">
        <v>251031</v>
      </c>
      <c r="I24007">
        <v>4572</v>
      </c>
      <c r="J24007" t="s">
        <v>173</v>
      </c>
      <c r="K24007">
        <v>5093.17</v>
      </c>
      <c r="L24007">
        <v>113.84</v>
      </c>
      <c r="M24007">
        <v>13540</v>
      </c>
      <c r="N24007" t="s">
        <v>131</v>
      </c>
      <c r="O24007">
        <v>251105</v>
      </c>
      <c r="P24007">
        <v>446.41</v>
      </c>
    </row>
    <row r="24008" spans="1:16" x14ac:dyDescent="0.25">
      <c r="A24008" t="s">
        <v>3296</v>
      </c>
      <c r="B24008" t="s">
        <v>2931</v>
      </c>
      <c r="C24008">
        <v>14611</v>
      </c>
      <c r="D24008" t="str">
        <f>"55251676475 "</f>
        <v xml:space="preserve">55251676475 </v>
      </c>
      <c r="E24008" t="s">
        <v>1845</v>
      </c>
      <c r="F24008" t="s">
        <v>1846</v>
      </c>
      <c r="G24008">
        <v>4532.92</v>
      </c>
      <c r="H24008">
        <v>251031</v>
      </c>
      <c r="I24008">
        <v>4572</v>
      </c>
      <c r="J24008" t="s">
        <v>173</v>
      </c>
      <c r="K24008">
        <v>5093.17</v>
      </c>
      <c r="L24008">
        <v>921.03</v>
      </c>
      <c r="M24008">
        <v>17950</v>
      </c>
      <c r="N24008" t="s">
        <v>132</v>
      </c>
      <c r="O24008">
        <v>251105</v>
      </c>
      <c r="P24008">
        <v>3611.89</v>
      </c>
    </row>
    <row r="24009" spans="1:16" x14ac:dyDescent="0.25">
      <c r="A24009" t="s">
        <v>3296</v>
      </c>
      <c r="B24009" t="s">
        <v>2931</v>
      </c>
      <c r="C24009">
        <v>14612</v>
      </c>
      <c r="D24009" t="str">
        <f>"55251676941 "</f>
        <v xml:space="preserve">55251676941 </v>
      </c>
      <c r="E24009" t="s">
        <v>1845</v>
      </c>
      <c r="F24009" t="s">
        <v>1846</v>
      </c>
      <c r="G24009">
        <v>1840.82</v>
      </c>
      <c r="H24009">
        <v>251031</v>
      </c>
      <c r="I24009">
        <v>4572</v>
      </c>
      <c r="J24009" t="s">
        <v>173</v>
      </c>
      <c r="K24009">
        <v>1840.82</v>
      </c>
      <c r="L24009">
        <v>374.03</v>
      </c>
      <c r="M24009">
        <v>17956</v>
      </c>
      <c r="N24009" t="s">
        <v>170</v>
      </c>
      <c r="O24009">
        <v>251105</v>
      </c>
      <c r="P24009">
        <v>1466.79</v>
      </c>
    </row>
    <row r="24010" spans="1:16" x14ac:dyDescent="0.25">
      <c r="A24010" t="s">
        <v>3296</v>
      </c>
      <c r="B24010" t="s">
        <v>2931</v>
      </c>
      <c r="C24010">
        <v>14613</v>
      </c>
      <c r="D24010" t="str">
        <f>"55251677408 "</f>
        <v xml:space="preserve">55251677408 </v>
      </c>
      <c r="E24010" t="s">
        <v>1845</v>
      </c>
      <c r="F24010" t="s">
        <v>1846</v>
      </c>
      <c r="G24010">
        <v>17.36</v>
      </c>
      <c r="H24010">
        <v>251031</v>
      </c>
      <c r="I24010">
        <v>4572</v>
      </c>
      <c r="J24010" t="s">
        <v>173</v>
      </c>
      <c r="K24010">
        <v>64.290000000000006</v>
      </c>
      <c r="L24010">
        <v>3.53</v>
      </c>
      <c r="M24010">
        <v>59112</v>
      </c>
      <c r="N24010" t="s">
        <v>44</v>
      </c>
      <c r="O24010">
        <v>251105</v>
      </c>
      <c r="P24010">
        <v>13.83</v>
      </c>
    </row>
    <row r="24011" spans="1:16" x14ac:dyDescent="0.25">
      <c r="A24011" t="s">
        <v>3296</v>
      </c>
      <c r="B24011" t="s">
        <v>2931</v>
      </c>
      <c r="C24011">
        <v>14613</v>
      </c>
      <c r="D24011" t="str">
        <f>"55251677408 "</f>
        <v xml:space="preserve">55251677408 </v>
      </c>
      <c r="E24011" t="s">
        <v>1845</v>
      </c>
      <c r="F24011" t="s">
        <v>1846</v>
      </c>
      <c r="G24011">
        <v>46.93</v>
      </c>
      <c r="H24011">
        <v>251031</v>
      </c>
      <c r="I24011">
        <v>4572</v>
      </c>
      <c r="J24011" t="s">
        <v>173</v>
      </c>
      <c r="K24011">
        <v>64.290000000000006</v>
      </c>
      <c r="L24011">
        <v>9.5399999999999991</v>
      </c>
      <c r="M24011">
        <v>59504</v>
      </c>
      <c r="N24011" t="s">
        <v>193</v>
      </c>
      <c r="O24011">
        <v>251105</v>
      </c>
      <c r="P24011">
        <v>37.39</v>
      </c>
    </row>
    <row r="24012" spans="1:16" x14ac:dyDescent="0.25">
      <c r="A24012" t="s">
        <v>3296</v>
      </c>
      <c r="B24012" t="s">
        <v>2931</v>
      </c>
      <c r="C24012">
        <v>14614</v>
      </c>
      <c r="D24012" t="str">
        <f>"55251675925 "</f>
        <v xml:space="preserve">55251675925 </v>
      </c>
      <c r="E24012" t="s">
        <v>1845</v>
      </c>
      <c r="F24012" t="s">
        <v>1846</v>
      </c>
      <c r="G24012">
        <v>119.88</v>
      </c>
      <c r="H24012">
        <v>251031</v>
      </c>
      <c r="I24012">
        <v>4572</v>
      </c>
      <c r="J24012" t="s">
        <v>173</v>
      </c>
      <c r="K24012">
        <v>119.88</v>
      </c>
      <c r="L24012">
        <v>24.36</v>
      </c>
      <c r="M24012">
        <v>17956</v>
      </c>
      <c r="N24012" t="s">
        <v>170</v>
      </c>
      <c r="O24012">
        <v>251105</v>
      </c>
      <c r="P24012">
        <v>95.52</v>
      </c>
    </row>
    <row r="24013" spans="1:16" x14ac:dyDescent="0.25">
      <c r="A24013" t="s">
        <v>3296</v>
      </c>
      <c r="B24013" t="s">
        <v>2931</v>
      </c>
      <c r="C24013">
        <v>14615</v>
      </c>
      <c r="D24013" t="str">
        <f>"55251677237 "</f>
        <v xml:space="preserve">55251677237 </v>
      </c>
      <c r="E24013" t="s">
        <v>1845</v>
      </c>
      <c r="F24013" t="s">
        <v>1846</v>
      </c>
      <c r="G24013">
        <v>4071.02</v>
      </c>
      <c r="H24013">
        <v>251031</v>
      </c>
      <c r="I24013">
        <v>4572</v>
      </c>
      <c r="J24013" t="s">
        <v>173</v>
      </c>
      <c r="K24013">
        <v>4071.02</v>
      </c>
      <c r="L24013">
        <v>827.18</v>
      </c>
      <c r="M24013">
        <v>17951</v>
      </c>
      <c r="N24013" t="s">
        <v>207</v>
      </c>
      <c r="O24013">
        <v>251105</v>
      </c>
      <c r="P24013">
        <v>3243.84</v>
      </c>
    </row>
    <row r="24014" spans="1:16" x14ac:dyDescent="0.25">
      <c r="A24014" t="s">
        <v>3296</v>
      </c>
      <c r="B24014" t="s">
        <v>2931</v>
      </c>
      <c r="C24014">
        <v>14616</v>
      </c>
      <c r="D24014" t="str">
        <f>"55251674579 "</f>
        <v xml:space="preserve">55251674579 </v>
      </c>
      <c r="E24014" t="s">
        <v>1845</v>
      </c>
      <c r="F24014" t="s">
        <v>1846</v>
      </c>
      <c r="G24014">
        <v>433.18</v>
      </c>
      <c r="H24014">
        <v>251031</v>
      </c>
      <c r="I24014">
        <v>4572</v>
      </c>
      <c r="J24014" t="s">
        <v>173</v>
      </c>
      <c r="K24014">
        <v>1604.37</v>
      </c>
      <c r="L24014">
        <v>88.02</v>
      </c>
      <c r="M24014">
        <v>59112</v>
      </c>
      <c r="N24014" t="s">
        <v>44</v>
      </c>
      <c r="O24014">
        <v>251105</v>
      </c>
      <c r="P24014">
        <v>345.16</v>
      </c>
    </row>
    <row r="24015" spans="1:16" x14ac:dyDescent="0.25">
      <c r="A24015" t="s">
        <v>3296</v>
      </c>
      <c r="B24015" t="s">
        <v>2931</v>
      </c>
      <c r="C24015">
        <v>14616</v>
      </c>
      <c r="D24015" t="str">
        <f>"55251674579 "</f>
        <v xml:space="preserve">55251674579 </v>
      </c>
      <c r="E24015" t="s">
        <v>1845</v>
      </c>
      <c r="F24015" t="s">
        <v>1846</v>
      </c>
      <c r="G24015">
        <v>1171.19</v>
      </c>
      <c r="H24015">
        <v>251031</v>
      </c>
      <c r="I24015">
        <v>4572</v>
      </c>
      <c r="J24015" t="s">
        <v>173</v>
      </c>
      <c r="K24015">
        <v>1604.37</v>
      </c>
      <c r="L24015">
        <v>237.97</v>
      </c>
      <c r="M24015">
        <v>59504</v>
      </c>
      <c r="N24015" t="s">
        <v>193</v>
      </c>
      <c r="O24015">
        <v>251105</v>
      </c>
      <c r="P24015">
        <v>933.22</v>
      </c>
    </row>
    <row r="24016" spans="1:16" x14ac:dyDescent="0.25">
      <c r="A24016" t="s">
        <v>3296</v>
      </c>
      <c r="B24016" t="s">
        <v>2931</v>
      </c>
      <c r="C24016">
        <v>14619</v>
      </c>
      <c r="D24016" t="str">
        <f>"55251675250 "</f>
        <v xml:space="preserve">55251675250 </v>
      </c>
      <c r="E24016" t="s">
        <v>1845</v>
      </c>
      <c r="F24016" t="s">
        <v>1846</v>
      </c>
      <c r="G24016">
        <v>2516.0500000000002</v>
      </c>
      <c r="H24016">
        <v>251031</v>
      </c>
      <c r="I24016">
        <v>4572</v>
      </c>
      <c r="J24016" t="s">
        <v>173</v>
      </c>
      <c r="K24016">
        <v>4124.68</v>
      </c>
      <c r="L24016">
        <v>511.23</v>
      </c>
      <c r="M24016">
        <v>59502</v>
      </c>
      <c r="N24016" t="s">
        <v>63</v>
      </c>
      <c r="O24016">
        <v>251105</v>
      </c>
      <c r="P24016">
        <v>2004.82</v>
      </c>
    </row>
    <row r="24017" spans="1:16" x14ac:dyDescent="0.25">
      <c r="A24017" t="s">
        <v>3296</v>
      </c>
      <c r="B24017" t="s">
        <v>2931</v>
      </c>
      <c r="C24017">
        <v>14619</v>
      </c>
      <c r="D24017" t="str">
        <f>"55251675250 "</f>
        <v xml:space="preserve">55251675250 </v>
      </c>
      <c r="E24017" t="s">
        <v>1845</v>
      </c>
      <c r="F24017" t="s">
        <v>1846</v>
      </c>
      <c r="G24017">
        <v>1608.63</v>
      </c>
      <c r="H24017">
        <v>251031</v>
      </c>
      <c r="I24017">
        <v>4572</v>
      </c>
      <c r="J24017" t="s">
        <v>173</v>
      </c>
      <c r="K24017">
        <v>4124.68</v>
      </c>
      <c r="L24017">
        <v>326.85000000000002</v>
      </c>
      <c r="M24017">
        <v>59802</v>
      </c>
      <c r="N24017" t="s">
        <v>195</v>
      </c>
      <c r="O24017">
        <v>251105</v>
      </c>
      <c r="P24017">
        <v>1281.78</v>
      </c>
    </row>
    <row r="24018" spans="1:16" x14ac:dyDescent="0.25">
      <c r="A24018" t="s">
        <v>3296</v>
      </c>
      <c r="B24018" t="s">
        <v>2931</v>
      </c>
      <c r="C24018">
        <v>14622</v>
      </c>
      <c r="D24018" t="str">
        <f>"55251675253 "</f>
        <v xml:space="preserve">55251675253 </v>
      </c>
      <c r="E24018" t="s">
        <v>1845</v>
      </c>
      <c r="F24018" t="s">
        <v>1846</v>
      </c>
      <c r="G24018">
        <v>18.850000000000001</v>
      </c>
      <c r="H24018">
        <v>251031</v>
      </c>
      <c r="I24018">
        <v>4572</v>
      </c>
      <c r="J24018" t="s">
        <v>173</v>
      </c>
      <c r="K24018">
        <v>18.850000000000001</v>
      </c>
      <c r="L24018">
        <v>3.83</v>
      </c>
      <c r="M24018">
        <v>17956</v>
      </c>
      <c r="N24018" t="s">
        <v>170</v>
      </c>
      <c r="O24018">
        <v>251105</v>
      </c>
      <c r="P24018">
        <v>15.02</v>
      </c>
    </row>
    <row r="24019" spans="1:16" x14ac:dyDescent="0.25">
      <c r="A24019" t="s">
        <v>3296</v>
      </c>
      <c r="B24019" t="s">
        <v>2931</v>
      </c>
      <c r="C24019">
        <v>14623</v>
      </c>
      <c r="D24019" t="str">
        <f>"55251675886 "</f>
        <v xml:space="preserve">55251675886 </v>
      </c>
      <c r="E24019" t="s">
        <v>1845</v>
      </c>
      <c r="F24019" t="s">
        <v>1846</v>
      </c>
      <c r="G24019">
        <v>355.67</v>
      </c>
      <c r="H24019">
        <v>251031</v>
      </c>
      <c r="I24019">
        <v>4572</v>
      </c>
      <c r="J24019" t="s">
        <v>173</v>
      </c>
      <c r="K24019">
        <v>355.67</v>
      </c>
      <c r="L24019">
        <v>72.27</v>
      </c>
      <c r="M24019">
        <v>17950</v>
      </c>
      <c r="N24019" t="s">
        <v>132</v>
      </c>
      <c r="O24019">
        <v>251105</v>
      </c>
      <c r="P24019">
        <v>283.39999999999998</v>
      </c>
    </row>
    <row r="24020" spans="1:16" x14ac:dyDescent="0.25">
      <c r="A24020" t="s">
        <v>3296</v>
      </c>
      <c r="B24020" t="s">
        <v>2931</v>
      </c>
      <c r="C24020">
        <v>14624</v>
      </c>
      <c r="D24020" t="str">
        <f>"55251674855 "</f>
        <v xml:space="preserve">55251674855 </v>
      </c>
      <c r="E24020" t="s">
        <v>1845</v>
      </c>
      <c r="F24020" t="s">
        <v>1846</v>
      </c>
      <c r="G24020">
        <v>206.08</v>
      </c>
      <c r="H24020">
        <v>251031</v>
      </c>
      <c r="I24020">
        <v>4572</v>
      </c>
      <c r="J24020" t="s">
        <v>173</v>
      </c>
      <c r="K24020">
        <v>206.08</v>
      </c>
      <c r="L24020">
        <v>41.87</v>
      </c>
      <c r="M24020">
        <v>17956</v>
      </c>
      <c r="N24020" t="s">
        <v>170</v>
      </c>
      <c r="O24020">
        <v>251105</v>
      </c>
      <c r="P24020">
        <v>164.21</v>
      </c>
    </row>
    <row r="24021" spans="1:16" x14ac:dyDescent="0.25">
      <c r="A24021" t="s">
        <v>3296</v>
      </c>
      <c r="B24021" t="s">
        <v>2931</v>
      </c>
      <c r="C24021">
        <v>14625</v>
      </c>
      <c r="D24021" t="str">
        <f>"55251676295 "</f>
        <v xml:space="preserve">55251676295 </v>
      </c>
      <c r="E24021" t="s">
        <v>1845</v>
      </c>
      <c r="F24021" t="s">
        <v>1846</v>
      </c>
      <c r="G24021">
        <v>29.99</v>
      </c>
      <c r="H24021">
        <v>251031</v>
      </c>
      <c r="I24021">
        <v>4572</v>
      </c>
      <c r="J24021" t="s">
        <v>173</v>
      </c>
      <c r="K24021">
        <v>29.99</v>
      </c>
      <c r="L24021">
        <v>6.09</v>
      </c>
      <c r="M24021">
        <v>17956</v>
      </c>
      <c r="N24021" t="s">
        <v>170</v>
      </c>
      <c r="O24021">
        <v>251105</v>
      </c>
      <c r="P24021">
        <v>23.9</v>
      </c>
    </row>
    <row r="24022" spans="1:16" x14ac:dyDescent="0.25">
      <c r="A24022" t="s">
        <v>3296</v>
      </c>
      <c r="B24022" t="s">
        <v>2931</v>
      </c>
      <c r="C24022">
        <v>14638</v>
      </c>
      <c r="D24022" t="str">
        <f>"55251675323 "</f>
        <v xml:space="preserve">55251675323 </v>
      </c>
      <c r="E24022" t="s">
        <v>1845</v>
      </c>
      <c r="F24022" t="s">
        <v>1846</v>
      </c>
      <c r="G24022">
        <v>15.07</v>
      </c>
      <c r="H24022">
        <v>251031</v>
      </c>
      <c r="I24022">
        <v>4572</v>
      </c>
      <c r="J24022" t="s">
        <v>173</v>
      </c>
      <c r="K24022">
        <v>301.20999999999998</v>
      </c>
      <c r="L24022">
        <v>3.06</v>
      </c>
      <c r="M24022">
        <v>17737</v>
      </c>
      <c r="N24022" t="s">
        <v>156</v>
      </c>
      <c r="O24022">
        <v>251105</v>
      </c>
      <c r="P24022">
        <v>12.01</v>
      </c>
    </row>
    <row r="24023" spans="1:16" x14ac:dyDescent="0.25">
      <c r="A24023" t="s">
        <v>3296</v>
      </c>
      <c r="B24023" t="s">
        <v>2931</v>
      </c>
      <c r="C24023">
        <v>14638</v>
      </c>
      <c r="D24023" t="str">
        <f>"55251675323 "</f>
        <v xml:space="preserve">55251675323 </v>
      </c>
      <c r="E24023" t="s">
        <v>1845</v>
      </c>
      <c r="F24023" t="s">
        <v>1846</v>
      </c>
      <c r="G24023">
        <v>200.3</v>
      </c>
      <c r="H24023">
        <v>251031</v>
      </c>
      <c r="I24023">
        <v>4572</v>
      </c>
      <c r="J24023" t="s">
        <v>173</v>
      </c>
      <c r="K24023">
        <v>301.20999999999998</v>
      </c>
      <c r="L24023">
        <v>40.700000000000003</v>
      </c>
      <c r="M24023">
        <v>17737</v>
      </c>
      <c r="N24023" t="s">
        <v>156</v>
      </c>
      <c r="O24023">
        <v>251105</v>
      </c>
      <c r="P24023">
        <v>159.6</v>
      </c>
    </row>
    <row r="24024" spans="1:16" x14ac:dyDescent="0.25">
      <c r="A24024" t="s">
        <v>3296</v>
      </c>
      <c r="B24024" t="s">
        <v>2931</v>
      </c>
      <c r="C24024">
        <v>14638</v>
      </c>
      <c r="D24024" t="str">
        <f>"55251675323 "</f>
        <v xml:space="preserve">55251675323 </v>
      </c>
      <c r="E24024" t="s">
        <v>1845</v>
      </c>
      <c r="F24024" t="s">
        <v>1846</v>
      </c>
      <c r="G24024">
        <v>85.84</v>
      </c>
      <c r="H24024">
        <v>251031</v>
      </c>
      <c r="I24024">
        <v>4572</v>
      </c>
      <c r="J24024" t="s">
        <v>173</v>
      </c>
      <c r="K24024">
        <v>301.20999999999998</v>
      </c>
      <c r="L24024">
        <v>17.440000000000001</v>
      </c>
      <c r="M24024">
        <v>17739</v>
      </c>
      <c r="N24024" t="s">
        <v>928</v>
      </c>
      <c r="O24024">
        <v>251105</v>
      </c>
      <c r="P24024">
        <v>68.400000000000006</v>
      </c>
    </row>
    <row r="24025" spans="1:16" x14ac:dyDescent="0.25">
      <c r="A24025" t="s">
        <v>3296</v>
      </c>
      <c r="B24025" t="s">
        <v>2931</v>
      </c>
      <c r="C24025">
        <v>14639</v>
      </c>
      <c r="D24025" t="str">
        <f>"55251675272 "</f>
        <v xml:space="preserve">55251675272 </v>
      </c>
      <c r="E24025" t="s">
        <v>1845</v>
      </c>
      <c r="F24025" t="s">
        <v>1846</v>
      </c>
      <c r="G24025">
        <v>361.26</v>
      </c>
      <c r="H24025">
        <v>251031</v>
      </c>
      <c r="I24025">
        <v>4572</v>
      </c>
      <c r="J24025" t="s">
        <v>173</v>
      </c>
      <c r="K24025">
        <v>6020.94</v>
      </c>
      <c r="L24025">
        <v>73.400000000000006</v>
      </c>
      <c r="M24025">
        <v>59111</v>
      </c>
      <c r="N24025" t="s">
        <v>60</v>
      </c>
      <c r="O24025">
        <v>251105</v>
      </c>
      <c r="P24025">
        <v>287.86</v>
      </c>
    </row>
    <row r="24026" spans="1:16" x14ac:dyDescent="0.25">
      <c r="A24026" t="s">
        <v>3296</v>
      </c>
      <c r="B24026" t="s">
        <v>2931</v>
      </c>
      <c r="C24026">
        <v>14639</v>
      </c>
      <c r="D24026" t="str">
        <f>"55251675272 "</f>
        <v xml:space="preserve">55251675272 </v>
      </c>
      <c r="E24026" t="s">
        <v>1845</v>
      </c>
      <c r="F24026" t="s">
        <v>1846</v>
      </c>
      <c r="G24026">
        <v>5659.68</v>
      </c>
      <c r="H24026">
        <v>251031</v>
      </c>
      <c r="I24026">
        <v>4572</v>
      </c>
      <c r="J24026" t="s">
        <v>173</v>
      </c>
      <c r="K24026">
        <v>6020.94</v>
      </c>
      <c r="L24026">
        <v>1149.97</v>
      </c>
      <c r="M24026">
        <v>59501</v>
      </c>
      <c r="N24026" t="s">
        <v>62</v>
      </c>
      <c r="O24026">
        <v>251105</v>
      </c>
      <c r="P24026">
        <v>4509.71</v>
      </c>
    </row>
    <row r="24027" spans="1:16" x14ac:dyDescent="0.25">
      <c r="A24027" t="s">
        <v>3296</v>
      </c>
      <c r="B24027" t="s">
        <v>2931</v>
      </c>
      <c r="C24027">
        <v>14640</v>
      </c>
      <c r="D24027" t="str">
        <f>"55251676951 "</f>
        <v xml:space="preserve">55251676951 </v>
      </c>
      <c r="E24027" t="s">
        <v>1845</v>
      </c>
      <c r="F24027" t="s">
        <v>1846</v>
      </c>
      <c r="G24027">
        <v>53.67</v>
      </c>
      <c r="H24027">
        <v>251031</v>
      </c>
      <c r="I24027">
        <v>4572</v>
      </c>
      <c r="J24027" t="s">
        <v>173</v>
      </c>
      <c r="K24027">
        <v>1788.9</v>
      </c>
      <c r="L24027">
        <v>10.91</v>
      </c>
      <c r="M24027">
        <v>17739</v>
      </c>
      <c r="N24027" t="s">
        <v>928</v>
      </c>
      <c r="O24027">
        <v>251105</v>
      </c>
      <c r="P24027">
        <v>42.76</v>
      </c>
    </row>
    <row r="24028" spans="1:16" x14ac:dyDescent="0.25">
      <c r="A24028" t="s">
        <v>3296</v>
      </c>
      <c r="B24028" t="s">
        <v>2931</v>
      </c>
      <c r="C24028">
        <v>14640</v>
      </c>
      <c r="D24028" t="str">
        <f>"55251676951 "</f>
        <v xml:space="preserve">55251676951 </v>
      </c>
      <c r="E24028" t="s">
        <v>1845</v>
      </c>
      <c r="F24028" t="s">
        <v>1846</v>
      </c>
      <c r="G24028">
        <v>590.34</v>
      </c>
      <c r="H24028">
        <v>251031</v>
      </c>
      <c r="I24028">
        <v>4572</v>
      </c>
      <c r="J24028" t="s">
        <v>173</v>
      </c>
      <c r="K24028">
        <v>1788.9</v>
      </c>
      <c r="L24028">
        <v>119.95</v>
      </c>
      <c r="M24028">
        <v>17912</v>
      </c>
      <c r="N24028" t="s">
        <v>505</v>
      </c>
      <c r="O24028">
        <v>251105</v>
      </c>
      <c r="P24028">
        <v>470.39</v>
      </c>
    </row>
    <row r="24029" spans="1:16" x14ac:dyDescent="0.25">
      <c r="A24029" t="s">
        <v>3296</v>
      </c>
      <c r="B24029" t="s">
        <v>2931</v>
      </c>
      <c r="C24029">
        <v>14640</v>
      </c>
      <c r="D24029" t="str">
        <f>"55251676951 "</f>
        <v xml:space="preserve">55251676951 </v>
      </c>
      <c r="E24029" t="s">
        <v>1845</v>
      </c>
      <c r="F24029" t="s">
        <v>1846</v>
      </c>
      <c r="G24029">
        <v>1144.8900000000001</v>
      </c>
      <c r="H24029">
        <v>251031</v>
      </c>
      <c r="I24029">
        <v>4572</v>
      </c>
      <c r="J24029" t="s">
        <v>173</v>
      </c>
      <c r="K24029">
        <v>1788.9</v>
      </c>
      <c r="L24029">
        <v>232.63</v>
      </c>
      <c r="M24029">
        <v>17952</v>
      </c>
      <c r="N24029" t="s">
        <v>157</v>
      </c>
      <c r="O24029">
        <v>251105</v>
      </c>
      <c r="P24029">
        <v>912.26</v>
      </c>
    </row>
    <row r="24030" spans="1:16" x14ac:dyDescent="0.25">
      <c r="A24030" t="s">
        <v>3296</v>
      </c>
      <c r="B24030" t="s">
        <v>2931</v>
      </c>
      <c r="C24030">
        <v>14641</v>
      </c>
      <c r="D24030" t="str">
        <f>"55251676029 "</f>
        <v xml:space="preserve">55251676029 </v>
      </c>
      <c r="E24030" t="s">
        <v>1845</v>
      </c>
      <c r="F24030" t="s">
        <v>1846</v>
      </c>
      <c r="G24030">
        <v>971.53</v>
      </c>
      <c r="H24030">
        <v>251031</v>
      </c>
      <c r="I24030">
        <v>4572</v>
      </c>
      <c r="J24030" t="s">
        <v>173</v>
      </c>
      <c r="K24030">
        <v>1104.01</v>
      </c>
      <c r="L24030">
        <v>197.4</v>
      </c>
      <c r="M24030">
        <v>59505</v>
      </c>
      <c r="N24030" t="s">
        <v>194</v>
      </c>
      <c r="O24030">
        <v>251105</v>
      </c>
      <c r="P24030">
        <v>774.13</v>
      </c>
    </row>
    <row r="24031" spans="1:16" x14ac:dyDescent="0.25">
      <c r="A24031" t="s">
        <v>3296</v>
      </c>
      <c r="B24031" t="s">
        <v>2931</v>
      </c>
      <c r="C24031">
        <v>14641</v>
      </c>
      <c r="D24031" t="str">
        <f>"55251676029 "</f>
        <v xml:space="preserve">55251676029 </v>
      </c>
      <c r="E24031" t="s">
        <v>1845</v>
      </c>
      <c r="F24031" t="s">
        <v>1846</v>
      </c>
      <c r="G24031">
        <v>132.47999999999999</v>
      </c>
      <c r="H24031">
        <v>251031</v>
      </c>
      <c r="I24031">
        <v>4572</v>
      </c>
      <c r="J24031" t="s">
        <v>173</v>
      </c>
      <c r="K24031">
        <v>1104.01</v>
      </c>
      <c r="L24031">
        <v>26.92</v>
      </c>
      <c r="M24031">
        <v>59812</v>
      </c>
      <c r="N24031" t="s">
        <v>196</v>
      </c>
      <c r="O24031">
        <v>251105</v>
      </c>
      <c r="P24031">
        <v>105.56</v>
      </c>
    </row>
    <row r="24032" spans="1:16" x14ac:dyDescent="0.25">
      <c r="A24032" t="s">
        <v>3296</v>
      </c>
      <c r="B24032" t="s">
        <v>2931</v>
      </c>
      <c r="C24032">
        <v>14652</v>
      </c>
      <c r="D24032" t="str">
        <f>"55251677443 "</f>
        <v xml:space="preserve">55251677443 </v>
      </c>
      <c r="E24032" t="s">
        <v>1845</v>
      </c>
      <c r="F24032" t="s">
        <v>1846</v>
      </c>
      <c r="G24032">
        <v>48.82</v>
      </c>
      <c r="H24032">
        <v>251031</v>
      </c>
      <c r="I24032">
        <v>4572</v>
      </c>
      <c r="J24032" t="s">
        <v>173</v>
      </c>
      <c r="K24032">
        <v>48.82</v>
      </c>
      <c r="L24032">
        <v>9.92</v>
      </c>
      <c r="M24032">
        <v>13841</v>
      </c>
      <c r="N24032" t="s">
        <v>178</v>
      </c>
      <c r="O24032">
        <v>251105</v>
      </c>
      <c r="P24032">
        <v>38.9</v>
      </c>
    </row>
    <row r="24033" spans="1:16" x14ac:dyDescent="0.25">
      <c r="A24033" t="s">
        <v>3296</v>
      </c>
      <c r="B24033" t="s">
        <v>2931</v>
      </c>
      <c r="C24033">
        <v>14653</v>
      </c>
      <c r="D24033" t="str">
        <f>"55251677145 "</f>
        <v xml:space="preserve">55251677145 </v>
      </c>
      <c r="E24033" t="s">
        <v>1845</v>
      </c>
      <c r="F24033" t="s">
        <v>1846</v>
      </c>
      <c r="G24033">
        <v>277.54000000000002</v>
      </c>
      <c r="H24033">
        <v>251031</v>
      </c>
      <c r="I24033">
        <v>4572</v>
      </c>
      <c r="J24033" t="s">
        <v>173</v>
      </c>
      <c r="K24033">
        <v>277.54000000000002</v>
      </c>
      <c r="L24033">
        <v>56.39</v>
      </c>
      <c r="M24033">
        <v>13841</v>
      </c>
      <c r="N24033" t="s">
        <v>178</v>
      </c>
      <c r="O24033">
        <v>251105</v>
      </c>
      <c r="P24033">
        <v>221.15</v>
      </c>
    </row>
    <row r="24034" spans="1:16" x14ac:dyDescent="0.25">
      <c r="A24034" t="s">
        <v>3296</v>
      </c>
      <c r="B24034" t="s">
        <v>2931</v>
      </c>
      <c r="C24034">
        <v>14654</v>
      </c>
      <c r="D24034" t="str">
        <f>"55251676281 "</f>
        <v xml:space="preserve">55251676281 </v>
      </c>
      <c r="E24034" t="s">
        <v>1845</v>
      </c>
      <c r="F24034" t="s">
        <v>1846</v>
      </c>
      <c r="G24034">
        <v>14.45</v>
      </c>
      <c r="H24034">
        <v>251031</v>
      </c>
      <c r="I24034">
        <v>4572</v>
      </c>
      <c r="J24034" t="s">
        <v>173</v>
      </c>
      <c r="K24034">
        <v>14.45</v>
      </c>
      <c r="L24034">
        <v>2.94</v>
      </c>
      <c r="M24034">
        <v>13841</v>
      </c>
      <c r="N24034" t="s">
        <v>178</v>
      </c>
      <c r="O24034">
        <v>251105</v>
      </c>
      <c r="P24034">
        <v>11.51</v>
      </c>
    </row>
    <row r="24035" spans="1:16" x14ac:dyDescent="0.25">
      <c r="A24035" t="s">
        <v>3296</v>
      </c>
      <c r="B24035" t="s">
        <v>2931</v>
      </c>
      <c r="C24035">
        <v>14923</v>
      </c>
      <c r="D24035" t="str">
        <f>"55251677514 "</f>
        <v xml:space="preserve">55251677514 </v>
      </c>
      <c r="E24035" t="s">
        <v>1845</v>
      </c>
      <c r="F24035" t="s">
        <v>1846</v>
      </c>
      <c r="G24035">
        <v>1037.57</v>
      </c>
      <c r="H24035">
        <v>251031</v>
      </c>
      <c r="I24035">
        <v>4572</v>
      </c>
      <c r="J24035" t="s">
        <v>173</v>
      </c>
      <c r="K24035">
        <v>7205.31</v>
      </c>
      <c r="L24035">
        <v>210.82</v>
      </c>
      <c r="M24035">
        <v>69111</v>
      </c>
      <c r="N24035" t="s">
        <v>657</v>
      </c>
      <c r="O24035">
        <v>251110</v>
      </c>
      <c r="P24035">
        <v>826.75</v>
      </c>
    </row>
    <row r="24036" spans="1:16" x14ac:dyDescent="0.25">
      <c r="A24036" t="s">
        <v>3296</v>
      </c>
      <c r="B24036" t="s">
        <v>2931</v>
      </c>
      <c r="C24036">
        <v>14923</v>
      </c>
      <c r="D24036" t="str">
        <f>"55251677514 "</f>
        <v xml:space="preserve">55251677514 </v>
      </c>
      <c r="E24036" t="s">
        <v>1845</v>
      </c>
      <c r="F24036" t="s">
        <v>1846</v>
      </c>
      <c r="G24036">
        <v>6124.51</v>
      </c>
      <c r="H24036">
        <v>251031</v>
      </c>
      <c r="I24036">
        <v>4572</v>
      </c>
      <c r="J24036" t="s">
        <v>173</v>
      </c>
      <c r="K24036">
        <v>7205.31</v>
      </c>
      <c r="L24036">
        <v>1244.42</v>
      </c>
      <c r="M24036">
        <v>69501</v>
      </c>
      <c r="N24036" t="s">
        <v>123</v>
      </c>
      <c r="O24036">
        <v>251110</v>
      </c>
      <c r="P24036">
        <v>4880.09</v>
      </c>
    </row>
    <row r="24037" spans="1:16" x14ac:dyDescent="0.25">
      <c r="A24037" t="s">
        <v>3296</v>
      </c>
      <c r="B24037" t="s">
        <v>2931</v>
      </c>
      <c r="C24037">
        <v>14923</v>
      </c>
      <c r="D24037" t="str">
        <f>"55251677514 "</f>
        <v xml:space="preserve">55251677514 </v>
      </c>
      <c r="E24037" t="s">
        <v>1845</v>
      </c>
      <c r="F24037" t="s">
        <v>1846</v>
      </c>
      <c r="G24037">
        <v>43.23</v>
      </c>
      <c r="H24037">
        <v>251031</v>
      </c>
      <c r="I24037">
        <v>4572</v>
      </c>
      <c r="J24037" t="s">
        <v>173</v>
      </c>
      <c r="K24037">
        <v>7205.31</v>
      </c>
      <c r="L24037">
        <v>0</v>
      </c>
      <c r="M24037">
        <v>69803</v>
      </c>
      <c r="N24037" t="s">
        <v>391</v>
      </c>
      <c r="O24037">
        <v>251110</v>
      </c>
      <c r="P24037">
        <v>43.23</v>
      </c>
    </row>
    <row r="24038" spans="1:16" x14ac:dyDescent="0.25">
      <c r="A24038" t="s">
        <v>3296</v>
      </c>
      <c r="B24038" t="s">
        <v>2931</v>
      </c>
      <c r="C24038">
        <v>14926</v>
      </c>
      <c r="D24038" t="str">
        <f>"55251677400 "</f>
        <v xml:space="preserve">55251677400 </v>
      </c>
      <c r="E24038" t="s">
        <v>1845</v>
      </c>
      <c r="F24038" t="s">
        <v>1846</v>
      </c>
      <c r="G24038">
        <v>2275.65</v>
      </c>
      <c r="H24038">
        <v>251031</v>
      </c>
      <c r="I24038">
        <v>4572</v>
      </c>
      <c r="J24038" t="s">
        <v>173</v>
      </c>
      <c r="K24038">
        <v>2275.65</v>
      </c>
      <c r="L24038">
        <v>462.38</v>
      </c>
      <c r="M24038">
        <v>14951</v>
      </c>
      <c r="N24038" t="s">
        <v>186</v>
      </c>
      <c r="O24038">
        <v>251110</v>
      </c>
      <c r="P24038">
        <v>1813.27</v>
      </c>
    </row>
    <row r="24039" spans="1:16" x14ac:dyDescent="0.25">
      <c r="A24039" t="s">
        <v>3296</v>
      </c>
      <c r="B24039" t="s">
        <v>2931</v>
      </c>
      <c r="C24039">
        <v>14946</v>
      </c>
      <c r="D24039" t="str">
        <f>"55251674981 "</f>
        <v xml:space="preserve">55251674981 </v>
      </c>
      <c r="E24039" t="s">
        <v>1845</v>
      </c>
      <c r="F24039" t="s">
        <v>1846</v>
      </c>
      <c r="G24039">
        <v>32.44</v>
      </c>
      <c r="H24039">
        <v>251031</v>
      </c>
      <c r="I24039">
        <v>4572</v>
      </c>
      <c r="J24039" t="s">
        <v>173</v>
      </c>
      <c r="K24039">
        <v>32.44</v>
      </c>
      <c r="L24039">
        <v>0</v>
      </c>
      <c r="M24039">
        <v>11001</v>
      </c>
      <c r="N24039" t="s">
        <v>93</v>
      </c>
      <c r="O24039">
        <v>251110</v>
      </c>
      <c r="P24039">
        <v>32.44</v>
      </c>
    </row>
    <row r="24040" spans="1:16" x14ac:dyDescent="0.25">
      <c r="A24040" t="s">
        <v>3296</v>
      </c>
      <c r="B24040" t="s">
        <v>2931</v>
      </c>
      <c r="C24040">
        <v>14957</v>
      </c>
      <c r="D24040" t="str">
        <f>"55251686963 "</f>
        <v xml:space="preserve">55251686963 </v>
      </c>
      <c r="E24040" t="s">
        <v>1845</v>
      </c>
      <c r="F24040" t="s">
        <v>1846</v>
      </c>
      <c r="G24040">
        <v>5.89</v>
      </c>
      <c r="H24040">
        <v>251031</v>
      </c>
      <c r="I24040">
        <v>4572</v>
      </c>
      <c r="J24040" t="s">
        <v>173</v>
      </c>
      <c r="K24040">
        <v>19.62</v>
      </c>
      <c r="L24040">
        <v>1.2</v>
      </c>
      <c r="M24040">
        <v>14952</v>
      </c>
      <c r="N24040" t="s">
        <v>213</v>
      </c>
      <c r="O24040">
        <v>251110</v>
      </c>
      <c r="P24040">
        <v>4.6900000000000004</v>
      </c>
    </row>
    <row r="24041" spans="1:16" x14ac:dyDescent="0.25">
      <c r="A24041" t="s">
        <v>3296</v>
      </c>
      <c r="B24041" t="s">
        <v>2931</v>
      </c>
      <c r="C24041">
        <v>14957</v>
      </c>
      <c r="D24041" t="str">
        <f>"55251686963 "</f>
        <v xml:space="preserve">55251686963 </v>
      </c>
      <c r="E24041" t="s">
        <v>1845</v>
      </c>
      <c r="F24041" t="s">
        <v>1846</v>
      </c>
      <c r="G24041">
        <v>13.73</v>
      </c>
      <c r="H24041">
        <v>251031</v>
      </c>
      <c r="I24041">
        <v>4572</v>
      </c>
      <c r="J24041" t="s">
        <v>173</v>
      </c>
      <c r="K24041">
        <v>19.62</v>
      </c>
      <c r="L24041">
        <v>2.79</v>
      </c>
      <c r="M24041">
        <v>14981</v>
      </c>
      <c r="N24041" t="s">
        <v>252</v>
      </c>
      <c r="O24041">
        <v>251110</v>
      </c>
      <c r="P24041">
        <v>10.94</v>
      </c>
    </row>
    <row r="24042" spans="1:16" x14ac:dyDescent="0.25">
      <c r="A24042" t="s">
        <v>3296</v>
      </c>
      <c r="B24042" t="s">
        <v>2931</v>
      </c>
      <c r="C24042">
        <v>14970</v>
      </c>
      <c r="D24042" t="str">
        <f>"55251687511 "</f>
        <v xml:space="preserve">55251687511 </v>
      </c>
      <c r="E24042" t="s">
        <v>1845</v>
      </c>
      <c r="F24042" t="s">
        <v>1846</v>
      </c>
      <c r="G24042">
        <v>206.81</v>
      </c>
      <c r="H24042">
        <v>251031</v>
      </c>
      <c r="I24042">
        <v>4572</v>
      </c>
      <c r="J24042" t="s">
        <v>173</v>
      </c>
      <c r="K24042">
        <v>689.38</v>
      </c>
      <c r="L24042">
        <v>42.02</v>
      </c>
      <c r="M24042">
        <v>14952</v>
      </c>
      <c r="N24042" t="s">
        <v>213</v>
      </c>
      <c r="O24042">
        <v>251110</v>
      </c>
      <c r="P24042">
        <v>164.79</v>
      </c>
    </row>
    <row r="24043" spans="1:16" x14ac:dyDescent="0.25">
      <c r="A24043" t="s">
        <v>3296</v>
      </c>
      <c r="B24043" t="s">
        <v>2931</v>
      </c>
      <c r="C24043">
        <v>14970</v>
      </c>
      <c r="D24043" t="str">
        <f>"55251687511 "</f>
        <v xml:space="preserve">55251687511 </v>
      </c>
      <c r="E24043" t="s">
        <v>1845</v>
      </c>
      <c r="F24043" t="s">
        <v>1846</v>
      </c>
      <c r="G24043">
        <v>482.57</v>
      </c>
      <c r="H24043">
        <v>251031</v>
      </c>
      <c r="I24043">
        <v>4572</v>
      </c>
      <c r="J24043" t="s">
        <v>173</v>
      </c>
      <c r="K24043">
        <v>689.38</v>
      </c>
      <c r="L24043">
        <v>98.05</v>
      </c>
      <c r="M24043">
        <v>14981</v>
      </c>
      <c r="N24043" t="s">
        <v>252</v>
      </c>
      <c r="O24043">
        <v>251110</v>
      </c>
      <c r="P24043">
        <v>384.52</v>
      </c>
    </row>
    <row r="24044" spans="1:16" x14ac:dyDescent="0.25">
      <c r="A24044" t="s">
        <v>3296</v>
      </c>
      <c r="B24044" t="s">
        <v>2931</v>
      </c>
      <c r="C24044">
        <v>14977</v>
      </c>
      <c r="D24044" t="str">
        <f>"55251687160 "</f>
        <v xml:space="preserve">55251687160 </v>
      </c>
      <c r="E24044" t="s">
        <v>1845</v>
      </c>
      <c r="F24044" t="s">
        <v>1846</v>
      </c>
      <c r="G24044">
        <v>86.46</v>
      </c>
      <c r="H24044">
        <v>251031</v>
      </c>
      <c r="I24044">
        <v>4572</v>
      </c>
      <c r="J24044" t="s">
        <v>173</v>
      </c>
      <c r="K24044">
        <v>288.2</v>
      </c>
      <c r="L24044">
        <v>17.57</v>
      </c>
      <c r="M24044">
        <v>11401</v>
      </c>
      <c r="N24044" t="s">
        <v>91</v>
      </c>
      <c r="O24044">
        <v>251110</v>
      </c>
      <c r="P24044">
        <v>68.89</v>
      </c>
    </row>
    <row r="24045" spans="1:16" x14ac:dyDescent="0.25">
      <c r="A24045" t="s">
        <v>3296</v>
      </c>
      <c r="B24045" t="s">
        <v>2931</v>
      </c>
      <c r="C24045">
        <v>14977</v>
      </c>
      <c r="D24045" t="str">
        <f>"55251687160 "</f>
        <v xml:space="preserve">55251687160 </v>
      </c>
      <c r="E24045" t="s">
        <v>1845</v>
      </c>
      <c r="F24045" t="s">
        <v>1846</v>
      </c>
      <c r="G24045">
        <v>201.74</v>
      </c>
      <c r="H24045">
        <v>251031</v>
      </c>
      <c r="I24045">
        <v>4572</v>
      </c>
      <c r="J24045" t="s">
        <v>173</v>
      </c>
      <c r="K24045">
        <v>288.2</v>
      </c>
      <c r="L24045">
        <v>40.99</v>
      </c>
      <c r="M24045">
        <v>14952</v>
      </c>
      <c r="N24045" t="s">
        <v>213</v>
      </c>
      <c r="O24045">
        <v>251110</v>
      </c>
      <c r="P24045">
        <v>160.75</v>
      </c>
    </row>
    <row r="24046" spans="1:16" x14ac:dyDescent="0.25">
      <c r="A24046" t="s">
        <v>3296</v>
      </c>
      <c r="B24046" t="s">
        <v>2931</v>
      </c>
      <c r="C24046">
        <v>14989</v>
      </c>
      <c r="D24046" t="str">
        <f>"55251682448 "</f>
        <v xml:space="preserve">55251682448 </v>
      </c>
      <c r="E24046" t="s">
        <v>1845</v>
      </c>
      <c r="F24046" t="s">
        <v>1846</v>
      </c>
      <c r="G24046">
        <v>21.98</v>
      </c>
      <c r="H24046">
        <v>251031</v>
      </c>
      <c r="I24046">
        <v>4572</v>
      </c>
      <c r="J24046" t="s">
        <v>173</v>
      </c>
      <c r="K24046">
        <v>65.94</v>
      </c>
      <c r="L24046">
        <v>4.47</v>
      </c>
      <c r="M24046">
        <v>11401</v>
      </c>
      <c r="N24046" t="s">
        <v>91</v>
      </c>
      <c r="O24046">
        <v>251110</v>
      </c>
      <c r="P24046">
        <v>17.510000000000002</v>
      </c>
    </row>
    <row r="24047" spans="1:16" x14ac:dyDescent="0.25">
      <c r="A24047" t="s">
        <v>3296</v>
      </c>
      <c r="B24047" t="s">
        <v>2931</v>
      </c>
      <c r="C24047">
        <v>14989</v>
      </c>
      <c r="D24047" t="str">
        <f>"55251682448 "</f>
        <v xml:space="preserve">55251682448 </v>
      </c>
      <c r="E24047" t="s">
        <v>1845</v>
      </c>
      <c r="F24047" t="s">
        <v>1846</v>
      </c>
      <c r="G24047">
        <v>43.96</v>
      </c>
      <c r="H24047">
        <v>251031</v>
      </c>
      <c r="I24047">
        <v>4572</v>
      </c>
      <c r="J24047" t="s">
        <v>173</v>
      </c>
      <c r="K24047">
        <v>65.94</v>
      </c>
      <c r="L24047">
        <v>8.93</v>
      </c>
      <c r="M24047">
        <v>14952</v>
      </c>
      <c r="N24047" t="s">
        <v>213</v>
      </c>
      <c r="O24047">
        <v>251110</v>
      </c>
      <c r="P24047">
        <v>35.03</v>
      </c>
    </row>
    <row r="24048" spans="1:16" x14ac:dyDescent="0.25">
      <c r="A24048" t="s">
        <v>3296</v>
      </c>
      <c r="B24048" t="s">
        <v>2931</v>
      </c>
      <c r="C24048">
        <v>14997</v>
      </c>
      <c r="D24048" t="str">
        <f>"55251687474 "</f>
        <v xml:space="preserve">55251687474 </v>
      </c>
      <c r="E24048" t="s">
        <v>1845</v>
      </c>
      <c r="F24048" t="s">
        <v>1846</v>
      </c>
      <c r="G24048">
        <v>3.51</v>
      </c>
      <c r="H24048">
        <v>251031</v>
      </c>
      <c r="I24048">
        <v>4572</v>
      </c>
      <c r="J24048" t="s">
        <v>173</v>
      </c>
      <c r="K24048">
        <v>11.71</v>
      </c>
      <c r="L24048">
        <v>0.71</v>
      </c>
      <c r="M24048">
        <v>14952</v>
      </c>
      <c r="N24048" t="s">
        <v>213</v>
      </c>
      <c r="O24048">
        <v>251110</v>
      </c>
      <c r="P24048">
        <v>2.8</v>
      </c>
    </row>
    <row r="24049" spans="1:16" x14ac:dyDescent="0.25">
      <c r="A24049" t="s">
        <v>3296</v>
      </c>
      <c r="B24049" t="s">
        <v>2931</v>
      </c>
      <c r="C24049">
        <v>14997</v>
      </c>
      <c r="D24049" t="str">
        <f>"55251687474 "</f>
        <v xml:space="preserve">55251687474 </v>
      </c>
      <c r="E24049" t="s">
        <v>1845</v>
      </c>
      <c r="F24049" t="s">
        <v>1846</v>
      </c>
      <c r="G24049">
        <v>8.1999999999999993</v>
      </c>
      <c r="H24049">
        <v>251031</v>
      </c>
      <c r="I24049">
        <v>4572</v>
      </c>
      <c r="J24049" t="s">
        <v>173</v>
      </c>
      <c r="K24049">
        <v>11.71</v>
      </c>
      <c r="L24049">
        <v>1.67</v>
      </c>
      <c r="M24049">
        <v>14981</v>
      </c>
      <c r="N24049" t="s">
        <v>252</v>
      </c>
      <c r="O24049">
        <v>251110</v>
      </c>
      <c r="P24049">
        <v>6.53</v>
      </c>
    </row>
    <row r="24050" spans="1:16" x14ac:dyDescent="0.25">
      <c r="A24050" t="s">
        <v>3296</v>
      </c>
      <c r="B24050" t="s">
        <v>2931</v>
      </c>
      <c r="C24050">
        <v>14999</v>
      </c>
      <c r="D24050" t="str">
        <f>"55251687465 "</f>
        <v xml:space="preserve">55251687465 </v>
      </c>
      <c r="E24050" t="s">
        <v>1845</v>
      </c>
      <c r="F24050" t="s">
        <v>1846</v>
      </c>
      <c r="G24050">
        <v>13.88</v>
      </c>
      <c r="H24050">
        <v>251031</v>
      </c>
      <c r="I24050">
        <v>4572</v>
      </c>
      <c r="J24050" t="s">
        <v>173</v>
      </c>
      <c r="K24050">
        <v>46.27</v>
      </c>
      <c r="L24050">
        <v>2.82</v>
      </c>
      <c r="M24050">
        <v>14952</v>
      </c>
      <c r="N24050" t="s">
        <v>213</v>
      </c>
      <c r="O24050">
        <v>251110</v>
      </c>
      <c r="P24050">
        <v>11.06</v>
      </c>
    </row>
    <row r="24051" spans="1:16" x14ac:dyDescent="0.25">
      <c r="A24051" t="s">
        <v>3296</v>
      </c>
      <c r="B24051" t="s">
        <v>2931</v>
      </c>
      <c r="C24051">
        <v>14999</v>
      </c>
      <c r="D24051" t="str">
        <f>"55251687465 "</f>
        <v xml:space="preserve">55251687465 </v>
      </c>
      <c r="E24051" t="s">
        <v>1845</v>
      </c>
      <c r="F24051" t="s">
        <v>1846</v>
      </c>
      <c r="G24051">
        <v>32.39</v>
      </c>
      <c r="H24051">
        <v>251031</v>
      </c>
      <c r="I24051">
        <v>4572</v>
      </c>
      <c r="J24051" t="s">
        <v>173</v>
      </c>
      <c r="K24051">
        <v>46.27</v>
      </c>
      <c r="L24051">
        <v>6.58</v>
      </c>
      <c r="M24051">
        <v>14981</v>
      </c>
      <c r="N24051" t="s">
        <v>252</v>
      </c>
      <c r="O24051">
        <v>251110</v>
      </c>
      <c r="P24051">
        <v>25.81</v>
      </c>
    </row>
    <row r="24052" spans="1:16" x14ac:dyDescent="0.25">
      <c r="A24052" t="s">
        <v>3296</v>
      </c>
      <c r="B24052" t="s">
        <v>2931</v>
      </c>
      <c r="C24052">
        <v>15152</v>
      </c>
      <c r="D24052" t="str">
        <f>"55251674683 "</f>
        <v xml:space="preserve">55251674683 </v>
      </c>
      <c r="E24052" t="s">
        <v>1845</v>
      </c>
      <c r="F24052" t="s">
        <v>1846</v>
      </c>
      <c r="G24052">
        <v>1459.21</v>
      </c>
      <c r="H24052">
        <v>251031</v>
      </c>
      <c r="I24052">
        <v>4572</v>
      </c>
      <c r="J24052" t="s">
        <v>173</v>
      </c>
      <c r="K24052">
        <v>1536.01</v>
      </c>
      <c r="L24052">
        <v>296.49</v>
      </c>
      <c r="M24052">
        <v>49501</v>
      </c>
      <c r="N24052" t="s">
        <v>110</v>
      </c>
      <c r="O24052">
        <v>251113</v>
      </c>
      <c r="P24052">
        <v>1162.72</v>
      </c>
    </row>
    <row r="24053" spans="1:16" x14ac:dyDescent="0.25">
      <c r="A24053" t="s">
        <v>3296</v>
      </c>
      <c r="B24053" t="s">
        <v>2931</v>
      </c>
      <c r="C24053">
        <v>15152</v>
      </c>
      <c r="D24053" t="str">
        <f>"55251674683 "</f>
        <v xml:space="preserve">55251674683 </v>
      </c>
      <c r="E24053" t="s">
        <v>1845</v>
      </c>
      <c r="F24053" t="s">
        <v>1846</v>
      </c>
      <c r="G24053">
        <v>76.8</v>
      </c>
      <c r="H24053">
        <v>251031</v>
      </c>
      <c r="I24053">
        <v>4572</v>
      </c>
      <c r="J24053" t="s">
        <v>173</v>
      </c>
      <c r="K24053">
        <v>1536.01</v>
      </c>
      <c r="L24053">
        <v>15.6</v>
      </c>
      <c r="M24053">
        <v>49801</v>
      </c>
      <c r="N24053" t="s">
        <v>953</v>
      </c>
      <c r="O24053">
        <v>251113</v>
      </c>
      <c r="P24053">
        <v>61.2</v>
      </c>
    </row>
    <row r="24054" spans="1:16" x14ac:dyDescent="0.25">
      <c r="A24054" t="s">
        <v>3296</v>
      </c>
      <c r="B24054" t="s">
        <v>2931</v>
      </c>
      <c r="C24054">
        <v>15156</v>
      </c>
      <c r="D24054" t="str">
        <f>"55251675773 "</f>
        <v xml:space="preserve">55251675773 </v>
      </c>
      <c r="E24054" t="s">
        <v>1845</v>
      </c>
      <c r="F24054" t="s">
        <v>1846</v>
      </c>
      <c r="G24054">
        <v>912.82</v>
      </c>
      <c r="H24054">
        <v>251031</v>
      </c>
      <c r="I24054">
        <v>4572</v>
      </c>
      <c r="J24054" t="s">
        <v>173</v>
      </c>
      <c r="K24054">
        <v>912.82</v>
      </c>
      <c r="L24054">
        <v>185.47</v>
      </c>
      <c r="M24054">
        <v>49503</v>
      </c>
      <c r="N24054" t="s">
        <v>267</v>
      </c>
      <c r="O24054">
        <v>251113</v>
      </c>
      <c r="P24054">
        <v>727.35</v>
      </c>
    </row>
    <row r="24055" spans="1:16" x14ac:dyDescent="0.25">
      <c r="A24055" t="s">
        <v>3296</v>
      </c>
      <c r="B24055" t="s">
        <v>2931</v>
      </c>
      <c r="C24055">
        <v>15157</v>
      </c>
      <c r="D24055" t="str">
        <f>"55251675087 "</f>
        <v xml:space="preserve">55251675087 </v>
      </c>
      <c r="E24055" t="s">
        <v>1845</v>
      </c>
      <c r="F24055" t="s">
        <v>1846</v>
      </c>
      <c r="G24055">
        <v>133.44999999999999</v>
      </c>
      <c r="H24055">
        <v>251031</v>
      </c>
      <c r="I24055">
        <v>4572</v>
      </c>
      <c r="J24055" t="s">
        <v>173</v>
      </c>
      <c r="K24055">
        <v>4448.42</v>
      </c>
      <c r="L24055">
        <v>27.12</v>
      </c>
      <c r="M24055">
        <v>49111</v>
      </c>
      <c r="N24055" t="s">
        <v>108</v>
      </c>
      <c r="O24055">
        <v>251113</v>
      </c>
      <c r="P24055">
        <v>106.33</v>
      </c>
    </row>
    <row r="24056" spans="1:16" x14ac:dyDescent="0.25">
      <c r="A24056" t="s">
        <v>3296</v>
      </c>
      <c r="B24056" t="s">
        <v>2931</v>
      </c>
      <c r="C24056">
        <v>15157</v>
      </c>
      <c r="D24056" t="str">
        <f>"55251675087 "</f>
        <v xml:space="preserve">55251675087 </v>
      </c>
      <c r="E24056" t="s">
        <v>1845</v>
      </c>
      <c r="F24056" t="s">
        <v>1846</v>
      </c>
      <c r="G24056">
        <v>4114.79</v>
      </c>
      <c r="H24056">
        <v>251031</v>
      </c>
      <c r="I24056">
        <v>4572</v>
      </c>
      <c r="J24056" t="s">
        <v>173</v>
      </c>
      <c r="K24056">
        <v>4448.42</v>
      </c>
      <c r="L24056">
        <v>836.07</v>
      </c>
      <c r="M24056">
        <v>49501</v>
      </c>
      <c r="N24056" t="s">
        <v>110</v>
      </c>
      <c r="O24056">
        <v>251113</v>
      </c>
      <c r="P24056">
        <v>3278.72</v>
      </c>
    </row>
    <row r="24057" spans="1:16" x14ac:dyDescent="0.25">
      <c r="A24057" t="s">
        <v>3296</v>
      </c>
      <c r="B24057" t="s">
        <v>2931</v>
      </c>
      <c r="C24057">
        <v>15157</v>
      </c>
      <c r="D24057" t="str">
        <f>"55251675087 "</f>
        <v xml:space="preserve">55251675087 </v>
      </c>
      <c r="E24057" t="s">
        <v>1845</v>
      </c>
      <c r="F24057" t="s">
        <v>1846</v>
      </c>
      <c r="G24057">
        <v>133.44999999999999</v>
      </c>
      <c r="H24057">
        <v>251031</v>
      </c>
      <c r="I24057">
        <v>4572</v>
      </c>
      <c r="J24057" t="s">
        <v>173</v>
      </c>
      <c r="K24057">
        <v>4448.42</v>
      </c>
      <c r="L24057">
        <v>27.12</v>
      </c>
      <c r="M24057">
        <v>49801</v>
      </c>
      <c r="N24057" t="s">
        <v>953</v>
      </c>
      <c r="O24057">
        <v>251113</v>
      </c>
      <c r="P24057">
        <v>106.33</v>
      </c>
    </row>
    <row r="24058" spans="1:16" x14ac:dyDescent="0.25">
      <c r="A24058" t="s">
        <v>3296</v>
      </c>
      <c r="B24058" t="s">
        <v>2931</v>
      </c>
      <c r="C24058">
        <v>15157</v>
      </c>
      <c r="D24058" t="str">
        <f>"55251675087 "</f>
        <v xml:space="preserve">55251675087 </v>
      </c>
      <c r="E24058" t="s">
        <v>1845</v>
      </c>
      <c r="F24058" t="s">
        <v>1846</v>
      </c>
      <c r="G24058">
        <v>66.73</v>
      </c>
      <c r="H24058">
        <v>251031</v>
      </c>
      <c r="I24058">
        <v>4572</v>
      </c>
      <c r="J24058" t="s">
        <v>173</v>
      </c>
      <c r="K24058">
        <v>4448.42</v>
      </c>
      <c r="L24058">
        <v>0</v>
      </c>
      <c r="M24058">
        <v>49803</v>
      </c>
      <c r="N24058" t="s">
        <v>956</v>
      </c>
      <c r="O24058">
        <v>251113</v>
      </c>
      <c r="P24058">
        <v>66.73</v>
      </c>
    </row>
    <row r="24059" spans="1:16" x14ac:dyDescent="0.25">
      <c r="A24059" t="s">
        <v>3296</v>
      </c>
      <c r="B24059" t="s">
        <v>2931</v>
      </c>
      <c r="C24059">
        <v>15345</v>
      </c>
      <c r="D24059" t="str">
        <f>"55251690698 "</f>
        <v xml:space="preserve">55251690698 </v>
      </c>
      <c r="E24059" t="s">
        <v>1845</v>
      </c>
      <c r="F24059" t="s">
        <v>1846</v>
      </c>
      <c r="G24059">
        <v>18.18</v>
      </c>
      <c r="H24059">
        <v>251031</v>
      </c>
      <c r="I24059">
        <v>4572</v>
      </c>
      <c r="J24059" t="s">
        <v>173</v>
      </c>
      <c r="K24059">
        <v>18.18</v>
      </c>
      <c r="L24059">
        <v>3.69</v>
      </c>
      <c r="M24059">
        <v>56571</v>
      </c>
      <c r="N24059" t="s">
        <v>553</v>
      </c>
      <c r="O24059">
        <v>251119</v>
      </c>
      <c r="P24059">
        <v>14.49</v>
      </c>
    </row>
    <row r="24060" spans="1:16" x14ac:dyDescent="0.25">
      <c r="A24060" t="s">
        <v>3296</v>
      </c>
      <c r="B24060" t="s">
        <v>2931</v>
      </c>
      <c r="C24060">
        <v>16092</v>
      </c>
      <c r="D24060" t="str">
        <f>"55251767658 "</f>
        <v xml:space="preserve">55251767658 </v>
      </c>
      <c r="E24060" t="s">
        <v>1845</v>
      </c>
      <c r="F24060" t="s">
        <v>1846</v>
      </c>
      <c r="G24060">
        <v>61.82</v>
      </c>
      <c r="H24060">
        <v>251130</v>
      </c>
      <c r="I24060">
        <v>4572</v>
      </c>
      <c r="J24060" t="s">
        <v>173</v>
      </c>
      <c r="K24060">
        <v>61.82</v>
      </c>
      <c r="L24060">
        <v>12.56</v>
      </c>
      <c r="M24060">
        <v>13841</v>
      </c>
      <c r="N24060" t="s">
        <v>178</v>
      </c>
      <c r="O24060">
        <v>251203</v>
      </c>
      <c r="P24060">
        <v>49.26</v>
      </c>
    </row>
    <row r="24061" spans="1:16" x14ac:dyDescent="0.25">
      <c r="A24061" t="s">
        <v>3296</v>
      </c>
      <c r="B24061" t="s">
        <v>2931</v>
      </c>
      <c r="C24061">
        <v>16093</v>
      </c>
      <c r="D24061" t="str">
        <f>"55251769293 "</f>
        <v xml:space="preserve">55251769293 </v>
      </c>
      <c r="E24061" t="s">
        <v>1845</v>
      </c>
      <c r="F24061" t="s">
        <v>1846</v>
      </c>
      <c r="G24061">
        <v>196.82</v>
      </c>
      <c r="H24061">
        <v>251130</v>
      </c>
      <c r="I24061">
        <v>4572</v>
      </c>
      <c r="J24061" t="s">
        <v>173</v>
      </c>
      <c r="K24061">
        <v>196.82</v>
      </c>
      <c r="L24061">
        <v>39.99</v>
      </c>
      <c r="M24061">
        <v>17956</v>
      </c>
      <c r="N24061" t="s">
        <v>170</v>
      </c>
      <c r="O24061">
        <v>251203</v>
      </c>
      <c r="P24061">
        <v>156.83000000000001</v>
      </c>
    </row>
    <row r="24062" spans="1:16" x14ac:dyDescent="0.25">
      <c r="A24062" t="s">
        <v>3296</v>
      </c>
      <c r="B24062" t="s">
        <v>2931</v>
      </c>
      <c r="C24062">
        <v>16100</v>
      </c>
      <c r="D24062" t="str">
        <f>"55251769413 "</f>
        <v xml:space="preserve">55251769413 </v>
      </c>
      <c r="E24062" t="s">
        <v>1845</v>
      </c>
      <c r="F24062" t="s">
        <v>1846</v>
      </c>
      <c r="G24062">
        <v>184.81</v>
      </c>
      <c r="H24062">
        <v>251130</v>
      </c>
      <c r="I24062">
        <v>4572</v>
      </c>
      <c r="J24062" t="s">
        <v>173</v>
      </c>
      <c r="K24062">
        <v>184.81</v>
      </c>
      <c r="L24062">
        <v>37.549999999999997</v>
      </c>
      <c r="M24062">
        <v>17956</v>
      </c>
      <c r="N24062" t="s">
        <v>170</v>
      </c>
      <c r="O24062">
        <v>251203</v>
      </c>
      <c r="P24062">
        <v>147.26</v>
      </c>
    </row>
    <row r="24063" spans="1:16" x14ac:dyDescent="0.25">
      <c r="A24063" t="s">
        <v>3296</v>
      </c>
      <c r="B24063" t="s">
        <v>2931</v>
      </c>
      <c r="C24063">
        <v>16102</v>
      </c>
      <c r="D24063" t="str">
        <f>"55251767418 "</f>
        <v xml:space="preserve">55251767418 </v>
      </c>
      <c r="E24063" t="s">
        <v>1845</v>
      </c>
      <c r="F24063" t="s">
        <v>1846</v>
      </c>
      <c r="G24063">
        <v>3787.45</v>
      </c>
      <c r="H24063">
        <v>251130</v>
      </c>
      <c r="I24063">
        <v>4572</v>
      </c>
      <c r="J24063" t="s">
        <v>173</v>
      </c>
      <c r="K24063">
        <v>3787.45</v>
      </c>
      <c r="L24063">
        <v>769.56</v>
      </c>
      <c r="M24063">
        <v>17951</v>
      </c>
      <c r="N24063" t="s">
        <v>207</v>
      </c>
      <c r="O24063">
        <v>251203</v>
      </c>
      <c r="P24063">
        <v>3017.89</v>
      </c>
    </row>
    <row r="24064" spans="1:16" x14ac:dyDescent="0.25">
      <c r="A24064" t="s">
        <v>3296</v>
      </c>
      <c r="B24064" t="s">
        <v>2931</v>
      </c>
      <c r="C24064">
        <v>16103</v>
      </c>
      <c r="D24064" t="str">
        <f>"55251768122 "</f>
        <v xml:space="preserve">55251768122 </v>
      </c>
      <c r="E24064" t="s">
        <v>1845</v>
      </c>
      <c r="F24064" t="s">
        <v>1846</v>
      </c>
      <c r="G24064">
        <v>19.5</v>
      </c>
      <c r="H24064">
        <v>251130</v>
      </c>
      <c r="I24064">
        <v>4572</v>
      </c>
      <c r="J24064" t="s">
        <v>173</v>
      </c>
      <c r="K24064">
        <v>390.02</v>
      </c>
      <c r="L24064">
        <v>3.96</v>
      </c>
      <c r="M24064">
        <v>17737</v>
      </c>
      <c r="N24064" t="s">
        <v>156</v>
      </c>
      <c r="O24064">
        <v>251203</v>
      </c>
      <c r="P24064">
        <v>15.54</v>
      </c>
    </row>
    <row r="24065" spans="1:16" x14ac:dyDescent="0.25">
      <c r="A24065" t="s">
        <v>3296</v>
      </c>
      <c r="B24065" t="s">
        <v>2931</v>
      </c>
      <c r="C24065">
        <v>16103</v>
      </c>
      <c r="D24065" t="str">
        <f>"55251768122 "</f>
        <v xml:space="preserve">55251768122 </v>
      </c>
      <c r="E24065" t="s">
        <v>1845</v>
      </c>
      <c r="F24065" t="s">
        <v>1846</v>
      </c>
      <c r="G24065">
        <v>111.16</v>
      </c>
      <c r="H24065">
        <v>251130</v>
      </c>
      <c r="I24065">
        <v>4572</v>
      </c>
      <c r="J24065" t="s">
        <v>173</v>
      </c>
      <c r="K24065">
        <v>390.02</v>
      </c>
      <c r="L24065">
        <v>22.59</v>
      </c>
      <c r="M24065">
        <v>17739</v>
      </c>
      <c r="N24065" t="s">
        <v>928</v>
      </c>
      <c r="O24065">
        <v>251203</v>
      </c>
      <c r="P24065">
        <v>88.57</v>
      </c>
    </row>
    <row r="24066" spans="1:16" x14ac:dyDescent="0.25">
      <c r="A24066" t="s">
        <v>3296</v>
      </c>
      <c r="B24066" t="s">
        <v>2931</v>
      </c>
      <c r="C24066">
        <v>16103</v>
      </c>
      <c r="D24066" t="str">
        <f>"55251768122 "</f>
        <v xml:space="preserve">55251768122 </v>
      </c>
      <c r="E24066" t="s">
        <v>1845</v>
      </c>
      <c r="F24066" t="s">
        <v>1846</v>
      </c>
      <c r="G24066">
        <v>259.36</v>
      </c>
      <c r="H24066">
        <v>251130</v>
      </c>
      <c r="I24066">
        <v>4572</v>
      </c>
      <c r="J24066" t="s">
        <v>173</v>
      </c>
      <c r="K24066">
        <v>390.02</v>
      </c>
      <c r="L24066">
        <v>52.7</v>
      </c>
      <c r="M24066">
        <v>17952</v>
      </c>
      <c r="N24066" t="s">
        <v>157</v>
      </c>
      <c r="O24066">
        <v>251203</v>
      </c>
      <c r="P24066">
        <v>206.66</v>
      </c>
    </row>
    <row r="24067" spans="1:16" x14ac:dyDescent="0.25">
      <c r="A24067" t="s">
        <v>3296</v>
      </c>
      <c r="B24067" t="s">
        <v>2931</v>
      </c>
      <c r="C24067">
        <v>16106</v>
      </c>
      <c r="D24067" t="str">
        <f>"55251767152 "</f>
        <v xml:space="preserve">55251767152 </v>
      </c>
      <c r="E24067" t="s">
        <v>1845</v>
      </c>
      <c r="F24067" t="s">
        <v>1846</v>
      </c>
      <c r="G24067">
        <v>18.649999999999999</v>
      </c>
      <c r="H24067">
        <v>251130</v>
      </c>
      <c r="I24067">
        <v>4572</v>
      </c>
      <c r="J24067" t="s">
        <v>173</v>
      </c>
      <c r="K24067">
        <v>18.649999999999999</v>
      </c>
      <c r="L24067">
        <v>3.79</v>
      </c>
      <c r="M24067">
        <v>13841</v>
      </c>
      <c r="N24067" t="s">
        <v>178</v>
      </c>
      <c r="O24067">
        <v>251203</v>
      </c>
      <c r="P24067">
        <v>14.86</v>
      </c>
    </row>
    <row r="24068" spans="1:16" x14ac:dyDescent="0.25">
      <c r="A24068" t="s">
        <v>3296</v>
      </c>
      <c r="B24068" t="s">
        <v>2931</v>
      </c>
      <c r="C24068">
        <v>16107</v>
      </c>
      <c r="D24068" t="str">
        <f>"55251773384 "</f>
        <v xml:space="preserve">55251773384 </v>
      </c>
      <c r="E24068" t="s">
        <v>1845</v>
      </c>
      <c r="F24068" t="s">
        <v>1846</v>
      </c>
      <c r="G24068">
        <v>333.96</v>
      </c>
      <c r="H24068">
        <v>251130</v>
      </c>
      <c r="I24068">
        <v>4572</v>
      </c>
      <c r="J24068" t="s">
        <v>173</v>
      </c>
      <c r="K24068">
        <v>333.96</v>
      </c>
      <c r="L24068">
        <v>67.86</v>
      </c>
      <c r="M24068">
        <v>13841</v>
      </c>
      <c r="N24068" t="s">
        <v>178</v>
      </c>
      <c r="O24068">
        <v>251203</v>
      </c>
      <c r="P24068">
        <v>266.10000000000002</v>
      </c>
    </row>
    <row r="24069" spans="1:16" x14ac:dyDescent="0.25">
      <c r="A24069" t="s">
        <v>3296</v>
      </c>
      <c r="B24069" t="s">
        <v>2931</v>
      </c>
      <c r="C24069">
        <v>16202</v>
      </c>
      <c r="D24069" t="str">
        <f>"55251781960 "</f>
        <v xml:space="preserve">55251781960 </v>
      </c>
      <c r="E24069" t="s">
        <v>1845</v>
      </c>
      <c r="F24069" t="s">
        <v>1846</v>
      </c>
      <c r="G24069">
        <v>51.3</v>
      </c>
      <c r="H24069">
        <v>251130</v>
      </c>
      <c r="I24069">
        <v>4572</v>
      </c>
      <c r="J24069" t="s">
        <v>173</v>
      </c>
      <c r="K24069">
        <v>1710.04</v>
      </c>
      <c r="L24069">
        <v>10.42</v>
      </c>
      <c r="M24069">
        <v>17739</v>
      </c>
      <c r="N24069" t="s">
        <v>928</v>
      </c>
      <c r="O24069">
        <v>251204</v>
      </c>
      <c r="P24069">
        <v>40.880000000000003</v>
      </c>
    </row>
    <row r="24070" spans="1:16" x14ac:dyDescent="0.25">
      <c r="A24070" t="s">
        <v>3296</v>
      </c>
      <c r="B24070" t="s">
        <v>2931</v>
      </c>
      <c r="C24070">
        <v>16202</v>
      </c>
      <c r="D24070" t="str">
        <f>"55251781960 "</f>
        <v xml:space="preserve">55251781960 </v>
      </c>
      <c r="E24070" t="s">
        <v>1845</v>
      </c>
      <c r="F24070" t="s">
        <v>1846</v>
      </c>
      <c r="G24070">
        <v>564.30999999999995</v>
      </c>
      <c r="H24070">
        <v>251130</v>
      </c>
      <c r="I24070">
        <v>4572</v>
      </c>
      <c r="J24070" t="s">
        <v>173</v>
      </c>
      <c r="K24070">
        <v>1710.04</v>
      </c>
      <c r="L24070">
        <v>114.66</v>
      </c>
      <c r="M24070">
        <v>17912</v>
      </c>
      <c r="N24070" t="s">
        <v>505</v>
      </c>
      <c r="O24070">
        <v>251204</v>
      </c>
      <c r="P24070">
        <v>449.65</v>
      </c>
    </row>
    <row r="24071" spans="1:16" x14ac:dyDescent="0.25">
      <c r="A24071" t="s">
        <v>3296</v>
      </c>
      <c r="B24071" t="s">
        <v>2931</v>
      </c>
      <c r="C24071">
        <v>16202</v>
      </c>
      <c r="D24071" t="str">
        <f>"55251781960 "</f>
        <v xml:space="preserve">55251781960 </v>
      </c>
      <c r="E24071" t="s">
        <v>1845</v>
      </c>
      <c r="F24071" t="s">
        <v>1846</v>
      </c>
      <c r="G24071">
        <v>1094.43</v>
      </c>
      <c r="H24071">
        <v>251130</v>
      </c>
      <c r="I24071">
        <v>4572</v>
      </c>
      <c r="J24071" t="s">
        <v>173</v>
      </c>
      <c r="K24071">
        <v>1710.04</v>
      </c>
      <c r="L24071">
        <v>222.37</v>
      </c>
      <c r="M24071">
        <v>17952</v>
      </c>
      <c r="N24071" t="s">
        <v>157</v>
      </c>
      <c r="O24071">
        <v>251204</v>
      </c>
      <c r="P24071">
        <v>872.06</v>
      </c>
    </row>
    <row r="24072" spans="1:16" x14ac:dyDescent="0.25">
      <c r="A24072" t="s">
        <v>3296</v>
      </c>
      <c r="B24072" t="s">
        <v>2931</v>
      </c>
      <c r="C24072">
        <v>16203</v>
      </c>
      <c r="D24072" t="str">
        <f>"55251774921 "</f>
        <v xml:space="preserve">55251774921 </v>
      </c>
      <c r="E24072" t="s">
        <v>1845</v>
      </c>
      <c r="F24072" t="s">
        <v>1846</v>
      </c>
      <c r="G24072">
        <v>0.21</v>
      </c>
      <c r="H24072">
        <v>251130</v>
      </c>
      <c r="I24072">
        <v>4572</v>
      </c>
      <c r="J24072" t="s">
        <v>173</v>
      </c>
      <c r="K24072">
        <v>0.77</v>
      </c>
      <c r="L24072">
        <v>0.04</v>
      </c>
      <c r="M24072">
        <v>59112</v>
      </c>
      <c r="N24072" t="s">
        <v>44</v>
      </c>
      <c r="O24072">
        <v>251204</v>
      </c>
      <c r="P24072">
        <v>0.17</v>
      </c>
    </row>
    <row r="24073" spans="1:16" x14ac:dyDescent="0.25">
      <c r="A24073" t="s">
        <v>3296</v>
      </c>
      <c r="B24073" t="s">
        <v>2931</v>
      </c>
      <c r="C24073">
        <v>16203</v>
      </c>
      <c r="D24073" t="str">
        <f>"55251774921 "</f>
        <v xml:space="preserve">55251774921 </v>
      </c>
      <c r="E24073" t="s">
        <v>1845</v>
      </c>
      <c r="F24073" t="s">
        <v>1846</v>
      </c>
      <c r="G24073">
        <v>0.56000000000000005</v>
      </c>
      <c r="H24073">
        <v>251130</v>
      </c>
      <c r="I24073">
        <v>4572</v>
      </c>
      <c r="J24073" t="s">
        <v>173</v>
      </c>
      <c r="K24073">
        <v>0.77</v>
      </c>
      <c r="L24073">
        <v>0.11</v>
      </c>
      <c r="M24073">
        <v>59504</v>
      </c>
      <c r="N24073" t="s">
        <v>193</v>
      </c>
      <c r="O24073">
        <v>251204</v>
      </c>
      <c r="P24073">
        <v>0.45</v>
      </c>
    </row>
    <row r="24074" spans="1:16" x14ac:dyDescent="0.25">
      <c r="A24074" t="s">
        <v>3296</v>
      </c>
      <c r="B24074" t="s">
        <v>2931</v>
      </c>
      <c r="C24074">
        <v>16204</v>
      </c>
      <c r="D24074" t="str">
        <f>"55251771425 "</f>
        <v xml:space="preserve">55251771425 </v>
      </c>
      <c r="E24074" t="s">
        <v>1845</v>
      </c>
      <c r="F24074" t="s">
        <v>1846</v>
      </c>
      <c r="G24074">
        <v>22.34</v>
      </c>
      <c r="H24074">
        <v>251130</v>
      </c>
      <c r="I24074">
        <v>4572</v>
      </c>
      <c r="J24074" t="s">
        <v>173</v>
      </c>
      <c r="K24074">
        <v>22.34</v>
      </c>
      <c r="L24074">
        <v>4.54</v>
      </c>
      <c r="M24074">
        <v>17956</v>
      </c>
      <c r="N24074" t="s">
        <v>170</v>
      </c>
      <c r="O24074">
        <v>251204</v>
      </c>
      <c r="P24074">
        <v>17.8</v>
      </c>
    </row>
    <row r="24075" spans="1:16" x14ac:dyDescent="0.25">
      <c r="A24075" t="s">
        <v>3296</v>
      </c>
      <c r="B24075" t="s">
        <v>2931</v>
      </c>
      <c r="C24075">
        <v>16205</v>
      </c>
      <c r="D24075" t="str">
        <f>"55251773378 "</f>
        <v xml:space="preserve">55251773378 </v>
      </c>
      <c r="E24075" t="s">
        <v>1845</v>
      </c>
      <c r="F24075" t="s">
        <v>1846</v>
      </c>
      <c r="G24075">
        <v>0.46</v>
      </c>
      <c r="H24075">
        <v>251130</v>
      </c>
      <c r="I24075">
        <v>4572</v>
      </c>
      <c r="J24075" t="s">
        <v>173</v>
      </c>
      <c r="K24075">
        <v>1.71</v>
      </c>
      <c r="L24075">
        <v>0.09</v>
      </c>
      <c r="M24075">
        <v>59112</v>
      </c>
      <c r="N24075" t="s">
        <v>44</v>
      </c>
      <c r="O24075">
        <v>251204</v>
      </c>
      <c r="P24075">
        <v>0.37</v>
      </c>
    </row>
    <row r="24076" spans="1:16" x14ac:dyDescent="0.25">
      <c r="A24076" t="s">
        <v>3296</v>
      </c>
      <c r="B24076" t="s">
        <v>2931</v>
      </c>
      <c r="C24076">
        <v>16205</v>
      </c>
      <c r="D24076" t="str">
        <f>"55251773378 "</f>
        <v xml:space="preserve">55251773378 </v>
      </c>
      <c r="E24076" t="s">
        <v>1845</v>
      </c>
      <c r="F24076" t="s">
        <v>1846</v>
      </c>
      <c r="G24076">
        <v>1.25</v>
      </c>
      <c r="H24076">
        <v>251130</v>
      </c>
      <c r="I24076">
        <v>4572</v>
      </c>
      <c r="J24076" t="s">
        <v>173</v>
      </c>
      <c r="K24076">
        <v>1.71</v>
      </c>
      <c r="L24076">
        <v>0.25</v>
      </c>
      <c r="M24076">
        <v>59504</v>
      </c>
      <c r="N24076" t="s">
        <v>193</v>
      </c>
      <c r="O24076">
        <v>251204</v>
      </c>
      <c r="P24076">
        <v>1</v>
      </c>
    </row>
    <row r="24077" spans="1:16" x14ac:dyDescent="0.25">
      <c r="A24077" t="s">
        <v>3296</v>
      </c>
      <c r="B24077" t="s">
        <v>2931</v>
      </c>
      <c r="C24077">
        <v>16206</v>
      </c>
      <c r="D24077" t="str">
        <f>"55251768770 "</f>
        <v xml:space="preserve">55251768770 </v>
      </c>
      <c r="E24077" t="s">
        <v>1845</v>
      </c>
      <c r="F24077" t="s">
        <v>1846</v>
      </c>
      <c r="G24077">
        <v>34.979999999999997</v>
      </c>
      <c r="H24077">
        <v>251130</v>
      </c>
      <c r="I24077">
        <v>4572</v>
      </c>
      <c r="J24077" t="s">
        <v>173</v>
      </c>
      <c r="K24077">
        <v>34.979999999999997</v>
      </c>
      <c r="L24077">
        <v>0</v>
      </c>
      <c r="M24077">
        <v>11001</v>
      </c>
      <c r="N24077" t="s">
        <v>93</v>
      </c>
      <c r="O24077">
        <v>251204</v>
      </c>
      <c r="P24077">
        <v>34.979999999999997</v>
      </c>
    </row>
    <row r="24078" spans="1:16" x14ac:dyDescent="0.25">
      <c r="A24078" t="s">
        <v>3296</v>
      </c>
      <c r="B24078" t="s">
        <v>2931</v>
      </c>
      <c r="C24078">
        <v>16207</v>
      </c>
      <c r="D24078" t="str">
        <f>"55251772777 "</f>
        <v xml:space="preserve">55251772777 </v>
      </c>
      <c r="E24078" t="s">
        <v>1845</v>
      </c>
      <c r="F24078" t="s">
        <v>1846</v>
      </c>
      <c r="G24078">
        <v>366.3</v>
      </c>
      <c r="H24078">
        <v>251130</v>
      </c>
      <c r="I24078">
        <v>4572</v>
      </c>
      <c r="J24078" t="s">
        <v>173</v>
      </c>
      <c r="K24078">
        <v>366.3</v>
      </c>
      <c r="L24078">
        <v>74.430000000000007</v>
      </c>
      <c r="M24078">
        <v>17950</v>
      </c>
      <c r="N24078" t="s">
        <v>132</v>
      </c>
      <c r="O24078">
        <v>251204</v>
      </c>
      <c r="P24078">
        <v>291.87</v>
      </c>
    </row>
    <row r="24079" spans="1:16" x14ac:dyDescent="0.25">
      <c r="A24079" t="s">
        <v>3296</v>
      </c>
      <c r="B24079" t="s">
        <v>2931</v>
      </c>
      <c r="C24079">
        <v>16209</v>
      </c>
      <c r="D24079" t="str">
        <f>"55251770213 "</f>
        <v xml:space="preserve">55251770213 </v>
      </c>
      <c r="E24079" t="s">
        <v>1845</v>
      </c>
      <c r="F24079" t="s">
        <v>1846</v>
      </c>
      <c r="G24079">
        <v>9.27</v>
      </c>
      <c r="H24079">
        <v>251130</v>
      </c>
      <c r="I24079">
        <v>4572</v>
      </c>
      <c r="J24079" t="s">
        <v>173</v>
      </c>
      <c r="K24079">
        <v>9.27</v>
      </c>
      <c r="L24079">
        <v>1.88</v>
      </c>
      <c r="M24079">
        <v>17981</v>
      </c>
      <c r="N24079" t="s">
        <v>927</v>
      </c>
      <c r="O24079">
        <v>251204</v>
      </c>
      <c r="P24079">
        <v>7.39</v>
      </c>
    </row>
    <row r="24080" spans="1:16" x14ac:dyDescent="0.25">
      <c r="A24080" t="s">
        <v>3296</v>
      </c>
      <c r="B24080" t="s">
        <v>2931</v>
      </c>
      <c r="C24080">
        <v>16210</v>
      </c>
      <c r="D24080" t="str">
        <f>"55251768097 "</f>
        <v xml:space="preserve">55251768097 </v>
      </c>
      <c r="E24080" t="s">
        <v>1845</v>
      </c>
      <c r="F24080" t="s">
        <v>1846</v>
      </c>
      <c r="G24080">
        <v>438.8</v>
      </c>
      <c r="H24080">
        <v>251130</v>
      </c>
      <c r="I24080">
        <v>4572</v>
      </c>
      <c r="J24080" t="s">
        <v>173</v>
      </c>
      <c r="K24080">
        <v>1625.19</v>
      </c>
      <c r="L24080">
        <v>89.16</v>
      </c>
      <c r="M24080">
        <v>59112</v>
      </c>
      <c r="N24080" t="s">
        <v>44</v>
      </c>
      <c r="O24080">
        <v>251204</v>
      </c>
      <c r="P24080">
        <v>349.64</v>
      </c>
    </row>
    <row r="24081" spans="1:16" x14ac:dyDescent="0.25">
      <c r="A24081" t="s">
        <v>3296</v>
      </c>
      <c r="B24081" t="s">
        <v>2931</v>
      </c>
      <c r="C24081">
        <v>16210</v>
      </c>
      <c r="D24081" t="str">
        <f>"55251768097 "</f>
        <v xml:space="preserve">55251768097 </v>
      </c>
      <c r="E24081" t="s">
        <v>1845</v>
      </c>
      <c r="F24081" t="s">
        <v>1846</v>
      </c>
      <c r="G24081">
        <v>1186.3900000000001</v>
      </c>
      <c r="H24081">
        <v>251130</v>
      </c>
      <c r="I24081">
        <v>4572</v>
      </c>
      <c r="J24081" t="s">
        <v>173</v>
      </c>
      <c r="K24081">
        <v>1625.19</v>
      </c>
      <c r="L24081">
        <v>241.06</v>
      </c>
      <c r="M24081">
        <v>59504</v>
      </c>
      <c r="N24081" t="s">
        <v>193</v>
      </c>
      <c r="O24081">
        <v>251204</v>
      </c>
      <c r="P24081">
        <v>945.33</v>
      </c>
    </row>
    <row r="24082" spans="1:16" x14ac:dyDescent="0.25">
      <c r="A24082" t="s">
        <v>3296</v>
      </c>
      <c r="B24082" t="s">
        <v>2931</v>
      </c>
      <c r="C24082">
        <v>16213</v>
      </c>
      <c r="D24082" t="str">
        <f>"55251773605 "</f>
        <v xml:space="preserve">55251773605 </v>
      </c>
      <c r="E24082" t="s">
        <v>1845</v>
      </c>
      <c r="F24082" t="s">
        <v>1846</v>
      </c>
      <c r="G24082">
        <v>450</v>
      </c>
      <c r="H24082">
        <v>251130</v>
      </c>
      <c r="I24082">
        <v>4572</v>
      </c>
      <c r="J24082" t="s">
        <v>173</v>
      </c>
      <c r="K24082">
        <v>2036.35</v>
      </c>
      <c r="L24082">
        <v>91.43</v>
      </c>
      <c r="M24082">
        <v>17648</v>
      </c>
      <c r="N24082" t="s">
        <v>2669</v>
      </c>
      <c r="O24082">
        <v>251204</v>
      </c>
      <c r="P24082">
        <v>358.57</v>
      </c>
    </row>
    <row r="24083" spans="1:16" x14ac:dyDescent="0.25">
      <c r="A24083" t="s">
        <v>3296</v>
      </c>
      <c r="B24083" t="s">
        <v>2931</v>
      </c>
      <c r="C24083">
        <v>16213</v>
      </c>
      <c r="D24083" t="str">
        <f>"55251773605 "</f>
        <v xml:space="preserve">55251773605 </v>
      </c>
      <c r="E24083" t="s">
        <v>1845</v>
      </c>
      <c r="F24083" t="s">
        <v>1846</v>
      </c>
      <c r="G24083">
        <v>1586.35</v>
      </c>
      <c r="H24083">
        <v>251130</v>
      </c>
      <c r="I24083">
        <v>4572</v>
      </c>
      <c r="J24083" t="s">
        <v>173</v>
      </c>
      <c r="K24083">
        <v>2036.35</v>
      </c>
      <c r="L24083">
        <v>322.33</v>
      </c>
      <c r="M24083">
        <v>17956</v>
      </c>
      <c r="N24083" t="s">
        <v>170</v>
      </c>
      <c r="O24083">
        <v>251204</v>
      </c>
      <c r="P24083">
        <v>1264.02</v>
      </c>
    </row>
    <row r="24084" spans="1:16" x14ac:dyDescent="0.25">
      <c r="A24084" t="s">
        <v>3296</v>
      </c>
      <c r="B24084" t="s">
        <v>2931</v>
      </c>
      <c r="C24084">
        <v>16214</v>
      </c>
      <c r="D24084" t="str">
        <f>"55251768761 "</f>
        <v xml:space="preserve">55251768761 </v>
      </c>
      <c r="E24084" t="s">
        <v>1845</v>
      </c>
      <c r="F24084" t="s">
        <v>1846</v>
      </c>
      <c r="G24084">
        <v>627.67999999999995</v>
      </c>
      <c r="H24084">
        <v>251130</v>
      </c>
      <c r="I24084">
        <v>4572</v>
      </c>
      <c r="J24084" t="s">
        <v>173</v>
      </c>
      <c r="K24084">
        <v>5706.21</v>
      </c>
      <c r="L24084">
        <v>127.54</v>
      </c>
      <c r="M24084">
        <v>13540</v>
      </c>
      <c r="N24084" t="s">
        <v>131</v>
      </c>
      <c r="O24084">
        <v>251204</v>
      </c>
      <c r="P24084">
        <v>500.14</v>
      </c>
    </row>
    <row r="24085" spans="1:16" x14ac:dyDescent="0.25">
      <c r="A24085" t="s">
        <v>3296</v>
      </c>
      <c r="B24085" t="s">
        <v>2931</v>
      </c>
      <c r="C24085">
        <v>16214</v>
      </c>
      <c r="D24085" t="str">
        <f>"55251768761 "</f>
        <v xml:space="preserve">55251768761 </v>
      </c>
      <c r="E24085" t="s">
        <v>1845</v>
      </c>
      <c r="F24085" t="s">
        <v>1846</v>
      </c>
      <c r="G24085">
        <v>5078.53</v>
      </c>
      <c r="H24085">
        <v>251130</v>
      </c>
      <c r="I24085">
        <v>4572</v>
      </c>
      <c r="J24085" t="s">
        <v>173</v>
      </c>
      <c r="K24085">
        <v>5706.21</v>
      </c>
      <c r="L24085">
        <v>1031.8900000000001</v>
      </c>
      <c r="M24085">
        <v>17950</v>
      </c>
      <c r="N24085" t="s">
        <v>132</v>
      </c>
      <c r="O24085">
        <v>251204</v>
      </c>
      <c r="P24085">
        <v>4046.64</v>
      </c>
    </row>
    <row r="24086" spans="1:16" x14ac:dyDescent="0.25">
      <c r="A24086" t="s">
        <v>3296</v>
      </c>
      <c r="B24086" t="s">
        <v>2931</v>
      </c>
      <c r="C24086">
        <v>16215</v>
      </c>
      <c r="D24086" t="str">
        <f>"55251770696 "</f>
        <v xml:space="preserve">55251770696 </v>
      </c>
      <c r="E24086" t="s">
        <v>1845</v>
      </c>
      <c r="F24086" t="s">
        <v>1846</v>
      </c>
      <c r="G24086">
        <v>33.090000000000003</v>
      </c>
      <c r="H24086">
        <v>251130</v>
      </c>
      <c r="I24086">
        <v>4572</v>
      </c>
      <c r="J24086" t="s">
        <v>173</v>
      </c>
      <c r="K24086">
        <v>33.090000000000003</v>
      </c>
      <c r="L24086">
        <v>6.72</v>
      </c>
      <c r="M24086">
        <v>17956</v>
      </c>
      <c r="N24086" t="s">
        <v>170</v>
      </c>
      <c r="O24086">
        <v>251204</v>
      </c>
      <c r="P24086">
        <v>26.37</v>
      </c>
    </row>
    <row r="24087" spans="1:16" x14ac:dyDescent="0.25">
      <c r="A24087" t="s">
        <v>3296</v>
      </c>
      <c r="B24087" t="s">
        <v>2931</v>
      </c>
      <c r="C24087">
        <v>16216</v>
      </c>
      <c r="D24087" t="str">
        <f>"55251769345 "</f>
        <v xml:space="preserve">55251769345 </v>
      </c>
      <c r="E24087" t="s">
        <v>1845</v>
      </c>
      <c r="F24087" t="s">
        <v>1846</v>
      </c>
      <c r="G24087">
        <v>30.62</v>
      </c>
      <c r="H24087">
        <v>251130</v>
      </c>
      <c r="I24087">
        <v>4572</v>
      </c>
      <c r="J24087" t="s">
        <v>173</v>
      </c>
      <c r="K24087">
        <v>113.39</v>
      </c>
      <c r="L24087">
        <v>6.22</v>
      </c>
      <c r="M24087">
        <v>59112</v>
      </c>
      <c r="N24087" t="s">
        <v>44</v>
      </c>
      <c r="O24087">
        <v>251204</v>
      </c>
      <c r="P24087">
        <v>24.4</v>
      </c>
    </row>
    <row r="24088" spans="1:16" x14ac:dyDescent="0.25">
      <c r="A24088" t="s">
        <v>3296</v>
      </c>
      <c r="B24088" t="s">
        <v>2931</v>
      </c>
      <c r="C24088">
        <v>16216</v>
      </c>
      <c r="D24088" t="str">
        <f>"55251769345 "</f>
        <v xml:space="preserve">55251769345 </v>
      </c>
      <c r="E24088" t="s">
        <v>1845</v>
      </c>
      <c r="F24088" t="s">
        <v>1846</v>
      </c>
      <c r="G24088">
        <v>82.77</v>
      </c>
      <c r="H24088">
        <v>251130</v>
      </c>
      <c r="I24088">
        <v>4572</v>
      </c>
      <c r="J24088" t="s">
        <v>173</v>
      </c>
      <c r="K24088">
        <v>113.39</v>
      </c>
      <c r="L24088">
        <v>16.82</v>
      </c>
      <c r="M24088">
        <v>59504</v>
      </c>
      <c r="N24088" t="s">
        <v>193</v>
      </c>
      <c r="O24088">
        <v>251204</v>
      </c>
      <c r="P24088">
        <v>65.95</v>
      </c>
    </row>
    <row r="24089" spans="1:16" x14ac:dyDescent="0.25">
      <c r="A24089" t="s">
        <v>3296</v>
      </c>
      <c r="B24089" t="s">
        <v>2931</v>
      </c>
      <c r="C24089">
        <v>16355</v>
      </c>
      <c r="D24089" t="str">
        <f>"55251767006 "</f>
        <v xml:space="preserve">55251767006 </v>
      </c>
      <c r="E24089" t="s">
        <v>1845</v>
      </c>
      <c r="F24089" t="s">
        <v>1846</v>
      </c>
      <c r="G24089">
        <v>2200.25</v>
      </c>
      <c r="H24089">
        <v>251130</v>
      </c>
      <c r="I24089">
        <v>4572</v>
      </c>
      <c r="J24089" t="s">
        <v>173</v>
      </c>
      <c r="K24089">
        <v>3606.96</v>
      </c>
      <c r="L24089">
        <v>447.06</v>
      </c>
      <c r="M24089">
        <v>59502</v>
      </c>
      <c r="N24089" t="s">
        <v>63</v>
      </c>
      <c r="O24089">
        <v>251208</v>
      </c>
      <c r="P24089">
        <v>1753.19</v>
      </c>
    </row>
    <row r="24090" spans="1:16" x14ac:dyDescent="0.25">
      <c r="A24090" t="s">
        <v>3296</v>
      </c>
      <c r="B24090" t="s">
        <v>2931</v>
      </c>
      <c r="C24090">
        <v>16355</v>
      </c>
      <c r="D24090" t="str">
        <f>"55251767006 "</f>
        <v xml:space="preserve">55251767006 </v>
      </c>
      <c r="E24090" t="s">
        <v>1845</v>
      </c>
      <c r="F24090" t="s">
        <v>1846</v>
      </c>
      <c r="G24090">
        <v>1406.71</v>
      </c>
      <c r="H24090">
        <v>251130</v>
      </c>
      <c r="I24090">
        <v>4572</v>
      </c>
      <c r="J24090" t="s">
        <v>173</v>
      </c>
      <c r="K24090">
        <v>3606.96</v>
      </c>
      <c r="L24090">
        <v>285.83</v>
      </c>
      <c r="M24090">
        <v>59802</v>
      </c>
      <c r="N24090" t="s">
        <v>195</v>
      </c>
      <c r="O24090">
        <v>251208</v>
      </c>
      <c r="P24090">
        <v>1120.8800000000001</v>
      </c>
    </row>
    <row r="24091" spans="1:16" x14ac:dyDescent="0.25">
      <c r="A24091" t="s">
        <v>3296</v>
      </c>
      <c r="B24091" t="s">
        <v>2931</v>
      </c>
      <c r="C24091">
        <v>16359</v>
      </c>
      <c r="D24091" t="str">
        <f>"55251770549 "</f>
        <v xml:space="preserve">55251770549 </v>
      </c>
      <c r="E24091" t="s">
        <v>1845</v>
      </c>
      <c r="F24091" t="s">
        <v>1846</v>
      </c>
      <c r="G24091">
        <v>371.32</v>
      </c>
      <c r="H24091">
        <v>251130</v>
      </c>
      <c r="I24091">
        <v>4572</v>
      </c>
      <c r="J24091" t="s">
        <v>173</v>
      </c>
      <c r="K24091">
        <v>6188.71</v>
      </c>
      <c r="L24091">
        <v>75.45</v>
      </c>
      <c r="M24091">
        <v>59111</v>
      </c>
      <c r="N24091" t="s">
        <v>60</v>
      </c>
      <c r="O24091">
        <v>251208</v>
      </c>
      <c r="P24091">
        <v>295.87</v>
      </c>
    </row>
    <row r="24092" spans="1:16" x14ac:dyDescent="0.25">
      <c r="A24092" t="s">
        <v>3296</v>
      </c>
      <c r="B24092" t="s">
        <v>2931</v>
      </c>
      <c r="C24092">
        <v>16359</v>
      </c>
      <c r="D24092" t="str">
        <f>"55251770549 "</f>
        <v xml:space="preserve">55251770549 </v>
      </c>
      <c r="E24092" t="s">
        <v>1845</v>
      </c>
      <c r="F24092" t="s">
        <v>1846</v>
      </c>
      <c r="G24092">
        <v>5817.39</v>
      </c>
      <c r="H24092">
        <v>251130</v>
      </c>
      <c r="I24092">
        <v>4572</v>
      </c>
      <c r="J24092" t="s">
        <v>173</v>
      </c>
      <c r="K24092">
        <v>6188.71</v>
      </c>
      <c r="L24092">
        <v>1182.02</v>
      </c>
      <c r="M24092">
        <v>59501</v>
      </c>
      <c r="N24092" t="s">
        <v>62</v>
      </c>
      <c r="O24092">
        <v>251208</v>
      </c>
      <c r="P24092">
        <v>4635.37</v>
      </c>
    </row>
    <row r="24093" spans="1:16" x14ac:dyDescent="0.25">
      <c r="A24093" t="s">
        <v>3296</v>
      </c>
      <c r="B24093" t="s">
        <v>2931</v>
      </c>
      <c r="C24093">
        <v>16360</v>
      </c>
      <c r="D24093" t="str">
        <f>"55251766735 "</f>
        <v xml:space="preserve">55251766735 </v>
      </c>
      <c r="E24093" t="s">
        <v>1845</v>
      </c>
      <c r="F24093" t="s">
        <v>1846</v>
      </c>
      <c r="G24093">
        <v>864.6</v>
      </c>
      <c r="H24093">
        <v>251130</v>
      </c>
      <c r="I24093">
        <v>4572</v>
      </c>
      <c r="J24093" t="s">
        <v>173</v>
      </c>
      <c r="K24093">
        <v>982.5</v>
      </c>
      <c r="L24093">
        <v>175.68</v>
      </c>
      <c r="M24093">
        <v>59505</v>
      </c>
      <c r="N24093" t="s">
        <v>194</v>
      </c>
      <c r="O24093">
        <v>251208</v>
      </c>
      <c r="P24093">
        <v>688.92</v>
      </c>
    </row>
    <row r="24094" spans="1:16" x14ac:dyDescent="0.25">
      <c r="A24094" t="s">
        <v>3296</v>
      </c>
      <c r="B24094" t="s">
        <v>2931</v>
      </c>
      <c r="C24094">
        <v>16360</v>
      </c>
      <c r="D24094" t="str">
        <f>"55251766735 "</f>
        <v xml:space="preserve">55251766735 </v>
      </c>
      <c r="E24094" t="s">
        <v>1845</v>
      </c>
      <c r="F24094" t="s">
        <v>1846</v>
      </c>
      <c r="G24094">
        <v>117.9</v>
      </c>
      <c r="H24094">
        <v>251130</v>
      </c>
      <c r="I24094">
        <v>4572</v>
      </c>
      <c r="J24094" t="s">
        <v>173</v>
      </c>
      <c r="K24094">
        <v>982.5</v>
      </c>
      <c r="L24094">
        <v>23.96</v>
      </c>
      <c r="M24094">
        <v>59812</v>
      </c>
      <c r="N24094" t="s">
        <v>196</v>
      </c>
      <c r="O24094">
        <v>251208</v>
      </c>
      <c r="P24094">
        <v>93.94</v>
      </c>
    </row>
    <row r="24095" spans="1:16" x14ac:dyDescent="0.25">
      <c r="A24095" t="s">
        <v>3296</v>
      </c>
      <c r="B24095" t="s">
        <v>2931</v>
      </c>
      <c r="C24095">
        <v>16510</v>
      </c>
      <c r="D24095" t="str">
        <f>"55251767770 "</f>
        <v xml:space="preserve">55251767770 </v>
      </c>
      <c r="E24095" t="s">
        <v>1845</v>
      </c>
      <c r="F24095" t="s">
        <v>1846</v>
      </c>
      <c r="G24095">
        <v>102.55</v>
      </c>
      <c r="H24095">
        <v>251130</v>
      </c>
      <c r="I24095">
        <v>4572</v>
      </c>
      <c r="J24095" t="s">
        <v>173</v>
      </c>
      <c r="K24095">
        <v>341.84</v>
      </c>
      <c r="L24095">
        <v>20.84</v>
      </c>
      <c r="M24095">
        <v>11401</v>
      </c>
      <c r="N24095" t="s">
        <v>91</v>
      </c>
      <c r="O24095">
        <v>251209</v>
      </c>
      <c r="P24095">
        <v>81.709999999999994</v>
      </c>
    </row>
    <row r="24096" spans="1:16" x14ac:dyDescent="0.25">
      <c r="A24096" t="s">
        <v>3296</v>
      </c>
      <c r="B24096" t="s">
        <v>2931</v>
      </c>
      <c r="C24096">
        <v>16510</v>
      </c>
      <c r="D24096" t="str">
        <f>"55251767770 "</f>
        <v xml:space="preserve">55251767770 </v>
      </c>
      <c r="E24096" t="s">
        <v>1845</v>
      </c>
      <c r="F24096" t="s">
        <v>1846</v>
      </c>
      <c r="G24096">
        <v>239.29</v>
      </c>
      <c r="H24096">
        <v>251130</v>
      </c>
      <c r="I24096">
        <v>4572</v>
      </c>
      <c r="J24096" t="s">
        <v>173</v>
      </c>
      <c r="K24096">
        <v>341.84</v>
      </c>
      <c r="L24096">
        <v>48.62</v>
      </c>
      <c r="M24096">
        <v>14952</v>
      </c>
      <c r="N24096" t="s">
        <v>213</v>
      </c>
      <c r="O24096">
        <v>251209</v>
      </c>
      <c r="P24096">
        <v>190.67</v>
      </c>
    </row>
    <row r="24097" spans="1:16" x14ac:dyDescent="0.25">
      <c r="A24097" t="s">
        <v>3296</v>
      </c>
      <c r="B24097" t="s">
        <v>2931</v>
      </c>
      <c r="C24097">
        <v>16512</v>
      </c>
      <c r="D24097" t="str">
        <f>"55251768157 "</f>
        <v xml:space="preserve">55251768157 </v>
      </c>
      <c r="E24097" t="s">
        <v>1845</v>
      </c>
      <c r="F24097" t="s">
        <v>1846</v>
      </c>
      <c r="G24097">
        <v>2116.08</v>
      </c>
      <c r="H24097">
        <v>251130</v>
      </c>
      <c r="I24097">
        <v>4572</v>
      </c>
      <c r="J24097" t="s">
        <v>173</v>
      </c>
      <c r="K24097">
        <v>2116.08</v>
      </c>
      <c r="L24097">
        <v>429.96</v>
      </c>
      <c r="M24097">
        <v>14951</v>
      </c>
      <c r="N24097" t="s">
        <v>186</v>
      </c>
      <c r="O24097">
        <v>251209</v>
      </c>
      <c r="P24097">
        <v>1686.12</v>
      </c>
    </row>
    <row r="24098" spans="1:16" x14ac:dyDescent="0.25">
      <c r="A24098" t="s">
        <v>3296</v>
      </c>
      <c r="B24098" t="s">
        <v>2931</v>
      </c>
      <c r="C24098">
        <v>16513</v>
      </c>
      <c r="D24098" t="str">
        <f>"55251773478 "</f>
        <v xml:space="preserve">55251773478 </v>
      </c>
      <c r="E24098" t="s">
        <v>1845</v>
      </c>
      <c r="F24098" t="s">
        <v>1846</v>
      </c>
      <c r="G24098">
        <v>184.61</v>
      </c>
      <c r="H24098">
        <v>251130</v>
      </c>
      <c r="I24098">
        <v>4572</v>
      </c>
      <c r="J24098" t="s">
        <v>173</v>
      </c>
      <c r="K24098">
        <v>615.36</v>
      </c>
      <c r="L24098">
        <v>37.51</v>
      </c>
      <c r="M24098">
        <v>14952</v>
      </c>
      <c r="N24098" t="s">
        <v>213</v>
      </c>
      <c r="O24098">
        <v>251209</v>
      </c>
      <c r="P24098">
        <v>147.1</v>
      </c>
    </row>
    <row r="24099" spans="1:16" x14ac:dyDescent="0.25">
      <c r="A24099" t="s">
        <v>3296</v>
      </c>
      <c r="B24099" t="s">
        <v>2931</v>
      </c>
      <c r="C24099">
        <v>16513</v>
      </c>
      <c r="D24099" t="str">
        <f>"55251773478 "</f>
        <v xml:space="preserve">55251773478 </v>
      </c>
      <c r="E24099" t="s">
        <v>1845</v>
      </c>
      <c r="F24099" t="s">
        <v>1846</v>
      </c>
      <c r="G24099">
        <v>430.75</v>
      </c>
      <c r="H24099">
        <v>251130</v>
      </c>
      <c r="I24099">
        <v>4572</v>
      </c>
      <c r="J24099" t="s">
        <v>173</v>
      </c>
      <c r="K24099">
        <v>615.36</v>
      </c>
      <c r="L24099">
        <v>87.52</v>
      </c>
      <c r="M24099">
        <v>14981</v>
      </c>
      <c r="N24099" t="s">
        <v>252</v>
      </c>
      <c r="O24099">
        <v>251209</v>
      </c>
      <c r="P24099">
        <v>343.23</v>
      </c>
    </row>
    <row r="24100" spans="1:16" x14ac:dyDescent="0.25">
      <c r="A24100" t="s">
        <v>3296</v>
      </c>
      <c r="B24100" t="s">
        <v>2931</v>
      </c>
      <c r="C24100">
        <v>16515</v>
      </c>
      <c r="D24100" t="str">
        <f>"55251775418 "</f>
        <v xml:space="preserve">55251775418 </v>
      </c>
      <c r="E24100" t="s">
        <v>1845</v>
      </c>
      <c r="F24100" t="s">
        <v>1846</v>
      </c>
      <c r="G24100">
        <v>20</v>
      </c>
      <c r="H24100">
        <v>251130</v>
      </c>
      <c r="I24100">
        <v>4572</v>
      </c>
      <c r="J24100" t="s">
        <v>173</v>
      </c>
      <c r="K24100">
        <v>66.67</v>
      </c>
      <c r="L24100">
        <v>4.0599999999999996</v>
      </c>
      <c r="M24100">
        <v>11401</v>
      </c>
      <c r="N24100" t="s">
        <v>91</v>
      </c>
      <c r="O24100">
        <v>251209</v>
      </c>
      <c r="P24100">
        <v>15.94</v>
      </c>
    </row>
    <row r="24101" spans="1:16" x14ac:dyDescent="0.25">
      <c r="A24101" t="s">
        <v>3296</v>
      </c>
      <c r="B24101" t="s">
        <v>2931</v>
      </c>
      <c r="C24101">
        <v>16515</v>
      </c>
      <c r="D24101" t="str">
        <f>"55251775418 "</f>
        <v xml:space="preserve">55251775418 </v>
      </c>
      <c r="E24101" t="s">
        <v>1845</v>
      </c>
      <c r="F24101" t="s">
        <v>1846</v>
      </c>
      <c r="G24101">
        <v>46.67</v>
      </c>
      <c r="H24101">
        <v>251130</v>
      </c>
      <c r="I24101">
        <v>4572</v>
      </c>
      <c r="J24101" t="s">
        <v>173</v>
      </c>
      <c r="K24101">
        <v>66.67</v>
      </c>
      <c r="L24101">
        <v>9.48</v>
      </c>
      <c r="M24101">
        <v>14952</v>
      </c>
      <c r="N24101" t="s">
        <v>213</v>
      </c>
      <c r="O24101">
        <v>251209</v>
      </c>
      <c r="P24101">
        <v>37.19</v>
      </c>
    </row>
    <row r="24102" spans="1:16" x14ac:dyDescent="0.25">
      <c r="A24102" t="s">
        <v>3296</v>
      </c>
      <c r="B24102" t="s">
        <v>2931</v>
      </c>
      <c r="C24102">
        <v>16516</v>
      </c>
      <c r="D24102" t="str">
        <f>"55251771698 "</f>
        <v xml:space="preserve">55251771698 </v>
      </c>
      <c r="E24102" t="s">
        <v>1845</v>
      </c>
      <c r="F24102" t="s">
        <v>1846</v>
      </c>
      <c r="G24102">
        <v>6199.07</v>
      </c>
      <c r="H24102">
        <v>251130</v>
      </c>
      <c r="I24102">
        <v>4572</v>
      </c>
      <c r="J24102" t="s">
        <v>173</v>
      </c>
      <c r="K24102">
        <v>6199.07</v>
      </c>
      <c r="L24102">
        <v>1259.57</v>
      </c>
      <c r="M24102">
        <v>69501</v>
      </c>
      <c r="N24102" t="s">
        <v>123</v>
      </c>
      <c r="O24102">
        <v>251209</v>
      </c>
      <c r="P24102">
        <v>4939.5</v>
      </c>
    </row>
    <row r="24103" spans="1:16" x14ac:dyDescent="0.25">
      <c r="A24103" t="s">
        <v>3296</v>
      </c>
      <c r="B24103" t="s">
        <v>2931</v>
      </c>
      <c r="C24103">
        <v>16517</v>
      </c>
      <c r="D24103" t="str">
        <f>"55251768221 "</f>
        <v xml:space="preserve">55251768221 </v>
      </c>
      <c r="E24103" t="s">
        <v>1845</v>
      </c>
      <c r="F24103" t="s">
        <v>1846</v>
      </c>
      <c r="G24103">
        <v>2.83</v>
      </c>
      <c r="H24103">
        <v>251130</v>
      </c>
      <c r="I24103">
        <v>4572</v>
      </c>
      <c r="J24103" t="s">
        <v>173</v>
      </c>
      <c r="K24103">
        <v>9.44</v>
      </c>
      <c r="L24103">
        <v>0.57999999999999996</v>
      </c>
      <c r="M24103">
        <v>14952</v>
      </c>
      <c r="N24103" t="s">
        <v>213</v>
      </c>
      <c r="O24103">
        <v>251209</v>
      </c>
      <c r="P24103">
        <v>2.25</v>
      </c>
    </row>
    <row r="24104" spans="1:16" x14ac:dyDescent="0.25">
      <c r="A24104" t="s">
        <v>3296</v>
      </c>
      <c r="B24104" t="s">
        <v>2931</v>
      </c>
      <c r="C24104">
        <v>16517</v>
      </c>
      <c r="D24104" t="str">
        <f>"55251768221 "</f>
        <v xml:space="preserve">55251768221 </v>
      </c>
      <c r="E24104" t="s">
        <v>1845</v>
      </c>
      <c r="F24104" t="s">
        <v>1846</v>
      </c>
      <c r="G24104">
        <v>6.61</v>
      </c>
      <c r="H24104">
        <v>251130</v>
      </c>
      <c r="I24104">
        <v>4572</v>
      </c>
      <c r="J24104" t="s">
        <v>173</v>
      </c>
      <c r="K24104">
        <v>9.44</v>
      </c>
      <c r="L24104">
        <v>1.34</v>
      </c>
      <c r="M24104">
        <v>14981</v>
      </c>
      <c r="N24104" t="s">
        <v>252</v>
      </c>
      <c r="O24104">
        <v>251209</v>
      </c>
      <c r="P24104">
        <v>5.27</v>
      </c>
    </row>
    <row r="24105" spans="1:16" x14ac:dyDescent="0.25">
      <c r="A24105" t="s">
        <v>3296</v>
      </c>
      <c r="B24105" t="s">
        <v>2931</v>
      </c>
      <c r="C24105">
        <v>16518</v>
      </c>
      <c r="D24105" t="str">
        <f>"55251773528 "</f>
        <v xml:space="preserve">55251773528 </v>
      </c>
      <c r="E24105" t="s">
        <v>1845</v>
      </c>
      <c r="F24105" t="s">
        <v>1846</v>
      </c>
      <c r="G24105">
        <v>5.09</v>
      </c>
      <c r="H24105">
        <v>251130</v>
      </c>
      <c r="I24105">
        <v>4572</v>
      </c>
      <c r="J24105" t="s">
        <v>173</v>
      </c>
      <c r="K24105">
        <v>16.97</v>
      </c>
      <c r="L24105">
        <v>1.03</v>
      </c>
      <c r="M24105">
        <v>14952</v>
      </c>
      <c r="N24105" t="s">
        <v>213</v>
      </c>
      <c r="O24105">
        <v>251209</v>
      </c>
      <c r="P24105">
        <v>4.0599999999999996</v>
      </c>
    </row>
    <row r="24106" spans="1:16" x14ac:dyDescent="0.25">
      <c r="A24106" t="s">
        <v>3296</v>
      </c>
      <c r="B24106" t="s">
        <v>2931</v>
      </c>
      <c r="C24106">
        <v>16518</v>
      </c>
      <c r="D24106" t="str">
        <f>"55251773528 "</f>
        <v xml:space="preserve">55251773528 </v>
      </c>
      <c r="E24106" t="s">
        <v>1845</v>
      </c>
      <c r="F24106" t="s">
        <v>1846</v>
      </c>
      <c r="G24106">
        <v>11.88</v>
      </c>
      <c r="H24106">
        <v>251130</v>
      </c>
      <c r="I24106">
        <v>4572</v>
      </c>
      <c r="J24106" t="s">
        <v>173</v>
      </c>
      <c r="K24106">
        <v>16.97</v>
      </c>
      <c r="L24106">
        <v>2.41</v>
      </c>
      <c r="M24106">
        <v>14981</v>
      </c>
      <c r="N24106" t="s">
        <v>252</v>
      </c>
      <c r="O24106">
        <v>251209</v>
      </c>
      <c r="P24106">
        <v>9.4700000000000006</v>
      </c>
    </row>
    <row r="24107" spans="1:16" x14ac:dyDescent="0.25">
      <c r="A24107" t="s">
        <v>3296</v>
      </c>
      <c r="B24107" t="s">
        <v>2931</v>
      </c>
      <c r="C24107">
        <v>16520</v>
      </c>
      <c r="D24107" t="str">
        <f>"55251766459 "</f>
        <v xml:space="preserve">55251766459 </v>
      </c>
      <c r="E24107" t="s">
        <v>1845</v>
      </c>
      <c r="F24107" t="s">
        <v>1846</v>
      </c>
      <c r="G24107">
        <v>12.8</v>
      </c>
      <c r="H24107">
        <v>251130</v>
      </c>
      <c r="I24107">
        <v>4572</v>
      </c>
      <c r="J24107" t="s">
        <v>173</v>
      </c>
      <c r="K24107">
        <v>42.66</v>
      </c>
      <c r="L24107">
        <v>2.6</v>
      </c>
      <c r="M24107">
        <v>14952</v>
      </c>
      <c r="N24107" t="s">
        <v>213</v>
      </c>
      <c r="O24107">
        <v>251209</v>
      </c>
      <c r="P24107">
        <v>10.199999999999999</v>
      </c>
    </row>
    <row r="24108" spans="1:16" x14ac:dyDescent="0.25">
      <c r="A24108" t="s">
        <v>3296</v>
      </c>
      <c r="B24108" t="s">
        <v>2931</v>
      </c>
      <c r="C24108">
        <v>16520</v>
      </c>
      <c r="D24108" t="str">
        <f>"55251766459 "</f>
        <v xml:space="preserve">55251766459 </v>
      </c>
      <c r="E24108" t="s">
        <v>1845</v>
      </c>
      <c r="F24108" t="s">
        <v>1846</v>
      </c>
      <c r="G24108">
        <v>29.86</v>
      </c>
      <c r="H24108">
        <v>251130</v>
      </c>
      <c r="I24108">
        <v>4572</v>
      </c>
      <c r="J24108" t="s">
        <v>173</v>
      </c>
      <c r="K24108">
        <v>42.66</v>
      </c>
      <c r="L24108">
        <v>6.07</v>
      </c>
      <c r="M24108">
        <v>14981</v>
      </c>
      <c r="N24108" t="s">
        <v>252</v>
      </c>
      <c r="O24108">
        <v>251209</v>
      </c>
      <c r="P24108">
        <v>23.79</v>
      </c>
    </row>
    <row r="24109" spans="1:16" x14ac:dyDescent="0.25">
      <c r="A24109" t="s">
        <v>3296</v>
      </c>
      <c r="B24109" t="s">
        <v>2931</v>
      </c>
      <c r="C24109">
        <v>17104</v>
      </c>
      <c r="D24109" t="str">
        <f>"55251768278 "</f>
        <v xml:space="preserve">55251768278 </v>
      </c>
      <c r="E24109" t="s">
        <v>1845</v>
      </c>
      <c r="F24109" t="s">
        <v>1846</v>
      </c>
      <c r="G24109">
        <v>1217.29</v>
      </c>
      <c r="H24109">
        <v>251130</v>
      </c>
      <c r="I24109">
        <v>4572</v>
      </c>
      <c r="J24109" t="s">
        <v>173</v>
      </c>
      <c r="K24109">
        <v>1281.3599999999999</v>
      </c>
      <c r="L24109">
        <v>247.34</v>
      </c>
      <c r="M24109">
        <v>49501</v>
      </c>
      <c r="N24109" t="s">
        <v>110</v>
      </c>
      <c r="O24109">
        <v>251217</v>
      </c>
      <c r="P24109">
        <v>969.95</v>
      </c>
    </row>
    <row r="24110" spans="1:16" x14ac:dyDescent="0.25">
      <c r="A24110" t="s">
        <v>3296</v>
      </c>
      <c r="B24110" t="s">
        <v>2931</v>
      </c>
      <c r="C24110">
        <v>17104</v>
      </c>
      <c r="D24110" t="str">
        <f>"55251768278 "</f>
        <v xml:space="preserve">55251768278 </v>
      </c>
      <c r="E24110" t="s">
        <v>1845</v>
      </c>
      <c r="F24110" t="s">
        <v>1846</v>
      </c>
      <c r="G24110">
        <v>64.069999999999993</v>
      </c>
      <c r="H24110">
        <v>251130</v>
      </c>
      <c r="I24110">
        <v>4572</v>
      </c>
      <c r="J24110" t="s">
        <v>173</v>
      </c>
      <c r="K24110">
        <v>1281.3599999999999</v>
      </c>
      <c r="L24110">
        <v>13.02</v>
      </c>
      <c r="M24110">
        <v>49801</v>
      </c>
      <c r="N24110" t="s">
        <v>953</v>
      </c>
      <c r="O24110">
        <v>251217</v>
      </c>
      <c r="P24110">
        <v>51.05</v>
      </c>
    </row>
    <row r="24111" spans="1:16" x14ac:dyDescent="0.25">
      <c r="A24111" t="s">
        <v>3296</v>
      </c>
      <c r="B24111" t="s">
        <v>2931</v>
      </c>
      <c r="C24111">
        <v>17105</v>
      </c>
      <c r="D24111" t="str">
        <f>"55251773416 "</f>
        <v xml:space="preserve">55251773416 </v>
      </c>
      <c r="E24111" t="s">
        <v>1845</v>
      </c>
      <c r="F24111" t="s">
        <v>1846</v>
      </c>
      <c r="G24111">
        <v>1080.25</v>
      </c>
      <c r="H24111">
        <v>251130</v>
      </c>
      <c r="I24111">
        <v>4572</v>
      </c>
      <c r="J24111" t="s">
        <v>173</v>
      </c>
      <c r="K24111">
        <v>1080.25</v>
      </c>
      <c r="L24111">
        <v>219.49</v>
      </c>
      <c r="M24111">
        <v>49503</v>
      </c>
      <c r="N24111" t="s">
        <v>267</v>
      </c>
      <c r="O24111">
        <v>251217</v>
      </c>
      <c r="P24111">
        <v>860.76</v>
      </c>
    </row>
    <row r="24112" spans="1:16" x14ac:dyDescent="0.25">
      <c r="A24112" t="s">
        <v>3296</v>
      </c>
      <c r="B24112" t="s">
        <v>2931</v>
      </c>
      <c r="C24112">
        <v>17106</v>
      </c>
      <c r="D24112" t="str">
        <f>"55251766283 "</f>
        <v xml:space="preserve">55251766283 </v>
      </c>
      <c r="E24112" t="s">
        <v>1845</v>
      </c>
      <c r="F24112" t="s">
        <v>1846</v>
      </c>
      <c r="G24112">
        <v>123.4</v>
      </c>
      <c r="H24112">
        <v>251130</v>
      </c>
      <c r="I24112">
        <v>4572</v>
      </c>
      <c r="J24112" t="s">
        <v>173</v>
      </c>
      <c r="K24112">
        <v>4113.34</v>
      </c>
      <c r="L24112">
        <v>25.07</v>
      </c>
      <c r="M24112">
        <v>49111</v>
      </c>
      <c r="N24112" t="s">
        <v>108</v>
      </c>
      <c r="O24112">
        <v>251217</v>
      </c>
      <c r="P24112">
        <v>98.33</v>
      </c>
    </row>
    <row r="24113" spans="1:16" x14ac:dyDescent="0.25">
      <c r="A24113" t="s">
        <v>3296</v>
      </c>
      <c r="B24113" t="s">
        <v>2931</v>
      </c>
      <c r="C24113">
        <v>17106</v>
      </c>
      <c r="D24113" t="str">
        <f>"55251766283 "</f>
        <v xml:space="preserve">55251766283 </v>
      </c>
      <c r="E24113" t="s">
        <v>1845</v>
      </c>
      <c r="F24113" t="s">
        <v>1846</v>
      </c>
      <c r="G24113">
        <v>3804.84</v>
      </c>
      <c r="H24113">
        <v>251130</v>
      </c>
      <c r="I24113">
        <v>4572</v>
      </c>
      <c r="J24113" t="s">
        <v>173</v>
      </c>
      <c r="K24113">
        <v>4113.34</v>
      </c>
      <c r="L24113">
        <v>773.09</v>
      </c>
      <c r="M24113">
        <v>49501</v>
      </c>
      <c r="N24113" t="s">
        <v>110</v>
      </c>
      <c r="O24113">
        <v>251217</v>
      </c>
      <c r="P24113">
        <v>3031.75</v>
      </c>
    </row>
    <row r="24114" spans="1:16" x14ac:dyDescent="0.25">
      <c r="A24114" t="s">
        <v>3296</v>
      </c>
      <c r="B24114" t="s">
        <v>2931</v>
      </c>
      <c r="C24114">
        <v>17106</v>
      </c>
      <c r="D24114" t="str">
        <f>"55251766283 "</f>
        <v xml:space="preserve">55251766283 </v>
      </c>
      <c r="E24114" t="s">
        <v>1845</v>
      </c>
      <c r="F24114" t="s">
        <v>1846</v>
      </c>
      <c r="G24114">
        <v>123.4</v>
      </c>
      <c r="H24114">
        <v>251130</v>
      </c>
      <c r="I24114">
        <v>4572</v>
      </c>
      <c r="J24114" t="s">
        <v>173</v>
      </c>
      <c r="K24114">
        <v>4113.34</v>
      </c>
      <c r="L24114">
        <v>25.07</v>
      </c>
      <c r="M24114">
        <v>49801</v>
      </c>
      <c r="N24114" t="s">
        <v>953</v>
      </c>
      <c r="O24114">
        <v>251217</v>
      </c>
      <c r="P24114">
        <v>98.33</v>
      </c>
    </row>
    <row r="24115" spans="1:16" x14ac:dyDescent="0.25">
      <c r="A24115" t="s">
        <v>3296</v>
      </c>
      <c r="B24115" t="s">
        <v>2931</v>
      </c>
      <c r="C24115">
        <v>17106</v>
      </c>
      <c r="D24115" t="str">
        <f>"55251766283 "</f>
        <v xml:space="preserve">55251766283 </v>
      </c>
      <c r="E24115" t="s">
        <v>1845</v>
      </c>
      <c r="F24115" t="s">
        <v>1846</v>
      </c>
      <c r="G24115">
        <v>61.7</v>
      </c>
      <c r="H24115">
        <v>251130</v>
      </c>
      <c r="I24115">
        <v>4572</v>
      </c>
      <c r="J24115" t="s">
        <v>173</v>
      </c>
      <c r="K24115">
        <v>4113.34</v>
      </c>
      <c r="L24115">
        <v>0</v>
      </c>
      <c r="M24115">
        <v>49803</v>
      </c>
      <c r="N24115" t="s">
        <v>956</v>
      </c>
      <c r="O24115">
        <v>251217</v>
      </c>
      <c r="P24115">
        <v>61.7</v>
      </c>
    </row>
    <row r="24116" spans="1:16" x14ac:dyDescent="0.25">
      <c r="A24116" t="s">
        <v>3296</v>
      </c>
      <c r="B24116" t="s">
        <v>2931</v>
      </c>
      <c r="C24116">
        <v>18112</v>
      </c>
      <c r="D24116" t="str">
        <f>"55251881776 "</f>
        <v xml:space="preserve">55251881776 </v>
      </c>
      <c r="E24116" t="s">
        <v>1845</v>
      </c>
      <c r="F24116" t="s">
        <v>1846</v>
      </c>
      <c r="G24116">
        <v>331.62</v>
      </c>
      <c r="H24116">
        <v>251231</v>
      </c>
      <c r="I24116">
        <v>4572</v>
      </c>
      <c r="J24116" t="s">
        <v>173</v>
      </c>
      <c r="K24116">
        <v>331.62</v>
      </c>
      <c r="L24116">
        <v>67.38</v>
      </c>
      <c r="M24116">
        <v>17950</v>
      </c>
      <c r="N24116" t="s">
        <v>132</v>
      </c>
      <c r="O24116">
        <v>260109</v>
      </c>
      <c r="P24116">
        <v>264.24</v>
      </c>
    </row>
    <row r="24117" spans="1:16" x14ac:dyDescent="0.25">
      <c r="A24117" t="s">
        <v>3296</v>
      </c>
      <c r="B24117" t="s">
        <v>2931</v>
      </c>
      <c r="C24117">
        <v>18113</v>
      </c>
      <c r="D24117" t="str">
        <f>"55251882356 "</f>
        <v xml:space="preserve">55251882356 </v>
      </c>
      <c r="E24117" t="s">
        <v>1845</v>
      </c>
      <c r="F24117" t="s">
        <v>1846</v>
      </c>
      <c r="G24117">
        <v>7.61</v>
      </c>
      <c r="H24117">
        <v>251231</v>
      </c>
      <c r="I24117">
        <v>4572</v>
      </c>
      <c r="J24117" t="s">
        <v>173</v>
      </c>
      <c r="K24117">
        <v>7.61</v>
      </c>
      <c r="L24117">
        <v>1.55</v>
      </c>
      <c r="M24117">
        <v>17981</v>
      </c>
      <c r="N24117" t="s">
        <v>927</v>
      </c>
      <c r="O24117">
        <v>260109</v>
      </c>
      <c r="P24117">
        <v>6.06</v>
      </c>
    </row>
    <row r="24118" spans="1:16" x14ac:dyDescent="0.25">
      <c r="A24118" t="s">
        <v>3296</v>
      </c>
      <c r="B24118" t="s">
        <v>2931</v>
      </c>
      <c r="C24118">
        <v>18114</v>
      </c>
      <c r="D24118" t="str">
        <f>"55251881752 "</f>
        <v xml:space="preserve">55251881752 </v>
      </c>
      <c r="E24118" t="s">
        <v>1845</v>
      </c>
      <c r="F24118" t="s">
        <v>1846</v>
      </c>
      <c r="G24118">
        <v>131.51</v>
      </c>
      <c r="H24118">
        <v>251231</v>
      </c>
      <c r="I24118">
        <v>4572</v>
      </c>
      <c r="J24118" t="s">
        <v>173</v>
      </c>
      <c r="K24118">
        <v>131.51</v>
      </c>
      <c r="L24118">
        <v>26.72</v>
      </c>
      <c r="M24118">
        <v>17956</v>
      </c>
      <c r="N24118" t="s">
        <v>170</v>
      </c>
      <c r="O24118">
        <v>260109</v>
      </c>
      <c r="P24118">
        <v>104.79</v>
      </c>
    </row>
    <row r="24119" spans="1:16" x14ac:dyDescent="0.25">
      <c r="A24119" t="s">
        <v>3296</v>
      </c>
      <c r="B24119" t="s">
        <v>2931</v>
      </c>
      <c r="C24119">
        <v>18115</v>
      </c>
      <c r="D24119" t="str">
        <f>"55251881760 "</f>
        <v xml:space="preserve">55251881760 </v>
      </c>
      <c r="E24119" t="s">
        <v>1845</v>
      </c>
      <c r="F24119" t="s">
        <v>1846</v>
      </c>
      <c r="G24119">
        <v>56.31</v>
      </c>
      <c r="H24119">
        <v>251231</v>
      </c>
      <c r="I24119">
        <v>4572</v>
      </c>
      <c r="J24119" t="s">
        <v>173</v>
      </c>
      <c r="K24119">
        <v>56.31</v>
      </c>
      <c r="L24119">
        <v>11.44</v>
      </c>
      <c r="M24119">
        <v>13841</v>
      </c>
      <c r="N24119" t="s">
        <v>178</v>
      </c>
      <c r="O24119">
        <v>260109</v>
      </c>
      <c r="P24119">
        <v>44.87</v>
      </c>
    </row>
    <row r="24120" spans="1:16" x14ac:dyDescent="0.25">
      <c r="A24120" t="s">
        <v>3296</v>
      </c>
      <c r="B24120" t="s">
        <v>2931</v>
      </c>
      <c r="C24120">
        <v>18121</v>
      </c>
      <c r="D24120" t="str">
        <f>"55251881858 "</f>
        <v xml:space="preserve">55251881858 </v>
      </c>
      <c r="E24120" t="s">
        <v>1845</v>
      </c>
      <c r="F24120" t="s">
        <v>1846</v>
      </c>
      <c r="G24120">
        <v>1851.43</v>
      </c>
      <c r="H24120">
        <v>251231</v>
      </c>
      <c r="I24120">
        <v>4572</v>
      </c>
      <c r="J24120" t="s">
        <v>173</v>
      </c>
      <c r="K24120">
        <v>1851.43</v>
      </c>
      <c r="L24120">
        <v>376.19</v>
      </c>
      <c r="M24120">
        <v>17956</v>
      </c>
      <c r="N24120" t="s">
        <v>170</v>
      </c>
      <c r="O24120">
        <v>260109</v>
      </c>
      <c r="P24120">
        <v>1475.24</v>
      </c>
    </row>
    <row r="24121" spans="1:16" x14ac:dyDescent="0.25">
      <c r="A24121" t="s">
        <v>3296</v>
      </c>
      <c r="B24121" t="s">
        <v>2931</v>
      </c>
      <c r="C24121">
        <v>18122</v>
      </c>
      <c r="D24121" t="str">
        <f>"55251879709 "</f>
        <v xml:space="preserve">55251879709 </v>
      </c>
      <c r="E24121" t="s">
        <v>1845</v>
      </c>
      <c r="F24121" t="s">
        <v>1846</v>
      </c>
      <c r="G24121">
        <v>0.43</v>
      </c>
      <c r="H24121">
        <v>251231</v>
      </c>
      <c r="I24121">
        <v>4572</v>
      </c>
      <c r="J24121" t="s">
        <v>173</v>
      </c>
      <c r="K24121">
        <v>1.61</v>
      </c>
      <c r="L24121">
        <v>0.09</v>
      </c>
      <c r="M24121">
        <v>59112</v>
      </c>
      <c r="N24121" t="s">
        <v>44</v>
      </c>
      <c r="O24121">
        <v>260109</v>
      </c>
      <c r="P24121">
        <v>0.34</v>
      </c>
    </row>
    <row r="24122" spans="1:16" x14ac:dyDescent="0.25">
      <c r="A24122" t="s">
        <v>3296</v>
      </c>
      <c r="B24122" t="s">
        <v>2931</v>
      </c>
      <c r="C24122">
        <v>18122</v>
      </c>
      <c r="D24122" t="str">
        <f>"55251879709 "</f>
        <v xml:space="preserve">55251879709 </v>
      </c>
      <c r="E24122" t="s">
        <v>1845</v>
      </c>
      <c r="F24122" t="s">
        <v>1846</v>
      </c>
      <c r="G24122">
        <v>1.18</v>
      </c>
      <c r="H24122">
        <v>251231</v>
      </c>
      <c r="I24122">
        <v>4572</v>
      </c>
      <c r="J24122" t="s">
        <v>173</v>
      </c>
      <c r="K24122">
        <v>1.61</v>
      </c>
      <c r="L24122">
        <v>0.24</v>
      </c>
      <c r="M24122">
        <v>59504</v>
      </c>
      <c r="N24122" t="s">
        <v>193</v>
      </c>
      <c r="O24122">
        <v>260109</v>
      </c>
      <c r="P24122">
        <v>0.94</v>
      </c>
    </row>
    <row r="24123" spans="1:16" x14ac:dyDescent="0.25">
      <c r="A24123" t="s">
        <v>3296</v>
      </c>
      <c r="B24123" t="s">
        <v>2931</v>
      </c>
      <c r="C24123">
        <v>18125</v>
      </c>
      <c r="D24123" t="str">
        <f>"55251880850 "</f>
        <v xml:space="preserve">55251880850 </v>
      </c>
      <c r="E24123" t="s">
        <v>1845</v>
      </c>
      <c r="F24123" t="s">
        <v>1846</v>
      </c>
      <c r="G24123">
        <v>396.26</v>
      </c>
      <c r="H24123">
        <v>251231</v>
      </c>
      <c r="I24123">
        <v>4572</v>
      </c>
      <c r="J24123" t="s">
        <v>173</v>
      </c>
      <c r="K24123">
        <v>1467.63</v>
      </c>
      <c r="L24123">
        <v>76.7</v>
      </c>
      <c r="M24123">
        <v>59112</v>
      </c>
      <c r="N24123" t="s">
        <v>44</v>
      </c>
      <c r="O24123">
        <v>260109</v>
      </c>
      <c r="P24123">
        <v>319.56</v>
      </c>
    </row>
    <row r="24124" spans="1:16" x14ac:dyDescent="0.25">
      <c r="A24124" t="s">
        <v>3296</v>
      </c>
      <c r="B24124" t="s">
        <v>2931</v>
      </c>
      <c r="C24124">
        <v>18125</v>
      </c>
      <c r="D24124" t="str">
        <f>"55251880850 "</f>
        <v xml:space="preserve">55251880850 </v>
      </c>
      <c r="E24124" t="s">
        <v>1845</v>
      </c>
      <c r="F24124" t="s">
        <v>1846</v>
      </c>
      <c r="G24124">
        <v>1071.3699999999999</v>
      </c>
      <c r="H24124">
        <v>251231</v>
      </c>
      <c r="I24124">
        <v>4572</v>
      </c>
      <c r="J24124" t="s">
        <v>173</v>
      </c>
      <c r="K24124">
        <v>1467.63</v>
      </c>
      <c r="L24124">
        <v>207.36</v>
      </c>
      <c r="M24124">
        <v>59504</v>
      </c>
      <c r="N24124" t="s">
        <v>193</v>
      </c>
      <c r="O24124">
        <v>260109</v>
      </c>
      <c r="P24124">
        <v>864.01</v>
      </c>
    </row>
    <row r="24125" spans="1:16" x14ac:dyDescent="0.25">
      <c r="A24125" t="s">
        <v>3296</v>
      </c>
      <c r="B24125" t="s">
        <v>2931</v>
      </c>
      <c r="C24125">
        <v>18128</v>
      </c>
      <c r="D24125" t="str">
        <f>"55251880017 "</f>
        <v xml:space="preserve">55251880017 </v>
      </c>
      <c r="E24125" t="s">
        <v>1845</v>
      </c>
      <c r="F24125" t="s">
        <v>1846</v>
      </c>
      <c r="G24125">
        <v>29.17</v>
      </c>
      <c r="H24125">
        <v>251231</v>
      </c>
      <c r="I24125">
        <v>4572</v>
      </c>
      <c r="J24125" t="s">
        <v>173</v>
      </c>
      <c r="K24125">
        <v>29.17</v>
      </c>
      <c r="L24125">
        <v>0</v>
      </c>
      <c r="M24125">
        <v>11001</v>
      </c>
      <c r="N24125" t="s">
        <v>93</v>
      </c>
      <c r="O24125">
        <v>260109</v>
      </c>
      <c r="P24125">
        <v>29.17</v>
      </c>
    </row>
    <row r="24126" spans="1:16" x14ac:dyDescent="0.25">
      <c r="A24126" t="s">
        <v>3296</v>
      </c>
      <c r="B24126" t="s">
        <v>2931</v>
      </c>
      <c r="C24126">
        <v>18132</v>
      </c>
      <c r="D24126" t="str">
        <f>"55251880890 "</f>
        <v xml:space="preserve">55251880890 </v>
      </c>
      <c r="E24126" t="s">
        <v>1845</v>
      </c>
      <c r="F24126" t="s">
        <v>1846</v>
      </c>
      <c r="G24126">
        <v>505.35</v>
      </c>
      <c r="H24126">
        <v>251231</v>
      </c>
      <c r="I24126">
        <v>4572</v>
      </c>
      <c r="J24126" t="s">
        <v>173</v>
      </c>
      <c r="K24126">
        <v>4594.08</v>
      </c>
      <c r="L24126">
        <v>102.68</v>
      </c>
      <c r="M24126">
        <v>13540</v>
      </c>
      <c r="N24126" t="s">
        <v>131</v>
      </c>
      <c r="O24126">
        <v>260109</v>
      </c>
      <c r="P24126">
        <v>402.67</v>
      </c>
    </row>
    <row r="24127" spans="1:16" x14ac:dyDescent="0.25">
      <c r="A24127" t="s">
        <v>3296</v>
      </c>
      <c r="B24127" t="s">
        <v>2931</v>
      </c>
      <c r="C24127">
        <v>18132</v>
      </c>
      <c r="D24127" t="str">
        <f>"55251880890 "</f>
        <v xml:space="preserve">55251880890 </v>
      </c>
      <c r="E24127" t="s">
        <v>1845</v>
      </c>
      <c r="F24127" t="s">
        <v>1846</v>
      </c>
      <c r="G24127">
        <v>4088.73</v>
      </c>
      <c r="H24127">
        <v>251231</v>
      </c>
      <c r="I24127">
        <v>4572</v>
      </c>
      <c r="J24127" t="s">
        <v>173</v>
      </c>
      <c r="K24127">
        <v>4594.08</v>
      </c>
      <c r="L24127">
        <v>830.78</v>
      </c>
      <c r="M24127">
        <v>17950</v>
      </c>
      <c r="N24127" t="s">
        <v>132</v>
      </c>
      <c r="O24127">
        <v>260109</v>
      </c>
      <c r="P24127">
        <v>3257.95</v>
      </c>
    </row>
    <row r="24128" spans="1:16" x14ac:dyDescent="0.25">
      <c r="A24128" t="s">
        <v>3296</v>
      </c>
      <c r="B24128" t="s">
        <v>2931</v>
      </c>
      <c r="C24128">
        <v>18168</v>
      </c>
      <c r="D24128" t="str">
        <f>"55251879115 "</f>
        <v xml:space="preserve">55251879115 </v>
      </c>
      <c r="E24128" t="s">
        <v>1845</v>
      </c>
      <c r="F24128" t="s">
        <v>1846</v>
      </c>
      <c r="G24128">
        <v>3028.99</v>
      </c>
      <c r="H24128">
        <v>251231</v>
      </c>
      <c r="I24128">
        <v>4572</v>
      </c>
      <c r="J24128" t="s">
        <v>173</v>
      </c>
      <c r="K24128">
        <v>3028.99</v>
      </c>
      <c r="L24128">
        <v>615.45000000000005</v>
      </c>
      <c r="M24128">
        <v>17951</v>
      </c>
      <c r="N24128" t="s">
        <v>207</v>
      </c>
      <c r="O24128">
        <v>260109</v>
      </c>
      <c r="P24128">
        <v>2413.54</v>
      </c>
    </row>
    <row r="24129" spans="1:16" x14ac:dyDescent="0.25">
      <c r="A24129" t="s">
        <v>3296</v>
      </c>
      <c r="B24129" t="s">
        <v>2931</v>
      </c>
      <c r="C24129">
        <v>18170</v>
      </c>
      <c r="D24129" t="str">
        <f>"55251879544 "</f>
        <v xml:space="preserve">55251879544 </v>
      </c>
      <c r="E24129" t="s">
        <v>1845</v>
      </c>
      <c r="F24129" t="s">
        <v>1846</v>
      </c>
      <c r="G24129">
        <v>18.559999999999999</v>
      </c>
      <c r="H24129">
        <v>251231</v>
      </c>
      <c r="I24129">
        <v>4572</v>
      </c>
      <c r="J24129" t="s">
        <v>173</v>
      </c>
      <c r="K24129">
        <v>371.03</v>
      </c>
      <c r="L24129">
        <v>3.77</v>
      </c>
      <c r="M24129">
        <v>17737</v>
      </c>
      <c r="N24129" t="s">
        <v>156</v>
      </c>
      <c r="O24129">
        <v>260109</v>
      </c>
      <c r="P24129">
        <v>14.79</v>
      </c>
    </row>
    <row r="24130" spans="1:16" x14ac:dyDescent="0.25">
      <c r="A24130" t="s">
        <v>3296</v>
      </c>
      <c r="B24130" t="s">
        <v>2931</v>
      </c>
      <c r="C24130">
        <v>18170</v>
      </c>
      <c r="D24130" t="str">
        <f>"55251879544 "</f>
        <v xml:space="preserve">55251879544 </v>
      </c>
      <c r="E24130" t="s">
        <v>1845</v>
      </c>
      <c r="F24130" t="s">
        <v>1846</v>
      </c>
      <c r="G24130">
        <v>246.73</v>
      </c>
      <c r="H24130">
        <v>251231</v>
      </c>
      <c r="I24130">
        <v>4572</v>
      </c>
      <c r="J24130" t="s">
        <v>173</v>
      </c>
      <c r="K24130">
        <v>371.03</v>
      </c>
      <c r="L24130">
        <v>50.13</v>
      </c>
      <c r="M24130">
        <v>17737</v>
      </c>
      <c r="N24130" t="s">
        <v>156</v>
      </c>
      <c r="O24130">
        <v>260109</v>
      </c>
      <c r="P24130">
        <v>196.6</v>
      </c>
    </row>
    <row r="24131" spans="1:16" x14ac:dyDescent="0.25">
      <c r="A24131" t="s">
        <v>3296</v>
      </c>
      <c r="B24131" t="s">
        <v>2931</v>
      </c>
      <c r="C24131">
        <v>18170</v>
      </c>
      <c r="D24131" t="str">
        <f>"55251879544 "</f>
        <v xml:space="preserve">55251879544 </v>
      </c>
      <c r="E24131" t="s">
        <v>1845</v>
      </c>
      <c r="F24131" t="s">
        <v>1846</v>
      </c>
      <c r="G24131">
        <v>105.74</v>
      </c>
      <c r="H24131">
        <v>251231</v>
      </c>
      <c r="I24131">
        <v>4572</v>
      </c>
      <c r="J24131" t="s">
        <v>173</v>
      </c>
      <c r="K24131">
        <v>371.03</v>
      </c>
      <c r="L24131">
        <v>21.49</v>
      </c>
      <c r="M24131">
        <v>17739</v>
      </c>
      <c r="N24131" t="s">
        <v>928</v>
      </c>
      <c r="O24131">
        <v>260109</v>
      </c>
      <c r="P24131">
        <v>84.25</v>
      </c>
    </row>
    <row r="24132" spans="1:16" x14ac:dyDescent="0.25">
      <c r="A24132" t="s">
        <v>3296</v>
      </c>
      <c r="B24132" t="s">
        <v>2931</v>
      </c>
      <c r="C24132">
        <v>18171</v>
      </c>
      <c r="D24132" t="str">
        <f>"55251881487 "</f>
        <v xml:space="preserve">55251881487 </v>
      </c>
      <c r="E24132" t="s">
        <v>1845</v>
      </c>
      <c r="F24132" t="s">
        <v>1846</v>
      </c>
      <c r="G24132">
        <v>30.01</v>
      </c>
      <c r="H24132">
        <v>251231</v>
      </c>
      <c r="I24132">
        <v>4572</v>
      </c>
      <c r="J24132" t="s">
        <v>173</v>
      </c>
      <c r="K24132">
        <v>111.13</v>
      </c>
      <c r="L24132">
        <v>6.1</v>
      </c>
      <c r="M24132">
        <v>59112</v>
      </c>
      <c r="N24132" t="s">
        <v>44</v>
      </c>
      <c r="O24132">
        <v>260109</v>
      </c>
      <c r="P24132">
        <v>23.91</v>
      </c>
    </row>
    <row r="24133" spans="1:16" x14ac:dyDescent="0.25">
      <c r="A24133" t="s">
        <v>3296</v>
      </c>
      <c r="B24133" t="s">
        <v>2931</v>
      </c>
      <c r="C24133">
        <v>18171</v>
      </c>
      <c r="D24133" t="str">
        <f>"55251881487 "</f>
        <v xml:space="preserve">55251881487 </v>
      </c>
      <c r="E24133" t="s">
        <v>1845</v>
      </c>
      <c r="F24133" t="s">
        <v>1846</v>
      </c>
      <c r="G24133">
        <v>81.12</v>
      </c>
      <c r="H24133">
        <v>251231</v>
      </c>
      <c r="I24133">
        <v>4572</v>
      </c>
      <c r="J24133" t="s">
        <v>173</v>
      </c>
      <c r="K24133">
        <v>111.13</v>
      </c>
      <c r="L24133">
        <v>16.48</v>
      </c>
      <c r="M24133">
        <v>59504</v>
      </c>
      <c r="N24133" t="s">
        <v>193</v>
      </c>
      <c r="O24133">
        <v>260109</v>
      </c>
      <c r="P24133">
        <v>64.64</v>
      </c>
    </row>
    <row r="24134" spans="1:16" x14ac:dyDescent="0.25">
      <c r="A24134" t="s">
        <v>3296</v>
      </c>
      <c r="B24134" t="s">
        <v>2931</v>
      </c>
      <c r="C24134">
        <v>18176</v>
      </c>
      <c r="D24134" t="str">
        <f>"55251880201 "</f>
        <v xml:space="preserve">55251880201 </v>
      </c>
      <c r="E24134" t="s">
        <v>1845</v>
      </c>
      <c r="F24134" t="s">
        <v>1846</v>
      </c>
      <c r="G24134">
        <v>1970.96</v>
      </c>
      <c r="H24134">
        <v>251231</v>
      </c>
      <c r="I24134">
        <v>4572</v>
      </c>
      <c r="J24134" t="s">
        <v>173</v>
      </c>
      <c r="K24134">
        <v>3231.09</v>
      </c>
      <c r="L24134">
        <v>400.47</v>
      </c>
      <c r="M24134">
        <v>59502</v>
      </c>
      <c r="N24134" t="s">
        <v>63</v>
      </c>
      <c r="O24134">
        <v>260109</v>
      </c>
      <c r="P24134">
        <v>1570.49</v>
      </c>
    </row>
    <row r="24135" spans="1:16" x14ac:dyDescent="0.25">
      <c r="A24135" t="s">
        <v>3296</v>
      </c>
      <c r="B24135" t="s">
        <v>2931</v>
      </c>
      <c r="C24135">
        <v>18176</v>
      </c>
      <c r="D24135" t="str">
        <f>"55251880201 "</f>
        <v xml:space="preserve">55251880201 </v>
      </c>
      <c r="E24135" t="s">
        <v>1845</v>
      </c>
      <c r="F24135" t="s">
        <v>1846</v>
      </c>
      <c r="G24135">
        <v>1260.1300000000001</v>
      </c>
      <c r="H24135">
        <v>251231</v>
      </c>
      <c r="I24135">
        <v>4572</v>
      </c>
      <c r="J24135" t="s">
        <v>173</v>
      </c>
      <c r="K24135">
        <v>3231.09</v>
      </c>
      <c r="L24135">
        <v>256.04000000000002</v>
      </c>
      <c r="M24135">
        <v>59802</v>
      </c>
      <c r="N24135" t="s">
        <v>195</v>
      </c>
      <c r="O24135">
        <v>260109</v>
      </c>
      <c r="P24135">
        <v>1004.09</v>
      </c>
    </row>
    <row r="24136" spans="1:16" x14ac:dyDescent="0.25">
      <c r="A24136" t="s">
        <v>3296</v>
      </c>
      <c r="B24136" t="s">
        <v>2931</v>
      </c>
      <c r="C24136">
        <v>18179</v>
      </c>
      <c r="D24136" t="str">
        <f>"55251881310 "</f>
        <v xml:space="preserve">55251881310 </v>
      </c>
      <c r="E24136" t="s">
        <v>1845</v>
      </c>
      <c r="F24136" t="s">
        <v>1846</v>
      </c>
      <c r="G24136">
        <v>23.9</v>
      </c>
      <c r="H24136">
        <v>251231</v>
      </c>
      <c r="I24136">
        <v>4572</v>
      </c>
      <c r="J24136" t="s">
        <v>173</v>
      </c>
      <c r="K24136">
        <v>23.9</v>
      </c>
      <c r="L24136">
        <v>4.8600000000000003</v>
      </c>
      <c r="M24136">
        <v>17956</v>
      </c>
      <c r="N24136" t="s">
        <v>170</v>
      </c>
      <c r="O24136">
        <v>260109</v>
      </c>
      <c r="P24136">
        <v>19.04</v>
      </c>
    </row>
    <row r="24137" spans="1:16" x14ac:dyDescent="0.25">
      <c r="A24137" t="s">
        <v>3296</v>
      </c>
      <c r="B24137" t="s">
        <v>2931</v>
      </c>
      <c r="C24137">
        <v>18183</v>
      </c>
      <c r="D24137" t="str">
        <f>"55251880009 "</f>
        <v xml:space="preserve">55251880009 </v>
      </c>
      <c r="E24137" t="s">
        <v>1845</v>
      </c>
      <c r="F24137" t="s">
        <v>1846</v>
      </c>
      <c r="G24137">
        <v>17.86</v>
      </c>
      <c r="H24137">
        <v>251231</v>
      </c>
      <c r="I24137">
        <v>4572</v>
      </c>
      <c r="J24137" t="s">
        <v>173</v>
      </c>
      <c r="K24137">
        <v>17.86</v>
      </c>
      <c r="L24137">
        <v>3.63</v>
      </c>
      <c r="M24137">
        <v>17956</v>
      </c>
      <c r="N24137" t="s">
        <v>170</v>
      </c>
      <c r="O24137">
        <v>260109</v>
      </c>
      <c r="P24137">
        <v>14.23</v>
      </c>
    </row>
    <row r="24138" spans="1:16" x14ac:dyDescent="0.25">
      <c r="A24138" t="s">
        <v>3296</v>
      </c>
      <c r="B24138" t="s">
        <v>2931</v>
      </c>
      <c r="C24138">
        <v>18184</v>
      </c>
      <c r="D24138" t="str">
        <f>"55251882144 "</f>
        <v xml:space="preserve">55251882144 </v>
      </c>
      <c r="E24138" t="s">
        <v>1845</v>
      </c>
      <c r="F24138" t="s">
        <v>1846</v>
      </c>
      <c r="G24138">
        <v>302.98</v>
      </c>
      <c r="H24138">
        <v>251231</v>
      </c>
      <c r="I24138">
        <v>4572</v>
      </c>
      <c r="J24138" t="s">
        <v>173</v>
      </c>
      <c r="K24138">
        <v>5049.74</v>
      </c>
      <c r="L24138">
        <v>61.56</v>
      </c>
      <c r="M24138">
        <v>59111</v>
      </c>
      <c r="N24138" t="s">
        <v>60</v>
      </c>
      <c r="O24138">
        <v>260109</v>
      </c>
      <c r="P24138">
        <v>241.42</v>
      </c>
    </row>
    <row r="24139" spans="1:16" x14ac:dyDescent="0.25">
      <c r="A24139" t="s">
        <v>3296</v>
      </c>
      <c r="B24139" t="s">
        <v>2931</v>
      </c>
      <c r="C24139">
        <v>18184</v>
      </c>
      <c r="D24139" t="str">
        <f>"55251882144 "</f>
        <v xml:space="preserve">55251882144 </v>
      </c>
      <c r="E24139" t="s">
        <v>1845</v>
      </c>
      <c r="F24139" t="s">
        <v>1846</v>
      </c>
      <c r="G24139">
        <v>4746.76</v>
      </c>
      <c r="H24139">
        <v>251231</v>
      </c>
      <c r="I24139">
        <v>4572</v>
      </c>
      <c r="J24139" t="s">
        <v>173</v>
      </c>
      <c r="K24139">
        <v>5049.74</v>
      </c>
      <c r="L24139">
        <v>964.48</v>
      </c>
      <c r="M24139">
        <v>59501</v>
      </c>
      <c r="N24139" t="s">
        <v>62</v>
      </c>
      <c r="O24139">
        <v>260109</v>
      </c>
      <c r="P24139">
        <v>3782.28</v>
      </c>
    </row>
    <row r="24140" spans="1:16" x14ac:dyDescent="0.25">
      <c r="A24140" t="s">
        <v>3296</v>
      </c>
      <c r="B24140" t="s">
        <v>2931</v>
      </c>
      <c r="C24140">
        <v>18186</v>
      </c>
      <c r="D24140" t="str">
        <f>"55251878896 "</f>
        <v xml:space="preserve">55251878896 </v>
      </c>
      <c r="E24140" t="s">
        <v>1845</v>
      </c>
      <c r="F24140" t="s">
        <v>1846</v>
      </c>
      <c r="G24140">
        <v>158.27000000000001</v>
      </c>
      <c r="H24140">
        <v>251231</v>
      </c>
      <c r="I24140">
        <v>4572</v>
      </c>
      <c r="J24140" t="s">
        <v>173</v>
      </c>
      <c r="K24140">
        <v>158.27000000000001</v>
      </c>
      <c r="L24140">
        <v>32.159999999999997</v>
      </c>
      <c r="M24140">
        <v>17956</v>
      </c>
      <c r="N24140" t="s">
        <v>170</v>
      </c>
      <c r="O24140">
        <v>260109</v>
      </c>
      <c r="P24140">
        <v>126.11</v>
      </c>
    </row>
    <row r="24141" spans="1:16" x14ac:dyDescent="0.25">
      <c r="A24141" t="s">
        <v>3296</v>
      </c>
      <c r="B24141" t="s">
        <v>2931</v>
      </c>
      <c r="C24141">
        <v>18187</v>
      </c>
      <c r="D24141" t="str">
        <f>"55251879235 "</f>
        <v xml:space="preserve">55251879235 </v>
      </c>
      <c r="E24141" t="s">
        <v>1845</v>
      </c>
      <c r="F24141" t="s">
        <v>1846</v>
      </c>
      <c r="G24141">
        <v>0.09</v>
      </c>
      <c r="H24141">
        <v>251231</v>
      </c>
      <c r="I24141">
        <v>4572</v>
      </c>
      <c r="J24141" t="s">
        <v>173</v>
      </c>
      <c r="K24141">
        <v>0.33</v>
      </c>
      <c r="L24141">
        <v>0.02</v>
      </c>
      <c r="M24141">
        <v>59112</v>
      </c>
      <c r="N24141" t="s">
        <v>44</v>
      </c>
      <c r="O24141">
        <v>260109</v>
      </c>
      <c r="P24141">
        <v>7.0000000000000007E-2</v>
      </c>
    </row>
    <row r="24142" spans="1:16" x14ac:dyDescent="0.25">
      <c r="A24142" t="s">
        <v>3296</v>
      </c>
      <c r="B24142" t="s">
        <v>2931</v>
      </c>
      <c r="C24142">
        <v>18187</v>
      </c>
      <c r="D24142" t="str">
        <f>"55251879235 "</f>
        <v xml:space="preserve">55251879235 </v>
      </c>
      <c r="E24142" t="s">
        <v>1845</v>
      </c>
      <c r="F24142" t="s">
        <v>1846</v>
      </c>
      <c r="G24142">
        <v>0.24</v>
      </c>
      <c r="H24142">
        <v>251231</v>
      </c>
      <c r="I24142">
        <v>4572</v>
      </c>
      <c r="J24142" t="s">
        <v>173</v>
      </c>
      <c r="K24142">
        <v>0.33</v>
      </c>
      <c r="L24142">
        <v>0.05</v>
      </c>
      <c r="M24142">
        <v>59504</v>
      </c>
      <c r="N24142" t="s">
        <v>193</v>
      </c>
      <c r="O24142">
        <v>260109</v>
      </c>
      <c r="P24142">
        <v>0.19</v>
      </c>
    </row>
    <row r="24143" spans="1:16" x14ac:dyDescent="0.25">
      <c r="A24143" t="s">
        <v>3296</v>
      </c>
      <c r="B24143" t="s">
        <v>2931</v>
      </c>
      <c r="C24143">
        <v>18193</v>
      </c>
      <c r="D24143" t="str">
        <f>"55251878744 "</f>
        <v xml:space="preserve">55251878744 </v>
      </c>
      <c r="E24143" t="s">
        <v>1845</v>
      </c>
      <c r="F24143" t="s">
        <v>1846</v>
      </c>
      <c r="G24143">
        <v>752.25</v>
      </c>
      <c r="H24143">
        <v>251231</v>
      </c>
      <c r="I24143">
        <v>4572</v>
      </c>
      <c r="J24143" t="s">
        <v>173</v>
      </c>
      <c r="K24143">
        <v>854.83</v>
      </c>
      <c r="L24143">
        <v>152.85</v>
      </c>
      <c r="M24143">
        <v>59505</v>
      </c>
      <c r="N24143" t="s">
        <v>194</v>
      </c>
      <c r="O24143">
        <v>260109</v>
      </c>
      <c r="P24143">
        <v>599.4</v>
      </c>
    </row>
    <row r="24144" spans="1:16" x14ac:dyDescent="0.25">
      <c r="A24144" t="s">
        <v>3296</v>
      </c>
      <c r="B24144" t="s">
        <v>2931</v>
      </c>
      <c r="C24144">
        <v>18193</v>
      </c>
      <c r="D24144" t="str">
        <f>"55251878744 "</f>
        <v xml:space="preserve">55251878744 </v>
      </c>
      <c r="E24144" t="s">
        <v>1845</v>
      </c>
      <c r="F24144" t="s">
        <v>1846</v>
      </c>
      <c r="G24144">
        <v>102.58</v>
      </c>
      <c r="H24144">
        <v>251231</v>
      </c>
      <c r="I24144">
        <v>4572</v>
      </c>
      <c r="J24144" t="s">
        <v>173</v>
      </c>
      <c r="K24144">
        <v>854.83</v>
      </c>
      <c r="L24144">
        <v>20.84</v>
      </c>
      <c r="M24144">
        <v>59812</v>
      </c>
      <c r="N24144" t="s">
        <v>196</v>
      </c>
      <c r="O24144">
        <v>260109</v>
      </c>
      <c r="P24144">
        <v>81.739999999999995</v>
      </c>
    </row>
    <row r="24145" spans="1:16" x14ac:dyDescent="0.25">
      <c r="A24145" t="s">
        <v>3296</v>
      </c>
      <c r="B24145" t="s">
        <v>2931</v>
      </c>
      <c r="C24145">
        <v>18195</v>
      </c>
      <c r="D24145" t="str">
        <f>"55251880650 "</f>
        <v xml:space="preserve">55251880650 </v>
      </c>
      <c r="E24145" t="s">
        <v>1845</v>
      </c>
      <c r="F24145" t="s">
        <v>1846</v>
      </c>
      <c r="G24145">
        <v>211.71</v>
      </c>
      <c r="H24145">
        <v>251231</v>
      </c>
      <c r="I24145">
        <v>4572</v>
      </c>
      <c r="J24145" t="s">
        <v>173</v>
      </c>
      <c r="K24145">
        <v>211.71</v>
      </c>
      <c r="L24145">
        <v>43.02</v>
      </c>
      <c r="M24145">
        <v>13841</v>
      </c>
      <c r="N24145" t="s">
        <v>178</v>
      </c>
      <c r="O24145">
        <v>260109</v>
      </c>
      <c r="P24145">
        <v>168.69</v>
      </c>
    </row>
    <row r="24146" spans="1:16" x14ac:dyDescent="0.25">
      <c r="A24146" t="s">
        <v>3296</v>
      </c>
      <c r="B24146" t="s">
        <v>2931</v>
      </c>
      <c r="C24146">
        <v>18197</v>
      </c>
      <c r="D24146" t="str">
        <f>"55251878813 "</f>
        <v xml:space="preserve">55251878813 </v>
      </c>
      <c r="E24146" t="s">
        <v>1845</v>
      </c>
      <c r="F24146" t="s">
        <v>1846</v>
      </c>
      <c r="G24146">
        <v>10.77</v>
      </c>
      <c r="H24146">
        <v>251231</v>
      </c>
      <c r="I24146">
        <v>4572</v>
      </c>
      <c r="J24146" t="s">
        <v>173</v>
      </c>
      <c r="K24146">
        <v>10.77</v>
      </c>
      <c r="L24146">
        <v>2.19</v>
      </c>
      <c r="M24146">
        <v>13841</v>
      </c>
      <c r="N24146" t="s">
        <v>178</v>
      </c>
      <c r="O24146">
        <v>260109</v>
      </c>
      <c r="P24146">
        <v>8.58</v>
      </c>
    </row>
    <row r="24147" spans="1:16" x14ac:dyDescent="0.25">
      <c r="A24147" t="s">
        <v>3296</v>
      </c>
      <c r="B24147" t="s">
        <v>2931</v>
      </c>
      <c r="C24147">
        <v>18199</v>
      </c>
      <c r="D24147" t="str">
        <f>"55251880084 "</f>
        <v xml:space="preserve">55251880084 </v>
      </c>
      <c r="E24147" t="s">
        <v>1845</v>
      </c>
      <c r="F24147" t="s">
        <v>1846</v>
      </c>
      <c r="G24147">
        <v>1494.2</v>
      </c>
      <c r="H24147">
        <v>251231</v>
      </c>
      <c r="I24147">
        <v>4572</v>
      </c>
      <c r="J24147" t="s">
        <v>173</v>
      </c>
      <c r="K24147">
        <v>5134.71</v>
      </c>
      <c r="L24147">
        <v>303.60000000000002</v>
      </c>
      <c r="M24147">
        <v>69111</v>
      </c>
      <c r="N24147" t="s">
        <v>657</v>
      </c>
      <c r="O24147">
        <v>260109</v>
      </c>
      <c r="P24147">
        <v>1190.5999999999999</v>
      </c>
    </row>
    <row r="24148" spans="1:16" x14ac:dyDescent="0.25">
      <c r="A24148" t="s">
        <v>3296</v>
      </c>
      <c r="B24148" t="s">
        <v>2931</v>
      </c>
      <c r="C24148">
        <v>18199</v>
      </c>
      <c r="D24148" t="str">
        <f>"55251880084 "</f>
        <v xml:space="preserve">55251880084 </v>
      </c>
      <c r="E24148" t="s">
        <v>1845</v>
      </c>
      <c r="F24148" t="s">
        <v>1846</v>
      </c>
      <c r="G24148">
        <v>3594.3</v>
      </c>
      <c r="H24148">
        <v>251231</v>
      </c>
      <c r="I24148">
        <v>4572</v>
      </c>
      <c r="J24148" t="s">
        <v>173</v>
      </c>
      <c r="K24148">
        <v>5134.71</v>
      </c>
      <c r="L24148">
        <v>730.32</v>
      </c>
      <c r="M24148">
        <v>69501</v>
      </c>
      <c r="N24148" t="s">
        <v>123</v>
      </c>
      <c r="O24148">
        <v>260109</v>
      </c>
      <c r="P24148">
        <v>2863.98</v>
      </c>
    </row>
    <row r="24149" spans="1:16" x14ac:dyDescent="0.25">
      <c r="A24149" t="s">
        <v>3296</v>
      </c>
      <c r="B24149" t="s">
        <v>2931</v>
      </c>
      <c r="C24149">
        <v>18199</v>
      </c>
      <c r="D24149" t="str">
        <f>"55251880084 "</f>
        <v xml:space="preserve">55251880084 </v>
      </c>
      <c r="E24149" t="s">
        <v>1845</v>
      </c>
      <c r="F24149" t="s">
        <v>1846</v>
      </c>
      <c r="G24149">
        <v>23.1</v>
      </c>
      <c r="H24149">
        <v>251231</v>
      </c>
      <c r="I24149">
        <v>4572</v>
      </c>
      <c r="J24149" t="s">
        <v>173</v>
      </c>
      <c r="K24149">
        <v>5134.71</v>
      </c>
      <c r="L24149">
        <v>4.6900000000000004</v>
      </c>
      <c r="M24149">
        <v>69801</v>
      </c>
      <c r="N24149" t="s">
        <v>1077</v>
      </c>
      <c r="O24149">
        <v>260109</v>
      </c>
      <c r="P24149">
        <v>18.41</v>
      </c>
    </row>
    <row r="24150" spans="1:16" x14ac:dyDescent="0.25">
      <c r="A24150" t="s">
        <v>3296</v>
      </c>
      <c r="B24150" t="s">
        <v>2931</v>
      </c>
      <c r="C24150">
        <v>18199</v>
      </c>
      <c r="D24150" t="str">
        <f>"55251880084 "</f>
        <v xml:space="preserve">55251880084 </v>
      </c>
      <c r="E24150" t="s">
        <v>1845</v>
      </c>
      <c r="F24150" t="s">
        <v>1846</v>
      </c>
      <c r="G24150">
        <v>23.11</v>
      </c>
      <c r="H24150">
        <v>251231</v>
      </c>
      <c r="I24150">
        <v>4572</v>
      </c>
      <c r="J24150" t="s">
        <v>173</v>
      </c>
      <c r="K24150">
        <v>5134.71</v>
      </c>
      <c r="L24150">
        <v>0</v>
      </c>
      <c r="M24150">
        <v>69803</v>
      </c>
      <c r="N24150" t="s">
        <v>391</v>
      </c>
      <c r="O24150">
        <v>260109</v>
      </c>
      <c r="P24150">
        <v>23.11</v>
      </c>
    </row>
    <row r="24151" spans="1:16" x14ac:dyDescent="0.25">
      <c r="A24151" t="s">
        <v>3296</v>
      </c>
      <c r="B24151" t="s">
        <v>2931</v>
      </c>
      <c r="C24151">
        <v>18200</v>
      </c>
      <c r="D24151" t="str">
        <f>"55251881935 "</f>
        <v xml:space="preserve">55251881935 </v>
      </c>
      <c r="E24151" t="s">
        <v>1845</v>
      </c>
      <c r="F24151" t="s">
        <v>1846</v>
      </c>
      <c r="G24151">
        <v>47.21</v>
      </c>
      <c r="H24151">
        <v>251231</v>
      </c>
      <c r="I24151">
        <v>4572</v>
      </c>
      <c r="J24151" t="s">
        <v>173</v>
      </c>
      <c r="K24151">
        <v>1573.62</v>
      </c>
      <c r="L24151">
        <v>9.59</v>
      </c>
      <c r="M24151">
        <v>17739</v>
      </c>
      <c r="N24151" t="s">
        <v>928</v>
      </c>
      <c r="O24151">
        <v>260109</v>
      </c>
      <c r="P24151">
        <v>37.619999999999997</v>
      </c>
    </row>
    <row r="24152" spans="1:16" x14ac:dyDescent="0.25">
      <c r="A24152" t="s">
        <v>3296</v>
      </c>
      <c r="B24152" t="s">
        <v>2931</v>
      </c>
      <c r="C24152">
        <v>18200</v>
      </c>
      <c r="D24152" t="str">
        <f>"55251881935 "</f>
        <v xml:space="preserve">55251881935 </v>
      </c>
      <c r="E24152" t="s">
        <v>1845</v>
      </c>
      <c r="F24152" t="s">
        <v>1846</v>
      </c>
      <c r="G24152">
        <v>519.29</v>
      </c>
      <c r="H24152">
        <v>251231</v>
      </c>
      <c r="I24152">
        <v>4572</v>
      </c>
      <c r="J24152" t="s">
        <v>173</v>
      </c>
      <c r="K24152">
        <v>1573.62</v>
      </c>
      <c r="L24152">
        <v>105.51</v>
      </c>
      <c r="M24152">
        <v>17912</v>
      </c>
      <c r="N24152" t="s">
        <v>505</v>
      </c>
      <c r="O24152">
        <v>260109</v>
      </c>
      <c r="P24152">
        <v>413.78</v>
      </c>
    </row>
    <row r="24153" spans="1:16" x14ac:dyDescent="0.25">
      <c r="A24153" t="s">
        <v>3296</v>
      </c>
      <c r="B24153" t="s">
        <v>2931</v>
      </c>
      <c r="C24153">
        <v>18200</v>
      </c>
      <c r="D24153" t="str">
        <f>"55251881935 "</f>
        <v xml:space="preserve">55251881935 </v>
      </c>
      <c r="E24153" t="s">
        <v>1845</v>
      </c>
      <c r="F24153" t="s">
        <v>1846</v>
      </c>
      <c r="G24153">
        <v>1007.12</v>
      </c>
      <c r="H24153">
        <v>251231</v>
      </c>
      <c r="I24153">
        <v>4572</v>
      </c>
      <c r="J24153" t="s">
        <v>173</v>
      </c>
      <c r="K24153">
        <v>1573.62</v>
      </c>
      <c r="L24153">
        <v>204.63</v>
      </c>
      <c r="M24153">
        <v>17952</v>
      </c>
      <c r="N24153" t="s">
        <v>157</v>
      </c>
      <c r="O24153">
        <v>260109</v>
      </c>
      <c r="P24153">
        <v>802.49</v>
      </c>
    </row>
    <row r="24154" spans="1:16" x14ac:dyDescent="0.25">
      <c r="A24154" t="s">
        <v>3296</v>
      </c>
      <c r="B24154" t="s">
        <v>2931</v>
      </c>
      <c r="C24154">
        <v>18346</v>
      </c>
      <c r="D24154" t="str">
        <f>"55251879442 "</f>
        <v xml:space="preserve">55251879442 </v>
      </c>
      <c r="E24154" t="s">
        <v>1845</v>
      </c>
      <c r="F24154" t="s">
        <v>1846</v>
      </c>
      <c r="G24154">
        <v>2.6</v>
      </c>
      <c r="H24154">
        <v>251231</v>
      </c>
      <c r="I24154">
        <v>4572</v>
      </c>
      <c r="J24154" t="s">
        <v>173</v>
      </c>
      <c r="K24154">
        <v>8.68</v>
      </c>
      <c r="L24154">
        <v>0.53</v>
      </c>
      <c r="M24154">
        <v>14952</v>
      </c>
      <c r="N24154" t="s">
        <v>213</v>
      </c>
      <c r="O24154">
        <v>260113</v>
      </c>
      <c r="P24154">
        <v>2.0699999999999998</v>
      </c>
    </row>
    <row r="24155" spans="1:16" x14ac:dyDescent="0.25">
      <c r="A24155" t="s">
        <v>3296</v>
      </c>
      <c r="B24155" t="s">
        <v>2931</v>
      </c>
      <c r="C24155">
        <v>18346</v>
      </c>
      <c r="D24155" t="str">
        <f>"55251879442 "</f>
        <v xml:space="preserve">55251879442 </v>
      </c>
      <c r="E24155" t="s">
        <v>1845</v>
      </c>
      <c r="F24155" t="s">
        <v>1846</v>
      </c>
      <c r="G24155">
        <v>6.08</v>
      </c>
      <c r="H24155">
        <v>251231</v>
      </c>
      <c r="I24155">
        <v>4572</v>
      </c>
      <c r="J24155" t="s">
        <v>173</v>
      </c>
      <c r="K24155">
        <v>8.68</v>
      </c>
      <c r="L24155">
        <v>1.24</v>
      </c>
      <c r="M24155">
        <v>14981</v>
      </c>
      <c r="N24155" t="s">
        <v>252</v>
      </c>
      <c r="O24155">
        <v>260113</v>
      </c>
      <c r="P24155">
        <v>4.84</v>
      </c>
    </row>
    <row r="24156" spans="1:16" x14ac:dyDescent="0.25">
      <c r="A24156" t="s">
        <v>3296</v>
      </c>
      <c r="B24156" t="s">
        <v>2931</v>
      </c>
      <c r="C24156">
        <v>18511</v>
      </c>
      <c r="D24156" t="str">
        <f>"55251880176 "</f>
        <v xml:space="preserve">55251880176 </v>
      </c>
      <c r="E24156" t="s">
        <v>1845</v>
      </c>
      <c r="F24156" t="s">
        <v>1846</v>
      </c>
      <c r="G24156">
        <v>906.2</v>
      </c>
      <c r="H24156">
        <v>251231</v>
      </c>
      <c r="I24156">
        <v>4572</v>
      </c>
      <c r="J24156" t="s">
        <v>173</v>
      </c>
      <c r="K24156">
        <v>953.89</v>
      </c>
      <c r="L24156">
        <v>184.13</v>
      </c>
      <c r="M24156">
        <v>49501</v>
      </c>
      <c r="N24156" t="s">
        <v>110</v>
      </c>
      <c r="O24156">
        <v>260114</v>
      </c>
      <c r="P24156">
        <v>722.07</v>
      </c>
    </row>
    <row r="24157" spans="1:16" x14ac:dyDescent="0.25">
      <c r="A24157" t="s">
        <v>3296</v>
      </c>
      <c r="B24157" t="s">
        <v>2931</v>
      </c>
      <c r="C24157">
        <v>18511</v>
      </c>
      <c r="D24157" t="str">
        <f>"55251880176 "</f>
        <v xml:space="preserve">55251880176 </v>
      </c>
      <c r="E24157" t="s">
        <v>1845</v>
      </c>
      <c r="F24157" t="s">
        <v>1846</v>
      </c>
      <c r="G24157">
        <v>47.69</v>
      </c>
      <c r="H24157">
        <v>251231</v>
      </c>
      <c r="I24157">
        <v>4572</v>
      </c>
      <c r="J24157" t="s">
        <v>173</v>
      </c>
      <c r="K24157">
        <v>953.89</v>
      </c>
      <c r="L24157">
        <v>9.69</v>
      </c>
      <c r="M24157">
        <v>49801</v>
      </c>
      <c r="N24157" t="s">
        <v>953</v>
      </c>
      <c r="O24157">
        <v>260114</v>
      </c>
      <c r="P24157">
        <v>38</v>
      </c>
    </row>
    <row r="24158" spans="1:16" x14ac:dyDescent="0.25">
      <c r="A24158" t="s">
        <v>3296</v>
      </c>
      <c r="B24158" t="s">
        <v>2931</v>
      </c>
      <c r="C24158">
        <v>18512</v>
      </c>
      <c r="D24158" t="str">
        <f>"55251879195 "</f>
        <v xml:space="preserve">55251879195 </v>
      </c>
      <c r="E24158" t="s">
        <v>1845</v>
      </c>
      <c r="F24158" t="s">
        <v>1846</v>
      </c>
      <c r="G24158">
        <v>94.33</v>
      </c>
      <c r="H24158">
        <v>251231</v>
      </c>
      <c r="I24158">
        <v>4572</v>
      </c>
      <c r="J24158" t="s">
        <v>173</v>
      </c>
      <c r="K24158">
        <v>3144.28</v>
      </c>
      <c r="L24158">
        <v>19.170000000000002</v>
      </c>
      <c r="M24158">
        <v>49111</v>
      </c>
      <c r="N24158" t="s">
        <v>108</v>
      </c>
      <c r="O24158">
        <v>260114</v>
      </c>
      <c r="P24158">
        <v>75.16</v>
      </c>
    </row>
    <row r="24159" spans="1:16" x14ac:dyDescent="0.25">
      <c r="A24159" t="s">
        <v>3296</v>
      </c>
      <c r="B24159" t="s">
        <v>2931</v>
      </c>
      <c r="C24159">
        <v>18512</v>
      </c>
      <c r="D24159" t="str">
        <f>"55251879195 "</f>
        <v xml:space="preserve">55251879195 </v>
      </c>
      <c r="E24159" t="s">
        <v>1845</v>
      </c>
      <c r="F24159" t="s">
        <v>1846</v>
      </c>
      <c r="G24159">
        <v>2908.46</v>
      </c>
      <c r="H24159">
        <v>251231</v>
      </c>
      <c r="I24159">
        <v>4572</v>
      </c>
      <c r="J24159" t="s">
        <v>173</v>
      </c>
      <c r="K24159">
        <v>3144.28</v>
      </c>
      <c r="L24159">
        <v>590.96</v>
      </c>
      <c r="M24159">
        <v>49501</v>
      </c>
      <c r="N24159" t="s">
        <v>110</v>
      </c>
      <c r="O24159">
        <v>260114</v>
      </c>
      <c r="P24159">
        <v>2317.5</v>
      </c>
    </row>
    <row r="24160" spans="1:16" x14ac:dyDescent="0.25">
      <c r="A24160" t="s">
        <v>3296</v>
      </c>
      <c r="B24160" t="s">
        <v>2931</v>
      </c>
      <c r="C24160">
        <v>18512</v>
      </c>
      <c r="D24160" t="str">
        <f>"55251879195 "</f>
        <v xml:space="preserve">55251879195 </v>
      </c>
      <c r="E24160" t="s">
        <v>1845</v>
      </c>
      <c r="F24160" t="s">
        <v>1846</v>
      </c>
      <c r="G24160">
        <v>94.33</v>
      </c>
      <c r="H24160">
        <v>251231</v>
      </c>
      <c r="I24160">
        <v>4572</v>
      </c>
      <c r="J24160" t="s">
        <v>173</v>
      </c>
      <c r="K24160">
        <v>3144.28</v>
      </c>
      <c r="L24160">
        <v>19.170000000000002</v>
      </c>
      <c r="M24160">
        <v>49801</v>
      </c>
      <c r="N24160" t="s">
        <v>953</v>
      </c>
      <c r="O24160">
        <v>260114</v>
      </c>
      <c r="P24160">
        <v>75.16</v>
      </c>
    </row>
    <row r="24161" spans="1:16" x14ac:dyDescent="0.25">
      <c r="A24161" t="s">
        <v>3296</v>
      </c>
      <c r="B24161" t="s">
        <v>2931</v>
      </c>
      <c r="C24161">
        <v>18512</v>
      </c>
      <c r="D24161" t="str">
        <f>"55251879195 "</f>
        <v xml:space="preserve">55251879195 </v>
      </c>
      <c r="E24161" t="s">
        <v>1845</v>
      </c>
      <c r="F24161" t="s">
        <v>1846</v>
      </c>
      <c r="G24161">
        <v>47.16</v>
      </c>
      <c r="H24161">
        <v>251231</v>
      </c>
      <c r="I24161">
        <v>4572</v>
      </c>
      <c r="J24161" t="s">
        <v>173</v>
      </c>
      <c r="K24161">
        <v>3144.28</v>
      </c>
      <c r="L24161">
        <v>0</v>
      </c>
      <c r="M24161">
        <v>49803</v>
      </c>
      <c r="N24161" t="s">
        <v>956</v>
      </c>
      <c r="O24161">
        <v>260114</v>
      </c>
      <c r="P24161">
        <v>47.16</v>
      </c>
    </row>
    <row r="24162" spans="1:16" x14ac:dyDescent="0.25">
      <c r="A24162" t="s">
        <v>3296</v>
      </c>
      <c r="B24162" t="s">
        <v>2931</v>
      </c>
      <c r="C24162">
        <v>18513</v>
      </c>
      <c r="D24162" t="str">
        <f>"55251879377 "</f>
        <v xml:space="preserve">55251879377 </v>
      </c>
      <c r="E24162" t="s">
        <v>1845</v>
      </c>
      <c r="F24162" t="s">
        <v>1846</v>
      </c>
      <c r="G24162">
        <v>1151.68</v>
      </c>
      <c r="H24162">
        <v>251231</v>
      </c>
      <c r="I24162">
        <v>4572</v>
      </c>
      <c r="J24162" t="s">
        <v>173</v>
      </c>
      <c r="K24162">
        <v>1151.68</v>
      </c>
      <c r="L24162">
        <v>234.01</v>
      </c>
      <c r="M24162">
        <v>49503</v>
      </c>
      <c r="N24162" t="s">
        <v>267</v>
      </c>
      <c r="O24162">
        <v>260114</v>
      </c>
      <c r="P24162">
        <v>917.67</v>
      </c>
    </row>
    <row r="24163" spans="1:16" x14ac:dyDescent="0.25">
      <c r="A24163" t="s">
        <v>3296</v>
      </c>
      <c r="B24163" t="s">
        <v>2931</v>
      </c>
      <c r="C24163">
        <v>18555</v>
      </c>
      <c r="D24163" t="str">
        <f>"55251881647 "</f>
        <v xml:space="preserve">55251881647 </v>
      </c>
      <c r="E24163" t="s">
        <v>1845</v>
      </c>
      <c r="F24163" t="s">
        <v>1846</v>
      </c>
      <c r="G24163">
        <v>96.13</v>
      </c>
      <c r="H24163">
        <v>251231</v>
      </c>
      <c r="I24163">
        <v>4572</v>
      </c>
      <c r="J24163" t="s">
        <v>173</v>
      </c>
      <c r="K24163">
        <v>320.44</v>
      </c>
      <c r="L24163">
        <v>19.53</v>
      </c>
      <c r="M24163">
        <v>11401</v>
      </c>
      <c r="N24163" t="s">
        <v>91</v>
      </c>
      <c r="O24163">
        <v>260116</v>
      </c>
      <c r="P24163">
        <v>76.599999999999994</v>
      </c>
    </row>
    <row r="24164" spans="1:16" x14ac:dyDescent="0.25">
      <c r="A24164" t="s">
        <v>3296</v>
      </c>
      <c r="B24164" t="s">
        <v>2931</v>
      </c>
      <c r="C24164">
        <v>18555</v>
      </c>
      <c r="D24164" t="str">
        <f>"55251881647 "</f>
        <v xml:space="preserve">55251881647 </v>
      </c>
      <c r="E24164" t="s">
        <v>1845</v>
      </c>
      <c r="F24164" t="s">
        <v>1846</v>
      </c>
      <c r="G24164">
        <v>224.31</v>
      </c>
      <c r="H24164">
        <v>251231</v>
      </c>
      <c r="I24164">
        <v>4572</v>
      </c>
      <c r="J24164" t="s">
        <v>173</v>
      </c>
      <c r="K24164">
        <v>320.44</v>
      </c>
      <c r="L24164">
        <v>45.58</v>
      </c>
      <c r="M24164">
        <v>14952</v>
      </c>
      <c r="N24164" t="s">
        <v>213</v>
      </c>
      <c r="O24164">
        <v>260116</v>
      </c>
      <c r="P24164">
        <v>178.73</v>
      </c>
    </row>
    <row r="24165" spans="1:16" x14ac:dyDescent="0.25">
      <c r="A24165" t="s">
        <v>3296</v>
      </c>
      <c r="B24165" t="s">
        <v>2931</v>
      </c>
      <c r="C24165">
        <v>18556</v>
      </c>
      <c r="D24165" t="str">
        <f>"55251881433 "</f>
        <v xml:space="preserve">55251881433 </v>
      </c>
      <c r="E24165" t="s">
        <v>1845</v>
      </c>
      <c r="F24165" t="s">
        <v>1846</v>
      </c>
      <c r="G24165">
        <v>4.4800000000000004</v>
      </c>
      <c r="H24165">
        <v>251231</v>
      </c>
      <c r="I24165">
        <v>4572</v>
      </c>
      <c r="J24165" t="s">
        <v>173</v>
      </c>
      <c r="K24165">
        <v>14.95</v>
      </c>
      <c r="L24165">
        <v>0.91</v>
      </c>
      <c r="M24165">
        <v>14952</v>
      </c>
      <c r="N24165" t="s">
        <v>213</v>
      </c>
      <c r="O24165">
        <v>260116</v>
      </c>
      <c r="P24165">
        <v>3.57</v>
      </c>
    </row>
    <row r="24166" spans="1:16" x14ac:dyDescent="0.25">
      <c r="A24166" t="s">
        <v>3296</v>
      </c>
      <c r="B24166" t="s">
        <v>2931</v>
      </c>
      <c r="C24166">
        <v>18556</v>
      </c>
      <c r="D24166" t="str">
        <f>"55251881433 "</f>
        <v xml:space="preserve">55251881433 </v>
      </c>
      <c r="E24166" t="s">
        <v>1845</v>
      </c>
      <c r="F24166" t="s">
        <v>1846</v>
      </c>
      <c r="G24166">
        <v>10.47</v>
      </c>
      <c r="H24166">
        <v>251231</v>
      </c>
      <c r="I24166">
        <v>4572</v>
      </c>
      <c r="J24166" t="s">
        <v>173</v>
      </c>
      <c r="K24166">
        <v>14.95</v>
      </c>
      <c r="L24166">
        <v>2.13</v>
      </c>
      <c r="M24166">
        <v>14981</v>
      </c>
      <c r="N24166" t="s">
        <v>252</v>
      </c>
      <c r="O24166">
        <v>260116</v>
      </c>
      <c r="P24166">
        <v>8.34</v>
      </c>
    </row>
    <row r="24167" spans="1:16" x14ac:dyDescent="0.25">
      <c r="A24167" t="s">
        <v>3296</v>
      </c>
      <c r="B24167" t="s">
        <v>2931</v>
      </c>
      <c r="C24167">
        <v>18557</v>
      </c>
      <c r="D24167" t="str">
        <f>"55251881404 "</f>
        <v xml:space="preserve">55251881404 </v>
      </c>
      <c r="E24167" t="s">
        <v>1845</v>
      </c>
      <c r="F24167" t="s">
        <v>1846</v>
      </c>
      <c r="G24167">
        <v>11.05</v>
      </c>
      <c r="H24167">
        <v>251231</v>
      </c>
      <c r="I24167">
        <v>4572</v>
      </c>
      <c r="J24167" t="s">
        <v>173</v>
      </c>
      <c r="K24167">
        <v>36.83</v>
      </c>
      <c r="L24167">
        <v>2.25</v>
      </c>
      <c r="M24167">
        <v>14952</v>
      </c>
      <c r="N24167" t="s">
        <v>213</v>
      </c>
      <c r="O24167">
        <v>260116</v>
      </c>
      <c r="P24167">
        <v>8.8000000000000007</v>
      </c>
    </row>
    <row r="24168" spans="1:16" x14ac:dyDescent="0.25">
      <c r="A24168" t="s">
        <v>3296</v>
      </c>
      <c r="B24168" t="s">
        <v>2931</v>
      </c>
      <c r="C24168">
        <v>18557</v>
      </c>
      <c r="D24168" t="str">
        <f>"55251881404 "</f>
        <v xml:space="preserve">55251881404 </v>
      </c>
      <c r="E24168" t="s">
        <v>1845</v>
      </c>
      <c r="F24168" t="s">
        <v>1846</v>
      </c>
      <c r="G24168">
        <v>25.78</v>
      </c>
      <c r="H24168">
        <v>251231</v>
      </c>
      <c r="I24168">
        <v>4572</v>
      </c>
      <c r="J24168" t="s">
        <v>173</v>
      </c>
      <c r="K24168">
        <v>36.83</v>
      </c>
      <c r="L24168">
        <v>5.24</v>
      </c>
      <c r="M24168">
        <v>14981</v>
      </c>
      <c r="N24168" t="s">
        <v>252</v>
      </c>
      <c r="O24168">
        <v>260116</v>
      </c>
      <c r="P24168">
        <v>20.54</v>
      </c>
    </row>
    <row r="24169" spans="1:16" x14ac:dyDescent="0.25">
      <c r="A24169" t="s">
        <v>3296</v>
      </c>
      <c r="B24169" t="s">
        <v>2931</v>
      </c>
      <c r="C24169">
        <v>18564</v>
      </c>
      <c r="D24169" t="str">
        <f>"55251881217 "</f>
        <v xml:space="preserve">55251881217 </v>
      </c>
      <c r="E24169" t="s">
        <v>1845</v>
      </c>
      <c r="F24169" t="s">
        <v>1846</v>
      </c>
      <c r="G24169">
        <v>22.29</v>
      </c>
      <c r="H24169">
        <v>251231</v>
      </c>
      <c r="I24169">
        <v>4572</v>
      </c>
      <c r="J24169" t="s">
        <v>173</v>
      </c>
      <c r="K24169">
        <v>74.3</v>
      </c>
      <c r="L24169">
        <v>4.53</v>
      </c>
      <c r="M24169">
        <v>11401</v>
      </c>
      <c r="N24169" t="s">
        <v>91</v>
      </c>
      <c r="O24169">
        <v>260116</v>
      </c>
      <c r="P24169">
        <v>17.760000000000002</v>
      </c>
    </row>
    <row r="24170" spans="1:16" x14ac:dyDescent="0.25">
      <c r="A24170" t="s">
        <v>3296</v>
      </c>
      <c r="B24170" t="s">
        <v>2931</v>
      </c>
      <c r="C24170">
        <v>18564</v>
      </c>
      <c r="D24170" t="str">
        <f>"55251881217 "</f>
        <v xml:space="preserve">55251881217 </v>
      </c>
      <c r="E24170" t="s">
        <v>1845</v>
      </c>
      <c r="F24170" t="s">
        <v>1846</v>
      </c>
      <c r="G24170">
        <v>52.01</v>
      </c>
      <c r="H24170">
        <v>251231</v>
      </c>
      <c r="I24170">
        <v>4572</v>
      </c>
      <c r="J24170" t="s">
        <v>173</v>
      </c>
      <c r="K24170">
        <v>74.3</v>
      </c>
      <c r="L24170">
        <v>10.57</v>
      </c>
      <c r="M24170">
        <v>14952</v>
      </c>
      <c r="N24170" t="s">
        <v>213</v>
      </c>
      <c r="O24170">
        <v>260116</v>
      </c>
      <c r="P24170">
        <v>41.44</v>
      </c>
    </row>
    <row r="24171" spans="1:16" x14ac:dyDescent="0.25">
      <c r="A24171" t="s">
        <v>3296</v>
      </c>
      <c r="B24171" t="s">
        <v>2931</v>
      </c>
      <c r="C24171">
        <v>18579</v>
      </c>
      <c r="D24171" t="str">
        <f>"55251882615 "</f>
        <v xml:space="preserve">55251882615 </v>
      </c>
      <c r="E24171" t="s">
        <v>1845</v>
      </c>
      <c r="F24171" t="s">
        <v>1846</v>
      </c>
      <c r="G24171">
        <v>166.63</v>
      </c>
      <c r="H24171">
        <v>251231</v>
      </c>
      <c r="I24171">
        <v>4572</v>
      </c>
      <c r="J24171" t="s">
        <v>173</v>
      </c>
      <c r="K24171">
        <v>555.45000000000005</v>
      </c>
      <c r="L24171">
        <v>33.86</v>
      </c>
      <c r="M24171">
        <v>14952</v>
      </c>
      <c r="N24171" t="s">
        <v>213</v>
      </c>
      <c r="O24171">
        <v>260116</v>
      </c>
      <c r="P24171">
        <v>132.77000000000001</v>
      </c>
    </row>
    <row r="24172" spans="1:16" x14ac:dyDescent="0.25">
      <c r="A24172" t="s">
        <v>3296</v>
      </c>
      <c r="B24172" t="s">
        <v>2931</v>
      </c>
      <c r="C24172">
        <v>18579</v>
      </c>
      <c r="D24172" t="str">
        <f>"55251882615 "</f>
        <v xml:space="preserve">55251882615 </v>
      </c>
      <c r="E24172" t="s">
        <v>1845</v>
      </c>
      <c r="F24172" t="s">
        <v>1846</v>
      </c>
      <c r="G24172">
        <v>388.82</v>
      </c>
      <c r="H24172">
        <v>251231</v>
      </c>
      <c r="I24172">
        <v>4572</v>
      </c>
      <c r="J24172" t="s">
        <v>173</v>
      </c>
      <c r="K24172">
        <v>555.45000000000005</v>
      </c>
      <c r="L24172">
        <v>79</v>
      </c>
      <c r="M24172">
        <v>14981</v>
      </c>
      <c r="N24172" t="s">
        <v>252</v>
      </c>
      <c r="O24172">
        <v>260116</v>
      </c>
      <c r="P24172">
        <v>309.82</v>
      </c>
    </row>
    <row r="24173" spans="1:16" x14ac:dyDescent="0.25">
      <c r="A24173" t="s">
        <v>3296</v>
      </c>
      <c r="B24173" t="s">
        <v>2931</v>
      </c>
      <c r="C24173">
        <v>18580</v>
      </c>
      <c r="D24173" t="str">
        <f>"55251880560 "</f>
        <v xml:space="preserve">55251880560 </v>
      </c>
      <c r="E24173" t="s">
        <v>1845</v>
      </c>
      <c r="F24173" t="s">
        <v>1846</v>
      </c>
      <c r="G24173">
        <v>1854.12</v>
      </c>
      <c r="H24173">
        <v>251231</v>
      </c>
      <c r="I24173">
        <v>4572</v>
      </c>
      <c r="J24173" t="s">
        <v>173</v>
      </c>
      <c r="K24173">
        <v>1854.12</v>
      </c>
      <c r="L24173">
        <v>376.73</v>
      </c>
      <c r="M24173">
        <v>14951</v>
      </c>
      <c r="N24173" t="s">
        <v>186</v>
      </c>
      <c r="O24173">
        <v>260116</v>
      </c>
      <c r="P24173">
        <v>1477.39</v>
      </c>
    </row>
    <row r="24174" spans="1:16" x14ac:dyDescent="0.25">
      <c r="A24174" t="s">
        <v>3296</v>
      </c>
      <c r="B24174" t="s">
        <v>2931</v>
      </c>
      <c r="C24174">
        <v>1166</v>
      </c>
      <c r="D24174" t="str">
        <f>"15254132189 "</f>
        <v xml:space="preserve">15254132189 </v>
      </c>
      <c r="E24174" t="s">
        <v>868</v>
      </c>
      <c r="F24174" t="s">
        <v>869</v>
      </c>
      <c r="G24174">
        <v>1298.29</v>
      </c>
      <c r="H24174">
        <v>250131</v>
      </c>
      <c r="I24174">
        <v>4572</v>
      </c>
      <c r="J24174" t="s">
        <v>173</v>
      </c>
      <c r="K24174">
        <v>1475.33</v>
      </c>
      <c r="L24174">
        <v>263.8</v>
      </c>
      <c r="M24174">
        <v>59505</v>
      </c>
      <c r="N24174" t="s">
        <v>194</v>
      </c>
      <c r="O24174">
        <v>250205</v>
      </c>
      <c r="P24174">
        <v>1034.49</v>
      </c>
    </row>
    <row r="24175" spans="1:16" x14ac:dyDescent="0.25">
      <c r="A24175" t="s">
        <v>3296</v>
      </c>
      <c r="B24175" t="s">
        <v>2931</v>
      </c>
      <c r="C24175">
        <v>1166</v>
      </c>
      <c r="D24175" t="str">
        <f>"15254132189 "</f>
        <v xml:space="preserve">15254132189 </v>
      </c>
      <c r="E24175" t="s">
        <v>868</v>
      </c>
      <c r="F24175" t="s">
        <v>869</v>
      </c>
      <c r="G24175">
        <v>177.04</v>
      </c>
      <c r="H24175">
        <v>250131</v>
      </c>
      <c r="I24175">
        <v>4572</v>
      </c>
      <c r="J24175" t="s">
        <v>173</v>
      </c>
      <c r="K24175">
        <v>1475.33</v>
      </c>
      <c r="L24175">
        <v>35.97</v>
      </c>
      <c r="M24175">
        <v>59812</v>
      </c>
      <c r="N24175" t="s">
        <v>196</v>
      </c>
      <c r="O24175">
        <v>250205</v>
      </c>
      <c r="P24175">
        <v>141.07</v>
      </c>
    </row>
    <row r="24176" spans="1:16" x14ac:dyDescent="0.25">
      <c r="A24176" t="s">
        <v>3296</v>
      </c>
      <c r="B24176" t="s">
        <v>2931</v>
      </c>
      <c r="C24176">
        <v>1187</v>
      </c>
      <c r="D24176" t="str">
        <f>"15254133198 "</f>
        <v xml:space="preserve">15254133198 </v>
      </c>
      <c r="E24176" t="s">
        <v>868</v>
      </c>
      <c r="F24176" t="s">
        <v>869</v>
      </c>
      <c r="G24176">
        <v>24.21</v>
      </c>
      <c r="H24176">
        <v>250131</v>
      </c>
      <c r="I24176">
        <v>4572</v>
      </c>
      <c r="J24176" t="s">
        <v>173</v>
      </c>
      <c r="K24176">
        <v>24.21</v>
      </c>
      <c r="L24176">
        <v>4.92</v>
      </c>
      <c r="M24176">
        <v>13841</v>
      </c>
      <c r="N24176" t="s">
        <v>178</v>
      </c>
      <c r="O24176">
        <v>250205</v>
      </c>
      <c r="P24176">
        <v>19.29</v>
      </c>
    </row>
    <row r="24177" spans="1:16" x14ac:dyDescent="0.25">
      <c r="A24177" t="s">
        <v>3296</v>
      </c>
      <c r="B24177" t="s">
        <v>2931</v>
      </c>
      <c r="C24177">
        <v>1188</v>
      </c>
      <c r="D24177" t="str">
        <f>"15254133018 "</f>
        <v xml:space="preserve">15254133018 </v>
      </c>
      <c r="E24177" t="s">
        <v>868</v>
      </c>
      <c r="F24177" t="s">
        <v>869</v>
      </c>
      <c r="G24177">
        <v>0.86</v>
      </c>
      <c r="H24177">
        <v>250131</v>
      </c>
      <c r="I24177">
        <v>4572</v>
      </c>
      <c r="J24177" t="s">
        <v>173</v>
      </c>
      <c r="K24177">
        <v>3.2</v>
      </c>
      <c r="L24177">
        <v>0.17</v>
      </c>
      <c r="M24177">
        <v>59112</v>
      </c>
      <c r="N24177" t="s">
        <v>44</v>
      </c>
      <c r="O24177">
        <v>250205</v>
      </c>
      <c r="P24177">
        <v>0.69</v>
      </c>
    </row>
    <row r="24178" spans="1:16" x14ac:dyDescent="0.25">
      <c r="A24178" t="s">
        <v>3296</v>
      </c>
      <c r="B24178" t="s">
        <v>2931</v>
      </c>
      <c r="C24178">
        <v>1188</v>
      </c>
      <c r="D24178" t="str">
        <f>"15254133018 "</f>
        <v xml:space="preserve">15254133018 </v>
      </c>
      <c r="E24178" t="s">
        <v>868</v>
      </c>
      <c r="F24178" t="s">
        <v>869</v>
      </c>
      <c r="G24178">
        <v>2.34</v>
      </c>
      <c r="H24178">
        <v>250131</v>
      </c>
      <c r="I24178">
        <v>4572</v>
      </c>
      <c r="J24178" t="s">
        <v>173</v>
      </c>
      <c r="K24178">
        <v>3.2</v>
      </c>
      <c r="L24178">
        <v>0.48</v>
      </c>
      <c r="M24178">
        <v>59504</v>
      </c>
      <c r="N24178" t="s">
        <v>193</v>
      </c>
      <c r="O24178">
        <v>250205</v>
      </c>
      <c r="P24178">
        <v>1.86</v>
      </c>
    </row>
    <row r="24179" spans="1:16" x14ac:dyDescent="0.25">
      <c r="A24179" t="s">
        <v>3296</v>
      </c>
      <c r="B24179" t="s">
        <v>2931</v>
      </c>
      <c r="C24179">
        <v>1189</v>
      </c>
      <c r="D24179" t="str">
        <f>"15254135698 "</f>
        <v xml:space="preserve">15254135698 </v>
      </c>
      <c r="E24179" t="s">
        <v>868</v>
      </c>
      <c r="F24179" t="s">
        <v>869</v>
      </c>
      <c r="G24179">
        <v>55.04</v>
      </c>
      <c r="H24179">
        <v>250131</v>
      </c>
      <c r="I24179">
        <v>4572</v>
      </c>
      <c r="J24179" t="s">
        <v>173</v>
      </c>
      <c r="K24179">
        <v>55.04</v>
      </c>
      <c r="L24179">
        <v>11.18</v>
      </c>
      <c r="M24179">
        <v>13841</v>
      </c>
      <c r="N24179" t="s">
        <v>178</v>
      </c>
      <c r="O24179">
        <v>250205</v>
      </c>
      <c r="P24179">
        <v>43.86</v>
      </c>
    </row>
    <row r="24180" spans="1:16" x14ac:dyDescent="0.25">
      <c r="A24180" t="s">
        <v>3296</v>
      </c>
      <c r="B24180" t="s">
        <v>2931</v>
      </c>
      <c r="C24180">
        <v>1190</v>
      </c>
      <c r="D24180" t="str">
        <f>"15254133094 "</f>
        <v xml:space="preserve">15254133094 </v>
      </c>
      <c r="E24180" t="s">
        <v>868</v>
      </c>
      <c r="F24180" t="s">
        <v>869</v>
      </c>
      <c r="G24180">
        <v>2758.29</v>
      </c>
      <c r="H24180">
        <v>250131</v>
      </c>
      <c r="I24180">
        <v>4572</v>
      </c>
      <c r="J24180" t="s">
        <v>173</v>
      </c>
      <c r="K24180">
        <v>4521.79</v>
      </c>
      <c r="L24180">
        <v>560.45000000000005</v>
      </c>
      <c r="M24180">
        <v>59502</v>
      </c>
      <c r="N24180" t="s">
        <v>63</v>
      </c>
      <c r="O24180">
        <v>250205</v>
      </c>
      <c r="P24180">
        <v>2197.84</v>
      </c>
    </row>
    <row r="24181" spans="1:16" x14ac:dyDescent="0.25">
      <c r="A24181" t="s">
        <v>3296</v>
      </c>
      <c r="B24181" t="s">
        <v>2931</v>
      </c>
      <c r="C24181">
        <v>1190</v>
      </c>
      <c r="D24181" t="str">
        <f>"15254133094 "</f>
        <v xml:space="preserve">15254133094 </v>
      </c>
      <c r="E24181" t="s">
        <v>868</v>
      </c>
      <c r="F24181" t="s">
        <v>869</v>
      </c>
      <c r="G24181">
        <v>1763.5</v>
      </c>
      <c r="H24181">
        <v>250131</v>
      </c>
      <c r="I24181">
        <v>4572</v>
      </c>
      <c r="J24181" t="s">
        <v>173</v>
      </c>
      <c r="K24181">
        <v>4521.79</v>
      </c>
      <c r="L24181">
        <v>358.32</v>
      </c>
      <c r="M24181">
        <v>59802</v>
      </c>
      <c r="N24181" t="s">
        <v>195</v>
      </c>
      <c r="O24181">
        <v>250205</v>
      </c>
      <c r="P24181">
        <v>1405.18</v>
      </c>
    </row>
    <row r="24182" spans="1:16" x14ac:dyDescent="0.25">
      <c r="A24182" t="s">
        <v>3296</v>
      </c>
      <c r="B24182" t="s">
        <v>2931</v>
      </c>
      <c r="C24182">
        <v>1191</v>
      </c>
      <c r="D24182" t="str">
        <f>"15254133498 "</f>
        <v xml:space="preserve">15254133498 </v>
      </c>
      <c r="E24182" t="s">
        <v>868</v>
      </c>
      <c r="F24182" t="s">
        <v>869</v>
      </c>
      <c r="G24182">
        <v>0.35</v>
      </c>
      <c r="H24182">
        <v>250131</v>
      </c>
      <c r="I24182">
        <v>4572</v>
      </c>
      <c r="J24182" t="s">
        <v>173</v>
      </c>
      <c r="K24182">
        <v>1.31</v>
      </c>
      <c r="L24182">
        <v>7.0000000000000007E-2</v>
      </c>
      <c r="M24182">
        <v>59112</v>
      </c>
      <c r="N24182" t="s">
        <v>44</v>
      </c>
      <c r="O24182">
        <v>250205</v>
      </c>
      <c r="P24182">
        <v>0.28000000000000003</v>
      </c>
    </row>
    <row r="24183" spans="1:16" x14ac:dyDescent="0.25">
      <c r="A24183" t="s">
        <v>3296</v>
      </c>
      <c r="B24183" t="s">
        <v>2931</v>
      </c>
      <c r="C24183">
        <v>1191</v>
      </c>
      <c r="D24183" t="str">
        <f>"15254133498 "</f>
        <v xml:space="preserve">15254133498 </v>
      </c>
      <c r="E24183" t="s">
        <v>868</v>
      </c>
      <c r="F24183" t="s">
        <v>869</v>
      </c>
      <c r="G24183">
        <v>0.96</v>
      </c>
      <c r="H24183">
        <v>250131</v>
      </c>
      <c r="I24183">
        <v>4572</v>
      </c>
      <c r="J24183" t="s">
        <v>173</v>
      </c>
      <c r="K24183">
        <v>1.31</v>
      </c>
      <c r="L24183">
        <v>0.2</v>
      </c>
      <c r="M24183">
        <v>59504</v>
      </c>
      <c r="N24183" t="s">
        <v>193</v>
      </c>
      <c r="O24183">
        <v>250205</v>
      </c>
      <c r="P24183">
        <v>0.76</v>
      </c>
    </row>
    <row r="24184" spans="1:16" x14ac:dyDescent="0.25">
      <c r="A24184" t="s">
        <v>3296</v>
      </c>
      <c r="B24184" t="s">
        <v>2931</v>
      </c>
      <c r="C24184">
        <v>1192</v>
      </c>
      <c r="D24184" t="str">
        <f>"15254136098 "</f>
        <v xml:space="preserve">15254136098 </v>
      </c>
      <c r="E24184" t="s">
        <v>868</v>
      </c>
      <c r="F24184" t="s">
        <v>869</v>
      </c>
      <c r="G24184">
        <v>588.98</v>
      </c>
      <c r="H24184">
        <v>250131</v>
      </c>
      <c r="I24184">
        <v>4572</v>
      </c>
      <c r="J24184" t="s">
        <v>173</v>
      </c>
      <c r="K24184">
        <v>2181.42</v>
      </c>
      <c r="L24184">
        <v>119.67</v>
      </c>
      <c r="M24184">
        <v>59112</v>
      </c>
      <c r="N24184" t="s">
        <v>44</v>
      </c>
      <c r="O24184">
        <v>250205</v>
      </c>
      <c r="P24184">
        <v>469.31</v>
      </c>
    </row>
    <row r="24185" spans="1:16" x14ac:dyDescent="0.25">
      <c r="A24185" t="s">
        <v>3296</v>
      </c>
      <c r="B24185" t="s">
        <v>2931</v>
      </c>
      <c r="C24185">
        <v>1192</v>
      </c>
      <c r="D24185" t="str">
        <f>"15254136098 "</f>
        <v xml:space="preserve">15254136098 </v>
      </c>
      <c r="E24185" t="s">
        <v>868</v>
      </c>
      <c r="F24185" t="s">
        <v>869</v>
      </c>
      <c r="G24185">
        <v>1592.44</v>
      </c>
      <c r="H24185">
        <v>250131</v>
      </c>
      <c r="I24185">
        <v>4572</v>
      </c>
      <c r="J24185" t="s">
        <v>173</v>
      </c>
      <c r="K24185">
        <v>2181.42</v>
      </c>
      <c r="L24185">
        <v>323.56</v>
      </c>
      <c r="M24185">
        <v>59504</v>
      </c>
      <c r="N24185" t="s">
        <v>193</v>
      </c>
      <c r="O24185">
        <v>250205</v>
      </c>
      <c r="P24185">
        <v>1268.8800000000001</v>
      </c>
    </row>
    <row r="24186" spans="1:16" x14ac:dyDescent="0.25">
      <c r="A24186" t="s">
        <v>3296</v>
      </c>
      <c r="B24186" t="s">
        <v>2931</v>
      </c>
      <c r="C24186">
        <v>1194</v>
      </c>
      <c r="D24186" t="str">
        <f>"15254134919 "</f>
        <v xml:space="preserve">15254134919 </v>
      </c>
      <c r="E24186" t="s">
        <v>868</v>
      </c>
      <c r="F24186" t="s">
        <v>869</v>
      </c>
      <c r="G24186">
        <v>511.95</v>
      </c>
      <c r="H24186">
        <v>250131</v>
      </c>
      <c r="I24186">
        <v>4572</v>
      </c>
      <c r="J24186" t="s">
        <v>173</v>
      </c>
      <c r="K24186">
        <v>8532.43</v>
      </c>
      <c r="L24186">
        <v>104.02</v>
      </c>
      <c r="M24186">
        <v>59111</v>
      </c>
      <c r="N24186" t="s">
        <v>60</v>
      </c>
      <c r="O24186">
        <v>250205</v>
      </c>
      <c r="P24186">
        <v>407.93</v>
      </c>
    </row>
    <row r="24187" spans="1:16" x14ac:dyDescent="0.25">
      <c r="A24187" t="s">
        <v>3296</v>
      </c>
      <c r="B24187" t="s">
        <v>2931</v>
      </c>
      <c r="C24187">
        <v>1194</v>
      </c>
      <c r="D24187" t="str">
        <f>"15254134919 "</f>
        <v xml:space="preserve">15254134919 </v>
      </c>
      <c r="E24187" t="s">
        <v>868</v>
      </c>
      <c r="F24187" t="s">
        <v>869</v>
      </c>
      <c r="G24187">
        <v>8020.48</v>
      </c>
      <c r="H24187">
        <v>250131</v>
      </c>
      <c r="I24187">
        <v>4572</v>
      </c>
      <c r="J24187" t="s">
        <v>173</v>
      </c>
      <c r="K24187">
        <v>8532.43</v>
      </c>
      <c r="L24187">
        <v>1629.66</v>
      </c>
      <c r="M24187">
        <v>59501</v>
      </c>
      <c r="N24187" t="s">
        <v>62</v>
      </c>
      <c r="O24187">
        <v>250205</v>
      </c>
      <c r="P24187">
        <v>6390.82</v>
      </c>
    </row>
    <row r="24188" spans="1:16" x14ac:dyDescent="0.25">
      <c r="A24188" t="s">
        <v>3296</v>
      </c>
      <c r="B24188" t="s">
        <v>2931</v>
      </c>
      <c r="C24188">
        <v>1195</v>
      </c>
      <c r="D24188" t="str">
        <f>"15254135847 "</f>
        <v xml:space="preserve">15254135847 </v>
      </c>
      <c r="E24188" t="s">
        <v>868</v>
      </c>
      <c r="F24188" t="s">
        <v>869</v>
      </c>
      <c r="G24188">
        <v>319.39999999999998</v>
      </c>
      <c r="H24188">
        <v>250131</v>
      </c>
      <c r="I24188">
        <v>4572</v>
      </c>
      <c r="J24188" t="s">
        <v>173</v>
      </c>
      <c r="K24188">
        <v>319.39999999999998</v>
      </c>
      <c r="L24188">
        <v>64.900000000000006</v>
      </c>
      <c r="M24188">
        <v>13841</v>
      </c>
      <c r="N24188" t="s">
        <v>178</v>
      </c>
      <c r="O24188">
        <v>250205</v>
      </c>
      <c r="P24188">
        <v>254.5</v>
      </c>
    </row>
    <row r="24189" spans="1:16" x14ac:dyDescent="0.25">
      <c r="A24189" t="s">
        <v>3296</v>
      </c>
      <c r="B24189" t="s">
        <v>2931</v>
      </c>
      <c r="C24189">
        <v>1196</v>
      </c>
      <c r="D24189" t="str">
        <f>"15254133864 "</f>
        <v xml:space="preserve">15254133864 </v>
      </c>
      <c r="E24189" t="s">
        <v>868</v>
      </c>
      <c r="F24189" t="s">
        <v>869</v>
      </c>
      <c r="G24189">
        <v>3871.24</v>
      </c>
      <c r="H24189">
        <v>250131</v>
      </c>
      <c r="I24189">
        <v>4572</v>
      </c>
      <c r="J24189" t="s">
        <v>173</v>
      </c>
      <c r="K24189">
        <v>3871.24</v>
      </c>
      <c r="L24189">
        <v>786.59</v>
      </c>
      <c r="M24189">
        <v>17951</v>
      </c>
      <c r="N24189" t="s">
        <v>207</v>
      </c>
      <c r="O24189">
        <v>250205</v>
      </c>
      <c r="P24189">
        <v>3084.65</v>
      </c>
    </row>
    <row r="24190" spans="1:16" x14ac:dyDescent="0.25">
      <c r="A24190" t="s">
        <v>3296</v>
      </c>
      <c r="B24190" t="s">
        <v>2931</v>
      </c>
      <c r="C24190">
        <v>1197</v>
      </c>
      <c r="D24190" t="str">
        <f>"15254136212 "</f>
        <v xml:space="preserve">15254136212 </v>
      </c>
      <c r="E24190" t="s">
        <v>868</v>
      </c>
      <c r="F24190" t="s">
        <v>869</v>
      </c>
      <c r="G24190">
        <v>16.04</v>
      </c>
      <c r="H24190">
        <v>250131</v>
      </c>
      <c r="I24190">
        <v>4572</v>
      </c>
      <c r="J24190" t="s">
        <v>173</v>
      </c>
      <c r="K24190">
        <v>59.42</v>
      </c>
      <c r="L24190">
        <v>3.26</v>
      </c>
      <c r="M24190">
        <v>59112</v>
      </c>
      <c r="N24190" t="s">
        <v>44</v>
      </c>
      <c r="O24190">
        <v>250205</v>
      </c>
      <c r="P24190">
        <v>12.78</v>
      </c>
    </row>
    <row r="24191" spans="1:16" x14ac:dyDescent="0.25">
      <c r="A24191" t="s">
        <v>3296</v>
      </c>
      <c r="B24191" t="s">
        <v>2931</v>
      </c>
      <c r="C24191">
        <v>1197</v>
      </c>
      <c r="D24191" t="str">
        <f>"15254136212 "</f>
        <v xml:space="preserve">15254136212 </v>
      </c>
      <c r="E24191" t="s">
        <v>868</v>
      </c>
      <c r="F24191" t="s">
        <v>869</v>
      </c>
      <c r="G24191">
        <v>43.38</v>
      </c>
      <c r="H24191">
        <v>250131</v>
      </c>
      <c r="I24191">
        <v>4572</v>
      </c>
      <c r="J24191" t="s">
        <v>173</v>
      </c>
      <c r="K24191">
        <v>59.42</v>
      </c>
      <c r="L24191">
        <v>8.81</v>
      </c>
      <c r="M24191">
        <v>59504</v>
      </c>
      <c r="N24191" t="s">
        <v>193</v>
      </c>
      <c r="O24191">
        <v>250205</v>
      </c>
      <c r="P24191">
        <v>34.57</v>
      </c>
    </row>
    <row r="24192" spans="1:16" x14ac:dyDescent="0.25">
      <c r="A24192" t="s">
        <v>3296</v>
      </c>
      <c r="B24192" t="s">
        <v>2931</v>
      </c>
      <c r="C24192">
        <v>1211</v>
      </c>
      <c r="D24192" t="str">
        <f>"15254134154 "</f>
        <v xml:space="preserve">15254134154 </v>
      </c>
      <c r="E24192" t="s">
        <v>868</v>
      </c>
      <c r="F24192" t="s">
        <v>869</v>
      </c>
      <c r="G24192">
        <v>5020.3900000000003</v>
      </c>
      <c r="H24192">
        <v>250131</v>
      </c>
      <c r="I24192">
        <v>4572</v>
      </c>
      <c r="J24192" t="s">
        <v>173</v>
      </c>
      <c r="K24192">
        <v>5020.3900000000003</v>
      </c>
      <c r="L24192">
        <v>1020.08</v>
      </c>
      <c r="M24192">
        <v>17951</v>
      </c>
      <c r="N24192" t="s">
        <v>207</v>
      </c>
      <c r="O24192">
        <v>250205</v>
      </c>
      <c r="P24192">
        <v>4000.31</v>
      </c>
    </row>
    <row r="24193" spans="1:16" x14ac:dyDescent="0.25">
      <c r="A24193" t="s">
        <v>3296</v>
      </c>
      <c r="B24193" t="s">
        <v>2931</v>
      </c>
      <c r="C24193">
        <v>1265</v>
      </c>
      <c r="D24193" t="str">
        <f>"15254135083 "</f>
        <v xml:space="preserve">15254135083 </v>
      </c>
      <c r="E24193" t="s">
        <v>868</v>
      </c>
      <c r="F24193" t="s">
        <v>869</v>
      </c>
      <c r="G24193">
        <v>22.29</v>
      </c>
      <c r="H24193">
        <v>250131</v>
      </c>
      <c r="I24193">
        <v>4572</v>
      </c>
      <c r="J24193" t="s">
        <v>173</v>
      </c>
      <c r="K24193">
        <v>22.29</v>
      </c>
      <c r="L24193">
        <v>4.53</v>
      </c>
      <c r="M24193">
        <v>17981</v>
      </c>
      <c r="N24193" t="s">
        <v>927</v>
      </c>
      <c r="O24193">
        <v>250206</v>
      </c>
      <c r="P24193">
        <v>17.760000000000002</v>
      </c>
    </row>
    <row r="24194" spans="1:16" x14ac:dyDescent="0.25">
      <c r="A24194" t="s">
        <v>3296</v>
      </c>
      <c r="B24194" t="s">
        <v>2931</v>
      </c>
      <c r="C24194">
        <v>1266</v>
      </c>
      <c r="D24194" t="str">
        <f>"15254133558 "</f>
        <v xml:space="preserve">15254133558 </v>
      </c>
      <c r="E24194" t="s">
        <v>868</v>
      </c>
      <c r="F24194" t="s">
        <v>869</v>
      </c>
      <c r="G24194">
        <v>211.44</v>
      </c>
      <c r="H24194">
        <v>250131</v>
      </c>
      <c r="I24194">
        <v>4572</v>
      </c>
      <c r="J24194" t="s">
        <v>173</v>
      </c>
      <c r="K24194">
        <v>211.44</v>
      </c>
      <c r="L24194">
        <v>42.96</v>
      </c>
      <c r="M24194">
        <v>17956</v>
      </c>
      <c r="N24194" t="s">
        <v>170</v>
      </c>
      <c r="O24194">
        <v>250206</v>
      </c>
      <c r="P24194">
        <v>168.48</v>
      </c>
    </row>
    <row r="24195" spans="1:16" x14ac:dyDescent="0.25">
      <c r="A24195" t="s">
        <v>3296</v>
      </c>
      <c r="B24195" t="s">
        <v>2931</v>
      </c>
      <c r="C24195">
        <v>1267</v>
      </c>
      <c r="D24195" t="str">
        <f>"15254131993 "</f>
        <v xml:space="preserve">15254131993 </v>
      </c>
      <c r="E24195" t="s">
        <v>868</v>
      </c>
      <c r="F24195" t="s">
        <v>869</v>
      </c>
      <c r="G24195">
        <v>27.84</v>
      </c>
      <c r="H24195">
        <v>250131</v>
      </c>
      <c r="I24195">
        <v>4572</v>
      </c>
      <c r="J24195" t="s">
        <v>173</v>
      </c>
      <c r="K24195">
        <v>27.84</v>
      </c>
      <c r="L24195">
        <v>5.66</v>
      </c>
      <c r="M24195">
        <v>17956</v>
      </c>
      <c r="N24195" t="s">
        <v>170</v>
      </c>
      <c r="O24195">
        <v>250206</v>
      </c>
      <c r="P24195">
        <v>22.18</v>
      </c>
    </row>
    <row r="24196" spans="1:16" x14ac:dyDescent="0.25">
      <c r="A24196" t="s">
        <v>3296</v>
      </c>
      <c r="B24196" t="s">
        <v>2931</v>
      </c>
      <c r="C24196">
        <v>1268</v>
      </c>
      <c r="D24196" t="str">
        <f>"15254134983 "</f>
        <v xml:space="preserve">15254134983 </v>
      </c>
      <c r="E24196" t="s">
        <v>868</v>
      </c>
      <c r="F24196" t="s">
        <v>869</v>
      </c>
      <c r="G24196">
        <v>574.26</v>
      </c>
      <c r="H24196">
        <v>250131</v>
      </c>
      <c r="I24196">
        <v>4572</v>
      </c>
      <c r="J24196" t="s">
        <v>173</v>
      </c>
      <c r="K24196">
        <v>574.26</v>
      </c>
      <c r="L24196">
        <v>116.68</v>
      </c>
      <c r="M24196">
        <v>17950</v>
      </c>
      <c r="N24196" t="s">
        <v>132</v>
      </c>
      <c r="O24196">
        <v>250206</v>
      </c>
      <c r="P24196">
        <v>457.58</v>
      </c>
    </row>
    <row r="24197" spans="1:16" x14ac:dyDescent="0.25">
      <c r="A24197" t="s">
        <v>3296</v>
      </c>
      <c r="B24197" t="s">
        <v>2931</v>
      </c>
      <c r="C24197">
        <v>1269</v>
      </c>
      <c r="D24197" t="str">
        <f>"15254132380 "</f>
        <v xml:space="preserve">15254132380 </v>
      </c>
      <c r="E24197" t="s">
        <v>868</v>
      </c>
      <c r="F24197" t="s">
        <v>869</v>
      </c>
      <c r="G24197">
        <v>56.66</v>
      </c>
      <c r="H24197">
        <v>250131</v>
      </c>
      <c r="I24197">
        <v>4572</v>
      </c>
      <c r="J24197" t="s">
        <v>173</v>
      </c>
      <c r="K24197">
        <v>56.66</v>
      </c>
      <c r="L24197">
        <v>11.51</v>
      </c>
      <c r="M24197">
        <v>17956</v>
      </c>
      <c r="N24197" t="s">
        <v>170</v>
      </c>
      <c r="O24197">
        <v>250206</v>
      </c>
      <c r="P24197">
        <v>45.15</v>
      </c>
    </row>
    <row r="24198" spans="1:16" x14ac:dyDescent="0.25">
      <c r="A24198" t="s">
        <v>3296</v>
      </c>
      <c r="B24198" t="s">
        <v>2931</v>
      </c>
      <c r="C24198">
        <v>1270</v>
      </c>
      <c r="D24198" t="str">
        <f>"15254135774 "</f>
        <v xml:space="preserve">15254135774 </v>
      </c>
      <c r="E24198" t="s">
        <v>868</v>
      </c>
      <c r="F24198" t="s">
        <v>869</v>
      </c>
      <c r="G24198">
        <v>2753.12</v>
      </c>
      <c r="H24198">
        <v>250131</v>
      </c>
      <c r="I24198">
        <v>4572</v>
      </c>
      <c r="J24198" t="s">
        <v>173</v>
      </c>
      <c r="K24198">
        <v>2753.12</v>
      </c>
      <c r="L24198">
        <v>559.4</v>
      </c>
      <c r="M24198">
        <v>17956</v>
      </c>
      <c r="N24198" t="s">
        <v>170</v>
      </c>
      <c r="O24198">
        <v>250206</v>
      </c>
      <c r="P24198">
        <v>2193.7199999999998</v>
      </c>
    </row>
    <row r="24199" spans="1:16" x14ac:dyDescent="0.25">
      <c r="A24199" t="s">
        <v>3296</v>
      </c>
      <c r="B24199" t="s">
        <v>2931</v>
      </c>
      <c r="C24199">
        <v>1273</v>
      </c>
      <c r="D24199" t="str">
        <f>"15254133734 "</f>
        <v xml:space="preserve">15254133734 </v>
      </c>
      <c r="E24199" t="s">
        <v>868</v>
      </c>
      <c r="F24199" t="s">
        <v>869</v>
      </c>
      <c r="G24199">
        <v>783.02</v>
      </c>
      <c r="H24199">
        <v>250131</v>
      </c>
      <c r="I24199">
        <v>4572</v>
      </c>
      <c r="J24199" t="s">
        <v>173</v>
      </c>
      <c r="K24199">
        <v>7118.36</v>
      </c>
      <c r="L24199">
        <v>159.1</v>
      </c>
      <c r="M24199">
        <v>13540</v>
      </c>
      <c r="N24199" t="s">
        <v>131</v>
      </c>
      <c r="O24199">
        <v>250206</v>
      </c>
      <c r="P24199">
        <v>623.91999999999996</v>
      </c>
    </row>
    <row r="24200" spans="1:16" x14ac:dyDescent="0.25">
      <c r="A24200" t="s">
        <v>3296</v>
      </c>
      <c r="B24200" t="s">
        <v>2931</v>
      </c>
      <c r="C24200">
        <v>1273</v>
      </c>
      <c r="D24200" t="str">
        <f>"15254133734 "</f>
        <v xml:space="preserve">15254133734 </v>
      </c>
      <c r="E24200" t="s">
        <v>868</v>
      </c>
      <c r="F24200" t="s">
        <v>869</v>
      </c>
      <c r="G24200">
        <v>6335.34</v>
      </c>
      <c r="H24200">
        <v>250131</v>
      </c>
      <c r="I24200">
        <v>4572</v>
      </c>
      <c r="J24200" t="s">
        <v>173</v>
      </c>
      <c r="K24200">
        <v>7118.36</v>
      </c>
      <c r="L24200">
        <v>1287.26</v>
      </c>
      <c r="M24200">
        <v>17950</v>
      </c>
      <c r="N24200" t="s">
        <v>132</v>
      </c>
      <c r="O24200">
        <v>250206</v>
      </c>
      <c r="P24200">
        <v>5048.08</v>
      </c>
    </row>
    <row r="24201" spans="1:16" x14ac:dyDescent="0.25">
      <c r="A24201" t="s">
        <v>3296</v>
      </c>
      <c r="B24201" t="s">
        <v>2931</v>
      </c>
      <c r="C24201">
        <v>1274</v>
      </c>
      <c r="D24201" t="str">
        <f>"15254132466 "</f>
        <v xml:space="preserve">15254132466 </v>
      </c>
      <c r="E24201" t="s">
        <v>868</v>
      </c>
      <c r="F24201" t="s">
        <v>869</v>
      </c>
      <c r="G24201">
        <v>212.21</v>
      </c>
      <c r="H24201">
        <v>250131</v>
      </c>
      <c r="I24201">
        <v>4572</v>
      </c>
      <c r="J24201" t="s">
        <v>173</v>
      </c>
      <c r="K24201">
        <v>212.21</v>
      </c>
      <c r="L24201">
        <v>43.12</v>
      </c>
      <c r="M24201">
        <v>17956</v>
      </c>
      <c r="N24201" t="s">
        <v>170</v>
      </c>
      <c r="O24201">
        <v>250206</v>
      </c>
      <c r="P24201">
        <v>169.09</v>
      </c>
    </row>
    <row r="24202" spans="1:16" x14ac:dyDescent="0.25">
      <c r="A24202" t="s">
        <v>3296</v>
      </c>
      <c r="B24202" t="s">
        <v>2931</v>
      </c>
      <c r="C24202">
        <v>1275</v>
      </c>
      <c r="D24202" t="str">
        <f>"15254132358 "</f>
        <v xml:space="preserve">15254132358 </v>
      </c>
      <c r="E24202" t="s">
        <v>868</v>
      </c>
      <c r="F24202" t="s">
        <v>869</v>
      </c>
      <c r="G24202">
        <v>31.89</v>
      </c>
      <c r="H24202">
        <v>250131</v>
      </c>
      <c r="I24202">
        <v>4572</v>
      </c>
      <c r="J24202" t="s">
        <v>173</v>
      </c>
      <c r="K24202">
        <v>637.69000000000005</v>
      </c>
      <c r="L24202">
        <v>6.48</v>
      </c>
      <c r="M24202">
        <v>17737</v>
      </c>
      <c r="N24202" t="s">
        <v>156</v>
      </c>
      <c r="O24202">
        <v>250206</v>
      </c>
      <c r="P24202">
        <v>25.41</v>
      </c>
    </row>
    <row r="24203" spans="1:16" x14ac:dyDescent="0.25">
      <c r="A24203" t="s">
        <v>3296</v>
      </c>
      <c r="B24203" t="s">
        <v>2931</v>
      </c>
      <c r="C24203">
        <v>1275</v>
      </c>
      <c r="D24203" t="str">
        <f>"15254132358 "</f>
        <v xml:space="preserve">15254132358 </v>
      </c>
      <c r="E24203" t="s">
        <v>868</v>
      </c>
      <c r="F24203" t="s">
        <v>869</v>
      </c>
      <c r="G24203">
        <v>424.06</v>
      </c>
      <c r="H24203">
        <v>250131</v>
      </c>
      <c r="I24203">
        <v>4572</v>
      </c>
      <c r="J24203" t="s">
        <v>173</v>
      </c>
      <c r="K24203">
        <v>637.69000000000005</v>
      </c>
      <c r="L24203">
        <v>86.16</v>
      </c>
      <c r="M24203">
        <v>17737</v>
      </c>
      <c r="N24203" t="s">
        <v>156</v>
      </c>
      <c r="O24203">
        <v>250206</v>
      </c>
      <c r="P24203">
        <v>337.9</v>
      </c>
    </row>
    <row r="24204" spans="1:16" x14ac:dyDescent="0.25">
      <c r="A24204" t="s">
        <v>3296</v>
      </c>
      <c r="B24204" t="s">
        <v>2931</v>
      </c>
      <c r="C24204">
        <v>1275</v>
      </c>
      <c r="D24204" t="str">
        <f>"15254132358 "</f>
        <v xml:space="preserve">15254132358 </v>
      </c>
      <c r="E24204" t="s">
        <v>868</v>
      </c>
      <c r="F24204" t="s">
        <v>869</v>
      </c>
      <c r="G24204">
        <v>181.74</v>
      </c>
      <c r="H24204">
        <v>250131</v>
      </c>
      <c r="I24204">
        <v>4572</v>
      </c>
      <c r="J24204" t="s">
        <v>173</v>
      </c>
      <c r="K24204">
        <v>637.69000000000005</v>
      </c>
      <c r="L24204">
        <v>36.93</v>
      </c>
      <c r="M24204">
        <v>17739</v>
      </c>
      <c r="N24204" t="s">
        <v>928</v>
      </c>
      <c r="O24204">
        <v>250206</v>
      </c>
      <c r="P24204">
        <v>144.81</v>
      </c>
    </row>
    <row r="24205" spans="1:16" x14ac:dyDescent="0.25">
      <c r="A24205" t="s">
        <v>3296</v>
      </c>
      <c r="B24205" t="s">
        <v>2931</v>
      </c>
      <c r="C24205">
        <v>1432</v>
      </c>
      <c r="D24205" t="str">
        <f>"15254136099 "</f>
        <v xml:space="preserve">15254136099 </v>
      </c>
      <c r="E24205" t="s">
        <v>868</v>
      </c>
      <c r="F24205" t="s">
        <v>869</v>
      </c>
      <c r="G24205">
        <v>59.64</v>
      </c>
      <c r="H24205">
        <v>250131</v>
      </c>
      <c r="I24205">
        <v>4572</v>
      </c>
      <c r="J24205" t="s">
        <v>173</v>
      </c>
      <c r="K24205">
        <v>59.64</v>
      </c>
      <c r="L24205">
        <v>12.12</v>
      </c>
      <c r="M24205">
        <v>56571</v>
      </c>
      <c r="N24205" t="s">
        <v>553</v>
      </c>
      <c r="O24205">
        <v>250210</v>
      </c>
      <c r="P24205">
        <v>47.52</v>
      </c>
    </row>
    <row r="24206" spans="1:16" x14ac:dyDescent="0.25">
      <c r="A24206" t="s">
        <v>3296</v>
      </c>
      <c r="B24206" t="s">
        <v>2931</v>
      </c>
      <c r="C24206">
        <v>1434</v>
      </c>
      <c r="D24206" t="str">
        <f>"15254137694 "</f>
        <v xml:space="preserve">15254137694 </v>
      </c>
      <c r="E24206" t="s">
        <v>868</v>
      </c>
      <c r="F24206" t="s">
        <v>869</v>
      </c>
      <c r="G24206">
        <v>54.42</v>
      </c>
      <c r="H24206">
        <v>250131</v>
      </c>
      <c r="I24206">
        <v>4572</v>
      </c>
      <c r="J24206" t="s">
        <v>173</v>
      </c>
      <c r="K24206">
        <v>54.42</v>
      </c>
      <c r="L24206">
        <v>11.06</v>
      </c>
      <c r="M24206">
        <v>56571</v>
      </c>
      <c r="N24206" t="s">
        <v>553</v>
      </c>
      <c r="O24206">
        <v>250210</v>
      </c>
      <c r="P24206">
        <v>43.36</v>
      </c>
    </row>
    <row r="24207" spans="1:16" x14ac:dyDescent="0.25">
      <c r="A24207" t="s">
        <v>3296</v>
      </c>
      <c r="B24207" t="s">
        <v>2931</v>
      </c>
      <c r="C24207">
        <v>1494</v>
      </c>
      <c r="D24207" t="str">
        <f>"15254133602 "</f>
        <v xml:space="preserve">15254133602 </v>
      </c>
      <c r="E24207" t="s">
        <v>868</v>
      </c>
      <c r="F24207" t="s">
        <v>869</v>
      </c>
      <c r="G24207">
        <v>15.87</v>
      </c>
      <c r="H24207">
        <v>250131</v>
      </c>
      <c r="I24207">
        <v>4572</v>
      </c>
      <c r="J24207" t="s">
        <v>173</v>
      </c>
      <c r="K24207">
        <v>52.9</v>
      </c>
      <c r="L24207">
        <v>3.22</v>
      </c>
      <c r="M24207">
        <v>14952</v>
      </c>
      <c r="N24207" t="s">
        <v>213</v>
      </c>
      <c r="O24207">
        <v>250210</v>
      </c>
      <c r="P24207">
        <v>12.65</v>
      </c>
    </row>
    <row r="24208" spans="1:16" x14ac:dyDescent="0.25">
      <c r="A24208" t="s">
        <v>3296</v>
      </c>
      <c r="B24208" t="s">
        <v>2931</v>
      </c>
      <c r="C24208">
        <v>1494</v>
      </c>
      <c r="D24208" t="str">
        <f>"15254133602 "</f>
        <v xml:space="preserve">15254133602 </v>
      </c>
      <c r="E24208" t="s">
        <v>868</v>
      </c>
      <c r="F24208" t="s">
        <v>869</v>
      </c>
      <c r="G24208">
        <v>37.03</v>
      </c>
      <c r="H24208">
        <v>250131</v>
      </c>
      <c r="I24208">
        <v>4572</v>
      </c>
      <c r="J24208" t="s">
        <v>173</v>
      </c>
      <c r="K24208">
        <v>52.9</v>
      </c>
      <c r="L24208">
        <v>7.52</v>
      </c>
      <c r="M24208">
        <v>14981</v>
      </c>
      <c r="N24208" t="s">
        <v>252</v>
      </c>
      <c r="O24208">
        <v>250210</v>
      </c>
      <c r="P24208">
        <v>29.51</v>
      </c>
    </row>
    <row r="24209" spans="1:16" x14ac:dyDescent="0.25">
      <c r="A24209" t="s">
        <v>3296</v>
      </c>
      <c r="B24209" t="s">
        <v>2931</v>
      </c>
      <c r="C24209">
        <v>1495</v>
      </c>
      <c r="D24209" t="str">
        <f>"15254136232 "</f>
        <v xml:space="preserve">15254136232 </v>
      </c>
      <c r="E24209" t="s">
        <v>868</v>
      </c>
      <c r="F24209" t="s">
        <v>869</v>
      </c>
      <c r="G24209">
        <v>234.99</v>
      </c>
      <c r="H24209">
        <v>250131</v>
      </c>
      <c r="I24209">
        <v>4572</v>
      </c>
      <c r="J24209" t="s">
        <v>173</v>
      </c>
      <c r="K24209">
        <v>783.3</v>
      </c>
      <c r="L24209">
        <v>47.75</v>
      </c>
      <c r="M24209">
        <v>14952</v>
      </c>
      <c r="N24209" t="s">
        <v>213</v>
      </c>
      <c r="O24209">
        <v>250210</v>
      </c>
      <c r="P24209">
        <v>187.24</v>
      </c>
    </row>
    <row r="24210" spans="1:16" x14ac:dyDescent="0.25">
      <c r="A24210" t="s">
        <v>3296</v>
      </c>
      <c r="B24210" t="s">
        <v>2931</v>
      </c>
      <c r="C24210">
        <v>1495</v>
      </c>
      <c r="D24210" t="str">
        <f>"15254136232 "</f>
        <v xml:space="preserve">15254136232 </v>
      </c>
      <c r="E24210" t="s">
        <v>868</v>
      </c>
      <c r="F24210" t="s">
        <v>869</v>
      </c>
      <c r="G24210">
        <v>548.30999999999995</v>
      </c>
      <c r="H24210">
        <v>250131</v>
      </c>
      <c r="I24210">
        <v>4572</v>
      </c>
      <c r="J24210" t="s">
        <v>173</v>
      </c>
      <c r="K24210">
        <v>783.3</v>
      </c>
      <c r="L24210">
        <v>111.41</v>
      </c>
      <c r="M24210">
        <v>14981</v>
      </c>
      <c r="N24210" t="s">
        <v>252</v>
      </c>
      <c r="O24210">
        <v>250210</v>
      </c>
      <c r="P24210">
        <v>436.9</v>
      </c>
    </row>
    <row r="24211" spans="1:16" x14ac:dyDescent="0.25">
      <c r="A24211" t="s">
        <v>3296</v>
      </c>
      <c r="B24211" t="s">
        <v>2931</v>
      </c>
      <c r="C24211">
        <v>1496</v>
      </c>
      <c r="D24211" t="str">
        <f>"15254134320 "</f>
        <v xml:space="preserve">15254134320 </v>
      </c>
      <c r="E24211" t="s">
        <v>868</v>
      </c>
      <c r="F24211" t="s">
        <v>869</v>
      </c>
      <c r="G24211">
        <v>2680.58</v>
      </c>
      <c r="H24211">
        <v>250131</v>
      </c>
      <c r="I24211">
        <v>4572</v>
      </c>
      <c r="J24211" t="s">
        <v>173</v>
      </c>
      <c r="K24211">
        <v>2680.58</v>
      </c>
      <c r="L24211">
        <v>544.66</v>
      </c>
      <c r="M24211">
        <v>14951</v>
      </c>
      <c r="N24211" t="s">
        <v>186</v>
      </c>
      <c r="O24211">
        <v>250210</v>
      </c>
      <c r="P24211">
        <v>2135.92</v>
      </c>
    </row>
    <row r="24212" spans="1:16" x14ac:dyDescent="0.25">
      <c r="A24212" t="s">
        <v>3296</v>
      </c>
      <c r="B24212" t="s">
        <v>2931</v>
      </c>
      <c r="C24212">
        <v>1497</v>
      </c>
      <c r="D24212" t="str">
        <f>"15254133754 "</f>
        <v xml:space="preserve">15254133754 </v>
      </c>
      <c r="E24212" t="s">
        <v>868</v>
      </c>
      <c r="F24212" t="s">
        <v>869</v>
      </c>
      <c r="G24212">
        <v>2.04</v>
      </c>
      <c r="H24212">
        <v>250131</v>
      </c>
      <c r="I24212">
        <v>4572</v>
      </c>
      <c r="J24212" t="s">
        <v>173</v>
      </c>
      <c r="K24212">
        <v>6.81</v>
      </c>
      <c r="L24212">
        <v>0.41</v>
      </c>
      <c r="M24212">
        <v>14952</v>
      </c>
      <c r="N24212" t="s">
        <v>213</v>
      </c>
      <c r="O24212">
        <v>250210</v>
      </c>
      <c r="P24212">
        <v>1.63</v>
      </c>
    </row>
    <row r="24213" spans="1:16" x14ac:dyDescent="0.25">
      <c r="A24213" t="s">
        <v>3296</v>
      </c>
      <c r="B24213" t="s">
        <v>2931</v>
      </c>
      <c r="C24213">
        <v>1497</v>
      </c>
      <c r="D24213" t="str">
        <f>"15254133754 "</f>
        <v xml:space="preserve">15254133754 </v>
      </c>
      <c r="E24213" t="s">
        <v>868</v>
      </c>
      <c r="F24213" t="s">
        <v>869</v>
      </c>
      <c r="G24213">
        <v>4.7699999999999996</v>
      </c>
      <c r="H24213">
        <v>250131</v>
      </c>
      <c r="I24213">
        <v>4572</v>
      </c>
      <c r="J24213" t="s">
        <v>173</v>
      </c>
      <c r="K24213">
        <v>6.81</v>
      </c>
      <c r="L24213">
        <v>0.97</v>
      </c>
      <c r="M24213">
        <v>14981</v>
      </c>
      <c r="N24213" t="s">
        <v>252</v>
      </c>
      <c r="O24213">
        <v>250210</v>
      </c>
      <c r="P24213">
        <v>3.8</v>
      </c>
    </row>
    <row r="24214" spans="1:16" x14ac:dyDescent="0.25">
      <c r="A24214" t="s">
        <v>3296</v>
      </c>
      <c r="B24214" t="s">
        <v>2931</v>
      </c>
      <c r="C24214">
        <v>1560</v>
      </c>
      <c r="D24214" t="str">
        <f>"15254134820 "</f>
        <v xml:space="preserve">15254134820 </v>
      </c>
      <c r="E24214" t="s">
        <v>868</v>
      </c>
      <c r="F24214" t="s">
        <v>869</v>
      </c>
      <c r="G24214">
        <v>50.21</v>
      </c>
      <c r="H24214">
        <v>250131</v>
      </c>
      <c r="I24214">
        <v>4572</v>
      </c>
      <c r="J24214" t="s">
        <v>173</v>
      </c>
      <c r="K24214">
        <v>50.21</v>
      </c>
      <c r="L24214">
        <v>0</v>
      </c>
      <c r="M24214">
        <v>11001</v>
      </c>
      <c r="N24214" t="s">
        <v>93</v>
      </c>
      <c r="O24214">
        <v>250211</v>
      </c>
      <c r="P24214">
        <v>50.21</v>
      </c>
    </row>
    <row r="24215" spans="1:16" x14ac:dyDescent="0.25">
      <c r="A24215" t="s">
        <v>3296</v>
      </c>
      <c r="B24215" t="s">
        <v>2931</v>
      </c>
      <c r="C24215">
        <v>1602</v>
      </c>
      <c r="D24215" t="str">
        <f>"15254132894 "</f>
        <v xml:space="preserve">15254132894 </v>
      </c>
      <c r="E24215" t="s">
        <v>868</v>
      </c>
      <c r="F24215" t="s">
        <v>869</v>
      </c>
      <c r="G24215">
        <v>191.66</v>
      </c>
      <c r="H24215">
        <v>250131</v>
      </c>
      <c r="I24215">
        <v>4572</v>
      </c>
      <c r="J24215" t="s">
        <v>173</v>
      </c>
      <c r="K24215">
        <v>574.98</v>
      </c>
      <c r="L24215">
        <v>38.94</v>
      </c>
      <c r="M24215">
        <v>11401</v>
      </c>
      <c r="N24215" t="s">
        <v>91</v>
      </c>
      <c r="O24215">
        <v>250211</v>
      </c>
      <c r="P24215">
        <v>152.72</v>
      </c>
    </row>
    <row r="24216" spans="1:16" x14ac:dyDescent="0.25">
      <c r="A24216" t="s">
        <v>3296</v>
      </c>
      <c r="B24216" t="s">
        <v>2931</v>
      </c>
      <c r="C24216">
        <v>1602</v>
      </c>
      <c r="D24216" t="str">
        <f>"15254132894 "</f>
        <v xml:space="preserve">15254132894 </v>
      </c>
      <c r="E24216" t="s">
        <v>868</v>
      </c>
      <c r="F24216" t="s">
        <v>869</v>
      </c>
      <c r="G24216">
        <v>383.32</v>
      </c>
      <c r="H24216">
        <v>250131</v>
      </c>
      <c r="I24216">
        <v>4572</v>
      </c>
      <c r="J24216" t="s">
        <v>173</v>
      </c>
      <c r="K24216">
        <v>574.98</v>
      </c>
      <c r="L24216">
        <v>77.89</v>
      </c>
      <c r="M24216">
        <v>14952</v>
      </c>
      <c r="N24216" t="s">
        <v>213</v>
      </c>
      <c r="O24216">
        <v>250211</v>
      </c>
      <c r="P24216">
        <v>305.43</v>
      </c>
    </row>
    <row r="24217" spans="1:16" x14ac:dyDescent="0.25">
      <c r="A24217" t="s">
        <v>3296</v>
      </c>
      <c r="B24217" t="s">
        <v>2931</v>
      </c>
      <c r="C24217">
        <v>1604</v>
      </c>
      <c r="D24217" t="str">
        <f>"15254132173 "</f>
        <v xml:space="preserve">15254132173 </v>
      </c>
      <c r="E24217" t="s">
        <v>868</v>
      </c>
      <c r="F24217" t="s">
        <v>869</v>
      </c>
      <c r="G24217">
        <v>29.58</v>
      </c>
      <c r="H24217">
        <v>250131</v>
      </c>
      <c r="I24217">
        <v>4572</v>
      </c>
      <c r="J24217" t="s">
        <v>173</v>
      </c>
      <c r="K24217">
        <v>88.75</v>
      </c>
      <c r="L24217">
        <v>6.01</v>
      </c>
      <c r="M24217">
        <v>11401</v>
      </c>
      <c r="N24217" t="s">
        <v>91</v>
      </c>
      <c r="O24217">
        <v>250211</v>
      </c>
      <c r="P24217">
        <v>23.57</v>
      </c>
    </row>
    <row r="24218" spans="1:16" x14ac:dyDescent="0.25">
      <c r="A24218" t="s">
        <v>3296</v>
      </c>
      <c r="B24218" t="s">
        <v>2931</v>
      </c>
      <c r="C24218">
        <v>1604</v>
      </c>
      <c r="D24218" t="str">
        <f>"15254132173 "</f>
        <v xml:space="preserve">15254132173 </v>
      </c>
      <c r="E24218" t="s">
        <v>868</v>
      </c>
      <c r="F24218" t="s">
        <v>869</v>
      </c>
      <c r="G24218">
        <v>59.17</v>
      </c>
      <c r="H24218">
        <v>250131</v>
      </c>
      <c r="I24218">
        <v>4572</v>
      </c>
      <c r="J24218" t="s">
        <v>173</v>
      </c>
      <c r="K24218">
        <v>88.75</v>
      </c>
      <c r="L24218">
        <v>12.02</v>
      </c>
      <c r="M24218">
        <v>14952</v>
      </c>
      <c r="N24218" t="s">
        <v>213</v>
      </c>
      <c r="O24218">
        <v>250211</v>
      </c>
      <c r="P24218">
        <v>47.15</v>
      </c>
    </row>
    <row r="24219" spans="1:16" x14ac:dyDescent="0.25">
      <c r="A24219" t="s">
        <v>3296</v>
      </c>
      <c r="B24219" t="s">
        <v>2931</v>
      </c>
      <c r="C24219">
        <v>1659</v>
      </c>
      <c r="D24219" t="str">
        <f>"15254135983 "</f>
        <v xml:space="preserve">15254135983 </v>
      </c>
      <c r="E24219" t="s">
        <v>868</v>
      </c>
      <c r="F24219" t="s">
        <v>869</v>
      </c>
      <c r="G24219">
        <v>2418.7199999999998</v>
      </c>
      <c r="H24219">
        <v>250131</v>
      </c>
      <c r="I24219">
        <v>4572</v>
      </c>
      <c r="J24219" t="s">
        <v>173</v>
      </c>
      <c r="K24219">
        <v>6537.09</v>
      </c>
      <c r="L24219">
        <v>491.45</v>
      </c>
      <c r="M24219">
        <v>69111</v>
      </c>
      <c r="N24219" t="s">
        <v>657</v>
      </c>
      <c r="O24219">
        <v>250212</v>
      </c>
      <c r="P24219">
        <v>1927.27</v>
      </c>
    </row>
    <row r="24220" spans="1:16" x14ac:dyDescent="0.25">
      <c r="A24220" t="s">
        <v>3296</v>
      </c>
      <c r="B24220" t="s">
        <v>2931</v>
      </c>
      <c r="C24220">
        <v>1659</v>
      </c>
      <c r="D24220" t="str">
        <f>"15254135983 "</f>
        <v xml:space="preserve">15254135983 </v>
      </c>
      <c r="E24220" t="s">
        <v>868</v>
      </c>
      <c r="F24220" t="s">
        <v>869</v>
      </c>
      <c r="G24220">
        <v>3922.26</v>
      </c>
      <c r="H24220">
        <v>250131</v>
      </c>
      <c r="I24220">
        <v>4572</v>
      </c>
      <c r="J24220" t="s">
        <v>173</v>
      </c>
      <c r="K24220">
        <v>6537.09</v>
      </c>
      <c r="L24220">
        <v>796.95</v>
      </c>
      <c r="M24220">
        <v>69501</v>
      </c>
      <c r="N24220" t="s">
        <v>123</v>
      </c>
      <c r="O24220">
        <v>250212</v>
      </c>
      <c r="P24220">
        <v>3125.31</v>
      </c>
    </row>
    <row r="24221" spans="1:16" x14ac:dyDescent="0.25">
      <c r="A24221" t="s">
        <v>3296</v>
      </c>
      <c r="B24221" t="s">
        <v>2931</v>
      </c>
      <c r="C24221">
        <v>1659</v>
      </c>
      <c r="D24221" t="str">
        <f>"15254135983 "</f>
        <v xml:space="preserve">15254135983 </v>
      </c>
      <c r="E24221" t="s">
        <v>868</v>
      </c>
      <c r="F24221" t="s">
        <v>869</v>
      </c>
      <c r="G24221">
        <v>130.74</v>
      </c>
      <c r="H24221">
        <v>250131</v>
      </c>
      <c r="I24221">
        <v>4572</v>
      </c>
      <c r="J24221" t="s">
        <v>173</v>
      </c>
      <c r="K24221">
        <v>6537.09</v>
      </c>
      <c r="L24221">
        <v>26.56</v>
      </c>
      <c r="M24221">
        <v>69801</v>
      </c>
      <c r="N24221" t="s">
        <v>1077</v>
      </c>
      <c r="O24221">
        <v>250212</v>
      </c>
      <c r="P24221">
        <v>104.18</v>
      </c>
    </row>
    <row r="24222" spans="1:16" x14ac:dyDescent="0.25">
      <c r="A24222" t="s">
        <v>3296</v>
      </c>
      <c r="B24222" t="s">
        <v>2931</v>
      </c>
      <c r="C24222">
        <v>1659</v>
      </c>
      <c r="D24222" t="str">
        <f>"15254135983 "</f>
        <v xml:space="preserve">15254135983 </v>
      </c>
      <c r="E24222" t="s">
        <v>868</v>
      </c>
      <c r="F24222" t="s">
        <v>869</v>
      </c>
      <c r="G24222">
        <v>65.37</v>
      </c>
      <c r="H24222">
        <v>250131</v>
      </c>
      <c r="I24222">
        <v>4572</v>
      </c>
      <c r="J24222" t="s">
        <v>173</v>
      </c>
      <c r="K24222">
        <v>6537.09</v>
      </c>
      <c r="L24222">
        <v>0</v>
      </c>
      <c r="M24222">
        <v>69803</v>
      </c>
      <c r="N24222" t="s">
        <v>391</v>
      </c>
      <c r="O24222">
        <v>250212</v>
      </c>
      <c r="P24222">
        <v>65.37</v>
      </c>
    </row>
    <row r="24223" spans="1:16" x14ac:dyDescent="0.25">
      <c r="A24223" t="s">
        <v>3296</v>
      </c>
      <c r="B24223" t="s">
        <v>2931</v>
      </c>
      <c r="C24223">
        <v>1965</v>
      </c>
      <c r="D24223" t="str">
        <f>"15254135038 "</f>
        <v xml:space="preserve">15254135038 </v>
      </c>
      <c r="E24223" t="s">
        <v>868</v>
      </c>
      <c r="F24223" t="s">
        <v>869</v>
      </c>
      <c r="G24223">
        <v>1874.22</v>
      </c>
      <c r="H24223">
        <v>250131</v>
      </c>
      <c r="I24223">
        <v>4572</v>
      </c>
      <c r="J24223" t="s">
        <v>173</v>
      </c>
      <c r="K24223">
        <v>1972.86</v>
      </c>
      <c r="L24223">
        <v>380.82</v>
      </c>
      <c r="M24223">
        <v>49501</v>
      </c>
      <c r="N24223" t="s">
        <v>110</v>
      </c>
      <c r="O24223">
        <v>250218</v>
      </c>
      <c r="P24223">
        <v>1493.4</v>
      </c>
    </row>
    <row r="24224" spans="1:16" x14ac:dyDescent="0.25">
      <c r="A24224" t="s">
        <v>3296</v>
      </c>
      <c r="B24224" t="s">
        <v>2931</v>
      </c>
      <c r="C24224">
        <v>1965</v>
      </c>
      <c r="D24224" t="str">
        <f>"15254135038 "</f>
        <v xml:space="preserve">15254135038 </v>
      </c>
      <c r="E24224" t="s">
        <v>868</v>
      </c>
      <c r="F24224" t="s">
        <v>869</v>
      </c>
      <c r="G24224">
        <v>98.64</v>
      </c>
      <c r="H24224">
        <v>250131</v>
      </c>
      <c r="I24224">
        <v>4572</v>
      </c>
      <c r="J24224" t="s">
        <v>173</v>
      </c>
      <c r="K24224">
        <v>1972.86</v>
      </c>
      <c r="L24224">
        <v>20.04</v>
      </c>
      <c r="M24224">
        <v>49801</v>
      </c>
      <c r="N24224" t="s">
        <v>953</v>
      </c>
      <c r="O24224">
        <v>250218</v>
      </c>
      <c r="P24224">
        <v>78.599999999999994</v>
      </c>
    </row>
    <row r="24225" spans="1:16" x14ac:dyDescent="0.25">
      <c r="A24225" t="s">
        <v>3296</v>
      </c>
      <c r="B24225" t="s">
        <v>2931</v>
      </c>
      <c r="C24225">
        <v>1966</v>
      </c>
      <c r="D24225" t="str">
        <f>"15254137649 "</f>
        <v xml:space="preserve">15254137649 </v>
      </c>
      <c r="E24225" t="s">
        <v>868</v>
      </c>
      <c r="F24225" t="s">
        <v>869</v>
      </c>
      <c r="G24225">
        <v>4735.63</v>
      </c>
      <c r="H24225">
        <v>250131</v>
      </c>
      <c r="I24225">
        <v>4572</v>
      </c>
      <c r="J24225" t="s">
        <v>173</v>
      </c>
      <c r="K24225">
        <v>4735.63</v>
      </c>
      <c r="L24225">
        <v>962.22</v>
      </c>
      <c r="M24225">
        <v>49501</v>
      </c>
      <c r="N24225" t="s">
        <v>110</v>
      </c>
      <c r="O24225">
        <v>250218</v>
      </c>
      <c r="P24225">
        <v>3773.41</v>
      </c>
    </row>
    <row r="24226" spans="1:16" x14ac:dyDescent="0.25">
      <c r="A24226" t="s">
        <v>3296</v>
      </c>
      <c r="B24226" t="s">
        <v>2931</v>
      </c>
      <c r="C24226">
        <v>1967</v>
      </c>
      <c r="D24226" t="str">
        <f>"15254134696 "</f>
        <v xml:space="preserve">15254134696 </v>
      </c>
      <c r="E24226" t="s">
        <v>868</v>
      </c>
      <c r="F24226" t="s">
        <v>869</v>
      </c>
      <c r="G24226">
        <v>1648.39</v>
      </c>
      <c r="H24226">
        <v>250131</v>
      </c>
      <c r="I24226">
        <v>4572</v>
      </c>
      <c r="J24226" t="s">
        <v>173</v>
      </c>
      <c r="K24226">
        <v>1648.39</v>
      </c>
      <c r="L24226">
        <v>334.93</v>
      </c>
      <c r="M24226">
        <v>49503</v>
      </c>
      <c r="N24226" t="s">
        <v>267</v>
      </c>
      <c r="O24226">
        <v>250218</v>
      </c>
      <c r="P24226">
        <v>1313.46</v>
      </c>
    </row>
    <row r="24227" spans="1:16" x14ac:dyDescent="0.25">
      <c r="A24227" t="s">
        <v>3296</v>
      </c>
      <c r="B24227" t="s">
        <v>2931</v>
      </c>
      <c r="C24227">
        <v>2978</v>
      </c>
      <c r="D24227" t="str">
        <f>"15254238488 "</f>
        <v xml:space="preserve">15254238488 </v>
      </c>
      <c r="E24227" t="s">
        <v>868</v>
      </c>
      <c r="F24227" t="s">
        <v>869</v>
      </c>
      <c r="G24227">
        <v>53.56</v>
      </c>
      <c r="H24227">
        <v>250228</v>
      </c>
      <c r="I24227">
        <v>4572</v>
      </c>
      <c r="J24227" t="s">
        <v>173</v>
      </c>
      <c r="K24227">
        <v>53.56</v>
      </c>
      <c r="L24227">
        <v>10.88</v>
      </c>
      <c r="M24227">
        <v>13841</v>
      </c>
      <c r="N24227" t="s">
        <v>178</v>
      </c>
      <c r="O24227">
        <v>250313</v>
      </c>
      <c r="P24227">
        <v>42.68</v>
      </c>
    </row>
    <row r="24228" spans="1:16" x14ac:dyDescent="0.25">
      <c r="A24228" t="s">
        <v>3296</v>
      </c>
      <c r="B24228" t="s">
        <v>2931</v>
      </c>
      <c r="C24228">
        <v>3038</v>
      </c>
      <c r="D24228" t="str">
        <f>"15254239185 "</f>
        <v xml:space="preserve">15254239185 </v>
      </c>
      <c r="E24228" t="s">
        <v>868</v>
      </c>
      <c r="F24228" t="s">
        <v>869</v>
      </c>
      <c r="G24228">
        <v>0.16</v>
      </c>
      <c r="H24228">
        <v>250228</v>
      </c>
      <c r="I24228">
        <v>4572</v>
      </c>
      <c r="J24228" t="s">
        <v>173</v>
      </c>
      <c r="K24228">
        <v>0.57999999999999996</v>
      </c>
      <c r="L24228">
        <v>0.03</v>
      </c>
      <c r="M24228">
        <v>59112</v>
      </c>
      <c r="N24228" t="s">
        <v>44</v>
      </c>
      <c r="O24228">
        <v>250314</v>
      </c>
      <c r="P24228">
        <v>0.13</v>
      </c>
    </row>
    <row r="24229" spans="1:16" x14ac:dyDescent="0.25">
      <c r="A24229" t="s">
        <v>3296</v>
      </c>
      <c r="B24229" t="s">
        <v>2931</v>
      </c>
      <c r="C24229">
        <v>3038</v>
      </c>
      <c r="D24229" t="str">
        <f>"15254239185 "</f>
        <v xml:space="preserve">15254239185 </v>
      </c>
      <c r="E24229" t="s">
        <v>868</v>
      </c>
      <c r="F24229" t="s">
        <v>869</v>
      </c>
      <c r="G24229">
        <v>0.42</v>
      </c>
      <c r="H24229">
        <v>250228</v>
      </c>
      <c r="I24229">
        <v>4572</v>
      </c>
      <c r="J24229" t="s">
        <v>173</v>
      </c>
      <c r="K24229">
        <v>0.57999999999999996</v>
      </c>
      <c r="L24229">
        <v>0.09</v>
      </c>
      <c r="M24229">
        <v>59504</v>
      </c>
      <c r="N24229" t="s">
        <v>193</v>
      </c>
      <c r="O24229">
        <v>250314</v>
      </c>
      <c r="P24229">
        <v>0.33</v>
      </c>
    </row>
    <row r="24230" spans="1:16" x14ac:dyDescent="0.25">
      <c r="A24230" t="s">
        <v>3296</v>
      </c>
      <c r="B24230" t="s">
        <v>2931</v>
      </c>
      <c r="C24230">
        <v>3039</v>
      </c>
      <c r="D24230" t="str">
        <f>"15254237887 "</f>
        <v xml:space="preserve">15254237887 </v>
      </c>
      <c r="E24230" t="s">
        <v>868</v>
      </c>
      <c r="F24230" t="s">
        <v>869</v>
      </c>
      <c r="G24230">
        <v>18.88</v>
      </c>
      <c r="H24230">
        <v>250228</v>
      </c>
      <c r="I24230">
        <v>4572</v>
      </c>
      <c r="J24230" t="s">
        <v>173</v>
      </c>
      <c r="K24230">
        <v>18.88</v>
      </c>
      <c r="L24230">
        <v>3.84</v>
      </c>
      <c r="M24230">
        <v>17956</v>
      </c>
      <c r="N24230" t="s">
        <v>170</v>
      </c>
      <c r="O24230">
        <v>250314</v>
      </c>
      <c r="P24230">
        <v>15.04</v>
      </c>
    </row>
    <row r="24231" spans="1:16" x14ac:dyDescent="0.25">
      <c r="A24231" t="s">
        <v>3296</v>
      </c>
      <c r="B24231" t="s">
        <v>2931</v>
      </c>
      <c r="C24231">
        <v>3040</v>
      </c>
      <c r="D24231" t="str">
        <f>"15254239032 "</f>
        <v xml:space="preserve">15254239032 </v>
      </c>
      <c r="E24231" t="s">
        <v>868</v>
      </c>
      <c r="F24231" t="s">
        <v>869</v>
      </c>
      <c r="G24231">
        <v>23.28</v>
      </c>
      <c r="H24231">
        <v>250228</v>
      </c>
      <c r="I24231">
        <v>4572</v>
      </c>
      <c r="J24231" t="s">
        <v>173</v>
      </c>
      <c r="K24231">
        <v>465.58</v>
      </c>
      <c r="L24231">
        <v>4.7300000000000004</v>
      </c>
      <c r="M24231">
        <v>17737</v>
      </c>
      <c r="N24231" t="s">
        <v>156</v>
      </c>
      <c r="O24231">
        <v>250314</v>
      </c>
      <c r="P24231">
        <v>18.55</v>
      </c>
    </row>
    <row r="24232" spans="1:16" x14ac:dyDescent="0.25">
      <c r="A24232" t="s">
        <v>3296</v>
      </c>
      <c r="B24232" t="s">
        <v>2931</v>
      </c>
      <c r="C24232">
        <v>3040</v>
      </c>
      <c r="D24232" t="str">
        <f>"15254239032 "</f>
        <v xml:space="preserve">15254239032 </v>
      </c>
      <c r="E24232" t="s">
        <v>868</v>
      </c>
      <c r="F24232" t="s">
        <v>869</v>
      </c>
      <c r="G24232">
        <v>309.61</v>
      </c>
      <c r="H24232">
        <v>250228</v>
      </c>
      <c r="I24232">
        <v>4572</v>
      </c>
      <c r="J24232" t="s">
        <v>173</v>
      </c>
      <c r="K24232">
        <v>465.58</v>
      </c>
      <c r="L24232">
        <v>62.91</v>
      </c>
      <c r="M24232">
        <v>17737</v>
      </c>
      <c r="N24232" t="s">
        <v>156</v>
      </c>
      <c r="O24232">
        <v>250314</v>
      </c>
      <c r="P24232">
        <v>246.7</v>
      </c>
    </row>
    <row r="24233" spans="1:16" x14ac:dyDescent="0.25">
      <c r="A24233" t="s">
        <v>3296</v>
      </c>
      <c r="B24233" t="s">
        <v>2931</v>
      </c>
      <c r="C24233">
        <v>3040</v>
      </c>
      <c r="D24233" t="str">
        <f>"15254239032 "</f>
        <v xml:space="preserve">15254239032 </v>
      </c>
      <c r="E24233" t="s">
        <v>868</v>
      </c>
      <c r="F24233" t="s">
        <v>869</v>
      </c>
      <c r="G24233">
        <v>132.69</v>
      </c>
      <c r="H24233">
        <v>250228</v>
      </c>
      <c r="I24233">
        <v>4572</v>
      </c>
      <c r="J24233" t="s">
        <v>173</v>
      </c>
      <c r="K24233">
        <v>465.58</v>
      </c>
      <c r="L24233">
        <v>26.96</v>
      </c>
      <c r="M24233">
        <v>17739</v>
      </c>
      <c r="N24233" t="s">
        <v>928</v>
      </c>
      <c r="O24233">
        <v>250314</v>
      </c>
      <c r="P24233">
        <v>105.73</v>
      </c>
    </row>
    <row r="24234" spans="1:16" x14ac:dyDescent="0.25">
      <c r="A24234" t="s">
        <v>3296</v>
      </c>
      <c r="B24234" t="s">
        <v>2931</v>
      </c>
      <c r="C24234">
        <v>3041</v>
      </c>
      <c r="D24234" t="str">
        <f>"15254237534 "</f>
        <v xml:space="preserve">15254237534 </v>
      </c>
      <c r="E24234" t="s">
        <v>868</v>
      </c>
      <c r="F24234" t="s">
        <v>869</v>
      </c>
      <c r="G24234">
        <v>8.91</v>
      </c>
      <c r="H24234">
        <v>250228</v>
      </c>
      <c r="I24234">
        <v>4572</v>
      </c>
      <c r="J24234" t="s">
        <v>173</v>
      </c>
      <c r="K24234">
        <v>29.71</v>
      </c>
      <c r="L24234">
        <v>1.81</v>
      </c>
      <c r="M24234">
        <v>14952</v>
      </c>
      <c r="N24234" t="s">
        <v>213</v>
      </c>
      <c r="O24234">
        <v>250314</v>
      </c>
      <c r="P24234">
        <v>7.1</v>
      </c>
    </row>
    <row r="24235" spans="1:16" x14ac:dyDescent="0.25">
      <c r="A24235" t="s">
        <v>3296</v>
      </c>
      <c r="B24235" t="s">
        <v>2931</v>
      </c>
      <c r="C24235">
        <v>3041</v>
      </c>
      <c r="D24235" t="str">
        <f>"15254237534 "</f>
        <v xml:space="preserve">15254237534 </v>
      </c>
      <c r="E24235" t="s">
        <v>868</v>
      </c>
      <c r="F24235" t="s">
        <v>869</v>
      </c>
      <c r="G24235">
        <v>20.8</v>
      </c>
      <c r="H24235">
        <v>250228</v>
      </c>
      <c r="I24235">
        <v>4572</v>
      </c>
      <c r="J24235" t="s">
        <v>173</v>
      </c>
      <c r="K24235">
        <v>29.71</v>
      </c>
      <c r="L24235">
        <v>4.2300000000000004</v>
      </c>
      <c r="M24235">
        <v>14981</v>
      </c>
      <c r="N24235" t="s">
        <v>252</v>
      </c>
      <c r="O24235">
        <v>250314</v>
      </c>
      <c r="P24235">
        <v>16.57</v>
      </c>
    </row>
    <row r="24236" spans="1:16" x14ac:dyDescent="0.25">
      <c r="A24236" t="s">
        <v>3296</v>
      </c>
      <c r="B24236" t="s">
        <v>2931</v>
      </c>
      <c r="C24236">
        <v>3078</v>
      </c>
      <c r="D24236" t="str">
        <f>"15254237401 "</f>
        <v xml:space="preserve">15254237401 </v>
      </c>
      <c r="E24236" t="s">
        <v>868</v>
      </c>
      <c r="F24236" t="s">
        <v>869</v>
      </c>
      <c r="G24236">
        <v>19.18</v>
      </c>
      <c r="H24236">
        <v>250228</v>
      </c>
      <c r="I24236">
        <v>4572</v>
      </c>
      <c r="J24236" t="s">
        <v>173</v>
      </c>
      <c r="K24236">
        <v>19.18</v>
      </c>
      <c r="L24236">
        <v>3.9</v>
      </c>
      <c r="M24236">
        <v>13841</v>
      </c>
      <c r="N24236" t="s">
        <v>178</v>
      </c>
      <c r="O24236">
        <v>250314</v>
      </c>
      <c r="P24236">
        <v>15.28</v>
      </c>
    </row>
    <row r="24237" spans="1:16" x14ac:dyDescent="0.25">
      <c r="A24237" t="s">
        <v>3296</v>
      </c>
      <c r="B24237" t="s">
        <v>2931</v>
      </c>
      <c r="C24237">
        <v>3100</v>
      </c>
      <c r="D24237" t="str">
        <f>"15254237484 "</f>
        <v xml:space="preserve">15254237484 </v>
      </c>
      <c r="E24237" t="s">
        <v>868</v>
      </c>
      <c r="F24237" t="s">
        <v>869</v>
      </c>
      <c r="G24237">
        <v>36.76</v>
      </c>
      <c r="H24237">
        <v>250228</v>
      </c>
      <c r="I24237">
        <v>4572</v>
      </c>
      <c r="J24237" t="s">
        <v>173</v>
      </c>
      <c r="K24237">
        <v>36.76</v>
      </c>
      <c r="L24237">
        <v>0</v>
      </c>
      <c r="M24237">
        <v>11001</v>
      </c>
      <c r="N24237" t="s">
        <v>93</v>
      </c>
      <c r="O24237">
        <v>250314</v>
      </c>
      <c r="P24237">
        <v>36.76</v>
      </c>
    </row>
    <row r="24238" spans="1:16" x14ac:dyDescent="0.25">
      <c r="A24238" t="s">
        <v>3296</v>
      </c>
      <c r="B24238" t="s">
        <v>2931</v>
      </c>
      <c r="C24238">
        <v>3119</v>
      </c>
      <c r="D24238" t="str">
        <f>"15254237938 "</f>
        <v xml:space="preserve">15254237938 </v>
      </c>
      <c r="E24238" t="s">
        <v>868</v>
      </c>
      <c r="F24238" t="s">
        <v>869</v>
      </c>
      <c r="G24238">
        <v>43.75</v>
      </c>
      <c r="H24238">
        <v>250228</v>
      </c>
      <c r="I24238">
        <v>4572</v>
      </c>
      <c r="J24238" t="s">
        <v>173</v>
      </c>
      <c r="K24238">
        <v>43.75</v>
      </c>
      <c r="L24238">
        <v>8.89</v>
      </c>
      <c r="M24238">
        <v>56571</v>
      </c>
      <c r="N24238" t="s">
        <v>553</v>
      </c>
      <c r="O24238">
        <v>250314</v>
      </c>
      <c r="P24238">
        <v>34.86</v>
      </c>
    </row>
    <row r="24239" spans="1:16" x14ac:dyDescent="0.25">
      <c r="A24239" t="s">
        <v>3296</v>
      </c>
      <c r="B24239" t="s">
        <v>2931</v>
      </c>
      <c r="C24239">
        <v>3132</v>
      </c>
      <c r="D24239" t="str">
        <f>"15254237360 "</f>
        <v xml:space="preserve">15254237360 </v>
      </c>
      <c r="E24239" t="s">
        <v>868</v>
      </c>
      <c r="F24239" t="s">
        <v>869</v>
      </c>
      <c r="G24239">
        <v>47.06</v>
      </c>
      <c r="H24239">
        <v>250228</v>
      </c>
      <c r="I24239">
        <v>4572</v>
      </c>
      <c r="J24239" t="s">
        <v>173</v>
      </c>
      <c r="K24239">
        <v>47.06</v>
      </c>
      <c r="L24239">
        <v>9.56</v>
      </c>
      <c r="M24239">
        <v>56571</v>
      </c>
      <c r="N24239" t="s">
        <v>553</v>
      </c>
      <c r="O24239">
        <v>250314</v>
      </c>
      <c r="P24239">
        <v>37.5</v>
      </c>
    </row>
    <row r="24240" spans="1:16" x14ac:dyDescent="0.25">
      <c r="A24240" t="s">
        <v>3296</v>
      </c>
      <c r="B24240" t="s">
        <v>2931</v>
      </c>
      <c r="C24240">
        <v>3133</v>
      </c>
      <c r="D24240" t="str">
        <f>"15254237546 "</f>
        <v xml:space="preserve">15254237546 </v>
      </c>
      <c r="E24240" t="s">
        <v>868</v>
      </c>
      <c r="F24240" t="s">
        <v>869</v>
      </c>
      <c r="G24240">
        <v>0.53</v>
      </c>
      <c r="H24240">
        <v>250228</v>
      </c>
      <c r="I24240">
        <v>4572</v>
      </c>
      <c r="J24240" t="s">
        <v>173</v>
      </c>
      <c r="K24240">
        <v>1.98</v>
      </c>
      <c r="L24240">
        <v>0.11</v>
      </c>
      <c r="M24240">
        <v>59112</v>
      </c>
      <c r="N24240" t="s">
        <v>44</v>
      </c>
      <c r="O24240">
        <v>250314</v>
      </c>
      <c r="P24240">
        <v>0.42</v>
      </c>
    </row>
    <row r="24241" spans="1:16" x14ac:dyDescent="0.25">
      <c r="A24241" t="s">
        <v>3296</v>
      </c>
      <c r="B24241" t="s">
        <v>2931</v>
      </c>
      <c r="C24241">
        <v>3133</v>
      </c>
      <c r="D24241" t="str">
        <f>"15254237546 "</f>
        <v xml:space="preserve">15254237546 </v>
      </c>
      <c r="E24241" t="s">
        <v>868</v>
      </c>
      <c r="F24241" t="s">
        <v>869</v>
      </c>
      <c r="G24241">
        <v>1.45</v>
      </c>
      <c r="H24241">
        <v>250228</v>
      </c>
      <c r="I24241">
        <v>4572</v>
      </c>
      <c r="J24241" t="s">
        <v>173</v>
      </c>
      <c r="K24241">
        <v>1.98</v>
      </c>
      <c r="L24241">
        <v>0.28999999999999998</v>
      </c>
      <c r="M24241">
        <v>59504</v>
      </c>
      <c r="N24241" t="s">
        <v>193</v>
      </c>
      <c r="O24241">
        <v>250314</v>
      </c>
      <c r="P24241">
        <v>1.1599999999999999</v>
      </c>
    </row>
    <row r="24242" spans="1:16" x14ac:dyDescent="0.25">
      <c r="A24242" t="s">
        <v>3296</v>
      </c>
      <c r="B24242" t="s">
        <v>2931</v>
      </c>
      <c r="C24242">
        <v>3134</v>
      </c>
      <c r="D24242" t="str">
        <f>"15254238301 "</f>
        <v xml:space="preserve">15254238301 </v>
      </c>
      <c r="E24242" t="s">
        <v>868</v>
      </c>
      <c r="F24242" t="s">
        <v>869</v>
      </c>
      <c r="G24242">
        <v>146.43</v>
      </c>
      <c r="H24242">
        <v>250228</v>
      </c>
      <c r="I24242">
        <v>4572</v>
      </c>
      <c r="J24242" t="s">
        <v>173</v>
      </c>
      <c r="K24242">
        <v>146.43</v>
      </c>
      <c r="L24242">
        <v>29.75</v>
      </c>
      <c r="M24242">
        <v>17956</v>
      </c>
      <c r="N24242" t="s">
        <v>170</v>
      </c>
      <c r="O24242">
        <v>250314</v>
      </c>
      <c r="P24242">
        <v>116.68</v>
      </c>
    </row>
    <row r="24243" spans="1:16" x14ac:dyDescent="0.25">
      <c r="A24243" t="s">
        <v>3296</v>
      </c>
      <c r="B24243" t="s">
        <v>2931</v>
      </c>
      <c r="C24243">
        <v>3140</v>
      </c>
      <c r="D24243" t="str">
        <f>"15254237487 "</f>
        <v xml:space="preserve">15254237487 </v>
      </c>
      <c r="E24243" t="s">
        <v>868</v>
      </c>
      <c r="F24243" t="s">
        <v>869</v>
      </c>
      <c r="G24243">
        <v>48.02</v>
      </c>
      <c r="H24243">
        <v>250228</v>
      </c>
      <c r="I24243">
        <v>4572</v>
      </c>
      <c r="J24243" t="s">
        <v>173</v>
      </c>
      <c r="K24243">
        <v>48.02</v>
      </c>
      <c r="L24243">
        <v>9.76</v>
      </c>
      <c r="M24243">
        <v>17956</v>
      </c>
      <c r="N24243" t="s">
        <v>170</v>
      </c>
      <c r="O24243">
        <v>250314</v>
      </c>
      <c r="P24243">
        <v>38.26</v>
      </c>
    </row>
    <row r="24244" spans="1:16" x14ac:dyDescent="0.25">
      <c r="A24244" t="s">
        <v>3296</v>
      </c>
      <c r="B24244" t="s">
        <v>2931</v>
      </c>
      <c r="C24244">
        <v>3143</v>
      </c>
      <c r="D24244" t="str">
        <f>"15254237186 "</f>
        <v xml:space="preserve">15254237186 </v>
      </c>
      <c r="E24244" t="s">
        <v>868</v>
      </c>
      <c r="F24244" t="s">
        <v>869</v>
      </c>
      <c r="G24244">
        <v>2123.31</v>
      </c>
      <c r="H24244">
        <v>250228</v>
      </c>
      <c r="I24244">
        <v>4572</v>
      </c>
      <c r="J24244" t="s">
        <v>173</v>
      </c>
      <c r="K24244">
        <v>3480.84</v>
      </c>
      <c r="L24244">
        <v>431.43</v>
      </c>
      <c r="M24244">
        <v>59502</v>
      </c>
      <c r="N24244" t="s">
        <v>63</v>
      </c>
      <c r="O24244">
        <v>250314</v>
      </c>
      <c r="P24244">
        <v>1691.88</v>
      </c>
    </row>
    <row r="24245" spans="1:16" x14ac:dyDescent="0.25">
      <c r="A24245" t="s">
        <v>3296</v>
      </c>
      <c r="B24245" t="s">
        <v>2931</v>
      </c>
      <c r="C24245">
        <v>3143</v>
      </c>
      <c r="D24245" t="str">
        <f>"15254237186 "</f>
        <v xml:space="preserve">15254237186 </v>
      </c>
      <c r="E24245" t="s">
        <v>868</v>
      </c>
      <c r="F24245" t="s">
        <v>869</v>
      </c>
      <c r="G24245">
        <v>1357.53</v>
      </c>
      <c r="H24245">
        <v>250228</v>
      </c>
      <c r="I24245">
        <v>4572</v>
      </c>
      <c r="J24245" t="s">
        <v>173</v>
      </c>
      <c r="K24245">
        <v>3480.84</v>
      </c>
      <c r="L24245">
        <v>275.83</v>
      </c>
      <c r="M24245">
        <v>59802</v>
      </c>
      <c r="N24245" t="s">
        <v>195</v>
      </c>
      <c r="O24245">
        <v>250314</v>
      </c>
      <c r="P24245">
        <v>1081.7</v>
      </c>
    </row>
    <row r="24246" spans="1:16" x14ac:dyDescent="0.25">
      <c r="A24246" t="s">
        <v>3296</v>
      </c>
      <c r="B24246" t="s">
        <v>2931</v>
      </c>
      <c r="C24246">
        <v>3147</v>
      </c>
      <c r="D24246" t="str">
        <f>"15254238291 "</f>
        <v xml:space="preserve">15254238291 </v>
      </c>
      <c r="E24246" t="s">
        <v>868</v>
      </c>
      <c r="F24246" t="s">
        <v>869</v>
      </c>
      <c r="G24246">
        <v>2248.11</v>
      </c>
      <c r="H24246">
        <v>250228</v>
      </c>
      <c r="I24246">
        <v>4572</v>
      </c>
      <c r="J24246" t="s">
        <v>173</v>
      </c>
      <c r="K24246">
        <v>2248.11</v>
      </c>
      <c r="L24246">
        <v>456.79</v>
      </c>
      <c r="M24246">
        <v>17956</v>
      </c>
      <c r="N24246" t="s">
        <v>170</v>
      </c>
      <c r="O24246">
        <v>250314</v>
      </c>
      <c r="P24246">
        <v>1791.32</v>
      </c>
    </row>
    <row r="24247" spans="1:16" x14ac:dyDescent="0.25">
      <c r="A24247" t="s">
        <v>3296</v>
      </c>
      <c r="B24247" t="s">
        <v>2931</v>
      </c>
      <c r="C24247">
        <v>3149</v>
      </c>
      <c r="D24247" t="str">
        <f>"15254238599 "</f>
        <v xml:space="preserve">15254238599 </v>
      </c>
      <c r="E24247" t="s">
        <v>868</v>
      </c>
      <c r="F24247" t="s">
        <v>869</v>
      </c>
      <c r="G24247">
        <v>1336.12</v>
      </c>
      <c r="H24247">
        <v>250228</v>
      </c>
      <c r="I24247">
        <v>4572</v>
      </c>
      <c r="J24247" t="s">
        <v>173</v>
      </c>
      <c r="K24247">
        <v>1336.12</v>
      </c>
      <c r="L24247">
        <v>271.48</v>
      </c>
      <c r="M24247">
        <v>49503</v>
      </c>
      <c r="N24247" t="s">
        <v>267</v>
      </c>
      <c r="O24247">
        <v>250314</v>
      </c>
      <c r="P24247">
        <v>1064.6400000000001</v>
      </c>
    </row>
    <row r="24248" spans="1:16" x14ac:dyDescent="0.25">
      <c r="A24248" t="s">
        <v>3296</v>
      </c>
      <c r="B24248" t="s">
        <v>2931</v>
      </c>
      <c r="C24248">
        <v>3153</v>
      </c>
      <c r="D24248" t="str">
        <f>"15254239378 "</f>
        <v xml:space="preserve">15254239378 </v>
      </c>
      <c r="E24248" t="s">
        <v>868</v>
      </c>
      <c r="F24248" t="s">
        <v>869</v>
      </c>
      <c r="G24248">
        <v>621.20000000000005</v>
      </c>
      <c r="H24248">
        <v>250228</v>
      </c>
      <c r="I24248">
        <v>4572</v>
      </c>
      <c r="J24248" t="s">
        <v>173</v>
      </c>
      <c r="K24248">
        <v>5647.27</v>
      </c>
      <c r="L24248">
        <v>126.22</v>
      </c>
      <c r="M24248">
        <v>13540</v>
      </c>
      <c r="N24248" t="s">
        <v>131</v>
      </c>
      <c r="O24248">
        <v>250314</v>
      </c>
      <c r="P24248">
        <v>494.98</v>
      </c>
    </row>
    <row r="24249" spans="1:16" x14ac:dyDescent="0.25">
      <c r="A24249" t="s">
        <v>3296</v>
      </c>
      <c r="B24249" t="s">
        <v>2931</v>
      </c>
      <c r="C24249">
        <v>3153</v>
      </c>
      <c r="D24249" t="str">
        <f>"15254239378 "</f>
        <v xml:space="preserve">15254239378 </v>
      </c>
      <c r="E24249" t="s">
        <v>868</v>
      </c>
      <c r="F24249" t="s">
        <v>869</v>
      </c>
      <c r="G24249">
        <v>5026.07</v>
      </c>
      <c r="H24249">
        <v>250228</v>
      </c>
      <c r="I24249">
        <v>4572</v>
      </c>
      <c r="J24249" t="s">
        <v>173</v>
      </c>
      <c r="K24249">
        <v>5647.27</v>
      </c>
      <c r="L24249">
        <v>1021.23</v>
      </c>
      <c r="M24249">
        <v>17950</v>
      </c>
      <c r="N24249" t="s">
        <v>132</v>
      </c>
      <c r="O24249">
        <v>250314</v>
      </c>
      <c r="P24249">
        <v>4004.84</v>
      </c>
    </row>
    <row r="24250" spans="1:16" x14ac:dyDescent="0.25">
      <c r="A24250" t="s">
        <v>3296</v>
      </c>
      <c r="B24250" t="s">
        <v>2931</v>
      </c>
      <c r="C24250">
        <v>3154</v>
      </c>
      <c r="D24250" t="str">
        <f>"15254237247 "</f>
        <v xml:space="preserve">15254237247 </v>
      </c>
      <c r="E24250" t="s">
        <v>868</v>
      </c>
      <c r="F24250" t="s">
        <v>869</v>
      </c>
      <c r="G24250">
        <v>107.96</v>
      </c>
      <c r="H24250">
        <v>250228</v>
      </c>
      <c r="I24250">
        <v>4572</v>
      </c>
      <c r="J24250" t="s">
        <v>173</v>
      </c>
      <c r="K24250">
        <v>3598.61</v>
      </c>
      <c r="L24250">
        <v>21.94</v>
      </c>
      <c r="M24250">
        <v>49111</v>
      </c>
      <c r="N24250" t="s">
        <v>108</v>
      </c>
      <c r="O24250">
        <v>250314</v>
      </c>
      <c r="P24250">
        <v>86.02</v>
      </c>
    </row>
    <row r="24251" spans="1:16" x14ac:dyDescent="0.25">
      <c r="A24251" t="s">
        <v>3296</v>
      </c>
      <c r="B24251" t="s">
        <v>2931</v>
      </c>
      <c r="C24251">
        <v>3154</v>
      </c>
      <c r="D24251" t="str">
        <f>"15254237247 "</f>
        <v xml:space="preserve">15254237247 </v>
      </c>
      <c r="E24251" t="s">
        <v>868</v>
      </c>
      <c r="F24251" t="s">
        <v>869</v>
      </c>
      <c r="G24251">
        <v>3328.71</v>
      </c>
      <c r="H24251">
        <v>250228</v>
      </c>
      <c r="I24251">
        <v>4572</v>
      </c>
      <c r="J24251" t="s">
        <v>173</v>
      </c>
      <c r="K24251">
        <v>3598.61</v>
      </c>
      <c r="L24251">
        <v>676.35</v>
      </c>
      <c r="M24251">
        <v>49501</v>
      </c>
      <c r="N24251" t="s">
        <v>110</v>
      </c>
      <c r="O24251">
        <v>250314</v>
      </c>
      <c r="P24251">
        <v>2652.36</v>
      </c>
    </row>
    <row r="24252" spans="1:16" x14ac:dyDescent="0.25">
      <c r="A24252" t="s">
        <v>3296</v>
      </c>
      <c r="B24252" t="s">
        <v>2931</v>
      </c>
      <c r="C24252">
        <v>3154</v>
      </c>
      <c r="D24252" t="str">
        <f>"15254237247 "</f>
        <v xml:space="preserve">15254237247 </v>
      </c>
      <c r="E24252" t="s">
        <v>868</v>
      </c>
      <c r="F24252" t="s">
        <v>869</v>
      </c>
      <c r="G24252">
        <v>71.97</v>
      </c>
      <c r="H24252">
        <v>250228</v>
      </c>
      <c r="I24252">
        <v>4572</v>
      </c>
      <c r="J24252" t="s">
        <v>173</v>
      </c>
      <c r="K24252">
        <v>3598.61</v>
      </c>
      <c r="L24252">
        <v>14.62</v>
      </c>
      <c r="M24252">
        <v>49801</v>
      </c>
      <c r="N24252" t="s">
        <v>953</v>
      </c>
      <c r="O24252">
        <v>250314</v>
      </c>
      <c r="P24252">
        <v>57.35</v>
      </c>
    </row>
    <row r="24253" spans="1:16" x14ac:dyDescent="0.25">
      <c r="A24253" t="s">
        <v>3296</v>
      </c>
      <c r="B24253" t="s">
        <v>2931</v>
      </c>
      <c r="C24253">
        <v>3154</v>
      </c>
      <c r="D24253" t="str">
        <f>"15254237247 "</f>
        <v xml:space="preserve">15254237247 </v>
      </c>
      <c r="E24253" t="s">
        <v>868</v>
      </c>
      <c r="F24253" t="s">
        <v>869</v>
      </c>
      <c r="G24253">
        <v>89.97</v>
      </c>
      <c r="H24253">
        <v>250228</v>
      </c>
      <c r="I24253">
        <v>4572</v>
      </c>
      <c r="J24253" t="s">
        <v>173</v>
      </c>
      <c r="K24253">
        <v>3598.61</v>
      </c>
      <c r="L24253">
        <v>0</v>
      </c>
      <c r="M24253">
        <v>49803</v>
      </c>
      <c r="N24253" t="s">
        <v>956</v>
      </c>
      <c r="O24253">
        <v>250314</v>
      </c>
      <c r="P24253">
        <v>89.97</v>
      </c>
    </row>
    <row r="24254" spans="1:16" x14ac:dyDescent="0.25">
      <c r="A24254" t="s">
        <v>3296</v>
      </c>
      <c r="B24254" t="s">
        <v>2931</v>
      </c>
      <c r="C24254">
        <v>3160</v>
      </c>
      <c r="D24254" t="str">
        <f>"15254238183 "</f>
        <v xml:space="preserve">15254238183 </v>
      </c>
      <c r="E24254" t="s">
        <v>868</v>
      </c>
      <c r="F24254" t="s">
        <v>869</v>
      </c>
      <c r="G24254">
        <v>3696.53</v>
      </c>
      <c r="H24254">
        <v>250228</v>
      </c>
      <c r="I24254">
        <v>4572</v>
      </c>
      <c r="J24254" t="s">
        <v>173</v>
      </c>
      <c r="K24254">
        <v>3696.53</v>
      </c>
      <c r="L24254">
        <v>751.09</v>
      </c>
      <c r="M24254">
        <v>17951</v>
      </c>
      <c r="N24254" t="s">
        <v>207</v>
      </c>
      <c r="O24254">
        <v>250314</v>
      </c>
      <c r="P24254">
        <v>2945.44</v>
      </c>
    </row>
    <row r="24255" spans="1:16" x14ac:dyDescent="0.25">
      <c r="A24255" t="s">
        <v>3296</v>
      </c>
      <c r="B24255" t="s">
        <v>2931</v>
      </c>
      <c r="C24255">
        <v>3163</v>
      </c>
      <c r="D24255" t="str">
        <f>"15254238918 "</f>
        <v xml:space="preserve">15254238918 </v>
      </c>
      <c r="E24255" t="s">
        <v>868</v>
      </c>
      <c r="F24255" t="s">
        <v>869</v>
      </c>
      <c r="G24255">
        <v>2032.35</v>
      </c>
      <c r="H24255">
        <v>250228</v>
      </c>
      <c r="I24255">
        <v>4572</v>
      </c>
      <c r="J24255" t="s">
        <v>173</v>
      </c>
      <c r="K24255">
        <v>2032.35</v>
      </c>
      <c r="L24255">
        <v>412.95</v>
      </c>
      <c r="M24255">
        <v>14951</v>
      </c>
      <c r="N24255" t="s">
        <v>186</v>
      </c>
      <c r="O24255">
        <v>250314</v>
      </c>
      <c r="P24255">
        <v>1619.4</v>
      </c>
    </row>
    <row r="24256" spans="1:16" x14ac:dyDescent="0.25">
      <c r="A24256" t="s">
        <v>3296</v>
      </c>
      <c r="B24256" t="s">
        <v>2931</v>
      </c>
      <c r="C24256">
        <v>3171</v>
      </c>
      <c r="D24256" t="str">
        <f>"15254238135 "</f>
        <v xml:space="preserve">15254238135 </v>
      </c>
      <c r="E24256" t="s">
        <v>868</v>
      </c>
      <c r="F24256" t="s">
        <v>869</v>
      </c>
      <c r="G24256">
        <v>455.65</v>
      </c>
      <c r="H24256">
        <v>250228</v>
      </c>
      <c r="I24256">
        <v>4572</v>
      </c>
      <c r="J24256" t="s">
        <v>173</v>
      </c>
      <c r="K24256">
        <v>455.65</v>
      </c>
      <c r="L24256">
        <v>92.58</v>
      </c>
      <c r="M24256">
        <v>17950</v>
      </c>
      <c r="N24256" t="s">
        <v>132</v>
      </c>
      <c r="O24256">
        <v>250314</v>
      </c>
      <c r="P24256">
        <v>363.07</v>
      </c>
    </row>
    <row r="24257" spans="1:16" x14ac:dyDescent="0.25">
      <c r="A24257" t="s">
        <v>3296</v>
      </c>
      <c r="B24257" t="s">
        <v>2931</v>
      </c>
      <c r="C24257">
        <v>3182</v>
      </c>
      <c r="D24257" t="str">
        <f>"15254237613 "</f>
        <v xml:space="preserve">15254237613 </v>
      </c>
      <c r="E24257" t="s">
        <v>868</v>
      </c>
      <c r="F24257" t="s">
        <v>869</v>
      </c>
      <c r="G24257">
        <v>386.12</v>
      </c>
      <c r="H24257">
        <v>250228</v>
      </c>
      <c r="I24257">
        <v>4572</v>
      </c>
      <c r="J24257" t="s">
        <v>173</v>
      </c>
      <c r="K24257">
        <v>6435.29</v>
      </c>
      <c r="L24257">
        <v>78.45</v>
      </c>
      <c r="M24257">
        <v>59111</v>
      </c>
      <c r="N24257" t="s">
        <v>60</v>
      </c>
      <c r="O24257">
        <v>250314</v>
      </c>
      <c r="P24257">
        <v>307.67</v>
      </c>
    </row>
    <row r="24258" spans="1:16" x14ac:dyDescent="0.25">
      <c r="A24258" t="s">
        <v>3296</v>
      </c>
      <c r="B24258" t="s">
        <v>2931</v>
      </c>
      <c r="C24258">
        <v>3182</v>
      </c>
      <c r="D24258" t="str">
        <f>"15254237613 "</f>
        <v xml:space="preserve">15254237613 </v>
      </c>
      <c r="E24258" t="s">
        <v>868</v>
      </c>
      <c r="F24258" t="s">
        <v>869</v>
      </c>
      <c r="G24258">
        <v>6049.17</v>
      </c>
      <c r="H24258">
        <v>250228</v>
      </c>
      <c r="I24258">
        <v>4572</v>
      </c>
      <c r="J24258" t="s">
        <v>173</v>
      </c>
      <c r="K24258">
        <v>6435.29</v>
      </c>
      <c r="L24258">
        <v>1229.1099999999999</v>
      </c>
      <c r="M24258">
        <v>59501</v>
      </c>
      <c r="N24258" t="s">
        <v>62</v>
      </c>
      <c r="O24258">
        <v>250314</v>
      </c>
      <c r="P24258">
        <v>4820.0600000000004</v>
      </c>
    </row>
    <row r="24259" spans="1:16" x14ac:dyDescent="0.25">
      <c r="A24259" t="s">
        <v>3296</v>
      </c>
      <c r="B24259" t="s">
        <v>2931</v>
      </c>
      <c r="C24259">
        <v>3187</v>
      </c>
      <c r="D24259" t="str">
        <f>"15254237279 "</f>
        <v xml:space="preserve">15254237279 </v>
      </c>
      <c r="E24259" t="s">
        <v>868</v>
      </c>
      <c r="F24259" t="s">
        <v>869</v>
      </c>
      <c r="G24259">
        <v>317.57</v>
      </c>
      <c r="H24259">
        <v>250228</v>
      </c>
      <c r="I24259">
        <v>4572</v>
      </c>
      <c r="J24259" t="s">
        <v>173</v>
      </c>
      <c r="K24259">
        <v>317.57</v>
      </c>
      <c r="L24259">
        <v>64.53</v>
      </c>
      <c r="M24259">
        <v>13841</v>
      </c>
      <c r="N24259" t="s">
        <v>178</v>
      </c>
      <c r="O24259">
        <v>250314</v>
      </c>
      <c r="P24259">
        <v>253.04</v>
      </c>
    </row>
    <row r="24260" spans="1:16" x14ac:dyDescent="0.25">
      <c r="A24260" t="s">
        <v>3296</v>
      </c>
      <c r="B24260" t="s">
        <v>2931</v>
      </c>
      <c r="C24260">
        <v>3188</v>
      </c>
      <c r="D24260" t="str">
        <f>"15254237960 "</f>
        <v xml:space="preserve">15254237960 </v>
      </c>
      <c r="E24260" t="s">
        <v>868</v>
      </c>
      <c r="F24260" t="s">
        <v>869</v>
      </c>
      <c r="G24260">
        <v>1437.54</v>
      </c>
      <c r="H24260">
        <v>250228</v>
      </c>
      <c r="I24260">
        <v>4572</v>
      </c>
      <c r="J24260" t="s">
        <v>173</v>
      </c>
      <c r="K24260">
        <v>1513.2</v>
      </c>
      <c r="L24260">
        <v>292.08999999999997</v>
      </c>
      <c r="M24260">
        <v>49501</v>
      </c>
      <c r="N24260" t="s">
        <v>110</v>
      </c>
      <c r="O24260">
        <v>250314</v>
      </c>
      <c r="P24260">
        <v>1145.45</v>
      </c>
    </row>
    <row r="24261" spans="1:16" x14ac:dyDescent="0.25">
      <c r="A24261" t="s">
        <v>3296</v>
      </c>
      <c r="B24261" t="s">
        <v>2931</v>
      </c>
      <c r="C24261">
        <v>3188</v>
      </c>
      <c r="D24261" t="str">
        <f>"15254237960 "</f>
        <v xml:space="preserve">15254237960 </v>
      </c>
      <c r="E24261" t="s">
        <v>868</v>
      </c>
      <c r="F24261" t="s">
        <v>869</v>
      </c>
      <c r="G24261">
        <v>75.66</v>
      </c>
      <c r="H24261">
        <v>250228</v>
      </c>
      <c r="I24261">
        <v>4572</v>
      </c>
      <c r="J24261" t="s">
        <v>173</v>
      </c>
      <c r="K24261">
        <v>1513.2</v>
      </c>
      <c r="L24261">
        <v>15.37</v>
      </c>
      <c r="M24261">
        <v>49801</v>
      </c>
      <c r="N24261" t="s">
        <v>953</v>
      </c>
      <c r="O24261">
        <v>250314</v>
      </c>
      <c r="P24261">
        <v>60.29</v>
      </c>
    </row>
    <row r="24262" spans="1:16" x14ac:dyDescent="0.25">
      <c r="A24262" t="s">
        <v>3296</v>
      </c>
      <c r="B24262" t="s">
        <v>2931</v>
      </c>
      <c r="C24262">
        <v>3190</v>
      </c>
      <c r="D24262" t="str">
        <f>"15254238445 "</f>
        <v xml:space="preserve">15254238445 </v>
      </c>
      <c r="E24262" t="s">
        <v>868</v>
      </c>
      <c r="F24262" t="s">
        <v>869</v>
      </c>
      <c r="G24262">
        <v>1276.33</v>
      </c>
      <c r="H24262">
        <v>250228</v>
      </c>
      <c r="I24262">
        <v>4572</v>
      </c>
      <c r="J24262" t="s">
        <v>173</v>
      </c>
      <c r="K24262">
        <v>5209.54</v>
      </c>
      <c r="L24262">
        <v>259.33</v>
      </c>
      <c r="M24262">
        <v>69111</v>
      </c>
      <c r="N24262" t="s">
        <v>657</v>
      </c>
      <c r="O24262">
        <v>250314</v>
      </c>
      <c r="P24262">
        <v>1017</v>
      </c>
    </row>
    <row r="24263" spans="1:16" x14ac:dyDescent="0.25">
      <c r="A24263" t="s">
        <v>3296</v>
      </c>
      <c r="B24263" t="s">
        <v>2931</v>
      </c>
      <c r="C24263">
        <v>3190</v>
      </c>
      <c r="D24263" t="str">
        <f>"15254238445 "</f>
        <v xml:space="preserve">15254238445 </v>
      </c>
      <c r="E24263" t="s">
        <v>868</v>
      </c>
      <c r="F24263" t="s">
        <v>869</v>
      </c>
      <c r="G24263">
        <v>3907.16</v>
      </c>
      <c r="H24263">
        <v>250228</v>
      </c>
      <c r="I24263">
        <v>4572</v>
      </c>
      <c r="J24263" t="s">
        <v>173</v>
      </c>
      <c r="K24263">
        <v>5209.54</v>
      </c>
      <c r="L24263">
        <v>793.89</v>
      </c>
      <c r="M24263">
        <v>69501</v>
      </c>
      <c r="N24263" t="s">
        <v>123</v>
      </c>
      <c r="O24263">
        <v>250314</v>
      </c>
      <c r="P24263">
        <v>3113.27</v>
      </c>
    </row>
    <row r="24264" spans="1:16" x14ac:dyDescent="0.25">
      <c r="A24264" t="s">
        <v>3296</v>
      </c>
      <c r="B24264" t="s">
        <v>2931</v>
      </c>
      <c r="C24264">
        <v>3190</v>
      </c>
      <c r="D24264" t="str">
        <f>"15254238445 "</f>
        <v xml:space="preserve">15254238445 </v>
      </c>
      <c r="E24264" t="s">
        <v>868</v>
      </c>
      <c r="F24264" t="s">
        <v>869</v>
      </c>
      <c r="G24264">
        <v>13.03</v>
      </c>
      <c r="H24264">
        <v>250228</v>
      </c>
      <c r="I24264">
        <v>4572</v>
      </c>
      <c r="J24264" t="s">
        <v>173</v>
      </c>
      <c r="K24264">
        <v>5209.54</v>
      </c>
      <c r="L24264">
        <v>2.65</v>
      </c>
      <c r="M24264">
        <v>69801</v>
      </c>
      <c r="N24264" t="s">
        <v>1077</v>
      </c>
      <c r="O24264">
        <v>250314</v>
      </c>
      <c r="P24264">
        <v>10.38</v>
      </c>
    </row>
    <row r="24265" spans="1:16" x14ac:dyDescent="0.25">
      <c r="A24265" t="s">
        <v>3296</v>
      </c>
      <c r="B24265" t="s">
        <v>2931</v>
      </c>
      <c r="C24265">
        <v>3190</v>
      </c>
      <c r="D24265" t="str">
        <f>"15254238445 "</f>
        <v xml:space="preserve">15254238445 </v>
      </c>
      <c r="E24265" t="s">
        <v>868</v>
      </c>
      <c r="F24265" t="s">
        <v>869</v>
      </c>
      <c r="G24265">
        <v>13.02</v>
      </c>
      <c r="H24265">
        <v>250228</v>
      </c>
      <c r="I24265">
        <v>4572</v>
      </c>
      <c r="J24265" t="s">
        <v>173</v>
      </c>
      <c r="K24265">
        <v>5209.54</v>
      </c>
      <c r="L24265">
        <v>0</v>
      </c>
      <c r="M24265">
        <v>69803</v>
      </c>
      <c r="N24265" t="s">
        <v>391</v>
      </c>
      <c r="O24265">
        <v>250314</v>
      </c>
      <c r="P24265">
        <v>13.02</v>
      </c>
    </row>
    <row r="24266" spans="1:16" x14ac:dyDescent="0.25">
      <c r="A24266" t="s">
        <v>3296</v>
      </c>
      <c r="B24266" t="s">
        <v>2931</v>
      </c>
      <c r="C24266">
        <v>3191</v>
      </c>
      <c r="D24266" t="str">
        <f>"15254237786 "</f>
        <v xml:space="preserve">15254237786 </v>
      </c>
      <c r="E24266" t="s">
        <v>868</v>
      </c>
      <c r="F24266" t="s">
        <v>869</v>
      </c>
      <c r="G24266">
        <v>183.19</v>
      </c>
      <c r="H24266">
        <v>250228</v>
      </c>
      <c r="I24266">
        <v>4572</v>
      </c>
      <c r="J24266" t="s">
        <v>173</v>
      </c>
      <c r="K24266">
        <v>610.65</v>
      </c>
      <c r="L24266">
        <v>37.22</v>
      </c>
      <c r="M24266">
        <v>14952</v>
      </c>
      <c r="N24266" t="s">
        <v>213</v>
      </c>
      <c r="O24266">
        <v>250314</v>
      </c>
      <c r="P24266">
        <v>145.97</v>
      </c>
    </row>
    <row r="24267" spans="1:16" x14ac:dyDescent="0.25">
      <c r="A24267" t="s">
        <v>3296</v>
      </c>
      <c r="B24267" t="s">
        <v>2931</v>
      </c>
      <c r="C24267">
        <v>3191</v>
      </c>
      <c r="D24267" t="str">
        <f>"15254237786 "</f>
        <v xml:space="preserve">15254237786 </v>
      </c>
      <c r="E24267" t="s">
        <v>868</v>
      </c>
      <c r="F24267" t="s">
        <v>869</v>
      </c>
      <c r="G24267">
        <v>427.46</v>
      </c>
      <c r="H24267">
        <v>250228</v>
      </c>
      <c r="I24267">
        <v>4572</v>
      </c>
      <c r="J24267" t="s">
        <v>173</v>
      </c>
      <c r="K24267">
        <v>610.65</v>
      </c>
      <c r="L24267">
        <v>86.85</v>
      </c>
      <c r="M24267">
        <v>14981</v>
      </c>
      <c r="N24267" t="s">
        <v>252</v>
      </c>
      <c r="O24267">
        <v>250314</v>
      </c>
      <c r="P24267">
        <v>340.61</v>
      </c>
    </row>
    <row r="24268" spans="1:16" x14ac:dyDescent="0.25">
      <c r="A24268" t="s">
        <v>3296</v>
      </c>
      <c r="B24268" t="s">
        <v>2931</v>
      </c>
      <c r="C24268">
        <v>3192</v>
      </c>
      <c r="D24268" t="str">
        <f>"15254237502 "</f>
        <v xml:space="preserve">15254237502 </v>
      </c>
      <c r="E24268" t="s">
        <v>868</v>
      </c>
      <c r="F24268" t="s">
        <v>869</v>
      </c>
      <c r="G24268">
        <v>1.82</v>
      </c>
      <c r="H24268">
        <v>250228</v>
      </c>
      <c r="I24268">
        <v>4572</v>
      </c>
      <c r="J24268" t="s">
        <v>173</v>
      </c>
      <c r="K24268">
        <v>6.07</v>
      </c>
      <c r="L24268">
        <v>0.37</v>
      </c>
      <c r="M24268">
        <v>14952</v>
      </c>
      <c r="N24268" t="s">
        <v>213</v>
      </c>
      <c r="O24268">
        <v>250314</v>
      </c>
      <c r="P24268">
        <v>1.45</v>
      </c>
    </row>
    <row r="24269" spans="1:16" x14ac:dyDescent="0.25">
      <c r="A24269" t="s">
        <v>3296</v>
      </c>
      <c r="B24269" t="s">
        <v>2931</v>
      </c>
      <c r="C24269">
        <v>3192</v>
      </c>
      <c r="D24269" t="str">
        <f>"15254237502 "</f>
        <v xml:space="preserve">15254237502 </v>
      </c>
      <c r="E24269" t="s">
        <v>868</v>
      </c>
      <c r="F24269" t="s">
        <v>869</v>
      </c>
      <c r="G24269">
        <v>4.25</v>
      </c>
      <c r="H24269">
        <v>250228</v>
      </c>
      <c r="I24269">
        <v>4572</v>
      </c>
      <c r="J24269" t="s">
        <v>173</v>
      </c>
      <c r="K24269">
        <v>6.07</v>
      </c>
      <c r="L24269">
        <v>0.86</v>
      </c>
      <c r="M24269">
        <v>14981</v>
      </c>
      <c r="N24269" t="s">
        <v>252</v>
      </c>
      <c r="O24269">
        <v>250314</v>
      </c>
      <c r="P24269">
        <v>3.39</v>
      </c>
    </row>
    <row r="24270" spans="1:16" x14ac:dyDescent="0.25">
      <c r="A24270" t="s">
        <v>3296</v>
      </c>
      <c r="B24270" t="s">
        <v>2931</v>
      </c>
      <c r="C24270">
        <v>3204</v>
      </c>
      <c r="D24270" t="str">
        <f>"15254237451 "</f>
        <v xml:space="preserve">15254237451 </v>
      </c>
      <c r="E24270" t="s">
        <v>868</v>
      </c>
      <c r="F24270" t="s">
        <v>869</v>
      </c>
      <c r="G24270">
        <v>495.48</v>
      </c>
      <c r="H24270">
        <v>250228</v>
      </c>
      <c r="I24270">
        <v>4572</v>
      </c>
      <c r="J24270" t="s">
        <v>173</v>
      </c>
      <c r="K24270">
        <v>1835.12</v>
      </c>
      <c r="L24270">
        <v>100.68</v>
      </c>
      <c r="M24270">
        <v>59112</v>
      </c>
      <c r="N24270" t="s">
        <v>44</v>
      </c>
      <c r="O24270">
        <v>250317</v>
      </c>
      <c r="P24270">
        <v>394.8</v>
      </c>
    </row>
    <row r="24271" spans="1:16" x14ac:dyDescent="0.25">
      <c r="A24271" t="s">
        <v>3296</v>
      </c>
      <c r="B24271" t="s">
        <v>2931</v>
      </c>
      <c r="C24271">
        <v>3204</v>
      </c>
      <c r="D24271" t="str">
        <f>"15254237451 "</f>
        <v xml:space="preserve">15254237451 </v>
      </c>
      <c r="E24271" t="s">
        <v>868</v>
      </c>
      <c r="F24271" t="s">
        <v>869</v>
      </c>
      <c r="G24271">
        <v>1339.64</v>
      </c>
      <c r="H24271">
        <v>250228</v>
      </c>
      <c r="I24271">
        <v>4572</v>
      </c>
      <c r="J24271" t="s">
        <v>173</v>
      </c>
      <c r="K24271">
        <v>1835.12</v>
      </c>
      <c r="L24271">
        <v>272.2</v>
      </c>
      <c r="M24271">
        <v>59504</v>
      </c>
      <c r="N24271" t="s">
        <v>193</v>
      </c>
      <c r="O24271">
        <v>250317</v>
      </c>
      <c r="P24271">
        <v>1067.44</v>
      </c>
    </row>
    <row r="24272" spans="1:16" x14ac:dyDescent="0.25">
      <c r="A24272" t="s">
        <v>3296</v>
      </c>
      <c r="B24272" t="s">
        <v>2931</v>
      </c>
      <c r="C24272">
        <v>3207</v>
      </c>
      <c r="D24272" t="str">
        <f>"15254239382 "</f>
        <v xml:space="preserve">15254239382 </v>
      </c>
      <c r="E24272" t="s">
        <v>868</v>
      </c>
      <c r="F24272" t="s">
        <v>869</v>
      </c>
      <c r="G24272">
        <v>12.87</v>
      </c>
      <c r="H24272">
        <v>250228</v>
      </c>
      <c r="I24272">
        <v>4572</v>
      </c>
      <c r="J24272" t="s">
        <v>173</v>
      </c>
      <c r="K24272">
        <v>47.65</v>
      </c>
      <c r="L24272">
        <v>2.62</v>
      </c>
      <c r="M24272">
        <v>59112</v>
      </c>
      <c r="N24272" t="s">
        <v>44</v>
      </c>
      <c r="O24272">
        <v>250317</v>
      </c>
      <c r="P24272">
        <v>10.25</v>
      </c>
    </row>
    <row r="24273" spans="1:16" x14ac:dyDescent="0.25">
      <c r="A24273" t="s">
        <v>3296</v>
      </c>
      <c r="B24273" t="s">
        <v>2931</v>
      </c>
      <c r="C24273">
        <v>3207</v>
      </c>
      <c r="D24273" t="str">
        <f>"15254239382 "</f>
        <v xml:space="preserve">15254239382 </v>
      </c>
      <c r="E24273" t="s">
        <v>868</v>
      </c>
      <c r="F24273" t="s">
        <v>869</v>
      </c>
      <c r="G24273">
        <v>34.78</v>
      </c>
      <c r="H24273">
        <v>250228</v>
      </c>
      <c r="I24273">
        <v>4572</v>
      </c>
      <c r="J24273" t="s">
        <v>173</v>
      </c>
      <c r="K24273">
        <v>47.65</v>
      </c>
      <c r="L24273">
        <v>7.07</v>
      </c>
      <c r="M24273">
        <v>59504</v>
      </c>
      <c r="N24273" t="s">
        <v>193</v>
      </c>
      <c r="O24273">
        <v>250317</v>
      </c>
      <c r="P24273">
        <v>27.71</v>
      </c>
    </row>
    <row r="24274" spans="1:16" x14ac:dyDescent="0.25">
      <c r="A24274" t="s">
        <v>3296</v>
      </c>
      <c r="B24274" t="s">
        <v>2931</v>
      </c>
      <c r="C24274">
        <v>3208</v>
      </c>
      <c r="D24274" t="str">
        <f>"15254238263 "</f>
        <v xml:space="preserve">15254238263 </v>
      </c>
      <c r="E24274" t="s">
        <v>868</v>
      </c>
      <c r="F24274" t="s">
        <v>869</v>
      </c>
      <c r="G24274">
        <v>1004.82</v>
      </c>
      <c r="H24274">
        <v>250228</v>
      </c>
      <c r="I24274">
        <v>4572</v>
      </c>
      <c r="J24274" t="s">
        <v>173</v>
      </c>
      <c r="K24274">
        <v>1141.8399999999999</v>
      </c>
      <c r="L24274">
        <v>204.17</v>
      </c>
      <c r="M24274">
        <v>59505</v>
      </c>
      <c r="N24274" t="s">
        <v>194</v>
      </c>
      <c r="O24274">
        <v>250317</v>
      </c>
      <c r="P24274">
        <v>800.65</v>
      </c>
    </row>
    <row r="24275" spans="1:16" x14ac:dyDescent="0.25">
      <c r="A24275" t="s">
        <v>3296</v>
      </c>
      <c r="B24275" t="s">
        <v>2931</v>
      </c>
      <c r="C24275">
        <v>3208</v>
      </c>
      <c r="D24275" t="str">
        <f>"15254238263 "</f>
        <v xml:space="preserve">15254238263 </v>
      </c>
      <c r="E24275" t="s">
        <v>868</v>
      </c>
      <c r="F24275" t="s">
        <v>869</v>
      </c>
      <c r="G24275">
        <v>137.02000000000001</v>
      </c>
      <c r="H24275">
        <v>250228</v>
      </c>
      <c r="I24275">
        <v>4572</v>
      </c>
      <c r="J24275" t="s">
        <v>173</v>
      </c>
      <c r="K24275">
        <v>1141.8399999999999</v>
      </c>
      <c r="L24275">
        <v>27.84</v>
      </c>
      <c r="M24275">
        <v>59812</v>
      </c>
      <c r="N24275" t="s">
        <v>196</v>
      </c>
      <c r="O24275">
        <v>250317</v>
      </c>
      <c r="P24275">
        <v>109.18</v>
      </c>
    </row>
    <row r="24276" spans="1:16" x14ac:dyDescent="0.25">
      <c r="A24276" t="s">
        <v>3296</v>
      </c>
      <c r="B24276" t="s">
        <v>2931</v>
      </c>
      <c r="C24276">
        <v>3210</v>
      </c>
      <c r="D24276" t="str">
        <f>"15254237313 "</f>
        <v xml:space="preserve">15254237313 </v>
      </c>
      <c r="E24276" t="s">
        <v>868</v>
      </c>
      <c r="F24276" t="s">
        <v>869</v>
      </c>
      <c r="G24276">
        <v>18.77</v>
      </c>
      <c r="H24276">
        <v>250228</v>
      </c>
      <c r="I24276">
        <v>4572</v>
      </c>
      <c r="J24276" t="s">
        <v>173</v>
      </c>
      <c r="K24276">
        <v>18.77</v>
      </c>
      <c r="L24276">
        <v>3.81</v>
      </c>
      <c r="M24276">
        <v>17981</v>
      </c>
      <c r="N24276" t="s">
        <v>927</v>
      </c>
      <c r="O24276">
        <v>250317</v>
      </c>
      <c r="P24276">
        <v>14.96</v>
      </c>
    </row>
    <row r="24277" spans="1:16" x14ac:dyDescent="0.25">
      <c r="A24277" t="s">
        <v>3296</v>
      </c>
      <c r="B24277" t="s">
        <v>2931</v>
      </c>
      <c r="C24277">
        <v>3211</v>
      </c>
      <c r="D24277" t="str">
        <f>"15254237860 "</f>
        <v xml:space="preserve">15254237860 </v>
      </c>
      <c r="E24277" t="s">
        <v>868</v>
      </c>
      <c r="F24277" t="s">
        <v>869</v>
      </c>
      <c r="G24277">
        <v>12.14</v>
      </c>
      <c r="H24277">
        <v>250228</v>
      </c>
      <c r="I24277">
        <v>4572</v>
      </c>
      <c r="J24277" t="s">
        <v>173</v>
      </c>
      <c r="K24277">
        <v>40.47</v>
      </c>
      <c r="L24277">
        <v>2.4700000000000002</v>
      </c>
      <c r="M24277">
        <v>14952</v>
      </c>
      <c r="N24277" t="s">
        <v>213</v>
      </c>
      <c r="O24277">
        <v>250317</v>
      </c>
      <c r="P24277">
        <v>9.67</v>
      </c>
    </row>
    <row r="24278" spans="1:16" x14ac:dyDescent="0.25">
      <c r="A24278" t="s">
        <v>3296</v>
      </c>
      <c r="B24278" t="s">
        <v>2931</v>
      </c>
      <c r="C24278">
        <v>3211</v>
      </c>
      <c r="D24278" t="str">
        <f>"15254237860 "</f>
        <v xml:space="preserve">15254237860 </v>
      </c>
      <c r="E24278" t="s">
        <v>868</v>
      </c>
      <c r="F24278" t="s">
        <v>869</v>
      </c>
      <c r="G24278">
        <v>28.33</v>
      </c>
      <c r="H24278">
        <v>250228</v>
      </c>
      <c r="I24278">
        <v>4572</v>
      </c>
      <c r="J24278" t="s">
        <v>173</v>
      </c>
      <c r="K24278">
        <v>40.47</v>
      </c>
      <c r="L24278">
        <v>5.76</v>
      </c>
      <c r="M24278">
        <v>14981</v>
      </c>
      <c r="N24278" t="s">
        <v>252</v>
      </c>
      <c r="O24278">
        <v>250317</v>
      </c>
      <c r="P24278">
        <v>22.57</v>
      </c>
    </row>
    <row r="24279" spans="1:16" x14ac:dyDescent="0.25">
      <c r="A24279" t="s">
        <v>3296</v>
      </c>
      <c r="B24279" t="s">
        <v>2931</v>
      </c>
      <c r="C24279">
        <v>3215</v>
      </c>
      <c r="D24279" t="str">
        <f>"15254237675 "</f>
        <v xml:space="preserve">15254237675 </v>
      </c>
      <c r="E24279" t="s">
        <v>868</v>
      </c>
      <c r="F24279" t="s">
        <v>869</v>
      </c>
      <c r="G24279">
        <v>20.88</v>
      </c>
      <c r="H24279">
        <v>250228</v>
      </c>
      <c r="I24279">
        <v>4572</v>
      </c>
      <c r="J24279" t="s">
        <v>173</v>
      </c>
      <c r="K24279">
        <v>62.66</v>
      </c>
      <c r="L24279">
        <v>4.24</v>
      </c>
      <c r="M24279">
        <v>11401</v>
      </c>
      <c r="N24279" t="s">
        <v>91</v>
      </c>
      <c r="O24279">
        <v>250317</v>
      </c>
      <c r="P24279">
        <v>16.64</v>
      </c>
    </row>
    <row r="24280" spans="1:16" x14ac:dyDescent="0.25">
      <c r="A24280" t="s">
        <v>3296</v>
      </c>
      <c r="B24280" t="s">
        <v>2931</v>
      </c>
      <c r="C24280">
        <v>3215</v>
      </c>
      <c r="D24280" t="str">
        <f>"15254237675 "</f>
        <v xml:space="preserve">15254237675 </v>
      </c>
      <c r="E24280" t="s">
        <v>868</v>
      </c>
      <c r="F24280" t="s">
        <v>869</v>
      </c>
      <c r="G24280">
        <v>41.78</v>
      </c>
      <c r="H24280">
        <v>250228</v>
      </c>
      <c r="I24280">
        <v>4572</v>
      </c>
      <c r="J24280" t="s">
        <v>173</v>
      </c>
      <c r="K24280">
        <v>62.66</v>
      </c>
      <c r="L24280">
        <v>8.49</v>
      </c>
      <c r="M24280">
        <v>14952</v>
      </c>
      <c r="N24280" t="s">
        <v>213</v>
      </c>
      <c r="O24280">
        <v>250317</v>
      </c>
      <c r="P24280">
        <v>33.29</v>
      </c>
    </row>
    <row r="24281" spans="1:16" x14ac:dyDescent="0.25">
      <c r="A24281" t="s">
        <v>3296</v>
      </c>
      <c r="B24281" t="s">
        <v>2931</v>
      </c>
      <c r="C24281">
        <v>3216</v>
      </c>
      <c r="D24281" t="str">
        <f>"15254238511 "</f>
        <v xml:space="preserve">15254238511 </v>
      </c>
      <c r="E24281" t="s">
        <v>868</v>
      </c>
      <c r="F24281" t="s">
        <v>869</v>
      </c>
      <c r="G24281">
        <v>111.51</v>
      </c>
      <c r="H24281">
        <v>250228</v>
      </c>
      <c r="I24281">
        <v>4572</v>
      </c>
      <c r="J24281" t="s">
        <v>173</v>
      </c>
      <c r="K24281">
        <v>111.51</v>
      </c>
      <c r="L24281">
        <v>22.66</v>
      </c>
      <c r="M24281">
        <v>17956</v>
      </c>
      <c r="N24281" t="s">
        <v>170</v>
      </c>
      <c r="O24281">
        <v>250317</v>
      </c>
      <c r="P24281">
        <v>88.85</v>
      </c>
    </row>
    <row r="24282" spans="1:16" x14ac:dyDescent="0.25">
      <c r="A24282" t="s">
        <v>3296</v>
      </c>
      <c r="B24282" t="s">
        <v>2931</v>
      </c>
      <c r="C24282">
        <v>3217</v>
      </c>
      <c r="D24282" t="str">
        <f>"15254237902 "</f>
        <v xml:space="preserve">15254237902 </v>
      </c>
      <c r="E24282" t="s">
        <v>868</v>
      </c>
      <c r="F24282" t="s">
        <v>869</v>
      </c>
      <c r="G24282">
        <v>146.02000000000001</v>
      </c>
      <c r="H24282">
        <v>250228</v>
      </c>
      <c r="I24282">
        <v>4572</v>
      </c>
      <c r="J24282" t="s">
        <v>173</v>
      </c>
      <c r="K24282">
        <v>438.38</v>
      </c>
      <c r="L24282">
        <v>29.67</v>
      </c>
      <c r="M24282">
        <v>11401</v>
      </c>
      <c r="N24282" t="s">
        <v>91</v>
      </c>
      <c r="O24282">
        <v>250317</v>
      </c>
      <c r="P24282">
        <v>116.35</v>
      </c>
    </row>
    <row r="24283" spans="1:16" x14ac:dyDescent="0.25">
      <c r="A24283" t="s">
        <v>3296</v>
      </c>
      <c r="B24283" t="s">
        <v>2931</v>
      </c>
      <c r="C24283">
        <v>3217</v>
      </c>
      <c r="D24283" t="str">
        <f>"15254237902 "</f>
        <v xml:space="preserve">15254237902 </v>
      </c>
      <c r="E24283" t="s">
        <v>868</v>
      </c>
      <c r="F24283" t="s">
        <v>869</v>
      </c>
      <c r="G24283">
        <v>292.36</v>
      </c>
      <c r="H24283">
        <v>250228</v>
      </c>
      <c r="I24283">
        <v>4572</v>
      </c>
      <c r="J24283" t="s">
        <v>173</v>
      </c>
      <c r="K24283">
        <v>438.38</v>
      </c>
      <c r="L24283">
        <v>59.4</v>
      </c>
      <c r="M24283">
        <v>14952</v>
      </c>
      <c r="N24283" t="s">
        <v>213</v>
      </c>
      <c r="O24283">
        <v>250317</v>
      </c>
      <c r="P24283">
        <v>232.96</v>
      </c>
    </row>
    <row r="24284" spans="1:16" x14ac:dyDescent="0.25">
      <c r="A24284" t="s">
        <v>3296</v>
      </c>
      <c r="B24284" t="s">
        <v>2931</v>
      </c>
      <c r="C24284">
        <v>3219</v>
      </c>
      <c r="D24284" t="str">
        <f>"15254237494 "</f>
        <v xml:space="preserve">15254237494 </v>
      </c>
      <c r="E24284" t="s">
        <v>868</v>
      </c>
      <c r="F24284" t="s">
        <v>869</v>
      </c>
      <c r="G24284">
        <v>80.150000000000006</v>
      </c>
      <c r="H24284">
        <v>250228</v>
      </c>
      <c r="I24284">
        <v>4572</v>
      </c>
      <c r="J24284" t="s">
        <v>173</v>
      </c>
      <c r="K24284">
        <v>2671.53</v>
      </c>
      <c r="L24284">
        <v>16.29</v>
      </c>
      <c r="M24284">
        <v>17739</v>
      </c>
      <c r="N24284" t="s">
        <v>928</v>
      </c>
      <c r="O24284">
        <v>250317</v>
      </c>
      <c r="P24284">
        <v>63.86</v>
      </c>
    </row>
    <row r="24285" spans="1:16" x14ac:dyDescent="0.25">
      <c r="A24285" t="s">
        <v>3296</v>
      </c>
      <c r="B24285" t="s">
        <v>2931</v>
      </c>
      <c r="C24285">
        <v>3219</v>
      </c>
      <c r="D24285" t="str">
        <f>"15254237494 "</f>
        <v xml:space="preserve">15254237494 </v>
      </c>
      <c r="E24285" t="s">
        <v>868</v>
      </c>
      <c r="F24285" t="s">
        <v>869</v>
      </c>
      <c r="G24285">
        <v>881.6</v>
      </c>
      <c r="H24285">
        <v>250228</v>
      </c>
      <c r="I24285">
        <v>4572</v>
      </c>
      <c r="J24285" t="s">
        <v>173</v>
      </c>
      <c r="K24285">
        <v>2671.53</v>
      </c>
      <c r="L24285">
        <v>179.13</v>
      </c>
      <c r="M24285">
        <v>17912</v>
      </c>
      <c r="N24285" t="s">
        <v>505</v>
      </c>
      <c r="O24285">
        <v>250317</v>
      </c>
      <c r="P24285">
        <v>702.47</v>
      </c>
    </row>
    <row r="24286" spans="1:16" x14ac:dyDescent="0.25">
      <c r="A24286" t="s">
        <v>3296</v>
      </c>
      <c r="B24286" t="s">
        <v>2931</v>
      </c>
      <c r="C24286">
        <v>3219</v>
      </c>
      <c r="D24286" t="str">
        <f>"15254237494 "</f>
        <v xml:space="preserve">15254237494 </v>
      </c>
      <c r="E24286" t="s">
        <v>868</v>
      </c>
      <c r="F24286" t="s">
        <v>869</v>
      </c>
      <c r="G24286">
        <v>1709.78</v>
      </c>
      <c r="H24286">
        <v>250228</v>
      </c>
      <c r="I24286">
        <v>4572</v>
      </c>
      <c r="J24286" t="s">
        <v>173</v>
      </c>
      <c r="K24286">
        <v>2671.53</v>
      </c>
      <c r="L24286">
        <v>347.41</v>
      </c>
      <c r="M24286">
        <v>17952</v>
      </c>
      <c r="N24286" t="s">
        <v>157</v>
      </c>
      <c r="O24286">
        <v>250317</v>
      </c>
      <c r="P24286">
        <v>1362.37</v>
      </c>
    </row>
    <row r="24287" spans="1:16" x14ac:dyDescent="0.25">
      <c r="A24287" t="s">
        <v>3296</v>
      </c>
      <c r="B24287" t="s">
        <v>2931</v>
      </c>
      <c r="C24287">
        <v>4867</v>
      </c>
      <c r="D24287" t="str">
        <f>"15254343439 "</f>
        <v xml:space="preserve">15254343439 </v>
      </c>
      <c r="E24287" t="s">
        <v>868</v>
      </c>
      <c r="F24287" t="s">
        <v>869</v>
      </c>
      <c r="G24287">
        <v>0.76</v>
      </c>
      <c r="H24287">
        <v>250331</v>
      </c>
      <c r="I24287">
        <v>4572</v>
      </c>
      <c r="J24287" t="s">
        <v>173</v>
      </c>
      <c r="K24287">
        <v>2.8</v>
      </c>
      <c r="L24287">
        <v>0.15</v>
      </c>
      <c r="M24287">
        <v>59112</v>
      </c>
      <c r="N24287" t="s">
        <v>44</v>
      </c>
      <c r="O24287">
        <v>250416</v>
      </c>
      <c r="P24287">
        <v>0.61</v>
      </c>
    </row>
    <row r="24288" spans="1:16" x14ac:dyDescent="0.25">
      <c r="A24288" t="s">
        <v>3296</v>
      </c>
      <c r="B24288" t="s">
        <v>2931</v>
      </c>
      <c r="C24288">
        <v>4867</v>
      </c>
      <c r="D24288" t="str">
        <f>"15254343439 "</f>
        <v xml:space="preserve">15254343439 </v>
      </c>
      <c r="E24288" t="s">
        <v>868</v>
      </c>
      <c r="F24288" t="s">
        <v>869</v>
      </c>
      <c r="G24288">
        <v>2.04</v>
      </c>
      <c r="H24288">
        <v>250331</v>
      </c>
      <c r="I24288">
        <v>4572</v>
      </c>
      <c r="J24288" t="s">
        <v>173</v>
      </c>
      <c r="K24288">
        <v>2.8</v>
      </c>
      <c r="L24288">
        <v>0.41</v>
      </c>
      <c r="M24288">
        <v>59504</v>
      </c>
      <c r="N24288" t="s">
        <v>193</v>
      </c>
      <c r="O24288">
        <v>250416</v>
      </c>
      <c r="P24288">
        <v>1.63</v>
      </c>
    </row>
    <row r="24289" spans="1:16" x14ac:dyDescent="0.25">
      <c r="A24289" t="s">
        <v>3296</v>
      </c>
      <c r="B24289" t="s">
        <v>2931</v>
      </c>
      <c r="C24289">
        <v>4877</v>
      </c>
      <c r="D24289" t="str">
        <f>"15254342615 "</f>
        <v xml:space="preserve">15254342615 </v>
      </c>
      <c r="E24289" t="s">
        <v>868</v>
      </c>
      <c r="F24289" t="s">
        <v>869</v>
      </c>
      <c r="G24289">
        <v>59.27</v>
      </c>
      <c r="H24289">
        <v>250331</v>
      </c>
      <c r="I24289">
        <v>4572</v>
      </c>
      <c r="J24289" t="s">
        <v>173</v>
      </c>
      <c r="K24289">
        <v>59.27</v>
      </c>
      <c r="L24289">
        <v>12.04</v>
      </c>
      <c r="M24289">
        <v>13841</v>
      </c>
      <c r="N24289" t="s">
        <v>178</v>
      </c>
      <c r="O24289">
        <v>250416</v>
      </c>
      <c r="P24289">
        <v>47.23</v>
      </c>
    </row>
    <row r="24290" spans="1:16" x14ac:dyDescent="0.25">
      <c r="A24290" t="s">
        <v>3296</v>
      </c>
      <c r="B24290" t="s">
        <v>2931</v>
      </c>
      <c r="C24290">
        <v>4879</v>
      </c>
      <c r="D24290" t="str">
        <f>"15254342424 "</f>
        <v xml:space="preserve">15254342424 </v>
      </c>
      <c r="E24290" t="s">
        <v>868</v>
      </c>
      <c r="F24290" t="s">
        <v>869</v>
      </c>
      <c r="G24290">
        <v>218.65</v>
      </c>
      <c r="H24290">
        <v>250331</v>
      </c>
      <c r="I24290">
        <v>4572</v>
      </c>
      <c r="J24290" t="s">
        <v>173</v>
      </c>
      <c r="K24290">
        <v>218.65</v>
      </c>
      <c r="L24290">
        <v>44.43</v>
      </c>
      <c r="M24290">
        <v>17956</v>
      </c>
      <c r="N24290" t="s">
        <v>170</v>
      </c>
      <c r="O24290">
        <v>250416</v>
      </c>
      <c r="P24290">
        <v>174.22</v>
      </c>
    </row>
    <row r="24291" spans="1:16" x14ac:dyDescent="0.25">
      <c r="A24291" t="s">
        <v>3296</v>
      </c>
      <c r="B24291" t="s">
        <v>2931</v>
      </c>
      <c r="C24291">
        <v>4880</v>
      </c>
      <c r="D24291" t="str">
        <f>"15254343375 "</f>
        <v xml:space="preserve">15254343375 </v>
      </c>
      <c r="E24291" t="s">
        <v>868</v>
      </c>
      <c r="F24291" t="s">
        <v>869</v>
      </c>
      <c r="G24291">
        <v>26.5</v>
      </c>
      <c r="H24291">
        <v>250331</v>
      </c>
      <c r="I24291">
        <v>4572</v>
      </c>
      <c r="J24291" t="s">
        <v>173</v>
      </c>
      <c r="K24291">
        <v>529.94000000000005</v>
      </c>
      <c r="L24291">
        <v>5.38</v>
      </c>
      <c r="M24291">
        <v>17737</v>
      </c>
      <c r="N24291" t="s">
        <v>156</v>
      </c>
      <c r="O24291">
        <v>250416</v>
      </c>
      <c r="P24291">
        <v>21.12</v>
      </c>
    </row>
    <row r="24292" spans="1:16" x14ac:dyDescent="0.25">
      <c r="A24292" t="s">
        <v>3296</v>
      </c>
      <c r="B24292" t="s">
        <v>2931</v>
      </c>
      <c r="C24292">
        <v>4880</v>
      </c>
      <c r="D24292" t="str">
        <f>"15254343375 "</f>
        <v xml:space="preserve">15254343375 </v>
      </c>
      <c r="E24292" t="s">
        <v>868</v>
      </c>
      <c r="F24292" t="s">
        <v>869</v>
      </c>
      <c r="G24292">
        <v>352.41</v>
      </c>
      <c r="H24292">
        <v>250331</v>
      </c>
      <c r="I24292">
        <v>4572</v>
      </c>
      <c r="J24292" t="s">
        <v>173</v>
      </c>
      <c r="K24292">
        <v>529.94000000000005</v>
      </c>
      <c r="L24292">
        <v>71.61</v>
      </c>
      <c r="M24292">
        <v>17737</v>
      </c>
      <c r="N24292" t="s">
        <v>156</v>
      </c>
      <c r="O24292">
        <v>250416</v>
      </c>
      <c r="P24292">
        <v>280.8</v>
      </c>
    </row>
    <row r="24293" spans="1:16" x14ac:dyDescent="0.25">
      <c r="A24293" t="s">
        <v>3296</v>
      </c>
      <c r="B24293" t="s">
        <v>2931</v>
      </c>
      <c r="C24293">
        <v>4880</v>
      </c>
      <c r="D24293" t="str">
        <f>"15254343375 "</f>
        <v xml:space="preserve">15254343375 </v>
      </c>
      <c r="E24293" t="s">
        <v>868</v>
      </c>
      <c r="F24293" t="s">
        <v>869</v>
      </c>
      <c r="G24293">
        <v>151.03</v>
      </c>
      <c r="H24293">
        <v>250331</v>
      </c>
      <c r="I24293">
        <v>4572</v>
      </c>
      <c r="J24293" t="s">
        <v>173</v>
      </c>
      <c r="K24293">
        <v>529.94000000000005</v>
      </c>
      <c r="L24293">
        <v>30.69</v>
      </c>
      <c r="M24293">
        <v>17739</v>
      </c>
      <c r="N24293" t="s">
        <v>928</v>
      </c>
      <c r="O24293">
        <v>250416</v>
      </c>
      <c r="P24293">
        <v>120.34</v>
      </c>
    </row>
    <row r="24294" spans="1:16" x14ac:dyDescent="0.25">
      <c r="A24294" t="s">
        <v>3296</v>
      </c>
      <c r="B24294" t="s">
        <v>2931</v>
      </c>
      <c r="C24294">
        <v>4881</v>
      </c>
      <c r="D24294" t="str">
        <f>"15254342849 "</f>
        <v xml:space="preserve">15254342849 </v>
      </c>
      <c r="E24294" t="s">
        <v>868</v>
      </c>
      <c r="F24294" t="s">
        <v>869</v>
      </c>
      <c r="G24294">
        <v>1383.45</v>
      </c>
      <c r="H24294">
        <v>250331</v>
      </c>
      <c r="I24294">
        <v>4572</v>
      </c>
      <c r="J24294" t="s">
        <v>173</v>
      </c>
      <c r="K24294">
        <v>1572.1</v>
      </c>
      <c r="L24294">
        <v>281.10000000000002</v>
      </c>
      <c r="M24294">
        <v>59505</v>
      </c>
      <c r="N24294" t="s">
        <v>194</v>
      </c>
      <c r="O24294">
        <v>250416</v>
      </c>
      <c r="P24294">
        <v>1102.3499999999999</v>
      </c>
    </row>
    <row r="24295" spans="1:16" x14ac:dyDescent="0.25">
      <c r="A24295" t="s">
        <v>3296</v>
      </c>
      <c r="B24295" t="s">
        <v>2931</v>
      </c>
      <c r="C24295">
        <v>4881</v>
      </c>
      <c r="D24295" t="str">
        <f>"15254342849 "</f>
        <v xml:space="preserve">15254342849 </v>
      </c>
      <c r="E24295" t="s">
        <v>868</v>
      </c>
      <c r="F24295" t="s">
        <v>869</v>
      </c>
      <c r="G24295">
        <v>188.65</v>
      </c>
      <c r="H24295">
        <v>250331</v>
      </c>
      <c r="I24295">
        <v>4572</v>
      </c>
      <c r="J24295" t="s">
        <v>173</v>
      </c>
      <c r="K24295">
        <v>1572.1</v>
      </c>
      <c r="L24295">
        <v>38.33</v>
      </c>
      <c r="M24295">
        <v>59812</v>
      </c>
      <c r="N24295" t="s">
        <v>196</v>
      </c>
      <c r="O24295">
        <v>250416</v>
      </c>
      <c r="P24295">
        <v>150.32</v>
      </c>
    </row>
    <row r="24296" spans="1:16" x14ac:dyDescent="0.25">
      <c r="A24296" t="s">
        <v>3296</v>
      </c>
      <c r="B24296" t="s">
        <v>2931</v>
      </c>
      <c r="C24296">
        <v>4882</v>
      </c>
      <c r="D24296" t="str">
        <f>"15254352855 "</f>
        <v xml:space="preserve">15254352855 </v>
      </c>
      <c r="E24296" t="s">
        <v>868</v>
      </c>
      <c r="F24296" t="s">
        <v>869</v>
      </c>
      <c r="G24296">
        <v>2844.27</v>
      </c>
      <c r="H24296">
        <v>250331</v>
      </c>
      <c r="I24296">
        <v>4572</v>
      </c>
      <c r="J24296" t="s">
        <v>173</v>
      </c>
      <c r="K24296">
        <v>2844.27</v>
      </c>
      <c r="L24296">
        <v>577.91999999999996</v>
      </c>
      <c r="M24296">
        <v>17951</v>
      </c>
      <c r="N24296" t="s">
        <v>207</v>
      </c>
      <c r="O24296">
        <v>250416</v>
      </c>
      <c r="P24296">
        <v>2266.35</v>
      </c>
    </row>
    <row r="24297" spans="1:16" x14ac:dyDescent="0.25">
      <c r="A24297" t="s">
        <v>3296</v>
      </c>
      <c r="B24297" t="s">
        <v>2931</v>
      </c>
      <c r="C24297">
        <v>4884</v>
      </c>
      <c r="D24297" t="str">
        <f>"15254342389 "</f>
        <v xml:space="preserve">15254342389 </v>
      </c>
      <c r="E24297" t="s">
        <v>868</v>
      </c>
      <c r="F24297" t="s">
        <v>869</v>
      </c>
      <c r="G24297">
        <v>809.44</v>
      </c>
      <c r="H24297">
        <v>250331</v>
      </c>
      <c r="I24297">
        <v>4572</v>
      </c>
      <c r="J24297" t="s">
        <v>173</v>
      </c>
      <c r="K24297">
        <v>7358.55</v>
      </c>
      <c r="L24297">
        <v>164.47</v>
      </c>
      <c r="M24297">
        <v>13540</v>
      </c>
      <c r="N24297" t="s">
        <v>131</v>
      </c>
      <c r="O24297">
        <v>250416</v>
      </c>
      <c r="P24297">
        <v>644.97</v>
      </c>
    </row>
    <row r="24298" spans="1:16" x14ac:dyDescent="0.25">
      <c r="A24298" t="s">
        <v>3296</v>
      </c>
      <c r="B24298" t="s">
        <v>2931</v>
      </c>
      <c r="C24298">
        <v>4884</v>
      </c>
      <c r="D24298" t="str">
        <f>"15254342389 "</f>
        <v xml:space="preserve">15254342389 </v>
      </c>
      <c r="E24298" t="s">
        <v>868</v>
      </c>
      <c r="F24298" t="s">
        <v>869</v>
      </c>
      <c r="G24298">
        <v>6549.11</v>
      </c>
      <c r="H24298">
        <v>250331</v>
      </c>
      <c r="I24298">
        <v>4572</v>
      </c>
      <c r="J24298" t="s">
        <v>173</v>
      </c>
      <c r="K24298">
        <v>7358.55</v>
      </c>
      <c r="L24298">
        <v>1330.7</v>
      </c>
      <c r="M24298">
        <v>17950</v>
      </c>
      <c r="N24298" t="s">
        <v>132</v>
      </c>
      <c r="O24298">
        <v>250416</v>
      </c>
      <c r="P24298">
        <v>5218.41</v>
      </c>
    </row>
    <row r="24299" spans="1:16" x14ac:dyDescent="0.25">
      <c r="A24299" t="s">
        <v>3296</v>
      </c>
      <c r="B24299" t="s">
        <v>2931</v>
      </c>
      <c r="C24299">
        <v>4889</v>
      </c>
      <c r="D24299" t="str">
        <f>"15254342491 "</f>
        <v xml:space="preserve">15254342491 </v>
      </c>
      <c r="E24299" t="s">
        <v>868</v>
      </c>
      <c r="F24299" t="s">
        <v>869</v>
      </c>
      <c r="G24299">
        <v>156.02000000000001</v>
      </c>
      <c r="H24299">
        <v>250331</v>
      </c>
      <c r="I24299">
        <v>4572</v>
      </c>
      <c r="J24299" t="s">
        <v>173</v>
      </c>
      <c r="K24299">
        <v>468.08</v>
      </c>
      <c r="L24299">
        <v>31.7</v>
      </c>
      <c r="M24299">
        <v>11401</v>
      </c>
      <c r="N24299" t="s">
        <v>91</v>
      </c>
      <c r="O24299">
        <v>250416</v>
      </c>
      <c r="P24299">
        <v>124.32</v>
      </c>
    </row>
    <row r="24300" spans="1:16" x14ac:dyDescent="0.25">
      <c r="A24300" t="s">
        <v>3296</v>
      </c>
      <c r="B24300" t="s">
        <v>2931</v>
      </c>
      <c r="C24300">
        <v>4889</v>
      </c>
      <c r="D24300" t="str">
        <f>"15254342491 "</f>
        <v xml:space="preserve">15254342491 </v>
      </c>
      <c r="E24300" t="s">
        <v>868</v>
      </c>
      <c r="F24300" t="s">
        <v>869</v>
      </c>
      <c r="G24300">
        <v>312.06</v>
      </c>
      <c r="H24300">
        <v>250331</v>
      </c>
      <c r="I24300">
        <v>4572</v>
      </c>
      <c r="J24300" t="s">
        <v>173</v>
      </c>
      <c r="K24300">
        <v>468.08</v>
      </c>
      <c r="L24300">
        <v>63.41</v>
      </c>
      <c r="M24300">
        <v>14952</v>
      </c>
      <c r="N24300" t="s">
        <v>213</v>
      </c>
      <c r="O24300">
        <v>250416</v>
      </c>
      <c r="P24300">
        <v>248.65</v>
      </c>
    </row>
    <row r="24301" spans="1:16" x14ac:dyDescent="0.25">
      <c r="A24301" t="s">
        <v>3296</v>
      </c>
      <c r="B24301" t="s">
        <v>2931</v>
      </c>
      <c r="C24301">
        <v>4890</v>
      </c>
      <c r="D24301" t="str">
        <f>"15254343175 "</f>
        <v xml:space="preserve">15254343175 </v>
      </c>
      <c r="E24301" t="s">
        <v>868</v>
      </c>
      <c r="F24301" t="s">
        <v>869</v>
      </c>
      <c r="G24301">
        <v>3080.65</v>
      </c>
      <c r="H24301">
        <v>250331</v>
      </c>
      <c r="I24301">
        <v>4572</v>
      </c>
      <c r="J24301" t="s">
        <v>173</v>
      </c>
      <c r="K24301">
        <v>3080.65</v>
      </c>
      <c r="L24301">
        <v>625.95000000000005</v>
      </c>
      <c r="M24301">
        <v>14951</v>
      </c>
      <c r="N24301" t="s">
        <v>186</v>
      </c>
      <c r="O24301">
        <v>250416</v>
      </c>
      <c r="P24301">
        <v>2454.6999999999998</v>
      </c>
    </row>
    <row r="24302" spans="1:16" x14ac:dyDescent="0.25">
      <c r="A24302" t="s">
        <v>3296</v>
      </c>
      <c r="B24302" t="s">
        <v>2931</v>
      </c>
      <c r="C24302">
        <v>4891</v>
      </c>
      <c r="D24302" t="str">
        <f>"15254343209 "</f>
        <v xml:space="preserve">15254343209 </v>
      </c>
      <c r="E24302" t="s">
        <v>868</v>
      </c>
      <c r="F24302" t="s">
        <v>869</v>
      </c>
      <c r="G24302">
        <v>5166.0200000000004</v>
      </c>
      <c r="H24302">
        <v>250331</v>
      </c>
      <c r="I24302">
        <v>4572</v>
      </c>
      <c r="J24302" t="s">
        <v>173</v>
      </c>
      <c r="K24302">
        <v>5166.0200000000004</v>
      </c>
      <c r="L24302">
        <v>1049.67</v>
      </c>
      <c r="M24302">
        <v>17951</v>
      </c>
      <c r="N24302" t="s">
        <v>207</v>
      </c>
      <c r="O24302">
        <v>250416</v>
      </c>
      <c r="P24302">
        <v>4116.3500000000004</v>
      </c>
    </row>
    <row r="24303" spans="1:16" x14ac:dyDescent="0.25">
      <c r="A24303" t="s">
        <v>3296</v>
      </c>
      <c r="B24303" t="s">
        <v>2931</v>
      </c>
      <c r="C24303">
        <v>4892</v>
      </c>
      <c r="D24303" t="str">
        <f>"15254342678 "</f>
        <v xml:space="preserve">15254342678 </v>
      </c>
      <c r="E24303" t="s">
        <v>868</v>
      </c>
      <c r="F24303" t="s">
        <v>869</v>
      </c>
      <c r="G24303">
        <v>145.86000000000001</v>
      </c>
      <c r="H24303">
        <v>250331</v>
      </c>
      <c r="I24303">
        <v>4572</v>
      </c>
      <c r="J24303" t="s">
        <v>173</v>
      </c>
      <c r="K24303">
        <v>4862.13</v>
      </c>
      <c r="L24303">
        <v>29.64</v>
      </c>
      <c r="M24303">
        <v>49111</v>
      </c>
      <c r="N24303" t="s">
        <v>108</v>
      </c>
      <c r="O24303">
        <v>250416</v>
      </c>
      <c r="P24303">
        <v>116.22</v>
      </c>
    </row>
    <row r="24304" spans="1:16" x14ac:dyDescent="0.25">
      <c r="A24304" t="s">
        <v>3296</v>
      </c>
      <c r="B24304" t="s">
        <v>2931</v>
      </c>
      <c r="C24304">
        <v>4892</v>
      </c>
      <c r="D24304" t="str">
        <f>"15254342678 "</f>
        <v xml:space="preserve">15254342678 </v>
      </c>
      <c r="E24304" t="s">
        <v>868</v>
      </c>
      <c r="F24304" t="s">
        <v>869</v>
      </c>
      <c r="G24304">
        <v>4497.4799999999996</v>
      </c>
      <c r="H24304">
        <v>250331</v>
      </c>
      <c r="I24304">
        <v>4572</v>
      </c>
      <c r="J24304" t="s">
        <v>173</v>
      </c>
      <c r="K24304">
        <v>4862.13</v>
      </c>
      <c r="L24304">
        <v>913.83</v>
      </c>
      <c r="M24304">
        <v>49501</v>
      </c>
      <c r="N24304" t="s">
        <v>110</v>
      </c>
      <c r="O24304">
        <v>250416</v>
      </c>
      <c r="P24304">
        <v>3583.65</v>
      </c>
    </row>
    <row r="24305" spans="1:16" x14ac:dyDescent="0.25">
      <c r="A24305" t="s">
        <v>3296</v>
      </c>
      <c r="B24305" t="s">
        <v>2931</v>
      </c>
      <c r="C24305">
        <v>4892</v>
      </c>
      <c r="D24305" t="str">
        <f>"15254342678 "</f>
        <v xml:space="preserve">15254342678 </v>
      </c>
      <c r="E24305" t="s">
        <v>868</v>
      </c>
      <c r="F24305" t="s">
        <v>869</v>
      </c>
      <c r="G24305">
        <v>97.24</v>
      </c>
      <c r="H24305">
        <v>250331</v>
      </c>
      <c r="I24305">
        <v>4572</v>
      </c>
      <c r="J24305" t="s">
        <v>173</v>
      </c>
      <c r="K24305">
        <v>4862.13</v>
      </c>
      <c r="L24305">
        <v>19.760000000000002</v>
      </c>
      <c r="M24305">
        <v>49801</v>
      </c>
      <c r="N24305" t="s">
        <v>953</v>
      </c>
      <c r="O24305">
        <v>250416</v>
      </c>
      <c r="P24305">
        <v>77.48</v>
      </c>
    </row>
    <row r="24306" spans="1:16" x14ac:dyDescent="0.25">
      <c r="A24306" t="s">
        <v>3296</v>
      </c>
      <c r="B24306" t="s">
        <v>2931</v>
      </c>
      <c r="C24306">
        <v>4892</v>
      </c>
      <c r="D24306" t="str">
        <f>"15254342678 "</f>
        <v xml:space="preserve">15254342678 </v>
      </c>
      <c r="E24306" t="s">
        <v>868</v>
      </c>
      <c r="F24306" t="s">
        <v>869</v>
      </c>
      <c r="G24306">
        <v>121.55</v>
      </c>
      <c r="H24306">
        <v>250331</v>
      </c>
      <c r="I24306">
        <v>4572</v>
      </c>
      <c r="J24306" t="s">
        <v>173</v>
      </c>
      <c r="K24306">
        <v>4862.13</v>
      </c>
      <c r="L24306">
        <v>0</v>
      </c>
      <c r="M24306">
        <v>49803</v>
      </c>
      <c r="N24306" t="s">
        <v>956</v>
      </c>
      <c r="O24306">
        <v>250416</v>
      </c>
      <c r="P24306">
        <v>121.55</v>
      </c>
    </row>
    <row r="24307" spans="1:16" x14ac:dyDescent="0.25">
      <c r="A24307" t="s">
        <v>3296</v>
      </c>
      <c r="B24307" t="s">
        <v>2931</v>
      </c>
      <c r="C24307">
        <v>4893</v>
      </c>
      <c r="D24307" t="str">
        <f>"15254342381 "</f>
        <v xml:space="preserve">15254342381 </v>
      </c>
      <c r="E24307" t="s">
        <v>868</v>
      </c>
      <c r="F24307" t="s">
        <v>869</v>
      </c>
      <c r="G24307">
        <v>2282.9</v>
      </c>
      <c r="H24307">
        <v>250331</v>
      </c>
      <c r="I24307">
        <v>4572</v>
      </c>
      <c r="J24307" t="s">
        <v>173</v>
      </c>
      <c r="K24307">
        <v>8010.16</v>
      </c>
      <c r="L24307">
        <v>463.86</v>
      </c>
      <c r="M24307">
        <v>69111</v>
      </c>
      <c r="N24307" t="s">
        <v>657</v>
      </c>
      <c r="O24307">
        <v>250416</v>
      </c>
      <c r="P24307">
        <v>1819.04</v>
      </c>
    </row>
    <row r="24308" spans="1:16" x14ac:dyDescent="0.25">
      <c r="A24308" t="s">
        <v>3296</v>
      </c>
      <c r="B24308" t="s">
        <v>2931</v>
      </c>
      <c r="C24308">
        <v>4893</v>
      </c>
      <c r="D24308" t="str">
        <f>"15254342381 "</f>
        <v xml:space="preserve">15254342381 </v>
      </c>
      <c r="E24308" t="s">
        <v>868</v>
      </c>
      <c r="F24308" t="s">
        <v>869</v>
      </c>
      <c r="G24308">
        <v>5607.11</v>
      </c>
      <c r="H24308">
        <v>250331</v>
      </c>
      <c r="I24308">
        <v>4572</v>
      </c>
      <c r="J24308" t="s">
        <v>173</v>
      </c>
      <c r="K24308">
        <v>8010.16</v>
      </c>
      <c r="L24308">
        <v>1139.29</v>
      </c>
      <c r="M24308">
        <v>69501</v>
      </c>
      <c r="N24308" t="s">
        <v>123</v>
      </c>
      <c r="O24308">
        <v>250416</v>
      </c>
      <c r="P24308">
        <v>4467.82</v>
      </c>
    </row>
    <row r="24309" spans="1:16" x14ac:dyDescent="0.25">
      <c r="A24309" t="s">
        <v>3296</v>
      </c>
      <c r="B24309" t="s">
        <v>2931</v>
      </c>
      <c r="C24309">
        <v>4893</v>
      </c>
      <c r="D24309" t="str">
        <f>"15254342381 "</f>
        <v xml:space="preserve">15254342381 </v>
      </c>
      <c r="E24309" t="s">
        <v>868</v>
      </c>
      <c r="F24309" t="s">
        <v>869</v>
      </c>
      <c r="G24309">
        <v>60.08</v>
      </c>
      <c r="H24309">
        <v>250331</v>
      </c>
      <c r="I24309">
        <v>4572</v>
      </c>
      <c r="J24309" t="s">
        <v>173</v>
      </c>
      <c r="K24309">
        <v>8010.16</v>
      </c>
      <c r="L24309">
        <v>12.21</v>
      </c>
      <c r="M24309">
        <v>69801</v>
      </c>
      <c r="N24309" t="s">
        <v>1077</v>
      </c>
      <c r="O24309">
        <v>250416</v>
      </c>
      <c r="P24309">
        <v>47.87</v>
      </c>
    </row>
    <row r="24310" spans="1:16" x14ac:dyDescent="0.25">
      <c r="A24310" t="s">
        <v>3296</v>
      </c>
      <c r="B24310" t="s">
        <v>2931</v>
      </c>
      <c r="C24310">
        <v>4893</v>
      </c>
      <c r="D24310" t="str">
        <f>"15254342381 "</f>
        <v xml:space="preserve">15254342381 </v>
      </c>
      <c r="E24310" t="s">
        <v>868</v>
      </c>
      <c r="F24310" t="s">
        <v>869</v>
      </c>
      <c r="G24310">
        <v>60.07</v>
      </c>
      <c r="H24310">
        <v>250331</v>
      </c>
      <c r="I24310">
        <v>4572</v>
      </c>
      <c r="J24310" t="s">
        <v>173</v>
      </c>
      <c r="K24310">
        <v>8010.16</v>
      </c>
      <c r="L24310">
        <v>0</v>
      </c>
      <c r="M24310">
        <v>69803</v>
      </c>
      <c r="N24310" t="s">
        <v>391</v>
      </c>
      <c r="O24310">
        <v>250416</v>
      </c>
      <c r="P24310">
        <v>60.07</v>
      </c>
    </row>
    <row r="24311" spans="1:16" x14ac:dyDescent="0.25">
      <c r="A24311" t="s">
        <v>3296</v>
      </c>
      <c r="B24311" t="s">
        <v>2931</v>
      </c>
      <c r="C24311">
        <v>4899</v>
      </c>
      <c r="D24311" t="str">
        <f>"15254342785 "</f>
        <v xml:space="preserve">15254342785 </v>
      </c>
      <c r="E24311" t="s">
        <v>868</v>
      </c>
      <c r="F24311" t="s">
        <v>869</v>
      </c>
      <c r="G24311">
        <v>2609.84</v>
      </c>
      <c r="H24311">
        <v>250331</v>
      </c>
      <c r="I24311">
        <v>4572</v>
      </c>
      <c r="J24311" t="s">
        <v>173</v>
      </c>
      <c r="K24311">
        <v>2609.84</v>
      </c>
      <c r="L24311">
        <v>530.29</v>
      </c>
      <c r="M24311">
        <v>17956</v>
      </c>
      <c r="N24311" t="s">
        <v>170</v>
      </c>
      <c r="O24311">
        <v>250416</v>
      </c>
      <c r="P24311">
        <v>2079.5500000000002</v>
      </c>
    </row>
    <row r="24312" spans="1:16" x14ac:dyDescent="0.25">
      <c r="A24312" t="s">
        <v>3296</v>
      </c>
      <c r="B24312" t="s">
        <v>2931</v>
      </c>
      <c r="C24312">
        <v>4901</v>
      </c>
      <c r="D24312" t="str">
        <f>"15254342463 "</f>
        <v xml:space="preserve">15254342463 </v>
      </c>
      <c r="E24312" t="s">
        <v>868</v>
      </c>
      <c r="F24312" t="s">
        <v>869</v>
      </c>
      <c r="G24312">
        <v>57.17</v>
      </c>
      <c r="H24312">
        <v>250331</v>
      </c>
      <c r="I24312">
        <v>4572</v>
      </c>
      <c r="J24312" t="s">
        <v>173</v>
      </c>
      <c r="K24312">
        <v>57.17</v>
      </c>
      <c r="L24312">
        <v>11.62</v>
      </c>
      <c r="M24312">
        <v>17956</v>
      </c>
      <c r="N24312" t="s">
        <v>170</v>
      </c>
      <c r="O24312">
        <v>250416</v>
      </c>
      <c r="P24312">
        <v>45.55</v>
      </c>
    </row>
    <row r="24313" spans="1:16" x14ac:dyDescent="0.25">
      <c r="A24313" t="s">
        <v>3296</v>
      </c>
      <c r="B24313" t="s">
        <v>2931</v>
      </c>
      <c r="C24313">
        <v>4902</v>
      </c>
      <c r="D24313" t="str">
        <f>"15254342616 "</f>
        <v xml:space="preserve">15254342616 </v>
      </c>
      <c r="E24313" t="s">
        <v>868</v>
      </c>
      <c r="F24313" t="s">
        <v>869</v>
      </c>
      <c r="G24313">
        <v>15.27</v>
      </c>
      <c r="H24313">
        <v>250331</v>
      </c>
      <c r="I24313">
        <v>4572</v>
      </c>
      <c r="J24313" t="s">
        <v>173</v>
      </c>
      <c r="K24313">
        <v>15.27</v>
      </c>
      <c r="L24313">
        <v>3.1</v>
      </c>
      <c r="M24313">
        <v>17981</v>
      </c>
      <c r="N24313" t="s">
        <v>927</v>
      </c>
      <c r="O24313">
        <v>250416</v>
      </c>
      <c r="P24313">
        <v>12.17</v>
      </c>
    </row>
    <row r="24314" spans="1:16" x14ac:dyDescent="0.25">
      <c r="A24314" t="s">
        <v>3296</v>
      </c>
      <c r="B24314" t="s">
        <v>2931</v>
      </c>
      <c r="C24314">
        <v>4903</v>
      </c>
      <c r="D24314" t="str">
        <f>"15254343269 "</f>
        <v xml:space="preserve">15254343269 </v>
      </c>
      <c r="E24314" t="s">
        <v>868</v>
      </c>
      <c r="F24314" t="s">
        <v>869</v>
      </c>
      <c r="G24314">
        <v>611.9</v>
      </c>
      <c r="H24314">
        <v>250331</v>
      </c>
      <c r="I24314">
        <v>4572</v>
      </c>
      <c r="J24314" t="s">
        <v>173</v>
      </c>
      <c r="K24314">
        <v>611.9</v>
      </c>
      <c r="L24314">
        <v>124.33</v>
      </c>
      <c r="M24314">
        <v>17950</v>
      </c>
      <c r="N24314" t="s">
        <v>132</v>
      </c>
      <c r="O24314">
        <v>250416</v>
      </c>
      <c r="P24314">
        <v>487.57</v>
      </c>
    </row>
    <row r="24315" spans="1:16" x14ac:dyDescent="0.25">
      <c r="A24315" t="s">
        <v>3296</v>
      </c>
      <c r="B24315" t="s">
        <v>2931</v>
      </c>
      <c r="C24315">
        <v>4904</v>
      </c>
      <c r="D24315" t="str">
        <f>"15254343218 "</f>
        <v xml:space="preserve">15254343218 </v>
      </c>
      <c r="E24315" t="s">
        <v>868</v>
      </c>
      <c r="F24315" t="s">
        <v>869</v>
      </c>
      <c r="G24315">
        <v>2767.8</v>
      </c>
      <c r="H24315">
        <v>250331</v>
      </c>
      <c r="I24315">
        <v>4572</v>
      </c>
      <c r="J24315" t="s">
        <v>173</v>
      </c>
      <c r="K24315">
        <v>4537.38</v>
      </c>
      <c r="L24315">
        <v>562.38</v>
      </c>
      <c r="M24315">
        <v>59502</v>
      </c>
      <c r="N24315" t="s">
        <v>63</v>
      </c>
      <c r="O24315">
        <v>250416</v>
      </c>
      <c r="P24315">
        <v>2205.42</v>
      </c>
    </row>
    <row r="24316" spans="1:16" x14ac:dyDescent="0.25">
      <c r="A24316" t="s">
        <v>3296</v>
      </c>
      <c r="B24316" t="s">
        <v>2931</v>
      </c>
      <c r="C24316">
        <v>4904</v>
      </c>
      <c r="D24316" t="str">
        <f>"15254343218 "</f>
        <v xml:space="preserve">15254343218 </v>
      </c>
      <c r="E24316" t="s">
        <v>868</v>
      </c>
      <c r="F24316" t="s">
        <v>869</v>
      </c>
      <c r="G24316">
        <v>1769.58</v>
      </c>
      <c r="H24316">
        <v>250331</v>
      </c>
      <c r="I24316">
        <v>4572</v>
      </c>
      <c r="J24316" t="s">
        <v>173</v>
      </c>
      <c r="K24316">
        <v>4537.38</v>
      </c>
      <c r="L24316">
        <v>359.56</v>
      </c>
      <c r="M24316">
        <v>59802</v>
      </c>
      <c r="N24316" t="s">
        <v>195</v>
      </c>
      <c r="O24316">
        <v>250416</v>
      </c>
      <c r="P24316">
        <v>1410.02</v>
      </c>
    </row>
    <row r="24317" spans="1:16" x14ac:dyDescent="0.25">
      <c r="A24317" t="s">
        <v>3296</v>
      </c>
      <c r="B24317" t="s">
        <v>2931</v>
      </c>
      <c r="C24317">
        <v>4909</v>
      </c>
      <c r="D24317" t="str">
        <f>"15254342623 "</f>
        <v xml:space="preserve">15254342623 </v>
      </c>
      <c r="E24317" t="s">
        <v>868</v>
      </c>
      <c r="F24317" t="s">
        <v>869</v>
      </c>
      <c r="G24317">
        <v>267.92</v>
      </c>
      <c r="H24317">
        <v>250331</v>
      </c>
      <c r="I24317">
        <v>4572</v>
      </c>
      <c r="J24317" t="s">
        <v>173</v>
      </c>
      <c r="K24317">
        <v>803.76</v>
      </c>
      <c r="L24317">
        <v>54.44</v>
      </c>
      <c r="M24317">
        <v>11401</v>
      </c>
      <c r="N24317" t="s">
        <v>91</v>
      </c>
      <c r="O24317">
        <v>250416</v>
      </c>
      <c r="P24317">
        <v>213.48</v>
      </c>
    </row>
    <row r="24318" spans="1:16" x14ac:dyDescent="0.25">
      <c r="A24318" t="s">
        <v>3296</v>
      </c>
      <c r="B24318" t="s">
        <v>2931</v>
      </c>
      <c r="C24318">
        <v>4909</v>
      </c>
      <c r="D24318" t="str">
        <f>"15254342623 "</f>
        <v xml:space="preserve">15254342623 </v>
      </c>
      <c r="E24318" t="s">
        <v>868</v>
      </c>
      <c r="F24318" t="s">
        <v>869</v>
      </c>
      <c r="G24318">
        <v>535.84</v>
      </c>
      <c r="H24318">
        <v>250331</v>
      </c>
      <c r="I24318">
        <v>4572</v>
      </c>
      <c r="J24318" t="s">
        <v>173</v>
      </c>
      <c r="K24318">
        <v>803.76</v>
      </c>
      <c r="L24318">
        <v>108.88</v>
      </c>
      <c r="M24318">
        <v>14952</v>
      </c>
      <c r="N24318" t="s">
        <v>213</v>
      </c>
      <c r="O24318">
        <v>250416</v>
      </c>
      <c r="P24318">
        <v>426.96</v>
      </c>
    </row>
    <row r="24319" spans="1:16" x14ac:dyDescent="0.25">
      <c r="A24319" t="s">
        <v>3296</v>
      </c>
      <c r="B24319" t="s">
        <v>2931</v>
      </c>
      <c r="C24319">
        <v>4911</v>
      </c>
      <c r="D24319" t="str">
        <f>"15254343413 "</f>
        <v xml:space="preserve">15254343413 </v>
      </c>
      <c r="E24319" t="s">
        <v>868</v>
      </c>
      <c r="F24319" t="s">
        <v>869</v>
      </c>
      <c r="G24319">
        <v>13.21</v>
      </c>
      <c r="H24319">
        <v>250331</v>
      </c>
      <c r="I24319">
        <v>4572</v>
      </c>
      <c r="J24319" t="s">
        <v>173</v>
      </c>
      <c r="K24319">
        <v>48.91</v>
      </c>
      <c r="L24319">
        <v>2.68</v>
      </c>
      <c r="M24319">
        <v>59112</v>
      </c>
      <c r="N24319" t="s">
        <v>44</v>
      </c>
      <c r="O24319">
        <v>250416</v>
      </c>
      <c r="P24319">
        <v>10.53</v>
      </c>
    </row>
    <row r="24320" spans="1:16" x14ac:dyDescent="0.25">
      <c r="A24320" t="s">
        <v>3296</v>
      </c>
      <c r="B24320" t="s">
        <v>2931</v>
      </c>
      <c r="C24320">
        <v>4911</v>
      </c>
      <c r="D24320" t="str">
        <f>"15254343413 "</f>
        <v xml:space="preserve">15254343413 </v>
      </c>
      <c r="E24320" t="s">
        <v>868</v>
      </c>
      <c r="F24320" t="s">
        <v>869</v>
      </c>
      <c r="G24320">
        <v>35.700000000000003</v>
      </c>
      <c r="H24320">
        <v>250331</v>
      </c>
      <c r="I24320">
        <v>4572</v>
      </c>
      <c r="J24320" t="s">
        <v>173</v>
      </c>
      <c r="K24320">
        <v>48.91</v>
      </c>
      <c r="L24320">
        <v>7.25</v>
      </c>
      <c r="M24320">
        <v>59504</v>
      </c>
      <c r="N24320" t="s">
        <v>193</v>
      </c>
      <c r="O24320">
        <v>250416</v>
      </c>
      <c r="P24320">
        <v>28.45</v>
      </c>
    </row>
    <row r="24321" spans="1:16" x14ac:dyDescent="0.25">
      <c r="A24321" t="s">
        <v>3296</v>
      </c>
      <c r="B24321" t="s">
        <v>2931</v>
      </c>
      <c r="C24321">
        <v>4926</v>
      </c>
      <c r="D24321" t="str">
        <f>"15254343197 "</f>
        <v xml:space="preserve">15254343197 </v>
      </c>
      <c r="E24321" t="s">
        <v>868</v>
      </c>
      <c r="F24321" t="s">
        <v>869</v>
      </c>
      <c r="G24321">
        <v>1484.41</v>
      </c>
      <c r="H24321">
        <v>250331</v>
      </c>
      <c r="I24321">
        <v>4572</v>
      </c>
      <c r="J24321" t="s">
        <v>173</v>
      </c>
      <c r="K24321">
        <v>1484.41</v>
      </c>
      <c r="L24321">
        <v>301.61</v>
      </c>
      <c r="M24321">
        <v>49503</v>
      </c>
      <c r="N24321" t="s">
        <v>267</v>
      </c>
      <c r="O24321">
        <v>250416</v>
      </c>
      <c r="P24321">
        <v>1182.8</v>
      </c>
    </row>
    <row r="24322" spans="1:16" x14ac:dyDescent="0.25">
      <c r="A24322" t="s">
        <v>3296</v>
      </c>
      <c r="B24322" t="s">
        <v>2931</v>
      </c>
      <c r="C24322">
        <v>4928</v>
      </c>
      <c r="D24322" t="str">
        <f>"15254342913 "</f>
        <v xml:space="preserve">15254342913 </v>
      </c>
      <c r="E24322" t="s">
        <v>868</v>
      </c>
      <c r="F24322" t="s">
        <v>869</v>
      </c>
      <c r="G24322">
        <v>0.17</v>
      </c>
      <c r="H24322">
        <v>250331</v>
      </c>
      <c r="I24322">
        <v>4572</v>
      </c>
      <c r="J24322" t="s">
        <v>173</v>
      </c>
      <c r="K24322">
        <v>0.64</v>
      </c>
      <c r="L24322">
        <v>0.03</v>
      </c>
      <c r="M24322">
        <v>59112</v>
      </c>
      <c r="N24322" t="s">
        <v>44</v>
      </c>
      <c r="O24322">
        <v>250416</v>
      </c>
      <c r="P24322">
        <v>0.14000000000000001</v>
      </c>
    </row>
    <row r="24323" spans="1:16" x14ac:dyDescent="0.25">
      <c r="A24323" t="s">
        <v>3296</v>
      </c>
      <c r="B24323" t="s">
        <v>2931</v>
      </c>
      <c r="C24323">
        <v>4928</v>
      </c>
      <c r="D24323" t="str">
        <f>"15254342913 "</f>
        <v xml:space="preserve">15254342913 </v>
      </c>
      <c r="E24323" t="s">
        <v>868</v>
      </c>
      <c r="F24323" t="s">
        <v>869</v>
      </c>
      <c r="G24323">
        <v>0.47</v>
      </c>
      <c r="H24323">
        <v>250331</v>
      </c>
      <c r="I24323">
        <v>4572</v>
      </c>
      <c r="J24323" t="s">
        <v>173</v>
      </c>
      <c r="K24323">
        <v>0.64</v>
      </c>
      <c r="L24323">
        <v>0.1</v>
      </c>
      <c r="M24323">
        <v>59504</v>
      </c>
      <c r="N24323" t="s">
        <v>193</v>
      </c>
      <c r="O24323">
        <v>250416</v>
      </c>
      <c r="P24323">
        <v>0.37</v>
      </c>
    </row>
    <row r="24324" spans="1:16" x14ac:dyDescent="0.25">
      <c r="A24324" t="s">
        <v>3296</v>
      </c>
      <c r="B24324" t="s">
        <v>2931</v>
      </c>
      <c r="C24324">
        <v>4929</v>
      </c>
      <c r="D24324" t="str">
        <f>"15254342580 "</f>
        <v xml:space="preserve">15254342580 </v>
      </c>
      <c r="E24324" t="s">
        <v>868</v>
      </c>
      <c r="F24324" t="s">
        <v>869</v>
      </c>
      <c r="G24324">
        <v>609.35</v>
      </c>
      <c r="H24324">
        <v>250331</v>
      </c>
      <c r="I24324">
        <v>4572</v>
      </c>
      <c r="J24324" t="s">
        <v>173</v>
      </c>
      <c r="K24324">
        <v>2256.85</v>
      </c>
      <c r="L24324">
        <v>123.81</v>
      </c>
      <c r="M24324">
        <v>59112</v>
      </c>
      <c r="N24324" t="s">
        <v>44</v>
      </c>
      <c r="O24324">
        <v>250416</v>
      </c>
      <c r="P24324">
        <v>485.54</v>
      </c>
    </row>
    <row r="24325" spans="1:16" x14ac:dyDescent="0.25">
      <c r="A24325" t="s">
        <v>3296</v>
      </c>
      <c r="B24325" t="s">
        <v>2931</v>
      </c>
      <c r="C24325">
        <v>4929</v>
      </c>
      <c r="D24325" t="str">
        <f>"15254342580 "</f>
        <v xml:space="preserve">15254342580 </v>
      </c>
      <c r="E24325" t="s">
        <v>868</v>
      </c>
      <c r="F24325" t="s">
        <v>869</v>
      </c>
      <c r="G24325">
        <v>1647.5</v>
      </c>
      <c r="H24325">
        <v>250331</v>
      </c>
      <c r="I24325">
        <v>4572</v>
      </c>
      <c r="J24325" t="s">
        <v>173</v>
      </c>
      <c r="K24325">
        <v>2256.85</v>
      </c>
      <c r="L24325">
        <v>334.75</v>
      </c>
      <c r="M24325">
        <v>59504</v>
      </c>
      <c r="N24325" t="s">
        <v>193</v>
      </c>
      <c r="O24325">
        <v>250416</v>
      </c>
      <c r="P24325">
        <v>1312.75</v>
      </c>
    </row>
    <row r="24326" spans="1:16" x14ac:dyDescent="0.25">
      <c r="A24326" t="s">
        <v>3296</v>
      </c>
      <c r="B24326" t="s">
        <v>2931</v>
      </c>
      <c r="C24326">
        <v>4931</v>
      </c>
      <c r="D24326" t="str">
        <f>"15254342783 "</f>
        <v xml:space="preserve">15254342783 </v>
      </c>
      <c r="E24326" t="s">
        <v>868</v>
      </c>
      <c r="F24326" t="s">
        <v>869</v>
      </c>
      <c r="G24326">
        <v>165.13</v>
      </c>
      <c r="H24326">
        <v>250331</v>
      </c>
      <c r="I24326">
        <v>4572</v>
      </c>
      <c r="J24326" t="s">
        <v>173</v>
      </c>
      <c r="K24326">
        <v>165.13</v>
      </c>
      <c r="L24326">
        <v>33.549999999999997</v>
      </c>
      <c r="M24326">
        <v>17956</v>
      </c>
      <c r="N24326" t="s">
        <v>170</v>
      </c>
      <c r="O24326">
        <v>250416</v>
      </c>
      <c r="P24326">
        <v>131.58000000000001</v>
      </c>
    </row>
    <row r="24327" spans="1:16" x14ac:dyDescent="0.25">
      <c r="A24327" t="s">
        <v>3296</v>
      </c>
      <c r="B24327" t="s">
        <v>2931</v>
      </c>
      <c r="C24327">
        <v>4933</v>
      </c>
      <c r="D24327" t="str">
        <f>"15254342434 "</f>
        <v xml:space="preserve">15254342434 </v>
      </c>
      <c r="E24327" t="s">
        <v>868</v>
      </c>
      <c r="F24327" t="s">
        <v>869</v>
      </c>
      <c r="G24327">
        <v>16.7</v>
      </c>
      <c r="H24327">
        <v>250331</v>
      </c>
      <c r="I24327">
        <v>4572</v>
      </c>
      <c r="J24327" t="s">
        <v>173</v>
      </c>
      <c r="K24327">
        <v>55.66</v>
      </c>
      <c r="L24327">
        <v>3.39</v>
      </c>
      <c r="M24327">
        <v>14952</v>
      </c>
      <c r="N24327" t="s">
        <v>213</v>
      </c>
      <c r="O24327">
        <v>250416</v>
      </c>
      <c r="P24327">
        <v>13.31</v>
      </c>
    </row>
    <row r="24328" spans="1:16" x14ac:dyDescent="0.25">
      <c r="A24328" t="s">
        <v>3296</v>
      </c>
      <c r="B24328" t="s">
        <v>2931</v>
      </c>
      <c r="C24328">
        <v>4933</v>
      </c>
      <c r="D24328" t="str">
        <f>"15254342434 "</f>
        <v xml:space="preserve">15254342434 </v>
      </c>
      <c r="E24328" t="s">
        <v>868</v>
      </c>
      <c r="F24328" t="s">
        <v>869</v>
      </c>
      <c r="G24328">
        <v>38.96</v>
      </c>
      <c r="H24328">
        <v>250331</v>
      </c>
      <c r="I24328">
        <v>4572</v>
      </c>
      <c r="J24328" t="s">
        <v>173</v>
      </c>
      <c r="K24328">
        <v>55.66</v>
      </c>
      <c r="L24328">
        <v>7.92</v>
      </c>
      <c r="M24328">
        <v>14981</v>
      </c>
      <c r="N24328" t="s">
        <v>252</v>
      </c>
      <c r="O24328">
        <v>250416</v>
      </c>
      <c r="P24328">
        <v>31.04</v>
      </c>
    </row>
    <row r="24329" spans="1:16" x14ac:dyDescent="0.25">
      <c r="A24329" t="s">
        <v>3296</v>
      </c>
      <c r="B24329" t="s">
        <v>2931</v>
      </c>
      <c r="C24329">
        <v>4934</v>
      </c>
      <c r="D24329" t="str">
        <f>"15254342581 "</f>
        <v xml:space="preserve">15254342581 </v>
      </c>
      <c r="E24329" t="s">
        <v>868</v>
      </c>
      <c r="F24329" t="s">
        <v>869</v>
      </c>
      <c r="G24329">
        <v>62.51</v>
      </c>
      <c r="H24329">
        <v>250331</v>
      </c>
      <c r="I24329">
        <v>4572</v>
      </c>
      <c r="J24329" t="s">
        <v>173</v>
      </c>
      <c r="K24329">
        <v>62.51</v>
      </c>
      <c r="L24329">
        <v>0</v>
      </c>
      <c r="M24329">
        <v>11001</v>
      </c>
      <c r="N24329" t="s">
        <v>93</v>
      </c>
      <c r="O24329">
        <v>250416</v>
      </c>
      <c r="P24329">
        <v>62.51</v>
      </c>
    </row>
    <row r="24330" spans="1:16" x14ac:dyDescent="0.25">
      <c r="A24330" t="s">
        <v>3296</v>
      </c>
      <c r="B24330" t="s">
        <v>2931</v>
      </c>
      <c r="C24330">
        <v>4938</v>
      </c>
      <c r="D24330" t="str">
        <f>"15254342829 "</f>
        <v xml:space="preserve">15254342829 </v>
      </c>
      <c r="E24330" t="s">
        <v>868</v>
      </c>
      <c r="F24330" t="s">
        <v>869</v>
      </c>
      <c r="G24330">
        <v>2.6</v>
      </c>
      <c r="H24330">
        <v>250331</v>
      </c>
      <c r="I24330">
        <v>4572</v>
      </c>
      <c r="J24330" t="s">
        <v>173</v>
      </c>
      <c r="K24330">
        <v>8.68</v>
      </c>
      <c r="L24330">
        <v>0.53</v>
      </c>
      <c r="M24330">
        <v>14952</v>
      </c>
      <c r="N24330" t="s">
        <v>213</v>
      </c>
      <c r="O24330">
        <v>250416</v>
      </c>
      <c r="P24330">
        <v>2.0699999999999998</v>
      </c>
    </row>
    <row r="24331" spans="1:16" x14ac:dyDescent="0.25">
      <c r="A24331" t="s">
        <v>3296</v>
      </c>
      <c r="B24331" t="s">
        <v>2931</v>
      </c>
      <c r="C24331">
        <v>4938</v>
      </c>
      <c r="D24331" t="str">
        <f>"15254342829 "</f>
        <v xml:space="preserve">15254342829 </v>
      </c>
      <c r="E24331" t="s">
        <v>868</v>
      </c>
      <c r="F24331" t="s">
        <v>869</v>
      </c>
      <c r="G24331">
        <v>6.08</v>
      </c>
      <c r="H24331">
        <v>250331</v>
      </c>
      <c r="I24331">
        <v>4572</v>
      </c>
      <c r="J24331" t="s">
        <v>173</v>
      </c>
      <c r="K24331">
        <v>8.68</v>
      </c>
      <c r="L24331">
        <v>1.24</v>
      </c>
      <c r="M24331">
        <v>14981</v>
      </c>
      <c r="N24331" t="s">
        <v>252</v>
      </c>
      <c r="O24331">
        <v>250416</v>
      </c>
      <c r="P24331">
        <v>4.84</v>
      </c>
    </row>
    <row r="24332" spans="1:16" x14ac:dyDescent="0.25">
      <c r="A24332" t="s">
        <v>3296</v>
      </c>
      <c r="B24332" t="s">
        <v>2931</v>
      </c>
      <c r="C24332">
        <v>4939</v>
      </c>
      <c r="D24332" t="str">
        <f>"15254342476 "</f>
        <v xml:space="preserve">15254342476 </v>
      </c>
      <c r="E24332" t="s">
        <v>868</v>
      </c>
      <c r="F24332" t="s">
        <v>869</v>
      </c>
      <c r="G24332">
        <v>24.13</v>
      </c>
      <c r="H24332">
        <v>250331</v>
      </c>
      <c r="I24332">
        <v>4572</v>
      </c>
      <c r="J24332" t="s">
        <v>173</v>
      </c>
      <c r="K24332">
        <v>24.13</v>
      </c>
      <c r="L24332">
        <v>4.9000000000000004</v>
      </c>
      <c r="M24332">
        <v>17956</v>
      </c>
      <c r="N24332" t="s">
        <v>170</v>
      </c>
      <c r="O24332">
        <v>250416</v>
      </c>
      <c r="P24332">
        <v>19.23</v>
      </c>
    </row>
    <row r="24333" spans="1:16" x14ac:dyDescent="0.25">
      <c r="A24333" t="s">
        <v>3296</v>
      </c>
      <c r="B24333" t="s">
        <v>2931</v>
      </c>
      <c r="C24333">
        <v>4941</v>
      </c>
      <c r="D24333" t="str">
        <f>"15254342492 "</f>
        <v xml:space="preserve">15254342492 </v>
      </c>
      <c r="E24333" t="s">
        <v>868</v>
      </c>
      <c r="F24333" t="s">
        <v>869</v>
      </c>
      <c r="G24333">
        <v>8.15</v>
      </c>
      <c r="H24333">
        <v>250331</v>
      </c>
      <c r="I24333">
        <v>4572</v>
      </c>
      <c r="J24333" t="s">
        <v>173</v>
      </c>
      <c r="K24333">
        <v>27.16</v>
      </c>
      <c r="L24333">
        <v>1.66</v>
      </c>
      <c r="M24333">
        <v>14952</v>
      </c>
      <c r="N24333" t="s">
        <v>213</v>
      </c>
      <c r="O24333">
        <v>250416</v>
      </c>
      <c r="P24333">
        <v>6.49</v>
      </c>
    </row>
    <row r="24334" spans="1:16" x14ac:dyDescent="0.25">
      <c r="A24334" t="s">
        <v>3296</v>
      </c>
      <c r="B24334" t="s">
        <v>2931</v>
      </c>
      <c r="C24334">
        <v>4941</v>
      </c>
      <c r="D24334" t="str">
        <f>"15254342492 "</f>
        <v xml:space="preserve">15254342492 </v>
      </c>
      <c r="E24334" t="s">
        <v>868</v>
      </c>
      <c r="F24334" t="s">
        <v>869</v>
      </c>
      <c r="G24334">
        <v>19.010000000000002</v>
      </c>
      <c r="H24334">
        <v>250331</v>
      </c>
      <c r="I24334">
        <v>4572</v>
      </c>
      <c r="J24334" t="s">
        <v>173</v>
      </c>
      <c r="K24334">
        <v>27.16</v>
      </c>
      <c r="L24334">
        <v>3.86</v>
      </c>
      <c r="M24334">
        <v>14981</v>
      </c>
      <c r="N24334" t="s">
        <v>252</v>
      </c>
      <c r="O24334">
        <v>250416</v>
      </c>
      <c r="P24334">
        <v>15.15</v>
      </c>
    </row>
    <row r="24335" spans="1:16" x14ac:dyDescent="0.25">
      <c r="A24335" t="s">
        <v>3296</v>
      </c>
      <c r="B24335" t="s">
        <v>2931</v>
      </c>
      <c r="C24335">
        <v>4943</v>
      </c>
      <c r="D24335" t="str">
        <f>"15254343330 "</f>
        <v xml:space="preserve">15254343330 </v>
      </c>
      <c r="E24335" t="s">
        <v>868</v>
      </c>
      <c r="F24335" t="s">
        <v>869</v>
      </c>
      <c r="G24335">
        <v>1920.55</v>
      </c>
      <c r="H24335">
        <v>250331</v>
      </c>
      <c r="I24335">
        <v>4572</v>
      </c>
      <c r="J24335" t="s">
        <v>173</v>
      </c>
      <c r="K24335">
        <v>2021.63</v>
      </c>
      <c r="L24335">
        <v>390.23</v>
      </c>
      <c r="M24335">
        <v>49501</v>
      </c>
      <c r="N24335" t="s">
        <v>110</v>
      </c>
      <c r="O24335">
        <v>250416</v>
      </c>
      <c r="P24335">
        <v>1530.32</v>
      </c>
    </row>
    <row r="24336" spans="1:16" x14ac:dyDescent="0.25">
      <c r="A24336" t="s">
        <v>3296</v>
      </c>
      <c r="B24336" t="s">
        <v>2931</v>
      </c>
      <c r="C24336">
        <v>4943</v>
      </c>
      <c r="D24336" t="str">
        <f>"15254343330 "</f>
        <v xml:space="preserve">15254343330 </v>
      </c>
      <c r="E24336" t="s">
        <v>868</v>
      </c>
      <c r="F24336" t="s">
        <v>869</v>
      </c>
      <c r="G24336">
        <v>101.08</v>
      </c>
      <c r="H24336">
        <v>250331</v>
      </c>
      <c r="I24336">
        <v>4572</v>
      </c>
      <c r="J24336" t="s">
        <v>173</v>
      </c>
      <c r="K24336">
        <v>2021.63</v>
      </c>
      <c r="L24336">
        <v>20.54</v>
      </c>
      <c r="M24336">
        <v>49801</v>
      </c>
      <c r="N24336" t="s">
        <v>953</v>
      </c>
      <c r="O24336">
        <v>250416</v>
      </c>
      <c r="P24336">
        <v>80.540000000000006</v>
      </c>
    </row>
    <row r="24337" spans="1:16" x14ac:dyDescent="0.25">
      <c r="A24337" t="s">
        <v>3296</v>
      </c>
      <c r="B24337" t="s">
        <v>2931</v>
      </c>
      <c r="C24337">
        <v>4948</v>
      </c>
      <c r="D24337" t="str">
        <f>"15254342473 "</f>
        <v xml:space="preserve">15254342473 </v>
      </c>
      <c r="E24337" t="s">
        <v>868</v>
      </c>
      <c r="F24337" t="s">
        <v>869</v>
      </c>
      <c r="G24337">
        <v>24.76</v>
      </c>
      <c r="H24337">
        <v>250331</v>
      </c>
      <c r="I24337">
        <v>4572</v>
      </c>
      <c r="J24337" t="s">
        <v>173</v>
      </c>
      <c r="K24337">
        <v>24.76</v>
      </c>
      <c r="L24337">
        <v>5.03</v>
      </c>
      <c r="M24337">
        <v>13841</v>
      </c>
      <c r="N24337" t="s">
        <v>178</v>
      </c>
      <c r="O24337">
        <v>250416</v>
      </c>
      <c r="P24337">
        <v>19.73</v>
      </c>
    </row>
    <row r="24338" spans="1:16" x14ac:dyDescent="0.25">
      <c r="A24338" t="s">
        <v>3296</v>
      </c>
      <c r="B24338" t="s">
        <v>2931</v>
      </c>
      <c r="C24338">
        <v>4949</v>
      </c>
      <c r="D24338" t="str">
        <f>"15254343396 "</f>
        <v xml:space="preserve">15254343396 </v>
      </c>
      <c r="E24338" t="s">
        <v>868</v>
      </c>
      <c r="F24338" t="s">
        <v>869</v>
      </c>
      <c r="G24338">
        <v>35.07</v>
      </c>
      <c r="H24338">
        <v>250331</v>
      </c>
      <c r="I24338">
        <v>4572</v>
      </c>
      <c r="J24338" t="s">
        <v>173</v>
      </c>
      <c r="K24338">
        <v>105.23</v>
      </c>
      <c r="L24338">
        <v>7.13</v>
      </c>
      <c r="M24338">
        <v>11401</v>
      </c>
      <c r="N24338" t="s">
        <v>91</v>
      </c>
      <c r="O24338">
        <v>250416</v>
      </c>
      <c r="P24338">
        <v>27.94</v>
      </c>
    </row>
    <row r="24339" spans="1:16" x14ac:dyDescent="0.25">
      <c r="A24339" t="s">
        <v>3296</v>
      </c>
      <c r="B24339" t="s">
        <v>2931</v>
      </c>
      <c r="C24339">
        <v>4949</v>
      </c>
      <c r="D24339" t="str">
        <f>"15254343396 "</f>
        <v xml:space="preserve">15254343396 </v>
      </c>
      <c r="E24339" t="s">
        <v>868</v>
      </c>
      <c r="F24339" t="s">
        <v>869</v>
      </c>
      <c r="G24339">
        <v>70.16</v>
      </c>
      <c r="H24339">
        <v>250331</v>
      </c>
      <c r="I24339">
        <v>4572</v>
      </c>
      <c r="J24339" t="s">
        <v>173</v>
      </c>
      <c r="K24339">
        <v>105.23</v>
      </c>
      <c r="L24339">
        <v>14.26</v>
      </c>
      <c r="M24339">
        <v>14952</v>
      </c>
      <c r="N24339" t="s">
        <v>213</v>
      </c>
      <c r="O24339">
        <v>250416</v>
      </c>
      <c r="P24339">
        <v>55.9</v>
      </c>
    </row>
    <row r="24340" spans="1:16" x14ac:dyDescent="0.25">
      <c r="A24340" t="s">
        <v>3296</v>
      </c>
      <c r="B24340" t="s">
        <v>2931</v>
      </c>
      <c r="C24340">
        <v>4956</v>
      </c>
      <c r="D24340" t="str">
        <f>"15254342908 "</f>
        <v xml:space="preserve">15254342908 </v>
      </c>
      <c r="E24340" t="s">
        <v>868</v>
      </c>
      <c r="F24340" t="s">
        <v>869</v>
      </c>
      <c r="G24340">
        <v>521.73</v>
      </c>
      <c r="H24340">
        <v>250331</v>
      </c>
      <c r="I24340">
        <v>4572</v>
      </c>
      <c r="J24340" t="s">
        <v>173</v>
      </c>
      <c r="K24340">
        <v>8695.48</v>
      </c>
      <c r="L24340">
        <v>106.01</v>
      </c>
      <c r="M24340">
        <v>59111</v>
      </c>
      <c r="N24340" t="s">
        <v>60</v>
      </c>
      <c r="O24340">
        <v>250416</v>
      </c>
      <c r="P24340">
        <v>415.72</v>
      </c>
    </row>
    <row r="24341" spans="1:16" x14ac:dyDescent="0.25">
      <c r="A24341" t="s">
        <v>3296</v>
      </c>
      <c r="B24341" t="s">
        <v>2931</v>
      </c>
      <c r="C24341">
        <v>4956</v>
      </c>
      <c r="D24341" t="str">
        <f>"15254342908 "</f>
        <v xml:space="preserve">15254342908 </v>
      </c>
      <c r="E24341" t="s">
        <v>868</v>
      </c>
      <c r="F24341" t="s">
        <v>869</v>
      </c>
      <c r="G24341">
        <v>8173.75</v>
      </c>
      <c r="H24341">
        <v>250331</v>
      </c>
      <c r="I24341">
        <v>4572</v>
      </c>
      <c r="J24341" t="s">
        <v>173</v>
      </c>
      <c r="K24341">
        <v>8695.48</v>
      </c>
      <c r="L24341">
        <v>1660.8</v>
      </c>
      <c r="M24341">
        <v>59501</v>
      </c>
      <c r="N24341" t="s">
        <v>62</v>
      </c>
      <c r="O24341">
        <v>250416</v>
      </c>
      <c r="P24341">
        <v>6512.95</v>
      </c>
    </row>
    <row r="24342" spans="1:16" x14ac:dyDescent="0.25">
      <c r="A24342" t="s">
        <v>3296</v>
      </c>
      <c r="B24342" t="s">
        <v>2931</v>
      </c>
      <c r="C24342">
        <v>4959</v>
      </c>
      <c r="D24342" t="str">
        <f>"15254343204 "</f>
        <v xml:space="preserve">15254343204 </v>
      </c>
      <c r="E24342" t="s">
        <v>868</v>
      </c>
      <c r="F24342" t="s">
        <v>869</v>
      </c>
      <c r="G24342">
        <v>444.67</v>
      </c>
      <c r="H24342">
        <v>250331</v>
      </c>
      <c r="I24342">
        <v>4572</v>
      </c>
      <c r="J24342" t="s">
        <v>173</v>
      </c>
      <c r="K24342">
        <v>444.67</v>
      </c>
      <c r="L24342">
        <v>90.35</v>
      </c>
      <c r="M24342">
        <v>13841</v>
      </c>
      <c r="N24342" t="s">
        <v>178</v>
      </c>
      <c r="O24342">
        <v>250416</v>
      </c>
      <c r="P24342">
        <v>354.32</v>
      </c>
    </row>
    <row r="24343" spans="1:16" x14ac:dyDescent="0.25">
      <c r="A24343" t="s">
        <v>3296</v>
      </c>
      <c r="B24343" t="s">
        <v>2931</v>
      </c>
      <c r="C24343">
        <v>5237</v>
      </c>
      <c r="D24343" t="str">
        <f>"15254342857 "</f>
        <v xml:space="preserve">15254342857 </v>
      </c>
      <c r="E24343" t="s">
        <v>868</v>
      </c>
      <c r="F24343" t="s">
        <v>869</v>
      </c>
      <c r="G24343">
        <v>45.49</v>
      </c>
      <c r="H24343">
        <v>250331</v>
      </c>
      <c r="I24343">
        <v>4572</v>
      </c>
      <c r="J24343" t="s">
        <v>173</v>
      </c>
      <c r="K24343">
        <v>45.49</v>
      </c>
      <c r="L24343">
        <v>9.24</v>
      </c>
      <c r="M24343">
        <v>56571</v>
      </c>
      <c r="N24343" t="s">
        <v>553</v>
      </c>
      <c r="O24343">
        <v>250422</v>
      </c>
      <c r="P24343">
        <v>36.25</v>
      </c>
    </row>
    <row r="24344" spans="1:16" x14ac:dyDescent="0.25">
      <c r="A24344" t="s">
        <v>3296</v>
      </c>
      <c r="B24344" t="s">
        <v>2931</v>
      </c>
      <c r="C24344">
        <v>5238</v>
      </c>
      <c r="D24344" t="str">
        <f>"15254343440 "</f>
        <v xml:space="preserve">15254343440 </v>
      </c>
      <c r="E24344" t="s">
        <v>868</v>
      </c>
      <c r="F24344" t="s">
        <v>869</v>
      </c>
      <c r="G24344">
        <v>44.06</v>
      </c>
      <c r="H24344">
        <v>250331</v>
      </c>
      <c r="I24344">
        <v>4572</v>
      </c>
      <c r="J24344" t="s">
        <v>173</v>
      </c>
      <c r="K24344">
        <v>44.06</v>
      </c>
      <c r="L24344">
        <v>8.9499999999999993</v>
      </c>
      <c r="M24344">
        <v>56571</v>
      </c>
      <c r="N24344" t="s">
        <v>553</v>
      </c>
      <c r="O24344">
        <v>250422</v>
      </c>
      <c r="P24344">
        <v>35.11</v>
      </c>
    </row>
    <row r="24345" spans="1:16" x14ac:dyDescent="0.25">
      <c r="A24345" t="s">
        <v>3296</v>
      </c>
      <c r="B24345" t="s">
        <v>2931</v>
      </c>
      <c r="C24345">
        <v>863</v>
      </c>
      <c r="D24345" t="str">
        <f>"6025010124  "</f>
        <v xml:space="preserve">6025010124  </v>
      </c>
      <c r="E24345" t="s">
        <v>760</v>
      </c>
      <c r="F24345" t="s">
        <v>761</v>
      </c>
      <c r="G24345">
        <v>338.85</v>
      </c>
      <c r="H24345">
        <v>250128</v>
      </c>
      <c r="I24345">
        <v>4470</v>
      </c>
      <c r="J24345" t="s">
        <v>203</v>
      </c>
      <c r="K24345">
        <v>338.85</v>
      </c>
      <c r="L24345">
        <v>68.849999999999994</v>
      </c>
      <c r="M24345">
        <v>67554</v>
      </c>
      <c r="N24345" t="s">
        <v>317</v>
      </c>
      <c r="O24345">
        <v>250130</v>
      </c>
      <c r="P24345">
        <v>270</v>
      </c>
    </row>
    <row r="24346" spans="1:16" x14ac:dyDescent="0.25">
      <c r="A24346" t="s">
        <v>3296</v>
      </c>
      <c r="B24346" t="s">
        <v>2931</v>
      </c>
      <c r="C24346">
        <v>864</v>
      </c>
      <c r="D24346" t="str">
        <f>"6025010125  "</f>
        <v xml:space="preserve">6025010125  </v>
      </c>
      <c r="E24346" t="s">
        <v>760</v>
      </c>
      <c r="F24346" t="s">
        <v>761</v>
      </c>
      <c r="G24346">
        <v>339.36</v>
      </c>
      <c r="H24346">
        <v>250128</v>
      </c>
      <c r="I24346">
        <v>4470</v>
      </c>
      <c r="J24346" t="s">
        <v>203</v>
      </c>
      <c r="K24346">
        <v>339.36</v>
      </c>
      <c r="L24346">
        <v>68.95</v>
      </c>
      <c r="M24346">
        <v>67554</v>
      </c>
      <c r="N24346" t="s">
        <v>317</v>
      </c>
      <c r="O24346">
        <v>250130</v>
      </c>
      <c r="P24346">
        <v>270.41000000000003</v>
      </c>
    </row>
    <row r="24347" spans="1:16" x14ac:dyDescent="0.25">
      <c r="A24347" t="s">
        <v>3296</v>
      </c>
      <c r="B24347" t="s">
        <v>2931</v>
      </c>
      <c r="C24347">
        <v>14760</v>
      </c>
      <c r="D24347" t="str">
        <f>"177         "</f>
        <v xml:space="preserve">177         </v>
      </c>
      <c r="E24347" t="s">
        <v>760</v>
      </c>
      <c r="F24347" t="s">
        <v>761</v>
      </c>
      <c r="G24347">
        <v>727.9</v>
      </c>
      <c r="H24347">
        <v>251105</v>
      </c>
      <c r="I24347">
        <v>4470</v>
      </c>
      <c r="J24347" t="s">
        <v>203</v>
      </c>
      <c r="K24347">
        <v>727.9</v>
      </c>
      <c r="L24347">
        <v>147.9</v>
      </c>
      <c r="M24347">
        <v>67554</v>
      </c>
      <c r="N24347" t="s">
        <v>317</v>
      </c>
      <c r="O24347">
        <v>251106</v>
      </c>
      <c r="P24347">
        <v>580</v>
      </c>
    </row>
    <row r="24348" spans="1:16" x14ac:dyDescent="0.25">
      <c r="A24348" t="s">
        <v>3296</v>
      </c>
      <c r="B24348" t="s">
        <v>2931</v>
      </c>
      <c r="C24348">
        <v>1216</v>
      </c>
      <c r="D24348" t="str">
        <f>"1009229088  "</f>
        <v xml:space="preserve">1009229088  </v>
      </c>
      <c r="E24348" t="s">
        <v>900</v>
      </c>
      <c r="F24348" t="s">
        <v>901</v>
      </c>
      <c r="G24348">
        <v>755.88</v>
      </c>
      <c r="H24348">
        <v>250131</v>
      </c>
      <c r="I24348">
        <v>4520</v>
      </c>
      <c r="J24348" t="s">
        <v>280</v>
      </c>
      <c r="K24348">
        <v>1072.72</v>
      </c>
      <c r="L24348">
        <v>92.83</v>
      </c>
      <c r="M24348">
        <v>54451</v>
      </c>
      <c r="N24348" t="s">
        <v>218</v>
      </c>
      <c r="O24348">
        <v>250205</v>
      </c>
      <c r="P24348">
        <v>663.05</v>
      </c>
    </row>
    <row r="24349" spans="1:16" x14ac:dyDescent="0.25">
      <c r="A24349" t="s">
        <v>3296</v>
      </c>
      <c r="B24349" t="s">
        <v>2931</v>
      </c>
      <c r="C24349">
        <v>1216</v>
      </c>
      <c r="D24349" t="str">
        <f>"1009229088  "</f>
        <v xml:space="preserve">1009229088  </v>
      </c>
      <c r="E24349" t="s">
        <v>900</v>
      </c>
      <c r="F24349" t="s">
        <v>901</v>
      </c>
      <c r="G24349">
        <v>316.83999999999997</v>
      </c>
      <c r="H24349">
        <v>250131</v>
      </c>
      <c r="I24349">
        <v>4520</v>
      </c>
      <c r="J24349" t="s">
        <v>280</v>
      </c>
      <c r="K24349">
        <v>1072.72</v>
      </c>
      <c r="L24349">
        <v>38.909999999999997</v>
      </c>
      <c r="M24349">
        <v>56563</v>
      </c>
      <c r="N24349" t="s">
        <v>55</v>
      </c>
      <c r="O24349">
        <v>250205</v>
      </c>
      <c r="P24349">
        <v>277.93</v>
      </c>
    </row>
    <row r="24350" spans="1:16" x14ac:dyDescent="0.25">
      <c r="A24350" t="s">
        <v>3296</v>
      </c>
      <c r="B24350" t="s">
        <v>2931</v>
      </c>
      <c r="C24350">
        <v>4838</v>
      </c>
      <c r="D24350" t="str">
        <f>"1009346416  "</f>
        <v xml:space="preserve">1009346416  </v>
      </c>
      <c r="E24350" t="s">
        <v>900</v>
      </c>
      <c r="F24350" t="s">
        <v>901</v>
      </c>
      <c r="G24350">
        <v>510.86</v>
      </c>
      <c r="H24350">
        <v>250331</v>
      </c>
      <c r="I24350">
        <v>4520</v>
      </c>
      <c r="J24350" t="s">
        <v>280</v>
      </c>
      <c r="K24350">
        <v>1110.33</v>
      </c>
      <c r="L24350">
        <v>62.74</v>
      </c>
      <c r="M24350">
        <v>54422</v>
      </c>
      <c r="N24350" t="s">
        <v>49</v>
      </c>
      <c r="O24350">
        <v>250415</v>
      </c>
      <c r="P24350">
        <v>448.12</v>
      </c>
    </row>
    <row r="24351" spans="1:16" x14ac:dyDescent="0.25">
      <c r="A24351" t="s">
        <v>3296</v>
      </c>
      <c r="B24351" t="s">
        <v>2931</v>
      </c>
      <c r="C24351">
        <v>4838</v>
      </c>
      <c r="D24351" t="str">
        <f>"1009346416  "</f>
        <v xml:space="preserve">1009346416  </v>
      </c>
      <c r="E24351" t="s">
        <v>900</v>
      </c>
      <c r="F24351" t="s">
        <v>901</v>
      </c>
      <c r="G24351">
        <v>599.47</v>
      </c>
      <c r="H24351">
        <v>250331</v>
      </c>
      <c r="I24351">
        <v>4520</v>
      </c>
      <c r="J24351" t="s">
        <v>280</v>
      </c>
      <c r="K24351">
        <v>1110.33</v>
      </c>
      <c r="L24351">
        <v>73.62</v>
      </c>
      <c r="M24351">
        <v>54451</v>
      </c>
      <c r="N24351" t="s">
        <v>218</v>
      </c>
      <c r="O24351">
        <v>250415</v>
      </c>
      <c r="P24351">
        <v>525.85</v>
      </c>
    </row>
    <row r="24352" spans="1:16" x14ac:dyDescent="0.25">
      <c r="A24352" t="s">
        <v>3296</v>
      </c>
      <c r="B24352" t="s">
        <v>2931</v>
      </c>
      <c r="C24352">
        <v>11472</v>
      </c>
      <c r="D24352" t="str">
        <f>"1009647201  "</f>
        <v xml:space="preserve">1009647201  </v>
      </c>
      <c r="E24352" t="s">
        <v>900</v>
      </c>
      <c r="F24352" t="s">
        <v>901</v>
      </c>
      <c r="G24352">
        <v>1614.03</v>
      </c>
      <c r="H24352">
        <v>250831</v>
      </c>
      <c r="I24352">
        <v>4520</v>
      </c>
      <c r="J24352" t="s">
        <v>280</v>
      </c>
      <c r="K24352">
        <v>1614.03</v>
      </c>
      <c r="L24352">
        <v>198.21</v>
      </c>
      <c r="M24352">
        <v>54451</v>
      </c>
      <c r="N24352" t="s">
        <v>218</v>
      </c>
      <c r="O24352">
        <v>250905</v>
      </c>
      <c r="P24352">
        <v>1415.82</v>
      </c>
    </row>
    <row r="24353" spans="1:16" x14ac:dyDescent="0.25">
      <c r="A24353" t="s">
        <v>3296</v>
      </c>
      <c r="B24353" t="s">
        <v>2931</v>
      </c>
      <c r="C24353">
        <v>2392</v>
      </c>
      <c r="D24353" t="str">
        <f>"18003369    "</f>
        <v xml:space="preserve">18003369    </v>
      </c>
      <c r="E24353" t="s">
        <v>2910</v>
      </c>
      <c r="F24353" t="s">
        <v>2911</v>
      </c>
      <c r="G24353">
        <v>650</v>
      </c>
      <c r="H24353">
        <v>250219</v>
      </c>
      <c r="I24353">
        <v>4345</v>
      </c>
      <c r="J24353" t="s">
        <v>2901</v>
      </c>
      <c r="K24353">
        <v>650</v>
      </c>
      <c r="L24353">
        <v>0</v>
      </c>
      <c r="M24353">
        <v>13201</v>
      </c>
      <c r="N24353" t="s">
        <v>269</v>
      </c>
      <c r="O24353">
        <v>250225</v>
      </c>
      <c r="P24353">
        <v>650</v>
      </c>
    </row>
    <row r="24354" spans="1:16" x14ac:dyDescent="0.25">
      <c r="A24354" t="s">
        <v>3296</v>
      </c>
      <c r="B24354" t="s">
        <v>2931</v>
      </c>
      <c r="C24354">
        <v>6333</v>
      </c>
      <c r="D24354" t="str">
        <f>"18003394    "</f>
        <v xml:space="preserve">18003394    </v>
      </c>
      <c r="E24354" t="s">
        <v>2910</v>
      </c>
      <c r="F24354" t="s">
        <v>2911</v>
      </c>
      <c r="G24354">
        <v>1300</v>
      </c>
      <c r="H24354">
        <v>250430</v>
      </c>
      <c r="I24354">
        <v>4345</v>
      </c>
      <c r="J24354" t="s">
        <v>2901</v>
      </c>
      <c r="K24354">
        <v>1300</v>
      </c>
      <c r="L24354">
        <v>0</v>
      </c>
      <c r="M24354">
        <v>13201</v>
      </c>
      <c r="N24354" t="s">
        <v>269</v>
      </c>
      <c r="O24354">
        <v>250512</v>
      </c>
      <c r="P24354">
        <v>1300</v>
      </c>
    </row>
    <row r="24355" spans="1:16" x14ac:dyDescent="0.25">
      <c r="A24355" t="s">
        <v>3296</v>
      </c>
      <c r="B24355" t="s">
        <v>2931</v>
      </c>
      <c r="C24355">
        <v>10287</v>
      </c>
      <c r="D24355" t="str">
        <f>"18003502    "</f>
        <v xml:space="preserve">18003502    </v>
      </c>
      <c r="E24355" t="s">
        <v>2910</v>
      </c>
      <c r="F24355" t="s">
        <v>2911</v>
      </c>
      <c r="G24355">
        <v>2080</v>
      </c>
      <c r="H24355">
        <v>250811</v>
      </c>
      <c r="I24355">
        <v>4345</v>
      </c>
      <c r="J24355" t="s">
        <v>2901</v>
      </c>
      <c r="K24355">
        <v>2080</v>
      </c>
      <c r="L24355">
        <v>0</v>
      </c>
      <c r="M24355">
        <v>13201</v>
      </c>
      <c r="N24355" t="s">
        <v>269</v>
      </c>
      <c r="O24355">
        <v>250813</v>
      </c>
      <c r="P24355">
        <v>2080</v>
      </c>
    </row>
    <row r="24356" spans="1:16" x14ac:dyDescent="0.25">
      <c r="A24356" t="s">
        <v>3296</v>
      </c>
      <c r="B24356" t="s">
        <v>2931</v>
      </c>
      <c r="C24356">
        <v>17436</v>
      </c>
      <c r="D24356" t="str">
        <f>"18003573    "</f>
        <v xml:space="preserve">18003573    </v>
      </c>
      <c r="E24356" t="s">
        <v>2910</v>
      </c>
      <c r="F24356" t="s">
        <v>2911</v>
      </c>
      <c r="G24356">
        <v>1820</v>
      </c>
      <c r="H24356">
        <v>251217</v>
      </c>
      <c r="I24356">
        <v>4345</v>
      </c>
      <c r="J24356" t="s">
        <v>2901</v>
      </c>
      <c r="K24356">
        <v>1820</v>
      </c>
      <c r="L24356">
        <v>0</v>
      </c>
      <c r="M24356">
        <v>13201</v>
      </c>
      <c r="N24356" t="s">
        <v>269</v>
      </c>
      <c r="O24356">
        <v>251219</v>
      </c>
      <c r="P24356">
        <v>1820</v>
      </c>
    </row>
    <row r="24357" spans="1:16" x14ac:dyDescent="0.25">
      <c r="A24357" t="s">
        <v>3296</v>
      </c>
      <c r="B24357" t="s">
        <v>2931</v>
      </c>
      <c r="C24357">
        <v>9607</v>
      </c>
      <c r="D24357" t="str">
        <f>"11052       "</f>
        <v xml:space="preserve">11052       </v>
      </c>
      <c r="E24357" t="s">
        <v>2134</v>
      </c>
      <c r="F24357" t="s">
        <v>2135</v>
      </c>
      <c r="G24357">
        <v>4141.5</v>
      </c>
      <c r="H24357">
        <v>250704</v>
      </c>
      <c r="I24357">
        <v>4440</v>
      </c>
      <c r="J24357" t="s">
        <v>346</v>
      </c>
      <c r="K24357">
        <v>4141.5</v>
      </c>
      <c r="L24357">
        <v>841.5</v>
      </c>
      <c r="M24357">
        <v>18820</v>
      </c>
      <c r="N24357" t="s">
        <v>372</v>
      </c>
      <c r="O24357">
        <v>250721</v>
      </c>
      <c r="P24357">
        <v>3300</v>
      </c>
    </row>
    <row r="24358" spans="1:16" x14ac:dyDescent="0.25">
      <c r="A24358" t="s">
        <v>3296</v>
      </c>
      <c r="B24358" t="s">
        <v>2931</v>
      </c>
      <c r="C24358">
        <v>13216</v>
      </c>
      <c r="D24358" t="str">
        <f>"11080       "</f>
        <v xml:space="preserve">11080       </v>
      </c>
      <c r="E24358" t="s">
        <v>2134</v>
      </c>
      <c r="F24358" t="s">
        <v>2135</v>
      </c>
      <c r="G24358">
        <v>4141.5</v>
      </c>
      <c r="H24358">
        <v>251001</v>
      </c>
      <c r="I24358">
        <v>4440</v>
      </c>
      <c r="J24358" t="s">
        <v>346</v>
      </c>
      <c r="K24358">
        <v>4141.5</v>
      </c>
      <c r="L24358">
        <v>841.5</v>
      </c>
      <c r="M24358">
        <v>18820</v>
      </c>
      <c r="N24358" t="s">
        <v>372</v>
      </c>
      <c r="O24358">
        <v>251006</v>
      </c>
      <c r="P24358">
        <v>3300</v>
      </c>
    </row>
    <row r="24359" spans="1:16" x14ac:dyDescent="0.25">
      <c r="A24359" t="s">
        <v>3296</v>
      </c>
      <c r="B24359" t="s">
        <v>2931</v>
      </c>
      <c r="C24359">
        <v>16894</v>
      </c>
      <c r="D24359" t="str">
        <f>"11107       "</f>
        <v xml:space="preserve">11107       </v>
      </c>
      <c r="E24359" t="s">
        <v>2134</v>
      </c>
      <c r="F24359" t="s">
        <v>2135</v>
      </c>
      <c r="G24359">
        <v>4072.48</v>
      </c>
      <c r="H24359">
        <v>251205</v>
      </c>
      <c r="I24359">
        <v>4440</v>
      </c>
      <c r="J24359" t="s">
        <v>346</v>
      </c>
      <c r="K24359">
        <v>4072.48</v>
      </c>
      <c r="L24359">
        <v>827.48</v>
      </c>
      <c r="M24359">
        <v>18820</v>
      </c>
      <c r="N24359" t="s">
        <v>372</v>
      </c>
      <c r="O24359">
        <v>251215</v>
      </c>
      <c r="P24359">
        <v>3245</v>
      </c>
    </row>
    <row r="24360" spans="1:16" x14ac:dyDescent="0.25">
      <c r="A24360" t="s">
        <v>3296</v>
      </c>
      <c r="B24360" t="s">
        <v>2931</v>
      </c>
      <c r="C24360">
        <v>15256</v>
      </c>
      <c r="D24360" t="str">
        <f>"11098       "</f>
        <v xml:space="preserve">11098       </v>
      </c>
      <c r="E24360" t="s">
        <v>2134</v>
      </c>
      <c r="F24360" t="s">
        <v>2135</v>
      </c>
      <c r="G24360">
        <v>489.45</v>
      </c>
      <c r="H24360">
        <v>251111</v>
      </c>
      <c r="I24360">
        <v>4441</v>
      </c>
      <c r="J24360" t="s">
        <v>234</v>
      </c>
      <c r="K24360">
        <v>489.45</v>
      </c>
      <c r="L24360">
        <v>99.45</v>
      </c>
      <c r="M24360">
        <v>18972</v>
      </c>
      <c r="N24360" t="s">
        <v>39</v>
      </c>
      <c r="O24360">
        <v>251117</v>
      </c>
      <c r="P24360">
        <v>390</v>
      </c>
    </row>
    <row r="24361" spans="1:16" x14ac:dyDescent="0.25">
      <c r="A24361" t="s">
        <v>3296</v>
      </c>
      <c r="B24361" t="s">
        <v>2931</v>
      </c>
      <c r="C24361">
        <v>6901</v>
      </c>
      <c r="D24361" t="str">
        <f>"131173      "</f>
        <v xml:space="preserve">131173      </v>
      </c>
      <c r="E24361" t="s">
        <v>1904</v>
      </c>
      <c r="F24361" t="s">
        <v>1905</v>
      </c>
      <c r="G24361">
        <v>171.07</v>
      </c>
      <c r="H24361">
        <v>250515</v>
      </c>
      <c r="I24361">
        <v>4842</v>
      </c>
      <c r="J24361" t="s">
        <v>15</v>
      </c>
      <c r="K24361">
        <v>171.07</v>
      </c>
      <c r="L24361">
        <v>34.76</v>
      </c>
      <c r="M24361">
        <v>13901</v>
      </c>
      <c r="N24361" t="s">
        <v>116</v>
      </c>
      <c r="O24361">
        <v>250520</v>
      </c>
      <c r="P24361">
        <v>136.31</v>
      </c>
    </row>
    <row r="24362" spans="1:16" x14ac:dyDescent="0.25">
      <c r="A24362" t="s">
        <v>3296</v>
      </c>
      <c r="B24362" t="s">
        <v>2931</v>
      </c>
      <c r="C24362">
        <v>14265</v>
      </c>
      <c r="D24362" t="str">
        <f>"135259      "</f>
        <v xml:space="preserve">135259      </v>
      </c>
      <c r="E24362" t="s">
        <v>2489</v>
      </c>
      <c r="F24362" t="s">
        <v>2490</v>
      </c>
      <c r="G24362">
        <v>531.04999999999995</v>
      </c>
      <c r="H24362">
        <v>251023</v>
      </c>
      <c r="I24362">
        <v>4842</v>
      </c>
      <c r="J24362" t="s">
        <v>15</v>
      </c>
      <c r="K24362">
        <v>531.04999999999995</v>
      </c>
      <c r="L24362">
        <v>107.9</v>
      </c>
      <c r="M24362">
        <v>69501</v>
      </c>
      <c r="N24362" t="s">
        <v>123</v>
      </c>
      <c r="O24362">
        <v>251028</v>
      </c>
      <c r="P24362">
        <v>423.15</v>
      </c>
    </row>
    <row r="24363" spans="1:16" x14ac:dyDescent="0.25">
      <c r="A24363" t="s">
        <v>3296</v>
      </c>
      <c r="B24363" t="s">
        <v>2931</v>
      </c>
      <c r="C24363">
        <v>4563</v>
      </c>
      <c r="D24363" t="str">
        <f>"3010035498  "</f>
        <v xml:space="preserve">3010035498  </v>
      </c>
      <c r="E24363" t="s">
        <v>2858</v>
      </c>
      <c r="F24363" t="s">
        <v>2859</v>
      </c>
      <c r="G24363">
        <v>58.31</v>
      </c>
      <c r="H24363">
        <v>250325</v>
      </c>
      <c r="I24363">
        <v>4367</v>
      </c>
      <c r="J24363" t="s">
        <v>159</v>
      </c>
      <c r="K24363">
        <v>58.31</v>
      </c>
      <c r="L24363">
        <v>0</v>
      </c>
      <c r="M24363">
        <v>13861</v>
      </c>
      <c r="N24363" t="s">
        <v>604</v>
      </c>
      <c r="O24363">
        <v>250414</v>
      </c>
      <c r="P24363">
        <v>58.31</v>
      </c>
    </row>
    <row r="24364" spans="1:16" x14ac:dyDescent="0.25">
      <c r="A24364" t="s">
        <v>3296</v>
      </c>
      <c r="B24364" t="s">
        <v>2931</v>
      </c>
      <c r="C24364">
        <v>6450</v>
      </c>
      <c r="D24364" t="str">
        <f>"3010035768  "</f>
        <v xml:space="preserve">3010035768  </v>
      </c>
      <c r="E24364" t="s">
        <v>2858</v>
      </c>
      <c r="F24364" t="s">
        <v>2859</v>
      </c>
      <c r="G24364">
        <v>54.51</v>
      </c>
      <c r="H24364">
        <v>250430</v>
      </c>
      <c r="I24364">
        <v>4367</v>
      </c>
      <c r="J24364" t="s">
        <v>159</v>
      </c>
      <c r="K24364">
        <v>54.51</v>
      </c>
      <c r="L24364">
        <v>0</v>
      </c>
      <c r="M24364">
        <v>13861</v>
      </c>
      <c r="N24364" t="s">
        <v>604</v>
      </c>
      <c r="O24364">
        <v>250513</v>
      </c>
      <c r="P24364">
        <v>54.51</v>
      </c>
    </row>
    <row r="24365" spans="1:16" x14ac:dyDescent="0.25">
      <c r="A24365" t="s">
        <v>3296</v>
      </c>
      <c r="B24365" t="s">
        <v>2931</v>
      </c>
      <c r="C24365">
        <v>7905</v>
      </c>
      <c r="D24365" t="str">
        <f>"3010036110  "</f>
        <v xml:space="preserve">3010036110  </v>
      </c>
      <c r="E24365" t="s">
        <v>2858</v>
      </c>
      <c r="F24365" t="s">
        <v>2859</v>
      </c>
      <c r="G24365">
        <v>53.45</v>
      </c>
      <c r="H24365">
        <v>250523</v>
      </c>
      <c r="I24365">
        <v>4367</v>
      </c>
      <c r="J24365" t="s">
        <v>159</v>
      </c>
      <c r="K24365">
        <v>53.45</v>
      </c>
      <c r="L24365">
        <v>0</v>
      </c>
      <c r="M24365">
        <v>13861</v>
      </c>
      <c r="N24365" t="s">
        <v>604</v>
      </c>
      <c r="O24365">
        <v>250610</v>
      </c>
      <c r="P24365">
        <v>53.45</v>
      </c>
    </row>
    <row r="24366" spans="1:16" x14ac:dyDescent="0.25">
      <c r="A24366" t="s">
        <v>3296</v>
      </c>
      <c r="B24366" t="s">
        <v>2931</v>
      </c>
      <c r="C24366">
        <v>9523</v>
      </c>
      <c r="D24366" t="str">
        <f>"3010036496  "</f>
        <v xml:space="preserve">3010036496  </v>
      </c>
      <c r="E24366" t="s">
        <v>2858</v>
      </c>
      <c r="F24366" t="s">
        <v>2859</v>
      </c>
      <c r="G24366">
        <v>56.42</v>
      </c>
      <c r="H24366">
        <v>250630</v>
      </c>
      <c r="I24366">
        <v>4367</v>
      </c>
      <c r="J24366" t="s">
        <v>159</v>
      </c>
      <c r="K24366">
        <v>56.42</v>
      </c>
      <c r="L24366">
        <v>0</v>
      </c>
      <c r="M24366">
        <v>13861</v>
      </c>
      <c r="N24366" t="s">
        <v>604</v>
      </c>
      <c r="O24366">
        <v>250709</v>
      </c>
      <c r="P24366">
        <v>56.42</v>
      </c>
    </row>
    <row r="24367" spans="1:16" x14ac:dyDescent="0.25">
      <c r="A24367" t="s">
        <v>3296</v>
      </c>
      <c r="B24367" t="s">
        <v>2931</v>
      </c>
      <c r="C24367">
        <v>10380</v>
      </c>
      <c r="D24367" t="str">
        <f>"3010036593  "</f>
        <v xml:space="preserve">3010036593  </v>
      </c>
      <c r="E24367" t="s">
        <v>2858</v>
      </c>
      <c r="F24367" t="s">
        <v>2859</v>
      </c>
      <c r="G24367">
        <v>50</v>
      </c>
      <c r="H24367">
        <v>250731</v>
      </c>
      <c r="I24367">
        <v>4367</v>
      </c>
      <c r="J24367" t="s">
        <v>159</v>
      </c>
      <c r="K24367">
        <v>50</v>
      </c>
      <c r="L24367">
        <v>0</v>
      </c>
      <c r="M24367">
        <v>13861</v>
      </c>
      <c r="N24367" t="s">
        <v>604</v>
      </c>
      <c r="O24367">
        <v>250818</v>
      </c>
      <c r="P24367">
        <v>50</v>
      </c>
    </row>
    <row r="24368" spans="1:16" x14ac:dyDescent="0.25">
      <c r="A24368" t="s">
        <v>3296</v>
      </c>
      <c r="B24368" t="s">
        <v>2931</v>
      </c>
      <c r="C24368">
        <v>10798</v>
      </c>
      <c r="D24368" t="str">
        <f>"3010036877  "</f>
        <v xml:space="preserve">3010036877  </v>
      </c>
      <c r="E24368" t="s">
        <v>2858</v>
      </c>
      <c r="F24368" t="s">
        <v>2859</v>
      </c>
      <c r="G24368">
        <v>50</v>
      </c>
      <c r="H24368">
        <v>250821</v>
      </c>
      <c r="I24368">
        <v>4367</v>
      </c>
      <c r="J24368" t="s">
        <v>159</v>
      </c>
      <c r="K24368">
        <v>50</v>
      </c>
      <c r="L24368">
        <v>0</v>
      </c>
      <c r="M24368">
        <v>13861</v>
      </c>
      <c r="N24368" t="s">
        <v>604</v>
      </c>
      <c r="O24368">
        <v>250822</v>
      </c>
      <c r="P24368">
        <v>50</v>
      </c>
    </row>
    <row r="24369" spans="1:16" x14ac:dyDescent="0.25">
      <c r="A24369" t="s">
        <v>3296</v>
      </c>
      <c r="B24369" t="s">
        <v>2931</v>
      </c>
      <c r="C24369">
        <v>13138</v>
      </c>
      <c r="D24369" t="str">
        <f>"3010037280  "</f>
        <v xml:space="preserve">3010037280  </v>
      </c>
      <c r="E24369" t="s">
        <v>2858</v>
      </c>
      <c r="F24369" t="s">
        <v>2859</v>
      </c>
      <c r="G24369">
        <v>270.75</v>
      </c>
      <c r="H24369">
        <v>250926</v>
      </c>
      <c r="I24369">
        <v>4367</v>
      </c>
      <c r="J24369" t="s">
        <v>159</v>
      </c>
      <c r="K24369">
        <v>270.75</v>
      </c>
      <c r="L24369">
        <v>0</v>
      </c>
      <c r="M24369">
        <v>13861</v>
      </c>
      <c r="N24369" t="s">
        <v>604</v>
      </c>
      <c r="O24369">
        <v>251006</v>
      </c>
      <c r="P24369">
        <v>270.75</v>
      </c>
    </row>
    <row r="24370" spans="1:16" x14ac:dyDescent="0.25">
      <c r="A24370" t="s">
        <v>3296</v>
      </c>
      <c r="B24370" t="s">
        <v>2931</v>
      </c>
      <c r="C24370">
        <v>14289</v>
      </c>
      <c r="D24370" t="str">
        <f>"3010037564  "</f>
        <v xml:space="preserve">3010037564  </v>
      </c>
      <c r="E24370" t="s">
        <v>2858</v>
      </c>
      <c r="F24370" t="s">
        <v>2859</v>
      </c>
      <c r="G24370">
        <v>74.209999999999994</v>
      </c>
      <c r="H24370">
        <v>251022</v>
      </c>
      <c r="I24370">
        <v>4367</v>
      </c>
      <c r="J24370" t="s">
        <v>159</v>
      </c>
      <c r="K24370">
        <v>74.209999999999994</v>
      </c>
      <c r="L24370">
        <v>0</v>
      </c>
      <c r="M24370">
        <v>13861</v>
      </c>
      <c r="N24370" t="s">
        <v>604</v>
      </c>
      <c r="O24370">
        <v>251028</v>
      </c>
      <c r="P24370">
        <v>74.209999999999994</v>
      </c>
    </row>
    <row r="24371" spans="1:16" x14ac:dyDescent="0.25">
      <c r="A24371" t="s">
        <v>3296</v>
      </c>
      <c r="B24371" t="s">
        <v>2931</v>
      </c>
      <c r="C24371">
        <v>16122</v>
      </c>
      <c r="D24371" t="str">
        <f>"3010037855  "</f>
        <v xml:space="preserve">3010037855  </v>
      </c>
      <c r="E24371" t="s">
        <v>2858</v>
      </c>
      <c r="F24371" t="s">
        <v>2859</v>
      </c>
      <c r="G24371">
        <v>64.2</v>
      </c>
      <c r="H24371">
        <v>251130</v>
      </c>
      <c r="I24371">
        <v>4367</v>
      </c>
      <c r="J24371" t="s">
        <v>159</v>
      </c>
      <c r="K24371">
        <v>64.2</v>
      </c>
      <c r="L24371">
        <v>0</v>
      </c>
      <c r="M24371">
        <v>13861</v>
      </c>
      <c r="N24371" t="s">
        <v>604</v>
      </c>
      <c r="O24371">
        <v>251203</v>
      </c>
      <c r="P24371">
        <v>64.2</v>
      </c>
    </row>
    <row r="24372" spans="1:16" x14ac:dyDescent="0.25">
      <c r="A24372" t="s">
        <v>3296</v>
      </c>
      <c r="B24372" t="s">
        <v>2931</v>
      </c>
      <c r="C24372">
        <v>17936</v>
      </c>
      <c r="D24372" t="str">
        <f>"3010038134  "</f>
        <v xml:space="preserve">3010038134  </v>
      </c>
      <c r="E24372" t="s">
        <v>2858</v>
      </c>
      <c r="F24372" t="s">
        <v>2859</v>
      </c>
      <c r="G24372">
        <v>52.19</v>
      </c>
      <c r="H24372">
        <v>251219</v>
      </c>
      <c r="I24372">
        <v>4367</v>
      </c>
      <c r="J24372" t="s">
        <v>159</v>
      </c>
      <c r="K24372">
        <v>52.19</v>
      </c>
      <c r="L24372">
        <v>0</v>
      </c>
      <c r="M24372">
        <v>13861</v>
      </c>
      <c r="N24372" t="s">
        <v>604</v>
      </c>
      <c r="O24372">
        <v>260107</v>
      </c>
      <c r="P24372">
        <v>52.19</v>
      </c>
    </row>
    <row r="24373" spans="1:16" x14ac:dyDescent="0.25">
      <c r="A24373" t="s">
        <v>3296</v>
      </c>
      <c r="B24373" t="s">
        <v>2931</v>
      </c>
      <c r="C24373">
        <v>2462</v>
      </c>
      <c r="D24373" t="str">
        <f>"3010035224  "</f>
        <v xml:space="preserve">3010035224  </v>
      </c>
      <c r="E24373" t="s">
        <v>2858</v>
      </c>
      <c r="F24373" t="s">
        <v>2859</v>
      </c>
      <c r="G24373">
        <v>63.75</v>
      </c>
      <c r="H24373">
        <v>250227</v>
      </c>
      <c r="I24373">
        <v>4369</v>
      </c>
      <c r="J24373" t="s">
        <v>188</v>
      </c>
      <c r="K24373">
        <v>63.75</v>
      </c>
      <c r="L24373">
        <v>0</v>
      </c>
      <c r="M24373">
        <v>13801</v>
      </c>
      <c r="N24373" t="s">
        <v>33</v>
      </c>
      <c r="O24373">
        <v>250227</v>
      </c>
      <c r="P24373">
        <v>63.75</v>
      </c>
    </row>
    <row r="24374" spans="1:16" x14ac:dyDescent="0.25">
      <c r="A24374" t="s">
        <v>3296</v>
      </c>
      <c r="B24374" t="s">
        <v>2931</v>
      </c>
      <c r="C24374">
        <v>3438</v>
      </c>
      <c r="D24374" t="str">
        <f>"5057        "</f>
        <v xml:space="preserve">5057        </v>
      </c>
      <c r="E24374" t="s">
        <v>1433</v>
      </c>
      <c r="F24374" t="s">
        <v>1434</v>
      </c>
      <c r="G24374">
        <v>55.04</v>
      </c>
      <c r="H24374">
        <v>250301</v>
      </c>
      <c r="I24374">
        <v>4600</v>
      </c>
      <c r="J24374" t="s">
        <v>278</v>
      </c>
      <c r="K24374">
        <v>55.04</v>
      </c>
      <c r="L24374">
        <v>11.18</v>
      </c>
      <c r="M24374">
        <v>56568</v>
      </c>
      <c r="N24374" t="s">
        <v>354</v>
      </c>
      <c r="O24374">
        <v>250324</v>
      </c>
      <c r="P24374">
        <v>43.86</v>
      </c>
    </row>
    <row r="24375" spans="1:16" x14ac:dyDescent="0.25">
      <c r="A24375" t="s">
        <v>3296</v>
      </c>
      <c r="B24375" t="s">
        <v>2931</v>
      </c>
      <c r="C24375">
        <v>9363</v>
      </c>
      <c r="D24375" t="str">
        <f>"5427        "</f>
        <v xml:space="preserve">5427        </v>
      </c>
      <c r="E24375" t="s">
        <v>1433</v>
      </c>
      <c r="F24375" t="s">
        <v>1434</v>
      </c>
      <c r="G24375">
        <v>138</v>
      </c>
      <c r="H24375">
        <v>250630</v>
      </c>
      <c r="I24375">
        <v>4600</v>
      </c>
      <c r="J24375" t="s">
        <v>278</v>
      </c>
      <c r="K24375">
        <v>138</v>
      </c>
      <c r="L24375">
        <v>28.04</v>
      </c>
      <c r="M24375">
        <v>56568</v>
      </c>
      <c r="N24375" t="s">
        <v>354</v>
      </c>
      <c r="O24375">
        <v>250704</v>
      </c>
      <c r="P24375">
        <v>109.96</v>
      </c>
    </row>
    <row r="24376" spans="1:16" x14ac:dyDescent="0.25">
      <c r="A24376" t="s">
        <v>3296</v>
      </c>
      <c r="B24376" t="s">
        <v>2931</v>
      </c>
      <c r="C24376">
        <v>10338</v>
      </c>
      <c r="D24376" t="str">
        <f>"5308        "</f>
        <v xml:space="preserve">5308        </v>
      </c>
      <c r="E24376" t="s">
        <v>1433</v>
      </c>
      <c r="F24376" t="s">
        <v>1434</v>
      </c>
      <c r="G24376">
        <v>172.15</v>
      </c>
      <c r="H24376">
        <v>250812</v>
      </c>
      <c r="I24376">
        <v>4600</v>
      </c>
      <c r="J24376" t="s">
        <v>278</v>
      </c>
      <c r="K24376">
        <v>172.15</v>
      </c>
      <c r="L24376">
        <v>34.979999999999997</v>
      </c>
      <c r="M24376">
        <v>56568</v>
      </c>
      <c r="N24376" t="s">
        <v>354</v>
      </c>
      <c r="O24376">
        <v>250818</v>
      </c>
      <c r="P24376">
        <v>137.16999999999999</v>
      </c>
    </row>
    <row r="24377" spans="1:16" x14ac:dyDescent="0.25">
      <c r="A24377" t="s">
        <v>3296</v>
      </c>
      <c r="B24377" t="s">
        <v>2931</v>
      </c>
      <c r="C24377">
        <v>1154</v>
      </c>
      <c r="D24377" t="str">
        <f>"1250100245  "</f>
        <v xml:space="preserve">1250100245  </v>
      </c>
      <c r="E24377" t="s">
        <v>863</v>
      </c>
      <c r="F24377" t="s">
        <v>864</v>
      </c>
      <c r="G24377">
        <v>36.06</v>
      </c>
      <c r="H24377">
        <v>250131</v>
      </c>
      <c r="I24377">
        <v>4380</v>
      </c>
      <c r="J24377" t="s">
        <v>211</v>
      </c>
      <c r="K24377">
        <v>600.96</v>
      </c>
      <c r="L24377">
        <v>7.33</v>
      </c>
      <c r="M24377">
        <v>59111</v>
      </c>
      <c r="N24377" t="s">
        <v>60</v>
      </c>
      <c r="O24377">
        <v>250205</v>
      </c>
      <c r="P24377">
        <v>28.73</v>
      </c>
    </row>
    <row r="24378" spans="1:16" x14ac:dyDescent="0.25">
      <c r="A24378" t="s">
        <v>3296</v>
      </c>
      <c r="B24378" t="s">
        <v>2931</v>
      </c>
      <c r="C24378">
        <v>1154</v>
      </c>
      <c r="D24378" t="str">
        <f>"1250100245  "</f>
        <v xml:space="preserve">1250100245  </v>
      </c>
      <c r="E24378" t="s">
        <v>863</v>
      </c>
      <c r="F24378" t="s">
        <v>864</v>
      </c>
      <c r="G24378">
        <v>564.9</v>
      </c>
      <c r="H24378">
        <v>250131</v>
      </c>
      <c r="I24378">
        <v>4380</v>
      </c>
      <c r="J24378" t="s">
        <v>211</v>
      </c>
      <c r="K24378">
        <v>600.96</v>
      </c>
      <c r="L24378">
        <v>114.78</v>
      </c>
      <c r="M24378">
        <v>59501</v>
      </c>
      <c r="N24378" t="s">
        <v>62</v>
      </c>
      <c r="O24378">
        <v>250205</v>
      </c>
      <c r="P24378">
        <v>450.12</v>
      </c>
    </row>
    <row r="24379" spans="1:16" x14ac:dyDescent="0.25">
      <c r="A24379" t="s">
        <v>3296</v>
      </c>
      <c r="B24379" t="s">
        <v>2931</v>
      </c>
      <c r="C24379">
        <v>1159</v>
      </c>
      <c r="D24379" t="str">
        <f>"1250100342  "</f>
        <v xml:space="preserve">1250100342  </v>
      </c>
      <c r="E24379" t="s">
        <v>863</v>
      </c>
      <c r="F24379" t="s">
        <v>864</v>
      </c>
      <c r="G24379">
        <v>27.92</v>
      </c>
      <c r="H24379">
        <v>250131</v>
      </c>
      <c r="I24379">
        <v>4380</v>
      </c>
      <c r="J24379" t="s">
        <v>211</v>
      </c>
      <c r="K24379">
        <v>27.92</v>
      </c>
      <c r="L24379">
        <v>5.67</v>
      </c>
      <c r="M24379">
        <v>17952</v>
      </c>
      <c r="N24379" t="s">
        <v>157</v>
      </c>
      <c r="O24379">
        <v>250205</v>
      </c>
      <c r="P24379">
        <v>22.25</v>
      </c>
    </row>
    <row r="24380" spans="1:16" x14ac:dyDescent="0.25">
      <c r="A24380" t="s">
        <v>3296</v>
      </c>
      <c r="B24380" t="s">
        <v>2931</v>
      </c>
      <c r="C24380">
        <v>1160</v>
      </c>
      <c r="D24380" t="str">
        <f>"1250100251  "</f>
        <v xml:space="preserve">1250100251  </v>
      </c>
      <c r="E24380" t="s">
        <v>863</v>
      </c>
      <c r="F24380" t="s">
        <v>864</v>
      </c>
      <c r="G24380">
        <v>140.71</v>
      </c>
      <c r="H24380">
        <v>250131</v>
      </c>
      <c r="I24380">
        <v>4380</v>
      </c>
      <c r="J24380" t="s">
        <v>211</v>
      </c>
      <c r="K24380">
        <v>230.68</v>
      </c>
      <c r="L24380">
        <v>28.59</v>
      </c>
      <c r="M24380">
        <v>59502</v>
      </c>
      <c r="N24380" t="s">
        <v>63</v>
      </c>
      <c r="O24380">
        <v>250205</v>
      </c>
      <c r="P24380">
        <v>112.12</v>
      </c>
    </row>
    <row r="24381" spans="1:16" x14ac:dyDescent="0.25">
      <c r="A24381" t="s">
        <v>3296</v>
      </c>
      <c r="B24381" t="s">
        <v>2931</v>
      </c>
      <c r="C24381">
        <v>1160</v>
      </c>
      <c r="D24381" t="str">
        <f>"1250100251  "</f>
        <v xml:space="preserve">1250100251  </v>
      </c>
      <c r="E24381" t="s">
        <v>863</v>
      </c>
      <c r="F24381" t="s">
        <v>864</v>
      </c>
      <c r="G24381">
        <v>89.97</v>
      </c>
      <c r="H24381">
        <v>250131</v>
      </c>
      <c r="I24381">
        <v>4380</v>
      </c>
      <c r="J24381" t="s">
        <v>211</v>
      </c>
      <c r="K24381">
        <v>230.68</v>
      </c>
      <c r="L24381">
        <v>18.28</v>
      </c>
      <c r="M24381">
        <v>59802</v>
      </c>
      <c r="N24381" t="s">
        <v>195</v>
      </c>
      <c r="O24381">
        <v>250205</v>
      </c>
      <c r="P24381">
        <v>71.69</v>
      </c>
    </row>
    <row r="24382" spans="1:16" x14ac:dyDescent="0.25">
      <c r="A24382" t="s">
        <v>3296</v>
      </c>
      <c r="B24382" t="s">
        <v>2931</v>
      </c>
      <c r="C24382">
        <v>1163</v>
      </c>
      <c r="D24382" t="str">
        <f>"1250100248  "</f>
        <v xml:space="preserve">1250100248  </v>
      </c>
      <c r="E24382" t="s">
        <v>863</v>
      </c>
      <c r="F24382" t="s">
        <v>864</v>
      </c>
      <c r="G24382">
        <v>101</v>
      </c>
      <c r="H24382">
        <v>250131</v>
      </c>
      <c r="I24382">
        <v>4380</v>
      </c>
      <c r="J24382" t="s">
        <v>211</v>
      </c>
      <c r="K24382">
        <v>101</v>
      </c>
      <c r="L24382">
        <v>20.52</v>
      </c>
      <c r="M24382">
        <v>59505</v>
      </c>
      <c r="N24382" t="s">
        <v>194</v>
      </c>
      <c r="O24382">
        <v>250205</v>
      </c>
      <c r="P24382">
        <v>80.48</v>
      </c>
    </row>
    <row r="24383" spans="1:16" x14ac:dyDescent="0.25">
      <c r="A24383" t="s">
        <v>3296</v>
      </c>
      <c r="B24383" t="s">
        <v>2931</v>
      </c>
      <c r="C24383">
        <v>1178</v>
      </c>
      <c r="D24383" t="str">
        <f>"1250100241  "</f>
        <v xml:space="preserve">1250100241  </v>
      </c>
      <c r="E24383" t="s">
        <v>863</v>
      </c>
      <c r="F24383" t="s">
        <v>864</v>
      </c>
      <c r="G24383">
        <v>41.7</v>
      </c>
      <c r="H24383">
        <v>250131</v>
      </c>
      <c r="I24383">
        <v>4380</v>
      </c>
      <c r="J24383" t="s">
        <v>211</v>
      </c>
      <c r="K24383">
        <v>154.46</v>
      </c>
      <c r="L24383">
        <v>8.4700000000000006</v>
      </c>
      <c r="M24383">
        <v>59112</v>
      </c>
      <c r="N24383" t="s">
        <v>44</v>
      </c>
      <c r="O24383">
        <v>250205</v>
      </c>
      <c r="P24383">
        <v>33.229999999999997</v>
      </c>
    </row>
    <row r="24384" spans="1:16" x14ac:dyDescent="0.25">
      <c r="A24384" t="s">
        <v>3296</v>
      </c>
      <c r="B24384" t="s">
        <v>2931</v>
      </c>
      <c r="C24384">
        <v>1178</v>
      </c>
      <c r="D24384" t="str">
        <f>"1250100241  "</f>
        <v xml:space="preserve">1250100241  </v>
      </c>
      <c r="E24384" t="s">
        <v>863</v>
      </c>
      <c r="F24384" t="s">
        <v>864</v>
      </c>
      <c r="G24384">
        <v>112.76</v>
      </c>
      <c r="H24384">
        <v>250131</v>
      </c>
      <c r="I24384">
        <v>4380</v>
      </c>
      <c r="J24384" t="s">
        <v>211</v>
      </c>
      <c r="K24384">
        <v>154.46</v>
      </c>
      <c r="L24384">
        <v>22.91</v>
      </c>
      <c r="M24384">
        <v>59504</v>
      </c>
      <c r="N24384" t="s">
        <v>193</v>
      </c>
      <c r="O24384">
        <v>250205</v>
      </c>
      <c r="P24384">
        <v>89.85</v>
      </c>
    </row>
    <row r="24385" spans="1:16" x14ac:dyDescent="0.25">
      <c r="A24385" t="s">
        <v>3296</v>
      </c>
      <c r="B24385" t="s">
        <v>2931</v>
      </c>
      <c r="C24385">
        <v>3058</v>
      </c>
      <c r="D24385" t="str">
        <f>"1250205388  "</f>
        <v xml:space="preserve">1250205388  </v>
      </c>
      <c r="E24385" t="s">
        <v>863</v>
      </c>
      <c r="F24385" t="s">
        <v>864</v>
      </c>
      <c r="G24385">
        <v>136.12</v>
      </c>
      <c r="H24385">
        <v>250228</v>
      </c>
      <c r="I24385">
        <v>4380</v>
      </c>
      <c r="J24385" t="s">
        <v>211</v>
      </c>
      <c r="K24385">
        <v>223.14</v>
      </c>
      <c r="L24385">
        <v>27.66</v>
      </c>
      <c r="M24385">
        <v>59502</v>
      </c>
      <c r="N24385" t="s">
        <v>63</v>
      </c>
      <c r="O24385">
        <v>250314</v>
      </c>
      <c r="P24385">
        <v>108.46</v>
      </c>
    </row>
    <row r="24386" spans="1:16" x14ac:dyDescent="0.25">
      <c r="A24386" t="s">
        <v>3296</v>
      </c>
      <c r="B24386" t="s">
        <v>2931</v>
      </c>
      <c r="C24386">
        <v>3058</v>
      </c>
      <c r="D24386" t="str">
        <f>"1250205388  "</f>
        <v xml:space="preserve">1250205388  </v>
      </c>
      <c r="E24386" t="s">
        <v>863</v>
      </c>
      <c r="F24386" t="s">
        <v>864</v>
      </c>
      <c r="G24386">
        <v>87.02</v>
      </c>
      <c r="H24386">
        <v>250228</v>
      </c>
      <c r="I24386">
        <v>4380</v>
      </c>
      <c r="J24386" t="s">
        <v>211</v>
      </c>
      <c r="K24386">
        <v>223.14</v>
      </c>
      <c r="L24386">
        <v>17.68</v>
      </c>
      <c r="M24386">
        <v>59802</v>
      </c>
      <c r="N24386" t="s">
        <v>195</v>
      </c>
      <c r="O24386">
        <v>250314</v>
      </c>
      <c r="P24386">
        <v>69.34</v>
      </c>
    </row>
    <row r="24387" spans="1:16" x14ac:dyDescent="0.25">
      <c r="A24387" t="s">
        <v>3296</v>
      </c>
      <c r="B24387" t="s">
        <v>2931</v>
      </c>
      <c r="C24387">
        <v>3061</v>
      </c>
      <c r="D24387" t="str">
        <f>"1250205386  "</f>
        <v xml:space="preserve">1250205386  </v>
      </c>
      <c r="E24387" t="s">
        <v>863</v>
      </c>
      <c r="F24387" t="s">
        <v>864</v>
      </c>
      <c r="G24387">
        <v>38.97</v>
      </c>
      <c r="H24387">
        <v>250228</v>
      </c>
      <c r="I24387">
        <v>4380</v>
      </c>
      <c r="J24387" t="s">
        <v>211</v>
      </c>
      <c r="K24387">
        <v>649.55999999999995</v>
      </c>
      <c r="L24387">
        <v>7.92</v>
      </c>
      <c r="M24387">
        <v>59111</v>
      </c>
      <c r="N24387" t="s">
        <v>60</v>
      </c>
      <c r="O24387">
        <v>250314</v>
      </c>
      <c r="P24387">
        <v>31.05</v>
      </c>
    </row>
    <row r="24388" spans="1:16" x14ac:dyDescent="0.25">
      <c r="A24388" t="s">
        <v>3296</v>
      </c>
      <c r="B24388" t="s">
        <v>2931</v>
      </c>
      <c r="C24388">
        <v>3061</v>
      </c>
      <c r="D24388" t="str">
        <f>"1250205386  "</f>
        <v xml:space="preserve">1250205386  </v>
      </c>
      <c r="E24388" t="s">
        <v>863</v>
      </c>
      <c r="F24388" t="s">
        <v>864</v>
      </c>
      <c r="G24388">
        <v>610.59</v>
      </c>
      <c r="H24388">
        <v>250228</v>
      </c>
      <c r="I24388">
        <v>4380</v>
      </c>
      <c r="J24388" t="s">
        <v>211</v>
      </c>
      <c r="K24388">
        <v>649.55999999999995</v>
      </c>
      <c r="L24388">
        <v>124.06</v>
      </c>
      <c r="M24388">
        <v>59501</v>
      </c>
      <c r="N24388" t="s">
        <v>62</v>
      </c>
      <c r="O24388">
        <v>250314</v>
      </c>
      <c r="P24388">
        <v>486.53</v>
      </c>
    </row>
    <row r="24389" spans="1:16" x14ac:dyDescent="0.25">
      <c r="A24389" t="s">
        <v>3296</v>
      </c>
      <c r="B24389" t="s">
        <v>2931</v>
      </c>
      <c r="C24389">
        <v>3079</v>
      </c>
      <c r="D24389" t="str">
        <f>"1250205384  "</f>
        <v xml:space="preserve">1250205384  </v>
      </c>
      <c r="E24389" t="s">
        <v>863</v>
      </c>
      <c r="F24389" t="s">
        <v>864</v>
      </c>
      <c r="G24389">
        <v>37.64</v>
      </c>
      <c r="H24389">
        <v>250228</v>
      </c>
      <c r="I24389">
        <v>4380</v>
      </c>
      <c r="J24389" t="s">
        <v>211</v>
      </c>
      <c r="K24389">
        <v>139.4</v>
      </c>
      <c r="L24389">
        <v>7.65</v>
      </c>
      <c r="M24389">
        <v>59112</v>
      </c>
      <c r="N24389" t="s">
        <v>44</v>
      </c>
      <c r="O24389">
        <v>250314</v>
      </c>
      <c r="P24389">
        <v>29.99</v>
      </c>
    </row>
    <row r="24390" spans="1:16" x14ac:dyDescent="0.25">
      <c r="A24390" t="s">
        <v>3296</v>
      </c>
      <c r="B24390" t="s">
        <v>2931</v>
      </c>
      <c r="C24390">
        <v>3079</v>
      </c>
      <c r="D24390" t="str">
        <f>"1250205384  "</f>
        <v xml:space="preserve">1250205384  </v>
      </c>
      <c r="E24390" t="s">
        <v>863</v>
      </c>
      <c r="F24390" t="s">
        <v>864</v>
      </c>
      <c r="G24390">
        <v>101.76</v>
      </c>
      <c r="H24390">
        <v>250228</v>
      </c>
      <c r="I24390">
        <v>4380</v>
      </c>
      <c r="J24390" t="s">
        <v>211</v>
      </c>
      <c r="K24390">
        <v>139.4</v>
      </c>
      <c r="L24390">
        <v>20.68</v>
      </c>
      <c r="M24390">
        <v>59504</v>
      </c>
      <c r="N24390" t="s">
        <v>193</v>
      </c>
      <c r="O24390">
        <v>250314</v>
      </c>
      <c r="P24390">
        <v>81.08</v>
      </c>
    </row>
    <row r="24391" spans="1:16" x14ac:dyDescent="0.25">
      <c r="A24391" t="s">
        <v>3296</v>
      </c>
      <c r="B24391" t="s">
        <v>2931</v>
      </c>
      <c r="C24391">
        <v>3167</v>
      </c>
      <c r="D24391" t="str">
        <f>"1250205397  "</f>
        <v xml:space="preserve">1250205397  </v>
      </c>
      <c r="E24391" t="s">
        <v>863</v>
      </c>
      <c r="F24391" t="s">
        <v>864</v>
      </c>
      <c r="G24391">
        <v>18.7</v>
      </c>
      <c r="H24391">
        <v>250228</v>
      </c>
      <c r="I24391">
        <v>4380</v>
      </c>
      <c r="J24391" t="s">
        <v>211</v>
      </c>
      <c r="K24391">
        <v>18.7</v>
      </c>
      <c r="L24391">
        <v>3.8</v>
      </c>
      <c r="M24391">
        <v>17952</v>
      </c>
      <c r="N24391" t="s">
        <v>157</v>
      </c>
      <c r="O24391">
        <v>250314</v>
      </c>
      <c r="P24391">
        <v>14.9</v>
      </c>
    </row>
    <row r="24392" spans="1:16" x14ac:dyDescent="0.25">
      <c r="A24392" t="s">
        <v>3296</v>
      </c>
      <c r="B24392" t="s">
        <v>2931</v>
      </c>
      <c r="C24392">
        <v>3232</v>
      </c>
      <c r="D24392" t="str">
        <f>"1250205172  "</f>
        <v xml:space="preserve">1250205172  </v>
      </c>
      <c r="E24392" t="s">
        <v>863</v>
      </c>
      <c r="F24392" t="s">
        <v>864</v>
      </c>
      <c r="G24392">
        <v>31.53</v>
      </c>
      <c r="H24392">
        <v>250228</v>
      </c>
      <c r="I24392">
        <v>4380</v>
      </c>
      <c r="J24392" t="s">
        <v>211</v>
      </c>
      <c r="K24392">
        <v>286.58</v>
      </c>
      <c r="L24392">
        <v>6.41</v>
      </c>
      <c r="M24392">
        <v>13540</v>
      </c>
      <c r="N24392" t="s">
        <v>131</v>
      </c>
      <c r="O24392">
        <v>250317</v>
      </c>
      <c r="P24392">
        <v>25.12</v>
      </c>
    </row>
    <row r="24393" spans="1:16" x14ac:dyDescent="0.25">
      <c r="A24393" t="s">
        <v>3296</v>
      </c>
      <c r="B24393" t="s">
        <v>2931</v>
      </c>
      <c r="C24393">
        <v>3232</v>
      </c>
      <c r="D24393" t="str">
        <f>"1250205172  "</f>
        <v xml:space="preserve">1250205172  </v>
      </c>
      <c r="E24393" t="s">
        <v>863</v>
      </c>
      <c r="F24393" t="s">
        <v>864</v>
      </c>
      <c r="G24393">
        <v>214.93</v>
      </c>
      <c r="H24393">
        <v>250228</v>
      </c>
      <c r="I24393">
        <v>4380</v>
      </c>
      <c r="J24393" t="s">
        <v>211</v>
      </c>
      <c r="K24393">
        <v>286.58</v>
      </c>
      <c r="L24393">
        <v>43.67</v>
      </c>
      <c r="M24393">
        <v>17950</v>
      </c>
      <c r="N24393" t="s">
        <v>132</v>
      </c>
      <c r="O24393">
        <v>250317</v>
      </c>
      <c r="P24393">
        <v>171.26</v>
      </c>
    </row>
    <row r="24394" spans="1:16" x14ac:dyDescent="0.25">
      <c r="A24394" t="s">
        <v>3296</v>
      </c>
      <c r="B24394" t="s">
        <v>2931</v>
      </c>
      <c r="C24394">
        <v>3232</v>
      </c>
      <c r="D24394" t="str">
        <f>"1250205172  "</f>
        <v xml:space="preserve">1250205172  </v>
      </c>
      <c r="E24394" t="s">
        <v>863</v>
      </c>
      <c r="F24394" t="s">
        <v>864</v>
      </c>
      <c r="G24394">
        <v>40.119999999999997</v>
      </c>
      <c r="H24394">
        <v>250228</v>
      </c>
      <c r="I24394">
        <v>4380</v>
      </c>
      <c r="J24394" t="s">
        <v>211</v>
      </c>
      <c r="K24394">
        <v>286.58</v>
      </c>
      <c r="L24394">
        <v>8.15</v>
      </c>
      <c r="M24394">
        <v>17956</v>
      </c>
      <c r="N24394" t="s">
        <v>170</v>
      </c>
      <c r="O24394">
        <v>250317</v>
      </c>
      <c r="P24394">
        <v>31.97</v>
      </c>
    </row>
    <row r="24395" spans="1:16" x14ac:dyDescent="0.25">
      <c r="A24395" t="s">
        <v>3296</v>
      </c>
      <c r="B24395" t="s">
        <v>2931</v>
      </c>
      <c r="C24395">
        <v>3244</v>
      </c>
      <c r="D24395" t="str">
        <f>"1250205387  "</f>
        <v xml:space="preserve">1250205387  </v>
      </c>
      <c r="E24395" t="s">
        <v>863</v>
      </c>
      <c r="F24395" t="s">
        <v>864</v>
      </c>
      <c r="G24395">
        <v>93.47</v>
      </c>
      <c r="H24395">
        <v>250228</v>
      </c>
      <c r="I24395">
        <v>4380</v>
      </c>
      <c r="J24395" t="s">
        <v>211</v>
      </c>
      <c r="K24395">
        <v>93.47</v>
      </c>
      <c r="L24395">
        <v>18.989999999999998</v>
      </c>
      <c r="M24395">
        <v>59505</v>
      </c>
      <c r="N24395" t="s">
        <v>194</v>
      </c>
      <c r="O24395">
        <v>250317</v>
      </c>
      <c r="P24395">
        <v>74.48</v>
      </c>
    </row>
    <row r="24396" spans="1:16" x14ac:dyDescent="0.25">
      <c r="A24396" t="s">
        <v>3296</v>
      </c>
      <c r="B24396" t="s">
        <v>2931</v>
      </c>
      <c r="C24396">
        <v>4364</v>
      </c>
      <c r="D24396" t="str">
        <f>"1250300243  "</f>
        <v xml:space="preserve">1250300243  </v>
      </c>
      <c r="E24396" t="s">
        <v>863</v>
      </c>
      <c r="F24396" t="s">
        <v>864</v>
      </c>
      <c r="G24396">
        <v>37.64</v>
      </c>
      <c r="H24396">
        <v>250331</v>
      </c>
      <c r="I24396">
        <v>4380</v>
      </c>
      <c r="J24396" t="s">
        <v>211</v>
      </c>
      <c r="K24396">
        <v>139.4</v>
      </c>
      <c r="L24396">
        <v>7.65</v>
      </c>
      <c r="M24396">
        <v>59112</v>
      </c>
      <c r="N24396" t="s">
        <v>44</v>
      </c>
      <c r="O24396">
        <v>250411</v>
      </c>
      <c r="P24396">
        <v>29.99</v>
      </c>
    </row>
    <row r="24397" spans="1:16" x14ac:dyDescent="0.25">
      <c r="A24397" t="s">
        <v>3296</v>
      </c>
      <c r="B24397" t="s">
        <v>2931</v>
      </c>
      <c r="C24397">
        <v>4364</v>
      </c>
      <c r="D24397" t="str">
        <f>"1250300243  "</f>
        <v xml:space="preserve">1250300243  </v>
      </c>
      <c r="E24397" t="s">
        <v>863</v>
      </c>
      <c r="F24397" t="s">
        <v>864</v>
      </c>
      <c r="G24397">
        <v>101.76</v>
      </c>
      <c r="H24397">
        <v>250331</v>
      </c>
      <c r="I24397">
        <v>4380</v>
      </c>
      <c r="J24397" t="s">
        <v>211</v>
      </c>
      <c r="K24397">
        <v>139.4</v>
      </c>
      <c r="L24397">
        <v>20.68</v>
      </c>
      <c r="M24397">
        <v>59504</v>
      </c>
      <c r="N24397" t="s">
        <v>193</v>
      </c>
      <c r="O24397">
        <v>250411</v>
      </c>
      <c r="P24397">
        <v>81.08</v>
      </c>
    </row>
    <row r="24398" spans="1:16" x14ac:dyDescent="0.25">
      <c r="A24398" t="s">
        <v>3296</v>
      </c>
      <c r="B24398" t="s">
        <v>2931</v>
      </c>
      <c r="C24398">
        <v>4371</v>
      </c>
      <c r="D24398" t="str">
        <f>"1250300249  "</f>
        <v xml:space="preserve">1250300249  </v>
      </c>
      <c r="E24398" t="s">
        <v>863</v>
      </c>
      <c r="F24398" t="s">
        <v>864</v>
      </c>
      <c r="G24398">
        <v>77.27</v>
      </c>
      <c r="H24398">
        <v>250331</v>
      </c>
      <c r="I24398">
        <v>4380</v>
      </c>
      <c r="J24398" t="s">
        <v>211</v>
      </c>
      <c r="K24398">
        <v>77.27</v>
      </c>
      <c r="L24398">
        <v>14.96</v>
      </c>
      <c r="M24398">
        <v>59505</v>
      </c>
      <c r="N24398" t="s">
        <v>194</v>
      </c>
      <c r="O24398">
        <v>250411</v>
      </c>
      <c r="P24398">
        <v>62.31</v>
      </c>
    </row>
    <row r="24399" spans="1:16" x14ac:dyDescent="0.25">
      <c r="A24399" t="s">
        <v>3296</v>
      </c>
      <c r="B24399" t="s">
        <v>2931</v>
      </c>
      <c r="C24399">
        <v>4377</v>
      </c>
      <c r="D24399" t="str">
        <f>"1250300252  "</f>
        <v xml:space="preserve">1250300252  </v>
      </c>
      <c r="E24399" t="s">
        <v>863</v>
      </c>
      <c r="F24399" t="s">
        <v>864</v>
      </c>
      <c r="G24399">
        <v>136.13</v>
      </c>
      <c r="H24399">
        <v>250331</v>
      </c>
      <c r="I24399">
        <v>4380</v>
      </c>
      <c r="J24399" t="s">
        <v>211</v>
      </c>
      <c r="K24399">
        <v>223.16</v>
      </c>
      <c r="L24399">
        <v>27.66</v>
      </c>
      <c r="M24399">
        <v>59502</v>
      </c>
      <c r="N24399" t="s">
        <v>63</v>
      </c>
      <c r="O24399">
        <v>250411</v>
      </c>
      <c r="P24399">
        <v>108.47</v>
      </c>
    </row>
    <row r="24400" spans="1:16" x14ac:dyDescent="0.25">
      <c r="A24400" t="s">
        <v>3296</v>
      </c>
      <c r="B24400" t="s">
        <v>2931</v>
      </c>
      <c r="C24400">
        <v>4377</v>
      </c>
      <c r="D24400" t="str">
        <f>"1250300252  "</f>
        <v xml:space="preserve">1250300252  </v>
      </c>
      <c r="E24400" t="s">
        <v>863</v>
      </c>
      <c r="F24400" t="s">
        <v>864</v>
      </c>
      <c r="G24400">
        <v>87.03</v>
      </c>
      <c r="H24400">
        <v>250331</v>
      </c>
      <c r="I24400">
        <v>4380</v>
      </c>
      <c r="J24400" t="s">
        <v>211</v>
      </c>
      <c r="K24400">
        <v>223.16</v>
      </c>
      <c r="L24400">
        <v>17.68</v>
      </c>
      <c r="M24400">
        <v>59802</v>
      </c>
      <c r="N24400" t="s">
        <v>195</v>
      </c>
      <c r="O24400">
        <v>250411</v>
      </c>
      <c r="P24400">
        <v>69.349999999999994</v>
      </c>
    </row>
    <row r="24401" spans="1:16" x14ac:dyDescent="0.25">
      <c r="A24401" t="s">
        <v>3296</v>
      </c>
      <c r="B24401" t="s">
        <v>2931</v>
      </c>
      <c r="C24401">
        <v>4411</v>
      </c>
      <c r="D24401" t="str">
        <f>"1250300345  "</f>
        <v xml:space="preserve">1250300345  </v>
      </c>
      <c r="E24401" t="s">
        <v>863</v>
      </c>
      <c r="F24401" t="s">
        <v>864</v>
      </c>
      <c r="G24401">
        <v>27.92</v>
      </c>
      <c r="H24401">
        <v>250331</v>
      </c>
      <c r="I24401">
        <v>4380</v>
      </c>
      <c r="J24401" t="s">
        <v>211</v>
      </c>
      <c r="K24401">
        <v>27.92</v>
      </c>
      <c r="L24401">
        <v>5.67</v>
      </c>
      <c r="M24401">
        <v>17952</v>
      </c>
      <c r="N24401" t="s">
        <v>157</v>
      </c>
      <c r="O24401">
        <v>250411</v>
      </c>
      <c r="P24401">
        <v>22.25</v>
      </c>
    </row>
    <row r="24402" spans="1:16" x14ac:dyDescent="0.25">
      <c r="A24402" t="s">
        <v>3296</v>
      </c>
      <c r="B24402" t="s">
        <v>2931</v>
      </c>
      <c r="C24402">
        <v>4443</v>
      </c>
      <c r="D24402" t="str">
        <f>"1250300247  "</f>
        <v xml:space="preserve">1250300247  </v>
      </c>
      <c r="E24402" t="s">
        <v>863</v>
      </c>
      <c r="F24402" t="s">
        <v>864</v>
      </c>
      <c r="G24402">
        <v>37.03</v>
      </c>
      <c r="H24402">
        <v>250331</v>
      </c>
      <c r="I24402">
        <v>4380</v>
      </c>
      <c r="J24402" t="s">
        <v>211</v>
      </c>
      <c r="K24402">
        <v>617.16</v>
      </c>
      <c r="L24402">
        <v>7.52</v>
      </c>
      <c r="M24402">
        <v>59111</v>
      </c>
      <c r="N24402" t="s">
        <v>60</v>
      </c>
      <c r="O24402">
        <v>250411</v>
      </c>
      <c r="P24402">
        <v>29.51</v>
      </c>
    </row>
    <row r="24403" spans="1:16" x14ac:dyDescent="0.25">
      <c r="A24403" t="s">
        <v>3296</v>
      </c>
      <c r="B24403" t="s">
        <v>2931</v>
      </c>
      <c r="C24403">
        <v>4443</v>
      </c>
      <c r="D24403" t="str">
        <f>"1250300247  "</f>
        <v xml:space="preserve">1250300247  </v>
      </c>
      <c r="E24403" t="s">
        <v>863</v>
      </c>
      <c r="F24403" t="s">
        <v>864</v>
      </c>
      <c r="G24403">
        <v>580.13</v>
      </c>
      <c r="H24403">
        <v>250331</v>
      </c>
      <c r="I24403">
        <v>4380</v>
      </c>
      <c r="J24403" t="s">
        <v>211</v>
      </c>
      <c r="K24403">
        <v>617.16</v>
      </c>
      <c r="L24403">
        <v>117.88</v>
      </c>
      <c r="M24403">
        <v>59501</v>
      </c>
      <c r="N24403" t="s">
        <v>62</v>
      </c>
      <c r="O24403">
        <v>250411</v>
      </c>
      <c r="P24403">
        <v>462.25</v>
      </c>
    </row>
    <row r="24404" spans="1:16" x14ac:dyDescent="0.25">
      <c r="A24404" t="s">
        <v>3296</v>
      </c>
      <c r="B24404" t="s">
        <v>2931</v>
      </c>
      <c r="C24404">
        <v>6097</v>
      </c>
      <c r="D24404" t="str">
        <f>"1250402902  "</f>
        <v xml:space="preserve">1250402902  </v>
      </c>
      <c r="E24404" t="s">
        <v>863</v>
      </c>
      <c r="F24404" t="s">
        <v>864</v>
      </c>
      <c r="G24404">
        <v>47.43</v>
      </c>
      <c r="H24404">
        <v>250430</v>
      </c>
      <c r="I24404">
        <v>4380</v>
      </c>
      <c r="J24404" t="s">
        <v>211</v>
      </c>
      <c r="K24404">
        <v>175.68</v>
      </c>
      <c r="L24404">
        <v>9.64</v>
      </c>
      <c r="M24404">
        <v>59112</v>
      </c>
      <c r="N24404" t="s">
        <v>44</v>
      </c>
      <c r="O24404">
        <v>250508</v>
      </c>
      <c r="P24404">
        <v>37.79</v>
      </c>
    </row>
    <row r="24405" spans="1:16" x14ac:dyDescent="0.25">
      <c r="A24405" t="s">
        <v>3296</v>
      </c>
      <c r="B24405" t="s">
        <v>2931</v>
      </c>
      <c r="C24405">
        <v>6097</v>
      </c>
      <c r="D24405" t="str">
        <f>"1250402902  "</f>
        <v xml:space="preserve">1250402902  </v>
      </c>
      <c r="E24405" t="s">
        <v>863</v>
      </c>
      <c r="F24405" t="s">
        <v>864</v>
      </c>
      <c r="G24405">
        <v>128.25</v>
      </c>
      <c r="H24405">
        <v>250430</v>
      </c>
      <c r="I24405">
        <v>4380</v>
      </c>
      <c r="J24405" t="s">
        <v>211</v>
      </c>
      <c r="K24405">
        <v>175.68</v>
      </c>
      <c r="L24405">
        <v>26.06</v>
      </c>
      <c r="M24405">
        <v>59504</v>
      </c>
      <c r="N24405" t="s">
        <v>193</v>
      </c>
      <c r="O24405">
        <v>250508</v>
      </c>
      <c r="P24405">
        <v>102.19</v>
      </c>
    </row>
    <row r="24406" spans="1:16" x14ac:dyDescent="0.25">
      <c r="A24406" t="s">
        <v>3296</v>
      </c>
      <c r="B24406" t="s">
        <v>2931</v>
      </c>
      <c r="C24406">
        <v>6115</v>
      </c>
      <c r="D24406" t="str">
        <f>"1250402910  "</f>
        <v xml:space="preserve">1250402910  </v>
      </c>
      <c r="E24406" t="s">
        <v>863</v>
      </c>
      <c r="F24406" t="s">
        <v>864</v>
      </c>
      <c r="G24406">
        <v>93.48</v>
      </c>
      <c r="H24406">
        <v>250430</v>
      </c>
      <c r="I24406">
        <v>4380</v>
      </c>
      <c r="J24406" t="s">
        <v>211</v>
      </c>
      <c r="K24406">
        <v>93.48</v>
      </c>
      <c r="L24406">
        <v>18.989999999999998</v>
      </c>
      <c r="M24406">
        <v>59505</v>
      </c>
      <c r="N24406" t="s">
        <v>194</v>
      </c>
      <c r="O24406">
        <v>250509</v>
      </c>
      <c r="P24406">
        <v>74.489999999999995</v>
      </c>
    </row>
    <row r="24407" spans="1:16" x14ac:dyDescent="0.25">
      <c r="A24407" t="s">
        <v>3296</v>
      </c>
      <c r="B24407" t="s">
        <v>2931</v>
      </c>
      <c r="C24407">
        <v>6121</v>
      </c>
      <c r="D24407" t="str">
        <f>"1250402907  "</f>
        <v xml:space="preserve">1250402907  </v>
      </c>
      <c r="E24407" t="s">
        <v>863</v>
      </c>
      <c r="F24407" t="s">
        <v>864</v>
      </c>
      <c r="G24407">
        <v>74.180000000000007</v>
      </c>
      <c r="H24407">
        <v>250430</v>
      </c>
      <c r="I24407">
        <v>4380</v>
      </c>
      <c r="J24407" t="s">
        <v>211</v>
      </c>
      <c r="K24407">
        <v>1236.32</v>
      </c>
      <c r="L24407">
        <v>15.07</v>
      </c>
      <c r="M24407">
        <v>59111</v>
      </c>
      <c r="N24407" t="s">
        <v>60</v>
      </c>
      <c r="O24407">
        <v>250509</v>
      </c>
      <c r="P24407">
        <v>59.11</v>
      </c>
    </row>
    <row r="24408" spans="1:16" x14ac:dyDescent="0.25">
      <c r="A24408" t="s">
        <v>3296</v>
      </c>
      <c r="B24408" t="s">
        <v>2931</v>
      </c>
      <c r="C24408">
        <v>6121</v>
      </c>
      <c r="D24408" t="str">
        <f>"1250402907  "</f>
        <v xml:space="preserve">1250402907  </v>
      </c>
      <c r="E24408" t="s">
        <v>863</v>
      </c>
      <c r="F24408" t="s">
        <v>864</v>
      </c>
      <c r="G24408">
        <v>1162.1400000000001</v>
      </c>
      <c r="H24408">
        <v>250430</v>
      </c>
      <c r="I24408">
        <v>4380</v>
      </c>
      <c r="J24408" t="s">
        <v>211</v>
      </c>
      <c r="K24408">
        <v>1236.32</v>
      </c>
      <c r="L24408">
        <v>236.13</v>
      </c>
      <c r="M24408">
        <v>59501</v>
      </c>
      <c r="N24408" t="s">
        <v>62</v>
      </c>
      <c r="O24408">
        <v>250509</v>
      </c>
      <c r="P24408">
        <v>926.01</v>
      </c>
    </row>
    <row r="24409" spans="1:16" x14ac:dyDescent="0.25">
      <c r="A24409" t="s">
        <v>3296</v>
      </c>
      <c r="B24409" t="s">
        <v>2931</v>
      </c>
      <c r="C24409">
        <v>6136</v>
      </c>
      <c r="D24409" t="str">
        <f>"1250402914  "</f>
        <v xml:space="preserve">1250402914  </v>
      </c>
      <c r="E24409" t="s">
        <v>863</v>
      </c>
      <c r="F24409" t="s">
        <v>864</v>
      </c>
      <c r="G24409">
        <v>146.01</v>
      </c>
      <c r="H24409">
        <v>250430</v>
      </c>
      <c r="I24409">
        <v>4380</v>
      </c>
      <c r="J24409" t="s">
        <v>211</v>
      </c>
      <c r="K24409">
        <v>239.36</v>
      </c>
      <c r="L24409">
        <v>29.67</v>
      </c>
      <c r="M24409">
        <v>59502</v>
      </c>
      <c r="N24409" t="s">
        <v>63</v>
      </c>
      <c r="O24409">
        <v>250509</v>
      </c>
      <c r="P24409">
        <v>116.34</v>
      </c>
    </row>
    <row r="24410" spans="1:16" x14ac:dyDescent="0.25">
      <c r="A24410" t="s">
        <v>3296</v>
      </c>
      <c r="B24410" t="s">
        <v>2931</v>
      </c>
      <c r="C24410">
        <v>6136</v>
      </c>
      <c r="D24410" t="str">
        <f>"1250402914  "</f>
        <v xml:space="preserve">1250402914  </v>
      </c>
      <c r="E24410" t="s">
        <v>863</v>
      </c>
      <c r="F24410" t="s">
        <v>864</v>
      </c>
      <c r="G24410">
        <v>93.35</v>
      </c>
      <c r="H24410">
        <v>250430</v>
      </c>
      <c r="I24410">
        <v>4380</v>
      </c>
      <c r="J24410" t="s">
        <v>211</v>
      </c>
      <c r="K24410">
        <v>239.36</v>
      </c>
      <c r="L24410">
        <v>18.97</v>
      </c>
      <c r="M24410">
        <v>59802</v>
      </c>
      <c r="N24410" t="s">
        <v>195</v>
      </c>
      <c r="O24410">
        <v>250509</v>
      </c>
      <c r="P24410">
        <v>74.38</v>
      </c>
    </row>
    <row r="24411" spans="1:16" x14ac:dyDescent="0.25">
      <c r="A24411" t="s">
        <v>3296</v>
      </c>
      <c r="B24411" t="s">
        <v>2931</v>
      </c>
      <c r="C24411">
        <v>6235</v>
      </c>
      <c r="D24411" t="str">
        <f>"1250402843  "</f>
        <v xml:space="preserve">1250402843  </v>
      </c>
      <c r="E24411" t="s">
        <v>863</v>
      </c>
      <c r="F24411" t="s">
        <v>864</v>
      </c>
      <c r="G24411">
        <v>31.74</v>
      </c>
      <c r="H24411">
        <v>250430</v>
      </c>
      <c r="I24411">
        <v>4380</v>
      </c>
      <c r="J24411" t="s">
        <v>211</v>
      </c>
      <c r="K24411">
        <v>288.52999999999997</v>
      </c>
      <c r="L24411">
        <v>6.45</v>
      </c>
      <c r="M24411">
        <v>13540</v>
      </c>
      <c r="N24411" t="s">
        <v>131</v>
      </c>
      <c r="O24411">
        <v>250512</v>
      </c>
      <c r="P24411">
        <v>25.29</v>
      </c>
    </row>
    <row r="24412" spans="1:16" x14ac:dyDescent="0.25">
      <c r="A24412" t="s">
        <v>3296</v>
      </c>
      <c r="B24412" t="s">
        <v>2931</v>
      </c>
      <c r="C24412">
        <v>6235</v>
      </c>
      <c r="D24412" t="str">
        <f>"1250402843  "</f>
        <v xml:space="preserve">1250402843  </v>
      </c>
      <c r="E24412" t="s">
        <v>863</v>
      </c>
      <c r="F24412" t="s">
        <v>864</v>
      </c>
      <c r="G24412">
        <v>216.4</v>
      </c>
      <c r="H24412">
        <v>250430</v>
      </c>
      <c r="I24412">
        <v>4380</v>
      </c>
      <c r="J24412" t="s">
        <v>211</v>
      </c>
      <c r="K24412">
        <v>288.52999999999997</v>
      </c>
      <c r="L24412">
        <v>43.97</v>
      </c>
      <c r="M24412">
        <v>17950</v>
      </c>
      <c r="N24412" t="s">
        <v>132</v>
      </c>
      <c r="O24412">
        <v>250512</v>
      </c>
      <c r="P24412">
        <v>172.43</v>
      </c>
    </row>
    <row r="24413" spans="1:16" x14ac:dyDescent="0.25">
      <c r="A24413" t="s">
        <v>3296</v>
      </c>
      <c r="B24413" t="s">
        <v>2931</v>
      </c>
      <c r="C24413">
        <v>6235</v>
      </c>
      <c r="D24413" t="str">
        <f>"1250402843  "</f>
        <v xml:space="preserve">1250402843  </v>
      </c>
      <c r="E24413" t="s">
        <v>863</v>
      </c>
      <c r="F24413" t="s">
        <v>864</v>
      </c>
      <c r="G24413">
        <v>40.39</v>
      </c>
      <c r="H24413">
        <v>250430</v>
      </c>
      <c r="I24413">
        <v>4380</v>
      </c>
      <c r="J24413" t="s">
        <v>211</v>
      </c>
      <c r="K24413">
        <v>288.52999999999997</v>
      </c>
      <c r="L24413">
        <v>8.2100000000000009</v>
      </c>
      <c r="M24413">
        <v>17956</v>
      </c>
      <c r="N24413" t="s">
        <v>170</v>
      </c>
      <c r="O24413">
        <v>250512</v>
      </c>
      <c r="P24413">
        <v>32.18</v>
      </c>
    </row>
    <row r="24414" spans="1:16" x14ac:dyDescent="0.25">
      <c r="A24414" t="s">
        <v>3296</v>
      </c>
      <c r="B24414" t="s">
        <v>2931</v>
      </c>
      <c r="C24414">
        <v>8108</v>
      </c>
      <c r="D24414" t="str">
        <f>"1250502517  "</f>
        <v xml:space="preserve">1250502517  </v>
      </c>
      <c r="E24414" t="s">
        <v>863</v>
      </c>
      <c r="F24414" t="s">
        <v>864</v>
      </c>
      <c r="G24414">
        <v>27.92</v>
      </c>
      <c r="H24414">
        <v>250531</v>
      </c>
      <c r="I24414">
        <v>4380</v>
      </c>
      <c r="J24414" t="s">
        <v>211</v>
      </c>
      <c r="K24414">
        <v>27.92</v>
      </c>
      <c r="L24414">
        <v>5.67</v>
      </c>
      <c r="M24414">
        <v>17952</v>
      </c>
      <c r="N24414" t="s">
        <v>157</v>
      </c>
      <c r="O24414">
        <v>250611</v>
      </c>
      <c r="P24414">
        <v>22.25</v>
      </c>
    </row>
    <row r="24415" spans="1:16" x14ac:dyDescent="0.25">
      <c r="A24415" t="s">
        <v>3296</v>
      </c>
      <c r="B24415" t="s">
        <v>2931</v>
      </c>
      <c r="C24415">
        <v>8144</v>
      </c>
      <c r="D24415" t="str">
        <f>"1250502426  "</f>
        <v xml:space="preserve">1250502426  </v>
      </c>
      <c r="E24415" t="s">
        <v>863</v>
      </c>
      <c r="F24415" t="s">
        <v>864</v>
      </c>
      <c r="G24415">
        <v>51.62</v>
      </c>
      <c r="H24415">
        <v>250531</v>
      </c>
      <c r="I24415">
        <v>4380</v>
      </c>
      <c r="J24415" t="s">
        <v>211</v>
      </c>
      <c r="K24415">
        <v>860.25</v>
      </c>
      <c r="L24415">
        <v>10.49</v>
      </c>
      <c r="M24415">
        <v>59111</v>
      </c>
      <c r="N24415" t="s">
        <v>60</v>
      </c>
      <c r="O24415">
        <v>250611</v>
      </c>
      <c r="P24415">
        <v>41.13</v>
      </c>
    </row>
    <row r="24416" spans="1:16" x14ac:dyDescent="0.25">
      <c r="A24416" t="s">
        <v>3296</v>
      </c>
      <c r="B24416" t="s">
        <v>2931</v>
      </c>
      <c r="C24416">
        <v>8144</v>
      </c>
      <c r="D24416" t="str">
        <f>"1250502426  "</f>
        <v xml:space="preserve">1250502426  </v>
      </c>
      <c r="E24416" t="s">
        <v>863</v>
      </c>
      <c r="F24416" t="s">
        <v>864</v>
      </c>
      <c r="G24416">
        <v>808.63</v>
      </c>
      <c r="H24416">
        <v>250531</v>
      </c>
      <c r="I24416">
        <v>4380</v>
      </c>
      <c r="J24416" t="s">
        <v>211</v>
      </c>
      <c r="K24416">
        <v>860.25</v>
      </c>
      <c r="L24416">
        <v>164.3</v>
      </c>
      <c r="M24416">
        <v>59501</v>
      </c>
      <c r="N24416" t="s">
        <v>62</v>
      </c>
      <c r="O24416">
        <v>250611</v>
      </c>
      <c r="P24416">
        <v>644.33000000000004</v>
      </c>
    </row>
    <row r="24417" spans="1:16" x14ac:dyDescent="0.25">
      <c r="A24417" t="s">
        <v>3296</v>
      </c>
      <c r="B24417" t="s">
        <v>2931</v>
      </c>
      <c r="C24417">
        <v>8151</v>
      </c>
      <c r="D24417" t="str">
        <f>"1250502433  "</f>
        <v xml:space="preserve">1250502433  </v>
      </c>
      <c r="E24417" t="s">
        <v>863</v>
      </c>
      <c r="F24417" t="s">
        <v>864</v>
      </c>
      <c r="G24417">
        <v>136.13</v>
      </c>
      <c r="H24417">
        <v>250531</v>
      </c>
      <c r="I24417">
        <v>4380</v>
      </c>
      <c r="J24417" t="s">
        <v>211</v>
      </c>
      <c r="K24417">
        <v>223.16</v>
      </c>
      <c r="L24417">
        <v>27.66</v>
      </c>
      <c r="M24417">
        <v>59502</v>
      </c>
      <c r="N24417" t="s">
        <v>63</v>
      </c>
      <c r="O24417">
        <v>250611</v>
      </c>
      <c r="P24417">
        <v>108.47</v>
      </c>
    </row>
    <row r="24418" spans="1:16" x14ac:dyDescent="0.25">
      <c r="A24418" t="s">
        <v>3296</v>
      </c>
      <c r="B24418" t="s">
        <v>2931</v>
      </c>
      <c r="C24418">
        <v>8151</v>
      </c>
      <c r="D24418" t="str">
        <f>"1250502433  "</f>
        <v xml:space="preserve">1250502433  </v>
      </c>
      <c r="E24418" t="s">
        <v>863</v>
      </c>
      <c r="F24418" t="s">
        <v>864</v>
      </c>
      <c r="G24418">
        <v>87.03</v>
      </c>
      <c r="H24418">
        <v>250531</v>
      </c>
      <c r="I24418">
        <v>4380</v>
      </c>
      <c r="J24418" t="s">
        <v>211</v>
      </c>
      <c r="K24418">
        <v>223.16</v>
      </c>
      <c r="L24418">
        <v>17.68</v>
      </c>
      <c r="M24418">
        <v>59802</v>
      </c>
      <c r="N24418" t="s">
        <v>195</v>
      </c>
      <c r="O24418">
        <v>250611</v>
      </c>
      <c r="P24418">
        <v>69.349999999999994</v>
      </c>
    </row>
    <row r="24419" spans="1:16" x14ac:dyDescent="0.25">
      <c r="A24419" t="s">
        <v>3296</v>
      </c>
      <c r="B24419" t="s">
        <v>2931</v>
      </c>
      <c r="C24419">
        <v>8157</v>
      </c>
      <c r="D24419" t="str">
        <f>"1250502429  "</f>
        <v xml:space="preserve">1250502429  </v>
      </c>
      <c r="E24419" t="s">
        <v>863</v>
      </c>
      <c r="F24419" t="s">
        <v>864</v>
      </c>
      <c r="G24419">
        <v>109.67</v>
      </c>
      <c r="H24419">
        <v>250531</v>
      </c>
      <c r="I24419">
        <v>4380</v>
      </c>
      <c r="J24419" t="s">
        <v>211</v>
      </c>
      <c r="K24419">
        <v>109.67</v>
      </c>
      <c r="L24419">
        <v>22.28</v>
      </c>
      <c r="M24419">
        <v>59505</v>
      </c>
      <c r="N24419" t="s">
        <v>194</v>
      </c>
      <c r="O24419">
        <v>250611</v>
      </c>
      <c r="P24419">
        <v>87.39</v>
      </c>
    </row>
    <row r="24420" spans="1:16" x14ac:dyDescent="0.25">
      <c r="A24420" t="s">
        <v>3296</v>
      </c>
      <c r="B24420" t="s">
        <v>2931</v>
      </c>
      <c r="C24420">
        <v>8166</v>
      </c>
      <c r="D24420" t="str">
        <f>"1250502421  "</f>
        <v xml:space="preserve">1250502421  </v>
      </c>
      <c r="E24420" t="s">
        <v>863</v>
      </c>
      <c r="F24420" t="s">
        <v>864</v>
      </c>
      <c r="G24420">
        <v>42.54</v>
      </c>
      <c r="H24420">
        <v>250531</v>
      </c>
      <c r="I24420">
        <v>4380</v>
      </c>
      <c r="J24420" t="s">
        <v>211</v>
      </c>
      <c r="K24420">
        <v>157.55000000000001</v>
      </c>
      <c r="L24420">
        <v>8.64</v>
      </c>
      <c r="M24420">
        <v>59112</v>
      </c>
      <c r="N24420" t="s">
        <v>44</v>
      </c>
      <c r="O24420">
        <v>250611</v>
      </c>
      <c r="P24420">
        <v>33.9</v>
      </c>
    </row>
    <row r="24421" spans="1:16" x14ac:dyDescent="0.25">
      <c r="A24421" t="s">
        <v>3296</v>
      </c>
      <c r="B24421" t="s">
        <v>2931</v>
      </c>
      <c r="C24421">
        <v>8166</v>
      </c>
      <c r="D24421" t="str">
        <f>"1250502421  "</f>
        <v xml:space="preserve">1250502421  </v>
      </c>
      <c r="E24421" t="s">
        <v>863</v>
      </c>
      <c r="F24421" t="s">
        <v>864</v>
      </c>
      <c r="G24421">
        <v>115.01</v>
      </c>
      <c r="H24421">
        <v>250531</v>
      </c>
      <c r="I24421">
        <v>4380</v>
      </c>
      <c r="J24421" t="s">
        <v>211</v>
      </c>
      <c r="K24421">
        <v>157.55000000000001</v>
      </c>
      <c r="L24421">
        <v>23.37</v>
      </c>
      <c r="M24421">
        <v>59504</v>
      </c>
      <c r="N24421" t="s">
        <v>193</v>
      </c>
      <c r="O24421">
        <v>250611</v>
      </c>
      <c r="P24421">
        <v>91.64</v>
      </c>
    </row>
    <row r="24422" spans="1:16" x14ac:dyDescent="0.25">
      <c r="A24422" t="s">
        <v>3296</v>
      </c>
      <c r="B24422" t="s">
        <v>2931</v>
      </c>
      <c r="C24422">
        <v>8229</v>
      </c>
      <c r="D24422" t="str">
        <f>"1250502508  "</f>
        <v xml:space="preserve">1250502508  </v>
      </c>
      <c r="E24422" t="s">
        <v>863</v>
      </c>
      <c r="F24422" t="s">
        <v>864</v>
      </c>
      <c r="G24422">
        <v>700.04</v>
      </c>
      <c r="H24422">
        <v>250531</v>
      </c>
      <c r="I24422">
        <v>4380</v>
      </c>
      <c r="J24422" t="s">
        <v>211</v>
      </c>
      <c r="K24422">
        <v>700.04</v>
      </c>
      <c r="L24422">
        <v>142.24</v>
      </c>
      <c r="M24422">
        <v>59503</v>
      </c>
      <c r="N24422" t="s">
        <v>766</v>
      </c>
      <c r="O24422">
        <v>250612</v>
      </c>
      <c r="P24422">
        <v>557.79999999999995</v>
      </c>
    </row>
    <row r="24423" spans="1:16" x14ac:dyDescent="0.25">
      <c r="A24423" t="s">
        <v>3296</v>
      </c>
      <c r="B24423" t="s">
        <v>2931</v>
      </c>
      <c r="C24423">
        <v>8810</v>
      </c>
      <c r="D24423" t="str">
        <f>"1250600005  "</f>
        <v xml:space="preserve">1250600005  </v>
      </c>
      <c r="E24423" t="s">
        <v>863</v>
      </c>
      <c r="F24423" t="s">
        <v>864</v>
      </c>
      <c r="G24423">
        <v>167.16</v>
      </c>
      <c r="H24423">
        <v>250611</v>
      </c>
      <c r="I24423">
        <v>4380</v>
      </c>
      <c r="J24423" t="s">
        <v>211</v>
      </c>
      <c r="K24423">
        <v>619.12</v>
      </c>
      <c r="L24423">
        <v>33.96</v>
      </c>
      <c r="M24423">
        <v>59112</v>
      </c>
      <c r="N24423" t="s">
        <v>44</v>
      </c>
      <c r="O24423">
        <v>250618</v>
      </c>
      <c r="P24423">
        <v>133.19999999999999</v>
      </c>
    </row>
    <row r="24424" spans="1:16" x14ac:dyDescent="0.25">
      <c r="A24424" t="s">
        <v>3296</v>
      </c>
      <c r="B24424" t="s">
        <v>2931</v>
      </c>
      <c r="C24424">
        <v>8810</v>
      </c>
      <c r="D24424" t="str">
        <f>"1250600005  "</f>
        <v xml:space="preserve">1250600005  </v>
      </c>
      <c r="E24424" t="s">
        <v>863</v>
      </c>
      <c r="F24424" t="s">
        <v>864</v>
      </c>
      <c r="G24424">
        <v>451.96</v>
      </c>
      <c r="H24424">
        <v>250611</v>
      </c>
      <c r="I24424">
        <v>4380</v>
      </c>
      <c r="J24424" t="s">
        <v>211</v>
      </c>
      <c r="K24424">
        <v>619.12</v>
      </c>
      <c r="L24424">
        <v>91.83</v>
      </c>
      <c r="M24424">
        <v>59504</v>
      </c>
      <c r="N24424" t="s">
        <v>193</v>
      </c>
      <c r="O24424">
        <v>250618</v>
      </c>
      <c r="P24424">
        <v>360.13</v>
      </c>
    </row>
    <row r="24425" spans="1:16" x14ac:dyDescent="0.25">
      <c r="A24425" t="s">
        <v>3296</v>
      </c>
      <c r="B24425" t="s">
        <v>2931</v>
      </c>
      <c r="C24425">
        <v>9358</v>
      </c>
      <c r="D24425" t="str">
        <f>"1250603091  "</f>
        <v xml:space="preserve">1250603091  </v>
      </c>
      <c r="E24425" t="s">
        <v>863</v>
      </c>
      <c r="F24425" t="s">
        <v>864</v>
      </c>
      <c r="G24425">
        <v>55.6</v>
      </c>
      <c r="H24425">
        <v>250630</v>
      </c>
      <c r="I24425">
        <v>4380</v>
      </c>
      <c r="J24425" t="s">
        <v>211</v>
      </c>
      <c r="K24425">
        <v>55.6</v>
      </c>
      <c r="L24425">
        <v>11.3</v>
      </c>
      <c r="M24425">
        <v>17952</v>
      </c>
      <c r="N24425" t="s">
        <v>157</v>
      </c>
      <c r="O24425">
        <v>250704</v>
      </c>
      <c r="P24425">
        <v>44.3</v>
      </c>
    </row>
    <row r="24426" spans="1:16" x14ac:dyDescent="0.25">
      <c r="A24426" t="s">
        <v>3296</v>
      </c>
      <c r="B24426" t="s">
        <v>2931</v>
      </c>
      <c r="C24426">
        <v>9580</v>
      </c>
      <c r="D24426" t="str">
        <f>"1250603007  "</f>
        <v xml:space="preserve">1250603007  </v>
      </c>
      <c r="E24426" t="s">
        <v>863</v>
      </c>
      <c r="F24426" t="s">
        <v>864</v>
      </c>
      <c r="G24426">
        <v>111.06</v>
      </c>
      <c r="H24426">
        <v>250630</v>
      </c>
      <c r="I24426">
        <v>4380</v>
      </c>
      <c r="J24426" t="s">
        <v>211</v>
      </c>
      <c r="K24426">
        <v>182.06</v>
      </c>
      <c r="L24426">
        <v>22.57</v>
      </c>
      <c r="M24426">
        <v>59502</v>
      </c>
      <c r="N24426" t="s">
        <v>63</v>
      </c>
      <c r="O24426">
        <v>250721</v>
      </c>
      <c r="P24426">
        <v>88.49</v>
      </c>
    </row>
    <row r="24427" spans="1:16" x14ac:dyDescent="0.25">
      <c r="A24427" t="s">
        <v>3296</v>
      </c>
      <c r="B24427" t="s">
        <v>2931</v>
      </c>
      <c r="C24427">
        <v>9580</v>
      </c>
      <c r="D24427" t="str">
        <f>"1250603007  "</f>
        <v xml:space="preserve">1250603007  </v>
      </c>
      <c r="E24427" t="s">
        <v>863</v>
      </c>
      <c r="F24427" t="s">
        <v>864</v>
      </c>
      <c r="G24427">
        <v>71</v>
      </c>
      <c r="H24427">
        <v>250630</v>
      </c>
      <c r="I24427">
        <v>4380</v>
      </c>
      <c r="J24427" t="s">
        <v>211</v>
      </c>
      <c r="K24427">
        <v>182.06</v>
      </c>
      <c r="L24427">
        <v>14.43</v>
      </c>
      <c r="M24427">
        <v>59802</v>
      </c>
      <c r="N24427" t="s">
        <v>195</v>
      </c>
      <c r="O24427">
        <v>250721</v>
      </c>
      <c r="P24427">
        <v>56.57</v>
      </c>
    </row>
    <row r="24428" spans="1:16" x14ac:dyDescent="0.25">
      <c r="A24428" t="s">
        <v>3296</v>
      </c>
      <c r="B24428" t="s">
        <v>2931</v>
      </c>
      <c r="C24428">
        <v>9583</v>
      </c>
      <c r="D24428" t="str">
        <f>"1250602994  "</f>
        <v xml:space="preserve">1250602994  </v>
      </c>
      <c r="E24428" t="s">
        <v>863</v>
      </c>
      <c r="F24428" t="s">
        <v>864</v>
      </c>
      <c r="G24428">
        <v>34.770000000000003</v>
      </c>
      <c r="H24428">
        <v>250630</v>
      </c>
      <c r="I24428">
        <v>4380</v>
      </c>
      <c r="J24428" t="s">
        <v>211</v>
      </c>
      <c r="K24428">
        <v>128.78</v>
      </c>
      <c r="L24428">
        <v>7.06</v>
      </c>
      <c r="M24428">
        <v>59112</v>
      </c>
      <c r="N24428" t="s">
        <v>44</v>
      </c>
      <c r="O24428">
        <v>250721</v>
      </c>
      <c r="P24428">
        <v>27.71</v>
      </c>
    </row>
    <row r="24429" spans="1:16" x14ac:dyDescent="0.25">
      <c r="A24429" t="s">
        <v>3296</v>
      </c>
      <c r="B24429" t="s">
        <v>2931</v>
      </c>
      <c r="C24429">
        <v>9583</v>
      </c>
      <c r="D24429" t="str">
        <f>"1250602994  "</f>
        <v xml:space="preserve">1250602994  </v>
      </c>
      <c r="E24429" t="s">
        <v>863</v>
      </c>
      <c r="F24429" t="s">
        <v>864</v>
      </c>
      <c r="G24429">
        <v>94.01</v>
      </c>
      <c r="H24429">
        <v>250630</v>
      </c>
      <c r="I24429">
        <v>4380</v>
      </c>
      <c r="J24429" t="s">
        <v>211</v>
      </c>
      <c r="K24429">
        <v>128.78</v>
      </c>
      <c r="L24429">
        <v>19.100000000000001</v>
      </c>
      <c r="M24429">
        <v>59504</v>
      </c>
      <c r="N24429" t="s">
        <v>193</v>
      </c>
      <c r="O24429">
        <v>250721</v>
      </c>
      <c r="P24429">
        <v>74.91</v>
      </c>
    </row>
    <row r="24430" spans="1:16" x14ac:dyDescent="0.25">
      <c r="A24430" t="s">
        <v>3296</v>
      </c>
      <c r="B24430" t="s">
        <v>2931</v>
      </c>
      <c r="C24430">
        <v>9584</v>
      </c>
      <c r="D24430" t="str">
        <f>"1250603003  "</f>
        <v xml:space="preserve">1250603003  </v>
      </c>
      <c r="E24430" t="s">
        <v>863</v>
      </c>
      <c r="F24430" t="s">
        <v>864</v>
      </c>
      <c r="G24430">
        <v>44.84</v>
      </c>
      <c r="H24430">
        <v>250630</v>
      </c>
      <c r="I24430">
        <v>4380</v>
      </c>
      <c r="J24430" t="s">
        <v>211</v>
      </c>
      <c r="K24430">
        <v>44.84</v>
      </c>
      <c r="L24430">
        <v>9.11</v>
      </c>
      <c r="M24430">
        <v>59505</v>
      </c>
      <c r="N24430" t="s">
        <v>194</v>
      </c>
      <c r="O24430">
        <v>250721</v>
      </c>
      <c r="P24430">
        <v>35.729999999999997</v>
      </c>
    </row>
    <row r="24431" spans="1:16" x14ac:dyDescent="0.25">
      <c r="A24431" t="s">
        <v>3296</v>
      </c>
      <c r="B24431" t="s">
        <v>2931</v>
      </c>
      <c r="C24431">
        <v>9585</v>
      </c>
      <c r="D24431" t="str">
        <f>"1250603000  "</f>
        <v xml:space="preserve">1250603000  </v>
      </c>
      <c r="E24431" t="s">
        <v>863</v>
      </c>
      <c r="F24431" t="s">
        <v>864</v>
      </c>
      <c r="G24431">
        <v>39.22</v>
      </c>
      <c r="H24431">
        <v>250630</v>
      </c>
      <c r="I24431">
        <v>4380</v>
      </c>
      <c r="J24431" t="s">
        <v>211</v>
      </c>
      <c r="K24431">
        <v>653.66</v>
      </c>
      <c r="L24431">
        <v>7.97</v>
      </c>
      <c r="M24431">
        <v>59111</v>
      </c>
      <c r="N24431" t="s">
        <v>60</v>
      </c>
      <c r="O24431">
        <v>250721</v>
      </c>
      <c r="P24431">
        <v>31.25</v>
      </c>
    </row>
    <row r="24432" spans="1:16" x14ac:dyDescent="0.25">
      <c r="A24432" t="s">
        <v>3296</v>
      </c>
      <c r="B24432" t="s">
        <v>2931</v>
      </c>
      <c r="C24432">
        <v>9585</v>
      </c>
      <c r="D24432" t="str">
        <f>"1250603000  "</f>
        <v xml:space="preserve">1250603000  </v>
      </c>
      <c r="E24432" t="s">
        <v>863</v>
      </c>
      <c r="F24432" t="s">
        <v>864</v>
      </c>
      <c r="G24432">
        <v>614.44000000000005</v>
      </c>
      <c r="H24432">
        <v>250630</v>
      </c>
      <c r="I24432">
        <v>4380</v>
      </c>
      <c r="J24432" t="s">
        <v>211</v>
      </c>
      <c r="K24432">
        <v>653.66</v>
      </c>
      <c r="L24432">
        <v>124.85</v>
      </c>
      <c r="M24432">
        <v>59501</v>
      </c>
      <c r="N24432" t="s">
        <v>62</v>
      </c>
      <c r="O24432">
        <v>250721</v>
      </c>
      <c r="P24432">
        <v>489.59</v>
      </c>
    </row>
    <row r="24433" spans="1:16" x14ac:dyDescent="0.25">
      <c r="A24433" t="s">
        <v>3296</v>
      </c>
      <c r="B24433" t="s">
        <v>2931</v>
      </c>
      <c r="C24433">
        <v>9702</v>
      </c>
      <c r="D24433" t="str">
        <f>"1250602923  "</f>
        <v xml:space="preserve">1250602923  </v>
      </c>
      <c r="E24433" t="s">
        <v>863</v>
      </c>
      <c r="F24433" t="s">
        <v>864</v>
      </c>
      <c r="G24433">
        <v>26.95</v>
      </c>
      <c r="H24433">
        <v>250630</v>
      </c>
      <c r="I24433">
        <v>4380</v>
      </c>
      <c r="J24433" t="s">
        <v>211</v>
      </c>
      <c r="K24433">
        <v>245.03</v>
      </c>
      <c r="L24433">
        <v>5.48</v>
      </c>
      <c r="M24433">
        <v>13552</v>
      </c>
      <c r="N24433" t="s">
        <v>133</v>
      </c>
      <c r="O24433">
        <v>250724</v>
      </c>
      <c r="P24433">
        <v>21.47</v>
      </c>
    </row>
    <row r="24434" spans="1:16" x14ac:dyDescent="0.25">
      <c r="A24434" t="s">
        <v>3296</v>
      </c>
      <c r="B24434" t="s">
        <v>2931</v>
      </c>
      <c r="C24434">
        <v>9702</v>
      </c>
      <c r="D24434" t="str">
        <f>"1250602923  "</f>
        <v xml:space="preserve">1250602923  </v>
      </c>
      <c r="E24434" t="s">
        <v>863</v>
      </c>
      <c r="F24434" t="s">
        <v>864</v>
      </c>
      <c r="G24434">
        <v>218.08</v>
      </c>
      <c r="H24434">
        <v>250630</v>
      </c>
      <c r="I24434">
        <v>4380</v>
      </c>
      <c r="J24434" t="s">
        <v>211</v>
      </c>
      <c r="K24434">
        <v>245.03</v>
      </c>
      <c r="L24434">
        <v>44.31</v>
      </c>
      <c r="M24434">
        <v>17918</v>
      </c>
      <c r="N24434" t="s">
        <v>152</v>
      </c>
      <c r="O24434">
        <v>250724</v>
      </c>
      <c r="P24434">
        <v>173.77</v>
      </c>
    </row>
    <row r="24435" spans="1:16" x14ac:dyDescent="0.25">
      <c r="A24435" t="s">
        <v>3296</v>
      </c>
      <c r="B24435" t="s">
        <v>2931</v>
      </c>
      <c r="C24435">
        <v>9934</v>
      </c>
      <c r="D24435" t="str">
        <f>"1250700528  "</f>
        <v xml:space="preserve">1250700528  </v>
      </c>
      <c r="E24435" t="s">
        <v>863</v>
      </c>
      <c r="F24435" t="s">
        <v>864</v>
      </c>
      <c r="G24435">
        <v>16.77</v>
      </c>
      <c r="H24435">
        <v>250731</v>
      </c>
      <c r="I24435">
        <v>4380</v>
      </c>
      <c r="J24435" t="s">
        <v>211</v>
      </c>
      <c r="K24435">
        <v>27.49</v>
      </c>
      <c r="L24435">
        <v>3.41</v>
      </c>
      <c r="M24435">
        <v>59502</v>
      </c>
      <c r="N24435" t="s">
        <v>63</v>
      </c>
      <c r="O24435">
        <v>250805</v>
      </c>
      <c r="P24435">
        <v>13.36</v>
      </c>
    </row>
    <row r="24436" spans="1:16" x14ac:dyDescent="0.25">
      <c r="A24436" t="s">
        <v>3296</v>
      </c>
      <c r="B24436" t="s">
        <v>2931</v>
      </c>
      <c r="C24436">
        <v>9934</v>
      </c>
      <c r="D24436" t="str">
        <f>"1250700528  "</f>
        <v xml:space="preserve">1250700528  </v>
      </c>
      <c r="E24436" t="s">
        <v>863</v>
      </c>
      <c r="F24436" t="s">
        <v>864</v>
      </c>
      <c r="G24436">
        <v>10.72</v>
      </c>
      <c r="H24436">
        <v>250731</v>
      </c>
      <c r="I24436">
        <v>4380</v>
      </c>
      <c r="J24436" t="s">
        <v>211</v>
      </c>
      <c r="K24436">
        <v>27.49</v>
      </c>
      <c r="L24436">
        <v>2.1800000000000002</v>
      </c>
      <c r="M24436">
        <v>59802</v>
      </c>
      <c r="N24436" t="s">
        <v>195</v>
      </c>
      <c r="O24436">
        <v>250805</v>
      </c>
      <c r="P24436">
        <v>8.5399999999999991</v>
      </c>
    </row>
    <row r="24437" spans="1:16" x14ac:dyDescent="0.25">
      <c r="A24437" t="s">
        <v>3296</v>
      </c>
      <c r="B24437" t="s">
        <v>2931</v>
      </c>
      <c r="C24437">
        <v>9935</v>
      </c>
      <c r="D24437" t="str">
        <f>"1250700519  "</f>
        <v xml:space="preserve">1250700519  </v>
      </c>
      <c r="E24437" t="s">
        <v>863</v>
      </c>
      <c r="F24437" t="s">
        <v>864</v>
      </c>
      <c r="G24437">
        <v>18.04</v>
      </c>
      <c r="H24437">
        <v>250731</v>
      </c>
      <c r="I24437">
        <v>4380</v>
      </c>
      <c r="J24437" t="s">
        <v>211</v>
      </c>
      <c r="K24437">
        <v>66.819999999999993</v>
      </c>
      <c r="L24437">
        <v>3.67</v>
      </c>
      <c r="M24437">
        <v>59112</v>
      </c>
      <c r="N24437" t="s">
        <v>44</v>
      </c>
      <c r="O24437">
        <v>250805</v>
      </c>
      <c r="P24437">
        <v>14.37</v>
      </c>
    </row>
    <row r="24438" spans="1:16" x14ac:dyDescent="0.25">
      <c r="A24438" t="s">
        <v>3296</v>
      </c>
      <c r="B24438" t="s">
        <v>2931</v>
      </c>
      <c r="C24438">
        <v>9935</v>
      </c>
      <c r="D24438" t="str">
        <f>"1250700519  "</f>
        <v xml:space="preserve">1250700519  </v>
      </c>
      <c r="E24438" t="s">
        <v>863</v>
      </c>
      <c r="F24438" t="s">
        <v>864</v>
      </c>
      <c r="G24438">
        <v>48.78</v>
      </c>
      <c r="H24438">
        <v>250731</v>
      </c>
      <c r="I24438">
        <v>4380</v>
      </c>
      <c r="J24438" t="s">
        <v>211</v>
      </c>
      <c r="K24438">
        <v>66.819999999999993</v>
      </c>
      <c r="L24438">
        <v>9.91</v>
      </c>
      <c r="M24438">
        <v>59504</v>
      </c>
      <c r="N24438" t="s">
        <v>193</v>
      </c>
      <c r="O24438">
        <v>250805</v>
      </c>
      <c r="P24438">
        <v>38.869999999999997</v>
      </c>
    </row>
    <row r="24439" spans="1:16" x14ac:dyDescent="0.25">
      <c r="A24439" t="s">
        <v>3296</v>
      </c>
      <c r="B24439" t="s">
        <v>2931</v>
      </c>
      <c r="C24439">
        <v>10144</v>
      </c>
      <c r="D24439" t="str">
        <f>"1250700617  "</f>
        <v xml:space="preserve">1250700617  </v>
      </c>
      <c r="E24439" t="s">
        <v>863</v>
      </c>
      <c r="F24439" t="s">
        <v>864</v>
      </c>
      <c r="G24439">
        <v>27.92</v>
      </c>
      <c r="H24439">
        <v>250731</v>
      </c>
      <c r="I24439">
        <v>4380</v>
      </c>
      <c r="J24439" t="s">
        <v>211</v>
      </c>
      <c r="K24439">
        <v>27.92</v>
      </c>
      <c r="L24439">
        <v>5.67</v>
      </c>
      <c r="M24439">
        <v>17952</v>
      </c>
      <c r="N24439" t="s">
        <v>157</v>
      </c>
      <c r="O24439">
        <v>250812</v>
      </c>
      <c r="P24439">
        <v>22.25</v>
      </c>
    </row>
    <row r="24440" spans="1:16" x14ac:dyDescent="0.25">
      <c r="A24440" t="s">
        <v>3296</v>
      </c>
      <c r="B24440" t="s">
        <v>2931</v>
      </c>
      <c r="C24440">
        <v>11456</v>
      </c>
      <c r="D24440" t="str">
        <f>"1250805106  "</f>
        <v xml:space="preserve">1250805106  </v>
      </c>
      <c r="E24440" t="s">
        <v>863</v>
      </c>
      <c r="F24440" t="s">
        <v>864</v>
      </c>
      <c r="G24440">
        <v>18.7</v>
      </c>
      <c r="H24440">
        <v>250831</v>
      </c>
      <c r="I24440">
        <v>4380</v>
      </c>
      <c r="J24440" t="s">
        <v>211</v>
      </c>
      <c r="K24440">
        <v>18.7</v>
      </c>
      <c r="L24440">
        <v>3.8</v>
      </c>
      <c r="M24440">
        <v>17952</v>
      </c>
      <c r="N24440" t="s">
        <v>157</v>
      </c>
      <c r="O24440">
        <v>250905</v>
      </c>
      <c r="P24440">
        <v>14.9</v>
      </c>
    </row>
    <row r="24441" spans="1:16" x14ac:dyDescent="0.25">
      <c r="A24441" t="s">
        <v>3296</v>
      </c>
      <c r="B24441" t="s">
        <v>2931</v>
      </c>
      <c r="C24441">
        <v>11529</v>
      </c>
      <c r="D24441" t="str">
        <f>"1250805013  "</f>
        <v xml:space="preserve">1250805013  </v>
      </c>
      <c r="E24441" t="s">
        <v>863</v>
      </c>
      <c r="F24441" t="s">
        <v>864</v>
      </c>
      <c r="G24441">
        <v>50.47</v>
      </c>
      <c r="H24441">
        <v>250831</v>
      </c>
      <c r="I24441">
        <v>4380</v>
      </c>
      <c r="J24441" t="s">
        <v>211</v>
      </c>
      <c r="K24441">
        <v>841.15</v>
      </c>
      <c r="L24441">
        <v>10.25</v>
      </c>
      <c r="M24441">
        <v>59111</v>
      </c>
      <c r="N24441" t="s">
        <v>60</v>
      </c>
      <c r="O24441">
        <v>250908</v>
      </c>
      <c r="P24441">
        <v>40.22</v>
      </c>
    </row>
    <row r="24442" spans="1:16" x14ac:dyDescent="0.25">
      <c r="A24442" t="s">
        <v>3296</v>
      </c>
      <c r="B24442" t="s">
        <v>2931</v>
      </c>
      <c r="C24442">
        <v>11529</v>
      </c>
      <c r="D24442" t="str">
        <f>"1250805013  "</f>
        <v xml:space="preserve">1250805013  </v>
      </c>
      <c r="E24442" t="s">
        <v>863</v>
      </c>
      <c r="F24442" t="s">
        <v>864</v>
      </c>
      <c r="G24442">
        <v>790.68</v>
      </c>
      <c r="H24442">
        <v>250831</v>
      </c>
      <c r="I24442">
        <v>4380</v>
      </c>
      <c r="J24442" t="s">
        <v>211</v>
      </c>
      <c r="K24442">
        <v>841.15</v>
      </c>
      <c r="L24442">
        <v>160.66</v>
      </c>
      <c r="M24442">
        <v>59501</v>
      </c>
      <c r="N24442" t="s">
        <v>62</v>
      </c>
      <c r="O24442">
        <v>250908</v>
      </c>
      <c r="P24442">
        <v>630.02</v>
      </c>
    </row>
    <row r="24443" spans="1:16" x14ac:dyDescent="0.25">
      <c r="A24443" t="s">
        <v>3296</v>
      </c>
      <c r="B24443" t="s">
        <v>2931</v>
      </c>
      <c r="C24443">
        <v>11532</v>
      </c>
      <c r="D24443" t="str">
        <f>"1250805008  "</f>
        <v xml:space="preserve">1250805008  </v>
      </c>
      <c r="E24443" t="s">
        <v>863</v>
      </c>
      <c r="F24443" t="s">
        <v>864</v>
      </c>
      <c r="G24443">
        <v>37.64</v>
      </c>
      <c r="H24443">
        <v>250831</v>
      </c>
      <c r="I24443">
        <v>4380</v>
      </c>
      <c r="J24443" t="s">
        <v>211</v>
      </c>
      <c r="K24443">
        <v>139.4</v>
      </c>
      <c r="L24443">
        <v>7.65</v>
      </c>
      <c r="M24443">
        <v>59112</v>
      </c>
      <c r="N24443" t="s">
        <v>44</v>
      </c>
      <c r="O24443">
        <v>250908</v>
      </c>
      <c r="P24443">
        <v>29.99</v>
      </c>
    </row>
    <row r="24444" spans="1:16" x14ac:dyDescent="0.25">
      <c r="A24444" t="s">
        <v>3296</v>
      </c>
      <c r="B24444" t="s">
        <v>2931</v>
      </c>
      <c r="C24444">
        <v>11532</v>
      </c>
      <c r="D24444" t="str">
        <f>"1250805008  "</f>
        <v xml:space="preserve">1250805008  </v>
      </c>
      <c r="E24444" t="s">
        <v>863</v>
      </c>
      <c r="F24444" t="s">
        <v>864</v>
      </c>
      <c r="G24444">
        <v>101.76</v>
      </c>
      <c r="H24444">
        <v>250831</v>
      </c>
      <c r="I24444">
        <v>4380</v>
      </c>
      <c r="J24444" t="s">
        <v>211</v>
      </c>
      <c r="K24444">
        <v>139.4</v>
      </c>
      <c r="L24444">
        <v>20.68</v>
      </c>
      <c r="M24444">
        <v>59504</v>
      </c>
      <c r="N24444" t="s">
        <v>193</v>
      </c>
      <c r="O24444">
        <v>250908</v>
      </c>
      <c r="P24444">
        <v>81.08</v>
      </c>
    </row>
    <row r="24445" spans="1:16" x14ac:dyDescent="0.25">
      <c r="A24445" t="s">
        <v>3296</v>
      </c>
      <c r="B24445" t="s">
        <v>2931</v>
      </c>
      <c r="C24445">
        <v>11535</v>
      </c>
      <c r="D24445" t="str">
        <f>"1250805016  "</f>
        <v xml:space="preserve">1250805016  </v>
      </c>
      <c r="E24445" t="s">
        <v>863</v>
      </c>
      <c r="F24445" t="s">
        <v>864</v>
      </c>
      <c r="G24445">
        <v>115.94</v>
      </c>
      <c r="H24445">
        <v>250831</v>
      </c>
      <c r="I24445">
        <v>4380</v>
      </c>
      <c r="J24445" t="s">
        <v>211</v>
      </c>
      <c r="K24445">
        <v>115.94</v>
      </c>
      <c r="L24445">
        <v>23.56</v>
      </c>
      <c r="M24445">
        <v>59505</v>
      </c>
      <c r="N24445" t="s">
        <v>194</v>
      </c>
      <c r="O24445">
        <v>250908</v>
      </c>
      <c r="P24445">
        <v>92.38</v>
      </c>
    </row>
    <row r="24446" spans="1:16" x14ac:dyDescent="0.25">
      <c r="A24446" t="s">
        <v>3296</v>
      </c>
      <c r="B24446" t="s">
        <v>2931</v>
      </c>
      <c r="C24446">
        <v>11550</v>
      </c>
      <c r="D24446" t="str">
        <f>"1250804955  "</f>
        <v xml:space="preserve">1250804955  </v>
      </c>
      <c r="E24446" t="s">
        <v>863</v>
      </c>
      <c r="F24446" t="s">
        <v>864</v>
      </c>
      <c r="G24446">
        <v>16.64</v>
      </c>
      <c r="H24446">
        <v>250831</v>
      </c>
      <c r="I24446">
        <v>4380</v>
      </c>
      <c r="J24446" t="s">
        <v>211</v>
      </c>
      <c r="K24446">
        <v>151.33000000000001</v>
      </c>
      <c r="L24446">
        <v>3.38</v>
      </c>
      <c r="M24446">
        <v>13540</v>
      </c>
      <c r="N24446" t="s">
        <v>131</v>
      </c>
      <c r="O24446">
        <v>250908</v>
      </c>
      <c r="P24446">
        <v>13.26</v>
      </c>
    </row>
    <row r="24447" spans="1:16" x14ac:dyDescent="0.25">
      <c r="A24447" t="s">
        <v>3296</v>
      </c>
      <c r="B24447" t="s">
        <v>2931</v>
      </c>
      <c r="C24447">
        <v>11550</v>
      </c>
      <c r="D24447" t="str">
        <f>"1250804955  "</f>
        <v xml:space="preserve">1250804955  </v>
      </c>
      <c r="E24447" t="s">
        <v>863</v>
      </c>
      <c r="F24447" t="s">
        <v>864</v>
      </c>
      <c r="G24447">
        <v>113.5</v>
      </c>
      <c r="H24447">
        <v>250831</v>
      </c>
      <c r="I24447">
        <v>4380</v>
      </c>
      <c r="J24447" t="s">
        <v>211</v>
      </c>
      <c r="K24447">
        <v>151.33000000000001</v>
      </c>
      <c r="L24447">
        <v>23.06</v>
      </c>
      <c r="M24447">
        <v>17950</v>
      </c>
      <c r="N24447" t="s">
        <v>132</v>
      </c>
      <c r="O24447">
        <v>250908</v>
      </c>
      <c r="P24447">
        <v>90.44</v>
      </c>
    </row>
    <row r="24448" spans="1:16" x14ac:dyDescent="0.25">
      <c r="A24448" t="s">
        <v>3296</v>
      </c>
      <c r="B24448" t="s">
        <v>2931</v>
      </c>
      <c r="C24448">
        <v>11550</v>
      </c>
      <c r="D24448" t="str">
        <f>"1250804955  "</f>
        <v xml:space="preserve">1250804955  </v>
      </c>
      <c r="E24448" t="s">
        <v>863</v>
      </c>
      <c r="F24448" t="s">
        <v>864</v>
      </c>
      <c r="G24448">
        <v>21.19</v>
      </c>
      <c r="H24448">
        <v>250831</v>
      </c>
      <c r="I24448">
        <v>4380</v>
      </c>
      <c r="J24448" t="s">
        <v>211</v>
      </c>
      <c r="K24448">
        <v>151.33000000000001</v>
      </c>
      <c r="L24448">
        <v>4.3099999999999996</v>
      </c>
      <c r="M24448">
        <v>17956</v>
      </c>
      <c r="N24448" t="s">
        <v>170</v>
      </c>
      <c r="O24448">
        <v>250908</v>
      </c>
      <c r="P24448">
        <v>16.88</v>
      </c>
    </row>
    <row r="24449" spans="1:16" x14ac:dyDescent="0.25">
      <c r="A24449" t="s">
        <v>3296</v>
      </c>
      <c r="B24449" t="s">
        <v>2931</v>
      </c>
      <c r="C24449">
        <v>11554</v>
      </c>
      <c r="D24449" t="str">
        <f>"1250805020  "</f>
        <v xml:space="preserve">1250805020  </v>
      </c>
      <c r="E24449" t="s">
        <v>863</v>
      </c>
      <c r="F24449" t="s">
        <v>864</v>
      </c>
      <c r="G24449">
        <v>126.24</v>
      </c>
      <c r="H24449">
        <v>250831</v>
      </c>
      <c r="I24449">
        <v>4380</v>
      </c>
      <c r="J24449" t="s">
        <v>211</v>
      </c>
      <c r="K24449">
        <v>206.95</v>
      </c>
      <c r="L24449">
        <v>25.65</v>
      </c>
      <c r="M24449">
        <v>59502</v>
      </c>
      <c r="N24449" t="s">
        <v>63</v>
      </c>
      <c r="O24449">
        <v>250908</v>
      </c>
      <c r="P24449">
        <v>100.59</v>
      </c>
    </row>
    <row r="24450" spans="1:16" x14ac:dyDescent="0.25">
      <c r="A24450" t="s">
        <v>3296</v>
      </c>
      <c r="B24450" t="s">
        <v>2931</v>
      </c>
      <c r="C24450">
        <v>11554</v>
      </c>
      <c r="D24450" t="str">
        <f>"1250805020  "</f>
        <v xml:space="preserve">1250805020  </v>
      </c>
      <c r="E24450" t="s">
        <v>863</v>
      </c>
      <c r="F24450" t="s">
        <v>864</v>
      </c>
      <c r="G24450">
        <v>80.709999999999994</v>
      </c>
      <c r="H24450">
        <v>250831</v>
      </c>
      <c r="I24450">
        <v>4380</v>
      </c>
      <c r="J24450" t="s">
        <v>211</v>
      </c>
      <c r="K24450">
        <v>206.95</v>
      </c>
      <c r="L24450">
        <v>16.399999999999999</v>
      </c>
      <c r="M24450">
        <v>59802</v>
      </c>
      <c r="N24450" t="s">
        <v>195</v>
      </c>
      <c r="O24450">
        <v>250908</v>
      </c>
      <c r="P24450">
        <v>64.31</v>
      </c>
    </row>
    <row r="24451" spans="1:16" x14ac:dyDescent="0.25">
      <c r="A24451" t="s">
        <v>3296</v>
      </c>
      <c r="B24451" t="s">
        <v>2931</v>
      </c>
      <c r="C24451">
        <v>12945</v>
      </c>
      <c r="D24451" t="str">
        <f>"1250900369  "</f>
        <v xml:space="preserve">1250900369  </v>
      </c>
      <c r="E24451" t="s">
        <v>863</v>
      </c>
      <c r="F24451" t="s">
        <v>864</v>
      </c>
      <c r="G24451">
        <v>37.15</v>
      </c>
      <c r="H24451">
        <v>250930</v>
      </c>
      <c r="I24451">
        <v>4380</v>
      </c>
      <c r="J24451" t="s">
        <v>211</v>
      </c>
      <c r="K24451">
        <v>37.15</v>
      </c>
      <c r="L24451">
        <v>7.55</v>
      </c>
      <c r="M24451">
        <v>17952</v>
      </c>
      <c r="N24451" t="s">
        <v>157</v>
      </c>
      <c r="O24451">
        <v>251002</v>
      </c>
      <c r="P24451">
        <v>29.6</v>
      </c>
    </row>
    <row r="24452" spans="1:16" x14ac:dyDescent="0.25">
      <c r="A24452" t="s">
        <v>3296</v>
      </c>
      <c r="B24452" t="s">
        <v>2931</v>
      </c>
      <c r="C24452">
        <v>12946</v>
      </c>
      <c r="D24452" t="str">
        <f>"1250900272  "</f>
        <v xml:space="preserve">1250900272  </v>
      </c>
      <c r="E24452" t="s">
        <v>863</v>
      </c>
      <c r="F24452" t="s">
        <v>864</v>
      </c>
      <c r="G24452">
        <v>42.53</v>
      </c>
      <c r="H24452">
        <v>250930</v>
      </c>
      <c r="I24452">
        <v>4380</v>
      </c>
      <c r="J24452" t="s">
        <v>211</v>
      </c>
      <c r="K24452">
        <v>157.53</v>
      </c>
      <c r="L24452">
        <v>8.64</v>
      </c>
      <c r="M24452">
        <v>59112</v>
      </c>
      <c r="N24452" t="s">
        <v>44</v>
      </c>
      <c r="O24452">
        <v>251002</v>
      </c>
      <c r="P24452">
        <v>33.89</v>
      </c>
    </row>
    <row r="24453" spans="1:16" x14ac:dyDescent="0.25">
      <c r="A24453" t="s">
        <v>3296</v>
      </c>
      <c r="B24453" t="s">
        <v>2931</v>
      </c>
      <c r="C24453">
        <v>12946</v>
      </c>
      <c r="D24453" t="str">
        <f>"1250900272  "</f>
        <v xml:space="preserve">1250900272  </v>
      </c>
      <c r="E24453" t="s">
        <v>863</v>
      </c>
      <c r="F24453" t="s">
        <v>864</v>
      </c>
      <c r="G24453">
        <v>115</v>
      </c>
      <c r="H24453">
        <v>250930</v>
      </c>
      <c r="I24453">
        <v>4380</v>
      </c>
      <c r="J24453" t="s">
        <v>211</v>
      </c>
      <c r="K24453">
        <v>157.53</v>
      </c>
      <c r="L24453">
        <v>23.37</v>
      </c>
      <c r="M24453">
        <v>59504</v>
      </c>
      <c r="N24453" t="s">
        <v>193</v>
      </c>
      <c r="O24453">
        <v>251002</v>
      </c>
      <c r="P24453">
        <v>91.63</v>
      </c>
    </row>
    <row r="24454" spans="1:16" x14ac:dyDescent="0.25">
      <c r="A24454" t="s">
        <v>3296</v>
      </c>
      <c r="B24454" t="s">
        <v>2931</v>
      </c>
      <c r="C24454">
        <v>13025</v>
      </c>
      <c r="D24454" t="str">
        <f>"1250900281  "</f>
        <v xml:space="preserve">1250900281  </v>
      </c>
      <c r="E24454" t="s">
        <v>863</v>
      </c>
      <c r="F24454" t="s">
        <v>864</v>
      </c>
      <c r="G24454">
        <v>136.13</v>
      </c>
      <c r="H24454">
        <v>250930</v>
      </c>
      <c r="I24454">
        <v>4380</v>
      </c>
      <c r="J24454" t="s">
        <v>211</v>
      </c>
      <c r="K24454">
        <v>223.16</v>
      </c>
      <c r="L24454">
        <v>27.66</v>
      </c>
      <c r="M24454">
        <v>59502</v>
      </c>
      <c r="N24454" t="s">
        <v>63</v>
      </c>
      <c r="O24454">
        <v>251003</v>
      </c>
      <c r="P24454">
        <v>108.47</v>
      </c>
    </row>
    <row r="24455" spans="1:16" x14ac:dyDescent="0.25">
      <c r="A24455" t="s">
        <v>3296</v>
      </c>
      <c r="B24455" t="s">
        <v>2931</v>
      </c>
      <c r="C24455">
        <v>13025</v>
      </c>
      <c r="D24455" t="str">
        <f>"1250900281  "</f>
        <v xml:space="preserve">1250900281  </v>
      </c>
      <c r="E24455" t="s">
        <v>863</v>
      </c>
      <c r="F24455" t="s">
        <v>864</v>
      </c>
      <c r="G24455">
        <v>87.03</v>
      </c>
      <c r="H24455">
        <v>250930</v>
      </c>
      <c r="I24455">
        <v>4380</v>
      </c>
      <c r="J24455" t="s">
        <v>211</v>
      </c>
      <c r="K24455">
        <v>223.16</v>
      </c>
      <c r="L24455">
        <v>17.68</v>
      </c>
      <c r="M24455">
        <v>59802</v>
      </c>
      <c r="N24455" t="s">
        <v>195</v>
      </c>
      <c r="O24455">
        <v>251003</v>
      </c>
      <c r="P24455">
        <v>69.349999999999994</v>
      </c>
    </row>
    <row r="24456" spans="1:16" x14ac:dyDescent="0.25">
      <c r="A24456" t="s">
        <v>3296</v>
      </c>
      <c r="B24456" t="s">
        <v>2931</v>
      </c>
      <c r="C24456">
        <v>13026</v>
      </c>
      <c r="D24456" t="str">
        <f>"1250900275  "</f>
        <v xml:space="preserve">1250900275  </v>
      </c>
      <c r="E24456" t="s">
        <v>863</v>
      </c>
      <c r="F24456" t="s">
        <v>864</v>
      </c>
      <c r="G24456">
        <v>38</v>
      </c>
      <c r="H24456">
        <v>250930</v>
      </c>
      <c r="I24456">
        <v>4380</v>
      </c>
      <c r="J24456" t="s">
        <v>211</v>
      </c>
      <c r="K24456">
        <v>633.36</v>
      </c>
      <c r="L24456">
        <v>7.72</v>
      </c>
      <c r="M24456">
        <v>59111</v>
      </c>
      <c r="N24456" t="s">
        <v>60</v>
      </c>
      <c r="O24456">
        <v>251003</v>
      </c>
      <c r="P24456">
        <v>30.28</v>
      </c>
    </row>
    <row r="24457" spans="1:16" x14ac:dyDescent="0.25">
      <c r="A24457" t="s">
        <v>3296</v>
      </c>
      <c r="B24457" t="s">
        <v>2931</v>
      </c>
      <c r="C24457">
        <v>13026</v>
      </c>
      <c r="D24457" t="str">
        <f>"1250900275  "</f>
        <v xml:space="preserve">1250900275  </v>
      </c>
      <c r="E24457" t="s">
        <v>863</v>
      </c>
      <c r="F24457" t="s">
        <v>864</v>
      </c>
      <c r="G24457">
        <v>595.36</v>
      </c>
      <c r="H24457">
        <v>250930</v>
      </c>
      <c r="I24457">
        <v>4380</v>
      </c>
      <c r="J24457" t="s">
        <v>211</v>
      </c>
      <c r="K24457">
        <v>633.36</v>
      </c>
      <c r="L24457">
        <v>120.97</v>
      </c>
      <c r="M24457">
        <v>59501</v>
      </c>
      <c r="N24457" t="s">
        <v>62</v>
      </c>
      <c r="O24457">
        <v>251003</v>
      </c>
      <c r="P24457">
        <v>474.39</v>
      </c>
    </row>
    <row r="24458" spans="1:16" x14ac:dyDescent="0.25">
      <c r="A24458" t="s">
        <v>3296</v>
      </c>
      <c r="B24458" t="s">
        <v>2931</v>
      </c>
      <c r="C24458">
        <v>13027</v>
      </c>
      <c r="D24458" t="str">
        <f>"1250900278  "</f>
        <v xml:space="preserve">1250900278  </v>
      </c>
      <c r="E24458" t="s">
        <v>863</v>
      </c>
      <c r="F24458" t="s">
        <v>864</v>
      </c>
      <c r="G24458">
        <v>125.87</v>
      </c>
      <c r="H24458">
        <v>250930</v>
      </c>
      <c r="I24458">
        <v>4380</v>
      </c>
      <c r="J24458" t="s">
        <v>211</v>
      </c>
      <c r="K24458">
        <v>125.87</v>
      </c>
      <c r="L24458">
        <v>25.58</v>
      </c>
      <c r="M24458">
        <v>59505</v>
      </c>
      <c r="N24458" t="s">
        <v>194</v>
      </c>
      <c r="O24458">
        <v>251003</v>
      </c>
      <c r="P24458">
        <v>100.29</v>
      </c>
    </row>
    <row r="24459" spans="1:16" x14ac:dyDescent="0.25">
      <c r="A24459" t="s">
        <v>3296</v>
      </c>
      <c r="B24459" t="s">
        <v>2931</v>
      </c>
      <c r="C24459">
        <v>14658</v>
      </c>
      <c r="D24459" t="str">
        <f>"1251003113  "</f>
        <v xml:space="preserve">1251003113  </v>
      </c>
      <c r="E24459" t="s">
        <v>863</v>
      </c>
      <c r="F24459" t="s">
        <v>864</v>
      </c>
      <c r="G24459">
        <v>37.15</v>
      </c>
      <c r="H24459">
        <v>251031</v>
      </c>
      <c r="I24459">
        <v>4380</v>
      </c>
      <c r="J24459" t="s">
        <v>211</v>
      </c>
      <c r="K24459">
        <v>37.15</v>
      </c>
      <c r="L24459">
        <v>7.55</v>
      </c>
      <c r="M24459">
        <v>17952</v>
      </c>
      <c r="N24459" t="s">
        <v>157</v>
      </c>
      <c r="O24459">
        <v>251105</v>
      </c>
      <c r="P24459">
        <v>29.6</v>
      </c>
    </row>
    <row r="24460" spans="1:16" x14ac:dyDescent="0.25">
      <c r="A24460" t="s">
        <v>3296</v>
      </c>
      <c r="B24460" t="s">
        <v>2931</v>
      </c>
      <c r="C24460">
        <v>15066</v>
      </c>
      <c r="D24460" t="str">
        <f>"1251003020  "</f>
        <v xml:space="preserve">1251003020  </v>
      </c>
      <c r="E24460" t="s">
        <v>863</v>
      </c>
      <c r="F24460" t="s">
        <v>864</v>
      </c>
      <c r="G24460">
        <v>94.64</v>
      </c>
      <c r="H24460">
        <v>251031</v>
      </c>
      <c r="I24460">
        <v>4380</v>
      </c>
      <c r="J24460" t="s">
        <v>211</v>
      </c>
      <c r="K24460">
        <v>1577.37</v>
      </c>
      <c r="L24460">
        <v>19.23</v>
      </c>
      <c r="M24460">
        <v>59111</v>
      </c>
      <c r="N24460" t="s">
        <v>60</v>
      </c>
      <c r="O24460">
        <v>251111</v>
      </c>
      <c r="P24460">
        <v>75.41</v>
      </c>
    </row>
    <row r="24461" spans="1:16" x14ac:dyDescent="0.25">
      <c r="A24461" t="s">
        <v>3296</v>
      </c>
      <c r="B24461" t="s">
        <v>2931</v>
      </c>
      <c r="C24461">
        <v>15066</v>
      </c>
      <c r="D24461" t="str">
        <f>"1251003020  "</f>
        <v xml:space="preserve">1251003020  </v>
      </c>
      <c r="E24461" t="s">
        <v>863</v>
      </c>
      <c r="F24461" t="s">
        <v>864</v>
      </c>
      <c r="G24461">
        <v>1482.73</v>
      </c>
      <c r="H24461">
        <v>251031</v>
      </c>
      <c r="I24461">
        <v>4380</v>
      </c>
      <c r="J24461" t="s">
        <v>211</v>
      </c>
      <c r="K24461">
        <v>1577.37</v>
      </c>
      <c r="L24461">
        <v>301.27</v>
      </c>
      <c r="M24461">
        <v>59501</v>
      </c>
      <c r="N24461" t="s">
        <v>62</v>
      </c>
      <c r="O24461">
        <v>251111</v>
      </c>
      <c r="P24461">
        <v>1181.46</v>
      </c>
    </row>
    <row r="24462" spans="1:16" x14ac:dyDescent="0.25">
      <c r="A24462" t="s">
        <v>3296</v>
      </c>
      <c r="B24462" t="s">
        <v>2931</v>
      </c>
      <c r="C24462">
        <v>15071</v>
      </c>
      <c r="D24462" t="str">
        <f>"1251003023  "</f>
        <v xml:space="preserve">1251003023  </v>
      </c>
      <c r="E24462" t="s">
        <v>863</v>
      </c>
      <c r="F24462" t="s">
        <v>864</v>
      </c>
      <c r="G24462">
        <v>125.88</v>
      </c>
      <c r="H24462">
        <v>251031</v>
      </c>
      <c r="I24462">
        <v>4380</v>
      </c>
      <c r="J24462" t="s">
        <v>211</v>
      </c>
      <c r="K24462">
        <v>125.88</v>
      </c>
      <c r="L24462">
        <v>25.58</v>
      </c>
      <c r="M24462">
        <v>59505</v>
      </c>
      <c r="N24462" t="s">
        <v>194</v>
      </c>
      <c r="O24462">
        <v>251111</v>
      </c>
      <c r="P24462">
        <v>100.3</v>
      </c>
    </row>
    <row r="24463" spans="1:16" x14ac:dyDescent="0.25">
      <c r="A24463" t="s">
        <v>3296</v>
      </c>
      <c r="B24463" t="s">
        <v>2931</v>
      </c>
      <c r="C24463">
        <v>15072</v>
      </c>
      <c r="D24463" t="str">
        <f>"1251003026  "</f>
        <v xml:space="preserve">1251003026  </v>
      </c>
      <c r="E24463" t="s">
        <v>863</v>
      </c>
      <c r="F24463" t="s">
        <v>864</v>
      </c>
      <c r="G24463">
        <v>145.31</v>
      </c>
      <c r="H24463">
        <v>251031</v>
      </c>
      <c r="I24463">
        <v>4380</v>
      </c>
      <c r="J24463" t="s">
        <v>211</v>
      </c>
      <c r="K24463">
        <v>238.21</v>
      </c>
      <c r="L24463">
        <v>29.53</v>
      </c>
      <c r="M24463">
        <v>59502</v>
      </c>
      <c r="N24463" t="s">
        <v>63</v>
      </c>
      <c r="O24463">
        <v>251111</v>
      </c>
      <c r="P24463">
        <v>115.78</v>
      </c>
    </row>
    <row r="24464" spans="1:16" x14ac:dyDescent="0.25">
      <c r="A24464" t="s">
        <v>3296</v>
      </c>
      <c r="B24464" t="s">
        <v>2931</v>
      </c>
      <c r="C24464">
        <v>15072</v>
      </c>
      <c r="D24464" t="str">
        <f>"1251003026  "</f>
        <v xml:space="preserve">1251003026  </v>
      </c>
      <c r="E24464" t="s">
        <v>863</v>
      </c>
      <c r="F24464" t="s">
        <v>864</v>
      </c>
      <c r="G24464">
        <v>92.9</v>
      </c>
      <c r="H24464">
        <v>251031</v>
      </c>
      <c r="I24464">
        <v>4380</v>
      </c>
      <c r="J24464" t="s">
        <v>211</v>
      </c>
      <c r="K24464">
        <v>238.21</v>
      </c>
      <c r="L24464">
        <v>18.88</v>
      </c>
      <c r="M24464">
        <v>59802</v>
      </c>
      <c r="N24464" t="s">
        <v>195</v>
      </c>
      <c r="O24464">
        <v>251111</v>
      </c>
      <c r="P24464">
        <v>74.02</v>
      </c>
    </row>
    <row r="24465" spans="1:16" x14ac:dyDescent="0.25">
      <c r="A24465" t="s">
        <v>3296</v>
      </c>
      <c r="B24465" t="s">
        <v>2931</v>
      </c>
      <c r="C24465">
        <v>15073</v>
      </c>
      <c r="D24465" t="str">
        <f>"1251003015  "</f>
        <v xml:space="preserve">1251003015  </v>
      </c>
      <c r="E24465" t="s">
        <v>863</v>
      </c>
      <c r="F24465" t="s">
        <v>864</v>
      </c>
      <c r="G24465">
        <v>42.54</v>
      </c>
      <c r="H24465">
        <v>251031</v>
      </c>
      <c r="I24465">
        <v>4380</v>
      </c>
      <c r="J24465" t="s">
        <v>211</v>
      </c>
      <c r="K24465">
        <v>157.55000000000001</v>
      </c>
      <c r="L24465">
        <v>8.64</v>
      </c>
      <c r="M24465">
        <v>59112</v>
      </c>
      <c r="N24465" t="s">
        <v>44</v>
      </c>
      <c r="O24465">
        <v>251111</v>
      </c>
      <c r="P24465">
        <v>33.9</v>
      </c>
    </row>
    <row r="24466" spans="1:16" x14ac:dyDescent="0.25">
      <c r="A24466" t="s">
        <v>3296</v>
      </c>
      <c r="B24466" t="s">
        <v>2931</v>
      </c>
      <c r="C24466">
        <v>15073</v>
      </c>
      <c r="D24466" t="str">
        <f>"1251003015  "</f>
        <v xml:space="preserve">1251003015  </v>
      </c>
      <c r="E24466" t="s">
        <v>863</v>
      </c>
      <c r="F24466" t="s">
        <v>864</v>
      </c>
      <c r="G24466">
        <v>115.01</v>
      </c>
      <c r="H24466">
        <v>251031</v>
      </c>
      <c r="I24466">
        <v>4380</v>
      </c>
      <c r="J24466" t="s">
        <v>211</v>
      </c>
      <c r="K24466">
        <v>157.55000000000001</v>
      </c>
      <c r="L24466">
        <v>23.37</v>
      </c>
      <c r="M24466">
        <v>59504</v>
      </c>
      <c r="N24466" t="s">
        <v>193</v>
      </c>
      <c r="O24466">
        <v>251111</v>
      </c>
      <c r="P24466">
        <v>91.64</v>
      </c>
    </row>
    <row r="24467" spans="1:16" x14ac:dyDescent="0.25">
      <c r="A24467" t="s">
        <v>3296</v>
      </c>
      <c r="B24467" t="s">
        <v>2931</v>
      </c>
      <c r="C24467">
        <v>15200</v>
      </c>
      <c r="D24467" t="str">
        <f>"1251002946  "</f>
        <v xml:space="preserve">1251002946  </v>
      </c>
      <c r="E24467" t="s">
        <v>863</v>
      </c>
      <c r="F24467" t="s">
        <v>864</v>
      </c>
      <c r="G24467">
        <v>33.119999999999997</v>
      </c>
      <c r="H24467">
        <v>251031</v>
      </c>
      <c r="I24467">
        <v>4380</v>
      </c>
      <c r="J24467" t="s">
        <v>211</v>
      </c>
      <c r="K24467">
        <v>301.08</v>
      </c>
      <c r="L24467">
        <v>6.73</v>
      </c>
      <c r="M24467">
        <v>13540</v>
      </c>
      <c r="N24467" t="s">
        <v>131</v>
      </c>
      <c r="O24467">
        <v>251114</v>
      </c>
      <c r="P24467">
        <v>26.39</v>
      </c>
    </row>
    <row r="24468" spans="1:16" x14ac:dyDescent="0.25">
      <c r="A24468" t="s">
        <v>3296</v>
      </c>
      <c r="B24468" t="s">
        <v>2931</v>
      </c>
      <c r="C24468">
        <v>15200</v>
      </c>
      <c r="D24468" t="str">
        <f>"1251002946  "</f>
        <v xml:space="preserve">1251002946  </v>
      </c>
      <c r="E24468" t="s">
        <v>863</v>
      </c>
      <c r="F24468" t="s">
        <v>864</v>
      </c>
      <c r="G24468">
        <v>225.81</v>
      </c>
      <c r="H24468">
        <v>251031</v>
      </c>
      <c r="I24468">
        <v>4380</v>
      </c>
      <c r="J24468" t="s">
        <v>211</v>
      </c>
      <c r="K24468">
        <v>301.08</v>
      </c>
      <c r="L24468">
        <v>45.88</v>
      </c>
      <c r="M24468">
        <v>17950</v>
      </c>
      <c r="N24468" t="s">
        <v>132</v>
      </c>
      <c r="O24468">
        <v>251114</v>
      </c>
      <c r="P24468">
        <v>179.93</v>
      </c>
    </row>
    <row r="24469" spans="1:16" x14ac:dyDescent="0.25">
      <c r="A24469" t="s">
        <v>3296</v>
      </c>
      <c r="B24469" t="s">
        <v>2931</v>
      </c>
      <c r="C24469">
        <v>15200</v>
      </c>
      <c r="D24469" t="str">
        <f>"1251002946  "</f>
        <v xml:space="preserve">1251002946  </v>
      </c>
      <c r="E24469" t="s">
        <v>863</v>
      </c>
      <c r="F24469" t="s">
        <v>864</v>
      </c>
      <c r="G24469">
        <v>42.15</v>
      </c>
      <c r="H24469">
        <v>251031</v>
      </c>
      <c r="I24469">
        <v>4380</v>
      </c>
      <c r="J24469" t="s">
        <v>211</v>
      </c>
      <c r="K24469">
        <v>301.08</v>
      </c>
      <c r="L24469">
        <v>8.56</v>
      </c>
      <c r="M24469">
        <v>17956</v>
      </c>
      <c r="N24469" t="s">
        <v>170</v>
      </c>
      <c r="O24469">
        <v>251114</v>
      </c>
      <c r="P24469">
        <v>33.590000000000003</v>
      </c>
    </row>
    <row r="24470" spans="1:16" x14ac:dyDescent="0.25">
      <c r="A24470" t="s">
        <v>3296</v>
      </c>
      <c r="B24470" t="s">
        <v>2931</v>
      </c>
      <c r="C24470">
        <v>16173</v>
      </c>
      <c r="D24470" t="str">
        <f>"126318      "</f>
        <v xml:space="preserve">126318      </v>
      </c>
      <c r="E24470" t="s">
        <v>863</v>
      </c>
      <c r="F24470" t="s">
        <v>864</v>
      </c>
      <c r="G24470">
        <v>27.92</v>
      </c>
      <c r="H24470">
        <v>251130</v>
      </c>
      <c r="I24470">
        <v>4380</v>
      </c>
      <c r="J24470" t="s">
        <v>211</v>
      </c>
      <c r="K24470">
        <v>27.92</v>
      </c>
      <c r="L24470">
        <v>5.67</v>
      </c>
      <c r="M24470">
        <v>17952</v>
      </c>
      <c r="N24470" t="s">
        <v>157</v>
      </c>
      <c r="O24470">
        <v>251204</v>
      </c>
      <c r="P24470">
        <v>22.25</v>
      </c>
    </row>
    <row r="24471" spans="1:16" x14ac:dyDescent="0.25">
      <c r="A24471" t="s">
        <v>3296</v>
      </c>
      <c r="B24471" t="s">
        <v>2931</v>
      </c>
      <c r="C24471">
        <v>16244</v>
      </c>
      <c r="D24471" t="str">
        <f>"126315      "</f>
        <v xml:space="preserve">126315      </v>
      </c>
      <c r="E24471" t="s">
        <v>863</v>
      </c>
      <c r="F24471" t="s">
        <v>864</v>
      </c>
      <c r="G24471">
        <v>42.53</v>
      </c>
      <c r="H24471">
        <v>251130</v>
      </c>
      <c r="I24471">
        <v>4380</v>
      </c>
      <c r="J24471" t="s">
        <v>211</v>
      </c>
      <c r="K24471">
        <v>157.51</v>
      </c>
      <c r="L24471">
        <v>8.64</v>
      </c>
      <c r="M24471">
        <v>59112</v>
      </c>
      <c r="N24471" t="s">
        <v>44</v>
      </c>
      <c r="O24471">
        <v>251205</v>
      </c>
      <c r="P24471">
        <v>33.89</v>
      </c>
    </row>
    <row r="24472" spans="1:16" x14ac:dyDescent="0.25">
      <c r="A24472" t="s">
        <v>3296</v>
      </c>
      <c r="B24472" t="s">
        <v>2931</v>
      </c>
      <c r="C24472">
        <v>16244</v>
      </c>
      <c r="D24472" t="str">
        <f>"126315      "</f>
        <v xml:space="preserve">126315      </v>
      </c>
      <c r="E24472" t="s">
        <v>863</v>
      </c>
      <c r="F24472" t="s">
        <v>864</v>
      </c>
      <c r="G24472">
        <v>114.98</v>
      </c>
      <c r="H24472">
        <v>251130</v>
      </c>
      <c r="I24472">
        <v>4380</v>
      </c>
      <c r="J24472" t="s">
        <v>211</v>
      </c>
      <c r="K24472">
        <v>157.51</v>
      </c>
      <c r="L24472">
        <v>23.36</v>
      </c>
      <c r="M24472">
        <v>59504</v>
      </c>
      <c r="N24472" t="s">
        <v>193</v>
      </c>
      <c r="O24472">
        <v>251205</v>
      </c>
      <c r="P24472">
        <v>91.62</v>
      </c>
    </row>
    <row r="24473" spans="1:16" x14ac:dyDescent="0.25">
      <c r="A24473" t="s">
        <v>3296</v>
      </c>
      <c r="B24473" t="s">
        <v>2931</v>
      </c>
      <c r="C24473">
        <v>16346</v>
      </c>
      <c r="D24473" t="str">
        <f>"126314      "</f>
        <v xml:space="preserve">126314      </v>
      </c>
      <c r="E24473" t="s">
        <v>863</v>
      </c>
      <c r="F24473" t="s">
        <v>864</v>
      </c>
      <c r="G24473">
        <v>38.979999999999997</v>
      </c>
      <c r="H24473">
        <v>251130</v>
      </c>
      <c r="I24473">
        <v>4380</v>
      </c>
      <c r="J24473" t="s">
        <v>211</v>
      </c>
      <c r="K24473">
        <v>649.59</v>
      </c>
      <c r="L24473">
        <v>7.92</v>
      </c>
      <c r="M24473">
        <v>59111</v>
      </c>
      <c r="N24473" t="s">
        <v>60</v>
      </c>
      <c r="O24473">
        <v>251208</v>
      </c>
      <c r="P24473">
        <v>31.06</v>
      </c>
    </row>
    <row r="24474" spans="1:16" x14ac:dyDescent="0.25">
      <c r="A24474" t="s">
        <v>3296</v>
      </c>
      <c r="B24474" t="s">
        <v>2931</v>
      </c>
      <c r="C24474">
        <v>16346</v>
      </c>
      <c r="D24474" t="str">
        <f>"126314      "</f>
        <v xml:space="preserve">126314      </v>
      </c>
      <c r="E24474" t="s">
        <v>863</v>
      </c>
      <c r="F24474" t="s">
        <v>864</v>
      </c>
      <c r="G24474">
        <v>610.61</v>
      </c>
      <c r="H24474">
        <v>251130</v>
      </c>
      <c r="I24474">
        <v>4380</v>
      </c>
      <c r="J24474" t="s">
        <v>211</v>
      </c>
      <c r="K24474">
        <v>649.59</v>
      </c>
      <c r="L24474">
        <v>124.07</v>
      </c>
      <c r="M24474">
        <v>59501</v>
      </c>
      <c r="N24474" t="s">
        <v>62</v>
      </c>
      <c r="O24474">
        <v>251208</v>
      </c>
      <c r="P24474">
        <v>486.54</v>
      </c>
    </row>
    <row r="24475" spans="1:16" x14ac:dyDescent="0.25">
      <c r="A24475" t="s">
        <v>3296</v>
      </c>
      <c r="B24475" t="s">
        <v>2931</v>
      </c>
      <c r="C24475">
        <v>16347</v>
      </c>
      <c r="D24475" t="str">
        <f>"126316      "</f>
        <v xml:space="preserve">126316      </v>
      </c>
      <c r="E24475" t="s">
        <v>863</v>
      </c>
      <c r="F24475" t="s">
        <v>864</v>
      </c>
      <c r="G24475">
        <v>125.89</v>
      </c>
      <c r="H24475">
        <v>251130</v>
      </c>
      <c r="I24475">
        <v>4380</v>
      </c>
      <c r="J24475" t="s">
        <v>211</v>
      </c>
      <c r="K24475">
        <v>125.89</v>
      </c>
      <c r="L24475">
        <v>25.58</v>
      </c>
      <c r="M24475">
        <v>59505</v>
      </c>
      <c r="N24475" t="s">
        <v>194</v>
      </c>
      <c r="O24475">
        <v>251208</v>
      </c>
      <c r="P24475">
        <v>100.31</v>
      </c>
    </row>
    <row r="24476" spans="1:16" x14ac:dyDescent="0.25">
      <c r="A24476" t="s">
        <v>3296</v>
      </c>
      <c r="B24476" t="s">
        <v>2931</v>
      </c>
      <c r="C24476">
        <v>16348</v>
      </c>
      <c r="D24476" t="str">
        <f>"126317      "</f>
        <v xml:space="preserve">126317      </v>
      </c>
      <c r="E24476" t="s">
        <v>863</v>
      </c>
      <c r="F24476" t="s">
        <v>864</v>
      </c>
      <c r="G24476">
        <v>155.85</v>
      </c>
      <c r="H24476">
        <v>251130</v>
      </c>
      <c r="I24476">
        <v>4380</v>
      </c>
      <c r="J24476" t="s">
        <v>211</v>
      </c>
      <c r="K24476">
        <v>255.49</v>
      </c>
      <c r="L24476">
        <v>31.67</v>
      </c>
      <c r="M24476">
        <v>59502</v>
      </c>
      <c r="N24476" t="s">
        <v>63</v>
      </c>
      <c r="O24476">
        <v>251208</v>
      </c>
      <c r="P24476">
        <v>124.18</v>
      </c>
    </row>
    <row r="24477" spans="1:16" x14ac:dyDescent="0.25">
      <c r="A24477" t="s">
        <v>3296</v>
      </c>
      <c r="B24477" t="s">
        <v>2931</v>
      </c>
      <c r="C24477">
        <v>16348</v>
      </c>
      <c r="D24477" t="str">
        <f>"126317      "</f>
        <v xml:space="preserve">126317      </v>
      </c>
      <c r="E24477" t="s">
        <v>863</v>
      </c>
      <c r="F24477" t="s">
        <v>864</v>
      </c>
      <c r="G24477">
        <v>99.64</v>
      </c>
      <c r="H24477">
        <v>251130</v>
      </c>
      <c r="I24477">
        <v>4380</v>
      </c>
      <c r="J24477" t="s">
        <v>211</v>
      </c>
      <c r="K24477">
        <v>255.49</v>
      </c>
      <c r="L24477">
        <v>20.25</v>
      </c>
      <c r="M24477">
        <v>59802</v>
      </c>
      <c r="N24477" t="s">
        <v>195</v>
      </c>
      <c r="O24477">
        <v>251208</v>
      </c>
      <c r="P24477">
        <v>79.39</v>
      </c>
    </row>
    <row r="24478" spans="1:16" x14ac:dyDescent="0.25">
      <c r="A24478" t="s">
        <v>3296</v>
      </c>
      <c r="B24478" t="s">
        <v>2931</v>
      </c>
      <c r="C24478">
        <v>17983</v>
      </c>
      <c r="D24478" t="str">
        <f>"129549      "</f>
        <v xml:space="preserve">129549      </v>
      </c>
      <c r="E24478" t="s">
        <v>863</v>
      </c>
      <c r="F24478" t="s">
        <v>864</v>
      </c>
      <c r="G24478">
        <v>64.819999999999993</v>
      </c>
      <c r="H24478">
        <v>251231</v>
      </c>
      <c r="I24478">
        <v>4380</v>
      </c>
      <c r="J24478" t="s">
        <v>211</v>
      </c>
      <c r="K24478">
        <v>64.819999999999993</v>
      </c>
      <c r="L24478">
        <v>13.17</v>
      </c>
      <c r="M24478">
        <v>17952</v>
      </c>
      <c r="N24478" t="s">
        <v>157</v>
      </c>
      <c r="O24478">
        <v>260107</v>
      </c>
      <c r="P24478">
        <v>51.65</v>
      </c>
    </row>
    <row r="24479" spans="1:16" x14ac:dyDescent="0.25">
      <c r="A24479" t="s">
        <v>3296</v>
      </c>
      <c r="B24479" t="s">
        <v>2931</v>
      </c>
      <c r="C24479">
        <v>17984</v>
      </c>
      <c r="D24479" t="str">
        <f>"129545      "</f>
        <v xml:space="preserve">129545      </v>
      </c>
      <c r="E24479" t="s">
        <v>863</v>
      </c>
      <c r="F24479" t="s">
        <v>864</v>
      </c>
      <c r="G24479">
        <v>68.27</v>
      </c>
      <c r="H24479">
        <v>251231</v>
      </c>
      <c r="I24479">
        <v>4380</v>
      </c>
      <c r="J24479" t="s">
        <v>211</v>
      </c>
      <c r="K24479">
        <v>1137.76</v>
      </c>
      <c r="L24479">
        <v>13.87</v>
      </c>
      <c r="M24479">
        <v>59111</v>
      </c>
      <c r="N24479" t="s">
        <v>60</v>
      </c>
      <c r="O24479">
        <v>260107</v>
      </c>
      <c r="P24479">
        <v>54.4</v>
      </c>
    </row>
    <row r="24480" spans="1:16" x14ac:dyDescent="0.25">
      <c r="A24480" t="s">
        <v>3296</v>
      </c>
      <c r="B24480" t="s">
        <v>2931</v>
      </c>
      <c r="C24480">
        <v>17984</v>
      </c>
      <c r="D24480" t="str">
        <f>"129545      "</f>
        <v xml:space="preserve">129545      </v>
      </c>
      <c r="E24480" t="s">
        <v>863</v>
      </c>
      <c r="F24480" t="s">
        <v>864</v>
      </c>
      <c r="G24480">
        <v>1069.49</v>
      </c>
      <c r="H24480">
        <v>251231</v>
      </c>
      <c r="I24480">
        <v>4380</v>
      </c>
      <c r="J24480" t="s">
        <v>211</v>
      </c>
      <c r="K24480">
        <v>1137.76</v>
      </c>
      <c r="L24480">
        <v>217.31</v>
      </c>
      <c r="M24480">
        <v>59501</v>
      </c>
      <c r="N24480" t="s">
        <v>62</v>
      </c>
      <c r="O24480">
        <v>260107</v>
      </c>
      <c r="P24480">
        <v>852.18</v>
      </c>
    </row>
    <row r="24481" spans="1:16" x14ac:dyDescent="0.25">
      <c r="A24481" t="s">
        <v>3296</v>
      </c>
      <c r="B24481" t="s">
        <v>2931</v>
      </c>
      <c r="C24481">
        <v>17987</v>
      </c>
      <c r="D24481" t="str">
        <f>"129546      "</f>
        <v xml:space="preserve">129546      </v>
      </c>
      <c r="E24481" t="s">
        <v>863</v>
      </c>
      <c r="F24481" t="s">
        <v>864</v>
      </c>
      <c r="G24481">
        <v>27.84</v>
      </c>
      <c r="H24481">
        <v>251231</v>
      </c>
      <c r="I24481">
        <v>4380</v>
      </c>
      <c r="J24481" t="s">
        <v>211</v>
      </c>
      <c r="K24481">
        <v>103.1</v>
      </c>
      <c r="L24481">
        <v>5.66</v>
      </c>
      <c r="M24481">
        <v>59112</v>
      </c>
      <c r="N24481" t="s">
        <v>44</v>
      </c>
      <c r="O24481">
        <v>260107</v>
      </c>
      <c r="P24481">
        <v>22.18</v>
      </c>
    </row>
    <row r="24482" spans="1:16" x14ac:dyDescent="0.25">
      <c r="A24482" t="s">
        <v>3296</v>
      </c>
      <c r="B24482" t="s">
        <v>2931</v>
      </c>
      <c r="C24482">
        <v>17987</v>
      </c>
      <c r="D24482" t="str">
        <f>"129546      "</f>
        <v xml:space="preserve">129546      </v>
      </c>
      <c r="E24482" t="s">
        <v>863</v>
      </c>
      <c r="F24482" t="s">
        <v>864</v>
      </c>
      <c r="G24482">
        <v>75.260000000000005</v>
      </c>
      <c r="H24482">
        <v>251231</v>
      </c>
      <c r="I24482">
        <v>4380</v>
      </c>
      <c r="J24482" t="s">
        <v>211</v>
      </c>
      <c r="K24482">
        <v>103.1</v>
      </c>
      <c r="L24482">
        <v>15.29</v>
      </c>
      <c r="M24482">
        <v>59504</v>
      </c>
      <c r="N24482" t="s">
        <v>193</v>
      </c>
      <c r="O24482">
        <v>260107</v>
      </c>
      <c r="P24482">
        <v>59.97</v>
      </c>
    </row>
    <row r="24483" spans="1:16" x14ac:dyDescent="0.25">
      <c r="A24483" t="s">
        <v>3296</v>
      </c>
      <c r="B24483" t="s">
        <v>2931</v>
      </c>
      <c r="C24483">
        <v>17992</v>
      </c>
      <c r="D24483" t="str">
        <f>"129548      "</f>
        <v xml:space="preserve">129548      </v>
      </c>
      <c r="E24483" t="s">
        <v>863</v>
      </c>
      <c r="F24483" t="s">
        <v>864</v>
      </c>
      <c r="G24483">
        <v>116.31</v>
      </c>
      <c r="H24483">
        <v>251231</v>
      </c>
      <c r="I24483">
        <v>4380</v>
      </c>
      <c r="J24483" t="s">
        <v>211</v>
      </c>
      <c r="K24483">
        <v>190.67</v>
      </c>
      <c r="L24483">
        <v>23.63</v>
      </c>
      <c r="M24483">
        <v>59502</v>
      </c>
      <c r="N24483" t="s">
        <v>63</v>
      </c>
      <c r="O24483">
        <v>260107</v>
      </c>
      <c r="P24483">
        <v>92.68</v>
      </c>
    </row>
    <row r="24484" spans="1:16" x14ac:dyDescent="0.25">
      <c r="A24484" t="s">
        <v>3296</v>
      </c>
      <c r="B24484" t="s">
        <v>2931</v>
      </c>
      <c r="C24484">
        <v>17992</v>
      </c>
      <c r="D24484" t="str">
        <f>"129548      "</f>
        <v xml:space="preserve">129548      </v>
      </c>
      <c r="E24484" t="s">
        <v>863</v>
      </c>
      <c r="F24484" t="s">
        <v>864</v>
      </c>
      <c r="G24484">
        <v>74.36</v>
      </c>
      <c r="H24484">
        <v>251231</v>
      </c>
      <c r="I24484">
        <v>4380</v>
      </c>
      <c r="J24484" t="s">
        <v>211</v>
      </c>
      <c r="K24484">
        <v>190.67</v>
      </c>
      <c r="L24484">
        <v>15.11</v>
      </c>
      <c r="M24484">
        <v>59802</v>
      </c>
      <c r="N24484" t="s">
        <v>195</v>
      </c>
      <c r="O24484">
        <v>260107</v>
      </c>
      <c r="P24484">
        <v>59.25</v>
      </c>
    </row>
    <row r="24485" spans="1:16" x14ac:dyDescent="0.25">
      <c r="A24485" t="s">
        <v>3296</v>
      </c>
      <c r="B24485" t="s">
        <v>2931</v>
      </c>
      <c r="C24485">
        <v>18029</v>
      </c>
      <c r="D24485" t="str">
        <f>"129547      "</f>
        <v xml:space="preserve">129547      </v>
      </c>
      <c r="E24485" t="s">
        <v>863</v>
      </c>
      <c r="F24485" t="s">
        <v>864</v>
      </c>
      <c r="G24485">
        <v>142.11000000000001</v>
      </c>
      <c r="H24485">
        <v>251231</v>
      </c>
      <c r="I24485">
        <v>4380</v>
      </c>
      <c r="J24485" t="s">
        <v>211</v>
      </c>
      <c r="K24485">
        <v>142.11000000000001</v>
      </c>
      <c r="L24485">
        <v>28.87</v>
      </c>
      <c r="M24485">
        <v>59505</v>
      </c>
      <c r="N24485" t="s">
        <v>194</v>
      </c>
      <c r="O24485">
        <v>260108</v>
      </c>
      <c r="P24485">
        <v>113.24</v>
      </c>
    </row>
    <row r="24486" spans="1:16" x14ac:dyDescent="0.25">
      <c r="A24486" t="s">
        <v>3296</v>
      </c>
      <c r="B24486" t="s">
        <v>2931</v>
      </c>
      <c r="C24486">
        <v>18050</v>
      </c>
      <c r="D24486" t="str">
        <f>"129383      "</f>
        <v xml:space="preserve">129383      </v>
      </c>
      <c r="E24486" t="s">
        <v>863</v>
      </c>
      <c r="F24486" t="s">
        <v>864</v>
      </c>
      <c r="G24486">
        <v>31.74</v>
      </c>
      <c r="H24486">
        <v>251231</v>
      </c>
      <c r="I24486">
        <v>4380</v>
      </c>
      <c r="J24486" t="s">
        <v>211</v>
      </c>
      <c r="K24486">
        <v>288.52999999999997</v>
      </c>
      <c r="L24486">
        <v>6.45</v>
      </c>
      <c r="M24486">
        <v>13540</v>
      </c>
      <c r="N24486" t="s">
        <v>131</v>
      </c>
      <c r="O24486">
        <v>260108</v>
      </c>
      <c r="P24486">
        <v>25.29</v>
      </c>
    </row>
    <row r="24487" spans="1:16" x14ac:dyDescent="0.25">
      <c r="A24487" t="s">
        <v>3296</v>
      </c>
      <c r="B24487" t="s">
        <v>2931</v>
      </c>
      <c r="C24487">
        <v>18050</v>
      </c>
      <c r="D24487" t="str">
        <f>"129383      "</f>
        <v xml:space="preserve">129383      </v>
      </c>
      <c r="E24487" t="s">
        <v>863</v>
      </c>
      <c r="F24487" t="s">
        <v>864</v>
      </c>
      <c r="G24487">
        <v>216.4</v>
      </c>
      <c r="H24487">
        <v>251231</v>
      </c>
      <c r="I24487">
        <v>4380</v>
      </c>
      <c r="J24487" t="s">
        <v>211</v>
      </c>
      <c r="K24487">
        <v>288.52999999999997</v>
      </c>
      <c r="L24487">
        <v>43.97</v>
      </c>
      <c r="M24487">
        <v>17950</v>
      </c>
      <c r="N24487" t="s">
        <v>132</v>
      </c>
      <c r="O24487">
        <v>260108</v>
      </c>
      <c r="P24487">
        <v>172.43</v>
      </c>
    </row>
    <row r="24488" spans="1:16" x14ac:dyDescent="0.25">
      <c r="A24488" t="s">
        <v>3296</v>
      </c>
      <c r="B24488" t="s">
        <v>2931</v>
      </c>
      <c r="C24488">
        <v>18050</v>
      </c>
      <c r="D24488" t="str">
        <f>"129383      "</f>
        <v xml:space="preserve">129383      </v>
      </c>
      <c r="E24488" t="s">
        <v>863</v>
      </c>
      <c r="F24488" t="s">
        <v>864</v>
      </c>
      <c r="G24488">
        <v>40.39</v>
      </c>
      <c r="H24488">
        <v>251231</v>
      </c>
      <c r="I24488">
        <v>4380</v>
      </c>
      <c r="J24488" t="s">
        <v>211</v>
      </c>
      <c r="K24488">
        <v>288.52999999999997</v>
      </c>
      <c r="L24488">
        <v>8.2100000000000009</v>
      </c>
      <c r="M24488">
        <v>17956</v>
      </c>
      <c r="N24488" t="s">
        <v>170</v>
      </c>
      <c r="O24488">
        <v>260108</v>
      </c>
      <c r="P24488">
        <v>32.18</v>
      </c>
    </row>
    <row r="24489" spans="1:16" x14ac:dyDescent="0.25">
      <c r="A24489" t="s">
        <v>3296</v>
      </c>
      <c r="B24489" t="s">
        <v>2931</v>
      </c>
      <c r="C24489">
        <v>6129</v>
      </c>
      <c r="D24489" t="str">
        <f>"1250403005  "</f>
        <v xml:space="preserve">1250403005  </v>
      </c>
      <c r="E24489" t="s">
        <v>863</v>
      </c>
      <c r="F24489" t="s">
        <v>864</v>
      </c>
      <c r="G24489">
        <v>18.7</v>
      </c>
      <c r="H24489">
        <v>250430</v>
      </c>
      <c r="I24489">
        <v>4390</v>
      </c>
      <c r="J24489" t="s">
        <v>232</v>
      </c>
      <c r="K24489">
        <v>18.7</v>
      </c>
      <c r="L24489">
        <v>3.8</v>
      </c>
      <c r="M24489">
        <v>17952</v>
      </c>
      <c r="N24489" t="s">
        <v>157</v>
      </c>
      <c r="O24489">
        <v>250509</v>
      </c>
      <c r="P24489">
        <v>14.9</v>
      </c>
    </row>
    <row r="24490" spans="1:16" x14ac:dyDescent="0.25">
      <c r="A24490" t="s">
        <v>3296</v>
      </c>
      <c r="B24490" t="s">
        <v>2931</v>
      </c>
      <c r="C24490">
        <v>494</v>
      </c>
      <c r="D24490" t="str">
        <f>"7432        "</f>
        <v xml:space="preserve">7432        </v>
      </c>
      <c r="E24490" t="s">
        <v>555</v>
      </c>
      <c r="F24490" t="s">
        <v>556</v>
      </c>
      <c r="G24490">
        <v>1474.33</v>
      </c>
      <c r="H24490">
        <v>250110</v>
      </c>
      <c r="I24490">
        <v>4600</v>
      </c>
      <c r="J24490" t="s">
        <v>278</v>
      </c>
      <c r="K24490">
        <v>1474.33</v>
      </c>
      <c r="L24490">
        <v>299.57</v>
      </c>
      <c r="M24490">
        <v>56568</v>
      </c>
      <c r="N24490" t="s">
        <v>354</v>
      </c>
      <c r="O24490">
        <v>250123</v>
      </c>
      <c r="P24490">
        <v>1174.76</v>
      </c>
    </row>
    <row r="24491" spans="1:16" x14ac:dyDescent="0.25">
      <c r="A24491" t="s">
        <v>3296</v>
      </c>
      <c r="B24491" t="s">
        <v>2931</v>
      </c>
      <c r="C24491">
        <v>16157</v>
      </c>
      <c r="D24491" t="str">
        <f>"7701        "</f>
        <v xml:space="preserve">7701        </v>
      </c>
      <c r="E24491" t="s">
        <v>555</v>
      </c>
      <c r="F24491" t="s">
        <v>556</v>
      </c>
      <c r="G24491">
        <v>627.32000000000005</v>
      </c>
      <c r="H24491">
        <v>251126</v>
      </c>
      <c r="I24491">
        <v>4600</v>
      </c>
      <c r="J24491" t="s">
        <v>278</v>
      </c>
      <c r="K24491">
        <v>627.32000000000005</v>
      </c>
      <c r="L24491">
        <v>127.46</v>
      </c>
      <c r="M24491">
        <v>56568</v>
      </c>
      <c r="N24491" t="s">
        <v>354</v>
      </c>
      <c r="O24491">
        <v>251204</v>
      </c>
      <c r="P24491">
        <v>499.86</v>
      </c>
    </row>
    <row r="24492" spans="1:16" x14ac:dyDescent="0.25">
      <c r="A24492" t="s">
        <v>3296</v>
      </c>
      <c r="B24492" t="s">
        <v>2931</v>
      </c>
      <c r="C24492">
        <v>8196</v>
      </c>
      <c r="D24492" t="str">
        <f>"107316      "</f>
        <v xml:space="preserve">107316      </v>
      </c>
      <c r="E24492" t="s">
        <v>984</v>
      </c>
      <c r="F24492" t="s">
        <v>985</v>
      </c>
      <c r="G24492">
        <v>45</v>
      </c>
      <c r="H24492">
        <v>250603</v>
      </c>
      <c r="I24492">
        <v>4400</v>
      </c>
      <c r="J24492" t="s">
        <v>162</v>
      </c>
      <c r="K24492">
        <v>45</v>
      </c>
      <c r="L24492">
        <v>9.14</v>
      </c>
      <c r="M24492">
        <v>59501</v>
      </c>
      <c r="N24492" t="s">
        <v>62</v>
      </c>
      <c r="O24492">
        <v>250612</v>
      </c>
      <c r="P24492">
        <v>35.86</v>
      </c>
    </row>
    <row r="24493" spans="1:16" x14ac:dyDescent="0.25">
      <c r="A24493" t="s">
        <v>3296</v>
      </c>
      <c r="B24493" t="s">
        <v>2931</v>
      </c>
      <c r="C24493">
        <v>1440</v>
      </c>
      <c r="D24493" t="str">
        <f>"107096      "</f>
        <v xml:space="preserve">107096      </v>
      </c>
      <c r="E24493" t="s">
        <v>984</v>
      </c>
      <c r="F24493" t="s">
        <v>985</v>
      </c>
      <c r="G24493">
        <v>60</v>
      </c>
      <c r="H24493">
        <v>250206</v>
      </c>
      <c r="I24493">
        <v>4600</v>
      </c>
      <c r="J24493" t="s">
        <v>278</v>
      </c>
      <c r="K24493">
        <v>60</v>
      </c>
      <c r="L24493">
        <v>12.19</v>
      </c>
      <c r="M24493">
        <v>56568</v>
      </c>
      <c r="N24493" t="s">
        <v>354</v>
      </c>
      <c r="O24493">
        <v>250210</v>
      </c>
      <c r="P24493">
        <v>47.81</v>
      </c>
    </row>
    <row r="24494" spans="1:16" x14ac:dyDescent="0.25">
      <c r="A24494" t="s">
        <v>3296</v>
      </c>
      <c r="B24494" t="s">
        <v>2931</v>
      </c>
      <c r="C24494">
        <v>11076</v>
      </c>
      <c r="D24494" t="str">
        <f>"107404      "</f>
        <v xml:space="preserve">107404      </v>
      </c>
      <c r="E24494" t="s">
        <v>984</v>
      </c>
      <c r="F24494" t="s">
        <v>985</v>
      </c>
      <c r="G24494">
        <v>160.01</v>
      </c>
      <c r="H24494">
        <v>250827</v>
      </c>
      <c r="I24494">
        <v>4600</v>
      </c>
      <c r="J24494" t="s">
        <v>278</v>
      </c>
      <c r="K24494">
        <v>160.01</v>
      </c>
      <c r="L24494">
        <v>32.51</v>
      </c>
      <c r="M24494">
        <v>56568</v>
      </c>
      <c r="N24494" t="s">
        <v>354</v>
      </c>
      <c r="O24494">
        <v>250829</v>
      </c>
      <c r="P24494">
        <v>127.5</v>
      </c>
    </row>
    <row r="24495" spans="1:16" x14ac:dyDescent="0.25">
      <c r="A24495" t="s">
        <v>3296</v>
      </c>
      <c r="B24495" t="s">
        <v>2931</v>
      </c>
      <c r="C24495">
        <v>12813</v>
      </c>
      <c r="D24495" t="str">
        <f>"107439      "</f>
        <v xml:space="preserve">107439      </v>
      </c>
      <c r="E24495" t="s">
        <v>984</v>
      </c>
      <c r="F24495" t="s">
        <v>985</v>
      </c>
      <c r="G24495">
        <v>50</v>
      </c>
      <c r="H24495">
        <v>250925</v>
      </c>
      <c r="I24495">
        <v>4600</v>
      </c>
      <c r="J24495" t="s">
        <v>278</v>
      </c>
      <c r="K24495">
        <v>50</v>
      </c>
      <c r="L24495">
        <v>10.16</v>
      </c>
      <c r="M24495">
        <v>56568</v>
      </c>
      <c r="N24495" t="s">
        <v>354</v>
      </c>
      <c r="O24495">
        <v>250930</v>
      </c>
      <c r="P24495">
        <v>39.840000000000003</v>
      </c>
    </row>
    <row r="24496" spans="1:16" x14ac:dyDescent="0.25">
      <c r="A24496" t="s">
        <v>3296</v>
      </c>
      <c r="B24496" t="s">
        <v>2931</v>
      </c>
      <c r="C24496">
        <v>13002</v>
      </c>
      <c r="D24496" t="str">
        <f>"107442      "</f>
        <v xml:space="preserve">107442      </v>
      </c>
      <c r="E24496" t="s">
        <v>984</v>
      </c>
      <c r="F24496" t="s">
        <v>985</v>
      </c>
      <c r="G24496">
        <v>4</v>
      </c>
      <c r="H24496">
        <v>250930</v>
      </c>
      <c r="I24496">
        <v>4600</v>
      </c>
      <c r="J24496" t="s">
        <v>278</v>
      </c>
      <c r="K24496">
        <v>4</v>
      </c>
      <c r="L24496">
        <v>0.81</v>
      </c>
      <c r="M24496">
        <v>56568</v>
      </c>
      <c r="N24496" t="s">
        <v>354</v>
      </c>
      <c r="O24496">
        <v>251003</v>
      </c>
      <c r="P24496">
        <v>3.19</v>
      </c>
    </row>
    <row r="24497" spans="1:16" x14ac:dyDescent="0.25">
      <c r="A24497" t="s">
        <v>3296</v>
      </c>
      <c r="B24497" t="s">
        <v>2931</v>
      </c>
      <c r="C24497">
        <v>17539</v>
      </c>
      <c r="D24497" t="str">
        <f>"6025120080  "</f>
        <v xml:space="preserve">6025120080  </v>
      </c>
      <c r="E24497" t="s">
        <v>2759</v>
      </c>
      <c r="F24497" t="s">
        <v>2760</v>
      </c>
      <c r="G24497">
        <v>90.36</v>
      </c>
      <c r="H24497">
        <v>251217</v>
      </c>
      <c r="I24497">
        <v>4350</v>
      </c>
      <c r="J24497" t="s">
        <v>290</v>
      </c>
      <c r="K24497">
        <v>90.36</v>
      </c>
      <c r="L24497">
        <v>18.36</v>
      </c>
      <c r="M24497">
        <v>11301</v>
      </c>
      <c r="N24497" t="s">
        <v>92</v>
      </c>
      <c r="O24497">
        <v>251222</v>
      </c>
      <c r="P24497">
        <v>72</v>
      </c>
    </row>
    <row r="24498" spans="1:16" x14ac:dyDescent="0.25">
      <c r="A24498" t="s">
        <v>3296</v>
      </c>
      <c r="B24498" t="s">
        <v>2931</v>
      </c>
      <c r="C24498">
        <v>17903</v>
      </c>
      <c r="D24498" t="str">
        <f>"6025120078  "</f>
        <v xml:space="preserve">6025120078  </v>
      </c>
      <c r="E24498" t="s">
        <v>2759</v>
      </c>
      <c r="F24498" t="s">
        <v>2760</v>
      </c>
      <c r="G24498">
        <v>125.5</v>
      </c>
      <c r="H24498">
        <v>251217</v>
      </c>
      <c r="I24498">
        <v>4350</v>
      </c>
      <c r="J24498" t="s">
        <v>290</v>
      </c>
      <c r="K24498">
        <v>125.5</v>
      </c>
      <c r="L24498">
        <v>25.5</v>
      </c>
      <c r="M24498">
        <v>56524</v>
      </c>
      <c r="N24498" t="s">
        <v>69</v>
      </c>
      <c r="O24498">
        <v>260107</v>
      </c>
      <c r="P24498">
        <v>100</v>
      </c>
    </row>
    <row r="24499" spans="1:16" x14ac:dyDescent="0.25">
      <c r="A24499" t="s">
        <v>3296</v>
      </c>
      <c r="B24499" t="s">
        <v>2931</v>
      </c>
      <c r="C24499">
        <v>6023</v>
      </c>
      <c r="D24499" t="str">
        <f>"025126      "</f>
        <v xml:space="preserve">025126      </v>
      </c>
      <c r="E24499" t="s">
        <v>684</v>
      </c>
      <c r="F24499" t="s">
        <v>685</v>
      </c>
      <c r="G24499">
        <v>286.14</v>
      </c>
      <c r="H24499">
        <v>250430</v>
      </c>
      <c r="I24499">
        <v>4390</v>
      </c>
      <c r="J24499" t="s">
        <v>232</v>
      </c>
      <c r="K24499">
        <v>286.14</v>
      </c>
      <c r="L24499">
        <v>58.14</v>
      </c>
      <c r="M24499">
        <v>59501</v>
      </c>
      <c r="N24499" t="s">
        <v>62</v>
      </c>
      <c r="O24499">
        <v>250508</v>
      </c>
      <c r="P24499">
        <v>228</v>
      </c>
    </row>
    <row r="24500" spans="1:16" x14ac:dyDescent="0.25">
      <c r="A24500" t="s">
        <v>3296</v>
      </c>
      <c r="B24500" t="s">
        <v>2931</v>
      </c>
      <c r="C24500">
        <v>13921</v>
      </c>
      <c r="D24500" t="str">
        <f>"025526      "</f>
        <v xml:space="preserve">025526      </v>
      </c>
      <c r="E24500" t="s">
        <v>684</v>
      </c>
      <c r="F24500" t="s">
        <v>685</v>
      </c>
      <c r="G24500">
        <v>1029.0999999999999</v>
      </c>
      <c r="H24500">
        <v>251015</v>
      </c>
      <c r="I24500">
        <v>4390</v>
      </c>
      <c r="J24500" t="s">
        <v>232</v>
      </c>
      <c r="K24500">
        <v>1029.0999999999999</v>
      </c>
      <c r="L24500">
        <v>209.1</v>
      </c>
      <c r="M24500">
        <v>59501</v>
      </c>
      <c r="N24500" t="s">
        <v>62</v>
      </c>
      <c r="O24500">
        <v>251020</v>
      </c>
      <c r="P24500">
        <v>820</v>
      </c>
    </row>
    <row r="24501" spans="1:16" x14ac:dyDescent="0.25">
      <c r="A24501" t="s">
        <v>3296</v>
      </c>
      <c r="B24501" t="s">
        <v>2931</v>
      </c>
      <c r="C24501">
        <v>1352</v>
      </c>
      <c r="D24501" t="str">
        <f>"024899      "</f>
        <v xml:space="preserve">024899      </v>
      </c>
      <c r="E24501" t="s">
        <v>684</v>
      </c>
      <c r="F24501" t="s">
        <v>685</v>
      </c>
      <c r="G24501">
        <v>525.9</v>
      </c>
      <c r="H24501">
        <v>250204</v>
      </c>
      <c r="I24501">
        <v>4400</v>
      </c>
      <c r="J24501" t="s">
        <v>162</v>
      </c>
      <c r="K24501">
        <v>1947.76</v>
      </c>
      <c r="L24501">
        <v>106.86</v>
      </c>
      <c r="M24501">
        <v>59112</v>
      </c>
      <c r="N24501" t="s">
        <v>44</v>
      </c>
      <c r="O24501">
        <v>250207</v>
      </c>
      <c r="P24501">
        <v>419.04</v>
      </c>
    </row>
    <row r="24502" spans="1:16" x14ac:dyDescent="0.25">
      <c r="A24502" t="s">
        <v>3296</v>
      </c>
      <c r="B24502" t="s">
        <v>2931</v>
      </c>
      <c r="C24502">
        <v>1352</v>
      </c>
      <c r="D24502" t="str">
        <f>"024899      "</f>
        <v xml:space="preserve">024899      </v>
      </c>
      <c r="E24502" t="s">
        <v>684</v>
      </c>
      <c r="F24502" t="s">
        <v>685</v>
      </c>
      <c r="G24502">
        <v>1421.86</v>
      </c>
      <c r="H24502">
        <v>250204</v>
      </c>
      <c r="I24502">
        <v>4400</v>
      </c>
      <c r="J24502" t="s">
        <v>162</v>
      </c>
      <c r="K24502">
        <v>1947.76</v>
      </c>
      <c r="L24502">
        <v>288.89999999999998</v>
      </c>
      <c r="M24502">
        <v>59504</v>
      </c>
      <c r="N24502" t="s">
        <v>193</v>
      </c>
      <c r="O24502">
        <v>250207</v>
      </c>
      <c r="P24502">
        <v>1132.96</v>
      </c>
    </row>
    <row r="24503" spans="1:16" x14ac:dyDescent="0.25">
      <c r="A24503" t="s">
        <v>3296</v>
      </c>
      <c r="B24503" t="s">
        <v>2931</v>
      </c>
      <c r="C24503">
        <v>16422</v>
      </c>
      <c r="D24503" t="str">
        <f>"025644      "</f>
        <v xml:space="preserve">025644      </v>
      </c>
      <c r="E24503" t="s">
        <v>684</v>
      </c>
      <c r="F24503" t="s">
        <v>685</v>
      </c>
      <c r="G24503">
        <v>614.95000000000005</v>
      </c>
      <c r="H24503">
        <v>251125</v>
      </c>
      <c r="I24503">
        <v>4400</v>
      </c>
      <c r="J24503" t="s">
        <v>162</v>
      </c>
      <c r="K24503">
        <v>878.5</v>
      </c>
      <c r="L24503">
        <v>124.95</v>
      </c>
      <c r="M24503">
        <v>11401</v>
      </c>
      <c r="N24503" t="s">
        <v>91</v>
      </c>
      <c r="O24503">
        <v>251208</v>
      </c>
      <c r="P24503">
        <v>490</v>
      </c>
    </row>
    <row r="24504" spans="1:16" x14ac:dyDescent="0.25">
      <c r="A24504" t="s">
        <v>3296</v>
      </c>
      <c r="B24504" t="s">
        <v>2931</v>
      </c>
      <c r="C24504">
        <v>16422</v>
      </c>
      <c r="D24504" t="str">
        <f>"025644      "</f>
        <v xml:space="preserve">025644      </v>
      </c>
      <c r="E24504" t="s">
        <v>684</v>
      </c>
      <c r="F24504" t="s">
        <v>685</v>
      </c>
      <c r="G24504">
        <v>263.55</v>
      </c>
      <c r="H24504">
        <v>251125</v>
      </c>
      <c r="I24504">
        <v>4400</v>
      </c>
      <c r="J24504" t="s">
        <v>162</v>
      </c>
      <c r="K24504">
        <v>878.5</v>
      </c>
      <c r="L24504">
        <v>53.55</v>
      </c>
      <c r="M24504">
        <v>14952</v>
      </c>
      <c r="N24504" t="s">
        <v>213</v>
      </c>
      <c r="O24504">
        <v>251208</v>
      </c>
      <c r="P24504">
        <v>210</v>
      </c>
    </row>
    <row r="24505" spans="1:16" x14ac:dyDescent="0.25">
      <c r="A24505" t="s">
        <v>3296</v>
      </c>
      <c r="B24505" t="s">
        <v>2931</v>
      </c>
      <c r="C24505">
        <v>2138</v>
      </c>
      <c r="D24505" t="str">
        <f>"024918      "</f>
        <v xml:space="preserve">024918      </v>
      </c>
      <c r="E24505" t="s">
        <v>684</v>
      </c>
      <c r="F24505" t="s">
        <v>685</v>
      </c>
      <c r="G24505">
        <v>207.08</v>
      </c>
      <c r="H24505">
        <v>250214</v>
      </c>
      <c r="I24505">
        <v>4440</v>
      </c>
      <c r="J24505" t="s">
        <v>346</v>
      </c>
      <c r="K24505">
        <v>207.08</v>
      </c>
      <c r="L24505">
        <v>42.08</v>
      </c>
      <c r="M24505">
        <v>55222</v>
      </c>
      <c r="N24505" t="s">
        <v>43</v>
      </c>
      <c r="O24505">
        <v>250220</v>
      </c>
      <c r="P24505">
        <v>165</v>
      </c>
    </row>
    <row r="24506" spans="1:16" x14ac:dyDescent="0.25">
      <c r="A24506" t="s">
        <v>3296</v>
      </c>
      <c r="B24506" t="s">
        <v>2931</v>
      </c>
      <c r="C24506">
        <v>11859</v>
      </c>
      <c r="D24506" t="str">
        <f>"025405      "</f>
        <v xml:space="preserve">025405      </v>
      </c>
      <c r="E24506" t="s">
        <v>684</v>
      </c>
      <c r="F24506" t="s">
        <v>685</v>
      </c>
      <c r="G24506">
        <v>244.73</v>
      </c>
      <c r="H24506">
        <v>250829</v>
      </c>
      <c r="I24506">
        <v>4470</v>
      </c>
      <c r="J24506" t="s">
        <v>203</v>
      </c>
      <c r="K24506">
        <v>244.73</v>
      </c>
      <c r="L24506">
        <v>49.73</v>
      </c>
      <c r="M24506">
        <v>56559</v>
      </c>
      <c r="N24506" t="s">
        <v>51</v>
      </c>
      <c r="O24506">
        <v>250911</v>
      </c>
      <c r="P24506">
        <v>195</v>
      </c>
    </row>
    <row r="24507" spans="1:16" x14ac:dyDescent="0.25">
      <c r="A24507" t="s">
        <v>3296</v>
      </c>
      <c r="B24507" t="s">
        <v>2931</v>
      </c>
      <c r="C24507">
        <v>716</v>
      </c>
      <c r="D24507" t="str">
        <f>"024860      "</f>
        <v xml:space="preserve">024860      </v>
      </c>
      <c r="E24507" t="s">
        <v>684</v>
      </c>
      <c r="F24507" t="s">
        <v>685</v>
      </c>
      <c r="G24507">
        <v>121.45</v>
      </c>
      <c r="H24507">
        <v>250123</v>
      </c>
      <c r="I24507">
        <v>4580</v>
      </c>
      <c r="J24507" t="s">
        <v>126</v>
      </c>
      <c r="K24507">
        <v>121.45</v>
      </c>
      <c r="L24507">
        <v>24.68</v>
      </c>
      <c r="M24507">
        <v>13801</v>
      </c>
      <c r="N24507" t="s">
        <v>33</v>
      </c>
      <c r="O24507">
        <v>250128</v>
      </c>
      <c r="P24507">
        <v>96.77</v>
      </c>
    </row>
    <row r="24508" spans="1:16" x14ac:dyDescent="0.25">
      <c r="A24508" t="s">
        <v>3296</v>
      </c>
      <c r="B24508" t="s">
        <v>2931</v>
      </c>
      <c r="C24508">
        <v>5762</v>
      </c>
      <c r="D24508" t="str">
        <f>"025105      "</f>
        <v xml:space="preserve">025105      </v>
      </c>
      <c r="E24508" t="s">
        <v>684</v>
      </c>
      <c r="F24508" t="s">
        <v>685</v>
      </c>
      <c r="G24508">
        <v>229.4</v>
      </c>
      <c r="H24508">
        <v>250423</v>
      </c>
      <c r="I24508">
        <v>4600</v>
      </c>
      <c r="J24508" t="s">
        <v>278</v>
      </c>
      <c r="K24508">
        <v>229.4</v>
      </c>
      <c r="L24508">
        <v>46.61</v>
      </c>
      <c r="M24508">
        <v>59501</v>
      </c>
      <c r="N24508" t="s">
        <v>62</v>
      </c>
      <c r="O24508">
        <v>250430</v>
      </c>
      <c r="P24508">
        <v>182.79</v>
      </c>
    </row>
    <row r="24509" spans="1:16" x14ac:dyDescent="0.25">
      <c r="A24509" t="s">
        <v>3296</v>
      </c>
      <c r="B24509" t="s">
        <v>2931</v>
      </c>
      <c r="C24509">
        <v>12619</v>
      </c>
      <c r="D24509" t="str">
        <f>"025442      "</f>
        <v xml:space="preserve">025442      </v>
      </c>
      <c r="E24509" t="s">
        <v>684</v>
      </c>
      <c r="F24509" t="s">
        <v>685</v>
      </c>
      <c r="G24509">
        <v>48.57</v>
      </c>
      <c r="H24509">
        <v>250918</v>
      </c>
      <c r="I24509">
        <v>4600</v>
      </c>
      <c r="J24509" t="s">
        <v>278</v>
      </c>
      <c r="K24509">
        <v>48.57</v>
      </c>
      <c r="L24509">
        <v>9.8699999999999992</v>
      </c>
      <c r="M24509">
        <v>59502</v>
      </c>
      <c r="N24509" t="s">
        <v>63</v>
      </c>
      <c r="O24509">
        <v>250929</v>
      </c>
      <c r="P24509">
        <v>38.700000000000003</v>
      </c>
    </row>
    <row r="24510" spans="1:16" x14ac:dyDescent="0.25">
      <c r="A24510" t="s">
        <v>3296</v>
      </c>
      <c r="B24510" t="s">
        <v>2931</v>
      </c>
      <c r="C24510">
        <v>1915</v>
      </c>
      <c r="D24510" t="str">
        <f>"024903      "</f>
        <v xml:space="preserve">024903      </v>
      </c>
      <c r="E24510" t="s">
        <v>684</v>
      </c>
      <c r="F24510" t="s">
        <v>685</v>
      </c>
      <c r="G24510">
        <v>219.63</v>
      </c>
      <c r="H24510">
        <v>250207</v>
      </c>
      <c r="I24510">
        <v>4860</v>
      </c>
      <c r="J24510" t="s">
        <v>286</v>
      </c>
      <c r="K24510">
        <v>219.63</v>
      </c>
      <c r="L24510">
        <v>44.63</v>
      </c>
      <c r="M24510">
        <v>56562</v>
      </c>
      <c r="N24510" t="s">
        <v>54</v>
      </c>
      <c r="O24510">
        <v>250217</v>
      </c>
      <c r="P24510">
        <v>175</v>
      </c>
    </row>
    <row r="24511" spans="1:16" x14ac:dyDescent="0.25">
      <c r="A24511" t="s">
        <v>3296</v>
      </c>
      <c r="B24511" t="s">
        <v>2931</v>
      </c>
      <c r="C24511">
        <v>2533</v>
      </c>
      <c r="D24511" t="str">
        <f>"024925      "</f>
        <v xml:space="preserve">024925      </v>
      </c>
      <c r="E24511" t="s">
        <v>684</v>
      </c>
      <c r="F24511" t="s">
        <v>685</v>
      </c>
      <c r="G24511">
        <v>219.63</v>
      </c>
      <c r="H24511">
        <v>250220</v>
      </c>
      <c r="I24511">
        <v>4860</v>
      </c>
      <c r="J24511" t="s">
        <v>286</v>
      </c>
      <c r="K24511">
        <v>219.63</v>
      </c>
      <c r="L24511">
        <v>44.63</v>
      </c>
      <c r="M24511">
        <v>56528</v>
      </c>
      <c r="N24511" t="s">
        <v>70</v>
      </c>
      <c r="O24511">
        <v>250303</v>
      </c>
      <c r="P24511">
        <v>175</v>
      </c>
    </row>
    <row r="24512" spans="1:16" x14ac:dyDescent="0.25">
      <c r="A24512" t="s">
        <v>3296</v>
      </c>
      <c r="B24512" t="s">
        <v>2931</v>
      </c>
      <c r="C24512">
        <v>4354</v>
      </c>
      <c r="D24512" t="str">
        <f>"025059      "</f>
        <v xml:space="preserve">025059      </v>
      </c>
      <c r="E24512" t="s">
        <v>684</v>
      </c>
      <c r="F24512" t="s">
        <v>685</v>
      </c>
      <c r="G24512">
        <v>219.63</v>
      </c>
      <c r="H24512">
        <v>250331</v>
      </c>
      <c r="I24512">
        <v>4860</v>
      </c>
      <c r="J24512" t="s">
        <v>286</v>
      </c>
      <c r="K24512">
        <v>219.63</v>
      </c>
      <c r="L24512">
        <v>44.63</v>
      </c>
      <c r="M24512">
        <v>56564</v>
      </c>
      <c r="N24512" t="s">
        <v>56</v>
      </c>
      <c r="O24512">
        <v>250411</v>
      </c>
      <c r="P24512">
        <v>175</v>
      </c>
    </row>
    <row r="24513" spans="1:16" x14ac:dyDescent="0.25">
      <c r="A24513" t="s">
        <v>3296</v>
      </c>
      <c r="B24513" t="s">
        <v>2931</v>
      </c>
      <c r="C24513">
        <v>12102</v>
      </c>
      <c r="D24513" t="str">
        <f>"025430      "</f>
        <v xml:space="preserve">025430      </v>
      </c>
      <c r="E24513" t="s">
        <v>684</v>
      </c>
      <c r="F24513" t="s">
        <v>685</v>
      </c>
      <c r="G24513">
        <v>132.18</v>
      </c>
      <c r="H24513">
        <v>250910</v>
      </c>
      <c r="I24513">
        <v>4860</v>
      </c>
      <c r="J24513" t="s">
        <v>286</v>
      </c>
      <c r="K24513">
        <v>232.18</v>
      </c>
      <c r="L24513">
        <v>26.86</v>
      </c>
      <c r="M24513">
        <v>56562</v>
      </c>
      <c r="N24513" t="s">
        <v>54</v>
      </c>
      <c r="O24513">
        <v>250916</v>
      </c>
      <c r="P24513">
        <v>105.32</v>
      </c>
    </row>
    <row r="24514" spans="1:16" x14ac:dyDescent="0.25">
      <c r="A24514" t="s">
        <v>3296</v>
      </c>
      <c r="B24514" t="s">
        <v>2931</v>
      </c>
      <c r="C24514">
        <v>12102</v>
      </c>
      <c r="D24514" t="str">
        <f>"025430      "</f>
        <v xml:space="preserve">025430      </v>
      </c>
      <c r="E24514" t="s">
        <v>684</v>
      </c>
      <c r="F24514" t="s">
        <v>685</v>
      </c>
      <c r="G24514">
        <v>100</v>
      </c>
      <c r="H24514">
        <v>250910</v>
      </c>
      <c r="I24514">
        <v>4860</v>
      </c>
      <c r="J24514" t="s">
        <v>286</v>
      </c>
      <c r="K24514">
        <v>232.18</v>
      </c>
      <c r="L24514">
        <v>20.32</v>
      </c>
      <c r="M24514">
        <v>56564</v>
      </c>
      <c r="N24514" t="s">
        <v>56</v>
      </c>
      <c r="O24514">
        <v>250916</v>
      </c>
      <c r="P24514">
        <v>79.680000000000007</v>
      </c>
    </row>
    <row r="24515" spans="1:16" x14ac:dyDescent="0.25">
      <c r="A24515" t="s">
        <v>3296</v>
      </c>
      <c r="B24515" t="s">
        <v>2931</v>
      </c>
      <c r="C24515">
        <v>17079</v>
      </c>
      <c r="D24515" t="str">
        <f>"425230      "</f>
        <v xml:space="preserve">425230      </v>
      </c>
      <c r="E24515" t="s">
        <v>2726</v>
      </c>
      <c r="F24515" t="s">
        <v>2727</v>
      </c>
      <c r="G24515">
        <v>438.62</v>
      </c>
      <c r="H24515">
        <v>251212</v>
      </c>
      <c r="I24515">
        <v>4400</v>
      </c>
      <c r="J24515" t="s">
        <v>162</v>
      </c>
      <c r="K24515">
        <v>438.62</v>
      </c>
      <c r="L24515">
        <v>89.12</v>
      </c>
      <c r="M24515">
        <v>17523</v>
      </c>
      <c r="N24515" t="s">
        <v>138</v>
      </c>
      <c r="O24515">
        <v>251217</v>
      </c>
      <c r="P24515">
        <v>349.5</v>
      </c>
    </row>
    <row r="24516" spans="1:16" x14ac:dyDescent="0.25">
      <c r="A24516" t="s">
        <v>3296</v>
      </c>
      <c r="B24516" t="s">
        <v>2931</v>
      </c>
      <c r="C24516">
        <v>243</v>
      </c>
      <c r="D24516" t="str">
        <f t="shared" ref="D24516:D24543" si="538">"INVFI8158   "</f>
        <v xml:space="preserve">INVFI8158   </v>
      </c>
      <c r="E24516" t="s">
        <v>368</v>
      </c>
      <c r="F24516" t="s">
        <v>369</v>
      </c>
      <c r="G24516">
        <v>101.21</v>
      </c>
      <c r="H24516">
        <v>250110</v>
      </c>
      <c r="I24516">
        <v>4842</v>
      </c>
      <c r="J24516" t="s">
        <v>15</v>
      </c>
      <c r="K24516">
        <v>2833.88</v>
      </c>
      <c r="L24516">
        <v>0</v>
      </c>
      <c r="M24516">
        <v>11101</v>
      </c>
      <c r="N24516" t="s">
        <v>67</v>
      </c>
      <c r="O24516">
        <v>250120</v>
      </c>
      <c r="P24516">
        <v>101.21</v>
      </c>
    </row>
    <row r="24517" spans="1:16" x14ac:dyDescent="0.25">
      <c r="A24517" t="s">
        <v>3296</v>
      </c>
      <c r="B24517" t="s">
        <v>2931</v>
      </c>
      <c r="C24517">
        <v>243</v>
      </c>
      <c r="D24517" t="str">
        <f t="shared" si="538"/>
        <v xml:space="preserve">INVFI8158   </v>
      </c>
      <c r="E24517" t="s">
        <v>368</v>
      </c>
      <c r="F24517" t="s">
        <v>369</v>
      </c>
      <c r="G24517">
        <v>101.21</v>
      </c>
      <c r="H24517">
        <v>250110</v>
      </c>
      <c r="I24517">
        <v>4842</v>
      </c>
      <c r="J24517" t="s">
        <v>15</v>
      </c>
      <c r="K24517">
        <v>2833.88</v>
      </c>
      <c r="L24517">
        <v>0</v>
      </c>
      <c r="M24517">
        <v>11301</v>
      </c>
      <c r="N24517" t="s">
        <v>92</v>
      </c>
      <c r="O24517">
        <v>250120</v>
      </c>
      <c r="P24517">
        <v>101.21</v>
      </c>
    </row>
    <row r="24518" spans="1:16" x14ac:dyDescent="0.25">
      <c r="A24518" t="s">
        <v>3296</v>
      </c>
      <c r="B24518" t="s">
        <v>2931</v>
      </c>
      <c r="C24518">
        <v>243</v>
      </c>
      <c r="D24518" t="str">
        <f t="shared" si="538"/>
        <v xml:space="preserve">INVFI8158   </v>
      </c>
      <c r="E24518" t="s">
        <v>368</v>
      </c>
      <c r="F24518" t="s">
        <v>369</v>
      </c>
      <c r="G24518">
        <v>101.21</v>
      </c>
      <c r="H24518">
        <v>250110</v>
      </c>
      <c r="I24518">
        <v>4842</v>
      </c>
      <c r="J24518" t="s">
        <v>15</v>
      </c>
      <c r="K24518">
        <v>2833.88</v>
      </c>
      <c r="L24518">
        <v>0</v>
      </c>
      <c r="M24518">
        <v>11301</v>
      </c>
      <c r="N24518" t="s">
        <v>92</v>
      </c>
      <c r="O24518">
        <v>250120</v>
      </c>
      <c r="P24518">
        <v>101.21</v>
      </c>
    </row>
    <row r="24519" spans="1:16" x14ac:dyDescent="0.25">
      <c r="A24519" t="s">
        <v>3296</v>
      </c>
      <c r="B24519" t="s">
        <v>2931</v>
      </c>
      <c r="C24519">
        <v>243</v>
      </c>
      <c r="D24519" t="str">
        <f t="shared" si="538"/>
        <v xml:space="preserve">INVFI8158   </v>
      </c>
      <c r="E24519" t="s">
        <v>368</v>
      </c>
      <c r="F24519" t="s">
        <v>369</v>
      </c>
      <c r="G24519">
        <v>101.21</v>
      </c>
      <c r="H24519">
        <v>250110</v>
      </c>
      <c r="I24519">
        <v>4842</v>
      </c>
      <c r="J24519" t="s">
        <v>15</v>
      </c>
      <c r="K24519">
        <v>2833.88</v>
      </c>
      <c r="L24519">
        <v>0</v>
      </c>
      <c r="M24519">
        <v>14121</v>
      </c>
      <c r="N24519" t="s">
        <v>71</v>
      </c>
      <c r="O24519">
        <v>250120</v>
      </c>
      <c r="P24519">
        <v>101.21</v>
      </c>
    </row>
    <row r="24520" spans="1:16" x14ac:dyDescent="0.25">
      <c r="A24520" t="s">
        <v>3296</v>
      </c>
      <c r="B24520" t="s">
        <v>2931</v>
      </c>
      <c r="C24520">
        <v>243</v>
      </c>
      <c r="D24520" t="str">
        <f t="shared" si="538"/>
        <v xml:space="preserve">INVFI8158   </v>
      </c>
      <c r="E24520" t="s">
        <v>368</v>
      </c>
      <c r="F24520" t="s">
        <v>369</v>
      </c>
      <c r="G24520">
        <v>101.21</v>
      </c>
      <c r="H24520">
        <v>250110</v>
      </c>
      <c r="I24520">
        <v>4842</v>
      </c>
      <c r="J24520" t="s">
        <v>15</v>
      </c>
      <c r="K24520">
        <v>2833.88</v>
      </c>
      <c r="L24520">
        <v>0</v>
      </c>
      <c r="M24520">
        <v>14622</v>
      </c>
      <c r="N24520" t="s">
        <v>77</v>
      </c>
      <c r="O24520">
        <v>250120</v>
      </c>
      <c r="P24520">
        <v>101.21</v>
      </c>
    </row>
    <row r="24521" spans="1:16" x14ac:dyDescent="0.25">
      <c r="A24521" t="s">
        <v>3296</v>
      </c>
      <c r="B24521" t="s">
        <v>2931</v>
      </c>
      <c r="C24521">
        <v>243</v>
      </c>
      <c r="D24521" t="str">
        <f t="shared" si="538"/>
        <v xml:space="preserve">INVFI8158   </v>
      </c>
      <c r="E24521" t="s">
        <v>368</v>
      </c>
      <c r="F24521" t="s">
        <v>369</v>
      </c>
      <c r="G24521">
        <v>101.21</v>
      </c>
      <c r="H24521">
        <v>250110</v>
      </c>
      <c r="I24521">
        <v>4842</v>
      </c>
      <c r="J24521" t="s">
        <v>15</v>
      </c>
      <c r="K24521">
        <v>2833.88</v>
      </c>
      <c r="L24521">
        <v>0</v>
      </c>
      <c r="M24521">
        <v>14622</v>
      </c>
      <c r="N24521" t="s">
        <v>77</v>
      </c>
      <c r="O24521">
        <v>250120</v>
      </c>
      <c r="P24521">
        <v>101.21</v>
      </c>
    </row>
    <row r="24522" spans="1:16" x14ac:dyDescent="0.25">
      <c r="A24522" t="s">
        <v>3296</v>
      </c>
      <c r="B24522" t="s">
        <v>2931</v>
      </c>
      <c r="C24522">
        <v>243</v>
      </c>
      <c r="D24522" t="str">
        <f t="shared" si="538"/>
        <v xml:space="preserve">INVFI8158   </v>
      </c>
      <c r="E24522" t="s">
        <v>368</v>
      </c>
      <c r="F24522" t="s">
        <v>369</v>
      </c>
      <c r="G24522">
        <v>101.21</v>
      </c>
      <c r="H24522">
        <v>250110</v>
      </c>
      <c r="I24522">
        <v>4842</v>
      </c>
      <c r="J24522" t="s">
        <v>15</v>
      </c>
      <c r="K24522">
        <v>2833.88</v>
      </c>
      <c r="L24522">
        <v>0</v>
      </c>
      <c r="M24522">
        <v>14640</v>
      </c>
      <c r="N24522" t="s">
        <v>78</v>
      </c>
      <c r="O24522">
        <v>250120</v>
      </c>
      <c r="P24522">
        <v>101.21</v>
      </c>
    </row>
    <row r="24523" spans="1:16" x14ac:dyDescent="0.25">
      <c r="A24523" t="s">
        <v>3296</v>
      </c>
      <c r="B24523" t="s">
        <v>2931</v>
      </c>
      <c r="C24523">
        <v>243</v>
      </c>
      <c r="D24523" t="str">
        <f t="shared" si="538"/>
        <v xml:space="preserve">INVFI8158   </v>
      </c>
      <c r="E24523" t="s">
        <v>368</v>
      </c>
      <c r="F24523" t="s">
        <v>369</v>
      </c>
      <c r="G24523">
        <v>101.21</v>
      </c>
      <c r="H24523">
        <v>250110</v>
      </c>
      <c r="I24523">
        <v>4842</v>
      </c>
      <c r="J24523" t="s">
        <v>15</v>
      </c>
      <c r="K24523">
        <v>2833.88</v>
      </c>
      <c r="L24523">
        <v>0</v>
      </c>
      <c r="M24523">
        <v>14971</v>
      </c>
      <c r="N24523" t="s">
        <v>81</v>
      </c>
      <c r="O24523">
        <v>250120</v>
      </c>
      <c r="P24523">
        <v>101.21</v>
      </c>
    </row>
    <row r="24524" spans="1:16" x14ac:dyDescent="0.25">
      <c r="A24524" t="s">
        <v>3296</v>
      </c>
      <c r="B24524" t="s">
        <v>2931</v>
      </c>
      <c r="C24524">
        <v>243</v>
      </c>
      <c r="D24524" t="str">
        <f t="shared" si="538"/>
        <v xml:space="preserve">INVFI8158   </v>
      </c>
      <c r="E24524" t="s">
        <v>368</v>
      </c>
      <c r="F24524" t="s">
        <v>369</v>
      </c>
      <c r="G24524">
        <v>101.21</v>
      </c>
      <c r="H24524">
        <v>250110</v>
      </c>
      <c r="I24524">
        <v>4842</v>
      </c>
      <c r="J24524" t="s">
        <v>15</v>
      </c>
      <c r="K24524">
        <v>2833.88</v>
      </c>
      <c r="L24524">
        <v>0</v>
      </c>
      <c r="M24524">
        <v>16431</v>
      </c>
      <c r="N24524" t="s">
        <v>17</v>
      </c>
      <c r="O24524">
        <v>250120</v>
      </c>
      <c r="P24524">
        <v>101.21</v>
      </c>
    </row>
    <row r="24525" spans="1:16" x14ac:dyDescent="0.25">
      <c r="A24525" t="s">
        <v>3296</v>
      </c>
      <c r="B24525" t="s">
        <v>2931</v>
      </c>
      <c r="C24525">
        <v>243</v>
      </c>
      <c r="D24525" t="str">
        <f t="shared" si="538"/>
        <v xml:space="preserve">INVFI8158   </v>
      </c>
      <c r="E24525" t="s">
        <v>368</v>
      </c>
      <c r="F24525" t="s">
        <v>369</v>
      </c>
      <c r="G24525">
        <v>101.21</v>
      </c>
      <c r="H24525">
        <v>250110</v>
      </c>
      <c r="I24525">
        <v>4842</v>
      </c>
      <c r="J24525" t="s">
        <v>15</v>
      </c>
      <c r="K24525">
        <v>2833.88</v>
      </c>
      <c r="L24525">
        <v>0</v>
      </c>
      <c r="M24525">
        <v>16431</v>
      </c>
      <c r="N24525" t="s">
        <v>17</v>
      </c>
      <c r="O24525">
        <v>250120</v>
      </c>
      <c r="P24525">
        <v>101.21</v>
      </c>
    </row>
    <row r="24526" spans="1:16" x14ac:dyDescent="0.25">
      <c r="A24526" t="s">
        <v>3296</v>
      </c>
      <c r="B24526" t="s">
        <v>2931</v>
      </c>
      <c r="C24526">
        <v>243</v>
      </c>
      <c r="D24526" t="str">
        <f t="shared" si="538"/>
        <v xml:space="preserve">INVFI8158   </v>
      </c>
      <c r="E24526" t="s">
        <v>368</v>
      </c>
      <c r="F24526" t="s">
        <v>369</v>
      </c>
      <c r="G24526">
        <v>101.21</v>
      </c>
      <c r="H24526">
        <v>250110</v>
      </c>
      <c r="I24526">
        <v>4842</v>
      </c>
      <c r="J24526" t="s">
        <v>15</v>
      </c>
      <c r="K24526">
        <v>2833.88</v>
      </c>
      <c r="L24526">
        <v>0</v>
      </c>
      <c r="M24526">
        <v>16820</v>
      </c>
      <c r="N24526" t="s">
        <v>128</v>
      </c>
      <c r="O24526">
        <v>250120</v>
      </c>
      <c r="P24526">
        <v>101.21</v>
      </c>
    </row>
    <row r="24527" spans="1:16" x14ac:dyDescent="0.25">
      <c r="A24527" t="s">
        <v>3296</v>
      </c>
      <c r="B24527" t="s">
        <v>2931</v>
      </c>
      <c r="C24527">
        <v>243</v>
      </c>
      <c r="D24527" t="str">
        <f t="shared" si="538"/>
        <v xml:space="preserve">INVFI8158   </v>
      </c>
      <c r="E24527" t="s">
        <v>368</v>
      </c>
      <c r="F24527" t="s">
        <v>369</v>
      </c>
      <c r="G24527">
        <v>101.21</v>
      </c>
      <c r="H24527">
        <v>250110</v>
      </c>
      <c r="I24527">
        <v>4842</v>
      </c>
      <c r="J24527" t="s">
        <v>15</v>
      </c>
      <c r="K24527">
        <v>2833.88</v>
      </c>
      <c r="L24527">
        <v>0</v>
      </c>
      <c r="M24527">
        <v>16930</v>
      </c>
      <c r="N24527" t="s">
        <v>135</v>
      </c>
      <c r="O24527">
        <v>250120</v>
      </c>
      <c r="P24527">
        <v>101.21</v>
      </c>
    </row>
    <row r="24528" spans="1:16" x14ac:dyDescent="0.25">
      <c r="A24528" t="s">
        <v>3296</v>
      </c>
      <c r="B24528" t="s">
        <v>2931</v>
      </c>
      <c r="C24528">
        <v>243</v>
      </c>
      <c r="D24528" t="str">
        <f t="shared" si="538"/>
        <v xml:space="preserve">INVFI8158   </v>
      </c>
      <c r="E24528" t="s">
        <v>368</v>
      </c>
      <c r="F24528" t="s">
        <v>369</v>
      </c>
      <c r="G24528">
        <v>101.21</v>
      </c>
      <c r="H24528">
        <v>250110</v>
      </c>
      <c r="I24528">
        <v>4842</v>
      </c>
      <c r="J24528" t="s">
        <v>15</v>
      </c>
      <c r="K24528">
        <v>2833.88</v>
      </c>
      <c r="L24528">
        <v>0</v>
      </c>
      <c r="M24528">
        <v>17524</v>
      </c>
      <c r="N24528" t="s">
        <v>139</v>
      </c>
      <c r="O24528">
        <v>250120</v>
      </c>
      <c r="P24528">
        <v>101.21</v>
      </c>
    </row>
    <row r="24529" spans="1:16" x14ac:dyDescent="0.25">
      <c r="A24529" t="s">
        <v>3296</v>
      </c>
      <c r="B24529" t="s">
        <v>2931</v>
      </c>
      <c r="C24529">
        <v>243</v>
      </c>
      <c r="D24529" t="str">
        <f t="shared" si="538"/>
        <v xml:space="preserve">INVFI8158   </v>
      </c>
      <c r="E24529" t="s">
        <v>368</v>
      </c>
      <c r="F24529" t="s">
        <v>369</v>
      </c>
      <c r="G24529">
        <v>101.21</v>
      </c>
      <c r="H24529">
        <v>250110</v>
      </c>
      <c r="I24529">
        <v>4842</v>
      </c>
      <c r="J24529" t="s">
        <v>15</v>
      </c>
      <c r="K24529">
        <v>2833.88</v>
      </c>
      <c r="L24529">
        <v>0</v>
      </c>
      <c r="M24529">
        <v>17526</v>
      </c>
      <c r="N24529" t="s">
        <v>141</v>
      </c>
      <c r="O24529">
        <v>250120</v>
      </c>
      <c r="P24529">
        <v>101.21</v>
      </c>
    </row>
    <row r="24530" spans="1:16" x14ac:dyDescent="0.25">
      <c r="A24530" t="s">
        <v>3296</v>
      </c>
      <c r="B24530" t="s">
        <v>2931</v>
      </c>
      <c r="C24530">
        <v>243</v>
      </c>
      <c r="D24530" t="str">
        <f t="shared" si="538"/>
        <v xml:space="preserve">INVFI8158   </v>
      </c>
      <c r="E24530" t="s">
        <v>368</v>
      </c>
      <c r="F24530" t="s">
        <v>369</v>
      </c>
      <c r="G24530">
        <v>101.21</v>
      </c>
      <c r="H24530">
        <v>250110</v>
      </c>
      <c r="I24530">
        <v>4842</v>
      </c>
      <c r="J24530" t="s">
        <v>15</v>
      </c>
      <c r="K24530">
        <v>2833.88</v>
      </c>
      <c r="L24530">
        <v>0</v>
      </c>
      <c r="M24530">
        <v>17529</v>
      </c>
      <c r="N24530" t="s">
        <v>143</v>
      </c>
      <c r="O24530">
        <v>250120</v>
      </c>
      <c r="P24530">
        <v>101.21</v>
      </c>
    </row>
    <row r="24531" spans="1:16" x14ac:dyDescent="0.25">
      <c r="A24531" t="s">
        <v>3296</v>
      </c>
      <c r="B24531" t="s">
        <v>2931</v>
      </c>
      <c r="C24531">
        <v>243</v>
      </c>
      <c r="D24531" t="str">
        <f t="shared" si="538"/>
        <v xml:space="preserve">INVFI8158   </v>
      </c>
      <c r="E24531" t="s">
        <v>368</v>
      </c>
      <c r="F24531" t="s">
        <v>369</v>
      </c>
      <c r="G24531">
        <v>101.21</v>
      </c>
      <c r="H24531">
        <v>250110</v>
      </c>
      <c r="I24531">
        <v>4842</v>
      </c>
      <c r="J24531" t="s">
        <v>15</v>
      </c>
      <c r="K24531">
        <v>2833.88</v>
      </c>
      <c r="L24531">
        <v>0</v>
      </c>
      <c r="M24531">
        <v>17802</v>
      </c>
      <c r="N24531" t="s">
        <v>18</v>
      </c>
      <c r="O24531">
        <v>250120</v>
      </c>
      <c r="P24531">
        <v>101.21</v>
      </c>
    </row>
    <row r="24532" spans="1:16" x14ac:dyDescent="0.25">
      <c r="A24532" t="s">
        <v>3296</v>
      </c>
      <c r="B24532" t="s">
        <v>2931</v>
      </c>
      <c r="C24532">
        <v>243</v>
      </c>
      <c r="D24532" t="str">
        <f t="shared" si="538"/>
        <v xml:space="preserve">INVFI8158   </v>
      </c>
      <c r="E24532" t="s">
        <v>368</v>
      </c>
      <c r="F24532" t="s">
        <v>369</v>
      </c>
      <c r="G24532">
        <v>101.21</v>
      </c>
      <c r="H24532">
        <v>250110</v>
      </c>
      <c r="I24532">
        <v>4842</v>
      </c>
      <c r="J24532" t="s">
        <v>15</v>
      </c>
      <c r="K24532">
        <v>2833.88</v>
      </c>
      <c r="L24532">
        <v>0</v>
      </c>
      <c r="M24532">
        <v>17972</v>
      </c>
      <c r="N24532" t="s">
        <v>28</v>
      </c>
      <c r="O24532">
        <v>250120</v>
      </c>
      <c r="P24532">
        <v>101.21</v>
      </c>
    </row>
    <row r="24533" spans="1:16" x14ac:dyDescent="0.25">
      <c r="A24533" t="s">
        <v>3296</v>
      </c>
      <c r="B24533" t="s">
        <v>2931</v>
      </c>
      <c r="C24533">
        <v>243</v>
      </c>
      <c r="D24533" t="str">
        <f t="shared" si="538"/>
        <v xml:space="preserve">INVFI8158   </v>
      </c>
      <c r="E24533" t="s">
        <v>368</v>
      </c>
      <c r="F24533" t="s">
        <v>369</v>
      </c>
      <c r="G24533">
        <v>101.21</v>
      </c>
      <c r="H24533">
        <v>250110</v>
      </c>
      <c r="I24533">
        <v>4842</v>
      </c>
      <c r="J24533" t="s">
        <v>15</v>
      </c>
      <c r="K24533">
        <v>2833.88</v>
      </c>
      <c r="L24533">
        <v>0</v>
      </c>
      <c r="M24533">
        <v>17972</v>
      </c>
      <c r="N24533" t="s">
        <v>28</v>
      </c>
      <c r="O24533">
        <v>250120</v>
      </c>
      <c r="P24533">
        <v>101.21</v>
      </c>
    </row>
    <row r="24534" spans="1:16" x14ac:dyDescent="0.25">
      <c r="A24534" t="s">
        <v>3296</v>
      </c>
      <c r="B24534" t="s">
        <v>2931</v>
      </c>
      <c r="C24534">
        <v>243</v>
      </c>
      <c r="D24534" t="str">
        <f t="shared" si="538"/>
        <v xml:space="preserve">INVFI8158   </v>
      </c>
      <c r="E24534" t="s">
        <v>368</v>
      </c>
      <c r="F24534" t="s">
        <v>369</v>
      </c>
      <c r="G24534">
        <v>101.21</v>
      </c>
      <c r="H24534">
        <v>250110</v>
      </c>
      <c r="I24534">
        <v>4842</v>
      </c>
      <c r="J24534" t="s">
        <v>15</v>
      </c>
      <c r="K24534">
        <v>2833.88</v>
      </c>
      <c r="L24534">
        <v>0</v>
      </c>
      <c r="M24534">
        <v>17972</v>
      </c>
      <c r="N24534" t="s">
        <v>28</v>
      </c>
      <c r="O24534">
        <v>250120</v>
      </c>
      <c r="P24534">
        <v>101.21</v>
      </c>
    </row>
    <row r="24535" spans="1:16" x14ac:dyDescent="0.25">
      <c r="A24535" t="s">
        <v>3296</v>
      </c>
      <c r="B24535" t="s">
        <v>2931</v>
      </c>
      <c r="C24535">
        <v>243</v>
      </c>
      <c r="D24535" t="str">
        <f t="shared" si="538"/>
        <v xml:space="preserve">INVFI8158   </v>
      </c>
      <c r="E24535" t="s">
        <v>368</v>
      </c>
      <c r="F24535" t="s">
        <v>369</v>
      </c>
      <c r="G24535">
        <v>101.21</v>
      </c>
      <c r="H24535">
        <v>250110</v>
      </c>
      <c r="I24535">
        <v>4842</v>
      </c>
      <c r="J24535" t="s">
        <v>15</v>
      </c>
      <c r="K24535">
        <v>2833.88</v>
      </c>
      <c r="L24535">
        <v>0</v>
      </c>
      <c r="M24535">
        <v>17974</v>
      </c>
      <c r="N24535" t="s">
        <v>153</v>
      </c>
      <c r="O24535">
        <v>250120</v>
      </c>
      <c r="P24535">
        <v>101.21</v>
      </c>
    </row>
    <row r="24536" spans="1:16" x14ac:dyDescent="0.25">
      <c r="A24536" t="s">
        <v>3296</v>
      </c>
      <c r="B24536" t="s">
        <v>2931</v>
      </c>
      <c r="C24536">
        <v>243</v>
      </c>
      <c r="D24536" t="str">
        <f t="shared" si="538"/>
        <v xml:space="preserve">INVFI8158   </v>
      </c>
      <c r="E24536" t="s">
        <v>368</v>
      </c>
      <c r="F24536" t="s">
        <v>369</v>
      </c>
      <c r="G24536">
        <v>101.21</v>
      </c>
      <c r="H24536">
        <v>250110</v>
      </c>
      <c r="I24536">
        <v>4842</v>
      </c>
      <c r="J24536" t="s">
        <v>15</v>
      </c>
      <c r="K24536">
        <v>2833.88</v>
      </c>
      <c r="L24536">
        <v>0</v>
      </c>
      <c r="M24536">
        <v>18120</v>
      </c>
      <c r="N24536" t="s">
        <v>37</v>
      </c>
      <c r="O24536">
        <v>250120</v>
      </c>
      <c r="P24536">
        <v>101.21</v>
      </c>
    </row>
    <row r="24537" spans="1:16" x14ac:dyDescent="0.25">
      <c r="A24537" t="s">
        <v>3296</v>
      </c>
      <c r="B24537" t="s">
        <v>2931</v>
      </c>
      <c r="C24537">
        <v>243</v>
      </c>
      <c r="D24537" t="str">
        <f t="shared" si="538"/>
        <v xml:space="preserve">INVFI8158   </v>
      </c>
      <c r="E24537" t="s">
        <v>368</v>
      </c>
      <c r="F24537" t="s">
        <v>369</v>
      </c>
      <c r="G24537">
        <v>101.21</v>
      </c>
      <c r="H24537">
        <v>250110</v>
      </c>
      <c r="I24537">
        <v>4842</v>
      </c>
      <c r="J24537" t="s">
        <v>15</v>
      </c>
      <c r="K24537">
        <v>2833.88</v>
      </c>
      <c r="L24537">
        <v>0</v>
      </c>
      <c r="M24537">
        <v>44222</v>
      </c>
      <c r="N24537" t="s">
        <v>96</v>
      </c>
      <c r="O24537">
        <v>250120</v>
      </c>
      <c r="P24537">
        <v>101.21</v>
      </c>
    </row>
    <row r="24538" spans="1:16" x14ac:dyDescent="0.25">
      <c r="A24538" t="s">
        <v>3296</v>
      </c>
      <c r="B24538" t="s">
        <v>2931</v>
      </c>
      <c r="C24538">
        <v>243</v>
      </c>
      <c r="D24538" t="str">
        <f t="shared" si="538"/>
        <v xml:space="preserve">INVFI8158   </v>
      </c>
      <c r="E24538" t="s">
        <v>368</v>
      </c>
      <c r="F24538" t="s">
        <v>369</v>
      </c>
      <c r="G24538">
        <v>101.21</v>
      </c>
      <c r="H24538">
        <v>250110</v>
      </c>
      <c r="I24538">
        <v>4842</v>
      </c>
      <c r="J24538" t="s">
        <v>15</v>
      </c>
      <c r="K24538">
        <v>2833.88</v>
      </c>
      <c r="L24538">
        <v>0</v>
      </c>
      <c r="M24538">
        <v>44222</v>
      </c>
      <c r="N24538" t="s">
        <v>96</v>
      </c>
      <c r="O24538">
        <v>250120</v>
      </c>
      <c r="P24538">
        <v>101.21</v>
      </c>
    </row>
    <row r="24539" spans="1:16" x14ac:dyDescent="0.25">
      <c r="A24539" t="s">
        <v>3296</v>
      </c>
      <c r="B24539" t="s">
        <v>2931</v>
      </c>
      <c r="C24539">
        <v>243</v>
      </c>
      <c r="D24539" t="str">
        <f t="shared" si="538"/>
        <v xml:space="preserve">INVFI8158   </v>
      </c>
      <c r="E24539" t="s">
        <v>368</v>
      </c>
      <c r="F24539" t="s">
        <v>369</v>
      </c>
      <c r="G24539">
        <v>101.21</v>
      </c>
      <c r="H24539">
        <v>250110</v>
      </c>
      <c r="I24539">
        <v>4842</v>
      </c>
      <c r="J24539" t="s">
        <v>15</v>
      </c>
      <c r="K24539">
        <v>2833.88</v>
      </c>
      <c r="L24539">
        <v>0</v>
      </c>
      <c r="M24539">
        <v>47522</v>
      </c>
      <c r="N24539" t="s">
        <v>106</v>
      </c>
      <c r="O24539">
        <v>250120</v>
      </c>
      <c r="P24539">
        <v>101.21</v>
      </c>
    </row>
    <row r="24540" spans="1:16" x14ac:dyDescent="0.25">
      <c r="A24540" t="s">
        <v>3296</v>
      </c>
      <c r="B24540" t="s">
        <v>2931</v>
      </c>
      <c r="C24540">
        <v>243</v>
      </c>
      <c r="D24540" t="str">
        <f t="shared" si="538"/>
        <v xml:space="preserve">INVFI8158   </v>
      </c>
      <c r="E24540" t="s">
        <v>368</v>
      </c>
      <c r="F24540" t="s">
        <v>369</v>
      </c>
      <c r="G24540">
        <v>101.21</v>
      </c>
      <c r="H24540">
        <v>250110</v>
      </c>
      <c r="I24540">
        <v>4842</v>
      </c>
      <c r="J24540" t="s">
        <v>15</v>
      </c>
      <c r="K24540">
        <v>2833.88</v>
      </c>
      <c r="L24540">
        <v>0</v>
      </c>
      <c r="M24540">
        <v>54422</v>
      </c>
      <c r="N24540" t="s">
        <v>49</v>
      </c>
      <c r="O24540">
        <v>250120</v>
      </c>
      <c r="P24540">
        <v>101.21</v>
      </c>
    </row>
    <row r="24541" spans="1:16" x14ac:dyDescent="0.25">
      <c r="A24541" t="s">
        <v>3296</v>
      </c>
      <c r="B24541" t="s">
        <v>2931</v>
      </c>
      <c r="C24541">
        <v>243</v>
      </c>
      <c r="D24541" t="str">
        <f t="shared" si="538"/>
        <v xml:space="preserve">INVFI8158   </v>
      </c>
      <c r="E24541" t="s">
        <v>368</v>
      </c>
      <c r="F24541" t="s">
        <v>369</v>
      </c>
      <c r="G24541">
        <v>101.21</v>
      </c>
      <c r="H24541">
        <v>250110</v>
      </c>
      <c r="I24541">
        <v>4842</v>
      </c>
      <c r="J24541" t="s">
        <v>15</v>
      </c>
      <c r="K24541">
        <v>2833.88</v>
      </c>
      <c r="L24541">
        <v>0</v>
      </c>
      <c r="M24541">
        <v>59702</v>
      </c>
      <c r="N24541" t="s">
        <v>45</v>
      </c>
      <c r="O24541">
        <v>250120</v>
      </c>
      <c r="P24541">
        <v>101.21</v>
      </c>
    </row>
    <row r="24542" spans="1:16" x14ac:dyDescent="0.25">
      <c r="A24542" t="s">
        <v>3296</v>
      </c>
      <c r="B24542" t="s">
        <v>2931</v>
      </c>
      <c r="C24542">
        <v>243</v>
      </c>
      <c r="D24542" t="str">
        <f t="shared" si="538"/>
        <v xml:space="preserve">INVFI8158   </v>
      </c>
      <c r="E24542" t="s">
        <v>368</v>
      </c>
      <c r="F24542" t="s">
        <v>369</v>
      </c>
      <c r="G24542">
        <v>101.21</v>
      </c>
      <c r="H24542">
        <v>250110</v>
      </c>
      <c r="I24542">
        <v>4842</v>
      </c>
      <c r="J24542" t="s">
        <v>15</v>
      </c>
      <c r="K24542">
        <v>2833.88</v>
      </c>
      <c r="L24542">
        <v>0</v>
      </c>
      <c r="M24542">
        <v>67522</v>
      </c>
      <c r="N24542" t="s">
        <v>121</v>
      </c>
      <c r="O24542">
        <v>250120</v>
      </c>
      <c r="P24542">
        <v>101.21</v>
      </c>
    </row>
    <row r="24543" spans="1:16" x14ac:dyDescent="0.25">
      <c r="A24543" t="s">
        <v>3296</v>
      </c>
      <c r="B24543" t="s">
        <v>2931</v>
      </c>
      <c r="C24543">
        <v>243</v>
      </c>
      <c r="D24543" t="str">
        <f t="shared" si="538"/>
        <v xml:space="preserve">INVFI8158   </v>
      </c>
      <c r="E24543" t="s">
        <v>368</v>
      </c>
      <c r="F24543" t="s">
        <v>369</v>
      </c>
      <c r="G24543">
        <v>101.21</v>
      </c>
      <c r="H24543">
        <v>250110</v>
      </c>
      <c r="I24543">
        <v>4842</v>
      </c>
      <c r="J24543" t="s">
        <v>15</v>
      </c>
      <c r="K24543">
        <v>2833.88</v>
      </c>
      <c r="L24543">
        <v>0</v>
      </c>
      <c r="M24543">
        <v>69113</v>
      </c>
      <c r="N24543" t="s">
        <v>122</v>
      </c>
      <c r="O24543">
        <v>250120</v>
      </c>
      <c r="P24543">
        <v>101.21</v>
      </c>
    </row>
    <row r="24544" spans="1:16" x14ac:dyDescent="0.25">
      <c r="A24544" t="s">
        <v>3296</v>
      </c>
      <c r="B24544" t="s">
        <v>2931</v>
      </c>
      <c r="C24544">
        <v>1743</v>
      </c>
      <c r="D24544" t="str">
        <f t="shared" ref="D24544:D24572" si="539">"INVFI11695  "</f>
        <v xml:space="preserve">INVFI11695  </v>
      </c>
      <c r="E24544" t="s">
        <v>368</v>
      </c>
      <c r="F24544" t="s">
        <v>369</v>
      </c>
      <c r="G24544">
        <v>101.21</v>
      </c>
      <c r="H24544">
        <v>250207</v>
      </c>
      <c r="I24544">
        <v>4842</v>
      </c>
      <c r="J24544" t="s">
        <v>15</v>
      </c>
      <c r="K24544">
        <v>2937.11</v>
      </c>
      <c r="L24544">
        <v>0</v>
      </c>
      <c r="M24544">
        <v>11101</v>
      </c>
      <c r="N24544" t="s">
        <v>67</v>
      </c>
      <c r="O24544">
        <v>250213</v>
      </c>
      <c r="P24544">
        <v>101.21</v>
      </c>
    </row>
    <row r="24545" spans="1:16" x14ac:dyDescent="0.25">
      <c r="A24545" t="s">
        <v>3296</v>
      </c>
      <c r="B24545" t="s">
        <v>2931</v>
      </c>
      <c r="C24545">
        <v>1743</v>
      </c>
      <c r="D24545" t="str">
        <f t="shared" si="539"/>
        <v xml:space="preserve">INVFI11695  </v>
      </c>
      <c r="E24545" t="s">
        <v>368</v>
      </c>
      <c r="F24545" t="s">
        <v>369</v>
      </c>
      <c r="G24545">
        <v>101.21</v>
      </c>
      <c r="H24545">
        <v>250207</v>
      </c>
      <c r="I24545">
        <v>4842</v>
      </c>
      <c r="J24545" t="s">
        <v>15</v>
      </c>
      <c r="K24545">
        <v>2937.11</v>
      </c>
      <c r="L24545">
        <v>0</v>
      </c>
      <c r="M24545">
        <v>11301</v>
      </c>
      <c r="N24545" t="s">
        <v>92</v>
      </c>
      <c r="O24545">
        <v>250213</v>
      </c>
      <c r="P24545">
        <v>101.21</v>
      </c>
    </row>
    <row r="24546" spans="1:16" x14ac:dyDescent="0.25">
      <c r="A24546" t="s">
        <v>3296</v>
      </c>
      <c r="B24546" t="s">
        <v>2931</v>
      </c>
      <c r="C24546">
        <v>1743</v>
      </c>
      <c r="D24546" t="str">
        <f t="shared" si="539"/>
        <v xml:space="preserve">INVFI11695  </v>
      </c>
      <c r="E24546" t="s">
        <v>368</v>
      </c>
      <c r="F24546" t="s">
        <v>369</v>
      </c>
      <c r="G24546">
        <v>101.21</v>
      </c>
      <c r="H24546">
        <v>250207</v>
      </c>
      <c r="I24546">
        <v>4842</v>
      </c>
      <c r="J24546" t="s">
        <v>15</v>
      </c>
      <c r="K24546">
        <v>2937.11</v>
      </c>
      <c r="L24546">
        <v>0</v>
      </c>
      <c r="M24546">
        <v>11301</v>
      </c>
      <c r="N24546" t="s">
        <v>92</v>
      </c>
      <c r="O24546">
        <v>250213</v>
      </c>
      <c r="P24546">
        <v>101.21</v>
      </c>
    </row>
    <row r="24547" spans="1:16" x14ac:dyDescent="0.25">
      <c r="A24547" t="s">
        <v>3296</v>
      </c>
      <c r="B24547" t="s">
        <v>2931</v>
      </c>
      <c r="C24547">
        <v>1743</v>
      </c>
      <c r="D24547" t="str">
        <f t="shared" si="539"/>
        <v xml:space="preserve">INVFI11695  </v>
      </c>
      <c r="E24547" t="s">
        <v>368</v>
      </c>
      <c r="F24547" t="s">
        <v>369</v>
      </c>
      <c r="G24547">
        <v>101.21</v>
      </c>
      <c r="H24547">
        <v>250207</v>
      </c>
      <c r="I24547">
        <v>4842</v>
      </c>
      <c r="J24547" t="s">
        <v>15</v>
      </c>
      <c r="K24547">
        <v>2937.11</v>
      </c>
      <c r="L24547">
        <v>0</v>
      </c>
      <c r="M24547">
        <v>14121</v>
      </c>
      <c r="N24547" t="s">
        <v>71</v>
      </c>
      <c r="O24547">
        <v>250213</v>
      </c>
      <c r="P24547">
        <v>101.21</v>
      </c>
    </row>
    <row r="24548" spans="1:16" x14ac:dyDescent="0.25">
      <c r="A24548" t="s">
        <v>3296</v>
      </c>
      <c r="B24548" t="s">
        <v>2931</v>
      </c>
      <c r="C24548">
        <v>1743</v>
      </c>
      <c r="D24548" t="str">
        <f t="shared" si="539"/>
        <v xml:space="preserve">INVFI11695  </v>
      </c>
      <c r="E24548" t="s">
        <v>368</v>
      </c>
      <c r="F24548" t="s">
        <v>369</v>
      </c>
      <c r="G24548">
        <v>101.21</v>
      </c>
      <c r="H24548">
        <v>250207</v>
      </c>
      <c r="I24548">
        <v>4842</v>
      </c>
      <c r="J24548" t="s">
        <v>15</v>
      </c>
      <c r="K24548">
        <v>2937.11</v>
      </c>
      <c r="L24548">
        <v>0</v>
      </c>
      <c r="M24548">
        <v>14622</v>
      </c>
      <c r="N24548" t="s">
        <v>77</v>
      </c>
      <c r="O24548">
        <v>250213</v>
      </c>
      <c r="P24548">
        <v>101.21</v>
      </c>
    </row>
    <row r="24549" spans="1:16" x14ac:dyDescent="0.25">
      <c r="A24549" t="s">
        <v>3296</v>
      </c>
      <c r="B24549" t="s">
        <v>2931</v>
      </c>
      <c r="C24549">
        <v>1743</v>
      </c>
      <c r="D24549" t="str">
        <f t="shared" si="539"/>
        <v xml:space="preserve">INVFI11695  </v>
      </c>
      <c r="E24549" t="s">
        <v>368</v>
      </c>
      <c r="F24549" t="s">
        <v>369</v>
      </c>
      <c r="G24549">
        <v>101.21</v>
      </c>
      <c r="H24549">
        <v>250207</v>
      </c>
      <c r="I24549">
        <v>4842</v>
      </c>
      <c r="J24549" t="s">
        <v>15</v>
      </c>
      <c r="K24549">
        <v>2937.11</v>
      </c>
      <c r="L24549">
        <v>0</v>
      </c>
      <c r="M24549">
        <v>14622</v>
      </c>
      <c r="N24549" t="s">
        <v>77</v>
      </c>
      <c r="O24549">
        <v>250213</v>
      </c>
      <c r="P24549">
        <v>101.21</v>
      </c>
    </row>
    <row r="24550" spans="1:16" x14ac:dyDescent="0.25">
      <c r="A24550" t="s">
        <v>3296</v>
      </c>
      <c r="B24550" t="s">
        <v>2931</v>
      </c>
      <c r="C24550">
        <v>1743</v>
      </c>
      <c r="D24550" t="str">
        <f t="shared" si="539"/>
        <v xml:space="preserve">INVFI11695  </v>
      </c>
      <c r="E24550" t="s">
        <v>368</v>
      </c>
      <c r="F24550" t="s">
        <v>369</v>
      </c>
      <c r="G24550">
        <v>101.21</v>
      </c>
      <c r="H24550">
        <v>250207</v>
      </c>
      <c r="I24550">
        <v>4842</v>
      </c>
      <c r="J24550" t="s">
        <v>15</v>
      </c>
      <c r="K24550">
        <v>2937.11</v>
      </c>
      <c r="L24550">
        <v>0</v>
      </c>
      <c r="M24550">
        <v>14640</v>
      </c>
      <c r="N24550" t="s">
        <v>78</v>
      </c>
      <c r="O24550">
        <v>250213</v>
      </c>
      <c r="P24550">
        <v>101.21</v>
      </c>
    </row>
    <row r="24551" spans="1:16" x14ac:dyDescent="0.25">
      <c r="A24551" t="s">
        <v>3296</v>
      </c>
      <c r="B24551" t="s">
        <v>2931</v>
      </c>
      <c r="C24551">
        <v>1743</v>
      </c>
      <c r="D24551" t="str">
        <f t="shared" si="539"/>
        <v xml:space="preserve">INVFI11695  </v>
      </c>
      <c r="E24551" t="s">
        <v>368</v>
      </c>
      <c r="F24551" t="s">
        <v>369</v>
      </c>
      <c r="G24551">
        <v>101.21</v>
      </c>
      <c r="H24551">
        <v>250207</v>
      </c>
      <c r="I24551">
        <v>4842</v>
      </c>
      <c r="J24551" t="s">
        <v>15</v>
      </c>
      <c r="K24551">
        <v>2937.11</v>
      </c>
      <c r="L24551">
        <v>0</v>
      </c>
      <c r="M24551">
        <v>14971</v>
      </c>
      <c r="N24551" t="s">
        <v>81</v>
      </c>
      <c r="O24551">
        <v>250213</v>
      </c>
      <c r="P24551">
        <v>101.21</v>
      </c>
    </row>
    <row r="24552" spans="1:16" x14ac:dyDescent="0.25">
      <c r="A24552" t="s">
        <v>3296</v>
      </c>
      <c r="B24552" t="s">
        <v>2931</v>
      </c>
      <c r="C24552">
        <v>1743</v>
      </c>
      <c r="D24552" t="str">
        <f t="shared" si="539"/>
        <v xml:space="preserve">INVFI11695  </v>
      </c>
      <c r="E24552" t="s">
        <v>368</v>
      </c>
      <c r="F24552" t="s">
        <v>369</v>
      </c>
      <c r="G24552">
        <v>101.21</v>
      </c>
      <c r="H24552">
        <v>250207</v>
      </c>
      <c r="I24552">
        <v>4842</v>
      </c>
      <c r="J24552" t="s">
        <v>15</v>
      </c>
      <c r="K24552">
        <v>2937.11</v>
      </c>
      <c r="L24552">
        <v>0</v>
      </c>
      <c r="M24552">
        <v>16431</v>
      </c>
      <c r="N24552" t="s">
        <v>17</v>
      </c>
      <c r="O24552">
        <v>250213</v>
      </c>
      <c r="P24552">
        <v>101.21</v>
      </c>
    </row>
    <row r="24553" spans="1:16" x14ac:dyDescent="0.25">
      <c r="A24553" t="s">
        <v>3296</v>
      </c>
      <c r="B24553" t="s">
        <v>2931</v>
      </c>
      <c r="C24553">
        <v>1743</v>
      </c>
      <c r="D24553" t="str">
        <f t="shared" si="539"/>
        <v xml:space="preserve">INVFI11695  </v>
      </c>
      <c r="E24553" t="s">
        <v>368</v>
      </c>
      <c r="F24553" t="s">
        <v>369</v>
      </c>
      <c r="G24553">
        <v>101.21</v>
      </c>
      <c r="H24553">
        <v>250207</v>
      </c>
      <c r="I24553">
        <v>4842</v>
      </c>
      <c r="J24553" t="s">
        <v>15</v>
      </c>
      <c r="K24553">
        <v>2937.11</v>
      </c>
      <c r="L24553">
        <v>0</v>
      </c>
      <c r="M24553">
        <v>16431</v>
      </c>
      <c r="N24553" t="s">
        <v>17</v>
      </c>
      <c r="O24553">
        <v>250213</v>
      </c>
      <c r="P24553">
        <v>101.21</v>
      </c>
    </row>
    <row r="24554" spans="1:16" x14ac:dyDescent="0.25">
      <c r="A24554" t="s">
        <v>3296</v>
      </c>
      <c r="B24554" t="s">
        <v>2931</v>
      </c>
      <c r="C24554">
        <v>1743</v>
      </c>
      <c r="D24554" t="str">
        <f t="shared" si="539"/>
        <v xml:space="preserve">INVFI11695  </v>
      </c>
      <c r="E24554" t="s">
        <v>368</v>
      </c>
      <c r="F24554" t="s">
        <v>369</v>
      </c>
      <c r="G24554">
        <v>101.21</v>
      </c>
      <c r="H24554">
        <v>250207</v>
      </c>
      <c r="I24554">
        <v>4842</v>
      </c>
      <c r="J24554" t="s">
        <v>15</v>
      </c>
      <c r="K24554">
        <v>2937.11</v>
      </c>
      <c r="L24554">
        <v>0</v>
      </c>
      <c r="M24554">
        <v>16820</v>
      </c>
      <c r="N24554" t="s">
        <v>128</v>
      </c>
      <c r="O24554">
        <v>250213</v>
      </c>
      <c r="P24554">
        <v>101.21</v>
      </c>
    </row>
    <row r="24555" spans="1:16" x14ac:dyDescent="0.25">
      <c r="A24555" t="s">
        <v>3296</v>
      </c>
      <c r="B24555" t="s">
        <v>2931</v>
      </c>
      <c r="C24555">
        <v>1743</v>
      </c>
      <c r="D24555" t="str">
        <f t="shared" si="539"/>
        <v xml:space="preserve">INVFI11695  </v>
      </c>
      <c r="E24555" t="s">
        <v>368</v>
      </c>
      <c r="F24555" t="s">
        <v>369</v>
      </c>
      <c r="G24555">
        <v>101.21</v>
      </c>
      <c r="H24555">
        <v>250207</v>
      </c>
      <c r="I24555">
        <v>4842</v>
      </c>
      <c r="J24555" t="s">
        <v>15</v>
      </c>
      <c r="K24555">
        <v>2937.11</v>
      </c>
      <c r="L24555">
        <v>0</v>
      </c>
      <c r="M24555">
        <v>16930</v>
      </c>
      <c r="N24555" t="s">
        <v>135</v>
      </c>
      <c r="O24555">
        <v>250213</v>
      </c>
      <c r="P24555">
        <v>101.21</v>
      </c>
    </row>
    <row r="24556" spans="1:16" x14ac:dyDescent="0.25">
      <c r="A24556" t="s">
        <v>3296</v>
      </c>
      <c r="B24556" t="s">
        <v>2931</v>
      </c>
      <c r="C24556">
        <v>1743</v>
      </c>
      <c r="D24556" t="str">
        <f t="shared" si="539"/>
        <v xml:space="preserve">INVFI11695  </v>
      </c>
      <c r="E24556" t="s">
        <v>368</v>
      </c>
      <c r="F24556" t="s">
        <v>369</v>
      </c>
      <c r="G24556">
        <v>101.21</v>
      </c>
      <c r="H24556">
        <v>250207</v>
      </c>
      <c r="I24556">
        <v>4842</v>
      </c>
      <c r="J24556" t="s">
        <v>15</v>
      </c>
      <c r="K24556">
        <v>2937.11</v>
      </c>
      <c r="L24556">
        <v>0</v>
      </c>
      <c r="M24556">
        <v>17524</v>
      </c>
      <c r="N24556" t="s">
        <v>139</v>
      </c>
      <c r="O24556">
        <v>250213</v>
      </c>
      <c r="P24556">
        <v>101.21</v>
      </c>
    </row>
    <row r="24557" spans="1:16" x14ac:dyDescent="0.25">
      <c r="A24557" t="s">
        <v>3296</v>
      </c>
      <c r="B24557" t="s">
        <v>2931</v>
      </c>
      <c r="C24557">
        <v>1743</v>
      </c>
      <c r="D24557" t="str">
        <f t="shared" si="539"/>
        <v xml:space="preserve">INVFI11695  </v>
      </c>
      <c r="E24557" t="s">
        <v>368</v>
      </c>
      <c r="F24557" t="s">
        <v>369</v>
      </c>
      <c r="G24557">
        <v>101.21</v>
      </c>
      <c r="H24557">
        <v>250207</v>
      </c>
      <c r="I24557">
        <v>4842</v>
      </c>
      <c r="J24557" t="s">
        <v>15</v>
      </c>
      <c r="K24557">
        <v>2937.11</v>
      </c>
      <c r="L24557">
        <v>0</v>
      </c>
      <c r="M24557">
        <v>17526</v>
      </c>
      <c r="N24557" t="s">
        <v>141</v>
      </c>
      <c r="O24557">
        <v>250213</v>
      </c>
      <c r="P24557">
        <v>101.21</v>
      </c>
    </row>
    <row r="24558" spans="1:16" x14ac:dyDescent="0.25">
      <c r="A24558" t="s">
        <v>3296</v>
      </c>
      <c r="B24558" t="s">
        <v>2931</v>
      </c>
      <c r="C24558">
        <v>1743</v>
      </c>
      <c r="D24558" t="str">
        <f t="shared" si="539"/>
        <v xml:space="preserve">INVFI11695  </v>
      </c>
      <c r="E24558" t="s">
        <v>368</v>
      </c>
      <c r="F24558" t="s">
        <v>369</v>
      </c>
      <c r="G24558">
        <v>101.21</v>
      </c>
      <c r="H24558">
        <v>250207</v>
      </c>
      <c r="I24558">
        <v>4842</v>
      </c>
      <c r="J24558" t="s">
        <v>15</v>
      </c>
      <c r="K24558">
        <v>2937.11</v>
      </c>
      <c r="L24558">
        <v>0</v>
      </c>
      <c r="M24558">
        <v>17529</v>
      </c>
      <c r="N24558" t="s">
        <v>143</v>
      </c>
      <c r="O24558">
        <v>250213</v>
      </c>
      <c r="P24558">
        <v>101.21</v>
      </c>
    </row>
    <row r="24559" spans="1:16" x14ac:dyDescent="0.25">
      <c r="A24559" t="s">
        <v>3296</v>
      </c>
      <c r="B24559" t="s">
        <v>2931</v>
      </c>
      <c r="C24559">
        <v>1743</v>
      </c>
      <c r="D24559" t="str">
        <f t="shared" si="539"/>
        <v xml:space="preserve">INVFI11695  </v>
      </c>
      <c r="E24559" t="s">
        <v>368</v>
      </c>
      <c r="F24559" t="s">
        <v>369</v>
      </c>
      <c r="G24559">
        <v>101.21</v>
      </c>
      <c r="H24559">
        <v>250207</v>
      </c>
      <c r="I24559">
        <v>4842</v>
      </c>
      <c r="J24559" t="s">
        <v>15</v>
      </c>
      <c r="K24559">
        <v>2937.11</v>
      </c>
      <c r="L24559">
        <v>0</v>
      </c>
      <c r="M24559">
        <v>17802</v>
      </c>
      <c r="N24559" t="s">
        <v>18</v>
      </c>
      <c r="O24559">
        <v>250213</v>
      </c>
      <c r="P24559">
        <v>101.21</v>
      </c>
    </row>
    <row r="24560" spans="1:16" x14ac:dyDescent="0.25">
      <c r="A24560" t="s">
        <v>3296</v>
      </c>
      <c r="B24560" t="s">
        <v>2931</v>
      </c>
      <c r="C24560">
        <v>1743</v>
      </c>
      <c r="D24560" t="str">
        <f t="shared" si="539"/>
        <v xml:space="preserve">INVFI11695  </v>
      </c>
      <c r="E24560" t="s">
        <v>368</v>
      </c>
      <c r="F24560" t="s">
        <v>369</v>
      </c>
      <c r="G24560">
        <v>101.21</v>
      </c>
      <c r="H24560">
        <v>250207</v>
      </c>
      <c r="I24560">
        <v>4842</v>
      </c>
      <c r="J24560" t="s">
        <v>15</v>
      </c>
      <c r="K24560">
        <v>2937.11</v>
      </c>
      <c r="L24560">
        <v>0</v>
      </c>
      <c r="M24560">
        <v>17972</v>
      </c>
      <c r="N24560" t="s">
        <v>28</v>
      </c>
      <c r="O24560">
        <v>250213</v>
      </c>
      <c r="P24560">
        <v>101.21</v>
      </c>
    </row>
    <row r="24561" spans="1:16" x14ac:dyDescent="0.25">
      <c r="A24561" t="s">
        <v>3296</v>
      </c>
      <c r="B24561" t="s">
        <v>2931</v>
      </c>
      <c r="C24561">
        <v>1743</v>
      </c>
      <c r="D24561" t="str">
        <f t="shared" si="539"/>
        <v xml:space="preserve">INVFI11695  </v>
      </c>
      <c r="E24561" t="s">
        <v>368</v>
      </c>
      <c r="F24561" t="s">
        <v>369</v>
      </c>
      <c r="G24561">
        <v>101.21</v>
      </c>
      <c r="H24561">
        <v>250207</v>
      </c>
      <c r="I24561">
        <v>4842</v>
      </c>
      <c r="J24561" t="s">
        <v>15</v>
      </c>
      <c r="K24561">
        <v>2937.11</v>
      </c>
      <c r="L24561">
        <v>0</v>
      </c>
      <c r="M24561">
        <v>17972</v>
      </c>
      <c r="N24561" t="s">
        <v>28</v>
      </c>
      <c r="O24561">
        <v>250213</v>
      </c>
      <c r="P24561">
        <v>101.21</v>
      </c>
    </row>
    <row r="24562" spans="1:16" x14ac:dyDescent="0.25">
      <c r="A24562" t="s">
        <v>3296</v>
      </c>
      <c r="B24562" t="s">
        <v>2931</v>
      </c>
      <c r="C24562">
        <v>1743</v>
      </c>
      <c r="D24562" t="str">
        <f t="shared" si="539"/>
        <v xml:space="preserve">INVFI11695  </v>
      </c>
      <c r="E24562" t="s">
        <v>368</v>
      </c>
      <c r="F24562" t="s">
        <v>369</v>
      </c>
      <c r="G24562">
        <v>101.21</v>
      </c>
      <c r="H24562">
        <v>250207</v>
      </c>
      <c r="I24562">
        <v>4842</v>
      </c>
      <c r="J24562" t="s">
        <v>15</v>
      </c>
      <c r="K24562">
        <v>2937.11</v>
      </c>
      <c r="L24562">
        <v>0</v>
      </c>
      <c r="M24562">
        <v>17972</v>
      </c>
      <c r="N24562" t="s">
        <v>28</v>
      </c>
      <c r="O24562">
        <v>250213</v>
      </c>
      <c r="P24562">
        <v>101.21</v>
      </c>
    </row>
    <row r="24563" spans="1:16" x14ac:dyDescent="0.25">
      <c r="A24563" t="s">
        <v>3296</v>
      </c>
      <c r="B24563" t="s">
        <v>2931</v>
      </c>
      <c r="C24563">
        <v>1743</v>
      </c>
      <c r="D24563" t="str">
        <f t="shared" si="539"/>
        <v xml:space="preserve">INVFI11695  </v>
      </c>
      <c r="E24563" t="s">
        <v>368</v>
      </c>
      <c r="F24563" t="s">
        <v>369</v>
      </c>
      <c r="G24563">
        <v>101.21</v>
      </c>
      <c r="H24563">
        <v>250207</v>
      </c>
      <c r="I24563">
        <v>4842</v>
      </c>
      <c r="J24563" t="s">
        <v>15</v>
      </c>
      <c r="K24563">
        <v>2937.11</v>
      </c>
      <c r="L24563">
        <v>0</v>
      </c>
      <c r="M24563">
        <v>17974</v>
      </c>
      <c r="N24563" t="s">
        <v>153</v>
      </c>
      <c r="O24563">
        <v>250213</v>
      </c>
      <c r="P24563">
        <v>101.21</v>
      </c>
    </row>
    <row r="24564" spans="1:16" x14ac:dyDescent="0.25">
      <c r="A24564" t="s">
        <v>3296</v>
      </c>
      <c r="B24564" t="s">
        <v>2931</v>
      </c>
      <c r="C24564">
        <v>1743</v>
      </c>
      <c r="D24564" t="str">
        <f t="shared" si="539"/>
        <v xml:space="preserve">INVFI11695  </v>
      </c>
      <c r="E24564" t="s">
        <v>368</v>
      </c>
      <c r="F24564" t="s">
        <v>369</v>
      </c>
      <c r="G24564">
        <v>101.21</v>
      </c>
      <c r="H24564">
        <v>250207</v>
      </c>
      <c r="I24564">
        <v>4842</v>
      </c>
      <c r="J24564" t="s">
        <v>15</v>
      </c>
      <c r="K24564">
        <v>2937.11</v>
      </c>
      <c r="L24564">
        <v>0</v>
      </c>
      <c r="M24564">
        <v>18120</v>
      </c>
      <c r="N24564" t="s">
        <v>37</v>
      </c>
      <c r="O24564">
        <v>250213</v>
      </c>
      <c r="P24564">
        <v>101.21</v>
      </c>
    </row>
    <row r="24565" spans="1:16" x14ac:dyDescent="0.25">
      <c r="A24565" t="s">
        <v>3296</v>
      </c>
      <c r="B24565" t="s">
        <v>2931</v>
      </c>
      <c r="C24565">
        <v>1743</v>
      </c>
      <c r="D24565" t="str">
        <f t="shared" si="539"/>
        <v xml:space="preserve">INVFI11695  </v>
      </c>
      <c r="E24565" t="s">
        <v>368</v>
      </c>
      <c r="F24565" t="s">
        <v>369</v>
      </c>
      <c r="G24565">
        <v>103.23</v>
      </c>
      <c r="H24565">
        <v>250207</v>
      </c>
      <c r="I24565">
        <v>4842</v>
      </c>
      <c r="J24565" t="s">
        <v>15</v>
      </c>
      <c r="K24565">
        <v>2937.11</v>
      </c>
      <c r="L24565">
        <v>0</v>
      </c>
      <c r="M24565">
        <v>18972</v>
      </c>
      <c r="N24565" t="s">
        <v>39</v>
      </c>
      <c r="O24565">
        <v>250213</v>
      </c>
      <c r="P24565">
        <v>103.23</v>
      </c>
    </row>
    <row r="24566" spans="1:16" x14ac:dyDescent="0.25">
      <c r="A24566" t="s">
        <v>3296</v>
      </c>
      <c r="B24566" t="s">
        <v>2931</v>
      </c>
      <c r="C24566">
        <v>1743</v>
      </c>
      <c r="D24566" t="str">
        <f t="shared" si="539"/>
        <v xml:space="preserve">INVFI11695  </v>
      </c>
      <c r="E24566" t="s">
        <v>368</v>
      </c>
      <c r="F24566" t="s">
        <v>369</v>
      </c>
      <c r="G24566">
        <v>101.21</v>
      </c>
      <c r="H24566">
        <v>250207</v>
      </c>
      <c r="I24566">
        <v>4842</v>
      </c>
      <c r="J24566" t="s">
        <v>15</v>
      </c>
      <c r="K24566">
        <v>2937.11</v>
      </c>
      <c r="L24566">
        <v>0</v>
      </c>
      <c r="M24566">
        <v>44222</v>
      </c>
      <c r="N24566" t="s">
        <v>96</v>
      </c>
      <c r="O24566">
        <v>250213</v>
      </c>
      <c r="P24566">
        <v>101.21</v>
      </c>
    </row>
    <row r="24567" spans="1:16" x14ac:dyDescent="0.25">
      <c r="A24567" t="s">
        <v>3296</v>
      </c>
      <c r="B24567" t="s">
        <v>2931</v>
      </c>
      <c r="C24567">
        <v>1743</v>
      </c>
      <c r="D24567" t="str">
        <f t="shared" si="539"/>
        <v xml:space="preserve">INVFI11695  </v>
      </c>
      <c r="E24567" t="s">
        <v>368</v>
      </c>
      <c r="F24567" t="s">
        <v>369</v>
      </c>
      <c r="G24567">
        <v>101.21</v>
      </c>
      <c r="H24567">
        <v>250207</v>
      </c>
      <c r="I24567">
        <v>4842</v>
      </c>
      <c r="J24567" t="s">
        <v>15</v>
      </c>
      <c r="K24567">
        <v>2937.11</v>
      </c>
      <c r="L24567">
        <v>0</v>
      </c>
      <c r="M24567">
        <v>44222</v>
      </c>
      <c r="N24567" t="s">
        <v>96</v>
      </c>
      <c r="O24567">
        <v>250213</v>
      </c>
      <c r="P24567">
        <v>101.21</v>
      </c>
    </row>
    <row r="24568" spans="1:16" x14ac:dyDescent="0.25">
      <c r="A24568" t="s">
        <v>3296</v>
      </c>
      <c r="B24568" t="s">
        <v>2931</v>
      </c>
      <c r="C24568">
        <v>1743</v>
      </c>
      <c r="D24568" t="str">
        <f t="shared" si="539"/>
        <v xml:space="preserve">INVFI11695  </v>
      </c>
      <c r="E24568" t="s">
        <v>368</v>
      </c>
      <c r="F24568" t="s">
        <v>369</v>
      </c>
      <c r="G24568">
        <v>101.21</v>
      </c>
      <c r="H24568">
        <v>250207</v>
      </c>
      <c r="I24568">
        <v>4842</v>
      </c>
      <c r="J24568" t="s">
        <v>15</v>
      </c>
      <c r="K24568">
        <v>2937.11</v>
      </c>
      <c r="L24568">
        <v>0</v>
      </c>
      <c r="M24568">
        <v>47522</v>
      </c>
      <c r="N24568" t="s">
        <v>106</v>
      </c>
      <c r="O24568">
        <v>250213</v>
      </c>
      <c r="P24568">
        <v>101.21</v>
      </c>
    </row>
    <row r="24569" spans="1:16" x14ac:dyDescent="0.25">
      <c r="A24569" t="s">
        <v>3296</v>
      </c>
      <c r="B24569" t="s">
        <v>2931</v>
      </c>
      <c r="C24569">
        <v>1743</v>
      </c>
      <c r="D24569" t="str">
        <f t="shared" si="539"/>
        <v xml:space="preserve">INVFI11695  </v>
      </c>
      <c r="E24569" t="s">
        <v>368</v>
      </c>
      <c r="F24569" t="s">
        <v>369</v>
      </c>
      <c r="G24569">
        <v>101.21</v>
      </c>
      <c r="H24569">
        <v>250207</v>
      </c>
      <c r="I24569">
        <v>4842</v>
      </c>
      <c r="J24569" t="s">
        <v>15</v>
      </c>
      <c r="K24569">
        <v>2937.11</v>
      </c>
      <c r="L24569">
        <v>0</v>
      </c>
      <c r="M24569">
        <v>54422</v>
      </c>
      <c r="N24569" t="s">
        <v>49</v>
      </c>
      <c r="O24569">
        <v>250213</v>
      </c>
      <c r="P24569">
        <v>101.21</v>
      </c>
    </row>
    <row r="24570" spans="1:16" x14ac:dyDescent="0.25">
      <c r="A24570" t="s">
        <v>3296</v>
      </c>
      <c r="B24570" t="s">
        <v>2931</v>
      </c>
      <c r="C24570">
        <v>1743</v>
      </c>
      <c r="D24570" t="str">
        <f t="shared" si="539"/>
        <v xml:space="preserve">INVFI11695  </v>
      </c>
      <c r="E24570" t="s">
        <v>368</v>
      </c>
      <c r="F24570" t="s">
        <v>369</v>
      </c>
      <c r="G24570">
        <v>101.21</v>
      </c>
      <c r="H24570">
        <v>250207</v>
      </c>
      <c r="I24570">
        <v>4842</v>
      </c>
      <c r="J24570" t="s">
        <v>15</v>
      </c>
      <c r="K24570">
        <v>2937.11</v>
      </c>
      <c r="L24570">
        <v>0</v>
      </c>
      <c r="M24570">
        <v>59702</v>
      </c>
      <c r="N24570" t="s">
        <v>45</v>
      </c>
      <c r="O24570">
        <v>250213</v>
      </c>
      <c r="P24570">
        <v>101.21</v>
      </c>
    </row>
    <row r="24571" spans="1:16" x14ac:dyDescent="0.25">
      <c r="A24571" t="s">
        <v>3296</v>
      </c>
      <c r="B24571" t="s">
        <v>2931</v>
      </c>
      <c r="C24571">
        <v>1743</v>
      </c>
      <c r="D24571" t="str">
        <f t="shared" si="539"/>
        <v xml:space="preserve">INVFI11695  </v>
      </c>
      <c r="E24571" t="s">
        <v>368</v>
      </c>
      <c r="F24571" t="s">
        <v>369</v>
      </c>
      <c r="G24571">
        <v>101.21</v>
      </c>
      <c r="H24571">
        <v>250207</v>
      </c>
      <c r="I24571">
        <v>4842</v>
      </c>
      <c r="J24571" t="s">
        <v>15</v>
      </c>
      <c r="K24571">
        <v>2937.11</v>
      </c>
      <c r="L24571">
        <v>0</v>
      </c>
      <c r="M24571">
        <v>67522</v>
      </c>
      <c r="N24571" t="s">
        <v>121</v>
      </c>
      <c r="O24571">
        <v>250213</v>
      </c>
      <c r="P24571">
        <v>101.21</v>
      </c>
    </row>
    <row r="24572" spans="1:16" x14ac:dyDescent="0.25">
      <c r="A24572" t="s">
        <v>3296</v>
      </c>
      <c r="B24572" t="s">
        <v>2931</v>
      </c>
      <c r="C24572">
        <v>1743</v>
      </c>
      <c r="D24572" t="str">
        <f t="shared" si="539"/>
        <v xml:space="preserve">INVFI11695  </v>
      </c>
      <c r="E24572" t="s">
        <v>368</v>
      </c>
      <c r="F24572" t="s">
        <v>369</v>
      </c>
      <c r="G24572">
        <v>101.21</v>
      </c>
      <c r="H24572">
        <v>250207</v>
      </c>
      <c r="I24572">
        <v>4842</v>
      </c>
      <c r="J24572" t="s">
        <v>15</v>
      </c>
      <c r="K24572">
        <v>2937.11</v>
      </c>
      <c r="L24572">
        <v>0</v>
      </c>
      <c r="M24572">
        <v>69113</v>
      </c>
      <c r="N24572" t="s">
        <v>122</v>
      </c>
      <c r="O24572">
        <v>250213</v>
      </c>
      <c r="P24572">
        <v>101.21</v>
      </c>
    </row>
    <row r="24573" spans="1:16" x14ac:dyDescent="0.25">
      <c r="A24573" t="s">
        <v>3296</v>
      </c>
      <c r="B24573" t="s">
        <v>2931</v>
      </c>
      <c r="C24573">
        <v>3406</v>
      </c>
      <c r="D24573" t="str">
        <f t="shared" ref="D24573:D24601" si="540">"INVFI13785  "</f>
        <v xml:space="preserve">INVFI13785  </v>
      </c>
      <c r="E24573" t="s">
        <v>368</v>
      </c>
      <c r="F24573" t="s">
        <v>369</v>
      </c>
      <c r="G24573">
        <v>101.21</v>
      </c>
      <c r="H24573">
        <v>250306</v>
      </c>
      <c r="I24573">
        <v>4842</v>
      </c>
      <c r="J24573" t="s">
        <v>15</v>
      </c>
      <c r="K24573">
        <v>2933.88</v>
      </c>
      <c r="L24573">
        <v>0</v>
      </c>
      <c r="M24573">
        <v>11101</v>
      </c>
      <c r="N24573" t="s">
        <v>67</v>
      </c>
      <c r="O24573">
        <v>250320</v>
      </c>
      <c r="P24573">
        <v>101.21</v>
      </c>
    </row>
    <row r="24574" spans="1:16" x14ac:dyDescent="0.25">
      <c r="A24574" t="s">
        <v>3296</v>
      </c>
      <c r="B24574" t="s">
        <v>2931</v>
      </c>
      <c r="C24574">
        <v>3406</v>
      </c>
      <c r="D24574" t="str">
        <f t="shared" si="540"/>
        <v xml:space="preserve">INVFI13785  </v>
      </c>
      <c r="E24574" t="s">
        <v>368</v>
      </c>
      <c r="F24574" t="s">
        <v>369</v>
      </c>
      <c r="G24574">
        <v>101.21</v>
      </c>
      <c r="H24574">
        <v>250306</v>
      </c>
      <c r="I24574">
        <v>4842</v>
      </c>
      <c r="J24574" t="s">
        <v>15</v>
      </c>
      <c r="K24574">
        <v>2933.88</v>
      </c>
      <c r="L24574">
        <v>0</v>
      </c>
      <c r="M24574">
        <v>11301</v>
      </c>
      <c r="N24574" t="s">
        <v>92</v>
      </c>
      <c r="O24574">
        <v>250320</v>
      </c>
      <c r="P24574">
        <v>101.21</v>
      </c>
    </row>
    <row r="24575" spans="1:16" x14ac:dyDescent="0.25">
      <c r="A24575" t="s">
        <v>3296</v>
      </c>
      <c r="B24575" t="s">
        <v>2931</v>
      </c>
      <c r="C24575">
        <v>3406</v>
      </c>
      <c r="D24575" t="str">
        <f t="shared" si="540"/>
        <v xml:space="preserve">INVFI13785  </v>
      </c>
      <c r="E24575" t="s">
        <v>368</v>
      </c>
      <c r="F24575" t="s">
        <v>369</v>
      </c>
      <c r="G24575">
        <v>101.21</v>
      </c>
      <c r="H24575">
        <v>250306</v>
      </c>
      <c r="I24575">
        <v>4842</v>
      </c>
      <c r="J24575" t="s">
        <v>15</v>
      </c>
      <c r="K24575">
        <v>2933.88</v>
      </c>
      <c r="L24575">
        <v>0</v>
      </c>
      <c r="M24575">
        <v>11301</v>
      </c>
      <c r="N24575" t="s">
        <v>92</v>
      </c>
      <c r="O24575">
        <v>250320</v>
      </c>
      <c r="P24575">
        <v>101.21</v>
      </c>
    </row>
    <row r="24576" spans="1:16" x14ac:dyDescent="0.25">
      <c r="A24576" t="s">
        <v>3296</v>
      </c>
      <c r="B24576" t="s">
        <v>2931</v>
      </c>
      <c r="C24576">
        <v>3406</v>
      </c>
      <c r="D24576" t="str">
        <f t="shared" si="540"/>
        <v xml:space="preserve">INVFI13785  </v>
      </c>
      <c r="E24576" t="s">
        <v>368</v>
      </c>
      <c r="F24576" t="s">
        <v>369</v>
      </c>
      <c r="G24576">
        <v>101.21</v>
      </c>
      <c r="H24576">
        <v>250306</v>
      </c>
      <c r="I24576">
        <v>4842</v>
      </c>
      <c r="J24576" t="s">
        <v>15</v>
      </c>
      <c r="K24576">
        <v>2933.88</v>
      </c>
      <c r="L24576">
        <v>0</v>
      </c>
      <c r="M24576">
        <v>14121</v>
      </c>
      <c r="N24576" t="s">
        <v>71</v>
      </c>
      <c r="O24576">
        <v>250320</v>
      </c>
      <c r="P24576">
        <v>101.21</v>
      </c>
    </row>
    <row r="24577" spans="1:16" x14ac:dyDescent="0.25">
      <c r="A24577" t="s">
        <v>3296</v>
      </c>
      <c r="B24577" t="s">
        <v>2931</v>
      </c>
      <c r="C24577">
        <v>3406</v>
      </c>
      <c r="D24577" t="str">
        <f t="shared" si="540"/>
        <v xml:space="preserve">INVFI13785  </v>
      </c>
      <c r="E24577" t="s">
        <v>368</v>
      </c>
      <c r="F24577" t="s">
        <v>369</v>
      </c>
      <c r="G24577">
        <v>101.21</v>
      </c>
      <c r="H24577">
        <v>250306</v>
      </c>
      <c r="I24577">
        <v>4842</v>
      </c>
      <c r="J24577" t="s">
        <v>15</v>
      </c>
      <c r="K24577">
        <v>2933.88</v>
      </c>
      <c r="L24577">
        <v>0</v>
      </c>
      <c r="M24577">
        <v>14622</v>
      </c>
      <c r="N24577" t="s">
        <v>77</v>
      </c>
      <c r="O24577">
        <v>250320</v>
      </c>
      <c r="P24577">
        <v>101.21</v>
      </c>
    </row>
    <row r="24578" spans="1:16" x14ac:dyDescent="0.25">
      <c r="A24578" t="s">
        <v>3296</v>
      </c>
      <c r="B24578" t="s">
        <v>2931</v>
      </c>
      <c r="C24578">
        <v>3406</v>
      </c>
      <c r="D24578" t="str">
        <f t="shared" si="540"/>
        <v xml:space="preserve">INVFI13785  </v>
      </c>
      <c r="E24578" t="s">
        <v>368</v>
      </c>
      <c r="F24578" t="s">
        <v>369</v>
      </c>
      <c r="G24578">
        <v>101.21</v>
      </c>
      <c r="H24578">
        <v>250306</v>
      </c>
      <c r="I24578">
        <v>4842</v>
      </c>
      <c r="J24578" t="s">
        <v>15</v>
      </c>
      <c r="K24578">
        <v>2933.88</v>
      </c>
      <c r="L24578">
        <v>0</v>
      </c>
      <c r="M24578">
        <v>14622</v>
      </c>
      <c r="N24578" t="s">
        <v>77</v>
      </c>
      <c r="O24578">
        <v>250320</v>
      </c>
      <c r="P24578">
        <v>101.21</v>
      </c>
    </row>
    <row r="24579" spans="1:16" x14ac:dyDescent="0.25">
      <c r="A24579" t="s">
        <v>3296</v>
      </c>
      <c r="B24579" t="s">
        <v>2931</v>
      </c>
      <c r="C24579">
        <v>3406</v>
      </c>
      <c r="D24579" t="str">
        <f t="shared" si="540"/>
        <v xml:space="preserve">INVFI13785  </v>
      </c>
      <c r="E24579" t="s">
        <v>368</v>
      </c>
      <c r="F24579" t="s">
        <v>369</v>
      </c>
      <c r="G24579">
        <v>101.21</v>
      </c>
      <c r="H24579">
        <v>250306</v>
      </c>
      <c r="I24579">
        <v>4842</v>
      </c>
      <c r="J24579" t="s">
        <v>15</v>
      </c>
      <c r="K24579">
        <v>2933.88</v>
      </c>
      <c r="L24579">
        <v>0</v>
      </c>
      <c r="M24579">
        <v>14640</v>
      </c>
      <c r="N24579" t="s">
        <v>78</v>
      </c>
      <c r="O24579">
        <v>250320</v>
      </c>
      <c r="P24579">
        <v>101.21</v>
      </c>
    </row>
    <row r="24580" spans="1:16" x14ac:dyDescent="0.25">
      <c r="A24580" t="s">
        <v>3296</v>
      </c>
      <c r="B24580" t="s">
        <v>2931</v>
      </c>
      <c r="C24580">
        <v>3406</v>
      </c>
      <c r="D24580" t="str">
        <f t="shared" si="540"/>
        <v xml:space="preserve">INVFI13785  </v>
      </c>
      <c r="E24580" t="s">
        <v>368</v>
      </c>
      <c r="F24580" t="s">
        <v>369</v>
      </c>
      <c r="G24580">
        <v>101.21</v>
      </c>
      <c r="H24580">
        <v>250306</v>
      </c>
      <c r="I24580">
        <v>4842</v>
      </c>
      <c r="J24580" t="s">
        <v>15</v>
      </c>
      <c r="K24580">
        <v>2933.88</v>
      </c>
      <c r="L24580">
        <v>0</v>
      </c>
      <c r="M24580">
        <v>14971</v>
      </c>
      <c r="N24580" t="s">
        <v>81</v>
      </c>
      <c r="O24580">
        <v>250320</v>
      </c>
      <c r="P24580">
        <v>101.21</v>
      </c>
    </row>
    <row r="24581" spans="1:16" x14ac:dyDescent="0.25">
      <c r="A24581" t="s">
        <v>3296</v>
      </c>
      <c r="B24581" t="s">
        <v>2931</v>
      </c>
      <c r="C24581">
        <v>3406</v>
      </c>
      <c r="D24581" t="str">
        <f t="shared" si="540"/>
        <v xml:space="preserve">INVFI13785  </v>
      </c>
      <c r="E24581" t="s">
        <v>368</v>
      </c>
      <c r="F24581" t="s">
        <v>369</v>
      </c>
      <c r="G24581">
        <v>101.21</v>
      </c>
      <c r="H24581">
        <v>250306</v>
      </c>
      <c r="I24581">
        <v>4842</v>
      </c>
      <c r="J24581" t="s">
        <v>15</v>
      </c>
      <c r="K24581">
        <v>2933.88</v>
      </c>
      <c r="L24581">
        <v>0</v>
      </c>
      <c r="M24581">
        <v>16431</v>
      </c>
      <c r="N24581" t="s">
        <v>17</v>
      </c>
      <c r="O24581">
        <v>250320</v>
      </c>
      <c r="P24581">
        <v>101.21</v>
      </c>
    </row>
    <row r="24582" spans="1:16" x14ac:dyDescent="0.25">
      <c r="A24582" t="s">
        <v>3296</v>
      </c>
      <c r="B24582" t="s">
        <v>2931</v>
      </c>
      <c r="C24582">
        <v>3406</v>
      </c>
      <c r="D24582" t="str">
        <f t="shared" si="540"/>
        <v xml:space="preserve">INVFI13785  </v>
      </c>
      <c r="E24582" t="s">
        <v>368</v>
      </c>
      <c r="F24582" t="s">
        <v>369</v>
      </c>
      <c r="G24582">
        <v>101.21</v>
      </c>
      <c r="H24582">
        <v>250306</v>
      </c>
      <c r="I24582">
        <v>4842</v>
      </c>
      <c r="J24582" t="s">
        <v>15</v>
      </c>
      <c r="K24582">
        <v>2933.88</v>
      </c>
      <c r="L24582">
        <v>0</v>
      </c>
      <c r="M24582">
        <v>16431</v>
      </c>
      <c r="N24582" t="s">
        <v>17</v>
      </c>
      <c r="O24582">
        <v>250320</v>
      </c>
      <c r="P24582">
        <v>101.21</v>
      </c>
    </row>
    <row r="24583" spans="1:16" x14ac:dyDescent="0.25">
      <c r="A24583" t="s">
        <v>3296</v>
      </c>
      <c r="B24583" t="s">
        <v>2931</v>
      </c>
      <c r="C24583">
        <v>3406</v>
      </c>
      <c r="D24583" t="str">
        <f t="shared" si="540"/>
        <v xml:space="preserve">INVFI13785  </v>
      </c>
      <c r="E24583" t="s">
        <v>368</v>
      </c>
      <c r="F24583" t="s">
        <v>369</v>
      </c>
      <c r="G24583">
        <v>101.21</v>
      </c>
      <c r="H24583">
        <v>250306</v>
      </c>
      <c r="I24583">
        <v>4842</v>
      </c>
      <c r="J24583" t="s">
        <v>15</v>
      </c>
      <c r="K24583">
        <v>2933.88</v>
      </c>
      <c r="L24583">
        <v>0</v>
      </c>
      <c r="M24583">
        <v>16820</v>
      </c>
      <c r="N24583" t="s">
        <v>128</v>
      </c>
      <c r="O24583">
        <v>250320</v>
      </c>
      <c r="P24583">
        <v>101.21</v>
      </c>
    </row>
    <row r="24584" spans="1:16" x14ac:dyDescent="0.25">
      <c r="A24584" t="s">
        <v>3296</v>
      </c>
      <c r="B24584" t="s">
        <v>2931</v>
      </c>
      <c r="C24584">
        <v>3406</v>
      </c>
      <c r="D24584" t="str">
        <f t="shared" si="540"/>
        <v xml:space="preserve">INVFI13785  </v>
      </c>
      <c r="E24584" t="s">
        <v>368</v>
      </c>
      <c r="F24584" t="s">
        <v>369</v>
      </c>
      <c r="G24584">
        <v>101.21</v>
      </c>
      <c r="H24584">
        <v>250306</v>
      </c>
      <c r="I24584">
        <v>4842</v>
      </c>
      <c r="J24584" t="s">
        <v>15</v>
      </c>
      <c r="K24584">
        <v>2933.88</v>
      </c>
      <c r="L24584">
        <v>0</v>
      </c>
      <c r="M24584">
        <v>16930</v>
      </c>
      <c r="N24584" t="s">
        <v>135</v>
      </c>
      <c r="O24584">
        <v>250320</v>
      </c>
      <c r="P24584">
        <v>101.21</v>
      </c>
    </row>
    <row r="24585" spans="1:16" x14ac:dyDescent="0.25">
      <c r="A24585" t="s">
        <v>3296</v>
      </c>
      <c r="B24585" t="s">
        <v>2931</v>
      </c>
      <c r="C24585">
        <v>3406</v>
      </c>
      <c r="D24585" t="str">
        <f t="shared" si="540"/>
        <v xml:space="preserve">INVFI13785  </v>
      </c>
      <c r="E24585" t="s">
        <v>368</v>
      </c>
      <c r="F24585" t="s">
        <v>369</v>
      </c>
      <c r="G24585">
        <v>101.21</v>
      </c>
      <c r="H24585">
        <v>250306</v>
      </c>
      <c r="I24585">
        <v>4842</v>
      </c>
      <c r="J24585" t="s">
        <v>15</v>
      </c>
      <c r="K24585">
        <v>2933.88</v>
      </c>
      <c r="L24585">
        <v>0</v>
      </c>
      <c r="M24585">
        <v>17524</v>
      </c>
      <c r="N24585" t="s">
        <v>139</v>
      </c>
      <c r="O24585">
        <v>250320</v>
      </c>
      <c r="P24585">
        <v>101.21</v>
      </c>
    </row>
    <row r="24586" spans="1:16" x14ac:dyDescent="0.25">
      <c r="A24586" t="s">
        <v>3296</v>
      </c>
      <c r="B24586" t="s">
        <v>2931</v>
      </c>
      <c r="C24586">
        <v>3406</v>
      </c>
      <c r="D24586" t="str">
        <f t="shared" si="540"/>
        <v xml:space="preserve">INVFI13785  </v>
      </c>
      <c r="E24586" t="s">
        <v>368</v>
      </c>
      <c r="F24586" t="s">
        <v>369</v>
      </c>
      <c r="G24586">
        <v>101.21</v>
      </c>
      <c r="H24586">
        <v>250306</v>
      </c>
      <c r="I24586">
        <v>4842</v>
      </c>
      <c r="J24586" t="s">
        <v>15</v>
      </c>
      <c r="K24586">
        <v>2933.88</v>
      </c>
      <c r="L24586">
        <v>0</v>
      </c>
      <c r="M24586">
        <v>17526</v>
      </c>
      <c r="N24586" t="s">
        <v>141</v>
      </c>
      <c r="O24586">
        <v>250320</v>
      </c>
      <c r="P24586">
        <v>101.21</v>
      </c>
    </row>
    <row r="24587" spans="1:16" x14ac:dyDescent="0.25">
      <c r="A24587" t="s">
        <v>3296</v>
      </c>
      <c r="B24587" t="s">
        <v>2931</v>
      </c>
      <c r="C24587">
        <v>3406</v>
      </c>
      <c r="D24587" t="str">
        <f t="shared" si="540"/>
        <v xml:space="preserve">INVFI13785  </v>
      </c>
      <c r="E24587" t="s">
        <v>368</v>
      </c>
      <c r="F24587" t="s">
        <v>369</v>
      </c>
      <c r="G24587">
        <v>101.21</v>
      </c>
      <c r="H24587">
        <v>250306</v>
      </c>
      <c r="I24587">
        <v>4842</v>
      </c>
      <c r="J24587" t="s">
        <v>15</v>
      </c>
      <c r="K24587">
        <v>2933.88</v>
      </c>
      <c r="L24587">
        <v>0</v>
      </c>
      <c r="M24587">
        <v>17529</v>
      </c>
      <c r="N24587" t="s">
        <v>143</v>
      </c>
      <c r="O24587">
        <v>250320</v>
      </c>
      <c r="P24587">
        <v>101.21</v>
      </c>
    </row>
    <row r="24588" spans="1:16" x14ac:dyDescent="0.25">
      <c r="A24588" t="s">
        <v>3296</v>
      </c>
      <c r="B24588" t="s">
        <v>2931</v>
      </c>
      <c r="C24588">
        <v>3406</v>
      </c>
      <c r="D24588" t="str">
        <f t="shared" si="540"/>
        <v xml:space="preserve">INVFI13785  </v>
      </c>
      <c r="E24588" t="s">
        <v>368</v>
      </c>
      <c r="F24588" t="s">
        <v>369</v>
      </c>
      <c r="G24588">
        <v>101.21</v>
      </c>
      <c r="H24588">
        <v>250306</v>
      </c>
      <c r="I24588">
        <v>4842</v>
      </c>
      <c r="J24588" t="s">
        <v>15</v>
      </c>
      <c r="K24588">
        <v>2933.88</v>
      </c>
      <c r="L24588">
        <v>0</v>
      </c>
      <c r="M24588">
        <v>17802</v>
      </c>
      <c r="N24588" t="s">
        <v>18</v>
      </c>
      <c r="O24588">
        <v>250320</v>
      </c>
      <c r="P24588">
        <v>101.21</v>
      </c>
    </row>
    <row r="24589" spans="1:16" x14ac:dyDescent="0.25">
      <c r="A24589" t="s">
        <v>3296</v>
      </c>
      <c r="B24589" t="s">
        <v>2931</v>
      </c>
      <c r="C24589">
        <v>3406</v>
      </c>
      <c r="D24589" t="str">
        <f t="shared" si="540"/>
        <v xml:space="preserve">INVFI13785  </v>
      </c>
      <c r="E24589" t="s">
        <v>368</v>
      </c>
      <c r="F24589" t="s">
        <v>369</v>
      </c>
      <c r="G24589">
        <v>101.21</v>
      </c>
      <c r="H24589">
        <v>250306</v>
      </c>
      <c r="I24589">
        <v>4842</v>
      </c>
      <c r="J24589" t="s">
        <v>15</v>
      </c>
      <c r="K24589">
        <v>2933.88</v>
      </c>
      <c r="L24589">
        <v>0</v>
      </c>
      <c r="M24589">
        <v>17972</v>
      </c>
      <c r="N24589" t="s">
        <v>28</v>
      </c>
      <c r="O24589">
        <v>250320</v>
      </c>
      <c r="P24589">
        <v>101.21</v>
      </c>
    </row>
    <row r="24590" spans="1:16" x14ac:dyDescent="0.25">
      <c r="A24590" t="s">
        <v>3296</v>
      </c>
      <c r="B24590" t="s">
        <v>2931</v>
      </c>
      <c r="C24590">
        <v>3406</v>
      </c>
      <c r="D24590" t="str">
        <f t="shared" si="540"/>
        <v xml:space="preserve">INVFI13785  </v>
      </c>
      <c r="E24590" t="s">
        <v>368</v>
      </c>
      <c r="F24590" t="s">
        <v>369</v>
      </c>
      <c r="G24590">
        <v>101.21</v>
      </c>
      <c r="H24590">
        <v>250306</v>
      </c>
      <c r="I24590">
        <v>4842</v>
      </c>
      <c r="J24590" t="s">
        <v>15</v>
      </c>
      <c r="K24590">
        <v>2933.88</v>
      </c>
      <c r="L24590">
        <v>0</v>
      </c>
      <c r="M24590">
        <v>17972</v>
      </c>
      <c r="N24590" t="s">
        <v>28</v>
      </c>
      <c r="O24590">
        <v>250320</v>
      </c>
      <c r="P24590">
        <v>101.21</v>
      </c>
    </row>
    <row r="24591" spans="1:16" x14ac:dyDescent="0.25">
      <c r="A24591" t="s">
        <v>3296</v>
      </c>
      <c r="B24591" t="s">
        <v>2931</v>
      </c>
      <c r="C24591">
        <v>3406</v>
      </c>
      <c r="D24591" t="str">
        <f t="shared" si="540"/>
        <v xml:space="preserve">INVFI13785  </v>
      </c>
      <c r="E24591" t="s">
        <v>368</v>
      </c>
      <c r="F24591" t="s">
        <v>369</v>
      </c>
      <c r="G24591">
        <v>101.21</v>
      </c>
      <c r="H24591">
        <v>250306</v>
      </c>
      <c r="I24591">
        <v>4842</v>
      </c>
      <c r="J24591" t="s">
        <v>15</v>
      </c>
      <c r="K24591">
        <v>2933.88</v>
      </c>
      <c r="L24591">
        <v>0</v>
      </c>
      <c r="M24591">
        <v>17972</v>
      </c>
      <c r="N24591" t="s">
        <v>28</v>
      </c>
      <c r="O24591">
        <v>250320</v>
      </c>
      <c r="P24591">
        <v>101.21</v>
      </c>
    </row>
    <row r="24592" spans="1:16" x14ac:dyDescent="0.25">
      <c r="A24592" t="s">
        <v>3296</v>
      </c>
      <c r="B24592" t="s">
        <v>2931</v>
      </c>
      <c r="C24592">
        <v>3406</v>
      </c>
      <c r="D24592" t="str">
        <f t="shared" si="540"/>
        <v xml:space="preserve">INVFI13785  </v>
      </c>
      <c r="E24592" t="s">
        <v>368</v>
      </c>
      <c r="F24592" t="s">
        <v>369</v>
      </c>
      <c r="G24592">
        <v>101.21</v>
      </c>
      <c r="H24592">
        <v>250306</v>
      </c>
      <c r="I24592">
        <v>4842</v>
      </c>
      <c r="J24592" t="s">
        <v>15</v>
      </c>
      <c r="K24592">
        <v>2933.88</v>
      </c>
      <c r="L24592">
        <v>0</v>
      </c>
      <c r="M24592">
        <v>17974</v>
      </c>
      <c r="N24592" t="s">
        <v>153</v>
      </c>
      <c r="O24592">
        <v>250320</v>
      </c>
      <c r="P24592">
        <v>101.21</v>
      </c>
    </row>
    <row r="24593" spans="1:16" x14ac:dyDescent="0.25">
      <c r="A24593" t="s">
        <v>3296</v>
      </c>
      <c r="B24593" t="s">
        <v>2931</v>
      </c>
      <c r="C24593">
        <v>3406</v>
      </c>
      <c r="D24593" t="str">
        <f t="shared" si="540"/>
        <v xml:space="preserve">INVFI13785  </v>
      </c>
      <c r="E24593" t="s">
        <v>368</v>
      </c>
      <c r="F24593" t="s">
        <v>369</v>
      </c>
      <c r="G24593">
        <v>101.21</v>
      </c>
      <c r="H24593">
        <v>250306</v>
      </c>
      <c r="I24593">
        <v>4842</v>
      </c>
      <c r="J24593" t="s">
        <v>15</v>
      </c>
      <c r="K24593">
        <v>2933.88</v>
      </c>
      <c r="L24593">
        <v>0</v>
      </c>
      <c r="M24593">
        <v>18120</v>
      </c>
      <c r="N24593" t="s">
        <v>37</v>
      </c>
      <c r="O24593">
        <v>250320</v>
      </c>
      <c r="P24593">
        <v>101.21</v>
      </c>
    </row>
    <row r="24594" spans="1:16" x14ac:dyDescent="0.25">
      <c r="A24594" t="s">
        <v>3296</v>
      </c>
      <c r="B24594" t="s">
        <v>2931</v>
      </c>
      <c r="C24594">
        <v>3406</v>
      </c>
      <c r="D24594" t="str">
        <f t="shared" si="540"/>
        <v xml:space="preserve">INVFI13785  </v>
      </c>
      <c r="E24594" t="s">
        <v>368</v>
      </c>
      <c r="F24594" t="s">
        <v>369</v>
      </c>
      <c r="G24594">
        <v>100</v>
      </c>
      <c r="H24594">
        <v>250306</v>
      </c>
      <c r="I24594">
        <v>4842</v>
      </c>
      <c r="J24594" t="s">
        <v>15</v>
      </c>
      <c r="K24594">
        <v>2933.88</v>
      </c>
      <c r="L24594">
        <v>0</v>
      </c>
      <c r="M24594">
        <v>18972</v>
      </c>
      <c r="N24594" t="s">
        <v>39</v>
      </c>
      <c r="O24594">
        <v>250320</v>
      </c>
      <c r="P24594">
        <v>100</v>
      </c>
    </row>
    <row r="24595" spans="1:16" x14ac:dyDescent="0.25">
      <c r="A24595" t="s">
        <v>3296</v>
      </c>
      <c r="B24595" t="s">
        <v>2931</v>
      </c>
      <c r="C24595">
        <v>3406</v>
      </c>
      <c r="D24595" t="str">
        <f t="shared" si="540"/>
        <v xml:space="preserve">INVFI13785  </v>
      </c>
      <c r="E24595" t="s">
        <v>368</v>
      </c>
      <c r="F24595" t="s">
        <v>369</v>
      </c>
      <c r="G24595">
        <v>101.21</v>
      </c>
      <c r="H24595">
        <v>250306</v>
      </c>
      <c r="I24595">
        <v>4842</v>
      </c>
      <c r="J24595" t="s">
        <v>15</v>
      </c>
      <c r="K24595">
        <v>2933.88</v>
      </c>
      <c r="L24595">
        <v>0</v>
      </c>
      <c r="M24595">
        <v>44222</v>
      </c>
      <c r="N24595" t="s">
        <v>96</v>
      </c>
      <c r="O24595">
        <v>250320</v>
      </c>
      <c r="P24595">
        <v>101.21</v>
      </c>
    </row>
    <row r="24596" spans="1:16" x14ac:dyDescent="0.25">
      <c r="A24596" t="s">
        <v>3296</v>
      </c>
      <c r="B24596" t="s">
        <v>2931</v>
      </c>
      <c r="C24596">
        <v>3406</v>
      </c>
      <c r="D24596" t="str">
        <f t="shared" si="540"/>
        <v xml:space="preserve">INVFI13785  </v>
      </c>
      <c r="E24596" t="s">
        <v>368</v>
      </c>
      <c r="F24596" t="s">
        <v>369</v>
      </c>
      <c r="G24596">
        <v>101.21</v>
      </c>
      <c r="H24596">
        <v>250306</v>
      </c>
      <c r="I24596">
        <v>4842</v>
      </c>
      <c r="J24596" t="s">
        <v>15</v>
      </c>
      <c r="K24596">
        <v>2933.88</v>
      </c>
      <c r="L24596">
        <v>0</v>
      </c>
      <c r="M24596">
        <v>44222</v>
      </c>
      <c r="N24596" t="s">
        <v>96</v>
      </c>
      <c r="O24596">
        <v>250320</v>
      </c>
      <c r="P24596">
        <v>101.21</v>
      </c>
    </row>
    <row r="24597" spans="1:16" x14ac:dyDescent="0.25">
      <c r="A24597" t="s">
        <v>3296</v>
      </c>
      <c r="B24597" t="s">
        <v>2931</v>
      </c>
      <c r="C24597">
        <v>3406</v>
      </c>
      <c r="D24597" t="str">
        <f t="shared" si="540"/>
        <v xml:space="preserve">INVFI13785  </v>
      </c>
      <c r="E24597" t="s">
        <v>368</v>
      </c>
      <c r="F24597" t="s">
        <v>369</v>
      </c>
      <c r="G24597">
        <v>101.21</v>
      </c>
      <c r="H24597">
        <v>250306</v>
      </c>
      <c r="I24597">
        <v>4842</v>
      </c>
      <c r="J24597" t="s">
        <v>15</v>
      </c>
      <c r="K24597">
        <v>2933.88</v>
      </c>
      <c r="L24597">
        <v>0</v>
      </c>
      <c r="M24597">
        <v>49702</v>
      </c>
      <c r="N24597" t="s">
        <v>112</v>
      </c>
      <c r="O24597">
        <v>250320</v>
      </c>
      <c r="P24597">
        <v>101.21</v>
      </c>
    </row>
    <row r="24598" spans="1:16" x14ac:dyDescent="0.25">
      <c r="A24598" t="s">
        <v>3296</v>
      </c>
      <c r="B24598" t="s">
        <v>2931</v>
      </c>
      <c r="C24598">
        <v>3406</v>
      </c>
      <c r="D24598" t="str">
        <f t="shared" si="540"/>
        <v xml:space="preserve">INVFI13785  </v>
      </c>
      <c r="E24598" t="s">
        <v>368</v>
      </c>
      <c r="F24598" t="s">
        <v>369</v>
      </c>
      <c r="G24598">
        <v>101.21</v>
      </c>
      <c r="H24598">
        <v>250306</v>
      </c>
      <c r="I24598">
        <v>4842</v>
      </c>
      <c r="J24598" t="s">
        <v>15</v>
      </c>
      <c r="K24598">
        <v>2933.88</v>
      </c>
      <c r="L24598">
        <v>0</v>
      </c>
      <c r="M24598">
        <v>54422</v>
      </c>
      <c r="N24598" t="s">
        <v>49</v>
      </c>
      <c r="O24598">
        <v>250320</v>
      </c>
      <c r="P24598">
        <v>101.21</v>
      </c>
    </row>
    <row r="24599" spans="1:16" x14ac:dyDescent="0.25">
      <c r="A24599" t="s">
        <v>3296</v>
      </c>
      <c r="B24599" t="s">
        <v>2931</v>
      </c>
      <c r="C24599">
        <v>3406</v>
      </c>
      <c r="D24599" t="str">
        <f t="shared" si="540"/>
        <v xml:space="preserve">INVFI13785  </v>
      </c>
      <c r="E24599" t="s">
        <v>368</v>
      </c>
      <c r="F24599" t="s">
        <v>369</v>
      </c>
      <c r="G24599">
        <v>101.21</v>
      </c>
      <c r="H24599">
        <v>250306</v>
      </c>
      <c r="I24599">
        <v>4842</v>
      </c>
      <c r="J24599" t="s">
        <v>15</v>
      </c>
      <c r="K24599">
        <v>2933.88</v>
      </c>
      <c r="L24599">
        <v>0</v>
      </c>
      <c r="M24599">
        <v>59702</v>
      </c>
      <c r="N24599" t="s">
        <v>45</v>
      </c>
      <c r="O24599">
        <v>250320</v>
      </c>
      <c r="P24599">
        <v>101.21</v>
      </c>
    </row>
    <row r="24600" spans="1:16" x14ac:dyDescent="0.25">
      <c r="A24600" t="s">
        <v>3296</v>
      </c>
      <c r="B24600" t="s">
        <v>2931</v>
      </c>
      <c r="C24600">
        <v>3406</v>
      </c>
      <c r="D24600" t="str">
        <f t="shared" si="540"/>
        <v xml:space="preserve">INVFI13785  </v>
      </c>
      <c r="E24600" t="s">
        <v>368</v>
      </c>
      <c r="F24600" t="s">
        <v>369</v>
      </c>
      <c r="G24600">
        <v>101.21</v>
      </c>
      <c r="H24600">
        <v>250306</v>
      </c>
      <c r="I24600">
        <v>4842</v>
      </c>
      <c r="J24600" t="s">
        <v>15</v>
      </c>
      <c r="K24600">
        <v>2933.88</v>
      </c>
      <c r="L24600">
        <v>0</v>
      </c>
      <c r="M24600">
        <v>67522</v>
      </c>
      <c r="N24600" t="s">
        <v>121</v>
      </c>
      <c r="O24600">
        <v>250320</v>
      </c>
      <c r="P24600">
        <v>101.21</v>
      </c>
    </row>
    <row r="24601" spans="1:16" x14ac:dyDescent="0.25">
      <c r="A24601" t="s">
        <v>3296</v>
      </c>
      <c r="B24601" t="s">
        <v>2931</v>
      </c>
      <c r="C24601">
        <v>3406</v>
      </c>
      <c r="D24601" t="str">
        <f t="shared" si="540"/>
        <v xml:space="preserve">INVFI13785  </v>
      </c>
      <c r="E24601" t="s">
        <v>368</v>
      </c>
      <c r="F24601" t="s">
        <v>369</v>
      </c>
      <c r="G24601">
        <v>101.21</v>
      </c>
      <c r="H24601">
        <v>250306</v>
      </c>
      <c r="I24601">
        <v>4842</v>
      </c>
      <c r="J24601" t="s">
        <v>15</v>
      </c>
      <c r="K24601">
        <v>2933.88</v>
      </c>
      <c r="L24601">
        <v>0</v>
      </c>
      <c r="M24601">
        <v>69113</v>
      </c>
      <c r="N24601" t="s">
        <v>122</v>
      </c>
      <c r="O24601">
        <v>250320</v>
      </c>
      <c r="P24601">
        <v>101.21</v>
      </c>
    </row>
    <row r="24602" spans="1:16" x14ac:dyDescent="0.25">
      <c r="A24602" t="s">
        <v>3296</v>
      </c>
      <c r="B24602" t="s">
        <v>2931</v>
      </c>
      <c r="C24602">
        <v>5215</v>
      </c>
      <c r="D24602" t="str">
        <f t="shared" ref="D24602:D24629" si="541">"INVFI15868  "</f>
        <v xml:space="preserve">INVFI15868  </v>
      </c>
      <c r="E24602" t="s">
        <v>368</v>
      </c>
      <c r="F24602" t="s">
        <v>369</v>
      </c>
      <c r="G24602">
        <v>101.21</v>
      </c>
      <c r="H24602">
        <v>250404</v>
      </c>
      <c r="I24602">
        <v>4842</v>
      </c>
      <c r="J24602" t="s">
        <v>15</v>
      </c>
      <c r="K24602">
        <v>2832.67</v>
      </c>
      <c r="L24602">
        <v>0</v>
      </c>
      <c r="M24602">
        <v>11301</v>
      </c>
      <c r="N24602" t="s">
        <v>92</v>
      </c>
      <c r="O24602">
        <v>250422</v>
      </c>
      <c r="P24602">
        <v>101.21</v>
      </c>
    </row>
    <row r="24603" spans="1:16" x14ac:dyDescent="0.25">
      <c r="A24603" t="s">
        <v>3296</v>
      </c>
      <c r="B24603" t="s">
        <v>2931</v>
      </c>
      <c r="C24603">
        <v>5215</v>
      </c>
      <c r="D24603" t="str">
        <f t="shared" si="541"/>
        <v xml:space="preserve">INVFI15868  </v>
      </c>
      <c r="E24603" t="s">
        <v>368</v>
      </c>
      <c r="F24603" t="s">
        <v>369</v>
      </c>
      <c r="G24603">
        <v>101.21</v>
      </c>
      <c r="H24603">
        <v>250404</v>
      </c>
      <c r="I24603">
        <v>4842</v>
      </c>
      <c r="J24603" t="s">
        <v>15</v>
      </c>
      <c r="K24603">
        <v>2832.67</v>
      </c>
      <c r="L24603">
        <v>0</v>
      </c>
      <c r="M24603">
        <v>11301</v>
      </c>
      <c r="N24603" t="s">
        <v>92</v>
      </c>
      <c r="O24603">
        <v>250422</v>
      </c>
      <c r="P24603">
        <v>101.21</v>
      </c>
    </row>
    <row r="24604" spans="1:16" x14ac:dyDescent="0.25">
      <c r="A24604" t="s">
        <v>3296</v>
      </c>
      <c r="B24604" t="s">
        <v>2931</v>
      </c>
      <c r="C24604">
        <v>5215</v>
      </c>
      <c r="D24604" t="str">
        <f t="shared" si="541"/>
        <v xml:space="preserve">INVFI15868  </v>
      </c>
      <c r="E24604" t="s">
        <v>368</v>
      </c>
      <c r="F24604" t="s">
        <v>369</v>
      </c>
      <c r="G24604">
        <v>101.21</v>
      </c>
      <c r="H24604">
        <v>250404</v>
      </c>
      <c r="I24604">
        <v>4842</v>
      </c>
      <c r="J24604" t="s">
        <v>15</v>
      </c>
      <c r="K24604">
        <v>2832.67</v>
      </c>
      <c r="L24604">
        <v>0</v>
      </c>
      <c r="M24604">
        <v>14121</v>
      </c>
      <c r="N24604" t="s">
        <v>71</v>
      </c>
      <c r="O24604">
        <v>250422</v>
      </c>
      <c r="P24604">
        <v>101.21</v>
      </c>
    </row>
    <row r="24605" spans="1:16" x14ac:dyDescent="0.25">
      <c r="A24605" t="s">
        <v>3296</v>
      </c>
      <c r="B24605" t="s">
        <v>2931</v>
      </c>
      <c r="C24605">
        <v>5215</v>
      </c>
      <c r="D24605" t="str">
        <f t="shared" si="541"/>
        <v xml:space="preserve">INVFI15868  </v>
      </c>
      <c r="E24605" t="s">
        <v>368</v>
      </c>
      <c r="F24605" t="s">
        <v>369</v>
      </c>
      <c r="G24605">
        <v>101.21</v>
      </c>
      <c r="H24605">
        <v>250404</v>
      </c>
      <c r="I24605">
        <v>4842</v>
      </c>
      <c r="J24605" t="s">
        <v>15</v>
      </c>
      <c r="K24605">
        <v>2832.67</v>
      </c>
      <c r="L24605">
        <v>0</v>
      </c>
      <c r="M24605">
        <v>14622</v>
      </c>
      <c r="N24605" t="s">
        <v>77</v>
      </c>
      <c r="O24605">
        <v>250422</v>
      </c>
      <c r="P24605">
        <v>101.21</v>
      </c>
    </row>
    <row r="24606" spans="1:16" x14ac:dyDescent="0.25">
      <c r="A24606" t="s">
        <v>3296</v>
      </c>
      <c r="B24606" t="s">
        <v>2931</v>
      </c>
      <c r="C24606">
        <v>5215</v>
      </c>
      <c r="D24606" t="str">
        <f t="shared" si="541"/>
        <v xml:space="preserve">INVFI15868  </v>
      </c>
      <c r="E24606" t="s">
        <v>368</v>
      </c>
      <c r="F24606" t="s">
        <v>369</v>
      </c>
      <c r="G24606">
        <v>101.21</v>
      </c>
      <c r="H24606">
        <v>250404</v>
      </c>
      <c r="I24606">
        <v>4842</v>
      </c>
      <c r="J24606" t="s">
        <v>15</v>
      </c>
      <c r="K24606">
        <v>2832.67</v>
      </c>
      <c r="L24606">
        <v>0</v>
      </c>
      <c r="M24606">
        <v>14622</v>
      </c>
      <c r="N24606" t="s">
        <v>77</v>
      </c>
      <c r="O24606">
        <v>250422</v>
      </c>
      <c r="P24606">
        <v>101.21</v>
      </c>
    </row>
    <row r="24607" spans="1:16" x14ac:dyDescent="0.25">
      <c r="A24607" t="s">
        <v>3296</v>
      </c>
      <c r="B24607" t="s">
        <v>2931</v>
      </c>
      <c r="C24607">
        <v>5215</v>
      </c>
      <c r="D24607" t="str">
        <f t="shared" si="541"/>
        <v xml:space="preserve">INVFI15868  </v>
      </c>
      <c r="E24607" t="s">
        <v>368</v>
      </c>
      <c r="F24607" t="s">
        <v>369</v>
      </c>
      <c r="G24607">
        <v>101.21</v>
      </c>
      <c r="H24607">
        <v>250404</v>
      </c>
      <c r="I24607">
        <v>4842</v>
      </c>
      <c r="J24607" t="s">
        <v>15</v>
      </c>
      <c r="K24607">
        <v>2832.67</v>
      </c>
      <c r="L24607">
        <v>0</v>
      </c>
      <c r="M24607">
        <v>14640</v>
      </c>
      <c r="N24607" t="s">
        <v>78</v>
      </c>
      <c r="O24607">
        <v>250422</v>
      </c>
      <c r="P24607">
        <v>101.21</v>
      </c>
    </row>
    <row r="24608" spans="1:16" x14ac:dyDescent="0.25">
      <c r="A24608" t="s">
        <v>3296</v>
      </c>
      <c r="B24608" t="s">
        <v>2931</v>
      </c>
      <c r="C24608">
        <v>5215</v>
      </c>
      <c r="D24608" t="str">
        <f t="shared" si="541"/>
        <v xml:space="preserve">INVFI15868  </v>
      </c>
      <c r="E24608" t="s">
        <v>368</v>
      </c>
      <c r="F24608" t="s">
        <v>369</v>
      </c>
      <c r="G24608">
        <v>101.21</v>
      </c>
      <c r="H24608">
        <v>250404</v>
      </c>
      <c r="I24608">
        <v>4842</v>
      </c>
      <c r="J24608" t="s">
        <v>15</v>
      </c>
      <c r="K24608">
        <v>2832.67</v>
      </c>
      <c r="L24608">
        <v>0</v>
      </c>
      <c r="M24608">
        <v>14971</v>
      </c>
      <c r="N24608" t="s">
        <v>81</v>
      </c>
      <c r="O24608">
        <v>250422</v>
      </c>
      <c r="P24608">
        <v>101.21</v>
      </c>
    </row>
    <row r="24609" spans="1:16" x14ac:dyDescent="0.25">
      <c r="A24609" t="s">
        <v>3296</v>
      </c>
      <c r="B24609" t="s">
        <v>2931</v>
      </c>
      <c r="C24609">
        <v>5215</v>
      </c>
      <c r="D24609" t="str">
        <f t="shared" si="541"/>
        <v xml:space="preserve">INVFI15868  </v>
      </c>
      <c r="E24609" t="s">
        <v>368</v>
      </c>
      <c r="F24609" t="s">
        <v>369</v>
      </c>
      <c r="G24609">
        <v>101.21</v>
      </c>
      <c r="H24609">
        <v>250404</v>
      </c>
      <c r="I24609">
        <v>4842</v>
      </c>
      <c r="J24609" t="s">
        <v>15</v>
      </c>
      <c r="K24609">
        <v>2832.67</v>
      </c>
      <c r="L24609">
        <v>0</v>
      </c>
      <c r="M24609">
        <v>16431</v>
      </c>
      <c r="N24609" t="s">
        <v>17</v>
      </c>
      <c r="O24609">
        <v>250422</v>
      </c>
      <c r="P24609">
        <v>101.21</v>
      </c>
    </row>
    <row r="24610" spans="1:16" x14ac:dyDescent="0.25">
      <c r="A24610" t="s">
        <v>3296</v>
      </c>
      <c r="B24610" t="s">
        <v>2931</v>
      </c>
      <c r="C24610">
        <v>5215</v>
      </c>
      <c r="D24610" t="str">
        <f t="shared" si="541"/>
        <v xml:space="preserve">INVFI15868  </v>
      </c>
      <c r="E24610" t="s">
        <v>368</v>
      </c>
      <c r="F24610" t="s">
        <v>369</v>
      </c>
      <c r="G24610">
        <v>101.21</v>
      </c>
      <c r="H24610">
        <v>250404</v>
      </c>
      <c r="I24610">
        <v>4842</v>
      </c>
      <c r="J24610" t="s">
        <v>15</v>
      </c>
      <c r="K24610">
        <v>2832.67</v>
      </c>
      <c r="L24610">
        <v>0</v>
      </c>
      <c r="M24610">
        <v>16431</v>
      </c>
      <c r="N24610" t="s">
        <v>17</v>
      </c>
      <c r="O24610">
        <v>250422</v>
      </c>
      <c r="P24610">
        <v>101.21</v>
      </c>
    </row>
    <row r="24611" spans="1:16" x14ac:dyDescent="0.25">
      <c r="A24611" t="s">
        <v>3296</v>
      </c>
      <c r="B24611" t="s">
        <v>2931</v>
      </c>
      <c r="C24611">
        <v>5215</v>
      </c>
      <c r="D24611" t="str">
        <f t="shared" si="541"/>
        <v xml:space="preserve">INVFI15868  </v>
      </c>
      <c r="E24611" t="s">
        <v>368</v>
      </c>
      <c r="F24611" t="s">
        <v>369</v>
      </c>
      <c r="G24611">
        <v>101.21</v>
      </c>
      <c r="H24611">
        <v>250404</v>
      </c>
      <c r="I24611">
        <v>4842</v>
      </c>
      <c r="J24611" t="s">
        <v>15</v>
      </c>
      <c r="K24611">
        <v>2832.67</v>
      </c>
      <c r="L24611">
        <v>0</v>
      </c>
      <c r="M24611">
        <v>16820</v>
      </c>
      <c r="N24611" t="s">
        <v>128</v>
      </c>
      <c r="O24611">
        <v>250422</v>
      </c>
      <c r="P24611">
        <v>101.21</v>
      </c>
    </row>
    <row r="24612" spans="1:16" x14ac:dyDescent="0.25">
      <c r="A24612" t="s">
        <v>3296</v>
      </c>
      <c r="B24612" t="s">
        <v>2931</v>
      </c>
      <c r="C24612">
        <v>5215</v>
      </c>
      <c r="D24612" t="str">
        <f t="shared" si="541"/>
        <v xml:space="preserve">INVFI15868  </v>
      </c>
      <c r="E24612" t="s">
        <v>368</v>
      </c>
      <c r="F24612" t="s">
        <v>369</v>
      </c>
      <c r="G24612">
        <v>101.21</v>
      </c>
      <c r="H24612">
        <v>250404</v>
      </c>
      <c r="I24612">
        <v>4842</v>
      </c>
      <c r="J24612" t="s">
        <v>15</v>
      </c>
      <c r="K24612">
        <v>2832.67</v>
      </c>
      <c r="L24612">
        <v>0</v>
      </c>
      <c r="M24612">
        <v>16930</v>
      </c>
      <c r="N24612" t="s">
        <v>135</v>
      </c>
      <c r="O24612">
        <v>250422</v>
      </c>
      <c r="P24612">
        <v>101.21</v>
      </c>
    </row>
    <row r="24613" spans="1:16" x14ac:dyDescent="0.25">
      <c r="A24613" t="s">
        <v>3296</v>
      </c>
      <c r="B24613" t="s">
        <v>2931</v>
      </c>
      <c r="C24613">
        <v>5215</v>
      </c>
      <c r="D24613" t="str">
        <f t="shared" si="541"/>
        <v xml:space="preserve">INVFI15868  </v>
      </c>
      <c r="E24613" t="s">
        <v>368</v>
      </c>
      <c r="F24613" t="s">
        <v>369</v>
      </c>
      <c r="G24613">
        <v>101.21</v>
      </c>
      <c r="H24613">
        <v>250404</v>
      </c>
      <c r="I24613">
        <v>4842</v>
      </c>
      <c r="J24613" t="s">
        <v>15</v>
      </c>
      <c r="K24613">
        <v>2832.67</v>
      </c>
      <c r="L24613">
        <v>0</v>
      </c>
      <c r="M24613">
        <v>17524</v>
      </c>
      <c r="N24613" t="s">
        <v>139</v>
      </c>
      <c r="O24613">
        <v>250422</v>
      </c>
      <c r="P24613">
        <v>101.21</v>
      </c>
    </row>
    <row r="24614" spans="1:16" x14ac:dyDescent="0.25">
      <c r="A24614" t="s">
        <v>3296</v>
      </c>
      <c r="B24614" t="s">
        <v>2931</v>
      </c>
      <c r="C24614">
        <v>5215</v>
      </c>
      <c r="D24614" t="str">
        <f t="shared" si="541"/>
        <v xml:space="preserve">INVFI15868  </v>
      </c>
      <c r="E24614" t="s">
        <v>368</v>
      </c>
      <c r="F24614" t="s">
        <v>369</v>
      </c>
      <c r="G24614">
        <v>101.21</v>
      </c>
      <c r="H24614">
        <v>250404</v>
      </c>
      <c r="I24614">
        <v>4842</v>
      </c>
      <c r="J24614" t="s">
        <v>15</v>
      </c>
      <c r="K24614">
        <v>2832.67</v>
      </c>
      <c r="L24614">
        <v>0</v>
      </c>
      <c r="M24614">
        <v>17526</v>
      </c>
      <c r="N24614" t="s">
        <v>141</v>
      </c>
      <c r="O24614">
        <v>250422</v>
      </c>
      <c r="P24614">
        <v>101.21</v>
      </c>
    </row>
    <row r="24615" spans="1:16" x14ac:dyDescent="0.25">
      <c r="A24615" t="s">
        <v>3296</v>
      </c>
      <c r="B24615" t="s">
        <v>2931</v>
      </c>
      <c r="C24615">
        <v>5215</v>
      </c>
      <c r="D24615" t="str">
        <f t="shared" si="541"/>
        <v xml:space="preserve">INVFI15868  </v>
      </c>
      <c r="E24615" t="s">
        <v>368</v>
      </c>
      <c r="F24615" t="s">
        <v>369</v>
      </c>
      <c r="G24615">
        <v>101.21</v>
      </c>
      <c r="H24615">
        <v>250404</v>
      </c>
      <c r="I24615">
        <v>4842</v>
      </c>
      <c r="J24615" t="s">
        <v>15</v>
      </c>
      <c r="K24615">
        <v>2832.67</v>
      </c>
      <c r="L24615">
        <v>0</v>
      </c>
      <c r="M24615">
        <v>17529</v>
      </c>
      <c r="N24615" t="s">
        <v>143</v>
      </c>
      <c r="O24615">
        <v>250422</v>
      </c>
      <c r="P24615">
        <v>101.21</v>
      </c>
    </row>
    <row r="24616" spans="1:16" x14ac:dyDescent="0.25">
      <c r="A24616" t="s">
        <v>3296</v>
      </c>
      <c r="B24616" t="s">
        <v>2931</v>
      </c>
      <c r="C24616">
        <v>5215</v>
      </c>
      <c r="D24616" t="str">
        <f t="shared" si="541"/>
        <v xml:space="preserve">INVFI15868  </v>
      </c>
      <c r="E24616" t="s">
        <v>368</v>
      </c>
      <c r="F24616" t="s">
        <v>369</v>
      </c>
      <c r="G24616">
        <v>101.21</v>
      </c>
      <c r="H24616">
        <v>250404</v>
      </c>
      <c r="I24616">
        <v>4842</v>
      </c>
      <c r="J24616" t="s">
        <v>15</v>
      </c>
      <c r="K24616">
        <v>2832.67</v>
      </c>
      <c r="L24616">
        <v>0</v>
      </c>
      <c r="M24616">
        <v>17802</v>
      </c>
      <c r="N24616" t="s">
        <v>18</v>
      </c>
      <c r="O24616">
        <v>250422</v>
      </c>
      <c r="P24616">
        <v>101.21</v>
      </c>
    </row>
    <row r="24617" spans="1:16" x14ac:dyDescent="0.25">
      <c r="A24617" t="s">
        <v>3296</v>
      </c>
      <c r="B24617" t="s">
        <v>2931</v>
      </c>
      <c r="C24617">
        <v>5215</v>
      </c>
      <c r="D24617" t="str">
        <f t="shared" si="541"/>
        <v xml:space="preserve">INVFI15868  </v>
      </c>
      <c r="E24617" t="s">
        <v>368</v>
      </c>
      <c r="F24617" t="s">
        <v>369</v>
      </c>
      <c r="G24617">
        <v>101.21</v>
      </c>
      <c r="H24617">
        <v>250404</v>
      </c>
      <c r="I24617">
        <v>4842</v>
      </c>
      <c r="J24617" t="s">
        <v>15</v>
      </c>
      <c r="K24617">
        <v>2832.67</v>
      </c>
      <c r="L24617">
        <v>0</v>
      </c>
      <c r="M24617">
        <v>17972</v>
      </c>
      <c r="N24617" t="s">
        <v>28</v>
      </c>
      <c r="O24617">
        <v>250422</v>
      </c>
      <c r="P24617">
        <v>101.21</v>
      </c>
    </row>
    <row r="24618" spans="1:16" x14ac:dyDescent="0.25">
      <c r="A24618" t="s">
        <v>3296</v>
      </c>
      <c r="B24618" t="s">
        <v>2931</v>
      </c>
      <c r="C24618">
        <v>5215</v>
      </c>
      <c r="D24618" t="str">
        <f t="shared" si="541"/>
        <v xml:space="preserve">INVFI15868  </v>
      </c>
      <c r="E24618" t="s">
        <v>368</v>
      </c>
      <c r="F24618" t="s">
        <v>369</v>
      </c>
      <c r="G24618">
        <v>101.21</v>
      </c>
      <c r="H24618">
        <v>250404</v>
      </c>
      <c r="I24618">
        <v>4842</v>
      </c>
      <c r="J24618" t="s">
        <v>15</v>
      </c>
      <c r="K24618">
        <v>2832.67</v>
      </c>
      <c r="L24618">
        <v>0</v>
      </c>
      <c r="M24618">
        <v>17972</v>
      </c>
      <c r="N24618" t="s">
        <v>28</v>
      </c>
      <c r="O24618">
        <v>250422</v>
      </c>
      <c r="P24618">
        <v>101.21</v>
      </c>
    </row>
    <row r="24619" spans="1:16" x14ac:dyDescent="0.25">
      <c r="A24619" t="s">
        <v>3296</v>
      </c>
      <c r="B24619" t="s">
        <v>2931</v>
      </c>
      <c r="C24619">
        <v>5215</v>
      </c>
      <c r="D24619" t="str">
        <f t="shared" si="541"/>
        <v xml:space="preserve">INVFI15868  </v>
      </c>
      <c r="E24619" t="s">
        <v>368</v>
      </c>
      <c r="F24619" t="s">
        <v>369</v>
      </c>
      <c r="G24619">
        <v>101.21</v>
      </c>
      <c r="H24619">
        <v>250404</v>
      </c>
      <c r="I24619">
        <v>4842</v>
      </c>
      <c r="J24619" t="s">
        <v>15</v>
      </c>
      <c r="K24619">
        <v>2832.67</v>
      </c>
      <c r="L24619">
        <v>0</v>
      </c>
      <c r="M24619">
        <v>17972</v>
      </c>
      <c r="N24619" t="s">
        <v>28</v>
      </c>
      <c r="O24619">
        <v>250422</v>
      </c>
      <c r="P24619">
        <v>101.21</v>
      </c>
    </row>
    <row r="24620" spans="1:16" x14ac:dyDescent="0.25">
      <c r="A24620" t="s">
        <v>3296</v>
      </c>
      <c r="B24620" t="s">
        <v>2931</v>
      </c>
      <c r="C24620">
        <v>5215</v>
      </c>
      <c r="D24620" t="str">
        <f t="shared" si="541"/>
        <v xml:space="preserve">INVFI15868  </v>
      </c>
      <c r="E24620" t="s">
        <v>368</v>
      </c>
      <c r="F24620" t="s">
        <v>369</v>
      </c>
      <c r="G24620">
        <v>101.21</v>
      </c>
      <c r="H24620">
        <v>250404</v>
      </c>
      <c r="I24620">
        <v>4842</v>
      </c>
      <c r="J24620" t="s">
        <v>15</v>
      </c>
      <c r="K24620">
        <v>2832.67</v>
      </c>
      <c r="L24620">
        <v>0</v>
      </c>
      <c r="M24620">
        <v>17974</v>
      </c>
      <c r="N24620" t="s">
        <v>153</v>
      </c>
      <c r="O24620">
        <v>250422</v>
      </c>
      <c r="P24620">
        <v>101.21</v>
      </c>
    </row>
    <row r="24621" spans="1:16" x14ac:dyDescent="0.25">
      <c r="A24621" t="s">
        <v>3296</v>
      </c>
      <c r="B24621" t="s">
        <v>2931</v>
      </c>
      <c r="C24621">
        <v>5215</v>
      </c>
      <c r="D24621" t="str">
        <f t="shared" si="541"/>
        <v xml:space="preserve">INVFI15868  </v>
      </c>
      <c r="E24621" t="s">
        <v>368</v>
      </c>
      <c r="F24621" t="s">
        <v>369</v>
      </c>
      <c r="G24621">
        <v>101.21</v>
      </c>
      <c r="H24621">
        <v>250404</v>
      </c>
      <c r="I24621">
        <v>4842</v>
      </c>
      <c r="J24621" t="s">
        <v>15</v>
      </c>
      <c r="K24621">
        <v>2832.67</v>
      </c>
      <c r="L24621">
        <v>0</v>
      </c>
      <c r="M24621">
        <v>18120</v>
      </c>
      <c r="N24621" t="s">
        <v>37</v>
      </c>
      <c r="O24621">
        <v>250422</v>
      </c>
      <c r="P24621">
        <v>101.21</v>
      </c>
    </row>
    <row r="24622" spans="1:16" x14ac:dyDescent="0.25">
      <c r="A24622" t="s">
        <v>3296</v>
      </c>
      <c r="B24622" t="s">
        <v>2931</v>
      </c>
      <c r="C24622">
        <v>5215</v>
      </c>
      <c r="D24622" t="str">
        <f t="shared" si="541"/>
        <v xml:space="preserve">INVFI15868  </v>
      </c>
      <c r="E24622" t="s">
        <v>368</v>
      </c>
      <c r="F24622" t="s">
        <v>369</v>
      </c>
      <c r="G24622">
        <v>100</v>
      </c>
      <c r="H24622">
        <v>250404</v>
      </c>
      <c r="I24622">
        <v>4842</v>
      </c>
      <c r="J24622" t="s">
        <v>15</v>
      </c>
      <c r="K24622">
        <v>2832.67</v>
      </c>
      <c r="L24622">
        <v>0</v>
      </c>
      <c r="M24622">
        <v>18972</v>
      </c>
      <c r="N24622" t="s">
        <v>39</v>
      </c>
      <c r="O24622">
        <v>250422</v>
      </c>
      <c r="P24622">
        <v>100</v>
      </c>
    </row>
    <row r="24623" spans="1:16" x14ac:dyDescent="0.25">
      <c r="A24623" t="s">
        <v>3296</v>
      </c>
      <c r="B24623" t="s">
        <v>2931</v>
      </c>
      <c r="C24623">
        <v>5215</v>
      </c>
      <c r="D24623" t="str">
        <f t="shared" si="541"/>
        <v xml:space="preserve">INVFI15868  </v>
      </c>
      <c r="E24623" t="s">
        <v>368</v>
      </c>
      <c r="F24623" t="s">
        <v>369</v>
      </c>
      <c r="G24623">
        <v>101.21</v>
      </c>
      <c r="H24623">
        <v>250404</v>
      </c>
      <c r="I24623">
        <v>4842</v>
      </c>
      <c r="J24623" t="s">
        <v>15</v>
      </c>
      <c r="K24623">
        <v>2832.67</v>
      </c>
      <c r="L24623">
        <v>0</v>
      </c>
      <c r="M24623">
        <v>44222</v>
      </c>
      <c r="N24623" t="s">
        <v>96</v>
      </c>
      <c r="O24623">
        <v>250422</v>
      </c>
      <c r="P24623">
        <v>101.21</v>
      </c>
    </row>
    <row r="24624" spans="1:16" x14ac:dyDescent="0.25">
      <c r="A24624" t="s">
        <v>3296</v>
      </c>
      <c r="B24624" t="s">
        <v>2931</v>
      </c>
      <c r="C24624">
        <v>5215</v>
      </c>
      <c r="D24624" t="str">
        <f t="shared" si="541"/>
        <v xml:space="preserve">INVFI15868  </v>
      </c>
      <c r="E24624" t="s">
        <v>368</v>
      </c>
      <c r="F24624" t="s">
        <v>369</v>
      </c>
      <c r="G24624">
        <v>101.21</v>
      </c>
      <c r="H24624">
        <v>250404</v>
      </c>
      <c r="I24624">
        <v>4842</v>
      </c>
      <c r="J24624" t="s">
        <v>15</v>
      </c>
      <c r="K24624">
        <v>2832.67</v>
      </c>
      <c r="L24624">
        <v>0</v>
      </c>
      <c r="M24624">
        <v>44222</v>
      </c>
      <c r="N24624" t="s">
        <v>96</v>
      </c>
      <c r="O24624">
        <v>250422</v>
      </c>
      <c r="P24624">
        <v>101.21</v>
      </c>
    </row>
    <row r="24625" spans="1:16" x14ac:dyDescent="0.25">
      <c r="A24625" t="s">
        <v>3296</v>
      </c>
      <c r="B24625" t="s">
        <v>2931</v>
      </c>
      <c r="C24625">
        <v>5215</v>
      </c>
      <c r="D24625" t="str">
        <f t="shared" si="541"/>
        <v xml:space="preserve">INVFI15868  </v>
      </c>
      <c r="E24625" t="s">
        <v>368</v>
      </c>
      <c r="F24625" t="s">
        <v>369</v>
      </c>
      <c r="G24625">
        <v>101.21</v>
      </c>
      <c r="H24625">
        <v>250404</v>
      </c>
      <c r="I24625">
        <v>4842</v>
      </c>
      <c r="J24625" t="s">
        <v>15</v>
      </c>
      <c r="K24625">
        <v>2832.67</v>
      </c>
      <c r="L24625">
        <v>0</v>
      </c>
      <c r="M24625">
        <v>49702</v>
      </c>
      <c r="N24625" t="s">
        <v>112</v>
      </c>
      <c r="O24625">
        <v>250422</v>
      </c>
      <c r="P24625">
        <v>101.21</v>
      </c>
    </row>
    <row r="24626" spans="1:16" x14ac:dyDescent="0.25">
      <c r="A24626" t="s">
        <v>3296</v>
      </c>
      <c r="B24626" t="s">
        <v>2931</v>
      </c>
      <c r="C24626">
        <v>5215</v>
      </c>
      <c r="D24626" t="str">
        <f t="shared" si="541"/>
        <v xml:space="preserve">INVFI15868  </v>
      </c>
      <c r="E24626" t="s">
        <v>368</v>
      </c>
      <c r="F24626" t="s">
        <v>369</v>
      </c>
      <c r="G24626">
        <v>101.21</v>
      </c>
      <c r="H24626">
        <v>250404</v>
      </c>
      <c r="I24626">
        <v>4842</v>
      </c>
      <c r="J24626" t="s">
        <v>15</v>
      </c>
      <c r="K24626">
        <v>2832.67</v>
      </c>
      <c r="L24626">
        <v>0</v>
      </c>
      <c r="M24626">
        <v>54422</v>
      </c>
      <c r="N24626" t="s">
        <v>49</v>
      </c>
      <c r="O24626">
        <v>250422</v>
      </c>
      <c r="P24626">
        <v>101.21</v>
      </c>
    </row>
    <row r="24627" spans="1:16" x14ac:dyDescent="0.25">
      <c r="A24627" t="s">
        <v>3296</v>
      </c>
      <c r="B24627" t="s">
        <v>2931</v>
      </c>
      <c r="C24627">
        <v>5215</v>
      </c>
      <c r="D24627" t="str">
        <f t="shared" si="541"/>
        <v xml:space="preserve">INVFI15868  </v>
      </c>
      <c r="E24627" t="s">
        <v>368</v>
      </c>
      <c r="F24627" t="s">
        <v>369</v>
      </c>
      <c r="G24627">
        <v>101.21</v>
      </c>
      <c r="H24627">
        <v>250404</v>
      </c>
      <c r="I24627">
        <v>4842</v>
      </c>
      <c r="J24627" t="s">
        <v>15</v>
      </c>
      <c r="K24627">
        <v>2832.67</v>
      </c>
      <c r="L24627">
        <v>0</v>
      </c>
      <c r="M24627">
        <v>59702</v>
      </c>
      <c r="N24627" t="s">
        <v>45</v>
      </c>
      <c r="O24627">
        <v>250422</v>
      </c>
      <c r="P24627">
        <v>101.21</v>
      </c>
    </row>
    <row r="24628" spans="1:16" x14ac:dyDescent="0.25">
      <c r="A24628" t="s">
        <v>3296</v>
      </c>
      <c r="B24628" t="s">
        <v>2931</v>
      </c>
      <c r="C24628">
        <v>5215</v>
      </c>
      <c r="D24628" t="str">
        <f t="shared" si="541"/>
        <v xml:space="preserve">INVFI15868  </v>
      </c>
      <c r="E24628" t="s">
        <v>368</v>
      </c>
      <c r="F24628" t="s">
        <v>369</v>
      </c>
      <c r="G24628">
        <v>101.21</v>
      </c>
      <c r="H24628">
        <v>250404</v>
      </c>
      <c r="I24628">
        <v>4842</v>
      </c>
      <c r="J24628" t="s">
        <v>15</v>
      </c>
      <c r="K24628">
        <v>2832.67</v>
      </c>
      <c r="L24628">
        <v>0</v>
      </c>
      <c r="M24628">
        <v>67522</v>
      </c>
      <c r="N24628" t="s">
        <v>121</v>
      </c>
      <c r="O24628">
        <v>250422</v>
      </c>
      <c r="P24628">
        <v>101.21</v>
      </c>
    </row>
    <row r="24629" spans="1:16" x14ac:dyDescent="0.25">
      <c r="A24629" t="s">
        <v>3296</v>
      </c>
      <c r="B24629" t="s">
        <v>2931</v>
      </c>
      <c r="C24629">
        <v>5215</v>
      </c>
      <c r="D24629" t="str">
        <f t="shared" si="541"/>
        <v xml:space="preserve">INVFI15868  </v>
      </c>
      <c r="E24629" t="s">
        <v>368</v>
      </c>
      <c r="F24629" t="s">
        <v>369</v>
      </c>
      <c r="G24629">
        <v>101.21</v>
      </c>
      <c r="H24629">
        <v>250404</v>
      </c>
      <c r="I24629">
        <v>4842</v>
      </c>
      <c r="J24629" t="s">
        <v>15</v>
      </c>
      <c r="K24629">
        <v>2832.67</v>
      </c>
      <c r="L24629">
        <v>0</v>
      </c>
      <c r="M24629">
        <v>69113</v>
      </c>
      <c r="N24629" t="s">
        <v>122</v>
      </c>
      <c r="O24629">
        <v>250422</v>
      </c>
      <c r="P24629">
        <v>101.21</v>
      </c>
    </row>
    <row r="24630" spans="1:16" x14ac:dyDescent="0.25">
      <c r="A24630" t="s">
        <v>3296</v>
      </c>
      <c r="B24630" t="s">
        <v>2931</v>
      </c>
      <c r="C24630">
        <v>7025</v>
      </c>
      <c r="D24630" t="str">
        <f t="shared" ref="D24630:D24659" si="542">"INVFI18684  "</f>
        <v xml:space="preserve">INVFI18684  </v>
      </c>
      <c r="E24630" t="s">
        <v>368</v>
      </c>
      <c r="F24630" t="s">
        <v>369</v>
      </c>
      <c r="G24630">
        <v>101.21</v>
      </c>
      <c r="H24630">
        <v>250508</v>
      </c>
      <c r="I24630">
        <v>4842</v>
      </c>
      <c r="J24630" t="s">
        <v>15</v>
      </c>
      <c r="K24630">
        <v>3008.06</v>
      </c>
      <c r="L24630">
        <v>0</v>
      </c>
      <c r="M24630">
        <v>11301</v>
      </c>
      <c r="N24630" t="s">
        <v>92</v>
      </c>
      <c r="O24630">
        <v>250522</v>
      </c>
      <c r="P24630">
        <v>101.21</v>
      </c>
    </row>
    <row r="24631" spans="1:16" x14ac:dyDescent="0.25">
      <c r="A24631" t="s">
        <v>3296</v>
      </c>
      <c r="B24631" t="s">
        <v>2931</v>
      </c>
      <c r="C24631">
        <v>7025</v>
      </c>
      <c r="D24631" t="str">
        <f t="shared" si="542"/>
        <v xml:space="preserve">INVFI18684  </v>
      </c>
      <c r="E24631" t="s">
        <v>368</v>
      </c>
      <c r="F24631" t="s">
        <v>369</v>
      </c>
      <c r="G24631">
        <v>101.21</v>
      </c>
      <c r="H24631">
        <v>250508</v>
      </c>
      <c r="I24631">
        <v>4842</v>
      </c>
      <c r="J24631" t="s">
        <v>15</v>
      </c>
      <c r="K24631">
        <v>3008.06</v>
      </c>
      <c r="L24631">
        <v>0</v>
      </c>
      <c r="M24631">
        <v>11301</v>
      </c>
      <c r="N24631" t="s">
        <v>92</v>
      </c>
      <c r="O24631">
        <v>250522</v>
      </c>
      <c r="P24631">
        <v>101.21</v>
      </c>
    </row>
    <row r="24632" spans="1:16" x14ac:dyDescent="0.25">
      <c r="A24632" t="s">
        <v>3296</v>
      </c>
      <c r="B24632" t="s">
        <v>2931</v>
      </c>
      <c r="C24632">
        <v>7025</v>
      </c>
      <c r="D24632" t="str">
        <f t="shared" si="542"/>
        <v xml:space="preserve">INVFI18684  </v>
      </c>
      <c r="E24632" t="s">
        <v>368</v>
      </c>
      <c r="F24632" t="s">
        <v>369</v>
      </c>
      <c r="G24632">
        <v>153.33000000000001</v>
      </c>
      <c r="H24632">
        <v>250508</v>
      </c>
      <c r="I24632">
        <v>4842</v>
      </c>
      <c r="J24632" t="s">
        <v>15</v>
      </c>
      <c r="K24632">
        <v>3008.06</v>
      </c>
      <c r="L24632">
        <v>0</v>
      </c>
      <c r="M24632">
        <v>13601</v>
      </c>
      <c r="N24632" t="s">
        <v>115</v>
      </c>
      <c r="O24632">
        <v>250522</v>
      </c>
      <c r="P24632">
        <v>153.33000000000001</v>
      </c>
    </row>
    <row r="24633" spans="1:16" x14ac:dyDescent="0.25">
      <c r="A24633" t="s">
        <v>3296</v>
      </c>
      <c r="B24633" t="s">
        <v>2931</v>
      </c>
      <c r="C24633">
        <v>7025</v>
      </c>
      <c r="D24633" t="str">
        <f t="shared" si="542"/>
        <v xml:space="preserve">INVFI18684  </v>
      </c>
      <c r="E24633" t="s">
        <v>368</v>
      </c>
      <c r="F24633" t="s">
        <v>369</v>
      </c>
      <c r="G24633">
        <v>101.21</v>
      </c>
      <c r="H24633">
        <v>250508</v>
      </c>
      <c r="I24633">
        <v>4842</v>
      </c>
      <c r="J24633" t="s">
        <v>15</v>
      </c>
      <c r="K24633">
        <v>3008.06</v>
      </c>
      <c r="L24633">
        <v>0</v>
      </c>
      <c r="M24633">
        <v>14121</v>
      </c>
      <c r="N24633" t="s">
        <v>71</v>
      </c>
      <c r="O24633">
        <v>250522</v>
      </c>
      <c r="P24633">
        <v>101.21</v>
      </c>
    </row>
    <row r="24634" spans="1:16" x14ac:dyDescent="0.25">
      <c r="A24634" t="s">
        <v>3296</v>
      </c>
      <c r="B24634" t="s">
        <v>2931</v>
      </c>
      <c r="C24634">
        <v>7025</v>
      </c>
      <c r="D24634" t="str">
        <f t="shared" si="542"/>
        <v xml:space="preserve">INVFI18684  </v>
      </c>
      <c r="E24634" t="s">
        <v>368</v>
      </c>
      <c r="F24634" t="s">
        <v>369</v>
      </c>
      <c r="G24634">
        <v>120</v>
      </c>
      <c r="H24634">
        <v>250508</v>
      </c>
      <c r="I24634">
        <v>4842</v>
      </c>
      <c r="J24634" t="s">
        <v>15</v>
      </c>
      <c r="K24634">
        <v>3008.06</v>
      </c>
      <c r="L24634">
        <v>0</v>
      </c>
      <c r="M24634">
        <v>14541</v>
      </c>
      <c r="N24634" t="s">
        <v>76</v>
      </c>
      <c r="O24634">
        <v>250522</v>
      </c>
      <c r="P24634">
        <v>120</v>
      </c>
    </row>
    <row r="24635" spans="1:16" x14ac:dyDescent="0.25">
      <c r="A24635" t="s">
        <v>3296</v>
      </c>
      <c r="B24635" t="s">
        <v>2931</v>
      </c>
      <c r="C24635">
        <v>7025</v>
      </c>
      <c r="D24635" t="str">
        <f t="shared" si="542"/>
        <v xml:space="preserve">INVFI18684  </v>
      </c>
      <c r="E24635" t="s">
        <v>368</v>
      </c>
      <c r="F24635" t="s">
        <v>369</v>
      </c>
      <c r="G24635">
        <v>101.21</v>
      </c>
      <c r="H24635">
        <v>250508</v>
      </c>
      <c r="I24635">
        <v>4842</v>
      </c>
      <c r="J24635" t="s">
        <v>15</v>
      </c>
      <c r="K24635">
        <v>3008.06</v>
      </c>
      <c r="L24635">
        <v>0</v>
      </c>
      <c r="M24635">
        <v>14622</v>
      </c>
      <c r="N24635" t="s">
        <v>77</v>
      </c>
      <c r="O24635">
        <v>250522</v>
      </c>
      <c r="P24635">
        <v>101.21</v>
      </c>
    </row>
    <row r="24636" spans="1:16" x14ac:dyDescent="0.25">
      <c r="A24636" t="s">
        <v>3296</v>
      </c>
      <c r="B24636" t="s">
        <v>2931</v>
      </c>
      <c r="C24636">
        <v>7025</v>
      </c>
      <c r="D24636" t="str">
        <f t="shared" si="542"/>
        <v xml:space="preserve">INVFI18684  </v>
      </c>
      <c r="E24636" t="s">
        <v>368</v>
      </c>
      <c r="F24636" t="s">
        <v>369</v>
      </c>
      <c r="G24636">
        <v>101.21</v>
      </c>
      <c r="H24636">
        <v>250508</v>
      </c>
      <c r="I24636">
        <v>4842</v>
      </c>
      <c r="J24636" t="s">
        <v>15</v>
      </c>
      <c r="K24636">
        <v>3008.06</v>
      </c>
      <c r="L24636">
        <v>0</v>
      </c>
      <c r="M24636">
        <v>14622</v>
      </c>
      <c r="N24636" t="s">
        <v>77</v>
      </c>
      <c r="O24636">
        <v>250522</v>
      </c>
      <c r="P24636">
        <v>101.21</v>
      </c>
    </row>
    <row r="24637" spans="1:16" x14ac:dyDescent="0.25">
      <c r="A24637" t="s">
        <v>3296</v>
      </c>
      <c r="B24637" t="s">
        <v>2931</v>
      </c>
      <c r="C24637">
        <v>7025</v>
      </c>
      <c r="D24637" t="str">
        <f t="shared" si="542"/>
        <v xml:space="preserve">INVFI18684  </v>
      </c>
      <c r="E24637" t="s">
        <v>368</v>
      </c>
      <c r="F24637" t="s">
        <v>369</v>
      </c>
      <c r="G24637">
        <v>101.21</v>
      </c>
      <c r="H24637">
        <v>250508</v>
      </c>
      <c r="I24637">
        <v>4842</v>
      </c>
      <c r="J24637" t="s">
        <v>15</v>
      </c>
      <c r="K24637">
        <v>3008.06</v>
      </c>
      <c r="L24637">
        <v>0</v>
      </c>
      <c r="M24637">
        <v>14640</v>
      </c>
      <c r="N24637" t="s">
        <v>78</v>
      </c>
      <c r="O24637">
        <v>250522</v>
      </c>
      <c r="P24637">
        <v>101.21</v>
      </c>
    </row>
    <row r="24638" spans="1:16" x14ac:dyDescent="0.25">
      <c r="A24638" t="s">
        <v>3296</v>
      </c>
      <c r="B24638" t="s">
        <v>2931</v>
      </c>
      <c r="C24638">
        <v>7025</v>
      </c>
      <c r="D24638" t="str">
        <f t="shared" si="542"/>
        <v xml:space="preserve">INVFI18684  </v>
      </c>
      <c r="E24638" t="s">
        <v>368</v>
      </c>
      <c r="F24638" t="s">
        <v>369</v>
      </c>
      <c r="G24638">
        <v>101.21</v>
      </c>
      <c r="H24638">
        <v>250508</v>
      </c>
      <c r="I24638">
        <v>4842</v>
      </c>
      <c r="J24638" t="s">
        <v>15</v>
      </c>
      <c r="K24638">
        <v>3008.06</v>
      </c>
      <c r="L24638">
        <v>0</v>
      </c>
      <c r="M24638">
        <v>14971</v>
      </c>
      <c r="N24638" t="s">
        <v>81</v>
      </c>
      <c r="O24638">
        <v>250522</v>
      </c>
      <c r="P24638">
        <v>101.21</v>
      </c>
    </row>
    <row r="24639" spans="1:16" x14ac:dyDescent="0.25">
      <c r="A24639" t="s">
        <v>3296</v>
      </c>
      <c r="B24639" t="s">
        <v>2931</v>
      </c>
      <c r="C24639">
        <v>7025</v>
      </c>
      <c r="D24639" t="str">
        <f t="shared" si="542"/>
        <v xml:space="preserve">INVFI18684  </v>
      </c>
      <c r="E24639" t="s">
        <v>368</v>
      </c>
      <c r="F24639" t="s">
        <v>369</v>
      </c>
      <c r="G24639">
        <v>101.21</v>
      </c>
      <c r="H24639">
        <v>250508</v>
      </c>
      <c r="I24639">
        <v>4842</v>
      </c>
      <c r="J24639" t="s">
        <v>15</v>
      </c>
      <c r="K24639">
        <v>3008.06</v>
      </c>
      <c r="L24639">
        <v>0</v>
      </c>
      <c r="M24639">
        <v>16431</v>
      </c>
      <c r="N24639" t="s">
        <v>17</v>
      </c>
      <c r="O24639">
        <v>250522</v>
      </c>
      <c r="P24639">
        <v>101.21</v>
      </c>
    </row>
    <row r="24640" spans="1:16" x14ac:dyDescent="0.25">
      <c r="A24640" t="s">
        <v>3296</v>
      </c>
      <c r="B24640" t="s">
        <v>2931</v>
      </c>
      <c r="C24640">
        <v>7025</v>
      </c>
      <c r="D24640" t="str">
        <f t="shared" si="542"/>
        <v xml:space="preserve">INVFI18684  </v>
      </c>
      <c r="E24640" t="s">
        <v>368</v>
      </c>
      <c r="F24640" t="s">
        <v>369</v>
      </c>
      <c r="G24640">
        <v>101.21</v>
      </c>
      <c r="H24640">
        <v>250508</v>
      </c>
      <c r="I24640">
        <v>4842</v>
      </c>
      <c r="J24640" t="s">
        <v>15</v>
      </c>
      <c r="K24640">
        <v>3008.06</v>
      </c>
      <c r="L24640">
        <v>0</v>
      </c>
      <c r="M24640">
        <v>16431</v>
      </c>
      <c r="N24640" t="s">
        <v>17</v>
      </c>
      <c r="O24640">
        <v>250522</v>
      </c>
      <c r="P24640">
        <v>101.21</v>
      </c>
    </row>
    <row r="24641" spans="1:16" x14ac:dyDescent="0.25">
      <c r="A24641" t="s">
        <v>3296</v>
      </c>
      <c r="B24641" t="s">
        <v>2931</v>
      </c>
      <c r="C24641">
        <v>7025</v>
      </c>
      <c r="D24641" t="str">
        <f t="shared" si="542"/>
        <v xml:space="preserve">INVFI18684  </v>
      </c>
      <c r="E24641" t="s">
        <v>368</v>
      </c>
      <c r="F24641" t="s">
        <v>369</v>
      </c>
      <c r="G24641">
        <v>101.21</v>
      </c>
      <c r="H24641">
        <v>250508</v>
      </c>
      <c r="I24641">
        <v>4842</v>
      </c>
      <c r="J24641" t="s">
        <v>15</v>
      </c>
      <c r="K24641">
        <v>3008.06</v>
      </c>
      <c r="L24641">
        <v>0</v>
      </c>
      <c r="M24641">
        <v>16820</v>
      </c>
      <c r="N24641" t="s">
        <v>128</v>
      </c>
      <c r="O24641">
        <v>250522</v>
      </c>
      <c r="P24641">
        <v>101.21</v>
      </c>
    </row>
    <row r="24642" spans="1:16" x14ac:dyDescent="0.25">
      <c r="A24642" t="s">
        <v>3296</v>
      </c>
      <c r="B24642" t="s">
        <v>2931</v>
      </c>
      <c r="C24642">
        <v>7025</v>
      </c>
      <c r="D24642" t="str">
        <f t="shared" si="542"/>
        <v xml:space="preserve">INVFI18684  </v>
      </c>
      <c r="E24642" t="s">
        <v>368</v>
      </c>
      <c r="F24642" t="s">
        <v>369</v>
      </c>
      <c r="G24642">
        <v>101.21</v>
      </c>
      <c r="H24642">
        <v>250508</v>
      </c>
      <c r="I24642">
        <v>4842</v>
      </c>
      <c r="J24642" t="s">
        <v>15</v>
      </c>
      <c r="K24642">
        <v>3008.06</v>
      </c>
      <c r="L24642">
        <v>0</v>
      </c>
      <c r="M24642">
        <v>16930</v>
      </c>
      <c r="N24642" t="s">
        <v>135</v>
      </c>
      <c r="O24642">
        <v>250522</v>
      </c>
      <c r="P24642">
        <v>101.21</v>
      </c>
    </row>
    <row r="24643" spans="1:16" x14ac:dyDescent="0.25">
      <c r="A24643" t="s">
        <v>3296</v>
      </c>
      <c r="B24643" t="s">
        <v>2931</v>
      </c>
      <c r="C24643">
        <v>7025</v>
      </c>
      <c r="D24643" t="str">
        <f t="shared" si="542"/>
        <v xml:space="preserve">INVFI18684  </v>
      </c>
      <c r="E24643" t="s">
        <v>368</v>
      </c>
      <c r="F24643" t="s">
        <v>369</v>
      </c>
      <c r="G24643">
        <v>101.21</v>
      </c>
      <c r="H24643">
        <v>250508</v>
      </c>
      <c r="I24643">
        <v>4842</v>
      </c>
      <c r="J24643" t="s">
        <v>15</v>
      </c>
      <c r="K24643">
        <v>3008.06</v>
      </c>
      <c r="L24643">
        <v>0</v>
      </c>
      <c r="M24643">
        <v>17524</v>
      </c>
      <c r="N24643" t="s">
        <v>139</v>
      </c>
      <c r="O24643">
        <v>250522</v>
      </c>
      <c r="P24643">
        <v>101.21</v>
      </c>
    </row>
    <row r="24644" spans="1:16" x14ac:dyDescent="0.25">
      <c r="A24644" t="s">
        <v>3296</v>
      </c>
      <c r="B24644" t="s">
        <v>2931</v>
      </c>
      <c r="C24644">
        <v>7025</v>
      </c>
      <c r="D24644" t="str">
        <f t="shared" si="542"/>
        <v xml:space="preserve">INVFI18684  </v>
      </c>
      <c r="E24644" t="s">
        <v>368</v>
      </c>
      <c r="F24644" t="s">
        <v>369</v>
      </c>
      <c r="G24644">
        <v>101.21</v>
      </c>
      <c r="H24644">
        <v>250508</v>
      </c>
      <c r="I24644">
        <v>4842</v>
      </c>
      <c r="J24644" t="s">
        <v>15</v>
      </c>
      <c r="K24644">
        <v>3008.06</v>
      </c>
      <c r="L24644">
        <v>0</v>
      </c>
      <c r="M24644">
        <v>17526</v>
      </c>
      <c r="N24644" t="s">
        <v>141</v>
      </c>
      <c r="O24644">
        <v>250522</v>
      </c>
      <c r="P24644">
        <v>101.21</v>
      </c>
    </row>
    <row r="24645" spans="1:16" x14ac:dyDescent="0.25">
      <c r="A24645" t="s">
        <v>3296</v>
      </c>
      <c r="B24645" t="s">
        <v>2931</v>
      </c>
      <c r="C24645">
        <v>7025</v>
      </c>
      <c r="D24645" t="str">
        <f t="shared" si="542"/>
        <v xml:space="preserve">INVFI18684  </v>
      </c>
      <c r="E24645" t="s">
        <v>368</v>
      </c>
      <c r="F24645" t="s">
        <v>369</v>
      </c>
      <c r="G24645">
        <v>101.21</v>
      </c>
      <c r="H24645">
        <v>250508</v>
      </c>
      <c r="I24645">
        <v>4842</v>
      </c>
      <c r="J24645" t="s">
        <v>15</v>
      </c>
      <c r="K24645">
        <v>3008.06</v>
      </c>
      <c r="L24645">
        <v>0</v>
      </c>
      <c r="M24645">
        <v>17529</v>
      </c>
      <c r="N24645" t="s">
        <v>143</v>
      </c>
      <c r="O24645">
        <v>250522</v>
      </c>
      <c r="P24645">
        <v>101.21</v>
      </c>
    </row>
    <row r="24646" spans="1:16" x14ac:dyDescent="0.25">
      <c r="A24646" t="s">
        <v>3296</v>
      </c>
      <c r="B24646" t="s">
        <v>2931</v>
      </c>
      <c r="C24646">
        <v>7025</v>
      </c>
      <c r="D24646" t="str">
        <f t="shared" si="542"/>
        <v xml:space="preserve">INVFI18684  </v>
      </c>
      <c r="E24646" t="s">
        <v>368</v>
      </c>
      <c r="F24646" t="s">
        <v>369</v>
      </c>
      <c r="G24646">
        <v>101.21</v>
      </c>
      <c r="H24646">
        <v>250508</v>
      </c>
      <c r="I24646">
        <v>4842</v>
      </c>
      <c r="J24646" t="s">
        <v>15</v>
      </c>
      <c r="K24646">
        <v>3008.06</v>
      </c>
      <c r="L24646">
        <v>0</v>
      </c>
      <c r="M24646">
        <v>17802</v>
      </c>
      <c r="N24646" t="s">
        <v>18</v>
      </c>
      <c r="O24646">
        <v>250522</v>
      </c>
      <c r="P24646">
        <v>101.21</v>
      </c>
    </row>
    <row r="24647" spans="1:16" x14ac:dyDescent="0.25">
      <c r="A24647" t="s">
        <v>3296</v>
      </c>
      <c r="B24647" t="s">
        <v>2931</v>
      </c>
      <c r="C24647">
        <v>7025</v>
      </c>
      <c r="D24647" t="str">
        <f t="shared" si="542"/>
        <v xml:space="preserve">INVFI18684  </v>
      </c>
      <c r="E24647" t="s">
        <v>368</v>
      </c>
      <c r="F24647" t="s">
        <v>369</v>
      </c>
      <c r="G24647">
        <v>101.21</v>
      </c>
      <c r="H24647">
        <v>250508</v>
      </c>
      <c r="I24647">
        <v>4842</v>
      </c>
      <c r="J24647" t="s">
        <v>15</v>
      </c>
      <c r="K24647">
        <v>3008.06</v>
      </c>
      <c r="L24647">
        <v>0</v>
      </c>
      <c r="M24647">
        <v>17972</v>
      </c>
      <c r="N24647" t="s">
        <v>28</v>
      </c>
      <c r="O24647">
        <v>250522</v>
      </c>
      <c r="P24647">
        <v>101.21</v>
      </c>
    </row>
    <row r="24648" spans="1:16" x14ac:dyDescent="0.25">
      <c r="A24648" t="s">
        <v>3296</v>
      </c>
      <c r="B24648" t="s">
        <v>2931</v>
      </c>
      <c r="C24648">
        <v>7025</v>
      </c>
      <c r="D24648" t="str">
        <f t="shared" si="542"/>
        <v xml:space="preserve">INVFI18684  </v>
      </c>
      <c r="E24648" t="s">
        <v>368</v>
      </c>
      <c r="F24648" t="s">
        <v>369</v>
      </c>
      <c r="G24648">
        <v>101.21</v>
      </c>
      <c r="H24648">
        <v>250508</v>
      </c>
      <c r="I24648">
        <v>4842</v>
      </c>
      <c r="J24648" t="s">
        <v>15</v>
      </c>
      <c r="K24648">
        <v>3008.06</v>
      </c>
      <c r="L24648">
        <v>0</v>
      </c>
      <c r="M24648">
        <v>17972</v>
      </c>
      <c r="N24648" t="s">
        <v>28</v>
      </c>
      <c r="O24648">
        <v>250522</v>
      </c>
      <c r="P24648">
        <v>101.21</v>
      </c>
    </row>
    <row r="24649" spans="1:16" x14ac:dyDescent="0.25">
      <c r="A24649" t="s">
        <v>3296</v>
      </c>
      <c r="B24649" t="s">
        <v>2931</v>
      </c>
      <c r="C24649">
        <v>7025</v>
      </c>
      <c r="D24649" t="str">
        <f t="shared" si="542"/>
        <v xml:space="preserve">INVFI18684  </v>
      </c>
      <c r="E24649" t="s">
        <v>368</v>
      </c>
      <c r="F24649" t="s">
        <v>369</v>
      </c>
      <c r="G24649">
        <v>101.21</v>
      </c>
      <c r="H24649">
        <v>250508</v>
      </c>
      <c r="I24649">
        <v>4842</v>
      </c>
      <c r="J24649" t="s">
        <v>15</v>
      </c>
      <c r="K24649">
        <v>3008.06</v>
      </c>
      <c r="L24649">
        <v>0</v>
      </c>
      <c r="M24649">
        <v>17972</v>
      </c>
      <c r="N24649" t="s">
        <v>28</v>
      </c>
      <c r="O24649">
        <v>250522</v>
      </c>
      <c r="P24649">
        <v>101.21</v>
      </c>
    </row>
    <row r="24650" spans="1:16" x14ac:dyDescent="0.25">
      <c r="A24650" t="s">
        <v>3296</v>
      </c>
      <c r="B24650" t="s">
        <v>2931</v>
      </c>
      <c r="C24650">
        <v>7025</v>
      </c>
      <c r="D24650" t="str">
        <f t="shared" si="542"/>
        <v xml:space="preserve">INVFI18684  </v>
      </c>
      <c r="E24650" t="s">
        <v>368</v>
      </c>
      <c r="F24650" t="s">
        <v>369</v>
      </c>
      <c r="G24650">
        <v>101.21</v>
      </c>
      <c r="H24650">
        <v>250508</v>
      </c>
      <c r="I24650">
        <v>4842</v>
      </c>
      <c r="J24650" t="s">
        <v>15</v>
      </c>
      <c r="K24650">
        <v>3008.06</v>
      </c>
      <c r="L24650">
        <v>0</v>
      </c>
      <c r="M24650">
        <v>17974</v>
      </c>
      <c r="N24650" t="s">
        <v>153</v>
      </c>
      <c r="O24650">
        <v>250522</v>
      </c>
      <c r="P24650">
        <v>101.21</v>
      </c>
    </row>
    <row r="24651" spans="1:16" x14ac:dyDescent="0.25">
      <c r="A24651" t="s">
        <v>3296</v>
      </c>
      <c r="B24651" t="s">
        <v>2931</v>
      </c>
      <c r="C24651">
        <v>7025</v>
      </c>
      <c r="D24651" t="str">
        <f t="shared" si="542"/>
        <v xml:space="preserve">INVFI18684  </v>
      </c>
      <c r="E24651" t="s">
        <v>368</v>
      </c>
      <c r="F24651" t="s">
        <v>369</v>
      </c>
      <c r="G24651">
        <v>101.21</v>
      </c>
      <c r="H24651">
        <v>250508</v>
      </c>
      <c r="I24651">
        <v>4842</v>
      </c>
      <c r="J24651" t="s">
        <v>15</v>
      </c>
      <c r="K24651">
        <v>3008.06</v>
      </c>
      <c r="L24651">
        <v>0</v>
      </c>
      <c r="M24651">
        <v>18120</v>
      </c>
      <c r="N24651" t="s">
        <v>37</v>
      </c>
      <c r="O24651">
        <v>250522</v>
      </c>
      <c r="P24651">
        <v>101.21</v>
      </c>
    </row>
    <row r="24652" spans="1:16" x14ac:dyDescent="0.25">
      <c r="A24652" t="s">
        <v>3296</v>
      </c>
      <c r="B24652" t="s">
        <v>2931</v>
      </c>
      <c r="C24652">
        <v>7025</v>
      </c>
      <c r="D24652" t="str">
        <f t="shared" si="542"/>
        <v xml:space="preserve">INVFI18684  </v>
      </c>
      <c r="E24652" t="s">
        <v>368</v>
      </c>
      <c r="F24652" t="s">
        <v>369</v>
      </c>
      <c r="G24652">
        <v>100</v>
      </c>
      <c r="H24652">
        <v>250508</v>
      </c>
      <c r="I24652">
        <v>4842</v>
      </c>
      <c r="J24652" t="s">
        <v>15</v>
      </c>
      <c r="K24652">
        <v>3008.06</v>
      </c>
      <c r="L24652">
        <v>0</v>
      </c>
      <c r="M24652">
        <v>18972</v>
      </c>
      <c r="N24652" t="s">
        <v>39</v>
      </c>
      <c r="O24652">
        <v>250522</v>
      </c>
      <c r="P24652">
        <v>100</v>
      </c>
    </row>
    <row r="24653" spans="1:16" x14ac:dyDescent="0.25">
      <c r="A24653" t="s">
        <v>3296</v>
      </c>
      <c r="B24653" t="s">
        <v>2931</v>
      </c>
      <c r="C24653">
        <v>7025</v>
      </c>
      <c r="D24653" t="str">
        <f t="shared" si="542"/>
        <v xml:space="preserve">INVFI18684  </v>
      </c>
      <c r="E24653" t="s">
        <v>368</v>
      </c>
      <c r="F24653" t="s">
        <v>369</v>
      </c>
      <c r="G24653">
        <v>101.21</v>
      </c>
      <c r="H24653">
        <v>250508</v>
      </c>
      <c r="I24653">
        <v>4842</v>
      </c>
      <c r="J24653" t="s">
        <v>15</v>
      </c>
      <c r="K24653">
        <v>3008.06</v>
      </c>
      <c r="L24653">
        <v>0</v>
      </c>
      <c r="M24653">
        <v>44222</v>
      </c>
      <c r="N24653" t="s">
        <v>96</v>
      </c>
      <c r="O24653">
        <v>250522</v>
      </c>
      <c r="P24653">
        <v>101.21</v>
      </c>
    </row>
    <row r="24654" spans="1:16" x14ac:dyDescent="0.25">
      <c r="A24654" t="s">
        <v>3296</v>
      </c>
      <c r="B24654" t="s">
        <v>2931</v>
      </c>
      <c r="C24654">
        <v>7025</v>
      </c>
      <c r="D24654" t="str">
        <f t="shared" si="542"/>
        <v xml:space="preserve">INVFI18684  </v>
      </c>
      <c r="E24654" t="s">
        <v>368</v>
      </c>
      <c r="F24654" t="s">
        <v>369</v>
      </c>
      <c r="G24654">
        <v>101.21</v>
      </c>
      <c r="H24654">
        <v>250508</v>
      </c>
      <c r="I24654">
        <v>4842</v>
      </c>
      <c r="J24654" t="s">
        <v>15</v>
      </c>
      <c r="K24654">
        <v>3008.06</v>
      </c>
      <c r="L24654">
        <v>0</v>
      </c>
      <c r="M24654">
        <v>44222</v>
      </c>
      <c r="N24654" t="s">
        <v>96</v>
      </c>
      <c r="O24654">
        <v>250522</v>
      </c>
      <c r="P24654">
        <v>101.21</v>
      </c>
    </row>
    <row r="24655" spans="1:16" x14ac:dyDescent="0.25">
      <c r="A24655" t="s">
        <v>3296</v>
      </c>
      <c r="B24655" t="s">
        <v>2931</v>
      </c>
      <c r="C24655">
        <v>7025</v>
      </c>
      <c r="D24655" t="str">
        <f t="shared" si="542"/>
        <v xml:space="preserve">INVFI18684  </v>
      </c>
      <c r="E24655" t="s">
        <v>368</v>
      </c>
      <c r="F24655" t="s">
        <v>369</v>
      </c>
      <c r="G24655">
        <v>101.21</v>
      </c>
      <c r="H24655">
        <v>250508</v>
      </c>
      <c r="I24655">
        <v>4842</v>
      </c>
      <c r="J24655" t="s">
        <v>15</v>
      </c>
      <c r="K24655">
        <v>3008.06</v>
      </c>
      <c r="L24655">
        <v>0</v>
      </c>
      <c r="M24655">
        <v>49702</v>
      </c>
      <c r="N24655" t="s">
        <v>112</v>
      </c>
      <c r="O24655">
        <v>250522</v>
      </c>
      <c r="P24655">
        <v>101.21</v>
      </c>
    </row>
    <row r="24656" spans="1:16" x14ac:dyDescent="0.25">
      <c r="A24656" t="s">
        <v>3296</v>
      </c>
      <c r="B24656" t="s">
        <v>2931</v>
      </c>
      <c r="C24656">
        <v>7025</v>
      </c>
      <c r="D24656" t="str">
        <f t="shared" si="542"/>
        <v xml:space="preserve">INVFI18684  </v>
      </c>
      <c r="E24656" t="s">
        <v>368</v>
      </c>
      <c r="F24656" t="s">
        <v>369</v>
      </c>
      <c r="G24656">
        <v>101.21</v>
      </c>
      <c r="H24656">
        <v>250508</v>
      </c>
      <c r="I24656">
        <v>4842</v>
      </c>
      <c r="J24656" t="s">
        <v>15</v>
      </c>
      <c r="K24656">
        <v>3008.06</v>
      </c>
      <c r="L24656">
        <v>0</v>
      </c>
      <c r="M24656">
        <v>54422</v>
      </c>
      <c r="N24656" t="s">
        <v>49</v>
      </c>
      <c r="O24656">
        <v>250522</v>
      </c>
      <c r="P24656">
        <v>101.21</v>
      </c>
    </row>
    <row r="24657" spans="1:16" x14ac:dyDescent="0.25">
      <c r="A24657" t="s">
        <v>3296</v>
      </c>
      <c r="B24657" t="s">
        <v>2931</v>
      </c>
      <c r="C24657">
        <v>7025</v>
      </c>
      <c r="D24657" t="str">
        <f t="shared" si="542"/>
        <v xml:space="preserve">INVFI18684  </v>
      </c>
      <c r="E24657" t="s">
        <v>368</v>
      </c>
      <c r="F24657" t="s">
        <v>369</v>
      </c>
      <c r="G24657">
        <v>101.21</v>
      </c>
      <c r="H24657">
        <v>250508</v>
      </c>
      <c r="I24657">
        <v>4842</v>
      </c>
      <c r="J24657" t="s">
        <v>15</v>
      </c>
      <c r="K24657">
        <v>3008.06</v>
      </c>
      <c r="L24657">
        <v>0</v>
      </c>
      <c r="M24657">
        <v>59702</v>
      </c>
      <c r="N24657" t="s">
        <v>45</v>
      </c>
      <c r="O24657">
        <v>250522</v>
      </c>
      <c r="P24657">
        <v>101.21</v>
      </c>
    </row>
    <row r="24658" spans="1:16" x14ac:dyDescent="0.25">
      <c r="A24658" t="s">
        <v>3296</v>
      </c>
      <c r="B24658" t="s">
        <v>2931</v>
      </c>
      <c r="C24658">
        <v>7025</v>
      </c>
      <c r="D24658" t="str">
        <f t="shared" si="542"/>
        <v xml:space="preserve">INVFI18684  </v>
      </c>
      <c r="E24658" t="s">
        <v>368</v>
      </c>
      <c r="F24658" t="s">
        <v>369</v>
      </c>
      <c r="G24658">
        <v>101.21</v>
      </c>
      <c r="H24658">
        <v>250508</v>
      </c>
      <c r="I24658">
        <v>4842</v>
      </c>
      <c r="J24658" t="s">
        <v>15</v>
      </c>
      <c r="K24658">
        <v>3008.06</v>
      </c>
      <c r="L24658">
        <v>0</v>
      </c>
      <c r="M24658">
        <v>67522</v>
      </c>
      <c r="N24658" t="s">
        <v>121</v>
      </c>
      <c r="O24658">
        <v>250522</v>
      </c>
      <c r="P24658">
        <v>101.21</v>
      </c>
    </row>
    <row r="24659" spans="1:16" x14ac:dyDescent="0.25">
      <c r="A24659" t="s">
        <v>3296</v>
      </c>
      <c r="B24659" t="s">
        <v>2931</v>
      </c>
      <c r="C24659">
        <v>7025</v>
      </c>
      <c r="D24659" t="str">
        <f t="shared" si="542"/>
        <v xml:space="preserve">INVFI18684  </v>
      </c>
      <c r="E24659" t="s">
        <v>368</v>
      </c>
      <c r="F24659" t="s">
        <v>369</v>
      </c>
      <c r="G24659">
        <v>3.27</v>
      </c>
      <c r="H24659">
        <v>250508</v>
      </c>
      <c r="I24659">
        <v>4842</v>
      </c>
      <c r="J24659" t="s">
        <v>15</v>
      </c>
      <c r="K24659">
        <v>3008.06</v>
      </c>
      <c r="L24659">
        <v>0</v>
      </c>
      <c r="M24659">
        <v>69113</v>
      </c>
      <c r="N24659" t="s">
        <v>122</v>
      </c>
      <c r="O24659">
        <v>250522</v>
      </c>
      <c r="P24659">
        <v>3.27</v>
      </c>
    </row>
    <row r="24660" spans="1:16" x14ac:dyDescent="0.25">
      <c r="A24660" t="s">
        <v>3296</v>
      </c>
      <c r="B24660" t="s">
        <v>2931</v>
      </c>
      <c r="C24660">
        <v>8400</v>
      </c>
      <c r="D24660" t="str">
        <f t="shared" ref="D24660:D24689" si="543">"INVFI20473  "</f>
        <v xml:space="preserve">INVFI20473  </v>
      </c>
      <c r="E24660" t="s">
        <v>368</v>
      </c>
      <c r="F24660" t="s">
        <v>369</v>
      </c>
      <c r="G24660">
        <v>101.21</v>
      </c>
      <c r="H24660">
        <v>250605</v>
      </c>
      <c r="I24660">
        <v>4842</v>
      </c>
      <c r="J24660" t="s">
        <v>15</v>
      </c>
      <c r="K24660">
        <v>3047.59</v>
      </c>
      <c r="L24660">
        <v>0</v>
      </c>
      <c r="M24660">
        <v>11301</v>
      </c>
      <c r="N24660" t="s">
        <v>92</v>
      </c>
      <c r="O24660">
        <v>250613</v>
      </c>
      <c r="P24660">
        <v>101.21</v>
      </c>
    </row>
    <row r="24661" spans="1:16" x14ac:dyDescent="0.25">
      <c r="A24661" t="s">
        <v>3296</v>
      </c>
      <c r="B24661" t="s">
        <v>2931</v>
      </c>
      <c r="C24661">
        <v>8400</v>
      </c>
      <c r="D24661" t="str">
        <f t="shared" si="543"/>
        <v xml:space="preserve">INVFI20473  </v>
      </c>
      <c r="E24661" t="s">
        <v>368</v>
      </c>
      <c r="F24661" t="s">
        <v>369</v>
      </c>
      <c r="G24661">
        <v>101.21</v>
      </c>
      <c r="H24661">
        <v>250605</v>
      </c>
      <c r="I24661">
        <v>4842</v>
      </c>
      <c r="J24661" t="s">
        <v>15</v>
      </c>
      <c r="K24661">
        <v>3047.59</v>
      </c>
      <c r="L24661">
        <v>0</v>
      </c>
      <c r="M24661">
        <v>11301</v>
      </c>
      <c r="N24661" t="s">
        <v>92</v>
      </c>
      <c r="O24661">
        <v>250613</v>
      </c>
      <c r="P24661">
        <v>101.21</v>
      </c>
    </row>
    <row r="24662" spans="1:16" x14ac:dyDescent="0.25">
      <c r="A24662" t="s">
        <v>3296</v>
      </c>
      <c r="B24662" t="s">
        <v>2931</v>
      </c>
      <c r="C24662">
        <v>8400</v>
      </c>
      <c r="D24662" t="str">
        <f t="shared" si="543"/>
        <v xml:space="preserve">INVFI20473  </v>
      </c>
      <c r="E24662" t="s">
        <v>368</v>
      </c>
      <c r="F24662" t="s">
        <v>369</v>
      </c>
      <c r="G24662">
        <v>100</v>
      </c>
      <c r="H24662">
        <v>250605</v>
      </c>
      <c r="I24662">
        <v>4842</v>
      </c>
      <c r="J24662" t="s">
        <v>15</v>
      </c>
      <c r="K24662">
        <v>3047.59</v>
      </c>
      <c r="L24662">
        <v>0</v>
      </c>
      <c r="M24662">
        <v>13601</v>
      </c>
      <c r="N24662" t="s">
        <v>115</v>
      </c>
      <c r="O24662">
        <v>250613</v>
      </c>
      <c r="P24662">
        <v>100</v>
      </c>
    </row>
    <row r="24663" spans="1:16" x14ac:dyDescent="0.25">
      <c r="A24663" t="s">
        <v>3296</v>
      </c>
      <c r="B24663" t="s">
        <v>2931</v>
      </c>
      <c r="C24663">
        <v>8400</v>
      </c>
      <c r="D24663" t="str">
        <f t="shared" si="543"/>
        <v xml:space="preserve">INVFI20473  </v>
      </c>
      <c r="E24663" t="s">
        <v>368</v>
      </c>
      <c r="F24663" t="s">
        <v>369</v>
      </c>
      <c r="G24663">
        <v>101.21</v>
      </c>
      <c r="H24663">
        <v>250605</v>
      </c>
      <c r="I24663">
        <v>4842</v>
      </c>
      <c r="J24663" t="s">
        <v>15</v>
      </c>
      <c r="K24663">
        <v>3047.59</v>
      </c>
      <c r="L24663">
        <v>0</v>
      </c>
      <c r="M24663">
        <v>14121</v>
      </c>
      <c r="N24663" t="s">
        <v>71</v>
      </c>
      <c r="O24663">
        <v>250613</v>
      </c>
      <c r="P24663">
        <v>101.21</v>
      </c>
    </row>
    <row r="24664" spans="1:16" x14ac:dyDescent="0.25">
      <c r="A24664" t="s">
        <v>3296</v>
      </c>
      <c r="B24664" t="s">
        <v>2931</v>
      </c>
      <c r="C24664">
        <v>8400</v>
      </c>
      <c r="D24664" t="str">
        <f t="shared" si="543"/>
        <v xml:space="preserve">INVFI20473  </v>
      </c>
      <c r="E24664" t="s">
        <v>368</v>
      </c>
      <c r="F24664" t="s">
        <v>369</v>
      </c>
      <c r="G24664">
        <v>100</v>
      </c>
      <c r="H24664">
        <v>250605</v>
      </c>
      <c r="I24664">
        <v>4842</v>
      </c>
      <c r="J24664" t="s">
        <v>15</v>
      </c>
      <c r="K24664">
        <v>3047.59</v>
      </c>
      <c r="L24664">
        <v>0</v>
      </c>
      <c r="M24664">
        <v>14541</v>
      </c>
      <c r="N24664" t="s">
        <v>76</v>
      </c>
      <c r="O24664">
        <v>250613</v>
      </c>
      <c r="P24664">
        <v>100</v>
      </c>
    </row>
    <row r="24665" spans="1:16" x14ac:dyDescent="0.25">
      <c r="A24665" t="s">
        <v>3296</v>
      </c>
      <c r="B24665" t="s">
        <v>2931</v>
      </c>
      <c r="C24665">
        <v>8400</v>
      </c>
      <c r="D24665" t="str">
        <f t="shared" si="543"/>
        <v xml:space="preserve">INVFI20473  </v>
      </c>
      <c r="E24665" t="s">
        <v>368</v>
      </c>
      <c r="F24665" t="s">
        <v>369</v>
      </c>
      <c r="G24665">
        <v>101.21</v>
      </c>
      <c r="H24665">
        <v>250605</v>
      </c>
      <c r="I24665">
        <v>4842</v>
      </c>
      <c r="J24665" t="s">
        <v>15</v>
      </c>
      <c r="K24665">
        <v>3047.59</v>
      </c>
      <c r="L24665">
        <v>0</v>
      </c>
      <c r="M24665">
        <v>14622</v>
      </c>
      <c r="N24665" t="s">
        <v>77</v>
      </c>
      <c r="O24665">
        <v>250613</v>
      </c>
      <c r="P24665">
        <v>101.21</v>
      </c>
    </row>
    <row r="24666" spans="1:16" x14ac:dyDescent="0.25">
      <c r="A24666" t="s">
        <v>3296</v>
      </c>
      <c r="B24666" t="s">
        <v>2931</v>
      </c>
      <c r="C24666">
        <v>8400</v>
      </c>
      <c r="D24666" t="str">
        <f t="shared" si="543"/>
        <v xml:space="preserve">INVFI20473  </v>
      </c>
      <c r="E24666" t="s">
        <v>368</v>
      </c>
      <c r="F24666" t="s">
        <v>369</v>
      </c>
      <c r="G24666">
        <v>101.21</v>
      </c>
      <c r="H24666">
        <v>250605</v>
      </c>
      <c r="I24666">
        <v>4842</v>
      </c>
      <c r="J24666" t="s">
        <v>15</v>
      </c>
      <c r="K24666">
        <v>3047.59</v>
      </c>
      <c r="L24666">
        <v>0</v>
      </c>
      <c r="M24666">
        <v>14622</v>
      </c>
      <c r="N24666" t="s">
        <v>77</v>
      </c>
      <c r="O24666">
        <v>250613</v>
      </c>
      <c r="P24666">
        <v>101.21</v>
      </c>
    </row>
    <row r="24667" spans="1:16" x14ac:dyDescent="0.25">
      <c r="A24667" t="s">
        <v>3296</v>
      </c>
      <c r="B24667" t="s">
        <v>2931</v>
      </c>
      <c r="C24667">
        <v>8400</v>
      </c>
      <c r="D24667" t="str">
        <f t="shared" si="543"/>
        <v xml:space="preserve">INVFI20473  </v>
      </c>
      <c r="E24667" t="s">
        <v>368</v>
      </c>
      <c r="F24667" t="s">
        <v>369</v>
      </c>
      <c r="G24667">
        <v>101.21</v>
      </c>
      <c r="H24667">
        <v>250605</v>
      </c>
      <c r="I24667">
        <v>4842</v>
      </c>
      <c r="J24667" t="s">
        <v>15</v>
      </c>
      <c r="K24667">
        <v>3047.59</v>
      </c>
      <c r="L24667">
        <v>0</v>
      </c>
      <c r="M24667">
        <v>14640</v>
      </c>
      <c r="N24667" t="s">
        <v>78</v>
      </c>
      <c r="O24667">
        <v>250613</v>
      </c>
      <c r="P24667">
        <v>101.21</v>
      </c>
    </row>
    <row r="24668" spans="1:16" x14ac:dyDescent="0.25">
      <c r="A24668" t="s">
        <v>3296</v>
      </c>
      <c r="B24668" t="s">
        <v>2931</v>
      </c>
      <c r="C24668">
        <v>8400</v>
      </c>
      <c r="D24668" t="str">
        <f t="shared" si="543"/>
        <v xml:space="preserve">INVFI20473  </v>
      </c>
      <c r="E24668" t="s">
        <v>368</v>
      </c>
      <c r="F24668" t="s">
        <v>369</v>
      </c>
      <c r="G24668">
        <v>101.21</v>
      </c>
      <c r="H24668">
        <v>250605</v>
      </c>
      <c r="I24668">
        <v>4842</v>
      </c>
      <c r="J24668" t="s">
        <v>15</v>
      </c>
      <c r="K24668">
        <v>3047.59</v>
      </c>
      <c r="L24668">
        <v>0</v>
      </c>
      <c r="M24668">
        <v>14971</v>
      </c>
      <c r="N24668" t="s">
        <v>81</v>
      </c>
      <c r="O24668">
        <v>250613</v>
      </c>
      <c r="P24668">
        <v>101.21</v>
      </c>
    </row>
    <row r="24669" spans="1:16" x14ac:dyDescent="0.25">
      <c r="A24669" t="s">
        <v>3296</v>
      </c>
      <c r="B24669" t="s">
        <v>2931</v>
      </c>
      <c r="C24669">
        <v>8400</v>
      </c>
      <c r="D24669" t="str">
        <f t="shared" si="543"/>
        <v xml:space="preserve">INVFI20473  </v>
      </c>
      <c r="E24669" t="s">
        <v>368</v>
      </c>
      <c r="F24669" t="s">
        <v>369</v>
      </c>
      <c r="G24669">
        <v>101.21</v>
      </c>
      <c r="H24669">
        <v>250605</v>
      </c>
      <c r="I24669">
        <v>4842</v>
      </c>
      <c r="J24669" t="s">
        <v>15</v>
      </c>
      <c r="K24669">
        <v>3047.59</v>
      </c>
      <c r="L24669">
        <v>0</v>
      </c>
      <c r="M24669">
        <v>16431</v>
      </c>
      <c r="N24669" t="s">
        <v>17</v>
      </c>
      <c r="O24669">
        <v>250613</v>
      </c>
      <c r="P24669">
        <v>101.21</v>
      </c>
    </row>
    <row r="24670" spans="1:16" x14ac:dyDescent="0.25">
      <c r="A24670" t="s">
        <v>3296</v>
      </c>
      <c r="B24670" t="s">
        <v>2931</v>
      </c>
      <c r="C24670">
        <v>8400</v>
      </c>
      <c r="D24670" t="str">
        <f t="shared" si="543"/>
        <v xml:space="preserve">INVFI20473  </v>
      </c>
      <c r="E24670" t="s">
        <v>368</v>
      </c>
      <c r="F24670" t="s">
        <v>369</v>
      </c>
      <c r="G24670">
        <v>101.21</v>
      </c>
      <c r="H24670">
        <v>250605</v>
      </c>
      <c r="I24670">
        <v>4842</v>
      </c>
      <c r="J24670" t="s">
        <v>15</v>
      </c>
      <c r="K24670">
        <v>3047.59</v>
      </c>
      <c r="L24670">
        <v>0</v>
      </c>
      <c r="M24670">
        <v>16431</v>
      </c>
      <c r="N24670" t="s">
        <v>17</v>
      </c>
      <c r="O24670">
        <v>250613</v>
      </c>
      <c r="P24670">
        <v>101.21</v>
      </c>
    </row>
    <row r="24671" spans="1:16" x14ac:dyDescent="0.25">
      <c r="A24671" t="s">
        <v>3296</v>
      </c>
      <c r="B24671" t="s">
        <v>2931</v>
      </c>
      <c r="C24671">
        <v>8400</v>
      </c>
      <c r="D24671" t="str">
        <f t="shared" si="543"/>
        <v xml:space="preserve">INVFI20473  </v>
      </c>
      <c r="E24671" t="s">
        <v>368</v>
      </c>
      <c r="F24671" t="s">
        <v>369</v>
      </c>
      <c r="G24671">
        <v>101.21</v>
      </c>
      <c r="H24671">
        <v>250605</v>
      </c>
      <c r="I24671">
        <v>4842</v>
      </c>
      <c r="J24671" t="s">
        <v>15</v>
      </c>
      <c r="K24671">
        <v>3047.59</v>
      </c>
      <c r="L24671">
        <v>0</v>
      </c>
      <c r="M24671">
        <v>16820</v>
      </c>
      <c r="N24671" t="s">
        <v>128</v>
      </c>
      <c r="O24671">
        <v>250613</v>
      </c>
      <c r="P24671">
        <v>101.21</v>
      </c>
    </row>
    <row r="24672" spans="1:16" x14ac:dyDescent="0.25">
      <c r="A24672" t="s">
        <v>3296</v>
      </c>
      <c r="B24672" t="s">
        <v>2931</v>
      </c>
      <c r="C24672">
        <v>8400</v>
      </c>
      <c r="D24672" t="str">
        <f t="shared" si="543"/>
        <v xml:space="preserve">INVFI20473  </v>
      </c>
      <c r="E24672" t="s">
        <v>368</v>
      </c>
      <c r="F24672" t="s">
        <v>369</v>
      </c>
      <c r="G24672">
        <v>101.21</v>
      </c>
      <c r="H24672">
        <v>250605</v>
      </c>
      <c r="I24672">
        <v>4842</v>
      </c>
      <c r="J24672" t="s">
        <v>15</v>
      </c>
      <c r="K24672">
        <v>3047.59</v>
      </c>
      <c r="L24672">
        <v>0</v>
      </c>
      <c r="M24672">
        <v>16930</v>
      </c>
      <c r="N24672" t="s">
        <v>135</v>
      </c>
      <c r="O24672">
        <v>250613</v>
      </c>
      <c r="P24672">
        <v>101.21</v>
      </c>
    </row>
    <row r="24673" spans="1:16" x14ac:dyDescent="0.25">
      <c r="A24673" t="s">
        <v>3296</v>
      </c>
      <c r="B24673" t="s">
        <v>2931</v>
      </c>
      <c r="C24673">
        <v>8400</v>
      </c>
      <c r="D24673" t="str">
        <f t="shared" si="543"/>
        <v xml:space="preserve">INVFI20473  </v>
      </c>
      <c r="E24673" t="s">
        <v>368</v>
      </c>
      <c r="F24673" t="s">
        <v>369</v>
      </c>
      <c r="G24673">
        <v>101.21</v>
      </c>
      <c r="H24673">
        <v>250605</v>
      </c>
      <c r="I24673">
        <v>4842</v>
      </c>
      <c r="J24673" t="s">
        <v>15</v>
      </c>
      <c r="K24673">
        <v>3047.59</v>
      </c>
      <c r="L24673">
        <v>0</v>
      </c>
      <c r="M24673">
        <v>17524</v>
      </c>
      <c r="N24673" t="s">
        <v>139</v>
      </c>
      <c r="O24673">
        <v>250613</v>
      </c>
      <c r="P24673">
        <v>101.21</v>
      </c>
    </row>
    <row r="24674" spans="1:16" x14ac:dyDescent="0.25">
      <c r="A24674" t="s">
        <v>3296</v>
      </c>
      <c r="B24674" t="s">
        <v>2931</v>
      </c>
      <c r="C24674">
        <v>8400</v>
      </c>
      <c r="D24674" t="str">
        <f t="shared" si="543"/>
        <v xml:space="preserve">INVFI20473  </v>
      </c>
      <c r="E24674" t="s">
        <v>368</v>
      </c>
      <c r="F24674" t="s">
        <v>369</v>
      </c>
      <c r="G24674">
        <v>101.21</v>
      </c>
      <c r="H24674">
        <v>250605</v>
      </c>
      <c r="I24674">
        <v>4842</v>
      </c>
      <c r="J24674" t="s">
        <v>15</v>
      </c>
      <c r="K24674">
        <v>3047.59</v>
      </c>
      <c r="L24674">
        <v>0</v>
      </c>
      <c r="M24674">
        <v>17526</v>
      </c>
      <c r="N24674" t="s">
        <v>141</v>
      </c>
      <c r="O24674">
        <v>250613</v>
      </c>
      <c r="P24674">
        <v>101.21</v>
      </c>
    </row>
    <row r="24675" spans="1:16" x14ac:dyDescent="0.25">
      <c r="A24675" t="s">
        <v>3296</v>
      </c>
      <c r="B24675" t="s">
        <v>2931</v>
      </c>
      <c r="C24675">
        <v>8400</v>
      </c>
      <c r="D24675" t="str">
        <f t="shared" si="543"/>
        <v xml:space="preserve">INVFI20473  </v>
      </c>
      <c r="E24675" t="s">
        <v>368</v>
      </c>
      <c r="F24675" t="s">
        <v>369</v>
      </c>
      <c r="G24675">
        <v>101.21</v>
      </c>
      <c r="H24675">
        <v>250605</v>
      </c>
      <c r="I24675">
        <v>4842</v>
      </c>
      <c r="J24675" t="s">
        <v>15</v>
      </c>
      <c r="K24675">
        <v>3047.59</v>
      </c>
      <c r="L24675">
        <v>0</v>
      </c>
      <c r="M24675">
        <v>17529</v>
      </c>
      <c r="N24675" t="s">
        <v>143</v>
      </c>
      <c r="O24675">
        <v>250613</v>
      </c>
      <c r="P24675">
        <v>101.21</v>
      </c>
    </row>
    <row r="24676" spans="1:16" x14ac:dyDescent="0.25">
      <c r="A24676" t="s">
        <v>3296</v>
      </c>
      <c r="B24676" t="s">
        <v>2931</v>
      </c>
      <c r="C24676">
        <v>8400</v>
      </c>
      <c r="D24676" t="str">
        <f t="shared" si="543"/>
        <v xml:space="preserve">INVFI20473  </v>
      </c>
      <c r="E24676" t="s">
        <v>368</v>
      </c>
      <c r="F24676" t="s">
        <v>369</v>
      </c>
      <c r="G24676">
        <v>101.21</v>
      </c>
      <c r="H24676">
        <v>250605</v>
      </c>
      <c r="I24676">
        <v>4842</v>
      </c>
      <c r="J24676" t="s">
        <v>15</v>
      </c>
      <c r="K24676">
        <v>3047.59</v>
      </c>
      <c r="L24676">
        <v>0</v>
      </c>
      <c r="M24676">
        <v>17802</v>
      </c>
      <c r="N24676" t="s">
        <v>18</v>
      </c>
      <c r="O24676">
        <v>250613</v>
      </c>
      <c r="P24676">
        <v>101.21</v>
      </c>
    </row>
    <row r="24677" spans="1:16" x14ac:dyDescent="0.25">
      <c r="A24677" t="s">
        <v>3296</v>
      </c>
      <c r="B24677" t="s">
        <v>2931</v>
      </c>
      <c r="C24677">
        <v>8400</v>
      </c>
      <c r="D24677" t="str">
        <f t="shared" si="543"/>
        <v xml:space="preserve">INVFI20473  </v>
      </c>
      <c r="E24677" t="s">
        <v>368</v>
      </c>
      <c r="F24677" t="s">
        <v>369</v>
      </c>
      <c r="G24677">
        <v>116.13</v>
      </c>
      <c r="H24677">
        <v>250605</v>
      </c>
      <c r="I24677">
        <v>4842</v>
      </c>
      <c r="J24677" t="s">
        <v>15</v>
      </c>
      <c r="K24677">
        <v>3047.59</v>
      </c>
      <c r="L24677">
        <v>0</v>
      </c>
      <c r="M24677">
        <v>17809</v>
      </c>
      <c r="N24677" t="s">
        <v>25</v>
      </c>
      <c r="O24677">
        <v>250613</v>
      </c>
      <c r="P24677">
        <v>116.13</v>
      </c>
    </row>
    <row r="24678" spans="1:16" x14ac:dyDescent="0.25">
      <c r="A24678" t="s">
        <v>3296</v>
      </c>
      <c r="B24678" t="s">
        <v>2931</v>
      </c>
      <c r="C24678">
        <v>8400</v>
      </c>
      <c r="D24678" t="str">
        <f t="shared" si="543"/>
        <v xml:space="preserve">INVFI20473  </v>
      </c>
      <c r="E24678" t="s">
        <v>368</v>
      </c>
      <c r="F24678" t="s">
        <v>369</v>
      </c>
      <c r="G24678">
        <v>101.21</v>
      </c>
      <c r="H24678">
        <v>250605</v>
      </c>
      <c r="I24678">
        <v>4842</v>
      </c>
      <c r="J24678" t="s">
        <v>15</v>
      </c>
      <c r="K24678">
        <v>3047.59</v>
      </c>
      <c r="L24678">
        <v>0</v>
      </c>
      <c r="M24678">
        <v>17972</v>
      </c>
      <c r="N24678" t="s">
        <v>28</v>
      </c>
      <c r="O24678">
        <v>250613</v>
      </c>
      <c r="P24678">
        <v>101.21</v>
      </c>
    </row>
    <row r="24679" spans="1:16" x14ac:dyDescent="0.25">
      <c r="A24679" t="s">
        <v>3296</v>
      </c>
      <c r="B24679" t="s">
        <v>2931</v>
      </c>
      <c r="C24679">
        <v>8400</v>
      </c>
      <c r="D24679" t="str">
        <f t="shared" si="543"/>
        <v xml:space="preserve">INVFI20473  </v>
      </c>
      <c r="E24679" t="s">
        <v>368</v>
      </c>
      <c r="F24679" t="s">
        <v>369</v>
      </c>
      <c r="G24679">
        <v>101.21</v>
      </c>
      <c r="H24679">
        <v>250605</v>
      </c>
      <c r="I24679">
        <v>4842</v>
      </c>
      <c r="J24679" t="s">
        <v>15</v>
      </c>
      <c r="K24679">
        <v>3047.59</v>
      </c>
      <c r="L24679">
        <v>0</v>
      </c>
      <c r="M24679">
        <v>17972</v>
      </c>
      <c r="N24679" t="s">
        <v>28</v>
      </c>
      <c r="O24679">
        <v>250613</v>
      </c>
      <c r="P24679">
        <v>101.21</v>
      </c>
    </row>
    <row r="24680" spans="1:16" x14ac:dyDescent="0.25">
      <c r="A24680" t="s">
        <v>3296</v>
      </c>
      <c r="B24680" t="s">
        <v>2931</v>
      </c>
      <c r="C24680">
        <v>8400</v>
      </c>
      <c r="D24680" t="str">
        <f t="shared" si="543"/>
        <v xml:space="preserve">INVFI20473  </v>
      </c>
      <c r="E24680" t="s">
        <v>368</v>
      </c>
      <c r="F24680" t="s">
        <v>369</v>
      </c>
      <c r="G24680">
        <v>101.21</v>
      </c>
      <c r="H24680">
        <v>250605</v>
      </c>
      <c r="I24680">
        <v>4842</v>
      </c>
      <c r="J24680" t="s">
        <v>15</v>
      </c>
      <c r="K24680">
        <v>3047.59</v>
      </c>
      <c r="L24680">
        <v>0</v>
      </c>
      <c r="M24680">
        <v>17972</v>
      </c>
      <c r="N24680" t="s">
        <v>28</v>
      </c>
      <c r="O24680">
        <v>250613</v>
      </c>
      <c r="P24680">
        <v>101.21</v>
      </c>
    </row>
    <row r="24681" spans="1:16" x14ac:dyDescent="0.25">
      <c r="A24681" t="s">
        <v>3296</v>
      </c>
      <c r="B24681" t="s">
        <v>2931</v>
      </c>
      <c r="C24681">
        <v>8400</v>
      </c>
      <c r="D24681" t="str">
        <f t="shared" si="543"/>
        <v xml:space="preserve">INVFI20473  </v>
      </c>
      <c r="E24681" t="s">
        <v>368</v>
      </c>
      <c r="F24681" t="s">
        <v>369</v>
      </c>
      <c r="G24681">
        <v>101.21</v>
      </c>
      <c r="H24681">
        <v>250605</v>
      </c>
      <c r="I24681">
        <v>4842</v>
      </c>
      <c r="J24681" t="s">
        <v>15</v>
      </c>
      <c r="K24681">
        <v>3047.59</v>
      </c>
      <c r="L24681">
        <v>0</v>
      </c>
      <c r="M24681">
        <v>17974</v>
      </c>
      <c r="N24681" t="s">
        <v>153</v>
      </c>
      <c r="O24681">
        <v>250613</v>
      </c>
      <c r="P24681">
        <v>101.21</v>
      </c>
    </row>
    <row r="24682" spans="1:16" x14ac:dyDescent="0.25">
      <c r="A24682" t="s">
        <v>3296</v>
      </c>
      <c r="B24682" t="s">
        <v>2931</v>
      </c>
      <c r="C24682">
        <v>8400</v>
      </c>
      <c r="D24682" t="str">
        <f t="shared" si="543"/>
        <v xml:space="preserve">INVFI20473  </v>
      </c>
      <c r="E24682" t="s">
        <v>368</v>
      </c>
      <c r="F24682" t="s">
        <v>369</v>
      </c>
      <c r="G24682">
        <v>101.21</v>
      </c>
      <c r="H24682">
        <v>250605</v>
      </c>
      <c r="I24682">
        <v>4842</v>
      </c>
      <c r="J24682" t="s">
        <v>15</v>
      </c>
      <c r="K24682">
        <v>3047.59</v>
      </c>
      <c r="L24682">
        <v>0</v>
      </c>
      <c r="M24682">
        <v>18120</v>
      </c>
      <c r="N24682" t="s">
        <v>37</v>
      </c>
      <c r="O24682">
        <v>250613</v>
      </c>
      <c r="P24682">
        <v>101.21</v>
      </c>
    </row>
    <row r="24683" spans="1:16" x14ac:dyDescent="0.25">
      <c r="A24683" t="s">
        <v>3296</v>
      </c>
      <c r="B24683" t="s">
        <v>2931</v>
      </c>
      <c r="C24683">
        <v>8400</v>
      </c>
      <c r="D24683" t="str">
        <f t="shared" si="543"/>
        <v xml:space="preserve">INVFI20473  </v>
      </c>
      <c r="E24683" t="s">
        <v>368</v>
      </c>
      <c r="F24683" t="s">
        <v>369</v>
      </c>
      <c r="G24683">
        <v>100</v>
      </c>
      <c r="H24683">
        <v>250605</v>
      </c>
      <c r="I24683">
        <v>4842</v>
      </c>
      <c r="J24683" t="s">
        <v>15</v>
      </c>
      <c r="K24683">
        <v>3047.59</v>
      </c>
      <c r="L24683">
        <v>0</v>
      </c>
      <c r="M24683">
        <v>18972</v>
      </c>
      <c r="N24683" t="s">
        <v>39</v>
      </c>
      <c r="O24683">
        <v>250613</v>
      </c>
      <c r="P24683">
        <v>100</v>
      </c>
    </row>
    <row r="24684" spans="1:16" x14ac:dyDescent="0.25">
      <c r="A24684" t="s">
        <v>3296</v>
      </c>
      <c r="B24684" t="s">
        <v>2931</v>
      </c>
      <c r="C24684">
        <v>8400</v>
      </c>
      <c r="D24684" t="str">
        <f t="shared" si="543"/>
        <v xml:space="preserve">INVFI20473  </v>
      </c>
      <c r="E24684" t="s">
        <v>368</v>
      </c>
      <c r="F24684" t="s">
        <v>369</v>
      </c>
      <c r="G24684">
        <v>101.21</v>
      </c>
      <c r="H24684">
        <v>250605</v>
      </c>
      <c r="I24684">
        <v>4842</v>
      </c>
      <c r="J24684" t="s">
        <v>15</v>
      </c>
      <c r="K24684">
        <v>3047.59</v>
      </c>
      <c r="L24684">
        <v>0</v>
      </c>
      <c r="M24684">
        <v>44222</v>
      </c>
      <c r="N24684" t="s">
        <v>96</v>
      </c>
      <c r="O24684">
        <v>250613</v>
      </c>
      <c r="P24684">
        <v>101.21</v>
      </c>
    </row>
    <row r="24685" spans="1:16" x14ac:dyDescent="0.25">
      <c r="A24685" t="s">
        <v>3296</v>
      </c>
      <c r="B24685" t="s">
        <v>2931</v>
      </c>
      <c r="C24685">
        <v>8400</v>
      </c>
      <c r="D24685" t="str">
        <f t="shared" si="543"/>
        <v xml:space="preserve">INVFI20473  </v>
      </c>
      <c r="E24685" t="s">
        <v>368</v>
      </c>
      <c r="F24685" t="s">
        <v>369</v>
      </c>
      <c r="G24685">
        <v>101.21</v>
      </c>
      <c r="H24685">
        <v>250605</v>
      </c>
      <c r="I24685">
        <v>4842</v>
      </c>
      <c r="J24685" t="s">
        <v>15</v>
      </c>
      <c r="K24685">
        <v>3047.59</v>
      </c>
      <c r="L24685">
        <v>0</v>
      </c>
      <c r="M24685">
        <v>44222</v>
      </c>
      <c r="N24685" t="s">
        <v>96</v>
      </c>
      <c r="O24685">
        <v>250613</v>
      </c>
      <c r="P24685">
        <v>101.21</v>
      </c>
    </row>
    <row r="24686" spans="1:16" x14ac:dyDescent="0.25">
      <c r="A24686" t="s">
        <v>3296</v>
      </c>
      <c r="B24686" t="s">
        <v>2931</v>
      </c>
      <c r="C24686">
        <v>8400</v>
      </c>
      <c r="D24686" t="str">
        <f t="shared" si="543"/>
        <v xml:space="preserve">INVFI20473  </v>
      </c>
      <c r="E24686" t="s">
        <v>368</v>
      </c>
      <c r="F24686" t="s">
        <v>369</v>
      </c>
      <c r="G24686">
        <v>101.21</v>
      </c>
      <c r="H24686">
        <v>250605</v>
      </c>
      <c r="I24686">
        <v>4842</v>
      </c>
      <c r="J24686" t="s">
        <v>15</v>
      </c>
      <c r="K24686">
        <v>3047.59</v>
      </c>
      <c r="L24686">
        <v>0</v>
      </c>
      <c r="M24686">
        <v>49702</v>
      </c>
      <c r="N24686" t="s">
        <v>112</v>
      </c>
      <c r="O24686">
        <v>250613</v>
      </c>
      <c r="P24686">
        <v>101.21</v>
      </c>
    </row>
    <row r="24687" spans="1:16" x14ac:dyDescent="0.25">
      <c r="A24687" t="s">
        <v>3296</v>
      </c>
      <c r="B24687" t="s">
        <v>2931</v>
      </c>
      <c r="C24687">
        <v>8400</v>
      </c>
      <c r="D24687" t="str">
        <f t="shared" si="543"/>
        <v xml:space="preserve">INVFI20473  </v>
      </c>
      <c r="E24687" t="s">
        <v>368</v>
      </c>
      <c r="F24687" t="s">
        <v>369</v>
      </c>
      <c r="G24687">
        <v>101.21</v>
      </c>
      <c r="H24687">
        <v>250605</v>
      </c>
      <c r="I24687">
        <v>4842</v>
      </c>
      <c r="J24687" t="s">
        <v>15</v>
      </c>
      <c r="K24687">
        <v>3047.59</v>
      </c>
      <c r="L24687">
        <v>0</v>
      </c>
      <c r="M24687">
        <v>54422</v>
      </c>
      <c r="N24687" t="s">
        <v>49</v>
      </c>
      <c r="O24687">
        <v>250613</v>
      </c>
      <c r="P24687">
        <v>101.21</v>
      </c>
    </row>
    <row r="24688" spans="1:16" x14ac:dyDescent="0.25">
      <c r="A24688" t="s">
        <v>3296</v>
      </c>
      <c r="B24688" t="s">
        <v>2931</v>
      </c>
      <c r="C24688">
        <v>8400</v>
      </c>
      <c r="D24688" t="str">
        <f t="shared" si="543"/>
        <v xml:space="preserve">INVFI20473  </v>
      </c>
      <c r="E24688" t="s">
        <v>368</v>
      </c>
      <c r="F24688" t="s">
        <v>369</v>
      </c>
      <c r="G24688">
        <v>101.21</v>
      </c>
      <c r="H24688">
        <v>250605</v>
      </c>
      <c r="I24688">
        <v>4842</v>
      </c>
      <c r="J24688" t="s">
        <v>15</v>
      </c>
      <c r="K24688">
        <v>3047.59</v>
      </c>
      <c r="L24688">
        <v>0</v>
      </c>
      <c r="M24688">
        <v>59702</v>
      </c>
      <c r="N24688" t="s">
        <v>45</v>
      </c>
      <c r="O24688">
        <v>250613</v>
      </c>
      <c r="P24688">
        <v>101.21</v>
      </c>
    </row>
    <row r="24689" spans="1:16" x14ac:dyDescent="0.25">
      <c r="A24689" t="s">
        <v>3296</v>
      </c>
      <c r="B24689" t="s">
        <v>2931</v>
      </c>
      <c r="C24689">
        <v>8400</v>
      </c>
      <c r="D24689" t="str">
        <f t="shared" si="543"/>
        <v xml:space="preserve">INVFI20473  </v>
      </c>
      <c r="E24689" t="s">
        <v>368</v>
      </c>
      <c r="F24689" t="s">
        <v>369</v>
      </c>
      <c r="G24689">
        <v>101.21</v>
      </c>
      <c r="H24689">
        <v>250605</v>
      </c>
      <c r="I24689">
        <v>4842</v>
      </c>
      <c r="J24689" t="s">
        <v>15</v>
      </c>
      <c r="K24689">
        <v>3047.59</v>
      </c>
      <c r="L24689">
        <v>0</v>
      </c>
      <c r="M24689">
        <v>67522</v>
      </c>
      <c r="N24689" t="s">
        <v>121</v>
      </c>
      <c r="O24689">
        <v>250613</v>
      </c>
      <c r="P24689">
        <v>101.21</v>
      </c>
    </row>
    <row r="24690" spans="1:16" x14ac:dyDescent="0.25">
      <c r="A24690" t="s">
        <v>3296</v>
      </c>
      <c r="B24690" t="s">
        <v>2931</v>
      </c>
      <c r="C24690">
        <v>9717</v>
      </c>
      <c r="D24690" t="str">
        <f t="shared" ref="D24690:D24719" si="544">"INVFI22845  "</f>
        <v xml:space="preserve">INVFI22845  </v>
      </c>
      <c r="E24690" t="s">
        <v>368</v>
      </c>
      <c r="F24690" t="s">
        <v>369</v>
      </c>
      <c r="G24690">
        <v>101.21</v>
      </c>
      <c r="H24690">
        <v>250707</v>
      </c>
      <c r="I24690">
        <v>4842</v>
      </c>
      <c r="J24690" t="s">
        <v>15</v>
      </c>
      <c r="K24690">
        <v>2923.72</v>
      </c>
      <c r="L24690">
        <v>0</v>
      </c>
      <c r="M24690">
        <v>11301</v>
      </c>
      <c r="N24690" t="s">
        <v>92</v>
      </c>
      <c r="O24690">
        <v>250725</v>
      </c>
      <c r="P24690">
        <v>101.21</v>
      </c>
    </row>
    <row r="24691" spans="1:16" x14ac:dyDescent="0.25">
      <c r="A24691" t="s">
        <v>3296</v>
      </c>
      <c r="B24691" t="s">
        <v>2931</v>
      </c>
      <c r="C24691">
        <v>9717</v>
      </c>
      <c r="D24691" t="str">
        <f t="shared" si="544"/>
        <v xml:space="preserve">INVFI22845  </v>
      </c>
      <c r="E24691" t="s">
        <v>368</v>
      </c>
      <c r="F24691" t="s">
        <v>369</v>
      </c>
      <c r="G24691">
        <v>101.21</v>
      </c>
      <c r="H24691">
        <v>250707</v>
      </c>
      <c r="I24691">
        <v>4842</v>
      </c>
      <c r="J24691" t="s">
        <v>15</v>
      </c>
      <c r="K24691">
        <v>2923.72</v>
      </c>
      <c r="L24691">
        <v>0</v>
      </c>
      <c r="M24691">
        <v>11301</v>
      </c>
      <c r="N24691" t="s">
        <v>92</v>
      </c>
      <c r="O24691">
        <v>250725</v>
      </c>
      <c r="P24691">
        <v>101.21</v>
      </c>
    </row>
    <row r="24692" spans="1:16" x14ac:dyDescent="0.25">
      <c r="A24692" t="s">
        <v>3296</v>
      </c>
      <c r="B24692" t="s">
        <v>2931</v>
      </c>
      <c r="C24692">
        <v>9717</v>
      </c>
      <c r="D24692" t="str">
        <f t="shared" si="544"/>
        <v xml:space="preserve">INVFI22845  </v>
      </c>
      <c r="E24692" t="s">
        <v>368</v>
      </c>
      <c r="F24692" t="s">
        <v>369</v>
      </c>
      <c r="G24692">
        <v>100</v>
      </c>
      <c r="H24692">
        <v>250707</v>
      </c>
      <c r="I24692">
        <v>4842</v>
      </c>
      <c r="J24692" t="s">
        <v>15</v>
      </c>
      <c r="K24692">
        <v>2923.72</v>
      </c>
      <c r="L24692">
        <v>0</v>
      </c>
      <c r="M24692">
        <v>13601</v>
      </c>
      <c r="N24692" t="s">
        <v>115</v>
      </c>
      <c r="O24692">
        <v>250725</v>
      </c>
      <c r="P24692">
        <v>100</v>
      </c>
    </row>
    <row r="24693" spans="1:16" x14ac:dyDescent="0.25">
      <c r="A24693" t="s">
        <v>3296</v>
      </c>
      <c r="B24693" t="s">
        <v>2931</v>
      </c>
      <c r="C24693">
        <v>9717</v>
      </c>
      <c r="D24693" t="str">
        <f t="shared" si="544"/>
        <v xml:space="preserve">INVFI22845  </v>
      </c>
      <c r="E24693" t="s">
        <v>368</v>
      </c>
      <c r="F24693" t="s">
        <v>369</v>
      </c>
      <c r="G24693">
        <v>101.21</v>
      </c>
      <c r="H24693">
        <v>250707</v>
      </c>
      <c r="I24693">
        <v>4842</v>
      </c>
      <c r="J24693" t="s">
        <v>15</v>
      </c>
      <c r="K24693">
        <v>2923.72</v>
      </c>
      <c r="L24693">
        <v>0</v>
      </c>
      <c r="M24693">
        <v>14121</v>
      </c>
      <c r="N24693" t="s">
        <v>71</v>
      </c>
      <c r="O24693">
        <v>250725</v>
      </c>
      <c r="P24693">
        <v>101.21</v>
      </c>
    </row>
    <row r="24694" spans="1:16" x14ac:dyDescent="0.25">
      <c r="A24694" t="s">
        <v>3296</v>
      </c>
      <c r="B24694" t="s">
        <v>2931</v>
      </c>
      <c r="C24694">
        <v>9717</v>
      </c>
      <c r="D24694" t="str">
        <f t="shared" si="544"/>
        <v xml:space="preserve">INVFI22845  </v>
      </c>
      <c r="E24694" t="s">
        <v>368</v>
      </c>
      <c r="F24694" t="s">
        <v>369</v>
      </c>
      <c r="G24694">
        <v>100</v>
      </c>
      <c r="H24694">
        <v>250707</v>
      </c>
      <c r="I24694">
        <v>4842</v>
      </c>
      <c r="J24694" t="s">
        <v>15</v>
      </c>
      <c r="K24694">
        <v>2923.72</v>
      </c>
      <c r="L24694">
        <v>0</v>
      </c>
      <c r="M24694">
        <v>14541</v>
      </c>
      <c r="N24694" t="s">
        <v>76</v>
      </c>
      <c r="O24694">
        <v>250725</v>
      </c>
      <c r="P24694">
        <v>100</v>
      </c>
    </row>
    <row r="24695" spans="1:16" x14ac:dyDescent="0.25">
      <c r="A24695" t="s">
        <v>3296</v>
      </c>
      <c r="B24695" t="s">
        <v>2931</v>
      </c>
      <c r="C24695">
        <v>9717</v>
      </c>
      <c r="D24695" t="str">
        <f t="shared" si="544"/>
        <v xml:space="preserve">INVFI22845  </v>
      </c>
      <c r="E24695" t="s">
        <v>368</v>
      </c>
      <c r="F24695" t="s">
        <v>369</v>
      </c>
      <c r="G24695">
        <v>101.21</v>
      </c>
      <c r="H24695">
        <v>250707</v>
      </c>
      <c r="I24695">
        <v>4842</v>
      </c>
      <c r="J24695" t="s">
        <v>15</v>
      </c>
      <c r="K24695">
        <v>2923.72</v>
      </c>
      <c r="L24695">
        <v>0</v>
      </c>
      <c r="M24695">
        <v>14622</v>
      </c>
      <c r="N24695" t="s">
        <v>77</v>
      </c>
      <c r="O24695">
        <v>250725</v>
      </c>
      <c r="P24695">
        <v>101.21</v>
      </c>
    </row>
    <row r="24696" spans="1:16" x14ac:dyDescent="0.25">
      <c r="A24696" t="s">
        <v>3296</v>
      </c>
      <c r="B24696" t="s">
        <v>2931</v>
      </c>
      <c r="C24696">
        <v>9717</v>
      </c>
      <c r="D24696" t="str">
        <f t="shared" si="544"/>
        <v xml:space="preserve">INVFI22845  </v>
      </c>
      <c r="E24696" t="s">
        <v>368</v>
      </c>
      <c r="F24696" t="s">
        <v>369</v>
      </c>
      <c r="G24696">
        <v>101.21</v>
      </c>
      <c r="H24696">
        <v>250707</v>
      </c>
      <c r="I24696">
        <v>4842</v>
      </c>
      <c r="J24696" t="s">
        <v>15</v>
      </c>
      <c r="K24696">
        <v>2923.72</v>
      </c>
      <c r="L24696">
        <v>0</v>
      </c>
      <c r="M24696">
        <v>14622</v>
      </c>
      <c r="N24696" t="s">
        <v>77</v>
      </c>
      <c r="O24696">
        <v>250725</v>
      </c>
      <c r="P24696">
        <v>101.21</v>
      </c>
    </row>
    <row r="24697" spans="1:16" x14ac:dyDescent="0.25">
      <c r="A24697" t="s">
        <v>3296</v>
      </c>
      <c r="B24697" t="s">
        <v>2931</v>
      </c>
      <c r="C24697">
        <v>9717</v>
      </c>
      <c r="D24697" t="str">
        <f t="shared" si="544"/>
        <v xml:space="preserve">INVFI22845  </v>
      </c>
      <c r="E24697" t="s">
        <v>368</v>
      </c>
      <c r="F24697" t="s">
        <v>369</v>
      </c>
      <c r="G24697">
        <v>101.21</v>
      </c>
      <c r="H24697">
        <v>250707</v>
      </c>
      <c r="I24697">
        <v>4842</v>
      </c>
      <c r="J24697" t="s">
        <v>15</v>
      </c>
      <c r="K24697">
        <v>2923.72</v>
      </c>
      <c r="L24697">
        <v>0</v>
      </c>
      <c r="M24697">
        <v>14640</v>
      </c>
      <c r="N24697" t="s">
        <v>78</v>
      </c>
      <c r="O24697">
        <v>250725</v>
      </c>
      <c r="P24697">
        <v>101.21</v>
      </c>
    </row>
    <row r="24698" spans="1:16" x14ac:dyDescent="0.25">
      <c r="A24698" t="s">
        <v>3296</v>
      </c>
      <c r="B24698" t="s">
        <v>2931</v>
      </c>
      <c r="C24698">
        <v>9717</v>
      </c>
      <c r="D24698" t="str">
        <f t="shared" si="544"/>
        <v xml:space="preserve">INVFI22845  </v>
      </c>
      <c r="E24698" t="s">
        <v>368</v>
      </c>
      <c r="F24698" t="s">
        <v>369</v>
      </c>
      <c r="G24698">
        <v>101.21</v>
      </c>
      <c r="H24698">
        <v>250707</v>
      </c>
      <c r="I24698">
        <v>4842</v>
      </c>
      <c r="J24698" t="s">
        <v>15</v>
      </c>
      <c r="K24698">
        <v>2923.72</v>
      </c>
      <c r="L24698">
        <v>0</v>
      </c>
      <c r="M24698">
        <v>14971</v>
      </c>
      <c r="N24698" t="s">
        <v>81</v>
      </c>
      <c r="O24698">
        <v>250725</v>
      </c>
      <c r="P24698">
        <v>101.21</v>
      </c>
    </row>
    <row r="24699" spans="1:16" x14ac:dyDescent="0.25">
      <c r="A24699" t="s">
        <v>3296</v>
      </c>
      <c r="B24699" t="s">
        <v>2931</v>
      </c>
      <c r="C24699">
        <v>9717</v>
      </c>
      <c r="D24699" t="str">
        <f t="shared" si="544"/>
        <v xml:space="preserve">INVFI22845  </v>
      </c>
      <c r="E24699" t="s">
        <v>368</v>
      </c>
      <c r="F24699" t="s">
        <v>369</v>
      </c>
      <c r="G24699">
        <v>101.21</v>
      </c>
      <c r="H24699">
        <v>250707</v>
      </c>
      <c r="I24699">
        <v>4842</v>
      </c>
      <c r="J24699" t="s">
        <v>15</v>
      </c>
      <c r="K24699">
        <v>2923.72</v>
      </c>
      <c r="L24699">
        <v>0</v>
      </c>
      <c r="M24699">
        <v>16431</v>
      </c>
      <c r="N24699" t="s">
        <v>17</v>
      </c>
      <c r="O24699">
        <v>250725</v>
      </c>
      <c r="P24699">
        <v>101.21</v>
      </c>
    </row>
    <row r="24700" spans="1:16" x14ac:dyDescent="0.25">
      <c r="A24700" t="s">
        <v>3296</v>
      </c>
      <c r="B24700" t="s">
        <v>2931</v>
      </c>
      <c r="C24700">
        <v>9717</v>
      </c>
      <c r="D24700" t="str">
        <f t="shared" si="544"/>
        <v xml:space="preserve">INVFI22845  </v>
      </c>
      <c r="E24700" t="s">
        <v>368</v>
      </c>
      <c r="F24700" t="s">
        <v>369</v>
      </c>
      <c r="G24700">
        <v>101.21</v>
      </c>
      <c r="H24700">
        <v>250707</v>
      </c>
      <c r="I24700">
        <v>4842</v>
      </c>
      <c r="J24700" t="s">
        <v>15</v>
      </c>
      <c r="K24700">
        <v>2923.72</v>
      </c>
      <c r="L24700">
        <v>0</v>
      </c>
      <c r="M24700">
        <v>16431</v>
      </c>
      <c r="N24700" t="s">
        <v>17</v>
      </c>
      <c r="O24700">
        <v>250725</v>
      </c>
      <c r="P24700">
        <v>101.21</v>
      </c>
    </row>
    <row r="24701" spans="1:16" x14ac:dyDescent="0.25">
      <c r="A24701" t="s">
        <v>3296</v>
      </c>
      <c r="B24701" t="s">
        <v>2931</v>
      </c>
      <c r="C24701">
        <v>9717</v>
      </c>
      <c r="D24701" t="str">
        <f t="shared" si="544"/>
        <v xml:space="preserve">INVFI22845  </v>
      </c>
      <c r="E24701" t="s">
        <v>368</v>
      </c>
      <c r="F24701" t="s">
        <v>369</v>
      </c>
      <c r="G24701">
        <v>101.21</v>
      </c>
      <c r="H24701">
        <v>250707</v>
      </c>
      <c r="I24701">
        <v>4842</v>
      </c>
      <c r="J24701" t="s">
        <v>15</v>
      </c>
      <c r="K24701">
        <v>2923.72</v>
      </c>
      <c r="L24701">
        <v>0</v>
      </c>
      <c r="M24701">
        <v>16820</v>
      </c>
      <c r="N24701" t="s">
        <v>128</v>
      </c>
      <c r="O24701">
        <v>250725</v>
      </c>
      <c r="P24701">
        <v>101.21</v>
      </c>
    </row>
    <row r="24702" spans="1:16" x14ac:dyDescent="0.25">
      <c r="A24702" t="s">
        <v>3296</v>
      </c>
      <c r="B24702" t="s">
        <v>2931</v>
      </c>
      <c r="C24702">
        <v>9717</v>
      </c>
      <c r="D24702" t="str">
        <f t="shared" si="544"/>
        <v xml:space="preserve">INVFI22845  </v>
      </c>
      <c r="E24702" t="s">
        <v>368</v>
      </c>
      <c r="F24702" t="s">
        <v>369</v>
      </c>
      <c r="G24702">
        <v>55.5</v>
      </c>
      <c r="H24702">
        <v>250707</v>
      </c>
      <c r="I24702">
        <v>4842</v>
      </c>
      <c r="J24702" t="s">
        <v>15</v>
      </c>
      <c r="K24702">
        <v>2923.72</v>
      </c>
      <c r="L24702">
        <v>0</v>
      </c>
      <c r="M24702">
        <v>16930</v>
      </c>
      <c r="N24702" t="s">
        <v>135</v>
      </c>
      <c r="O24702">
        <v>250725</v>
      </c>
      <c r="P24702">
        <v>55.5</v>
      </c>
    </row>
    <row r="24703" spans="1:16" x14ac:dyDescent="0.25">
      <c r="A24703" t="s">
        <v>3296</v>
      </c>
      <c r="B24703" t="s">
        <v>2931</v>
      </c>
      <c r="C24703">
        <v>9717</v>
      </c>
      <c r="D24703" t="str">
        <f t="shared" si="544"/>
        <v xml:space="preserve">INVFI22845  </v>
      </c>
      <c r="E24703" t="s">
        <v>368</v>
      </c>
      <c r="F24703" t="s">
        <v>369</v>
      </c>
      <c r="G24703">
        <v>101.21</v>
      </c>
      <c r="H24703">
        <v>250707</v>
      </c>
      <c r="I24703">
        <v>4842</v>
      </c>
      <c r="J24703" t="s">
        <v>15</v>
      </c>
      <c r="K24703">
        <v>2923.72</v>
      </c>
      <c r="L24703">
        <v>0</v>
      </c>
      <c r="M24703">
        <v>17524</v>
      </c>
      <c r="N24703" t="s">
        <v>139</v>
      </c>
      <c r="O24703">
        <v>250725</v>
      </c>
      <c r="P24703">
        <v>101.21</v>
      </c>
    </row>
    <row r="24704" spans="1:16" x14ac:dyDescent="0.25">
      <c r="A24704" t="s">
        <v>3296</v>
      </c>
      <c r="B24704" t="s">
        <v>2931</v>
      </c>
      <c r="C24704">
        <v>9717</v>
      </c>
      <c r="D24704" t="str">
        <f t="shared" si="544"/>
        <v xml:space="preserve">INVFI22845  </v>
      </c>
      <c r="E24704" t="s">
        <v>368</v>
      </c>
      <c r="F24704" t="s">
        <v>369</v>
      </c>
      <c r="G24704">
        <v>101.21</v>
      </c>
      <c r="H24704">
        <v>250707</v>
      </c>
      <c r="I24704">
        <v>4842</v>
      </c>
      <c r="J24704" t="s">
        <v>15</v>
      </c>
      <c r="K24704">
        <v>2923.72</v>
      </c>
      <c r="L24704">
        <v>0</v>
      </c>
      <c r="M24704">
        <v>17526</v>
      </c>
      <c r="N24704" t="s">
        <v>141</v>
      </c>
      <c r="O24704">
        <v>250725</v>
      </c>
      <c r="P24704">
        <v>101.21</v>
      </c>
    </row>
    <row r="24705" spans="1:16" x14ac:dyDescent="0.25">
      <c r="A24705" t="s">
        <v>3296</v>
      </c>
      <c r="B24705" t="s">
        <v>2931</v>
      </c>
      <c r="C24705">
        <v>9717</v>
      </c>
      <c r="D24705" t="str">
        <f t="shared" si="544"/>
        <v xml:space="preserve">INVFI22845  </v>
      </c>
      <c r="E24705" t="s">
        <v>368</v>
      </c>
      <c r="F24705" t="s">
        <v>369</v>
      </c>
      <c r="G24705">
        <v>101.21</v>
      </c>
      <c r="H24705">
        <v>250707</v>
      </c>
      <c r="I24705">
        <v>4842</v>
      </c>
      <c r="J24705" t="s">
        <v>15</v>
      </c>
      <c r="K24705">
        <v>2923.72</v>
      </c>
      <c r="L24705">
        <v>0</v>
      </c>
      <c r="M24705">
        <v>17529</v>
      </c>
      <c r="N24705" t="s">
        <v>143</v>
      </c>
      <c r="O24705">
        <v>250725</v>
      </c>
      <c r="P24705">
        <v>101.21</v>
      </c>
    </row>
    <row r="24706" spans="1:16" x14ac:dyDescent="0.25">
      <c r="A24706" t="s">
        <v>3296</v>
      </c>
      <c r="B24706" t="s">
        <v>2931</v>
      </c>
      <c r="C24706">
        <v>9717</v>
      </c>
      <c r="D24706" t="str">
        <f t="shared" si="544"/>
        <v xml:space="preserve">INVFI22845  </v>
      </c>
      <c r="E24706" t="s">
        <v>368</v>
      </c>
      <c r="F24706" t="s">
        <v>369</v>
      </c>
      <c r="G24706">
        <v>101.21</v>
      </c>
      <c r="H24706">
        <v>250707</v>
      </c>
      <c r="I24706">
        <v>4842</v>
      </c>
      <c r="J24706" t="s">
        <v>15</v>
      </c>
      <c r="K24706">
        <v>2923.72</v>
      </c>
      <c r="L24706">
        <v>0</v>
      </c>
      <c r="M24706">
        <v>17802</v>
      </c>
      <c r="N24706" t="s">
        <v>18</v>
      </c>
      <c r="O24706">
        <v>250725</v>
      </c>
      <c r="P24706">
        <v>101.21</v>
      </c>
    </row>
    <row r="24707" spans="1:16" x14ac:dyDescent="0.25">
      <c r="A24707" t="s">
        <v>3296</v>
      </c>
      <c r="B24707" t="s">
        <v>2931</v>
      </c>
      <c r="C24707">
        <v>9717</v>
      </c>
      <c r="D24707" t="str">
        <f t="shared" si="544"/>
        <v xml:space="preserve">INVFI22845  </v>
      </c>
      <c r="E24707" t="s">
        <v>368</v>
      </c>
      <c r="F24707" t="s">
        <v>369</v>
      </c>
      <c r="G24707">
        <v>100</v>
      </c>
      <c r="H24707">
        <v>250707</v>
      </c>
      <c r="I24707">
        <v>4842</v>
      </c>
      <c r="J24707" t="s">
        <v>15</v>
      </c>
      <c r="K24707">
        <v>2923.72</v>
      </c>
      <c r="L24707">
        <v>0</v>
      </c>
      <c r="M24707">
        <v>17809</v>
      </c>
      <c r="N24707" t="s">
        <v>25</v>
      </c>
      <c r="O24707">
        <v>250725</v>
      </c>
      <c r="P24707">
        <v>100</v>
      </c>
    </row>
    <row r="24708" spans="1:16" x14ac:dyDescent="0.25">
      <c r="A24708" t="s">
        <v>3296</v>
      </c>
      <c r="B24708" t="s">
        <v>2931</v>
      </c>
      <c r="C24708">
        <v>9717</v>
      </c>
      <c r="D24708" t="str">
        <f t="shared" si="544"/>
        <v xml:space="preserve">INVFI22845  </v>
      </c>
      <c r="E24708" t="s">
        <v>368</v>
      </c>
      <c r="F24708" t="s">
        <v>369</v>
      </c>
      <c r="G24708">
        <v>101.21</v>
      </c>
      <c r="H24708">
        <v>250707</v>
      </c>
      <c r="I24708">
        <v>4842</v>
      </c>
      <c r="J24708" t="s">
        <v>15</v>
      </c>
      <c r="K24708">
        <v>2923.72</v>
      </c>
      <c r="L24708">
        <v>0</v>
      </c>
      <c r="M24708">
        <v>17972</v>
      </c>
      <c r="N24708" t="s">
        <v>28</v>
      </c>
      <c r="O24708">
        <v>250725</v>
      </c>
      <c r="P24708">
        <v>101.21</v>
      </c>
    </row>
    <row r="24709" spans="1:16" x14ac:dyDescent="0.25">
      <c r="A24709" t="s">
        <v>3296</v>
      </c>
      <c r="B24709" t="s">
        <v>2931</v>
      </c>
      <c r="C24709">
        <v>9717</v>
      </c>
      <c r="D24709" t="str">
        <f t="shared" si="544"/>
        <v xml:space="preserve">INVFI22845  </v>
      </c>
      <c r="E24709" t="s">
        <v>368</v>
      </c>
      <c r="F24709" t="s">
        <v>369</v>
      </c>
      <c r="G24709">
        <v>101.21</v>
      </c>
      <c r="H24709">
        <v>250707</v>
      </c>
      <c r="I24709">
        <v>4842</v>
      </c>
      <c r="J24709" t="s">
        <v>15</v>
      </c>
      <c r="K24709">
        <v>2923.72</v>
      </c>
      <c r="L24709">
        <v>0</v>
      </c>
      <c r="M24709">
        <v>17972</v>
      </c>
      <c r="N24709" t="s">
        <v>28</v>
      </c>
      <c r="O24709">
        <v>250725</v>
      </c>
      <c r="P24709">
        <v>101.21</v>
      </c>
    </row>
    <row r="24710" spans="1:16" x14ac:dyDescent="0.25">
      <c r="A24710" t="s">
        <v>3296</v>
      </c>
      <c r="B24710" t="s">
        <v>2931</v>
      </c>
      <c r="C24710">
        <v>9717</v>
      </c>
      <c r="D24710" t="str">
        <f t="shared" si="544"/>
        <v xml:space="preserve">INVFI22845  </v>
      </c>
      <c r="E24710" t="s">
        <v>368</v>
      </c>
      <c r="F24710" t="s">
        <v>369</v>
      </c>
      <c r="G24710">
        <v>101.21</v>
      </c>
      <c r="H24710">
        <v>250707</v>
      </c>
      <c r="I24710">
        <v>4842</v>
      </c>
      <c r="J24710" t="s">
        <v>15</v>
      </c>
      <c r="K24710">
        <v>2923.72</v>
      </c>
      <c r="L24710">
        <v>0</v>
      </c>
      <c r="M24710">
        <v>17972</v>
      </c>
      <c r="N24710" t="s">
        <v>28</v>
      </c>
      <c r="O24710">
        <v>250725</v>
      </c>
      <c r="P24710">
        <v>101.21</v>
      </c>
    </row>
    <row r="24711" spans="1:16" x14ac:dyDescent="0.25">
      <c r="A24711" t="s">
        <v>3296</v>
      </c>
      <c r="B24711" t="s">
        <v>2931</v>
      </c>
      <c r="C24711">
        <v>9717</v>
      </c>
      <c r="D24711" t="str">
        <f t="shared" si="544"/>
        <v xml:space="preserve">INVFI22845  </v>
      </c>
      <c r="E24711" t="s">
        <v>368</v>
      </c>
      <c r="F24711" t="s">
        <v>369</v>
      </c>
      <c r="G24711">
        <v>101.21</v>
      </c>
      <c r="H24711">
        <v>250707</v>
      </c>
      <c r="I24711">
        <v>4842</v>
      </c>
      <c r="J24711" t="s">
        <v>15</v>
      </c>
      <c r="K24711">
        <v>2923.72</v>
      </c>
      <c r="L24711">
        <v>0</v>
      </c>
      <c r="M24711">
        <v>17974</v>
      </c>
      <c r="N24711" t="s">
        <v>153</v>
      </c>
      <c r="O24711">
        <v>250725</v>
      </c>
      <c r="P24711">
        <v>101.21</v>
      </c>
    </row>
    <row r="24712" spans="1:16" x14ac:dyDescent="0.25">
      <c r="A24712" t="s">
        <v>3296</v>
      </c>
      <c r="B24712" t="s">
        <v>2931</v>
      </c>
      <c r="C24712">
        <v>9717</v>
      </c>
      <c r="D24712" t="str">
        <f t="shared" si="544"/>
        <v xml:space="preserve">INVFI22845  </v>
      </c>
      <c r="E24712" t="s">
        <v>368</v>
      </c>
      <c r="F24712" t="s">
        <v>369</v>
      </c>
      <c r="G24712">
        <v>39.18</v>
      </c>
      <c r="H24712">
        <v>250707</v>
      </c>
      <c r="I24712">
        <v>4842</v>
      </c>
      <c r="J24712" t="s">
        <v>15</v>
      </c>
      <c r="K24712">
        <v>2923.72</v>
      </c>
      <c r="L24712">
        <v>0</v>
      </c>
      <c r="M24712">
        <v>18120</v>
      </c>
      <c r="N24712" t="s">
        <v>37</v>
      </c>
      <c r="O24712">
        <v>250725</v>
      </c>
      <c r="P24712">
        <v>39.18</v>
      </c>
    </row>
    <row r="24713" spans="1:16" x14ac:dyDescent="0.25">
      <c r="A24713" t="s">
        <v>3296</v>
      </c>
      <c r="B24713" t="s">
        <v>2931</v>
      </c>
      <c r="C24713">
        <v>9717</v>
      </c>
      <c r="D24713" t="str">
        <f t="shared" si="544"/>
        <v xml:space="preserve">INVFI22845  </v>
      </c>
      <c r="E24713" t="s">
        <v>368</v>
      </c>
      <c r="F24713" t="s">
        <v>369</v>
      </c>
      <c r="G24713">
        <v>100</v>
      </c>
      <c r="H24713">
        <v>250707</v>
      </c>
      <c r="I24713">
        <v>4842</v>
      </c>
      <c r="J24713" t="s">
        <v>15</v>
      </c>
      <c r="K24713">
        <v>2923.72</v>
      </c>
      <c r="L24713">
        <v>0</v>
      </c>
      <c r="M24713">
        <v>18972</v>
      </c>
      <c r="N24713" t="s">
        <v>39</v>
      </c>
      <c r="O24713">
        <v>250725</v>
      </c>
      <c r="P24713">
        <v>100</v>
      </c>
    </row>
    <row r="24714" spans="1:16" x14ac:dyDescent="0.25">
      <c r="A24714" t="s">
        <v>3296</v>
      </c>
      <c r="B24714" t="s">
        <v>2931</v>
      </c>
      <c r="C24714">
        <v>9717</v>
      </c>
      <c r="D24714" t="str">
        <f t="shared" si="544"/>
        <v xml:space="preserve">INVFI22845  </v>
      </c>
      <c r="E24714" t="s">
        <v>368</v>
      </c>
      <c r="F24714" t="s">
        <v>369</v>
      </c>
      <c r="G24714">
        <v>101.21</v>
      </c>
      <c r="H24714">
        <v>250707</v>
      </c>
      <c r="I24714">
        <v>4842</v>
      </c>
      <c r="J24714" t="s">
        <v>15</v>
      </c>
      <c r="K24714">
        <v>2923.72</v>
      </c>
      <c r="L24714">
        <v>0</v>
      </c>
      <c r="M24714">
        <v>44222</v>
      </c>
      <c r="N24714" t="s">
        <v>96</v>
      </c>
      <c r="O24714">
        <v>250725</v>
      </c>
      <c r="P24714">
        <v>101.21</v>
      </c>
    </row>
    <row r="24715" spans="1:16" x14ac:dyDescent="0.25">
      <c r="A24715" t="s">
        <v>3296</v>
      </c>
      <c r="B24715" t="s">
        <v>2931</v>
      </c>
      <c r="C24715">
        <v>9717</v>
      </c>
      <c r="D24715" t="str">
        <f t="shared" si="544"/>
        <v xml:space="preserve">INVFI22845  </v>
      </c>
      <c r="E24715" t="s">
        <v>368</v>
      </c>
      <c r="F24715" t="s">
        <v>369</v>
      </c>
      <c r="G24715">
        <v>101.21</v>
      </c>
      <c r="H24715">
        <v>250707</v>
      </c>
      <c r="I24715">
        <v>4842</v>
      </c>
      <c r="J24715" t="s">
        <v>15</v>
      </c>
      <c r="K24715">
        <v>2923.72</v>
      </c>
      <c r="L24715">
        <v>0</v>
      </c>
      <c r="M24715">
        <v>44222</v>
      </c>
      <c r="N24715" t="s">
        <v>96</v>
      </c>
      <c r="O24715">
        <v>250725</v>
      </c>
      <c r="P24715">
        <v>101.21</v>
      </c>
    </row>
    <row r="24716" spans="1:16" x14ac:dyDescent="0.25">
      <c r="A24716" t="s">
        <v>3296</v>
      </c>
      <c r="B24716" t="s">
        <v>2931</v>
      </c>
      <c r="C24716">
        <v>9717</v>
      </c>
      <c r="D24716" t="str">
        <f t="shared" si="544"/>
        <v xml:space="preserve">INVFI22845  </v>
      </c>
      <c r="E24716" t="s">
        <v>368</v>
      </c>
      <c r="F24716" t="s">
        <v>369</v>
      </c>
      <c r="G24716">
        <v>101.21</v>
      </c>
      <c r="H24716">
        <v>250707</v>
      </c>
      <c r="I24716">
        <v>4842</v>
      </c>
      <c r="J24716" t="s">
        <v>15</v>
      </c>
      <c r="K24716">
        <v>2923.72</v>
      </c>
      <c r="L24716">
        <v>0</v>
      </c>
      <c r="M24716">
        <v>49702</v>
      </c>
      <c r="N24716" t="s">
        <v>112</v>
      </c>
      <c r="O24716">
        <v>250725</v>
      </c>
      <c r="P24716">
        <v>101.21</v>
      </c>
    </row>
    <row r="24717" spans="1:16" x14ac:dyDescent="0.25">
      <c r="A24717" t="s">
        <v>3296</v>
      </c>
      <c r="B24717" t="s">
        <v>2931</v>
      </c>
      <c r="C24717">
        <v>9717</v>
      </c>
      <c r="D24717" t="str">
        <f t="shared" si="544"/>
        <v xml:space="preserve">INVFI22845  </v>
      </c>
      <c r="E24717" t="s">
        <v>368</v>
      </c>
      <c r="F24717" t="s">
        <v>369</v>
      </c>
      <c r="G24717">
        <v>101.21</v>
      </c>
      <c r="H24717">
        <v>250707</v>
      </c>
      <c r="I24717">
        <v>4842</v>
      </c>
      <c r="J24717" t="s">
        <v>15</v>
      </c>
      <c r="K24717">
        <v>2923.72</v>
      </c>
      <c r="L24717">
        <v>0</v>
      </c>
      <c r="M24717">
        <v>54422</v>
      </c>
      <c r="N24717" t="s">
        <v>49</v>
      </c>
      <c r="O24717">
        <v>250725</v>
      </c>
      <c r="P24717">
        <v>101.21</v>
      </c>
    </row>
    <row r="24718" spans="1:16" x14ac:dyDescent="0.25">
      <c r="A24718" t="s">
        <v>3296</v>
      </c>
      <c r="B24718" t="s">
        <v>2931</v>
      </c>
      <c r="C24718">
        <v>9717</v>
      </c>
      <c r="D24718" t="str">
        <f t="shared" si="544"/>
        <v xml:space="preserve">INVFI22845  </v>
      </c>
      <c r="E24718" t="s">
        <v>368</v>
      </c>
      <c r="F24718" t="s">
        <v>369</v>
      </c>
      <c r="G24718">
        <v>101.21</v>
      </c>
      <c r="H24718">
        <v>250707</v>
      </c>
      <c r="I24718">
        <v>4842</v>
      </c>
      <c r="J24718" t="s">
        <v>15</v>
      </c>
      <c r="K24718">
        <v>2923.72</v>
      </c>
      <c r="L24718">
        <v>0</v>
      </c>
      <c r="M24718">
        <v>59702</v>
      </c>
      <c r="N24718" t="s">
        <v>45</v>
      </c>
      <c r="O24718">
        <v>250725</v>
      </c>
      <c r="P24718">
        <v>101.21</v>
      </c>
    </row>
    <row r="24719" spans="1:16" x14ac:dyDescent="0.25">
      <c r="A24719" t="s">
        <v>3296</v>
      </c>
      <c r="B24719" t="s">
        <v>2931</v>
      </c>
      <c r="C24719">
        <v>9717</v>
      </c>
      <c r="D24719" t="str">
        <f t="shared" si="544"/>
        <v xml:space="preserve">INVFI22845  </v>
      </c>
      <c r="E24719" t="s">
        <v>368</v>
      </c>
      <c r="F24719" t="s">
        <v>369</v>
      </c>
      <c r="G24719">
        <v>101.21</v>
      </c>
      <c r="H24719">
        <v>250707</v>
      </c>
      <c r="I24719">
        <v>4842</v>
      </c>
      <c r="J24719" t="s">
        <v>15</v>
      </c>
      <c r="K24719">
        <v>2923.72</v>
      </c>
      <c r="L24719">
        <v>0</v>
      </c>
      <c r="M24719">
        <v>67522</v>
      </c>
      <c r="N24719" t="s">
        <v>121</v>
      </c>
      <c r="O24719">
        <v>250725</v>
      </c>
      <c r="P24719">
        <v>101.21</v>
      </c>
    </row>
    <row r="24720" spans="1:16" x14ac:dyDescent="0.25">
      <c r="A24720" t="s">
        <v>3296</v>
      </c>
      <c r="B24720" t="s">
        <v>2931</v>
      </c>
      <c r="C24720">
        <v>10314</v>
      </c>
      <c r="D24720" t="str">
        <f t="shared" ref="D24720:D24747" si="545">"INVFI26893  "</f>
        <v xml:space="preserve">INVFI26893  </v>
      </c>
      <c r="E24720" t="s">
        <v>368</v>
      </c>
      <c r="F24720" t="s">
        <v>369</v>
      </c>
      <c r="G24720">
        <v>101.21</v>
      </c>
      <c r="H24720">
        <v>250808</v>
      </c>
      <c r="I24720">
        <v>4842</v>
      </c>
      <c r="J24720" t="s">
        <v>15</v>
      </c>
      <c r="K24720">
        <v>2829.04</v>
      </c>
      <c r="L24720">
        <v>0</v>
      </c>
      <c r="M24720">
        <v>11301</v>
      </c>
      <c r="N24720" t="s">
        <v>92</v>
      </c>
      <c r="O24720">
        <v>250814</v>
      </c>
      <c r="P24720">
        <v>101.21</v>
      </c>
    </row>
    <row r="24721" spans="1:16" x14ac:dyDescent="0.25">
      <c r="A24721" t="s">
        <v>3296</v>
      </c>
      <c r="B24721" t="s">
        <v>2931</v>
      </c>
      <c r="C24721">
        <v>10314</v>
      </c>
      <c r="D24721" t="str">
        <f t="shared" si="545"/>
        <v xml:space="preserve">INVFI26893  </v>
      </c>
      <c r="E24721" t="s">
        <v>368</v>
      </c>
      <c r="F24721" t="s">
        <v>369</v>
      </c>
      <c r="G24721">
        <v>101.21</v>
      </c>
      <c r="H24721">
        <v>250808</v>
      </c>
      <c r="I24721">
        <v>4842</v>
      </c>
      <c r="J24721" t="s">
        <v>15</v>
      </c>
      <c r="K24721">
        <v>2829.04</v>
      </c>
      <c r="L24721">
        <v>0</v>
      </c>
      <c r="M24721">
        <v>11301</v>
      </c>
      <c r="N24721" t="s">
        <v>92</v>
      </c>
      <c r="O24721">
        <v>250814</v>
      </c>
      <c r="P24721">
        <v>101.21</v>
      </c>
    </row>
    <row r="24722" spans="1:16" x14ac:dyDescent="0.25">
      <c r="A24722" t="s">
        <v>3296</v>
      </c>
      <c r="B24722" t="s">
        <v>2931</v>
      </c>
      <c r="C24722">
        <v>10314</v>
      </c>
      <c r="D24722" t="str">
        <f t="shared" si="545"/>
        <v xml:space="preserve">INVFI26893  </v>
      </c>
      <c r="E24722" t="s">
        <v>368</v>
      </c>
      <c r="F24722" t="s">
        <v>369</v>
      </c>
      <c r="G24722">
        <v>100</v>
      </c>
      <c r="H24722">
        <v>250808</v>
      </c>
      <c r="I24722">
        <v>4842</v>
      </c>
      <c r="J24722" t="s">
        <v>15</v>
      </c>
      <c r="K24722">
        <v>2829.04</v>
      </c>
      <c r="L24722">
        <v>0</v>
      </c>
      <c r="M24722">
        <v>13601</v>
      </c>
      <c r="N24722" t="s">
        <v>115</v>
      </c>
      <c r="O24722">
        <v>250814</v>
      </c>
      <c r="P24722">
        <v>100</v>
      </c>
    </row>
    <row r="24723" spans="1:16" x14ac:dyDescent="0.25">
      <c r="A24723" t="s">
        <v>3296</v>
      </c>
      <c r="B24723" t="s">
        <v>2931</v>
      </c>
      <c r="C24723">
        <v>10314</v>
      </c>
      <c r="D24723" t="str">
        <f t="shared" si="545"/>
        <v xml:space="preserve">INVFI26893  </v>
      </c>
      <c r="E24723" t="s">
        <v>368</v>
      </c>
      <c r="F24723" t="s">
        <v>369</v>
      </c>
      <c r="G24723">
        <v>101.21</v>
      </c>
      <c r="H24723">
        <v>250808</v>
      </c>
      <c r="I24723">
        <v>4842</v>
      </c>
      <c r="J24723" t="s">
        <v>15</v>
      </c>
      <c r="K24723">
        <v>2829.04</v>
      </c>
      <c r="L24723">
        <v>0</v>
      </c>
      <c r="M24723">
        <v>14121</v>
      </c>
      <c r="N24723" t="s">
        <v>71</v>
      </c>
      <c r="O24723">
        <v>250814</v>
      </c>
      <c r="P24723">
        <v>101.21</v>
      </c>
    </row>
    <row r="24724" spans="1:16" x14ac:dyDescent="0.25">
      <c r="A24724" t="s">
        <v>3296</v>
      </c>
      <c r="B24724" t="s">
        <v>2931</v>
      </c>
      <c r="C24724">
        <v>10314</v>
      </c>
      <c r="D24724" t="str">
        <f t="shared" si="545"/>
        <v xml:space="preserve">INVFI26893  </v>
      </c>
      <c r="E24724" t="s">
        <v>368</v>
      </c>
      <c r="F24724" t="s">
        <v>369</v>
      </c>
      <c r="G24724">
        <v>100</v>
      </c>
      <c r="H24724">
        <v>250808</v>
      </c>
      <c r="I24724">
        <v>4842</v>
      </c>
      <c r="J24724" t="s">
        <v>15</v>
      </c>
      <c r="K24724">
        <v>2829.04</v>
      </c>
      <c r="L24724">
        <v>0</v>
      </c>
      <c r="M24724">
        <v>14541</v>
      </c>
      <c r="N24724" t="s">
        <v>76</v>
      </c>
      <c r="O24724">
        <v>250814</v>
      </c>
      <c r="P24724">
        <v>100</v>
      </c>
    </row>
    <row r="24725" spans="1:16" x14ac:dyDescent="0.25">
      <c r="A24725" t="s">
        <v>3296</v>
      </c>
      <c r="B24725" t="s">
        <v>2931</v>
      </c>
      <c r="C24725">
        <v>10314</v>
      </c>
      <c r="D24725" t="str">
        <f t="shared" si="545"/>
        <v xml:space="preserve">INVFI26893  </v>
      </c>
      <c r="E24725" t="s">
        <v>368</v>
      </c>
      <c r="F24725" t="s">
        <v>369</v>
      </c>
      <c r="G24725">
        <v>101.21</v>
      </c>
      <c r="H24725">
        <v>250808</v>
      </c>
      <c r="I24725">
        <v>4842</v>
      </c>
      <c r="J24725" t="s">
        <v>15</v>
      </c>
      <c r="K24725">
        <v>2829.04</v>
      </c>
      <c r="L24725">
        <v>0</v>
      </c>
      <c r="M24725">
        <v>14622</v>
      </c>
      <c r="N24725" t="s">
        <v>77</v>
      </c>
      <c r="O24725">
        <v>250814</v>
      </c>
      <c r="P24725">
        <v>101.21</v>
      </c>
    </row>
    <row r="24726" spans="1:16" x14ac:dyDescent="0.25">
      <c r="A24726" t="s">
        <v>3296</v>
      </c>
      <c r="B24726" t="s">
        <v>2931</v>
      </c>
      <c r="C24726">
        <v>10314</v>
      </c>
      <c r="D24726" t="str">
        <f t="shared" si="545"/>
        <v xml:space="preserve">INVFI26893  </v>
      </c>
      <c r="E24726" t="s">
        <v>368</v>
      </c>
      <c r="F24726" t="s">
        <v>369</v>
      </c>
      <c r="G24726">
        <v>101.21</v>
      </c>
      <c r="H24726">
        <v>250808</v>
      </c>
      <c r="I24726">
        <v>4842</v>
      </c>
      <c r="J24726" t="s">
        <v>15</v>
      </c>
      <c r="K24726">
        <v>2829.04</v>
      </c>
      <c r="L24726">
        <v>0</v>
      </c>
      <c r="M24726">
        <v>14622</v>
      </c>
      <c r="N24726" t="s">
        <v>77</v>
      </c>
      <c r="O24726">
        <v>250814</v>
      </c>
      <c r="P24726">
        <v>101.21</v>
      </c>
    </row>
    <row r="24727" spans="1:16" x14ac:dyDescent="0.25">
      <c r="A24727" t="s">
        <v>3296</v>
      </c>
      <c r="B24727" t="s">
        <v>2931</v>
      </c>
      <c r="C24727">
        <v>10314</v>
      </c>
      <c r="D24727" t="str">
        <f t="shared" si="545"/>
        <v xml:space="preserve">INVFI26893  </v>
      </c>
      <c r="E24727" t="s">
        <v>368</v>
      </c>
      <c r="F24727" t="s">
        <v>369</v>
      </c>
      <c r="G24727">
        <v>101.21</v>
      </c>
      <c r="H24727">
        <v>250808</v>
      </c>
      <c r="I24727">
        <v>4842</v>
      </c>
      <c r="J24727" t="s">
        <v>15</v>
      </c>
      <c r="K24727">
        <v>2829.04</v>
      </c>
      <c r="L24727">
        <v>0</v>
      </c>
      <c r="M24727">
        <v>14640</v>
      </c>
      <c r="N24727" t="s">
        <v>78</v>
      </c>
      <c r="O24727">
        <v>250814</v>
      </c>
      <c r="P24727">
        <v>101.21</v>
      </c>
    </row>
    <row r="24728" spans="1:16" x14ac:dyDescent="0.25">
      <c r="A24728" t="s">
        <v>3296</v>
      </c>
      <c r="B24728" t="s">
        <v>2931</v>
      </c>
      <c r="C24728">
        <v>10314</v>
      </c>
      <c r="D24728" t="str">
        <f t="shared" si="545"/>
        <v xml:space="preserve">INVFI26893  </v>
      </c>
      <c r="E24728" t="s">
        <v>368</v>
      </c>
      <c r="F24728" t="s">
        <v>369</v>
      </c>
      <c r="G24728">
        <v>101.21</v>
      </c>
      <c r="H24728">
        <v>250808</v>
      </c>
      <c r="I24728">
        <v>4842</v>
      </c>
      <c r="J24728" t="s">
        <v>15</v>
      </c>
      <c r="K24728">
        <v>2829.04</v>
      </c>
      <c r="L24728">
        <v>0</v>
      </c>
      <c r="M24728">
        <v>14971</v>
      </c>
      <c r="N24728" t="s">
        <v>81</v>
      </c>
      <c r="O24728">
        <v>250814</v>
      </c>
      <c r="P24728">
        <v>101.21</v>
      </c>
    </row>
    <row r="24729" spans="1:16" x14ac:dyDescent="0.25">
      <c r="A24729" t="s">
        <v>3296</v>
      </c>
      <c r="B24729" t="s">
        <v>2931</v>
      </c>
      <c r="C24729">
        <v>10314</v>
      </c>
      <c r="D24729" t="str">
        <f t="shared" si="545"/>
        <v xml:space="preserve">INVFI26893  </v>
      </c>
      <c r="E24729" t="s">
        <v>368</v>
      </c>
      <c r="F24729" t="s">
        <v>369</v>
      </c>
      <c r="G24729">
        <v>101.21</v>
      </c>
      <c r="H24729">
        <v>250808</v>
      </c>
      <c r="I24729">
        <v>4842</v>
      </c>
      <c r="J24729" t="s">
        <v>15</v>
      </c>
      <c r="K24729">
        <v>2829.04</v>
      </c>
      <c r="L24729">
        <v>0</v>
      </c>
      <c r="M24729">
        <v>16431</v>
      </c>
      <c r="N24729" t="s">
        <v>17</v>
      </c>
      <c r="O24729">
        <v>250814</v>
      </c>
      <c r="P24729">
        <v>101.21</v>
      </c>
    </row>
    <row r="24730" spans="1:16" x14ac:dyDescent="0.25">
      <c r="A24730" t="s">
        <v>3296</v>
      </c>
      <c r="B24730" t="s">
        <v>2931</v>
      </c>
      <c r="C24730">
        <v>10314</v>
      </c>
      <c r="D24730" t="str">
        <f t="shared" si="545"/>
        <v xml:space="preserve">INVFI26893  </v>
      </c>
      <c r="E24730" t="s">
        <v>368</v>
      </c>
      <c r="F24730" t="s">
        <v>369</v>
      </c>
      <c r="G24730">
        <v>101.21</v>
      </c>
      <c r="H24730">
        <v>250808</v>
      </c>
      <c r="I24730">
        <v>4842</v>
      </c>
      <c r="J24730" t="s">
        <v>15</v>
      </c>
      <c r="K24730">
        <v>2829.04</v>
      </c>
      <c r="L24730">
        <v>0</v>
      </c>
      <c r="M24730">
        <v>16431</v>
      </c>
      <c r="N24730" t="s">
        <v>17</v>
      </c>
      <c r="O24730">
        <v>250814</v>
      </c>
      <c r="P24730">
        <v>101.21</v>
      </c>
    </row>
    <row r="24731" spans="1:16" x14ac:dyDescent="0.25">
      <c r="A24731" t="s">
        <v>3296</v>
      </c>
      <c r="B24731" t="s">
        <v>2931</v>
      </c>
      <c r="C24731">
        <v>10314</v>
      </c>
      <c r="D24731" t="str">
        <f t="shared" si="545"/>
        <v xml:space="preserve">INVFI26893  </v>
      </c>
      <c r="E24731" t="s">
        <v>368</v>
      </c>
      <c r="F24731" t="s">
        <v>369</v>
      </c>
      <c r="G24731">
        <v>101.21</v>
      </c>
      <c r="H24731">
        <v>250808</v>
      </c>
      <c r="I24731">
        <v>4842</v>
      </c>
      <c r="J24731" t="s">
        <v>15</v>
      </c>
      <c r="K24731">
        <v>2829.04</v>
      </c>
      <c r="L24731">
        <v>0</v>
      </c>
      <c r="M24731">
        <v>16820</v>
      </c>
      <c r="N24731" t="s">
        <v>128</v>
      </c>
      <c r="O24731">
        <v>250814</v>
      </c>
      <c r="P24731">
        <v>101.21</v>
      </c>
    </row>
    <row r="24732" spans="1:16" x14ac:dyDescent="0.25">
      <c r="A24732" t="s">
        <v>3296</v>
      </c>
      <c r="B24732" t="s">
        <v>2931</v>
      </c>
      <c r="C24732">
        <v>10314</v>
      </c>
      <c r="D24732" t="str">
        <f t="shared" si="545"/>
        <v xml:space="preserve">INVFI26893  </v>
      </c>
      <c r="E24732" t="s">
        <v>368</v>
      </c>
      <c r="F24732" t="s">
        <v>369</v>
      </c>
      <c r="G24732">
        <v>101.21</v>
      </c>
      <c r="H24732">
        <v>250808</v>
      </c>
      <c r="I24732">
        <v>4842</v>
      </c>
      <c r="J24732" t="s">
        <v>15</v>
      </c>
      <c r="K24732">
        <v>2829.04</v>
      </c>
      <c r="L24732">
        <v>0</v>
      </c>
      <c r="M24732">
        <v>17524</v>
      </c>
      <c r="N24732" t="s">
        <v>139</v>
      </c>
      <c r="O24732">
        <v>250814</v>
      </c>
      <c r="P24732">
        <v>101.21</v>
      </c>
    </row>
    <row r="24733" spans="1:16" x14ac:dyDescent="0.25">
      <c r="A24733" t="s">
        <v>3296</v>
      </c>
      <c r="B24733" t="s">
        <v>2931</v>
      </c>
      <c r="C24733">
        <v>10314</v>
      </c>
      <c r="D24733" t="str">
        <f t="shared" si="545"/>
        <v xml:space="preserve">INVFI26893  </v>
      </c>
      <c r="E24733" t="s">
        <v>368</v>
      </c>
      <c r="F24733" t="s">
        <v>369</v>
      </c>
      <c r="G24733">
        <v>101.21</v>
      </c>
      <c r="H24733">
        <v>250808</v>
      </c>
      <c r="I24733">
        <v>4842</v>
      </c>
      <c r="J24733" t="s">
        <v>15</v>
      </c>
      <c r="K24733">
        <v>2829.04</v>
      </c>
      <c r="L24733">
        <v>0</v>
      </c>
      <c r="M24733">
        <v>17526</v>
      </c>
      <c r="N24733" t="s">
        <v>141</v>
      </c>
      <c r="O24733">
        <v>250814</v>
      </c>
      <c r="P24733">
        <v>101.21</v>
      </c>
    </row>
    <row r="24734" spans="1:16" x14ac:dyDescent="0.25">
      <c r="A24734" t="s">
        <v>3296</v>
      </c>
      <c r="B24734" t="s">
        <v>2931</v>
      </c>
      <c r="C24734">
        <v>10314</v>
      </c>
      <c r="D24734" t="str">
        <f t="shared" si="545"/>
        <v xml:space="preserve">INVFI26893  </v>
      </c>
      <c r="E24734" t="s">
        <v>368</v>
      </c>
      <c r="F24734" t="s">
        <v>369</v>
      </c>
      <c r="G24734">
        <v>101.21</v>
      </c>
      <c r="H24734">
        <v>250808</v>
      </c>
      <c r="I24734">
        <v>4842</v>
      </c>
      <c r="J24734" t="s">
        <v>15</v>
      </c>
      <c r="K24734">
        <v>2829.04</v>
      </c>
      <c r="L24734">
        <v>0</v>
      </c>
      <c r="M24734">
        <v>17529</v>
      </c>
      <c r="N24734" t="s">
        <v>143</v>
      </c>
      <c r="O24734">
        <v>250814</v>
      </c>
      <c r="P24734">
        <v>101.21</v>
      </c>
    </row>
    <row r="24735" spans="1:16" x14ac:dyDescent="0.25">
      <c r="A24735" t="s">
        <v>3296</v>
      </c>
      <c r="B24735" t="s">
        <v>2931</v>
      </c>
      <c r="C24735">
        <v>10314</v>
      </c>
      <c r="D24735" t="str">
        <f t="shared" si="545"/>
        <v xml:space="preserve">INVFI26893  </v>
      </c>
      <c r="E24735" t="s">
        <v>368</v>
      </c>
      <c r="F24735" t="s">
        <v>369</v>
      </c>
      <c r="G24735">
        <v>101.21</v>
      </c>
      <c r="H24735">
        <v>250808</v>
      </c>
      <c r="I24735">
        <v>4842</v>
      </c>
      <c r="J24735" t="s">
        <v>15</v>
      </c>
      <c r="K24735">
        <v>2829.04</v>
      </c>
      <c r="L24735">
        <v>0</v>
      </c>
      <c r="M24735">
        <v>17802</v>
      </c>
      <c r="N24735" t="s">
        <v>18</v>
      </c>
      <c r="O24735">
        <v>250814</v>
      </c>
      <c r="P24735">
        <v>101.21</v>
      </c>
    </row>
    <row r="24736" spans="1:16" x14ac:dyDescent="0.25">
      <c r="A24736" t="s">
        <v>3296</v>
      </c>
      <c r="B24736" t="s">
        <v>2931</v>
      </c>
      <c r="C24736">
        <v>10314</v>
      </c>
      <c r="D24736" t="str">
        <f t="shared" si="545"/>
        <v xml:space="preserve">INVFI26893  </v>
      </c>
      <c r="E24736" t="s">
        <v>368</v>
      </c>
      <c r="F24736" t="s">
        <v>369</v>
      </c>
      <c r="G24736">
        <v>100</v>
      </c>
      <c r="H24736">
        <v>250808</v>
      </c>
      <c r="I24736">
        <v>4842</v>
      </c>
      <c r="J24736" t="s">
        <v>15</v>
      </c>
      <c r="K24736">
        <v>2829.04</v>
      </c>
      <c r="L24736">
        <v>0</v>
      </c>
      <c r="M24736">
        <v>17809</v>
      </c>
      <c r="N24736" t="s">
        <v>25</v>
      </c>
      <c r="O24736">
        <v>250814</v>
      </c>
      <c r="P24736">
        <v>100</v>
      </c>
    </row>
    <row r="24737" spans="1:16" x14ac:dyDescent="0.25">
      <c r="A24737" t="s">
        <v>3296</v>
      </c>
      <c r="B24737" t="s">
        <v>2931</v>
      </c>
      <c r="C24737">
        <v>10314</v>
      </c>
      <c r="D24737" t="str">
        <f t="shared" si="545"/>
        <v xml:space="preserve">INVFI26893  </v>
      </c>
      <c r="E24737" t="s">
        <v>368</v>
      </c>
      <c r="F24737" t="s">
        <v>369</v>
      </c>
      <c r="G24737">
        <v>101.21</v>
      </c>
      <c r="H24737">
        <v>250808</v>
      </c>
      <c r="I24737">
        <v>4842</v>
      </c>
      <c r="J24737" t="s">
        <v>15</v>
      </c>
      <c r="K24737">
        <v>2829.04</v>
      </c>
      <c r="L24737">
        <v>0</v>
      </c>
      <c r="M24737">
        <v>17972</v>
      </c>
      <c r="N24737" t="s">
        <v>28</v>
      </c>
      <c r="O24737">
        <v>250814</v>
      </c>
      <c r="P24737">
        <v>101.21</v>
      </c>
    </row>
    <row r="24738" spans="1:16" x14ac:dyDescent="0.25">
      <c r="A24738" t="s">
        <v>3296</v>
      </c>
      <c r="B24738" t="s">
        <v>2931</v>
      </c>
      <c r="C24738">
        <v>10314</v>
      </c>
      <c r="D24738" t="str">
        <f t="shared" si="545"/>
        <v xml:space="preserve">INVFI26893  </v>
      </c>
      <c r="E24738" t="s">
        <v>368</v>
      </c>
      <c r="F24738" t="s">
        <v>369</v>
      </c>
      <c r="G24738">
        <v>101.21</v>
      </c>
      <c r="H24738">
        <v>250808</v>
      </c>
      <c r="I24738">
        <v>4842</v>
      </c>
      <c r="J24738" t="s">
        <v>15</v>
      </c>
      <c r="K24738">
        <v>2829.04</v>
      </c>
      <c r="L24738">
        <v>0</v>
      </c>
      <c r="M24738">
        <v>17972</v>
      </c>
      <c r="N24738" t="s">
        <v>28</v>
      </c>
      <c r="O24738">
        <v>250814</v>
      </c>
      <c r="P24738">
        <v>101.21</v>
      </c>
    </row>
    <row r="24739" spans="1:16" x14ac:dyDescent="0.25">
      <c r="A24739" t="s">
        <v>3296</v>
      </c>
      <c r="B24739" t="s">
        <v>2931</v>
      </c>
      <c r="C24739">
        <v>10314</v>
      </c>
      <c r="D24739" t="str">
        <f t="shared" si="545"/>
        <v xml:space="preserve">INVFI26893  </v>
      </c>
      <c r="E24739" t="s">
        <v>368</v>
      </c>
      <c r="F24739" t="s">
        <v>369</v>
      </c>
      <c r="G24739">
        <v>101.21</v>
      </c>
      <c r="H24739">
        <v>250808</v>
      </c>
      <c r="I24739">
        <v>4842</v>
      </c>
      <c r="J24739" t="s">
        <v>15</v>
      </c>
      <c r="K24739">
        <v>2829.04</v>
      </c>
      <c r="L24739">
        <v>0</v>
      </c>
      <c r="M24739">
        <v>17972</v>
      </c>
      <c r="N24739" t="s">
        <v>28</v>
      </c>
      <c r="O24739">
        <v>250814</v>
      </c>
      <c r="P24739">
        <v>101.21</v>
      </c>
    </row>
    <row r="24740" spans="1:16" x14ac:dyDescent="0.25">
      <c r="A24740" t="s">
        <v>3296</v>
      </c>
      <c r="B24740" t="s">
        <v>2931</v>
      </c>
      <c r="C24740">
        <v>10314</v>
      </c>
      <c r="D24740" t="str">
        <f t="shared" si="545"/>
        <v xml:space="preserve">INVFI26893  </v>
      </c>
      <c r="E24740" t="s">
        <v>368</v>
      </c>
      <c r="F24740" t="s">
        <v>369</v>
      </c>
      <c r="G24740">
        <v>101.21</v>
      </c>
      <c r="H24740">
        <v>250808</v>
      </c>
      <c r="I24740">
        <v>4842</v>
      </c>
      <c r="J24740" t="s">
        <v>15</v>
      </c>
      <c r="K24740">
        <v>2829.04</v>
      </c>
      <c r="L24740">
        <v>0</v>
      </c>
      <c r="M24740">
        <v>17974</v>
      </c>
      <c r="N24740" t="s">
        <v>153</v>
      </c>
      <c r="O24740">
        <v>250814</v>
      </c>
      <c r="P24740">
        <v>101.21</v>
      </c>
    </row>
    <row r="24741" spans="1:16" x14ac:dyDescent="0.25">
      <c r="A24741" t="s">
        <v>3296</v>
      </c>
      <c r="B24741" t="s">
        <v>2931</v>
      </c>
      <c r="C24741">
        <v>10314</v>
      </c>
      <c r="D24741" t="str">
        <f t="shared" si="545"/>
        <v xml:space="preserve">INVFI26893  </v>
      </c>
      <c r="E24741" t="s">
        <v>368</v>
      </c>
      <c r="F24741" t="s">
        <v>369</v>
      </c>
      <c r="G24741">
        <v>100</v>
      </c>
      <c r="H24741">
        <v>250808</v>
      </c>
      <c r="I24741">
        <v>4842</v>
      </c>
      <c r="J24741" t="s">
        <v>15</v>
      </c>
      <c r="K24741">
        <v>2829.04</v>
      </c>
      <c r="L24741">
        <v>0</v>
      </c>
      <c r="M24741">
        <v>18972</v>
      </c>
      <c r="N24741" t="s">
        <v>39</v>
      </c>
      <c r="O24741">
        <v>250814</v>
      </c>
      <c r="P24741">
        <v>100</v>
      </c>
    </row>
    <row r="24742" spans="1:16" x14ac:dyDescent="0.25">
      <c r="A24742" t="s">
        <v>3296</v>
      </c>
      <c r="B24742" t="s">
        <v>2931</v>
      </c>
      <c r="C24742">
        <v>10314</v>
      </c>
      <c r="D24742" t="str">
        <f t="shared" si="545"/>
        <v xml:space="preserve">INVFI26893  </v>
      </c>
      <c r="E24742" t="s">
        <v>368</v>
      </c>
      <c r="F24742" t="s">
        <v>369</v>
      </c>
      <c r="G24742">
        <v>101.21</v>
      </c>
      <c r="H24742">
        <v>250808</v>
      </c>
      <c r="I24742">
        <v>4842</v>
      </c>
      <c r="J24742" t="s">
        <v>15</v>
      </c>
      <c r="K24742">
        <v>2829.04</v>
      </c>
      <c r="L24742">
        <v>0</v>
      </c>
      <c r="M24742">
        <v>44222</v>
      </c>
      <c r="N24742" t="s">
        <v>96</v>
      </c>
      <c r="O24742">
        <v>250814</v>
      </c>
      <c r="P24742">
        <v>101.21</v>
      </c>
    </row>
    <row r="24743" spans="1:16" x14ac:dyDescent="0.25">
      <c r="A24743" t="s">
        <v>3296</v>
      </c>
      <c r="B24743" t="s">
        <v>2931</v>
      </c>
      <c r="C24743">
        <v>10314</v>
      </c>
      <c r="D24743" t="str">
        <f t="shared" si="545"/>
        <v xml:space="preserve">INVFI26893  </v>
      </c>
      <c r="E24743" t="s">
        <v>368</v>
      </c>
      <c r="F24743" t="s">
        <v>369</v>
      </c>
      <c r="G24743">
        <v>101.21</v>
      </c>
      <c r="H24743">
        <v>250808</v>
      </c>
      <c r="I24743">
        <v>4842</v>
      </c>
      <c r="J24743" t="s">
        <v>15</v>
      </c>
      <c r="K24743">
        <v>2829.04</v>
      </c>
      <c r="L24743">
        <v>0</v>
      </c>
      <c r="M24743">
        <v>44222</v>
      </c>
      <c r="N24743" t="s">
        <v>96</v>
      </c>
      <c r="O24743">
        <v>250814</v>
      </c>
      <c r="P24743">
        <v>101.21</v>
      </c>
    </row>
    <row r="24744" spans="1:16" x14ac:dyDescent="0.25">
      <c r="A24744" t="s">
        <v>3296</v>
      </c>
      <c r="B24744" t="s">
        <v>2931</v>
      </c>
      <c r="C24744">
        <v>10314</v>
      </c>
      <c r="D24744" t="str">
        <f t="shared" si="545"/>
        <v xml:space="preserve">INVFI26893  </v>
      </c>
      <c r="E24744" t="s">
        <v>368</v>
      </c>
      <c r="F24744" t="s">
        <v>369</v>
      </c>
      <c r="G24744">
        <v>101.21</v>
      </c>
      <c r="H24744">
        <v>250808</v>
      </c>
      <c r="I24744">
        <v>4842</v>
      </c>
      <c r="J24744" t="s">
        <v>15</v>
      </c>
      <c r="K24744">
        <v>2829.04</v>
      </c>
      <c r="L24744">
        <v>0</v>
      </c>
      <c r="M24744">
        <v>49702</v>
      </c>
      <c r="N24744" t="s">
        <v>112</v>
      </c>
      <c r="O24744">
        <v>250814</v>
      </c>
      <c r="P24744">
        <v>101.21</v>
      </c>
    </row>
    <row r="24745" spans="1:16" x14ac:dyDescent="0.25">
      <c r="A24745" t="s">
        <v>3296</v>
      </c>
      <c r="B24745" t="s">
        <v>2931</v>
      </c>
      <c r="C24745">
        <v>10314</v>
      </c>
      <c r="D24745" t="str">
        <f t="shared" si="545"/>
        <v xml:space="preserve">INVFI26893  </v>
      </c>
      <c r="E24745" t="s">
        <v>368</v>
      </c>
      <c r="F24745" t="s">
        <v>369</v>
      </c>
      <c r="G24745">
        <v>101.21</v>
      </c>
      <c r="H24745">
        <v>250808</v>
      </c>
      <c r="I24745">
        <v>4842</v>
      </c>
      <c r="J24745" t="s">
        <v>15</v>
      </c>
      <c r="K24745">
        <v>2829.04</v>
      </c>
      <c r="L24745">
        <v>0</v>
      </c>
      <c r="M24745">
        <v>54422</v>
      </c>
      <c r="N24745" t="s">
        <v>49</v>
      </c>
      <c r="O24745">
        <v>250814</v>
      </c>
      <c r="P24745">
        <v>101.21</v>
      </c>
    </row>
    <row r="24746" spans="1:16" x14ac:dyDescent="0.25">
      <c r="A24746" t="s">
        <v>3296</v>
      </c>
      <c r="B24746" t="s">
        <v>2931</v>
      </c>
      <c r="C24746">
        <v>10314</v>
      </c>
      <c r="D24746" t="str">
        <f t="shared" si="545"/>
        <v xml:space="preserve">INVFI26893  </v>
      </c>
      <c r="E24746" t="s">
        <v>368</v>
      </c>
      <c r="F24746" t="s">
        <v>369</v>
      </c>
      <c r="G24746">
        <v>101.21</v>
      </c>
      <c r="H24746">
        <v>250808</v>
      </c>
      <c r="I24746">
        <v>4842</v>
      </c>
      <c r="J24746" t="s">
        <v>15</v>
      </c>
      <c r="K24746">
        <v>2829.04</v>
      </c>
      <c r="L24746">
        <v>0</v>
      </c>
      <c r="M24746">
        <v>59702</v>
      </c>
      <c r="N24746" t="s">
        <v>45</v>
      </c>
      <c r="O24746">
        <v>250814</v>
      </c>
      <c r="P24746">
        <v>101.21</v>
      </c>
    </row>
    <row r="24747" spans="1:16" x14ac:dyDescent="0.25">
      <c r="A24747" t="s">
        <v>3296</v>
      </c>
      <c r="B24747" t="s">
        <v>2931</v>
      </c>
      <c r="C24747">
        <v>10314</v>
      </c>
      <c r="D24747" t="str">
        <f t="shared" si="545"/>
        <v xml:space="preserve">INVFI26893  </v>
      </c>
      <c r="E24747" t="s">
        <v>368</v>
      </c>
      <c r="F24747" t="s">
        <v>369</v>
      </c>
      <c r="G24747">
        <v>101.21</v>
      </c>
      <c r="H24747">
        <v>250808</v>
      </c>
      <c r="I24747">
        <v>4842</v>
      </c>
      <c r="J24747" t="s">
        <v>15</v>
      </c>
      <c r="K24747">
        <v>2829.04</v>
      </c>
      <c r="L24747">
        <v>0</v>
      </c>
      <c r="M24747">
        <v>67522</v>
      </c>
      <c r="N24747" t="s">
        <v>121</v>
      </c>
      <c r="O24747">
        <v>250814</v>
      </c>
      <c r="P24747">
        <v>101.21</v>
      </c>
    </row>
    <row r="24748" spans="1:16" x14ac:dyDescent="0.25">
      <c r="A24748" t="s">
        <v>3296</v>
      </c>
      <c r="B24748" t="s">
        <v>2931</v>
      </c>
      <c r="C24748">
        <v>12005</v>
      </c>
      <c r="D24748" t="str">
        <f t="shared" ref="D24748:D24776" si="546">"INVFI28534  "</f>
        <v xml:space="preserve">INVFI28534  </v>
      </c>
      <c r="E24748" t="s">
        <v>368</v>
      </c>
      <c r="F24748" t="s">
        <v>369</v>
      </c>
      <c r="G24748">
        <v>101.21</v>
      </c>
      <c r="H24748">
        <v>250904</v>
      </c>
      <c r="I24748">
        <v>4842</v>
      </c>
      <c r="J24748" t="s">
        <v>15</v>
      </c>
      <c r="K24748">
        <v>2938.72</v>
      </c>
      <c r="L24748">
        <v>0</v>
      </c>
      <c r="M24748">
        <v>11301</v>
      </c>
      <c r="N24748" t="s">
        <v>92</v>
      </c>
      <c r="O24748">
        <v>250915</v>
      </c>
      <c r="P24748">
        <v>101.21</v>
      </c>
    </row>
    <row r="24749" spans="1:16" x14ac:dyDescent="0.25">
      <c r="A24749" t="s">
        <v>3296</v>
      </c>
      <c r="B24749" t="s">
        <v>2931</v>
      </c>
      <c r="C24749">
        <v>12005</v>
      </c>
      <c r="D24749" t="str">
        <f t="shared" si="546"/>
        <v xml:space="preserve">INVFI28534  </v>
      </c>
      <c r="E24749" t="s">
        <v>368</v>
      </c>
      <c r="F24749" t="s">
        <v>369</v>
      </c>
      <c r="G24749">
        <v>101.21</v>
      </c>
      <c r="H24749">
        <v>250904</v>
      </c>
      <c r="I24749">
        <v>4842</v>
      </c>
      <c r="J24749" t="s">
        <v>15</v>
      </c>
      <c r="K24749">
        <v>2938.72</v>
      </c>
      <c r="L24749">
        <v>0</v>
      </c>
      <c r="M24749">
        <v>11301</v>
      </c>
      <c r="N24749" t="s">
        <v>92</v>
      </c>
      <c r="O24749">
        <v>250915</v>
      </c>
      <c r="P24749">
        <v>101.21</v>
      </c>
    </row>
    <row r="24750" spans="1:16" x14ac:dyDescent="0.25">
      <c r="A24750" t="s">
        <v>3296</v>
      </c>
      <c r="B24750" t="s">
        <v>2931</v>
      </c>
      <c r="C24750">
        <v>12005</v>
      </c>
      <c r="D24750" t="str">
        <f t="shared" si="546"/>
        <v xml:space="preserve">INVFI28534  </v>
      </c>
      <c r="E24750" t="s">
        <v>368</v>
      </c>
      <c r="F24750" t="s">
        <v>369</v>
      </c>
      <c r="G24750">
        <v>100</v>
      </c>
      <c r="H24750">
        <v>250904</v>
      </c>
      <c r="I24750">
        <v>4842</v>
      </c>
      <c r="J24750" t="s">
        <v>15</v>
      </c>
      <c r="K24750">
        <v>2938.72</v>
      </c>
      <c r="L24750">
        <v>0</v>
      </c>
      <c r="M24750">
        <v>13601</v>
      </c>
      <c r="N24750" t="s">
        <v>115</v>
      </c>
      <c r="O24750">
        <v>250915</v>
      </c>
      <c r="P24750">
        <v>100</v>
      </c>
    </row>
    <row r="24751" spans="1:16" x14ac:dyDescent="0.25">
      <c r="A24751" t="s">
        <v>3296</v>
      </c>
      <c r="B24751" t="s">
        <v>2931</v>
      </c>
      <c r="C24751">
        <v>12005</v>
      </c>
      <c r="D24751" t="str">
        <f t="shared" si="546"/>
        <v xml:space="preserve">INVFI28534  </v>
      </c>
      <c r="E24751" t="s">
        <v>368</v>
      </c>
      <c r="F24751" t="s">
        <v>369</v>
      </c>
      <c r="G24751">
        <v>101.21</v>
      </c>
      <c r="H24751">
        <v>250904</v>
      </c>
      <c r="I24751">
        <v>4842</v>
      </c>
      <c r="J24751" t="s">
        <v>15</v>
      </c>
      <c r="K24751">
        <v>2938.72</v>
      </c>
      <c r="L24751">
        <v>0</v>
      </c>
      <c r="M24751">
        <v>14121</v>
      </c>
      <c r="N24751" t="s">
        <v>71</v>
      </c>
      <c r="O24751">
        <v>250915</v>
      </c>
      <c r="P24751">
        <v>101.21</v>
      </c>
    </row>
    <row r="24752" spans="1:16" x14ac:dyDescent="0.25">
      <c r="A24752" t="s">
        <v>3296</v>
      </c>
      <c r="B24752" t="s">
        <v>2931</v>
      </c>
      <c r="C24752">
        <v>12005</v>
      </c>
      <c r="D24752" t="str">
        <f t="shared" si="546"/>
        <v xml:space="preserve">INVFI28534  </v>
      </c>
      <c r="E24752" t="s">
        <v>368</v>
      </c>
      <c r="F24752" t="s">
        <v>369</v>
      </c>
      <c r="G24752">
        <v>100</v>
      </c>
      <c r="H24752">
        <v>250904</v>
      </c>
      <c r="I24752">
        <v>4842</v>
      </c>
      <c r="J24752" t="s">
        <v>15</v>
      </c>
      <c r="K24752">
        <v>2938.72</v>
      </c>
      <c r="L24752">
        <v>0</v>
      </c>
      <c r="M24752">
        <v>14541</v>
      </c>
      <c r="N24752" t="s">
        <v>76</v>
      </c>
      <c r="O24752">
        <v>250915</v>
      </c>
      <c r="P24752">
        <v>100</v>
      </c>
    </row>
    <row r="24753" spans="1:16" x14ac:dyDescent="0.25">
      <c r="A24753" t="s">
        <v>3296</v>
      </c>
      <c r="B24753" t="s">
        <v>2931</v>
      </c>
      <c r="C24753">
        <v>12005</v>
      </c>
      <c r="D24753" t="str">
        <f t="shared" si="546"/>
        <v xml:space="preserve">INVFI28534  </v>
      </c>
      <c r="E24753" t="s">
        <v>368</v>
      </c>
      <c r="F24753" t="s">
        <v>369</v>
      </c>
      <c r="G24753">
        <v>101.21</v>
      </c>
      <c r="H24753">
        <v>250904</v>
      </c>
      <c r="I24753">
        <v>4842</v>
      </c>
      <c r="J24753" t="s">
        <v>15</v>
      </c>
      <c r="K24753">
        <v>2938.72</v>
      </c>
      <c r="L24753">
        <v>0</v>
      </c>
      <c r="M24753">
        <v>14622</v>
      </c>
      <c r="N24753" t="s">
        <v>77</v>
      </c>
      <c r="O24753">
        <v>250915</v>
      </c>
      <c r="P24753">
        <v>101.21</v>
      </c>
    </row>
    <row r="24754" spans="1:16" x14ac:dyDescent="0.25">
      <c r="A24754" t="s">
        <v>3296</v>
      </c>
      <c r="B24754" t="s">
        <v>2931</v>
      </c>
      <c r="C24754">
        <v>12005</v>
      </c>
      <c r="D24754" t="str">
        <f t="shared" si="546"/>
        <v xml:space="preserve">INVFI28534  </v>
      </c>
      <c r="E24754" t="s">
        <v>368</v>
      </c>
      <c r="F24754" t="s">
        <v>369</v>
      </c>
      <c r="G24754">
        <v>101.21</v>
      </c>
      <c r="H24754">
        <v>250904</v>
      </c>
      <c r="I24754">
        <v>4842</v>
      </c>
      <c r="J24754" t="s">
        <v>15</v>
      </c>
      <c r="K24754">
        <v>2938.72</v>
      </c>
      <c r="L24754">
        <v>0</v>
      </c>
      <c r="M24754">
        <v>14622</v>
      </c>
      <c r="N24754" t="s">
        <v>77</v>
      </c>
      <c r="O24754">
        <v>250915</v>
      </c>
      <c r="P24754">
        <v>101.21</v>
      </c>
    </row>
    <row r="24755" spans="1:16" x14ac:dyDescent="0.25">
      <c r="A24755" t="s">
        <v>3296</v>
      </c>
      <c r="B24755" t="s">
        <v>2931</v>
      </c>
      <c r="C24755">
        <v>12005</v>
      </c>
      <c r="D24755" t="str">
        <f t="shared" si="546"/>
        <v xml:space="preserve">INVFI28534  </v>
      </c>
      <c r="E24755" t="s">
        <v>368</v>
      </c>
      <c r="F24755" t="s">
        <v>369</v>
      </c>
      <c r="G24755">
        <v>101.21</v>
      </c>
      <c r="H24755">
        <v>250904</v>
      </c>
      <c r="I24755">
        <v>4842</v>
      </c>
      <c r="J24755" t="s">
        <v>15</v>
      </c>
      <c r="K24755">
        <v>2938.72</v>
      </c>
      <c r="L24755">
        <v>0</v>
      </c>
      <c r="M24755">
        <v>14640</v>
      </c>
      <c r="N24755" t="s">
        <v>78</v>
      </c>
      <c r="O24755">
        <v>250915</v>
      </c>
      <c r="P24755">
        <v>101.21</v>
      </c>
    </row>
    <row r="24756" spans="1:16" x14ac:dyDescent="0.25">
      <c r="A24756" t="s">
        <v>3296</v>
      </c>
      <c r="B24756" t="s">
        <v>2931</v>
      </c>
      <c r="C24756">
        <v>12005</v>
      </c>
      <c r="D24756" t="str">
        <f t="shared" si="546"/>
        <v xml:space="preserve">INVFI28534  </v>
      </c>
      <c r="E24756" t="s">
        <v>368</v>
      </c>
      <c r="F24756" t="s">
        <v>369</v>
      </c>
      <c r="G24756">
        <v>101.21</v>
      </c>
      <c r="H24756">
        <v>250904</v>
      </c>
      <c r="I24756">
        <v>4842</v>
      </c>
      <c r="J24756" t="s">
        <v>15</v>
      </c>
      <c r="K24756">
        <v>2938.72</v>
      </c>
      <c r="L24756">
        <v>0</v>
      </c>
      <c r="M24756">
        <v>14971</v>
      </c>
      <c r="N24756" t="s">
        <v>81</v>
      </c>
      <c r="O24756">
        <v>250915</v>
      </c>
      <c r="P24756">
        <v>101.21</v>
      </c>
    </row>
    <row r="24757" spans="1:16" x14ac:dyDescent="0.25">
      <c r="A24757" t="s">
        <v>3296</v>
      </c>
      <c r="B24757" t="s">
        <v>2931</v>
      </c>
      <c r="C24757">
        <v>12005</v>
      </c>
      <c r="D24757" t="str">
        <f t="shared" si="546"/>
        <v xml:space="preserve">INVFI28534  </v>
      </c>
      <c r="E24757" t="s">
        <v>368</v>
      </c>
      <c r="F24757" t="s">
        <v>369</v>
      </c>
      <c r="G24757">
        <v>101.21</v>
      </c>
      <c r="H24757">
        <v>250904</v>
      </c>
      <c r="I24757">
        <v>4842</v>
      </c>
      <c r="J24757" t="s">
        <v>15</v>
      </c>
      <c r="K24757">
        <v>2938.72</v>
      </c>
      <c r="L24757">
        <v>0</v>
      </c>
      <c r="M24757">
        <v>16431</v>
      </c>
      <c r="N24757" t="s">
        <v>17</v>
      </c>
      <c r="O24757">
        <v>250915</v>
      </c>
      <c r="P24757">
        <v>101.21</v>
      </c>
    </row>
    <row r="24758" spans="1:16" x14ac:dyDescent="0.25">
      <c r="A24758" t="s">
        <v>3296</v>
      </c>
      <c r="B24758" t="s">
        <v>2931</v>
      </c>
      <c r="C24758">
        <v>12005</v>
      </c>
      <c r="D24758" t="str">
        <f t="shared" si="546"/>
        <v xml:space="preserve">INVFI28534  </v>
      </c>
      <c r="E24758" t="s">
        <v>368</v>
      </c>
      <c r="F24758" t="s">
        <v>369</v>
      </c>
      <c r="G24758">
        <v>101.21</v>
      </c>
      <c r="H24758">
        <v>250904</v>
      </c>
      <c r="I24758">
        <v>4842</v>
      </c>
      <c r="J24758" t="s">
        <v>15</v>
      </c>
      <c r="K24758">
        <v>2938.72</v>
      </c>
      <c r="L24758">
        <v>0</v>
      </c>
      <c r="M24758">
        <v>16431</v>
      </c>
      <c r="N24758" t="s">
        <v>17</v>
      </c>
      <c r="O24758">
        <v>250915</v>
      </c>
      <c r="P24758">
        <v>101.21</v>
      </c>
    </row>
    <row r="24759" spans="1:16" x14ac:dyDescent="0.25">
      <c r="A24759" t="s">
        <v>3296</v>
      </c>
      <c r="B24759" t="s">
        <v>2931</v>
      </c>
      <c r="C24759">
        <v>12005</v>
      </c>
      <c r="D24759" t="str">
        <f t="shared" si="546"/>
        <v xml:space="preserve">INVFI28534  </v>
      </c>
      <c r="E24759" t="s">
        <v>368</v>
      </c>
      <c r="F24759" t="s">
        <v>369</v>
      </c>
      <c r="G24759">
        <v>101.21</v>
      </c>
      <c r="H24759">
        <v>250904</v>
      </c>
      <c r="I24759">
        <v>4842</v>
      </c>
      <c r="J24759" t="s">
        <v>15</v>
      </c>
      <c r="K24759">
        <v>2938.72</v>
      </c>
      <c r="L24759">
        <v>0</v>
      </c>
      <c r="M24759">
        <v>16820</v>
      </c>
      <c r="N24759" t="s">
        <v>128</v>
      </c>
      <c r="O24759">
        <v>250915</v>
      </c>
      <c r="P24759">
        <v>101.21</v>
      </c>
    </row>
    <row r="24760" spans="1:16" x14ac:dyDescent="0.25">
      <c r="A24760" t="s">
        <v>3296</v>
      </c>
      <c r="B24760" t="s">
        <v>2931</v>
      </c>
      <c r="C24760">
        <v>12005</v>
      </c>
      <c r="D24760" t="str">
        <f t="shared" si="546"/>
        <v xml:space="preserve">INVFI28534  </v>
      </c>
      <c r="E24760" t="s">
        <v>368</v>
      </c>
      <c r="F24760" t="s">
        <v>369</v>
      </c>
      <c r="G24760">
        <v>101.21</v>
      </c>
      <c r="H24760">
        <v>250904</v>
      </c>
      <c r="I24760">
        <v>4842</v>
      </c>
      <c r="J24760" t="s">
        <v>15</v>
      </c>
      <c r="K24760">
        <v>2938.72</v>
      </c>
      <c r="L24760">
        <v>0</v>
      </c>
      <c r="M24760">
        <v>17524</v>
      </c>
      <c r="N24760" t="s">
        <v>139</v>
      </c>
      <c r="O24760">
        <v>250915</v>
      </c>
      <c r="P24760">
        <v>101.21</v>
      </c>
    </row>
    <row r="24761" spans="1:16" x14ac:dyDescent="0.25">
      <c r="A24761" t="s">
        <v>3296</v>
      </c>
      <c r="B24761" t="s">
        <v>2931</v>
      </c>
      <c r="C24761">
        <v>12005</v>
      </c>
      <c r="D24761" t="str">
        <f t="shared" si="546"/>
        <v xml:space="preserve">INVFI28534  </v>
      </c>
      <c r="E24761" t="s">
        <v>368</v>
      </c>
      <c r="F24761" t="s">
        <v>369</v>
      </c>
      <c r="G24761">
        <v>101.21</v>
      </c>
      <c r="H24761">
        <v>250904</v>
      </c>
      <c r="I24761">
        <v>4842</v>
      </c>
      <c r="J24761" t="s">
        <v>15</v>
      </c>
      <c r="K24761">
        <v>2938.72</v>
      </c>
      <c r="L24761">
        <v>0</v>
      </c>
      <c r="M24761">
        <v>17526</v>
      </c>
      <c r="N24761" t="s">
        <v>141</v>
      </c>
      <c r="O24761">
        <v>250915</v>
      </c>
      <c r="P24761">
        <v>101.21</v>
      </c>
    </row>
    <row r="24762" spans="1:16" x14ac:dyDescent="0.25">
      <c r="A24762" t="s">
        <v>3296</v>
      </c>
      <c r="B24762" t="s">
        <v>2931</v>
      </c>
      <c r="C24762">
        <v>12005</v>
      </c>
      <c r="D24762" t="str">
        <f t="shared" si="546"/>
        <v xml:space="preserve">INVFI28534  </v>
      </c>
      <c r="E24762" t="s">
        <v>368</v>
      </c>
      <c r="F24762" t="s">
        <v>369</v>
      </c>
      <c r="G24762">
        <v>101.21</v>
      </c>
      <c r="H24762">
        <v>250904</v>
      </c>
      <c r="I24762">
        <v>4842</v>
      </c>
      <c r="J24762" t="s">
        <v>15</v>
      </c>
      <c r="K24762">
        <v>2938.72</v>
      </c>
      <c r="L24762">
        <v>0</v>
      </c>
      <c r="M24762">
        <v>17529</v>
      </c>
      <c r="N24762" t="s">
        <v>143</v>
      </c>
      <c r="O24762">
        <v>250915</v>
      </c>
      <c r="P24762">
        <v>101.21</v>
      </c>
    </row>
    <row r="24763" spans="1:16" x14ac:dyDescent="0.25">
      <c r="A24763" t="s">
        <v>3296</v>
      </c>
      <c r="B24763" t="s">
        <v>2931</v>
      </c>
      <c r="C24763">
        <v>12005</v>
      </c>
      <c r="D24763" t="str">
        <f t="shared" si="546"/>
        <v xml:space="preserve">INVFI28534  </v>
      </c>
      <c r="E24763" t="s">
        <v>368</v>
      </c>
      <c r="F24763" t="s">
        <v>369</v>
      </c>
      <c r="G24763">
        <v>101.21</v>
      </c>
      <c r="H24763">
        <v>250904</v>
      </c>
      <c r="I24763">
        <v>4842</v>
      </c>
      <c r="J24763" t="s">
        <v>15</v>
      </c>
      <c r="K24763">
        <v>2938.72</v>
      </c>
      <c r="L24763">
        <v>0</v>
      </c>
      <c r="M24763">
        <v>17802</v>
      </c>
      <c r="N24763" t="s">
        <v>18</v>
      </c>
      <c r="O24763">
        <v>250915</v>
      </c>
      <c r="P24763">
        <v>101.21</v>
      </c>
    </row>
    <row r="24764" spans="1:16" x14ac:dyDescent="0.25">
      <c r="A24764" t="s">
        <v>3296</v>
      </c>
      <c r="B24764" t="s">
        <v>2931</v>
      </c>
      <c r="C24764">
        <v>12005</v>
      </c>
      <c r="D24764" t="str">
        <f t="shared" si="546"/>
        <v xml:space="preserve">INVFI28534  </v>
      </c>
      <c r="E24764" t="s">
        <v>368</v>
      </c>
      <c r="F24764" t="s">
        <v>369</v>
      </c>
      <c r="G24764">
        <v>100</v>
      </c>
      <c r="H24764">
        <v>250904</v>
      </c>
      <c r="I24764">
        <v>4842</v>
      </c>
      <c r="J24764" t="s">
        <v>15</v>
      </c>
      <c r="K24764">
        <v>2938.72</v>
      </c>
      <c r="L24764">
        <v>0</v>
      </c>
      <c r="M24764">
        <v>17809</v>
      </c>
      <c r="N24764" t="s">
        <v>25</v>
      </c>
      <c r="O24764">
        <v>250915</v>
      </c>
      <c r="P24764">
        <v>100</v>
      </c>
    </row>
    <row r="24765" spans="1:16" x14ac:dyDescent="0.25">
      <c r="A24765" t="s">
        <v>3296</v>
      </c>
      <c r="B24765" t="s">
        <v>2931</v>
      </c>
      <c r="C24765">
        <v>12005</v>
      </c>
      <c r="D24765" t="str">
        <f t="shared" si="546"/>
        <v xml:space="preserve">INVFI28534  </v>
      </c>
      <c r="E24765" t="s">
        <v>368</v>
      </c>
      <c r="F24765" t="s">
        <v>369</v>
      </c>
      <c r="G24765">
        <v>101.21</v>
      </c>
      <c r="H24765">
        <v>250904</v>
      </c>
      <c r="I24765">
        <v>4842</v>
      </c>
      <c r="J24765" t="s">
        <v>15</v>
      </c>
      <c r="K24765">
        <v>2938.72</v>
      </c>
      <c r="L24765">
        <v>0</v>
      </c>
      <c r="M24765">
        <v>17972</v>
      </c>
      <c r="N24765" t="s">
        <v>28</v>
      </c>
      <c r="O24765">
        <v>250915</v>
      </c>
      <c r="P24765">
        <v>101.21</v>
      </c>
    </row>
    <row r="24766" spans="1:16" x14ac:dyDescent="0.25">
      <c r="A24766" t="s">
        <v>3296</v>
      </c>
      <c r="B24766" t="s">
        <v>2931</v>
      </c>
      <c r="C24766">
        <v>12005</v>
      </c>
      <c r="D24766" t="str">
        <f t="shared" si="546"/>
        <v xml:space="preserve">INVFI28534  </v>
      </c>
      <c r="E24766" t="s">
        <v>368</v>
      </c>
      <c r="F24766" t="s">
        <v>369</v>
      </c>
      <c r="G24766">
        <v>101.21</v>
      </c>
      <c r="H24766">
        <v>250904</v>
      </c>
      <c r="I24766">
        <v>4842</v>
      </c>
      <c r="J24766" t="s">
        <v>15</v>
      </c>
      <c r="K24766">
        <v>2938.72</v>
      </c>
      <c r="L24766">
        <v>0</v>
      </c>
      <c r="M24766">
        <v>17972</v>
      </c>
      <c r="N24766" t="s">
        <v>28</v>
      </c>
      <c r="O24766">
        <v>250915</v>
      </c>
      <c r="P24766">
        <v>101.21</v>
      </c>
    </row>
    <row r="24767" spans="1:16" x14ac:dyDescent="0.25">
      <c r="A24767" t="s">
        <v>3296</v>
      </c>
      <c r="B24767" t="s">
        <v>2931</v>
      </c>
      <c r="C24767">
        <v>12005</v>
      </c>
      <c r="D24767" t="str">
        <f t="shared" si="546"/>
        <v xml:space="preserve">INVFI28534  </v>
      </c>
      <c r="E24767" t="s">
        <v>368</v>
      </c>
      <c r="F24767" t="s">
        <v>369</v>
      </c>
      <c r="G24767">
        <v>101.21</v>
      </c>
      <c r="H24767">
        <v>250904</v>
      </c>
      <c r="I24767">
        <v>4842</v>
      </c>
      <c r="J24767" t="s">
        <v>15</v>
      </c>
      <c r="K24767">
        <v>2938.72</v>
      </c>
      <c r="L24767">
        <v>0</v>
      </c>
      <c r="M24767">
        <v>17972</v>
      </c>
      <c r="N24767" t="s">
        <v>28</v>
      </c>
      <c r="O24767">
        <v>250915</v>
      </c>
      <c r="P24767">
        <v>101.21</v>
      </c>
    </row>
    <row r="24768" spans="1:16" x14ac:dyDescent="0.25">
      <c r="A24768" t="s">
        <v>3296</v>
      </c>
      <c r="B24768" t="s">
        <v>2931</v>
      </c>
      <c r="C24768">
        <v>12005</v>
      </c>
      <c r="D24768" t="str">
        <f t="shared" si="546"/>
        <v xml:space="preserve">INVFI28534  </v>
      </c>
      <c r="E24768" t="s">
        <v>368</v>
      </c>
      <c r="F24768" t="s">
        <v>369</v>
      </c>
      <c r="G24768">
        <v>101.21</v>
      </c>
      <c r="H24768">
        <v>250904</v>
      </c>
      <c r="I24768">
        <v>4842</v>
      </c>
      <c r="J24768" t="s">
        <v>15</v>
      </c>
      <c r="K24768">
        <v>2938.72</v>
      </c>
      <c r="L24768">
        <v>0</v>
      </c>
      <c r="M24768">
        <v>17974</v>
      </c>
      <c r="N24768" t="s">
        <v>153</v>
      </c>
      <c r="O24768">
        <v>250915</v>
      </c>
      <c r="P24768">
        <v>101.21</v>
      </c>
    </row>
    <row r="24769" spans="1:16" x14ac:dyDescent="0.25">
      <c r="A24769" t="s">
        <v>3296</v>
      </c>
      <c r="B24769" t="s">
        <v>2931</v>
      </c>
      <c r="C24769">
        <v>12005</v>
      </c>
      <c r="D24769" t="str">
        <f t="shared" si="546"/>
        <v xml:space="preserve">INVFI28534  </v>
      </c>
      <c r="E24769" t="s">
        <v>368</v>
      </c>
      <c r="F24769" t="s">
        <v>369</v>
      </c>
      <c r="G24769">
        <v>109.68</v>
      </c>
      <c r="H24769">
        <v>250904</v>
      </c>
      <c r="I24769">
        <v>4842</v>
      </c>
      <c r="J24769" t="s">
        <v>15</v>
      </c>
      <c r="K24769">
        <v>2938.72</v>
      </c>
      <c r="L24769">
        <v>0</v>
      </c>
      <c r="M24769">
        <v>17975</v>
      </c>
      <c r="N24769" t="s">
        <v>29</v>
      </c>
      <c r="O24769">
        <v>250915</v>
      </c>
      <c r="P24769">
        <v>109.68</v>
      </c>
    </row>
    <row r="24770" spans="1:16" x14ac:dyDescent="0.25">
      <c r="A24770" t="s">
        <v>3296</v>
      </c>
      <c r="B24770" t="s">
        <v>2931</v>
      </c>
      <c r="C24770">
        <v>12005</v>
      </c>
      <c r="D24770" t="str">
        <f t="shared" si="546"/>
        <v xml:space="preserve">INVFI28534  </v>
      </c>
      <c r="E24770" t="s">
        <v>368</v>
      </c>
      <c r="F24770" t="s">
        <v>369</v>
      </c>
      <c r="G24770">
        <v>100</v>
      </c>
      <c r="H24770">
        <v>250904</v>
      </c>
      <c r="I24770">
        <v>4842</v>
      </c>
      <c r="J24770" t="s">
        <v>15</v>
      </c>
      <c r="K24770">
        <v>2938.72</v>
      </c>
      <c r="L24770">
        <v>0</v>
      </c>
      <c r="M24770">
        <v>18972</v>
      </c>
      <c r="N24770" t="s">
        <v>39</v>
      </c>
      <c r="O24770">
        <v>250915</v>
      </c>
      <c r="P24770">
        <v>100</v>
      </c>
    </row>
    <row r="24771" spans="1:16" x14ac:dyDescent="0.25">
      <c r="A24771" t="s">
        <v>3296</v>
      </c>
      <c r="B24771" t="s">
        <v>2931</v>
      </c>
      <c r="C24771">
        <v>12005</v>
      </c>
      <c r="D24771" t="str">
        <f t="shared" si="546"/>
        <v xml:space="preserve">INVFI28534  </v>
      </c>
      <c r="E24771" t="s">
        <v>368</v>
      </c>
      <c r="F24771" t="s">
        <v>369</v>
      </c>
      <c r="G24771">
        <v>101.21</v>
      </c>
      <c r="H24771">
        <v>250904</v>
      </c>
      <c r="I24771">
        <v>4842</v>
      </c>
      <c r="J24771" t="s">
        <v>15</v>
      </c>
      <c r="K24771">
        <v>2938.72</v>
      </c>
      <c r="L24771">
        <v>0</v>
      </c>
      <c r="M24771">
        <v>44222</v>
      </c>
      <c r="N24771" t="s">
        <v>96</v>
      </c>
      <c r="O24771">
        <v>250915</v>
      </c>
      <c r="P24771">
        <v>101.21</v>
      </c>
    </row>
    <row r="24772" spans="1:16" x14ac:dyDescent="0.25">
      <c r="A24772" t="s">
        <v>3296</v>
      </c>
      <c r="B24772" t="s">
        <v>2931</v>
      </c>
      <c r="C24772">
        <v>12005</v>
      </c>
      <c r="D24772" t="str">
        <f t="shared" si="546"/>
        <v xml:space="preserve">INVFI28534  </v>
      </c>
      <c r="E24772" t="s">
        <v>368</v>
      </c>
      <c r="F24772" t="s">
        <v>369</v>
      </c>
      <c r="G24772">
        <v>101.21</v>
      </c>
      <c r="H24772">
        <v>250904</v>
      </c>
      <c r="I24772">
        <v>4842</v>
      </c>
      <c r="J24772" t="s">
        <v>15</v>
      </c>
      <c r="K24772">
        <v>2938.72</v>
      </c>
      <c r="L24772">
        <v>0</v>
      </c>
      <c r="M24772">
        <v>44222</v>
      </c>
      <c r="N24772" t="s">
        <v>96</v>
      </c>
      <c r="O24772">
        <v>250915</v>
      </c>
      <c r="P24772">
        <v>101.21</v>
      </c>
    </row>
    <row r="24773" spans="1:16" x14ac:dyDescent="0.25">
      <c r="A24773" t="s">
        <v>3296</v>
      </c>
      <c r="B24773" t="s">
        <v>2931</v>
      </c>
      <c r="C24773">
        <v>12005</v>
      </c>
      <c r="D24773" t="str">
        <f t="shared" si="546"/>
        <v xml:space="preserve">INVFI28534  </v>
      </c>
      <c r="E24773" t="s">
        <v>368</v>
      </c>
      <c r="F24773" t="s">
        <v>369</v>
      </c>
      <c r="G24773">
        <v>101.21</v>
      </c>
      <c r="H24773">
        <v>250904</v>
      </c>
      <c r="I24773">
        <v>4842</v>
      </c>
      <c r="J24773" t="s">
        <v>15</v>
      </c>
      <c r="K24773">
        <v>2938.72</v>
      </c>
      <c r="L24773">
        <v>0</v>
      </c>
      <c r="M24773">
        <v>49702</v>
      </c>
      <c r="N24773" t="s">
        <v>112</v>
      </c>
      <c r="O24773">
        <v>250915</v>
      </c>
      <c r="P24773">
        <v>101.21</v>
      </c>
    </row>
    <row r="24774" spans="1:16" x14ac:dyDescent="0.25">
      <c r="A24774" t="s">
        <v>3296</v>
      </c>
      <c r="B24774" t="s">
        <v>2931</v>
      </c>
      <c r="C24774">
        <v>12005</v>
      </c>
      <c r="D24774" t="str">
        <f t="shared" si="546"/>
        <v xml:space="preserve">INVFI28534  </v>
      </c>
      <c r="E24774" t="s">
        <v>368</v>
      </c>
      <c r="F24774" t="s">
        <v>369</v>
      </c>
      <c r="G24774">
        <v>101.21</v>
      </c>
      <c r="H24774">
        <v>250904</v>
      </c>
      <c r="I24774">
        <v>4842</v>
      </c>
      <c r="J24774" t="s">
        <v>15</v>
      </c>
      <c r="K24774">
        <v>2938.72</v>
      </c>
      <c r="L24774">
        <v>0</v>
      </c>
      <c r="M24774">
        <v>54422</v>
      </c>
      <c r="N24774" t="s">
        <v>49</v>
      </c>
      <c r="O24774">
        <v>250915</v>
      </c>
      <c r="P24774">
        <v>101.21</v>
      </c>
    </row>
    <row r="24775" spans="1:16" x14ac:dyDescent="0.25">
      <c r="A24775" t="s">
        <v>3296</v>
      </c>
      <c r="B24775" t="s">
        <v>2931</v>
      </c>
      <c r="C24775">
        <v>12005</v>
      </c>
      <c r="D24775" t="str">
        <f t="shared" si="546"/>
        <v xml:space="preserve">INVFI28534  </v>
      </c>
      <c r="E24775" t="s">
        <v>368</v>
      </c>
      <c r="F24775" t="s">
        <v>369</v>
      </c>
      <c r="G24775">
        <v>101.21</v>
      </c>
      <c r="H24775">
        <v>250904</v>
      </c>
      <c r="I24775">
        <v>4842</v>
      </c>
      <c r="J24775" t="s">
        <v>15</v>
      </c>
      <c r="K24775">
        <v>2938.72</v>
      </c>
      <c r="L24775">
        <v>0</v>
      </c>
      <c r="M24775">
        <v>59702</v>
      </c>
      <c r="N24775" t="s">
        <v>45</v>
      </c>
      <c r="O24775">
        <v>250915</v>
      </c>
      <c r="P24775">
        <v>101.21</v>
      </c>
    </row>
    <row r="24776" spans="1:16" x14ac:dyDescent="0.25">
      <c r="A24776" t="s">
        <v>3296</v>
      </c>
      <c r="B24776" t="s">
        <v>2931</v>
      </c>
      <c r="C24776">
        <v>12005</v>
      </c>
      <c r="D24776" t="str">
        <f t="shared" si="546"/>
        <v xml:space="preserve">INVFI28534  </v>
      </c>
      <c r="E24776" t="s">
        <v>368</v>
      </c>
      <c r="F24776" t="s">
        <v>369</v>
      </c>
      <c r="G24776">
        <v>101.21</v>
      </c>
      <c r="H24776">
        <v>250904</v>
      </c>
      <c r="I24776">
        <v>4842</v>
      </c>
      <c r="J24776" t="s">
        <v>15</v>
      </c>
      <c r="K24776">
        <v>2938.72</v>
      </c>
      <c r="L24776">
        <v>0</v>
      </c>
      <c r="M24776">
        <v>67522</v>
      </c>
      <c r="N24776" t="s">
        <v>121</v>
      </c>
      <c r="O24776">
        <v>250915</v>
      </c>
      <c r="P24776">
        <v>101.21</v>
      </c>
    </row>
    <row r="24777" spans="1:16" x14ac:dyDescent="0.25">
      <c r="A24777" t="s">
        <v>3296</v>
      </c>
      <c r="B24777" t="s">
        <v>2931</v>
      </c>
      <c r="C24777">
        <v>13571</v>
      </c>
      <c r="D24777" t="str">
        <f t="shared" ref="D24777:D24805" si="547">"INVFI30650  "</f>
        <v xml:space="preserve">INVFI30650  </v>
      </c>
      <c r="E24777" t="s">
        <v>368</v>
      </c>
      <c r="F24777" t="s">
        <v>369</v>
      </c>
      <c r="G24777">
        <v>101.21</v>
      </c>
      <c r="H24777">
        <v>251003</v>
      </c>
      <c r="I24777">
        <v>4842</v>
      </c>
      <c r="J24777" t="s">
        <v>15</v>
      </c>
      <c r="K24777">
        <v>2850.68</v>
      </c>
      <c r="L24777">
        <v>0</v>
      </c>
      <c r="M24777">
        <v>11301</v>
      </c>
      <c r="N24777" t="s">
        <v>92</v>
      </c>
      <c r="O24777">
        <v>251013</v>
      </c>
      <c r="P24777">
        <v>101.21</v>
      </c>
    </row>
    <row r="24778" spans="1:16" x14ac:dyDescent="0.25">
      <c r="A24778" t="s">
        <v>3296</v>
      </c>
      <c r="B24778" t="s">
        <v>2931</v>
      </c>
      <c r="C24778">
        <v>13571</v>
      </c>
      <c r="D24778" t="str">
        <f t="shared" si="547"/>
        <v xml:space="preserve">INVFI30650  </v>
      </c>
      <c r="E24778" t="s">
        <v>368</v>
      </c>
      <c r="F24778" t="s">
        <v>369</v>
      </c>
      <c r="G24778">
        <v>101.21</v>
      </c>
      <c r="H24778">
        <v>251003</v>
      </c>
      <c r="I24778">
        <v>4842</v>
      </c>
      <c r="J24778" t="s">
        <v>15</v>
      </c>
      <c r="K24778">
        <v>2850.68</v>
      </c>
      <c r="L24778">
        <v>0</v>
      </c>
      <c r="M24778">
        <v>11301</v>
      </c>
      <c r="N24778" t="s">
        <v>92</v>
      </c>
      <c r="O24778">
        <v>251013</v>
      </c>
      <c r="P24778">
        <v>101.21</v>
      </c>
    </row>
    <row r="24779" spans="1:16" x14ac:dyDescent="0.25">
      <c r="A24779" t="s">
        <v>3296</v>
      </c>
      <c r="B24779" t="s">
        <v>2931</v>
      </c>
      <c r="C24779">
        <v>13571</v>
      </c>
      <c r="D24779" t="str">
        <f t="shared" si="547"/>
        <v xml:space="preserve">INVFI30650  </v>
      </c>
      <c r="E24779" t="s">
        <v>368</v>
      </c>
      <c r="F24779" t="s">
        <v>369</v>
      </c>
      <c r="G24779">
        <v>100</v>
      </c>
      <c r="H24779">
        <v>251003</v>
      </c>
      <c r="I24779">
        <v>4842</v>
      </c>
      <c r="J24779" t="s">
        <v>15</v>
      </c>
      <c r="K24779">
        <v>2850.68</v>
      </c>
      <c r="L24779">
        <v>0</v>
      </c>
      <c r="M24779">
        <v>13601</v>
      </c>
      <c r="N24779" t="s">
        <v>115</v>
      </c>
      <c r="O24779">
        <v>251013</v>
      </c>
      <c r="P24779">
        <v>100</v>
      </c>
    </row>
    <row r="24780" spans="1:16" x14ac:dyDescent="0.25">
      <c r="A24780" t="s">
        <v>3296</v>
      </c>
      <c r="B24780" t="s">
        <v>2931</v>
      </c>
      <c r="C24780">
        <v>13571</v>
      </c>
      <c r="D24780" t="str">
        <f t="shared" si="547"/>
        <v xml:space="preserve">INVFI30650  </v>
      </c>
      <c r="E24780" t="s">
        <v>368</v>
      </c>
      <c r="F24780" t="s">
        <v>369</v>
      </c>
      <c r="G24780">
        <v>101.21</v>
      </c>
      <c r="H24780">
        <v>251003</v>
      </c>
      <c r="I24780">
        <v>4842</v>
      </c>
      <c r="J24780" t="s">
        <v>15</v>
      </c>
      <c r="K24780">
        <v>2850.68</v>
      </c>
      <c r="L24780">
        <v>0</v>
      </c>
      <c r="M24780">
        <v>14121</v>
      </c>
      <c r="N24780" t="s">
        <v>71</v>
      </c>
      <c r="O24780">
        <v>251013</v>
      </c>
      <c r="P24780">
        <v>101.21</v>
      </c>
    </row>
    <row r="24781" spans="1:16" x14ac:dyDescent="0.25">
      <c r="A24781" t="s">
        <v>3296</v>
      </c>
      <c r="B24781" t="s">
        <v>2931</v>
      </c>
      <c r="C24781">
        <v>13571</v>
      </c>
      <c r="D24781" t="str">
        <f t="shared" si="547"/>
        <v xml:space="preserve">INVFI30650  </v>
      </c>
      <c r="E24781" t="s">
        <v>368</v>
      </c>
      <c r="F24781" t="s">
        <v>369</v>
      </c>
      <c r="G24781">
        <v>100</v>
      </c>
      <c r="H24781">
        <v>251003</v>
      </c>
      <c r="I24781">
        <v>4842</v>
      </c>
      <c r="J24781" t="s">
        <v>15</v>
      </c>
      <c r="K24781">
        <v>2850.68</v>
      </c>
      <c r="L24781">
        <v>0</v>
      </c>
      <c r="M24781">
        <v>14541</v>
      </c>
      <c r="N24781" t="s">
        <v>76</v>
      </c>
      <c r="O24781">
        <v>251013</v>
      </c>
      <c r="P24781">
        <v>100</v>
      </c>
    </row>
    <row r="24782" spans="1:16" x14ac:dyDescent="0.25">
      <c r="A24782" t="s">
        <v>3296</v>
      </c>
      <c r="B24782" t="s">
        <v>2931</v>
      </c>
      <c r="C24782">
        <v>13571</v>
      </c>
      <c r="D24782" t="str">
        <f t="shared" si="547"/>
        <v xml:space="preserve">INVFI30650  </v>
      </c>
      <c r="E24782" t="s">
        <v>368</v>
      </c>
      <c r="F24782" t="s">
        <v>369</v>
      </c>
      <c r="G24782">
        <v>101.21</v>
      </c>
      <c r="H24782">
        <v>251003</v>
      </c>
      <c r="I24782">
        <v>4842</v>
      </c>
      <c r="J24782" t="s">
        <v>15</v>
      </c>
      <c r="K24782">
        <v>2850.68</v>
      </c>
      <c r="L24782">
        <v>0</v>
      </c>
      <c r="M24782">
        <v>14622</v>
      </c>
      <c r="N24782" t="s">
        <v>77</v>
      </c>
      <c r="O24782">
        <v>251013</v>
      </c>
      <c r="P24782">
        <v>101.21</v>
      </c>
    </row>
    <row r="24783" spans="1:16" x14ac:dyDescent="0.25">
      <c r="A24783" t="s">
        <v>3296</v>
      </c>
      <c r="B24783" t="s">
        <v>2931</v>
      </c>
      <c r="C24783">
        <v>13571</v>
      </c>
      <c r="D24783" t="str">
        <f t="shared" si="547"/>
        <v xml:space="preserve">INVFI30650  </v>
      </c>
      <c r="E24783" t="s">
        <v>368</v>
      </c>
      <c r="F24783" t="s">
        <v>369</v>
      </c>
      <c r="G24783">
        <v>101.21</v>
      </c>
      <c r="H24783">
        <v>251003</v>
      </c>
      <c r="I24783">
        <v>4842</v>
      </c>
      <c r="J24783" t="s">
        <v>15</v>
      </c>
      <c r="K24783">
        <v>2850.68</v>
      </c>
      <c r="L24783">
        <v>0</v>
      </c>
      <c r="M24783">
        <v>14622</v>
      </c>
      <c r="N24783" t="s">
        <v>77</v>
      </c>
      <c r="O24783">
        <v>251013</v>
      </c>
      <c r="P24783">
        <v>101.21</v>
      </c>
    </row>
    <row r="24784" spans="1:16" x14ac:dyDescent="0.25">
      <c r="A24784" t="s">
        <v>3296</v>
      </c>
      <c r="B24784" t="s">
        <v>2931</v>
      </c>
      <c r="C24784">
        <v>13571</v>
      </c>
      <c r="D24784" t="str">
        <f t="shared" si="547"/>
        <v xml:space="preserve">INVFI30650  </v>
      </c>
      <c r="E24784" t="s">
        <v>368</v>
      </c>
      <c r="F24784" t="s">
        <v>369</v>
      </c>
      <c r="G24784">
        <v>101.21</v>
      </c>
      <c r="H24784">
        <v>251003</v>
      </c>
      <c r="I24784">
        <v>4842</v>
      </c>
      <c r="J24784" t="s">
        <v>15</v>
      </c>
      <c r="K24784">
        <v>2850.68</v>
      </c>
      <c r="L24784">
        <v>0</v>
      </c>
      <c r="M24784">
        <v>14640</v>
      </c>
      <c r="N24784" t="s">
        <v>78</v>
      </c>
      <c r="O24784">
        <v>251013</v>
      </c>
      <c r="P24784">
        <v>101.21</v>
      </c>
    </row>
    <row r="24785" spans="1:16" x14ac:dyDescent="0.25">
      <c r="A24785" t="s">
        <v>3296</v>
      </c>
      <c r="B24785" t="s">
        <v>2931</v>
      </c>
      <c r="C24785">
        <v>13571</v>
      </c>
      <c r="D24785" t="str">
        <f t="shared" si="547"/>
        <v xml:space="preserve">INVFI30650  </v>
      </c>
      <c r="E24785" t="s">
        <v>368</v>
      </c>
      <c r="F24785" t="s">
        <v>369</v>
      </c>
      <c r="G24785">
        <v>101.21</v>
      </c>
      <c r="H24785">
        <v>251003</v>
      </c>
      <c r="I24785">
        <v>4842</v>
      </c>
      <c r="J24785" t="s">
        <v>15</v>
      </c>
      <c r="K24785">
        <v>2850.68</v>
      </c>
      <c r="L24785">
        <v>0</v>
      </c>
      <c r="M24785">
        <v>14971</v>
      </c>
      <c r="N24785" t="s">
        <v>81</v>
      </c>
      <c r="O24785">
        <v>251013</v>
      </c>
      <c r="P24785">
        <v>101.21</v>
      </c>
    </row>
    <row r="24786" spans="1:16" x14ac:dyDescent="0.25">
      <c r="A24786" t="s">
        <v>3296</v>
      </c>
      <c r="B24786" t="s">
        <v>2931</v>
      </c>
      <c r="C24786">
        <v>13571</v>
      </c>
      <c r="D24786" t="str">
        <f t="shared" si="547"/>
        <v xml:space="preserve">INVFI30650  </v>
      </c>
      <c r="E24786" t="s">
        <v>368</v>
      </c>
      <c r="F24786" t="s">
        <v>369</v>
      </c>
      <c r="G24786">
        <v>101.21</v>
      </c>
      <c r="H24786">
        <v>251003</v>
      </c>
      <c r="I24786">
        <v>4842</v>
      </c>
      <c r="J24786" t="s">
        <v>15</v>
      </c>
      <c r="K24786">
        <v>2850.68</v>
      </c>
      <c r="L24786">
        <v>0</v>
      </c>
      <c r="M24786">
        <v>16431</v>
      </c>
      <c r="N24786" t="s">
        <v>17</v>
      </c>
      <c r="O24786">
        <v>251013</v>
      </c>
      <c r="P24786">
        <v>101.21</v>
      </c>
    </row>
    <row r="24787" spans="1:16" x14ac:dyDescent="0.25">
      <c r="A24787" t="s">
        <v>3296</v>
      </c>
      <c r="B24787" t="s">
        <v>2931</v>
      </c>
      <c r="C24787">
        <v>13571</v>
      </c>
      <c r="D24787" t="str">
        <f t="shared" si="547"/>
        <v xml:space="preserve">INVFI30650  </v>
      </c>
      <c r="E24787" t="s">
        <v>368</v>
      </c>
      <c r="F24787" t="s">
        <v>369</v>
      </c>
      <c r="G24787">
        <v>101.21</v>
      </c>
      <c r="H24787">
        <v>251003</v>
      </c>
      <c r="I24787">
        <v>4842</v>
      </c>
      <c r="J24787" t="s">
        <v>15</v>
      </c>
      <c r="K24787">
        <v>2850.68</v>
      </c>
      <c r="L24787">
        <v>0</v>
      </c>
      <c r="M24787">
        <v>16431</v>
      </c>
      <c r="N24787" t="s">
        <v>17</v>
      </c>
      <c r="O24787">
        <v>251013</v>
      </c>
      <c r="P24787">
        <v>101.21</v>
      </c>
    </row>
    <row r="24788" spans="1:16" x14ac:dyDescent="0.25">
      <c r="A24788" t="s">
        <v>3296</v>
      </c>
      <c r="B24788" t="s">
        <v>2931</v>
      </c>
      <c r="C24788">
        <v>13571</v>
      </c>
      <c r="D24788" t="str">
        <f t="shared" si="547"/>
        <v xml:space="preserve">INVFI30650  </v>
      </c>
      <c r="E24788" t="s">
        <v>368</v>
      </c>
      <c r="F24788" t="s">
        <v>369</v>
      </c>
      <c r="G24788">
        <v>101.21</v>
      </c>
      <c r="H24788">
        <v>251003</v>
      </c>
      <c r="I24788">
        <v>4842</v>
      </c>
      <c r="J24788" t="s">
        <v>15</v>
      </c>
      <c r="K24788">
        <v>2850.68</v>
      </c>
      <c r="L24788">
        <v>0</v>
      </c>
      <c r="M24788">
        <v>16820</v>
      </c>
      <c r="N24788" t="s">
        <v>128</v>
      </c>
      <c r="O24788">
        <v>251013</v>
      </c>
      <c r="P24788">
        <v>101.21</v>
      </c>
    </row>
    <row r="24789" spans="1:16" x14ac:dyDescent="0.25">
      <c r="A24789" t="s">
        <v>3296</v>
      </c>
      <c r="B24789" t="s">
        <v>2931</v>
      </c>
      <c r="C24789">
        <v>13571</v>
      </c>
      <c r="D24789" t="str">
        <f t="shared" si="547"/>
        <v xml:space="preserve">INVFI30650  </v>
      </c>
      <c r="E24789" t="s">
        <v>368</v>
      </c>
      <c r="F24789" t="s">
        <v>369</v>
      </c>
      <c r="G24789">
        <v>101.21</v>
      </c>
      <c r="H24789">
        <v>251003</v>
      </c>
      <c r="I24789">
        <v>4842</v>
      </c>
      <c r="J24789" t="s">
        <v>15</v>
      </c>
      <c r="K24789">
        <v>2850.68</v>
      </c>
      <c r="L24789">
        <v>0</v>
      </c>
      <c r="M24789">
        <v>17524</v>
      </c>
      <c r="N24789" t="s">
        <v>139</v>
      </c>
      <c r="O24789">
        <v>251013</v>
      </c>
      <c r="P24789">
        <v>101.21</v>
      </c>
    </row>
    <row r="24790" spans="1:16" x14ac:dyDescent="0.25">
      <c r="A24790" t="s">
        <v>3296</v>
      </c>
      <c r="B24790" t="s">
        <v>2931</v>
      </c>
      <c r="C24790">
        <v>13571</v>
      </c>
      <c r="D24790" t="str">
        <f t="shared" si="547"/>
        <v xml:space="preserve">INVFI30650  </v>
      </c>
      <c r="E24790" t="s">
        <v>368</v>
      </c>
      <c r="F24790" t="s">
        <v>369</v>
      </c>
      <c r="G24790">
        <v>101.21</v>
      </c>
      <c r="H24790">
        <v>251003</v>
      </c>
      <c r="I24790">
        <v>4842</v>
      </c>
      <c r="J24790" t="s">
        <v>15</v>
      </c>
      <c r="K24790">
        <v>2850.68</v>
      </c>
      <c r="L24790">
        <v>0</v>
      </c>
      <c r="M24790">
        <v>17526</v>
      </c>
      <c r="N24790" t="s">
        <v>141</v>
      </c>
      <c r="O24790">
        <v>251013</v>
      </c>
      <c r="P24790">
        <v>101.21</v>
      </c>
    </row>
    <row r="24791" spans="1:16" x14ac:dyDescent="0.25">
      <c r="A24791" t="s">
        <v>3296</v>
      </c>
      <c r="B24791" t="s">
        <v>2931</v>
      </c>
      <c r="C24791">
        <v>13571</v>
      </c>
      <c r="D24791" t="str">
        <f t="shared" si="547"/>
        <v xml:space="preserve">INVFI30650  </v>
      </c>
      <c r="E24791" t="s">
        <v>368</v>
      </c>
      <c r="F24791" t="s">
        <v>369</v>
      </c>
      <c r="G24791">
        <v>101.21</v>
      </c>
      <c r="H24791">
        <v>251003</v>
      </c>
      <c r="I24791">
        <v>4842</v>
      </c>
      <c r="J24791" t="s">
        <v>15</v>
      </c>
      <c r="K24791">
        <v>2850.68</v>
      </c>
      <c r="L24791">
        <v>0</v>
      </c>
      <c r="M24791">
        <v>17529</v>
      </c>
      <c r="N24791" t="s">
        <v>143</v>
      </c>
      <c r="O24791">
        <v>251013</v>
      </c>
      <c r="P24791">
        <v>101.21</v>
      </c>
    </row>
    <row r="24792" spans="1:16" x14ac:dyDescent="0.25">
      <c r="A24792" t="s">
        <v>3296</v>
      </c>
      <c r="B24792" t="s">
        <v>2931</v>
      </c>
      <c r="C24792">
        <v>13571</v>
      </c>
      <c r="D24792" t="str">
        <f t="shared" si="547"/>
        <v xml:space="preserve">INVFI30650  </v>
      </c>
      <c r="E24792" t="s">
        <v>368</v>
      </c>
      <c r="F24792" t="s">
        <v>369</v>
      </c>
      <c r="G24792">
        <v>101.21</v>
      </c>
      <c r="H24792">
        <v>251003</v>
      </c>
      <c r="I24792">
        <v>4842</v>
      </c>
      <c r="J24792" t="s">
        <v>15</v>
      </c>
      <c r="K24792">
        <v>2850.68</v>
      </c>
      <c r="L24792">
        <v>0</v>
      </c>
      <c r="M24792">
        <v>17802</v>
      </c>
      <c r="N24792" t="s">
        <v>18</v>
      </c>
      <c r="O24792">
        <v>251013</v>
      </c>
      <c r="P24792">
        <v>101.21</v>
      </c>
    </row>
    <row r="24793" spans="1:16" x14ac:dyDescent="0.25">
      <c r="A24793" t="s">
        <v>3296</v>
      </c>
      <c r="B24793" t="s">
        <v>2931</v>
      </c>
      <c r="C24793">
        <v>13571</v>
      </c>
      <c r="D24793" t="str">
        <f t="shared" si="547"/>
        <v xml:space="preserve">INVFI30650  </v>
      </c>
      <c r="E24793" t="s">
        <v>368</v>
      </c>
      <c r="F24793" t="s">
        <v>369</v>
      </c>
      <c r="G24793">
        <v>100</v>
      </c>
      <c r="H24793">
        <v>251003</v>
      </c>
      <c r="I24793">
        <v>4842</v>
      </c>
      <c r="J24793" t="s">
        <v>15</v>
      </c>
      <c r="K24793">
        <v>2850.68</v>
      </c>
      <c r="L24793">
        <v>0</v>
      </c>
      <c r="M24793">
        <v>17809</v>
      </c>
      <c r="N24793" t="s">
        <v>25</v>
      </c>
      <c r="O24793">
        <v>251013</v>
      </c>
      <c r="P24793">
        <v>100</v>
      </c>
    </row>
    <row r="24794" spans="1:16" x14ac:dyDescent="0.25">
      <c r="A24794" t="s">
        <v>3296</v>
      </c>
      <c r="B24794" t="s">
        <v>2931</v>
      </c>
      <c r="C24794">
        <v>13571</v>
      </c>
      <c r="D24794" t="str">
        <f t="shared" si="547"/>
        <v xml:space="preserve">INVFI30650  </v>
      </c>
      <c r="E24794" t="s">
        <v>368</v>
      </c>
      <c r="F24794" t="s">
        <v>369</v>
      </c>
      <c r="G24794">
        <v>101.21</v>
      </c>
      <c r="H24794">
        <v>251003</v>
      </c>
      <c r="I24794">
        <v>4842</v>
      </c>
      <c r="J24794" t="s">
        <v>15</v>
      </c>
      <c r="K24794">
        <v>2850.68</v>
      </c>
      <c r="L24794">
        <v>0</v>
      </c>
      <c r="M24794">
        <v>17972</v>
      </c>
      <c r="N24794" t="s">
        <v>28</v>
      </c>
      <c r="O24794">
        <v>251013</v>
      </c>
      <c r="P24794">
        <v>101.21</v>
      </c>
    </row>
    <row r="24795" spans="1:16" x14ac:dyDescent="0.25">
      <c r="A24795" t="s">
        <v>3296</v>
      </c>
      <c r="B24795" t="s">
        <v>2931</v>
      </c>
      <c r="C24795">
        <v>13571</v>
      </c>
      <c r="D24795" t="str">
        <f t="shared" si="547"/>
        <v xml:space="preserve">INVFI30650  </v>
      </c>
      <c r="E24795" t="s">
        <v>368</v>
      </c>
      <c r="F24795" t="s">
        <v>369</v>
      </c>
      <c r="G24795">
        <v>101.21</v>
      </c>
      <c r="H24795">
        <v>251003</v>
      </c>
      <c r="I24795">
        <v>4842</v>
      </c>
      <c r="J24795" t="s">
        <v>15</v>
      </c>
      <c r="K24795">
        <v>2850.68</v>
      </c>
      <c r="L24795">
        <v>0</v>
      </c>
      <c r="M24795">
        <v>17972</v>
      </c>
      <c r="N24795" t="s">
        <v>28</v>
      </c>
      <c r="O24795">
        <v>251013</v>
      </c>
      <c r="P24795">
        <v>101.21</v>
      </c>
    </row>
    <row r="24796" spans="1:16" x14ac:dyDescent="0.25">
      <c r="A24796" t="s">
        <v>3296</v>
      </c>
      <c r="B24796" t="s">
        <v>2931</v>
      </c>
      <c r="C24796">
        <v>13571</v>
      </c>
      <c r="D24796" t="str">
        <f t="shared" si="547"/>
        <v xml:space="preserve">INVFI30650  </v>
      </c>
      <c r="E24796" t="s">
        <v>368</v>
      </c>
      <c r="F24796" t="s">
        <v>369</v>
      </c>
      <c r="G24796">
        <v>101.21</v>
      </c>
      <c r="H24796">
        <v>251003</v>
      </c>
      <c r="I24796">
        <v>4842</v>
      </c>
      <c r="J24796" t="s">
        <v>15</v>
      </c>
      <c r="K24796">
        <v>2850.68</v>
      </c>
      <c r="L24796">
        <v>0</v>
      </c>
      <c r="M24796">
        <v>17972</v>
      </c>
      <c r="N24796" t="s">
        <v>28</v>
      </c>
      <c r="O24796">
        <v>251013</v>
      </c>
      <c r="P24796">
        <v>101.21</v>
      </c>
    </row>
    <row r="24797" spans="1:16" x14ac:dyDescent="0.25">
      <c r="A24797" t="s">
        <v>3296</v>
      </c>
      <c r="B24797" t="s">
        <v>2931</v>
      </c>
      <c r="C24797">
        <v>13571</v>
      </c>
      <c r="D24797" t="str">
        <f t="shared" si="547"/>
        <v xml:space="preserve">INVFI30650  </v>
      </c>
      <c r="E24797" t="s">
        <v>368</v>
      </c>
      <c r="F24797" t="s">
        <v>369</v>
      </c>
      <c r="G24797">
        <v>101.21</v>
      </c>
      <c r="H24797">
        <v>251003</v>
      </c>
      <c r="I24797">
        <v>4842</v>
      </c>
      <c r="J24797" t="s">
        <v>15</v>
      </c>
      <c r="K24797">
        <v>2850.68</v>
      </c>
      <c r="L24797">
        <v>0</v>
      </c>
      <c r="M24797">
        <v>17974</v>
      </c>
      <c r="N24797" t="s">
        <v>153</v>
      </c>
      <c r="O24797">
        <v>251013</v>
      </c>
      <c r="P24797">
        <v>101.21</v>
      </c>
    </row>
    <row r="24798" spans="1:16" x14ac:dyDescent="0.25">
      <c r="A24798" t="s">
        <v>3296</v>
      </c>
      <c r="B24798" t="s">
        <v>2931</v>
      </c>
      <c r="C24798">
        <v>13571</v>
      </c>
      <c r="D24798" t="str">
        <f t="shared" si="547"/>
        <v xml:space="preserve">INVFI30650  </v>
      </c>
      <c r="E24798" t="s">
        <v>368</v>
      </c>
      <c r="F24798" t="s">
        <v>369</v>
      </c>
      <c r="G24798">
        <v>100</v>
      </c>
      <c r="H24798">
        <v>251003</v>
      </c>
      <c r="I24798">
        <v>4842</v>
      </c>
      <c r="J24798" t="s">
        <v>15</v>
      </c>
      <c r="K24798">
        <v>2850.68</v>
      </c>
      <c r="L24798">
        <v>0</v>
      </c>
      <c r="M24798">
        <v>17975</v>
      </c>
      <c r="N24798" t="s">
        <v>29</v>
      </c>
      <c r="O24798">
        <v>251013</v>
      </c>
      <c r="P24798">
        <v>100</v>
      </c>
    </row>
    <row r="24799" spans="1:16" x14ac:dyDescent="0.25">
      <c r="A24799" t="s">
        <v>3296</v>
      </c>
      <c r="B24799" t="s">
        <v>2931</v>
      </c>
      <c r="C24799">
        <v>13571</v>
      </c>
      <c r="D24799" t="str">
        <f t="shared" si="547"/>
        <v xml:space="preserve">INVFI30650  </v>
      </c>
      <c r="E24799" t="s">
        <v>368</v>
      </c>
      <c r="F24799" t="s">
        <v>369</v>
      </c>
      <c r="G24799">
        <v>100</v>
      </c>
      <c r="H24799">
        <v>251003</v>
      </c>
      <c r="I24799">
        <v>4842</v>
      </c>
      <c r="J24799" t="s">
        <v>15</v>
      </c>
      <c r="K24799">
        <v>2850.68</v>
      </c>
      <c r="L24799">
        <v>0</v>
      </c>
      <c r="M24799">
        <v>18972</v>
      </c>
      <c r="N24799" t="s">
        <v>39</v>
      </c>
      <c r="O24799">
        <v>251013</v>
      </c>
      <c r="P24799">
        <v>100</v>
      </c>
    </row>
    <row r="24800" spans="1:16" x14ac:dyDescent="0.25">
      <c r="A24800" t="s">
        <v>3296</v>
      </c>
      <c r="B24800" t="s">
        <v>2931</v>
      </c>
      <c r="C24800">
        <v>13571</v>
      </c>
      <c r="D24800" t="str">
        <f t="shared" si="547"/>
        <v xml:space="preserve">INVFI30650  </v>
      </c>
      <c r="E24800" t="s">
        <v>368</v>
      </c>
      <c r="F24800" t="s">
        <v>369</v>
      </c>
      <c r="G24800">
        <v>22.85</v>
      </c>
      <c r="H24800">
        <v>251003</v>
      </c>
      <c r="I24800">
        <v>4842</v>
      </c>
      <c r="J24800" t="s">
        <v>15</v>
      </c>
      <c r="K24800">
        <v>2850.68</v>
      </c>
      <c r="L24800">
        <v>0</v>
      </c>
      <c r="M24800">
        <v>44222</v>
      </c>
      <c r="N24800" t="s">
        <v>96</v>
      </c>
      <c r="O24800">
        <v>251013</v>
      </c>
      <c r="P24800">
        <v>22.85</v>
      </c>
    </row>
    <row r="24801" spans="1:16" x14ac:dyDescent="0.25">
      <c r="A24801" t="s">
        <v>3296</v>
      </c>
      <c r="B24801" t="s">
        <v>2931</v>
      </c>
      <c r="C24801">
        <v>13571</v>
      </c>
      <c r="D24801" t="str">
        <f t="shared" si="547"/>
        <v xml:space="preserve">INVFI30650  </v>
      </c>
      <c r="E24801" t="s">
        <v>368</v>
      </c>
      <c r="F24801" t="s">
        <v>369</v>
      </c>
      <c r="G24801">
        <v>101.21</v>
      </c>
      <c r="H24801">
        <v>251003</v>
      </c>
      <c r="I24801">
        <v>4842</v>
      </c>
      <c r="J24801" t="s">
        <v>15</v>
      </c>
      <c r="K24801">
        <v>2850.68</v>
      </c>
      <c r="L24801">
        <v>0</v>
      </c>
      <c r="M24801">
        <v>44222</v>
      </c>
      <c r="N24801" t="s">
        <v>96</v>
      </c>
      <c r="O24801">
        <v>251013</v>
      </c>
      <c r="P24801">
        <v>101.21</v>
      </c>
    </row>
    <row r="24802" spans="1:16" x14ac:dyDescent="0.25">
      <c r="A24802" t="s">
        <v>3296</v>
      </c>
      <c r="B24802" t="s">
        <v>2931</v>
      </c>
      <c r="C24802">
        <v>13571</v>
      </c>
      <c r="D24802" t="str">
        <f t="shared" si="547"/>
        <v xml:space="preserve">INVFI30650  </v>
      </c>
      <c r="E24802" t="s">
        <v>368</v>
      </c>
      <c r="F24802" t="s">
        <v>369</v>
      </c>
      <c r="G24802">
        <v>101.21</v>
      </c>
      <c r="H24802">
        <v>251003</v>
      </c>
      <c r="I24802">
        <v>4842</v>
      </c>
      <c r="J24802" t="s">
        <v>15</v>
      </c>
      <c r="K24802">
        <v>2850.68</v>
      </c>
      <c r="L24802">
        <v>0</v>
      </c>
      <c r="M24802">
        <v>49702</v>
      </c>
      <c r="N24802" t="s">
        <v>112</v>
      </c>
      <c r="O24802">
        <v>251013</v>
      </c>
      <c r="P24802">
        <v>101.21</v>
      </c>
    </row>
    <row r="24803" spans="1:16" x14ac:dyDescent="0.25">
      <c r="A24803" t="s">
        <v>3296</v>
      </c>
      <c r="B24803" t="s">
        <v>2931</v>
      </c>
      <c r="C24803">
        <v>13571</v>
      </c>
      <c r="D24803" t="str">
        <f t="shared" si="547"/>
        <v xml:space="preserve">INVFI30650  </v>
      </c>
      <c r="E24803" t="s">
        <v>368</v>
      </c>
      <c r="F24803" t="s">
        <v>369</v>
      </c>
      <c r="G24803">
        <v>101.21</v>
      </c>
      <c r="H24803">
        <v>251003</v>
      </c>
      <c r="I24803">
        <v>4842</v>
      </c>
      <c r="J24803" t="s">
        <v>15</v>
      </c>
      <c r="K24803">
        <v>2850.68</v>
      </c>
      <c r="L24803">
        <v>0</v>
      </c>
      <c r="M24803">
        <v>54422</v>
      </c>
      <c r="N24803" t="s">
        <v>49</v>
      </c>
      <c r="O24803">
        <v>251013</v>
      </c>
      <c r="P24803">
        <v>101.21</v>
      </c>
    </row>
    <row r="24804" spans="1:16" x14ac:dyDescent="0.25">
      <c r="A24804" t="s">
        <v>3296</v>
      </c>
      <c r="B24804" t="s">
        <v>2931</v>
      </c>
      <c r="C24804">
        <v>13571</v>
      </c>
      <c r="D24804" t="str">
        <f t="shared" si="547"/>
        <v xml:space="preserve">INVFI30650  </v>
      </c>
      <c r="E24804" t="s">
        <v>368</v>
      </c>
      <c r="F24804" t="s">
        <v>369</v>
      </c>
      <c r="G24804">
        <v>101.21</v>
      </c>
      <c r="H24804">
        <v>251003</v>
      </c>
      <c r="I24804">
        <v>4842</v>
      </c>
      <c r="J24804" t="s">
        <v>15</v>
      </c>
      <c r="K24804">
        <v>2850.68</v>
      </c>
      <c r="L24804">
        <v>0</v>
      </c>
      <c r="M24804">
        <v>59702</v>
      </c>
      <c r="N24804" t="s">
        <v>45</v>
      </c>
      <c r="O24804">
        <v>251013</v>
      </c>
      <c r="P24804">
        <v>101.21</v>
      </c>
    </row>
    <row r="24805" spans="1:16" x14ac:dyDescent="0.25">
      <c r="A24805" t="s">
        <v>3296</v>
      </c>
      <c r="B24805" t="s">
        <v>2931</v>
      </c>
      <c r="C24805">
        <v>13571</v>
      </c>
      <c r="D24805" t="str">
        <f t="shared" si="547"/>
        <v xml:space="preserve">INVFI30650  </v>
      </c>
      <c r="E24805" t="s">
        <v>368</v>
      </c>
      <c r="F24805" t="s">
        <v>369</v>
      </c>
      <c r="G24805">
        <v>101.21</v>
      </c>
      <c r="H24805">
        <v>251003</v>
      </c>
      <c r="I24805">
        <v>4842</v>
      </c>
      <c r="J24805" t="s">
        <v>15</v>
      </c>
      <c r="K24805">
        <v>2850.68</v>
      </c>
      <c r="L24805">
        <v>0</v>
      </c>
      <c r="M24805">
        <v>67522</v>
      </c>
      <c r="N24805" t="s">
        <v>121</v>
      </c>
      <c r="O24805">
        <v>251013</v>
      </c>
      <c r="P24805">
        <v>101.21</v>
      </c>
    </row>
    <row r="24806" spans="1:16" x14ac:dyDescent="0.25">
      <c r="A24806" t="s">
        <v>3296</v>
      </c>
      <c r="B24806" t="s">
        <v>2931</v>
      </c>
      <c r="C24806">
        <v>15335</v>
      </c>
      <c r="D24806" t="str">
        <f t="shared" ref="D24806:D24833" si="548">"INVFI32709  "</f>
        <v xml:space="preserve">INVFI32709  </v>
      </c>
      <c r="E24806" t="s">
        <v>368</v>
      </c>
      <c r="F24806" t="s">
        <v>369</v>
      </c>
      <c r="G24806">
        <v>101.21</v>
      </c>
      <c r="H24806">
        <v>251105</v>
      </c>
      <c r="I24806">
        <v>4842</v>
      </c>
      <c r="J24806" t="s">
        <v>15</v>
      </c>
      <c r="K24806">
        <v>2827.83</v>
      </c>
      <c r="L24806">
        <v>0</v>
      </c>
      <c r="M24806">
        <v>11301</v>
      </c>
      <c r="N24806" t="s">
        <v>92</v>
      </c>
      <c r="O24806">
        <v>251119</v>
      </c>
      <c r="P24806">
        <v>101.21</v>
      </c>
    </row>
    <row r="24807" spans="1:16" x14ac:dyDescent="0.25">
      <c r="A24807" t="s">
        <v>3296</v>
      </c>
      <c r="B24807" t="s">
        <v>2931</v>
      </c>
      <c r="C24807">
        <v>15335</v>
      </c>
      <c r="D24807" t="str">
        <f t="shared" si="548"/>
        <v xml:space="preserve">INVFI32709  </v>
      </c>
      <c r="E24807" t="s">
        <v>368</v>
      </c>
      <c r="F24807" t="s">
        <v>369</v>
      </c>
      <c r="G24807">
        <v>101.21</v>
      </c>
      <c r="H24807">
        <v>251105</v>
      </c>
      <c r="I24807">
        <v>4842</v>
      </c>
      <c r="J24807" t="s">
        <v>15</v>
      </c>
      <c r="K24807">
        <v>2827.83</v>
      </c>
      <c r="L24807">
        <v>0</v>
      </c>
      <c r="M24807">
        <v>11301</v>
      </c>
      <c r="N24807" t="s">
        <v>92</v>
      </c>
      <c r="O24807">
        <v>251119</v>
      </c>
      <c r="P24807">
        <v>101.21</v>
      </c>
    </row>
    <row r="24808" spans="1:16" x14ac:dyDescent="0.25">
      <c r="A24808" t="s">
        <v>3296</v>
      </c>
      <c r="B24808" t="s">
        <v>2931</v>
      </c>
      <c r="C24808">
        <v>15335</v>
      </c>
      <c r="D24808" t="str">
        <f t="shared" si="548"/>
        <v xml:space="preserve">INVFI32709  </v>
      </c>
      <c r="E24808" t="s">
        <v>368</v>
      </c>
      <c r="F24808" t="s">
        <v>369</v>
      </c>
      <c r="G24808">
        <v>100</v>
      </c>
      <c r="H24808">
        <v>251105</v>
      </c>
      <c r="I24808">
        <v>4842</v>
      </c>
      <c r="J24808" t="s">
        <v>15</v>
      </c>
      <c r="K24808">
        <v>2827.83</v>
      </c>
      <c r="L24808">
        <v>0</v>
      </c>
      <c r="M24808">
        <v>13601</v>
      </c>
      <c r="N24808" t="s">
        <v>115</v>
      </c>
      <c r="O24808">
        <v>251119</v>
      </c>
      <c r="P24808">
        <v>100</v>
      </c>
    </row>
    <row r="24809" spans="1:16" x14ac:dyDescent="0.25">
      <c r="A24809" t="s">
        <v>3296</v>
      </c>
      <c r="B24809" t="s">
        <v>2931</v>
      </c>
      <c r="C24809">
        <v>15335</v>
      </c>
      <c r="D24809" t="str">
        <f t="shared" si="548"/>
        <v xml:space="preserve">INVFI32709  </v>
      </c>
      <c r="E24809" t="s">
        <v>368</v>
      </c>
      <c r="F24809" t="s">
        <v>369</v>
      </c>
      <c r="G24809">
        <v>101.21</v>
      </c>
      <c r="H24809">
        <v>251105</v>
      </c>
      <c r="I24809">
        <v>4842</v>
      </c>
      <c r="J24809" t="s">
        <v>15</v>
      </c>
      <c r="K24809">
        <v>2827.83</v>
      </c>
      <c r="L24809">
        <v>0</v>
      </c>
      <c r="M24809">
        <v>14121</v>
      </c>
      <c r="N24809" t="s">
        <v>71</v>
      </c>
      <c r="O24809">
        <v>251119</v>
      </c>
      <c r="P24809">
        <v>101.21</v>
      </c>
    </row>
    <row r="24810" spans="1:16" x14ac:dyDescent="0.25">
      <c r="A24810" t="s">
        <v>3296</v>
      </c>
      <c r="B24810" t="s">
        <v>2931</v>
      </c>
      <c r="C24810">
        <v>15335</v>
      </c>
      <c r="D24810" t="str">
        <f t="shared" si="548"/>
        <v xml:space="preserve">INVFI32709  </v>
      </c>
      <c r="E24810" t="s">
        <v>368</v>
      </c>
      <c r="F24810" t="s">
        <v>369</v>
      </c>
      <c r="G24810">
        <v>100</v>
      </c>
      <c r="H24810">
        <v>251105</v>
      </c>
      <c r="I24810">
        <v>4842</v>
      </c>
      <c r="J24810" t="s">
        <v>15</v>
      </c>
      <c r="K24810">
        <v>2827.83</v>
      </c>
      <c r="L24810">
        <v>0</v>
      </c>
      <c r="M24810">
        <v>14541</v>
      </c>
      <c r="N24810" t="s">
        <v>76</v>
      </c>
      <c r="O24810">
        <v>251119</v>
      </c>
      <c r="P24810">
        <v>100</v>
      </c>
    </row>
    <row r="24811" spans="1:16" x14ac:dyDescent="0.25">
      <c r="A24811" t="s">
        <v>3296</v>
      </c>
      <c r="B24811" t="s">
        <v>2931</v>
      </c>
      <c r="C24811">
        <v>15335</v>
      </c>
      <c r="D24811" t="str">
        <f t="shared" si="548"/>
        <v xml:space="preserve">INVFI32709  </v>
      </c>
      <c r="E24811" t="s">
        <v>368</v>
      </c>
      <c r="F24811" t="s">
        <v>369</v>
      </c>
      <c r="G24811">
        <v>101.21</v>
      </c>
      <c r="H24811">
        <v>251105</v>
      </c>
      <c r="I24811">
        <v>4842</v>
      </c>
      <c r="J24811" t="s">
        <v>15</v>
      </c>
      <c r="K24811">
        <v>2827.83</v>
      </c>
      <c r="L24811">
        <v>0</v>
      </c>
      <c r="M24811">
        <v>14622</v>
      </c>
      <c r="N24811" t="s">
        <v>77</v>
      </c>
      <c r="O24811">
        <v>251119</v>
      </c>
      <c r="P24811">
        <v>101.21</v>
      </c>
    </row>
    <row r="24812" spans="1:16" x14ac:dyDescent="0.25">
      <c r="A24812" t="s">
        <v>3296</v>
      </c>
      <c r="B24812" t="s">
        <v>2931</v>
      </c>
      <c r="C24812">
        <v>15335</v>
      </c>
      <c r="D24812" t="str">
        <f t="shared" si="548"/>
        <v xml:space="preserve">INVFI32709  </v>
      </c>
      <c r="E24812" t="s">
        <v>368</v>
      </c>
      <c r="F24812" t="s">
        <v>369</v>
      </c>
      <c r="G24812">
        <v>101.21</v>
      </c>
      <c r="H24812">
        <v>251105</v>
      </c>
      <c r="I24812">
        <v>4842</v>
      </c>
      <c r="J24812" t="s">
        <v>15</v>
      </c>
      <c r="K24812">
        <v>2827.83</v>
      </c>
      <c r="L24812">
        <v>0</v>
      </c>
      <c r="M24812">
        <v>14622</v>
      </c>
      <c r="N24812" t="s">
        <v>77</v>
      </c>
      <c r="O24812">
        <v>251119</v>
      </c>
      <c r="P24812">
        <v>101.21</v>
      </c>
    </row>
    <row r="24813" spans="1:16" x14ac:dyDescent="0.25">
      <c r="A24813" t="s">
        <v>3296</v>
      </c>
      <c r="B24813" t="s">
        <v>2931</v>
      </c>
      <c r="C24813">
        <v>15335</v>
      </c>
      <c r="D24813" t="str">
        <f t="shared" si="548"/>
        <v xml:space="preserve">INVFI32709  </v>
      </c>
      <c r="E24813" t="s">
        <v>368</v>
      </c>
      <c r="F24813" t="s">
        <v>369</v>
      </c>
      <c r="G24813">
        <v>101.21</v>
      </c>
      <c r="H24813">
        <v>251105</v>
      </c>
      <c r="I24813">
        <v>4842</v>
      </c>
      <c r="J24813" t="s">
        <v>15</v>
      </c>
      <c r="K24813">
        <v>2827.83</v>
      </c>
      <c r="L24813">
        <v>0</v>
      </c>
      <c r="M24813">
        <v>14640</v>
      </c>
      <c r="N24813" t="s">
        <v>78</v>
      </c>
      <c r="O24813">
        <v>251119</v>
      </c>
      <c r="P24813">
        <v>101.21</v>
      </c>
    </row>
    <row r="24814" spans="1:16" x14ac:dyDescent="0.25">
      <c r="A24814" t="s">
        <v>3296</v>
      </c>
      <c r="B24814" t="s">
        <v>2931</v>
      </c>
      <c r="C24814">
        <v>15335</v>
      </c>
      <c r="D24814" t="str">
        <f t="shared" si="548"/>
        <v xml:space="preserve">INVFI32709  </v>
      </c>
      <c r="E24814" t="s">
        <v>368</v>
      </c>
      <c r="F24814" t="s">
        <v>369</v>
      </c>
      <c r="G24814">
        <v>101.21</v>
      </c>
      <c r="H24814">
        <v>251105</v>
      </c>
      <c r="I24814">
        <v>4842</v>
      </c>
      <c r="J24814" t="s">
        <v>15</v>
      </c>
      <c r="K24814">
        <v>2827.83</v>
      </c>
      <c r="L24814">
        <v>0</v>
      </c>
      <c r="M24814">
        <v>14971</v>
      </c>
      <c r="N24814" t="s">
        <v>81</v>
      </c>
      <c r="O24814">
        <v>251119</v>
      </c>
      <c r="P24814">
        <v>101.21</v>
      </c>
    </row>
    <row r="24815" spans="1:16" x14ac:dyDescent="0.25">
      <c r="A24815" t="s">
        <v>3296</v>
      </c>
      <c r="B24815" t="s">
        <v>2931</v>
      </c>
      <c r="C24815">
        <v>15335</v>
      </c>
      <c r="D24815" t="str">
        <f t="shared" si="548"/>
        <v xml:space="preserve">INVFI32709  </v>
      </c>
      <c r="E24815" t="s">
        <v>368</v>
      </c>
      <c r="F24815" t="s">
        <v>369</v>
      </c>
      <c r="G24815">
        <v>101.21</v>
      </c>
      <c r="H24815">
        <v>251105</v>
      </c>
      <c r="I24815">
        <v>4842</v>
      </c>
      <c r="J24815" t="s">
        <v>15</v>
      </c>
      <c r="K24815">
        <v>2827.83</v>
      </c>
      <c r="L24815">
        <v>0</v>
      </c>
      <c r="M24815">
        <v>16431</v>
      </c>
      <c r="N24815" t="s">
        <v>17</v>
      </c>
      <c r="O24815">
        <v>251119</v>
      </c>
      <c r="P24815">
        <v>101.21</v>
      </c>
    </row>
    <row r="24816" spans="1:16" x14ac:dyDescent="0.25">
      <c r="A24816" t="s">
        <v>3296</v>
      </c>
      <c r="B24816" t="s">
        <v>2931</v>
      </c>
      <c r="C24816">
        <v>15335</v>
      </c>
      <c r="D24816" t="str">
        <f t="shared" si="548"/>
        <v xml:space="preserve">INVFI32709  </v>
      </c>
      <c r="E24816" t="s">
        <v>368</v>
      </c>
      <c r="F24816" t="s">
        <v>369</v>
      </c>
      <c r="G24816">
        <v>101.21</v>
      </c>
      <c r="H24816">
        <v>251105</v>
      </c>
      <c r="I24816">
        <v>4842</v>
      </c>
      <c r="J24816" t="s">
        <v>15</v>
      </c>
      <c r="K24816">
        <v>2827.83</v>
      </c>
      <c r="L24816">
        <v>0</v>
      </c>
      <c r="M24816">
        <v>16431</v>
      </c>
      <c r="N24816" t="s">
        <v>17</v>
      </c>
      <c r="O24816">
        <v>251119</v>
      </c>
      <c r="P24816">
        <v>101.21</v>
      </c>
    </row>
    <row r="24817" spans="1:16" x14ac:dyDescent="0.25">
      <c r="A24817" t="s">
        <v>3296</v>
      </c>
      <c r="B24817" t="s">
        <v>2931</v>
      </c>
      <c r="C24817">
        <v>15335</v>
      </c>
      <c r="D24817" t="str">
        <f t="shared" si="548"/>
        <v xml:space="preserve">INVFI32709  </v>
      </c>
      <c r="E24817" t="s">
        <v>368</v>
      </c>
      <c r="F24817" t="s">
        <v>369</v>
      </c>
      <c r="G24817">
        <v>101.21</v>
      </c>
      <c r="H24817">
        <v>251105</v>
      </c>
      <c r="I24817">
        <v>4842</v>
      </c>
      <c r="J24817" t="s">
        <v>15</v>
      </c>
      <c r="K24817">
        <v>2827.83</v>
      </c>
      <c r="L24817">
        <v>0</v>
      </c>
      <c r="M24817">
        <v>16820</v>
      </c>
      <c r="N24817" t="s">
        <v>128</v>
      </c>
      <c r="O24817">
        <v>251119</v>
      </c>
      <c r="P24817">
        <v>101.21</v>
      </c>
    </row>
    <row r="24818" spans="1:16" x14ac:dyDescent="0.25">
      <c r="A24818" t="s">
        <v>3296</v>
      </c>
      <c r="B24818" t="s">
        <v>2931</v>
      </c>
      <c r="C24818">
        <v>15335</v>
      </c>
      <c r="D24818" t="str">
        <f t="shared" si="548"/>
        <v xml:space="preserve">INVFI32709  </v>
      </c>
      <c r="E24818" t="s">
        <v>368</v>
      </c>
      <c r="F24818" t="s">
        <v>369</v>
      </c>
      <c r="G24818">
        <v>101.21</v>
      </c>
      <c r="H24818">
        <v>251105</v>
      </c>
      <c r="I24818">
        <v>4842</v>
      </c>
      <c r="J24818" t="s">
        <v>15</v>
      </c>
      <c r="K24818">
        <v>2827.83</v>
      </c>
      <c r="L24818">
        <v>0</v>
      </c>
      <c r="M24818">
        <v>17524</v>
      </c>
      <c r="N24818" t="s">
        <v>139</v>
      </c>
      <c r="O24818">
        <v>251119</v>
      </c>
      <c r="P24818">
        <v>101.21</v>
      </c>
    </row>
    <row r="24819" spans="1:16" x14ac:dyDescent="0.25">
      <c r="A24819" t="s">
        <v>3296</v>
      </c>
      <c r="B24819" t="s">
        <v>2931</v>
      </c>
      <c r="C24819">
        <v>15335</v>
      </c>
      <c r="D24819" t="str">
        <f t="shared" si="548"/>
        <v xml:space="preserve">INVFI32709  </v>
      </c>
      <c r="E24819" t="s">
        <v>368</v>
      </c>
      <c r="F24819" t="s">
        <v>369</v>
      </c>
      <c r="G24819">
        <v>101.21</v>
      </c>
      <c r="H24819">
        <v>251105</v>
      </c>
      <c r="I24819">
        <v>4842</v>
      </c>
      <c r="J24819" t="s">
        <v>15</v>
      </c>
      <c r="K24819">
        <v>2827.83</v>
      </c>
      <c r="L24819">
        <v>0</v>
      </c>
      <c r="M24819">
        <v>17526</v>
      </c>
      <c r="N24819" t="s">
        <v>141</v>
      </c>
      <c r="O24819">
        <v>251119</v>
      </c>
      <c r="P24819">
        <v>101.21</v>
      </c>
    </row>
    <row r="24820" spans="1:16" x14ac:dyDescent="0.25">
      <c r="A24820" t="s">
        <v>3296</v>
      </c>
      <c r="B24820" t="s">
        <v>2931</v>
      </c>
      <c r="C24820">
        <v>15335</v>
      </c>
      <c r="D24820" t="str">
        <f t="shared" si="548"/>
        <v xml:space="preserve">INVFI32709  </v>
      </c>
      <c r="E24820" t="s">
        <v>368</v>
      </c>
      <c r="F24820" t="s">
        <v>369</v>
      </c>
      <c r="G24820">
        <v>101.21</v>
      </c>
      <c r="H24820">
        <v>251105</v>
      </c>
      <c r="I24820">
        <v>4842</v>
      </c>
      <c r="J24820" t="s">
        <v>15</v>
      </c>
      <c r="K24820">
        <v>2827.83</v>
      </c>
      <c r="L24820">
        <v>0</v>
      </c>
      <c r="M24820">
        <v>17529</v>
      </c>
      <c r="N24820" t="s">
        <v>143</v>
      </c>
      <c r="O24820">
        <v>251119</v>
      </c>
      <c r="P24820">
        <v>101.21</v>
      </c>
    </row>
    <row r="24821" spans="1:16" x14ac:dyDescent="0.25">
      <c r="A24821" t="s">
        <v>3296</v>
      </c>
      <c r="B24821" t="s">
        <v>2931</v>
      </c>
      <c r="C24821">
        <v>15335</v>
      </c>
      <c r="D24821" t="str">
        <f t="shared" si="548"/>
        <v xml:space="preserve">INVFI32709  </v>
      </c>
      <c r="E24821" t="s">
        <v>368</v>
      </c>
      <c r="F24821" t="s">
        <v>369</v>
      </c>
      <c r="G24821">
        <v>101.21</v>
      </c>
      <c r="H24821">
        <v>251105</v>
      </c>
      <c r="I24821">
        <v>4842</v>
      </c>
      <c r="J24821" t="s">
        <v>15</v>
      </c>
      <c r="K24821">
        <v>2827.83</v>
      </c>
      <c r="L24821">
        <v>0</v>
      </c>
      <c r="M24821">
        <v>17802</v>
      </c>
      <c r="N24821" t="s">
        <v>18</v>
      </c>
      <c r="O24821">
        <v>251119</v>
      </c>
      <c r="P24821">
        <v>101.21</v>
      </c>
    </row>
    <row r="24822" spans="1:16" x14ac:dyDescent="0.25">
      <c r="A24822" t="s">
        <v>3296</v>
      </c>
      <c r="B24822" t="s">
        <v>2931</v>
      </c>
      <c r="C24822">
        <v>15335</v>
      </c>
      <c r="D24822" t="str">
        <f t="shared" si="548"/>
        <v xml:space="preserve">INVFI32709  </v>
      </c>
      <c r="E24822" t="s">
        <v>368</v>
      </c>
      <c r="F24822" t="s">
        <v>369</v>
      </c>
      <c r="G24822">
        <v>100</v>
      </c>
      <c r="H24822">
        <v>251105</v>
      </c>
      <c r="I24822">
        <v>4842</v>
      </c>
      <c r="J24822" t="s">
        <v>15</v>
      </c>
      <c r="K24822">
        <v>2827.83</v>
      </c>
      <c r="L24822">
        <v>0</v>
      </c>
      <c r="M24822">
        <v>17809</v>
      </c>
      <c r="N24822" t="s">
        <v>25</v>
      </c>
      <c r="O24822">
        <v>251119</v>
      </c>
      <c r="P24822">
        <v>100</v>
      </c>
    </row>
    <row r="24823" spans="1:16" x14ac:dyDescent="0.25">
      <c r="A24823" t="s">
        <v>3296</v>
      </c>
      <c r="B24823" t="s">
        <v>2931</v>
      </c>
      <c r="C24823">
        <v>15335</v>
      </c>
      <c r="D24823" t="str">
        <f t="shared" si="548"/>
        <v xml:space="preserve">INVFI32709  </v>
      </c>
      <c r="E24823" t="s">
        <v>368</v>
      </c>
      <c r="F24823" t="s">
        <v>369</v>
      </c>
      <c r="G24823">
        <v>101.21</v>
      </c>
      <c r="H24823">
        <v>251105</v>
      </c>
      <c r="I24823">
        <v>4842</v>
      </c>
      <c r="J24823" t="s">
        <v>15</v>
      </c>
      <c r="K24823">
        <v>2827.83</v>
      </c>
      <c r="L24823">
        <v>0</v>
      </c>
      <c r="M24823">
        <v>17972</v>
      </c>
      <c r="N24823" t="s">
        <v>28</v>
      </c>
      <c r="O24823">
        <v>251119</v>
      </c>
      <c r="P24823">
        <v>101.21</v>
      </c>
    </row>
    <row r="24824" spans="1:16" x14ac:dyDescent="0.25">
      <c r="A24824" t="s">
        <v>3296</v>
      </c>
      <c r="B24824" t="s">
        <v>2931</v>
      </c>
      <c r="C24824">
        <v>15335</v>
      </c>
      <c r="D24824" t="str">
        <f t="shared" si="548"/>
        <v xml:space="preserve">INVFI32709  </v>
      </c>
      <c r="E24824" t="s">
        <v>368</v>
      </c>
      <c r="F24824" t="s">
        <v>369</v>
      </c>
      <c r="G24824">
        <v>101.21</v>
      </c>
      <c r="H24824">
        <v>251105</v>
      </c>
      <c r="I24824">
        <v>4842</v>
      </c>
      <c r="J24824" t="s">
        <v>15</v>
      </c>
      <c r="K24824">
        <v>2827.83</v>
      </c>
      <c r="L24824">
        <v>0</v>
      </c>
      <c r="M24824">
        <v>17972</v>
      </c>
      <c r="N24824" t="s">
        <v>28</v>
      </c>
      <c r="O24824">
        <v>251119</v>
      </c>
      <c r="P24824">
        <v>101.21</v>
      </c>
    </row>
    <row r="24825" spans="1:16" x14ac:dyDescent="0.25">
      <c r="A24825" t="s">
        <v>3296</v>
      </c>
      <c r="B24825" t="s">
        <v>2931</v>
      </c>
      <c r="C24825">
        <v>15335</v>
      </c>
      <c r="D24825" t="str">
        <f t="shared" si="548"/>
        <v xml:space="preserve">INVFI32709  </v>
      </c>
      <c r="E24825" t="s">
        <v>368</v>
      </c>
      <c r="F24825" t="s">
        <v>369</v>
      </c>
      <c r="G24825">
        <v>101.21</v>
      </c>
      <c r="H24825">
        <v>251105</v>
      </c>
      <c r="I24825">
        <v>4842</v>
      </c>
      <c r="J24825" t="s">
        <v>15</v>
      </c>
      <c r="K24825">
        <v>2827.83</v>
      </c>
      <c r="L24825">
        <v>0</v>
      </c>
      <c r="M24825">
        <v>17972</v>
      </c>
      <c r="N24825" t="s">
        <v>28</v>
      </c>
      <c r="O24825">
        <v>251119</v>
      </c>
      <c r="P24825">
        <v>101.21</v>
      </c>
    </row>
    <row r="24826" spans="1:16" x14ac:dyDescent="0.25">
      <c r="A24826" t="s">
        <v>3296</v>
      </c>
      <c r="B24826" t="s">
        <v>2931</v>
      </c>
      <c r="C24826">
        <v>15335</v>
      </c>
      <c r="D24826" t="str">
        <f t="shared" si="548"/>
        <v xml:space="preserve">INVFI32709  </v>
      </c>
      <c r="E24826" t="s">
        <v>368</v>
      </c>
      <c r="F24826" t="s">
        <v>369</v>
      </c>
      <c r="G24826">
        <v>101.21</v>
      </c>
      <c r="H24826">
        <v>251105</v>
      </c>
      <c r="I24826">
        <v>4842</v>
      </c>
      <c r="J24826" t="s">
        <v>15</v>
      </c>
      <c r="K24826">
        <v>2827.83</v>
      </c>
      <c r="L24826">
        <v>0</v>
      </c>
      <c r="M24826">
        <v>17974</v>
      </c>
      <c r="N24826" t="s">
        <v>153</v>
      </c>
      <c r="O24826">
        <v>251119</v>
      </c>
      <c r="P24826">
        <v>101.21</v>
      </c>
    </row>
    <row r="24827" spans="1:16" x14ac:dyDescent="0.25">
      <c r="A24827" t="s">
        <v>3296</v>
      </c>
      <c r="B24827" t="s">
        <v>2931</v>
      </c>
      <c r="C24827">
        <v>15335</v>
      </c>
      <c r="D24827" t="str">
        <f t="shared" si="548"/>
        <v xml:space="preserve">INVFI32709  </v>
      </c>
      <c r="E24827" t="s">
        <v>368</v>
      </c>
      <c r="F24827" t="s">
        <v>369</v>
      </c>
      <c r="G24827">
        <v>100</v>
      </c>
      <c r="H24827">
        <v>251105</v>
      </c>
      <c r="I24827">
        <v>4842</v>
      </c>
      <c r="J24827" t="s">
        <v>15</v>
      </c>
      <c r="K24827">
        <v>2827.83</v>
      </c>
      <c r="L24827">
        <v>0</v>
      </c>
      <c r="M24827">
        <v>17975</v>
      </c>
      <c r="N24827" t="s">
        <v>29</v>
      </c>
      <c r="O24827">
        <v>251119</v>
      </c>
      <c r="P24827">
        <v>100</v>
      </c>
    </row>
    <row r="24828" spans="1:16" x14ac:dyDescent="0.25">
      <c r="A24828" t="s">
        <v>3296</v>
      </c>
      <c r="B24828" t="s">
        <v>2931</v>
      </c>
      <c r="C24828">
        <v>15335</v>
      </c>
      <c r="D24828" t="str">
        <f t="shared" si="548"/>
        <v xml:space="preserve">INVFI32709  </v>
      </c>
      <c r="E24828" t="s">
        <v>368</v>
      </c>
      <c r="F24828" t="s">
        <v>369</v>
      </c>
      <c r="G24828">
        <v>100</v>
      </c>
      <c r="H24828">
        <v>251105</v>
      </c>
      <c r="I24828">
        <v>4842</v>
      </c>
      <c r="J24828" t="s">
        <v>15</v>
      </c>
      <c r="K24828">
        <v>2827.83</v>
      </c>
      <c r="L24828">
        <v>0</v>
      </c>
      <c r="M24828">
        <v>18972</v>
      </c>
      <c r="N24828" t="s">
        <v>39</v>
      </c>
      <c r="O24828">
        <v>251119</v>
      </c>
      <c r="P24828">
        <v>100</v>
      </c>
    </row>
    <row r="24829" spans="1:16" x14ac:dyDescent="0.25">
      <c r="A24829" t="s">
        <v>3296</v>
      </c>
      <c r="B24829" t="s">
        <v>2931</v>
      </c>
      <c r="C24829">
        <v>15335</v>
      </c>
      <c r="D24829" t="str">
        <f t="shared" si="548"/>
        <v xml:space="preserve">INVFI32709  </v>
      </c>
      <c r="E24829" t="s">
        <v>368</v>
      </c>
      <c r="F24829" t="s">
        <v>369</v>
      </c>
      <c r="G24829">
        <v>101.21</v>
      </c>
      <c r="H24829">
        <v>251105</v>
      </c>
      <c r="I24829">
        <v>4842</v>
      </c>
      <c r="J24829" t="s">
        <v>15</v>
      </c>
      <c r="K24829">
        <v>2827.83</v>
      </c>
      <c r="L24829">
        <v>0</v>
      </c>
      <c r="M24829">
        <v>44222</v>
      </c>
      <c r="N24829" t="s">
        <v>96</v>
      </c>
      <c r="O24829">
        <v>251119</v>
      </c>
      <c r="P24829">
        <v>101.21</v>
      </c>
    </row>
    <row r="24830" spans="1:16" x14ac:dyDescent="0.25">
      <c r="A24830" t="s">
        <v>3296</v>
      </c>
      <c r="B24830" t="s">
        <v>2931</v>
      </c>
      <c r="C24830">
        <v>15335</v>
      </c>
      <c r="D24830" t="str">
        <f t="shared" si="548"/>
        <v xml:space="preserve">INVFI32709  </v>
      </c>
      <c r="E24830" t="s">
        <v>368</v>
      </c>
      <c r="F24830" t="s">
        <v>369</v>
      </c>
      <c r="G24830">
        <v>101.21</v>
      </c>
      <c r="H24830">
        <v>251105</v>
      </c>
      <c r="I24830">
        <v>4842</v>
      </c>
      <c r="J24830" t="s">
        <v>15</v>
      </c>
      <c r="K24830">
        <v>2827.83</v>
      </c>
      <c r="L24830">
        <v>0</v>
      </c>
      <c r="M24830">
        <v>49702</v>
      </c>
      <c r="N24830" t="s">
        <v>112</v>
      </c>
      <c r="O24830">
        <v>251119</v>
      </c>
      <c r="P24830">
        <v>101.21</v>
      </c>
    </row>
    <row r="24831" spans="1:16" x14ac:dyDescent="0.25">
      <c r="A24831" t="s">
        <v>3296</v>
      </c>
      <c r="B24831" t="s">
        <v>2931</v>
      </c>
      <c r="C24831">
        <v>15335</v>
      </c>
      <c r="D24831" t="str">
        <f t="shared" si="548"/>
        <v xml:space="preserve">INVFI32709  </v>
      </c>
      <c r="E24831" t="s">
        <v>368</v>
      </c>
      <c r="F24831" t="s">
        <v>369</v>
      </c>
      <c r="G24831">
        <v>101.21</v>
      </c>
      <c r="H24831">
        <v>251105</v>
      </c>
      <c r="I24831">
        <v>4842</v>
      </c>
      <c r="J24831" t="s">
        <v>15</v>
      </c>
      <c r="K24831">
        <v>2827.83</v>
      </c>
      <c r="L24831">
        <v>0</v>
      </c>
      <c r="M24831">
        <v>54422</v>
      </c>
      <c r="N24831" t="s">
        <v>49</v>
      </c>
      <c r="O24831">
        <v>251119</v>
      </c>
      <c r="P24831">
        <v>101.21</v>
      </c>
    </row>
    <row r="24832" spans="1:16" x14ac:dyDescent="0.25">
      <c r="A24832" t="s">
        <v>3296</v>
      </c>
      <c r="B24832" t="s">
        <v>2931</v>
      </c>
      <c r="C24832">
        <v>15335</v>
      </c>
      <c r="D24832" t="str">
        <f t="shared" si="548"/>
        <v xml:space="preserve">INVFI32709  </v>
      </c>
      <c r="E24832" t="s">
        <v>368</v>
      </c>
      <c r="F24832" t="s">
        <v>369</v>
      </c>
      <c r="G24832">
        <v>101.21</v>
      </c>
      <c r="H24832">
        <v>251105</v>
      </c>
      <c r="I24832">
        <v>4842</v>
      </c>
      <c r="J24832" t="s">
        <v>15</v>
      </c>
      <c r="K24832">
        <v>2827.83</v>
      </c>
      <c r="L24832">
        <v>0</v>
      </c>
      <c r="M24832">
        <v>59702</v>
      </c>
      <c r="N24832" t="s">
        <v>45</v>
      </c>
      <c r="O24832">
        <v>251119</v>
      </c>
      <c r="P24832">
        <v>101.21</v>
      </c>
    </row>
    <row r="24833" spans="1:16" x14ac:dyDescent="0.25">
      <c r="A24833" t="s">
        <v>3296</v>
      </c>
      <c r="B24833" t="s">
        <v>2931</v>
      </c>
      <c r="C24833">
        <v>15335</v>
      </c>
      <c r="D24833" t="str">
        <f t="shared" si="548"/>
        <v xml:space="preserve">INVFI32709  </v>
      </c>
      <c r="E24833" t="s">
        <v>368</v>
      </c>
      <c r="F24833" t="s">
        <v>369</v>
      </c>
      <c r="G24833">
        <v>101.21</v>
      </c>
      <c r="H24833">
        <v>251105</v>
      </c>
      <c r="I24833">
        <v>4842</v>
      </c>
      <c r="J24833" t="s">
        <v>15</v>
      </c>
      <c r="K24833">
        <v>2827.83</v>
      </c>
      <c r="L24833">
        <v>0</v>
      </c>
      <c r="M24833">
        <v>67522</v>
      </c>
      <c r="N24833" t="s">
        <v>121</v>
      </c>
      <c r="O24833">
        <v>251119</v>
      </c>
      <c r="P24833">
        <v>101.21</v>
      </c>
    </row>
    <row r="24834" spans="1:16" x14ac:dyDescent="0.25">
      <c r="A24834" t="s">
        <v>3296</v>
      </c>
      <c r="B24834" t="s">
        <v>2931</v>
      </c>
      <c r="C24834">
        <v>16900</v>
      </c>
      <c r="D24834" t="str">
        <f t="shared" ref="D24834:D24861" si="549">"INVFI34735  "</f>
        <v xml:space="preserve">INVFI34735  </v>
      </c>
      <c r="E24834" t="s">
        <v>368</v>
      </c>
      <c r="F24834" t="s">
        <v>369</v>
      </c>
      <c r="G24834">
        <v>101.21</v>
      </c>
      <c r="H24834">
        <v>251203</v>
      </c>
      <c r="I24834">
        <v>4842</v>
      </c>
      <c r="J24834" t="s">
        <v>15</v>
      </c>
      <c r="K24834">
        <v>2827.83</v>
      </c>
      <c r="L24834">
        <v>0</v>
      </c>
      <c r="M24834">
        <v>11301</v>
      </c>
      <c r="N24834" t="s">
        <v>92</v>
      </c>
      <c r="O24834">
        <v>251215</v>
      </c>
      <c r="P24834">
        <v>101.21</v>
      </c>
    </row>
    <row r="24835" spans="1:16" x14ac:dyDescent="0.25">
      <c r="A24835" t="s">
        <v>3296</v>
      </c>
      <c r="B24835" t="s">
        <v>2931</v>
      </c>
      <c r="C24835">
        <v>16900</v>
      </c>
      <c r="D24835" t="str">
        <f t="shared" si="549"/>
        <v xml:space="preserve">INVFI34735  </v>
      </c>
      <c r="E24835" t="s">
        <v>368</v>
      </c>
      <c r="F24835" t="s">
        <v>369</v>
      </c>
      <c r="G24835">
        <v>101.21</v>
      </c>
      <c r="H24835">
        <v>251203</v>
      </c>
      <c r="I24835">
        <v>4842</v>
      </c>
      <c r="J24835" t="s">
        <v>15</v>
      </c>
      <c r="K24835">
        <v>2827.83</v>
      </c>
      <c r="L24835">
        <v>0</v>
      </c>
      <c r="M24835">
        <v>11301</v>
      </c>
      <c r="N24835" t="s">
        <v>92</v>
      </c>
      <c r="O24835">
        <v>251215</v>
      </c>
      <c r="P24835">
        <v>101.21</v>
      </c>
    </row>
    <row r="24836" spans="1:16" x14ac:dyDescent="0.25">
      <c r="A24836" t="s">
        <v>3296</v>
      </c>
      <c r="B24836" t="s">
        <v>2931</v>
      </c>
      <c r="C24836">
        <v>16900</v>
      </c>
      <c r="D24836" t="str">
        <f t="shared" si="549"/>
        <v xml:space="preserve">INVFI34735  </v>
      </c>
      <c r="E24836" t="s">
        <v>368</v>
      </c>
      <c r="F24836" t="s">
        <v>369</v>
      </c>
      <c r="G24836">
        <v>100</v>
      </c>
      <c r="H24836">
        <v>251203</v>
      </c>
      <c r="I24836">
        <v>4842</v>
      </c>
      <c r="J24836" t="s">
        <v>15</v>
      </c>
      <c r="K24836">
        <v>2827.83</v>
      </c>
      <c r="L24836">
        <v>0</v>
      </c>
      <c r="M24836">
        <v>13601</v>
      </c>
      <c r="N24836" t="s">
        <v>115</v>
      </c>
      <c r="O24836">
        <v>251215</v>
      </c>
      <c r="P24836">
        <v>100</v>
      </c>
    </row>
    <row r="24837" spans="1:16" x14ac:dyDescent="0.25">
      <c r="A24837" t="s">
        <v>3296</v>
      </c>
      <c r="B24837" t="s">
        <v>2931</v>
      </c>
      <c r="C24837">
        <v>16900</v>
      </c>
      <c r="D24837" t="str">
        <f t="shared" si="549"/>
        <v xml:space="preserve">INVFI34735  </v>
      </c>
      <c r="E24837" t="s">
        <v>368</v>
      </c>
      <c r="F24837" t="s">
        <v>369</v>
      </c>
      <c r="G24837">
        <v>101.21</v>
      </c>
      <c r="H24837">
        <v>251203</v>
      </c>
      <c r="I24837">
        <v>4842</v>
      </c>
      <c r="J24837" t="s">
        <v>15</v>
      </c>
      <c r="K24837">
        <v>2827.83</v>
      </c>
      <c r="L24837">
        <v>0</v>
      </c>
      <c r="M24837">
        <v>14121</v>
      </c>
      <c r="N24837" t="s">
        <v>71</v>
      </c>
      <c r="O24837">
        <v>251215</v>
      </c>
      <c r="P24837">
        <v>101.21</v>
      </c>
    </row>
    <row r="24838" spans="1:16" x14ac:dyDescent="0.25">
      <c r="A24838" t="s">
        <v>3296</v>
      </c>
      <c r="B24838" t="s">
        <v>2931</v>
      </c>
      <c r="C24838">
        <v>16900</v>
      </c>
      <c r="D24838" t="str">
        <f t="shared" si="549"/>
        <v xml:space="preserve">INVFI34735  </v>
      </c>
      <c r="E24838" t="s">
        <v>368</v>
      </c>
      <c r="F24838" t="s">
        <v>369</v>
      </c>
      <c r="G24838">
        <v>100</v>
      </c>
      <c r="H24838">
        <v>251203</v>
      </c>
      <c r="I24838">
        <v>4842</v>
      </c>
      <c r="J24838" t="s">
        <v>15</v>
      </c>
      <c r="K24838">
        <v>2827.83</v>
      </c>
      <c r="L24838">
        <v>0</v>
      </c>
      <c r="M24838">
        <v>14541</v>
      </c>
      <c r="N24838" t="s">
        <v>76</v>
      </c>
      <c r="O24838">
        <v>251215</v>
      </c>
      <c r="P24838">
        <v>100</v>
      </c>
    </row>
    <row r="24839" spans="1:16" x14ac:dyDescent="0.25">
      <c r="A24839" t="s">
        <v>3296</v>
      </c>
      <c r="B24839" t="s">
        <v>2931</v>
      </c>
      <c r="C24839">
        <v>16900</v>
      </c>
      <c r="D24839" t="str">
        <f t="shared" si="549"/>
        <v xml:space="preserve">INVFI34735  </v>
      </c>
      <c r="E24839" t="s">
        <v>368</v>
      </c>
      <c r="F24839" t="s">
        <v>369</v>
      </c>
      <c r="G24839">
        <v>101.21</v>
      </c>
      <c r="H24839">
        <v>251203</v>
      </c>
      <c r="I24839">
        <v>4842</v>
      </c>
      <c r="J24839" t="s">
        <v>15</v>
      </c>
      <c r="K24839">
        <v>2827.83</v>
      </c>
      <c r="L24839">
        <v>0</v>
      </c>
      <c r="M24839">
        <v>14622</v>
      </c>
      <c r="N24839" t="s">
        <v>77</v>
      </c>
      <c r="O24839">
        <v>251215</v>
      </c>
      <c r="P24839">
        <v>101.21</v>
      </c>
    </row>
    <row r="24840" spans="1:16" x14ac:dyDescent="0.25">
      <c r="A24840" t="s">
        <v>3296</v>
      </c>
      <c r="B24840" t="s">
        <v>2931</v>
      </c>
      <c r="C24840">
        <v>16900</v>
      </c>
      <c r="D24840" t="str">
        <f t="shared" si="549"/>
        <v xml:space="preserve">INVFI34735  </v>
      </c>
      <c r="E24840" t="s">
        <v>368</v>
      </c>
      <c r="F24840" t="s">
        <v>369</v>
      </c>
      <c r="G24840">
        <v>101.21</v>
      </c>
      <c r="H24840">
        <v>251203</v>
      </c>
      <c r="I24840">
        <v>4842</v>
      </c>
      <c r="J24840" t="s">
        <v>15</v>
      </c>
      <c r="K24840">
        <v>2827.83</v>
      </c>
      <c r="L24840">
        <v>0</v>
      </c>
      <c r="M24840">
        <v>14622</v>
      </c>
      <c r="N24840" t="s">
        <v>77</v>
      </c>
      <c r="O24840">
        <v>251215</v>
      </c>
      <c r="P24840">
        <v>101.21</v>
      </c>
    </row>
    <row r="24841" spans="1:16" x14ac:dyDescent="0.25">
      <c r="A24841" t="s">
        <v>3296</v>
      </c>
      <c r="B24841" t="s">
        <v>2931</v>
      </c>
      <c r="C24841">
        <v>16900</v>
      </c>
      <c r="D24841" t="str">
        <f t="shared" si="549"/>
        <v xml:space="preserve">INVFI34735  </v>
      </c>
      <c r="E24841" t="s">
        <v>368</v>
      </c>
      <c r="F24841" t="s">
        <v>369</v>
      </c>
      <c r="G24841">
        <v>101.21</v>
      </c>
      <c r="H24841">
        <v>251203</v>
      </c>
      <c r="I24841">
        <v>4842</v>
      </c>
      <c r="J24841" t="s">
        <v>15</v>
      </c>
      <c r="K24841">
        <v>2827.83</v>
      </c>
      <c r="L24841">
        <v>0</v>
      </c>
      <c r="M24841">
        <v>14640</v>
      </c>
      <c r="N24841" t="s">
        <v>78</v>
      </c>
      <c r="O24841">
        <v>251215</v>
      </c>
      <c r="P24841">
        <v>101.21</v>
      </c>
    </row>
    <row r="24842" spans="1:16" x14ac:dyDescent="0.25">
      <c r="A24842" t="s">
        <v>3296</v>
      </c>
      <c r="B24842" t="s">
        <v>2931</v>
      </c>
      <c r="C24842">
        <v>16900</v>
      </c>
      <c r="D24842" t="str">
        <f t="shared" si="549"/>
        <v xml:space="preserve">INVFI34735  </v>
      </c>
      <c r="E24842" t="s">
        <v>368</v>
      </c>
      <c r="F24842" t="s">
        <v>369</v>
      </c>
      <c r="G24842">
        <v>101.21</v>
      </c>
      <c r="H24842">
        <v>251203</v>
      </c>
      <c r="I24842">
        <v>4842</v>
      </c>
      <c r="J24842" t="s">
        <v>15</v>
      </c>
      <c r="K24842">
        <v>2827.83</v>
      </c>
      <c r="L24842">
        <v>0</v>
      </c>
      <c r="M24842">
        <v>14971</v>
      </c>
      <c r="N24842" t="s">
        <v>81</v>
      </c>
      <c r="O24842">
        <v>251215</v>
      </c>
      <c r="P24842">
        <v>101.21</v>
      </c>
    </row>
    <row r="24843" spans="1:16" x14ac:dyDescent="0.25">
      <c r="A24843" t="s">
        <v>3296</v>
      </c>
      <c r="B24843" t="s">
        <v>2931</v>
      </c>
      <c r="C24843">
        <v>16900</v>
      </c>
      <c r="D24843" t="str">
        <f t="shared" si="549"/>
        <v xml:space="preserve">INVFI34735  </v>
      </c>
      <c r="E24843" t="s">
        <v>368</v>
      </c>
      <c r="F24843" t="s">
        <v>369</v>
      </c>
      <c r="G24843">
        <v>101.21</v>
      </c>
      <c r="H24843">
        <v>251203</v>
      </c>
      <c r="I24843">
        <v>4842</v>
      </c>
      <c r="J24843" t="s">
        <v>15</v>
      </c>
      <c r="K24843">
        <v>2827.83</v>
      </c>
      <c r="L24843">
        <v>0</v>
      </c>
      <c r="M24843">
        <v>16431</v>
      </c>
      <c r="N24843" t="s">
        <v>17</v>
      </c>
      <c r="O24843">
        <v>251215</v>
      </c>
      <c r="P24843">
        <v>101.21</v>
      </c>
    </row>
    <row r="24844" spans="1:16" x14ac:dyDescent="0.25">
      <c r="A24844" t="s">
        <v>3296</v>
      </c>
      <c r="B24844" t="s">
        <v>2931</v>
      </c>
      <c r="C24844">
        <v>16900</v>
      </c>
      <c r="D24844" t="str">
        <f t="shared" si="549"/>
        <v xml:space="preserve">INVFI34735  </v>
      </c>
      <c r="E24844" t="s">
        <v>368</v>
      </c>
      <c r="F24844" t="s">
        <v>369</v>
      </c>
      <c r="G24844">
        <v>101.21</v>
      </c>
      <c r="H24844">
        <v>251203</v>
      </c>
      <c r="I24844">
        <v>4842</v>
      </c>
      <c r="J24844" t="s">
        <v>15</v>
      </c>
      <c r="K24844">
        <v>2827.83</v>
      </c>
      <c r="L24844">
        <v>0</v>
      </c>
      <c r="M24844">
        <v>16431</v>
      </c>
      <c r="N24844" t="s">
        <v>17</v>
      </c>
      <c r="O24844">
        <v>251215</v>
      </c>
      <c r="P24844">
        <v>101.21</v>
      </c>
    </row>
    <row r="24845" spans="1:16" x14ac:dyDescent="0.25">
      <c r="A24845" t="s">
        <v>3296</v>
      </c>
      <c r="B24845" t="s">
        <v>2931</v>
      </c>
      <c r="C24845">
        <v>16900</v>
      </c>
      <c r="D24845" t="str">
        <f t="shared" si="549"/>
        <v xml:space="preserve">INVFI34735  </v>
      </c>
      <c r="E24845" t="s">
        <v>368</v>
      </c>
      <c r="F24845" t="s">
        <v>369</v>
      </c>
      <c r="G24845">
        <v>101.21</v>
      </c>
      <c r="H24845">
        <v>251203</v>
      </c>
      <c r="I24845">
        <v>4842</v>
      </c>
      <c r="J24845" t="s">
        <v>15</v>
      </c>
      <c r="K24845">
        <v>2827.83</v>
      </c>
      <c r="L24845">
        <v>0</v>
      </c>
      <c r="M24845">
        <v>16820</v>
      </c>
      <c r="N24845" t="s">
        <v>128</v>
      </c>
      <c r="O24845">
        <v>251215</v>
      </c>
      <c r="P24845">
        <v>101.21</v>
      </c>
    </row>
    <row r="24846" spans="1:16" x14ac:dyDescent="0.25">
      <c r="A24846" t="s">
        <v>3296</v>
      </c>
      <c r="B24846" t="s">
        <v>2931</v>
      </c>
      <c r="C24846">
        <v>16900</v>
      </c>
      <c r="D24846" t="str">
        <f t="shared" si="549"/>
        <v xml:space="preserve">INVFI34735  </v>
      </c>
      <c r="E24846" t="s">
        <v>368</v>
      </c>
      <c r="F24846" t="s">
        <v>369</v>
      </c>
      <c r="G24846">
        <v>101.21</v>
      </c>
      <c r="H24846">
        <v>251203</v>
      </c>
      <c r="I24846">
        <v>4842</v>
      </c>
      <c r="J24846" t="s">
        <v>15</v>
      </c>
      <c r="K24846">
        <v>2827.83</v>
      </c>
      <c r="L24846">
        <v>0</v>
      </c>
      <c r="M24846">
        <v>17524</v>
      </c>
      <c r="N24846" t="s">
        <v>139</v>
      </c>
      <c r="O24846">
        <v>251215</v>
      </c>
      <c r="P24846">
        <v>101.21</v>
      </c>
    </row>
    <row r="24847" spans="1:16" x14ac:dyDescent="0.25">
      <c r="A24847" t="s">
        <v>3296</v>
      </c>
      <c r="B24847" t="s">
        <v>2931</v>
      </c>
      <c r="C24847">
        <v>16900</v>
      </c>
      <c r="D24847" t="str">
        <f t="shared" si="549"/>
        <v xml:space="preserve">INVFI34735  </v>
      </c>
      <c r="E24847" t="s">
        <v>368</v>
      </c>
      <c r="F24847" t="s">
        <v>369</v>
      </c>
      <c r="G24847">
        <v>101.21</v>
      </c>
      <c r="H24847">
        <v>251203</v>
      </c>
      <c r="I24847">
        <v>4842</v>
      </c>
      <c r="J24847" t="s">
        <v>15</v>
      </c>
      <c r="K24847">
        <v>2827.83</v>
      </c>
      <c r="L24847">
        <v>0</v>
      </c>
      <c r="M24847">
        <v>17526</v>
      </c>
      <c r="N24847" t="s">
        <v>141</v>
      </c>
      <c r="O24847">
        <v>251215</v>
      </c>
      <c r="P24847">
        <v>101.21</v>
      </c>
    </row>
    <row r="24848" spans="1:16" x14ac:dyDescent="0.25">
      <c r="A24848" t="s">
        <v>3296</v>
      </c>
      <c r="B24848" t="s">
        <v>2931</v>
      </c>
      <c r="C24848">
        <v>16900</v>
      </c>
      <c r="D24848" t="str">
        <f t="shared" si="549"/>
        <v xml:space="preserve">INVFI34735  </v>
      </c>
      <c r="E24848" t="s">
        <v>368</v>
      </c>
      <c r="F24848" t="s">
        <v>369</v>
      </c>
      <c r="G24848">
        <v>101.21</v>
      </c>
      <c r="H24848">
        <v>251203</v>
      </c>
      <c r="I24848">
        <v>4842</v>
      </c>
      <c r="J24848" t="s">
        <v>15</v>
      </c>
      <c r="K24848">
        <v>2827.83</v>
      </c>
      <c r="L24848">
        <v>0</v>
      </c>
      <c r="M24848">
        <v>17529</v>
      </c>
      <c r="N24848" t="s">
        <v>143</v>
      </c>
      <c r="O24848">
        <v>251215</v>
      </c>
      <c r="P24848">
        <v>101.21</v>
      </c>
    </row>
    <row r="24849" spans="1:16" x14ac:dyDescent="0.25">
      <c r="A24849" t="s">
        <v>3296</v>
      </c>
      <c r="B24849" t="s">
        <v>2931</v>
      </c>
      <c r="C24849">
        <v>16900</v>
      </c>
      <c r="D24849" t="str">
        <f t="shared" si="549"/>
        <v xml:space="preserve">INVFI34735  </v>
      </c>
      <c r="E24849" t="s">
        <v>368</v>
      </c>
      <c r="F24849" t="s">
        <v>369</v>
      </c>
      <c r="G24849">
        <v>101.21</v>
      </c>
      <c r="H24849">
        <v>251203</v>
      </c>
      <c r="I24849">
        <v>4842</v>
      </c>
      <c r="J24849" t="s">
        <v>15</v>
      </c>
      <c r="K24849">
        <v>2827.83</v>
      </c>
      <c r="L24849">
        <v>0</v>
      </c>
      <c r="M24849">
        <v>17802</v>
      </c>
      <c r="N24849" t="s">
        <v>18</v>
      </c>
      <c r="O24849">
        <v>251215</v>
      </c>
      <c r="P24849">
        <v>101.21</v>
      </c>
    </row>
    <row r="24850" spans="1:16" x14ac:dyDescent="0.25">
      <c r="A24850" t="s">
        <v>3296</v>
      </c>
      <c r="B24850" t="s">
        <v>2931</v>
      </c>
      <c r="C24850">
        <v>16900</v>
      </c>
      <c r="D24850" t="str">
        <f t="shared" si="549"/>
        <v xml:space="preserve">INVFI34735  </v>
      </c>
      <c r="E24850" t="s">
        <v>368</v>
      </c>
      <c r="F24850" t="s">
        <v>369</v>
      </c>
      <c r="G24850">
        <v>100</v>
      </c>
      <c r="H24850">
        <v>251203</v>
      </c>
      <c r="I24850">
        <v>4842</v>
      </c>
      <c r="J24850" t="s">
        <v>15</v>
      </c>
      <c r="K24850">
        <v>2827.83</v>
      </c>
      <c r="L24850">
        <v>0</v>
      </c>
      <c r="M24850">
        <v>17809</v>
      </c>
      <c r="N24850" t="s">
        <v>25</v>
      </c>
      <c r="O24850">
        <v>251215</v>
      </c>
      <c r="P24850">
        <v>100</v>
      </c>
    </row>
    <row r="24851" spans="1:16" x14ac:dyDescent="0.25">
      <c r="A24851" t="s">
        <v>3296</v>
      </c>
      <c r="B24851" t="s">
        <v>2931</v>
      </c>
      <c r="C24851">
        <v>16900</v>
      </c>
      <c r="D24851" t="str">
        <f t="shared" si="549"/>
        <v xml:space="preserve">INVFI34735  </v>
      </c>
      <c r="E24851" t="s">
        <v>368</v>
      </c>
      <c r="F24851" t="s">
        <v>369</v>
      </c>
      <c r="G24851">
        <v>101.21</v>
      </c>
      <c r="H24851">
        <v>251203</v>
      </c>
      <c r="I24851">
        <v>4842</v>
      </c>
      <c r="J24851" t="s">
        <v>15</v>
      </c>
      <c r="K24851">
        <v>2827.83</v>
      </c>
      <c r="L24851">
        <v>0</v>
      </c>
      <c r="M24851">
        <v>17972</v>
      </c>
      <c r="N24851" t="s">
        <v>28</v>
      </c>
      <c r="O24851">
        <v>251215</v>
      </c>
      <c r="P24851">
        <v>101.21</v>
      </c>
    </row>
    <row r="24852" spans="1:16" x14ac:dyDescent="0.25">
      <c r="A24852" t="s">
        <v>3296</v>
      </c>
      <c r="B24852" t="s">
        <v>2931</v>
      </c>
      <c r="C24852">
        <v>16900</v>
      </c>
      <c r="D24852" t="str">
        <f t="shared" si="549"/>
        <v xml:space="preserve">INVFI34735  </v>
      </c>
      <c r="E24852" t="s">
        <v>368</v>
      </c>
      <c r="F24852" t="s">
        <v>369</v>
      </c>
      <c r="G24852">
        <v>101.21</v>
      </c>
      <c r="H24852">
        <v>251203</v>
      </c>
      <c r="I24852">
        <v>4842</v>
      </c>
      <c r="J24852" t="s">
        <v>15</v>
      </c>
      <c r="K24852">
        <v>2827.83</v>
      </c>
      <c r="L24852">
        <v>0</v>
      </c>
      <c r="M24852">
        <v>17972</v>
      </c>
      <c r="N24852" t="s">
        <v>28</v>
      </c>
      <c r="O24852">
        <v>251215</v>
      </c>
      <c r="P24852">
        <v>101.21</v>
      </c>
    </row>
    <row r="24853" spans="1:16" x14ac:dyDescent="0.25">
      <c r="A24853" t="s">
        <v>3296</v>
      </c>
      <c r="B24853" t="s">
        <v>2931</v>
      </c>
      <c r="C24853">
        <v>16900</v>
      </c>
      <c r="D24853" t="str">
        <f t="shared" si="549"/>
        <v xml:space="preserve">INVFI34735  </v>
      </c>
      <c r="E24853" t="s">
        <v>368</v>
      </c>
      <c r="F24853" t="s">
        <v>369</v>
      </c>
      <c r="G24853">
        <v>101.21</v>
      </c>
      <c r="H24853">
        <v>251203</v>
      </c>
      <c r="I24853">
        <v>4842</v>
      </c>
      <c r="J24853" t="s">
        <v>15</v>
      </c>
      <c r="K24853">
        <v>2827.83</v>
      </c>
      <c r="L24853">
        <v>0</v>
      </c>
      <c r="M24853">
        <v>17972</v>
      </c>
      <c r="N24853" t="s">
        <v>28</v>
      </c>
      <c r="O24853">
        <v>251215</v>
      </c>
      <c r="P24853">
        <v>101.21</v>
      </c>
    </row>
    <row r="24854" spans="1:16" x14ac:dyDescent="0.25">
      <c r="A24854" t="s">
        <v>3296</v>
      </c>
      <c r="B24854" t="s">
        <v>2931</v>
      </c>
      <c r="C24854">
        <v>16900</v>
      </c>
      <c r="D24854" t="str">
        <f t="shared" si="549"/>
        <v xml:space="preserve">INVFI34735  </v>
      </c>
      <c r="E24854" t="s">
        <v>368</v>
      </c>
      <c r="F24854" t="s">
        <v>369</v>
      </c>
      <c r="G24854">
        <v>101.21</v>
      </c>
      <c r="H24854">
        <v>251203</v>
      </c>
      <c r="I24854">
        <v>4842</v>
      </c>
      <c r="J24854" t="s">
        <v>15</v>
      </c>
      <c r="K24854">
        <v>2827.83</v>
      </c>
      <c r="L24854">
        <v>0</v>
      </c>
      <c r="M24854">
        <v>17974</v>
      </c>
      <c r="N24854" t="s">
        <v>153</v>
      </c>
      <c r="O24854">
        <v>251215</v>
      </c>
      <c r="P24854">
        <v>101.21</v>
      </c>
    </row>
    <row r="24855" spans="1:16" x14ac:dyDescent="0.25">
      <c r="A24855" t="s">
        <v>3296</v>
      </c>
      <c r="B24855" t="s">
        <v>2931</v>
      </c>
      <c r="C24855">
        <v>16900</v>
      </c>
      <c r="D24855" t="str">
        <f t="shared" si="549"/>
        <v xml:space="preserve">INVFI34735  </v>
      </c>
      <c r="E24855" t="s">
        <v>368</v>
      </c>
      <c r="F24855" t="s">
        <v>369</v>
      </c>
      <c r="G24855">
        <v>100</v>
      </c>
      <c r="H24855">
        <v>251203</v>
      </c>
      <c r="I24855">
        <v>4842</v>
      </c>
      <c r="J24855" t="s">
        <v>15</v>
      </c>
      <c r="K24855">
        <v>2827.83</v>
      </c>
      <c r="L24855">
        <v>0</v>
      </c>
      <c r="M24855">
        <v>17975</v>
      </c>
      <c r="N24855" t="s">
        <v>29</v>
      </c>
      <c r="O24855">
        <v>251215</v>
      </c>
      <c r="P24855">
        <v>100</v>
      </c>
    </row>
    <row r="24856" spans="1:16" x14ac:dyDescent="0.25">
      <c r="A24856" t="s">
        <v>3296</v>
      </c>
      <c r="B24856" t="s">
        <v>2931</v>
      </c>
      <c r="C24856">
        <v>16900</v>
      </c>
      <c r="D24856" t="str">
        <f t="shared" si="549"/>
        <v xml:space="preserve">INVFI34735  </v>
      </c>
      <c r="E24856" t="s">
        <v>368</v>
      </c>
      <c r="F24856" t="s">
        <v>369</v>
      </c>
      <c r="G24856">
        <v>100</v>
      </c>
      <c r="H24856">
        <v>251203</v>
      </c>
      <c r="I24856">
        <v>4842</v>
      </c>
      <c r="J24856" t="s">
        <v>15</v>
      </c>
      <c r="K24856">
        <v>2827.83</v>
      </c>
      <c r="L24856">
        <v>0</v>
      </c>
      <c r="M24856">
        <v>18972</v>
      </c>
      <c r="N24856" t="s">
        <v>39</v>
      </c>
      <c r="O24856">
        <v>251215</v>
      </c>
      <c r="P24856">
        <v>100</v>
      </c>
    </row>
    <row r="24857" spans="1:16" x14ac:dyDescent="0.25">
      <c r="A24857" t="s">
        <v>3296</v>
      </c>
      <c r="B24857" t="s">
        <v>2931</v>
      </c>
      <c r="C24857">
        <v>16900</v>
      </c>
      <c r="D24857" t="str">
        <f t="shared" si="549"/>
        <v xml:space="preserve">INVFI34735  </v>
      </c>
      <c r="E24857" t="s">
        <v>368</v>
      </c>
      <c r="F24857" t="s">
        <v>369</v>
      </c>
      <c r="G24857">
        <v>101.21</v>
      </c>
      <c r="H24857">
        <v>251203</v>
      </c>
      <c r="I24857">
        <v>4842</v>
      </c>
      <c r="J24857" t="s">
        <v>15</v>
      </c>
      <c r="K24857">
        <v>2827.83</v>
      </c>
      <c r="L24857">
        <v>0</v>
      </c>
      <c r="M24857">
        <v>44222</v>
      </c>
      <c r="N24857" t="s">
        <v>96</v>
      </c>
      <c r="O24857">
        <v>251215</v>
      </c>
      <c r="P24857">
        <v>101.21</v>
      </c>
    </row>
    <row r="24858" spans="1:16" x14ac:dyDescent="0.25">
      <c r="A24858" t="s">
        <v>3296</v>
      </c>
      <c r="B24858" t="s">
        <v>2931</v>
      </c>
      <c r="C24858">
        <v>16900</v>
      </c>
      <c r="D24858" t="str">
        <f t="shared" si="549"/>
        <v xml:space="preserve">INVFI34735  </v>
      </c>
      <c r="E24858" t="s">
        <v>368</v>
      </c>
      <c r="F24858" t="s">
        <v>369</v>
      </c>
      <c r="G24858">
        <v>101.21</v>
      </c>
      <c r="H24858">
        <v>251203</v>
      </c>
      <c r="I24858">
        <v>4842</v>
      </c>
      <c r="J24858" t="s">
        <v>15</v>
      </c>
      <c r="K24858">
        <v>2827.83</v>
      </c>
      <c r="L24858">
        <v>0</v>
      </c>
      <c r="M24858">
        <v>49702</v>
      </c>
      <c r="N24858" t="s">
        <v>112</v>
      </c>
      <c r="O24858">
        <v>251215</v>
      </c>
      <c r="P24858">
        <v>101.21</v>
      </c>
    </row>
    <row r="24859" spans="1:16" x14ac:dyDescent="0.25">
      <c r="A24859" t="s">
        <v>3296</v>
      </c>
      <c r="B24859" t="s">
        <v>2931</v>
      </c>
      <c r="C24859">
        <v>16900</v>
      </c>
      <c r="D24859" t="str">
        <f t="shared" si="549"/>
        <v xml:space="preserve">INVFI34735  </v>
      </c>
      <c r="E24859" t="s">
        <v>368</v>
      </c>
      <c r="F24859" t="s">
        <v>369</v>
      </c>
      <c r="G24859">
        <v>101.21</v>
      </c>
      <c r="H24859">
        <v>251203</v>
      </c>
      <c r="I24859">
        <v>4842</v>
      </c>
      <c r="J24859" t="s">
        <v>15</v>
      </c>
      <c r="K24859">
        <v>2827.83</v>
      </c>
      <c r="L24859">
        <v>0</v>
      </c>
      <c r="M24859">
        <v>54422</v>
      </c>
      <c r="N24859" t="s">
        <v>49</v>
      </c>
      <c r="O24859">
        <v>251215</v>
      </c>
      <c r="P24859">
        <v>101.21</v>
      </c>
    </row>
    <row r="24860" spans="1:16" x14ac:dyDescent="0.25">
      <c r="A24860" t="s">
        <v>3296</v>
      </c>
      <c r="B24860" t="s">
        <v>2931</v>
      </c>
      <c r="C24860">
        <v>16900</v>
      </c>
      <c r="D24860" t="str">
        <f t="shared" si="549"/>
        <v xml:space="preserve">INVFI34735  </v>
      </c>
      <c r="E24860" t="s">
        <v>368</v>
      </c>
      <c r="F24860" t="s">
        <v>369</v>
      </c>
      <c r="G24860">
        <v>101.21</v>
      </c>
      <c r="H24860">
        <v>251203</v>
      </c>
      <c r="I24860">
        <v>4842</v>
      </c>
      <c r="J24860" t="s">
        <v>15</v>
      </c>
      <c r="K24860">
        <v>2827.83</v>
      </c>
      <c r="L24860">
        <v>0</v>
      </c>
      <c r="M24860">
        <v>59702</v>
      </c>
      <c r="N24860" t="s">
        <v>45</v>
      </c>
      <c r="O24860">
        <v>251215</v>
      </c>
      <c r="P24860">
        <v>101.21</v>
      </c>
    </row>
    <row r="24861" spans="1:16" x14ac:dyDescent="0.25">
      <c r="A24861" t="s">
        <v>3296</v>
      </c>
      <c r="B24861" t="s">
        <v>2931</v>
      </c>
      <c r="C24861">
        <v>16900</v>
      </c>
      <c r="D24861" t="str">
        <f t="shared" si="549"/>
        <v xml:space="preserve">INVFI34735  </v>
      </c>
      <c r="E24861" t="s">
        <v>368</v>
      </c>
      <c r="F24861" t="s">
        <v>369</v>
      </c>
      <c r="G24861">
        <v>101.21</v>
      </c>
      <c r="H24861">
        <v>251203</v>
      </c>
      <c r="I24861">
        <v>4842</v>
      </c>
      <c r="J24861" t="s">
        <v>15</v>
      </c>
      <c r="K24861">
        <v>2827.83</v>
      </c>
      <c r="L24861">
        <v>0</v>
      </c>
      <c r="M24861">
        <v>67522</v>
      </c>
      <c r="N24861" t="s">
        <v>121</v>
      </c>
      <c r="O24861">
        <v>251215</v>
      </c>
      <c r="P24861">
        <v>101.21</v>
      </c>
    </row>
    <row r="24862" spans="1:16" x14ac:dyDescent="0.25">
      <c r="A24862" t="s">
        <v>3296</v>
      </c>
      <c r="B24862" t="s">
        <v>2931</v>
      </c>
      <c r="C24862">
        <v>17011</v>
      </c>
      <c r="D24862" t="str">
        <f>"27355       "</f>
        <v xml:space="preserve">27355       </v>
      </c>
      <c r="E24862" t="s">
        <v>3104</v>
      </c>
      <c r="F24862" t="s">
        <v>3105</v>
      </c>
      <c r="G24862">
        <v>298</v>
      </c>
      <c r="H24862">
        <v>251210</v>
      </c>
      <c r="I24862">
        <v>4346</v>
      </c>
      <c r="J24862" t="s">
        <v>334</v>
      </c>
      <c r="K24862">
        <v>3202.45</v>
      </c>
      <c r="L24862">
        <v>36.6</v>
      </c>
      <c r="M24862">
        <v>11903</v>
      </c>
      <c r="N24862" t="s">
        <v>32</v>
      </c>
      <c r="O24862">
        <v>251216</v>
      </c>
      <c r="P24862">
        <v>261.39999999999998</v>
      </c>
    </row>
    <row r="24863" spans="1:16" x14ac:dyDescent="0.25">
      <c r="A24863" t="s">
        <v>3296</v>
      </c>
      <c r="B24863" t="s">
        <v>2931</v>
      </c>
      <c r="C24863">
        <v>17011</v>
      </c>
      <c r="D24863" t="str">
        <f>"27355       "</f>
        <v xml:space="preserve">27355       </v>
      </c>
      <c r="E24863" t="s">
        <v>3104</v>
      </c>
      <c r="F24863" t="s">
        <v>3105</v>
      </c>
      <c r="G24863">
        <v>1609.99</v>
      </c>
      <c r="H24863">
        <v>251210</v>
      </c>
      <c r="I24863">
        <v>4346</v>
      </c>
      <c r="J24863" t="s">
        <v>334</v>
      </c>
      <c r="K24863">
        <v>3202.45</v>
      </c>
      <c r="L24863">
        <v>327.13</v>
      </c>
      <c r="M24863">
        <v>11903</v>
      </c>
      <c r="N24863" t="s">
        <v>32</v>
      </c>
      <c r="O24863">
        <v>251216</v>
      </c>
      <c r="P24863">
        <v>1282.8599999999999</v>
      </c>
    </row>
    <row r="24864" spans="1:16" x14ac:dyDescent="0.25">
      <c r="A24864" t="s">
        <v>3296</v>
      </c>
      <c r="B24864" t="s">
        <v>2931</v>
      </c>
      <c r="C24864">
        <v>17011</v>
      </c>
      <c r="D24864" t="str">
        <f>"27355       "</f>
        <v xml:space="preserve">27355       </v>
      </c>
      <c r="E24864" t="s">
        <v>3104</v>
      </c>
      <c r="F24864" t="s">
        <v>3105</v>
      </c>
      <c r="G24864">
        <v>679.46</v>
      </c>
      <c r="H24864">
        <v>251210</v>
      </c>
      <c r="I24864">
        <v>4410</v>
      </c>
      <c r="J24864" t="s">
        <v>165</v>
      </c>
      <c r="K24864">
        <v>3202.45</v>
      </c>
      <c r="L24864">
        <v>83.44</v>
      </c>
      <c r="M24864">
        <v>11903</v>
      </c>
      <c r="N24864" t="s">
        <v>32</v>
      </c>
      <c r="O24864">
        <v>251216</v>
      </c>
      <c r="P24864">
        <v>596.02</v>
      </c>
    </row>
    <row r="24865" spans="1:16" x14ac:dyDescent="0.25">
      <c r="A24865" t="s">
        <v>3296</v>
      </c>
      <c r="B24865" t="s">
        <v>2931</v>
      </c>
      <c r="C24865">
        <v>8192</v>
      </c>
      <c r="D24865" t="str">
        <f>"26259       "</f>
        <v xml:space="preserve">26259       </v>
      </c>
      <c r="E24865" t="s">
        <v>3104</v>
      </c>
      <c r="F24865" t="s">
        <v>3105</v>
      </c>
      <c r="G24865">
        <v>1987.97</v>
      </c>
      <c r="H24865">
        <v>250531</v>
      </c>
      <c r="I24865">
        <v>4440</v>
      </c>
      <c r="J24865" t="s">
        <v>346</v>
      </c>
      <c r="K24865">
        <v>1987.97</v>
      </c>
      <c r="L24865">
        <v>0</v>
      </c>
      <c r="M24865">
        <v>13501</v>
      </c>
      <c r="N24865" t="s">
        <v>66</v>
      </c>
      <c r="O24865">
        <v>250612</v>
      </c>
      <c r="P24865">
        <v>1987.97</v>
      </c>
    </row>
    <row r="24866" spans="1:16" x14ac:dyDescent="0.25">
      <c r="A24866" t="s">
        <v>3296</v>
      </c>
      <c r="B24866" t="s">
        <v>2931</v>
      </c>
      <c r="C24866">
        <v>15318</v>
      </c>
      <c r="D24866" t="str">
        <f>"27104       "</f>
        <v xml:space="preserve">27104       </v>
      </c>
      <c r="E24866" t="s">
        <v>3104</v>
      </c>
      <c r="F24866" t="s">
        <v>3105</v>
      </c>
      <c r="G24866">
        <v>1807.97</v>
      </c>
      <c r="H24866">
        <v>251030</v>
      </c>
      <c r="I24866">
        <v>4440</v>
      </c>
      <c r="J24866" t="s">
        <v>346</v>
      </c>
      <c r="K24866">
        <v>1807.97</v>
      </c>
      <c r="L24866">
        <v>0</v>
      </c>
      <c r="M24866">
        <v>13501</v>
      </c>
      <c r="N24866" t="s">
        <v>66</v>
      </c>
      <c r="O24866">
        <v>251118</v>
      </c>
      <c r="P24866">
        <v>1807.97</v>
      </c>
    </row>
    <row r="24867" spans="1:16" x14ac:dyDescent="0.25">
      <c r="A24867" t="s">
        <v>3296</v>
      </c>
      <c r="B24867" t="s">
        <v>2931</v>
      </c>
      <c r="C24867">
        <v>17011</v>
      </c>
      <c r="D24867" t="str">
        <f>"27355       "</f>
        <v xml:space="preserve">27355       </v>
      </c>
      <c r="E24867" t="s">
        <v>3104</v>
      </c>
      <c r="F24867" t="s">
        <v>3105</v>
      </c>
      <c r="G24867">
        <v>10</v>
      </c>
      <c r="H24867">
        <v>251210</v>
      </c>
      <c r="I24867">
        <v>4470</v>
      </c>
      <c r="J24867" t="s">
        <v>203</v>
      </c>
      <c r="K24867">
        <v>3202.45</v>
      </c>
      <c r="L24867">
        <v>2.0299999999999998</v>
      </c>
      <c r="M24867">
        <v>11903</v>
      </c>
      <c r="N24867" t="s">
        <v>32</v>
      </c>
      <c r="O24867">
        <v>251216</v>
      </c>
      <c r="P24867">
        <v>7.97</v>
      </c>
    </row>
    <row r="24868" spans="1:16" x14ac:dyDescent="0.25">
      <c r="A24868" t="s">
        <v>3296</v>
      </c>
      <c r="B24868" t="s">
        <v>2931</v>
      </c>
      <c r="C24868">
        <v>17011</v>
      </c>
      <c r="D24868" t="str">
        <f>"27355       "</f>
        <v xml:space="preserve">27355       </v>
      </c>
      <c r="E24868" t="s">
        <v>3104</v>
      </c>
      <c r="F24868" t="s">
        <v>3105</v>
      </c>
      <c r="G24868">
        <v>605</v>
      </c>
      <c r="H24868">
        <v>251210</v>
      </c>
      <c r="I24868">
        <v>4820</v>
      </c>
      <c r="J24868" t="s">
        <v>169</v>
      </c>
      <c r="K24868">
        <v>3202.45</v>
      </c>
      <c r="L24868">
        <v>122.93</v>
      </c>
      <c r="M24868">
        <v>11903</v>
      </c>
      <c r="N24868" t="s">
        <v>32</v>
      </c>
      <c r="O24868">
        <v>251216</v>
      </c>
      <c r="P24868">
        <v>482.07</v>
      </c>
    </row>
    <row r="24869" spans="1:16" x14ac:dyDescent="0.25">
      <c r="A24869" t="s">
        <v>3296</v>
      </c>
      <c r="B24869" t="s">
        <v>2931</v>
      </c>
      <c r="C24869">
        <v>3924</v>
      </c>
      <c r="D24869" t="str">
        <f>"69251       "</f>
        <v xml:space="preserve">69251       </v>
      </c>
      <c r="E24869" t="s">
        <v>1530</v>
      </c>
      <c r="F24869" t="s">
        <v>1531</v>
      </c>
      <c r="G24869">
        <v>15</v>
      </c>
      <c r="H24869">
        <v>250319</v>
      </c>
      <c r="I24869">
        <v>4470</v>
      </c>
      <c r="J24869" t="s">
        <v>203</v>
      </c>
      <c r="K24869">
        <v>265</v>
      </c>
      <c r="L24869">
        <v>3.05</v>
      </c>
      <c r="M24869">
        <v>56559</v>
      </c>
      <c r="N24869" t="s">
        <v>51</v>
      </c>
      <c r="O24869">
        <v>250404</v>
      </c>
      <c r="P24869">
        <v>11.95</v>
      </c>
    </row>
    <row r="24870" spans="1:16" x14ac:dyDescent="0.25">
      <c r="A24870" t="s">
        <v>3296</v>
      </c>
      <c r="B24870" t="s">
        <v>2931</v>
      </c>
      <c r="C24870">
        <v>3924</v>
      </c>
      <c r="D24870" t="str">
        <f>"69251       "</f>
        <v xml:space="preserve">69251       </v>
      </c>
      <c r="E24870" t="s">
        <v>1530</v>
      </c>
      <c r="F24870" t="s">
        <v>1531</v>
      </c>
      <c r="G24870">
        <v>250</v>
      </c>
      <c r="H24870">
        <v>250319</v>
      </c>
      <c r="I24870">
        <v>4600</v>
      </c>
      <c r="J24870" t="s">
        <v>278</v>
      </c>
      <c r="K24870">
        <v>265</v>
      </c>
      <c r="L24870">
        <v>0</v>
      </c>
      <c r="M24870">
        <v>56568</v>
      </c>
      <c r="N24870" t="s">
        <v>354</v>
      </c>
      <c r="O24870">
        <v>250404</v>
      </c>
      <c r="P24870">
        <v>250</v>
      </c>
    </row>
    <row r="24871" spans="1:16" x14ac:dyDescent="0.25">
      <c r="A24871" t="s">
        <v>3296</v>
      </c>
      <c r="B24871" t="s">
        <v>2931</v>
      </c>
      <c r="C24871">
        <v>18015</v>
      </c>
      <c r="D24871" t="str">
        <f>"104000035616"</f>
        <v>104000035616</v>
      </c>
      <c r="E24871" t="s">
        <v>397</v>
      </c>
      <c r="F24871" t="s">
        <v>398</v>
      </c>
      <c r="G24871">
        <v>185.51</v>
      </c>
      <c r="H24871">
        <v>251231</v>
      </c>
      <c r="I24871">
        <v>4367</v>
      </c>
      <c r="J24871" t="s">
        <v>159</v>
      </c>
      <c r="K24871">
        <v>185.51</v>
      </c>
      <c r="L24871">
        <v>37.69</v>
      </c>
      <c r="M24871">
        <v>46557</v>
      </c>
      <c r="N24871" t="s">
        <v>104</v>
      </c>
      <c r="O24871">
        <v>260108</v>
      </c>
      <c r="P24871">
        <v>147.82</v>
      </c>
    </row>
    <row r="24872" spans="1:16" x14ac:dyDescent="0.25">
      <c r="A24872" t="s">
        <v>3296</v>
      </c>
      <c r="B24872" t="s">
        <v>2931</v>
      </c>
      <c r="C24872">
        <v>2160</v>
      </c>
      <c r="D24872" t="str">
        <f>"340666042   "</f>
        <v xml:space="preserve">340666042   </v>
      </c>
      <c r="E24872" t="s">
        <v>397</v>
      </c>
      <c r="F24872" t="s">
        <v>398</v>
      </c>
      <c r="G24872">
        <v>28.64</v>
      </c>
      <c r="H24872">
        <v>250217</v>
      </c>
      <c r="I24872">
        <v>4580</v>
      </c>
      <c r="J24872" t="s">
        <v>126</v>
      </c>
      <c r="K24872">
        <v>28.64</v>
      </c>
      <c r="L24872">
        <v>5.82</v>
      </c>
      <c r="M24872">
        <v>56559</v>
      </c>
      <c r="N24872" t="s">
        <v>51</v>
      </c>
      <c r="O24872">
        <v>250220</v>
      </c>
      <c r="P24872">
        <v>22.82</v>
      </c>
    </row>
    <row r="24873" spans="1:16" x14ac:dyDescent="0.25">
      <c r="A24873" t="s">
        <v>3296</v>
      </c>
      <c r="B24873" t="s">
        <v>2931</v>
      </c>
      <c r="C24873">
        <v>2163</v>
      </c>
      <c r="D24873" t="str">
        <f>"340665334   "</f>
        <v xml:space="preserve">340665334   </v>
      </c>
      <c r="E24873" t="s">
        <v>397</v>
      </c>
      <c r="F24873" t="s">
        <v>398</v>
      </c>
      <c r="G24873">
        <v>129</v>
      </c>
      <c r="H24873">
        <v>250217</v>
      </c>
      <c r="I24873">
        <v>4580</v>
      </c>
      <c r="J24873" t="s">
        <v>126</v>
      </c>
      <c r="K24873">
        <v>1629.51</v>
      </c>
      <c r="L24873">
        <v>26.21</v>
      </c>
      <c r="M24873">
        <v>56559</v>
      </c>
      <c r="N24873" t="s">
        <v>51</v>
      </c>
      <c r="O24873">
        <v>250220</v>
      </c>
      <c r="P24873">
        <v>102.79</v>
      </c>
    </row>
    <row r="24874" spans="1:16" x14ac:dyDescent="0.25">
      <c r="A24874" t="s">
        <v>3296</v>
      </c>
      <c r="B24874" t="s">
        <v>2931</v>
      </c>
      <c r="C24874">
        <v>5745</v>
      </c>
      <c r="D24874" t="str">
        <f>"340689282   "</f>
        <v xml:space="preserve">340689282   </v>
      </c>
      <c r="E24874" t="s">
        <v>397</v>
      </c>
      <c r="F24874" t="s">
        <v>398</v>
      </c>
      <c r="G24874">
        <v>288.57</v>
      </c>
      <c r="H24874">
        <v>250422</v>
      </c>
      <c r="I24874">
        <v>4580</v>
      </c>
      <c r="J24874" t="s">
        <v>126</v>
      </c>
      <c r="K24874">
        <v>288.57</v>
      </c>
      <c r="L24874">
        <v>58.63</v>
      </c>
      <c r="M24874">
        <v>56565</v>
      </c>
      <c r="N24874" t="s">
        <v>57</v>
      </c>
      <c r="O24874">
        <v>250430</v>
      </c>
      <c r="P24874">
        <v>229.94</v>
      </c>
    </row>
    <row r="24875" spans="1:16" x14ac:dyDescent="0.25">
      <c r="A24875" t="s">
        <v>3296</v>
      </c>
      <c r="B24875" t="s">
        <v>2931</v>
      </c>
      <c r="C24875">
        <v>10549</v>
      </c>
      <c r="D24875" t="str">
        <f>"340736504   "</f>
        <v xml:space="preserve">340736504   </v>
      </c>
      <c r="E24875" t="s">
        <v>397</v>
      </c>
      <c r="F24875" t="s">
        <v>398</v>
      </c>
      <c r="G24875">
        <v>185.74</v>
      </c>
      <c r="H24875">
        <v>250818</v>
      </c>
      <c r="I24875">
        <v>4580</v>
      </c>
      <c r="J24875" t="s">
        <v>126</v>
      </c>
      <c r="K24875">
        <v>185.74</v>
      </c>
      <c r="L24875">
        <v>37.74</v>
      </c>
      <c r="M24875">
        <v>56559</v>
      </c>
      <c r="N24875" t="s">
        <v>51</v>
      </c>
      <c r="O24875">
        <v>250820</v>
      </c>
      <c r="P24875">
        <v>148</v>
      </c>
    </row>
    <row r="24876" spans="1:16" x14ac:dyDescent="0.25">
      <c r="A24876" t="s">
        <v>3296</v>
      </c>
      <c r="B24876" t="s">
        <v>2931</v>
      </c>
      <c r="C24876">
        <v>12722</v>
      </c>
      <c r="D24876" t="str">
        <f>"340751212   "</f>
        <v xml:space="preserve">340751212   </v>
      </c>
      <c r="E24876" t="s">
        <v>397</v>
      </c>
      <c r="F24876" t="s">
        <v>398</v>
      </c>
      <c r="G24876">
        <v>55.82</v>
      </c>
      <c r="H24876">
        <v>250922</v>
      </c>
      <c r="I24876">
        <v>4580</v>
      </c>
      <c r="J24876" t="s">
        <v>126</v>
      </c>
      <c r="K24876">
        <v>55.82</v>
      </c>
      <c r="L24876">
        <v>11.34</v>
      </c>
      <c r="M24876">
        <v>56559</v>
      </c>
      <c r="N24876" t="s">
        <v>51</v>
      </c>
      <c r="O24876">
        <v>250929</v>
      </c>
      <c r="P24876">
        <v>44.48</v>
      </c>
    </row>
    <row r="24877" spans="1:16" x14ac:dyDescent="0.25">
      <c r="A24877" t="s">
        <v>3296</v>
      </c>
      <c r="B24877" t="s">
        <v>2931</v>
      </c>
      <c r="C24877">
        <v>13338</v>
      </c>
      <c r="D24877" t="str">
        <f>"104000001394"</f>
        <v>104000001394</v>
      </c>
      <c r="E24877" t="s">
        <v>397</v>
      </c>
      <c r="F24877" t="s">
        <v>398</v>
      </c>
      <c r="G24877">
        <v>157.08000000000001</v>
      </c>
      <c r="H24877">
        <v>251006</v>
      </c>
      <c r="I24877">
        <v>4580</v>
      </c>
      <c r="J24877" t="s">
        <v>126</v>
      </c>
      <c r="K24877">
        <v>157.08000000000001</v>
      </c>
      <c r="L24877">
        <v>31.92</v>
      </c>
      <c r="M24877">
        <v>56559</v>
      </c>
      <c r="N24877" t="s">
        <v>51</v>
      </c>
      <c r="O24877">
        <v>251008</v>
      </c>
      <c r="P24877">
        <v>125.16</v>
      </c>
    </row>
    <row r="24878" spans="1:16" x14ac:dyDescent="0.25">
      <c r="A24878" t="s">
        <v>3296</v>
      </c>
      <c r="B24878" t="s">
        <v>2931</v>
      </c>
      <c r="C24878">
        <v>15054</v>
      </c>
      <c r="D24878" t="str">
        <f>"104000013445"</f>
        <v>104000013445</v>
      </c>
      <c r="E24878" t="s">
        <v>397</v>
      </c>
      <c r="F24878" t="s">
        <v>398</v>
      </c>
      <c r="G24878">
        <v>76.09</v>
      </c>
      <c r="H24878">
        <v>251031</v>
      </c>
      <c r="I24878">
        <v>4580</v>
      </c>
      <c r="J24878" t="s">
        <v>126</v>
      </c>
      <c r="K24878">
        <v>76.09</v>
      </c>
      <c r="L24878">
        <v>15.46</v>
      </c>
      <c r="M24878">
        <v>56559</v>
      </c>
      <c r="N24878" t="s">
        <v>51</v>
      </c>
      <c r="O24878">
        <v>251111</v>
      </c>
      <c r="P24878">
        <v>60.63</v>
      </c>
    </row>
    <row r="24879" spans="1:16" x14ac:dyDescent="0.25">
      <c r="A24879" t="s">
        <v>3296</v>
      </c>
      <c r="B24879" t="s">
        <v>2931</v>
      </c>
      <c r="C24879">
        <v>15912</v>
      </c>
      <c r="D24879" t="str">
        <f>"104000022286"</f>
        <v>104000022286</v>
      </c>
      <c r="E24879" t="s">
        <v>397</v>
      </c>
      <c r="F24879" t="s">
        <v>398</v>
      </c>
      <c r="G24879">
        <v>6.39</v>
      </c>
      <c r="H24879">
        <v>251124</v>
      </c>
      <c r="I24879">
        <v>4580</v>
      </c>
      <c r="J24879" t="s">
        <v>126</v>
      </c>
      <c r="K24879">
        <v>105.96</v>
      </c>
      <c r="L24879">
        <v>1.3</v>
      </c>
      <c r="M24879">
        <v>56565</v>
      </c>
      <c r="N24879" t="s">
        <v>57</v>
      </c>
      <c r="O24879">
        <v>251128</v>
      </c>
      <c r="P24879">
        <v>5.09</v>
      </c>
    </row>
    <row r="24880" spans="1:16" x14ac:dyDescent="0.25">
      <c r="A24880" t="s">
        <v>3296</v>
      </c>
      <c r="B24880" t="s">
        <v>2931</v>
      </c>
      <c r="C24880">
        <v>299</v>
      </c>
      <c r="D24880" t="str">
        <f>"340650653   "</f>
        <v xml:space="preserve">340650653   </v>
      </c>
      <c r="E24880" t="s">
        <v>397</v>
      </c>
      <c r="F24880" t="s">
        <v>398</v>
      </c>
      <c r="G24880">
        <v>96.43</v>
      </c>
      <c r="H24880">
        <v>250113</v>
      </c>
      <c r="I24880">
        <v>4600</v>
      </c>
      <c r="J24880" t="s">
        <v>278</v>
      </c>
      <c r="K24880">
        <v>96.43</v>
      </c>
      <c r="L24880">
        <v>19.59</v>
      </c>
      <c r="M24880">
        <v>56568</v>
      </c>
      <c r="N24880" t="s">
        <v>354</v>
      </c>
      <c r="O24880">
        <v>250121</v>
      </c>
      <c r="P24880">
        <v>76.84</v>
      </c>
    </row>
    <row r="24881" spans="1:16" x14ac:dyDescent="0.25">
      <c r="A24881" t="s">
        <v>3296</v>
      </c>
      <c r="B24881" t="s">
        <v>2931</v>
      </c>
      <c r="C24881">
        <v>301</v>
      </c>
      <c r="D24881" t="str">
        <f>"340651620   "</f>
        <v xml:space="preserve">340651620   </v>
      </c>
      <c r="E24881" t="s">
        <v>397</v>
      </c>
      <c r="F24881" t="s">
        <v>398</v>
      </c>
      <c r="G24881">
        <v>-100.62</v>
      </c>
      <c r="H24881">
        <v>250113</v>
      </c>
      <c r="I24881">
        <v>4600</v>
      </c>
      <c r="J24881" t="s">
        <v>278</v>
      </c>
      <c r="K24881">
        <v>-100.62</v>
      </c>
      <c r="L24881">
        <v>-20.440000000000001</v>
      </c>
      <c r="M24881">
        <v>56568</v>
      </c>
      <c r="N24881" t="s">
        <v>354</v>
      </c>
      <c r="O24881">
        <v>250121</v>
      </c>
      <c r="P24881">
        <v>-80.180000000000007</v>
      </c>
    </row>
    <row r="24882" spans="1:16" x14ac:dyDescent="0.25">
      <c r="A24882" t="s">
        <v>3296</v>
      </c>
      <c r="B24882" t="s">
        <v>2931</v>
      </c>
      <c r="C24882">
        <v>302</v>
      </c>
      <c r="D24882" t="str">
        <f>"340651406   "</f>
        <v xml:space="preserve">340651406   </v>
      </c>
      <c r="E24882" t="s">
        <v>397</v>
      </c>
      <c r="F24882" t="s">
        <v>398</v>
      </c>
      <c r="G24882">
        <v>126.41</v>
      </c>
      <c r="H24882">
        <v>250113</v>
      </c>
      <c r="I24882">
        <v>4600</v>
      </c>
      <c r="J24882" t="s">
        <v>278</v>
      </c>
      <c r="K24882">
        <v>126.41</v>
      </c>
      <c r="L24882">
        <v>25.68</v>
      </c>
      <c r="M24882">
        <v>56568</v>
      </c>
      <c r="N24882" t="s">
        <v>354</v>
      </c>
      <c r="O24882">
        <v>250121</v>
      </c>
      <c r="P24882">
        <v>100.73</v>
      </c>
    </row>
    <row r="24883" spans="1:16" x14ac:dyDescent="0.25">
      <c r="A24883" t="s">
        <v>3296</v>
      </c>
      <c r="B24883" t="s">
        <v>2931</v>
      </c>
      <c r="C24883">
        <v>306</v>
      </c>
      <c r="D24883" t="str">
        <f>"340651063   "</f>
        <v xml:space="preserve">340651063   </v>
      </c>
      <c r="E24883" t="s">
        <v>397</v>
      </c>
      <c r="F24883" t="s">
        <v>398</v>
      </c>
      <c r="G24883">
        <v>309.75</v>
      </c>
      <c r="H24883">
        <v>250113</v>
      </c>
      <c r="I24883">
        <v>4600</v>
      </c>
      <c r="J24883" t="s">
        <v>278</v>
      </c>
      <c r="K24883">
        <v>309.75</v>
      </c>
      <c r="L24883">
        <v>62.94</v>
      </c>
      <c r="M24883">
        <v>56568</v>
      </c>
      <c r="N24883" t="s">
        <v>354</v>
      </c>
      <c r="O24883">
        <v>250121</v>
      </c>
      <c r="P24883">
        <v>246.81</v>
      </c>
    </row>
    <row r="24884" spans="1:16" x14ac:dyDescent="0.25">
      <c r="A24884" t="s">
        <v>3296</v>
      </c>
      <c r="B24884" t="s">
        <v>2931</v>
      </c>
      <c r="C24884">
        <v>308</v>
      </c>
      <c r="D24884" t="str">
        <f>"340651407   "</f>
        <v xml:space="preserve">340651407   </v>
      </c>
      <c r="E24884" t="s">
        <v>397</v>
      </c>
      <c r="F24884" t="s">
        <v>398</v>
      </c>
      <c r="G24884">
        <v>171.23</v>
      </c>
      <c r="H24884">
        <v>250113</v>
      </c>
      <c r="I24884">
        <v>4600</v>
      </c>
      <c r="J24884" t="s">
        <v>278</v>
      </c>
      <c r="K24884">
        <v>171.23</v>
      </c>
      <c r="L24884">
        <v>34.79</v>
      </c>
      <c r="M24884">
        <v>56568</v>
      </c>
      <c r="N24884" t="s">
        <v>354</v>
      </c>
      <c r="O24884">
        <v>250121</v>
      </c>
      <c r="P24884">
        <v>136.44</v>
      </c>
    </row>
    <row r="24885" spans="1:16" x14ac:dyDescent="0.25">
      <c r="A24885" t="s">
        <v>3296</v>
      </c>
      <c r="B24885" t="s">
        <v>2931</v>
      </c>
      <c r="C24885">
        <v>343</v>
      </c>
      <c r="D24885" t="str">
        <f>"340653045   "</f>
        <v xml:space="preserve">340653045   </v>
      </c>
      <c r="E24885" t="s">
        <v>397</v>
      </c>
      <c r="F24885" t="s">
        <v>398</v>
      </c>
      <c r="G24885">
        <v>-34.94</v>
      </c>
      <c r="H24885">
        <v>250120</v>
      </c>
      <c r="I24885">
        <v>4600</v>
      </c>
      <c r="J24885" t="s">
        <v>278</v>
      </c>
      <c r="K24885">
        <v>-34.94</v>
      </c>
      <c r="L24885">
        <v>-7.1</v>
      </c>
      <c r="M24885">
        <v>56568</v>
      </c>
      <c r="N24885" t="s">
        <v>354</v>
      </c>
      <c r="O24885">
        <v>250122</v>
      </c>
      <c r="P24885">
        <v>-27.84</v>
      </c>
    </row>
    <row r="24886" spans="1:16" x14ac:dyDescent="0.25">
      <c r="A24886" t="s">
        <v>3296</v>
      </c>
      <c r="B24886" t="s">
        <v>2931</v>
      </c>
      <c r="C24886">
        <v>395</v>
      </c>
      <c r="D24886" t="str">
        <f>"340652512   "</f>
        <v xml:space="preserve">340652512   </v>
      </c>
      <c r="E24886" t="s">
        <v>397</v>
      </c>
      <c r="F24886" t="s">
        <v>398</v>
      </c>
      <c r="G24886">
        <v>124.27</v>
      </c>
      <c r="H24886">
        <v>250120</v>
      </c>
      <c r="I24886">
        <v>4600</v>
      </c>
      <c r="J24886" t="s">
        <v>278</v>
      </c>
      <c r="K24886">
        <v>124.27</v>
      </c>
      <c r="L24886">
        <v>25.25</v>
      </c>
      <c r="M24886">
        <v>56568</v>
      </c>
      <c r="N24886" t="s">
        <v>354</v>
      </c>
      <c r="O24886">
        <v>250122</v>
      </c>
      <c r="P24886">
        <v>99.02</v>
      </c>
    </row>
    <row r="24887" spans="1:16" x14ac:dyDescent="0.25">
      <c r="A24887" t="s">
        <v>3296</v>
      </c>
      <c r="B24887" t="s">
        <v>2931</v>
      </c>
      <c r="C24887">
        <v>780</v>
      </c>
      <c r="D24887" t="str">
        <f>"340657200   "</f>
        <v xml:space="preserve">340657200   </v>
      </c>
      <c r="E24887" t="s">
        <v>397</v>
      </c>
      <c r="F24887" t="s">
        <v>398</v>
      </c>
      <c r="G24887">
        <v>355.76</v>
      </c>
      <c r="H24887">
        <v>250127</v>
      </c>
      <c r="I24887">
        <v>4600</v>
      </c>
      <c r="J24887" t="s">
        <v>278</v>
      </c>
      <c r="K24887">
        <v>355.76</v>
      </c>
      <c r="L24887">
        <v>72.290000000000006</v>
      </c>
      <c r="M24887">
        <v>56568</v>
      </c>
      <c r="N24887" t="s">
        <v>354</v>
      </c>
      <c r="O24887">
        <v>250129</v>
      </c>
      <c r="P24887">
        <v>283.47000000000003</v>
      </c>
    </row>
    <row r="24888" spans="1:16" x14ac:dyDescent="0.25">
      <c r="A24888" t="s">
        <v>3296</v>
      </c>
      <c r="B24888" t="s">
        <v>2931</v>
      </c>
      <c r="C24888">
        <v>781</v>
      </c>
      <c r="D24888" t="str">
        <f>"340657032   "</f>
        <v xml:space="preserve">340657032   </v>
      </c>
      <c r="E24888" t="s">
        <v>397</v>
      </c>
      <c r="F24888" t="s">
        <v>398</v>
      </c>
      <c r="G24888">
        <v>-20.02</v>
      </c>
      <c r="H24888">
        <v>250127</v>
      </c>
      <c r="I24888">
        <v>4600</v>
      </c>
      <c r="J24888" t="s">
        <v>278</v>
      </c>
      <c r="K24888">
        <v>-20.02</v>
      </c>
      <c r="L24888">
        <v>-4.07</v>
      </c>
      <c r="M24888">
        <v>56568</v>
      </c>
      <c r="N24888" t="s">
        <v>354</v>
      </c>
      <c r="O24888">
        <v>250129</v>
      </c>
      <c r="P24888">
        <v>-15.95</v>
      </c>
    </row>
    <row r="24889" spans="1:16" x14ac:dyDescent="0.25">
      <c r="A24889" t="s">
        <v>3296</v>
      </c>
      <c r="B24889" t="s">
        <v>2931</v>
      </c>
      <c r="C24889">
        <v>782</v>
      </c>
      <c r="D24889" t="str">
        <f>"340656791   "</f>
        <v xml:space="preserve">340656791   </v>
      </c>
      <c r="E24889" t="s">
        <v>397</v>
      </c>
      <c r="F24889" t="s">
        <v>398</v>
      </c>
      <c r="G24889">
        <v>129.9</v>
      </c>
      <c r="H24889">
        <v>250127</v>
      </c>
      <c r="I24889">
        <v>4600</v>
      </c>
      <c r="J24889" t="s">
        <v>278</v>
      </c>
      <c r="K24889">
        <v>129.9</v>
      </c>
      <c r="L24889">
        <v>26.39</v>
      </c>
      <c r="M24889">
        <v>56568</v>
      </c>
      <c r="N24889" t="s">
        <v>354</v>
      </c>
      <c r="O24889">
        <v>250129</v>
      </c>
      <c r="P24889">
        <v>103.51</v>
      </c>
    </row>
    <row r="24890" spans="1:16" x14ac:dyDescent="0.25">
      <c r="A24890" t="s">
        <v>3296</v>
      </c>
      <c r="B24890" t="s">
        <v>2931</v>
      </c>
      <c r="C24890">
        <v>783</v>
      </c>
      <c r="D24890" t="str">
        <f>"340657325   "</f>
        <v xml:space="preserve">340657325   </v>
      </c>
      <c r="E24890" t="s">
        <v>397</v>
      </c>
      <c r="F24890" t="s">
        <v>398</v>
      </c>
      <c r="G24890">
        <v>-28.3</v>
      </c>
      <c r="H24890">
        <v>250127</v>
      </c>
      <c r="I24890">
        <v>4600</v>
      </c>
      <c r="J24890" t="s">
        <v>278</v>
      </c>
      <c r="K24890">
        <v>-28.3</v>
      </c>
      <c r="L24890">
        <v>-5.75</v>
      </c>
      <c r="M24890">
        <v>56568</v>
      </c>
      <c r="N24890" t="s">
        <v>354</v>
      </c>
      <c r="O24890">
        <v>250129</v>
      </c>
      <c r="P24890">
        <v>-22.55</v>
      </c>
    </row>
    <row r="24891" spans="1:16" x14ac:dyDescent="0.25">
      <c r="A24891" t="s">
        <v>3296</v>
      </c>
      <c r="B24891" t="s">
        <v>2931</v>
      </c>
      <c r="C24891">
        <v>1090</v>
      </c>
      <c r="D24891" t="str">
        <f>"340660510   "</f>
        <v xml:space="preserve">340660510   </v>
      </c>
      <c r="E24891" t="s">
        <v>397</v>
      </c>
      <c r="F24891" t="s">
        <v>398</v>
      </c>
      <c r="G24891">
        <v>-30.96</v>
      </c>
      <c r="H24891">
        <v>250131</v>
      </c>
      <c r="I24891">
        <v>4600</v>
      </c>
      <c r="J24891" t="s">
        <v>278</v>
      </c>
      <c r="K24891">
        <v>-30.96</v>
      </c>
      <c r="L24891">
        <v>-6.29</v>
      </c>
      <c r="M24891">
        <v>56573</v>
      </c>
      <c r="N24891" t="s">
        <v>843</v>
      </c>
      <c r="O24891">
        <v>250204</v>
      </c>
      <c r="P24891">
        <v>-24.67</v>
      </c>
    </row>
    <row r="24892" spans="1:16" x14ac:dyDescent="0.25">
      <c r="A24892" t="s">
        <v>3296</v>
      </c>
      <c r="B24892" t="s">
        <v>2931</v>
      </c>
      <c r="C24892">
        <v>1417</v>
      </c>
      <c r="D24892" t="str">
        <f>"340660352   "</f>
        <v xml:space="preserve">340660352   </v>
      </c>
      <c r="E24892" t="s">
        <v>397</v>
      </c>
      <c r="F24892" t="s">
        <v>398</v>
      </c>
      <c r="G24892">
        <v>16.73</v>
      </c>
      <c r="H24892">
        <v>250131</v>
      </c>
      <c r="I24892">
        <v>4600</v>
      </c>
      <c r="J24892" t="s">
        <v>278</v>
      </c>
      <c r="K24892">
        <v>16.73</v>
      </c>
      <c r="L24892">
        <v>3.4</v>
      </c>
      <c r="M24892">
        <v>56573</v>
      </c>
      <c r="N24892" t="s">
        <v>843</v>
      </c>
      <c r="O24892">
        <v>250210</v>
      </c>
      <c r="P24892">
        <v>13.33</v>
      </c>
    </row>
    <row r="24893" spans="1:16" x14ac:dyDescent="0.25">
      <c r="A24893" t="s">
        <v>3296</v>
      </c>
      <c r="B24893" t="s">
        <v>2931</v>
      </c>
      <c r="C24893">
        <v>1418</v>
      </c>
      <c r="D24893" t="str">
        <f>"340659025   "</f>
        <v xml:space="preserve">340659025   </v>
      </c>
      <c r="E24893" t="s">
        <v>397</v>
      </c>
      <c r="F24893" t="s">
        <v>398</v>
      </c>
      <c r="G24893">
        <v>269.58999999999997</v>
      </c>
      <c r="H24893">
        <v>250131</v>
      </c>
      <c r="I24893">
        <v>4600</v>
      </c>
      <c r="J24893" t="s">
        <v>278</v>
      </c>
      <c r="K24893">
        <v>269.58999999999997</v>
      </c>
      <c r="L24893">
        <v>54.78</v>
      </c>
      <c r="M24893">
        <v>56568</v>
      </c>
      <c r="N24893" t="s">
        <v>354</v>
      </c>
      <c r="O24893">
        <v>250210</v>
      </c>
      <c r="P24893">
        <v>214.81</v>
      </c>
    </row>
    <row r="24894" spans="1:16" x14ac:dyDescent="0.25">
      <c r="A24894" t="s">
        <v>3296</v>
      </c>
      <c r="B24894" t="s">
        <v>2931</v>
      </c>
      <c r="C24894">
        <v>1419</v>
      </c>
      <c r="D24894" t="str">
        <f>"340659050   "</f>
        <v xml:space="preserve">340659050   </v>
      </c>
      <c r="E24894" t="s">
        <v>397</v>
      </c>
      <c r="F24894" t="s">
        <v>398</v>
      </c>
      <c r="G24894">
        <v>66.53</v>
      </c>
      <c r="H24894">
        <v>250131</v>
      </c>
      <c r="I24894">
        <v>4600</v>
      </c>
      <c r="J24894" t="s">
        <v>278</v>
      </c>
      <c r="K24894">
        <v>66.53</v>
      </c>
      <c r="L24894">
        <v>13.52</v>
      </c>
      <c r="M24894">
        <v>56568</v>
      </c>
      <c r="N24894" t="s">
        <v>354</v>
      </c>
      <c r="O24894">
        <v>250210</v>
      </c>
      <c r="P24894">
        <v>53.01</v>
      </c>
    </row>
    <row r="24895" spans="1:16" x14ac:dyDescent="0.25">
      <c r="A24895" t="s">
        <v>3296</v>
      </c>
      <c r="B24895" t="s">
        <v>2931</v>
      </c>
      <c r="C24895">
        <v>1420</v>
      </c>
      <c r="D24895" t="str">
        <f>"340659621   "</f>
        <v xml:space="preserve">340659621   </v>
      </c>
      <c r="E24895" t="s">
        <v>397</v>
      </c>
      <c r="F24895" t="s">
        <v>398</v>
      </c>
      <c r="G24895">
        <v>347.48</v>
      </c>
      <c r="H24895">
        <v>250131</v>
      </c>
      <c r="I24895">
        <v>4600</v>
      </c>
      <c r="J24895" t="s">
        <v>278</v>
      </c>
      <c r="K24895">
        <v>347.48</v>
      </c>
      <c r="L24895">
        <v>70.599999999999994</v>
      </c>
      <c r="M24895">
        <v>56568</v>
      </c>
      <c r="N24895" t="s">
        <v>354</v>
      </c>
      <c r="O24895">
        <v>250210</v>
      </c>
      <c r="P24895">
        <v>276.88</v>
      </c>
    </row>
    <row r="24896" spans="1:16" x14ac:dyDescent="0.25">
      <c r="A24896" t="s">
        <v>3296</v>
      </c>
      <c r="B24896" t="s">
        <v>2931</v>
      </c>
      <c r="C24896">
        <v>1422</v>
      </c>
      <c r="D24896" t="str">
        <f>"340658041   "</f>
        <v xml:space="preserve">340658041   </v>
      </c>
      <c r="E24896" t="s">
        <v>397</v>
      </c>
      <c r="F24896" t="s">
        <v>398</v>
      </c>
      <c r="G24896">
        <v>32.31</v>
      </c>
      <c r="H24896">
        <v>250131</v>
      </c>
      <c r="I24896">
        <v>4600</v>
      </c>
      <c r="J24896" t="s">
        <v>278</v>
      </c>
      <c r="K24896">
        <v>32.31</v>
      </c>
      <c r="L24896">
        <v>6.56</v>
      </c>
      <c r="M24896">
        <v>56568</v>
      </c>
      <c r="N24896" t="s">
        <v>354</v>
      </c>
      <c r="O24896">
        <v>250210</v>
      </c>
      <c r="P24896">
        <v>25.75</v>
      </c>
    </row>
    <row r="24897" spans="1:16" x14ac:dyDescent="0.25">
      <c r="A24897" t="s">
        <v>3296</v>
      </c>
      <c r="B24897" t="s">
        <v>2931</v>
      </c>
      <c r="C24897">
        <v>1424</v>
      </c>
      <c r="D24897" t="str">
        <f>"340659052   "</f>
        <v xml:space="preserve">340659052   </v>
      </c>
      <c r="E24897" t="s">
        <v>397</v>
      </c>
      <c r="F24897" t="s">
        <v>398</v>
      </c>
      <c r="G24897">
        <v>87.11</v>
      </c>
      <c r="H24897">
        <v>250131</v>
      </c>
      <c r="I24897">
        <v>4600</v>
      </c>
      <c r="J24897" t="s">
        <v>278</v>
      </c>
      <c r="K24897">
        <v>87.11</v>
      </c>
      <c r="L24897">
        <v>17.7</v>
      </c>
      <c r="M24897">
        <v>56568</v>
      </c>
      <c r="N24897" t="s">
        <v>354</v>
      </c>
      <c r="O24897">
        <v>250210</v>
      </c>
      <c r="P24897">
        <v>69.41</v>
      </c>
    </row>
    <row r="24898" spans="1:16" x14ac:dyDescent="0.25">
      <c r="A24898" t="s">
        <v>3296</v>
      </c>
      <c r="B24898" t="s">
        <v>2931</v>
      </c>
      <c r="C24898">
        <v>1425</v>
      </c>
      <c r="D24898" t="str">
        <f>"340659617   "</f>
        <v xml:space="preserve">340659617   </v>
      </c>
      <c r="E24898" t="s">
        <v>397</v>
      </c>
      <c r="F24898" t="s">
        <v>398</v>
      </c>
      <c r="G24898">
        <v>32.31</v>
      </c>
      <c r="H24898">
        <v>250131</v>
      </c>
      <c r="I24898">
        <v>4600</v>
      </c>
      <c r="J24898" t="s">
        <v>278</v>
      </c>
      <c r="K24898">
        <v>32.31</v>
      </c>
      <c r="L24898">
        <v>6.56</v>
      </c>
      <c r="M24898">
        <v>56568</v>
      </c>
      <c r="N24898" t="s">
        <v>354</v>
      </c>
      <c r="O24898">
        <v>250210</v>
      </c>
      <c r="P24898">
        <v>25.75</v>
      </c>
    </row>
    <row r="24899" spans="1:16" x14ac:dyDescent="0.25">
      <c r="A24899" t="s">
        <v>3296</v>
      </c>
      <c r="B24899" t="s">
        <v>2931</v>
      </c>
      <c r="C24899">
        <v>1426</v>
      </c>
      <c r="D24899" t="str">
        <f>"340660000   "</f>
        <v xml:space="preserve">340660000   </v>
      </c>
      <c r="E24899" t="s">
        <v>397</v>
      </c>
      <c r="F24899" t="s">
        <v>398</v>
      </c>
      <c r="G24899">
        <v>76.63</v>
      </c>
      <c r="H24899">
        <v>250131</v>
      </c>
      <c r="I24899">
        <v>4600</v>
      </c>
      <c r="J24899" t="s">
        <v>278</v>
      </c>
      <c r="K24899">
        <v>122.83</v>
      </c>
      <c r="L24899">
        <v>15.57</v>
      </c>
      <c r="M24899">
        <v>56565</v>
      </c>
      <c r="N24899" t="s">
        <v>57</v>
      </c>
      <c r="O24899">
        <v>250210</v>
      </c>
      <c r="P24899">
        <v>61.06</v>
      </c>
    </row>
    <row r="24900" spans="1:16" x14ac:dyDescent="0.25">
      <c r="A24900" t="s">
        <v>3296</v>
      </c>
      <c r="B24900" t="s">
        <v>2931</v>
      </c>
      <c r="C24900">
        <v>1426</v>
      </c>
      <c r="D24900" t="str">
        <f>"340660000   "</f>
        <v xml:space="preserve">340660000   </v>
      </c>
      <c r="E24900" t="s">
        <v>397</v>
      </c>
      <c r="F24900" t="s">
        <v>398</v>
      </c>
      <c r="G24900">
        <v>46.2</v>
      </c>
      <c r="H24900">
        <v>250131</v>
      </c>
      <c r="I24900">
        <v>4600</v>
      </c>
      <c r="J24900" t="s">
        <v>278</v>
      </c>
      <c r="K24900">
        <v>122.83</v>
      </c>
      <c r="L24900">
        <v>9.39</v>
      </c>
      <c r="M24900">
        <v>56573</v>
      </c>
      <c r="N24900" t="s">
        <v>843</v>
      </c>
      <c r="O24900">
        <v>250210</v>
      </c>
      <c r="P24900">
        <v>36.81</v>
      </c>
    </row>
    <row r="24901" spans="1:16" x14ac:dyDescent="0.25">
      <c r="A24901" t="s">
        <v>3296</v>
      </c>
      <c r="B24901" t="s">
        <v>2931</v>
      </c>
      <c r="C24901">
        <v>2008</v>
      </c>
      <c r="D24901" t="str">
        <f>"340661507   "</f>
        <v xml:space="preserve">340661507   </v>
      </c>
      <c r="E24901" t="s">
        <v>397</v>
      </c>
      <c r="F24901" t="s">
        <v>398</v>
      </c>
      <c r="G24901">
        <v>-24.8</v>
      </c>
      <c r="H24901">
        <v>250210</v>
      </c>
      <c r="I24901">
        <v>4600</v>
      </c>
      <c r="J24901" t="s">
        <v>278</v>
      </c>
      <c r="K24901">
        <v>-24.8</v>
      </c>
      <c r="L24901">
        <v>-5.04</v>
      </c>
      <c r="M24901">
        <v>56568</v>
      </c>
      <c r="N24901" t="s">
        <v>354</v>
      </c>
      <c r="O24901">
        <v>250219</v>
      </c>
      <c r="P24901">
        <v>-19.760000000000002</v>
      </c>
    </row>
    <row r="24902" spans="1:16" x14ac:dyDescent="0.25">
      <c r="A24902" t="s">
        <v>3296</v>
      </c>
      <c r="B24902" t="s">
        <v>2931</v>
      </c>
      <c r="C24902">
        <v>2012</v>
      </c>
      <c r="D24902" t="str">
        <f>"340662435   "</f>
        <v xml:space="preserve">340662435   </v>
      </c>
      <c r="E24902" t="s">
        <v>397</v>
      </c>
      <c r="F24902" t="s">
        <v>398</v>
      </c>
      <c r="G24902">
        <v>98.17</v>
      </c>
      <c r="H24902">
        <v>250210</v>
      </c>
      <c r="I24902">
        <v>4600</v>
      </c>
      <c r="J24902" t="s">
        <v>278</v>
      </c>
      <c r="K24902">
        <v>98.17</v>
      </c>
      <c r="L24902">
        <v>19.95</v>
      </c>
      <c r="M24902">
        <v>56568</v>
      </c>
      <c r="N24902" t="s">
        <v>354</v>
      </c>
      <c r="O24902">
        <v>250219</v>
      </c>
      <c r="P24902">
        <v>78.22</v>
      </c>
    </row>
    <row r="24903" spans="1:16" x14ac:dyDescent="0.25">
      <c r="A24903" t="s">
        <v>3296</v>
      </c>
      <c r="B24903" t="s">
        <v>2931</v>
      </c>
      <c r="C24903">
        <v>2014</v>
      </c>
      <c r="D24903" t="str">
        <f>"340663188   "</f>
        <v xml:space="preserve">340663188   </v>
      </c>
      <c r="E24903" t="s">
        <v>397</v>
      </c>
      <c r="F24903" t="s">
        <v>398</v>
      </c>
      <c r="G24903">
        <v>46.04</v>
      </c>
      <c r="H24903">
        <v>250210</v>
      </c>
      <c r="I24903">
        <v>4600</v>
      </c>
      <c r="J24903" t="s">
        <v>278</v>
      </c>
      <c r="K24903">
        <v>46.04</v>
      </c>
      <c r="L24903">
        <v>9.35</v>
      </c>
      <c r="M24903">
        <v>56568</v>
      </c>
      <c r="N24903" t="s">
        <v>354</v>
      </c>
      <c r="O24903">
        <v>250219</v>
      </c>
      <c r="P24903">
        <v>36.69</v>
      </c>
    </row>
    <row r="24904" spans="1:16" x14ac:dyDescent="0.25">
      <c r="A24904" t="s">
        <v>3296</v>
      </c>
      <c r="B24904" t="s">
        <v>2931</v>
      </c>
      <c r="C24904">
        <v>2015</v>
      </c>
      <c r="D24904" t="str">
        <f>"340661159   "</f>
        <v xml:space="preserve">340661159   </v>
      </c>
      <c r="E24904" t="s">
        <v>397</v>
      </c>
      <c r="F24904" t="s">
        <v>398</v>
      </c>
      <c r="G24904">
        <v>261.24</v>
      </c>
      <c r="H24904">
        <v>250210</v>
      </c>
      <c r="I24904">
        <v>4600</v>
      </c>
      <c r="J24904" t="s">
        <v>278</v>
      </c>
      <c r="K24904">
        <v>261.24</v>
      </c>
      <c r="L24904">
        <v>53.08</v>
      </c>
      <c r="M24904">
        <v>56568</v>
      </c>
      <c r="N24904" t="s">
        <v>354</v>
      </c>
      <c r="O24904">
        <v>250219</v>
      </c>
      <c r="P24904">
        <v>208.16</v>
      </c>
    </row>
    <row r="24905" spans="1:16" x14ac:dyDescent="0.25">
      <c r="A24905" t="s">
        <v>3296</v>
      </c>
      <c r="B24905" t="s">
        <v>2931</v>
      </c>
      <c r="C24905">
        <v>2017</v>
      </c>
      <c r="D24905" t="str">
        <f>"340662436   "</f>
        <v xml:space="preserve">340662436   </v>
      </c>
      <c r="E24905" t="s">
        <v>397</v>
      </c>
      <c r="F24905" t="s">
        <v>398</v>
      </c>
      <c r="G24905">
        <v>46.19</v>
      </c>
      <c r="H24905">
        <v>250210</v>
      </c>
      <c r="I24905">
        <v>4600</v>
      </c>
      <c r="J24905" t="s">
        <v>278</v>
      </c>
      <c r="K24905">
        <v>46.19</v>
      </c>
      <c r="L24905">
        <v>9.39</v>
      </c>
      <c r="M24905">
        <v>56568</v>
      </c>
      <c r="N24905" t="s">
        <v>354</v>
      </c>
      <c r="O24905">
        <v>250219</v>
      </c>
      <c r="P24905">
        <v>36.799999999999997</v>
      </c>
    </row>
    <row r="24906" spans="1:16" x14ac:dyDescent="0.25">
      <c r="A24906" t="s">
        <v>3296</v>
      </c>
      <c r="B24906" t="s">
        <v>2931</v>
      </c>
      <c r="C24906">
        <v>2032</v>
      </c>
      <c r="D24906" t="str">
        <f>"340664217   "</f>
        <v xml:space="preserve">340664217   </v>
      </c>
      <c r="E24906" t="s">
        <v>397</v>
      </c>
      <c r="F24906" t="s">
        <v>398</v>
      </c>
      <c r="G24906">
        <v>-20</v>
      </c>
      <c r="H24906">
        <v>250217</v>
      </c>
      <c r="I24906">
        <v>4600</v>
      </c>
      <c r="J24906" t="s">
        <v>278</v>
      </c>
      <c r="K24906">
        <v>-20</v>
      </c>
      <c r="L24906">
        <v>-4.0599999999999996</v>
      </c>
      <c r="M24906">
        <v>56568</v>
      </c>
      <c r="N24906" t="s">
        <v>354</v>
      </c>
      <c r="O24906">
        <v>250219</v>
      </c>
      <c r="P24906">
        <v>-15.94</v>
      </c>
    </row>
    <row r="24907" spans="1:16" x14ac:dyDescent="0.25">
      <c r="A24907" t="s">
        <v>3296</v>
      </c>
      <c r="B24907" t="s">
        <v>2931</v>
      </c>
      <c r="C24907">
        <v>2033</v>
      </c>
      <c r="D24907" t="str">
        <f>"340665566   "</f>
        <v xml:space="preserve">340665566   </v>
      </c>
      <c r="E24907" t="s">
        <v>397</v>
      </c>
      <c r="F24907" t="s">
        <v>398</v>
      </c>
      <c r="G24907">
        <v>-91.53</v>
      </c>
      <c r="H24907">
        <v>250217</v>
      </c>
      <c r="I24907">
        <v>4600</v>
      </c>
      <c r="J24907" t="s">
        <v>278</v>
      </c>
      <c r="K24907">
        <v>-91.53</v>
      </c>
      <c r="L24907">
        <v>-18.600000000000001</v>
      </c>
      <c r="M24907">
        <v>56568</v>
      </c>
      <c r="N24907" t="s">
        <v>354</v>
      </c>
      <c r="O24907">
        <v>250219</v>
      </c>
      <c r="P24907">
        <v>-72.930000000000007</v>
      </c>
    </row>
    <row r="24908" spans="1:16" x14ac:dyDescent="0.25">
      <c r="A24908" t="s">
        <v>3296</v>
      </c>
      <c r="B24908" t="s">
        <v>2931</v>
      </c>
      <c r="C24908">
        <v>2057</v>
      </c>
      <c r="D24908" t="str">
        <f>"340662434   "</f>
        <v xml:space="preserve">340662434   </v>
      </c>
      <c r="E24908" t="s">
        <v>397</v>
      </c>
      <c r="F24908" t="s">
        <v>398</v>
      </c>
      <c r="G24908">
        <v>49.31</v>
      </c>
      <c r="H24908">
        <v>250210</v>
      </c>
      <c r="I24908">
        <v>4600</v>
      </c>
      <c r="J24908" t="s">
        <v>278</v>
      </c>
      <c r="K24908">
        <v>49.31</v>
      </c>
      <c r="L24908">
        <v>10.02</v>
      </c>
      <c r="M24908">
        <v>56568</v>
      </c>
      <c r="N24908" t="s">
        <v>354</v>
      </c>
      <c r="O24908">
        <v>250220</v>
      </c>
      <c r="P24908">
        <v>39.29</v>
      </c>
    </row>
    <row r="24909" spans="1:16" x14ac:dyDescent="0.25">
      <c r="A24909" t="s">
        <v>3296</v>
      </c>
      <c r="B24909" t="s">
        <v>2931</v>
      </c>
      <c r="C24909">
        <v>2158</v>
      </c>
      <c r="D24909" t="str">
        <f>"340665690   "</f>
        <v xml:space="preserve">340665690   </v>
      </c>
      <c r="E24909" t="s">
        <v>397</v>
      </c>
      <c r="F24909" t="s">
        <v>398</v>
      </c>
      <c r="G24909">
        <v>65.83</v>
      </c>
      <c r="H24909">
        <v>250217</v>
      </c>
      <c r="I24909">
        <v>4600</v>
      </c>
      <c r="J24909" t="s">
        <v>278</v>
      </c>
      <c r="K24909">
        <v>65.83</v>
      </c>
      <c r="L24909">
        <v>13.38</v>
      </c>
      <c r="M24909">
        <v>56568</v>
      </c>
      <c r="N24909" t="s">
        <v>354</v>
      </c>
      <c r="O24909">
        <v>250220</v>
      </c>
      <c r="P24909">
        <v>52.45</v>
      </c>
    </row>
    <row r="24910" spans="1:16" x14ac:dyDescent="0.25">
      <c r="A24910" t="s">
        <v>3296</v>
      </c>
      <c r="B24910" t="s">
        <v>2931</v>
      </c>
      <c r="C24910">
        <v>2159</v>
      </c>
      <c r="D24910" t="str">
        <f>"340665691   "</f>
        <v xml:space="preserve">340665691   </v>
      </c>
      <c r="E24910" t="s">
        <v>397</v>
      </c>
      <c r="F24910" t="s">
        <v>398</v>
      </c>
      <c r="G24910">
        <v>52.61</v>
      </c>
      <c r="H24910">
        <v>250217</v>
      </c>
      <c r="I24910">
        <v>4600</v>
      </c>
      <c r="J24910" t="s">
        <v>278</v>
      </c>
      <c r="K24910">
        <v>52.61</v>
      </c>
      <c r="L24910">
        <v>10.69</v>
      </c>
      <c r="M24910">
        <v>56568</v>
      </c>
      <c r="N24910" t="s">
        <v>354</v>
      </c>
      <c r="O24910">
        <v>250220</v>
      </c>
      <c r="P24910">
        <v>41.92</v>
      </c>
    </row>
    <row r="24911" spans="1:16" x14ac:dyDescent="0.25">
      <c r="A24911" t="s">
        <v>3296</v>
      </c>
      <c r="B24911" t="s">
        <v>2931</v>
      </c>
      <c r="C24911">
        <v>2162</v>
      </c>
      <c r="D24911" t="str">
        <f>"340666041   "</f>
        <v xml:space="preserve">340666041   </v>
      </c>
      <c r="E24911" t="s">
        <v>397</v>
      </c>
      <c r="F24911" t="s">
        <v>398</v>
      </c>
      <c r="G24911">
        <v>183.31</v>
      </c>
      <c r="H24911">
        <v>250217</v>
      </c>
      <c r="I24911">
        <v>4600</v>
      </c>
      <c r="J24911" t="s">
        <v>278</v>
      </c>
      <c r="K24911">
        <v>183.31</v>
      </c>
      <c r="L24911">
        <v>37.25</v>
      </c>
      <c r="M24911">
        <v>56568</v>
      </c>
      <c r="N24911" t="s">
        <v>354</v>
      </c>
      <c r="O24911">
        <v>250220</v>
      </c>
      <c r="P24911">
        <v>146.06</v>
      </c>
    </row>
    <row r="24912" spans="1:16" x14ac:dyDescent="0.25">
      <c r="A24912" t="s">
        <v>3296</v>
      </c>
      <c r="B24912" t="s">
        <v>2931</v>
      </c>
      <c r="C24912">
        <v>2163</v>
      </c>
      <c r="D24912" t="str">
        <f>"340665334   "</f>
        <v xml:space="preserve">340665334   </v>
      </c>
      <c r="E24912" t="s">
        <v>397</v>
      </c>
      <c r="F24912" t="s">
        <v>398</v>
      </c>
      <c r="G24912">
        <v>1500.51</v>
      </c>
      <c r="H24912">
        <v>250217</v>
      </c>
      <c r="I24912">
        <v>4600</v>
      </c>
      <c r="J24912" t="s">
        <v>278</v>
      </c>
      <c r="K24912">
        <v>1629.51</v>
      </c>
      <c r="L24912">
        <v>304.88</v>
      </c>
      <c r="M24912">
        <v>56568</v>
      </c>
      <c r="N24912" t="s">
        <v>354</v>
      </c>
      <c r="O24912">
        <v>250220</v>
      </c>
      <c r="P24912">
        <v>1195.6300000000001</v>
      </c>
    </row>
    <row r="24913" spans="1:16" x14ac:dyDescent="0.25">
      <c r="A24913" t="s">
        <v>3296</v>
      </c>
      <c r="B24913" t="s">
        <v>2931</v>
      </c>
      <c r="C24913">
        <v>2164</v>
      </c>
      <c r="D24913" t="str">
        <f>"340664805   "</f>
        <v xml:space="preserve">340664805   </v>
      </c>
      <c r="E24913" t="s">
        <v>397</v>
      </c>
      <c r="F24913" t="s">
        <v>398</v>
      </c>
      <c r="G24913">
        <v>99.04</v>
      </c>
      <c r="H24913">
        <v>250217</v>
      </c>
      <c r="I24913">
        <v>4600</v>
      </c>
      <c r="J24913" t="s">
        <v>278</v>
      </c>
      <c r="K24913">
        <v>99.04</v>
      </c>
      <c r="L24913">
        <v>20.12</v>
      </c>
      <c r="M24913">
        <v>56568</v>
      </c>
      <c r="N24913" t="s">
        <v>354</v>
      </c>
      <c r="O24913">
        <v>250220</v>
      </c>
      <c r="P24913">
        <v>78.92</v>
      </c>
    </row>
    <row r="24914" spans="1:16" x14ac:dyDescent="0.25">
      <c r="A24914" t="s">
        <v>3296</v>
      </c>
      <c r="B24914" t="s">
        <v>2931</v>
      </c>
      <c r="C24914">
        <v>2609</v>
      </c>
      <c r="D24914" t="str">
        <f>"340666796   "</f>
        <v xml:space="preserve">340666796   </v>
      </c>
      <c r="E24914" t="s">
        <v>397</v>
      </c>
      <c r="F24914" t="s">
        <v>398</v>
      </c>
      <c r="G24914">
        <v>102.41</v>
      </c>
      <c r="H24914">
        <v>250224</v>
      </c>
      <c r="I24914">
        <v>4600</v>
      </c>
      <c r="J24914" t="s">
        <v>278</v>
      </c>
      <c r="K24914">
        <v>102.41</v>
      </c>
      <c r="L24914">
        <v>20.81</v>
      </c>
      <c r="M24914">
        <v>56568</v>
      </c>
      <c r="N24914" t="s">
        <v>354</v>
      </c>
      <c r="O24914">
        <v>250307</v>
      </c>
      <c r="P24914">
        <v>81.599999999999994</v>
      </c>
    </row>
    <row r="24915" spans="1:16" x14ac:dyDescent="0.25">
      <c r="A24915" t="s">
        <v>3296</v>
      </c>
      <c r="B24915" t="s">
        <v>2931</v>
      </c>
      <c r="C24915">
        <v>2610</v>
      </c>
      <c r="D24915" t="str">
        <f>"340666800   "</f>
        <v xml:space="preserve">340666800   </v>
      </c>
      <c r="E24915" t="s">
        <v>397</v>
      </c>
      <c r="F24915" t="s">
        <v>398</v>
      </c>
      <c r="G24915">
        <v>237.13</v>
      </c>
      <c r="H24915">
        <v>250224</v>
      </c>
      <c r="I24915">
        <v>4600</v>
      </c>
      <c r="J24915" t="s">
        <v>278</v>
      </c>
      <c r="K24915">
        <v>237.13</v>
      </c>
      <c r="L24915">
        <v>48.18</v>
      </c>
      <c r="M24915">
        <v>56568</v>
      </c>
      <c r="N24915" t="s">
        <v>354</v>
      </c>
      <c r="O24915">
        <v>250307</v>
      </c>
      <c r="P24915">
        <v>188.95</v>
      </c>
    </row>
    <row r="24916" spans="1:16" x14ac:dyDescent="0.25">
      <c r="A24916" t="s">
        <v>3296</v>
      </c>
      <c r="B24916" t="s">
        <v>2931</v>
      </c>
      <c r="C24916">
        <v>2611</v>
      </c>
      <c r="D24916" t="str">
        <f>"340668472   "</f>
        <v xml:space="preserve">340668472   </v>
      </c>
      <c r="E24916" t="s">
        <v>397</v>
      </c>
      <c r="F24916" t="s">
        <v>398</v>
      </c>
      <c r="G24916">
        <v>54.76</v>
      </c>
      <c r="H24916">
        <v>250224</v>
      </c>
      <c r="I24916">
        <v>4600</v>
      </c>
      <c r="J24916" t="s">
        <v>278</v>
      </c>
      <c r="K24916">
        <v>54.76</v>
      </c>
      <c r="L24916">
        <v>11.13</v>
      </c>
      <c r="M24916">
        <v>56568</v>
      </c>
      <c r="N24916" t="s">
        <v>354</v>
      </c>
      <c r="O24916">
        <v>250307</v>
      </c>
      <c r="P24916">
        <v>43.63</v>
      </c>
    </row>
    <row r="24917" spans="1:16" x14ac:dyDescent="0.25">
      <c r="A24917" t="s">
        <v>3296</v>
      </c>
      <c r="B24917" t="s">
        <v>2931</v>
      </c>
      <c r="C24917">
        <v>2613</v>
      </c>
      <c r="D24917" t="str">
        <f>"340667699   "</f>
        <v xml:space="preserve">340667699   </v>
      </c>
      <c r="E24917" t="s">
        <v>397</v>
      </c>
      <c r="F24917" t="s">
        <v>398</v>
      </c>
      <c r="G24917">
        <v>-60</v>
      </c>
      <c r="H24917">
        <v>250224</v>
      </c>
      <c r="I24917">
        <v>4600</v>
      </c>
      <c r="J24917" t="s">
        <v>278</v>
      </c>
      <c r="K24917">
        <v>-60</v>
      </c>
      <c r="L24917">
        <v>-12.19</v>
      </c>
      <c r="M24917">
        <v>56568</v>
      </c>
      <c r="N24917" t="s">
        <v>354</v>
      </c>
      <c r="O24917">
        <v>250307</v>
      </c>
      <c r="P24917">
        <v>-47.81</v>
      </c>
    </row>
    <row r="24918" spans="1:16" x14ac:dyDescent="0.25">
      <c r="A24918" t="s">
        <v>3296</v>
      </c>
      <c r="B24918" t="s">
        <v>2931</v>
      </c>
      <c r="C24918">
        <v>2619</v>
      </c>
      <c r="D24918" t="str">
        <f>"340668077   "</f>
        <v xml:space="preserve">340668077   </v>
      </c>
      <c r="E24918" t="s">
        <v>397</v>
      </c>
      <c r="F24918" t="s">
        <v>398</v>
      </c>
      <c r="G24918">
        <v>144.44999999999999</v>
      </c>
      <c r="H24918">
        <v>250224</v>
      </c>
      <c r="I24918">
        <v>4600</v>
      </c>
      <c r="J24918" t="s">
        <v>278</v>
      </c>
      <c r="K24918">
        <v>144.44999999999999</v>
      </c>
      <c r="L24918">
        <v>29.35</v>
      </c>
      <c r="M24918">
        <v>56568</v>
      </c>
      <c r="N24918" t="s">
        <v>354</v>
      </c>
      <c r="O24918">
        <v>250307</v>
      </c>
      <c r="P24918">
        <v>115.1</v>
      </c>
    </row>
    <row r="24919" spans="1:16" x14ac:dyDescent="0.25">
      <c r="A24919" t="s">
        <v>3296</v>
      </c>
      <c r="B24919" t="s">
        <v>2931</v>
      </c>
      <c r="C24919">
        <v>2621</v>
      </c>
      <c r="D24919" t="str">
        <f>"340667689   "</f>
        <v xml:space="preserve">340667689   </v>
      </c>
      <c r="E24919" t="s">
        <v>397</v>
      </c>
      <c r="F24919" t="s">
        <v>398</v>
      </c>
      <c r="G24919">
        <v>-20</v>
      </c>
      <c r="H24919">
        <v>250224</v>
      </c>
      <c r="I24919">
        <v>4600</v>
      </c>
      <c r="J24919" t="s">
        <v>278</v>
      </c>
      <c r="K24919">
        <v>-20</v>
      </c>
      <c r="L24919">
        <v>-4.0599999999999996</v>
      </c>
      <c r="M24919">
        <v>56568</v>
      </c>
      <c r="N24919" t="s">
        <v>354</v>
      </c>
      <c r="O24919">
        <v>250307</v>
      </c>
      <c r="P24919">
        <v>-15.94</v>
      </c>
    </row>
    <row r="24920" spans="1:16" x14ac:dyDescent="0.25">
      <c r="A24920" t="s">
        <v>3296</v>
      </c>
      <c r="B24920" t="s">
        <v>2931</v>
      </c>
      <c r="C24920">
        <v>2623</v>
      </c>
      <c r="D24920" t="str">
        <f>"340667757   "</f>
        <v xml:space="preserve">340667757   </v>
      </c>
      <c r="E24920" t="s">
        <v>397</v>
      </c>
      <c r="F24920" t="s">
        <v>398</v>
      </c>
      <c r="G24920">
        <v>-5.47</v>
      </c>
      <c r="H24920">
        <v>250224</v>
      </c>
      <c r="I24920">
        <v>4600</v>
      </c>
      <c r="J24920" t="s">
        <v>278</v>
      </c>
      <c r="K24920">
        <v>-5.47</v>
      </c>
      <c r="L24920">
        <v>-1.1100000000000001</v>
      </c>
      <c r="M24920">
        <v>56568</v>
      </c>
      <c r="N24920" t="s">
        <v>354</v>
      </c>
      <c r="O24920">
        <v>250307</v>
      </c>
      <c r="P24920">
        <v>-4.3600000000000003</v>
      </c>
    </row>
    <row r="24921" spans="1:16" x14ac:dyDescent="0.25">
      <c r="A24921" t="s">
        <v>3296</v>
      </c>
      <c r="B24921" t="s">
        <v>2931</v>
      </c>
      <c r="C24921">
        <v>2626</v>
      </c>
      <c r="D24921" t="str">
        <f>"340668107   "</f>
        <v xml:space="preserve">340668107   </v>
      </c>
      <c r="E24921" t="s">
        <v>397</v>
      </c>
      <c r="F24921" t="s">
        <v>398</v>
      </c>
      <c r="G24921">
        <v>33.25</v>
      </c>
      <c r="H24921">
        <v>250224</v>
      </c>
      <c r="I24921">
        <v>4600</v>
      </c>
      <c r="J24921" t="s">
        <v>278</v>
      </c>
      <c r="K24921">
        <v>33.25</v>
      </c>
      <c r="L24921">
        <v>6.76</v>
      </c>
      <c r="M24921">
        <v>56568</v>
      </c>
      <c r="N24921" t="s">
        <v>354</v>
      </c>
      <c r="O24921">
        <v>250307</v>
      </c>
      <c r="P24921">
        <v>26.49</v>
      </c>
    </row>
    <row r="24922" spans="1:16" x14ac:dyDescent="0.25">
      <c r="A24922" t="s">
        <v>3296</v>
      </c>
      <c r="B24922" t="s">
        <v>2931</v>
      </c>
      <c r="C24922">
        <v>2627</v>
      </c>
      <c r="D24922" t="str">
        <f>"340668346   "</f>
        <v xml:space="preserve">340668346   </v>
      </c>
      <c r="E24922" t="s">
        <v>397</v>
      </c>
      <c r="F24922" t="s">
        <v>398</v>
      </c>
      <c r="G24922">
        <v>-13.73</v>
      </c>
      <c r="H24922">
        <v>250224</v>
      </c>
      <c r="I24922">
        <v>4600</v>
      </c>
      <c r="J24922" t="s">
        <v>278</v>
      </c>
      <c r="K24922">
        <v>-13.73</v>
      </c>
      <c r="L24922">
        <v>-2.79</v>
      </c>
      <c r="M24922">
        <v>56568</v>
      </c>
      <c r="N24922" t="s">
        <v>354</v>
      </c>
      <c r="O24922">
        <v>250307</v>
      </c>
      <c r="P24922">
        <v>-10.94</v>
      </c>
    </row>
    <row r="24923" spans="1:16" x14ac:dyDescent="0.25">
      <c r="A24923" t="s">
        <v>3296</v>
      </c>
      <c r="B24923" t="s">
        <v>2931</v>
      </c>
      <c r="C24923">
        <v>2634</v>
      </c>
      <c r="D24923" t="str">
        <f>"340668345   "</f>
        <v xml:space="preserve">340668345   </v>
      </c>
      <c r="E24923" t="s">
        <v>397</v>
      </c>
      <c r="F24923" t="s">
        <v>398</v>
      </c>
      <c r="G24923">
        <v>-20</v>
      </c>
      <c r="H24923">
        <v>250224</v>
      </c>
      <c r="I24923">
        <v>4600</v>
      </c>
      <c r="J24923" t="s">
        <v>278</v>
      </c>
      <c r="K24923">
        <v>-20</v>
      </c>
      <c r="L24923">
        <v>-4.0599999999999996</v>
      </c>
      <c r="M24923">
        <v>56568</v>
      </c>
      <c r="N24923" t="s">
        <v>354</v>
      </c>
      <c r="O24923">
        <v>250307</v>
      </c>
      <c r="P24923">
        <v>-15.94</v>
      </c>
    </row>
    <row r="24924" spans="1:16" x14ac:dyDescent="0.25">
      <c r="A24924" t="s">
        <v>3296</v>
      </c>
      <c r="B24924" t="s">
        <v>2931</v>
      </c>
      <c r="C24924">
        <v>3464</v>
      </c>
      <c r="D24924" t="str">
        <f>"340674426   "</f>
        <v xml:space="preserve">340674426   </v>
      </c>
      <c r="E24924" t="s">
        <v>397</v>
      </c>
      <c r="F24924" t="s">
        <v>398</v>
      </c>
      <c r="G24924">
        <v>261.12</v>
      </c>
      <c r="H24924">
        <v>250310</v>
      </c>
      <c r="I24924">
        <v>4600</v>
      </c>
      <c r="J24924" t="s">
        <v>278</v>
      </c>
      <c r="K24924">
        <v>261.12</v>
      </c>
      <c r="L24924">
        <v>53.06</v>
      </c>
      <c r="M24924">
        <v>56568</v>
      </c>
      <c r="N24924" t="s">
        <v>354</v>
      </c>
      <c r="O24924">
        <v>250324</v>
      </c>
      <c r="P24924">
        <v>208.06</v>
      </c>
    </row>
    <row r="24925" spans="1:16" x14ac:dyDescent="0.25">
      <c r="A24925" t="s">
        <v>3296</v>
      </c>
      <c r="B24925" t="s">
        <v>2931</v>
      </c>
      <c r="C24925">
        <v>3465</v>
      </c>
      <c r="D24925" t="str">
        <f>"340673155   "</f>
        <v xml:space="preserve">340673155   </v>
      </c>
      <c r="E24925" t="s">
        <v>397</v>
      </c>
      <c r="F24925" t="s">
        <v>398</v>
      </c>
      <c r="G24925">
        <v>45.51</v>
      </c>
      <c r="H24925">
        <v>250310</v>
      </c>
      <c r="I24925">
        <v>4600</v>
      </c>
      <c r="J24925" t="s">
        <v>278</v>
      </c>
      <c r="K24925">
        <v>45.51</v>
      </c>
      <c r="L24925">
        <v>9.25</v>
      </c>
      <c r="M24925">
        <v>56568</v>
      </c>
      <c r="N24925" t="s">
        <v>354</v>
      </c>
      <c r="O24925">
        <v>250324</v>
      </c>
      <c r="P24925">
        <v>36.26</v>
      </c>
    </row>
    <row r="24926" spans="1:16" x14ac:dyDescent="0.25">
      <c r="A24926" t="s">
        <v>3296</v>
      </c>
      <c r="B24926" t="s">
        <v>2931</v>
      </c>
      <c r="C24926">
        <v>3472</v>
      </c>
      <c r="D24926" t="str">
        <f>"340675725   "</f>
        <v xml:space="preserve">340675725   </v>
      </c>
      <c r="E24926" t="s">
        <v>397</v>
      </c>
      <c r="F24926" t="s">
        <v>398</v>
      </c>
      <c r="G24926">
        <v>-50</v>
      </c>
      <c r="H24926">
        <v>250317</v>
      </c>
      <c r="I24926">
        <v>4600</v>
      </c>
      <c r="J24926" t="s">
        <v>278</v>
      </c>
      <c r="K24926">
        <v>-50</v>
      </c>
      <c r="L24926">
        <v>-10.16</v>
      </c>
      <c r="M24926">
        <v>56568</v>
      </c>
      <c r="N24926" t="s">
        <v>354</v>
      </c>
      <c r="O24926">
        <v>250324</v>
      </c>
      <c r="P24926">
        <v>-39.840000000000003</v>
      </c>
    </row>
    <row r="24927" spans="1:16" x14ac:dyDescent="0.25">
      <c r="A24927" t="s">
        <v>3296</v>
      </c>
      <c r="B24927" t="s">
        <v>2931</v>
      </c>
      <c r="C24927">
        <v>3477</v>
      </c>
      <c r="D24927" t="str">
        <f>"340672365   "</f>
        <v xml:space="preserve">340672365   </v>
      </c>
      <c r="E24927" t="s">
        <v>397</v>
      </c>
      <c r="F24927" t="s">
        <v>398</v>
      </c>
      <c r="G24927">
        <v>36.46</v>
      </c>
      <c r="H24927">
        <v>250310</v>
      </c>
      <c r="I24927">
        <v>4600</v>
      </c>
      <c r="J24927" t="s">
        <v>278</v>
      </c>
      <c r="K24927">
        <v>36.46</v>
      </c>
      <c r="L24927">
        <v>7.41</v>
      </c>
      <c r="M24927">
        <v>56568</v>
      </c>
      <c r="N24927" t="s">
        <v>354</v>
      </c>
      <c r="O24927">
        <v>250324</v>
      </c>
      <c r="P24927">
        <v>29.05</v>
      </c>
    </row>
    <row r="24928" spans="1:16" x14ac:dyDescent="0.25">
      <c r="A24928" t="s">
        <v>3296</v>
      </c>
      <c r="B24928" t="s">
        <v>2931</v>
      </c>
      <c r="C24928">
        <v>3478</v>
      </c>
      <c r="D24928" t="str">
        <f>"340676820   "</f>
        <v xml:space="preserve">340676820   </v>
      </c>
      <c r="E24928" t="s">
        <v>397</v>
      </c>
      <c r="F24928" t="s">
        <v>398</v>
      </c>
      <c r="G24928">
        <v>-9.14</v>
      </c>
      <c r="H24928">
        <v>250317</v>
      </c>
      <c r="I24928">
        <v>4600</v>
      </c>
      <c r="J24928" t="s">
        <v>278</v>
      </c>
      <c r="K24928">
        <v>-9.14</v>
      </c>
      <c r="L24928">
        <v>-1.86</v>
      </c>
      <c r="M24928">
        <v>56568</v>
      </c>
      <c r="N24928" t="s">
        <v>354</v>
      </c>
      <c r="O24928">
        <v>250324</v>
      </c>
      <c r="P24928">
        <v>-7.28</v>
      </c>
    </row>
    <row r="24929" spans="1:16" x14ac:dyDescent="0.25">
      <c r="A24929" t="s">
        <v>3296</v>
      </c>
      <c r="B24929" t="s">
        <v>2931</v>
      </c>
      <c r="C24929">
        <v>3484</v>
      </c>
      <c r="D24929" t="str">
        <f>"340673216   "</f>
        <v xml:space="preserve">340673216   </v>
      </c>
      <c r="E24929" t="s">
        <v>397</v>
      </c>
      <c r="F24929" t="s">
        <v>398</v>
      </c>
      <c r="G24929">
        <v>104.03</v>
      </c>
      <c r="H24929">
        <v>250310</v>
      </c>
      <c r="I24929">
        <v>4600</v>
      </c>
      <c r="J24929" t="s">
        <v>278</v>
      </c>
      <c r="K24929">
        <v>104.03</v>
      </c>
      <c r="L24929">
        <v>21.14</v>
      </c>
      <c r="M24929">
        <v>56568</v>
      </c>
      <c r="N24929" t="s">
        <v>354</v>
      </c>
      <c r="O24929">
        <v>250324</v>
      </c>
      <c r="P24929">
        <v>82.89</v>
      </c>
    </row>
    <row r="24930" spans="1:16" x14ac:dyDescent="0.25">
      <c r="A24930" t="s">
        <v>3296</v>
      </c>
      <c r="B24930" t="s">
        <v>2931</v>
      </c>
      <c r="C24930">
        <v>3487</v>
      </c>
      <c r="D24930" t="str">
        <f>"340674107   "</f>
        <v xml:space="preserve">340674107   </v>
      </c>
      <c r="E24930" t="s">
        <v>397</v>
      </c>
      <c r="F24930" t="s">
        <v>398</v>
      </c>
      <c r="G24930">
        <v>96.62</v>
      </c>
      <c r="H24930">
        <v>250310</v>
      </c>
      <c r="I24930">
        <v>4600</v>
      </c>
      <c r="J24930" t="s">
        <v>278</v>
      </c>
      <c r="K24930">
        <v>96.62</v>
      </c>
      <c r="L24930">
        <v>19.63</v>
      </c>
      <c r="M24930">
        <v>56573</v>
      </c>
      <c r="N24930" t="s">
        <v>843</v>
      </c>
      <c r="O24930">
        <v>250324</v>
      </c>
      <c r="P24930">
        <v>76.989999999999995</v>
      </c>
    </row>
    <row r="24931" spans="1:16" x14ac:dyDescent="0.25">
      <c r="A24931" t="s">
        <v>3296</v>
      </c>
      <c r="B24931" t="s">
        <v>2931</v>
      </c>
      <c r="C24931">
        <v>3491</v>
      </c>
      <c r="D24931" t="str">
        <f>"340672345   "</f>
        <v xml:space="preserve">340672345   </v>
      </c>
      <c r="E24931" t="s">
        <v>397</v>
      </c>
      <c r="F24931" t="s">
        <v>398</v>
      </c>
      <c r="G24931">
        <v>72.290000000000006</v>
      </c>
      <c r="H24931">
        <v>250310</v>
      </c>
      <c r="I24931">
        <v>4600</v>
      </c>
      <c r="J24931" t="s">
        <v>278</v>
      </c>
      <c r="K24931">
        <v>72.290000000000006</v>
      </c>
      <c r="L24931">
        <v>14.69</v>
      </c>
      <c r="M24931">
        <v>56568</v>
      </c>
      <c r="N24931" t="s">
        <v>354</v>
      </c>
      <c r="O24931">
        <v>250324</v>
      </c>
      <c r="P24931">
        <v>57.6</v>
      </c>
    </row>
    <row r="24932" spans="1:16" x14ac:dyDescent="0.25">
      <c r="A24932" t="s">
        <v>3296</v>
      </c>
      <c r="B24932" t="s">
        <v>2931</v>
      </c>
      <c r="C24932">
        <v>3497</v>
      </c>
      <c r="D24932" t="str">
        <f>"340673713   "</f>
        <v xml:space="preserve">340673713   </v>
      </c>
      <c r="E24932" t="s">
        <v>397</v>
      </c>
      <c r="F24932" t="s">
        <v>398</v>
      </c>
      <c r="G24932">
        <v>47.29</v>
      </c>
      <c r="H24932">
        <v>250310</v>
      </c>
      <c r="I24932">
        <v>4600</v>
      </c>
      <c r="J24932" t="s">
        <v>278</v>
      </c>
      <c r="K24932">
        <v>47.29</v>
      </c>
      <c r="L24932">
        <v>9.61</v>
      </c>
      <c r="M24932">
        <v>56568</v>
      </c>
      <c r="N24932" t="s">
        <v>354</v>
      </c>
      <c r="O24932">
        <v>250324</v>
      </c>
      <c r="P24932">
        <v>37.68</v>
      </c>
    </row>
    <row r="24933" spans="1:16" x14ac:dyDescent="0.25">
      <c r="A24933" t="s">
        <v>3296</v>
      </c>
      <c r="B24933" t="s">
        <v>2931</v>
      </c>
      <c r="C24933">
        <v>3646</v>
      </c>
      <c r="D24933" t="str">
        <f>"340676041   "</f>
        <v xml:space="preserve">340676041   </v>
      </c>
      <c r="E24933" t="s">
        <v>397</v>
      </c>
      <c r="F24933" t="s">
        <v>398</v>
      </c>
      <c r="G24933">
        <v>79.06</v>
      </c>
      <c r="H24933">
        <v>250317</v>
      </c>
      <c r="I24933">
        <v>4600</v>
      </c>
      <c r="J24933" t="s">
        <v>278</v>
      </c>
      <c r="K24933">
        <v>79.06</v>
      </c>
      <c r="L24933">
        <v>16.059999999999999</v>
      </c>
      <c r="M24933">
        <v>56568</v>
      </c>
      <c r="N24933" t="s">
        <v>354</v>
      </c>
      <c r="O24933">
        <v>250327</v>
      </c>
      <c r="P24933">
        <v>63</v>
      </c>
    </row>
    <row r="24934" spans="1:16" x14ac:dyDescent="0.25">
      <c r="A24934" t="s">
        <v>3296</v>
      </c>
      <c r="B24934" t="s">
        <v>2931</v>
      </c>
      <c r="C24934">
        <v>3657</v>
      </c>
      <c r="D24934" t="str">
        <f>"340675034   "</f>
        <v xml:space="preserve">340675034   </v>
      </c>
      <c r="E24934" t="s">
        <v>397</v>
      </c>
      <c r="F24934" t="s">
        <v>398</v>
      </c>
      <c r="G24934">
        <v>138.32</v>
      </c>
      <c r="H24934">
        <v>250317</v>
      </c>
      <c r="I24934">
        <v>4600</v>
      </c>
      <c r="J24934" t="s">
        <v>278</v>
      </c>
      <c r="K24934">
        <v>138.32</v>
      </c>
      <c r="L24934">
        <v>28.1</v>
      </c>
      <c r="M24934">
        <v>56573</v>
      </c>
      <c r="N24934" t="s">
        <v>843</v>
      </c>
      <c r="O24934">
        <v>250327</v>
      </c>
      <c r="P24934">
        <v>110.22</v>
      </c>
    </row>
    <row r="24935" spans="1:16" x14ac:dyDescent="0.25">
      <c r="A24935" t="s">
        <v>3296</v>
      </c>
      <c r="B24935" t="s">
        <v>2931</v>
      </c>
      <c r="C24935">
        <v>3667</v>
      </c>
      <c r="D24935" t="str">
        <f>"340676554   "</f>
        <v xml:space="preserve">340676554   </v>
      </c>
      <c r="E24935" t="s">
        <v>397</v>
      </c>
      <c r="F24935" t="s">
        <v>398</v>
      </c>
      <c r="G24935">
        <v>128.85</v>
      </c>
      <c r="H24935">
        <v>250317</v>
      </c>
      <c r="I24935">
        <v>4600</v>
      </c>
      <c r="J24935" t="s">
        <v>278</v>
      </c>
      <c r="K24935">
        <v>128.85</v>
      </c>
      <c r="L24935">
        <v>26.18</v>
      </c>
      <c r="M24935">
        <v>56568</v>
      </c>
      <c r="N24935" t="s">
        <v>354</v>
      </c>
      <c r="O24935">
        <v>250328</v>
      </c>
      <c r="P24935">
        <v>102.67</v>
      </c>
    </row>
    <row r="24936" spans="1:16" x14ac:dyDescent="0.25">
      <c r="A24936" t="s">
        <v>3296</v>
      </c>
      <c r="B24936" t="s">
        <v>2931</v>
      </c>
      <c r="C24936">
        <v>3672</v>
      </c>
      <c r="D24936" t="str">
        <f>"340675032   "</f>
        <v xml:space="preserve">340675032   </v>
      </c>
      <c r="E24936" t="s">
        <v>397</v>
      </c>
      <c r="F24936" t="s">
        <v>398</v>
      </c>
      <c r="G24936">
        <v>144.44999999999999</v>
      </c>
      <c r="H24936">
        <v>250317</v>
      </c>
      <c r="I24936">
        <v>4600</v>
      </c>
      <c r="J24936" t="s">
        <v>278</v>
      </c>
      <c r="K24936">
        <v>144.44999999999999</v>
      </c>
      <c r="L24936">
        <v>29.35</v>
      </c>
      <c r="M24936">
        <v>56568</v>
      </c>
      <c r="N24936" t="s">
        <v>354</v>
      </c>
      <c r="O24936">
        <v>250328</v>
      </c>
      <c r="P24936">
        <v>115.1</v>
      </c>
    </row>
    <row r="24937" spans="1:16" x14ac:dyDescent="0.25">
      <c r="A24937" t="s">
        <v>3296</v>
      </c>
      <c r="B24937" t="s">
        <v>2931</v>
      </c>
      <c r="C24937">
        <v>3988</v>
      </c>
      <c r="D24937" t="str">
        <f>"340676984   "</f>
        <v xml:space="preserve">340676984   </v>
      </c>
      <c r="E24937" t="s">
        <v>397</v>
      </c>
      <c r="F24937" t="s">
        <v>398</v>
      </c>
      <c r="G24937">
        <v>140.26</v>
      </c>
      <c r="H24937">
        <v>250317</v>
      </c>
      <c r="I24937">
        <v>4600</v>
      </c>
      <c r="J24937" t="s">
        <v>278</v>
      </c>
      <c r="K24937">
        <v>140.26</v>
      </c>
      <c r="L24937">
        <v>28.5</v>
      </c>
      <c r="M24937">
        <v>56568</v>
      </c>
      <c r="N24937" t="s">
        <v>354</v>
      </c>
      <c r="O24937">
        <v>250404</v>
      </c>
      <c r="P24937">
        <v>111.76</v>
      </c>
    </row>
    <row r="24938" spans="1:16" x14ac:dyDescent="0.25">
      <c r="A24938" t="s">
        <v>3296</v>
      </c>
      <c r="B24938" t="s">
        <v>2931</v>
      </c>
      <c r="C24938">
        <v>3989</v>
      </c>
      <c r="D24938" t="str">
        <f>"340677278   "</f>
        <v xml:space="preserve">340677278   </v>
      </c>
      <c r="E24938" t="s">
        <v>397</v>
      </c>
      <c r="F24938" t="s">
        <v>398</v>
      </c>
      <c r="G24938">
        <v>312.11</v>
      </c>
      <c r="H24938">
        <v>250317</v>
      </c>
      <c r="I24938">
        <v>4600</v>
      </c>
      <c r="J24938" t="s">
        <v>278</v>
      </c>
      <c r="K24938">
        <v>312.11</v>
      </c>
      <c r="L24938">
        <v>63.42</v>
      </c>
      <c r="M24938">
        <v>56568</v>
      </c>
      <c r="N24938" t="s">
        <v>354</v>
      </c>
      <c r="O24938">
        <v>250404</v>
      </c>
      <c r="P24938">
        <v>248.69</v>
      </c>
    </row>
    <row r="24939" spans="1:16" x14ac:dyDescent="0.25">
      <c r="A24939" t="s">
        <v>3296</v>
      </c>
      <c r="B24939" t="s">
        <v>2931</v>
      </c>
      <c r="C24939">
        <v>4025</v>
      </c>
      <c r="D24939" t="str">
        <f>"340679384   "</f>
        <v xml:space="preserve">340679384   </v>
      </c>
      <c r="E24939" t="s">
        <v>397</v>
      </c>
      <c r="F24939" t="s">
        <v>398</v>
      </c>
      <c r="G24939">
        <v>115.7</v>
      </c>
      <c r="H24939">
        <v>250324</v>
      </c>
      <c r="I24939">
        <v>4600</v>
      </c>
      <c r="J24939" t="s">
        <v>278</v>
      </c>
      <c r="K24939">
        <v>115.7</v>
      </c>
      <c r="L24939">
        <v>23.51</v>
      </c>
      <c r="M24939">
        <v>56568</v>
      </c>
      <c r="N24939" t="s">
        <v>354</v>
      </c>
      <c r="O24939">
        <v>250407</v>
      </c>
      <c r="P24939">
        <v>92.19</v>
      </c>
    </row>
    <row r="24940" spans="1:16" x14ac:dyDescent="0.25">
      <c r="A24940" t="s">
        <v>3296</v>
      </c>
      <c r="B24940" t="s">
        <v>2931</v>
      </c>
      <c r="C24940">
        <v>4032</v>
      </c>
      <c r="D24940" t="str">
        <f>"340678008   "</f>
        <v xml:space="preserve">340678008   </v>
      </c>
      <c r="E24940" t="s">
        <v>397</v>
      </c>
      <c r="F24940" t="s">
        <v>398</v>
      </c>
      <c r="G24940">
        <v>139.66999999999999</v>
      </c>
      <c r="H24940">
        <v>250324</v>
      </c>
      <c r="I24940">
        <v>4600</v>
      </c>
      <c r="J24940" t="s">
        <v>278</v>
      </c>
      <c r="K24940">
        <v>139.66999999999999</v>
      </c>
      <c r="L24940">
        <v>28.38</v>
      </c>
      <c r="M24940">
        <v>56568</v>
      </c>
      <c r="N24940" t="s">
        <v>354</v>
      </c>
      <c r="O24940">
        <v>250407</v>
      </c>
      <c r="P24940">
        <v>111.29</v>
      </c>
    </row>
    <row r="24941" spans="1:16" x14ac:dyDescent="0.25">
      <c r="A24941" t="s">
        <v>3296</v>
      </c>
      <c r="B24941" t="s">
        <v>2931</v>
      </c>
      <c r="C24941">
        <v>4051</v>
      </c>
      <c r="D24941" t="str">
        <f>"340679464   "</f>
        <v xml:space="preserve">340679464   </v>
      </c>
      <c r="E24941" t="s">
        <v>397</v>
      </c>
      <c r="F24941" t="s">
        <v>398</v>
      </c>
      <c r="G24941">
        <v>-66.42</v>
      </c>
      <c r="H24941">
        <v>250324</v>
      </c>
      <c r="I24941">
        <v>4600</v>
      </c>
      <c r="J24941" t="s">
        <v>278</v>
      </c>
      <c r="K24941">
        <v>-66.42</v>
      </c>
      <c r="L24941">
        <v>-13.5</v>
      </c>
      <c r="M24941">
        <v>56573</v>
      </c>
      <c r="N24941" t="s">
        <v>843</v>
      </c>
      <c r="O24941">
        <v>250407</v>
      </c>
      <c r="P24941">
        <v>-52.92</v>
      </c>
    </row>
    <row r="24942" spans="1:16" x14ac:dyDescent="0.25">
      <c r="A24942" t="s">
        <v>3296</v>
      </c>
      <c r="B24942" t="s">
        <v>2931</v>
      </c>
      <c r="C24942">
        <v>4067</v>
      </c>
      <c r="D24942" t="str">
        <f>"340679471   "</f>
        <v xml:space="preserve">340679471   </v>
      </c>
      <c r="E24942" t="s">
        <v>397</v>
      </c>
      <c r="F24942" t="s">
        <v>398</v>
      </c>
      <c r="G24942">
        <v>-152.30000000000001</v>
      </c>
      <c r="H24942">
        <v>250324</v>
      </c>
      <c r="I24942">
        <v>4600</v>
      </c>
      <c r="J24942" t="s">
        <v>278</v>
      </c>
      <c r="K24942">
        <v>-152.30000000000001</v>
      </c>
      <c r="L24942">
        <v>-30.95</v>
      </c>
      <c r="M24942">
        <v>56568</v>
      </c>
      <c r="N24942" t="s">
        <v>354</v>
      </c>
      <c r="O24942">
        <v>250407</v>
      </c>
      <c r="P24942">
        <v>-121.35</v>
      </c>
    </row>
    <row r="24943" spans="1:16" x14ac:dyDescent="0.25">
      <c r="A24943" t="s">
        <v>3296</v>
      </c>
      <c r="B24943" t="s">
        <v>2931</v>
      </c>
      <c r="C24943">
        <v>4090</v>
      </c>
      <c r="D24943" t="str">
        <f>"340678920   "</f>
        <v xml:space="preserve">340678920   </v>
      </c>
      <c r="E24943" t="s">
        <v>397</v>
      </c>
      <c r="F24943" t="s">
        <v>398</v>
      </c>
      <c r="G24943">
        <v>160.41</v>
      </c>
      <c r="H24943">
        <v>250324</v>
      </c>
      <c r="I24943">
        <v>4600</v>
      </c>
      <c r="J24943" t="s">
        <v>278</v>
      </c>
      <c r="K24943">
        <v>160.41</v>
      </c>
      <c r="L24943">
        <v>32.590000000000003</v>
      </c>
      <c r="M24943">
        <v>56568</v>
      </c>
      <c r="N24943" t="s">
        <v>354</v>
      </c>
      <c r="O24943">
        <v>250407</v>
      </c>
      <c r="P24943">
        <v>127.82</v>
      </c>
    </row>
    <row r="24944" spans="1:16" x14ac:dyDescent="0.25">
      <c r="A24944" t="s">
        <v>3296</v>
      </c>
      <c r="B24944" t="s">
        <v>2931</v>
      </c>
      <c r="C24944">
        <v>4096</v>
      </c>
      <c r="D24944" t="str">
        <f>"340679646   "</f>
        <v xml:space="preserve">340679646   </v>
      </c>
      <c r="E24944" t="s">
        <v>397</v>
      </c>
      <c r="F24944" t="s">
        <v>398</v>
      </c>
      <c r="G24944">
        <v>-20</v>
      </c>
      <c r="H24944">
        <v>250324</v>
      </c>
      <c r="I24944">
        <v>4600</v>
      </c>
      <c r="J24944" t="s">
        <v>278</v>
      </c>
      <c r="K24944">
        <v>-20</v>
      </c>
      <c r="L24944">
        <v>-4.0599999999999996</v>
      </c>
      <c r="M24944">
        <v>56568</v>
      </c>
      <c r="N24944" t="s">
        <v>354</v>
      </c>
      <c r="O24944">
        <v>250407</v>
      </c>
      <c r="P24944">
        <v>-15.94</v>
      </c>
    </row>
    <row r="24945" spans="1:16" x14ac:dyDescent="0.25">
      <c r="A24945" t="s">
        <v>3296</v>
      </c>
      <c r="B24945" t="s">
        <v>2931</v>
      </c>
      <c r="C24945">
        <v>4188</v>
      </c>
      <c r="D24945" t="str">
        <f>"340676553   "</f>
        <v xml:space="preserve">340676553   </v>
      </c>
      <c r="E24945" t="s">
        <v>397</v>
      </c>
      <c r="F24945" t="s">
        <v>398</v>
      </c>
      <c r="G24945">
        <v>43.67</v>
      </c>
      <c r="H24945">
        <v>250317</v>
      </c>
      <c r="I24945">
        <v>4600</v>
      </c>
      <c r="J24945" t="s">
        <v>278</v>
      </c>
      <c r="K24945">
        <v>43.67</v>
      </c>
      <c r="L24945">
        <v>8.8699999999999992</v>
      </c>
      <c r="M24945">
        <v>56568</v>
      </c>
      <c r="N24945" t="s">
        <v>354</v>
      </c>
      <c r="O24945">
        <v>250409</v>
      </c>
      <c r="P24945">
        <v>34.799999999999997</v>
      </c>
    </row>
    <row r="24946" spans="1:16" x14ac:dyDescent="0.25">
      <c r="A24946" t="s">
        <v>3296</v>
      </c>
      <c r="B24946" t="s">
        <v>2931</v>
      </c>
      <c r="C24946">
        <v>4191</v>
      </c>
      <c r="D24946" t="str">
        <f>"340675049   "</f>
        <v xml:space="preserve">340675049   </v>
      </c>
      <c r="E24946" t="s">
        <v>397</v>
      </c>
      <c r="F24946" t="s">
        <v>398</v>
      </c>
      <c r="G24946">
        <v>50.56</v>
      </c>
      <c r="H24946">
        <v>250317</v>
      </c>
      <c r="I24946">
        <v>4600</v>
      </c>
      <c r="J24946" t="s">
        <v>278</v>
      </c>
      <c r="K24946">
        <v>50.56</v>
      </c>
      <c r="L24946">
        <v>10.27</v>
      </c>
      <c r="M24946">
        <v>56565</v>
      </c>
      <c r="N24946" t="s">
        <v>57</v>
      </c>
      <c r="O24946">
        <v>250409</v>
      </c>
      <c r="P24946">
        <v>40.29</v>
      </c>
    </row>
    <row r="24947" spans="1:16" x14ac:dyDescent="0.25">
      <c r="A24947" t="s">
        <v>3296</v>
      </c>
      <c r="B24947" t="s">
        <v>2931</v>
      </c>
      <c r="C24947">
        <v>4192</v>
      </c>
      <c r="D24947" t="str">
        <f>"340676571   "</f>
        <v xml:space="preserve">340676571   </v>
      </c>
      <c r="E24947" t="s">
        <v>397</v>
      </c>
      <c r="F24947" t="s">
        <v>398</v>
      </c>
      <c r="G24947">
        <v>60.41</v>
      </c>
      <c r="H24947">
        <v>250317</v>
      </c>
      <c r="I24947">
        <v>4600</v>
      </c>
      <c r="J24947" t="s">
        <v>278</v>
      </c>
      <c r="K24947">
        <v>60.41</v>
      </c>
      <c r="L24947">
        <v>12.27</v>
      </c>
      <c r="M24947">
        <v>56568</v>
      </c>
      <c r="N24947" t="s">
        <v>354</v>
      </c>
      <c r="O24947">
        <v>250409</v>
      </c>
      <c r="P24947">
        <v>48.14</v>
      </c>
    </row>
    <row r="24948" spans="1:16" x14ac:dyDescent="0.25">
      <c r="A24948" t="s">
        <v>3296</v>
      </c>
      <c r="B24948" t="s">
        <v>2931</v>
      </c>
      <c r="C24948">
        <v>4200</v>
      </c>
      <c r="D24948" t="str">
        <f>"340685150   "</f>
        <v xml:space="preserve">340685150   </v>
      </c>
      <c r="E24948" t="s">
        <v>397</v>
      </c>
      <c r="F24948" t="s">
        <v>398</v>
      </c>
      <c r="G24948">
        <v>-41.76</v>
      </c>
      <c r="H24948">
        <v>250407</v>
      </c>
      <c r="I24948">
        <v>4600</v>
      </c>
      <c r="J24948" t="s">
        <v>278</v>
      </c>
      <c r="K24948">
        <v>-41.76</v>
      </c>
      <c r="L24948">
        <v>-8.49</v>
      </c>
      <c r="M24948">
        <v>56568</v>
      </c>
      <c r="N24948" t="s">
        <v>354</v>
      </c>
      <c r="O24948">
        <v>250409</v>
      </c>
      <c r="P24948">
        <v>-33.270000000000003</v>
      </c>
    </row>
    <row r="24949" spans="1:16" x14ac:dyDescent="0.25">
      <c r="A24949" t="s">
        <v>3296</v>
      </c>
      <c r="B24949" t="s">
        <v>2931</v>
      </c>
      <c r="C24949">
        <v>4201</v>
      </c>
      <c r="D24949" t="str">
        <f>"340685206   "</f>
        <v xml:space="preserve">340685206   </v>
      </c>
      <c r="E24949" t="s">
        <v>397</v>
      </c>
      <c r="F24949" t="s">
        <v>398</v>
      </c>
      <c r="G24949">
        <v>-78</v>
      </c>
      <c r="H24949">
        <v>250407</v>
      </c>
      <c r="I24949">
        <v>4600</v>
      </c>
      <c r="J24949" t="s">
        <v>278</v>
      </c>
      <c r="K24949">
        <v>-78</v>
      </c>
      <c r="L24949">
        <v>-15.85</v>
      </c>
      <c r="M24949">
        <v>56568</v>
      </c>
      <c r="N24949" t="s">
        <v>354</v>
      </c>
      <c r="O24949">
        <v>250409</v>
      </c>
      <c r="P24949">
        <v>-62.15</v>
      </c>
    </row>
    <row r="24950" spans="1:16" x14ac:dyDescent="0.25">
      <c r="A24950" t="s">
        <v>3296</v>
      </c>
      <c r="B24950" t="s">
        <v>2931</v>
      </c>
      <c r="C24950">
        <v>4406</v>
      </c>
      <c r="D24950" t="str">
        <f>"340681819   "</f>
        <v xml:space="preserve">340681819   </v>
      </c>
      <c r="E24950" t="s">
        <v>397</v>
      </c>
      <c r="F24950" t="s">
        <v>398</v>
      </c>
      <c r="G24950">
        <v>41.12</v>
      </c>
      <c r="H24950">
        <v>250331</v>
      </c>
      <c r="I24950">
        <v>4600</v>
      </c>
      <c r="J24950" t="s">
        <v>278</v>
      </c>
      <c r="K24950">
        <v>41.12</v>
      </c>
      <c r="L24950">
        <v>8.36</v>
      </c>
      <c r="M24950">
        <v>56568</v>
      </c>
      <c r="N24950" t="s">
        <v>354</v>
      </c>
      <c r="O24950">
        <v>250411</v>
      </c>
      <c r="P24950">
        <v>32.76</v>
      </c>
    </row>
    <row r="24951" spans="1:16" x14ac:dyDescent="0.25">
      <c r="A24951" t="s">
        <v>3296</v>
      </c>
      <c r="B24951" t="s">
        <v>2931</v>
      </c>
      <c r="C24951">
        <v>4416</v>
      </c>
      <c r="D24951" t="str">
        <f>"340681586   "</f>
        <v xml:space="preserve">340681586   </v>
      </c>
      <c r="E24951" t="s">
        <v>397</v>
      </c>
      <c r="F24951" t="s">
        <v>398</v>
      </c>
      <c r="G24951">
        <v>-13.73</v>
      </c>
      <c r="H24951">
        <v>250331</v>
      </c>
      <c r="I24951">
        <v>4600</v>
      </c>
      <c r="J24951" t="s">
        <v>278</v>
      </c>
      <c r="K24951">
        <v>-13.73</v>
      </c>
      <c r="L24951">
        <v>-2.79</v>
      </c>
      <c r="M24951">
        <v>56568</v>
      </c>
      <c r="N24951" t="s">
        <v>354</v>
      </c>
      <c r="O24951">
        <v>250411</v>
      </c>
      <c r="P24951">
        <v>-10.94</v>
      </c>
    </row>
    <row r="24952" spans="1:16" x14ac:dyDescent="0.25">
      <c r="A24952" t="s">
        <v>3296</v>
      </c>
      <c r="B24952" t="s">
        <v>2931</v>
      </c>
      <c r="C24952">
        <v>4436</v>
      </c>
      <c r="D24952" t="str">
        <f>"340680935   "</f>
        <v xml:space="preserve">340680935   </v>
      </c>
      <c r="E24952" t="s">
        <v>397</v>
      </c>
      <c r="F24952" t="s">
        <v>398</v>
      </c>
      <c r="G24952">
        <v>147.04</v>
      </c>
      <c r="H24952">
        <v>250331</v>
      </c>
      <c r="I24952">
        <v>4600</v>
      </c>
      <c r="J24952" t="s">
        <v>278</v>
      </c>
      <c r="K24952">
        <v>147.04</v>
      </c>
      <c r="L24952">
        <v>29.88</v>
      </c>
      <c r="M24952">
        <v>56573</v>
      </c>
      <c r="N24952" t="s">
        <v>843</v>
      </c>
      <c r="O24952">
        <v>250411</v>
      </c>
      <c r="P24952">
        <v>117.16</v>
      </c>
    </row>
    <row r="24953" spans="1:16" x14ac:dyDescent="0.25">
      <c r="A24953" t="s">
        <v>3296</v>
      </c>
      <c r="B24953" t="s">
        <v>2931</v>
      </c>
      <c r="C24953">
        <v>4437</v>
      </c>
      <c r="D24953" t="str">
        <f>"340681776   "</f>
        <v xml:space="preserve">340681776   </v>
      </c>
      <c r="E24953" t="s">
        <v>397</v>
      </c>
      <c r="F24953" t="s">
        <v>398</v>
      </c>
      <c r="G24953">
        <v>91</v>
      </c>
      <c r="H24953">
        <v>250331</v>
      </c>
      <c r="I24953">
        <v>4600</v>
      </c>
      <c r="J24953" t="s">
        <v>278</v>
      </c>
      <c r="K24953">
        <v>91</v>
      </c>
      <c r="L24953">
        <v>18.489999999999998</v>
      </c>
      <c r="M24953">
        <v>56568</v>
      </c>
      <c r="N24953" t="s">
        <v>354</v>
      </c>
      <c r="O24953">
        <v>250411</v>
      </c>
      <c r="P24953">
        <v>72.510000000000005</v>
      </c>
    </row>
    <row r="24954" spans="1:16" x14ac:dyDescent="0.25">
      <c r="A24954" t="s">
        <v>3296</v>
      </c>
      <c r="B24954" t="s">
        <v>2931</v>
      </c>
      <c r="C24954">
        <v>4442</v>
      </c>
      <c r="D24954" t="str">
        <f>"340681775   "</f>
        <v xml:space="preserve">340681775   </v>
      </c>
      <c r="E24954" t="s">
        <v>397</v>
      </c>
      <c r="F24954" t="s">
        <v>398</v>
      </c>
      <c r="G24954">
        <v>174.43</v>
      </c>
      <c r="H24954">
        <v>250331</v>
      </c>
      <c r="I24954">
        <v>4600</v>
      </c>
      <c r="J24954" t="s">
        <v>278</v>
      </c>
      <c r="K24954">
        <v>174.43</v>
      </c>
      <c r="L24954">
        <v>35.44</v>
      </c>
      <c r="M24954">
        <v>56568</v>
      </c>
      <c r="N24954" t="s">
        <v>354</v>
      </c>
      <c r="O24954">
        <v>250411</v>
      </c>
      <c r="P24954">
        <v>138.99</v>
      </c>
    </row>
    <row r="24955" spans="1:16" x14ac:dyDescent="0.25">
      <c r="A24955" t="s">
        <v>3296</v>
      </c>
      <c r="B24955" t="s">
        <v>2931</v>
      </c>
      <c r="C24955">
        <v>4469</v>
      </c>
      <c r="D24955" t="str">
        <f>"340682804   "</f>
        <v xml:space="preserve">340682804   </v>
      </c>
      <c r="E24955" t="s">
        <v>397</v>
      </c>
      <c r="F24955" t="s">
        <v>398</v>
      </c>
      <c r="G24955">
        <v>-102.24</v>
      </c>
      <c r="H24955">
        <v>250331</v>
      </c>
      <c r="I24955">
        <v>4600</v>
      </c>
      <c r="J24955" t="s">
        <v>278</v>
      </c>
      <c r="K24955">
        <v>-102.24</v>
      </c>
      <c r="L24955">
        <v>-20.77</v>
      </c>
      <c r="M24955">
        <v>56568</v>
      </c>
      <c r="N24955" t="s">
        <v>354</v>
      </c>
      <c r="O24955">
        <v>250411</v>
      </c>
      <c r="P24955">
        <v>-81.47</v>
      </c>
    </row>
    <row r="24956" spans="1:16" x14ac:dyDescent="0.25">
      <c r="A24956" t="s">
        <v>3296</v>
      </c>
      <c r="B24956" t="s">
        <v>2931</v>
      </c>
      <c r="C24956">
        <v>4476</v>
      </c>
      <c r="D24956" t="str">
        <f>"340680934   "</f>
        <v xml:space="preserve">340680934   </v>
      </c>
      <c r="E24956" t="s">
        <v>397</v>
      </c>
      <c r="F24956" t="s">
        <v>398</v>
      </c>
      <c r="G24956">
        <v>174.64</v>
      </c>
      <c r="H24956">
        <v>250331</v>
      </c>
      <c r="I24956">
        <v>4600</v>
      </c>
      <c r="J24956" t="s">
        <v>278</v>
      </c>
      <c r="K24956">
        <v>174.64</v>
      </c>
      <c r="L24956">
        <v>35.479999999999997</v>
      </c>
      <c r="M24956">
        <v>56568</v>
      </c>
      <c r="N24956" t="s">
        <v>354</v>
      </c>
      <c r="O24956">
        <v>250411</v>
      </c>
      <c r="P24956">
        <v>139.16</v>
      </c>
    </row>
    <row r="24957" spans="1:16" x14ac:dyDescent="0.25">
      <c r="A24957" t="s">
        <v>3296</v>
      </c>
      <c r="B24957" t="s">
        <v>2931</v>
      </c>
      <c r="C24957">
        <v>4478</v>
      </c>
      <c r="D24957" t="str">
        <f>"340683365   "</f>
        <v xml:space="preserve">340683365   </v>
      </c>
      <c r="E24957" t="s">
        <v>397</v>
      </c>
      <c r="F24957" t="s">
        <v>398</v>
      </c>
      <c r="G24957">
        <v>57.43</v>
      </c>
      <c r="H24957">
        <v>250331</v>
      </c>
      <c r="I24957">
        <v>4600</v>
      </c>
      <c r="J24957" t="s">
        <v>278</v>
      </c>
      <c r="K24957">
        <v>57.43</v>
      </c>
      <c r="L24957">
        <v>11.67</v>
      </c>
      <c r="M24957">
        <v>56568</v>
      </c>
      <c r="N24957" t="s">
        <v>354</v>
      </c>
      <c r="O24957">
        <v>250411</v>
      </c>
      <c r="P24957">
        <v>45.76</v>
      </c>
    </row>
    <row r="24958" spans="1:16" x14ac:dyDescent="0.25">
      <c r="A24958" t="s">
        <v>3296</v>
      </c>
      <c r="B24958" t="s">
        <v>2931</v>
      </c>
      <c r="C24958">
        <v>5246</v>
      </c>
      <c r="D24958" t="str">
        <f>"340685314   "</f>
        <v xml:space="preserve">340685314   </v>
      </c>
      <c r="E24958" t="s">
        <v>397</v>
      </c>
      <c r="F24958" t="s">
        <v>398</v>
      </c>
      <c r="G24958">
        <v>18.86</v>
      </c>
      <c r="H24958">
        <v>250407</v>
      </c>
      <c r="I24958">
        <v>4600</v>
      </c>
      <c r="J24958" t="s">
        <v>278</v>
      </c>
      <c r="K24958">
        <v>18.86</v>
      </c>
      <c r="L24958">
        <v>3.83</v>
      </c>
      <c r="M24958">
        <v>56573</v>
      </c>
      <c r="N24958" t="s">
        <v>843</v>
      </c>
      <c r="O24958">
        <v>250423</v>
      </c>
      <c r="P24958">
        <v>15.03</v>
      </c>
    </row>
    <row r="24959" spans="1:16" x14ac:dyDescent="0.25">
      <c r="A24959" t="s">
        <v>3296</v>
      </c>
      <c r="B24959" t="s">
        <v>2931</v>
      </c>
      <c r="C24959">
        <v>5247</v>
      </c>
      <c r="D24959" t="str">
        <f>"340683983   "</f>
        <v xml:space="preserve">340683983   </v>
      </c>
      <c r="E24959" t="s">
        <v>397</v>
      </c>
      <c r="F24959" t="s">
        <v>398</v>
      </c>
      <c r="G24959">
        <v>108.01</v>
      </c>
      <c r="H24959">
        <v>250407</v>
      </c>
      <c r="I24959">
        <v>4600</v>
      </c>
      <c r="J24959" t="s">
        <v>278</v>
      </c>
      <c r="K24959">
        <v>108.01</v>
      </c>
      <c r="L24959">
        <v>21.95</v>
      </c>
      <c r="M24959">
        <v>56568</v>
      </c>
      <c r="N24959" t="s">
        <v>354</v>
      </c>
      <c r="O24959">
        <v>250423</v>
      </c>
      <c r="P24959">
        <v>86.06</v>
      </c>
    </row>
    <row r="24960" spans="1:16" x14ac:dyDescent="0.25">
      <c r="A24960" t="s">
        <v>3296</v>
      </c>
      <c r="B24960" t="s">
        <v>2931</v>
      </c>
      <c r="C24960">
        <v>5341</v>
      </c>
      <c r="D24960" t="str">
        <f>"340688823   "</f>
        <v xml:space="preserve">340688823   </v>
      </c>
      <c r="E24960" t="s">
        <v>397</v>
      </c>
      <c r="F24960" t="s">
        <v>398</v>
      </c>
      <c r="G24960">
        <v>13.17</v>
      </c>
      <c r="H24960">
        <v>250414</v>
      </c>
      <c r="I24960">
        <v>4600</v>
      </c>
      <c r="J24960" t="s">
        <v>278</v>
      </c>
      <c r="K24960">
        <v>13.17</v>
      </c>
      <c r="L24960">
        <v>2.68</v>
      </c>
      <c r="M24960">
        <v>56568</v>
      </c>
      <c r="N24960" t="s">
        <v>354</v>
      </c>
      <c r="O24960">
        <v>250423</v>
      </c>
      <c r="P24960">
        <v>10.49</v>
      </c>
    </row>
    <row r="24961" spans="1:16" x14ac:dyDescent="0.25">
      <c r="A24961" t="s">
        <v>3296</v>
      </c>
      <c r="B24961" t="s">
        <v>2931</v>
      </c>
      <c r="C24961">
        <v>5342</v>
      </c>
      <c r="D24961" t="str">
        <f>"340687319   "</f>
        <v xml:space="preserve">340687319   </v>
      </c>
      <c r="E24961" t="s">
        <v>397</v>
      </c>
      <c r="F24961" t="s">
        <v>398</v>
      </c>
      <c r="G24961">
        <v>-100.5</v>
      </c>
      <c r="H24961">
        <v>250414</v>
      </c>
      <c r="I24961">
        <v>4600</v>
      </c>
      <c r="J24961" t="s">
        <v>278</v>
      </c>
      <c r="K24961">
        <v>-100.5</v>
      </c>
      <c r="L24961">
        <v>-20.420000000000002</v>
      </c>
      <c r="M24961">
        <v>56568</v>
      </c>
      <c r="N24961" t="s">
        <v>354</v>
      </c>
      <c r="O24961">
        <v>250423</v>
      </c>
      <c r="P24961">
        <v>-80.08</v>
      </c>
    </row>
    <row r="24962" spans="1:16" x14ac:dyDescent="0.25">
      <c r="A24962" t="s">
        <v>3296</v>
      </c>
      <c r="B24962" t="s">
        <v>2931</v>
      </c>
      <c r="C24962">
        <v>5345</v>
      </c>
      <c r="D24962" t="str">
        <f>"340688819   "</f>
        <v xml:space="preserve">340688819   </v>
      </c>
      <c r="E24962" t="s">
        <v>397</v>
      </c>
      <c r="F24962" t="s">
        <v>398</v>
      </c>
      <c r="G24962">
        <v>138.09</v>
      </c>
      <c r="H24962">
        <v>250414</v>
      </c>
      <c r="I24962">
        <v>4600</v>
      </c>
      <c r="J24962" t="s">
        <v>278</v>
      </c>
      <c r="K24962">
        <v>138.09</v>
      </c>
      <c r="L24962">
        <v>28.06</v>
      </c>
      <c r="M24962">
        <v>56568</v>
      </c>
      <c r="N24962" t="s">
        <v>354</v>
      </c>
      <c r="O24962">
        <v>250423</v>
      </c>
      <c r="P24962">
        <v>110.03</v>
      </c>
    </row>
    <row r="24963" spans="1:16" x14ac:dyDescent="0.25">
      <c r="A24963" t="s">
        <v>3296</v>
      </c>
      <c r="B24963" t="s">
        <v>2931</v>
      </c>
      <c r="C24963">
        <v>5348</v>
      </c>
      <c r="D24963" t="str">
        <f>"340686498   "</f>
        <v xml:space="preserve">340686498   </v>
      </c>
      <c r="E24963" t="s">
        <v>397</v>
      </c>
      <c r="F24963" t="s">
        <v>398</v>
      </c>
      <c r="G24963">
        <v>117.33</v>
      </c>
      <c r="H24963">
        <v>250414</v>
      </c>
      <c r="I24963">
        <v>4600</v>
      </c>
      <c r="J24963" t="s">
        <v>278</v>
      </c>
      <c r="K24963">
        <v>117.33</v>
      </c>
      <c r="L24963">
        <v>23.84</v>
      </c>
      <c r="M24963">
        <v>56568</v>
      </c>
      <c r="N24963" t="s">
        <v>354</v>
      </c>
      <c r="O24963">
        <v>250423</v>
      </c>
      <c r="P24963">
        <v>93.49</v>
      </c>
    </row>
    <row r="24964" spans="1:16" x14ac:dyDescent="0.25">
      <c r="A24964" t="s">
        <v>3296</v>
      </c>
      <c r="B24964" t="s">
        <v>2931</v>
      </c>
      <c r="C24964">
        <v>5353</v>
      </c>
      <c r="D24964" t="str">
        <f>"340686599   "</f>
        <v xml:space="preserve">340686599   </v>
      </c>
      <c r="E24964" t="s">
        <v>397</v>
      </c>
      <c r="F24964" t="s">
        <v>398</v>
      </c>
      <c r="G24964">
        <v>47.18</v>
      </c>
      <c r="H24964">
        <v>250414</v>
      </c>
      <c r="I24964">
        <v>4600</v>
      </c>
      <c r="J24964" t="s">
        <v>278</v>
      </c>
      <c r="K24964">
        <v>47.18</v>
      </c>
      <c r="L24964">
        <v>9.59</v>
      </c>
      <c r="M24964">
        <v>56568</v>
      </c>
      <c r="N24964" t="s">
        <v>354</v>
      </c>
      <c r="O24964">
        <v>250423</v>
      </c>
      <c r="P24964">
        <v>37.590000000000003</v>
      </c>
    </row>
    <row r="24965" spans="1:16" x14ac:dyDescent="0.25">
      <c r="A24965" t="s">
        <v>3296</v>
      </c>
      <c r="B24965" t="s">
        <v>2931</v>
      </c>
      <c r="C24965">
        <v>5380</v>
      </c>
      <c r="D24965" t="str">
        <f>"340688801   "</f>
        <v xml:space="preserve">340688801   </v>
      </c>
      <c r="E24965" t="s">
        <v>397</v>
      </c>
      <c r="F24965" t="s">
        <v>398</v>
      </c>
      <c r="G24965">
        <v>82.94</v>
      </c>
      <c r="H24965">
        <v>250414</v>
      </c>
      <c r="I24965">
        <v>4600</v>
      </c>
      <c r="J24965" t="s">
        <v>278</v>
      </c>
      <c r="K24965">
        <v>82.94</v>
      </c>
      <c r="L24965">
        <v>16.850000000000001</v>
      </c>
      <c r="M24965">
        <v>56568</v>
      </c>
      <c r="N24965" t="s">
        <v>354</v>
      </c>
      <c r="O24965">
        <v>250424</v>
      </c>
      <c r="P24965">
        <v>66.09</v>
      </c>
    </row>
    <row r="24966" spans="1:16" x14ac:dyDescent="0.25">
      <c r="A24966" t="s">
        <v>3296</v>
      </c>
      <c r="B24966" t="s">
        <v>2931</v>
      </c>
      <c r="C24966">
        <v>5746</v>
      </c>
      <c r="D24966" t="str">
        <f>"340689280   "</f>
        <v xml:space="preserve">340689280   </v>
      </c>
      <c r="E24966" t="s">
        <v>397</v>
      </c>
      <c r="F24966" t="s">
        <v>398</v>
      </c>
      <c r="G24966">
        <v>21.81</v>
      </c>
      <c r="H24966">
        <v>250422</v>
      </c>
      <c r="I24966">
        <v>4600</v>
      </c>
      <c r="J24966" t="s">
        <v>278</v>
      </c>
      <c r="K24966">
        <v>21.81</v>
      </c>
      <c r="L24966">
        <v>4.43</v>
      </c>
      <c r="M24966">
        <v>56565</v>
      </c>
      <c r="N24966" t="s">
        <v>57</v>
      </c>
      <c r="O24966">
        <v>250430</v>
      </c>
      <c r="P24966">
        <v>17.38</v>
      </c>
    </row>
    <row r="24967" spans="1:16" x14ac:dyDescent="0.25">
      <c r="A24967" t="s">
        <v>3296</v>
      </c>
      <c r="B24967" t="s">
        <v>2931</v>
      </c>
      <c r="C24967">
        <v>5747</v>
      </c>
      <c r="D24967" t="str">
        <f>"340691490   "</f>
        <v xml:space="preserve">340691490   </v>
      </c>
      <c r="E24967" t="s">
        <v>397</v>
      </c>
      <c r="F24967" t="s">
        <v>398</v>
      </c>
      <c r="G24967">
        <v>268.79000000000002</v>
      </c>
      <c r="H24967">
        <v>250422</v>
      </c>
      <c r="I24967">
        <v>4600</v>
      </c>
      <c r="J24967" t="s">
        <v>278</v>
      </c>
      <c r="K24967">
        <v>268.79000000000002</v>
      </c>
      <c r="L24967">
        <v>54.61</v>
      </c>
      <c r="M24967">
        <v>56568</v>
      </c>
      <c r="N24967" t="s">
        <v>354</v>
      </c>
      <c r="O24967">
        <v>250430</v>
      </c>
      <c r="P24967">
        <v>214.18</v>
      </c>
    </row>
    <row r="24968" spans="1:16" x14ac:dyDescent="0.25">
      <c r="A24968" t="s">
        <v>3296</v>
      </c>
      <c r="B24968" t="s">
        <v>2931</v>
      </c>
      <c r="C24968">
        <v>5748</v>
      </c>
      <c r="D24968" t="str">
        <f>"340689544   "</f>
        <v xml:space="preserve">340689544   </v>
      </c>
      <c r="E24968" t="s">
        <v>397</v>
      </c>
      <c r="F24968" t="s">
        <v>398</v>
      </c>
      <c r="G24968">
        <v>17.190000000000001</v>
      </c>
      <c r="H24968">
        <v>250422</v>
      </c>
      <c r="I24968">
        <v>4600</v>
      </c>
      <c r="J24968" t="s">
        <v>278</v>
      </c>
      <c r="K24968">
        <v>17.190000000000001</v>
      </c>
      <c r="L24968">
        <v>3.49</v>
      </c>
      <c r="M24968">
        <v>56573</v>
      </c>
      <c r="N24968" t="s">
        <v>843</v>
      </c>
      <c r="O24968">
        <v>250430</v>
      </c>
      <c r="P24968">
        <v>13.7</v>
      </c>
    </row>
    <row r="24969" spans="1:16" x14ac:dyDescent="0.25">
      <c r="A24969" t="s">
        <v>3296</v>
      </c>
      <c r="B24969" t="s">
        <v>2931</v>
      </c>
      <c r="C24969">
        <v>5977</v>
      </c>
      <c r="D24969" t="str">
        <f>"340695002   "</f>
        <v xml:space="preserve">340695002   </v>
      </c>
      <c r="E24969" t="s">
        <v>397</v>
      </c>
      <c r="F24969" t="s">
        <v>398</v>
      </c>
      <c r="G24969">
        <v>44.79</v>
      </c>
      <c r="H24969">
        <v>250430</v>
      </c>
      <c r="I24969">
        <v>4600</v>
      </c>
      <c r="J24969" t="s">
        <v>278</v>
      </c>
      <c r="K24969">
        <v>44.79</v>
      </c>
      <c r="L24969">
        <v>9.1</v>
      </c>
      <c r="M24969">
        <v>56568</v>
      </c>
      <c r="N24969" t="s">
        <v>354</v>
      </c>
      <c r="O24969">
        <v>250507</v>
      </c>
      <c r="P24969">
        <v>35.69</v>
      </c>
    </row>
    <row r="24970" spans="1:16" x14ac:dyDescent="0.25">
      <c r="A24970" t="s">
        <v>3296</v>
      </c>
      <c r="B24970" t="s">
        <v>2931</v>
      </c>
      <c r="C24970">
        <v>5993</v>
      </c>
      <c r="D24970" t="str">
        <f>"340694184   "</f>
        <v xml:space="preserve">340694184   </v>
      </c>
      <c r="E24970" t="s">
        <v>397</v>
      </c>
      <c r="F24970" t="s">
        <v>398</v>
      </c>
      <c r="G24970">
        <v>53.17</v>
      </c>
      <c r="H24970">
        <v>250428</v>
      </c>
      <c r="I24970">
        <v>4600</v>
      </c>
      <c r="J24970" t="s">
        <v>278</v>
      </c>
      <c r="K24970">
        <v>53.17</v>
      </c>
      <c r="L24970">
        <v>10.8</v>
      </c>
      <c r="M24970">
        <v>56568</v>
      </c>
      <c r="N24970" t="s">
        <v>354</v>
      </c>
      <c r="O24970">
        <v>250508</v>
      </c>
      <c r="P24970">
        <v>42.37</v>
      </c>
    </row>
    <row r="24971" spans="1:16" x14ac:dyDescent="0.25">
      <c r="A24971" t="s">
        <v>3296</v>
      </c>
      <c r="B24971" t="s">
        <v>2931</v>
      </c>
      <c r="C24971">
        <v>5994</v>
      </c>
      <c r="D24971" t="str">
        <f>"340692792   "</f>
        <v xml:space="preserve">340692792   </v>
      </c>
      <c r="E24971" t="s">
        <v>397</v>
      </c>
      <c r="F24971" t="s">
        <v>398</v>
      </c>
      <c r="G24971">
        <v>-11.94</v>
      </c>
      <c r="H24971">
        <v>250428</v>
      </c>
      <c r="I24971">
        <v>4600</v>
      </c>
      <c r="J24971" t="s">
        <v>278</v>
      </c>
      <c r="K24971">
        <v>-11.94</v>
      </c>
      <c r="L24971">
        <v>-2.4300000000000002</v>
      </c>
      <c r="M24971">
        <v>56568</v>
      </c>
      <c r="N24971" t="s">
        <v>354</v>
      </c>
      <c r="O24971">
        <v>250508</v>
      </c>
      <c r="P24971">
        <v>-9.51</v>
      </c>
    </row>
    <row r="24972" spans="1:16" x14ac:dyDescent="0.25">
      <c r="A24972" t="s">
        <v>3296</v>
      </c>
      <c r="B24972" t="s">
        <v>2931</v>
      </c>
      <c r="C24972">
        <v>5995</v>
      </c>
      <c r="D24972" t="str">
        <f>"340694183   "</f>
        <v xml:space="preserve">340694183   </v>
      </c>
      <c r="E24972" t="s">
        <v>397</v>
      </c>
      <c r="F24972" t="s">
        <v>398</v>
      </c>
      <c r="G24972">
        <v>47.39</v>
      </c>
      <c r="H24972">
        <v>250428</v>
      </c>
      <c r="I24972">
        <v>4600</v>
      </c>
      <c r="J24972" t="s">
        <v>278</v>
      </c>
      <c r="K24972">
        <v>47.39</v>
      </c>
      <c r="L24972">
        <v>9.6300000000000008</v>
      </c>
      <c r="M24972">
        <v>56568</v>
      </c>
      <c r="N24972" t="s">
        <v>354</v>
      </c>
      <c r="O24972">
        <v>250508</v>
      </c>
      <c r="P24972">
        <v>37.76</v>
      </c>
    </row>
    <row r="24973" spans="1:16" x14ac:dyDescent="0.25">
      <c r="A24973" t="s">
        <v>3296</v>
      </c>
      <c r="B24973" t="s">
        <v>2931</v>
      </c>
      <c r="C24973">
        <v>5997</v>
      </c>
      <c r="D24973" t="str">
        <f>"340693791   "</f>
        <v xml:space="preserve">340693791   </v>
      </c>
      <c r="E24973" t="s">
        <v>397</v>
      </c>
      <c r="F24973" t="s">
        <v>398</v>
      </c>
      <c r="G24973">
        <v>62.41</v>
      </c>
      <c r="H24973">
        <v>250428</v>
      </c>
      <c r="I24973">
        <v>4600</v>
      </c>
      <c r="J24973" t="s">
        <v>278</v>
      </c>
      <c r="K24973">
        <v>62.41</v>
      </c>
      <c r="L24973">
        <v>12.68</v>
      </c>
      <c r="M24973">
        <v>56568</v>
      </c>
      <c r="N24973" t="s">
        <v>354</v>
      </c>
      <c r="O24973">
        <v>250508</v>
      </c>
      <c r="P24973">
        <v>49.73</v>
      </c>
    </row>
    <row r="24974" spans="1:16" x14ac:dyDescent="0.25">
      <c r="A24974" t="s">
        <v>3296</v>
      </c>
      <c r="B24974" t="s">
        <v>2931</v>
      </c>
      <c r="C24974">
        <v>5998</v>
      </c>
      <c r="D24974" t="str">
        <f>"340693242   "</f>
        <v xml:space="preserve">340693242   </v>
      </c>
      <c r="E24974" t="s">
        <v>397</v>
      </c>
      <c r="F24974" t="s">
        <v>398</v>
      </c>
      <c r="G24974">
        <v>104.51</v>
      </c>
      <c r="H24974">
        <v>250428</v>
      </c>
      <c r="I24974">
        <v>4600</v>
      </c>
      <c r="J24974" t="s">
        <v>278</v>
      </c>
      <c r="K24974">
        <v>104.51</v>
      </c>
      <c r="L24974">
        <v>21.24</v>
      </c>
      <c r="M24974">
        <v>56568</v>
      </c>
      <c r="N24974" t="s">
        <v>354</v>
      </c>
      <c r="O24974">
        <v>250508</v>
      </c>
      <c r="P24974">
        <v>83.27</v>
      </c>
    </row>
    <row r="24975" spans="1:16" x14ac:dyDescent="0.25">
      <c r="A24975" t="s">
        <v>3296</v>
      </c>
      <c r="B24975" t="s">
        <v>2931</v>
      </c>
      <c r="C24975">
        <v>5999</v>
      </c>
      <c r="D24975" t="str">
        <f>"340692346   "</f>
        <v xml:space="preserve">340692346   </v>
      </c>
      <c r="E24975" t="s">
        <v>397</v>
      </c>
      <c r="F24975" t="s">
        <v>398</v>
      </c>
      <c r="G24975">
        <v>138.77000000000001</v>
      </c>
      <c r="H24975">
        <v>250428</v>
      </c>
      <c r="I24975">
        <v>4600</v>
      </c>
      <c r="J24975" t="s">
        <v>278</v>
      </c>
      <c r="K24975">
        <v>138.77000000000001</v>
      </c>
      <c r="L24975">
        <v>28.2</v>
      </c>
      <c r="M24975">
        <v>56568</v>
      </c>
      <c r="N24975" t="s">
        <v>354</v>
      </c>
      <c r="O24975">
        <v>250508</v>
      </c>
      <c r="P24975">
        <v>110.57</v>
      </c>
    </row>
    <row r="24976" spans="1:16" x14ac:dyDescent="0.25">
      <c r="A24976" t="s">
        <v>3296</v>
      </c>
      <c r="B24976" t="s">
        <v>2931</v>
      </c>
      <c r="C24976">
        <v>6000</v>
      </c>
      <c r="D24976" t="str">
        <f>"340693771   "</f>
        <v xml:space="preserve">340693771   </v>
      </c>
      <c r="E24976" t="s">
        <v>397</v>
      </c>
      <c r="F24976" t="s">
        <v>398</v>
      </c>
      <c r="G24976">
        <v>245.38</v>
      </c>
      <c r="H24976">
        <v>250428</v>
      </c>
      <c r="I24976">
        <v>4600</v>
      </c>
      <c r="J24976" t="s">
        <v>278</v>
      </c>
      <c r="K24976">
        <v>245.38</v>
      </c>
      <c r="L24976">
        <v>49.86</v>
      </c>
      <c r="M24976">
        <v>56568</v>
      </c>
      <c r="N24976" t="s">
        <v>354</v>
      </c>
      <c r="O24976">
        <v>250508</v>
      </c>
      <c r="P24976">
        <v>195.52</v>
      </c>
    </row>
    <row r="24977" spans="1:16" x14ac:dyDescent="0.25">
      <c r="A24977" t="s">
        <v>3296</v>
      </c>
      <c r="B24977" t="s">
        <v>2931</v>
      </c>
      <c r="C24977">
        <v>6001</v>
      </c>
      <c r="D24977" t="str">
        <f>"340694192   "</f>
        <v xml:space="preserve">340694192   </v>
      </c>
      <c r="E24977" t="s">
        <v>397</v>
      </c>
      <c r="F24977" t="s">
        <v>398</v>
      </c>
      <c r="G24977">
        <v>94.35</v>
      </c>
      <c r="H24977">
        <v>250428</v>
      </c>
      <c r="I24977">
        <v>4600</v>
      </c>
      <c r="J24977" t="s">
        <v>278</v>
      </c>
      <c r="K24977">
        <v>94.35</v>
      </c>
      <c r="L24977">
        <v>19.170000000000002</v>
      </c>
      <c r="M24977">
        <v>56568</v>
      </c>
      <c r="N24977" t="s">
        <v>354</v>
      </c>
      <c r="O24977">
        <v>250508</v>
      </c>
      <c r="P24977">
        <v>75.180000000000007</v>
      </c>
    </row>
    <row r="24978" spans="1:16" x14ac:dyDescent="0.25">
      <c r="A24978" t="s">
        <v>3296</v>
      </c>
      <c r="B24978" t="s">
        <v>2931</v>
      </c>
      <c r="C24978">
        <v>6004</v>
      </c>
      <c r="D24978" t="str">
        <f>"340692786   "</f>
        <v xml:space="preserve">340692786   </v>
      </c>
      <c r="E24978" t="s">
        <v>397</v>
      </c>
      <c r="F24978" t="s">
        <v>398</v>
      </c>
      <c r="G24978">
        <v>-6.14</v>
      </c>
      <c r="H24978">
        <v>250428</v>
      </c>
      <c r="I24978">
        <v>4600</v>
      </c>
      <c r="J24978" t="s">
        <v>278</v>
      </c>
      <c r="K24978">
        <v>-6.14</v>
      </c>
      <c r="L24978">
        <v>-1.25</v>
      </c>
      <c r="M24978">
        <v>56568</v>
      </c>
      <c r="N24978" t="s">
        <v>354</v>
      </c>
      <c r="O24978">
        <v>250508</v>
      </c>
      <c r="P24978">
        <v>-4.8899999999999997</v>
      </c>
    </row>
    <row r="24979" spans="1:16" x14ac:dyDescent="0.25">
      <c r="A24979" t="s">
        <v>3296</v>
      </c>
      <c r="B24979" t="s">
        <v>2931</v>
      </c>
      <c r="C24979">
        <v>6006</v>
      </c>
      <c r="D24979" t="str">
        <f>"340693195   "</f>
        <v xml:space="preserve">340693195   </v>
      </c>
      <c r="E24979" t="s">
        <v>397</v>
      </c>
      <c r="F24979" t="s">
        <v>398</v>
      </c>
      <c r="G24979">
        <v>150.44999999999999</v>
      </c>
      <c r="H24979">
        <v>250428</v>
      </c>
      <c r="I24979">
        <v>4600</v>
      </c>
      <c r="J24979" t="s">
        <v>278</v>
      </c>
      <c r="K24979">
        <v>150.44999999999999</v>
      </c>
      <c r="L24979">
        <v>30.57</v>
      </c>
      <c r="M24979">
        <v>56568</v>
      </c>
      <c r="N24979" t="s">
        <v>354</v>
      </c>
      <c r="O24979">
        <v>250508</v>
      </c>
      <c r="P24979">
        <v>119.88</v>
      </c>
    </row>
    <row r="24980" spans="1:16" x14ac:dyDescent="0.25">
      <c r="A24980" t="s">
        <v>3296</v>
      </c>
      <c r="B24980" t="s">
        <v>2931</v>
      </c>
      <c r="C24980">
        <v>6008</v>
      </c>
      <c r="D24980" t="str">
        <f>"340693789   "</f>
        <v xml:space="preserve">340693789   </v>
      </c>
      <c r="E24980" t="s">
        <v>397</v>
      </c>
      <c r="F24980" t="s">
        <v>398</v>
      </c>
      <c r="G24980">
        <v>41.95</v>
      </c>
      <c r="H24980">
        <v>250428</v>
      </c>
      <c r="I24980">
        <v>4600</v>
      </c>
      <c r="J24980" t="s">
        <v>278</v>
      </c>
      <c r="K24980">
        <v>41.95</v>
      </c>
      <c r="L24980">
        <v>8.52</v>
      </c>
      <c r="M24980">
        <v>56568</v>
      </c>
      <c r="N24980" t="s">
        <v>354</v>
      </c>
      <c r="O24980">
        <v>250508</v>
      </c>
      <c r="P24980">
        <v>33.43</v>
      </c>
    </row>
    <row r="24981" spans="1:16" x14ac:dyDescent="0.25">
      <c r="A24981" t="s">
        <v>3296</v>
      </c>
      <c r="B24981" t="s">
        <v>2931</v>
      </c>
      <c r="C24981">
        <v>6033</v>
      </c>
      <c r="D24981" t="str">
        <f>"340695939   "</f>
        <v xml:space="preserve">340695939   </v>
      </c>
      <c r="E24981" t="s">
        <v>397</v>
      </c>
      <c r="F24981" t="s">
        <v>398</v>
      </c>
      <c r="G24981">
        <v>259.17</v>
      </c>
      <c r="H24981">
        <v>250430</v>
      </c>
      <c r="I24981">
        <v>4600</v>
      </c>
      <c r="J24981" t="s">
        <v>278</v>
      </c>
      <c r="K24981">
        <v>259.17</v>
      </c>
      <c r="L24981">
        <v>52.66</v>
      </c>
      <c r="M24981">
        <v>56568</v>
      </c>
      <c r="N24981" t="s">
        <v>354</v>
      </c>
      <c r="O24981">
        <v>250508</v>
      </c>
      <c r="P24981">
        <v>206.51</v>
      </c>
    </row>
    <row r="24982" spans="1:16" x14ac:dyDescent="0.25">
      <c r="A24982" t="s">
        <v>3296</v>
      </c>
      <c r="B24982" t="s">
        <v>2931</v>
      </c>
      <c r="C24982">
        <v>6036</v>
      </c>
      <c r="D24982" t="str">
        <f>"340695915   "</f>
        <v xml:space="preserve">340695915   </v>
      </c>
      <c r="E24982" t="s">
        <v>397</v>
      </c>
      <c r="F24982" t="s">
        <v>398</v>
      </c>
      <c r="G24982">
        <v>21.24</v>
      </c>
      <c r="H24982">
        <v>250430</v>
      </c>
      <c r="I24982">
        <v>4600</v>
      </c>
      <c r="J24982" t="s">
        <v>278</v>
      </c>
      <c r="K24982">
        <v>21.24</v>
      </c>
      <c r="L24982">
        <v>4.32</v>
      </c>
      <c r="M24982">
        <v>56568</v>
      </c>
      <c r="N24982" t="s">
        <v>354</v>
      </c>
      <c r="O24982">
        <v>250508</v>
      </c>
      <c r="P24982">
        <v>16.920000000000002</v>
      </c>
    </row>
    <row r="24983" spans="1:16" x14ac:dyDescent="0.25">
      <c r="A24983" t="s">
        <v>3296</v>
      </c>
      <c r="B24983" t="s">
        <v>2931</v>
      </c>
      <c r="C24983">
        <v>6074</v>
      </c>
      <c r="D24983" t="str">
        <f>"340695001   "</f>
        <v xml:space="preserve">340695001   </v>
      </c>
      <c r="E24983" t="s">
        <v>397</v>
      </c>
      <c r="F24983" t="s">
        <v>398</v>
      </c>
      <c r="G24983">
        <v>245.47</v>
      </c>
      <c r="H24983">
        <v>250430</v>
      </c>
      <c r="I24983">
        <v>4600</v>
      </c>
      <c r="J24983" t="s">
        <v>278</v>
      </c>
      <c r="K24983">
        <v>245.47</v>
      </c>
      <c r="L24983">
        <v>49.88</v>
      </c>
      <c r="M24983">
        <v>56568</v>
      </c>
      <c r="N24983" t="s">
        <v>354</v>
      </c>
      <c r="O24983">
        <v>250508</v>
      </c>
      <c r="P24983">
        <v>195.59</v>
      </c>
    </row>
    <row r="24984" spans="1:16" x14ac:dyDescent="0.25">
      <c r="A24984" t="s">
        <v>3296</v>
      </c>
      <c r="B24984" t="s">
        <v>2931</v>
      </c>
      <c r="C24984">
        <v>6080</v>
      </c>
      <c r="D24984" t="str">
        <f>"340695916   "</f>
        <v xml:space="preserve">340695916   </v>
      </c>
      <c r="E24984" t="s">
        <v>397</v>
      </c>
      <c r="F24984" t="s">
        <v>398</v>
      </c>
      <c r="G24984">
        <v>37.380000000000003</v>
      </c>
      <c r="H24984">
        <v>250430</v>
      </c>
      <c r="I24984">
        <v>4600</v>
      </c>
      <c r="J24984" t="s">
        <v>278</v>
      </c>
      <c r="K24984">
        <v>37.380000000000003</v>
      </c>
      <c r="L24984">
        <v>7.6</v>
      </c>
      <c r="M24984">
        <v>56568</v>
      </c>
      <c r="N24984" t="s">
        <v>354</v>
      </c>
      <c r="O24984">
        <v>250508</v>
      </c>
      <c r="P24984">
        <v>29.78</v>
      </c>
    </row>
    <row r="24985" spans="1:16" x14ac:dyDescent="0.25">
      <c r="A24985" t="s">
        <v>3296</v>
      </c>
      <c r="B24985" t="s">
        <v>2931</v>
      </c>
      <c r="C24985">
        <v>6770</v>
      </c>
      <c r="D24985" t="str">
        <f>"340698721   "</f>
        <v xml:space="preserve">340698721   </v>
      </c>
      <c r="E24985" t="s">
        <v>397</v>
      </c>
      <c r="F24985" t="s">
        <v>398</v>
      </c>
      <c r="G24985">
        <v>164.57</v>
      </c>
      <c r="H24985">
        <v>250512</v>
      </c>
      <c r="I24985">
        <v>4600</v>
      </c>
      <c r="J24985" t="s">
        <v>278</v>
      </c>
      <c r="K24985">
        <v>164.57</v>
      </c>
      <c r="L24985">
        <v>33.44</v>
      </c>
      <c r="M24985">
        <v>56568</v>
      </c>
      <c r="N24985" t="s">
        <v>354</v>
      </c>
      <c r="O24985">
        <v>250516</v>
      </c>
      <c r="P24985">
        <v>131.13</v>
      </c>
    </row>
    <row r="24986" spans="1:16" x14ac:dyDescent="0.25">
      <c r="A24986" t="s">
        <v>3296</v>
      </c>
      <c r="B24986" t="s">
        <v>2931</v>
      </c>
      <c r="C24986">
        <v>6771</v>
      </c>
      <c r="D24986" t="str">
        <f>"340699497   "</f>
        <v xml:space="preserve">340699497   </v>
      </c>
      <c r="E24986" t="s">
        <v>397</v>
      </c>
      <c r="F24986" t="s">
        <v>398</v>
      </c>
      <c r="G24986">
        <v>14.75</v>
      </c>
      <c r="H24986">
        <v>250512</v>
      </c>
      <c r="I24986">
        <v>4600</v>
      </c>
      <c r="J24986" t="s">
        <v>278</v>
      </c>
      <c r="K24986">
        <v>14.75</v>
      </c>
      <c r="L24986">
        <v>3</v>
      </c>
      <c r="M24986">
        <v>56568</v>
      </c>
      <c r="N24986" t="s">
        <v>354</v>
      </c>
      <c r="O24986">
        <v>250516</v>
      </c>
      <c r="P24986">
        <v>11.75</v>
      </c>
    </row>
    <row r="24987" spans="1:16" x14ac:dyDescent="0.25">
      <c r="A24987" t="s">
        <v>3296</v>
      </c>
      <c r="B24987" t="s">
        <v>2931</v>
      </c>
      <c r="C24987">
        <v>6774</v>
      </c>
      <c r="D24987" t="str">
        <f>"340699511   "</f>
        <v xml:space="preserve">340699511   </v>
      </c>
      <c r="E24987" t="s">
        <v>397</v>
      </c>
      <c r="F24987" t="s">
        <v>398</v>
      </c>
      <c r="G24987">
        <v>28.25</v>
      </c>
      <c r="H24987">
        <v>250512</v>
      </c>
      <c r="I24987">
        <v>4600</v>
      </c>
      <c r="J24987" t="s">
        <v>278</v>
      </c>
      <c r="K24987">
        <v>28.25</v>
      </c>
      <c r="L24987">
        <v>5.74</v>
      </c>
      <c r="M24987">
        <v>56568</v>
      </c>
      <c r="N24987" t="s">
        <v>354</v>
      </c>
      <c r="O24987">
        <v>250516</v>
      </c>
      <c r="P24987">
        <v>22.51</v>
      </c>
    </row>
    <row r="24988" spans="1:16" x14ac:dyDescent="0.25">
      <c r="A24988" t="s">
        <v>3296</v>
      </c>
      <c r="B24988" t="s">
        <v>2931</v>
      </c>
      <c r="C24988">
        <v>6776</v>
      </c>
      <c r="D24988" t="str">
        <f>"340698719   "</f>
        <v xml:space="preserve">340698719   </v>
      </c>
      <c r="E24988" t="s">
        <v>397</v>
      </c>
      <c r="F24988" t="s">
        <v>398</v>
      </c>
      <c r="G24988">
        <v>21.28</v>
      </c>
      <c r="H24988">
        <v>250512</v>
      </c>
      <c r="I24988">
        <v>4600</v>
      </c>
      <c r="J24988" t="s">
        <v>278</v>
      </c>
      <c r="K24988">
        <v>80.569999999999993</v>
      </c>
      <c r="L24988">
        <v>4.32</v>
      </c>
      <c r="M24988">
        <v>56565</v>
      </c>
      <c r="N24988" t="s">
        <v>57</v>
      </c>
      <c r="O24988">
        <v>250516</v>
      </c>
      <c r="P24988">
        <v>16.96</v>
      </c>
    </row>
    <row r="24989" spans="1:16" x14ac:dyDescent="0.25">
      <c r="A24989" t="s">
        <v>3296</v>
      </c>
      <c r="B24989" t="s">
        <v>2931</v>
      </c>
      <c r="C24989">
        <v>6776</v>
      </c>
      <c r="D24989" t="str">
        <f>"340698719   "</f>
        <v xml:space="preserve">340698719   </v>
      </c>
      <c r="E24989" t="s">
        <v>397</v>
      </c>
      <c r="F24989" t="s">
        <v>398</v>
      </c>
      <c r="G24989">
        <v>59.29</v>
      </c>
      <c r="H24989">
        <v>250512</v>
      </c>
      <c r="I24989">
        <v>4600</v>
      </c>
      <c r="J24989" t="s">
        <v>278</v>
      </c>
      <c r="K24989">
        <v>80.569999999999993</v>
      </c>
      <c r="L24989">
        <v>12.05</v>
      </c>
      <c r="M24989">
        <v>56573</v>
      </c>
      <c r="N24989" t="s">
        <v>843</v>
      </c>
      <c r="O24989">
        <v>250516</v>
      </c>
      <c r="P24989">
        <v>47.24</v>
      </c>
    </row>
    <row r="24990" spans="1:16" x14ac:dyDescent="0.25">
      <c r="A24990" t="s">
        <v>3296</v>
      </c>
      <c r="B24990" t="s">
        <v>2931</v>
      </c>
      <c r="C24990">
        <v>6778</v>
      </c>
      <c r="D24990" t="str">
        <f>"340698941   "</f>
        <v xml:space="preserve">340698941   </v>
      </c>
      <c r="E24990" t="s">
        <v>397</v>
      </c>
      <c r="F24990" t="s">
        <v>398</v>
      </c>
      <c r="G24990">
        <v>20.73</v>
      </c>
      <c r="H24990">
        <v>250512</v>
      </c>
      <c r="I24990">
        <v>4600</v>
      </c>
      <c r="J24990" t="s">
        <v>278</v>
      </c>
      <c r="K24990">
        <v>20.73</v>
      </c>
      <c r="L24990">
        <v>4.21</v>
      </c>
      <c r="M24990">
        <v>56568</v>
      </c>
      <c r="N24990" t="s">
        <v>354</v>
      </c>
      <c r="O24990">
        <v>250516</v>
      </c>
      <c r="P24990">
        <v>16.52</v>
      </c>
    </row>
    <row r="24991" spans="1:16" x14ac:dyDescent="0.25">
      <c r="A24991" t="s">
        <v>3296</v>
      </c>
      <c r="B24991" t="s">
        <v>2931</v>
      </c>
      <c r="C24991">
        <v>6780</v>
      </c>
      <c r="D24991" t="str">
        <f>"340699823   "</f>
        <v xml:space="preserve">340699823   </v>
      </c>
      <c r="E24991" t="s">
        <v>397</v>
      </c>
      <c r="F24991" t="s">
        <v>398</v>
      </c>
      <c r="G24991">
        <v>98.19</v>
      </c>
      <c r="H24991">
        <v>250512</v>
      </c>
      <c r="I24991">
        <v>4600</v>
      </c>
      <c r="J24991" t="s">
        <v>278</v>
      </c>
      <c r="K24991">
        <v>98.19</v>
      </c>
      <c r="L24991">
        <v>19.95</v>
      </c>
      <c r="M24991">
        <v>56568</v>
      </c>
      <c r="N24991" t="s">
        <v>354</v>
      </c>
      <c r="O24991">
        <v>250516</v>
      </c>
      <c r="P24991">
        <v>78.239999999999995</v>
      </c>
    </row>
    <row r="24992" spans="1:16" x14ac:dyDescent="0.25">
      <c r="A24992" t="s">
        <v>3296</v>
      </c>
      <c r="B24992" t="s">
        <v>2931</v>
      </c>
      <c r="C24992">
        <v>6781</v>
      </c>
      <c r="D24992" t="str">
        <f>"340699138   "</f>
        <v xml:space="preserve">340699138   </v>
      </c>
      <c r="E24992" t="s">
        <v>397</v>
      </c>
      <c r="F24992" t="s">
        <v>398</v>
      </c>
      <c r="G24992">
        <v>66.98</v>
      </c>
      <c r="H24992">
        <v>250512</v>
      </c>
      <c r="I24992">
        <v>4600</v>
      </c>
      <c r="J24992" t="s">
        <v>278</v>
      </c>
      <c r="K24992">
        <v>66.98</v>
      </c>
      <c r="L24992">
        <v>13.61</v>
      </c>
      <c r="M24992">
        <v>56568</v>
      </c>
      <c r="N24992" t="s">
        <v>354</v>
      </c>
      <c r="O24992">
        <v>250516</v>
      </c>
      <c r="P24992">
        <v>53.37</v>
      </c>
    </row>
    <row r="24993" spans="1:16" x14ac:dyDescent="0.25">
      <c r="A24993" t="s">
        <v>3296</v>
      </c>
      <c r="B24993" t="s">
        <v>2931</v>
      </c>
      <c r="C24993">
        <v>6783</v>
      </c>
      <c r="D24993" t="str">
        <f>"340698720   "</f>
        <v xml:space="preserve">340698720   </v>
      </c>
      <c r="E24993" t="s">
        <v>397</v>
      </c>
      <c r="F24993" t="s">
        <v>398</v>
      </c>
      <c r="G24993">
        <v>21.24</v>
      </c>
      <c r="H24993">
        <v>250512</v>
      </c>
      <c r="I24993">
        <v>4600</v>
      </c>
      <c r="J24993" t="s">
        <v>278</v>
      </c>
      <c r="K24993">
        <v>21.24</v>
      </c>
      <c r="L24993">
        <v>4.32</v>
      </c>
      <c r="M24993">
        <v>56568</v>
      </c>
      <c r="N24993" t="s">
        <v>354</v>
      </c>
      <c r="O24993">
        <v>250516</v>
      </c>
      <c r="P24993">
        <v>16.920000000000002</v>
      </c>
    </row>
    <row r="24994" spans="1:16" x14ac:dyDescent="0.25">
      <c r="A24994" t="s">
        <v>3296</v>
      </c>
      <c r="B24994" t="s">
        <v>2931</v>
      </c>
      <c r="C24994">
        <v>6786</v>
      </c>
      <c r="D24994" t="str">
        <f>"340699139   "</f>
        <v xml:space="preserve">340699139   </v>
      </c>
      <c r="E24994" t="s">
        <v>397</v>
      </c>
      <c r="F24994" t="s">
        <v>398</v>
      </c>
      <c r="G24994">
        <v>39.17</v>
      </c>
      <c r="H24994">
        <v>250512</v>
      </c>
      <c r="I24994">
        <v>4600</v>
      </c>
      <c r="J24994" t="s">
        <v>278</v>
      </c>
      <c r="K24994">
        <v>39.17</v>
      </c>
      <c r="L24994">
        <v>7.96</v>
      </c>
      <c r="M24994">
        <v>56568</v>
      </c>
      <c r="N24994" t="s">
        <v>354</v>
      </c>
      <c r="O24994">
        <v>250516</v>
      </c>
      <c r="P24994">
        <v>31.21</v>
      </c>
    </row>
    <row r="24995" spans="1:16" x14ac:dyDescent="0.25">
      <c r="A24995" t="s">
        <v>3296</v>
      </c>
      <c r="B24995" t="s">
        <v>2931</v>
      </c>
      <c r="C24995">
        <v>6788</v>
      </c>
      <c r="D24995" t="str">
        <f>"340699470   "</f>
        <v xml:space="preserve">340699470   </v>
      </c>
      <c r="E24995" t="s">
        <v>397</v>
      </c>
      <c r="F24995" t="s">
        <v>398</v>
      </c>
      <c r="G24995">
        <v>106.73</v>
      </c>
      <c r="H24995">
        <v>250512</v>
      </c>
      <c r="I24995">
        <v>4600</v>
      </c>
      <c r="J24995" t="s">
        <v>278</v>
      </c>
      <c r="K24995">
        <v>106.73</v>
      </c>
      <c r="L24995">
        <v>21.69</v>
      </c>
      <c r="M24995">
        <v>56568</v>
      </c>
      <c r="N24995" t="s">
        <v>354</v>
      </c>
      <c r="O24995">
        <v>250516</v>
      </c>
      <c r="P24995">
        <v>85.04</v>
      </c>
    </row>
    <row r="24996" spans="1:16" x14ac:dyDescent="0.25">
      <c r="A24996" t="s">
        <v>3296</v>
      </c>
      <c r="B24996" t="s">
        <v>2931</v>
      </c>
      <c r="C24996">
        <v>6791</v>
      </c>
      <c r="D24996" t="str">
        <f>"340699512   "</f>
        <v xml:space="preserve">340699512   </v>
      </c>
      <c r="E24996" t="s">
        <v>397</v>
      </c>
      <c r="F24996" t="s">
        <v>398</v>
      </c>
      <c r="G24996">
        <v>33.5</v>
      </c>
      <c r="H24996">
        <v>250512</v>
      </c>
      <c r="I24996">
        <v>4600</v>
      </c>
      <c r="J24996" t="s">
        <v>278</v>
      </c>
      <c r="K24996">
        <v>33.5</v>
      </c>
      <c r="L24996">
        <v>6.81</v>
      </c>
      <c r="M24996">
        <v>56568</v>
      </c>
      <c r="N24996" t="s">
        <v>354</v>
      </c>
      <c r="O24996">
        <v>250516</v>
      </c>
      <c r="P24996">
        <v>26.69</v>
      </c>
    </row>
    <row r="24997" spans="1:16" x14ac:dyDescent="0.25">
      <c r="A24997" t="s">
        <v>3296</v>
      </c>
      <c r="B24997" t="s">
        <v>2931</v>
      </c>
      <c r="C24997">
        <v>6792</v>
      </c>
      <c r="D24997" t="str">
        <f>"340699802   "</f>
        <v xml:space="preserve">340699802   </v>
      </c>
      <c r="E24997" t="s">
        <v>397</v>
      </c>
      <c r="F24997" t="s">
        <v>398</v>
      </c>
      <c r="G24997">
        <v>62.72</v>
      </c>
      <c r="H24997">
        <v>250512</v>
      </c>
      <c r="I24997">
        <v>4600</v>
      </c>
      <c r="J24997" t="s">
        <v>278</v>
      </c>
      <c r="K24997">
        <v>62.72</v>
      </c>
      <c r="L24997">
        <v>12.74</v>
      </c>
      <c r="M24997">
        <v>56573</v>
      </c>
      <c r="N24997" t="s">
        <v>843</v>
      </c>
      <c r="O24997">
        <v>250516</v>
      </c>
      <c r="P24997">
        <v>49.98</v>
      </c>
    </row>
    <row r="24998" spans="1:16" x14ac:dyDescent="0.25">
      <c r="A24998" t="s">
        <v>3296</v>
      </c>
      <c r="B24998" t="s">
        <v>2931</v>
      </c>
      <c r="C24998">
        <v>7016</v>
      </c>
      <c r="D24998" t="str">
        <f>"340702447   "</f>
        <v xml:space="preserve">340702447   </v>
      </c>
      <c r="E24998" t="s">
        <v>397</v>
      </c>
      <c r="F24998" t="s">
        <v>398</v>
      </c>
      <c r="G24998">
        <v>35.979999999999997</v>
      </c>
      <c r="H24998">
        <v>250519</v>
      </c>
      <c r="I24998">
        <v>4600</v>
      </c>
      <c r="J24998" t="s">
        <v>278</v>
      </c>
      <c r="K24998">
        <v>35.979999999999997</v>
      </c>
      <c r="L24998">
        <v>7.31</v>
      </c>
      <c r="M24998">
        <v>56568</v>
      </c>
      <c r="N24998" t="s">
        <v>354</v>
      </c>
      <c r="O24998">
        <v>250521</v>
      </c>
      <c r="P24998">
        <v>28.67</v>
      </c>
    </row>
    <row r="24999" spans="1:16" x14ac:dyDescent="0.25">
      <c r="A24999" t="s">
        <v>3296</v>
      </c>
      <c r="B24999" t="s">
        <v>2931</v>
      </c>
      <c r="C24999">
        <v>7017</v>
      </c>
      <c r="D24999" t="str">
        <f>"340702813   "</f>
        <v xml:space="preserve">340702813   </v>
      </c>
      <c r="E24999" t="s">
        <v>397</v>
      </c>
      <c r="F24999" t="s">
        <v>398</v>
      </c>
      <c r="G24999">
        <v>22.8</v>
      </c>
      <c r="H24999">
        <v>250519</v>
      </c>
      <c r="I24999">
        <v>4600</v>
      </c>
      <c r="J24999" t="s">
        <v>278</v>
      </c>
      <c r="K24999">
        <v>22.8</v>
      </c>
      <c r="L24999">
        <v>4.63</v>
      </c>
      <c r="M24999">
        <v>56568</v>
      </c>
      <c r="N24999" t="s">
        <v>354</v>
      </c>
      <c r="O24999">
        <v>250521</v>
      </c>
      <c r="P24999">
        <v>18.170000000000002</v>
      </c>
    </row>
    <row r="25000" spans="1:16" x14ac:dyDescent="0.25">
      <c r="A25000" t="s">
        <v>3296</v>
      </c>
      <c r="B25000" t="s">
        <v>2931</v>
      </c>
      <c r="C25000">
        <v>7018</v>
      </c>
      <c r="D25000" t="str">
        <f>"340701983   "</f>
        <v xml:space="preserve">340701983   </v>
      </c>
      <c r="E25000" t="s">
        <v>397</v>
      </c>
      <c r="F25000" t="s">
        <v>398</v>
      </c>
      <c r="G25000">
        <v>198.12</v>
      </c>
      <c r="H25000">
        <v>250519</v>
      </c>
      <c r="I25000">
        <v>4600</v>
      </c>
      <c r="J25000" t="s">
        <v>278</v>
      </c>
      <c r="K25000">
        <v>198.12</v>
      </c>
      <c r="L25000">
        <v>40.26</v>
      </c>
      <c r="M25000">
        <v>56568</v>
      </c>
      <c r="N25000" t="s">
        <v>354</v>
      </c>
      <c r="O25000">
        <v>250521</v>
      </c>
      <c r="P25000">
        <v>157.86000000000001</v>
      </c>
    </row>
    <row r="25001" spans="1:16" x14ac:dyDescent="0.25">
      <c r="A25001" t="s">
        <v>3296</v>
      </c>
      <c r="B25001" t="s">
        <v>2931</v>
      </c>
      <c r="C25001">
        <v>7019</v>
      </c>
      <c r="D25001" t="str">
        <f>"340702450   "</f>
        <v xml:space="preserve">340702450   </v>
      </c>
      <c r="E25001" t="s">
        <v>397</v>
      </c>
      <c r="F25001" t="s">
        <v>398</v>
      </c>
      <c r="G25001">
        <v>100.32</v>
      </c>
      <c r="H25001">
        <v>250519</v>
      </c>
      <c r="I25001">
        <v>4600</v>
      </c>
      <c r="J25001" t="s">
        <v>278</v>
      </c>
      <c r="K25001">
        <v>100.32</v>
      </c>
      <c r="L25001">
        <v>20.38</v>
      </c>
      <c r="M25001">
        <v>56568</v>
      </c>
      <c r="N25001" t="s">
        <v>354</v>
      </c>
      <c r="O25001">
        <v>250521</v>
      </c>
      <c r="P25001">
        <v>79.94</v>
      </c>
    </row>
    <row r="25002" spans="1:16" x14ac:dyDescent="0.25">
      <c r="A25002" t="s">
        <v>3296</v>
      </c>
      <c r="B25002" t="s">
        <v>2931</v>
      </c>
      <c r="C25002">
        <v>7020</v>
      </c>
      <c r="D25002" t="str">
        <f>"340701453   "</f>
        <v xml:space="preserve">340701453   </v>
      </c>
      <c r="E25002" t="s">
        <v>397</v>
      </c>
      <c r="F25002" t="s">
        <v>398</v>
      </c>
      <c r="G25002">
        <v>30.44</v>
      </c>
      <c r="H25002">
        <v>250519</v>
      </c>
      <c r="I25002">
        <v>4600</v>
      </c>
      <c r="J25002" t="s">
        <v>278</v>
      </c>
      <c r="K25002">
        <v>30.44</v>
      </c>
      <c r="L25002">
        <v>6.19</v>
      </c>
      <c r="M25002">
        <v>56568</v>
      </c>
      <c r="N25002" t="s">
        <v>354</v>
      </c>
      <c r="O25002">
        <v>250521</v>
      </c>
      <c r="P25002">
        <v>24.25</v>
      </c>
    </row>
    <row r="25003" spans="1:16" x14ac:dyDescent="0.25">
      <c r="A25003" t="s">
        <v>3296</v>
      </c>
      <c r="B25003" t="s">
        <v>2931</v>
      </c>
      <c r="C25003">
        <v>7021</v>
      </c>
      <c r="D25003" t="str">
        <f>"340702814   "</f>
        <v xml:space="preserve">340702814   </v>
      </c>
      <c r="E25003" t="s">
        <v>397</v>
      </c>
      <c r="F25003" t="s">
        <v>398</v>
      </c>
      <c r="G25003">
        <v>31.38</v>
      </c>
      <c r="H25003">
        <v>250519</v>
      </c>
      <c r="I25003">
        <v>4600</v>
      </c>
      <c r="J25003" t="s">
        <v>278</v>
      </c>
      <c r="K25003">
        <v>31.38</v>
      </c>
      <c r="L25003">
        <v>6.38</v>
      </c>
      <c r="M25003">
        <v>56568</v>
      </c>
      <c r="N25003" t="s">
        <v>354</v>
      </c>
      <c r="O25003">
        <v>250521</v>
      </c>
      <c r="P25003">
        <v>25</v>
      </c>
    </row>
    <row r="25004" spans="1:16" x14ac:dyDescent="0.25">
      <c r="A25004" t="s">
        <v>3296</v>
      </c>
      <c r="B25004" t="s">
        <v>2931</v>
      </c>
      <c r="C25004">
        <v>7347</v>
      </c>
      <c r="D25004" t="str">
        <f>"340704529   "</f>
        <v xml:space="preserve">340704529   </v>
      </c>
      <c r="E25004" t="s">
        <v>397</v>
      </c>
      <c r="F25004" t="s">
        <v>398</v>
      </c>
      <c r="G25004">
        <v>-13.73</v>
      </c>
      <c r="H25004">
        <v>250526</v>
      </c>
      <c r="I25004">
        <v>4600</v>
      </c>
      <c r="J25004" t="s">
        <v>278</v>
      </c>
      <c r="K25004">
        <v>-13.73</v>
      </c>
      <c r="L25004">
        <v>-2.79</v>
      </c>
      <c r="M25004">
        <v>56568</v>
      </c>
      <c r="N25004" t="s">
        <v>354</v>
      </c>
      <c r="O25004">
        <v>250603</v>
      </c>
      <c r="P25004">
        <v>-10.94</v>
      </c>
    </row>
    <row r="25005" spans="1:16" x14ac:dyDescent="0.25">
      <c r="A25005" t="s">
        <v>3296</v>
      </c>
      <c r="B25005" t="s">
        <v>2931</v>
      </c>
      <c r="C25005">
        <v>7413</v>
      </c>
      <c r="D25005" t="str">
        <f>"340705539   "</f>
        <v xml:space="preserve">340705539   </v>
      </c>
      <c r="E25005" t="s">
        <v>397</v>
      </c>
      <c r="F25005" t="s">
        <v>398</v>
      </c>
      <c r="G25005">
        <v>-5</v>
      </c>
      <c r="H25005">
        <v>250526</v>
      </c>
      <c r="I25005">
        <v>4600</v>
      </c>
      <c r="J25005" t="s">
        <v>278</v>
      </c>
      <c r="K25005">
        <v>-5</v>
      </c>
      <c r="L25005">
        <v>-1.02</v>
      </c>
      <c r="M25005">
        <v>56568</v>
      </c>
      <c r="N25005" t="s">
        <v>354</v>
      </c>
      <c r="O25005">
        <v>250603</v>
      </c>
      <c r="P25005">
        <v>-3.98</v>
      </c>
    </row>
    <row r="25006" spans="1:16" x14ac:dyDescent="0.25">
      <c r="A25006" t="s">
        <v>3296</v>
      </c>
      <c r="B25006" t="s">
        <v>2931</v>
      </c>
      <c r="C25006">
        <v>7414</v>
      </c>
      <c r="D25006" t="str">
        <f>"340706031   "</f>
        <v xml:space="preserve">340706031   </v>
      </c>
      <c r="E25006" t="s">
        <v>397</v>
      </c>
      <c r="F25006" t="s">
        <v>398</v>
      </c>
      <c r="G25006">
        <v>-47.58</v>
      </c>
      <c r="H25006">
        <v>250526</v>
      </c>
      <c r="I25006">
        <v>4600</v>
      </c>
      <c r="J25006" t="s">
        <v>278</v>
      </c>
      <c r="K25006">
        <v>-47.58</v>
      </c>
      <c r="L25006">
        <v>-9.67</v>
      </c>
      <c r="M25006">
        <v>56568</v>
      </c>
      <c r="N25006" t="s">
        <v>354</v>
      </c>
      <c r="O25006">
        <v>250603</v>
      </c>
      <c r="P25006">
        <v>-37.909999999999997</v>
      </c>
    </row>
    <row r="25007" spans="1:16" x14ac:dyDescent="0.25">
      <c r="A25007" t="s">
        <v>3296</v>
      </c>
      <c r="B25007" t="s">
        <v>2931</v>
      </c>
      <c r="C25007">
        <v>7415</v>
      </c>
      <c r="D25007" t="str">
        <f>"340704525   "</f>
        <v xml:space="preserve">340704525   </v>
      </c>
      <c r="E25007" t="s">
        <v>397</v>
      </c>
      <c r="F25007" t="s">
        <v>398</v>
      </c>
      <c r="G25007">
        <v>-100.86</v>
      </c>
      <c r="H25007">
        <v>250526</v>
      </c>
      <c r="I25007">
        <v>4600</v>
      </c>
      <c r="J25007" t="s">
        <v>278</v>
      </c>
      <c r="K25007">
        <v>-100.86</v>
      </c>
      <c r="L25007">
        <v>-20.49</v>
      </c>
      <c r="M25007">
        <v>56568</v>
      </c>
      <c r="N25007" t="s">
        <v>354</v>
      </c>
      <c r="O25007">
        <v>250603</v>
      </c>
      <c r="P25007">
        <v>-80.37</v>
      </c>
    </row>
    <row r="25008" spans="1:16" x14ac:dyDescent="0.25">
      <c r="A25008" t="s">
        <v>3296</v>
      </c>
      <c r="B25008" t="s">
        <v>2931</v>
      </c>
      <c r="C25008">
        <v>7517</v>
      </c>
      <c r="D25008" t="str">
        <f>"340705510   "</f>
        <v xml:space="preserve">340705510   </v>
      </c>
      <c r="E25008" t="s">
        <v>397</v>
      </c>
      <c r="F25008" t="s">
        <v>398</v>
      </c>
      <c r="G25008">
        <v>102.67</v>
      </c>
      <c r="H25008">
        <v>250526</v>
      </c>
      <c r="I25008">
        <v>4600</v>
      </c>
      <c r="J25008" t="s">
        <v>278</v>
      </c>
      <c r="K25008">
        <v>102.67</v>
      </c>
      <c r="L25008">
        <v>20.86</v>
      </c>
      <c r="M25008">
        <v>56568</v>
      </c>
      <c r="N25008" t="s">
        <v>354</v>
      </c>
      <c r="O25008">
        <v>250604</v>
      </c>
      <c r="P25008">
        <v>81.81</v>
      </c>
    </row>
    <row r="25009" spans="1:16" x14ac:dyDescent="0.25">
      <c r="A25009" t="s">
        <v>3296</v>
      </c>
      <c r="B25009" t="s">
        <v>2931</v>
      </c>
      <c r="C25009">
        <v>7540</v>
      </c>
      <c r="D25009" t="str">
        <f>"340705477   "</f>
        <v xml:space="preserve">340705477   </v>
      </c>
      <c r="E25009" t="s">
        <v>397</v>
      </c>
      <c r="F25009" t="s">
        <v>398</v>
      </c>
      <c r="G25009">
        <v>92.41</v>
      </c>
      <c r="H25009">
        <v>250526</v>
      </c>
      <c r="I25009">
        <v>4600</v>
      </c>
      <c r="J25009" t="s">
        <v>278</v>
      </c>
      <c r="K25009">
        <v>92.41</v>
      </c>
      <c r="L25009">
        <v>18.78</v>
      </c>
      <c r="M25009">
        <v>56568</v>
      </c>
      <c r="N25009" t="s">
        <v>354</v>
      </c>
      <c r="O25009">
        <v>250604</v>
      </c>
      <c r="P25009">
        <v>73.63</v>
      </c>
    </row>
    <row r="25010" spans="1:16" x14ac:dyDescent="0.25">
      <c r="A25010" t="s">
        <v>3296</v>
      </c>
      <c r="B25010" t="s">
        <v>2931</v>
      </c>
      <c r="C25010">
        <v>7549</v>
      </c>
      <c r="D25010" t="str">
        <f>"340703552   "</f>
        <v xml:space="preserve">340703552   </v>
      </c>
      <c r="E25010" t="s">
        <v>397</v>
      </c>
      <c r="F25010" t="s">
        <v>398</v>
      </c>
      <c r="G25010">
        <v>37.19</v>
      </c>
      <c r="H25010">
        <v>250526</v>
      </c>
      <c r="I25010">
        <v>4600</v>
      </c>
      <c r="J25010" t="s">
        <v>278</v>
      </c>
      <c r="K25010">
        <v>37.19</v>
      </c>
      <c r="L25010">
        <v>7.56</v>
      </c>
      <c r="M25010">
        <v>56568</v>
      </c>
      <c r="N25010" t="s">
        <v>354</v>
      </c>
      <c r="O25010">
        <v>250604</v>
      </c>
      <c r="P25010">
        <v>29.63</v>
      </c>
    </row>
    <row r="25011" spans="1:16" x14ac:dyDescent="0.25">
      <c r="A25011" t="s">
        <v>3296</v>
      </c>
      <c r="B25011" t="s">
        <v>2931</v>
      </c>
      <c r="C25011">
        <v>7563</v>
      </c>
      <c r="D25011" t="str">
        <f>"340705835   "</f>
        <v xml:space="preserve">340705835   </v>
      </c>
      <c r="E25011" t="s">
        <v>397</v>
      </c>
      <c r="F25011" t="s">
        <v>398</v>
      </c>
      <c r="G25011">
        <v>164.52</v>
      </c>
      <c r="H25011">
        <v>250526</v>
      </c>
      <c r="I25011">
        <v>4600</v>
      </c>
      <c r="J25011" t="s">
        <v>278</v>
      </c>
      <c r="K25011">
        <v>164.52</v>
      </c>
      <c r="L25011">
        <v>33.43</v>
      </c>
      <c r="M25011">
        <v>56568</v>
      </c>
      <c r="N25011" t="s">
        <v>354</v>
      </c>
      <c r="O25011">
        <v>250604</v>
      </c>
      <c r="P25011">
        <v>131.09</v>
      </c>
    </row>
    <row r="25012" spans="1:16" x14ac:dyDescent="0.25">
      <c r="A25012" t="s">
        <v>3296</v>
      </c>
      <c r="B25012" t="s">
        <v>2931</v>
      </c>
      <c r="C25012">
        <v>7958</v>
      </c>
      <c r="D25012" t="str">
        <f>"340706592   "</f>
        <v xml:space="preserve">340706592   </v>
      </c>
      <c r="E25012" t="s">
        <v>397</v>
      </c>
      <c r="F25012" t="s">
        <v>398</v>
      </c>
      <c r="G25012">
        <v>25.8</v>
      </c>
      <c r="H25012">
        <v>250531</v>
      </c>
      <c r="I25012">
        <v>4600</v>
      </c>
      <c r="J25012" t="s">
        <v>278</v>
      </c>
      <c r="K25012">
        <v>25.8</v>
      </c>
      <c r="L25012">
        <v>5.24</v>
      </c>
      <c r="M25012">
        <v>56568</v>
      </c>
      <c r="N25012" t="s">
        <v>354</v>
      </c>
      <c r="O25012">
        <v>250610</v>
      </c>
      <c r="P25012">
        <v>20.56</v>
      </c>
    </row>
    <row r="25013" spans="1:16" x14ac:dyDescent="0.25">
      <c r="A25013" t="s">
        <v>3296</v>
      </c>
      <c r="B25013" t="s">
        <v>2931</v>
      </c>
      <c r="C25013">
        <v>8521</v>
      </c>
      <c r="D25013" t="str">
        <f>"340711423   "</f>
        <v xml:space="preserve">340711423   </v>
      </c>
      <c r="E25013" t="s">
        <v>397</v>
      </c>
      <c r="F25013" t="s">
        <v>398</v>
      </c>
      <c r="G25013">
        <v>350.53</v>
      </c>
      <c r="H25013">
        <v>250609</v>
      </c>
      <c r="I25013">
        <v>4600</v>
      </c>
      <c r="J25013" t="s">
        <v>278</v>
      </c>
      <c r="K25013">
        <v>350.53</v>
      </c>
      <c r="L25013">
        <v>71.22</v>
      </c>
      <c r="M25013">
        <v>56568</v>
      </c>
      <c r="N25013" t="s">
        <v>354</v>
      </c>
      <c r="O25013">
        <v>250617</v>
      </c>
      <c r="P25013">
        <v>279.31</v>
      </c>
    </row>
    <row r="25014" spans="1:16" x14ac:dyDescent="0.25">
      <c r="A25014" t="s">
        <v>3296</v>
      </c>
      <c r="B25014" t="s">
        <v>2931</v>
      </c>
      <c r="C25014">
        <v>10332</v>
      </c>
      <c r="D25014" t="str">
        <f>"340715269   "</f>
        <v xml:space="preserve">340715269   </v>
      </c>
      <c r="E25014" t="s">
        <v>397</v>
      </c>
      <c r="F25014" t="s">
        <v>398</v>
      </c>
      <c r="G25014">
        <v>-25.74</v>
      </c>
      <c r="H25014">
        <v>250701</v>
      </c>
      <c r="I25014">
        <v>4600</v>
      </c>
      <c r="J25014" t="s">
        <v>278</v>
      </c>
      <c r="K25014">
        <v>-25.74</v>
      </c>
      <c r="L25014">
        <v>-5.23</v>
      </c>
      <c r="M25014">
        <v>56568</v>
      </c>
      <c r="N25014" t="s">
        <v>354</v>
      </c>
      <c r="O25014">
        <v>250818</v>
      </c>
      <c r="P25014">
        <v>-20.51</v>
      </c>
    </row>
    <row r="25015" spans="1:16" x14ac:dyDescent="0.25">
      <c r="A25015" t="s">
        <v>3296</v>
      </c>
      <c r="B25015" t="s">
        <v>2931</v>
      </c>
      <c r="C25015">
        <v>10333</v>
      </c>
      <c r="D25015" t="str">
        <f>"340715289   "</f>
        <v xml:space="preserve">340715289   </v>
      </c>
      <c r="E25015" t="s">
        <v>397</v>
      </c>
      <c r="F25015" t="s">
        <v>398</v>
      </c>
      <c r="G25015">
        <v>-33.770000000000003</v>
      </c>
      <c r="H25015">
        <v>250701</v>
      </c>
      <c r="I25015">
        <v>4600</v>
      </c>
      <c r="J25015" t="s">
        <v>278</v>
      </c>
      <c r="K25015">
        <v>-33.770000000000003</v>
      </c>
      <c r="L25015">
        <v>-6.86</v>
      </c>
      <c r="M25015">
        <v>56568</v>
      </c>
      <c r="N25015" t="s">
        <v>354</v>
      </c>
      <c r="O25015">
        <v>250818</v>
      </c>
      <c r="P25015">
        <v>-26.91</v>
      </c>
    </row>
    <row r="25016" spans="1:16" x14ac:dyDescent="0.25">
      <c r="A25016" t="s">
        <v>3296</v>
      </c>
      <c r="B25016" t="s">
        <v>2931</v>
      </c>
      <c r="C25016">
        <v>10334</v>
      </c>
      <c r="D25016" t="str">
        <f>"340715267   "</f>
        <v xml:space="preserve">340715267   </v>
      </c>
      <c r="E25016" t="s">
        <v>397</v>
      </c>
      <c r="F25016" t="s">
        <v>398</v>
      </c>
      <c r="G25016">
        <v>-41.82</v>
      </c>
      <c r="H25016">
        <v>250701</v>
      </c>
      <c r="I25016">
        <v>4600</v>
      </c>
      <c r="J25016" t="s">
        <v>278</v>
      </c>
      <c r="K25016">
        <v>-41.82</v>
      </c>
      <c r="L25016">
        <v>-8.5</v>
      </c>
      <c r="M25016">
        <v>56568</v>
      </c>
      <c r="N25016" t="s">
        <v>354</v>
      </c>
      <c r="O25016">
        <v>250818</v>
      </c>
      <c r="P25016">
        <v>-33.32</v>
      </c>
    </row>
    <row r="25017" spans="1:16" x14ac:dyDescent="0.25">
      <c r="A25017" t="s">
        <v>3296</v>
      </c>
      <c r="B25017" t="s">
        <v>2931</v>
      </c>
      <c r="C25017">
        <v>10337</v>
      </c>
      <c r="D25017" t="str">
        <f>"340734846   "</f>
        <v xml:space="preserve">340734846   </v>
      </c>
      <c r="E25017" t="s">
        <v>397</v>
      </c>
      <c r="F25017" t="s">
        <v>398</v>
      </c>
      <c r="G25017">
        <v>-57.42</v>
      </c>
      <c r="H25017">
        <v>250811</v>
      </c>
      <c r="I25017">
        <v>4600</v>
      </c>
      <c r="J25017" t="s">
        <v>278</v>
      </c>
      <c r="K25017">
        <v>-57.42</v>
      </c>
      <c r="L25017">
        <v>-11.67</v>
      </c>
      <c r="M25017">
        <v>56568</v>
      </c>
      <c r="N25017" t="s">
        <v>354</v>
      </c>
      <c r="O25017">
        <v>250818</v>
      </c>
      <c r="P25017">
        <v>-45.75</v>
      </c>
    </row>
    <row r="25018" spans="1:16" x14ac:dyDescent="0.25">
      <c r="A25018" t="s">
        <v>3296</v>
      </c>
      <c r="B25018" t="s">
        <v>2931</v>
      </c>
      <c r="C25018">
        <v>10426</v>
      </c>
      <c r="D25018" t="str">
        <f>"340734689   "</f>
        <v xml:space="preserve">340734689   </v>
      </c>
      <c r="E25018" t="s">
        <v>397</v>
      </c>
      <c r="F25018" t="s">
        <v>398</v>
      </c>
      <c r="G25018">
        <v>25.84</v>
      </c>
      <c r="H25018">
        <v>250811</v>
      </c>
      <c r="I25018">
        <v>4600</v>
      </c>
      <c r="J25018" t="s">
        <v>278</v>
      </c>
      <c r="K25018">
        <v>25.84</v>
      </c>
      <c r="L25018">
        <v>5.25</v>
      </c>
      <c r="M25018">
        <v>56568</v>
      </c>
      <c r="N25018" t="s">
        <v>354</v>
      </c>
      <c r="O25018">
        <v>250819</v>
      </c>
      <c r="P25018">
        <v>20.59</v>
      </c>
    </row>
    <row r="25019" spans="1:16" x14ac:dyDescent="0.25">
      <c r="A25019" t="s">
        <v>3296</v>
      </c>
      <c r="B25019" t="s">
        <v>2931</v>
      </c>
      <c r="C25019">
        <v>10553</v>
      </c>
      <c r="D25019" t="str">
        <f>"340737609   "</f>
        <v xml:space="preserve">340737609   </v>
      </c>
      <c r="E25019" t="s">
        <v>397</v>
      </c>
      <c r="F25019" t="s">
        <v>398</v>
      </c>
      <c r="G25019">
        <v>-50</v>
      </c>
      <c r="H25019">
        <v>250818</v>
      </c>
      <c r="I25019">
        <v>4600</v>
      </c>
      <c r="J25019" t="s">
        <v>278</v>
      </c>
      <c r="K25019">
        <v>-50</v>
      </c>
      <c r="L25019">
        <v>-10.16</v>
      </c>
      <c r="M25019">
        <v>56568</v>
      </c>
      <c r="N25019" t="s">
        <v>354</v>
      </c>
      <c r="O25019">
        <v>250820</v>
      </c>
      <c r="P25019">
        <v>-39.840000000000003</v>
      </c>
    </row>
    <row r="25020" spans="1:16" x14ac:dyDescent="0.25">
      <c r="A25020" t="s">
        <v>3296</v>
      </c>
      <c r="B25020" t="s">
        <v>2931</v>
      </c>
      <c r="C25020">
        <v>10558</v>
      </c>
      <c r="D25020" t="str">
        <f>"340737035   "</f>
        <v xml:space="preserve">340737035   </v>
      </c>
      <c r="E25020" t="s">
        <v>397</v>
      </c>
      <c r="F25020" t="s">
        <v>398</v>
      </c>
      <c r="G25020">
        <v>163.18</v>
      </c>
      <c r="H25020">
        <v>250818</v>
      </c>
      <c r="I25020">
        <v>4600</v>
      </c>
      <c r="J25020" t="s">
        <v>278</v>
      </c>
      <c r="K25020">
        <v>163.18</v>
      </c>
      <c r="L25020">
        <v>33.159999999999997</v>
      </c>
      <c r="M25020">
        <v>56568</v>
      </c>
      <c r="N25020" t="s">
        <v>354</v>
      </c>
      <c r="O25020">
        <v>250820</v>
      </c>
      <c r="P25020">
        <v>130.02000000000001</v>
      </c>
    </row>
    <row r="25021" spans="1:16" x14ac:dyDescent="0.25">
      <c r="A25021" t="s">
        <v>3296</v>
      </c>
      <c r="B25021" t="s">
        <v>2931</v>
      </c>
      <c r="C25021">
        <v>10563</v>
      </c>
      <c r="D25021" t="str">
        <f>"340737402   "</f>
        <v xml:space="preserve">340737402   </v>
      </c>
      <c r="E25021" t="s">
        <v>397</v>
      </c>
      <c r="F25021" t="s">
        <v>398</v>
      </c>
      <c r="G25021">
        <v>22.19</v>
      </c>
      <c r="H25021">
        <v>250818</v>
      </c>
      <c r="I25021">
        <v>4600</v>
      </c>
      <c r="J25021" t="s">
        <v>278</v>
      </c>
      <c r="K25021">
        <v>22.19</v>
      </c>
      <c r="L25021">
        <v>4.51</v>
      </c>
      <c r="M25021">
        <v>56568</v>
      </c>
      <c r="N25021" t="s">
        <v>354</v>
      </c>
      <c r="O25021">
        <v>250820</v>
      </c>
      <c r="P25021">
        <v>17.68</v>
      </c>
    </row>
    <row r="25022" spans="1:16" x14ac:dyDescent="0.25">
      <c r="A25022" t="s">
        <v>3296</v>
      </c>
      <c r="B25022" t="s">
        <v>2931</v>
      </c>
      <c r="C25022">
        <v>10564</v>
      </c>
      <c r="D25022" t="str">
        <f>"340737611   "</f>
        <v xml:space="preserve">340737611   </v>
      </c>
      <c r="E25022" t="s">
        <v>397</v>
      </c>
      <c r="F25022" t="s">
        <v>398</v>
      </c>
      <c r="G25022">
        <v>-20</v>
      </c>
      <c r="H25022">
        <v>250818</v>
      </c>
      <c r="I25022">
        <v>4600</v>
      </c>
      <c r="J25022" t="s">
        <v>278</v>
      </c>
      <c r="K25022">
        <v>-20</v>
      </c>
      <c r="L25022">
        <v>-4.0599999999999996</v>
      </c>
      <c r="M25022">
        <v>56568</v>
      </c>
      <c r="N25022" t="s">
        <v>354</v>
      </c>
      <c r="O25022">
        <v>250820</v>
      </c>
      <c r="P25022">
        <v>-15.94</v>
      </c>
    </row>
    <row r="25023" spans="1:16" x14ac:dyDescent="0.25">
      <c r="A25023" t="s">
        <v>3296</v>
      </c>
      <c r="B25023" t="s">
        <v>2931</v>
      </c>
      <c r="C25023">
        <v>10568</v>
      </c>
      <c r="D25023" t="str">
        <f>"340737450   "</f>
        <v xml:space="preserve">340737450   </v>
      </c>
      <c r="E25023" t="s">
        <v>397</v>
      </c>
      <c r="F25023" t="s">
        <v>398</v>
      </c>
      <c r="G25023">
        <v>98.39</v>
      </c>
      <c r="H25023">
        <v>250818</v>
      </c>
      <c r="I25023">
        <v>4600</v>
      </c>
      <c r="J25023" t="s">
        <v>278</v>
      </c>
      <c r="K25023">
        <v>98.39</v>
      </c>
      <c r="L25023">
        <v>19.989999999999998</v>
      </c>
      <c r="M25023">
        <v>56568</v>
      </c>
      <c r="N25023" t="s">
        <v>354</v>
      </c>
      <c r="O25023">
        <v>250820</v>
      </c>
      <c r="P25023">
        <v>78.400000000000006</v>
      </c>
    </row>
    <row r="25024" spans="1:16" x14ac:dyDescent="0.25">
      <c r="A25024" t="s">
        <v>3296</v>
      </c>
      <c r="B25024" t="s">
        <v>2931</v>
      </c>
      <c r="C25024">
        <v>10569</v>
      </c>
      <c r="D25024" t="str">
        <f>"340737786   "</f>
        <v xml:space="preserve">340737786   </v>
      </c>
      <c r="E25024" t="s">
        <v>397</v>
      </c>
      <c r="F25024" t="s">
        <v>398</v>
      </c>
      <c r="G25024">
        <v>486.51</v>
      </c>
      <c r="H25024">
        <v>250818</v>
      </c>
      <c r="I25024">
        <v>4600</v>
      </c>
      <c r="J25024" t="s">
        <v>278</v>
      </c>
      <c r="K25024">
        <v>486.51</v>
      </c>
      <c r="L25024">
        <v>98.85</v>
      </c>
      <c r="M25024">
        <v>56568</v>
      </c>
      <c r="N25024" t="s">
        <v>354</v>
      </c>
      <c r="O25024">
        <v>250820</v>
      </c>
      <c r="P25024">
        <v>387.66</v>
      </c>
    </row>
    <row r="25025" spans="1:16" x14ac:dyDescent="0.25">
      <c r="A25025" t="s">
        <v>3296</v>
      </c>
      <c r="B25025" t="s">
        <v>2931</v>
      </c>
      <c r="C25025">
        <v>10592</v>
      </c>
      <c r="D25025" t="str">
        <f>"340736500   "</f>
        <v xml:space="preserve">340736500   </v>
      </c>
      <c r="E25025" t="s">
        <v>397</v>
      </c>
      <c r="F25025" t="s">
        <v>398</v>
      </c>
      <c r="G25025">
        <v>328.51</v>
      </c>
      <c r="H25025">
        <v>250818</v>
      </c>
      <c r="I25025">
        <v>4600</v>
      </c>
      <c r="J25025" t="s">
        <v>278</v>
      </c>
      <c r="K25025">
        <v>328.51</v>
      </c>
      <c r="L25025">
        <v>66.75</v>
      </c>
      <c r="M25025">
        <v>56568</v>
      </c>
      <c r="N25025" t="s">
        <v>354</v>
      </c>
      <c r="O25025">
        <v>250820</v>
      </c>
      <c r="P25025">
        <v>261.76</v>
      </c>
    </row>
    <row r="25026" spans="1:16" x14ac:dyDescent="0.25">
      <c r="A25026" t="s">
        <v>3296</v>
      </c>
      <c r="B25026" t="s">
        <v>2931</v>
      </c>
      <c r="C25026">
        <v>10594</v>
      </c>
      <c r="D25026" t="str">
        <f>"340736499   "</f>
        <v xml:space="preserve">340736499   </v>
      </c>
      <c r="E25026" t="s">
        <v>397</v>
      </c>
      <c r="F25026" t="s">
        <v>398</v>
      </c>
      <c r="G25026">
        <v>102.41</v>
      </c>
      <c r="H25026">
        <v>250818</v>
      </c>
      <c r="I25026">
        <v>4600</v>
      </c>
      <c r="J25026" t="s">
        <v>278</v>
      </c>
      <c r="K25026">
        <v>102.41</v>
      </c>
      <c r="L25026">
        <v>20.81</v>
      </c>
      <c r="M25026">
        <v>56568</v>
      </c>
      <c r="N25026" t="s">
        <v>354</v>
      </c>
      <c r="O25026">
        <v>250820</v>
      </c>
      <c r="P25026">
        <v>81.599999999999994</v>
      </c>
    </row>
    <row r="25027" spans="1:16" x14ac:dyDescent="0.25">
      <c r="A25027" t="s">
        <v>3296</v>
      </c>
      <c r="B25027" t="s">
        <v>2931</v>
      </c>
      <c r="C25027">
        <v>11020</v>
      </c>
      <c r="D25027" t="str">
        <f>"340739091   "</f>
        <v xml:space="preserve">340739091   </v>
      </c>
      <c r="E25027" t="s">
        <v>397</v>
      </c>
      <c r="F25027" t="s">
        <v>398</v>
      </c>
      <c r="G25027">
        <v>-66.599999999999994</v>
      </c>
      <c r="H25027">
        <v>250825</v>
      </c>
      <c r="I25027">
        <v>4600</v>
      </c>
      <c r="J25027" t="s">
        <v>278</v>
      </c>
      <c r="K25027">
        <v>-66.599999999999994</v>
      </c>
      <c r="L25027">
        <v>-13.53</v>
      </c>
      <c r="M25027">
        <v>56568</v>
      </c>
      <c r="N25027" t="s">
        <v>354</v>
      </c>
      <c r="O25027">
        <v>250829</v>
      </c>
      <c r="P25027">
        <v>-53.07</v>
      </c>
    </row>
    <row r="25028" spans="1:16" x14ac:dyDescent="0.25">
      <c r="A25028" t="s">
        <v>3296</v>
      </c>
      <c r="B25028" t="s">
        <v>2931</v>
      </c>
      <c r="C25028">
        <v>11021</v>
      </c>
      <c r="D25028" t="str">
        <f>"340739388   "</f>
        <v xml:space="preserve">340739388   </v>
      </c>
      <c r="E25028" t="s">
        <v>397</v>
      </c>
      <c r="F25028" t="s">
        <v>398</v>
      </c>
      <c r="G25028">
        <v>37.72</v>
      </c>
      <c r="H25028">
        <v>250825</v>
      </c>
      <c r="I25028">
        <v>4600</v>
      </c>
      <c r="J25028" t="s">
        <v>278</v>
      </c>
      <c r="K25028">
        <v>37.72</v>
      </c>
      <c r="L25028">
        <v>7.66</v>
      </c>
      <c r="M25028">
        <v>56568</v>
      </c>
      <c r="N25028" t="s">
        <v>354</v>
      </c>
      <c r="O25028">
        <v>250829</v>
      </c>
      <c r="P25028">
        <v>30.06</v>
      </c>
    </row>
    <row r="25029" spans="1:16" x14ac:dyDescent="0.25">
      <c r="A25029" t="s">
        <v>3296</v>
      </c>
      <c r="B25029" t="s">
        <v>2931</v>
      </c>
      <c r="C25029">
        <v>11022</v>
      </c>
      <c r="D25029" t="str">
        <f>"340740671   "</f>
        <v xml:space="preserve">340740671   </v>
      </c>
      <c r="E25029" t="s">
        <v>397</v>
      </c>
      <c r="F25029" t="s">
        <v>398</v>
      </c>
      <c r="G25029">
        <v>116.46</v>
      </c>
      <c r="H25029">
        <v>250825</v>
      </c>
      <c r="I25029">
        <v>4600</v>
      </c>
      <c r="J25029" t="s">
        <v>278</v>
      </c>
      <c r="K25029">
        <v>116.46</v>
      </c>
      <c r="L25029">
        <v>23.66</v>
      </c>
      <c r="M25029">
        <v>56568</v>
      </c>
      <c r="N25029" t="s">
        <v>354</v>
      </c>
      <c r="O25029">
        <v>250829</v>
      </c>
      <c r="P25029">
        <v>92.8</v>
      </c>
    </row>
    <row r="25030" spans="1:16" x14ac:dyDescent="0.25">
      <c r="A25030" t="s">
        <v>3296</v>
      </c>
      <c r="B25030" t="s">
        <v>2931</v>
      </c>
      <c r="C25030">
        <v>11023</v>
      </c>
      <c r="D25030" t="str">
        <f>"340739387   "</f>
        <v xml:space="preserve">340739387   </v>
      </c>
      <c r="E25030" t="s">
        <v>397</v>
      </c>
      <c r="F25030" t="s">
        <v>398</v>
      </c>
      <c r="G25030">
        <v>143.35</v>
      </c>
      <c r="H25030">
        <v>250825</v>
      </c>
      <c r="I25030">
        <v>4600</v>
      </c>
      <c r="J25030" t="s">
        <v>278</v>
      </c>
      <c r="K25030">
        <v>143.35</v>
      </c>
      <c r="L25030">
        <v>29.13</v>
      </c>
      <c r="M25030">
        <v>56568</v>
      </c>
      <c r="N25030" t="s">
        <v>354</v>
      </c>
      <c r="O25030">
        <v>250829</v>
      </c>
      <c r="P25030">
        <v>114.22</v>
      </c>
    </row>
    <row r="25031" spans="1:16" x14ac:dyDescent="0.25">
      <c r="A25031" t="s">
        <v>3296</v>
      </c>
      <c r="B25031" t="s">
        <v>2931</v>
      </c>
      <c r="C25031">
        <v>11278</v>
      </c>
      <c r="D25031" t="str">
        <f>"340741970   "</f>
        <v xml:space="preserve">340741970   </v>
      </c>
      <c r="E25031" t="s">
        <v>397</v>
      </c>
      <c r="F25031" t="s">
        <v>398</v>
      </c>
      <c r="G25031">
        <v>-19.809999999999999</v>
      </c>
      <c r="H25031">
        <v>250831</v>
      </c>
      <c r="I25031">
        <v>4600</v>
      </c>
      <c r="J25031" t="s">
        <v>278</v>
      </c>
      <c r="K25031">
        <v>-19.809999999999999</v>
      </c>
      <c r="L25031">
        <v>-4.03</v>
      </c>
      <c r="M25031">
        <v>56568</v>
      </c>
      <c r="N25031" t="s">
        <v>354</v>
      </c>
      <c r="O25031">
        <v>250903</v>
      </c>
      <c r="P25031">
        <v>-15.78</v>
      </c>
    </row>
    <row r="25032" spans="1:16" x14ac:dyDescent="0.25">
      <c r="A25032" t="s">
        <v>3296</v>
      </c>
      <c r="B25032" t="s">
        <v>2931</v>
      </c>
      <c r="C25032">
        <v>11313</v>
      </c>
      <c r="D25032" t="str">
        <f>"340742327   "</f>
        <v xml:space="preserve">340742327   </v>
      </c>
      <c r="E25032" t="s">
        <v>397</v>
      </c>
      <c r="F25032" t="s">
        <v>398</v>
      </c>
      <c r="G25032">
        <v>452</v>
      </c>
      <c r="H25032">
        <v>250831</v>
      </c>
      <c r="I25032">
        <v>4600</v>
      </c>
      <c r="J25032" t="s">
        <v>278</v>
      </c>
      <c r="K25032">
        <v>452</v>
      </c>
      <c r="L25032">
        <v>91.84</v>
      </c>
      <c r="M25032">
        <v>56568</v>
      </c>
      <c r="N25032" t="s">
        <v>354</v>
      </c>
      <c r="O25032">
        <v>250903</v>
      </c>
      <c r="P25032">
        <v>360.16</v>
      </c>
    </row>
    <row r="25033" spans="1:16" x14ac:dyDescent="0.25">
      <c r="A25033" t="s">
        <v>3296</v>
      </c>
      <c r="B25033" t="s">
        <v>2931</v>
      </c>
      <c r="C25033">
        <v>11314</v>
      </c>
      <c r="D25033" t="str">
        <f>"340742842   "</f>
        <v xml:space="preserve">340742842   </v>
      </c>
      <c r="E25033" t="s">
        <v>397</v>
      </c>
      <c r="F25033" t="s">
        <v>398</v>
      </c>
      <c r="G25033">
        <v>817.15</v>
      </c>
      <c r="H25033">
        <v>250831</v>
      </c>
      <c r="I25033">
        <v>4600</v>
      </c>
      <c r="J25033" t="s">
        <v>278</v>
      </c>
      <c r="K25033">
        <v>817.15</v>
      </c>
      <c r="L25033">
        <v>166.03</v>
      </c>
      <c r="M25033">
        <v>56568</v>
      </c>
      <c r="N25033" t="s">
        <v>354</v>
      </c>
      <c r="O25033">
        <v>250903</v>
      </c>
      <c r="P25033">
        <v>651.12</v>
      </c>
    </row>
    <row r="25034" spans="1:16" x14ac:dyDescent="0.25">
      <c r="A25034" t="s">
        <v>3296</v>
      </c>
      <c r="B25034" t="s">
        <v>2931</v>
      </c>
      <c r="C25034">
        <v>11316</v>
      </c>
      <c r="D25034" t="str">
        <f>"340742235   "</f>
        <v xml:space="preserve">340742235   </v>
      </c>
      <c r="E25034" t="s">
        <v>397</v>
      </c>
      <c r="F25034" t="s">
        <v>398</v>
      </c>
      <c r="G25034">
        <v>132.37</v>
      </c>
      <c r="H25034">
        <v>250831</v>
      </c>
      <c r="I25034">
        <v>4600</v>
      </c>
      <c r="J25034" t="s">
        <v>278</v>
      </c>
      <c r="K25034">
        <v>132.37</v>
      </c>
      <c r="L25034">
        <v>26.9</v>
      </c>
      <c r="M25034">
        <v>56568</v>
      </c>
      <c r="N25034" t="s">
        <v>354</v>
      </c>
      <c r="O25034">
        <v>250903</v>
      </c>
      <c r="P25034">
        <v>105.47</v>
      </c>
    </row>
    <row r="25035" spans="1:16" x14ac:dyDescent="0.25">
      <c r="A25035" t="s">
        <v>3296</v>
      </c>
      <c r="B25035" t="s">
        <v>2931</v>
      </c>
      <c r="C25035">
        <v>11815</v>
      </c>
      <c r="D25035" t="str">
        <f>"340745653   "</f>
        <v xml:space="preserve">340745653   </v>
      </c>
      <c r="E25035" t="s">
        <v>397</v>
      </c>
      <c r="F25035" t="s">
        <v>398</v>
      </c>
      <c r="G25035">
        <v>-87.45</v>
      </c>
      <c r="H25035">
        <v>250908</v>
      </c>
      <c r="I25035">
        <v>4600</v>
      </c>
      <c r="J25035" t="s">
        <v>278</v>
      </c>
      <c r="K25035">
        <v>-87.45</v>
      </c>
      <c r="L25035">
        <v>-17.77</v>
      </c>
      <c r="M25035">
        <v>56568</v>
      </c>
      <c r="N25035" t="s">
        <v>354</v>
      </c>
      <c r="O25035">
        <v>250910</v>
      </c>
      <c r="P25035">
        <v>-69.680000000000007</v>
      </c>
    </row>
    <row r="25036" spans="1:16" x14ac:dyDescent="0.25">
      <c r="A25036" t="s">
        <v>3296</v>
      </c>
      <c r="B25036" t="s">
        <v>2931</v>
      </c>
      <c r="C25036">
        <v>11816</v>
      </c>
      <c r="D25036" t="str">
        <f>"340746471   "</f>
        <v xml:space="preserve">340746471   </v>
      </c>
      <c r="E25036" t="s">
        <v>397</v>
      </c>
      <c r="F25036" t="s">
        <v>398</v>
      </c>
      <c r="G25036">
        <v>-42.9</v>
      </c>
      <c r="H25036">
        <v>250908</v>
      </c>
      <c r="I25036">
        <v>4600</v>
      </c>
      <c r="J25036" t="s">
        <v>278</v>
      </c>
      <c r="K25036">
        <v>-42.9</v>
      </c>
      <c r="L25036">
        <v>-8.7200000000000006</v>
      </c>
      <c r="M25036">
        <v>56568</v>
      </c>
      <c r="N25036" t="s">
        <v>354</v>
      </c>
      <c r="O25036">
        <v>250910</v>
      </c>
      <c r="P25036">
        <v>-34.18</v>
      </c>
    </row>
    <row r="25037" spans="1:16" x14ac:dyDescent="0.25">
      <c r="A25037" t="s">
        <v>3296</v>
      </c>
      <c r="B25037" t="s">
        <v>2931</v>
      </c>
      <c r="C25037">
        <v>11817</v>
      </c>
      <c r="D25037" t="str">
        <f>"340746472   "</f>
        <v xml:space="preserve">340746472   </v>
      </c>
      <c r="E25037" t="s">
        <v>397</v>
      </c>
      <c r="F25037" t="s">
        <v>398</v>
      </c>
      <c r="G25037">
        <v>-16.21</v>
      </c>
      <c r="H25037">
        <v>250908</v>
      </c>
      <c r="I25037">
        <v>4600</v>
      </c>
      <c r="J25037" t="s">
        <v>278</v>
      </c>
      <c r="K25037">
        <v>-16.21</v>
      </c>
      <c r="L25037">
        <v>-3.29</v>
      </c>
      <c r="M25037">
        <v>56568</v>
      </c>
      <c r="N25037" t="s">
        <v>354</v>
      </c>
      <c r="O25037">
        <v>250910</v>
      </c>
      <c r="P25037">
        <v>-12.92</v>
      </c>
    </row>
    <row r="25038" spans="1:16" x14ac:dyDescent="0.25">
      <c r="A25038" t="s">
        <v>3296</v>
      </c>
      <c r="B25038" t="s">
        <v>2931</v>
      </c>
      <c r="C25038">
        <v>11893</v>
      </c>
      <c r="D25038" t="str">
        <f>"340746572   "</f>
        <v xml:space="preserve">340746572   </v>
      </c>
      <c r="E25038" t="s">
        <v>397</v>
      </c>
      <c r="F25038" t="s">
        <v>398</v>
      </c>
      <c r="G25038">
        <v>258.95</v>
      </c>
      <c r="H25038">
        <v>250908</v>
      </c>
      <c r="I25038">
        <v>4600</v>
      </c>
      <c r="J25038" t="s">
        <v>278</v>
      </c>
      <c r="K25038">
        <v>258.95</v>
      </c>
      <c r="L25038">
        <v>52.62</v>
      </c>
      <c r="M25038">
        <v>56568</v>
      </c>
      <c r="N25038" t="s">
        <v>354</v>
      </c>
      <c r="O25038">
        <v>250912</v>
      </c>
      <c r="P25038">
        <v>206.33</v>
      </c>
    </row>
    <row r="25039" spans="1:16" x14ac:dyDescent="0.25">
      <c r="A25039" t="s">
        <v>3296</v>
      </c>
      <c r="B25039" t="s">
        <v>2931</v>
      </c>
      <c r="C25039">
        <v>11894</v>
      </c>
      <c r="D25039" t="str">
        <f>"340745218   "</f>
        <v xml:space="preserve">340745218   </v>
      </c>
      <c r="E25039" t="s">
        <v>397</v>
      </c>
      <c r="F25039" t="s">
        <v>398</v>
      </c>
      <c r="G25039">
        <v>31.38</v>
      </c>
      <c r="H25039">
        <v>250908</v>
      </c>
      <c r="I25039">
        <v>4600</v>
      </c>
      <c r="J25039" t="s">
        <v>278</v>
      </c>
      <c r="K25039">
        <v>31.38</v>
      </c>
      <c r="L25039">
        <v>6.38</v>
      </c>
      <c r="M25039">
        <v>56568</v>
      </c>
      <c r="N25039" t="s">
        <v>354</v>
      </c>
      <c r="O25039">
        <v>250912</v>
      </c>
      <c r="P25039">
        <v>25</v>
      </c>
    </row>
    <row r="25040" spans="1:16" x14ac:dyDescent="0.25">
      <c r="A25040" t="s">
        <v>3296</v>
      </c>
      <c r="B25040" t="s">
        <v>2931</v>
      </c>
      <c r="C25040">
        <v>11897</v>
      </c>
      <c r="D25040" t="str">
        <f>"340746242   "</f>
        <v xml:space="preserve">340746242   </v>
      </c>
      <c r="E25040" t="s">
        <v>397</v>
      </c>
      <c r="F25040" t="s">
        <v>398</v>
      </c>
      <c r="G25040">
        <v>125.39</v>
      </c>
      <c r="H25040">
        <v>250908</v>
      </c>
      <c r="I25040">
        <v>4600</v>
      </c>
      <c r="J25040" t="s">
        <v>278</v>
      </c>
      <c r="K25040">
        <v>125.39</v>
      </c>
      <c r="L25040">
        <v>25.48</v>
      </c>
      <c r="M25040">
        <v>56568</v>
      </c>
      <c r="N25040" t="s">
        <v>354</v>
      </c>
      <c r="O25040">
        <v>250912</v>
      </c>
      <c r="P25040">
        <v>99.91</v>
      </c>
    </row>
    <row r="25041" spans="1:16" x14ac:dyDescent="0.25">
      <c r="A25041" t="s">
        <v>3296</v>
      </c>
      <c r="B25041" t="s">
        <v>2931</v>
      </c>
      <c r="C25041">
        <v>11899</v>
      </c>
      <c r="D25041" t="str">
        <f>"340745266   "</f>
        <v xml:space="preserve">340745266   </v>
      </c>
      <c r="E25041" t="s">
        <v>397</v>
      </c>
      <c r="F25041" t="s">
        <v>398</v>
      </c>
      <c r="G25041">
        <v>50.56</v>
      </c>
      <c r="H25041">
        <v>250908</v>
      </c>
      <c r="I25041">
        <v>4600</v>
      </c>
      <c r="J25041" t="s">
        <v>278</v>
      </c>
      <c r="K25041">
        <v>50.56</v>
      </c>
      <c r="L25041">
        <v>10.27</v>
      </c>
      <c r="M25041">
        <v>56568</v>
      </c>
      <c r="N25041" t="s">
        <v>354</v>
      </c>
      <c r="O25041">
        <v>250912</v>
      </c>
      <c r="P25041">
        <v>40.29</v>
      </c>
    </row>
    <row r="25042" spans="1:16" x14ac:dyDescent="0.25">
      <c r="A25042" t="s">
        <v>3296</v>
      </c>
      <c r="B25042" t="s">
        <v>2931</v>
      </c>
      <c r="C25042">
        <v>12077</v>
      </c>
      <c r="D25042" t="str">
        <f>"340749758   "</f>
        <v xml:space="preserve">340749758   </v>
      </c>
      <c r="E25042" t="s">
        <v>397</v>
      </c>
      <c r="F25042" t="s">
        <v>398</v>
      </c>
      <c r="G25042">
        <v>-40</v>
      </c>
      <c r="H25042">
        <v>250915</v>
      </c>
      <c r="I25042">
        <v>4600</v>
      </c>
      <c r="J25042" t="s">
        <v>278</v>
      </c>
      <c r="K25042">
        <v>-40</v>
      </c>
      <c r="L25042">
        <v>-8.1300000000000008</v>
      </c>
      <c r="M25042">
        <v>56568</v>
      </c>
      <c r="N25042" t="s">
        <v>354</v>
      </c>
      <c r="O25042">
        <v>250916</v>
      </c>
      <c r="P25042">
        <v>-31.87</v>
      </c>
    </row>
    <row r="25043" spans="1:16" x14ac:dyDescent="0.25">
      <c r="A25043" t="s">
        <v>3296</v>
      </c>
      <c r="B25043" t="s">
        <v>2931</v>
      </c>
      <c r="C25043">
        <v>12078</v>
      </c>
      <c r="D25043" t="str">
        <f>"340749757   "</f>
        <v xml:space="preserve">340749757   </v>
      </c>
      <c r="E25043" t="s">
        <v>397</v>
      </c>
      <c r="F25043" t="s">
        <v>398</v>
      </c>
      <c r="G25043">
        <v>-33.07</v>
      </c>
      <c r="H25043">
        <v>250915</v>
      </c>
      <c r="I25043">
        <v>4600</v>
      </c>
      <c r="J25043" t="s">
        <v>278</v>
      </c>
      <c r="K25043">
        <v>-33.07</v>
      </c>
      <c r="L25043">
        <v>-6.72</v>
      </c>
      <c r="M25043">
        <v>56568</v>
      </c>
      <c r="N25043" t="s">
        <v>354</v>
      </c>
      <c r="O25043">
        <v>250916</v>
      </c>
      <c r="P25043">
        <v>-26.35</v>
      </c>
    </row>
    <row r="25044" spans="1:16" x14ac:dyDescent="0.25">
      <c r="A25044" t="s">
        <v>3296</v>
      </c>
      <c r="B25044" t="s">
        <v>2931</v>
      </c>
      <c r="C25044">
        <v>12126</v>
      </c>
      <c r="D25044" t="str">
        <f>"340747202   "</f>
        <v xml:space="preserve">340747202   </v>
      </c>
      <c r="E25044" t="s">
        <v>397</v>
      </c>
      <c r="F25044" t="s">
        <v>398</v>
      </c>
      <c r="G25044">
        <v>1245.53</v>
      </c>
      <c r="H25044">
        <v>250915</v>
      </c>
      <c r="I25044">
        <v>4600</v>
      </c>
      <c r="J25044" t="s">
        <v>278</v>
      </c>
      <c r="K25044">
        <v>1245.53</v>
      </c>
      <c r="L25044">
        <v>253.08</v>
      </c>
      <c r="M25044">
        <v>56568</v>
      </c>
      <c r="N25044" t="s">
        <v>354</v>
      </c>
      <c r="O25044">
        <v>250916</v>
      </c>
      <c r="P25044">
        <v>992.45</v>
      </c>
    </row>
    <row r="25045" spans="1:16" x14ac:dyDescent="0.25">
      <c r="A25045" t="s">
        <v>3296</v>
      </c>
      <c r="B25045" t="s">
        <v>2931</v>
      </c>
      <c r="C25045">
        <v>12127</v>
      </c>
      <c r="D25045" t="str">
        <f>"340748780   "</f>
        <v xml:space="preserve">340748780   </v>
      </c>
      <c r="E25045" t="s">
        <v>397</v>
      </c>
      <c r="F25045" t="s">
        <v>398</v>
      </c>
      <c r="G25045">
        <v>30.44</v>
      </c>
      <c r="H25045">
        <v>250915</v>
      </c>
      <c r="I25045">
        <v>4600</v>
      </c>
      <c r="J25045" t="s">
        <v>278</v>
      </c>
      <c r="K25045">
        <v>30.44</v>
      </c>
      <c r="L25045">
        <v>6.19</v>
      </c>
      <c r="M25045">
        <v>56568</v>
      </c>
      <c r="N25045" t="s">
        <v>354</v>
      </c>
      <c r="O25045">
        <v>250916</v>
      </c>
      <c r="P25045">
        <v>24.25</v>
      </c>
    </row>
    <row r="25046" spans="1:16" x14ac:dyDescent="0.25">
      <c r="A25046" t="s">
        <v>3296</v>
      </c>
      <c r="B25046" t="s">
        <v>2931</v>
      </c>
      <c r="C25046">
        <v>12129</v>
      </c>
      <c r="D25046" t="str">
        <f>"340748827   "</f>
        <v xml:space="preserve">340748827   </v>
      </c>
      <c r="E25046" t="s">
        <v>397</v>
      </c>
      <c r="F25046" t="s">
        <v>398</v>
      </c>
      <c r="G25046">
        <v>29.55</v>
      </c>
      <c r="H25046">
        <v>250915</v>
      </c>
      <c r="I25046">
        <v>4600</v>
      </c>
      <c r="J25046" t="s">
        <v>278</v>
      </c>
      <c r="K25046">
        <v>29.55</v>
      </c>
      <c r="L25046">
        <v>6</v>
      </c>
      <c r="M25046">
        <v>56568</v>
      </c>
      <c r="N25046" t="s">
        <v>354</v>
      </c>
      <c r="O25046">
        <v>250916</v>
      </c>
      <c r="P25046">
        <v>23.55</v>
      </c>
    </row>
    <row r="25047" spans="1:16" x14ac:dyDescent="0.25">
      <c r="A25047" t="s">
        <v>3296</v>
      </c>
      <c r="B25047" t="s">
        <v>2931</v>
      </c>
      <c r="C25047">
        <v>12130</v>
      </c>
      <c r="D25047" t="str">
        <f>"340748247   "</f>
        <v xml:space="preserve">340748247   </v>
      </c>
      <c r="E25047" t="s">
        <v>397</v>
      </c>
      <c r="F25047" t="s">
        <v>398</v>
      </c>
      <c r="G25047">
        <v>118.81</v>
      </c>
      <c r="H25047">
        <v>250915</v>
      </c>
      <c r="I25047">
        <v>4600</v>
      </c>
      <c r="J25047" t="s">
        <v>278</v>
      </c>
      <c r="K25047">
        <v>118.81</v>
      </c>
      <c r="L25047">
        <v>24.14</v>
      </c>
      <c r="M25047">
        <v>56568</v>
      </c>
      <c r="N25047" t="s">
        <v>354</v>
      </c>
      <c r="O25047">
        <v>250916</v>
      </c>
      <c r="P25047">
        <v>94.67</v>
      </c>
    </row>
    <row r="25048" spans="1:16" x14ac:dyDescent="0.25">
      <c r="A25048" t="s">
        <v>3296</v>
      </c>
      <c r="B25048" t="s">
        <v>2931</v>
      </c>
      <c r="C25048">
        <v>12227</v>
      </c>
      <c r="D25048" t="str">
        <f>"340746096   "</f>
        <v xml:space="preserve">340746096   </v>
      </c>
      <c r="E25048" t="s">
        <v>397</v>
      </c>
      <c r="F25048" t="s">
        <v>398</v>
      </c>
      <c r="G25048">
        <v>15.82</v>
      </c>
      <c r="H25048">
        <v>250908</v>
      </c>
      <c r="I25048">
        <v>4600</v>
      </c>
      <c r="J25048" t="s">
        <v>278</v>
      </c>
      <c r="K25048">
        <v>31.65</v>
      </c>
      <c r="L25048">
        <v>3.21</v>
      </c>
      <c r="M25048">
        <v>59502</v>
      </c>
      <c r="N25048" t="s">
        <v>63</v>
      </c>
      <c r="O25048">
        <v>250917</v>
      </c>
      <c r="P25048">
        <v>12.61</v>
      </c>
    </row>
    <row r="25049" spans="1:16" x14ac:dyDescent="0.25">
      <c r="A25049" t="s">
        <v>3296</v>
      </c>
      <c r="B25049" t="s">
        <v>2931</v>
      </c>
      <c r="C25049">
        <v>12227</v>
      </c>
      <c r="D25049" t="str">
        <f>"340746096   "</f>
        <v xml:space="preserve">340746096   </v>
      </c>
      <c r="E25049" t="s">
        <v>397</v>
      </c>
      <c r="F25049" t="s">
        <v>398</v>
      </c>
      <c r="G25049">
        <v>15.83</v>
      </c>
      <c r="H25049">
        <v>250908</v>
      </c>
      <c r="I25049">
        <v>4600</v>
      </c>
      <c r="J25049" t="s">
        <v>278</v>
      </c>
      <c r="K25049">
        <v>31.65</v>
      </c>
      <c r="L25049">
        <v>3.22</v>
      </c>
      <c r="M25049">
        <v>59802</v>
      </c>
      <c r="N25049" t="s">
        <v>195</v>
      </c>
      <c r="O25049">
        <v>250917</v>
      </c>
      <c r="P25049">
        <v>12.61</v>
      </c>
    </row>
    <row r="25050" spans="1:16" x14ac:dyDescent="0.25">
      <c r="A25050" t="s">
        <v>3296</v>
      </c>
      <c r="B25050" t="s">
        <v>2931</v>
      </c>
      <c r="C25050">
        <v>12669</v>
      </c>
      <c r="D25050" t="str">
        <f>"340750432   "</f>
        <v xml:space="preserve">340750432   </v>
      </c>
      <c r="E25050" t="s">
        <v>397</v>
      </c>
      <c r="F25050" t="s">
        <v>398</v>
      </c>
      <c r="G25050">
        <v>33.25</v>
      </c>
      <c r="H25050">
        <v>250922</v>
      </c>
      <c r="I25050">
        <v>4600</v>
      </c>
      <c r="J25050" t="s">
        <v>278</v>
      </c>
      <c r="K25050">
        <v>33.25</v>
      </c>
      <c r="L25050">
        <v>6.76</v>
      </c>
      <c r="M25050">
        <v>55222</v>
      </c>
      <c r="N25050" t="s">
        <v>43</v>
      </c>
      <c r="O25050">
        <v>250929</v>
      </c>
      <c r="P25050">
        <v>26.49</v>
      </c>
    </row>
    <row r="25051" spans="1:16" x14ac:dyDescent="0.25">
      <c r="A25051" t="s">
        <v>3296</v>
      </c>
      <c r="B25051" t="s">
        <v>2931</v>
      </c>
      <c r="C25051">
        <v>12672</v>
      </c>
      <c r="D25051" t="str">
        <f>"340752441   "</f>
        <v xml:space="preserve">340752441   </v>
      </c>
      <c r="E25051" t="s">
        <v>397</v>
      </c>
      <c r="F25051" t="s">
        <v>398</v>
      </c>
      <c r="G25051">
        <v>-14.84</v>
      </c>
      <c r="H25051">
        <v>250922</v>
      </c>
      <c r="I25051">
        <v>4600</v>
      </c>
      <c r="J25051" t="s">
        <v>278</v>
      </c>
      <c r="K25051">
        <v>-14.84</v>
      </c>
      <c r="L25051">
        <v>-3.02</v>
      </c>
      <c r="M25051">
        <v>56568</v>
      </c>
      <c r="N25051" t="s">
        <v>354</v>
      </c>
      <c r="O25051">
        <v>250929</v>
      </c>
      <c r="P25051">
        <v>-11.82</v>
      </c>
    </row>
    <row r="25052" spans="1:16" x14ac:dyDescent="0.25">
      <c r="A25052" t="s">
        <v>3296</v>
      </c>
      <c r="B25052" t="s">
        <v>2931</v>
      </c>
      <c r="C25052">
        <v>12674</v>
      </c>
      <c r="D25052" t="str">
        <f>"340748246   "</f>
        <v xml:space="preserve">340748246   </v>
      </c>
      <c r="E25052" t="s">
        <v>397</v>
      </c>
      <c r="F25052" t="s">
        <v>398</v>
      </c>
      <c r="G25052">
        <v>12.52</v>
      </c>
      <c r="H25052">
        <v>250915</v>
      </c>
      <c r="I25052">
        <v>4600</v>
      </c>
      <c r="J25052" t="s">
        <v>278</v>
      </c>
      <c r="K25052">
        <v>12.52</v>
      </c>
      <c r="L25052">
        <v>2.54</v>
      </c>
      <c r="M25052">
        <v>56568</v>
      </c>
      <c r="N25052" t="s">
        <v>354</v>
      </c>
      <c r="O25052">
        <v>250929</v>
      </c>
      <c r="P25052">
        <v>9.98</v>
      </c>
    </row>
    <row r="25053" spans="1:16" x14ac:dyDescent="0.25">
      <c r="A25053" t="s">
        <v>3296</v>
      </c>
      <c r="B25053" t="s">
        <v>2931</v>
      </c>
      <c r="C25053">
        <v>12676</v>
      </c>
      <c r="D25053" t="str">
        <f>"340749574   "</f>
        <v xml:space="preserve">340749574   </v>
      </c>
      <c r="E25053" t="s">
        <v>397</v>
      </c>
      <c r="F25053" t="s">
        <v>398</v>
      </c>
      <c r="G25053">
        <v>218.9</v>
      </c>
      <c r="H25053">
        <v>250915</v>
      </c>
      <c r="I25053">
        <v>4600</v>
      </c>
      <c r="J25053" t="s">
        <v>278</v>
      </c>
      <c r="K25053">
        <v>218.9</v>
      </c>
      <c r="L25053">
        <v>44.48</v>
      </c>
      <c r="M25053">
        <v>56568</v>
      </c>
      <c r="N25053" t="s">
        <v>354</v>
      </c>
      <c r="O25053">
        <v>250929</v>
      </c>
      <c r="P25053">
        <v>174.42</v>
      </c>
    </row>
    <row r="25054" spans="1:16" x14ac:dyDescent="0.25">
      <c r="A25054" t="s">
        <v>3296</v>
      </c>
      <c r="B25054" t="s">
        <v>2931</v>
      </c>
      <c r="C25054">
        <v>12682</v>
      </c>
      <c r="D25054" t="str">
        <f>"340751781   "</f>
        <v xml:space="preserve">340751781   </v>
      </c>
      <c r="E25054" t="s">
        <v>397</v>
      </c>
      <c r="F25054" t="s">
        <v>398</v>
      </c>
      <c r="G25054">
        <v>96.43</v>
      </c>
      <c r="H25054">
        <v>250922</v>
      </c>
      <c r="I25054">
        <v>4600</v>
      </c>
      <c r="J25054" t="s">
        <v>278</v>
      </c>
      <c r="K25054">
        <v>96.43</v>
      </c>
      <c r="L25054">
        <v>19.59</v>
      </c>
      <c r="M25054">
        <v>56568</v>
      </c>
      <c r="N25054" t="s">
        <v>354</v>
      </c>
      <c r="O25054">
        <v>250929</v>
      </c>
      <c r="P25054">
        <v>76.84</v>
      </c>
    </row>
    <row r="25055" spans="1:16" x14ac:dyDescent="0.25">
      <c r="A25055" t="s">
        <v>3296</v>
      </c>
      <c r="B25055" t="s">
        <v>2931</v>
      </c>
      <c r="C25055">
        <v>12683</v>
      </c>
      <c r="D25055" t="str">
        <f>"340751268   "</f>
        <v xml:space="preserve">340751268   </v>
      </c>
      <c r="E25055" t="s">
        <v>397</v>
      </c>
      <c r="F25055" t="s">
        <v>398</v>
      </c>
      <c r="G25055">
        <v>103.86</v>
      </c>
      <c r="H25055">
        <v>250922</v>
      </c>
      <c r="I25055">
        <v>4600</v>
      </c>
      <c r="J25055" t="s">
        <v>278</v>
      </c>
      <c r="K25055">
        <v>103.86</v>
      </c>
      <c r="L25055">
        <v>21.1</v>
      </c>
      <c r="M25055">
        <v>56568</v>
      </c>
      <c r="N25055" t="s">
        <v>354</v>
      </c>
      <c r="O25055">
        <v>250929</v>
      </c>
      <c r="P25055">
        <v>82.76</v>
      </c>
    </row>
    <row r="25056" spans="1:16" x14ac:dyDescent="0.25">
      <c r="A25056" t="s">
        <v>3296</v>
      </c>
      <c r="B25056" t="s">
        <v>2931</v>
      </c>
      <c r="C25056">
        <v>12687</v>
      </c>
      <c r="D25056" t="str">
        <f>"340750312   "</f>
        <v xml:space="preserve">340750312   </v>
      </c>
      <c r="E25056" t="s">
        <v>397</v>
      </c>
      <c r="F25056" t="s">
        <v>398</v>
      </c>
      <c r="G25056">
        <v>134.94999999999999</v>
      </c>
      <c r="H25056">
        <v>250922</v>
      </c>
      <c r="I25056">
        <v>4600</v>
      </c>
      <c r="J25056" t="s">
        <v>278</v>
      </c>
      <c r="K25056">
        <v>134.94999999999999</v>
      </c>
      <c r="L25056">
        <v>27.42</v>
      </c>
      <c r="M25056">
        <v>56568</v>
      </c>
      <c r="N25056" t="s">
        <v>354</v>
      </c>
      <c r="O25056">
        <v>250929</v>
      </c>
      <c r="P25056">
        <v>107.53</v>
      </c>
    </row>
    <row r="25057" spans="1:16" x14ac:dyDescent="0.25">
      <c r="A25057" t="s">
        <v>3296</v>
      </c>
      <c r="B25057" t="s">
        <v>2931</v>
      </c>
      <c r="C25057">
        <v>12693</v>
      </c>
      <c r="D25057" t="str">
        <f>"340752226   "</f>
        <v xml:space="preserve">340752226   </v>
      </c>
      <c r="E25057" t="s">
        <v>397</v>
      </c>
      <c r="F25057" t="s">
        <v>398</v>
      </c>
      <c r="G25057">
        <v>172.51</v>
      </c>
      <c r="H25057">
        <v>250922</v>
      </c>
      <c r="I25057">
        <v>4600</v>
      </c>
      <c r="J25057" t="s">
        <v>278</v>
      </c>
      <c r="K25057">
        <v>172.51</v>
      </c>
      <c r="L25057">
        <v>35.049999999999997</v>
      </c>
      <c r="M25057">
        <v>56568</v>
      </c>
      <c r="N25057" t="s">
        <v>354</v>
      </c>
      <c r="O25057">
        <v>250929</v>
      </c>
      <c r="P25057">
        <v>137.46</v>
      </c>
    </row>
    <row r="25058" spans="1:16" x14ac:dyDescent="0.25">
      <c r="A25058" t="s">
        <v>3296</v>
      </c>
      <c r="B25058" t="s">
        <v>2931</v>
      </c>
      <c r="C25058">
        <v>12694</v>
      </c>
      <c r="D25058" t="str">
        <f>"340752225   "</f>
        <v xml:space="preserve">340752225   </v>
      </c>
      <c r="E25058" t="s">
        <v>397</v>
      </c>
      <c r="F25058" t="s">
        <v>398</v>
      </c>
      <c r="G25058">
        <v>281.32</v>
      </c>
      <c r="H25058">
        <v>250922</v>
      </c>
      <c r="I25058">
        <v>4600</v>
      </c>
      <c r="J25058" t="s">
        <v>278</v>
      </c>
      <c r="K25058">
        <v>281.32</v>
      </c>
      <c r="L25058">
        <v>57.16</v>
      </c>
      <c r="M25058">
        <v>56568</v>
      </c>
      <c r="N25058" t="s">
        <v>354</v>
      </c>
      <c r="O25058">
        <v>250929</v>
      </c>
      <c r="P25058">
        <v>224.16</v>
      </c>
    </row>
    <row r="25059" spans="1:16" x14ac:dyDescent="0.25">
      <c r="A25059" t="s">
        <v>3296</v>
      </c>
      <c r="B25059" t="s">
        <v>2931</v>
      </c>
      <c r="C25059">
        <v>12695</v>
      </c>
      <c r="D25059" t="str">
        <f>"340752557   "</f>
        <v xml:space="preserve">340752557   </v>
      </c>
      <c r="E25059" t="s">
        <v>397</v>
      </c>
      <c r="F25059" t="s">
        <v>398</v>
      </c>
      <c r="G25059">
        <v>31.31</v>
      </c>
      <c r="H25059">
        <v>250922</v>
      </c>
      <c r="I25059">
        <v>4600</v>
      </c>
      <c r="J25059" t="s">
        <v>278</v>
      </c>
      <c r="K25059">
        <v>31.31</v>
      </c>
      <c r="L25059">
        <v>6.36</v>
      </c>
      <c r="M25059">
        <v>56568</v>
      </c>
      <c r="N25059" t="s">
        <v>354</v>
      </c>
      <c r="O25059">
        <v>250929</v>
      </c>
      <c r="P25059">
        <v>24.95</v>
      </c>
    </row>
    <row r="25060" spans="1:16" x14ac:dyDescent="0.25">
      <c r="A25060" t="s">
        <v>3296</v>
      </c>
      <c r="B25060" t="s">
        <v>2931</v>
      </c>
      <c r="C25060">
        <v>12697</v>
      </c>
      <c r="D25060" t="str">
        <f>"340752201   "</f>
        <v xml:space="preserve">340752201   </v>
      </c>
      <c r="E25060" t="s">
        <v>397</v>
      </c>
      <c r="F25060" t="s">
        <v>398</v>
      </c>
      <c r="G25060">
        <v>55.64</v>
      </c>
      <c r="H25060">
        <v>250922</v>
      </c>
      <c r="I25060">
        <v>4600</v>
      </c>
      <c r="J25060" t="s">
        <v>278</v>
      </c>
      <c r="K25060">
        <v>55.64</v>
      </c>
      <c r="L25060">
        <v>11.31</v>
      </c>
      <c r="M25060">
        <v>56568</v>
      </c>
      <c r="N25060" t="s">
        <v>354</v>
      </c>
      <c r="O25060">
        <v>250929</v>
      </c>
      <c r="P25060">
        <v>44.33</v>
      </c>
    </row>
    <row r="25061" spans="1:16" x14ac:dyDescent="0.25">
      <c r="A25061" t="s">
        <v>3296</v>
      </c>
      <c r="B25061" t="s">
        <v>2931</v>
      </c>
      <c r="C25061">
        <v>12698</v>
      </c>
      <c r="D25061" t="str">
        <f>"340751782   "</f>
        <v xml:space="preserve">340751782   </v>
      </c>
      <c r="E25061" t="s">
        <v>397</v>
      </c>
      <c r="F25061" t="s">
        <v>398</v>
      </c>
      <c r="G25061">
        <v>97.71</v>
      </c>
      <c r="H25061">
        <v>250922</v>
      </c>
      <c r="I25061">
        <v>4600</v>
      </c>
      <c r="J25061" t="s">
        <v>278</v>
      </c>
      <c r="K25061">
        <v>97.71</v>
      </c>
      <c r="L25061">
        <v>19.850000000000001</v>
      </c>
      <c r="M25061">
        <v>56568</v>
      </c>
      <c r="N25061" t="s">
        <v>354</v>
      </c>
      <c r="O25061">
        <v>250929</v>
      </c>
      <c r="P25061">
        <v>77.86</v>
      </c>
    </row>
    <row r="25062" spans="1:16" x14ac:dyDescent="0.25">
      <c r="A25062" t="s">
        <v>3296</v>
      </c>
      <c r="B25062" t="s">
        <v>2931</v>
      </c>
      <c r="C25062">
        <v>12699</v>
      </c>
      <c r="D25062" t="str">
        <f>"340752227   "</f>
        <v xml:space="preserve">340752227   </v>
      </c>
      <c r="E25062" t="s">
        <v>397</v>
      </c>
      <c r="F25062" t="s">
        <v>398</v>
      </c>
      <c r="G25062">
        <v>152.51</v>
      </c>
      <c r="H25062">
        <v>250922</v>
      </c>
      <c r="I25062">
        <v>4600</v>
      </c>
      <c r="J25062" t="s">
        <v>278</v>
      </c>
      <c r="K25062">
        <v>152.51</v>
      </c>
      <c r="L25062">
        <v>30.99</v>
      </c>
      <c r="M25062">
        <v>56568</v>
      </c>
      <c r="N25062" t="s">
        <v>354</v>
      </c>
      <c r="O25062">
        <v>250929</v>
      </c>
      <c r="P25062">
        <v>121.52</v>
      </c>
    </row>
    <row r="25063" spans="1:16" x14ac:dyDescent="0.25">
      <c r="A25063" t="s">
        <v>3296</v>
      </c>
      <c r="B25063" t="s">
        <v>2931</v>
      </c>
      <c r="C25063">
        <v>12700</v>
      </c>
      <c r="D25063" t="str">
        <f>"340752199   "</f>
        <v xml:space="preserve">340752199   </v>
      </c>
      <c r="E25063" t="s">
        <v>397</v>
      </c>
      <c r="F25063" t="s">
        <v>398</v>
      </c>
      <c r="G25063">
        <v>424.81</v>
      </c>
      <c r="H25063">
        <v>250922</v>
      </c>
      <c r="I25063">
        <v>4600</v>
      </c>
      <c r="J25063" t="s">
        <v>278</v>
      </c>
      <c r="K25063">
        <v>424.81</v>
      </c>
      <c r="L25063">
        <v>86.32</v>
      </c>
      <c r="M25063">
        <v>56568</v>
      </c>
      <c r="N25063" t="s">
        <v>354</v>
      </c>
      <c r="O25063">
        <v>250929</v>
      </c>
      <c r="P25063">
        <v>338.49</v>
      </c>
    </row>
    <row r="25064" spans="1:16" x14ac:dyDescent="0.25">
      <c r="A25064" t="s">
        <v>3296</v>
      </c>
      <c r="B25064" t="s">
        <v>2931</v>
      </c>
      <c r="C25064">
        <v>12723</v>
      </c>
      <c r="D25064" t="str">
        <f>"340751223   "</f>
        <v xml:space="preserve">340751223   </v>
      </c>
      <c r="E25064" t="s">
        <v>397</v>
      </c>
      <c r="F25064" t="s">
        <v>398</v>
      </c>
      <c r="G25064">
        <v>48.32</v>
      </c>
      <c r="H25064">
        <v>250922</v>
      </c>
      <c r="I25064">
        <v>4600</v>
      </c>
      <c r="J25064" t="s">
        <v>278</v>
      </c>
      <c r="K25064">
        <v>48.32</v>
      </c>
      <c r="L25064">
        <v>9.82</v>
      </c>
      <c r="M25064">
        <v>56568</v>
      </c>
      <c r="N25064" t="s">
        <v>354</v>
      </c>
      <c r="O25064">
        <v>250929</v>
      </c>
      <c r="P25064">
        <v>38.5</v>
      </c>
    </row>
    <row r="25065" spans="1:16" x14ac:dyDescent="0.25">
      <c r="A25065" t="s">
        <v>3296</v>
      </c>
      <c r="B25065" t="s">
        <v>2931</v>
      </c>
      <c r="C25065">
        <v>12734</v>
      </c>
      <c r="D25065" t="str">
        <f>"340751213   "</f>
        <v xml:space="preserve">340751213   </v>
      </c>
      <c r="E25065" t="s">
        <v>397</v>
      </c>
      <c r="F25065" t="s">
        <v>398</v>
      </c>
      <c r="G25065">
        <v>124.19</v>
      </c>
      <c r="H25065">
        <v>250922</v>
      </c>
      <c r="I25065">
        <v>4600</v>
      </c>
      <c r="J25065" t="s">
        <v>278</v>
      </c>
      <c r="K25065">
        <v>124.19</v>
      </c>
      <c r="L25065">
        <v>25.23</v>
      </c>
      <c r="M25065">
        <v>56568</v>
      </c>
      <c r="N25065" t="s">
        <v>354</v>
      </c>
      <c r="O25065">
        <v>250929</v>
      </c>
      <c r="P25065">
        <v>98.96</v>
      </c>
    </row>
    <row r="25066" spans="1:16" x14ac:dyDescent="0.25">
      <c r="A25066" t="s">
        <v>3296</v>
      </c>
      <c r="B25066" t="s">
        <v>2931</v>
      </c>
      <c r="C25066">
        <v>12735</v>
      </c>
      <c r="D25066" t="str">
        <f>"340751783   "</f>
        <v xml:space="preserve">340751783   </v>
      </c>
      <c r="E25066" t="s">
        <v>397</v>
      </c>
      <c r="F25066" t="s">
        <v>398</v>
      </c>
      <c r="G25066">
        <v>151.41</v>
      </c>
      <c r="H25066">
        <v>250922</v>
      </c>
      <c r="I25066">
        <v>4600</v>
      </c>
      <c r="J25066" t="s">
        <v>278</v>
      </c>
      <c r="K25066">
        <v>151.41</v>
      </c>
      <c r="L25066">
        <v>30.76</v>
      </c>
      <c r="M25066">
        <v>56568</v>
      </c>
      <c r="N25066" t="s">
        <v>354</v>
      </c>
      <c r="O25066">
        <v>250929</v>
      </c>
      <c r="P25066">
        <v>120.65</v>
      </c>
    </row>
    <row r="25067" spans="1:16" x14ac:dyDescent="0.25">
      <c r="A25067" t="s">
        <v>3296</v>
      </c>
      <c r="B25067" t="s">
        <v>2931</v>
      </c>
      <c r="C25067">
        <v>12977</v>
      </c>
      <c r="D25067" t="str">
        <f>"340754767   "</f>
        <v xml:space="preserve">340754767   </v>
      </c>
      <c r="E25067" t="s">
        <v>397</v>
      </c>
      <c r="F25067" t="s">
        <v>398</v>
      </c>
      <c r="G25067">
        <v>72.25</v>
      </c>
      <c r="H25067">
        <v>250930</v>
      </c>
      <c r="I25067">
        <v>4600</v>
      </c>
      <c r="J25067" t="s">
        <v>278</v>
      </c>
      <c r="K25067">
        <v>72.25</v>
      </c>
      <c r="L25067">
        <v>14.68</v>
      </c>
      <c r="M25067">
        <v>56568</v>
      </c>
      <c r="N25067" t="s">
        <v>354</v>
      </c>
      <c r="O25067">
        <v>251003</v>
      </c>
      <c r="P25067">
        <v>57.57</v>
      </c>
    </row>
    <row r="25068" spans="1:16" x14ac:dyDescent="0.25">
      <c r="A25068" t="s">
        <v>3296</v>
      </c>
      <c r="B25068" t="s">
        <v>2931</v>
      </c>
      <c r="C25068">
        <v>12980</v>
      </c>
      <c r="D25068" t="str">
        <f>"340753384   "</f>
        <v xml:space="preserve">340753384   </v>
      </c>
      <c r="E25068" t="s">
        <v>397</v>
      </c>
      <c r="F25068" t="s">
        <v>398</v>
      </c>
      <c r="G25068">
        <v>31.2</v>
      </c>
      <c r="H25068">
        <v>250930</v>
      </c>
      <c r="I25068">
        <v>4600</v>
      </c>
      <c r="J25068" t="s">
        <v>278</v>
      </c>
      <c r="K25068">
        <v>31.2</v>
      </c>
      <c r="L25068">
        <v>6.34</v>
      </c>
      <c r="M25068">
        <v>56568</v>
      </c>
      <c r="N25068" t="s">
        <v>354</v>
      </c>
      <c r="O25068">
        <v>251003</v>
      </c>
      <c r="P25068">
        <v>24.86</v>
      </c>
    </row>
    <row r="25069" spans="1:16" x14ac:dyDescent="0.25">
      <c r="A25069" t="s">
        <v>3296</v>
      </c>
      <c r="B25069" t="s">
        <v>2931</v>
      </c>
      <c r="C25069">
        <v>13012</v>
      </c>
      <c r="D25069" t="str">
        <f>"340755205   "</f>
        <v xml:space="preserve">340755205   </v>
      </c>
      <c r="E25069" t="s">
        <v>397</v>
      </c>
      <c r="F25069" t="s">
        <v>398</v>
      </c>
      <c r="G25069">
        <v>310.2</v>
      </c>
      <c r="H25069">
        <v>250930</v>
      </c>
      <c r="I25069">
        <v>4600</v>
      </c>
      <c r="J25069" t="s">
        <v>278</v>
      </c>
      <c r="K25069">
        <v>310.2</v>
      </c>
      <c r="L25069">
        <v>63.03</v>
      </c>
      <c r="M25069">
        <v>56568</v>
      </c>
      <c r="N25069" t="s">
        <v>354</v>
      </c>
      <c r="O25069">
        <v>251003</v>
      </c>
      <c r="P25069">
        <v>247.17</v>
      </c>
    </row>
    <row r="25070" spans="1:16" x14ac:dyDescent="0.25">
      <c r="A25070" t="s">
        <v>3296</v>
      </c>
      <c r="B25070" t="s">
        <v>2931</v>
      </c>
      <c r="C25070">
        <v>13098</v>
      </c>
      <c r="D25070" t="str">
        <f>"340755894   "</f>
        <v xml:space="preserve">340755894   </v>
      </c>
      <c r="E25070" t="s">
        <v>397</v>
      </c>
      <c r="F25070" t="s">
        <v>398</v>
      </c>
      <c r="G25070">
        <v>-50.84</v>
      </c>
      <c r="H25070">
        <v>250930</v>
      </c>
      <c r="I25070">
        <v>4600</v>
      </c>
      <c r="J25070" t="s">
        <v>278</v>
      </c>
      <c r="K25070">
        <v>-50.84</v>
      </c>
      <c r="L25070">
        <v>-10.33</v>
      </c>
      <c r="M25070">
        <v>56568</v>
      </c>
      <c r="N25070" t="s">
        <v>354</v>
      </c>
      <c r="O25070">
        <v>251006</v>
      </c>
      <c r="P25070">
        <v>-40.51</v>
      </c>
    </row>
    <row r="25071" spans="1:16" x14ac:dyDescent="0.25">
      <c r="A25071" t="s">
        <v>3296</v>
      </c>
      <c r="B25071" t="s">
        <v>2931</v>
      </c>
      <c r="C25071">
        <v>13099</v>
      </c>
      <c r="D25071" t="str">
        <f>"340756055   "</f>
        <v xml:space="preserve">340756055   </v>
      </c>
      <c r="E25071" t="s">
        <v>397</v>
      </c>
      <c r="F25071" t="s">
        <v>398</v>
      </c>
      <c r="G25071">
        <v>-16.5</v>
      </c>
      <c r="H25071">
        <v>250930</v>
      </c>
      <c r="I25071">
        <v>4600</v>
      </c>
      <c r="J25071" t="s">
        <v>278</v>
      </c>
      <c r="K25071">
        <v>-16.5</v>
      </c>
      <c r="L25071">
        <v>-3.35</v>
      </c>
      <c r="M25071">
        <v>56568</v>
      </c>
      <c r="N25071" t="s">
        <v>354</v>
      </c>
      <c r="O25071">
        <v>251006</v>
      </c>
      <c r="P25071">
        <v>-13.15</v>
      </c>
    </row>
    <row r="25072" spans="1:16" x14ac:dyDescent="0.25">
      <c r="A25072" t="s">
        <v>3296</v>
      </c>
      <c r="B25072" t="s">
        <v>2931</v>
      </c>
      <c r="C25072">
        <v>13100</v>
      </c>
      <c r="D25072" t="str">
        <f>"340756050   "</f>
        <v xml:space="preserve">340756050   </v>
      </c>
      <c r="E25072" t="s">
        <v>397</v>
      </c>
      <c r="F25072" t="s">
        <v>398</v>
      </c>
      <c r="G25072">
        <v>-22.07</v>
      </c>
      <c r="H25072">
        <v>250930</v>
      </c>
      <c r="I25072">
        <v>4600</v>
      </c>
      <c r="J25072" t="s">
        <v>278</v>
      </c>
      <c r="K25072">
        <v>-22.07</v>
      </c>
      <c r="L25072">
        <v>-4.4800000000000004</v>
      </c>
      <c r="M25072">
        <v>56568</v>
      </c>
      <c r="N25072" t="s">
        <v>354</v>
      </c>
      <c r="O25072">
        <v>251006</v>
      </c>
      <c r="P25072">
        <v>-17.59</v>
      </c>
    </row>
    <row r="25073" spans="1:16" x14ac:dyDescent="0.25">
      <c r="A25073" t="s">
        <v>3296</v>
      </c>
      <c r="B25073" t="s">
        <v>2931</v>
      </c>
      <c r="C25073">
        <v>13101</v>
      </c>
      <c r="D25073" t="str">
        <f>"340756054   "</f>
        <v xml:space="preserve">340756054   </v>
      </c>
      <c r="E25073" t="s">
        <v>397</v>
      </c>
      <c r="F25073" t="s">
        <v>398</v>
      </c>
      <c r="G25073">
        <v>-225.05</v>
      </c>
      <c r="H25073">
        <v>250930</v>
      </c>
      <c r="I25073">
        <v>4600</v>
      </c>
      <c r="J25073" t="s">
        <v>278</v>
      </c>
      <c r="K25073">
        <v>-225.05</v>
      </c>
      <c r="L25073">
        <v>-45.73</v>
      </c>
      <c r="M25073">
        <v>56568</v>
      </c>
      <c r="N25073" t="s">
        <v>354</v>
      </c>
      <c r="O25073">
        <v>251006</v>
      </c>
      <c r="P25073">
        <v>-179.32</v>
      </c>
    </row>
    <row r="25074" spans="1:16" x14ac:dyDescent="0.25">
      <c r="A25074" t="s">
        <v>3296</v>
      </c>
      <c r="B25074" t="s">
        <v>2931</v>
      </c>
      <c r="C25074">
        <v>13103</v>
      </c>
      <c r="D25074" t="str">
        <f>"340756047   "</f>
        <v xml:space="preserve">340756047   </v>
      </c>
      <c r="E25074" t="s">
        <v>397</v>
      </c>
      <c r="F25074" t="s">
        <v>398</v>
      </c>
      <c r="G25074">
        <v>-58.5</v>
      </c>
      <c r="H25074">
        <v>250930</v>
      </c>
      <c r="I25074">
        <v>4600</v>
      </c>
      <c r="J25074" t="s">
        <v>278</v>
      </c>
      <c r="K25074">
        <v>-58.5</v>
      </c>
      <c r="L25074">
        <v>-11.89</v>
      </c>
      <c r="M25074">
        <v>56568</v>
      </c>
      <c r="N25074" t="s">
        <v>354</v>
      </c>
      <c r="O25074">
        <v>251006</v>
      </c>
      <c r="P25074">
        <v>-46.61</v>
      </c>
    </row>
    <row r="25075" spans="1:16" x14ac:dyDescent="0.25">
      <c r="A25075" t="s">
        <v>3296</v>
      </c>
      <c r="B25075" t="s">
        <v>2931</v>
      </c>
      <c r="C25075">
        <v>13120</v>
      </c>
      <c r="D25075" t="str">
        <f>"340755878   "</f>
        <v xml:space="preserve">340755878   </v>
      </c>
      <c r="E25075" t="s">
        <v>397</v>
      </c>
      <c r="F25075" t="s">
        <v>398</v>
      </c>
      <c r="G25075">
        <v>169.97</v>
      </c>
      <c r="H25075">
        <v>250930</v>
      </c>
      <c r="I25075">
        <v>4600</v>
      </c>
      <c r="J25075" t="s">
        <v>278</v>
      </c>
      <c r="K25075">
        <v>169.97</v>
      </c>
      <c r="L25075">
        <v>34.54</v>
      </c>
      <c r="M25075">
        <v>56568</v>
      </c>
      <c r="N25075" t="s">
        <v>354</v>
      </c>
      <c r="O25075">
        <v>251006</v>
      </c>
      <c r="P25075">
        <v>135.43</v>
      </c>
    </row>
    <row r="25076" spans="1:16" x14ac:dyDescent="0.25">
      <c r="A25076" t="s">
        <v>3296</v>
      </c>
      <c r="B25076" t="s">
        <v>2931</v>
      </c>
      <c r="C25076">
        <v>13121</v>
      </c>
      <c r="D25076" t="str">
        <f>"340755530   "</f>
        <v xml:space="preserve">340755530   </v>
      </c>
      <c r="E25076" t="s">
        <v>397</v>
      </c>
      <c r="F25076" t="s">
        <v>398</v>
      </c>
      <c r="G25076">
        <v>29.58</v>
      </c>
      <c r="H25076">
        <v>250930</v>
      </c>
      <c r="I25076">
        <v>4600</v>
      </c>
      <c r="J25076" t="s">
        <v>278</v>
      </c>
      <c r="K25076">
        <v>29.58</v>
      </c>
      <c r="L25076">
        <v>6.01</v>
      </c>
      <c r="M25076">
        <v>56568</v>
      </c>
      <c r="N25076" t="s">
        <v>354</v>
      </c>
      <c r="O25076">
        <v>251006</v>
      </c>
      <c r="P25076">
        <v>23.57</v>
      </c>
    </row>
    <row r="25077" spans="1:16" x14ac:dyDescent="0.25">
      <c r="A25077" t="s">
        <v>3296</v>
      </c>
      <c r="B25077" t="s">
        <v>2931</v>
      </c>
      <c r="C25077">
        <v>13122</v>
      </c>
      <c r="D25077" t="str">
        <f>"340755157   "</f>
        <v xml:space="preserve">340755157   </v>
      </c>
      <c r="E25077" t="s">
        <v>397</v>
      </c>
      <c r="F25077" t="s">
        <v>398</v>
      </c>
      <c r="G25077">
        <v>134.16</v>
      </c>
      <c r="H25077">
        <v>250930</v>
      </c>
      <c r="I25077">
        <v>4600</v>
      </c>
      <c r="J25077" t="s">
        <v>278</v>
      </c>
      <c r="K25077">
        <v>134.16</v>
      </c>
      <c r="L25077">
        <v>27.26</v>
      </c>
      <c r="M25077">
        <v>56568</v>
      </c>
      <c r="N25077" t="s">
        <v>354</v>
      </c>
      <c r="O25077">
        <v>251006</v>
      </c>
      <c r="P25077">
        <v>106.9</v>
      </c>
    </row>
    <row r="25078" spans="1:16" x14ac:dyDescent="0.25">
      <c r="A25078" t="s">
        <v>3296</v>
      </c>
      <c r="B25078" t="s">
        <v>2931</v>
      </c>
      <c r="C25078">
        <v>13127</v>
      </c>
      <c r="D25078" t="str">
        <f>"340755207   "</f>
        <v xml:space="preserve">340755207   </v>
      </c>
      <c r="E25078" t="s">
        <v>397</v>
      </c>
      <c r="F25078" t="s">
        <v>398</v>
      </c>
      <c r="G25078">
        <v>164.74</v>
      </c>
      <c r="H25078">
        <v>250930</v>
      </c>
      <c r="I25078">
        <v>4600</v>
      </c>
      <c r="J25078" t="s">
        <v>278</v>
      </c>
      <c r="K25078">
        <v>164.74</v>
      </c>
      <c r="L25078">
        <v>33.47</v>
      </c>
      <c r="M25078">
        <v>56568</v>
      </c>
      <c r="N25078" t="s">
        <v>354</v>
      </c>
      <c r="O25078">
        <v>251006</v>
      </c>
      <c r="P25078">
        <v>131.27000000000001</v>
      </c>
    </row>
    <row r="25079" spans="1:16" x14ac:dyDescent="0.25">
      <c r="A25079" t="s">
        <v>3296</v>
      </c>
      <c r="B25079" t="s">
        <v>2931</v>
      </c>
      <c r="C25079">
        <v>13131</v>
      </c>
      <c r="D25079" t="str">
        <f>"340753385   "</f>
        <v xml:space="preserve">340753385   </v>
      </c>
      <c r="E25079" t="s">
        <v>397</v>
      </c>
      <c r="F25079" t="s">
        <v>398</v>
      </c>
      <c r="G25079">
        <v>81.739999999999995</v>
      </c>
      <c r="H25079">
        <v>250930</v>
      </c>
      <c r="I25079">
        <v>4600</v>
      </c>
      <c r="J25079" t="s">
        <v>278</v>
      </c>
      <c r="K25079">
        <v>81.739999999999995</v>
      </c>
      <c r="L25079">
        <v>16.61</v>
      </c>
      <c r="M25079">
        <v>56568</v>
      </c>
      <c r="N25079" t="s">
        <v>354</v>
      </c>
      <c r="O25079">
        <v>251006</v>
      </c>
      <c r="P25079">
        <v>65.13</v>
      </c>
    </row>
    <row r="25080" spans="1:16" x14ac:dyDescent="0.25">
      <c r="A25080" t="s">
        <v>3296</v>
      </c>
      <c r="B25080" t="s">
        <v>2931</v>
      </c>
      <c r="C25080">
        <v>13204</v>
      </c>
      <c r="D25080" t="str">
        <f>"340754199   "</f>
        <v xml:space="preserve">340754199   </v>
      </c>
      <c r="E25080" t="s">
        <v>397</v>
      </c>
      <c r="F25080" t="s">
        <v>398</v>
      </c>
      <c r="G25080">
        <v>123.94</v>
      </c>
      <c r="H25080">
        <v>250930</v>
      </c>
      <c r="I25080">
        <v>4600</v>
      </c>
      <c r="J25080" t="s">
        <v>278</v>
      </c>
      <c r="K25080">
        <v>123.94</v>
      </c>
      <c r="L25080">
        <v>25.18</v>
      </c>
      <c r="M25080">
        <v>56568</v>
      </c>
      <c r="N25080" t="s">
        <v>354</v>
      </c>
      <c r="O25080">
        <v>251006</v>
      </c>
      <c r="P25080">
        <v>98.76</v>
      </c>
    </row>
    <row r="25081" spans="1:16" x14ac:dyDescent="0.25">
      <c r="A25081" t="s">
        <v>3296</v>
      </c>
      <c r="B25081" t="s">
        <v>2931</v>
      </c>
      <c r="C25081">
        <v>13207</v>
      </c>
      <c r="D25081" t="str">
        <f>"340755879   "</f>
        <v xml:space="preserve">340755879   </v>
      </c>
      <c r="E25081" t="s">
        <v>397</v>
      </c>
      <c r="F25081" t="s">
        <v>398</v>
      </c>
      <c r="G25081">
        <v>176.71</v>
      </c>
      <c r="H25081">
        <v>250930</v>
      </c>
      <c r="I25081">
        <v>4600</v>
      </c>
      <c r="J25081" t="s">
        <v>278</v>
      </c>
      <c r="K25081">
        <v>176.71</v>
      </c>
      <c r="L25081">
        <v>35.909999999999997</v>
      </c>
      <c r="M25081">
        <v>56568</v>
      </c>
      <c r="N25081" t="s">
        <v>354</v>
      </c>
      <c r="O25081">
        <v>251006</v>
      </c>
      <c r="P25081">
        <v>140.80000000000001</v>
      </c>
    </row>
    <row r="25082" spans="1:16" x14ac:dyDescent="0.25">
      <c r="A25082" t="s">
        <v>3296</v>
      </c>
      <c r="B25082" t="s">
        <v>2931</v>
      </c>
      <c r="C25082">
        <v>13333</v>
      </c>
      <c r="D25082" t="str">
        <f>"104000001741"</f>
        <v>104000001741</v>
      </c>
      <c r="E25082" t="s">
        <v>397</v>
      </c>
      <c r="F25082" t="s">
        <v>398</v>
      </c>
      <c r="G25082">
        <v>-49.43</v>
      </c>
      <c r="H25082">
        <v>251006</v>
      </c>
      <c r="I25082">
        <v>4600</v>
      </c>
      <c r="J25082" t="s">
        <v>278</v>
      </c>
      <c r="K25082">
        <v>-49.43</v>
      </c>
      <c r="L25082">
        <v>-10.039999999999999</v>
      </c>
      <c r="M25082">
        <v>56568</v>
      </c>
      <c r="N25082" t="s">
        <v>354</v>
      </c>
      <c r="O25082">
        <v>251008</v>
      </c>
      <c r="P25082">
        <v>-39.39</v>
      </c>
    </row>
    <row r="25083" spans="1:16" x14ac:dyDescent="0.25">
      <c r="A25083" t="s">
        <v>3296</v>
      </c>
      <c r="B25083" t="s">
        <v>2931</v>
      </c>
      <c r="C25083">
        <v>13336</v>
      </c>
      <c r="D25083" t="str">
        <f>"104000001407"</f>
        <v>104000001407</v>
      </c>
      <c r="E25083" t="s">
        <v>397</v>
      </c>
      <c r="F25083" t="s">
        <v>398</v>
      </c>
      <c r="G25083">
        <v>109.12</v>
      </c>
      <c r="H25083">
        <v>251006</v>
      </c>
      <c r="I25083">
        <v>4600</v>
      </c>
      <c r="J25083" t="s">
        <v>278</v>
      </c>
      <c r="K25083">
        <v>109.12</v>
      </c>
      <c r="L25083">
        <v>22.17</v>
      </c>
      <c r="M25083">
        <v>56568</v>
      </c>
      <c r="N25083" t="s">
        <v>354</v>
      </c>
      <c r="O25083">
        <v>251008</v>
      </c>
      <c r="P25083">
        <v>86.95</v>
      </c>
    </row>
    <row r="25084" spans="1:16" x14ac:dyDescent="0.25">
      <c r="A25084" t="s">
        <v>3296</v>
      </c>
      <c r="B25084" t="s">
        <v>2931</v>
      </c>
      <c r="C25084">
        <v>13337</v>
      </c>
      <c r="D25084" t="str">
        <f>"104000001975"</f>
        <v>104000001975</v>
      </c>
      <c r="E25084" t="s">
        <v>397</v>
      </c>
      <c r="F25084" t="s">
        <v>398</v>
      </c>
      <c r="G25084">
        <v>39.68</v>
      </c>
      <c r="H25084">
        <v>251006</v>
      </c>
      <c r="I25084">
        <v>4600</v>
      </c>
      <c r="J25084" t="s">
        <v>278</v>
      </c>
      <c r="K25084">
        <v>171.64</v>
      </c>
      <c r="L25084">
        <v>8.06</v>
      </c>
      <c r="M25084">
        <v>56565</v>
      </c>
      <c r="N25084" t="s">
        <v>57</v>
      </c>
      <c r="O25084">
        <v>251008</v>
      </c>
      <c r="P25084">
        <v>31.62</v>
      </c>
    </row>
    <row r="25085" spans="1:16" x14ac:dyDescent="0.25">
      <c r="A25085" t="s">
        <v>3296</v>
      </c>
      <c r="B25085" t="s">
        <v>2931</v>
      </c>
      <c r="C25085">
        <v>13337</v>
      </c>
      <c r="D25085" t="str">
        <f>"104000001975"</f>
        <v>104000001975</v>
      </c>
      <c r="E25085" t="s">
        <v>397</v>
      </c>
      <c r="F25085" t="s">
        <v>398</v>
      </c>
      <c r="G25085">
        <v>131.96</v>
      </c>
      <c r="H25085">
        <v>251006</v>
      </c>
      <c r="I25085">
        <v>4600</v>
      </c>
      <c r="J25085" t="s">
        <v>278</v>
      </c>
      <c r="K25085">
        <v>171.64</v>
      </c>
      <c r="L25085">
        <v>26.81</v>
      </c>
      <c r="M25085">
        <v>56573</v>
      </c>
      <c r="N25085" t="s">
        <v>843</v>
      </c>
      <c r="O25085">
        <v>251008</v>
      </c>
      <c r="P25085">
        <v>105.15</v>
      </c>
    </row>
    <row r="25086" spans="1:16" x14ac:dyDescent="0.25">
      <c r="A25086" t="s">
        <v>3296</v>
      </c>
      <c r="B25086" t="s">
        <v>2931</v>
      </c>
      <c r="C25086">
        <v>13339</v>
      </c>
      <c r="D25086" t="str">
        <f>"104000000519"</f>
        <v>104000000519</v>
      </c>
      <c r="E25086" t="s">
        <v>397</v>
      </c>
      <c r="F25086" t="s">
        <v>398</v>
      </c>
      <c r="G25086">
        <v>282.77</v>
      </c>
      <c r="H25086">
        <v>251006</v>
      </c>
      <c r="I25086">
        <v>4600</v>
      </c>
      <c r="J25086" t="s">
        <v>278</v>
      </c>
      <c r="K25086">
        <v>282.77</v>
      </c>
      <c r="L25086">
        <v>57.46</v>
      </c>
      <c r="M25086">
        <v>56568</v>
      </c>
      <c r="N25086" t="s">
        <v>354</v>
      </c>
      <c r="O25086">
        <v>251008</v>
      </c>
      <c r="P25086">
        <v>225.31</v>
      </c>
    </row>
    <row r="25087" spans="1:16" x14ac:dyDescent="0.25">
      <c r="A25087" t="s">
        <v>3296</v>
      </c>
      <c r="B25087" t="s">
        <v>2931</v>
      </c>
      <c r="C25087">
        <v>13803</v>
      </c>
      <c r="D25087" t="str">
        <f>"104000004681"</f>
        <v>104000004681</v>
      </c>
      <c r="E25087" t="s">
        <v>397</v>
      </c>
      <c r="F25087" t="s">
        <v>398</v>
      </c>
      <c r="G25087">
        <v>225.51</v>
      </c>
      <c r="H25087">
        <v>251013</v>
      </c>
      <c r="I25087">
        <v>4600</v>
      </c>
      <c r="J25087" t="s">
        <v>278</v>
      </c>
      <c r="K25087">
        <v>225.51</v>
      </c>
      <c r="L25087">
        <v>45.82</v>
      </c>
      <c r="M25087">
        <v>56568</v>
      </c>
      <c r="N25087" t="s">
        <v>354</v>
      </c>
      <c r="O25087">
        <v>251020</v>
      </c>
      <c r="P25087">
        <v>179.69</v>
      </c>
    </row>
    <row r="25088" spans="1:16" x14ac:dyDescent="0.25">
      <c r="A25088" t="s">
        <v>3296</v>
      </c>
      <c r="B25088" t="s">
        <v>2931</v>
      </c>
      <c r="C25088">
        <v>13833</v>
      </c>
      <c r="D25088" t="str">
        <f>"104000002892"</f>
        <v>104000002892</v>
      </c>
      <c r="E25088" t="s">
        <v>397</v>
      </c>
      <c r="F25088" t="s">
        <v>398</v>
      </c>
      <c r="G25088">
        <v>53.57</v>
      </c>
      <c r="H25088">
        <v>251013</v>
      </c>
      <c r="I25088">
        <v>4600</v>
      </c>
      <c r="J25088" t="s">
        <v>278</v>
      </c>
      <c r="K25088">
        <v>53.57</v>
      </c>
      <c r="L25088">
        <v>10.88</v>
      </c>
      <c r="M25088">
        <v>56568</v>
      </c>
      <c r="N25088" t="s">
        <v>354</v>
      </c>
      <c r="O25088">
        <v>251020</v>
      </c>
      <c r="P25088">
        <v>42.69</v>
      </c>
    </row>
    <row r="25089" spans="1:16" x14ac:dyDescent="0.25">
      <c r="A25089" t="s">
        <v>3296</v>
      </c>
      <c r="B25089" t="s">
        <v>2931</v>
      </c>
      <c r="C25089">
        <v>13840</v>
      </c>
      <c r="D25089" t="str">
        <f>"104000003766"</f>
        <v>104000003766</v>
      </c>
      <c r="E25089" t="s">
        <v>397</v>
      </c>
      <c r="F25089" t="s">
        <v>398</v>
      </c>
      <c r="G25089">
        <v>317.51</v>
      </c>
      <c r="H25089">
        <v>251013</v>
      </c>
      <c r="I25089">
        <v>4600</v>
      </c>
      <c r="J25089" t="s">
        <v>278</v>
      </c>
      <c r="K25089">
        <v>317.51</v>
      </c>
      <c r="L25089">
        <v>64.510000000000005</v>
      </c>
      <c r="M25089">
        <v>56568</v>
      </c>
      <c r="N25089" t="s">
        <v>354</v>
      </c>
      <c r="O25089">
        <v>251020</v>
      </c>
      <c r="P25089">
        <v>253</v>
      </c>
    </row>
    <row r="25090" spans="1:16" x14ac:dyDescent="0.25">
      <c r="A25090" t="s">
        <v>3296</v>
      </c>
      <c r="B25090" t="s">
        <v>2931</v>
      </c>
      <c r="C25090">
        <v>14342</v>
      </c>
      <c r="D25090" t="str">
        <f>"104000009802"</f>
        <v>104000009802</v>
      </c>
      <c r="E25090" t="s">
        <v>397</v>
      </c>
      <c r="F25090" t="s">
        <v>398</v>
      </c>
      <c r="G25090">
        <v>-22.07</v>
      </c>
      <c r="H25090">
        <v>251027</v>
      </c>
      <c r="I25090">
        <v>4600</v>
      </c>
      <c r="J25090" t="s">
        <v>278</v>
      </c>
      <c r="K25090">
        <v>-22.07</v>
      </c>
      <c r="L25090">
        <v>-4.4800000000000004</v>
      </c>
      <c r="M25090">
        <v>56568</v>
      </c>
      <c r="N25090" t="s">
        <v>354</v>
      </c>
      <c r="O25090">
        <v>251030</v>
      </c>
      <c r="P25090">
        <v>-17.59</v>
      </c>
    </row>
    <row r="25091" spans="1:16" x14ac:dyDescent="0.25">
      <c r="A25091" t="s">
        <v>3296</v>
      </c>
      <c r="B25091" t="s">
        <v>2931</v>
      </c>
      <c r="C25091">
        <v>14343</v>
      </c>
      <c r="D25091" t="str">
        <f>"104000010686"</f>
        <v>104000010686</v>
      </c>
      <c r="E25091" t="s">
        <v>397</v>
      </c>
      <c r="F25091" t="s">
        <v>398</v>
      </c>
      <c r="G25091">
        <v>-13.1</v>
      </c>
      <c r="H25091">
        <v>251027</v>
      </c>
      <c r="I25091">
        <v>4600</v>
      </c>
      <c r="J25091" t="s">
        <v>278</v>
      </c>
      <c r="K25091">
        <v>-13.1</v>
      </c>
      <c r="L25091">
        <v>-2.66</v>
      </c>
      <c r="M25091">
        <v>56568</v>
      </c>
      <c r="N25091" t="s">
        <v>354</v>
      </c>
      <c r="O25091">
        <v>251030</v>
      </c>
      <c r="P25091">
        <v>-10.44</v>
      </c>
    </row>
    <row r="25092" spans="1:16" x14ac:dyDescent="0.25">
      <c r="A25092" t="s">
        <v>3296</v>
      </c>
      <c r="B25092" t="s">
        <v>2931</v>
      </c>
      <c r="C25092">
        <v>14357</v>
      </c>
      <c r="D25092" t="str">
        <f>"104000010515"</f>
        <v>104000010515</v>
      </c>
      <c r="E25092" t="s">
        <v>397</v>
      </c>
      <c r="F25092" t="s">
        <v>398</v>
      </c>
      <c r="G25092">
        <v>62.58</v>
      </c>
      <c r="H25092">
        <v>251027</v>
      </c>
      <c r="I25092">
        <v>4600</v>
      </c>
      <c r="J25092" t="s">
        <v>278</v>
      </c>
      <c r="K25092">
        <v>62.58</v>
      </c>
      <c r="L25092">
        <v>12.72</v>
      </c>
      <c r="M25092">
        <v>56568</v>
      </c>
      <c r="N25092" t="s">
        <v>354</v>
      </c>
      <c r="O25092">
        <v>251030</v>
      </c>
      <c r="P25092">
        <v>49.86</v>
      </c>
    </row>
    <row r="25093" spans="1:16" x14ac:dyDescent="0.25">
      <c r="A25093" t="s">
        <v>3296</v>
      </c>
      <c r="B25093" t="s">
        <v>2931</v>
      </c>
      <c r="C25093">
        <v>14359</v>
      </c>
      <c r="D25093" t="str">
        <f>"104000008568"</f>
        <v>104000008568</v>
      </c>
      <c r="E25093" t="s">
        <v>397</v>
      </c>
      <c r="F25093" t="s">
        <v>398</v>
      </c>
      <c r="G25093">
        <v>258.45999999999998</v>
      </c>
      <c r="H25093">
        <v>251027</v>
      </c>
      <c r="I25093">
        <v>4600</v>
      </c>
      <c r="J25093" t="s">
        <v>278</v>
      </c>
      <c r="K25093">
        <v>258.45999999999998</v>
      </c>
      <c r="L25093">
        <v>52.52</v>
      </c>
      <c r="M25093">
        <v>56568</v>
      </c>
      <c r="N25093" t="s">
        <v>354</v>
      </c>
      <c r="O25093">
        <v>251030</v>
      </c>
      <c r="P25093">
        <v>205.94</v>
      </c>
    </row>
    <row r="25094" spans="1:16" x14ac:dyDescent="0.25">
      <c r="A25094" t="s">
        <v>3296</v>
      </c>
      <c r="B25094" t="s">
        <v>2931</v>
      </c>
      <c r="C25094">
        <v>14360</v>
      </c>
      <c r="D25094" t="str">
        <f>"104000010082"</f>
        <v>104000010082</v>
      </c>
      <c r="E25094" t="s">
        <v>397</v>
      </c>
      <c r="F25094" t="s">
        <v>398</v>
      </c>
      <c r="G25094">
        <v>274.37</v>
      </c>
      <c r="H25094">
        <v>251027</v>
      </c>
      <c r="I25094">
        <v>4600</v>
      </c>
      <c r="J25094" t="s">
        <v>278</v>
      </c>
      <c r="K25094">
        <v>274.37</v>
      </c>
      <c r="L25094">
        <v>55.75</v>
      </c>
      <c r="M25094">
        <v>56568</v>
      </c>
      <c r="N25094" t="s">
        <v>354</v>
      </c>
      <c r="O25094">
        <v>251030</v>
      </c>
      <c r="P25094">
        <v>218.62</v>
      </c>
    </row>
    <row r="25095" spans="1:16" x14ac:dyDescent="0.25">
      <c r="A25095" t="s">
        <v>3296</v>
      </c>
      <c r="B25095" t="s">
        <v>2931</v>
      </c>
      <c r="C25095">
        <v>14363</v>
      </c>
      <c r="D25095" t="str">
        <f>"104000010054"</f>
        <v>104000010054</v>
      </c>
      <c r="E25095" t="s">
        <v>397</v>
      </c>
      <c r="F25095" t="s">
        <v>398</v>
      </c>
      <c r="G25095">
        <v>56.77</v>
      </c>
      <c r="H25095">
        <v>251027</v>
      </c>
      <c r="I25095">
        <v>4600</v>
      </c>
      <c r="J25095" t="s">
        <v>278</v>
      </c>
      <c r="K25095">
        <v>56.77</v>
      </c>
      <c r="L25095">
        <v>11.53</v>
      </c>
      <c r="M25095">
        <v>56568</v>
      </c>
      <c r="N25095" t="s">
        <v>354</v>
      </c>
      <c r="O25095">
        <v>251030</v>
      </c>
      <c r="P25095">
        <v>45.24</v>
      </c>
    </row>
    <row r="25096" spans="1:16" x14ac:dyDescent="0.25">
      <c r="A25096" t="s">
        <v>3296</v>
      </c>
      <c r="B25096" t="s">
        <v>2931</v>
      </c>
      <c r="C25096">
        <v>14364</v>
      </c>
      <c r="D25096" t="str">
        <f>"104000010795"</f>
        <v>104000010795</v>
      </c>
      <c r="E25096" t="s">
        <v>397</v>
      </c>
      <c r="F25096" t="s">
        <v>398</v>
      </c>
      <c r="G25096">
        <v>157.51</v>
      </c>
      <c r="H25096">
        <v>251027</v>
      </c>
      <c r="I25096">
        <v>4600</v>
      </c>
      <c r="J25096" t="s">
        <v>278</v>
      </c>
      <c r="K25096">
        <v>157.51</v>
      </c>
      <c r="L25096">
        <v>32</v>
      </c>
      <c r="M25096">
        <v>56568</v>
      </c>
      <c r="N25096" t="s">
        <v>354</v>
      </c>
      <c r="O25096">
        <v>251030</v>
      </c>
      <c r="P25096">
        <v>125.51</v>
      </c>
    </row>
    <row r="25097" spans="1:16" x14ac:dyDescent="0.25">
      <c r="A25097" t="s">
        <v>3296</v>
      </c>
      <c r="B25097" t="s">
        <v>2931</v>
      </c>
      <c r="C25097">
        <v>14697</v>
      </c>
      <c r="D25097" t="str">
        <f>"104000012570"</f>
        <v>104000012570</v>
      </c>
      <c r="E25097" t="s">
        <v>397</v>
      </c>
      <c r="F25097" t="s">
        <v>398</v>
      </c>
      <c r="G25097">
        <v>80.52</v>
      </c>
      <c r="H25097">
        <v>251031</v>
      </c>
      <c r="I25097">
        <v>4600</v>
      </c>
      <c r="J25097" t="s">
        <v>278</v>
      </c>
      <c r="K25097">
        <v>80.52</v>
      </c>
      <c r="L25097">
        <v>16.36</v>
      </c>
      <c r="M25097">
        <v>56565</v>
      </c>
      <c r="N25097" t="s">
        <v>57</v>
      </c>
      <c r="O25097">
        <v>251106</v>
      </c>
      <c r="P25097">
        <v>64.16</v>
      </c>
    </row>
    <row r="25098" spans="1:16" x14ac:dyDescent="0.25">
      <c r="A25098" t="s">
        <v>3296</v>
      </c>
      <c r="B25098" t="s">
        <v>2931</v>
      </c>
      <c r="C25098">
        <v>14699</v>
      </c>
      <c r="D25098" t="str">
        <f>"104000011630"</f>
        <v>104000011630</v>
      </c>
      <c r="E25098" t="s">
        <v>397</v>
      </c>
      <c r="F25098" t="s">
        <v>398</v>
      </c>
      <c r="G25098">
        <v>139.77000000000001</v>
      </c>
      <c r="H25098">
        <v>251031</v>
      </c>
      <c r="I25098">
        <v>4600</v>
      </c>
      <c r="J25098" t="s">
        <v>278</v>
      </c>
      <c r="K25098">
        <v>139.77000000000001</v>
      </c>
      <c r="L25098">
        <v>28.4</v>
      </c>
      <c r="M25098">
        <v>56568</v>
      </c>
      <c r="N25098" t="s">
        <v>354</v>
      </c>
      <c r="O25098">
        <v>251106</v>
      </c>
      <c r="P25098">
        <v>111.37</v>
      </c>
    </row>
    <row r="25099" spans="1:16" x14ac:dyDescent="0.25">
      <c r="A25099" t="s">
        <v>3296</v>
      </c>
      <c r="B25099" t="s">
        <v>2931</v>
      </c>
      <c r="C25099">
        <v>14703</v>
      </c>
      <c r="D25099" t="str">
        <f>"104000011531"</f>
        <v>104000011531</v>
      </c>
      <c r="E25099" t="s">
        <v>397</v>
      </c>
      <c r="F25099" t="s">
        <v>398</v>
      </c>
      <c r="G25099">
        <v>167.13</v>
      </c>
      <c r="H25099">
        <v>251031</v>
      </c>
      <c r="I25099">
        <v>4600</v>
      </c>
      <c r="J25099" t="s">
        <v>278</v>
      </c>
      <c r="K25099">
        <v>167.13</v>
      </c>
      <c r="L25099">
        <v>33.96</v>
      </c>
      <c r="M25099">
        <v>56568</v>
      </c>
      <c r="N25099" t="s">
        <v>354</v>
      </c>
      <c r="O25099">
        <v>251106</v>
      </c>
      <c r="P25099">
        <v>133.16999999999999</v>
      </c>
    </row>
    <row r="25100" spans="1:16" x14ac:dyDescent="0.25">
      <c r="A25100" t="s">
        <v>3296</v>
      </c>
      <c r="B25100" t="s">
        <v>2931</v>
      </c>
      <c r="C25100">
        <v>14705</v>
      </c>
      <c r="D25100" t="str">
        <f>"104000013098"</f>
        <v>104000013098</v>
      </c>
      <c r="E25100" t="s">
        <v>397</v>
      </c>
      <c r="F25100" t="s">
        <v>398</v>
      </c>
      <c r="G25100">
        <v>81.8</v>
      </c>
      <c r="H25100">
        <v>251031</v>
      </c>
      <c r="I25100">
        <v>4600</v>
      </c>
      <c r="J25100" t="s">
        <v>278</v>
      </c>
      <c r="K25100">
        <v>81.8</v>
      </c>
      <c r="L25100">
        <v>16.62</v>
      </c>
      <c r="M25100">
        <v>56573</v>
      </c>
      <c r="N25100" t="s">
        <v>843</v>
      </c>
      <c r="O25100">
        <v>251106</v>
      </c>
      <c r="P25100">
        <v>65.180000000000007</v>
      </c>
    </row>
    <row r="25101" spans="1:16" x14ac:dyDescent="0.25">
      <c r="A25101" t="s">
        <v>3296</v>
      </c>
      <c r="B25101" t="s">
        <v>2931</v>
      </c>
      <c r="C25101">
        <v>15049</v>
      </c>
      <c r="D25101" t="str">
        <f>"104000012858"</f>
        <v>104000012858</v>
      </c>
      <c r="E25101" t="s">
        <v>397</v>
      </c>
      <c r="F25101" t="s">
        <v>398</v>
      </c>
      <c r="G25101">
        <v>-36.53</v>
      </c>
      <c r="H25101">
        <v>251031</v>
      </c>
      <c r="I25101">
        <v>4600</v>
      </c>
      <c r="J25101" t="s">
        <v>278</v>
      </c>
      <c r="K25101">
        <v>-36.53</v>
      </c>
      <c r="L25101">
        <v>-7.42</v>
      </c>
      <c r="M25101">
        <v>56568</v>
      </c>
      <c r="N25101" t="s">
        <v>354</v>
      </c>
      <c r="O25101">
        <v>251111</v>
      </c>
      <c r="P25101">
        <v>-29.11</v>
      </c>
    </row>
    <row r="25102" spans="1:16" x14ac:dyDescent="0.25">
      <c r="A25102" t="s">
        <v>3296</v>
      </c>
      <c r="B25102" t="s">
        <v>2931</v>
      </c>
      <c r="C25102">
        <v>15059</v>
      </c>
      <c r="D25102" t="str">
        <f>"104000013742"</f>
        <v>104000013742</v>
      </c>
      <c r="E25102" t="s">
        <v>397</v>
      </c>
      <c r="F25102" t="s">
        <v>398</v>
      </c>
      <c r="G25102">
        <v>117.01</v>
      </c>
      <c r="H25102">
        <v>251031</v>
      </c>
      <c r="I25102">
        <v>4600</v>
      </c>
      <c r="J25102" t="s">
        <v>278</v>
      </c>
      <c r="K25102">
        <v>117.01</v>
      </c>
      <c r="L25102">
        <v>23.77</v>
      </c>
      <c r="M25102">
        <v>56568</v>
      </c>
      <c r="N25102" t="s">
        <v>354</v>
      </c>
      <c r="O25102">
        <v>251111</v>
      </c>
      <c r="P25102">
        <v>93.24</v>
      </c>
    </row>
    <row r="25103" spans="1:16" x14ac:dyDescent="0.25">
      <c r="A25103" t="s">
        <v>3296</v>
      </c>
      <c r="B25103" t="s">
        <v>2931</v>
      </c>
      <c r="C25103">
        <v>15329</v>
      </c>
      <c r="D25103" t="str">
        <f>"104000016562"</f>
        <v>104000016562</v>
      </c>
      <c r="E25103" t="s">
        <v>397</v>
      </c>
      <c r="F25103" t="s">
        <v>398</v>
      </c>
      <c r="G25103">
        <v>-155</v>
      </c>
      <c r="H25103">
        <v>251110</v>
      </c>
      <c r="I25103">
        <v>4600</v>
      </c>
      <c r="J25103" t="s">
        <v>278</v>
      </c>
      <c r="K25103">
        <v>-155</v>
      </c>
      <c r="L25103">
        <v>-31.49</v>
      </c>
      <c r="M25103">
        <v>56568</v>
      </c>
      <c r="N25103" t="s">
        <v>354</v>
      </c>
      <c r="O25103">
        <v>251118</v>
      </c>
      <c r="P25103">
        <v>-123.51</v>
      </c>
    </row>
    <row r="25104" spans="1:16" x14ac:dyDescent="0.25">
      <c r="A25104" t="s">
        <v>3296</v>
      </c>
      <c r="B25104" t="s">
        <v>2931</v>
      </c>
      <c r="C25104">
        <v>15384</v>
      </c>
      <c r="D25104" t="str">
        <f>"104000014408"</f>
        <v>104000014408</v>
      </c>
      <c r="E25104" t="s">
        <v>397</v>
      </c>
      <c r="F25104" t="s">
        <v>398</v>
      </c>
      <c r="G25104">
        <v>117.01</v>
      </c>
      <c r="H25104">
        <v>251110</v>
      </c>
      <c r="I25104">
        <v>4600</v>
      </c>
      <c r="J25104" t="s">
        <v>278</v>
      </c>
      <c r="K25104">
        <v>117.01</v>
      </c>
      <c r="L25104">
        <v>23.77</v>
      </c>
      <c r="M25104">
        <v>56568</v>
      </c>
      <c r="N25104" t="s">
        <v>354</v>
      </c>
      <c r="O25104">
        <v>251120</v>
      </c>
      <c r="P25104">
        <v>93.24</v>
      </c>
    </row>
    <row r="25105" spans="1:16" x14ac:dyDescent="0.25">
      <c r="A25105" t="s">
        <v>3296</v>
      </c>
      <c r="B25105" t="s">
        <v>2931</v>
      </c>
      <c r="C25105">
        <v>15386</v>
      </c>
      <c r="D25105" t="str">
        <f>"104000016366"</f>
        <v>104000016366</v>
      </c>
      <c r="E25105" t="s">
        <v>397</v>
      </c>
      <c r="F25105" t="s">
        <v>398</v>
      </c>
      <c r="G25105">
        <v>29.87</v>
      </c>
      <c r="H25105">
        <v>251110</v>
      </c>
      <c r="I25105">
        <v>4600</v>
      </c>
      <c r="J25105" t="s">
        <v>278</v>
      </c>
      <c r="K25105">
        <v>29.87</v>
      </c>
      <c r="L25105">
        <v>6.07</v>
      </c>
      <c r="M25105">
        <v>56568</v>
      </c>
      <c r="N25105" t="s">
        <v>354</v>
      </c>
      <c r="O25105">
        <v>251120</v>
      </c>
      <c r="P25105">
        <v>23.8</v>
      </c>
    </row>
    <row r="25106" spans="1:16" x14ac:dyDescent="0.25">
      <c r="A25106" t="s">
        <v>3296</v>
      </c>
      <c r="B25106" t="s">
        <v>2931</v>
      </c>
      <c r="C25106">
        <v>15387</v>
      </c>
      <c r="D25106" t="str">
        <f>"104000016323"</f>
        <v>104000016323</v>
      </c>
      <c r="E25106" t="s">
        <v>397</v>
      </c>
      <c r="F25106" t="s">
        <v>398</v>
      </c>
      <c r="G25106">
        <v>159.44999999999999</v>
      </c>
      <c r="H25106">
        <v>251110</v>
      </c>
      <c r="I25106">
        <v>4600</v>
      </c>
      <c r="J25106" t="s">
        <v>278</v>
      </c>
      <c r="K25106">
        <v>159.44999999999999</v>
      </c>
      <c r="L25106">
        <v>32.4</v>
      </c>
      <c r="M25106">
        <v>56568</v>
      </c>
      <c r="N25106" t="s">
        <v>354</v>
      </c>
      <c r="O25106">
        <v>251120</v>
      </c>
      <c r="P25106">
        <v>127.05</v>
      </c>
    </row>
    <row r="25107" spans="1:16" x14ac:dyDescent="0.25">
      <c r="A25107" t="s">
        <v>3296</v>
      </c>
      <c r="B25107" t="s">
        <v>2931</v>
      </c>
      <c r="C25107">
        <v>15388</v>
      </c>
      <c r="D25107" t="str">
        <f>"104000014590"</f>
        <v>104000014590</v>
      </c>
      <c r="E25107" t="s">
        <v>397</v>
      </c>
      <c r="F25107" t="s">
        <v>398</v>
      </c>
      <c r="G25107">
        <v>66.790000000000006</v>
      </c>
      <c r="H25107">
        <v>251110</v>
      </c>
      <c r="I25107">
        <v>4600</v>
      </c>
      <c r="J25107" t="s">
        <v>278</v>
      </c>
      <c r="K25107">
        <v>81.69</v>
      </c>
      <c r="L25107">
        <v>13.57</v>
      </c>
      <c r="M25107">
        <v>56565</v>
      </c>
      <c r="N25107" t="s">
        <v>57</v>
      </c>
      <c r="O25107">
        <v>251120</v>
      </c>
      <c r="P25107">
        <v>53.22</v>
      </c>
    </row>
    <row r="25108" spans="1:16" x14ac:dyDescent="0.25">
      <c r="A25108" t="s">
        <v>3296</v>
      </c>
      <c r="B25108" t="s">
        <v>2931</v>
      </c>
      <c r="C25108">
        <v>15388</v>
      </c>
      <c r="D25108" t="str">
        <f>"104000014590"</f>
        <v>104000014590</v>
      </c>
      <c r="E25108" t="s">
        <v>397</v>
      </c>
      <c r="F25108" t="s">
        <v>398</v>
      </c>
      <c r="G25108">
        <v>14.9</v>
      </c>
      <c r="H25108">
        <v>251110</v>
      </c>
      <c r="I25108">
        <v>4600</v>
      </c>
      <c r="J25108" t="s">
        <v>278</v>
      </c>
      <c r="K25108">
        <v>81.69</v>
      </c>
      <c r="L25108">
        <v>3.03</v>
      </c>
      <c r="M25108">
        <v>56573</v>
      </c>
      <c r="N25108" t="s">
        <v>843</v>
      </c>
      <c r="O25108">
        <v>251120</v>
      </c>
      <c r="P25108">
        <v>11.87</v>
      </c>
    </row>
    <row r="25109" spans="1:16" x14ac:dyDescent="0.25">
      <c r="A25109" t="s">
        <v>3296</v>
      </c>
      <c r="B25109" t="s">
        <v>2931</v>
      </c>
      <c r="C25109">
        <v>15393</v>
      </c>
      <c r="D25109" t="str">
        <f>"104000016322"</f>
        <v>104000016322</v>
      </c>
      <c r="E25109" t="s">
        <v>397</v>
      </c>
      <c r="F25109" t="s">
        <v>398</v>
      </c>
      <c r="G25109">
        <v>62.11</v>
      </c>
      <c r="H25109">
        <v>251110</v>
      </c>
      <c r="I25109">
        <v>4600</v>
      </c>
      <c r="J25109" t="s">
        <v>278</v>
      </c>
      <c r="K25109">
        <v>62.11</v>
      </c>
      <c r="L25109">
        <v>12.62</v>
      </c>
      <c r="M25109">
        <v>56568</v>
      </c>
      <c r="N25109" t="s">
        <v>354</v>
      </c>
      <c r="O25109">
        <v>251120</v>
      </c>
      <c r="P25109">
        <v>49.49</v>
      </c>
    </row>
    <row r="25110" spans="1:16" x14ac:dyDescent="0.25">
      <c r="A25110" t="s">
        <v>3296</v>
      </c>
      <c r="B25110" t="s">
        <v>2931</v>
      </c>
      <c r="C25110">
        <v>15394</v>
      </c>
      <c r="D25110" t="str">
        <f>"104000015455"</f>
        <v>104000015455</v>
      </c>
      <c r="E25110" t="s">
        <v>397</v>
      </c>
      <c r="F25110" t="s">
        <v>398</v>
      </c>
      <c r="G25110">
        <v>80.86</v>
      </c>
      <c r="H25110">
        <v>251110</v>
      </c>
      <c r="I25110">
        <v>4600</v>
      </c>
      <c r="J25110" t="s">
        <v>278</v>
      </c>
      <c r="K25110">
        <v>80.86</v>
      </c>
      <c r="L25110">
        <v>16.43</v>
      </c>
      <c r="M25110">
        <v>56568</v>
      </c>
      <c r="N25110" t="s">
        <v>354</v>
      </c>
      <c r="O25110">
        <v>251120</v>
      </c>
      <c r="P25110">
        <v>64.430000000000007</v>
      </c>
    </row>
    <row r="25111" spans="1:16" x14ac:dyDescent="0.25">
      <c r="A25111" t="s">
        <v>3296</v>
      </c>
      <c r="B25111" t="s">
        <v>2931</v>
      </c>
      <c r="C25111">
        <v>15450</v>
      </c>
      <c r="D25111" t="str">
        <f>"104000018917"</f>
        <v>104000018917</v>
      </c>
      <c r="E25111" t="s">
        <v>397</v>
      </c>
      <c r="F25111" t="s">
        <v>398</v>
      </c>
      <c r="G25111">
        <v>24.24</v>
      </c>
      <c r="H25111">
        <v>251117</v>
      </c>
      <c r="I25111">
        <v>4600</v>
      </c>
      <c r="J25111" t="s">
        <v>278</v>
      </c>
      <c r="K25111">
        <v>82.92</v>
      </c>
      <c r="L25111">
        <v>4.93</v>
      </c>
      <c r="M25111">
        <v>56565</v>
      </c>
      <c r="N25111" t="s">
        <v>57</v>
      </c>
      <c r="O25111">
        <v>251120</v>
      </c>
      <c r="P25111">
        <v>19.309999999999999</v>
      </c>
    </row>
    <row r="25112" spans="1:16" x14ac:dyDescent="0.25">
      <c r="A25112" t="s">
        <v>3296</v>
      </c>
      <c r="B25112" t="s">
        <v>2931</v>
      </c>
      <c r="C25112">
        <v>15450</v>
      </c>
      <c r="D25112" t="str">
        <f>"104000018917"</f>
        <v>104000018917</v>
      </c>
      <c r="E25112" t="s">
        <v>397</v>
      </c>
      <c r="F25112" t="s">
        <v>398</v>
      </c>
      <c r="G25112">
        <v>58.68</v>
      </c>
      <c r="H25112">
        <v>251117</v>
      </c>
      <c r="I25112">
        <v>4600</v>
      </c>
      <c r="J25112" t="s">
        <v>278</v>
      </c>
      <c r="K25112">
        <v>82.92</v>
      </c>
      <c r="L25112">
        <v>11.92</v>
      </c>
      <c r="M25112">
        <v>56573</v>
      </c>
      <c r="N25112" t="s">
        <v>843</v>
      </c>
      <c r="O25112">
        <v>251120</v>
      </c>
      <c r="P25112">
        <v>46.76</v>
      </c>
    </row>
    <row r="25113" spans="1:16" x14ac:dyDescent="0.25">
      <c r="A25113" t="s">
        <v>3296</v>
      </c>
      <c r="B25113" t="s">
        <v>2931</v>
      </c>
      <c r="C25113">
        <v>15453</v>
      </c>
      <c r="D25113" t="str">
        <f>"104000018367"</f>
        <v>104000018367</v>
      </c>
      <c r="E25113" t="s">
        <v>397</v>
      </c>
      <c r="F25113" t="s">
        <v>398</v>
      </c>
      <c r="G25113">
        <v>49.31</v>
      </c>
      <c r="H25113">
        <v>251117</v>
      </c>
      <c r="I25113">
        <v>4600</v>
      </c>
      <c r="J25113" t="s">
        <v>278</v>
      </c>
      <c r="K25113">
        <v>49.31</v>
      </c>
      <c r="L25113">
        <v>10.02</v>
      </c>
      <c r="M25113">
        <v>56568</v>
      </c>
      <c r="N25113" t="s">
        <v>354</v>
      </c>
      <c r="O25113">
        <v>251120</v>
      </c>
      <c r="P25113">
        <v>39.29</v>
      </c>
    </row>
    <row r="25114" spans="1:16" x14ac:dyDescent="0.25">
      <c r="A25114" t="s">
        <v>3296</v>
      </c>
      <c r="B25114" t="s">
        <v>2931</v>
      </c>
      <c r="C25114">
        <v>15455</v>
      </c>
      <c r="D25114" t="str">
        <f>"104000018338"</f>
        <v>104000018338</v>
      </c>
      <c r="E25114" t="s">
        <v>397</v>
      </c>
      <c r="F25114" t="s">
        <v>398</v>
      </c>
      <c r="G25114">
        <v>220.15</v>
      </c>
      <c r="H25114">
        <v>251117</v>
      </c>
      <c r="I25114">
        <v>4600</v>
      </c>
      <c r="J25114" t="s">
        <v>278</v>
      </c>
      <c r="K25114">
        <v>220.15</v>
      </c>
      <c r="L25114">
        <v>44.73</v>
      </c>
      <c r="M25114">
        <v>56568</v>
      </c>
      <c r="N25114" t="s">
        <v>354</v>
      </c>
      <c r="O25114">
        <v>251120</v>
      </c>
      <c r="P25114">
        <v>175.42</v>
      </c>
    </row>
    <row r="25115" spans="1:16" x14ac:dyDescent="0.25">
      <c r="A25115" t="s">
        <v>3296</v>
      </c>
      <c r="B25115" t="s">
        <v>2931</v>
      </c>
      <c r="C25115">
        <v>15456</v>
      </c>
      <c r="D25115" t="str">
        <f>"104000018948"</f>
        <v>104000018948</v>
      </c>
      <c r="E25115" t="s">
        <v>397</v>
      </c>
      <c r="F25115" t="s">
        <v>398</v>
      </c>
      <c r="G25115">
        <v>542.58000000000004</v>
      </c>
      <c r="H25115">
        <v>251117</v>
      </c>
      <c r="I25115">
        <v>4600</v>
      </c>
      <c r="J25115" t="s">
        <v>278</v>
      </c>
      <c r="K25115">
        <v>542.58000000000004</v>
      </c>
      <c r="L25115">
        <v>110.25</v>
      </c>
      <c r="M25115">
        <v>56568</v>
      </c>
      <c r="N25115" t="s">
        <v>354</v>
      </c>
      <c r="O25115">
        <v>251120</v>
      </c>
      <c r="P25115">
        <v>432.33</v>
      </c>
    </row>
    <row r="25116" spans="1:16" x14ac:dyDescent="0.25">
      <c r="A25116" t="s">
        <v>3296</v>
      </c>
      <c r="B25116" t="s">
        <v>2931</v>
      </c>
      <c r="C25116">
        <v>15463</v>
      </c>
      <c r="D25116" t="str">
        <f>"104000018357"</f>
        <v>104000018357</v>
      </c>
      <c r="E25116" t="s">
        <v>397</v>
      </c>
      <c r="F25116" t="s">
        <v>398</v>
      </c>
      <c r="G25116">
        <v>102.01</v>
      </c>
      <c r="H25116">
        <v>251117</v>
      </c>
      <c r="I25116">
        <v>4600</v>
      </c>
      <c r="J25116" t="s">
        <v>278</v>
      </c>
      <c r="K25116">
        <v>102.01</v>
      </c>
      <c r="L25116">
        <v>20.73</v>
      </c>
      <c r="M25116">
        <v>56568</v>
      </c>
      <c r="N25116" t="s">
        <v>354</v>
      </c>
      <c r="O25116">
        <v>251121</v>
      </c>
      <c r="P25116">
        <v>81.28</v>
      </c>
    </row>
    <row r="25117" spans="1:16" x14ac:dyDescent="0.25">
      <c r="A25117" t="s">
        <v>3296</v>
      </c>
      <c r="B25117" t="s">
        <v>2931</v>
      </c>
      <c r="C25117">
        <v>15473</v>
      </c>
      <c r="D25117" t="str">
        <f>"104000019305"</f>
        <v>104000019305</v>
      </c>
      <c r="E25117" t="s">
        <v>397</v>
      </c>
      <c r="F25117" t="s">
        <v>398</v>
      </c>
      <c r="G25117">
        <v>122.31</v>
      </c>
      <c r="H25117">
        <v>251117</v>
      </c>
      <c r="I25117">
        <v>4600</v>
      </c>
      <c r="J25117" t="s">
        <v>278</v>
      </c>
      <c r="K25117">
        <v>122.31</v>
      </c>
      <c r="L25117">
        <v>24.85</v>
      </c>
      <c r="M25117">
        <v>56568</v>
      </c>
      <c r="N25117" t="s">
        <v>354</v>
      </c>
      <c r="O25117">
        <v>251121</v>
      </c>
      <c r="P25117">
        <v>97.46</v>
      </c>
    </row>
    <row r="25118" spans="1:16" x14ac:dyDescent="0.25">
      <c r="A25118" t="s">
        <v>3296</v>
      </c>
      <c r="B25118" t="s">
        <v>2931</v>
      </c>
      <c r="C25118">
        <v>15480</v>
      </c>
      <c r="D25118" t="str">
        <f>"104000018337"</f>
        <v>104000018337</v>
      </c>
      <c r="E25118" t="s">
        <v>397</v>
      </c>
      <c r="F25118" t="s">
        <v>398</v>
      </c>
      <c r="G25118">
        <v>154.88999999999999</v>
      </c>
      <c r="H25118">
        <v>251117</v>
      </c>
      <c r="I25118">
        <v>4600</v>
      </c>
      <c r="J25118" t="s">
        <v>278</v>
      </c>
      <c r="K25118">
        <v>154.88999999999999</v>
      </c>
      <c r="L25118">
        <v>31.47</v>
      </c>
      <c r="M25118">
        <v>56568</v>
      </c>
      <c r="N25118" t="s">
        <v>354</v>
      </c>
      <c r="O25118">
        <v>251121</v>
      </c>
      <c r="P25118">
        <v>123.42</v>
      </c>
    </row>
    <row r="25119" spans="1:16" x14ac:dyDescent="0.25">
      <c r="A25119" t="s">
        <v>3296</v>
      </c>
      <c r="B25119" t="s">
        <v>2931</v>
      </c>
      <c r="C25119">
        <v>15482</v>
      </c>
      <c r="D25119" t="str">
        <f>"104000019627"</f>
        <v>104000019627</v>
      </c>
      <c r="E25119" t="s">
        <v>397</v>
      </c>
      <c r="F25119" t="s">
        <v>398</v>
      </c>
      <c r="G25119">
        <v>22.97</v>
      </c>
      <c r="H25119">
        <v>251117</v>
      </c>
      <c r="I25119">
        <v>4600</v>
      </c>
      <c r="J25119" t="s">
        <v>278</v>
      </c>
      <c r="K25119">
        <v>22.97</v>
      </c>
      <c r="L25119">
        <v>4.67</v>
      </c>
      <c r="M25119">
        <v>56568</v>
      </c>
      <c r="N25119" t="s">
        <v>354</v>
      </c>
      <c r="O25119">
        <v>251121</v>
      </c>
      <c r="P25119">
        <v>18.3</v>
      </c>
    </row>
    <row r="25120" spans="1:16" x14ac:dyDescent="0.25">
      <c r="A25120" t="s">
        <v>3296</v>
      </c>
      <c r="B25120" t="s">
        <v>2931</v>
      </c>
      <c r="C25120">
        <v>15691</v>
      </c>
      <c r="D25120" t="str">
        <f>"104000018188"</f>
        <v>104000018188</v>
      </c>
      <c r="E25120" t="s">
        <v>397</v>
      </c>
      <c r="F25120" t="s">
        <v>398</v>
      </c>
      <c r="G25120">
        <v>124.44</v>
      </c>
      <c r="H25120">
        <v>251117</v>
      </c>
      <c r="I25120">
        <v>4600</v>
      </c>
      <c r="J25120" t="s">
        <v>278</v>
      </c>
      <c r="K25120">
        <v>169.94</v>
      </c>
      <c r="L25120">
        <v>25.28</v>
      </c>
      <c r="M25120">
        <v>56565</v>
      </c>
      <c r="N25120" t="s">
        <v>57</v>
      </c>
      <c r="O25120">
        <v>251125</v>
      </c>
      <c r="P25120">
        <v>99.16</v>
      </c>
    </row>
    <row r="25121" spans="1:16" x14ac:dyDescent="0.25">
      <c r="A25121" t="s">
        <v>3296</v>
      </c>
      <c r="B25121" t="s">
        <v>2931</v>
      </c>
      <c r="C25121">
        <v>15691</v>
      </c>
      <c r="D25121" t="str">
        <f>"104000018188"</f>
        <v>104000018188</v>
      </c>
      <c r="E25121" t="s">
        <v>397</v>
      </c>
      <c r="F25121" t="s">
        <v>398</v>
      </c>
      <c r="G25121">
        <v>45.5</v>
      </c>
      <c r="H25121">
        <v>251117</v>
      </c>
      <c r="I25121">
        <v>4600</v>
      </c>
      <c r="J25121" t="s">
        <v>278</v>
      </c>
      <c r="K25121">
        <v>169.94</v>
      </c>
      <c r="L25121">
        <v>9.25</v>
      </c>
      <c r="M25121">
        <v>56573</v>
      </c>
      <c r="N25121" t="s">
        <v>843</v>
      </c>
      <c r="O25121">
        <v>251125</v>
      </c>
      <c r="P25121">
        <v>36.25</v>
      </c>
    </row>
    <row r="25122" spans="1:16" x14ac:dyDescent="0.25">
      <c r="A25122" t="s">
        <v>3296</v>
      </c>
      <c r="B25122" t="s">
        <v>2931</v>
      </c>
      <c r="C25122">
        <v>15817</v>
      </c>
      <c r="D25122" t="str">
        <f>"104000022292"</f>
        <v>104000022292</v>
      </c>
      <c r="E25122" t="s">
        <v>397</v>
      </c>
      <c r="F25122" t="s">
        <v>398</v>
      </c>
      <c r="G25122">
        <v>139.79</v>
      </c>
      <c r="H25122">
        <v>251124</v>
      </c>
      <c r="I25122">
        <v>4600</v>
      </c>
      <c r="J25122" t="s">
        <v>278</v>
      </c>
      <c r="K25122">
        <v>139.79</v>
      </c>
      <c r="L25122">
        <v>28.4</v>
      </c>
      <c r="M25122">
        <v>56568</v>
      </c>
      <c r="N25122" t="s">
        <v>354</v>
      </c>
      <c r="O25122">
        <v>251127</v>
      </c>
      <c r="P25122">
        <v>111.39</v>
      </c>
    </row>
    <row r="25123" spans="1:16" x14ac:dyDescent="0.25">
      <c r="A25123" t="s">
        <v>3296</v>
      </c>
      <c r="B25123" t="s">
        <v>2931</v>
      </c>
      <c r="C25123">
        <v>15818</v>
      </c>
      <c r="D25123" t="str">
        <f>"104000021315"</f>
        <v>104000021315</v>
      </c>
      <c r="E25123" t="s">
        <v>397</v>
      </c>
      <c r="F25123" t="s">
        <v>398</v>
      </c>
      <c r="G25123">
        <v>123.79</v>
      </c>
      <c r="H25123">
        <v>251124</v>
      </c>
      <c r="I25123">
        <v>4600</v>
      </c>
      <c r="J25123" t="s">
        <v>278</v>
      </c>
      <c r="K25123">
        <v>123.79</v>
      </c>
      <c r="L25123">
        <v>25.15</v>
      </c>
      <c r="M25123">
        <v>56568</v>
      </c>
      <c r="N25123" t="s">
        <v>354</v>
      </c>
      <c r="O25123">
        <v>251127</v>
      </c>
      <c r="P25123">
        <v>98.64</v>
      </c>
    </row>
    <row r="25124" spans="1:16" x14ac:dyDescent="0.25">
      <c r="A25124" t="s">
        <v>3296</v>
      </c>
      <c r="B25124" t="s">
        <v>2931</v>
      </c>
      <c r="C25124">
        <v>15821</v>
      </c>
      <c r="D25124" t="str">
        <f>"104000021905"</f>
        <v>104000021905</v>
      </c>
      <c r="E25124" t="s">
        <v>397</v>
      </c>
      <c r="F25124" t="s">
        <v>398</v>
      </c>
      <c r="G25124">
        <v>38.39</v>
      </c>
      <c r="H25124">
        <v>251124</v>
      </c>
      <c r="I25124">
        <v>4600</v>
      </c>
      <c r="J25124" t="s">
        <v>278</v>
      </c>
      <c r="K25124">
        <v>38.39</v>
      </c>
      <c r="L25124">
        <v>7.8</v>
      </c>
      <c r="M25124">
        <v>56568</v>
      </c>
      <c r="N25124" t="s">
        <v>354</v>
      </c>
      <c r="O25124">
        <v>251127</v>
      </c>
      <c r="P25124">
        <v>30.59</v>
      </c>
    </row>
    <row r="25125" spans="1:16" x14ac:dyDescent="0.25">
      <c r="A25125" t="s">
        <v>3296</v>
      </c>
      <c r="B25125" t="s">
        <v>2931</v>
      </c>
      <c r="C25125">
        <v>15822</v>
      </c>
      <c r="D25125" t="str">
        <f>"104000021904"</f>
        <v>104000021904</v>
      </c>
      <c r="E25125" t="s">
        <v>397</v>
      </c>
      <c r="F25125" t="s">
        <v>398</v>
      </c>
      <c r="G25125">
        <v>22.17</v>
      </c>
      <c r="H25125">
        <v>251124</v>
      </c>
      <c r="I25125">
        <v>4600</v>
      </c>
      <c r="J25125" t="s">
        <v>278</v>
      </c>
      <c r="K25125">
        <v>22.17</v>
      </c>
      <c r="L25125">
        <v>4.5</v>
      </c>
      <c r="M25125">
        <v>56568</v>
      </c>
      <c r="N25125" t="s">
        <v>354</v>
      </c>
      <c r="O25125">
        <v>251127</v>
      </c>
      <c r="P25125">
        <v>17.670000000000002</v>
      </c>
    </row>
    <row r="25126" spans="1:16" x14ac:dyDescent="0.25">
      <c r="A25126" t="s">
        <v>3296</v>
      </c>
      <c r="B25126" t="s">
        <v>2931</v>
      </c>
      <c r="C25126">
        <v>15824</v>
      </c>
      <c r="D25126" t="str">
        <f>"104000022315"</f>
        <v>104000022315</v>
      </c>
      <c r="E25126" t="s">
        <v>397</v>
      </c>
      <c r="F25126" t="s">
        <v>398</v>
      </c>
      <c r="G25126">
        <v>53.35</v>
      </c>
      <c r="H25126">
        <v>251124</v>
      </c>
      <c r="I25126">
        <v>4600</v>
      </c>
      <c r="J25126" t="s">
        <v>278</v>
      </c>
      <c r="K25126">
        <v>53.35</v>
      </c>
      <c r="L25126">
        <v>10.84</v>
      </c>
      <c r="M25126">
        <v>56568</v>
      </c>
      <c r="N25126" t="s">
        <v>354</v>
      </c>
      <c r="O25126">
        <v>251127</v>
      </c>
      <c r="P25126">
        <v>42.51</v>
      </c>
    </row>
    <row r="25127" spans="1:16" x14ac:dyDescent="0.25">
      <c r="A25127" t="s">
        <v>3296</v>
      </c>
      <c r="B25127" t="s">
        <v>2931</v>
      </c>
      <c r="C25127">
        <v>15826</v>
      </c>
      <c r="D25127" t="str">
        <f>"104000022675"</f>
        <v>104000022675</v>
      </c>
      <c r="E25127" t="s">
        <v>397</v>
      </c>
      <c r="F25127" t="s">
        <v>398</v>
      </c>
      <c r="G25127">
        <v>30.91</v>
      </c>
      <c r="H25127">
        <v>251124</v>
      </c>
      <c r="I25127">
        <v>4600</v>
      </c>
      <c r="J25127" t="s">
        <v>278</v>
      </c>
      <c r="K25127">
        <v>30.91</v>
      </c>
      <c r="L25127">
        <v>6.28</v>
      </c>
      <c r="M25127">
        <v>56568</v>
      </c>
      <c r="N25127" t="s">
        <v>354</v>
      </c>
      <c r="O25127">
        <v>251127</v>
      </c>
      <c r="P25127">
        <v>24.63</v>
      </c>
    </row>
    <row r="25128" spans="1:16" x14ac:dyDescent="0.25">
      <c r="A25128" t="s">
        <v>3296</v>
      </c>
      <c r="B25128" t="s">
        <v>2931</v>
      </c>
      <c r="C25128">
        <v>15827</v>
      </c>
      <c r="D25128" t="str">
        <f>"104000022316"</f>
        <v>104000022316</v>
      </c>
      <c r="E25128" t="s">
        <v>397</v>
      </c>
      <c r="F25128" t="s">
        <v>398</v>
      </c>
      <c r="G25128">
        <v>22.9</v>
      </c>
      <c r="H25128">
        <v>251124</v>
      </c>
      <c r="I25128">
        <v>4600</v>
      </c>
      <c r="J25128" t="s">
        <v>278</v>
      </c>
      <c r="K25128">
        <v>22.9</v>
      </c>
      <c r="L25128">
        <v>4.6500000000000004</v>
      </c>
      <c r="M25128">
        <v>56568</v>
      </c>
      <c r="N25128" t="s">
        <v>354</v>
      </c>
      <c r="O25128">
        <v>251127</v>
      </c>
      <c r="P25128">
        <v>18.25</v>
      </c>
    </row>
    <row r="25129" spans="1:16" x14ac:dyDescent="0.25">
      <c r="A25129" t="s">
        <v>3296</v>
      </c>
      <c r="B25129" t="s">
        <v>2931</v>
      </c>
      <c r="C25129">
        <v>15828</v>
      </c>
      <c r="D25129" t="str">
        <f>"104000020374"</f>
        <v>104000020374</v>
      </c>
      <c r="E25129" t="s">
        <v>397</v>
      </c>
      <c r="F25129" t="s">
        <v>398</v>
      </c>
      <c r="G25129">
        <v>110.23</v>
      </c>
      <c r="H25129">
        <v>251124</v>
      </c>
      <c r="I25129">
        <v>4600</v>
      </c>
      <c r="J25129" t="s">
        <v>278</v>
      </c>
      <c r="K25129">
        <v>110.23</v>
      </c>
      <c r="L25129">
        <v>22.4</v>
      </c>
      <c r="M25129">
        <v>56568</v>
      </c>
      <c r="N25129" t="s">
        <v>354</v>
      </c>
      <c r="O25129">
        <v>251127</v>
      </c>
      <c r="P25129">
        <v>87.83</v>
      </c>
    </row>
    <row r="25130" spans="1:16" x14ac:dyDescent="0.25">
      <c r="A25130" t="s">
        <v>3296</v>
      </c>
      <c r="B25130" t="s">
        <v>2931</v>
      </c>
      <c r="C25130">
        <v>15830</v>
      </c>
      <c r="D25130" t="str">
        <f>"104000022660"</f>
        <v>104000022660</v>
      </c>
      <c r="E25130" t="s">
        <v>397</v>
      </c>
      <c r="F25130" t="s">
        <v>398</v>
      </c>
      <c r="G25130">
        <v>33.31</v>
      </c>
      <c r="H25130">
        <v>251124</v>
      </c>
      <c r="I25130">
        <v>4600</v>
      </c>
      <c r="J25130" t="s">
        <v>278</v>
      </c>
      <c r="K25130">
        <v>33.31</v>
      </c>
      <c r="L25130">
        <v>6.77</v>
      </c>
      <c r="M25130">
        <v>56568</v>
      </c>
      <c r="N25130" t="s">
        <v>354</v>
      </c>
      <c r="O25130">
        <v>251127</v>
      </c>
      <c r="P25130">
        <v>26.54</v>
      </c>
    </row>
    <row r="25131" spans="1:16" x14ac:dyDescent="0.25">
      <c r="A25131" t="s">
        <v>3296</v>
      </c>
      <c r="B25131" t="s">
        <v>2931</v>
      </c>
      <c r="C25131">
        <v>15831</v>
      </c>
      <c r="D25131" t="str">
        <f>"104000022661"</f>
        <v>104000022661</v>
      </c>
      <c r="E25131" t="s">
        <v>397</v>
      </c>
      <c r="F25131" t="s">
        <v>398</v>
      </c>
      <c r="G25131">
        <v>66.59</v>
      </c>
      <c r="H25131">
        <v>251124</v>
      </c>
      <c r="I25131">
        <v>4600</v>
      </c>
      <c r="J25131" t="s">
        <v>278</v>
      </c>
      <c r="K25131">
        <v>66.59</v>
      </c>
      <c r="L25131">
        <v>13.53</v>
      </c>
      <c r="M25131">
        <v>56568</v>
      </c>
      <c r="N25131" t="s">
        <v>354</v>
      </c>
      <c r="O25131">
        <v>251127</v>
      </c>
      <c r="P25131">
        <v>53.06</v>
      </c>
    </row>
    <row r="25132" spans="1:16" x14ac:dyDescent="0.25">
      <c r="A25132" t="s">
        <v>3296</v>
      </c>
      <c r="B25132" t="s">
        <v>2931</v>
      </c>
      <c r="C25132">
        <v>15832</v>
      </c>
      <c r="D25132" t="str">
        <f>"104000022291"</f>
        <v>104000022291</v>
      </c>
      <c r="E25132" t="s">
        <v>397</v>
      </c>
      <c r="F25132" t="s">
        <v>398</v>
      </c>
      <c r="G25132">
        <v>296.41000000000003</v>
      </c>
      <c r="H25132">
        <v>251124</v>
      </c>
      <c r="I25132">
        <v>4600</v>
      </c>
      <c r="J25132" t="s">
        <v>278</v>
      </c>
      <c r="K25132">
        <v>296.41000000000003</v>
      </c>
      <c r="L25132">
        <v>60.23</v>
      </c>
      <c r="M25132">
        <v>56568</v>
      </c>
      <c r="N25132" t="s">
        <v>354</v>
      </c>
      <c r="O25132">
        <v>251127</v>
      </c>
      <c r="P25132">
        <v>236.18</v>
      </c>
    </row>
    <row r="25133" spans="1:16" x14ac:dyDescent="0.25">
      <c r="A25133" t="s">
        <v>3296</v>
      </c>
      <c r="B25133" t="s">
        <v>2931</v>
      </c>
      <c r="C25133">
        <v>15912</v>
      </c>
      <c r="D25133" t="str">
        <f>"104000022286"</f>
        <v>104000022286</v>
      </c>
      <c r="E25133" t="s">
        <v>397</v>
      </c>
      <c r="F25133" t="s">
        <v>398</v>
      </c>
      <c r="G25133">
        <v>99.57</v>
      </c>
      <c r="H25133">
        <v>251124</v>
      </c>
      <c r="I25133">
        <v>4600</v>
      </c>
      <c r="J25133" t="s">
        <v>278</v>
      </c>
      <c r="K25133">
        <v>105.96</v>
      </c>
      <c r="L25133">
        <v>20.23</v>
      </c>
      <c r="M25133">
        <v>56573</v>
      </c>
      <c r="N25133" t="s">
        <v>843</v>
      </c>
      <c r="O25133">
        <v>251128</v>
      </c>
      <c r="P25133">
        <v>79.34</v>
      </c>
    </row>
    <row r="25134" spans="1:16" x14ac:dyDescent="0.25">
      <c r="A25134" t="s">
        <v>3296</v>
      </c>
      <c r="B25134" t="s">
        <v>2931</v>
      </c>
      <c r="C25134">
        <v>16161</v>
      </c>
      <c r="D25134" t="str">
        <f>"104000025945"</f>
        <v>104000025945</v>
      </c>
      <c r="E25134" t="s">
        <v>397</v>
      </c>
      <c r="F25134" t="s">
        <v>398</v>
      </c>
      <c r="G25134">
        <v>-13.9</v>
      </c>
      <c r="H25134">
        <v>251130</v>
      </c>
      <c r="I25134">
        <v>4600</v>
      </c>
      <c r="J25134" t="s">
        <v>278</v>
      </c>
      <c r="K25134">
        <v>-13.9</v>
      </c>
      <c r="L25134">
        <v>-2.82</v>
      </c>
      <c r="M25134">
        <v>56568</v>
      </c>
      <c r="N25134" t="s">
        <v>354</v>
      </c>
      <c r="O25134">
        <v>251204</v>
      </c>
      <c r="P25134">
        <v>-11.08</v>
      </c>
    </row>
    <row r="25135" spans="1:16" x14ac:dyDescent="0.25">
      <c r="A25135" t="s">
        <v>3296</v>
      </c>
      <c r="B25135" t="s">
        <v>2931</v>
      </c>
      <c r="C25135">
        <v>16162</v>
      </c>
      <c r="D25135" t="str">
        <f>"104000024758"</f>
        <v>104000024758</v>
      </c>
      <c r="E25135" t="s">
        <v>397</v>
      </c>
      <c r="F25135" t="s">
        <v>398</v>
      </c>
      <c r="G25135">
        <v>-80</v>
      </c>
      <c r="H25135">
        <v>251130</v>
      </c>
      <c r="I25135">
        <v>4600</v>
      </c>
      <c r="J25135" t="s">
        <v>278</v>
      </c>
      <c r="K25135">
        <v>-80</v>
      </c>
      <c r="L25135">
        <v>-16.25</v>
      </c>
      <c r="M25135">
        <v>56568</v>
      </c>
      <c r="N25135" t="s">
        <v>354</v>
      </c>
      <c r="O25135">
        <v>251204</v>
      </c>
      <c r="P25135">
        <v>-63.75</v>
      </c>
    </row>
    <row r="25136" spans="1:16" x14ac:dyDescent="0.25">
      <c r="A25136" t="s">
        <v>3296</v>
      </c>
      <c r="B25136" t="s">
        <v>2931</v>
      </c>
      <c r="C25136">
        <v>16163</v>
      </c>
      <c r="D25136" t="str">
        <f>"104000024311"</f>
        <v>104000024311</v>
      </c>
      <c r="E25136" t="s">
        <v>397</v>
      </c>
      <c r="F25136" t="s">
        <v>398</v>
      </c>
      <c r="G25136">
        <v>-68.02</v>
      </c>
      <c r="H25136">
        <v>251130</v>
      </c>
      <c r="I25136">
        <v>4600</v>
      </c>
      <c r="J25136" t="s">
        <v>278</v>
      </c>
      <c r="K25136">
        <v>-68.02</v>
      </c>
      <c r="L25136">
        <v>-13.82</v>
      </c>
      <c r="M25136">
        <v>56568</v>
      </c>
      <c r="N25136" t="s">
        <v>354</v>
      </c>
      <c r="O25136">
        <v>251204</v>
      </c>
      <c r="P25136">
        <v>-54.2</v>
      </c>
    </row>
    <row r="25137" spans="1:16" x14ac:dyDescent="0.25">
      <c r="A25137" t="s">
        <v>3296</v>
      </c>
      <c r="B25137" t="s">
        <v>2931</v>
      </c>
      <c r="C25137">
        <v>16164</v>
      </c>
      <c r="D25137" t="str">
        <f>"104000024310"</f>
        <v>104000024310</v>
      </c>
      <c r="E25137" t="s">
        <v>397</v>
      </c>
      <c r="F25137" t="s">
        <v>398</v>
      </c>
      <c r="G25137">
        <v>-45.24</v>
      </c>
      <c r="H25137">
        <v>251130</v>
      </c>
      <c r="I25137">
        <v>4600</v>
      </c>
      <c r="J25137" t="s">
        <v>278</v>
      </c>
      <c r="K25137">
        <v>-45.24</v>
      </c>
      <c r="L25137">
        <v>-9.19</v>
      </c>
      <c r="M25137">
        <v>56568</v>
      </c>
      <c r="N25137" t="s">
        <v>354</v>
      </c>
      <c r="O25137">
        <v>251204</v>
      </c>
      <c r="P25137">
        <v>-36.049999999999997</v>
      </c>
    </row>
    <row r="25138" spans="1:16" x14ac:dyDescent="0.25">
      <c r="A25138" t="s">
        <v>3296</v>
      </c>
      <c r="B25138" t="s">
        <v>2931</v>
      </c>
      <c r="C25138">
        <v>16165</v>
      </c>
      <c r="D25138" t="str">
        <f>"104000025948"</f>
        <v>104000025948</v>
      </c>
      <c r="E25138" t="s">
        <v>397</v>
      </c>
      <c r="F25138" t="s">
        <v>398</v>
      </c>
      <c r="G25138">
        <v>-18.059999999999999</v>
      </c>
      <c r="H25138">
        <v>251130</v>
      </c>
      <c r="I25138">
        <v>4600</v>
      </c>
      <c r="J25138" t="s">
        <v>278</v>
      </c>
      <c r="K25138">
        <v>-18.059999999999999</v>
      </c>
      <c r="L25138">
        <v>-3.67</v>
      </c>
      <c r="M25138">
        <v>56568</v>
      </c>
      <c r="N25138" t="s">
        <v>354</v>
      </c>
      <c r="O25138">
        <v>251204</v>
      </c>
      <c r="P25138">
        <v>-14.39</v>
      </c>
    </row>
    <row r="25139" spans="1:16" x14ac:dyDescent="0.25">
      <c r="A25139" t="s">
        <v>3296</v>
      </c>
      <c r="B25139" t="s">
        <v>2931</v>
      </c>
      <c r="C25139">
        <v>16166</v>
      </c>
      <c r="D25139" t="str">
        <f>"104000024308"</f>
        <v>104000024308</v>
      </c>
      <c r="E25139" t="s">
        <v>397</v>
      </c>
      <c r="F25139" t="s">
        <v>398</v>
      </c>
      <c r="G25139">
        <v>-108.36</v>
      </c>
      <c r="H25139">
        <v>251130</v>
      </c>
      <c r="I25139">
        <v>4600</v>
      </c>
      <c r="J25139" t="s">
        <v>278</v>
      </c>
      <c r="K25139">
        <v>-108.36</v>
      </c>
      <c r="L25139">
        <v>-22.02</v>
      </c>
      <c r="M25139">
        <v>56568</v>
      </c>
      <c r="N25139" t="s">
        <v>354</v>
      </c>
      <c r="O25139">
        <v>251204</v>
      </c>
      <c r="P25139">
        <v>-86.34</v>
      </c>
    </row>
    <row r="25140" spans="1:16" x14ac:dyDescent="0.25">
      <c r="A25140" t="s">
        <v>3296</v>
      </c>
      <c r="B25140" t="s">
        <v>2931</v>
      </c>
      <c r="C25140">
        <v>16172</v>
      </c>
      <c r="D25140" t="str">
        <f>"104000025413"</f>
        <v>104000025413</v>
      </c>
      <c r="E25140" t="s">
        <v>397</v>
      </c>
      <c r="F25140" t="s">
        <v>398</v>
      </c>
      <c r="G25140">
        <v>35.47</v>
      </c>
      <c r="H25140">
        <v>251130</v>
      </c>
      <c r="I25140">
        <v>4600</v>
      </c>
      <c r="J25140" t="s">
        <v>278</v>
      </c>
      <c r="K25140">
        <v>35.47</v>
      </c>
      <c r="L25140">
        <v>7.21</v>
      </c>
      <c r="M25140">
        <v>56568</v>
      </c>
      <c r="N25140" t="s">
        <v>354</v>
      </c>
      <c r="O25140">
        <v>251204</v>
      </c>
      <c r="P25140">
        <v>28.26</v>
      </c>
    </row>
    <row r="25141" spans="1:16" x14ac:dyDescent="0.25">
      <c r="A25141" t="s">
        <v>3296</v>
      </c>
      <c r="B25141" t="s">
        <v>2931</v>
      </c>
      <c r="C25141">
        <v>16174</v>
      </c>
      <c r="D25141" t="str">
        <f>"104000025017"</f>
        <v>104000025017</v>
      </c>
      <c r="E25141" t="s">
        <v>397</v>
      </c>
      <c r="F25141" t="s">
        <v>398</v>
      </c>
      <c r="G25141">
        <v>345.87</v>
      </c>
      <c r="H25141">
        <v>251130</v>
      </c>
      <c r="I25141">
        <v>4600</v>
      </c>
      <c r="J25141" t="s">
        <v>278</v>
      </c>
      <c r="K25141">
        <v>345.87</v>
      </c>
      <c r="L25141">
        <v>70.28</v>
      </c>
      <c r="M25141">
        <v>56568</v>
      </c>
      <c r="N25141" t="s">
        <v>354</v>
      </c>
      <c r="O25141">
        <v>251204</v>
      </c>
      <c r="P25141">
        <v>275.58999999999997</v>
      </c>
    </row>
    <row r="25142" spans="1:16" x14ac:dyDescent="0.25">
      <c r="A25142" t="s">
        <v>3296</v>
      </c>
      <c r="B25142" t="s">
        <v>2931</v>
      </c>
      <c r="C25142">
        <v>16175</v>
      </c>
      <c r="D25142" t="str">
        <f>"104000025015"</f>
        <v>104000025015</v>
      </c>
      <c r="E25142" t="s">
        <v>397</v>
      </c>
      <c r="F25142" t="s">
        <v>398</v>
      </c>
      <c r="G25142">
        <v>127.43</v>
      </c>
      <c r="H25142">
        <v>251130</v>
      </c>
      <c r="I25142">
        <v>4600</v>
      </c>
      <c r="J25142" t="s">
        <v>278</v>
      </c>
      <c r="K25142">
        <v>127.43</v>
      </c>
      <c r="L25142">
        <v>25.89</v>
      </c>
      <c r="M25142">
        <v>56568</v>
      </c>
      <c r="N25142" t="s">
        <v>354</v>
      </c>
      <c r="O25142">
        <v>251204</v>
      </c>
      <c r="P25142">
        <v>101.54</v>
      </c>
    </row>
    <row r="25143" spans="1:16" x14ac:dyDescent="0.25">
      <c r="A25143" t="s">
        <v>3296</v>
      </c>
      <c r="B25143" t="s">
        <v>2931</v>
      </c>
      <c r="C25143">
        <v>16178</v>
      </c>
      <c r="D25143" t="str">
        <f>"104000025016"</f>
        <v>104000025016</v>
      </c>
      <c r="E25143" t="s">
        <v>397</v>
      </c>
      <c r="F25143" t="s">
        <v>398</v>
      </c>
      <c r="G25143">
        <v>65.69</v>
      </c>
      <c r="H25143">
        <v>251130</v>
      </c>
      <c r="I25143">
        <v>4600</v>
      </c>
      <c r="J25143" t="s">
        <v>278</v>
      </c>
      <c r="K25143">
        <v>65.69</v>
      </c>
      <c r="L25143">
        <v>13.35</v>
      </c>
      <c r="M25143">
        <v>56568</v>
      </c>
      <c r="N25143" t="s">
        <v>354</v>
      </c>
      <c r="O25143">
        <v>251204</v>
      </c>
      <c r="P25143">
        <v>52.34</v>
      </c>
    </row>
    <row r="25144" spans="1:16" x14ac:dyDescent="0.25">
      <c r="A25144" t="s">
        <v>3296</v>
      </c>
      <c r="B25144" t="s">
        <v>2931</v>
      </c>
      <c r="C25144">
        <v>16180</v>
      </c>
      <c r="D25144" t="str">
        <f>"104000024484"</f>
        <v>104000024484</v>
      </c>
      <c r="E25144" t="s">
        <v>397</v>
      </c>
      <c r="F25144" t="s">
        <v>398</v>
      </c>
      <c r="G25144">
        <v>189.49</v>
      </c>
      <c r="H25144">
        <v>251130</v>
      </c>
      <c r="I25144">
        <v>4600</v>
      </c>
      <c r="J25144" t="s">
        <v>278</v>
      </c>
      <c r="K25144">
        <v>189.49</v>
      </c>
      <c r="L25144">
        <v>38.5</v>
      </c>
      <c r="M25144">
        <v>56568</v>
      </c>
      <c r="N25144" t="s">
        <v>354</v>
      </c>
      <c r="O25144">
        <v>251204</v>
      </c>
      <c r="P25144">
        <v>150.99</v>
      </c>
    </row>
    <row r="25145" spans="1:16" x14ac:dyDescent="0.25">
      <c r="A25145" t="s">
        <v>3296</v>
      </c>
      <c r="B25145" t="s">
        <v>2931</v>
      </c>
      <c r="C25145">
        <v>16181</v>
      </c>
      <c r="D25145" t="str">
        <f>"104000025756"</f>
        <v>104000025756</v>
      </c>
      <c r="E25145" t="s">
        <v>397</v>
      </c>
      <c r="F25145" t="s">
        <v>398</v>
      </c>
      <c r="G25145">
        <v>281.08999999999997</v>
      </c>
      <c r="H25145">
        <v>251130</v>
      </c>
      <c r="I25145">
        <v>4600</v>
      </c>
      <c r="J25145" t="s">
        <v>278</v>
      </c>
      <c r="K25145">
        <v>281.08999999999997</v>
      </c>
      <c r="L25145">
        <v>57.11</v>
      </c>
      <c r="M25145">
        <v>56568</v>
      </c>
      <c r="N25145" t="s">
        <v>354</v>
      </c>
      <c r="O25145">
        <v>251204</v>
      </c>
      <c r="P25145">
        <v>223.98</v>
      </c>
    </row>
    <row r="25146" spans="1:16" x14ac:dyDescent="0.25">
      <c r="A25146" t="s">
        <v>3296</v>
      </c>
      <c r="B25146" t="s">
        <v>2931</v>
      </c>
      <c r="C25146">
        <v>16678</v>
      </c>
      <c r="D25146" t="str">
        <f>"104000026470"</f>
        <v>104000026470</v>
      </c>
      <c r="E25146" t="s">
        <v>397</v>
      </c>
      <c r="F25146" t="s">
        <v>398</v>
      </c>
      <c r="G25146">
        <v>133.09</v>
      </c>
      <c r="H25146">
        <v>251208</v>
      </c>
      <c r="I25146">
        <v>4600</v>
      </c>
      <c r="J25146" t="s">
        <v>278</v>
      </c>
      <c r="K25146">
        <v>205.55</v>
      </c>
      <c r="L25146">
        <v>27.04</v>
      </c>
      <c r="M25146">
        <v>56565</v>
      </c>
      <c r="N25146" t="s">
        <v>57</v>
      </c>
      <c r="O25146">
        <v>251211</v>
      </c>
      <c r="P25146">
        <v>106.05</v>
      </c>
    </row>
    <row r="25147" spans="1:16" x14ac:dyDescent="0.25">
      <c r="A25147" t="s">
        <v>3296</v>
      </c>
      <c r="B25147" t="s">
        <v>2931</v>
      </c>
      <c r="C25147">
        <v>16678</v>
      </c>
      <c r="D25147" t="str">
        <f>"104000026470"</f>
        <v>104000026470</v>
      </c>
      <c r="E25147" t="s">
        <v>397</v>
      </c>
      <c r="F25147" t="s">
        <v>398</v>
      </c>
      <c r="G25147">
        <v>72.459999999999994</v>
      </c>
      <c r="H25147">
        <v>251208</v>
      </c>
      <c r="I25147">
        <v>4600</v>
      </c>
      <c r="J25147" t="s">
        <v>278</v>
      </c>
      <c r="K25147">
        <v>205.55</v>
      </c>
      <c r="L25147">
        <v>14.72</v>
      </c>
      <c r="M25147">
        <v>56573</v>
      </c>
      <c r="N25147" t="s">
        <v>843</v>
      </c>
      <c r="O25147">
        <v>251211</v>
      </c>
      <c r="P25147">
        <v>57.74</v>
      </c>
    </row>
    <row r="25148" spans="1:16" x14ac:dyDescent="0.25">
      <c r="A25148" t="s">
        <v>3296</v>
      </c>
      <c r="B25148" t="s">
        <v>2931</v>
      </c>
      <c r="C25148">
        <v>16701</v>
      </c>
      <c r="D25148" t="str">
        <f>"104000027950"</f>
        <v>104000027950</v>
      </c>
      <c r="E25148" t="s">
        <v>397</v>
      </c>
      <c r="F25148" t="s">
        <v>398</v>
      </c>
      <c r="G25148">
        <v>115.89</v>
      </c>
      <c r="H25148">
        <v>251208</v>
      </c>
      <c r="I25148">
        <v>4600</v>
      </c>
      <c r="J25148" t="s">
        <v>278</v>
      </c>
      <c r="K25148">
        <v>115.89</v>
      </c>
      <c r="L25148">
        <v>23.55</v>
      </c>
      <c r="M25148">
        <v>56565</v>
      </c>
      <c r="N25148" t="s">
        <v>57</v>
      </c>
      <c r="O25148">
        <v>251211</v>
      </c>
      <c r="P25148">
        <v>92.34</v>
      </c>
    </row>
    <row r="25149" spans="1:16" x14ac:dyDescent="0.25">
      <c r="A25149" t="s">
        <v>3296</v>
      </c>
      <c r="B25149" t="s">
        <v>2931</v>
      </c>
      <c r="C25149">
        <v>16914</v>
      </c>
      <c r="D25149" t="str">
        <f>"104000027738"</f>
        <v>104000027738</v>
      </c>
      <c r="E25149" t="s">
        <v>397</v>
      </c>
      <c r="F25149" t="s">
        <v>398</v>
      </c>
      <c r="G25149">
        <v>-70</v>
      </c>
      <c r="H25149">
        <v>251208</v>
      </c>
      <c r="I25149">
        <v>4600</v>
      </c>
      <c r="J25149" t="s">
        <v>278</v>
      </c>
      <c r="K25149">
        <v>-70</v>
      </c>
      <c r="L25149">
        <v>-14.22</v>
      </c>
      <c r="M25149">
        <v>56568</v>
      </c>
      <c r="N25149" t="s">
        <v>354</v>
      </c>
      <c r="O25149">
        <v>251215</v>
      </c>
      <c r="P25149">
        <v>-55.78</v>
      </c>
    </row>
    <row r="25150" spans="1:16" x14ac:dyDescent="0.25">
      <c r="A25150" t="s">
        <v>3296</v>
      </c>
      <c r="B25150" t="s">
        <v>2931</v>
      </c>
      <c r="C25150">
        <v>16957</v>
      </c>
      <c r="D25150" t="str">
        <f>"104000027427"</f>
        <v>104000027427</v>
      </c>
      <c r="E25150" t="s">
        <v>397</v>
      </c>
      <c r="F25150" t="s">
        <v>398</v>
      </c>
      <c r="G25150">
        <v>36.79</v>
      </c>
      <c r="H25150">
        <v>251208</v>
      </c>
      <c r="I25150">
        <v>4600</v>
      </c>
      <c r="J25150" t="s">
        <v>278</v>
      </c>
      <c r="K25150">
        <v>36.79</v>
      </c>
      <c r="L25150">
        <v>7.48</v>
      </c>
      <c r="M25150">
        <v>56568</v>
      </c>
      <c r="N25150" t="s">
        <v>354</v>
      </c>
      <c r="O25150">
        <v>251216</v>
      </c>
      <c r="P25150">
        <v>29.31</v>
      </c>
    </row>
    <row r="25151" spans="1:16" x14ac:dyDescent="0.25">
      <c r="A25151" t="s">
        <v>3296</v>
      </c>
      <c r="B25151" t="s">
        <v>2931</v>
      </c>
      <c r="C25151">
        <v>17024</v>
      </c>
      <c r="D25151" t="str">
        <f>"104000031318"</f>
        <v>104000031318</v>
      </c>
      <c r="E25151" t="s">
        <v>397</v>
      </c>
      <c r="F25151" t="s">
        <v>398</v>
      </c>
      <c r="G25151">
        <v>151.91</v>
      </c>
      <c r="H25151">
        <v>251215</v>
      </c>
      <c r="I25151">
        <v>4600</v>
      </c>
      <c r="J25151" t="s">
        <v>278</v>
      </c>
      <c r="K25151">
        <v>151.91</v>
      </c>
      <c r="L25151">
        <v>30.87</v>
      </c>
      <c r="M25151">
        <v>56568</v>
      </c>
      <c r="N25151" t="s">
        <v>354</v>
      </c>
      <c r="O25151">
        <v>251216</v>
      </c>
      <c r="P25151">
        <v>121.04</v>
      </c>
    </row>
    <row r="25152" spans="1:16" x14ac:dyDescent="0.25">
      <c r="A25152" t="s">
        <v>3296</v>
      </c>
      <c r="B25152" t="s">
        <v>2931</v>
      </c>
      <c r="C25152">
        <v>17027</v>
      </c>
      <c r="D25152" t="str">
        <f>"104000030873"</f>
        <v>104000030873</v>
      </c>
      <c r="E25152" t="s">
        <v>397</v>
      </c>
      <c r="F25152" t="s">
        <v>398</v>
      </c>
      <c r="G25152">
        <v>27.9</v>
      </c>
      <c r="H25152">
        <v>251215</v>
      </c>
      <c r="I25152">
        <v>4600</v>
      </c>
      <c r="J25152" t="s">
        <v>278</v>
      </c>
      <c r="K25152">
        <v>106.4</v>
      </c>
      <c r="L25152">
        <v>5.67</v>
      </c>
      <c r="M25152">
        <v>56565</v>
      </c>
      <c r="N25152" t="s">
        <v>57</v>
      </c>
      <c r="O25152">
        <v>251216</v>
      </c>
      <c r="P25152">
        <v>22.23</v>
      </c>
    </row>
    <row r="25153" spans="1:16" x14ac:dyDescent="0.25">
      <c r="A25153" t="s">
        <v>3296</v>
      </c>
      <c r="B25153" t="s">
        <v>2931</v>
      </c>
      <c r="C25153">
        <v>17027</v>
      </c>
      <c r="D25153" t="str">
        <f>"104000030873"</f>
        <v>104000030873</v>
      </c>
      <c r="E25153" t="s">
        <v>397</v>
      </c>
      <c r="F25153" t="s">
        <v>398</v>
      </c>
      <c r="G25153">
        <v>78.5</v>
      </c>
      <c r="H25153">
        <v>251215</v>
      </c>
      <c r="I25153">
        <v>4600</v>
      </c>
      <c r="J25153" t="s">
        <v>278</v>
      </c>
      <c r="K25153">
        <v>106.4</v>
      </c>
      <c r="L25153">
        <v>15.95</v>
      </c>
      <c r="M25153">
        <v>56573</v>
      </c>
      <c r="N25153" t="s">
        <v>843</v>
      </c>
      <c r="O25153">
        <v>251216</v>
      </c>
      <c r="P25153">
        <v>62.55</v>
      </c>
    </row>
    <row r="25154" spans="1:16" x14ac:dyDescent="0.25">
      <c r="A25154" t="s">
        <v>3296</v>
      </c>
      <c r="B25154" t="s">
        <v>2931</v>
      </c>
      <c r="C25154">
        <v>17036</v>
      </c>
      <c r="D25154" t="str">
        <f>"104000030361"</f>
        <v>104000030361</v>
      </c>
      <c r="E25154" t="s">
        <v>397</v>
      </c>
      <c r="F25154" t="s">
        <v>398</v>
      </c>
      <c r="G25154">
        <v>44.56</v>
      </c>
      <c r="H25154">
        <v>251215</v>
      </c>
      <c r="I25154">
        <v>4600</v>
      </c>
      <c r="J25154" t="s">
        <v>278</v>
      </c>
      <c r="K25154">
        <v>44.56</v>
      </c>
      <c r="L25154">
        <v>9.0500000000000007</v>
      </c>
      <c r="M25154">
        <v>56568</v>
      </c>
      <c r="N25154" t="s">
        <v>354</v>
      </c>
      <c r="O25154">
        <v>251216</v>
      </c>
      <c r="P25154">
        <v>35.51</v>
      </c>
    </row>
    <row r="25155" spans="1:16" x14ac:dyDescent="0.25">
      <c r="A25155" t="s">
        <v>3296</v>
      </c>
      <c r="B25155" t="s">
        <v>2931</v>
      </c>
      <c r="C25155">
        <v>17037</v>
      </c>
      <c r="D25155" t="str">
        <f>"104000029436"</f>
        <v>104000029436</v>
      </c>
      <c r="E25155" t="s">
        <v>397</v>
      </c>
      <c r="F25155" t="s">
        <v>398</v>
      </c>
      <c r="G25155">
        <v>87.34</v>
      </c>
      <c r="H25155">
        <v>251215</v>
      </c>
      <c r="I25155">
        <v>4600</v>
      </c>
      <c r="J25155" t="s">
        <v>278</v>
      </c>
      <c r="K25155">
        <v>96.24</v>
      </c>
      <c r="L25155">
        <v>17.75</v>
      </c>
      <c r="M25155">
        <v>56565</v>
      </c>
      <c r="N25155" t="s">
        <v>57</v>
      </c>
      <c r="O25155">
        <v>251216</v>
      </c>
      <c r="P25155">
        <v>69.59</v>
      </c>
    </row>
    <row r="25156" spans="1:16" x14ac:dyDescent="0.25">
      <c r="A25156" t="s">
        <v>3296</v>
      </c>
      <c r="B25156" t="s">
        <v>2931</v>
      </c>
      <c r="C25156">
        <v>17037</v>
      </c>
      <c r="D25156" t="str">
        <f>"104000029436"</f>
        <v>104000029436</v>
      </c>
      <c r="E25156" t="s">
        <v>397</v>
      </c>
      <c r="F25156" t="s">
        <v>398</v>
      </c>
      <c r="G25156">
        <v>8.9</v>
      </c>
      <c r="H25156">
        <v>251215</v>
      </c>
      <c r="I25156">
        <v>4600</v>
      </c>
      <c r="J25156" t="s">
        <v>278</v>
      </c>
      <c r="K25156">
        <v>96.24</v>
      </c>
      <c r="L25156">
        <v>1.81</v>
      </c>
      <c r="M25156">
        <v>56573</v>
      </c>
      <c r="N25156" t="s">
        <v>843</v>
      </c>
      <c r="O25156">
        <v>251216</v>
      </c>
      <c r="P25156">
        <v>7.09</v>
      </c>
    </row>
    <row r="25157" spans="1:16" x14ac:dyDescent="0.25">
      <c r="A25157" t="s">
        <v>3296</v>
      </c>
      <c r="B25157" t="s">
        <v>2931</v>
      </c>
      <c r="C25157">
        <v>17038</v>
      </c>
      <c r="D25157" t="str">
        <f>"104000030923"</f>
        <v>104000030923</v>
      </c>
      <c r="E25157" t="s">
        <v>397</v>
      </c>
      <c r="F25157" t="s">
        <v>398</v>
      </c>
      <c r="G25157">
        <v>37.35</v>
      </c>
      <c r="H25157">
        <v>251215</v>
      </c>
      <c r="I25157">
        <v>4600</v>
      </c>
      <c r="J25157" t="s">
        <v>278</v>
      </c>
      <c r="K25157">
        <v>37.35</v>
      </c>
      <c r="L25157">
        <v>7.59</v>
      </c>
      <c r="M25157">
        <v>56568</v>
      </c>
      <c r="N25157" t="s">
        <v>354</v>
      </c>
      <c r="O25157">
        <v>251216</v>
      </c>
      <c r="P25157">
        <v>29.76</v>
      </c>
    </row>
    <row r="25158" spans="1:16" x14ac:dyDescent="0.25">
      <c r="A25158" t="s">
        <v>3296</v>
      </c>
      <c r="B25158" t="s">
        <v>2931</v>
      </c>
      <c r="C25158">
        <v>17042</v>
      </c>
      <c r="D25158" t="str">
        <f>"104000030631"</f>
        <v>104000030631</v>
      </c>
      <c r="E25158" t="s">
        <v>397</v>
      </c>
      <c r="F25158" t="s">
        <v>398</v>
      </c>
      <c r="G25158">
        <v>-28.29</v>
      </c>
      <c r="H25158">
        <v>251215</v>
      </c>
      <c r="I25158">
        <v>4600</v>
      </c>
      <c r="J25158" t="s">
        <v>278</v>
      </c>
      <c r="K25158">
        <v>-28.29</v>
      </c>
      <c r="L25158">
        <v>-5.75</v>
      </c>
      <c r="M25158">
        <v>56568</v>
      </c>
      <c r="N25158" t="s">
        <v>354</v>
      </c>
      <c r="O25158">
        <v>251216</v>
      </c>
      <c r="P25158">
        <v>-22.54</v>
      </c>
    </row>
    <row r="25159" spans="1:16" x14ac:dyDescent="0.25">
      <c r="A25159" t="s">
        <v>3296</v>
      </c>
      <c r="B25159" t="s">
        <v>2931</v>
      </c>
      <c r="C25159">
        <v>17043</v>
      </c>
      <c r="D25159" t="str">
        <f>"104000031516"</f>
        <v>104000031516</v>
      </c>
      <c r="E25159" t="s">
        <v>397</v>
      </c>
      <c r="F25159" t="s">
        <v>398</v>
      </c>
      <c r="G25159">
        <v>-22.93</v>
      </c>
      <c r="H25159">
        <v>251215</v>
      </c>
      <c r="I25159">
        <v>4600</v>
      </c>
      <c r="J25159" t="s">
        <v>278</v>
      </c>
      <c r="K25159">
        <v>-22.93</v>
      </c>
      <c r="L25159">
        <v>-4.66</v>
      </c>
      <c r="M25159">
        <v>56568</v>
      </c>
      <c r="N25159" t="s">
        <v>354</v>
      </c>
      <c r="O25159">
        <v>251216</v>
      </c>
      <c r="P25159">
        <v>-18.27</v>
      </c>
    </row>
    <row r="25160" spans="1:16" x14ac:dyDescent="0.25">
      <c r="A25160" t="s">
        <v>3296</v>
      </c>
      <c r="B25160" t="s">
        <v>2931</v>
      </c>
      <c r="C25160">
        <v>17045</v>
      </c>
      <c r="D25160" t="str">
        <f>"104000030628"</f>
        <v>104000030628</v>
      </c>
      <c r="E25160" t="s">
        <v>397</v>
      </c>
      <c r="F25160" t="s">
        <v>398</v>
      </c>
      <c r="G25160">
        <v>-64.08</v>
      </c>
      <c r="H25160">
        <v>251215</v>
      </c>
      <c r="I25160">
        <v>4600</v>
      </c>
      <c r="J25160" t="s">
        <v>278</v>
      </c>
      <c r="K25160">
        <v>-64.08</v>
      </c>
      <c r="L25160">
        <v>-13.02</v>
      </c>
      <c r="M25160">
        <v>56568</v>
      </c>
      <c r="N25160" t="s">
        <v>354</v>
      </c>
      <c r="O25160">
        <v>251216</v>
      </c>
      <c r="P25160">
        <v>-51.06</v>
      </c>
    </row>
    <row r="25161" spans="1:16" x14ac:dyDescent="0.25">
      <c r="A25161" t="s">
        <v>3296</v>
      </c>
      <c r="B25161" t="s">
        <v>2931</v>
      </c>
      <c r="C25161">
        <v>17095</v>
      </c>
      <c r="D25161" t="str">
        <f>"104000030922"</f>
        <v>104000030922</v>
      </c>
      <c r="E25161" t="s">
        <v>397</v>
      </c>
      <c r="F25161" t="s">
        <v>398</v>
      </c>
      <c r="G25161">
        <v>105.39</v>
      </c>
      <c r="H25161">
        <v>251215</v>
      </c>
      <c r="I25161">
        <v>4600</v>
      </c>
      <c r="J25161" t="s">
        <v>278</v>
      </c>
      <c r="K25161">
        <v>105.39</v>
      </c>
      <c r="L25161">
        <v>21.41</v>
      </c>
      <c r="M25161">
        <v>56568</v>
      </c>
      <c r="N25161" t="s">
        <v>354</v>
      </c>
      <c r="O25161">
        <v>251217</v>
      </c>
      <c r="P25161">
        <v>83.98</v>
      </c>
    </row>
    <row r="25162" spans="1:16" x14ac:dyDescent="0.25">
      <c r="A25162" t="s">
        <v>3296</v>
      </c>
      <c r="B25162" t="s">
        <v>2931</v>
      </c>
      <c r="C25162">
        <v>17702</v>
      </c>
      <c r="D25162" t="str">
        <f>"104000033102"</f>
        <v>104000033102</v>
      </c>
      <c r="E25162" t="s">
        <v>397</v>
      </c>
      <c r="F25162" t="s">
        <v>398</v>
      </c>
      <c r="G25162">
        <v>383.73</v>
      </c>
      <c r="H25162">
        <v>251222</v>
      </c>
      <c r="I25162">
        <v>4600</v>
      </c>
      <c r="J25162" t="s">
        <v>278</v>
      </c>
      <c r="K25162">
        <v>383.73</v>
      </c>
      <c r="L25162">
        <v>77.97</v>
      </c>
      <c r="M25162">
        <v>66756</v>
      </c>
      <c r="N25162" t="s">
        <v>120</v>
      </c>
      <c r="O25162">
        <v>251229</v>
      </c>
      <c r="P25162">
        <v>305.76</v>
      </c>
    </row>
    <row r="25163" spans="1:16" x14ac:dyDescent="0.25">
      <c r="A25163" t="s">
        <v>3296</v>
      </c>
      <c r="B25163" t="s">
        <v>2931</v>
      </c>
      <c r="C25163">
        <v>17717</v>
      </c>
      <c r="D25163" t="str">
        <f>"104000033308"</f>
        <v>104000033308</v>
      </c>
      <c r="E25163" t="s">
        <v>397</v>
      </c>
      <c r="F25163" t="s">
        <v>398</v>
      </c>
      <c r="G25163">
        <v>11.07</v>
      </c>
      <c r="H25163">
        <v>251222</v>
      </c>
      <c r="I25163">
        <v>4600</v>
      </c>
      <c r="J25163" t="s">
        <v>278</v>
      </c>
      <c r="K25163">
        <v>11.07</v>
      </c>
      <c r="L25163">
        <v>2.25</v>
      </c>
      <c r="M25163">
        <v>56568</v>
      </c>
      <c r="N25163" t="s">
        <v>354</v>
      </c>
      <c r="O25163">
        <v>251229</v>
      </c>
      <c r="P25163">
        <v>8.82</v>
      </c>
    </row>
    <row r="25164" spans="1:16" x14ac:dyDescent="0.25">
      <c r="A25164" t="s">
        <v>3296</v>
      </c>
      <c r="B25164" t="s">
        <v>2931</v>
      </c>
      <c r="C25164">
        <v>17719</v>
      </c>
      <c r="D25164" t="str">
        <f>"104000032431"</f>
        <v>104000032431</v>
      </c>
      <c r="E25164" t="s">
        <v>397</v>
      </c>
      <c r="F25164" t="s">
        <v>398</v>
      </c>
      <c r="G25164">
        <v>8.65</v>
      </c>
      <c r="H25164">
        <v>251222</v>
      </c>
      <c r="I25164">
        <v>4600</v>
      </c>
      <c r="J25164" t="s">
        <v>278</v>
      </c>
      <c r="K25164">
        <v>8.65</v>
      </c>
      <c r="L25164">
        <v>1.76</v>
      </c>
      <c r="M25164">
        <v>56568</v>
      </c>
      <c r="N25164" t="s">
        <v>354</v>
      </c>
      <c r="O25164">
        <v>251229</v>
      </c>
      <c r="P25164">
        <v>6.89</v>
      </c>
    </row>
    <row r="25165" spans="1:16" x14ac:dyDescent="0.25">
      <c r="A25165" t="s">
        <v>3296</v>
      </c>
      <c r="B25165" t="s">
        <v>2931</v>
      </c>
      <c r="C25165">
        <v>17736</v>
      </c>
      <c r="D25165" t="str">
        <f>"104000033270"</f>
        <v>104000033270</v>
      </c>
      <c r="E25165" t="s">
        <v>397</v>
      </c>
      <c r="F25165" t="s">
        <v>398</v>
      </c>
      <c r="G25165">
        <v>109.6</v>
      </c>
      <c r="H25165">
        <v>251222</v>
      </c>
      <c r="I25165">
        <v>4600</v>
      </c>
      <c r="J25165" t="s">
        <v>278</v>
      </c>
      <c r="K25165">
        <v>109.6</v>
      </c>
      <c r="L25165">
        <v>22.27</v>
      </c>
      <c r="M25165">
        <v>56568</v>
      </c>
      <c r="N25165" t="s">
        <v>354</v>
      </c>
      <c r="O25165">
        <v>251230</v>
      </c>
      <c r="P25165">
        <v>87.33</v>
      </c>
    </row>
    <row r="25166" spans="1:16" x14ac:dyDescent="0.25">
      <c r="A25166" t="s">
        <v>3296</v>
      </c>
      <c r="B25166" t="s">
        <v>2931</v>
      </c>
      <c r="C25166">
        <v>17737</v>
      </c>
      <c r="D25166" t="str">
        <f>"104000033817"</f>
        <v>104000033817</v>
      </c>
      <c r="E25166" t="s">
        <v>397</v>
      </c>
      <c r="F25166" t="s">
        <v>398</v>
      </c>
      <c r="G25166">
        <v>57.51</v>
      </c>
      <c r="H25166">
        <v>251222</v>
      </c>
      <c r="I25166">
        <v>4600</v>
      </c>
      <c r="J25166" t="s">
        <v>278</v>
      </c>
      <c r="K25166">
        <v>57.51</v>
      </c>
      <c r="L25166">
        <v>11.69</v>
      </c>
      <c r="M25166">
        <v>56568</v>
      </c>
      <c r="N25166" t="s">
        <v>354</v>
      </c>
      <c r="O25166">
        <v>251230</v>
      </c>
      <c r="P25166">
        <v>45.82</v>
      </c>
    </row>
    <row r="25167" spans="1:16" x14ac:dyDescent="0.25">
      <c r="A25167" t="s">
        <v>3296</v>
      </c>
      <c r="B25167" t="s">
        <v>2931</v>
      </c>
      <c r="C25167">
        <v>17739</v>
      </c>
      <c r="D25167" t="str">
        <f>"104000032352"</f>
        <v>104000032352</v>
      </c>
      <c r="E25167" t="s">
        <v>397</v>
      </c>
      <c r="F25167" t="s">
        <v>398</v>
      </c>
      <c r="G25167">
        <v>172.04</v>
      </c>
      <c r="H25167">
        <v>251222</v>
      </c>
      <c r="I25167">
        <v>4600</v>
      </c>
      <c r="J25167" t="s">
        <v>278</v>
      </c>
      <c r="K25167">
        <v>172.04</v>
      </c>
      <c r="L25167">
        <v>34.96</v>
      </c>
      <c r="M25167">
        <v>56568</v>
      </c>
      <c r="N25167" t="s">
        <v>354</v>
      </c>
      <c r="O25167">
        <v>251230</v>
      </c>
      <c r="P25167">
        <v>137.08000000000001</v>
      </c>
    </row>
    <row r="25168" spans="1:16" x14ac:dyDescent="0.25">
      <c r="A25168" t="s">
        <v>3296</v>
      </c>
      <c r="B25168" t="s">
        <v>2931</v>
      </c>
      <c r="C25168">
        <v>17744</v>
      </c>
      <c r="D25168" t="str">
        <f>"104000034019"</f>
        <v>104000034019</v>
      </c>
      <c r="E25168" t="s">
        <v>397</v>
      </c>
      <c r="F25168" t="s">
        <v>398</v>
      </c>
      <c r="G25168">
        <v>-63.55</v>
      </c>
      <c r="H25168">
        <v>251222</v>
      </c>
      <c r="I25168">
        <v>4600</v>
      </c>
      <c r="J25168" t="s">
        <v>278</v>
      </c>
      <c r="K25168">
        <v>-63.55</v>
      </c>
      <c r="L25168">
        <v>-12.91</v>
      </c>
      <c r="M25168">
        <v>56568</v>
      </c>
      <c r="N25168" t="s">
        <v>354</v>
      </c>
      <c r="O25168">
        <v>251230</v>
      </c>
      <c r="P25168">
        <v>-50.64</v>
      </c>
    </row>
    <row r="25169" spans="1:16" x14ac:dyDescent="0.25">
      <c r="A25169" t="s">
        <v>3296</v>
      </c>
      <c r="B25169" t="s">
        <v>2931</v>
      </c>
      <c r="C25169">
        <v>17745</v>
      </c>
      <c r="D25169" t="str">
        <f>"104000034020"</f>
        <v>104000034020</v>
      </c>
      <c r="E25169" t="s">
        <v>397</v>
      </c>
      <c r="F25169" t="s">
        <v>398</v>
      </c>
      <c r="G25169">
        <v>-32.83</v>
      </c>
      <c r="H25169">
        <v>251222</v>
      </c>
      <c r="I25169">
        <v>4600</v>
      </c>
      <c r="J25169" t="s">
        <v>278</v>
      </c>
      <c r="K25169">
        <v>-32.83</v>
      </c>
      <c r="L25169">
        <v>-6.67</v>
      </c>
      <c r="M25169">
        <v>56568</v>
      </c>
      <c r="N25169" t="s">
        <v>354</v>
      </c>
      <c r="O25169">
        <v>251230</v>
      </c>
      <c r="P25169">
        <v>-26.16</v>
      </c>
    </row>
    <row r="25170" spans="1:16" x14ac:dyDescent="0.25">
      <c r="A25170" t="s">
        <v>3296</v>
      </c>
      <c r="B25170" t="s">
        <v>2931</v>
      </c>
      <c r="C25170">
        <v>9073</v>
      </c>
      <c r="D25170" t="str">
        <f>"3280296-02  "</f>
        <v xml:space="preserve">3280296-02  </v>
      </c>
      <c r="E25170" t="s">
        <v>3116</v>
      </c>
      <c r="F25170" t="s">
        <v>3117</v>
      </c>
      <c r="G25170">
        <v>38</v>
      </c>
      <c r="H25170">
        <v>250612</v>
      </c>
      <c r="I25170">
        <v>4510</v>
      </c>
      <c r="J25170" t="s">
        <v>240</v>
      </c>
      <c r="K25170">
        <v>38</v>
      </c>
      <c r="L25170">
        <v>3.45</v>
      </c>
      <c r="M25170">
        <v>53222</v>
      </c>
      <c r="N25170" t="s">
        <v>41</v>
      </c>
      <c r="O25170">
        <v>250626</v>
      </c>
      <c r="P25170">
        <v>34.549999999999997</v>
      </c>
    </row>
    <row r="25171" spans="1:16" x14ac:dyDescent="0.25">
      <c r="A25171" t="s">
        <v>3296</v>
      </c>
      <c r="B25171" t="s">
        <v>2931</v>
      </c>
      <c r="C25171">
        <v>1184</v>
      </c>
      <c r="D25171" t="str">
        <f>"3025423     "</f>
        <v xml:space="preserve">3025423     </v>
      </c>
      <c r="E25171" t="s">
        <v>881</v>
      </c>
      <c r="F25171" t="s">
        <v>882</v>
      </c>
      <c r="G25171">
        <v>110.22</v>
      </c>
      <c r="H25171">
        <v>250131</v>
      </c>
      <c r="I25171">
        <v>4500</v>
      </c>
      <c r="J25171" t="s">
        <v>312</v>
      </c>
      <c r="K25171">
        <v>110.22</v>
      </c>
      <c r="L25171">
        <v>22.4</v>
      </c>
      <c r="M25171">
        <v>13801</v>
      </c>
      <c r="N25171" t="s">
        <v>33</v>
      </c>
      <c r="O25171">
        <v>250205</v>
      </c>
      <c r="P25171">
        <v>87.82</v>
      </c>
    </row>
    <row r="25172" spans="1:16" x14ac:dyDescent="0.25">
      <c r="A25172" t="s">
        <v>3296</v>
      </c>
      <c r="B25172" t="s">
        <v>2931</v>
      </c>
      <c r="C25172">
        <v>4015</v>
      </c>
      <c r="D25172" t="str">
        <f>"30251255    "</f>
        <v xml:space="preserve">30251255    </v>
      </c>
      <c r="E25172" t="s">
        <v>881</v>
      </c>
      <c r="F25172" t="s">
        <v>882</v>
      </c>
      <c r="G25172">
        <v>139.68</v>
      </c>
      <c r="H25172">
        <v>250322</v>
      </c>
      <c r="I25172">
        <v>4600</v>
      </c>
      <c r="J25172" t="s">
        <v>278</v>
      </c>
      <c r="K25172">
        <v>139.68</v>
      </c>
      <c r="L25172">
        <v>28.38</v>
      </c>
      <c r="M25172">
        <v>13801</v>
      </c>
      <c r="N25172" t="s">
        <v>33</v>
      </c>
      <c r="O25172">
        <v>250407</v>
      </c>
      <c r="P25172">
        <v>111.3</v>
      </c>
    </row>
    <row r="25173" spans="1:16" x14ac:dyDescent="0.25">
      <c r="A25173" t="s">
        <v>3296</v>
      </c>
      <c r="B25173" t="s">
        <v>2931</v>
      </c>
      <c r="C25173">
        <v>7007</v>
      </c>
      <c r="D25173" t="str">
        <f>"26          "</f>
        <v xml:space="preserve">26          </v>
      </c>
      <c r="E25173" t="s">
        <v>881</v>
      </c>
      <c r="F25173" t="s">
        <v>882</v>
      </c>
      <c r="G25173">
        <v>517.21</v>
      </c>
      <c r="H25173">
        <v>250518</v>
      </c>
      <c r="I25173">
        <v>4600</v>
      </c>
      <c r="J25173" t="s">
        <v>278</v>
      </c>
      <c r="K25173">
        <v>517.21</v>
      </c>
      <c r="L25173">
        <v>105.09</v>
      </c>
      <c r="M25173">
        <v>13801</v>
      </c>
      <c r="N25173" t="s">
        <v>33</v>
      </c>
      <c r="O25173">
        <v>250521</v>
      </c>
      <c r="P25173">
        <v>412.12</v>
      </c>
    </row>
    <row r="25174" spans="1:16" x14ac:dyDescent="0.25">
      <c r="A25174" t="s">
        <v>3296</v>
      </c>
      <c r="B25174" t="s">
        <v>2931</v>
      </c>
      <c r="C25174">
        <v>11074</v>
      </c>
      <c r="D25174" t="str">
        <f>"1649357     "</f>
        <v xml:space="preserve">1649357     </v>
      </c>
      <c r="E25174" t="s">
        <v>343</v>
      </c>
      <c r="F25174" t="s">
        <v>344</v>
      </c>
      <c r="G25174">
        <v>70.42</v>
      </c>
      <c r="H25174">
        <v>250827</v>
      </c>
      <c r="I25174">
        <v>4367</v>
      </c>
      <c r="J25174" t="s">
        <v>159</v>
      </c>
      <c r="K25174">
        <v>200.8</v>
      </c>
      <c r="L25174">
        <v>14.31</v>
      </c>
      <c r="M25174">
        <v>11201</v>
      </c>
      <c r="N25174" t="s">
        <v>35</v>
      </c>
      <c r="O25174">
        <v>250829</v>
      </c>
      <c r="P25174">
        <v>56.11</v>
      </c>
    </row>
    <row r="25175" spans="1:16" x14ac:dyDescent="0.25">
      <c r="A25175" t="s">
        <v>3296</v>
      </c>
      <c r="B25175" t="s">
        <v>2931</v>
      </c>
      <c r="C25175">
        <v>9309</v>
      </c>
      <c r="D25175" t="str">
        <f>"1619110     "</f>
        <v xml:space="preserve">1619110     </v>
      </c>
      <c r="E25175" t="s">
        <v>343</v>
      </c>
      <c r="F25175" t="s">
        <v>344</v>
      </c>
      <c r="G25175">
        <v>372.99</v>
      </c>
      <c r="H25175">
        <v>250627</v>
      </c>
      <c r="I25175">
        <v>4470</v>
      </c>
      <c r="J25175" t="s">
        <v>203</v>
      </c>
      <c r="K25175">
        <v>372.99</v>
      </c>
      <c r="L25175">
        <v>75.790000000000006</v>
      </c>
      <c r="M25175">
        <v>66756</v>
      </c>
      <c r="N25175" t="s">
        <v>120</v>
      </c>
      <c r="O25175">
        <v>250703</v>
      </c>
      <c r="P25175">
        <v>297.2</v>
      </c>
    </row>
    <row r="25176" spans="1:16" x14ac:dyDescent="0.25">
      <c r="A25176" t="s">
        <v>3296</v>
      </c>
      <c r="B25176" t="s">
        <v>2931</v>
      </c>
      <c r="C25176">
        <v>10850</v>
      </c>
      <c r="D25176" t="str">
        <f>"1646660     "</f>
        <v xml:space="preserve">1646660     </v>
      </c>
      <c r="E25176" t="s">
        <v>343</v>
      </c>
      <c r="F25176" t="s">
        <v>344</v>
      </c>
      <c r="G25176">
        <v>81.83</v>
      </c>
      <c r="H25176">
        <v>250822</v>
      </c>
      <c r="I25176">
        <v>4470</v>
      </c>
      <c r="J25176" t="s">
        <v>203</v>
      </c>
      <c r="K25176">
        <v>81.83</v>
      </c>
      <c r="L25176">
        <v>16.63</v>
      </c>
      <c r="M25176">
        <v>66756</v>
      </c>
      <c r="N25176" t="s">
        <v>120</v>
      </c>
      <c r="O25176">
        <v>250825</v>
      </c>
      <c r="P25176">
        <v>65.2</v>
      </c>
    </row>
    <row r="25177" spans="1:16" x14ac:dyDescent="0.25">
      <c r="A25177" t="s">
        <v>3296</v>
      </c>
      <c r="B25177" t="s">
        <v>2931</v>
      </c>
      <c r="C25177">
        <v>215</v>
      </c>
      <c r="D25177" t="str">
        <f>"1525105     "</f>
        <v xml:space="preserve">1525105     </v>
      </c>
      <c r="E25177" t="s">
        <v>343</v>
      </c>
      <c r="F25177" t="s">
        <v>344</v>
      </c>
      <c r="G25177">
        <v>45.44</v>
      </c>
      <c r="H25177">
        <v>250107</v>
      </c>
      <c r="I25177">
        <v>4600</v>
      </c>
      <c r="J25177" t="s">
        <v>278</v>
      </c>
      <c r="K25177">
        <v>45.44</v>
      </c>
      <c r="L25177">
        <v>9.23</v>
      </c>
      <c r="M25177">
        <v>17806</v>
      </c>
      <c r="N25177" t="s">
        <v>22</v>
      </c>
      <c r="O25177">
        <v>250117</v>
      </c>
      <c r="P25177">
        <v>36.21</v>
      </c>
    </row>
    <row r="25178" spans="1:16" x14ac:dyDescent="0.25">
      <c r="A25178" t="s">
        <v>3296</v>
      </c>
      <c r="B25178" t="s">
        <v>2931</v>
      </c>
      <c r="C25178">
        <v>1366</v>
      </c>
      <c r="D25178" t="str">
        <f>"1541145     "</f>
        <v xml:space="preserve">1541145     </v>
      </c>
      <c r="E25178" t="s">
        <v>343</v>
      </c>
      <c r="F25178" t="s">
        <v>344</v>
      </c>
      <c r="G25178">
        <v>45.44</v>
      </c>
      <c r="H25178">
        <v>250205</v>
      </c>
      <c r="I25178">
        <v>4600</v>
      </c>
      <c r="J25178" t="s">
        <v>278</v>
      </c>
      <c r="K25178">
        <v>45.44</v>
      </c>
      <c r="L25178">
        <v>9.23</v>
      </c>
      <c r="M25178">
        <v>17806</v>
      </c>
      <c r="N25178" t="s">
        <v>22</v>
      </c>
      <c r="O25178">
        <v>250207</v>
      </c>
      <c r="P25178">
        <v>36.21</v>
      </c>
    </row>
    <row r="25179" spans="1:16" x14ac:dyDescent="0.25">
      <c r="A25179" t="s">
        <v>3296</v>
      </c>
      <c r="B25179" t="s">
        <v>2931</v>
      </c>
      <c r="C25179">
        <v>1733</v>
      </c>
      <c r="D25179" t="str">
        <f>"1542234     "</f>
        <v xml:space="preserve">1542234     </v>
      </c>
      <c r="E25179" t="s">
        <v>343</v>
      </c>
      <c r="F25179" t="s">
        <v>344</v>
      </c>
      <c r="G25179">
        <v>45.44</v>
      </c>
      <c r="H25179">
        <v>250206</v>
      </c>
      <c r="I25179">
        <v>4600</v>
      </c>
      <c r="J25179" t="s">
        <v>278</v>
      </c>
      <c r="K25179">
        <v>45.44</v>
      </c>
      <c r="L25179">
        <v>9.23</v>
      </c>
      <c r="M25179">
        <v>17807</v>
      </c>
      <c r="N25179" t="s">
        <v>23</v>
      </c>
      <c r="O25179">
        <v>250213</v>
      </c>
      <c r="P25179">
        <v>36.21</v>
      </c>
    </row>
    <row r="25180" spans="1:16" x14ac:dyDescent="0.25">
      <c r="A25180" t="s">
        <v>3296</v>
      </c>
      <c r="B25180" t="s">
        <v>2931</v>
      </c>
      <c r="C25180">
        <v>2064</v>
      </c>
      <c r="D25180" t="str">
        <f>"1544822     "</f>
        <v xml:space="preserve">1544822     </v>
      </c>
      <c r="E25180" t="s">
        <v>343</v>
      </c>
      <c r="F25180" t="s">
        <v>344</v>
      </c>
      <c r="G25180">
        <v>45.44</v>
      </c>
      <c r="H25180">
        <v>250211</v>
      </c>
      <c r="I25180">
        <v>4600</v>
      </c>
      <c r="J25180" t="s">
        <v>278</v>
      </c>
      <c r="K25180">
        <v>45.44</v>
      </c>
      <c r="L25180">
        <v>9.23</v>
      </c>
      <c r="M25180">
        <v>56560</v>
      </c>
      <c r="N25180" t="s">
        <v>52</v>
      </c>
      <c r="O25180">
        <v>250220</v>
      </c>
      <c r="P25180">
        <v>36.21</v>
      </c>
    </row>
    <row r="25181" spans="1:16" x14ac:dyDescent="0.25">
      <c r="A25181" t="s">
        <v>3296</v>
      </c>
      <c r="B25181" t="s">
        <v>2931</v>
      </c>
      <c r="C25181">
        <v>2334</v>
      </c>
      <c r="D25181" t="str">
        <f>"1549196     "</f>
        <v xml:space="preserve">1549196     </v>
      </c>
      <c r="E25181" t="s">
        <v>343</v>
      </c>
      <c r="F25181" t="s">
        <v>344</v>
      </c>
      <c r="G25181">
        <v>181.74</v>
      </c>
      <c r="H25181">
        <v>250219</v>
      </c>
      <c r="I25181">
        <v>4600</v>
      </c>
      <c r="J25181" t="s">
        <v>278</v>
      </c>
      <c r="K25181">
        <v>181.74</v>
      </c>
      <c r="L25181">
        <v>36.93</v>
      </c>
      <c r="M25181">
        <v>18125</v>
      </c>
      <c r="N25181" t="s">
        <v>1230</v>
      </c>
      <c r="O25181">
        <v>250224</v>
      </c>
      <c r="P25181">
        <v>144.81</v>
      </c>
    </row>
    <row r="25182" spans="1:16" x14ac:dyDescent="0.25">
      <c r="A25182" t="s">
        <v>3296</v>
      </c>
      <c r="B25182" t="s">
        <v>2931</v>
      </c>
      <c r="C25182">
        <v>2743</v>
      </c>
      <c r="D25182" t="str">
        <f>"1554338     "</f>
        <v xml:space="preserve">1554338     </v>
      </c>
      <c r="E25182" t="s">
        <v>343</v>
      </c>
      <c r="F25182" t="s">
        <v>344</v>
      </c>
      <c r="G25182">
        <v>45.44</v>
      </c>
      <c r="H25182">
        <v>250228</v>
      </c>
      <c r="I25182">
        <v>4600</v>
      </c>
      <c r="J25182" t="s">
        <v>278</v>
      </c>
      <c r="K25182">
        <v>45.44</v>
      </c>
      <c r="L25182">
        <v>9.23</v>
      </c>
      <c r="M25182">
        <v>18125</v>
      </c>
      <c r="N25182" t="s">
        <v>1230</v>
      </c>
      <c r="O25182">
        <v>250311</v>
      </c>
      <c r="P25182">
        <v>36.21</v>
      </c>
    </row>
    <row r="25183" spans="1:16" x14ac:dyDescent="0.25">
      <c r="A25183" t="s">
        <v>3296</v>
      </c>
      <c r="B25183" t="s">
        <v>2931</v>
      </c>
      <c r="C25183">
        <v>3403</v>
      </c>
      <c r="D25183" t="str">
        <f>"1557359     "</f>
        <v xml:space="preserve">1557359     </v>
      </c>
      <c r="E25183" t="s">
        <v>343</v>
      </c>
      <c r="F25183" t="s">
        <v>344</v>
      </c>
      <c r="G25183">
        <v>45.44</v>
      </c>
      <c r="H25183">
        <v>250306</v>
      </c>
      <c r="I25183">
        <v>4600</v>
      </c>
      <c r="J25183" t="s">
        <v>278</v>
      </c>
      <c r="K25183">
        <v>45.44</v>
      </c>
      <c r="L25183">
        <v>9.23</v>
      </c>
      <c r="M25183">
        <v>17809</v>
      </c>
      <c r="N25183" t="s">
        <v>25</v>
      </c>
      <c r="O25183">
        <v>250320</v>
      </c>
      <c r="P25183">
        <v>36.21</v>
      </c>
    </row>
    <row r="25184" spans="1:16" x14ac:dyDescent="0.25">
      <c r="A25184" t="s">
        <v>3296</v>
      </c>
      <c r="B25184" t="s">
        <v>2931</v>
      </c>
      <c r="C25184">
        <v>3443</v>
      </c>
      <c r="D25184" t="str">
        <f>"1558436     "</f>
        <v xml:space="preserve">1558436     </v>
      </c>
      <c r="E25184" t="s">
        <v>343</v>
      </c>
      <c r="F25184" t="s">
        <v>344</v>
      </c>
      <c r="G25184">
        <v>45.44</v>
      </c>
      <c r="H25184">
        <v>250308</v>
      </c>
      <c r="I25184">
        <v>4600</v>
      </c>
      <c r="J25184" t="s">
        <v>278</v>
      </c>
      <c r="K25184">
        <v>45.44</v>
      </c>
      <c r="L25184">
        <v>9.23</v>
      </c>
      <c r="M25184">
        <v>17809</v>
      </c>
      <c r="N25184" t="s">
        <v>25</v>
      </c>
      <c r="O25184">
        <v>250324</v>
      </c>
      <c r="P25184">
        <v>36.21</v>
      </c>
    </row>
    <row r="25185" spans="1:16" x14ac:dyDescent="0.25">
      <c r="A25185" t="s">
        <v>3296</v>
      </c>
      <c r="B25185" t="s">
        <v>2931</v>
      </c>
      <c r="C25185">
        <v>3891</v>
      </c>
      <c r="D25185" t="str">
        <f>"1564219     "</f>
        <v xml:space="preserve">1564219     </v>
      </c>
      <c r="E25185" t="s">
        <v>343</v>
      </c>
      <c r="F25185" t="s">
        <v>344</v>
      </c>
      <c r="G25185">
        <v>45.44</v>
      </c>
      <c r="H25185">
        <v>250320</v>
      </c>
      <c r="I25185">
        <v>4600</v>
      </c>
      <c r="J25185" t="s">
        <v>278</v>
      </c>
      <c r="K25185">
        <v>45.44</v>
      </c>
      <c r="L25185">
        <v>9.23</v>
      </c>
      <c r="M25185">
        <v>17809</v>
      </c>
      <c r="N25185" t="s">
        <v>25</v>
      </c>
      <c r="O25185">
        <v>250403</v>
      </c>
      <c r="P25185">
        <v>36.21</v>
      </c>
    </row>
    <row r="25186" spans="1:16" x14ac:dyDescent="0.25">
      <c r="A25186" t="s">
        <v>3296</v>
      </c>
      <c r="B25186" t="s">
        <v>2931</v>
      </c>
      <c r="C25186">
        <v>4670</v>
      </c>
      <c r="D25186" t="str">
        <f>"1571437     "</f>
        <v xml:space="preserve">1571437     </v>
      </c>
      <c r="E25186" t="s">
        <v>343</v>
      </c>
      <c r="F25186" t="s">
        <v>344</v>
      </c>
      <c r="G25186">
        <v>45.44</v>
      </c>
      <c r="H25186">
        <v>250402</v>
      </c>
      <c r="I25186">
        <v>4600</v>
      </c>
      <c r="J25186" t="s">
        <v>278</v>
      </c>
      <c r="K25186">
        <v>45.44</v>
      </c>
      <c r="L25186">
        <v>9.23</v>
      </c>
      <c r="M25186">
        <v>17806</v>
      </c>
      <c r="N25186" t="s">
        <v>22</v>
      </c>
      <c r="O25186">
        <v>250414</v>
      </c>
      <c r="P25186">
        <v>36.21</v>
      </c>
    </row>
    <row r="25187" spans="1:16" x14ac:dyDescent="0.25">
      <c r="A25187" t="s">
        <v>3296</v>
      </c>
      <c r="B25187" t="s">
        <v>2931</v>
      </c>
      <c r="C25187">
        <v>5781</v>
      </c>
      <c r="D25187" t="str">
        <f>"1580545     "</f>
        <v xml:space="preserve">1580545     </v>
      </c>
      <c r="E25187" t="s">
        <v>343</v>
      </c>
      <c r="F25187" t="s">
        <v>344</v>
      </c>
      <c r="G25187">
        <v>45.44</v>
      </c>
      <c r="H25187">
        <v>250419</v>
      </c>
      <c r="I25187">
        <v>4600</v>
      </c>
      <c r="J25187" t="s">
        <v>278</v>
      </c>
      <c r="K25187">
        <v>45.44</v>
      </c>
      <c r="L25187">
        <v>9.23</v>
      </c>
      <c r="M25187">
        <v>17809</v>
      </c>
      <c r="N25187" t="s">
        <v>25</v>
      </c>
      <c r="O25187">
        <v>250505</v>
      </c>
      <c r="P25187">
        <v>36.21</v>
      </c>
    </row>
    <row r="25188" spans="1:16" x14ac:dyDescent="0.25">
      <c r="A25188" t="s">
        <v>3296</v>
      </c>
      <c r="B25188" t="s">
        <v>2931</v>
      </c>
      <c r="C25188">
        <v>11951</v>
      </c>
      <c r="D25188" t="str">
        <f>"1651482     "</f>
        <v xml:space="preserve">1651482     </v>
      </c>
      <c r="E25188" t="s">
        <v>2302</v>
      </c>
      <c r="F25188" t="s">
        <v>2303</v>
      </c>
      <c r="G25188">
        <v>55.43</v>
      </c>
      <c r="H25188">
        <v>250830</v>
      </c>
      <c r="I25188">
        <v>4367</v>
      </c>
      <c r="J25188" t="s">
        <v>159</v>
      </c>
      <c r="K25188">
        <v>163.15</v>
      </c>
      <c r="L25188">
        <v>11.26</v>
      </c>
      <c r="M25188">
        <v>11401</v>
      </c>
      <c r="N25188" t="s">
        <v>91</v>
      </c>
      <c r="O25188">
        <v>250912</v>
      </c>
      <c r="P25188">
        <v>44.17</v>
      </c>
    </row>
    <row r="25189" spans="1:16" x14ac:dyDescent="0.25">
      <c r="A25189" t="s">
        <v>3296</v>
      </c>
      <c r="B25189" t="s">
        <v>2931</v>
      </c>
      <c r="C25189">
        <v>15443</v>
      </c>
      <c r="D25189" t="str">
        <f>"1702088     "</f>
        <v xml:space="preserve">1702088     </v>
      </c>
      <c r="E25189" t="s">
        <v>2302</v>
      </c>
      <c r="F25189" t="s">
        <v>2303</v>
      </c>
      <c r="G25189">
        <v>81.83</v>
      </c>
      <c r="H25189">
        <v>251115</v>
      </c>
      <c r="I25189">
        <v>4600</v>
      </c>
      <c r="J25189" t="s">
        <v>278</v>
      </c>
      <c r="K25189">
        <v>81.83</v>
      </c>
      <c r="L25189">
        <v>16.63</v>
      </c>
      <c r="M25189">
        <v>17809</v>
      </c>
      <c r="N25189" t="s">
        <v>25</v>
      </c>
      <c r="O25189">
        <v>251120</v>
      </c>
      <c r="P25189">
        <v>65.2</v>
      </c>
    </row>
    <row r="25190" spans="1:16" x14ac:dyDescent="0.25">
      <c r="A25190" t="s">
        <v>3296</v>
      </c>
      <c r="B25190" t="s">
        <v>2931</v>
      </c>
      <c r="C25190">
        <v>17153</v>
      </c>
      <c r="D25190" t="str">
        <f>"1723773     "</f>
        <v xml:space="preserve">1723773     </v>
      </c>
      <c r="E25190" t="s">
        <v>2302</v>
      </c>
      <c r="F25190" t="s">
        <v>2303</v>
      </c>
      <c r="G25190">
        <v>62.54</v>
      </c>
      <c r="H25190">
        <v>251214</v>
      </c>
      <c r="I25190">
        <v>4940</v>
      </c>
      <c r="J25190" t="s">
        <v>250</v>
      </c>
      <c r="K25190">
        <v>1204.8</v>
      </c>
      <c r="L25190">
        <v>12.71</v>
      </c>
      <c r="M25190">
        <v>11401</v>
      </c>
      <c r="N25190" t="s">
        <v>91</v>
      </c>
      <c r="O25190">
        <v>251217</v>
      </c>
      <c r="P25190">
        <v>49.83</v>
      </c>
    </row>
    <row r="25191" spans="1:16" x14ac:dyDescent="0.25">
      <c r="A25191" t="s">
        <v>3296</v>
      </c>
      <c r="B25191" t="s">
        <v>2931</v>
      </c>
      <c r="C25191">
        <v>1481</v>
      </c>
      <c r="D25191" t="str">
        <f>"400515100   "</f>
        <v xml:space="preserve">400515100   </v>
      </c>
      <c r="E25191" t="s">
        <v>1002</v>
      </c>
      <c r="F25191" t="s">
        <v>1003</v>
      </c>
      <c r="G25191">
        <v>403.72</v>
      </c>
      <c r="H25191">
        <v>250131</v>
      </c>
      <c r="I25191">
        <v>4572</v>
      </c>
      <c r="J25191" t="s">
        <v>173</v>
      </c>
      <c r="K25191">
        <v>403.72</v>
      </c>
      <c r="L25191">
        <v>82.03</v>
      </c>
      <c r="M25191">
        <v>13841</v>
      </c>
      <c r="N25191" t="s">
        <v>178</v>
      </c>
      <c r="O25191">
        <v>250210</v>
      </c>
      <c r="P25191">
        <v>321.69</v>
      </c>
    </row>
    <row r="25192" spans="1:16" x14ac:dyDescent="0.25">
      <c r="A25192" t="s">
        <v>3296</v>
      </c>
      <c r="B25192" t="s">
        <v>2931</v>
      </c>
      <c r="C25192">
        <v>3072</v>
      </c>
      <c r="D25192" t="str">
        <f>"400529542   "</f>
        <v xml:space="preserve">400529542   </v>
      </c>
      <c r="E25192" t="s">
        <v>1002</v>
      </c>
      <c r="F25192" t="s">
        <v>1003</v>
      </c>
      <c r="G25192">
        <v>437.63</v>
      </c>
      <c r="H25192">
        <v>250228</v>
      </c>
      <c r="I25192">
        <v>4572</v>
      </c>
      <c r="J25192" t="s">
        <v>173</v>
      </c>
      <c r="K25192">
        <v>437.63</v>
      </c>
      <c r="L25192">
        <v>88.92</v>
      </c>
      <c r="M25192">
        <v>13841</v>
      </c>
      <c r="N25192" t="s">
        <v>178</v>
      </c>
      <c r="O25192">
        <v>250314</v>
      </c>
      <c r="P25192">
        <v>348.71</v>
      </c>
    </row>
    <row r="25193" spans="1:16" x14ac:dyDescent="0.25">
      <c r="A25193" t="s">
        <v>3296</v>
      </c>
      <c r="B25193" t="s">
        <v>2931</v>
      </c>
      <c r="C25193">
        <v>3321</v>
      </c>
      <c r="D25193" t="str">
        <f>"400526618   "</f>
        <v xml:space="preserve">400526618   </v>
      </c>
      <c r="E25193" t="s">
        <v>1002</v>
      </c>
      <c r="F25193" t="s">
        <v>1003</v>
      </c>
      <c r="G25193">
        <v>203.58</v>
      </c>
      <c r="H25193">
        <v>250228</v>
      </c>
      <c r="I25193">
        <v>4572</v>
      </c>
      <c r="J25193" t="s">
        <v>173</v>
      </c>
      <c r="K25193">
        <v>203.58</v>
      </c>
      <c r="L25193">
        <v>41.36</v>
      </c>
      <c r="M25193">
        <v>13841</v>
      </c>
      <c r="N25193" t="s">
        <v>178</v>
      </c>
      <c r="O25193">
        <v>250318</v>
      </c>
      <c r="P25193">
        <v>162.22</v>
      </c>
    </row>
    <row r="25194" spans="1:16" x14ac:dyDescent="0.25">
      <c r="A25194" t="s">
        <v>3296</v>
      </c>
      <c r="B25194" t="s">
        <v>2931</v>
      </c>
      <c r="C25194">
        <v>5159</v>
      </c>
      <c r="D25194" t="str">
        <f>"400538165   "</f>
        <v xml:space="preserve">400538165   </v>
      </c>
      <c r="E25194" t="s">
        <v>1002</v>
      </c>
      <c r="F25194" t="s">
        <v>1003</v>
      </c>
      <c r="G25194">
        <v>483.35</v>
      </c>
      <c r="H25194">
        <v>250331</v>
      </c>
      <c r="I25194">
        <v>4572</v>
      </c>
      <c r="J25194" t="s">
        <v>173</v>
      </c>
      <c r="K25194">
        <v>483.35</v>
      </c>
      <c r="L25194">
        <v>98.21</v>
      </c>
      <c r="M25194">
        <v>13841</v>
      </c>
      <c r="N25194" t="s">
        <v>178</v>
      </c>
      <c r="O25194">
        <v>250417</v>
      </c>
      <c r="P25194">
        <v>385.14</v>
      </c>
    </row>
    <row r="25195" spans="1:16" x14ac:dyDescent="0.25">
      <c r="A25195" t="s">
        <v>3296</v>
      </c>
      <c r="B25195" t="s">
        <v>2931</v>
      </c>
      <c r="C25195">
        <v>6572</v>
      </c>
      <c r="D25195" t="str">
        <f>"400555213   "</f>
        <v xml:space="preserve">400555213   </v>
      </c>
      <c r="E25195" t="s">
        <v>1002</v>
      </c>
      <c r="F25195" t="s">
        <v>1003</v>
      </c>
      <c r="G25195">
        <v>351.05</v>
      </c>
      <c r="H25195">
        <v>250430</v>
      </c>
      <c r="I25195">
        <v>4572</v>
      </c>
      <c r="J25195" t="s">
        <v>173</v>
      </c>
      <c r="K25195">
        <v>351.05</v>
      </c>
      <c r="L25195">
        <v>71.33</v>
      </c>
      <c r="M25195">
        <v>13841</v>
      </c>
      <c r="N25195" t="s">
        <v>178</v>
      </c>
      <c r="O25195">
        <v>250514</v>
      </c>
      <c r="P25195">
        <v>279.72000000000003</v>
      </c>
    </row>
    <row r="25196" spans="1:16" x14ac:dyDescent="0.25">
      <c r="A25196" t="s">
        <v>3296</v>
      </c>
      <c r="B25196" t="s">
        <v>2931</v>
      </c>
      <c r="C25196">
        <v>6642</v>
      </c>
      <c r="D25196" t="str">
        <f>"400555494   "</f>
        <v xml:space="preserve">400555494   </v>
      </c>
      <c r="E25196" t="s">
        <v>1002</v>
      </c>
      <c r="F25196" t="s">
        <v>1003</v>
      </c>
      <c r="G25196">
        <v>180.31</v>
      </c>
      <c r="H25196">
        <v>250430</v>
      </c>
      <c r="I25196">
        <v>4572</v>
      </c>
      <c r="J25196" t="s">
        <v>173</v>
      </c>
      <c r="K25196">
        <v>180.31</v>
      </c>
      <c r="L25196">
        <v>36.64</v>
      </c>
      <c r="M25196">
        <v>13841</v>
      </c>
      <c r="N25196" t="s">
        <v>178</v>
      </c>
      <c r="O25196">
        <v>250514</v>
      </c>
      <c r="P25196">
        <v>143.66999999999999</v>
      </c>
    </row>
    <row r="25197" spans="1:16" x14ac:dyDescent="0.25">
      <c r="A25197" t="s">
        <v>3296</v>
      </c>
      <c r="B25197" t="s">
        <v>2931</v>
      </c>
      <c r="C25197">
        <v>8547</v>
      </c>
      <c r="D25197" t="str">
        <f>"400557821   "</f>
        <v xml:space="preserve">400557821   </v>
      </c>
      <c r="E25197" t="s">
        <v>1002</v>
      </c>
      <c r="F25197" t="s">
        <v>1003</v>
      </c>
      <c r="G25197">
        <v>232.31</v>
      </c>
      <c r="H25197">
        <v>250531</v>
      </c>
      <c r="I25197">
        <v>4572</v>
      </c>
      <c r="J25197" t="s">
        <v>173</v>
      </c>
      <c r="K25197">
        <v>232.31</v>
      </c>
      <c r="L25197">
        <v>47.2</v>
      </c>
      <c r="M25197">
        <v>13841</v>
      </c>
      <c r="N25197" t="s">
        <v>178</v>
      </c>
      <c r="O25197">
        <v>250617</v>
      </c>
      <c r="P25197">
        <v>185.11</v>
      </c>
    </row>
    <row r="25198" spans="1:16" x14ac:dyDescent="0.25">
      <c r="A25198" t="s">
        <v>3296</v>
      </c>
      <c r="B25198" t="s">
        <v>2931</v>
      </c>
      <c r="C25198">
        <v>9537</v>
      </c>
      <c r="D25198" t="str">
        <f>"400576791   "</f>
        <v xml:space="preserve">400576791   </v>
      </c>
      <c r="E25198" t="s">
        <v>1002</v>
      </c>
      <c r="F25198" t="s">
        <v>1003</v>
      </c>
      <c r="G25198">
        <v>202.37</v>
      </c>
      <c r="H25198">
        <v>250630</v>
      </c>
      <c r="I25198">
        <v>4572</v>
      </c>
      <c r="J25198" t="s">
        <v>173</v>
      </c>
      <c r="K25198">
        <v>202.37</v>
      </c>
      <c r="L25198">
        <v>41.12</v>
      </c>
      <c r="M25198">
        <v>13841</v>
      </c>
      <c r="N25198" t="s">
        <v>178</v>
      </c>
      <c r="O25198">
        <v>250710</v>
      </c>
      <c r="P25198">
        <v>161.25</v>
      </c>
    </row>
    <row r="25199" spans="1:16" x14ac:dyDescent="0.25">
      <c r="A25199" t="s">
        <v>3296</v>
      </c>
      <c r="B25199" t="s">
        <v>2931</v>
      </c>
      <c r="C25199">
        <v>9538</v>
      </c>
      <c r="D25199" t="str">
        <f>"400576878   "</f>
        <v xml:space="preserve">400576878   </v>
      </c>
      <c r="E25199" t="s">
        <v>1002</v>
      </c>
      <c r="F25199" t="s">
        <v>1003</v>
      </c>
      <c r="G25199">
        <v>134.33000000000001</v>
      </c>
      <c r="H25199">
        <v>250630</v>
      </c>
      <c r="I25199">
        <v>4572</v>
      </c>
      <c r="J25199" t="s">
        <v>173</v>
      </c>
      <c r="K25199">
        <v>134.33000000000001</v>
      </c>
      <c r="L25199">
        <v>27.29</v>
      </c>
      <c r="M25199">
        <v>13841</v>
      </c>
      <c r="N25199" t="s">
        <v>178</v>
      </c>
      <c r="O25199">
        <v>250710</v>
      </c>
      <c r="P25199">
        <v>107.04</v>
      </c>
    </row>
    <row r="25200" spans="1:16" x14ac:dyDescent="0.25">
      <c r="A25200" t="s">
        <v>3296</v>
      </c>
      <c r="B25200" t="s">
        <v>2931</v>
      </c>
      <c r="C25200">
        <v>10236</v>
      </c>
      <c r="D25200" t="str">
        <f>"400580162   "</f>
        <v xml:space="preserve">400580162   </v>
      </c>
      <c r="E25200" t="s">
        <v>1002</v>
      </c>
      <c r="F25200" t="s">
        <v>1003</v>
      </c>
      <c r="G25200">
        <v>219.12</v>
      </c>
      <c r="H25200">
        <v>250731</v>
      </c>
      <c r="I25200">
        <v>4572</v>
      </c>
      <c r="J25200" t="s">
        <v>173</v>
      </c>
      <c r="K25200">
        <v>219.12</v>
      </c>
      <c r="L25200">
        <v>44.52</v>
      </c>
      <c r="M25200">
        <v>13841</v>
      </c>
      <c r="N25200" t="s">
        <v>178</v>
      </c>
      <c r="O25200">
        <v>250813</v>
      </c>
      <c r="P25200">
        <v>174.6</v>
      </c>
    </row>
    <row r="25201" spans="1:16" x14ac:dyDescent="0.25">
      <c r="A25201" t="s">
        <v>3296</v>
      </c>
      <c r="B25201" t="s">
        <v>2931</v>
      </c>
      <c r="C25201">
        <v>11624</v>
      </c>
      <c r="D25201" t="str">
        <f>"400588425   "</f>
        <v xml:space="preserve">400588425   </v>
      </c>
      <c r="E25201" t="s">
        <v>1002</v>
      </c>
      <c r="F25201" t="s">
        <v>1003</v>
      </c>
      <c r="G25201">
        <v>137.65</v>
      </c>
      <c r="H25201">
        <v>250831</v>
      </c>
      <c r="I25201">
        <v>4572</v>
      </c>
      <c r="J25201" t="s">
        <v>173</v>
      </c>
      <c r="K25201">
        <v>137.65</v>
      </c>
      <c r="L25201">
        <v>27.97</v>
      </c>
      <c r="M25201">
        <v>13841</v>
      </c>
      <c r="N25201" t="s">
        <v>178</v>
      </c>
      <c r="O25201">
        <v>250909</v>
      </c>
      <c r="P25201">
        <v>109.68</v>
      </c>
    </row>
    <row r="25202" spans="1:16" x14ac:dyDescent="0.25">
      <c r="A25202" t="s">
        <v>3296</v>
      </c>
      <c r="B25202" t="s">
        <v>2931</v>
      </c>
      <c r="C25202">
        <v>11625</v>
      </c>
      <c r="D25202" t="str">
        <f>"400594321   "</f>
        <v xml:space="preserve">400594321   </v>
      </c>
      <c r="E25202" t="s">
        <v>1002</v>
      </c>
      <c r="F25202" t="s">
        <v>1003</v>
      </c>
      <c r="G25202">
        <v>215.38</v>
      </c>
      <c r="H25202">
        <v>250831</v>
      </c>
      <c r="I25202">
        <v>4572</v>
      </c>
      <c r="J25202" t="s">
        <v>173</v>
      </c>
      <c r="K25202">
        <v>215.38</v>
      </c>
      <c r="L25202">
        <v>43.76</v>
      </c>
      <c r="M25202">
        <v>13841</v>
      </c>
      <c r="N25202" t="s">
        <v>178</v>
      </c>
      <c r="O25202">
        <v>250909</v>
      </c>
      <c r="P25202">
        <v>171.62</v>
      </c>
    </row>
    <row r="25203" spans="1:16" x14ac:dyDescent="0.25">
      <c r="A25203" t="s">
        <v>3296</v>
      </c>
      <c r="B25203" t="s">
        <v>2931</v>
      </c>
      <c r="C25203">
        <v>13149</v>
      </c>
      <c r="D25203" t="str">
        <f>"400602586   "</f>
        <v xml:space="preserve">400602586   </v>
      </c>
      <c r="E25203" t="s">
        <v>1002</v>
      </c>
      <c r="F25203" t="s">
        <v>1003</v>
      </c>
      <c r="G25203">
        <v>289.58999999999997</v>
      </c>
      <c r="H25203">
        <v>250930</v>
      </c>
      <c r="I25203">
        <v>4572</v>
      </c>
      <c r="J25203" t="s">
        <v>173</v>
      </c>
      <c r="K25203">
        <v>289.58999999999997</v>
      </c>
      <c r="L25203">
        <v>58.84</v>
      </c>
      <c r="M25203">
        <v>13841</v>
      </c>
      <c r="N25203" t="s">
        <v>178</v>
      </c>
      <c r="O25203">
        <v>251006</v>
      </c>
      <c r="P25203">
        <v>230.75</v>
      </c>
    </row>
    <row r="25204" spans="1:16" x14ac:dyDescent="0.25">
      <c r="A25204" t="s">
        <v>3296</v>
      </c>
      <c r="B25204" t="s">
        <v>2931</v>
      </c>
      <c r="C25204">
        <v>14787</v>
      </c>
      <c r="D25204" t="str">
        <f>"400609878   "</f>
        <v xml:space="preserve">400609878   </v>
      </c>
      <c r="E25204" t="s">
        <v>1002</v>
      </c>
      <c r="F25204" t="s">
        <v>1003</v>
      </c>
      <c r="G25204">
        <v>174.2</v>
      </c>
      <c r="H25204">
        <v>251031</v>
      </c>
      <c r="I25204">
        <v>4572</v>
      </c>
      <c r="J25204" t="s">
        <v>173</v>
      </c>
      <c r="K25204">
        <v>174.2</v>
      </c>
      <c r="L25204">
        <v>35.4</v>
      </c>
      <c r="M25204">
        <v>13841</v>
      </c>
      <c r="N25204" t="s">
        <v>178</v>
      </c>
      <c r="O25204">
        <v>251106</v>
      </c>
      <c r="P25204">
        <v>138.80000000000001</v>
      </c>
    </row>
    <row r="25205" spans="1:16" x14ac:dyDescent="0.25">
      <c r="A25205" t="s">
        <v>3296</v>
      </c>
      <c r="B25205" t="s">
        <v>2931</v>
      </c>
      <c r="C25205">
        <v>15104</v>
      </c>
      <c r="D25205" t="str">
        <f>"400622458   "</f>
        <v xml:space="preserve">400622458   </v>
      </c>
      <c r="E25205" t="s">
        <v>1002</v>
      </c>
      <c r="F25205" t="s">
        <v>1003</v>
      </c>
      <c r="G25205">
        <v>321.07</v>
      </c>
      <c r="H25205">
        <v>251031</v>
      </c>
      <c r="I25205">
        <v>4572</v>
      </c>
      <c r="J25205" t="s">
        <v>173</v>
      </c>
      <c r="K25205">
        <v>321.07</v>
      </c>
      <c r="L25205">
        <v>65.239999999999995</v>
      </c>
      <c r="M25205">
        <v>13841</v>
      </c>
      <c r="N25205" t="s">
        <v>178</v>
      </c>
      <c r="O25205">
        <v>251111</v>
      </c>
      <c r="P25205">
        <v>255.83</v>
      </c>
    </row>
    <row r="25206" spans="1:16" x14ac:dyDescent="0.25">
      <c r="A25206" t="s">
        <v>3296</v>
      </c>
      <c r="B25206" t="s">
        <v>2931</v>
      </c>
      <c r="C25206">
        <v>16118</v>
      </c>
      <c r="D25206" t="str">
        <f>"400627401   "</f>
        <v xml:space="preserve">400627401   </v>
      </c>
      <c r="E25206" t="s">
        <v>1002</v>
      </c>
      <c r="F25206" t="s">
        <v>1003</v>
      </c>
      <c r="G25206">
        <v>481.66</v>
      </c>
      <c r="H25206">
        <v>251130</v>
      </c>
      <c r="I25206">
        <v>4572</v>
      </c>
      <c r="J25206" t="s">
        <v>173</v>
      </c>
      <c r="K25206">
        <v>481.66</v>
      </c>
      <c r="L25206">
        <v>97.87</v>
      </c>
      <c r="M25206">
        <v>13841</v>
      </c>
      <c r="N25206" t="s">
        <v>178</v>
      </c>
      <c r="O25206">
        <v>251203</v>
      </c>
      <c r="P25206">
        <v>383.79</v>
      </c>
    </row>
    <row r="25207" spans="1:16" x14ac:dyDescent="0.25">
      <c r="A25207" t="s">
        <v>3296</v>
      </c>
      <c r="B25207" t="s">
        <v>2931</v>
      </c>
      <c r="C25207">
        <v>18548</v>
      </c>
      <c r="D25207" t="str">
        <f>"400634266   "</f>
        <v xml:space="preserve">400634266   </v>
      </c>
      <c r="E25207" t="s">
        <v>1002</v>
      </c>
      <c r="F25207" t="s">
        <v>1003</v>
      </c>
      <c r="G25207">
        <v>239.8</v>
      </c>
      <c r="H25207">
        <v>251231</v>
      </c>
      <c r="I25207">
        <v>4572</v>
      </c>
      <c r="J25207" t="s">
        <v>173</v>
      </c>
      <c r="K25207">
        <v>239.8</v>
      </c>
      <c r="L25207">
        <v>48.72</v>
      </c>
      <c r="M25207">
        <v>13841</v>
      </c>
      <c r="N25207" t="s">
        <v>178</v>
      </c>
      <c r="O25207">
        <v>260115</v>
      </c>
      <c r="P25207">
        <v>191.08</v>
      </c>
    </row>
    <row r="25208" spans="1:16" x14ac:dyDescent="0.25">
      <c r="A25208" t="s">
        <v>3296</v>
      </c>
      <c r="B25208" t="s">
        <v>2931</v>
      </c>
      <c r="C25208">
        <v>18549</v>
      </c>
      <c r="D25208" t="str">
        <f>"400634105   "</f>
        <v xml:space="preserve">400634105   </v>
      </c>
      <c r="E25208" t="s">
        <v>1002</v>
      </c>
      <c r="F25208" t="s">
        <v>1003</v>
      </c>
      <c r="G25208">
        <v>381.66</v>
      </c>
      <c r="H25208">
        <v>251231</v>
      </c>
      <c r="I25208">
        <v>4572</v>
      </c>
      <c r="J25208" t="s">
        <v>173</v>
      </c>
      <c r="K25208">
        <v>381.66</v>
      </c>
      <c r="L25208">
        <v>77.55</v>
      </c>
      <c r="M25208">
        <v>13841</v>
      </c>
      <c r="N25208" t="s">
        <v>178</v>
      </c>
      <c r="O25208">
        <v>260115</v>
      </c>
      <c r="P25208">
        <v>304.11</v>
      </c>
    </row>
    <row r="25209" spans="1:16" x14ac:dyDescent="0.25">
      <c r="A25209" t="s">
        <v>3296</v>
      </c>
      <c r="B25209" t="s">
        <v>2931</v>
      </c>
      <c r="C25209">
        <v>15779</v>
      </c>
      <c r="D25209" t="str">
        <f>"254036      "</f>
        <v xml:space="preserve">254036      </v>
      </c>
      <c r="E25209" t="s">
        <v>3329</v>
      </c>
      <c r="F25209" t="s">
        <v>3273</v>
      </c>
      <c r="G25209">
        <v>1518.9</v>
      </c>
      <c r="H25209">
        <v>251119</v>
      </c>
      <c r="I25209">
        <v>4580</v>
      </c>
      <c r="J25209" t="s">
        <v>126</v>
      </c>
      <c r="K25209">
        <v>1518.9</v>
      </c>
      <c r="L25209">
        <v>0</v>
      </c>
      <c r="M25209">
        <v>11905</v>
      </c>
      <c r="N25209" t="s">
        <v>643</v>
      </c>
      <c r="O25209">
        <v>251127</v>
      </c>
      <c r="P25209">
        <v>1518.9</v>
      </c>
    </row>
    <row r="25210" spans="1:16" x14ac:dyDescent="0.25">
      <c r="A25210" t="s">
        <v>3296</v>
      </c>
      <c r="B25210" t="s">
        <v>2931</v>
      </c>
      <c r="C25210">
        <v>17089</v>
      </c>
      <c r="D25210" t="str">
        <f>"471058391   "</f>
        <v xml:space="preserve">471058391   </v>
      </c>
      <c r="E25210" t="s">
        <v>2630</v>
      </c>
      <c r="F25210" t="s">
        <v>2631</v>
      </c>
      <c r="G25210">
        <v>22590</v>
      </c>
      <c r="H25210">
        <v>251215</v>
      </c>
      <c r="I25210">
        <v>1198</v>
      </c>
      <c r="J25210" t="s">
        <v>610</v>
      </c>
      <c r="K25210">
        <v>22590</v>
      </c>
      <c r="L25210">
        <v>4590</v>
      </c>
      <c r="M25210">
        <v>97627</v>
      </c>
      <c r="N25210" t="s">
        <v>1351</v>
      </c>
      <c r="O25210">
        <v>251217</v>
      </c>
      <c r="P25210">
        <v>18000</v>
      </c>
    </row>
    <row r="25211" spans="1:16" x14ac:dyDescent="0.25">
      <c r="A25211" t="s">
        <v>3296</v>
      </c>
      <c r="B25211" t="s">
        <v>2931</v>
      </c>
      <c r="C25211">
        <v>15921</v>
      </c>
      <c r="D25211" t="str">
        <f>"410105712   "</f>
        <v xml:space="preserve">410105712   </v>
      </c>
      <c r="E25211" t="s">
        <v>2630</v>
      </c>
      <c r="F25211" t="s">
        <v>2631</v>
      </c>
      <c r="G25211">
        <v>458.56</v>
      </c>
      <c r="H25211">
        <v>251118</v>
      </c>
      <c r="I25211">
        <v>4400</v>
      </c>
      <c r="J25211" t="s">
        <v>162</v>
      </c>
      <c r="K25211">
        <v>458.56</v>
      </c>
      <c r="L25211">
        <v>93.17</v>
      </c>
      <c r="M25211">
        <v>17808</v>
      </c>
      <c r="N25211" t="s">
        <v>24</v>
      </c>
      <c r="O25211">
        <v>251201</v>
      </c>
      <c r="P25211">
        <v>365.39</v>
      </c>
    </row>
    <row r="25212" spans="1:16" x14ac:dyDescent="0.25">
      <c r="A25212" t="s">
        <v>3296</v>
      </c>
      <c r="B25212" t="s">
        <v>2931</v>
      </c>
      <c r="C25212">
        <v>17094</v>
      </c>
      <c r="D25212" t="str">
        <f>"471058392   "</f>
        <v xml:space="preserve">471058392   </v>
      </c>
      <c r="E25212" t="s">
        <v>2630</v>
      </c>
      <c r="F25212" t="s">
        <v>2631</v>
      </c>
      <c r="G25212">
        <v>373.99</v>
      </c>
      <c r="H25212">
        <v>251215</v>
      </c>
      <c r="I25212">
        <v>4420</v>
      </c>
      <c r="J25212" t="s">
        <v>330</v>
      </c>
      <c r="K25212">
        <v>373.99</v>
      </c>
      <c r="L25212">
        <v>75.989999999999995</v>
      </c>
      <c r="M25212">
        <v>17802</v>
      </c>
      <c r="N25212" t="s">
        <v>18</v>
      </c>
      <c r="O25212">
        <v>251217</v>
      </c>
      <c r="P25212">
        <v>298</v>
      </c>
    </row>
    <row r="25213" spans="1:16" x14ac:dyDescent="0.25">
      <c r="A25213" t="s">
        <v>3296</v>
      </c>
      <c r="B25213" t="s">
        <v>2931</v>
      </c>
      <c r="C25213">
        <v>1648</v>
      </c>
      <c r="D25213" t="str">
        <f>"1019288     "</f>
        <v xml:space="preserve">1019288     </v>
      </c>
      <c r="E25213" t="s">
        <v>1072</v>
      </c>
      <c r="F25213" t="s">
        <v>1073</v>
      </c>
      <c r="G25213">
        <v>265.64999999999998</v>
      </c>
      <c r="H25213">
        <v>250130</v>
      </c>
      <c r="I25213">
        <v>4555</v>
      </c>
      <c r="J25213" t="s">
        <v>352</v>
      </c>
      <c r="K25213">
        <v>483.53</v>
      </c>
      <c r="L25213">
        <v>53.98</v>
      </c>
      <c r="M25213">
        <v>44422</v>
      </c>
      <c r="N25213" t="s">
        <v>97</v>
      </c>
      <c r="O25213">
        <v>250212</v>
      </c>
      <c r="P25213">
        <v>211.67</v>
      </c>
    </row>
    <row r="25214" spans="1:16" x14ac:dyDescent="0.25">
      <c r="A25214" t="s">
        <v>3296</v>
      </c>
      <c r="B25214" t="s">
        <v>2931</v>
      </c>
      <c r="C25214">
        <v>13620</v>
      </c>
      <c r="D25214" t="str">
        <f>"V/2025/15139"</f>
        <v>V/2025/15139</v>
      </c>
      <c r="E25214" t="s">
        <v>1072</v>
      </c>
      <c r="F25214" t="s">
        <v>1073</v>
      </c>
      <c r="G25214">
        <v>331.98</v>
      </c>
      <c r="H25214">
        <v>250923</v>
      </c>
      <c r="I25214">
        <v>4555</v>
      </c>
      <c r="J25214" t="s">
        <v>352</v>
      </c>
      <c r="K25214">
        <v>331.98</v>
      </c>
      <c r="L25214">
        <v>67.45</v>
      </c>
      <c r="M25214">
        <v>44453</v>
      </c>
      <c r="N25214" t="s">
        <v>100</v>
      </c>
      <c r="O25214">
        <v>251013</v>
      </c>
      <c r="P25214">
        <v>264.52999999999997</v>
      </c>
    </row>
    <row r="25215" spans="1:16" x14ac:dyDescent="0.25">
      <c r="A25215" t="s">
        <v>3296</v>
      </c>
      <c r="B25215" t="s">
        <v>2931</v>
      </c>
      <c r="C25215">
        <v>17731</v>
      </c>
      <c r="D25215" t="str">
        <f>"V/2025/18332"</f>
        <v>V/2025/18332</v>
      </c>
      <c r="E25215" t="s">
        <v>1072</v>
      </c>
      <c r="F25215" t="s">
        <v>1073</v>
      </c>
      <c r="G25215">
        <v>253.69</v>
      </c>
      <c r="H25215">
        <v>251205</v>
      </c>
      <c r="I25215">
        <v>4555</v>
      </c>
      <c r="J25215" t="s">
        <v>352</v>
      </c>
      <c r="K25215">
        <v>278.58999999999997</v>
      </c>
      <c r="L25215">
        <v>51.55</v>
      </c>
      <c r="M25215">
        <v>44453</v>
      </c>
      <c r="N25215" t="s">
        <v>100</v>
      </c>
      <c r="O25215">
        <v>251230</v>
      </c>
      <c r="P25215">
        <v>202.14</v>
      </c>
    </row>
    <row r="25216" spans="1:16" x14ac:dyDescent="0.25">
      <c r="A25216" t="s">
        <v>3296</v>
      </c>
      <c r="B25216" t="s">
        <v>2931</v>
      </c>
      <c r="C25216">
        <v>1648</v>
      </c>
      <c r="D25216" t="str">
        <f>"1019288     "</f>
        <v xml:space="preserve">1019288     </v>
      </c>
      <c r="E25216" t="s">
        <v>1072</v>
      </c>
      <c r="F25216" t="s">
        <v>1073</v>
      </c>
      <c r="G25216">
        <v>217.88</v>
      </c>
      <c r="H25216">
        <v>250130</v>
      </c>
      <c r="I25216">
        <v>4600</v>
      </c>
      <c r="J25216" t="s">
        <v>278</v>
      </c>
      <c r="K25216">
        <v>483.53</v>
      </c>
      <c r="L25216">
        <v>44.27</v>
      </c>
      <c r="M25216">
        <v>44422</v>
      </c>
      <c r="N25216" t="s">
        <v>97</v>
      </c>
      <c r="O25216">
        <v>250212</v>
      </c>
      <c r="P25216">
        <v>173.61</v>
      </c>
    </row>
    <row r="25217" spans="1:16" x14ac:dyDescent="0.25">
      <c r="A25217" t="s">
        <v>3296</v>
      </c>
      <c r="B25217" t="s">
        <v>2931</v>
      </c>
      <c r="C25217">
        <v>6570</v>
      </c>
      <c r="D25217" t="str">
        <f>"V/2025/09090"</f>
        <v>V/2025/09090</v>
      </c>
      <c r="E25217" t="s">
        <v>1072</v>
      </c>
      <c r="F25217" t="s">
        <v>1073</v>
      </c>
      <c r="G25217">
        <v>238.95</v>
      </c>
      <c r="H25217">
        <v>250428</v>
      </c>
      <c r="I25217">
        <v>4600</v>
      </c>
      <c r="J25217" t="s">
        <v>278</v>
      </c>
      <c r="K25217">
        <v>477.9</v>
      </c>
      <c r="L25217">
        <v>48.55</v>
      </c>
      <c r="M25217">
        <v>54222</v>
      </c>
      <c r="N25217" t="s">
        <v>48</v>
      </c>
      <c r="O25217">
        <v>250514</v>
      </c>
      <c r="P25217">
        <v>190.4</v>
      </c>
    </row>
    <row r="25218" spans="1:16" x14ac:dyDescent="0.25">
      <c r="A25218" t="s">
        <v>3296</v>
      </c>
      <c r="B25218" t="s">
        <v>2931</v>
      </c>
      <c r="C25218">
        <v>6570</v>
      </c>
      <c r="D25218" t="str">
        <f>"V/2025/09090"</f>
        <v>V/2025/09090</v>
      </c>
      <c r="E25218" t="s">
        <v>1072</v>
      </c>
      <c r="F25218" t="s">
        <v>1073</v>
      </c>
      <c r="G25218">
        <v>238.95</v>
      </c>
      <c r="H25218">
        <v>250428</v>
      </c>
      <c r="I25218">
        <v>4600</v>
      </c>
      <c r="J25218" t="s">
        <v>278</v>
      </c>
      <c r="K25218">
        <v>477.9</v>
      </c>
      <c r="L25218">
        <v>48.55</v>
      </c>
      <c r="M25218">
        <v>54251</v>
      </c>
      <c r="N25218" t="s">
        <v>485</v>
      </c>
      <c r="O25218">
        <v>250514</v>
      </c>
      <c r="P25218">
        <v>190.4</v>
      </c>
    </row>
    <row r="25219" spans="1:16" x14ac:dyDescent="0.25">
      <c r="A25219" t="s">
        <v>3296</v>
      </c>
      <c r="B25219" t="s">
        <v>2931</v>
      </c>
      <c r="C25219">
        <v>11003</v>
      </c>
      <c r="D25219" t="str">
        <f>"V/2025/13901"</f>
        <v>V/2025/13901</v>
      </c>
      <c r="E25219" t="s">
        <v>1072</v>
      </c>
      <c r="F25219" t="s">
        <v>1073</v>
      </c>
      <c r="G25219">
        <v>797.4</v>
      </c>
      <c r="H25219">
        <v>250822</v>
      </c>
      <c r="I25219">
        <v>4600</v>
      </c>
      <c r="J25219" t="s">
        <v>278</v>
      </c>
      <c r="K25219">
        <v>1594.79</v>
      </c>
      <c r="L25219">
        <v>162.02000000000001</v>
      </c>
      <c r="M25219">
        <v>54222</v>
      </c>
      <c r="N25219" t="s">
        <v>48</v>
      </c>
      <c r="O25219">
        <v>250829</v>
      </c>
      <c r="P25219">
        <v>635.38</v>
      </c>
    </row>
    <row r="25220" spans="1:16" x14ac:dyDescent="0.25">
      <c r="A25220" t="s">
        <v>3296</v>
      </c>
      <c r="B25220" t="s">
        <v>2931</v>
      </c>
      <c r="C25220">
        <v>11003</v>
      </c>
      <c r="D25220" t="str">
        <f>"V/2025/13901"</f>
        <v>V/2025/13901</v>
      </c>
      <c r="E25220" t="s">
        <v>1072</v>
      </c>
      <c r="F25220" t="s">
        <v>1073</v>
      </c>
      <c r="G25220">
        <v>797.39</v>
      </c>
      <c r="H25220">
        <v>250822</v>
      </c>
      <c r="I25220">
        <v>4600</v>
      </c>
      <c r="J25220" t="s">
        <v>278</v>
      </c>
      <c r="K25220">
        <v>1594.79</v>
      </c>
      <c r="L25220">
        <v>162.02000000000001</v>
      </c>
      <c r="M25220">
        <v>54251</v>
      </c>
      <c r="N25220" t="s">
        <v>485</v>
      </c>
      <c r="O25220">
        <v>250829</v>
      </c>
      <c r="P25220">
        <v>635.37</v>
      </c>
    </row>
    <row r="25221" spans="1:16" x14ac:dyDescent="0.25">
      <c r="A25221" t="s">
        <v>3296</v>
      </c>
      <c r="B25221" t="s">
        <v>2931</v>
      </c>
      <c r="C25221">
        <v>13983</v>
      </c>
      <c r="D25221" t="str">
        <f>"V/2025/15597"</f>
        <v>V/2025/15597</v>
      </c>
      <c r="E25221" t="s">
        <v>1072</v>
      </c>
      <c r="F25221" t="s">
        <v>1073</v>
      </c>
      <c r="G25221">
        <v>229.55</v>
      </c>
      <c r="H25221">
        <v>251002</v>
      </c>
      <c r="I25221">
        <v>4600</v>
      </c>
      <c r="J25221" t="s">
        <v>278</v>
      </c>
      <c r="K25221">
        <v>459.09</v>
      </c>
      <c r="L25221">
        <v>46.64</v>
      </c>
      <c r="M25221">
        <v>54222</v>
      </c>
      <c r="N25221" t="s">
        <v>48</v>
      </c>
      <c r="O25221">
        <v>251021</v>
      </c>
      <c r="P25221">
        <v>182.91</v>
      </c>
    </row>
    <row r="25222" spans="1:16" x14ac:dyDescent="0.25">
      <c r="A25222" t="s">
        <v>3296</v>
      </c>
      <c r="B25222" t="s">
        <v>2931</v>
      </c>
      <c r="C25222">
        <v>13983</v>
      </c>
      <c r="D25222" t="str">
        <f>"V/2025/15597"</f>
        <v>V/2025/15597</v>
      </c>
      <c r="E25222" t="s">
        <v>1072</v>
      </c>
      <c r="F25222" t="s">
        <v>1073</v>
      </c>
      <c r="G25222">
        <v>229.54</v>
      </c>
      <c r="H25222">
        <v>251002</v>
      </c>
      <c r="I25222">
        <v>4600</v>
      </c>
      <c r="J25222" t="s">
        <v>278</v>
      </c>
      <c r="K25222">
        <v>459.09</v>
      </c>
      <c r="L25222">
        <v>46.64</v>
      </c>
      <c r="M25222">
        <v>54251</v>
      </c>
      <c r="N25222" t="s">
        <v>485</v>
      </c>
      <c r="O25222">
        <v>251021</v>
      </c>
      <c r="P25222">
        <v>182.9</v>
      </c>
    </row>
    <row r="25223" spans="1:16" x14ac:dyDescent="0.25">
      <c r="A25223" t="s">
        <v>3296</v>
      </c>
      <c r="B25223" t="s">
        <v>2931</v>
      </c>
      <c r="C25223">
        <v>14433</v>
      </c>
      <c r="D25223" t="str">
        <f>"V/2025/16393"</f>
        <v>V/2025/16393</v>
      </c>
      <c r="E25223" t="s">
        <v>1072</v>
      </c>
      <c r="F25223" t="s">
        <v>1073</v>
      </c>
      <c r="G25223">
        <v>320.77</v>
      </c>
      <c r="H25223">
        <v>251021</v>
      </c>
      <c r="I25223">
        <v>4600</v>
      </c>
      <c r="J25223" t="s">
        <v>278</v>
      </c>
      <c r="K25223">
        <v>320.77</v>
      </c>
      <c r="L25223">
        <v>65.180000000000007</v>
      </c>
      <c r="M25223">
        <v>44453</v>
      </c>
      <c r="N25223" t="s">
        <v>100</v>
      </c>
      <c r="O25223">
        <v>251031</v>
      </c>
      <c r="P25223">
        <v>255.59</v>
      </c>
    </row>
    <row r="25224" spans="1:16" x14ac:dyDescent="0.25">
      <c r="A25224" t="s">
        <v>3296</v>
      </c>
      <c r="B25224" t="s">
        <v>2931</v>
      </c>
      <c r="C25224">
        <v>14865</v>
      </c>
      <c r="D25224" t="str">
        <f>"V/2025/16604"</f>
        <v>V/2025/16604</v>
      </c>
      <c r="E25224" t="s">
        <v>1072</v>
      </c>
      <c r="F25224" t="s">
        <v>1073</v>
      </c>
      <c r="G25224">
        <v>600.21</v>
      </c>
      <c r="H25224">
        <v>251028</v>
      </c>
      <c r="I25224">
        <v>4600</v>
      </c>
      <c r="J25224" t="s">
        <v>278</v>
      </c>
      <c r="K25224">
        <v>1200.4100000000001</v>
      </c>
      <c r="L25224">
        <v>121.96</v>
      </c>
      <c r="M25224">
        <v>54222</v>
      </c>
      <c r="N25224" t="s">
        <v>48</v>
      </c>
      <c r="O25224">
        <v>251107</v>
      </c>
      <c r="P25224">
        <v>478.25</v>
      </c>
    </row>
    <row r="25225" spans="1:16" x14ac:dyDescent="0.25">
      <c r="A25225" t="s">
        <v>3296</v>
      </c>
      <c r="B25225" t="s">
        <v>2931</v>
      </c>
      <c r="C25225">
        <v>14865</v>
      </c>
      <c r="D25225" t="str">
        <f>"V/2025/16604"</f>
        <v>V/2025/16604</v>
      </c>
      <c r="E25225" t="s">
        <v>1072</v>
      </c>
      <c r="F25225" t="s">
        <v>1073</v>
      </c>
      <c r="G25225">
        <v>600.20000000000005</v>
      </c>
      <c r="H25225">
        <v>251028</v>
      </c>
      <c r="I25225">
        <v>4600</v>
      </c>
      <c r="J25225" t="s">
        <v>278</v>
      </c>
      <c r="K25225">
        <v>1200.4100000000001</v>
      </c>
      <c r="L25225">
        <v>121.95</v>
      </c>
      <c r="M25225">
        <v>54251</v>
      </c>
      <c r="N25225" t="s">
        <v>485</v>
      </c>
      <c r="O25225">
        <v>251107</v>
      </c>
      <c r="P25225">
        <v>478.25</v>
      </c>
    </row>
    <row r="25226" spans="1:16" x14ac:dyDescent="0.25">
      <c r="A25226" t="s">
        <v>3296</v>
      </c>
      <c r="B25226" t="s">
        <v>2931</v>
      </c>
      <c r="C25226">
        <v>17731</v>
      </c>
      <c r="D25226" t="str">
        <f>"V/2025/18332"</f>
        <v>V/2025/18332</v>
      </c>
      <c r="E25226" t="s">
        <v>1072</v>
      </c>
      <c r="F25226" t="s">
        <v>1073</v>
      </c>
      <c r="G25226">
        <v>24.9</v>
      </c>
      <c r="H25226">
        <v>251205</v>
      </c>
      <c r="I25226">
        <v>4600</v>
      </c>
      <c r="J25226" t="s">
        <v>278</v>
      </c>
      <c r="K25226">
        <v>278.58999999999997</v>
      </c>
      <c r="L25226">
        <v>5.0599999999999996</v>
      </c>
      <c r="M25226">
        <v>44453</v>
      </c>
      <c r="N25226" t="s">
        <v>100</v>
      </c>
      <c r="O25226">
        <v>251230</v>
      </c>
      <c r="P25226">
        <v>19.84</v>
      </c>
    </row>
    <row r="25227" spans="1:16" x14ac:dyDescent="0.25">
      <c r="A25227" t="s">
        <v>3296</v>
      </c>
      <c r="B25227" t="s">
        <v>2931</v>
      </c>
      <c r="C25227">
        <v>1666</v>
      </c>
      <c r="D25227" t="str">
        <f>"2139785     "</f>
        <v xml:space="preserve">2139785     </v>
      </c>
      <c r="E25227" t="s">
        <v>1080</v>
      </c>
      <c r="F25227" t="s">
        <v>1081</v>
      </c>
      <c r="G25227">
        <v>573.44000000000005</v>
      </c>
      <c r="H25227">
        <v>250131</v>
      </c>
      <c r="I25227">
        <v>4380</v>
      </c>
      <c r="J25227" t="s">
        <v>211</v>
      </c>
      <c r="K25227">
        <v>1726.18</v>
      </c>
      <c r="L25227">
        <v>116.52</v>
      </c>
      <c r="M25227">
        <v>69111</v>
      </c>
      <c r="N25227" t="s">
        <v>657</v>
      </c>
      <c r="O25227">
        <v>250212</v>
      </c>
      <c r="P25227">
        <v>456.92</v>
      </c>
    </row>
    <row r="25228" spans="1:16" x14ac:dyDescent="0.25">
      <c r="A25228" t="s">
        <v>3296</v>
      </c>
      <c r="B25228" t="s">
        <v>2931</v>
      </c>
      <c r="C25228">
        <v>1666</v>
      </c>
      <c r="D25228" t="str">
        <f>"2139785     "</f>
        <v xml:space="preserve">2139785     </v>
      </c>
      <c r="E25228" t="s">
        <v>1080</v>
      </c>
      <c r="F25228" t="s">
        <v>1081</v>
      </c>
      <c r="G25228">
        <v>905.44</v>
      </c>
      <c r="H25228">
        <v>250131</v>
      </c>
      <c r="I25228">
        <v>4380</v>
      </c>
      <c r="J25228" t="s">
        <v>211</v>
      </c>
      <c r="K25228">
        <v>1726.18</v>
      </c>
      <c r="L25228">
        <v>183.97</v>
      </c>
      <c r="M25228">
        <v>69501</v>
      </c>
      <c r="N25228" t="s">
        <v>123</v>
      </c>
      <c r="O25228">
        <v>250212</v>
      </c>
      <c r="P25228">
        <v>721.47</v>
      </c>
    </row>
    <row r="25229" spans="1:16" x14ac:dyDescent="0.25">
      <c r="A25229" t="s">
        <v>3296</v>
      </c>
      <c r="B25229" t="s">
        <v>2931</v>
      </c>
      <c r="C25229">
        <v>1666</v>
      </c>
      <c r="D25229" t="str">
        <f>"2139785     "</f>
        <v xml:space="preserve">2139785     </v>
      </c>
      <c r="E25229" t="s">
        <v>1080</v>
      </c>
      <c r="F25229" t="s">
        <v>1081</v>
      </c>
      <c r="G25229">
        <v>15.09</v>
      </c>
      <c r="H25229">
        <v>250131</v>
      </c>
      <c r="I25229">
        <v>4380</v>
      </c>
      <c r="J25229" t="s">
        <v>211</v>
      </c>
      <c r="K25229">
        <v>1726.18</v>
      </c>
      <c r="L25229">
        <v>3.07</v>
      </c>
      <c r="M25229">
        <v>69801</v>
      </c>
      <c r="N25229" t="s">
        <v>1077</v>
      </c>
      <c r="O25229">
        <v>250212</v>
      </c>
      <c r="P25229">
        <v>12.02</v>
      </c>
    </row>
    <row r="25230" spans="1:16" x14ac:dyDescent="0.25">
      <c r="A25230" t="s">
        <v>3296</v>
      </c>
      <c r="B25230" t="s">
        <v>2931</v>
      </c>
      <c r="C25230">
        <v>1666</v>
      </c>
      <c r="D25230" t="str">
        <f>"2139785     "</f>
        <v xml:space="preserve">2139785     </v>
      </c>
      <c r="E25230" t="s">
        <v>1080</v>
      </c>
      <c r="F25230" t="s">
        <v>1081</v>
      </c>
      <c r="G25230">
        <v>15.09</v>
      </c>
      <c r="H25230">
        <v>250131</v>
      </c>
      <c r="I25230">
        <v>4380</v>
      </c>
      <c r="J25230" t="s">
        <v>211</v>
      </c>
      <c r="K25230">
        <v>1726.18</v>
      </c>
      <c r="L25230">
        <v>0</v>
      </c>
      <c r="M25230">
        <v>69803</v>
      </c>
      <c r="N25230" t="s">
        <v>391</v>
      </c>
      <c r="O25230">
        <v>250212</v>
      </c>
      <c r="P25230">
        <v>15.09</v>
      </c>
    </row>
    <row r="25231" spans="1:16" x14ac:dyDescent="0.25">
      <c r="A25231" t="s">
        <v>3296</v>
      </c>
      <c r="B25231" t="s">
        <v>2931</v>
      </c>
      <c r="C25231">
        <v>3107</v>
      </c>
      <c r="D25231" t="str">
        <f>"2147238     "</f>
        <v xml:space="preserve">2147238     </v>
      </c>
      <c r="E25231" t="s">
        <v>1080</v>
      </c>
      <c r="F25231" t="s">
        <v>1081</v>
      </c>
      <c r="G25231">
        <v>584.42999999999995</v>
      </c>
      <c r="H25231">
        <v>250228</v>
      </c>
      <c r="I25231">
        <v>4380</v>
      </c>
      <c r="J25231" t="s">
        <v>211</v>
      </c>
      <c r="K25231">
        <v>1755.08</v>
      </c>
      <c r="L25231">
        <v>118.75</v>
      </c>
      <c r="M25231">
        <v>69111</v>
      </c>
      <c r="N25231" t="s">
        <v>657</v>
      </c>
      <c r="O25231">
        <v>250314</v>
      </c>
      <c r="P25231">
        <v>465.68</v>
      </c>
    </row>
    <row r="25232" spans="1:16" x14ac:dyDescent="0.25">
      <c r="A25232" t="s">
        <v>3296</v>
      </c>
      <c r="B25232" t="s">
        <v>2931</v>
      </c>
      <c r="C25232">
        <v>3107</v>
      </c>
      <c r="D25232" t="str">
        <f>"2147238     "</f>
        <v xml:space="preserve">2147238     </v>
      </c>
      <c r="E25232" t="s">
        <v>1080</v>
      </c>
      <c r="F25232" t="s">
        <v>1081</v>
      </c>
      <c r="G25232">
        <v>922.78</v>
      </c>
      <c r="H25232">
        <v>250228</v>
      </c>
      <c r="I25232">
        <v>4380</v>
      </c>
      <c r="J25232" t="s">
        <v>211</v>
      </c>
      <c r="K25232">
        <v>1755.08</v>
      </c>
      <c r="L25232">
        <v>187.5</v>
      </c>
      <c r="M25232">
        <v>69501</v>
      </c>
      <c r="N25232" t="s">
        <v>123</v>
      </c>
      <c r="O25232">
        <v>250314</v>
      </c>
      <c r="P25232">
        <v>735.28</v>
      </c>
    </row>
    <row r="25233" spans="1:16" x14ac:dyDescent="0.25">
      <c r="A25233" t="s">
        <v>3296</v>
      </c>
      <c r="B25233" t="s">
        <v>2931</v>
      </c>
      <c r="C25233">
        <v>3107</v>
      </c>
      <c r="D25233" t="str">
        <f>"2147238     "</f>
        <v xml:space="preserve">2147238     </v>
      </c>
      <c r="E25233" t="s">
        <v>1080</v>
      </c>
      <c r="F25233" t="s">
        <v>1081</v>
      </c>
      <c r="G25233">
        <v>15.38</v>
      </c>
      <c r="H25233">
        <v>250228</v>
      </c>
      <c r="I25233">
        <v>4380</v>
      </c>
      <c r="J25233" t="s">
        <v>211</v>
      </c>
      <c r="K25233">
        <v>1755.08</v>
      </c>
      <c r="L25233">
        <v>3.13</v>
      </c>
      <c r="M25233">
        <v>69801</v>
      </c>
      <c r="N25233" t="s">
        <v>1077</v>
      </c>
      <c r="O25233">
        <v>250314</v>
      </c>
      <c r="P25233">
        <v>12.25</v>
      </c>
    </row>
    <row r="25234" spans="1:16" x14ac:dyDescent="0.25">
      <c r="A25234" t="s">
        <v>3296</v>
      </c>
      <c r="B25234" t="s">
        <v>2931</v>
      </c>
      <c r="C25234">
        <v>3107</v>
      </c>
      <c r="D25234" t="str">
        <f>"2147238     "</f>
        <v xml:space="preserve">2147238     </v>
      </c>
      <c r="E25234" t="s">
        <v>1080</v>
      </c>
      <c r="F25234" t="s">
        <v>1081</v>
      </c>
      <c r="G25234">
        <v>15.38</v>
      </c>
      <c r="H25234">
        <v>250228</v>
      </c>
      <c r="I25234">
        <v>4380</v>
      </c>
      <c r="J25234" t="s">
        <v>211</v>
      </c>
      <c r="K25234">
        <v>1755.08</v>
      </c>
      <c r="L25234">
        <v>0</v>
      </c>
      <c r="M25234">
        <v>69803</v>
      </c>
      <c r="N25234" t="s">
        <v>391</v>
      </c>
      <c r="O25234">
        <v>250314</v>
      </c>
      <c r="P25234">
        <v>15.38</v>
      </c>
    </row>
    <row r="25235" spans="1:16" x14ac:dyDescent="0.25">
      <c r="A25235" t="s">
        <v>3296</v>
      </c>
      <c r="B25235" t="s">
        <v>2931</v>
      </c>
      <c r="C25235">
        <v>4660</v>
      </c>
      <c r="D25235" t="str">
        <f>"2155835     "</f>
        <v xml:space="preserve">2155835     </v>
      </c>
      <c r="E25235" t="s">
        <v>1080</v>
      </c>
      <c r="F25235" t="s">
        <v>1081</v>
      </c>
      <c r="G25235">
        <v>607.91</v>
      </c>
      <c r="H25235">
        <v>250331</v>
      </c>
      <c r="I25235">
        <v>4380</v>
      </c>
      <c r="J25235" t="s">
        <v>211</v>
      </c>
      <c r="K25235">
        <v>1760.25</v>
      </c>
      <c r="L25235">
        <v>123.52</v>
      </c>
      <c r="M25235">
        <v>69111</v>
      </c>
      <c r="N25235" t="s">
        <v>657</v>
      </c>
      <c r="O25235">
        <v>250414</v>
      </c>
      <c r="P25235">
        <v>484.39</v>
      </c>
    </row>
    <row r="25236" spans="1:16" x14ac:dyDescent="0.25">
      <c r="A25236" t="s">
        <v>3296</v>
      </c>
      <c r="B25236" t="s">
        <v>2931</v>
      </c>
      <c r="C25236">
        <v>4660</v>
      </c>
      <c r="D25236" t="str">
        <f>"2155835     "</f>
        <v xml:space="preserve">2155835     </v>
      </c>
      <c r="E25236" t="s">
        <v>1080</v>
      </c>
      <c r="F25236" t="s">
        <v>1081</v>
      </c>
      <c r="G25236">
        <v>-56.63</v>
      </c>
      <c r="H25236">
        <v>250331</v>
      </c>
      <c r="I25236">
        <v>4380</v>
      </c>
      <c r="J25236" t="s">
        <v>211</v>
      </c>
      <c r="K25236">
        <v>1760.25</v>
      </c>
      <c r="L25236">
        <v>0</v>
      </c>
      <c r="M25236">
        <v>69501</v>
      </c>
      <c r="N25236" t="s">
        <v>123</v>
      </c>
      <c r="O25236">
        <v>250414</v>
      </c>
      <c r="P25236">
        <v>-56.63</v>
      </c>
    </row>
    <row r="25237" spans="1:16" x14ac:dyDescent="0.25">
      <c r="A25237" t="s">
        <v>3296</v>
      </c>
      <c r="B25237" t="s">
        <v>2931</v>
      </c>
      <c r="C25237">
        <v>4660</v>
      </c>
      <c r="D25237" t="str">
        <f>"2155835     "</f>
        <v xml:space="preserve">2155835     </v>
      </c>
      <c r="E25237" t="s">
        <v>1080</v>
      </c>
      <c r="F25237" t="s">
        <v>1081</v>
      </c>
      <c r="G25237">
        <v>959.85</v>
      </c>
      <c r="H25237">
        <v>250331</v>
      </c>
      <c r="I25237">
        <v>4380</v>
      </c>
      <c r="J25237" t="s">
        <v>211</v>
      </c>
      <c r="K25237">
        <v>1760.25</v>
      </c>
      <c r="L25237">
        <v>195.03</v>
      </c>
      <c r="M25237">
        <v>69501</v>
      </c>
      <c r="N25237" t="s">
        <v>123</v>
      </c>
      <c r="O25237">
        <v>250414</v>
      </c>
      <c r="P25237">
        <v>764.82</v>
      </c>
    </row>
    <row r="25238" spans="1:16" x14ac:dyDescent="0.25">
      <c r="A25238" t="s">
        <v>3296</v>
      </c>
      <c r="B25238" t="s">
        <v>2931</v>
      </c>
      <c r="C25238">
        <v>4660</v>
      </c>
      <c r="D25238" t="str">
        <f>"2155835     "</f>
        <v xml:space="preserve">2155835     </v>
      </c>
      <c r="E25238" t="s">
        <v>1080</v>
      </c>
      <c r="F25238" t="s">
        <v>1081</v>
      </c>
      <c r="G25238">
        <v>16</v>
      </c>
      <c r="H25238">
        <v>250331</v>
      </c>
      <c r="I25238">
        <v>4380</v>
      </c>
      <c r="J25238" t="s">
        <v>211</v>
      </c>
      <c r="K25238">
        <v>1760.25</v>
      </c>
      <c r="L25238">
        <v>3.25</v>
      </c>
      <c r="M25238">
        <v>69801</v>
      </c>
      <c r="N25238" t="s">
        <v>1077</v>
      </c>
      <c r="O25238">
        <v>250414</v>
      </c>
      <c r="P25238">
        <v>12.75</v>
      </c>
    </row>
    <row r="25239" spans="1:16" x14ac:dyDescent="0.25">
      <c r="A25239" t="s">
        <v>3296</v>
      </c>
      <c r="B25239" t="s">
        <v>2931</v>
      </c>
      <c r="C25239">
        <v>4660</v>
      </c>
      <c r="D25239" t="str">
        <f>"2155835     "</f>
        <v xml:space="preserve">2155835     </v>
      </c>
      <c r="E25239" t="s">
        <v>1080</v>
      </c>
      <c r="F25239" t="s">
        <v>1081</v>
      </c>
      <c r="G25239">
        <v>16</v>
      </c>
      <c r="H25239">
        <v>250331</v>
      </c>
      <c r="I25239">
        <v>4380</v>
      </c>
      <c r="J25239" t="s">
        <v>211</v>
      </c>
      <c r="K25239">
        <v>1760.25</v>
      </c>
      <c r="L25239">
        <v>0</v>
      </c>
      <c r="M25239">
        <v>69803</v>
      </c>
      <c r="N25239" t="s">
        <v>391</v>
      </c>
      <c r="O25239">
        <v>250414</v>
      </c>
      <c r="P25239">
        <v>16</v>
      </c>
    </row>
    <row r="25240" spans="1:16" x14ac:dyDescent="0.25">
      <c r="A25240" t="s">
        <v>3296</v>
      </c>
      <c r="B25240" t="s">
        <v>2931</v>
      </c>
      <c r="C25240">
        <v>6415</v>
      </c>
      <c r="D25240" t="str">
        <f>"2180861     "</f>
        <v xml:space="preserve">2180861     </v>
      </c>
      <c r="E25240" t="s">
        <v>1080</v>
      </c>
      <c r="F25240" t="s">
        <v>1081</v>
      </c>
      <c r="G25240">
        <v>695.75</v>
      </c>
      <c r="H25240">
        <v>250430</v>
      </c>
      <c r="I25240">
        <v>4380</v>
      </c>
      <c r="J25240" t="s">
        <v>211</v>
      </c>
      <c r="K25240">
        <v>1984.25</v>
      </c>
      <c r="L25240">
        <v>141.37</v>
      </c>
      <c r="M25240">
        <v>69111</v>
      </c>
      <c r="N25240" t="s">
        <v>657</v>
      </c>
      <c r="O25240">
        <v>250513</v>
      </c>
      <c r="P25240">
        <v>554.38</v>
      </c>
    </row>
    <row r="25241" spans="1:16" x14ac:dyDescent="0.25">
      <c r="A25241" t="s">
        <v>3296</v>
      </c>
      <c r="B25241" t="s">
        <v>2931</v>
      </c>
      <c r="C25241">
        <v>6415</v>
      </c>
      <c r="D25241" t="str">
        <f>"2180861     "</f>
        <v xml:space="preserve">2180861     </v>
      </c>
      <c r="E25241" t="s">
        <v>1080</v>
      </c>
      <c r="F25241" t="s">
        <v>1081</v>
      </c>
      <c r="G25241">
        <v>-63.78</v>
      </c>
      <c r="H25241">
        <v>250430</v>
      </c>
      <c r="I25241">
        <v>4380</v>
      </c>
      <c r="J25241" t="s">
        <v>211</v>
      </c>
      <c r="K25241">
        <v>1984.25</v>
      </c>
      <c r="L25241">
        <v>0</v>
      </c>
      <c r="M25241">
        <v>69501</v>
      </c>
      <c r="N25241" t="s">
        <v>123</v>
      </c>
      <c r="O25241">
        <v>250513</v>
      </c>
      <c r="P25241">
        <v>-63.78</v>
      </c>
    </row>
    <row r="25242" spans="1:16" x14ac:dyDescent="0.25">
      <c r="A25242" t="s">
        <v>3296</v>
      </c>
      <c r="B25242" t="s">
        <v>2931</v>
      </c>
      <c r="C25242">
        <v>6415</v>
      </c>
      <c r="D25242" t="str">
        <f>"2180861     "</f>
        <v xml:space="preserve">2180861     </v>
      </c>
      <c r="E25242" t="s">
        <v>1080</v>
      </c>
      <c r="F25242" t="s">
        <v>1081</v>
      </c>
      <c r="G25242">
        <v>1098.55</v>
      </c>
      <c r="H25242">
        <v>250430</v>
      </c>
      <c r="I25242">
        <v>4380</v>
      </c>
      <c r="J25242" t="s">
        <v>211</v>
      </c>
      <c r="K25242">
        <v>1984.25</v>
      </c>
      <c r="L25242">
        <v>223.21</v>
      </c>
      <c r="M25242">
        <v>69501</v>
      </c>
      <c r="N25242" t="s">
        <v>123</v>
      </c>
      <c r="O25242">
        <v>250513</v>
      </c>
      <c r="P25242">
        <v>875.34</v>
      </c>
    </row>
    <row r="25243" spans="1:16" x14ac:dyDescent="0.25">
      <c r="A25243" t="s">
        <v>3296</v>
      </c>
      <c r="B25243" t="s">
        <v>2931</v>
      </c>
      <c r="C25243">
        <v>6415</v>
      </c>
      <c r="D25243" t="str">
        <f>"2180861     "</f>
        <v xml:space="preserve">2180861     </v>
      </c>
      <c r="E25243" t="s">
        <v>1080</v>
      </c>
      <c r="F25243" t="s">
        <v>1081</v>
      </c>
      <c r="G25243">
        <v>18.309999999999999</v>
      </c>
      <c r="H25243">
        <v>250430</v>
      </c>
      <c r="I25243">
        <v>4380</v>
      </c>
      <c r="J25243" t="s">
        <v>211</v>
      </c>
      <c r="K25243">
        <v>1984.25</v>
      </c>
      <c r="L25243">
        <v>3.72</v>
      </c>
      <c r="M25243">
        <v>69801</v>
      </c>
      <c r="N25243" t="s">
        <v>1077</v>
      </c>
      <c r="O25243">
        <v>250513</v>
      </c>
      <c r="P25243">
        <v>14.59</v>
      </c>
    </row>
    <row r="25244" spans="1:16" x14ac:dyDescent="0.25">
      <c r="A25244" t="s">
        <v>3296</v>
      </c>
      <c r="B25244" t="s">
        <v>2931</v>
      </c>
      <c r="C25244">
        <v>6415</v>
      </c>
      <c r="D25244" t="str">
        <f>"2180861     "</f>
        <v xml:space="preserve">2180861     </v>
      </c>
      <c r="E25244" t="s">
        <v>1080</v>
      </c>
      <c r="F25244" t="s">
        <v>1081</v>
      </c>
      <c r="G25244">
        <v>18.309999999999999</v>
      </c>
      <c r="H25244">
        <v>250430</v>
      </c>
      <c r="I25244">
        <v>4380</v>
      </c>
      <c r="J25244" t="s">
        <v>211</v>
      </c>
      <c r="K25244">
        <v>1984.25</v>
      </c>
      <c r="L25244">
        <v>0</v>
      </c>
      <c r="M25244">
        <v>69803</v>
      </c>
      <c r="N25244" t="s">
        <v>391</v>
      </c>
      <c r="O25244">
        <v>250513</v>
      </c>
      <c r="P25244">
        <v>18.309999999999999</v>
      </c>
    </row>
    <row r="25245" spans="1:16" x14ac:dyDescent="0.25">
      <c r="A25245" t="s">
        <v>3296</v>
      </c>
      <c r="B25245" t="s">
        <v>2931</v>
      </c>
      <c r="C25245">
        <v>8185</v>
      </c>
      <c r="D25245" t="str">
        <f>"2190936     "</f>
        <v xml:space="preserve">2190936     </v>
      </c>
      <c r="E25245" t="s">
        <v>1080</v>
      </c>
      <c r="F25245" t="s">
        <v>1081</v>
      </c>
      <c r="G25245">
        <v>817.73</v>
      </c>
      <c r="H25245">
        <v>250531</v>
      </c>
      <c r="I25245">
        <v>4380</v>
      </c>
      <c r="J25245" t="s">
        <v>211</v>
      </c>
      <c r="K25245">
        <v>2350.63</v>
      </c>
      <c r="L25245">
        <v>166.15</v>
      </c>
      <c r="M25245">
        <v>69111</v>
      </c>
      <c r="N25245" t="s">
        <v>657</v>
      </c>
      <c r="O25245">
        <v>250612</v>
      </c>
      <c r="P25245">
        <v>651.58000000000004</v>
      </c>
    </row>
    <row r="25246" spans="1:16" x14ac:dyDescent="0.25">
      <c r="A25246" t="s">
        <v>3296</v>
      </c>
      <c r="B25246" t="s">
        <v>2931</v>
      </c>
      <c r="C25246">
        <v>8185</v>
      </c>
      <c r="D25246" t="str">
        <f>"2190936     "</f>
        <v xml:space="preserve">2190936     </v>
      </c>
      <c r="E25246" t="s">
        <v>1080</v>
      </c>
      <c r="F25246" t="s">
        <v>1081</v>
      </c>
      <c r="G25246">
        <v>-18.399999999999999</v>
      </c>
      <c r="H25246">
        <v>250531</v>
      </c>
      <c r="I25246">
        <v>4380</v>
      </c>
      <c r="J25246" t="s">
        <v>211</v>
      </c>
      <c r="K25246">
        <v>2350.63</v>
      </c>
      <c r="L25246">
        <v>0</v>
      </c>
      <c r="M25246">
        <v>69501</v>
      </c>
      <c r="N25246" t="s">
        <v>123</v>
      </c>
      <c r="O25246">
        <v>250612</v>
      </c>
      <c r="P25246">
        <v>-18.399999999999999</v>
      </c>
    </row>
    <row r="25247" spans="1:16" x14ac:dyDescent="0.25">
      <c r="A25247" t="s">
        <v>3296</v>
      </c>
      <c r="B25247" t="s">
        <v>2931</v>
      </c>
      <c r="C25247">
        <v>8185</v>
      </c>
      <c r="D25247" t="str">
        <f>"2190936     "</f>
        <v xml:space="preserve">2190936     </v>
      </c>
      <c r="E25247" t="s">
        <v>1080</v>
      </c>
      <c r="F25247" t="s">
        <v>1081</v>
      </c>
      <c r="G25247">
        <v>1291.1500000000001</v>
      </c>
      <c r="H25247">
        <v>250531</v>
      </c>
      <c r="I25247">
        <v>4380</v>
      </c>
      <c r="J25247" t="s">
        <v>211</v>
      </c>
      <c r="K25247">
        <v>2350.63</v>
      </c>
      <c r="L25247">
        <v>262.35000000000002</v>
      </c>
      <c r="M25247">
        <v>69501</v>
      </c>
      <c r="N25247" t="s">
        <v>123</v>
      </c>
      <c r="O25247">
        <v>250612</v>
      </c>
      <c r="P25247">
        <v>1028.8</v>
      </c>
    </row>
    <row r="25248" spans="1:16" x14ac:dyDescent="0.25">
      <c r="A25248" t="s">
        <v>3296</v>
      </c>
      <c r="B25248" t="s">
        <v>2931</v>
      </c>
      <c r="C25248">
        <v>8185</v>
      </c>
      <c r="D25248" t="str">
        <f>"2190936     "</f>
        <v xml:space="preserve">2190936     </v>
      </c>
      <c r="E25248" t="s">
        <v>1080</v>
      </c>
      <c r="F25248" t="s">
        <v>1081</v>
      </c>
      <c r="G25248">
        <v>21.52</v>
      </c>
      <c r="H25248">
        <v>250531</v>
      </c>
      <c r="I25248">
        <v>4380</v>
      </c>
      <c r="J25248" t="s">
        <v>211</v>
      </c>
      <c r="K25248">
        <v>2350.63</v>
      </c>
      <c r="L25248">
        <v>4.37</v>
      </c>
      <c r="M25248">
        <v>69801</v>
      </c>
      <c r="N25248" t="s">
        <v>1077</v>
      </c>
      <c r="O25248">
        <v>250612</v>
      </c>
      <c r="P25248">
        <v>17.149999999999999</v>
      </c>
    </row>
    <row r="25249" spans="1:16" x14ac:dyDescent="0.25">
      <c r="A25249" t="s">
        <v>3296</v>
      </c>
      <c r="B25249" t="s">
        <v>2931</v>
      </c>
      <c r="C25249">
        <v>8185</v>
      </c>
      <c r="D25249" t="str">
        <f>"2190936     "</f>
        <v xml:space="preserve">2190936     </v>
      </c>
      <c r="E25249" t="s">
        <v>1080</v>
      </c>
      <c r="F25249" t="s">
        <v>1081</v>
      </c>
      <c r="G25249">
        <v>21.52</v>
      </c>
      <c r="H25249">
        <v>250531</v>
      </c>
      <c r="I25249">
        <v>4380</v>
      </c>
      <c r="J25249" t="s">
        <v>211</v>
      </c>
      <c r="K25249">
        <v>2350.63</v>
      </c>
      <c r="L25249">
        <v>0</v>
      </c>
      <c r="M25249">
        <v>69803</v>
      </c>
      <c r="N25249" t="s">
        <v>391</v>
      </c>
      <c r="O25249">
        <v>250612</v>
      </c>
      <c r="P25249">
        <v>21.52</v>
      </c>
    </row>
    <row r="25250" spans="1:16" x14ac:dyDescent="0.25">
      <c r="A25250" t="s">
        <v>3296</v>
      </c>
      <c r="B25250" t="s">
        <v>2931</v>
      </c>
      <c r="C25250">
        <v>9507</v>
      </c>
      <c r="D25250" t="str">
        <f>"2198920     "</f>
        <v xml:space="preserve">2198920     </v>
      </c>
      <c r="E25250" t="s">
        <v>1080</v>
      </c>
      <c r="F25250" t="s">
        <v>1081</v>
      </c>
      <c r="G25250">
        <v>625.55999999999995</v>
      </c>
      <c r="H25250">
        <v>250630</v>
      </c>
      <c r="I25250">
        <v>4380</v>
      </c>
      <c r="J25250" t="s">
        <v>211</v>
      </c>
      <c r="K25250">
        <v>1860.81</v>
      </c>
      <c r="L25250">
        <v>127.11</v>
      </c>
      <c r="M25250">
        <v>69111</v>
      </c>
      <c r="N25250" t="s">
        <v>657</v>
      </c>
      <c r="O25250">
        <v>250709</v>
      </c>
      <c r="P25250">
        <v>498.45</v>
      </c>
    </row>
    <row r="25251" spans="1:16" x14ac:dyDescent="0.25">
      <c r="A25251" t="s">
        <v>3296</v>
      </c>
      <c r="B25251" t="s">
        <v>2931</v>
      </c>
      <c r="C25251">
        <v>9507</v>
      </c>
      <c r="D25251" t="str">
        <f>"2198920     "</f>
        <v xml:space="preserve">2198920     </v>
      </c>
      <c r="E25251" t="s">
        <v>1080</v>
      </c>
      <c r="F25251" t="s">
        <v>1081</v>
      </c>
      <c r="G25251">
        <v>987.73</v>
      </c>
      <c r="H25251">
        <v>250630</v>
      </c>
      <c r="I25251">
        <v>4380</v>
      </c>
      <c r="J25251" t="s">
        <v>211</v>
      </c>
      <c r="K25251">
        <v>1860.81</v>
      </c>
      <c r="L25251">
        <v>200.69</v>
      </c>
      <c r="M25251">
        <v>69501</v>
      </c>
      <c r="N25251" t="s">
        <v>123</v>
      </c>
      <c r="O25251">
        <v>250709</v>
      </c>
      <c r="P25251">
        <v>787.04</v>
      </c>
    </row>
    <row r="25252" spans="1:16" x14ac:dyDescent="0.25">
      <c r="A25252" t="s">
        <v>3296</v>
      </c>
      <c r="B25252" t="s">
        <v>2931</v>
      </c>
      <c r="C25252">
        <v>9507</v>
      </c>
      <c r="D25252" t="str">
        <f>"2198920     "</f>
        <v xml:space="preserve">2198920     </v>
      </c>
      <c r="E25252" t="s">
        <v>1080</v>
      </c>
      <c r="F25252" t="s">
        <v>1081</v>
      </c>
      <c r="G25252">
        <v>16.46</v>
      </c>
      <c r="H25252">
        <v>250630</v>
      </c>
      <c r="I25252">
        <v>4380</v>
      </c>
      <c r="J25252" t="s">
        <v>211</v>
      </c>
      <c r="K25252">
        <v>1860.81</v>
      </c>
      <c r="L25252">
        <v>3.34</v>
      </c>
      <c r="M25252">
        <v>69801</v>
      </c>
      <c r="N25252" t="s">
        <v>1077</v>
      </c>
      <c r="O25252">
        <v>250709</v>
      </c>
      <c r="P25252">
        <v>13.12</v>
      </c>
    </row>
    <row r="25253" spans="1:16" x14ac:dyDescent="0.25">
      <c r="A25253" t="s">
        <v>3296</v>
      </c>
      <c r="B25253" t="s">
        <v>2931</v>
      </c>
      <c r="C25253">
        <v>9507</v>
      </c>
      <c r="D25253" t="str">
        <f>"2198920     "</f>
        <v xml:space="preserve">2198920     </v>
      </c>
      <c r="E25253" t="s">
        <v>1080</v>
      </c>
      <c r="F25253" t="s">
        <v>1081</v>
      </c>
      <c r="G25253">
        <v>16.46</v>
      </c>
      <c r="H25253">
        <v>250630</v>
      </c>
      <c r="I25253">
        <v>4380</v>
      </c>
      <c r="J25253" t="s">
        <v>211</v>
      </c>
      <c r="K25253">
        <v>1860.81</v>
      </c>
      <c r="L25253">
        <v>0</v>
      </c>
      <c r="M25253">
        <v>69803</v>
      </c>
      <c r="N25253" t="s">
        <v>391</v>
      </c>
      <c r="O25253">
        <v>250709</v>
      </c>
      <c r="P25253">
        <v>16.46</v>
      </c>
    </row>
    <row r="25254" spans="1:16" x14ac:dyDescent="0.25">
      <c r="A25254" t="s">
        <v>3296</v>
      </c>
      <c r="B25254" t="s">
        <v>2931</v>
      </c>
      <c r="C25254">
        <v>10113</v>
      </c>
      <c r="D25254" t="str">
        <f>"2226306     "</f>
        <v xml:space="preserve">2226306     </v>
      </c>
      <c r="E25254" t="s">
        <v>1080</v>
      </c>
      <c r="F25254" t="s">
        <v>1081</v>
      </c>
      <c r="G25254">
        <v>81.55</v>
      </c>
      <c r="H25254">
        <v>250731</v>
      </c>
      <c r="I25254">
        <v>4380</v>
      </c>
      <c r="J25254" t="s">
        <v>211</v>
      </c>
      <c r="K25254">
        <v>1734.67</v>
      </c>
      <c r="L25254">
        <v>16.57</v>
      </c>
      <c r="M25254">
        <v>69111</v>
      </c>
      <c r="N25254" t="s">
        <v>657</v>
      </c>
      <c r="O25254">
        <v>250812</v>
      </c>
      <c r="P25254">
        <v>64.98</v>
      </c>
    </row>
    <row r="25255" spans="1:16" x14ac:dyDescent="0.25">
      <c r="A25255" t="s">
        <v>3296</v>
      </c>
      <c r="B25255" t="s">
        <v>2931</v>
      </c>
      <c r="C25255">
        <v>10113</v>
      </c>
      <c r="D25255" t="str">
        <f>"2226306     "</f>
        <v xml:space="preserve">2226306     </v>
      </c>
      <c r="E25255" t="s">
        <v>1080</v>
      </c>
      <c r="F25255" t="s">
        <v>1081</v>
      </c>
      <c r="G25255">
        <v>128.76</v>
      </c>
      <c r="H25255">
        <v>250731</v>
      </c>
      <c r="I25255">
        <v>4380</v>
      </c>
      <c r="J25255" t="s">
        <v>211</v>
      </c>
      <c r="K25255">
        <v>1734.67</v>
      </c>
      <c r="L25255">
        <v>26.16</v>
      </c>
      <c r="M25255">
        <v>69501</v>
      </c>
      <c r="N25255" t="s">
        <v>123</v>
      </c>
      <c r="O25255">
        <v>250812</v>
      </c>
      <c r="P25255">
        <v>102.6</v>
      </c>
    </row>
    <row r="25256" spans="1:16" x14ac:dyDescent="0.25">
      <c r="A25256" t="s">
        <v>3296</v>
      </c>
      <c r="B25256" t="s">
        <v>2931</v>
      </c>
      <c r="C25256">
        <v>10113</v>
      </c>
      <c r="D25256" t="str">
        <f>"2226306     "</f>
        <v xml:space="preserve">2226306     </v>
      </c>
      <c r="E25256" t="s">
        <v>1080</v>
      </c>
      <c r="F25256" t="s">
        <v>1081</v>
      </c>
      <c r="G25256">
        <v>2.15</v>
      </c>
      <c r="H25256">
        <v>250731</v>
      </c>
      <c r="I25256">
        <v>4380</v>
      </c>
      <c r="J25256" t="s">
        <v>211</v>
      </c>
      <c r="K25256">
        <v>1734.67</v>
      </c>
      <c r="L25256">
        <v>0.44</v>
      </c>
      <c r="M25256">
        <v>69801</v>
      </c>
      <c r="N25256" t="s">
        <v>1077</v>
      </c>
      <c r="O25256">
        <v>250812</v>
      </c>
      <c r="P25256">
        <v>1.71</v>
      </c>
    </row>
    <row r="25257" spans="1:16" x14ac:dyDescent="0.25">
      <c r="A25257" t="s">
        <v>3296</v>
      </c>
      <c r="B25257" t="s">
        <v>2931</v>
      </c>
      <c r="C25257">
        <v>10113</v>
      </c>
      <c r="D25257" t="str">
        <f>"2226306     "</f>
        <v xml:space="preserve">2226306     </v>
      </c>
      <c r="E25257" t="s">
        <v>1080</v>
      </c>
      <c r="F25257" t="s">
        <v>1081</v>
      </c>
      <c r="G25257">
        <v>2.15</v>
      </c>
      <c r="H25257">
        <v>250731</v>
      </c>
      <c r="I25257">
        <v>4380</v>
      </c>
      <c r="J25257" t="s">
        <v>211</v>
      </c>
      <c r="K25257">
        <v>1734.67</v>
      </c>
      <c r="L25257">
        <v>0</v>
      </c>
      <c r="M25257">
        <v>69803</v>
      </c>
      <c r="N25257" t="s">
        <v>391</v>
      </c>
      <c r="O25257">
        <v>250812</v>
      </c>
      <c r="P25257">
        <v>2.15</v>
      </c>
    </row>
    <row r="25258" spans="1:16" x14ac:dyDescent="0.25">
      <c r="A25258" t="s">
        <v>3296</v>
      </c>
      <c r="B25258" t="s">
        <v>2931</v>
      </c>
      <c r="C25258">
        <v>11602</v>
      </c>
      <c r="D25258" t="str">
        <f>"2234695     "</f>
        <v xml:space="preserve">2234695     </v>
      </c>
      <c r="E25258" t="s">
        <v>1080</v>
      </c>
      <c r="F25258" t="s">
        <v>1081</v>
      </c>
      <c r="G25258">
        <v>498.72</v>
      </c>
      <c r="H25258">
        <v>250831</v>
      </c>
      <c r="I25258">
        <v>4380</v>
      </c>
      <c r="J25258" t="s">
        <v>211</v>
      </c>
      <c r="K25258">
        <v>1527.02</v>
      </c>
      <c r="L25258">
        <v>101.33</v>
      </c>
      <c r="M25258">
        <v>69111</v>
      </c>
      <c r="N25258" t="s">
        <v>657</v>
      </c>
      <c r="O25258">
        <v>250909</v>
      </c>
      <c r="P25258">
        <v>397.39</v>
      </c>
    </row>
    <row r="25259" spans="1:16" x14ac:dyDescent="0.25">
      <c r="A25259" t="s">
        <v>3296</v>
      </c>
      <c r="B25259" t="s">
        <v>2931</v>
      </c>
      <c r="C25259">
        <v>11602</v>
      </c>
      <c r="D25259" t="str">
        <f>"2234695     "</f>
        <v xml:space="preserve">2234695     </v>
      </c>
      <c r="E25259" t="s">
        <v>1080</v>
      </c>
      <c r="F25259" t="s">
        <v>1081</v>
      </c>
      <c r="G25259">
        <v>787.45</v>
      </c>
      <c r="H25259">
        <v>250831</v>
      </c>
      <c r="I25259">
        <v>4380</v>
      </c>
      <c r="J25259" t="s">
        <v>211</v>
      </c>
      <c r="K25259">
        <v>1527.02</v>
      </c>
      <c r="L25259">
        <v>160</v>
      </c>
      <c r="M25259">
        <v>69501</v>
      </c>
      <c r="N25259" t="s">
        <v>123</v>
      </c>
      <c r="O25259">
        <v>250909</v>
      </c>
      <c r="P25259">
        <v>627.45000000000005</v>
      </c>
    </row>
    <row r="25260" spans="1:16" x14ac:dyDescent="0.25">
      <c r="A25260" t="s">
        <v>3296</v>
      </c>
      <c r="B25260" t="s">
        <v>2931</v>
      </c>
      <c r="C25260">
        <v>11602</v>
      </c>
      <c r="D25260" t="str">
        <f>"2234695     "</f>
        <v xml:space="preserve">2234695     </v>
      </c>
      <c r="E25260" t="s">
        <v>1080</v>
      </c>
      <c r="F25260" t="s">
        <v>1081</v>
      </c>
      <c r="G25260">
        <v>13.12</v>
      </c>
      <c r="H25260">
        <v>250831</v>
      </c>
      <c r="I25260">
        <v>4380</v>
      </c>
      <c r="J25260" t="s">
        <v>211</v>
      </c>
      <c r="K25260">
        <v>1527.02</v>
      </c>
      <c r="L25260">
        <v>2.67</v>
      </c>
      <c r="M25260">
        <v>69801</v>
      </c>
      <c r="N25260" t="s">
        <v>1077</v>
      </c>
      <c r="O25260">
        <v>250909</v>
      </c>
      <c r="P25260">
        <v>10.45</v>
      </c>
    </row>
    <row r="25261" spans="1:16" x14ac:dyDescent="0.25">
      <c r="A25261" t="s">
        <v>3296</v>
      </c>
      <c r="B25261" t="s">
        <v>2931</v>
      </c>
      <c r="C25261">
        <v>11602</v>
      </c>
      <c r="D25261" t="str">
        <f>"2234695     "</f>
        <v xml:space="preserve">2234695     </v>
      </c>
      <c r="E25261" t="s">
        <v>1080</v>
      </c>
      <c r="F25261" t="s">
        <v>1081</v>
      </c>
      <c r="G25261">
        <v>13.12</v>
      </c>
      <c r="H25261">
        <v>250831</v>
      </c>
      <c r="I25261">
        <v>4380</v>
      </c>
      <c r="J25261" t="s">
        <v>211</v>
      </c>
      <c r="K25261">
        <v>1527.02</v>
      </c>
      <c r="L25261">
        <v>0</v>
      </c>
      <c r="M25261">
        <v>69803</v>
      </c>
      <c r="N25261" t="s">
        <v>391</v>
      </c>
      <c r="O25261">
        <v>250909</v>
      </c>
      <c r="P25261">
        <v>13.12</v>
      </c>
    </row>
    <row r="25262" spans="1:16" x14ac:dyDescent="0.25">
      <c r="A25262" t="s">
        <v>3296</v>
      </c>
      <c r="B25262" t="s">
        <v>2931</v>
      </c>
      <c r="C25262">
        <v>13425</v>
      </c>
      <c r="D25262" t="str">
        <f>"2244822     "</f>
        <v xml:space="preserve">2244822     </v>
      </c>
      <c r="E25262" t="s">
        <v>1080</v>
      </c>
      <c r="F25262" t="s">
        <v>1081</v>
      </c>
      <c r="G25262">
        <v>484.12</v>
      </c>
      <c r="H25262">
        <v>250930</v>
      </c>
      <c r="I25262">
        <v>4380</v>
      </c>
      <c r="J25262" t="s">
        <v>211</v>
      </c>
      <c r="K25262">
        <v>1455.95</v>
      </c>
      <c r="L25262">
        <v>98.37</v>
      </c>
      <c r="M25262">
        <v>69111</v>
      </c>
      <c r="N25262" t="s">
        <v>657</v>
      </c>
      <c r="O25262">
        <v>251009</v>
      </c>
      <c r="P25262">
        <v>385.75</v>
      </c>
    </row>
    <row r="25263" spans="1:16" x14ac:dyDescent="0.25">
      <c r="A25263" t="s">
        <v>3296</v>
      </c>
      <c r="B25263" t="s">
        <v>2931</v>
      </c>
      <c r="C25263">
        <v>13425</v>
      </c>
      <c r="D25263" t="str">
        <f>"2244822     "</f>
        <v xml:space="preserve">2244822     </v>
      </c>
      <c r="E25263" t="s">
        <v>1080</v>
      </c>
      <c r="F25263" t="s">
        <v>1081</v>
      </c>
      <c r="G25263">
        <v>744.81</v>
      </c>
      <c r="H25263">
        <v>250930</v>
      </c>
      <c r="I25263">
        <v>4380</v>
      </c>
      <c r="J25263" t="s">
        <v>211</v>
      </c>
      <c r="K25263">
        <v>1455.95</v>
      </c>
      <c r="L25263">
        <v>151.34</v>
      </c>
      <c r="M25263">
        <v>69501</v>
      </c>
      <c r="N25263" t="s">
        <v>123</v>
      </c>
      <c r="O25263">
        <v>251009</v>
      </c>
      <c r="P25263">
        <v>593.47</v>
      </c>
    </row>
    <row r="25264" spans="1:16" x14ac:dyDescent="0.25">
      <c r="A25264" t="s">
        <v>3296</v>
      </c>
      <c r="B25264" t="s">
        <v>2931</v>
      </c>
      <c r="C25264">
        <v>13425</v>
      </c>
      <c r="D25264" t="str">
        <f>"2244822     "</f>
        <v xml:space="preserve">2244822     </v>
      </c>
      <c r="E25264" t="s">
        <v>1080</v>
      </c>
      <c r="F25264" t="s">
        <v>1081</v>
      </c>
      <c r="G25264">
        <v>12.41</v>
      </c>
      <c r="H25264">
        <v>250930</v>
      </c>
      <c r="I25264">
        <v>4380</v>
      </c>
      <c r="J25264" t="s">
        <v>211</v>
      </c>
      <c r="K25264">
        <v>1455.95</v>
      </c>
      <c r="L25264">
        <v>0</v>
      </c>
      <c r="M25264">
        <v>69803</v>
      </c>
      <c r="N25264" t="s">
        <v>391</v>
      </c>
      <c r="O25264">
        <v>251009</v>
      </c>
      <c r="P25264">
        <v>12.41</v>
      </c>
    </row>
    <row r="25265" spans="1:16" x14ac:dyDescent="0.25">
      <c r="A25265" t="s">
        <v>3296</v>
      </c>
      <c r="B25265" t="s">
        <v>2931</v>
      </c>
      <c r="C25265">
        <v>14945</v>
      </c>
      <c r="D25265" t="str">
        <f>"2274156     "</f>
        <v xml:space="preserve">2274156     </v>
      </c>
      <c r="E25265" t="s">
        <v>1080</v>
      </c>
      <c r="F25265" t="s">
        <v>1081</v>
      </c>
      <c r="G25265">
        <v>501.49</v>
      </c>
      <c r="H25265">
        <v>251031</v>
      </c>
      <c r="I25265">
        <v>4380</v>
      </c>
      <c r="J25265" t="s">
        <v>211</v>
      </c>
      <c r="K25265">
        <v>1500.48</v>
      </c>
      <c r="L25265">
        <v>101.9</v>
      </c>
      <c r="M25265">
        <v>69111</v>
      </c>
      <c r="N25265" t="s">
        <v>657</v>
      </c>
      <c r="O25265">
        <v>251110</v>
      </c>
      <c r="P25265">
        <v>399.59</v>
      </c>
    </row>
    <row r="25266" spans="1:16" x14ac:dyDescent="0.25">
      <c r="A25266" t="s">
        <v>3296</v>
      </c>
      <c r="B25266" t="s">
        <v>2931</v>
      </c>
      <c r="C25266">
        <v>14945</v>
      </c>
      <c r="D25266" t="str">
        <f>"2274156     "</f>
        <v xml:space="preserve">2274156     </v>
      </c>
      <c r="E25266" t="s">
        <v>1080</v>
      </c>
      <c r="F25266" t="s">
        <v>1081</v>
      </c>
      <c r="G25266">
        <v>771.52</v>
      </c>
      <c r="H25266">
        <v>251031</v>
      </c>
      <c r="I25266">
        <v>4380</v>
      </c>
      <c r="J25266" t="s">
        <v>211</v>
      </c>
      <c r="K25266">
        <v>1500.48</v>
      </c>
      <c r="L25266">
        <v>156.76</v>
      </c>
      <c r="M25266">
        <v>69501</v>
      </c>
      <c r="N25266" t="s">
        <v>123</v>
      </c>
      <c r="O25266">
        <v>251110</v>
      </c>
      <c r="P25266">
        <v>614.76</v>
      </c>
    </row>
    <row r="25267" spans="1:16" x14ac:dyDescent="0.25">
      <c r="A25267" t="s">
        <v>3296</v>
      </c>
      <c r="B25267" t="s">
        <v>2931</v>
      </c>
      <c r="C25267">
        <v>14945</v>
      </c>
      <c r="D25267" t="str">
        <f>"2274156     "</f>
        <v xml:space="preserve">2274156     </v>
      </c>
      <c r="E25267" t="s">
        <v>1080</v>
      </c>
      <c r="F25267" t="s">
        <v>1081</v>
      </c>
      <c r="G25267">
        <v>12.86</v>
      </c>
      <c r="H25267">
        <v>251031</v>
      </c>
      <c r="I25267">
        <v>4380</v>
      </c>
      <c r="J25267" t="s">
        <v>211</v>
      </c>
      <c r="K25267">
        <v>1500.48</v>
      </c>
      <c r="L25267">
        <v>0</v>
      </c>
      <c r="M25267">
        <v>69803</v>
      </c>
      <c r="N25267" t="s">
        <v>391</v>
      </c>
      <c r="O25267">
        <v>251110</v>
      </c>
      <c r="P25267">
        <v>12.86</v>
      </c>
    </row>
    <row r="25268" spans="1:16" x14ac:dyDescent="0.25">
      <c r="A25268" t="s">
        <v>3296</v>
      </c>
      <c r="B25268" t="s">
        <v>2931</v>
      </c>
      <c r="C25268">
        <v>16647</v>
      </c>
      <c r="D25268" t="str">
        <f>"2290124     "</f>
        <v xml:space="preserve">2290124     </v>
      </c>
      <c r="E25268" t="s">
        <v>1080</v>
      </c>
      <c r="F25268" t="s">
        <v>1081</v>
      </c>
      <c r="G25268">
        <v>1216.1500000000001</v>
      </c>
      <c r="H25268">
        <v>251130</v>
      </c>
      <c r="I25268">
        <v>4380</v>
      </c>
      <c r="J25268" t="s">
        <v>211</v>
      </c>
      <c r="K25268">
        <v>1443.04</v>
      </c>
      <c r="L25268">
        <v>247.11</v>
      </c>
      <c r="M25268">
        <v>69501</v>
      </c>
      <c r="N25268" t="s">
        <v>123</v>
      </c>
      <c r="O25268">
        <v>251211</v>
      </c>
      <c r="P25268">
        <v>969.04</v>
      </c>
    </row>
    <row r="25269" spans="1:16" x14ac:dyDescent="0.25">
      <c r="A25269" t="s">
        <v>3296</v>
      </c>
      <c r="B25269" t="s">
        <v>2931</v>
      </c>
      <c r="C25269">
        <v>16647</v>
      </c>
      <c r="D25269" t="str">
        <f>"2290124     "</f>
        <v xml:space="preserve">2290124     </v>
      </c>
      <c r="E25269" t="s">
        <v>1080</v>
      </c>
      <c r="F25269" t="s">
        <v>1081</v>
      </c>
      <c r="G25269">
        <v>12.28</v>
      </c>
      <c r="H25269">
        <v>251130</v>
      </c>
      <c r="I25269">
        <v>4380</v>
      </c>
      <c r="J25269" t="s">
        <v>211</v>
      </c>
      <c r="K25269">
        <v>1443.04</v>
      </c>
      <c r="L25269">
        <v>0</v>
      </c>
      <c r="M25269">
        <v>69803</v>
      </c>
      <c r="N25269" t="s">
        <v>391</v>
      </c>
      <c r="O25269">
        <v>251211</v>
      </c>
      <c r="P25269">
        <v>12.28</v>
      </c>
    </row>
    <row r="25270" spans="1:16" x14ac:dyDescent="0.25">
      <c r="A25270" t="s">
        <v>3296</v>
      </c>
      <c r="B25270" t="s">
        <v>2931</v>
      </c>
      <c r="C25270">
        <v>18143</v>
      </c>
      <c r="D25270" t="str">
        <f>"2293876     "</f>
        <v xml:space="preserve">2293876     </v>
      </c>
      <c r="E25270" t="s">
        <v>1080</v>
      </c>
      <c r="F25270" t="s">
        <v>1081</v>
      </c>
      <c r="G25270">
        <v>-94.3</v>
      </c>
      <c r="H25270">
        <v>251231</v>
      </c>
      <c r="I25270">
        <v>4380</v>
      </c>
      <c r="J25270" t="s">
        <v>211</v>
      </c>
      <c r="K25270">
        <v>1786.79</v>
      </c>
      <c r="L25270">
        <v>0</v>
      </c>
      <c r="M25270">
        <v>69501</v>
      </c>
      <c r="N25270" t="s">
        <v>123</v>
      </c>
      <c r="O25270">
        <v>260109</v>
      </c>
      <c r="P25270">
        <v>-94.3</v>
      </c>
    </row>
    <row r="25271" spans="1:16" x14ac:dyDescent="0.25">
      <c r="A25271" t="s">
        <v>3296</v>
      </c>
      <c r="B25271" t="s">
        <v>2931</v>
      </c>
      <c r="C25271">
        <v>18143</v>
      </c>
      <c r="D25271" t="str">
        <f>"2293876     "</f>
        <v xml:space="preserve">2293876     </v>
      </c>
      <c r="E25271" t="s">
        <v>1080</v>
      </c>
      <c r="F25271" t="s">
        <v>1081</v>
      </c>
      <c r="G25271">
        <v>1666.48</v>
      </c>
      <c r="H25271">
        <v>251231</v>
      </c>
      <c r="I25271">
        <v>4380</v>
      </c>
      <c r="J25271" t="s">
        <v>211</v>
      </c>
      <c r="K25271">
        <v>1786.79</v>
      </c>
      <c r="L25271">
        <v>338.61</v>
      </c>
      <c r="M25271">
        <v>69501</v>
      </c>
      <c r="N25271" t="s">
        <v>123</v>
      </c>
      <c r="O25271">
        <v>260109</v>
      </c>
      <c r="P25271">
        <v>1327.87</v>
      </c>
    </row>
    <row r="25272" spans="1:16" x14ac:dyDescent="0.25">
      <c r="A25272" t="s">
        <v>3296</v>
      </c>
      <c r="B25272" t="s">
        <v>2931</v>
      </c>
      <c r="C25272">
        <v>1666</v>
      </c>
      <c r="D25272" t="str">
        <f>"2139785     "</f>
        <v xml:space="preserve">2139785     </v>
      </c>
      <c r="E25272" t="s">
        <v>1080</v>
      </c>
      <c r="F25272" t="s">
        <v>1081</v>
      </c>
      <c r="G25272">
        <v>82.51</v>
      </c>
      <c r="H25272">
        <v>250131</v>
      </c>
      <c r="I25272">
        <v>4860</v>
      </c>
      <c r="J25272" t="s">
        <v>286</v>
      </c>
      <c r="K25272">
        <v>1726.18</v>
      </c>
      <c r="L25272">
        <v>16.760000000000002</v>
      </c>
      <c r="M25272">
        <v>69111</v>
      </c>
      <c r="N25272" t="s">
        <v>657</v>
      </c>
      <c r="O25272">
        <v>250212</v>
      </c>
      <c r="P25272">
        <v>65.75</v>
      </c>
    </row>
    <row r="25273" spans="1:16" x14ac:dyDescent="0.25">
      <c r="A25273" t="s">
        <v>3296</v>
      </c>
      <c r="B25273" t="s">
        <v>2931</v>
      </c>
      <c r="C25273">
        <v>1666</v>
      </c>
      <c r="D25273" t="str">
        <f>"2139785     "</f>
        <v xml:space="preserve">2139785     </v>
      </c>
      <c r="E25273" t="s">
        <v>1080</v>
      </c>
      <c r="F25273" t="s">
        <v>1081</v>
      </c>
      <c r="G25273">
        <v>130.27000000000001</v>
      </c>
      <c r="H25273">
        <v>250131</v>
      </c>
      <c r="I25273">
        <v>4860</v>
      </c>
      <c r="J25273" t="s">
        <v>286</v>
      </c>
      <c r="K25273">
        <v>1726.18</v>
      </c>
      <c r="L25273">
        <v>26.47</v>
      </c>
      <c r="M25273">
        <v>69501</v>
      </c>
      <c r="N25273" t="s">
        <v>123</v>
      </c>
      <c r="O25273">
        <v>250212</v>
      </c>
      <c r="P25273">
        <v>103.8</v>
      </c>
    </row>
    <row r="25274" spans="1:16" x14ac:dyDescent="0.25">
      <c r="A25274" t="s">
        <v>3296</v>
      </c>
      <c r="B25274" t="s">
        <v>2931</v>
      </c>
      <c r="C25274">
        <v>1666</v>
      </c>
      <c r="D25274" t="str">
        <f>"2139785     "</f>
        <v xml:space="preserve">2139785     </v>
      </c>
      <c r="E25274" t="s">
        <v>1080</v>
      </c>
      <c r="F25274" t="s">
        <v>1081</v>
      </c>
      <c r="G25274">
        <v>2.17</v>
      </c>
      <c r="H25274">
        <v>250131</v>
      </c>
      <c r="I25274">
        <v>4860</v>
      </c>
      <c r="J25274" t="s">
        <v>286</v>
      </c>
      <c r="K25274">
        <v>1726.18</v>
      </c>
      <c r="L25274">
        <v>0.44</v>
      </c>
      <c r="M25274">
        <v>69801</v>
      </c>
      <c r="N25274" t="s">
        <v>1077</v>
      </c>
      <c r="O25274">
        <v>250212</v>
      </c>
      <c r="P25274">
        <v>1.73</v>
      </c>
    </row>
    <row r="25275" spans="1:16" x14ac:dyDescent="0.25">
      <c r="A25275" t="s">
        <v>3296</v>
      </c>
      <c r="B25275" t="s">
        <v>2931</v>
      </c>
      <c r="C25275">
        <v>1666</v>
      </c>
      <c r="D25275" t="str">
        <f>"2139785     "</f>
        <v xml:space="preserve">2139785     </v>
      </c>
      <c r="E25275" t="s">
        <v>1080</v>
      </c>
      <c r="F25275" t="s">
        <v>1081</v>
      </c>
      <c r="G25275">
        <v>2.17</v>
      </c>
      <c r="H25275">
        <v>250131</v>
      </c>
      <c r="I25275">
        <v>4860</v>
      </c>
      <c r="J25275" t="s">
        <v>286</v>
      </c>
      <c r="K25275">
        <v>1726.18</v>
      </c>
      <c r="L25275">
        <v>0</v>
      </c>
      <c r="M25275">
        <v>69803</v>
      </c>
      <c r="N25275" t="s">
        <v>391</v>
      </c>
      <c r="O25275">
        <v>250212</v>
      </c>
      <c r="P25275">
        <v>2.17</v>
      </c>
    </row>
    <row r="25276" spans="1:16" x14ac:dyDescent="0.25">
      <c r="A25276" t="s">
        <v>3296</v>
      </c>
      <c r="B25276" t="s">
        <v>2931</v>
      </c>
      <c r="C25276">
        <v>3107</v>
      </c>
      <c r="D25276" t="str">
        <f>"2147238     "</f>
        <v xml:space="preserve">2147238     </v>
      </c>
      <c r="E25276" t="s">
        <v>1080</v>
      </c>
      <c r="F25276" t="s">
        <v>1081</v>
      </c>
      <c r="G25276">
        <v>82.5</v>
      </c>
      <c r="H25276">
        <v>250228</v>
      </c>
      <c r="I25276">
        <v>4860</v>
      </c>
      <c r="J25276" t="s">
        <v>286</v>
      </c>
      <c r="K25276">
        <v>1755.08</v>
      </c>
      <c r="L25276">
        <v>16.760000000000002</v>
      </c>
      <c r="M25276">
        <v>69111</v>
      </c>
      <c r="N25276" t="s">
        <v>657</v>
      </c>
      <c r="O25276">
        <v>250314</v>
      </c>
      <c r="P25276">
        <v>65.739999999999995</v>
      </c>
    </row>
    <row r="25277" spans="1:16" x14ac:dyDescent="0.25">
      <c r="A25277" t="s">
        <v>3296</v>
      </c>
      <c r="B25277" t="s">
        <v>2931</v>
      </c>
      <c r="C25277">
        <v>3107</v>
      </c>
      <c r="D25277" t="str">
        <f>"2147238     "</f>
        <v xml:space="preserve">2147238     </v>
      </c>
      <c r="E25277" t="s">
        <v>1080</v>
      </c>
      <c r="F25277" t="s">
        <v>1081</v>
      </c>
      <c r="G25277">
        <v>130.27000000000001</v>
      </c>
      <c r="H25277">
        <v>250228</v>
      </c>
      <c r="I25277">
        <v>4860</v>
      </c>
      <c r="J25277" t="s">
        <v>286</v>
      </c>
      <c r="K25277">
        <v>1755.08</v>
      </c>
      <c r="L25277">
        <v>26.47</v>
      </c>
      <c r="M25277">
        <v>69501</v>
      </c>
      <c r="N25277" t="s">
        <v>123</v>
      </c>
      <c r="O25277">
        <v>250314</v>
      </c>
      <c r="P25277">
        <v>103.8</v>
      </c>
    </row>
    <row r="25278" spans="1:16" x14ac:dyDescent="0.25">
      <c r="A25278" t="s">
        <v>3296</v>
      </c>
      <c r="B25278" t="s">
        <v>2931</v>
      </c>
      <c r="C25278">
        <v>3107</v>
      </c>
      <c r="D25278" t="str">
        <f>"2147238     "</f>
        <v xml:space="preserve">2147238     </v>
      </c>
      <c r="E25278" t="s">
        <v>1080</v>
      </c>
      <c r="F25278" t="s">
        <v>1081</v>
      </c>
      <c r="G25278">
        <v>2.17</v>
      </c>
      <c r="H25278">
        <v>250228</v>
      </c>
      <c r="I25278">
        <v>4860</v>
      </c>
      <c r="J25278" t="s">
        <v>286</v>
      </c>
      <c r="K25278">
        <v>1755.08</v>
      </c>
      <c r="L25278">
        <v>0.44</v>
      </c>
      <c r="M25278">
        <v>69801</v>
      </c>
      <c r="N25278" t="s">
        <v>1077</v>
      </c>
      <c r="O25278">
        <v>250314</v>
      </c>
      <c r="P25278">
        <v>1.73</v>
      </c>
    </row>
    <row r="25279" spans="1:16" x14ac:dyDescent="0.25">
      <c r="A25279" t="s">
        <v>3296</v>
      </c>
      <c r="B25279" t="s">
        <v>2931</v>
      </c>
      <c r="C25279">
        <v>3107</v>
      </c>
      <c r="D25279" t="str">
        <f>"2147238     "</f>
        <v xml:space="preserve">2147238     </v>
      </c>
      <c r="E25279" t="s">
        <v>1080</v>
      </c>
      <c r="F25279" t="s">
        <v>1081</v>
      </c>
      <c r="G25279">
        <v>2.17</v>
      </c>
      <c r="H25279">
        <v>250228</v>
      </c>
      <c r="I25279">
        <v>4860</v>
      </c>
      <c r="J25279" t="s">
        <v>286</v>
      </c>
      <c r="K25279">
        <v>1755.08</v>
      </c>
      <c r="L25279">
        <v>0</v>
      </c>
      <c r="M25279">
        <v>69803</v>
      </c>
      <c r="N25279" t="s">
        <v>391</v>
      </c>
      <c r="O25279">
        <v>250314</v>
      </c>
      <c r="P25279">
        <v>2.17</v>
      </c>
    </row>
    <row r="25280" spans="1:16" x14ac:dyDescent="0.25">
      <c r="A25280" t="s">
        <v>3296</v>
      </c>
      <c r="B25280" t="s">
        <v>2931</v>
      </c>
      <c r="C25280">
        <v>4660</v>
      </c>
      <c r="D25280" t="str">
        <f>"2155835     "</f>
        <v xml:space="preserve">2155835     </v>
      </c>
      <c r="E25280" t="s">
        <v>1080</v>
      </c>
      <c r="F25280" t="s">
        <v>1081</v>
      </c>
      <c r="G25280">
        <v>82.5</v>
      </c>
      <c r="H25280">
        <v>250331</v>
      </c>
      <c r="I25280">
        <v>4860</v>
      </c>
      <c r="J25280" t="s">
        <v>286</v>
      </c>
      <c r="K25280">
        <v>1760.25</v>
      </c>
      <c r="L25280">
        <v>16.760000000000002</v>
      </c>
      <c r="M25280">
        <v>69111</v>
      </c>
      <c r="N25280" t="s">
        <v>657</v>
      </c>
      <c r="O25280">
        <v>250414</v>
      </c>
      <c r="P25280">
        <v>65.739999999999995</v>
      </c>
    </row>
    <row r="25281" spans="1:16" x14ac:dyDescent="0.25">
      <c r="A25281" t="s">
        <v>3296</v>
      </c>
      <c r="B25281" t="s">
        <v>2931</v>
      </c>
      <c r="C25281">
        <v>4660</v>
      </c>
      <c r="D25281" t="str">
        <f>"2155835     "</f>
        <v xml:space="preserve">2155835     </v>
      </c>
      <c r="E25281" t="s">
        <v>1080</v>
      </c>
      <c r="F25281" t="s">
        <v>1081</v>
      </c>
      <c r="G25281">
        <v>130.28</v>
      </c>
      <c r="H25281">
        <v>250331</v>
      </c>
      <c r="I25281">
        <v>4860</v>
      </c>
      <c r="J25281" t="s">
        <v>286</v>
      </c>
      <c r="K25281">
        <v>1760.25</v>
      </c>
      <c r="L25281">
        <v>26.47</v>
      </c>
      <c r="M25281">
        <v>69501</v>
      </c>
      <c r="N25281" t="s">
        <v>123</v>
      </c>
      <c r="O25281">
        <v>250414</v>
      </c>
      <c r="P25281">
        <v>103.81</v>
      </c>
    </row>
    <row r="25282" spans="1:16" x14ac:dyDescent="0.25">
      <c r="A25282" t="s">
        <v>3296</v>
      </c>
      <c r="B25282" t="s">
        <v>2931</v>
      </c>
      <c r="C25282">
        <v>4660</v>
      </c>
      <c r="D25282" t="str">
        <f>"2155835     "</f>
        <v xml:space="preserve">2155835     </v>
      </c>
      <c r="E25282" t="s">
        <v>1080</v>
      </c>
      <c r="F25282" t="s">
        <v>1081</v>
      </c>
      <c r="G25282">
        <v>2.17</v>
      </c>
      <c r="H25282">
        <v>250331</v>
      </c>
      <c r="I25282">
        <v>4860</v>
      </c>
      <c r="J25282" t="s">
        <v>286</v>
      </c>
      <c r="K25282">
        <v>1760.25</v>
      </c>
      <c r="L25282">
        <v>0.44</v>
      </c>
      <c r="M25282">
        <v>69801</v>
      </c>
      <c r="N25282" t="s">
        <v>1077</v>
      </c>
      <c r="O25282">
        <v>250414</v>
      </c>
      <c r="P25282">
        <v>1.73</v>
      </c>
    </row>
    <row r="25283" spans="1:16" x14ac:dyDescent="0.25">
      <c r="A25283" t="s">
        <v>3296</v>
      </c>
      <c r="B25283" t="s">
        <v>2931</v>
      </c>
      <c r="C25283">
        <v>4660</v>
      </c>
      <c r="D25283" t="str">
        <f>"2155835     "</f>
        <v xml:space="preserve">2155835     </v>
      </c>
      <c r="E25283" t="s">
        <v>1080</v>
      </c>
      <c r="F25283" t="s">
        <v>1081</v>
      </c>
      <c r="G25283">
        <v>2.17</v>
      </c>
      <c r="H25283">
        <v>250331</v>
      </c>
      <c r="I25283">
        <v>4860</v>
      </c>
      <c r="J25283" t="s">
        <v>286</v>
      </c>
      <c r="K25283">
        <v>1760.25</v>
      </c>
      <c r="L25283">
        <v>0</v>
      </c>
      <c r="M25283">
        <v>69803</v>
      </c>
      <c r="N25283" t="s">
        <v>391</v>
      </c>
      <c r="O25283">
        <v>250414</v>
      </c>
      <c r="P25283">
        <v>2.17</v>
      </c>
    </row>
    <row r="25284" spans="1:16" x14ac:dyDescent="0.25">
      <c r="A25284" t="s">
        <v>3296</v>
      </c>
      <c r="B25284" t="s">
        <v>2931</v>
      </c>
      <c r="C25284">
        <v>6415</v>
      </c>
      <c r="D25284" t="str">
        <f>"2180861     "</f>
        <v xml:space="preserve">2180861     </v>
      </c>
      <c r="E25284" t="s">
        <v>1080</v>
      </c>
      <c r="F25284" t="s">
        <v>1081</v>
      </c>
      <c r="G25284">
        <v>82.5</v>
      </c>
      <c r="H25284">
        <v>250430</v>
      </c>
      <c r="I25284">
        <v>4860</v>
      </c>
      <c r="J25284" t="s">
        <v>286</v>
      </c>
      <c r="K25284">
        <v>1984.25</v>
      </c>
      <c r="L25284">
        <v>16.760000000000002</v>
      </c>
      <c r="M25284">
        <v>69111</v>
      </c>
      <c r="N25284" t="s">
        <v>657</v>
      </c>
      <c r="O25284">
        <v>250513</v>
      </c>
      <c r="P25284">
        <v>65.739999999999995</v>
      </c>
    </row>
    <row r="25285" spans="1:16" x14ac:dyDescent="0.25">
      <c r="A25285" t="s">
        <v>3296</v>
      </c>
      <c r="B25285" t="s">
        <v>2931</v>
      </c>
      <c r="C25285">
        <v>6415</v>
      </c>
      <c r="D25285" t="str">
        <f>"2180861     "</f>
        <v xml:space="preserve">2180861     </v>
      </c>
      <c r="E25285" t="s">
        <v>1080</v>
      </c>
      <c r="F25285" t="s">
        <v>1081</v>
      </c>
      <c r="G25285">
        <v>130.27000000000001</v>
      </c>
      <c r="H25285">
        <v>250430</v>
      </c>
      <c r="I25285">
        <v>4860</v>
      </c>
      <c r="J25285" t="s">
        <v>286</v>
      </c>
      <c r="K25285">
        <v>1984.25</v>
      </c>
      <c r="L25285">
        <v>26.47</v>
      </c>
      <c r="M25285">
        <v>69501</v>
      </c>
      <c r="N25285" t="s">
        <v>123</v>
      </c>
      <c r="O25285">
        <v>250513</v>
      </c>
      <c r="P25285">
        <v>103.8</v>
      </c>
    </row>
    <row r="25286" spans="1:16" x14ac:dyDescent="0.25">
      <c r="A25286" t="s">
        <v>3296</v>
      </c>
      <c r="B25286" t="s">
        <v>2931</v>
      </c>
      <c r="C25286">
        <v>6415</v>
      </c>
      <c r="D25286" t="str">
        <f>"2180861     "</f>
        <v xml:space="preserve">2180861     </v>
      </c>
      <c r="E25286" t="s">
        <v>1080</v>
      </c>
      <c r="F25286" t="s">
        <v>1081</v>
      </c>
      <c r="G25286">
        <v>2.17</v>
      </c>
      <c r="H25286">
        <v>250430</v>
      </c>
      <c r="I25286">
        <v>4860</v>
      </c>
      <c r="J25286" t="s">
        <v>286</v>
      </c>
      <c r="K25286">
        <v>1984.25</v>
      </c>
      <c r="L25286">
        <v>0.44</v>
      </c>
      <c r="M25286">
        <v>69801</v>
      </c>
      <c r="N25286" t="s">
        <v>1077</v>
      </c>
      <c r="O25286">
        <v>250513</v>
      </c>
      <c r="P25286">
        <v>1.73</v>
      </c>
    </row>
    <row r="25287" spans="1:16" x14ac:dyDescent="0.25">
      <c r="A25287" t="s">
        <v>3296</v>
      </c>
      <c r="B25287" t="s">
        <v>2931</v>
      </c>
      <c r="C25287">
        <v>6415</v>
      </c>
      <c r="D25287" t="str">
        <f>"2180861     "</f>
        <v xml:space="preserve">2180861     </v>
      </c>
      <c r="E25287" t="s">
        <v>1080</v>
      </c>
      <c r="F25287" t="s">
        <v>1081</v>
      </c>
      <c r="G25287">
        <v>2.17</v>
      </c>
      <c r="H25287">
        <v>250430</v>
      </c>
      <c r="I25287">
        <v>4860</v>
      </c>
      <c r="J25287" t="s">
        <v>286</v>
      </c>
      <c r="K25287">
        <v>1984.25</v>
      </c>
      <c r="L25287">
        <v>0</v>
      </c>
      <c r="M25287">
        <v>69803</v>
      </c>
      <c r="N25287" t="s">
        <v>391</v>
      </c>
      <c r="O25287">
        <v>250513</v>
      </c>
      <c r="P25287">
        <v>2.17</v>
      </c>
    </row>
    <row r="25288" spans="1:16" x14ac:dyDescent="0.25">
      <c r="A25288" t="s">
        <v>3296</v>
      </c>
      <c r="B25288" t="s">
        <v>2931</v>
      </c>
      <c r="C25288">
        <v>8185</v>
      </c>
      <c r="D25288" t="str">
        <f>"2190936     "</f>
        <v xml:space="preserve">2190936     </v>
      </c>
      <c r="E25288" t="s">
        <v>1080</v>
      </c>
      <c r="F25288" t="s">
        <v>1081</v>
      </c>
      <c r="G25288">
        <v>82.5</v>
      </c>
      <c r="H25288">
        <v>250531</v>
      </c>
      <c r="I25288">
        <v>4860</v>
      </c>
      <c r="J25288" t="s">
        <v>286</v>
      </c>
      <c r="K25288">
        <v>2350.63</v>
      </c>
      <c r="L25288">
        <v>16.760000000000002</v>
      </c>
      <c r="M25288">
        <v>69111</v>
      </c>
      <c r="N25288" t="s">
        <v>657</v>
      </c>
      <c r="O25288">
        <v>250612</v>
      </c>
      <c r="P25288">
        <v>65.739999999999995</v>
      </c>
    </row>
    <row r="25289" spans="1:16" x14ac:dyDescent="0.25">
      <c r="A25289" t="s">
        <v>3296</v>
      </c>
      <c r="B25289" t="s">
        <v>2931</v>
      </c>
      <c r="C25289">
        <v>8185</v>
      </c>
      <c r="D25289" t="str">
        <f>"2190936     "</f>
        <v xml:space="preserve">2190936     </v>
      </c>
      <c r="E25289" t="s">
        <v>1080</v>
      </c>
      <c r="F25289" t="s">
        <v>1081</v>
      </c>
      <c r="G25289">
        <v>130.27000000000001</v>
      </c>
      <c r="H25289">
        <v>250531</v>
      </c>
      <c r="I25289">
        <v>4860</v>
      </c>
      <c r="J25289" t="s">
        <v>286</v>
      </c>
      <c r="K25289">
        <v>2350.63</v>
      </c>
      <c r="L25289">
        <v>26.47</v>
      </c>
      <c r="M25289">
        <v>69501</v>
      </c>
      <c r="N25289" t="s">
        <v>123</v>
      </c>
      <c r="O25289">
        <v>250612</v>
      </c>
      <c r="P25289">
        <v>103.8</v>
      </c>
    </row>
    <row r="25290" spans="1:16" x14ac:dyDescent="0.25">
      <c r="A25290" t="s">
        <v>3296</v>
      </c>
      <c r="B25290" t="s">
        <v>2931</v>
      </c>
      <c r="C25290">
        <v>8185</v>
      </c>
      <c r="D25290" t="str">
        <f>"2190936     "</f>
        <v xml:space="preserve">2190936     </v>
      </c>
      <c r="E25290" t="s">
        <v>1080</v>
      </c>
      <c r="F25290" t="s">
        <v>1081</v>
      </c>
      <c r="G25290">
        <v>2.17</v>
      </c>
      <c r="H25290">
        <v>250531</v>
      </c>
      <c r="I25290">
        <v>4860</v>
      </c>
      <c r="J25290" t="s">
        <v>286</v>
      </c>
      <c r="K25290">
        <v>2350.63</v>
      </c>
      <c r="L25290">
        <v>0.44</v>
      </c>
      <c r="M25290">
        <v>69801</v>
      </c>
      <c r="N25290" t="s">
        <v>1077</v>
      </c>
      <c r="O25290">
        <v>250612</v>
      </c>
      <c r="P25290">
        <v>1.73</v>
      </c>
    </row>
    <row r="25291" spans="1:16" x14ac:dyDescent="0.25">
      <c r="A25291" t="s">
        <v>3296</v>
      </c>
      <c r="B25291" t="s">
        <v>2931</v>
      </c>
      <c r="C25291">
        <v>8185</v>
      </c>
      <c r="D25291" t="str">
        <f>"2190936     "</f>
        <v xml:space="preserve">2190936     </v>
      </c>
      <c r="E25291" t="s">
        <v>1080</v>
      </c>
      <c r="F25291" t="s">
        <v>1081</v>
      </c>
      <c r="G25291">
        <v>2.17</v>
      </c>
      <c r="H25291">
        <v>250531</v>
      </c>
      <c r="I25291">
        <v>4860</v>
      </c>
      <c r="J25291" t="s">
        <v>286</v>
      </c>
      <c r="K25291">
        <v>2350.63</v>
      </c>
      <c r="L25291">
        <v>0</v>
      </c>
      <c r="M25291">
        <v>69803</v>
      </c>
      <c r="N25291" t="s">
        <v>391</v>
      </c>
      <c r="O25291">
        <v>250612</v>
      </c>
      <c r="P25291">
        <v>2.17</v>
      </c>
    </row>
    <row r="25292" spans="1:16" x14ac:dyDescent="0.25">
      <c r="A25292" t="s">
        <v>3296</v>
      </c>
      <c r="B25292" t="s">
        <v>2931</v>
      </c>
      <c r="C25292">
        <v>9507</v>
      </c>
      <c r="D25292" t="str">
        <f>"2198920     "</f>
        <v xml:space="preserve">2198920     </v>
      </c>
      <c r="E25292" t="s">
        <v>1080</v>
      </c>
      <c r="F25292" t="s">
        <v>1081</v>
      </c>
      <c r="G25292">
        <v>81.55</v>
      </c>
      <c r="H25292">
        <v>250630</v>
      </c>
      <c r="I25292">
        <v>4860</v>
      </c>
      <c r="J25292" t="s">
        <v>286</v>
      </c>
      <c r="K25292">
        <v>1860.81</v>
      </c>
      <c r="L25292">
        <v>16.57</v>
      </c>
      <c r="M25292">
        <v>69111</v>
      </c>
      <c r="N25292" t="s">
        <v>657</v>
      </c>
      <c r="O25292">
        <v>250709</v>
      </c>
      <c r="P25292">
        <v>64.98</v>
      </c>
    </row>
    <row r="25293" spans="1:16" x14ac:dyDescent="0.25">
      <c r="A25293" t="s">
        <v>3296</v>
      </c>
      <c r="B25293" t="s">
        <v>2931</v>
      </c>
      <c r="C25293">
        <v>9507</v>
      </c>
      <c r="D25293" t="str">
        <f>"2198920     "</f>
        <v xml:space="preserve">2198920     </v>
      </c>
      <c r="E25293" t="s">
        <v>1080</v>
      </c>
      <c r="F25293" t="s">
        <v>1081</v>
      </c>
      <c r="G25293">
        <v>128.75</v>
      </c>
      <c r="H25293">
        <v>250630</v>
      </c>
      <c r="I25293">
        <v>4860</v>
      </c>
      <c r="J25293" t="s">
        <v>286</v>
      </c>
      <c r="K25293">
        <v>1860.81</v>
      </c>
      <c r="L25293">
        <v>26.16</v>
      </c>
      <c r="M25293">
        <v>69501</v>
      </c>
      <c r="N25293" t="s">
        <v>123</v>
      </c>
      <c r="O25293">
        <v>250709</v>
      </c>
      <c r="P25293">
        <v>102.59</v>
      </c>
    </row>
    <row r="25294" spans="1:16" x14ac:dyDescent="0.25">
      <c r="A25294" t="s">
        <v>3296</v>
      </c>
      <c r="B25294" t="s">
        <v>2931</v>
      </c>
      <c r="C25294">
        <v>9507</v>
      </c>
      <c r="D25294" t="str">
        <f>"2198920     "</f>
        <v xml:space="preserve">2198920     </v>
      </c>
      <c r="E25294" t="s">
        <v>1080</v>
      </c>
      <c r="F25294" t="s">
        <v>1081</v>
      </c>
      <c r="G25294">
        <v>2.15</v>
      </c>
      <c r="H25294">
        <v>250630</v>
      </c>
      <c r="I25294">
        <v>4860</v>
      </c>
      <c r="J25294" t="s">
        <v>286</v>
      </c>
      <c r="K25294">
        <v>1860.81</v>
      </c>
      <c r="L25294">
        <v>0.44</v>
      </c>
      <c r="M25294">
        <v>69801</v>
      </c>
      <c r="N25294" t="s">
        <v>1077</v>
      </c>
      <c r="O25294">
        <v>250709</v>
      </c>
      <c r="P25294">
        <v>1.71</v>
      </c>
    </row>
    <row r="25295" spans="1:16" x14ac:dyDescent="0.25">
      <c r="A25295" t="s">
        <v>3296</v>
      </c>
      <c r="B25295" t="s">
        <v>2931</v>
      </c>
      <c r="C25295">
        <v>9507</v>
      </c>
      <c r="D25295" t="str">
        <f>"2198920     "</f>
        <v xml:space="preserve">2198920     </v>
      </c>
      <c r="E25295" t="s">
        <v>1080</v>
      </c>
      <c r="F25295" t="s">
        <v>1081</v>
      </c>
      <c r="G25295">
        <v>2.15</v>
      </c>
      <c r="H25295">
        <v>250630</v>
      </c>
      <c r="I25295">
        <v>4860</v>
      </c>
      <c r="J25295" t="s">
        <v>286</v>
      </c>
      <c r="K25295">
        <v>1860.81</v>
      </c>
      <c r="L25295">
        <v>0</v>
      </c>
      <c r="M25295">
        <v>69803</v>
      </c>
      <c r="N25295" t="s">
        <v>391</v>
      </c>
      <c r="O25295">
        <v>250709</v>
      </c>
      <c r="P25295">
        <v>2.15</v>
      </c>
    </row>
    <row r="25296" spans="1:16" x14ac:dyDescent="0.25">
      <c r="A25296" t="s">
        <v>3296</v>
      </c>
      <c r="B25296" t="s">
        <v>2931</v>
      </c>
      <c r="C25296">
        <v>9608</v>
      </c>
      <c r="D25296" t="str">
        <f>"2221691     "</f>
        <v xml:space="preserve">2221691     </v>
      </c>
      <c r="E25296" t="s">
        <v>1080</v>
      </c>
      <c r="F25296" t="s">
        <v>1081</v>
      </c>
      <c r="G25296">
        <v>176.2</v>
      </c>
      <c r="H25296">
        <v>250630</v>
      </c>
      <c r="I25296">
        <v>4860</v>
      </c>
      <c r="J25296" t="s">
        <v>286</v>
      </c>
      <c r="K25296">
        <v>176.2</v>
      </c>
      <c r="L25296">
        <v>35.799999999999997</v>
      </c>
      <c r="M25296">
        <v>13661</v>
      </c>
      <c r="N25296" t="s">
        <v>243</v>
      </c>
      <c r="O25296">
        <v>250721</v>
      </c>
      <c r="P25296">
        <v>140.4</v>
      </c>
    </row>
    <row r="25297" spans="1:16" x14ac:dyDescent="0.25">
      <c r="A25297" t="s">
        <v>3296</v>
      </c>
      <c r="B25297" t="s">
        <v>2931</v>
      </c>
      <c r="C25297">
        <v>9610</v>
      </c>
      <c r="D25297" t="str">
        <f>"2221687     "</f>
        <v xml:space="preserve">2221687     </v>
      </c>
      <c r="E25297" t="s">
        <v>1080</v>
      </c>
      <c r="F25297" t="s">
        <v>1081</v>
      </c>
      <c r="G25297">
        <v>88.75</v>
      </c>
      <c r="H25297">
        <v>250630</v>
      </c>
      <c r="I25297">
        <v>4860</v>
      </c>
      <c r="J25297" t="s">
        <v>286</v>
      </c>
      <c r="K25297">
        <v>88.75</v>
      </c>
      <c r="L25297">
        <v>18.03</v>
      </c>
      <c r="M25297">
        <v>13861</v>
      </c>
      <c r="N25297" t="s">
        <v>604</v>
      </c>
      <c r="O25297">
        <v>250721</v>
      </c>
      <c r="P25297">
        <v>70.72</v>
      </c>
    </row>
    <row r="25298" spans="1:16" x14ac:dyDescent="0.25">
      <c r="A25298" t="s">
        <v>3296</v>
      </c>
      <c r="B25298" t="s">
        <v>2931</v>
      </c>
      <c r="C25298">
        <v>10113</v>
      </c>
      <c r="D25298" t="str">
        <f>"2226306     "</f>
        <v xml:space="preserve">2226306     </v>
      </c>
      <c r="E25298" t="s">
        <v>1080</v>
      </c>
      <c r="F25298" t="s">
        <v>1081</v>
      </c>
      <c r="G25298">
        <v>577.63</v>
      </c>
      <c r="H25298">
        <v>250731</v>
      </c>
      <c r="I25298">
        <v>4860</v>
      </c>
      <c r="J25298" t="s">
        <v>286</v>
      </c>
      <c r="K25298">
        <v>1734.67</v>
      </c>
      <c r="L25298">
        <v>117.37</v>
      </c>
      <c r="M25298">
        <v>69111</v>
      </c>
      <c r="N25298" t="s">
        <v>657</v>
      </c>
      <c r="O25298">
        <v>250812</v>
      </c>
      <c r="P25298">
        <v>460.26</v>
      </c>
    </row>
    <row r="25299" spans="1:16" x14ac:dyDescent="0.25">
      <c r="A25299" t="s">
        <v>3296</v>
      </c>
      <c r="B25299" t="s">
        <v>2931</v>
      </c>
      <c r="C25299">
        <v>10113</v>
      </c>
      <c r="D25299" t="str">
        <f>"2226306     "</f>
        <v xml:space="preserve">2226306     </v>
      </c>
      <c r="E25299" t="s">
        <v>1080</v>
      </c>
      <c r="F25299" t="s">
        <v>1081</v>
      </c>
      <c r="G25299">
        <v>912.03</v>
      </c>
      <c r="H25299">
        <v>250731</v>
      </c>
      <c r="I25299">
        <v>4860</v>
      </c>
      <c r="J25299" t="s">
        <v>286</v>
      </c>
      <c r="K25299">
        <v>1734.67</v>
      </c>
      <c r="L25299">
        <v>185.31</v>
      </c>
      <c r="M25299">
        <v>69501</v>
      </c>
      <c r="N25299" t="s">
        <v>123</v>
      </c>
      <c r="O25299">
        <v>250812</v>
      </c>
      <c r="P25299">
        <v>726.72</v>
      </c>
    </row>
    <row r="25300" spans="1:16" x14ac:dyDescent="0.25">
      <c r="A25300" t="s">
        <v>3296</v>
      </c>
      <c r="B25300" t="s">
        <v>2931</v>
      </c>
      <c r="C25300">
        <v>10113</v>
      </c>
      <c r="D25300" t="str">
        <f>"2226306     "</f>
        <v xml:space="preserve">2226306     </v>
      </c>
      <c r="E25300" t="s">
        <v>1080</v>
      </c>
      <c r="F25300" t="s">
        <v>1081</v>
      </c>
      <c r="G25300">
        <v>15.2</v>
      </c>
      <c r="H25300">
        <v>250731</v>
      </c>
      <c r="I25300">
        <v>4860</v>
      </c>
      <c r="J25300" t="s">
        <v>286</v>
      </c>
      <c r="K25300">
        <v>1734.67</v>
      </c>
      <c r="L25300">
        <v>3.09</v>
      </c>
      <c r="M25300">
        <v>69801</v>
      </c>
      <c r="N25300" t="s">
        <v>1077</v>
      </c>
      <c r="O25300">
        <v>250812</v>
      </c>
      <c r="P25300">
        <v>12.11</v>
      </c>
    </row>
    <row r="25301" spans="1:16" x14ac:dyDescent="0.25">
      <c r="A25301" t="s">
        <v>3296</v>
      </c>
      <c r="B25301" t="s">
        <v>2931</v>
      </c>
      <c r="C25301">
        <v>10113</v>
      </c>
      <c r="D25301" t="str">
        <f>"2226306     "</f>
        <v xml:space="preserve">2226306     </v>
      </c>
      <c r="E25301" t="s">
        <v>1080</v>
      </c>
      <c r="F25301" t="s">
        <v>1081</v>
      </c>
      <c r="G25301">
        <v>15.2</v>
      </c>
      <c r="H25301">
        <v>250731</v>
      </c>
      <c r="I25301">
        <v>4860</v>
      </c>
      <c r="J25301" t="s">
        <v>286</v>
      </c>
      <c r="K25301">
        <v>1734.67</v>
      </c>
      <c r="L25301">
        <v>0</v>
      </c>
      <c r="M25301">
        <v>69803</v>
      </c>
      <c r="N25301" t="s">
        <v>391</v>
      </c>
      <c r="O25301">
        <v>250812</v>
      </c>
      <c r="P25301">
        <v>15.2</v>
      </c>
    </row>
    <row r="25302" spans="1:16" x14ac:dyDescent="0.25">
      <c r="A25302" t="s">
        <v>3296</v>
      </c>
      <c r="B25302" t="s">
        <v>2931</v>
      </c>
      <c r="C25302">
        <v>11602</v>
      </c>
      <c r="D25302" t="str">
        <f>"2234695     "</f>
        <v xml:space="preserve">2234695     </v>
      </c>
      <c r="E25302" t="s">
        <v>1080</v>
      </c>
      <c r="F25302" t="s">
        <v>1081</v>
      </c>
      <c r="G25302">
        <v>81.55</v>
      </c>
      <c r="H25302">
        <v>250831</v>
      </c>
      <c r="I25302">
        <v>4860</v>
      </c>
      <c r="J25302" t="s">
        <v>286</v>
      </c>
      <c r="K25302">
        <v>1527.02</v>
      </c>
      <c r="L25302">
        <v>16.57</v>
      </c>
      <c r="M25302">
        <v>69111</v>
      </c>
      <c r="N25302" t="s">
        <v>657</v>
      </c>
      <c r="O25302">
        <v>250909</v>
      </c>
      <c r="P25302">
        <v>64.98</v>
      </c>
    </row>
    <row r="25303" spans="1:16" x14ac:dyDescent="0.25">
      <c r="A25303" t="s">
        <v>3296</v>
      </c>
      <c r="B25303" t="s">
        <v>2931</v>
      </c>
      <c r="C25303">
        <v>11602</v>
      </c>
      <c r="D25303" t="str">
        <f>"2234695     "</f>
        <v xml:space="preserve">2234695     </v>
      </c>
      <c r="E25303" t="s">
        <v>1080</v>
      </c>
      <c r="F25303" t="s">
        <v>1081</v>
      </c>
      <c r="G25303">
        <v>128.76</v>
      </c>
      <c r="H25303">
        <v>250831</v>
      </c>
      <c r="I25303">
        <v>4860</v>
      </c>
      <c r="J25303" t="s">
        <v>286</v>
      </c>
      <c r="K25303">
        <v>1527.02</v>
      </c>
      <c r="L25303">
        <v>26.16</v>
      </c>
      <c r="M25303">
        <v>69501</v>
      </c>
      <c r="N25303" t="s">
        <v>123</v>
      </c>
      <c r="O25303">
        <v>250909</v>
      </c>
      <c r="P25303">
        <v>102.6</v>
      </c>
    </row>
    <row r="25304" spans="1:16" x14ac:dyDescent="0.25">
      <c r="A25304" t="s">
        <v>3296</v>
      </c>
      <c r="B25304" t="s">
        <v>2931</v>
      </c>
      <c r="C25304">
        <v>11602</v>
      </c>
      <c r="D25304" t="str">
        <f>"2234695     "</f>
        <v xml:space="preserve">2234695     </v>
      </c>
      <c r="E25304" t="s">
        <v>1080</v>
      </c>
      <c r="F25304" t="s">
        <v>1081</v>
      </c>
      <c r="G25304">
        <v>2.15</v>
      </c>
      <c r="H25304">
        <v>250831</v>
      </c>
      <c r="I25304">
        <v>4860</v>
      </c>
      <c r="J25304" t="s">
        <v>286</v>
      </c>
      <c r="K25304">
        <v>1527.02</v>
      </c>
      <c r="L25304">
        <v>0.44</v>
      </c>
      <c r="M25304">
        <v>69801</v>
      </c>
      <c r="N25304" t="s">
        <v>1077</v>
      </c>
      <c r="O25304">
        <v>250909</v>
      </c>
      <c r="P25304">
        <v>1.71</v>
      </c>
    </row>
    <row r="25305" spans="1:16" x14ac:dyDescent="0.25">
      <c r="A25305" t="s">
        <v>3296</v>
      </c>
      <c r="B25305" t="s">
        <v>2931</v>
      </c>
      <c r="C25305">
        <v>11602</v>
      </c>
      <c r="D25305" t="str">
        <f>"2234695     "</f>
        <v xml:space="preserve">2234695     </v>
      </c>
      <c r="E25305" t="s">
        <v>1080</v>
      </c>
      <c r="F25305" t="s">
        <v>1081</v>
      </c>
      <c r="G25305">
        <v>2.15</v>
      </c>
      <c r="H25305">
        <v>250831</v>
      </c>
      <c r="I25305">
        <v>4860</v>
      </c>
      <c r="J25305" t="s">
        <v>286</v>
      </c>
      <c r="K25305">
        <v>1527.02</v>
      </c>
      <c r="L25305">
        <v>0</v>
      </c>
      <c r="M25305">
        <v>69803</v>
      </c>
      <c r="N25305" t="s">
        <v>391</v>
      </c>
      <c r="O25305">
        <v>250909</v>
      </c>
      <c r="P25305">
        <v>2.15</v>
      </c>
    </row>
    <row r="25306" spans="1:16" x14ac:dyDescent="0.25">
      <c r="A25306" t="s">
        <v>3296</v>
      </c>
      <c r="B25306" t="s">
        <v>2931</v>
      </c>
      <c r="C25306">
        <v>13425</v>
      </c>
      <c r="D25306" t="str">
        <f>"2244822     "</f>
        <v xml:space="preserve">2244822     </v>
      </c>
      <c r="E25306" t="s">
        <v>1080</v>
      </c>
      <c r="F25306" t="s">
        <v>1081</v>
      </c>
      <c r="G25306">
        <v>83.7</v>
      </c>
      <c r="H25306">
        <v>250930</v>
      </c>
      <c r="I25306">
        <v>4860</v>
      </c>
      <c r="J25306" t="s">
        <v>286</v>
      </c>
      <c r="K25306">
        <v>1455.95</v>
      </c>
      <c r="L25306">
        <v>17.010000000000002</v>
      </c>
      <c r="M25306">
        <v>69111</v>
      </c>
      <c r="N25306" t="s">
        <v>657</v>
      </c>
      <c r="O25306">
        <v>251009</v>
      </c>
      <c r="P25306">
        <v>66.69</v>
      </c>
    </row>
    <row r="25307" spans="1:16" x14ac:dyDescent="0.25">
      <c r="A25307" t="s">
        <v>3296</v>
      </c>
      <c r="B25307" t="s">
        <v>2931</v>
      </c>
      <c r="C25307">
        <v>13425</v>
      </c>
      <c r="D25307" t="str">
        <f>"2244822     "</f>
        <v xml:space="preserve">2244822     </v>
      </c>
      <c r="E25307" t="s">
        <v>1080</v>
      </c>
      <c r="F25307" t="s">
        <v>1081</v>
      </c>
      <c r="G25307">
        <v>128.76</v>
      </c>
      <c r="H25307">
        <v>250930</v>
      </c>
      <c r="I25307">
        <v>4860</v>
      </c>
      <c r="J25307" t="s">
        <v>286</v>
      </c>
      <c r="K25307">
        <v>1455.95</v>
      </c>
      <c r="L25307">
        <v>26.16</v>
      </c>
      <c r="M25307">
        <v>69501</v>
      </c>
      <c r="N25307" t="s">
        <v>123</v>
      </c>
      <c r="O25307">
        <v>251009</v>
      </c>
      <c r="P25307">
        <v>102.6</v>
      </c>
    </row>
    <row r="25308" spans="1:16" x14ac:dyDescent="0.25">
      <c r="A25308" t="s">
        <v>3296</v>
      </c>
      <c r="B25308" t="s">
        <v>2931</v>
      </c>
      <c r="C25308">
        <v>13425</v>
      </c>
      <c r="D25308" t="str">
        <f>"2244822     "</f>
        <v xml:space="preserve">2244822     </v>
      </c>
      <c r="E25308" t="s">
        <v>1080</v>
      </c>
      <c r="F25308" t="s">
        <v>1081</v>
      </c>
      <c r="G25308">
        <v>2.15</v>
      </c>
      <c r="H25308">
        <v>250930</v>
      </c>
      <c r="I25308">
        <v>4860</v>
      </c>
      <c r="J25308" t="s">
        <v>286</v>
      </c>
      <c r="K25308">
        <v>1455.95</v>
      </c>
      <c r="L25308">
        <v>0</v>
      </c>
      <c r="M25308">
        <v>69803</v>
      </c>
      <c r="N25308" t="s">
        <v>391</v>
      </c>
      <c r="O25308">
        <v>251009</v>
      </c>
      <c r="P25308">
        <v>2.15</v>
      </c>
    </row>
    <row r="25309" spans="1:16" x14ac:dyDescent="0.25">
      <c r="A25309" t="s">
        <v>3296</v>
      </c>
      <c r="B25309" t="s">
        <v>2931</v>
      </c>
      <c r="C25309">
        <v>14945</v>
      </c>
      <c r="D25309" t="str">
        <f>"2274156     "</f>
        <v xml:space="preserve">2274156     </v>
      </c>
      <c r="E25309" t="s">
        <v>1080</v>
      </c>
      <c r="F25309" t="s">
        <v>1081</v>
      </c>
      <c r="G25309">
        <v>83.7</v>
      </c>
      <c r="H25309">
        <v>251031</v>
      </c>
      <c r="I25309">
        <v>4860</v>
      </c>
      <c r="J25309" t="s">
        <v>286</v>
      </c>
      <c r="K25309">
        <v>1500.48</v>
      </c>
      <c r="L25309">
        <v>17.010000000000002</v>
      </c>
      <c r="M25309">
        <v>69111</v>
      </c>
      <c r="N25309" t="s">
        <v>657</v>
      </c>
      <c r="O25309">
        <v>251110</v>
      </c>
      <c r="P25309">
        <v>66.69</v>
      </c>
    </row>
    <row r="25310" spans="1:16" x14ac:dyDescent="0.25">
      <c r="A25310" t="s">
        <v>3296</v>
      </c>
      <c r="B25310" t="s">
        <v>2931</v>
      </c>
      <c r="C25310">
        <v>14945</v>
      </c>
      <c r="D25310" t="str">
        <f>"2274156     "</f>
        <v xml:space="preserve">2274156     </v>
      </c>
      <c r="E25310" t="s">
        <v>1080</v>
      </c>
      <c r="F25310" t="s">
        <v>1081</v>
      </c>
      <c r="G25310">
        <v>128.76</v>
      </c>
      <c r="H25310">
        <v>251031</v>
      </c>
      <c r="I25310">
        <v>4860</v>
      </c>
      <c r="J25310" t="s">
        <v>286</v>
      </c>
      <c r="K25310">
        <v>1500.48</v>
      </c>
      <c r="L25310">
        <v>26.16</v>
      </c>
      <c r="M25310">
        <v>69501</v>
      </c>
      <c r="N25310" t="s">
        <v>123</v>
      </c>
      <c r="O25310">
        <v>251110</v>
      </c>
      <c r="P25310">
        <v>102.6</v>
      </c>
    </row>
    <row r="25311" spans="1:16" x14ac:dyDescent="0.25">
      <c r="A25311" t="s">
        <v>3296</v>
      </c>
      <c r="B25311" t="s">
        <v>2931</v>
      </c>
      <c r="C25311">
        <v>14945</v>
      </c>
      <c r="D25311" t="str">
        <f>"2274156     "</f>
        <v xml:space="preserve">2274156     </v>
      </c>
      <c r="E25311" t="s">
        <v>1080</v>
      </c>
      <c r="F25311" t="s">
        <v>1081</v>
      </c>
      <c r="G25311">
        <v>2.15</v>
      </c>
      <c r="H25311">
        <v>251031</v>
      </c>
      <c r="I25311">
        <v>4860</v>
      </c>
      <c r="J25311" t="s">
        <v>286</v>
      </c>
      <c r="K25311">
        <v>1500.48</v>
      </c>
      <c r="L25311">
        <v>0</v>
      </c>
      <c r="M25311">
        <v>69803</v>
      </c>
      <c r="N25311" t="s">
        <v>391</v>
      </c>
      <c r="O25311">
        <v>251110</v>
      </c>
      <c r="P25311">
        <v>2.15</v>
      </c>
    </row>
    <row r="25312" spans="1:16" x14ac:dyDescent="0.25">
      <c r="A25312" t="s">
        <v>3296</v>
      </c>
      <c r="B25312" t="s">
        <v>2931</v>
      </c>
      <c r="C25312">
        <v>16647</v>
      </c>
      <c r="D25312" t="str">
        <f>"2290124     "</f>
        <v xml:space="preserve">2290124     </v>
      </c>
      <c r="E25312" t="s">
        <v>1080</v>
      </c>
      <c r="F25312" t="s">
        <v>1081</v>
      </c>
      <c r="G25312">
        <v>212.46</v>
      </c>
      <c r="H25312">
        <v>251130</v>
      </c>
      <c r="I25312">
        <v>4860</v>
      </c>
      <c r="J25312" t="s">
        <v>286</v>
      </c>
      <c r="K25312">
        <v>1443.04</v>
      </c>
      <c r="L25312">
        <v>43.17</v>
      </c>
      <c r="M25312">
        <v>69501</v>
      </c>
      <c r="N25312" t="s">
        <v>123</v>
      </c>
      <c r="O25312">
        <v>251211</v>
      </c>
      <c r="P25312">
        <v>169.29</v>
      </c>
    </row>
    <row r="25313" spans="1:16" x14ac:dyDescent="0.25">
      <c r="A25313" t="s">
        <v>3296</v>
      </c>
      <c r="B25313" t="s">
        <v>2931</v>
      </c>
      <c r="C25313">
        <v>16647</v>
      </c>
      <c r="D25313" t="str">
        <f>"2290124     "</f>
        <v xml:space="preserve">2290124     </v>
      </c>
      <c r="E25313" t="s">
        <v>1080</v>
      </c>
      <c r="F25313" t="s">
        <v>1081</v>
      </c>
      <c r="G25313">
        <v>2.15</v>
      </c>
      <c r="H25313">
        <v>251130</v>
      </c>
      <c r="I25313">
        <v>4860</v>
      </c>
      <c r="J25313" t="s">
        <v>286</v>
      </c>
      <c r="K25313">
        <v>1443.04</v>
      </c>
      <c r="L25313">
        <v>0</v>
      </c>
      <c r="M25313">
        <v>69803</v>
      </c>
      <c r="N25313" t="s">
        <v>391</v>
      </c>
      <c r="O25313">
        <v>251211</v>
      </c>
      <c r="P25313">
        <v>2.15</v>
      </c>
    </row>
    <row r="25314" spans="1:16" x14ac:dyDescent="0.25">
      <c r="A25314" t="s">
        <v>3296</v>
      </c>
      <c r="B25314" t="s">
        <v>2931</v>
      </c>
      <c r="C25314">
        <v>18013</v>
      </c>
      <c r="D25314" t="str">
        <f>"2324219     "</f>
        <v xml:space="preserve">2324219     </v>
      </c>
      <c r="E25314" t="s">
        <v>1080</v>
      </c>
      <c r="F25314" t="s">
        <v>1081</v>
      </c>
      <c r="G25314">
        <v>15.06</v>
      </c>
      <c r="H25314">
        <v>251231</v>
      </c>
      <c r="I25314">
        <v>4860</v>
      </c>
      <c r="J25314" t="s">
        <v>286</v>
      </c>
      <c r="K25314">
        <v>15.06</v>
      </c>
      <c r="L25314">
        <v>3.06</v>
      </c>
      <c r="M25314">
        <v>13861</v>
      </c>
      <c r="N25314" t="s">
        <v>604</v>
      </c>
      <c r="O25314">
        <v>260108</v>
      </c>
      <c r="P25314">
        <v>12</v>
      </c>
    </row>
    <row r="25315" spans="1:16" x14ac:dyDescent="0.25">
      <c r="A25315" t="s">
        <v>3296</v>
      </c>
      <c r="B25315" t="s">
        <v>2931</v>
      </c>
      <c r="C25315">
        <v>18026</v>
      </c>
      <c r="D25315" t="str">
        <f>"2324223     "</f>
        <v xml:space="preserve">2324223     </v>
      </c>
      <c r="E25315" t="s">
        <v>1080</v>
      </c>
      <c r="F25315" t="s">
        <v>1081</v>
      </c>
      <c r="G25315">
        <v>15.06</v>
      </c>
      <c r="H25315">
        <v>251231</v>
      </c>
      <c r="I25315">
        <v>4860</v>
      </c>
      <c r="J25315" t="s">
        <v>286</v>
      </c>
      <c r="K25315">
        <v>15.06</v>
      </c>
      <c r="L25315">
        <v>3.06</v>
      </c>
      <c r="M25315">
        <v>13661</v>
      </c>
      <c r="N25315" t="s">
        <v>243</v>
      </c>
      <c r="O25315">
        <v>260108</v>
      </c>
      <c r="P25315">
        <v>12</v>
      </c>
    </row>
    <row r="25316" spans="1:16" x14ac:dyDescent="0.25">
      <c r="A25316" t="s">
        <v>3296</v>
      </c>
      <c r="B25316" t="s">
        <v>2931</v>
      </c>
      <c r="C25316">
        <v>18143</v>
      </c>
      <c r="D25316" t="str">
        <f>"2293876     "</f>
        <v xml:space="preserve">2293876     </v>
      </c>
      <c r="E25316" t="s">
        <v>1080</v>
      </c>
      <c r="F25316" t="s">
        <v>1081</v>
      </c>
      <c r="G25316">
        <v>214.61</v>
      </c>
      <c r="H25316">
        <v>251231</v>
      </c>
      <c r="I25316">
        <v>4860</v>
      </c>
      <c r="J25316" t="s">
        <v>286</v>
      </c>
      <c r="K25316">
        <v>1786.79</v>
      </c>
      <c r="L25316">
        <v>43.61</v>
      </c>
      <c r="M25316">
        <v>69501</v>
      </c>
      <c r="N25316" t="s">
        <v>123</v>
      </c>
      <c r="O25316">
        <v>260109</v>
      </c>
      <c r="P25316">
        <v>171</v>
      </c>
    </row>
    <row r="25317" spans="1:16" x14ac:dyDescent="0.25">
      <c r="A25317" t="s">
        <v>3296</v>
      </c>
      <c r="B25317" t="s">
        <v>2931</v>
      </c>
      <c r="C25317">
        <v>14372</v>
      </c>
      <c r="D25317" t="str">
        <f>"30243386    "</f>
        <v xml:space="preserve">30243386    </v>
      </c>
      <c r="E25317" t="s">
        <v>1921</v>
      </c>
      <c r="F25317" t="s">
        <v>1922</v>
      </c>
      <c r="G25317">
        <v>429</v>
      </c>
      <c r="H25317">
        <v>251028</v>
      </c>
      <c r="I25317">
        <v>4400</v>
      </c>
      <c r="J25317" t="s">
        <v>162</v>
      </c>
      <c r="K25317">
        <v>429</v>
      </c>
      <c r="L25317">
        <v>87.17</v>
      </c>
      <c r="M25317">
        <v>17526</v>
      </c>
      <c r="N25317" t="s">
        <v>141</v>
      </c>
      <c r="O25317">
        <v>251030</v>
      </c>
      <c r="P25317">
        <v>341.83</v>
      </c>
    </row>
    <row r="25318" spans="1:16" x14ac:dyDescent="0.25">
      <c r="A25318" t="s">
        <v>3296</v>
      </c>
      <c r="B25318" t="s">
        <v>2931</v>
      </c>
      <c r="C25318">
        <v>7151</v>
      </c>
      <c r="D25318" t="str">
        <f>"30242011    "</f>
        <v xml:space="preserve">30242011    </v>
      </c>
      <c r="E25318" t="s">
        <v>1921</v>
      </c>
      <c r="F25318" t="s">
        <v>1922</v>
      </c>
      <c r="G25318">
        <v>1760.8</v>
      </c>
      <c r="H25318">
        <v>250516</v>
      </c>
      <c r="I25318">
        <v>4580</v>
      </c>
      <c r="J25318" t="s">
        <v>126</v>
      </c>
      <c r="K25318">
        <v>1760.8</v>
      </c>
      <c r="L25318">
        <v>357.77</v>
      </c>
      <c r="M25318">
        <v>46554</v>
      </c>
      <c r="N25318" t="s">
        <v>102</v>
      </c>
      <c r="O25318">
        <v>250526</v>
      </c>
      <c r="P25318">
        <v>1403.03</v>
      </c>
    </row>
    <row r="25319" spans="1:16" x14ac:dyDescent="0.25">
      <c r="A25319" t="s">
        <v>3296</v>
      </c>
      <c r="B25319" t="s">
        <v>2931</v>
      </c>
      <c r="C25319">
        <v>10758</v>
      </c>
      <c r="D25319" t="str">
        <f>"30242791    "</f>
        <v xml:space="preserve">30242791    </v>
      </c>
      <c r="E25319" t="s">
        <v>1921</v>
      </c>
      <c r="F25319" t="s">
        <v>1922</v>
      </c>
      <c r="G25319">
        <v>2408.6999999999998</v>
      </c>
      <c r="H25319">
        <v>250820</v>
      </c>
      <c r="I25319">
        <v>4580</v>
      </c>
      <c r="J25319" t="s">
        <v>126</v>
      </c>
      <c r="K25319">
        <v>2408.6999999999998</v>
      </c>
      <c r="L25319">
        <v>489.42</v>
      </c>
      <c r="M25319">
        <v>56558</v>
      </c>
      <c r="N25319" t="s">
        <v>50</v>
      </c>
      <c r="O25319">
        <v>250822</v>
      </c>
      <c r="P25319">
        <v>1919.28</v>
      </c>
    </row>
    <row r="25320" spans="1:16" x14ac:dyDescent="0.25">
      <c r="A25320" t="s">
        <v>3296</v>
      </c>
      <c r="B25320" t="s">
        <v>2931</v>
      </c>
      <c r="C25320">
        <v>10809</v>
      </c>
      <c r="D25320" t="str">
        <f>"30242741    "</f>
        <v xml:space="preserve">30242741    </v>
      </c>
      <c r="E25320" t="s">
        <v>1921</v>
      </c>
      <c r="F25320" t="s">
        <v>1922</v>
      </c>
      <c r="G25320">
        <v>2898.3</v>
      </c>
      <c r="H25320">
        <v>250815</v>
      </c>
      <c r="I25320">
        <v>4580</v>
      </c>
      <c r="J25320" t="s">
        <v>126</v>
      </c>
      <c r="K25320">
        <v>2898.3</v>
      </c>
      <c r="L25320">
        <v>588.9</v>
      </c>
      <c r="M25320">
        <v>46554</v>
      </c>
      <c r="N25320" t="s">
        <v>102</v>
      </c>
      <c r="O25320">
        <v>250825</v>
      </c>
      <c r="P25320">
        <v>2309.4</v>
      </c>
    </row>
    <row r="25321" spans="1:16" x14ac:dyDescent="0.25">
      <c r="A25321" t="s">
        <v>3296</v>
      </c>
      <c r="B25321" t="s">
        <v>2931</v>
      </c>
      <c r="C25321">
        <v>12315</v>
      </c>
      <c r="D25321" t="str">
        <f>"30243030    "</f>
        <v xml:space="preserve">30243030    </v>
      </c>
      <c r="E25321" t="s">
        <v>1921</v>
      </c>
      <c r="F25321" t="s">
        <v>1922</v>
      </c>
      <c r="G25321">
        <v>3226</v>
      </c>
      <c r="H25321">
        <v>250915</v>
      </c>
      <c r="I25321">
        <v>4580</v>
      </c>
      <c r="J25321" t="s">
        <v>126</v>
      </c>
      <c r="K25321">
        <v>3226</v>
      </c>
      <c r="L25321">
        <v>655.48</v>
      </c>
      <c r="M25321">
        <v>46554</v>
      </c>
      <c r="N25321" t="s">
        <v>102</v>
      </c>
      <c r="O25321">
        <v>250919</v>
      </c>
      <c r="P25321">
        <v>2570.52</v>
      </c>
    </row>
    <row r="25322" spans="1:16" x14ac:dyDescent="0.25">
      <c r="A25322" t="s">
        <v>3296</v>
      </c>
      <c r="B25322" t="s">
        <v>2931</v>
      </c>
      <c r="C25322">
        <v>12742</v>
      </c>
      <c r="D25322" t="str">
        <f>"30243112    "</f>
        <v xml:space="preserve">30243112    </v>
      </c>
      <c r="E25322" t="s">
        <v>1921</v>
      </c>
      <c r="F25322" t="s">
        <v>1922</v>
      </c>
      <c r="G25322">
        <v>1982.9</v>
      </c>
      <c r="H25322">
        <v>250923</v>
      </c>
      <c r="I25322">
        <v>4580</v>
      </c>
      <c r="J25322" t="s">
        <v>126</v>
      </c>
      <c r="K25322">
        <v>1982.9</v>
      </c>
      <c r="L25322">
        <v>402.9</v>
      </c>
      <c r="M25322">
        <v>17804</v>
      </c>
      <c r="N25322" t="s">
        <v>20</v>
      </c>
      <c r="O25322">
        <v>250930</v>
      </c>
      <c r="P25322">
        <v>1580</v>
      </c>
    </row>
    <row r="25323" spans="1:16" x14ac:dyDescent="0.25">
      <c r="A25323" t="s">
        <v>3296</v>
      </c>
      <c r="B25323" t="s">
        <v>2931</v>
      </c>
      <c r="C25323">
        <v>11102</v>
      </c>
      <c r="D25323" t="str">
        <f>"9029239846  "</f>
        <v xml:space="preserve">9029239846  </v>
      </c>
      <c r="E25323" t="s">
        <v>2247</v>
      </c>
      <c r="F25323" t="s">
        <v>2248</v>
      </c>
      <c r="G25323">
        <v>13.62</v>
      </c>
      <c r="H25323">
        <v>250826</v>
      </c>
      <c r="I25323">
        <v>4550</v>
      </c>
      <c r="J25323" t="s">
        <v>226</v>
      </c>
      <c r="K25323">
        <v>123.84</v>
      </c>
      <c r="L25323">
        <v>2.77</v>
      </c>
      <c r="M25323">
        <v>13540</v>
      </c>
      <c r="N25323" t="s">
        <v>131</v>
      </c>
      <c r="O25323">
        <v>250829</v>
      </c>
      <c r="P25323">
        <v>10.85</v>
      </c>
    </row>
    <row r="25324" spans="1:16" x14ac:dyDescent="0.25">
      <c r="A25324" t="s">
        <v>3296</v>
      </c>
      <c r="B25324" t="s">
        <v>2931</v>
      </c>
      <c r="C25324">
        <v>11102</v>
      </c>
      <c r="D25324" t="str">
        <f>"9029239846  "</f>
        <v xml:space="preserve">9029239846  </v>
      </c>
      <c r="E25324" t="s">
        <v>2247</v>
      </c>
      <c r="F25324" t="s">
        <v>2248</v>
      </c>
      <c r="G25324">
        <v>92.88</v>
      </c>
      <c r="H25324">
        <v>250826</v>
      </c>
      <c r="I25324">
        <v>4550</v>
      </c>
      <c r="J25324" t="s">
        <v>226</v>
      </c>
      <c r="K25324">
        <v>123.84</v>
      </c>
      <c r="L25324">
        <v>18.87</v>
      </c>
      <c r="M25324">
        <v>17950</v>
      </c>
      <c r="N25324" t="s">
        <v>132</v>
      </c>
      <c r="O25324">
        <v>250829</v>
      </c>
      <c r="P25324">
        <v>74.010000000000005</v>
      </c>
    </row>
    <row r="25325" spans="1:16" x14ac:dyDescent="0.25">
      <c r="A25325" t="s">
        <v>3296</v>
      </c>
      <c r="B25325" t="s">
        <v>2931</v>
      </c>
      <c r="C25325">
        <v>11102</v>
      </c>
      <c r="D25325" t="str">
        <f>"9029239846  "</f>
        <v xml:space="preserve">9029239846  </v>
      </c>
      <c r="E25325" t="s">
        <v>2247</v>
      </c>
      <c r="F25325" t="s">
        <v>2248</v>
      </c>
      <c r="G25325">
        <v>17.34</v>
      </c>
      <c r="H25325">
        <v>250826</v>
      </c>
      <c r="I25325">
        <v>4550</v>
      </c>
      <c r="J25325" t="s">
        <v>226</v>
      </c>
      <c r="K25325">
        <v>123.84</v>
      </c>
      <c r="L25325">
        <v>3.52</v>
      </c>
      <c r="M25325">
        <v>17956</v>
      </c>
      <c r="N25325" t="s">
        <v>170</v>
      </c>
      <c r="O25325">
        <v>250829</v>
      </c>
      <c r="P25325">
        <v>13.82</v>
      </c>
    </row>
    <row r="25326" spans="1:16" x14ac:dyDescent="0.25">
      <c r="A25326" t="s">
        <v>3296</v>
      </c>
      <c r="B25326" t="s">
        <v>2931</v>
      </c>
      <c r="C25326">
        <v>16121</v>
      </c>
      <c r="D25326" t="str">
        <f>"9029274940  "</f>
        <v xml:space="preserve">9029274940  </v>
      </c>
      <c r="E25326" t="s">
        <v>2247</v>
      </c>
      <c r="F25326" t="s">
        <v>2248</v>
      </c>
      <c r="G25326">
        <v>5820.69</v>
      </c>
      <c r="H25326">
        <v>251125</v>
      </c>
      <c r="I25326">
        <v>4550</v>
      </c>
      <c r="J25326" t="s">
        <v>226</v>
      </c>
      <c r="K25326">
        <v>5820.69</v>
      </c>
      <c r="L25326">
        <v>1182.69</v>
      </c>
      <c r="M25326">
        <v>14422</v>
      </c>
      <c r="N25326" t="s">
        <v>73</v>
      </c>
      <c r="O25326">
        <v>251203</v>
      </c>
      <c r="P25326">
        <v>4638</v>
      </c>
    </row>
    <row r="25327" spans="1:16" x14ac:dyDescent="0.25">
      <c r="A25327" t="s">
        <v>3296</v>
      </c>
      <c r="B25327" t="s">
        <v>2931</v>
      </c>
      <c r="C25327">
        <v>16815</v>
      </c>
      <c r="D25327" t="str">
        <f>"9029278022  "</f>
        <v xml:space="preserve">9029278022  </v>
      </c>
      <c r="E25327" t="s">
        <v>2247</v>
      </c>
      <c r="F25327" t="s">
        <v>2248</v>
      </c>
      <c r="G25327">
        <v>512.66999999999996</v>
      </c>
      <c r="H25327">
        <v>251203</v>
      </c>
      <c r="I25327">
        <v>4550</v>
      </c>
      <c r="J25327" t="s">
        <v>226</v>
      </c>
      <c r="K25327">
        <v>512.66999999999996</v>
      </c>
      <c r="L25327">
        <v>104.17</v>
      </c>
      <c r="M25327">
        <v>14422</v>
      </c>
      <c r="N25327" t="s">
        <v>73</v>
      </c>
      <c r="O25327">
        <v>251212</v>
      </c>
      <c r="P25327">
        <v>408.5</v>
      </c>
    </row>
    <row r="25328" spans="1:16" x14ac:dyDescent="0.25">
      <c r="A25328" t="s">
        <v>3296</v>
      </c>
      <c r="B25328" t="s">
        <v>2931</v>
      </c>
      <c r="C25328">
        <v>17868</v>
      </c>
      <c r="D25328" t="str">
        <f>"9029280995  "</f>
        <v xml:space="preserve">9029280995  </v>
      </c>
      <c r="E25328" t="s">
        <v>2247</v>
      </c>
      <c r="F25328" t="s">
        <v>2248</v>
      </c>
      <c r="G25328">
        <v>53.3</v>
      </c>
      <c r="H25328">
        <v>251211</v>
      </c>
      <c r="I25328">
        <v>4550</v>
      </c>
      <c r="J25328" t="s">
        <v>226</v>
      </c>
      <c r="K25328">
        <v>53.3</v>
      </c>
      <c r="L25328">
        <v>10.83</v>
      </c>
      <c r="M25328">
        <v>14422</v>
      </c>
      <c r="N25328" t="s">
        <v>73</v>
      </c>
      <c r="O25328">
        <v>251231</v>
      </c>
      <c r="P25328">
        <v>42.47</v>
      </c>
    </row>
    <row r="25329" spans="1:16" x14ac:dyDescent="0.25">
      <c r="A25329" t="s">
        <v>3296</v>
      </c>
      <c r="B25329" t="s">
        <v>2931</v>
      </c>
      <c r="C25329">
        <v>16066</v>
      </c>
      <c r="D25329" t="str">
        <f>"420900      "</f>
        <v xml:space="preserve">420900      </v>
      </c>
      <c r="E25329" t="s">
        <v>2655</v>
      </c>
      <c r="F25329" t="s">
        <v>2656</v>
      </c>
      <c r="G25329">
        <v>95.68</v>
      </c>
      <c r="H25329">
        <v>251201</v>
      </c>
      <c r="I25329">
        <v>4520</v>
      </c>
      <c r="J25329" t="s">
        <v>280</v>
      </c>
      <c r="K25329">
        <v>95.68</v>
      </c>
      <c r="L25329">
        <v>11.75</v>
      </c>
      <c r="M25329">
        <v>17131</v>
      </c>
      <c r="N25329" t="s">
        <v>154</v>
      </c>
      <c r="O25329">
        <v>251203</v>
      </c>
      <c r="P25329">
        <v>83.93</v>
      </c>
    </row>
    <row r="25330" spans="1:16" x14ac:dyDescent="0.25">
      <c r="A25330" t="s">
        <v>3296</v>
      </c>
      <c r="B25330" t="s">
        <v>2931</v>
      </c>
      <c r="C25330">
        <v>6891</v>
      </c>
      <c r="D25330" t="str">
        <f>"68          "</f>
        <v xml:space="preserve">68          </v>
      </c>
      <c r="E25330" t="s">
        <v>3086</v>
      </c>
      <c r="F25330" t="s">
        <v>3087</v>
      </c>
      <c r="G25330">
        <v>475.15</v>
      </c>
      <c r="H25330">
        <v>250515</v>
      </c>
      <c r="I25330">
        <v>4820</v>
      </c>
      <c r="J25330" t="s">
        <v>169</v>
      </c>
      <c r="K25330">
        <v>475.15</v>
      </c>
      <c r="L25330">
        <v>0</v>
      </c>
      <c r="M25330">
        <v>13841</v>
      </c>
      <c r="N25330" t="s">
        <v>178</v>
      </c>
      <c r="O25330">
        <v>250520</v>
      </c>
      <c r="P25330">
        <v>475.15</v>
      </c>
    </row>
    <row r="25331" spans="1:16" x14ac:dyDescent="0.25">
      <c r="A25331" t="s">
        <v>3296</v>
      </c>
      <c r="B25331" t="s">
        <v>2931</v>
      </c>
      <c r="C25331">
        <v>17463</v>
      </c>
      <c r="D25331" t="str">
        <f>"181225      "</f>
        <v xml:space="preserve">181225      </v>
      </c>
      <c r="E25331" t="s">
        <v>3086</v>
      </c>
      <c r="F25331" t="s">
        <v>3087</v>
      </c>
      <c r="G25331">
        <v>458.64</v>
      </c>
      <c r="H25331">
        <v>251205</v>
      </c>
      <c r="I25331">
        <v>4820</v>
      </c>
      <c r="J25331" t="s">
        <v>169</v>
      </c>
      <c r="K25331">
        <v>458.64</v>
      </c>
      <c r="L25331">
        <v>0</v>
      </c>
      <c r="M25331">
        <v>13841</v>
      </c>
      <c r="N25331" t="s">
        <v>178</v>
      </c>
      <c r="O25331">
        <v>251222</v>
      </c>
      <c r="P25331">
        <v>458.64</v>
      </c>
    </row>
    <row r="25332" spans="1:16" x14ac:dyDescent="0.25">
      <c r="A25332" t="s">
        <v>3296</v>
      </c>
      <c r="B25332" t="s">
        <v>2931</v>
      </c>
      <c r="C25332">
        <v>6800</v>
      </c>
      <c r="D25332" t="str">
        <f>"2025010     "</f>
        <v xml:space="preserve">2025010     </v>
      </c>
      <c r="E25332" t="s">
        <v>3082</v>
      </c>
      <c r="F25332" t="s">
        <v>3083</v>
      </c>
      <c r="G25332">
        <v>164.92</v>
      </c>
      <c r="H25332">
        <v>250430</v>
      </c>
      <c r="I25332">
        <v>4820</v>
      </c>
      <c r="J25332" t="s">
        <v>169</v>
      </c>
      <c r="K25332">
        <v>164.92</v>
      </c>
      <c r="L25332">
        <v>0</v>
      </c>
      <c r="M25332">
        <v>13841</v>
      </c>
      <c r="N25332" t="s">
        <v>178</v>
      </c>
      <c r="O25332">
        <v>250516</v>
      </c>
      <c r="P25332">
        <v>164.92</v>
      </c>
    </row>
    <row r="25333" spans="1:16" x14ac:dyDescent="0.25">
      <c r="A25333" t="s">
        <v>3296</v>
      </c>
      <c r="B25333" t="s">
        <v>2931</v>
      </c>
      <c r="C25333">
        <v>16688</v>
      </c>
      <c r="D25333" t="str">
        <f>"2025072     "</f>
        <v xml:space="preserve">2025072     </v>
      </c>
      <c r="E25333" t="s">
        <v>3082</v>
      </c>
      <c r="F25333" t="s">
        <v>3083</v>
      </c>
      <c r="G25333">
        <v>79.52</v>
      </c>
      <c r="H25333">
        <v>251208</v>
      </c>
      <c r="I25333">
        <v>4820</v>
      </c>
      <c r="J25333" t="s">
        <v>169</v>
      </c>
      <c r="K25333">
        <v>79.52</v>
      </c>
      <c r="L25333">
        <v>0</v>
      </c>
      <c r="M25333">
        <v>13841</v>
      </c>
      <c r="N25333" t="s">
        <v>178</v>
      </c>
      <c r="O25333">
        <v>251211</v>
      </c>
      <c r="P25333">
        <v>79.52</v>
      </c>
    </row>
    <row r="25334" spans="1:16" x14ac:dyDescent="0.25">
      <c r="A25334" t="s">
        <v>3296</v>
      </c>
      <c r="B25334" t="s">
        <v>2931</v>
      </c>
      <c r="C25334">
        <v>207</v>
      </c>
      <c r="D25334" t="str">
        <f>"8229428     "</f>
        <v xml:space="preserve">8229428     </v>
      </c>
      <c r="E25334" t="s">
        <v>332</v>
      </c>
      <c r="F25334" t="s">
        <v>333</v>
      </c>
      <c r="G25334">
        <v>2426.65</v>
      </c>
      <c r="H25334">
        <v>250107</v>
      </c>
      <c r="I25334">
        <v>4346</v>
      </c>
      <c r="J25334" t="s">
        <v>334</v>
      </c>
      <c r="K25334">
        <v>9706.57</v>
      </c>
      <c r="L25334">
        <v>493.06</v>
      </c>
      <c r="M25334">
        <v>11401</v>
      </c>
      <c r="N25334" t="s">
        <v>91</v>
      </c>
      <c r="O25334">
        <v>250116</v>
      </c>
      <c r="P25334">
        <v>1933.59</v>
      </c>
    </row>
    <row r="25335" spans="1:16" x14ac:dyDescent="0.25">
      <c r="A25335" t="s">
        <v>3296</v>
      </c>
      <c r="B25335" t="s">
        <v>2931</v>
      </c>
      <c r="C25335">
        <v>1891</v>
      </c>
      <c r="D25335" t="str">
        <f>"5436253     "</f>
        <v xml:space="preserve">5436253     </v>
      </c>
      <c r="E25335" t="s">
        <v>1153</v>
      </c>
      <c r="F25335" t="s">
        <v>1154</v>
      </c>
      <c r="G25335">
        <v>1682.96</v>
      </c>
      <c r="H25335">
        <v>250131</v>
      </c>
      <c r="I25335">
        <v>4580</v>
      </c>
      <c r="J25335" t="s">
        <v>126</v>
      </c>
      <c r="K25335">
        <v>1682.96</v>
      </c>
      <c r="L25335">
        <v>341.96</v>
      </c>
      <c r="M25335">
        <v>17523</v>
      </c>
      <c r="N25335" t="s">
        <v>138</v>
      </c>
      <c r="O25335">
        <v>250214</v>
      </c>
      <c r="P25335">
        <v>1341</v>
      </c>
    </row>
    <row r="25336" spans="1:16" x14ac:dyDescent="0.25">
      <c r="A25336" t="s">
        <v>3296</v>
      </c>
      <c r="B25336" t="s">
        <v>2931</v>
      </c>
      <c r="C25336">
        <v>2028</v>
      </c>
      <c r="D25336" t="str">
        <f>"5436128     "</f>
        <v xml:space="preserve">5436128     </v>
      </c>
      <c r="E25336" t="s">
        <v>1153</v>
      </c>
      <c r="F25336" t="s">
        <v>1154</v>
      </c>
      <c r="G25336">
        <v>740.44</v>
      </c>
      <c r="H25336">
        <v>250201</v>
      </c>
      <c r="I25336">
        <v>4580</v>
      </c>
      <c r="J25336" t="s">
        <v>126</v>
      </c>
      <c r="K25336">
        <v>740.44</v>
      </c>
      <c r="L25336">
        <v>150.44999999999999</v>
      </c>
      <c r="M25336">
        <v>17523</v>
      </c>
      <c r="N25336" t="s">
        <v>138</v>
      </c>
      <c r="O25336">
        <v>250219</v>
      </c>
      <c r="P25336">
        <v>589.99</v>
      </c>
    </row>
    <row r="25337" spans="1:16" x14ac:dyDescent="0.25">
      <c r="A25337" t="s">
        <v>3296</v>
      </c>
      <c r="B25337" t="s">
        <v>2931</v>
      </c>
      <c r="C25337">
        <v>374</v>
      </c>
      <c r="D25337" t="str">
        <f>"14009793    "</f>
        <v xml:space="preserve">14009793    </v>
      </c>
      <c r="E25337" t="s">
        <v>469</v>
      </c>
      <c r="F25337" t="s">
        <v>471</v>
      </c>
      <c r="G25337">
        <v>12.3</v>
      </c>
      <c r="H25337">
        <v>250116</v>
      </c>
      <c r="I25337">
        <v>4364</v>
      </c>
      <c r="J25337" t="s">
        <v>470</v>
      </c>
      <c r="K25337">
        <v>62.5</v>
      </c>
      <c r="L25337">
        <v>2.5</v>
      </c>
      <c r="M25337">
        <v>54451</v>
      </c>
      <c r="N25337" t="s">
        <v>218</v>
      </c>
      <c r="O25337">
        <v>250122</v>
      </c>
      <c r="P25337">
        <v>9.8000000000000007</v>
      </c>
    </row>
    <row r="25338" spans="1:16" x14ac:dyDescent="0.25">
      <c r="A25338" t="s">
        <v>3296</v>
      </c>
      <c r="B25338" t="s">
        <v>2931</v>
      </c>
      <c r="C25338">
        <v>2953</v>
      </c>
      <c r="D25338" t="str">
        <f>"123720743   "</f>
        <v xml:space="preserve">123720743   </v>
      </c>
      <c r="E25338" t="s">
        <v>747</v>
      </c>
      <c r="F25338" t="s">
        <v>748</v>
      </c>
      <c r="G25338">
        <v>23.98</v>
      </c>
      <c r="H25338">
        <v>250226</v>
      </c>
      <c r="I25338">
        <v>4500</v>
      </c>
      <c r="J25338" t="s">
        <v>312</v>
      </c>
      <c r="K25338">
        <v>23.98</v>
      </c>
      <c r="L25338">
        <v>4.87</v>
      </c>
      <c r="M25338">
        <v>11801</v>
      </c>
      <c r="N25338" t="s">
        <v>40</v>
      </c>
      <c r="O25338">
        <v>250313</v>
      </c>
      <c r="P25338">
        <v>19.11</v>
      </c>
    </row>
    <row r="25339" spans="1:16" x14ac:dyDescent="0.25">
      <c r="A25339" t="s">
        <v>3296</v>
      </c>
      <c r="B25339" t="s">
        <v>2931</v>
      </c>
      <c r="C25339">
        <v>4044</v>
      </c>
      <c r="D25339" t="str">
        <f>"123853340   "</f>
        <v xml:space="preserve">123853340   </v>
      </c>
      <c r="E25339" t="s">
        <v>747</v>
      </c>
      <c r="F25339" t="s">
        <v>748</v>
      </c>
      <c r="G25339">
        <v>47.99</v>
      </c>
      <c r="H25339">
        <v>250307</v>
      </c>
      <c r="I25339">
        <v>4500</v>
      </c>
      <c r="J25339" t="s">
        <v>312</v>
      </c>
      <c r="K25339">
        <v>47.99</v>
      </c>
      <c r="L25339">
        <v>9.75</v>
      </c>
      <c r="M25339">
        <v>11903</v>
      </c>
      <c r="N25339" t="s">
        <v>32</v>
      </c>
      <c r="O25339">
        <v>250407</v>
      </c>
      <c r="P25339">
        <v>38.24</v>
      </c>
    </row>
    <row r="25340" spans="1:16" x14ac:dyDescent="0.25">
      <c r="A25340" t="s">
        <v>3296</v>
      </c>
      <c r="B25340" t="s">
        <v>2931</v>
      </c>
      <c r="C25340">
        <v>13152</v>
      </c>
      <c r="D25340" t="str">
        <f>"129103538   "</f>
        <v xml:space="preserve">129103538   </v>
      </c>
      <c r="E25340" t="s">
        <v>747</v>
      </c>
      <c r="F25340" t="s">
        <v>748</v>
      </c>
      <c r="G25340">
        <v>35.979999999999997</v>
      </c>
      <c r="H25340">
        <v>250925</v>
      </c>
      <c r="I25340">
        <v>4500</v>
      </c>
      <c r="J25340" t="s">
        <v>312</v>
      </c>
      <c r="K25340">
        <v>35.979999999999997</v>
      </c>
      <c r="L25340">
        <v>7.31</v>
      </c>
      <c r="M25340">
        <v>11801</v>
      </c>
      <c r="N25340" t="s">
        <v>40</v>
      </c>
      <c r="O25340">
        <v>251006</v>
      </c>
      <c r="P25340">
        <v>28.67</v>
      </c>
    </row>
    <row r="25341" spans="1:16" x14ac:dyDescent="0.25">
      <c r="A25341" t="s">
        <v>3296</v>
      </c>
      <c r="B25341" t="s">
        <v>2931</v>
      </c>
      <c r="C25341">
        <v>838</v>
      </c>
      <c r="D25341" t="str">
        <f>"122930501   "</f>
        <v xml:space="preserve">122930501   </v>
      </c>
      <c r="E25341" t="s">
        <v>747</v>
      </c>
      <c r="F25341" t="s">
        <v>748</v>
      </c>
      <c r="G25341">
        <v>154.99</v>
      </c>
      <c r="H25341">
        <v>250125</v>
      </c>
      <c r="I25341">
        <v>4580</v>
      </c>
      <c r="J25341" t="s">
        <v>126</v>
      </c>
      <c r="K25341">
        <v>154.99</v>
      </c>
      <c r="L25341">
        <v>31.49</v>
      </c>
      <c r="M25341">
        <v>18972</v>
      </c>
      <c r="N25341" t="s">
        <v>39</v>
      </c>
      <c r="O25341">
        <v>250129</v>
      </c>
      <c r="P25341">
        <v>123.5</v>
      </c>
    </row>
    <row r="25342" spans="1:16" x14ac:dyDescent="0.25">
      <c r="A25342" t="s">
        <v>3296</v>
      </c>
      <c r="B25342" t="s">
        <v>2931</v>
      </c>
      <c r="C25342">
        <v>10527</v>
      </c>
      <c r="D25342" t="str">
        <f>"127975612   "</f>
        <v xml:space="preserve">127975612   </v>
      </c>
      <c r="E25342" t="s">
        <v>747</v>
      </c>
      <c r="F25342" t="s">
        <v>748</v>
      </c>
      <c r="G25342">
        <v>158.99</v>
      </c>
      <c r="H25342">
        <v>250816</v>
      </c>
      <c r="I25342">
        <v>4580</v>
      </c>
      <c r="J25342" t="s">
        <v>126</v>
      </c>
      <c r="K25342">
        <v>158.99</v>
      </c>
      <c r="L25342">
        <v>32.299999999999997</v>
      </c>
      <c r="M25342">
        <v>17972</v>
      </c>
      <c r="N25342" t="s">
        <v>28</v>
      </c>
      <c r="O25342">
        <v>250820</v>
      </c>
      <c r="P25342">
        <v>126.69</v>
      </c>
    </row>
    <row r="25343" spans="1:16" x14ac:dyDescent="0.25">
      <c r="A25343" t="s">
        <v>3296</v>
      </c>
      <c r="B25343" t="s">
        <v>2931</v>
      </c>
      <c r="C25343">
        <v>1612</v>
      </c>
      <c r="D25343" t="str">
        <f>"123065348   "</f>
        <v xml:space="preserve">123065348   </v>
      </c>
      <c r="E25343" t="s">
        <v>747</v>
      </c>
      <c r="F25343" t="s">
        <v>748</v>
      </c>
      <c r="G25343">
        <v>20.98</v>
      </c>
      <c r="H25343">
        <v>250128</v>
      </c>
      <c r="I25343">
        <v>4600</v>
      </c>
      <c r="J25343" t="s">
        <v>278</v>
      </c>
      <c r="K25343">
        <v>20.98</v>
      </c>
      <c r="L25343">
        <v>4.26</v>
      </c>
      <c r="M25343">
        <v>59815</v>
      </c>
      <c r="N25343" t="s">
        <v>1001</v>
      </c>
      <c r="O25343">
        <v>250211</v>
      </c>
      <c r="P25343">
        <v>16.72</v>
      </c>
    </row>
    <row r="25344" spans="1:16" x14ac:dyDescent="0.25">
      <c r="A25344" t="s">
        <v>3296</v>
      </c>
      <c r="B25344" t="s">
        <v>2931</v>
      </c>
      <c r="C25344">
        <v>15187</v>
      </c>
      <c r="D25344" t="str">
        <f>"129594104   "</f>
        <v xml:space="preserve">129594104   </v>
      </c>
      <c r="E25344" t="s">
        <v>747</v>
      </c>
      <c r="F25344" t="s">
        <v>748</v>
      </c>
      <c r="G25344">
        <v>361</v>
      </c>
      <c r="H25344">
        <v>251111</v>
      </c>
      <c r="I25344">
        <v>4600</v>
      </c>
      <c r="J25344" t="s">
        <v>278</v>
      </c>
      <c r="K25344">
        <v>361</v>
      </c>
      <c r="L25344">
        <v>73.349999999999994</v>
      </c>
      <c r="M25344">
        <v>11903</v>
      </c>
      <c r="N25344" t="s">
        <v>32</v>
      </c>
      <c r="O25344">
        <v>251113</v>
      </c>
      <c r="P25344">
        <v>287.64999999999998</v>
      </c>
    </row>
    <row r="25345" spans="1:16" x14ac:dyDescent="0.25">
      <c r="A25345" t="s">
        <v>3296</v>
      </c>
      <c r="B25345" t="s">
        <v>2931</v>
      </c>
      <c r="C25345">
        <v>2408</v>
      </c>
      <c r="D25345" t="str">
        <f>"250003275   "</f>
        <v xml:space="preserve">250003275   </v>
      </c>
      <c r="E25345" t="s">
        <v>1274</v>
      </c>
      <c r="F25345" t="s">
        <v>1275</v>
      </c>
      <c r="G25345">
        <v>223.3</v>
      </c>
      <c r="H25345">
        <v>250220</v>
      </c>
      <c r="I25345">
        <v>4510</v>
      </c>
      <c r="J25345" t="s">
        <v>240</v>
      </c>
      <c r="K25345">
        <v>223.3</v>
      </c>
      <c r="L25345">
        <v>20.3</v>
      </c>
      <c r="M25345">
        <v>11101</v>
      </c>
      <c r="N25345" t="s">
        <v>67</v>
      </c>
      <c r="O25345">
        <v>250225</v>
      </c>
      <c r="P25345">
        <v>203</v>
      </c>
    </row>
    <row r="25346" spans="1:16" x14ac:dyDescent="0.25">
      <c r="A25346" t="s">
        <v>3296</v>
      </c>
      <c r="B25346" t="s">
        <v>2931</v>
      </c>
      <c r="C25346">
        <v>4781</v>
      </c>
      <c r="D25346" t="str">
        <f>"3018053     "</f>
        <v xml:space="preserve">3018053     </v>
      </c>
      <c r="E25346" t="s">
        <v>1074</v>
      </c>
      <c r="F25346" t="s">
        <v>574</v>
      </c>
      <c r="G25346">
        <v>202.18</v>
      </c>
      <c r="H25346">
        <v>250319</v>
      </c>
      <c r="I25346">
        <v>4580</v>
      </c>
      <c r="J25346" t="s">
        <v>126</v>
      </c>
      <c r="K25346">
        <v>202.18</v>
      </c>
      <c r="L25346">
        <v>41.08</v>
      </c>
      <c r="M25346">
        <v>49701</v>
      </c>
      <c r="N25346" t="s">
        <v>111</v>
      </c>
      <c r="O25346">
        <v>250415</v>
      </c>
      <c r="P25346">
        <v>161.1</v>
      </c>
    </row>
    <row r="25347" spans="1:16" x14ac:dyDescent="0.25">
      <c r="A25347" t="s">
        <v>3296</v>
      </c>
      <c r="B25347" t="s">
        <v>2931</v>
      </c>
      <c r="C25347">
        <v>4794</v>
      </c>
      <c r="D25347" t="str">
        <f>"3018054     "</f>
        <v xml:space="preserve">3018054     </v>
      </c>
      <c r="E25347" t="s">
        <v>1074</v>
      </c>
      <c r="F25347" t="s">
        <v>574</v>
      </c>
      <c r="G25347">
        <v>187</v>
      </c>
      <c r="H25347">
        <v>250319</v>
      </c>
      <c r="I25347">
        <v>4580</v>
      </c>
      <c r="J25347" t="s">
        <v>126</v>
      </c>
      <c r="K25347">
        <v>187</v>
      </c>
      <c r="L25347">
        <v>38</v>
      </c>
      <c r="M25347">
        <v>43222</v>
      </c>
      <c r="N25347" t="s">
        <v>95</v>
      </c>
      <c r="O25347">
        <v>250415</v>
      </c>
      <c r="P25347">
        <v>149</v>
      </c>
    </row>
    <row r="25348" spans="1:16" x14ac:dyDescent="0.25">
      <c r="A25348" t="s">
        <v>3296</v>
      </c>
      <c r="B25348" t="s">
        <v>2931</v>
      </c>
      <c r="C25348">
        <v>11261</v>
      </c>
      <c r="D25348" t="str">
        <f>"3019131     "</f>
        <v xml:space="preserve">3019131     </v>
      </c>
      <c r="E25348" t="s">
        <v>1074</v>
      </c>
      <c r="F25348" t="s">
        <v>574</v>
      </c>
      <c r="G25348">
        <v>827.05</v>
      </c>
      <c r="H25348">
        <v>250822</v>
      </c>
      <c r="I25348">
        <v>4580</v>
      </c>
      <c r="J25348" t="s">
        <v>126</v>
      </c>
      <c r="K25348">
        <v>827.05</v>
      </c>
      <c r="L25348">
        <v>168.05</v>
      </c>
      <c r="M25348">
        <v>49702</v>
      </c>
      <c r="N25348" t="s">
        <v>112</v>
      </c>
      <c r="O25348">
        <v>250902</v>
      </c>
      <c r="P25348">
        <v>659</v>
      </c>
    </row>
    <row r="25349" spans="1:16" x14ac:dyDescent="0.25">
      <c r="A25349" t="s">
        <v>3296</v>
      </c>
      <c r="B25349" t="s">
        <v>2931</v>
      </c>
      <c r="C25349">
        <v>1649</v>
      </c>
      <c r="D25349" t="str">
        <f>"3017563     "</f>
        <v xml:space="preserve">3017563     </v>
      </c>
      <c r="E25349" t="s">
        <v>1074</v>
      </c>
      <c r="F25349" t="s">
        <v>574</v>
      </c>
      <c r="G25349">
        <v>189.19</v>
      </c>
      <c r="H25349">
        <v>250130</v>
      </c>
      <c r="I25349">
        <v>4600</v>
      </c>
      <c r="J25349" t="s">
        <v>278</v>
      </c>
      <c r="K25349">
        <v>378.38</v>
      </c>
      <c r="L25349">
        <v>38.44</v>
      </c>
      <c r="M25349">
        <v>54222</v>
      </c>
      <c r="N25349" t="s">
        <v>48</v>
      </c>
      <c r="O25349">
        <v>250212</v>
      </c>
      <c r="P25349">
        <v>150.75</v>
      </c>
    </row>
    <row r="25350" spans="1:16" x14ac:dyDescent="0.25">
      <c r="A25350" t="s">
        <v>3296</v>
      </c>
      <c r="B25350" t="s">
        <v>2931</v>
      </c>
      <c r="C25350">
        <v>1649</v>
      </c>
      <c r="D25350" t="str">
        <f>"3017563     "</f>
        <v xml:space="preserve">3017563     </v>
      </c>
      <c r="E25350" t="s">
        <v>1074</v>
      </c>
      <c r="F25350" t="s">
        <v>574</v>
      </c>
      <c r="G25350">
        <v>189.19</v>
      </c>
      <c r="H25350">
        <v>250130</v>
      </c>
      <c r="I25350">
        <v>4600</v>
      </c>
      <c r="J25350" t="s">
        <v>278</v>
      </c>
      <c r="K25350">
        <v>378.38</v>
      </c>
      <c r="L25350">
        <v>38.44</v>
      </c>
      <c r="M25350">
        <v>54251</v>
      </c>
      <c r="N25350" t="s">
        <v>485</v>
      </c>
      <c r="O25350">
        <v>250212</v>
      </c>
      <c r="P25350">
        <v>150.75</v>
      </c>
    </row>
    <row r="25351" spans="1:16" x14ac:dyDescent="0.25">
      <c r="A25351" t="s">
        <v>3296</v>
      </c>
      <c r="B25351" t="s">
        <v>2931</v>
      </c>
      <c r="C25351">
        <v>393</v>
      </c>
      <c r="D25351" t="str">
        <f>"3367857     "</f>
        <v xml:space="preserve">3367857     </v>
      </c>
      <c r="E25351" t="s">
        <v>486</v>
      </c>
      <c r="F25351" t="s">
        <v>487</v>
      </c>
      <c r="G25351">
        <v>119.4</v>
      </c>
      <c r="H25351">
        <v>250113</v>
      </c>
      <c r="I25351">
        <v>4510</v>
      </c>
      <c r="J25351" t="s">
        <v>240</v>
      </c>
      <c r="K25351">
        <v>238.8</v>
      </c>
      <c r="L25351">
        <v>10.85</v>
      </c>
      <c r="M25351">
        <v>17131</v>
      </c>
      <c r="N25351" t="s">
        <v>154</v>
      </c>
      <c r="O25351">
        <v>250122</v>
      </c>
      <c r="P25351">
        <v>108.55</v>
      </c>
    </row>
    <row r="25352" spans="1:16" x14ac:dyDescent="0.25">
      <c r="A25352" t="s">
        <v>3296</v>
      </c>
      <c r="B25352" t="s">
        <v>2931</v>
      </c>
      <c r="C25352">
        <v>393</v>
      </c>
      <c r="D25352" t="str">
        <f>"3367857     "</f>
        <v xml:space="preserve">3367857     </v>
      </c>
      <c r="E25352" t="s">
        <v>486</v>
      </c>
      <c r="F25352" t="s">
        <v>487</v>
      </c>
      <c r="G25352">
        <v>119.4</v>
      </c>
      <c r="H25352">
        <v>250113</v>
      </c>
      <c r="I25352">
        <v>4510</v>
      </c>
      <c r="J25352" t="s">
        <v>240</v>
      </c>
      <c r="K25352">
        <v>238.8</v>
      </c>
      <c r="L25352">
        <v>10.85</v>
      </c>
      <c r="M25352">
        <v>17711</v>
      </c>
      <c r="N25352" t="s">
        <v>155</v>
      </c>
      <c r="O25352">
        <v>250122</v>
      </c>
      <c r="P25352">
        <v>108.55</v>
      </c>
    </row>
    <row r="25353" spans="1:16" x14ac:dyDescent="0.25">
      <c r="A25353" t="s">
        <v>3296</v>
      </c>
      <c r="B25353" t="s">
        <v>2931</v>
      </c>
      <c r="C25353">
        <v>428</v>
      </c>
      <c r="D25353" t="str">
        <f>"3377367     "</f>
        <v xml:space="preserve">3377367     </v>
      </c>
      <c r="E25353" t="s">
        <v>486</v>
      </c>
      <c r="F25353" t="s">
        <v>487</v>
      </c>
      <c r="G25353">
        <v>366</v>
      </c>
      <c r="H25353">
        <v>250120</v>
      </c>
      <c r="I25353">
        <v>4510</v>
      </c>
      <c r="J25353" t="s">
        <v>240</v>
      </c>
      <c r="K25353">
        <v>366</v>
      </c>
      <c r="L25353">
        <v>33.270000000000003</v>
      </c>
      <c r="M25353">
        <v>67554</v>
      </c>
      <c r="N25353" t="s">
        <v>317</v>
      </c>
      <c r="O25353">
        <v>250122</v>
      </c>
      <c r="P25353">
        <v>332.73</v>
      </c>
    </row>
    <row r="25354" spans="1:16" x14ac:dyDescent="0.25">
      <c r="A25354" t="s">
        <v>3296</v>
      </c>
      <c r="B25354" t="s">
        <v>2931</v>
      </c>
      <c r="C25354">
        <v>799</v>
      </c>
      <c r="D25354" t="str">
        <f>"3383874     "</f>
        <v xml:space="preserve">3383874     </v>
      </c>
      <c r="E25354" t="s">
        <v>486</v>
      </c>
      <c r="F25354" t="s">
        <v>487</v>
      </c>
      <c r="G25354">
        <v>238.8</v>
      </c>
      <c r="H25354">
        <v>250201</v>
      </c>
      <c r="I25354">
        <v>4510</v>
      </c>
      <c r="J25354" t="s">
        <v>240</v>
      </c>
      <c r="K25354">
        <v>238.8</v>
      </c>
      <c r="L25354">
        <v>21.71</v>
      </c>
      <c r="M25354">
        <v>67554</v>
      </c>
      <c r="N25354" t="s">
        <v>317</v>
      </c>
      <c r="O25354">
        <v>250129</v>
      </c>
      <c r="P25354">
        <v>217.09</v>
      </c>
    </row>
    <row r="25355" spans="1:16" x14ac:dyDescent="0.25">
      <c r="A25355" t="s">
        <v>3296</v>
      </c>
      <c r="B25355" t="s">
        <v>2931</v>
      </c>
      <c r="C25355">
        <v>1313</v>
      </c>
      <c r="D25355" t="str">
        <f>"3377366     "</f>
        <v xml:space="preserve">3377366     </v>
      </c>
      <c r="E25355" t="s">
        <v>486</v>
      </c>
      <c r="F25355" t="s">
        <v>487</v>
      </c>
      <c r="G25355">
        <v>366</v>
      </c>
      <c r="H25355">
        <v>250120</v>
      </c>
      <c r="I25355">
        <v>4510</v>
      </c>
      <c r="J25355" t="s">
        <v>240</v>
      </c>
      <c r="K25355">
        <v>366</v>
      </c>
      <c r="L25355">
        <v>33.270000000000003</v>
      </c>
      <c r="M25355">
        <v>17711</v>
      </c>
      <c r="N25355" t="s">
        <v>155</v>
      </c>
      <c r="O25355">
        <v>250207</v>
      </c>
      <c r="P25355">
        <v>332.73</v>
      </c>
    </row>
    <row r="25356" spans="1:16" x14ac:dyDescent="0.25">
      <c r="A25356" t="s">
        <v>3296</v>
      </c>
      <c r="B25356" t="s">
        <v>2931</v>
      </c>
      <c r="C25356">
        <v>5554</v>
      </c>
      <c r="D25356" t="str">
        <f>"3422310     "</f>
        <v xml:space="preserve">3422310     </v>
      </c>
      <c r="E25356" t="s">
        <v>486</v>
      </c>
      <c r="F25356" t="s">
        <v>487</v>
      </c>
      <c r="G25356">
        <v>154.80000000000001</v>
      </c>
      <c r="H25356">
        <v>250414</v>
      </c>
      <c r="I25356">
        <v>4510</v>
      </c>
      <c r="J25356" t="s">
        <v>240</v>
      </c>
      <c r="K25356">
        <v>154.80000000000001</v>
      </c>
      <c r="L25356">
        <v>14.07</v>
      </c>
      <c r="M25356">
        <v>17711</v>
      </c>
      <c r="N25356" t="s">
        <v>155</v>
      </c>
      <c r="O25356">
        <v>250425</v>
      </c>
      <c r="P25356">
        <v>140.72999999999999</v>
      </c>
    </row>
    <row r="25357" spans="1:16" x14ac:dyDescent="0.25">
      <c r="A25357" t="s">
        <v>3296</v>
      </c>
      <c r="B25357" t="s">
        <v>2931</v>
      </c>
      <c r="C25357">
        <v>10806</v>
      </c>
      <c r="D25357" t="str">
        <f>"9903795     "</f>
        <v xml:space="preserve">9903795     </v>
      </c>
      <c r="E25357" t="s">
        <v>3130</v>
      </c>
      <c r="F25357" t="s">
        <v>3131</v>
      </c>
      <c r="G25357">
        <v>64</v>
      </c>
      <c r="H25357">
        <v>250821</v>
      </c>
      <c r="I25357">
        <v>4510</v>
      </c>
      <c r="J25357" t="s">
        <v>240</v>
      </c>
      <c r="K25357">
        <v>64</v>
      </c>
      <c r="L25357">
        <v>5.82</v>
      </c>
      <c r="M25357">
        <v>66722</v>
      </c>
      <c r="N25357" t="s">
        <v>118</v>
      </c>
      <c r="O25357">
        <v>250822</v>
      </c>
      <c r="P25357">
        <v>58.18</v>
      </c>
    </row>
    <row r="25358" spans="1:16" x14ac:dyDescent="0.25">
      <c r="A25358" t="s">
        <v>3296</v>
      </c>
      <c r="B25358" t="s">
        <v>2931</v>
      </c>
      <c r="C25358">
        <v>4333</v>
      </c>
      <c r="D25358" t="str">
        <f>"2540331     "</f>
        <v xml:space="preserve">2540331     </v>
      </c>
      <c r="E25358" t="s">
        <v>1620</v>
      </c>
      <c r="F25358" t="s">
        <v>1621</v>
      </c>
      <c r="G25358">
        <v>1901</v>
      </c>
      <c r="H25358">
        <v>250328</v>
      </c>
      <c r="I25358">
        <v>4420</v>
      </c>
      <c r="J25358" t="s">
        <v>330</v>
      </c>
      <c r="K25358">
        <v>1901</v>
      </c>
      <c r="L25358">
        <v>0</v>
      </c>
      <c r="M25358">
        <v>11951</v>
      </c>
      <c r="N25358" t="s">
        <v>428</v>
      </c>
      <c r="O25358">
        <v>250411</v>
      </c>
      <c r="P25358">
        <v>1901</v>
      </c>
    </row>
    <row r="25359" spans="1:16" x14ac:dyDescent="0.25">
      <c r="A25359" t="s">
        <v>3296</v>
      </c>
      <c r="B25359" t="s">
        <v>2931</v>
      </c>
      <c r="C25359">
        <v>11834</v>
      </c>
      <c r="D25359" t="str">
        <f>"1513        "</f>
        <v xml:space="preserve">1513        </v>
      </c>
      <c r="E25359" t="s">
        <v>2292</v>
      </c>
      <c r="F25359" t="s">
        <v>2293</v>
      </c>
      <c r="G25359">
        <v>340</v>
      </c>
      <c r="H25359">
        <v>250830</v>
      </c>
      <c r="I25359">
        <v>4600</v>
      </c>
      <c r="J25359" t="s">
        <v>278</v>
      </c>
      <c r="K25359">
        <v>340</v>
      </c>
      <c r="L25359">
        <v>0</v>
      </c>
      <c r="M25359">
        <v>56558</v>
      </c>
      <c r="N25359" t="s">
        <v>50</v>
      </c>
      <c r="O25359">
        <v>250911</v>
      </c>
      <c r="P25359">
        <v>340</v>
      </c>
    </row>
    <row r="25360" spans="1:16" x14ac:dyDescent="0.25">
      <c r="A25360" t="s">
        <v>3296</v>
      </c>
      <c r="B25360" t="s">
        <v>2931</v>
      </c>
      <c r="C25360">
        <v>10208</v>
      </c>
      <c r="D25360" t="str">
        <f>"150831      "</f>
        <v xml:space="preserve">150831      </v>
      </c>
      <c r="E25360" t="s">
        <v>2175</v>
      </c>
      <c r="F25360" t="s">
        <v>2176</v>
      </c>
      <c r="G25360">
        <v>96.9</v>
      </c>
      <c r="H25360">
        <v>250806</v>
      </c>
      <c r="I25360">
        <v>4533</v>
      </c>
      <c r="J25360" t="s">
        <v>1064</v>
      </c>
      <c r="K25360">
        <v>96.9</v>
      </c>
      <c r="L25360">
        <v>11.9</v>
      </c>
      <c r="M25360">
        <v>17737</v>
      </c>
      <c r="N25360" t="s">
        <v>156</v>
      </c>
      <c r="O25360">
        <v>250813</v>
      </c>
      <c r="P25360">
        <v>85</v>
      </c>
    </row>
    <row r="25361" spans="1:16" x14ac:dyDescent="0.25">
      <c r="A25361" t="s">
        <v>3296</v>
      </c>
      <c r="B25361" t="s">
        <v>2931</v>
      </c>
      <c r="C25361">
        <v>2914</v>
      </c>
      <c r="D25361" t="str">
        <f>"6648        "</f>
        <v xml:space="preserve">6648        </v>
      </c>
      <c r="E25361" t="s">
        <v>1378</v>
      </c>
      <c r="F25361" t="s">
        <v>1379</v>
      </c>
      <c r="G25361">
        <v>224.39</v>
      </c>
      <c r="H25361">
        <v>250214</v>
      </c>
      <c r="I25361">
        <v>4400</v>
      </c>
      <c r="J25361" t="s">
        <v>162</v>
      </c>
      <c r="K25361">
        <v>224.39</v>
      </c>
      <c r="L25361">
        <v>45.59</v>
      </c>
      <c r="M25361">
        <v>49501</v>
      </c>
      <c r="N25361" t="s">
        <v>110</v>
      </c>
      <c r="O25361">
        <v>250313</v>
      </c>
      <c r="P25361">
        <v>178.8</v>
      </c>
    </row>
    <row r="25362" spans="1:16" x14ac:dyDescent="0.25">
      <c r="A25362" t="s">
        <v>3296</v>
      </c>
      <c r="B25362" t="s">
        <v>2931</v>
      </c>
      <c r="C25362">
        <v>14077</v>
      </c>
      <c r="D25362" t="str">
        <f>"6886        "</f>
        <v xml:space="preserve">6886        </v>
      </c>
      <c r="E25362" t="s">
        <v>1378</v>
      </c>
      <c r="F25362" t="s">
        <v>1379</v>
      </c>
      <c r="G25362">
        <v>6526</v>
      </c>
      <c r="H25362">
        <v>251007</v>
      </c>
      <c r="I25362">
        <v>4400</v>
      </c>
      <c r="J25362" t="s">
        <v>162</v>
      </c>
      <c r="K25362">
        <v>6526</v>
      </c>
      <c r="L25362">
        <v>1326</v>
      </c>
      <c r="M25362">
        <v>49501</v>
      </c>
      <c r="N25362" t="s">
        <v>110</v>
      </c>
      <c r="O25362">
        <v>251023</v>
      </c>
      <c r="P25362">
        <v>5200</v>
      </c>
    </row>
    <row r="25363" spans="1:16" x14ac:dyDescent="0.25">
      <c r="A25363" t="s">
        <v>3296</v>
      </c>
      <c r="B25363" t="s">
        <v>2931</v>
      </c>
      <c r="C25363">
        <v>7267</v>
      </c>
      <c r="D25363" t="str">
        <f>"1758        "</f>
        <v xml:space="preserve">1758        </v>
      </c>
      <c r="E25363" t="s">
        <v>1935</v>
      </c>
      <c r="F25363" t="s">
        <v>1936</v>
      </c>
      <c r="G25363">
        <v>25</v>
      </c>
      <c r="H25363">
        <v>250523</v>
      </c>
      <c r="I25363">
        <v>4410</v>
      </c>
      <c r="J25363" t="s">
        <v>165</v>
      </c>
      <c r="K25363">
        <v>25</v>
      </c>
      <c r="L25363">
        <v>3.07</v>
      </c>
      <c r="M25363">
        <v>13901</v>
      </c>
      <c r="N25363" t="s">
        <v>116</v>
      </c>
      <c r="O25363">
        <v>250528</v>
      </c>
      <c r="P25363">
        <v>21.93</v>
      </c>
    </row>
    <row r="25364" spans="1:16" x14ac:dyDescent="0.25">
      <c r="A25364" t="s">
        <v>3296</v>
      </c>
      <c r="B25364" t="s">
        <v>2931</v>
      </c>
      <c r="C25364">
        <v>3530</v>
      </c>
      <c r="D25364" t="str">
        <f>"1047651     "</f>
        <v xml:space="preserve">1047651     </v>
      </c>
      <c r="E25364" t="s">
        <v>1451</v>
      </c>
      <c r="F25364" t="s">
        <v>1452</v>
      </c>
      <c r="G25364">
        <v>109.17</v>
      </c>
      <c r="H25364">
        <v>250311</v>
      </c>
      <c r="I25364">
        <v>4590</v>
      </c>
      <c r="J25364" t="s">
        <v>388</v>
      </c>
      <c r="K25364">
        <v>109.17</v>
      </c>
      <c r="L25364">
        <v>22.18</v>
      </c>
      <c r="M25364">
        <v>56551</v>
      </c>
      <c r="N25364" t="s">
        <v>551</v>
      </c>
      <c r="O25364">
        <v>250325</v>
      </c>
      <c r="P25364">
        <v>86.99</v>
      </c>
    </row>
    <row r="25365" spans="1:16" x14ac:dyDescent="0.25">
      <c r="A25365" t="s">
        <v>3296</v>
      </c>
      <c r="B25365" t="s">
        <v>2931</v>
      </c>
      <c r="C25365">
        <v>12184</v>
      </c>
      <c r="D25365" t="str">
        <f>"1066505     "</f>
        <v xml:space="preserve">1066505     </v>
      </c>
      <c r="E25365" t="s">
        <v>1451</v>
      </c>
      <c r="F25365" t="s">
        <v>1452</v>
      </c>
      <c r="G25365">
        <v>354.21</v>
      </c>
      <c r="H25365">
        <v>250916</v>
      </c>
      <c r="I25365">
        <v>4600</v>
      </c>
      <c r="J25365" t="s">
        <v>278</v>
      </c>
      <c r="K25365">
        <v>354.21</v>
      </c>
      <c r="L25365">
        <v>71.97</v>
      </c>
      <c r="M25365">
        <v>17649</v>
      </c>
      <c r="N25365" t="s">
        <v>2329</v>
      </c>
      <c r="O25365">
        <v>250917</v>
      </c>
      <c r="P25365">
        <v>282.24</v>
      </c>
    </row>
    <row r="25366" spans="1:16" x14ac:dyDescent="0.25">
      <c r="A25366" t="s">
        <v>3296</v>
      </c>
      <c r="B25366" t="s">
        <v>2931</v>
      </c>
      <c r="C25366">
        <v>17207</v>
      </c>
      <c r="D25366" t="str">
        <f>"400/250596  "</f>
        <v xml:space="preserve">400/250596  </v>
      </c>
      <c r="E25366" t="s">
        <v>2929</v>
      </c>
      <c r="F25366" t="s">
        <v>2930</v>
      </c>
      <c r="G25366">
        <v>10.5</v>
      </c>
      <c r="H25366">
        <v>251215</v>
      </c>
      <c r="I25366">
        <v>4410</v>
      </c>
      <c r="J25366" t="s">
        <v>165</v>
      </c>
      <c r="K25366">
        <v>310.5</v>
      </c>
      <c r="L25366">
        <v>2.13</v>
      </c>
      <c r="M25366">
        <v>41126</v>
      </c>
      <c r="N25366" t="s">
        <v>94</v>
      </c>
      <c r="O25366">
        <v>251218</v>
      </c>
      <c r="P25366">
        <v>8.3699999999999992</v>
      </c>
    </row>
    <row r="25367" spans="1:16" x14ac:dyDescent="0.25">
      <c r="A25367" t="s">
        <v>3296</v>
      </c>
      <c r="B25367" t="s">
        <v>2931</v>
      </c>
      <c r="C25367">
        <v>17207</v>
      </c>
      <c r="D25367" t="str">
        <f>"400/250596  "</f>
        <v xml:space="preserve">400/250596  </v>
      </c>
      <c r="E25367" t="s">
        <v>2929</v>
      </c>
      <c r="F25367" t="s">
        <v>2930</v>
      </c>
      <c r="G25367">
        <v>300</v>
      </c>
      <c r="H25367">
        <v>251215</v>
      </c>
      <c r="I25367">
        <v>4410</v>
      </c>
      <c r="J25367" t="s">
        <v>165</v>
      </c>
      <c r="K25367">
        <v>310.5</v>
      </c>
      <c r="L25367">
        <v>36.840000000000003</v>
      </c>
      <c r="M25367">
        <v>41126</v>
      </c>
      <c r="N25367" t="s">
        <v>94</v>
      </c>
      <c r="O25367">
        <v>251218</v>
      </c>
      <c r="P25367">
        <v>263.16000000000003</v>
      </c>
    </row>
    <row r="25368" spans="1:16" x14ac:dyDescent="0.25">
      <c r="A25368" t="s">
        <v>3296</v>
      </c>
      <c r="B25368" t="s">
        <v>2931</v>
      </c>
      <c r="C25368">
        <v>488</v>
      </c>
      <c r="D25368" t="str">
        <f>"4379        "</f>
        <v xml:space="preserve">4379        </v>
      </c>
      <c r="E25368" t="s">
        <v>545</v>
      </c>
      <c r="F25368" t="s">
        <v>546</v>
      </c>
      <c r="G25368">
        <v>435.88</v>
      </c>
      <c r="H25368">
        <v>250113</v>
      </c>
      <c r="I25368">
        <v>4380</v>
      </c>
      <c r="J25368" t="s">
        <v>211</v>
      </c>
      <c r="K25368">
        <v>435.88</v>
      </c>
      <c r="L25368">
        <v>88.57</v>
      </c>
      <c r="M25368">
        <v>49112</v>
      </c>
      <c r="N25368" t="s">
        <v>109</v>
      </c>
      <c r="O25368">
        <v>250123</v>
      </c>
      <c r="P25368">
        <v>347.31</v>
      </c>
    </row>
    <row r="25369" spans="1:16" x14ac:dyDescent="0.25">
      <c r="A25369" t="s">
        <v>3296</v>
      </c>
      <c r="B25369" t="s">
        <v>2931</v>
      </c>
      <c r="C25369">
        <v>2941</v>
      </c>
      <c r="D25369" t="str">
        <f>"1678        "</f>
        <v xml:space="preserve">1678        </v>
      </c>
      <c r="E25369" t="s">
        <v>1382</v>
      </c>
      <c r="F25369" t="s">
        <v>1383</v>
      </c>
      <c r="G25369">
        <v>2409.6</v>
      </c>
      <c r="H25369">
        <v>250303</v>
      </c>
      <c r="I25369">
        <v>1196</v>
      </c>
      <c r="J25369" t="s">
        <v>340</v>
      </c>
      <c r="K25369">
        <v>2409.6</v>
      </c>
      <c r="L25369">
        <v>489.6</v>
      </c>
      <c r="M25369">
        <v>97501</v>
      </c>
      <c r="N25369" t="s">
        <v>1354</v>
      </c>
      <c r="O25369">
        <v>250313</v>
      </c>
      <c r="P25369">
        <v>1920</v>
      </c>
    </row>
    <row r="25370" spans="1:16" x14ac:dyDescent="0.25">
      <c r="A25370" t="s">
        <v>3296</v>
      </c>
      <c r="B25370" t="s">
        <v>2931</v>
      </c>
      <c r="C25370">
        <v>5912</v>
      </c>
      <c r="D25370" t="str">
        <f>"1686        "</f>
        <v xml:space="preserve">1686        </v>
      </c>
      <c r="E25370" t="s">
        <v>1382</v>
      </c>
      <c r="F25370" t="s">
        <v>1383</v>
      </c>
      <c r="G25370">
        <v>527.1</v>
      </c>
      <c r="H25370">
        <v>250428</v>
      </c>
      <c r="I25370">
        <v>1196</v>
      </c>
      <c r="J25370" t="s">
        <v>340</v>
      </c>
      <c r="K25370">
        <v>527.1</v>
      </c>
      <c r="L25370">
        <v>107.1</v>
      </c>
      <c r="M25370">
        <v>97501</v>
      </c>
      <c r="N25370" t="s">
        <v>1354</v>
      </c>
      <c r="O25370">
        <v>250507</v>
      </c>
      <c r="P25370">
        <v>420</v>
      </c>
    </row>
    <row r="25371" spans="1:16" x14ac:dyDescent="0.25">
      <c r="A25371" t="s">
        <v>3296</v>
      </c>
      <c r="B25371" t="s">
        <v>2931</v>
      </c>
      <c r="C25371">
        <v>18304</v>
      </c>
      <c r="D25371" t="str">
        <f>"1735        "</f>
        <v xml:space="preserve">1735        </v>
      </c>
      <c r="E25371" t="s">
        <v>1382</v>
      </c>
      <c r="F25371" t="s">
        <v>1383</v>
      </c>
      <c r="G25371">
        <v>2560.1999999999998</v>
      </c>
      <c r="H25371">
        <v>251230</v>
      </c>
      <c r="I25371">
        <v>4390</v>
      </c>
      <c r="J25371" t="s">
        <v>232</v>
      </c>
      <c r="K25371">
        <v>2560.1999999999998</v>
      </c>
      <c r="L25371">
        <v>520.20000000000005</v>
      </c>
      <c r="M25371">
        <v>14957</v>
      </c>
      <c r="N25371" t="s">
        <v>2801</v>
      </c>
      <c r="O25371">
        <v>260113</v>
      </c>
      <c r="P25371">
        <v>2040</v>
      </c>
    </row>
    <row r="25372" spans="1:16" x14ac:dyDescent="0.25">
      <c r="A25372" t="s">
        <v>3296</v>
      </c>
      <c r="B25372" t="s">
        <v>2931</v>
      </c>
      <c r="C25372">
        <v>8313</v>
      </c>
      <c r="D25372" t="str">
        <f>"42606       "</f>
        <v xml:space="preserve">42606       </v>
      </c>
      <c r="E25372" t="s">
        <v>514</v>
      </c>
      <c r="F25372" t="s">
        <v>515</v>
      </c>
      <c r="G25372">
        <v>51</v>
      </c>
      <c r="H25372">
        <v>250531</v>
      </c>
      <c r="I25372">
        <v>4346</v>
      </c>
      <c r="J25372" t="s">
        <v>334</v>
      </c>
      <c r="K25372">
        <v>51</v>
      </c>
      <c r="L25372">
        <v>10.36</v>
      </c>
      <c r="M25372">
        <v>11601</v>
      </c>
      <c r="N25372" t="s">
        <v>12</v>
      </c>
      <c r="O25372">
        <v>250612</v>
      </c>
      <c r="P25372">
        <v>40.64</v>
      </c>
    </row>
    <row r="25373" spans="1:16" x14ac:dyDescent="0.25">
      <c r="A25373" t="s">
        <v>3296</v>
      </c>
      <c r="B25373" t="s">
        <v>2931</v>
      </c>
      <c r="C25373">
        <v>8628</v>
      </c>
      <c r="D25373" t="str">
        <f>"43928       "</f>
        <v xml:space="preserve">43928       </v>
      </c>
      <c r="E25373" t="s">
        <v>514</v>
      </c>
      <c r="F25373" t="s">
        <v>515</v>
      </c>
      <c r="G25373">
        <v>248.49</v>
      </c>
      <c r="H25373">
        <v>250531</v>
      </c>
      <c r="I25373">
        <v>4346</v>
      </c>
      <c r="J25373" t="s">
        <v>334</v>
      </c>
      <c r="K25373">
        <v>248.49</v>
      </c>
      <c r="L25373">
        <v>50.49</v>
      </c>
      <c r="M25373">
        <v>11751</v>
      </c>
      <c r="N25373" t="s">
        <v>167</v>
      </c>
      <c r="O25373">
        <v>250617</v>
      </c>
      <c r="P25373">
        <v>198</v>
      </c>
    </row>
    <row r="25374" spans="1:16" x14ac:dyDescent="0.25">
      <c r="A25374" t="s">
        <v>3296</v>
      </c>
      <c r="B25374" t="s">
        <v>2931</v>
      </c>
      <c r="C25374">
        <v>9376</v>
      </c>
      <c r="D25374" t="str">
        <f>"44138       "</f>
        <v xml:space="preserve">44138       </v>
      </c>
      <c r="E25374" t="s">
        <v>514</v>
      </c>
      <c r="F25374" t="s">
        <v>515</v>
      </c>
      <c r="G25374">
        <v>51</v>
      </c>
      <c r="H25374">
        <v>250627</v>
      </c>
      <c r="I25374">
        <v>4346</v>
      </c>
      <c r="J25374" t="s">
        <v>334</v>
      </c>
      <c r="K25374">
        <v>51</v>
      </c>
      <c r="L25374">
        <v>10.36</v>
      </c>
      <c r="M25374">
        <v>11601</v>
      </c>
      <c r="N25374" t="s">
        <v>12</v>
      </c>
      <c r="O25374">
        <v>250707</v>
      </c>
      <c r="P25374">
        <v>40.64</v>
      </c>
    </row>
    <row r="25375" spans="1:16" x14ac:dyDescent="0.25">
      <c r="A25375" t="s">
        <v>3296</v>
      </c>
      <c r="B25375" t="s">
        <v>2931</v>
      </c>
      <c r="C25375">
        <v>10012</v>
      </c>
      <c r="D25375" t="str">
        <f>"46306       "</f>
        <v xml:space="preserve">46306       </v>
      </c>
      <c r="E25375" t="s">
        <v>514</v>
      </c>
      <c r="F25375" t="s">
        <v>515</v>
      </c>
      <c r="G25375">
        <v>51</v>
      </c>
      <c r="H25375">
        <v>250725</v>
      </c>
      <c r="I25375">
        <v>4346</v>
      </c>
      <c r="J25375" t="s">
        <v>334</v>
      </c>
      <c r="K25375">
        <v>51</v>
      </c>
      <c r="L25375">
        <v>10.36</v>
      </c>
      <c r="M25375">
        <v>11601</v>
      </c>
      <c r="N25375" t="s">
        <v>12</v>
      </c>
      <c r="O25375">
        <v>250807</v>
      </c>
      <c r="P25375">
        <v>40.64</v>
      </c>
    </row>
    <row r="25376" spans="1:16" x14ac:dyDescent="0.25">
      <c r="A25376" t="s">
        <v>3296</v>
      </c>
      <c r="B25376" t="s">
        <v>2931</v>
      </c>
      <c r="C25376">
        <v>12029</v>
      </c>
      <c r="D25376" t="str">
        <f>"48650       "</f>
        <v xml:space="preserve">48650       </v>
      </c>
      <c r="E25376" t="s">
        <v>514</v>
      </c>
      <c r="F25376" t="s">
        <v>515</v>
      </c>
      <c r="G25376">
        <v>51</v>
      </c>
      <c r="H25376">
        <v>250829</v>
      </c>
      <c r="I25376">
        <v>4346</v>
      </c>
      <c r="J25376" t="s">
        <v>334</v>
      </c>
      <c r="K25376">
        <v>51</v>
      </c>
      <c r="L25376">
        <v>10.36</v>
      </c>
      <c r="M25376">
        <v>11601</v>
      </c>
      <c r="N25376" t="s">
        <v>12</v>
      </c>
      <c r="O25376">
        <v>250915</v>
      </c>
      <c r="P25376">
        <v>40.64</v>
      </c>
    </row>
    <row r="25377" spans="1:16" x14ac:dyDescent="0.25">
      <c r="A25377" t="s">
        <v>3296</v>
      </c>
      <c r="B25377" t="s">
        <v>2931</v>
      </c>
      <c r="C25377">
        <v>440</v>
      </c>
      <c r="D25377" t="str">
        <f>"31187       "</f>
        <v xml:space="preserve">31187       </v>
      </c>
      <c r="E25377" t="s">
        <v>514</v>
      </c>
      <c r="F25377" t="s">
        <v>515</v>
      </c>
      <c r="G25377">
        <v>690.25</v>
      </c>
      <c r="H25377">
        <v>250113</v>
      </c>
      <c r="I25377">
        <v>4367</v>
      </c>
      <c r="J25377" t="s">
        <v>159</v>
      </c>
      <c r="K25377">
        <v>1054.2</v>
      </c>
      <c r="L25377">
        <v>140.25</v>
      </c>
      <c r="M25377">
        <v>11801</v>
      </c>
      <c r="N25377" t="s">
        <v>40</v>
      </c>
      <c r="O25377">
        <v>250122</v>
      </c>
      <c r="P25377">
        <v>550</v>
      </c>
    </row>
    <row r="25378" spans="1:16" x14ac:dyDescent="0.25">
      <c r="A25378" t="s">
        <v>3296</v>
      </c>
      <c r="B25378" t="s">
        <v>2931</v>
      </c>
      <c r="C25378">
        <v>1397</v>
      </c>
      <c r="D25378" t="str">
        <f>"33273       "</f>
        <v xml:space="preserve">33273       </v>
      </c>
      <c r="E25378" t="s">
        <v>514</v>
      </c>
      <c r="F25378" t="s">
        <v>515</v>
      </c>
      <c r="G25378">
        <v>1334.09</v>
      </c>
      <c r="H25378">
        <v>250131</v>
      </c>
      <c r="I25378">
        <v>4367</v>
      </c>
      <c r="J25378" t="s">
        <v>159</v>
      </c>
      <c r="K25378">
        <v>1334.09</v>
      </c>
      <c r="L25378">
        <v>271.07</v>
      </c>
      <c r="M25378">
        <v>11801</v>
      </c>
      <c r="N25378" t="s">
        <v>40</v>
      </c>
      <c r="O25378">
        <v>250210</v>
      </c>
      <c r="P25378">
        <v>1063.02</v>
      </c>
    </row>
    <row r="25379" spans="1:16" x14ac:dyDescent="0.25">
      <c r="A25379" t="s">
        <v>3296</v>
      </c>
      <c r="B25379" t="s">
        <v>2931</v>
      </c>
      <c r="C25379">
        <v>1398</v>
      </c>
      <c r="D25379" t="str">
        <f>"33062       "</f>
        <v xml:space="preserve">33062       </v>
      </c>
      <c r="E25379" t="s">
        <v>514</v>
      </c>
      <c r="F25379" t="s">
        <v>515</v>
      </c>
      <c r="G25379">
        <v>805.18</v>
      </c>
      <c r="H25379">
        <v>250131</v>
      </c>
      <c r="I25379">
        <v>4367</v>
      </c>
      <c r="J25379" t="s">
        <v>159</v>
      </c>
      <c r="K25379">
        <v>805.18</v>
      </c>
      <c r="L25379">
        <v>163.6</v>
      </c>
      <c r="M25379">
        <v>11801</v>
      </c>
      <c r="N25379" t="s">
        <v>40</v>
      </c>
      <c r="O25379">
        <v>250210</v>
      </c>
      <c r="P25379">
        <v>641.58000000000004</v>
      </c>
    </row>
    <row r="25380" spans="1:16" x14ac:dyDescent="0.25">
      <c r="A25380" t="s">
        <v>3296</v>
      </c>
      <c r="B25380" t="s">
        <v>2931</v>
      </c>
      <c r="C25380">
        <v>1399</v>
      </c>
      <c r="D25380" t="str">
        <f>"33541       "</f>
        <v xml:space="preserve">33541       </v>
      </c>
      <c r="E25380" t="s">
        <v>514</v>
      </c>
      <c r="F25380" t="s">
        <v>515</v>
      </c>
      <c r="G25380">
        <v>345.13</v>
      </c>
      <c r="H25380">
        <v>250131</v>
      </c>
      <c r="I25380">
        <v>4367</v>
      </c>
      <c r="J25380" t="s">
        <v>159</v>
      </c>
      <c r="K25380">
        <v>345.13</v>
      </c>
      <c r="L25380">
        <v>70.13</v>
      </c>
      <c r="M25380">
        <v>11801</v>
      </c>
      <c r="N25380" t="s">
        <v>40</v>
      </c>
      <c r="O25380">
        <v>250210</v>
      </c>
      <c r="P25380">
        <v>275</v>
      </c>
    </row>
    <row r="25381" spans="1:16" x14ac:dyDescent="0.25">
      <c r="A25381" t="s">
        <v>3296</v>
      </c>
      <c r="B25381" t="s">
        <v>2931</v>
      </c>
      <c r="C25381">
        <v>1404</v>
      </c>
      <c r="D25381" t="str">
        <f>"32958       "</f>
        <v xml:space="preserve">32958       </v>
      </c>
      <c r="E25381" t="s">
        <v>514</v>
      </c>
      <c r="F25381" t="s">
        <v>515</v>
      </c>
      <c r="G25381">
        <v>5967.32</v>
      </c>
      <c r="H25381">
        <v>250131</v>
      </c>
      <c r="I25381">
        <v>4367</v>
      </c>
      <c r="J25381" t="s">
        <v>159</v>
      </c>
      <c r="K25381">
        <v>5967.32</v>
      </c>
      <c r="L25381">
        <v>1212.48</v>
      </c>
      <c r="M25381">
        <v>11801</v>
      </c>
      <c r="N25381" t="s">
        <v>40</v>
      </c>
      <c r="O25381">
        <v>250210</v>
      </c>
      <c r="P25381">
        <v>4754.84</v>
      </c>
    </row>
    <row r="25382" spans="1:16" x14ac:dyDescent="0.25">
      <c r="A25382" t="s">
        <v>3296</v>
      </c>
      <c r="B25382" t="s">
        <v>2931</v>
      </c>
      <c r="C25382">
        <v>1406</v>
      </c>
      <c r="D25382" t="str">
        <f>"33215       "</f>
        <v xml:space="preserve">33215       </v>
      </c>
      <c r="E25382" t="s">
        <v>514</v>
      </c>
      <c r="F25382" t="s">
        <v>515</v>
      </c>
      <c r="G25382">
        <v>205.75</v>
      </c>
      <c r="H25382">
        <v>250131</v>
      </c>
      <c r="I25382">
        <v>4367</v>
      </c>
      <c r="J25382" t="s">
        <v>159</v>
      </c>
      <c r="K25382">
        <v>205.75</v>
      </c>
      <c r="L25382">
        <v>41.81</v>
      </c>
      <c r="M25382">
        <v>11801</v>
      </c>
      <c r="N25382" t="s">
        <v>40</v>
      </c>
      <c r="O25382">
        <v>250210</v>
      </c>
      <c r="P25382">
        <v>163.94</v>
      </c>
    </row>
    <row r="25383" spans="1:16" x14ac:dyDescent="0.25">
      <c r="A25383" t="s">
        <v>3296</v>
      </c>
      <c r="B25383" t="s">
        <v>2931</v>
      </c>
      <c r="C25383">
        <v>1631</v>
      </c>
      <c r="D25383" t="str">
        <f>"33723       "</f>
        <v xml:space="preserve">33723       </v>
      </c>
      <c r="E25383" t="s">
        <v>514</v>
      </c>
      <c r="F25383" t="s">
        <v>515</v>
      </c>
      <c r="G25383">
        <v>359.18</v>
      </c>
      <c r="H25383">
        <v>250131</v>
      </c>
      <c r="I25383">
        <v>4367</v>
      </c>
      <c r="J25383" t="s">
        <v>159</v>
      </c>
      <c r="K25383">
        <v>359.18</v>
      </c>
      <c r="L25383">
        <v>72.98</v>
      </c>
      <c r="M25383">
        <v>11601</v>
      </c>
      <c r="N25383" t="s">
        <v>12</v>
      </c>
      <c r="O25383">
        <v>250212</v>
      </c>
      <c r="P25383">
        <v>286.2</v>
      </c>
    </row>
    <row r="25384" spans="1:16" x14ac:dyDescent="0.25">
      <c r="A25384" t="s">
        <v>3296</v>
      </c>
      <c r="B25384" t="s">
        <v>2931</v>
      </c>
      <c r="C25384">
        <v>1632</v>
      </c>
      <c r="D25384" t="str">
        <f>"32918       "</f>
        <v xml:space="preserve">32918       </v>
      </c>
      <c r="E25384" t="s">
        <v>514</v>
      </c>
      <c r="F25384" t="s">
        <v>515</v>
      </c>
      <c r="G25384">
        <v>38.83</v>
      </c>
      <c r="H25384">
        <v>250131</v>
      </c>
      <c r="I25384">
        <v>4367</v>
      </c>
      <c r="J25384" t="s">
        <v>159</v>
      </c>
      <c r="K25384">
        <v>38.83</v>
      </c>
      <c r="L25384">
        <v>7.89</v>
      </c>
      <c r="M25384">
        <v>11601</v>
      </c>
      <c r="N25384" t="s">
        <v>12</v>
      </c>
      <c r="O25384">
        <v>250212</v>
      </c>
      <c r="P25384">
        <v>30.94</v>
      </c>
    </row>
    <row r="25385" spans="1:16" x14ac:dyDescent="0.25">
      <c r="A25385" t="s">
        <v>3296</v>
      </c>
      <c r="B25385" t="s">
        <v>2931</v>
      </c>
      <c r="C25385">
        <v>1634</v>
      </c>
      <c r="D25385" t="str">
        <f>"33418       "</f>
        <v xml:space="preserve">33418       </v>
      </c>
      <c r="E25385" t="s">
        <v>514</v>
      </c>
      <c r="F25385" t="s">
        <v>515</v>
      </c>
      <c r="G25385">
        <v>112.81</v>
      </c>
      <c r="H25385">
        <v>250131</v>
      </c>
      <c r="I25385">
        <v>4367</v>
      </c>
      <c r="J25385" t="s">
        <v>159</v>
      </c>
      <c r="K25385">
        <v>112.81</v>
      </c>
      <c r="L25385">
        <v>22.92</v>
      </c>
      <c r="M25385">
        <v>11601</v>
      </c>
      <c r="N25385" t="s">
        <v>12</v>
      </c>
      <c r="O25385">
        <v>250212</v>
      </c>
      <c r="P25385">
        <v>89.89</v>
      </c>
    </row>
    <row r="25386" spans="1:16" x14ac:dyDescent="0.25">
      <c r="A25386" t="s">
        <v>3296</v>
      </c>
      <c r="B25386" t="s">
        <v>2931</v>
      </c>
      <c r="C25386">
        <v>1635</v>
      </c>
      <c r="D25386" t="str">
        <f>"33547       "</f>
        <v xml:space="preserve">33547       </v>
      </c>
      <c r="E25386" t="s">
        <v>514</v>
      </c>
      <c r="F25386" t="s">
        <v>515</v>
      </c>
      <c r="G25386">
        <v>246.11</v>
      </c>
      <c r="H25386">
        <v>250131</v>
      </c>
      <c r="I25386">
        <v>4367</v>
      </c>
      <c r="J25386" t="s">
        <v>159</v>
      </c>
      <c r="K25386">
        <v>246.11</v>
      </c>
      <c r="L25386">
        <v>50.01</v>
      </c>
      <c r="M25386">
        <v>11601</v>
      </c>
      <c r="N25386" t="s">
        <v>12</v>
      </c>
      <c r="O25386">
        <v>250212</v>
      </c>
      <c r="P25386">
        <v>196.1</v>
      </c>
    </row>
    <row r="25387" spans="1:16" x14ac:dyDescent="0.25">
      <c r="A25387" t="s">
        <v>3296</v>
      </c>
      <c r="B25387" t="s">
        <v>2931</v>
      </c>
      <c r="C25387">
        <v>1637</v>
      </c>
      <c r="D25387" t="str">
        <f>"33058       "</f>
        <v xml:space="preserve">33058       </v>
      </c>
      <c r="E25387" t="s">
        <v>514</v>
      </c>
      <c r="F25387" t="s">
        <v>515</v>
      </c>
      <c r="G25387">
        <v>239.07</v>
      </c>
      <c r="H25387">
        <v>250131</v>
      </c>
      <c r="I25387">
        <v>4367</v>
      </c>
      <c r="J25387" t="s">
        <v>159</v>
      </c>
      <c r="K25387">
        <v>239.07</v>
      </c>
      <c r="L25387">
        <v>48.58</v>
      </c>
      <c r="M25387">
        <v>11601</v>
      </c>
      <c r="N25387" t="s">
        <v>12</v>
      </c>
      <c r="O25387">
        <v>250212</v>
      </c>
      <c r="P25387">
        <v>190.49</v>
      </c>
    </row>
    <row r="25388" spans="1:16" x14ac:dyDescent="0.25">
      <c r="A25388" t="s">
        <v>3296</v>
      </c>
      <c r="B25388" t="s">
        <v>2931</v>
      </c>
      <c r="C25388">
        <v>1835</v>
      </c>
      <c r="D25388" t="str">
        <f t="shared" ref="D25388:D25394" si="550">"32400       "</f>
        <v xml:space="preserve">32400       </v>
      </c>
      <c r="E25388" t="s">
        <v>514</v>
      </c>
      <c r="F25388" t="s">
        <v>515</v>
      </c>
      <c r="G25388">
        <v>800.06</v>
      </c>
      <c r="H25388">
        <v>250123</v>
      </c>
      <c r="I25388">
        <v>4367</v>
      </c>
      <c r="J25388" t="s">
        <v>159</v>
      </c>
      <c r="K25388">
        <v>21335</v>
      </c>
      <c r="L25388">
        <v>162.56</v>
      </c>
      <c r="M25388">
        <v>14971</v>
      </c>
      <c r="N25388" t="s">
        <v>81</v>
      </c>
      <c r="O25388">
        <v>250214</v>
      </c>
      <c r="P25388">
        <v>637.5</v>
      </c>
    </row>
    <row r="25389" spans="1:16" x14ac:dyDescent="0.25">
      <c r="A25389" t="s">
        <v>3296</v>
      </c>
      <c r="B25389" t="s">
        <v>2931</v>
      </c>
      <c r="C25389">
        <v>1835</v>
      </c>
      <c r="D25389" t="str">
        <f t="shared" si="550"/>
        <v xml:space="preserve">32400       </v>
      </c>
      <c r="E25389" t="s">
        <v>514</v>
      </c>
      <c r="F25389" t="s">
        <v>515</v>
      </c>
      <c r="G25389">
        <v>800.06</v>
      </c>
      <c r="H25389">
        <v>250123</v>
      </c>
      <c r="I25389">
        <v>4367</v>
      </c>
      <c r="J25389" t="s">
        <v>159</v>
      </c>
      <c r="K25389">
        <v>21335</v>
      </c>
      <c r="L25389">
        <v>162.56</v>
      </c>
      <c r="M25389">
        <v>17972</v>
      </c>
      <c r="N25389" t="s">
        <v>28</v>
      </c>
      <c r="O25389">
        <v>250214</v>
      </c>
      <c r="P25389">
        <v>637.5</v>
      </c>
    </row>
    <row r="25390" spans="1:16" x14ac:dyDescent="0.25">
      <c r="A25390" t="s">
        <v>3296</v>
      </c>
      <c r="B25390" t="s">
        <v>2931</v>
      </c>
      <c r="C25390">
        <v>1835</v>
      </c>
      <c r="D25390" t="str">
        <f t="shared" si="550"/>
        <v xml:space="preserve">32400       </v>
      </c>
      <c r="E25390" t="s">
        <v>514</v>
      </c>
      <c r="F25390" t="s">
        <v>515</v>
      </c>
      <c r="G25390">
        <v>1866.81</v>
      </c>
      <c r="H25390">
        <v>250123</v>
      </c>
      <c r="I25390">
        <v>4367</v>
      </c>
      <c r="J25390" t="s">
        <v>159</v>
      </c>
      <c r="K25390">
        <v>21335</v>
      </c>
      <c r="L25390">
        <v>379.31</v>
      </c>
      <c r="M25390">
        <v>18972</v>
      </c>
      <c r="N25390" t="s">
        <v>39</v>
      </c>
      <c r="O25390">
        <v>250214</v>
      </c>
      <c r="P25390">
        <v>1487.5</v>
      </c>
    </row>
    <row r="25391" spans="1:16" x14ac:dyDescent="0.25">
      <c r="A25391" t="s">
        <v>3296</v>
      </c>
      <c r="B25391" t="s">
        <v>2931</v>
      </c>
      <c r="C25391">
        <v>1835</v>
      </c>
      <c r="D25391" t="str">
        <f t="shared" si="550"/>
        <v xml:space="preserve">32400       </v>
      </c>
      <c r="E25391" t="s">
        <v>514</v>
      </c>
      <c r="F25391" t="s">
        <v>515</v>
      </c>
      <c r="G25391">
        <v>640.04999999999995</v>
      </c>
      <c r="H25391">
        <v>250123</v>
      </c>
      <c r="I25391">
        <v>4367</v>
      </c>
      <c r="J25391" t="s">
        <v>159</v>
      </c>
      <c r="K25391">
        <v>21335</v>
      </c>
      <c r="L25391">
        <v>130.05000000000001</v>
      </c>
      <c r="M25391">
        <v>49702</v>
      </c>
      <c r="N25391" t="s">
        <v>112</v>
      </c>
      <c r="O25391">
        <v>250214</v>
      </c>
      <c r="P25391">
        <v>510</v>
      </c>
    </row>
    <row r="25392" spans="1:16" x14ac:dyDescent="0.25">
      <c r="A25392" t="s">
        <v>3296</v>
      </c>
      <c r="B25392" t="s">
        <v>2931</v>
      </c>
      <c r="C25392">
        <v>1835</v>
      </c>
      <c r="D25392" t="str">
        <f t="shared" si="550"/>
        <v xml:space="preserve">32400       </v>
      </c>
      <c r="E25392" t="s">
        <v>514</v>
      </c>
      <c r="F25392" t="s">
        <v>515</v>
      </c>
      <c r="G25392">
        <v>480.04</v>
      </c>
      <c r="H25392">
        <v>250123</v>
      </c>
      <c r="I25392">
        <v>4367</v>
      </c>
      <c r="J25392" t="s">
        <v>159</v>
      </c>
      <c r="K25392">
        <v>21335</v>
      </c>
      <c r="L25392">
        <v>97.54</v>
      </c>
      <c r="M25392">
        <v>59702</v>
      </c>
      <c r="N25392" t="s">
        <v>45</v>
      </c>
      <c r="O25392">
        <v>250214</v>
      </c>
      <c r="P25392">
        <v>382.5</v>
      </c>
    </row>
    <row r="25393" spans="1:16" x14ac:dyDescent="0.25">
      <c r="A25393" t="s">
        <v>3296</v>
      </c>
      <c r="B25393" t="s">
        <v>2931</v>
      </c>
      <c r="C25393">
        <v>1835</v>
      </c>
      <c r="D25393" t="str">
        <f t="shared" si="550"/>
        <v xml:space="preserve">32400       </v>
      </c>
      <c r="E25393" t="s">
        <v>514</v>
      </c>
      <c r="F25393" t="s">
        <v>515</v>
      </c>
      <c r="G25393">
        <v>320.02</v>
      </c>
      <c r="H25393">
        <v>250123</v>
      </c>
      <c r="I25393">
        <v>4367</v>
      </c>
      <c r="J25393" t="s">
        <v>159</v>
      </c>
      <c r="K25393">
        <v>21335</v>
      </c>
      <c r="L25393">
        <v>65.02</v>
      </c>
      <c r="M25393">
        <v>69702</v>
      </c>
      <c r="N25393" t="s">
        <v>124</v>
      </c>
      <c r="O25393">
        <v>250214</v>
      </c>
      <c r="P25393">
        <v>255</v>
      </c>
    </row>
    <row r="25394" spans="1:16" x14ac:dyDescent="0.25">
      <c r="A25394" t="s">
        <v>3296</v>
      </c>
      <c r="B25394" t="s">
        <v>2931</v>
      </c>
      <c r="C25394">
        <v>1835</v>
      </c>
      <c r="D25394" t="str">
        <f t="shared" si="550"/>
        <v xml:space="preserve">32400       </v>
      </c>
      <c r="E25394" t="s">
        <v>514</v>
      </c>
      <c r="F25394" t="s">
        <v>515</v>
      </c>
      <c r="G25394">
        <v>426.7</v>
      </c>
      <c r="H25394">
        <v>250123</v>
      </c>
      <c r="I25394">
        <v>4367</v>
      </c>
      <c r="J25394" t="s">
        <v>159</v>
      </c>
      <c r="K25394">
        <v>21335</v>
      </c>
      <c r="L25394">
        <v>86.7</v>
      </c>
      <c r="M25394">
        <v>69704</v>
      </c>
      <c r="N25394" t="s">
        <v>89</v>
      </c>
      <c r="O25394">
        <v>250214</v>
      </c>
      <c r="P25394">
        <v>340</v>
      </c>
    </row>
    <row r="25395" spans="1:16" x14ac:dyDescent="0.25">
      <c r="A25395" t="s">
        <v>3296</v>
      </c>
      <c r="B25395" t="s">
        <v>2931</v>
      </c>
      <c r="C25395">
        <v>2181</v>
      </c>
      <c r="D25395" t="str">
        <f>"31905       "</f>
        <v xml:space="preserve">31905       </v>
      </c>
      <c r="E25395" t="s">
        <v>514</v>
      </c>
      <c r="F25395" t="s">
        <v>515</v>
      </c>
      <c r="G25395">
        <v>1506</v>
      </c>
      <c r="H25395">
        <v>250201</v>
      </c>
      <c r="I25395">
        <v>4367</v>
      </c>
      <c r="J25395" t="s">
        <v>159</v>
      </c>
      <c r="K25395">
        <v>6024</v>
      </c>
      <c r="L25395">
        <v>306</v>
      </c>
      <c r="M25395">
        <v>11801</v>
      </c>
      <c r="N25395" t="s">
        <v>40</v>
      </c>
      <c r="O25395">
        <v>250221</v>
      </c>
      <c r="P25395">
        <v>1200</v>
      </c>
    </row>
    <row r="25396" spans="1:16" x14ac:dyDescent="0.25">
      <c r="A25396" t="s">
        <v>3296</v>
      </c>
      <c r="B25396" t="s">
        <v>2931</v>
      </c>
      <c r="C25396">
        <v>2183</v>
      </c>
      <c r="D25396" t="str">
        <f>"32085       "</f>
        <v xml:space="preserve">32085       </v>
      </c>
      <c r="E25396" t="s">
        <v>514</v>
      </c>
      <c r="F25396" t="s">
        <v>515</v>
      </c>
      <c r="G25396">
        <v>3012</v>
      </c>
      <c r="H25396">
        <v>250201</v>
      </c>
      <c r="I25396">
        <v>4367</v>
      </c>
      <c r="J25396" t="s">
        <v>159</v>
      </c>
      <c r="K25396">
        <v>3012</v>
      </c>
      <c r="L25396">
        <v>612</v>
      </c>
      <c r="M25396">
        <v>11801</v>
      </c>
      <c r="N25396" t="s">
        <v>40</v>
      </c>
      <c r="O25396">
        <v>250221</v>
      </c>
      <c r="P25396">
        <v>2400</v>
      </c>
    </row>
    <row r="25397" spans="1:16" x14ac:dyDescent="0.25">
      <c r="A25397" t="s">
        <v>3296</v>
      </c>
      <c r="B25397" t="s">
        <v>2931</v>
      </c>
      <c r="C25397">
        <v>2186</v>
      </c>
      <c r="D25397" t="str">
        <f>"32003       "</f>
        <v xml:space="preserve">32003       </v>
      </c>
      <c r="E25397" t="s">
        <v>514</v>
      </c>
      <c r="F25397" t="s">
        <v>515</v>
      </c>
      <c r="G25397">
        <v>24372.44</v>
      </c>
      <c r="H25397">
        <v>250201</v>
      </c>
      <c r="I25397">
        <v>4367</v>
      </c>
      <c r="J25397" t="s">
        <v>159</v>
      </c>
      <c r="K25397">
        <v>97489.78</v>
      </c>
      <c r="L25397">
        <v>4952.17</v>
      </c>
      <c r="M25397">
        <v>11801</v>
      </c>
      <c r="N25397" t="s">
        <v>40</v>
      </c>
      <c r="O25397">
        <v>250221</v>
      </c>
      <c r="P25397">
        <v>19420.27</v>
      </c>
    </row>
    <row r="25398" spans="1:16" x14ac:dyDescent="0.25">
      <c r="A25398" t="s">
        <v>3296</v>
      </c>
      <c r="B25398" t="s">
        <v>2931</v>
      </c>
      <c r="C25398">
        <v>2187</v>
      </c>
      <c r="D25398" t="str">
        <f>"32274       "</f>
        <v xml:space="preserve">32274       </v>
      </c>
      <c r="E25398" t="s">
        <v>514</v>
      </c>
      <c r="F25398" t="s">
        <v>515</v>
      </c>
      <c r="G25398">
        <v>1859.91</v>
      </c>
      <c r="H25398">
        <v>250201</v>
      </c>
      <c r="I25398">
        <v>4367</v>
      </c>
      <c r="J25398" t="s">
        <v>159</v>
      </c>
      <c r="K25398">
        <v>7439.64</v>
      </c>
      <c r="L25398">
        <v>377.91</v>
      </c>
      <c r="M25398">
        <v>11801</v>
      </c>
      <c r="N25398" t="s">
        <v>40</v>
      </c>
      <c r="O25398">
        <v>250221</v>
      </c>
      <c r="P25398">
        <v>1482</v>
      </c>
    </row>
    <row r="25399" spans="1:16" x14ac:dyDescent="0.25">
      <c r="A25399" t="s">
        <v>3296</v>
      </c>
      <c r="B25399" t="s">
        <v>2931</v>
      </c>
      <c r="C25399">
        <v>2744</v>
      </c>
      <c r="D25399" t="str">
        <f>"35639       "</f>
        <v xml:space="preserve">35639       </v>
      </c>
      <c r="E25399" t="s">
        <v>514</v>
      </c>
      <c r="F25399" t="s">
        <v>515</v>
      </c>
      <c r="G25399">
        <v>1334.09</v>
      </c>
      <c r="H25399">
        <v>250228</v>
      </c>
      <c r="I25399">
        <v>4367</v>
      </c>
      <c r="J25399" t="s">
        <v>159</v>
      </c>
      <c r="K25399">
        <v>1334.09</v>
      </c>
      <c r="L25399">
        <v>271.07</v>
      </c>
      <c r="M25399">
        <v>11801</v>
      </c>
      <c r="N25399" t="s">
        <v>40</v>
      </c>
      <c r="O25399">
        <v>250311</v>
      </c>
      <c r="P25399">
        <v>1063.02</v>
      </c>
    </row>
    <row r="25400" spans="1:16" x14ac:dyDescent="0.25">
      <c r="A25400" t="s">
        <v>3296</v>
      </c>
      <c r="B25400" t="s">
        <v>2931</v>
      </c>
      <c r="C25400">
        <v>2754</v>
      </c>
      <c r="D25400" t="str">
        <f>"36115       "</f>
        <v xml:space="preserve">36115       </v>
      </c>
      <c r="E25400" t="s">
        <v>514</v>
      </c>
      <c r="F25400" t="s">
        <v>515</v>
      </c>
      <c r="G25400">
        <v>359.18</v>
      </c>
      <c r="H25400">
        <v>250228</v>
      </c>
      <c r="I25400">
        <v>4367</v>
      </c>
      <c r="J25400" t="s">
        <v>159</v>
      </c>
      <c r="K25400">
        <v>359.18</v>
      </c>
      <c r="L25400">
        <v>72.98</v>
      </c>
      <c r="M25400">
        <v>11601</v>
      </c>
      <c r="N25400" t="s">
        <v>12</v>
      </c>
      <c r="O25400">
        <v>250311</v>
      </c>
      <c r="P25400">
        <v>286.2</v>
      </c>
    </row>
    <row r="25401" spans="1:16" x14ac:dyDescent="0.25">
      <c r="A25401" t="s">
        <v>3296</v>
      </c>
      <c r="B25401" t="s">
        <v>2931</v>
      </c>
      <c r="C25401">
        <v>2759</v>
      </c>
      <c r="D25401" t="str">
        <f>"35914       "</f>
        <v xml:space="preserve">35914       </v>
      </c>
      <c r="E25401" t="s">
        <v>514</v>
      </c>
      <c r="F25401" t="s">
        <v>515</v>
      </c>
      <c r="G25401">
        <v>246.11</v>
      </c>
      <c r="H25401">
        <v>250228</v>
      </c>
      <c r="I25401">
        <v>4367</v>
      </c>
      <c r="J25401" t="s">
        <v>159</v>
      </c>
      <c r="K25401">
        <v>246.11</v>
      </c>
      <c r="L25401">
        <v>50.01</v>
      </c>
      <c r="M25401">
        <v>11601</v>
      </c>
      <c r="N25401" t="s">
        <v>12</v>
      </c>
      <c r="O25401">
        <v>250311</v>
      </c>
      <c r="P25401">
        <v>196.1</v>
      </c>
    </row>
    <row r="25402" spans="1:16" x14ac:dyDescent="0.25">
      <c r="A25402" t="s">
        <v>3296</v>
      </c>
      <c r="B25402" t="s">
        <v>2931</v>
      </c>
      <c r="C25402">
        <v>2760</v>
      </c>
      <c r="D25402" t="str">
        <f>"35291       "</f>
        <v xml:space="preserve">35291       </v>
      </c>
      <c r="E25402" t="s">
        <v>514</v>
      </c>
      <c r="F25402" t="s">
        <v>515</v>
      </c>
      <c r="G25402">
        <v>38.83</v>
      </c>
      <c r="H25402">
        <v>250228</v>
      </c>
      <c r="I25402">
        <v>4367</v>
      </c>
      <c r="J25402" t="s">
        <v>159</v>
      </c>
      <c r="K25402">
        <v>38.83</v>
      </c>
      <c r="L25402">
        <v>7.89</v>
      </c>
      <c r="M25402">
        <v>11601</v>
      </c>
      <c r="N25402" t="s">
        <v>12</v>
      </c>
      <c r="O25402">
        <v>250311</v>
      </c>
      <c r="P25402">
        <v>30.94</v>
      </c>
    </row>
    <row r="25403" spans="1:16" x14ac:dyDescent="0.25">
      <c r="A25403" t="s">
        <v>3296</v>
      </c>
      <c r="B25403" t="s">
        <v>2931</v>
      </c>
      <c r="C25403">
        <v>2767</v>
      </c>
      <c r="D25403" t="str">
        <f>"35908       "</f>
        <v xml:space="preserve">35908       </v>
      </c>
      <c r="E25403" t="s">
        <v>514</v>
      </c>
      <c r="F25403" t="s">
        <v>515</v>
      </c>
      <c r="G25403">
        <v>345.13</v>
      </c>
      <c r="H25403">
        <v>250228</v>
      </c>
      <c r="I25403">
        <v>4367</v>
      </c>
      <c r="J25403" t="s">
        <v>159</v>
      </c>
      <c r="K25403">
        <v>345.13</v>
      </c>
      <c r="L25403">
        <v>70.13</v>
      </c>
      <c r="M25403">
        <v>11801</v>
      </c>
      <c r="N25403" t="s">
        <v>40</v>
      </c>
      <c r="O25403">
        <v>250311</v>
      </c>
      <c r="P25403">
        <v>275</v>
      </c>
    </row>
    <row r="25404" spans="1:16" x14ac:dyDescent="0.25">
      <c r="A25404" t="s">
        <v>3296</v>
      </c>
      <c r="B25404" t="s">
        <v>2931</v>
      </c>
      <c r="C25404">
        <v>2769</v>
      </c>
      <c r="D25404" t="str">
        <f>"35784       "</f>
        <v xml:space="preserve">35784       </v>
      </c>
      <c r="E25404" t="s">
        <v>514</v>
      </c>
      <c r="F25404" t="s">
        <v>515</v>
      </c>
      <c r="G25404">
        <v>112.81</v>
      </c>
      <c r="H25404">
        <v>250228</v>
      </c>
      <c r="I25404">
        <v>4367</v>
      </c>
      <c r="J25404" t="s">
        <v>159</v>
      </c>
      <c r="K25404">
        <v>112.81</v>
      </c>
      <c r="L25404">
        <v>22.92</v>
      </c>
      <c r="M25404">
        <v>11601</v>
      </c>
      <c r="N25404" t="s">
        <v>12</v>
      </c>
      <c r="O25404">
        <v>250311</v>
      </c>
      <c r="P25404">
        <v>89.89</v>
      </c>
    </row>
    <row r="25405" spans="1:16" x14ac:dyDescent="0.25">
      <c r="A25405" t="s">
        <v>3296</v>
      </c>
      <c r="B25405" t="s">
        <v>2931</v>
      </c>
      <c r="C25405">
        <v>2797</v>
      </c>
      <c r="D25405" t="str">
        <f>"35330       "</f>
        <v xml:space="preserve">35330       </v>
      </c>
      <c r="E25405" t="s">
        <v>514</v>
      </c>
      <c r="F25405" t="s">
        <v>515</v>
      </c>
      <c r="G25405">
        <v>5967.32</v>
      </c>
      <c r="H25405">
        <v>250228</v>
      </c>
      <c r="I25405">
        <v>4367</v>
      </c>
      <c r="J25405" t="s">
        <v>159</v>
      </c>
      <c r="K25405">
        <v>5967.32</v>
      </c>
      <c r="L25405">
        <v>1212.48</v>
      </c>
      <c r="M25405">
        <v>11801</v>
      </c>
      <c r="N25405" t="s">
        <v>40</v>
      </c>
      <c r="O25405">
        <v>250312</v>
      </c>
      <c r="P25405">
        <v>4754.84</v>
      </c>
    </row>
    <row r="25406" spans="1:16" x14ac:dyDescent="0.25">
      <c r="A25406" t="s">
        <v>3296</v>
      </c>
      <c r="B25406" t="s">
        <v>2931</v>
      </c>
      <c r="C25406">
        <v>2804</v>
      </c>
      <c r="D25406" t="str">
        <f>"35429       "</f>
        <v xml:space="preserve">35429       </v>
      </c>
      <c r="E25406" t="s">
        <v>514</v>
      </c>
      <c r="F25406" t="s">
        <v>515</v>
      </c>
      <c r="G25406">
        <v>239.07</v>
      </c>
      <c r="H25406">
        <v>250228</v>
      </c>
      <c r="I25406">
        <v>4367</v>
      </c>
      <c r="J25406" t="s">
        <v>159</v>
      </c>
      <c r="K25406">
        <v>239.07</v>
      </c>
      <c r="L25406">
        <v>48.58</v>
      </c>
      <c r="M25406">
        <v>11801</v>
      </c>
      <c r="N25406" t="s">
        <v>40</v>
      </c>
      <c r="O25406">
        <v>250312</v>
      </c>
      <c r="P25406">
        <v>190.49</v>
      </c>
    </row>
    <row r="25407" spans="1:16" x14ac:dyDescent="0.25">
      <c r="A25407" t="s">
        <v>3296</v>
      </c>
      <c r="B25407" t="s">
        <v>2931</v>
      </c>
      <c r="C25407">
        <v>2805</v>
      </c>
      <c r="D25407" t="str">
        <f>"35433       "</f>
        <v xml:space="preserve">35433       </v>
      </c>
      <c r="E25407" t="s">
        <v>514</v>
      </c>
      <c r="F25407" t="s">
        <v>515</v>
      </c>
      <c r="G25407">
        <v>805.18</v>
      </c>
      <c r="H25407">
        <v>250228</v>
      </c>
      <c r="I25407">
        <v>4367</v>
      </c>
      <c r="J25407" t="s">
        <v>159</v>
      </c>
      <c r="K25407">
        <v>805.18</v>
      </c>
      <c r="L25407">
        <v>163.6</v>
      </c>
      <c r="M25407">
        <v>11801</v>
      </c>
      <c r="N25407" t="s">
        <v>40</v>
      </c>
      <c r="O25407">
        <v>250312</v>
      </c>
      <c r="P25407">
        <v>641.58000000000004</v>
      </c>
    </row>
    <row r="25408" spans="1:16" x14ac:dyDescent="0.25">
      <c r="A25408" t="s">
        <v>3296</v>
      </c>
      <c r="B25408" t="s">
        <v>2931</v>
      </c>
      <c r="C25408">
        <v>2809</v>
      </c>
      <c r="D25408" t="str">
        <f>"35583       "</f>
        <v xml:space="preserve">35583       </v>
      </c>
      <c r="E25408" t="s">
        <v>514</v>
      </c>
      <c r="F25408" t="s">
        <v>515</v>
      </c>
      <c r="G25408">
        <v>205.75</v>
      </c>
      <c r="H25408">
        <v>250228</v>
      </c>
      <c r="I25408">
        <v>4367</v>
      </c>
      <c r="J25408" t="s">
        <v>159</v>
      </c>
      <c r="K25408">
        <v>205.75</v>
      </c>
      <c r="L25408">
        <v>41.81</v>
      </c>
      <c r="M25408">
        <v>11801</v>
      </c>
      <c r="N25408" t="s">
        <v>40</v>
      </c>
      <c r="O25408">
        <v>250312</v>
      </c>
      <c r="P25408">
        <v>163.94</v>
      </c>
    </row>
    <row r="25409" spans="1:16" x14ac:dyDescent="0.25">
      <c r="A25409" t="s">
        <v>3296</v>
      </c>
      <c r="B25409" t="s">
        <v>2931</v>
      </c>
      <c r="C25409">
        <v>3302</v>
      </c>
      <c r="D25409" t="str">
        <f>"34850       "</f>
        <v xml:space="preserve">34850       </v>
      </c>
      <c r="E25409" t="s">
        <v>514</v>
      </c>
      <c r="F25409" t="s">
        <v>515</v>
      </c>
      <c r="G25409">
        <v>363.95</v>
      </c>
      <c r="H25409">
        <v>250221</v>
      </c>
      <c r="I25409">
        <v>4367</v>
      </c>
      <c r="J25409" t="s">
        <v>159</v>
      </c>
      <c r="K25409">
        <v>1054.2</v>
      </c>
      <c r="L25409">
        <v>73.95</v>
      </c>
      <c r="M25409">
        <v>11601</v>
      </c>
      <c r="N25409" t="s">
        <v>12</v>
      </c>
      <c r="O25409">
        <v>250318</v>
      </c>
      <c r="P25409">
        <v>290</v>
      </c>
    </row>
    <row r="25410" spans="1:16" x14ac:dyDescent="0.25">
      <c r="A25410" t="s">
        <v>3296</v>
      </c>
      <c r="B25410" t="s">
        <v>2931</v>
      </c>
      <c r="C25410">
        <v>3302</v>
      </c>
      <c r="D25410" t="str">
        <f>"34850       "</f>
        <v xml:space="preserve">34850       </v>
      </c>
      <c r="E25410" t="s">
        <v>514</v>
      </c>
      <c r="F25410" t="s">
        <v>515</v>
      </c>
      <c r="G25410">
        <v>690.25</v>
      </c>
      <c r="H25410">
        <v>250221</v>
      </c>
      <c r="I25410">
        <v>4367</v>
      </c>
      <c r="J25410" t="s">
        <v>159</v>
      </c>
      <c r="K25410">
        <v>1054.2</v>
      </c>
      <c r="L25410">
        <v>140.25</v>
      </c>
      <c r="M25410">
        <v>11801</v>
      </c>
      <c r="N25410" t="s">
        <v>40</v>
      </c>
      <c r="O25410">
        <v>250318</v>
      </c>
      <c r="P25410">
        <v>550</v>
      </c>
    </row>
    <row r="25411" spans="1:16" x14ac:dyDescent="0.25">
      <c r="A25411" t="s">
        <v>3296</v>
      </c>
      <c r="B25411" t="s">
        <v>2931</v>
      </c>
      <c r="C25411">
        <v>4509</v>
      </c>
      <c r="D25411" t="str">
        <f>"38030       "</f>
        <v xml:space="preserve">38030       </v>
      </c>
      <c r="E25411" t="s">
        <v>514</v>
      </c>
      <c r="F25411" t="s">
        <v>515</v>
      </c>
      <c r="G25411">
        <v>345.13</v>
      </c>
      <c r="H25411">
        <v>250331</v>
      </c>
      <c r="I25411">
        <v>4367</v>
      </c>
      <c r="J25411" t="s">
        <v>159</v>
      </c>
      <c r="K25411">
        <v>345.13</v>
      </c>
      <c r="L25411">
        <v>70.13</v>
      </c>
      <c r="M25411">
        <v>11801</v>
      </c>
      <c r="N25411" t="s">
        <v>40</v>
      </c>
      <c r="O25411">
        <v>250414</v>
      </c>
      <c r="P25411">
        <v>275</v>
      </c>
    </row>
    <row r="25412" spans="1:16" x14ac:dyDescent="0.25">
      <c r="A25412" t="s">
        <v>3296</v>
      </c>
      <c r="B25412" t="s">
        <v>2931</v>
      </c>
      <c r="C25412">
        <v>4521</v>
      </c>
      <c r="D25412" t="str">
        <f>"38235       "</f>
        <v xml:space="preserve">38235       </v>
      </c>
      <c r="E25412" t="s">
        <v>514</v>
      </c>
      <c r="F25412" t="s">
        <v>515</v>
      </c>
      <c r="G25412">
        <v>359.18</v>
      </c>
      <c r="H25412">
        <v>250331</v>
      </c>
      <c r="I25412">
        <v>4367</v>
      </c>
      <c r="J25412" t="s">
        <v>159</v>
      </c>
      <c r="K25412">
        <v>359.18</v>
      </c>
      <c r="L25412">
        <v>72.98</v>
      </c>
      <c r="M25412">
        <v>11601</v>
      </c>
      <c r="N25412" t="s">
        <v>12</v>
      </c>
      <c r="O25412">
        <v>250414</v>
      </c>
      <c r="P25412">
        <v>286.2</v>
      </c>
    </row>
    <row r="25413" spans="1:16" x14ac:dyDescent="0.25">
      <c r="A25413" t="s">
        <v>3296</v>
      </c>
      <c r="B25413" t="s">
        <v>2931</v>
      </c>
      <c r="C25413">
        <v>4530</v>
      </c>
      <c r="D25413" t="str">
        <f>"37558       "</f>
        <v xml:space="preserve">37558       </v>
      </c>
      <c r="E25413" t="s">
        <v>514</v>
      </c>
      <c r="F25413" t="s">
        <v>515</v>
      </c>
      <c r="G25413">
        <v>805.18</v>
      </c>
      <c r="H25413">
        <v>250331</v>
      </c>
      <c r="I25413">
        <v>4367</v>
      </c>
      <c r="J25413" t="s">
        <v>159</v>
      </c>
      <c r="K25413">
        <v>805.18</v>
      </c>
      <c r="L25413">
        <v>163.6</v>
      </c>
      <c r="M25413">
        <v>11801</v>
      </c>
      <c r="N25413" t="s">
        <v>40</v>
      </c>
      <c r="O25413">
        <v>250414</v>
      </c>
      <c r="P25413">
        <v>641.58000000000004</v>
      </c>
    </row>
    <row r="25414" spans="1:16" x14ac:dyDescent="0.25">
      <c r="A25414" t="s">
        <v>3296</v>
      </c>
      <c r="B25414" t="s">
        <v>2931</v>
      </c>
      <c r="C25414">
        <v>4538</v>
      </c>
      <c r="D25414" t="str">
        <f>"37416       "</f>
        <v xml:space="preserve">37416       </v>
      </c>
      <c r="E25414" t="s">
        <v>514</v>
      </c>
      <c r="F25414" t="s">
        <v>515</v>
      </c>
      <c r="G25414">
        <v>38.83</v>
      </c>
      <c r="H25414">
        <v>250331</v>
      </c>
      <c r="I25414">
        <v>4367</v>
      </c>
      <c r="J25414" t="s">
        <v>159</v>
      </c>
      <c r="K25414">
        <v>38.83</v>
      </c>
      <c r="L25414">
        <v>7.89</v>
      </c>
      <c r="M25414">
        <v>11601</v>
      </c>
      <c r="N25414" t="s">
        <v>12</v>
      </c>
      <c r="O25414">
        <v>250414</v>
      </c>
      <c r="P25414">
        <v>30.94</v>
      </c>
    </row>
    <row r="25415" spans="1:16" x14ac:dyDescent="0.25">
      <c r="A25415" t="s">
        <v>3296</v>
      </c>
      <c r="B25415" t="s">
        <v>2931</v>
      </c>
      <c r="C25415">
        <v>4542</v>
      </c>
      <c r="D25415" t="str">
        <f>"37704       "</f>
        <v xml:space="preserve">37704       </v>
      </c>
      <c r="E25415" t="s">
        <v>514</v>
      </c>
      <c r="F25415" t="s">
        <v>515</v>
      </c>
      <c r="G25415">
        <v>205.75</v>
      </c>
      <c r="H25415">
        <v>250331</v>
      </c>
      <c r="I25415">
        <v>4367</v>
      </c>
      <c r="J25415" t="s">
        <v>159</v>
      </c>
      <c r="K25415">
        <v>205.75</v>
      </c>
      <c r="L25415">
        <v>41.81</v>
      </c>
      <c r="M25415">
        <v>11801</v>
      </c>
      <c r="N25415" t="s">
        <v>40</v>
      </c>
      <c r="O25415">
        <v>250414</v>
      </c>
      <c r="P25415">
        <v>163.94</v>
      </c>
    </row>
    <row r="25416" spans="1:16" x14ac:dyDescent="0.25">
      <c r="A25416" t="s">
        <v>3296</v>
      </c>
      <c r="B25416" t="s">
        <v>2931</v>
      </c>
      <c r="C25416">
        <v>4551</v>
      </c>
      <c r="D25416" t="str">
        <f>"37455       "</f>
        <v xml:space="preserve">37455       </v>
      </c>
      <c r="E25416" t="s">
        <v>514</v>
      </c>
      <c r="F25416" t="s">
        <v>515</v>
      </c>
      <c r="G25416">
        <v>5967.32</v>
      </c>
      <c r="H25416">
        <v>250331</v>
      </c>
      <c r="I25416">
        <v>4367</v>
      </c>
      <c r="J25416" t="s">
        <v>159</v>
      </c>
      <c r="K25416">
        <v>5967.32</v>
      </c>
      <c r="L25416">
        <v>1212.48</v>
      </c>
      <c r="M25416">
        <v>11801</v>
      </c>
      <c r="N25416" t="s">
        <v>40</v>
      </c>
      <c r="O25416">
        <v>250414</v>
      </c>
      <c r="P25416">
        <v>4754.84</v>
      </c>
    </row>
    <row r="25417" spans="1:16" x14ac:dyDescent="0.25">
      <c r="A25417" t="s">
        <v>3296</v>
      </c>
      <c r="B25417" t="s">
        <v>2931</v>
      </c>
      <c r="C25417">
        <v>4601</v>
      </c>
      <c r="D25417" t="str">
        <f>"37762       "</f>
        <v xml:space="preserve">37762       </v>
      </c>
      <c r="E25417" t="s">
        <v>514</v>
      </c>
      <c r="F25417" t="s">
        <v>515</v>
      </c>
      <c r="G25417">
        <v>1334.09</v>
      </c>
      <c r="H25417">
        <v>250331</v>
      </c>
      <c r="I25417">
        <v>4367</v>
      </c>
      <c r="J25417" t="s">
        <v>159</v>
      </c>
      <c r="K25417">
        <v>1334.09</v>
      </c>
      <c r="L25417">
        <v>271.07</v>
      </c>
      <c r="M25417">
        <v>11801</v>
      </c>
      <c r="N25417" t="s">
        <v>40</v>
      </c>
      <c r="O25417">
        <v>250414</v>
      </c>
      <c r="P25417">
        <v>1063.02</v>
      </c>
    </row>
    <row r="25418" spans="1:16" x14ac:dyDescent="0.25">
      <c r="A25418" t="s">
        <v>3296</v>
      </c>
      <c r="B25418" t="s">
        <v>2931</v>
      </c>
      <c r="C25418">
        <v>5164</v>
      </c>
      <c r="D25418" t="str">
        <f>"36438       "</f>
        <v xml:space="preserve">36438       </v>
      </c>
      <c r="E25418" t="s">
        <v>514</v>
      </c>
      <c r="F25418" t="s">
        <v>515</v>
      </c>
      <c r="G25418">
        <v>363.95</v>
      </c>
      <c r="H25418">
        <v>250318</v>
      </c>
      <c r="I25418">
        <v>4367</v>
      </c>
      <c r="J25418" t="s">
        <v>159</v>
      </c>
      <c r="K25418">
        <v>1054.2</v>
      </c>
      <c r="L25418">
        <v>73.95</v>
      </c>
      <c r="M25418">
        <v>11601</v>
      </c>
      <c r="N25418" t="s">
        <v>12</v>
      </c>
      <c r="O25418">
        <v>250417</v>
      </c>
      <c r="P25418">
        <v>290</v>
      </c>
    </row>
    <row r="25419" spans="1:16" x14ac:dyDescent="0.25">
      <c r="A25419" t="s">
        <v>3296</v>
      </c>
      <c r="B25419" t="s">
        <v>2931</v>
      </c>
      <c r="C25419">
        <v>5164</v>
      </c>
      <c r="D25419" t="str">
        <f>"36438       "</f>
        <v xml:space="preserve">36438       </v>
      </c>
      <c r="E25419" t="s">
        <v>514</v>
      </c>
      <c r="F25419" t="s">
        <v>515</v>
      </c>
      <c r="G25419">
        <v>690.25</v>
      </c>
      <c r="H25419">
        <v>250318</v>
      </c>
      <c r="I25419">
        <v>4367</v>
      </c>
      <c r="J25419" t="s">
        <v>159</v>
      </c>
      <c r="K25419">
        <v>1054.2</v>
      </c>
      <c r="L25419">
        <v>140.25</v>
      </c>
      <c r="M25419">
        <v>11801</v>
      </c>
      <c r="N25419" t="s">
        <v>40</v>
      </c>
      <c r="O25419">
        <v>250417</v>
      </c>
      <c r="P25419">
        <v>550</v>
      </c>
    </row>
    <row r="25420" spans="1:16" x14ac:dyDescent="0.25">
      <c r="A25420" t="s">
        <v>3296</v>
      </c>
      <c r="B25420" t="s">
        <v>2931</v>
      </c>
      <c r="C25420">
        <v>5172</v>
      </c>
      <c r="D25420" t="str">
        <f>"38036       "</f>
        <v xml:space="preserve">38036       </v>
      </c>
      <c r="E25420" t="s">
        <v>514</v>
      </c>
      <c r="F25420" t="s">
        <v>515</v>
      </c>
      <c r="G25420">
        <v>246.11</v>
      </c>
      <c r="H25420">
        <v>250331</v>
      </c>
      <c r="I25420">
        <v>4367</v>
      </c>
      <c r="J25420" t="s">
        <v>159</v>
      </c>
      <c r="K25420">
        <v>246.11</v>
      </c>
      <c r="L25420">
        <v>50.01</v>
      </c>
      <c r="M25420">
        <v>11601</v>
      </c>
      <c r="N25420" t="s">
        <v>12</v>
      </c>
      <c r="O25420">
        <v>250417</v>
      </c>
      <c r="P25420">
        <v>196.1</v>
      </c>
    </row>
    <row r="25421" spans="1:16" x14ac:dyDescent="0.25">
      <c r="A25421" t="s">
        <v>3296</v>
      </c>
      <c r="B25421" t="s">
        <v>2931</v>
      </c>
      <c r="C25421">
        <v>5174</v>
      </c>
      <c r="D25421" t="str">
        <f>"37554       "</f>
        <v xml:space="preserve">37554       </v>
      </c>
      <c r="E25421" t="s">
        <v>514</v>
      </c>
      <c r="F25421" t="s">
        <v>515</v>
      </c>
      <c r="G25421">
        <v>239.07</v>
      </c>
      <c r="H25421">
        <v>250331</v>
      </c>
      <c r="I25421">
        <v>4367</v>
      </c>
      <c r="J25421" t="s">
        <v>159</v>
      </c>
      <c r="K25421">
        <v>239.07</v>
      </c>
      <c r="L25421">
        <v>48.58</v>
      </c>
      <c r="M25421">
        <v>11601</v>
      </c>
      <c r="N25421" t="s">
        <v>12</v>
      </c>
      <c r="O25421">
        <v>250417</v>
      </c>
      <c r="P25421">
        <v>190.49</v>
      </c>
    </row>
    <row r="25422" spans="1:16" x14ac:dyDescent="0.25">
      <c r="A25422" t="s">
        <v>3296</v>
      </c>
      <c r="B25422" t="s">
        <v>2931</v>
      </c>
      <c r="C25422">
        <v>5176</v>
      </c>
      <c r="D25422" t="str">
        <f>"37906       "</f>
        <v xml:space="preserve">37906       </v>
      </c>
      <c r="E25422" t="s">
        <v>514</v>
      </c>
      <c r="F25422" t="s">
        <v>515</v>
      </c>
      <c r="G25422">
        <v>112.81</v>
      </c>
      <c r="H25422">
        <v>250331</v>
      </c>
      <c r="I25422">
        <v>4367</v>
      </c>
      <c r="J25422" t="s">
        <v>159</v>
      </c>
      <c r="K25422">
        <v>112.81</v>
      </c>
      <c r="L25422">
        <v>22.92</v>
      </c>
      <c r="M25422">
        <v>11601</v>
      </c>
      <c r="N25422" t="s">
        <v>12</v>
      </c>
      <c r="O25422">
        <v>250417</v>
      </c>
      <c r="P25422">
        <v>89.89</v>
      </c>
    </row>
    <row r="25423" spans="1:16" x14ac:dyDescent="0.25">
      <c r="A25423" t="s">
        <v>3296</v>
      </c>
      <c r="B25423" t="s">
        <v>2931</v>
      </c>
      <c r="C25423">
        <v>6165</v>
      </c>
      <c r="D25423" t="str">
        <f>"40354       "</f>
        <v xml:space="preserve">40354       </v>
      </c>
      <c r="E25423" t="s">
        <v>514</v>
      </c>
      <c r="F25423" t="s">
        <v>515</v>
      </c>
      <c r="G25423">
        <v>246.11</v>
      </c>
      <c r="H25423">
        <v>250430</v>
      </c>
      <c r="I25423">
        <v>4367</v>
      </c>
      <c r="J25423" t="s">
        <v>159</v>
      </c>
      <c r="K25423">
        <v>246.11</v>
      </c>
      <c r="L25423">
        <v>50.01</v>
      </c>
      <c r="M25423">
        <v>11601</v>
      </c>
      <c r="N25423" t="s">
        <v>12</v>
      </c>
      <c r="O25423">
        <v>250509</v>
      </c>
      <c r="P25423">
        <v>196.1</v>
      </c>
    </row>
    <row r="25424" spans="1:16" x14ac:dyDescent="0.25">
      <c r="A25424" t="s">
        <v>3296</v>
      </c>
      <c r="B25424" t="s">
        <v>2931</v>
      </c>
      <c r="C25424">
        <v>6166</v>
      </c>
      <c r="D25424" t="str">
        <f>"40042       "</f>
        <v xml:space="preserve">40042       </v>
      </c>
      <c r="E25424" t="s">
        <v>514</v>
      </c>
      <c r="F25424" t="s">
        <v>515</v>
      </c>
      <c r="G25424">
        <v>205.75</v>
      </c>
      <c r="H25424">
        <v>250430</v>
      </c>
      <c r="I25424">
        <v>4367</v>
      </c>
      <c r="J25424" t="s">
        <v>159</v>
      </c>
      <c r="K25424">
        <v>205.75</v>
      </c>
      <c r="L25424">
        <v>41.81</v>
      </c>
      <c r="M25424">
        <v>11801</v>
      </c>
      <c r="N25424" t="s">
        <v>40</v>
      </c>
      <c r="O25424">
        <v>250509</v>
      </c>
      <c r="P25424">
        <v>163.94</v>
      </c>
    </row>
    <row r="25425" spans="1:16" x14ac:dyDescent="0.25">
      <c r="A25425" t="s">
        <v>3296</v>
      </c>
      <c r="B25425" t="s">
        <v>2931</v>
      </c>
      <c r="C25425">
        <v>6168</v>
      </c>
      <c r="D25425" t="str">
        <f>"39898       "</f>
        <v xml:space="preserve">39898       </v>
      </c>
      <c r="E25425" t="s">
        <v>514</v>
      </c>
      <c r="F25425" t="s">
        <v>515</v>
      </c>
      <c r="G25425">
        <v>805.18</v>
      </c>
      <c r="H25425">
        <v>250430</v>
      </c>
      <c r="I25425">
        <v>4367</v>
      </c>
      <c r="J25425" t="s">
        <v>159</v>
      </c>
      <c r="K25425">
        <v>805.18</v>
      </c>
      <c r="L25425">
        <v>163.6</v>
      </c>
      <c r="M25425">
        <v>11801</v>
      </c>
      <c r="N25425" t="s">
        <v>40</v>
      </c>
      <c r="O25425">
        <v>250509</v>
      </c>
      <c r="P25425">
        <v>641.58000000000004</v>
      </c>
    </row>
    <row r="25426" spans="1:16" x14ac:dyDescent="0.25">
      <c r="A25426" t="s">
        <v>3296</v>
      </c>
      <c r="B25426" t="s">
        <v>2931</v>
      </c>
      <c r="C25426">
        <v>6198</v>
      </c>
      <c r="D25426" t="str">
        <f>"40535       "</f>
        <v xml:space="preserve">40535       </v>
      </c>
      <c r="E25426" t="s">
        <v>514</v>
      </c>
      <c r="F25426" t="s">
        <v>515</v>
      </c>
      <c r="G25426">
        <v>359.18</v>
      </c>
      <c r="H25426">
        <v>250430</v>
      </c>
      <c r="I25426">
        <v>4367</v>
      </c>
      <c r="J25426" t="s">
        <v>159</v>
      </c>
      <c r="K25426">
        <v>359.18</v>
      </c>
      <c r="L25426">
        <v>72.98</v>
      </c>
      <c r="M25426">
        <v>11601</v>
      </c>
      <c r="N25426" t="s">
        <v>12</v>
      </c>
      <c r="O25426">
        <v>250509</v>
      </c>
      <c r="P25426">
        <v>286.2</v>
      </c>
    </row>
    <row r="25427" spans="1:16" x14ac:dyDescent="0.25">
      <c r="A25427" t="s">
        <v>3296</v>
      </c>
      <c r="B25427" t="s">
        <v>2931</v>
      </c>
      <c r="C25427">
        <v>6206</v>
      </c>
      <c r="D25427" t="str">
        <f>"40237       "</f>
        <v xml:space="preserve">40237       </v>
      </c>
      <c r="E25427" t="s">
        <v>514</v>
      </c>
      <c r="F25427" t="s">
        <v>515</v>
      </c>
      <c r="G25427">
        <v>112.81</v>
      </c>
      <c r="H25427">
        <v>250430</v>
      </c>
      <c r="I25427">
        <v>4367</v>
      </c>
      <c r="J25427" t="s">
        <v>159</v>
      </c>
      <c r="K25427">
        <v>112.81</v>
      </c>
      <c r="L25427">
        <v>22.92</v>
      </c>
      <c r="M25427">
        <v>11601</v>
      </c>
      <c r="N25427" t="s">
        <v>12</v>
      </c>
      <c r="O25427">
        <v>250509</v>
      </c>
      <c r="P25427">
        <v>89.89</v>
      </c>
    </row>
    <row r="25428" spans="1:16" x14ac:dyDescent="0.25">
      <c r="A25428" t="s">
        <v>3296</v>
      </c>
      <c r="B25428" t="s">
        <v>2931</v>
      </c>
      <c r="C25428">
        <v>6208</v>
      </c>
      <c r="D25428" t="str">
        <f>"40099       "</f>
        <v xml:space="preserve">40099       </v>
      </c>
      <c r="E25428" t="s">
        <v>514</v>
      </c>
      <c r="F25428" t="s">
        <v>515</v>
      </c>
      <c r="G25428">
        <v>1334.09</v>
      </c>
      <c r="H25428">
        <v>250430</v>
      </c>
      <c r="I25428">
        <v>4367</v>
      </c>
      <c r="J25428" t="s">
        <v>159</v>
      </c>
      <c r="K25428">
        <v>1334.09</v>
      </c>
      <c r="L25428">
        <v>271.07</v>
      </c>
      <c r="M25428">
        <v>11801</v>
      </c>
      <c r="N25428" t="s">
        <v>40</v>
      </c>
      <c r="O25428">
        <v>250509</v>
      </c>
      <c r="P25428">
        <v>1063.02</v>
      </c>
    </row>
    <row r="25429" spans="1:16" x14ac:dyDescent="0.25">
      <c r="A25429" t="s">
        <v>3296</v>
      </c>
      <c r="B25429" t="s">
        <v>2931</v>
      </c>
      <c r="C25429">
        <v>6214</v>
      </c>
      <c r="D25429" t="str">
        <f>"39894       "</f>
        <v xml:space="preserve">39894       </v>
      </c>
      <c r="E25429" t="s">
        <v>514</v>
      </c>
      <c r="F25429" t="s">
        <v>515</v>
      </c>
      <c r="G25429">
        <v>239.07</v>
      </c>
      <c r="H25429">
        <v>250430</v>
      </c>
      <c r="I25429">
        <v>4367</v>
      </c>
      <c r="J25429" t="s">
        <v>159</v>
      </c>
      <c r="K25429">
        <v>239.07</v>
      </c>
      <c r="L25429">
        <v>48.58</v>
      </c>
      <c r="M25429">
        <v>11601</v>
      </c>
      <c r="N25429" t="s">
        <v>12</v>
      </c>
      <c r="O25429">
        <v>250509</v>
      </c>
      <c r="P25429">
        <v>190.49</v>
      </c>
    </row>
    <row r="25430" spans="1:16" x14ac:dyDescent="0.25">
      <c r="A25430" t="s">
        <v>3296</v>
      </c>
      <c r="B25430" t="s">
        <v>2931</v>
      </c>
      <c r="C25430">
        <v>6255</v>
      </c>
      <c r="D25430" t="str">
        <f>"39796       "</f>
        <v xml:space="preserve">39796       </v>
      </c>
      <c r="E25430" t="s">
        <v>514</v>
      </c>
      <c r="F25430" t="s">
        <v>515</v>
      </c>
      <c r="G25430">
        <v>5967.32</v>
      </c>
      <c r="H25430">
        <v>250430</v>
      </c>
      <c r="I25430">
        <v>4367</v>
      </c>
      <c r="J25430" t="s">
        <v>159</v>
      </c>
      <c r="K25430">
        <v>5967.32</v>
      </c>
      <c r="L25430">
        <v>1212.48</v>
      </c>
      <c r="M25430">
        <v>11801</v>
      </c>
      <c r="N25430" t="s">
        <v>40</v>
      </c>
      <c r="O25430">
        <v>250512</v>
      </c>
      <c r="P25430">
        <v>4754.84</v>
      </c>
    </row>
    <row r="25431" spans="1:16" x14ac:dyDescent="0.25">
      <c r="A25431" t="s">
        <v>3296</v>
      </c>
      <c r="B25431" t="s">
        <v>2931</v>
      </c>
      <c r="C25431">
        <v>6261</v>
      </c>
      <c r="D25431" t="str">
        <f>"39757       "</f>
        <v xml:space="preserve">39757       </v>
      </c>
      <c r="E25431" t="s">
        <v>514</v>
      </c>
      <c r="F25431" t="s">
        <v>515</v>
      </c>
      <c r="G25431">
        <v>38.83</v>
      </c>
      <c r="H25431">
        <v>250430</v>
      </c>
      <c r="I25431">
        <v>4367</v>
      </c>
      <c r="J25431" t="s">
        <v>159</v>
      </c>
      <c r="K25431">
        <v>38.83</v>
      </c>
      <c r="L25431">
        <v>7.89</v>
      </c>
      <c r="M25431">
        <v>11601</v>
      </c>
      <c r="N25431" t="s">
        <v>12</v>
      </c>
      <c r="O25431">
        <v>250512</v>
      </c>
      <c r="P25431">
        <v>30.94</v>
      </c>
    </row>
    <row r="25432" spans="1:16" x14ac:dyDescent="0.25">
      <c r="A25432" t="s">
        <v>3296</v>
      </c>
      <c r="B25432" t="s">
        <v>2931</v>
      </c>
      <c r="C25432">
        <v>6657</v>
      </c>
      <c r="D25432" t="str">
        <f>"40348       "</f>
        <v xml:space="preserve">40348       </v>
      </c>
      <c r="E25432" t="s">
        <v>514</v>
      </c>
      <c r="F25432" t="s">
        <v>515</v>
      </c>
      <c r="G25432">
        <v>345.13</v>
      </c>
      <c r="H25432">
        <v>250430</v>
      </c>
      <c r="I25432">
        <v>4367</v>
      </c>
      <c r="J25432" t="s">
        <v>159</v>
      </c>
      <c r="K25432">
        <v>345.13</v>
      </c>
      <c r="L25432">
        <v>70.13</v>
      </c>
      <c r="M25432">
        <v>11801</v>
      </c>
      <c r="N25432" t="s">
        <v>40</v>
      </c>
      <c r="O25432">
        <v>250515</v>
      </c>
      <c r="P25432">
        <v>275</v>
      </c>
    </row>
    <row r="25433" spans="1:16" x14ac:dyDescent="0.25">
      <c r="A25433" t="s">
        <v>3296</v>
      </c>
      <c r="B25433" t="s">
        <v>2931</v>
      </c>
      <c r="C25433">
        <v>6727</v>
      </c>
      <c r="D25433" t="str">
        <f>"39324       "</f>
        <v xml:space="preserve">39324       </v>
      </c>
      <c r="E25433" t="s">
        <v>514</v>
      </c>
      <c r="F25433" t="s">
        <v>515</v>
      </c>
      <c r="G25433">
        <v>690.25</v>
      </c>
      <c r="H25433">
        <v>250428</v>
      </c>
      <c r="I25433">
        <v>4367</v>
      </c>
      <c r="J25433" t="s">
        <v>159</v>
      </c>
      <c r="K25433">
        <v>1054.2</v>
      </c>
      <c r="L25433">
        <v>140.25</v>
      </c>
      <c r="M25433">
        <v>11801</v>
      </c>
      <c r="N25433" t="s">
        <v>40</v>
      </c>
      <c r="O25433">
        <v>250516</v>
      </c>
      <c r="P25433">
        <v>550</v>
      </c>
    </row>
    <row r="25434" spans="1:16" x14ac:dyDescent="0.25">
      <c r="A25434" t="s">
        <v>3296</v>
      </c>
      <c r="B25434" t="s">
        <v>2931</v>
      </c>
      <c r="C25434">
        <v>7817</v>
      </c>
      <c r="D25434" t="str">
        <f>"41223       "</f>
        <v xml:space="preserve">41223       </v>
      </c>
      <c r="E25434" t="s">
        <v>514</v>
      </c>
      <c r="F25434" t="s">
        <v>515</v>
      </c>
      <c r="G25434">
        <v>690.25</v>
      </c>
      <c r="H25434">
        <v>250513</v>
      </c>
      <c r="I25434">
        <v>4367</v>
      </c>
      <c r="J25434" t="s">
        <v>159</v>
      </c>
      <c r="K25434">
        <v>1054.2</v>
      </c>
      <c r="L25434">
        <v>140.25</v>
      </c>
      <c r="M25434">
        <v>11801</v>
      </c>
      <c r="N25434" t="s">
        <v>40</v>
      </c>
      <c r="O25434">
        <v>250609</v>
      </c>
      <c r="P25434">
        <v>550</v>
      </c>
    </row>
    <row r="25435" spans="1:16" x14ac:dyDescent="0.25">
      <c r="A25435" t="s">
        <v>3296</v>
      </c>
      <c r="B25435" t="s">
        <v>2931</v>
      </c>
      <c r="C25435">
        <v>8200</v>
      </c>
      <c r="D25435" t="str">
        <f>"42749       "</f>
        <v xml:space="preserve">42749       </v>
      </c>
      <c r="E25435" t="s">
        <v>514</v>
      </c>
      <c r="F25435" t="s">
        <v>515</v>
      </c>
      <c r="G25435">
        <v>205.75</v>
      </c>
      <c r="H25435">
        <v>250531</v>
      </c>
      <c r="I25435">
        <v>4367</v>
      </c>
      <c r="J25435" t="s">
        <v>159</v>
      </c>
      <c r="K25435">
        <v>205.75</v>
      </c>
      <c r="L25435">
        <v>41.81</v>
      </c>
      <c r="M25435">
        <v>11801</v>
      </c>
      <c r="N25435" t="s">
        <v>40</v>
      </c>
      <c r="O25435">
        <v>250612</v>
      </c>
      <c r="P25435">
        <v>163.94</v>
      </c>
    </row>
    <row r="25436" spans="1:16" x14ac:dyDescent="0.25">
      <c r="A25436" t="s">
        <v>3296</v>
      </c>
      <c r="B25436" t="s">
        <v>2931</v>
      </c>
      <c r="C25436">
        <v>8251</v>
      </c>
      <c r="D25436" t="str">
        <f>"43254       "</f>
        <v xml:space="preserve">43254       </v>
      </c>
      <c r="E25436" t="s">
        <v>514</v>
      </c>
      <c r="F25436" t="s">
        <v>515</v>
      </c>
      <c r="G25436">
        <v>359.18</v>
      </c>
      <c r="H25436">
        <v>250531</v>
      </c>
      <c r="I25436">
        <v>4367</v>
      </c>
      <c r="J25436" t="s">
        <v>159</v>
      </c>
      <c r="K25436">
        <v>359.18</v>
      </c>
      <c r="L25436">
        <v>72.98</v>
      </c>
      <c r="M25436">
        <v>11601</v>
      </c>
      <c r="N25436" t="s">
        <v>12</v>
      </c>
      <c r="O25436">
        <v>250612</v>
      </c>
      <c r="P25436">
        <v>286.2</v>
      </c>
    </row>
    <row r="25437" spans="1:16" x14ac:dyDescent="0.25">
      <c r="A25437" t="s">
        <v>3296</v>
      </c>
      <c r="B25437" t="s">
        <v>2931</v>
      </c>
      <c r="C25437">
        <v>8268</v>
      </c>
      <c r="D25437" t="str">
        <f>"42946       "</f>
        <v xml:space="preserve">42946       </v>
      </c>
      <c r="E25437" t="s">
        <v>514</v>
      </c>
      <c r="F25437" t="s">
        <v>515</v>
      </c>
      <c r="G25437">
        <v>112.81</v>
      </c>
      <c r="H25437">
        <v>250531</v>
      </c>
      <c r="I25437">
        <v>4367</v>
      </c>
      <c r="J25437" t="s">
        <v>159</v>
      </c>
      <c r="K25437">
        <v>112.81</v>
      </c>
      <c r="L25437">
        <v>22.92</v>
      </c>
      <c r="M25437">
        <v>11601</v>
      </c>
      <c r="N25437" t="s">
        <v>12</v>
      </c>
      <c r="O25437">
        <v>250612</v>
      </c>
      <c r="P25437">
        <v>89.89</v>
      </c>
    </row>
    <row r="25438" spans="1:16" x14ac:dyDescent="0.25">
      <c r="A25438" t="s">
        <v>3296</v>
      </c>
      <c r="B25438" t="s">
        <v>2931</v>
      </c>
      <c r="C25438">
        <v>8270</v>
      </c>
      <c r="D25438" t="str">
        <f>"42507       "</f>
        <v xml:space="preserve">42507       </v>
      </c>
      <c r="E25438" t="s">
        <v>514</v>
      </c>
      <c r="F25438" t="s">
        <v>515</v>
      </c>
      <c r="G25438">
        <v>5967.32</v>
      </c>
      <c r="H25438">
        <v>250531</v>
      </c>
      <c r="I25438">
        <v>4367</v>
      </c>
      <c r="J25438" t="s">
        <v>159</v>
      </c>
      <c r="K25438">
        <v>5967.32</v>
      </c>
      <c r="L25438">
        <v>1212.48</v>
      </c>
      <c r="M25438">
        <v>11801</v>
      </c>
      <c r="N25438" t="s">
        <v>40</v>
      </c>
      <c r="O25438">
        <v>250612</v>
      </c>
      <c r="P25438">
        <v>4754.84</v>
      </c>
    </row>
    <row r="25439" spans="1:16" x14ac:dyDescent="0.25">
      <c r="A25439" t="s">
        <v>3296</v>
      </c>
      <c r="B25439" t="s">
        <v>2931</v>
      </c>
      <c r="C25439">
        <v>8272</v>
      </c>
      <c r="D25439" t="str">
        <f>"42809       "</f>
        <v xml:space="preserve">42809       </v>
      </c>
      <c r="E25439" t="s">
        <v>514</v>
      </c>
      <c r="F25439" t="s">
        <v>515</v>
      </c>
      <c r="G25439">
        <v>1334.09</v>
      </c>
      <c r="H25439">
        <v>250531</v>
      </c>
      <c r="I25439">
        <v>4367</v>
      </c>
      <c r="J25439" t="s">
        <v>159</v>
      </c>
      <c r="K25439">
        <v>1334.09</v>
      </c>
      <c r="L25439">
        <v>271.07</v>
      </c>
      <c r="M25439">
        <v>11801</v>
      </c>
      <c r="N25439" t="s">
        <v>40</v>
      </c>
      <c r="O25439">
        <v>250612</v>
      </c>
      <c r="P25439">
        <v>1063.02</v>
      </c>
    </row>
    <row r="25440" spans="1:16" x14ac:dyDescent="0.25">
      <c r="A25440" t="s">
        <v>3296</v>
      </c>
      <c r="B25440" t="s">
        <v>2931</v>
      </c>
      <c r="C25440">
        <v>8296</v>
      </c>
      <c r="D25440" t="str">
        <f>"42608       "</f>
        <v xml:space="preserve">42608       </v>
      </c>
      <c r="E25440" t="s">
        <v>514</v>
      </c>
      <c r="F25440" t="s">
        <v>515</v>
      </c>
      <c r="G25440">
        <v>805.18</v>
      </c>
      <c r="H25440">
        <v>250531</v>
      </c>
      <c r="I25440">
        <v>4367</v>
      </c>
      <c r="J25440" t="s">
        <v>159</v>
      </c>
      <c r="K25440">
        <v>805.18</v>
      </c>
      <c r="L25440">
        <v>163.6</v>
      </c>
      <c r="M25440">
        <v>11801</v>
      </c>
      <c r="N25440" t="s">
        <v>40</v>
      </c>
      <c r="O25440">
        <v>250612</v>
      </c>
      <c r="P25440">
        <v>641.58000000000004</v>
      </c>
    </row>
    <row r="25441" spans="1:16" x14ac:dyDescent="0.25">
      <c r="A25441" t="s">
        <v>3296</v>
      </c>
      <c r="B25441" t="s">
        <v>2931</v>
      </c>
      <c r="C25441">
        <v>8301</v>
      </c>
      <c r="D25441" t="str">
        <f>"42604       "</f>
        <v xml:space="preserve">42604       </v>
      </c>
      <c r="E25441" t="s">
        <v>514</v>
      </c>
      <c r="F25441" t="s">
        <v>515</v>
      </c>
      <c r="G25441">
        <v>239.07</v>
      </c>
      <c r="H25441">
        <v>250531</v>
      </c>
      <c r="I25441">
        <v>4367</v>
      </c>
      <c r="J25441" t="s">
        <v>159</v>
      </c>
      <c r="K25441">
        <v>239.07</v>
      </c>
      <c r="L25441">
        <v>48.58</v>
      </c>
      <c r="M25441">
        <v>11601</v>
      </c>
      <c r="N25441" t="s">
        <v>12</v>
      </c>
      <c r="O25441">
        <v>250612</v>
      </c>
      <c r="P25441">
        <v>190.49</v>
      </c>
    </row>
    <row r="25442" spans="1:16" x14ac:dyDescent="0.25">
      <c r="A25442" t="s">
        <v>3296</v>
      </c>
      <c r="B25442" t="s">
        <v>2931</v>
      </c>
      <c r="C25442">
        <v>8329</v>
      </c>
      <c r="D25442" t="str">
        <f>"43063       "</f>
        <v xml:space="preserve">43063       </v>
      </c>
      <c r="E25442" t="s">
        <v>514</v>
      </c>
      <c r="F25442" t="s">
        <v>515</v>
      </c>
      <c r="G25442">
        <v>246.11</v>
      </c>
      <c r="H25442">
        <v>250531</v>
      </c>
      <c r="I25442">
        <v>4367</v>
      </c>
      <c r="J25442" t="s">
        <v>159</v>
      </c>
      <c r="K25442">
        <v>246.11</v>
      </c>
      <c r="L25442">
        <v>50.01</v>
      </c>
      <c r="M25442">
        <v>11601</v>
      </c>
      <c r="N25442" t="s">
        <v>12</v>
      </c>
      <c r="O25442">
        <v>250612</v>
      </c>
      <c r="P25442">
        <v>196.1</v>
      </c>
    </row>
    <row r="25443" spans="1:16" x14ac:dyDescent="0.25">
      <c r="A25443" t="s">
        <v>3296</v>
      </c>
      <c r="B25443" t="s">
        <v>2931</v>
      </c>
      <c r="C25443">
        <v>8330</v>
      </c>
      <c r="D25443" t="str">
        <f>"43057       "</f>
        <v xml:space="preserve">43057       </v>
      </c>
      <c r="E25443" t="s">
        <v>514</v>
      </c>
      <c r="F25443" t="s">
        <v>515</v>
      </c>
      <c r="G25443">
        <v>345.13</v>
      </c>
      <c r="H25443">
        <v>250531</v>
      </c>
      <c r="I25443">
        <v>4367</v>
      </c>
      <c r="J25443" t="s">
        <v>159</v>
      </c>
      <c r="K25443">
        <v>345.13</v>
      </c>
      <c r="L25443">
        <v>70.13</v>
      </c>
      <c r="M25443">
        <v>11801</v>
      </c>
      <c r="N25443" t="s">
        <v>40</v>
      </c>
      <c r="O25443">
        <v>250612</v>
      </c>
      <c r="P25443">
        <v>275</v>
      </c>
    </row>
    <row r="25444" spans="1:16" x14ac:dyDescent="0.25">
      <c r="A25444" t="s">
        <v>3296</v>
      </c>
      <c r="B25444" t="s">
        <v>2931</v>
      </c>
      <c r="C25444">
        <v>8337</v>
      </c>
      <c r="D25444" t="str">
        <f>"42469       "</f>
        <v xml:space="preserve">42469       </v>
      </c>
      <c r="E25444" t="s">
        <v>514</v>
      </c>
      <c r="F25444" t="s">
        <v>515</v>
      </c>
      <c r="G25444">
        <v>38.83</v>
      </c>
      <c r="H25444">
        <v>250531</v>
      </c>
      <c r="I25444">
        <v>4367</v>
      </c>
      <c r="J25444" t="s">
        <v>159</v>
      </c>
      <c r="K25444">
        <v>38.83</v>
      </c>
      <c r="L25444">
        <v>7.89</v>
      </c>
      <c r="M25444">
        <v>11601</v>
      </c>
      <c r="N25444" t="s">
        <v>12</v>
      </c>
      <c r="O25444">
        <v>250613</v>
      </c>
      <c r="P25444">
        <v>30.94</v>
      </c>
    </row>
    <row r="25445" spans="1:16" x14ac:dyDescent="0.25">
      <c r="A25445" t="s">
        <v>3296</v>
      </c>
      <c r="B25445" t="s">
        <v>2931</v>
      </c>
      <c r="C25445">
        <v>8714</v>
      </c>
      <c r="D25445" t="str">
        <f>"42216       "</f>
        <v xml:space="preserve">42216       </v>
      </c>
      <c r="E25445" t="s">
        <v>514</v>
      </c>
      <c r="F25445" t="s">
        <v>515</v>
      </c>
      <c r="G25445">
        <v>5534.55</v>
      </c>
      <c r="H25445">
        <v>250531</v>
      </c>
      <c r="I25445">
        <v>4367</v>
      </c>
      <c r="J25445" t="s">
        <v>159</v>
      </c>
      <c r="K25445">
        <v>5534.55</v>
      </c>
      <c r="L25445">
        <v>1124.55</v>
      </c>
      <c r="M25445">
        <v>11801</v>
      </c>
      <c r="N25445" t="s">
        <v>40</v>
      </c>
      <c r="O25445">
        <v>250617</v>
      </c>
      <c r="P25445">
        <v>4410</v>
      </c>
    </row>
    <row r="25446" spans="1:16" x14ac:dyDescent="0.25">
      <c r="A25446" t="s">
        <v>3296</v>
      </c>
      <c r="B25446" t="s">
        <v>2931</v>
      </c>
      <c r="C25446">
        <v>9203</v>
      </c>
      <c r="D25446" t="str">
        <f>"43823       "</f>
        <v xml:space="preserve">43823       </v>
      </c>
      <c r="E25446" t="s">
        <v>514</v>
      </c>
      <c r="F25446" t="s">
        <v>515</v>
      </c>
      <c r="G25446">
        <v>690.25</v>
      </c>
      <c r="H25446">
        <v>250609</v>
      </c>
      <c r="I25446">
        <v>4367</v>
      </c>
      <c r="J25446" t="s">
        <v>159</v>
      </c>
      <c r="K25446">
        <v>1054.2</v>
      </c>
      <c r="L25446">
        <v>140.25</v>
      </c>
      <c r="M25446">
        <v>11801</v>
      </c>
      <c r="N25446" t="s">
        <v>40</v>
      </c>
      <c r="O25446">
        <v>250627</v>
      </c>
      <c r="P25446">
        <v>550</v>
      </c>
    </row>
    <row r="25447" spans="1:16" x14ac:dyDescent="0.25">
      <c r="A25447" t="s">
        <v>3296</v>
      </c>
      <c r="B25447" t="s">
        <v>2931</v>
      </c>
      <c r="C25447">
        <v>9347</v>
      </c>
      <c r="D25447" t="str">
        <f>"44340       "</f>
        <v xml:space="preserve">44340       </v>
      </c>
      <c r="E25447" t="s">
        <v>514</v>
      </c>
      <c r="F25447" t="s">
        <v>515</v>
      </c>
      <c r="G25447">
        <v>1334.09</v>
      </c>
      <c r="H25447">
        <v>250627</v>
      </c>
      <c r="I25447">
        <v>4367</v>
      </c>
      <c r="J25447" t="s">
        <v>159</v>
      </c>
      <c r="K25447">
        <v>1334.09</v>
      </c>
      <c r="L25447">
        <v>271.07</v>
      </c>
      <c r="M25447">
        <v>11801</v>
      </c>
      <c r="N25447" t="s">
        <v>40</v>
      </c>
      <c r="O25447">
        <v>250704</v>
      </c>
      <c r="P25447">
        <v>1063.02</v>
      </c>
    </row>
    <row r="25448" spans="1:16" x14ac:dyDescent="0.25">
      <c r="A25448" t="s">
        <v>3296</v>
      </c>
      <c r="B25448" t="s">
        <v>2931</v>
      </c>
      <c r="C25448">
        <v>9348</v>
      </c>
      <c r="D25448" t="str">
        <f>"44585       "</f>
        <v xml:space="preserve">44585       </v>
      </c>
      <c r="E25448" t="s">
        <v>514</v>
      </c>
      <c r="F25448" t="s">
        <v>515</v>
      </c>
      <c r="G25448">
        <v>345.13</v>
      </c>
      <c r="H25448">
        <v>250627</v>
      </c>
      <c r="I25448">
        <v>4367</v>
      </c>
      <c r="J25448" t="s">
        <v>159</v>
      </c>
      <c r="K25448">
        <v>345.13</v>
      </c>
      <c r="L25448">
        <v>70.13</v>
      </c>
      <c r="M25448">
        <v>11801</v>
      </c>
      <c r="N25448" t="s">
        <v>40</v>
      </c>
      <c r="O25448">
        <v>250704</v>
      </c>
      <c r="P25448">
        <v>275</v>
      </c>
    </row>
    <row r="25449" spans="1:16" x14ac:dyDescent="0.25">
      <c r="A25449" t="s">
        <v>3296</v>
      </c>
      <c r="B25449" t="s">
        <v>2931</v>
      </c>
      <c r="C25449">
        <v>9349</v>
      </c>
      <c r="D25449" t="str">
        <f>"44280       "</f>
        <v xml:space="preserve">44280       </v>
      </c>
      <c r="E25449" t="s">
        <v>514</v>
      </c>
      <c r="F25449" t="s">
        <v>515</v>
      </c>
      <c r="G25449">
        <v>205.75</v>
      </c>
      <c r="H25449">
        <v>250627</v>
      </c>
      <c r="I25449">
        <v>4367</v>
      </c>
      <c r="J25449" t="s">
        <v>159</v>
      </c>
      <c r="K25449">
        <v>205.75</v>
      </c>
      <c r="L25449">
        <v>41.81</v>
      </c>
      <c r="M25449">
        <v>11801</v>
      </c>
      <c r="N25449" t="s">
        <v>40</v>
      </c>
      <c r="O25449">
        <v>250704</v>
      </c>
      <c r="P25449">
        <v>163.94</v>
      </c>
    </row>
    <row r="25450" spans="1:16" x14ac:dyDescent="0.25">
      <c r="A25450" t="s">
        <v>3296</v>
      </c>
      <c r="B25450" t="s">
        <v>2931</v>
      </c>
      <c r="C25450">
        <v>9375</v>
      </c>
      <c r="D25450" t="str">
        <f>"44786       "</f>
        <v xml:space="preserve">44786       </v>
      </c>
      <c r="E25450" t="s">
        <v>514</v>
      </c>
      <c r="F25450" t="s">
        <v>515</v>
      </c>
      <c r="G25450">
        <v>359.18</v>
      </c>
      <c r="H25450">
        <v>250627</v>
      </c>
      <c r="I25450">
        <v>4367</v>
      </c>
      <c r="J25450" t="s">
        <v>159</v>
      </c>
      <c r="K25450">
        <v>359.18</v>
      </c>
      <c r="L25450">
        <v>72.98</v>
      </c>
      <c r="M25450">
        <v>11601</v>
      </c>
      <c r="N25450" t="s">
        <v>12</v>
      </c>
      <c r="O25450">
        <v>250707</v>
      </c>
      <c r="P25450">
        <v>286.2</v>
      </c>
    </row>
    <row r="25451" spans="1:16" x14ac:dyDescent="0.25">
      <c r="A25451" t="s">
        <v>3296</v>
      </c>
      <c r="B25451" t="s">
        <v>2931</v>
      </c>
      <c r="C25451">
        <v>9377</v>
      </c>
      <c r="D25451" t="str">
        <f>"44591       "</f>
        <v xml:space="preserve">44591       </v>
      </c>
      <c r="E25451" t="s">
        <v>514</v>
      </c>
      <c r="F25451" t="s">
        <v>515</v>
      </c>
      <c r="G25451">
        <v>246.11</v>
      </c>
      <c r="H25451">
        <v>250627</v>
      </c>
      <c r="I25451">
        <v>4367</v>
      </c>
      <c r="J25451" t="s">
        <v>159</v>
      </c>
      <c r="K25451">
        <v>246.11</v>
      </c>
      <c r="L25451">
        <v>50.01</v>
      </c>
      <c r="M25451">
        <v>11601</v>
      </c>
      <c r="N25451" t="s">
        <v>12</v>
      </c>
      <c r="O25451">
        <v>250707</v>
      </c>
      <c r="P25451">
        <v>196.1</v>
      </c>
    </row>
    <row r="25452" spans="1:16" x14ac:dyDescent="0.25">
      <c r="A25452" t="s">
        <v>3296</v>
      </c>
      <c r="B25452" t="s">
        <v>2931</v>
      </c>
      <c r="C25452">
        <v>9378</v>
      </c>
      <c r="D25452" t="str">
        <f>"44136       "</f>
        <v xml:space="preserve">44136       </v>
      </c>
      <c r="E25452" t="s">
        <v>514</v>
      </c>
      <c r="F25452" t="s">
        <v>515</v>
      </c>
      <c r="G25452">
        <v>239.07</v>
      </c>
      <c r="H25452">
        <v>250627</v>
      </c>
      <c r="I25452">
        <v>4367</v>
      </c>
      <c r="J25452" t="s">
        <v>159</v>
      </c>
      <c r="K25452">
        <v>239.07</v>
      </c>
      <c r="L25452">
        <v>48.58</v>
      </c>
      <c r="M25452">
        <v>11601</v>
      </c>
      <c r="N25452" t="s">
        <v>12</v>
      </c>
      <c r="O25452">
        <v>250707</v>
      </c>
      <c r="P25452">
        <v>190.49</v>
      </c>
    </row>
    <row r="25453" spans="1:16" x14ac:dyDescent="0.25">
      <c r="A25453" t="s">
        <v>3296</v>
      </c>
      <c r="B25453" t="s">
        <v>2931</v>
      </c>
      <c r="C25453">
        <v>9380</v>
      </c>
      <c r="D25453" t="str">
        <f>"44476       "</f>
        <v xml:space="preserve">44476       </v>
      </c>
      <c r="E25453" t="s">
        <v>514</v>
      </c>
      <c r="F25453" t="s">
        <v>515</v>
      </c>
      <c r="G25453">
        <v>112.81</v>
      </c>
      <c r="H25453">
        <v>250627</v>
      </c>
      <c r="I25453">
        <v>4367</v>
      </c>
      <c r="J25453" t="s">
        <v>159</v>
      </c>
      <c r="K25453">
        <v>112.81</v>
      </c>
      <c r="L25453">
        <v>22.92</v>
      </c>
      <c r="M25453">
        <v>11601</v>
      </c>
      <c r="N25453" t="s">
        <v>12</v>
      </c>
      <c r="O25453">
        <v>250707</v>
      </c>
      <c r="P25453">
        <v>89.89</v>
      </c>
    </row>
    <row r="25454" spans="1:16" x14ac:dyDescent="0.25">
      <c r="A25454" t="s">
        <v>3296</v>
      </c>
      <c r="B25454" t="s">
        <v>2931</v>
      </c>
      <c r="C25454">
        <v>9381</v>
      </c>
      <c r="D25454" t="str">
        <f>"44004       "</f>
        <v xml:space="preserve">44004       </v>
      </c>
      <c r="E25454" t="s">
        <v>514</v>
      </c>
      <c r="F25454" t="s">
        <v>515</v>
      </c>
      <c r="G25454">
        <v>38.83</v>
      </c>
      <c r="H25454">
        <v>250627</v>
      </c>
      <c r="I25454">
        <v>4367</v>
      </c>
      <c r="J25454" t="s">
        <v>159</v>
      </c>
      <c r="K25454">
        <v>38.83</v>
      </c>
      <c r="L25454">
        <v>7.89</v>
      </c>
      <c r="M25454">
        <v>11601</v>
      </c>
      <c r="N25454" t="s">
        <v>12</v>
      </c>
      <c r="O25454">
        <v>250707</v>
      </c>
      <c r="P25454">
        <v>30.94</v>
      </c>
    </row>
    <row r="25455" spans="1:16" x14ac:dyDescent="0.25">
      <c r="A25455" t="s">
        <v>3296</v>
      </c>
      <c r="B25455" t="s">
        <v>2931</v>
      </c>
      <c r="C25455">
        <v>9574</v>
      </c>
      <c r="D25455" t="str">
        <f>"44039       "</f>
        <v xml:space="preserve">44039       </v>
      </c>
      <c r="E25455" t="s">
        <v>514</v>
      </c>
      <c r="F25455" t="s">
        <v>515</v>
      </c>
      <c r="G25455">
        <v>5967.32</v>
      </c>
      <c r="H25455">
        <v>250627</v>
      </c>
      <c r="I25455">
        <v>4367</v>
      </c>
      <c r="J25455" t="s">
        <v>159</v>
      </c>
      <c r="K25455">
        <v>5967.32</v>
      </c>
      <c r="L25455">
        <v>1212.48</v>
      </c>
      <c r="M25455">
        <v>11801</v>
      </c>
      <c r="N25455" t="s">
        <v>40</v>
      </c>
      <c r="O25455">
        <v>250721</v>
      </c>
      <c r="P25455">
        <v>4754.84</v>
      </c>
    </row>
    <row r="25456" spans="1:16" x14ac:dyDescent="0.25">
      <c r="A25456" t="s">
        <v>3296</v>
      </c>
      <c r="B25456" t="s">
        <v>2931</v>
      </c>
      <c r="C25456">
        <v>9575</v>
      </c>
      <c r="D25456" t="str">
        <f>"44140       "</f>
        <v xml:space="preserve">44140       </v>
      </c>
      <c r="E25456" t="s">
        <v>514</v>
      </c>
      <c r="F25456" t="s">
        <v>515</v>
      </c>
      <c r="G25456">
        <v>805.18</v>
      </c>
      <c r="H25456">
        <v>250627</v>
      </c>
      <c r="I25456">
        <v>4367</v>
      </c>
      <c r="J25456" t="s">
        <v>159</v>
      </c>
      <c r="K25456">
        <v>805.18</v>
      </c>
      <c r="L25456">
        <v>163.6</v>
      </c>
      <c r="M25456">
        <v>11801</v>
      </c>
      <c r="N25456" t="s">
        <v>40</v>
      </c>
      <c r="O25456">
        <v>250721</v>
      </c>
      <c r="P25456">
        <v>641.58000000000004</v>
      </c>
    </row>
    <row r="25457" spans="1:16" x14ac:dyDescent="0.25">
      <c r="A25457" t="s">
        <v>3296</v>
      </c>
      <c r="B25457" t="s">
        <v>2931</v>
      </c>
      <c r="C25457">
        <v>9882</v>
      </c>
      <c r="D25457" t="str">
        <f>"46447       "</f>
        <v xml:space="preserve">46447       </v>
      </c>
      <c r="E25457" t="s">
        <v>514</v>
      </c>
      <c r="F25457" t="s">
        <v>515</v>
      </c>
      <c r="G25457">
        <v>205.75</v>
      </c>
      <c r="H25457">
        <v>250725</v>
      </c>
      <c r="I25457">
        <v>4367</v>
      </c>
      <c r="J25457" t="s">
        <v>159</v>
      </c>
      <c r="K25457">
        <v>205.75</v>
      </c>
      <c r="L25457">
        <v>41.81</v>
      </c>
      <c r="M25457">
        <v>11801</v>
      </c>
      <c r="N25457" t="s">
        <v>40</v>
      </c>
      <c r="O25457">
        <v>250801</v>
      </c>
      <c r="P25457">
        <v>163.94</v>
      </c>
    </row>
    <row r="25458" spans="1:16" x14ac:dyDescent="0.25">
      <c r="A25458" t="s">
        <v>3296</v>
      </c>
      <c r="B25458" t="s">
        <v>2931</v>
      </c>
      <c r="C25458">
        <v>9883</v>
      </c>
      <c r="D25458" t="str">
        <f>"46759       "</f>
        <v xml:space="preserve">46759       </v>
      </c>
      <c r="E25458" t="s">
        <v>514</v>
      </c>
      <c r="F25458" t="s">
        <v>515</v>
      </c>
      <c r="G25458">
        <v>345.13</v>
      </c>
      <c r="H25458">
        <v>250725</v>
      </c>
      <c r="I25458">
        <v>4367</v>
      </c>
      <c r="J25458" t="s">
        <v>159</v>
      </c>
      <c r="K25458">
        <v>345.13</v>
      </c>
      <c r="L25458">
        <v>70.13</v>
      </c>
      <c r="M25458">
        <v>11801</v>
      </c>
      <c r="N25458" t="s">
        <v>40</v>
      </c>
      <c r="O25458">
        <v>250801</v>
      </c>
      <c r="P25458">
        <v>275</v>
      </c>
    </row>
    <row r="25459" spans="1:16" x14ac:dyDescent="0.25">
      <c r="A25459" t="s">
        <v>3296</v>
      </c>
      <c r="B25459" t="s">
        <v>2931</v>
      </c>
      <c r="C25459">
        <v>9884</v>
      </c>
      <c r="D25459" t="str">
        <f>"46207       "</f>
        <v xml:space="preserve">46207       </v>
      </c>
      <c r="E25459" t="s">
        <v>514</v>
      </c>
      <c r="F25459" t="s">
        <v>515</v>
      </c>
      <c r="G25459">
        <v>5967.32</v>
      </c>
      <c r="H25459">
        <v>250725</v>
      </c>
      <c r="I25459">
        <v>4367</v>
      </c>
      <c r="J25459" t="s">
        <v>159</v>
      </c>
      <c r="K25459">
        <v>5967.32</v>
      </c>
      <c r="L25459">
        <v>1212.48</v>
      </c>
      <c r="M25459">
        <v>11801</v>
      </c>
      <c r="N25459" t="s">
        <v>40</v>
      </c>
      <c r="O25459">
        <v>250801</v>
      </c>
      <c r="P25459">
        <v>4754.84</v>
      </c>
    </row>
    <row r="25460" spans="1:16" x14ac:dyDescent="0.25">
      <c r="A25460" t="s">
        <v>3296</v>
      </c>
      <c r="B25460" t="s">
        <v>2931</v>
      </c>
      <c r="C25460">
        <v>9885</v>
      </c>
      <c r="D25460" t="str">
        <f>"46308       "</f>
        <v xml:space="preserve">46308       </v>
      </c>
      <c r="E25460" t="s">
        <v>514</v>
      </c>
      <c r="F25460" t="s">
        <v>515</v>
      </c>
      <c r="G25460">
        <v>805.18</v>
      </c>
      <c r="H25460">
        <v>250725</v>
      </c>
      <c r="I25460">
        <v>4367</v>
      </c>
      <c r="J25460" t="s">
        <v>159</v>
      </c>
      <c r="K25460">
        <v>805.18</v>
      </c>
      <c r="L25460">
        <v>163.6</v>
      </c>
      <c r="M25460">
        <v>11801</v>
      </c>
      <c r="N25460" t="s">
        <v>40</v>
      </c>
      <c r="O25460">
        <v>250801</v>
      </c>
      <c r="P25460">
        <v>641.58000000000004</v>
      </c>
    </row>
    <row r="25461" spans="1:16" x14ac:dyDescent="0.25">
      <c r="A25461" t="s">
        <v>3296</v>
      </c>
      <c r="B25461" t="s">
        <v>2931</v>
      </c>
      <c r="C25461">
        <v>9886</v>
      </c>
      <c r="D25461" t="str">
        <f>"46514       "</f>
        <v xml:space="preserve">46514       </v>
      </c>
      <c r="E25461" t="s">
        <v>514</v>
      </c>
      <c r="F25461" t="s">
        <v>515</v>
      </c>
      <c r="G25461">
        <v>1334.09</v>
      </c>
      <c r="H25461">
        <v>250725</v>
      </c>
      <c r="I25461">
        <v>4367</v>
      </c>
      <c r="J25461" t="s">
        <v>159</v>
      </c>
      <c r="K25461">
        <v>1334.09</v>
      </c>
      <c r="L25461">
        <v>271.07</v>
      </c>
      <c r="M25461">
        <v>11801</v>
      </c>
      <c r="N25461" t="s">
        <v>40</v>
      </c>
      <c r="O25461">
        <v>250801</v>
      </c>
      <c r="P25461">
        <v>1063.02</v>
      </c>
    </row>
    <row r="25462" spans="1:16" x14ac:dyDescent="0.25">
      <c r="A25462" t="s">
        <v>3296</v>
      </c>
      <c r="B25462" t="s">
        <v>2931</v>
      </c>
      <c r="C25462">
        <v>10009</v>
      </c>
      <c r="D25462" t="str">
        <f>"46650       "</f>
        <v xml:space="preserve">46650       </v>
      </c>
      <c r="E25462" t="s">
        <v>514</v>
      </c>
      <c r="F25462" t="s">
        <v>515</v>
      </c>
      <c r="G25462">
        <v>112.81</v>
      </c>
      <c r="H25462">
        <v>250725</v>
      </c>
      <c r="I25462">
        <v>4367</v>
      </c>
      <c r="J25462" t="s">
        <v>159</v>
      </c>
      <c r="K25462">
        <v>112.81</v>
      </c>
      <c r="L25462">
        <v>22.92</v>
      </c>
      <c r="M25462">
        <v>11601</v>
      </c>
      <c r="N25462" t="s">
        <v>12</v>
      </c>
      <c r="O25462">
        <v>250807</v>
      </c>
      <c r="P25462">
        <v>89.89</v>
      </c>
    </row>
    <row r="25463" spans="1:16" x14ac:dyDescent="0.25">
      <c r="A25463" t="s">
        <v>3296</v>
      </c>
      <c r="B25463" t="s">
        <v>2931</v>
      </c>
      <c r="C25463">
        <v>10010</v>
      </c>
      <c r="D25463" t="str">
        <f>"46765       "</f>
        <v xml:space="preserve">46765       </v>
      </c>
      <c r="E25463" t="s">
        <v>514</v>
      </c>
      <c r="F25463" t="s">
        <v>515</v>
      </c>
      <c r="G25463">
        <v>246.11</v>
      </c>
      <c r="H25463">
        <v>250725</v>
      </c>
      <c r="I25463">
        <v>4367</v>
      </c>
      <c r="J25463" t="s">
        <v>159</v>
      </c>
      <c r="K25463">
        <v>246.11</v>
      </c>
      <c r="L25463">
        <v>50.01</v>
      </c>
      <c r="M25463">
        <v>11601</v>
      </c>
      <c r="N25463" t="s">
        <v>12</v>
      </c>
      <c r="O25463">
        <v>250807</v>
      </c>
      <c r="P25463">
        <v>196.1</v>
      </c>
    </row>
    <row r="25464" spans="1:16" x14ac:dyDescent="0.25">
      <c r="A25464" t="s">
        <v>3296</v>
      </c>
      <c r="B25464" t="s">
        <v>2931</v>
      </c>
      <c r="C25464">
        <v>10011</v>
      </c>
      <c r="D25464" t="str">
        <f>"46304       "</f>
        <v xml:space="preserve">46304       </v>
      </c>
      <c r="E25464" t="s">
        <v>514</v>
      </c>
      <c r="F25464" t="s">
        <v>515</v>
      </c>
      <c r="G25464">
        <v>239.07</v>
      </c>
      <c r="H25464">
        <v>250725</v>
      </c>
      <c r="I25464">
        <v>4367</v>
      </c>
      <c r="J25464" t="s">
        <v>159</v>
      </c>
      <c r="K25464">
        <v>239.07</v>
      </c>
      <c r="L25464">
        <v>48.58</v>
      </c>
      <c r="M25464">
        <v>11601</v>
      </c>
      <c r="N25464" t="s">
        <v>12</v>
      </c>
      <c r="O25464">
        <v>250807</v>
      </c>
      <c r="P25464">
        <v>190.49</v>
      </c>
    </row>
    <row r="25465" spans="1:16" x14ac:dyDescent="0.25">
      <c r="A25465" t="s">
        <v>3296</v>
      </c>
      <c r="B25465" t="s">
        <v>2931</v>
      </c>
      <c r="C25465">
        <v>10013</v>
      </c>
      <c r="D25465" t="str">
        <f>"46172       "</f>
        <v xml:space="preserve">46172       </v>
      </c>
      <c r="E25465" t="s">
        <v>514</v>
      </c>
      <c r="F25465" t="s">
        <v>515</v>
      </c>
      <c r="G25465">
        <v>38.83</v>
      </c>
      <c r="H25465">
        <v>250725</v>
      </c>
      <c r="I25465">
        <v>4367</v>
      </c>
      <c r="J25465" t="s">
        <v>159</v>
      </c>
      <c r="K25465">
        <v>38.83</v>
      </c>
      <c r="L25465">
        <v>7.89</v>
      </c>
      <c r="M25465">
        <v>11601</v>
      </c>
      <c r="N25465" t="s">
        <v>12</v>
      </c>
      <c r="O25465">
        <v>250807</v>
      </c>
      <c r="P25465">
        <v>30.94</v>
      </c>
    </row>
    <row r="25466" spans="1:16" x14ac:dyDescent="0.25">
      <c r="A25466" t="s">
        <v>3296</v>
      </c>
      <c r="B25466" t="s">
        <v>2931</v>
      </c>
      <c r="C25466">
        <v>10015</v>
      </c>
      <c r="D25466" t="str">
        <f>"46960       "</f>
        <v xml:space="preserve">46960       </v>
      </c>
      <c r="E25466" t="s">
        <v>514</v>
      </c>
      <c r="F25466" t="s">
        <v>515</v>
      </c>
      <c r="G25466">
        <v>359.18</v>
      </c>
      <c r="H25466">
        <v>250725</v>
      </c>
      <c r="I25466">
        <v>4367</v>
      </c>
      <c r="J25466" t="s">
        <v>159</v>
      </c>
      <c r="K25466">
        <v>359.18</v>
      </c>
      <c r="L25466">
        <v>72.98</v>
      </c>
      <c r="M25466">
        <v>11601</v>
      </c>
      <c r="N25466" t="s">
        <v>12</v>
      </c>
      <c r="O25466">
        <v>250807</v>
      </c>
      <c r="P25466">
        <v>286.2</v>
      </c>
    </row>
    <row r="25467" spans="1:16" x14ac:dyDescent="0.25">
      <c r="A25467" t="s">
        <v>3296</v>
      </c>
      <c r="B25467" t="s">
        <v>2931</v>
      </c>
      <c r="C25467">
        <v>10329</v>
      </c>
      <c r="D25467" t="str">
        <f>"47293       "</f>
        <v xml:space="preserve">47293       </v>
      </c>
      <c r="E25467" t="s">
        <v>514</v>
      </c>
      <c r="F25467" t="s">
        <v>515</v>
      </c>
      <c r="G25467">
        <v>690.25</v>
      </c>
      <c r="H25467">
        <v>250730</v>
      </c>
      <c r="I25467">
        <v>4367</v>
      </c>
      <c r="J25467" t="s">
        <v>159</v>
      </c>
      <c r="K25467">
        <v>1054.2</v>
      </c>
      <c r="L25467">
        <v>140.25</v>
      </c>
      <c r="M25467">
        <v>11801</v>
      </c>
      <c r="N25467" t="s">
        <v>40</v>
      </c>
      <c r="O25467">
        <v>250814</v>
      </c>
      <c r="P25467">
        <v>550</v>
      </c>
    </row>
    <row r="25468" spans="1:16" x14ac:dyDescent="0.25">
      <c r="A25468" t="s">
        <v>3296</v>
      </c>
      <c r="B25468" t="s">
        <v>2931</v>
      </c>
      <c r="C25468">
        <v>11232</v>
      </c>
      <c r="D25468" t="str">
        <f>"49105       "</f>
        <v xml:space="preserve">49105       </v>
      </c>
      <c r="E25468" t="s">
        <v>514</v>
      </c>
      <c r="F25468" t="s">
        <v>515</v>
      </c>
      <c r="G25468">
        <v>345.13</v>
      </c>
      <c r="H25468">
        <v>250829</v>
      </c>
      <c r="I25468">
        <v>4367</v>
      </c>
      <c r="J25468" t="s">
        <v>159</v>
      </c>
      <c r="K25468">
        <v>345.13</v>
      </c>
      <c r="L25468">
        <v>70.13</v>
      </c>
      <c r="M25468">
        <v>11801</v>
      </c>
      <c r="N25468" t="s">
        <v>40</v>
      </c>
      <c r="O25468">
        <v>250902</v>
      </c>
      <c r="P25468">
        <v>275</v>
      </c>
    </row>
    <row r="25469" spans="1:16" x14ac:dyDescent="0.25">
      <c r="A25469" t="s">
        <v>3296</v>
      </c>
      <c r="B25469" t="s">
        <v>2931</v>
      </c>
      <c r="C25469">
        <v>11233</v>
      </c>
      <c r="D25469" t="str">
        <f>"48789       "</f>
        <v xml:space="preserve">48789       </v>
      </c>
      <c r="E25469" t="s">
        <v>514</v>
      </c>
      <c r="F25469" t="s">
        <v>515</v>
      </c>
      <c r="G25469">
        <v>205.75</v>
      </c>
      <c r="H25469">
        <v>250829</v>
      </c>
      <c r="I25469">
        <v>4367</v>
      </c>
      <c r="J25469" t="s">
        <v>159</v>
      </c>
      <c r="K25469">
        <v>205.75</v>
      </c>
      <c r="L25469">
        <v>41.81</v>
      </c>
      <c r="M25469">
        <v>11801</v>
      </c>
      <c r="N25469" t="s">
        <v>40</v>
      </c>
      <c r="O25469">
        <v>250902</v>
      </c>
      <c r="P25469">
        <v>163.94</v>
      </c>
    </row>
    <row r="25470" spans="1:16" x14ac:dyDescent="0.25">
      <c r="A25470" t="s">
        <v>3296</v>
      </c>
      <c r="B25470" t="s">
        <v>2931</v>
      </c>
      <c r="C25470">
        <v>11234</v>
      </c>
      <c r="D25470" t="str">
        <f>"48652       "</f>
        <v xml:space="preserve">48652       </v>
      </c>
      <c r="E25470" t="s">
        <v>514</v>
      </c>
      <c r="F25470" t="s">
        <v>515</v>
      </c>
      <c r="G25470">
        <v>805.18</v>
      </c>
      <c r="H25470">
        <v>250829</v>
      </c>
      <c r="I25470">
        <v>4367</v>
      </c>
      <c r="J25470" t="s">
        <v>159</v>
      </c>
      <c r="K25470">
        <v>805.18</v>
      </c>
      <c r="L25470">
        <v>163.6</v>
      </c>
      <c r="M25470">
        <v>11801</v>
      </c>
      <c r="N25470" t="s">
        <v>40</v>
      </c>
      <c r="O25470">
        <v>250902</v>
      </c>
      <c r="P25470">
        <v>641.58000000000004</v>
      </c>
    </row>
    <row r="25471" spans="1:16" x14ac:dyDescent="0.25">
      <c r="A25471" t="s">
        <v>3296</v>
      </c>
      <c r="B25471" t="s">
        <v>2931</v>
      </c>
      <c r="C25471">
        <v>11236</v>
      </c>
      <c r="D25471" t="str">
        <f>"48552       "</f>
        <v xml:space="preserve">48552       </v>
      </c>
      <c r="E25471" t="s">
        <v>514</v>
      </c>
      <c r="F25471" t="s">
        <v>515</v>
      </c>
      <c r="G25471">
        <v>5967.32</v>
      </c>
      <c r="H25471">
        <v>250829</v>
      </c>
      <c r="I25471">
        <v>4367</v>
      </c>
      <c r="J25471" t="s">
        <v>159</v>
      </c>
      <c r="K25471">
        <v>5967.32</v>
      </c>
      <c r="L25471">
        <v>1212.48</v>
      </c>
      <c r="M25471">
        <v>11801</v>
      </c>
      <c r="N25471" t="s">
        <v>40</v>
      </c>
      <c r="O25471">
        <v>250902</v>
      </c>
      <c r="P25471">
        <v>4754.84</v>
      </c>
    </row>
    <row r="25472" spans="1:16" x14ac:dyDescent="0.25">
      <c r="A25472" t="s">
        <v>3296</v>
      </c>
      <c r="B25472" t="s">
        <v>2931</v>
      </c>
      <c r="C25472">
        <v>11237</v>
      </c>
      <c r="D25472" t="str">
        <f>"48860       "</f>
        <v xml:space="preserve">48860       </v>
      </c>
      <c r="E25472" t="s">
        <v>514</v>
      </c>
      <c r="F25472" t="s">
        <v>515</v>
      </c>
      <c r="G25472">
        <v>1334.09</v>
      </c>
      <c r="H25472">
        <v>250829</v>
      </c>
      <c r="I25472">
        <v>4367</v>
      </c>
      <c r="J25472" t="s">
        <v>159</v>
      </c>
      <c r="K25472">
        <v>1334.09</v>
      </c>
      <c r="L25472">
        <v>271.07</v>
      </c>
      <c r="M25472">
        <v>11801</v>
      </c>
      <c r="N25472" t="s">
        <v>40</v>
      </c>
      <c r="O25472">
        <v>250902</v>
      </c>
      <c r="P25472">
        <v>1063.02</v>
      </c>
    </row>
    <row r="25473" spans="1:16" x14ac:dyDescent="0.25">
      <c r="A25473" t="s">
        <v>3296</v>
      </c>
      <c r="B25473" t="s">
        <v>2931</v>
      </c>
      <c r="C25473">
        <v>11725</v>
      </c>
      <c r="D25473" t="str">
        <f>"48517       "</f>
        <v xml:space="preserve">48517       </v>
      </c>
      <c r="E25473" t="s">
        <v>514</v>
      </c>
      <c r="F25473" t="s">
        <v>515</v>
      </c>
      <c r="G25473">
        <v>38.83</v>
      </c>
      <c r="H25473">
        <v>250829</v>
      </c>
      <c r="I25473">
        <v>4367</v>
      </c>
      <c r="J25473" t="s">
        <v>159</v>
      </c>
      <c r="K25473">
        <v>38.83</v>
      </c>
      <c r="L25473">
        <v>7.89</v>
      </c>
      <c r="M25473">
        <v>11601</v>
      </c>
      <c r="N25473" t="s">
        <v>12</v>
      </c>
      <c r="O25473">
        <v>250910</v>
      </c>
      <c r="P25473">
        <v>30.94</v>
      </c>
    </row>
    <row r="25474" spans="1:16" x14ac:dyDescent="0.25">
      <c r="A25474" t="s">
        <v>3296</v>
      </c>
      <c r="B25474" t="s">
        <v>2931</v>
      </c>
      <c r="C25474">
        <v>11728</v>
      </c>
      <c r="D25474" t="str">
        <f>"48648       "</f>
        <v xml:space="preserve">48648       </v>
      </c>
      <c r="E25474" t="s">
        <v>514</v>
      </c>
      <c r="F25474" t="s">
        <v>515</v>
      </c>
      <c r="G25474">
        <v>239.07</v>
      </c>
      <c r="H25474">
        <v>250829</v>
      </c>
      <c r="I25474">
        <v>4367</v>
      </c>
      <c r="J25474" t="s">
        <v>159</v>
      </c>
      <c r="K25474">
        <v>239.07</v>
      </c>
      <c r="L25474">
        <v>48.58</v>
      </c>
      <c r="M25474">
        <v>11601</v>
      </c>
      <c r="N25474" t="s">
        <v>12</v>
      </c>
      <c r="O25474">
        <v>250910</v>
      </c>
      <c r="P25474">
        <v>190.49</v>
      </c>
    </row>
    <row r="25475" spans="1:16" x14ac:dyDescent="0.25">
      <c r="A25475" t="s">
        <v>3296</v>
      </c>
      <c r="B25475" t="s">
        <v>2931</v>
      </c>
      <c r="C25475">
        <v>11729</v>
      </c>
      <c r="D25475" t="str">
        <f>"48996       "</f>
        <v xml:space="preserve">48996       </v>
      </c>
      <c r="E25475" t="s">
        <v>514</v>
      </c>
      <c r="F25475" t="s">
        <v>515</v>
      </c>
      <c r="G25475">
        <v>112.81</v>
      </c>
      <c r="H25475">
        <v>250829</v>
      </c>
      <c r="I25475">
        <v>4367</v>
      </c>
      <c r="J25475" t="s">
        <v>159</v>
      </c>
      <c r="K25475">
        <v>112.81</v>
      </c>
      <c r="L25475">
        <v>22.92</v>
      </c>
      <c r="M25475">
        <v>11601</v>
      </c>
      <c r="N25475" t="s">
        <v>12</v>
      </c>
      <c r="O25475">
        <v>250910</v>
      </c>
      <c r="P25475">
        <v>89.89</v>
      </c>
    </row>
    <row r="25476" spans="1:16" x14ac:dyDescent="0.25">
      <c r="A25476" t="s">
        <v>3296</v>
      </c>
      <c r="B25476" t="s">
        <v>2931</v>
      </c>
      <c r="C25476">
        <v>11733</v>
      </c>
      <c r="D25476" t="str">
        <f>"48139       "</f>
        <v xml:space="preserve">48139       </v>
      </c>
      <c r="E25476" t="s">
        <v>514</v>
      </c>
      <c r="F25476" t="s">
        <v>515</v>
      </c>
      <c r="G25476">
        <v>690.25</v>
      </c>
      <c r="H25476">
        <v>250817</v>
      </c>
      <c r="I25476">
        <v>4367</v>
      </c>
      <c r="J25476" t="s">
        <v>159</v>
      </c>
      <c r="K25476">
        <v>1054.2</v>
      </c>
      <c r="L25476">
        <v>140.25</v>
      </c>
      <c r="M25476">
        <v>11801</v>
      </c>
      <c r="N25476" t="s">
        <v>40</v>
      </c>
      <c r="O25476">
        <v>250910</v>
      </c>
      <c r="P25476">
        <v>550</v>
      </c>
    </row>
    <row r="25477" spans="1:16" x14ac:dyDescent="0.25">
      <c r="A25477" t="s">
        <v>3296</v>
      </c>
      <c r="B25477" t="s">
        <v>2931</v>
      </c>
      <c r="C25477">
        <v>12030</v>
      </c>
      <c r="D25477" t="str">
        <f>"49111       "</f>
        <v xml:space="preserve">49111       </v>
      </c>
      <c r="E25477" t="s">
        <v>514</v>
      </c>
      <c r="F25477" t="s">
        <v>515</v>
      </c>
      <c r="G25477">
        <v>246.11</v>
      </c>
      <c r="H25477">
        <v>250829</v>
      </c>
      <c r="I25477">
        <v>4367</v>
      </c>
      <c r="J25477" t="s">
        <v>159</v>
      </c>
      <c r="K25477">
        <v>246.11</v>
      </c>
      <c r="L25477">
        <v>50.01</v>
      </c>
      <c r="M25477">
        <v>11601</v>
      </c>
      <c r="N25477" t="s">
        <v>12</v>
      </c>
      <c r="O25477">
        <v>250915</v>
      </c>
      <c r="P25477">
        <v>196.1</v>
      </c>
    </row>
    <row r="25478" spans="1:16" x14ac:dyDescent="0.25">
      <c r="A25478" t="s">
        <v>3296</v>
      </c>
      <c r="B25478" t="s">
        <v>2931</v>
      </c>
      <c r="C25478">
        <v>12489</v>
      </c>
      <c r="D25478" t="str">
        <f>"49309       "</f>
        <v xml:space="preserve">49309       </v>
      </c>
      <c r="E25478" t="s">
        <v>514</v>
      </c>
      <c r="F25478" t="s">
        <v>515</v>
      </c>
      <c r="G25478">
        <v>359.18</v>
      </c>
      <c r="H25478">
        <v>250901</v>
      </c>
      <c r="I25478">
        <v>4367</v>
      </c>
      <c r="J25478" t="s">
        <v>159</v>
      </c>
      <c r="K25478">
        <v>359.18</v>
      </c>
      <c r="L25478">
        <v>72.98</v>
      </c>
      <c r="M25478">
        <v>11601</v>
      </c>
      <c r="N25478" t="s">
        <v>12</v>
      </c>
      <c r="O25478">
        <v>250925</v>
      </c>
      <c r="P25478">
        <v>286.2</v>
      </c>
    </row>
    <row r="25479" spans="1:16" x14ac:dyDescent="0.25">
      <c r="A25479" t="s">
        <v>3296</v>
      </c>
      <c r="B25479" t="s">
        <v>2931</v>
      </c>
      <c r="C25479">
        <v>12773</v>
      </c>
      <c r="D25479" t="str">
        <f>"50885       "</f>
        <v xml:space="preserve">50885       </v>
      </c>
      <c r="E25479" t="s">
        <v>514</v>
      </c>
      <c r="F25479" t="s">
        <v>515</v>
      </c>
      <c r="G25479">
        <v>-7483.62</v>
      </c>
      <c r="H25479">
        <v>250925</v>
      </c>
      <c r="I25479">
        <v>4367</v>
      </c>
      <c r="J25479" t="s">
        <v>159</v>
      </c>
      <c r="K25479">
        <v>-7483.62</v>
      </c>
      <c r="L25479">
        <v>-1520.58</v>
      </c>
      <c r="M25479">
        <v>11601</v>
      </c>
      <c r="N25479" t="s">
        <v>12</v>
      </c>
      <c r="O25479">
        <v>250930</v>
      </c>
      <c r="P25479">
        <v>-5963.04</v>
      </c>
    </row>
    <row r="25480" spans="1:16" x14ac:dyDescent="0.25">
      <c r="A25480" t="s">
        <v>3296</v>
      </c>
      <c r="B25480" t="s">
        <v>2931</v>
      </c>
      <c r="C25480">
        <v>12814</v>
      </c>
      <c r="D25480" t="str">
        <f>"50469       "</f>
        <v xml:space="preserve">50469       </v>
      </c>
      <c r="E25480" t="s">
        <v>514</v>
      </c>
      <c r="F25480" t="s">
        <v>515</v>
      </c>
      <c r="G25480">
        <v>363.95</v>
      </c>
      <c r="H25480">
        <v>250909</v>
      </c>
      <c r="I25480">
        <v>4367</v>
      </c>
      <c r="J25480" t="s">
        <v>159</v>
      </c>
      <c r="K25480">
        <v>1054.2</v>
      </c>
      <c r="L25480">
        <v>73.95</v>
      </c>
      <c r="M25480">
        <v>11601</v>
      </c>
      <c r="N25480" t="s">
        <v>12</v>
      </c>
      <c r="O25480">
        <v>250930</v>
      </c>
      <c r="P25480">
        <v>290</v>
      </c>
    </row>
    <row r="25481" spans="1:16" x14ac:dyDescent="0.25">
      <c r="A25481" t="s">
        <v>3296</v>
      </c>
      <c r="B25481" t="s">
        <v>2931</v>
      </c>
      <c r="C25481">
        <v>12814</v>
      </c>
      <c r="D25481" t="str">
        <f>"50469       "</f>
        <v xml:space="preserve">50469       </v>
      </c>
      <c r="E25481" t="s">
        <v>514</v>
      </c>
      <c r="F25481" t="s">
        <v>515</v>
      </c>
      <c r="G25481">
        <v>690.25</v>
      </c>
      <c r="H25481">
        <v>250909</v>
      </c>
      <c r="I25481">
        <v>4367</v>
      </c>
      <c r="J25481" t="s">
        <v>159</v>
      </c>
      <c r="K25481">
        <v>1054.2</v>
      </c>
      <c r="L25481">
        <v>140.25</v>
      </c>
      <c r="M25481">
        <v>11801</v>
      </c>
      <c r="N25481" t="s">
        <v>40</v>
      </c>
      <c r="O25481">
        <v>250930</v>
      </c>
      <c r="P25481">
        <v>550</v>
      </c>
    </row>
    <row r="25482" spans="1:16" x14ac:dyDescent="0.25">
      <c r="A25482" t="s">
        <v>3296</v>
      </c>
      <c r="B25482" t="s">
        <v>2931</v>
      </c>
      <c r="C25482">
        <v>13079</v>
      </c>
      <c r="D25482" t="str">
        <f>"51951       "</f>
        <v xml:space="preserve">51951       </v>
      </c>
      <c r="E25482" t="s">
        <v>514</v>
      </c>
      <c r="F25482" t="s">
        <v>515</v>
      </c>
      <c r="G25482">
        <v>345.13</v>
      </c>
      <c r="H25482">
        <v>250930</v>
      </c>
      <c r="I25482">
        <v>4367</v>
      </c>
      <c r="J25482" t="s">
        <v>159</v>
      </c>
      <c r="K25482">
        <v>345.13</v>
      </c>
      <c r="L25482">
        <v>70.13</v>
      </c>
      <c r="M25482">
        <v>11801</v>
      </c>
      <c r="N25482" t="s">
        <v>40</v>
      </c>
      <c r="O25482">
        <v>251003</v>
      </c>
      <c r="P25482">
        <v>275</v>
      </c>
    </row>
    <row r="25483" spans="1:16" x14ac:dyDescent="0.25">
      <c r="A25483" t="s">
        <v>3296</v>
      </c>
      <c r="B25483" t="s">
        <v>2931</v>
      </c>
      <c r="C25483">
        <v>13080</v>
      </c>
      <c r="D25483" t="str">
        <f>"51404       "</f>
        <v xml:space="preserve">51404       </v>
      </c>
      <c r="E25483" t="s">
        <v>514</v>
      </c>
      <c r="F25483" t="s">
        <v>515</v>
      </c>
      <c r="G25483">
        <v>5967.32</v>
      </c>
      <c r="H25483">
        <v>250930</v>
      </c>
      <c r="I25483">
        <v>4367</v>
      </c>
      <c r="J25483" t="s">
        <v>159</v>
      </c>
      <c r="K25483">
        <v>5967.32</v>
      </c>
      <c r="L25483">
        <v>1212.48</v>
      </c>
      <c r="M25483">
        <v>11801</v>
      </c>
      <c r="N25483" t="s">
        <v>40</v>
      </c>
      <c r="O25483">
        <v>251003</v>
      </c>
      <c r="P25483">
        <v>4754.84</v>
      </c>
    </row>
    <row r="25484" spans="1:16" x14ac:dyDescent="0.25">
      <c r="A25484" t="s">
        <v>3296</v>
      </c>
      <c r="B25484" t="s">
        <v>2931</v>
      </c>
      <c r="C25484">
        <v>13081</v>
      </c>
      <c r="D25484" t="str">
        <f>"51708       "</f>
        <v xml:space="preserve">51708       </v>
      </c>
      <c r="E25484" t="s">
        <v>514</v>
      </c>
      <c r="F25484" t="s">
        <v>515</v>
      </c>
      <c r="G25484">
        <v>1334.09</v>
      </c>
      <c r="H25484">
        <v>250930</v>
      </c>
      <c r="I25484">
        <v>4367</v>
      </c>
      <c r="J25484" t="s">
        <v>159</v>
      </c>
      <c r="K25484">
        <v>1334.09</v>
      </c>
      <c r="L25484">
        <v>271.07</v>
      </c>
      <c r="M25484">
        <v>11801</v>
      </c>
      <c r="N25484" t="s">
        <v>40</v>
      </c>
      <c r="O25484">
        <v>251003</v>
      </c>
      <c r="P25484">
        <v>1063.02</v>
      </c>
    </row>
    <row r="25485" spans="1:16" x14ac:dyDescent="0.25">
      <c r="A25485" t="s">
        <v>3296</v>
      </c>
      <c r="B25485" t="s">
        <v>2931</v>
      </c>
      <c r="C25485">
        <v>13082</v>
      </c>
      <c r="D25485" t="str">
        <f>"51504       "</f>
        <v xml:space="preserve">51504       </v>
      </c>
      <c r="E25485" t="s">
        <v>514</v>
      </c>
      <c r="F25485" t="s">
        <v>515</v>
      </c>
      <c r="G25485">
        <v>805.18</v>
      </c>
      <c r="H25485">
        <v>250930</v>
      </c>
      <c r="I25485">
        <v>4367</v>
      </c>
      <c r="J25485" t="s">
        <v>159</v>
      </c>
      <c r="K25485">
        <v>805.18</v>
      </c>
      <c r="L25485">
        <v>163.6</v>
      </c>
      <c r="M25485">
        <v>11801</v>
      </c>
      <c r="N25485" t="s">
        <v>40</v>
      </c>
      <c r="O25485">
        <v>251003</v>
      </c>
      <c r="P25485">
        <v>641.58000000000004</v>
      </c>
    </row>
    <row r="25486" spans="1:16" x14ac:dyDescent="0.25">
      <c r="A25486" t="s">
        <v>3296</v>
      </c>
      <c r="B25486" t="s">
        <v>2931</v>
      </c>
      <c r="C25486">
        <v>13083</v>
      </c>
      <c r="D25486" t="str">
        <f>"51636       "</f>
        <v xml:space="preserve">51636       </v>
      </c>
      <c r="E25486" t="s">
        <v>514</v>
      </c>
      <c r="F25486" t="s">
        <v>515</v>
      </c>
      <c r="G25486">
        <v>205.75</v>
      </c>
      <c r="H25486">
        <v>250930</v>
      </c>
      <c r="I25486">
        <v>4367</v>
      </c>
      <c r="J25486" t="s">
        <v>159</v>
      </c>
      <c r="K25486">
        <v>205.75</v>
      </c>
      <c r="L25486">
        <v>41.81</v>
      </c>
      <c r="M25486">
        <v>11801</v>
      </c>
      <c r="N25486" t="s">
        <v>40</v>
      </c>
      <c r="O25486">
        <v>251003</v>
      </c>
      <c r="P25486">
        <v>163.94</v>
      </c>
    </row>
    <row r="25487" spans="1:16" x14ac:dyDescent="0.25">
      <c r="A25487" t="s">
        <v>3296</v>
      </c>
      <c r="B25487" t="s">
        <v>2931</v>
      </c>
      <c r="C25487">
        <v>13499</v>
      </c>
      <c r="D25487" t="str">
        <f>"51843       "</f>
        <v xml:space="preserve">51843       </v>
      </c>
      <c r="E25487" t="s">
        <v>514</v>
      </c>
      <c r="F25487" t="s">
        <v>515</v>
      </c>
      <c r="G25487">
        <v>112.81</v>
      </c>
      <c r="H25487">
        <v>250930</v>
      </c>
      <c r="I25487">
        <v>4367</v>
      </c>
      <c r="J25487" t="s">
        <v>159</v>
      </c>
      <c r="K25487">
        <v>112.81</v>
      </c>
      <c r="L25487">
        <v>22.92</v>
      </c>
      <c r="M25487">
        <v>11601</v>
      </c>
      <c r="N25487" t="s">
        <v>12</v>
      </c>
      <c r="O25487">
        <v>251010</v>
      </c>
      <c r="P25487">
        <v>89.89</v>
      </c>
    </row>
    <row r="25488" spans="1:16" x14ac:dyDescent="0.25">
      <c r="A25488" t="s">
        <v>3296</v>
      </c>
      <c r="B25488" t="s">
        <v>2931</v>
      </c>
      <c r="C25488">
        <v>13500</v>
      </c>
      <c r="D25488" t="str">
        <f>"51500       "</f>
        <v xml:space="preserve">51500       </v>
      </c>
      <c r="E25488" t="s">
        <v>514</v>
      </c>
      <c r="F25488" t="s">
        <v>515</v>
      </c>
      <c r="G25488">
        <v>239.07</v>
      </c>
      <c r="H25488">
        <v>250930</v>
      </c>
      <c r="I25488">
        <v>4367</v>
      </c>
      <c r="J25488" t="s">
        <v>159</v>
      </c>
      <c r="K25488">
        <v>239.07</v>
      </c>
      <c r="L25488">
        <v>48.58</v>
      </c>
      <c r="M25488">
        <v>11601</v>
      </c>
      <c r="N25488" t="s">
        <v>12</v>
      </c>
      <c r="O25488">
        <v>251010</v>
      </c>
      <c r="P25488">
        <v>190.49</v>
      </c>
    </row>
    <row r="25489" spans="1:16" x14ac:dyDescent="0.25">
      <c r="A25489" t="s">
        <v>3296</v>
      </c>
      <c r="B25489" t="s">
        <v>2931</v>
      </c>
      <c r="C25489">
        <v>13501</v>
      </c>
      <c r="D25489" t="str">
        <f>"51957       "</f>
        <v xml:space="preserve">51957       </v>
      </c>
      <c r="E25489" t="s">
        <v>514</v>
      </c>
      <c r="F25489" t="s">
        <v>515</v>
      </c>
      <c r="G25489">
        <v>246.11</v>
      </c>
      <c r="H25489">
        <v>250930</v>
      </c>
      <c r="I25489">
        <v>4367</v>
      </c>
      <c r="J25489" t="s">
        <v>159</v>
      </c>
      <c r="K25489">
        <v>246.11</v>
      </c>
      <c r="L25489">
        <v>50.01</v>
      </c>
      <c r="M25489">
        <v>11601</v>
      </c>
      <c r="N25489" t="s">
        <v>12</v>
      </c>
      <c r="O25489">
        <v>251010</v>
      </c>
      <c r="P25489">
        <v>196.1</v>
      </c>
    </row>
    <row r="25490" spans="1:16" x14ac:dyDescent="0.25">
      <c r="A25490" t="s">
        <v>3296</v>
      </c>
      <c r="B25490" t="s">
        <v>2931</v>
      </c>
      <c r="C25490">
        <v>13502</v>
      </c>
      <c r="D25490" t="str">
        <f>"51370       "</f>
        <v xml:space="preserve">51370       </v>
      </c>
      <c r="E25490" t="s">
        <v>514</v>
      </c>
      <c r="F25490" t="s">
        <v>515</v>
      </c>
      <c r="G25490">
        <v>38.83</v>
      </c>
      <c r="H25490">
        <v>250930</v>
      </c>
      <c r="I25490">
        <v>4367</v>
      </c>
      <c r="J25490" t="s">
        <v>159</v>
      </c>
      <c r="K25490">
        <v>38.83</v>
      </c>
      <c r="L25490">
        <v>7.89</v>
      </c>
      <c r="M25490">
        <v>11601</v>
      </c>
      <c r="N25490" t="s">
        <v>12</v>
      </c>
      <c r="O25490">
        <v>251010</v>
      </c>
      <c r="P25490">
        <v>30.94</v>
      </c>
    </row>
    <row r="25491" spans="1:16" x14ac:dyDescent="0.25">
      <c r="A25491" t="s">
        <v>3296</v>
      </c>
      <c r="B25491" t="s">
        <v>2931</v>
      </c>
      <c r="C25491">
        <v>13503</v>
      </c>
      <c r="D25491" t="str">
        <f>"51502       "</f>
        <v xml:space="preserve">51502       </v>
      </c>
      <c r="E25491" t="s">
        <v>514</v>
      </c>
      <c r="F25491" t="s">
        <v>515</v>
      </c>
      <c r="G25491">
        <v>51</v>
      </c>
      <c r="H25491">
        <v>250930</v>
      </c>
      <c r="I25491">
        <v>4367</v>
      </c>
      <c r="J25491" t="s">
        <v>159</v>
      </c>
      <c r="K25491">
        <v>51</v>
      </c>
      <c r="L25491">
        <v>10.36</v>
      </c>
      <c r="M25491">
        <v>11601</v>
      </c>
      <c r="N25491" t="s">
        <v>12</v>
      </c>
      <c r="O25491">
        <v>251010</v>
      </c>
      <c r="P25491">
        <v>40.64</v>
      </c>
    </row>
    <row r="25492" spans="1:16" x14ac:dyDescent="0.25">
      <c r="A25492" t="s">
        <v>3296</v>
      </c>
      <c r="B25492" t="s">
        <v>2931</v>
      </c>
      <c r="C25492">
        <v>14179</v>
      </c>
      <c r="D25492" t="str">
        <f>"53021       "</f>
        <v xml:space="preserve">53021       </v>
      </c>
      <c r="E25492" t="s">
        <v>514</v>
      </c>
      <c r="F25492" t="s">
        <v>515</v>
      </c>
      <c r="G25492">
        <v>690.25</v>
      </c>
      <c r="H25492">
        <v>251006</v>
      </c>
      <c r="I25492">
        <v>4367</v>
      </c>
      <c r="J25492" t="s">
        <v>159</v>
      </c>
      <c r="K25492">
        <v>1054.2</v>
      </c>
      <c r="L25492">
        <v>140.25</v>
      </c>
      <c r="M25492">
        <v>11801</v>
      </c>
      <c r="N25492" t="s">
        <v>40</v>
      </c>
      <c r="O25492">
        <v>251024</v>
      </c>
      <c r="P25492">
        <v>550</v>
      </c>
    </row>
    <row r="25493" spans="1:16" x14ac:dyDescent="0.25">
      <c r="A25493" t="s">
        <v>3296</v>
      </c>
      <c r="B25493" t="s">
        <v>2931</v>
      </c>
      <c r="C25493">
        <v>14602</v>
      </c>
      <c r="D25493" t="str">
        <f>"54625       "</f>
        <v xml:space="preserve">54625       </v>
      </c>
      <c r="E25493" t="s">
        <v>514</v>
      </c>
      <c r="F25493" t="s">
        <v>515</v>
      </c>
      <c r="G25493">
        <v>5028.54</v>
      </c>
      <c r="H25493">
        <v>251031</v>
      </c>
      <c r="I25493">
        <v>4367</v>
      </c>
      <c r="J25493" t="s">
        <v>159</v>
      </c>
      <c r="K25493">
        <v>5028.54</v>
      </c>
      <c r="L25493">
        <v>1021.74</v>
      </c>
      <c r="M25493">
        <v>11801</v>
      </c>
      <c r="N25493" t="s">
        <v>40</v>
      </c>
      <c r="O25493">
        <v>251105</v>
      </c>
      <c r="P25493">
        <v>4006.8</v>
      </c>
    </row>
    <row r="25494" spans="1:16" x14ac:dyDescent="0.25">
      <c r="A25494" t="s">
        <v>3296</v>
      </c>
      <c r="B25494" t="s">
        <v>2931</v>
      </c>
      <c r="C25494">
        <v>15196</v>
      </c>
      <c r="D25494" t="str">
        <f>"54626       "</f>
        <v xml:space="preserve">54626       </v>
      </c>
      <c r="E25494" t="s">
        <v>514</v>
      </c>
      <c r="F25494" t="s">
        <v>515</v>
      </c>
      <c r="G25494">
        <v>687.81</v>
      </c>
      <c r="H25494">
        <v>251031</v>
      </c>
      <c r="I25494">
        <v>4367</v>
      </c>
      <c r="J25494" t="s">
        <v>159</v>
      </c>
      <c r="K25494">
        <v>4316.75</v>
      </c>
      <c r="L25494">
        <v>139.75</v>
      </c>
      <c r="M25494">
        <v>11601</v>
      </c>
      <c r="N25494" t="s">
        <v>12</v>
      </c>
      <c r="O25494">
        <v>251114</v>
      </c>
      <c r="P25494">
        <v>548.05999999999995</v>
      </c>
    </row>
    <row r="25495" spans="1:16" x14ac:dyDescent="0.25">
      <c r="A25495" t="s">
        <v>3296</v>
      </c>
      <c r="B25495" t="s">
        <v>2931</v>
      </c>
      <c r="C25495">
        <v>15196</v>
      </c>
      <c r="D25495" t="str">
        <f>"54626       "</f>
        <v xml:space="preserve">54626       </v>
      </c>
      <c r="E25495" t="s">
        <v>514</v>
      </c>
      <c r="F25495" t="s">
        <v>515</v>
      </c>
      <c r="G25495">
        <v>3628.94</v>
      </c>
      <c r="H25495">
        <v>251031</v>
      </c>
      <c r="I25495">
        <v>4367</v>
      </c>
      <c r="J25495" t="s">
        <v>159</v>
      </c>
      <c r="K25495">
        <v>4316.75</v>
      </c>
      <c r="L25495">
        <v>737.35</v>
      </c>
      <c r="M25495">
        <v>11801</v>
      </c>
      <c r="N25495" t="s">
        <v>40</v>
      </c>
      <c r="O25495">
        <v>251114</v>
      </c>
      <c r="P25495">
        <v>2891.59</v>
      </c>
    </row>
    <row r="25496" spans="1:16" x14ac:dyDescent="0.25">
      <c r="A25496" t="s">
        <v>3296</v>
      </c>
      <c r="B25496" t="s">
        <v>2931</v>
      </c>
      <c r="C25496">
        <v>16022</v>
      </c>
      <c r="D25496" t="str">
        <f>"55237       "</f>
        <v xml:space="preserve">55237       </v>
      </c>
      <c r="E25496" t="s">
        <v>514</v>
      </c>
      <c r="F25496" t="s">
        <v>515</v>
      </c>
      <c r="G25496">
        <v>690.25</v>
      </c>
      <c r="H25496">
        <v>251110</v>
      </c>
      <c r="I25496">
        <v>4367</v>
      </c>
      <c r="J25496" t="s">
        <v>159</v>
      </c>
      <c r="K25496">
        <v>1054.2</v>
      </c>
      <c r="L25496">
        <v>140.25</v>
      </c>
      <c r="M25496">
        <v>11801</v>
      </c>
      <c r="N25496" t="s">
        <v>40</v>
      </c>
      <c r="O25496">
        <v>251202</v>
      </c>
      <c r="P25496">
        <v>550</v>
      </c>
    </row>
    <row r="25497" spans="1:16" x14ac:dyDescent="0.25">
      <c r="A25497" t="s">
        <v>3296</v>
      </c>
      <c r="B25497" t="s">
        <v>2931</v>
      </c>
      <c r="C25497">
        <v>16026</v>
      </c>
      <c r="D25497" t="str">
        <f>"56465       "</f>
        <v xml:space="preserve">56465       </v>
      </c>
      <c r="E25497" t="s">
        <v>514</v>
      </c>
      <c r="F25497" t="s">
        <v>515</v>
      </c>
      <c r="G25497">
        <v>5028.54</v>
      </c>
      <c r="H25497">
        <v>251127</v>
      </c>
      <c r="I25497">
        <v>4367</v>
      </c>
      <c r="J25497" t="s">
        <v>159</v>
      </c>
      <c r="K25497">
        <v>5028.54</v>
      </c>
      <c r="L25497">
        <v>1021.74</v>
      </c>
      <c r="M25497">
        <v>11801</v>
      </c>
      <c r="N25497" t="s">
        <v>40</v>
      </c>
      <c r="O25497">
        <v>251202</v>
      </c>
      <c r="P25497">
        <v>4006.8</v>
      </c>
    </row>
    <row r="25498" spans="1:16" x14ac:dyDescent="0.25">
      <c r="A25498" t="s">
        <v>3296</v>
      </c>
      <c r="B25498" t="s">
        <v>2931</v>
      </c>
      <c r="C25498">
        <v>16620</v>
      </c>
      <c r="D25498" t="str">
        <f>"56466       "</f>
        <v xml:space="preserve">56466       </v>
      </c>
      <c r="E25498" t="s">
        <v>514</v>
      </c>
      <c r="F25498" t="s">
        <v>515</v>
      </c>
      <c r="G25498">
        <v>687.81</v>
      </c>
      <c r="H25498">
        <v>251127</v>
      </c>
      <c r="I25498">
        <v>4367</v>
      </c>
      <c r="J25498" t="s">
        <v>159</v>
      </c>
      <c r="K25498">
        <v>4316.75</v>
      </c>
      <c r="L25498">
        <v>139.75</v>
      </c>
      <c r="M25498">
        <v>11601</v>
      </c>
      <c r="N25498" t="s">
        <v>12</v>
      </c>
      <c r="O25498">
        <v>251211</v>
      </c>
      <c r="P25498">
        <v>548.05999999999995</v>
      </c>
    </row>
    <row r="25499" spans="1:16" x14ac:dyDescent="0.25">
      <c r="A25499" t="s">
        <v>3296</v>
      </c>
      <c r="B25499" t="s">
        <v>2931</v>
      </c>
      <c r="C25499">
        <v>16620</v>
      </c>
      <c r="D25499" t="str">
        <f>"56466       "</f>
        <v xml:space="preserve">56466       </v>
      </c>
      <c r="E25499" t="s">
        <v>514</v>
      </c>
      <c r="F25499" t="s">
        <v>515</v>
      </c>
      <c r="G25499">
        <v>3628.94</v>
      </c>
      <c r="H25499">
        <v>251127</v>
      </c>
      <c r="I25499">
        <v>4367</v>
      </c>
      <c r="J25499" t="s">
        <v>159</v>
      </c>
      <c r="K25499">
        <v>4316.75</v>
      </c>
      <c r="L25499">
        <v>737.35</v>
      </c>
      <c r="M25499">
        <v>11801</v>
      </c>
      <c r="N25499" t="s">
        <v>40</v>
      </c>
      <c r="O25499">
        <v>251211</v>
      </c>
      <c r="P25499">
        <v>2891.59</v>
      </c>
    </row>
    <row r="25500" spans="1:16" x14ac:dyDescent="0.25">
      <c r="A25500" t="s">
        <v>3296</v>
      </c>
      <c r="B25500" t="s">
        <v>2931</v>
      </c>
      <c r="C25500">
        <v>17667</v>
      </c>
      <c r="D25500" t="str">
        <f>"58673       "</f>
        <v xml:space="preserve">58673       </v>
      </c>
      <c r="E25500" t="s">
        <v>514</v>
      </c>
      <c r="F25500" t="s">
        <v>515</v>
      </c>
      <c r="G25500">
        <v>5028.54</v>
      </c>
      <c r="H25500">
        <v>251219</v>
      </c>
      <c r="I25500">
        <v>4367</v>
      </c>
      <c r="J25500" t="s">
        <v>159</v>
      </c>
      <c r="K25500">
        <v>5028.54</v>
      </c>
      <c r="L25500">
        <v>1021.74</v>
      </c>
      <c r="M25500">
        <v>11801</v>
      </c>
      <c r="N25500" t="s">
        <v>40</v>
      </c>
      <c r="O25500">
        <v>251229</v>
      </c>
      <c r="P25500">
        <v>4006.8</v>
      </c>
    </row>
    <row r="25501" spans="1:16" x14ac:dyDescent="0.25">
      <c r="A25501" t="s">
        <v>3296</v>
      </c>
      <c r="B25501" t="s">
        <v>2931</v>
      </c>
      <c r="C25501">
        <v>17752</v>
      </c>
      <c r="D25501" t="str">
        <f>"57646       "</f>
        <v xml:space="preserve">57646       </v>
      </c>
      <c r="E25501" t="s">
        <v>514</v>
      </c>
      <c r="F25501" t="s">
        <v>515</v>
      </c>
      <c r="G25501">
        <v>690.25</v>
      </c>
      <c r="H25501">
        <v>251208</v>
      </c>
      <c r="I25501">
        <v>4367</v>
      </c>
      <c r="J25501" t="s">
        <v>159</v>
      </c>
      <c r="K25501">
        <v>1054.2</v>
      </c>
      <c r="L25501">
        <v>140.25</v>
      </c>
      <c r="M25501">
        <v>11801</v>
      </c>
      <c r="N25501" t="s">
        <v>40</v>
      </c>
      <c r="O25501">
        <v>251230</v>
      </c>
      <c r="P25501">
        <v>550</v>
      </c>
    </row>
    <row r="25502" spans="1:16" x14ac:dyDescent="0.25">
      <c r="A25502" t="s">
        <v>3296</v>
      </c>
      <c r="B25502" t="s">
        <v>2931</v>
      </c>
      <c r="C25502">
        <v>17928</v>
      </c>
      <c r="D25502" t="str">
        <f>"58674       "</f>
        <v xml:space="preserve">58674       </v>
      </c>
      <c r="E25502" t="s">
        <v>514</v>
      </c>
      <c r="F25502" t="s">
        <v>515</v>
      </c>
      <c r="G25502">
        <v>687.81</v>
      </c>
      <c r="H25502">
        <v>251219</v>
      </c>
      <c r="I25502">
        <v>4367</v>
      </c>
      <c r="J25502" t="s">
        <v>159</v>
      </c>
      <c r="K25502">
        <v>4316.75</v>
      </c>
      <c r="L25502">
        <v>139.75</v>
      </c>
      <c r="M25502">
        <v>11601</v>
      </c>
      <c r="N25502" t="s">
        <v>12</v>
      </c>
      <c r="O25502">
        <v>260107</v>
      </c>
      <c r="P25502">
        <v>548.05999999999995</v>
      </c>
    </row>
    <row r="25503" spans="1:16" x14ac:dyDescent="0.25">
      <c r="A25503" t="s">
        <v>3296</v>
      </c>
      <c r="B25503" t="s">
        <v>2931</v>
      </c>
      <c r="C25503">
        <v>17928</v>
      </c>
      <c r="D25503" t="str">
        <f>"58674       "</f>
        <v xml:space="preserve">58674       </v>
      </c>
      <c r="E25503" t="s">
        <v>514</v>
      </c>
      <c r="F25503" t="s">
        <v>515</v>
      </c>
      <c r="G25503">
        <v>3628.94</v>
      </c>
      <c r="H25503">
        <v>251219</v>
      </c>
      <c r="I25503">
        <v>4367</v>
      </c>
      <c r="J25503" t="s">
        <v>159</v>
      </c>
      <c r="K25503">
        <v>4316.75</v>
      </c>
      <c r="L25503">
        <v>737.35</v>
      </c>
      <c r="M25503">
        <v>11801</v>
      </c>
      <c r="N25503" t="s">
        <v>40</v>
      </c>
      <c r="O25503">
        <v>260107</v>
      </c>
      <c r="P25503">
        <v>2891.59</v>
      </c>
    </row>
    <row r="25504" spans="1:16" x14ac:dyDescent="0.25">
      <c r="A25504" t="s">
        <v>3296</v>
      </c>
      <c r="B25504" t="s">
        <v>2931</v>
      </c>
      <c r="C25504">
        <v>3020</v>
      </c>
      <c r="D25504" t="str">
        <f>"36250       "</f>
        <v xml:space="preserve">36250       </v>
      </c>
      <c r="E25504" t="s">
        <v>514</v>
      </c>
      <c r="F25504" t="s">
        <v>515</v>
      </c>
      <c r="G25504">
        <v>496.98</v>
      </c>
      <c r="H25504">
        <v>250228</v>
      </c>
      <c r="I25504">
        <v>4368</v>
      </c>
      <c r="J25504" t="s">
        <v>1082</v>
      </c>
      <c r="K25504">
        <v>685.23</v>
      </c>
      <c r="L25504">
        <v>100.98</v>
      </c>
      <c r="M25504">
        <v>11101</v>
      </c>
      <c r="N25504" t="s">
        <v>67</v>
      </c>
      <c r="O25504">
        <v>250314</v>
      </c>
      <c r="P25504">
        <v>396</v>
      </c>
    </row>
    <row r="25505" spans="1:16" x14ac:dyDescent="0.25">
      <c r="A25505" t="s">
        <v>3296</v>
      </c>
      <c r="B25505" t="s">
        <v>2931</v>
      </c>
      <c r="C25505">
        <v>3020</v>
      </c>
      <c r="D25505" t="str">
        <f>"36250       "</f>
        <v xml:space="preserve">36250       </v>
      </c>
      <c r="E25505" t="s">
        <v>514</v>
      </c>
      <c r="F25505" t="s">
        <v>515</v>
      </c>
      <c r="G25505">
        <v>188.25</v>
      </c>
      <c r="H25505">
        <v>250228</v>
      </c>
      <c r="I25505">
        <v>4368</v>
      </c>
      <c r="J25505" t="s">
        <v>1082</v>
      </c>
      <c r="K25505">
        <v>685.23</v>
      </c>
      <c r="L25505">
        <v>38.25</v>
      </c>
      <c r="M25505">
        <v>11601</v>
      </c>
      <c r="N25505" t="s">
        <v>12</v>
      </c>
      <c r="O25505">
        <v>250314</v>
      </c>
      <c r="P25505">
        <v>150</v>
      </c>
    </row>
    <row r="25506" spans="1:16" x14ac:dyDescent="0.25">
      <c r="A25506" t="s">
        <v>3296</v>
      </c>
      <c r="B25506" t="s">
        <v>2931</v>
      </c>
      <c r="C25506">
        <v>5169</v>
      </c>
      <c r="D25506" t="str">
        <f>"37556       "</f>
        <v xml:space="preserve">37556       </v>
      </c>
      <c r="E25506" t="s">
        <v>514</v>
      </c>
      <c r="F25506" t="s">
        <v>515</v>
      </c>
      <c r="G25506">
        <v>51</v>
      </c>
      <c r="H25506">
        <v>250331</v>
      </c>
      <c r="I25506">
        <v>4368</v>
      </c>
      <c r="J25506" t="s">
        <v>1082</v>
      </c>
      <c r="K25506">
        <v>51</v>
      </c>
      <c r="L25506">
        <v>10.36</v>
      </c>
      <c r="M25506">
        <v>11601</v>
      </c>
      <c r="N25506" t="s">
        <v>12</v>
      </c>
      <c r="O25506">
        <v>250417</v>
      </c>
      <c r="P25506">
        <v>40.64</v>
      </c>
    </row>
    <row r="25507" spans="1:16" x14ac:dyDescent="0.25">
      <c r="A25507" t="s">
        <v>3296</v>
      </c>
      <c r="B25507" t="s">
        <v>2931</v>
      </c>
      <c r="C25507">
        <v>5600</v>
      </c>
      <c r="D25507" t="str">
        <f>"38882       "</f>
        <v xml:space="preserve">38882       </v>
      </c>
      <c r="E25507" t="s">
        <v>514</v>
      </c>
      <c r="F25507" t="s">
        <v>515</v>
      </c>
      <c r="G25507">
        <v>188.25</v>
      </c>
      <c r="H25507">
        <v>250407</v>
      </c>
      <c r="I25507">
        <v>4368</v>
      </c>
      <c r="J25507" t="s">
        <v>1082</v>
      </c>
      <c r="K25507">
        <v>188.25</v>
      </c>
      <c r="L25507">
        <v>38.25</v>
      </c>
      <c r="M25507">
        <v>11601</v>
      </c>
      <c r="N25507" t="s">
        <v>12</v>
      </c>
      <c r="O25507">
        <v>250425</v>
      </c>
      <c r="P25507">
        <v>150</v>
      </c>
    </row>
    <row r="25508" spans="1:16" x14ac:dyDescent="0.25">
      <c r="A25508" t="s">
        <v>3296</v>
      </c>
      <c r="B25508" t="s">
        <v>2931</v>
      </c>
      <c r="C25508">
        <v>6175</v>
      </c>
      <c r="D25508" t="str">
        <f>"39896       "</f>
        <v xml:space="preserve">39896       </v>
      </c>
      <c r="E25508" t="s">
        <v>514</v>
      </c>
      <c r="F25508" t="s">
        <v>515</v>
      </c>
      <c r="G25508">
        <v>51</v>
      </c>
      <c r="H25508">
        <v>250430</v>
      </c>
      <c r="I25508">
        <v>4368</v>
      </c>
      <c r="J25508" t="s">
        <v>1082</v>
      </c>
      <c r="K25508">
        <v>51</v>
      </c>
      <c r="L25508">
        <v>10.36</v>
      </c>
      <c r="M25508">
        <v>11601</v>
      </c>
      <c r="N25508" t="s">
        <v>12</v>
      </c>
      <c r="O25508">
        <v>250509</v>
      </c>
      <c r="P25508">
        <v>40.64</v>
      </c>
    </row>
    <row r="25509" spans="1:16" x14ac:dyDescent="0.25">
      <c r="A25509" t="s">
        <v>3296</v>
      </c>
      <c r="B25509" t="s">
        <v>2931</v>
      </c>
      <c r="C25509">
        <v>8552</v>
      </c>
      <c r="D25509" t="str">
        <f>"42070       "</f>
        <v xml:space="preserve">42070       </v>
      </c>
      <c r="E25509" t="s">
        <v>514</v>
      </c>
      <c r="F25509" t="s">
        <v>515</v>
      </c>
      <c r="G25509">
        <v>12550</v>
      </c>
      <c r="H25509">
        <v>250531</v>
      </c>
      <c r="I25509">
        <v>4368</v>
      </c>
      <c r="J25509" t="s">
        <v>1082</v>
      </c>
      <c r="K25509">
        <v>12550</v>
      </c>
      <c r="L25509">
        <v>2550</v>
      </c>
      <c r="M25509">
        <v>11801</v>
      </c>
      <c r="N25509" t="s">
        <v>40</v>
      </c>
      <c r="O25509">
        <v>250617</v>
      </c>
      <c r="P25509">
        <v>10000</v>
      </c>
    </row>
    <row r="25510" spans="1:16" x14ac:dyDescent="0.25">
      <c r="A25510" t="s">
        <v>3296</v>
      </c>
      <c r="B25510" t="s">
        <v>2931</v>
      </c>
      <c r="C25510">
        <v>8627</v>
      </c>
      <c r="D25510" t="str">
        <f>"41967       "</f>
        <v xml:space="preserve">41967       </v>
      </c>
      <c r="E25510" t="s">
        <v>514</v>
      </c>
      <c r="F25510" t="s">
        <v>515</v>
      </c>
      <c r="G25510">
        <v>6332.73</v>
      </c>
      <c r="H25510">
        <v>250531</v>
      </c>
      <c r="I25510">
        <v>4368</v>
      </c>
      <c r="J25510" t="s">
        <v>1082</v>
      </c>
      <c r="K25510">
        <v>6332.73</v>
      </c>
      <c r="L25510">
        <v>1286.73</v>
      </c>
      <c r="M25510">
        <v>11601</v>
      </c>
      <c r="N25510" t="s">
        <v>12</v>
      </c>
      <c r="O25510">
        <v>250617</v>
      </c>
      <c r="P25510">
        <v>5046</v>
      </c>
    </row>
    <row r="25511" spans="1:16" x14ac:dyDescent="0.25">
      <c r="A25511" t="s">
        <v>3296</v>
      </c>
      <c r="B25511" t="s">
        <v>2931</v>
      </c>
      <c r="C25511">
        <v>12250</v>
      </c>
      <c r="D25511" t="str">
        <f>"50338       "</f>
        <v xml:space="preserve">50338       </v>
      </c>
      <c r="E25511" t="s">
        <v>514</v>
      </c>
      <c r="F25511" t="s">
        <v>515</v>
      </c>
      <c r="G25511">
        <v>248.49</v>
      </c>
      <c r="H25511">
        <v>250831</v>
      </c>
      <c r="I25511">
        <v>4368</v>
      </c>
      <c r="J25511" t="s">
        <v>1082</v>
      </c>
      <c r="K25511">
        <v>248.49</v>
      </c>
      <c r="L25511">
        <v>50.49</v>
      </c>
      <c r="M25511">
        <v>11601</v>
      </c>
      <c r="N25511" t="s">
        <v>12</v>
      </c>
      <c r="O25511">
        <v>250918</v>
      </c>
      <c r="P25511">
        <v>198</v>
      </c>
    </row>
    <row r="25512" spans="1:16" x14ac:dyDescent="0.25">
      <c r="A25512" t="s">
        <v>3296</v>
      </c>
      <c r="B25512" t="s">
        <v>2931</v>
      </c>
      <c r="C25512">
        <v>13954</v>
      </c>
      <c r="D25512" t="str">
        <f>"52703       "</f>
        <v xml:space="preserve">52703       </v>
      </c>
      <c r="E25512" t="s">
        <v>514</v>
      </c>
      <c r="F25512" t="s">
        <v>515</v>
      </c>
      <c r="G25512">
        <v>7770.96</v>
      </c>
      <c r="H25512">
        <v>251001</v>
      </c>
      <c r="I25512">
        <v>4368</v>
      </c>
      <c r="J25512" t="s">
        <v>1082</v>
      </c>
      <c r="K25512">
        <v>7770.96</v>
      </c>
      <c r="L25512">
        <v>1578.96</v>
      </c>
      <c r="M25512">
        <v>11601</v>
      </c>
      <c r="N25512" t="s">
        <v>12</v>
      </c>
      <c r="O25512">
        <v>251021</v>
      </c>
      <c r="P25512">
        <v>6192</v>
      </c>
    </row>
    <row r="25513" spans="1:16" x14ac:dyDescent="0.25">
      <c r="A25513" t="s">
        <v>3296</v>
      </c>
      <c r="B25513" t="s">
        <v>2931</v>
      </c>
      <c r="C25513">
        <v>17100</v>
      </c>
      <c r="D25513" t="str">
        <f>"57332       "</f>
        <v xml:space="preserve">57332       </v>
      </c>
      <c r="E25513" t="s">
        <v>514</v>
      </c>
      <c r="F25513" t="s">
        <v>515</v>
      </c>
      <c r="G25513">
        <v>1001.49</v>
      </c>
      <c r="H25513">
        <v>251130</v>
      </c>
      <c r="I25513">
        <v>4368</v>
      </c>
      <c r="J25513" t="s">
        <v>1082</v>
      </c>
      <c r="K25513">
        <v>1001.49</v>
      </c>
      <c r="L25513">
        <v>203.49</v>
      </c>
      <c r="M25513">
        <v>11601</v>
      </c>
      <c r="N25513" t="s">
        <v>12</v>
      </c>
      <c r="O25513">
        <v>251217</v>
      </c>
      <c r="P25513">
        <v>798</v>
      </c>
    </row>
    <row r="25514" spans="1:16" x14ac:dyDescent="0.25">
      <c r="A25514" t="s">
        <v>3296</v>
      </c>
      <c r="B25514" t="s">
        <v>2931</v>
      </c>
      <c r="C25514">
        <v>18446</v>
      </c>
      <c r="D25514" t="str">
        <f>"59341       "</f>
        <v xml:space="preserve">59341       </v>
      </c>
      <c r="E25514" t="s">
        <v>514</v>
      </c>
      <c r="F25514" t="s">
        <v>515</v>
      </c>
      <c r="G25514">
        <v>1255</v>
      </c>
      <c r="H25514">
        <v>251231</v>
      </c>
      <c r="I25514">
        <v>4368</v>
      </c>
      <c r="J25514" t="s">
        <v>1082</v>
      </c>
      <c r="K25514">
        <v>1255</v>
      </c>
      <c r="L25514">
        <v>255</v>
      </c>
      <c r="M25514">
        <v>11601</v>
      </c>
      <c r="N25514" t="s">
        <v>12</v>
      </c>
      <c r="O25514">
        <v>260113</v>
      </c>
      <c r="P25514">
        <v>1000</v>
      </c>
    </row>
    <row r="25515" spans="1:16" x14ac:dyDescent="0.25">
      <c r="A25515" t="s">
        <v>3296</v>
      </c>
      <c r="B25515" t="s">
        <v>2931</v>
      </c>
      <c r="C25515">
        <v>18595</v>
      </c>
      <c r="D25515" t="str">
        <f>"59900       "</f>
        <v xml:space="preserve">59900       </v>
      </c>
      <c r="E25515" t="s">
        <v>514</v>
      </c>
      <c r="F25515" t="s">
        <v>515</v>
      </c>
      <c r="G25515">
        <v>7028</v>
      </c>
      <c r="H25515">
        <v>251231</v>
      </c>
      <c r="I25515">
        <v>4368</v>
      </c>
      <c r="J25515" t="s">
        <v>1082</v>
      </c>
      <c r="K25515">
        <v>7028</v>
      </c>
      <c r="L25515">
        <v>1428</v>
      </c>
      <c r="M25515">
        <v>11801</v>
      </c>
      <c r="N25515" t="s">
        <v>40</v>
      </c>
      <c r="O25515">
        <v>260119</v>
      </c>
      <c r="P25515">
        <v>5600</v>
      </c>
    </row>
    <row r="25516" spans="1:16" x14ac:dyDescent="0.25">
      <c r="A25516" t="s">
        <v>3296</v>
      </c>
      <c r="B25516" t="s">
        <v>2931</v>
      </c>
      <c r="C25516">
        <v>440</v>
      </c>
      <c r="D25516" t="str">
        <f>"31187       "</f>
        <v xml:space="preserve">31187       </v>
      </c>
      <c r="E25516" t="s">
        <v>514</v>
      </c>
      <c r="F25516" t="s">
        <v>515</v>
      </c>
      <c r="G25516">
        <v>363.95</v>
      </c>
      <c r="H25516">
        <v>250113</v>
      </c>
      <c r="I25516">
        <v>4369</v>
      </c>
      <c r="J25516" t="s">
        <v>188</v>
      </c>
      <c r="K25516">
        <v>1054.2</v>
      </c>
      <c r="L25516">
        <v>73.95</v>
      </c>
      <c r="M25516">
        <v>11601</v>
      </c>
      <c r="N25516" t="s">
        <v>12</v>
      </c>
      <c r="O25516">
        <v>250122</v>
      </c>
      <c r="P25516">
        <v>290</v>
      </c>
    </row>
    <row r="25517" spans="1:16" x14ac:dyDescent="0.25">
      <c r="A25517" t="s">
        <v>3296</v>
      </c>
      <c r="B25517" t="s">
        <v>2931</v>
      </c>
      <c r="C25517">
        <v>1636</v>
      </c>
      <c r="D25517" t="str">
        <f>"33060       "</f>
        <v xml:space="preserve">33060       </v>
      </c>
      <c r="E25517" t="s">
        <v>514</v>
      </c>
      <c r="F25517" t="s">
        <v>515</v>
      </c>
      <c r="G25517">
        <v>51</v>
      </c>
      <c r="H25517">
        <v>250131</v>
      </c>
      <c r="I25517">
        <v>4369</v>
      </c>
      <c r="J25517" t="s">
        <v>188</v>
      </c>
      <c r="K25517">
        <v>51</v>
      </c>
      <c r="L25517">
        <v>10.36</v>
      </c>
      <c r="M25517">
        <v>11601</v>
      </c>
      <c r="N25517" t="s">
        <v>12</v>
      </c>
      <c r="O25517">
        <v>250212</v>
      </c>
      <c r="P25517">
        <v>40.64</v>
      </c>
    </row>
    <row r="25518" spans="1:16" x14ac:dyDescent="0.25">
      <c r="A25518" t="s">
        <v>3296</v>
      </c>
      <c r="B25518" t="s">
        <v>2931</v>
      </c>
      <c r="C25518">
        <v>1639</v>
      </c>
      <c r="D25518" t="str">
        <f>"34535       "</f>
        <v xml:space="preserve">34535       </v>
      </c>
      <c r="E25518" t="s">
        <v>514</v>
      </c>
      <c r="F25518" t="s">
        <v>515</v>
      </c>
      <c r="G25518">
        <v>494.95</v>
      </c>
      <c r="H25518">
        <v>250131</v>
      </c>
      <c r="I25518">
        <v>4369</v>
      </c>
      <c r="J25518" t="s">
        <v>188</v>
      </c>
      <c r="K25518">
        <v>494.95</v>
      </c>
      <c r="L25518">
        <v>100.57</v>
      </c>
      <c r="M25518">
        <v>11601</v>
      </c>
      <c r="N25518" t="s">
        <v>12</v>
      </c>
      <c r="O25518">
        <v>250212</v>
      </c>
      <c r="P25518">
        <v>394.38</v>
      </c>
    </row>
    <row r="25519" spans="1:16" x14ac:dyDescent="0.25">
      <c r="A25519" t="s">
        <v>3296</v>
      </c>
      <c r="B25519" t="s">
        <v>2931</v>
      </c>
      <c r="C25519">
        <v>2815</v>
      </c>
      <c r="D25519" t="str">
        <f>"35431       "</f>
        <v xml:space="preserve">35431       </v>
      </c>
      <c r="E25519" t="s">
        <v>514</v>
      </c>
      <c r="F25519" t="s">
        <v>515</v>
      </c>
      <c r="G25519">
        <v>51</v>
      </c>
      <c r="H25519">
        <v>250228</v>
      </c>
      <c r="I25519">
        <v>4369</v>
      </c>
      <c r="J25519" t="s">
        <v>188</v>
      </c>
      <c r="K25519">
        <v>51</v>
      </c>
      <c r="L25519">
        <v>10.36</v>
      </c>
      <c r="M25519">
        <v>11601</v>
      </c>
      <c r="N25519" t="s">
        <v>12</v>
      </c>
      <c r="O25519">
        <v>250312</v>
      </c>
      <c r="P25519">
        <v>40.64</v>
      </c>
    </row>
    <row r="25520" spans="1:16" x14ac:dyDescent="0.25">
      <c r="A25520" t="s">
        <v>3296</v>
      </c>
      <c r="B25520" t="s">
        <v>2931</v>
      </c>
      <c r="C25520">
        <v>3144</v>
      </c>
      <c r="D25520" t="str">
        <f>"36789       "</f>
        <v xml:space="preserve">36789       </v>
      </c>
      <c r="E25520" t="s">
        <v>514</v>
      </c>
      <c r="F25520" t="s">
        <v>515</v>
      </c>
      <c r="G25520">
        <v>582.32000000000005</v>
      </c>
      <c r="H25520">
        <v>250228</v>
      </c>
      <c r="I25520">
        <v>4369</v>
      </c>
      <c r="J25520" t="s">
        <v>188</v>
      </c>
      <c r="K25520">
        <v>582.32000000000005</v>
      </c>
      <c r="L25520">
        <v>118.32</v>
      </c>
      <c r="M25520">
        <v>11601</v>
      </c>
      <c r="N25520" t="s">
        <v>12</v>
      </c>
      <c r="O25520">
        <v>250314</v>
      </c>
      <c r="P25520">
        <v>464</v>
      </c>
    </row>
    <row r="25521" spans="1:16" x14ac:dyDescent="0.25">
      <c r="A25521" t="s">
        <v>3296</v>
      </c>
      <c r="B25521" t="s">
        <v>2931</v>
      </c>
      <c r="C25521">
        <v>5168</v>
      </c>
      <c r="D25521" t="str">
        <f>"38501       "</f>
        <v xml:space="preserve">38501       </v>
      </c>
      <c r="E25521" t="s">
        <v>514</v>
      </c>
      <c r="F25521" t="s">
        <v>515</v>
      </c>
      <c r="G25521">
        <v>191.06</v>
      </c>
      <c r="H25521">
        <v>250331</v>
      </c>
      <c r="I25521">
        <v>4369</v>
      </c>
      <c r="J25521" t="s">
        <v>188</v>
      </c>
      <c r="K25521">
        <v>191.06</v>
      </c>
      <c r="L25521">
        <v>38.82</v>
      </c>
      <c r="M25521">
        <v>11601</v>
      </c>
      <c r="N25521" t="s">
        <v>12</v>
      </c>
      <c r="O25521">
        <v>250417</v>
      </c>
      <c r="P25521">
        <v>152.24</v>
      </c>
    </row>
    <row r="25522" spans="1:16" x14ac:dyDescent="0.25">
      <c r="A25522" t="s">
        <v>3296</v>
      </c>
      <c r="B25522" t="s">
        <v>2931</v>
      </c>
      <c r="C25522">
        <v>5173</v>
      </c>
      <c r="D25522" t="str">
        <f>"38719       "</f>
        <v xml:space="preserve">38719       </v>
      </c>
      <c r="E25522" t="s">
        <v>514</v>
      </c>
      <c r="F25522" t="s">
        <v>515</v>
      </c>
      <c r="G25522">
        <v>392.84</v>
      </c>
      <c r="H25522">
        <v>250331</v>
      </c>
      <c r="I25522">
        <v>4369</v>
      </c>
      <c r="J25522" t="s">
        <v>188</v>
      </c>
      <c r="K25522">
        <v>392.84</v>
      </c>
      <c r="L25522">
        <v>79.819999999999993</v>
      </c>
      <c r="M25522">
        <v>11601</v>
      </c>
      <c r="N25522" t="s">
        <v>12</v>
      </c>
      <c r="O25522">
        <v>250417</v>
      </c>
      <c r="P25522">
        <v>313.02</v>
      </c>
    </row>
    <row r="25523" spans="1:16" x14ac:dyDescent="0.25">
      <c r="A25523" t="s">
        <v>3296</v>
      </c>
      <c r="B25523" t="s">
        <v>2931</v>
      </c>
      <c r="C25523">
        <v>6202</v>
      </c>
      <c r="D25523" t="str">
        <f>"40858       "</f>
        <v xml:space="preserve">40858       </v>
      </c>
      <c r="E25523" t="s">
        <v>514</v>
      </c>
      <c r="F25523" t="s">
        <v>515</v>
      </c>
      <c r="G25523">
        <v>599.52</v>
      </c>
      <c r="H25523">
        <v>250430</v>
      </c>
      <c r="I25523">
        <v>4369</v>
      </c>
      <c r="J25523" t="s">
        <v>188</v>
      </c>
      <c r="K25523">
        <v>599.52</v>
      </c>
      <c r="L25523">
        <v>121.81</v>
      </c>
      <c r="M25523">
        <v>11601</v>
      </c>
      <c r="N25523" t="s">
        <v>12</v>
      </c>
      <c r="O25523">
        <v>250509</v>
      </c>
      <c r="P25523">
        <v>477.71</v>
      </c>
    </row>
    <row r="25524" spans="1:16" x14ac:dyDescent="0.25">
      <c r="A25524" t="s">
        <v>3296</v>
      </c>
      <c r="B25524" t="s">
        <v>2931</v>
      </c>
      <c r="C25524">
        <v>6727</v>
      </c>
      <c r="D25524" t="str">
        <f>"39324       "</f>
        <v xml:space="preserve">39324       </v>
      </c>
      <c r="E25524" t="s">
        <v>514</v>
      </c>
      <c r="F25524" t="s">
        <v>515</v>
      </c>
      <c r="G25524">
        <v>363.95</v>
      </c>
      <c r="H25524">
        <v>250428</v>
      </c>
      <c r="I25524">
        <v>4369</v>
      </c>
      <c r="J25524" t="s">
        <v>188</v>
      </c>
      <c r="K25524">
        <v>1054.2</v>
      </c>
      <c r="L25524">
        <v>73.95</v>
      </c>
      <c r="M25524">
        <v>11601</v>
      </c>
      <c r="N25524" t="s">
        <v>12</v>
      </c>
      <c r="O25524">
        <v>250516</v>
      </c>
      <c r="P25524">
        <v>290</v>
      </c>
    </row>
    <row r="25525" spans="1:16" x14ac:dyDescent="0.25">
      <c r="A25525" t="s">
        <v>3296</v>
      </c>
      <c r="B25525" t="s">
        <v>2931</v>
      </c>
      <c r="C25525">
        <v>7817</v>
      </c>
      <c r="D25525" t="str">
        <f>"41223       "</f>
        <v xml:space="preserve">41223       </v>
      </c>
      <c r="E25525" t="s">
        <v>514</v>
      </c>
      <c r="F25525" t="s">
        <v>515</v>
      </c>
      <c r="G25525">
        <v>363.95</v>
      </c>
      <c r="H25525">
        <v>250513</v>
      </c>
      <c r="I25525">
        <v>4369</v>
      </c>
      <c r="J25525" t="s">
        <v>188</v>
      </c>
      <c r="K25525">
        <v>1054.2</v>
      </c>
      <c r="L25525">
        <v>73.95</v>
      </c>
      <c r="M25525">
        <v>11601</v>
      </c>
      <c r="N25525" t="s">
        <v>12</v>
      </c>
      <c r="O25525">
        <v>250609</v>
      </c>
      <c r="P25525">
        <v>290</v>
      </c>
    </row>
    <row r="25526" spans="1:16" x14ac:dyDescent="0.25">
      <c r="A25526" t="s">
        <v>3296</v>
      </c>
      <c r="B25526" t="s">
        <v>2931</v>
      </c>
      <c r="C25526">
        <v>8258</v>
      </c>
      <c r="D25526" t="str">
        <f>"43318       "</f>
        <v xml:space="preserve">43318       </v>
      </c>
      <c r="E25526" t="s">
        <v>514</v>
      </c>
      <c r="F25526" t="s">
        <v>515</v>
      </c>
      <c r="G25526">
        <v>672.65</v>
      </c>
      <c r="H25526">
        <v>250531</v>
      </c>
      <c r="I25526">
        <v>4369</v>
      </c>
      <c r="J25526" t="s">
        <v>188</v>
      </c>
      <c r="K25526">
        <v>672.65</v>
      </c>
      <c r="L25526">
        <v>136.66999999999999</v>
      </c>
      <c r="M25526">
        <v>11601</v>
      </c>
      <c r="N25526" t="s">
        <v>12</v>
      </c>
      <c r="O25526">
        <v>250612</v>
      </c>
      <c r="P25526">
        <v>535.98</v>
      </c>
    </row>
    <row r="25527" spans="1:16" x14ac:dyDescent="0.25">
      <c r="A25527" t="s">
        <v>3296</v>
      </c>
      <c r="B25527" t="s">
        <v>2931</v>
      </c>
      <c r="C25527">
        <v>9203</v>
      </c>
      <c r="D25527" t="str">
        <f>"43823       "</f>
        <v xml:space="preserve">43823       </v>
      </c>
      <c r="E25527" t="s">
        <v>514</v>
      </c>
      <c r="F25527" t="s">
        <v>515</v>
      </c>
      <c r="G25527">
        <v>363.95</v>
      </c>
      <c r="H25527">
        <v>250609</v>
      </c>
      <c r="I25527">
        <v>4369</v>
      </c>
      <c r="J25527" t="s">
        <v>188</v>
      </c>
      <c r="K25527">
        <v>1054.2</v>
      </c>
      <c r="L25527">
        <v>73.95</v>
      </c>
      <c r="M25527">
        <v>11601</v>
      </c>
      <c r="N25527" t="s">
        <v>12</v>
      </c>
      <c r="O25527">
        <v>250627</v>
      </c>
      <c r="P25527">
        <v>290</v>
      </c>
    </row>
    <row r="25528" spans="1:16" x14ac:dyDescent="0.25">
      <c r="A25528" t="s">
        <v>3296</v>
      </c>
      <c r="B25528" t="s">
        <v>2931</v>
      </c>
      <c r="C25528">
        <v>9421</v>
      </c>
      <c r="D25528" t="str">
        <f>"45210       "</f>
        <v xml:space="preserve">45210       </v>
      </c>
      <c r="E25528" t="s">
        <v>514</v>
      </c>
      <c r="F25528" t="s">
        <v>515</v>
      </c>
      <c r="G25528">
        <v>516.70000000000005</v>
      </c>
      <c r="H25528">
        <v>250630</v>
      </c>
      <c r="I25528">
        <v>4369</v>
      </c>
      <c r="J25528" t="s">
        <v>188</v>
      </c>
      <c r="K25528">
        <v>516.70000000000005</v>
      </c>
      <c r="L25528">
        <v>104.99</v>
      </c>
      <c r="M25528">
        <v>11601</v>
      </c>
      <c r="N25528" t="s">
        <v>12</v>
      </c>
      <c r="O25528">
        <v>250707</v>
      </c>
      <c r="P25528">
        <v>411.71</v>
      </c>
    </row>
    <row r="25529" spans="1:16" x14ac:dyDescent="0.25">
      <c r="A25529" t="s">
        <v>3296</v>
      </c>
      <c r="B25529" t="s">
        <v>2931</v>
      </c>
      <c r="C25529">
        <v>10133</v>
      </c>
      <c r="D25529" t="str">
        <f>"47837       "</f>
        <v xml:space="preserve">47837       </v>
      </c>
      <c r="E25529" t="s">
        <v>514</v>
      </c>
      <c r="F25529" t="s">
        <v>515</v>
      </c>
      <c r="G25529">
        <v>419.83</v>
      </c>
      <c r="H25529">
        <v>250731</v>
      </c>
      <c r="I25529">
        <v>4369</v>
      </c>
      <c r="J25529" t="s">
        <v>188</v>
      </c>
      <c r="K25529">
        <v>419.83</v>
      </c>
      <c r="L25529">
        <v>85.3</v>
      </c>
      <c r="M25529">
        <v>11601</v>
      </c>
      <c r="N25529" t="s">
        <v>12</v>
      </c>
      <c r="O25529">
        <v>250812</v>
      </c>
      <c r="P25529">
        <v>334.53</v>
      </c>
    </row>
    <row r="25530" spans="1:16" x14ac:dyDescent="0.25">
      <c r="A25530" t="s">
        <v>3296</v>
      </c>
      <c r="B25530" t="s">
        <v>2931</v>
      </c>
      <c r="C25530">
        <v>10329</v>
      </c>
      <c r="D25530" t="str">
        <f>"47293       "</f>
        <v xml:space="preserve">47293       </v>
      </c>
      <c r="E25530" t="s">
        <v>514</v>
      </c>
      <c r="F25530" t="s">
        <v>515</v>
      </c>
      <c r="G25530">
        <v>363.95</v>
      </c>
      <c r="H25530">
        <v>250730</v>
      </c>
      <c r="I25530">
        <v>4369</v>
      </c>
      <c r="J25530" t="s">
        <v>188</v>
      </c>
      <c r="K25530">
        <v>1054.2</v>
      </c>
      <c r="L25530">
        <v>73.95</v>
      </c>
      <c r="M25530">
        <v>11601</v>
      </c>
      <c r="N25530" t="s">
        <v>12</v>
      </c>
      <c r="O25530">
        <v>250814</v>
      </c>
      <c r="P25530">
        <v>290</v>
      </c>
    </row>
    <row r="25531" spans="1:16" x14ac:dyDescent="0.25">
      <c r="A25531" t="s">
        <v>3296</v>
      </c>
      <c r="B25531" t="s">
        <v>2931</v>
      </c>
      <c r="C25531">
        <v>11733</v>
      </c>
      <c r="D25531" t="str">
        <f>"48139       "</f>
        <v xml:space="preserve">48139       </v>
      </c>
      <c r="E25531" t="s">
        <v>514</v>
      </c>
      <c r="F25531" t="s">
        <v>515</v>
      </c>
      <c r="G25531">
        <v>363.95</v>
      </c>
      <c r="H25531">
        <v>250817</v>
      </c>
      <c r="I25531">
        <v>4369</v>
      </c>
      <c r="J25531" t="s">
        <v>188</v>
      </c>
      <c r="K25531">
        <v>1054.2</v>
      </c>
      <c r="L25531">
        <v>73.95</v>
      </c>
      <c r="M25531">
        <v>11601</v>
      </c>
      <c r="N25531" t="s">
        <v>12</v>
      </c>
      <c r="O25531">
        <v>250910</v>
      </c>
      <c r="P25531">
        <v>290</v>
      </c>
    </row>
    <row r="25532" spans="1:16" x14ac:dyDescent="0.25">
      <c r="A25532" t="s">
        <v>3296</v>
      </c>
      <c r="B25532" t="s">
        <v>2931</v>
      </c>
      <c r="C25532">
        <v>11734</v>
      </c>
      <c r="D25532" t="str">
        <f>"49828       "</f>
        <v xml:space="preserve">49828       </v>
      </c>
      <c r="E25532" t="s">
        <v>514</v>
      </c>
      <c r="F25532" t="s">
        <v>515</v>
      </c>
      <c r="G25532">
        <v>437.23</v>
      </c>
      <c r="H25532">
        <v>250831</v>
      </c>
      <c r="I25532">
        <v>4369</v>
      </c>
      <c r="J25532" t="s">
        <v>188</v>
      </c>
      <c r="K25532">
        <v>437.23</v>
      </c>
      <c r="L25532">
        <v>88.84</v>
      </c>
      <c r="M25532">
        <v>11601</v>
      </c>
      <c r="N25532" t="s">
        <v>12</v>
      </c>
      <c r="O25532">
        <v>250910</v>
      </c>
      <c r="P25532">
        <v>348.39</v>
      </c>
    </row>
    <row r="25533" spans="1:16" x14ac:dyDescent="0.25">
      <c r="A25533" t="s">
        <v>3296</v>
      </c>
      <c r="B25533" t="s">
        <v>2931</v>
      </c>
      <c r="C25533">
        <v>13507</v>
      </c>
      <c r="D25533" t="str">
        <f>"52550       "</f>
        <v xml:space="preserve">52550       </v>
      </c>
      <c r="E25533" t="s">
        <v>514</v>
      </c>
      <c r="F25533" t="s">
        <v>515</v>
      </c>
      <c r="G25533">
        <v>488.62</v>
      </c>
      <c r="H25533">
        <v>250930</v>
      </c>
      <c r="I25533">
        <v>4369</v>
      </c>
      <c r="J25533" t="s">
        <v>188</v>
      </c>
      <c r="K25533">
        <v>488.62</v>
      </c>
      <c r="L25533">
        <v>99.28</v>
      </c>
      <c r="M25533">
        <v>11601</v>
      </c>
      <c r="N25533" t="s">
        <v>12</v>
      </c>
      <c r="O25533">
        <v>251010</v>
      </c>
      <c r="P25533">
        <v>389.34</v>
      </c>
    </row>
    <row r="25534" spans="1:16" x14ac:dyDescent="0.25">
      <c r="A25534" t="s">
        <v>3296</v>
      </c>
      <c r="B25534" t="s">
        <v>2931</v>
      </c>
      <c r="C25534">
        <v>14179</v>
      </c>
      <c r="D25534" t="str">
        <f>"53021       "</f>
        <v xml:space="preserve">53021       </v>
      </c>
      <c r="E25534" t="s">
        <v>514</v>
      </c>
      <c r="F25534" t="s">
        <v>515</v>
      </c>
      <c r="G25534">
        <v>363.95</v>
      </c>
      <c r="H25534">
        <v>251006</v>
      </c>
      <c r="I25534">
        <v>4369</v>
      </c>
      <c r="J25534" t="s">
        <v>188</v>
      </c>
      <c r="K25534">
        <v>1054.2</v>
      </c>
      <c r="L25534">
        <v>73.95</v>
      </c>
      <c r="M25534">
        <v>11601</v>
      </c>
      <c r="N25534" t="s">
        <v>12</v>
      </c>
      <c r="O25534">
        <v>251024</v>
      </c>
      <c r="P25534">
        <v>290</v>
      </c>
    </row>
    <row r="25535" spans="1:16" x14ac:dyDescent="0.25">
      <c r="A25535" t="s">
        <v>3296</v>
      </c>
      <c r="B25535" t="s">
        <v>2931</v>
      </c>
      <c r="C25535">
        <v>15237</v>
      </c>
      <c r="D25535" t="str">
        <f>"54863       "</f>
        <v xml:space="preserve">54863       </v>
      </c>
      <c r="E25535" t="s">
        <v>514</v>
      </c>
      <c r="F25535" t="s">
        <v>515</v>
      </c>
      <c r="G25535">
        <v>551.09</v>
      </c>
      <c r="H25535">
        <v>251031</v>
      </c>
      <c r="I25535">
        <v>4369</v>
      </c>
      <c r="J25535" t="s">
        <v>188</v>
      </c>
      <c r="K25535">
        <v>551.09</v>
      </c>
      <c r="L25535">
        <v>111.97</v>
      </c>
      <c r="M25535">
        <v>11601</v>
      </c>
      <c r="N25535" t="s">
        <v>12</v>
      </c>
      <c r="O25535">
        <v>251117</v>
      </c>
      <c r="P25535">
        <v>439.12</v>
      </c>
    </row>
    <row r="25536" spans="1:16" x14ac:dyDescent="0.25">
      <c r="A25536" t="s">
        <v>3296</v>
      </c>
      <c r="B25536" t="s">
        <v>2931</v>
      </c>
      <c r="C25536">
        <v>16022</v>
      </c>
      <c r="D25536" t="str">
        <f>"55237       "</f>
        <v xml:space="preserve">55237       </v>
      </c>
      <c r="E25536" t="s">
        <v>514</v>
      </c>
      <c r="F25536" t="s">
        <v>515</v>
      </c>
      <c r="G25536">
        <v>363.95</v>
      </c>
      <c r="H25536">
        <v>251110</v>
      </c>
      <c r="I25536">
        <v>4369</v>
      </c>
      <c r="J25536" t="s">
        <v>188</v>
      </c>
      <c r="K25536">
        <v>1054.2</v>
      </c>
      <c r="L25536">
        <v>73.95</v>
      </c>
      <c r="M25536">
        <v>11601</v>
      </c>
      <c r="N25536" t="s">
        <v>12</v>
      </c>
      <c r="O25536">
        <v>251202</v>
      </c>
      <c r="P25536">
        <v>290</v>
      </c>
    </row>
    <row r="25537" spans="1:16" x14ac:dyDescent="0.25">
      <c r="A25537" t="s">
        <v>3296</v>
      </c>
      <c r="B25537" t="s">
        <v>2931</v>
      </c>
      <c r="C25537">
        <v>16268</v>
      </c>
      <c r="D25537" t="str">
        <f>"56667       "</f>
        <v xml:space="preserve">56667       </v>
      </c>
      <c r="E25537" t="s">
        <v>514</v>
      </c>
      <c r="F25537" t="s">
        <v>515</v>
      </c>
      <c r="G25537">
        <v>581.33000000000004</v>
      </c>
      <c r="H25537">
        <v>251130</v>
      </c>
      <c r="I25537">
        <v>4369</v>
      </c>
      <c r="J25537" t="s">
        <v>188</v>
      </c>
      <c r="K25537">
        <v>581.33000000000004</v>
      </c>
      <c r="L25537">
        <v>118.12</v>
      </c>
      <c r="M25537">
        <v>11601</v>
      </c>
      <c r="N25537" t="s">
        <v>12</v>
      </c>
      <c r="O25537">
        <v>251205</v>
      </c>
      <c r="P25537">
        <v>463.21</v>
      </c>
    </row>
    <row r="25538" spans="1:16" x14ac:dyDescent="0.25">
      <c r="A25538" t="s">
        <v>3296</v>
      </c>
      <c r="B25538" t="s">
        <v>2931</v>
      </c>
      <c r="C25538">
        <v>16762</v>
      </c>
      <c r="D25538" t="str">
        <f>"57291       "</f>
        <v xml:space="preserve">57291       </v>
      </c>
      <c r="E25538" t="s">
        <v>514</v>
      </c>
      <c r="F25538" t="s">
        <v>515</v>
      </c>
      <c r="G25538">
        <v>124.25</v>
      </c>
      <c r="H25538">
        <v>251130</v>
      </c>
      <c r="I25538">
        <v>4369</v>
      </c>
      <c r="J25538" t="s">
        <v>188</v>
      </c>
      <c r="K25538">
        <v>124.25</v>
      </c>
      <c r="L25538">
        <v>25.25</v>
      </c>
      <c r="M25538">
        <v>11101</v>
      </c>
      <c r="N25538" t="s">
        <v>67</v>
      </c>
      <c r="O25538">
        <v>251211</v>
      </c>
      <c r="P25538">
        <v>99</v>
      </c>
    </row>
    <row r="25539" spans="1:16" x14ac:dyDescent="0.25">
      <c r="A25539" t="s">
        <v>3296</v>
      </c>
      <c r="B25539" t="s">
        <v>2931</v>
      </c>
      <c r="C25539">
        <v>17752</v>
      </c>
      <c r="D25539" t="str">
        <f>"57646       "</f>
        <v xml:space="preserve">57646       </v>
      </c>
      <c r="E25539" t="s">
        <v>514</v>
      </c>
      <c r="F25539" t="s">
        <v>515</v>
      </c>
      <c r="G25539">
        <v>363.95</v>
      </c>
      <c r="H25539">
        <v>251208</v>
      </c>
      <c r="I25539">
        <v>4369</v>
      </c>
      <c r="J25539" t="s">
        <v>188</v>
      </c>
      <c r="K25539">
        <v>1054.2</v>
      </c>
      <c r="L25539">
        <v>73.95</v>
      </c>
      <c r="M25539">
        <v>11601</v>
      </c>
      <c r="N25539" t="s">
        <v>12</v>
      </c>
      <c r="O25539">
        <v>251230</v>
      </c>
      <c r="P25539">
        <v>290</v>
      </c>
    </row>
    <row r="25540" spans="1:16" x14ac:dyDescent="0.25">
      <c r="A25540" t="s">
        <v>3296</v>
      </c>
      <c r="B25540" t="s">
        <v>2931</v>
      </c>
      <c r="C25540">
        <v>18314</v>
      </c>
      <c r="D25540" t="str">
        <f>"59523       "</f>
        <v xml:space="preserve">59523       </v>
      </c>
      <c r="E25540" t="s">
        <v>514</v>
      </c>
      <c r="F25540" t="s">
        <v>515</v>
      </c>
      <c r="G25540">
        <v>690.64</v>
      </c>
      <c r="H25540">
        <v>251231</v>
      </c>
      <c r="I25540">
        <v>4369</v>
      </c>
      <c r="J25540" t="s">
        <v>188</v>
      </c>
      <c r="K25540">
        <v>690.64</v>
      </c>
      <c r="L25540">
        <v>140.33000000000001</v>
      </c>
      <c r="M25540">
        <v>11601</v>
      </c>
      <c r="N25540" t="s">
        <v>12</v>
      </c>
      <c r="O25540">
        <v>260113</v>
      </c>
      <c r="P25540">
        <v>550.30999999999995</v>
      </c>
    </row>
    <row r="25541" spans="1:16" x14ac:dyDescent="0.25">
      <c r="A25541" t="s">
        <v>3296</v>
      </c>
      <c r="B25541" t="s">
        <v>2931</v>
      </c>
      <c r="C25541">
        <v>16804</v>
      </c>
      <c r="D25541" t="str">
        <f>"57022       "</f>
        <v xml:space="preserve">57022       </v>
      </c>
      <c r="E25541" t="s">
        <v>514</v>
      </c>
      <c r="F25541" t="s">
        <v>515</v>
      </c>
      <c r="G25541">
        <v>499.5</v>
      </c>
      <c r="H25541">
        <v>251130</v>
      </c>
      <c r="I25541">
        <v>4440</v>
      </c>
      <c r="J25541" t="s">
        <v>346</v>
      </c>
      <c r="K25541">
        <v>499.5</v>
      </c>
      <c r="L25541">
        <v>101.49</v>
      </c>
      <c r="M25541">
        <v>11751</v>
      </c>
      <c r="N25541" t="s">
        <v>167</v>
      </c>
      <c r="O25541">
        <v>251212</v>
      </c>
      <c r="P25541">
        <v>398.01</v>
      </c>
    </row>
    <row r="25542" spans="1:16" x14ac:dyDescent="0.25">
      <c r="A25542" t="s">
        <v>3296</v>
      </c>
      <c r="B25542" t="s">
        <v>2931</v>
      </c>
      <c r="C25542">
        <v>6557</v>
      </c>
      <c r="D25542" t="str">
        <f>"40708       "</f>
        <v xml:space="preserve">40708       </v>
      </c>
      <c r="E25542" t="s">
        <v>514</v>
      </c>
      <c r="F25542" t="s">
        <v>515</v>
      </c>
      <c r="G25542">
        <v>810.52</v>
      </c>
      <c r="H25542">
        <v>250430</v>
      </c>
      <c r="I25542">
        <v>4441</v>
      </c>
      <c r="J25542" t="s">
        <v>234</v>
      </c>
      <c r="K25542">
        <v>810.52</v>
      </c>
      <c r="L25542">
        <v>164.69</v>
      </c>
      <c r="M25542">
        <v>11101</v>
      </c>
      <c r="N25542" t="s">
        <v>67</v>
      </c>
      <c r="O25542">
        <v>250514</v>
      </c>
      <c r="P25542">
        <v>645.83000000000004</v>
      </c>
    </row>
    <row r="25543" spans="1:16" x14ac:dyDescent="0.25">
      <c r="A25543" t="s">
        <v>3296</v>
      </c>
      <c r="B25543" t="s">
        <v>2931</v>
      </c>
      <c r="C25543">
        <v>8443</v>
      </c>
      <c r="D25543" t="str">
        <f>"43484       "</f>
        <v xml:space="preserve">43484       </v>
      </c>
      <c r="E25543" t="s">
        <v>514</v>
      </c>
      <c r="F25543" t="s">
        <v>515</v>
      </c>
      <c r="G25543">
        <v>810.52</v>
      </c>
      <c r="H25543">
        <v>250531</v>
      </c>
      <c r="I25543">
        <v>4441</v>
      </c>
      <c r="J25543" t="s">
        <v>234</v>
      </c>
      <c r="K25543">
        <v>1215.78</v>
      </c>
      <c r="L25543">
        <v>164.69</v>
      </c>
      <c r="M25543">
        <v>11601</v>
      </c>
      <c r="N25543" t="s">
        <v>12</v>
      </c>
      <c r="O25543">
        <v>250613</v>
      </c>
      <c r="P25543">
        <v>645.83000000000004</v>
      </c>
    </row>
    <row r="25544" spans="1:16" x14ac:dyDescent="0.25">
      <c r="A25544" t="s">
        <v>3296</v>
      </c>
      <c r="B25544" t="s">
        <v>2931</v>
      </c>
      <c r="C25544">
        <v>435</v>
      </c>
      <c r="D25544" t="str">
        <f>"47600       "</f>
        <v xml:space="preserve">47600       </v>
      </c>
      <c r="E25544" t="s">
        <v>3205</v>
      </c>
      <c r="F25544" s="4">
        <v>37204854</v>
      </c>
      <c r="G25544">
        <v>1330.6</v>
      </c>
      <c r="H25544">
        <v>250102</v>
      </c>
      <c r="I25544">
        <v>4367</v>
      </c>
      <c r="J25544" t="s">
        <v>159</v>
      </c>
      <c r="K25544">
        <v>1330.6</v>
      </c>
      <c r="L25544">
        <v>0</v>
      </c>
      <c r="M25544">
        <v>11301</v>
      </c>
      <c r="N25544" t="s">
        <v>92</v>
      </c>
      <c r="O25544">
        <v>250122</v>
      </c>
      <c r="P25544">
        <v>1330.6</v>
      </c>
    </row>
    <row r="25545" spans="1:16" x14ac:dyDescent="0.25">
      <c r="A25545" t="s">
        <v>3296</v>
      </c>
      <c r="B25545" t="s">
        <v>2931</v>
      </c>
      <c r="C25545">
        <v>1539</v>
      </c>
      <c r="D25545" t="str">
        <f>"50147715    "</f>
        <v xml:space="preserve">50147715    </v>
      </c>
      <c r="E25545" t="s">
        <v>1032</v>
      </c>
      <c r="F25545" t="s">
        <v>1029</v>
      </c>
      <c r="G25545">
        <v>60</v>
      </c>
      <c r="H25545">
        <v>250131</v>
      </c>
      <c r="I25545">
        <v>4369</v>
      </c>
      <c r="J25545" t="s">
        <v>188</v>
      </c>
      <c r="K25545">
        <v>244.4</v>
      </c>
      <c r="L25545">
        <v>12.19</v>
      </c>
      <c r="M25545">
        <v>16121</v>
      </c>
      <c r="N25545" t="s">
        <v>127</v>
      </c>
      <c r="O25545">
        <v>250211</v>
      </c>
      <c r="P25545">
        <v>47.81</v>
      </c>
    </row>
    <row r="25546" spans="1:16" x14ac:dyDescent="0.25">
      <c r="A25546" t="s">
        <v>3296</v>
      </c>
      <c r="B25546" t="s">
        <v>2931</v>
      </c>
      <c r="C25546">
        <v>1539</v>
      </c>
      <c r="D25546" t="str">
        <f>"50147715    "</f>
        <v xml:space="preserve">50147715    </v>
      </c>
      <c r="E25546" t="s">
        <v>1032</v>
      </c>
      <c r="F25546" t="s">
        <v>1029</v>
      </c>
      <c r="G25546">
        <v>184.4</v>
      </c>
      <c r="H25546">
        <v>250131</v>
      </c>
      <c r="I25546">
        <v>4369</v>
      </c>
      <c r="J25546" t="s">
        <v>188</v>
      </c>
      <c r="K25546">
        <v>244.4</v>
      </c>
      <c r="L25546">
        <v>37.47</v>
      </c>
      <c r="M25546">
        <v>61122</v>
      </c>
      <c r="N25546" t="s">
        <v>86</v>
      </c>
      <c r="O25546">
        <v>250211</v>
      </c>
      <c r="P25546">
        <v>146.93</v>
      </c>
    </row>
    <row r="25547" spans="1:16" x14ac:dyDescent="0.25">
      <c r="A25547" t="s">
        <v>3296</v>
      </c>
      <c r="B25547" t="s">
        <v>2931</v>
      </c>
      <c r="C25547">
        <v>3260</v>
      </c>
      <c r="D25547" t="str">
        <f>"50154345    "</f>
        <v xml:space="preserve">50154345    </v>
      </c>
      <c r="E25547" t="s">
        <v>1032</v>
      </c>
      <c r="F25547" t="s">
        <v>1029</v>
      </c>
      <c r="G25547">
        <v>60</v>
      </c>
      <c r="H25547">
        <v>250228</v>
      </c>
      <c r="I25547">
        <v>4369</v>
      </c>
      <c r="J25547" t="s">
        <v>188</v>
      </c>
      <c r="K25547">
        <v>244.4</v>
      </c>
      <c r="L25547">
        <v>12.19</v>
      </c>
      <c r="M25547">
        <v>16121</v>
      </c>
      <c r="N25547" t="s">
        <v>127</v>
      </c>
      <c r="O25547">
        <v>250318</v>
      </c>
      <c r="P25547">
        <v>47.81</v>
      </c>
    </row>
    <row r="25548" spans="1:16" x14ac:dyDescent="0.25">
      <c r="A25548" t="s">
        <v>3296</v>
      </c>
      <c r="B25548" t="s">
        <v>2931</v>
      </c>
      <c r="C25548">
        <v>3260</v>
      </c>
      <c r="D25548" t="str">
        <f>"50154345    "</f>
        <v xml:space="preserve">50154345    </v>
      </c>
      <c r="E25548" t="s">
        <v>1032</v>
      </c>
      <c r="F25548" t="s">
        <v>1029</v>
      </c>
      <c r="G25548">
        <v>129.08000000000001</v>
      </c>
      <c r="H25548">
        <v>250228</v>
      </c>
      <c r="I25548">
        <v>4369</v>
      </c>
      <c r="J25548" t="s">
        <v>188</v>
      </c>
      <c r="K25548">
        <v>244.4</v>
      </c>
      <c r="L25548">
        <v>26.23</v>
      </c>
      <c r="M25548">
        <v>61122</v>
      </c>
      <c r="N25548" t="s">
        <v>86</v>
      </c>
      <c r="O25548">
        <v>250318</v>
      </c>
      <c r="P25548">
        <v>102.85</v>
      </c>
    </row>
    <row r="25549" spans="1:16" x14ac:dyDescent="0.25">
      <c r="A25549" t="s">
        <v>3296</v>
      </c>
      <c r="B25549" t="s">
        <v>2931</v>
      </c>
      <c r="C25549">
        <v>3260</v>
      </c>
      <c r="D25549" t="str">
        <f>"50154345    "</f>
        <v xml:space="preserve">50154345    </v>
      </c>
      <c r="E25549" t="s">
        <v>1032</v>
      </c>
      <c r="F25549" t="s">
        <v>1029</v>
      </c>
      <c r="G25549">
        <v>55.32</v>
      </c>
      <c r="H25549">
        <v>250228</v>
      </c>
      <c r="I25549">
        <v>4369</v>
      </c>
      <c r="J25549" t="s">
        <v>188</v>
      </c>
      <c r="K25549">
        <v>244.4</v>
      </c>
      <c r="L25549">
        <v>11.24</v>
      </c>
      <c r="M25549">
        <v>61122</v>
      </c>
      <c r="N25549" t="s">
        <v>86</v>
      </c>
      <c r="O25549">
        <v>250318</v>
      </c>
      <c r="P25549">
        <v>44.08</v>
      </c>
    </row>
    <row r="25550" spans="1:16" x14ac:dyDescent="0.25">
      <c r="A25550" t="s">
        <v>3296</v>
      </c>
      <c r="B25550" t="s">
        <v>2931</v>
      </c>
      <c r="C25550">
        <v>4399</v>
      </c>
      <c r="D25550" t="str">
        <f>"50161702    "</f>
        <v xml:space="preserve">50161702    </v>
      </c>
      <c r="E25550" t="s">
        <v>1032</v>
      </c>
      <c r="F25550" t="s">
        <v>1029</v>
      </c>
      <c r="G25550">
        <v>60</v>
      </c>
      <c r="H25550">
        <v>250331</v>
      </c>
      <c r="I25550">
        <v>4369</v>
      </c>
      <c r="J25550" t="s">
        <v>188</v>
      </c>
      <c r="K25550">
        <v>244.4</v>
      </c>
      <c r="L25550">
        <v>12.19</v>
      </c>
      <c r="M25550">
        <v>16121</v>
      </c>
      <c r="N25550" t="s">
        <v>127</v>
      </c>
      <c r="O25550">
        <v>250411</v>
      </c>
      <c r="P25550">
        <v>47.81</v>
      </c>
    </row>
    <row r="25551" spans="1:16" x14ac:dyDescent="0.25">
      <c r="A25551" t="s">
        <v>3296</v>
      </c>
      <c r="B25551" t="s">
        <v>2931</v>
      </c>
      <c r="C25551">
        <v>4399</v>
      </c>
      <c r="D25551" t="str">
        <f>"50161702    "</f>
        <v xml:space="preserve">50161702    </v>
      </c>
      <c r="E25551" t="s">
        <v>1032</v>
      </c>
      <c r="F25551" t="s">
        <v>1029</v>
      </c>
      <c r="G25551">
        <v>184.4</v>
      </c>
      <c r="H25551">
        <v>250331</v>
      </c>
      <c r="I25551">
        <v>4369</v>
      </c>
      <c r="J25551" t="s">
        <v>188</v>
      </c>
      <c r="K25551">
        <v>244.4</v>
      </c>
      <c r="L25551">
        <v>37.47</v>
      </c>
      <c r="M25551">
        <v>61122</v>
      </c>
      <c r="N25551" t="s">
        <v>86</v>
      </c>
      <c r="O25551">
        <v>250411</v>
      </c>
      <c r="P25551">
        <v>146.93</v>
      </c>
    </row>
    <row r="25552" spans="1:16" x14ac:dyDescent="0.25">
      <c r="A25552" t="s">
        <v>3296</v>
      </c>
      <c r="B25552" t="s">
        <v>2931</v>
      </c>
      <c r="C25552">
        <v>6104</v>
      </c>
      <c r="D25552" t="str">
        <f>"50167951    "</f>
        <v xml:space="preserve">50167951    </v>
      </c>
      <c r="E25552" t="s">
        <v>1032</v>
      </c>
      <c r="F25552" t="s">
        <v>1029</v>
      </c>
      <c r="G25552">
        <v>60</v>
      </c>
      <c r="H25552">
        <v>250430</v>
      </c>
      <c r="I25552">
        <v>4369</v>
      </c>
      <c r="J25552" t="s">
        <v>188</v>
      </c>
      <c r="K25552">
        <v>244.4</v>
      </c>
      <c r="L25552">
        <v>12.19</v>
      </c>
      <c r="M25552">
        <v>16121</v>
      </c>
      <c r="N25552" t="s">
        <v>127</v>
      </c>
      <c r="O25552">
        <v>250509</v>
      </c>
      <c r="P25552">
        <v>47.81</v>
      </c>
    </row>
    <row r="25553" spans="1:16" x14ac:dyDescent="0.25">
      <c r="A25553" t="s">
        <v>3296</v>
      </c>
      <c r="B25553" t="s">
        <v>2931</v>
      </c>
      <c r="C25553">
        <v>6104</v>
      </c>
      <c r="D25553" t="str">
        <f>"50167951    "</f>
        <v xml:space="preserve">50167951    </v>
      </c>
      <c r="E25553" t="s">
        <v>1032</v>
      </c>
      <c r="F25553" t="s">
        <v>1029</v>
      </c>
      <c r="G25553">
        <v>184.4</v>
      </c>
      <c r="H25553">
        <v>250430</v>
      </c>
      <c r="I25553">
        <v>4369</v>
      </c>
      <c r="J25553" t="s">
        <v>188</v>
      </c>
      <c r="K25553">
        <v>244.4</v>
      </c>
      <c r="L25553">
        <v>37.47</v>
      </c>
      <c r="M25553">
        <v>61122</v>
      </c>
      <c r="N25553" t="s">
        <v>86</v>
      </c>
      <c r="O25553">
        <v>250509</v>
      </c>
      <c r="P25553">
        <v>146.93</v>
      </c>
    </row>
    <row r="25554" spans="1:16" x14ac:dyDescent="0.25">
      <c r="A25554" t="s">
        <v>3296</v>
      </c>
      <c r="B25554" t="s">
        <v>2931</v>
      </c>
      <c r="C25554">
        <v>7957</v>
      </c>
      <c r="D25554" t="str">
        <f>"50174838    "</f>
        <v xml:space="preserve">50174838    </v>
      </c>
      <c r="E25554" t="s">
        <v>1032</v>
      </c>
      <c r="F25554" t="s">
        <v>1029</v>
      </c>
      <c r="G25554">
        <v>60</v>
      </c>
      <c r="H25554">
        <v>250531</v>
      </c>
      <c r="I25554">
        <v>4369</v>
      </c>
      <c r="J25554" t="s">
        <v>188</v>
      </c>
      <c r="K25554">
        <v>244.4</v>
      </c>
      <c r="L25554">
        <v>12.19</v>
      </c>
      <c r="M25554">
        <v>16121</v>
      </c>
      <c r="N25554" t="s">
        <v>127</v>
      </c>
      <c r="O25554">
        <v>250610</v>
      </c>
      <c r="P25554">
        <v>47.81</v>
      </c>
    </row>
    <row r="25555" spans="1:16" x14ac:dyDescent="0.25">
      <c r="A25555" t="s">
        <v>3296</v>
      </c>
      <c r="B25555" t="s">
        <v>2931</v>
      </c>
      <c r="C25555">
        <v>7957</v>
      </c>
      <c r="D25555" t="str">
        <f>"50174838    "</f>
        <v xml:space="preserve">50174838    </v>
      </c>
      <c r="E25555" t="s">
        <v>1032</v>
      </c>
      <c r="F25555" t="s">
        <v>1029</v>
      </c>
      <c r="G25555">
        <v>184.4</v>
      </c>
      <c r="H25555">
        <v>250531</v>
      </c>
      <c r="I25555">
        <v>4369</v>
      </c>
      <c r="J25555" t="s">
        <v>188</v>
      </c>
      <c r="K25555">
        <v>244.4</v>
      </c>
      <c r="L25555">
        <v>37.47</v>
      </c>
      <c r="M25555">
        <v>61122</v>
      </c>
      <c r="N25555" t="s">
        <v>86</v>
      </c>
      <c r="O25555">
        <v>250610</v>
      </c>
      <c r="P25555">
        <v>146.93</v>
      </c>
    </row>
    <row r="25556" spans="1:16" x14ac:dyDescent="0.25">
      <c r="A25556" t="s">
        <v>3296</v>
      </c>
      <c r="B25556" t="s">
        <v>2931</v>
      </c>
      <c r="C25556">
        <v>9635</v>
      </c>
      <c r="D25556" t="str">
        <f>"50183244    "</f>
        <v xml:space="preserve">50183244    </v>
      </c>
      <c r="E25556" t="s">
        <v>1032</v>
      </c>
      <c r="F25556" t="s">
        <v>1029</v>
      </c>
      <c r="G25556">
        <v>60</v>
      </c>
      <c r="H25556">
        <v>250630</v>
      </c>
      <c r="I25556">
        <v>4369</v>
      </c>
      <c r="J25556" t="s">
        <v>188</v>
      </c>
      <c r="K25556">
        <v>244.4</v>
      </c>
      <c r="L25556">
        <v>12.19</v>
      </c>
      <c r="M25556">
        <v>16121</v>
      </c>
      <c r="N25556" t="s">
        <v>127</v>
      </c>
      <c r="O25556">
        <v>250723</v>
      </c>
      <c r="P25556">
        <v>47.81</v>
      </c>
    </row>
    <row r="25557" spans="1:16" x14ac:dyDescent="0.25">
      <c r="A25557" t="s">
        <v>3296</v>
      </c>
      <c r="B25557" t="s">
        <v>2931</v>
      </c>
      <c r="C25557">
        <v>9635</v>
      </c>
      <c r="D25557" t="str">
        <f>"50183244    "</f>
        <v xml:space="preserve">50183244    </v>
      </c>
      <c r="E25557" t="s">
        <v>1032</v>
      </c>
      <c r="F25557" t="s">
        <v>1029</v>
      </c>
      <c r="G25557">
        <v>184.4</v>
      </c>
      <c r="H25557">
        <v>250630</v>
      </c>
      <c r="I25557">
        <v>4369</v>
      </c>
      <c r="J25557" t="s">
        <v>188</v>
      </c>
      <c r="K25557">
        <v>244.4</v>
      </c>
      <c r="L25557">
        <v>37.47</v>
      </c>
      <c r="M25557">
        <v>61122</v>
      </c>
      <c r="N25557" t="s">
        <v>86</v>
      </c>
      <c r="O25557">
        <v>250723</v>
      </c>
      <c r="P25557">
        <v>146.93</v>
      </c>
    </row>
    <row r="25558" spans="1:16" x14ac:dyDescent="0.25">
      <c r="A25558" t="s">
        <v>3296</v>
      </c>
      <c r="B25558" t="s">
        <v>2931</v>
      </c>
      <c r="C25558">
        <v>10020</v>
      </c>
      <c r="D25558" t="str">
        <f>"50189646    "</f>
        <v xml:space="preserve">50189646    </v>
      </c>
      <c r="E25558" t="s">
        <v>1032</v>
      </c>
      <c r="F25558" t="s">
        <v>1029</v>
      </c>
      <c r="G25558">
        <v>60</v>
      </c>
      <c r="H25558">
        <v>250731</v>
      </c>
      <c r="I25558">
        <v>4369</v>
      </c>
      <c r="J25558" t="s">
        <v>188</v>
      </c>
      <c r="K25558">
        <v>244.4</v>
      </c>
      <c r="L25558">
        <v>12.19</v>
      </c>
      <c r="M25558">
        <v>16121</v>
      </c>
      <c r="N25558" t="s">
        <v>127</v>
      </c>
      <c r="O25558">
        <v>250807</v>
      </c>
      <c r="P25558">
        <v>47.81</v>
      </c>
    </row>
    <row r="25559" spans="1:16" x14ac:dyDescent="0.25">
      <c r="A25559" t="s">
        <v>3296</v>
      </c>
      <c r="B25559" t="s">
        <v>2931</v>
      </c>
      <c r="C25559">
        <v>10020</v>
      </c>
      <c r="D25559" t="str">
        <f>"50189646    "</f>
        <v xml:space="preserve">50189646    </v>
      </c>
      <c r="E25559" t="s">
        <v>1032</v>
      </c>
      <c r="F25559" t="s">
        <v>1029</v>
      </c>
      <c r="G25559">
        <v>184.4</v>
      </c>
      <c r="H25559">
        <v>250731</v>
      </c>
      <c r="I25559">
        <v>4369</v>
      </c>
      <c r="J25559" t="s">
        <v>188</v>
      </c>
      <c r="K25559">
        <v>244.4</v>
      </c>
      <c r="L25559">
        <v>37.47</v>
      </c>
      <c r="M25559">
        <v>61122</v>
      </c>
      <c r="N25559" t="s">
        <v>86</v>
      </c>
      <c r="O25559">
        <v>250807</v>
      </c>
      <c r="P25559">
        <v>146.93</v>
      </c>
    </row>
    <row r="25560" spans="1:16" x14ac:dyDescent="0.25">
      <c r="A25560" t="s">
        <v>3296</v>
      </c>
      <c r="B25560" t="s">
        <v>2931</v>
      </c>
      <c r="C25560">
        <v>11497</v>
      </c>
      <c r="D25560" t="str">
        <f>"50196534    "</f>
        <v xml:space="preserve">50196534    </v>
      </c>
      <c r="E25560" t="s">
        <v>1032</v>
      </c>
      <c r="F25560" t="s">
        <v>1029</v>
      </c>
      <c r="G25560">
        <v>60</v>
      </c>
      <c r="H25560">
        <v>250831</v>
      </c>
      <c r="I25560">
        <v>4369</v>
      </c>
      <c r="J25560" t="s">
        <v>188</v>
      </c>
      <c r="K25560">
        <v>244.4</v>
      </c>
      <c r="L25560">
        <v>12.19</v>
      </c>
      <c r="M25560">
        <v>16121</v>
      </c>
      <c r="N25560" t="s">
        <v>127</v>
      </c>
      <c r="O25560">
        <v>250905</v>
      </c>
      <c r="P25560">
        <v>47.81</v>
      </c>
    </row>
    <row r="25561" spans="1:16" x14ac:dyDescent="0.25">
      <c r="A25561" t="s">
        <v>3296</v>
      </c>
      <c r="B25561" t="s">
        <v>2931</v>
      </c>
      <c r="C25561">
        <v>11497</v>
      </c>
      <c r="D25561" t="str">
        <f>"50196534    "</f>
        <v xml:space="preserve">50196534    </v>
      </c>
      <c r="E25561" t="s">
        <v>1032</v>
      </c>
      <c r="F25561" t="s">
        <v>1029</v>
      </c>
      <c r="G25561">
        <v>92.2</v>
      </c>
      <c r="H25561">
        <v>250831</v>
      </c>
      <c r="I25561">
        <v>4369</v>
      </c>
      <c r="J25561" t="s">
        <v>188</v>
      </c>
      <c r="K25561">
        <v>244.4</v>
      </c>
      <c r="L25561">
        <v>18.73</v>
      </c>
      <c r="M25561">
        <v>61123</v>
      </c>
      <c r="N25561" t="s">
        <v>2278</v>
      </c>
      <c r="O25561">
        <v>250905</v>
      </c>
      <c r="P25561">
        <v>73.47</v>
      </c>
    </row>
    <row r="25562" spans="1:16" x14ac:dyDescent="0.25">
      <c r="A25562" t="s">
        <v>3296</v>
      </c>
      <c r="B25562" t="s">
        <v>2931</v>
      </c>
      <c r="C25562">
        <v>11497</v>
      </c>
      <c r="D25562" t="str">
        <f>"50196534    "</f>
        <v xml:space="preserve">50196534    </v>
      </c>
      <c r="E25562" t="s">
        <v>1032</v>
      </c>
      <c r="F25562" t="s">
        <v>1029</v>
      </c>
      <c r="G25562">
        <v>92.2</v>
      </c>
      <c r="H25562">
        <v>250831</v>
      </c>
      <c r="I25562">
        <v>4369</v>
      </c>
      <c r="J25562" t="s">
        <v>188</v>
      </c>
      <c r="K25562">
        <v>244.4</v>
      </c>
      <c r="L25562">
        <v>18.73</v>
      </c>
      <c r="M25562">
        <v>61123</v>
      </c>
      <c r="N25562" t="s">
        <v>2278</v>
      </c>
      <c r="O25562">
        <v>250905</v>
      </c>
      <c r="P25562">
        <v>73.47</v>
      </c>
    </row>
    <row r="25563" spans="1:16" x14ac:dyDescent="0.25">
      <c r="A25563" t="s">
        <v>3296</v>
      </c>
      <c r="B25563" t="s">
        <v>2931</v>
      </c>
      <c r="C25563">
        <v>13473</v>
      </c>
      <c r="D25563" t="str">
        <f>"50203336    "</f>
        <v xml:space="preserve">50203336    </v>
      </c>
      <c r="E25563" t="s">
        <v>1032</v>
      </c>
      <c r="F25563" t="s">
        <v>1029</v>
      </c>
      <c r="G25563">
        <v>60</v>
      </c>
      <c r="H25563">
        <v>250930</v>
      </c>
      <c r="I25563">
        <v>4369</v>
      </c>
      <c r="J25563" t="s">
        <v>188</v>
      </c>
      <c r="K25563">
        <v>244.4</v>
      </c>
      <c r="L25563">
        <v>12.19</v>
      </c>
      <c r="M25563">
        <v>16122</v>
      </c>
      <c r="N25563" t="s">
        <v>2432</v>
      </c>
      <c r="O25563">
        <v>251010</v>
      </c>
      <c r="P25563">
        <v>47.81</v>
      </c>
    </row>
    <row r="25564" spans="1:16" x14ac:dyDescent="0.25">
      <c r="A25564" t="s">
        <v>3296</v>
      </c>
      <c r="B25564" t="s">
        <v>2931</v>
      </c>
      <c r="C25564">
        <v>13473</v>
      </c>
      <c r="D25564" t="str">
        <f>"50203336    "</f>
        <v xml:space="preserve">50203336    </v>
      </c>
      <c r="E25564" t="s">
        <v>1032</v>
      </c>
      <c r="F25564" t="s">
        <v>1029</v>
      </c>
      <c r="G25564">
        <v>184.4</v>
      </c>
      <c r="H25564">
        <v>250930</v>
      </c>
      <c r="I25564">
        <v>4369</v>
      </c>
      <c r="J25564" t="s">
        <v>188</v>
      </c>
      <c r="K25564">
        <v>244.4</v>
      </c>
      <c r="L25564">
        <v>37.47</v>
      </c>
      <c r="M25564">
        <v>61123</v>
      </c>
      <c r="N25564" t="s">
        <v>2278</v>
      </c>
      <c r="O25564">
        <v>251010</v>
      </c>
      <c r="P25564">
        <v>146.93</v>
      </c>
    </row>
    <row r="25565" spans="1:16" x14ac:dyDescent="0.25">
      <c r="A25565" t="s">
        <v>3296</v>
      </c>
      <c r="B25565" t="s">
        <v>2931</v>
      </c>
      <c r="C25565">
        <v>14932</v>
      </c>
      <c r="D25565" t="str">
        <f>"50210438    "</f>
        <v xml:space="preserve">50210438    </v>
      </c>
      <c r="E25565" t="s">
        <v>1032</v>
      </c>
      <c r="F25565" t="s">
        <v>1029</v>
      </c>
      <c r="G25565">
        <v>60</v>
      </c>
      <c r="H25565">
        <v>251031</v>
      </c>
      <c r="I25565">
        <v>4369</v>
      </c>
      <c r="J25565" t="s">
        <v>188</v>
      </c>
      <c r="K25565">
        <v>244.4</v>
      </c>
      <c r="L25565">
        <v>12.19</v>
      </c>
      <c r="M25565">
        <v>16122</v>
      </c>
      <c r="N25565" t="s">
        <v>2432</v>
      </c>
      <c r="O25565">
        <v>251110</v>
      </c>
      <c r="P25565">
        <v>47.81</v>
      </c>
    </row>
    <row r="25566" spans="1:16" x14ac:dyDescent="0.25">
      <c r="A25566" t="s">
        <v>3296</v>
      </c>
      <c r="B25566" t="s">
        <v>2931</v>
      </c>
      <c r="C25566">
        <v>14932</v>
      </c>
      <c r="D25566" t="str">
        <f>"50210438    "</f>
        <v xml:space="preserve">50210438    </v>
      </c>
      <c r="E25566" t="s">
        <v>1032</v>
      </c>
      <c r="F25566" t="s">
        <v>1029</v>
      </c>
      <c r="G25566">
        <v>184.4</v>
      </c>
      <c r="H25566">
        <v>251031</v>
      </c>
      <c r="I25566">
        <v>4369</v>
      </c>
      <c r="J25566" t="s">
        <v>188</v>
      </c>
      <c r="K25566">
        <v>244.4</v>
      </c>
      <c r="L25566">
        <v>37.47</v>
      </c>
      <c r="M25566">
        <v>61123</v>
      </c>
      <c r="N25566" t="s">
        <v>2278</v>
      </c>
      <c r="O25566">
        <v>251110</v>
      </c>
      <c r="P25566">
        <v>146.93</v>
      </c>
    </row>
    <row r="25567" spans="1:16" x14ac:dyDescent="0.25">
      <c r="A25567" t="s">
        <v>3296</v>
      </c>
      <c r="B25567" t="s">
        <v>2931</v>
      </c>
      <c r="C25567">
        <v>16548</v>
      </c>
      <c r="D25567" t="str">
        <f>"50217573    "</f>
        <v xml:space="preserve">50217573    </v>
      </c>
      <c r="E25567" t="s">
        <v>1032</v>
      </c>
      <c r="F25567" t="s">
        <v>1029</v>
      </c>
      <c r="G25567">
        <v>60</v>
      </c>
      <c r="H25567">
        <v>251130</v>
      </c>
      <c r="I25567">
        <v>4369</v>
      </c>
      <c r="J25567" t="s">
        <v>188</v>
      </c>
      <c r="K25567">
        <v>244.4</v>
      </c>
      <c r="L25567">
        <v>12.19</v>
      </c>
      <c r="M25567">
        <v>16122</v>
      </c>
      <c r="N25567" t="s">
        <v>2432</v>
      </c>
      <c r="O25567">
        <v>251210</v>
      </c>
      <c r="P25567">
        <v>47.81</v>
      </c>
    </row>
    <row r="25568" spans="1:16" x14ac:dyDescent="0.25">
      <c r="A25568" t="s">
        <v>3296</v>
      </c>
      <c r="B25568" t="s">
        <v>2931</v>
      </c>
      <c r="C25568">
        <v>16548</v>
      </c>
      <c r="D25568" t="str">
        <f>"50217573    "</f>
        <v xml:space="preserve">50217573    </v>
      </c>
      <c r="E25568" t="s">
        <v>1032</v>
      </c>
      <c r="F25568" t="s">
        <v>1029</v>
      </c>
      <c r="G25568">
        <v>184.4</v>
      </c>
      <c r="H25568">
        <v>251130</v>
      </c>
      <c r="I25568">
        <v>4369</v>
      </c>
      <c r="J25568" t="s">
        <v>188</v>
      </c>
      <c r="K25568">
        <v>244.4</v>
      </c>
      <c r="L25568">
        <v>37.47</v>
      </c>
      <c r="M25568">
        <v>61123</v>
      </c>
      <c r="N25568" t="s">
        <v>2278</v>
      </c>
      <c r="O25568">
        <v>251210</v>
      </c>
      <c r="P25568">
        <v>146.93</v>
      </c>
    </row>
    <row r="25569" spans="1:16" x14ac:dyDescent="0.25">
      <c r="A25569" t="s">
        <v>3296</v>
      </c>
      <c r="B25569" t="s">
        <v>2931</v>
      </c>
      <c r="C25569">
        <v>18139</v>
      </c>
      <c r="D25569" t="str">
        <f>"50225347    "</f>
        <v xml:space="preserve">50225347    </v>
      </c>
      <c r="E25569" t="s">
        <v>1032</v>
      </c>
      <c r="F25569" t="s">
        <v>1029</v>
      </c>
      <c r="G25569">
        <v>60</v>
      </c>
      <c r="H25569">
        <v>251231</v>
      </c>
      <c r="I25569">
        <v>4369</v>
      </c>
      <c r="J25569" t="s">
        <v>188</v>
      </c>
      <c r="K25569">
        <v>244.4</v>
      </c>
      <c r="L25569">
        <v>12.19</v>
      </c>
      <c r="M25569">
        <v>16122</v>
      </c>
      <c r="N25569" t="s">
        <v>2432</v>
      </c>
      <c r="O25569">
        <v>260109</v>
      </c>
      <c r="P25569">
        <v>47.81</v>
      </c>
    </row>
    <row r="25570" spans="1:16" x14ac:dyDescent="0.25">
      <c r="A25570" t="s">
        <v>3296</v>
      </c>
      <c r="B25570" t="s">
        <v>2931</v>
      </c>
      <c r="C25570">
        <v>18139</v>
      </c>
      <c r="D25570" t="str">
        <f>"50225347    "</f>
        <v xml:space="preserve">50225347    </v>
      </c>
      <c r="E25570" t="s">
        <v>1032</v>
      </c>
      <c r="F25570" t="s">
        <v>1029</v>
      </c>
      <c r="G25570">
        <v>184.4</v>
      </c>
      <c r="H25570">
        <v>251231</v>
      </c>
      <c r="I25570">
        <v>4369</v>
      </c>
      <c r="J25570" t="s">
        <v>188</v>
      </c>
      <c r="K25570">
        <v>244.4</v>
      </c>
      <c r="L25570">
        <v>37.47</v>
      </c>
      <c r="M25570">
        <v>61123</v>
      </c>
      <c r="N25570" t="s">
        <v>2278</v>
      </c>
      <c r="O25570">
        <v>260109</v>
      </c>
      <c r="P25570">
        <v>146.93</v>
      </c>
    </row>
    <row r="25571" spans="1:16" x14ac:dyDescent="0.25">
      <c r="A25571" t="s">
        <v>3296</v>
      </c>
      <c r="B25571" t="s">
        <v>2931</v>
      </c>
      <c r="C25571">
        <v>1532</v>
      </c>
      <c r="D25571" t="str">
        <f>"15237902    "</f>
        <v xml:space="preserve">15237902    </v>
      </c>
      <c r="E25571" t="s">
        <v>1028</v>
      </c>
      <c r="F25571" t="s">
        <v>1029</v>
      </c>
      <c r="G25571">
        <v>777.15</v>
      </c>
      <c r="H25571">
        <v>250201</v>
      </c>
      <c r="I25571">
        <v>4367</v>
      </c>
      <c r="J25571" t="s">
        <v>159</v>
      </c>
      <c r="K25571">
        <v>3390.98</v>
      </c>
      <c r="L25571">
        <v>157.91</v>
      </c>
      <c r="M25571">
        <v>11501</v>
      </c>
      <c r="N25571" t="s">
        <v>13</v>
      </c>
      <c r="O25571">
        <v>250211</v>
      </c>
      <c r="P25571">
        <v>619.24</v>
      </c>
    </row>
    <row r="25572" spans="1:16" x14ac:dyDescent="0.25">
      <c r="A25572" t="s">
        <v>3296</v>
      </c>
      <c r="B25572" t="s">
        <v>2931</v>
      </c>
      <c r="C25572">
        <v>8970</v>
      </c>
      <c r="D25572" t="str">
        <f>"15256286    "</f>
        <v xml:space="preserve">15256286    </v>
      </c>
      <c r="E25572" t="s">
        <v>1028</v>
      </c>
      <c r="F25572" t="s">
        <v>1029</v>
      </c>
      <c r="G25572">
        <v>21.33</v>
      </c>
      <c r="H25572">
        <v>250601</v>
      </c>
      <c r="I25572">
        <v>4367</v>
      </c>
      <c r="J25572" t="s">
        <v>159</v>
      </c>
      <c r="K25572">
        <v>21.33</v>
      </c>
      <c r="L25572">
        <v>4.33</v>
      </c>
      <c r="M25572">
        <v>11501</v>
      </c>
      <c r="N25572" t="s">
        <v>13</v>
      </c>
      <c r="O25572">
        <v>250624</v>
      </c>
      <c r="P25572">
        <v>17</v>
      </c>
    </row>
    <row r="25573" spans="1:16" x14ac:dyDescent="0.25">
      <c r="A25573" t="s">
        <v>3296</v>
      </c>
      <c r="B25573" t="s">
        <v>2931</v>
      </c>
      <c r="C25573">
        <v>14543</v>
      </c>
      <c r="D25573" t="str">
        <f>"15279262    "</f>
        <v xml:space="preserve">15279262    </v>
      </c>
      <c r="E25573" t="s">
        <v>1028</v>
      </c>
      <c r="F25573" t="s">
        <v>1029</v>
      </c>
      <c r="G25573">
        <v>11.8</v>
      </c>
      <c r="H25573">
        <v>251031</v>
      </c>
      <c r="I25573">
        <v>4369</v>
      </c>
      <c r="J25573" t="s">
        <v>188</v>
      </c>
      <c r="K25573">
        <v>11.8</v>
      </c>
      <c r="L25573">
        <v>2.4</v>
      </c>
      <c r="M25573">
        <v>11801</v>
      </c>
      <c r="N25573" t="s">
        <v>40</v>
      </c>
      <c r="O25573">
        <v>251104</v>
      </c>
      <c r="P25573">
        <v>9.4</v>
      </c>
    </row>
    <row r="25574" spans="1:16" x14ac:dyDescent="0.25">
      <c r="A25574" t="s">
        <v>3296</v>
      </c>
      <c r="B25574" t="s">
        <v>2931</v>
      </c>
      <c r="C25574">
        <v>18014</v>
      </c>
      <c r="D25574" t="str">
        <f>"15289532    "</f>
        <v xml:space="preserve">15289532    </v>
      </c>
      <c r="E25574" t="s">
        <v>1028</v>
      </c>
      <c r="F25574" t="s">
        <v>1029</v>
      </c>
      <c r="G25574">
        <v>11.29</v>
      </c>
      <c r="H25574">
        <v>251231</v>
      </c>
      <c r="I25574">
        <v>4369</v>
      </c>
      <c r="J25574" t="s">
        <v>188</v>
      </c>
      <c r="K25574">
        <v>11.29</v>
      </c>
      <c r="L25574">
        <v>2.29</v>
      </c>
      <c r="M25574">
        <v>11801</v>
      </c>
      <c r="N25574" t="s">
        <v>40</v>
      </c>
      <c r="O25574">
        <v>260108</v>
      </c>
      <c r="P25574">
        <v>9</v>
      </c>
    </row>
    <row r="25575" spans="1:16" x14ac:dyDescent="0.25">
      <c r="A25575" t="s">
        <v>3296</v>
      </c>
      <c r="B25575" t="s">
        <v>2931</v>
      </c>
      <c r="C25575">
        <v>9588</v>
      </c>
      <c r="D25575" t="str">
        <f>"15261301    "</f>
        <v xml:space="preserve">15261301    </v>
      </c>
      <c r="E25575" t="s">
        <v>1028</v>
      </c>
      <c r="F25575" t="s">
        <v>1029</v>
      </c>
      <c r="G25575">
        <v>3.77</v>
      </c>
      <c r="H25575">
        <v>250630</v>
      </c>
      <c r="I25575">
        <v>4580</v>
      </c>
      <c r="J25575" t="s">
        <v>126</v>
      </c>
      <c r="K25575">
        <v>3.77</v>
      </c>
      <c r="L25575">
        <v>0.77</v>
      </c>
      <c r="M25575">
        <v>11801</v>
      </c>
      <c r="N25575" t="s">
        <v>40</v>
      </c>
      <c r="O25575">
        <v>250721</v>
      </c>
      <c r="P25575">
        <v>3</v>
      </c>
    </row>
    <row r="25576" spans="1:16" x14ac:dyDescent="0.25">
      <c r="A25576" t="s">
        <v>3296</v>
      </c>
      <c r="B25576" t="s">
        <v>2931</v>
      </c>
      <c r="C25576">
        <v>16710</v>
      </c>
      <c r="D25576" t="str">
        <f>"186         "</f>
        <v xml:space="preserve">186         </v>
      </c>
      <c r="E25576" t="s">
        <v>2702</v>
      </c>
      <c r="F25576" t="s">
        <v>2703</v>
      </c>
      <c r="G25576">
        <v>141.9</v>
      </c>
      <c r="H25576">
        <v>251209</v>
      </c>
      <c r="I25576">
        <v>4600</v>
      </c>
      <c r="J25576" t="s">
        <v>278</v>
      </c>
      <c r="K25576">
        <v>141.9</v>
      </c>
      <c r="L25576">
        <v>28.83</v>
      </c>
      <c r="M25576">
        <v>59702</v>
      </c>
      <c r="N25576" t="s">
        <v>45</v>
      </c>
      <c r="O25576">
        <v>251211</v>
      </c>
      <c r="P25576">
        <v>113.07</v>
      </c>
    </row>
    <row r="25577" spans="1:16" x14ac:dyDescent="0.25">
      <c r="A25577" t="s">
        <v>3296</v>
      </c>
      <c r="B25577" t="s">
        <v>2931</v>
      </c>
      <c r="C25577">
        <v>471</v>
      </c>
      <c r="D25577" t="str">
        <f>"41752       "</f>
        <v xml:space="preserve">41752       </v>
      </c>
      <c r="E25577" t="s">
        <v>536</v>
      </c>
      <c r="F25577" t="s">
        <v>537</v>
      </c>
      <c r="G25577">
        <v>286.77</v>
      </c>
      <c r="H25577">
        <v>250121</v>
      </c>
      <c r="I25577">
        <v>4367</v>
      </c>
      <c r="J25577" t="s">
        <v>159</v>
      </c>
      <c r="K25577">
        <v>573.54</v>
      </c>
      <c r="L25577">
        <v>58.27</v>
      </c>
      <c r="M25577">
        <v>14541</v>
      </c>
      <c r="N25577" t="s">
        <v>76</v>
      </c>
      <c r="O25577">
        <v>250123</v>
      </c>
      <c r="P25577">
        <v>228.5</v>
      </c>
    </row>
    <row r="25578" spans="1:16" x14ac:dyDescent="0.25">
      <c r="A25578" t="s">
        <v>3296</v>
      </c>
      <c r="B25578" t="s">
        <v>2931</v>
      </c>
      <c r="C25578">
        <v>471</v>
      </c>
      <c r="D25578" t="str">
        <f>"41752       "</f>
        <v xml:space="preserve">41752       </v>
      </c>
      <c r="E25578" t="s">
        <v>536</v>
      </c>
      <c r="F25578" t="s">
        <v>537</v>
      </c>
      <c r="G25578">
        <v>286.77</v>
      </c>
      <c r="H25578">
        <v>250121</v>
      </c>
      <c r="I25578">
        <v>4367</v>
      </c>
      <c r="J25578" t="s">
        <v>159</v>
      </c>
      <c r="K25578">
        <v>573.54</v>
      </c>
      <c r="L25578">
        <v>58.27</v>
      </c>
      <c r="M25578">
        <v>44222</v>
      </c>
      <c r="N25578" t="s">
        <v>96</v>
      </c>
      <c r="O25578">
        <v>250123</v>
      </c>
      <c r="P25578">
        <v>228.5</v>
      </c>
    </row>
    <row r="25579" spans="1:16" x14ac:dyDescent="0.25">
      <c r="A25579" t="s">
        <v>3296</v>
      </c>
      <c r="B25579" t="s">
        <v>2931</v>
      </c>
      <c r="C25579">
        <v>2576</v>
      </c>
      <c r="D25579" t="str">
        <f>"24201076    "</f>
        <v xml:space="preserve">24201076    </v>
      </c>
      <c r="E25579" t="s">
        <v>1314</v>
      </c>
      <c r="F25579" t="s">
        <v>1315</v>
      </c>
      <c r="G25579">
        <v>220.89</v>
      </c>
      <c r="H25579">
        <v>250220</v>
      </c>
      <c r="I25579">
        <v>4400</v>
      </c>
      <c r="J25579" t="s">
        <v>162</v>
      </c>
      <c r="K25579">
        <v>220.89</v>
      </c>
      <c r="L25579">
        <v>44.88</v>
      </c>
      <c r="M25579">
        <v>46554</v>
      </c>
      <c r="N25579" t="s">
        <v>102</v>
      </c>
      <c r="O25579">
        <v>250306</v>
      </c>
      <c r="P25579">
        <v>176.01</v>
      </c>
    </row>
    <row r="25580" spans="1:16" x14ac:dyDescent="0.25">
      <c r="A25580" t="s">
        <v>3296</v>
      </c>
      <c r="B25580" t="s">
        <v>2931</v>
      </c>
      <c r="C25580">
        <v>2730</v>
      </c>
      <c r="D25580" t="str">
        <f>"24201137    "</f>
        <v xml:space="preserve">24201137    </v>
      </c>
      <c r="E25580" t="s">
        <v>1314</v>
      </c>
      <c r="F25580" t="s">
        <v>1315</v>
      </c>
      <c r="G25580">
        <v>2232.59</v>
      </c>
      <c r="H25580">
        <v>250227</v>
      </c>
      <c r="I25580">
        <v>4400</v>
      </c>
      <c r="J25580" t="s">
        <v>162</v>
      </c>
      <c r="K25580">
        <v>2232.59</v>
      </c>
      <c r="L25580">
        <v>453.63</v>
      </c>
      <c r="M25580">
        <v>17803</v>
      </c>
      <c r="N25580" t="s">
        <v>19</v>
      </c>
      <c r="O25580">
        <v>250311</v>
      </c>
      <c r="P25580">
        <v>1778.96</v>
      </c>
    </row>
    <row r="25581" spans="1:16" x14ac:dyDescent="0.25">
      <c r="A25581" t="s">
        <v>3296</v>
      </c>
      <c r="B25581" t="s">
        <v>2931</v>
      </c>
      <c r="C25581">
        <v>17985</v>
      </c>
      <c r="D25581" t="str">
        <f>"25200939    "</f>
        <v xml:space="preserve">25200939    </v>
      </c>
      <c r="E25581" t="s">
        <v>1314</v>
      </c>
      <c r="F25581" t="s">
        <v>1315</v>
      </c>
      <c r="G25581">
        <v>601.65</v>
      </c>
      <c r="H25581">
        <v>251231</v>
      </c>
      <c r="I25581">
        <v>4400</v>
      </c>
      <c r="J25581" t="s">
        <v>162</v>
      </c>
      <c r="K25581">
        <v>601.65</v>
      </c>
      <c r="L25581">
        <v>122.25</v>
      </c>
      <c r="M25581">
        <v>17803</v>
      </c>
      <c r="N25581" t="s">
        <v>19</v>
      </c>
      <c r="O25581">
        <v>260107</v>
      </c>
      <c r="P25581">
        <v>479.4</v>
      </c>
    </row>
    <row r="25582" spans="1:16" x14ac:dyDescent="0.25">
      <c r="A25582" t="s">
        <v>3296</v>
      </c>
      <c r="B25582" t="s">
        <v>2931</v>
      </c>
      <c r="C25582">
        <v>18482</v>
      </c>
      <c r="D25582" t="str">
        <f>"25200942    "</f>
        <v xml:space="preserve">25200942    </v>
      </c>
      <c r="E25582" t="s">
        <v>1314</v>
      </c>
      <c r="F25582" t="s">
        <v>1315</v>
      </c>
      <c r="G25582">
        <v>6075.35</v>
      </c>
      <c r="H25582">
        <v>251231</v>
      </c>
      <c r="I25582">
        <v>4400</v>
      </c>
      <c r="J25582" t="s">
        <v>162</v>
      </c>
      <c r="K25582">
        <v>6075.35</v>
      </c>
      <c r="L25582">
        <v>1234.43</v>
      </c>
      <c r="M25582">
        <v>17804</v>
      </c>
      <c r="N25582" t="s">
        <v>20</v>
      </c>
      <c r="O25582">
        <v>260114</v>
      </c>
      <c r="P25582">
        <v>4840.92</v>
      </c>
    </row>
    <row r="25583" spans="1:16" x14ac:dyDescent="0.25">
      <c r="A25583" t="s">
        <v>3296</v>
      </c>
      <c r="B25583" t="s">
        <v>2931</v>
      </c>
      <c r="C25583">
        <v>12023</v>
      </c>
      <c r="D25583" t="str">
        <f>"2050149710  "</f>
        <v xml:space="preserve">2050149710  </v>
      </c>
      <c r="E25583" t="s">
        <v>370</v>
      </c>
      <c r="F25583" t="s">
        <v>371</v>
      </c>
      <c r="G25583">
        <v>55.4</v>
      </c>
      <c r="H25583">
        <v>250913</v>
      </c>
      <c r="I25583">
        <v>4410</v>
      </c>
      <c r="J25583" t="s">
        <v>165</v>
      </c>
      <c r="K25583">
        <v>55.4</v>
      </c>
      <c r="L25583">
        <v>6.8</v>
      </c>
      <c r="M25583">
        <v>46559</v>
      </c>
      <c r="N25583" t="s">
        <v>105</v>
      </c>
      <c r="O25583">
        <v>250915</v>
      </c>
      <c r="P25583">
        <v>48.6</v>
      </c>
    </row>
    <row r="25584" spans="1:16" x14ac:dyDescent="0.25">
      <c r="A25584" t="s">
        <v>3296</v>
      </c>
      <c r="B25584" t="s">
        <v>2931</v>
      </c>
      <c r="C25584">
        <v>2819</v>
      </c>
      <c r="D25584" t="str">
        <f>"2050117401  "</f>
        <v xml:space="preserve">2050117401  </v>
      </c>
      <c r="E25584" t="s">
        <v>370</v>
      </c>
      <c r="F25584" t="s">
        <v>371</v>
      </c>
      <c r="G25584">
        <v>19.899999999999999</v>
      </c>
      <c r="H25584">
        <v>250228</v>
      </c>
      <c r="I25584">
        <v>4412</v>
      </c>
      <c r="J25584" t="s">
        <v>884</v>
      </c>
      <c r="K25584">
        <v>19.899999999999999</v>
      </c>
      <c r="L25584">
        <v>2.44</v>
      </c>
      <c r="M25584">
        <v>44222</v>
      </c>
      <c r="N25584" t="s">
        <v>96</v>
      </c>
      <c r="O25584">
        <v>250312</v>
      </c>
      <c r="P25584">
        <v>17.46</v>
      </c>
    </row>
    <row r="25585" spans="1:16" x14ac:dyDescent="0.25">
      <c r="A25585" t="s">
        <v>3296</v>
      </c>
      <c r="B25585" t="s">
        <v>2931</v>
      </c>
      <c r="C25585">
        <v>246</v>
      </c>
      <c r="D25585" t="str">
        <f>"2050107604  "</f>
        <v xml:space="preserve">2050107604  </v>
      </c>
      <c r="E25585" t="s">
        <v>370</v>
      </c>
      <c r="F25585" t="s">
        <v>371</v>
      </c>
      <c r="G25585">
        <v>88.1</v>
      </c>
      <c r="H25585">
        <v>250110</v>
      </c>
      <c r="I25585">
        <v>4420</v>
      </c>
      <c r="J25585" t="s">
        <v>330</v>
      </c>
      <c r="K25585">
        <v>235.7</v>
      </c>
      <c r="L25585">
        <v>10.82</v>
      </c>
      <c r="M25585">
        <v>14972</v>
      </c>
      <c r="N25585" t="s">
        <v>82</v>
      </c>
      <c r="O25585">
        <v>250120</v>
      </c>
      <c r="P25585">
        <v>77.28</v>
      </c>
    </row>
    <row r="25586" spans="1:16" x14ac:dyDescent="0.25">
      <c r="A25586" t="s">
        <v>3296</v>
      </c>
      <c r="B25586" t="s">
        <v>2931</v>
      </c>
      <c r="C25586">
        <v>246</v>
      </c>
      <c r="D25586" t="str">
        <f>"2050107604  "</f>
        <v xml:space="preserve">2050107604  </v>
      </c>
      <c r="E25586" t="s">
        <v>370</v>
      </c>
      <c r="F25586" t="s">
        <v>371</v>
      </c>
      <c r="G25586">
        <v>46.9</v>
      </c>
      <c r="H25586">
        <v>250110</v>
      </c>
      <c r="I25586">
        <v>4420</v>
      </c>
      <c r="J25586" t="s">
        <v>330</v>
      </c>
      <c r="K25586">
        <v>235.7</v>
      </c>
      <c r="L25586">
        <v>5.76</v>
      </c>
      <c r="M25586">
        <v>17974</v>
      </c>
      <c r="N25586" t="s">
        <v>153</v>
      </c>
      <c r="O25586">
        <v>250120</v>
      </c>
      <c r="P25586">
        <v>41.14</v>
      </c>
    </row>
    <row r="25587" spans="1:16" x14ac:dyDescent="0.25">
      <c r="A25587" t="s">
        <v>3296</v>
      </c>
      <c r="B25587" t="s">
        <v>2931</v>
      </c>
      <c r="C25587">
        <v>246</v>
      </c>
      <c r="D25587" t="str">
        <f>"2050107604  "</f>
        <v xml:space="preserve">2050107604  </v>
      </c>
      <c r="E25587" t="s">
        <v>370</v>
      </c>
      <c r="F25587" t="s">
        <v>371</v>
      </c>
      <c r="G25587">
        <v>39.9</v>
      </c>
      <c r="H25587">
        <v>250110</v>
      </c>
      <c r="I25587">
        <v>4420</v>
      </c>
      <c r="J25587" t="s">
        <v>330</v>
      </c>
      <c r="K25587">
        <v>235.7</v>
      </c>
      <c r="L25587">
        <v>4.9000000000000004</v>
      </c>
      <c r="M25587">
        <v>18820</v>
      </c>
      <c r="N25587" t="s">
        <v>372</v>
      </c>
      <c r="O25587">
        <v>250120</v>
      </c>
      <c r="P25587">
        <v>35</v>
      </c>
    </row>
    <row r="25588" spans="1:16" x14ac:dyDescent="0.25">
      <c r="A25588" t="s">
        <v>3296</v>
      </c>
      <c r="B25588" t="s">
        <v>2931</v>
      </c>
      <c r="C25588">
        <v>246</v>
      </c>
      <c r="D25588" t="str">
        <f>"2050107604  "</f>
        <v xml:space="preserve">2050107604  </v>
      </c>
      <c r="E25588" t="s">
        <v>370</v>
      </c>
      <c r="F25588" t="s">
        <v>371</v>
      </c>
      <c r="G25588">
        <v>60.8</v>
      </c>
      <c r="H25588">
        <v>250110</v>
      </c>
      <c r="I25588">
        <v>4420</v>
      </c>
      <c r="J25588" t="s">
        <v>330</v>
      </c>
      <c r="K25588">
        <v>235.7</v>
      </c>
      <c r="L25588">
        <v>7.47</v>
      </c>
      <c r="M25588">
        <v>18820</v>
      </c>
      <c r="N25588" t="s">
        <v>372</v>
      </c>
      <c r="O25588">
        <v>250120</v>
      </c>
      <c r="P25588">
        <v>53.33</v>
      </c>
    </row>
    <row r="25589" spans="1:16" x14ac:dyDescent="0.25">
      <c r="A25589" t="s">
        <v>3296</v>
      </c>
      <c r="B25589" t="s">
        <v>2931</v>
      </c>
      <c r="C25589">
        <v>385</v>
      </c>
      <c r="D25589" t="str">
        <f>"2050109602  "</f>
        <v xml:space="preserve">2050109602  </v>
      </c>
      <c r="E25589" t="s">
        <v>370</v>
      </c>
      <c r="F25589" t="s">
        <v>371</v>
      </c>
      <c r="G25589">
        <v>100.1</v>
      </c>
      <c r="H25589">
        <v>250117</v>
      </c>
      <c r="I25589">
        <v>4420</v>
      </c>
      <c r="J25589" t="s">
        <v>330</v>
      </c>
      <c r="K25589">
        <v>100.1</v>
      </c>
      <c r="L25589">
        <v>12.29</v>
      </c>
      <c r="M25589">
        <v>13281</v>
      </c>
      <c r="N25589" t="s">
        <v>476</v>
      </c>
      <c r="O25589">
        <v>250122</v>
      </c>
      <c r="P25589">
        <v>87.81</v>
      </c>
    </row>
    <row r="25590" spans="1:16" x14ac:dyDescent="0.25">
      <c r="A25590" t="s">
        <v>3296</v>
      </c>
      <c r="B25590" t="s">
        <v>2931</v>
      </c>
      <c r="C25590">
        <v>1201</v>
      </c>
      <c r="D25590" t="str">
        <f>"2050110120  "</f>
        <v xml:space="preserve">2050110120  </v>
      </c>
      <c r="E25590" t="s">
        <v>370</v>
      </c>
      <c r="F25590" t="s">
        <v>371</v>
      </c>
      <c r="G25590">
        <v>49.8</v>
      </c>
      <c r="H25590">
        <v>250124</v>
      </c>
      <c r="I25590">
        <v>4420</v>
      </c>
      <c r="J25590" t="s">
        <v>330</v>
      </c>
      <c r="K25590">
        <v>349.1</v>
      </c>
      <c r="L25590">
        <v>6.12</v>
      </c>
      <c r="M25590">
        <v>11900</v>
      </c>
      <c r="N25590" t="s">
        <v>30</v>
      </c>
      <c r="O25590">
        <v>250205</v>
      </c>
      <c r="P25590">
        <v>43.68</v>
      </c>
    </row>
    <row r="25591" spans="1:16" x14ac:dyDescent="0.25">
      <c r="A25591" t="s">
        <v>3296</v>
      </c>
      <c r="B25591" t="s">
        <v>2931</v>
      </c>
      <c r="C25591">
        <v>1201</v>
      </c>
      <c r="D25591" t="str">
        <f>"2050110120  "</f>
        <v xml:space="preserve">2050110120  </v>
      </c>
      <c r="E25591" t="s">
        <v>370</v>
      </c>
      <c r="F25591" t="s">
        <v>371</v>
      </c>
      <c r="G25591">
        <v>18.3</v>
      </c>
      <c r="H25591">
        <v>250124</v>
      </c>
      <c r="I25591">
        <v>4420</v>
      </c>
      <c r="J25591" t="s">
        <v>330</v>
      </c>
      <c r="K25591">
        <v>349.1</v>
      </c>
      <c r="L25591">
        <v>2.25</v>
      </c>
      <c r="M25591">
        <v>13861</v>
      </c>
      <c r="N25591" t="s">
        <v>604</v>
      </c>
      <c r="O25591">
        <v>250205</v>
      </c>
      <c r="P25591">
        <v>16.05</v>
      </c>
    </row>
    <row r="25592" spans="1:16" x14ac:dyDescent="0.25">
      <c r="A25592" t="s">
        <v>3296</v>
      </c>
      <c r="B25592" t="s">
        <v>2931</v>
      </c>
      <c r="C25592">
        <v>1201</v>
      </c>
      <c r="D25592" t="str">
        <f>"2050110120  "</f>
        <v xml:space="preserve">2050110120  </v>
      </c>
      <c r="E25592" t="s">
        <v>370</v>
      </c>
      <c r="F25592" t="s">
        <v>371</v>
      </c>
      <c r="G25592">
        <v>82.2</v>
      </c>
      <c r="H25592">
        <v>250124</v>
      </c>
      <c r="I25592">
        <v>4420</v>
      </c>
      <c r="J25592" t="s">
        <v>330</v>
      </c>
      <c r="K25592">
        <v>349.1</v>
      </c>
      <c r="L25592">
        <v>10.09</v>
      </c>
      <c r="M25592">
        <v>18972</v>
      </c>
      <c r="N25592" t="s">
        <v>39</v>
      </c>
      <c r="O25592">
        <v>250205</v>
      </c>
      <c r="P25592">
        <v>72.11</v>
      </c>
    </row>
    <row r="25593" spans="1:16" x14ac:dyDescent="0.25">
      <c r="A25593" t="s">
        <v>3296</v>
      </c>
      <c r="B25593" t="s">
        <v>2931</v>
      </c>
      <c r="C25593">
        <v>2535</v>
      </c>
      <c r="D25593" t="str">
        <f>"2050115714  "</f>
        <v xml:space="preserve">2050115714  </v>
      </c>
      <c r="E25593" t="s">
        <v>370</v>
      </c>
      <c r="F25593" t="s">
        <v>371</v>
      </c>
      <c r="G25593">
        <v>105.7</v>
      </c>
      <c r="H25593">
        <v>250221</v>
      </c>
      <c r="I25593">
        <v>4420</v>
      </c>
      <c r="J25593" t="s">
        <v>330</v>
      </c>
      <c r="K25593">
        <v>215.3</v>
      </c>
      <c r="L25593">
        <v>12.98</v>
      </c>
      <c r="M25593">
        <v>14972</v>
      </c>
      <c r="N25593" t="s">
        <v>82</v>
      </c>
      <c r="O25593">
        <v>250303</v>
      </c>
      <c r="P25593">
        <v>92.72</v>
      </c>
    </row>
    <row r="25594" spans="1:16" x14ac:dyDescent="0.25">
      <c r="A25594" t="s">
        <v>3296</v>
      </c>
      <c r="B25594" t="s">
        <v>2931</v>
      </c>
      <c r="C25594">
        <v>2535</v>
      </c>
      <c r="D25594" t="str">
        <f>"2050115714  "</f>
        <v xml:space="preserve">2050115714  </v>
      </c>
      <c r="E25594" t="s">
        <v>370</v>
      </c>
      <c r="F25594" t="s">
        <v>371</v>
      </c>
      <c r="G25594">
        <v>25.7</v>
      </c>
      <c r="H25594">
        <v>250221</v>
      </c>
      <c r="I25594">
        <v>4420</v>
      </c>
      <c r="J25594" t="s">
        <v>330</v>
      </c>
      <c r="K25594">
        <v>215.3</v>
      </c>
      <c r="L25594">
        <v>3.16</v>
      </c>
      <c r="M25594">
        <v>18120</v>
      </c>
      <c r="N25594" t="s">
        <v>37</v>
      </c>
      <c r="O25594">
        <v>250303</v>
      </c>
      <c r="P25594">
        <v>22.54</v>
      </c>
    </row>
    <row r="25595" spans="1:16" x14ac:dyDescent="0.25">
      <c r="A25595" t="s">
        <v>3296</v>
      </c>
      <c r="B25595" t="s">
        <v>2931</v>
      </c>
      <c r="C25595">
        <v>2535</v>
      </c>
      <c r="D25595" t="str">
        <f>"2050115714  "</f>
        <v xml:space="preserve">2050115714  </v>
      </c>
      <c r="E25595" t="s">
        <v>370</v>
      </c>
      <c r="F25595" t="s">
        <v>371</v>
      </c>
      <c r="G25595">
        <v>83.9</v>
      </c>
      <c r="H25595">
        <v>250221</v>
      </c>
      <c r="I25595">
        <v>4420</v>
      </c>
      <c r="J25595" t="s">
        <v>330</v>
      </c>
      <c r="K25595">
        <v>215.3</v>
      </c>
      <c r="L25595">
        <v>10.3</v>
      </c>
      <c r="M25595">
        <v>59702</v>
      </c>
      <c r="N25595" t="s">
        <v>45</v>
      </c>
      <c r="O25595">
        <v>250303</v>
      </c>
      <c r="P25595">
        <v>73.599999999999994</v>
      </c>
    </row>
    <row r="25596" spans="1:16" x14ac:dyDescent="0.25">
      <c r="A25596" t="s">
        <v>3296</v>
      </c>
      <c r="B25596" t="s">
        <v>2931</v>
      </c>
      <c r="C25596">
        <v>3427</v>
      </c>
      <c r="D25596" t="str">
        <f>"2050117893  "</f>
        <v xml:space="preserve">2050117893  </v>
      </c>
      <c r="E25596" t="s">
        <v>370</v>
      </c>
      <c r="F25596" t="s">
        <v>371</v>
      </c>
      <c r="G25596">
        <v>50.3</v>
      </c>
      <c r="H25596">
        <v>250307</v>
      </c>
      <c r="I25596">
        <v>4420</v>
      </c>
      <c r="J25596" t="s">
        <v>330</v>
      </c>
      <c r="K25596">
        <v>50.3</v>
      </c>
      <c r="L25596">
        <v>6.18</v>
      </c>
      <c r="M25596">
        <v>13901</v>
      </c>
      <c r="N25596" t="s">
        <v>116</v>
      </c>
      <c r="O25596">
        <v>250321</v>
      </c>
      <c r="P25596">
        <v>44.12</v>
      </c>
    </row>
    <row r="25597" spans="1:16" x14ac:dyDescent="0.25">
      <c r="A25597" t="s">
        <v>3296</v>
      </c>
      <c r="B25597" t="s">
        <v>2931</v>
      </c>
      <c r="C25597">
        <v>3534</v>
      </c>
      <c r="D25597" t="str">
        <f>"2050117892  "</f>
        <v xml:space="preserve">2050117892  </v>
      </c>
      <c r="E25597" t="s">
        <v>370</v>
      </c>
      <c r="F25597" t="s">
        <v>371</v>
      </c>
      <c r="G25597">
        <v>64.5</v>
      </c>
      <c r="H25597">
        <v>250307</v>
      </c>
      <c r="I25597">
        <v>4420</v>
      </c>
      <c r="J25597" t="s">
        <v>330</v>
      </c>
      <c r="K25597">
        <v>288.7</v>
      </c>
      <c r="L25597">
        <v>0</v>
      </c>
      <c r="M25597">
        <v>14990</v>
      </c>
      <c r="N25597" t="s">
        <v>85</v>
      </c>
      <c r="O25597">
        <v>250325</v>
      </c>
      <c r="P25597">
        <v>64.5</v>
      </c>
    </row>
    <row r="25598" spans="1:16" x14ac:dyDescent="0.25">
      <c r="A25598" t="s">
        <v>3296</v>
      </c>
      <c r="B25598" t="s">
        <v>2931</v>
      </c>
      <c r="C25598">
        <v>3606</v>
      </c>
      <c r="D25598" t="str">
        <f>"2050119030  "</f>
        <v xml:space="preserve">2050119030  </v>
      </c>
      <c r="E25598" t="s">
        <v>370</v>
      </c>
      <c r="F25598" t="s">
        <v>371</v>
      </c>
      <c r="G25598">
        <v>49.1</v>
      </c>
      <c r="H25598">
        <v>250314</v>
      </c>
      <c r="I25598">
        <v>4420</v>
      </c>
      <c r="J25598" t="s">
        <v>330</v>
      </c>
      <c r="K25598">
        <v>2003.4</v>
      </c>
      <c r="L25598">
        <v>6.03</v>
      </c>
      <c r="M25598">
        <v>11903</v>
      </c>
      <c r="N25598" t="s">
        <v>32</v>
      </c>
      <c r="O25598">
        <v>250326</v>
      </c>
      <c r="P25598">
        <v>43.07</v>
      </c>
    </row>
    <row r="25599" spans="1:16" x14ac:dyDescent="0.25">
      <c r="A25599" t="s">
        <v>3296</v>
      </c>
      <c r="B25599" t="s">
        <v>2931</v>
      </c>
      <c r="C25599">
        <v>3606</v>
      </c>
      <c r="D25599" t="str">
        <f>"2050119030  "</f>
        <v xml:space="preserve">2050119030  </v>
      </c>
      <c r="E25599" t="s">
        <v>370</v>
      </c>
      <c r="F25599" t="s">
        <v>371</v>
      </c>
      <c r="G25599">
        <v>91.1</v>
      </c>
      <c r="H25599">
        <v>250314</v>
      </c>
      <c r="I25599">
        <v>4420</v>
      </c>
      <c r="J25599" t="s">
        <v>330</v>
      </c>
      <c r="K25599">
        <v>2003.4</v>
      </c>
      <c r="L25599">
        <v>11.19</v>
      </c>
      <c r="M25599">
        <v>11903</v>
      </c>
      <c r="N25599" t="s">
        <v>32</v>
      </c>
      <c r="O25599">
        <v>250326</v>
      </c>
      <c r="P25599">
        <v>79.91</v>
      </c>
    </row>
    <row r="25600" spans="1:16" x14ac:dyDescent="0.25">
      <c r="A25600" t="s">
        <v>3296</v>
      </c>
      <c r="B25600" t="s">
        <v>2931</v>
      </c>
      <c r="C25600">
        <v>3606</v>
      </c>
      <c r="D25600" t="str">
        <f>"2050119030  "</f>
        <v xml:space="preserve">2050119030  </v>
      </c>
      <c r="E25600" t="s">
        <v>370</v>
      </c>
      <c r="F25600" t="s">
        <v>371</v>
      </c>
      <c r="G25600">
        <v>11.3</v>
      </c>
      <c r="H25600">
        <v>250314</v>
      </c>
      <c r="I25600">
        <v>4420</v>
      </c>
      <c r="J25600" t="s">
        <v>330</v>
      </c>
      <c r="K25600">
        <v>2003.4</v>
      </c>
      <c r="L25600">
        <v>1.39</v>
      </c>
      <c r="M25600">
        <v>13861</v>
      </c>
      <c r="N25600" t="s">
        <v>604</v>
      </c>
      <c r="O25600">
        <v>250326</v>
      </c>
      <c r="P25600">
        <v>9.91</v>
      </c>
    </row>
    <row r="25601" spans="1:16" x14ac:dyDescent="0.25">
      <c r="A25601" t="s">
        <v>3296</v>
      </c>
      <c r="B25601" t="s">
        <v>2931</v>
      </c>
      <c r="C25601">
        <v>3606</v>
      </c>
      <c r="D25601" t="str">
        <f>"2050119030  "</f>
        <v xml:space="preserve">2050119030  </v>
      </c>
      <c r="E25601" t="s">
        <v>370</v>
      </c>
      <c r="F25601" t="s">
        <v>371</v>
      </c>
      <c r="G25601">
        <v>104.8</v>
      </c>
      <c r="H25601">
        <v>250314</v>
      </c>
      <c r="I25601">
        <v>4420</v>
      </c>
      <c r="J25601" t="s">
        <v>330</v>
      </c>
      <c r="K25601">
        <v>2003.4</v>
      </c>
      <c r="L25601">
        <v>12.87</v>
      </c>
      <c r="M25601">
        <v>13901</v>
      </c>
      <c r="N25601" t="s">
        <v>116</v>
      </c>
      <c r="O25601">
        <v>250326</v>
      </c>
      <c r="P25601">
        <v>91.93</v>
      </c>
    </row>
    <row r="25602" spans="1:16" x14ac:dyDescent="0.25">
      <c r="A25602" t="s">
        <v>3296</v>
      </c>
      <c r="B25602" t="s">
        <v>2931</v>
      </c>
      <c r="C25602">
        <v>3606</v>
      </c>
      <c r="D25602" t="str">
        <f>"2050119030  "</f>
        <v xml:space="preserve">2050119030  </v>
      </c>
      <c r="E25602" t="s">
        <v>370</v>
      </c>
      <c r="F25602" t="s">
        <v>371</v>
      </c>
      <c r="G25602">
        <v>1655.5</v>
      </c>
      <c r="H25602">
        <v>250314</v>
      </c>
      <c r="I25602">
        <v>4420</v>
      </c>
      <c r="J25602" t="s">
        <v>330</v>
      </c>
      <c r="K25602">
        <v>2003.4</v>
      </c>
      <c r="L25602">
        <v>203.31</v>
      </c>
      <c r="M25602">
        <v>17538</v>
      </c>
      <c r="N25602" t="s">
        <v>129</v>
      </c>
      <c r="O25602">
        <v>250326</v>
      </c>
      <c r="P25602">
        <v>1452.19</v>
      </c>
    </row>
    <row r="25603" spans="1:16" x14ac:dyDescent="0.25">
      <c r="A25603" t="s">
        <v>3296</v>
      </c>
      <c r="B25603" t="s">
        <v>2931</v>
      </c>
      <c r="C25603">
        <v>3959</v>
      </c>
      <c r="D25603" t="str">
        <f>"2050120779  "</f>
        <v xml:space="preserve">2050120779  </v>
      </c>
      <c r="E25603" t="s">
        <v>370</v>
      </c>
      <c r="F25603" t="s">
        <v>371</v>
      </c>
      <c r="G25603">
        <v>69.400000000000006</v>
      </c>
      <c r="H25603">
        <v>250321</v>
      </c>
      <c r="I25603">
        <v>4420</v>
      </c>
      <c r="J25603" t="s">
        <v>330</v>
      </c>
      <c r="K25603">
        <v>129</v>
      </c>
      <c r="L25603">
        <v>8.52</v>
      </c>
      <c r="M25603">
        <v>17534</v>
      </c>
      <c r="N25603" t="s">
        <v>148</v>
      </c>
      <c r="O25603">
        <v>250404</v>
      </c>
      <c r="P25603">
        <v>60.88</v>
      </c>
    </row>
    <row r="25604" spans="1:16" x14ac:dyDescent="0.25">
      <c r="A25604" t="s">
        <v>3296</v>
      </c>
      <c r="B25604" t="s">
        <v>2931</v>
      </c>
      <c r="C25604">
        <v>3959</v>
      </c>
      <c r="D25604" t="str">
        <f>"2050120779  "</f>
        <v xml:space="preserve">2050120779  </v>
      </c>
      <c r="E25604" t="s">
        <v>370</v>
      </c>
      <c r="F25604" t="s">
        <v>371</v>
      </c>
      <c r="G25604">
        <v>69.400000000000006</v>
      </c>
      <c r="H25604">
        <v>250321</v>
      </c>
      <c r="I25604">
        <v>4420</v>
      </c>
      <c r="J25604" t="s">
        <v>330</v>
      </c>
      <c r="K25604">
        <v>129</v>
      </c>
      <c r="L25604">
        <v>8.52</v>
      </c>
      <c r="M25604">
        <v>17535</v>
      </c>
      <c r="N25604" t="s">
        <v>149</v>
      </c>
      <c r="O25604">
        <v>250404</v>
      </c>
      <c r="P25604">
        <v>60.88</v>
      </c>
    </row>
    <row r="25605" spans="1:16" x14ac:dyDescent="0.25">
      <c r="A25605" t="s">
        <v>3296</v>
      </c>
      <c r="B25605" t="s">
        <v>2931</v>
      </c>
      <c r="C25605">
        <v>4716</v>
      </c>
      <c r="D25605" t="str">
        <f>"2050121855  "</f>
        <v xml:space="preserve">2050121855  </v>
      </c>
      <c r="E25605" t="s">
        <v>370</v>
      </c>
      <c r="F25605" t="s">
        <v>371</v>
      </c>
      <c r="G25605">
        <v>354.2</v>
      </c>
      <c r="H25605">
        <v>250328</v>
      </c>
      <c r="I25605">
        <v>4420</v>
      </c>
      <c r="J25605" t="s">
        <v>330</v>
      </c>
      <c r="K25605">
        <v>699.35</v>
      </c>
      <c r="L25605">
        <v>43.5</v>
      </c>
      <c r="M25605">
        <v>11902</v>
      </c>
      <c r="N25605" t="s">
        <v>329</v>
      </c>
      <c r="O25605">
        <v>250415</v>
      </c>
      <c r="P25605">
        <v>310.7</v>
      </c>
    </row>
    <row r="25606" spans="1:16" x14ac:dyDescent="0.25">
      <c r="A25606" t="s">
        <v>3296</v>
      </c>
      <c r="B25606" t="s">
        <v>2931</v>
      </c>
      <c r="C25606">
        <v>4716</v>
      </c>
      <c r="D25606" t="str">
        <f>"2050121855  "</f>
        <v xml:space="preserve">2050121855  </v>
      </c>
      <c r="E25606" t="s">
        <v>370</v>
      </c>
      <c r="F25606" t="s">
        <v>371</v>
      </c>
      <c r="G25606">
        <v>27.5</v>
      </c>
      <c r="H25606">
        <v>250328</v>
      </c>
      <c r="I25606">
        <v>4420</v>
      </c>
      <c r="J25606" t="s">
        <v>330</v>
      </c>
      <c r="K25606">
        <v>699.35</v>
      </c>
      <c r="L25606">
        <v>3.38</v>
      </c>
      <c r="M25606">
        <v>11941</v>
      </c>
      <c r="N25606" t="s">
        <v>426</v>
      </c>
      <c r="O25606">
        <v>250415</v>
      </c>
      <c r="P25606">
        <v>24.12</v>
      </c>
    </row>
    <row r="25607" spans="1:16" x14ac:dyDescent="0.25">
      <c r="A25607" t="s">
        <v>3296</v>
      </c>
      <c r="B25607" t="s">
        <v>2931</v>
      </c>
      <c r="C25607">
        <v>4716</v>
      </c>
      <c r="D25607" t="str">
        <f>"2050121855  "</f>
        <v xml:space="preserve">2050121855  </v>
      </c>
      <c r="E25607" t="s">
        <v>370</v>
      </c>
      <c r="F25607" t="s">
        <v>371</v>
      </c>
      <c r="G25607">
        <v>102.65</v>
      </c>
      <c r="H25607">
        <v>250328</v>
      </c>
      <c r="I25607">
        <v>4420</v>
      </c>
      <c r="J25607" t="s">
        <v>330</v>
      </c>
      <c r="K25607">
        <v>699.35</v>
      </c>
      <c r="L25607">
        <v>12.61</v>
      </c>
      <c r="M25607">
        <v>13901</v>
      </c>
      <c r="N25607" t="s">
        <v>116</v>
      </c>
      <c r="O25607">
        <v>250415</v>
      </c>
      <c r="P25607">
        <v>90.04</v>
      </c>
    </row>
    <row r="25608" spans="1:16" x14ac:dyDescent="0.25">
      <c r="A25608" t="s">
        <v>3296</v>
      </c>
      <c r="B25608" t="s">
        <v>2931</v>
      </c>
      <c r="C25608">
        <v>4716</v>
      </c>
      <c r="D25608" t="str">
        <f>"2050121855  "</f>
        <v xml:space="preserve">2050121855  </v>
      </c>
      <c r="E25608" t="s">
        <v>370</v>
      </c>
      <c r="F25608" t="s">
        <v>371</v>
      </c>
      <c r="G25608">
        <v>39.1</v>
      </c>
      <c r="H25608">
        <v>250328</v>
      </c>
      <c r="I25608">
        <v>4420</v>
      </c>
      <c r="J25608" t="s">
        <v>330</v>
      </c>
      <c r="K25608">
        <v>699.35</v>
      </c>
      <c r="L25608">
        <v>4.8</v>
      </c>
      <c r="M25608">
        <v>17971</v>
      </c>
      <c r="N25608" t="s">
        <v>27</v>
      </c>
      <c r="O25608">
        <v>250415</v>
      </c>
      <c r="P25608">
        <v>34.299999999999997</v>
      </c>
    </row>
    <row r="25609" spans="1:16" x14ac:dyDescent="0.25">
      <c r="A25609" t="s">
        <v>3296</v>
      </c>
      <c r="B25609" t="s">
        <v>2931</v>
      </c>
      <c r="C25609">
        <v>4716</v>
      </c>
      <c r="D25609" t="str">
        <f>"2050121855  "</f>
        <v xml:space="preserve">2050121855  </v>
      </c>
      <c r="E25609" t="s">
        <v>370</v>
      </c>
      <c r="F25609" t="s">
        <v>371</v>
      </c>
      <c r="G25609">
        <v>74.7</v>
      </c>
      <c r="H25609">
        <v>250328</v>
      </c>
      <c r="I25609">
        <v>4420</v>
      </c>
      <c r="J25609" t="s">
        <v>330</v>
      </c>
      <c r="K25609">
        <v>699.35</v>
      </c>
      <c r="L25609">
        <v>9.17</v>
      </c>
      <c r="M25609">
        <v>41126</v>
      </c>
      <c r="N25609" t="s">
        <v>94</v>
      </c>
      <c r="O25609">
        <v>250415</v>
      </c>
      <c r="P25609">
        <v>65.53</v>
      </c>
    </row>
    <row r="25610" spans="1:16" x14ac:dyDescent="0.25">
      <c r="A25610" t="s">
        <v>3296</v>
      </c>
      <c r="B25610" t="s">
        <v>2931</v>
      </c>
      <c r="C25610">
        <v>4870</v>
      </c>
      <c r="D25610" t="str">
        <f>"2050123337  "</f>
        <v xml:space="preserve">2050123337  </v>
      </c>
      <c r="E25610" t="s">
        <v>370</v>
      </c>
      <c r="F25610" t="s">
        <v>371</v>
      </c>
      <c r="G25610">
        <v>41.9</v>
      </c>
      <c r="H25610">
        <v>250404</v>
      </c>
      <c r="I25610">
        <v>4420</v>
      </c>
      <c r="J25610" t="s">
        <v>330</v>
      </c>
      <c r="K25610">
        <v>522.6</v>
      </c>
      <c r="L25610">
        <v>5.15</v>
      </c>
      <c r="M25610">
        <v>11902</v>
      </c>
      <c r="N25610" t="s">
        <v>329</v>
      </c>
      <c r="O25610">
        <v>250416</v>
      </c>
      <c r="P25610">
        <v>36.75</v>
      </c>
    </row>
    <row r="25611" spans="1:16" x14ac:dyDescent="0.25">
      <c r="A25611" t="s">
        <v>3296</v>
      </c>
      <c r="B25611" t="s">
        <v>2931</v>
      </c>
      <c r="C25611">
        <v>4870</v>
      </c>
      <c r="D25611" t="str">
        <f>"2050123337  "</f>
        <v xml:space="preserve">2050123337  </v>
      </c>
      <c r="E25611" t="s">
        <v>370</v>
      </c>
      <c r="F25611" t="s">
        <v>371</v>
      </c>
      <c r="G25611">
        <v>126.7</v>
      </c>
      <c r="H25611">
        <v>250404</v>
      </c>
      <c r="I25611">
        <v>4420</v>
      </c>
      <c r="J25611" t="s">
        <v>330</v>
      </c>
      <c r="K25611">
        <v>522.6</v>
      </c>
      <c r="L25611">
        <v>15.56</v>
      </c>
      <c r="M25611">
        <v>13901</v>
      </c>
      <c r="N25611" t="s">
        <v>116</v>
      </c>
      <c r="O25611">
        <v>250416</v>
      </c>
      <c r="P25611">
        <v>111.14</v>
      </c>
    </row>
    <row r="25612" spans="1:16" x14ac:dyDescent="0.25">
      <c r="A25612" t="s">
        <v>3296</v>
      </c>
      <c r="B25612" t="s">
        <v>2931</v>
      </c>
      <c r="C25612">
        <v>4870</v>
      </c>
      <c r="D25612" t="str">
        <f>"2050123337  "</f>
        <v xml:space="preserve">2050123337  </v>
      </c>
      <c r="E25612" t="s">
        <v>370</v>
      </c>
      <c r="F25612" t="s">
        <v>371</v>
      </c>
      <c r="G25612">
        <v>55.2</v>
      </c>
      <c r="H25612">
        <v>250404</v>
      </c>
      <c r="I25612">
        <v>4420</v>
      </c>
      <c r="J25612" t="s">
        <v>330</v>
      </c>
      <c r="K25612">
        <v>522.6</v>
      </c>
      <c r="L25612">
        <v>6.78</v>
      </c>
      <c r="M25612">
        <v>13910</v>
      </c>
      <c r="N25612" t="s">
        <v>919</v>
      </c>
      <c r="O25612">
        <v>250416</v>
      </c>
      <c r="P25612">
        <v>48.42</v>
      </c>
    </row>
    <row r="25613" spans="1:16" x14ac:dyDescent="0.25">
      <c r="A25613" t="s">
        <v>3296</v>
      </c>
      <c r="B25613" t="s">
        <v>2931</v>
      </c>
      <c r="C25613">
        <v>4870</v>
      </c>
      <c r="D25613" t="str">
        <f>"2050123337  "</f>
        <v xml:space="preserve">2050123337  </v>
      </c>
      <c r="E25613" t="s">
        <v>370</v>
      </c>
      <c r="F25613" t="s">
        <v>371</v>
      </c>
      <c r="G25613">
        <v>129.1</v>
      </c>
      <c r="H25613">
        <v>250404</v>
      </c>
      <c r="I25613">
        <v>4420</v>
      </c>
      <c r="J25613" t="s">
        <v>330</v>
      </c>
      <c r="K25613">
        <v>522.6</v>
      </c>
      <c r="L25613">
        <v>15.85</v>
      </c>
      <c r="M25613">
        <v>59702</v>
      </c>
      <c r="N25613" t="s">
        <v>45</v>
      </c>
      <c r="O25613">
        <v>250416</v>
      </c>
      <c r="P25613">
        <v>113.25</v>
      </c>
    </row>
    <row r="25614" spans="1:16" x14ac:dyDescent="0.25">
      <c r="A25614" t="s">
        <v>3296</v>
      </c>
      <c r="B25614" t="s">
        <v>2931</v>
      </c>
      <c r="C25614">
        <v>4870</v>
      </c>
      <c r="D25614" t="str">
        <f>"2050123337  "</f>
        <v xml:space="preserve">2050123337  </v>
      </c>
      <c r="E25614" t="s">
        <v>370</v>
      </c>
      <c r="F25614" t="s">
        <v>371</v>
      </c>
      <c r="G25614">
        <v>98.5</v>
      </c>
      <c r="H25614">
        <v>250404</v>
      </c>
      <c r="I25614">
        <v>4420</v>
      </c>
      <c r="J25614" t="s">
        <v>330</v>
      </c>
      <c r="K25614">
        <v>522.6</v>
      </c>
      <c r="L25614">
        <v>12.1</v>
      </c>
      <c r="M25614">
        <v>66756</v>
      </c>
      <c r="N25614" t="s">
        <v>120</v>
      </c>
      <c r="O25614">
        <v>250416</v>
      </c>
      <c r="P25614">
        <v>86.4</v>
      </c>
    </row>
    <row r="25615" spans="1:16" x14ac:dyDescent="0.25">
      <c r="A25615" t="s">
        <v>3296</v>
      </c>
      <c r="B25615" t="s">
        <v>2931</v>
      </c>
      <c r="C25615">
        <v>5304</v>
      </c>
      <c r="D25615" t="str">
        <f>"2050125673  "</f>
        <v xml:space="preserve">2050125673  </v>
      </c>
      <c r="E25615" t="s">
        <v>370</v>
      </c>
      <c r="F25615" t="s">
        <v>371</v>
      </c>
      <c r="G25615">
        <v>9.3000000000000007</v>
      </c>
      <c r="H25615">
        <v>250411</v>
      </c>
      <c r="I25615">
        <v>4420</v>
      </c>
      <c r="J25615" t="s">
        <v>330</v>
      </c>
      <c r="K25615">
        <v>9.3000000000000007</v>
      </c>
      <c r="L25615">
        <v>1.1399999999999999</v>
      </c>
      <c r="M25615">
        <v>11902</v>
      </c>
      <c r="N25615" t="s">
        <v>329</v>
      </c>
      <c r="O25615">
        <v>250423</v>
      </c>
      <c r="P25615">
        <v>8.16</v>
      </c>
    </row>
    <row r="25616" spans="1:16" x14ac:dyDescent="0.25">
      <c r="A25616" t="s">
        <v>3296</v>
      </c>
      <c r="B25616" t="s">
        <v>2931</v>
      </c>
      <c r="C25616">
        <v>5795</v>
      </c>
      <c r="D25616" t="str">
        <f>"2050127162  "</f>
        <v xml:space="preserve">2050127162  </v>
      </c>
      <c r="E25616" t="s">
        <v>370</v>
      </c>
      <c r="F25616" t="s">
        <v>371</v>
      </c>
      <c r="G25616">
        <v>19.899999999999999</v>
      </c>
      <c r="H25616">
        <v>250425</v>
      </c>
      <c r="I25616">
        <v>4420</v>
      </c>
      <c r="J25616" t="s">
        <v>330</v>
      </c>
      <c r="K25616">
        <v>417.2</v>
      </c>
      <c r="L25616">
        <v>2.44</v>
      </c>
      <c r="M25616">
        <v>11941</v>
      </c>
      <c r="N25616" t="s">
        <v>426</v>
      </c>
      <c r="O25616">
        <v>250505</v>
      </c>
      <c r="P25616">
        <v>17.46</v>
      </c>
    </row>
    <row r="25617" spans="1:16" x14ac:dyDescent="0.25">
      <c r="A25617" t="s">
        <v>3296</v>
      </c>
      <c r="B25617" t="s">
        <v>2931</v>
      </c>
      <c r="C25617">
        <v>5795</v>
      </c>
      <c r="D25617" t="str">
        <f>"2050127162  "</f>
        <v xml:space="preserve">2050127162  </v>
      </c>
      <c r="E25617" t="s">
        <v>370</v>
      </c>
      <c r="F25617" t="s">
        <v>371</v>
      </c>
      <c r="G25617">
        <v>19.899999999999999</v>
      </c>
      <c r="H25617">
        <v>250425</v>
      </c>
      <c r="I25617">
        <v>4420</v>
      </c>
      <c r="J25617" t="s">
        <v>330</v>
      </c>
      <c r="K25617">
        <v>417.2</v>
      </c>
      <c r="L25617">
        <v>2.44</v>
      </c>
      <c r="M25617">
        <v>13401</v>
      </c>
      <c r="N25617" t="s">
        <v>10</v>
      </c>
      <c r="O25617">
        <v>250505</v>
      </c>
      <c r="P25617">
        <v>17.46</v>
      </c>
    </row>
    <row r="25618" spans="1:16" x14ac:dyDescent="0.25">
      <c r="A25618" t="s">
        <v>3296</v>
      </c>
      <c r="B25618" t="s">
        <v>2931</v>
      </c>
      <c r="C25618">
        <v>5795</v>
      </c>
      <c r="D25618" t="str">
        <f>"2050127162  "</f>
        <v xml:space="preserve">2050127162  </v>
      </c>
      <c r="E25618" t="s">
        <v>370</v>
      </c>
      <c r="F25618" t="s">
        <v>371</v>
      </c>
      <c r="G25618">
        <v>75.8</v>
      </c>
      <c r="H25618">
        <v>250425</v>
      </c>
      <c r="I25618">
        <v>4420</v>
      </c>
      <c r="J25618" t="s">
        <v>330</v>
      </c>
      <c r="K25618">
        <v>417.2</v>
      </c>
      <c r="L25618">
        <v>9.31</v>
      </c>
      <c r="M25618">
        <v>13861</v>
      </c>
      <c r="N25618" t="s">
        <v>604</v>
      </c>
      <c r="O25618">
        <v>250505</v>
      </c>
      <c r="P25618">
        <v>66.489999999999995</v>
      </c>
    </row>
    <row r="25619" spans="1:16" x14ac:dyDescent="0.25">
      <c r="A25619" t="s">
        <v>3296</v>
      </c>
      <c r="B25619" t="s">
        <v>2931</v>
      </c>
      <c r="C25619">
        <v>5795</v>
      </c>
      <c r="D25619" t="str">
        <f>"2050127162  "</f>
        <v xml:space="preserve">2050127162  </v>
      </c>
      <c r="E25619" t="s">
        <v>370</v>
      </c>
      <c r="F25619" t="s">
        <v>371</v>
      </c>
      <c r="G25619">
        <v>30.6</v>
      </c>
      <c r="H25619">
        <v>250425</v>
      </c>
      <c r="I25619">
        <v>4420</v>
      </c>
      <c r="J25619" t="s">
        <v>330</v>
      </c>
      <c r="K25619">
        <v>417.2</v>
      </c>
      <c r="L25619">
        <v>3.76</v>
      </c>
      <c r="M25619">
        <v>56563</v>
      </c>
      <c r="N25619" t="s">
        <v>55</v>
      </c>
      <c r="O25619">
        <v>250505</v>
      </c>
      <c r="P25619">
        <v>26.84</v>
      </c>
    </row>
    <row r="25620" spans="1:16" x14ac:dyDescent="0.25">
      <c r="A25620" t="s">
        <v>3296</v>
      </c>
      <c r="B25620" t="s">
        <v>2931</v>
      </c>
      <c r="C25620">
        <v>5796</v>
      </c>
      <c r="D25620" t="str">
        <f>"2050126116  "</f>
        <v xml:space="preserve">2050126116  </v>
      </c>
      <c r="E25620" t="s">
        <v>370</v>
      </c>
      <c r="F25620" t="s">
        <v>371</v>
      </c>
      <c r="G25620">
        <v>158.5</v>
      </c>
      <c r="H25620">
        <v>250418</v>
      </c>
      <c r="I25620">
        <v>4420</v>
      </c>
      <c r="J25620" t="s">
        <v>330</v>
      </c>
      <c r="K25620">
        <v>315</v>
      </c>
      <c r="L25620">
        <v>19.46</v>
      </c>
      <c r="M25620">
        <v>13901</v>
      </c>
      <c r="N25620" t="s">
        <v>116</v>
      </c>
      <c r="O25620">
        <v>250505</v>
      </c>
      <c r="P25620">
        <v>139.04</v>
      </c>
    </row>
    <row r="25621" spans="1:16" x14ac:dyDescent="0.25">
      <c r="A25621" t="s">
        <v>3296</v>
      </c>
      <c r="B25621" t="s">
        <v>2931</v>
      </c>
      <c r="C25621">
        <v>5796</v>
      </c>
      <c r="D25621" t="str">
        <f>"2050126116  "</f>
        <v xml:space="preserve">2050126116  </v>
      </c>
      <c r="E25621" t="s">
        <v>370</v>
      </c>
      <c r="F25621" t="s">
        <v>371</v>
      </c>
      <c r="G25621">
        <v>45.1</v>
      </c>
      <c r="H25621">
        <v>250418</v>
      </c>
      <c r="I25621">
        <v>4420</v>
      </c>
      <c r="J25621" t="s">
        <v>330</v>
      </c>
      <c r="K25621">
        <v>315</v>
      </c>
      <c r="L25621">
        <v>5.54</v>
      </c>
      <c r="M25621">
        <v>13910</v>
      </c>
      <c r="N25621" t="s">
        <v>919</v>
      </c>
      <c r="O25621">
        <v>250505</v>
      </c>
      <c r="P25621">
        <v>39.56</v>
      </c>
    </row>
    <row r="25622" spans="1:16" x14ac:dyDescent="0.25">
      <c r="A25622" t="s">
        <v>3296</v>
      </c>
      <c r="B25622" t="s">
        <v>2931</v>
      </c>
      <c r="C25622">
        <v>5796</v>
      </c>
      <c r="D25622" t="str">
        <f>"2050126116  "</f>
        <v xml:space="preserve">2050126116  </v>
      </c>
      <c r="E25622" t="s">
        <v>370</v>
      </c>
      <c r="F25622" t="s">
        <v>371</v>
      </c>
      <c r="G25622">
        <v>41.5</v>
      </c>
      <c r="H25622">
        <v>250418</v>
      </c>
      <c r="I25622">
        <v>4420</v>
      </c>
      <c r="J25622" t="s">
        <v>330</v>
      </c>
      <c r="K25622">
        <v>315</v>
      </c>
      <c r="L25622">
        <v>5.0999999999999996</v>
      </c>
      <c r="M25622">
        <v>44222</v>
      </c>
      <c r="N25622" t="s">
        <v>96</v>
      </c>
      <c r="O25622">
        <v>250505</v>
      </c>
      <c r="P25622">
        <v>36.4</v>
      </c>
    </row>
    <row r="25623" spans="1:16" x14ac:dyDescent="0.25">
      <c r="A25623" t="s">
        <v>3296</v>
      </c>
      <c r="B25623" t="s">
        <v>2931</v>
      </c>
      <c r="C25623">
        <v>6301</v>
      </c>
      <c r="D25623" t="str">
        <f>"2050128454  "</f>
        <v xml:space="preserve">2050128454  </v>
      </c>
      <c r="E25623" t="s">
        <v>370</v>
      </c>
      <c r="F25623" t="s">
        <v>371</v>
      </c>
      <c r="G25623">
        <v>93.3</v>
      </c>
      <c r="H25623">
        <v>250502</v>
      </c>
      <c r="I25623">
        <v>4420</v>
      </c>
      <c r="J25623" t="s">
        <v>330</v>
      </c>
      <c r="K25623">
        <v>286.3</v>
      </c>
      <c r="L25623">
        <v>11.46</v>
      </c>
      <c r="M25623">
        <v>44222</v>
      </c>
      <c r="N25623" t="s">
        <v>96</v>
      </c>
      <c r="O25623">
        <v>250512</v>
      </c>
      <c r="P25623">
        <v>81.84</v>
      </c>
    </row>
    <row r="25624" spans="1:16" x14ac:dyDescent="0.25">
      <c r="A25624" t="s">
        <v>3296</v>
      </c>
      <c r="B25624" t="s">
        <v>2931</v>
      </c>
      <c r="C25624">
        <v>6699</v>
      </c>
      <c r="D25624" t="str">
        <f>"2050129771  "</f>
        <v xml:space="preserve">2050129771  </v>
      </c>
      <c r="E25624" t="s">
        <v>370</v>
      </c>
      <c r="F25624" t="s">
        <v>371</v>
      </c>
      <c r="G25624">
        <v>42.8</v>
      </c>
      <c r="H25624">
        <v>250509</v>
      </c>
      <c r="I25624">
        <v>4420</v>
      </c>
      <c r="J25624" t="s">
        <v>330</v>
      </c>
      <c r="K25624">
        <v>732.6</v>
      </c>
      <c r="L25624">
        <v>5.26</v>
      </c>
      <c r="M25624">
        <v>11501</v>
      </c>
      <c r="N25624" t="s">
        <v>13</v>
      </c>
      <c r="O25624">
        <v>250515</v>
      </c>
      <c r="P25624">
        <v>37.54</v>
      </c>
    </row>
    <row r="25625" spans="1:16" x14ac:dyDescent="0.25">
      <c r="A25625" t="s">
        <v>3296</v>
      </c>
      <c r="B25625" t="s">
        <v>2931</v>
      </c>
      <c r="C25625">
        <v>6699</v>
      </c>
      <c r="D25625" t="str">
        <f>"2050129771  "</f>
        <v xml:space="preserve">2050129771  </v>
      </c>
      <c r="E25625" t="s">
        <v>370</v>
      </c>
      <c r="F25625" t="s">
        <v>371</v>
      </c>
      <c r="G25625">
        <v>53.8</v>
      </c>
      <c r="H25625">
        <v>250509</v>
      </c>
      <c r="I25625">
        <v>4420</v>
      </c>
      <c r="J25625" t="s">
        <v>330</v>
      </c>
      <c r="K25625">
        <v>732.6</v>
      </c>
      <c r="L25625">
        <v>6.61</v>
      </c>
      <c r="M25625">
        <v>11900</v>
      </c>
      <c r="N25625" t="s">
        <v>30</v>
      </c>
      <c r="O25625">
        <v>250515</v>
      </c>
      <c r="P25625">
        <v>47.19</v>
      </c>
    </row>
    <row r="25626" spans="1:16" x14ac:dyDescent="0.25">
      <c r="A25626" t="s">
        <v>3296</v>
      </c>
      <c r="B25626" t="s">
        <v>2931</v>
      </c>
      <c r="C25626">
        <v>6699</v>
      </c>
      <c r="D25626" t="str">
        <f>"2050129771  "</f>
        <v xml:space="preserve">2050129771  </v>
      </c>
      <c r="E25626" t="s">
        <v>370</v>
      </c>
      <c r="F25626" t="s">
        <v>371</v>
      </c>
      <c r="G25626">
        <v>29.6</v>
      </c>
      <c r="H25626">
        <v>250509</v>
      </c>
      <c r="I25626">
        <v>4420</v>
      </c>
      <c r="J25626" t="s">
        <v>330</v>
      </c>
      <c r="K25626">
        <v>732.6</v>
      </c>
      <c r="L25626">
        <v>3.64</v>
      </c>
      <c r="M25626">
        <v>11902</v>
      </c>
      <c r="N25626" t="s">
        <v>329</v>
      </c>
      <c r="O25626">
        <v>250515</v>
      </c>
      <c r="P25626">
        <v>25.96</v>
      </c>
    </row>
    <row r="25627" spans="1:16" x14ac:dyDescent="0.25">
      <c r="A25627" t="s">
        <v>3296</v>
      </c>
      <c r="B25627" t="s">
        <v>2931</v>
      </c>
      <c r="C25627">
        <v>6699</v>
      </c>
      <c r="D25627" t="str">
        <f>"2050129771  "</f>
        <v xml:space="preserve">2050129771  </v>
      </c>
      <c r="E25627" t="s">
        <v>370</v>
      </c>
      <c r="F25627" t="s">
        <v>371</v>
      </c>
      <c r="G25627">
        <v>139.80000000000001</v>
      </c>
      <c r="H25627">
        <v>250509</v>
      </c>
      <c r="I25627">
        <v>4420</v>
      </c>
      <c r="J25627" t="s">
        <v>330</v>
      </c>
      <c r="K25627">
        <v>732.6</v>
      </c>
      <c r="L25627">
        <v>17.170000000000002</v>
      </c>
      <c r="M25627">
        <v>44222</v>
      </c>
      <c r="N25627" t="s">
        <v>96</v>
      </c>
      <c r="O25627">
        <v>250515</v>
      </c>
      <c r="P25627">
        <v>122.63</v>
      </c>
    </row>
    <row r="25628" spans="1:16" x14ac:dyDescent="0.25">
      <c r="A25628" t="s">
        <v>3296</v>
      </c>
      <c r="B25628" t="s">
        <v>2931</v>
      </c>
      <c r="C25628">
        <v>7232</v>
      </c>
      <c r="D25628" t="str">
        <f>"2050131276  "</f>
        <v xml:space="preserve">2050131276  </v>
      </c>
      <c r="E25628" t="s">
        <v>370</v>
      </c>
      <c r="F25628" t="s">
        <v>371</v>
      </c>
      <c r="G25628">
        <v>36.799999999999997</v>
      </c>
      <c r="H25628">
        <v>250516</v>
      </c>
      <c r="I25628">
        <v>4420</v>
      </c>
      <c r="J25628" t="s">
        <v>330</v>
      </c>
      <c r="K25628">
        <v>327.60000000000002</v>
      </c>
      <c r="L25628">
        <v>4.5199999999999996</v>
      </c>
      <c r="M25628">
        <v>11101</v>
      </c>
      <c r="N25628" t="s">
        <v>67</v>
      </c>
      <c r="O25628">
        <v>250527</v>
      </c>
      <c r="P25628">
        <v>32.28</v>
      </c>
    </row>
    <row r="25629" spans="1:16" x14ac:dyDescent="0.25">
      <c r="A25629" t="s">
        <v>3296</v>
      </c>
      <c r="B25629" t="s">
        <v>2931</v>
      </c>
      <c r="C25629">
        <v>7232</v>
      </c>
      <c r="D25629" t="str">
        <f>"2050131276  "</f>
        <v xml:space="preserve">2050131276  </v>
      </c>
      <c r="E25629" t="s">
        <v>370</v>
      </c>
      <c r="F25629" t="s">
        <v>371</v>
      </c>
      <c r="G25629">
        <v>51.6</v>
      </c>
      <c r="H25629">
        <v>250516</v>
      </c>
      <c r="I25629">
        <v>4420</v>
      </c>
      <c r="J25629" t="s">
        <v>330</v>
      </c>
      <c r="K25629">
        <v>327.60000000000002</v>
      </c>
      <c r="L25629">
        <v>6.34</v>
      </c>
      <c r="M25629">
        <v>11801</v>
      </c>
      <c r="N25629" t="s">
        <v>40</v>
      </c>
      <c r="O25629">
        <v>250527</v>
      </c>
      <c r="P25629">
        <v>45.26</v>
      </c>
    </row>
    <row r="25630" spans="1:16" x14ac:dyDescent="0.25">
      <c r="A25630" t="s">
        <v>3296</v>
      </c>
      <c r="B25630" t="s">
        <v>2931</v>
      </c>
      <c r="C25630">
        <v>7232</v>
      </c>
      <c r="D25630" t="str">
        <f>"2050131276  "</f>
        <v xml:space="preserve">2050131276  </v>
      </c>
      <c r="E25630" t="s">
        <v>370</v>
      </c>
      <c r="F25630" t="s">
        <v>371</v>
      </c>
      <c r="G25630">
        <v>24.8</v>
      </c>
      <c r="H25630">
        <v>250516</v>
      </c>
      <c r="I25630">
        <v>4420</v>
      </c>
      <c r="J25630" t="s">
        <v>330</v>
      </c>
      <c r="K25630">
        <v>327.60000000000002</v>
      </c>
      <c r="L25630">
        <v>3.05</v>
      </c>
      <c r="M25630">
        <v>11951</v>
      </c>
      <c r="N25630" t="s">
        <v>428</v>
      </c>
      <c r="O25630">
        <v>250527</v>
      </c>
      <c r="P25630">
        <v>21.75</v>
      </c>
    </row>
    <row r="25631" spans="1:16" x14ac:dyDescent="0.25">
      <c r="A25631" t="s">
        <v>3296</v>
      </c>
      <c r="B25631" t="s">
        <v>2931</v>
      </c>
      <c r="C25631">
        <v>7232</v>
      </c>
      <c r="D25631" t="str">
        <f>"2050131276  "</f>
        <v xml:space="preserve">2050131276  </v>
      </c>
      <c r="E25631" t="s">
        <v>370</v>
      </c>
      <c r="F25631" t="s">
        <v>371</v>
      </c>
      <c r="G25631">
        <v>64.2</v>
      </c>
      <c r="H25631">
        <v>250516</v>
      </c>
      <c r="I25631">
        <v>4420</v>
      </c>
      <c r="J25631" t="s">
        <v>330</v>
      </c>
      <c r="K25631">
        <v>327.60000000000002</v>
      </c>
      <c r="L25631">
        <v>7.88</v>
      </c>
      <c r="M25631">
        <v>44222</v>
      </c>
      <c r="N25631" t="s">
        <v>96</v>
      </c>
      <c r="O25631">
        <v>250527</v>
      </c>
      <c r="P25631">
        <v>56.32</v>
      </c>
    </row>
    <row r="25632" spans="1:16" x14ac:dyDescent="0.25">
      <c r="A25632" t="s">
        <v>3296</v>
      </c>
      <c r="B25632" t="s">
        <v>2931</v>
      </c>
      <c r="C25632">
        <v>7232</v>
      </c>
      <c r="D25632" t="str">
        <f>"2050131276  "</f>
        <v xml:space="preserve">2050131276  </v>
      </c>
      <c r="E25632" t="s">
        <v>370</v>
      </c>
      <c r="F25632" t="s">
        <v>371</v>
      </c>
      <c r="G25632">
        <v>102.4</v>
      </c>
      <c r="H25632">
        <v>250516</v>
      </c>
      <c r="I25632">
        <v>4420</v>
      </c>
      <c r="J25632" t="s">
        <v>330</v>
      </c>
      <c r="K25632">
        <v>327.60000000000002</v>
      </c>
      <c r="L25632">
        <v>12.58</v>
      </c>
      <c r="M25632">
        <v>46559</v>
      </c>
      <c r="N25632" t="s">
        <v>105</v>
      </c>
      <c r="O25632">
        <v>250527</v>
      </c>
      <c r="P25632">
        <v>89.82</v>
      </c>
    </row>
    <row r="25633" spans="1:16" x14ac:dyDescent="0.25">
      <c r="A25633" t="s">
        <v>3296</v>
      </c>
      <c r="B25633" t="s">
        <v>2931</v>
      </c>
      <c r="C25633">
        <v>8365</v>
      </c>
      <c r="D25633" t="str">
        <f>"2050135581  "</f>
        <v xml:space="preserve">2050135581  </v>
      </c>
      <c r="E25633" t="s">
        <v>370</v>
      </c>
      <c r="F25633" t="s">
        <v>371</v>
      </c>
      <c r="G25633">
        <v>20.9</v>
      </c>
      <c r="H25633">
        <v>250606</v>
      </c>
      <c r="I25633">
        <v>4420</v>
      </c>
      <c r="J25633" t="s">
        <v>330</v>
      </c>
      <c r="K25633">
        <v>43.9</v>
      </c>
      <c r="L25633">
        <v>2.57</v>
      </c>
      <c r="M25633">
        <v>11101</v>
      </c>
      <c r="N25633" t="s">
        <v>67</v>
      </c>
      <c r="O25633">
        <v>250613</v>
      </c>
      <c r="P25633">
        <v>18.329999999999998</v>
      </c>
    </row>
    <row r="25634" spans="1:16" x14ac:dyDescent="0.25">
      <c r="A25634" t="s">
        <v>3296</v>
      </c>
      <c r="B25634" t="s">
        <v>2931</v>
      </c>
      <c r="C25634">
        <v>8365</v>
      </c>
      <c r="D25634" t="str">
        <f>"2050135581  "</f>
        <v xml:space="preserve">2050135581  </v>
      </c>
      <c r="E25634" t="s">
        <v>370</v>
      </c>
      <c r="F25634" t="s">
        <v>371</v>
      </c>
      <c r="G25634">
        <v>23</v>
      </c>
      <c r="H25634">
        <v>250606</v>
      </c>
      <c r="I25634">
        <v>4420</v>
      </c>
      <c r="J25634" t="s">
        <v>330</v>
      </c>
      <c r="K25634">
        <v>43.9</v>
      </c>
      <c r="L25634">
        <v>2.82</v>
      </c>
      <c r="M25634">
        <v>13801</v>
      </c>
      <c r="N25634" t="s">
        <v>33</v>
      </c>
      <c r="O25634">
        <v>250613</v>
      </c>
      <c r="P25634">
        <v>20.18</v>
      </c>
    </row>
    <row r="25635" spans="1:16" x14ac:dyDescent="0.25">
      <c r="A25635" t="s">
        <v>3296</v>
      </c>
      <c r="B25635" t="s">
        <v>2931</v>
      </c>
      <c r="C25635">
        <v>8965</v>
      </c>
      <c r="D25635" t="str">
        <f>"2050137186  "</f>
        <v xml:space="preserve">2050137186  </v>
      </c>
      <c r="E25635" t="s">
        <v>370</v>
      </c>
      <c r="F25635" t="s">
        <v>371</v>
      </c>
      <c r="G25635">
        <v>30.9</v>
      </c>
      <c r="H25635">
        <v>250614</v>
      </c>
      <c r="I25635">
        <v>4420</v>
      </c>
      <c r="J25635" t="s">
        <v>330</v>
      </c>
      <c r="K25635">
        <v>30.9</v>
      </c>
      <c r="L25635">
        <v>3.79</v>
      </c>
      <c r="M25635">
        <v>13861</v>
      </c>
      <c r="N25635" t="s">
        <v>604</v>
      </c>
      <c r="O25635">
        <v>250619</v>
      </c>
      <c r="P25635">
        <v>27.11</v>
      </c>
    </row>
    <row r="25636" spans="1:16" x14ac:dyDescent="0.25">
      <c r="A25636" t="s">
        <v>3296</v>
      </c>
      <c r="B25636" t="s">
        <v>2931</v>
      </c>
      <c r="C25636">
        <v>9175</v>
      </c>
      <c r="D25636" t="str">
        <f>"2050137926  "</f>
        <v xml:space="preserve">2050137926  </v>
      </c>
      <c r="E25636" t="s">
        <v>370</v>
      </c>
      <c r="F25636" t="s">
        <v>371</v>
      </c>
      <c r="G25636">
        <v>33.6</v>
      </c>
      <c r="H25636">
        <v>250621</v>
      </c>
      <c r="I25636">
        <v>4420</v>
      </c>
      <c r="J25636" t="s">
        <v>330</v>
      </c>
      <c r="K25636">
        <v>33.6</v>
      </c>
      <c r="L25636">
        <v>4.13</v>
      </c>
      <c r="M25636">
        <v>11941</v>
      </c>
      <c r="N25636" t="s">
        <v>426</v>
      </c>
      <c r="O25636">
        <v>250627</v>
      </c>
      <c r="P25636">
        <v>29.47</v>
      </c>
    </row>
    <row r="25637" spans="1:16" x14ac:dyDescent="0.25">
      <c r="A25637" t="s">
        <v>3296</v>
      </c>
      <c r="B25637" t="s">
        <v>2931</v>
      </c>
      <c r="C25637">
        <v>9779</v>
      </c>
      <c r="D25637" t="str">
        <f>"2050140425  "</f>
        <v xml:space="preserve">2050140425  </v>
      </c>
      <c r="E25637" t="s">
        <v>370</v>
      </c>
      <c r="F25637" t="s">
        <v>371</v>
      </c>
      <c r="G25637">
        <v>22.5</v>
      </c>
      <c r="H25637">
        <v>250719</v>
      </c>
      <c r="I25637">
        <v>4420</v>
      </c>
      <c r="J25637" t="s">
        <v>330</v>
      </c>
      <c r="K25637">
        <v>22.5</v>
      </c>
      <c r="L25637">
        <v>2.76</v>
      </c>
      <c r="M25637">
        <v>11101</v>
      </c>
      <c r="N25637" t="s">
        <v>67</v>
      </c>
      <c r="O25637">
        <v>250728</v>
      </c>
      <c r="P25637">
        <v>19.739999999999998</v>
      </c>
    </row>
    <row r="25638" spans="1:16" x14ac:dyDescent="0.25">
      <c r="A25638" t="s">
        <v>3296</v>
      </c>
      <c r="B25638" t="s">
        <v>2931</v>
      </c>
      <c r="C25638">
        <v>10231</v>
      </c>
      <c r="D25638" t="str">
        <f>"2050142715  "</f>
        <v xml:space="preserve">2050142715  </v>
      </c>
      <c r="E25638" t="s">
        <v>370</v>
      </c>
      <c r="F25638" t="s">
        <v>371</v>
      </c>
      <c r="G25638">
        <v>16.8</v>
      </c>
      <c r="H25638">
        <v>250809</v>
      </c>
      <c r="I25638">
        <v>4420</v>
      </c>
      <c r="J25638" t="s">
        <v>330</v>
      </c>
      <c r="K25638">
        <v>16.8</v>
      </c>
      <c r="L25638">
        <v>2.06</v>
      </c>
      <c r="M25638">
        <v>18972</v>
      </c>
      <c r="N25638" t="s">
        <v>39</v>
      </c>
      <c r="O25638">
        <v>250813</v>
      </c>
      <c r="P25638">
        <v>14.74</v>
      </c>
    </row>
    <row r="25639" spans="1:16" x14ac:dyDescent="0.25">
      <c r="A25639" t="s">
        <v>3296</v>
      </c>
      <c r="B25639" t="s">
        <v>2931</v>
      </c>
      <c r="C25639">
        <v>11544</v>
      </c>
      <c r="D25639" t="str">
        <f>"2050146186  "</f>
        <v xml:space="preserve">2050146186  </v>
      </c>
      <c r="E25639" t="s">
        <v>370</v>
      </c>
      <c r="F25639" t="s">
        <v>371</v>
      </c>
      <c r="G25639">
        <v>13.2</v>
      </c>
      <c r="H25639">
        <v>250830</v>
      </c>
      <c r="I25639">
        <v>4420</v>
      </c>
      <c r="J25639" t="s">
        <v>330</v>
      </c>
      <c r="K25639">
        <v>364.7</v>
      </c>
      <c r="L25639">
        <v>1.62</v>
      </c>
      <c r="M25639">
        <v>11101</v>
      </c>
      <c r="N25639" t="s">
        <v>67</v>
      </c>
      <c r="O25639">
        <v>250908</v>
      </c>
      <c r="P25639">
        <v>11.58</v>
      </c>
    </row>
    <row r="25640" spans="1:16" x14ac:dyDescent="0.25">
      <c r="A25640" t="s">
        <v>3296</v>
      </c>
      <c r="B25640" t="s">
        <v>2931</v>
      </c>
      <c r="C25640">
        <v>11544</v>
      </c>
      <c r="D25640" t="str">
        <f>"2050146186  "</f>
        <v xml:space="preserve">2050146186  </v>
      </c>
      <c r="E25640" t="s">
        <v>370</v>
      </c>
      <c r="F25640" t="s">
        <v>371</v>
      </c>
      <c r="G25640">
        <v>44.3</v>
      </c>
      <c r="H25640">
        <v>250830</v>
      </c>
      <c r="I25640">
        <v>4420</v>
      </c>
      <c r="J25640" t="s">
        <v>330</v>
      </c>
      <c r="K25640">
        <v>364.7</v>
      </c>
      <c r="L25640">
        <v>5.44</v>
      </c>
      <c r="M25640">
        <v>17131</v>
      </c>
      <c r="N25640" t="s">
        <v>154</v>
      </c>
      <c r="O25640">
        <v>250908</v>
      </c>
      <c r="P25640">
        <v>38.86</v>
      </c>
    </row>
    <row r="25641" spans="1:16" x14ac:dyDescent="0.25">
      <c r="A25641" t="s">
        <v>3296</v>
      </c>
      <c r="B25641" t="s">
        <v>2931</v>
      </c>
      <c r="C25641">
        <v>11671</v>
      </c>
      <c r="D25641" t="str">
        <f t="shared" ref="D25641:D25647" si="551">"2050144441  "</f>
        <v xml:space="preserve">2050144441  </v>
      </c>
      <c r="E25641" t="s">
        <v>370</v>
      </c>
      <c r="F25641" t="s">
        <v>371</v>
      </c>
      <c r="G25641">
        <v>8.1999999999999993</v>
      </c>
      <c r="H25641">
        <v>250823</v>
      </c>
      <c r="I25641">
        <v>4420</v>
      </c>
      <c r="J25641" t="s">
        <v>330</v>
      </c>
      <c r="K25641">
        <v>615</v>
      </c>
      <c r="L25641">
        <v>1.01</v>
      </c>
      <c r="M25641">
        <v>11101</v>
      </c>
      <c r="N25641" t="s">
        <v>67</v>
      </c>
      <c r="O25641">
        <v>250910</v>
      </c>
      <c r="P25641">
        <v>7.19</v>
      </c>
    </row>
    <row r="25642" spans="1:16" x14ac:dyDescent="0.25">
      <c r="A25642" t="s">
        <v>3296</v>
      </c>
      <c r="B25642" t="s">
        <v>2931</v>
      </c>
      <c r="C25642">
        <v>11671</v>
      </c>
      <c r="D25642" t="str">
        <f t="shared" si="551"/>
        <v xml:space="preserve">2050144441  </v>
      </c>
      <c r="E25642" t="s">
        <v>370</v>
      </c>
      <c r="F25642" t="s">
        <v>371</v>
      </c>
      <c r="G25642">
        <v>43.8</v>
      </c>
      <c r="H25642">
        <v>250823</v>
      </c>
      <c r="I25642">
        <v>4420</v>
      </c>
      <c r="J25642" t="s">
        <v>330</v>
      </c>
      <c r="K25642">
        <v>615</v>
      </c>
      <c r="L25642">
        <v>5.38</v>
      </c>
      <c r="M25642">
        <v>11902</v>
      </c>
      <c r="N25642" t="s">
        <v>329</v>
      </c>
      <c r="O25642">
        <v>250910</v>
      </c>
      <c r="P25642">
        <v>38.42</v>
      </c>
    </row>
    <row r="25643" spans="1:16" x14ac:dyDescent="0.25">
      <c r="A25643" t="s">
        <v>3296</v>
      </c>
      <c r="B25643" t="s">
        <v>2931</v>
      </c>
      <c r="C25643">
        <v>11671</v>
      </c>
      <c r="D25643" t="str">
        <f t="shared" si="551"/>
        <v xml:space="preserve">2050144441  </v>
      </c>
      <c r="E25643" t="s">
        <v>370</v>
      </c>
      <c r="F25643" t="s">
        <v>371</v>
      </c>
      <c r="G25643">
        <v>60.4</v>
      </c>
      <c r="H25643">
        <v>250823</v>
      </c>
      <c r="I25643">
        <v>4420</v>
      </c>
      <c r="J25643" t="s">
        <v>330</v>
      </c>
      <c r="K25643">
        <v>615</v>
      </c>
      <c r="L25643">
        <v>7.42</v>
      </c>
      <c r="M25643">
        <v>11902</v>
      </c>
      <c r="N25643" t="s">
        <v>329</v>
      </c>
      <c r="O25643">
        <v>250910</v>
      </c>
      <c r="P25643">
        <v>52.98</v>
      </c>
    </row>
    <row r="25644" spans="1:16" x14ac:dyDescent="0.25">
      <c r="A25644" t="s">
        <v>3296</v>
      </c>
      <c r="B25644" t="s">
        <v>2931</v>
      </c>
      <c r="C25644">
        <v>11671</v>
      </c>
      <c r="D25644" t="str">
        <f t="shared" si="551"/>
        <v xml:space="preserve">2050144441  </v>
      </c>
      <c r="E25644" t="s">
        <v>370</v>
      </c>
      <c r="F25644" t="s">
        <v>371</v>
      </c>
      <c r="G25644">
        <v>75.900000000000006</v>
      </c>
      <c r="H25644">
        <v>250823</v>
      </c>
      <c r="I25644">
        <v>4420</v>
      </c>
      <c r="J25644" t="s">
        <v>330</v>
      </c>
      <c r="K25644">
        <v>615</v>
      </c>
      <c r="L25644">
        <v>9.32</v>
      </c>
      <c r="M25644">
        <v>14972</v>
      </c>
      <c r="N25644" t="s">
        <v>82</v>
      </c>
      <c r="O25644">
        <v>250910</v>
      </c>
      <c r="P25644">
        <v>66.58</v>
      </c>
    </row>
    <row r="25645" spans="1:16" x14ac:dyDescent="0.25">
      <c r="A25645" t="s">
        <v>3296</v>
      </c>
      <c r="B25645" t="s">
        <v>2931</v>
      </c>
      <c r="C25645">
        <v>11671</v>
      </c>
      <c r="D25645" t="str">
        <f t="shared" si="551"/>
        <v xml:space="preserve">2050144441  </v>
      </c>
      <c r="E25645" t="s">
        <v>370</v>
      </c>
      <c r="F25645" t="s">
        <v>371</v>
      </c>
      <c r="G25645">
        <v>238.3</v>
      </c>
      <c r="H25645">
        <v>250823</v>
      </c>
      <c r="I25645">
        <v>4420</v>
      </c>
      <c r="J25645" t="s">
        <v>330</v>
      </c>
      <c r="K25645">
        <v>615</v>
      </c>
      <c r="L25645">
        <v>29.26</v>
      </c>
      <c r="M25645">
        <v>18122</v>
      </c>
      <c r="N25645" t="s">
        <v>176</v>
      </c>
      <c r="O25645">
        <v>250910</v>
      </c>
      <c r="P25645">
        <v>209.04</v>
      </c>
    </row>
    <row r="25646" spans="1:16" x14ac:dyDescent="0.25">
      <c r="A25646" t="s">
        <v>3296</v>
      </c>
      <c r="B25646" t="s">
        <v>2931</v>
      </c>
      <c r="C25646">
        <v>11671</v>
      </c>
      <c r="D25646" t="str">
        <f t="shared" si="551"/>
        <v xml:space="preserve">2050144441  </v>
      </c>
      <c r="E25646" t="s">
        <v>370</v>
      </c>
      <c r="F25646" t="s">
        <v>371</v>
      </c>
      <c r="G25646">
        <v>139.30000000000001</v>
      </c>
      <c r="H25646">
        <v>250823</v>
      </c>
      <c r="I25646">
        <v>4420</v>
      </c>
      <c r="J25646" t="s">
        <v>330</v>
      </c>
      <c r="K25646">
        <v>615</v>
      </c>
      <c r="L25646">
        <v>17.11</v>
      </c>
      <c r="M25646">
        <v>18820</v>
      </c>
      <c r="N25646" t="s">
        <v>372</v>
      </c>
      <c r="O25646">
        <v>250910</v>
      </c>
      <c r="P25646">
        <v>122.19</v>
      </c>
    </row>
    <row r="25647" spans="1:16" x14ac:dyDescent="0.25">
      <c r="A25647" t="s">
        <v>3296</v>
      </c>
      <c r="B25647" t="s">
        <v>2931</v>
      </c>
      <c r="C25647">
        <v>11671</v>
      </c>
      <c r="D25647" t="str">
        <f t="shared" si="551"/>
        <v xml:space="preserve">2050144441  </v>
      </c>
      <c r="E25647" t="s">
        <v>370</v>
      </c>
      <c r="F25647" t="s">
        <v>371</v>
      </c>
      <c r="G25647">
        <v>49.1</v>
      </c>
      <c r="H25647">
        <v>250823</v>
      </c>
      <c r="I25647">
        <v>4420</v>
      </c>
      <c r="J25647" t="s">
        <v>330</v>
      </c>
      <c r="K25647">
        <v>615</v>
      </c>
      <c r="L25647">
        <v>6.03</v>
      </c>
      <c r="M25647">
        <v>44222</v>
      </c>
      <c r="N25647" t="s">
        <v>96</v>
      </c>
      <c r="O25647">
        <v>250910</v>
      </c>
      <c r="P25647">
        <v>43.07</v>
      </c>
    </row>
    <row r="25648" spans="1:16" x14ac:dyDescent="0.25">
      <c r="A25648" t="s">
        <v>3296</v>
      </c>
      <c r="B25648" t="s">
        <v>2931</v>
      </c>
      <c r="C25648">
        <v>11711</v>
      </c>
      <c r="D25648" t="str">
        <f>"2050147858  "</f>
        <v xml:space="preserve">2050147858  </v>
      </c>
      <c r="E25648" t="s">
        <v>370</v>
      </c>
      <c r="F25648" t="s">
        <v>371</v>
      </c>
      <c r="G25648">
        <v>97.9</v>
      </c>
      <c r="H25648">
        <v>250906</v>
      </c>
      <c r="I25648">
        <v>4420</v>
      </c>
      <c r="J25648" t="s">
        <v>330</v>
      </c>
      <c r="K25648">
        <v>182.8</v>
      </c>
      <c r="L25648">
        <v>12.02</v>
      </c>
      <c r="M25648">
        <v>18122</v>
      </c>
      <c r="N25648" t="s">
        <v>176</v>
      </c>
      <c r="O25648">
        <v>250910</v>
      </c>
      <c r="P25648">
        <v>85.88</v>
      </c>
    </row>
    <row r="25649" spans="1:16" x14ac:dyDescent="0.25">
      <c r="A25649" t="s">
        <v>3296</v>
      </c>
      <c r="B25649" t="s">
        <v>2931</v>
      </c>
      <c r="C25649">
        <v>11711</v>
      </c>
      <c r="D25649" t="str">
        <f>"2050147858  "</f>
        <v xml:space="preserve">2050147858  </v>
      </c>
      <c r="E25649" t="s">
        <v>370</v>
      </c>
      <c r="F25649" t="s">
        <v>371</v>
      </c>
      <c r="G25649">
        <v>43.8</v>
      </c>
      <c r="H25649">
        <v>250906</v>
      </c>
      <c r="I25649">
        <v>4420</v>
      </c>
      <c r="J25649" t="s">
        <v>330</v>
      </c>
      <c r="K25649">
        <v>182.8</v>
      </c>
      <c r="L25649">
        <v>5.38</v>
      </c>
      <c r="M25649">
        <v>46559</v>
      </c>
      <c r="N25649" t="s">
        <v>105</v>
      </c>
      <c r="O25649">
        <v>250910</v>
      </c>
      <c r="P25649">
        <v>38.42</v>
      </c>
    </row>
    <row r="25650" spans="1:16" x14ac:dyDescent="0.25">
      <c r="A25650" t="s">
        <v>3296</v>
      </c>
      <c r="B25650" t="s">
        <v>2931</v>
      </c>
      <c r="C25650">
        <v>11711</v>
      </c>
      <c r="D25650" t="str">
        <f>"2050147858  "</f>
        <v xml:space="preserve">2050147858  </v>
      </c>
      <c r="E25650" t="s">
        <v>370</v>
      </c>
      <c r="F25650" t="s">
        <v>371</v>
      </c>
      <c r="G25650">
        <v>41.1</v>
      </c>
      <c r="H25650">
        <v>250906</v>
      </c>
      <c r="I25650">
        <v>4420</v>
      </c>
      <c r="J25650" t="s">
        <v>330</v>
      </c>
      <c r="K25650">
        <v>182.8</v>
      </c>
      <c r="L25650">
        <v>5.05</v>
      </c>
      <c r="M25650">
        <v>49702</v>
      </c>
      <c r="N25650" t="s">
        <v>112</v>
      </c>
      <c r="O25650">
        <v>250910</v>
      </c>
      <c r="P25650">
        <v>36.049999999999997</v>
      </c>
    </row>
    <row r="25651" spans="1:16" x14ac:dyDescent="0.25">
      <c r="A25651" t="s">
        <v>3296</v>
      </c>
      <c r="B25651" t="s">
        <v>2931</v>
      </c>
      <c r="C25651">
        <v>12706</v>
      </c>
      <c r="D25651" t="str">
        <f>"2050150660  "</f>
        <v xml:space="preserve">2050150660  </v>
      </c>
      <c r="E25651" t="s">
        <v>370</v>
      </c>
      <c r="F25651" t="s">
        <v>371</v>
      </c>
      <c r="G25651">
        <v>49.8</v>
      </c>
      <c r="H25651">
        <v>250920</v>
      </c>
      <c r="I25651">
        <v>4420</v>
      </c>
      <c r="J25651" t="s">
        <v>330</v>
      </c>
      <c r="K25651">
        <v>284</v>
      </c>
      <c r="L25651">
        <v>6.12</v>
      </c>
      <c r="M25651">
        <v>11903</v>
      </c>
      <c r="N25651" t="s">
        <v>32</v>
      </c>
      <c r="O25651">
        <v>250929</v>
      </c>
      <c r="P25651">
        <v>43.68</v>
      </c>
    </row>
    <row r="25652" spans="1:16" x14ac:dyDescent="0.25">
      <c r="A25652" t="s">
        <v>3296</v>
      </c>
      <c r="B25652" t="s">
        <v>2931</v>
      </c>
      <c r="C25652">
        <v>12706</v>
      </c>
      <c r="D25652" t="str">
        <f>"2050150660  "</f>
        <v xml:space="preserve">2050150660  </v>
      </c>
      <c r="E25652" t="s">
        <v>370</v>
      </c>
      <c r="F25652" t="s">
        <v>371</v>
      </c>
      <c r="G25652">
        <v>77</v>
      </c>
      <c r="H25652">
        <v>250920</v>
      </c>
      <c r="I25652">
        <v>4420</v>
      </c>
      <c r="J25652" t="s">
        <v>330</v>
      </c>
      <c r="K25652">
        <v>284</v>
      </c>
      <c r="L25652">
        <v>9.4600000000000009</v>
      </c>
      <c r="M25652">
        <v>17527</v>
      </c>
      <c r="N25652" t="s">
        <v>142</v>
      </c>
      <c r="O25652">
        <v>250929</v>
      </c>
      <c r="P25652">
        <v>67.540000000000006</v>
      </c>
    </row>
    <row r="25653" spans="1:16" x14ac:dyDescent="0.25">
      <c r="A25653" t="s">
        <v>3296</v>
      </c>
      <c r="B25653" t="s">
        <v>2931</v>
      </c>
      <c r="C25653">
        <v>12706</v>
      </c>
      <c r="D25653" t="str">
        <f>"2050150660  "</f>
        <v xml:space="preserve">2050150660  </v>
      </c>
      <c r="E25653" t="s">
        <v>370</v>
      </c>
      <c r="F25653" t="s">
        <v>371</v>
      </c>
      <c r="G25653">
        <v>111.4</v>
      </c>
      <c r="H25653">
        <v>250920</v>
      </c>
      <c r="I25653">
        <v>4420</v>
      </c>
      <c r="J25653" t="s">
        <v>330</v>
      </c>
      <c r="K25653">
        <v>284</v>
      </c>
      <c r="L25653">
        <v>13.68</v>
      </c>
      <c r="M25653">
        <v>18820</v>
      </c>
      <c r="N25653" t="s">
        <v>372</v>
      </c>
      <c r="O25653">
        <v>250929</v>
      </c>
      <c r="P25653">
        <v>97.72</v>
      </c>
    </row>
    <row r="25654" spans="1:16" x14ac:dyDescent="0.25">
      <c r="A25654" t="s">
        <v>3296</v>
      </c>
      <c r="B25654" t="s">
        <v>2931</v>
      </c>
      <c r="C25654">
        <v>12890</v>
      </c>
      <c r="D25654" t="str">
        <f>"2050152186  "</f>
        <v xml:space="preserve">2050152186  </v>
      </c>
      <c r="E25654" t="s">
        <v>370</v>
      </c>
      <c r="F25654" t="s">
        <v>371</v>
      </c>
      <c r="G25654">
        <v>62.8</v>
      </c>
      <c r="H25654">
        <v>250927</v>
      </c>
      <c r="I25654">
        <v>4420</v>
      </c>
      <c r="J25654" t="s">
        <v>330</v>
      </c>
      <c r="K25654">
        <v>241</v>
      </c>
      <c r="L25654">
        <v>7.71</v>
      </c>
      <c r="M25654">
        <v>11900</v>
      </c>
      <c r="N25654" t="s">
        <v>30</v>
      </c>
      <c r="O25654">
        <v>251001</v>
      </c>
      <c r="P25654">
        <v>55.09</v>
      </c>
    </row>
    <row r="25655" spans="1:16" x14ac:dyDescent="0.25">
      <c r="A25655" t="s">
        <v>3296</v>
      </c>
      <c r="B25655" t="s">
        <v>2931</v>
      </c>
      <c r="C25655">
        <v>12890</v>
      </c>
      <c r="D25655" t="str">
        <f>"2050152186  "</f>
        <v xml:space="preserve">2050152186  </v>
      </c>
      <c r="E25655" t="s">
        <v>370</v>
      </c>
      <c r="F25655" t="s">
        <v>371</v>
      </c>
      <c r="G25655">
        <v>33.299999999999997</v>
      </c>
      <c r="H25655">
        <v>250927</v>
      </c>
      <c r="I25655">
        <v>4420</v>
      </c>
      <c r="J25655" t="s">
        <v>330</v>
      </c>
      <c r="K25655">
        <v>241</v>
      </c>
      <c r="L25655">
        <v>4.09</v>
      </c>
      <c r="M25655">
        <v>17131</v>
      </c>
      <c r="N25655" t="s">
        <v>154</v>
      </c>
      <c r="O25655">
        <v>251001</v>
      </c>
      <c r="P25655">
        <v>29.21</v>
      </c>
    </row>
    <row r="25656" spans="1:16" x14ac:dyDescent="0.25">
      <c r="A25656" t="s">
        <v>3296</v>
      </c>
      <c r="B25656" t="s">
        <v>2931</v>
      </c>
      <c r="C25656">
        <v>12890</v>
      </c>
      <c r="D25656" t="str">
        <f>"2050152186  "</f>
        <v xml:space="preserve">2050152186  </v>
      </c>
      <c r="E25656" t="s">
        <v>370</v>
      </c>
      <c r="F25656" t="s">
        <v>371</v>
      </c>
      <c r="G25656">
        <v>46.9</v>
      </c>
      <c r="H25656">
        <v>250927</v>
      </c>
      <c r="I25656">
        <v>4420</v>
      </c>
      <c r="J25656" t="s">
        <v>330</v>
      </c>
      <c r="K25656">
        <v>241</v>
      </c>
      <c r="L25656">
        <v>5.76</v>
      </c>
      <c r="M25656">
        <v>18972</v>
      </c>
      <c r="N25656" t="s">
        <v>39</v>
      </c>
      <c r="O25656">
        <v>251001</v>
      </c>
      <c r="P25656">
        <v>41.14</v>
      </c>
    </row>
    <row r="25657" spans="1:16" x14ac:dyDescent="0.25">
      <c r="A25657" t="s">
        <v>3296</v>
      </c>
      <c r="B25657" t="s">
        <v>2931</v>
      </c>
      <c r="C25657">
        <v>12890</v>
      </c>
      <c r="D25657" t="str">
        <f>"2050152186  "</f>
        <v xml:space="preserve">2050152186  </v>
      </c>
      <c r="E25657" t="s">
        <v>370</v>
      </c>
      <c r="F25657" t="s">
        <v>371</v>
      </c>
      <c r="G25657">
        <v>11.1</v>
      </c>
      <c r="H25657">
        <v>250927</v>
      </c>
      <c r="I25657">
        <v>4420</v>
      </c>
      <c r="J25657" t="s">
        <v>330</v>
      </c>
      <c r="K25657">
        <v>241</v>
      </c>
      <c r="L25657">
        <v>1.36</v>
      </c>
      <c r="M25657">
        <v>46559</v>
      </c>
      <c r="N25657" t="s">
        <v>105</v>
      </c>
      <c r="O25657">
        <v>251001</v>
      </c>
      <c r="P25657">
        <v>9.74</v>
      </c>
    </row>
    <row r="25658" spans="1:16" x14ac:dyDescent="0.25">
      <c r="A25658" t="s">
        <v>3296</v>
      </c>
      <c r="B25658" t="s">
        <v>2931</v>
      </c>
      <c r="C25658">
        <v>12890</v>
      </c>
      <c r="D25658" t="str">
        <f>"2050152186  "</f>
        <v xml:space="preserve">2050152186  </v>
      </c>
      <c r="E25658" t="s">
        <v>370</v>
      </c>
      <c r="F25658" t="s">
        <v>371</v>
      </c>
      <c r="G25658">
        <v>86.9</v>
      </c>
      <c r="H25658">
        <v>250927</v>
      </c>
      <c r="I25658">
        <v>4420</v>
      </c>
      <c r="J25658" t="s">
        <v>330</v>
      </c>
      <c r="K25658">
        <v>241</v>
      </c>
      <c r="L25658">
        <v>10.67</v>
      </c>
      <c r="M25658">
        <v>53222</v>
      </c>
      <c r="N25658" t="s">
        <v>41</v>
      </c>
      <c r="O25658">
        <v>251001</v>
      </c>
      <c r="P25658">
        <v>76.23</v>
      </c>
    </row>
    <row r="25659" spans="1:16" x14ac:dyDescent="0.25">
      <c r="A25659" t="s">
        <v>3296</v>
      </c>
      <c r="B25659" t="s">
        <v>2931</v>
      </c>
      <c r="C25659">
        <v>13965</v>
      </c>
      <c r="D25659" t="str">
        <f>"2050155379  "</f>
        <v xml:space="preserve">2050155379  </v>
      </c>
      <c r="E25659" t="s">
        <v>370</v>
      </c>
      <c r="F25659" t="s">
        <v>371</v>
      </c>
      <c r="G25659">
        <v>87.6</v>
      </c>
      <c r="H25659">
        <v>251011</v>
      </c>
      <c r="I25659">
        <v>4420</v>
      </c>
      <c r="J25659" t="s">
        <v>330</v>
      </c>
      <c r="K25659">
        <v>358.6</v>
      </c>
      <c r="L25659">
        <v>10.76</v>
      </c>
      <c r="M25659">
        <v>11902</v>
      </c>
      <c r="N25659" t="s">
        <v>329</v>
      </c>
      <c r="O25659">
        <v>251021</v>
      </c>
      <c r="P25659">
        <v>76.84</v>
      </c>
    </row>
    <row r="25660" spans="1:16" x14ac:dyDescent="0.25">
      <c r="A25660" t="s">
        <v>3296</v>
      </c>
      <c r="B25660" t="s">
        <v>2931</v>
      </c>
      <c r="C25660">
        <v>13965</v>
      </c>
      <c r="D25660" t="str">
        <f>"2050155379  "</f>
        <v xml:space="preserve">2050155379  </v>
      </c>
      <c r="E25660" t="s">
        <v>370</v>
      </c>
      <c r="F25660" t="s">
        <v>371</v>
      </c>
      <c r="G25660">
        <v>44.8</v>
      </c>
      <c r="H25660">
        <v>251011</v>
      </c>
      <c r="I25660">
        <v>4420</v>
      </c>
      <c r="J25660" t="s">
        <v>330</v>
      </c>
      <c r="K25660">
        <v>358.6</v>
      </c>
      <c r="L25660">
        <v>5.5</v>
      </c>
      <c r="M25660">
        <v>11902</v>
      </c>
      <c r="N25660" t="s">
        <v>329</v>
      </c>
      <c r="O25660">
        <v>251021</v>
      </c>
      <c r="P25660">
        <v>39.299999999999997</v>
      </c>
    </row>
    <row r="25661" spans="1:16" x14ac:dyDescent="0.25">
      <c r="A25661" t="s">
        <v>3296</v>
      </c>
      <c r="B25661" t="s">
        <v>2931</v>
      </c>
      <c r="C25661">
        <v>13965</v>
      </c>
      <c r="D25661" t="str">
        <f>"2050155379  "</f>
        <v xml:space="preserve">2050155379  </v>
      </c>
      <c r="E25661" t="s">
        <v>370</v>
      </c>
      <c r="F25661" t="s">
        <v>371</v>
      </c>
      <c r="G25661">
        <v>226.2</v>
      </c>
      <c r="H25661">
        <v>251011</v>
      </c>
      <c r="I25661">
        <v>4420</v>
      </c>
      <c r="J25661" t="s">
        <v>330</v>
      </c>
      <c r="K25661">
        <v>358.6</v>
      </c>
      <c r="L25661">
        <v>27.78</v>
      </c>
      <c r="M25661">
        <v>11905</v>
      </c>
      <c r="N25661" t="s">
        <v>643</v>
      </c>
      <c r="O25661">
        <v>251021</v>
      </c>
      <c r="P25661">
        <v>198.42</v>
      </c>
    </row>
    <row r="25662" spans="1:16" x14ac:dyDescent="0.25">
      <c r="A25662" t="s">
        <v>3296</v>
      </c>
      <c r="B25662" t="s">
        <v>2931</v>
      </c>
      <c r="C25662">
        <v>14296</v>
      </c>
      <c r="D25662" t="str">
        <f>"2050157205  "</f>
        <v xml:space="preserve">2050157205  </v>
      </c>
      <c r="E25662" t="s">
        <v>370</v>
      </c>
      <c r="F25662" t="s">
        <v>371</v>
      </c>
      <c r="G25662">
        <v>17.8</v>
      </c>
      <c r="H25662">
        <v>251018</v>
      </c>
      <c r="I25662">
        <v>4420</v>
      </c>
      <c r="J25662" t="s">
        <v>330</v>
      </c>
      <c r="K25662">
        <v>17.8</v>
      </c>
      <c r="L25662">
        <v>2.19</v>
      </c>
      <c r="M25662">
        <v>11905</v>
      </c>
      <c r="N25662" t="s">
        <v>643</v>
      </c>
      <c r="O25662">
        <v>251029</v>
      </c>
      <c r="P25662">
        <v>15.61</v>
      </c>
    </row>
    <row r="25663" spans="1:16" x14ac:dyDescent="0.25">
      <c r="A25663" t="s">
        <v>3296</v>
      </c>
      <c r="B25663" t="s">
        <v>2931</v>
      </c>
      <c r="C25663">
        <v>14327</v>
      </c>
      <c r="D25663" t="str">
        <f>"2050157647  "</f>
        <v xml:space="preserve">2050157647  </v>
      </c>
      <c r="E25663" t="s">
        <v>370</v>
      </c>
      <c r="F25663" t="s">
        <v>371</v>
      </c>
      <c r="G25663">
        <v>27.4</v>
      </c>
      <c r="H25663">
        <v>251025</v>
      </c>
      <c r="I25663">
        <v>4420</v>
      </c>
      <c r="J25663" t="s">
        <v>330</v>
      </c>
      <c r="K25663">
        <v>557.70000000000005</v>
      </c>
      <c r="L25663">
        <v>3.36</v>
      </c>
      <c r="M25663">
        <v>11905</v>
      </c>
      <c r="N25663" t="s">
        <v>643</v>
      </c>
      <c r="O25663">
        <v>251029</v>
      </c>
      <c r="P25663">
        <v>24.04</v>
      </c>
    </row>
    <row r="25664" spans="1:16" x14ac:dyDescent="0.25">
      <c r="A25664" t="s">
        <v>3296</v>
      </c>
      <c r="B25664" t="s">
        <v>2931</v>
      </c>
      <c r="C25664">
        <v>14327</v>
      </c>
      <c r="D25664" t="str">
        <f>"2050157647  "</f>
        <v xml:space="preserve">2050157647  </v>
      </c>
      <c r="E25664" t="s">
        <v>370</v>
      </c>
      <c r="F25664" t="s">
        <v>371</v>
      </c>
      <c r="G25664">
        <v>118.5</v>
      </c>
      <c r="H25664">
        <v>251025</v>
      </c>
      <c r="I25664">
        <v>4420</v>
      </c>
      <c r="J25664" t="s">
        <v>330</v>
      </c>
      <c r="K25664">
        <v>557.70000000000005</v>
      </c>
      <c r="L25664">
        <v>14.55</v>
      </c>
      <c r="M25664">
        <v>13901</v>
      </c>
      <c r="N25664" t="s">
        <v>116</v>
      </c>
      <c r="O25664">
        <v>251029</v>
      </c>
      <c r="P25664">
        <v>103.95</v>
      </c>
    </row>
    <row r="25665" spans="1:16" x14ac:dyDescent="0.25">
      <c r="A25665" t="s">
        <v>3296</v>
      </c>
      <c r="B25665" t="s">
        <v>2931</v>
      </c>
      <c r="C25665">
        <v>14327</v>
      </c>
      <c r="D25665" t="str">
        <f>"2050157647  "</f>
        <v xml:space="preserve">2050157647  </v>
      </c>
      <c r="E25665" t="s">
        <v>370</v>
      </c>
      <c r="F25665" t="s">
        <v>371</v>
      </c>
      <c r="G25665">
        <v>122.5</v>
      </c>
      <c r="H25665">
        <v>251025</v>
      </c>
      <c r="I25665">
        <v>4420</v>
      </c>
      <c r="J25665" t="s">
        <v>330</v>
      </c>
      <c r="K25665">
        <v>557.70000000000005</v>
      </c>
      <c r="L25665">
        <v>15.04</v>
      </c>
      <c r="M25665">
        <v>18820</v>
      </c>
      <c r="N25665" t="s">
        <v>372</v>
      </c>
      <c r="O25665">
        <v>251029</v>
      </c>
      <c r="P25665">
        <v>107.46</v>
      </c>
    </row>
    <row r="25666" spans="1:16" x14ac:dyDescent="0.25">
      <c r="A25666" t="s">
        <v>3296</v>
      </c>
      <c r="B25666" t="s">
        <v>2931</v>
      </c>
      <c r="C25666">
        <v>15269</v>
      </c>
      <c r="D25666" t="str">
        <f>"2050161135  "</f>
        <v xml:space="preserve">2050161135  </v>
      </c>
      <c r="E25666" t="s">
        <v>370</v>
      </c>
      <c r="F25666" t="s">
        <v>371</v>
      </c>
      <c r="G25666">
        <v>535.79999999999995</v>
      </c>
      <c r="H25666">
        <v>251108</v>
      </c>
      <c r="I25666">
        <v>4420</v>
      </c>
      <c r="J25666" t="s">
        <v>330</v>
      </c>
      <c r="K25666">
        <v>617.4</v>
      </c>
      <c r="L25666">
        <v>65.8</v>
      </c>
      <c r="M25666">
        <v>11941</v>
      </c>
      <c r="N25666" t="s">
        <v>426</v>
      </c>
      <c r="O25666">
        <v>251117</v>
      </c>
      <c r="P25666">
        <v>470</v>
      </c>
    </row>
    <row r="25667" spans="1:16" x14ac:dyDescent="0.25">
      <c r="A25667" t="s">
        <v>3296</v>
      </c>
      <c r="B25667" t="s">
        <v>2931</v>
      </c>
      <c r="C25667">
        <v>15269</v>
      </c>
      <c r="D25667" t="str">
        <f>"2050161135  "</f>
        <v xml:space="preserve">2050161135  </v>
      </c>
      <c r="E25667" t="s">
        <v>370</v>
      </c>
      <c r="F25667" t="s">
        <v>371</v>
      </c>
      <c r="G25667">
        <v>40.799999999999997</v>
      </c>
      <c r="H25667">
        <v>251108</v>
      </c>
      <c r="I25667">
        <v>4420</v>
      </c>
      <c r="J25667" t="s">
        <v>330</v>
      </c>
      <c r="K25667">
        <v>617.4</v>
      </c>
      <c r="L25667">
        <v>5.01</v>
      </c>
      <c r="M25667">
        <v>18972</v>
      </c>
      <c r="N25667" t="s">
        <v>39</v>
      </c>
      <c r="O25667">
        <v>251117</v>
      </c>
      <c r="P25667">
        <v>35.79</v>
      </c>
    </row>
    <row r="25668" spans="1:16" x14ac:dyDescent="0.25">
      <c r="A25668" t="s">
        <v>3296</v>
      </c>
      <c r="B25668" t="s">
        <v>2931</v>
      </c>
      <c r="C25668">
        <v>15269</v>
      </c>
      <c r="D25668" t="str">
        <f>"2050161135  "</f>
        <v xml:space="preserve">2050161135  </v>
      </c>
      <c r="E25668" t="s">
        <v>370</v>
      </c>
      <c r="F25668" t="s">
        <v>371</v>
      </c>
      <c r="G25668">
        <v>40.799999999999997</v>
      </c>
      <c r="H25668">
        <v>251108</v>
      </c>
      <c r="I25668">
        <v>4420</v>
      </c>
      <c r="J25668" t="s">
        <v>330</v>
      </c>
      <c r="K25668">
        <v>617.4</v>
      </c>
      <c r="L25668">
        <v>5.01</v>
      </c>
      <c r="M25668">
        <v>18972</v>
      </c>
      <c r="N25668" t="s">
        <v>39</v>
      </c>
      <c r="O25668">
        <v>251117</v>
      </c>
      <c r="P25668">
        <v>35.79</v>
      </c>
    </row>
    <row r="25669" spans="1:16" x14ac:dyDescent="0.25">
      <c r="A25669" t="s">
        <v>3296</v>
      </c>
      <c r="B25669" t="s">
        <v>2931</v>
      </c>
      <c r="C25669">
        <v>15442</v>
      </c>
      <c r="D25669" t="str">
        <f>"2050162832  "</f>
        <v xml:space="preserve">2050162832  </v>
      </c>
      <c r="E25669" t="s">
        <v>370</v>
      </c>
      <c r="F25669" t="s">
        <v>371</v>
      </c>
      <c r="G25669">
        <v>42.4</v>
      </c>
      <c r="H25669">
        <v>251115</v>
      </c>
      <c r="I25669">
        <v>4420</v>
      </c>
      <c r="J25669" t="s">
        <v>330</v>
      </c>
      <c r="K25669">
        <v>112.2</v>
      </c>
      <c r="L25669">
        <v>5.21</v>
      </c>
      <c r="M25669">
        <v>11900</v>
      </c>
      <c r="N25669" t="s">
        <v>30</v>
      </c>
      <c r="O25669">
        <v>251120</v>
      </c>
      <c r="P25669">
        <v>37.19</v>
      </c>
    </row>
    <row r="25670" spans="1:16" x14ac:dyDescent="0.25">
      <c r="A25670" t="s">
        <v>3296</v>
      </c>
      <c r="B25670" t="s">
        <v>2931</v>
      </c>
      <c r="C25670">
        <v>15442</v>
      </c>
      <c r="D25670" t="str">
        <f>"2050162832  "</f>
        <v xml:space="preserve">2050162832  </v>
      </c>
      <c r="E25670" t="s">
        <v>370</v>
      </c>
      <c r="F25670" t="s">
        <v>371</v>
      </c>
      <c r="G25670">
        <v>69.8</v>
      </c>
      <c r="H25670">
        <v>251115</v>
      </c>
      <c r="I25670">
        <v>4420</v>
      </c>
      <c r="J25670" t="s">
        <v>330</v>
      </c>
      <c r="K25670">
        <v>112.2</v>
      </c>
      <c r="L25670">
        <v>8.57</v>
      </c>
      <c r="M25670">
        <v>49702</v>
      </c>
      <c r="N25670" t="s">
        <v>112</v>
      </c>
      <c r="O25670">
        <v>251120</v>
      </c>
      <c r="P25670">
        <v>61.23</v>
      </c>
    </row>
    <row r="25671" spans="1:16" x14ac:dyDescent="0.25">
      <c r="A25671" t="s">
        <v>3296</v>
      </c>
      <c r="B25671" t="s">
        <v>2931</v>
      </c>
      <c r="C25671">
        <v>15816</v>
      </c>
      <c r="D25671" t="str">
        <f>"2050163781  "</f>
        <v xml:space="preserve">2050163781  </v>
      </c>
      <c r="E25671" t="s">
        <v>370</v>
      </c>
      <c r="F25671" t="s">
        <v>371</v>
      </c>
      <c r="G25671">
        <v>27.8</v>
      </c>
      <c r="H25671">
        <v>251122</v>
      </c>
      <c r="I25671">
        <v>4420</v>
      </c>
      <c r="J25671" t="s">
        <v>330</v>
      </c>
      <c r="K25671">
        <v>124.4</v>
      </c>
      <c r="L25671">
        <v>3.41</v>
      </c>
      <c r="M25671">
        <v>13901</v>
      </c>
      <c r="N25671" t="s">
        <v>116</v>
      </c>
      <c r="O25671">
        <v>251127</v>
      </c>
      <c r="P25671">
        <v>24.39</v>
      </c>
    </row>
    <row r="25672" spans="1:16" x14ac:dyDescent="0.25">
      <c r="A25672" t="s">
        <v>3296</v>
      </c>
      <c r="B25672" t="s">
        <v>2931</v>
      </c>
      <c r="C25672">
        <v>15816</v>
      </c>
      <c r="D25672" t="str">
        <f>"2050163781  "</f>
        <v xml:space="preserve">2050163781  </v>
      </c>
      <c r="E25672" t="s">
        <v>370</v>
      </c>
      <c r="F25672" t="s">
        <v>371</v>
      </c>
      <c r="G25672">
        <v>86.8</v>
      </c>
      <c r="H25672">
        <v>251122</v>
      </c>
      <c r="I25672">
        <v>4420</v>
      </c>
      <c r="J25672" t="s">
        <v>330</v>
      </c>
      <c r="K25672">
        <v>124.4</v>
      </c>
      <c r="L25672">
        <v>10.66</v>
      </c>
      <c r="M25672">
        <v>18820</v>
      </c>
      <c r="N25672" t="s">
        <v>372</v>
      </c>
      <c r="O25672">
        <v>251127</v>
      </c>
      <c r="P25672">
        <v>76.14</v>
      </c>
    </row>
    <row r="25673" spans="1:16" x14ac:dyDescent="0.25">
      <c r="A25673" t="s">
        <v>3296</v>
      </c>
      <c r="B25673" t="s">
        <v>2931</v>
      </c>
      <c r="C25673">
        <v>15816</v>
      </c>
      <c r="D25673" t="str">
        <f>"2050163781  "</f>
        <v xml:space="preserve">2050163781  </v>
      </c>
      <c r="E25673" t="s">
        <v>370</v>
      </c>
      <c r="F25673" t="s">
        <v>371</v>
      </c>
      <c r="G25673">
        <v>9.8000000000000007</v>
      </c>
      <c r="H25673">
        <v>251122</v>
      </c>
      <c r="I25673">
        <v>4420</v>
      </c>
      <c r="J25673" t="s">
        <v>330</v>
      </c>
      <c r="K25673">
        <v>124.4</v>
      </c>
      <c r="L25673">
        <v>0</v>
      </c>
      <c r="M25673">
        <v>66722</v>
      </c>
      <c r="N25673" t="s">
        <v>118</v>
      </c>
      <c r="O25673">
        <v>251127</v>
      </c>
      <c r="P25673">
        <v>9.8000000000000007</v>
      </c>
    </row>
    <row r="25674" spans="1:16" x14ac:dyDescent="0.25">
      <c r="A25674" t="s">
        <v>3296</v>
      </c>
      <c r="B25674" t="s">
        <v>2931</v>
      </c>
      <c r="C25674">
        <v>16259</v>
      </c>
      <c r="D25674" t="str">
        <f>"2050165265  "</f>
        <v xml:space="preserve">2050165265  </v>
      </c>
      <c r="E25674" t="s">
        <v>370</v>
      </c>
      <c r="F25674" t="s">
        <v>371</v>
      </c>
      <c r="G25674">
        <v>64.599999999999994</v>
      </c>
      <c r="H25674">
        <v>251129</v>
      </c>
      <c r="I25674">
        <v>4420</v>
      </c>
      <c r="J25674" t="s">
        <v>330</v>
      </c>
      <c r="K25674">
        <v>206.3</v>
      </c>
      <c r="L25674">
        <v>7.93</v>
      </c>
      <c r="M25674">
        <v>18122</v>
      </c>
      <c r="N25674" t="s">
        <v>176</v>
      </c>
      <c r="O25674">
        <v>251205</v>
      </c>
      <c r="P25674">
        <v>56.67</v>
      </c>
    </row>
    <row r="25675" spans="1:16" x14ac:dyDescent="0.25">
      <c r="A25675" t="s">
        <v>3296</v>
      </c>
      <c r="B25675" t="s">
        <v>2931</v>
      </c>
      <c r="C25675">
        <v>16259</v>
      </c>
      <c r="D25675" t="str">
        <f>"2050165265  "</f>
        <v xml:space="preserve">2050165265  </v>
      </c>
      <c r="E25675" t="s">
        <v>370</v>
      </c>
      <c r="F25675" t="s">
        <v>371</v>
      </c>
      <c r="G25675">
        <v>44.4</v>
      </c>
      <c r="H25675">
        <v>251129</v>
      </c>
      <c r="I25675">
        <v>4420</v>
      </c>
      <c r="J25675" t="s">
        <v>330</v>
      </c>
      <c r="K25675">
        <v>206.3</v>
      </c>
      <c r="L25675">
        <v>5.45</v>
      </c>
      <c r="M25675">
        <v>44222</v>
      </c>
      <c r="N25675" t="s">
        <v>96</v>
      </c>
      <c r="O25675">
        <v>251205</v>
      </c>
      <c r="P25675">
        <v>38.950000000000003</v>
      </c>
    </row>
    <row r="25676" spans="1:16" x14ac:dyDescent="0.25">
      <c r="A25676" t="s">
        <v>3296</v>
      </c>
      <c r="B25676" t="s">
        <v>2931</v>
      </c>
      <c r="C25676">
        <v>16618</v>
      </c>
      <c r="D25676" t="str">
        <f>"2050166652  "</f>
        <v xml:space="preserve">2050166652  </v>
      </c>
      <c r="E25676" t="s">
        <v>370</v>
      </c>
      <c r="F25676" t="s">
        <v>371</v>
      </c>
      <c r="G25676">
        <v>43</v>
      </c>
      <c r="H25676">
        <v>251206</v>
      </c>
      <c r="I25676">
        <v>4420</v>
      </c>
      <c r="J25676" t="s">
        <v>330</v>
      </c>
      <c r="K25676">
        <v>241.5</v>
      </c>
      <c r="L25676">
        <v>5.28</v>
      </c>
      <c r="M25676">
        <v>11902</v>
      </c>
      <c r="N25676" t="s">
        <v>329</v>
      </c>
      <c r="O25676">
        <v>251210</v>
      </c>
      <c r="P25676">
        <v>37.72</v>
      </c>
    </row>
    <row r="25677" spans="1:16" x14ac:dyDescent="0.25">
      <c r="A25677" t="s">
        <v>3296</v>
      </c>
      <c r="B25677" t="s">
        <v>2931</v>
      </c>
      <c r="C25677">
        <v>16618</v>
      </c>
      <c r="D25677" t="str">
        <f>"2050166652  "</f>
        <v xml:space="preserve">2050166652  </v>
      </c>
      <c r="E25677" t="s">
        <v>370</v>
      </c>
      <c r="F25677" t="s">
        <v>371</v>
      </c>
      <c r="G25677">
        <v>21.5</v>
      </c>
      <c r="H25677">
        <v>251206</v>
      </c>
      <c r="I25677">
        <v>4420</v>
      </c>
      <c r="J25677" t="s">
        <v>330</v>
      </c>
      <c r="K25677">
        <v>241.5</v>
      </c>
      <c r="L25677">
        <v>2.64</v>
      </c>
      <c r="M25677">
        <v>11903</v>
      </c>
      <c r="N25677" t="s">
        <v>32</v>
      </c>
      <c r="O25677">
        <v>251210</v>
      </c>
      <c r="P25677">
        <v>18.86</v>
      </c>
    </row>
    <row r="25678" spans="1:16" x14ac:dyDescent="0.25">
      <c r="A25678" t="s">
        <v>3296</v>
      </c>
      <c r="B25678" t="s">
        <v>2931</v>
      </c>
      <c r="C25678">
        <v>16618</v>
      </c>
      <c r="D25678" t="str">
        <f>"2050166652  "</f>
        <v xml:space="preserve">2050166652  </v>
      </c>
      <c r="E25678" t="s">
        <v>370</v>
      </c>
      <c r="F25678" t="s">
        <v>371</v>
      </c>
      <c r="G25678">
        <v>110.2</v>
      </c>
      <c r="H25678">
        <v>251206</v>
      </c>
      <c r="I25678">
        <v>4420</v>
      </c>
      <c r="J25678" t="s">
        <v>330</v>
      </c>
      <c r="K25678">
        <v>241.5</v>
      </c>
      <c r="L25678">
        <v>13.53</v>
      </c>
      <c r="M25678">
        <v>11981</v>
      </c>
      <c r="N25678" t="s">
        <v>2404</v>
      </c>
      <c r="O25678">
        <v>251210</v>
      </c>
      <c r="P25678">
        <v>96.67</v>
      </c>
    </row>
    <row r="25679" spans="1:16" x14ac:dyDescent="0.25">
      <c r="A25679" t="s">
        <v>3296</v>
      </c>
      <c r="B25679" t="s">
        <v>2931</v>
      </c>
      <c r="C25679">
        <v>16618</v>
      </c>
      <c r="D25679" t="str">
        <f>"2050166652  "</f>
        <v xml:space="preserve">2050166652  </v>
      </c>
      <c r="E25679" t="s">
        <v>370</v>
      </c>
      <c r="F25679" t="s">
        <v>371</v>
      </c>
      <c r="G25679">
        <v>66.8</v>
      </c>
      <c r="H25679">
        <v>251206</v>
      </c>
      <c r="I25679">
        <v>4420</v>
      </c>
      <c r="J25679" t="s">
        <v>330</v>
      </c>
      <c r="K25679">
        <v>241.5</v>
      </c>
      <c r="L25679">
        <v>8.1999999999999993</v>
      </c>
      <c r="M25679">
        <v>12500</v>
      </c>
      <c r="N25679" t="s">
        <v>1502</v>
      </c>
      <c r="O25679">
        <v>251210</v>
      </c>
      <c r="P25679">
        <v>58.6</v>
      </c>
    </row>
    <row r="25680" spans="1:16" x14ac:dyDescent="0.25">
      <c r="A25680" t="s">
        <v>3296</v>
      </c>
      <c r="B25680" t="s">
        <v>2931</v>
      </c>
      <c r="C25680">
        <v>17151</v>
      </c>
      <c r="D25680" t="str">
        <f>"2050168015  "</f>
        <v xml:space="preserve">2050168015  </v>
      </c>
      <c r="E25680" t="s">
        <v>370</v>
      </c>
      <c r="F25680" t="s">
        <v>371</v>
      </c>
      <c r="G25680">
        <v>19.600000000000001</v>
      </c>
      <c r="H25680">
        <v>251213</v>
      </c>
      <c r="I25680">
        <v>4420</v>
      </c>
      <c r="J25680" t="s">
        <v>330</v>
      </c>
      <c r="K25680">
        <v>162.5</v>
      </c>
      <c r="L25680">
        <v>2.41</v>
      </c>
      <c r="M25680">
        <v>11902</v>
      </c>
      <c r="N25680" t="s">
        <v>329</v>
      </c>
      <c r="O25680">
        <v>251217</v>
      </c>
      <c r="P25680">
        <v>17.190000000000001</v>
      </c>
    </row>
    <row r="25681" spans="1:16" x14ac:dyDescent="0.25">
      <c r="A25681" t="s">
        <v>3296</v>
      </c>
      <c r="B25681" t="s">
        <v>2931</v>
      </c>
      <c r="C25681">
        <v>17151</v>
      </c>
      <c r="D25681" t="str">
        <f>"2050168015  "</f>
        <v xml:space="preserve">2050168015  </v>
      </c>
      <c r="E25681" t="s">
        <v>370</v>
      </c>
      <c r="F25681" t="s">
        <v>371</v>
      </c>
      <c r="G25681">
        <v>142.9</v>
      </c>
      <c r="H25681">
        <v>251213</v>
      </c>
      <c r="I25681">
        <v>4420</v>
      </c>
      <c r="J25681" t="s">
        <v>330</v>
      </c>
      <c r="K25681">
        <v>162.5</v>
      </c>
      <c r="L25681">
        <v>17.55</v>
      </c>
      <c r="M25681">
        <v>18820</v>
      </c>
      <c r="N25681" t="s">
        <v>372</v>
      </c>
      <c r="O25681">
        <v>251217</v>
      </c>
      <c r="P25681">
        <v>125.35</v>
      </c>
    </row>
    <row r="25682" spans="1:16" x14ac:dyDescent="0.25">
      <c r="A25682" t="s">
        <v>3296</v>
      </c>
      <c r="B25682" t="s">
        <v>2931</v>
      </c>
      <c r="C25682">
        <v>17792</v>
      </c>
      <c r="D25682" t="str">
        <f>"2050168826  "</f>
        <v xml:space="preserve">2050168826  </v>
      </c>
      <c r="E25682" t="s">
        <v>370</v>
      </c>
      <c r="F25682" t="s">
        <v>371</v>
      </c>
      <c r="G25682">
        <v>59.4</v>
      </c>
      <c r="H25682">
        <v>251220</v>
      </c>
      <c r="I25682">
        <v>4420</v>
      </c>
      <c r="J25682" t="s">
        <v>330</v>
      </c>
      <c r="K25682">
        <v>415.5</v>
      </c>
      <c r="L25682">
        <v>7.29</v>
      </c>
      <c r="M25682">
        <v>16431</v>
      </c>
      <c r="N25682" t="s">
        <v>17</v>
      </c>
      <c r="O25682">
        <v>251230</v>
      </c>
      <c r="P25682">
        <v>52.11</v>
      </c>
    </row>
    <row r="25683" spans="1:16" x14ac:dyDescent="0.25">
      <c r="A25683" t="s">
        <v>3296</v>
      </c>
      <c r="B25683" t="s">
        <v>2931</v>
      </c>
      <c r="C25683">
        <v>17792</v>
      </c>
      <c r="D25683" t="str">
        <f>"2050168826  "</f>
        <v xml:space="preserve">2050168826  </v>
      </c>
      <c r="E25683" t="s">
        <v>370</v>
      </c>
      <c r="F25683" t="s">
        <v>371</v>
      </c>
      <c r="G25683">
        <v>29.7</v>
      </c>
      <c r="H25683">
        <v>251220</v>
      </c>
      <c r="I25683">
        <v>4420</v>
      </c>
      <c r="J25683" t="s">
        <v>330</v>
      </c>
      <c r="K25683">
        <v>415.5</v>
      </c>
      <c r="L25683">
        <v>3.65</v>
      </c>
      <c r="M25683">
        <v>17972</v>
      </c>
      <c r="N25683" t="s">
        <v>28</v>
      </c>
      <c r="O25683">
        <v>251230</v>
      </c>
      <c r="P25683">
        <v>26.05</v>
      </c>
    </row>
    <row r="25684" spans="1:16" x14ac:dyDescent="0.25">
      <c r="A25684" t="s">
        <v>3296</v>
      </c>
      <c r="B25684" t="s">
        <v>2931</v>
      </c>
      <c r="C25684">
        <v>17792</v>
      </c>
      <c r="D25684" t="str">
        <f>"2050168826  "</f>
        <v xml:space="preserve">2050168826  </v>
      </c>
      <c r="E25684" t="s">
        <v>370</v>
      </c>
      <c r="F25684" t="s">
        <v>371</v>
      </c>
      <c r="G25684">
        <v>24.5</v>
      </c>
      <c r="H25684">
        <v>251220</v>
      </c>
      <c r="I25684">
        <v>4420</v>
      </c>
      <c r="J25684" t="s">
        <v>330</v>
      </c>
      <c r="K25684">
        <v>415.5</v>
      </c>
      <c r="L25684">
        <v>3.01</v>
      </c>
      <c r="M25684">
        <v>18120</v>
      </c>
      <c r="N25684" t="s">
        <v>37</v>
      </c>
      <c r="O25684">
        <v>251230</v>
      </c>
      <c r="P25684">
        <v>21.49</v>
      </c>
    </row>
    <row r="25685" spans="1:16" x14ac:dyDescent="0.25">
      <c r="A25685" t="s">
        <v>3296</v>
      </c>
      <c r="B25685" t="s">
        <v>2931</v>
      </c>
      <c r="C25685">
        <v>17792</v>
      </c>
      <c r="D25685" t="str">
        <f>"2050168826  "</f>
        <v xml:space="preserve">2050168826  </v>
      </c>
      <c r="E25685" t="s">
        <v>370</v>
      </c>
      <c r="F25685" t="s">
        <v>371</v>
      </c>
      <c r="G25685">
        <v>188.2</v>
      </c>
      <c r="H25685">
        <v>251220</v>
      </c>
      <c r="I25685">
        <v>4420</v>
      </c>
      <c r="J25685" t="s">
        <v>330</v>
      </c>
      <c r="K25685">
        <v>415.5</v>
      </c>
      <c r="L25685">
        <v>23.11</v>
      </c>
      <c r="M25685">
        <v>44222</v>
      </c>
      <c r="N25685" t="s">
        <v>96</v>
      </c>
      <c r="O25685">
        <v>251230</v>
      </c>
      <c r="P25685">
        <v>165.09</v>
      </c>
    </row>
    <row r="25686" spans="1:16" x14ac:dyDescent="0.25">
      <c r="A25686" t="s">
        <v>3296</v>
      </c>
      <c r="B25686" t="s">
        <v>2931</v>
      </c>
      <c r="C25686">
        <v>17792</v>
      </c>
      <c r="D25686" t="str">
        <f>"2050168826  "</f>
        <v xml:space="preserve">2050168826  </v>
      </c>
      <c r="E25686" t="s">
        <v>370</v>
      </c>
      <c r="F25686" t="s">
        <v>371</v>
      </c>
      <c r="G25686">
        <v>29.7</v>
      </c>
      <c r="H25686">
        <v>251220</v>
      </c>
      <c r="I25686">
        <v>4420</v>
      </c>
      <c r="J25686" t="s">
        <v>330</v>
      </c>
      <c r="K25686">
        <v>415.5</v>
      </c>
      <c r="L25686">
        <v>3.65</v>
      </c>
      <c r="M25686">
        <v>49702</v>
      </c>
      <c r="N25686" t="s">
        <v>112</v>
      </c>
      <c r="O25686">
        <v>251230</v>
      </c>
      <c r="P25686">
        <v>26.05</v>
      </c>
    </row>
    <row r="25687" spans="1:16" x14ac:dyDescent="0.25">
      <c r="A25687" t="s">
        <v>3296</v>
      </c>
      <c r="B25687" t="s">
        <v>2931</v>
      </c>
      <c r="C25687">
        <v>1169</v>
      </c>
      <c r="D25687" t="str">
        <f>"2050111896  "</f>
        <v xml:space="preserve">2050111896  </v>
      </c>
      <c r="E25687" t="s">
        <v>370</v>
      </c>
      <c r="F25687" t="s">
        <v>371</v>
      </c>
      <c r="G25687">
        <v>83.5</v>
      </c>
      <c r="H25687">
        <v>250131</v>
      </c>
      <c r="I25687">
        <v>4425</v>
      </c>
      <c r="J25687" t="s">
        <v>870</v>
      </c>
      <c r="K25687">
        <v>146.30000000000001</v>
      </c>
      <c r="L25687">
        <v>10.25</v>
      </c>
      <c r="M25687">
        <v>14972</v>
      </c>
      <c r="N25687" t="s">
        <v>82</v>
      </c>
      <c r="O25687">
        <v>250205</v>
      </c>
      <c r="P25687">
        <v>73.25</v>
      </c>
    </row>
    <row r="25688" spans="1:16" x14ac:dyDescent="0.25">
      <c r="A25688" t="s">
        <v>3296</v>
      </c>
      <c r="B25688" t="s">
        <v>2931</v>
      </c>
      <c r="C25688">
        <v>1169</v>
      </c>
      <c r="D25688" t="str">
        <f>"2050111896  "</f>
        <v xml:space="preserve">2050111896  </v>
      </c>
      <c r="E25688" t="s">
        <v>370</v>
      </c>
      <c r="F25688" t="s">
        <v>371</v>
      </c>
      <c r="G25688">
        <v>56.8</v>
      </c>
      <c r="H25688">
        <v>250131</v>
      </c>
      <c r="I25688">
        <v>4425</v>
      </c>
      <c r="J25688" t="s">
        <v>870</v>
      </c>
      <c r="K25688">
        <v>146.30000000000001</v>
      </c>
      <c r="L25688">
        <v>6.98</v>
      </c>
      <c r="M25688">
        <v>18972</v>
      </c>
      <c r="N25688" t="s">
        <v>39</v>
      </c>
      <c r="O25688">
        <v>250205</v>
      </c>
      <c r="P25688">
        <v>49.82</v>
      </c>
    </row>
    <row r="25689" spans="1:16" x14ac:dyDescent="0.25">
      <c r="A25689" t="s">
        <v>3296</v>
      </c>
      <c r="B25689" t="s">
        <v>2931</v>
      </c>
      <c r="C25689">
        <v>1169</v>
      </c>
      <c r="D25689" t="str">
        <f>"2050111896  "</f>
        <v xml:space="preserve">2050111896  </v>
      </c>
      <c r="E25689" t="s">
        <v>370</v>
      </c>
      <c r="F25689" t="s">
        <v>371</v>
      </c>
      <c r="G25689">
        <v>6</v>
      </c>
      <c r="H25689">
        <v>250131</v>
      </c>
      <c r="I25689">
        <v>4425</v>
      </c>
      <c r="J25689" t="s">
        <v>870</v>
      </c>
      <c r="K25689">
        <v>146.30000000000001</v>
      </c>
      <c r="L25689">
        <v>0.74</v>
      </c>
      <c r="M25689">
        <v>59111</v>
      </c>
      <c r="N25689" t="s">
        <v>60</v>
      </c>
      <c r="O25689">
        <v>250205</v>
      </c>
      <c r="P25689">
        <v>5.26</v>
      </c>
    </row>
    <row r="25690" spans="1:16" x14ac:dyDescent="0.25">
      <c r="A25690" t="s">
        <v>3296</v>
      </c>
      <c r="B25690" t="s">
        <v>2931</v>
      </c>
      <c r="C25690">
        <v>1201</v>
      </c>
      <c r="D25690" t="str">
        <f>"2050110120  "</f>
        <v xml:space="preserve">2050110120  </v>
      </c>
      <c r="E25690" t="s">
        <v>370</v>
      </c>
      <c r="F25690" t="s">
        <v>371</v>
      </c>
      <c r="G25690">
        <v>49.8</v>
      </c>
      <c r="H25690">
        <v>250124</v>
      </c>
      <c r="I25690">
        <v>4425</v>
      </c>
      <c r="J25690" t="s">
        <v>870</v>
      </c>
      <c r="K25690">
        <v>349.1</v>
      </c>
      <c r="L25690">
        <v>6.12</v>
      </c>
      <c r="M25690">
        <v>11901</v>
      </c>
      <c r="N25690" t="s">
        <v>31</v>
      </c>
      <c r="O25690">
        <v>250205</v>
      </c>
      <c r="P25690">
        <v>43.68</v>
      </c>
    </row>
    <row r="25691" spans="1:16" x14ac:dyDescent="0.25">
      <c r="A25691" t="s">
        <v>3296</v>
      </c>
      <c r="B25691" t="s">
        <v>2931</v>
      </c>
      <c r="C25691">
        <v>1201</v>
      </c>
      <c r="D25691" t="str">
        <f>"2050110120  "</f>
        <v xml:space="preserve">2050110120  </v>
      </c>
      <c r="E25691" t="s">
        <v>370</v>
      </c>
      <c r="F25691" t="s">
        <v>371</v>
      </c>
      <c r="G25691">
        <v>149</v>
      </c>
      <c r="H25691">
        <v>250124</v>
      </c>
      <c r="I25691">
        <v>4425</v>
      </c>
      <c r="J25691" t="s">
        <v>870</v>
      </c>
      <c r="K25691">
        <v>349.1</v>
      </c>
      <c r="L25691">
        <v>18.3</v>
      </c>
      <c r="M25691">
        <v>54222</v>
      </c>
      <c r="N25691" t="s">
        <v>48</v>
      </c>
      <c r="O25691">
        <v>250205</v>
      </c>
      <c r="P25691">
        <v>130.69999999999999</v>
      </c>
    </row>
    <row r="25692" spans="1:16" x14ac:dyDescent="0.25">
      <c r="A25692" t="s">
        <v>3296</v>
      </c>
      <c r="B25692" t="s">
        <v>2931</v>
      </c>
      <c r="C25692">
        <v>1742</v>
      </c>
      <c r="D25692" t="str">
        <f>"2050113705  "</f>
        <v xml:space="preserve">2050113705  </v>
      </c>
      <c r="E25692" t="s">
        <v>370</v>
      </c>
      <c r="F25692" t="s">
        <v>371</v>
      </c>
      <c r="G25692">
        <v>9.8000000000000007</v>
      </c>
      <c r="H25692">
        <v>250207</v>
      </c>
      <c r="I25692">
        <v>4425</v>
      </c>
      <c r="J25692" t="s">
        <v>870</v>
      </c>
      <c r="K25692">
        <v>9.8000000000000007</v>
      </c>
      <c r="L25692">
        <v>1.2</v>
      </c>
      <c r="M25692">
        <v>48601</v>
      </c>
      <c r="N25692" t="s">
        <v>107</v>
      </c>
      <c r="O25692">
        <v>250213</v>
      </c>
      <c r="P25692">
        <v>8.6</v>
      </c>
    </row>
    <row r="25693" spans="1:16" x14ac:dyDescent="0.25">
      <c r="A25693" t="s">
        <v>3296</v>
      </c>
      <c r="B25693" t="s">
        <v>2931</v>
      </c>
      <c r="C25693">
        <v>2123</v>
      </c>
      <c r="D25693" t="str">
        <f>"2050115063  "</f>
        <v xml:space="preserve">2050115063  </v>
      </c>
      <c r="E25693" t="s">
        <v>370</v>
      </c>
      <c r="F25693" t="s">
        <v>371</v>
      </c>
      <c r="G25693">
        <v>27.6</v>
      </c>
      <c r="H25693">
        <v>250214</v>
      </c>
      <c r="I25693">
        <v>4425</v>
      </c>
      <c r="J25693" t="s">
        <v>870</v>
      </c>
      <c r="K25693">
        <v>27.6</v>
      </c>
      <c r="L25693">
        <v>3.39</v>
      </c>
      <c r="M25693">
        <v>18972</v>
      </c>
      <c r="N25693" t="s">
        <v>39</v>
      </c>
      <c r="O25693">
        <v>250220</v>
      </c>
      <c r="P25693">
        <v>24.21</v>
      </c>
    </row>
    <row r="25694" spans="1:16" x14ac:dyDescent="0.25">
      <c r="A25694" t="s">
        <v>3296</v>
      </c>
      <c r="B25694" t="s">
        <v>2931</v>
      </c>
      <c r="C25694">
        <v>3534</v>
      </c>
      <c r="D25694" t="str">
        <f>"2050117892  "</f>
        <v xml:space="preserve">2050117892  </v>
      </c>
      <c r="E25694" t="s">
        <v>370</v>
      </c>
      <c r="F25694" t="s">
        <v>371</v>
      </c>
      <c r="G25694">
        <v>63.7</v>
      </c>
      <c r="H25694">
        <v>250307</v>
      </c>
      <c r="I25694">
        <v>4425</v>
      </c>
      <c r="J25694" t="s">
        <v>870</v>
      </c>
      <c r="K25694">
        <v>288.7</v>
      </c>
      <c r="L25694">
        <v>7.82</v>
      </c>
      <c r="M25694">
        <v>11903</v>
      </c>
      <c r="N25694" t="s">
        <v>32</v>
      </c>
      <c r="O25694">
        <v>250325</v>
      </c>
      <c r="P25694">
        <v>55.88</v>
      </c>
    </row>
    <row r="25695" spans="1:16" x14ac:dyDescent="0.25">
      <c r="A25695" t="s">
        <v>3296</v>
      </c>
      <c r="B25695" t="s">
        <v>2931</v>
      </c>
      <c r="C25695">
        <v>3534</v>
      </c>
      <c r="D25695" t="str">
        <f>"2050117892  "</f>
        <v xml:space="preserve">2050117892  </v>
      </c>
      <c r="E25695" t="s">
        <v>370</v>
      </c>
      <c r="F25695" t="s">
        <v>371</v>
      </c>
      <c r="G25695">
        <v>52.6</v>
      </c>
      <c r="H25695">
        <v>250307</v>
      </c>
      <c r="I25695">
        <v>4425</v>
      </c>
      <c r="J25695" t="s">
        <v>870</v>
      </c>
      <c r="K25695">
        <v>288.7</v>
      </c>
      <c r="L25695">
        <v>0</v>
      </c>
      <c r="M25695">
        <v>14972</v>
      </c>
      <c r="N25695" t="s">
        <v>82</v>
      </c>
      <c r="O25695">
        <v>250325</v>
      </c>
      <c r="P25695">
        <v>52.6</v>
      </c>
    </row>
    <row r="25696" spans="1:16" x14ac:dyDescent="0.25">
      <c r="A25696" t="s">
        <v>3296</v>
      </c>
      <c r="B25696" t="s">
        <v>2931</v>
      </c>
      <c r="C25696">
        <v>3534</v>
      </c>
      <c r="D25696" t="str">
        <f>"2050117892  "</f>
        <v xml:space="preserve">2050117892  </v>
      </c>
      <c r="E25696" t="s">
        <v>370</v>
      </c>
      <c r="F25696" t="s">
        <v>371</v>
      </c>
      <c r="G25696">
        <v>33.950000000000003</v>
      </c>
      <c r="H25696">
        <v>250307</v>
      </c>
      <c r="I25696">
        <v>4425</v>
      </c>
      <c r="J25696" t="s">
        <v>870</v>
      </c>
      <c r="K25696">
        <v>288.7</v>
      </c>
      <c r="L25696">
        <v>4.17</v>
      </c>
      <c r="M25696">
        <v>44222</v>
      </c>
      <c r="N25696" t="s">
        <v>96</v>
      </c>
      <c r="O25696">
        <v>250325</v>
      </c>
      <c r="P25696">
        <v>29.78</v>
      </c>
    </row>
    <row r="25697" spans="1:16" x14ac:dyDescent="0.25">
      <c r="A25697" t="s">
        <v>3296</v>
      </c>
      <c r="B25697" t="s">
        <v>2931</v>
      </c>
      <c r="C25697">
        <v>3534</v>
      </c>
      <c r="D25697" t="str">
        <f>"2050117892  "</f>
        <v xml:space="preserve">2050117892  </v>
      </c>
      <c r="E25697" t="s">
        <v>370</v>
      </c>
      <c r="F25697" t="s">
        <v>371</v>
      </c>
      <c r="G25697">
        <v>33.950000000000003</v>
      </c>
      <c r="H25697">
        <v>250307</v>
      </c>
      <c r="I25697">
        <v>4425</v>
      </c>
      <c r="J25697" t="s">
        <v>870</v>
      </c>
      <c r="K25697">
        <v>288.7</v>
      </c>
      <c r="L25697">
        <v>4.17</v>
      </c>
      <c r="M25697">
        <v>44222</v>
      </c>
      <c r="N25697" t="s">
        <v>96</v>
      </c>
      <c r="O25697">
        <v>250325</v>
      </c>
      <c r="P25697">
        <v>29.78</v>
      </c>
    </row>
    <row r="25698" spans="1:16" x14ac:dyDescent="0.25">
      <c r="A25698" t="s">
        <v>3296</v>
      </c>
      <c r="B25698" t="s">
        <v>2931</v>
      </c>
      <c r="C25698">
        <v>3534</v>
      </c>
      <c r="D25698" t="str">
        <f>"2050117892  "</f>
        <v xml:space="preserve">2050117892  </v>
      </c>
      <c r="E25698" t="s">
        <v>370</v>
      </c>
      <c r="F25698" t="s">
        <v>371</v>
      </c>
      <c r="G25698">
        <v>40</v>
      </c>
      <c r="H25698">
        <v>250307</v>
      </c>
      <c r="I25698">
        <v>4425</v>
      </c>
      <c r="J25698" t="s">
        <v>870</v>
      </c>
      <c r="K25698">
        <v>288.7</v>
      </c>
      <c r="L25698">
        <v>4.91</v>
      </c>
      <c r="M25698">
        <v>53222</v>
      </c>
      <c r="N25698" t="s">
        <v>41</v>
      </c>
      <c r="O25698">
        <v>250325</v>
      </c>
      <c r="P25698">
        <v>35.090000000000003</v>
      </c>
    </row>
    <row r="25699" spans="1:16" x14ac:dyDescent="0.25">
      <c r="A25699" t="s">
        <v>3296</v>
      </c>
      <c r="B25699" t="s">
        <v>2931</v>
      </c>
      <c r="C25699">
        <v>3606</v>
      </c>
      <c r="D25699" t="str">
        <f>"2050119030  "</f>
        <v xml:space="preserve">2050119030  </v>
      </c>
      <c r="E25699" t="s">
        <v>370</v>
      </c>
      <c r="F25699" t="s">
        <v>371</v>
      </c>
      <c r="G25699">
        <v>50</v>
      </c>
      <c r="H25699">
        <v>250314</v>
      </c>
      <c r="I25699">
        <v>4425</v>
      </c>
      <c r="J25699" t="s">
        <v>870</v>
      </c>
      <c r="K25699">
        <v>2003.4</v>
      </c>
      <c r="L25699">
        <v>6.14</v>
      </c>
      <c r="M25699">
        <v>44222</v>
      </c>
      <c r="N25699" t="s">
        <v>96</v>
      </c>
      <c r="O25699">
        <v>250326</v>
      </c>
      <c r="P25699">
        <v>43.86</v>
      </c>
    </row>
    <row r="25700" spans="1:16" x14ac:dyDescent="0.25">
      <c r="A25700" t="s">
        <v>3296</v>
      </c>
      <c r="B25700" t="s">
        <v>2931</v>
      </c>
      <c r="C25700">
        <v>3606</v>
      </c>
      <c r="D25700" t="str">
        <f>"2050119030  "</f>
        <v xml:space="preserve">2050119030  </v>
      </c>
      <c r="E25700" t="s">
        <v>370</v>
      </c>
      <c r="F25700" t="s">
        <v>371</v>
      </c>
      <c r="G25700">
        <v>41.6</v>
      </c>
      <c r="H25700">
        <v>250314</v>
      </c>
      <c r="I25700">
        <v>4425</v>
      </c>
      <c r="J25700" t="s">
        <v>870</v>
      </c>
      <c r="K25700">
        <v>2003.4</v>
      </c>
      <c r="L25700">
        <v>5.1100000000000003</v>
      </c>
      <c r="M25700">
        <v>48601</v>
      </c>
      <c r="N25700" t="s">
        <v>107</v>
      </c>
      <c r="O25700">
        <v>250326</v>
      </c>
      <c r="P25700">
        <v>36.49</v>
      </c>
    </row>
    <row r="25701" spans="1:16" x14ac:dyDescent="0.25">
      <c r="A25701" t="s">
        <v>3296</v>
      </c>
      <c r="B25701" t="s">
        <v>2931</v>
      </c>
      <c r="C25701">
        <v>3959</v>
      </c>
      <c r="D25701" t="str">
        <f>"2050120779  "</f>
        <v xml:space="preserve">2050120779  </v>
      </c>
      <c r="E25701" t="s">
        <v>370</v>
      </c>
      <c r="F25701" t="s">
        <v>371</v>
      </c>
      <c r="G25701">
        <v>14</v>
      </c>
      <c r="H25701">
        <v>250321</v>
      </c>
      <c r="I25701">
        <v>4425</v>
      </c>
      <c r="J25701" t="s">
        <v>870</v>
      </c>
      <c r="K25701">
        <v>129</v>
      </c>
      <c r="L25701">
        <v>1.72</v>
      </c>
      <c r="M25701">
        <v>44222</v>
      </c>
      <c r="N25701" t="s">
        <v>96</v>
      </c>
      <c r="O25701">
        <v>250404</v>
      </c>
      <c r="P25701">
        <v>12.28</v>
      </c>
    </row>
    <row r="25702" spans="1:16" x14ac:dyDescent="0.25">
      <c r="A25702" t="s">
        <v>3296</v>
      </c>
      <c r="B25702" t="s">
        <v>2931</v>
      </c>
      <c r="C25702">
        <v>3959</v>
      </c>
      <c r="D25702" t="str">
        <f>"2050120779  "</f>
        <v xml:space="preserve">2050120779  </v>
      </c>
      <c r="E25702" t="s">
        <v>370</v>
      </c>
      <c r="F25702" t="s">
        <v>371</v>
      </c>
      <c r="G25702">
        <v>9.8000000000000007</v>
      </c>
      <c r="H25702">
        <v>250321</v>
      </c>
      <c r="I25702">
        <v>4425</v>
      </c>
      <c r="J25702" t="s">
        <v>870</v>
      </c>
      <c r="K25702">
        <v>129</v>
      </c>
      <c r="L25702">
        <v>0</v>
      </c>
      <c r="M25702">
        <v>44222</v>
      </c>
      <c r="N25702" t="s">
        <v>96</v>
      </c>
      <c r="O25702">
        <v>250404</v>
      </c>
      <c r="P25702">
        <v>9.8000000000000007</v>
      </c>
    </row>
    <row r="25703" spans="1:16" x14ac:dyDescent="0.25">
      <c r="A25703" t="s">
        <v>3296</v>
      </c>
      <c r="B25703" t="s">
        <v>2931</v>
      </c>
      <c r="C25703">
        <v>3959</v>
      </c>
      <c r="D25703" t="str">
        <f>"2050120779  "</f>
        <v xml:space="preserve">2050120779  </v>
      </c>
      <c r="E25703" t="s">
        <v>370</v>
      </c>
      <c r="F25703" t="s">
        <v>371</v>
      </c>
      <c r="G25703">
        <v>-33.6</v>
      </c>
      <c r="H25703">
        <v>250321</v>
      </c>
      <c r="I25703">
        <v>4425</v>
      </c>
      <c r="J25703" t="s">
        <v>870</v>
      </c>
      <c r="K25703">
        <v>129</v>
      </c>
      <c r="L25703">
        <v>-4.13</v>
      </c>
      <c r="M25703">
        <v>44222</v>
      </c>
      <c r="N25703" t="s">
        <v>96</v>
      </c>
      <c r="O25703">
        <v>250404</v>
      </c>
      <c r="P25703">
        <v>-29.47</v>
      </c>
    </row>
    <row r="25704" spans="1:16" x14ac:dyDescent="0.25">
      <c r="A25704" t="s">
        <v>3296</v>
      </c>
      <c r="B25704" t="s">
        <v>2931</v>
      </c>
      <c r="C25704">
        <v>4716</v>
      </c>
      <c r="D25704" t="str">
        <f>"2050121855  "</f>
        <v xml:space="preserve">2050121855  </v>
      </c>
      <c r="E25704" t="s">
        <v>370</v>
      </c>
      <c r="F25704" t="s">
        <v>371</v>
      </c>
      <c r="G25704">
        <v>59</v>
      </c>
      <c r="H25704">
        <v>250328</v>
      </c>
      <c r="I25704">
        <v>4425</v>
      </c>
      <c r="J25704" t="s">
        <v>870</v>
      </c>
      <c r="K25704">
        <v>699.35</v>
      </c>
      <c r="L25704">
        <v>7.25</v>
      </c>
      <c r="M25704">
        <v>11903</v>
      </c>
      <c r="N25704" t="s">
        <v>32</v>
      </c>
      <c r="O25704">
        <v>250415</v>
      </c>
      <c r="P25704">
        <v>51.75</v>
      </c>
    </row>
    <row r="25705" spans="1:16" x14ac:dyDescent="0.25">
      <c r="A25705" t="s">
        <v>3296</v>
      </c>
      <c r="B25705" t="s">
        <v>2931</v>
      </c>
      <c r="C25705">
        <v>4716</v>
      </c>
      <c r="D25705" t="str">
        <f>"2050121855  "</f>
        <v xml:space="preserve">2050121855  </v>
      </c>
      <c r="E25705" t="s">
        <v>370</v>
      </c>
      <c r="F25705" t="s">
        <v>371</v>
      </c>
      <c r="G25705">
        <v>16.899999999999999</v>
      </c>
      <c r="H25705">
        <v>250328</v>
      </c>
      <c r="I25705">
        <v>4425</v>
      </c>
      <c r="J25705" t="s">
        <v>870</v>
      </c>
      <c r="K25705">
        <v>699.35</v>
      </c>
      <c r="L25705">
        <v>2.08</v>
      </c>
      <c r="M25705">
        <v>12500</v>
      </c>
      <c r="N25705" t="s">
        <v>1502</v>
      </c>
      <c r="O25705">
        <v>250415</v>
      </c>
      <c r="P25705">
        <v>14.82</v>
      </c>
    </row>
    <row r="25706" spans="1:16" x14ac:dyDescent="0.25">
      <c r="A25706" t="s">
        <v>3296</v>
      </c>
      <c r="B25706" t="s">
        <v>2931</v>
      </c>
      <c r="C25706">
        <v>4716</v>
      </c>
      <c r="D25706" t="str">
        <f>"2050121855  "</f>
        <v xml:space="preserve">2050121855  </v>
      </c>
      <c r="E25706" t="s">
        <v>370</v>
      </c>
      <c r="F25706" t="s">
        <v>371</v>
      </c>
      <c r="G25706">
        <v>25.3</v>
      </c>
      <c r="H25706">
        <v>250328</v>
      </c>
      <c r="I25706">
        <v>4425</v>
      </c>
      <c r="J25706" t="s">
        <v>870</v>
      </c>
      <c r="K25706">
        <v>699.35</v>
      </c>
      <c r="L25706">
        <v>3.11</v>
      </c>
      <c r="M25706">
        <v>48601</v>
      </c>
      <c r="N25706" t="s">
        <v>107</v>
      </c>
      <c r="O25706">
        <v>250415</v>
      </c>
      <c r="P25706">
        <v>22.19</v>
      </c>
    </row>
    <row r="25707" spans="1:16" x14ac:dyDescent="0.25">
      <c r="A25707" t="s">
        <v>3296</v>
      </c>
      <c r="B25707" t="s">
        <v>2931</v>
      </c>
      <c r="C25707">
        <v>4870</v>
      </c>
      <c r="D25707" t="str">
        <f>"2050123337  "</f>
        <v xml:space="preserve">2050123337  </v>
      </c>
      <c r="E25707" t="s">
        <v>370</v>
      </c>
      <c r="F25707" t="s">
        <v>371</v>
      </c>
      <c r="G25707">
        <v>25.9</v>
      </c>
      <c r="H25707">
        <v>250404</v>
      </c>
      <c r="I25707">
        <v>4425</v>
      </c>
      <c r="J25707" t="s">
        <v>870</v>
      </c>
      <c r="K25707">
        <v>522.6</v>
      </c>
      <c r="L25707">
        <v>3.18</v>
      </c>
      <c r="M25707">
        <v>12500</v>
      </c>
      <c r="N25707" t="s">
        <v>1502</v>
      </c>
      <c r="O25707">
        <v>250416</v>
      </c>
      <c r="P25707">
        <v>22.72</v>
      </c>
    </row>
    <row r="25708" spans="1:16" x14ac:dyDescent="0.25">
      <c r="A25708" t="s">
        <v>3296</v>
      </c>
      <c r="B25708" t="s">
        <v>2931</v>
      </c>
      <c r="C25708">
        <v>4870</v>
      </c>
      <c r="D25708" t="str">
        <f>"2050123337  "</f>
        <v xml:space="preserve">2050123337  </v>
      </c>
      <c r="E25708" t="s">
        <v>370</v>
      </c>
      <c r="F25708" t="s">
        <v>371</v>
      </c>
      <c r="G25708">
        <v>45.3</v>
      </c>
      <c r="H25708">
        <v>250404</v>
      </c>
      <c r="I25708">
        <v>4425</v>
      </c>
      <c r="J25708" t="s">
        <v>870</v>
      </c>
      <c r="K25708">
        <v>522.6</v>
      </c>
      <c r="L25708">
        <v>5.56</v>
      </c>
      <c r="M25708">
        <v>13940</v>
      </c>
      <c r="N25708" t="s">
        <v>14</v>
      </c>
      <c r="O25708">
        <v>250416</v>
      </c>
      <c r="P25708">
        <v>39.74</v>
      </c>
    </row>
    <row r="25709" spans="1:16" x14ac:dyDescent="0.25">
      <c r="A25709" t="s">
        <v>3296</v>
      </c>
      <c r="B25709" t="s">
        <v>2931</v>
      </c>
      <c r="C25709">
        <v>5796</v>
      </c>
      <c r="D25709" t="str">
        <f>"2050126116  "</f>
        <v xml:space="preserve">2050126116  </v>
      </c>
      <c r="E25709" t="s">
        <v>370</v>
      </c>
      <c r="F25709" t="s">
        <v>371</v>
      </c>
      <c r="G25709">
        <v>69.900000000000006</v>
      </c>
      <c r="H25709">
        <v>250418</v>
      </c>
      <c r="I25709">
        <v>4425</v>
      </c>
      <c r="J25709" t="s">
        <v>870</v>
      </c>
      <c r="K25709">
        <v>315</v>
      </c>
      <c r="L25709">
        <v>8.58</v>
      </c>
      <c r="M25709">
        <v>14972</v>
      </c>
      <c r="N25709" t="s">
        <v>82</v>
      </c>
      <c r="O25709">
        <v>250505</v>
      </c>
      <c r="P25709">
        <v>61.32</v>
      </c>
    </row>
    <row r="25710" spans="1:16" x14ac:dyDescent="0.25">
      <c r="A25710" t="s">
        <v>3296</v>
      </c>
      <c r="B25710" t="s">
        <v>2931</v>
      </c>
      <c r="C25710">
        <v>6301</v>
      </c>
      <c r="D25710" t="str">
        <f>"2050128454  "</f>
        <v xml:space="preserve">2050128454  </v>
      </c>
      <c r="E25710" t="s">
        <v>370</v>
      </c>
      <c r="F25710" t="s">
        <v>371</v>
      </c>
      <c r="G25710">
        <v>49.5</v>
      </c>
      <c r="H25710">
        <v>250502</v>
      </c>
      <c r="I25710">
        <v>4425</v>
      </c>
      <c r="J25710" t="s">
        <v>870</v>
      </c>
      <c r="K25710">
        <v>286.3</v>
      </c>
      <c r="L25710">
        <v>6.08</v>
      </c>
      <c r="M25710">
        <v>66754</v>
      </c>
      <c r="N25710" t="s">
        <v>119</v>
      </c>
      <c r="O25710">
        <v>250512</v>
      </c>
      <c r="P25710">
        <v>43.42</v>
      </c>
    </row>
    <row r="25711" spans="1:16" x14ac:dyDescent="0.25">
      <c r="A25711" t="s">
        <v>3296</v>
      </c>
      <c r="B25711" t="s">
        <v>2931</v>
      </c>
      <c r="C25711">
        <v>6301</v>
      </c>
      <c r="D25711" t="str">
        <f>"2050128454  "</f>
        <v xml:space="preserve">2050128454  </v>
      </c>
      <c r="E25711" t="s">
        <v>370</v>
      </c>
      <c r="F25711" t="s">
        <v>371</v>
      </c>
      <c r="G25711">
        <v>49.5</v>
      </c>
      <c r="H25711">
        <v>250502</v>
      </c>
      <c r="I25711">
        <v>4425</v>
      </c>
      <c r="J25711" t="s">
        <v>870</v>
      </c>
      <c r="K25711">
        <v>286.3</v>
      </c>
      <c r="L25711">
        <v>6.08</v>
      </c>
      <c r="M25711">
        <v>67554</v>
      </c>
      <c r="N25711" t="s">
        <v>317</v>
      </c>
      <c r="O25711">
        <v>250512</v>
      </c>
      <c r="P25711">
        <v>43.42</v>
      </c>
    </row>
    <row r="25712" spans="1:16" x14ac:dyDescent="0.25">
      <c r="A25712" t="s">
        <v>3296</v>
      </c>
      <c r="B25712" t="s">
        <v>2931</v>
      </c>
      <c r="C25712">
        <v>6301</v>
      </c>
      <c r="D25712" t="str">
        <f>"2050128454  "</f>
        <v xml:space="preserve">2050128454  </v>
      </c>
      <c r="E25712" t="s">
        <v>370</v>
      </c>
      <c r="F25712" t="s">
        <v>371</v>
      </c>
      <c r="G25712">
        <v>94</v>
      </c>
      <c r="H25712">
        <v>250502</v>
      </c>
      <c r="I25712">
        <v>4425</v>
      </c>
      <c r="J25712" t="s">
        <v>870</v>
      </c>
      <c r="K25712">
        <v>286.3</v>
      </c>
      <c r="L25712">
        <v>11.54</v>
      </c>
      <c r="M25712">
        <v>69702</v>
      </c>
      <c r="N25712" t="s">
        <v>124</v>
      </c>
      <c r="O25712">
        <v>250512</v>
      </c>
      <c r="P25712">
        <v>82.46</v>
      </c>
    </row>
    <row r="25713" spans="1:16" x14ac:dyDescent="0.25">
      <c r="A25713" t="s">
        <v>3296</v>
      </c>
      <c r="B25713" t="s">
        <v>2931</v>
      </c>
      <c r="C25713">
        <v>6699</v>
      </c>
      <c r="D25713" t="str">
        <f>"2050129771  "</f>
        <v xml:space="preserve">2050129771  </v>
      </c>
      <c r="E25713" t="s">
        <v>370</v>
      </c>
      <c r="F25713" t="s">
        <v>371</v>
      </c>
      <c r="G25713">
        <v>29.8</v>
      </c>
      <c r="H25713">
        <v>250509</v>
      </c>
      <c r="I25713">
        <v>4425</v>
      </c>
      <c r="J25713" t="s">
        <v>870</v>
      </c>
      <c r="K25713">
        <v>732.6</v>
      </c>
      <c r="L25713">
        <v>3.66</v>
      </c>
      <c r="M25713">
        <v>49112</v>
      </c>
      <c r="N25713" t="s">
        <v>109</v>
      </c>
      <c r="O25713">
        <v>250515</v>
      </c>
      <c r="P25713">
        <v>26.14</v>
      </c>
    </row>
    <row r="25714" spans="1:16" x14ac:dyDescent="0.25">
      <c r="A25714" t="s">
        <v>3296</v>
      </c>
      <c r="B25714" t="s">
        <v>2931</v>
      </c>
      <c r="C25714">
        <v>6699</v>
      </c>
      <c r="D25714" t="str">
        <f>"2050129771  "</f>
        <v xml:space="preserve">2050129771  </v>
      </c>
      <c r="E25714" t="s">
        <v>370</v>
      </c>
      <c r="F25714" t="s">
        <v>371</v>
      </c>
      <c r="G25714">
        <v>62</v>
      </c>
      <c r="H25714">
        <v>250509</v>
      </c>
      <c r="I25714">
        <v>4425</v>
      </c>
      <c r="J25714" t="s">
        <v>870</v>
      </c>
      <c r="K25714">
        <v>732.6</v>
      </c>
      <c r="L25714">
        <v>7.61</v>
      </c>
      <c r="M25714">
        <v>54422</v>
      </c>
      <c r="N25714" t="s">
        <v>49</v>
      </c>
      <c r="O25714">
        <v>250515</v>
      </c>
      <c r="P25714">
        <v>54.39</v>
      </c>
    </row>
    <row r="25715" spans="1:16" x14ac:dyDescent="0.25">
      <c r="A25715" t="s">
        <v>3296</v>
      </c>
      <c r="B25715" t="s">
        <v>2931</v>
      </c>
      <c r="C25715">
        <v>6699</v>
      </c>
      <c r="D25715" t="str">
        <f>"2050129771  "</f>
        <v xml:space="preserve">2050129771  </v>
      </c>
      <c r="E25715" t="s">
        <v>370</v>
      </c>
      <c r="F25715" t="s">
        <v>371</v>
      </c>
      <c r="G25715">
        <v>374.8</v>
      </c>
      <c r="H25715">
        <v>250509</v>
      </c>
      <c r="I25715">
        <v>4425</v>
      </c>
      <c r="J25715" t="s">
        <v>870</v>
      </c>
      <c r="K25715">
        <v>732.6</v>
      </c>
      <c r="L25715">
        <v>46.03</v>
      </c>
      <c r="M25715">
        <v>66756</v>
      </c>
      <c r="N25715" t="s">
        <v>120</v>
      </c>
      <c r="O25715">
        <v>250515</v>
      </c>
      <c r="P25715">
        <v>328.77</v>
      </c>
    </row>
    <row r="25716" spans="1:16" x14ac:dyDescent="0.25">
      <c r="A25716" t="s">
        <v>3296</v>
      </c>
      <c r="B25716" t="s">
        <v>2931</v>
      </c>
      <c r="C25716">
        <v>7232</v>
      </c>
      <c r="D25716" t="str">
        <f>"2050131276  "</f>
        <v xml:space="preserve">2050131276  </v>
      </c>
      <c r="E25716" t="s">
        <v>370</v>
      </c>
      <c r="F25716" t="s">
        <v>371</v>
      </c>
      <c r="G25716">
        <v>47.8</v>
      </c>
      <c r="H25716">
        <v>250516</v>
      </c>
      <c r="I25716">
        <v>4425</v>
      </c>
      <c r="J25716" t="s">
        <v>870</v>
      </c>
      <c r="K25716">
        <v>327.60000000000002</v>
      </c>
      <c r="L25716">
        <v>5.87</v>
      </c>
      <c r="M25716">
        <v>11901</v>
      </c>
      <c r="N25716" t="s">
        <v>31</v>
      </c>
      <c r="O25716">
        <v>250527</v>
      </c>
      <c r="P25716">
        <v>41.93</v>
      </c>
    </row>
    <row r="25717" spans="1:16" x14ac:dyDescent="0.25">
      <c r="A25717" t="s">
        <v>3296</v>
      </c>
      <c r="B25717" t="s">
        <v>2931</v>
      </c>
      <c r="C25717">
        <v>7428</v>
      </c>
      <c r="D25717" t="str">
        <f>"2050133298  "</f>
        <v xml:space="preserve">2050133298  </v>
      </c>
      <c r="E25717" t="s">
        <v>370</v>
      </c>
      <c r="F25717" t="s">
        <v>371</v>
      </c>
      <c r="G25717">
        <v>18.7</v>
      </c>
      <c r="H25717">
        <v>250523</v>
      </c>
      <c r="I25717">
        <v>4425</v>
      </c>
      <c r="J25717" t="s">
        <v>870</v>
      </c>
      <c r="K25717">
        <v>90.3</v>
      </c>
      <c r="L25717">
        <v>2.2999999999999998</v>
      </c>
      <c r="M25717">
        <v>59702</v>
      </c>
      <c r="N25717" t="s">
        <v>45</v>
      </c>
      <c r="O25717">
        <v>250603</v>
      </c>
      <c r="P25717">
        <v>16.399999999999999</v>
      </c>
    </row>
    <row r="25718" spans="1:16" x14ac:dyDescent="0.25">
      <c r="A25718" t="s">
        <v>3296</v>
      </c>
      <c r="B25718" t="s">
        <v>2931</v>
      </c>
      <c r="C25718">
        <v>7428</v>
      </c>
      <c r="D25718" t="str">
        <f>"2050133298  "</f>
        <v xml:space="preserve">2050133298  </v>
      </c>
      <c r="E25718" t="s">
        <v>370</v>
      </c>
      <c r="F25718" t="s">
        <v>371</v>
      </c>
      <c r="G25718">
        <v>35.799999999999997</v>
      </c>
      <c r="H25718">
        <v>250523</v>
      </c>
      <c r="I25718">
        <v>4425</v>
      </c>
      <c r="J25718" t="s">
        <v>870</v>
      </c>
      <c r="K25718">
        <v>90.3</v>
      </c>
      <c r="L25718">
        <v>4.4000000000000004</v>
      </c>
      <c r="M25718">
        <v>69112</v>
      </c>
      <c r="N25718" t="s">
        <v>227</v>
      </c>
      <c r="O25718">
        <v>250603</v>
      </c>
      <c r="P25718">
        <v>31.4</v>
      </c>
    </row>
    <row r="25719" spans="1:16" x14ac:dyDescent="0.25">
      <c r="A25719" t="s">
        <v>3296</v>
      </c>
      <c r="B25719" t="s">
        <v>2931</v>
      </c>
      <c r="C25719">
        <v>7428</v>
      </c>
      <c r="D25719" t="str">
        <f>"2050133298  "</f>
        <v xml:space="preserve">2050133298  </v>
      </c>
      <c r="E25719" t="s">
        <v>370</v>
      </c>
      <c r="F25719" t="s">
        <v>371</v>
      </c>
      <c r="G25719">
        <v>35.799999999999997</v>
      </c>
      <c r="H25719">
        <v>250523</v>
      </c>
      <c r="I25719">
        <v>4425</v>
      </c>
      <c r="J25719" t="s">
        <v>870</v>
      </c>
      <c r="K25719">
        <v>90.3</v>
      </c>
      <c r="L25719">
        <v>4.4000000000000004</v>
      </c>
      <c r="M25719">
        <v>69113</v>
      </c>
      <c r="N25719" t="s">
        <v>122</v>
      </c>
      <c r="O25719">
        <v>250603</v>
      </c>
      <c r="P25719">
        <v>31.4</v>
      </c>
    </row>
    <row r="25720" spans="1:16" x14ac:dyDescent="0.25">
      <c r="A25720" t="s">
        <v>3296</v>
      </c>
      <c r="B25720" t="s">
        <v>2931</v>
      </c>
      <c r="C25720">
        <v>10528</v>
      </c>
      <c r="D25720" t="str">
        <f>"2050143848  "</f>
        <v xml:space="preserve">2050143848  </v>
      </c>
      <c r="E25720" t="s">
        <v>370</v>
      </c>
      <c r="F25720" t="s">
        <v>371</v>
      </c>
      <c r="G25720">
        <v>34.299999999999997</v>
      </c>
      <c r="H25720">
        <v>250816</v>
      </c>
      <c r="I25720">
        <v>4425</v>
      </c>
      <c r="J25720" t="s">
        <v>870</v>
      </c>
      <c r="K25720">
        <v>95.7</v>
      </c>
      <c r="L25720">
        <v>4.21</v>
      </c>
      <c r="M25720">
        <v>14971</v>
      </c>
      <c r="N25720" t="s">
        <v>81</v>
      </c>
      <c r="O25720">
        <v>250820</v>
      </c>
      <c r="P25720">
        <v>30.09</v>
      </c>
    </row>
    <row r="25721" spans="1:16" x14ac:dyDescent="0.25">
      <c r="A25721" t="s">
        <v>3296</v>
      </c>
      <c r="B25721" t="s">
        <v>2931</v>
      </c>
      <c r="C25721">
        <v>10528</v>
      </c>
      <c r="D25721" t="str">
        <f>"2050143848  "</f>
        <v xml:space="preserve">2050143848  </v>
      </c>
      <c r="E25721" t="s">
        <v>370</v>
      </c>
      <c r="F25721" t="s">
        <v>371</v>
      </c>
      <c r="G25721">
        <v>61.4</v>
      </c>
      <c r="H25721">
        <v>250816</v>
      </c>
      <c r="I25721">
        <v>4425</v>
      </c>
      <c r="J25721" t="s">
        <v>870</v>
      </c>
      <c r="K25721">
        <v>95.7</v>
      </c>
      <c r="L25721">
        <v>7.54</v>
      </c>
      <c r="M25721">
        <v>18972</v>
      </c>
      <c r="N25721" t="s">
        <v>39</v>
      </c>
      <c r="O25721">
        <v>250820</v>
      </c>
      <c r="P25721">
        <v>53.86</v>
      </c>
    </row>
    <row r="25722" spans="1:16" x14ac:dyDescent="0.25">
      <c r="A25722" t="s">
        <v>3296</v>
      </c>
      <c r="B25722" t="s">
        <v>2931</v>
      </c>
      <c r="C25722">
        <v>11544</v>
      </c>
      <c r="D25722" t="str">
        <f>"2050146186  "</f>
        <v xml:space="preserve">2050146186  </v>
      </c>
      <c r="E25722" t="s">
        <v>370</v>
      </c>
      <c r="F25722" t="s">
        <v>371</v>
      </c>
      <c r="G25722">
        <v>287.39999999999998</v>
      </c>
      <c r="H25722">
        <v>250830</v>
      </c>
      <c r="I25722">
        <v>4425</v>
      </c>
      <c r="J25722" t="s">
        <v>870</v>
      </c>
      <c r="K25722">
        <v>364.7</v>
      </c>
      <c r="L25722">
        <v>35.29</v>
      </c>
      <c r="M25722">
        <v>11905</v>
      </c>
      <c r="N25722" t="s">
        <v>643</v>
      </c>
      <c r="O25722">
        <v>250908</v>
      </c>
      <c r="P25722">
        <v>252.11</v>
      </c>
    </row>
    <row r="25723" spans="1:16" x14ac:dyDescent="0.25">
      <c r="A25723" t="s">
        <v>3296</v>
      </c>
      <c r="B25723" t="s">
        <v>2931</v>
      </c>
      <c r="C25723">
        <v>11544</v>
      </c>
      <c r="D25723" t="str">
        <f>"2050146186  "</f>
        <v xml:space="preserve">2050146186  </v>
      </c>
      <c r="E25723" t="s">
        <v>370</v>
      </c>
      <c r="F25723" t="s">
        <v>371</v>
      </c>
      <c r="G25723">
        <v>19.8</v>
      </c>
      <c r="H25723">
        <v>250830</v>
      </c>
      <c r="I25723">
        <v>4425</v>
      </c>
      <c r="J25723" t="s">
        <v>870</v>
      </c>
      <c r="K25723">
        <v>364.7</v>
      </c>
      <c r="L25723">
        <v>2.4300000000000002</v>
      </c>
      <c r="M25723">
        <v>12500</v>
      </c>
      <c r="N25723" t="s">
        <v>1502</v>
      </c>
      <c r="O25723">
        <v>250908</v>
      </c>
      <c r="P25723">
        <v>17.37</v>
      </c>
    </row>
    <row r="25724" spans="1:16" x14ac:dyDescent="0.25">
      <c r="A25724" t="s">
        <v>3296</v>
      </c>
      <c r="B25724" t="s">
        <v>2931</v>
      </c>
      <c r="C25724">
        <v>12706</v>
      </c>
      <c r="D25724" t="str">
        <f>"2050150660  "</f>
        <v xml:space="preserve">2050150660  </v>
      </c>
      <c r="E25724" t="s">
        <v>370</v>
      </c>
      <c r="F25724" t="s">
        <v>371</v>
      </c>
      <c r="G25724">
        <v>45.8</v>
      </c>
      <c r="H25724">
        <v>250920</v>
      </c>
      <c r="I25724">
        <v>4425</v>
      </c>
      <c r="J25724" t="s">
        <v>870</v>
      </c>
      <c r="K25724">
        <v>284</v>
      </c>
      <c r="L25724">
        <v>5.62</v>
      </c>
      <c r="M25724">
        <v>18972</v>
      </c>
      <c r="N25724" t="s">
        <v>39</v>
      </c>
      <c r="O25724">
        <v>250929</v>
      </c>
      <c r="P25724">
        <v>40.18</v>
      </c>
    </row>
    <row r="25725" spans="1:16" x14ac:dyDescent="0.25">
      <c r="A25725" t="s">
        <v>3296</v>
      </c>
      <c r="B25725" t="s">
        <v>2931</v>
      </c>
      <c r="C25725">
        <v>13267</v>
      </c>
      <c r="D25725" t="str">
        <f>"2050154458  "</f>
        <v xml:space="preserve">2050154458  </v>
      </c>
      <c r="E25725" t="s">
        <v>370</v>
      </c>
      <c r="F25725" t="s">
        <v>371</v>
      </c>
      <c r="G25725">
        <v>36.799999999999997</v>
      </c>
      <c r="H25725">
        <v>251004</v>
      </c>
      <c r="I25725">
        <v>4425</v>
      </c>
      <c r="J25725" t="s">
        <v>870</v>
      </c>
      <c r="K25725">
        <v>36.799999999999997</v>
      </c>
      <c r="L25725">
        <v>4.5199999999999996</v>
      </c>
      <c r="M25725">
        <v>13940</v>
      </c>
      <c r="N25725" t="s">
        <v>14</v>
      </c>
      <c r="O25725">
        <v>251007</v>
      </c>
      <c r="P25725">
        <v>32.28</v>
      </c>
    </row>
    <row r="25726" spans="1:16" x14ac:dyDescent="0.25">
      <c r="A25726" t="s">
        <v>3296</v>
      </c>
      <c r="B25726" t="s">
        <v>2931</v>
      </c>
      <c r="C25726">
        <v>14327</v>
      </c>
      <c r="D25726" t="str">
        <f>"2050157647  "</f>
        <v xml:space="preserve">2050157647  </v>
      </c>
      <c r="E25726" t="s">
        <v>370</v>
      </c>
      <c r="F25726" t="s">
        <v>371</v>
      </c>
      <c r="G25726">
        <v>161.1</v>
      </c>
      <c r="H25726">
        <v>251025</v>
      </c>
      <c r="I25726">
        <v>4425</v>
      </c>
      <c r="J25726" t="s">
        <v>870</v>
      </c>
      <c r="K25726">
        <v>557.70000000000005</v>
      </c>
      <c r="L25726">
        <v>19.78</v>
      </c>
      <c r="M25726">
        <v>11801</v>
      </c>
      <c r="N25726" t="s">
        <v>40</v>
      </c>
      <c r="O25726">
        <v>251029</v>
      </c>
      <c r="P25726">
        <v>141.32</v>
      </c>
    </row>
    <row r="25727" spans="1:16" x14ac:dyDescent="0.25">
      <c r="A25727" t="s">
        <v>3296</v>
      </c>
      <c r="B25727" t="s">
        <v>2931</v>
      </c>
      <c r="C25727">
        <v>14327</v>
      </c>
      <c r="D25727" t="str">
        <f>"2050157647  "</f>
        <v xml:space="preserve">2050157647  </v>
      </c>
      <c r="E25727" t="s">
        <v>370</v>
      </c>
      <c r="F25727" t="s">
        <v>371</v>
      </c>
      <c r="G25727">
        <v>88.5</v>
      </c>
      <c r="H25727">
        <v>251025</v>
      </c>
      <c r="I25727">
        <v>4425</v>
      </c>
      <c r="J25727" t="s">
        <v>870</v>
      </c>
      <c r="K25727">
        <v>557.70000000000005</v>
      </c>
      <c r="L25727">
        <v>10.87</v>
      </c>
      <c r="M25727">
        <v>14640</v>
      </c>
      <c r="N25727" t="s">
        <v>78</v>
      </c>
      <c r="O25727">
        <v>251029</v>
      </c>
      <c r="P25727">
        <v>77.63</v>
      </c>
    </row>
    <row r="25728" spans="1:16" x14ac:dyDescent="0.25">
      <c r="A25728" t="s">
        <v>3296</v>
      </c>
      <c r="B25728" t="s">
        <v>2931</v>
      </c>
      <c r="C25728">
        <v>14327</v>
      </c>
      <c r="D25728" t="str">
        <f>"2050157647  "</f>
        <v xml:space="preserve">2050157647  </v>
      </c>
      <c r="E25728" t="s">
        <v>370</v>
      </c>
      <c r="F25728" t="s">
        <v>371</v>
      </c>
      <c r="G25728">
        <v>39.700000000000003</v>
      </c>
      <c r="H25728">
        <v>251025</v>
      </c>
      <c r="I25728">
        <v>4425</v>
      </c>
      <c r="J25728" t="s">
        <v>870</v>
      </c>
      <c r="K25728">
        <v>557.70000000000005</v>
      </c>
      <c r="L25728">
        <v>4.88</v>
      </c>
      <c r="M25728">
        <v>17131</v>
      </c>
      <c r="N25728" t="s">
        <v>154</v>
      </c>
      <c r="O25728">
        <v>251029</v>
      </c>
      <c r="P25728">
        <v>34.82</v>
      </c>
    </row>
    <row r="25729" spans="1:16" x14ac:dyDescent="0.25">
      <c r="A25729" t="s">
        <v>3296</v>
      </c>
      <c r="B25729" t="s">
        <v>2931</v>
      </c>
      <c r="C25729">
        <v>16259</v>
      </c>
      <c r="D25729" t="str">
        <f>"2050165265  "</f>
        <v xml:space="preserve">2050165265  </v>
      </c>
      <c r="E25729" t="s">
        <v>370</v>
      </c>
      <c r="F25729" t="s">
        <v>371</v>
      </c>
      <c r="G25729">
        <v>97.3</v>
      </c>
      <c r="H25729">
        <v>251129</v>
      </c>
      <c r="I25729">
        <v>4425</v>
      </c>
      <c r="J25729" t="s">
        <v>870</v>
      </c>
      <c r="K25729">
        <v>206.3</v>
      </c>
      <c r="L25729">
        <v>11.95</v>
      </c>
      <c r="M25729">
        <v>14640</v>
      </c>
      <c r="N25729" t="s">
        <v>78</v>
      </c>
      <c r="O25729">
        <v>251205</v>
      </c>
      <c r="P25729">
        <v>85.35</v>
      </c>
    </row>
    <row r="25730" spans="1:16" x14ac:dyDescent="0.25">
      <c r="A25730" t="s">
        <v>3296</v>
      </c>
      <c r="B25730" t="s">
        <v>2931</v>
      </c>
      <c r="C25730">
        <v>17792</v>
      </c>
      <c r="D25730" t="str">
        <f>"2050168826  "</f>
        <v xml:space="preserve">2050168826  </v>
      </c>
      <c r="E25730" t="s">
        <v>370</v>
      </c>
      <c r="F25730" t="s">
        <v>371</v>
      </c>
      <c r="G25730">
        <v>84</v>
      </c>
      <c r="H25730">
        <v>251220</v>
      </c>
      <c r="I25730">
        <v>4425</v>
      </c>
      <c r="J25730" t="s">
        <v>870</v>
      </c>
      <c r="K25730">
        <v>415.5</v>
      </c>
      <c r="L25730">
        <v>10.32</v>
      </c>
      <c r="M25730">
        <v>14972</v>
      </c>
      <c r="N25730" t="s">
        <v>82</v>
      </c>
      <c r="O25730">
        <v>251230</v>
      </c>
      <c r="P25730">
        <v>73.680000000000007</v>
      </c>
    </row>
    <row r="25731" spans="1:16" x14ac:dyDescent="0.25">
      <c r="A25731" t="s">
        <v>3296</v>
      </c>
      <c r="B25731" t="s">
        <v>2931</v>
      </c>
      <c r="C25731">
        <v>300</v>
      </c>
      <c r="D25731" t="str">
        <f>"174         "</f>
        <v xml:space="preserve">174         </v>
      </c>
      <c r="E25731" t="s">
        <v>399</v>
      </c>
      <c r="F25731" t="s">
        <v>400</v>
      </c>
      <c r="G25731">
        <v>327.56</v>
      </c>
      <c r="H25731">
        <v>250113</v>
      </c>
      <c r="I25731">
        <v>4440</v>
      </c>
      <c r="J25731" t="s">
        <v>346</v>
      </c>
      <c r="K25731">
        <v>327.56</v>
      </c>
      <c r="L25731">
        <v>66.56</v>
      </c>
      <c r="M25731">
        <v>17132</v>
      </c>
      <c r="N25731" t="s">
        <v>174</v>
      </c>
      <c r="O25731">
        <v>250121</v>
      </c>
      <c r="P25731">
        <v>261</v>
      </c>
    </row>
    <row r="25732" spans="1:16" x14ac:dyDescent="0.25">
      <c r="A25732" t="s">
        <v>3296</v>
      </c>
      <c r="B25732" t="s">
        <v>2931</v>
      </c>
      <c r="C25732">
        <v>572</v>
      </c>
      <c r="D25732" t="str">
        <f>"1361216799  "</f>
        <v xml:space="preserve">1361216799  </v>
      </c>
      <c r="E25732" t="s">
        <v>595</v>
      </c>
      <c r="F25732" t="s">
        <v>596</v>
      </c>
      <c r="G25732">
        <v>43.37</v>
      </c>
      <c r="H25732">
        <v>250121</v>
      </c>
      <c r="I25732">
        <v>4580</v>
      </c>
      <c r="J25732" t="s">
        <v>126</v>
      </c>
      <c r="K25732">
        <v>43.37</v>
      </c>
      <c r="L25732">
        <v>8.81</v>
      </c>
      <c r="M25732">
        <v>17805</v>
      </c>
      <c r="N25732" t="s">
        <v>21</v>
      </c>
      <c r="O25732">
        <v>250124</v>
      </c>
      <c r="P25732">
        <v>34.56</v>
      </c>
    </row>
    <row r="25733" spans="1:16" x14ac:dyDescent="0.25">
      <c r="A25733" t="s">
        <v>3296</v>
      </c>
      <c r="B25733" t="s">
        <v>2931</v>
      </c>
      <c r="C25733">
        <v>3019</v>
      </c>
      <c r="D25733" t="str">
        <f>"1194        "</f>
        <v xml:space="preserve">1194        </v>
      </c>
      <c r="E25733" t="s">
        <v>439</v>
      </c>
      <c r="F25733" t="s">
        <v>440</v>
      </c>
      <c r="G25733">
        <v>58.52</v>
      </c>
      <c r="H25733">
        <v>250228</v>
      </c>
      <c r="I25733">
        <v>4590</v>
      </c>
      <c r="J25733" t="s">
        <v>388</v>
      </c>
      <c r="K25733">
        <v>58.52</v>
      </c>
      <c r="L25733">
        <v>11.89</v>
      </c>
      <c r="M25733">
        <v>46556</v>
      </c>
      <c r="N25733" t="s">
        <v>458</v>
      </c>
      <c r="O25733">
        <v>250314</v>
      </c>
      <c r="P25733">
        <v>46.63</v>
      </c>
    </row>
    <row r="25734" spans="1:16" x14ac:dyDescent="0.25">
      <c r="A25734" t="s">
        <v>3296</v>
      </c>
      <c r="B25734" t="s">
        <v>2931</v>
      </c>
      <c r="C25734">
        <v>11874</v>
      </c>
      <c r="D25734" t="str">
        <f>"1431        "</f>
        <v xml:space="preserve">1431        </v>
      </c>
      <c r="E25734" t="s">
        <v>439</v>
      </c>
      <c r="F25734" t="s">
        <v>440</v>
      </c>
      <c r="G25734">
        <v>450.5</v>
      </c>
      <c r="H25734">
        <v>250831</v>
      </c>
      <c r="I25734">
        <v>4590</v>
      </c>
      <c r="J25734" t="s">
        <v>388</v>
      </c>
      <c r="K25734">
        <v>450.5</v>
      </c>
      <c r="L25734">
        <v>91.54</v>
      </c>
      <c r="M25734">
        <v>49501</v>
      </c>
      <c r="N25734" t="s">
        <v>110</v>
      </c>
      <c r="O25734">
        <v>250911</v>
      </c>
      <c r="P25734">
        <v>358.96</v>
      </c>
    </row>
    <row r="25735" spans="1:16" x14ac:dyDescent="0.25">
      <c r="A25735" t="s">
        <v>3296</v>
      </c>
      <c r="B25735" t="s">
        <v>2931</v>
      </c>
      <c r="C25735">
        <v>15459</v>
      </c>
      <c r="D25735" t="str">
        <f>"1513        "</f>
        <v xml:space="preserve">1513        </v>
      </c>
      <c r="E25735" t="s">
        <v>439</v>
      </c>
      <c r="F25735" t="s">
        <v>440</v>
      </c>
      <c r="G25735">
        <v>128.04</v>
      </c>
      <c r="H25735">
        <v>251117</v>
      </c>
      <c r="I25735">
        <v>4590</v>
      </c>
      <c r="J25735" t="s">
        <v>388</v>
      </c>
      <c r="K25735">
        <v>128.04</v>
      </c>
      <c r="L25735">
        <v>26.02</v>
      </c>
      <c r="M25735">
        <v>46556</v>
      </c>
      <c r="N25735" t="s">
        <v>458</v>
      </c>
      <c r="O25735">
        <v>251120</v>
      </c>
      <c r="P25735">
        <v>102.02</v>
      </c>
    </row>
    <row r="25736" spans="1:16" x14ac:dyDescent="0.25">
      <c r="A25736" t="s">
        <v>3296</v>
      </c>
      <c r="B25736" t="s">
        <v>2931</v>
      </c>
      <c r="C25736">
        <v>17197</v>
      </c>
      <c r="D25736" t="str">
        <f>"1539        "</f>
        <v xml:space="preserve">1539        </v>
      </c>
      <c r="E25736" t="s">
        <v>439</v>
      </c>
      <c r="F25736" t="s">
        <v>440</v>
      </c>
      <c r="G25736">
        <v>94.96</v>
      </c>
      <c r="H25736">
        <v>251215</v>
      </c>
      <c r="I25736">
        <v>4590</v>
      </c>
      <c r="J25736" t="s">
        <v>388</v>
      </c>
      <c r="K25736">
        <v>94.96</v>
      </c>
      <c r="L25736">
        <v>19.29</v>
      </c>
      <c r="M25736">
        <v>46556</v>
      </c>
      <c r="N25736" t="s">
        <v>458</v>
      </c>
      <c r="O25736">
        <v>251218</v>
      </c>
      <c r="P25736">
        <v>75.67</v>
      </c>
    </row>
    <row r="25737" spans="1:16" x14ac:dyDescent="0.25">
      <c r="A25737" t="s">
        <v>3296</v>
      </c>
      <c r="B25737" t="s">
        <v>2931</v>
      </c>
      <c r="C25737">
        <v>17795</v>
      </c>
      <c r="D25737" t="str">
        <f>"1550        "</f>
        <v xml:space="preserve">1550        </v>
      </c>
      <c r="E25737" t="s">
        <v>439</v>
      </c>
      <c r="F25737" t="s">
        <v>440</v>
      </c>
      <c r="G25737">
        <v>684</v>
      </c>
      <c r="H25737">
        <v>251222</v>
      </c>
      <c r="I25737">
        <v>4590</v>
      </c>
      <c r="J25737" t="s">
        <v>388</v>
      </c>
      <c r="K25737">
        <v>684</v>
      </c>
      <c r="L25737">
        <v>138.97999999999999</v>
      </c>
      <c r="M25737">
        <v>46554</v>
      </c>
      <c r="N25737" t="s">
        <v>102</v>
      </c>
      <c r="O25737">
        <v>251230</v>
      </c>
      <c r="P25737">
        <v>545.02</v>
      </c>
    </row>
    <row r="25738" spans="1:16" x14ac:dyDescent="0.25">
      <c r="A25738" t="s">
        <v>3296</v>
      </c>
      <c r="B25738" t="s">
        <v>2931</v>
      </c>
      <c r="C25738">
        <v>344</v>
      </c>
      <c r="D25738" t="str">
        <f>"1142        "</f>
        <v xml:space="preserve">1142        </v>
      </c>
      <c r="E25738" t="s">
        <v>439</v>
      </c>
      <c r="F25738" t="s">
        <v>440</v>
      </c>
      <c r="G25738">
        <v>88.56</v>
      </c>
      <c r="H25738">
        <v>250113</v>
      </c>
      <c r="I25738">
        <v>4600</v>
      </c>
      <c r="J25738" t="s">
        <v>278</v>
      </c>
      <c r="K25738">
        <v>88.56</v>
      </c>
      <c r="L25738">
        <v>17.989999999999998</v>
      </c>
      <c r="M25738">
        <v>46554</v>
      </c>
      <c r="N25738" t="s">
        <v>102</v>
      </c>
      <c r="O25738">
        <v>250122</v>
      </c>
      <c r="P25738">
        <v>70.569999999999993</v>
      </c>
    </row>
    <row r="25739" spans="1:16" x14ac:dyDescent="0.25">
      <c r="A25739" t="s">
        <v>3296</v>
      </c>
      <c r="B25739" t="s">
        <v>2931</v>
      </c>
      <c r="C25739">
        <v>703</v>
      </c>
      <c r="D25739" t="str">
        <f>"1146        "</f>
        <v xml:space="preserve">1146        </v>
      </c>
      <c r="E25739" t="s">
        <v>439</v>
      </c>
      <c r="F25739" t="s">
        <v>440</v>
      </c>
      <c r="G25739">
        <v>407.68</v>
      </c>
      <c r="H25739">
        <v>250120</v>
      </c>
      <c r="I25739">
        <v>4600</v>
      </c>
      <c r="J25739" t="s">
        <v>278</v>
      </c>
      <c r="K25739">
        <v>407.68</v>
      </c>
      <c r="L25739">
        <v>82.84</v>
      </c>
      <c r="M25739">
        <v>46554</v>
      </c>
      <c r="N25739" t="s">
        <v>102</v>
      </c>
      <c r="O25739">
        <v>250128</v>
      </c>
      <c r="P25739">
        <v>324.83999999999997</v>
      </c>
    </row>
    <row r="25740" spans="1:16" x14ac:dyDescent="0.25">
      <c r="A25740" t="s">
        <v>3296</v>
      </c>
      <c r="B25740" t="s">
        <v>2931</v>
      </c>
      <c r="C25740">
        <v>4421</v>
      </c>
      <c r="D25740" t="str">
        <f>"1213        "</f>
        <v xml:space="preserve">1213        </v>
      </c>
      <c r="E25740" t="s">
        <v>439</v>
      </c>
      <c r="F25740" t="s">
        <v>440</v>
      </c>
      <c r="G25740">
        <v>42.32</v>
      </c>
      <c r="H25740">
        <v>250331</v>
      </c>
      <c r="I25740">
        <v>4600</v>
      </c>
      <c r="J25740" t="s">
        <v>278</v>
      </c>
      <c r="K25740">
        <v>42.32</v>
      </c>
      <c r="L25740">
        <v>8.6</v>
      </c>
      <c r="M25740">
        <v>49501</v>
      </c>
      <c r="N25740" t="s">
        <v>110</v>
      </c>
      <c r="O25740">
        <v>250411</v>
      </c>
      <c r="P25740">
        <v>33.72</v>
      </c>
    </row>
    <row r="25741" spans="1:16" x14ac:dyDescent="0.25">
      <c r="A25741" t="s">
        <v>3296</v>
      </c>
      <c r="B25741" t="s">
        <v>2931</v>
      </c>
      <c r="C25741">
        <v>5907</v>
      </c>
      <c r="D25741" t="str">
        <f>"1249        "</f>
        <v xml:space="preserve">1249        </v>
      </c>
      <c r="E25741" t="s">
        <v>439</v>
      </c>
      <c r="F25741" t="s">
        <v>440</v>
      </c>
      <c r="G25741">
        <v>326</v>
      </c>
      <c r="H25741">
        <v>250428</v>
      </c>
      <c r="I25741">
        <v>4600</v>
      </c>
      <c r="J25741" t="s">
        <v>278</v>
      </c>
      <c r="K25741">
        <v>326</v>
      </c>
      <c r="L25741">
        <v>66.239999999999995</v>
      </c>
      <c r="M25741">
        <v>46554</v>
      </c>
      <c r="N25741" t="s">
        <v>102</v>
      </c>
      <c r="O25741">
        <v>250507</v>
      </c>
      <c r="P25741">
        <v>259.76</v>
      </c>
    </row>
    <row r="25742" spans="1:16" x14ac:dyDescent="0.25">
      <c r="A25742" t="s">
        <v>3296</v>
      </c>
      <c r="B25742" t="s">
        <v>2931</v>
      </c>
      <c r="C25742">
        <v>7565</v>
      </c>
      <c r="D25742" t="str">
        <f>"1280        "</f>
        <v xml:space="preserve">1280        </v>
      </c>
      <c r="E25742" t="s">
        <v>439</v>
      </c>
      <c r="F25742" t="s">
        <v>440</v>
      </c>
      <c r="G25742">
        <v>207.12</v>
      </c>
      <c r="H25742">
        <v>250526</v>
      </c>
      <c r="I25742">
        <v>4600</v>
      </c>
      <c r="J25742" t="s">
        <v>278</v>
      </c>
      <c r="K25742">
        <v>207.12</v>
      </c>
      <c r="L25742">
        <v>42.08</v>
      </c>
      <c r="M25742">
        <v>46554</v>
      </c>
      <c r="N25742" t="s">
        <v>102</v>
      </c>
      <c r="O25742">
        <v>250604</v>
      </c>
      <c r="P25742">
        <v>165.04</v>
      </c>
    </row>
    <row r="25743" spans="1:16" x14ac:dyDescent="0.25">
      <c r="A25743" t="s">
        <v>3296</v>
      </c>
      <c r="B25743" t="s">
        <v>2931</v>
      </c>
      <c r="C25743">
        <v>10815</v>
      </c>
      <c r="D25743" t="str">
        <f>"1414        "</f>
        <v xml:space="preserve">1414        </v>
      </c>
      <c r="E25743" t="s">
        <v>439</v>
      </c>
      <c r="F25743" t="s">
        <v>440</v>
      </c>
      <c r="G25743">
        <v>383.2</v>
      </c>
      <c r="H25743">
        <v>250818</v>
      </c>
      <c r="I25743">
        <v>4600</v>
      </c>
      <c r="J25743" t="s">
        <v>278</v>
      </c>
      <c r="K25743">
        <v>383.2</v>
      </c>
      <c r="L25743">
        <v>77.86</v>
      </c>
      <c r="M25743">
        <v>46554</v>
      </c>
      <c r="N25743" t="s">
        <v>102</v>
      </c>
      <c r="O25743">
        <v>250825</v>
      </c>
      <c r="P25743">
        <v>305.33999999999997</v>
      </c>
    </row>
    <row r="25744" spans="1:16" x14ac:dyDescent="0.25">
      <c r="A25744" t="s">
        <v>3296</v>
      </c>
      <c r="B25744" t="s">
        <v>2931</v>
      </c>
      <c r="C25744">
        <v>12970</v>
      </c>
      <c r="D25744" t="str">
        <f>"1455        "</f>
        <v xml:space="preserve">1455        </v>
      </c>
      <c r="E25744" t="s">
        <v>439</v>
      </c>
      <c r="F25744" t="s">
        <v>440</v>
      </c>
      <c r="G25744">
        <v>163.80000000000001</v>
      </c>
      <c r="H25744">
        <v>250929</v>
      </c>
      <c r="I25744">
        <v>4600</v>
      </c>
      <c r="J25744" t="s">
        <v>278</v>
      </c>
      <c r="K25744">
        <v>163.80000000000001</v>
      </c>
      <c r="L25744">
        <v>33.28</v>
      </c>
      <c r="M25744">
        <v>46554</v>
      </c>
      <c r="N25744" t="s">
        <v>102</v>
      </c>
      <c r="O25744">
        <v>251003</v>
      </c>
      <c r="P25744">
        <v>130.52000000000001</v>
      </c>
    </row>
    <row r="25745" spans="1:16" x14ac:dyDescent="0.25">
      <c r="A25745" t="s">
        <v>3296</v>
      </c>
      <c r="B25745" t="s">
        <v>2931</v>
      </c>
      <c r="C25745">
        <v>140</v>
      </c>
      <c r="D25745" t="str">
        <f>"47940       "</f>
        <v xml:space="preserve">47940       </v>
      </c>
      <c r="E25745" t="s">
        <v>257</v>
      </c>
      <c r="F25745" t="s">
        <v>258</v>
      </c>
      <c r="G25745">
        <v>3997.18</v>
      </c>
      <c r="H25745">
        <v>250101</v>
      </c>
      <c r="I25745">
        <v>4367</v>
      </c>
      <c r="J25745" t="s">
        <v>159</v>
      </c>
      <c r="K25745">
        <v>3997.18</v>
      </c>
      <c r="L25745">
        <v>812.18</v>
      </c>
      <c r="M25745">
        <v>11801</v>
      </c>
      <c r="N25745" t="s">
        <v>40</v>
      </c>
      <c r="O25745">
        <v>250113</v>
      </c>
      <c r="P25745">
        <v>3185</v>
      </c>
    </row>
    <row r="25746" spans="1:16" x14ac:dyDescent="0.25">
      <c r="A25746" t="s">
        <v>3296</v>
      </c>
      <c r="B25746" t="s">
        <v>2931</v>
      </c>
      <c r="C25746">
        <v>6031</v>
      </c>
      <c r="D25746" t="str">
        <f>"965045      "</f>
        <v xml:space="preserve">965045      </v>
      </c>
      <c r="E25746" t="s">
        <v>1831</v>
      </c>
      <c r="F25746" t="s">
        <v>1832</v>
      </c>
      <c r="G25746">
        <v>20833</v>
      </c>
      <c r="H25746">
        <v>250430</v>
      </c>
      <c r="I25746">
        <v>1196</v>
      </c>
      <c r="J25746" t="s">
        <v>340</v>
      </c>
      <c r="K25746">
        <v>20833</v>
      </c>
      <c r="L25746">
        <v>4233</v>
      </c>
      <c r="M25746">
        <v>97501</v>
      </c>
      <c r="N25746" t="s">
        <v>1354</v>
      </c>
      <c r="O25746">
        <v>250508</v>
      </c>
      <c r="P25746">
        <v>16600</v>
      </c>
    </row>
    <row r="25747" spans="1:16" x14ac:dyDescent="0.25">
      <c r="A25747" t="s">
        <v>3296</v>
      </c>
      <c r="B25747" t="s">
        <v>2931</v>
      </c>
      <c r="C25747">
        <v>4337</v>
      </c>
      <c r="D25747" t="str">
        <f>"7346599709  "</f>
        <v xml:space="preserve">7346599709  </v>
      </c>
      <c r="E25747" t="s">
        <v>1622</v>
      </c>
      <c r="F25747" t="s">
        <v>1623</v>
      </c>
      <c r="G25747">
        <v>737.19</v>
      </c>
      <c r="H25747">
        <v>250313</v>
      </c>
      <c r="I25747">
        <v>4555</v>
      </c>
      <c r="J25747" t="s">
        <v>352</v>
      </c>
      <c r="K25747">
        <v>737.19</v>
      </c>
      <c r="L25747">
        <v>149.79</v>
      </c>
      <c r="M25747">
        <v>44453</v>
      </c>
      <c r="N25747" t="s">
        <v>100</v>
      </c>
      <c r="O25747">
        <v>250411</v>
      </c>
      <c r="P25747">
        <v>587.4</v>
      </c>
    </row>
    <row r="25748" spans="1:16" x14ac:dyDescent="0.25">
      <c r="A25748" t="s">
        <v>3296</v>
      </c>
      <c r="B25748" t="s">
        <v>2931</v>
      </c>
      <c r="C25748">
        <v>2593</v>
      </c>
      <c r="D25748" t="str">
        <f>"37371       "</f>
        <v xml:space="preserve">37371       </v>
      </c>
      <c r="E25748" t="s">
        <v>967</v>
      </c>
      <c r="F25748" t="s">
        <v>968</v>
      </c>
      <c r="G25748">
        <v>818.26</v>
      </c>
      <c r="H25748">
        <v>250220</v>
      </c>
      <c r="I25748">
        <v>4500</v>
      </c>
      <c r="J25748" t="s">
        <v>312</v>
      </c>
      <c r="K25748">
        <v>818.26</v>
      </c>
      <c r="L25748">
        <v>166.26</v>
      </c>
      <c r="M25748">
        <v>14432</v>
      </c>
      <c r="N25748" t="s">
        <v>75</v>
      </c>
      <c r="O25748">
        <v>250306</v>
      </c>
      <c r="P25748">
        <v>652</v>
      </c>
    </row>
    <row r="25749" spans="1:16" x14ac:dyDescent="0.25">
      <c r="A25749" t="s">
        <v>3296</v>
      </c>
      <c r="B25749" t="s">
        <v>2931</v>
      </c>
      <c r="C25749">
        <v>1369</v>
      </c>
      <c r="D25749" t="str">
        <f>"37172       "</f>
        <v xml:space="preserve">37172       </v>
      </c>
      <c r="E25749" t="s">
        <v>967</v>
      </c>
      <c r="F25749" t="s">
        <v>968</v>
      </c>
      <c r="G25749">
        <v>357.42</v>
      </c>
      <c r="H25749">
        <v>250205</v>
      </c>
      <c r="I25749">
        <v>4530</v>
      </c>
      <c r="J25749" t="s">
        <v>293</v>
      </c>
      <c r="K25749">
        <v>357.42</v>
      </c>
      <c r="L25749">
        <v>72.62</v>
      </c>
      <c r="M25749">
        <v>67522</v>
      </c>
      <c r="N25749" t="s">
        <v>121</v>
      </c>
      <c r="O25749">
        <v>250207</v>
      </c>
      <c r="P25749">
        <v>284.8</v>
      </c>
    </row>
    <row r="25750" spans="1:16" x14ac:dyDescent="0.25">
      <c r="A25750" t="s">
        <v>3296</v>
      </c>
      <c r="B25750" t="s">
        <v>2931</v>
      </c>
      <c r="C25750">
        <v>1640</v>
      </c>
      <c r="D25750" t="str">
        <f>"37100       "</f>
        <v xml:space="preserve">37100       </v>
      </c>
      <c r="E25750" t="s">
        <v>967</v>
      </c>
      <c r="F25750" t="s">
        <v>968</v>
      </c>
      <c r="G25750">
        <v>967.61</v>
      </c>
      <c r="H25750">
        <v>250131</v>
      </c>
      <c r="I25750">
        <v>4530</v>
      </c>
      <c r="J25750" t="s">
        <v>293</v>
      </c>
      <c r="K25750">
        <v>967.61</v>
      </c>
      <c r="L25750">
        <v>196.61</v>
      </c>
      <c r="M25750">
        <v>17521</v>
      </c>
      <c r="N25750" t="s">
        <v>136</v>
      </c>
      <c r="O25750">
        <v>250212</v>
      </c>
      <c r="P25750">
        <v>771</v>
      </c>
    </row>
    <row r="25751" spans="1:16" x14ac:dyDescent="0.25">
      <c r="A25751" t="s">
        <v>3296</v>
      </c>
      <c r="B25751" t="s">
        <v>2931</v>
      </c>
      <c r="C25751">
        <v>2651</v>
      </c>
      <c r="D25751" t="str">
        <f>"37462       "</f>
        <v xml:space="preserve">37462       </v>
      </c>
      <c r="E25751" t="s">
        <v>967</v>
      </c>
      <c r="F25751" t="s">
        <v>968</v>
      </c>
      <c r="G25751">
        <v>434.23</v>
      </c>
      <c r="H25751">
        <v>250225</v>
      </c>
      <c r="I25751">
        <v>4530</v>
      </c>
      <c r="J25751" t="s">
        <v>293</v>
      </c>
      <c r="K25751">
        <v>434.23</v>
      </c>
      <c r="L25751">
        <v>88.23</v>
      </c>
      <c r="M25751">
        <v>17521</v>
      </c>
      <c r="N25751" t="s">
        <v>136</v>
      </c>
      <c r="O25751">
        <v>250310</v>
      </c>
      <c r="P25751">
        <v>346</v>
      </c>
    </row>
    <row r="25752" spans="1:16" x14ac:dyDescent="0.25">
      <c r="A25752" t="s">
        <v>3296</v>
      </c>
      <c r="B25752" t="s">
        <v>2931</v>
      </c>
      <c r="C25752">
        <v>2927</v>
      </c>
      <c r="D25752" t="str">
        <f>"37632       "</f>
        <v xml:space="preserve">37632       </v>
      </c>
      <c r="E25752" t="s">
        <v>967</v>
      </c>
      <c r="F25752" t="s">
        <v>968</v>
      </c>
      <c r="G25752">
        <v>830.81</v>
      </c>
      <c r="H25752">
        <v>250228</v>
      </c>
      <c r="I25752">
        <v>4530</v>
      </c>
      <c r="J25752" t="s">
        <v>293</v>
      </c>
      <c r="K25752">
        <v>830.81</v>
      </c>
      <c r="L25752">
        <v>168.81</v>
      </c>
      <c r="M25752">
        <v>17521</v>
      </c>
      <c r="N25752" t="s">
        <v>136</v>
      </c>
      <c r="O25752">
        <v>250313</v>
      </c>
      <c r="P25752">
        <v>662</v>
      </c>
    </row>
    <row r="25753" spans="1:16" x14ac:dyDescent="0.25">
      <c r="A25753" t="s">
        <v>3296</v>
      </c>
      <c r="B25753" t="s">
        <v>2931</v>
      </c>
      <c r="C25753">
        <v>10600</v>
      </c>
      <c r="D25753" t="str">
        <f>"39470       "</f>
        <v xml:space="preserve">39470       </v>
      </c>
      <c r="E25753" t="s">
        <v>967</v>
      </c>
      <c r="F25753" t="s">
        <v>968</v>
      </c>
      <c r="G25753">
        <v>178.21</v>
      </c>
      <c r="H25753">
        <v>250819</v>
      </c>
      <c r="I25753">
        <v>4530</v>
      </c>
      <c r="J25753" t="s">
        <v>293</v>
      </c>
      <c r="K25753">
        <v>178.21</v>
      </c>
      <c r="L25753">
        <v>36.21</v>
      </c>
      <c r="M25753">
        <v>56522</v>
      </c>
      <c r="N25753" t="s">
        <v>68</v>
      </c>
      <c r="O25753">
        <v>250820</v>
      </c>
      <c r="P25753">
        <v>142</v>
      </c>
    </row>
    <row r="25754" spans="1:16" x14ac:dyDescent="0.25">
      <c r="A25754" t="s">
        <v>3296</v>
      </c>
      <c r="B25754" t="s">
        <v>2931</v>
      </c>
      <c r="C25754">
        <v>11078</v>
      </c>
      <c r="D25754" t="str">
        <f>"39596       "</f>
        <v xml:space="preserve">39596       </v>
      </c>
      <c r="E25754" t="s">
        <v>967</v>
      </c>
      <c r="F25754" t="s">
        <v>968</v>
      </c>
      <c r="G25754">
        <v>149.35</v>
      </c>
      <c r="H25754">
        <v>250826</v>
      </c>
      <c r="I25754">
        <v>4530</v>
      </c>
      <c r="J25754" t="s">
        <v>293</v>
      </c>
      <c r="K25754">
        <v>149.35</v>
      </c>
      <c r="L25754">
        <v>30.35</v>
      </c>
      <c r="M25754">
        <v>56565</v>
      </c>
      <c r="N25754" t="s">
        <v>57</v>
      </c>
      <c r="O25754">
        <v>250829</v>
      </c>
      <c r="P25754">
        <v>119</v>
      </c>
    </row>
    <row r="25755" spans="1:16" x14ac:dyDescent="0.25">
      <c r="A25755" t="s">
        <v>3296</v>
      </c>
      <c r="B25755" t="s">
        <v>2931</v>
      </c>
      <c r="C25755">
        <v>11150</v>
      </c>
      <c r="D25755" t="str">
        <f>"39598       "</f>
        <v xml:space="preserve">39598       </v>
      </c>
      <c r="E25755" t="s">
        <v>967</v>
      </c>
      <c r="F25755" t="s">
        <v>968</v>
      </c>
      <c r="G25755">
        <v>773.08</v>
      </c>
      <c r="H25755">
        <v>250826</v>
      </c>
      <c r="I25755">
        <v>4530</v>
      </c>
      <c r="J25755" t="s">
        <v>293</v>
      </c>
      <c r="K25755">
        <v>773.08</v>
      </c>
      <c r="L25755">
        <v>157.08000000000001</v>
      </c>
      <c r="M25755">
        <v>17803</v>
      </c>
      <c r="N25755" t="s">
        <v>19</v>
      </c>
      <c r="O25755">
        <v>250901</v>
      </c>
      <c r="P25755">
        <v>616</v>
      </c>
    </row>
    <row r="25756" spans="1:16" x14ac:dyDescent="0.25">
      <c r="A25756" t="s">
        <v>3296</v>
      </c>
      <c r="B25756" t="s">
        <v>2931</v>
      </c>
      <c r="C25756">
        <v>11369</v>
      </c>
      <c r="D25756" t="str">
        <f>"39734       "</f>
        <v xml:space="preserve">39734       </v>
      </c>
      <c r="E25756" t="s">
        <v>967</v>
      </c>
      <c r="F25756" t="s">
        <v>968</v>
      </c>
      <c r="G25756">
        <v>471.88</v>
      </c>
      <c r="H25756">
        <v>250829</v>
      </c>
      <c r="I25756">
        <v>4530</v>
      </c>
      <c r="J25756" t="s">
        <v>293</v>
      </c>
      <c r="K25756">
        <v>471.88</v>
      </c>
      <c r="L25756">
        <v>95.88</v>
      </c>
      <c r="M25756">
        <v>17804</v>
      </c>
      <c r="N25756" t="s">
        <v>20</v>
      </c>
      <c r="O25756">
        <v>250904</v>
      </c>
      <c r="P25756">
        <v>376</v>
      </c>
    </row>
    <row r="25757" spans="1:16" x14ac:dyDescent="0.25">
      <c r="A25757" t="s">
        <v>3296</v>
      </c>
      <c r="B25757" t="s">
        <v>2931</v>
      </c>
      <c r="C25757">
        <v>12823</v>
      </c>
      <c r="D25757" t="str">
        <f>"40123       "</f>
        <v xml:space="preserve">40123       </v>
      </c>
      <c r="E25757" t="s">
        <v>967</v>
      </c>
      <c r="F25757" t="s">
        <v>968</v>
      </c>
      <c r="G25757">
        <v>233.43</v>
      </c>
      <c r="H25757">
        <v>250926</v>
      </c>
      <c r="I25757">
        <v>4530</v>
      </c>
      <c r="J25757" t="s">
        <v>293</v>
      </c>
      <c r="K25757">
        <v>233.43</v>
      </c>
      <c r="L25757">
        <v>47.43</v>
      </c>
      <c r="M25757">
        <v>17804</v>
      </c>
      <c r="N25757" t="s">
        <v>20</v>
      </c>
      <c r="O25757">
        <v>250930</v>
      </c>
      <c r="P25757">
        <v>186</v>
      </c>
    </row>
    <row r="25758" spans="1:16" x14ac:dyDescent="0.25">
      <c r="A25758" t="s">
        <v>3296</v>
      </c>
      <c r="B25758" t="s">
        <v>2931</v>
      </c>
      <c r="C25758">
        <v>12913</v>
      </c>
      <c r="D25758" t="str">
        <f>"40142       "</f>
        <v xml:space="preserve">40142       </v>
      </c>
      <c r="E25758" t="s">
        <v>967</v>
      </c>
      <c r="F25758" t="s">
        <v>968</v>
      </c>
      <c r="G25758">
        <v>-184.49</v>
      </c>
      <c r="H25758">
        <v>250901</v>
      </c>
      <c r="I25758">
        <v>4530</v>
      </c>
      <c r="J25758" t="s">
        <v>293</v>
      </c>
      <c r="K25758">
        <v>-184.49</v>
      </c>
      <c r="L25758">
        <v>-37.49</v>
      </c>
      <c r="M25758">
        <v>66756</v>
      </c>
      <c r="N25758" t="s">
        <v>120</v>
      </c>
      <c r="O25758">
        <v>251002</v>
      </c>
      <c r="P25758">
        <v>-147</v>
      </c>
    </row>
    <row r="25759" spans="1:16" x14ac:dyDescent="0.25">
      <c r="A25759" t="s">
        <v>3296</v>
      </c>
      <c r="B25759" t="s">
        <v>2931</v>
      </c>
      <c r="C25759">
        <v>12914</v>
      </c>
      <c r="D25759" t="str">
        <f>"39863       "</f>
        <v xml:space="preserve">39863       </v>
      </c>
      <c r="E25759" t="s">
        <v>967</v>
      </c>
      <c r="F25759" t="s">
        <v>968</v>
      </c>
      <c r="G25759">
        <v>1048.3</v>
      </c>
      <c r="H25759">
        <v>250910</v>
      </c>
      <c r="I25759">
        <v>4530</v>
      </c>
      <c r="J25759" t="s">
        <v>293</v>
      </c>
      <c r="K25759">
        <v>1048.3</v>
      </c>
      <c r="L25759">
        <v>213</v>
      </c>
      <c r="M25759">
        <v>66756</v>
      </c>
      <c r="N25759" t="s">
        <v>120</v>
      </c>
      <c r="O25759">
        <v>251002</v>
      </c>
      <c r="P25759">
        <v>835.3</v>
      </c>
    </row>
    <row r="25760" spans="1:16" x14ac:dyDescent="0.25">
      <c r="A25760" t="s">
        <v>3296</v>
      </c>
      <c r="B25760" t="s">
        <v>2931</v>
      </c>
      <c r="C25760">
        <v>12915</v>
      </c>
      <c r="D25760" t="str">
        <f>"40015       "</f>
        <v xml:space="preserve">40015       </v>
      </c>
      <c r="E25760" t="s">
        <v>967</v>
      </c>
      <c r="F25760" t="s">
        <v>968</v>
      </c>
      <c r="G25760">
        <v>-158.63</v>
      </c>
      <c r="H25760">
        <v>250919</v>
      </c>
      <c r="I25760">
        <v>4530</v>
      </c>
      <c r="J25760" t="s">
        <v>293</v>
      </c>
      <c r="K25760">
        <v>-158.63</v>
      </c>
      <c r="L25760">
        <v>-32.229999999999997</v>
      </c>
      <c r="M25760">
        <v>66756</v>
      </c>
      <c r="N25760" t="s">
        <v>120</v>
      </c>
      <c r="O25760">
        <v>251002</v>
      </c>
      <c r="P25760">
        <v>-126.4</v>
      </c>
    </row>
    <row r="25761" spans="1:16" x14ac:dyDescent="0.25">
      <c r="A25761" t="s">
        <v>3296</v>
      </c>
      <c r="B25761" t="s">
        <v>2931</v>
      </c>
      <c r="C25761">
        <v>15171</v>
      </c>
      <c r="D25761" t="str">
        <f>"40675       "</f>
        <v xml:space="preserve">40675       </v>
      </c>
      <c r="E25761" t="s">
        <v>967</v>
      </c>
      <c r="F25761" t="s">
        <v>968</v>
      </c>
      <c r="G25761">
        <v>854.54</v>
      </c>
      <c r="H25761">
        <v>251107</v>
      </c>
      <c r="I25761">
        <v>4530</v>
      </c>
      <c r="J25761" t="s">
        <v>293</v>
      </c>
      <c r="K25761">
        <v>1170.54</v>
      </c>
      <c r="L25761">
        <v>173.63</v>
      </c>
      <c r="M25761">
        <v>67522</v>
      </c>
      <c r="N25761" t="s">
        <v>121</v>
      </c>
      <c r="O25761">
        <v>251113</v>
      </c>
      <c r="P25761">
        <v>680.91</v>
      </c>
    </row>
    <row r="25762" spans="1:16" x14ac:dyDescent="0.25">
      <c r="A25762" t="s">
        <v>3296</v>
      </c>
      <c r="B25762" t="s">
        <v>2931</v>
      </c>
      <c r="C25762">
        <v>15754</v>
      </c>
      <c r="D25762" t="str">
        <f>"40694       "</f>
        <v xml:space="preserve">40694       </v>
      </c>
      <c r="E25762" t="s">
        <v>967</v>
      </c>
      <c r="F25762" t="s">
        <v>968</v>
      </c>
      <c r="G25762">
        <v>500.49</v>
      </c>
      <c r="H25762">
        <v>251110</v>
      </c>
      <c r="I25762">
        <v>4530</v>
      </c>
      <c r="J25762" t="s">
        <v>293</v>
      </c>
      <c r="K25762">
        <v>500.49</v>
      </c>
      <c r="L25762">
        <v>101.69</v>
      </c>
      <c r="M25762">
        <v>17521</v>
      </c>
      <c r="N25762" t="s">
        <v>136</v>
      </c>
      <c r="O25762">
        <v>251126</v>
      </c>
      <c r="P25762">
        <v>398.8</v>
      </c>
    </row>
    <row r="25763" spans="1:16" x14ac:dyDescent="0.25">
      <c r="A25763" t="s">
        <v>3296</v>
      </c>
      <c r="B25763" t="s">
        <v>2931</v>
      </c>
      <c r="C25763">
        <v>17924</v>
      </c>
      <c r="D25763" t="str">
        <f>"41292       "</f>
        <v xml:space="preserve">41292       </v>
      </c>
      <c r="E25763" t="s">
        <v>967</v>
      </c>
      <c r="F25763" t="s">
        <v>968</v>
      </c>
      <c r="G25763">
        <v>184.49</v>
      </c>
      <c r="H25763">
        <v>251223</v>
      </c>
      <c r="I25763">
        <v>4530</v>
      </c>
      <c r="J25763" t="s">
        <v>293</v>
      </c>
      <c r="K25763">
        <v>184.49</v>
      </c>
      <c r="L25763">
        <v>37.49</v>
      </c>
      <c r="M25763">
        <v>67522</v>
      </c>
      <c r="N25763" t="s">
        <v>121</v>
      </c>
      <c r="O25763">
        <v>260107</v>
      </c>
      <c r="P25763">
        <v>147</v>
      </c>
    </row>
    <row r="25764" spans="1:16" x14ac:dyDescent="0.25">
      <c r="A25764" t="s">
        <v>3296</v>
      </c>
      <c r="B25764" t="s">
        <v>2931</v>
      </c>
      <c r="C25764">
        <v>4147</v>
      </c>
      <c r="D25764" t="str">
        <f>"37921       "</f>
        <v xml:space="preserve">37921       </v>
      </c>
      <c r="E25764" t="s">
        <v>967</v>
      </c>
      <c r="F25764" t="s">
        <v>968</v>
      </c>
      <c r="G25764">
        <v>136.80000000000001</v>
      </c>
      <c r="H25764">
        <v>250326</v>
      </c>
      <c r="I25764">
        <v>4580</v>
      </c>
      <c r="J25764" t="s">
        <v>126</v>
      </c>
      <c r="K25764">
        <v>136.80000000000001</v>
      </c>
      <c r="L25764">
        <v>27.8</v>
      </c>
      <c r="M25764">
        <v>17521</v>
      </c>
      <c r="N25764" t="s">
        <v>136</v>
      </c>
      <c r="O25764">
        <v>250408</v>
      </c>
      <c r="P25764">
        <v>109</v>
      </c>
    </row>
    <row r="25765" spans="1:16" x14ac:dyDescent="0.25">
      <c r="A25765" t="s">
        <v>3296</v>
      </c>
      <c r="B25765" t="s">
        <v>2931</v>
      </c>
      <c r="C25765">
        <v>15171</v>
      </c>
      <c r="D25765" t="str">
        <f>"40675       "</f>
        <v xml:space="preserve">40675       </v>
      </c>
      <c r="E25765" t="s">
        <v>967</v>
      </c>
      <c r="F25765" t="s">
        <v>968</v>
      </c>
      <c r="G25765">
        <v>316</v>
      </c>
      <c r="H25765">
        <v>251107</v>
      </c>
      <c r="I25765">
        <v>4580</v>
      </c>
      <c r="J25765" t="s">
        <v>126</v>
      </c>
      <c r="K25765">
        <v>1170.54</v>
      </c>
      <c r="L25765">
        <v>64.209999999999994</v>
      </c>
      <c r="M25765">
        <v>67522</v>
      </c>
      <c r="N25765" t="s">
        <v>121</v>
      </c>
      <c r="O25765">
        <v>251113</v>
      </c>
      <c r="P25765">
        <v>251.79</v>
      </c>
    </row>
    <row r="25766" spans="1:16" x14ac:dyDescent="0.25">
      <c r="A25766" t="s">
        <v>3296</v>
      </c>
      <c r="B25766" t="s">
        <v>2931</v>
      </c>
      <c r="C25766">
        <v>2567</v>
      </c>
      <c r="D25766" t="str">
        <f>"37296       "</f>
        <v xml:space="preserve">37296       </v>
      </c>
      <c r="E25766" t="s">
        <v>967</v>
      </c>
      <c r="F25766" t="s">
        <v>968</v>
      </c>
      <c r="G25766">
        <v>337.6</v>
      </c>
      <c r="H25766">
        <v>250213</v>
      </c>
      <c r="I25766">
        <v>4600</v>
      </c>
      <c r="J25766" t="s">
        <v>278</v>
      </c>
      <c r="K25766">
        <v>337.6</v>
      </c>
      <c r="L25766">
        <v>68.599999999999994</v>
      </c>
      <c r="M25766">
        <v>46554</v>
      </c>
      <c r="N25766" t="s">
        <v>102</v>
      </c>
      <c r="O25766">
        <v>250305</v>
      </c>
      <c r="P25766">
        <v>269</v>
      </c>
    </row>
    <row r="25767" spans="1:16" x14ac:dyDescent="0.25">
      <c r="A25767" t="s">
        <v>3296</v>
      </c>
      <c r="B25767" t="s">
        <v>2931</v>
      </c>
      <c r="C25767">
        <v>4123</v>
      </c>
      <c r="D25767" t="str">
        <f>"37911       "</f>
        <v xml:space="preserve">37911       </v>
      </c>
      <c r="E25767" t="s">
        <v>967</v>
      </c>
      <c r="F25767" t="s">
        <v>968</v>
      </c>
      <c r="G25767">
        <v>301.2</v>
      </c>
      <c r="H25767">
        <v>250325</v>
      </c>
      <c r="I25767">
        <v>4600</v>
      </c>
      <c r="J25767" t="s">
        <v>278</v>
      </c>
      <c r="K25767">
        <v>301.2</v>
      </c>
      <c r="L25767">
        <v>61.2</v>
      </c>
      <c r="M25767">
        <v>66756</v>
      </c>
      <c r="N25767" t="s">
        <v>120</v>
      </c>
      <c r="O25767">
        <v>250407</v>
      </c>
      <c r="P25767">
        <v>240</v>
      </c>
    </row>
    <row r="25768" spans="1:16" x14ac:dyDescent="0.25">
      <c r="A25768" t="s">
        <v>3296</v>
      </c>
      <c r="B25768" t="s">
        <v>2931</v>
      </c>
      <c r="C25768">
        <v>11137</v>
      </c>
      <c r="D25768" t="str">
        <f>"39455       "</f>
        <v xml:space="preserve">39455       </v>
      </c>
      <c r="E25768" t="s">
        <v>967</v>
      </c>
      <c r="F25768" t="s">
        <v>968</v>
      </c>
      <c r="G25768">
        <v>982.04</v>
      </c>
      <c r="H25768">
        <v>250818</v>
      </c>
      <c r="I25768">
        <v>4600</v>
      </c>
      <c r="J25768" t="s">
        <v>278</v>
      </c>
      <c r="K25768">
        <v>982.04</v>
      </c>
      <c r="L25768">
        <v>199.54</v>
      </c>
      <c r="M25768">
        <v>17809</v>
      </c>
      <c r="N25768" t="s">
        <v>25</v>
      </c>
      <c r="O25768">
        <v>250901</v>
      </c>
      <c r="P25768">
        <v>782.5</v>
      </c>
    </row>
    <row r="25769" spans="1:16" x14ac:dyDescent="0.25">
      <c r="A25769" t="s">
        <v>3296</v>
      </c>
      <c r="B25769" t="s">
        <v>2931</v>
      </c>
      <c r="C25769">
        <v>11693</v>
      </c>
      <c r="D25769" t="str">
        <f>"39739       "</f>
        <v xml:space="preserve">39739       </v>
      </c>
      <c r="E25769" t="s">
        <v>967</v>
      </c>
      <c r="F25769" t="s">
        <v>968</v>
      </c>
      <c r="G25769">
        <v>444.02</v>
      </c>
      <c r="H25769">
        <v>250903</v>
      </c>
      <c r="I25769">
        <v>4600</v>
      </c>
      <c r="J25769" t="s">
        <v>278</v>
      </c>
      <c r="K25769">
        <v>444.02</v>
      </c>
      <c r="L25769">
        <v>90.22</v>
      </c>
      <c r="M25769">
        <v>55255</v>
      </c>
      <c r="N25769" t="s">
        <v>768</v>
      </c>
      <c r="O25769">
        <v>250910</v>
      </c>
      <c r="P25769">
        <v>353.8</v>
      </c>
    </row>
    <row r="25770" spans="1:16" x14ac:dyDescent="0.25">
      <c r="A25770" t="s">
        <v>3296</v>
      </c>
      <c r="B25770" t="s">
        <v>2931</v>
      </c>
      <c r="C25770">
        <v>15650</v>
      </c>
      <c r="D25770" t="str">
        <f>"40811       "</f>
        <v xml:space="preserve">40811       </v>
      </c>
      <c r="E25770" t="s">
        <v>967</v>
      </c>
      <c r="F25770" t="s">
        <v>968</v>
      </c>
      <c r="G25770">
        <v>-522.08000000000004</v>
      </c>
      <c r="H25770">
        <v>251121</v>
      </c>
      <c r="I25770">
        <v>4600</v>
      </c>
      <c r="J25770" t="s">
        <v>278</v>
      </c>
      <c r="K25770">
        <v>-522.08000000000004</v>
      </c>
      <c r="L25770">
        <v>-106.08</v>
      </c>
      <c r="M25770">
        <v>17711</v>
      </c>
      <c r="N25770" t="s">
        <v>155</v>
      </c>
      <c r="O25770">
        <v>251124</v>
      </c>
      <c r="P25770">
        <v>-416</v>
      </c>
    </row>
    <row r="25771" spans="1:16" x14ac:dyDescent="0.25">
      <c r="A25771" t="s">
        <v>3296</v>
      </c>
      <c r="B25771" t="s">
        <v>2931</v>
      </c>
      <c r="C25771">
        <v>15651</v>
      </c>
      <c r="D25771" t="str">
        <f>"40763       "</f>
        <v xml:space="preserve">40763       </v>
      </c>
      <c r="E25771" t="s">
        <v>967</v>
      </c>
      <c r="F25771" t="s">
        <v>968</v>
      </c>
      <c r="G25771">
        <v>586.09</v>
      </c>
      <c r="H25771">
        <v>251117</v>
      </c>
      <c r="I25771">
        <v>4600</v>
      </c>
      <c r="J25771" t="s">
        <v>278</v>
      </c>
      <c r="K25771">
        <v>586.09</v>
      </c>
      <c r="L25771">
        <v>119.09</v>
      </c>
      <c r="M25771">
        <v>17711</v>
      </c>
      <c r="N25771" t="s">
        <v>155</v>
      </c>
      <c r="O25771">
        <v>251124</v>
      </c>
      <c r="P25771">
        <v>467</v>
      </c>
    </row>
    <row r="25772" spans="1:16" x14ac:dyDescent="0.25">
      <c r="A25772" t="s">
        <v>3296</v>
      </c>
      <c r="B25772" t="s">
        <v>2931</v>
      </c>
      <c r="C25772">
        <v>5280</v>
      </c>
      <c r="D25772" t="str">
        <f>"23000113    "</f>
        <v xml:space="preserve">23000113    </v>
      </c>
      <c r="E25772" t="s">
        <v>1705</v>
      </c>
      <c r="F25772" t="s">
        <v>1706</v>
      </c>
      <c r="G25772">
        <v>62.75</v>
      </c>
      <c r="H25772">
        <v>250410</v>
      </c>
      <c r="I25772">
        <v>4842</v>
      </c>
      <c r="J25772" t="s">
        <v>15</v>
      </c>
      <c r="K25772">
        <v>62.75</v>
      </c>
      <c r="L25772">
        <v>12.75</v>
      </c>
      <c r="M25772">
        <v>16952</v>
      </c>
      <c r="N25772" t="s">
        <v>1348</v>
      </c>
      <c r="O25772">
        <v>250423</v>
      </c>
      <c r="P25772">
        <v>50</v>
      </c>
    </row>
    <row r="25773" spans="1:16" x14ac:dyDescent="0.25">
      <c r="A25773" t="s">
        <v>3296</v>
      </c>
      <c r="B25773" t="s">
        <v>2931</v>
      </c>
      <c r="C25773">
        <v>1929</v>
      </c>
      <c r="D25773" t="str">
        <f>"13834       "</f>
        <v xml:space="preserve">13834       </v>
      </c>
      <c r="E25773" t="s">
        <v>1157</v>
      </c>
      <c r="F25773" t="s">
        <v>1158</v>
      </c>
      <c r="G25773">
        <v>27</v>
      </c>
      <c r="H25773">
        <v>250131</v>
      </c>
      <c r="I25773">
        <v>4410</v>
      </c>
      <c r="J25773" t="s">
        <v>165</v>
      </c>
      <c r="K25773">
        <v>264.8</v>
      </c>
      <c r="L25773">
        <v>5.49</v>
      </c>
      <c r="M25773">
        <v>13932</v>
      </c>
      <c r="N25773" t="s">
        <v>680</v>
      </c>
      <c r="O25773">
        <v>250217</v>
      </c>
      <c r="P25773">
        <v>21.51</v>
      </c>
    </row>
    <row r="25774" spans="1:16" x14ac:dyDescent="0.25">
      <c r="A25774" t="s">
        <v>3296</v>
      </c>
      <c r="B25774" t="s">
        <v>2931</v>
      </c>
      <c r="C25774">
        <v>1929</v>
      </c>
      <c r="D25774" t="str">
        <f>"13834       "</f>
        <v xml:space="preserve">13834       </v>
      </c>
      <c r="E25774" t="s">
        <v>1157</v>
      </c>
      <c r="F25774" t="s">
        <v>1158</v>
      </c>
      <c r="G25774">
        <v>237.8</v>
      </c>
      <c r="H25774">
        <v>250131</v>
      </c>
      <c r="I25774">
        <v>4410</v>
      </c>
      <c r="J25774" t="s">
        <v>165</v>
      </c>
      <c r="K25774">
        <v>264.8</v>
      </c>
      <c r="L25774">
        <v>29.2</v>
      </c>
      <c r="M25774">
        <v>13932</v>
      </c>
      <c r="N25774" t="s">
        <v>680</v>
      </c>
      <c r="O25774">
        <v>250217</v>
      </c>
      <c r="P25774">
        <v>208.6</v>
      </c>
    </row>
    <row r="25775" spans="1:16" x14ac:dyDescent="0.25">
      <c r="A25775" t="s">
        <v>3296</v>
      </c>
      <c r="B25775" t="s">
        <v>2931</v>
      </c>
      <c r="C25775">
        <v>3372</v>
      </c>
      <c r="D25775" t="str">
        <f>"13902       "</f>
        <v xml:space="preserve">13902       </v>
      </c>
      <c r="E25775" t="s">
        <v>1157</v>
      </c>
      <c r="F25775" t="s">
        <v>1158</v>
      </c>
      <c r="G25775">
        <v>19</v>
      </c>
      <c r="H25775">
        <v>250228</v>
      </c>
      <c r="I25775">
        <v>4410</v>
      </c>
      <c r="J25775" t="s">
        <v>165</v>
      </c>
      <c r="K25775">
        <v>295.39999999999998</v>
      </c>
      <c r="L25775">
        <v>3.86</v>
      </c>
      <c r="M25775">
        <v>13932</v>
      </c>
      <c r="N25775" t="s">
        <v>680</v>
      </c>
      <c r="O25775">
        <v>250319</v>
      </c>
      <c r="P25775">
        <v>15.14</v>
      </c>
    </row>
    <row r="25776" spans="1:16" x14ac:dyDescent="0.25">
      <c r="A25776" t="s">
        <v>3296</v>
      </c>
      <c r="B25776" t="s">
        <v>2931</v>
      </c>
      <c r="C25776">
        <v>3372</v>
      </c>
      <c r="D25776" t="str">
        <f>"13902       "</f>
        <v xml:space="preserve">13902       </v>
      </c>
      <c r="E25776" t="s">
        <v>1157</v>
      </c>
      <c r="F25776" t="s">
        <v>1158</v>
      </c>
      <c r="G25776">
        <v>276.39999999999998</v>
      </c>
      <c r="H25776">
        <v>250228</v>
      </c>
      <c r="I25776">
        <v>4410</v>
      </c>
      <c r="J25776" t="s">
        <v>165</v>
      </c>
      <c r="K25776">
        <v>295.39999999999998</v>
      </c>
      <c r="L25776">
        <v>33.94</v>
      </c>
      <c r="M25776">
        <v>13932</v>
      </c>
      <c r="N25776" t="s">
        <v>680</v>
      </c>
      <c r="O25776">
        <v>250319</v>
      </c>
      <c r="P25776">
        <v>242.46</v>
      </c>
    </row>
    <row r="25777" spans="1:16" x14ac:dyDescent="0.25">
      <c r="A25777" t="s">
        <v>3296</v>
      </c>
      <c r="B25777" t="s">
        <v>2931</v>
      </c>
      <c r="C25777">
        <v>6538</v>
      </c>
      <c r="D25777" t="str">
        <f>"149586      "</f>
        <v xml:space="preserve">149586      </v>
      </c>
      <c r="E25777" t="s">
        <v>831</v>
      </c>
      <c r="F25777" t="s">
        <v>832</v>
      </c>
      <c r="G25777">
        <v>581.41999999999996</v>
      </c>
      <c r="H25777">
        <v>250425</v>
      </c>
      <c r="I25777">
        <v>4400</v>
      </c>
      <c r="J25777" t="s">
        <v>162</v>
      </c>
      <c r="K25777">
        <v>581.41999999999996</v>
      </c>
      <c r="L25777">
        <v>118.14</v>
      </c>
      <c r="M25777">
        <v>56560</v>
      </c>
      <c r="N25777" t="s">
        <v>52</v>
      </c>
      <c r="O25777">
        <v>250513</v>
      </c>
      <c r="P25777">
        <v>463.28</v>
      </c>
    </row>
    <row r="25778" spans="1:16" x14ac:dyDescent="0.25">
      <c r="A25778" t="s">
        <v>3296</v>
      </c>
      <c r="B25778" t="s">
        <v>2931</v>
      </c>
      <c r="C25778">
        <v>7503</v>
      </c>
      <c r="D25778" t="str">
        <f>"970184400   "</f>
        <v xml:space="preserve">970184400   </v>
      </c>
      <c r="E25778" t="s">
        <v>831</v>
      </c>
      <c r="F25778" t="s">
        <v>832</v>
      </c>
      <c r="G25778">
        <v>71.099999999999994</v>
      </c>
      <c r="H25778">
        <v>250508</v>
      </c>
      <c r="I25778">
        <v>4400</v>
      </c>
      <c r="J25778" t="s">
        <v>162</v>
      </c>
      <c r="K25778">
        <v>71.099999999999994</v>
      </c>
      <c r="L25778">
        <v>14.45</v>
      </c>
      <c r="M25778">
        <v>17802</v>
      </c>
      <c r="N25778" t="s">
        <v>18</v>
      </c>
      <c r="O25778">
        <v>250604</v>
      </c>
      <c r="P25778">
        <v>56.65</v>
      </c>
    </row>
    <row r="25779" spans="1:16" x14ac:dyDescent="0.25">
      <c r="A25779" t="s">
        <v>3296</v>
      </c>
      <c r="B25779" t="s">
        <v>2931</v>
      </c>
      <c r="C25779">
        <v>12361</v>
      </c>
      <c r="D25779" t="str">
        <f>"970190520   "</f>
        <v xml:space="preserve">970190520   </v>
      </c>
      <c r="E25779" t="s">
        <v>831</v>
      </c>
      <c r="F25779" t="s">
        <v>832</v>
      </c>
      <c r="G25779">
        <v>50.84</v>
      </c>
      <c r="H25779">
        <v>250908</v>
      </c>
      <c r="I25779">
        <v>4400</v>
      </c>
      <c r="J25779" t="s">
        <v>162</v>
      </c>
      <c r="K25779">
        <v>50.84</v>
      </c>
      <c r="L25779">
        <v>10.33</v>
      </c>
      <c r="M25779">
        <v>17802</v>
      </c>
      <c r="N25779" t="s">
        <v>18</v>
      </c>
      <c r="O25779">
        <v>250919</v>
      </c>
      <c r="P25779">
        <v>40.51</v>
      </c>
    </row>
    <row r="25780" spans="1:16" x14ac:dyDescent="0.25">
      <c r="A25780" t="s">
        <v>3296</v>
      </c>
      <c r="B25780" t="s">
        <v>2931</v>
      </c>
      <c r="C25780">
        <v>18278</v>
      </c>
      <c r="D25780" t="str">
        <f>"977040047   "</f>
        <v xml:space="preserve">977040047   </v>
      </c>
      <c r="E25780" t="s">
        <v>831</v>
      </c>
      <c r="F25780" t="s">
        <v>832</v>
      </c>
      <c r="G25780">
        <v>3002.05</v>
      </c>
      <c r="H25780">
        <v>251229</v>
      </c>
      <c r="I25780">
        <v>4400</v>
      </c>
      <c r="J25780" t="s">
        <v>162</v>
      </c>
      <c r="K25780">
        <v>3002.05</v>
      </c>
      <c r="L25780">
        <v>609.98</v>
      </c>
      <c r="M25780">
        <v>17803</v>
      </c>
      <c r="N25780" t="s">
        <v>19</v>
      </c>
      <c r="O25780">
        <v>260112</v>
      </c>
      <c r="P25780">
        <v>2392.0700000000002</v>
      </c>
    </row>
    <row r="25781" spans="1:16" x14ac:dyDescent="0.25">
      <c r="A25781" t="s">
        <v>3296</v>
      </c>
      <c r="B25781" t="s">
        <v>2931</v>
      </c>
      <c r="C25781">
        <v>8943</v>
      </c>
      <c r="D25781" t="str">
        <f>"490556      "</f>
        <v xml:space="preserve">490556      </v>
      </c>
      <c r="E25781" t="s">
        <v>831</v>
      </c>
      <c r="F25781" t="s">
        <v>832</v>
      </c>
      <c r="G25781">
        <v>380.01</v>
      </c>
      <c r="H25781">
        <v>250606</v>
      </c>
      <c r="I25781">
        <v>4580</v>
      </c>
      <c r="J25781" t="s">
        <v>126</v>
      </c>
      <c r="K25781">
        <v>380.01</v>
      </c>
      <c r="L25781">
        <v>77.209999999999994</v>
      </c>
      <c r="M25781">
        <v>49501</v>
      </c>
      <c r="N25781" t="s">
        <v>110</v>
      </c>
      <c r="O25781">
        <v>250619</v>
      </c>
      <c r="P25781">
        <v>302.8</v>
      </c>
    </row>
    <row r="25782" spans="1:16" x14ac:dyDescent="0.25">
      <c r="A25782" t="s">
        <v>3296</v>
      </c>
      <c r="B25782" t="s">
        <v>2931</v>
      </c>
      <c r="C25782">
        <v>13086</v>
      </c>
      <c r="D25782" t="str">
        <f>"970191538   "</f>
        <v xml:space="preserve">970191538   </v>
      </c>
      <c r="E25782" t="s">
        <v>831</v>
      </c>
      <c r="F25782" t="s">
        <v>832</v>
      </c>
      <c r="G25782">
        <v>345.92</v>
      </c>
      <c r="H25782">
        <v>250929</v>
      </c>
      <c r="I25782">
        <v>4580</v>
      </c>
      <c r="J25782" t="s">
        <v>126</v>
      </c>
      <c r="K25782">
        <v>345.92</v>
      </c>
      <c r="L25782">
        <v>70.290000000000006</v>
      </c>
      <c r="M25782">
        <v>46557</v>
      </c>
      <c r="N25782" t="s">
        <v>104</v>
      </c>
      <c r="O25782">
        <v>251003</v>
      </c>
      <c r="P25782">
        <v>275.63</v>
      </c>
    </row>
    <row r="25783" spans="1:16" x14ac:dyDescent="0.25">
      <c r="A25783" t="s">
        <v>3296</v>
      </c>
      <c r="B25783" t="s">
        <v>2931</v>
      </c>
      <c r="C25783">
        <v>17872</v>
      </c>
      <c r="D25783" t="str">
        <f>"970196243   "</f>
        <v xml:space="preserve">970196243   </v>
      </c>
      <c r="E25783" t="s">
        <v>831</v>
      </c>
      <c r="F25783" t="s">
        <v>832</v>
      </c>
      <c r="G25783">
        <v>407.88</v>
      </c>
      <c r="H25783">
        <v>251211</v>
      </c>
      <c r="I25783">
        <v>4580</v>
      </c>
      <c r="J25783" t="s">
        <v>126</v>
      </c>
      <c r="K25783">
        <v>407.88</v>
      </c>
      <c r="L25783">
        <v>82.88</v>
      </c>
      <c r="M25783">
        <v>17802</v>
      </c>
      <c r="N25783" t="s">
        <v>18</v>
      </c>
      <c r="O25783">
        <v>251231</v>
      </c>
      <c r="P25783">
        <v>325</v>
      </c>
    </row>
    <row r="25784" spans="1:16" x14ac:dyDescent="0.25">
      <c r="A25784" t="s">
        <v>3296</v>
      </c>
      <c r="B25784" t="s">
        <v>2931</v>
      </c>
      <c r="C25784">
        <v>1046</v>
      </c>
      <c r="D25784" t="str">
        <f>"970178666   "</f>
        <v xml:space="preserve">970178666   </v>
      </c>
      <c r="E25784" t="s">
        <v>831</v>
      </c>
      <c r="F25784" t="s">
        <v>832</v>
      </c>
      <c r="G25784">
        <v>643.82000000000005</v>
      </c>
      <c r="H25784">
        <v>250129</v>
      </c>
      <c r="I25784">
        <v>4600</v>
      </c>
      <c r="J25784" t="s">
        <v>278</v>
      </c>
      <c r="K25784">
        <v>643.82000000000005</v>
      </c>
      <c r="L25784">
        <v>130.82</v>
      </c>
      <c r="M25784">
        <v>69501</v>
      </c>
      <c r="N25784" t="s">
        <v>123</v>
      </c>
      <c r="O25784">
        <v>250203</v>
      </c>
      <c r="P25784">
        <v>513</v>
      </c>
    </row>
    <row r="25785" spans="1:16" x14ac:dyDescent="0.25">
      <c r="A25785" t="s">
        <v>3296</v>
      </c>
      <c r="B25785" t="s">
        <v>2931</v>
      </c>
      <c r="C25785">
        <v>13087</v>
      </c>
      <c r="D25785" t="str">
        <f>"970191539   "</f>
        <v xml:space="preserve">970191539   </v>
      </c>
      <c r="E25785" t="s">
        <v>831</v>
      </c>
      <c r="F25785" t="s">
        <v>832</v>
      </c>
      <c r="G25785">
        <v>168.21</v>
      </c>
      <c r="H25785">
        <v>250929</v>
      </c>
      <c r="I25785">
        <v>4600</v>
      </c>
      <c r="J25785" t="s">
        <v>278</v>
      </c>
      <c r="K25785">
        <v>168.21</v>
      </c>
      <c r="L25785">
        <v>34.18</v>
      </c>
      <c r="M25785">
        <v>46557</v>
      </c>
      <c r="N25785" t="s">
        <v>104</v>
      </c>
      <c r="O25785">
        <v>251003</v>
      </c>
      <c r="P25785">
        <v>134.03</v>
      </c>
    </row>
    <row r="25786" spans="1:16" x14ac:dyDescent="0.25">
      <c r="A25786" t="s">
        <v>3296</v>
      </c>
      <c r="B25786" t="s">
        <v>2931</v>
      </c>
      <c r="C25786">
        <v>17245</v>
      </c>
      <c r="D25786" t="str">
        <f>"158351      "</f>
        <v xml:space="preserve">158351      </v>
      </c>
      <c r="E25786" t="s">
        <v>831</v>
      </c>
      <c r="F25786" t="s">
        <v>832</v>
      </c>
      <c r="G25786">
        <v>1590.09</v>
      </c>
      <c r="H25786">
        <v>251201</v>
      </c>
      <c r="I25786">
        <v>4600</v>
      </c>
      <c r="J25786" t="s">
        <v>278</v>
      </c>
      <c r="K25786">
        <v>1590.09</v>
      </c>
      <c r="L25786">
        <v>323.08999999999997</v>
      </c>
      <c r="M25786">
        <v>56560</v>
      </c>
      <c r="N25786" t="s">
        <v>52</v>
      </c>
      <c r="O25786">
        <v>251218</v>
      </c>
      <c r="P25786">
        <v>1267</v>
      </c>
    </row>
    <row r="25787" spans="1:16" x14ac:dyDescent="0.25">
      <c r="A25787" t="s">
        <v>3296</v>
      </c>
      <c r="B25787" t="s">
        <v>2931</v>
      </c>
      <c r="C25787">
        <v>17247</v>
      </c>
      <c r="D25787" t="str">
        <f>"158291      "</f>
        <v xml:space="preserve">158291      </v>
      </c>
      <c r="E25787" t="s">
        <v>831</v>
      </c>
      <c r="F25787" t="s">
        <v>832</v>
      </c>
      <c r="G25787">
        <v>583.89</v>
      </c>
      <c r="H25787">
        <v>251201</v>
      </c>
      <c r="I25787">
        <v>4600</v>
      </c>
      <c r="J25787" t="s">
        <v>278</v>
      </c>
      <c r="K25787">
        <v>583.89</v>
      </c>
      <c r="L25787">
        <v>118.64</v>
      </c>
      <c r="M25787">
        <v>56560</v>
      </c>
      <c r="N25787" t="s">
        <v>52</v>
      </c>
      <c r="O25787">
        <v>251218</v>
      </c>
      <c r="P25787">
        <v>465.25</v>
      </c>
    </row>
    <row r="25788" spans="1:16" x14ac:dyDescent="0.25">
      <c r="A25788" t="s">
        <v>3296</v>
      </c>
      <c r="B25788" t="s">
        <v>2931</v>
      </c>
      <c r="C25788">
        <v>4405</v>
      </c>
      <c r="D25788" t="str">
        <f>"1000152     "</f>
        <v xml:space="preserve">1000152     </v>
      </c>
      <c r="E25788" t="s">
        <v>888</v>
      </c>
      <c r="F25788" t="s">
        <v>889</v>
      </c>
      <c r="G25788">
        <v>1072.3</v>
      </c>
      <c r="H25788">
        <v>250331</v>
      </c>
      <c r="I25788">
        <v>4367</v>
      </c>
      <c r="J25788" t="s">
        <v>159</v>
      </c>
      <c r="K25788">
        <v>1072.3</v>
      </c>
      <c r="L25788">
        <v>217.88</v>
      </c>
      <c r="M25788">
        <v>13801</v>
      </c>
      <c r="N25788" t="s">
        <v>33</v>
      </c>
      <c r="O25788">
        <v>250411</v>
      </c>
      <c r="P25788">
        <v>854.42</v>
      </c>
    </row>
    <row r="25789" spans="1:16" x14ac:dyDescent="0.25">
      <c r="A25789" t="s">
        <v>3296</v>
      </c>
      <c r="B25789" t="s">
        <v>2931</v>
      </c>
      <c r="C25789">
        <v>7929</v>
      </c>
      <c r="D25789" t="str">
        <f>"1000367     "</f>
        <v xml:space="preserve">1000367     </v>
      </c>
      <c r="E25789" t="s">
        <v>888</v>
      </c>
      <c r="F25789" t="s">
        <v>889</v>
      </c>
      <c r="G25789">
        <v>1072.3</v>
      </c>
      <c r="H25789">
        <v>250530</v>
      </c>
      <c r="I25789">
        <v>4367</v>
      </c>
      <c r="J25789" t="s">
        <v>159</v>
      </c>
      <c r="K25789">
        <v>1072.3</v>
      </c>
      <c r="L25789">
        <v>217.88</v>
      </c>
      <c r="M25789">
        <v>13801</v>
      </c>
      <c r="N25789" t="s">
        <v>33</v>
      </c>
      <c r="O25789">
        <v>250610</v>
      </c>
      <c r="P25789">
        <v>854.42</v>
      </c>
    </row>
    <row r="25790" spans="1:16" x14ac:dyDescent="0.25">
      <c r="A25790" t="s">
        <v>3296</v>
      </c>
      <c r="B25790" t="s">
        <v>2931</v>
      </c>
      <c r="C25790">
        <v>10283</v>
      </c>
      <c r="D25790" t="str">
        <f>"1000492     "</f>
        <v xml:space="preserve">1000492     </v>
      </c>
      <c r="E25790" t="s">
        <v>888</v>
      </c>
      <c r="F25790" t="s">
        <v>889</v>
      </c>
      <c r="G25790">
        <v>1072.3</v>
      </c>
      <c r="H25790">
        <v>250731</v>
      </c>
      <c r="I25790">
        <v>4367</v>
      </c>
      <c r="J25790" t="s">
        <v>159</v>
      </c>
      <c r="K25790">
        <v>1072.3</v>
      </c>
      <c r="L25790">
        <v>217.88</v>
      </c>
      <c r="M25790">
        <v>13801</v>
      </c>
      <c r="N25790" t="s">
        <v>33</v>
      </c>
      <c r="O25790">
        <v>250813</v>
      </c>
      <c r="P25790">
        <v>854.42</v>
      </c>
    </row>
    <row r="25791" spans="1:16" x14ac:dyDescent="0.25">
      <c r="A25791" t="s">
        <v>3296</v>
      </c>
      <c r="B25791" t="s">
        <v>2931</v>
      </c>
      <c r="C25791">
        <v>13246</v>
      </c>
      <c r="D25791" t="str">
        <f>"1000762     "</f>
        <v xml:space="preserve">1000762     </v>
      </c>
      <c r="E25791" t="s">
        <v>888</v>
      </c>
      <c r="F25791" t="s">
        <v>889</v>
      </c>
      <c r="G25791">
        <v>1072.3</v>
      </c>
      <c r="H25791">
        <v>250930</v>
      </c>
      <c r="I25791">
        <v>4367</v>
      </c>
      <c r="J25791" t="s">
        <v>159</v>
      </c>
      <c r="K25791">
        <v>1072.3</v>
      </c>
      <c r="L25791">
        <v>217.88</v>
      </c>
      <c r="M25791">
        <v>13801</v>
      </c>
      <c r="N25791" t="s">
        <v>33</v>
      </c>
      <c r="O25791">
        <v>251007</v>
      </c>
      <c r="P25791">
        <v>854.42</v>
      </c>
    </row>
    <row r="25792" spans="1:16" x14ac:dyDescent="0.25">
      <c r="A25792" t="s">
        <v>3296</v>
      </c>
      <c r="B25792" t="s">
        <v>2931</v>
      </c>
      <c r="C25792">
        <v>16027</v>
      </c>
      <c r="D25792" t="str">
        <f>"1001017     "</f>
        <v xml:space="preserve">1001017     </v>
      </c>
      <c r="E25792" t="s">
        <v>888</v>
      </c>
      <c r="F25792" t="s">
        <v>889</v>
      </c>
      <c r="G25792">
        <v>1072.3</v>
      </c>
      <c r="H25792">
        <v>251128</v>
      </c>
      <c r="I25792">
        <v>4367</v>
      </c>
      <c r="J25792" t="s">
        <v>159</v>
      </c>
      <c r="K25792">
        <v>1072.3</v>
      </c>
      <c r="L25792">
        <v>217.88</v>
      </c>
      <c r="M25792">
        <v>13801</v>
      </c>
      <c r="N25792" t="s">
        <v>33</v>
      </c>
      <c r="O25792">
        <v>251202</v>
      </c>
      <c r="P25792">
        <v>854.42</v>
      </c>
    </row>
    <row r="25793" spans="1:16" x14ac:dyDescent="0.25">
      <c r="A25793" t="s">
        <v>3296</v>
      </c>
      <c r="B25793" t="s">
        <v>2931</v>
      </c>
      <c r="C25793">
        <v>1204</v>
      </c>
      <c r="D25793" t="str">
        <f>"17922       "</f>
        <v xml:space="preserve">17922       </v>
      </c>
      <c r="E25793" t="s">
        <v>888</v>
      </c>
      <c r="F25793" t="s">
        <v>889</v>
      </c>
      <c r="G25793">
        <v>1072.3</v>
      </c>
      <c r="H25793">
        <v>250130</v>
      </c>
      <c r="I25793">
        <v>4369</v>
      </c>
      <c r="J25793" t="s">
        <v>188</v>
      </c>
      <c r="K25793">
        <v>1072.3</v>
      </c>
      <c r="L25793">
        <v>217.88</v>
      </c>
      <c r="M25793">
        <v>13801</v>
      </c>
      <c r="N25793" t="s">
        <v>33</v>
      </c>
      <c r="O25793">
        <v>250205</v>
      </c>
      <c r="P25793">
        <v>854.42</v>
      </c>
    </row>
    <row r="25794" spans="1:16" x14ac:dyDescent="0.25">
      <c r="A25794" t="s">
        <v>3296</v>
      </c>
      <c r="B25794" t="s">
        <v>2931</v>
      </c>
      <c r="C25794">
        <v>2814</v>
      </c>
      <c r="D25794" t="str">
        <f>"18187       "</f>
        <v xml:space="preserve">18187       </v>
      </c>
      <c r="E25794" t="s">
        <v>888</v>
      </c>
      <c r="F25794" t="s">
        <v>889</v>
      </c>
      <c r="G25794">
        <v>157.9</v>
      </c>
      <c r="H25794">
        <v>250228</v>
      </c>
      <c r="I25794">
        <v>4369</v>
      </c>
      <c r="J25794" t="s">
        <v>188</v>
      </c>
      <c r="K25794">
        <v>157.9</v>
      </c>
      <c r="L25794">
        <v>32.08</v>
      </c>
      <c r="M25794">
        <v>13801</v>
      </c>
      <c r="N25794" t="s">
        <v>33</v>
      </c>
      <c r="O25794">
        <v>250312</v>
      </c>
      <c r="P25794">
        <v>125.82</v>
      </c>
    </row>
    <row r="25795" spans="1:16" x14ac:dyDescent="0.25">
      <c r="A25795" t="s">
        <v>3296</v>
      </c>
      <c r="B25795" t="s">
        <v>2931</v>
      </c>
      <c r="C25795">
        <v>4935</v>
      </c>
      <c r="D25795" t="str">
        <f>"3000094     "</f>
        <v xml:space="preserve">3000094     </v>
      </c>
      <c r="E25795" t="s">
        <v>888</v>
      </c>
      <c r="F25795" t="s">
        <v>889</v>
      </c>
      <c r="G25795">
        <v>162.87</v>
      </c>
      <c r="H25795">
        <v>250331</v>
      </c>
      <c r="I25795">
        <v>4369</v>
      </c>
      <c r="J25795" t="s">
        <v>188</v>
      </c>
      <c r="K25795">
        <v>162.87</v>
      </c>
      <c r="L25795">
        <v>33.090000000000003</v>
      </c>
      <c r="M25795">
        <v>13801</v>
      </c>
      <c r="N25795" t="s">
        <v>33</v>
      </c>
      <c r="O25795">
        <v>250416</v>
      </c>
      <c r="P25795">
        <v>129.78</v>
      </c>
    </row>
    <row r="25796" spans="1:16" x14ac:dyDescent="0.25">
      <c r="A25796" t="s">
        <v>3296</v>
      </c>
      <c r="B25796" t="s">
        <v>2931</v>
      </c>
      <c r="C25796">
        <v>6319</v>
      </c>
      <c r="D25796" t="str">
        <f>"3000314     "</f>
        <v xml:space="preserve">3000314     </v>
      </c>
      <c r="E25796" t="s">
        <v>888</v>
      </c>
      <c r="F25796" t="s">
        <v>889</v>
      </c>
      <c r="G25796">
        <v>51.05</v>
      </c>
      <c r="H25796">
        <v>250430</v>
      </c>
      <c r="I25796">
        <v>4369</v>
      </c>
      <c r="J25796" t="s">
        <v>188</v>
      </c>
      <c r="K25796">
        <v>51.05</v>
      </c>
      <c r="L25796">
        <v>10.37</v>
      </c>
      <c r="M25796">
        <v>13801</v>
      </c>
      <c r="N25796" t="s">
        <v>33</v>
      </c>
      <c r="O25796">
        <v>250512</v>
      </c>
      <c r="P25796">
        <v>40.68</v>
      </c>
    </row>
    <row r="25797" spans="1:16" x14ac:dyDescent="0.25">
      <c r="A25797" t="s">
        <v>3296</v>
      </c>
      <c r="B25797" t="s">
        <v>2931</v>
      </c>
      <c r="C25797">
        <v>8706</v>
      </c>
      <c r="D25797" t="str">
        <f>"3000500     "</f>
        <v xml:space="preserve">3000500     </v>
      </c>
      <c r="E25797" t="s">
        <v>888</v>
      </c>
      <c r="F25797" t="s">
        <v>889</v>
      </c>
      <c r="G25797">
        <v>6.44</v>
      </c>
      <c r="H25797">
        <v>250531</v>
      </c>
      <c r="I25797">
        <v>4369</v>
      </c>
      <c r="J25797" t="s">
        <v>188</v>
      </c>
      <c r="K25797">
        <v>6.44</v>
      </c>
      <c r="L25797">
        <v>1.31</v>
      </c>
      <c r="M25797">
        <v>13801</v>
      </c>
      <c r="N25797" t="s">
        <v>33</v>
      </c>
      <c r="O25797">
        <v>250617</v>
      </c>
      <c r="P25797">
        <v>5.13</v>
      </c>
    </row>
    <row r="25798" spans="1:16" x14ac:dyDescent="0.25">
      <c r="A25798" t="s">
        <v>3296</v>
      </c>
      <c r="B25798" t="s">
        <v>2931</v>
      </c>
      <c r="C25798">
        <v>10285</v>
      </c>
      <c r="D25798" t="str">
        <f>"3000682     "</f>
        <v xml:space="preserve">3000682     </v>
      </c>
      <c r="E25798" t="s">
        <v>888</v>
      </c>
      <c r="F25798" t="s">
        <v>889</v>
      </c>
      <c r="G25798">
        <v>36.71</v>
      </c>
      <c r="H25798">
        <v>250731</v>
      </c>
      <c r="I25798">
        <v>4369</v>
      </c>
      <c r="J25798" t="s">
        <v>188</v>
      </c>
      <c r="K25798">
        <v>36.71</v>
      </c>
      <c r="L25798">
        <v>7.46</v>
      </c>
      <c r="M25798">
        <v>13801</v>
      </c>
      <c r="N25798" t="s">
        <v>33</v>
      </c>
      <c r="O25798">
        <v>250813</v>
      </c>
      <c r="P25798">
        <v>29.25</v>
      </c>
    </row>
    <row r="25799" spans="1:16" x14ac:dyDescent="0.25">
      <c r="A25799" t="s">
        <v>3296</v>
      </c>
      <c r="B25799" t="s">
        <v>2931</v>
      </c>
      <c r="C25799">
        <v>11740</v>
      </c>
      <c r="D25799" t="str">
        <f>"3000789     "</f>
        <v xml:space="preserve">3000789     </v>
      </c>
      <c r="E25799" t="s">
        <v>888</v>
      </c>
      <c r="F25799" t="s">
        <v>889</v>
      </c>
      <c r="G25799">
        <v>82</v>
      </c>
      <c r="H25799">
        <v>250831</v>
      </c>
      <c r="I25799">
        <v>4369</v>
      </c>
      <c r="J25799" t="s">
        <v>188</v>
      </c>
      <c r="K25799">
        <v>82</v>
      </c>
      <c r="L25799">
        <v>16.66</v>
      </c>
      <c r="M25799">
        <v>13801</v>
      </c>
      <c r="N25799" t="s">
        <v>33</v>
      </c>
      <c r="O25799">
        <v>250910</v>
      </c>
      <c r="P25799">
        <v>65.34</v>
      </c>
    </row>
    <row r="25800" spans="1:16" x14ac:dyDescent="0.25">
      <c r="A25800" t="s">
        <v>3296</v>
      </c>
      <c r="B25800" t="s">
        <v>2931</v>
      </c>
      <c r="C25800">
        <v>13361</v>
      </c>
      <c r="D25800" t="str">
        <f>"3000934     "</f>
        <v xml:space="preserve">3000934     </v>
      </c>
      <c r="E25800" t="s">
        <v>888</v>
      </c>
      <c r="F25800" t="s">
        <v>889</v>
      </c>
      <c r="G25800">
        <v>165.02</v>
      </c>
      <c r="H25800">
        <v>250930</v>
      </c>
      <c r="I25800">
        <v>4369</v>
      </c>
      <c r="J25800" t="s">
        <v>188</v>
      </c>
      <c r="K25800">
        <v>165.02</v>
      </c>
      <c r="L25800">
        <v>33.53</v>
      </c>
      <c r="M25800">
        <v>13801</v>
      </c>
      <c r="N25800" t="s">
        <v>33</v>
      </c>
      <c r="O25800">
        <v>251008</v>
      </c>
      <c r="P25800">
        <v>131.49</v>
      </c>
    </row>
    <row r="25801" spans="1:16" x14ac:dyDescent="0.25">
      <c r="A25801" t="s">
        <v>3296</v>
      </c>
      <c r="B25801" t="s">
        <v>2931</v>
      </c>
      <c r="C25801">
        <v>15009</v>
      </c>
      <c r="D25801" t="str">
        <f>"3001114     "</f>
        <v xml:space="preserve">3001114     </v>
      </c>
      <c r="E25801" t="s">
        <v>888</v>
      </c>
      <c r="F25801" t="s">
        <v>889</v>
      </c>
      <c r="G25801">
        <v>116.9</v>
      </c>
      <c r="H25801">
        <v>251031</v>
      </c>
      <c r="I25801">
        <v>4369</v>
      </c>
      <c r="J25801" t="s">
        <v>188</v>
      </c>
      <c r="K25801">
        <v>116.9</v>
      </c>
      <c r="L25801">
        <v>23.75</v>
      </c>
      <c r="M25801">
        <v>13801</v>
      </c>
      <c r="N25801" t="s">
        <v>33</v>
      </c>
      <c r="O25801">
        <v>251110</v>
      </c>
      <c r="P25801">
        <v>93.15</v>
      </c>
    </row>
    <row r="25802" spans="1:16" x14ac:dyDescent="0.25">
      <c r="A25802" t="s">
        <v>3296</v>
      </c>
      <c r="B25802" t="s">
        <v>2931</v>
      </c>
      <c r="C25802">
        <v>16612</v>
      </c>
      <c r="D25802" t="str">
        <f>"3001474     "</f>
        <v xml:space="preserve">3001474     </v>
      </c>
      <c r="E25802" t="s">
        <v>888</v>
      </c>
      <c r="F25802" t="s">
        <v>889</v>
      </c>
      <c r="G25802">
        <v>164</v>
      </c>
      <c r="H25802">
        <v>251130</v>
      </c>
      <c r="I25802">
        <v>4369</v>
      </c>
      <c r="J25802" t="s">
        <v>188</v>
      </c>
      <c r="K25802">
        <v>164</v>
      </c>
      <c r="L25802">
        <v>33.32</v>
      </c>
      <c r="M25802">
        <v>13801</v>
      </c>
      <c r="N25802" t="s">
        <v>33</v>
      </c>
      <c r="O25802">
        <v>251210</v>
      </c>
      <c r="P25802">
        <v>130.68</v>
      </c>
    </row>
    <row r="25803" spans="1:16" x14ac:dyDescent="0.25">
      <c r="A25803" t="s">
        <v>3296</v>
      </c>
      <c r="B25803" t="s">
        <v>2931</v>
      </c>
      <c r="C25803">
        <v>18173</v>
      </c>
      <c r="D25803" t="str">
        <f>"3001562     "</f>
        <v xml:space="preserve">3001562     </v>
      </c>
      <c r="E25803" t="s">
        <v>888</v>
      </c>
      <c r="F25803" t="s">
        <v>889</v>
      </c>
      <c r="G25803">
        <v>53.31</v>
      </c>
      <c r="H25803">
        <v>251231</v>
      </c>
      <c r="I25803">
        <v>4369</v>
      </c>
      <c r="J25803" t="s">
        <v>188</v>
      </c>
      <c r="K25803">
        <v>53.31</v>
      </c>
      <c r="L25803">
        <v>10.83</v>
      </c>
      <c r="M25803">
        <v>13801</v>
      </c>
      <c r="N25803" t="s">
        <v>33</v>
      </c>
      <c r="O25803">
        <v>260109</v>
      </c>
      <c r="P25803">
        <v>42.48</v>
      </c>
    </row>
    <row r="25804" spans="1:16" x14ac:dyDescent="0.25">
      <c r="A25804" t="s">
        <v>3296</v>
      </c>
      <c r="B25804" t="s">
        <v>2931</v>
      </c>
      <c r="C25804">
        <v>7566</v>
      </c>
      <c r="D25804" t="str">
        <f>"6000023     "</f>
        <v xml:space="preserve">6000023     </v>
      </c>
      <c r="E25804" t="s">
        <v>888</v>
      </c>
      <c r="F25804" t="s">
        <v>889</v>
      </c>
      <c r="G25804">
        <v>357.68</v>
      </c>
      <c r="H25804">
        <v>250527</v>
      </c>
      <c r="I25804">
        <v>4440</v>
      </c>
      <c r="J25804" t="s">
        <v>346</v>
      </c>
      <c r="K25804">
        <v>357.68</v>
      </c>
      <c r="L25804">
        <v>72.680000000000007</v>
      </c>
      <c r="M25804">
        <v>13801</v>
      </c>
      <c r="N25804" t="s">
        <v>33</v>
      </c>
      <c r="O25804">
        <v>250604</v>
      </c>
      <c r="P25804">
        <v>285</v>
      </c>
    </row>
    <row r="25805" spans="1:16" x14ac:dyDescent="0.25">
      <c r="A25805" t="s">
        <v>3296</v>
      </c>
      <c r="B25805" t="s">
        <v>2931</v>
      </c>
      <c r="C25805">
        <v>15845</v>
      </c>
      <c r="D25805" t="str">
        <f>"6000104     "</f>
        <v xml:space="preserve">6000104     </v>
      </c>
      <c r="E25805" t="s">
        <v>888</v>
      </c>
      <c r="F25805" t="s">
        <v>889</v>
      </c>
      <c r="G25805">
        <v>225.9</v>
      </c>
      <c r="H25805">
        <v>251126</v>
      </c>
      <c r="I25805">
        <v>4441</v>
      </c>
      <c r="J25805" t="s">
        <v>234</v>
      </c>
      <c r="K25805">
        <v>677.7</v>
      </c>
      <c r="L25805">
        <v>45.9</v>
      </c>
      <c r="M25805">
        <v>13801</v>
      </c>
      <c r="N25805" t="s">
        <v>33</v>
      </c>
      <c r="O25805">
        <v>251127</v>
      </c>
      <c r="P25805">
        <v>180</v>
      </c>
    </row>
    <row r="25806" spans="1:16" x14ac:dyDescent="0.25">
      <c r="A25806" t="s">
        <v>3296</v>
      </c>
      <c r="B25806" t="s">
        <v>2931</v>
      </c>
      <c r="C25806">
        <v>15845</v>
      </c>
      <c r="D25806" t="str">
        <f>"6000104     "</f>
        <v xml:space="preserve">6000104     </v>
      </c>
      <c r="E25806" t="s">
        <v>888</v>
      </c>
      <c r="F25806" t="s">
        <v>889</v>
      </c>
      <c r="G25806">
        <v>451.8</v>
      </c>
      <c r="H25806">
        <v>251126</v>
      </c>
      <c r="I25806">
        <v>4441</v>
      </c>
      <c r="J25806" t="s">
        <v>234</v>
      </c>
      <c r="K25806">
        <v>677.7</v>
      </c>
      <c r="L25806">
        <v>91.8</v>
      </c>
      <c r="M25806">
        <v>13802</v>
      </c>
      <c r="N25806" t="s">
        <v>34</v>
      </c>
      <c r="O25806">
        <v>251127</v>
      </c>
      <c r="P25806">
        <v>360</v>
      </c>
    </row>
    <row r="25807" spans="1:16" x14ac:dyDescent="0.25">
      <c r="A25807" t="s">
        <v>3296</v>
      </c>
      <c r="B25807" t="s">
        <v>2931</v>
      </c>
      <c r="C25807">
        <v>5516</v>
      </c>
      <c r="D25807" t="str">
        <f>"51          "</f>
        <v xml:space="preserve">51          </v>
      </c>
      <c r="E25807" t="s">
        <v>1755</v>
      </c>
      <c r="F25807" t="s">
        <v>1756</v>
      </c>
      <c r="G25807">
        <v>155.1</v>
      </c>
      <c r="H25807">
        <v>250417</v>
      </c>
      <c r="I25807">
        <v>4520</v>
      </c>
      <c r="J25807" t="s">
        <v>280</v>
      </c>
      <c r="K25807">
        <v>155.1</v>
      </c>
      <c r="L25807">
        <v>19.05</v>
      </c>
      <c r="M25807">
        <v>13801</v>
      </c>
      <c r="N25807" t="s">
        <v>33</v>
      </c>
      <c r="O25807">
        <v>250425</v>
      </c>
      <c r="P25807">
        <v>136.05000000000001</v>
      </c>
    </row>
    <row r="25808" spans="1:16" x14ac:dyDescent="0.25">
      <c r="A25808" t="s">
        <v>3296</v>
      </c>
      <c r="B25808" t="s">
        <v>2931</v>
      </c>
      <c r="C25808">
        <v>9023</v>
      </c>
      <c r="D25808" t="str">
        <f>"4124        "</f>
        <v xml:space="preserve">4124        </v>
      </c>
      <c r="E25808" t="s">
        <v>2084</v>
      </c>
      <c r="F25808" t="s">
        <v>2085</v>
      </c>
      <c r="G25808">
        <v>1372.9</v>
      </c>
      <c r="H25808">
        <v>250616</v>
      </c>
      <c r="I25808">
        <v>4580</v>
      </c>
      <c r="J25808" t="s">
        <v>126</v>
      </c>
      <c r="K25808">
        <v>1372.9</v>
      </c>
      <c r="L25808">
        <v>278.95999999999998</v>
      </c>
      <c r="M25808">
        <v>17711</v>
      </c>
      <c r="N25808" t="s">
        <v>155</v>
      </c>
      <c r="O25808">
        <v>250626</v>
      </c>
      <c r="P25808">
        <v>1093.94</v>
      </c>
    </row>
    <row r="25809" spans="1:16" x14ac:dyDescent="0.25">
      <c r="A25809" t="s">
        <v>3296</v>
      </c>
      <c r="B25809" t="s">
        <v>2931</v>
      </c>
      <c r="C25809">
        <v>2425</v>
      </c>
      <c r="D25809" t="str">
        <f>"204360      "</f>
        <v xml:space="preserve">204360      </v>
      </c>
      <c r="E25809" t="s">
        <v>1276</v>
      </c>
      <c r="F25809" t="s">
        <v>1277</v>
      </c>
      <c r="G25809">
        <v>643.5</v>
      </c>
      <c r="H25809">
        <v>250220</v>
      </c>
      <c r="I25809">
        <v>4580</v>
      </c>
      <c r="J25809" t="s">
        <v>126</v>
      </c>
      <c r="K25809">
        <v>643.5</v>
      </c>
      <c r="L25809">
        <v>130.75</v>
      </c>
      <c r="M25809">
        <v>49501</v>
      </c>
      <c r="N25809" t="s">
        <v>110</v>
      </c>
      <c r="O25809">
        <v>250225</v>
      </c>
      <c r="P25809">
        <v>512.75</v>
      </c>
    </row>
    <row r="25810" spans="1:16" x14ac:dyDescent="0.25">
      <c r="A25810" t="s">
        <v>3296</v>
      </c>
      <c r="B25810" t="s">
        <v>2931</v>
      </c>
      <c r="C25810">
        <v>6090</v>
      </c>
      <c r="D25810" t="str">
        <f>"205292      "</f>
        <v xml:space="preserve">205292      </v>
      </c>
      <c r="E25810" t="s">
        <v>1276</v>
      </c>
      <c r="F25810" t="s">
        <v>1277</v>
      </c>
      <c r="G25810">
        <v>693.39</v>
      </c>
      <c r="H25810">
        <v>250415</v>
      </c>
      <c r="I25810">
        <v>4580</v>
      </c>
      <c r="J25810" t="s">
        <v>126</v>
      </c>
      <c r="K25810">
        <v>693.39</v>
      </c>
      <c r="L25810">
        <v>140.88999999999999</v>
      </c>
      <c r="M25810">
        <v>49501</v>
      </c>
      <c r="N25810" t="s">
        <v>110</v>
      </c>
      <c r="O25810">
        <v>250508</v>
      </c>
      <c r="P25810">
        <v>552.5</v>
      </c>
    </row>
    <row r="25811" spans="1:16" x14ac:dyDescent="0.25">
      <c r="A25811" t="s">
        <v>3296</v>
      </c>
      <c r="B25811" t="s">
        <v>2931</v>
      </c>
      <c r="C25811">
        <v>10992</v>
      </c>
      <c r="D25811" t="str">
        <f>"207120      "</f>
        <v xml:space="preserve">207120      </v>
      </c>
      <c r="E25811" t="s">
        <v>1276</v>
      </c>
      <c r="F25811" t="s">
        <v>1277</v>
      </c>
      <c r="G25811">
        <v>460.59</v>
      </c>
      <c r="H25811">
        <v>250820</v>
      </c>
      <c r="I25811">
        <v>4580</v>
      </c>
      <c r="J25811" t="s">
        <v>126</v>
      </c>
      <c r="K25811">
        <v>460.59</v>
      </c>
      <c r="L25811">
        <v>93.59</v>
      </c>
      <c r="M25811">
        <v>49501</v>
      </c>
      <c r="N25811" t="s">
        <v>110</v>
      </c>
      <c r="O25811">
        <v>250828</v>
      </c>
      <c r="P25811">
        <v>367</v>
      </c>
    </row>
    <row r="25812" spans="1:16" x14ac:dyDescent="0.25">
      <c r="A25812" t="s">
        <v>3296</v>
      </c>
      <c r="B25812" t="s">
        <v>2931</v>
      </c>
      <c r="C25812">
        <v>18571</v>
      </c>
      <c r="D25812" t="str">
        <f>"209355      "</f>
        <v xml:space="preserve">209355      </v>
      </c>
      <c r="E25812" t="s">
        <v>1276</v>
      </c>
      <c r="F25812" t="s">
        <v>1277</v>
      </c>
      <c r="G25812">
        <v>1362.18</v>
      </c>
      <c r="H25812">
        <v>251229</v>
      </c>
      <c r="I25812">
        <v>4580</v>
      </c>
      <c r="J25812" t="s">
        <v>126</v>
      </c>
      <c r="K25812">
        <v>1362.18</v>
      </c>
      <c r="L25812">
        <v>276.77999999999997</v>
      </c>
      <c r="M25812">
        <v>46555</v>
      </c>
      <c r="N25812" t="s">
        <v>103</v>
      </c>
      <c r="O25812">
        <v>260116</v>
      </c>
      <c r="P25812">
        <v>1085.4000000000001</v>
      </c>
    </row>
    <row r="25813" spans="1:16" x14ac:dyDescent="0.25">
      <c r="A25813" t="s">
        <v>3296</v>
      </c>
      <c r="B25813" t="s">
        <v>2931</v>
      </c>
      <c r="C25813">
        <v>15787</v>
      </c>
      <c r="D25813" t="str">
        <f>"13442       "</f>
        <v xml:space="preserve">13442       </v>
      </c>
      <c r="E25813" t="s">
        <v>2612</v>
      </c>
      <c r="F25813" t="s">
        <v>2613</v>
      </c>
      <c r="G25813">
        <v>2133.5</v>
      </c>
      <c r="H25813">
        <v>251121</v>
      </c>
      <c r="I25813">
        <v>1198</v>
      </c>
      <c r="J25813" t="s">
        <v>610</v>
      </c>
      <c r="K25813">
        <v>2133.5</v>
      </c>
      <c r="L25813">
        <v>433.5</v>
      </c>
      <c r="M25813">
        <v>97628</v>
      </c>
      <c r="N25813" t="s">
        <v>737</v>
      </c>
      <c r="O25813">
        <v>251127</v>
      </c>
      <c r="P25813">
        <v>1700</v>
      </c>
    </row>
    <row r="25814" spans="1:16" x14ac:dyDescent="0.25">
      <c r="A25814" t="s">
        <v>3296</v>
      </c>
      <c r="B25814" t="s">
        <v>2931</v>
      </c>
      <c r="C25814">
        <v>15794</v>
      </c>
      <c r="D25814" t="str">
        <f>"13477       "</f>
        <v xml:space="preserve">13477       </v>
      </c>
      <c r="E25814" t="s">
        <v>2612</v>
      </c>
      <c r="F25814" t="s">
        <v>2613</v>
      </c>
      <c r="G25814">
        <v>2688.21</v>
      </c>
      <c r="H25814">
        <v>251121</v>
      </c>
      <c r="I25814">
        <v>1198</v>
      </c>
      <c r="J25814" t="s">
        <v>610</v>
      </c>
      <c r="K25814">
        <v>2688.21</v>
      </c>
      <c r="L25814">
        <v>546.21</v>
      </c>
      <c r="M25814">
        <v>97629</v>
      </c>
      <c r="N25814" t="s">
        <v>1110</v>
      </c>
      <c r="O25814">
        <v>251127</v>
      </c>
      <c r="P25814">
        <v>2142</v>
      </c>
    </row>
    <row r="25815" spans="1:16" x14ac:dyDescent="0.25">
      <c r="A25815" t="s">
        <v>3296</v>
      </c>
      <c r="B25815" t="s">
        <v>2931</v>
      </c>
      <c r="C25815">
        <v>15809</v>
      </c>
      <c r="D25815" t="str">
        <f>"13439       "</f>
        <v xml:space="preserve">13439       </v>
      </c>
      <c r="E25815" t="s">
        <v>2612</v>
      </c>
      <c r="F25815" t="s">
        <v>2613</v>
      </c>
      <c r="G25815">
        <v>2645.54</v>
      </c>
      <c r="H25815">
        <v>251121</v>
      </c>
      <c r="I25815">
        <v>1198</v>
      </c>
      <c r="J25815" t="s">
        <v>610</v>
      </c>
      <c r="K25815">
        <v>2645.54</v>
      </c>
      <c r="L25815">
        <v>537.54</v>
      </c>
      <c r="M25815">
        <v>97511</v>
      </c>
      <c r="N25815" t="s">
        <v>1760</v>
      </c>
      <c r="O25815">
        <v>251127</v>
      </c>
      <c r="P25815">
        <v>2108</v>
      </c>
    </row>
    <row r="25816" spans="1:16" x14ac:dyDescent="0.25">
      <c r="A25816" t="s">
        <v>3296</v>
      </c>
      <c r="B25816" t="s">
        <v>2931</v>
      </c>
      <c r="C25816">
        <v>16037</v>
      </c>
      <c r="D25816" t="str">
        <f>"13438       "</f>
        <v xml:space="preserve">13438       </v>
      </c>
      <c r="E25816" t="s">
        <v>2612</v>
      </c>
      <c r="F25816" t="s">
        <v>2613</v>
      </c>
      <c r="G25816">
        <v>1962.82</v>
      </c>
      <c r="H25816">
        <v>251121</v>
      </c>
      <c r="I25816">
        <v>1198</v>
      </c>
      <c r="J25816" t="s">
        <v>610</v>
      </c>
      <c r="K25816">
        <v>1962.82</v>
      </c>
      <c r="L25816">
        <v>398.82</v>
      </c>
      <c r="M25816">
        <v>95511</v>
      </c>
      <c r="N25816" t="s">
        <v>1947</v>
      </c>
      <c r="O25816">
        <v>251202</v>
      </c>
      <c r="P25816">
        <v>1564</v>
      </c>
    </row>
    <row r="25817" spans="1:16" x14ac:dyDescent="0.25">
      <c r="A25817" t="s">
        <v>3296</v>
      </c>
      <c r="B25817" t="s">
        <v>2931</v>
      </c>
      <c r="C25817">
        <v>16038</v>
      </c>
      <c r="D25817" t="str">
        <f>"13436       "</f>
        <v xml:space="preserve">13436       </v>
      </c>
      <c r="E25817" t="s">
        <v>2612</v>
      </c>
      <c r="F25817" t="s">
        <v>2613</v>
      </c>
      <c r="G25817">
        <v>2730.88</v>
      </c>
      <c r="H25817">
        <v>251121</v>
      </c>
      <c r="I25817">
        <v>1198</v>
      </c>
      <c r="J25817" t="s">
        <v>610</v>
      </c>
      <c r="K25817">
        <v>2730.88</v>
      </c>
      <c r="L25817">
        <v>554.88</v>
      </c>
      <c r="M25817">
        <v>95511</v>
      </c>
      <c r="N25817" t="s">
        <v>1947</v>
      </c>
      <c r="O25817">
        <v>251202</v>
      </c>
      <c r="P25817">
        <v>2176</v>
      </c>
    </row>
    <row r="25818" spans="1:16" x14ac:dyDescent="0.25">
      <c r="A25818" t="s">
        <v>3296</v>
      </c>
      <c r="B25818" t="s">
        <v>2931</v>
      </c>
      <c r="C25818">
        <v>16039</v>
      </c>
      <c r="D25818" t="str">
        <f>"13437       "</f>
        <v xml:space="preserve">13437       </v>
      </c>
      <c r="E25818" t="s">
        <v>2612</v>
      </c>
      <c r="F25818" t="s">
        <v>2613</v>
      </c>
      <c r="G25818">
        <v>4256.96</v>
      </c>
      <c r="H25818">
        <v>251121</v>
      </c>
      <c r="I25818">
        <v>1198</v>
      </c>
      <c r="J25818" t="s">
        <v>610</v>
      </c>
      <c r="K25818">
        <v>4256.96</v>
      </c>
      <c r="L25818">
        <v>864.96</v>
      </c>
      <c r="M25818">
        <v>95511</v>
      </c>
      <c r="N25818" t="s">
        <v>1947</v>
      </c>
      <c r="O25818">
        <v>251202</v>
      </c>
      <c r="P25818">
        <v>3392</v>
      </c>
    </row>
    <row r="25819" spans="1:16" x14ac:dyDescent="0.25">
      <c r="A25819" t="s">
        <v>3296</v>
      </c>
      <c r="B25819" t="s">
        <v>2931</v>
      </c>
      <c r="C25819">
        <v>16059</v>
      </c>
      <c r="D25819" t="str">
        <f>"13441       "</f>
        <v xml:space="preserve">13441       </v>
      </c>
      <c r="E25819" t="s">
        <v>2612</v>
      </c>
      <c r="F25819" t="s">
        <v>2613</v>
      </c>
      <c r="G25819">
        <v>2901.56</v>
      </c>
      <c r="H25819">
        <v>251201</v>
      </c>
      <c r="I25819">
        <v>1198</v>
      </c>
      <c r="J25819" t="s">
        <v>610</v>
      </c>
      <c r="K25819">
        <v>2901.56</v>
      </c>
      <c r="L25819">
        <v>589.55999999999995</v>
      </c>
      <c r="M25819">
        <v>97629</v>
      </c>
      <c r="N25819" t="s">
        <v>1110</v>
      </c>
      <c r="O25819">
        <v>251203</v>
      </c>
      <c r="P25819">
        <v>2312</v>
      </c>
    </row>
    <row r="25820" spans="1:16" x14ac:dyDescent="0.25">
      <c r="A25820" t="s">
        <v>3296</v>
      </c>
      <c r="B25820" t="s">
        <v>2931</v>
      </c>
      <c r="C25820">
        <v>16551</v>
      </c>
      <c r="D25820" t="str">
        <f>"13518       "</f>
        <v xml:space="preserve">13518       </v>
      </c>
      <c r="E25820" t="s">
        <v>2612</v>
      </c>
      <c r="F25820" t="s">
        <v>2613</v>
      </c>
      <c r="G25820">
        <v>2901.56</v>
      </c>
      <c r="H25820">
        <v>251205</v>
      </c>
      <c r="I25820">
        <v>1198</v>
      </c>
      <c r="J25820" t="s">
        <v>610</v>
      </c>
      <c r="K25820">
        <v>2901.56</v>
      </c>
      <c r="L25820">
        <v>589.55999999999995</v>
      </c>
      <c r="M25820">
        <v>97629</v>
      </c>
      <c r="N25820" t="s">
        <v>1110</v>
      </c>
      <c r="O25820">
        <v>251210</v>
      </c>
      <c r="P25820">
        <v>2312</v>
      </c>
    </row>
    <row r="25821" spans="1:16" x14ac:dyDescent="0.25">
      <c r="A25821" t="s">
        <v>3296</v>
      </c>
      <c r="B25821" t="s">
        <v>2931</v>
      </c>
      <c r="C25821">
        <v>16559</v>
      </c>
      <c r="D25821" t="str">
        <f>"13517       "</f>
        <v xml:space="preserve">13517       </v>
      </c>
      <c r="E25821" t="s">
        <v>2612</v>
      </c>
      <c r="F25821" t="s">
        <v>2613</v>
      </c>
      <c r="G25821">
        <v>2645.54</v>
      </c>
      <c r="H25821">
        <v>251205</v>
      </c>
      <c r="I25821">
        <v>1198</v>
      </c>
      <c r="J25821" t="s">
        <v>610</v>
      </c>
      <c r="K25821">
        <v>2645.54</v>
      </c>
      <c r="L25821">
        <v>537.54</v>
      </c>
      <c r="M25821">
        <v>97511</v>
      </c>
      <c r="N25821" t="s">
        <v>1760</v>
      </c>
      <c r="O25821">
        <v>251210</v>
      </c>
      <c r="P25821">
        <v>2108</v>
      </c>
    </row>
    <row r="25822" spans="1:16" x14ac:dyDescent="0.25">
      <c r="A25822" t="s">
        <v>3296</v>
      </c>
      <c r="B25822" t="s">
        <v>2931</v>
      </c>
      <c r="C25822">
        <v>16628</v>
      </c>
      <c r="D25822" t="str">
        <f>"13521       "</f>
        <v xml:space="preserve">13521       </v>
      </c>
      <c r="E25822" t="s">
        <v>2612</v>
      </c>
      <c r="F25822" t="s">
        <v>2613</v>
      </c>
      <c r="G25822">
        <v>2133.5</v>
      </c>
      <c r="H25822">
        <v>251205</v>
      </c>
      <c r="I25822">
        <v>1198</v>
      </c>
      <c r="J25822" t="s">
        <v>610</v>
      </c>
      <c r="K25822">
        <v>2133.5</v>
      </c>
      <c r="L25822">
        <v>433.5</v>
      </c>
      <c r="M25822">
        <v>97628</v>
      </c>
      <c r="N25822" t="s">
        <v>737</v>
      </c>
      <c r="O25822">
        <v>251211</v>
      </c>
      <c r="P25822">
        <v>1700</v>
      </c>
    </row>
    <row r="25823" spans="1:16" x14ac:dyDescent="0.25">
      <c r="A25823" t="s">
        <v>3296</v>
      </c>
      <c r="B25823" t="s">
        <v>2931</v>
      </c>
      <c r="C25823">
        <v>16629</v>
      </c>
      <c r="D25823" t="str">
        <f>"13519       "</f>
        <v xml:space="preserve">13519       </v>
      </c>
      <c r="E25823" t="s">
        <v>2612</v>
      </c>
      <c r="F25823" t="s">
        <v>2613</v>
      </c>
      <c r="G25823">
        <v>2901.56</v>
      </c>
      <c r="H25823">
        <v>251205</v>
      </c>
      <c r="I25823">
        <v>1198</v>
      </c>
      <c r="J25823" t="s">
        <v>610</v>
      </c>
      <c r="K25823">
        <v>2901.56</v>
      </c>
      <c r="L25823">
        <v>589.55999999999995</v>
      </c>
      <c r="M25823">
        <v>95511</v>
      </c>
      <c r="N25823" t="s">
        <v>1947</v>
      </c>
      <c r="O25823">
        <v>251211</v>
      </c>
      <c r="P25823">
        <v>2312</v>
      </c>
    </row>
    <row r="25824" spans="1:16" x14ac:dyDescent="0.25">
      <c r="A25824" t="s">
        <v>3296</v>
      </c>
      <c r="B25824" t="s">
        <v>2931</v>
      </c>
      <c r="C25824">
        <v>16631</v>
      </c>
      <c r="D25824" t="str">
        <f>"13516       "</f>
        <v xml:space="preserve">13516       </v>
      </c>
      <c r="E25824" t="s">
        <v>2612</v>
      </c>
      <c r="F25824" t="s">
        <v>2613</v>
      </c>
      <c r="G25824">
        <v>2730.88</v>
      </c>
      <c r="H25824">
        <v>251205</v>
      </c>
      <c r="I25824">
        <v>1198</v>
      </c>
      <c r="J25824" t="s">
        <v>610</v>
      </c>
      <c r="K25824">
        <v>2730.88</v>
      </c>
      <c r="L25824">
        <v>554.88</v>
      </c>
      <c r="M25824">
        <v>95511</v>
      </c>
      <c r="N25824" t="s">
        <v>1947</v>
      </c>
      <c r="O25824">
        <v>251211</v>
      </c>
      <c r="P25824">
        <v>2176</v>
      </c>
    </row>
    <row r="25825" spans="1:16" x14ac:dyDescent="0.25">
      <c r="A25825" t="s">
        <v>3296</v>
      </c>
      <c r="B25825" t="s">
        <v>2931</v>
      </c>
      <c r="C25825">
        <v>16632</v>
      </c>
      <c r="D25825" t="str">
        <f>"13522       "</f>
        <v xml:space="preserve">13522       </v>
      </c>
      <c r="E25825" t="s">
        <v>2612</v>
      </c>
      <c r="F25825" t="s">
        <v>2613</v>
      </c>
      <c r="G25825">
        <v>2688.21</v>
      </c>
      <c r="H25825">
        <v>251205</v>
      </c>
      <c r="I25825">
        <v>1198</v>
      </c>
      <c r="J25825" t="s">
        <v>610</v>
      </c>
      <c r="K25825">
        <v>2688.21</v>
      </c>
      <c r="L25825">
        <v>546.21</v>
      </c>
      <c r="M25825">
        <v>97629</v>
      </c>
      <c r="N25825" t="s">
        <v>1110</v>
      </c>
      <c r="O25825">
        <v>251211</v>
      </c>
      <c r="P25825">
        <v>2142</v>
      </c>
    </row>
    <row r="25826" spans="1:16" x14ac:dyDescent="0.25">
      <c r="A25826" t="s">
        <v>3296</v>
      </c>
      <c r="B25826" t="s">
        <v>2931</v>
      </c>
      <c r="C25826">
        <v>16637</v>
      </c>
      <c r="D25826" t="str">
        <f>"13520       "</f>
        <v xml:space="preserve">13520       </v>
      </c>
      <c r="E25826" t="s">
        <v>2612</v>
      </c>
      <c r="F25826" t="s">
        <v>2613</v>
      </c>
      <c r="G25826">
        <v>1962.82</v>
      </c>
      <c r="H25826">
        <v>251205</v>
      </c>
      <c r="I25826">
        <v>1198</v>
      </c>
      <c r="J25826" t="s">
        <v>610</v>
      </c>
      <c r="K25826">
        <v>1962.82</v>
      </c>
      <c r="L25826">
        <v>398.82</v>
      </c>
      <c r="M25826">
        <v>95511</v>
      </c>
      <c r="N25826" t="s">
        <v>1947</v>
      </c>
      <c r="O25826">
        <v>251211</v>
      </c>
      <c r="P25826">
        <v>1564</v>
      </c>
    </row>
    <row r="25827" spans="1:16" x14ac:dyDescent="0.25">
      <c r="A25827" t="s">
        <v>3296</v>
      </c>
      <c r="B25827" t="s">
        <v>2931</v>
      </c>
      <c r="C25827">
        <v>17289</v>
      </c>
      <c r="D25827" t="str">
        <f>"13476       "</f>
        <v xml:space="preserve">13476       </v>
      </c>
      <c r="E25827" t="s">
        <v>2612</v>
      </c>
      <c r="F25827" t="s">
        <v>2613</v>
      </c>
      <c r="G25827">
        <v>2570.2399999999998</v>
      </c>
      <c r="H25827">
        <v>251212</v>
      </c>
      <c r="I25827">
        <v>1198</v>
      </c>
      <c r="J25827" t="s">
        <v>610</v>
      </c>
      <c r="K25827">
        <v>2570.2399999999998</v>
      </c>
      <c r="L25827">
        <v>522.24</v>
      </c>
      <c r="M25827">
        <v>95511</v>
      </c>
      <c r="N25827" t="s">
        <v>1947</v>
      </c>
      <c r="O25827">
        <v>251219</v>
      </c>
      <c r="P25827">
        <v>2048</v>
      </c>
    </row>
    <row r="25828" spans="1:16" x14ac:dyDescent="0.25">
      <c r="A25828" t="s">
        <v>3296</v>
      </c>
      <c r="B25828" t="s">
        <v>2931</v>
      </c>
      <c r="C25828">
        <v>17290</v>
      </c>
      <c r="D25828" t="str">
        <f>"13472       "</f>
        <v xml:space="preserve">13472       </v>
      </c>
      <c r="E25828" t="s">
        <v>2612</v>
      </c>
      <c r="F25828" t="s">
        <v>2613</v>
      </c>
      <c r="G25828">
        <v>1847.36</v>
      </c>
      <c r="H25828">
        <v>251212</v>
      </c>
      <c r="I25828">
        <v>1198</v>
      </c>
      <c r="J25828" t="s">
        <v>610</v>
      </c>
      <c r="K25828">
        <v>1847.36</v>
      </c>
      <c r="L25828">
        <v>375.36</v>
      </c>
      <c r="M25828">
        <v>95511</v>
      </c>
      <c r="N25828" t="s">
        <v>1947</v>
      </c>
      <c r="O25828">
        <v>251219</v>
      </c>
      <c r="P25828">
        <v>1472</v>
      </c>
    </row>
    <row r="25829" spans="1:16" x14ac:dyDescent="0.25">
      <c r="A25829" t="s">
        <v>3296</v>
      </c>
      <c r="B25829" t="s">
        <v>2931</v>
      </c>
      <c r="C25829">
        <v>17295</v>
      </c>
      <c r="D25829" t="str">
        <f>"13440       "</f>
        <v xml:space="preserve">13440       </v>
      </c>
      <c r="E25829" t="s">
        <v>2612</v>
      </c>
      <c r="F25829" t="s">
        <v>2613</v>
      </c>
      <c r="G25829">
        <v>2530.08</v>
      </c>
      <c r="H25829">
        <v>251212</v>
      </c>
      <c r="I25829">
        <v>1198</v>
      </c>
      <c r="J25829" t="s">
        <v>610</v>
      </c>
      <c r="K25829">
        <v>2530.08</v>
      </c>
      <c r="L25829">
        <v>514.08000000000004</v>
      </c>
      <c r="M25829">
        <v>97629</v>
      </c>
      <c r="N25829" t="s">
        <v>1110</v>
      </c>
      <c r="O25829">
        <v>251219</v>
      </c>
      <c r="P25829">
        <v>2016</v>
      </c>
    </row>
    <row r="25830" spans="1:16" x14ac:dyDescent="0.25">
      <c r="A25830" t="s">
        <v>3296</v>
      </c>
      <c r="B25830" t="s">
        <v>2931</v>
      </c>
      <c r="C25830">
        <v>17316</v>
      </c>
      <c r="D25830" t="str">
        <f>"13470       "</f>
        <v xml:space="preserve">13470       </v>
      </c>
      <c r="E25830" t="s">
        <v>2612</v>
      </c>
      <c r="F25830" t="s">
        <v>2613</v>
      </c>
      <c r="G25830">
        <v>2008</v>
      </c>
      <c r="H25830">
        <v>251218</v>
      </c>
      <c r="I25830">
        <v>1198</v>
      </c>
      <c r="J25830" t="s">
        <v>610</v>
      </c>
      <c r="K25830">
        <v>2008</v>
      </c>
      <c r="L25830">
        <v>408</v>
      </c>
      <c r="M25830">
        <v>97628</v>
      </c>
      <c r="N25830" t="s">
        <v>737</v>
      </c>
      <c r="O25830">
        <v>251219</v>
      </c>
      <c r="P25830">
        <v>1600</v>
      </c>
    </row>
    <row r="25831" spans="1:16" x14ac:dyDescent="0.25">
      <c r="A25831" t="s">
        <v>3296</v>
      </c>
      <c r="B25831" t="s">
        <v>2931</v>
      </c>
      <c r="C25831">
        <v>17317</v>
      </c>
      <c r="D25831" t="str">
        <f>"13474       "</f>
        <v xml:space="preserve">13474       </v>
      </c>
      <c r="E25831" t="s">
        <v>2612</v>
      </c>
      <c r="F25831" t="s">
        <v>2613</v>
      </c>
      <c r="G25831">
        <v>2730.88</v>
      </c>
      <c r="H25831">
        <v>251218</v>
      </c>
      <c r="I25831">
        <v>1198</v>
      </c>
      <c r="J25831" t="s">
        <v>610</v>
      </c>
      <c r="K25831">
        <v>2730.88</v>
      </c>
      <c r="L25831">
        <v>554.88</v>
      </c>
      <c r="M25831">
        <v>97629</v>
      </c>
      <c r="N25831" t="s">
        <v>1110</v>
      </c>
      <c r="O25831">
        <v>251219</v>
      </c>
      <c r="P25831">
        <v>2176</v>
      </c>
    </row>
    <row r="25832" spans="1:16" x14ac:dyDescent="0.25">
      <c r="A25832" t="s">
        <v>3296</v>
      </c>
      <c r="B25832" t="s">
        <v>2931</v>
      </c>
      <c r="C25832">
        <v>17318</v>
      </c>
      <c r="D25832" t="str">
        <f>"13534       "</f>
        <v xml:space="preserve">13534       </v>
      </c>
      <c r="E25832" t="s">
        <v>2612</v>
      </c>
      <c r="F25832" t="s">
        <v>2613</v>
      </c>
      <c r="G25832">
        <v>2730.88</v>
      </c>
      <c r="H25832">
        <v>251218</v>
      </c>
      <c r="I25832">
        <v>1198</v>
      </c>
      <c r="J25832" t="s">
        <v>610</v>
      </c>
      <c r="K25832">
        <v>2730.88</v>
      </c>
      <c r="L25832">
        <v>554.88</v>
      </c>
      <c r="M25832">
        <v>95511</v>
      </c>
      <c r="N25832" t="s">
        <v>1947</v>
      </c>
      <c r="O25832">
        <v>251219</v>
      </c>
      <c r="P25832">
        <v>2176</v>
      </c>
    </row>
    <row r="25833" spans="1:16" x14ac:dyDescent="0.25">
      <c r="A25833" t="s">
        <v>3296</v>
      </c>
      <c r="B25833" t="s">
        <v>2931</v>
      </c>
      <c r="C25833">
        <v>17599</v>
      </c>
      <c r="D25833" t="str">
        <f>"13475       "</f>
        <v xml:space="preserve">13475       </v>
      </c>
      <c r="E25833" t="s">
        <v>2612</v>
      </c>
      <c r="F25833" t="s">
        <v>2613</v>
      </c>
      <c r="G25833">
        <v>2489.92</v>
      </c>
      <c r="H25833">
        <v>251218</v>
      </c>
      <c r="I25833">
        <v>1198</v>
      </c>
      <c r="J25833" t="s">
        <v>610</v>
      </c>
      <c r="K25833">
        <v>2489.92</v>
      </c>
      <c r="L25833">
        <v>505.92</v>
      </c>
      <c r="M25833">
        <v>97511</v>
      </c>
      <c r="N25833" t="s">
        <v>1760</v>
      </c>
      <c r="O25833">
        <v>251223</v>
      </c>
      <c r="P25833">
        <v>1984</v>
      </c>
    </row>
    <row r="25834" spans="1:16" x14ac:dyDescent="0.25">
      <c r="A25834" t="s">
        <v>3296</v>
      </c>
      <c r="B25834" t="s">
        <v>2931</v>
      </c>
      <c r="C25834">
        <v>18585</v>
      </c>
      <c r="D25834" t="str">
        <f>"13647       "</f>
        <v xml:space="preserve">13647       </v>
      </c>
      <c r="E25834" t="s">
        <v>2612</v>
      </c>
      <c r="F25834" t="s">
        <v>2613</v>
      </c>
      <c r="G25834">
        <v>203.31</v>
      </c>
      <c r="H25834">
        <v>251231</v>
      </c>
      <c r="I25834">
        <v>4369</v>
      </c>
      <c r="J25834" t="s">
        <v>188</v>
      </c>
      <c r="K25834">
        <v>442.53</v>
      </c>
      <c r="L25834">
        <v>41.31</v>
      </c>
      <c r="M25834">
        <v>17981</v>
      </c>
      <c r="N25834" t="s">
        <v>927</v>
      </c>
      <c r="O25834">
        <v>260116</v>
      </c>
      <c r="P25834">
        <v>162</v>
      </c>
    </row>
    <row r="25835" spans="1:16" x14ac:dyDescent="0.25">
      <c r="A25835" t="s">
        <v>3296</v>
      </c>
      <c r="B25835" t="s">
        <v>2931</v>
      </c>
      <c r="C25835">
        <v>18585</v>
      </c>
      <c r="D25835" t="str">
        <f>"13647       "</f>
        <v xml:space="preserve">13647       </v>
      </c>
      <c r="E25835" t="s">
        <v>2612</v>
      </c>
      <c r="F25835" t="s">
        <v>2613</v>
      </c>
      <c r="G25835">
        <v>169.43</v>
      </c>
      <c r="H25835">
        <v>251231</v>
      </c>
      <c r="I25835">
        <v>4369</v>
      </c>
      <c r="J25835" t="s">
        <v>188</v>
      </c>
      <c r="K25835">
        <v>442.53</v>
      </c>
      <c r="L25835">
        <v>34.43</v>
      </c>
      <c r="M25835">
        <v>59806</v>
      </c>
      <c r="N25835" t="s">
        <v>2599</v>
      </c>
      <c r="O25835">
        <v>260116</v>
      </c>
      <c r="P25835">
        <v>135</v>
      </c>
    </row>
    <row r="25836" spans="1:16" x14ac:dyDescent="0.25">
      <c r="A25836" t="s">
        <v>3296</v>
      </c>
      <c r="B25836" t="s">
        <v>2931</v>
      </c>
      <c r="C25836">
        <v>18585</v>
      </c>
      <c r="D25836" t="str">
        <f>"13647       "</f>
        <v xml:space="preserve">13647       </v>
      </c>
      <c r="E25836" t="s">
        <v>2612</v>
      </c>
      <c r="F25836" t="s">
        <v>2613</v>
      </c>
      <c r="G25836">
        <v>67.77</v>
      </c>
      <c r="H25836">
        <v>251231</v>
      </c>
      <c r="I25836">
        <v>4369</v>
      </c>
      <c r="J25836" t="s">
        <v>188</v>
      </c>
      <c r="K25836">
        <v>442.53</v>
      </c>
      <c r="L25836">
        <v>13.77</v>
      </c>
      <c r="M25836">
        <v>69801</v>
      </c>
      <c r="N25836" t="s">
        <v>1077</v>
      </c>
      <c r="O25836">
        <v>260116</v>
      </c>
      <c r="P25836">
        <v>54</v>
      </c>
    </row>
    <row r="25837" spans="1:16" x14ac:dyDescent="0.25">
      <c r="A25837" t="s">
        <v>3296</v>
      </c>
      <c r="B25837" t="s">
        <v>2931</v>
      </c>
      <c r="C25837">
        <v>8964</v>
      </c>
      <c r="D25837" t="str">
        <f>"2252115     "</f>
        <v xml:space="preserve">2252115     </v>
      </c>
      <c r="E25837" t="s">
        <v>543</v>
      </c>
      <c r="F25837" t="s">
        <v>544</v>
      </c>
      <c r="G25837">
        <v>12.55</v>
      </c>
      <c r="H25837">
        <v>250613</v>
      </c>
      <c r="I25837">
        <v>4347</v>
      </c>
      <c r="J25837" t="s">
        <v>328</v>
      </c>
      <c r="K25837">
        <v>1055.73</v>
      </c>
      <c r="L25837">
        <v>2.5499999999999998</v>
      </c>
      <c r="M25837">
        <v>17538</v>
      </c>
      <c r="N25837" t="s">
        <v>129</v>
      </c>
      <c r="O25837">
        <v>250619</v>
      </c>
      <c r="P25837">
        <v>10</v>
      </c>
    </row>
    <row r="25838" spans="1:16" x14ac:dyDescent="0.25">
      <c r="A25838" t="s">
        <v>3296</v>
      </c>
      <c r="B25838" t="s">
        <v>2931</v>
      </c>
      <c r="C25838">
        <v>1371</v>
      </c>
      <c r="D25838" t="str">
        <f>"2194212     "</f>
        <v xml:space="preserve">2194212     </v>
      </c>
      <c r="E25838" t="s">
        <v>543</v>
      </c>
      <c r="F25838" t="s">
        <v>544</v>
      </c>
      <c r="G25838">
        <v>12.55</v>
      </c>
      <c r="H25838">
        <v>250120</v>
      </c>
      <c r="I25838">
        <v>4364</v>
      </c>
      <c r="J25838" t="s">
        <v>470</v>
      </c>
      <c r="K25838">
        <v>935.64</v>
      </c>
      <c r="L25838">
        <v>2.5499999999999998</v>
      </c>
      <c r="M25838">
        <v>17971</v>
      </c>
      <c r="N25838" t="s">
        <v>27</v>
      </c>
      <c r="O25838">
        <v>250207</v>
      </c>
      <c r="P25838">
        <v>10</v>
      </c>
    </row>
    <row r="25839" spans="1:16" x14ac:dyDescent="0.25">
      <c r="A25839" t="s">
        <v>3296</v>
      </c>
      <c r="B25839" t="s">
        <v>2931</v>
      </c>
      <c r="C25839">
        <v>2863</v>
      </c>
      <c r="D25839" t="str">
        <f>"2207189     "</f>
        <v xml:space="preserve">2207189     </v>
      </c>
      <c r="E25839" t="s">
        <v>543</v>
      </c>
      <c r="F25839" t="s">
        <v>544</v>
      </c>
      <c r="G25839">
        <v>12.55</v>
      </c>
      <c r="H25839">
        <v>250219</v>
      </c>
      <c r="I25839">
        <v>4364</v>
      </c>
      <c r="J25839" t="s">
        <v>470</v>
      </c>
      <c r="K25839">
        <v>372.63</v>
      </c>
      <c r="L25839">
        <v>2.5499999999999998</v>
      </c>
      <c r="M25839">
        <v>17538</v>
      </c>
      <c r="N25839" t="s">
        <v>129</v>
      </c>
      <c r="O25839">
        <v>250312</v>
      </c>
      <c r="P25839">
        <v>10</v>
      </c>
    </row>
    <row r="25840" spans="1:16" x14ac:dyDescent="0.25">
      <c r="A25840" t="s">
        <v>3296</v>
      </c>
      <c r="B25840" t="s">
        <v>2931</v>
      </c>
      <c r="C25840">
        <v>4081</v>
      </c>
      <c r="D25840" t="str">
        <f>"2214325     "</f>
        <v xml:space="preserve">2214325     </v>
      </c>
      <c r="E25840" t="s">
        <v>543</v>
      </c>
      <c r="F25840" t="s">
        <v>544</v>
      </c>
      <c r="G25840">
        <v>12.55</v>
      </c>
      <c r="H25840">
        <v>250307</v>
      </c>
      <c r="I25840">
        <v>4364</v>
      </c>
      <c r="J25840" t="s">
        <v>470</v>
      </c>
      <c r="K25840">
        <v>209.85</v>
      </c>
      <c r="L25840">
        <v>2.5499999999999998</v>
      </c>
      <c r="M25840">
        <v>17971</v>
      </c>
      <c r="N25840" t="s">
        <v>27</v>
      </c>
      <c r="O25840">
        <v>250407</v>
      </c>
      <c r="P25840">
        <v>10</v>
      </c>
    </row>
    <row r="25841" spans="1:16" x14ac:dyDescent="0.25">
      <c r="A25841" t="s">
        <v>3296</v>
      </c>
      <c r="B25841" t="s">
        <v>2931</v>
      </c>
      <c r="C25841">
        <v>12417</v>
      </c>
      <c r="D25841" t="str">
        <f>"2282926     "</f>
        <v xml:space="preserve">2282926     </v>
      </c>
      <c r="E25841" t="s">
        <v>543</v>
      </c>
      <c r="F25841" t="s">
        <v>544</v>
      </c>
      <c r="G25841">
        <v>12.55</v>
      </c>
      <c r="H25841">
        <v>250911</v>
      </c>
      <c r="I25841">
        <v>4364</v>
      </c>
      <c r="J25841" t="s">
        <v>470</v>
      </c>
      <c r="K25841">
        <v>687.76</v>
      </c>
      <c r="L25841">
        <v>2.5499999999999998</v>
      </c>
      <c r="M25841">
        <v>17971</v>
      </c>
      <c r="N25841" t="s">
        <v>27</v>
      </c>
      <c r="O25841">
        <v>250919</v>
      </c>
      <c r="P25841">
        <v>10</v>
      </c>
    </row>
    <row r="25842" spans="1:16" x14ac:dyDescent="0.25">
      <c r="A25842" t="s">
        <v>3296</v>
      </c>
      <c r="B25842" t="s">
        <v>2931</v>
      </c>
      <c r="C25842">
        <v>14414</v>
      </c>
      <c r="D25842" t="str">
        <f>"2300128     "</f>
        <v xml:space="preserve">2300128     </v>
      </c>
      <c r="E25842" t="s">
        <v>543</v>
      </c>
      <c r="F25842" t="s">
        <v>544</v>
      </c>
      <c r="G25842">
        <v>12.55</v>
      </c>
      <c r="H25842">
        <v>251027</v>
      </c>
      <c r="I25842">
        <v>4364</v>
      </c>
      <c r="J25842" t="s">
        <v>470</v>
      </c>
      <c r="K25842">
        <v>494.58</v>
      </c>
      <c r="L25842">
        <v>2.5499999999999998</v>
      </c>
      <c r="M25842">
        <v>17972</v>
      </c>
      <c r="N25842" t="s">
        <v>28</v>
      </c>
      <c r="O25842">
        <v>251031</v>
      </c>
      <c r="P25842">
        <v>10</v>
      </c>
    </row>
    <row r="25843" spans="1:16" x14ac:dyDescent="0.25">
      <c r="A25843" t="s">
        <v>3296</v>
      </c>
      <c r="B25843" t="s">
        <v>2931</v>
      </c>
      <c r="C25843">
        <v>15274</v>
      </c>
      <c r="D25843" t="str">
        <f>"2301744     "</f>
        <v xml:space="preserve">2301744     </v>
      </c>
      <c r="E25843" t="s">
        <v>543</v>
      </c>
      <c r="F25843" t="s">
        <v>544</v>
      </c>
      <c r="G25843">
        <v>12.55</v>
      </c>
      <c r="H25843">
        <v>251030</v>
      </c>
      <c r="I25843">
        <v>4364</v>
      </c>
      <c r="J25843" t="s">
        <v>470</v>
      </c>
      <c r="K25843">
        <v>2309.17</v>
      </c>
      <c r="L25843">
        <v>2.5499999999999998</v>
      </c>
      <c r="M25843">
        <v>17971</v>
      </c>
      <c r="N25843" t="s">
        <v>27</v>
      </c>
      <c r="O25843">
        <v>251117</v>
      </c>
      <c r="P25843">
        <v>10</v>
      </c>
    </row>
    <row r="25844" spans="1:16" x14ac:dyDescent="0.25">
      <c r="A25844" t="s">
        <v>3296</v>
      </c>
      <c r="B25844" t="s">
        <v>2931</v>
      </c>
      <c r="C25844">
        <v>14597</v>
      </c>
      <c r="D25844" t="str">
        <f>"2297489     "</f>
        <v xml:space="preserve">2297489     </v>
      </c>
      <c r="E25844" t="s">
        <v>543</v>
      </c>
      <c r="F25844" t="s">
        <v>544</v>
      </c>
      <c r="G25844">
        <v>12.55</v>
      </c>
      <c r="H25844">
        <v>251017</v>
      </c>
      <c r="I25844">
        <v>4420</v>
      </c>
      <c r="J25844" t="s">
        <v>330</v>
      </c>
      <c r="K25844">
        <v>223.06</v>
      </c>
      <c r="L25844">
        <v>2.5499999999999998</v>
      </c>
      <c r="M25844">
        <v>17808</v>
      </c>
      <c r="N25844" t="s">
        <v>24</v>
      </c>
      <c r="O25844">
        <v>251105</v>
      </c>
      <c r="P25844">
        <v>10</v>
      </c>
    </row>
    <row r="25845" spans="1:16" x14ac:dyDescent="0.25">
      <c r="A25845" t="s">
        <v>3296</v>
      </c>
      <c r="B25845" t="s">
        <v>2931</v>
      </c>
      <c r="C25845">
        <v>486</v>
      </c>
      <c r="D25845" t="str">
        <f t="shared" ref="D25845:D25854" si="552">"2189301     "</f>
        <v xml:space="preserve">2189301     </v>
      </c>
      <c r="E25845" t="s">
        <v>543</v>
      </c>
      <c r="F25845" t="s">
        <v>544</v>
      </c>
      <c r="G25845">
        <v>21.17</v>
      </c>
      <c r="H25845">
        <v>250107</v>
      </c>
      <c r="I25845">
        <v>4500</v>
      </c>
      <c r="J25845" t="s">
        <v>312</v>
      </c>
      <c r="K25845">
        <v>198.53</v>
      </c>
      <c r="L25845">
        <v>4.3</v>
      </c>
      <c r="M25845">
        <v>14121</v>
      </c>
      <c r="N25845" t="s">
        <v>71</v>
      </c>
      <c r="O25845">
        <v>250123</v>
      </c>
      <c r="P25845">
        <v>16.87</v>
      </c>
    </row>
    <row r="25846" spans="1:16" x14ac:dyDescent="0.25">
      <c r="A25846" t="s">
        <v>3296</v>
      </c>
      <c r="B25846" t="s">
        <v>2931</v>
      </c>
      <c r="C25846">
        <v>486</v>
      </c>
      <c r="D25846" t="str">
        <f t="shared" si="552"/>
        <v xml:space="preserve">2189301     </v>
      </c>
      <c r="E25846" t="s">
        <v>543</v>
      </c>
      <c r="F25846" t="s">
        <v>544</v>
      </c>
      <c r="G25846">
        <v>12.51</v>
      </c>
      <c r="H25846">
        <v>250107</v>
      </c>
      <c r="I25846">
        <v>4500</v>
      </c>
      <c r="J25846" t="s">
        <v>312</v>
      </c>
      <c r="K25846">
        <v>198.53</v>
      </c>
      <c r="L25846">
        <v>2.54</v>
      </c>
      <c r="M25846">
        <v>14321</v>
      </c>
      <c r="N25846" t="s">
        <v>72</v>
      </c>
      <c r="O25846">
        <v>250123</v>
      </c>
      <c r="P25846">
        <v>9.9700000000000006</v>
      </c>
    </row>
    <row r="25847" spans="1:16" x14ac:dyDescent="0.25">
      <c r="A25847" t="s">
        <v>3296</v>
      </c>
      <c r="B25847" t="s">
        <v>2931</v>
      </c>
      <c r="C25847">
        <v>486</v>
      </c>
      <c r="D25847" t="str">
        <f t="shared" si="552"/>
        <v xml:space="preserve">2189301     </v>
      </c>
      <c r="E25847" t="s">
        <v>543</v>
      </c>
      <c r="F25847" t="s">
        <v>544</v>
      </c>
      <c r="G25847">
        <v>8.66</v>
      </c>
      <c r="H25847">
        <v>250107</v>
      </c>
      <c r="I25847">
        <v>4500</v>
      </c>
      <c r="J25847" t="s">
        <v>312</v>
      </c>
      <c r="K25847">
        <v>198.53</v>
      </c>
      <c r="L25847">
        <v>1.76</v>
      </c>
      <c r="M25847">
        <v>14422</v>
      </c>
      <c r="N25847" t="s">
        <v>73</v>
      </c>
      <c r="O25847">
        <v>250123</v>
      </c>
      <c r="P25847">
        <v>6.9</v>
      </c>
    </row>
    <row r="25848" spans="1:16" x14ac:dyDescent="0.25">
      <c r="A25848" t="s">
        <v>3296</v>
      </c>
      <c r="B25848" t="s">
        <v>2931</v>
      </c>
      <c r="C25848">
        <v>486</v>
      </c>
      <c r="D25848" t="str">
        <f t="shared" si="552"/>
        <v xml:space="preserve">2189301     </v>
      </c>
      <c r="E25848" t="s">
        <v>543</v>
      </c>
      <c r="F25848" t="s">
        <v>544</v>
      </c>
      <c r="G25848">
        <v>4.53</v>
      </c>
      <c r="H25848">
        <v>250107</v>
      </c>
      <c r="I25848">
        <v>4500</v>
      </c>
      <c r="J25848" t="s">
        <v>312</v>
      </c>
      <c r="K25848">
        <v>198.53</v>
      </c>
      <c r="L25848">
        <v>0.92</v>
      </c>
      <c r="M25848">
        <v>14432</v>
      </c>
      <c r="N25848" t="s">
        <v>75</v>
      </c>
      <c r="O25848">
        <v>250123</v>
      </c>
      <c r="P25848">
        <v>3.61</v>
      </c>
    </row>
    <row r="25849" spans="1:16" x14ac:dyDescent="0.25">
      <c r="A25849" t="s">
        <v>3296</v>
      </c>
      <c r="B25849" t="s">
        <v>2931</v>
      </c>
      <c r="C25849">
        <v>486</v>
      </c>
      <c r="D25849" t="str">
        <f t="shared" si="552"/>
        <v xml:space="preserve">2189301     </v>
      </c>
      <c r="E25849" t="s">
        <v>543</v>
      </c>
      <c r="F25849" t="s">
        <v>544</v>
      </c>
      <c r="G25849">
        <v>8.66</v>
      </c>
      <c r="H25849">
        <v>250107</v>
      </c>
      <c r="I25849">
        <v>4500</v>
      </c>
      <c r="J25849" t="s">
        <v>312</v>
      </c>
      <c r="K25849">
        <v>198.53</v>
      </c>
      <c r="L25849">
        <v>1.76</v>
      </c>
      <c r="M25849">
        <v>14541</v>
      </c>
      <c r="N25849" t="s">
        <v>76</v>
      </c>
      <c r="O25849">
        <v>250123</v>
      </c>
      <c r="P25849">
        <v>6.9</v>
      </c>
    </row>
    <row r="25850" spans="1:16" x14ac:dyDescent="0.25">
      <c r="A25850" t="s">
        <v>3296</v>
      </c>
      <c r="B25850" t="s">
        <v>2931</v>
      </c>
      <c r="C25850">
        <v>486</v>
      </c>
      <c r="D25850" t="str">
        <f t="shared" si="552"/>
        <v xml:space="preserve">2189301     </v>
      </c>
      <c r="E25850" t="s">
        <v>543</v>
      </c>
      <c r="F25850" t="s">
        <v>544</v>
      </c>
      <c r="G25850">
        <v>30.8</v>
      </c>
      <c r="H25850">
        <v>250107</v>
      </c>
      <c r="I25850">
        <v>4500</v>
      </c>
      <c r="J25850" t="s">
        <v>312</v>
      </c>
      <c r="K25850">
        <v>198.53</v>
      </c>
      <c r="L25850">
        <v>6.26</v>
      </c>
      <c r="M25850">
        <v>14622</v>
      </c>
      <c r="N25850" t="s">
        <v>77</v>
      </c>
      <c r="O25850">
        <v>250123</v>
      </c>
      <c r="P25850">
        <v>24.54</v>
      </c>
    </row>
    <row r="25851" spans="1:16" x14ac:dyDescent="0.25">
      <c r="A25851" t="s">
        <v>3296</v>
      </c>
      <c r="B25851" t="s">
        <v>2931</v>
      </c>
      <c r="C25851">
        <v>486</v>
      </c>
      <c r="D25851" t="str">
        <f t="shared" si="552"/>
        <v xml:space="preserve">2189301     </v>
      </c>
      <c r="E25851" t="s">
        <v>543</v>
      </c>
      <c r="F25851" t="s">
        <v>544</v>
      </c>
      <c r="G25851">
        <v>7.7</v>
      </c>
      <c r="H25851">
        <v>250107</v>
      </c>
      <c r="I25851">
        <v>4500</v>
      </c>
      <c r="J25851" t="s">
        <v>312</v>
      </c>
      <c r="K25851">
        <v>198.53</v>
      </c>
      <c r="L25851">
        <v>1.56</v>
      </c>
      <c r="M25851">
        <v>14640</v>
      </c>
      <c r="N25851" t="s">
        <v>78</v>
      </c>
      <c r="O25851">
        <v>250123</v>
      </c>
      <c r="P25851">
        <v>6.14</v>
      </c>
    </row>
    <row r="25852" spans="1:16" x14ac:dyDescent="0.25">
      <c r="A25852" t="s">
        <v>3296</v>
      </c>
      <c r="B25852" t="s">
        <v>2931</v>
      </c>
      <c r="C25852">
        <v>486</v>
      </c>
      <c r="D25852" t="str">
        <f t="shared" si="552"/>
        <v xml:space="preserve">2189301     </v>
      </c>
      <c r="E25852" t="s">
        <v>543</v>
      </c>
      <c r="F25852" t="s">
        <v>544</v>
      </c>
      <c r="G25852">
        <v>6.74</v>
      </c>
      <c r="H25852">
        <v>250107</v>
      </c>
      <c r="I25852">
        <v>4500</v>
      </c>
      <c r="J25852" t="s">
        <v>312</v>
      </c>
      <c r="K25852">
        <v>198.53</v>
      </c>
      <c r="L25852">
        <v>1.37</v>
      </c>
      <c r="M25852">
        <v>14861</v>
      </c>
      <c r="N25852" t="s">
        <v>79</v>
      </c>
      <c r="O25852">
        <v>250123</v>
      </c>
      <c r="P25852">
        <v>5.37</v>
      </c>
    </row>
    <row r="25853" spans="1:16" x14ac:dyDescent="0.25">
      <c r="A25853" t="s">
        <v>3296</v>
      </c>
      <c r="B25853" t="s">
        <v>2931</v>
      </c>
      <c r="C25853">
        <v>486</v>
      </c>
      <c r="D25853" t="str">
        <f t="shared" si="552"/>
        <v xml:space="preserve">2189301     </v>
      </c>
      <c r="E25853" t="s">
        <v>543</v>
      </c>
      <c r="F25853" t="s">
        <v>544</v>
      </c>
      <c r="G25853">
        <v>10.69</v>
      </c>
      <c r="H25853">
        <v>250107</v>
      </c>
      <c r="I25853">
        <v>4500</v>
      </c>
      <c r="J25853" t="s">
        <v>312</v>
      </c>
      <c r="K25853">
        <v>198.53</v>
      </c>
      <c r="L25853">
        <v>2.17</v>
      </c>
      <c r="M25853">
        <v>14972</v>
      </c>
      <c r="N25853" t="s">
        <v>82</v>
      </c>
      <c r="O25853">
        <v>250123</v>
      </c>
      <c r="P25853">
        <v>8.52</v>
      </c>
    </row>
    <row r="25854" spans="1:16" x14ac:dyDescent="0.25">
      <c r="A25854" t="s">
        <v>3296</v>
      </c>
      <c r="B25854" t="s">
        <v>2931</v>
      </c>
      <c r="C25854">
        <v>486</v>
      </c>
      <c r="D25854" t="str">
        <f t="shared" si="552"/>
        <v xml:space="preserve">2189301     </v>
      </c>
      <c r="E25854" t="s">
        <v>543</v>
      </c>
      <c r="F25854" t="s">
        <v>544</v>
      </c>
      <c r="G25854">
        <v>87.07</v>
      </c>
      <c r="H25854">
        <v>250107</v>
      </c>
      <c r="I25854">
        <v>4500</v>
      </c>
      <c r="J25854" t="s">
        <v>312</v>
      </c>
      <c r="K25854">
        <v>198.53</v>
      </c>
      <c r="L25854">
        <v>17.690000000000001</v>
      </c>
      <c r="M25854">
        <v>18120</v>
      </c>
      <c r="N25854" t="s">
        <v>37</v>
      </c>
      <c r="O25854">
        <v>250123</v>
      </c>
      <c r="P25854">
        <v>69.38</v>
      </c>
    </row>
    <row r="25855" spans="1:16" x14ac:dyDescent="0.25">
      <c r="A25855" t="s">
        <v>3296</v>
      </c>
      <c r="B25855" t="s">
        <v>2931</v>
      </c>
      <c r="C25855">
        <v>509</v>
      </c>
      <c r="D25855" t="str">
        <f>"2192515     "</f>
        <v xml:space="preserve">2192515     </v>
      </c>
      <c r="E25855" t="s">
        <v>543</v>
      </c>
      <c r="F25855" t="s">
        <v>544</v>
      </c>
      <c r="G25855">
        <v>19.82</v>
      </c>
      <c r="H25855">
        <v>250115</v>
      </c>
      <c r="I25855">
        <v>4500</v>
      </c>
      <c r="J25855" t="s">
        <v>312</v>
      </c>
      <c r="K25855">
        <v>284.94</v>
      </c>
      <c r="L25855">
        <v>4.03</v>
      </c>
      <c r="M25855">
        <v>18971</v>
      </c>
      <c r="N25855" t="s">
        <v>38</v>
      </c>
      <c r="O25855">
        <v>250123</v>
      </c>
      <c r="P25855">
        <v>15.79</v>
      </c>
    </row>
    <row r="25856" spans="1:16" x14ac:dyDescent="0.25">
      <c r="A25856" t="s">
        <v>3296</v>
      </c>
      <c r="B25856" t="s">
        <v>2931</v>
      </c>
      <c r="C25856">
        <v>509</v>
      </c>
      <c r="D25856" t="str">
        <f>"2192515     "</f>
        <v xml:space="preserve">2192515     </v>
      </c>
      <c r="E25856" t="s">
        <v>543</v>
      </c>
      <c r="F25856" t="s">
        <v>544</v>
      </c>
      <c r="G25856">
        <v>44.74</v>
      </c>
      <c r="H25856">
        <v>250115</v>
      </c>
      <c r="I25856">
        <v>4500</v>
      </c>
      <c r="J25856" t="s">
        <v>312</v>
      </c>
      <c r="K25856">
        <v>284.94</v>
      </c>
      <c r="L25856">
        <v>9.09</v>
      </c>
      <c r="M25856">
        <v>59701</v>
      </c>
      <c r="N25856" t="s">
        <v>64</v>
      </c>
      <c r="O25856">
        <v>250123</v>
      </c>
      <c r="P25856">
        <v>35.65</v>
      </c>
    </row>
    <row r="25857" spans="1:16" x14ac:dyDescent="0.25">
      <c r="A25857" t="s">
        <v>3296</v>
      </c>
      <c r="B25857" t="s">
        <v>2931</v>
      </c>
      <c r="C25857">
        <v>509</v>
      </c>
      <c r="D25857" t="str">
        <f>"2192515     "</f>
        <v xml:space="preserve">2192515     </v>
      </c>
      <c r="E25857" t="s">
        <v>543</v>
      </c>
      <c r="F25857" t="s">
        <v>544</v>
      </c>
      <c r="G25857">
        <v>220.38</v>
      </c>
      <c r="H25857">
        <v>250115</v>
      </c>
      <c r="I25857">
        <v>4500</v>
      </c>
      <c r="J25857" t="s">
        <v>312</v>
      </c>
      <c r="K25857">
        <v>284.94</v>
      </c>
      <c r="L25857">
        <v>44.78</v>
      </c>
      <c r="M25857">
        <v>59702</v>
      </c>
      <c r="N25857" t="s">
        <v>45</v>
      </c>
      <c r="O25857">
        <v>250123</v>
      </c>
      <c r="P25857">
        <v>175.6</v>
      </c>
    </row>
    <row r="25858" spans="1:16" x14ac:dyDescent="0.25">
      <c r="A25858" t="s">
        <v>3296</v>
      </c>
      <c r="B25858" t="s">
        <v>2931</v>
      </c>
      <c r="C25858">
        <v>546</v>
      </c>
      <c r="D25858" t="str">
        <f t="shared" ref="D25858:D25865" si="553">"2193157     "</f>
        <v xml:space="preserve">2193157     </v>
      </c>
      <c r="E25858" t="s">
        <v>543</v>
      </c>
      <c r="F25858" t="s">
        <v>544</v>
      </c>
      <c r="G25858">
        <v>54.97</v>
      </c>
      <c r="H25858">
        <v>250116</v>
      </c>
      <c r="I25858">
        <v>4500</v>
      </c>
      <c r="J25858" t="s">
        <v>312</v>
      </c>
      <c r="K25858">
        <v>277.61</v>
      </c>
      <c r="L25858">
        <v>11.17</v>
      </c>
      <c r="M25858">
        <v>14121</v>
      </c>
      <c r="N25858" t="s">
        <v>71</v>
      </c>
      <c r="O25858">
        <v>250123</v>
      </c>
      <c r="P25858">
        <v>43.8</v>
      </c>
    </row>
    <row r="25859" spans="1:16" x14ac:dyDescent="0.25">
      <c r="A25859" t="s">
        <v>3296</v>
      </c>
      <c r="B25859" t="s">
        <v>2931</v>
      </c>
      <c r="C25859">
        <v>546</v>
      </c>
      <c r="D25859" t="str">
        <f t="shared" si="553"/>
        <v xml:space="preserve">2193157     </v>
      </c>
      <c r="E25859" t="s">
        <v>543</v>
      </c>
      <c r="F25859" t="s">
        <v>544</v>
      </c>
      <c r="G25859">
        <v>32.479999999999997</v>
      </c>
      <c r="H25859">
        <v>250116</v>
      </c>
      <c r="I25859">
        <v>4500</v>
      </c>
      <c r="J25859" t="s">
        <v>312</v>
      </c>
      <c r="K25859">
        <v>277.61</v>
      </c>
      <c r="L25859">
        <v>6.6</v>
      </c>
      <c r="M25859">
        <v>14321</v>
      </c>
      <c r="N25859" t="s">
        <v>72</v>
      </c>
      <c r="O25859">
        <v>250123</v>
      </c>
      <c r="P25859">
        <v>25.88</v>
      </c>
    </row>
    <row r="25860" spans="1:16" x14ac:dyDescent="0.25">
      <c r="A25860" t="s">
        <v>3296</v>
      </c>
      <c r="B25860" t="s">
        <v>2931</v>
      </c>
      <c r="C25860">
        <v>546</v>
      </c>
      <c r="D25860" t="str">
        <f t="shared" si="553"/>
        <v xml:space="preserve">2193157     </v>
      </c>
      <c r="E25860" t="s">
        <v>543</v>
      </c>
      <c r="F25860" t="s">
        <v>544</v>
      </c>
      <c r="G25860">
        <v>22.49</v>
      </c>
      <c r="H25860">
        <v>250116</v>
      </c>
      <c r="I25860">
        <v>4500</v>
      </c>
      <c r="J25860" t="s">
        <v>312</v>
      </c>
      <c r="K25860">
        <v>277.61</v>
      </c>
      <c r="L25860">
        <v>4.57</v>
      </c>
      <c r="M25860">
        <v>14422</v>
      </c>
      <c r="N25860" t="s">
        <v>73</v>
      </c>
      <c r="O25860">
        <v>250123</v>
      </c>
      <c r="P25860">
        <v>17.920000000000002</v>
      </c>
    </row>
    <row r="25861" spans="1:16" x14ac:dyDescent="0.25">
      <c r="A25861" t="s">
        <v>3296</v>
      </c>
      <c r="B25861" t="s">
        <v>2931</v>
      </c>
      <c r="C25861">
        <v>546</v>
      </c>
      <c r="D25861" t="str">
        <f t="shared" si="553"/>
        <v xml:space="preserve">2193157     </v>
      </c>
      <c r="E25861" t="s">
        <v>543</v>
      </c>
      <c r="F25861" t="s">
        <v>544</v>
      </c>
      <c r="G25861">
        <v>22.49</v>
      </c>
      <c r="H25861">
        <v>250116</v>
      </c>
      <c r="I25861">
        <v>4500</v>
      </c>
      <c r="J25861" t="s">
        <v>312</v>
      </c>
      <c r="K25861">
        <v>277.61</v>
      </c>
      <c r="L25861">
        <v>4.57</v>
      </c>
      <c r="M25861">
        <v>14541</v>
      </c>
      <c r="N25861" t="s">
        <v>76</v>
      </c>
      <c r="O25861">
        <v>250123</v>
      </c>
      <c r="P25861">
        <v>17.920000000000002</v>
      </c>
    </row>
    <row r="25862" spans="1:16" x14ac:dyDescent="0.25">
      <c r="A25862" t="s">
        <v>3296</v>
      </c>
      <c r="B25862" t="s">
        <v>2931</v>
      </c>
      <c r="C25862">
        <v>546</v>
      </c>
      <c r="D25862" t="str">
        <f t="shared" si="553"/>
        <v xml:space="preserve">2193157     </v>
      </c>
      <c r="E25862" t="s">
        <v>543</v>
      </c>
      <c r="F25862" t="s">
        <v>544</v>
      </c>
      <c r="G25862">
        <v>79.95</v>
      </c>
      <c r="H25862">
        <v>250116</v>
      </c>
      <c r="I25862">
        <v>4500</v>
      </c>
      <c r="J25862" t="s">
        <v>312</v>
      </c>
      <c r="K25862">
        <v>277.61</v>
      </c>
      <c r="L25862">
        <v>16.239999999999998</v>
      </c>
      <c r="M25862">
        <v>14622</v>
      </c>
      <c r="N25862" t="s">
        <v>77</v>
      </c>
      <c r="O25862">
        <v>250123</v>
      </c>
      <c r="P25862">
        <v>63.71</v>
      </c>
    </row>
    <row r="25863" spans="1:16" x14ac:dyDescent="0.25">
      <c r="A25863" t="s">
        <v>3296</v>
      </c>
      <c r="B25863" t="s">
        <v>2931</v>
      </c>
      <c r="C25863">
        <v>546</v>
      </c>
      <c r="D25863" t="str">
        <f t="shared" si="553"/>
        <v xml:space="preserve">2193157     </v>
      </c>
      <c r="E25863" t="s">
        <v>543</v>
      </c>
      <c r="F25863" t="s">
        <v>544</v>
      </c>
      <c r="G25863">
        <v>19.989999999999998</v>
      </c>
      <c r="H25863">
        <v>250116</v>
      </c>
      <c r="I25863">
        <v>4500</v>
      </c>
      <c r="J25863" t="s">
        <v>312</v>
      </c>
      <c r="K25863">
        <v>277.61</v>
      </c>
      <c r="L25863">
        <v>4.0599999999999996</v>
      </c>
      <c r="M25863">
        <v>14640</v>
      </c>
      <c r="N25863" t="s">
        <v>78</v>
      </c>
      <c r="O25863">
        <v>250123</v>
      </c>
      <c r="P25863">
        <v>15.93</v>
      </c>
    </row>
    <row r="25864" spans="1:16" x14ac:dyDescent="0.25">
      <c r="A25864" t="s">
        <v>3296</v>
      </c>
      <c r="B25864" t="s">
        <v>2931</v>
      </c>
      <c r="C25864">
        <v>546</v>
      </c>
      <c r="D25864" t="str">
        <f t="shared" si="553"/>
        <v xml:space="preserve">2193157     </v>
      </c>
      <c r="E25864" t="s">
        <v>543</v>
      </c>
      <c r="F25864" t="s">
        <v>544</v>
      </c>
      <c r="G25864">
        <v>17.489999999999998</v>
      </c>
      <c r="H25864">
        <v>250116</v>
      </c>
      <c r="I25864">
        <v>4500</v>
      </c>
      <c r="J25864" t="s">
        <v>312</v>
      </c>
      <c r="K25864">
        <v>277.61</v>
      </c>
      <c r="L25864">
        <v>3.55</v>
      </c>
      <c r="M25864">
        <v>14861</v>
      </c>
      <c r="N25864" t="s">
        <v>79</v>
      </c>
      <c r="O25864">
        <v>250123</v>
      </c>
      <c r="P25864">
        <v>13.94</v>
      </c>
    </row>
    <row r="25865" spans="1:16" x14ac:dyDescent="0.25">
      <c r="A25865" t="s">
        <v>3296</v>
      </c>
      <c r="B25865" t="s">
        <v>2931</v>
      </c>
      <c r="C25865">
        <v>546</v>
      </c>
      <c r="D25865" t="str">
        <f t="shared" si="553"/>
        <v xml:space="preserve">2193157     </v>
      </c>
      <c r="E25865" t="s">
        <v>543</v>
      </c>
      <c r="F25865" t="s">
        <v>544</v>
      </c>
      <c r="G25865">
        <v>27.75</v>
      </c>
      <c r="H25865">
        <v>250116</v>
      </c>
      <c r="I25865">
        <v>4500</v>
      </c>
      <c r="J25865" t="s">
        <v>312</v>
      </c>
      <c r="K25865">
        <v>277.61</v>
      </c>
      <c r="L25865">
        <v>5.64</v>
      </c>
      <c r="M25865">
        <v>14972</v>
      </c>
      <c r="N25865" t="s">
        <v>82</v>
      </c>
      <c r="O25865">
        <v>250123</v>
      </c>
      <c r="P25865">
        <v>22.11</v>
      </c>
    </row>
    <row r="25866" spans="1:16" x14ac:dyDescent="0.25">
      <c r="A25866" t="s">
        <v>3296</v>
      </c>
      <c r="B25866" t="s">
        <v>2931</v>
      </c>
      <c r="C25866">
        <v>602</v>
      </c>
      <c r="D25866" t="str">
        <f>"2191878     "</f>
        <v xml:space="preserve">2191878     </v>
      </c>
      <c r="E25866" t="s">
        <v>543</v>
      </c>
      <c r="F25866" t="s">
        <v>544</v>
      </c>
      <c r="G25866">
        <v>38.15</v>
      </c>
      <c r="H25866">
        <v>250114</v>
      </c>
      <c r="I25866">
        <v>4500</v>
      </c>
      <c r="J25866" t="s">
        <v>312</v>
      </c>
      <c r="K25866">
        <v>38.15</v>
      </c>
      <c r="L25866">
        <v>7.75</v>
      </c>
      <c r="M25866">
        <v>17971</v>
      </c>
      <c r="N25866" t="s">
        <v>27</v>
      </c>
      <c r="O25866">
        <v>250124</v>
      </c>
      <c r="P25866">
        <v>30.4</v>
      </c>
    </row>
    <row r="25867" spans="1:16" x14ac:dyDescent="0.25">
      <c r="A25867" t="s">
        <v>3296</v>
      </c>
      <c r="B25867" t="s">
        <v>2931</v>
      </c>
      <c r="C25867">
        <v>603</v>
      </c>
      <c r="D25867" t="str">
        <f>"2191879     "</f>
        <v xml:space="preserve">2191879     </v>
      </c>
      <c r="E25867" t="s">
        <v>543</v>
      </c>
      <c r="F25867" t="s">
        <v>544</v>
      </c>
      <c r="G25867">
        <v>24.47</v>
      </c>
      <c r="H25867">
        <v>250114</v>
      </c>
      <c r="I25867">
        <v>4500</v>
      </c>
      <c r="J25867" t="s">
        <v>312</v>
      </c>
      <c r="K25867">
        <v>24.47</v>
      </c>
      <c r="L25867">
        <v>4.97</v>
      </c>
      <c r="M25867">
        <v>59702</v>
      </c>
      <c r="N25867" t="s">
        <v>45</v>
      </c>
      <c r="O25867">
        <v>250124</v>
      </c>
      <c r="P25867">
        <v>19.5</v>
      </c>
    </row>
    <row r="25868" spans="1:16" x14ac:dyDescent="0.25">
      <c r="A25868" t="s">
        <v>3296</v>
      </c>
      <c r="B25868" t="s">
        <v>2931</v>
      </c>
      <c r="C25868">
        <v>839</v>
      </c>
      <c r="D25868" t="str">
        <f>"2195745     "</f>
        <v xml:space="preserve">2195745     </v>
      </c>
      <c r="E25868" t="s">
        <v>543</v>
      </c>
      <c r="F25868" t="s">
        <v>544</v>
      </c>
      <c r="G25868">
        <v>140.94999999999999</v>
      </c>
      <c r="H25868">
        <v>250123</v>
      </c>
      <c r="I25868">
        <v>4500</v>
      </c>
      <c r="J25868" t="s">
        <v>312</v>
      </c>
      <c r="K25868">
        <v>140.94999999999999</v>
      </c>
      <c r="L25868">
        <v>28.64</v>
      </c>
      <c r="M25868">
        <v>17808</v>
      </c>
      <c r="N25868" t="s">
        <v>24</v>
      </c>
      <c r="O25868">
        <v>250129</v>
      </c>
      <c r="P25868">
        <v>112.31</v>
      </c>
    </row>
    <row r="25869" spans="1:16" x14ac:dyDescent="0.25">
      <c r="A25869" t="s">
        <v>3296</v>
      </c>
      <c r="B25869" t="s">
        <v>2931</v>
      </c>
      <c r="C25869">
        <v>840</v>
      </c>
      <c r="D25869" t="str">
        <f>"2196252     "</f>
        <v xml:space="preserve">2196252     </v>
      </c>
      <c r="E25869" t="s">
        <v>543</v>
      </c>
      <c r="F25869" t="s">
        <v>544</v>
      </c>
      <c r="G25869">
        <v>69.05</v>
      </c>
      <c r="H25869">
        <v>250124</v>
      </c>
      <c r="I25869">
        <v>4500</v>
      </c>
      <c r="J25869" t="s">
        <v>312</v>
      </c>
      <c r="K25869">
        <v>537.13</v>
      </c>
      <c r="L25869">
        <v>14.03</v>
      </c>
      <c r="M25869">
        <v>54222</v>
      </c>
      <c r="N25869" t="s">
        <v>48</v>
      </c>
      <c r="O25869">
        <v>250129</v>
      </c>
      <c r="P25869">
        <v>55.02</v>
      </c>
    </row>
    <row r="25870" spans="1:16" x14ac:dyDescent="0.25">
      <c r="A25870" t="s">
        <v>3296</v>
      </c>
      <c r="B25870" t="s">
        <v>2931</v>
      </c>
      <c r="C25870">
        <v>840</v>
      </c>
      <c r="D25870" t="str">
        <f>"2196252     "</f>
        <v xml:space="preserve">2196252     </v>
      </c>
      <c r="E25870" t="s">
        <v>543</v>
      </c>
      <c r="F25870" t="s">
        <v>544</v>
      </c>
      <c r="G25870">
        <v>56.51</v>
      </c>
      <c r="H25870">
        <v>250124</v>
      </c>
      <c r="I25870">
        <v>4500</v>
      </c>
      <c r="J25870" t="s">
        <v>312</v>
      </c>
      <c r="K25870">
        <v>537.13</v>
      </c>
      <c r="L25870">
        <v>11.48</v>
      </c>
      <c r="M25870">
        <v>54252</v>
      </c>
      <c r="N25870" t="s">
        <v>742</v>
      </c>
      <c r="O25870">
        <v>250129</v>
      </c>
      <c r="P25870">
        <v>45.03</v>
      </c>
    </row>
    <row r="25871" spans="1:16" x14ac:dyDescent="0.25">
      <c r="A25871" t="s">
        <v>3296</v>
      </c>
      <c r="B25871" t="s">
        <v>2931</v>
      </c>
      <c r="C25871">
        <v>840</v>
      </c>
      <c r="D25871" t="str">
        <f>"2196252     "</f>
        <v xml:space="preserve">2196252     </v>
      </c>
      <c r="E25871" t="s">
        <v>543</v>
      </c>
      <c r="F25871" t="s">
        <v>544</v>
      </c>
      <c r="G25871">
        <v>144.22</v>
      </c>
      <c r="H25871">
        <v>250124</v>
      </c>
      <c r="I25871">
        <v>4500</v>
      </c>
      <c r="J25871" t="s">
        <v>312</v>
      </c>
      <c r="K25871">
        <v>537.13</v>
      </c>
      <c r="L25871">
        <v>29.3</v>
      </c>
      <c r="M25871">
        <v>54422</v>
      </c>
      <c r="N25871" t="s">
        <v>49</v>
      </c>
      <c r="O25871">
        <v>250129</v>
      </c>
      <c r="P25871">
        <v>114.92</v>
      </c>
    </row>
    <row r="25872" spans="1:16" x14ac:dyDescent="0.25">
      <c r="A25872" t="s">
        <v>3296</v>
      </c>
      <c r="B25872" t="s">
        <v>2931</v>
      </c>
      <c r="C25872">
        <v>840</v>
      </c>
      <c r="D25872" t="str">
        <f>"2196252     "</f>
        <v xml:space="preserve">2196252     </v>
      </c>
      <c r="E25872" t="s">
        <v>543</v>
      </c>
      <c r="F25872" t="s">
        <v>544</v>
      </c>
      <c r="G25872">
        <v>198.53</v>
      </c>
      <c r="H25872">
        <v>250124</v>
      </c>
      <c r="I25872">
        <v>4500</v>
      </c>
      <c r="J25872" t="s">
        <v>312</v>
      </c>
      <c r="K25872">
        <v>537.13</v>
      </c>
      <c r="L25872">
        <v>40.340000000000003</v>
      </c>
      <c r="M25872">
        <v>59702</v>
      </c>
      <c r="N25872" t="s">
        <v>45</v>
      </c>
      <c r="O25872">
        <v>250129</v>
      </c>
      <c r="P25872">
        <v>158.19</v>
      </c>
    </row>
    <row r="25873" spans="1:16" x14ac:dyDescent="0.25">
      <c r="A25873" t="s">
        <v>3296</v>
      </c>
      <c r="B25873" t="s">
        <v>2931</v>
      </c>
      <c r="C25873">
        <v>841</v>
      </c>
      <c r="D25873" t="str">
        <f>"2196251     "</f>
        <v xml:space="preserve">2196251     </v>
      </c>
      <c r="E25873" t="s">
        <v>543</v>
      </c>
      <c r="F25873" t="s">
        <v>544</v>
      </c>
      <c r="G25873">
        <v>237.45</v>
      </c>
      <c r="H25873">
        <v>250124</v>
      </c>
      <c r="I25873">
        <v>4500</v>
      </c>
      <c r="J25873" t="s">
        <v>312</v>
      </c>
      <c r="K25873">
        <v>288.35000000000002</v>
      </c>
      <c r="L25873">
        <v>48.25</v>
      </c>
      <c r="M25873">
        <v>69702</v>
      </c>
      <c r="N25873" t="s">
        <v>124</v>
      </c>
      <c r="O25873">
        <v>250129</v>
      </c>
      <c r="P25873">
        <v>189.2</v>
      </c>
    </row>
    <row r="25874" spans="1:16" x14ac:dyDescent="0.25">
      <c r="A25874" t="s">
        <v>3296</v>
      </c>
      <c r="B25874" t="s">
        <v>2931</v>
      </c>
      <c r="C25874">
        <v>841</v>
      </c>
      <c r="D25874" t="str">
        <f>"2196251     "</f>
        <v xml:space="preserve">2196251     </v>
      </c>
      <c r="E25874" t="s">
        <v>543</v>
      </c>
      <c r="F25874" t="s">
        <v>544</v>
      </c>
      <c r="G25874">
        <v>50.9</v>
      </c>
      <c r="H25874">
        <v>250124</v>
      </c>
      <c r="I25874">
        <v>4500</v>
      </c>
      <c r="J25874" t="s">
        <v>312</v>
      </c>
      <c r="K25874">
        <v>288.35000000000002</v>
      </c>
      <c r="L25874">
        <v>10.34</v>
      </c>
      <c r="M25874">
        <v>69704</v>
      </c>
      <c r="N25874" t="s">
        <v>89</v>
      </c>
      <c r="O25874">
        <v>250129</v>
      </c>
      <c r="P25874">
        <v>40.56</v>
      </c>
    </row>
    <row r="25875" spans="1:16" x14ac:dyDescent="0.25">
      <c r="A25875" t="s">
        <v>3296</v>
      </c>
      <c r="B25875" t="s">
        <v>2931</v>
      </c>
      <c r="C25875">
        <v>885</v>
      </c>
      <c r="D25875" t="str">
        <f>"2197282     "</f>
        <v xml:space="preserve">2197282     </v>
      </c>
      <c r="E25875" t="s">
        <v>543</v>
      </c>
      <c r="F25875" t="s">
        <v>544</v>
      </c>
      <c r="G25875">
        <v>1.51</v>
      </c>
      <c r="H25875">
        <v>250128</v>
      </c>
      <c r="I25875">
        <v>4500</v>
      </c>
      <c r="J25875" t="s">
        <v>312</v>
      </c>
      <c r="K25875">
        <v>1.51</v>
      </c>
      <c r="L25875">
        <v>0.31</v>
      </c>
      <c r="M25875">
        <v>17808</v>
      </c>
      <c r="N25875" t="s">
        <v>24</v>
      </c>
      <c r="O25875">
        <v>250130</v>
      </c>
      <c r="P25875">
        <v>1.2</v>
      </c>
    </row>
    <row r="25876" spans="1:16" x14ac:dyDescent="0.25">
      <c r="A25876" t="s">
        <v>3296</v>
      </c>
      <c r="B25876" t="s">
        <v>2931</v>
      </c>
      <c r="C25876">
        <v>1045</v>
      </c>
      <c r="D25876" t="str">
        <f>"2197284     "</f>
        <v xml:space="preserve">2197284     </v>
      </c>
      <c r="E25876" t="s">
        <v>543</v>
      </c>
      <c r="F25876" t="s">
        <v>544</v>
      </c>
      <c r="G25876">
        <v>3.51</v>
      </c>
      <c r="H25876">
        <v>250128</v>
      </c>
      <c r="I25876">
        <v>4500</v>
      </c>
      <c r="J25876" t="s">
        <v>312</v>
      </c>
      <c r="K25876">
        <v>3.51</v>
      </c>
      <c r="L25876">
        <v>0.71</v>
      </c>
      <c r="M25876">
        <v>56566</v>
      </c>
      <c r="N25876" t="s">
        <v>58</v>
      </c>
      <c r="O25876">
        <v>250203</v>
      </c>
      <c r="P25876">
        <v>2.8</v>
      </c>
    </row>
    <row r="25877" spans="1:16" x14ac:dyDescent="0.25">
      <c r="A25877" t="s">
        <v>3296</v>
      </c>
      <c r="B25877" t="s">
        <v>2931</v>
      </c>
      <c r="C25877">
        <v>1371</v>
      </c>
      <c r="D25877" t="str">
        <f>"2194212     "</f>
        <v xml:space="preserve">2194212     </v>
      </c>
      <c r="E25877" t="s">
        <v>543</v>
      </c>
      <c r="F25877" t="s">
        <v>544</v>
      </c>
      <c r="G25877">
        <v>136.81</v>
      </c>
      <c r="H25877">
        <v>250120</v>
      </c>
      <c r="I25877">
        <v>4500</v>
      </c>
      <c r="J25877" t="s">
        <v>312</v>
      </c>
      <c r="K25877">
        <v>935.64</v>
      </c>
      <c r="L25877">
        <v>27.8</v>
      </c>
      <c r="M25877">
        <v>17131</v>
      </c>
      <c r="N25877" t="s">
        <v>154</v>
      </c>
      <c r="O25877">
        <v>250207</v>
      </c>
      <c r="P25877">
        <v>109.01</v>
      </c>
    </row>
    <row r="25878" spans="1:16" x14ac:dyDescent="0.25">
      <c r="A25878" t="s">
        <v>3296</v>
      </c>
      <c r="B25878" t="s">
        <v>2931</v>
      </c>
      <c r="C25878">
        <v>1371</v>
      </c>
      <c r="D25878" t="str">
        <f>"2194212     "</f>
        <v xml:space="preserve">2194212     </v>
      </c>
      <c r="E25878" t="s">
        <v>543</v>
      </c>
      <c r="F25878" t="s">
        <v>544</v>
      </c>
      <c r="G25878">
        <v>136.81</v>
      </c>
      <c r="H25878">
        <v>250120</v>
      </c>
      <c r="I25878">
        <v>4500</v>
      </c>
      <c r="J25878" t="s">
        <v>312</v>
      </c>
      <c r="K25878">
        <v>935.64</v>
      </c>
      <c r="L25878">
        <v>27.8</v>
      </c>
      <c r="M25878">
        <v>17131</v>
      </c>
      <c r="N25878" t="s">
        <v>154</v>
      </c>
      <c r="O25878">
        <v>250207</v>
      </c>
      <c r="P25878">
        <v>109.01</v>
      </c>
    </row>
    <row r="25879" spans="1:16" x14ac:dyDescent="0.25">
      <c r="A25879" t="s">
        <v>3296</v>
      </c>
      <c r="B25879" t="s">
        <v>2931</v>
      </c>
      <c r="C25879">
        <v>1371</v>
      </c>
      <c r="D25879" t="str">
        <f>"2194212     "</f>
        <v xml:space="preserve">2194212     </v>
      </c>
      <c r="E25879" t="s">
        <v>543</v>
      </c>
      <c r="F25879" t="s">
        <v>544</v>
      </c>
      <c r="G25879">
        <v>41.78</v>
      </c>
      <c r="H25879">
        <v>250120</v>
      </c>
      <c r="I25879">
        <v>4500</v>
      </c>
      <c r="J25879" t="s">
        <v>312</v>
      </c>
      <c r="K25879">
        <v>935.64</v>
      </c>
      <c r="L25879">
        <v>8.49</v>
      </c>
      <c r="M25879">
        <v>17915</v>
      </c>
      <c r="N25879" t="s">
        <v>305</v>
      </c>
      <c r="O25879">
        <v>250207</v>
      </c>
      <c r="P25879">
        <v>33.29</v>
      </c>
    </row>
    <row r="25880" spans="1:16" x14ac:dyDescent="0.25">
      <c r="A25880" t="s">
        <v>3296</v>
      </c>
      <c r="B25880" t="s">
        <v>2931</v>
      </c>
      <c r="C25880">
        <v>1371</v>
      </c>
      <c r="D25880" t="str">
        <f>"2194212     "</f>
        <v xml:space="preserve">2194212     </v>
      </c>
      <c r="E25880" t="s">
        <v>543</v>
      </c>
      <c r="F25880" t="s">
        <v>544</v>
      </c>
      <c r="G25880">
        <v>273.62</v>
      </c>
      <c r="H25880">
        <v>250120</v>
      </c>
      <c r="I25880">
        <v>4500</v>
      </c>
      <c r="J25880" t="s">
        <v>312</v>
      </c>
      <c r="K25880">
        <v>935.64</v>
      </c>
      <c r="L25880">
        <v>55.6</v>
      </c>
      <c r="M25880">
        <v>17971</v>
      </c>
      <c r="N25880" t="s">
        <v>27</v>
      </c>
      <c r="O25880">
        <v>250207</v>
      </c>
      <c r="P25880">
        <v>218.02</v>
      </c>
    </row>
    <row r="25881" spans="1:16" x14ac:dyDescent="0.25">
      <c r="A25881" t="s">
        <v>3296</v>
      </c>
      <c r="B25881" t="s">
        <v>2931</v>
      </c>
      <c r="C25881">
        <v>1682</v>
      </c>
      <c r="D25881" t="str">
        <f>"2201669     "</f>
        <v xml:space="preserve">2201669     </v>
      </c>
      <c r="E25881" t="s">
        <v>543</v>
      </c>
      <c r="F25881" t="s">
        <v>544</v>
      </c>
      <c r="G25881">
        <v>3.61</v>
      </c>
      <c r="H25881">
        <v>250203</v>
      </c>
      <c r="I25881">
        <v>4500</v>
      </c>
      <c r="J25881" t="s">
        <v>312</v>
      </c>
      <c r="K25881">
        <v>3.61</v>
      </c>
      <c r="L25881">
        <v>0.73</v>
      </c>
      <c r="M25881">
        <v>69702</v>
      </c>
      <c r="N25881" t="s">
        <v>124</v>
      </c>
      <c r="O25881">
        <v>250212</v>
      </c>
      <c r="P25881">
        <v>2.88</v>
      </c>
    </row>
    <row r="25882" spans="1:16" x14ac:dyDescent="0.25">
      <c r="A25882" t="s">
        <v>3296</v>
      </c>
      <c r="B25882" t="s">
        <v>2931</v>
      </c>
      <c r="C25882">
        <v>1685</v>
      </c>
      <c r="D25882" t="str">
        <f>"2202478     "</f>
        <v xml:space="preserve">2202478     </v>
      </c>
      <c r="E25882" t="s">
        <v>543</v>
      </c>
      <c r="F25882" t="s">
        <v>544</v>
      </c>
      <c r="G25882">
        <v>230.61</v>
      </c>
      <c r="H25882">
        <v>250205</v>
      </c>
      <c r="I25882">
        <v>4500</v>
      </c>
      <c r="J25882" t="s">
        <v>312</v>
      </c>
      <c r="K25882">
        <v>299</v>
      </c>
      <c r="L25882">
        <v>46.86</v>
      </c>
      <c r="M25882">
        <v>54251</v>
      </c>
      <c r="N25882" t="s">
        <v>485</v>
      </c>
      <c r="O25882">
        <v>250212</v>
      </c>
      <c r="P25882">
        <v>183.75</v>
      </c>
    </row>
    <row r="25883" spans="1:16" x14ac:dyDescent="0.25">
      <c r="A25883" t="s">
        <v>3296</v>
      </c>
      <c r="B25883" t="s">
        <v>2931</v>
      </c>
      <c r="C25883">
        <v>1685</v>
      </c>
      <c r="D25883" t="str">
        <f>"2202478     "</f>
        <v xml:space="preserve">2202478     </v>
      </c>
      <c r="E25883" t="s">
        <v>543</v>
      </c>
      <c r="F25883" t="s">
        <v>544</v>
      </c>
      <c r="G25883">
        <v>68.39</v>
      </c>
      <c r="H25883">
        <v>250205</v>
      </c>
      <c r="I25883">
        <v>4500</v>
      </c>
      <c r="J25883" t="s">
        <v>312</v>
      </c>
      <c r="K25883">
        <v>299</v>
      </c>
      <c r="L25883">
        <v>13.9</v>
      </c>
      <c r="M25883">
        <v>59702</v>
      </c>
      <c r="N25883" t="s">
        <v>45</v>
      </c>
      <c r="O25883">
        <v>250212</v>
      </c>
      <c r="P25883">
        <v>54.49</v>
      </c>
    </row>
    <row r="25884" spans="1:16" x14ac:dyDescent="0.25">
      <c r="A25884" t="s">
        <v>3296</v>
      </c>
      <c r="B25884" t="s">
        <v>2931</v>
      </c>
      <c r="C25884">
        <v>1687</v>
      </c>
      <c r="D25884" t="str">
        <f>"2202477     "</f>
        <v xml:space="preserve">2202477     </v>
      </c>
      <c r="E25884" t="s">
        <v>543</v>
      </c>
      <c r="F25884" t="s">
        <v>544</v>
      </c>
      <c r="G25884">
        <v>207.5</v>
      </c>
      <c r="H25884">
        <v>250205</v>
      </c>
      <c r="I25884">
        <v>4500</v>
      </c>
      <c r="J25884" t="s">
        <v>312</v>
      </c>
      <c r="K25884">
        <v>207.5</v>
      </c>
      <c r="L25884">
        <v>42.16</v>
      </c>
      <c r="M25884">
        <v>17808</v>
      </c>
      <c r="N25884" t="s">
        <v>24</v>
      </c>
      <c r="O25884">
        <v>250212</v>
      </c>
      <c r="P25884">
        <v>165.34</v>
      </c>
    </row>
    <row r="25885" spans="1:16" x14ac:dyDescent="0.25">
      <c r="A25885" t="s">
        <v>3296</v>
      </c>
      <c r="B25885" t="s">
        <v>2931</v>
      </c>
      <c r="C25885">
        <v>1698</v>
      </c>
      <c r="D25885" t="str">
        <f>"2202987     "</f>
        <v xml:space="preserve">2202987     </v>
      </c>
      <c r="E25885" t="s">
        <v>543</v>
      </c>
      <c r="F25885" t="s">
        <v>544</v>
      </c>
      <c r="G25885">
        <v>20.18</v>
      </c>
      <c r="H25885">
        <v>250206</v>
      </c>
      <c r="I25885">
        <v>4500</v>
      </c>
      <c r="J25885" t="s">
        <v>312</v>
      </c>
      <c r="K25885">
        <v>168.31</v>
      </c>
      <c r="L25885">
        <v>4.0999999999999996</v>
      </c>
      <c r="M25885">
        <v>17807</v>
      </c>
      <c r="N25885" t="s">
        <v>23</v>
      </c>
      <c r="O25885">
        <v>250212</v>
      </c>
      <c r="P25885">
        <v>16.079999999999998</v>
      </c>
    </row>
    <row r="25886" spans="1:16" x14ac:dyDescent="0.25">
      <c r="A25886" t="s">
        <v>3296</v>
      </c>
      <c r="B25886" t="s">
        <v>2931</v>
      </c>
      <c r="C25886">
        <v>1698</v>
      </c>
      <c r="D25886" t="str">
        <f>"2202987     "</f>
        <v xml:space="preserve">2202987     </v>
      </c>
      <c r="E25886" t="s">
        <v>543</v>
      </c>
      <c r="F25886" t="s">
        <v>544</v>
      </c>
      <c r="G25886">
        <v>148.13</v>
      </c>
      <c r="H25886">
        <v>250206</v>
      </c>
      <c r="I25886">
        <v>4500</v>
      </c>
      <c r="J25886" t="s">
        <v>312</v>
      </c>
      <c r="K25886">
        <v>168.31</v>
      </c>
      <c r="L25886">
        <v>30.1</v>
      </c>
      <c r="M25886">
        <v>17809</v>
      </c>
      <c r="N25886" t="s">
        <v>25</v>
      </c>
      <c r="O25886">
        <v>250212</v>
      </c>
      <c r="P25886">
        <v>118.03</v>
      </c>
    </row>
    <row r="25887" spans="1:16" x14ac:dyDescent="0.25">
      <c r="A25887" t="s">
        <v>3296</v>
      </c>
      <c r="B25887" t="s">
        <v>2931</v>
      </c>
      <c r="C25887">
        <v>1704</v>
      </c>
      <c r="D25887" t="str">
        <f>"2203042     "</f>
        <v xml:space="preserve">2203042     </v>
      </c>
      <c r="E25887" t="s">
        <v>543</v>
      </c>
      <c r="F25887" t="s">
        <v>544</v>
      </c>
      <c r="G25887">
        <v>141.13</v>
      </c>
      <c r="H25887">
        <v>250206</v>
      </c>
      <c r="I25887">
        <v>4500</v>
      </c>
      <c r="J25887" t="s">
        <v>312</v>
      </c>
      <c r="K25887">
        <v>141.13</v>
      </c>
      <c r="L25887">
        <v>28.68</v>
      </c>
      <c r="M25887">
        <v>13861</v>
      </c>
      <c r="N25887" t="s">
        <v>604</v>
      </c>
      <c r="O25887">
        <v>250212</v>
      </c>
      <c r="P25887">
        <v>112.45</v>
      </c>
    </row>
    <row r="25888" spans="1:16" x14ac:dyDescent="0.25">
      <c r="A25888" t="s">
        <v>3296</v>
      </c>
      <c r="B25888" t="s">
        <v>2931</v>
      </c>
      <c r="C25888">
        <v>1706</v>
      </c>
      <c r="D25888" t="str">
        <f>"2203595     "</f>
        <v xml:space="preserve">2203595     </v>
      </c>
      <c r="E25888" t="s">
        <v>543</v>
      </c>
      <c r="F25888" t="s">
        <v>544</v>
      </c>
      <c r="G25888">
        <v>151.72</v>
      </c>
      <c r="H25888">
        <v>250207</v>
      </c>
      <c r="I25888">
        <v>4500</v>
      </c>
      <c r="J25888" t="s">
        <v>312</v>
      </c>
      <c r="K25888">
        <v>151.72</v>
      </c>
      <c r="L25888">
        <v>30.83</v>
      </c>
      <c r="M25888">
        <v>13601</v>
      </c>
      <c r="N25888" t="s">
        <v>115</v>
      </c>
      <c r="O25888">
        <v>250212</v>
      </c>
      <c r="P25888">
        <v>120.89</v>
      </c>
    </row>
    <row r="25889" spans="1:16" x14ac:dyDescent="0.25">
      <c r="A25889" t="s">
        <v>3296</v>
      </c>
      <c r="B25889" t="s">
        <v>2931</v>
      </c>
      <c r="C25889">
        <v>1862</v>
      </c>
      <c r="D25889" t="str">
        <f>"2197283     "</f>
        <v xml:space="preserve">2197283     </v>
      </c>
      <c r="E25889" t="s">
        <v>543</v>
      </c>
      <c r="F25889" t="s">
        <v>544</v>
      </c>
      <c r="G25889">
        <v>221.96</v>
      </c>
      <c r="H25889">
        <v>250128</v>
      </c>
      <c r="I25889">
        <v>4500</v>
      </c>
      <c r="J25889" t="s">
        <v>312</v>
      </c>
      <c r="K25889">
        <v>324.70999999999998</v>
      </c>
      <c r="L25889">
        <v>45.1</v>
      </c>
      <c r="M25889">
        <v>49702</v>
      </c>
      <c r="N25889" t="s">
        <v>112</v>
      </c>
      <c r="O25889">
        <v>250214</v>
      </c>
      <c r="P25889">
        <v>176.86</v>
      </c>
    </row>
    <row r="25890" spans="1:16" x14ac:dyDescent="0.25">
      <c r="A25890" t="s">
        <v>3296</v>
      </c>
      <c r="B25890" t="s">
        <v>2931</v>
      </c>
      <c r="C25890">
        <v>1895</v>
      </c>
      <c r="D25890" t="str">
        <f>"2202988     "</f>
        <v xml:space="preserve">2202988     </v>
      </c>
      <c r="E25890" t="s">
        <v>543</v>
      </c>
      <c r="F25890" t="s">
        <v>544</v>
      </c>
      <c r="G25890">
        <v>21.08</v>
      </c>
      <c r="H25890">
        <v>250206</v>
      </c>
      <c r="I25890">
        <v>4500</v>
      </c>
      <c r="J25890" t="s">
        <v>312</v>
      </c>
      <c r="K25890">
        <v>21.08</v>
      </c>
      <c r="L25890">
        <v>4.28</v>
      </c>
      <c r="M25890">
        <v>49702</v>
      </c>
      <c r="N25890" t="s">
        <v>112</v>
      </c>
      <c r="O25890">
        <v>250214</v>
      </c>
      <c r="P25890">
        <v>16.8</v>
      </c>
    </row>
    <row r="25891" spans="1:16" x14ac:dyDescent="0.25">
      <c r="A25891" t="s">
        <v>3296</v>
      </c>
      <c r="B25891" t="s">
        <v>2931</v>
      </c>
      <c r="C25891">
        <v>1896</v>
      </c>
      <c r="D25891" t="str">
        <f>"2203594     "</f>
        <v xml:space="preserve">2203594     </v>
      </c>
      <c r="E25891" t="s">
        <v>543</v>
      </c>
      <c r="F25891" t="s">
        <v>544</v>
      </c>
      <c r="G25891">
        <v>6.28</v>
      </c>
      <c r="H25891">
        <v>250207</v>
      </c>
      <c r="I25891">
        <v>4500</v>
      </c>
      <c r="J25891" t="s">
        <v>312</v>
      </c>
      <c r="K25891">
        <v>6.28</v>
      </c>
      <c r="L25891">
        <v>1.28</v>
      </c>
      <c r="M25891">
        <v>49702</v>
      </c>
      <c r="N25891" t="s">
        <v>112</v>
      </c>
      <c r="O25891">
        <v>250214</v>
      </c>
      <c r="P25891">
        <v>5</v>
      </c>
    </row>
    <row r="25892" spans="1:16" x14ac:dyDescent="0.25">
      <c r="A25892" t="s">
        <v>3296</v>
      </c>
      <c r="B25892" t="s">
        <v>2931</v>
      </c>
      <c r="C25892">
        <v>1901</v>
      </c>
      <c r="D25892" t="str">
        <f>"2204506     "</f>
        <v xml:space="preserve">2204506     </v>
      </c>
      <c r="E25892" t="s">
        <v>543</v>
      </c>
      <c r="F25892" t="s">
        <v>544</v>
      </c>
      <c r="G25892">
        <v>14.47</v>
      </c>
      <c r="H25892">
        <v>250211</v>
      </c>
      <c r="I25892">
        <v>4500</v>
      </c>
      <c r="J25892" t="s">
        <v>312</v>
      </c>
      <c r="K25892">
        <v>14.47</v>
      </c>
      <c r="L25892">
        <v>2.94</v>
      </c>
      <c r="M25892">
        <v>13601</v>
      </c>
      <c r="N25892" t="s">
        <v>115</v>
      </c>
      <c r="O25892">
        <v>250214</v>
      </c>
      <c r="P25892">
        <v>11.53</v>
      </c>
    </row>
    <row r="25893" spans="1:16" x14ac:dyDescent="0.25">
      <c r="A25893" t="s">
        <v>3296</v>
      </c>
      <c r="B25893" t="s">
        <v>2931</v>
      </c>
      <c r="C25893">
        <v>2171</v>
      </c>
      <c r="D25893" t="str">
        <f>"2205440     "</f>
        <v xml:space="preserve">2205440     </v>
      </c>
      <c r="E25893" t="s">
        <v>543</v>
      </c>
      <c r="F25893" t="s">
        <v>544</v>
      </c>
      <c r="G25893">
        <v>88.44</v>
      </c>
      <c r="H25893">
        <v>250213</v>
      </c>
      <c r="I25893">
        <v>4500</v>
      </c>
      <c r="J25893" t="s">
        <v>312</v>
      </c>
      <c r="K25893">
        <v>282.5</v>
      </c>
      <c r="L25893">
        <v>17.97</v>
      </c>
      <c r="M25893">
        <v>46222</v>
      </c>
      <c r="N25893" t="s">
        <v>101</v>
      </c>
      <c r="O25893">
        <v>250220</v>
      </c>
      <c r="P25893">
        <v>70.47</v>
      </c>
    </row>
    <row r="25894" spans="1:16" x14ac:dyDescent="0.25">
      <c r="A25894" t="s">
        <v>3296</v>
      </c>
      <c r="B25894" t="s">
        <v>2931</v>
      </c>
      <c r="C25894">
        <v>2171</v>
      </c>
      <c r="D25894" t="str">
        <f>"2205440     "</f>
        <v xml:space="preserve">2205440     </v>
      </c>
      <c r="E25894" t="s">
        <v>543</v>
      </c>
      <c r="F25894" t="s">
        <v>544</v>
      </c>
      <c r="G25894">
        <v>11.66</v>
      </c>
      <c r="H25894">
        <v>250213</v>
      </c>
      <c r="I25894">
        <v>4500</v>
      </c>
      <c r="J25894" t="s">
        <v>312</v>
      </c>
      <c r="K25894">
        <v>282.5</v>
      </c>
      <c r="L25894">
        <v>2.37</v>
      </c>
      <c r="M25894">
        <v>46555</v>
      </c>
      <c r="N25894" t="s">
        <v>103</v>
      </c>
      <c r="O25894">
        <v>250220</v>
      </c>
      <c r="P25894">
        <v>9.2899999999999991</v>
      </c>
    </row>
    <row r="25895" spans="1:16" x14ac:dyDescent="0.25">
      <c r="A25895" t="s">
        <v>3296</v>
      </c>
      <c r="B25895" t="s">
        <v>2931</v>
      </c>
      <c r="C25895">
        <v>2171</v>
      </c>
      <c r="D25895" t="str">
        <f>"2205440     "</f>
        <v xml:space="preserve">2205440     </v>
      </c>
      <c r="E25895" t="s">
        <v>543</v>
      </c>
      <c r="F25895" t="s">
        <v>544</v>
      </c>
      <c r="G25895">
        <v>102.38</v>
      </c>
      <c r="H25895">
        <v>250213</v>
      </c>
      <c r="I25895">
        <v>4500</v>
      </c>
      <c r="J25895" t="s">
        <v>312</v>
      </c>
      <c r="K25895">
        <v>282.5</v>
      </c>
      <c r="L25895">
        <v>20.8</v>
      </c>
      <c r="M25895">
        <v>49702</v>
      </c>
      <c r="N25895" t="s">
        <v>112</v>
      </c>
      <c r="O25895">
        <v>250220</v>
      </c>
      <c r="P25895">
        <v>81.58</v>
      </c>
    </row>
    <row r="25896" spans="1:16" x14ac:dyDescent="0.25">
      <c r="A25896" t="s">
        <v>3296</v>
      </c>
      <c r="B25896" t="s">
        <v>2931</v>
      </c>
      <c r="C25896">
        <v>2172</v>
      </c>
      <c r="D25896" t="str">
        <f>"2205438     "</f>
        <v xml:space="preserve">2205438     </v>
      </c>
      <c r="E25896" t="s">
        <v>543</v>
      </c>
      <c r="F25896" t="s">
        <v>544</v>
      </c>
      <c r="G25896">
        <v>210.1</v>
      </c>
      <c r="H25896">
        <v>250213</v>
      </c>
      <c r="I25896">
        <v>4500</v>
      </c>
      <c r="J25896" t="s">
        <v>312</v>
      </c>
      <c r="K25896">
        <v>210.1</v>
      </c>
      <c r="L25896">
        <v>42.69</v>
      </c>
      <c r="M25896">
        <v>69704</v>
      </c>
      <c r="N25896" t="s">
        <v>89</v>
      </c>
      <c r="O25896">
        <v>250220</v>
      </c>
      <c r="P25896">
        <v>167.41</v>
      </c>
    </row>
    <row r="25897" spans="1:16" x14ac:dyDescent="0.25">
      <c r="A25897" t="s">
        <v>3296</v>
      </c>
      <c r="B25897" t="s">
        <v>2931</v>
      </c>
      <c r="C25897">
        <v>2174</v>
      </c>
      <c r="D25897" t="str">
        <f>"2205439     "</f>
        <v xml:space="preserve">2205439     </v>
      </c>
      <c r="E25897" t="s">
        <v>543</v>
      </c>
      <c r="F25897" t="s">
        <v>544</v>
      </c>
      <c r="G25897">
        <v>96.23</v>
      </c>
      <c r="H25897">
        <v>250213</v>
      </c>
      <c r="I25897">
        <v>4500</v>
      </c>
      <c r="J25897" t="s">
        <v>312</v>
      </c>
      <c r="K25897">
        <v>96.23</v>
      </c>
      <c r="L25897">
        <v>19.55</v>
      </c>
      <c r="M25897">
        <v>69704</v>
      </c>
      <c r="N25897" t="s">
        <v>89</v>
      </c>
      <c r="O25897">
        <v>250220</v>
      </c>
      <c r="P25897">
        <v>76.680000000000007</v>
      </c>
    </row>
    <row r="25898" spans="1:16" x14ac:dyDescent="0.25">
      <c r="A25898" t="s">
        <v>3296</v>
      </c>
      <c r="B25898" t="s">
        <v>2931</v>
      </c>
      <c r="C25898">
        <v>2175</v>
      </c>
      <c r="D25898" t="str">
        <f>"2206397     "</f>
        <v xml:space="preserve">2206397     </v>
      </c>
      <c r="E25898" t="s">
        <v>543</v>
      </c>
      <c r="F25898" t="s">
        <v>544</v>
      </c>
      <c r="G25898">
        <v>148.4</v>
      </c>
      <c r="H25898">
        <v>250217</v>
      </c>
      <c r="I25898">
        <v>4500</v>
      </c>
      <c r="J25898" t="s">
        <v>312</v>
      </c>
      <c r="K25898">
        <v>148.4</v>
      </c>
      <c r="L25898">
        <v>30.15</v>
      </c>
      <c r="M25898">
        <v>13940</v>
      </c>
      <c r="N25898" t="s">
        <v>14</v>
      </c>
      <c r="O25898">
        <v>250220</v>
      </c>
      <c r="P25898">
        <v>118.25</v>
      </c>
    </row>
    <row r="25899" spans="1:16" x14ac:dyDescent="0.25">
      <c r="A25899" t="s">
        <v>3296</v>
      </c>
      <c r="B25899" t="s">
        <v>2931</v>
      </c>
      <c r="C25899">
        <v>2250</v>
      </c>
      <c r="D25899" t="str">
        <f>"2205021     "</f>
        <v xml:space="preserve">2205021     </v>
      </c>
      <c r="E25899" t="s">
        <v>543</v>
      </c>
      <c r="F25899" t="s">
        <v>544</v>
      </c>
      <c r="G25899">
        <v>136.93</v>
      </c>
      <c r="H25899">
        <v>250212</v>
      </c>
      <c r="I25899">
        <v>4500</v>
      </c>
      <c r="J25899" t="s">
        <v>312</v>
      </c>
      <c r="K25899">
        <v>136.93</v>
      </c>
      <c r="L25899">
        <v>27.82</v>
      </c>
      <c r="M25899">
        <v>13501</v>
      </c>
      <c r="N25899" t="s">
        <v>66</v>
      </c>
      <c r="O25899">
        <v>250221</v>
      </c>
      <c r="P25899">
        <v>109.11</v>
      </c>
    </row>
    <row r="25900" spans="1:16" x14ac:dyDescent="0.25">
      <c r="A25900" t="s">
        <v>3296</v>
      </c>
      <c r="B25900" t="s">
        <v>2931</v>
      </c>
      <c r="C25900">
        <v>2251</v>
      </c>
      <c r="D25900" t="str">
        <f>"2204970     "</f>
        <v xml:space="preserve">2204970     </v>
      </c>
      <c r="E25900" t="s">
        <v>543</v>
      </c>
      <c r="F25900" t="s">
        <v>544</v>
      </c>
      <c r="G25900">
        <v>35.39</v>
      </c>
      <c r="H25900">
        <v>250212</v>
      </c>
      <c r="I25900">
        <v>4500</v>
      </c>
      <c r="J25900" t="s">
        <v>312</v>
      </c>
      <c r="K25900">
        <v>260.89</v>
      </c>
      <c r="L25900">
        <v>7.19</v>
      </c>
      <c r="M25900">
        <v>66722</v>
      </c>
      <c r="N25900" t="s">
        <v>118</v>
      </c>
      <c r="O25900">
        <v>250221</v>
      </c>
      <c r="P25900">
        <v>28.2</v>
      </c>
    </row>
    <row r="25901" spans="1:16" x14ac:dyDescent="0.25">
      <c r="A25901" t="s">
        <v>3296</v>
      </c>
      <c r="B25901" t="s">
        <v>2931</v>
      </c>
      <c r="C25901">
        <v>2251</v>
      </c>
      <c r="D25901" t="str">
        <f>"2204970     "</f>
        <v xml:space="preserve">2204970     </v>
      </c>
      <c r="E25901" t="s">
        <v>543</v>
      </c>
      <c r="F25901" t="s">
        <v>544</v>
      </c>
      <c r="G25901">
        <v>94.55</v>
      </c>
      <c r="H25901">
        <v>250212</v>
      </c>
      <c r="I25901">
        <v>4500</v>
      </c>
      <c r="J25901" t="s">
        <v>312</v>
      </c>
      <c r="K25901">
        <v>260.89</v>
      </c>
      <c r="L25901">
        <v>19.21</v>
      </c>
      <c r="M25901">
        <v>66754</v>
      </c>
      <c r="N25901" t="s">
        <v>119</v>
      </c>
      <c r="O25901">
        <v>250221</v>
      </c>
      <c r="P25901">
        <v>75.34</v>
      </c>
    </row>
    <row r="25902" spans="1:16" x14ac:dyDescent="0.25">
      <c r="A25902" t="s">
        <v>3296</v>
      </c>
      <c r="B25902" t="s">
        <v>2931</v>
      </c>
      <c r="C25902">
        <v>2251</v>
      </c>
      <c r="D25902" t="str">
        <f>"2204970     "</f>
        <v xml:space="preserve">2204970     </v>
      </c>
      <c r="E25902" t="s">
        <v>543</v>
      </c>
      <c r="F25902" t="s">
        <v>544</v>
      </c>
      <c r="G25902">
        <v>37</v>
      </c>
      <c r="H25902">
        <v>250212</v>
      </c>
      <c r="I25902">
        <v>4500</v>
      </c>
      <c r="J25902" t="s">
        <v>312</v>
      </c>
      <c r="K25902">
        <v>260.89</v>
      </c>
      <c r="L25902">
        <v>7.52</v>
      </c>
      <c r="M25902">
        <v>69702</v>
      </c>
      <c r="N25902" t="s">
        <v>124</v>
      </c>
      <c r="O25902">
        <v>250221</v>
      </c>
      <c r="P25902">
        <v>29.48</v>
      </c>
    </row>
    <row r="25903" spans="1:16" x14ac:dyDescent="0.25">
      <c r="A25903" t="s">
        <v>3296</v>
      </c>
      <c r="B25903" t="s">
        <v>2931</v>
      </c>
      <c r="C25903">
        <v>2251</v>
      </c>
      <c r="D25903" t="str">
        <f>"2204970     "</f>
        <v xml:space="preserve">2204970     </v>
      </c>
      <c r="E25903" t="s">
        <v>543</v>
      </c>
      <c r="F25903" t="s">
        <v>544</v>
      </c>
      <c r="G25903">
        <v>93.95</v>
      </c>
      <c r="H25903">
        <v>250212</v>
      </c>
      <c r="I25903">
        <v>4500</v>
      </c>
      <c r="J25903" t="s">
        <v>312</v>
      </c>
      <c r="K25903">
        <v>260.89</v>
      </c>
      <c r="L25903">
        <v>19.09</v>
      </c>
      <c r="M25903">
        <v>69704</v>
      </c>
      <c r="N25903" t="s">
        <v>89</v>
      </c>
      <c r="O25903">
        <v>250221</v>
      </c>
      <c r="P25903">
        <v>74.86</v>
      </c>
    </row>
    <row r="25904" spans="1:16" x14ac:dyDescent="0.25">
      <c r="A25904" t="s">
        <v>3296</v>
      </c>
      <c r="B25904" t="s">
        <v>2931</v>
      </c>
      <c r="C25904">
        <v>2296</v>
      </c>
      <c r="D25904" t="str">
        <f>"2200657     "</f>
        <v xml:space="preserve">2200657     </v>
      </c>
      <c r="E25904" t="s">
        <v>543</v>
      </c>
      <c r="F25904" t="s">
        <v>544</v>
      </c>
      <c r="G25904">
        <v>132.46</v>
      </c>
      <c r="H25904">
        <v>250201</v>
      </c>
      <c r="I25904">
        <v>4500</v>
      </c>
      <c r="J25904" t="s">
        <v>312</v>
      </c>
      <c r="K25904">
        <v>145.07</v>
      </c>
      <c r="L25904">
        <v>26.91</v>
      </c>
      <c r="M25904">
        <v>14432</v>
      </c>
      <c r="N25904" t="s">
        <v>75</v>
      </c>
      <c r="O25904">
        <v>250224</v>
      </c>
      <c r="P25904">
        <v>105.55</v>
      </c>
    </row>
    <row r="25905" spans="1:16" x14ac:dyDescent="0.25">
      <c r="A25905" t="s">
        <v>3296</v>
      </c>
      <c r="B25905" t="s">
        <v>2931</v>
      </c>
      <c r="C25905">
        <v>2296</v>
      </c>
      <c r="D25905" t="str">
        <f>"2200657     "</f>
        <v xml:space="preserve">2200657     </v>
      </c>
      <c r="E25905" t="s">
        <v>543</v>
      </c>
      <c r="F25905" t="s">
        <v>544</v>
      </c>
      <c r="G25905">
        <v>12.61</v>
      </c>
      <c r="H25905">
        <v>250201</v>
      </c>
      <c r="I25905">
        <v>4500</v>
      </c>
      <c r="J25905" t="s">
        <v>312</v>
      </c>
      <c r="K25905">
        <v>145.07</v>
      </c>
      <c r="L25905">
        <v>2.56</v>
      </c>
      <c r="M25905">
        <v>14972</v>
      </c>
      <c r="N25905" t="s">
        <v>82</v>
      </c>
      <c r="O25905">
        <v>250224</v>
      </c>
      <c r="P25905">
        <v>10.050000000000001</v>
      </c>
    </row>
    <row r="25906" spans="1:16" x14ac:dyDescent="0.25">
      <c r="A25906" t="s">
        <v>3296</v>
      </c>
      <c r="B25906" t="s">
        <v>2931</v>
      </c>
      <c r="C25906">
        <v>2863</v>
      </c>
      <c r="D25906" t="str">
        <f>"2207189     "</f>
        <v xml:space="preserve">2207189     </v>
      </c>
      <c r="E25906" t="s">
        <v>543</v>
      </c>
      <c r="F25906" t="s">
        <v>544</v>
      </c>
      <c r="G25906">
        <v>174.85</v>
      </c>
      <c r="H25906">
        <v>250219</v>
      </c>
      <c r="I25906">
        <v>4500</v>
      </c>
      <c r="J25906" t="s">
        <v>312</v>
      </c>
      <c r="K25906">
        <v>372.63</v>
      </c>
      <c r="L25906">
        <v>35.53</v>
      </c>
      <c r="M25906">
        <v>17538</v>
      </c>
      <c r="N25906" t="s">
        <v>129</v>
      </c>
      <c r="O25906">
        <v>250312</v>
      </c>
      <c r="P25906">
        <v>139.32</v>
      </c>
    </row>
    <row r="25907" spans="1:16" x14ac:dyDescent="0.25">
      <c r="A25907" t="s">
        <v>3296</v>
      </c>
      <c r="B25907" t="s">
        <v>2931</v>
      </c>
      <c r="C25907">
        <v>2866</v>
      </c>
      <c r="D25907" t="str">
        <f>"2207634     "</f>
        <v xml:space="preserve">2207634     </v>
      </c>
      <c r="E25907" t="s">
        <v>543</v>
      </c>
      <c r="F25907" t="s">
        <v>544</v>
      </c>
      <c r="G25907">
        <v>0.75</v>
      </c>
      <c r="H25907">
        <v>250220</v>
      </c>
      <c r="I25907">
        <v>4500</v>
      </c>
      <c r="J25907" t="s">
        <v>312</v>
      </c>
      <c r="K25907">
        <v>132.46</v>
      </c>
      <c r="L25907">
        <v>0.15</v>
      </c>
      <c r="M25907">
        <v>17538</v>
      </c>
      <c r="N25907" t="s">
        <v>129</v>
      </c>
      <c r="O25907">
        <v>250312</v>
      </c>
      <c r="P25907">
        <v>0.6</v>
      </c>
    </row>
    <row r="25908" spans="1:16" x14ac:dyDescent="0.25">
      <c r="A25908" t="s">
        <v>3296</v>
      </c>
      <c r="B25908" t="s">
        <v>2931</v>
      </c>
      <c r="C25908">
        <v>3899</v>
      </c>
      <c r="D25908" t="str">
        <f t="shared" ref="D25908:D25918" si="554">"2213065     "</f>
        <v xml:space="preserve">2213065     </v>
      </c>
      <c r="E25908" t="s">
        <v>543</v>
      </c>
      <c r="F25908" t="s">
        <v>544</v>
      </c>
      <c r="G25908">
        <v>22.73</v>
      </c>
      <c r="H25908">
        <v>250304</v>
      </c>
      <c r="I25908">
        <v>4500</v>
      </c>
      <c r="J25908" t="s">
        <v>312</v>
      </c>
      <c r="K25908">
        <v>320.60000000000002</v>
      </c>
      <c r="L25908">
        <v>4.62</v>
      </c>
      <c r="M25908">
        <v>14121</v>
      </c>
      <c r="N25908" t="s">
        <v>71</v>
      </c>
      <c r="O25908">
        <v>250403</v>
      </c>
      <c r="P25908">
        <v>18.11</v>
      </c>
    </row>
    <row r="25909" spans="1:16" x14ac:dyDescent="0.25">
      <c r="A25909" t="s">
        <v>3296</v>
      </c>
      <c r="B25909" t="s">
        <v>2931</v>
      </c>
      <c r="C25909">
        <v>3899</v>
      </c>
      <c r="D25909" t="str">
        <f t="shared" si="554"/>
        <v xml:space="preserve">2213065     </v>
      </c>
      <c r="E25909" t="s">
        <v>543</v>
      </c>
      <c r="F25909" t="s">
        <v>544</v>
      </c>
      <c r="G25909">
        <v>13.43</v>
      </c>
      <c r="H25909">
        <v>250304</v>
      </c>
      <c r="I25909">
        <v>4500</v>
      </c>
      <c r="J25909" t="s">
        <v>312</v>
      </c>
      <c r="K25909">
        <v>320.60000000000002</v>
      </c>
      <c r="L25909">
        <v>2.73</v>
      </c>
      <c r="M25909">
        <v>14321</v>
      </c>
      <c r="N25909" t="s">
        <v>72</v>
      </c>
      <c r="O25909">
        <v>250403</v>
      </c>
      <c r="P25909">
        <v>10.7</v>
      </c>
    </row>
    <row r="25910" spans="1:16" x14ac:dyDescent="0.25">
      <c r="A25910" t="s">
        <v>3296</v>
      </c>
      <c r="B25910" t="s">
        <v>2931</v>
      </c>
      <c r="C25910">
        <v>3899</v>
      </c>
      <c r="D25910" t="str">
        <f t="shared" si="554"/>
        <v xml:space="preserve">2213065     </v>
      </c>
      <c r="E25910" t="s">
        <v>543</v>
      </c>
      <c r="F25910" t="s">
        <v>544</v>
      </c>
      <c r="G25910">
        <v>9.3000000000000007</v>
      </c>
      <c r="H25910">
        <v>250304</v>
      </c>
      <c r="I25910">
        <v>4500</v>
      </c>
      <c r="J25910" t="s">
        <v>312</v>
      </c>
      <c r="K25910">
        <v>320.60000000000002</v>
      </c>
      <c r="L25910">
        <v>1.89</v>
      </c>
      <c r="M25910">
        <v>14422</v>
      </c>
      <c r="N25910" t="s">
        <v>73</v>
      </c>
      <c r="O25910">
        <v>250403</v>
      </c>
      <c r="P25910">
        <v>7.41</v>
      </c>
    </row>
    <row r="25911" spans="1:16" x14ac:dyDescent="0.25">
      <c r="A25911" t="s">
        <v>3296</v>
      </c>
      <c r="B25911" t="s">
        <v>2931</v>
      </c>
      <c r="C25911">
        <v>3899</v>
      </c>
      <c r="D25911" t="str">
        <f t="shared" si="554"/>
        <v xml:space="preserve">2213065     </v>
      </c>
      <c r="E25911" t="s">
        <v>543</v>
      </c>
      <c r="F25911" t="s">
        <v>544</v>
      </c>
      <c r="G25911">
        <v>105.82</v>
      </c>
      <c r="H25911">
        <v>250304</v>
      </c>
      <c r="I25911">
        <v>4500</v>
      </c>
      <c r="J25911" t="s">
        <v>312</v>
      </c>
      <c r="K25911">
        <v>320.60000000000002</v>
      </c>
      <c r="L25911">
        <v>21.5</v>
      </c>
      <c r="M25911">
        <v>14432</v>
      </c>
      <c r="N25911" t="s">
        <v>75</v>
      </c>
      <c r="O25911">
        <v>250403</v>
      </c>
      <c r="P25911">
        <v>84.32</v>
      </c>
    </row>
    <row r="25912" spans="1:16" x14ac:dyDescent="0.25">
      <c r="A25912" t="s">
        <v>3296</v>
      </c>
      <c r="B25912" t="s">
        <v>2931</v>
      </c>
      <c r="C25912">
        <v>3899</v>
      </c>
      <c r="D25912" t="str">
        <f t="shared" si="554"/>
        <v xml:space="preserve">2213065     </v>
      </c>
      <c r="E25912" t="s">
        <v>543</v>
      </c>
      <c r="F25912" t="s">
        <v>544</v>
      </c>
      <c r="G25912">
        <v>9.3000000000000007</v>
      </c>
      <c r="H25912">
        <v>250304</v>
      </c>
      <c r="I25912">
        <v>4500</v>
      </c>
      <c r="J25912" t="s">
        <v>312</v>
      </c>
      <c r="K25912">
        <v>320.60000000000002</v>
      </c>
      <c r="L25912">
        <v>1.89</v>
      </c>
      <c r="M25912">
        <v>14541</v>
      </c>
      <c r="N25912" t="s">
        <v>76</v>
      </c>
      <c r="O25912">
        <v>250403</v>
      </c>
      <c r="P25912">
        <v>7.41</v>
      </c>
    </row>
    <row r="25913" spans="1:16" x14ac:dyDescent="0.25">
      <c r="A25913" t="s">
        <v>3296</v>
      </c>
      <c r="B25913" t="s">
        <v>2931</v>
      </c>
      <c r="C25913">
        <v>3899</v>
      </c>
      <c r="D25913" t="str">
        <f t="shared" si="554"/>
        <v xml:space="preserve">2213065     </v>
      </c>
      <c r="E25913" t="s">
        <v>543</v>
      </c>
      <c r="F25913" t="s">
        <v>544</v>
      </c>
      <c r="G25913">
        <v>33.06</v>
      </c>
      <c r="H25913">
        <v>250304</v>
      </c>
      <c r="I25913">
        <v>4500</v>
      </c>
      <c r="J25913" t="s">
        <v>312</v>
      </c>
      <c r="K25913">
        <v>320.60000000000002</v>
      </c>
      <c r="L25913">
        <v>6.72</v>
      </c>
      <c r="M25913">
        <v>14622</v>
      </c>
      <c r="N25913" t="s">
        <v>77</v>
      </c>
      <c r="O25913">
        <v>250403</v>
      </c>
      <c r="P25913">
        <v>26.34</v>
      </c>
    </row>
    <row r="25914" spans="1:16" x14ac:dyDescent="0.25">
      <c r="A25914" t="s">
        <v>3296</v>
      </c>
      <c r="B25914" t="s">
        <v>2931</v>
      </c>
      <c r="C25914">
        <v>3899</v>
      </c>
      <c r="D25914" t="str">
        <f t="shared" si="554"/>
        <v xml:space="preserve">2213065     </v>
      </c>
      <c r="E25914" t="s">
        <v>543</v>
      </c>
      <c r="F25914" t="s">
        <v>544</v>
      </c>
      <c r="G25914">
        <v>8.26</v>
      </c>
      <c r="H25914">
        <v>250304</v>
      </c>
      <c r="I25914">
        <v>4500</v>
      </c>
      <c r="J25914" t="s">
        <v>312</v>
      </c>
      <c r="K25914">
        <v>320.60000000000002</v>
      </c>
      <c r="L25914">
        <v>1.68</v>
      </c>
      <c r="M25914">
        <v>14640</v>
      </c>
      <c r="N25914" t="s">
        <v>78</v>
      </c>
      <c r="O25914">
        <v>250403</v>
      </c>
      <c r="P25914">
        <v>6.58</v>
      </c>
    </row>
    <row r="25915" spans="1:16" x14ac:dyDescent="0.25">
      <c r="A25915" t="s">
        <v>3296</v>
      </c>
      <c r="B25915" t="s">
        <v>2931</v>
      </c>
      <c r="C25915">
        <v>3899</v>
      </c>
      <c r="D25915" t="str">
        <f t="shared" si="554"/>
        <v xml:space="preserve">2213065     </v>
      </c>
      <c r="E25915" t="s">
        <v>543</v>
      </c>
      <c r="F25915" t="s">
        <v>544</v>
      </c>
      <c r="G25915">
        <v>7.23</v>
      </c>
      <c r="H25915">
        <v>250304</v>
      </c>
      <c r="I25915">
        <v>4500</v>
      </c>
      <c r="J25915" t="s">
        <v>312</v>
      </c>
      <c r="K25915">
        <v>320.60000000000002</v>
      </c>
      <c r="L25915">
        <v>1.47</v>
      </c>
      <c r="M25915">
        <v>14861</v>
      </c>
      <c r="N25915" t="s">
        <v>79</v>
      </c>
      <c r="O25915">
        <v>250403</v>
      </c>
      <c r="P25915">
        <v>5.76</v>
      </c>
    </row>
    <row r="25916" spans="1:16" x14ac:dyDescent="0.25">
      <c r="A25916" t="s">
        <v>3296</v>
      </c>
      <c r="B25916" t="s">
        <v>2931</v>
      </c>
      <c r="C25916">
        <v>3899</v>
      </c>
      <c r="D25916" t="str">
        <f t="shared" si="554"/>
        <v xml:space="preserve">2213065     </v>
      </c>
      <c r="E25916" t="s">
        <v>543</v>
      </c>
      <c r="F25916" t="s">
        <v>544</v>
      </c>
      <c r="G25916">
        <v>90.4</v>
      </c>
      <c r="H25916">
        <v>250304</v>
      </c>
      <c r="I25916">
        <v>4500</v>
      </c>
      <c r="J25916" t="s">
        <v>312</v>
      </c>
      <c r="K25916">
        <v>320.60000000000002</v>
      </c>
      <c r="L25916">
        <v>18.37</v>
      </c>
      <c r="M25916">
        <v>14912</v>
      </c>
      <c r="N25916" t="s">
        <v>80</v>
      </c>
      <c r="O25916">
        <v>250403</v>
      </c>
      <c r="P25916">
        <v>72.03</v>
      </c>
    </row>
    <row r="25917" spans="1:16" x14ac:dyDescent="0.25">
      <c r="A25917" t="s">
        <v>3296</v>
      </c>
      <c r="B25917" t="s">
        <v>2931</v>
      </c>
      <c r="C25917">
        <v>3899</v>
      </c>
      <c r="D25917" t="str">
        <f t="shared" si="554"/>
        <v xml:space="preserve">2213065     </v>
      </c>
      <c r="E25917" t="s">
        <v>543</v>
      </c>
      <c r="F25917" t="s">
        <v>544</v>
      </c>
      <c r="G25917">
        <v>11.48</v>
      </c>
      <c r="H25917">
        <v>250304</v>
      </c>
      <c r="I25917">
        <v>4500</v>
      </c>
      <c r="J25917" t="s">
        <v>312</v>
      </c>
      <c r="K25917">
        <v>320.60000000000002</v>
      </c>
      <c r="L25917">
        <v>2.33</v>
      </c>
      <c r="M25917">
        <v>14972</v>
      </c>
      <c r="N25917" t="s">
        <v>82</v>
      </c>
      <c r="O25917">
        <v>250403</v>
      </c>
      <c r="P25917">
        <v>9.15</v>
      </c>
    </row>
    <row r="25918" spans="1:16" x14ac:dyDescent="0.25">
      <c r="A25918" t="s">
        <v>3296</v>
      </c>
      <c r="B25918" t="s">
        <v>2931</v>
      </c>
      <c r="C25918">
        <v>3899</v>
      </c>
      <c r="D25918" t="str">
        <f t="shared" si="554"/>
        <v xml:space="preserve">2213065     </v>
      </c>
      <c r="E25918" t="s">
        <v>543</v>
      </c>
      <c r="F25918" t="s">
        <v>544</v>
      </c>
      <c r="G25918">
        <v>9.59</v>
      </c>
      <c r="H25918">
        <v>250304</v>
      </c>
      <c r="I25918">
        <v>4500</v>
      </c>
      <c r="J25918" t="s">
        <v>312</v>
      </c>
      <c r="K25918">
        <v>320.60000000000002</v>
      </c>
      <c r="L25918">
        <v>1.95</v>
      </c>
      <c r="M25918">
        <v>18972</v>
      </c>
      <c r="N25918" t="s">
        <v>39</v>
      </c>
      <c r="O25918">
        <v>250403</v>
      </c>
      <c r="P25918">
        <v>7.64</v>
      </c>
    </row>
    <row r="25919" spans="1:16" x14ac:dyDescent="0.25">
      <c r="A25919" t="s">
        <v>3296</v>
      </c>
      <c r="B25919" t="s">
        <v>2931</v>
      </c>
      <c r="C25919">
        <v>4081</v>
      </c>
      <c r="D25919" t="str">
        <f>"2214325     "</f>
        <v xml:space="preserve">2214325     </v>
      </c>
      <c r="E25919" t="s">
        <v>543</v>
      </c>
      <c r="F25919" t="s">
        <v>544</v>
      </c>
      <c r="G25919">
        <v>26.53</v>
      </c>
      <c r="H25919">
        <v>250307</v>
      </c>
      <c r="I25919">
        <v>4500</v>
      </c>
      <c r="J25919" t="s">
        <v>312</v>
      </c>
      <c r="K25919">
        <v>209.85</v>
      </c>
      <c r="L25919">
        <v>5.39</v>
      </c>
      <c r="M25919">
        <v>17711</v>
      </c>
      <c r="N25919" t="s">
        <v>155</v>
      </c>
      <c r="O25919">
        <v>250407</v>
      </c>
      <c r="P25919">
        <v>21.14</v>
      </c>
    </row>
    <row r="25920" spans="1:16" x14ac:dyDescent="0.25">
      <c r="A25920" t="s">
        <v>3296</v>
      </c>
      <c r="B25920" t="s">
        <v>2931</v>
      </c>
      <c r="C25920">
        <v>4081</v>
      </c>
      <c r="D25920" t="str">
        <f>"2214325     "</f>
        <v xml:space="preserve">2214325     </v>
      </c>
      <c r="E25920" t="s">
        <v>543</v>
      </c>
      <c r="F25920" t="s">
        <v>544</v>
      </c>
      <c r="G25920">
        <v>170.77</v>
      </c>
      <c r="H25920">
        <v>250307</v>
      </c>
      <c r="I25920">
        <v>4500</v>
      </c>
      <c r="J25920" t="s">
        <v>312</v>
      </c>
      <c r="K25920">
        <v>209.85</v>
      </c>
      <c r="L25920">
        <v>34.700000000000003</v>
      </c>
      <c r="M25920">
        <v>17971</v>
      </c>
      <c r="N25920" t="s">
        <v>27</v>
      </c>
      <c r="O25920">
        <v>250407</v>
      </c>
      <c r="P25920">
        <v>136.07</v>
      </c>
    </row>
    <row r="25921" spans="1:16" x14ac:dyDescent="0.25">
      <c r="A25921" t="s">
        <v>3296</v>
      </c>
      <c r="B25921" t="s">
        <v>2931</v>
      </c>
      <c r="C25921">
        <v>4168</v>
      </c>
      <c r="D25921" t="str">
        <f>"2214797     "</f>
        <v xml:space="preserve">2214797     </v>
      </c>
      <c r="E25921" t="s">
        <v>543</v>
      </c>
      <c r="F25921" t="s">
        <v>544</v>
      </c>
      <c r="G25921">
        <v>99.52</v>
      </c>
      <c r="H25921">
        <v>250310</v>
      </c>
      <c r="I25921">
        <v>4500</v>
      </c>
      <c r="J25921" t="s">
        <v>312</v>
      </c>
      <c r="K25921">
        <v>99.52</v>
      </c>
      <c r="L25921">
        <v>20.22</v>
      </c>
      <c r="M25921">
        <v>17802</v>
      </c>
      <c r="N25921" t="s">
        <v>18</v>
      </c>
      <c r="O25921">
        <v>250408</v>
      </c>
      <c r="P25921">
        <v>79.3</v>
      </c>
    </row>
    <row r="25922" spans="1:16" x14ac:dyDescent="0.25">
      <c r="A25922" t="s">
        <v>3296</v>
      </c>
      <c r="B25922" t="s">
        <v>2931</v>
      </c>
      <c r="C25922">
        <v>4312</v>
      </c>
      <c r="D25922" t="str">
        <f>"2215682     "</f>
        <v xml:space="preserve">2215682     </v>
      </c>
      <c r="E25922" t="s">
        <v>543</v>
      </c>
      <c r="F25922" t="s">
        <v>544</v>
      </c>
      <c r="G25922">
        <v>3.26</v>
      </c>
      <c r="H25922">
        <v>250312</v>
      </c>
      <c r="I25922">
        <v>4500</v>
      </c>
      <c r="J25922" t="s">
        <v>312</v>
      </c>
      <c r="K25922">
        <v>66.36</v>
      </c>
      <c r="L25922">
        <v>0.66</v>
      </c>
      <c r="M25922">
        <v>11101</v>
      </c>
      <c r="N25922" t="s">
        <v>67</v>
      </c>
      <c r="O25922">
        <v>250410</v>
      </c>
      <c r="P25922">
        <v>2.6</v>
      </c>
    </row>
    <row r="25923" spans="1:16" x14ac:dyDescent="0.25">
      <c r="A25923" t="s">
        <v>3296</v>
      </c>
      <c r="B25923" t="s">
        <v>2931</v>
      </c>
      <c r="C25923">
        <v>4312</v>
      </c>
      <c r="D25923" t="str">
        <f>"2215682     "</f>
        <v xml:space="preserve">2215682     </v>
      </c>
      <c r="E25923" t="s">
        <v>543</v>
      </c>
      <c r="F25923" t="s">
        <v>544</v>
      </c>
      <c r="G25923">
        <v>63.1</v>
      </c>
      <c r="H25923">
        <v>250312</v>
      </c>
      <c r="I25923">
        <v>4500</v>
      </c>
      <c r="J25923" t="s">
        <v>312</v>
      </c>
      <c r="K25923">
        <v>66.36</v>
      </c>
      <c r="L25923">
        <v>12.82</v>
      </c>
      <c r="M25923">
        <v>59702</v>
      </c>
      <c r="N25923" t="s">
        <v>45</v>
      </c>
      <c r="O25923">
        <v>250410</v>
      </c>
      <c r="P25923">
        <v>50.28</v>
      </c>
    </row>
    <row r="25924" spans="1:16" x14ac:dyDescent="0.25">
      <c r="A25924" t="s">
        <v>3296</v>
      </c>
      <c r="B25924" t="s">
        <v>2931</v>
      </c>
      <c r="C25924">
        <v>4385</v>
      </c>
      <c r="D25924" t="str">
        <f t="shared" ref="D25924:D25932" si="555">"2216616     "</f>
        <v xml:space="preserve">2216616     </v>
      </c>
      <c r="E25924" t="s">
        <v>543</v>
      </c>
      <c r="F25924" t="s">
        <v>544</v>
      </c>
      <c r="G25924">
        <v>20.96</v>
      </c>
      <c r="H25924">
        <v>250314</v>
      </c>
      <c r="I25924">
        <v>4500</v>
      </c>
      <c r="J25924" t="s">
        <v>312</v>
      </c>
      <c r="K25924">
        <v>273.08999999999997</v>
      </c>
      <c r="L25924">
        <v>4.26</v>
      </c>
      <c r="M25924">
        <v>14121</v>
      </c>
      <c r="N25924" t="s">
        <v>71</v>
      </c>
      <c r="O25924">
        <v>250411</v>
      </c>
      <c r="P25924">
        <v>16.7</v>
      </c>
    </row>
    <row r="25925" spans="1:16" x14ac:dyDescent="0.25">
      <c r="A25925" t="s">
        <v>3296</v>
      </c>
      <c r="B25925" t="s">
        <v>2931</v>
      </c>
      <c r="C25925">
        <v>4385</v>
      </c>
      <c r="D25925" t="str">
        <f t="shared" si="555"/>
        <v xml:space="preserve">2216616     </v>
      </c>
      <c r="E25925" t="s">
        <v>543</v>
      </c>
      <c r="F25925" t="s">
        <v>544</v>
      </c>
      <c r="G25925">
        <v>12.39</v>
      </c>
      <c r="H25925">
        <v>250314</v>
      </c>
      <c r="I25925">
        <v>4500</v>
      </c>
      <c r="J25925" t="s">
        <v>312</v>
      </c>
      <c r="K25925">
        <v>273.08999999999997</v>
      </c>
      <c r="L25925">
        <v>2.52</v>
      </c>
      <c r="M25925">
        <v>14321</v>
      </c>
      <c r="N25925" t="s">
        <v>72</v>
      </c>
      <c r="O25925">
        <v>250411</v>
      </c>
      <c r="P25925">
        <v>9.8699999999999992</v>
      </c>
    </row>
    <row r="25926" spans="1:16" x14ac:dyDescent="0.25">
      <c r="A25926" t="s">
        <v>3296</v>
      </c>
      <c r="B25926" t="s">
        <v>2931</v>
      </c>
      <c r="C25926">
        <v>4385</v>
      </c>
      <c r="D25926" t="str">
        <f t="shared" si="555"/>
        <v xml:space="preserve">2216616     </v>
      </c>
      <c r="E25926" t="s">
        <v>543</v>
      </c>
      <c r="F25926" t="s">
        <v>544</v>
      </c>
      <c r="G25926">
        <v>8.58</v>
      </c>
      <c r="H25926">
        <v>250314</v>
      </c>
      <c r="I25926">
        <v>4500</v>
      </c>
      <c r="J25926" t="s">
        <v>312</v>
      </c>
      <c r="K25926">
        <v>273.08999999999997</v>
      </c>
      <c r="L25926">
        <v>1.74</v>
      </c>
      <c r="M25926">
        <v>14422</v>
      </c>
      <c r="N25926" t="s">
        <v>73</v>
      </c>
      <c r="O25926">
        <v>250411</v>
      </c>
      <c r="P25926">
        <v>6.84</v>
      </c>
    </row>
    <row r="25927" spans="1:16" x14ac:dyDescent="0.25">
      <c r="A25927" t="s">
        <v>3296</v>
      </c>
      <c r="B25927" t="s">
        <v>2931</v>
      </c>
      <c r="C25927">
        <v>4385</v>
      </c>
      <c r="D25927" t="str">
        <f t="shared" si="555"/>
        <v xml:space="preserve">2216616     </v>
      </c>
      <c r="E25927" t="s">
        <v>543</v>
      </c>
      <c r="F25927" t="s">
        <v>544</v>
      </c>
      <c r="G25927">
        <v>167.22</v>
      </c>
      <c r="H25927">
        <v>250314</v>
      </c>
      <c r="I25927">
        <v>4500</v>
      </c>
      <c r="J25927" t="s">
        <v>312</v>
      </c>
      <c r="K25927">
        <v>273.08999999999997</v>
      </c>
      <c r="L25927">
        <v>33.979999999999997</v>
      </c>
      <c r="M25927">
        <v>14432</v>
      </c>
      <c r="N25927" t="s">
        <v>75</v>
      </c>
      <c r="O25927">
        <v>250411</v>
      </c>
      <c r="P25927">
        <v>133.24</v>
      </c>
    </row>
    <row r="25928" spans="1:16" x14ac:dyDescent="0.25">
      <c r="A25928" t="s">
        <v>3296</v>
      </c>
      <c r="B25928" t="s">
        <v>2931</v>
      </c>
      <c r="C25928">
        <v>4385</v>
      </c>
      <c r="D25928" t="str">
        <f t="shared" si="555"/>
        <v xml:space="preserve">2216616     </v>
      </c>
      <c r="E25928" t="s">
        <v>543</v>
      </c>
      <c r="F25928" t="s">
        <v>544</v>
      </c>
      <c r="G25928">
        <v>8.58</v>
      </c>
      <c r="H25928">
        <v>250314</v>
      </c>
      <c r="I25928">
        <v>4500</v>
      </c>
      <c r="J25928" t="s">
        <v>312</v>
      </c>
      <c r="K25928">
        <v>273.08999999999997</v>
      </c>
      <c r="L25928">
        <v>1.74</v>
      </c>
      <c r="M25928">
        <v>14541</v>
      </c>
      <c r="N25928" t="s">
        <v>76</v>
      </c>
      <c r="O25928">
        <v>250411</v>
      </c>
      <c r="P25928">
        <v>6.84</v>
      </c>
    </row>
    <row r="25929" spans="1:16" x14ac:dyDescent="0.25">
      <c r="A25929" t="s">
        <v>3296</v>
      </c>
      <c r="B25929" t="s">
        <v>2931</v>
      </c>
      <c r="C25929">
        <v>4385</v>
      </c>
      <c r="D25929" t="str">
        <f t="shared" si="555"/>
        <v xml:space="preserve">2216616     </v>
      </c>
      <c r="E25929" t="s">
        <v>543</v>
      </c>
      <c r="F25929" t="s">
        <v>544</v>
      </c>
      <c r="G25929">
        <v>30.49</v>
      </c>
      <c r="H25929">
        <v>250314</v>
      </c>
      <c r="I25929">
        <v>4500</v>
      </c>
      <c r="J25929" t="s">
        <v>312</v>
      </c>
      <c r="K25929">
        <v>273.08999999999997</v>
      </c>
      <c r="L25929">
        <v>6.2</v>
      </c>
      <c r="M25929">
        <v>14622</v>
      </c>
      <c r="N25929" t="s">
        <v>77</v>
      </c>
      <c r="O25929">
        <v>250411</v>
      </c>
      <c r="P25929">
        <v>24.29</v>
      </c>
    </row>
    <row r="25930" spans="1:16" x14ac:dyDescent="0.25">
      <c r="A25930" t="s">
        <v>3296</v>
      </c>
      <c r="B25930" t="s">
        <v>2931</v>
      </c>
      <c r="C25930">
        <v>4385</v>
      </c>
      <c r="D25930" t="str">
        <f t="shared" si="555"/>
        <v xml:space="preserve">2216616     </v>
      </c>
      <c r="E25930" t="s">
        <v>543</v>
      </c>
      <c r="F25930" t="s">
        <v>544</v>
      </c>
      <c r="G25930">
        <v>7.62</v>
      </c>
      <c r="H25930">
        <v>250314</v>
      </c>
      <c r="I25930">
        <v>4500</v>
      </c>
      <c r="J25930" t="s">
        <v>312</v>
      </c>
      <c r="K25930">
        <v>273.08999999999997</v>
      </c>
      <c r="L25930">
        <v>1.55</v>
      </c>
      <c r="M25930">
        <v>14640</v>
      </c>
      <c r="N25930" t="s">
        <v>78</v>
      </c>
      <c r="O25930">
        <v>250411</v>
      </c>
      <c r="P25930">
        <v>6.07</v>
      </c>
    </row>
    <row r="25931" spans="1:16" x14ac:dyDescent="0.25">
      <c r="A25931" t="s">
        <v>3296</v>
      </c>
      <c r="B25931" t="s">
        <v>2931</v>
      </c>
      <c r="C25931">
        <v>4385</v>
      </c>
      <c r="D25931" t="str">
        <f t="shared" si="555"/>
        <v xml:space="preserve">2216616     </v>
      </c>
      <c r="E25931" t="s">
        <v>543</v>
      </c>
      <c r="F25931" t="s">
        <v>544</v>
      </c>
      <c r="G25931">
        <v>6.67</v>
      </c>
      <c r="H25931">
        <v>250314</v>
      </c>
      <c r="I25931">
        <v>4500</v>
      </c>
      <c r="J25931" t="s">
        <v>312</v>
      </c>
      <c r="K25931">
        <v>273.08999999999997</v>
      </c>
      <c r="L25931">
        <v>1.36</v>
      </c>
      <c r="M25931">
        <v>14861</v>
      </c>
      <c r="N25931" t="s">
        <v>79</v>
      </c>
      <c r="O25931">
        <v>250411</v>
      </c>
      <c r="P25931">
        <v>5.31</v>
      </c>
    </row>
    <row r="25932" spans="1:16" x14ac:dyDescent="0.25">
      <c r="A25932" t="s">
        <v>3296</v>
      </c>
      <c r="B25932" t="s">
        <v>2931</v>
      </c>
      <c r="C25932">
        <v>4385</v>
      </c>
      <c r="D25932" t="str">
        <f t="shared" si="555"/>
        <v xml:space="preserve">2216616     </v>
      </c>
      <c r="E25932" t="s">
        <v>543</v>
      </c>
      <c r="F25932" t="s">
        <v>544</v>
      </c>
      <c r="G25932">
        <v>10.58</v>
      </c>
      <c r="H25932">
        <v>250314</v>
      </c>
      <c r="I25932">
        <v>4500</v>
      </c>
      <c r="J25932" t="s">
        <v>312</v>
      </c>
      <c r="K25932">
        <v>273.08999999999997</v>
      </c>
      <c r="L25932">
        <v>2.15</v>
      </c>
      <c r="M25932">
        <v>14972</v>
      </c>
      <c r="N25932" t="s">
        <v>82</v>
      </c>
      <c r="O25932">
        <v>250411</v>
      </c>
      <c r="P25932">
        <v>8.43</v>
      </c>
    </row>
    <row r="25933" spans="1:16" x14ac:dyDescent="0.25">
      <c r="A25933" t="s">
        <v>3296</v>
      </c>
      <c r="B25933" t="s">
        <v>2931</v>
      </c>
      <c r="C25933">
        <v>4395</v>
      </c>
      <c r="D25933" t="str">
        <f>"2216129     "</f>
        <v xml:space="preserve">2216129     </v>
      </c>
      <c r="E25933" t="s">
        <v>543</v>
      </c>
      <c r="F25933" t="s">
        <v>544</v>
      </c>
      <c r="G25933">
        <v>144.35</v>
      </c>
      <c r="H25933">
        <v>250313</v>
      </c>
      <c r="I25933">
        <v>4500</v>
      </c>
      <c r="J25933" t="s">
        <v>312</v>
      </c>
      <c r="K25933">
        <v>323.51</v>
      </c>
      <c r="L25933">
        <v>29.33</v>
      </c>
      <c r="M25933">
        <v>69702</v>
      </c>
      <c r="N25933" t="s">
        <v>124</v>
      </c>
      <c r="O25933">
        <v>250411</v>
      </c>
      <c r="P25933">
        <v>115.02</v>
      </c>
    </row>
    <row r="25934" spans="1:16" x14ac:dyDescent="0.25">
      <c r="A25934" t="s">
        <v>3296</v>
      </c>
      <c r="B25934" t="s">
        <v>2931</v>
      </c>
      <c r="C25934">
        <v>4395</v>
      </c>
      <c r="D25934" t="str">
        <f>"2216129     "</f>
        <v xml:space="preserve">2216129     </v>
      </c>
      <c r="E25934" t="s">
        <v>543</v>
      </c>
      <c r="F25934" t="s">
        <v>544</v>
      </c>
      <c r="G25934">
        <v>151.55000000000001</v>
      </c>
      <c r="H25934">
        <v>250313</v>
      </c>
      <c r="I25934">
        <v>4500</v>
      </c>
      <c r="J25934" t="s">
        <v>312</v>
      </c>
      <c r="K25934">
        <v>323.51</v>
      </c>
      <c r="L25934">
        <v>30.79</v>
      </c>
      <c r="M25934">
        <v>69704</v>
      </c>
      <c r="N25934" t="s">
        <v>89</v>
      </c>
      <c r="O25934">
        <v>250411</v>
      </c>
      <c r="P25934">
        <v>120.76</v>
      </c>
    </row>
    <row r="25935" spans="1:16" x14ac:dyDescent="0.25">
      <c r="A25935" t="s">
        <v>3296</v>
      </c>
      <c r="B25935" t="s">
        <v>2931</v>
      </c>
      <c r="C25935">
        <v>4427</v>
      </c>
      <c r="D25935" t="str">
        <f>"2216614     "</f>
        <v xml:space="preserve">2216614     </v>
      </c>
      <c r="E25935" t="s">
        <v>543</v>
      </c>
      <c r="F25935" t="s">
        <v>544</v>
      </c>
      <c r="G25935">
        <v>34.909999999999997</v>
      </c>
      <c r="H25935">
        <v>250314</v>
      </c>
      <c r="I25935">
        <v>4500</v>
      </c>
      <c r="J25935" t="s">
        <v>312</v>
      </c>
      <c r="K25935">
        <v>44.02</v>
      </c>
      <c r="L25935">
        <v>7.09</v>
      </c>
      <c r="M25935">
        <v>69702</v>
      </c>
      <c r="N25935" t="s">
        <v>124</v>
      </c>
      <c r="O25935">
        <v>250411</v>
      </c>
      <c r="P25935">
        <v>27.82</v>
      </c>
    </row>
    <row r="25936" spans="1:16" x14ac:dyDescent="0.25">
      <c r="A25936" t="s">
        <v>3296</v>
      </c>
      <c r="B25936" t="s">
        <v>2931</v>
      </c>
      <c r="C25936">
        <v>4427</v>
      </c>
      <c r="D25936" t="str">
        <f>"2216614     "</f>
        <v xml:space="preserve">2216614     </v>
      </c>
      <c r="E25936" t="s">
        <v>543</v>
      </c>
      <c r="F25936" t="s">
        <v>544</v>
      </c>
      <c r="G25936">
        <v>9.11</v>
      </c>
      <c r="H25936">
        <v>250314</v>
      </c>
      <c r="I25936">
        <v>4500</v>
      </c>
      <c r="J25936" t="s">
        <v>312</v>
      </c>
      <c r="K25936">
        <v>44.02</v>
      </c>
      <c r="L25936">
        <v>1.85</v>
      </c>
      <c r="M25936">
        <v>69704</v>
      </c>
      <c r="N25936" t="s">
        <v>89</v>
      </c>
      <c r="O25936">
        <v>250411</v>
      </c>
      <c r="P25936">
        <v>7.26</v>
      </c>
    </row>
    <row r="25937" spans="1:16" x14ac:dyDescent="0.25">
      <c r="A25937" t="s">
        <v>3296</v>
      </c>
      <c r="B25937" t="s">
        <v>2931</v>
      </c>
      <c r="C25937">
        <v>4428</v>
      </c>
      <c r="D25937" t="str">
        <f>"2216130     "</f>
        <v xml:space="preserve">2216130     </v>
      </c>
      <c r="E25937" t="s">
        <v>543</v>
      </c>
      <c r="F25937" t="s">
        <v>544</v>
      </c>
      <c r="G25937">
        <v>105.42</v>
      </c>
      <c r="H25937">
        <v>250313</v>
      </c>
      <c r="I25937">
        <v>4500</v>
      </c>
      <c r="J25937" t="s">
        <v>312</v>
      </c>
      <c r="K25937">
        <v>231.52</v>
      </c>
      <c r="L25937">
        <v>21.42</v>
      </c>
      <c r="M25937">
        <v>11101</v>
      </c>
      <c r="N25937" t="s">
        <v>67</v>
      </c>
      <c r="O25937">
        <v>250411</v>
      </c>
      <c r="P25937">
        <v>84</v>
      </c>
    </row>
    <row r="25938" spans="1:16" x14ac:dyDescent="0.25">
      <c r="A25938" t="s">
        <v>3296</v>
      </c>
      <c r="B25938" t="s">
        <v>2931</v>
      </c>
      <c r="C25938">
        <v>4428</v>
      </c>
      <c r="D25938" t="str">
        <f>"2216130     "</f>
        <v xml:space="preserve">2216130     </v>
      </c>
      <c r="E25938" t="s">
        <v>543</v>
      </c>
      <c r="F25938" t="s">
        <v>544</v>
      </c>
      <c r="G25938">
        <v>78.12</v>
      </c>
      <c r="H25938">
        <v>250313</v>
      </c>
      <c r="I25938">
        <v>4500</v>
      </c>
      <c r="J25938" t="s">
        <v>312</v>
      </c>
      <c r="K25938">
        <v>231.52</v>
      </c>
      <c r="L25938">
        <v>15.87</v>
      </c>
      <c r="M25938">
        <v>59702</v>
      </c>
      <c r="N25938" t="s">
        <v>45</v>
      </c>
      <c r="O25938">
        <v>250411</v>
      </c>
      <c r="P25938">
        <v>62.25</v>
      </c>
    </row>
    <row r="25939" spans="1:16" x14ac:dyDescent="0.25">
      <c r="A25939" t="s">
        <v>3296</v>
      </c>
      <c r="B25939" t="s">
        <v>2931</v>
      </c>
      <c r="C25939">
        <v>4470</v>
      </c>
      <c r="D25939" t="str">
        <f>"2216615     "</f>
        <v xml:space="preserve">2216615     </v>
      </c>
      <c r="E25939" t="s">
        <v>543</v>
      </c>
      <c r="F25939" t="s">
        <v>544</v>
      </c>
      <c r="G25939">
        <v>1.61</v>
      </c>
      <c r="H25939">
        <v>250314</v>
      </c>
      <c r="I25939">
        <v>4500</v>
      </c>
      <c r="J25939" t="s">
        <v>312</v>
      </c>
      <c r="K25939">
        <v>1.61</v>
      </c>
      <c r="L25939">
        <v>0.33</v>
      </c>
      <c r="M25939">
        <v>49702</v>
      </c>
      <c r="N25939" t="s">
        <v>112</v>
      </c>
      <c r="O25939">
        <v>250411</v>
      </c>
      <c r="P25939">
        <v>1.28</v>
      </c>
    </row>
    <row r="25940" spans="1:16" x14ac:dyDescent="0.25">
      <c r="A25940" t="s">
        <v>3296</v>
      </c>
      <c r="B25940" t="s">
        <v>2931</v>
      </c>
      <c r="C25940">
        <v>5017</v>
      </c>
      <c r="D25940" t="str">
        <f>"2219780     "</f>
        <v xml:space="preserve">2219780     </v>
      </c>
      <c r="E25940" t="s">
        <v>543</v>
      </c>
      <c r="F25940" t="s">
        <v>544</v>
      </c>
      <c r="G25940">
        <v>142.07</v>
      </c>
      <c r="H25940">
        <v>250326</v>
      </c>
      <c r="I25940">
        <v>4500</v>
      </c>
      <c r="J25940" t="s">
        <v>312</v>
      </c>
      <c r="K25940">
        <v>142.07</v>
      </c>
      <c r="L25940">
        <v>28.87</v>
      </c>
      <c r="M25940">
        <v>17808</v>
      </c>
      <c r="N25940" t="s">
        <v>24</v>
      </c>
      <c r="O25940">
        <v>250416</v>
      </c>
      <c r="P25940">
        <v>113.2</v>
      </c>
    </row>
    <row r="25941" spans="1:16" x14ac:dyDescent="0.25">
      <c r="A25941" t="s">
        <v>3296</v>
      </c>
      <c r="B25941" t="s">
        <v>2931</v>
      </c>
      <c r="C25941">
        <v>5037</v>
      </c>
      <c r="D25941" t="str">
        <f>"2220224     "</f>
        <v xml:space="preserve">2220224     </v>
      </c>
      <c r="E25941" t="s">
        <v>543</v>
      </c>
      <c r="F25941" t="s">
        <v>544</v>
      </c>
      <c r="G25941">
        <v>103.64</v>
      </c>
      <c r="H25941">
        <v>250327</v>
      </c>
      <c r="I25941">
        <v>4500</v>
      </c>
      <c r="J25941" t="s">
        <v>312</v>
      </c>
      <c r="K25941">
        <v>133.26</v>
      </c>
      <c r="L25941">
        <v>21.06</v>
      </c>
      <c r="M25941">
        <v>17808</v>
      </c>
      <c r="N25941" t="s">
        <v>24</v>
      </c>
      <c r="O25941">
        <v>250416</v>
      </c>
      <c r="P25941">
        <v>82.58</v>
      </c>
    </row>
    <row r="25942" spans="1:16" x14ac:dyDescent="0.25">
      <c r="A25942" t="s">
        <v>3296</v>
      </c>
      <c r="B25942" t="s">
        <v>2931</v>
      </c>
      <c r="C25942">
        <v>5611</v>
      </c>
      <c r="D25942" t="str">
        <f t="shared" ref="D25942:D25949" si="556">"2225102     "</f>
        <v xml:space="preserve">2225102     </v>
      </c>
      <c r="E25942" t="s">
        <v>543</v>
      </c>
      <c r="F25942" t="s">
        <v>544</v>
      </c>
      <c r="G25942">
        <v>18.75</v>
      </c>
      <c r="H25942">
        <v>250404</v>
      </c>
      <c r="I25942">
        <v>4500</v>
      </c>
      <c r="J25942" t="s">
        <v>312</v>
      </c>
      <c r="K25942">
        <v>893.86</v>
      </c>
      <c r="L25942">
        <v>3.81</v>
      </c>
      <c r="M25942">
        <v>11001</v>
      </c>
      <c r="N25942" t="s">
        <v>93</v>
      </c>
      <c r="O25942">
        <v>250425</v>
      </c>
      <c r="P25942">
        <v>14.94</v>
      </c>
    </row>
    <row r="25943" spans="1:16" x14ac:dyDescent="0.25">
      <c r="A25943" t="s">
        <v>3296</v>
      </c>
      <c r="B25943" t="s">
        <v>2931</v>
      </c>
      <c r="C25943">
        <v>5611</v>
      </c>
      <c r="D25943" t="str">
        <f t="shared" si="556"/>
        <v xml:space="preserve">2225102     </v>
      </c>
      <c r="E25943" t="s">
        <v>543</v>
      </c>
      <c r="F25943" t="s">
        <v>544</v>
      </c>
      <c r="G25943">
        <v>18.75</v>
      </c>
      <c r="H25943">
        <v>250404</v>
      </c>
      <c r="I25943">
        <v>4500</v>
      </c>
      <c r="J25943" t="s">
        <v>312</v>
      </c>
      <c r="K25943">
        <v>893.86</v>
      </c>
      <c r="L25943">
        <v>3.81</v>
      </c>
      <c r="M25943">
        <v>11301</v>
      </c>
      <c r="N25943" t="s">
        <v>92</v>
      </c>
      <c r="O25943">
        <v>250425</v>
      </c>
      <c r="P25943">
        <v>14.94</v>
      </c>
    </row>
    <row r="25944" spans="1:16" x14ac:dyDescent="0.25">
      <c r="A25944" t="s">
        <v>3296</v>
      </c>
      <c r="B25944" t="s">
        <v>2931</v>
      </c>
      <c r="C25944">
        <v>5611</v>
      </c>
      <c r="D25944" t="str">
        <f t="shared" si="556"/>
        <v xml:space="preserve">2225102     </v>
      </c>
      <c r="E25944" t="s">
        <v>543</v>
      </c>
      <c r="F25944" t="s">
        <v>544</v>
      </c>
      <c r="G25944">
        <v>37.479999999999997</v>
      </c>
      <c r="H25944">
        <v>250404</v>
      </c>
      <c r="I25944">
        <v>4500</v>
      </c>
      <c r="J25944" t="s">
        <v>312</v>
      </c>
      <c r="K25944">
        <v>893.86</v>
      </c>
      <c r="L25944">
        <v>7.62</v>
      </c>
      <c r="M25944">
        <v>11401</v>
      </c>
      <c r="N25944" t="s">
        <v>91</v>
      </c>
      <c r="O25944">
        <v>250425</v>
      </c>
      <c r="P25944">
        <v>29.86</v>
      </c>
    </row>
    <row r="25945" spans="1:16" x14ac:dyDescent="0.25">
      <c r="A25945" t="s">
        <v>3296</v>
      </c>
      <c r="B25945" t="s">
        <v>2931</v>
      </c>
      <c r="C25945">
        <v>5611</v>
      </c>
      <c r="D25945" t="str">
        <f t="shared" si="556"/>
        <v xml:space="preserve">2225102     </v>
      </c>
      <c r="E25945" t="s">
        <v>543</v>
      </c>
      <c r="F25945" t="s">
        <v>544</v>
      </c>
      <c r="G25945">
        <v>37.479999999999997</v>
      </c>
      <c r="H25945">
        <v>250404</v>
      </c>
      <c r="I25945">
        <v>4500</v>
      </c>
      <c r="J25945" t="s">
        <v>312</v>
      </c>
      <c r="K25945">
        <v>893.86</v>
      </c>
      <c r="L25945">
        <v>7.62</v>
      </c>
      <c r="M25945">
        <v>11501</v>
      </c>
      <c r="N25945" t="s">
        <v>13</v>
      </c>
      <c r="O25945">
        <v>250425</v>
      </c>
      <c r="P25945">
        <v>29.86</v>
      </c>
    </row>
    <row r="25946" spans="1:16" x14ac:dyDescent="0.25">
      <c r="A25946" t="s">
        <v>3296</v>
      </c>
      <c r="B25946" t="s">
        <v>2931</v>
      </c>
      <c r="C25946">
        <v>5611</v>
      </c>
      <c r="D25946" t="str">
        <f t="shared" si="556"/>
        <v xml:space="preserve">2225102     </v>
      </c>
      <c r="E25946" t="s">
        <v>543</v>
      </c>
      <c r="F25946" t="s">
        <v>544</v>
      </c>
      <c r="G25946">
        <v>37.479999999999997</v>
      </c>
      <c r="H25946">
        <v>250404</v>
      </c>
      <c r="I25946">
        <v>4500</v>
      </c>
      <c r="J25946" t="s">
        <v>312</v>
      </c>
      <c r="K25946">
        <v>893.86</v>
      </c>
      <c r="L25946">
        <v>7.62</v>
      </c>
      <c r="M25946">
        <v>11901</v>
      </c>
      <c r="N25946" t="s">
        <v>31</v>
      </c>
      <c r="O25946">
        <v>250425</v>
      </c>
      <c r="P25946">
        <v>29.86</v>
      </c>
    </row>
    <row r="25947" spans="1:16" x14ac:dyDescent="0.25">
      <c r="A25947" t="s">
        <v>3296</v>
      </c>
      <c r="B25947" t="s">
        <v>2931</v>
      </c>
      <c r="C25947">
        <v>5611</v>
      </c>
      <c r="D25947" t="str">
        <f t="shared" si="556"/>
        <v xml:space="preserve">2225102     </v>
      </c>
      <c r="E25947" t="s">
        <v>543</v>
      </c>
      <c r="F25947" t="s">
        <v>544</v>
      </c>
      <c r="G25947">
        <v>31.26</v>
      </c>
      <c r="H25947">
        <v>250404</v>
      </c>
      <c r="I25947">
        <v>4500</v>
      </c>
      <c r="J25947" t="s">
        <v>312</v>
      </c>
      <c r="K25947">
        <v>893.86</v>
      </c>
      <c r="L25947">
        <v>6.35</v>
      </c>
      <c r="M25947">
        <v>11903</v>
      </c>
      <c r="N25947" t="s">
        <v>32</v>
      </c>
      <c r="O25947">
        <v>250425</v>
      </c>
      <c r="P25947">
        <v>24.91</v>
      </c>
    </row>
    <row r="25948" spans="1:16" x14ac:dyDescent="0.25">
      <c r="A25948" t="s">
        <v>3296</v>
      </c>
      <c r="B25948" t="s">
        <v>2931</v>
      </c>
      <c r="C25948">
        <v>5611</v>
      </c>
      <c r="D25948" t="str">
        <f t="shared" si="556"/>
        <v xml:space="preserve">2225102     </v>
      </c>
      <c r="E25948" t="s">
        <v>543</v>
      </c>
      <c r="F25948" t="s">
        <v>544</v>
      </c>
      <c r="G25948">
        <v>129.83000000000001</v>
      </c>
      <c r="H25948">
        <v>250404</v>
      </c>
      <c r="I25948">
        <v>4500</v>
      </c>
      <c r="J25948" t="s">
        <v>312</v>
      </c>
      <c r="K25948">
        <v>893.86</v>
      </c>
      <c r="L25948">
        <v>26.38</v>
      </c>
      <c r="M25948">
        <v>14640</v>
      </c>
      <c r="N25948" t="s">
        <v>78</v>
      </c>
      <c r="O25948">
        <v>250425</v>
      </c>
      <c r="P25948">
        <v>103.45</v>
      </c>
    </row>
    <row r="25949" spans="1:16" x14ac:dyDescent="0.25">
      <c r="A25949" t="s">
        <v>3296</v>
      </c>
      <c r="B25949" t="s">
        <v>2931</v>
      </c>
      <c r="C25949">
        <v>5611</v>
      </c>
      <c r="D25949" t="str">
        <f t="shared" si="556"/>
        <v xml:space="preserve">2225102     </v>
      </c>
      <c r="E25949" t="s">
        <v>543</v>
      </c>
      <c r="F25949" t="s">
        <v>544</v>
      </c>
      <c r="G25949">
        <v>37.479999999999997</v>
      </c>
      <c r="H25949">
        <v>250404</v>
      </c>
      <c r="I25949">
        <v>4500</v>
      </c>
      <c r="J25949" t="s">
        <v>312</v>
      </c>
      <c r="K25949">
        <v>893.86</v>
      </c>
      <c r="L25949">
        <v>7.62</v>
      </c>
      <c r="M25949">
        <v>18972</v>
      </c>
      <c r="N25949" t="s">
        <v>39</v>
      </c>
      <c r="O25949">
        <v>250425</v>
      </c>
      <c r="P25949">
        <v>29.86</v>
      </c>
    </row>
    <row r="25950" spans="1:16" x14ac:dyDescent="0.25">
      <c r="A25950" t="s">
        <v>3296</v>
      </c>
      <c r="B25950" t="s">
        <v>2931</v>
      </c>
      <c r="C25950">
        <v>5620</v>
      </c>
      <c r="D25950" t="str">
        <f>"2225103     "</f>
        <v xml:space="preserve">2225103     </v>
      </c>
      <c r="E25950" t="s">
        <v>543</v>
      </c>
      <c r="F25950" t="s">
        <v>544</v>
      </c>
      <c r="G25950">
        <v>62.95</v>
      </c>
      <c r="H25950">
        <v>250404</v>
      </c>
      <c r="I25950">
        <v>4500</v>
      </c>
      <c r="J25950" t="s">
        <v>312</v>
      </c>
      <c r="K25950">
        <v>202.84</v>
      </c>
      <c r="L25950">
        <v>12.79</v>
      </c>
      <c r="M25950">
        <v>56522</v>
      </c>
      <c r="N25950" t="s">
        <v>68</v>
      </c>
      <c r="O25950">
        <v>250425</v>
      </c>
      <c r="P25950">
        <v>50.16</v>
      </c>
    </row>
    <row r="25951" spans="1:16" x14ac:dyDescent="0.25">
      <c r="A25951" t="s">
        <v>3296</v>
      </c>
      <c r="B25951" t="s">
        <v>2931</v>
      </c>
      <c r="C25951">
        <v>5620</v>
      </c>
      <c r="D25951" t="str">
        <f>"2225103     "</f>
        <v xml:space="preserve">2225103     </v>
      </c>
      <c r="E25951" t="s">
        <v>543</v>
      </c>
      <c r="F25951" t="s">
        <v>544</v>
      </c>
      <c r="G25951">
        <v>139.88999999999999</v>
      </c>
      <c r="H25951">
        <v>250404</v>
      </c>
      <c r="I25951">
        <v>4500</v>
      </c>
      <c r="J25951" t="s">
        <v>312</v>
      </c>
      <c r="K25951">
        <v>202.84</v>
      </c>
      <c r="L25951">
        <v>28.42</v>
      </c>
      <c r="M25951">
        <v>59702</v>
      </c>
      <c r="N25951" t="s">
        <v>45</v>
      </c>
      <c r="O25951">
        <v>250425</v>
      </c>
      <c r="P25951">
        <v>111.47</v>
      </c>
    </row>
    <row r="25952" spans="1:16" x14ac:dyDescent="0.25">
      <c r="A25952" t="s">
        <v>3296</v>
      </c>
      <c r="B25952" t="s">
        <v>2931</v>
      </c>
      <c r="C25952">
        <v>5623</v>
      </c>
      <c r="D25952" t="str">
        <f>"2226907     "</f>
        <v xml:space="preserve">2226907     </v>
      </c>
      <c r="E25952" t="s">
        <v>543</v>
      </c>
      <c r="F25952" t="s">
        <v>544</v>
      </c>
      <c r="G25952">
        <v>207.57</v>
      </c>
      <c r="H25952">
        <v>250409</v>
      </c>
      <c r="I25952">
        <v>4500</v>
      </c>
      <c r="J25952" t="s">
        <v>312</v>
      </c>
      <c r="K25952">
        <v>207.57</v>
      </c>
      <c r="L25952">
        <v>42.18</v>
      </c>
      <c r="M25952">
        <v>13901</v>
      </c>
      <c r="N25952" t="s">
        <v>116</v>
      </c>
      <c r="O25952">
        <v>250425</v>
      </c>
      <c r="P25952">
        <v>165.39</v>
      </c>
    </row>
    <row r="25953" spans="1:16" x14ac:dyDescent="0.25">
      <c r="A25953" t="s">
        <v>3296</v>
      </c>
      <c r="B25953" t="s">
        <v>2931</v>
      </c>
      <c r="C25953">
        <v>5625</v>
      </c>
      <c r="D25953" t="str">
        <f>"2226822     "</f>
        <v xml:space="preserve">2226822     </v>
      </c>
      <c r="E25953" t="s">
        <v>543</v>
      </c>
      <c r="F25953" t="s">
        <v>544</v>
      </c>
      <c r="G25953">
        <v>99.63</v>
      </c>
      <c r="H25953">
        <v>250409</v>
      </c>
      <c r="I25953">
        <v>4500</v>
      </c>
      <c r="J25953" t="s">
        <v>312</v>
      </c>
      <c r="K25953">
        <v>205.2</v>
      </c>
      <c r="L25953">
        <v>20.239999999999998</v>
      </c>
      <c r="M25953">
        <v>56528</v>
      </c>
      <c r="N25953" t="s">
        <v>70</v>
      </c>
      <c r="O25953">
        <v>250425</v>
      </c>
      <c r="P25953">
        <v>79.39</v>
      </c>
    </row>
    <row r="25954" spans="1:16" x14ac:dyDescent="0.25">
      <c r="A25954" t="s">
        <v>3296</v>
      </c>
      <c r="B25954" t="s">
        <v>2931</v>
      </c>
      <c r="C25954">
        <v>5625</v>
      </c>
      <c r="D25954" t="str">
        <f>"2226822     "</f>
        <v xml:space="preserve">2226822     </v>
      </c>
      <c r="E25954" t="s">
        <v>543</v>
      </c>
      <c r="F25954" t="s">
        <v>544</v>
      </c>
      <c r="G25954">
        <v>4.71</v>
      </c>
      <c r="H25954">
        <v>250409</v>
      </c>
      <c r="I25954">
        <v>4500</v>
      </c>
      <c r="J25954" t="s">
        <v>312</v>
      </c>
      <c r="K25954">
        <v>205.2</v>
      </c>
      <c r="L25954">
        <v>0.96</v>
      </c>
      <c r="M25954">
        <v>59702</v>
      </c>
      <c r="N25954" t="s">
        <v>45</v>
      </c>
      <c r="O25954">
        <v>250425</v>
      </c>
      <c r="P25954">
        <v>3.75</v>
      </c>
    </row>
    <row r="25955" spans="1:16" x14ac:dyDescent="0.25">
      <c r="A25955" t="s">
        <v>3296</v>
      </c>
      <c r="B25955" t="s">
        <v>2931</v>
      </c>
      <c r="C25955">
        <v>6095</v>
      </c>
      <c r="D25955" t="str">
        <f>"2229142     "</f>
        <v xml:space="preserve">2229142     </v>
      </c>
      <c r="E25955" t="s">
        <v>543</v>
      </c>
      <c r="F25955" t="s">
        <v>544</v>
      </c>
      <c r="G25955">
        <v>59.7</v>
      </c>
      <c r="H25955">
        <v>250416</v>
      </c>
      <c r="I25955">
        <v>4500</v>
      </c>
      <c r="J25955" t="s">
        <v>312</v>
      </c>
      <c r="K25955">
        <v>267.43</v>
      </c>
      <c r="L25955">
        <v>12.13</v>
      </c>
      <c r="M25955">
        <v>69704</v>
      </c>
      <c r="N25955" t="s">
        <v>89</v>
      </c>
      <c r="O25955">
        <v>250508</v>
      </c>
      <c r="P25955">
        <v>47.57</v>
      </c>
    </row>
    <row r="25956" spans="1:16" x14ac:dyDescent="0.25">
      <c r="A25956" t="s">
        <v>3296</v>
      </c>
      <c r="B25956" t="s">
        <v>2931</v>
      </c>
      <c r="C25956">
        <v>6567</v>
      </c>
      <c r="D25956" t="str">
        <f t="shared" ref="D25956:D25965" si="557">"2230898     "</f>
        <v xml:space="preserve">2230898     </v>
      </c>
      <c r="E25956" t="s">
        <v>543</v>
      </c>
      <c r="F25956" t="s">
        <v>544</v>
      </c>
      <c r="G25956">
        <v>47.87</v>
      </c>
      <c r="H25956">
        <v>250424</v>
      </c>
      <c r="I25956">
        <v>4500</v>
      </c>
      <c r="J25956" t="s">
        <v>312</v>
      </c>
      <c r="K25956">
        <v>547.48</v>
      </c>
      <c r="L25956">
        <v>9.73</v>
      </c>
      <c r="M25956">
        <v>14121</v>
      </c>
      <c r="N25956" t="s">
        <v>71</v>
      </c>
      <c r="O25956">
        <v>250514</v>
      </c>
      <c r="P25956">
        <v>38.14</v>
      </c>
    </row>
    <row r="25957" spans="1:16" x14ac:dyDescent="0.25">
      <c r="A25957" t="s">
        <v>3296</v>
      </c>
      <c r="B25957" t="s">
        <v>2931</v>
      </c>
      <c r="C25957">
        <v>6567</v>
      </c>
      <c r="D25957" t="str">
        <f t="shared" si="557"/>
        <v xml:space="preserve">2230898     </v>
      </c>
      <c r="E25957" t="s">
        <v>543</v>
      </c>
      <c r="F25957" t="s">
        <v>544</v>
      </c>
      <c r="G25957">
        <v>28.29</v>
      </c>
      <c r="H25957">
        <v>250424</v>
      </c>
      <c r="I25957">
        <v>4500</v>
      </c>
      <c r="J25957" t="s">
        <v>312</v>
      </c>
      <c r="K25957">
        <v>547.48</v>
      </c>
      <c r="L25957">
        <v>5.75</v>
      </c>
      <c r="M25957">
        <v>14321</v>
      </c>
      <c r="N25957" t="s">
        <v>72</v>
      </c>
      <c r="O25957">
        <v>250514</v>
      </c>
      <c r="P25957">
        <v>22.54</v>
      </c>
    </row>
    <row r="25958" spans="1:16" x14ac:dyDescent="0.25">
      <c r="A25958" t="s">
        <v>3296</v>
      </c>
      <c r="B25958" t="s">
        <v>2931</v>
      </c>
      <c r="C25958">
        <v>6567</v>
      </c>
      <c r="D25958" t="str">
        <f t="shared" si="557"/>
        <v xml:space="preserve">2230898     </v>
      </c>
      <c r="E25958" t="s">
        <v>543</v>
      </c>
      <c r="F25958" t="s">
        <v>544</v>
      </c>
      <c r="G25958">
        <v>19.579999999999998</v>
      </c>
      <c r="H25958">
        <v>250424</v>
      </c>
      <c r="I25958">
        <v>4500</v>
      </c>
      <c r="J25958" t="s">
        <v>312</v>
      </c>
      <c r="K25958">
        <v>547.48</v>
      </c>
      <c r="L25958">
        <v>3.98</v>
      </c>
      <c r="M25958">
        <v>14422</v>
      </c>
      <c r="N25958" t="s">
        <v>73</v>
      </c>
      <c r="O25958">
        <v>250514</v>
      </c>
      <c r="P25958">
        <v>15.6</v>
      </c>
    </row>
    <row r="25959" spans="1:16" x14ac:dyDescent="0.25">
      <c r="A25959" t="s">
        <v>3296</v>
      </c>
      <c r="B25959" t="s">
        <v>2931</v>
      </c>
      <c r="C25959">
        <v>6567</v>
      </c>
      <c r="D25959" t="str">
        <f t="shared" si="557"/>
        <v xml:space="preserve">2230898     </v>
      </c>
      <c r="E25959" t="s">
        <v>543</v>
      </c>
      <c r="F25959" t="s">
        <v>544</v>
      </c>
      <c r="G25959">
        <v>19.28</v>
      </c>
      <c r="H25959">
        <v>250424</v>
      </c>
      <c r="I25959">
        <v>4500</v>
      </c>
      <c r="J25959" t="s">
        <v>312</v>
      </c>
      <c r="K25959">
        <v>547.48</v>
      </c>
      <c r="L25959">
        <v>3.92</v>
      </c>
      <c r="M25959">
        <v>14541</v>
      </c>
      <c r="N25959" t="s">
        <v>76</v>
      </c>
      <c r="O25959">
        <v>250514</v>
      </c>
      <c r="P25959">
        <v>15.36</v>
      </c>
    </row>
    <row r="25960" spans="1:16" x14ac:dyDescent="0.25">
      <c r="A25960" t="s">
        <v>3296</v>
      </c>
      <c r="B25960" t="s">
        <v>2931</v>
      </c>
      <c r="C25960">
        <v>6567</v>
      </c>
      <c r="D25960" t="str">
        <f t="shared" si="557"/>
        <v xml:space="preserve">2230898     </v>
      </c>
      <c r="E25960" t="s">
        <v>543</v>
      </c>
      <c r="F25960" t="s">
        <v>544</v>
      </c>
      <c r="G25960">
        <v>69.63</v>
      </c>
      <c r="H25960">
        <v>250424</v>
      </c>
      <c r="I25960">
        <v>4500</v>
      </c>
      <c r="J25960" t="s">
        <v>312</v>
      </c>
      <c r="K25960">
        <v>547.48</v>
      </c>
      <c r="L25960">
        <v>14.15</v>
      </c>
      <c r="M25960">
        <v>14622</v>
      </c>
      <c r="N25960" t="s">
        <v>77</v>
      </c>
      <c r="O25960">
        <v>250514</v>
      </c>
      <c r="P25960">
        <v>55.48</v>
      </c>
    </row>
    <row r="25961" spans="1:16" x14ac:dyDescent="0.25">
      <c r="A25961" t="s">
        <v>3296</v>
      </c>
      <c r="B25961" t="s">
        <v>2931</v>
      </c>
      <c r="C25961">
        <v>6567</v>
      </c>
      <c r="D25961" t="str">
        <f t="shared" si="557"/>
        <v xml:space="preserve">2230898     </v>
      </c>
      <c r="E25961" t="s">
        <v>543</v>
      </c>
      <c r="F25961" t="s">
        <v>544</v>
      </c>
      <c r="G25961">
        <v>17.41</v>
      </c>
      <c r="H25961">
        <v>250424</v>
      </c>
      <c r="I25961">
        <v>4500</v>
      </c>
      <c r="J25961" t="s">
        <v>312</v>
      </c>
      <c r="K25961">
        <v>547.48</v>
      </c>
      <c r="L25961">
        <v>3.54</v>
      </c>
      <c r="M25961">
        <v>14640</v>
      </c>
      <c r="N25961" t="s">
        <v>78</v>
      </c>
      <c r="O25961">
        <v>250514</v>
      </c>
      <c r="P25961">
        <v>13.87</v>
      </c>
    </row>
    <row r="25962" spans="1:16" x14ac:dyDescent="0.25">
      <c r="A25962" t="s">
        <v>3296</v>
      </c>
      <c r="B25962" t="s">
        <v>2931</v>
      </c>
      <c r="C25962">
        <v>6567</v>
      </c>
      <c r="D25962" t="str">
        <f t="shared" si="557"/>
        <v xml:space="preserve">2230898     </v>
      </c>
      <c r="E25962" t="s">
        <v>543</v>
      </c>
      <c r="F25962" t="s">
        <v>544</v>
      </c>
      <c r="G25962">
        <v>15.23</v>
      </c>
      <c r="H25962">
        <v>250424</v>
      </c>
      <c r="I25962">
        <v>4500</v>
      </c>
      <c r="J25962" t="s">
        <v>312</v>
      </c>
      <c r="K25962">
        <v>547.48</v>
      </c>
      <c r="L25962">
        <v>3.09</v>
      </c>
      <c r="M25962">
        <v>14861</v>
      </c>
      <c r="N25962" t="s">
        <v>79</v>
      </c>
      <c r="O25962">
        <v>250514</v>
      </c>
      <c r="P25962">
        <v>12.14</v>
      </c>
    </row>
    <row r="25963" spans="1:16" x14ac:dyDescent="0.25">
      <c r="A25963" t="s">
        <v>3296</v>
      </c>
      <c r="B25963" t="s">
        <v>2931</v>
      </c>
      <c r="C25963">
        <v>6567</v>
      </c>
      <c r="D25963" t="str">
        <f t="shared" si="557"/>
        <v xml:space="preserve">2230898     </v>
      </c>
      <c r="E25963" t="s">
        <v>543</v>
      </c>
      <c r="F25963" t="s">
        <v>544</v>
      </c>
      <c r="G25963">
        <v>90.89</v>
      </c>
      <c r="H25963">
        <v>250424</v>
      </c>
      <c r="I25963">
        <v>4500</v>
      </c>
      <c r="J25963" t="s">
        <v>312</v>
      </c>
      <c r="K25963">
        <v>547.48</v>
      </c>
      <c r="L25963">
        <v>18.47</v>
      </c>
      <c r="M25963">
        <v>14971</v>
      </c>
      <c r="N25963" t="s">
        <v>81</v>
      </c>
      <c r="O25963">
        <v>250514</v>
      </c>
      <c r="P25963">
        <v>72.42</v>
      </c>
    </row>
    <row r="25964" spans="1:16" x14ac:dyDescent="0.25">
      <c r="A25964" t="s">
        <v>3296</v>
      </c>
      <c r="B25964" t="s">
        <v>2931</v>
      </c>
      <c r="C25964">
        <v>6567</v>
      </c>
      <c r="D25964" t="str">
        <f t="shared" si="557"/>
        <v xml:space="preserve">2230898     </v>
      </c>
      <c r="E25964" t="s">
        <v>543</v>
      </c>
      <c r="F25964" t="s">
        <v>544</v>
      </c>
      <c r="G25964">
        <v>24.49</v>
      </c>
      <c r="H25964">
        <v>250424</v>
      </c>
      <c r="I25964">
        <v>4500</v>
      </c>
      <c r="J25964" t="s">
        <v>312</v>
      </c>
      <c r="K25964">
        <v>547.48</v>
      </c>
      <c r="L25964">
        <v>4.9800000000000004</v>
      </c>
      <c r="M25964">
        <v>14972</v>
      </c>
      <c r="N25964" t="s">
        <v>82</v>
      </c>
      <c r="O25964">
        <v>250514</v>
      </c>
      <c r="P25964">
        <v>19.510000000000002</v>
      </c>
    </row>
    <row r="25965" spans="1:16" x14ac:dyDescent="0.25">
      <c r="A25965" t="s">
        <v>3296</v>
      </c>
      <c r="B25965" t="s">
        <v>2931</v>
      </c>
      <c r="C25965">
        <v>6567</v>
      </c>
      <c r="D25965" t="str">
        <f t="shared" si="557"/>
        <v xml:space="preserve">2230898     </v>
      </c>
      <c r="E25965" t="s">
        <v>543</v>
      </c>
      <c r="F25965" t="s">
        <v>544</v>
      </c>
      <c r="G25965">
        <v>214.81</v>
      </c>
      <c r="H25965">
        <v>250424</v>
      </c>
      <c r="I25965">
        <v>4500</v>
      </c>
      <c r="J25965" t="s">
        <v>312</v>
      </c>
      <c r="K25965">
        <v>547.48</v>
      </c>
      <c r="L25965">
        <v>43.65</v>
      </c>
      <c r="M25965">
        <v>18972</v>
      </c>
      <c r="N25965" t="s">
        <v>39</v>
      </c>
      <c r="O25965">
        <v>250514</v>
      </c>
      <c r="P25965">
        <v>171.16</v>
      </c>
    </row>
    <row r="25966" spans="1:16" x14ac:dyDescent="0.25">
      <c r="A25966" t="s">
        <v>3296</v>
      </c>
      <c r="B25966" t="s">
        <v>2931</v>
      </c>
      <c r="C25966">
        <v>7537</v>
      </c>
      <c r="D25966" t="str">
        <f>"2236730     "</f>
        <v xml:space="preserve">2236730     </v>
      </c>
      <c r="E25966" t="s">
        <v>543</v>
      </c>
      <c r="F25966" t="s">
        <v>544</v>
      </c>
      <c r="G25966">
        <v>278.61</v>
      </c>
      <c r="H25966">
        <v>250508</v>
      </c>
      <c r="I25966">
        <v>4500</v>
      </c>
      <c r="J25966" t="s">
        <v>312</v>
      </c>
      <c r="K25966">
        <v>278.61</v>
      </c>
      <c r="L25966">
        <v>56.61</v>
      </c>
      <c r="M25966">
        <v>11501</v>
      </c>
      <c r="N25966" t="s">
        <v>13</v>
      </c>
      <c r="O25966">
        <v>250604</v>
      </c>
      <c r="P25966">
        <v>222</v>
      </c>
    </row>
    <row r="25967" spans="1:16" x14ac:dyDescent="0.25">
      <c r="A25967" t="s">
        <v>3296</v>
      </c>
      <c r="B25967" t="s">
        <v>2931</v>
      </c>
      <c r="C25967">
        <v>7800</v>
      </c>
      <c r="D25967" t="str">
        <f>"2238003     "</f>
        <v xml:space="preserve">2238003     </v>
      </c>
      <c r="E25967" t="s">
        <v>543</v>
      </c>
      <c r="F25967" t="s">
        <v>544</v>
      </c>
      <c r="G25967">
        <v>223.37</v>
      </c>
      <c r="H25967">
        <v>250513</v>
      </c>
      <c r="I25967">
        <v>4500</v>
      </c>
      <c r="J25967" t="s">
        <v>312</v>
      </c>
      <c r="K25967">
        <v>223.37</v>
      </c>
      <c r="L25967">
        <v>45.39</v>
      </c>
      <c r="M25967">
        <v>49702</v>
      </c>
      <c r="N25967" t="s">
        <v>112</v>
      </c>
      <c r="O25967">
        <v>250609</v>
      </c>
      <c r="P25967">
        <v>177.98</v>
      </c>
    </row>
    <row r="25968" spans="1:16" x14ac:dyDescent="0.25">
      <c r="A25968" t="s">
        <v>3296</v>
      </c>
      <c r="B25968" t="s">
        <v>2931</v>
      </c>
      <c r="C25968">
        <v>7828</v>
      </c>
      <c r="D25968" t="str">
        <f>"2238588     "</f>
        <v xml:space="preserve">2238588     </v>
      </c>
      <c r="E25968" t="s">
        <v>543</v>
      </c>
      <c r="F25968" t="s">
        <v>544</v>
      </c>
      <c r="G25968">
        <v>176.49</v>
      </c>
      <c r="H25968">
        <v>250514</v>
      </c>
      <c r="I25968">
        <v>4500</v>
      </c>
      <c r="J25968" t="s">
        <v>312</v>
      </c>
      <c r="K25968">
        <v>176.49</v>
      </c>
      <c r="L25968">
        <v>35.86</v>
      </c>
      <c r="M25968">
        <v>49702</v>
      </c>
      <c r="N25968" t="s">
        <v>112</v>
      </c>
      <c r="O25968">
        <v>250609</v>
      </c>
      <c r="P25968">
        <v>140.63</v>
      </c>
    </row>
    <row r="25969" spans="1:16" x14ac:dyDescent="0.25">
      <c r="A25969" t="s">
        <v>3296</v>
      </c>
      <c r="B25969" t="s">
        <v>2931</v>
      </c>
      <c r="C25969">
        <v>8146</v>
      </c>
      <c r="D25969" t="str">
        <f>"2239028     "</f>
        <v xml:space="preserve">2239028     </v>
      </c>
      <c r="E25969" t="s">
        <v>543</v>
      </c>
      <c r="F25969" t="s">
        <v>544</v>
      </c>
      <c r="G25969">
        <v>95.47</v>
      </c>
      <c r="H25969">
        <v>250515</v>
      </c>
      <c r="I25969">
        <v>4500</v>
      </c>
      <c r="J25969" t="s">
        <v>312</v>
      </c>
      <c r="K25969">
        <v>95.47</v>
      </c>
      <c r="L25969">
        <v>19.399999999999999</v>
      </c>
      <c r="M25969">
        <v>17808</v>
      </c>
      <c r="N25969" t="s">
        <v>24</v>
      </c>
      <c r="O25969">
        <v>250611</v>
      </c>
      <c r="P25969">
        <v>76.069999999999993</v>
      </c>
    </row>
    <row r="25970" spans="1:16" x14ac:dyDescent="0.25">
      <c r="A25970" t="s">
        <v>3296</v>
      </c>
      <c r="B25970" t="s">
        <v>2931</v>
      </c>
      <c r="C25970">
        <v>8445</v>
      </c>
      <c r="D25970" t="str">
        <f>"2241203     "</f>
        <v xml:space="preserve">2241203     </v>
      </c>
      <c r="E25970" t="s">
        <v>543</v>
      </c>
      <c r="F25970" t="s">
        <v>544</v>
      </c>
      <c r="G25970">
        <v>2.11</v>
      </c>
      <c r="H25970">
        <v>250520</v>
      </c>
      <c r="I25970">
        <v>4500</v>
      </c>
      <c r="J25970" t="s">
        <v>312</v>
      </c>
      <c r="K25970">
        <v>2.11</v>
      </c>
      <c r="L25970">
        <v>0.43</v>
      </c>
      <c r="M25970">
        <v>16431</v>
      </c>
      <c r="N25970" t="s">
        <v>17</v>
      </c>
      <c r="O25970">
        <v>250613</v>
      </c>
      <c r="P25970">
        <v>1.68</v>
      </c>
    </row>
    <row r="25971" spans="1:16" x14ac:dyDescent="0.25">
      <c r="A25971" t="s">
        <v>3296</v>
      </c>
      <c r="B25971" t="s">
        <v>2931</v>
      </c>
      <c r="C25971">
        <v>8529</v>
      </c>
      <c r="D25971" t="str">
        <f>"2243019     "</f>
        <v xml:space="preserve">2243019     </v>
      </c>
      <c r="E25971" t="s">
        <v>543</v>
      </c>
      <c r="F25971" t="s">
        <v>544</v>
      </c>
      <c r="G25971">
        <v>32.270000000000003</v>
      </c>
      <c r="H25971">
        <v>250523</v>
      </c>
      <c r="I25971">
        <v>4500</v>
      </c>
      <c r="J25971" t="s">
        <v>312</v>
      </c>
      <c r="K25971">
        <v>302</v>
      </c>
      <c r="L25971">
        <v>6.56</v>
      </c>
      <c r="M25971">
        <v>69501</v>
      </c>
      <c r="N25971" t="s">
        <v>123</v>
      </c>
      <c r="O25971">
        <v>250617</v>
      </c>
      <c r="P25971">
        <v>25.71</v>
      </c>
    </row>
    <row r="25972" spans="1:16" x14ac:dyDescent="0.25">
      <c r="A25972" t="s">
        <v>3296</v>
      </c>
      <c r="B25972" t="s">
        <v>2931</v>
      </c>
      <c r="C25972">
        <v>8529</v>
      </c>
      <c r="D25972" t="str">
        <f>"2243019     "</f>
        <v xml:space="preserve">2243019     </v>
      </c>
      <c r="E25972" t="s">
        <v>543</v>
      </c>
      <c r="F25972" t="s">
        <v>544</v>
      </c>
      <c r="G25972">
        <v>160.72</v>
      </c>
      <c r="H25972">
        <v>250523</v>
      </c>
      <c r="I25972">
        <v>4500</v>
      </c>
      <c r="J25972" t="s">
        <v>312</v>
      </c>
      <c r="K25972">
        <v>302</v>
      </c>
      <c r="L25972">
        <v>32.659999999999997</v>
      </c>
      <c r="M25972">
        <v>69702</v>
      </c>
      <c r="N25972" t="s">
        <v>124</v>
      </c>
      <c r="O25972">
        <v>250617</v>
      </c>
      <c r="P25972">
        <v>128.06</v>
      </c>
    </row>
    <row r="25973" spans="1:16" x14ac:dyDescent="0.25">
      <c r="A25973" t="s">
        <v>3296</v>
      </c>
      <c r="B25973" t="s">
        <v>2931</v>
      </c>
      <c r="C25973">
        <v>8529</v>
      </c>
      <c r="D25973" t="str">
        <f>"2243019     "</f>
        <v xml:space="preserve">2243019     </v>
      </c>
      <c r="E25973" t="s">
        <v>543</v>
      </c>
      <c r="F25973" t="s">
        <v>544</v>
      </c>
      <c r="G25973">
        <v>94.1</v>
      </c>
      <c r="H25973">
        <v>250523</v>
      </c>
      <c r="I25973">
        <v>4500</v>
      </c>
      <c r="J25973" t="s">
        <v>312</v>
      </c>
      <c r="K25973">
        <v>302</v>
      </c>
      <c r="L25973">
        <v>19.12</v>
      </c>
      <c r="M25973">
        <v>69704</v>
      </c>
      <c r="N25973" t="s">
        <v>89</v>
      </c>
      <c r="O25973">
        <v>250617</v>
      </c>
      <c r="P25973">
        <v>74.98</v>
      </c>
    </row>
    <row r="25974" spans="1:16" x14ac:dyDescent="0.25">
      <c r="A25974" t="s">
        <v>3296</v>
      </c>
      <c r="B25974" t="s">
        <v>2931</v>
      </c>
      <c r="C25974">
        <v>8533</v>
      </c>
      <c r="D25974" t="str">
        <f>"2243020     "</f>
        <v xml:space="preserve">2243020     </v>
      </c>
      <c r="E25974" t="s">
        <v>543</v>
      </c>
      <c r="F25974" t="s">
        <v>544</v>
      </c>
      <c r="G25974">
        <v>205.19</v>
      </c>
      <c r="H25974">
        <v>250523</v>
      </c>
      <c r="I25974">
        <v>4500</v>
      </c>
      <c r="J25974" t="s">
        <v>312</v>
      </c>
      <c r="K25974">
        <v>205.19</v>
      </c>
      <c r="L25974">
        <v>41.69</v>
      </c>
      <c r="M25974">
        <v>11501</v>
      </c>
      <c r="N25974" t="s">
        <v>13</v>
      </c>
      <c r="O25974">
        <v>250617</v>
      </c>
      <c r="P25974">
        <v>163.5</v>
      </c>
    </row>
    <row r="25975" spans="1:16" x14ac:dyDescent="0.25">
      <c r="A25975" t="s">
        <v>3296</v>
      </c>
      <c r="B25975" t="s">
        <v>2931</v>
      </c>
      <c r="C25975">
        <v>8560</v>
      </c>
      <c r="D25975" t="str">
        <f t="shared" ref="D25975:D25983" si="558">"2242061     "</f>
        <v xml:space="preserve">2242061     </v>
      </c>
      <c r="E25975" t="s">
        <v>543</v>
      </c>
      <c r="F25975" t="s">
        <v>544</v>
      </c>
      <c r="G25975">
        <v>47.37</v>
      </c>
      <c r="H25975">
        <v>250522</v>
      </c>
      <c r="I25975">
        <v>4500</v>
      </c>
      <c r="J25975" t="s">
        <v>312</v>
      </c>
      <c r="K25975">
        <v>451.51</v>
      </c>
      <c r="L25975">
        <v>9.6199999999999992</v>
      </c>
      <c r="M25975">
        <v>14121</v>
      </c>
      <c r="N25975" t="s">
        <v>71</v>
      </c>
      <c r="O25975">
        <v>250617</v>
      </c>
      <c r="P25975">
        <v>37.75</v>
      </c>
    </row>
    <row r="25976" spans="1:16" x14ac:dyDescent="0.25">
      <c r="A25976" t="s">
        <v>3296</v>
      </c>
      <c r="B25976" t="s">
        <v>2931</v>
      </c>
      <c r="C25976">
        <v>8560</v>
      </c>
      <c r="D25976" t="str">
        <f t="shared" si="558"/>
        <v xml:space="preserve">2242061     </v>
      </c>
      <c r="E25976" t="s">
        <v>543</v>
      </c>
      <c r="F25976" t="s">
        <v>544</v>
      </c>
      <c r="G25976">
        <v>27.99</v>
      </c>
      <c r="H25976">
        <v>250522</v>
      </c>
      <c r="I25976">
        <v>4500</v>
      </c>
      <c r="J25976" t="s">
        <v>312</v>
      </c>
      <c r="K25976">
        <v>451.51</v>
      </c>
      <c r="L25976">
        <v>5.69</v>
      </c>
      <c r="M25976">
        <v>14321</v>
      </c>
      <c r="N25976" t="s">
        <v>72</v>
      </c>
      <c r="O25976">
        <v>250617</v>
      </c>
      <c r="P25976">
        <v>22.3</v>
      </c>
    </row>
    <row r="25977" spans="1:16" x14ac:dyDescent="0.25">
      <c r="A25977" t="s">
        <v>3296</v>
      </c>
      <c r="B25977" t="s">
        <v>2931</v>
      </c>
      <c r="C25977">
        <v>8560</v>
      </c>
      <c r="D25977" t="str">
        <f t="shared" si="558"/>
        <v xml:space="preserve">2242061     </v>
      </c>
      <c r="E25977" t="s">
        <v>543</v>
      </c>
      <c r="F25977" t="s">
        <v>544</v>
      </c>
      <c r="G25977">
        <v>19.38</v>
      </c>
      <c r="H25977">
        <v>250522</v>
      </c>
      <c r="I25977">
        <v>4500</v>
      </c>
      <c r="J25977" t="s">
        <v>312</v>
      </c>
      <c r="K25977">
        <v>451.51</v>
      </c>
      <c r="L25977">
        <v>3.94</v>
      </c>
      <c r="M25977">
        <v>14422</v>
      </c>
      <c r="N25977" t="s">
        <v>73</v>
      </c>
      <c r="O25977">
        <v>250617</v>
      </c>
      <c r="P25977">
        <v>15.44</v>
      </c>
    </row>
    <row r="25978" spans="1:16" x14ac:dyDescent="0.25">
      <c r="A25978" t="s">
        <v>3296</v>
      </c>
      <c r="B25978" t="s">
        <v>2931</v>
      </c>
      <c r="C25978">
        <v>8560</v>
      </c>
      <c r="D25978" t="str">
        <f t="shared" si="558"/>
        <v xml:space="preserve">2242061     </v>
      </c>
      <c r="E25978" t="s">
        <v>543</v>
      </c>
      <c r="F25978" t="s">
        <v>544</v>
      </c>
      <c r="G25978">
        <v>19.38</v>
      </c>
      <c r="H25978">
        <v>250522</v>
      </c>
      <c r="I25978">
        <v>4500</v>
      </c>
      <c r="J25978" t="s">
        <v>312</v>
      </c>
      <c r="K25978">
        <v>451.51</v>
      </c>
      <c r="L25978">
        <v>3.94</v>
      </c>
      <c r="M25978">
        <v>14541</v>
      </c>
      <c r="N25978" t="s">
        <v>76</v>
      </c>
      <c r="O25978">
        <v>250617</v>
      </c>
      <c r="P25978">
        <v>15.44</v>
      </c>
    </row>
    <row r="25979" spans="1:16" x14ac:dyDescent="0.25">
      <c r="A25979" t="s">
        <v>3296</v>
      </c>
      <c r="B25979" t="s">
        <v>2931</v>
      </c>
      <c r="C25979">
        <v>8560</v>
      </c>
      <c r="D25979" t="str">
        <f t="shared" si="558"/>
        <v xml:space="preserve">2242061     </v>
      </c>
      <c r="E25979" t="s">
        <v>543</v>
      </c>
      <c r="F25979" t="s">
        <v>544</v>
      </c>
      <c r="G25979">
        <v>68.900000000000006</v>
      </c>
      <c r="H25979">
        <v>250522</v>
      </c>
      <c r="I25979">
        <v>4500</v>
      </c>
      <c r="J25979" t="s">
        <v>312</v>
      </c>
      <c r="K25979">
        <v>451.51</v>
      </c>
      <c r="L25979">
        <v>14</v>
      </c>
      <c r="M25979">
        <v>14622</v>
      </c>
      <c r="N25979" t="s">
        <v>77</v>
      </c>
      <c r="O25979">
        <v>250617</v>
      </c>
      <c r="P25979">
        <v>54.9</v>
      </c>
    </row>
    <row r="25980" spans="1:16" x14ac:dyDescent="0.25">
      <c r="A25980" t="s">
        <v>3296</v>
      </c>
      <c r="B25980" t="s">
        <v>2931</v>
      </c>
      <c r="C25980">
        <v>8560</v>
      </c>
      <c r="D25980" t="str">
        <f t="shared" si="558"/>
        <v xml:space="preserve">2242061     </v>
      </c>
      <c r="E25980" t="s">
        <v>543</v>
      </c>
      <c r="F25980" t="s">
        <v>544</v>
      </c>
      <c r="G25980">
        <v>17.23</v>
      </c>
      <c r="H25980">
        <v>250522</v>
      </c>
      <c r="I25980">
        <v>4500</v>
      </c>
      <c r="J25980" t="s">
        <v>312</v>
      </c>
      <c r="K25980">
        <v>451.51</v>
      </c>
      <c r="L25980">
        <v>3.5</v>
      </c>
      <c r="M25980">
        <v>14640</v>
      </c>
      <c r="N25980" t="s">
        <v>78</v>
      </c>
      <c r="O25980">
        <v>250617</v>
      </c>
      <c r="P25980">
        <v>13.73</v>
      </c>
    </row>
    <row r="25981" spans="1:16" x14ac:dyDescent="0.25">
      <c r="A25981" t="s">
        <v>3296</v>
      </c>
      <c r="B25981" t="s">
        <v>2931</v>
      </c>
      <c r="C25981">
        <v>8560</v>
      </c>
      <c r="D25981" t="str">
        <f t="shared" si="558"/>
        <v xml:space="preserve">2242061     </v>
      </c>
      <c r="E25981" t="s">
        <v>543</v>
      </c>
      <c r="F25981" t="s">
        <v>544</v>
      </c>
      <c r="G25981">
        <v>15.07</v>
      </c>
      <c r="H25981">
        <v>250522</v>
      </c>
      <c r="I25981">
        <v>4500</v>
      </c>
      <c r="J25981" t="s">
        <v>312</v>
      </c>
      <c r="K25981">
        <v>451.51</v>
      </c>
      <c r="L25981">
        <v>3.06</v>
      </c>
      <c r="M25981">
        <v>14861</v>
      </c>
      <c r="N25981" t="s">
        <v>79</v>
      </c>
      <c r="O25981">
        <v>250617</v>
      </c>
      <c r="P25981">
        <v>12.01</v>
      </c>
    </row>
    <row r="25982" spans="1:16" x14ac:dyDescent="0.25">
      <c r="A25982" t="s">
        <v>3296</v>
      </c>
      <c r="B25982" t="s">
        <v>2931</v>
      </c>
      <c r="C25982">
        <v>8560</v>
      </c>
      <c r="D25982" t="str">
        <f t="shared" si="558"/>
        <v xml:space="preserve">2242061     </v>
      </c>
      <c r="E25982" t="s">
        <v>543</v>
      </c>
      <c r="F25982" t="s">
        <v>544</v>
      </c>
      <c r="G25982">
        <v>23.92</v>
      </c>
      <c r="H25982">
        <v>250522</v>
      </c>
      <c r="I25982">
        <v>4500</v>
      </c>
      <c r="J25982" t="s">
        <v>312</v>
      </c>
      <c r="K25982">
        <v>451.51</v>
      </c>
      <c r="L25982">
        <v>4.8600000000000003</v>
      </c>
      <c r="M25982">
        <v>14972</v>
      </c>
      <c r="N25982" t="s">
        <v>82</v>
      </c>
      <c r="O25982">
        <v>250617</v>
      </c>
      <c r="P25982">
        <v>19.059999999999999</v>
      </c>
    </row>
    <row r="25983" spans="1:16" x14ac:dyDescent="0.25">
      <c r="A25983" t="s">
        <v>3296</v>
      </c>
      <c r="B25983" t="s">
        <v>2931</v>
      </c>
      <c r="C25983">
        <v>8560</v>
      </c>
      <c r="D25983" t="str">
        <f t="shared" si="558"/>
        <v xml:space="preserve">2242061     </v>
      </c>
      <c r="E25983" t="s">
        <v>543</v>
      </c>
      <c r="F25983" t="s">
        <v>544</v>
      </c>
      <c r="G25983">
        <v>147.69</v>
      </c>
      <c r="H25983">
        <v>250522</v>
      </c>
      <c r="I25983">
        <v>4500</v>
      </c>
      <c r="J25983" t="s">
        <v>312</v>
      </c>
      <c r="K25983">
        <v>451.51</v>
      </c>
      <c r="L25983">
        <v>30.01</v>
      </c>
      <c r="M25983">
        <v>18972</v>
      </c>
      <c r="N25983" t="s">
        <v>39</v>
      </c>
      <c r="O25983">
        <v>250617</v>
      </c>
      <c r="P25983">
        <v>117.68</v>
      </c>
    </row>
    <row r="25984" spans="1:16" x14ac:dyDescent="0.25">
      <c r="A25984" t="s">
        <v>3296</v>
      </c>
      <c r="B25984" t="s">
        <v>2931</v>
      </c>
      <c r="C25984">
        <v>8954</v>
      </c>
      <c r="D25984" t="str">
        <f>"2250250     "</f>
        <v xml:space="preserve">2250250     </v>
      </c>
      <c r="E25984" t="s">
        <v>543</v>
      </c>
      <c r="F25984" t="s">
        <v>544</v>
      </c>
      <c r="G25984">
        <v>0.63</v>
      </c>
      <c r="H25984">
        <v>250609</v>
      </c>
      <c r="I25984">
        <v>4500</v>
      </c>
      <c r="J25984" t="s">
        <v>312</v>
      </c>
      <c r="K25984">
        <v>25.98</v>
      </c>
      <c r="L25984">
        <v>0.13</v>
      </c>
      <c r="M25984">
        <v>14861</v>
      </c>
      <c r="N25984" t="s">
        <v>79</v>
      </c>
      <c r="O25984">
        <v>250619</v>
      </c>
      <c r="P25984">
        <v>0.5</v>
      </c>
    </row>
    <row r="25985" spans="1:16" x14ac:dyDescent="0.25">
      <c r="A25985" t="s">
        <v>3296</v>
      </c>
      <c r="B25985" t="s">
        <v>2931</v>
      </c>
      <c r="C25985">
        <v>8954</v>
      </c>
      <c r="D25985" t="str">
        <f>"2250250     "</f>
        <v xml:space="preserve">2250250     </v>
      </c>
      <c r="E25985" t="s">
        <v>543</v>
      </c>
      <c r="F25985" t="s">
        <v>544</v>
      </c>
      <c r="G25985">
        <v>25.35</v>
      </c>
      <c r="H25985">
        <v>250609</v>
      </c>
      <c r="I25985">
        <v>4500</v>
      </c>
      <c r="J25985" t="s">
        <v>312</v>
      </c>
      <c r="K25985">
        <v>25.98</v>
      </c>
      <c r="L25985">
        <v>5.15</v>
      </c>
      <c r="M25985">
        <v>14990</v>
      </c>
      <c r="N25985" t="s">
        <v>85</v>
      </c>
      <c r="O25985">
        <v>250619</v>
      </c>
      <c r="P25985">
        <v>20.2</v>
      </c>
    </row>
    <row r="25986" spans="1:16" x14ac:dyDescent="0.25">
      <c r="A25986" t="s">
        <v>3296</v>
      </c>
      <c r="B25986" t="s">
        <v>2931</v>
      </c>
      <c r="C25986">
        <v>8961</v>
      </c>
      <c r="D25986" t="str">
        <f t="shared" ref="D25986:D25995" si="559">"2250750     "</f>
        <v xml:space="preserve">2250750     </v>
      </c>
      <c r="E25986" t="s">
        <v>543</v>
      </c>
      <c r="F25986" t="s">
        <v>544</v>
      </c>
      <c r="G25986">
        <v>59.81</v>
      </c>
      <c r="H25986">
        <v>250610</v>
      </c>
      <c r="I25986">
        <v>4500</v>
      </c>
      <c r="J25986" t="s">
        <v>312</v>
      </c>
      <c r="K25986">
        <v>485.4</v>
      </c>
      <c r="L25986">
        <v>12.15</v>
      </c>
      <c r="M25986">
        <v>14121</v>
      </c>
      <c r="N25986" t="s">
        <v>71</v>
      </c>
      <c r="O25986">
        <v>250619</v>
      </c>
      <c r="P25986">
        <v>47.66</v>
      </c>
    </row>
    <row r="25987" spans="1:16" x14ac:dyDescent="0.25">
      <c r="A25987" t="s">
        <v>3296</v>
      </c>
      <c r="B25987" t="s">
        <v>2931</v>
      </c>
      <c r="C25987">
        <v>8961</v>
      </c>
      <c r="D25987" t="str">
        <f t="shared" si="559"/>
        <v xml:space="preserve">2250750     </v>
      </c>
      <c r="E25987" t="s">
        <v>543</v>
      </c>
      <c r="F25987" t="s">
        <v>544</v>
      </c>
      <c r="G25987">
        <v>35.340000000000003</v>
      </c>
      <c r="H25987">
        <v>250610</v>
      </c>
      <c r="I25987">
        <v>4500</v>
      </c>
      <c r="J25987" t="s">
        <v>312</v>
      </c>
      <c r="K25987">
        <v>485.4</v>
      </c>
      <c r="L25987">
        <v>7.18</v>
      </c>
      <c r="M25987">
        <v>14321</v>
      </c>
      <c r="N25987" t="s">
        <v>72</v>
      </c>
      <c r="O25987">
        <v>250619</v>
      </c>
      <c r="P25987">
        <v>28.16</v>
      </c>
    </row>
    <row r="25988" spans="1:16" x14ac:dyDescent="0.25">
      <c r="A25988" t="s">
        <v>3296</v>
      </c>
      <c r="B25988" t="s">
        <v>2931</v>
      </c>
      <c r="C25988">
        <v>8961</v>
      </c>
      <c r="D25988" t="str">
        <f t="shared" si="559"/>
        <v xml:space="preserve">2250750     </v>
      </c>
      <c r="E25988" t="s">
        <v>543</v>
      </c>
      <c r="F25988" t="s">
        <v>544</v>
      </c>
      <c r="G25988">
        <v>24.47</v>
      </c>
      <c r="H25988">
        <v>250610</v>
      </c>
      <c r="I25988">
        <v>4500</v>
      </c>
      <c r="J25988" t="s">
        <v>312</v>
      </c>
      <c r="K25988">
        <v>485.4</v>
      </c>
      <c r="L25988">
        <v>4.97</v>
      </c>
      <c r="M25988">
        <v>14422</v>
      </c>
      <c r="N25988" t="s">
        <v>73</v>
      </c>
      <c r="O25988">
        <v>250619</v>
      </c>
      <c r="P25988">
        <v>19.5</v>
      </c>
    </row>
    <row r="25989" spans="1:16" x14ac:dyDescent="0.25">
      <c r="A25989" t="s">
        <v>3296</v>
      </c>
      <c r="B25989" t="s">
        <v>2931</v>
      </c>
      <c r="C25989">
        <v>8961</v>
      </c>
      <c r="D25989" t="str">
        <f t="shared" si="559"/>
        <v xml:space="preserve">2250750     </v>
      </c>
      <c r="E25989" t="s">
        <v>543</v>
      </c>
      <c r="F25989" t="s">
        <v>544</v>
      </c>
      <c r="G25989">
        <v>24.47</v>
      </c>
      <c r="H25989">
        <v>250610</v>
      </c>
      <c r="I25989">
        <v>4500</v>
      </c>
      <c r="J25989" t="s">
        <v>312</v>
      </c>
      <c r="K25989">
        <v>485.4</v>
      </c>
      <c r="L25989">
        <v>4.97</v>
      </c>
      <c r="M25989">
        <v>14541</v>
      </c>
      <c r="N25989" t="s">
        <v>76</v>
      </c>
      <c r="O25989">
        <v>250619</v>
      </c>
      <c r="P25989">
        <v>19.5</v>
      </c>
    </row>
    <row r="25990" spans="1:16" x14ac:dyDescent="0.25">
      <c r="A25990" t="s">
        <v>3296</v>
      </c>
      <c r="B25990" t="s">
        <v>2931</v>
      </c>
      <c r="C25990">
        <v>8961</v>
      </c>
      <c r="D25990" t="str">
        <f t="shared" si="559"/>
        <v xml:space="preserve">2250750     </v>
      </c>
      <c r="E25990" t="s">
        <v>543</v>
      </c>
      <c r="F25990" t="s">
        <v>544</v>
      </c>
      <c r="G25990">
        <v>86.99</v>
      </c>
      <c r="H25990">
        <v>250610</v>
      </c>
      <c r="I25990">
        <v>4500</v>
      </c>
      <c r="J25990" t="s">
        <v>312</v>
      </c>
      <c r="K25990">
        <v>485.4</v>
      </c>
      <c r="L25990">
        <v>17.68</v>
      </c>
      <c r="M25990">
        <v>14622</v>
      </c>
      <c r="N25990" t="s">
        <v>77</v>
      </c>
      <c r="O25990">
        <v>250619</v>
      </c>
      <c r="P25990">
        <v>69.31</v>
      </c>
    </row>
    <row r="25991" spans="1:16" x14ac:dyDescent="0.25">
      <c r="A25991" t="s">
        <v>3296</v>
      </c>
      <c r="B25991" t="s">
        <v>2931</v>
      </c>
      <c r="C25991">
        <v>8961</v>
      </c>
      <c r="D25991" t="str">
        <f t="shared" si="559"/>
        <v xml:space="preserve">2250750     </v>
      </c>
      <c r="E25991" t="s">
        <v>543</v>
      </c>
      <c r="F25991" t="s">
        <v>544</v>
      </c>
      <c r="G25991">
        <v>21.75</v>
      </c>
      <c r="H25991">
        <v>250610</v>
      </c>
      <c r="I25991">
        <v>4500</v>
      </c>
      <c r="J25991" t="s">
        <v>312</v>
      </c>
      <c r="K25991">
        <v>485.4</v>
      </c>
      <c r="L25991">
        <v>4.42</v>
      </c>
      <c r="M25991">
        <v>14640</v>
      </c>
      <c r="N25991" t="s">
        <v>78</v>
      </c>
      <c r="O25991">
        <v>250619</v>
      </c>
      <c r="P25991">
        <v>17.329999999999998</v>
      </c>
    </row>
    <row r="25992" spans="1:16" x14ac:dyDescent="0.25">
      <c r="A25992" t="s">
        <v>3296</v>
      </c>
      <c r="B25992" t="s">
        <v>2931</v>
      </c>
      <c r="C25992">
        <v>8961</v>
      </c>
      <c r="D25992" t="str">
        <f t="shared" si="559"/>
        <v xml:space="preserve">2250750     </v>
      </c>
      <c r="E25992" t="s">
        <v>543</v>
      </c>
      <c r="F25992" t="s">
        <v>544</v>
      </c>
      <c r="G25992">
        <v>19.03</v>
      </c>
      <c r="H25992">
        <v>250610</v>
      </c>
      <c r="I25992">
        <v>4500</v>
      </c>
      <c r="J25992" t="s">
        <v>312</v>
      </c>
      <c r="K25992">
        <v>485.4</v>
      </c>
      <c r="L25992">
        <v>3.87</v>
      </c>
      <c r="M25992">
        <v>14861</v>
      </c>
      <c r="N25992" t="s">
        <v>79</v>
      </c>
      <c r="O25992">
        <v>250619</v>
      </c>
      <c r="P25992">
        <v>15.16</v>
      </c>
    </row>
    <row r="25993" spans="1:16" x14ac:dyDescent="0.25">
      <c r="A25993" t="s">
        <v>3296</v>
      </c>
      <c r="B25993" t="s">
        <v>2931</v>
      </c>
      <c r="C25993">
        <v>8961</v>
      </c>
      <c r="D25993" t="str">
        <f t="shared" si="559"/>
        <v xml:space="preserve">2250750     </v>
      </c>
      <c r="E25993" t="s">
        <v>543</v>
      </c>
      <c r="F25993" t="s">
        <v>544</v>
      </c>
      <c r="G25993">
        <v>122.52</v>
      </c>
      <c r="H25993">
        <v>250610</v>
      </c>
      <c r="I25993">
        <v>4500</v>
      </c>
      <c r="J25993" t="s">
        <v>312</v>
      </c>
      <c r="K25993">
        <v>485.4</v>
      </c>
      <c r="L25993">
        <v>24.89</v>
      </c>
      <c r="M25993">
        <v>14861</v>
      </c>
      <c r="N25993" t="s">
        <v>79</v>
      </c>
      <c r="O25993">
        <v>250619</v>
      </c>
      <c r="P25993">
        <v>97.63</v>
      </c>
    </row>
    <row r="25994" spans="1:16" x14ac:dyDescent="0.25">
      <c r="A25994" t="s">
        <v>3296</v>
      </c>
      <c r="B25994" t="s">
        <v>2931</v>
      </c>
      <c r="C25994">
        <v>8961</v>
      </c>
      <c r="D25994" t="str">
        <f t="shared" si="559"/>
        <v xml:space="preserve">2250750     </v>
      </c>
      <c r="E25994" t="s">
        <v>543</v>
      </c>
      <c r="F25994" t="s">
        <v>544</v>
      </c>
      <c r="G25994">
        <v>30.19</v>
      </c>
      <c r="H25994">
        <v>250610</v>
      </c>
      <c r="I25994">
        <v>4500</v>
      </c>
      <c r="J25994" t="s">
        <v>312</v>
      </c>
      <c r="K25994">
        <v>485.4</v>
      </c>
      <c r="L25994">
        <v>6.13</v>
      </c>
      <c r="M25994">
        <v>14972</v>
      </c>
      <c r="N25994" t="s">
        <v>82</v>
      </c>
      <c r="O25994">
        <v>250619</v>
      </c>
      <c r="P25994">
        <v>24.06</v>
      </c>
    </row>
    <row r="25995" spans="1:16" x14ac:dyDescent="0.25">
      <c r="A25995" t="s">
        <v>3296</v>
      </c>
      <c r="B25995" t="s">
        <v>2931</v>
      </c>
      <c r="C25995">
        <v>8961</v>
      </c>
      <c r="D25995" t="str">
        <f t="shared" si="559"/>
        <v xml:space="preserve">2250750     </v>
      </c>
      <c r="E25995" t="s">
        <v>543</v>
      </c>
      <c r="F25995" t="s">
        <v>544</v>
      </c>
      <c r="G25995">
        <v>60.83</v>
      </c>
      <c r="H25995">
        <v>250610</v>
      </c>
      <c r="I25995">
        <v>4500</v>
      </c>
      <c r="J25995" t="s">
        <v>312</v>
      </c>
      <c r="K25995">
        <v>485.4</v>
      </c>
      <c r="L25995">
        <v>12.36</v>
      </c>
      <c r="M25995">
        <v>18972</v>
      </c>
      <c r="N25995" t="s">
        <v>39</v>
      </c>
      <c r="O25995">
        <v>250619</v>
      </c>
      <c r="P25995">
        <v>48.47</v>
      </c>
    </row>
    <row r="25996" spans="1:16" x14ac:dyDescent="0.25">
      <c r="A25996" t="s">
        <v>3296</v>
      </c>
      <c r="B25996" t="s">
        <v>2931</v>
      </c>
      <c r="C25996">
        <v>8964</v>
      </c>
      <c r="D25996" t="str">
        <f>"2252115     "</f>
        <v xml:space="preserve">2252115     </v>
      </c>
      <c r="E25996" t="s">
        <v>543</v>
      </c>
      <c r="F25996" t="s">
        <v>544</v>
      </c>
      <c r="G25996">
        <v>48.54</v>
      </c>
      <c r="H25996">
        <v>250613</v>
      </c>
      <c r="I25996">
        <v>4500</v>
      </c>
      <c r="J25996" t="s">
        <v>312</v>
      </c>
      <c r="K25996">
        <v>1055.73</v>
      </c>
      <c r="L25996">
        <v>9.86</v>
      </c>
      <c r="M25996">
        <v>13501</v>
      </c>
      <c r="N25996" t="s">
        <v>66</v>
      </c>
      <c r="O25996">
        <v>250619</v>
      </c>
      <c r="P25996">
        <v>38.68</v>
      </c>
    </row>
    <row r="25997" spans="1:16" x14ac:dyDescent="0.25">
      <c r="A25997" t="s">
        <v>3296</v>
      </c>
      <c r="B25997" t="s">
        <v>2931</v>
      </c>
      <c r="C25997">
        <v>8964</v>
      </c>
      <c r="D25997" t="str">
        <f>"2252115     "</f>
        <v xml:space="preserve">2252115     </v>
      </c>
      <c r="E25997" t="s">
        <v>543</v>
      </c>
      <c r="F25997" t="s">
        <v>544</v>
      </c>
      <c r="G25997">
        <v>26.43</v>
      </c>
      <c r="H25997">
        <v>250613</v>
      </c>
      <c r="I25997">
        <v>4500</v>
      </c>
      <c r="J25997" t="s">
        <v>312</v>
      </c>
      <c r="K25997">
        <v>1055.73</v>
      </c>
      <c r="L25997">
        <v>5.37</v>
      </c>
      <c r="M25997">
        <v>17530</v>
      </c>
      <c r="N25997" t="s">
        <v>144</v>
      </c>
      <c r="O25997">
        <v>250619</v>
      </c>
      <c r="P25997">
        <v>21.06</v>
      </c>
    </row>
    <row r="25998" spans="1:16" x14ac:dyDescent="0.25">
      <c r="A25998" t="s">
        <v>3296</v>
      </c>
      <c r="B25998" t="s">
        <v>2931</v>
      </c>
      <c r="C25998">
        <v>8964</v>
      </c>
      <c r="D25998" t="str">
        <f>"2252115     "</f>
        <v xml:space="preserve">2252115     </v>
      </c>
      <c r="E25998" t="s">
        <v>543</v>
      </c>
      <c r="F25998" t="s">
        <v>544</v>
      </c>
      <c r="G25998">
        <v>263.02</v>
      </c>
      <c r="H25998">
        <v>250613</v>
      </c>
      <c r="I25998">
        <v>4500</v>
      </c>
      <c r="J25998" t="s">
        <v>312</v>
      </c>
      <c r="K25998">
        <v>1055.73</v>
      </c>
      <c r="L25998">
        <v>53.44</v>
      </c>
      <c r="M25998">
        <v>17538</v>
      </c>
      <c r="N25998" t="s">
        <v>129</v>
      </c>
      <c r="O25998">
        <v>250619</v>
      </c>
      <c r="P25998">
        <v>209.58</v>
      </c>
    </row>
    <row r="25999" spans="1:16" x14ac:dyDescent="0.25">
      <c r="A25999" t="s">
        <v>3296</v>
      </c>
      <c r="B25999" t="s">
        <v>2931</v>
      </c>
      <c r="C25999">
        <v>8964</v>
      </c>
      <c r="D25999" t="str">
        <f>"2252115     "</f>
        <v xml:space="preserve">2252115     </v>
      </c>
      <c r="E25999" t="s">
        <v>543</v>
      </c>
      <c r="F25999" t="s">
        <v>544</v>
      </c>
      <c r="G25999">
        <v>31.63</v>
      </c>
      <c r="H25999">
        <v>250613</v>
      </c>
      <c r="I25999">
        <v>4500</v>
      </c>
      <c r="J25999" t="s">
        <v>312</v>
      </c>
      <c r="K25999">
        <v>1055.73</v>
      </c>
      <c r="L25999">
        <v>6.43</v>
      </c>
      <c r="M25999">
        <v>17538</v>
      </c>
      <c r="N25999" t="s">
        <v>129</v>
      </c>
      <c r="O25999">
        <v>250619</v>
      </c>
      <c r="P25999">
        <v>25.2</v>
      </c>
    </row>
    <row r="26000" spans="1:16" x14ac:dyDescent="0.25">
      <c r="A26000" t="s">
        <v>3296</v>
      </c>
      <c r="B26000" t="s">
        <v>2931</v>
      </c>
      <c r="C26000">
        <v>8964</v>
      </c>
      <c r="D26000" t="str">
        <f>"2252115     "</f>
        <v xml:space="preserve">2252115     </v>
      </c>
      <c r="E26000" t="s">
        <v>543</v>
      </c>
      <c r="F26000" t="s">
        <v>544</v>
      </c>
      <c r="G26000">
        <v>502.16</v>
      </c>
      <c r="H26000">
        <v>250613</v>
      </c>
      <c r="I26000">
        <v>4500</v>
      </c>
      <c r="J26000" t="s">
        <v>312</v>
      </c>
      <c r="K26000">
        <v>1055.73</v>
      </c>
      <c r="L26000">
        <v>102.03</v>
      </c>
      <c r="M26000">
        <v>17971</v>
      </c>
      <c r="N26000" t="s">
        <v>27</v>
      </c>
      <c r="O26000">
        <v>250619</v>
      </c>
      <c r="P26000">
        <v>400.13</v>
      </c>
    </row>
    <row r="26001" spans="1:16" x14ac:dyDescent="0.25">
      <c r="A26001" t="s">
        <v>3296</v>
      </c>
      <c r="B26001" t="s">
        <v>2931</v>
      </c>
      <c r="C26001">
        <v>9215</v>
      </c>
      <c r="D26001" t="str">
        <f>"2252918     "</f>
        <v xml:space="preserve">2252918     </v>
      </c>
      <c r="E26001" t="s">
        <v>543</v>
      </c>
      <c r="F26001" t="s">
        <v>544</v>
      </c>
      <c r="G26001">
        <v>5.52</v>
      </c>
      <c r="H26001">
        <v>250617</v>
      </c>
      <c r="I26001">
        <v>4500</v>
      </c>
      <c r="J26001" t="s">
        <v>312</v>
      </c>
      <c r="K26001">
        <v>5.52</v>
      </c>
      <c r="L26001">
        <v>1.1200000000000001</v>
      </c>
      <c r="M26001">
        <v>49702</v>
      </c>
      <c r="N26001" t="s">
        <v>112</v>
      </c>
      <c r="O26001">
        <v>250627</v>
      </c>
      <c r="P26001">
        <v>4.4000000000000004</v>
      </c>
    </row>
    <row r="26002" spans="1:16" x14ac:dyDescent="0.25">
      <c r="A26002" t="s">
        <v>3296</v>
      </c>
      <c r="B26002" t="s">
        <v>2931</v>
      </c>
      <c r="C26002">
        <v>9699</v>
      </c>
      <c r="D26002" t="str">
        <f t="shared" ref="D26002:D26011" si="560">"2257996     "</f>
        <v xml:space="preserve">2257996     </v>
      </c>
      <c r="E26002" t="s">
        <v>543</v>
      </c>
      <c r="F26002" t="s">
        <v>544</v>
      </c>
      <c r="G26002">
        <v>74.66</v>
      </c>
      <c r="H26002">
        <v>250701</v>
      </c>
      <c r="I26002">
        <v>4500</v>
      </c>
      <c r="J26002" t="s">
        <v>312</v>
      </c>
      <c r="K26002">
        <v>556.08000000000004</v>
      </c>
      <c r="L26002">
        <v>15.17</v>
      </c>
      <c r="M26002">
        <v>14121</v>
      </c>
      <c r="N26002" t="s">
        <v>71</v>
      </c>
      <c r="O26002">
        <v>250724</v>
      </c>
      <c r="P26002">
        <v>59.49</v>
      </c>
    </row>
    <row r="26003" spans="1:16" x14ac:dyDescent="0.25">
      <c r="A26003" t="s">
        <v>3296</v>
      </c>
      <c r="B26003" t="s">
        <v>2931</v>
      </c>
      <c r="C26003">
        <v>9699</v>
      </c>
      <c r="D26003" t="str">
        <f t="shared" si="560"/>
        <v xml:space="preserve">2257996     </v>
      </c>
      <c r="E26003" t="s">
        <v>543</v>
      </c>
      <c r="F26003" t="s">
        <v>544</v>
      </c>
      <c r="G26003">
        <v>44.12</v>
      </c>
      <c r="H26003">
        <v>250701</v>
      </c>
      <c r="I26003">
        <v>4500</v>
      </c>
      <c r="J26003" t="s">
        <v>312</v>
      </c>
      <c r="K26003">
        <v>556.08000000000004</v>
      </c>
      <c r="L26003">
        <v>8.9600000000000009</v>
      </c>
      <c r="M26003">
        <v>14321</v>
      </c>
      <c r="N26003" t="s">
        <v>72</v>
      </c>
      <c r="O26003">
        <v>250724</v>
      </c>
      <c r="P26003">
        <v>35.159999999999997</v>
      </c>
    </row>
    <row r="26004" spans="1:16" x14ac:dyDescent="0.25">
      <c r="A26004" t="s">
        <v>3296</v>
      </c>
      <c r="B26004" t="s">
        <v>2931</v>
      </c>
      <c r="C26004">
        <v>9699</v>
      </c>
      <c r="D26004" t="str">
        <f t="shared" si="560"/>
        <v xml:space="preserve">2257996     </v>
      </c>
      <c r="E26004" t="s">
        <v>543</v>
      </c>
      <c r="F26004" t="s">
        <v>544</v>
      </c>
      <c r="G26004">
        <v>30.54</v>
      </c>
      <c r="H26004">
        <v>250701</v>
      </c>
      <c r="I26004">
        <v>4500</v>
      </c>
      <c r="J26004" t="s">
        <v>312</v>
      </c>
      <c r="K26004">
        <v>556.08000000000004</v>
      </c>
      <c r="L26004">
        <v>6.21</v>
      </c>
      <c r="M26004">
        <v>14422</v>
      </c>
      <c r="N26004" t="s">
        <v>73</v>
      </c>
      <c r="O26004">
        <v>250724</v>
      </c>
      <c r="P26004">
        <v>24.33</v>
      </c>
    </row>
    <row r="26005" spans="1:16" x14ac:dyDescent="0.25">
      <c r="A26005" t="s">
        <v>3296</v>
      </c>
      <c r="B26005" t="s">
        <v>2931</v>
      </c>
      <c r="C26005">
        <v>9699</v>
      </c>
      <c r="D26005" t="str">
        <f t="shared" si="560"/>
        <v xml:space="preserve">2257996     </v>
      </c>
      <c r="E26005" t="s">
        <v>543</v>
      </c>
      <c r="F26005" t="s">
        <v>544</v>
      </c>
      <c r="G26005">
        <v>30.54</v>
      </c>
      <c r="H26005">
        <v>250701</v>
      </c>
      <c r="I26005">
        <v>4500</v>
      </c>
      <c r="J26005" t="s">
        <v>312</v>
      </c>
      <c r="K26005">
        <v>556.08000000000004</v>
      </c>
      <c r="L26005">
        <v>6.21</v>
      </c>
      <c r="M26005">
        <v>14541</v>
      </c>
      <c r="N26005" t="s">
        <v>76</v>
      </c>
      <c r="O26005">
        <v>250724</v>
      </c>
      <c r="P26005">
        <v>24.33</v>
      </c>
    </row>
    <row r="26006" spans="1:16" x14ac:dyDescent="0.25">
      <c r="A26006" t="s">
        <v>3296</v>
      </c>
      <c r="B26006" t="s">
        <v>2931</v>
      </c>
      <c r="C26006">
        <v>9699</v>
      </c>
      <c r="D26006" t="str">
        <f t="shared" si="560"/>
        <v xml:space="preserve">2257996     </v>
      </c>
      <c r="E26006" t="s">
        <v>543</v>
      </c>
      <c r="F26006" t="s">
        <v>544</v>
      </c>
      <c r="G26006">
        <v>108.6</v>
      </c>
      <c r="H26006">
        <v>250701</v>
      </c>
      <c r="I26006">
        <v>4500</v>
      </c>
      <c r="J26006" t="s">
        <v>312</v>
      </c>
      <c r="K26006">
        <v>556.08000000000004</v>
      </c>
      <c r="L26006">
        <v>22.07</v>
      </c>
      <c r="M26006">
        <v>14622</v>
      </c>
      <c r="N26006" t="s">
        <v>77</v>
      </c>
      <c r="O26006">
        <v>250724</v>
      </c>
      <c r="P26006">
        <v>86.53</v>
      </c>
    </row>
    <row r="26007" spans="1:16" x14ac:dyDescent="0.25">
      <c r="A26007" t="s">
        <v>3296</v>
      </c>
      <c r="B26007" t="s">
        <v>2931</v>
      </c>
      <c r="C26007">
        <v>9699</v>
      </c>
      <c r="D26007" t="str">
        <f t="shared" si="560"/>
        <v xml:space="preserve">2257996     </v>
      </c>
      <c r="E26007" t="s">
        <v>543</v>
      </c>
      <c r="F26007" t="s">
        <v>544</v>
      </c>
      <c r="G26007">
        <v>27.15</v>
      </c>
      <c r="H26007">
        <v>250701</v>
      </c>
      <c r="I26007">
        <v>4500</v>
      </c>
      <c r="J26007" t="s">
        <v>312</v>
      </c>
      <c r="K26007">
        <v>556.08000000000004</v>
      </c>
      <c r="L26007">
        <v>5.52</v>
      </c>
      <c r="M26007">
        <v>14640</v>
      </c>
      <c r="N26007" t="s">
        <v>78</v>
      </c>
      <c r="O26007">
        <v>250724</v>
      </c>
      <c r="P26007">
        <v>21.63</v>
      </c>
    </row>
    <row r="26008" spans="1:16" x14ac:dyDescent="0.25">
      <c r="A26008" t="s">
        <v>3296</v>
      </c>
      <c r="B26008" t="s">
        <v>2931</v>
      </c>
      <c r="C26008">
        <v>9699</v>
      </c>
      <c r="D26008" t="str">
        <f t="shared" si="560"/>
        <v xml:space="preserve">2257996     </v>
      </c>
      <c r="E26008" t="s">
        <v>543</v>
      </c>
      <c r="F26008" t="s">
        <v>544</v>
      </c>
      <c r="G26008">
        <v>23.76</v>
      </c>
      <c r="H26008">
        <v>250701</v>
      </c>
      <c r="I26008">
        <v>4500</v>
      </c>
      <c r="J26008" t="s">
        <v>312</v>
      </c>
      <c r="K26008">
        <v>556.08000000000004</v>
      </c>
      <c r="L26008">
        <v>4.83</v>
      </c>
      <c r="M26008">
        <v>14861</v>
      </c>
      <c r="N26008" t="s">
        <v>79</v>
      </c>
      <c r="O26008">
        <v>250724</v>
      </c>
      <c r="P26008">
        <v>18.93</v>
      </c>
    </row>
    <row r="26009" spans="1:16" x14ac:dyDescent="0.25">
      <c r="A26009" t="s">
        <v>3296</v>
      </c>
      <c r="B26009" t="s">
        <v>2931</v>
      </c>
      <c r="C26009">
        <v>9699</v>
      </c>
      <c r="D26009" t="str">
        <f t="shared" si="560"/>
        <v xml:space="preserve">2257996     </v>
      </c>
      <c r="E26009" t="s">
        <v>543</v>
      </c>
      <c r="F26009" t="s">
        <v>544</v>
      </c>
      <c r="G26009">
        <v>133.56</v>
      </c>
      <c r="H26009">
        <v>250701</v>
      </c>
      <c r="I26009">
        <v>4500</v>
      </c>
      <c r="J26009" t="s">
        <v>312</v>
      </c>
      <c r="K26009">
        <v>556.08000000000004</v>
      </c>
      <c r="L26009">
        <v>27.14</v>
      </c>
      <c r="M26009">
        <v>14861</v>
      </c>
      <c r="N26009" t="s">
        <v>79</v>
      </c>
      <c r="O26009">
        <v>250724</v>
      </c>
      <c r="P26009">
        <v>106.42</v>
      </c>
    </row>
    <row r="26010" spans="1:16" x14ac:dyDescent="0.25">
      <c r="A26010" t="s">
        <v>3296</v>
      </c>
      <c r="B26010" t="s">
        <v>2931</v>
      </c>
      <c r="C26010">
        <v>9699</v>
      </c>
      <c r="D26010" t="str">
        <f t="shared" si="560"/>
        <v xml:space="preserve">2257996     </v>
      </c>
      <c r="E26010" t="s">
        <v>543</v>
      </c>
      <c r="F26010" t="s">
        <v>544</v>
      </c>
      <c r="G26010">
        <v>45.44</v>
      </c>
      <c r="H26010">
        <v>250701</v>
      </c>
      <c r="I26010">
        <v>4500</v>
      </c>
      <c r="J26010" t="s">
        <v>312</v>
      </c>
      <c r="K26010">
        <v>556.08000000000004</v>
      </c>
      <c r="L26010">
        <v>9.23</v>
      </c>
      <c r="M26010">
        <v>14971</v>
      </c>
      <c r="N26010" t="s">
        <v>81</v>
      </c>
      <c r="O26010">
        <v>250724</v>
      </c>
      <c r="P26010">
        <v>36.21</v>
      </c>
    </row>
    <row r="26011" spans="1:16" x14ac:dyDescent="0.25">
      <c r="A26011" t="s">
        <v>3296</v>
      </c>
      <c r="B26011" t="s">
        <v>2931</v>
      </c>
      <c r="C26011">
        <v>9699</v>
      </c>
      <c r="D26011" t="str">
        <f t="shared" si="560"/>
        <v xml:space="preserve">2257996     </v>
      </c>
      <c r="E26011" t="s">
        <v>543</v>
      </c>
      <c r="F26011" t="s">
        <v>544</v>
      </c>
      <c r="G26011">
        <v>37.71</v>
      </c>
      <c r="H26011">
        <v>250701</v>
      </c>
      <c r="I26011">
        <v>4500</v>
      </c>
      <c r="J26011" t="s">
        <v>312</v>
      </c>
      <c r="K26011">
        <v>556.08000000000004</v>
      </c>
      <c r="L26011">
        <v>7.66</v>
      </c>
      <c r="M26011">
        <v>14972</v>
      </c>
      <c r="N26011" t="s">
        <v>82</v>
      </c>
      <c r="O26011">
        <v>250724</v>
      </c>
      <c r="P26011">
        <v>30.05</v>
      </c>
    </row>
    <row r="26012" spans="1:16" x14ac:dyDescent="0.25">
      <c r="A26012" t="s">
        <v>3296</v>
      </c>
      <c r="B26012" t="s">
        <v>2931</v>
      </c>
      <c r="C26012">
        <v>9892</v>
      </c>
      <c r="D26012" t="str">
        <f>"2259778     "</f>
        <v xml:space="preserve">2259778     </v>
      </c>
      <c r="E26012" t="s">
        <v>543</v>
      </c>
      <c r="F26012" t="s">
        <v>544</v>
      </c>
      <c r="G26012">
        <v>3.77</v>
      </c>
      <c r="H26012">
        <v>250710</v>
      </c>
      <c r="I26012">
        <v>4500</v>
      </c>
      <c r="J26012" t="s">
        <v>312</v>
      </c>
      <c r="K26012">
        <v>3.77</v>
      </c>
      <c r="L26012">
        <v>0.77</v>
      </c>
      <c r="M26012">
        <v>14972</v>
      </c>
      <c r="N26012" t="s">
        <v>82</v>
      </c>
      <c r="O26012">
        <v>250801</v>
      </c>
      <c r="P26012">
        <v>3</v>
      </c>
    </row>
    <row r="26013" spans="1:16" x14ac:dyDescent="0.25">
      <c r="A26013" t="s">
        <v>3296</v>
      </c>
      <c r="B26013" t="s">
        <v>2931</v>
      </c>
      <c r="C26013">
        <v>9938</v>
      </c>
      <c r="D26013" t="str">
        <f>"2262781     "</f>
        <v xml:space="preserve">2262781     </v>
      </c>
      <c r="E26013" t="s">
        <v>543</v>
      </c>
      <c r="F26013" t="s">
        <v>544</v>
      </c>
      <c r="G26013">
        <v>582.29</v>
      </c>
      <c r="H26013">
        <v>250728</v>
      </c>
      <c r="I26013">
        <v>4500</v>
      </c>
      <c r="J26013" t="s">
        <v>312</v>
      </c>
      <c r="K26013">
        <v>582.29</v>
      </c>
      <c r="L26013">
        <v>118.31</v>
      </c>
      <c r="M26013">
        <v>17808</v>
      </c>
      <c r="N26013" t="s">
        <v>24</v>
      </c>
      <c r="O26013">
        <v>250805</v>
      </c>
      <c r="P26013">
        <v>463.98</v>
      </c>
    </row>
    <row r="26014" spans="1:16" x14ac:dyDescent="0.25">
      <c r="A26014" t="s">
        <v>3296</v>
      </c>
      <c r="B26014" t="s">
        <v>2931</v>
      </c>
      <c r="C26014">
        <v>10276</v>
      </c>
      <c r="D26014" t="str">
        <f>"2263131     "</f>
        <v xml:space="preserve">2263131     </v>
      </c>
      <c r="E26014" t="s">
        <v>543</v>
      </c>
      <c r="F26014" t="s">
        <v>544</v>
      </c>
      <c r="G26014">
        <v>281.3</v>
      </c>
      <c r="H26014">
        <v>250729</v>
      </c>
      <c r="I26014">
        <v>4500</v>
      </c>
      <c r="J26014" t="s">
        <v>312</v>
      </c>
      <c r="K26014">
        <v>281.3</v>
      </c>
      <c r="L26014">
        <v>57.16</v>
      </c>
      <c r="M26014">
        <v>13502</v>
      </c>
      <c r="N26014" t="s">
        <v>302</v>
      </c>
      <c r="O26014">
        <v>250813</v>
      </c>
      <c r="P26014">
        <v>224.14</v>
      </c>
    </row>
    <row r="26015" spans="1:16" x14ac:dyDescent="0.25">
      <c r="A26015" t="s">
        <v>3296</v>
      </c>
      <c r="B26015" t="s">
        <v>2931</v>
      </c>
      <c r="C26015">
        <v>10290</v>
      </c>
      <c r="D26015" t="str">
        <f>"2263414     "</f>
        <v xml:space="preserve">2263414     </v>
      </c>
      <c r="E26015" t="s">
        <v>543</v>
      </c>
      <c r="F26015" t="s">
        <v>544</v>
      </c>
      <c r="G26015">
        <v>25.07</v>
      </c>
      <c r="H26015">
        <v>250730</v>
      </c>
      <c r="I26015">
        <v>4500</v>
      </c>
      <c r="J26015" t="s">
        <v>312</v>
      </c>
      <c r="K26015">
        <v>25.07</v>
      </c>
      <c r="L26015">
        <v>5.09</v>
      </c>
      <c r="M26015">
        <v>13502</v>
      </c>
      <c r="N26015" t="s">
        <v>302</v>
      </c>
      <c r="O26015">
        <v>250813</v>
      </c>
      <c r="P26015">
        <v>19.98</v>
      </c>
    </row>
    <row r="26016" spans="1:16" x14ac:dyDescent="0.25">
      <c r="A26016" t="s">
        <v>3296</v>
      </c>
      <c r="B26016" t="s">
        <v>2931</v>
      </c>
      <c r="C26016">
        <v>10546</v>
      </c>
      <c r="D26016" t="str">
        <f>"2266342     "</f>
        <v xml:space="preserve">2266342     </v>
      </c>
      <c r="E26016" t="s">
        <v>543</v>
      </c>
      <c r="F26016" t="s">
        <v>544</v>
      </c>
      <c r="G26016">
        <v>558.9</v>
      </c>
      <c r="H26016">
        <v>250801</v>
      </c>
      <c r="I26016">
        <v>4500</v>
      </c>
      <c r="J26016" t="s">
        <v>312</v>
      </c>
      <c r="K26016">
        <v>1397.25</v>
      </c>
      <c r="L26016">
        <v>113.56</v>
      </c>
      <c r="M26016">
        <v>13402</v>
      </c>
      <c r="N26016" t="s">
        <v>307</v>
      </c>
      <c r="O26016">
        <v>250820</v>
      </c>
      <c r="P26016">
        <v>445.34</v>
      </c>
    </row>
    <row r="26017" spans="1:16" x14ac:dyDescent="0.25">
      <c r="A26017" t="s">
        <v>3296</v>
      </c>
      <c r="B26017" t="s">
        <v>2931</v>
      </c>
      <c r="C26017">
        <v>10559</v>
      </c>
      <c r="D26017" t="str">
        <f>"2267275     "</f>
        <v xml:space="preserve">2267275     </v>
      </c>
      <c r="E26017" t="s">
        <v>543</v>
      </c>
      <c r="F26017" t="s">
        <v>544</v>
      </c>
      <c r="G26017">
        <v>31.7</v>
      </c>
      <c r="H26017">
        <v>250806</v>
      </c>
      <c r="I26017">
        <v>4500</v>
      </c>
      <c r="J26017" t="s">
        <v>312</v>
      </c>
      <c r="K26017">
        <v>263.42</v>
      </c>
      <c r="L26017">
        <v>6.44</v>
      </c>
      <c r="M26017">
        <v>54422</v>
      </c>
      <c r="N26017" t="s">
        <v>49</v>
      </c>
      <c r="O26017">
        <v>250820</v>
      </c>
      <c r="P26017">
        <v>25.26</v>
      </c>
    </row>
    <row r="26018" spans="1:16" x14ac:dyDescent="0.25">
      <c r="A26018" t="s">
        <v>3296</v>
      </c>
      <c r="B26018" t="s">
        <v>2931</v>
      </c>
      <c r="C26018">
        <v>10559</v>
      </c>
      <c r="D26018" t="str">
        <f>"2267275     "</f>
        <v xml:space="preserve">2267275     </v>
      </c>
      <c r="E26018" t="s">
        <v>543</v>
      </c>
      <c r="F26018" t="s">
        <v>544</v>
      </c>
      <c r="G26018">
        <v>35.18</v>
      </c>
      <c r="H26018">
        <v>250806</v>
      </c>
      <c r="I26018">
        <v>4500</v>
      </c>
      <c r="J26018" t="s">
        <v>312</v>
      </c>
      <c r="K26018">
        <v>263.42</v>
      </c>
      <c r="L26018">
        <v>7.15</v>
      </c>
      <c r="M26018">
        <v>56566</v>
      </c>
      <c r="N26018" t="s">
        <v>58</v>
      </c>
      <c r="O26018">
        <v>250820</v>
      </c>
      <c r="P26018">
        <v>28.03</v>
      </c>
    </row>
    <row r="26019" spans="1:16" x14ac:dyDescent="0.25">
      <c r="A26019" t="s">
        <v>3296</v>
      </c>
      <c r="B26019" t="s">
        <v>2931</v>
      </c>
      <c r="C26019">
        <v>10559</v>
      </c>
      <c r="D26019" t="str">
        <f>"2267275     "</f>
        <v xml:space="preserve">2267275     </v>
      </c>
      <c r="E26019" t="s">
        <v>543</v>
      </c>
      <c r="F26019" t="s">
        <v>544</v>
      </c>
      <c r="G26019">
        <v>173.35</v>
      </c>
      <c r="H26019">
        <v>250806</v>
      </c>
      <c r="I26019">
        <v>4500</v>
      </c>
      <c r="J26019" t="s">
        <v>312</v>
      </c>
      <c r="K26019">
        <v>263.42</v>
      </c>
      <c r="L26019">
        <v>35.22</v>
      </c>
      <c r="M26019">
        <v>59702</v>
      </c>
      <c r="N26019" t="s">
        <v>45</v>
      </c>
      <c r="O26019">
        <v>250820</v>
      </c>
      <c r="P26019">
        <v>138.13</v>
      </c>
    </row>
    <row r="26020" spans="1:16" x14ac:dyDescent="0.25">
      <c r="A26020" t="s">
        <v>3296</v>
      </c>
      <c r="B26020" t="s">
        <v>2931</v>
      </c>
      <c r="C26020">
        <v>10650</v>
      </c>
      <c r="D26020" t="str">
        <f>"2268512     "</f>
        <v xml:space="preserve">2268512     </v>
      </c>
      <c r="E26020" t="s">
        <v>543</v>
      </c>
      <c r="F26020" t="s">
        <v>544</v>
      </c>
      <c r="G26020">
        <v>49.7</v>
      </c>
      <c r="H26020">
        <v>250808</v>
      </c>
      <c r="I26020">
        <v>4500</v>
      </c>
      <c r="J26020" t="s">
        <v>312</v>
      </c>
      <c r="K26020">
        <v>49.7</v>
      </c>
      <c r="L26020">
        <v>10.1</v>
      </c>
      <c r="M26020">
        <v>13502</v>
      </c>
      <c r="N26020" t="s">
        <v>302</v>
      </c>
      <c r="O26020">
        <v>250821</v>
      </c>
      <c r="P26020">
        <v>39.6</v>
      </c>
    </row>
    <row r="26021" spans="1:16" x14ac:dyDescent="0.25">
      <c r="A26021" t="s">
        <v>3296</v>
      </c>
      <c r="B26021" t="s">
        <v>2931</v>
      </c>
      <c r="C26021">
        <v>10807</v>
      </c>
      <c r="D26021" t="str">
        <f>"2272972     "</f>
        <v xml:space="preserve">2272972     </v>
      </c>
      <c r="E26021" t="s">
        <v>543</v>
      </c>
      <c r="F26021" t="s">
        <v>544</v>
      </c>
      <c r="G26021">
        <v>221.71</v>
      </c>
      <c r="H26021">
        <v>250820</v>
      </c>
      <c r="I26021">
        <v>4500</v>
      </c>
      <c r="J26021" t="s">
        <v>312</v>
      </c>
      <c r="K26021">
        <v>469.91</v>
      </c>
      <c r="L26021">
        <v>45.05</v>
      </c>
      <c r="M26021">
        <v>66756</v>
      </c>
      <c r="N26021" t="s">
        <v>120</v>
      </c>
      <c r="O26021">
        <v>250822</v>
      </c>
      <c r="P26021">
        <v>176.66</v>
      </c>
    </row>
    <row r="26022" spans="1:16" x14ac:dyDescent="0.25">
      <c r="A26022" t="s">
        <v>3296</v>
      </c>
      <c r="B26022" t="s">
        <v>2931</v>
      </c>
      <c r="C26022">
        <v>10807</v>
      </c>
      <c r="D26022" t="str">
        <f>"2272972     "</f>
        <v xml:space="preserve">2272972     </v>
      </c>
      <c r="E26022" t="s">
        <v>543</v>
      </c>
      <c r="F26022" t="s">
        <v>544</v>
      </c>
      <c r="G26022">
        <v>46.97</v>
      </c>
      <c r="H26022">
        <v>250820</v>
      </c>
      <c r="I26022">
        <v>4500</v>
      </c>
      <c r="J26022" t="s">
        <v>312</v>
      </c>
      <c r="K26022">
        <v>469.91</v>
      </c>
      <c r="L26022">
        <v>9.5399999999999991</v>
      </c>
      <c r="M26022">
        <v>69702</v>
      </c>
      <c r="N26022" t="s">
        <v>124</v>
      </c>
      <c r="O26022">
        <v>250822</v>
      </c>
      <c r="P26022">
        <v>37.43</v>
      </c>
    </row>
    <row r="26023" spans="1:16" x14ac:dyDescent="0.25">
      <c r="A26023" t="s">
        <v>3296</v>
      </c>
      <c r="B26023" t="s">
        <v>2931</v>
      </c>
      <c r="C26023">
        <v>10807</v>
      </c>
      <c r="D26023" t="str">
        <f>"2272972     "</f>
        <v xml:space="preserve">2272972     </v>
      </c>
      <c r="E26023" t="s">
        <v>543</v>
      </c>
      <c r="F26023" t="s">
        <v>544</v>
      </c>
      <c r="G26023">
        <v>57.78</v>
      </c>
      <c r="H26023">
        <v>250820</v>
      </c>
      <c r="I26023">
        <v>4500</v>
      </c>
      <c r="J26023" t="s">
        <v>312</v>
      </c>
      <c r="K26023">
        <v>469.91</v>
      </c>
      <c r="L26023">
        <v>11.74</v>
      </c>
      <c r="M26023">
        <v>69704</v>
      </c>
      <c r="N26023" t="s">
        <v>89</v>
      </c>
      <c r="O26023">
        <v>250822</v>
      </c>
      <c r="P26023">
        <v>46.04</v>
      </c>
    </row>
    <row r="26024" spans="1:16" x14ac:dyDescent="0.25">
      <c r="A26024" t="s">
        <v>3296</v>
      </c>
      <c r="B26024" t="s">
        <v>2931</v>
      </c>
      <c r="C26024">
        <v>10861</v>
      </c>
      <c r="D26024" t="str">
        <f>"2272605     "</f>
        <v xml:space="preserve">2272605     </v>
      </c>
      <c r="E26024" t="s">
        <v>543</v>
      </c>
      <c r="F26024" t="s">
        <v>544</v>
      </c>
      <c r="G26024">
        <v>116.8</v>
      </c>
      <c r="H26024">
        <v>250819</v>
      </c>
      <c r="I26024">
        <v>4500</v>
      </c>
      <c r="J26024" t="s">
        <v>312</v>
      </c>
      <c r="K26024">
        <v>203.32</v>
      </c>
      <c r="L26024">
        <v>23.73</v>
      </c>
      <c r="M26024">
        <v>13502</v>
      </c>
      <c r="N26024" t="s">
        <v>302</v>
      </c>
      <c r="O26024">
        <v>250825</v>
      </c>
      <c r="P26024">
        <v>93.07</v>
      </c>
    </row>
    <row r="26025" spans="1:16" x14ac:dyDescent="0.25">
      <c r="A26025" t="s">
        <v>3296</v>
      </c>
      <c r="B26025" t="s">
        <v>2931</v>
      </c>
      <c r="C26025">
        <v>10890</v>
      </c>
      <c r="D26025" t="str">
        <f>"2273441     "</f>
        <v xml:space="preserve">2273441     </v>
      </c>
      <c r="E26025" t="s">
        <v>543</v>
      </c>
      <c r="F26025" t="s">
        <v>544</v>
      </c>
      <c r="G26025">
        <v>447.09</v>
      </c>
      <c r="H26025">
        <v>250821</v>
      </c>
      <c r="I26025">
        <v>4500</v>
      </c>
      <c r="J26025" t="s">
        <v>312</v>
      </c>
      <c r="K26025">
        <v>447.09</v>
      </c>
      <c r="L26025">
        <v>90.84</v>
      </c>
      <c r="M26025">
        <v>13601</v>
      </c>
      <c r="N26025" t="s">
        <v>115</v>
      </c>
      <c r="O26025">
        <v>250826</v>
      </c>
      <c r="P26025">
        <v>356.25</v>
      </c>
    </row>
    <row r="26026" spans="1:16" x14ac:dyDescent="0.25">
      <c r="A26026" t="s">
        <v>3296</v>
      </c>
      <c r="B26026" t="s">
        <v>2931</v>
      </c>
      <c r="C26026">
        <v>10948</v>
      </c>
      <c r="D26026" t="str">
        <f>"2273440     "</f>
        <v xml:space="preserve">2273440     </v>
      </c>
      <c r="E26026" t="s">
        <v>543</v>
      </c>
      <c r="F26026" t="s">
        <v>544</v>
      </c>
      <c r="G26026">
        <v>13.49</v>
      </c>
      <c r="H26026">
        <v>250821</v>
      </c>
      <c r="I26026">
        <v>4500</v>
      </c>
      <c r="J26026" t="s">
        <v>312</v>
      </c>
      <c r="K26026">
        <v>68.36</v>
      </c>
      <c r="L26026">
        <v>2.74</v>
      </c>
      <c r="M26026">
        <v>17807</v>
      </c>
      <c r="N26026" t="s">
        <v>23</v>
      </c>
      <c r="O26026">
        <v>250827</v>
      </c>
      <c r="P26026">
        <v>10.75</v>
      </c>
    </row>
    <row r="26027" spans="1:16" x14ac:dyDescent="0.25">
      <c r="A26027" t="s">
        <v>3296</v>
      </c>
      <c r="B26027" t="s">
        <v>2931</v>
      </c>
      <c r="C26027">
        <v>10948</v>
      </c>
      <c r="D26027" t="str">
        <f>"2273440     "</f>
        <v xml:space="preserve">2273440     </v>
      </c>
      <c r="E26027" t="s">
        <v>543</v>
      </c>
      <c r="F26027" t="s">
        <v>544</v>
      </c>
      <c r="G26027">
        <v>54.87</v>
      </c>
      <c r="H26027">
        <v>250821</v>
      </c>
      <c r="I26027">
        <v>4500</v>
      </c>
      <c r="J26027" t="s">
        <v>312</v>
      </c>
      <c r="K26027">
        <v>68.36</v>
      </c>
      <c r="L26027">
        <v>11.15</v>
      </c>
      <c r="M26027">
        <v>17808</v>
      </c>
      <c r="N26027" t="s">
        <v>24</v>
      </c>
      <c r="O26027">
        <v>250827</v>
      </c>
      <c r="P26027">
        <v>43.72</v>
      </c>
    </row>
    <row r="26028" spans="1:16" x14ac:dyDescent="0.25">
      <c r="A26028" t="s">
        <v>3296</v>
      </c>
      <c r="B26028" t="s">
        <v>2931</v>
      </c>
      <c r="C26028">
        <v>10949</v>
      </c>
      <c r="D26028" t="str">
        <f>"2273931     "</f>
        <v xml:space="preserve">2273931     </v>
      </c>
      <c r="E26028" t="s">
        <v>543</v>
      </c>
      <c r="F26028" t="s">
        <v>544</v>
      </c>
      <c r="G26028">
        <v>30.42</v>
      </c>
      <c r="H26028">
        <v>250822</v>
      </c>
      <c r="I26028">
        <v>4500</v>
      </c>
      <c r="J26028" t="s">
        <v>312</v>
      </c>
      <c r="K26028">
        <v>157.18</v>
      </c>
      <c r="L26028">
        <v>6.18</v>
      </c>
      <c r="M26028">
        <v>17808</v>
      </c>
      <c r="N26028" t="s">
        <v>24</v>
      </c>
      <c r="O26028">
        <v>250827</v>
      </c>
      <c r="P26028">
        <v>24.24</v>
      </c>
    </row>
    <row r="26029" spans="1:16" x14ac:dyDescent="0.25">
      <c r="A26029" t="s">
        <v>3296</v>
      </c>
      <c r="B26029" t="s">
        <v>2931</v>
      </c>
      <c r="C26029">
        <v>10949</v>
      </c>
      <c r="D26029" t="str">
        <f>"2273931     "</f>
        <v xml:space="preserve">2273931     </v>
      </c>
      <c r="E26029" t="s">
        <v>543</v>
      </c>
      <c r="F26029" t="s">
        <v>544</v>
      </c>
      <c r="G26029">
        <v>126.76</v>
      </c>
      <c r="H26029">
        <v>250822</v>
      </c>
      <c r="I26029">
        <v>4500</v>
      </c>
      <c r="J26029" t="s">
        <v>312</v>
      </c>
      <c r="K26029">
        <v>157.18</v>
      </c>
      <c r="L26029">
        <v>25.76</v>
      </c>
      <c r="M26029">
        <v>17808</v>
      </c>
      <c r="N26029" t="s">
        <v>24</v>
      </c>
      <c r="O26029">
        <v>250827</v>
      </c>
      <c r="P26029">
        <v>101</v>
      </c>
    </row>
    <row r="26030" spans="1:16" x14ac:dyDescent="0.25">
      <c r="A26030" t="s">
        <v>3296</v>
      </c>
      <c r="B26030" t="s">
        <v>2931</v>
      </c>
      <c r="C26030">
        <v>11101</v>
      </c>
      <c r="D26030" t="str">
        <f>"2274834     "</f>
        <v xml:space="preserve">2274834     </v>
      </c>
      <c r="E26030" t="s">
        <v>543</v>
      </c>
      <c r="F26030" t="s">
        <v>544</v>
      </c>
      <c r="G26030">
        <v>4.0199999999999996</v>
      </c>
      <c r="H26030">
        <v>250826</v>
      </c>
      <c r="I26030">
        <v>4500</v>
      </c>
      <c r="J26030" t="s">
        <v>312</v>
      </c>
      <c r="K26030">
        <v>220.1</v>
      </c>
      <c r="L26030">
        <v>0.82</v>
      </c>
      <c r="M26030">
        <v>56566</v>
      </c>
      <c r="N26030" t="s">
        <v>58</v>
      </c>
      <c r="O26030">
        <v>250829</v>
      </c>
      <c r="P26030">
        <v>3.2</v>
      </c>
    </row>
    <row r="26031" spans="1:16" x14ac:dyDescent="0.25">
      <c r="A26031" t="s">
        <v>3296</v>
      </c>
      <c r="B26031" t="s">
        <v>2931</v>
      </c>
      <c r="C26031">
        <v>11101</v>
      </c>
      <c r="D26031" t="str">
        <f>"2274834     "</f>
        <v xml:space="preserve">2274834     </v>
      </c>
      <c r="E26031" t="s">
        <v>543</v>
      </c>
      <c r="F26031" t="s">
        <v>544</v>
      </c>
      <c r="G26031">
        <v>90.48</v>
      </c>
      <c r="H26031">
        <v>250826</v>
      </c>
      <c r="I26031">
        <v>4500</v>
      </c>
      <c r="J26031" t="s">
        <v>312</v>
      </c>
      <c r="K26031">
        <v>220.1</v>
      </c>
      <c r="L26031">
        <v>18.38</v>
      </c>
      <c r="M26031">
        <v>59702</v>
      </c>
      <c r="N26031" t="s">
        <v>45</v>
      </c>
      <c r="O26031">
        <v>250829</v>
      </c>
      <c r="P26031">
        <v>72.099999999999994</v>
      </c>
    </row>
    <row r="26032" spans="1:16" x14ac:dyDescent="0.25">
      <c r="A26032" t="s">
        <v>3296</v>
      </c>
      <c r="B26032" t="s">
        <v>2931</v>
      </c>
      <c r="C26032">
        <v>11466</v>
      </c>
      <c r="D26032" t="str">
        <f>"2272973     "</f>
        <v xml:space="preserve">2272973     </v>
      </c>
      <c r="E26032" t="s">
        <v>543</v>
      </c>
      <c r="F26032" t="s">
        <v>544</v>
      </c>
      <c r="G26032">
        <v>12.05</v>
      </c>
      <c r="H26032">
        <v>250820</v>
      </c>
      <c r="I26032">
        <v>4500</v>
      </c>
      <c r="J26032" t="s">
        <v>312</v>
      </c>
      <c r="K26032">
        <v>1191.07</v>
      </c>
      <c r="L26032">
        <v>2.4500000000000002</v>
      </c>
      <c r="M26032">
        <v>41126</v>
      </c>
      <c r="N26032" t="s">
        <v>94</v>
      </c>
      <c r="O26032">
        <v>250905</v>
      </c>
      <c r="P26032">
        <v>9.6</v>
      </c>
    </row>
    <row r="26033" spans="1:16" x14ac:dyDescent="0.25">
      <c r="A26033" t="s">
        <v>3296</v>
      </c>
      <c r="B26033" t="s">
        <v>2931</v>
      </c>
      <c r="C26033">
        <v>11466</v>
      </c>
      <c r="D26033" t="str">
        <f>"2272973     "</f>
        <v xml:space="preserve">2272973     </v>
      </c>
      <c r="E26033" t="s">
        <v>543</v>
      </c>
      <c r="F26033" t="s">
        <v>544</v>
      </c>
      <c r="G26033">
        <v>22.06</v>
      </c>
      <c r="H26033">
        <v>250820</v>
      </c>
      <c r="I26033">
        <v>4500</v>
      </c>
      <c r="J26033" t="s">
        <v>312</v>
      </c>
      <c r="K26033">
        <v>1191.07</v>
      </c>
      <c r="L26033">
        <v>4.4800000000000004</v>
      </c>
      <c r="M26033">
        <v>46554</v>
      </c>
      <c r="N26033" t="s">
        <v>102</v>
      </c>
      <c r="O26033">
        <v>250905</v>
      </c>
      <c r="P26033">
        <v>17.579999999999998</v>
      </c>
    </row>
    <row r="26034" spans="1:16" x14ac:dyDescent="0.25">
      <c r="A26034" t="s">
        <v>3296</v>
      </c>
      <c r="B26034" t="s">
        <v>2931</v>
      </c>
      <c r="C26034">
        <v>11466</v>
      </c>
      <c r="D26034" t="str">
        <f>"2272973     "</f>
        <v xml:space="preserve">2272973     </v>
      </c>
      <c r="E26034" t="s">
        <v>543</v>
      </c>
      <c r="F26034" t="s">
        <v>544</v>
      </c>
      <c r="G26034">
        <v>18.71</v>
      </c>
      <c r="H26034">
        <v>250820</v>
      </c>
      <c r="I26034">
        <v>4500</v>
      </c>
      <c r="J26034" t="s">
        <v>312</v>
      </c>
      <c r="K26034">
        <v>1191.07</v>
      </c>
      <c r="L26034">
        <v>3.8</v>
      </c>
      <c r="M26034">
        <v>49501</v>
      </c>
      <c r="N26034" t="s">
        <v>110</v>
      </c>
      <c r="O26034">
        <v>250905</v>
      </c>
      <c r="P26034">
        <v>14.91</v>
      </c>
    </row>
    <row r="26035" spans="1:16" x14ac:dyDescent="0.25">
      <c r="A26035" t="s">
        <v>3296</v>
      </c>
      <c r="B26035" t="s">
        <v>2931</v>
      </c>
      <c r="C26035">
        <v>11466</v>
      </c>
      <c r="D26035" t="str">
        <f>"2272973     "</f>
        <v xml:space="preserve">2272973     </v>
      </c>
      <c r="E26035" t="s">
        <v>543</v>
      </c>
      <c r="F26035" t="s">
        <v>544</v>
      </c>
      <c r="G26035">
        <v>1138.25</v>
      </c>
      <c r="H26035">
        <v>250820</v>
      </c>
      <c r="I26035">
        <v>4500</v>
      </c>
      <c r="J26035" t="s">
        <v>312</v>
      </c>
      <c r="K26035">
        <v>1191.07</v>
      </c>
      <c r="L26035">
        <v>231.28</v>
      </c>
      <c r="M26035">
        <v>49702</v>
      </c>
      <c r="N26035" t="s">
        <v>112</v>
      </c>
      <c r="O26035">
        <v>250905</v>
      </c>
      <c r="P26035">
        <v>906.97</v>
      </c>
    </row>
    <row r="26036" spans="1:16" x14ac:dyDescent="0.25">
      <c r="A26036" t="s">
        <v>3296</v>
      </c>
      <c r="B26036" t="s">
        <v>2931</v>
      </c>
      <c r="C26036">
        <v>11765</v>
      </c>
      <c r="D26036" t="str">
        <f>"2275350     "</f>
        <v xml:space="preserve">2275350     </v>
      </c>
      <c r="E26036" t="s">
        <v>543</v>
      </c>
      <c r="F26036" t="s">
        <v>544</v>
      </c>
      <c r="G26036">
        <v>206.13</v>
      </c>
      <c r="H26036">
        <v>250827</v>
      </c>
      <c r="I26036">
        <v>4500</v>
      </c>
      <c r="J26036" t="s">
        <v>312</v>
      </c>
      <c r="K26036">
        <v>206.13</v>
      </c>
      <c r="L26036">
        <v>41.88</v>
      </c>
      <c r="M26036">
        <v>13901</v>
      </c>
      <c r="N26036" t="s">
        <v>116</v>
      </c>
      <c r="O26036">
        <v>250910</v>
      </c>
      <c r="P26036">
        <v>164.25</v>
      </c>
    </row>
    <row r="26037" spans="1:16" x14ac:dyDescent="0.25">
      <c r="A26037" t="s">
        <v>3296</v>
      </c>
      <c r="B26037" t="s">
        <v>2931</v>
      </c>
      <c r="C26037">
        <v>12221</v>
      </c>
      <c r="D26037" t="str">
        <f>"2279174     "</f>
        <v xml:space="preserve">2279174     </v>
      </c>
      <c r="E26037" t="s">
        <v>543</v>
      </c>
      <c r="F26037" t="s">
        <v>544</v>
      </c>
      <c r="G26037">
        <v>73.400000000000006</v>
      </c>
      <c r="H26037">
        <v>250902</v>
      </c>
      <c r="I26037">
        <v>4500</v>
      </c>
      <c r="J26037" t="s">
        <v>312</v>
      </c>
      <c r="K26037">
        <v>232.4</v>
      </c>
      <c r="L26037">
        <v>14.91</v>
      </c>
      <c r="M26037">
        <v>69702</v>
      </c>
      <c r="N26037" t="s">
        <v>124</v>
      </c>
      <c r="O26037">
        <v>250917</v>
      </c>
      <c r="P26037">
        <v>58.49</v>
      </c>
    </row>
    <row r="26038" spans="1:16" x14ac:dyDescent="0.25">
      <c r="A26038" t="s">
        <v>3296</v>
      </c>
      <c r="B26038" t="s">
        <v>2931</v>
      </c>
      <c r="C26038">
        <v>12221</v>
      </c>
      <c r="D26038" t="str">
        <f>"2279174     "</f>
        <v xml:space="preserve">2279174     </v>
      </c>
      <c r="E26038" t="s">
        <v>543</v>
      </c>
      <c r="F26038" t="s">
        <v>544</v>
      </c>
      <c r="G26038">
        <v>159</v>
      </c>
      <c r="H26038">
        <v>250902</v>
      </c>
      <c r="I26038">
        <v>4500</v>
      </c>
      <c r="J26038" t="s">
        <v>312</v>
      </c>
      <c r="K26038">
        <v>232.4</v>
      </c>
      <c r="L26038">
        <v>32.31</v>
      </c>
      <c r="M26038">
        <v>69704</v>
      </c>
      <c r="N26038" t="s">
        <v>89</v>
      </c>
      <c r="O26038">
        <v>250917</v>
      </c>
      <c r="P26038">
        <v>126.69</v>
      </c>
    </row>
    <row r="26039" spans="1:16" x14ac:dyDescent="0.25">
      <c r="A26039" t="s">
        <v>3296</v>
      </c>
      <c r="B26039" t="s">
        <v>2931</v>
      </c>
      <c r="C26039">
        <v>12233</v>
      </c>
      <c r="D26039" t="str">
        <f t="shared" ref="D26039:D26057" si="561">"2279633     "</f>
        <v xml:space="preserve">2279633     </v>
      </c>
      <c r="E26039" t="s">
        <v>543</v>
      </c>
      <c r="F26039" t="s">
        <v>544</v>
      </c>
      <c r="G26039">
        <v>31.17</v>
      </c>
      <c r="H26039">
        <v>250903</v>
      </c>
      <c r="I26039">
        <v>4500</v>
      </c>
      <c r="J26039" t="s">
        <v>312</v>
      </c>
      <c r="K26039">
        <v>982.21</v>
      </c>
      <c r="L26039">
        <v>6.33</v>
      </c>
      <c r="M26039">
        <v>11001</v>
      </c>
      <c r="N26039" t="s">
        <v>93</v>
      </c>
      <c r="O26039">
        <v>250917</v>
      </c>
      <c r="P26039">
        <v>24.84</v>
      </c>
    </row>
    <row r="26040" spans="1:16" x14ac:dyDescent="0.25">
      <c r="A26040" t="s">
        <v>3296</v>
      </c>
      <c r="B26040" t="s">
        <v>2931</v>
      </c>
      <c r="C26040">
        <v>12233</v>
      </c>
      <c r="D26040" t="str">
        <f t="shared" si="561"/>
        <v xml:space="preserve">2279633     </v>
      </c>
      <c r="E26040" t="s">
        <v>543</v>
      </c>
      <c r="F26040" t="s">
        <v>544</v>
      </c>
      <c r="G26040">
        <v>22.06</v>
      </c>
      <c r="H26040">
        <v>250903</v>
      </c>
      <c r="I26040">
        <v>4500</v>
      </c>
      <c r="J26040" t="s">
        <v>312</v>
      </c>
      <c r="K26040">
        <v>982.21</v>
      </c>
      <c r="L26040">
        <v>4.4800000000000004</v>
      </c>
      <c r="M26040">
        <v>11101</v>
      </c>
      <c r="N26040" t="s">
        <v>67</v>
      </c>
      <c r="O26040">
        <v>250917</v>
      </c>
      <c r="P26040">
        <v>17.579999999999998</v>
      </c>
    </row>
    <row r="26041" spans="1:16" x14ac:dyDescent="0.25">
      <c r="A26041" t="s">
        <v>3296</v>
      </c>
      <c r="B26041" t="s">
        <v>2931</v>
      </c>
      <c r="C26041">
        <v>12233</v>
      </c>
      <c r="D26041" t="str">
        <f t="shared" si="561"/>
        <v xml:space="preserve">2279633     </v>
      </c>
      <c r="E26041" t="s">
        <v>543</v>
      </c>
      <c r="F26041" t="s">
        <v>544</v>
      </c>
      <c r="G26041">
        <v>52.35</v>
      </c>
      <c r="H26041">
        <v>250903</v>
      </c>
      <c r="I26041">
        <v>4500</v>
      </c>
      <c r="J26041" t="s">
        <v>312</v>
      </c>
      <c r="K26041">
        <v>982.21</v>
      </c>
      <c r="L26041">
        <v>10.64</v>
      </c>
      <c r="M26041">
        <v>18971</v>
      </c>
      <c r="N26041" t="s">
        <v>38</v>
      </c>
      <c r="O26041">
        <v>250917</v>
      </c>
      <c r="P26041">
        <v>41.71</v>
      </c>
    </row>
    <row r="26042" spans="1:16" x14ac:dyDescent="0.25">
      <c r="A26042" t="s">
        <v>3296</v>
      </c>
      <c r="B26042" t="s">
        <v>2931</v>
      </c>
      <c r="C26042">
        <v>12233</v>
      </c>
      <c r="D26042" t="str">
        <f t="shared" si="561"/>
        <v xml:space="preserve">2279633     </v>
      </c>
      <c r="E26042" t="s">
        <v>543</v>
      </c>
      <c r="F26042" t="s">
        <v>544</v>
      </c>
      <c r="G26042">
        <v>5.8</v>
      </c>
      <c r="H26042">
        <v>250903</v>
      </c>
      <c r="I26042">
        <v>4500</v>
      </c>
      <c r="J26042" t="s">
        <v>312</v>
      </c>
      <c r="K26042">
        <v>982.21</v>
      </c>
      <c r="L26042">
        <v>1.18</v>
      </c>
      <c r="M26042">
        <v>54222</v>
      </c>
      <c r="N26042" t="s">
        <v>48</v>
      </c>
      <c r="O26042">
        <v>250917</v>
      </c>
      <c r="P26042">
        <v>4.62</v>
      </c>
    </row>
    <row r="26043" spans="1:16" x14ac:dyDescent="0.25">
      <c r="A26043" t="s">
        <v>3296</v>
      </c>
      <c r="B26043" t="s">
        <v>2931</v>
      </c>
      <c r="C26043">
        <v>12233</v>
      </c>
      <c r="D26043" t="str">
        <f t="shared" si="561"/>
        <v xml:space="preserve">2279633     </v>
      </c>
      <c r="E26043" t="s">
        <v>543</v>
      </c>
      <c r="F26043" t="s">
        <v>544</v>
      </c>
      <c r="G26043">
        <v>7.04</v>
      </c>
      <c r="H26043">
        <v>250903</v>
      </c>
      <c r="I26043">
        <v>4500</v>
      </c>
      <c r="J26043" t="s">
        <v>312</v>
      </c>
      <c r="K26043">
        <v>982.21</v>
      </c>
      <c r="L26043">
        <v>1.43</v>
      </c>
      <c r="M26043">
        <v>54422</v>
      </c>
      <c r="N26043" t="s">
        <v>49</v>
      </c>
      <c r="O26043">
        <v>250917</v>
      </c>
      <c r="P26043">
        <v>5.61</v>
      </c>
    </row>
    <row r="26044" spans="1:16" x14ac:dyDescent="0.25">
      <c r="A26044" t="s">
        <v>3296</v>
      </c>
      <c r="B26044" t="s">
        <v>2931</v>
      </c>
      <c r="C26044">
        <v>12233</v>
      </c>
      <c r="D26044" t="str">
        <f t="shared" si="561"/>
        <v xml:space="preserve">2279633     </v>
      </c>
      <c r="E26044" t="s">
        <v>543</v>
      </c>
      <c r="F26044" t="s">
        <v>544</v>
      </c>
      <c r="G26044">
        <v>0.62</v>
      </c>
      <c r="H26044">
        <v>250903</v>
      </c>
      <c r="I26044">
        <v>4500</v>
      </c>
      <c r="J26044" t="s">
        <v>312</v>
      </c>
      <c r="K26044">
        <v>982.21</v>
      </c>
      <c r="L26044">
        <v>0.13</v>
      </c>
      <c r="M26044">
        <v>56526</v>
      </c>
      <c r="N26044" t="s">
        <v>506</v>
      </c>
      <c r="O26044">
        <v>250917</v>
      </c>
      <c r="P26044">
        <v>0.49</v>
      </c>
    </row>
    <row r="26045" spans="1:16" x14ac:dyDescent="0.25">
      <c r="A26045" t="s">
        <v>3296</v>
      </c>
      <c r="B26045" t="s">
        <v>2931</v>
      </c>
      <c r="C26045">
        <v>12233</v>
      </c>
      <c r="D26045" t="str">
        <f t="shared" si="561"/>
        <v xml:space="preserve">2279633     </v>
      </c>
      <c r="E26045" t="s">
        <v>543</v>
      </c>
      <c r="F26045" t="s">
        <v>544</v>
      </c>
      <c r="G26045">
        <v>4.58</v>
      </c>
      <c r="H26045">
        <v>250903</v>
      </c>
      <c r="I26045">
        <v>4500</v>
      </c>
      <c r="J26045" t="s">
        <v>312</v>
      </c>
      <c r="K26045">
        <v>982.21</v>
      </c>
      <c r="L26045">
        <v>0.93</v>
      </c>
      <c r="M26045">
        <v>56558</v>
      </c>
      <c r="N26045" t="s">
        <v>50</v>
      </c>
      <c r="O26045">
        <v>250917</v>
      </c>
      <c r="P26045">
        <v>3.65</v>
      </c>
    </row>
    <row r="26046" spans="1:16" x14ac:dyDescent="0.25">
      <c r="A26046" t="s">
        <v>3296</v>
      </c>
      <c r="B26046" t="s">
        <v>2931</v>
      </c>
      <c r="C26046">
        <v>12233</v>
      </c>
      <c r="D26046" t="str">
        <f t="shared" si="561"/>
        <v xml:space="preserve">2279633     </v>
      </c>
      <c r="E26046" t="s">
        <v>543</v>
      </c>
      <c r="F26046" t="s">
        <v>544</v>
      </c>
      <c r="G26046">
        <v>2.67</v>
      </c>
      <c r="H26046">
        <v>250903</v>
      </c>
      <c r="I26046">
        <v>4500</v>
      </c>
      <c r="J26046" t="s">
        <v>312</v>
      </c>
      <c r="K26046">
        <v>982.21</v>
      </c>
      <c r="L26046">
        <v>0.54</v>
      </c>
      <c r="M26046">
        <v>56559</v>
      </c>
      <c r="N26046" t="s">
        <v>51</v>
      </c>
      <c r="O26046">
        <v>250917</v>
      </c>
      <c r="P26046">
        <v>2.13</v>
      </c>
    </row>
    <row r="26047" spans="1:16" x14ac:dyDescent="0.25">
      <c r="A26047" t="s">
        <v>3296</v>
      </c>
      <c r="B26047" t="s">
        <v>2931</v>
      </c>
      <c r="C26047">
        <v>12233</v>
      </c>
      <c r="D26047" t="str">
        <f t="shared" si="561"/>
        <v xml:space="preserve">2279633     </v>
      </c>
      <c r="E26047" t="s">
        <v>543</v>
      </c>
      <c r="F26047" t="s">
        <v>544</v>
      </c>
      <c r="G26047">
        <v>1.24</v>
      </c>
      <c r="H26047">
        <v>250903</v>
      </c>
      <c r="I26047">
        <v>4500</v>
      </c>
      <c r="J26047" t="s">
        <v>312</v>
      </c>
      <c r="K26047">
        <v>982.21</v>
      </c>
      <c r="L26047">
        <v>0.25</v>
      </c>
      <c r="M26047">
        <v>56561</v>
      </c>
      <c r="N26047" t="s">
        <v>53</v>
      </c>
      <c r="O26047">
        <v>250917</v>
      </c>
      <c r="P26047">
        <v>0.99</v>
      </c>
    </row>
    <row r="26048" spans="1:16" x14ac:dyDescent="0.25">
      <c r="A26048" t="s">
        <v>3296</v>
      </c>
      <c r="B26048" t="s">
        <v>2931</v>
      </c>
      <c r="C26048">
        <v>12233</v>
      </c>
      <c r="D26048" t="str">
        <f t="shared" si="561"/>
        <v xml:space="preserve">2279633     </v>
      </c>
      <c r="E26048" t="s">
        <v>543</v>
      </c>
      <c r="F26048" t="s">
        <v>544</v>
      </c>
      <c r="G26048">
        <v>2.5</v>
      </c>
      <c r="H26048">
        <v>250903</v>
      </c>
      <c r="I26048">
        <v>4500</v>
      </c>
      <c r="J26048" t="s">
        <v>312</v>
      </c>
      <c r="K26048">
        <v>982.21</v>
      </c>
      <c r="L26048">
        <v>0.51</v>
      </c>
      <c r="M26048">
        <v>56562</v>
      </c>
      <c r="N26048" t="s">
        <v>54</v>
      </c>
      <c r="O26048">
        <v>250917</v>
      </c>
      <c r="P26048">
        <v>1.99</v>
      </c>
    </row>
    <row r="26049" spans="1:16" x14ac:dyDescent="0.25">
      <c r="A26049" t="s">
        <v>3296</v>
      </c>
      <c r="B26049" t="s">
        <v>2931</v>
      </c>
      <c r="C26049">
        <v>12233</v>
      </c>
      <c r="D26049" t="str">
        <f t="shared" si="561"/>
        <v xml:space="preserve">2279633     </v>
      </c>
      <c r="E26049" t="s">
        <v>543</v>
      </c>
      <c r="F26049" t="s">
        <v>544</v>
      </c>
      <c r="G26049">
        <v>9.16</v>
      </c>
      <c r="H26049">
        <v>250903</v>
      </c>
      <c r="I26049">
        <v>4500</v>
      </c>
      <c r="J26049" t="s">
        <v>312</v>
      </c>
      <c r="K26049">
        <v>982.21</v>
      </c>
      <c r="L26049">
        <v>1.86</v>
      </c>
      <c r="M26049">
        <v>56564</v>
      </c>
      <c r="N26049" t="s">
        <v>56</v>
      </c>
      <c r="O26049">
        <v>250917</v>
      </c>
      <c r="P26049">
        <v>7.3</v>
      </c>
    </row>
    <row r="26050" spans="1:16" x14ac:dyDescent="0.25">
      <c r="A26050" t="s">
        <v>3296</v>
      </c>
      <c r="B26050" t="s">
        <v>2931</v>
      </c>
      <c r="C26050">
        <v>12233</v>
      </c>
      <c r="D26050" t="str">
        <f t="shared" si="561"/>
        <v xml:space="preserve">2279633     </v>
      </c>
      <c r="E26050" t="s">
        <v>543</v>
      </c>
      <c r="F26050" t="s">
        <v>544</v>
      </c>
      <c r="G26050">
        <v>2.06</v>
      </c>
      <c r="H26050">
        <v>250903</v>
      </c>
      <c r="I26050">
        <v>4500</v>
      </c>
      <c r="J26050" t="s">
        <v>312</v>
      </c>
      <c r="K26050">
        <v>982.21</v>
      </c>
      <c r="L26050">
        <v>0.42</v>
      </c>
      <c r="M26050">
        <v>56565</v>
      </c>
      <c r="N26050" t="s">
        <v>57</v>
      </c>
      <c r="O26050">
        <v>250917</v>
      </c>
      <c r="P26050">
        <v>1.64</v>
      </c>
    </row>
    <row r="26051" spans="1:16" x14ac:dyDescent="0.25">
      <c r="A26051" t="s">
        <v>3296</v>
      </c>
      <c r="B26051" t="s">
        <v>2931</v>
      </c>
      <c r="C26051">
        <v>12233</v>
      </c>
      <c r="D26051" t="str">
        <f t="shared" si="561"/>
        <v xml:space="preserve">2279633     </v>
      </c>
      <c r="E26051" t="s">
        <v>543</v>
      </c>
      <c r="F26051" t="s">
        <v>544</v>
      </c>
      <c r="G26051">
        <v>17.12</v>
      </c>
      <c r="H26051">
        <v>250903</v>
      </c>
      <c r="I26051">
        <v>4500</v>
      </c>
      <c r="J26051" t="s">
        <v>312</v>
      </c>
      <c r="K26051">
        <v>982.21</v>
      </c>
      <c r="L26051">
        <v>3.48</v>
      </c>
      <c r="M26051">
        <v>59111</v>
      </c>
      <c r="N26051" t="s">
        <v>60</v>
      </c>
      <c r="O26051">
        <v>250917</v>
      </c>
      <c r="P26051">
        <v>13.64</v>
      </c>
    </row>
    <row r="26052" spans="1:16" x14ac:dyDescent="0.25">
      <c r="A26052" t="s">
        <v>3296</v>
      </c>
      <c r="B26052" t="s">
        <v>2931</v>
      </c>
      <c r="C26052">
        <v>12233</v>
      </c>
      <c r="D26052" t="str">
        <f t="shared" si="561"/>
        <v xml:space="preserve">2279633     </v>
      </c>
      <c r="E26052" t="s">
        <v>543</v>
      </c>
      <c r="F26052" t="s">
        <v>544</v>
      </c>
      <c r="G26052">
        <v>4.22</v>
      </c>
      <c r="H26052">
        <v>250903</v>
      </c>
      <c r="I26052">
        <v>4500</v>
      </c>
      <c r="J26052" t="s">
        <v>312</v>
      </c>
      <c r="K26052">
        <v>982.21</v>
      </c>
      <c r="L26052">
        <v>0.86</v>
      </c>
      <c r="M26052">
        <v>59113</v>
      </c>
      <c r="N26052" t="s">
        <v>61</v>
      </c>
      <c r="O26052">
        <v>250917</v>
      </c>
      <c r="P26052">
        <v>3.36</v>
      </c>
    </row>
    <row r="26053" spans="1:16" x14ac:dyDescent="0.25">
      <c r="A26053" t="s">
        <v>3296</v>
      </c>
      <c r="B26053" t="s">
        <v>2931</v>
      </c>
      <c r="C26053">
        <v>12233</v>
      </c>
      <c r="D26053" t="str">
        <f t="shared" si="561"/>
        <v xml:space="preserve">2279633     </v>
      </c>
      <c r="E26053" t="s">
        <v>543</v>
      </c>
      <c r="F26053" t="s">
        <v>544</v>
      </c>
      <c r="G26053">
        <v>3.61</v>
      </c>
      <c r="H26053">
        <v>250903</v>
      </c>
      <c r="I26053">
        <v>4500</v>
      </c>
      <c r="J26053" t="s">
        <v>312</v>
      </c>
      <c r="K26053">
        <v>982.21</v>
      </c>
      <c r="L26053">
        <v>0.73</v>
      </c>
      <c r="M26053">
        <v>59114</v>
      </c>
      <c r="N26053" t="s">
        <v>299</v>
      </c>
      <c r="O26053">
        <v>250917</v>
      </c>
      <c r="P26053">
        <v>2.88</v>
      </c>
    </row>
    <row r="26054" spans="1:16" x14ac:dyDescent="0.25">
      <c r="A26054" t="s">
        <v>3296</v>
      </c>
      <c r="B26054" t="s">
        <v>2931</v>
      </c>
      <c r="C26054">
        <v>12233</v>
      </c>
      <c r="D26054" t="str">
        <f t="shared" si="561"/>
        <v xml:space="preserve">2279633     </v>
      </c>
      <c r="E26054" t="s">
        <v>543</v>
      </c>
      <c r="F26054" t="s">
        <v>544</v>
      </c>
      <c r="G26054">
        <v>5.85</v>
      </c>
      <c r="H26054">
        <v>250903</v>
      </c>
      <c r="I26054">
        <v>4500</v>
      </c>
      <c r="J26054" t="s">
        <v>312</v>
      </c>
      <c r="K26054">
        <v>982.21</v>
      </c>
      <c r="L26054">
        <v>1.19</v>
      </c>
      <c r="M26054">
        <v>59501</v>
      </c>
      <c r="N26054" t="s">
        <v>62</v>
      </c>
      <c r="O26054">
        <v>250917</v>
      </c>
      <c r="P26054">
        <v>4.66</v>
      </c>
    </row>
    <row r="26055" spans="1:16" x14ac:dyDescent="0.25">
      <c r="A26055" t="s">
        <v>3296</v>
      </c>
      <c r="B26055" t="s">
        <v>2931</v>
      </c>
      <c r="C26055">
        <v>12233</v>
      </c>
      <c r="D26055" t="str">
        <f t="shared" si="561"/>
        <v xml:space="preserve">2279633     </v>
      </c>
      <c r="E26055" t="s">
        <v>543</v>
      </c>
      <c r="F26055" t="s">
        <v>544</v>
      </c>
      <c r="G26055">
        <v>0.61</v>
      </c>
      <c r="H26055">
        <v>250903</v>
      </c>
      <c r="I26055">
        <v>4500</v>
      </c>
      <c r="J26055" t="s">
        <v>312</v>
      </c>
      <c r="K26055">
        <v>982.21</v>
      </c>
      <c r="L26055">
        <v>0.12</v>
      </c>
      <c r="M26055">
        <v>59504</v>
      </c>
      <c r="N26055" t="s">
        <v>193</v>
      </c>
      <c r="O26055">
        <v>250917</v>
      </c>
      <c r="P26055">
        <v>0.49</v>
      </c>
    </row>
    <row r="26056" spans="1:16" x14ac:dyDescent="0.25">
      <c r="A26056" t="s">
        <v>3296</v>
      </c>
      <c r="B26056" t="s">
        <v>2931</v>
      </c>
      <c r="C26056">
        <v>12233</v>
      </c>
      <c r="D26056" t="str">
        <f t="shared" si="561"/>
        <v xml:space="preserve">2279633     </v>
      </c>
      <c r="E26056" t="s">
        <v>543</v>
      </c>
      <c r="F26056" t="s">
        <v>544</v>
      </c>
      <c r="G26056">
        <v>4.6399999999999997</v>
      </c>
      <c r="H26056">
        <v>250903</v>
      </c>
      <c r="I26056">
        <v>4500</v>
      </c>
      <c r="J26056" t="s">
        <v>312</v>
      </c>
      <c r="K26056">
        <v>982.21</v>
      </c>
      <c r="L26056">
        <v>0.94</v>
      </c>
      <c r="M26056">
        <v>59505</v>
      </c>
      <c r="N26056" t="s">
        <v>194</v>
      </c>
      <c r="O26056">
        <v>250917</v>
      </c>
      <c r="P26056">
        <v>3.7</v>
      </c>
    </row>
    <row r="26057" spans="1:16" x14ac:dyDescent="0.25">
      <c r="A26057" t="s">
        <v>3296</v>
      </c>
      <c r="B26057" t="s">
        <v>2931</v>
      </c>
      <c r="C26057">
        <v>12233</v>
      </c>
      <c r="D26057" t="str">
        <f t="shared" si="561"/>
        <v xml:space="preserve">2279633     </v>
      </c>
      <c r="E26057" t="s">
        <v>543</v>
      </c>
      <c r="F26057" t="s">
        <v>544</v>
      </c>
      <c r="G26057">
        <v>804.91</v>
      </c>
      <c r="H26057">
        <v>250903</v>
      </c>
      <c r="I26057">
        <v>4500</v>
      </c>
      <c r="J26057" t="s">
        <v>312</v>
      </c>
      <c r="K26057">
        <v>982.21</v>
      </c>
      <c r="L26057">
        <v>163.55000000000001</v>
      </c>
      <c r="M26057">
        <v>59702</v>
      </c>
      <c r="N26057" t="s">
        <v>45</v>
      </c>
      <c r="O26057">
        <v>250917</v>
      </c>
      <c r="P26057">
        <v>641.36</v>
      </c>
    </row>
    <row r="26058" spans="1:16" x14ac:dyDescent="0.25">
      <c r="A26058" t="s">
        <v>3296</v>
      </c>
      <c r="B26058" t="s">
        <v>2931</v>
      </c>
      <c r="C26058">
        <v>12340</v>
      </c>
      <c r="D26058" t="str">
        <f>"2280072     "</f>
        <v xml:space="preserve">2280072     </v>
      </c>
      <c r="E26058" t="s">
        <v>543</v>
      </c>
      <c r="F26058" t="s">
        <v>544</v>
      </c>
      <c r="G26058">
        <v>56.02</v>
      </c>
      <c r="H26058">
        <v>250904</v>
      </c>
      <c r="I26058">
        <v>4500</v>
      </c>
      <c r="J26058" t="s">
        <v>312</v>
      </c>
      <c r="K26058">
        <v>56.02</v>
      </c>
      <c r="L26058">
        <v>11.38</v>
      </c>
      <c r="M26058">
        <v>13601</v>
      </c>
      <c r="N26058" t="s">
        <v>115</v>
      </c>
      <c r="O26058">
        <v>250919</v>
      </c>
      <c r="P26058">
        <v>44.64</v>
      </c>
    </row>
    <row r="26059" spans="1:16" x14ac:dyDescent="0.25">
      <c r="A26059" t="s">
        <v>3296</v>
      </c>
      <c r="B26059" t="s">
        <v>2931</v>
      </c>
      <c r="C26059">
        <v>12359</v>
      </c>
      <c r="D26059" t="str">
        <f>"2281179     "</f>
        <v xml:space="preserve">2281179     </v>
      </c>
      <c r="E26059" t="s">
        <v>543</v>
      </c>
      <c r="F26059" t="s">
        <v>544</v>
      </c>
      <c r="G26059">
        <v>36.08</v>
      </c>
      <c r="H26059">
        <v>250908</v>
      </c>
      <c r="I26059">
        <v>4500</v>
      </c>
      <c r="J26059" t="s">
        <v>312</v>
      </c>
      <c r="K26059">
        <v>313.17</v>
      </c>
      <c r="L26059">
        <v>7.33</v>
      </c>
      <c r="M26059">
        <v>13502</v>
      </c>
      <c r="N26059" t="s">
        <v>302</v>
      </c>
      <c r="O26059">
        <v>250919</v>
      </c>
      <c r="P26059">
        <v>28.75</v>
      </c>
    </row>
    <row r="26060" spans="1:16" x14ac:dyDescent="0.25">
      <c r="A26060" t="s">
        <v>3296</v>
      </c>
      <c r="B26060" t="s">
        <v>2931</v>
      </c>
      <c r="C26060">
        <v>12359</v>
      </c>
      <c r="D26060" t="str">
        <f>"2281179     "</f>
        <v xml:space="preserve">2281179     </v>
      </c>
      <c r="E26060" t="s">
        <v>543</v>
      </c>
      <c r="F26060" t="s">
        <v>544</v>
      </c>
      <c r="G26060">
        <v>36.090000000000003</v>
      </c>
      <c r="H26060">
        <v>250908</v>
      </c>
      <c r="I26060">
        <v>4500</v>
      </c>
      <c r="J26060" t="s">
        <v>312</v>
      </c>
      <c r="K26060">
        <v>313.17</v>
      </c>
      <c r="L26060">
        <v>7.33</v>
      </c>
      <c r="M26060">
        <v>17538</v>
      </c>
      <c r="N26060" t="s">
        <v>129</v>
      </c>
      <c r="O26060">
        <v>250919</v>
      </c>
      <c r="P26060">
        <v>28.76</v>
      </c>
    </row>
    <row r="26061" spans="1:16" x14ac:dyDescent="0.25">
      <c r="A26061" t="s">
        <v>3296</v>
      </c>
      <c r="B26061" t="s">
        <v>2931</v>
      </c>
      <c r="C26061">
        <v>12367</v>
      </c>
      <c r="D26061" t="str">
        <f>"2281716     "</f>
        <v xml:space="preserve">2281716     </v>
      </c>
      <c r="E26061" t="s">
        <v>543</v>
      </c>
      <c r="F26061" t="s">
        <v>544</v>
      </c>
      <c r="G26061">
        <v>3.66</v>
      </c>
      <c r="H26061">
        <v>250909</v>
      </c>
      <c r="I26061">
        <v>4500</v>
      </c>
      <c r="J26061" t="s">
        <v>312</v>
      </c>
      <c r="K26061">
        <v>3.66</v>
      </c>
      <c r="L26061">
        <v>0.74</v>
      </c>
      <c r="M26061">
        <v>13401</v>
      </c>
      <c r="N26061" t="s">
        <v>10</v>
      </c>
      <c r="O26061">
        <v>250919</v>
      </c>
      <c r="P26061">
        <v>2.92</v>
      </c>
    </row>
    <row r="26062" spans="1:16" x14ac:dyDescent="0.25">
      <c r="A26062" t="s">
        <v>3296</v>
      </c>
      <c r="B26062" t="s">
        <v>2931</v>
      </c>
      <c r="C26062">
        <v>12370</v>
      </c>
      <c r="D26062" t="str">
        <f>"2281675     "</f>
        <v xml:space="preserve">2281675     </v>
      </c>
      <c r="E26062" t="s">
        <v>543</v>
      </c>
      <c r="F26062" t="s">
        <v>544</v>
      </c>
      <c r="G26062">
        <v>1.38</v>
      </c>
      <c r="H26062">
        <v>250909</v>
      </c>
      <c r="I26062">
        <v>4500</v>
      </c>
      <c r="J26062" t="s">
        <v>312</v>
      </c>
      <c r="K26062">
        <v>1.38</v>
      </c>
      <c r="L26062">
        <v>0.28000000000000003</v>
      </c>
      <c r="M26062">
        <v>59702</v>
      </c>
      <c r="N26062" t="s">
        <v>45</v>
      </c>
      <c r="O26062">
        <v>250919</v>
      </c>
      <c r="P26062">
        <v>1.1000000000000001</v>
      </c>
    </row>
    <row r="26063" spans="1:16" x14ac:dyDescent="0.25">
      <c r="A26063" t="s">
        <v>3296</v>
      </c>
      <c r="B26063" t="s">
        <v>2931</v>
      </c>
      <c r="C26063">
        <v>12417</v>
      </c>
      <c r="D26063" t="str">
        <f t="shared" ref="D26063:D26069" si="562">"2282926     "</f>
        <v xml:space="preserve">2282926     </v>
      </c>
      <c r="E26063" t="s">
        <v>543</v>
      </c>
      <c r="F26063" t="s">
        <v>544</v>
      </c>
      <c r="G26063">
        <v>18.29</v>
      </c>
      <c r="H26063">
        <v>250911</v>
      </c>
      <c r="I26063">
        <v>4500</v>
      </c>
      <c r="J26063" t="s">
        <v>312</v>
      </c>
      <c r="K26063">
        <v>687.76</v>
      </c>
      <c r="L26063">
        <v>3.72</v>
      </c>
      <c r="M26063">
        <v>17131</v>
      </c>
      <c r="N26063" t="s">
        <v>154</v>
      </c>
      <c r="O26063">
        <v>250919</v>
      </c>
      <c r="P26063">
        <v>14.57</v>
      </c>
    </row>
    <row r="26064" spans="1:16" x14ac:dyDescent="0.25">
      <c r="A26064" t="s">
        <v>3296</v>
      </c>
      <c r="B26064" t="s">
        <v>2931</v>
      </c>
      <c r="C26064">
        <v>12417</v>
      </c>
      <c r="D26064" t="str">
        <f t="shared" si="562"/>
        <v xml:space="preserve">2282926     </v>
      </c>
      <c r="E26064" t="s">
        <v>543</v>
      </c>
      <c r="F26064" t="s">
        <v>544</v>
      </c>
      <c r="G26064">
        <v>21.76</v>
      </c>
      <c r="H26064">
        <v>250911</v>
      </c>
      <c r="I26064">
        <v>4500</v>
      </c>
      <c r="J26064" t="s">
        <v>312</v>
      </c>
      <c r="K26064">
        <v>687.76</v>
      </c>
      <c r="L26064">
        <v>4.42</v>
      </c>
      <c r="M26064">
        <v>17131</v>
      </c>
      <c r="N26064" t="s">
        <v>154</v>
      </c>
      <c r="O26064">
        <v>250919</v>
      </c>
      <c r="P26064">
        <v>17.34</v>
      </c>
    </row>
    <row r="26065" spans="1:16" x14ac:dyDescent="0.25">
      <c r="A26065" t="s">
        <v>3296</v>
      </c>
      <c r="B26065" t="s">
        <v>2931</v>
      </c>
      <c r="C26065">
        <v>12417</v>
      </c>
      <c r="D26065" t="str">
        <f t="shared" si="562"/>
        <v xml:space="preserve">2282926     </v>
      </c>
      <c r="E26065" t="s">
        <v>543</v>
      </c>
      <c r="F26065" t="s">
        <v>544</v>
      </c>
      <c r="G26065">
        <v>166.71</v>
      </c>
      <c r="H26065">
        <v>250911</v>
      </c>
      <c r="I26065">
        <v>4500</v>
      </c>
      <c r="J26065" t="s">
        <v>312</v>
      </c>
      <c r="K26065">
        <v>687.76</v>
      </c>
      <c r="L26065">
        <v>33.869999999999997</v>
      </c>
      <c r="M26065">
        <v>17711</v>
      </c>
      <c r="N26065" t="s">
        <v>155</v>
      </c>
      <c r="O26065">
        <v>250919</v>
      </c>
      <c r="P26065">
        <v>132.84</v>
      </c>
    </row>
    <row r="26066" spans="1:16" x14ac:dyDescent="0.25">
      <c r="A26066" t="s">
        <v>3296</v>
      </c>
      <c r="B26066" t="s">
        <v>2931</v>
      </c>
      <c r="C26066">
        <v>12417</v>
      </c>
      <c r="D26066" t="str">
        <f t="shared" si="562"/>
        <v xml:space="preserve">2282926     </v>
      </c>
      <c r="E26066" t="s">
        <v>543</v>
      </c>
      <c r="F26066" t="s">
        <v>544</v>
      </c>
      <c r="G26066">
        <v>62.21</v>
      </c>
      <c r="H26066">
        <v>250911</v>
      </c>
      <c r="I26066">
        <v>4500</v>
      </c>
      <c r="J26066" t="s">
        <v>312</v>
      </c>
      <c r="K26066">
        <v>687.76</v>
      </c>
      <c r="L26066">
        <v>12.64</v>
      </c>
      <c r="M26066">
        <v>17912</v>
      </c>
      <c r="N26066" t="s">
        <v>505</v>
      </c>
      <c r="O26066">
        <v>250919</v>
      </c>
      <c r="P26066">
        <v>49.57</v>
      </c>
    </row>
    <row r="26067" spans="1:16" x14ac:dyDescent="0.25">
      <c r="A26067" t="s">
        <v>3296</v>
      </c>
      <c r="B26067" t="s">
        <v>2931</v>
      </c>
      <c r="C26067">
        <v>12417</v>
      </c>
      <c r="D26067" t="str">
        <f t="shared" si="562"/>
        <v xml:space="preserve">2282926     </v>
      </c>
      <c r="E26067" t="s">
        <v>543</v>
      </c>
      <c r="F26067" t="s">
        <v>544</v>
      </c>
      <c r="G26067">
        <v>29.99</v>
      </c>
      <c r="H26067">
        <v>250911</v>
      </c>
      <c r="I26067">
        <v>4500</v>
      </c>
      <c r="J26067" t="s">
        <v>312</v>
      </c>
      <c r="K26067">
        <v>687.76</v>
      </c>
      <c r="L26067">
        <v>6.09</v>
      </c>
      <c r="M26067">
        <v>17915</v>
      </c>
      <c r="N26067" t="s">
        <v>305</v>
      </c>
      <c r="O26067">
        <v>250919</v>
      </c>
      <c r="P26067">
        <v>23.9</v>
      </c>
    </row>
    <row r="26068" spans="1:16" x14ac:dyDescent="0.25">
      <c r="A26068" t="s">
        <v>3296</v>
      </c>
      <c r="B26068" t="s">
        <v>2931</v>
      </c>
      <c r="C26068">
        <v>12417</v>
      </c>
      <c r="D26068" t="str">
        <f t="shared" si="562"/>
        <v xml:space="preserve">2282926     </v>
      </c>
      <c r="E26068" t="s">
        <v>543</v>
      </c>
      <c r="F26068" t="s">
        <v>544</v>
      </c>
      <c r="G26068">
        <v>9.0399999999999991</v>
      </c>
      <c r="H26068">
        <v>250911</v>
      </c>
      <c r="I26068">
        <v>4500</v>
      </c>
      <c r="J26068" t="s">
        <v>312</v>
      </c>
      <c r="K26068">
        <v>687.76</v>
      </c>
      <c r="L26068">
        <v>1.84</v>
      </c>
      <c r="M26068">
        <v>17952</v>
      </c>
      <c r="N26068" t="s">
        <v>157</v>
      </c>
      <c r="O26068">
        <v>250919</v>
      </c>
      <c r="P26068">
        <v>7.2</v>
      </c>
    </row>
    <row r="26069" spans="1:16" x14ac:dyDescent="0.25">
      <c r="A26069" t="s">
        <v>3296</v>
      </c>
      <c r="B26069" t="s">
        <v>2931</v>
      </c>
      <c r="C26069">
        <v>12417</v>
      </c>
      <c r="D26069" t="str">
        <f t="shared" si="562"/>
        <v xml:space="preserve">2282926     </v>
      </c>
      <c r="E26069" t="s">
        <v>543</v>
      </c>
      <c r="F26069" t="s">
        <v>544</v>
      </c>
      <c r="G26069">
        <v>353.89</v>
      </c>
      <c r="H26069">
        <v>250911</v>
      </c>
      <c r="I26069">
        <v>4500</v>
      </c>
      <c r="J26069" t="s">
        <v>312</v>
      </c>
      <c r="K26069">
        <v>687.76</v>
      </c>
      <c r="L26069">
        <v>71.91</v>
      </c>
      <c r="M26069">
        <v>17971</v>
      </c>
      <c r="N26069" t="s">
        <v>27</v>
      </c>
      <c r="O26069">
        <v>250919</v>
      </c>
      <c r="P26069">
        <v>281.98</v>
      </c>
    </row>
    <row r="26070" spans="1:16" x14ac:dyDescent="0.25">
      <c r="A26070" t="s">
        <v>3296</v>
      </c>
      <c r="B26070" t="s">
        <v>2931</v>
      </c>
      <c r="C26070">
        <v>12418</v>
      </c>
      <c r="D26070" t="str">
        <f>"2282927     "</f>
        <v xml:space="preserve">2282927     </v>
      </c>
      <c r="E26070" t="s">
        <v>543</v>
      </c>
      <c r="F26070" t="s">
        <v>544</v>
      </c>
      <c r="G26070">
        <v>102.57</v>
      </c>
      <c r="H26070">
        <v>250911</v>
      </c>
      <c r="I26070">
        <v>4500</v>
      </c>
      <c r="J26070" t="s">
        <v>312</v>
      </c>
      <c r="K26070">
        <v>285.3</v>
      </c>
      <c r="L26070">
        <v>20.84</v>
      </c>
      <c r="M26070">
        <v>69702</v>
      </c>
      <c r="N26070" t="s">
        <v>124</v>
      </c>
      <c r="O26070">
        <v>250919</v>
      </c>
      <c r="P26070">
        <v>81.73</v>
      </c>
    </row>
    <row r="26071" spans="1:16" x14ac:dyDescent="0.25">
      <c r="A26071" t="s">
        <v>3296</v>
      </c>
      <c r="B26071" t="s">
        <v>2931</v>
      </c>
      <c r="C26071">
        <v>12420</v>
      </c>
      <c r="D26071" t="str">
        <f>"2282992     "</f>
        <v xml:space="preserve">2282992     </v>
      </c>
      <c r="E26071" t="s">
        <v>543</v>
      </c>
      <c r="F26071" t="s">
        <v>544</v>
      </c>
      <c r="G26071">
        <v>170.9</v>
      </c>
      <c r="H26071">
        <v>250911</v>
      </c>
      <c r="I26071">
        <v>4500</v>
      </c>
      <c r="J26071" t="s">
        <v>312</v>
      </c>
      <c r="K26071">
        <v>331.9</v>
      </c>
      <c r="L26071">
        <v>34.72</v>
      </c>
      <c r="M26071">
        <v>13861</v>
      </c>
      <c r="N26071" t="s">
        <v>604</v>
      </c>
      <c r="O26071">
        <v>250919</v>
      </c>
      <c r="P26071">
        <v>136.18</v>
      </c>
    </row>
    <row r="26072" spans="1:16" x14ac:dyDescent="0.25">
      <c r="A26072" t="s">
        <v>3296</v>
      </c>
      <c r="B26072" t="s">
        <v>2931</v>
      </c>
      <c r="C26072">
        <v>12967</v>
      </c>
      <c r="D26072" t="str">
        <f>"2282928     "</f>
        <v xml:space="preserve">2282928     </v>
      </c>
      <c r="E26072" t="s">
        <v>543</v>
      </c>
      <c r="F26072" t="s">
        <v>544</v>
      </c>
      <c r="G26072">
        <v>155.85</v>
      </c>
      <c r="H26072">
        <v>250911</v>
      </c>
      <c r="I26072">
        <v>4500</v>
      </c>
      <c r="J26072" t="s">
        <v>312</v>
      </c>
      <c r="K26072">
        <v>179.98</v>
      </c>
      <c r="L26072">
        <v>31.67</v>
      </c>
      <c r="M26072">
        <v>14121</v>
      </c>
      <c r="N26072" t="s">
        <v>71</v>
      </c>
      <c r="O26072">
        <v>251003</v>
      </c>
      <c r="P26072">
        <v>124.18</v>
      </c>
    </row>
    <row r="26073" spans="1:16" x14ac:dyDescent="0.25">
      <c r="A26073" t="s">
        <v>3296</v>
      </c>
      <c r="B26073" t="s">
        <v>2931</v>
      </c>
      <c r="C26073">
        <v>12967</v>
      </c>
      <c r="D26073" t="str">
        <f>"2282928     "</f>
        <v xml:space="preserve">2282928     </v>
      </c>
      <c r="E26073" t="s">
        <v>543</v>
      </c>
      <c r="F26073" t="s">
        <v>544</v>
      </c>
      <c r="G26073">
        <v>18.829999999999998</v>
      </c>
      <c r="H26073">
        <v>250911</v>
      </c>
      <c r="I26073">
        <v>4500</v>
      </c>
      <c r="J26073" t="s">
        <v>312</v>
      </c>
      <c r="K26073">
        <v>179.98</v>
      </c>
      <c r="L26073">
        <v>3.83</v>
      </c>
      <c r="M26073">
        <v>14422</v>
      </c>
      <c r="N26073" t="s">
        <v>73</v>
      </c>
      <c r="O26073">
        <v>251003</v>
      </c>
      <c r="P26073">
        <v>15</v>
      </c>
    </row>
    <row r="26074" spans="1:16" x14ac:dyDescent="0.25">
      <c r="A26074" t="s">
        <v>3296</v>
      </c>
      <c r="B26074" t="s">
        <v>2931</v>
      </c>
      <c r="C26074">
        <v>12967</v>
      </c>
      <c r="D26074" t="str">
        <f>"2282928     "</f>
        <v xml:space="preserve">2282928     </v>
      </c>
      <c r="E26074" t="s">
        <v>543</v>
      </c>
      <c r="F26074" t="s">
        <v>544</v>
      </c>
      <c r="G26074">
        <v>5.3</v>
      </c>
      <c r="H26074">
        <v>250911</v>
      </c>
      <c r="I26074">
        <v>4500</v>
      </c>
      <c r="J26074" t="s">
        <v>312</v>
      </c>
      <c r="K26074">
        <v>179.98</v>
      </c>
      <c r="L26074">
        <v>1.08</v>
      </c>
      <c r="M26074">
        <v>14640</v>
      </c>
      <c r="N26074" t="s">
        <v>78</v>
      </c>
      <c r="O26074">
        <v>251003</v>
      </c>
      <c r="P26074">
        <v>4.22</v>
      </c>
    </row>
    <row r="26075" spans="1:16" x14ac:dyDescent="0.25">
      <c r="A26075" t="s">
        <v>3296</v>
      </c>
      <c r="B26075" t="s">
        <v>2931</v>
      </c>
      <c r="C26075">
        <v>13047</v>
      </c>
      <c r="D26075" t="str">
        <f>"2288726     "</f>
        <v xml:space="preserve">2288726     </v>
      </c>
      <c r="E26075" t="s">
        <v>543</v>
      </c>
      <c r="F26075" t="s">
        <v>544</v>
      </c>
      <c r="G26075">
        <v>206.19</v>
      </c>
      <c r="H26075">
        <v>250929</v>
      </c>
      <c r="I26075">
        <v>4500</v>
      </c>
      <c r="J26075" t="s">
        <v>312</v>
      </c>
      <c r="K26075">
        <v>500.56</v>
      </c>
      <c r="L26075">
        <v>41.9</v>
      </c>
      <c r="M26075">
        <v>14432</v>
      </c>
      <c r="N26075" t="s">
        <v>75</v>
      </c>
      <c r="O26075">
        <v>251003</v>
      </c>
      <c r="P26075">
        <v>164.29</v>
      </c>
    </row>
    <row r="26076" spans="1:16" x14ac:dyDescent="0.25">
      <c r="A26076" t="s">
        <v>3296</v>
      </c>
      <c r="B26076" t="s">
        <v>2931</v>
      </c>
      <c r="C26076">
        <v>13047</v>
      </c>
      <c r="D26076" t="str">
        <f>"2288726     "</f>
        <v xml:space="preserve">2288726     </v>
      </c>
      <c r="E26076" t="s">
        <v>543</v>
      </c>
      <c r="F26076" t="s">
        <v>544</v>
      </c>
      <c r="G26076">
        <v>290.3</v>
      </c>
      <c r="H26076">
        <v>250929</v>
      </c>
      <c r="I26076">
        <v>4500</v>
      </c>
      <c r="J26076" t="s">
        <v>312</v>
      </c>
      <c r="K26076">
        <v>500.56</v>
      </c>
      <c r="L26076">
        <v>58.99</v>
      </c>
      <c r="M26076">
        <v>14622</v>
      </c>
      <c r="N26076" t="s">
        <v>77</v>
      </c>
      <c r="O26076">
        <v>251003</v>
      </c>
      <c r="P26076">
        <v>231.31</v>
      </c>
    </row>
    <row r="26077" spans="1:16" x14ac:dyDescent="0.25">
      <c r="A26077" t="s">
        <v>3296</v>
      </c>
      <c r="B26077" t="s">
        <v>2931</v>
      </c>
      <c r="C26077">
        <v>13047</v>
      </c>
      <c r="D26077" t="str">
        <f>"2288726     "</f>
        <v xml:space="preserve">2288726     </v>
      </c>
      <c r="E26077" t="s">
        <v>543</v>
      </c>
      <c r="F26077" t="s">
        <v>544</v>
      </c>
      <c r="G26077">
        <v>4.07</v>
      </c>
      <c r="H26077">
        <v>250929</v>
      </c>
      <c r="I26077">
        <v>4500</v>
      </c>
      <c r="J26077" t="s">
        <v>312</v>
      </c>
      <c r="K26077">
        <v>500.56</v>
      </c>
      <c r="L26077">
        <v>0.83</v>
      </c>
      <c r="M26077">
        <v>14990</v>
      </c>
      <c r="N26077" t="s">
        <v>85</v>
      </c>
      <c r="O26077">
        <v>251003</v>
      </c>
      <c r="P26077">
        <v>3.24</v>
      </c>
    </row>
    <row r="26078" spans="1:16" x14ac:dyDescent="0.25">
      <c r="A26078" t="s">
        <v>3296</v>
      </c>
      <c r="B26078" t="s">
        <v>2931</v>
      </c>
      <c r="C26078">
        <v>13049</v>
      </c>
      <c r="D26078" t="str">
        <f>"2290989     "</f>
        <v xml:space="preserve">2290989     </v>
      </c>
      <c r="E26078" t="s">
        <v>543</v>
      </c>
      <c r="F26078" t="s">
        <v>544</v>
      </c>
      <c r="G26078">
        <v>75.47</v>
      </c>
      <c r="H26078">
        <v>250930</v>
      </c>
      <c r="I26078">
        <v>4500</v>
      </c>
      <c r="J26078" t="s">
        <v>312</v>
      </c>
      <c r="K26078">
        <v>88.01</v>
      </c>
      <c r="L26078">
        <v>15.33</v>
      </c>
      <c r="M26078">
        <v>14121</v>
      </c>
      <c r="N26078" t="s">
        <v>71</v>
      </c>
      <c r="O26078">
        <v>251003</v>
      </c>
      <c r="P26078">
        <v>60.14</v>
      </c>
    </row>
    <row r="26079" spans="1:16" x14ac:dyDescent="0.25">
      <c r="A26079" t="s">
        <v>3296</v>
      </c>
      <c r="B26079" t="s">
        <v>2931</v>
      </c>
      <c r="C26079">
        <v>13049</v>
      </c>
      <c r="D26079" t="str">
        <f>"2290989     "</f>
        <v xml:space="preserve">2290989     </v>
      </c>
      <c r="E26079" t="s">
        <v>543</v>
      </c>
      <c r="F26079" t="s">
        <v>544</v>
      </c>
      <c r="G26079">
        <v>12.54</v>
      </c>
      <c r="H26079">
        <v>250930</v>
      </c>
      <c r="I26079">
        <v>4500</v>
      </c>
      <c r="J26079" t="s">
        <v>312</v>
      </c>
      <c r="K26079">
        <v>88.01</v>
      </c>
      <c r="L26079">
        <v>2.5499999999999998</v>
      </c>
      <c r="M26079">
        <v>14990</v>
      </c>
      <c r="N26079" t="s">
        <v>85</v>
      </c>
      <c r="O26079">
        <v>251003</v>
      </c>
      <c r="P26079">
        <v>9.99</v>
      </c>
    </row>
    <row r="26080" spans="1:16" x14ac:dyDescent="0.25">
      <c r="A26080" t="s">
        <v>3296</v>
      </c>
      <c r="B26080" t="s">
        <v>2931</v>
      </c>
      <c r="C26080">
        <v>13066</v>
      </c>
      <c r="D26080" t="str">
        <f>"2292415     "</f>
        <v xml:space="preserve">2292415     </v>
      </c>
      <c r="E26080" t="s">
        <v>543</v>
      </c>
      <c r="F26080" t="s">
        <v>544</v>
      </c>
      <c r="G26080">
        <v>31.29</v>
      </c>
      <c r="H26080">
        <v>251002</v>
      </c>
      <c r="I26080">
        <v>4500</v>
      </c>
      <c r="J26080" t="s">
        <v>312</v>
      </c>
      <c r="K26080">
        <v>310.69</v>
      </c>
      <c r="L26080">
        <v>6.36</v>
      </c>
      <c r="M26080">
        <v>14422</v>
      </c>
      <c r="N26080" t="s">
        <v>73</v>
      </c>
      <c r="O26080">
        <v>251003</v>
      </c>
      <c r="P26080">
        <v>24.93</v>
      </c>
    </row>
    <row r="26081" spans="1:16" x14ac:dyDescent="0.25">
      <c r="A26081" t="s">
        <v>3296</v>
      </c>
      <c r="B26081" t="s">
        <v>2931</v>
      </c>
      <c r="C26081">
        <v>13858</v>
      </c>
      <c r="D26081" t="str">
        <f t="shared" ref="D26081:D26092" si="563">"2293942     "</f>
        <v xml:space="preserve">2293942     </v>
      </c>
      <c r="E26081" t="s">
        <v>543</v>
      </c>
      <c r="F26081" t="s">
        <v>544</v>
      </c>
      <c r="G26081">
        <v>48.29</v>
      </c>
      <c r="H26081">
        <v>251007</v>
      </c>
      <c r="I26081">
        <v>4500</v>
      </c>
      <c r="J26081" t="s">
        <v>312</v>
      </c>
      <c r="K26081">
        <v>918.77</v>
      </c>
      <c r="L26081">
        <v>9.81</v>
      </c>
      <c r="M26081">
        <v>41126</v>
      </c>
      <c r="N26081" t="s">
        <v>94</v>
      </c>
      <c r="O26081">
        <v>251020</v>
      </c>
      <c r="P26081">
        <v>38.479999999999997</v>
      </c>
    </row>
    <row r="26082" spans="1:16" x14ac:dyDescent="0.25">
      <c r="A26082" t="s">
        <v>3296</v>
      </c>
      <c r="B26082" t="s">
        <v>2931</v>
      </c>
      <c r="C26082">
        <v>13858</v>
      </c>
      <c r="D26082" t="str">
        <f t="shared" si="563"/>
        <v xml:space="preserve">2293942     </v>
      </c>
      <c r="E26082" t="s">
        <v>543</v>
      </c>
      <c r="F26082" t="s">
        <v>544</v>
      </c>
      <c r="G26082">
        <v>12.85</v>
      </c>
      <c r="H26082">
        <v>251007</v>
      </c>
      <c r="I26082">
        <v>4500</v>
      </c>
      <c r="J26082" t="s">
        <v>312</v>
      </c>
      <c r="K26082">
        <v>918.77</v>
      </c>
      <c r="L26082">
        <v>2.61</v>
      </c>
      <c r="M26082">
        <v>44222</v>
      </c>
      <c r="N26082" t="s">
        <v>96</v>
      </c>
      <c r="O26082">
        <v>251020</v>
      </c>
      <c r="P26082">
        <v>10.24</v>
      </c>
    </row>
    <row r="26083" spans="1:16" x14ac:dyDescent="0.25">
      <c r="A26083" t="s">
        <v>3296</v>
      </c>
      <c r="B26083" t="s">
        <v>2931</v>
      </c>
      <c r="C26083">
        <v>13858</v>
      </c>
      <c r="D26083" t="str">
        <f t="shared" si="563"/>
        <v xml:space="preserve">2293942     </v>
      </c>
      <c r="E26083" t="s">
        <v>543</v>
      </c>
      <c r="F26083" t="s">
        <v>544</v>
      </c>
      <c r="G26083">
        <v>11.03</v>
      </c>
      <c r="H26083">
        <v>251007</v>
      </c>
      <c r="I26083">
        <v>4500</v>
      </c>
      <c r="J26083" t="s">
        <v>312</v>
      </c>
      <c r="K26083">
        <v>918.77</v>
      </c>
      <c r="L26083">
        <v>2.2400000000000002</v>
      </c>
      <c r="M26083">
        <v>46222</v>
      </c>
      <c r="N26083" t="s">
        <v>101</v>
      </c>
      <c r="O26083">
        <v>251020</v>
      </c>
      <c r="P26083">
        <v>8.7899999999999991</v>
      </c>
    </row>
    <row r="26084" spans="1:16" x14ac:dyDescent="0.25">
      <c r="A26084" t="s">
        <v>3296</v>
      </c>
      <c r="B26084" t="s">
        <v>2931</v>
      </c>
      <c r="C26084">
        <v>13858</v>
      </c>
      <c r="D26084" t="str">
        <f t="shared" si="563"/>
        <v xml:space="preserve">2293942     </v>
      </c>
      <c r="E26084" t="s">
        <v>543</v>
      </c>
      <c r="F26084" t="s">
        <v>544</v>
      </c>
      <c r="G26084">
        <v>34.33</v>
      </c>
      <c r="H26084">
        <v>251007</v>
      </c>
      <c r="I26084">
        <v>4500</v>
      </c>
      <c r="J26084" t="s">
        <v>312</v>
      </c>
      <c r="K26084">
        <v>918.77</v>
      </c>
      <c r="L26084">
        <v>6.98</v>
      </c>
      <c r="M26084">
        <v>46555</v>
      </c>
      <c r="N26084" t="s">
        <v>103</v>
      </c>
      <c r="O26084">
        <v>251020</v>
      </c>
      <c r="P26084">
        <v>27.35</v>
      </c>
    </row>
    <row r="26085" spans="1:16" x14ac:dyDescent="0.25">
      <c r="A26085" t="s">
        <v>3296</v>
      </c>
      <c r="B26085" t="s">
        <v>2931</v>
      </c>
      <c r="C26085">
        <v>13858</v>
      </c>
      <c r="D26085" t="str">
        <f t="shared" si="563"/>
        <v xml:space="preserve">2293942     </v>
      </c>
      <c r="E26085" t="s">
        <v>543</v>
      </c>
      <c r="F26085" t="s">
        <v>544</v>
      </c>
      <c r="G26085">
        <v>76.989999999999995</v>
      </c>
      <c r="H26085">
        <v>251007</v>
      </c>
      <c r="I26085">
        <v>4500</v>
      </c>
      <c r="J26085" t="s">
        <v>312</v>
      </c>
      <c r="K26085">
        <v>918.77</v>
      </c>
      <c r="L26085">
        <v>15.64</v>
      </c>
      <c r="M26085">
        <v>46556</v>
      </c>
      <c r="N26085" t="s">
        <v>458</v>
      </c>
      <c r="O26085">
        <v>251020</v>
      </c>
      <c r="P26085">
        <v>61.35</v>
      </c>
    </row>
    <row r="26086" spans="1:16" x14ac:dyDescent="0.25">
      <c r="A26086" t="s">
        <v>3296</v>
      </c>
      <c r="B26086" t="s">
        <v>2931</v>
      </c>
      <c r="C26086">
        <v>13858</v>
      </c>
      <c r="D26086" t="str">
        <f t="shared" si="563"/>
        <v xml:space="preserve">2293942     </v>
      </c>
      <c r="E26086" t="s">
        <v>543</v>
      </c>
      <c r="F26086" t="s">
        <v>544</v>
      </c>
      <c r="G26086">
        <v>20.190000000000001</v>
      </c>
      <c r="H26086">
        <v>251007</v>
      </c>
      <c r="I26086">
        <v>4500</v>
      </c>
      <c r="J26086" t="s">
        <v>312</v>
      </c>
      <c r="K26086">
        <v>918.77</v>
      </c>
      <c r="L26086">
        <v>4.0999999999999996</v>
      </c>
      <c r="M26086">
        <v>47522</v>
      </c>
      <c r="N26086" t="s">
        <v>106</v>
      </c>
      <c r="O26086">
        <v>251020</v>
      </c>
      <c r="P26086">
        <v>16.09</v>
      </c>
    </row>
    <row r="26087" spans="1:16" x14ac:dyDescent="0.25">
      <c r="A26087" t="s">
        <v>3296</v>
      </c>
      <c r="B26087" t="s">
        <v>2931</v>
      </c>
      <c r="C26087">
        <v>13858</v>
      </c>
      <c r="D26087" t="str">
        <f t="shared" si="563"/>
        <v xml:space="preserve">2293942     </v>
      </c>
      <c r="E26087" t="s">
        <v>543</v>
      </c>
      <c r="F26087" t="s">
        <v>544</v>
      </c>
      <c r="G26087">
        <v>44</v>
      </c>
      <c r="H26087">
        <v>251007</v>
      </c>
      <c r="I26087">
        <v>4500</v>
      </c>
      <c r="J26087" t="s">
        <v>312</v>
      </c>
      <c r="K26087">
        <v>918.77</v>
      </c>
      <c r="L26087">
        <v>8.94</v>
      </c>
      <c r="M26087">
        <v>49112</v>
      </c>
      <c r="N26087" t="s">
        <v>109</v>
      </c>
      <c r="O26087">
        <v>251020</v>
      </c>
      <c r="P26087">
        <v>35.06</v>
      </c>
    </row>
    <row r="26088" spans="1:16" x14ac:dyDescent="0.25">
      <c r="A26088" t="s">
        <v>3296</v>
      </c>
      <c r="B26088" t="s">
        <v>2931</v>
      </c>
      <c r="C26088">
        <v>13858</v>
      </c>
      <c r="D26088" t="str">
        <f t="shared" si="563"/>
        <v xml:space="preserve">2293942     </v>
      </c>
      <c r="E26088" t="s">
        <v>543</v>
      </c>
      <c r="F26088" t="s">
        <v>544</v>
      </c>
      <c r="G26088">
        <v>172.26</v>
      </c>
      <c r="H26088">
        <v>251007</v>
      </c>
      <c r="I26088">
        <v>4500</v>
      </c>
      <c r="J26088" t="s">
        <v>312</v>
      </c>
      <c r="K26088">
        <v>918.77</v>
      </c>
      <c r="L26088">
        <v>35</v>
      </c>
      <c r="M26088">
        <v>49501</v>
      </c>
      <c r="N26088" t="s">
        <v>110</v>
      </c>
      <c r="O26088">
        <v>251020</v>
      </c>
      <c r="P26088">
        <v>137.26</v>
      </c>
    </row>
    <row r="26089" spans="1:16" x14ac:dyDescent="0.25">
      <c r="A26089" t="s">
        <v>3296</v>
      </c>
      <c r="B26089" t="s">
        <v>2931</v>
      </c>
      <c r="C26089">
        <v>13858</v>
      </c>
      <c r="D26089" t="str">
        <f t="shared" si="563"/>
        <v xml:space="preserve">2293942     </v>
      </c>
      <c r="E26089" t="s">
        <v>543</v>
      </c>
      <c r="F26089" t="s">
        <v>544</v>
      </c>
      <c r="G26089">
        <v>86.12</v>
      </c>
      <c r="H26089">
        <v>251007</v>
      </c>
      <c r="I26089">
        <v>4500</v>
      </c>
      <c r="J26089" t="s">
        <v>312</v>
      </c>
      <c r="K26089">
        <v>918.77</v>
      </c>
      <c r="L26089">
        <v>17.5</v>
      </c>
      <c r="M26089">
        <v>49701</v>
      </c>
      <c r="N26089" t="s">
        <v>111</v>
      </c>
      <c r="O26089">
        <v>251020</v>
      </c>
      <c r="P26089">
        <v>68.62</v>
      </c>
    </row>
    <row r="26090" spans="1:16" x14ac:dyDescent="0.25">
      <c r="A26090" t="s">
        <v>3296</v>
      </c>
      <c r="B26090" t="s">
        <v>2931</v>
      </c>
      <c r="C26090">
        <v>13858</v>
      </c>
      <c r="D26090" t="str">
        <f t="shared" si="563"/>
        <v xml:space="preserve">2293942     </v>
      </c>
      <c r="E26090" t="s">
        <v>543</v>
      </c>
      <c r="F26090" t="s">
        <v>544</v>
      </c>
      <c r="G26090">
        <v>288.27</v>
      </c>
      <c r="H26090">
        <v>251007</v>
      </c>
      <c r="I26090">
        <v>4500</v>
      </c>
      <c r="J26090" t="s">
        <v>312</v>
      </c>
      <c r="K26090">
        <v>918.77</v>
      </c>
      <c r="L26090">
        <v>58.57</v>
      </c>
      <c r="M26090">
        <v>49702</v>
      </c>
      <c r="N26090" t="s">
        <v>112</v>
      </c>
      <c r="O26090">
        <v>251020</v>
      </c>
      <c r="P26090">
        <v>229.7</v>
      </c>
    </row>
    <row r="26091" spans="1:16" x14ac:dyDescent="0.25">
      <c r="A26091" t="s">
        <v>3296</v>
      </c>
      <c r="B26091" t="s">
        <v>2931</v>
      </c>
      <c r="C26091">
        <v>13858</v>
      </c>
      <c r="D26091" t="str">
        <f t="shared" si="563"/>
        <v xml:space="preserve">2293942     </v>
      </c>
      <c r="E26091" t="s">
        <v>543</v>
      </c>
      <c r="F26091" t="s">
        <v>544</v>
      </c>
      <c r="G26091">
        <v>76.83</v>
      </c>
      <c r="H26091">
        <v>251007</v>
      </c>
      <c r="I26091">
        <v>4500</v>
      </c>
      <c r="J26091" t="s">
        <v>312</v>
      </c>
      <c r="K26091">
        <v>918.77</v>
      </c>
      <c r="L26091">
        <v>15.61</v>
      </c>
      <c r="M26091">
        <v>49704</v>
      </c>
      <c r="N26091" t="s">
        <v>113</v>
      </c>
      <c r="O26091">
        <v>251020</v>
      </c>
      <c r="P26091">
        <v>61.22</v>
      </c>
    </row>
    <row r="26092" spans="1:16" x14ac:dyDescent="0.25">
      <c r="A26092" t="s">
        <v>3296</v>
      </c>
      <c r="B26092" t="s">
        <v>2931</v>
      </c>
      <c r="C26092">
        <v>13858</v>
      </c>
      <c r="D26092" t="str">
        <f t="shared" si="563"/>
        <v xml:space="preserve">2293942     </v>
      </c>
      <c r="E26092" t="s">
        <v>543</v>
      </c>
      <c r="F26092" t="s">
        <v>544</v>
      </c>
      <c r="G26092">
        <v>47.61</v>
      </c>
      <c r="H26092">
        <v>251007</v>
      </c>
      <c r="I26092">
        <v>4500</v>
      </c>
      <c r="J26092" t="s">
        <v>312</v>
      </c>
      <c r="K26092">
        <v>918.77</v>
      </c>
      <c r="L26092">
        <v>9.67</v>
      </c>
      <c r="M26092">
        <v>49705</v>
      </c>
      <c r="N26092" t="s">
        <v>114</v>
      </c>
      <c r="O26092">
        <v>251020</v>
      </c>
      <c r="P26092">
        <v>37.94</v>
      </c>
    </row>
    <row r="26093" spans="1:16" x14ac:dyDescent="0.25">
      <c r="A26093" t="s">
        <v>3296</v>
      </c>
      <c r="B26093" t="s">
        <v>2931</v>
      </c>
      <c r="C26093">
        <v>13925</v>
      </c>
      <c r="D26093" t="str">
        <f>"2295709     "</f>
        <v xml:space="preserve">2295709     </v>
      </c>
      <c r="E26093" t="s">
        <v>543</v>
      </c>
      <c r="F26093" t="s">
        <v>544</v>
      </c>
      <c r="G26093">
        <v>191.58</v>
      </c>
      <c r="H26093">
        <v>251013</v>
      </c>
      <c r="I26093">
        <v>4500</v>
      </c>
      <c r="J26093" t="s">
        <v>312</v>
      </c>
      <c r="K26093">
        <v>201.32</v>
      </c>
      <c r="L26093">
        <v>38.93</v>
      </c>
      <c r="M26093">
        <v>14321</v>
      </c>
      <c r="N26093" t="s">
        <v>72</v>
      </c>
      <c r="O26093">
        <v>251020</v>
      </c>
      <c r="P26093">
        <v>152.65</v>
      </c>
    </row>
    <row r="26094" spans="1:16" x14ac:dyDescent="0.25">
      <c r="A26094" t="s">
        <v>3296</v>
      </c>
      <c r="B26094" t="s">
        <v>2931</v>
      </c>
      <c r="C26094">
        <v>13925</v>
      </c>
      <c r="D26094" t="str">
        <f>"2295709     "</f>
        <v xml:space="preserve">2295709     </v>
      </c>
      <c r="E26094" t="s">
        <v>543</v>
      </c>
      <c r="F26094" t="s">
        <v>544</v>
      </c>
      <c r="G26094">
        <v>9.74</v>
      </c>
      <c r="H26094">
        <v>251013</v>
      </c>
      <c r="I26094">
        <v>4500</v>
      </c>
      <c r="J26094" t="s">
        <v>312</v>
      </c>
      <c r="K26094">
        <v>201.32</v>
      </c>
      <c r="L26094">
        <v>1.98</v>
      </c>
      <c r="M26094">
        <v>14971</v>
      </c>
      <c r="N26094" t="s">
        <v>81</v>
      </c>
      <c r="O26094">
        <v>251020</v>
      </c>
      <c r="P26094">
        <v>7.76</v>
      </c>
    </row>
    <row r="26095" spans="1:16" x14ac:dyDescent="0.25">
      <c r="A26095" t="s">
        <v>3296</v>
      </c>
      <c r="B26095" t="s">
        <v>2931</v>
      </c>
      <c r="C26095">
        <v>14008</v>
      </c>
      <c r="D26095" t="str">
        <f>"2294858     "</f>
        <v xml:space="preserve">2294858     </v>
      </c>
      <c r="E26095" t="s">
        <v>543</v>
      </c>
      <c r="F26095" t="s">
        <v>544</v>
      </c>
      <c r="G26095">
        <v>16.72</v>
      </c>
      <c r="H26095">
        <v>251009</v>
      </c>
      <c r="I26095">
        <v>4500</v>
      </c>
      <c r="J26095" t="s">
        <v>312</v>
      </c>
      <c r="K26095">
        <v>179.07</v>
      </c>
      <c r="L26095">
        <v>3.4</v>
      </c>
      <c r="M26095">
        <v>49702</v>
      </c>
      <c r="N26095" t="s">
        <v>112</v>
      </c>
      <c r="O26095">
        <v>251021</v>
      </c>
      <c r="P26095">
        <v>13.32</v>
      </c>
    </row>
    <row r="26096" spans="1:16" x14ac:dyDescent="0.25">
      <c r="A26096" t="s">
        <v>3296</v>
      </c>
      <c r="B26096" t="s">
        <v>2931</v>
      </c>
      <c r="C26096">
        <v>14244</v>
      </c>
      <c r="D26096" t="str">
        <f>"2299303     "</f>
        <v xml:space="preserve">2299303     </v>
      </c>
      <c r="E26096" t="s">
        <v>543</v>
      </c>
      <c r="F26096" t="s">
        <v>544</v>
      </c>
      <c r="G26096">
        <v>62.74</v>
      </c>
      <c r="H26096">
        <v>251023</v>
      </c>
      <c r="I26096">
        <v>4500</v>
      </c>
      <c r="J26096" t="s">
        <v>312</v>
      </c>
      <c r="K26096">
        <v>207.04</v>
      </c>
      <c r="L26096">
        <v>12.75</v>
      </c>
      <c r="M26096">
        <v>66754</v>
      </c>
      <c r="N26096" t="s">
        <v>119</v>
      </c>
      <c r="O26096">
        <v>251027</v>
      </c>
      <c r="P26096">
        <v>49.99</v>
      </c>
    </row>
    <row r="26097" spans="1:16" x14ac:dyDescent="0.25">
      <c r="A26097" t="s">
        <v>3296</v>
      </c>
      <c r="B26097" t="s">
        <v>2931</v>
      </c>
      <c r="C26097">
        <v>14244</v>
      </c>
      <c r="D26097" t="str">
        <f>"2299303     "</f>
        <v xml:space="preserve">2299303     </v>
      </c>
      <c r="E26097" t="s">
        <v>543</v>
      </c>
      <c r="F26097" t="s">
        <v>544</v>
      </c>
      <c r="G26097">
        <v>11.61</v>
      </c>
      <c r="H26097">
        <v>251023</v>
      </c>
      <c r="I26097">
        <v>4500</v>
      </c>
      <c r="J26097" t="s">
        <v>312</v>
      </c>
      <c r="K26097">
        <v>207.04</v>
      </c>
      <c r="L26097">
        <v>2.36</v>
      </c>
      <c r="M26097">
        <v>69501</v>
      </c>
      <c r="N26097" t="s">
        <v>123</v>
      </c>
      <c r="O26097">
        <v>251027</v>
      </c>
      <c r="P26097">
        <v>9.25</v>
      </c>
    </row>
    <row r="26098" spans="1:16" x14ac:dyDescent="0.25">
      <c r="A26098" t="s">
        <v>3296</v>
      </c>
      <c r="B26098" t="s">
        <v>2931</v>
      </c>
      <c r="C26098">
        <v>14244</v>
      </c>
      <c r="D26098" t="str">
        <f>"2299303     "</f>
        <v xml:space="preserve">2299303     </v>
      </c>
      <c r="E26098" t="s">
        <v>543</v>
      </c>
      <c r="F26098" t="s">
        <v>544</v>
      </c>
      <c r="G26098">
        <v>103.75</v>
      </c>
      <c r="H26098">
        <v>251023</v>
      </c>
      <c r="I26098">
        <v>4500</v>
      </c>
      <c r="J26098" t="s">
        <v>312</v>
      </c>
      <c r="K26098">
        <v>207.04</v>
      </c>
      <c r="L26098">
        <v>21.08</v>
      </c>
      <c r="M26098">
        <v>69702</v>
      </c>
      <c r="N26098" t="s">
        <v>124</v>
      </c>
      <c r="O26098">
        <v>251027</v>
      </c>
      <c r="P26098">
        <v>82.67</v>
      </c>
    </row>
    <row r="26099" spans="1:16" x14ac:dyDescent="0.25">
      <c r="A26099" t="s">
        <v>3296</v>
      </c>
      <c r="B26099" t="s">
        <v>2931</v>
      </c>
      <c r="C26099">
        <v>14244</v>
      </c>
      <c r="D26099" t="str">
        <f>"2299303     "</f>
        <v xml:space="preserve">2299303     </v>
      </c>
      <c r="E26099" t="s">
        <v>543</v>
      </c>
      <c r="F26099" t="s">
        <v>544</v>
      </c>
      <c r="G26099">
        <v>28.94</v>
      </c>
      <c r="H26099">
        <v>251023</v>
      </c>
      <c r="I26099">
        <v>4500</v>
      </c>
      <c r="J26099" t="s">
        <v>312</v>
      </c>
      <c r="K26099">
        <v>207.04</v>
      </c>
      <c r="L26099">
        <v>5.88</v>
      </c>
      <c r="M26099">
        <v>69704</v>
      </c>
      <c r="N26099" t="s">
        <v>89</v>
      </c>
      <c r="O26099">
        <v>251027</v>
      </c>
      <c r="P26099">
        <v>23.06</v>
      </c>
    </row>
    <row r="26100" spans="1:16" x14ac:dyDescent="0.25">
      <c r="A26100" t="s">
        <v>3296</v>
      </c>
      <c r="B26100" t="s">
        <v>2931</v>
      </c>
      <c r="C26100">
        <v>14410</v>
      </c>
      <c r="D26100" t="str">
        <f>"2299677     "</f>
        <v xml:space="preserve">2299677     </v>
      </c>
      <c r="E26100" t="s">
        <v>543</v>
      </c>
      <c r="F26100" t="s">
        <v>544</v>
      </c>
      <c r="G26100">
        <v>26.77</v>
      </c>
      <c r="H26100">
        <v>251024</v>
      </c>
      <c r="I26100">
        <v>4500</v>
      </c>
      <c r="J26100" t="s">
        <v>312</v>
      </c>
      <c r="K26100">
        <v>118.66</v>
      </c>
      <c r="L26100">
        <v>5.44</v>
      </c>
      <c r="M26100">
        <v>56566</v>
      </c>
      <c r="N26100" t="s">
        <v>58</v>
      </c>
      <c r="O26100">
        <v>251031</v>
      </c>
      <c r="P26100">
        <v>21.33</v>
      </c>
    </row>
    <row r="26101" spans="1:16" x14ac:dyDescent="0.25">
      <c r="A26101" t="s">
        <v>3296</v>
      </c>
      <c r="B26101" t="s">
        <v>2931</v>
      </c>
      <c r="C26101">
        <v>14410</v>
      </c>
      <c r="D26101" t="str">
        <f>"2299677     "</f>
        <v xml:space="preserve">2299677     </v>
      </c>
      <c r="E26101" t="s">
        <v>543</v>
      </c>
      <c r="F26101" t="s">
        <v>544</v>
      </c>
      <c r="G26101">
        <v>91.89</v>
      </c>
      <c r="H26101">
        <v>251024</v>
      </c>
      <c r="I26101">
        <v>4500</v>
      </c>
      <c r="J26101" t="s">
        <v>312</v>
      </c>
      <c r="K26101">
        <v>118.66</v>
      </c>
      <c r="L26101">
        <v>18.670000000000002</v>
      </c>
      <c r="M26101">
        <v>59702</v>
      </c>
      <c r="N26101" t="s">
        <v>45</v>
      </c>
      <c r="O26101">
        <v>251031</v>
      </c>
      <c r="P26101">
        <v>73.22</v>
      </c>
    </row>
    <row r="26102" spans="1:16" x14ac:dyDescent="0.25">
      <c r="A26102" t="s">
        <v>3296</v>
      </c>
      <c r="B26102" t="s">
        <v>2931</v>
      </c>
      <c r="C26102">
        <v>14411</v>
      </c>
      <c r="D26102" t="str">
        <f>"2299305     "</f>
        <v xml:space="preserve">2299305     </v>
      </c>
      <c r="E26102" t="s">
        <v>543</v>
      </c>
      <c r="F26102" t="s">
        <v>544</v>
      </c>
      <c r="G26102">
        <v>12.11</v>
      </c>
      <c r="H26102">
        <v>251023</v>
      </c>
      <c r="I26102">
        <v>4500</v>
      </c>
      <c r="J26102" t="s">
        <v>312</v>
      </c>
      <c r="K26102">
        <v>145.69</v>
      </c>
      <c r="L26102">
        <v>2.46</v>
      </c>
      <c r="M26102">
        <v>54422</v>
      </c>
      <c r="N26102" t="s">
        <v>49</v>
      </c>
      <c r="O26102">
        <v>251031</v>
      </c>
      <c r="P26102">
        <v>9.65</v>
      </c>
    </row>
    <row r="26103" spans="1:16" x14ac:dyDescent="0.25">
      <c r="A26103" t="s">
        <v>3296</v>
      </c>
      <c r="B26103" t="s">
        <v>2931</v>
      </c>
      <c r="C26103">
        <v>14411</v>
      </c>
      <c r="D26103" t="str">
        <f>"2299305     "</f>
        <v xml:space="preserve">2299305     </v>
      </c>
      <c r="E26103" t="s">
        <v>543</v>
      </c>
      <c r="F26103" t="s">
        <v>544</v>
      </c>
      <c r="G26103">
        <v>21.24</v>
      </c>
      <c r="H26103">
        <v>251023</v>
      </c>
      <c r="I26103">
        <v>4500</v>
      </c>
      <c r="J26103" t="s">
        <v>312</v>
      </c>
      <c r="K26103">
        <v>145.69</v>
      </c>
      <c r="L26103">
        <v>4.32</v>
      </c>
      <c r="M26103">
        <v>56559</v>
      </c>
      <c r="N26103" t="s">
        <v>51</v>
      </c>
      <c r="O26103">
        <v>251031</v>
      </c>
      <c r="P26103">
        <v>16.920000000000002</v>
      </c>
    </row>
    <row r="26104" spans="1:16" x14ac:dyDescent="0.25">
      <c r="A26104" t="s">
        <v>3296</v>
      </c>
      <c r="B26104" t="s">
        <v>2931</v>
      </c>
      <c r="C26104">
        <v>14411</v>
      </c>
      <c r="D26104" t="str">
        <f>"2299305     "</f>
        <v xml:space="preserve">2299305     </v>
      </c>
      <c r="E26104" t="s">
        <v>543</v>
      </c>
      <c r="F26104" t="s">
        <v>544</v>
      </c>
      <c r="G26104">
        <v>5.0199999999999996</v>
      </c>
      <c r="H26104">
        <v>251023</v>
      </c>
      <c r="I26104">
        <v>4500</v>
      </c>
      <c r="J26104" t="s">
        <v>312</v>
      </c>
      <c r="K26104">
        <v>145.69</v>
      </c>
      <c r="L26104">
        <v>1.02</v>
      </c>
      <c r="M26104">
        <v>56566</v>
      </c>
      <c r="N26104" t="s">
        <v>58</v>
      </c>
      <c r="O26104">
        <v>251031</v>
      </c>
      <c r="P26104">
        <v>4</v>
      </c>
    </row>
    <row r="26105" spans="1:16" x14ac:dyDescent="0.25">
      <c r="A26105" t="s">
        <v>3296</v>
      </c>
      <c r="B26105" t="s">
        <v>2931</v>
      </c>
      <c r="C26105">
        <v>14411</v>
      </c>
      <c r="D26105" t="str">
        <f>"2299305     "</f>
        <v xml:space="preserve">2299305     </v>
      </c>
      <c r="E26105" t="s">
        <v>543</v>
      </c>
      <c r="F26105" t="s">
        <v>544</v>
      </c>
      <c r="G26105">
        <v>80.66</v>
      </c>
      <c r="H26105">
        <v>251023</v>
      </c>
      <c r="I26105">
        <v>4500</v>
      </c>
      <c r="J26105" t="s">
        <v>312</v>
      </c>
      <c r="K26105">
        <v>145.69</v>
      </c>
      <c r="L26105">
        <v>16.39</v>
      </c>
      <c r="M26105">
        <v>59702</v>
      </c>
      <c r="N26105" t="s">
        <v>45</v>
      </c>
      <c r="O26105">
        <v>251031</v>
      </c>
      <c r="P26105">
        <v>64.27</v>
      </c>
    </row>
    <row r="26106" spans="1:16" x14ac:dyDescent="0.25">
      <c r="A26106" t="s">
        <v>3296</v>
      </c>
      <c r="B26106" t="s">
        <v>2931</v>
      </c>
      <c r="C26106">
        <v>14413</v>
      </c>
      <c r="D26106" t="str">
        <f>"2300127     "</f>
        <v xml:space="preserve">2300127     </v>
      </c>
      <c r="E26106" t="s">
        <v>543</v>
      </c>
      <c r="F26106" t="s">
        <v>544</v>
      </c>
      <c r="G26106">
        <v>29.61</v>
      </c>
      <c r="H26106">
        <v>251027</v>
      </c>
      <c r="I26106">
        <v>4500</v>
      </c>
      <c r="J26106" t="s">
        <v>312</v>
      </c>
      <c r="K26106">
        <v>29.61</v>
      </c>
      <c r="L26106">
        <v>6.02</v>
      </c>
      <c r="M26106">
        <v>17808</v>
      </c>
      <c r="N26106" t="s">
        <v>24</v>
      </c>
      <c r="O26106">
        <v>251031</v>
      </c>
      <c r="P26106">
        <v>23.59</v>
      </c>
    </row>
    <row r="26107" spans="1:16" x14ac:dyDescent="0.25">
      <c r="A26107" t="s">
        <v>3296</v>
      </c>
      <c r="B26107" t="s">
        <v>2931</v>
      </c>
      <c r="C26107">
        <v>14414</v>
      </c>
      <c r="D26107" t="str">
        <f>"2300128     "</f>
        <v xml:space="preserve">2300128     </v>
      </c>
      <c r="E26107" t="s">
        <v>543</v>
      </c>
      <c r="F26107" t="s">
        <v>544</v>
      </c>
      <c r="G26107">
        <v>392.62</v>
      </c>
      <c r="H26107">
        <v>251027</v>
      </c>
      <c r="I26107">
        <v>4500</v>
      </c>
      <c r="J26107" t="s">
        <v>312</v>
      </c>
      <c r="K26107">
        <v>494.58</v>
      </c>
      <c r="L26107">
        <v>79.78</v>
      </c>
      <c r="M26107">
        <v>17972</v>
      </c>
      <c r="N26107" t="s">
        <v>28</v>
      </c>
      <c r="O26107">
        <v>251031</v>
      </c>
      <c r="P26107">
        <v>312.83999999999997</v>
      </c>
    </row>
    <row r="26108" spans="1:16" x14ac:dyDescent="0.25">
      <c r="A26108" t="s">
        <v>3296</v>
      </c>
      <c r="B26108" t="s">
        <v>2931</v>
      </c>
      <c r="C26108">
        <v>14416</v>
      </c>
      <c r="D26108" t="str">
        <f>"2300769     "</f>
        <v xml:space="preserve">2300769     </v>
      </c>
      <c r="E26108" t="s">
        <v>543</v>
      </c>
      <c r="F26108" t="s">
        <v>544</v>
      </c>
      <c r="G26108">
        <v>184.99</v>
      </c>
      <c r="H26108">
        <v>251028</v>
      </c>
      <c r="I26108">
        <v>4500</v>
      </c>
      <c r="J26108" t="s">
        <v>312</v>
      </c>
      <c r="K26108">
        <v>184.99</v>
      </c>
      <c r="L26108">
        <v>37.590000000000003</v>
      </c>
      <c r="M26108">
        <v>17808</v>
      </c>
      <c r="N26108" t="s">
        <v>24</v>
      </c>
      <c r="O26108">
        <v>251031</v>
      </c>
      <c r="P26108">
        <v>147.4</v>
      </c>
    </row>
    <row r="26109" spans="1:16" x14ac:dyDescent="0.25">
      <c r="A26109" t="s">
        <v>3296</v>
      </c>
      <c r="B26109" t="s">
        <v>2931</v>
      </c>
      <c r="C26109">
        <v>14439</v>
      </c>
      <c r="D26109" t="str">
        <f>"2301293     "</f>
        <v xml:space="preserve">2301293     </v>
      </c>
      <c r="E26109" t="s">
        <v>543</v>
      </c>
      <c r="F26109" t="s">
        <v>544</v>
      </c>
      <c r="G26109">
        <v>68.400000000000006</v>
      </c>
      <c r="H26109">
        <v>251029</v>
      </c>
      <c r="I26109">
        <v>4500</v>
      </c>
      <c r="J26109" t="s">
        <v>312</v>
      </c>
      <c r="K26109">
        <v>284.20999999999998</v>
      </c>
      <c r="L26109">
        <v>13.9</v>
      </c>
      <c r="M26109">
        <v>65222</v>
      </c>
      <c r="N26109" t="s">
        <v>87</v>
      </c>
      <c r="O26109">
        <v>251031</v>
      </c>
      <c r="P26109">
        <v>54.5</v>
      </c>
    </row>
    <row r="26110" spans="1:16" x14ac:dyDescent="0.25">
      <c r="A26110" t="s">
        <v>3296</v>
      </c>
      <c r="B26110" t="s">
        <v>2931</v>
      </c>
      <c r="C26110">
        <v>14439</v>
      </c>
      <c r="D26110" t="str">
        <f>"2301293     "</f>
        <v xml:space="preserve">2301293     </v>
      </c>
      <c r="E26110" t="s">
        <v>543</v>
      </c>
      <c r="F26110" t="s">
        <v>544</v>
      </c>
      <c r="G26110">
        <v>215.81</v>
      </c>
      <c r="H26110">
        <v>251029</v>
      </c>
      <c r="I26110">
        <v>4500</v>
      </c>
      <c r="J26110" t="s">
        <v>312</v>
      </c>
      <c r="K26110">
        <v>284.20999999999998</v>
      </c>
      <c r="L26110">
        <v>43.85</v>
      </c>
      <c r="M26110">
        <v>69704</v>
      </c>
      <c r="N26110" t="s">
        <v>89</v>
      </c>
      <c r="O26110">
        <v>251031</v>
      </c>
      <c r="P26110">
        <v>171.96</v>
      </c>
    </row>
    <row r="26111" spans="1:16" x14ac:dyDescent="0.25">
      <c r="A26111" t="s">
        <v>3296</v>
      </c>
      <c r="B26111" t="s">
        <v>2931</v>
      </c>
      <c r="C26111">
        <v>14463</v>
      </c>
      <c r="D26111" t="str">
        <f>"2301743     "</f>
        <v xml:space="preserve">2301743     </v>
      </c>
      <c r="E26111" t="s">
        <v>543</v>
      </c>
      <c r="F26111" t="s">
        <v>544</v>
      </c>
      <c r="G26111">
        <v>16.88</v>
      </c>
      <c r="H26111">
        <v>251030</v>
      </c>
      <c r="I26111">
        <v>4500</v>
      </c>
      <c r="J26111" t="s">
        <v>312</v>
      </c>
      <c r="K26111">
        <v>238.45</v>
      </c>
      <c r="L26111">
        <v>3.43</v>
      </c>
      <c r="M26111">
        <v>66754</v>
      </c>
      <c r="N26111" t="s">
        <v>119</v>
      </c>
      <c r="O26111">
        <v>251031</v>
      </c>
      <c r="P26111">
        <v>13.45</v>
      </c>
    </row>
    <row r="26112" spans="1:16" x14ac:dyDescent="0.25">
      <c r="A26112" t="s">
        <v>3296</v>
      </c>
      <c r="B26112" t="s">
        <v>2931</v>
      </c>
      <c r="C26112">
        <v>14463</v>
      </c>
      <c r="D26112" t="str">
        <f>"2301743     "</f>
        <v xml:space="preserve">2301743     </v>
      </c>
      <c r="E26112" t="s">
        <v>543</v>
      </c>
      <c r="F26112" t="s">
        <v>544</v>
      </c>
      <c r="G26112">
        <v>89.37</v>
      </c>
      <c r="H26112">
        <v>251030</v>
      </c>
      <c r="I26112">
        <v>4500</v>
      </c>
      <c r="J26112" t="s">
        <v>312</v>
      </c>
      <c r="K26112">
        <v>238.45</v>
      </c>
      <c r="L26112">
        <v>18.16</v>
      </c>
      <c r="M26112">
        <v>69702</v>
      </c>
      <c r="N26112" t="s">
        <v>124</v>
      </c>
      <c r="O26112">
        <v>251031</v>
      </c>
      <c r="P26112">
        <v>71.209999999999994</v>
      </c>
    </row>
    <row r="26113" spans="1:16" x14ac:dyDescent="0.25">
      <c r="A26113" t="s">
        <v>3296</v>
      </c>
      <c r="B26113" t="s">
        <v>2931</v>
      </c>
      <c r="C26113">
        <v>14463</v>
      </c>
      <c r="D26113" t="str">
        <f>"2301743     "</f>
        <v xml:space="preserve">2301743     </v>
      </c>
      <c r="E26113" t="s">
        <v>543</v>
      </c>
      <c r="F26113" t="s">
        <v>544</v>
      </c>
      <c r="G26113">
        <v>132.19999999999999</v>
      </c>
      <c r="H26113">
        <v>251030</v>
      </c>
      <c r="I26113">
        <v>4500</v>
      </c>
      <c r="J26113" t="s">
        <v>312</v>
      </c>
      <c r="K26113">
        <v>238.45</v>
      </c>
      <c r="L26113">
        <v>26.86</v>
      </c>
      <c r="M26113">
        <v>69704</v>
      </c>
      <c r="N26113" t="s">
        <v>89</v>
      </c>
      <c r="O26113">
        <v>251031</v>
      </c>
      <c r="P26113">
        <v>105.34</v>
      </c>
    </row>
    <row r="26114" spans="1:16" x14ac:dyDescent="0.25">
      <c r="A26114" t="s">
        <v>3296</v>
      </c>
      <c r="B26114" t="s">
        <v>2931</v>
      </c>
      <c r="C26114">
        <v>14597</v>
      </c>
      <c r="D26114" t="str">
        <f>"2297489     "</f>
        <v xml:space="preserve">2297489     </v>
      </c>
      <c r="E26114" t="s">
        <v>543</v>
      </c>
      <c r="F26114" t="s">
        <v>544</v>
      </c>
      <c r="G26114">
        <v>4.63</v>
      </c>
      <c r="H26114">
        <v>251017</v>
      </c>
      <c r="I26114">
        <v>4500</v>
      </c>
      <c r="J26114" t="s">
        <v>312</v>
      </c>
      <c r="K26114">
        <v>223.06</v>
      </c>
      <c r="L26114">
        <v>0.94</v>
      </c>
      <c r="M26114">
        <v>17808</v>
      </c>
      <c r="N26114" t="s">
        <v>24</v>
      </c>
      <c r="O26114">
        <v>251105</v>
      </c>
      <c r="P26114">
        <v>3.69</v>
      </c>
    </row>
    <row r="26115" spans="1:16" x14ac:dyDescent="0.25">
      <c r="A26115" t="s">
        <v>3296</v>
      </c>
      <c r="B26115" t="s">
        <v>2931</v>
      </c>
      <c r="C26115">
        <v>14597</v>
      </c>
      <c r="D26115" t="str">
        <f>"2297489     "</f>
        <v xml:space="preserve">2297489     </v>
      </c>
      <c r="E26115" t="s">
        <v>543</v>
      </c>
      <c r="F26115" t="s">
        <v>544</v>
      </c>
      <c r="G26115">
        <v>114.96</v>
      </c>
      <c r="H26115">
        <v>251017</v>
      </c>
      <c r="I26115">
        <v>4500</v>
      </c>
      <c r="J26115" t="s">
        <v>312</v>
      </c>
      <c r="K26115">
        <v>223.06</v>
      </c>
      <c r="L26115">
        <v>23.36</v>
      </c>
      <c r="M26115">
        <v>17913</v>
      </c>
      <c r="N26115" t="s">
        <v>26</v>
      </c>
      <c r="O26115">
        <v>251105</v>
      </c>
      <c r="P26115">
        <v>91.6</v>
      </c>
    </row>
    <row r="26116" spans="1:16" x14ac:dyDescent="0.25">
      <c r="A26116" t="s">
        <v>3296</v>
      </c>
      <c r="B26116" t="s">
        <v>2931</v>
      </c>
      <c r="C26116">
        <v>15274</v>
      </c>
      <c r="D26116" t="str">
        <f t="shared" ref="D26116:D26122" si="564">"2301744     "</f>
        <v xml:space="preserve">2301744     </v>
      </c>
      <c r="E26116" t="s">
        <v>543</v>
      </c>
      <c r="F26116" t="s">
        <v>544</v>
      </c>
      <c r="G26116">
        <v>58.75</v>
      </c>
      <c r="H26116">
        <v>251030</v>
      </c>
      <c r="I26116">
        <v>4500</v>
      </c>
      <c r="J26116" t="s">
        <v>312</v>
      </c>
      <c r="K26116">
        <v>2309.17</v>
      </c>
      <c r="L26116">
        <v>11.94</v>
      </c>
      <c r="M26116">
        <v>13501</v>
      </c>
      <c r="N26116" t="s">
        <v>66</v>
      </c>
      <c r="O26116">
        <v>251117</v>
      </c>
      <c r="P26116">
        <v>46.81</v>
      </c>
    </row>
    <row r="26117" spans="1:16" x14ac:dyDescent="0.25">
      <c r="A26117" t="s">
        <v>3296</v>
      </c>
      <c r="B26117" t="s">
        <v>2931</v>
      </c>
      <c r="C26117">
        <v>15274</v>
      </c>
      <c r="D26117" t="str">
        <f t="shared" si="564"/>
        <v xml:space="preserve">2301744     </v>
      </c>
      <c r="E26117" t="s">
        <v>543</v>
      </c>
      <c r="F26117" t="s">
        <v>544</v>
      </c>
      <c r="G26117">
        <v>698.47</v>
      </c>
      <c r="H26117">
        <v>251030</v>
      </c>
      <c r="I26117">
        <v>4500</v>
      </c>
      <c r="J26117" t="s">
        <v>312</v>
      </c>
      <c r="K26117">
        <v>2309.17</v>
      </c>
      <c r="L26117">
        <v>141.91999999999999</v>
      </c>
      <c r="M26117">
        <v>16121</v>
      </c>
      <c r="N26117" t="s">
        <v>127</v>
      </c>
      <c r="O26117">
        <v>251117</v>
      </c>
      <c r="P26117">
        <v>556.54999999999995</v>
      </c>
    </row>
    <row r="26118" spans="1:16" x14ac:dyDescent="0.25">
      <c r="A26118" t="s">
        <v>3296</v>
      </c>
      <c r="B26118" t="s">
        <v>2931</v>
      </c>
      <c r="C26118">
        <v>15274</v>
      </c>
      <c r="D26118" t="str">
        <f t="shared" si="564"/>
        <v xml:space="preserve">2301744     </v>
      </c>
      <c r="E26118" t="s">
        <v>543</v>
      </c>
      <c r="F26118" t="s">
        <v>544</v>
      </c>
      <c r="G26118">
        <v>122.72</v>
      </c>
      <c r="H26118">
        <v>251030</v>
      </c>
      <c r="I26118">
        <v>4500</v>
      </c>
      <c r="J26118" t="s">
        <v>312</v>
      </c>
      <c r="K26118">
        <v>2309.17</v>
      </c>
      <c r="L26118">
        <v>24.94</v>
      </c>
      <c r="M26118">
        <v>16820</v>
      </c>
      <c r="N26118" t="s">
        <v>128</v>
      </c>
      <c r="O26118">
        <v>251117</v>
      </c>
      <c r="P26118">
        <v>97.78</v>
      </c>
    </row>
    <row r="26119" spans="1:16" x14ac:dyDescent="0.25">
      <c r="A26119" t="s">
        <v>3296</v>
      </c>
      <c r="B26119" t="s">
        <v>2931</v>
      </c>
      <c r="C26119">
        <v>15274</v>
      </c>
      <c r="D26119" t="str">
        <f t="shared" si="564"/>
        <v xml:space="preserve">2301744     </v>
      </c>
      <c r="E26119" t="s">
        <v>543</v>
      </c>
      <c r="F26119" t="s">
        <v>544</v>
      </c>
      <c r="G26119">
        <v>19.2</v>
      </c>
      <c r="H26119">
        <v>251030</v>
      </c>
      <c r="I26119">
        <v>4500</v>
      </c>
      <c r="J26119" t="s">
        <v>312</v>
      </c>
      <c r="K26119">
        <v>2309.17</v>
      </c>
      <c r="L26119">
        <v>3.9</v>
      </c>
      <c r="M26119">
        <v>17522</v>
      </c>
      <c r="N26119" t="s">
        <v>137</v>
      </c>
      <c r="O26119">
        <v>251117</v>
      </c>
      <c r="P26119">
        <v>15.3</v>
      </c>
    </row>
    <row r="26120" spans="1:16" x14ac:dyDescent="0.25">
      <c r="A26120" t="s">
        <v>3296</v>
      </c>
      <c r="B26120" t="s">
        <v>2931</v>
      </c>
      <c r="C26120">
        <v>15274</v>
      </c>
      <c r="D26120" t="str">
        <f t="shared" si="564"/>
        <v xml:space="preserve">2301744     </v>
      </c>
      <c r="E26120" t="s">
        <v>543</v>
      </c>
      <c r="F26120" t="s">
        <v>544</v>
      </c>
      <c r="G26120">
        <v>38.53</v>
      </c>
      <c r="H26120">
        <v>251030</v>
      </c>
      <c r="I26120">
        <v>4500</v>
      </c>
      <c r="J26120" t="s">
        <v>312</v>
      </c>
      <c r="K26120">
        <v>2309.17</v>
      </c>
      <c r="L26120">
        <v>7.83</v>
      </c>
      <c r="M26120">
        <v>17524</v>
      </c>
      <c r="N26120" t="s">
        <v>139</v>
      </c>
      <c r="O26120">
        <v>251117</v>
      </c>
      <c r="P26120">
        <v>30.7</v>
      </c>
    </row>
    <row r="26121" spans="1:16" x14ac:dyDescent="0.25">
      <c r="A26121" t="s">
        <v>3296</v>
      </c>
      <c r="B26121" t="s">
        <v>2931</v>
      </c>
      <c r="C26121">
        <v>15274</v>
      </c>
      <c r="D26121" t="str">
        <f t="shared" si="564"/>
        <v xml:space="preserve">2301744     </v>
      </c>
      <c r="E26121" t="s">
        <v>543</v>
      </c>
      <c r="F26121" t="s">
        <v>544</v>
      </c>
      <c r="G26121">
        <v>557.61</v>
      </c>
      <c r="H26121">
        <v>251030</v>
      </c>
      <c r="I26121">
        <v>4500</v>
      </c>
      <c r="J26121" t="s">
        <v>312</v>
      </c>
      <c r="K26121">
        <v>2309.17</v>
      </c>
      <c r="L26121">
        <v>113.3</v>
      </c>
      <c r="M26121">
        <v>17538</v>
      </c>
      <c r="N26121" t="s">
        <v>129</v>
      </c>
      <c r="O26121">
        <v>251117</v>
      </c>
      <c r="P26121">
        <v>444.31</v>
      </c>
    </row>
    <row r="26122" spans="1:16" x14ac:dyDescent="0.25">
      <c r="A26122" t="s">
        <v>3296</v>
      </c>
      <c r="B26122" t="s">
        <v>2931</v>
      </c>
      <c r="C26122">
        <v>15274</v>
      </c>
      <c r="D26122" t="str">
        <f t="shared" si="564"/>
        <v xml:space="preserve">2301744     </v>
      </c>
      <c r="E26122" t="s">
        <v>543</v>
      </c>
      <c r="F26122" t="s">
        <v>544</v>
      </c>
      <c r="G26122">
        <v>801.34</v>
      </c>
      <c r="H26122">
        <v>251030</v>
      </c>
      <c r="I26122">
        <v>4500</v>
      </c>
      <c r="J26122" t="s">
        <v>312</v>
      </c>
      <c r="K26122">
        <v>2309.17</v>
      </c>
      <c r="L26122">
        <v>162.82</v>
      </c>
      <c r="M26122">
        <v>17971</v>
      </c>
      <c r="N26122" t="s">
        <v>27</v>
      </c>
      <c r="O26122">
        <v>251117</v>
      </c>
      <c r="P26122">
        <v>638.52</v>
      </c>
    </row>
    <row r="26123" spans="1:16" x14ac:dyDescent="0.25">
      <c r="A26123" t="s">
        <v>3296</v>
      </c>
      <c r="B26123" t="s">
        <v>2931</v>
      </c>
      <c r="C26123">
        <v>15553</v>
      </c>
      <c r="D26123" t="str">
        <f>"2309102     "</f>
        <v xml:space="preserve">2309102     </v>
      </c>
      <c r="E26123" t="s">
        <v>543</v>
      </c>
      <c r="F26123" t="s">
        <v>544</v>
      </c>
      <c r="G26123">
        <v>22.59</v>
      </c>
      <c r="H26123">
        <v>251114</v>
      </c>
      <c r="I26123">
        <v>4500</v>
      </c>
      <c r="J26123" t="s">
        <v>312</v>
      </c>
      <c r="K26123">
        <v>170.65</v>
      </c>
      <c r="L26123">
        <v>4.59</v>
      </c>
      <c r="M26123">
        <v>14640</v>
      </c>
      <c r="N26123" t="s">
        <v>78</v>
      </c>
      <c r="O26123">
        <v>251121</v>
      </c>
      <c r="P26123">
        <v>18</v>
      </c>
    </row>
    <row r="26124" spans="1:16" x14ac:dyDescent="0.25">
      <c r="A26124" t="s">
        <v>3296</v>
      </c>
      <c r="B26124" t="s">
        <v>2931</v>
      </c>
      <c r="C26124">
        <v>15553</v>
      </c>
      <c r="D26124" t="str">
        <f>"2309102     "</f>
        <v xml:space="preserve">2309102     </v>
      </c>
      <c r="E26124" t="s">
        <v>543</v>
      </c>
      <c r="F26124" t="s">
        <v>544</v>
      </c>
      <c r="G26124">
        <v>99.26</v>
      </c>
      <c r="H26124">
        <v>251114</v>
      </c>
      <c r="I26124">
        <v>4500</v>
      </c>
      <c r="J26124" t="s">
        <v>312</v>
      </c>
      <c r="K26124">
        <v>170.65</v>
      </c>
      <c r="L26124">
        <v>20.170000000000002</v>
      </c>
      <c r="M26124">
        <v>14640</v>
      </c>
      <c r="N26124" t="s">
        <v>78</v>
      </c>
      <c r="O26124">
        <v>251121</v>
      </c>
      <c r="P26124">
        <v>79.09</v>
      </c>
    </row>
    <row r="26125" spans="1:16" x14ac:dyDescent="0.25">
      <c r="A26125" t="s">
        <v>3296</v>
      </c>
      <c r="B26125" t="s">
        <v>2931</v>
      </c>
      <c r="C26125">
        <v>15553</v>
      </c>
      <c r="D26125" t="str">
        <f>"2309102     "</f>
        <v xml:space="preserve">2309102     </v>
      </c>
      <c r="E26125" t="s">
        <v>543</v>
      </c>
      <c r="F26125" t="s">
        <v>544</v>
      </c>
      <c r="G26125">
        <v>48.8</v>
      </c>
      <c r="H26125">
        <v>251114</v>
      </c>
      <c r="I26125">
        <v>4500</v>
      </c>
      <c r="J26125" t="s">
        <v>312</v>
      </c>
      <c r="K26125">
        <v>170.65</v>
      </c>
      <c r="L26125">
        <v>9.92</v>
      </c>
      <c r="M26125">
        <v>14990</v>
      </c>
      <c r="N26125" t="s">
        <v>85</v>
      </c>
      <c r="O26125">
        <v>251121</v>
      </c>
      <c r="P26125">
        <v>38.880000000000003</v>
      </c>
    </row>
    <row r="26126" spans="1:16" x14ac:dyDescent="0.25">
      <c r="A26126" t="s">
        <v>3296</v>
      </c>
      <c r="B26126" t="s">
        <v>2931</v>
      </c>
      <c r="C26126">
        <v>15556</v>
      </c>
      <c r="D26126" t="str">
        <f>"2307113     "</f>
        <v xml:space="preserve">2307113     </v>
      </c>
      <c r="E26126" t="s">
        <v>543</v>
      </c>
      <c r="F26126" t="s">
        <v>544</v>
      </c>
      <c r="G26126">
        <v>22.86</v>
      </c>
      <c r="H26126">
        <v>251110</v>
      </c>
      <c r="I26126">
        <v>4500</v>
      </c>
      <c r="J26126" t="s">
        <v>312</v>
      </c>
      <c r="K26126">
        <v>171.98</v>
      </c>
      <c r="L26126">
        <v>4.6399999999999997</v>
      </c>
      <c r="M26126">
        <v>14432</v>
      </c>
      <c r="N26126" t="s">
        <v>75</v>
      </c>
      <c r="O26126">
        <v>251121</v>
      </c>
      <c r="P26126">
        <v>18.22</v>
      </c>
    </row>
    <row r="26127" spans="1:16" x14ac:dyDescent="0.25">
      <c r="A26127" t="s">
        <v>3296</v>
      </c>
      <c r="B26127" t="s">
        <v>2931</v>
      </c>
      <c r="C26127">
        <v>15556</v>
      </c>
      <c r="D26127" t="str">
        <f>"2307113     "</f>
        <v xml:space="preserve">2307113     </v>
      </c>
      <c r="E26127" t="s">
        <v>543</v>
      </c>
      <c r="F26127" t="s">
        <v>544</v>
      </c>
      <c r="G26127">
        <v>49.72</v>
      </c>
      <c r="H26127">
        <v>251110</v>
      </c>
      <c r="I26127">
        <v>4500</v>
      </c>
      <c r="J26127" t="s">
        <v>312</v>
      </c>
      <c r="K26127">
        <v>171.98</v>
      </c>
      <c r="L26127">
        <v>10.1</v>
      </c>
      <c r="M26127">
        <v>14541</v>
      </c>
      <c r="N26127" t="s">
        <v>76</v>
      </c>
      <c r="O26127">
        <v>251121</v>
      </c>
      <c r="P26127">
        <v>39.619999999999997</v>
      </c>
    </row>
    <row r="26128" spans="1:16" x14ac:dyDescent="0.25">
      <c r="A26128" t="s">
        <v>3296</v>
      </c>
      <c r="B26128" t="s">
        <v>2931</v>
      </c>
      <c r="C26128">
        <v>15556</v>
      </c>
      <c r="D26128" t="str">
        <f>"2307113     "</f>
        <v xml:space="preserve">2307113     </v>
      </c>
      <c r="E26128" t="s">
        <v>543</v>
      </c>
      <c r="F26128" t="s">
        <v>544</v>
      </c>
      <c r="G26128">
        <v>99.4</v>
      </c>
      <c r="H26128">
        <v>251110</v>
      </c>
      <c r="I26128">
        <v>4500</v>
      </c>
      <c r="J26128" t="s">
        <v>312</v>
      </c>
      <c r="K26128">
        <v>171.98</v>
      </c>
      <c r="L26128">
        <v>20.2</v>
      </c>
      <c r="M26128">
        <v>14971</v>
      </c>
      <c r="N26128" t="s">
        <v>81</v>
      </c>
      <c r="O26128">
        <v>251121</v>
      </c>
      <c r="P26128">
        <v>79.2</v>
      </c>
    </row>
    <row r="26129" spans="1:16" x14ac:dyDescent="0.25">
      <c r="A26129" t="s">
        <v>3296</v>
      </c>
      <c r="B26129" t="s">
        <v>2931</v>
      </c>
      <c r="C26129">
        <v>15576</v>
      </c>
      <c r="D26129" t="str">
        <f>"2306259     "</f>
        <v xml:space="preserve">2306259     </v>
      </c>
      <c r="E26129" t="s">
        <v>543</v>
      </c>
      <c r="F26129" t="s">
        <v>544</v>
      </c>
      <c r="G26129">
        <v>14.01</v>
      </c>
      <c r="H26129">
        <v>251106</v>
      </c>
      <c r="I26129">
        <v>4500</v>
      </c>
      <c r="J26129" t="s">
        <v>312</v>
      </c>
      <c r="K26129">
        <v>444.36</v>
      </c>
      <c r="L26129">
        <v>2.85</v>
      </c>
      <c r="M26129">
        <v>56566</v>
      </c>
      <c r="N26129" t="s">
        <v>58</v>
      </c>
      <c r="O26129">
        <v>251121</v>
      </c>
      <c r="P26129">
        <v>11.16</v>
      </c>
    </row>
    <row r="26130" spans="1:16" x14ac:dyDescent="0.25">
      <c r="A26130" t="s">
        <v>3296</v>
      </c>
      <c r="B26130" t="s">
        <v>2931</v>
      </c>
      <c r="C26130">
        <v>15576</v>
      </c>
      <c r="D26130" t="str">
        <f>"2306259     "</f>
        <v xml:space="preserve">2306259     </v>
      </c>
      <c r="E26130" t="s">
        <v>543</v>
      </c>
      <c r="F26130" t="s">
        <v>544</v>
      </c>
      <c r="G26130">
        <v>111.79</v>
      </c>
      <c r="H26130">
        <v>251106</v>
      </c>
      <c r="I26130">
        <v>4500</v>
      </c>
      <c r="J26130" t="s">
        <v>312</v>
      </c>
      <c r="K26130">
        <v>444.36</v>
      </c>
      <c r="L26130">
        <v>22.71</v>
      </c>
      <c r="M26130">
        <v>59702</v>
      </c>
      <c r="N26130" t="s">
        <v>45</v>
      </c>
      <c r="O26130">
        <v>251121</v>
      </c>
      <c r="P26130">
        <v>89.08</v>
      </c>
    </row>
    <row r="26131" spans="1:16" x14ac:dyDescent="0.25">
      <c r="A26131" t="s">
        <v>3296</v>
      </c>
      <c r="B26131" t="s">
        <v>2931</v>
      </c>
      <c r="C26131">
        <v>15584</v>
      </c>
      <c r="D26131" t="str">
        <f>"2309524     "</f>
        <v xml:space="preserve">2309524     </v>
      </c>
      <c r="E26131" t="s">
        <v>543</v>
      </c>
      <c r="F26131" t="s">
        <v>544</v>
      </c>
      <c r="G26131">
        <v>3.77</v>
      </c>
      <c r="H26131">
        <v>251117</v>
      </c>
      <c r="I26131">
        <v>4500</v>
      </c>
      <c r="J26131" t="s">
        <v>312</v>
      </c>
      <c r="K26131">
        <v>3.77</v>
      </c>
      <c r="L26131">
        <v>0.77</v>
      </c>
      <c r="M26131">
        <v>56566</v>
      </c>
      <c r="N26131" t="s">
        <v>58</v>
      </c>
      <c r="O26131">
        <v>251121</v>
      </c>
      <c r="P26131">
        <v>3</v>
      </c>
    </row>
    <row r="26132" spans="1:16" x14ac:dyDescent="0.25">
      <c r="A26132" t="s">
        <v>3296</v>
      </c>
      <c r="B26132" t="s">
        <v>2931</v>
      </c>
      <c r="C26132">
        <v>15585</v>
      </c>
      <c r="D26132" t="str">
        <f>"2309522     "</f>
        <v xml:space="preserve">2309522     </v>
      </c>
      <c r="E26132" t="s">
        <v>543</v>
      </c>
      <c r="F26132" t="s">
        <v>544</v>
      </c>
      <c r="G26132">
        <v>86.32</v>
      </c>
      <c r="H26132">
        <v>251117</v>
      </c>
      <c r="I26132">
        <v>4500</v>
      </c>
      <c r="J26132" t="s">
        <v>312</v>
      </c>
      <c r="K26132">
        <v>219.33</v>
      </c>
      <c r="L26132">
        <v>17.54</v>
      </c>
      <c r="M26132">
        <v>66754</v>
      </c>
      <c r="N26132" t="s">
        <v>119</v>
      </c>
      <c r="O26132">
        <v>251121</v>
      </c>
      <c r="P26132">
        <v>68.78</v>
      </c>
    </row>
    <row r="26133" spans="1:16" x14ac:dyDescent="0.25">
      <c r="A26133" t="s">
        <v>3296</v>
      </c>
      <c r="B26133" t="s">
        <v>2931</v>
      </c>
      <c r="C26133">
        <v>15585</v>
      </c>
      <c r="D26133" t="str">
        <f>"2309522     "</f>
        <v xml:space="preserve">2309522     </v>
      </c>
      <c r="E26133" t="s">
        <v>543</v>
      </c>
      <c r="F26133" t="s">
        <v>544</v>
      </c>
      <c r="G26133">
        <v>40.909999999999997</v>
      </c>
      <c r="H26133">
        <v>251117</v>
      </c>
      <c r="I26133">
        <v>4500</v>
      </c>
      <c r="J26133" t="s">
        <v>312</v>
      </c>
      <c r="K26133">
        <v>219.33</v>
      </c>
      <c r="L26133">
        <v>8.31</v>
      </c>
      <c r="M26133">
        <v>69702</v>
      </c>
      <c r="N26133" t="s">
        <v>124</v>
      </c>
      <c r="O26133">
        <v>251121</v>
      </c>
      <c r="P26133">
        <v>32.6</v>
      </c>
    </row>
    <row r="26134" spans="1:16" x14ac:dyDescent="0.25">
      <c r="A26134" t="s">
        <v>3296</v>
      </c>
      <c r="B26134" t="s">
        <v>2931</v>
      </c>
      <c r="C26134">
        <v>15585</v>
      </c>
      <c r="D26134" t="str">
        <f>"2309522     "</f>
        <v xml:space="preserve">2309522     </v>
      </c>
      <c r="E26134" t="s">
        <v>543</v>
      </c>
      <c r="F26134" t="s">
        <v>544</v>
      </c>
      <c r="G26134">
        <v>92.1</v>
      </c>
      <c r="H26134">
        <v>251117</v>
      </c>
      <c r="I26134">
        <v>4500</v>
      </c>
      <c r="J26134" t="s">
        <v>312</v>
      </c>
      <c r="K26134">
        <v>219.33</v>
      </c>
      <c r="L26134">
        <v>18.71</v>
      </c>
      <c r="M26134">
        <v>69704</v>
      </c>
      <c r="N26134" t="s">
        <v>89</v>
      </c>
      <c r="O26134">
        <v>251121</v>
      </c>
      <c r="P26134">
        <v>73.39</v>
      </c>
    </row>
    <row r="26135" spans="1:16" x14ac:dyDescent="0.25">
      <c r="A26135" t="s">
        <v>3296</v>
      </c>
      <c r="B26135" t="s">
        <v>2931</v>
      </c>
      <c r="C26135">
        <v>15886</v>
      </c>
      <c r="D26135" t="str">
        <f>"2312368     "</f>
        <v xml:space="preserve">2312368     </v>
      </c>
      <c r="E26135" t="s">
        <v>543</v>
      </c>
      <c r="F26135" t="s">
        <v>544</v>
      </c>
      <c r="G26135">
        <v>36.299999999999997</v>
      </c>
      <c r="H26135">
        <v>251125</v>
      </c>
      <c r="I26135">
        <v>4500</v>
      </c>
      <c r="J26135" t="s">
        <v>312</v>
      </c>
      <c r="K26135">
        <v>36.299999999999997</v>
      </c>
      <c r="L26135">
        <v>7.38</v>
      </c>
      <c r="M26135">
        <v>13202</v>
      </c>
      <c r="N26135" t="s">
        <v>601</v>
      </c>
      <c r="O26135">
        <v>251127</v>
      </c>
      <c r="P26135">
        <v>28.92</v>
      </c>
    </row>
    <row r="26136" spans="1:16" x14ac:dyDescent="0.25">
      <c r="A26136" t="s">
        <v>3296</v>
      </c>
      <c r="B26136" t="s">
        <v>2931</v>
      </c>
      <c r="C26136">
        <v>15972</v>
      </c>
      <c r="D26136" t="str">
        <f>"2309590     "</f>
        <v xml:space="preserve">2309590     </v>
      </c>
      <c r="E26136" t="s">
        <v>543</v>
      </c>
      <c r="F26136" t="s">
        <v>544</v>
      </c>
      <c r="G26136">
        <v>2449.98</v>
      </c>
      <c r="H26136">
        <v>251117</v>
      </c>
      <c r="I26136">
        <v>4500</v>
      </c>
      <c r="J26136" t="s">
        <v>312</v>
      </c>
      <c r="K26136">
        <v>2509</v>
      </c>
      <c r="L26136">
        <v>497.8</v>
      </c>
      <c r="M26136">
        <v>13202</v>
      </c>
      <c r="N26136" t="s">
        <v>601</v>
      </c>
      <c r="O26136">
        <v>251201</v>
      </c>
      <c r="P26136">
        <v>1952.18</v>
      </c>
    </row>
    <row r="26137" spans="1:16" x14ac:dyDescent="0.25">
      <c r="A26137" t="s">
        <v>3296</v>
      </c>
      <c r="B26137" t="s">
        <v>2931</v>
      </c>
      <c r="C26137">
        <v>15972</v>
      </c>
      <c r="D26137" t="str">
        <f>"2309590     "</f>
        <v xml:space="preserve">2309590     </v>
      </c>
      <c r="E26137" t="s">
        <v>543</v>
      </c>
      <c r="F26137" t="s">
        <v>544</v>
      </c>
      <c r="G26137">
        <v>20.37</v>
      </c>
      <c r="H26137">
        <v>251117</v>
      </c>
      <c r="I26137">
        <v>4500</v>
      </c>
      <c r="J26137" t="s">
        <v>312</v>
      </c>
      <c r="K26137">
        <v>2509</v>
      </c>
      <c r="L26137">
        <v>4.1399999999999997</v>
      </c>
      <c r="M26137">
        <v>17524</v>
      </c>
      <c r="N26137" t="s">
        <v>139</v>
      </c>
      <c r="O26137">
        <v>251201</v>
      </c>
      <c r="P26137">
        <v>16.23</v>
      </c>
    </row>
    <row r="26138" spans="1:16" x14ac:dyDescent="0.25">
      <c r="A26138" t="s">
        <v>3296</v>
      </c>
      <c r="B26138" t="s">
        <v>2931</v>
      </c>
      <c r="C26138">
        <v>16306</v>
      </c>
      <c r="D26138" t="str">
        <f>"2315457     "</f>
        <v xml:space="preserve">2315457     </v>
      </c>
      <c r="E26138" t="s">
        <v>543</v>
      </c>
      <c r="F26138" t="s">
        <v>544</v>
      </c>
      <c r="G26138">
        <v>15.56</v>
      </c>
      <c r="H26138">
        <v>251128</v>
      </c>
      <c r="I26138">
        <v>4500</v>
      </c>
      <c r="J26138" t="s">
        <v>312</v>
      </c>
      <c r="K26138">
        <v>121.51</v>
      </c>
      <c r="L26138">
        <v>3.16</v>
      </c>
      <c r="M26138">
        <v>11903</v>
      </c>
      <c r="N26138" t="s">
        <v>32</v>
      </c>
      <c r="O26138">
        <v>251205</v>
      </c>
      <c r="P26138">
        <v>12.4</v>
      </c>
    </row>
    <row r="26139" spans="1:16" x14ac:dyDescent="0.25">
      <c r="A26139" t="s">
        <v>3296</v>
      </c>
      <c r="B26139" t="s">
        <v>2931</v>
      </c>
      <c r="C26139">
        <v>16306</v>
      </c>
      <c r="D26139" t="str">
        <f>"2315457     "</f>
        <v xml:space="preserve">2315457     </v>
      </c>
      <c r="E26139" t="s">
        <v>543</v>
      </c>
      <c r="F26139" t="s">
        <v>544</v>
      </c>
      <c r="G26139">
        <v>88.24</v>
      </c>
      <c r="H26139">
        <v>251128</v>
      </c>
      <c r="I26139">
        <v>4500</v>
      </c>
      <c r="J26139" t="s">
        <v>312</v>
      </c>
      <c r="K26139">
        <v>121.51</v>
      </c>
      <c r="L26139">
        <v>17.93</v>
      </c>
      <c r="M26139">
        <v>14422</v>
      </c>
      <c r="N26139" t="s">
        <v>73</v>
      </c>
      <c r="O26139">
        <v>251205</v>
      </c>
      <c r="P26139">
        <v>70.31</v>
      </c>
    </row>
    <row r="26140" spans="1:16" x14ac:dyDescent="0.25">
      <c r="A26140" t="s">
        <v>3296</v>
      </c>
      <c r="B26140" t="s">
        <v>2931</v>
      </c>
      <c r="C26140">
        <v>16306</v>
      </c>
      <c r="D26140" t="str">
        <f>"2315457     "</f>
        <v xml:space="preserve">2315457     </v>
      </c>
      <c r="E26140" t="s">
        <v>543</v>
      </c>
      <c r="F26140" t="s">
        <v>544</v>
      </c>
      <c r="G26140">
        <v>17.71</v>
      </c>
      <c r="H26140">
        <v>251128</v>
      </c>
      <c r="I26140">
        <v>4500</v>
      </c>
      <c r="J26140" t="s">
        <v>312</v>
      </c>
      <c r="K26140">
        <v>121.51</v>
      </c>
      <c r="L26140">
        <v>3.6</v>
      </c>
      <c r="M26140">
        <v>14952</v>
      </c>
      <c r="N26140" t="s">
        <v>213</v>
      </c>
      <c r="O26140">
        <v>251205</v>
      </c>
      <c r="P26140">
        <v>14.11</v>
      </c>
    </row>
    <row r="26141" spans="1:16" x14ac:dyDescent="0.25">
      <c r="A26141" t="s">
        <v>3296</v>
      </c>
      <c r="B26141" t="s">
        <v>2931</v>
      </c>
      <c r="C26141">
        <v>16454</v>
      </c>
      <c r="D26141" t="str">
        <f>"2316553     "</f>
        <v xml:space="preserve">2316553     </v>
      </c>
      <c r="E26141" t="s">
        <v>543</v>
      </c>
      <c r="F26141" t="s">
        <v>544</v>
      </c>
      <c r="G26141">
        <v>40.200000000000003</v>
      </c>
      <c r="H26141">
        <v>251201</v>
      </c>
      <c r="I26141">
        <v>4500</v>
      </c>
      <c r="J26141" t="s">
        <v>312</v>
      </c>
      <c r="K26141">
        <v>40.200000000000003</v>
      </c>
      <c r="L26141">
        <v>8.17</v>
      </c>
      <c r="M26141">
        <v>13202</v>
      </c>
      <c r="N26141" t="s">
        <v>601</v>
      </c>
      <c r="O26141">
        <v>251208</v>
      </c>
      <c r="P26141">
        <v>32.03</v>
      </c>
    </row>
    <row r="26142" spans="1:16" x14ac:dyDescent="0.25">
      <c r="A26142" t="s">
        <v>3296</v>
      </c>
      <c r="B26142" t="s">
        <v>2931</v>
      </c>
      <c r="C26142">
        <v>16809</v>
      </c>
      <c r="D26142" t="str">
        <f>"2316966     "</f>
        <v xml:space="preserve">2316966     </v>
      </c>
      <c r="E26142" t="s">
        <v>543</v>
      </c>
      <c r="F26142" t="s">
        <v>544</v>
      </c>
      <c r="G26142">
        <v>40.520000000000003</v>
      </c>
      <c r="H26142">
        <v>251202</v>
      </c>
      <c r="I26142">
        <v>4500</v>
      </c>
      <c r="J26142" t="s">
        <v>312</v>
      </c>
      <c r="K26142">
        <v>219.04</v>
      </c>
      <c r="L26142">
        <v>8.23</v>
      </c>
      <c r="M26142">
        <v>54451</v>
      </c>
      <c r="N26142" t="s">
        <v>218</v>
      </c>
      <c r="O26142">
        <v>251212</v>
      </c>
      <c r="P26142">
        <v>32.29</v>
      </c>
    </row>
    <row r="26143" spans="1:16" x14ac:dyDescent="0.25">
      <c r="A26143" t="s">
        <v>3296</v>
      </c>
      <c r="B26143" t="s">
        <v>2931</v>
      </c>
      <c r="C26143">
        <v>16809</v>
      </c>
      <c r="D26143" t="str">
        <f>"2316966     "</f>
        <v xml:space="preserve">2316966     </v>
      </c>
      <c r="E26143" t="s">
        <v>543</v>
      </c>
      <c r="F26143" t="s">
        <v>544</v>
      </c>
      <c r="G26143">
        <v>178.52</v>
      </c>
      <c r="H26143">
        <v>251202</v>
      </c>
      <c r="I26143">
        <v>4500</v>
      </c>
      <c r="J26143" t="s">
        <v>312</v>
      </c>
      <c r="K26143">
        <v>219.04</v>
      </c>
      <c r="L26143">
        <v>36.270000000000003</v>
      </c>
      <c r="M26143">
        <v>59702</v>
      </c>
      <c r="N26143" t="s">
        <v>45</v>
      </c>
      <c r="O26143">
        <v>251212</v>
      </c>
      <c r="P26143">
        <v>142.25</v>
      </c>
    </row>
    <row r="26144" spans="1:16" x14ac:dyDescent="0.25">
      <c r="A26144" t="s">
        <v>3296</v>
      </c>
      <c r="B26144" t="s">
        <v>2931</v>
      </c>
      <c r="C26144">
        <v>17684</v>
      </c>
      <c r="D26144" t="str">
        <f>"2318273     "</f>
        <v xml:space="preserve">2318273     </v>
      </c>
      <c r="E26144" t="s">
        <v>543</v>
      </c>
      <c r="F26144" t="s">
        <v>544</v>
      </c>
      <c r="G26144">
        <v>399.5</v>
      </c>
      <c r="H26144">
        <v>251205</v>
      </c>
      <c r="I26144">
        <v>4500</v>
      </c>
      <c r="J26144" t="s">
        <v>312</v>
      </c>
      <c r="K26144">
        <v>501.49</v>
      </c>
      <c r="L26144">
        <v>81.17</v>
      </c>
      <c r="M26144">
        <v>69702</v>
      </c>
      <c r="N26144" t="s">
        <v>124</v>
      </c>
      <c r="O26144">
        <v>251229</v>
      </c>
      <c r="P26144">
        <v>318.33</v>
      </c>
    </row>
    <row r="26145" spans="1:16" x14ac:dyDescent="0.25">
      <c r="A26145" t="s">
        <v>3296</v>
      </c>
      <c r="B26145" t="s">
        <v>2931</v>
      </c>
      <c r="C26145">
        <v>17684</v>
      </c>
      <c r="D26145" t="str">
        <f>"2318273     "</f>
        <v xml:space="preserve">2318273     </v>
      </c>
      <c r="E26145" t="s">
        <v>543</v>
      </c>
      <c r="F26145" t="s">
        <v>544</v>
      </c>
      <c r="G26145">
        <v>70.989999999999995</v>
      </c>
      <c r="H26145">
        <v>251205</v>
      </c>
      <c r="I26145">
        <v>4500</v>
      </c>
      <c r="J26145" t="s">
        <v>312</v>
      </c>
      <c r="K26145">
        <v>501.49</v>
      </c>
      <c r="L26145">
        <v>14.42</v>
      </c>
      <c r="M26145">
        <v>69704</v>
      </c>
      <c r="N26145" t="s">
        <v>89</v>
      </c>
      <c r="O26145">
        <v>251229</v>
      </c>
      <c r="P26145">
        <v>56.57</v>
      </c>
    </row>
    <row r="26146" spans="1:16" x14ac:dyDescent="0.25">
      <c r="A26146" t="s">
        <v>3296</v>
      </c>
      <c r="B26146" t="s">
        <v>2931</v>
      </c>
      <c r="C26146">
        <v>17765</v>
      </c>
      <c r="D26146" t="str">
        <f>"2319835     "</f>
        <v xml:space="preserve">2319835     </v>
      </c>
      <c r="E26146" t="s">
        <v>543</v>
      </c>
      <c r="F26146" t="s">
        <v>544</v>
      </c>
      <c r="G26146">
        <v>63.76</v>
      </c>
      <c r="H26146">
        <v>251211</v>
      </c>
      <c r="I26146">
        <v>4500</v>
      </c>
      <c r="J26146" t="s">
        <v>312</v>
      </c>
      <c r="K26146">
        <v>221.63</v>
      </c>
      <c r="L26146">
        <v>12.96</v>
      </c>
      <c r="M26146">
        <v>59702</v>
      </c>
      <c r="N26146" t="s">
        <v>45</v>
      </c>
      <c r="O26146">
        <v>251230</v>
      </c>
      <c r="P26146">
        <v>50.8</v>
      </c>
    </row>
    <row r="26147" spans="1:16" x14ac:dyDescent="0.25">
      <c r="A26147" t="s">
        <v>3296</v>
      </c>
      <c r="B26147" t="s">
        <v>2931</v>
      </c>
      <c r="C26147">
        <v>17765</v>
      </c>
      <c r="D26147" t="str">
        <f>"2319835     "</f>
        <v xml:space="preserve">2319835     </v>
      </c>
      <c r="E26147" t="s">
        <v>543</v>
      </c>
      <c r="F26147" t="s">
        <v>544</v>
      </c>
      <c r="G26147">
        <v>157.87</v>
      </c>
      <c r="H26147">
        <v>251211</v>
      </c>
      <c r="I26147">
        <v>4500</v>
      </c>
      <c r="J26147" t="s">
        <v>312</v>
      </c>
      <c r="K26147">
        <v>221.63</v>
      </c>
      <c r="L26147">
        <v>32.08</v>
      </c>
      <c r="M26147">
        <v>59815</v>
      </c>
      <c r="N26147" t="s">
        <v>1001</v>
      </c>
      <c r="O26147">
        <v>251230</v>
      </c>
      <c r="P26147">
        <v>125.79</v>
      </c>
    </row>
    <row r="26148" spans="1:16" x14ac:dyDescent="0.25">
      <c r="A26148" t="s">
        <v>3296</v>
      </c>
      <c r="B26148" t="s">
        <v>2931</v>
      </c>
      <c r="C26148">
        <v>17820</v>
      </c>
      <c r="D26148" t="str">
        <f>"2321306     "</f>
        <v xml:space="preserve">2321306     </v>
      </c>
      <c r="E26148" t="s">
        <v>543</v>
      </c>
      <c r="F26148" t="s">
        <v>544</v>
      </c>
      <c r="G26148">
        <v>10.4</v>
      </c>
      <c r="H26148">
        <v>251216</v>
      </c>
      <c r="I26148">
        <v>4500</v>
      </c>
      <c r="J26148" t="s">
        <v>312</v>
      </c>
      <c r="K26148">
        <v>180.17</v>
      </c>
      <c r="L26148">
        <v>2.11</v>
      </c>
      <c r="M26148">
        <v>16431</v>
      </c>
      <c r="N26148" t="s">
        <v>17</v>
      </c>
      <c r="O26148">
        <v>251230</v>
      </c>
      <c r="P26148">
        <v>8.2899999999999991</v>
      </c>
    </row>
    <row r="26149" spans="1:16" x14ac:dyDescent="0.25">
      <c r="A26149" t="s">
        <v>3296</v>
      </c>
      <c r="B26149" t="s">
        <v>2931</v>
      </c>
      <c r="C26149">
        <v>17820</v>
      </c>
      <c r="D26149" t="str">
        <f>"2321306     "</f>
        <v xml:space="preserve">2321306     </v>
      </c>
      <c r="E26149" t="s">
        <v>543</v>
      </c>
      <c r="F26149" t="s">
        <v>544</v>
      </c>
      <c r="G26149">
        <v>20.74</v>
      </c>
      <c r="H26149">
        <v>251216</v>
      </c>
      <c r="I26149">
        <v>4500</v>
      </c>
      <c r="J26149" t="s">
        <v>312</v>
      </c>
      <c r="K26149">
        <v>180.17</v>
      </c>
      <c r="L26149">
        <v>4.21</v>
      </c>
      <c r="M26149">
        <v>16442</v>
      </c>
      <c r="N26149" t="s">
        <v>304</v>
      </c>
      <c r="O26149">
        <v>251230</v>
      </c>
      <c r="P26149">
        <v>16.53</v>
      </c>
    </row>
    <row r="26150" spans="1:16" x14ac:dyDescent="0.25">
      <c r="A26150" t="s">
        <v>3296</v>
      </c>
      <c r="B26150" t="s">
        <v>2931</v>
      </c>
      <c r="C26150">
        <v>17820</v>
      </c>
      <c r="D26150" t="str">
        <f>"2321306     "</f>
        <v xml:space="preserve">2321306     </v>
      </c>
      <c r="E26150" t="s">
        <v>543</v>
      </c>
      <c r="F26150" t="s">
        <v>544</v>
      </c>
      <c r="G26150">
        <v>76.2</v>
      </c>
      <c r="H26150">
        <v>251216</v>
      </c>
      <c r="I26150">
        <v>4500</v>
      </c>
      <c r="J26150" t="s">
        <v>312</v>
      </c>
      <c r="K26150">
        <v>180.17</v>
      </c>
      <c r="L26150">
        <v>15.48</v>
      </c>
      <c r="M26150">
        <v>17802</v>
      </c>
      <c r="N26150" t="s">
        <v>18</v>
      </c>
      <c r="O26150">
        <v>251230</v>
      </c>
      <c r="P26150">
        <v>60.72</v>
      </c>
    </row>
    <row r="26151" spans="1:16" x14ac:dyDescent="0.25">
      <c r="A26151" t="s">
        <v>3296</v>
      </c>
      <c r="B26151" t="s">
        <v>2931</v>
      </c>
      <c r="C26151">
        <v>17820</v>
      </c>
      <c r="D26151" t="str">
        <f>"2321306     "</f>
        <v xml:space="preserve">2321306     </v>
      </c>
      <c r="E26151" t="s">
        <v>543</v>
      </c>
      <c r="F26151" t="s">
        <v>544</v>
      </c>
      <c r="G26151">
        <v>72.83</v>
      </c>
      <c r="H26151">
        <v>251216</v>
      </c>
      <c r="I26151">
        <v>4500</v>
      </c>
      <c r="J26151" t="s">
        <v>312</v>
      </c>
      <c r="K26151">
        <v>180.17</v>
      </c>
      <c r="L26151">
        <v>14.8</v>
      </c>
      <c r="M26151">
        <v>17808</v>
      </c>
      <c r="N26151" t="s">
        <v>24</v>
      </c>
      <c r="O26151">
        <v>251230</v>
      </c>
      <c r="P26151">
        <v>58.03</v>
      </c>
    </row>
    <row r="26152" spans="1:16" x14ac:dyDescent="0.25">
      <c r="A26152" t="s">
        <v>3296</v>
      </c>
      <c r="B26152" t="s">
        <v>2931</v>
      </c>
      <c r="C26152">
        <v>840</v>
      </c>
      <c r="D26152" t="str">
        <f>"2196252     "</f>
        <v xml:space="preserve">2196252     </v>
      </c>
      <c r="E26152" t="s">
        <v>543</v>
      </c>
      <c r="F26152" t="s">
        <v>544</v>
      </c>
      <c r="G26152">
        <v>68.819999999999993</v>
      </c>
      <c r="H26152">
        <v>250124</v>
      </c>
      <c r="I26152">
        <v>4534</v>
      </c>
      <c r="J26152" t="s">
        <v>349</v>
      </c>
      <c r="K26152">
        <v>537.13</v>
      </c>
      <c r="L26152">
        <v>13.98</v>
      </c>
      <c r="M26152">
        <v>54222</v>
      </c>
      <c r="N26152" t="s">
        <v>48</v>
      </c>
      <c r="O26152">
        <v>250129</v>
      </c>
      <c r="P26152">
        <v>54.84</v>
      </c>
    </row>
    <row r="26153" spans="1:16" x14ac:dyDescent="0.25">
      <c r="A26153" t="s">
        <v>3296</v>
      </c>
      <c r="B26153" t="s">
        <v>2931</v>
      </c>
      <c r="C26153">
        <v>1862</v>
      </c>
      <c r="D26153" t="str">
        <f>"2197283     "</f>
        <v xml:space="preserve">2197283     </v>
      </c>
      <c r="E26153" t="s">
        <v>543</v>
      </c>
      <c r="F26153" t="s">
        <v>544</v>
      </c>
      <c r="G26153">
        <v>39.58</v>
      </c>
      <c r="H26153">
        <v>250128</v>
      </c>
      <c r="I26153">
        <v>4534</v>
      </c>
      <c r="J26153" t="s">
        <v>349</v>
      </c>
      <c r="K26153">
        <v>324.70999999999998</v>
      </c>
      <c r="L26153">
        <v>8.0399999999999991</v>
      </c>
      <c r="M26153">
        <v>49111</v>
      </c>
      <c r="N26153" t="s">
        <v>108</v>
      </c>
      <c r="O26153">
        <v>250214</v>
      </c>
      <c r="P26153">
        <v>31.54</v>
      </c>
    </row>
    <row r="26154" spans="1:16" x14ac:dyDescent="0.25">
      <c r="A26154" t="s">
        <v>3296</v>
      </c>
      <c r="B26154" t="s">
        <v>2931</v>
      </c>
      <c r="C26154">
        <v>1862</v>
      </c>
      <c r="D26154" t="str">
        <f>"2197283     "</f>
        <v xml:space="preserve">2197283     </v>
      </c>
      <c r="E26154" t="s">
        <v>543</v>
      </c>
      <c r="F26154" t="s">
        <v>544</v>
      </c>
      <c r="G26154">
        <v>19.78</v>
      </c>
      <c r="H26154">
        <v>250128</v>
      </c>
      <c r="I26154">
        <v>4534</v>
      </c>
      <c r="J26154" t="s">
        <v>349</v>
      </c>
      <c r="K26154">
        <v>324.70999999999998</v>
      </c>
      <c r="L26154">
        <v>4.0199999999999996</v>
      </c>
      <c r="M26154">
        <v>49702</v>
      </c>
      <c r="N26154" t="s">
        <v>112</v>
      </c>
      <c r="O26154">
        <v>250214</v>
      </c>
      <c r="P26154">
        <v>15.76</v>
      </c>
    </row>
    <row r="26155" spans="1:16" x14ac:dyDescent="0.25">
      <c r="A26155" t="s">
        <v>3296</v>
      </c>
      <c r="B26155" t="s">
        <v>2931</v>
      </c>
      <c r="C26155">
        <v>4395</v>
      </c>
      <c r="D26155" t="str">
        <f>"2216129     "</f>
        <v xml:space="preserve">2216129     </v>
      </c>
      <c r="E26155" t="s">
        <v>543</v>
      </c>
      <c r="F26155" t="s">
        <v>544</v>
      </c>
      <c r="G26155">
        <v>27.61</v>
      </c>
      <c r="H26155">
        <v>250313</v>
      </c>
      <c r="I26155">
        <v>4534</v>
      </c>
      <c r="J26155" t="s">
        <v>349</v>
      </c>
      <c r="K26155">
        <v>323.51</v>
      </c>
      <c r="L26155">
        <v>5.61</v>
      </c>
      <c r="M26155">
        <v>69704</v>
      </c>
      <c r="N26155" t="s">
        <v>89</v>
      </c>
      <c r="O26155">
        <v>250411</v>
      </c>
      <c r="P26155">
        <v>22</v>
      </c>
    </row>
    <row r="26156" spans="1:16" x14ac:dyDescent="0.25">
      <c r="A26156" t="s">
        <v>3296</v>
      </c>
      <c r="B26156" t="s">
        <v>2931</v>
      </c>
      <c r="C26156">
        <v>4428</v>
      </c>
      <c r="D26156" t="str">
        <f>"2216130     "</f>
        <v xml:space="preserve">2216130     </v>
      </c>
      <c r="E26156" t="s">
        <v>543</v>
      </c>
      <c r="F26156" t="s">
        <v>544</v>
      </c>
      <c r="G26156">
        <v>47.98</v>
      </c>
      <c r="H26156">
        <v>250313</v>
      </c>
      <c r="I26156">
        <v>4534</v>
      </c>
      <c r="J26156" t="s">
        <v>349</v>
      </c>
      <c r="K26156">
        <v>231.52</v>
      </c>
      <c r="L26156">
        <v>9.75</v>
      </c>
      <c r="M26156">
        <v>54222</v>
      </c>
      <c r="N26156" t="s">
        <v>48</v>
      </c>
      <c r="O26156">
        <v>250411</v>
      </c>
      <c r="P26156">
        <v>38.229999999999997</v>
      </c>
    </row>
    <row r="26157" spans="1:16" x14ac:dyDescent="0.25">
      <c r="A26157" t="s">
        <v>3296</v>
      </c>
      <c r="B26157" t="s">
        <v>2931</v>
      </c>
      <c r="C26157">
        <v>5625</v>
      </c>
      <c r="D26157" t="str">
        <f>"2226822     "</f>
        <v xml:space="preserve">2226822     </v>
      </c>
      <c r="E26157" t="s">
        <v>543</v>
      </c>
      <c r="F26157" t="s">
        <v>544</v>
      </c>
      <c r="G26157">
        <v>17.149999999999999</v>
      </c>
      <c r="H26157">
        <v>250409</v>
      </c>
      <c r="I26157">
        <v>4534</v>
      </c>
      <c r="J26157" t="s">
        <v>349</v>
      </c>
      <c r="K26157">
        <v>205.2</v>
      </c>
      <c r="L26157">
        <v>3.48</v>
      </c>
      <c r="M26157">
        <v>56522</v>
      </c>
      <c r="N26157" t="s">
        <v>68</v>
      </c>
      <c r="O26157">
        <v>250425</v>
      </c>
      <c r="P26157">
        <v>13.67</v>
      </c>
    </row>
    <row r="26158" spans="1:16" x14ac:dyDescent="0.25">
      <c r="A26158" t="s">
        <v>3296</v>
      </c>
      <c r="B26158" t="s">
        <v>2931</v>
      </c>
      <c r="C26158">
        <v>5625</v>
      </c>
      <c r="D26158" t="str">
        <f>"2226822     "</f>
        <v xml:space="preserve">2226822     </v>
      </c>
      <c r="E26158" t="s">
        <v>543</v>
      </c>
      <c r="F26158" t="s">
        <v>544</v>
      </c>
      <c r="G26158">
        <v>17.149999999999999</v>
      </c>
      <c r="H26158">
        <v>250409</v>
      </c>
      <c r="I26158">
        <v>4534</v>
      </c>
      <c r="J26158" t="s">
        <v>349</v>
      </c>
      <c r="K26158">
        <v>205.2</v>
      </c>
      <c r="L26158">
        <v>3.48</v>
      </c>
      <c r="M26158">
        <v>56558</v>
      </c>
      <c r="N26158" t="s">
        <v>50</v>
      </c>
      <c r="O26158">
        <v>250425</v>
      </c>
      <c r="P26158">
        <v>13.67</v>
      </c>
    </row>
    <row r="26159" spans="1:16" x14ac:dyDescent="0.25">
      <c r="A26159" t="s">
        <v>3296</v>
      </c>
      <c r="B26159" t="s">
        <v>2931</v>
      </c>
      <c r="C26159">
        <v>5625</v>
      </c>
      <c r="D26159" t="str">
        <f>"2226822     "</f>
        <v xml:space="preserve">2226822     </v>
      </c>
      <c r="E26159" t="s">
        <v>543</v>
      </c>
      <c r="F26159" t="s">
        <v>544</v>
      </c>
      <c r="G26159">
        <v>66.56</v>
      </c>
      <c r="H26159">
        <v>250409</v>
      </c>
      <c r="I26159">
        <v>4534</v>
      </c>
      <c r="J26159" t="s">
        <v>349</v>
      </c>
      <c r="K26159">
        <v>205.2</v>
      </c>
      <c r="L26159">
        <v>13.52</v>
      </c>
      <c r="M26159">
        <v>59702</v>
      </c>
      <c r="N26159" t="s">
        <v>45</v>
      </c>
      <c r="O26159">
        <v>250425</v>
      </c>
      <c r="P26159">
        <v>53.04</v>
      </c>
    </row>
    <row r="26160" spans="1:16" x14ac:dyDescent="0.25">
      <c r="A26160" t="s">
        <v>3296</v>
      </c>
      <c r="B26160" t="s">
        <v>2931</v>
      </c>
      <c r="C26160">
        <v>8529</v>
      </c>
      <c r="D26160" t="str">
        <f>"2243019     "</f>
        <v xml:space="preserve">2243019     </v>
      </c>
      <c r="E26160" t="s">
        <v>543</v>
      </c>
      <c r="F26160" t="s">
        <v>544</v>
      </c>
      <c r="G26160">
        <v>14.91</v>
      </c>
      <c r="H26160">
        <v>250523</v>
      </c>
      <c r="I26160">
        <v>4534</v>
      </c>
      <c r="J26160" t="s">
        <v>349</v>
      </c>
      <c r="K26160">
        <v>302</v>
      </c>
      <c r="L26160">
        <v>3.03</v>
      </c>
      <c r="M26160">
        <v>69704</v>
      </c>
      <c r="N26160" t="s">
        <v>89</v>
      </c>
      <c r="O26160">
        <v>250617</v>
      </c>
      <c r="P26160">
        <v>11.88</v>
      </c>
    </row>
    <row r="26161" spans="1:16" x14ac:dyDescent="0.25">
      <c r="A26161" t="s">
        <v>3296</v>
      </c>
      <c r="B26161" t="s">
        <v>2931</v>
      </c>
      <c r="C26161">
        <v>8742</v>
      </c>
      <c r="D26161" t="str">
        <f>"2248803     "</f>
        <v xml:space="preserve">2248803     </v>
      </c>
      <c r="E26161" t="s">
        <v>543</v>
      </c>
      <c r="F26161" t="s">
        <v>544</v>
      </c>
      <c r="G26161">
        <v>682.07</v>
      </c>
      <c r="H26161">
        <v>250604</v>
      </c>
      <c r="I26161">
        <v>4534</v>
      </c>
      <c r="J26161" t="s">
        <v>349</v>
      </c>
      <c r="K26161">
        <v>682.07</v>
      </c>
      <c r="L26161">
        <v>138.59</v>
      </c>
      <c r="M26161">
        <v>17808</v>
      </c>
      <c r="N26161" t="s">
        <v>24</v>
      </c>
      <c r="O26161">
        <v>250617</v>
      </c>
      <c r="P26161">
        <v>543.48</v>
      </c>
    </row>
    <row r="26162" spans="1:16" x14ac:dyDescent="0.25">
      <c r="A26162" t="s">
        <v>3296</v>
      </c>
      <c r="B26162" t="s">
        <v>2931</v>
      </c>
      <c r="C26162">
        <v>9837</v>
      </c>
      <c r="D26162" t="str">
        <f>"2261065     "</f>
        <v xml:space="preserve">2261065     </v>
      </c>
      <c r="E26162" t="s">
        <v>543</v>
      </c>
      <c r="F26162" t="s">
        <v>544</v>
      </c>
      <c r="G26162">
        <v>199.19</v>
      </c>
      <c r="H26162">
        <v>250717</v>
      </c>
      <c r="I26162">
        <v>4534</v>
      </c>
      <c r="J26162" t="s">
        <v>349</v>
      </c>
      <c r="K26162">
        <v>199.19</v>
      </c>
      <c r="L26162">
        <v>40.47</v>
      </c>
      <c r="M26162">
        <v>17808</v>
      </c>
      <c r="N26162" t="s">
        <v>24</v>
      </c>
      <c r="O26162">
        <v>250729</v>
      </c>
      <c r="P26162">
        <v>158.72</v>
      </c>
    </row>
    <row r="26163" spans="1:16" x14ac:dyDescent="0.25">
      <c r="A26163" t="s">
        <v>3296</v>
      </c>
      <c r="B26163" t="s">
        <v>2931</v>
      </c>
      <c r="C26163">
        <v>10559</v>
      </c>
      <c r="D26163" t="str">
        <f>"2267275     "</f>
        <v xml:space="preserve">2267275     </v>
      </c>
      <c r="E26163" t="s">
        <v>543</v>
      </c>
      <c r="F26163" t="s">
        <v>544</v>
      </c>
      <c r="G26163">
        <v>7.74</v>
      </c>
      <c r="H26163">
        <v>250806</v>
      </c>
      <c r="I26163">
        <v>4534</v>
      </c>
      <c r="J26163" t="s">
        <v>349</v>
      </c>
      <c r="K26163">
        <v>263.42</v>
      </c>
      <c r="L26163">
        <v>1.57</v>
      </c>
      <c r="M26163">
        <v>56559</v>
      </c>
      <c r="N26163" t="s">
        <v>51</v>
      </c>
      <c r="O26163">
        <v>250820</v>
      </c>
      <c r="P26163">
        <v>6.17</v>
      </c>
    </row>
    <row r="26164" spans="1:16" x14ac:dyDescent="0.25">
      <c r="A26164" t="s">
        <v>3296</v>
      </c>
      <c r="B26164" t="s">
        <v>2931</v>
      </c>
      <c r="C26164">
        <v>10559</v>
      </c>
      <c r="D26164" t="str">
        <f>"2267275     "</f>
        <v xml:space="preserve">2267275     </v>
      </c>
      <c r="E26164" t="s">
        <v>543</v>
      </c>
      <c r="F26164" t="s">
        <v>544</v>
      </c>
      <c r="G26164">
        <v>15.45</v>
      </c>
      <c r="H26164">
        <v>250806</v>
      </c>
      <c r="I26164">
        <v>4534</v>
      </c>
      <c r="J26164" t="s">
        <v>349</v>
      </c>
      <c r="K26164">
        <v>263.42</v>
      </c>
      <c r="L26164">
        <v>3.14</v>
      </c>
      <c r="M26164">
        <v>59702</v>
      </c>
      <c r="N26164" t="s">
        <v>45</v>
      </c>
      <c r="O26164">
        <v>250820</v>
      </c>
      <c r="P26164">
        <v>12.31</v>
      </c>
    </row>
    <row r="26165" spans="1:16" x14ac:dyDescent="0.25">
      <c r="A26165" t="s">
        <v>3296</v>
      </c>
      <c r="B26165" t="s">
        <v>2931</v>
      </c>
      <c r="C26165">
        <v>11100</v>
      </c>
      <c r="D26165" t="str">
        <f>"2273031     "</f>
        <v xml:space="preserve">2273031     </v>
      </c>
      <c r="E26165" t="s">
        <v>543</v>
      </c>
      <c r="F26165" t="s">
        <v>544</v>
      </c>
      <c r="G26165">
        <v>104.39</v>
      </c>
      <c r="H26165">
        <v>250820</v>
      </c>
      <c r="I26165">
        <v>4534</v>
      </c>
      <c r="J26165" t="s">
        <v>349</v>
      </c>
      <c r="K26165">
        <v>949.03</v>
      </c>
      <c r="L26165">
        <v>21.21</v>
      </c>
      <c r="M26165">
        <v>13540</v>
      </c>
      <c r="N26165" t="s">
        <v>131</v>
      </c>
      <c r="O26165">
        <v>250829</v>
      </c>
      <c r="P26165">
        <v>83.18</v>
      </c>
    </row>
    <row r="26166" spans="1:16" x14ac:dyDescent="0.25">
      <c r="A26166" t="s">
        <v>3296</v>
      </c>
      <c r="B26166" t="s">
        <v>2931</v>
      </c>
      <c r="C26166">
        <v>11100</v>
      </c>
      <c r="D26166" t="str">
        <f>"2273031     "</f>
        <v xml:space="preserve">2273031     </v>
      </c>
      <c r="E26166" t="s">
        <v>543</v>
      </c>
      <c r="F26166" t="s">
        <v>544</v>
      </c>
      <c r="G26166">
        <v>711.78</v>
      </c>
      <c r="H26166">
        <v>250820</v>
      </c>
      <c r="I26166">
        <v>4534</v>
      </c>
      <c r="J26166" t="s">
        <v>349</v>
      </c>
      <c r="K26166">
        <v>949.03</v>
      </c>
      <c r="L26166">
        <v>144.62</v>
      </c>
      <c r="M26166">
        <v>17950</v>
      </c>
      <c r="N26166" t="s">
        <v>132</v>
      </c>
      <c r="O26166">
        <v>250829</v>
      </c>
      <c r="P26166">
        <v>567.16</v>
      </c>
    </row>
    <row r="26167" spans="1:16" x14ac:dyDescent="0.25">
      <c r="A26167" t="s">
        <v>3296</v>
      </c>
      <c r="B26167" t="s">
        <v>2931</v>
      </c>
      <c r="C26167">
        <v>11100</v>
      </c>
      <c r="D26167" t="str">
        <f>"2273031     "</f>
        <v xml:space="preserve">2273031     </v>
      </c>
      <c r="E26167" t="s">
        <v>543</v>
      </c>
      <c r="F26167" t="s">
        <v>544</v>
      </c>
      <c r="G26167">
        <v>132.86000000000001</v>
      </c>
      <c r="H26167">
        <v>250820</v>
      </c>
      <c r="I26167">
        <v>4534</v>
      </c>
      <c r="J26167" t="s">
        <v>349</v>
      </c>
      <c r="K26167">
        <v>949.03</v>
      </c>
      <c r="L26167">
        <v>27</v>
      </c>
      <c r="M26167">
        <v>17956</v>
      </c>
      <c r="N26167" t="s">
        <v>170</v>
      </c>
      <c r="O26167">
        <v>250829</v>
      </c>
      <c r="P26167">
        <v>105.86</v>
      </c>
    </row>
    <row r="26168" spans="1:16" x14ac:dyDescent="0.25">
      <c r="A26168" t="s">
        <v>3296</v>
      </c>
      <c r="B26168" t="s">
        <v>2931</v>
      </c>
      <c r="C26168">
        <v>11101</v>
      </c>
      <c r="D26168" t="str">
        <f>"2274834     "</f>
        <v xml:space="preserve">2274834     </v>
      </c>
      <c r="E26168" t="s">
        <v>543</v>
      </c>
      <c r="F26168" t="s">
        <v>544</v>
      </c>
      <c r="G26168">
        <v>125.6</v>
      </c>
      <c r="H26168">
        <v>250826</v>
      </c>
      <c r="I26168">
        <v>4534</v>
      </c>
      <c r="J26168" t="s">
        <v>349</v>
      </c>
      <c r="K26168">
        <v>220.1</v>
      </c>
      <c r="L26168">
        <v>25.52</v>
      </c>
      <c r="M26168">
        <v>56566</v>
      </c>
      <c r="N26168" t="s">
        <v>58</v>
      </c>
      <c r="O26168">
        <v>250829</v>
      </c>
      <c r="P26168">
        <v>100.08</v>
      </c>
    </row>
    <row r="26169" spans="1:16" x14ac:dyDescent="0.25">
      <c r="A26169" t="s">
        <v>3296</v>
      </c>
      <c r="B26169" t="s">
        <v>2931</v>
      </c>
      <c r="C26169">
        <v>12359</v>
      </c>
      <c r="D26169" t="str">
        <f>"2281179     "</f>
        <v xml:space="preserve">2281179     </v>
      </c>
      <c r="E26169" t="s">
        <v>543</v>
      </c>
      <c r="F26169" t="s">
        <v>544</v>
      </c>
      <c r="G26169">
        <v>26.51</v>
      </c>
      <c r="H26169">
        <v>250908</v>
      </c>
      <c r="I26169">
        <v>4534</v>
      </c>
      <c r="J26169" t="s">
        <v>349</v>
      </c>
      <c r="K26169">
        <v>313.17</v>
      </c>
      <c r="L26169">
        <v>5.39</v>
      </c>
      <c r="M26169">
        <v>13540</v>
      </c>
      <c r="N26169" t="s">
        <v>131</v>
      </c>
      <c r="O26169">
        <v>250919</v>
      </c>
      <c r="P26169">
        <v>21.12</v>
      </c>
    </row>
    <row r="26170" spans="1:16" x14ac:dyDescent="0.25">
      <c r="A26170" t="s">
        <v>3296</v>
      </c>
      <c r="B26170" t="s">
        <v>2931</v>
      </c>
      <c r="C26170">
        <v>12359</v>
      </c>
      <c r="D26170" t="str">
        <f>"2281179     "</f>
        <v xml:space="preserve">2281179     </v>
      </c>
      <c r="E26170" t="s">
        <v>543</v>
      </c>
      <c r="F26170" t="s">
        <v>544</v>
      </c>
      <c r="G26170">
        <v>180.75</v>
      </c>
      <c r="H26170">
        <v>250908</v>
      </c>
      <c r="I26170">
        <v>4534</v>
      </c>
      <c r="J26170" t="s">
        <v>349</v>
      </c>
      <c r="K26170">
        <v>313.17</v>
      </c>
      <c r="L26170">
        <v>36.729999999999997</v>
      </c>
      <c r="M26170">
        <v>17950</v>
      </c>
      <c r="N26170" t="s">
        <v>132</v>
      </c>
      <c r="O26170">
        <v>250919</v>
      </c>
      <c r="P26170">
        <v>144.02000000000001</v>
      </c>
    </row>
    <row r="26171" spans="1:16" x14ac:dyDescent="0.25">
      <c r="A26171" t="s">
        <v>3296</v>
      </c>
      <c r="B26171" t="s">
        <v>2931</v>
      </c>
      <c r="C26171">
        <v>12359</v>
      </c>
      <c r="D26171" t="str">
        <f>"2281179     "</f>
        <v xml:space="preserve">2281179     </v>
      </c>
      <c r="E26171" t="s">
        <v>543</v>
      </c>
      <c r="F26171" t="s">
        <v>544</v>
      </c>
      <c r="G26171">
        <v>33.74</v>
      </c>
      <c r="H26171">
        <v>250908</v>
      </c>
      <c r="I26171">
        <v>4534</v>
      </c>
      <c r="J26171" t="s">
        <v>349</v>
      </c>
      <c r="K26171">
        <v>313.17</v>
      </c>
      <c r="L26171">
        <v>6.86</v>
      </c>
      <c r="M26171">
        <v>17956</v>
      </c>
      <c r="N26171" t="s">
        <v>170</v>
      </c>
      <c r="O26171">
        <v>250919</v>
      </c>
      <c r="P26171">
        <v>26.88</v>
      </c>
    </row>
    <row r="26172" spans="1:16" x14ac:dyDescent="0.25">
      <c r="A26172" t="s">
        <v>3296</v>
      </c>
      <c r="B26172" t="s">
        <v>2931</v>
      </c>
      <c r="C26172">
        <v>12417</v>
      </c>
      <c r="D26172" t="str">
        <f>"2282926     "</f>
        <v xml:space="preserve">2282926     </v>
      </c>
      <c r="E26172" t="s">
        <v>543</v>
      </c>
      <c r="F26172" t="s">
        <v>544</v>
      </c>
      <c r="G26172">
        <v>13.32</v>
      </c>
      <c r="H26172">
        <v>250911</v>
      </c>
      <c r="I26172">
        <v>4534</v>
      </c>
      <c r="J26172" t="s">
        <v>349</v>
      </c>
      <c r="K26172">
        <v>687.76</v>
      </c>
      <c r="L26172">
        <v>2.71</v>
      </c>
      <c r="M26172">
        <v>17971</v>
      </c>
      <c r="N26172" t="s">
        <v>27</v>
      </c>
      <c r="O26172">
        <v>250919</v>
      </c>
      <c r="P26172">
        <v>10.61</v>
      </c>
    </row>
    <row r="26173" spans="1:16" x14ac:dyDescent="0.25">
      <c r="A26173" t="s">
        <v>3296</v>
      </c>
      <c r="B26173" t="s">
        <v>2931</v>
      </c>
      <c r="C26173">
        <v>12418</v>
      </c>
      <c r="D26173" t="str">
        <f>"2282927     "</f>
        <v xml:space="preserve">2282927     </v>
      </c>
      <c r="E26173" t="s">
        <v>543</v>
      </c>
      <c r="F26173" t="s">
        <v>544</v>
      </c>
      <c r="G26173">
        <v>182.73</v>
      </c>
      <c r="H26173">
        <v>250911</v>
      </c>
      <c r="I26173">
        <v>4534</v>
      </c>
      <c r="J26173" t="s">
        <v>349</v>
      </c>
      <c r="K26173">
        <v>285.3</v>
      </c>
      <c r="L26173">
        <v>37.130000000000003</v>
      </c>
      <c r="M26173">
        <v>69702</v>
      </c>
      <c r="N26173" t="s">
        <v>124</v>
      </c>
      <c r="O26173">
        <v>250919</v>
      </c>
      <c r="P26173">
        <v>145.6</v>
      </c>
    </row>
    <row r="26174" spans="1:16" x14ac:dyDescent="0.25">
      <c r="A26174" t="s">
        <v>3296</v>
      </c>
      <c r="B26174" t="s">
        <v>2931</v>
      </c>
      <c r="C26174">
        <v>12419</v>
      </c>
      <c r="D26174" t="str">
        <f>"2282925     "</f>
        <v xml:space="preserve">2282925     </v>
      </c>
      <c r="E26174" t="s">
        <v>543</v>
      </c>
      <c r="F26174" t="s">
        <v>544</v>
      </c>
      <c r="G26174">
        <v>6.27</v>
      </c>
      <c r="H26174">
        <v>250911</v>
      </c>
      <c r="I26174">
        <v>4534</v>
      </c>
      <c r="J26174" t="s">
        <v>349</v>
      </c>
      <c r="K26174">
        <v>145.26</v>
      </c>
      <c r="L26174">
        <v>1.27</v>
      </c>
      <c r="M26174">
        <v>17131</v>
      </c>
      <c r="N26174" t="s">
        <v>154</v>
      </c>
      <c r="O26174">
        <v>250919</v>
      </c>
      <c r="P26174">
        <v>5</v>
      </c>
    </row>
    <row r="26175" spans="1:16" x14ac:dyDescent="0.25">
      <c r="A26175" t="s">
        <v>3296</v>
      </c>
      <c r="B26175" t="s">
        <v>2931</v>
      </c>
      <c r="C26175">
        <v>12419</v>
      </c>
      <c r="D26175" t="str">
        <f>"2282925     "</f>
        <v xml:space="preserve">2282925     </v>
      </c>
      <c r="E26175" t="s">
        <v>543</v>
      </c>
      <c r="F26175" t="s">
        <v>544</v>
      </c>
      <c r="G26175">
        <v>66.349999999999994</v>
      </c>
      <c r="H26175">
        <v>250911</v>
      </c>
      <c r="I26175">
        <v>4534</v>
      </c>
      <c r="J26175" t="s">
        <v>349</v>
      </c>
      <c r="K26175">
        <v>145.26</v>
      </c>
      <c r="L26175">
        <v>13.48</v>
      </c>
      <c r="M26175">
        <v>17131</v>
      </c>
      <c r="N26175" t="s">
        <v>154</v>
      </c>
      <c r="O26175">
        <v>250919</v>
      </c>
      <c r="P26175">
        <v>52.87</v>
      </c>
    </row>
    <row r="26176" spans="1:16" x14ac:dyDescent="0.25">
      <c r="A26176" t="s">
        <v>3296</v>
      </c>
      <c r="B26176" t="s">
        <v>2931</v>
      </c>
      <c r="C26176">
        <v>12419</v>
      </c>
      <c r="D26176" t="str">
        <f>"2282925     "</f>
        <v xml:space="preserve">2282925     </v>
      </c>
      <c r="E26176" t="s">
        <v>543</v>
      </c>
      <c r="F26176" t="s">
        <v>544</v>
      </c>
      <c r="G26176">
        <v>6.28</v>
      </c>
      <c r="H26176">
        <v>250911</v>
      </c>
      <c r="I26176">
        <v>4534</v>
      </c>
      <c r="J26176" t="s">
        <v>349</v>
      </c>
      <c r="K26176">
        <v>145.26</v>
      </c>
      <c r="L26176">
        <v>1.28</v>
      </c>
      <c r="M26176">
        <v>17131</v>
      </c>
      <c r="N26176" t="s">
        <v>154</v>
      </c>
      <c r="O26176">
        <v>250919</v>
      </c>
      <c r="P26176">
        <v>5</v>
      </c>
    </row>
    <row r="26177" spans="1:16" x14ac:dyDescent="0.25">
      <c r="A26177" t="s">
        <v>3296</v>
      </c>
      <c r="B26177" t="s">
        <v>2931</v>
      </c>
      <c r="C26177">
        <v>12419</v>
      </c>
      <c r="D26177" t="str">
        <f>"2282925     "</f>
        <v xml:space="preserve">2282925     </v>
      </c>
      <c r="E26177" t="s">
        <v>543</v>
      </c>
      <c r="F26177" t="s">
        <v>544</v>
      </c>
      <c r="G26177">
        <v>66.36</v>
      </c>
      <c r="H26177">
        <v>250911</v>
      </c>
      <c r="I26177">
        <v>4534</v>
      </c>
      <c r="J26177" t="s">
        <v>349</v>
      </c>
      <c r="K26177">
        <v>145.26</v>
      </c>
      <c r="L26177">
        <v>13.48</v>
      </c>
      <c r="M26177">
        <v>17131</v>
      </c>
      <c r="N26177" t="s">
        <v>154</v>
      </c>
      <c r="O26177">
        <v>250919</v>
      </c>
      <c r="P26177">
        <v>52.88</v>
      </c>
    </row>
    <row r="26178" spans="1:16" x14ac:dyDescent="0.25">
      <c r="A26178" t="s">
        <v>3296</v>
      </c>
      <c r="B26178" t="s">
        <v>2931</v>
      </c>
      <c r="C26178">
        <v>14411</v>
      </c>
      <c r="D26178" t="str">
        <f>"2299305     "</f>
        <v xml:space="preserve">2299305     </v>
      </c>
      <c r="E26178" t="s">
        <v>543</v>
      </c>
      <c r="F26178" t="s">
        <v>544</v>
      </c>
      <c r="G26178">
        <v>26.66</v>
      </c>
      <c r="H26178">
        <v>251023</v>
      </c>
      <c r="I26178">
        <v>4534</v>
      </c>
      <c r="J26178" t="s">
        <v>349</v>
      </c>
      <c r="K26178">
        <v>145.69</v>
      </c>
      <c r="L26178">
        <v>5.42</v>
      </c>
      <c r="M26178">
        <v>59702</v>
      </c>
      <c r="N26178" t="s">
        <v>45</v>
      </c>
      <c r="O26178">
        <v>251031</v>
      </c>
      <c r="P26178">
        <v>21.24</v>
      </c>
    </row>
    <row r="26179" spans="1:16" x14ac:dyDescent="0.25">
      <c r="A26179" t="s">
        <v>3296</v>
      </c>
      <c r="B26179" t="s">
        <v>2931</v>
      </c>
      <c r="C26179">
        <v>14414</v>
      </c>
      <c r="D26179" t="str">
        <f>"2300128     "</f>
        <v xml:space="preserve">2300128     </v>
      </c>
      <c r="E26179" t="s">
        <v>543</v>
      </c>
      <c r="F26179" t="s">
        <v>544</v>
      </c>
      <c r="G26179">
        <v>22.88</v>
      </c>
      <c r="H26179">
        <v>251027</v>
      </c>
      <c r="I26179">
        <v>4534</v>
      </c>
      <c r="J26179" t="s">
        <v>349</v>
      </c>
      <c r="K26179">
        <v>494.58</v>
      </c>
      <c r="L26179">
        <v>4.6500000000000004</v>
      </c>
      <c r="M26179">
        <v>17131</v>
      </c>
      <c r="N26179" t="s">
        <v>154</v>
      </c>
      <c r="O26179">
        <v>251031</v>
      </c>
      <c r="P26179">
        <v>18.23</v>
      </c>
    </row>
    <row r="26180" spans="1:16" x14ac:dyDescent="0.25">
      <c r="A26180" t="s">
        <v>3296</v>
      </c>
      <c r="B26180" t="s">
        <v>2931</v>
      </c>
      <c r="C26180">
        <v>14414</v>
      </c>
      <c r="D26180" t="str">
        <f>"2300128     "</f>
        <v xml:space="preserve">2300128     </v>
      </c>
      <c r="E26180" t="s">
        <v>543</v>
      </c>
      <c r="F26180" t="s">
        <v>544</v>
      </c>
      <c r="G26180">
        <v>22.88</v>
      </c>
      <c r="H26180">
        <v>251027</v>
      </c>
      <c r="I26180">
        <v>4534</v>
      </c>
      <c r="J26180" t="s">
        <v>349</v>
      </c>
      <c r="K26180">
        <v>494.58</v>
      </c>
      <c r="L26180">
        <v>4.6500000000000004</v>
      </c>
      <c r="M26180">
        <v>17131</v>
      </c>
      <c r="N26180" t="s">
        <v>154</v>
      </c>
      <c r="O26180">
        <v>251031</v>
      </c>
      <c r="P26180">
        <v>18.23</v>
      </c>
    </row>
    <row r="26181" spans="1:16" x14ac:dyDescent="0.25">
      <c r="A26181" t="s">
        <v>3296</v>
      </c>
      <c r="B26181" t="s">
        <v>2931</v>
      </c>
      <c r="C26181">
        <v>15972</v>
      </c>
      <c r="D26181" t="str">
        <f>"2309590     "</f>
        <v xml:space="preserve">2309590     </v>
      </c>
      <c r="E26181" t="s">
        <v>543</v>
      </c>
      <c r="F26181" t="s">
        <v>544</v>
      </c>
      <c r="G26181">
        <v>4.2300000000000004</v>
      </c>
      <c r="H26181">
        <v>251117</v>
      </c>
      <c r="I26181">
        <v>4534</v>
      </c>
      <c r="J26181" t="s">
        <v>349</v>
      </c>
      <c r="K26181">
        <v>2509</v>
      </c>
      <c r="L26181">
        <v>0.86</v>
      </c>
      <c r="M26181">
        <v>13540</v>
      </c>
      <c r="N26181" t="s">
        <v>131</v>
      </c>
      <c r="O26181">
        <v>251201</v>
      </c>
      <c r="P26181">
        <v>3.37</v>
      </c>
    </row>
    <row r="26182" spans="1:16" x14ac:dyDescent="0.25">
      <c r="A26182" t="s">
        <v>3296</v>
      </c>
      <c r="B26182" t="s">
        <v>2931</v>
      </c>
      <c r="C26182">
        <v>15972</v>
      </c>
      <c r="D26182" t="str">
        <f>"2309590     "</f>
        <v xml:space="preserve">2309590     </v>
      </c>
      <c r="E26182" t="s">
        <v>543</v>
      </c>
      <c r="F26182" t="s">
        <v>544</v>
      </c>
      <c r="G26182">
        <v>28.98</v>
      </c>
      <c r="H26182">
        <v>251117</v>
      </c>
      <c r="I26182">
        <v>4534</v>
      </c>
      <c r="J26182" t="s">
        <v>349</v>
      </c>
      <c r="K26182">
        <v>2509</v>
      </c>
      <c r="L26182">
        <v>5.89</v>
      </c>
      <c r="M26182">
        <v>17950</v>
      </c>
      <c r="N26182" t="s">
        <v>132</v>
      </c>
      <c r="O26182">
        <v>251201</v>
      </c>
      <c r="P26182">
        <v>23.09</v>
      </c>
    </row>
    <row r="26183" spans="1:16" x14ac:dyDescent="0.25">
      <c r="A26183" t="s">
        <v>3296</v>
      </c>
      <c r="B26183" t="s">
        <v>2931</v>
      </c>
      <c r="C26183">
        <v>15972</v>
      </c>
      <c r="D26183" t="str">
        <f>"2309590     "</f>
        <v xml:space="preserve">2309590     </v>
      </c>
      <c r="E26183" t="s">
        <v>543</v>
      </c>
      <c r="F26183" t="s">
        <v>544</v>
      </c>
      <c r="G26183">
        <v>5.44</v>
      </c>
      <c r="H26183">
        <v>251117</v>
      </c>
      <c r="I26183">
        <v>4534</v>
      </c>
      <c r="J26183" t="s">
        <v>349</v>
      </c>
      <c r="K26183">
        <v>2509</v>
      </c>
      <c r="L26183">
        <v>1.1100000000000001</v>
      </c>
      <c r="M26183">
        <v>17956</v>
      </c>
      <c r="N26183" t="s">
        <v>170</v>
      </c>
      <c r="O26183">
        <v>251201</v>
      </c>
      <c r="P26183">
        <v>4.33</v>
      </c>
    </row>
    <row r="26184" spans="1:16" x14ac:dyDescent="0.25">
      <c r="A26184" t="s">
        <v>3296</v>
      </c>
      <c r="B26184" t="s">
        <v>2931</v>
      </c>
      <c r="C26184">
        <v>17684</v>
      </c>
      <c r="D26184" t="str">
        <f>"2318273     "</f>
        <v xml:space="preserve">2318273     </v>
      </c>
      <c r="E26184" t="s">
        <v>543</v>
      </c>
      <c r="F26184" t="s">
        <v>544</v>
      </c>
      <c r="G26184">
        <v>31</v>
      </c>
      <c r="H26184">
        <v>251205</v>
      </c>
      <c r="I26184">
        <v>4534</v>
      </c>
      <c r="J26184" t="s">
        <v>349</v>
      </c>
      <c r="K26184">
        <v>501.49</v>
      </c>
      <c r="L26184">
        <v>6.3</v>
      </c>
      <c r="M26184">
        <v>69704</v>
      </c>
      <c r="N26184" t="s">
        <v>89</v>
      </c>
      <c r="O26184">
        <v>251229</v>
      </c>
      <c r="P26184">
        <v>24.7</v>
      </c>
    </row>
    <row r="26185" spans="1:16" x14ac:dyDescent="0.25">
      <c r="A26185" t="s">
        <v>3296</v>
      </c>
      <c r="B26185" t="s">
        <v>2931</v>
      </c>
      <c r="C26185">
        <v>8111</v>
      </c>
      <c r="D26185" t="str">
        <f>"2239083     "</f>
        <v xml:space="preserve">2239083     </v>
      </c>
      <c r="E26185" t="s">
        <v>543</v>
      </c>
      <c r="F26185" t="s">
        <v>544</v>
      </c>
      <c r="G26185">
        <v>9.64</v>
      </c>
      <c r="H26185">
        <v>250515</v>
      </c>
      <c r="I26185">
        <v>4550</v>
      </c>
      <c r="J26185" t="s">
        <v>226</v>
      </c>
      <c r="K26185">
        <v>87.6</v>
      </c>
      <c r="L26185">
        <v>1.96</v>
      </c>
      <c r="M26185">
        <v>13540</v>
      </c>
      <c r="N26185" t="s">
        <v>131</v>
      </c>
      <c r="O26185">
        <v>250611</v>
      </c>
      <c r="P26185">
        <v>7.68</v>
      </c>
    </row>
    <row r="26186" spans="1:16" x14ac:dyDescent="0.25">
      <c r="A26186" t="s">
        <v>3296</v>
      </c>
      <c r="B26186" t="s">
        <v>2931</v>
      </c>
      <c r="C26186">
        <v>8111</v>
      </c>
      <c r="D26186" t="str">
        <f>"2239083     "</f>
        <v xml:space="preserve">2239083     </v>
      </c>
      <c r="E26186" t="s">
        <v>543</v>
      </c>
      <c r="F26186" t="s">
        <v>544</v>
      </c>
      <c r="G26186">
        <v>65.7</v>
      </c>
      <c r="H26186">
        <v>250515</v>
      </c>
      <c r="I26186">
        <v>4550</v>
      </c>
      <c r="J26186" t="s">
        <v>226</v>
      </c>
      <c r="K26186">
        <v>87.6</v>
      </c>
      <c r="L26186">
        <v>13.35</v>
      </c>
      <c r="M26186">
        <v>17950</v>
      </c>
      <c r="N26186" t="s">
        <v>132</v>
      </c>
      <c r="O26186">
        <v>250611</v>
      </c>
      <c r="P26186">
        <v>52.35</v>
      </c>
    </row>
    <row r="26187" spans="1:16" x14ac:dyDescent="0.25">
      <c r="A26187" t="s">
        <v>3296</v>
      </c>
      <c r="B26187" t="s">
        <v>2931</v>
      </c>
      <c r="C26187">
        <v>8111</v>
      </c>
      <c r="D26187" t="str">
        <f>"2239083     "</f>
        <v xml:space="preserve">2239083     </v>
      </c>
      <c r="E26187" t="s">
        <v>543</v>
      </c>
      <c r="F26187" t="s">
        <v>544</v>
      </c>
      <c r="G26187">
        <v>12.26</v>
      </c>
      <c r="H26187">
        <v>250515</v>
      </c>
      <c r="I26187">
        <v>4550</v>
      </c>
      <c r="J26187" t="s">
        <v>226</v>
      </c>
      <c r="K26187">
        <v>87.6</v>
      </c>
      <c r="L26187">
        <v>2.4900000000000002</v>
      </c>
      <c r="M26187">
        <v>17956</v>
      </c>
      <c r="N26187" t="s">
        <v>170</v>
      </c>
      <c r="O26187">
        <v>250611</v>
      </c>
      <c r="P26187">
        <v>9.77</v>
      </c>
    </row>
    <row r="26188" spans="1:16" x14ac:dyDescent="0.25">
      <c r="A26188" t="s">
        <v>3296</v>
      </c>
      <c r="B26188" t="s">
        <v>2931</v>
      </c>
      <c r="C26188">
        <v>8560</v>
      </c>
      <c r="D26188" t="str">
        <f>"2242061     "</f>
        <v xml:space="preserve">2242061     </v>
      </c>
      <c r="E26188" t="s">
        <v>543</v>
      </c>
      <c r="F26188" t="s">
        <v>544</v>
      </c>
      <c r="G26188">
        <v>21.52</v>
      </c>
      <c r="H26188">
        <v>250522</v>
      </c>
      <c r="I26188">
        <v>4550</v>
      </c>
      <c r="J26188" t="s">
        <v>226</v>
      </c>
      <c r="K26188">
        <v>451.51</v>
      </c>
      <c r="L26188">
        <v>4.37</v>
      </c>
      <c r="M26188">
        <v>11401</v>
      </c>
      <c r="N26188" t="s">
        <v>91</v>
      </c>
      <c r="O26188">
        <v>250617</v>
      </c>
      <c r="P26188">
        <v>17.149999999999999</v>
      </c>
    </row>
    <row r="26189" spans="1:16" x14ac:dyDescent="0.25">
      <c r="A26189" t="s">
        <v>3296</v>
      </c>
      <c r="B26189" t="s">
        <v>2931</v>
      </c>
      <c r="C26189">
        <v>8560</v>
      </c>
      <c r="D26189" t="str">
        <f>"2242061     "</f>
        <v xml:space="preserve">2242061     </v>
      </c>
      <c r="E26189" t="s">
        <v>543</v>
      </c>
      <c r="F26189" t="s">
        <v>544</v>
      </c>
      <c r="G26189">
        <v>43.06</v>
      </c>
      <c r="H26189">
        <v>250522</v>
      </c>
      <c r="I26189">
        <v>4550</v>
      </c>
      <c r="J26189" t="s">
        <v>226</v>
      </c>
      <c r="K26189">
        <v>451.51</v>
      </c>
      <c r="L26189">
        <v>8.75</v>
      </c>
      <c r="M26189">
        <v>14952</v>
      </c>
      <c r="N26189" t="s">
        <v>213</v>
      </c>
      <c r="O26189">
        <v>250617</v>
      </c>
      <c r="P26189">
        <v>34.31</v>
      </c>
    </row>
    <row r="26190" spans="1:16" x14ac:dyDescent="0.25">
      <c r="A26190" t="s">
        <v>3296</v>
      </c>
      <c r="B26190" t="s">
        <v>2931</v>
      </c>
      <c r="C26190">
        <v>10861</v>
      </c>
      <c r="D26190" t="str">
        <f>"2272605     "</f>
        <v xml:space="preserve">2272605     </v>
      </c>
      <c r="E26190" t="s">
        <v>543</v>
      </c>
      <c r="F26190" t="s">
        <v>544</v>
      </c>
      <c r="G26190">
        <v>12.11</v>
      </c>
      <c r="H26190">
        <v>250819</v>
      </c>
      <c r="I26190">
        <v>4550</v>
      </c>
      <c r="J26190" t="s">
        <v>226</v>
      </c>
      <c r="K26190">
        <v>203.32</v>
      </c>
      <c r="L26190">
        <v>2.46</v>
      </c>
      <c r="M26190">
        <v>17950</v>
      </c>
      <c r="N26190" t="s">
        <v>132</v>
      </c>
      <c r="O26190">
        <v>250825</v>
      </c>
      <c r="P26190">
        <v>9.65</v>
      </c>
    </row>
    <row r="26191" spans="1:16" x14ac:dyDescent="0.25">
      <c r="A26191" t="s">
        <v>3296</v>
      </c>
      <c r="B26191" t="s">
        <v>2931</v>
      </c>
      <c r="C26191">
        <v>10861</v>
      </c>
      <c r="D26191" t="str">
        <f>"2272605     "</f>
        <v xml:space="preserve">2272605     </v>
      </c>
      <c r="E26191" t="s">
        <v>543</v>
      </c>
      <c r="F26191" t="s">
        <v>544</v>
      </c>
      <c r="G26191">
        <v>74.41</v>
      </c>
      <c r="H26191">
        <v>250819</v>
      </c>
      <c r="I26191">
        <v>4550</v>
      </c>
      <c r="J26191" t="s">
        <v>226</v>
      </c>
      <c r="K26191">
        <v>203.32</v>
      </c>
      <c r="L26191">
        <v>15.12</v>
      </c>
      <c r="M26191">
        <v>17956</v>
      </c>
      <c r="N26191" t="s">
        <v>170</v>
      </c>
      <c r="O26191">
        <v>250825</v>
      </c>
      <c r="P26191">
        <v>59.29</v>
      </c>
    </row>
    <row r="26192" spans="1:16" x14ac:dyDescent="0.25">
      <c r="A26192" t="s">
        <v>3296</v>
      </c>
      <c r="B26192" t="s">
        <v>2931</v>
      </c>
      <c r="C26192">
        <v>1862</v>
      </c>
      <c r="D26192" t="str">
        <f>"2197283     "</f>
        <v xml:space="preserve">2197283     </v>
      </c>
      <c r="E26192" t="s">
        <v>543</v>
      </c>
      <c r="F26192" t="s">
        <v>544</v>
      </c>
      <c r="G26192">
        <v>43.39</v>
      </c>
      <c r="H26192">
        <v>250128</v>
      </c>
      <c r="I26192">
        <v>4580</v>
      </c>
      <c r="J26192" t="s">
        <v>126</v>
      </c>
      <c r="K26192">
        <v>324.70999999999998</v>
      </c>
      <c r="L26192">
        <v>8.82</v>
      </c>
      <c r="M26192">
        <v>49705</v>
      </c>
      <c r="N26192" t="s">
        <v>114</v>
      </c>
      <c r="O26192">
        <v>250214</v>
      </c>
      <c r="P26192">
        <v>34.57</v>
      </c>
    </row>
    <row r="26193" spans="1:16" x14ac:dyDescent="0.25">
      <c r="A26193" t="s">
        <v>3296</v>
      </c>
      <c r="B26193" t="s">
        <v>2931</v>
      </c>
      <c r="C26193">
        <v>2171</v>
      </c>
      <c r="D26193" t="str">
        <f>"2205440     "</f>
        <v xml:space="preserve">2205440     </v>
      </c>
      <c r="E26193" t="s">
        <v>543</v>
      </c>
      <c r="F26193" t="s">
        <v>544</v>
      </c>
      <c r="G26193">
        <v>80.02</v>
      </c>
      <c r="H26193">
        <v>250213</v>
      </c>
      <c r="I26193">
        <v>4580</v>
      </c>
      <c r="J26193" t="s">
        <v>126</v>
      </c>
      <c r="K26193">
        <v>282.5</v>
      </c>
      <c r="L26193">
        <v>16.260000000000002</v>
      </c>
      <c r="M26193">
        <v>46555</v>
      </c>
      <c r="N26193" t="s">
        <v>103</v>
      </c>
      <c r="O26193">
        <v>250220</v>
      </c>
      <c r="P26193">
        <v>63.76</v>
      </c>
    </row>
    <row r="26194" spans="1:16" x14ac:dyDescent="0.25">
      <c r="A26194" t="s">
        <v>3296</v>
      </c>
      <c r="B26194" t="s">
        <v>2931</v>
      </c>
      <c r="C26194">
        <v>2863</v>
      </c>
      <c r="D26194" t="str">
        <f>"2207189     "</f>
        <v xml:space="preserve">2207189     </v>
      </c>
      <c r="E26194" t="s">
        <v>543</v>
      </c>
      <c r="F26194" t="s">
        <v>544</v>
      </c>
      <c r="G26194">
        <v>185.23</v>
      </c>
      <c r="H26194">
        <v>250219</v>
      </c>
      <c r="I26194">
        <v>4580</v>
      </c>
      <c r="J26194" t="s">
        <v>126</v>
      </c>
      <c r="K26194">
        <v>372.63</v>
      </c>
      <c r="L26194">
        <v>37.64</v>
      </c>
      <c r="M26194">
        <v>17521</v>
      </c>
      <c r="N26194" t="s">
        <v>136</v>
      </c>
      <c r="O26194">
        <v>250312</v>
      </c>
      <c r="P26194">
        <v>147.59</v>
      </c>
    </row>
    <row r="26195" spans="1:16" x14ac:dyDescent="0.25">
      <c r="A26195" t="s">
        <v>3296</v>
      </c>
      <c r="B26195" t="s">
        <v>2931</v>
      </c>
      <c r="C26195">
        <v>2866</v>
      </c>
      <c r="D26195" t="str">
        <f>"2207634     "</f>
        <v xml:space="preserve">2207634     </v>
      </c>
      <c r="E26195" t="s">
        <v>543</v>
      </c>
      <c r="F26195" t="s">
        <v>544</v>
      </c>
      <c r="G26195">
        <v>131.71</v>
      </c>
      <c r="H26195">
        <v>250220</v>
      </c>
      <c r="I26195">
        <v>4580</v>
      </c>
      <c r="J26195" t="s">
        <v>126</v>
      </c>
      <c r="K26195">
        <v>132.46</v>
      </c>
      <c r="L26195">
        <v>26.76</v>
      </c>
      <c r="M26195">
        <v>17524</v>
      </c>
      <c r="N26195" t="s">
        <v>139</v>
      </c>
      <c r="O26195">
        <v>250312</v>
      </c>
      <c r="P26195">
        <v>104.95</v>
      </c>
    </row>
    <row r="26196" spans="1:16" x14ac:dyDescent="0.25">
      <c r="A26196" t="s">
        <v>3296</v>
      </c>
      <c r="B26196" t="s">
        <v>2931</v>
      </c>
      <c r="C26196">
        <v>5037</v>
      </c>
      <c r="D26196" t="str">
        <f>"2220224     "</f>
        <v xml:space="preserve">2220224     </v>
      </c>
      <c r="E26196" t="s">
        <v>543</v>
      </c>
      <c r="F26196" t="s">
        <v>544</v>
      </c>
      <c r="G26196">
        <v>29.62</v>
      </c>
      <c r="H26196">
        <v>250327</v>
      </c>
      <c r="I26196">
        <v>4580</v>
      </c>
      <c r="J26196" t="s">
        <v>126</v>
      </c>
      <c r="K26196">
        <v>133.26</v>
      </c>
      <c r="L26196">
        <v>6.02</v>
      </c>
      <c r="M26196">
        <v>17971</v>
      </c>
      <c r="N26196" t="s">
        <v>27</v>
      </c>
      <c r="O26196">
        <v>250416</v>
      </c>
      <c r="P26196">
        <v>23.6</v>
      </c>
    </row>
    <row r="26197" spans="1:16" x14ac:dyDescent="0.25">
      <c r="A26197" t="s">
        <v>3296</v>
      </c>
      <c r="B26197" t="s">
        <v>2931</v>
      </c>
      <c r="C26197">
        <v>5611</v>
      </c>
      <c r="D26197" t="str">
        <f>"2225102     "</f>
        <v xml:space="preserve">2225102     </v>
      </c>
      <c r="E26197" t="s">
        <v>543</v>
      </c>
      <c r="F26197" t="s">
        <v>544</v>
      </c>
      <c r="G26197">
        <v>545.35</v>
      </c>
      <c r="H26197">
        <v>250404</v>
      </c>
      <c r="I26197">
        <v>4580</v>
      </c>
      <c r="J26197" t="s">
        <v>126</v>
      </c>
      <c r="K26197">
        <v>893.86</v>
      </c>
      <c r="L26197">
        <v>110.81</v>
      </c>
      <c r="M26197">
        <v>11903</v>
      </c>
      <c r="N26197" t="s">
        <v>32</v>
      </c>
      <c r="O26197">
        <v>250425</v>
      </c>
      <c r="P26197">
        <v>434.54</v>
      </c>
    </row>
    <row r="26198" spans="1:16" x14ac:dyDescent="0.25">
      <c r="A26198" t="s">
        <v>3296</v>
      </c>
      <c r="B26198" t="s">
        <v>2931</v>
      </c>
      <c r="C26198">
        <v>8964</v>
      </c>
      <c r="D26198" t="str">
        <f>"2252115     "</f>
        <v xml:space="preserve">2252115     </v>
      </c>
      <c r="E26198" t="s">
        <v>543</v>
      </c>
      <c r="F26198" t="s">
        <v>544</v>
      </c>
      <c r="G26198">
        <v>171.4</v>
      </c>
      <c r="H26198">
        <v>250613</v>
      </c>
      <c r="I26198">
        <v>4580</v>
      </c>
      <c r="J26198" t="s">
        <v>126</v>
      </c>
      <c r="K26198">
        <v>1055.73</v>
      </c>
      <c r="L26198">
        <v>34.83</v>
      </c>
      <c r="M26198">
        <v>17521</v>
      </c>
      <c r="N26198" t="s">
        <v>136</v>
      </c>
      <c r="O26198">
        <v>250619</v>
      </c>
      <c r="P26198">
        <v>136.57</v>
      </c>
    </row>
    <row r="26199" spans="1:16" x14ac:dyDescent="0.25">
      <c r="A26199" t="s">
        <v>3296</v>
      </c>
      <c r="B26199" t="s">
        <v>2931</v>
      </c>
      <c r="C26199">
        <v>13066</v>
      </c>
      <c r="D26199" t="str">
        <f>"2292415     "</f>
        <v xml:space="preserve">2292415     </v>
      </c>
      <c r="E26199" t="s">
        <v>543</v>
      </c>
      <c r="F26199" t="s">
        <v>544</v>
      </c>
      <c r="G26199">
        <v>279.39999999999998</v>
      </c>
      <c r="H26199">
        <v>251002</v>
      </c>
      <c r="I26199">
        <v>4580</v>
      </c>
      <c r="J26199" t="s">
        <v>126</v>
      </c>
      <c r="K26199">
        <v>310.69</v>
      </c>
      <c r="L26199">
        <v>56.77</v>
      </c>
      <c r="M26199">
        <v>14422</v>
      </c>
      <c r="N26199" t="s">
        <v>73</v>
      </c>
      <c r="O26199">
        <v>251003</v>
      </c>
      <c r="P26199">
        <v>222.63</v>
      </c>
    </row>
    <row r="26200" spans="1:16" x14ac:dyDescent="0.25">
      <c r="A26200" t="s">
        <v>3296</v>
      </c>
      <c r="B26200" t="s">
        <v>2931</v>
      </c>
      <c r="C26200">
        <v>14007</v>
      </c>
      <c r="D26200" t="str">
        <f>"2294856     "</f>
        <v xml:space="preserve">2294856     </v>
      </c>
      <c r="E26200" t="s">
        <v>543</v>
      </c>
      <c r="F26200" t="s">
        <v>544</v>
      </c>
      <c r="G26200">
        <v>205.54</v>
      </c>
      <c r="H26200">
        <v>251009</v>
      </c>
      <c r="I26200">
        <v>4580</v>
      </c>
      <c r="J26200" t="s">
        <v>126</v>
      </c>
      <c r="K26200">
        <v>205.54</v>
      </c>
      <c r="L26200">
        <v>41.76</v>
      </c>
      <c r="M26200">
        <v>13801</v>
      </c>
      <c r="N26200" t="s">
        <v>33</v>
      </c>
      <c r="O26200">
        <v>251021</v>
      </c>
      <c r="P26200">
        <v>163.78</v>
      </c>
    </row>
    <row r="26201" spans="1:16" x14ac:dyDescent="0.25">
      <c r="A26201" t="s">
        <v>3296</v>
      </c>
      <c r="B26201" t="s">
        <v>2931</v>
      </c>
      <c r="C26201">
        <v>14008</v>
      </c>
      <c r="D26201" t="str">
        <f>"2294858     "</f>
        <v xml:space="preserve">2294858     </v>
      </c>
      <c r="E26201" t="s">
        <v>543</v>
      </c>
      <c r="F26201" t="s">
        <v>544</v>
      </c>
      <c r="G26201">
        <v>108.23</v>
      </c>
      <c r="H26201">
        <v>251009</v>
      </c>
      <c r="I26201">
        <v>4580</v>
      </c>
      <c r="J26201" t="s">
        <v>126</v>
      </c>
      <c r="K26201">
        <v>179.07</v>
      </c>
      <c r="L26201">
        <v>21.99</v>
      </c>
      <c r="M26201">
        <v>47522</v>
      </c>
      <c r="N26201" t="s">
        <v>106</v>
      </c>
      <c r="O26201">
        <v>251021</v>
      </c>
      <c r="P26201">
        <v>86.24</v>
      </c>
    </row>
    <row r="26202" spans="1:16" x14ac:dyDescent="0.25">
      <c r="A26202" t="s">
        <v>3296</v>
      </c>
      <c r="B26202" t="s">
        <v>2931</v>
      </c>
      <c r="C26202">
        <v>14008</v>
      </c>
      <c r="D26202" t="str">
        <f>"2294858     "</f>
        <v xml:space="preserve">2294858     </v>
      </c>
      <c r="E26202" t="s">
        <v>543</v>
      </c>
      <c r="F26202" t="s">
        <v>544</v>
      </c>
      <c r="G26202">
        <v>54.12</v>
      </c>
      <c r="H26202">
        <v>251009</v>
      </c>
      <c r="I26202">
        <v>4580</v>
      </c>
      <c r="J26202" t="s">
        <v>126</v>
      </c>
      <c r="K26202">
        <v>179.07</v>
      </c>
      <c r="L26202">
        <v>11</v>
      </c>
      <c r="M26202">
        <v>49702</v>
      </c>
      <c r="N26202" t="s">
        <v>112</v>
      </c>
      <c r="O26202">
        <v>251021</v>
      </c>
      <c r="P26202">
        <v>43.12</v>
      </c>
    </row>
    <row r="26203" spans="1:16" x14ac:dyDescent="0.25">
      <c r="A26203" t="s">
        <v>3296</v>
      </c>
      <c r="B26203" t="s">
        <v>2931</v>
      </c>
      <c r="C26203">
        <v>14597</v>
      </c>
      <c r="D26203" t="str">
        <f>"2297489     "</f>
        <v xml:space="preserve">2297489     </v>
      </c>
      <c r="E26203" t="s">
        <v>543</v>
      </c>
      <c r="F26203" t="s">
        <v>544</v>
      </c>
      <c r="G26203">
        <v>22.4</v>
      </c>
      <c r="H26203">
        <v>251017</v>
      </c>
      <c r="I26203">
        <v>4580</v>
      </c>
      <c r="J26203" t="s">
        <v>126</v>
      </c>
      <c r="K26203">
        <v>223.06</v>
      </c>
      <c r="L26203">
        <v>4.55</v>
      </c>
      <c r="M26203">
        <v>11101</v>
      </c>
      <c r="N26203" t="s">
        <v>67</v>
      </c>
      <c r="O26203">
        <v>251105</v>
      </c>
      <c r="P26203">
        <v>17.850000000000001</v>
      </c>
    </row>
    <row r="26204" spans="1:16" x14ac:dyDescent="0.25">
      <c r="A26204" t="s">
        <v>3296</v>
      </c>
      <c r="B26204" t="s">
        <v>2931</v>
      </c>
      <c r="C26204">
        <v>14597</v>
      </c>
      <c r="D26204" t="str">
        <f>"2297489     "</f>
        <v xml:space="preserve">2297489     </v>
      </c>
      <c r="E26204" t="s">
        <v>543</v>
      </c>
      <c r="F26204" t="s">
        <v>544</v>
      </c>
      <c r="G26204">
        <v>2.85</v>
      </c>
      <c r="H26204">
        <v>251017</v>
      </c>
      <c r="I26204">
        <v>4580</v>
      </c>
      <c r="J26204" t="s">
        <v>126</v>
      </c>
      <c r="K26204">
        <v>223.06</v>
      </c>
      <c r="L26204">
        <v>0.57999999999999996</v>
      </c>
      <c r="M26204">
        <v>16431</v>
      </c>
      <c r="N26204" t="s">
        <v>17</v>
      </c>
      <c r="O26204">
        <v>251105</v>
      </c>
      <c r="P26204">
        <v>2.27</v>
      </c>
    </row>
    <row r="26205" spans="1:16" x14ac:dyDescent="0.25">
      <c r="A26205" t="s">
        <v>3296</v>
      </c>
      <c r="B26205" t="s">
        <v>2931</v>
      </c>
      <c r="C26205">
        <v>1371</v>
      </c>
      <c r="D26205" t="str">
        <f>"2194212     "</f>
        <v xml:space="preserve">2194212     </v>
      </c>
      <c r="E26205" t="s">
        <v>543</v>
      </c>
      <c r="F26205" t="s">
        <v>544</v>
      </c>
      <c r="G26205">
        <v>334.07</v>
      </c>
      <c r="H26205">
        <v>250120</v>
      </c>
      <c r="I26205">
        <v>4600</v>
      </c>
      <c r="J26205" t="s">
        <v>278</v>
      </c>
      <c r="K26205">
        <v>935.64</v>
      </c>
      <c r="L26205">
        <v>67.88</v>
      </c>
      <c r="M26205">
        <v>17711</v>
      </c>
      <c r="N26205" t="s">
        <v>155</v>
      </c>
      <c r="O26205">
        <v>250207</v>
      </c>
      <c r="P26205">
        <v>266.19</v>
      </c>
    </row>
    <row r="26206" spans="1:16" x14ac:dyDescent="0.25">
      <c r="A26206" t="s">
        <v>3296</v>
      </c>
      <c r="B26206" t="s">
        <v>2931</v>
      </c>
      <c r="C26206">
        <v>1949</v>
      </c>
      <c r="D26206" t="str">
        <f>"2194736     "</f>
        <v xml:space="preserve">2194736     </v>
      </c>
      <c r="E26206" t="s">
        <v>543</v>
      </c>
      <c r="F26206" t="s">
        <v>544</v>
      </c>
      <c r="G26206">
        <v>11.75</v>
      </c>
      <c r="H26206">
        <v>250121</v>
      </c>
      <c r="I26206">
        <v>4600</v>
      </c>
      <c r="J26206" t="s">
        <v>278</v>
      </c>
      <c r="K26206">
        <v>11.75</v>
      </c>
      <c r="L26206">
        <v>2.39</v>
      </c>
      <c r="M26206">
        <v>53222</v>
      </c>
      <c r="N26206" t="s">
        <v>41</v>
      </c>
      <c r="O26206">
        <v>250218</v>
      </c>
      <c r="P26206">
        <v>9.36</v>
      </c>
    </row>
    <row r="26207" spans="1:16" x14ac:dyDescent="0.25">
      <c r="A26207" t="s">
        <v>3296</v>
      </c>
      <c r="B26207" t="s">
        <v>2931</v>
      </c>
      <c r="C26207">
        <v>6095</v>
      </c>
      <c r="D26207" t="str">
        <f>"2229142     "</f>
        <v xml:space="preserve">2229142     </v>
      </c>
      <c r="E26207" t="s">
        <v>543</v>
      </c>
      <c r="F26207" t="s">
        <v>544</v>
      </c>
      <c r="G26207">
        <v>207.73</v>
      </c>
      <c r="H26207">
        <v>250416</v>
      </c>
      <c r="I26207">
        <v>4600</v>
      </c>
      <c r="J26207" t="s">
        <v>278</v>
      </c>
      <c r="K26207">
        <v>267.43</v>
      </c>
      <c r="L26207">
        <v>42.21</v>
      </c>
      <c r="M26207">
        <v>66754</v>
      </c>
      <c r="N26207" t="s">
        <v>119</v>
      </c>
      <c r="O26207">
        <v>250508</v>
      </c>
      <c r="P26207">
        <v>165.52</v>
      </c>
    </row>
    <row r="26208" spans="1:16" x14ac:dyDescent="0.25">
      <c r="A26208" t="s">
        <v>3296</v>
      </c>
      <c r="B26208" t="s">
        <v>2931</v>
      </c>
      <c r="C26208">
        <v>10807</v>
      </c>
      <c r="D26208" t="str">
        <f>"2272972     "</f>
        <v xml:space="preserve">2272972     </v>
      </c>
      <c r="E26208" t="s">
        <v>543</v>
      </c>
      <c r="F26208" t="s">
        <v>544</v>
      </c>
      <c r="G26208">
        <v>143.44999999999999</v>
      </c>
      <c r="H26208">
        <v>250820</v>
      </c>
      <c r="I26208">
        <v>4600</v>
      </c>
      <c r="J26208" t="s">
        <v>278</v>
      </c>
      <c r="K26208">
        <v>469.91</v>
      </c>
      <c r="L26208">
        <v>29.15</v>
      </c>
      <c r="M26208">
        <v>66754</v>
      </c>
      <c r="N26208" t="s">
        <v>119</v>
      </c>
      <c r="O26208">
        <v>250822</v>
      </c>
      <c r="P26208">
        <v>114.3</v>
      </c>
    </row>
    <row r="26209" spans="1:16" x14ac:dyDescent="0.25">
      <c r="A26209" t="s">
        <v>3296</v>
      </c>
      <c r="B26209" t="s">
        <v>2931</v>
      </c>
      <c r="C26209">
        <v>12420</v>
      </c>
      <c r="D26209" t="str">
        <f>"2282992     "</f>
        <v xml:space="preserve">2282992     </v>
      </c>
      <c r="E26209" t="s">
        <v>543</v>
      </c>
      <c r="F26209" t="s">
        <v>544</v>
      </c>
      <c r="G26209">
        <v>161</v>
      </c>
      <c r="H26209">
        <v>250911</v>
      </c>
      <c r="I26209">
        <v>4600</v>
      </c>
      <c r="J26209" t="s">
        <v>278</v>
      </c>
      <c r="K26209">
        <v>331.9</v>
      </c>
      <c r="L26209">
        <v>32.71</v>
      </c>
      <c r="M26209">
        <v>13801</v>
      </c>
      <c r="N26209" t="s">
        <v>33</v>
      </c>
      <c r="O26209">
        <v>250919</v>
      </c>
      <c r="P26209">
        <v>128.29</v>
      </c>
    </row>
    <row r="26210" spans="1:16" x14ac:dyDescent="0.25">
      <c r="A26210" t="s">
        <v>3296</v>
      </c>
      <c r="B26210" t="s">
        <v>2931</v>
      </c>
      <c r="C26210">
        <v>14414</v>
      </c>
      <c r="D26210" t="str">
        <f>"2300128     "</f>
        <v xml:space="preserve">2300128     </v>
      </c>
      <c r="E26210" t="s">
        <v>543</v>
      </c>
      <c r="F26210" t="s">
        <v>544</v>
      </c>
      <c r="G26210">
        <v>43.65</v>
      </c>
      <c r="H26210">
        <v>251027</v>
      </c>
      <c r="I26210">
        <v>4600</v>
      </c>
      <c r="J26210" t="s">
        <v>278</v>
      </c>
      <c r="K26210">
        <v>494.58</v>
      </c>
      <c r="L26210">
        <v>8.8699999999999992</v>
      </c>
      <c r="M26210">
        <v>17984</v>
      </c>
      <c r="N26210" t="s">
        <v>655</v>
      </c>
      <c r="O26210">
        <v>251031</v>
      </c>
      <c r="P26210">
        <v>34.78</v>
      </c>
    </row>
    <row r="26211" spans="1:16" x14ac:dyDescent="0.25">
      <c r="A26211" t="s">
        <v>3296</v>
      </c>
      <c r="B26211" t="s">
        <v>2931</v>
      </c>
      <c r="C26211">
        <v>14597</v>
      </c>
      <c r="D26211" t="str">
        <f t="shared" ref="D26211:D26217" si="565">"2297489     "</f>
        <v xml:space="preserve">2297489     </v>
      </c>
      <c r="E26211" t="s">
        <v>543</v>
      </c>
      <c r="F26211" t="s">
        <v>544</v>
      </c>
      <c r="G26211">
        <v>18.350000000000001</v>
      </c>
      <c r="H26211">
        <v>251017</v>
      </c>
      <c r="I26211">
        <v>4600</v>
      </c>
      <c r="J26211" t="s">
        <v>278</v>
      </c>
      <c r="K26211">
        <v>223.06</v>
      </c>
      <c r="L26211">
        <v>3.73</v>
      </c>
      <c r="M26211">
        <v>11101</v>
      </c>
      <c r="N26211" t="s">
        <v>67</v>
      </c>
      <c r="O26211">
        <v>251105</v>
      </c>
      <c r="P26211">
        <v>14.62</v>
      </c>
    </row>
    <row r="26212" spans="1:16" x14ac:dyDescent="0.25">
      <c r="A26212" t="s">
        <v>3296</v>
      </c>
      <c r="B26212" t="s">
        <v>2931</v>
      </c>
      <c r="C26212">
        <v>14597</v>
      </c>
      <c r="D26212" t="str">
        <f t="shared" si="565"/>
        <v xml:space="preserve">2297489     </v>
      </c>
      <c r="E26212" t="s">
        <v>543</v>
      </c>
      <c r="F26212" t="s">
        <v>544</v>
      </c>
      <c r="G26212">
        <v>16.760000000000002</v>
      </c>
      <c r="H26212">
        <v>251017</v>
      </c>
      <c r="I26212">
        <v>4600</v>
      </c>
      <c r="J26212" t="s">
        <v>278</v>
      </c>
      <c r="K26212">
        <v>223.06</v>
      </c>
      <c r="L26212">
        <v>3.41</v>
      </c>
      <c r="M26212">
        <v>17806</v>
      </c>
      <c r="N26212" t="s">
        <v>22</v>
      </c>
      <c r="O26212">
        <v>251105</v>
      </c>
      <c r="P26212">
        <v>13.35</v>
      </c>
    </row>
    <row r="26213" spans="1:16" x14ac:dyDescent="0.25">
      <c r="A26213" t="s">
        <v>3296</v>
      </c>
      <c r="B26213" t="s">
        <v>2931</v>
      </c>
      <c r="C26213">
        <v>14597</v>
      </c>
      <c r="D26213" t="str">
        <f t="shared" si="565"/>
        <v xml:space="preserve">2297489     </v>
      </c>
      <c r="E26213" t="s">
        <v>543</v>
      </c>
      <c r="F26213" t="s">
        <v>544</v>
      </c>
      <c r="G26213">
        <v>8.65</v>
      </c>
      <c r="H26213">
        <v>251017</v>
      </c>
      <c r="I26213">
        <v>4600</v>
      </c>
      <c r="J26213" t="s">
        <v>278</v>
      </c>
      <c r="K26213">
        <v>223.06</v>
      </c>
      <c r="L26213">
        <v>1.76</v>
      </c>
      <c r="M26213">
        <v>17808</v>
      </c>
      <c r="N26213" t="s">
        <v>24</v>
      </c>
      <c r="O26213">
        <v>251105</v>
      </c>
      <c r="P26213">
        <v>6.89</v>
      </c>
    </row>
    <row r="26214" spans="1:16" x14ac:dyDescent="0.25">
      <c r="A26214" t="s">
        <v>3296</v>
      </c>
      <c r="B26214" t="s">
        <v>2931</v>
      </c>
      <c r="C26214">
        <v>14597</v>
      </c>
      <c r="D26214" t="str">
        <f t="shared" si="565"/>
        <v xml:space="preserve">2297489     </v>
      </c>
      <c r="E26214" t="s">
        <v>543</v>
      </c>
      <c r="F26214" t="s">
        <v>544</v>
      </c>
      <c r="G26214">
        <v>7.05</v>
      </c>
      <c r="H26214">
        <v>251017</v>
      </c>
      <c r="I26214">
        <v>4600</v>
      </c>
      <c r="J26214" t="s">
        <v>278</v>
      </c>
      <c r="K26214">
        <v>223.06</v>
      </c>
      <c r="L26214">
        <v>1.43</v>
      </c>
      <c r="M26214">
        <v>17951</v>
      </c>
      <c r="N26214" t="s">
        <v>207</v>
      </c>
      <c r="O26214">
        <v>251105</v>
      </c>
      <c r="P26214">
        <v>5.62</v>
      </c>
    </row>
    <row r="26215" spans="1:16" x14ac:dyDescent="0.25">
      <c r="A26215" t="s">
        <v>3296</v>
      </c>
      <c r="B26215" t="s">
        <v>2931</v>
      </c>
      <c r="C26215">
        <v>14597</v>
      </c>
      <c r="D26215" t="str">
        <f t="shared" si="565"/>
        <v xml:space="preserve">2297489     </v>
      </c>
      <c r="E26215" t="s">
        <v>543</v>
      </c>
      <c r="F26215" t="s">
        <v>544</v>
      </c>
      <c r="G26215">
        <v>7.2</v>
      </c>
      <c r="H26215">
        <v>251017</v>
      </c>
      <c r="I26215">
        <v>4600</v>
      </c>
      <c r="J26215" t="s">
        <v>278</v>
      </c>
      <c r="K26215">
        <v>223.06</v>
      </c>
      <c r="L26215">
        <v>1.46</v>
      </c>
      <c r="M26215">
        <v>17971</v>
      </c>
      <c r="N26215" t="s">
        <v>27</v>
      </c>
      <c r="O26215">
        <v>251105</v>
      </c>
      <c r="P26215">
        <v>5.74</v>
      </c>
    </row>
    <row r="26216" spans="1:16" x14ac:dyDescent="0.25">
      <c r="A26216" t="s">
        <v>3296</v>
      </c>
      <c r="B26216" t="s">
        <v>2931</v>
      </c>
      <c r="C26216">
        <v>14597</v>
      </c>
      <c r="D26216" t="str">
        <f t="shared" si="565"/>
        <v xml:space="preserve">2297489     </v>
      </c>
      <c r="E26216" t="s">
        <v>543</v>
      </c>
      <c r="F26216" t="s">
        <v>544</v>
      </c>
      <c r="G26216">
        <v>5.77</v>
      </c>
      <c r="H26216">
        <v>251017</v>
      </c>
      <c r="I26216">
        <v>4600</v>
      </c>
      <c r="J26216" t="s">
        <v>278</v>
      </c>
      <c r="K26216">
        <v>223.06</v>
      </c>
      <c r="L26216">
        <v>1.17</v>
      </c>
      <c r="M26216">
        <v>17972</v>
      </c>
      <c r="N26216" t="s">
        <v>28</v>
      </c>
      <c r="O26216">
        <v>251105</v>
      </c>
      <c r="P26216">
        <v>4.5999999999999996</v>
      </c>
    </row>
    <row r="26217" spans="1:16" x14ac:dyDescent="0.25">
      <c r="A26217" t="s">
        <v>3296</v>
      </c>
      <c r="B26217" t="s">
        <v>2931</v>
      </c>
      <c r="C26217">
        <v>14597</v>
      </c>
      <c r="D26217" t="str">
        <f t="shared" si="565"/>
        <v xml:space="preserve">2297489     </v>
      </c>
      <c r="E26217" t="s">
        <v>543</v>
      </c>
      <c r="F26217" t="s">
        <v>544</v>
      </c>
      <c r="G26217">
        <v>1.89</v>
      </c>
      <c r="H26217">
        <v>251017</v>
      </c>
      <c r="I26217">
        <v>4600</v>
      </c>
      <c r="J26217" t="s">
        <v>278</v>
      </c>
      <c r="K26217">
        <v>223.06</v>
      </c>
      <c r="L26217">
        <v>0.38</v>
      </c>
      <c r="M26217">
        <v>17974</v>
      </c>
      <c r="N26217" t="s">
        <v>153</v>
      </c>
      <c r="O26217">
        <v>251105</v>
      </c>
      <c r="P26217">
        <v>1.51</v>
      </c>
    </row>
    <row r="26218" spans="1:16" x14ac:dyDescent="0.25">
      <c r="A26218" t="s">
        <v>3296</v>
      </c>
      <c r="B26218" t="s">
        <v>2931</v>
      </c>
      <c r="C26218">
        <v>15576</v>
      </c>
      <c r="D26218" t="str">
        <f>"2306259     "</f>
        <v xml:space="preserve">2306259     </v>
      </c>
      <c r="E26218" t="s">
        <v>543</v>
      </c>
      <c r="F26218" t="s">
        <v>544</v>
      </c>
      <c r="G26218">
        <v>318.56</v>
      </c>
      <c r="H26218">
        <v>251106</v>
      </c>
      <c r="I26218">
        <v>4600</v>
      </c>
      <c r="J26218" t="s">
        <v>278</v>
      </c>
      <c r="K26218">
        <v>444.36</v>
      </c>
      <c r="L26218">
        <v>64.73</v>
      </c>
      <c r="M26218">
        <v>54251</v>
      </c>
      <c r="N26218" t="s">
        <v>485</v>
      </c>
      <c r="O26218">
        <v>251121</v>
      </c>
      <c r="P26218">
        <v>253.83</v>
      </c>
    </row>
    <row r="26219" spans="1:16" x14ac:dyDescent="0.25">
      <c r="A26219" t="s">
        <v>3296</v>
      </c>
      <c r="B26219" t="s">
        <v>2931</v>
      </c>
      <c r="C26219">
        <v>2100</v>
      </c>
      <c r="D26219" t="str">
        <f>"0073609985  "</f>
        <v xml:space="preserve">0073609985  </v>
      </c>
      <c r="E26219" t="s">
        <v>429</v>
      </c>
      <c r="F26219" t="s">
        <v>430</v>
      </c>
      <c r="G26219">
        <v>16.48</v>
      </c>
      <c r="H26219">
        <v>250211</v>
      </c>
      <c r="I26219">
        <v>4580</v>
      </c>
      <c r="J26219" t="s">
        <v>126</v>
      </c>
      <c r="K26219">
        <v>16.48</v>
      </c>
      <c r="L26219">
        <v>3.35</v>
      </c>
      <c r="M26219">
        <v>46555</v>
      </c>
      <c r="N26219" t="s">
        <v>103</v>
      </c>
      <c r="O26219">
        <v>250220</v>
      </c>
      <c r="P26219">
        <v>13.13</v>
      </c>
    </row>
    <row r="26220" spans="1:16" x14ac:dyDescent="0.25">
      <c r="A26220" t="s">
        <v>3296</v>
      </c>
      <c r="B26220" t="s">
        <v>2931</v>
      </c>
      <c r="C26220">
        <v>2282</v>
      </c>
      <c r="D26220" t="str">
        <f>"0073610488  "</f>
        <v xml:space="preserve">0073610488  </v>
      </c>
      <c r="E26220" t="s">
        <v>429</v>
      </c>
      <c r="F26220" t="s">
        <v>430</v>
      </c>
      <c r="G26220">
        <v>70.09</v>
      </c>
      <c r="H26220">
        <v>250214</v>
      </c>
      <c r="I26220">
        <v>4580</v>
      </c>
      <c r="J26220" t="s">
        <v>126</v>
      </c>
      <c r="K26220">
        <v>504.06</v>
      </c>
      <c r="L26220">
        <v>14.24</v>
      </c>
      <c r="M26220">
        <v>46555</v>
      </c>
      <c r="N26220" t="s">
        <v>103</v>
      </c>
      <c r="O26220">
        <v>250224</v>
      </c>
      <c r="P26220">
        <v>55.85</v>
      </c>
    </row>
    <row r="26221" spans="1:16" x14ac:dyDescent="0.25">
      <c r="A26221" t="s">
        <v>3296</v>
      </c>
      <c r="B26221" t="s">
        <v>2931</v>
      </c>
      <c r="C26221">
        <v>10548</v>
      </c>
      <c r="D26221" t="str">
        <f>"0073636619  "</f>
        <v xml:space="preserve">0073636619  </v>
      </c>
      <c r="E26221" t="s">
        <v>429</v>
      </c>
      <c r="F26221" t="s">
        <v>430</v>
      </c>
      <c r="G26221">
        <v>235.94</v>
      </c>
      <c r="H26221">
        <v>250818</v>
      </c>
      <c r="I26221">
        <v>4580</v>
      </c>
      <c r="J26221" t="s">
        <v>126</v>
      </c>
      <c r="K26221">
        <v>235.94</v>
      </c>
      <c r="L26221">
        <v>47.94</v>
      </c>
      <c r="M26221">
        <v>17807</v>
      </c>
      <c r="N26221" t="s">
        <v>23</v>
      </c>
      <c r="O26221">
        <v>250820</v>
      </c>
      <c r="P26221">
        <v>188</v>
      </c>
    </row>
    <row r="26222" spans="1:16" x14ac:dyDescent="0.25">
      <c r="A26222" t="s">
        <v>3296</v>
      </c>
      <c r="B26222" t="s">
        <v>2931</v>
      </c>
      <c r="C26222">
        <v>15607</v>
      </c>
      <c r="D26222" t="str">
        <f>"0073653290  "</f>
        <v xml:space="preserve">0073653290  </v>
      </c>
      <c r="E26222" t="s">
        <v>429</v>
      </c>
      <c r="F26222" t="s">
        <v>430</v>
      </c>
      <c r="G26222">
        <v>76.760000000000005</v>
      </c>
      <c r="H26222">
        <v>251120</v>
      </c>
      <c r="I26222">
        <v>4580</v>
      </c>
      <c r="J26222" t="s">
        <v>126</v>
      </c>
      <c r="K26222">
        <v>76.760000000000005</v>
      </c>
      <c r="L26222">
        <v>15.6</v>
      </c>
      <c r="M26222">
        <v>17807</v>
      </c>
      <c r="N26222" t="s">
        <v>23</v>
      </c>
      <c r="O26222">
        <v>251121</v>
      </c>
      <c r="P26222">
        <v>61.16</v>
      </c>
    </row>
    <row r="26223" spans="1:16" x14ac:dyDescent="0.25">
      <c r="A26223" t="s">
        <v>3296</v>
      </c>
      <c r="B26223" t="s">
        <v>2931</v>
      </c>
      <c r="C26223">
        <v>15965</v>
      </c>
      <c r="D26223" t="str">
        <f>"73654206    "</f>
        <v xml:space="preserve">73654206    </v>
      </c>
      <c r="E26223" t="s">
        <v>429</v>
      </c>
      <c r="F26223" t="s">
        <v>430</v>
      </c>
      <c r="G26223">
        <v>121.61</v>
      </c>
      <c r="H26223">
        <v>251126</v>
      </c>
      <c r="I26223">
        <v>4580</v>
      </c>
      <c r="J26223" t="s">
        <v>126</v>
      </c>
      <c r="K26223">
        <v>121.61</v>
      </c>
      <c r="L26223">
        <v>24.71</v>
      </c>
      <c r="M26223">
        <v>17807</v>
      </c>
      <c r="N26223" t="s">
        <v>23</v>
      </c>
      <c r="O26223">
        <v>251201</v>
      </c>
      <c r="P26223">
        <v>96.9</v>
      </c>
    </row>
    <row r="26224" spans="1:16" x14ac:dyDescent="0.25">
      <c r="A26224" t="s">
        <v>3296</v>
      </c>
      <c r="B26224" t="s">
        <v>2931</v>
      </c>
      <c r="C26224">
        <v>16201</v>
      </c>
      <c r="D26224" t="str">
        <f>"0073655633  "</f>
        <v xml:space="preserve">0073655633  </v>
      </c>
      <c r="E26224" t="s">
        <v>429</v>
      </c>
      <c r="F26224" t="s">
        <v>430</v>
      </c>
      <c r="G26224">
        <v>100.07</v>
      </c>
      <c r="H26224">
        <v>251130</v>
      </c>
      <c r="I26224">
        <v>4580</v>
      </c>
      <c r="J26224" t="s">
        <v>126</v>
      </c>
      <c r="K26224">
        <v>100.07</v>
      </c>
      <c r="L26224">
        <v>20.329999999999998</v>
      </c>
      <c r="M26224">
        <v>17807</v>
      </c>
      <c r="N26224" t="s">
        <v>23</v>
      </c>
      <c r="O26224">
        <v>251204</v>
      </c>
      <c r="P26224">
        <v>79.739999999999995</v>
      </c>
    </row>
    <row r="26225" spans="1:16" x14ac:dyDescent="0.25">
      <c r="A26225" t="s">
        <v>3296</v>
      </c>
      <c r="B26225" t="s">
        <v>2931</v>
      </c>
      <c r="C26225">
        <v>15146</v>
      </c>
      <c r="D26225" t="str">
        <f>"0073648438  "</f>
        <v xml:space="preserve">0073648438  </v>
      </c>
      <c r="E26225" t="s">
        <v>429</v>
      </c>
      <c r="F26225" t="s">
        <v>430</v>
      </c>
      <c r="G26225">
        <v>68.400000000000006</v>
      </c>
      <c r="H26225">
        <v>251027</v>
      </c>
      <c r="I26225">
        <v>4590</v>
      </c>
      <c r="J26225" t="s">
        <v>388</v>
      </c>
      <c r="K26225">
        <v>68.400000000000006</v>
      </c>
      <c r="L26225">
        <v>13.9</v>
      </c>
      <c r="M26225">
        <v>49501</v>
      </c>
      <c r="N26225" t="s">
        <v>110</v>
      </c>
      <c r="O26225">
        <v>251113</v>
      </c>
      <c r="P26225">
        <v>54.5</v>
      </c>
    </row>
    <row r="26226" spans="1:16" x14ac:dyDescent="0.25">
      <c r="A26226" t="s">
        <v>3296</v>
      </c>
      <c r="B26226" t="s">
        <v>2931</v>
      </c>
      <c r="C26226">
        <v>15309</v>
      </c>
      <c r="D26226" t="str">
        <f>"0073651089  "</f>
        <v xml:space="preserve">0073651089  </v>
      </c>
      <c r="E26226" t="s">
        <v>429</v>
      </c>
      <c r="F26226" t="s">
        <v>430</v>
      </c>
      <c r="G26226">
        <v>14.12</v>
      </c>
      <c r="H26226">
        <v>251107</v>
      </c>
      <c r="I26226">
        <v>4590</v>
      </c>
      <c r="J26226" t="s">
        <v>388</v>
      </c>
      <c r="K26226">
        <v>14.12</v>
      </c>
      <c r="L26226">
        <v>2.87</v>
      </c>
      <c r="M26226">
        <v>49501</v>
      </c>
      <c r="N26226" t="s">
        <v>110</v>
      </c>
      <c r="O26226">
        <v>251118</v>
      </c>
      <c r="P26226">
        <v>11.25</v>
      </c>
    </row>
    <row r="26227" spans="1:16" x14ac:dyDescent="0.25">
      <c r="A26227" t="s">
        <v>3296</v>
      </c>
      <c r="B26227" t="s">
        <v>2931</v>
      </c>
      <c r="C26227">
        <v>332</v>
      </c>
      <c r="D26227" t="str">
        <f>"0073599080  "</f>
        <v xml:space="preserve">0073599080  </v>
      </c>
      <c r="E26227" t="s">
        <v>429</v>
      </c>
      <c r="F26227" t="s">
        <v>430</v>
      </c>
      <c r="G26227">
        <v>1661.76</v>
      </c>
      <c r="H26227">
        <v>250101</v>
      </c>
      <c r="I26227">
        <v>4600</v>
      </c>
      <c r="J26227" t="s">
        <v>278</v>
      </c>
      <c r="K26227">
        <v>1661.76</v>
      </c>
      <c r="L26227">
        <v>337.65</v>
      </c>
      <c r="M26227">
        <v>46555</v>
      </c>
      <c r="N26227" t="s">
        <v>103</v>
      </c>
      <c r="O26227">
        <v>250122</v>
      </c>
      <c r="P26227">
        <v>1324.11</v>
      </c>
    </row>
    <row r="26228" spans="1:16" x14ac:dyDescent="0.25">
      <c r="A26228" t="s">
        <v>3296</v>
      </c>
      <c r="B26228" t="s">
        <v>2931</v>
      </c>
      <c r="C26228">
        <v>378</v>
      </c>
      <c r="D26228" t="str">
        <f>"0073605940  "</f>
        <v xml:space="preserve">0073605940  </v>
      </c>
      <c r="E26228" t="s">
        <v>429</v>
      </c>
      <c r="F26228" t="s">
        <v>430</v>
      </c>
      <c r="G26228">
        <v>51.05</v>
      </c>
      <c r="H26228">
        <v>250117</v>
      </c>
      <c r="I26228">
        <v>4600</v>
      </c>
      <c r="J26228" t="s">
        <v>278</v>
      </c>
      <c r="K26228">
        <v>51.05</v>
      </c>
      <c r="L26228">
        <v>10.37</v>
      </c>
      <c r="M26228">
        <v>46555</v>
      </c>
      <c r="N26228" t="s">
        <v>103</v>
      </c>
      <c r="O26228">
        <v>250122</v>
      </c>
      <c r="P26228">
        <v>40.68</v>
      </c>
    </row>
    <row r="26229" spans="1:16" x14ac:dyDescent="0.25">
      <c r="A26229" t="s">
        <v>3296</v>
      </c>
      <c r="B26229" t="s">
        <v>2931</v>
      </c>
      <c r="C26229">
        <v>400</v>
      </c>
      <c r="D26229" t="str">
        <f>"0073606057  "</f>
        <v xml:space="preserve">0073606057  </v>
      </c>
      <c r="E26229" t="s">
        <v>429</v>
      </c>
      <c r="F26229" t="s">
        <v>430</v>
      </c>
      <c r="G26229">
        <v>134.79</v>
      </c>
      <c r="H26229">
        <v>250120</v>
      </c>
      <c r="I26229">
        <v>4600</v>
      </c>
      <c r="J26229" t="s">
        <v>278</v>
      </c>
      <c r="K26229">
        <v>134.79</v>
      </c>
      <c r="L26229">
        <v>27.39</v>
      </c>
      <c r="M26229">
        <v>46555</v>
      </c>
      <c r="N26229" t="s">
        <v>103</v>
      </c>
      <c r="O26229">
        <v>250122</v>
      </c>
      <c r="P26229">
        <v>107.4</v>
      </c>
    </row>
    <row r="26230" spans="1:16" x14ac:dyDescent="0.25">
      <c r="A26230" t="s">
        <v>3296</v>
      </c>
      <c r="B26230" t="s">
        <v>2931</v>
      </c>
      <c r="C26230">
        <v>596</v>
      </c>
      <c r="D26230" t="str">
        <f>"0073606389  "</f>
        <v xml:space="preserve">0073606389  </v>
      </c>
      <c r="E26230" t="s">
        <v>429</v>
      </c>
      <c r="F26230" t="s">
        <v>430</v>
      </c>
      <c r="G26230">
        <v>31.85</v>
      </c>
      <c r="H26230">
        <v>250121</v>
      </c>
      <c r="I26230">
        <v>4600</v>
      </c>
      <c r="J26230" t="s">
        <v>278</v>
      </c>
      <c r="K26230">
        <v>31.85</v>
      </c>
      <c r="L26230">
        <v>6.47</v>
      </c>
      <c r="M26230">
        <v>47522</v>
      </c>
      <c r="N26230" t="s">
        <v>106</v>
      </c>
      <c r="O26230">
        <v>250124</v>
      </c>
      <c r="P26230">
        <v>25.38</v>
      </c>
    </row>
    <row r="26231" spans="1:16" x14ac:dyDescent="0.25">
      <c r="A26231" t="s">
        <v>3296</v>
      </c>
      <c r="B26231" t="s">
        <v>2931</v>
      </c>
      <c r="C26231">
        <v>665</v>
      </c>
      <c r="D26231" t="str">
        <f>"0073605914  "</f>
        <v xml:space="preserve">0073605914  </v>
      </c>
      <c r="E26231" t="s">
        <v>429</v>
      </c>
      <c r="F26231" t="s">
        <v>430</v>
      </c>
      <c r="G26231">
        <v>992.12</v>
      </c>
      <c r="H26231">
        <v>250117</v>
      </c>
      <c r="I26231">
        <v>4600</v>
      </c>
      <c r="J26231" t="s">
        <v>278</v>
      </c>
      <c r="K26231">
        <v>992.12</v>
      </c>
      <c r="L26231">
        <v>201.59</v>
      </c>
      <c r="M26231">
        <v>17807</v>
      </c>
      <c r="N26231" t="s">
        <v>23</v>
      </c>
      <c r="O26231">
        <v>250127</v>
      </c>
      <c r="P26231">
        <v>790.53</v>
      </c>
    </row>
    <row r="26232" spans="1:16" x14ac:dyDescent="0.25">
      <c r="A26232" t="s">
        <v>3296</v>
      </c>
      <c r="B26232" t="s">
        <v>2931</v>
      </c>
      <c r="C26232">
        <v>710</v>
      </c>
      <c r="D26232" t="str">
        <f>"0073606607  "</f>
        <v xml:space="preserve">0073606607  </v>
      </c>
      <c r="E26232" t="s">
        <v>429</v>
      </c>
      <c r="F26232" t="s">
        <v>430</v>
      </c>
      <c r="G26232">
        <v>140.22999999999999</v>
      </c>
      <c r="H26232">
        <v>250122</v>
      </c>
      <c r="I26232">
        <v>4600</v>
      </c>
      <c r="J26232" t="s">
        <v>278</v>
      </c>
      <c r="K26232">
        <v>140.22999999999999</v>
      </c>
      <c r="L26232">
        <v>28.49</v>
      </c>
      <c r="M26232">
        <v>46554</v>
      </c>
      <c r="N26232" t="s">
        <v>102</v>
      </c>
      <c r="O26232">
        <v>250128</v>
      </c>
      <c r="P26232">
        <v>111.74</v>
      </c>
    </row>
    <row r="26233" spans="1:16" x14ac:dyDescent="0.25">
      <c r="A26233" t="s">
        <v>3296</v>
      </c>
      <c r="B26233" t="s">
        <v>2931</v>
      </c>
      <c r="C26233">
        <v>913</v>
      </c>
      <c r="D26233" t="str">
        <f>"0073607432  "</f>
        <v xml:space="preserve">0073607432  </v>
      </c>
      <c r="E26233" t="s">
        <v>429</v>
      </c>
      <c r="F26233" t="s">
        <v>430</v>
      </c>
      <c r="G26233">
        <v>25.73</v>
      </c>
      <c r="H26233">
        <v>250129</v>
      </c>
      <c r="I26233">
        <v>4600</v>
      </c>
      <c r="J26233" t="s">
        <v>278</v>
      </c>
      <c r="K26233">
        <v>25.73</v>
      </c>
      <c r="L26233">
        <v>5.23</v>
      </c>
      <c r="M26233">
        <v>46555</v>
      </c>
      <c r="N26233" t="s">
        <v>103</v>
      </c>
      <c r="O26233">
        <v>250131</v>
      </c>
      <c r="P26233">
        <v>20.5</v>
      </c>
    </row>
    <row r="26234" spans="1:16" x14ac:dyDescent="0.25">
      <c r="A26234" t="s">
        <v>3296</v>
      </c>
      <c r="B26234" t="s">
        <v>2931</v>
      </c>
      <c r="C26234">
        <v>1914</v>
      </c>
      <c r="D26234" t="str">
        <f>"0073609210  "</f>
        <v xml:space="preserve">0073609210  </v>
      </c>
      <c r="E26234" t="s">
        <v>429</v>
      </c>
      <c r="F26234" t="s">
        <v>430</v>
      </c>
      <c r="G26234">
        <v>78.400000000000006</v>
      </c>
      <c r="H26234">
        <v>250205</v>
      </c>
      <c r="I26234">
        <v>4600</v>
      </c>
      <c r="J26234" t="s">
        <v>278</v>
      </c>
      <c r="K26234">
        <v>78.400000000000006</v>
      </c>
      <c r="L26234">
        <v>15.93</v>
      </c>
      <c r="M26234">
        <v>46555</v>
      </c>
      <c r="N26234" t="s">
        <v>103</v>
      </c>
      <c r="O26234">
        <v>250217</v>
      </c>
      <c r="P26234">
        <v>62.47</v>
      </c>
    </row>
    <row r="26235" spans="1:16" x14ac:dyDescent="0.25">
      <c r="A26235" t="s">
        <v>3296</v>
      </c>
      <c r="B26235" t="s">
        <v>2931</v>
      </c>
      <c r="C26235">
        <v>1921</v>
      </c>
      <c r="D26235" t="str">
        <f>"0073609589  "</f>
        <v xml:space="preserve">0073609589  </v>
      </c>
      <c r="E26235" t="s">
        <v>429</v>
      </c>
      <c r="F26235" t="s">
        <v>430</v>
      </c>
      <c r="G26235">
        <v>127.31</v>
      </c>
      <c r="H26235">
        <v>250207</v>
      </c>
      <c r="I26235">
        <v>4600</v>
      </c>
      <c r="J26235" t="s">
        <v>278</v>
      </c>
      <c r="K26235">
        <v>127.31</v>
      </c>
      <c r="L26235">
        <v>25.87</v>
      </c>
      <c r="M26235">
        <v>46557</v>
      </c>
      <c r="N26235" t="s">
        <v>104</v>
      </c>
      <c r="O26235">
        <v>250217</v>
      </c>
      <c r="P26235">
        <v>101.44</v>
      </c>
    </row>
    <row r="26236" spans="1:16" x14ac:dyDescent="0.25">
      <c r="A26236" t="s">
        <v>3296</v>
      </c>
      <c r="B26236" t="s">
        <v>2931</v>
      </c>
      <c r="C26236">
        <v>2118</v>
      </c>
      <c r="D26236" t="str">
        <f>"0073610371  "</f>
        <v xml:space="preserve">0073610371  </v>
      </c>
      <c r="E26236" t="s">
        <v>429</v>
      </c>
      <c r="F26236" t="s">
        <v>430</v>
      </c>
      <c r="G26236">
        <v>64.86</v>
      </c>
      <c r="H26236">
        <v>250213</v>
      </c>
      <c r="I26236">
        <v>4600</v>
      </c>
      <c r="J26236" t="s">
        <v>278</v>
      </c>
      <c r="K26236">
        <v>64.86</v>
      </c>
      <c r="L26236">
        <v>13.18</v>
      </c>
      <c r="M26236">
        <v>46555</v>
      </c>
      <c r="N26236" t="s">
        <v>103</v>
      </c>
      <c r="O26236">
        <v>250220</v>
      </c>
      <c r="P26236">
        <v>51.68</v>
      </c>
    </row>
    <row r="26237" spans="1:16" x14ac:dyDescent="0.25">
      <c r="A26237" t="s">
        <v>3296</v>
      </c>
      <c r="B26237" t="s">
        <v>2931</v>
      </c>
      <c r="C26237">
        <v>2222</v>
      </c>
      <c r="D26237" t="str">
        <f>"0073611166  "</f>
        <v xml:space="preserve">0073611166  </v>
      </c>
      <c r="E26237" t="s">
        <v>429</v>
      </c>
      <c r="F26237" t="s">
        <v>430</v>
      </c>
      <c r="G26237">
        <v>179.09</v>
      </c>
      <c r="H26237">
        <v>250218</v>
      </c>
      <c r="I26237">
        <v>4600</v>
      </c>
      <c r="J26237" t="s">
        <v>278</v>
      </c>
      <c r="K26237">
        <v>179.09</v>
      </c>
      <c r="L26237">
        <v>36.39</v>
      </c>
      <c r="M26237">
        <v>46555</v>
      </c>
      <c r="N26237" t="s">
        <v>103</v>
      </c>
      <c r="O26237">
        <v>250221</v>
      </c>
      <c r="P26237">
        <v>142.69999999999999</v>
      </c>
    </row>
    <row r="26238" spans="1:16" x14ac:dyDescent="0.25">
      <c r="A26238" t="s">
        <v>3296</v>
      </c>
      <c r="B26238" t="s">
        <v>2931</v>
      </c>
      <c r="C26238">
        <v>2282</v>
      </c>
      <c r="D26238" t="str">
        <f>"0073610488  "</f>
        <v xml:space="preserve">0073610488  </v>
      </c>
      <c r="E26238" t="s">
        <v>429</v>
      </c>
      <c r="F26238" t="s">
        <v>430</v>
      </c>
      <c r="G26238">
        <v>231.16</v>
      </c>
      <c r="H26238">
        <v>250214</v>
      </c>
      <c r="I26238">
        <v>4600</v>
      </c>
      <c r="J26238" t="s">
        <v>278</v>
      </c>
      <c r="K26238">
        <v>504.06</v>
      </c>
      <c r="L26238">
        <v>46.97</v>
      </c>
      <c r="M26238">
        <v>46555</v>
      </c>
      <c r="N26238" t="s">
        <v>103</v>
      </c>
      <c r="O26238">
        <v>250224</v>
      </c>
      <c r="P26238">
        <v>184.19</v>
      </c>
    </row>
    <row r="26239" spans="1:16" x14ac:dyDescent="0.25">
      <c r="A26239" t="s">
        <v>3296</v>
      </c>
      <c r="B26239" t="s">
        <v>2931</v>
      </c>
      <c r="C26239">
        <v>2282</v>
      </c>
      <c r="D26239" t="str">
        <f>"0073610488  "</f>
        <v xml:space="preserve">0073610488  </v>
      </c>
      <c r="E26239" t="s">
        <v>429</v>
      </c>
      <c r="F26239" t="s">
        <v>430</v>
      </c>
      <c r="G26239">
        <v>202.81</v>
      </c>
      <c r="H26239">
        <v>250214</v>
      </c>
      <c r="I26239">
        <v>4600</v>
      </c>
      <c r="J26239" t="s">
        <v>278</v>
      </c>
      <c r="K26239">
        <v>504.06</v>
      </c>
      <c r="L26239">
        <v>41.21</v>
      </c>
      <c r="M26239">
        <v>47522</v>
      </c>
      <c r="N26239" t="s">
        <v>106</v>
      </c>
      <c r="O26239">
        <v>250224</v>
      </c>
      <c r="P26239">
        <v>161.6</v>
      </c>
    </row>
    <row r="26240" spans="1:16" x14ac:dyDescent="0.25">
      <c r="A26240" t="s">
        <v>3296</v>
      </c>
      <c r="B26240" t="s">
        <v>2931</v>
      </c>
      <c r="C26240">
        <v>2463</v>
      </c>
      <c r="D26240" t="str">
        <f>"0076013022  "</f>
        <v xml:space="preserve">0076013022  </v>
      </c>
      <c r="E26240" t="s">
        <v>429</v>
      </c>
      <c r="F26240" t="s">
        <v>430</v>
      </c>
      <c r="G26240">
        <v>-7.77</v>
      </c>
      <c r="H26240">
        <v>250224</v>
      </c>
      <c r="I26240">
        <v>4600</v>
      </c>
      <c r="J26240" t="s">
        <v>278</v>
      </c>
      <c r="K26240">
        <v>-7.77</v>
      </c>
      <c r="L26240">
        <v>-1.58</v>
      </c>
      <c r="M26240">
        <v>47522</v>
      </c>
      <c r="N26240" t="s">
        <v>106</v>
      </c>
      <c r="O26240">
        <v>250227</v>
      </c>
      <c r="P26240">
        <v>-6.19</v>
      </c>
    </row>
    <row r="26241" spans="1:16" x14ac:dyDescent="0.25">
      <c r="A26241" t="s">
        <v>3296</v>
      </c>
      <c r="B26241" t="s">
        <v>2931</v>
      </c>
      <c r="C26241">
        <v>2617</v>
      </c>
      <c r="D26241" t="str">
        <f>"0073611768  "</f>
        <v xml:space="preserve">0073611768  </v>
      </c>
      <c r="E26241" t="s">
        <v>429</v>
      </c>
      <c r="F26241" t="s">
        <v>430</v>
      </c>
      <c r="G26241">
        <v>13.86</v>
      </c>
      <c r="H26241">
        <v>250224</v>
      </c>
      <c r="I26241">
        <v>4600</v>
      </c>
      <c r="J26241" t="s">
        <v>278</v>
      </c>
      <c r="K26241">
        <v>13.86</v>
      </c>
      <c r="L26241">
        <v>2.82</v>
      </c>
      <c r="M26241">
        <v>47522</v>
      </c>
      <c r="N26241" t="s">
        <v>106</v>
      </c>
      <c r="O26241">
        <v>250307</v>
      </c>
      <c r="P26241">
        <v>11.04</v>
      </c>
    </row>
    <row r="26242" spans="1:16" x14ac:dyDescent="0.25">
      <c r="A26242" t="s">
        <v>3296</v>
      </c>
      <c r="B26242" t="s">
        <v>2931</v>
      </c>
      <c r="C26242">
        <v>3282</v>
      </c>
      <c r="D26242" t="str">
        <f>"0073613675  "</f>
        <v xml:space="preserve">0073613675  </v>
      </c>
      <c r="E26242" t="s">
        <v>429</v>
      </c>
      <c r="F26242" t="s">
        <v>430</v>
      </c>
      <c r="G26242">
        <v>12.68</v>
      </c>
      <c r="H26242">
        <v>250305</v>
      </c>
      <c r="I26242">
        <v>4600</v>
      </c>
      <c r="J26242" t="s">
        <v>278</v>
      </c>
      <c r="K26242">
        <v>12.68</v>
      </c>
      <c r="L26242">
        <v>2.58</v>
      </c>
      <c r="M26242">
        <v>46555</v>
      </c>
      <c r="N26242" t="s">
        <v>103</v>
      </c>
      <c r="O26242">
        <v>250318</v>
      </c>
      <c r="P26242">
        <v>10.1</v>
      </c>
    </row>
    <row r="26243" spans="1:16" x14ac:dyDescent="0.25">
      <c r="A26243" t="s">
        <v>3296</v>
      </c>
      <c r="B26243" t="s">
        <v>2931</v>
      </c>
      <c r="C26243">
        <v>3499</v>
      </c>
      <c r="D26243" t="str">
        <f>"0073614100  "</f>
        <v xml:space="preserve">0073614100  </v>
      </c>
      <c r="E26243" t="s">
        <v>429</v>
      </c>
      <c r="F26243" t="s">
        <v>430</v>
      </c>
      <c r="G26243">
        <v>14.65</v>
      </c>
      <c r="H26243">
        <v>250310</v>
      </c>
      <c r="I26243">
        <v>4600</v>
      </c>
      <c r="J26243" t="s">
        <v>278</v>
      </c>
      <c r="K26243">
        <v>14.65</v>
      </c>
      <c r="L26243">
        <v>2.98</v>
      </c>
      <c r="M26243">
        <v>46555</v>
      </c>
      <c r="N26243" t="s">
        <v>103</v>
      </c>
      <c r="O26243">
        <v>250324</v>
      </c>
      <c r="P26243">
        <v>11.67</v>
      </c>
    </row>
    <row r="26244" spans="1:16" x14ac:dyDescent="0.25">
      <c r="A26244" t="s">
        <v>3296</v>
      </c>
      <c r="B26244" t="s">
        <v>2931</v>
      </c>
      <c r="C26244">
        <v>4024</v>
      </c>
      <c r="D26244" t="str">
        <f>"0073616101  "</f>
        <v xml:space="preserve">0073616101  </v>
      </c>
      <c r="E26244" t="s">
        <v>429</v>
      </c>
      <c r="F26244" t="s">
        <v>430</v>
      </c>
      <c r="G26244">
        <v>502.77</v>
      </c>
      <c r="H26244">
        <v>250324</v>
      </c>
      <c r="I26244">
        <v>4600</v>
      </c>
      <c r="J26244" t="s">
        <v>278</v>
      </c>
      <c r="K26244">
        <v>502.77</v>
      </c>
      <c r="L26244">
        <v>102.16</v>
      </c>
      <c r="M26244">
        <v>46555</v>
      </c>
      <c r="N26244" t="s">
        <v>103</v>
      </c>
      <c r="O26244">
        <v>250407</v>
      </c>
      <c r="P26244">
        <v>400.61</v>
      </c>
    </row>
    <row r="26245" spans="1:16" x14ac:dyDescent="0.25">
      <c r="A26245" t="s">
        <v>3296</v>
      </c>
      <c r="B26245" t="s">
        <v>2931</v>
      </c>
      <c r="C26245">
        <v>4132</v>
      </c>
      <c r="D26245" t="str">
        <f>"0073616556  "</f>
        <v xml:space="preserve">0073616556  </v>
      </c>
      <c r="E26245" t="s">
        <v>429</v>
      </c>
      <c r="F26245" t="s">
        <v>430</v>
      </c>
      <c r="G26245">
        <v>103.01</v>
      </c>
      <c r="H26245">
        <v>250326</v>
      </c>
      <c r="I26245">
        <v>4600</v>
      </c>
      <c r="J26245" t="s">
        <v>278</v>
      </c>
      <c r="K26245">
        <v>103.01</v>
      </c>
      <c r="L26245">
        <v>20.93</v>
      </c>
      <c r="M26245">
        <v>46555</v>
      </c>
      <c r="N26245" t="s">
        <v>103</v>
      </c>
      <c r="O26245">
        <v>250407</v>
      </c>
      <c r="P26245">
        <v>82.08</v>
      </c>
    </row>
    <row r="26246" spans="1:16" x14ac:dyDescent="0.25">
      <c r="A26246" t="s">
        <v>3296</v>
      </c>
      <c r="B26246" t="s">
        <v>2931</v>
      </c>
      <c r="C26246">
        <v>4602</v>
      </c>
      <c r="D26246" t="str">
        <f>"0073617698  "</f>
        <v xml:space="preserve">0073617698  </v>
      </c>
      <c r="E26246" t="s">
        <v>429</v>
      </c>
      <c r="F26246" t="s">
        <v>430</v>
      </c>
      <c r="G26246">
        <v>174.42</v>
      </c>
      <c r="H26246">
        <v>250401</v>
      </c>
      <c r="I26246">
        <v>4600</v>
      </c>
      <c r="J26246" t="s">
        <v>278</v>
      </c>
      <c r="K26246">
        <v>174.42</v>
      </c>
      <c r="L26246">
        <v>35.44</v>
      </c>
      <c r="M26246">
        <v>46555</v>
      </c>
      <c r="N26246" t="s">
        <v>103</v>
      </c>
      <c r="O26246">
        <v>250414</v>
      </c>
      <c r="P26246">
        <v>138.97999999999999</v>
      </c>
    </row>
    <row r="26247" spans="1:16" x14ac:dyDescent="0.25">
      <c r="A26247" t="s">
        <v>3296</v>
      </c>
      <c r="B26247" t="s">
        <v>2931</v>
      </c>
      <c r="C26247">
        <v>4758</v>
      </c>
      <c r="D26247" t="str">
        <f>"0073618230  "</f>
        <v xml:space="preserve">0073618230  </v>
      </c>
      <c r="E26247" t="s">
        <v>429</v>
      </c>
      <c r="F26247" t="s">
        <v>430</v>
      </c>
      <c r="G26247">
        <v>154.24</v>
      </c>
      <c r="H26247">
        <v>250404</v>
      </c>
      <c r="I26247">
        <v>4600</v>
      </c>
      <c r="J26247" t="s">
        <v>278</v>
      </c>
      <c r="K26247">
        <v>154.24</v>
      </c>
      <c r="L26247">
        <v>31.34</v>
      </c>
      <c r="M26247">
        <v>46555</v>
      </c>
      <c r="N26247" t="s">
        <v>103</v>
      </c>
      <c r="O26247">
        <v>250415</v>
      </c>
      <c r="P26247">
        <v>122.9</v>
      </c>
    </row>
    <row r="26248" spans="1:16" x14ac:dyDescent="0.25">
      <c r="A26248" t="s">
        <v>3296</v>
      </c>
      <c r="B26248" t="s">
        <v>2931</v>
      </c>
      <c r="C26248">
        <v>4844</v>
      </c>
      <c r="D26248" t="str">
        <f>"0073618552  "</f>
        <v xml:space="preserve">0073618552  </v>
      </c>
      <c r="E26248" t="s">
        <v>429</v>
      </c>
      <c r="F26248" t="s">
        <v>430</v>
      </c>
      <c r="G26248">
        <v>51.05</v>
      </c>
      <c r="H26248">
        <v>250407</v>
      </c>
      <c r="I26248">
        <v>4600</v>
      </c>
      <c r="J26248" t="s">
        <v>278</v>
      </c>
      <c r="K26248">
        <v>51.05</v>
      </c>
      <c r="L26248">
        <v>10.37</v>
      </c>
      <c r="M26248">
        <v>46555</v>
      </c>
      <c r="N26248" t="s">
        <v>103</v>
      </c>
      <c r="O26248">
        <v>250415</v>
      </c>
      <c r="P26248">
        <v>40.68</v>
      </c>
    </row>
    <row r="26249" spans="1:16" x14ac:dyDescent="0.25">
      <c r="A26249" t="s">
        <v>3296</v>
      </c>
      <c r="B26249" t="s">
        <v>2931</v>
      </c>
      <c r="C26249">
        <v>5221</v>
      </c>
      <c r="D26249" t="str">
        <f>"0073618939  "</f>
        <v xml:space="preserve">0073618939  </v>
      </c>
      <c r="E26249" t="s">
        <v>429</v>
      </c>
      <c r="F26249" t="s">
        <v>430</v>
      </c>
      <c r="G26249">
        <v>114.2</v>
      </c>
      <c r="H26249">
        <v>250409</v>
      </c>
      <c r="I26249">
        <v>4600</v>
      </c>
      <c r="J26249" t="s">
        <v>278</v>
      </c>
      <c r="K26249">
        <v>228.41</v>
      </c>
      <c r="L26249">
        <v>23.2</v>
      </c>
      <c r="M26249">
        <v>46554</v>
      </c>
      <c r="N26249" t="s">
        <v>102</v>
      </c>
      <c r="O26249">
        <v>250422</v>
      </c>
      <c r="P26249">
        <v>91</v>
      </c>
    </row>
    <row r="26250" spans="1:16" x14ac:dyDescent="0.25">
      <c r="A26250" t="s">
        <v>3296</v>
      </c>
      <c r="B26250" t="s">
        <v>2931</v>
      </c>
      <c r="C26250">
        <v>5221</v>
      </c>
      <c r="D26250" t="str">
        <f>"0073618939  "</f>
        <v xml:space="preserve">0073618939  </v>
      </c>
      <c r="E26250" t="s">
        <v>429</v>
      </c>
      <c r="F26250" t="s">
        <v>430</v>
      </c>
      <c r="G26250">
        <v>114.21</v>
      </c>
      <c r="H26250">
        <v>250409</v>
      </c>
      <c r="I26250">
        <v>4600</v>
      </c>
      <c r="J26250" t="s">
        <v>278</v>
      </c>
      <c r="K26250">
        <v>228.41</v>
      </c>
      <c r="L26250">
        <v>23.21</v>
      </c>
      <c r="M26250">
        <v>46555</v>
      </c>
      <c r="N26250" t="s">
        <v>103</v>
      </c>
      <c r="O26250">
        <v>250422</v>
      </c>
      <c r="P26250">
        <v>91</v>
      </c>
    </row>
    <row r="26251" spans="1:16" x14ac:dyDescent="0.25">
      <c r="A26251" t="s">
        <v>3296</v>
      </c>
      <c r="B26251" t="s">
        <v>2931</v>
      </c>
      <c r="C26251">
        <v>5820</v>
      </c>
      <c r="D26251" t="str">
        <f>"0073621049  "</f>
        <v xml:space="preserve">0073621049  </v>
      </c>
      <c r="E26251" t="s">
        <v>429</v>
      </c>
      <c r="F26251" t="s">
        <v>430</v>
      </c>
      <c r="G26251">
        <v>51.46</v>
      </c>
      <c r="H26251">
        <v>250428</v>
      </c>
      <c r="I26251">
        <v>4600</v>
      </c>
      <c r="J26251" t="s">
        <v>278</v>
      </c>
      <c r="K26251">
        <v>51.46</v>
      </c>
      <c r="L26251">
        <v>10.46</v>
      </c>
      <c r="M26251">
        <v>46555</v>
      </c>
      <c r="N26251" t="s">
        <v>103</v>
      </c>
      <c r="O26251">
        <v>250505</v>
      </c>
      <c r="P26251">
        <v>41</v>
      </c>
    </row>
    <row r="26252" spans="1:16" x14ac:dyDescent="0.25">
      <c r="A26252" t="s">
        <v>3296</v>
      </c>
      <c r="B26252" t="s">
        <v>2931</v>
      </c>
      <c r="C26252">
        <v>7148</v>
      </c>
      <c r="D26252" t="str">
        <f>"0073623124  "</f>
        <v xml:space="preserve">0073623124  </v>
      </c>
      <c r="E26252" t="s">
        <v>429</v>
      </c>
      <c r="F26252" t="s">
        <v>430</v>
      </c>
      <c r="G26252">
        <v>197.11</v>
      </c>
      <c r="H26252">
        <v>250509</v>
      </c>
      <c r="I26252">
        <v>4600</v>
      </c>
      <c r="J26252" t="s">
        <v>278</v>
      </c>
      <c r="K26252">
        <v>197.11</v>
      </c>
      <c r="L26252">
        <v>40.049999999999997</v>
      </c>
      <c r="M26252">
        <v>46555</v>
      </c>
      <c r="N26252" t="s">
        <v>103</v>
      </c>
      <c r="O26252">
        <v>250526</v>
      </c>
      <c r="P26252">
        <v>157.06</v>
      </c>
    </row>
    <row r="26253" spans="1:16" x14ac:dyDescent="0.25">
      <c r="A26253" t="s">
        <v>3296</v>
      </c>
      <c r="B26253" t="s">
        <v>2931</v>
      </c>
      <c r="C26253">
        <v>7159</v>
      </c>
      <c r="D26253" t="str">
        <f>"0073624039  "</f>
        <v xml:space="preserve">0073624039  </v>
      </c>
      <c r="E26253" t="s">
        <v>429</v>
      </c>
      <c r="F26253" t="s">
        <v>430</v>
      </c>
      <c r="G26253">
        <v>27.48</v>
      </c>
      <c r="H26253">
        <v>250515</v>
      </c>
      <c r="I26253">
        <v>4600</v>
      </c>
      <c r="J26253" t="s">
        <v>278</v>
      </c>
      <c r="K26253">
        <v>27.48</v>
      </c>
      <c r="L26253">
        <v>5.58</v>
      </c>
      <c r="M26253">
        <v>46555</v>
      </c>
      <c r="N26253" t="s">
        <v>103</v>
      </c>
      <c r="O26253">
        <v>250526</v>
      </c>
      <c r="P26253">
        <v>21.9</v>
      </c>
    </row>
    <row r="26254" spans="1:16" x14ac:dyDescent="0.25">
      <c r="A26254" t="s">
        <v>3296</v>
      </c>
      <c r="B26254" t="s">
        <v>2931</v>
      </c>
      <c r="C26254">
        <v>10487</v>
      </c>
      <c r="D26254" t="str">
        <f>"0073635741  "</f>
        <v xml:space="preserve">0073635741  </v>
      </c>
      <c r="E26254" t="s">
        <v>429</v>
      </c>
      <c r="F26254" t="s">
        <v>430</v>
      </c>
      <c r="G26254">
        <v>634.46</v>
      </c>
      <c r="H26254">
        <v>250813</v>
      </c>
      <c r="I26254">
        <v>4600</v>
      </c>
      <c r="J26254" t="s">
        <v>278</v>
      </c>
      <c r="K26254">
        <v>634.46</v>
      </c>
      <c r="L26254">
        <v>128.91</v>
      </c>
      <c r="M26254">
        <v>46555</v>
      </c>
      <c r="N26254" t="s">
        <v>103</v>
      </c>
      <c r="O26254">
        <v>250820</v>
      </c>
      <c r="P26254">
        <v>505.55</v>
      </c>
    </row>
    <row r="26255" spans="1:16" x14ac:dyDescent="0.25">
      <c r="A26255" t="s">
        <v>3296</v>
      </c>
      <c r="B26255" t="s">
        <v>2931</v>
      </c>
      <c r="C26255">
        <v>11563</v>
      </c>
      <c r="D26255" t="str">
        <f>"0073639414  "</f>
        <v xml:space="preserve">0073639414  </v>
      </c>
      <c r="E26255" t="s">
        <v>429</v>
      </c>
      <c r="F26255" t="s">
        <v>430</v>
      </c>
      <c r="G26255">
        <v>42.17</v>
      </c>
      <c r="H26255">
        <v>250903</v>
      </c>
      <c r="I26255">
        <v>4600</v>
      </c>
      <c r="J26255" t="s">
        <v>278</v>
      </c>
      <c r="K26255">
        <v>42.17</v>
      </c>
      <c r="L26255">
        <v>8.57</v>
      </c>
      <c r="M26255">
        <v>17807</v>
      </c>
      <c r="N26255" t="s">
        <v>23</v>
      </c>
      <c r="O26255">
        <v>250908</v>
      </c>
      <c r="P26255">
        <v>33.6</v>
      </c>
    </row>
    <row r="26256" spans="1:16" x14ac:dyDescent="0.25">
      <c r="A26256" t="s">
        <v>3296</v>
      </c>
      <c r="B26256" t="s">
        <v>2931</v>
      </c>
      <c r="C26256">
        <v>11917</v>
      </c>
      <c r="D26256" t="str">
        <f>"0073640425  "</f>
        <v xml:space="preserve">0073640425  </v>
      </c>
      <c r="E26256" t="s">
        <v>429</v>
      </c>
      <c r="F26256" t="s">
        <v>430</v>
      </c>
      <c r="G26256">
        <v>30.55</v>
      </c>
      <c r="H26256">
        <v>250831</v>
      </c>
      <c r="I26256">
        <v>4600</v>
      </c>
      <c r="J26256" t="s">
        <v>278</v>
      </c>
      <c r="K26256">
        <v>30.55</v>
      </c>
      <c r="L26256">
        <v>6.21</v>
      </c>
      <c r="M26256">
        <v>46555</v>
      </c>
      <c r="N26256" t="s">
        <v>103</v>
      </c>
      <c r="O26256">
        <v>250912</v>
      </c>
      <c r="P26256">
        <v>24.34</v>
      </c>
    </row>
    <row r="26257" spans="1:16" x14ac:dyDescent="0.25">
      <c r="A26257" t="s">
        <v>3296</v>
      </c>
      <c r="B26257" t="s">
        <v>2931</v>
      </c>
      <c r="C26257">
        <v>12278</v>
      </c>
      <c r="D26257" t="str">
        <f>"0073641509  "</f>
        <v xml:space="preserve">0073641509  </v>
      </c>
      <c r="E26257" t="s">
        <v>429</v>
      </c>
      <c r="F26257" t="s">
        <v>430</v>
      </c>
      <c r="G26257">
        <v>66.19</v>
      </c>
      <c r="H26257">
        <v>250916</v>
      </c>
      <c r="I26257">
        <v>4600</v>
      </c>
      <c r="J26257" t="s">
        <v>278</v>
      </c>
      <c r="K26257">
        <v>66.19</v>
      </c>
      <c r="L26257">
        <v>13.45</v>
      </c>
      <c r="M26257">
        <v>46555</v>
      </c>
      <c r="N26257" t="s">
        <v>103</v>
      </c>
      <c r="O26257">
        <v>250918</v>
      </c>
      <c r="P26257">
        <v>52.74</v>
      </c>
    </row>
    <row r="26258" spans="1:16" x14ac:dyDescent="0.25">
      <c r="A26258" t="s">
        <v>3296</v>
      </c>
      <c r="B26258" t="s">
        <v>2931</v>
      </c>
      <c r="C26258">
        <v>12764</v>
      </c>
      <c r="D26258" t="str">
        <f>"0073642775  "</f>
        <v xml:space="preserve">0073642775  </v>
      </c>
      <c r="E26258" t="s">
        <v>429</v>
      </c>
      <c r="F26258" t="s">
        <v>430</v>
      </c>
      <c r="G26258">
        <v>162.76</v>
      </c>
      <c r="H26258">
        <v>250924</v>
      </c>
      <c r="I26258">
        <v>4600</v>
      </c>
      <c r="J26258" t="s">
        <v>278</v>
      </c>
      <c r="K26258">
        <v>162.76</v>
      </c>
      <c r="L26258">
        <v>33.07</v>
      </c>
      <c r="M26258">
        <v>46555</v>
      </c>
      <c r="N26258" t="s">
        <v>103</v>
      </c>
      <c r="O26258">
        <v>250930</v>
      </c>
      <c r="P26258">
        <v>129.69</v>
      </c>
    </row>
    <row r="26259" spans="1:16" x14ac:dyDescent="0.25">
      <c r="A26259" t="s">
        <v>3296</v>
      </c>
      <c r="B26259" t="s">
        <v>2931</v>
      </c>
      <c r="C26259">
        <v>12809</v>
      </c>
      <c r="D26259" t="str">
        <f>"0073642968  "</f>
        <v xml:space="preserve">0073642968  </v>
      </c>
      <c r="E26259" t="s">
        <v>429</v>
      </c>
      <c r="F26259" t="s">
        <v>430</v>
      </c>
      <c r="G26259">
        <v>96.79</v>
      </c>
      <c r="H26259">
        <v>250925</v>
      </c>
      <c r="I26259">
        <v>4600</v>
      </c>
      <c r="J26259" t="s">
        <v>278</v>
      </c>
      <c r="K26259">
        <v>96.79</v>
      </c>
      <c r="L26259">
        <v>19.670000000000002</v>
      </c>
      <c r="M26259">
        <v>46555</v>
      </c>
      <c r="N26259" t="s">
        <v>103</v>
      </c>
      <c r="O26259">
        <v>250930</v>
      </c>
      <c r="P26259">
        <v>77.12</v>
      </c>
    </row>
    <row r="26260" spans="1:16" x14ac:dyDescent="0.25">
      <c r="A26260" t="s">
        <v>3296</v>
      </c>
      <c r="B26260" t="s">
        <v>2931</v>
      </c>
      <c r="C26260">
        <v>12930</v>
      </c>
      <c r="D26260" t="str">
        <f>"0073643397  "</f>
        <v xml:space="preserve">0073643397  </v>
      </c>
      <c r="E26260" t="s">
        <v>429</v>
      </c>
      <c r="F26260" t="s">
        <v>430</v>
      </c>
      <c r="G26260">
        <v>363.82</v>
      </c>
      <c r="H26260">
        <v>250929</v>
      </c>
      <c r="I26260">
        <v>4600</v>
      </c>
      <c r="J26260" t="s">
        <v>278</v>
      </c>
      <c r="K26260">
        <v>363.82</v>
      </c>
      <c r="L26260">
        <v>73.92</v>
      </c>
      <c r="M26260">
        <v>46555</v>
      </c>
      <c r="N26260" t="s">
        <v>103</v>
      </c>
      <c r="O26260">
        <v>251002</v>
      </c>
      <c r="P26260">
        <v>289.89999999999998</v>
      </c>
    </row>
    <row r="26261" spans="1:16" x14ac:dyDescent="0.25">
      <c r="A26261" t="s">
        <v>3296</v>
      </c>
      <c r="B26261" t="s">
        <v>2931</v>
      </c>
      <c r="C26261">
        <v>12932</v>
      </c>
      <c r="D26261" t="str">
        <f>"0073644142  "</f>
        <v xml:space="preserve">0073644142  </v>
      </c>
      <c r="E26261" t="s">
        <v>429</v>
      </c>
      <c r="F26261" t="s">
        <v>430</v>
      </c>
      <c r="G26261">
        <v>34.799999999999997</v>
      </c>
      <c r="H26261">
        <v>250930</v>
      </c>
      <c r="I26261">
        <v>4600</v>
      </c>
      <c r="J26261" t="s">
        <v>278</v>
      </c>
      <c r="K26261">
        <v>34.799999999999997</v>
      </c>
      <c r="L26261">
        <v>7.07</v>
      </c>
      <c r="M26261">
        <v>46555</v>
      </c>
      <c r="N26261" t="s">
        <v>103</v>
      </c>
      <c r="O26261">
        <v>251002</v>
      </c>
      <c r="P26261">
        <v>27.73</v>
      </c>
    </row>
    <row r="26262" spans="1:16" x14ac:dyDescent="0.25">
      <c r="A26262" t="s">
        <v>3296</v>
      </c>
      <c r="B26262" t="s">
        <v>2931</v>
      </c>
      <c r="C26262">
        <v>13104</v>
      </c>
      <c r="D26262" t="str">
        <f>"0073641865  "</f>
        <v xml:space="preserve">0073641865  </v>
      </c>
      <c r="E26262" t="s">
        <v>429</v>
      </c>
      <c r="F26262" t="s">
        <v>430</v>
      </c>
      <c r="G26262">
        <v>15.07</v>
      </c>
      <c r="H26262">
        <v>250918</v>
      </c>
      <c r="I26262">
        <v>4600</v>
      </c>
      <c r="J26262" t="s">
        <v>278</v>
      </c>
      <c r="K26262">
        <v>15.07</v>
      </c>
      <c r="L26262">
        <v>3.06</v>
      </c>
      <c r="M26262">
        <v>17807</v>
      </c>
      <c r="N26262" t="s">
        <v>23</v>
      </c>
      <c r="O26262">
        <v>251006</v>
      </c>
      <c r="P26262">
        <v>12.01</v>
      </c>
    </row>
    <row r="26263" spans="1:16" x14ac:dyDescent="0.25">
      <c r="A26263" t="s">
        <v>3296</v>
      </c>
      <c r="B26263" t="s">
        <v>2931</v>
      </c>
      <c r="C26263">
        <v>13481</v>
      </c>
      <c r="D26263" t="str">
        <f>"0073644833  "</f>
        <v xml:space="preserve">0073644833  </v>
      </c>
      <c r="E26263" t="s">
        <v>429</v>
      </c>
      <c r="F26263" t="s">
        <v>430</v>
      </c>
      <c r="G26263">
        <v>56.48</v>
      </c>
      <c r="H26263">
        <v>251003</v>
      </c>
      <c r="I26263">
        <v>4600</v>
      </c>
      <c r="J26263" t="s">
        <v>278</v>
      </c>
      <c r="K26263">
        <v>56.48</v>
      </c>
      <c r="L26263">
        <v>11.48</v>
      </c>
      <c r="M26263">
        <v>49501</v>
      </c>
      <c r="N26263" t="s">
        <v>110</v>
      </c>
      <c r="O26263">
        <v>251010</v>
      </c>
      <c r="P26263">
        <v>45</v>
      </c>
    </row>
    <row r="26264" spans="1:16" x14ac:dyDescent="0.25">
      <c r="A26264" t="s">
        <v>3296</v>
      </c>
      <c r="B26264" t="s">
        <v>2931</v>
      </c>
      <c r="C26264">
        <v>13715</v>
      </c>
      <c r="D26264" t="str">
        <f>"0073645067  "</f>
        <v xml:space="preserve">0073645067  </v>
      </c>
      <c r="E26264" t="s">
        <v>429</v>
      </c>
      <c r="F26264" t="s">
        <v>430</v>
      </c>
      <c r="G26264">
        <v>3.84</v>
      </c>
      <c r="H26264">
        <v>251006</v>
      </c>
      <c r="I26264">
        <v>4600</v>
      </c>
      <c r="J26264" t="s">
        <v>278</v>
      </c>
      <c r="K26264">
        <v>3.84</v>
      </c>
      <c r="L26264">
        <v>0.78</v>
      </c>
      <c r="M26264">
        <v>49501</v>
      </c>
      <c r="N26264" t="s">
        <v>110</v>
      </c>
      <c r="O26264">
        <v>251017</v>
      </c>
      <c r="P26264">
        <v>3.06</v>
      </c>
    </row>
    <row r="26265" spans="1:16" x14ac:dyDescent="0.25">
      <c r="A26265" t="s">
        <v>3296</v>
      </c>
      <c r="B26265" t="s">
        <v>2931</v>
      </c>
      <c r="C26265">
        <v>14538</v>
      </c>
      <c r="D26265" t="str">
        <f>"0073649665  "</f>
        <v xml:space="preserve">0073649665  </v>
      </c>
      <c r="E26265" t="s">
        <v>429</v>
      </c>
      <c r="F26265" t="s">
        <v>430</v>
      </c>
      <c r="G26265">
        <v>645.07000000000005</v>
      </c>
      <c r="H26265">
        <v>251031</v>
      </c>
      <c r="I26265">
        <v>4600</v>
      </c>
      <c r="J26265" t="s">
        <v>278</v>
      </c>
      <c r="K26265">
        <v>645.07000000000005</v>
      </c>
      <c r="L26265">
        <v>131.07</v>
      </c>
      <c r="M26265">
        <v>46555</v>
      </c>
      <c r="N26265" t="s">
        <v>103</v>
      </c>
      <c r="O26265">
        <v>251104</v>
      </c>
      <c r="P26265">
        <v>514</v>
      </c>
    </row>
    <row r="26266" spans="1:16" x14ac:dyDescent="0.25">
      <c r="A26266" t="s">
        <v>3296</v>
      </c>
      <c r="B26266" t="s">
        <v>2931</v>
      </c>
      <c r="C26266">
        <v>15324</v>
      </c>
      <c r="D26266" t="str">
        <f>"0073651761  "</f>
        <v xml:space="preserve">0073651761  </v>
      </c>
      <c r="E26266" t="s">
        <v>429</v>
      </c>
      <c r="F26266" t="s">
        <v>430</v>
      </c>
      <c r="G26266">
        <v>268.68</v>
      </c>
      <c r="H26266">
        <v>251112</v>
      </c>
      <c r="I26266">
        <v>4600</v>
      </c>
      <c r="J26266" t="s">
        <v>278</v>
      </c>
      <c r="K26266">
        <v>268.68</v>
      </c>
      <c r="L26266">
        <v>54.59</v>
      </c>
      <c r="M26266">
        <v>46555</v>
      </c>
      <c r="N26266" t="s">
        <v>103</v>
      </c>
      <c r="O26266">
        <v>251118</v>
      </c>
      <c r="P26266">
        <v>214.09</v>
      </c>
    </row>
    <row r="26267" spans="1:16" x14ac:dyDescent="0.25">
      <c r="A26267" t="s">
        <v>3296</v>
      </c>
      <c r="B26267" t="s">
        <v>2931</v>
      </c>
      <c r="C26267">
        <v>15415</v>
      </c>
      <c r="D26267" t="str">
        <f>"0073651968  "</f>
        <v xml:space="preserve">0073651968  </v>
      </c>
      <c r="E26267" t="s">
        <v>429</v>
      </c>
      <c r="F26267" t="s">
        <v>430</v>
      </c>
      <c r="G26267">
        <v>92.43</v>
      </c>
      <c r="H26267">
        <v>251113</v>
      </c>
      <c r="I26267">
        <v>4600</v>
      </c>
      <c r="J26267" t="s">
        <v>278</v>
      </c>
      <c r="K26267">
        <v>92.43</v>
      </c>
      <c r="L26267">
        <v>18.78</v>
      </c>
      <c r="M26267">
        <v>46555</v>
      </c>
      <c r="N26267" t="s">
        <v>103</v>
      </c>
      <c r="O26267">
        <v>251120</v>
      </c>
      <c r="P26267">
        <v>73.650000000000006</v>
      </c>
    </row>
    <row r="26268" spans="1:16" x14ac:dyDescent="0.25">
      <c r="A26268" t="s">
        <v>3296</v>
      </c>
      <c r="B26268" t="s">
        <v>2931</v>
      </c>
      <c r="C26268">
        <v>15433</v>
      </c>
      <c r="D26268" t="str">
        <f>"0073652314  "</f>
        <v xml:space="preserve">0073652314  </v>
      </c>
      <c r="E26268" t="s">
        <v>429</v>
      </c>
      <c r="F26268" t="s">
        <v>430</v>
      </c>
      <c r="G26268">
        <v>9.7899999999999991</v>
      </c>
      <c r="H26268">
        <v>251114</v>
      </c>
      <c r="I26268">
        <v>4600</v>
      </c>
      <c r="J26268" t="s">
        <v>278</v>
      </c>
      <c r="K26268">
        <v>9.7899999999999991</v>
      </c>
      <c r="L26268">
        <v>1.99</v>
      </c>
      <c r="M26268">
        <v>46555</v>
      </c>
      <c r="N26268" t="s">
        <v>103</v>
      </c>
      <c r="O26268">
        <v>251120</v>
      </c>
      <c r="P26268">
        <v>7.8</v>
      </c>
    </row>
    <row r="26269" spans="1:16" x14ac:dyDescent="0.25">
      <c r="A26269" t="s">
        <v>3296</v>
      </c>
      <c r="B26269" t="s">
        <v>2931</v>
      </c>
      <c r="C26269">
        <v>15952</v>
      </c>
      <c r="D26269" t="str">
        <f>"0073653391  "</f>
        <v xml:space="preserve">0073653391  </v>
      </c>
      <c r="E26269" t="s">
        <v>429</v>
      </c>
      <c r="F26269" t="s">
        <v>430</v>
      </c>
      <c r="G26269">
        <v>403.74</v>
      </c>
      <c r="H26269">
        <v>251121</v>
      </c>
      <c r="I26269">
        <v>4600</v>
      </c>
      <c r="J26269" t="s">
        <v>278</v>
      </c>
      <c r="K26269">
        <v>403.74</v>
      </c>
      <c r="L26269">
        <v>82.03</v>
      </c>
      <c r="M26269">
        <v>46555</v>
      </c>
      <c r="N26269" t="s">
        <v>103</v>
      </c>
      <c r="O26269">
        <v>251201</v>
      </c>
      <c r="P26269">
        <v>321.70999999999998</v>
      </c>
    </row>
    <row r="26270" spans="1:16" x14ac:dyDescent="0.25">
      <c r="A26270" t="s">
        <v>3296</v>
      </c>
      <c r="B26270" t="s">
        <v>2931</v>
      </c>
      <c r="C26270">
        <v>16096</v>
      </c>
      <c r="D26270" t="str">
        <f>"73653790    "</f>
        <v xml:space="preserve">73653790    </v>
      </c>
      <c r="E26270" t="s">
        <v>429</v>
      </c>
      <c r="F26270" t="s">
        <v>430</v>
      </c>
      <c r="G26270">
        <v>51.17</v>
      </c>
      <c r="H26270">
        <v>251124</v>
      </c>
      <c r="I26270">
        <v>4600</v>
      </c>
      <c r="J26270" t="s">
        <v>278</v>
      </c>
      <c r="K26270">
        <v>51.17</v>
      </c>
      <c r="L26270">
        <v>10.4</v>
      </c>
      <c r="M26270">
        <v>46555</v>
      </c>
      <c r="N26270" t="s">
        <v>103</v>
      </c>
      <c r="O26270">
        <v>251203</v>
      </c>
      <c r="P26270">
        <v>40.770000000000003</v>
      </c>
    </row>
    <row r="26271" spans="1:16" x14ac:dyDescent="0.25">
      <c r="A26271" t="s">
        <v>3296</v>
      </c>
      <c r="B26271" t="s">
        <v>2931</v>
      </c>
      <c r="C26271">
        <v>17179</v>
      </c>
      <c r="D26271" t="str">
        <f>"73657168    "</f>
        <v xml:space="preserve">73657168    </v>
      </c>
      <c r="E26271" t="s">
        <v>429</v>
      </c>
      <c r="F26271" t="s">
        <v>430</v>
      </c>
      <c r="G26271">
        <v>37.68</v>
      </c>
      <c r="H26271">
        <v>251211</v>
      </c>
      <c r="I26271">
        <v>4600</v>
      </c>
      <c r="J26271" t="s">
        <v>278</v>
      </c>
      <c r="K26271">
        <v>37.68</v>
      </c>
      <c r="L26271">
        <v>7.66</v>
      </c>
      <c r="M26271">
        <v>46555</v>
      </c>
      <c r="N26271" t="s">
        <v>103</v>
      </c>
      <c r="O26271">
        <v>251218</v>
      </c>
      <c r="P26271">
        <v>30.02</v>
      </c>
    </row>
    <row r="26272" spans="1:16" x14ac:dyDescent="0.25">
      <c r="A26272" t="s">
        <v>3296</v>
      </c>
      <c r="B26272" t="s">
        <v>2931</v>
      </c>
      <c r="C26272">
        <v>5428</v>
      </c>
      <c r="D26272" t="str">
        <f>"0073620038  "</f>
        <v xml:space="preserve">0073620038  </v>
      </c>
      <c r="E26272" t="s">
        <v>429</v>
      </c>
      <c r="F26272" t="s">
        <v>430</v>
      </c>
      <c r="G26272">
        <v>320.08999999999997</v>
      </c>
      <c r="H26272">
        <v>250416</v>
      </c>
      <c r="I26272">
        <v>4940</v>
      </c>
      <c r="J26272" t="s">
        <v>250</v>
      </c>
      <c r="K26272">
        <v>320.08999999999997</v>
      </c>
      <c r="L26272">
        <v>65.040000000000006</v>
      </c>
      <c r="M26272">
        <v>17951</v>
      </c>
      <c r="N26272" t="s">
        <v>207</v>
      </c>
      <c r="O26272">
        <v>250424</v>
      </c>
      <c r="P26272">
        <v>255.05</v>
      </c>
    </row>
    <row r="26273" spans="1:16" x14ac:dyDescent="0.25">
      <c r="A26273" t="s">
        <v>3296</v>
      </c>
      <c r="B26273" t="s">
        <v>2931</v>
      </c>
      <c r="C26273">
        <v>11452</v>
      </c>
      <c r="D26273" t="str">
        <f>"0073639209  "</f>
        <v xml:space="preserve">0073639209  </v>
      </c>
      <c r="E26273" t="s">
        <v>429</v>
      </c>
      <c r="F26273" t="s">
        <v>430</v>
      </c>
      <c r="G26273">
        <v>237.5</v>
      </c>
      <c r="H26273">
        <v>250902</v>
      </c>
      <c r="I26273">
        <v>4940</v>
      </c>
      <c r="J26273" t="s">
        <v>250</v>
      </c>
      <c r="K26273">
        <v>237.5</v>
      </c>
      <c r="L26273">
        <v>48.26</v>
      </c>
      <c r="M26273">
        <v>17951</v>
      </c>
      <c r="N26273" t="s">
        <v>207</v>
      </c>
      <c r="O26273">
        <v>250905</v>
      </c>
      <c r="P26273">
        <v>189.24</v>
      </c>
    </row>
    <row r="26274" spans="1:16" x14ac:dyDescent="0.25">
      <c r="A26274" t="s">
        <v>3296</v>
      </c>
      <c r="B26274" t="s">
        <v>2931</v>
      </c>
      <c r="C26274">
        <v>11962</v>
      </c>
      <c r="D26274" t="str">
        <f>"0073640598  "</f>
        <v xml:space="preserve">0073640598  </v>
      </c>
      <c r="E26274" t="s">
        <v>429</v>
      </c>
      <c r="F26274" t="s">
        <v>430</v>
      </c>
      <c r="G26274">
        <v>19.260000000000002</v>
      </c>
      <c r="H26274">
        <v>250911</v>
      </c>
      <c r="I26274">
        <v>4940</v>
      </c>
      <c r="J26274" t="s">
        <v>250</v>
      </c>
      <c r="K26274">
        <v>19.260000000000002</v>
      </c>
      <c r="L26274">
        <v>3.91</v>
      </c>
      <c r="M26274">
        <v>17951</v>
      </c>
      <c r="N26274" t="s">
        <v>207</v>
      </c>
      <c r="O26274">
        <v>250912</v>
      </c>
      <c r="P26274">
        <v>15.35</v>
      </c>
    </row>
    <row r="26275" spans="1:16" x14ac:dyDescent="0.25">
      <c r="A26275" t="s">
        <v>3296</v>
      </c>
      <c r="B26275" t="s">
        <v>2931</v>
      </c>
      <c r="C26275">
        <v>14108</v>
      </c>
      <c r="D26275" t="str">
        <f>"0073647531  "</f>
        <v xml:space="preserve">0073647531  </v>
      </c>
      <c r="E26275" t="s">
        <v>429</v>
      </c>
      <c r="F26275" t="s">
        <v>430</v>
      </c>
      <c r="G26275">
        <v>3007.68</v>
      </c>
      <c r="H26275">
        <v>251021</v>
      </c>
      <c r="I26275">
        <v>4940</v>
      </c>
      <c r="J26275" t="s">
        <v>250</v>
      </c>
      <c r="K26275">
        <v>3007.68</v>
      </c>
      <c r="L26275">
        <v>611.12</v>
      </c>
      <c r="M26275">
        <v>17951</v>
      </c>
      <c r="N26275" t="s">
        <v>207</v>
      </c>
      <c r="O26275">
        <v>251024</v>
      </c>
      <c r="P26275">
        <v>2396.56</v>
      </c>
    </row>
    <row r="26276" spans="1:16" x14ac:dyDescent="0.25">
      <c r="A26276" t="s">
        <v>3296</v>
      </c>
      <c r="B26276" t="s">
        <v>2931</v>
      </c>
      <c r="C26276">
        <v>14660</v>
      </c>
      <c r="D26276" t="str">
        <f>"0073650441  "</f>
        <v xml:space="preserve">0073650441  </v>
      </c>
      <c r="E26276" t="s">
        <v>429</v>
      </c>
      <c r="F26276" t="s">
        <v>430</v>
      </c>
      <c r="G26276">
        <v>12483.49</v>
      </c>
      <c r="H26276">
        <v>251104</v>
      </c>
      <c r="I26276">
        <v>4940</v>
      </c>
      <c r="J26276" t="s">
        <v>250</v>
      </c>
      <c r="K26276">
        <v>12483.49</v>
      </c>
      <c r="L26276">
        <v>2536.4899999999998</v>
      </c>
      <c r="M26276">
        <v>17951</v>
      </c>
      <c r="N26276" t="s">
        <v>207</v>
      </c>
      <c r="O26276">
        <v>251105</v>
      </c>
      <c r="P26276">
        <v>9947</v>
      </c>
    </row>
    <row r="26277" spans="1:16" x14ac:dyDescent="0.25">
      <c r="A26277" t="s">
        <v>3296</v>
      </c>
      <c r="B26277" t="s">
        <v>2931</v>
      </c>
      <c r="C26277">
        <v>15434</v>
      </c>
      <c r="D26277" t="str">
        <f>"0073652435  "</f>
        <v xml:space="preserve">0073652435  </v>
      </c>
      <c r="E26277" t="s">
        <v>429</v>
      </c>
      <c r="F26277" t="s">
        <v>430</v>
      </c>
      <c r="G26277">
        <v>704.06</v>
      </c>
      <c r="H26277">
        <v>251114</v>
      </c>
      <c r="I26277">
        <v>4940</v>
      </c>
      <c r="J26277" t="s">
        <v>250</v>
      </c>
      <c r="K26277">
        <v>704.06</v>
      </c>
      <c r="L26277">
        <v>143.06</v>
      </c>
      <c r="M26277">
        <v>17951</v>
      </c>
      <c r="N26277" t="s">
        <v>207</v>
      </c>
      <c r="O26277">
        <v>251120</v>
      </c>
      <c r="P26277">
        <v>561</v>
      </c>
    </row>
    <row r="26278" spans="1:16" x14ac:dyDescent="0.25">
      <c r="A26278" t="s">
        <v>3296</v>
      </c>
      <c r="B26278" t="s">
        <v>2931</v>
      </c>
      <c r="C26278">
        <v>7720</v>
      </c>
      <c r="D26278" t="str">
        <f>"0124180594  "</f>
        <v xml:space="preserve">0124180594  </v>
      </c>
      <c r="E26278" t="s">
        <v>292</v>
      </c>
      <c r="F26278" t="s">
        <v>294</v>
      </c>
      <c r="G26278">
        <v>818.32</v>
      </c>
      <c r="H26278">
        <v>250512</v>
      </c>
      <c r="I26278">
        <v>1198</v>
      </c>
      <c r="J26278" t="s">
        <v>610</v>
      </c>
      <c r="K26278">
        <v>818.32</v>
      </c>
      <c r="L26278">
        <v>166.27</v>
      </c>
      <c r="M26278">
        <v>97629</v>
      </c>
      <c r="N26278" t="s">
        <v>1110</v>
      </c>
      <c r="O26278">
        <v>250609</v>
      </c>
      <c r="P26278">
        <v>652.04999999999995</v>
      </c>
    </row>
    <row r="26279" spans="1:16" x14ac:dyDescent="0.25">
      <c r="A26279" t="s">
        <v>3296</v>
      </c>
      <c r="B26279" t="s">
        <v>2931</v>
      </c>
      <c r="C26279">
        <v>10897</v>
      </c>
      <c r="D26279" t="str">
        <f>"0124544526  "</f>
        <v xml:space="preserve">0124544526  </v>
      </c>
      <c r="E26279" t="s">
        <v>292</v>
      </c>
      <c r="F26279" t="s">
        <v>294</v>
      </c>
      <c r="G26279">
        <v>46995.23</v>
      </c>
      <c r="H26279">
        <v>250812</v>
      </c>
      <c r="I26279">
        <v>1198</v>
      </c>
      <c r="J26279" t="s">
        <v>610</v>
      </c>
      <c r="K26279">
        <v>46995.23</v>
      </c>
      <c r="L26279">
        <v>9548.83</v>
      </c>
      <c r="M26279">
        <v>97627</v>
      </c>
      <c r="N26279" t="s">
        <v>1351</v>
      </c>
      <c r="O26279">
        <v>250826</v>
      </c>
      <c r="P26279">
        <v>37446.400000000001</v>
      </c>
    </row>
    <row r="26280" spans="1:16" x14ac:dyDescent="0.25">
      <c r="A26280" t="s">
        <v>3296</v>
      </c>
      <c r="B26280" t="s">
        <v>2931</v>
      </c>
      <c r="C26280">
        <v>14877</v>
      </c>
      <c r="D26280" t="str">
        <f>"0124884847  "</f>
        <v xml:space="preserve">0124884847  </v>
      </c>
      <c r="E26280" t="s">
        <v>292</v>
      </c>
      <c r="F26280" t="s">
        <v>294</v>
      </c>
      <c r="G26280">
        <v>14.06</v>
      </c>
      <c r="H26280">
        <v>251030</v>
      </c>
      <c r="I26280">
        <v>4390</v>
      </c>
      <c r="J26280" t="s">
        <v>232</v>
      </c>
      <c r="K26280">
        <v>196.59</v>
      </c>
      <c r="L26280">
        <v>2.86</v>
      </c>
      <c r="M26280">
        <v>17951</v>
      </c>
      <c r="N26280" t="s">
        <v>207</v>
      </c>
      <c r="O26280">
        <v>251107</v>
      </c>
      <c r="P26280">
        <v>11.2</v>
      </c>
    </row>
    <row r="26281" spans="1:16" x14ac:dyDescent="0.25">
      <c r="A26281" t="s">
        <v>3296</v>
      </c>
      <c r="B26281" t="s">
        <v>2931</v>
      </c>
      <c r="C26281">
        <v>1041</v>
      </c>
      <c r="D26281" t="str">
        <f>"0123758986  "</f>
        <v xml:space="preserve">0123758986  </v>
      </c>
      <c r="E26281" t="s">
        <v>292</v>
      </c>
      <c r="F26281" t="s">
        <v>294</v>
      </c>
      <c r="G26281">
        <v>11.3</v>
      </c>
      <c r="H26281">
        <v>250124</v>
      </c>
      <c r="I26281">
        <v>4400</v>
      </c>
      <c r="J26281" t="s">
        <v>162</v>
      </c>
      <c r="K26281">
        <v>2036.49</v>
      </c>
      <c r="L26281">
        <v>2.2999999999999998</v>
      </c>
      <c r="M26281">
        <v>17521</v>
      </c>
      <c r="N26281" t="s">
        <v>136</v>
      </c>
      <c r="O26281">
        <v>250203</v>
      </c>
      <c r="P26281">
        <v>9</v>
      </c>
    </row>
    <row r="26282" spans="1:16" x14ac:dyDescent="0.25">
      <c r="A26282" t="s">
        <v>3296</v>
      </c>
      <c r="B26282" t="s">
        <v>2931</v>
      </c>
      <c r="C26282">
        <v>4995</v>
      </c>
      <c r="D26282" t="str">
        <f>"0123998050  "</f>
        <v xml:space="preserve">0123998050  </v>
      </c>
      <c r="E26282" t="s">
        <v>292</v>
      </c>
      <c r="F26282" t="s">
        <v>294</v>
      </c>
      <c r="G26282">
        <v>63.36</v>
      </c>
      <c r="H26282">
        <v>250328</v>
      </c>
      <c r="I26282">
        <v>4400</v>
      </c>
      <c r="J26282" t="s">
        <v>162</v>
      </c>
      <c r="K26282">
        <v>318.20999999999998</v>
      </c>
      <c r="L26282">
        <v>12.87</v>
      </c>
      <c r="M26282">
        <v>17524</v>
      </c>
      <c r="N26282" t="s">
        <v>139</v>
      </c>
      <c r="O26282">
        <v>250416</v>
      </c>
      <c r="P26282">
        <v>50.49</v>
      </c>
    </row>
    <row r="26283" spans="1:16" x14ac:dyDescent="0.25">
      <c r="A26283" t="s">
        <v>3296</v>
      </c>
      <c r="B26283" t="s">
        <v>2931</v>
      </c>
      <c r="C26283">
        <v>5550</v>
      </c>
      <c r="D26283" t="str">
        <f>"0124035145  "</f>
        <v xml:space="preserve">0124035145  </v>
      </c>
      <c r="E26283" t="s">
        <v>292</v>
      </c>
      <c r="F26283" t="s">
        <v>294</v>
      </c>
      <c r="G26283">
        <v>47</v>
      </c>
      <c r="H26283">
        <v>250403</v>
      </c>
      <c r="I26283">
        <v>4400</v>
      </c>
      <c r="J26283" t="s">
        <v>162</v>
      </c>
      <c r="K26283">
        <v>92.18</v>
      </c>
      <c r="L26283">
        <v>9.5500000000000007</v>
      </c>
      <c r="M26283">
        <v>17523</v>
      </c>
      <c r="N26283" t="s">
        <v>138</v>
      </c>
      <c r="O26283">
        <v>250425</v>
      </c>
      <c r="P26283">
        <v>37.450000000000003</v>
      </c>
    </row>
    <row r="26284" spans="1:16" x14ac:dyDescent="0.25">
      <c r="A26284" t="s">
        <v>3296</v>
      </c>
      <c r="B26284" t="s">
        <v>2931</v>
      </c>
      <c r="C26284">
        <v>8593</v>
      </c>
      <c r="D26284" t="str">
        <f>"0124240852  "</f>
        <v xml:space="preserve">0124240852  </v>
      </c>
      <c r="E26284" t="s">
        <v>292</v>
      </c>
      <c r="F26284" t="s">
        <v>294</v>
      </c>
      <c r="G26284">
        <v>194.72</v>
      </c>
      <c r="H26284">
        <v>250527</v>
      </c>
      <c r="I26284">
        <v>4400</v>
      </c>
      <c r="J26284" t="s">
        <v>162</v>
      </c>
      <c r="K26284">
        <v>223.84</v>
      </c>
      <c r="L26284">
        <v>39.56</v>
      </c>
      <c r="M26284">
        <v>17523</v>
      </c>
      <c r="N26284" t="s">
        <v>138</v>
      </c>
      <c r="O26284">
        <v>250617</v>
      </c>
      <c r="P26284">
        <v>155.16</v>
      </c>
    </row>
    <row r="26285" spans="1:16" x14ac:dyDescent="0.25">
      <c r="A26285" t="s">
        <v>3296</v>
      </c>
      <c r="B26285" t="s">
        <v>2931</v>
      </c>
      <c r="C26285">
        <v>10601</v>
      </c>
      <c r="D26285" t="str">
        <f>"0124534320  "</f>
        <v xml:space="preserve">0124534320  </v>
      </c>
      <c r="E26285" t="s">
        <v>292</v>
      </c>
      <c r="F26285" t="s">
        <v>294</v>
      </c>
      <c r="G26285">
        <v>36.11</v>
      </c>
      <c r="H26285">
        <v>250808</v>
      </c>
      <c r="I26285">
        <v>4400</v>
      </c>
      <c r="J26285" t="s">
        <v>162</v>
      </c>
      <c r="K26285">
        <v>1143.24</v>
      </c>
      <c r="L26285">
        <v>7.34</v>
      </c>
      <c r="M26285">
        <v>17523</v>
      </c>
      <c r="N26285" t="s">
        <v>138</v>
      </c>
      <c r="O26285">
        <v>250820</v>
      </c>
      <c r="P26285">
        <v>28.77</v>
      </c>
    </row>
    <row r="26286" spans="1:16" x14ac:dyDescent="0.25">
      <c r="A26286" t="s">
        <v>3296</v>
      </c>
      <c r="B26286" t="s">
        <v>2931</v>
      </c>
      <c r="C26286">
        <v>12302</v>
      </c>
      <c r="D26286" t="str">
        <f>"0124567483  "</f>
        <v xml:space="preserve">0124567483  </v>
      </c>
      <c r="E26286" t="s">
        <v>292</v>
      </c>
      <c r="F26286" t="s">
        <v>294</v>
      </c>
      <c r="G26286">
        <v>53.58</v>
      </c>
      <c r="H26286">
        <v>250901</v>
      </c>
      <c r="I26286">
        <v>4400</v>
      </c>
      <c r="J26286" t="s">
        <v>162</v>
      </c>
      <c r="K26286">
        <v>184.1</v>
      </c>
      <c r="L26286">
        <v>10.89</v>
      </c>
      <c r="M26286">
        <v>17523</v>
      </c>
      <c r="N26286" t="s">
        <v>138</v>
      </c>
      <c r="O26286">
        <v>250919</v>
      </c>
      <c r="P26286">
        <v>42.69</v>
      </c>
    </row>
    <row r="26287" spans="1:16" x14ac:dyDescent="0.25">
      <c r="A26287" t="s">
        <v>3296</v>
      </c>
      <c r="B26287" t="s">
        <v>2931</v>
      </c>
      <c r="C26287">
        <v>12311</v>
      </c>
      <c r="D26287" t="str">
        <f>"0124605288  "</f>
        <v xml:space="preserve">0124605288  </v>
      </c>
      <c r="E26287" t="s">
        <v>292</v>
      </c>
      <c r="F26287" t="s">
        <v>294</v>
      </c>
      <c r="G26287">
        <v>21.61</v>
      </c>
      <c r="H26287">
        <v>250901</v>
      </c>
      <c r="I26287">
        <v>4400</v>
      </c>
      <c r="J26287" t="s">
        <v>162</v>
      </c>
      <c r="K26287">
        <v>294.62</v>
      </c>
      <c r="L26287">
        <v>4.3899999999999997</v>
      </c>
      <c r="M26287">
        <v>17526</v>
      </c>
      <c r="N26287" t="s">
        <v>141</v>
      </c>
      <c r="O26287">
        <v>250919</v>
      </c>
      <c r="P26287">
        <v>17.22</v>
      </c>
    </row>
    <row r="26288" spans="1:16" x14ac:dyDescent="0.25">
      <c r="A26288" t="s">
        <v>3296</v>
      </c>
      <c r="B26288" t="s">
        <v>2931</v>
      </c>
      <c r="C26288">
        <v>12382</v>
      </c>
      <c r="D26288" t="str">
        <f>"0124669949  "</f>
        <v xml:space="preserve">0124669949  </v>
      </c>
      <c r="E26288" t="s">
        <v>292</v>
      </c>
      <c r="F26288" t="s">
        <v>294</v>
      </c>
      <c r="G26288">
        <v>38.96</v>
      </c>
      <c r="H26288">
        <v>250910</v>
      </c>
      <c r="I26288">
        <v>4400</v>
      </c>
      <c r="J26288" t="s">
        <v>162</v>
      </c>
      <c r="K26288">
        <v>322.99</v>
      </c>
      <c r="L26288">
        <v>7.92</v>
      </c>
      <c r="M26288">
        <v>17524</v>
      </c>
      <c r="N26288" t="s">
        <v>139</v>
      </c>
      <c r="O26288">
        <v>250919</v>
      </c>
      <c r="P26288">
        <v>31.04</v>
      </c>
    </row>
    <row r="26289" spans="1:16" x14ac:dyDescent="0.25">
      <c r="A26289" t="s">
        <v>3296</v>
      </c>
      <c r="B26289" t="s">
        <v>2931</v>
      </c>
      <c r="C26289">
        <v>12382</v>
      </c>
      <c r="D26289" t="str">
        <f>"0124669949  "</f>
        <v xml:space="preserve">0124669949  </v>
      </c>
      <c r="E26289" t="s">
        <v>292</v>
      </c>
      <c r="F26289" t="s">
        <v>294</v>
      </c>
      <c r="G26289">
        <v>138.93</v>
      </c>
      <c r="H26289">
        <v>250910</v>
      </c>
      <c r="I26289">
        <v>4400</v>
      </c>
      <c r="J26289" t="s">
        <v>162</v>
      </c>
      <c r="K26289">
        <v>322.99</v>
      </c>
      <c r="L26289">
        <v>28.23</v>
      </c>
      <c r="M26289">
        <v>17526</v>
      </c>
      <c r="N26289" t="s">
        <v>141</v>
      </c>
      <c r="O26289">
        <v>250919</v>
      </c>
      <c r="P26289">
        <v>110.7</v>
      </c>
    </row>
    <row r="26290" spans="1:16" x14ac:dyDescent="0.25">
      <c r="A26290" t="s">
        <v>3296</v>
      </c>
      <c r="B26290" t="s">
        <v>2931</v>
      </c>
      <c r="C26290">
        <v>12785</v>
      </c>
      <c r="D26290" t="str">
        <f>"0124702747  "</f>
        <v xml:space="preserve">0124702747  </v>
      </c>
      <c r="E26290" t="s">
        <v>292</v>
      </c>
      <c r="F26290" t="s">
        <v>294</v>
      </c>
      <c r="G26290">
        <v>9.83</v>
      </c>
      <c r="H26290">
        <v>250917</v>
      </c>
      <c r="I26290">
        <v>4400</v>
      </c>
      <c r="J26290" t="s">
        <v>162</v>
      </c>
      <c r="K26290">
        <v>288.76</v>
      </c>
      <c r="L26290">
        <v>2</v>
      </c>
      <c r="M26290">
        <v>17524</v>
      </c>
      <c r="N26290" t="s">
        <v>139</v>
      </c>
      <c r="O26290">
        <v>250930</v>
      </c>
      <c r="P26290">
        <v>7.83</v>
      </c>
    </row>
    <row r="26291" spans="1:16" x14ac:dyDescent="0.25">
      <c r="A26291" t="s">
        <v>3296</v>
      </c>
      <c r="B26291" t="s">
        <v>2931</v>
      </c>
      <c r="C26291">
        <v>12795</v>
      </c>
      <c r="D26291" t="str">
        <f>"0124706191  "</f>
        <v xml:space="preserve">0124706191  </v>
      </c>
      <c r="E26291" t="s">
        <v>292</v>
      </c>
      <c r="F26291" t="s">
        <v>294</v>
      </c>
      <c r="G26291">
        <v>110.04</v>
      </c>
      <c r="H26291">
        <v>250918</v>
      </c>
      <c r="I26291">
        <v>4400</v>
      </c>
      <c r="J26291" t="s">
        <v>162</v>
      </c>
      <c r="K26291">
        <v>618.51</v>
      </c>
      <c r="L26291">
        <v>22.36</v>
      </c>
      <c r="M26291">
        <v>17526</v>
      </c>
      <c r="N26291" t="s">
        <v>141</v>
      </c>
      <c r="O26291">
        <v>250930</v>
      </c>
      <c r="P26291">
        <v>87.68</v>
      </c>
    </row>
    <row r="26292" spans="1:16" x14ac:dyDescent="0.25">
      <c r="A26292" t="s">
        <v>3296</v>
      </c>
      <c r="B26292" t="s">
        <v>2931</v>
      </c>
      <c r="C26292">
        <v>16750</v>
      </c>
      <c r="D26292" t="str">
        <f>"0125011005  "</f>
        <v xml:space="preserve">0125011005  </v>
      </c>
      <c r="E26292" t="s">
        <v>292</v>
      </c>
      <c r="F26292" t="s">
        <v>294</v>
      </c>
      <c r="G26292">
        <v>33.119999999999997</v>
      </c>
      <c r="H26292">
        <v>251127</v>
      </c>
      <c r="I26292">
        <v>4400</v>
      </c>
      <c r="J26292" t="s">
        <v>162</v>
      </c>
      <c r="K26292">
        <v>210.6</v>
      </c>
      <c r="L26292">
        <v>6.73</v>
      </c>
      <c r="M26292">
        <v>17534</v>
      </c>
      <c r="N26292" t="s">
        <v>148</v>
      </c>
      <c r="O26292">
        <v>251211</v>
      </c>
      <c r="P26292">
        <v>26.39</v>
      </c>
    </row>
    <row r="26293" spans="1:16" x14ac:dyDescent="0.25">
      <c r="A26293" t="s">
        <v>3296</v>
      </c>
      <c r="B26293" t="s">
        <v>2931</v>
      </c>
      <c r="C26293">
        <v>12223</v>
      </c>
      <c r="D26293" t="str">
        <f>"0124643218  "</f>
        <v xml:space="preserve">0124643218  </v>
      </c>
      <c r="E26293" t="s">
        <v>292</v>
      </c>
      <c r="F26293" t="s">
        <v>294</v>
      </c>
      <c r="G26293">
        <v>53.93</v>
      </c>
      <c r="H26293">
        <v>250902</v>
      </c>
      <c r="I26293">
        <v>4440</v>
      </c>
      <c r="J26293" t="s">
        <v>346</v>
      </c>
      <c r="K26293">
        <v>53.93</v>
      </c>
      <c r="L26293">
        <v>10.96</v>
      </c>
      <c r="M26293">
        <v>46554</v>
      </c>
      <c r="N26293" t="s">
        <v>102</v>
      </c>
      <c r="O26293">
        <v>250917</v>
      </c>
      <c r="P26293">
        <v>42.97</v>
      </c>
    </row>
    <row r="26294" spans="1:16" x14ac:dyDescent="0.25">
      <c r="A26294" t="s">
        <v>3296</v>
      </c>
      <c r="B26294" t="s">
        <v>2931</v>
      </c>
      <c r="C26294">
        <v>5767</v>
      </c>
      <c r="D26294" t="str">
        <f>"0124045348  "</f>
        <v xml:space="preserve">0124045348  </v>
      </c>
      <c r="E26294" t="s">
        <v>292</v>
      </c>
      <c r="F26294" t="s">
        <v>294</v>
      </c>
      <c r="G26294">
        <v>58.43</v>
      </c>
      <c r="H26294">
        <v>250407</v>
      </c>
      <c r="I26294">
        <v>4500</v>
      </c>
      <c r="J26294" t="s">
        <v>312</v>
      </c>
      <c r="K26294">
        <v>58.43</v>
      </c>
      <c r="L26294">
        <v>11.87</v>
      </c>
      <c r="M26294">
        <v>46554</v>
      </c>
      <c r="N26294" t="s">
        <v>102</v>
      </c>
      <c r="O26294">
        <v>250430</v>
      </c>
      <c r="P26294">
        <v>46.56</v>
      </c>
    </row>
    <row r="26295" spans="1:16" x14ac:dyDescent="0.25">
      <c r="A26295" t="s">
        <v>3296</v>
      </c>
      <c r="B26295" t="s">
        <v>2931</v>
      </c>
      <c r="C26295">
        <v>177</v>
      </c>
      <c r="D26295" t="str">
        <f>"0123695003  "</f>
        <v xml:space="preserve">0123695003  </v>
      </c>
      <c r="E26295" t="s">
        <v>292</v>
      </c>
      <c r="F26295" t="s">
        <v>294</v>
      </c>
      <c r="G26295">
        <v>128.04</v>
      </c>
      <c r="H26295">
        <v>250103</v>
      </c>
      <c r="I26295">
        <v>4530</v>
      </c>
      <c r="J26295" t="s">
        <v>293</v>
      </c>
      <c r="K26295">
        <v>128.04</v>
      </c>
      <c r="L26295">
        <v>26.02</v>
      </c>
      <c r="M26295">
        <v>14541</v>
      </c>
      <c r="N26295" t="s">
        <v>76</v>
      </c>
      <c r="O26295">
        <v>250115</v>
      </c>
      <c r="P26295">
        <v>102.02</v>
      </c>
    </row>
    <row r="26296" spans="1:16" x14ac:dyDescent="0.25">
      <c r="A26296" t="s">
        <v>3296</v>
      </c>
      <c r="B26296" t="s">
        <v>2931</v>
      </c>
      <c r="C26296">
        <v>417</v>
      </c>
      <c r="D26296" t="str">
        <f>"0123712416  "</f>
        <v xml:space="preserve">0123712416  </v>
      </c>
      <c r="E26296" t="s">
        <v>292</v>
      </c>
      <c r="F26296" t="s">
        <v>294</v>
      </c>
      <c r="G26296">
        <v>114.33</v>
      </c>
      <c r="H26296">
        <v>250110</v>
      </c>
      <c r="I26296">
        <v>4530</v>
      </c>
      <c r="J26296" t="s">
        <v>293</v>
      </c>
      <c r="K26296">
        <v>114.33</v>
      </c>
      <c r="L26296">
        <v>23.23</v>
      </c>
      <c r="M26296">
        <v>14990</v>
      </c>
      <c r="N26296" t="s">
        <v>85</v>
      </c>
      <c r="O26296">
        <v>250122</v>
      </c>
      <c r="P26296">
        <v>91.1</v>
      </c>
    </row>
    <row r="26297" spans="1:16" x14ac:dyDescent="0.25">
      <c r="A26297" t="s">
        <v>3296</v>
      </c>
      <c r="B26297" t="s">
        <v>2931</v>
      </c>
      <c r="C26297">
        <v>443</v>
      </c>
      <c r="D26297" t="str">
        <f>"0123721553  "</f>
        <v xml:space="preserve">0123721553  </v>
      </c>
      <c r="E26297" t="s">
        <v>292</v>
      </c>
      <c r="F26297" t="s">
        <v>294</v>
      </c>
      <c r="G26297">
        <v>1099.3699999999999</v>
      </c>
      <c r="H26297">
        <v>250114</v>
      </c>
      <c r="I26297">
        <v>4530</v>
      </c>
      <c r="J26297" t="s">
        <v>293</v>
      </c>
      <c r="K26297">
        <v>1099.3699999999999</v>
      </c>
      <c r="L26297">
        <v>223.38</v>
      </c>
      <c r="M26297">
        <v>47522</v>
      </c>
      <c r="N26297" t="s">
        <v>106</v>
      </c>
      <c r="O26297">
        <v>250122</v>
      </c>
      <c r="P26297">
        <v>875.99</v>
      </c>
    </row>
    <row r="26298" spans="1:16" x14ac:dyDescent="0.25">
      <c r="A26298" t="s">
        <v>3296</v>
      </c>
      <c r="B26298" t="s">
        <v>2931</v>
      </c>
      <c r="C26298">
        <v>448</v>
      </c>
      <c r="D26298" t="str">
        <f>"0123719868  "</f>
        <v xml:space="preserve">0123719868  </v>
      </c>
      <c r="E26298" t="s">
        <v>292</v>
      </c>
      <c r="F26298" t="s">
        <v>294</v>
      </c>
      <c r="G26298">
        <v>114.33</v>
      </c>
      <c r="H26298">
        <v>250114</v>
      </c>
      <c r="I26298">
        <v>4530</v>
      </c>
      <c r="J26298" t="s">
        <v>293</v>
      </c>
      <c r="K26298">
        <v>114.33</v>
      </c>
      <c r="L26298">
        <v>23.23</v>
      </c>
      <c r="M26298">
        <v>14990</v>
      </c>
      <c r="N26298" t="s">
        <v>85</v>
      </c>
      <c r="O26298">
        <v>250122</v>
      </c>
      <c r="P26298">
        <v>91.1</v>
      </c>
    </row>
    <row r="26299" spans="1:16" x14ac:dyDescent="0.25">
      <c r="A26299" t="s">
        <v>3296</v>
      </c>
      <c r="B26299" t="s">
        <v>2931</v>
      </c>
      <c r="C26299">
        <v>450</v>
      </c>
      <c r="D26299" t="str">
        <f>"0123720837  "</f>
        <v xml:space="preserve">0123720837  </v>
      </c>
      <c r="E26299" t="s">
        <v>292</v>
      </c>
      <c r="F26299" t="s">
        <v>294</v>
      </c>
      <c r="G26299">
        <v>326.04000000000002</v>
      </c>
      <c r="H26299">
        <v>250114</v>
      </c>
      <c r="I26299">
        <v>4530</v>
      </c>
      <c r="J26299" t="s">
        <v>293</v>
      </c>
      <c r="K26299">
        <v>326.04000000000002</v>
      </c>
      <c r="L26299">
        <v>66.25</v>
      </c>
      <c r="M26299">
        <v>17737</v>
      </c>
      <c r="N26299" t="s">
        <v>156</v>
      </c>
      <c r="O26299">
        <v>250122</v>
      </c>
      <c r="P26299">
        <v>259.79000000000002</v>
      </c>
    </row>
    <row r="26300" spans="1:16" x14ac:dyDescent="0.25">
      <c r="A26300" t="s">
        <v>3296</v>
      </c>
      <c r="B26300" t="s">
        <v>2931</v>
      </c>
      <c r="C26300">
        <v>526</v>
      </c>
      <c r="D26300" t="str">
        <f>"0123723601  "</f>
        <v xml:space="preserve">0123723601  </v>
      </c>
      <c r="E26300" t="s">
        <v>292</v>
      </c>
      <c r="F26300" t="s">
        <v>294</v>
      </c>
      <c r="G26300">
        <v>69.959999999999994</v>
      </c>
      <c r="H26300">
        <v>250115</v>
      </c>
      <c r="I26300">
        <v>4530</v>
      </c>
      <c r="J26300" t="s">
        <v>293</v>
      </c>
      <c r="K26300">
        <v>69.959999999999994</v>
      </c>
      <c r="L26300">
        <v>14.21</v>
      </c>
      <c r="M26300">
        <v>56564</v>
      </c>
      <c r="N26300" t="s">
        <v>56</v>
      </c>
      <c r="O26300">
        <v>250123</v>
      </c>
      <c r="P26300">
        <v>55.75</v>
      </c>
    </row>
    <row r="26301" spans="1:16" x14ac:dyDescent="0.25">
      <c r="A26301" t="s">
        <v>3296</v>
      </c>
      <c r="B26301" t="s">
        <v>2931</v>
      </c>
      <c r="C26301">
        <v>529</v>
      </c>
      <c r="D26301" t="str">
        <f>"0123700486  "</f>
        <v xml:space="preserve">0123700486  </v>
      </c>
      <c r="E26301" t="s">
        <v>292</v>
      </c>
      <c r="F26301" t="s">
        <v>294</v>
      </c>
      <c r="G26301">
        <v>222.97</v>
      </c>
      <c r="H26301">
        <v>250108</v>
      </c>
      <c r="I26301">
        <v>4530</v>
      </c>
      <c r="J26301" t="s">
        <v>293</v>
      </c>
      <c r="K26301">
        <v>265.57</v>
      </c>
      <c r="L26301">
        <v>45.3</v>
      </c>
      <c r="M26301">
        <v>17527</v>
      </c>
      <c r="N26301" t="s">
        <v>142</v>
      </c>
      <c r="O26301">
        <v>250123</v>
      </c>
      <c r="P26301">
        <v>177.67</v>
      </c>
    </row>
    <row r="26302" spans="1:16" x14ac:dyDescent="0.25">
      <c r="A26302" t="s">
        <v>3296</v>
      </c>
      <c r="B26302" t="s">
        <v>2931</v>
      </c>
      <c r="C26302">
        <v>557</v>
      </c>
      <c r="D26302" t="str">
        <f>"0123704040  "</f>
        <v xml:space="preserve">0123704040  </v>
      </c>
      <c r="E26302" t="s">
        <v>292</v>
      </c>
      <c r="F26302" t="s">
        <v>294</v>
      </c>
      <c r="G26302">
        <v>62.26</v>
      </c>
      <c r="H26302">
        <v>250109</v>
      </c>
      <c r="I26302">
        <v>4530</v>
      </c>
      <c r="J26302" t="s">
        <v>293</v>
      </c>
      <c r="K26302">
        <v>62.26</v>
      </c>
      <c r="L26302">
        <v>12.65</v>
      </c>
      <c r="M26302">
        <v>17737</v>
      </c>
      <c r="N26302" t="s">
        <v>156</v>
      </c>
      <c r="O26302">
        <v>250123</v>
      </c>
      <c r="P26302">
        <v>49.61</v>
      </c>
    </row>
    <row r="26303" spans="1:16" x14ac:dyDescent="0.25">
      <c r="A26303" t="s">
        <v>3296</v>
      </c>
      <c r="B26303" t="s">
        <v>2931</v>
      </c>
      <c r="C26303">
        <v>601</v>
      </c>
      <c r="D26303" t="str">
        <f>"0123719953  "</f>
        <v xml:space="preserve">0123719953  </v>
      </c>
      <c r="E26303" t="s">
        <v>292</v>
      </c>
      <c r="F26303" t="s">
        <v>294</v>
      </c>
      <c r="G26303">
        <v>111.48</v>
      </c>
      <c r="H26303">
        <v>250114</v>
      </c>
      <c r="I26303">
        <v>4530</v>
      </c>
      <c r="J26303" t="s">
        <v>293</v>
      </c>
      <c r="K26303">
        <v>148.83000000000001</v>
      </c>
      <c r="L26303">
        <v>22.65</v>
      </c>
      <c r="M26303">
        <v>17527</v>
      </c>
      <c r="N26303" t="s">
        <v>142</v>
      </c>
      <c r="O26303">
        <v>250124</v>
      </c>
      <c r="P26303">
        <v>88.83</v>
      </c>
    </row>
    <row r="26304" spans="1:16" x14ac:dyDescent="0.25">
      <c r="A26304" t="s">
        <v>3296</v>
      </c>
      <c r="B26304" t="s">
        <v>2931</v>
      </c>
      <c r="C26304">
        <v>813</v>
      </c>
      <c r="D26304" t="str">
        <f>"0123753535  "</f>
        <v xml:space="preserve">0123753535  </v>
      </c>
      <c r="E26304" t="s">
        <v>292</v>
      </c>
      <c r="F26304" t="s">
        <v>294</v>
      </c>
      <c r="G26304">
        <v>167.14</v>
      </c>
      <c r="H26304">
        <v>250123</v>
      </c>
      <c r="I26304">
        <v>4530</v>
      </c>
      <c r="J26304" t="s">
        <v>293</v>
      </c>
      <c r="K26304">
        <v>242.25</v>
      </c>
      <c r="L26304">
        <v>33.96</v>
      </c>
      <c r="M26304">
        <v>17805</v>
      </c>
      <c r="N26304" t="s">
        <v>21</v>
      </c>
      <c r="O26304">
        <v>250129</v>
      </c>
      <c r="P26304">
        <v>133.18</v>
      </c>
    </row>
    <row r="26305" spans="1:16" x14ac:dyDescent="0.25">
      <c r="A26305" t="s">
        <v>3296</v>
      </c>
      <c r="B26305" t="s">
        <v>2931</v>
      </c>
      <c r="C26305">
        <v>834</v>
      </c>
      <c r="D26305" t="str">
        <f>"0123760784  "</f>
        <v xml:space="preserve">0123760784  </v>
      </c>
      <c r="E26305" t="s">
        <v>292</v>
      </c>
      <c r="F26305" t="s">
        <v>294</v>
      </c>
      <c r="G26305">
        <v>53.84</v>
      </c>
      <c r="H26305">
        <v>250124</v>
      </c>
      <c r="I26305">
        <v>4530</v>
      </c>
      <c r="J26305" t="s">
        <v>293</v>
      </c>
      <c r="K26305">
        <v>53.84</v>
      </c>
      <c r="L26305">
        <v>10.94</v>
      </c>
      <c r="M26305">
        <v>66722</v>
      </c>
      <c r="N26305" t="s">
        <v>118</v>
      </c>
      <c r="O26305">
        <v>250129</v>
      </c>
      <c r="P26305">
        <v>42.9</v>
      </c>
    </row>
    <row r="26306" spans="1:16" x14ac:dyDescent="0.25">
      <c r="A26306" t="s">
        <v>3296</v>
      </c>
      <c r="B26306" t="s">
        <v>2931</v>
      </c>
      <c r="C26306">
        <v>835</v>
      </c>
      <c r="D26306" t="str">
        <f>"0123760785  "</f>
        <v xml:space="preserve">0123760785  </v>
      </c>
      <c r="E26306" t="s">
        <v>292</v>
      </c>
      <c r="F26306" t="s">
        <v>294</v>
      </c>
      <c r="G26306">
        <v>191.37</v>
      </c>
      <c r="H26306">
        <v>250124</v>
      </c>
      <c r="I26306">
        <v>4530</v>
      </c>
      <c r="J26306" t="s">
        <v>293</v>
      </c>
      <c r="K26306">
        <v>921.96</v>
      </c>
      <c r="L26306">
        <v>38.880000000000003</v>
      </c>
      <c r="M26306">
        <v>67522</v>
      </c>
      <c r="N26306" t="s">
        <v>121</v>
      </c>
      <c r="O26306">
        <v>250129</v>
      </c>
      <c r="P26306">
        <v>152.49</v>
      </c>
    </row>
    <row r="26307" spans="1:16" x14ac:dyDescent="0.25">
      <c r="A26307" t="s">
        <v>3296</v>
      </c>
      <c r="B26307" t="s">
        <v>2931</v>
      </c>
      <c r="C26307">
        <v>835</v>
      </c>
      <c r="D26307" t="str">
        <f>"0123760785  "</f>
        <v xml:space="preserve">0123760785  </v>
      </c>
      <c r="E26307" t="s">
        <v>292</v>
      </c>
      <c r="F26307" t="s">
        <v>294</v>
      </c>
      <c r="G26307">
        <v>96.87</v>
      </c>
      <c r="H26307">
        <v>250124</v>
      </c>
      <c r="I26307">
        <v>4530</v>
      </c>
      <c r="J26307" t="s">
        <v>293</v>
      </c>
      <c r="K26307">
        <v>921.96</v>
      </c>
      <c r="L26307">
        <v>19.68</v>
      </c>
      <c r="M26307">
        <v>67522</v>
      </c>
      <c r="N26307" t="s">
        <v>121</v>
      </c>
      <c r="O26307">
        <v>250129</v>
      </c>
      <c r="P26307">
        <v>77.19</v>
      </c>
    </row>
    <row r="26308" spans="1:16" x14ac:dyDescent="0.25">
      <c r="A26308" t="s">
        <v>3296</v>
      </c>
      <c r="B26308" t="s">
        <v>2931</v>
      </c>
      <c r="C26308">
        <v>1098</v>
      </c>
      <c r="D26308" t="str">
        <f>"0123723599  "</f>
        <v xml:space="preserve">0123723599  </v>
      </c>
      <c r="E26308" t="s">
        <v>292</v>
      </c>
      <c r="F26308" t="s">
        <v>294</v>
      </c>
      <c r="G26308">
        <v>93.11</v>
      </c>
      <c r="H26308">
        <v>250115</v>
      </c>
      <c r="I26308">
        <v>4530</v>
      </c>
      <c r="J26308" t="s">
        <v>293</v>
      </c>
      <c r="K26308">
        <v>93.11</v>
      </c>
      <c r="L26308">
        <v>18.920000000000002</v>
      </c>
      <c r="M26308">
        <v>56558</v>
      </c>
      <c r="N26308" t="s">
        <v>50</v>
      </c>
      <c r="O26308">
        <v>250204</v>
      </c>
      <c r="P26308">
        <v>74.19</v>
      </c>
    </row>
    <row r="26309" spans="1:16" x14ac:dyDescent="0.25">
      <c r="A26309" t="s">
        <v>3296</v>
      </c>
      <c r="B26309" t="s">
        <v>2931</v>
      </c>
      <c r="C26309">
        <v>1618</v>
      </c>
      <c r="D26309" t="str">
        <f>"0123726896  "</f>
        <v xml:space="preserve">0123726896  </v>
      </c>
      <c r="E26309" t="s">
        <v>292</v>
      </c>
      <c r="F26309" t="s">
        <v>294</v>
      </c>
      <c r="G26309">
        <v>104.34</v>
      </c>
      <c r="H26309">
        <v>250115</v>
      </c>
      <c r="I26309">
        <v>4530</v>
      </c>
      <c r="J26309" t="s">
        <v>293</v>
      </c>
      <c r="K26309">
        <v>749.95</v>
      </c>
      <c r="L26309">
        <v>21.2</v>
      </c>
      <c r="M26309">
        <v>46554</v>
      </c>
      <c r="N26309" t="s">
        <v>102</v>
      </c>
      <c r="O26309">
        <v>250211</v>
      </c>
      <c r="P26309">
        <v>83.14</v>
      </c>
    </row>
    <row r="26310" spans="1:16" x14ac:dyDescent="0.25">
      <c r="A26310" t="s">
        <v>3296</v>
      </c>
      <c r="B26310" t="s">
        <v>2931</v>
      </c>
      <c r="C26310">
        <v>1622</v>
      </c>
      <c r="D26310" t="str">
        <f>"0123803572  "</f>
        <v xml:space="preserve">0123803572  </v>
      </c>
      <c r="E26310" t="s">
        <v>292</v>
      </c>
      <c r="F26310" t="s">
        <v>294</v>
      </c>
      <c r="G26310">
        <v>31.63</v>
      </c>
      <c r="H26310">
        <v>250131</v>
      </c>
      <c r="I26310">
        <v>4530</v>
      </c>
      <c r="J26310" t="s">
        <v>293</v>
      </c>
      <c r="K26310">
        <v>31.63</v>
      </c>
      <c r="L26310">
        <v>6.43</v>
      </c>
      <c r="M26310">
        <v>67554</v>
      </c>
      <c r="N26310" t="s">
        <v>317</v>
      </c>
      <c r="O26310">
        <v>250211</v>
      </c>
      <c r="P26310">
        <v>25.2</v>
      </c>
    </row>
    <row r="26311" spans="1:16" x14ac:dyDescent="0.25">
      <c r="A26311" t="s">
        <v>3296</v>
      </c>
      <c r="B26311" t="s">
        <v>2931</v>
      </c>
      <c r="C26311">
        <v>1683</v>
      </c>
      <c r="D26311" t="str">
        <f>"0123804829  "</f>
        <v xml:space="preserve">0123804829  </v>
      </c>
      <c r="E26311" t="s">
        <v>292</v>
      </c>
      <c r="F26311" t="s">
        <v>294</v>
      </c>
      <c r="G26311">
        <v>41.42</v>
      </c>
      <c r="H26311">
        <v>250203</v>
      </c>
      <c r="I26311">
        <v>4530</v>
      </c>
      <c r="J26311" t="s">
        <v>293</v>
      </c>
      <c r="K26311">
        <v>41.42</v>
      </c>
      <c r="L26311">
        <v>8.42</v>
      </c>
      <c r="M26311">
        <v>46554</v>
      </c>
      <c r="N26311" t="s">
        <v>102</v>
      </c>
      <c r="O26311">
        <v>250212</v>
      </c>
      <c r="P26311">
        <v>33</v>
      </c>
    </row>
    <row r="26312" spans="1:16" x14ac:dyDescent="0.25">
      <c r="A26312" t="s">
        <v>3296</v>
      </c>
      <c r="B26312" t="s">
        <v>2931</v>
      </c>
      <c r="C26312">
        <v>1693</v>
      </c>
      <c r="D26312" t="str">
        <f>"0123811944  "</f>
        <v xml:space="preserve">0123811944  </v>
      </c>
      <c r="E26312" t="s">
        <v>292</v>
      </c>
      <c r="F26312" t="s">
        <v>294</v>
      </c>
      <c r="G26312">
        <v>41.42</v>
      </c>
      <c r="H26312">
        <v>250205</v>
      </c>
      <c r="I26312">
        <v>4530</v>
      </c>
      <c r="J26312" t="s">
        <v>293</v>
      </c>
      <c r="K26312">
        <v>41.42</v>
      </c>
      <c r="L26312">
        <v>8.42</v>
      </c>
      <c r="M26312">
        <v>46554</v>
      </c>
      <c r="N26312" t="s">
        <v>102</v>
      </c>
      <c r="O26312">
        <v>250212</v>
      </c>
      <c r="P26312">
        <v>33</v>
      </c>
    </row>
    <row r="26313" spans="1:16" x14ac:dyDescent="0.25">
      <c r="A26313" t="s">
        <v>3296</v>
      </c>
      <c r="B26313" t="s">
        <v>2931</v>
      </c>
      <c r="C26313">
        <v>1969</v>
      </c>
      <c r="D26313" t="str">
        <f>"0123763988  "</f>
        <v xml:space="preserve">0123763988  </v>
      </c>
      <c r="E26313" t="s">
        <v>292</v>
      </c>
      <c r="F26313" t="s">
        <v>294</v>
      </c>
      <c r="G26313">
        <v>60.24</v>
      </c>
      <c r="H26313">
        <v>250127</v>
      </c>
      <c r="I26313">
        <v>4530</v>
      </c>
      <c r="J26313" t="s">
        <v>293</v>
      </c>
      <c r="K26313">
        <v>88.77</v>
      </c>
      <c r="L26313">
        <v>12.24</v>
      </c>
      <c r="M26313">
        <v>17807</v>
      </c>
      <c r="N26313" t="s">
        <v>23</v>
      </c>
      <c r="O26313">
        <v>250218</v>
      </c>
      <c r="P26313">
        <v>48</v>
      </c>
    </row>
    <row r="26314" spans="1:16" x14ac:dyDescent="0.25">
      <c r="A26314" t="s">
        <v>3296</v>
      </c>
      <c r="B26314" t="s">
        <v>2931</v>
      </c>
      <c r="C26314">
        <v>1981</v>
      </c>
      <c r="D26314" t="str">
        <f>"0123807711  "</f>
        <v xml:space="preserve">0123807711  </v>
      </c>
      <c r="E26314" t="s">
        <v>292</v>
      </c>
      <c r="F26314" t="s">
        <v>294</v>
      </c>
      <c r="G26314">
        <v>86.84</v>
      </c>
      <c r="H26314">
        <v>250203</v>
      </c>
      <c r="I26314">
        <v>4530</v>
      </c>
      <c r="J26314" t="s">
        <v>293</v>
      </c>
      <c r="K26314">
        <v>105.91</v>
      </c>
      <c r="L26314">
        <v>17.64</v>
      </c>
      <c r="M26314">
        <v>67554</v>
      </c>
      <c r="N26314" t="s">
        <v>317</v>
      </c>
      <c r="O26314">
        <v>250218</v>
      </c>
      <c r="P26314">
        <v>69.2</v>
      </c>
    </row>
    <row r="26315" spans="1:16" x14ac:dyDescent="0.25">
      <c r="A26315" t="s">
        <v>3296</v>
      </c>
      <c r="B26315" t="s">
        <v>2931</v>
      </c>
      <c r="C26315">
        <v>2248</v>
      </c>
      <c r="D26315" t="str">
        <f>"0123833412  "</f>
        <v xml:space="preserve">0123833412  </v>
      </c>
      <c r="E26315" t="s">
        <v>292</v>
      </c>
      <c r="F26315" t="s">
        <v>294</v>
      </c>
      <c r="G26315">
        <v>41.42</v>
      </c>
      <c r="H26315">
        <v>250212</v>
      </c>
      <c r="I26315">
        <v>4530</v>
      </c>
      <c r="J26315" t="s">
        <v>293</v>
      </c>
      <c r="K26315">
        <v>61.71</v>
      </c>
      <c r="L26315">
        <v>8.42</v>
      </c>
      <c r="M26315">
        <v>46557</v>
      </c>
      <c r="N26315" t="s">
        <v>104</v>
      </c>
      <c r="O26315">
        <v>250221</v>
      </c>
      <c r="P26315">
        <v>33</v>
      </c>
    </row>
    <row r="26316" spans="1:16" x14ac:dyDescent="0.25">
      <c r="A26316" t="s">
        <v>3296</v>
      </c>
      <c r="B26316" t="s">
        <v>2931</v>
      </c>
      <c r="C26316">
        <v>2252</v>
      </c>
      <c r="D26316" t="str">
        <f>"0123845937  "</f>
        <v xml:space="preserve">0123845937  </v>
      </c>
      <c r="E26316" t="s">
        <v>292</v>
      </c>
      <c r="F26316" t="s">
        <v>294</v>
      </c>
      <c r="G26316">
        <v>167.68</v>
      </c>
      <c r="H26316">
        <v>250214</v>
      </c>
      <c r="I26316">
        <v>4530</v>
      </c>
      <c r="J26316" t="s">
        <v>293</v>
      </c>
      <c r="K26316">
        <v>242.9</v>
      </c>
      <c r="L26316">
        <v>34.07</v>
      </c>
      <c r="M26316">
        <v>46555</v>
      </c>
      <c r="N26316" t="s">
        <v>103</v>
      </c>
      <c r="O26316">
        <v>250221</v>
      </c>
      <c r="P26316">
        <v>133.61000000000001</v>
      </c>
    </row>
    <row r="26317" spans="1:16" x14ac:dyDescent="0.25">
      <c r="A26317" t="s">
        <v>3296</v>
      </c>
      <c r="B26317" t="s">
        <v>2931</v>
      </c>
      <c r="C26317">
        <v>2840</v>
      </c>
      <c r="D26317" t="str">
        <f>"0123839629  "</f>
        <v xml:space="preserve">0123839629  </v>
      </c>
      <c r="E26317" t="s">
        <v>292</v>
      </c>
      <c r="F26317" t="s">
        <v>294</v>
      </c>
      <c r="G26317">
        <v>1018.81</v>
      </c>
      <c r="H26317">
        <v>250213</v>
      </c>
      <c r="I26317">
        <v>4530</v>
      </c>
      <c r="J26317" t="s">
        <v>293</v>
      </c>
      <c r="K26317">
        <v>1018.81</v>
      </c>
      <c r="L26317">
        <v>207.01</v>
      </c>
      <c r="M26317">
        <v>67522</v>
      </c>
      <c r="N26317" t="s">
        <v>121</v>
      </c>
      <c r="O26317">
        <v>250312</v>
      </c>
      <c r="P26317">
        <v>811.8</v>
      </c>
    </row>
    <row r="26318" spans="1:16" x14ac:dyDescent="0.25">
      <c r="A26318" t="s">
        <v>3296</v>
      </c>
      <c r="B26318" t="s">
        <v>2931</v>
      </c>
      <c r="C26318">
        <v>3814</v>
      </c>
      <c r="D26318" t="str">
        <f>"0123915084  "</f>
        <v xml:space="preserve">0123915084  </v>
      </c>
      <c r="E26318" t="s">
        <v>292</v>
      </c>
      <c r="F26318" t="s">
        <v>294</v>
      </c>
      <c r="G26318">
        <v>41.41</v>
      </c>
      <c r="H26318">
        <v>250303</v>
      </c>
      <c r="I26318">
        <v>4530</v>
      </c>
      <c r="J26318" t="s">
        <v>293</v>
      </c>
      <c r="K26318">
        <v>71.28</v>
      </c>
      <c r="L26318">
        <v>8.41</v>
      </c>
      <c r="M26318">
        <v>47522</v>
      </c>
      <c r="N26318" t="s">
        <v>106</v>
      </c>
      <c r="O26318">
        <v>250402</v>
      </c>
      <c r="P26318">
        <v>33</v>
      </c>
    </row>
    <row r="26319" spans="1:16" x14ac:dyDescent="0.25">
      <c r="A26319" t="s">
        <v>3296</v>
      </c>
      <c r="B26319" t="s">
        <v>2931</v>
      </c>
      <c r="C26319">
        <v>3825</v>
      </c>
      <c r="D26319" t="str">
        <f>"0123914766  "</f>
        <v xml:space="preserve">0123914766  </v>
      </c>
      <c r="E26319" t="s">
        <v>292</v>
      </c>
      <c r="F26319" t="s">
        <v>294</v>
      </c>
      <c r="G26319">
        <v>164.82</v>
      </c>
      <c r="H26319">
        <v>250303</v>
      </c>
      <c r="I26319">
        <v>4530</v>
      </c>
      <c r="J26319" t="s">
        <v>293</v>
      </c>
      <c r="K26319">
        <v>164.82</v>
      </c>
      <c r="L26319">
        <v>33.49</v>
      </c>
      <c r="M26319">
        <v>17527</v>
      </c>
      <c r="N26319" t="s">
        <v>142</v>
      </c>
      <c r="O26319">
        <v>250402</v>
      </c>
      <c r="P26319">
        <v>131.33000000000001</v>
      </c>
    </row>
    <row r="26320" spans="1:16" x14ac:dyDescent="0.25">
      <c r="A26320" t="s">
        <v>3296</v>
      </c>
      <c r="B26320" t="s">
        <v>2931</v>
      </c>
      <c r="C26320">
        <v>4163</v>
      </c>
      <c r="D26320" t="str">
        <f>"0123932127  "</f>
        <v xml:space="preserve">0123932127  </v>
      </c>
      <c r="E26320" t="s">
        <v>292</v>
      </c>
      <c r="F26320" t="s">
        <v>294</v>
      </c>
      <c r="G26320">
        <v>135.54</v>
      </c>
      <c r="H26320">
        <v>250310</v>
      </c>
      <c r="I26320">
        <v>4530</v>
      </c>
      <c r="J26320" t="s">
        <v>293</v>
      </c>
      <c r="K26320">
        <v>135.54</v>
      </c>
      <c r="L26320">
        <v>27.54</v>
      </c>
      <c r="M26320">
        <v>46556</v>
      </c>
      <c r="N26320" t="s">
        <v>458</v>
      </c>
      <c r="O26320">
        <v>250408</v>
      </c>
      <c r="P26320">
        <v>108</v>
      </c>
    </row>
    <row r="26321" spans="1:16" x14ac:dyDescent="0.25">
      <c r="A26321" t="s">
        <v>3296</v>
      </c>
      <c r="B26321" t="s">
        <v>2931</v>
      </c>
      <c r="C26321">
        <v>4291</v>
      </c>
      <c r="D26321" t="str">
        <f>"0123941706  "</f>
        <v xml:space="preserve">0123941706  </v>
      </c>
      <c r="E26321" t="s">
        <v>292</v>
      </c>
      <c r="F26321" t="s">
        <v>294</v>
      </c>
      <c r="G26321">
        <v>139.56</v>
      </c>
      <c r="H26321">
        <v>250312</v>
      </c>
      <c r="I26321">
        <v>4530</v>
      </c>
      <c r="J26321" t="s">
        <v>293</v>
      </c>
      <c r="K26321">
        <v>139.56</v>
      </c>
      <c r="L26321">
        <v>28.36</v>
      </c>
      <c r="M26321">
        <v>14541</v>
      </c>
      <c r="N26321" t="s">
        <v>76</v>
      </c>
      <c r="O26321">
        <v>250410</v>
      </c>
      <c r="P26321">
        <v>111.2</v>
      </c>
    </row>
    <row r="26322" spans="1:16" x14ac:dyDescent="0.25">
      <c r="A26322" t="s">
        <v>3296</v>
      </c>
      <c r="B26322" t="s">
        <v>2931</v>
      </c>
      <c r="C26322">
        <v>4339</v>
      </c>
      <c r="D26322" t="str">
        <f>"0123946466  "</f>
        <v xml:space="preserve">0123946466  </v>
      </c>
      <c r="E26322" t="s">
        <v>292</v>
      </c>
      <c r="F26322" t="s">
        <v>294</v>
      </c>
      <c r="G26322">
        <v>116.05</v>
      </c>
      <c r="H26322">
        <v>250313</v>
      </c>
      <c r="I26322">
        <v>4530</v>
      </c>
      <c r="J26322" t="s">
        <v>293</v>
      </c>
      <c r="K26322">
        <v>128.94999999999999</v>
      </c>
      <c r="L26322">
        <v>23.58</v>
      </c>
      <c r="M26322">
        <v>69112</v>
      </c>
      <c r="N26322" t="s">
        <v>227</v>
      </c>
      <c r="O26322">
        <v>250411</v>
      </c>
      <c r="P26322">
        <v>92.47</v>
      </c>
    </row>
    <row r="26323" spans="1:16" x14ac:dyDescent="0.25">
      <c r="A26323" t="s">
        <v>3296</v>
      </c>
      <c r="B26323" t="s">
        <v>2931</v>
      </c>
      <c r="C26323">
        <v>4339</v>
      </c>
      <c r="D26323" t="str">
        <f>"0123946466  "</f>
        <v xml:space="preserve">0123946466  </v>
      </c>
      <c r="E26323" t="s">
        <v>292</v>
      </c>
      <c r="F26323" t="s">
        <v>294</v>
      </c>
      <c r="G26323">
        <v>6.45</v>
      </c>
      <c r="H26323">
        <v>250313</v>
      </c>
      <c r="I26323">
        <v>4530</v>
      </c>
      <c r="J26323" t="s">
        <v>293</v>
      </c>
      <c r="K26323">
        <v>128.94999999999999</v>
      </c>
      <c r="L26323">
        <v>1.31</v>
      </c>
      <c r="M26323">
        <v>69810</v>
      </c>
      <c r="N26323" t="s">
        <v>229</v>
      </c>
      <c r="O26323">
        <v>250411</v>
      </c>
      <c r="P26323">
        <v>5.14</v>
      </c>
    </row>
    <row r="26324" spans="1:16" x14ac:dyDescent="0.25">
      <c r="A26324" t="s">
        <v>3296</v>
      </c>
      <c r="B26324" t="s">
        <v>2931</v>
      </c>
      <c r="C26324">
        <v>4339</v>
      </c>
      <c r="D26324" t="str">
        <f>"0123946466  "</f>
        <v xml:space="preserve">0123946466  </v>
      </c>
      <c r="E26324" t="s">
        <v>292</v>
      </c>
      <c r="F26324" t="s">
        <v>294</v>
      </c>
      <c r="G26324">
        <v>6.45</v>
      </c>
      <c r="H26324">
        <v>250313</v>
      </c>
      <c r="I26324">
        <v>4530</v>
      </c>
      <c r="J26324" t="s">
        <v>293</v>
      </c>
      <c r="K26324">
        <v>128.94999999999999</v>
      </c>
      <c r="L26324">
        <v>1.31</v>
      </c>
      <c r="M26324">
        <v>69811</v>
      </c>
      <c r="N26324" t="s">
        <v>230</v>
      </c>
      <c r="O26324">
        <v>250411</v>
      </c>
      <c r="P26324">
        <v>5.14</v>
      </c>
    </row>
    <row r="26325" spans="1:16" x14ac:dyDescent="0.25">
      <c r="A26325" t="s">
        <v>3296</v>
      </c>
      <c r="B26325" t="s">
        <v>2931</v>
      </c>
      <c r="C26325">
        <v>4829</v>
      </c>
      <c r="D26325" t="str">
        <f>"0123977966  "</f>
        <v xml:space="preserve">0123977966  </v>
      </c>
      <c r="E26325" t="s">
        <v>292</v>
      </c>
      <c r="F26325" t="s">
        <v>294</v>
      </c>
      <c r="G26325">
        <v>128.94999999999999</v>
      </c>
      <c r="H26325">
        <v>250321</v>
      </c>
      <c r="I26325">
        <v>4530</v>
      </c>
      <c r="J26325" t="s">
        <v>293</v>
      </c>
      <c r="K26325">
        <v>128.94999999999999</v>
      </c>
      <c r="L26325">
        <v>26.2</v>
      </c>
      <c r="M26325">
        <v>14541</v>
      </c>
      <c r="N26325" t="s">
        <v>76</v>
      </c>
      <c r="O26325">
        <v>250415</v>
      </c>
      <c r="P26325">
        <v>102.75</v>
      </c>
    </row>
    <row r="26326" spans="1:16" x14ac:dyDescent="0.25">
      <c r="A26326" t="s">
        <v>3296</v>
      </c>
      <c r="B26326" t="s">
        <v>2931</v>
      </c>
      <c r="C26326">
        <v>4830</v>
      </c>
      <c r="D26326" t="str">
        <f>"0123979302  "</f>
        <v xml:space="preserve">0123979302  </v>
      </c>
      <c r="E26326" t="s">
        <v>292</v>
      </c>
      <c r="F26326" t="s">
        <v>294</v>
      </c>
      <c r="G26326">
        <v>66.3</v>
      </c>
      <c r="H26326">
        <v>250321</v>
      </c>
      <c r="I26326">
        <v>4530</v>
      </c>
      <c r="J26326" t="s">
        <v>293</v>
      </c>
      <c r="K26326">
        <v>66.3</v>
      </c>
      <c r="L26326">
        <v>13.47</v>
      </c>
      <c r="M26326">
        <v>17527</v>
      </c>
      <c r="N26326" t="s">
        <v>142</v>
      </c>
      <c r="O26326">
        <v>250415</v>
      </c>
      <c r="P26326">
        <v>52.83</v>
      </c>
    </row>
    <row r="26327" spans="1:16" x14ac:dyDescent="0.25">
      <c r="A26327" t="s">
        <v>3296</v>
      </c>
      <c r="B26327" t="s">
        <v>2931</v>
      </c>
      <c r="C26327">
        <v>5550</v>
      </c>
      <c r="D26327" t="str">
        <f>"0124035145  "</f>
        <v xml:space="preserve">0124035145  </v>
      </c>
      <c r="E26327" t="s">
        <v>292</v>
      </c>
      <c r="F26327" t="s">
        <v>294</v>
      </c>
      <c r="G26327">
        <v>45.18</v>
      </c>
      <c r="H26327">
        <v>250403</v>
      </c>
      <c r="I26327">
        <v>4530</v>
      </c>
      <c r="J26327" t="s">
        <v>293</v>
      </c>
      <c r="K26327">
        <v>92.18</v>
      </c>
      <c r="L26327">
        <v>9.18</v>
      </c>
      <c r="M26327">
        <v>17527</v>
      </c>
      <c r="N26327" t="s">
        <v>142</v>
      </c>
      <c r="O26327">
        <v>250425</v>
      </c>
      <c r="P26327">
        <v>36</v>
      </c>
    </row>
    <row r="26328" spans="1:16" x14ac:dyDescent="0.25">
      <c r="A26328" t="s">
        <v>3296</v>
      </c>
      <c r="B26328" t="s">
        <v>2931</v>
      </c>
      <c r="C26328">
        <v>5560</v>
      </c>
      <c r="D26328" t="str">
        <f>"0124043358  "</f>
        <v xml:space="preserve">0124043358  </v>
      </c>
      <c r="E26328" t="s">
        <v>292</v>
      </c>
      <c r="F26328" t="s">
        <v>294</v>
      </c>
      <c r="G26328">
        <v>45.18</v>
      </c>
      <c r="H26328">
        <v>250404</v>
      </c>
      <c r="I26328">
        <v>4530</v>
      </c>
      <c r="J26328" t="s">
        <v>293</v>
      </c>
      <c r="K26328">
        <v>45.18</v>
      </c>
      <c r="L26328">
        <v>9.18</v>
      </c>
      <c r="M26328">
        <v>66756</v>
      </c>
      <c r="N26328" t="s">
        <v>120</v>
      </c>
      <c r="O26328">
        <v>250425</v>
      </c>
      <c r="P26328">
        <v>36</v>
      </c>
    </row>
    <row r="26329" spans="1:16" x14ac:dyDescent="0.25">
      <c r="A26329" t="s">
        <v>3296</v>
      </c>
      <c r="B26329" t="s">
        <v>2931</v>
      </c>
      <c r="C26329">
        <v>5653</v>
      </c>
      <c r="D26329" t="str">
        <f>"0124061079  "</f>
        <v xml:space="preserve">0124061079  </v>
      </c>
      <c r="E26329" t="s">
        <v>292</v>
      </c>
      <c r="F26329" t="s">
        <v>294</v>
      </c>
      <c r="G26329">
        <v>107.17</v>
      </c>
      <c r="H26329">
        <v>250410</v>
      </c>
      <c r="I26329">
        <v>4530</v>
      </c>
      <c r="J26329" t="s">
        <v>293</v>
      </c>
      <c r="K26329">
        <v>107.17</v>
      </c>
      <c r="L26329">
        <v>21.78</v>
      </c>
      <c r="M26329">
        <v>66754</v>
      </c>
      <c r="N26329" t="s">
        <v>119</v>
      </c>
      <c r="O26329">
        <v>250428</v>
      </c>
      <c r="P26329">
        <v>85.39</v>
      </c>
    </row>
    <row r="26330" spans="1:16" x14ac:dyDescent="0.25">
      <c r="A26330" t="s">
        <v>3296</v>
      </c>
      <c r="B26330" t="s">
        <v>2931</v>
      </c>
      <c r="C26330">
        <v>5709</v>
      </c>
      <c r="D26330" t="str">
        <f>"0123987475  "</f>
        <v xml:space="preserve">0123987475  </v>
      </c>
      <c r="E26330" t="s">
        <v>292</v>
      </c>
      <c r="F26330" t="s">
        <v>294</v>
      </c>
      <c r="G26330">
        <v>41.42</v>
      </c>
      <c r="H26330">
        <v>250401</v>
      </c>
      <c r="I26330">
        <v>4530</v>
      </c>
      <c r="J26330" t="s">
        <v>293</v>
      </c>
      <c r="K26330">
        <v>75.459999999999994</v>
      </c>
      <c r="L26330">
        <v>8.42</v>
      </c>
      <c r="M26330">
        <v>46555</v>
      </c>
      <c r="N26330" t="s">
        <v>103</v>
      </c>
      <c r="O26330">
        <v>250429</v>
      </c>
      <c r="P26330">
        <v>33</v>
      </c>
    </row>
    <row r="26331" spans="1:16" x14ac:dyDescent="0.25">
      <c r="A26331" t="s">
        <v>3296</v>
      </c>
      <c r="B26331" t="s">
        <v>2931</v>
      </c>
      <c r="C26331">
        <v>5813</v>
      </c>
      <c r="D26331" t="str">
        <f>"0124068010  "</f>
        <v xml:space="preserve">0124068010  </v>
      </c>
      <c r="E26331" t="s">
        <v>292</v>
      </c>
      <c r="F26331" t="s">
        <v>294</v>
      </c>
      <c r="G26331">
        <v>122.96</v>
      </c>
      <c r="H26331">
        <v>250411</v>
      </c>
      <c r="I26331">
        <v>4530</v>
      </c>
      <c r="J26331" t="s">
        <v>293</v>
      </c>
      <c r="K26331">
        <v>122.96</v>
      </c>
      <c r="L26331">
        <v>24.98</v>
      </c>
      <c r="M26331">
        <v>46554</v>
      </c>
      <c r="N26331" t="s">
        <v>102</v>
      </c>
      <c r="O26331">
        <v>250505</v>
      </c>
      <c r="P26331">
        <v>97.98</v>
      </c>
    </row>
    <row r="26332" spans="1:16" x14ac:dyDescent="0.25">
      <c r="A26332" t="s">
        <v>3296</v>
      </c>
      <c r="B26332" t="s">
        <v>2931</v>
      </c>
      <c r="C26332">
        <v>6153</v>
      </c>
      <c r="D26332" t="str">
        <f>"0124089370  "</f>
        <v xml:space="preserve">0124089370  </v>
      </c>
      <c r="E26332" t="s">
        <v>292</v>
      </c>
      <c r="F26332" t="s">
        <v>294</v>
      </c>
      <c r="G26332">
        <v>152.51</v>
      </c>
      <c r="H26332">
        <v>250417</v>
      </c>
      <c r="I26332">
        <v>4530</v>
      </c>
      <c r="J26332" t="s">
        <v>293</v>
      </c>
      <c r="K26332">
        <v>152.51</v>
      </c>
      <c r="L26332">
        <v>30.99</v>
      </c>
      <c r="M26332">
        <v>46554</v>
      </c>
      <c r="N26332" t="s">
        <v>102</v>
      </c>
      <c r="O26332">
        <v>250509</v>
      </c>
      <c r="P26332">
        <v>121.52</v>
      </c>
    </row>
    <row r="26333" spans="1:16" x14ac:dyDescent="0.25">
      <c r="A26333" t="s">
        <v>3296</v>
      </c>
      <c r="B26333" t="s">
        <v>2931</v>
      </c>
      <c r="C26333">
        <v>6348</v>
      </c>
      <c r="D26333" t="str">
        <f>"0124099893  "</f>
        <v xml:space="preserve">0124099893  </v>
      </c>
      <c r="E26333" t="s">
        <v>292</v>
      </c>
      <c r="F26333" t="s">
        <v>294</v>
      </c>
      <c r="G26333">
        <v>16.690000000000001</v>
      </c>
      <c r="H26333">
        <v>250423</v>
      </c>
      <c r="I26333">
        <v>4530</v>
      </c>
      <c r="J26333" t="s">
        <v>293</v>
      </c>
      <c r="K26333">
        <v>124.41</v>
      </c>
      <c r="L26333">
        <v>3.39</v>
      </c>
      <c r="M26333">
        <v>17525</v>
      </c>
      <c r="N26333" t="s">
        <v>140</v>
      </c>
      <c r="O26333">
        <v>250512</v>
      </c>
      <c r="P26333">
        <v>13.3</v>
      </c>
    </row>
    <row r="26334" spans="1:16" x14ac:dyDescent="0.25">
      <c r="A26334" t="s">
        <v>3296</v>
      </c>
      <c r="B26334" t="s">
        <v>2931</v>
      </c>
      <c r="C26334">
        <v>6348</v>
      </c>
      <c r="D26334" t="str">
        <f>"0124099893  "</f>
        <v xml:space="preserve">0124099893  </v>
      </c>
      <c r="E26334" t="s">
        <v>292</v>
      </c>
      <c r="F26334" t="s">
        <v>294</v>
      </c>
      <c r="G26334">
        <v>107.72</v>
      </c>
      <c r="H26334">
        <v>250423</v>
      </c>
      <c r="I26334">
        <v>4530</v>
      </c>
      <c r="J26334" t="s">
        <v>293</v>
      </c>
      <c r="K26334">
        <v>124.41</v>
      </c>
      <c r="L26334">
        <v>21.89</v>
      </c>
      <c r="M26334">
        <v>17527</v>
      </c>
      <c r="N26334" t="s">
        <v>142</v>
      </c>
      <c r="O26334">
        <v>250512</v>
      </c>
      <c r="P26334">
        <v>85.83</v>
      </c>
    </row>
    <row r="26335" spans="1:16" x14ac:dyDescent="0.25">
      <c r="A26335" t="s">
        <v>3296</v>
      </c>
      <c r="B26335" t="s">
        <v>2931</v>
      </c>
      <c r="C26335">
        <v>6586</v>
      </c>
      <c r="D26335" t="str">
        <f>"0124121493  "</f>
        <v xml:space="preserve">0124121493  </v>
      </c>
      <c r="E26335" t="s">
        <v>292</v>
      </c>
      <c r="F26335" t="s">
        <v>294</v>
      </c>
      <c r="G26335">
        <v>94.75</v>
      </c>
      <c r="H26335">
        <v>250429</v>
      </c>
      <c r="I26335">
        <v>4530</v>
      </c>
      <c r="J26335" t="s">
        <v>293</v>
      </c>
      <c r="K26335">
        <v>94.75</v>
      </c>
      <c r="L26335">
        <v>19.25</v>
      </c>
      <c r="M26335">
        <v>66754</v>
      </c>
      <c r="N26335" t="s">
        <v>119</v>
      </c>
      <c r="O26335">
        <v>250514</v>
      </c>
      <c r="P26335">
        <v>75.5</v>
      </c>
    </row>
    <row r="26336" spans="1:16" x14ac:dyDescent="0.25">
      <c r="A26336" t="s">
        <v>3296</v>
      </c>
      <c r="B26336" t="s">
        <v>2931</v>
      </c>
      <c r="C26336">
        <v>6649</v>
      </c>
      <c r="D26336" t="str">
        <f>"0124154211  "</f>
        <v xml:space="preserve">0124154211  </v>
      </c>
      <c r="E26336" t="s">
        <v>292</v>
      </c>
      <c r="F26336" t="s">
        <v>294</v>
      </c>
      <c r="G26336">
        <v>47.93</v>
      </c>
      <c r="H26336">
        <v>250505</v>
      </c>
      <c r="I26336">
        <v>4530</v>
      </c>
      <c r="J26336" t="s">
        <v>293</v>
      </c>
      <c r="K26336">
        <v>176.8</v>
      </c>
      <c r="L26336">
        <v>9.74</v>
      </c>
      <c r="M26336">
        <v>65422</v>
      </c>
      <c r="N26336" t="s">
        <v>117</v>
      </c>
      <c r="O26336">
        <v>250514</v>
      </c>
      <c r="P26336">
        <v>38.19</v>
      </c>
    </row>
    <row r="26337" spans="1:16" x14ac:dyDescent="0.25">
      <c r="A26337" t="s">
        <v>3296</v>
      </c>
      <c r="B26337" t="s">
        <v>2931</v>
      </c>
      <c r="C26337">
        <v>6649</v>
      </c>
      <c r="D26337" t="str">
        <f>"0124154211  "</f>
        <v xml:space="preserve">0124154211  </v>
      </c>
      <c r="E26337" t="s">
        <v>292</v>
      </c>
      <c r="F26337" t="s">
        <v>294</v>
      </c>
      <c r="G26337">
        <v>128.87</v>
      </c>
      <c r="H26337">
        <v>250505</v>
      </c>
      <c r="I26337">
        <v>4530</v>
      </c>
      <c r="J26337" t="s">
        <v>293</v>
      </c>
      <c r="K26337">
        <v>176.8</v>
      </c>
      <c r="L26337">
        <v>26.18</v>
      </c>
      <c r="M26337">
        <v>67554</v>
      </c>
      <c r="N26337" t="s">
        <v>317</v>
      </c>
      <c r="O26337">
        <v>250514</v>
      </c>
      <c r="P26337">
        <v>102.69</v>
      </c>
    </row>
    <row r="26338" spans="1:16" x14ac:dyDescent="0.25">
      <c r="A26338" t="s">
        <v>3296</v>
      </c>
      <c r="B26338" t="s">
        <v>2931</v>
      </c>
      <c r="C26338">
        <v>7770</v>
      </c>
      <c r="D26338" t="str">
        <f>"0124180642  "</f>
        <v xml:space="preserve">0124180642  </v>
      </c>
      <c r="E26338" t="s">
        <v>292</v>
      </c>
      <c r="F26338" t="s">
        <v>294</v>
      </c>
      <c r="G26338">
        <v>122.96</v>
      </c>
      <c r="H26338">
        <v>250512</v>
      </c>
      <c r="I26338">
        <v>4530</v>
      </c>
      <c r="J26338" t="s">
        <v>293</v>
      </c>
      <c r="K26338">
        <v>122.96</v>
      </c>
      <c r="L26338">
        <v>24.98</v>
      </c>
      <c r="M26338">
        <v>46554</v>
      </c>
      <c r="N26338" t="s">
        <v>102</v>
      </c>
      <c r="O26338">
        <v>250609</v>
      </c>
      <c r="P26338">
        <v>97.98</v>
      </c>
    </row>
    <row r="26339" spans="1:16" x14ac:dyDescent="0.25">
      <c r="A26339" t="s">
        <v>3296</v>
      </c>
      <c r="B26339" t="s">
        <v>2931</v>
      </c>
      <c r="C26339">
        <v>7820</v>
      </c>
      <c r="D26339" t="str">
        <f>"0124183900  "</f>
        <v xml:space="preserve">0124183900  </v>
      </c>
      <c r="E26339" t="s">
        <v>292</v>
      </c>
      <c r="F26339" t="s">
        <v>294</v>
      </c>
      <c r="G26339">
        <v>97.98</v>
      </c>
      <c r="H26339">
        <v>250513</v>
      </c>
      <c r="I26339">
        <v>4530</v>
      </c>
      <c r="J26339" t="s">
        <v>293</v>
      </c>
      <c r="K26339">
        <v>272.89999999999998</v>
      </c>
      <c r="L26339">
        <v>19.91</v>
      </c>
      <c r="M26339">
        <v>46554</v>
      </c>
      <c r="N26339" t="s">
        <v>102</v>
      </c>
      <c r="O26339">
        <v>250609</v>
      </c>
      <c r="P26339">
        <v>78.069999999999993</v>
      </c>
    </row>
    <row r="26340" spans="1:16" x14ac:dyDescent="0.25">
      <c r="A26340" t="s">
        <v>3296</v>
      </c>
      <c r="B26340" t="s">
        <v>2931</v>
      </c>
      <c r="C26340">
        <v>9208</v>
      </c>
      <c r="D26340" t="str">
        <f>"0124317614  "</f>
        <v xml:space="preserve">0124317614  </v>
      </c>
      <c r="E26340" t="s">
        <v>292</v>
      </c>
      <c r="F26340" t="s">
        <v>294</v>
      </c>
      <c r="G26340">
        <v>155.87</v>
      </c>
      <c r="H26340">
        <v>250612</v>
      </c>
      <c r="I26340">
        <v>4530</v>
      </c>
      <c r="J26340" t="s">
        <v>293</v>
      </c>
      <c r="K26340">
        <v>223.82</v>
      </c>
      <c r="L26340">
        <v>31.67</v>
      </c>
      <c r="M26340">
        <v>67554</v>
      </c>
      <c r="N26340" t="s">
        <v>317</v>
      </c>
      <c r="O26340">
        <v>250627</v>
      </c>
      <c r="P26340">
        <v>124.2</v>
      </c>
    </row>
    <row r="26341" spans="1:16" x14ac:dyDescent="0.25">
      <c r="A26341" t="s">
        <v>3296</v>
      </c>
      <c r="B26341" t="s">
        <v>2931</v>
      </c>
      <c r="C26341">
        <v>9217</v>
      </c>
      <c r="D26341" t="str">
        <f>"0124343512  "</f>
        <v xml:space="preserve">0124343512  </v>
      </c>
      <c r="E26341" t="s">
        <v>292</v>
      </c>
      <c r="F26341" t="s">
        <v>294</v>
      </c>
      <c r="G26341">
        <v>252</v>
      </c>
      <c r="H26341">
        <v>250618</v>
      </c>
      <c r="I26341">
        <v>4530</v>
      </c>
      <c r="J26341" t="s">
        <v>293</v>
      </c>
      <c r="K26341">
        <v>252</v>
      </c>
      <c r="L26341">
        <v>51.2</v>
      </c>
      <c r="M26341">
        <v>66754</v>
      </c>
      <c r="N26341" t="s">
        <v>119</v>
      </c>
      <c r="O26341">
        <v>250627</v>
      </c>
      <c r="P26341">
        <v>200.8</v>
      </c>
    </row>
    <row r="26342" spans="1:16" x14ac:dyDescent="0.25">
      <c r="A26342" t="s">
        <v>3296</v>
      </c>
      <c r="B26342" t="s">
        <v>2931</v>
      </c>
      <c r="C26342">
        <v>10556</v>
      </c>
      <c r="D26342" t="str">
        <f>"0124523879  "</f>
        <v xml:space="preserve">0124523879  </v>
      </c>
      <c r="E26342" t="s">
        <v>292</v>
      </c>
      <c r="F26342" t="s">
        <v>294</v>
      </c>
      <c r="G26342">
        <v>1831.18</v>
      </c>
      <c r="H26342">
        <v>250806</v>
      </c>
      <c r="I26342">
        <v>4530</v>
      </c>
      <c r="J26342" t="s">
        <v>293</v>
      </c>
      <c r="K26342">
        <v>1831.18</v>
      </c>
      <c r="L26342">
        <v>372.07</v>
      </c>
      <c r="M26342">
        <v>17806</v>
      </c>
      <c r="N26342" t="s">
        <v>22</v>
      </c>
      <c r="O26342">
        <v>250820</v>
      </c>
      <c r="P26342">
        <v>1459.11</v>
      </c>
    </row>
    <row r="26343" spans="1:16" x14ac:dyDescent="0.25">
      <c r="A26343" t="s">
        <v>3296</v>
      </c>
      <c r="B26343" t="s">
        <v>2931</v>
      </c>
      <c r="C26343">
        <v>10589</v>
      </c>
      <c r="D26343" t="str">
        <f>"0124531537  "</f>
        <v xml:space="preserve">0124531537  </v>
      </c>
      <c r="E26343" t="s">
        <v>292</v>
      </c>
      <c r="F26343" t="s">
        <v>294</v>
      </c>
      <c r="G26343">
        <v>374.89</v>
      </c>
      <c r="H26343">
        <v>250807</v>
      </c>
      <c r="I26343">
        <v>4530</v>
      </c>
      <c r="J26343" t="s">
        <v>293</v>
      </c>
      <c r="K26343">
        <v>374.89</v>
      </c>
      <c r="L26343">
        <v>76.17</v>
      </c>
      <c r="M26343">
        <v>46554</v>
      </c>
      <c r="N26343" t="s">
        <v>102</v>
      </c>
      <c r="O26343">
        <v>250820</v>
      </c>
      <c r="P26343">
        <v>298.72000000000003</v>
      </c>
    </row>
    <row r="26344" spans="1:16" x14ac:dyDescent="0.25">
      <c r="A26344" t="s">
        <v>3296</v>
      </c>
      <c r="B26344" t="s">
        <v>2931</v>
      </c>
      <c r="C26344">
        <v>10620</v>
      </c>
      <c r="D26344" t="str">
        <f>"0124523875  "</f>
        <v xml:space="preserve">0124523875  </v>
      </c>
      <c r="E26344" t="s">
        <v>292</v>
      </c>
      <c r="F26344" t="s">
        <v>294</v>
      </c>
      <c r="G26344">
        <v>745.47</v>
      </c>
      <c r="H26344">
        <v>250806</v>
      </c>
      <c r="I26344">
        <v>4530</v>
      </c>
      <c r="J26344" t="s">
        <v>293</v>
      </c>
      <c r="K26344">
        <v>745.47</v>
      </c>
      <c r="L26344">
        <v>151.47</v>
      </c>
      <c r="M26344">
        <v>17802</v>
      </c>
      <c r="N26344" t="s">
        <v>18</v>
      </c>
      <c r="O26344">
        <v>250820</v>
      </c>
      <c r="P26344">
        <v>594</v>
      </c>
    </row>
    <row r="26345" spans="1:16" x14ac:dyDescent="0.25">
      <c r="A26345" t="s">
        <v>3296</v>
      </c>
      <c r="B26345" t="s">
        <v>2931</v>
      </c>
      <c r="C26345">
        <v>10621</v>
      </c>
      <c r="D26345" t="str">
        <f>"0124523877  "</f>
        <v xml:space="preserve">0124523877  </v>
      </c>
      <c r="E26345" t="s">
        <v>292</v>
      </c>
      <c r="F26345" t="s">
        <v>294</v>
      </c>
      <c r="G26345">
        <v>3688.95</v>
      </c>
      <c r="H26345">
        <v>250806</v>
      </c>
      <c r="I26345">
        <v>4530</v>
      </c>
      <c r="J26345" t="s">
        <v>293</v>
      </c>
      <c r="K26345">
        <v>3688.95</v>
      </c>
      <c r="L26345">
        <v>749.55</v>
      </c>
      <c r="M26345">
        <v>17803</v>
      </c>
      <c r="N26345" t="s">
        <v>19</v>
      </c>
      <c r="O26345">
        <v>250820</v>
      </c>
      <c r="P26345">
        <v>2939.4</v>
      </c>
    </row>
    <row r="26346" spans="1:16" x14ac:dyDescent="0.25">
      <c r="A26346" t="s">
        <v>3296</v>
      </c>
      <c r="B26346" t="s">
        <v>2931</v>
      </c>
      <c r="C26346">
        <v>10657</v>
      </c>
      <c r="D26346" t="str">
        <f>"0124539535  "</f>
        <v xml:space="preserve">0124539535  </v>
      </c>
      <c r="E26346" t="s">
        <v>292</v>
      </c>
      <c r="F26346" t="s">
        <v>294</v>
      </c>
      <c r="G26346">
        <v>165.66</v>
      </c>
      <c r="H26346">
        <v>250811</v>
      </c>
      <c r="I26346">
        <v>4530</v>
      </c>
      <c r="J26346" t="s">
        <v>293</v>
      </c>
      <c r="K26346">
        <v>165.66</v>
      </c>
      <c r="L26346">
        <v>33.659999999999997</v>
      </c>
      <c r="M26346">
        <v>46554</v>
      </c>
      <c r="N26346" t="s">
        <v>102</v>
      </c>
      <c r="O26346">
        <v>250821</v>
      </c>
      <c r="P26346">
        <v>132</v>
      </c>
    </row>
    <row r="26347" spans="1:16" x14ac:dyDescent="0.25">
      <c r="A26347" t="s">
        <v>3296</v>
      </c>
      <c r="B26347" t="s">
        <v>2931</v>
      </c>
      <c r="C26347">
        <v>10658</v>
      </c>
      <c r="D26347" t="str">
        <f>"0124540684  "</f>
        <v xml:space="preserve">0124540684  </v>
      </c>
      <c r="E26347" t="s">
        <v>292</v>
      </c>
      <c r="F26347" t="s">
        <v>294</v>
      </c>
      <c r="G26347">
        <v>122.97</v>
      </c>
      <c r="H26347">
        <v>250811</v>
      </c>
      <c r="I26347">
        <v>4530</v>
      </c>
      <c r="J26347" t="s">
        <v>293</v>
      </c>
      <c r="K26347">
        <v>192.27</v>
      </c>
      <c r="L26347">
        <v>24.99</v>
      </c>
      <c r="M26347">
        <v>17534</v>
      </c>
      <c r="N26347" t="s">
        <v>148</v>
      </c>
      <c r="O26347">
        <v>250821</v>
      </c>
      <c r="P26347">
        <v>97.98</v>
      </c>
    </row>
    <row r="26348" spans="1:16" x14ac:dyDescent="0.25">
      <c r="A26348" t="s">
        <v>3296</v>
      </c>
      <c r="B26348" t="s">
        <v>2931</v>
      </c>
      <c r="C26348">
        <v>10670</v>
      </c>
      <c r="D26348" t="str">
        <f>"0124544527  "</f>
        <v xml:space="preserve">0124544527  </v>
      </c>
      <c r="E26348" t="s">
        <v>292</v>
      </c>
      <c r="F26348" t="s">
        <v>294</v>
      </c>
      <c r="G26348">
        <v>473.89</v>
      </c>
      <c r="H26348">
        <v>250812</v>
      </c>
      <c r="I26348">
        <v>4530</v>
      </c>
      <c r="J26348" t="s">
        <v>293</v>
      </c>
      <c r="K26348">
        <v>1184.72</v>
      </c>
      <c r="L26348">
        <v>96.29</v>
      </c>
      <c r="M26348">
        <v>17711</v>
      </c>
      <c r="N26348" t="s">
        <v>155</v>
      </c>
      <c r="O26348">
        <v>250821</v>
      </c>
      <c r="P26348">
        <v>377.6</v>
      </c>
    </row>
    <row r="26349" spans="1:16" x14ac:dyDescent="0.25">
      <c r="A26349" t="s">
        <v>3296</v>
      </c>
      <c r="B26349" t="s">
        <v>2931</v>
      </c>
      <c r="C26349">
        <v>10671</v>
      </c>
      <c r="D26349" t="str">
        <f>"0124542497  "</f>
        <v xml:space="preserve">0124542497  </v>
      </c>
      <c r="E26349" t="s">
        <v>292</v>
      </c>
      <c r="F26349" t="s">
        <v>294</v>
      </c>
      <c r="G26349">
        <v>706.39</v>
      </c>
      <c r="H26349">
        <v>250812</v>
      </c>
      <c r="I26349">
        <v>4530</v>
      </c>
      <c r="J26349" t="s">
        <v>293</v>
      </c>
      <c r="K26349">
        <v>706.39</v>
      </c>
      <c r="L26349">
        <v>143.53</v>
      </c>
      <c r="M26349">
        <v>46556</v>
      </c>
      <c r="N26349" t="s">
        <v>458</v>
      </c>
      <c r="O26349">
        <v>250821</v>
      </c>
      <c r="P26349">
        <v>562.86</v>
      </c>
    </row>
    <row r="26350" spans="1:16" x14ac:dyDescent="0.25">
      <c r="A26350" t="s">
        <v>3296</v>
      </c>
      <c r="B26350" t="s">
        <v>2931</v>
      </c>
      <c r="C26350">
        <v>10672</v>
      </c>
      <c r="D26350" t="str">
        <f>"0124543678  "</f>
        <v xml:space="preserve">0124543678  </v>
      </c>
      <c r="E26350" t="s">
        <v>292</v>
      </c>
      <c r="F26350" t="s">
        <v>294</v>
      </c>
      <c r="G26350">
        <v>106.68</v>
      </c>
      <c r="H26350">
        <v>250812</v>
      </c>
      <c r="I26350">
        <v>4530</v>
      </c>
      <c r="J26350" t="s">
        <v>293</v>
      </c>
      <c r="K26350">
        <v>106.68</v>
      </c>
      <c r="L26350">
        <v>21.68</v>
      </c>
      <c r="M26350">
        <v>66722</v>
      </c>
      <c r="N26350" t="s">
        <v>118</v>
      </c>
      <c r="O26350">
        <v>250821</v>
      </c>
      <c r="P26350">
        <v>85</v>
      </c>
    </row>
    <row r="26351" spans="1:16" x14ac:dyDescent="0.25">
      <c r="A26351" t="s">
        <v>3296</v>
      </c>
      <c r="B26351" t="s">
        <v>2931</v>
      </c>
      <c r="C26351">
        <v>10676</v>
      </c>
      <c r="D26351" t="str">
        <f>"0124543677  "</f>
        <v xml:space="preserve">0124543677  </v>
      </c>
      <c r="E26351" t="s">
        <v>292</v>
      </c>
      <c r="F26351" t="s">
        <v>294</v>
      </c>
      <c r="G26351">
        <v>1249.8399999999999</v>
      </c>
      <c r="H26351">
        <v>250812</v>
      </c>
      <c r="I26351">
        <v>4530</v>
      </c>
      <c r="J26351" t="s">
        <v>293</v>
      </c>
      <c r="K26351">
        <v>1249.8399999999999</v>
      </c>
      <c r="L26351">
        <v>253.95</v>
      </c>
      <c r="M26351">
        <v>66756</v>
      </c>
      <c r="N26351" t="s">
        <v>120</v>
      </c>
      <c r="O26351">
        <v>250821</v>
      </c>
      <c r="P26351">
        <v>995.89</v>
      </c>
    </row>
    <row r="26352" spans="1:16" x14ac:dyDescent="0.25">
      <c r="A26352" t="s">
        <v>3296</v>
      </c>
      <c r="B26352" t="s">
        <v>2931</v>
      </c>
      <c r="C26352">
        <v>10677</v>
      </c>
      <c r="D26352" t="str">
        <f>"0124542499  "</f>
        <v xml:space="preserve">0124542499  </v>
      </c>
      <c r="E26352" t="s">
        <v>292</v>
      </c>
      <c r="F26352" t="s">
        <v>294</v>
      </c>
      <c r="G26352">
        <v>623.44000000000005</v>
      </c>
      <c r="H26352">
        <v>250812</v>
      </c>
      <c r="I26352">
        <v>4530</v>
      </c>
      <c r="J26352" t="s">
        <v>293</v>
      </c>
      <c r="K26352">
        <v>623.44000000000005</v>
      </c>
      <c r="L26352">
        <v>126.68</v>
      </c>
      <c r="M26352">
        <v>46557</v>
      </c>
      <c r="N26352" t="s">
        <v>104</v>
      </c>
      <c r="O26352">
        <v>250821</v>
      </c>
      <c r="P26352">
        <v>496.76</v>
      </c>
    </row>
    <row r="26353" spans="1:16" x14ac:dyDescent="0.25">
      <c r="A26353" t="s">
        <v>3296</v>
      </c>
      <c r="B26353" t="s">
        <v>2931</v>
      </c>
      <c r="C26353">
        <v>10679</v>
      </c>
      <c r="D26353" t="str">
        <f>"0124542500  "</f>
        <v xml:space="preserve">0124542500  </v>
      </c>
      <c r="E26353" t="s">
        <v>292</v>
      </c>
      <c r="F26353" t="s">
        <v>294</v>
      </c>
      <c r="G26353">
        <v>563.76</v>
      </c>
      <c r="H26353">
        <v>250812</v>
      </c>
      <c r="I26353">
        <v>4530</v>
      </c>
      <c r="J26353" t="s">
        <v>293</v>
      </c>
      <c r="K26353">
        <v>563.76</v>
      </c>
      <c r="L26353">
        <v>114.55</v>
      </c>
      <c r="M26353">
        <v>47522</v>
      </c>
      <c r="N26353" t="s">
        <v>106</v>
      </c>
      <c r="O26353">
        <v>250821</v>
      </c>
      <c r="P26353">
        <v>449.21</v>
      </c>
    </row>
    <row r="26354" spans="1:16" x14ac:dyDescent="0.25">
      <c r="A26354" t="s">
        <v>3296</v>
      </c>
      <c r="B26354" t="s">
        <v>2931</v>
      </c>
      <c r="C26354">
        <v>10683</v>
      </c>
      <c r="D26354" t="str">
        <f>"0124543679  "</f>
        <v xml:space="preserve">0124543679  </v>
      </c>
      <c r="E26354" t="s">
        <v>292</v>
      </c>
      <c r="F26354" t="s">
        <v>294</v>
      </c>
      <c r="G26354">
        <v>55.47</v>
      </c>
      <c r="H26354">
        <v>250812</v>
      </c>
      <c r="I26354">
        <v>4530</v>
      </c>
      <c r="J26354" t="s">
        <v>293</v>
      </c>
      <c r="K26354">
        <v>55.47</v>
      </c>
      <c r="L26354">
        <v>11.27</v>
      </c>
      <c r="M26354">
        <v>66722</v>
      </c>
      <c r="N26354" t="s">
        <v>118</v>
      </c>
      <c r="O26354">
        <v>250821</v>
      </c>
      <c r="P26354">
        <v>44.2</v>
      </c>
    </row>
    <row r="26355" spans="1:16" x14ac:dyDescent="0.25">
      <c r="A26355" t="s">
        <v>3296</v>
      </c>
      <c r="B26355" t="s">
        <v>2931</v>
      </c>
      <c r="C26355">
        <v>10684</v>
      </c>
      <c r="D26355" t="str">
        <f>"0124542498  "</f>
        <v xml:space="preserve">0124542498  </v>
      </c>
      <c r="E26355" t="s">
        <v>292</v>
      </c>
      <c r="F26355" t="s">
        <v>294</v>
      </c>
      <c r="G26355">
        <v>2037.68</v>
      </c>
      <c r="H26355">
        <v>250812</v>
      </c>
      <c r="I26355">
        <v>4530</v>
      </c>
      <c r="J26355" t="s">
        <v>293</v>
      </c>
      <c r="K26355">
        <v>2037.68</v>
      </c>
      <c r="L26355">
        <v>414.03</v>
      </c>
      <c r="M26355">
        <v>46554</v>
      </c>
      <c r="N26355" t="s">
        <v>102</v>
      </c>
      <c r="O26355">
        <v>250821</v>
      </c>
      <c r="P26355">
        <v>1623.65</v>
      </c>
    </row>
    <row r="26356" spans="1:16" x14ac:dyDescent="0.25">
      <c r="A26356" t="s">
        <v>3296</v>
      </c>
      <c r="B26356" t="s">
        <v>2931</v>
      </c>
      <c r="C26356">
        <v>10689</v>
      </c>
      <c r="D26356" t="str">
        <f>"0124546709  "</f>
        <v xml:space="preserve">0124546709  </v>
      </c>
      <c r="E26356" t="s">
        <v>292</v>
      </c>
      <c r="F26356" t="s">
        <v>294</v>
      </c>
      <c r="G26356">
        <v>935.09</v>
      </c>
      <c r="H26356">
        <v>250813</v>
      </c>
      <c r="I26356">
        <v>4530</v>
      </c>
      <c r="J26356" t="s">
        <v>293</v>
      </c>
      <c r="K26356">
        <v>935.09</v>
      </c>
      <c r="L26356">
        <v>190</v>
      </c>
      <c r="M26356">
        <v>67522</v>
      </c>
      <c r="N26356" t="s">
        <v>121</v>
      </c>
      <c r="O26356">
        <v>250821</v>
      </c>
      <c r="P26356">
        <v>745.09</v>
      </c>
    </row>
    <row r="26357" spans="1:16" x14ac:dyDescent="0.25">
      <c r="A26357" t="s">
        <v>3296</v>
      </c>
      <c r="B26357" t="s">
        <v>2931</v>
      </c>
      <c r="C26357">
        <v>10697</v>
      </c>
      <c r="D26357" t="str">
        <f>"0124546710  "</f>
        <v xml:space="preserve">0124546710  </v>
      </c>
      <c r="E26357" t="s">
        <v>292</v>
      </c>
      <c r="F26357" t="s">
        <v>294</v>
      </c>
      <c r="G26357">
        <v>1363.7</v>
      </c>
      <c r="H26357">
        <v>250813</v>
      </c>
      <c r="I26357">
        <v>4530</v>
      </c>
      <c r="J26357" t="s">
        <v>293</v>
      </c>
      <c r="K26357">
        <v>1363.7</v>
      </c>
      <c r="L26357">
        <v>277.08999999999997</v>
      </c>
      <c r="M26357">
        <v>67522</v>
      </c>
      <c r="N26357" t="s">
        <v>121</v>
      </c>
      <c r="O26357">
        <v>250821</v>
      </c>
      <c r="P26357">
        <v>1086.6099999999999</v>
      </c>
    </row>
    <row r="26358" spans="1:16" x14ac:dyDescent="0.25">
      <c r="A26358" t="s">
        <v>3296</v>
      </c>
      <c r="B26358" t="s">
        <v>2931</v>
      </c>
      <c r="C26358">
        <v>10698</v>
      </c>
      <c r="D26358" t="str">
        <f>"0124547845  "</f>
        <v xml:space="preserve">0124547845  </v>
      </c>
      <c r="E26358" t="s">
        <v>292</v>
      </c>
      <c r="F26358" t="s">
        <v>294</v>
      </c>
      <c r="G26358">
        <v>41.42</v>
      </c>
      <c r="H26358">
        <v>250813</v>
      </c>
      <c r="I26358">
        <v>4530</v>
      </c>
      <c r="J26358" t="s">
        <v>293</v>
      </c>
      <c r="K26358">
        <v>41.42</v>
      </c>
      <c r="L26358">
        <v>8.42</v>
      </c>
      <c r="M26358">
        <v>46556</v>
      </c>
      <c r="N26358" t="s">
        <v>458</v>
      </c>
      <c r="O26358">
        <v>250821</v>
      </c>
      <c r="P26358">
        <v>33</v>
      </c>
    </row>
    <row r="26359" spans="1:16" x14ac:dyDescent="0.25">
      <c r="A26359" t="s">
        <v>3296</v>
      </c>
      <c r="B26359" t="s">
        <v>2931</v>
      </c>
      <c r="C26359">
        <v>10699</v>
      </c>
      <c r="D26359" t="str">
        <f>"0124546708  "</f>
        <v xml:space="preserve">0124546708  </v>
      </c>
      <c r="E26359" t="s">
        <v>292</v>
      </c>
      <c r="F26359" t="s">
        <v>294</v>
      </c>
      <c r="G26359">
        <v>340.04</v>
      </c>
      <c r="H26359">
        <v>250813</v>
      </c>
      <c r="I26359">
        <v>4530</v>
      </c>
      <c r="J26359" t="s">
        <v>293</v>
      </c>
      <c r="K26359">
        <v>340.04</v>
      </c>
      <c r="L26359">
        <v>69.09</v>
      </c>
      <c r="M26359">
        <v>66722</v>
      </c>
      <c r="N26359" t="s">
        <v>118</v>
      </c>
      <c r="O26359">
        <v>250821</v>
      </c>
      <c r="P26359">
        <v>270.95</v>
      </c>
    </row>
    <row r="26360" spans="1:16" x14ac:dyDescent="0.25">
      <c r="A26360" t="s">
        <v>3296</v>
      </c>
      <c r="B26360" t="s">
        <v>2931</v>
      </c>
      <c r="C26360">
        <v>10701</v>
      </c>
      <c r="D26360" t="str">
        <f>"0124547844  "</f>
        <v xml:space="preserve">0124547844  </v>
      </c>
      <c r="E26360" t="s">
        <v>292</v>
      </c>
      <c r="F26360" t="s">
        <v>294</v>
      </c>
      <c r="G26360">
        <v>189.51</v>
      </c>
      <c r="H26360">
        <v>250813</v>
      </c>
      <c r="I26360">
        <v>4530</v>
      </c>
      <c r="J26360" t="s">
        <v>293</v>
      </c>
      <c r="K26360">
        <v>189.51</v>
      </c>
      <c r="L26360">
        <v>38.51</v>
      </c>
      <c r="M26360">
        <v>47522</v>
      </c>
      <c r="N26360" t="s">
        <v>106</v>
      </c>
      <c r="O26360">
        <v>250821</v>
      </c>
      <c r="P26360">
        <v>151</v>
      </c>
    </row>
    <row r="26361" spans="1:16" x14ac:dyDescent="0.25">
      <c r="A26361" t="s">
        <v>3296</v>
      </c>
      <c r="B26361" t="s">
        <v>2931</v>
      </c>
      <c r="C26361">
        <v>10703</v>
      </c>
      <c r="D26361" t="str">
        <f>"0124550925  "</f>
        <v xml:space="preserve">0124550925  </v>
      </c>
      <c r="E26361" t="s">
        <v>292</v>
      </c>
      <c r="F26361" t="s">
        <v>294</v>
      </c>
      <c r="G26361">
        <v>44.83</v>
      </c>
      <c r="H26361">
        <v>250814</v>
      </c>
      <c r="I26361">
        <v>4530</v>
      </c>
      <c r="J26361" t="s">
        <v>293</v>
      </c>
      <c r="K26361">
        <v>44.83</v>
      </c>
      <c r="L26361">
        <v>9.11</v>
      </c>
      <c r="M26361">
        <v>46556</v>
      </c>
      <c r="N26361" t="s">
        <v>458</v>
      </c>
      <c r="O26361">
        <v>250821</v>
      </c>
      <c r="P26361">
        <v>35.72</v>
      </c>
    </row>
    <row r="26362" spans="1:16" x14ac:dyDescent="0.25">
      <c r="A26362" t="s">
        <v>3296</v>
      </c>
      <c r="B26362" t="s">
        <v>2931</v>
      </c>
      <c r="C26362">
        <v>10704</v>
      </c>
      <c r="D26362" t="str">
        <f>"0095509964  "</f>
        <v xml:space="preserve">0095509964  </v>
      </c>
      <c r="E26362" t="s">
        <v>292</v>
      </c>
      <c r="F26362" t="s">
        <v>294</v>
      </c>
      <c r="G26362">
        <v>-130.52000000000001</v>
      </c>
      <c r="H26362">
        <v>250814</v>
      </c>
      <c r="I26362">
        <v>4530</v>
      </c>
      <c r="J26362" t="s">
        <v>293</v>
      </c>
      <c r="K26362">
        <v>-130.52000000000001</v>
      </c>
      <c r="L26362">
        <v>-26.52</v>
      </c>
      <c r="M26362">
        <v>17534</v>
      </c>
      <c r="N26362" t="s">
        <v>148</v>
      </c>
      <c r="O26362">
        <v>250821</v>
      </c>
      <c r="P26362">
        <v>-104</v>
      </c>
    </row>
    <row r="26363" spans="1:16" x14ac:dyDescent="0.25">
      <c r="A26363" t="s">
        <v>3296</v>
      </c>
      <c r="B26363" t="s">
        <v>2931</v>
      </c>
      <c r="C26363">
        <v>10709</v>
      </c>
      <c r="D26363" t="str">
        <f>"0095509962  "</f>
        <v xml:space="preserve">0095509962  </v>
      </c>
      <c r="E26363" t="s">
        <v>292</v>
      </c>
      <c r="F26363" t="s">
        <v>294</v>
      </c>
      <c r="G26363">
        <v>-130.52000000000001</v>
      </c>
      <c r="H26363">
        <v>250814</v>
      </c>
      <c r="I26363">
        <v>4530</v>
      </c>
      <c r="J26363" t="s">
        <v>293</v>
      </c>
      <c r="K26363">
        <v>-130.52000000000001</v>
      </c>
      <c r="L26363">
        <v>-26.52</v>
      </c>
      <c r="M26363">
        <v>17711</v>
      </c>
      <c r="N26363" t="s">
        <v>155</v>
      </c>
      <c r="O26363">
        <v>250821</v>
      </c>
      <c r="P26363">
        <v>-104</v>
      </c>
    </row>
    <row r="26364" spans="1:16" x14ac:dyDescent="0.25">
      <c r="A26364" t="s">
        <v>3296</v>
      </c>
      <c r="B26364" t="s">
        <v>2931</v>
      </c>
      <c r="C26364">
        <v>10711</v>
      </c>
      <c r="D26364" t="str">
        <f>"0124550826  "</f>
        <v xml:space="preserve">0124550826  </v>
      </c>
      <c r="E26364" t="s">
        <v>292</v>
      </c>
      <c r="F26364" t="s">
        <v>294</v>
      </c>
      <c r="G26364">
        <v>130.52000000000001</v>
      </c>
      <c r="H26364">
        <v>250814</v>
      </c>
      <c r="I26364">
        <v>4530</v>
      </c>
      <c r="J26364" t="s">
        <v>293</v>
      </c>
      <c r="K26364">
        <v>130.52000000000001</v>
      </c>
      <c r="L26364">
        <v>26.52</v>
      </c>
      <c r="M26364">
        <v>17711</v>
      </c>
      <c r="N26364" t="s">
        <v>155</v>
      </c>
      <c r="O26364">
        <v>250821</v>
      </c>
      <c r="P26364">
        <v>104</v>
      </c>
    </row>
    <row r="26365" spans="1:16" x14ac:dyDescent="0.25">
      <c r="A26365" t="s">
        <v>3296</v>
      </c>
      <c r="B26365" t="s">
        <v>2931</v>
      </c>
      <c r="C26365">
        <v>10714</v>
      </c>
      <c r="D26365" t="str">
        <f>"0124552874  "</f>
        <v xml:space="preserve">0124552874  </v>
      </c>
      <c r="E26365" t="s">
        <v>292</v>
      </c>
      <c r="F26365" t="s">
        <v>294</v>
      </c>
      <c r="G26365">
        <v>258.35000000000002</v>
      </c>
      <c r="H26365">
        <v>250814</v>
      </c>
      <c r="I26365">
        <v>4530</v>
      </c>
      <c r="J26365" t="s">
        <v>293</v>
      </c>
      <c r="K26365">
        <v>258.35000000000002</v>
      </c>
      <c r="L26365">
        <v>52.49</v>
      </c>
      <c r="M26365">
        <v>67522</v>
      </c>
      <c r="N26365" t="s">
        <v>121</v>
      </c>
      <c r="O26365">
        <v>250821</v>
      </c>
      <c r="P26365">
        <v>205.86</v>
      </c>
    </row>
    <row r="26366" spans="1:16" x14ac:dyDescent="0.25">
      <c r="A26366" t="s">
        <v>3296</v>
      </c>
      <c r="B26366" t="s">
        <v>2931</v>
      </c>
      <c r="C26366">
        <v>10717</v>
      </c>
      <c r="D26366" t="str">
        <f>"0124552875  "</f>
        <v xml:space="preserve">0124552875  </v>
      </c>
      <c r="E26366" t="s">
        <v>292</v>
      </c>
      <c r="F26366" t="s">
        <v>294</v>
      </c>
      <c r="G26366">
        <v>193.27</v>
      </c>
      <c r="H26366">
        <v>250814</v>
      </c>
      <c r="I26366">
        <v>4530</v>
      </c>
      <c r="J26366" t="s">
        <v>293</v>
      </c>
      <c r="K26366">
        <v>193.27</v>
      </c>
      <c r="L26366">
        <v>39.270000000000003</v>
      </c>
      <c r="M26366">
        <v>66756</v>
      </c>
      <c r="N26366" t="s">
        <v>120</v>
      </c>
      <c r="O26366">
        <v>250821</v>
      </c>
      <c r="P26366">
        <v>154</v>
      </c>
    </row>
    <row r="26367" spans="1:16" x14ac:dyDescent="0.25">
      <c r="A26367" t="s">
        <v>3296</v>
      </c>
      <c r="B26367" t="s">
        <v>2931</v>
      </c>
      <c r="C26367">
        <v>10718</v>
      </c>
      <c r="D26367" t="str">
        <f>"0124557624  "</f>
        <v xml:space="preserve">0124557624  </v>
      </c>
      <c r="E26367" t="s">
        <v>292</v>
      </c>
      <c r="F26367" t="s">
        <v>294</v>
      </c>
      <c r="G26367">
        <v>571.65</v>
      </c>
      <c r="H26367">
        <v>250815</v>
      </c>
      <c r="I26367">
        <v>4530</v>
      </c>
      <c r="J26367" t="s">
        <v>293</v>
      </c>
      <c r="K26367">
        <v>774.5</v>
      </c>
      <c r="L26367">
        <v>116.15</v>
      </c>
      <c r="M26367">
        <v>53222</v>
      </c>
      <c r="N26367" t="s">
        <v>41</v>
      </c>
      <c r="O26367">
        <v>250821</v>
      </c>
      <c r="P26367">
        <v>455.5</v>
      </c>
    </row>
    <row r="26368" spans="1:16" x14ac:dyDescent="0.25">
      <c r="A26368" t="s">
        <v>3296</v>
      </c>
      <c r="B26368" t="s">
        <v>2931</v>
      </c>
      <c r="C26368">
        <v>10718</v>
      </c>
      <c r="D26368" t="str">
        <f>"0124557624  "</f>
        <v xml:space="preserve">0124557624  </v>
      </c>
      <c r="E26368" t="s">
        <v>292</v>
      </c>
      <c r="F26368" t="s">
        <v>294</v>
      </c>
      <c r="G26368">
        <v>160.51</v>
      </c>
      <c r="H26368">
        <v>250815</v>
      </c>
      <c r="I26368">
        <v>4530</v>
      </c>
      <c r="J26368" t="s">
        <v>293</v>
      </c>
      <c r="K26368">
        <v>774.5</v>
      </c>
      <c r="L26368">
        <v>32.61</v>
      </c>
      <c r="M26368">
        <v>54622</v>
      </c>
      <c r="N26368" t="s">
        <v>42</v>
      </c>
      <c r="O26368">
        <v>250821</v>
      </c>
      <c r="P26368">
        <v>127.9</v>
      </c>
    </row>
    <row r="26369" spans="1:16" x14ac:dyDescent="0.25">
      <c r="A26369" t="s">
        <v>3296</v>
      </c>
      <c r="B26369" t="s">
        <v>2931</v>
      </c>
      <c r="C26369">
        <v>10718</v>
      </c>
      <c r="D26369" t="str">
        <f>"0124557624  "</f>
        <v xml:space="preserve">0124557624  </v>
      </c>
      <c r="E26369" t="s">
        <v>292</v>
      </c>
      <c r="F26369" t="s">
        <v>294</v>
      </c>
      <c r="G26369">
        <v>42.34</v>
      </c>
      <c r="H26369">
        <v>250815</v>
      </c>
      <c r="I26369">
        <v>4530</v>
      </c>
      <c r="J26369" t="s">
        <v>293</v>
      </c>
      <c r="K26369">
        <v>774.5</v>
      </c>
      <c r="L26369">
        <v>8.6</v>
      </c>
      <c r="M26369">
        <v>55222</v>
      </c>
      <c r="N26369" t="s">
        <v>43</v>
      </c>
      <c r="O26369">
        <v>250821</v>
      </c>
      <c r="P26369">
        <v>33.74</v>
      </c>
    </row>
    <row r="26370" spans="1:16" x14ac:dyDescent="0.25">
      <c r="A26370" t="s">
        <v>3296</v>
      </c>
      <c r="B26370" t="s">
        <v>2931</v>
      </c>
      <c r="C26370">
        <v>10719</v>
      </c>
      <c r="D26370" t="str">
        <f>"0124567162  "</f>
        <v xml:space="preserve">0124567162  </v>
      </c>
      <c r="E26370" t="s">
        <v>292</v>
      </c>
      <c r="F26370" t="s">
        <v>294</v>
      </c>
      <c r="G26370">
        <v>119.48</v>
      </c>
      <c r="H26370">
        <v>250815</v>
      </c>
      <c r="I26370">
        <v>4530</v>
      </c>
      <c r="J26370" t="s">
        <v>293</v>
      </c>
      <c r="K26370">
        <v>119.48</v>
      </c>
      <c r="L26370">
        <v>24.28</v>
      </c>
      <c r="M26370">
        <v>17711</v>
      </c>
      <c r="N26370" t="s">
        <v>155</v>
      </c>
      <c r="O26370">
        <v>250821</v>
      </c>
      <c r="P26370">
        <v>95.2</v>
      </c>
    </row>
    <row r="26371" spans="1:16" x14ac:dyDescent="0.25">
      <c r="A26371" t="s">
        <v>3296</v>
      </c>
      <c r="B26371" t="s">
        <v>2931</v>
      </c>
      <c r="C26371">
        <v>10724</v>
      </c>
      <c r="D26371" t="str">
        <f>"0124557621  "</f>
        <v xml:space="preserve">0124557621  </v>
      </c>
      <c r="E26371" t="s">
        <v>292</v>
      </c>
      <c r="F26371" t="s">
        <v>294</v>
      </c>
      <c r="G26371">
        <v>869.72</v>
      </c>
      <c r="H26371">
        <v>250815</v>
      </c>
      <c r="I26371">
        <v>4530</v>
      </c>
      <c r="J26371" t="s">
        <v>293</v>
      </c>
      <c r="K26371">
        <v>1381</v>
      </c>
      <c r="L26371">
        <v>176.72</v>
      </c>
      <c r="M26371">
        <v>56559</v>
      </c>
      <c r="N26371" t="s">
        <v>51</v>
      </c>
      <c r="O26371">
        <v>250821</v>
      </c>
      <c r="P26371">
        <v>693</v>
      </c>
    </row>
    <row r="26372" spans="1:16" x14ac:dyDescent="0.25">
      <c r="A26372" t="s">
        <v>3296</v>
      </c>
      <c r="B26372" t="s">
        <v>2931</v>
      </c>
      <c r="C26372">
        <v>10725</v>
      </c>
      <c r="D26372" t="str">
        <f>"0124557620  "</f>
        <v xml:space="preserve">0124557620  </v>
      </c>
      <c r="E26372" t="s">
        <v>292</v>
      </c>
      <c r="F26372" t="s">
        <v>294</v>
      </c>
      <c r="G26372">
        <v>614.95000000000005</v>
      </c>
      <c r="H26372">
        <v>250815</v>
      </c>
      <c r="I26372">
        <v>4530</v>
      </c>
      <c r="J26372" t="s">
        <v>293</v>
      </c>
      <c r="K26372">
        <v>1921.58</v>
      </c>
      <c r="L26372">
        <v>124.95</v>
      </c>
      <c r="M26372">
        <v>56563</v>
      </c>
      <c r="N26372" t="s">
        <v>55</v>
      </c>
      <c r="O26372">
        <v>250821</v>
      </c>
      <c r="P26372">
        <v>490</v>
      </c>
    </row>
    <row r="26373" spans="1:16" x14ac:dyDescent="0.25">
      <c r="A26373" t="s">
        <v>3296</v>
      </c>
      <c r="B26373" t="s">
        <v>2931</v>
      </c>
      <c r="C26373">
        <v>10726</v>
      </c>
      <c r="D26373" t="str">
        <f>"0124557614  "</f>
        <v xml:space="preserve">0124557614  </v>
      </c>
      <c r="E26373" t="s">
        <v>292</v>
      </c>
      <c r="F26373" t="s">
        <v>294</v>
      </c>
      <c r="G26373">
        <v>307.75</v>
      </c>
      <c r="H26373">
        <v>250815</v>
      </c>
      <c r="I26373">
        <v>4530</v>
      </c>
      <c r="J26373" t="s">
        <v>293</v>
      </c>
      <c r="K26373">
        <v>751.42</v>
      </c>
      <c r="L26373">
        <v>62.53</v>
      </c>
      <c r="M26373">
        <v>56565</v>
      </c>
      <c r="N26373" t="s">
        <v>57</v>
      </c>
      <c r="O26373">
        <v>250821</v>
      </c>
      <c r="P26373">
        <v>245.22</v>
      </c>
    </row>
    <row r="26374" spans="1:16" x14ac:dyDescent="0.25">
      <c r="A26374" t="s">
        <v>3296</v>
      </c>
      <c r="B26374" t="s">
        <v>2931</v>
      </c>
      <c r="C26374">
        <v>10731</v>
      </c>
      <c r="D26374" t="str">
        <f>"0124557626  "</f>
        <v xml:space="preserve">0124557626  </v>
      </c>
      <c r="E26374" t="s">
        <v>292</v>
      </c>
      <c r="F26374" t="s">
        <v>294</v>
      </c>
      <c r="G26374">
        <v>457.32</v>
      </c>
      <c r="H26374">
        <v>250815</v>
      </c>
      <c r="I26374">
        <v>4530</v>
      </c>
      <c r="J26374" t="s">
        <v>293</v>
      </c>
      <c r="K26374">
        <v>457.32</v>
      </c>
      <c r="L26374">
        <v>92.92</v>
      </c>
      <c r="M26374">
        <v>54222</v>
      </c>
      <c r="N26374" t="s">
        <v>48</v>
      </c>
      <c r="O26374">
        <v>250821</v>
      </c>
      <c r="P26374">
        <v>364.4</v>
      </c>
    </row>
    <row r="26375" spans="1:16" x14ac:dyDescent="0.25">
      <c r="A26375" t="s">
        <v>3296</v>
      </c>
      <c r="B26375" t="s">
        <v>2931</v>
      </c>
      <c r="C26375">
        <v>10762</v>
      </c>
      <c r="D26375" t="str">
        <f>"0095510142  "</f>
        <v xml:space="preserve">0095510142  </v>
      </c>
      <c r="E26375" t="s">
        <v>292</v>
      </c>
      <c r="F26375" t="s">
        <v>294</v>
      </c>
      <c r="G26375">
        <v>-165.66</v>
      </c>
      <c r="H26375">
        <v>250815</v>
      </c>
      <c r="I26375">
        <v>4530</v>
      </c>
      <c r="J26375" t="s">
        <v>293</v>
      </c>
      <c r="K26375">
        <v>-165.66</v>
      </c>
      <c r="L26375">
        <v>-33.659999999999997</v>
      </c>
      <c r="M26375">
        <v>56564</v>
      </c>
      <c r="N26375" t="s">
        <v>56</v>
      </c>
      <c r="O26375">
        <v>250822</v>
      </c>
      <c r="P26375">
        <v>-132</v>
      </c>
    </row>
    <row r="26376" spans="1:16" x14ac:dyDescent="0.25">
      <c r="A26376" t="s">
        <v>3296</v>
      </c>
      <c r="B26376" t="s">
        <v>2931</v>
      </c>
      <c r="C26376">
        <v>10766</v>
      </c>
      <c r="D26376" t="str">
        <f>"0124557618  "</f>
        <v xml:space="preserve">0124557618  </v>
      </c>
      <c r="E26376" t="s">
        <v>292</v>
      </c>
      <c r="F26376" t="s">
        <v>294</v>
      </c>
      <c r="G26376">
        <v>3175.32</v>
      </c>
      <c r="H26376">
        <v>250815</v>
      </c>
      <c r="I26376">
        <v>4530</v>
      </c>
      <c r="J26376" t="s">
        <v>293</v>
      </c>
      <c r="K26376">
        <v>3175.32</v>
      </c>
      <c r="L26376">
        <v>645.17999999999995</v>
      </c>
      <c r="M26376">
        <v>56558</v>
      </c>
      <c r="N26376" t="s">
        <v>50</v>
      </c>
      <c r="O26376">
        <v>250822</v>
      </c>
      <c r="P26376">
        <v>2530.14</v>
      </c>
    </row>
    <row r="26377" spans="1:16" x14ac:dyDescent="0.25">
      <c r="A26377" t="s">
        <v>3296</v>
      </c>
      <c r="B26377" t="s">
        <v>2931</v>
      </c>
      <c r="C26377">
        <v>10767</v>
      </c>
      <c r="D26377" t="str">
        <f>"0124557623  "</f>
        <v xml:space="preserve">0124557623  </v>
      </c>
      <c r="E26377" t="s">
        <v>292</v>
      </c>
      <c r="F26377" t="s">
        <v>294</v>
      </c>
      <c r="G26377">
        <v>938.37</v>
      </c>
      <c r="H26377">
        <v>250815</v>
      </c>
      <c r="I26377">
        <v>4530</v>
      </c>
      <c r="J26377" t="s">
        <v>293</v>
      </c>
      <c r="K26377">
        <v>938.37</v>
      </c>
      <c r="L26377">
        <v>190.66</v>
      </c>
      <c r="M26377">
        <v>56564</v>
      </c>
      <c r="N26377" t="s">
        <v>56</v>
      </c>
      <c r="O26377">
        <v>250822</v>
      </c>
      <c r="P26377">
        <v>747.71</v>
      </c>
    </row>
    <row r="26378" spans="1:16" x14ac:dyDescent="0.25">
      <c r="A26378" t="s">
        <v>3296</v>
      </c>
      <c r="B26378" t="s">
        <v>2931</v>
      </c>
      <c r="C26378">
        <v>10801</v>
      </c>
      <c r="D26378" t="str">
        <f>"0124550958  "</f>
        <v xml:space="preserve">0124550958  </v>
      </c>
      <c r="E26378" t="s">
        <v>292</v>
      </c>
      <c r="F26378" t="s">
        <v>294</v>
      </c>
      <c r="G26378">
        <v>130.51</v>
      </c>
      <c r="H26378">
        <v>250814</v>
      </c>
      <c r="I26378">
        <v>4530</v>
      </c>
      <c r="J26378" t="s">
        <v>293</v>
      </c>
      <c r="K26378">
        <v>444.02</v>
      </c>
      <c r="L26378">
        <v>26.52</v>
      </c>
      <c r="M26378">
        <v>17534</v>
      </c>
      <c r="N26378" t="s">
        <v>148</v>
      </c>
      <c r="O26378">
        <v>250822</v>
      </c>
      <c r="P26378">
        <v>103.99</v>
      </c>
    </row>
    <row r="26379" spans="1:16" x14ac:dyDescent="0.25">
      <c r="A26379" t="s">
        <v>3296</v>
      </c>
      <c r="B26379" t="s">
        <v>2931</v>
      </c>
      <c r="C26379">
        <v>10821</v>
      </c>
      <c r="D26379" t="str">
        <f>"0124557625  "</f>
        <v xml:space="preserve">0124557625  </v>
      </c>
      <c r="E26379" t="s">
        <v>292</v>
      </c>
      <c r="F26379" t="s">
        <v>294</v>
      </c>
      <c r="G26379">
        <v>672.68</v>
      </c>
      <c r="H26379">
        <v>250815</v>
      </c>
      <c r="I26379">
        <v>4530</v>
      </c>
      <c r="J26379" t="s">
        <v>293</v>
      </c>
      <c r="K26379">
        <v>672.68</v>
      </c>
      <c r="L26379">
        <v>136.68</v>
      </c>
      <c r="M26379">
        <v>54422</v>
      </c>
      <c r="N26379" t="s">
        <v>49</v>
      </c>
      <c r="O26379">
        <v>250825</v>
      </c>
      <c r="P26379">
        <v>536</v>
      </c>
    </row>
    <row r="26380" spans="1:16" x14ac:dyDescent="0.25">
      <c r="A26380" t="s">
        <v>3296</v>
      </c>
      <c r="B26380" t="s">
        <v>2931</v>
      </c>
      <c r="C26380">
        <v>10824</v>
      </c>
      <c r="D26380" t="str">
        <f>"0124574228  "</f>
        <v xml:space="preserve">0124574228  </v>
      </c>
      <c r="E26380" t="s">
        <v>292</v>
      </c>
      <c r="F26380" t="s">
        <v>294</v>
      </c>
      <c r="G26380">
        <v>143.07</v>
      </c>
      <c r="H26380">
        <v>250819</v>
      </c>
      <c r="I26380">
        <v>4530</v>
      </c>
      <c r="J26380" t="s">
        <v>293</v>
      </c>
      <c r="K26380">
        <v>143.07</v>
      </c>
      <c r="L26380">
        <v>29.07</v>
      </c>
      <c r="M26380">
        <v>46554</v>
      </c>
      <c r="N26380" t="s">
        <v>102</v>
      </c>
      <c r="O26380">
        <v>250825</v>
      </c>
      <c r="P26380">
        <v>114</v>
      </c>
    </row>
    <row r="26381" spans="1:16" x14ac:dyDescent="0.25">
      <c r="A26381" t="s">
        <v>3296</v>
      </c>
      <c r="B26381" t="s">
        <v>2931</v>
      </c>
      <c r="C26381">
        <v>10859</v>
      </c>
      <c r="D26381" t="str">
        <f>"0124550927  "</f>
        <v xml:space="preserve">0124550927  </v>
      </c>
      <c r="E26381" t="s">
        <v>292</v>
      </c>
      <c r="F26381" t="s">
        <v>294</v>
      </c>
      <c r="G26381">
        <v>149.52000000000001</v>
      </c>
      <c r="H26381">
        <v>250814</v>
      </c>
      <c r="I26381">
        <v>4530</v>
      </c>
      <c r="J26381" t="s">
        <v>293</v>
      </c>
      <c r="K26381">
        <v>149.52000000000001</v>
      </c>
      <c r="L26381">
        <v>30.38</v>
      </c>
      <c r="M26381">
        <v>46554</v>
      </c>
      <c r="N26381" t="s">
        <v>102</v>
      </c>
      <c r="O26381">
        <v>250825</v>
      </c>
      <c r="P26381">
        <v>119.14</v>
      </c>
    </row>
    <row r="26382" spans="1:16" x14ac:dyDescent="0.25">
      <c r="A26382" t="s">
        <v>3296</v>
      </c>
      <c r="B26382" t="s">
        <v>2931</v>
      </c>
      <c r="C26382">
        <v>10866</v>
      </c>
      <c r="D26382" t="str">
        <f>"0124580452  "</f>
        <v xml:space="preserve">0124580452  </v>
      </c>
      <c r="E26382" t="s">
        <v>292</v>
      </c>
      <c r="F26382" t="s">
        <v>294</v>
      </c>
      <c r="G26382">
        <v>221.74</v>
      </c>
      <c r="H26382">
        <v>250821</v>
      </c>
      <c r="I26382">
        <v>4530</v>
      </c>
      <c r="J26382" t="s">
        <v>293</v>
      </c>
      <c r="K26382">
        <v>221.74</v>
      </c>
      <c r="L26382">
        <v>45.05</v>
      </c>
      <c r="M26382">
        <v>17807</v>
      </c>
      <c r="N26382" t="s">
        <v>23</v>
      </c>
      <c r="O26382">
        <v>250825</v>
      </c>
      <c r="P26382">
        <v>176.69</v>
      </c>
    </row>
    <row r="26383" spans="1:16" x14ac:dyDescent="0.25">
      <c r="A26383" t="s">
        <v>3296</v>
      </c>
      <c r="B26383" t="s">
        <v>2931</v>
      </c>
      <c r="C26383">
        <v>10902</v>
      </c>
      <c r="D26383" t="str">
        <f>"0124523878  "</f>
        <v xml:space="preserve">0124523878  </v>
      </c>
      <c r="E26383" t="s">
        <v>292</v>
      </c>
      <c r="F26383" t="s">
        <v>294</v>
      </c>
      <c r="G26383">
        <v>1532.36</v>
      </c>
      <c r="H26383">
        <v>250806</v>
      </c>
      <c r="I26383">
        <v>4530</v>
      </c>
      <c r="J26383" t="s">
        <v>293</v>
      </c>
      <c r="K26383">
        <v>1532.36</v>
      </c>
      <c r="L26383">
        <v>311.36</v>
      </c>
      <c r="M26383">
        <v>17807</v>
      </c>
      <c r="N26383" t="s">
        <v>23</v>
      </c>
      <c r="O26383">
        <v>250827</v>
      </c>
      <c r="P26383">
        <v>1221</v>
      </c>
    </row>
    <row r="26384" spans="1:16" x14ac:dyDescent="0.25">
      <c r="A26384" t="s">
        <v>3296</v>
      </c>
      <c r="B26384" t="s">
        <v>2931</v>
      </c>
      <c r="C26384">
        <v>10963</v>
      </c>
      <c r="D26384" t="str">
        <f>"0124600580  "</f>
        <v xml:space="preserve">0124600580  </v>
      </c>
      <c r="E26384" t="s">
        <v>292</v>
      </c>
      <c r="F26384" t="s">
        <v>294</v>
      </c>
      <c r="G26384">
        <v>94.75</v>
      </c>
      <c r="H26384">
        <v>250826</v>
      </c>
      <c r="I26384">
        <v>4530</v>
      </c>
      <c r="J26384" t="s">
        <v>293</v>
      </c>
      <c r="K26384">
        <v>94.75</v>
      </c>
      <c r="L26384">
        <v>19.25</v>
      </c>
      <c r="M26384">
        <v>17807</v>
      </c>
      <c r="N26384" t="s">
        <v>23</v>
      </c>
      <c r="O26384">
        <v>250828</v>
      </c>
      <c r="P26384">
        <v>75.5</v>
      </c>
    </row>
    <row r="26385" spans="1:16" x14ac:dyDescent="0.25">
      <c r="A26385" t="s">
        <v>3296</v>
      </c>
      <c r="B26385" t="s">
        <v>2931</v>
      </c>
      <c r="C26385">
        <v>10991</v>
      </c>
      <c r="D26385" t="str">
        <f>"0124550928  "</f>
        <v xml:space="preserve">0124550928  </v>
      </c>
      <c r="E26385" t="s">
        <v>292</v>
      </c>
      <c r="F26385" t="s">
        <v>294</v>
      </c>
      <c r="G26385">
        <v>351.4</v>
      </c>
      <c r="H26385">
        <v>250814</v>
      </c>
      <c r="I26385">
        <v>4530</v>
      </c>
      <c r="J26385" t="s">
        <v>293</v>
      </c>
      <c r="K26385">
        <v>351.4</v>
      </c>
      <c r="L26385">
        <v>71.400000000000006</v>
      </c>
      <c r="M26385">
        <v>44222</v>
      </c>
      <c r="N26385" t="s">
        <v>96</v>
      </c>
      <c r="O26385">
        <v>250828</v>
      </c>
      <c r="P26385">
        <v>280</v>
      </c>
    </row>
    <row r="26386" spans="1:16" x14ac:dyDescent="0.25">
      <c r="A26386" t="s">
        <v>3296</v>
      </c>
      <c r="B26386" t="s">
        <v>2931</v>
      </c>
      <c r="C26386">
        <v>10993</v>
      </c>
      <c r="D26386" t="str">
        <f>"0124578653  "</f>
        <v xml:space="preserve">0124578653  </v>
      </c>
      <c r="E26386" t="s">
        <v>292</v>
      </c>
      <c r="F26386" t="s">
        <v>294</v>
      </c>
      <c r="G26386">
        <v>87.85</v>
      </c>
      <c r="H26386">
        <v>250820</v>
      </c>
      <c r="I26386">
        <v>4530</v>
      </c>
      <c r="J26386" t="s">
        <v>293</v>
      </c>
      <c r="K26386">
        <v>87.85</v>
      </c>
      <c r="L26386">
        <v>17.850000000000001</v>
      </c>
      <c r="M26386">
        <v>44222</v>
      </c>
      <c r="N26386" t="s">
        <v>96</v>
      </c>
      <c r="O26386">
        <v>250828</v>
      </c>
      <c r="P26386">
        <v>70</v>
      </c>
    </row>
    <row r="26387" spans="1:16" x14ac:dyDescent="0.25">
      <c r="A26387" t="s">
        <v>3296</v>
      </c>
      <c r="B26387" t="s">
        <v>2931</v>
      </c>
      <c r="C26387">
        <v>11086</v>
      </c>
      <c r="D26387" t="str">
        <f>"0124582322  "</f>
        <v xml:space="preserve">0124582322  </v>
      </c>
      <c r="E26387" t="s">
        <v>292</v>
      </c>
      <c r="F26387" t="s">
        <v>294</v>
      </c>
      <c r="G26387">
        <v>87.85</v>
      </c>
      <c r="H26387">
        <v>250821</v>
      </c>
      <c r="I26387">
        <v>4530</v>
      </c>
      <c r="J26387" t="s">
        <v>293</v>
      </c>
      <c r="K26387">
        <v>175.7</v>
      </c>
      <c r="L26387">
        <v>17.850000000000001</v>
      </c>
      <c r="M26387">
        <v>14422</v>
      </c>
      <c r="N26387" t="s">
        <v>73</v>
      </c>
      <c r="O26387">
        <v>250829</v>
      </c>
      <c r="P26387">
        <v>70</v>
      </c>
    </row>
    <row r="26388" spans="1:16" x14ac:dyDescent="0.25">
      <c r="A26388" t="s">
        <v>3296</v>
      </c>
      <c r="B26388" t="s">
        <v>2931</v>
      </c>
      <c r="C26388">
        <v>11086</v>
      </c>
      <c r="D26388" t="str">
        <f>"0124582322  "</f>
        <v xml:space="preserve">0124582322  </v>
      </c>
      <c r="E26388" t="s">
        <v>292</v>
      </c>
      <c r="F26388" t="s">
        <v>294</v>
      </c>
      <c r="G26388">
        <v>87.85</v>
      </c>
      <c r="H26388">
        <v>250821</v>
      </c>
      <c r="I26388">
        <v>4530</v>
      </c>
      <c r="J26388" t="s">
        <v>293</v>
      </c>
      <c r="K26388">
        <v>175.7</v>
      </c>
      <c r="L26388">
        <v>17.850000000000001</v>
      </c>
      <c r="M26388">
        <v>14640</v>
      </c>
      <c r="N26388" t="s">
        <v>78</v>
      </c>
      <c r="O26388">
        <v>250829</v>
      </c>
      <c r="P26388">
        <v>70</v>
      </c>
    </row>
    <row r="26389" spans="1:16" x14ac:dyDescent="0.25">
      <c r="A26389" t="s">
        <v>3296</v>
      </c>
      <c r="B26389" t="s">
        <v>2931</v>
      </c>
      <c r="C26389">
        <v>11087</v>
      </c>
      <c r="D26389" t="str">
        <f>"0124588196  "</f>
        <v xml:space="preserve">0124588196  </v>
      </c>
      <c r="E26389" t="s">
        <v>292</v>
      </c>
      <c r="F26389" t="s">
        <v>294</v>
      </c>
      <c r="G26389">
        <v>422.51</v>
      </c>
      <c r="H26389">
        <v>250822</v>
      </c>
      <c r="I26389">
        <v>4530</v>
      </c>
      <c r="J26389" t="s">
        <v>293</v>
      </c>
      <c r="K26389">
        <v>476.68</v>
      </c>
      <c r="L26389">
        <v>85.85</v>
      </c>
      <c r="M26389">
        <v>17527</v>
      </c>
      <c r="N26389" t="s">
        <v>142</v>
      </c>
      <c r="O26389">
        <v>250829</v>
      </c>
      <c r="P26389">
        <v>336.66</v>
      </c>
    </row>
    <row r="26390" spans="1:16" x14ac:dyDescent="0.25">
      <c r="A26390" t="s">
        <v>3296</v>
      </c>
      <c r="B26390" t="s">
        <v>2931</v>
      </c>
      <c r="C26390">
        <v>11097</v>
      </c>
      <c r="D26390" t="str">
        <f>"0124557615  "</f>
        <v xml:space="preserve">0124557615  </v>
      </c>
      <c r="E26390" t="s">
        <v>292</v>
      </c>
      <c r="F26390" t="s">
        <v>294</v>
      </c>
      <c r="G26390">
        <v>889.21</v>
      </c>
      <c r="H26390">
        <v>250815</v>
      </c>
      <c r="I26390">
        <v>4530</v>
      </c>
      <c r="J26390" t="s">
        <v>293</v>
      </c>
      <c r="K26390">
        <v>889.21</v>
      </c>
      <c r="L26390">
        <v>180.68</v>
      </c>
      <c r="M26390">
        <v>56560</v>
      </c>
      <c r="N26390" t="s">
        <v>52</v>
      </c>
      <c r="O26390">
        <v>250829</v>
      </c>
      <c r="P26390">
        <v>708.53</v>
      </c>
    </row>
    <row r="26391" spans="1:16" x14ac:dyDescent="0.25">
      <c r="A26391" t="s">
        <v>3296</v>
      </c>
      <c r="B26391" t="s">
        <v>2931</v>
      </c>
      <c r="C26391">
        <v>11186</v>
      </c>
      <c r="D26391" t="str">
        <f>"0124593085  "</f>
        <v xml:space="preserve">0124593085  </v>
      </c>
      <c r="E26391" t="s">
        <v>292</v>
      </c>
      <c r="F26391" t="s">
        <v>294</v>
      </c>
      <c r="G26391">
        <v>165.66</v>
      </c>
      <c r="H26391">
        <v>250825</v>
      </c>
      <c r="I26391">
        <v>4530</v>
      </c>
      <c r="J26391" t="s">
        <v>293</v>
      </c>
      <c r="K26391">
        <v>165.66</v>
      </c>
      <c r="L26391">
        <v>33.659999999999997</v>
      </c>
      <c r="M26391">
        <v>46556</v>
      </c>
      <c r="N26391" t="s">
        <v>458</v>
      </c>
      <c r="O26391">
        <v>250901</v>
      </c>
      <c r="P26391">
        <v>132</v>
      </c>
    </row>
    <row r="26392" spans="1:16" x14ac:dyDescent="0.25">
      <c r="A26392" t="s">
        <v>3296</v>
      </c>
      <c r="B26392" t="s">
        <v>2931</v>
      </c>
      <c r="C26392">
        <v>11204</v>
      </c>
      <c r="D26392" t="str">
        <f>"0124618064  "</f>
        <v xml:space="preserve">0124618064  </v>
      </c>
      <c r="E26392" t="s">
        <v>292</v>
      </c>
      <c r="F26392" t="s">
        <v>294</v>
      </c>
      <c r="G26392">
        <v>57.6</v>
      </c>
      <c r="H26392">
        <v>250829</v>
      </c>
      <c r="I26392">
        <v>4530</v>
      </c>
      <c r="J26392" t="s">
        <v>293</v>
      </c>
      <c r="K26392">
        <v>57.6</v>
      </c>
      <c r="L26392">
        <v>11.7</v>
      </c>
      <c r="M26392">
        <v>54622</v>
      </c>
      <c r="N26392" t="s">
        <v>42</v>
      </c>
      <c r="O26392">
        <v>250901</v>
      </c>
      <c r="P26392">
        <v>45.9</v>
      </c>
    </row>
    <row r="26393" spans="1:16" x14ac:dyDescent="0.25">
      <c r="A26393" t="s">
        <v>3296</v>
      </c>
      <c r="B26393" t="s">
        <v>2931</v>
      </c>
      <c r="C26393">
        <v>11205</v>
      </c>
      <c r="D26393" t="str">
        <f>"0124618067  "</f>
        <v xml:space="preserve">0124618067  </v>
      </c>
      <c r="E26393" t="s">
        <v>292</v>
      </c>
      <c r="F26393" t="s">
        <v>294</v>
      </c>
      <c r="G26393">
        <v>82.83</v>
      </c>
      <c r="H26393">
        <v>250829</v>
      </c>
      <c r="I26393">
        <v>4530</v>
      </c>
      <c r="J26393" t="s">
        <v>293</v>
      </c>
      <c r="K26393">
        <v>82.83</v>
      </c>
      <c r="L26393">
        <v>16.829999999999998</v>
      </c>
      <c r="M26393">
        <v>55222</v>
      </c>
      <c r="N26393" t="s">
        <v>43</v>
      </c>
      <c r="O26393">
        <v>250901</v>
      </c>
      <c r="P26393">
        <v>66</v>
      </c>
    </row>
    <row r="26394" spans="1:16" x14ac:dyDescent="0.25">
      <c r="A26394" t="s">
        <v>3296</v>
      </c>
      <c r="B26394" t="s">
        <v>2931</v>
      </c>
      <c r="C26394">
        <v>11270</v>
      </c>
      <c r="D26394" t="str">
        <f>"0124608243  "</f>
        <v xml:space="preserve">0124608243  </v>
      </c>
      <c r="E26394" t="s">
        <v>292</v>
      </c>
      <c r="F26394" t="s">
        <v>294</v>
      </c>
      <c r="G26394">
        <v>122.96</v>
      </c>
      <c r="H26394">
        <v>250828</v>
      </c>
      <c r="I26394">
        <v>4530</v>
      </c>
      <c r="J26394" t="s">
        <v>293</v>
      </c>
      <c r="K26394">
        <v>779.25</v>
      </c>
      <c r="L26394">
        <v>24.98</v>
      </c>
      <c r="M26394">
        <v>46554</v>
      </c>
      <c r="N26394" t="s">
        <v>102</v>
      </c>
      <c r="O26394">
        <v>250902</v>
      </c>
      <c r="P26394">
        <v>97.98</v>
      </c>
    </row>
    <row r="26395" spans="1:16" x14ac:dyDescent="0.25">
      <c r="A26395" t="s">
        <v>3296</v>
      </c>
      <c r="B26395" t="s">
        <v>2931</v>
      </c>
      <c r="C26395">
        <v>11271</v>
      </c>
      <c r="D26395" t="str">
        <f>"0124627456  "</f>
        <v xml:space="preserve">0124627456  </v>
      </c>
      <c r="E26395" t="s">
        <v>292</v>
      </c>
      <c r="F26395" t="s">
        <v>294</v>
      </c>
      <c r="G26395">
        <v>53.84</v>
      </c>
      <c r="H26395">
        <v>250829</v>
      </c>
      <c r="I26395">
        <v>4530</v>
      </c>
      <c r="J26395" t="s">
        <v>293</v>
      </c>
      <c r="K26395">
        <v>107.68</v>
      </c>
      <c r="L26395">
        <v>10.94</v>
      </c>
      <c r="M26395">
        <v>66722</v>
      </c>
      <c r="N26395" t="s">
        <v>118</v>
      </c>
      <c r="O26395">
        <v>250902</v>
      </c>
      <c r="P26395">
        <v>42.9</v>
      </c>
    </row>
    <row r="26396" spans="1:16" x14ac:dyDescent="0.25">
      <c r="A26396" t="s">
        <v>3296</v>
      </c>
      <c r="B26396" t="s">
        <v>2931</v>
      </c>
      <c r="C26396">
        <v>11271</v>
      </c>
      <c r="D26396" t="str">
        <f>"0124627456  "</f>
        <v xml:space="preserve">0124627456  </v>
      </c>
      <c r="E26396" t="s">
        <v>292</v>
      </c>
      <c r="F26396" t="s">
        <v>294</v>
      </c>
      <c r="G26396">
        <v>53.84</v>
      </c>
      <c r="H26396">
        <v>250829</v>
      </c>
      <c r="I26396">
        <v>4530</v>
      </c>
      <c r="J26396" t="s">
        <v>293</v>
      </c>
      <c r="K26396">
        <v>107.68</v>
      </c>
      <c r="L26396">
        <v>10.94</v>
      </c>
      <c r="M26396">
        <v>67522</v>
      </c>
      <c r="N26396" t="s">
        <v>121</v>
      </c>
      <c r="O26396">
        <v>250902</v>
      </c>
      <c r="P26396">
        <v>42.9</v>
      </c>
    </row>
    <row r="26397" spans="1:16" x14ac:dyDescent="0.25">
      <c r="A26397" t="s">
        <v>3296</v>
      </c>
      <c r="B26397" t="s">
        <v>2931</v>
      </c>
      <c r="C26397">
        <v>11340</v>
      </c>
      <c r="D26397" t="str">
        <f>"0124535010  "</f>
        <v xml:space="preserve">0124535010  </v>
      </c>
      <c r="E26397" t="s">
        <v>292</v>
      </c>
      <c r="F26397" t="s">
        <v>294</v>
      </c>
      <c r="G26397">
        <v>284.52</v>
      </c>
      <c r="H26397">
        <v>250808</v>
      </c>
      <c r="I26397">
        <v>4530</v>
      </c>
      <c r="J26397" t="s">
        <v>293</v>
      </c>
      <c r="K26397">
        <v>1027.2</v>
      </c>
      <c r="L26397">
        <v>57.81</v>
      </c>
      <c r="M26397">
        <v>17809</v>
      </c>
      <c r="N26397" t="s">
        <v>25</v>
      </c>
      <c r="O26397">
        <v>250903</v>
      </c>
      <c r="P26397">
        <v>226.71</v>
      </c>
    </row>
    <row r="26398" spans="1:16" x14ac:dyDescent="0.25">
      <c r="A26398" t="s">
        <v>3296</v>
      </c>
      <c r="B26398" t="s">
        <v>2931</v>
      </c>
      <c r="C26398">
        <v>11429</v>
      </c>
      <c r="D26398" t="str">
        <f>"0124542495  "</f>
        <v xml:space="preserve">0124542495  </v>
      </c>
      <c r="E26398" t="s">
        <v>292</v>
      </c>
      <c r="F26398" t="s">
        <v>294</v>
      </c>
      <c r="G26398">
        <v>432.19</v>
      </c>
      <c r="H26398">
        <v>250812</v>
      </c>
      <c r="I26398">
        <v>4530</v>
      </c>
      <c r="J26398" t="s">
        <v>293</v>
      </c>
      <c r="K26398">
        <v>1464.28</v>
      </c>
      <c r="L26398">
        <v>87.82</v>
      </c>
      <c r="M26398">
        <v>44222</v>
      </c>
      <c r="N26398" t="s">
        <v>96</v>
      </c>
      <c r="O26398">
        <v>250905</v>
      </c>
      <c r="P26398">
        <v>344.37</v>
      </c>
    </row>
    <row r="26399" spans="1:16" x14ac:dyDescent="0.25">
      <c r="A26399" t="s">
        <v>3296</v>
      </c>
      <c r="B26399" t="s">
        <v>2931</v>
      </c>
      <c r="C26399">
        <v>11785</v>
      </c>
      <c r="D26399" t="str">
        <f>"0124618065  "</f>
        <v xml:space="preserve">0124618065  </v>
      </c>
      <c r="E26399" t="s">
        <v>292</v>
      </c>
      <c r="F26399" t="s">
        <v>294</v>
      </c>
      <c r="G26399">
        <v>251.67</v>
      </c>
      <c r="H26399">
        <v>250829</v>
      </c>
      <c r="I26399">
        <v>4530</v>
      </c>
      <c r="J26399" t="s">
        <v>293</v>
      </c>
      <c r="K26399">
        <v>784.91</v>
      </c>
      <c r="L26399">
        <v>51.14</v>
      </c>
      <c r="M26399">
        <v>56559</v>
      </c>
      <c r="N26399" t="s">
        <v>51</v>
      </c>
      <c r="O26399">
        <v>250910</v>
      </c>
      <c r="P26399">
        <v>200.53</v>
      </c>
    </row>
    <row r="26400" spans="1:16" x14ac:dyDescent="0.25">
      <c r="A26400" t="s">
        <v>3296</v>
      </c>
      <c r="B26400" t="s">
        <v>2931</v>
      </c>
      <c r="C26400">
        <v>11936</v>
      </c>
      <c r="D26400" t="str">
        <f>"0124638463  "</f>
        <v xml:space="preserve">0124638463  </v>
      </c>
      <c r="E26400" t="s">
        <v>292</v>
      </c>
      <c r="F26400" t="s">
        <v>294</v>
      </c>
      <c r="G26400">
        <v>139.74</v>
      </c>
      <c r="H26400">
        <v>250901</v>
      </c>
      <c r="I26400">
        <v>4530</v>
      </c>
      <c r="J26400" t="s">
        <v>293</v>
      </c>
      <c r="K26400">
        <v>139.74</v>
      </c>
      <c r="L26400">
        <v>28.39</v>
      </c>
      <c r="M26400">
        <v>46554</v>
      </c>
      <c r="N26400" t="s">
        <v>102</v>
      </c>
      <c r="O26400">
        <v>250912</v>
      </c>
      <c r="P26400">
        <v>111.35</v>
      </c>
    </row>
    <row r="26401" spans="1:16" x14ac:dyDescent="0.25">
      <c r="A26401" t="s">
        <v>3296</v>
      </c>
      <c r="B26401" t="s">
        <v>2931</v>
      </c>
      <c r="C26401">
        <v>11970</v>
      </c>
      <c r="D26401" t="str">
        <f t="shared" ref="D26401:D26408" si="566">"0124542639  "</f>
        <v xml:space="preserve">0124542639  </v>
      </c>
      <c r="E26401" t="s">
        <v>292</v>
      </c>
      <c r="F26401" t="s">
        <v>294</v>
      </c>
      <c r="G26401">
        <v>1483.15</v>
      </c>
      <c r="H26401">
        <v>250812</v>
      </c>
      <c r="I26401">
        <v>4530</v>
      </c>
      <c r="J26401" t="s">
        <v>293</v>
      </c>
      <c r="K26401">
        <v>3765.39</v>
      </c>
      <c r="L26401">
        <v>301.36</v>
      </c>
      <c r="M26401">
        <v>17521</v>
      </c>
      <c r="N26401" t="s">
        <v>136</v>
      </c>
      <c r="O26401">
        <v>250915</v>
      </c>
      <c r="P26401">
        <v>1181.79</v>
      </c>
    </row>
    <row r="26402" spans="1:16" x14ac:dyDescent="0.25">
      <c r="A26402" t="s">
        <v>3296</v>
      </c>
      <c r="B26402" t="s">
        <v>2931</v>
      </c>
      <c r="C26402">
        <v>11970</v>
      </c>
      <c r="D26402" t="str">
        <f t="shared" si="566"/>
        <v xml:space="preserve">0124542639  </v>
      </c>
      <c r="E26402" t="s">
        <v>292</v>
      </c>
      <c r="F26402" t="s">
        <v>294</v>
      </c>
      <c r="G26402">
        <v>384</v>
      </c>
      <c r="H26402">
        <v>250812</v>
      </c>
      <c r="I26402">
        <v>4530</v>
      </c>
      <c r="J26402" t="s">
        <v>293</v>
      </c>
      <c r="K26402">
        <v>3765.39</v>
      </c>
      <c r="L26402">
        <v>78.02</v>
      </c>
      <c r="M26402">
        <v>17522</v>
      </c>
      <c r="N26402" t="s">
        <v>137</v>
      </c>
      <c r="O26402">
        <v>250915</v>
      </c>
      <c r="P26402">
        <v>305.98</v>
      </c>
    </row>
    <row r="26403" spans="1:16" x14ac:dyDescent="0.25">
      <c r="A26403" t="s">
        <v>3296</v>
      </c>
      <c r="B26403" t="s">
        <v>2931</v>
      </c>
      <c r="C26403">
        <v>11970</v>
      </c>
      <c r="D26403" t="str">
        <f t="shared" si="566"/>
        <v xml:space="preserve">0124542639  </v>
      </c>
      <c r="E26403" t="s">
        <v>292</v>
      </c>
      <c r="F26403" t="s">
        <v>294</v>
      </c>
      <c r="G26403">
        <v>514.52</v>
      </c>
      <c r="H26403">
        <v>250812</v>
      </c>
      <c r="I26403">
        <v>4530</v>
      </c>
      <c r="J26403" t="s">
        <v>293</v>
      </c>
      <c r="K26403">
        <v>3765.39</v>
      </c>
      <c r="L26403">
        <v>104.54</v>
      </c>
      <c r="M26403">
        <v>17522</v>
      </c>
      <c r="N26403" t="s">
        <v>137</v>
      </c>
      <c r="O26403">
        <v>250915</v>
      </c>
      <c r="P26403">
        <v>409.98</v>
      </c>
    </row>
    <row r="26404" spans="1:16" x14ac:dyDescent="0.25">
      <c r="A26404" t="s">
        <v>3296</v>
      </c>
      <c r="B26404" t="s">
        <v>2931</v>
      </c>
      <c r="C26404">
        <v>11970</v>
      </c>
      <c r="D26404" t="str">
        <f t="shared" si="566"/>
        <v xml:space="preserve">0124542639  </v>
      </c>
      <c r="E26404" t="s">
        <v>292</v>
      </c>
      <c r="F26404" t="s">
        <v>294</v>
      </c>
      <c r="G26404">
        <v>397.83</v>
      </c>
      <c r="H26404">
        <v>250812</v>
      </c>
      <c r="I26404">
        <v>4530</v>
      </c>
      <c r="J26404" t="s">
        <v>293</v>
      </c>
      <c r="K26404">
        <v>3765.39</v>
      </c>
      <c r="L26404">
        <v>80.83</v>
      </c>
      <c r="M26404">
        <v>17523</v>
      </c>
      <c r="N26404" t="s">
        <v>138</v>
      </c>
      <c r="O26404">
        <v>250915</v>
      </c>
      <c r="P26404">
        <v>317</v>
      </c>
    </row>
    <row r="26405" spans="1:16" x14ac:dyDescent="0.25">
      <c r="A26405" t="s">
        <v>3296</v>
      </c>
      <c r="B26405" t="s">
        <v>2931</v>
      </c>
      <c r="C26405">
        <v>11970</v>
      </c>
      <c r="D26405" t="str">
        <f t="shared" si="566"/>
        <v xml:space="preserve">0124542639  </v>
      </c>
      <c r="E26405" t="s">
        <v>292</v>
      </c>
      <c r="F26405" t="s">
        <v>294</v>
      </c>
      <c r="G26405">
        <v>189.5</v>
      </c>
      <c r="H26405">
        <v>250812</v>
      </c>
      <c r="I26405">
        <v>4530</v>
      </c>
      <c r="J26405" t="s">
        <v>293</v>
      </c>
      <c r="K26405">
        <v>3765.39</v>
      </c>
      <c r="L26405">
        <v>38.5</v>
      </c>
      <c r="M26405">
        <v>17523</v>
      </c>
      <c r="N26405" t="s">
        <v>138</v>
      </c>
      <c r="O26405">
        <v>250915</v>
      </c>
      <c r="P26405">
        <v>151</v>
      </c>
    </row>
    <row r="26406" spans="1:16" x14ac:dyDescent="0.25">
      <c r="A26406" t="s">
        <v>3296</v>
      </c>
      <c r="B26406" t="s">
        <v>2931</v>
      </c>
      <c r="C26406">
        <v>11970</v>
      </c>
      <c r="D26406" t="str">
        <f t="shared" si="566"/>
        <v xml:space="preserve">0124542639  </v>
      </c>
      <c r="E26406" t="s">
        <v>292</v>
      </c>
      <c r="F26406" t="s">
        <v>294</v>
      </c>
      <c r="G26406">
        <v>82.84</v>
      </c>
      <c r="H26406">
        <v>250812</v>
      </c>
      <c r="I26406">
        <v>4530</v>
      </c>
      <c r="J26406" t="s">
        <v>293</v>
      </c>
      <c r="K26406">
        <v>3765.39</v>
      </c>
      <c r="L26406">
        <v>16.829999999999998</v>
      </c>
      <c r="M26406">
        <v>17526</v>
      </c>
      <c r="N26406" t="s">
        <v>141</v>
      </c>
      <c r="O26406">
        <v>250915</v>
      </c>
      <c r="P26406">
        <v>66.010000000000005</v>
      </c>
    </row>
    <row r="26407" spans="1:16" x14ac:dyDescent="0.25">
      <c r="A26407" t="s">
        <v>3296</v>
      </c>
      <c r="B26407" t="s">
        <v>2931</v>
      </c>
      <c r="C26407">
        <v>11970</v>
      </c>
      <c r="D26407" t="str">
        <f t="shared" si="566"/>
        <v xml:space="preserve">0124542639  </v>
      </c>
      <c r="E26407" t="s">
        <v>292</v>
      </c>
      <c r="F26407" t="s">
        <v>294</v>
      </c>
      <c r="G26407">
        <v>130.52000000000001</v>
      </c>
      <c r="H26407">
        <v>250812</v>
      </c>
      <c r="I26407">
        <v>4530</v>
      </c>
      <c r="J26407" t="s">
        <v>293</v>
      </c>
      <c r="K26407">
        <v>3765.39</v>
      </c>
      <c r="L26407">
        <v>26.52</v>
      </c>
      <c r="M26407">
        <v>17534</v>
      </c>
      <c r="N26407" t="s">
        <v>148</v>
      </c>
      <c r="O26407">
        <v>250915</v>
      </c>
      <c r="P26407">
        <v>104</v>
      </c>
    </row>
    <row r="26408" spans="1:16" x14ac:dyDescent="0.25">
      <c r="A26408" t="s">
        <v>3296</v>
      </c>
      <c r="B26408" t="s">
        <v>2931</v>
      </c>
      <c r="C26408">
        <v>11970</v>
      </c>
      <c r="D26408" t="str">
        <f t="shared" si="566"/>
        <v xml:space="preserve">0124542639  </v>
      </c>
      <c r="E26408" t="s">
        <v>292</v>
      </c>
      <c r="F26408" t="s">
        <v>294</v>
      </c>
      <c r="G26408">
        <v>189.5</v>
      </c>
      <c r="H26408">
        <v>250812</v>
      </c>
      <c r="I26408">
        <v>4530</v>
      </c>
      <c r="J26408" t="s">
        <v>293</v>
      </c>
      <c r="K26408">
        <v>3765.39</v>
      </c>
      <c r="L26408">
        <v>38.5</v>
      </c>
      <c r="M26408">
        <v>17537</v>
      </c>
      <c r="N26408" t="s">
        <v>151</v>
      </c>
      <c r="O26408">
        <v>250915</v>
      </c>
      <c r="P26408">
        <v>151</v>
      </c>
    </row>
    <row r="26409" spans="1:16" x14ac:dyDescent="0.25">
      <c r="A26409" t="s">
        <v>3296</v>
      </c>
      <c r="B26409" t="s">
        <v>2931</v>
      </c>
      <c r="C26409">
        <v>11980</v>
      </c>
      <c r="D26409" t="str">
        <f>"0124572645  "</f>
        <v xml:space="preserve">0124572645  </v>
      </c>
      <c r="E26409" t="s">
        <v>292</v>
      </c>
      <c r="F26409" t="s">
        <v>294</v>
      </c>
      <c r="G26409">
        <v>588.61</v>
      </c>
      <c r="H26409">
        <v>250819</v>
      </c>
      <c r="I26409">
        <v>4530</v>
      </c>
      <c r="J26409" t="s">
        <v>293</v>
      </c>
      <c r="K26409">
        <v>2161.4899999999998</v>
      </c>
      <c r="L26409">
        <v>119.6</v>
      </c>
      <c r="M26409">
        <v>14321</v>
      </c>
      <c r="N26409" t="s">
        <v>72</v>
      </c>
      <c r="O26409">
        <v>250915</v>
      </c>
      <c r="P26409">
        <v>469.01</v>
      </c>
    </row>
    <row r="26410" spans="1:16" x14ac:dyDescent="0.25">
      <c r="A26410" t="s">
        <v>3296</v>
      </c>
      <c r="B26410" t="s">
        <v>2931</v>
      </c>
      <c r="C26410">
        <v>11980</v>
      </c>
      <c r="D26410" t="str">
        <f>"0124572645  "</f>
        <v xml:space="preserve">0124572645  </v>
      </c>
      <c r="E26410" t="s">
        <v>292</v>
      </c>
      <c r="F26410" t="s">
        <v>294</v>
      </c>
      <c r="G26410">
        <v>790.64</v>
      </c>
      <c r="H26410">
        <v>250819</v>
      </c>
      <c r="I26410">
        <v>4530</v>
      </c>
      <c r="J26410" t="s">
        <v>293</v>
      </c>
      <c r="K26410">
        <v>2161.4899999999998</v>
      </c>
      <c r="L26410">
        <v>160.65</v>
      </c>
      <c r="M26410">
        <v>14422</v>
      </c>
      <c r="N26410" t="s">
        <v>73</v>
      </c>
      <c r="O26410">
        <v>250915</v>
      </c>
      <c r="P26410">
        <v>629.99</v>
      </c>
    </row>
    <row r="26411" spans="1:16" x14ac:dyDescent="0.25">
      <c r="A26411" t="s">
        <v>3296</v>
      </c>
      <c r="B26411" t="s">
        <v>2931</v>
      </c>
      <c r="C26411">
        <v>11980</v>
      </c>
      <c r="D26411" t="str">
        <f>"0124572645  "</f>
        <v xml:space="preserve">0124572645  </v>
      </c>
      <c r="E26411" t="s">
        <v>292</v>
      </c>
      <c r="F26411" t="s">
        <v>294</v>
      </c>
      <c r="G26411">
        <v>228.66</v>
      </c>
      <c r="H26411">
        <v>250819</v>
      </c>
      <c r="I26411">
        <v>4530</v>
      </c>
      <c r="J26411" t="s">
        <v>293</v>
      </c>
      <c r="K26411">
        <v>2161.4899999999998</v>
      </c>
      <c r="L26411">
        <v>46.46</v>
      </c>
      <c r="M26411">
        <v>14432</v>
      </c>
      <c r="N26411" t="s">
        <v>75</v>
      </c>
      <c r="O26411">
        <v>250915</v>
      </c>
      <c r="P26411">
        <v>182.2</v>
      </c>
    </row>
    <row r="26412" spans="1:16" x14ac:dyDescent="0.25">
      <c r="A26412" t="s">
        <v>3296</v>
      </c>
      <c r="B26412" t="s">
        <v>2931</v>
      </c>
      <c r="C26412">
        <v>11980</v>
      </c>
      <c r="D26412" t="str">
        <f>"0124572645  "</f>
        <v xml:space="preserve">0124572645  </v>
      </c>
      <c r="E26412" t="s">
        <v>292</v>
      </c>
      <c r="F26412" t="s">
        <v>294</v>
      </c>
      <c r="G26412">
        <v>439.25</v>
      </c>
      <c r="H26412">
        <v>250819</v>
      </c>
      <c r="I26412">
        <v>4530</v>
      </c>
      <c r="J26412" t="s">
        <v>293</v>
      </c>
      <c r="K26412">
        <v>2161.4899999999998</v>
      </c>
      <c r="L26412">
        <v>89.25</v>
      </c>
      <c r="M26412">
        <v>14640</v>
      </c>
      <c r="N26412" t="s">
        <v>78</v>
      </c>
      <c r="O26412">
        <v>250915</v>
      </c>
      <c r="P26412">
        <v>350</v>
      </c>
    </row>
    <row r="26413" spans="1:16" x14ac:dyDescent="0.25">
      <c r="A26413" t="s">
        <v>3296</v>
      </c>
      <c r="B26413" t="s">
        <v>2931</v>
      </c>
      <c r="C26413">
        <v>11980</v>
      </c>
      <c r="D26413" t="str">
        <f>"0124572645  "</f>
        <v xml:space="preserve">0124572645  </v>
      </c>
      <c r="E26413" t="s">
        <v>292</v>
      </c>
      <c r="F26413" t="s">
        <v>294</v>
      </c>
      <c r="G26413">
        <v>114.33</v>
      </c>
      <c r="H26413">
        <v>250819</v>
      </c>
      <c r="I26413">
        <v>4530</v>
      </c>
      <c r="J26413" t="s">
        <v>293</v>
      </c>
      <c r="K26413">
        <v>2161.4899999999998</v>
      </c>
      <c r="L26413">
        <v>23.23</v>
      </c>
      <c r="M26413">
        <v>14912</v>
      </c>
      <c r="N26413" t="s">
        <v>80</v>
      </c>
      <c r="O26413">
        <v>250915</v>
      </c>
      <c r="P26413">
        <v>91.1</v>
      </c>
    </row>
    <row r="26414" spans="1:16" x14ac:dyDescent="0.25">
      <c r="A26414" t="s">
        <v>3296</v>
      </c>
      <c r="B26414" t="s">
        <v>2931</v>
      </c>
      <c r="C26414">
        <v>12053</v>
      </c>
      <c r="D26414" t="str">
        <f>"0124637305  "</f>
        <v xml:space="preserve">0124637305  </v>
      </c>
      <c r="E26414" t="s">
        <v>292</v>
      </c>
      <c r="F26414" t="s">
        <v>294</v>
      </c>
      <c r="G26414">
        <v>132.38999999999999</v>
      </c>
      <c r="H26414">
        <v>250901</v>
      </c>
      <c r="I26414">
        <v>4530</v>
      </c>
      <c r="J26414" t="s">
        <v>293</v>
      </c>
      <c r="K26414">
        <v>202.47</v>
      </c>
      <c r="L26414">
        <v>26.9</v>
      </c>
      <c r="M26414">
        <v>17523</v>
      </c>
      <c r="N26414" t="s">
        <v>138</v>
      </c>
      <c r="O26414">
        <v>250915</v>
      </c>
      <c r="P26414">
        <v>105.49</v>
      </c>
    </row>
    <row r="26415" spans="1:16" x14ac:dyDescent="0.25">
      <c r="A26415" t="s">
        <v>3296</v>
      </c>
      <c r="B26415" t="s">
        <v>2931</v>
      </c>
      <c r="C26415">
        <v>12222</v>
      </c>
      <c r="D26415" t="str">
        <f>"0124641045  "</f>
        <v xml:space="preserve">0124641045  </v>
      </c>
      <c r="E26415" t="s">
        <v>292</v>
      </c>
      <c r="F26415" t="s">
        <v>294</v>
      </c>
      <c r="G26415">
        <v>1076.79</v>
      </c>
      <c r="H26415">
        <v>250902</v>
      </c>
      <c r="I26415">
        <v>4530</v>
      </c>
      <c r="J26415" t="s">
        <v>293</v>
      </c>
      <c r="K26415">
        <v>1076.79</v>
      </c>
      <c r="L26415">
        <v>218.79</v>
      </c>
      <c r="M26415">
        <v>17809</v>
      </c>
      <c r="N26415" t="s">
        <v>25</v>
      </c>
      <c r="O26415">
        <v>250917</v>
      </c>
      <c r="P26415">
        <v>858</v>
      </c>
    </row>
    <row r="26416" spans="1:16" x14ac:dyDescent="0.25">
      <c r="A26416" t="s">
        <v>3296</v>
      </c>
      <c r="B26416" t="s">
        <v>2931</v>
      </c>
      <c r="C26416">
        <v>12247</v>
      </c>
      <c r="D26416" t="str">
        <f>"0124542496  "</f>
        <v xml:space="preserve">0124542496  </v>
      </c>
      <c r="E26416" t="s">
        <v>292</v>
      </c>
      <c r="F26416" t="s">
        <v>294</v>
      </c>
      <c r="G26416">
        <v>706.56</v>
      </c>
      <c r="H26416">
        <v>250812</v>
      </c>
      <c r="I26416">
        <v>4530</v>
      </c>
      <c r="J26416" t="s">
        <v>293</v>
      </c>
      <c r="K26416">
        <v>706.56</v>
      </c>
      <c r="L26416">
        <v>143.56</v>
      </c>
      <c r="M26416">
        <v>46555</v>
      </c>
      <c r="N26416" t="s">
        <v>103</v>
      </c>
      <c r="O26416">
        <v>250918</v>
      </c>
      <c r="P26416">
        <v>563</v>
      </c>
    </row>
    <row r="26417" spans="1:16" x14ac:dyDescent="0.25">
      <c r="A26417" t="s">
        <v>3296</v>
      </c>
      <c r="B26417" t="s">
        <v>2931</v>
      </c>
      <c r="C26417">
        <v>12254</v>
      </c>
      <c r="D26417" t="str">
        <f>"0124628651  "</f>
        <v xml:space="preserve">0124628651  </v>
      </c>
      <c r="E26417" t="s">
        <v>292</v>
      </c>
      <c r="F26417" t="s">
        <v>294</v>
      </c>
      <c r="G26417">
        <v>87.85</v>
      </c>
      <c r="H26417">
        <v>250829</v>
      </c>
      <c r="I26417">
        <v>4530</v>
      </c>
      <c r="J26417" t="s">
        <v>293</v>
      </c>
      <c r="K26417">
        <v>87.85</v>
      </c>
      <c r="L26417">
        <v>17.850000000000001</v>
      </c>
      <c r="M26417">
        <v>14422</v>
      </c>
      <c r="N26417" t="s">
        <v>73</v>
      </c>
      <c r="O26417">
        <v>250918</v>
      </c>
      <c r="P26417">
        <v>70</v>
      </c>
    </row>
    <row r="26418" spans="1:16" x14ac:dyDescent="0.25">
      <c r="A26418" t="s">
        <v>3296</v>
      </c>
      <c r="B26418" t="s">
        <v>2931</v>
      </c>
      <c r="C26418">
        <v>12294</v>
      </c>
      <c r="D26418" t="str">
        <f>"0124646547  "</f>
        <v xml:space="preserve">0124646547  </v>
      </c>
      <c r="E26418" t="s">
        <v>292</v>
      </c>
      <c r="F26418" t="s">
        <v>294</v>
      </c>
      <c r="G26418">
        <v>45.18</v>
      </c>
      <c r="H26418">
        <v>250903</v>
      </c>
      <c r="I26418">
        <v>4530</v>
      </c>
      <c r="J26418" t="s">
        <v>293</v>
      </c>
      <c r="K26418">
        <v>45.18</v>
      </c>
      <c r="L26418">
        <v>9.18</v>
      </c>
      <c r="M26418">
        <v>46556</v>
      </c>
      <c r="N26418" t="s">
        <v>458</v>
      </c>
      <c r="O26418">
        <v>250918</v>
      </c>
      <c r="P26418">
        <v>36</v>
      </c>
    </row>
    <row r="26419" spans="1:16" x14ac:dyDescent="0.25">
      <c r="A26419" t="s">
        <v>3296</v>
      </c>
      <c r="B26419" t="s">
        <v>2931</v>
      </c>
      <c r="C26419">
        <v>12302</v>
      </c>
      <c r="D26419" t="str">
        <f>"0124567483  "</f>
        <v xml:space="preserve">0124567483  </v>
      </c>
      <c r="E26419" t="s">
        <v>292</v>
      </c>
      <c r="F26419" t="s">
        <v>294</v>
      </c>
      <c r="G26419">
        <v>130.52000000000001</v>
      </c>
      <c r="H26419">
        <v>250901</v>
      </c>
      <c r="I26419">
        <v>4530</v>
      </c>
      <c r="J26419" t="s">
        <v>293</v>
      </c>
      <c r="K26419">
        <v>184.1</v>
      </c>
      <c r="L26419">
        <v>26.52</v>
      </c>
      <c r="M26419">
        <v>17521</v>
      </c>
      <c r="N26419" t="s">
        <v>136</v>
      </c>
      <c r="O26419">
        <v>250919</v>
      </c>
      <c r="P26419">
        <v>104</v>
      </c>
    </row>
    <row r="26420" spans="1:16" x14ac:dyDescent="0.25">
      <c r="A26420" t="s">
        <v>3296</v>
      </c>
      <c r="B26420" t="s">
        <v>2931</v>
      </c>
      <c r="C26420">
        <v>12354</v>
      </c>
      <c r="D26420" t="str">
        <f>"0124662480  "</f>
        <v xml:space="preserve">0124662480  </v>
      </c>
      <c r="E26420" t="s">
        <v>292</v>
      </c>
      <c r="F26420" t="s">
        <v>294</v>
      </c>
      <c r="G26420">
        <v>223.36</v>
      </c>
      <c r="H26420">
        <v>250908</v>
      </c>
      <c r="I26420">
        <v>4530</v>
      </c>
      <c r="J26420" t="s">
        <v>293</v>
      </c>
      <c r="K26420">
        <v>495.73</v>
      </c>
      <c r="L26420">
        <v>45.38</v>
      </c>
      <c r="M26420">
        <v>17523</v>
      </c>
      <c r="N26420" t="s">
        <v>138</v>
      </c>
      <c r="O26420">
        <v>250919</v>
      </c>
      <c r="P26420">
        <v>177.98</v>
      </c>
    </row>
    <row r="26421" spans="1:16" x14ac:dyDescent="0.25">
      <c r="A26421" t="s">
        <v>3296</v>
      </c>
      <c r="B26421" t="s">
        <v>2931</v>
      </c>
      <c r="C26421">
        <v>12363</v>
      </c>
      <c r="D26421" t="str">
        <f>"0095512435  "</f>
        <v xml:space="preserve">0095512435  </v>
      </c>
      <c r="E26421" t="s">
        <v>292</v>
      </c>
      <c r="F26421" t="s">
        <v>294</v>
      </c>
      <c r="G26421">
        <v>-90.97</v>
      </c>
      <c r="H26421">
        <v>250909</v>
      </c>
      <c r="I26421">
        <v>4530</v>
      </c>
      <c r="J26421" t="s">
        <v>293</v>
      </c>
      <c r="K26421">
        <v>-90.97</v>
      </c>
      <c r="L26421">
        <v>-18.48</v>
      </c>
      <c r="M26421">
        <v>17523</v>
      </c>
      <c r="N26421" t="s">
        <v>138</v>
      </c>
      <c r="O26421">
        <v>250919</v>
      </c>
      <c r="P26421">
        <v>-72.489999999999995</v>
      </c>
    </row>
    <row r="26422" spans="1:16" x14ac:dyDescent="0.25">
      <c r="A26422" t="s">
        <v>3296</v>
      </c>
      <c r="B26422" t="s">
        <v>2931</v>
      </c>
      <c r="C26422">
        <v>12378</v>
      </c>
      <c r="D26422" t="str">
        <f>"0124671112  "</f>
        <v xml:space="preserve">0124671112  </v>
      </c>
      <c r="E26422" t="s">
        <v>292</v>
      </c>
      <c r="F26422" t="s">
        <v>294</v>
      </c>
      <c r="G26422">
        <v>277.91000000000003</v>
      </c>
      <c r="H26422">
        <v>250910</v>
      </c>
      <c r="I26422">
        <v>4530</v>
      </c>
      <c r="J26422" t="s">
        <v>293</v>
      </c>
      <c r="K26422">
        <v>277.91000000000003</v>
      </c>
      <c r="L26422">
        <v>56.47</v>
      </c>
      <c r="M26422">
        <v>67554</v>
      </c>
      <c r="N26422" t="s">
        <v>317</v>
      </c>
      <c r="O26422">
        <v>250919</v>
      </c>
      <c r="P26422">
        <v>221.44</v>
      </c>
    </row>
    <row r="26423" spans="1:16" x14ac:dyDescent="0.25">
      <c r="A26423" t="s">
        <v>3296</v>
      </c>
      <c r="B26423" t="s">
        <v>2931</v>
      </c>
      <c r="C26423">
        <v>12379</v>
      </c>
      <c r="D26423" t="str">
        <f>"0124671111  "</f>
        <v xml:space="preserve">0124671111  </v>
      </c>
      <c r="E26423" t="s">
        <v>292</v>
      </c>
      <c r="F26423" t="s">
        <v>294</v>
      </c>
      <c r="G26423">
        <v>55.1</v>
      </c>
      <c r="H26423">
        <v>250910</v>
      </c>
      <c r="I26423">
        <v>4530</v>
      </c>
      <c r="J26423" t="s">
        <v>293</v>
      </c>
      <c r="K26423">
        <v>55.1</v>
      </c>
      <c r="L26423">
        <v>11.2</v>
      </c>
      <c r="M26423">
        <v>67522</v>
      </c>
      <c r="N26423" t="s">
        <v>121</v>
      </c>
      <c r="O26423">
        <v>250919</v>
      </c>
      <c r="P26423">
        <v>43.9</v>
      </c>
    </row>
    <row r="26424" spans="1:16" x14ac:dyDescent="0.25">
      <c r="A26424" t="s">
        <v>3296</v>
      </c>
      <c r="B26424" t="s">
        <v>2931</v>
      </c>
      <c r="C26424">
        <v>12399</v>
      </c>
      <c r="D26424" t="str">
        <f>"0124677236  "</f>
        <v xml:space="preserve">0124677236  </v>
      </c>
      <c r="E26424" t="s">
        <v>292</v>
      </c>
      <c r="F26424" t="s">
        <v>294</v>
      </c>
      <c r="G26424">
        <v>168.17</v>
      </c>
      <c r="H26424">
        <v>250911</v>
      </c>
      <c r="I26424">
        <v>4530</v>
      </c>
      <c r="J26424" t="s">
        <v>293</v>
      </c>
      <c r="K26424">
        <v>168.17</v>
      </c>
      <c r="L26424">
        <v>34.17</v>
      </c>
      <c r="M26424">
        <v>14321</v>
      </c>
      <c r="N26424" t="s">
        <v>72</v>
      </c>
      <c r="O26424">
        <v>250919</v>
      </c>
      <c r="P26424">
        <v>134</v>
      </c>
    </row>
    <row r="26425" spans="1:16" x14ac:dyDescent="0.25">
      <c r="A26425" t="s">
        <v>3296</v>
      </c>
      <c r="B26425" t="s">
        <v>2931</v>
      </c>
      <c r="C26425">
        <v>12643</v>
      </c>
      <c r="D26425" t="str">
        <f>"0124647691  "</f>
        <v xml:space="preserve">0124647691  </v>
      </c>
      <c r="E26425" t="s">
        <v>292</v>
      </c>
      <c r="F26425" t="s">
        <v>294</v>
      </c>
      <c r="G26425">
        <v>87.85</v>
      </c>
      <c r="H26425">
        <v>250903</v>
      </c>
      <c r="I26425">
        <v>4530</v>
      </c>
      <c r="J26425" t="s">
        <v>293</v>
      </c>
      <c r="K26425">
        <v>87.85</v>
      </c>
      <c r="L26425">
        <v>17.850000000000001</v>
      </c>
      <c r="M26425">
        <v>14640</v>
      </c>
      <c r="N26425" t="s">
        <v>78</v>
      </c>
      <c r="O26425">
        <v>250929</v>
      </c>
      <c r="P26425">
        <v>70</v>
      </c>
    </row>
    <row r="26426" spans="1:16" x14ac:dyDescent="0.25">
      <c r="A26426" t="s">
        <v>3296</v>
      </c>
      <c r="B26426" t="s">
        <v>2931</v>
      </c>
      <c r="C26426">
        <v>12769</v>
      </c>
      <c r="D26426" t="str">
        <f>"0124690162  "</f>
        <v xml:space="preserve">0124690162  </v>
      </c>
      <c r="E26426" t="s">
        <v>292</v>
      </c>
      <c r="F26426" t="s">
        <v>294</v>
      </c>
      <c r="G26426">
        <v>63.49</v>
      </c>
      <c r="H26426">
        <v>250915</v>
      </c>
      <c r="I26426">
        <v>4530</v>
      </c>
      <c r="J26426" t="s">
        <v>293</v>
      </c>
      <c r="K26426">
        <v>63.49</v>
      </c>
      <c r="L26426">
        <v>12.9</v>
      </c>
      <c r="M26426">
        <v>56564</v>
      </c>
      <c r="N26426" t="s">
        <v>56</v>
      </c>
      <c r="O26426">
        <v>250930</v>
      </c>
      <c r="P26426">
        <v>50.59</v>
      </c>
    </row>
    <row r="26427" spans="1:16" x14ac:dyDescent="0.25">
      <c r="A26427" t="s">
        <v>3296</v>
      </c>
      <c r="B26427" t="s">
        <v>2931</v>
      </c>
      <c r="C26427">
        <v>12785</v>
      </c>
      <c r="D26427" t="str">
        <f>"0124702747  "</f>
        <v xml:space="preserve">0124702747  </v>
      </c>
      <c r="E26427" t="s">
        <v>292</v>
      </c>
      <c r="F26427" t="s">
        <v>294</v>
      </c>
      <c r="G26427">
        <v>278.93</v>
      </c>
      <c r="H26427">
        <v>250917</v>
      </c>
      <c r="I26427">
        <v>4530</v>
      </c>
      <c r="J26427" t="s">
        <v>293</v>
      </c>
      <c r="K26427">
        <v>288.76</v>
      </c>
      <c r="L26427">
        <v>56.68</v>
      </c>
      <c r="M26427">
        <v>17526</v>
      </c>
      <c r="N26427" t="s">
        <v>141</v>
      </c>
      <c r="O26427">
        <v>250930</v>
      </c>
      <c r="P26427">
        <v>222.25</v>
      </c>
    </row>
    <row r="26428" spans="1:16" x14ac:dyDescent="0.25">
      <c r="A26428" t="s">
        <v>3296</v>
      </c>
      <c r="B26428" t="s">
        <v>2931</v>
      </c>
      <c r="C26428">
        <v>12845</v>
      </c>
      <c r="D26428" t="str">
        <f>"0124690167  "</f>
        <v xml:space="preserve">0124690167  </v>
      </c>
      <c r="E26428" t="s">
        <v>292</v>
      </c>
      <c r="F26428" t="s">
        <v>294</v>
      </c>
      <c r="G26428">
        <v>87.85</v>
      </c>
      <c r="H26428">
        <v>250915</v>
      </c>
      <c r="I26428">
        <v>4530</v>
      </c>
      <c r="J26428" t="s">
        <v>293</v>
      </c>
      <c r="K26428">
        <v>87.85</v>
      </c>
      <c r="L26428">
        <v>17.850000000000001</v>
      </c>
      <c r="M26428">
        <v>56563</v>
      </c>
      <c r="N26428" t="s">
        <v>55</v>
      </c>
      <c r="O26428">
        <v>250930</v>
      </c>
      <c r="P26428">
        <v>70</v>
      </c>
    </row>
    <row r="26429" spans="1:16" x14ac:dyDescent="0.25">
      <c r="A26429" t="s">
        <v>3296</v>
      </c>
      <c r="B26429" t="s">
        <v>2931</v>
      </c>
      <c r="C26429">
        <v>13050</v>
      </c>
      <c r="D26429" t="str">
        <f>"0124774555  "</f>
        <v xml:space="preserve">0124774555  </v>
      </c>
      <c r="E26429" t="s">
        <v>292</v>
      </c>
      <c r="F26429" t="s">
        <v>294</v>
      </c>
      <c r="G26429">
        <v>24.36</v>
      </c>
      <c r="H26429">
        <v>250930</v>
      </c>
      <c r="I26429">
        <v>4530</v>
      </c>
      <c r="J26429" t="s">
        <v>293</v>
      </c>
      <c r="K26429">
        <v>24.36</v>
      </c>
      <c r="L26429">
        <v>4.95</v>
      </c>
      <c r="M26429">
        <v>46554</v>
      </c>
      <c r="N26429" t="s">
        <v>102</v>
      </c>
      <c r="O26429">
        <v>251003</v>
      </c>
      <c r="P26429">
        <v>19.41</v>
      </c>
    </row>
    <row r="26430" spans="1:16" x14ac:dyDescent="0.25">
      <c r="A26430" t="s">
        <v>3296</v>
      </c>
      <c r="B26430" t="s">
        <v>2931</v>
      </c>
      <c r="C26430">
        <v>13051</v>
      </c>
      <c r="D26430" t="str">
        <f>"0124754809  "</f>
        <v xml:space="preserve">0124754809  </v>
      </c>
      <c r="E26430" t="s">
        <v>292</v>
      </c>
      <c r="F26430" t="s">
        <v>294</v>
      </c>
      <c r="G26430">
        <v>144.19999999999999</v>
      </c>
      <c r="H26430">
        <v>250930</v>
      </c>
      <c r="I26430">
        <v>4530</v>
      </c>
      <c r="J26430" t="s">
        <v>293</v>
      </c>
      <c r="K26430">
        <v>144.19999999999999</v>
      </c>
      <c r="L26430">
        <v>29.3</v>
      </c>
      <c r="M26430">
        <v>56564</v>
      </c>
      <c r="N26430" t="s">
        <v>56</v>
      </c>
      <c r="O26430">
        <v>251003</v>
      </c>
      <c r="P26430">
        <v>114.9</v>
      </c>
    </row>
    <row r="26431" spans="1:16" x14ac:dyDescent="0.25">
      <c r="A26431" t="s">
        <v>3296</v>
      </c>
      <c r="B26431" t="s">
        <v>2931</v>
      </c>
      <c r="C26431">
        <v>13076</v>
      </c>
      <c r="D26431" t="str">
        <f>"0124739015  "</f>
        <v xml:space="preserve">0124739015  </v>
      </c>
      <c r="E26431" t="s">
        <v>292</v>
      </c>
      <c r="F26431" t="s">
        <v>294</v>
      </c>
      <c r="G26431">
        <v>81.2</v>
      </c>
      <c r="H26431">
        <v>250926</v>
      </c>
      <c r="I26431">
        <v>4530</v>
      </c>
      <c r="J26431" t="s">
        <v>293</v>
      </c>
      <c r="K26431">
        <v>81.2</v>
      </c>
      <c r="L26431">
        <v>16.5</v>
      </c>
      <c r="M26431">
        <v>46554</v>
      </c>
      <c r="N26431" t="s">
        <v>102</v>
      </c>
      <c r="O26431">
        <v>251003</v>
      </c>
      <c r="P26431">
        <v>64.7</v>
      </c>
    </row>
    <row r="26432" spans="1:16" x14ac:dyDescent="0.25">
      <c r="A26432" t="s">
        <v>3296</v>
      </c>
      <c r="B26432" t="s">
        <v>2931</v>
      </c>
      <c r="C26432">
        <v>13525</v>
      </c>
      <c r="D26432" t="str">
        <f>"0124729240  "</f>
        <v xml:space="preserve">0124729240  </v>
      </c>
      <c r="E26432" t="s">
        <v>292</v>
      </c>
      <c r="F26432" t="s">
        <v>294</v>
      </c>
      <c r="G26432">
        <v>323.99</v>
      </c>
      <c r="H26432">
        <v>250924</v>
      </c>
      <c r="I26432">
        <v>4530</v>
      </c>
      <c r="J26432" t="s">
        <v>293</v>
      </c>
      <c r="K26432">
        <v>418.92</v>
      </c>
      <c r="L26432">
        <v>65.83</v>
      </c>
      <c r="M26432">
        <v>17522</v>
      </c>
      <c r="N26432" t="s">
        <v>137</v>
      </c>
      <c r="O26432">
        <v>251010</v>
      </c>
      <c r="P26432">
        <v>258.16000000000003</v>
      </c>
    </row>
    <row r="26433" spans="1:16" x14ac:dyDescent="0.25">
      <c r="A26433" t="s">
        <v>3296</v>
      </c>
      <c r="B26433" t="s">
        <v>2931</v>
      </c>
      <c r="C26433">
        <v>13532</v>
      </c>
      <c r="D26433" t="str">
        <f>"0124745324  "</f>
        <v xml:space="preserve">0124745324  </v>
      </c>
      <c r="E26433" t="s">
        <v>292</v>
      </c>
      <c r="F26433" t="s">
        <v>294</v>
      </c>
      <c r="G26433">
        <v>323.99</v>
      </c>
      <c r="H26433">
        <v>250929</v>
      </c>
      <c r="I26433">
        <v>4530</v>
      </c>
      <c r="J26433" t="s">
        <v>293</v>
      </c>
      <c r="K26433">
        <v>456.38</v>
      </c>
      <c r="L26433">
        <v>65.83</v>
      </c>
      <c r="M26433">
        <v>17522</v>
      </c>
      <c r="N26433" t="s">
        <v>137</v>
      </c>
      <c r="O26433">
        <v>251010</v>
      </c>
      <c r="P26433">
        <v>258.16000000000003</v>
      </c>
    </row>
    <row r="26434" spans="1:16" x14ac:dyDescent="0.25">
      <c r="A26434" t="s">
        <v>3296</v>
      </c>
      <c r="B26434" t="s">
        <v>2931</v>
      </c>
      <c r="C26434">
        <v>13532</v>
      </c>
      <c r="D26434" t="str">
        <f>"0124745324  "</f>
        <v xml:space="preserve">0124745324  </v>
      </c>
      <c r="E26434" t="s">
        <v>292</v>
      </c>
      <c r="F26434" t="s">
        <v>294</v>
      </c>
      <c r="G26434">
        <v>132.38999999999999</v>
      </c>
      <c r="H26434">
        <v>250929</v>
      </c>
      <c r="I26434">
        <v>4530</v>
      </c>
      <c r="J26434" t="s">
        <v>293</v>
      </c>
      <c r="K26434">
        <v>456.38</v>
      </c>
      <c r="L26434">
        <v>26.9</v>
      </c>
      <c r="M26434">
        <v>17523</v>
      </c>
      <c r="N26434" t="s">
        <v>138</v>
      </c>
      <c r="O26434">
        <v>251010</v>
      </c>
      <c r="P26434">
        <v>105.49</v>
      </c>
    </row>
    <row r="26435" spans="1:16" x14ac:dyDescent="0.25">
      <c r="A26435" t="s">
        <v>3296</v>
      </c>
      <c r="B26435" t="s">
        <v>2931</v>
      </c>
      <c r="C26435">
        <v>13535</v>
      </c>
      <c r="D26435" t="str">
        <f>"0124754808  "</f>
        <v xml:space="preserve">0124754808  </v>
      </c>
      <c r="E26435" t="s">
        <v>292</v>
      </c>
      <c r="F26435" t="s">
        <v>294</v>
      </c>
      <c r="G26435">
        <v>208.07</v>
      </c>
      <c r="H26435">
        <v>250930</v>
      </c>
      <c r="I26435">
        <v>4530</v>
      </c>
      <c r="J26435" t="s">
        <v>293</v>
      </c>
      <c r="K26435">
        <v>253.97</v>
      </c>
      <c r="L26435">
        <v>42.28</v>
      </c>
      <c r="M26435">
        <v>55222</v>
      </c>
      <c r="N26435" t="s">
        <v>43</v>
      </c>
      <c r="O26435">
        <v>251010</v>
      </c>
      <c r="P26435">
        <v>165.79</v>
      </c>
    </row>
    <row r="26436" spans="1:16" x14ac:dyDescent="0.25">
      <c r="A26436" t="s">
        <v>3296</v>
      </c>
      <c r="B26436" t="s">
        <v>2931</v>
      </c>
      <c r="C26436">
        <v>13621</v>
      </c>
      <c r="D26436" t="str">
        <f>"0124731183  "</f>
        <v xml:space="preserve">0124731183  </v>
      </c>
      <c r="E26436" t="s">
        <v>292</v>
      </c>
      <c r="F26436" t="s">
        <v>294</v>
      </c>
      <c r="G26436">
        <v>100.67</v>
      </c>
      <c r="H26436">
        <v>250925</v>
      </c>
      <c r="I26436">
        <v>4530</v>
      </c>
      <c r="J26436" t="s">
        <v>293</v>
      </c>
      <c r="K26436">
        <v>903.63</v>
      </c>
      <c r="L26436">
        <v>20.45</v>
      </c>
      <c r="M26436">
        <v>46554</v>
      </c>
      <c r="N26436" t="s">
        <v>102</v>
      </c>
      <c r="O26436">
        <v>251013</v>
      </c>
      <c r="P26436">
        <v>80.22</v>
      </c>
    </row>
    <row r="26437" spans="1:16" x14ac:dyDescent="0.25">
      <c r="A26437" t="s">
        <v>3296</v>
      </c>
      <c r="B26437" t="s">
        <v>2931</v>
      </c>
      <c r="C26437">
        <v>13621</v>
      </c>
      <c r="D26437" t="str">
        <f>"0124731183  "</f>
        <v xml:space="preserve">0124731183  </v>
      </c>
      <c r="E26437" t="s">
        <v>292</v>
      </c>
      <c r="F26437" t="s">
        <v>294</v>
      </c>
      <c r="G26437">
        <v>208.22</v>
      </c>
      <c r="H26437">
        <v>250925</v>
      </c>
      <c r="I26437">
        <v>4530</v>
      </c>
      <c r="J26437" t="s">
        <v>293</v>
      </c>
      <c r="K26437">
        <v>903.63</v>
      </c>
      <c r="L26437">
        <v>42.31</v>
      </c>
      <c r="M26437">
        <v>46554</v>
      </c>
      <c r="N26437" t="s">
        <v>102</v>
      </c>
      <c r="O26437">
        <v>251013</v>
      </c>
      <c r="P26437">
        <v>165.91</v>
      </c>
    </row>
    <row r="26438" spans="1:16" x14ac:dyDescent="0.25">
      <c r="A26438" t="s">
        <v>3296</v>
      </c>
      <c r="B26438" t="s">
        <v>2931</v>
      </c>
      <c r="C26438">
        <v>13624</v>
      </c>
      <c r="D26438" t="str">
        <f>"0095514840  "</f>
        <v xml:space="preserve">0095514840  </v>
      </c>
      <c r="E26438" t="s">
        <v>292</v>
      </c>
      <c r="F26438" t="s">
        <v>294</v>
      </c>
      <c r="G26438">
        <v>-204.06</v>
      </c>
      <c r="H26438">
        <v>250930</v>
      </c>
      <c r="I26438">
        <v>4530</v>
      </c>
      <c r="J26438" t="s">
        <v>293</v>
      </c>
      <c r="K26438">
        <v>-204.06</v>
      </c>
      <c r="L26438">
        <v>-41.46</v>
      </c>
      <c r="M26438">
        <v>46554</v>
      </c>
      <c r="N26438" t="s">
        <v>102</v>
      </c>
      <c r="O26438">
        <v>251013</v>
      </c>
      <c r="P26438">
        <v>-162.6</v>
      </c>
    </row>
    <row r="26439" spans="1:16" x14ac:dyDescent="0.25">
      <c r="A26439" t="s">
        <v>3296</v>
      </c>
      <c r="B26439" t="s">
        <v>2931</v>
      </c>
      <c r="C26439">
        <v>13692</v>
      </c>
      <c r="D26439" t="str">
        <f>"0124765384  "</f>
        <v xml:space="preserve">0124765384  </v>
      </c>
      <c r="E26439" t="s">
        <v>292</v>
      </c>
      <c r="F26439" t="s">
        <v>294</v>
      </c>
      <c r="G26439">
        <v>62.13</v>
      </c>
      <c r="H26439">
        <v>250930</v>
      </c>
      <c r="I26439">
        <v>4530</v>
      </c>
      <c r="J26439" t="s">
        <v>293</v>
      </c>
      <c r="K26439">
        <v>62.13</v>
      </c>
      <c r="L26439">
        <v>12.62</v>
      </c>
      <c r="M26439">
        <v>17802</v>
      </c>
      <c r="N26439" t="s">
        <v>18</v>
      </c>
      <c r="O26439">
        <v>251015</v>
      </c>
      <c r="P26439">
        <v>49.51</v>
      </c>
    </row>
    <row r="26440" spans="1:16" x14ac:dyDescent="0.25">
      <c r="A26440" t="s">
        <v>3296</v>
      </c>
      <c r="B26440" t="s">
        <v>2931</v>
      </c>
      <c r="C26440">
        <v>13930</v>
      </c>
      <c r="D26440" t="str">
        <f>"0124827848  "</f>
        <v xml:space="preserve">0124827848  </v>
      </c>
      <c r="E26440" t="s">
        <v>292</v>
      </c>
      <c r="F26440" t="s">
        <v>294</v>
      </c>
      <c r="G26440">
        <v>168.12</v>
      </c>
      <c r="H26440">
        <v>251001</v>
      </c>
      <c r="I26440">
        <v>4530</v>
      </c>
      <c r="J26440" t="s">
        <v>293</v>
      </c>
      <c r="K26440">
        <v>168.12</v>
      </c>
      <c r="L26440">
        <v>34.159999999999997</v>
      </c>
      <c r="M26440">
        <v>56564</v>
      </c>
      <c r="N26440" t="s">
        <v>56</v>
      </c>
      <c r="O26440">
        <v>251020</v>
      </c>
      <c r="P26440">
        <v>133.96</v>
      </c>
    </row>
    <row r="26441" spans="1:16" x14ac:dyDescent="0.25">
      <c r="A26441" t="s">
        <v>3296</v>
      </c>
      <c r="B26441" t="s">
        <v>2931</v>
      </c>
      <c r="C26441">
        <v>13931</v>
      </c>
      <c r="D26441" t="str">
        <f>"0124827852  "</f>
        <v xml:space="preserve">0124827852  </v>
      </c>
      <c r="E26441" t="s">
        <v>292</v>
      </c>
      <c r="F26441" t="s">
        <v>294</v>
      </c>
      <c r="G26441">
        <v>342.92</v>
      </c>
      <c r="H26441">
        <v>251015</v>
      </c>
      <c r="I26441">
        <v>4530</v>
      </c>
      <c r="J26441" t="s">
        <v>293</v>
      </c>
      <c r="K26441">
        <v>342.92</v>
      </c>
      <c r="L26441">
        <v>69.680000000000007</v>
      </c>
      <c r="M26441">
        <v>56565</v>
      </c>
      <c r="N26441" t="s">
        <v>57</v>
      </c>
      <c r="O26441">
        <v>251020</v>
      </c>
      <c r="P26441">
        <v>273.24</v>
      </c>
    </row>
    <row r="26442" spans="1:16" x14ac:dyDescent="0.25">
      <c r="A26442" t="s">
        <v>3296</v>
      </c>
      <c r="B26442" t="s">
        <v>2931</v>
      </c>
      <c r="C26442">
        <v>13980</v>
      </c>
      <c r="D26442" t="str">
        <f>"0124781952  "</f>
        <v xml:space="preserve">0124781952  </v>
      </c>
      <c r="E26442" t="s">
        <v>292</v>
      </c>
      <c r="F26442" t="s">
        <v>294</v>
      </c>
      <c r="G26442">
        <v>74.040000000000006</v>
      </c>
      <c r="H26442">
        <v>251002</v>
      </c>
      <c r="I26442">
        <v>4530</v>
      </c>
      <c r="J26442" t="s">
        <v>293</v>
      </c>
      <c r="K26442">
        <v>216.01</v>
      </c>
      <c r="L26442">
        <v>15.04</v>
      </c>
      <c r="M26442">
        <v>46554</v>
      </c>
      <c r="N26442" t="s">
        <v>102</v>
      </c>
      <c r="O26442">
        <v>251021</v>
      </c>
      <c r="P26442">
        <v>59</v>
      </c>
    </row>
    <row r="26443" spans="1:16" x14ac:dyDescent="0.25">
      <c r="A26443" t="s">
        <v>3296</v>
      </c>
      <c r="B26443" t="s">
        <v>2931</v>
      </c>
      <c r="C26443">
        <v>14152</v>
      </c>
      <c r="D26443" t="str">
        <f>"0124800004  "</f>
        <v xml:space="preserve">0124800004  </v>
      </c>
      <c r="E26443" t="s">
        <v>292</v>
      </c>
      <c r="F26443" t="s">
        <v>294</v>
      </c>
      <c r="G26443">
        <v>77.31</v>
      </c>
      <c r="H26443">
        <v>251008</v>
      </c>
      <c r="I26443">
        <v>4530</v>
      </c>
      <c r="J26443" t="s">
        <v>293</v>
      </c>
      <c r="K26443">
        <v>198.74</v>
      </c>
      <c r="L26443">
        <v>15.71</v>
      </c>
      <c r="M26443">
        <v>17523</v>
      </c>
      <c r="N26443" t="s">
        <v>138</v>
      </c>
      <c r="O26443">
        <v>251024</v>
      </c>
      <c r="P26443">
        <v>61.6</v>
      </c>
    </row>
    <row r="26444" spans="1:16" x14ac:dyDescent="0.25">
      <c r="A26444" t="s">
        <v>3296</v>
      </c>
      <c r="B26444" t="s">
        <v>2931</v>
      </c>
      <c r="C26444">
        <v>14154</v>
      </c>
      <c r="D26444" t="str">
        <f>"0124803292  "</f>
        <v xml:space="preserve">0124803292  </v>
      </c>
      <c r="E26444" t="s">
        <v>292</v>
      </c>
      <c r="F26444" t="s">
        <v>294</v>
      </c>
      <c r="G26444">
        <v>26.1</v>
      </c>
      <c r="H26444">
        <v>251009</v>
      </c>
      <c r="I26444">
        <v>4530</v>
      </c>
      <c r="J26444" t="s">
        <v>293</v>
      </c>
      <c r="K26444">
        <v>302.3</v>
      </c>
      <c r="L26444">
        <v>5.3</v>
      </c>
      <c r="M26444">
        <v>46554</v>
      </c>
      <c r="N26444" t="s">
        <v>102</v>
      </c>
      <c r="O26444">
        <v>251024</v>
      </c>
      <c r="P26444">
        <v>20.8</v>
      </c>
    </row>
    <row r="26445" spans="1:16" x14ac:dyDescent="0.25">
      <c r="A26445" t="s">
        <v>3296</v>
      </c>
      <c r="B26445" t="s">
        <v>2931</v>
      </c>
      <c r="C26445">
        <v>14238</v>
      </c>
      <c r="D26445" t="str">
        <f>"0124852694  "</f>
        <v xml:space="preserve">0124852694  </v>
      </c>
      <c r="E26445" t="s">
        <v>292</v>
      </c>
      <c r="F26445" t="s">
        <v>294</v>
      </c>
      <c r="G26445">
        <v>175.7</v>
      </c>
      <c r="H26445">
        <v>251021</v>
      </c>
      <c r="I26445">
        <v>4530</v>
      </c>
      <c r="J26445" t="s">
        <v>293</v>
      </c>
      <c r="K26445">
        <v>175.7</v>
      </c>
      <c r="L26445">
        <v>35.700000000000003</v>
      </c>
      <c r="M26445">
        <v>14422</v>
      </c>
      <c r="N26445" t="s">
        <v>73</v>
      </c>
      <c r="O26445">
        <v>251027</v>
      </c>
      <c r="P26445">
        <v>140</v>
      </c>
    </row>
    <row r="26446" spans="1:16" x14ac:dyDescent="0.25">
      <c r="A26446" t="s">
        <v>3296</v>
      </c>
      <c r="B26446" t="s">
        <v>2931</v>
      </c>
      <c r="C26446">
        <v>14736</v>
      </c>
      <c r="D26446" t="str">
        <f>"0124857766  "</f>
        <v xml:space="preserve">0124857766  </v>
      </c>
      <c r="E26446" t="s">
        <v>292</v>
      </c>
      <c r="F26446" t="s">
        <v>294</v>
      </c>
      <c r="G26446">
        <v>95.44</v>
      </c>
      <c r="H26446">
        <v>251022</v>
      </c>
      <c r="I26446">
        <v>4530</v>
      </c>
      <c r="J26446" t="s">
        <v>293</v>
      </c>
      <c r="K26446">
        <v>113.11</v>
      </c>
      <c r="L26446">
        <v>19.39</v>
      </c>
      <c r="M26446">
        <v>46554</v>
      </c>
      <c r="N26446" t="s">
        <v>102</v>
      </c>
      <c r="O26446">
        <v>251106</v>
      </c>
      <c r="P26446">
        <v>76.05</v>
      </c>
    </row>
    <row r="26447" spans="1:16" x14ac:dyDescent="0.25">
      <c r="A26447" t="s">
        <v>3296</v>
      </c>
      <c r="B26447" t="s">
        <v>2931</v>
      </c>
      <c r="C26447">
        <v>14750</v>
      </c>
      <c r="D26447" t="str">
        <f>"0124853777  "</f>
        <v xml:space="preserve">0124853777  </v>
      </c>
      <c r="E26447" t="s">
        <v>292</v>
      </c>
      <c r="F26447" t="s">
        <v>294</v>
      </c>
      <c r="G26447">
        <v>53.97</v>
      </c>
      <c r="H26447">
        <v>251022</v>
      </c>
      <c r="I26447">
        <v>4530</v>
      </c>
      <c r="J26447" t="s">
        <v>293</v>
      </c>
      <c r="K26447">
        <v>450.19</v>
      </c>
      <c r="L26447">
        <v>10.97</v>
      </c>
      <c r="M26447">
        <v>17527</v>
      </c>
      <c r="N26447" t="s">
        <v>142</v>
      </c>
      <c r="O26447">
        <v>251106</v>
      </c>
      <c r="P26447">
        <v>43</v>
      </c>
    </row>
    <row r="26448" spans="1:16" x14ac:dyDescent="0.25">
      <c r="A26448" t="s">
        <v>3296</v>
      </c>
      <c r="B26448" t="s">
        <v>2931</v>
      </c>
      <c r="C26448">
        <v>15271</v>
      </c>
      <c r="D26448" t="str">
        <f>"0124879429  "</f>
        <v xml:space="preserve">0124879429  </v>
      </c>
      <c r="E26448" t="s">
        <v>292</v>
      </c>
      <c r="F26448" t="s">
        <v>294</v>
      </c>
      <c r="G26448">
        <v>147.29</v>
      </c>
      <c r="H26448">
        <v>251029</v>
      </c>
      <c r="I26448">
        <v>4530</v>
      </c>
      <c r="J26448" t="s">
        <v>293</v>
      </c>
      <c r="K26448">
        <v>645.12</v>
      </c>
      <c r="L26448">
        <v>29.93</v>
      </c>
      <c r="M26448">
        <v>46554</v>
      </c>
      <c r="N26448" t="s">
        <v>102</v>
      </c>
      <c r="O26448">
        <v>251117</v>
      </c>
      <c r="P26448">
        <v>117.36</v>
      </c>
    </row>
    <row r="26449" spans="1:16" x14ac:dyDescent="0.25">
      <c r="A26449" t="s">
        <v>3296</v>
      </c>
      <c r="B26449" t="s">
        <v>2931</v>
      </c>
      <c r="C26449">
        <v>15273</v>
      </c>
      <c r="D26449" t="str">
        <f>"0124883895  "</f>
        <v xml:space="preserve">0124883895  </v>
      </c>
      <c r="E26449" t="s">
        <v>292</v>
      </c>
      <c r="F26449" t="s">
        <v>294</v>
      </c>
      <c r="G26449">
        <v>53.97</v>
      </c>
      <c r="H26449">
        <v>251030</v>
      </c>
      <c r="I26449">
        <v>4530</v>
      </c>
      <c r="J26449" t="s">
        <v>293</v>
      </c>
      <c r="K26449">
        <v>272.11</v>
      </c>
      <c r="L26449">
        <v>10.97</v>
      </c>
      <c r="M26449">
        <v>17527</v>
      </c>
      <c r="N26449" t="s">
        <v>142</v>
      </c>
      <c r="O26449">
        <v>251117</v>
      </c>
      <c r="P26449">
        <v>43</v>
      </c>
    </row>
    <row r="26450" spans="1:16" x14ac:dyDescent="0.25">
      <c r="A26450" t="s">
        <v>3296</v>
      </c>
      <c r="B26450" t="s">
        <v>2931</v>
      </c>
      <c r="C26450">
        <v>15530</v>
      </c>
      <c r="D26450" t="str">
        <f>"0124948242  "</f>
        <v xml:space="preserve">0124948242  </v>
      </c>
      <c r="E26450" t="s">
        <v>292</v>
      </c>
      <c r="F26450" t="s">
        <v>294</v>
      </c>
      <c r="G26450">
        <v>41.42</v>
      </c>
      <c r="H26450">
        <v>251111</v>
      </c>
      <c r="I26450">
        <v>4530</v>
      </c>
      <c r="J26450" t="s">
        <v>293</v>
      </c>
      <c r="K26450">
        <v>409.76</v>
      </c>
      <c r="L26450">
        <v>8.42</v>
      </c>
      <c r="M26450">
        <v>46556</v>
      </c>
      <c r="N26450" t="s">
        <v>458</v>
      </c>
      <c r="O26450">
        <v>251121</v>
      </c>
      <c r="P26450">
        <v>33</v>
      </c>
    </row>
    <row r="26451" spans="1:16" x14ac:dyDescent="0.25">
      <c r="A26451" t="s">
        <v>3296</v>
      </c>
      <c r="B26451" t="s">
        <v>2931</v>
      </c>
      <c r="C26451">
        <v>15629</v>
      </c>
      <c r="D26451" t="str">
        <f>"0124927351  "</f>
        <v xml:space="preserve">0124927351  </v>
      </c>
      <c r="E26451" t="s">
        <v>292</v>
      </c>
      <c r="F26451" t="s">
        <v>294</v>
      </c>
      <c r="G26451">
        <v>410.65</v>
      </c>
      <c r="H26451">
        <v>251105</v>
      </c>
      <c r="I26451">
        <v>4530</v>
      </c>
      <c r="J26451" t="s">
        <v>293</v>
      </c>
      <c r="K26451">
        <v>505.9</v>
      </c>
      <c r="L26451">
        <v>83.44</v>
      </c>
      <c r="M26451">
        <v>46554</v>
      </c>
      <c r="N26451" t="s">
        <v>102</v>
      </c>
      <c r="O26451">
        <v>251124</v>
      </c>
      <c r="P26451">
        <v>327.20999999999998</v>
      </c>
    </row>
    <row r="26452" spans="1:16" x14ac:dyDescent="0.25">
      <c r="A26452" t="s">
        <v>3296</v>
      </c>
      <c r="B26452" t="s">
        <v>2931</v>
      </c>
      <c r="C26452">
        <v>15975</v>
      </c>
      <c r="D26452" t="str">
        <f>"0124995401  "</f>
        <v xml:space="preserve">0124995401  </v>
      </c>
      <c r="E26452" t="s">
        <v>292</v>
      </c>
      <c r="F26452" t="s">
        <v>294</v>
      </c>
      <c r="G26452">
        <v>140.06</v>
      </c>
      <c r="H26452">
        <v>251121</v>
      </c>
      <c r="I26452">
        <v>4530</v>
      </c>
      <c r="J26452" t="s">
        <v>293</v>
      </c>
      <c r="K26452">
        <v>143.41999999999999</v>
      </c>
      <c r="L26452">
        <v>28.46</v>
      </c>
      <c r="M26452">
        <v>47522</v>
      </c>
      <c r="N26452" t="s">
        <v>106</v>
      </c>
      <c r="O26452">
        <v>251201</v>
      </c>
      <c r="P26452">
        <v>111.6</v>
      </c>
    </row>
    <row r="26453" spans="1:16" x14ac:dyDescent="0.25">
      <c r="A26453" t="s">
        <v>3296</v>
      </c>
      <c r="B26453" t="s">
        <v>2931</v>
      </c>
      <c r="C26453">
        <v>16113</v>
      </c>
      <c r="D26453" t="str">
        <f>"0124996513  "</f>
        <v xml:space="preserve">0124996513  </v>
      </c>
      <c r="E26453" t="s">
        <v>292</v>
      </c>
      <c r="F26453" t="s">
        <v>294</v>
      </c>
      <c r="G26453">
        <v>1054.2</v>
      </c>
      <c r="H26453">
        <v>251121</v>
      </c>
      <c r="I26453">
        <v>4530</v>
      </c>
      <c r="J26453" t="s">
        <v>293</v>
      </c>
      <c r="K26453">
        <v>1054.2</v>
      </c>
      <c r="L26453">
        <v>214.2</v>
      </c>
      <c r="M26453">
        <v>14990</v>
      </c>
      <c r="N26453" t="s">
        <v>85</v>
      </c>
      <c r="O26453">
        <v>251203</v>
      </c>
      <c r="P26453">
        <v>840</v>
      </c>
    </row>
    <row r="26454" spans="1:16" x14ac:dyDescent="0.25">
      <c r="A26454" t="s">
        <v>3296</v>
      </c>
      <c r="B26454" t="s">
        <v>2931</v>
      </c>
      <c r="C26454">
        <v>16296</v>
      </c>
      <c r="D26454" t="str">
        <f>"0125007749  "</f>
        <v xml:space="preserve">0125007749  </v>
      </c>
      <c r="E26454" t="s">
        <v>292</v>
      </c>
      <c r="F26454" t="s">
        <v>294</v>
      </c>
      <c r="G26454">
        <v>263.55</v>
      </c>
      <c r="H26454">
        <v>251126</v>
      </c>
      <c r="I26454">
        <v>4530</v>
      </c>
      <c r="J26454" t="s">
        <v>293</v>
      </c>
      <c r="K26454">
        <v>263.55</v>
      </c>
      <c r="L26454">
        <v>53.55</v>
      </c>
      <c r="M26454">
        <v>14990</v>
      </c>
      <c r="N26454" t="s">
        <v>85</v>
      </c>
      <c r="O26454">
        <v>251205</v>
      </c>
      <c r="P26454">
        <v>210</v>
      </c>
    </row>
    <row r="26455" spans="1:16" x14ac:dyDescent="0.25">
      <c r="A26455" t="s">
        <v>3296</v>
      </c>
      <c r="B26455" t="s">
        <v>2931</v>
      </c>
      <c r="C26455">
        <v>16447</v>
      </c>
      <c r="D26455" t="str">
        <f>"0125034265  "</f>
        <v xml:space="preserve">0125034265  </v>
      </c>
      <c r="E26455" t="s">
        <v>292</v>
      </c>
      <c r="F26455" t="s">
        <v>294</v>
      </c>
      <c r="G26455">
        <v>41.42</v>
      </c>
      <c r="H26455">
        <v>251128</v>
      </c>
      <c r="I26455">
        <v>4530</v>
      </c>
      <c r="J26455" t="s">
        <v>293</v>
      </c>
      <c r="K26455">
        <v>41.42</v>
      </c>
      <c r="L26455">
        <v>8.42</v>
      </c>
      <c r="M26455">
        <v>46555</v>
      </c>
      <c r="N26455" t="s">
        <v>103</v>
      </c>
      <c r="O26455">
        <v>251208</v>
      </c>
      <c r="P26455">
        <v>33</v>
      </c>
    </row>
    <row r="26456" spans="1:16" x14ac:dyDescent="0.25">
      <c r="A26456" t="s">
        <v>3296</v>
      </c>
      <c r="B26456" t="s">
        <v>2931</v>
      </c>
      <c r="C26456">
        <v>16750</v>
      </c>
      <c r="D26456" t="str">
        <f>"0125011005  "</f>
        <v xml:space="preserve">0125011005  </v>
      </c>
      <c r="E26456" t="s">
        <v>292</v>
      </c>
      <c r="F26456" t="s">
        <v>294</v>
      </c>
      <c r="G26456">
        <v>87.85</v>
      </c>
      <c r="H26456">
        <v>251127</v>
      </c>
      <c r="I26456">
        <v>4530</v>
      </c>
      <c r="J26456" t="s">
        <v>293</v>
      </c>
      <c r="K26456">
        <v>210.6</v>
      </c>
      <c r="L26456">
        <v>17.850000000000001</v>
      </c>
      <c r="M26456">
        <v>17523</v>
      </c>
      <c r="N26456" t="s">
        <v>138</v>
      </c>
      <c r="O26456">
        <v>251211</v>
      </c>
      <c r="P26456">
        <v>70</v>
      </c>
    </row>
    <row r="26457" spans="1:16" x14ac:dyDescent="0.25">
      <c r="A26457" t="s">
        <v>3296</v>
      </c>
      <c r="B26457" t="s">
        <v>2931</v>
      </c>
      <c r="C26457">
        <v>16769</v>
      </c>
      <c r="D26457" t="str">
        <f>"0125049002  "</f>
        <v xml:space="preserve">0125049002  </v>
      </c>
      <c r="E26457" t="s">
        <v>292</v>
      </c>
      <c r="F26457" t="s">
        <v>294</v>
      </c>
      <c r="G26457">
        <v>61.5</v>
      </c>
      <c r="H26457">
        <v>251202</v>
      </c>
      <c r="I26457">
        <v>4530</v>
      </c>
      <c r="J26457" t="s">
        <v>293</v>
      </c>
      <c r="K26457">
        <v>124.87</v>
      </c>
      <c r="L26457">
        <v>12.5</v>
      </c>
      <c r="M26457">
        <v>67522</v>
      </c>
      <c r="N26457" t="s">
        <v>121</v>
      </c>
      <c r="O26457">
        <v>251211</v>
      </c>
      <c r="P26457">
        <v>49</v>
      </c>
    </row>
    <row r="26458" spans="1:16" x14ac:dyDescent="0.25">
      <c r="A26458" t="s">
        <v>3296</v>
      </c>
      <c r="B26458" t="s">
        <v>2931</v>
      </c>
      <c r="C26458">
        <v>16770</v>
      </c>
      <c r="D26458" t="str">
        <f>"0125049001  "</f>
        <v xml:space="preserve">0125049001  </v>
      </c>
      <c r="E26458" t="s">
        <v>292</v>
      </c>
      <c r="F26458" t="s">
        <v>294</v>
      </c>
      <c r="G26458">
        <v>62.35</v>
      </c>
      <c r="H26458">
        <v>251202</v>
      </c>
      <c r="I26458">
        <v>4530</v>
      </c>
      <c r="J26458" t="s">
        <v>293</v>
      </c>
      <c r="K26458">
        <v>271.31</v>
      </c>
      <c r="L26458">
        <v>12.67</v>
      </c>
      <c r="M26458">
        <v>67554</v>
      </c>
      <c r="N26458" t="s">
        <v>317</v>
      </c>
      <c r="O26458">
        <v>251211</v>
      </c>
      <c r="P26458">
        <v>49.68</v>
      </c>
    </row>
    <row r="26459" spans="1:16" x14ac:dyDescent="0.25">
      <c r="A26459" t="s">
        <v>3296</v>
      </c>
      <c r="B26459" t="s">
        <v>2931</v>
      </c>
      <c r="C26459">
        <v>16817</v>
      </c>
      <c r="D26459" t="str">
        <f>"0125056100  "</f>
        <v xml:space="preserve">0125056100  </v>
      </c>
      <c r="E26459" t="s">
        <v>292</v>
      </c>
      <c r="F26459" t="s">
        <v>294</v>
      </c>
      <c r="G26459">
        <v>41.42</v>
      </c>
      <c r="H26459">
        <v>251204</v>
      </c>
      <c r="I26459">
        <v>4530</v>
      </c>
      <c r="J26459" t="s">
        <v>293</v>
      </c>
      <c r="K26459">
        <v>41.42</v>
      </c>
      <c r="L26459">
        <v>8.42</v>
      </c>
      <c r="M26459">
        <v>47522</v>
      </c>
      <c r="N26459" t="s">
        <v>106</v>
      </c>
      <c r="O26459">
        <v>251212</v>
      </c>
      <c r="P26459">
        <v>33</v>
      </c>
    </row>
    <row r="26460" spans="1:16" x14ac:dyDescent="0.25">
      <c r="A26460" t="s">
        <v>3296</v>
      </c>
      <c r="B26460" t="s">
        <v>2931</v>
      </c>
      <c r="C26460">
        <v>17662</v>
      </c>
      <c r="D26460" t="str">
        <f>"0125057107  "</f>
        <v xml:space="preserve">0125057107  </v>
      </c>
      <c r="E26460" t="s">
        <v>292</v>
      </c>
      <c r="F26460" t="s">
        <v>294</v>
      </c>
      <c r="G26460">
        <v>87.85</v>
      </c>
      <c r="H26460">
        <v>251204</v>
      </c>
      <c r="I26460">
        <v>4530</v>
      </c>
      <c r="J26460" t="s">
        <v>293</v>
      </c>
      <c r="K26460">
        <v>87.85</v>
      </c>
      <c r="L26460">
        <v>17.850000000000001</v>
      </c>
      <c r="M26460">
        <v>14990</v>
      </c>
      <c r="N26460" t="s">
        <v>85</v>
      </c>
      <c r="O26460">
        <v>251229</v>
      </c>
      <c r="P26460">
        <v>70</v>
      </c>
    </row>
    <row r="26461" spans="1:16" x14ac:dyDescent="0.25">
      <c r="A26461" t="s">
        <v>3296</v>
      </c>
      <c r="B26461" t="s">
        <v>2931</v>
      </c>
      <c r="C26461">
        <v>17798</v>
      </c>
      <c r="D26461" t="str">
        <f>"0125092664  "</f>
        <v xml:space="preserve">0125092664  </v>
      </c>
      <c r="E26461" t="s">
        <v>292</v>
      </c>
      <c r="F26461" t="s">
        <v>294</v>
      </c>
      <c r="G26461">
        <v>144.19999999999999</v>
      </c>
      <c r="H26461">
        <v>251215</v>
      </c>
      <c r="I26461">
        <v>4530</v>
      </c>
      <c r="J26461" t="s">
        <v>293</v>
      </c>
      <c r="K26461">
        <v>144.19999999999999</v>
      </c>
      <c r="L26461">
        <v>29.3</v>
      </c>
      <c r="M26461">
        <v>54422</v>
      </c>
      <c r="N26461" t="s">
        <v>49</v>
      </c>
      <c r="O26461">
        <v>251230</v>
      </c>
      <c r="P26461">
        <v>114.9</v>
      </c>
    </row>
    <row r="26462" spans="1:16" x14ac:dyDescent="0.25">
      <c r="A26462" t="s">
        <v>3296</v>
      </c>
      <c r="B26462" t="s">
        <v>2931</v>
      </c>
      <c r="C26462">
        <v>17804</v>
      </c>
      <c r="D26462" t="str">
        <f>"0125092666  "</f>
        <v xml:space="preserve">0125092666  </v>
      </c>
      <c r="E26462" t="s">
        <v>292</v>
      </c>
      <c r="F26462" t="s">
        <v>294</v>
      </c>
      <c r="G26462">
        <v>130.52000000000001</v>
      </c>
      <c r="H26462">
        <v>251215</v>
      </c>
      <c r="I26462">
        <v>4530</v>
      </c>
      <c r="J26462" t="s">
        <v>293</v>
      </c>
      <c r="K26462">
        <v>130.52000000000001</v>
      </c>
      <c r="L26462">
        <v>26.52</v>
      </c>
      <c r="M26462">
        <v>56564</v>
      </c>
      <c r="N26462" t="s">
        <v>56</v>
      </c>
      <c r="O26462">
        <v>251230</v>
      </c>
      <c r="P26462">
        <v>104</v>
      </c>
    </row>
    <row r="26463" spans="1:16" x14ac:dyDescent="0.25">
      <c r="A26463" t="s">
        <v>3296</v>
      </c>
      <c r="B26463" t="s">
        <v>2931</v>
      </c>
      <c r="C26463">
        <v>17805</v>
      </c>
      <c r="D26463" t="str">
        <f>"0125092667  "</f>
        <v xml:space="preserve">0125092667  </v>
      </c>
      <c r="E26463" t="s">
        <v>292</v>
      </c>
      <c r="F26463" t="s">
        <v>294</v>
      </c>
      <c r="G26463">
        <v>884.41</v>
      </c>
      <c r="H26463">
        <v>251215</v>
      </c>
      <c r="I26463">
        <v>4530</v>
      </c>
      <c r="J26463" t="s">
        <v>293</v>
      </c>
      <c r="K26463">
        <v>1007.9</v>
      </c>
      <c r="L26463">
        <v>179.7</v>
      </c>
      <c r="M26463">
        <v>59501</v>
      </c>
      <c r="N26463" t="s">
        <v>62</v>
      </c>
      <c r="O26463">
        <v>251230</v>
      </c>
      <c r="P26463">
        <v>704.71</v>
      </c>
    </row>
    <row r="26464" spans="1:16" x14ac:dyDescent="0.25">
      <c r="A26464" t="s">
        <v>3296</v>
      </c>
      <c r="B26464" t="s">
        <v>2931</v>
      </c>
      <c r="C26464">
        <v>17874</v>
      </c>
      <c r="D26464" t="str">
        <f>"0125088330  "</f>
        <v xml:space="preserve">0125088330  </v>
      </c>
      <c r="E26464" t="s">
        <v>292</v>
      </c>
      <c r="F26464" t="s">
        <v>294</v>
      </c>
      <c r="G26464">
        <v>202.81</v>
      </c>
      <c r="H26464">
        <v>251212</v>
      </c>
      <c r="I26464">
        <v>4530</v>
      </c>
      <c r="J26464" t="s">
        <v>293</v>
      </c>
      <c r="K26464">
        <v>202.81</v>
      </c>
      <c r="L26464">
        <v>41.21</v>
      </c>
      <c r="M26464">
        <v>17711</v>
      </c>
      <c r="N26464" t="s">
        <v>155</v>
      </c>
      <c r="O26464">
        <v>251231</v>
      </c>
      <c r="P26464">
        <v>161.6</v>
      </c>
    </row>
    <row r="26465" spans="1:16" x14ac:dyDescent="0.25">
      <c r="A26465" t="s">
        <v>3296</v>
      </c>
      <c r="B26465" t="s">
        <v>2931</v>
      </c>
      <c r="C26465">
        <v>18105</v>
      </c>
      <c r="D26465" t="str">
        <f>"0125109599  "</f>
        <v xml:space="preserve">0125109599  </v>
      </c>
      <c r="E26465" t="s">
        <v>292</v>
      </c>
      <c r="F26465" t="s">
        <v>294</v>
      </c>
      <c r="G26465">
        <v>128.94999999999999</v>
      </c>
      <c r="H26465">
        <v>251218</v>
      </c>
      <c r="I26465">
        <v>4530</v>
      </c>
      <c r="J26465" t="s">
        <v>293</v>
      </c>
      <c r="K26465">
        <v>128.94999999999999</v>
      </c>
      <c r="L26465">
        <v>26.2</v>
      </c>
      <c r="M26465">
        <v>49501</v>
      </c>
      <c r="N26465" t="s">
        <v>110</v>
      </c>
      <c r="O26465">
        <v>260109</v>
      </c>
      <c r="P26465">
        <v>102.75</v>
      </c>
    </row>
    <row r="26466" spans="1:16" x14ac:dyDescent="0.25">
      <c r="A26466" t="s">
        <v>3296</v>
      </c>
      <c r="B26466" t="s">
        <v>2931</v>
      </c>
      <c r="C26466">
        <v>1902</v>
      </c>
      <c r="D26466" t="str">
        <f>"0123829850  "</f>
        <v xml:space="preserve">0123829850  </v>
      </c>
      <c r="E26466" t="s">
        <v>292</v>
      </c>
      <c r="F26466" t="s">
        <v>294</v>
      </c>
      <c r="G26466">
        <v>379.01</v>
      </c>
      <c r="H26466">
        <v>250211</v>
      </c>
      <c r="I26466">
        <v>4532</v>
      </c>
      <c r="J26466" t="s">
        <v>296</v>
      </c>
      <c r="K26466">
        <v>691.51</v>
      </c>
      <c r="L26466">
        <v>77.010000000000005</v>
      </c>
      <c r="M26466">
        <v>17526</v>
      </c>
      <c r="N26466" t="s">
        <v>141</v>
      </c>
      <c r="O26466">
        <v>250214</v>
      </c>
      <c r="P26466">
        <v>302</v>
      </c>
    </row>
    <row r="26467" spans="1:16" x14ac:dyDescent="0.25">
      <c r="A26467" t="s">
        <v>3296</v>
      </c>
      <c r="B26467" t="s">
        <v>2931</v>
      </c>
      <c r="C26467">
        <v>5190</v>
      </c>
      <c r="D26467" t="str">
        <f>"0124010265  "</f>
        <v xml:space="preserve">0124010265  </v>
      </c>
      <c r="E26467" t="s">
        <v>292</v>
      </c>
      <c r="F26467" t="s">
        <v>294</v>
      </c>
      <c r="G26467">
        <v>972.35</v>
      </c>
      <c r="H26467">
        <v>250331</v>
      </c>
      <c r="I26467">
        <v>4532</v>
      </c>
      <c r="J26467" t="s">
        <v>296</v>
      </c>
      <c r="K26467">
        <v>972.35</v>
      </c>
      <c r="L26467">
        <v>197.57</v>
      </c>
      <c r="M26467">
        <v>59501</v>
      </c>
      <c r="N26467" t="s">
        <v>62</v>
      </c>
      <c r="O26467">
        <v>250417</v>
      </c>
      <c r="P26467">
        <v>774.78</v>
      </c>
    </row>
    <row r="26468" spans="1:16" x14ac:dyDescent="0.25">
      <c r="A26468" t="s">
        <v>3296</v>
      </c>
      <c r="B26468" t="s">
        <v>2931</v>
      </c>
      <c r="C26468">
        <v>5757</v>
      </c>
      <c r="D26468" t="str">
        <f>"0123949097  "</f>
        <v xml:space="preserve">0123949097  </v>
      </c>
      <c r="E26468" t="s">
        <v>292</v>
      </c>
      <c r="F26468" t="s">
        <v>294</v>
      </c>
      <c r="G26468">
        <v>203.81</v>
      </c>
      <c r="H26468">
        <v>250401</v>
      </c>
      <c r="I26468">
        <v>4532</v>
      </c>
      <c r="J26468" t="s">
        <v>296</v>
      </c>
      <c r="K26468">
        <v>234.43</v>
      </c>
      <c r="L26468">
        <v>41.41</v>
      </c>
      <c r="M26468">
        <v>59815</v>
      </c>
      <c r="N26468" t="s">
        <v>1001</v>
      </c>
      <c r="O26468">
        <v>250430</v>
      </c>
      <c r="P26468">
        <v>162.4</v>
      </c>
    </row>
    <row r="26469" spans="1:16" x14ac:dyDescent="0.25">
      <c r="A26469" t="s">
        <v>3296</v>
      </c>
      <c r="B26469" t="s">
        <v>2931</v>
      </c>
      <c r="C26469">
        <v>5858</v>
      </c>
      <c r="D26469" t="str">
        <f>"0124074468  "</f>
        <v xml:space="preserve">0124074468  </v>
      </c>
      <c r="E26469" t="s">
        <v>292</v>
      </c>
      <c r="F26469" t="s">
        <v>294</v>
      </c>
      <c r="G26469">
        <v>181.27</v>
      </c>
      <c r="H26469">
        <v>250415</v>
      </c>
      <c r="I26469">
        <v>4532</v>
      </c>
      <c r="J26469" t="s">
        <v>296</v>
      </c>
      <c r="K26469">
        <v>181.27</v>
      </c>
      <c r="L26469">
        <v>36.83</v>
      </c>
      <c r="M26469">
        <v>59504</v>
      </c>
      <c r="N26469" t="s">
        <v>193</v>
      </c>
      <c r="O26469">
        <v>250505</v>
      </c>
      <c r="P26469">
        <v>144.44</v>
      </c>
    </row>
    <row r="26470" spans="1:16" x14ac:dyDescent="0.25">
      <c r="A26470" t="s">
        <v>3296</v>
      </c>
      <c r="B26470" t="s">
        <v>2931</v>
      </c>
      <c r="C26470">
        <v>6092</v>
      </c>
      <c r="D26470" t="str">
        <f>"0095500025  "</f>
        <v xml:space="preserve">0095500025  </v>
      </c>
      <c r="E26470" t="s">
        <v>292</v>
      </c>
      <c r="F26470" t="s">
        <v>294</v>
      </c>
      <c r="G26470">
        <v>-193.27</v>
      </c>
      <c r="H26470">
        <v>250411</v>
      </c>
      <c r="I26470">
        <v>4532</v>
      </c>
      <c r="J26470" t="s">
        <v>296</v>
      </c>
      <c r="K26470">
        <v>-193.27</v>
      </c>
      <c r="L26470">
        <v>-39.270000000000003</v>
      </c>
      <c r="M26470">
        <v>59501</v>
      </c>
      <c r="N26470" t="s">
        <v>62</v>
      </c>
      <c r="O26470">
        <v>250508</v>
      </c>
      <c r="P26470">
        <v>-154</v>
      </c>
    </row>
    <row r="26471" spans="1:16" x14ac:dyDescent="0.25">
      <c r="A26471" t="s">
        <v>3296</v>
      </c>
      <c r="B26471" t="s">
        <v>2931</v>
      </c>
      <c r="C26471">
        <v>6579</v>
      </c>
      <c r="D26471" t="str">
        <f>"0124132509  "</f>
        <v xml:space="preserve">0124132509  </v>
      </c>
      <c r="E26471" t="s">
        <v>292</v>
      </c>
      <c r="F26471" t="s">
        <v>294</v>
      </c>
      <c r="G26471">
        <v>124.24</v>
      </c>
      <c r="H26471">
        <v>250430</v>
      </c>
      <c r="I26471">
        <v>4532</v>
      </c>
      <c r="J26471" t="s">
        <v>296</v>
      </c>
      <c r="K26471">
        <v>449.83</v>
      </c>
      <c r="L26471">
        <v>25.24</v>
      </c>
      <c r="M26471">
        <v>56559</v>
      </c>
      <c r="N26471" t="s">
        <v>51</v>
      </c>
      <c r="O26471">
        <v>250514</v>
      </c>
      <c r="P26471">
        <v>99</v>
      </c>
    </row>
    <row r="26472" spans="1:16" x14ac:dyDescent="0.25">
      <c r="A26472" t="s">
        <v>3296</v>
      </c>
      <c r="B26472" t="s">
        <v>2931</v>
      </c>
      <c r="C26472">
        <v>8249</v>
      </c>
      <c r="D26472" t="str">
        <f>"0124208849  "</f>
        <v xml:space="preserve">0124208849  </v>
      </c>
      <c r="E26472" t="s">
        <v>292</v>
      </c>
      <c r="F26472" t="s">
        <v>294</v>
      </c>
      <c r="G26472">
        <v>29.67</v>
      </c>
      <c r="H26472">
        <v>250519</v>
      </c>
      <c r="I26472">
        <v>4532</v>
      </c>
      <c r="J26472" t="s">
        <v>296</v>
      </c>
      <c r="K26472">
        <v>143.19999999999999</v>
      </c>
      <c r="L26472">
        <v>6.03</v>
      </c>
      <c r="M26472">
        <v>17737</v>
      </c>
      <c r="N26472" t="s">
        <v>156</v>
      </c>
      <c r="O26472">
        <v>250612</v>
      </c>
      <c r="P26472">
        <v>23.64</v>
      </c>
    </row>
    <row r="26473" spans="1:16" x14ac:dyDescent="0.25">
      <c r="A26473" t="s">
        <v>3296</v>
      </c>
      <c r="B26473" t="s">
        <v>2931</v>
      </c>
      <c r="C26473">
        <v>8369</v>
      </c>
      <c r="D26473" t="str">
        <f>"0124216810  "</f>
        <v xml:space="preserve">0124216810  </v>
      </c>
      <c r="E26473" t="s">
        <v>292</v>
      </c>
      <c r="F26473" t="s">
        <v>294</v>
      </c>
      <c r="G26473">
        <v>244.78</v>
      </c>
      <c r="H26473">
        <v>250521</v>
      </c>
      <c r="I26473">
        <v>4532</v>
      </c>
      <c r="J26473" t="s">
        <v>296</v>
      </c>
      <c r="K26473">
        <v>244.78</v>
      </c>
      <c r="L26473">
        <v>49.74</v>
      </c>
      <c r="M26473">
        <v>17711</v>
      </c>
      <c r="N26473" t="s">
        <v>155</v>
      </c>
      <c r="O26473">
        <v>250613</v>
      </c>
      <c r="P26473">
        <v>195.04</v>
      </c>
    </row>
    <row r="26474" spans="1:16" x14ac:dyDescent="0.25">
      <c r="A26474" t="s">
        <v>3296</v>
      </c>
      <c r="B26474" t="s">
        <v>2931</v>
      </c>
      <c r="C26474">
        <v>10579</v>
      </c>
      <c r="D26474" t="str">
        <f>"0124531506  "</f>
        <v xml:space="preserve">0124531506  </v>
      </c>
      <c r="E26474" t="s">
        <v>292</v>
      </c>
      <c r="F26474" t="s">
        <v>294</v>
      </c>
      <c r="G26474">
        <v>742.76</v>
      </c>
      <c r="H26474">
        <v>250807</v>
      </c>
      <c r="I26474">
        <v>4532</v>
      </c>
      <c r="J26474" t="s">
        <v>296</v>
      </c>
      <c r="K26474">
        <v>742.76</v>
      </c>
      <c r="L26474">
        <v>150.91999999999999</v>
      </c>
      <c r="M26474">
        <v>17806</v>
      </c>
      <c r="N26474" t="s">
        <v>22</v>
      </c>
      <c r="O26474">
        <v>250820</v>
      </c>
      <c r="P26474">
        <v>591.84</v>
      </c>
    </row>
    <row r="26475" spans="1:16" x14ac:dyDescent="0.25">
      <c r="A26475" t="s">
        <v>3296</v>
      </c>
      <c r="B26475" t="s">
        <v>2931</v>
      </c>
      <c r="C26475">
        <v>10633</v>
      </c>
      <c r="D26475" t="str">
        <f>"0124537930  "</f>
        <v xml:space="preserve">0124537930  </v>
      </c>
      <c r="E26475" t="s">
        <v>292</v>
      </c>
      <c r="F26475" t="s">
        <v>294</v>
      </c>
      <c r="G26475">
        <v>173.99</v>
      </c>
      <c r="H26475">
        <v>250808</v>
      </c>
      <c r="I26475">
        <v>4532</v>
      </c>
      <c r="J26475" t="s">
        <v>296</v>
      </c>
      <c r="K26475">
        <v>173.99</v>
      </c>
      <c r="L26475">
        <v>35.35</v>
      </c>
      <c r="M26475">
        <v>47522</v>
      </c>
      <c r="N26475" t="s">
        <v>106</v>
      </c>
      <c r="O26475">
        <v>250821</v>
      </c>
      <c r="P26475">
        <v>138.63999999999999</v>
      </c>
    </row>
    <row r="26476" spans="1:16" x14ac:dyDescent="0.25">
      <c r="A26476" t="s">
        <v>3296</v>
      </c>
      <c r="B26476" t="s">
        <v>2931</v>
      </c>
      <c r="C26476">
        <v>10664</v>
      </c>
      <c r="D26476" t="str">
        <f>"0124540438  "</f>
        <v xml:space="preserve">0124540438  </v>
      </c>
      <c r="E26476" t="s">
        <v>292</v>
      </c>
      <c r="F26476" t="s">
        <v>294</v>
      </c>
      <c r="G26476">
        <v>300.2</v>
      </c>
      <c r="H26476">
        <v>250811</v>
      </c>
      <c r="I26476">
        <v>4532</v>
      </c>
      <c r="J26476" t="s">
        <v>296</v>
      </c>
      <c r="K26476">
        <v>300.2</v>
      </c>
      <c r="L26476">
        <v>61</v>
      </c>
      <c r="M26476">
        <v>17711</v>
      </c>
      <c r="N26476" t="s">
        <v>155</v>
      </c>
      <c r="O26476">
        <v>250821</v>
      </c>
      <c r="P26476">
        <v>239.2</v>
      </c>
    </row>
    <row r="26477" spans="1:16" x14ac:dyDescent="0.25">
      <c r="A26477" t="s">
        <v>3296</v>
      </c>
      <c r="B26477" t="s">
        <v>2931</v>
      </c>
      <c r="C26477">
        <v>10694</v>
      </c>
      <c r="D26477" t="str">
        <f>"0124550511  "</f>
        <v xml:space="preserve">0124550511  </v>
      </c>
      <c r="E26477" t="s">
        <v>292</v>
      </c>
      <c r="F26477" t="s">
        <v>294</v>
      </c>
      <c r="G26477">
        <v>114.33</v>
      </c>
      <c r="H26477">
        <v>250813</v>
      </c>
      <c r="I26477">
        <v>4532</v>
      </c>
      <c r="J26477" t="s">
        <v>296</v>
      </c>
      <c r="K26477">
        <v>114.33</v>
      </c>
      <c r="L26477">
        <v>23.23</v>
      </c>
      <c r="M26477">
        <v>17711</v>
      </c>
      <c r="N26477" t="s">
        <v>155</v>
      </c>
      <c r="O26477">
        <v>250821</v>
      </c>
      <c r="P26477">
        <v>91.1</v>
      </c>
    </row>
    <row r="26478" spans="1:16" x14ac:dyDescent="0.25">
      <c r="A26478" t="s">
        <v>3296</v>
      </c>
      <c r="B26478" t="s">
        <v>2931</v>
      </c>
      <c r="C26478">
        <v>10706</v>
      </c>
      <c r="D26478" t="str">
        <f>"0124550825  "</f>
        <v xml:space="preserve">0124550825  </v>
      </c>
      <c r="E26478" t="s">
        <v>292</v>
      </c>
      <c r="F26478" t="s">
        <v>294</v>
      </c>
      <c r="G26478">
        <v>165.38</v>
      </c>
      <c r="H26478">
        <v>250814</v>
      </c>
      <c r="I26478">
        <v>4532</v>
      </c>
      <c r="J26478" t="s">
        <v>296</v>
      </c>
      <c r="K26478">
        <v>165.38</v>
      </c>
      <c r="L26478">
        <v>33.6</v>
      </c>
      <c r="M26478">
        <v>17809</v>
      </c>
      <c r="N26478" t="s">
        <v>25</v>
      </c>
      <c r="O26478">
        <v>250821</v>
      </c>
      <c r="P26478">
        <v>131.78</v>
      </c>
    </row>
    <row r="26479" spans="1:16" x14ac:dyDescent="0.25">
      <c r="A26479" t="s">
        <v>3296</v>
      </c>
      <c r="B26479" t="s">
        <v>2931</v>
      </c>
      <c r="C26479">
        <v>10720</v>
      </c>
      <c r="D26479" t="str">
        <f>"0124557617  "</f>
        <v xml:space="preserve">0124557617  </v>
      </c>
      <c r="E26479" t="s">
        <v>292</v>
      </c>
      <c r="F26479" t="s">
        <v>294</v>
      </c>
      <c r="G26479">
        <v>1340.52</v>
      </c>
      <c r="H26479">
        <v>250815</v>
      </c>
      <c r="I26479">
        <v>4532</v>
      </c>
      <c r="J26479" t="s">
        <v>296</v>
      </c>
      <c r="K26479">
        <v>1340.52</v>
      </c>
      <c r="L26479">
        <v>272.38</v>
      </c>
      <c r="M26479">
        <v>56562</v>
      </c>
      <c r="N26479" t="s">
        <v>54</v>
      </c>
      <c r="O26479">
        <v>250821</v>
      </c>
      <c r="P26479">
        <v>1068.1400000000001</v>
      </c>
    </row>
    <row r="26480" spans="1:16" x14ac:dyDescent="0.25">
      <c r="A26480" t="s">
        <v>3296</v>
      </c>
      <c r="B26480" t="s">
        <v>2931</v>
      </c>
      <c r="C26480">
        <v>10725</v>
      </c>
      <c r="D26480" t="str">
        <f t="shared" ref="D26480:D26488" si="567">"0124557620  "</f>
        <v xml:space="preserve">0124557620  </v>
      </c>
      <c r="E26480" t="s">
        <v>292</v>
      </c>
      <c r="F26480" t="s">
        <v>294</v>
      </c>
      <c r="G26480">
        <v>44.14</v>
      </c>
      <c r="H26480">
        <v>250815</v>
      </c>
      <c r="I26480">
        <v>4532</v>
      </c>
      <c r="J26480" t="s">
        <v>296</v>
      </c>
      <c r="K26480">
        <v>1921.58</v>
      </c>
      <c r="L26480">
        <v>8.9700000000000006</v>
      </c>
      <c r="M26480">
        <v>54451</v>
      </c>
      <c r="N26480" t="s">
        <v>218</v>
      </c>
      <c r="O26480">
        <v>250821</v>
      </c>
      <c r="P26480">
        <v>35.17</v>
      </c>
    </row>
    <row r="26481" spans="1:16" x14ac:dyDescent="0.25">
      <c r="A26481" t="s">
        <v>3296</v>
      </c>
      <c r="B26481" t="s">
        <v>2931</v>
      </c>
      <c r="C26481">
        <v>10725</v>
      </c>
      <c r="D26481" t="str">
        <f t="shared" si="567"/>
        <v xml:space="preserve">0124557620  </v>
      </c>
      <c r="E26481" t="s">
        <v>292</v>
      </c>
      <c r="F26481" t="s">
        <v>294</v>
      </c>
      <c r="G26481">
        <v>300.2</v>
      </c>
      <c r="H26481">
        <v>250815</v>
      </c>
      <c r="I26481">
        <v>4532</v>
      </c>
      <c r="J26481" t="s">
        <v>296</v>
      </c>
      <c r="K26481">
        <v>1921.58</v>
      </c>
      <c r="L26481">
        <v>61</v>
      </c>
      <c r="M26481">
        <v>56522</v>
      </c>
      <c r="N26481" t="s">
        <v>68</v>
      </c>
      <c r="O26481">
        <v>250821</v>
      </c>
      <c r="P26481">
        <v>239.2</v>
      </c>
    </row>
    <row r="26482" spans="1:16" x14ac:dyDescent="0.25">
      <c r="A26482" t="s">
        <v>3296</v>
      </c>
      <c r="B26482" t="s">
        <v>2931</v>
      </c>
      <c r="C26482">
        <v>10725</v>
      </c>
      <c r="D26482" t="str">
        <f t="shared" si="567"/>
        <v xml:space="preserve">0124557620  </v>
      </c>
      <c r="E26482" t="s">
        <v>292</v>
      </c>
      <c r="F26482" t="s">
        <v>294</v>
      </c>
      <c r="G26482">
        <v>245.92</v>
      </c>
      <c r="H26482">
        <v>250815</v>
      </c>
      <c r="I26482">
        <v>4532</v>
      </c>
      <c r="J26482" t="s">
        <v>296</v>
      </c>
      <c r="K26482">
        <v>1921.58</v>
      </c>
      <c r="L26482">
        <v>49.97</v>
      </c>
      <c r="M26482">
        <v>56558</v>
      </c>
      <c r="N26482" t="s">
        <v>50</v>
      </c>
      <c r="O26482">
        <v>250821</v>
      </c>
      <c r="P26482">
        <v>195.95</v>
      </c>
    </row>
    <row r="26483" spans="1:16" x14ac:dyDescent="0.25">
      <c r="A26483" t="s">
        <v>3296</v>
      </c>
      <c r="B26483" t="s">
        <v>2931</v>
      </c>
      <c r="C26483">
        <v>10725</v>
      </c>
      <c r="D26483" t="str">
        <f t="shared" si="567"/>
        <v xml:space="preserve">0124557620  </v>
      </c>
      <c r="E26483" t="s">
        <v>292</v>
      </c>
      <c r="F26483" t="s">
        <v>294</v>
      </c>
      <c r="G26483">
        <v>94.75</v>
      </c>
      <c r="H26483">
        <v>250815</v>
      </c>
      <c r="I26483">
        <v>4532</v>
      </c>
      <c r="J26483" t="s">
        <v>296</v>
      </c>
      <c r="K26483">
        <v>1921.58</v>
      </c>
      <c r="L26483">
        <v>19.25</v>
      </c>
      <c r="M26483">
        <v>56560</v>
      </c>
      <c r="N26483" t="s">
        <v>52</v>
      </c>
      <c r="O26483">
        <v>250821</v>
      </c>
      <c r="P26483">
        <v>75.5</v>
      </c>
    </row>
    <row r="26484" spans="1:16" x14ac:dyDescent="0.25">
      <c r="A26484" t="s">
        <v>3296</v>
      </c>
      <c r="B26484" t="s">
        <v>2931</v>
      </c>
      <c r="C26484">
        <v>10725</v>
      </c>
      <c r="D26484" t="str">
        <f t="shared" si="567"/>
        <v xml:space="preserve">0124557620  </v>
      </c>
      <c r="E26484" t="s">
        <v>292</v>
      </c>
      <c r="F26484" t="s">
        <v>294</v>
      </c>
      <c r="G26484">
        <v>300.2</v>
      </c>
      <c r="H26484">
        <v>250815</v>
      </c>
      <c r="I26484">
        <v>4532</v>
      </c>
      <c r="J26484" t="s">
        <v>296</v>
      </c>
      <c r="K26484">
        <v>1921.58</v>
      </c>
      <c r="L26484">
        <v>61</v>
      </c>
      <c r="M26484">
        <v>56562</v>
      </c>
      <c r="N26484" t="s">
        <v>54</v>
      </c>
      <c r="O26484">
        <v>250821</v>
      </c>
      <c r="P26484">
        <v>239.2</v>
      </c>
    </row>
    <row r="26485" spans="1:16" x14ac:dyDescent="0.25">
      <c r="A26485" t="s">
        <v>3296</v>
      </c>
      <c r="B26485" t="s">
        <v>2931</v>
      </c>
      <c r="C26485">
        <v>10725</v>
      </c>
      <c r="D26485" t="str">
        <f t="shared" si="567"/>
        <v xml:space="preserve">0124557620  </v>
      </c>
      <c r="E26485" t="s">
        <v>292</v>
      </c>
      <c r="F26485" t="s">
        <v>294</v>
      </c>
      <c r="G26485">
        <v>94.75</v>
      </c>
      <c r="H26485">
        <v>250815</v>
      </c>
      <c r="I26485">
        <v>4532</v>
      </c>
      <c r="J26485" t="s">
        <v>296</v>
      </c>
      <c r="K26485">
        <v>1921.58</v>
      </c>
      <c r="L26485">
        <v>19.25</v>
      </c>
      <c r="M26485">
        <v>56563</v>
      </c>
      <c r="N26485" t="s">
        <v>55</v>
      </c>
      <c r="O26485">
        <v>250821</v>
      </c>
      <c r="P26485">
        <v>75.5</v>
      </c>
    </row>
    <row r="26486" spans="1:16" x14ac:dyDescent="0.25">
      <c r="A26486" t="s">
        <v>3296</v>
      </c>
      <c r="B26486" t="s">
        <v>2931</v>
      </c>
      <c r="C26486">
        <v>10725</v>
      </c>
      <c r="D26486" t="str">
        <f t="shared" si="567"/>
        <v xml:space="preserve">0124557620  </v>
      </c>
      <c r="E26486" t="s">
        <v>292</v>
      </c>
      <c r="F26486" t="s">
        <v>294</v>
      </c>
      <c r="G26486">
        <v>131</v>
      </c>
      <c r="H26486">
        <v>250815</v>
      </c>
      <c r="I26486">
        <v>4532</v>
      </c>
      <c r="J26486" t="s">
        <v>296</v>
      </c>
      <c r="K26486">
        <v>1921.58</v>
      </c>
      <c r="L26486">
        <v>26.62</v>
      </c>
      <c r="M26486">
        <v>56564</v>
      </c>
      <c r="N26486" t="s">
        <v>56</v>
      </c>
      <c r="O26486">
        <v>250821</v>
      </c>
      <c r="P26486">
        <v>104.38</v>
      </c>
    </row>
    <row r="26487" spans="1:16" x14ac:dyDescent="0.25">
      <c r="A26487" t="s">
        <v>3296</v>
      </c>
      <c r="B26487" t="s">
        <v>2931</v>
      </c>
      <c r="C26487">
        <v>10725</v>
      </c>
      <c r="D26487" t="str">
        <f t="shared" si="567"/>
        <v xml:space="preserve">0124557620  </v>
      </c>
      <c r="E26487" t="s">
        <v>292</v>
      </c>
      <c r="F26487" t="s">
        <v>294</v>
      </c>
      <c r="G26487">
        <v>47.84</v>
      </c>
      <c r="H26487">
        <v>250815</v>
      </c>
      <c r="I26487">
        <v>4532</v>
      </c>
      <c r="J26487" t="s">
        <v>296</v>
      </c>
      <c r="K26487">
        <v>1921.58</v>
      </c>
      <c r="L26487">
        <v>9.7200000000000006</v>
      </c>
      <c r="M26487">
        <v>59702</v>
      </c>
      <c r="N26487" t="s">
        <v>45</v>
      </c>
      <c r="O26487">
        <v>250821</v>
      </c>
      <c r="P26487">
        <v>38.119999999999997</v>
      </c>
    </row>
    <row r="26488" spans="1:16" x14ac:dyDescent="0.25">
      <c r="A26488" t="s">
        <v>3296</v>
      </c>
      <c r="B26488" t="s">
        <v>2931</v>
      </c>
      <c r="C26488">
        <v>10725</v>
      </c>
      <c r="D26488" t="str">
        <f t="shared" si="567"/>
        <v xml:space="preserve">0124557620  </v>
      </c>
      <c r="E26488" t="s">
        <v>292</v>
      </c>
      <c r="F26488" t="s">
        <v>294</v>
      </c>
      <c r="G26488">
        <v>47.83</v>
      </c>
      <c r="H26488">
        <v>250815</v>
      </c>
      <c r="I26488">
        <v>4532</v>
      </c>
      <c r="J26488" t="s">
        <v>296</v>
      </c>
      <c r="K26488">
        <v>1921.58</v>
      </c>
      <c r="L26488">
        <v>9.7200000000000006</v>
      </c>
      <c r="M26488">
        <v>59704</v>
      </c>
      <c r="N26488" t="s">
        <v>46</v>
      </c>
      <c r="O26488">
        <v>250821</v>
      </c>
      <c r="P26488">
        <v>38.11</v>
      </c>
    </row>
    <row r="26489" spans="1:16" x14ac:dyDescent="0.25">
      <c r="A26489" t="s">
        <v>3296</v>
      </c>
      <c r="B26489" t="s">
        <v>2931</v>
      </c>
      <c r="C26489">
        <v>10772</v>
      </c>
      <c r="D26489" t="str">
        <f>"0124578558  "</f>
        <v xml:space="preserve">0124578558  </v>
      </c>
      <c r="E26489" t="s">
        <v>292</v>
      </c>
      <c r="F26489" t="s">
        <v>294</v>
      </c>
      <c r="G26489">
        <v>232.93</v>
      </c>
      <c r="H26489">
        <v>250820</v>
      </c>
      <c r="I26489">
        <v>4532</v>
      </c>
      <c r="J26489" t="s">
        <v>296</v>
      </c>
      <c r="K26489">
        <v>232.93</v>
      </c>
      <c r="L26489">
        <v>47.33</v>
      </c>
      <c r="M26489">
        <v>17974</v>
      </c>
      <c r="N26489" t="s">
        <v>153</v>
      </c>
      <c r="O26489">
        <v>250822</v>
      </c>
      <c r="P26489">
        <v>185.6</v>
      </c>
    </row>
    <row r="26490" spans="1:16" x14ac:dyDescent="0.25">
      <c r="A26490" t="s">
        <v>3296</v>
      </c>
      <c r="B26490" t="s">
        <v>2931</v>
      </c>
      <c r="C26490">
        <v>10801</v>
      </c>
      <c r="D26490" t="str">
        <f>"0124550958  "</f>
        <v xml:space="preserve">0124550958  </v>
      </c>
      <c r="E26490" t="s">
        <v>292</v>
      </c>
      <c r="F26490" t="s">
        <v>294</v>
      </c>
      <c r="G26490">
        <v>18.5</v>
      </c>
      <c r="H26490">
        <v>250814</v>
      </c>
      <c r="I26490">
        <v>4532</v>
      </c>
      <c r="J26490" t="s">
        <v>296</v>
      </c>
      <c r="K26490">
        <v>444.02</v>
      </c>
      <c r="L26490">
        <v>3.76</v>
      </c>
      <c r="M26490">
        <v>13540</v>
      </c>
      <c r="N26490" t="s">
        <v>131</v>
      </c>
      <c r="O26490">
        <v>250822</v>
      </c>
      <c r="P26490">
        <v>14.74</v>
      </c>
    </row>
    <row r="26491" spans="1:16" x14ac:dyDescent="0.25">
      <c r="A26491" t="s">
        <v>3296</v>
      </c>
      <c r="B26491" t="s">
        <v>2931</v>
      </c>
      <c r="C26491">
        <v>10801</v>
      </c>
      <c r="D26491" t="str">
        <f>"0124550958  "</f>
        <v xml:space="preserve">0124550958  </v>
      </c>
      <c r="E26491" t="s">
        <v>292</v>
      </c>
      <c r="F26491" t="s">
        <v>294</v>
      </c>
      <c r="G26491">
        <v>87.85</v>
      </c>
      <c r="H26491">
        <v>250814</v>
      </c>
      <c r="I26491">
        <v>4532</v>
      </c>
      <c r="J26491" t="s">
        <v>296</v>
      </c>
      <c r="K26491">
        <v>444.02</v>
      </c>
      <c r="L26491">
        <v>17.850000000000001</v>
      </c>
      <c r="M26491">
        <v>17523</v>
      </c>
      <c r="N26491" t="s">
        <v>138</v>
      </c>
      <c r="O26491">
        <v>250822</v>
      </c>
      <c r="P26491">
        <v>70</v>
      </c>
    </row>
    <row r="26492" spans="1:16" x14ac:dyDescent="0.25">
      <c r="A26492" t="s">
        <v>3296</v>
      </c>
      <c r="B26492" t="s">
        <v>2931</v>
      </c>
      <c r="C26492">
        <v>10801</v>
      </c>
      <c r="D26492" t="str">
        <f>"0124550958  "</f>
        <v xml:space="preserve">0124550958  </v>
      </c>
      <c r="E26492" t="s">
        <v>292</v>
      </c>
      <c r="F26492" t="s">
        <v>294</v>
      </c>
      <c r="G26492">
        <v>126.13</v>
      </c>
      <c r="H26492">
        <v>250814</v>
      </c>
      <c r="I26492">
        <v>4532</v>
      </c>
      <c r="J26492" t="s">
        <v>296</v>
      </c>
      <c r="K26492">
        <v>444.02</v>
      </c>
      <c r="L26492">
        <v>25.63</v>
      </c>
      <c r="M26492">
        <v>17950</v>
      </c>
      <c r="N26492" t="s">
        <v>132</v>
      </c>
      <c r="O26492">
        <v>250822</v>
      </c>
      <c r="P26492">
        <v>100.5</v>
      </c>
    </row>
    <row r="26493" spans="1:16" x14ac:dyDescent="0.25">
      <c r="A26493" t="s">
        <v>3296</v>
      </c>
      <c r="B26493" t="s">
        <v>2931</v>
      </c>
      <c r="C26493">
        <v>10801</v>
      </c>
      <c r="D26493" t="str">
        <f>"0124550958  "</f>
        <v xml:space="preserve">0124550958  </v>
      </c>
      <c r="E26493" t="s">
        <v>292</v>
      </c>
      <c r="F26493" t="s">
        <v>294</v>
      </c>
      <c r="G26493">
        <v>23.55</v>
      </c>
      <c r="H26493">
        <v>250814</v>
      </c>
      <c r="I26493">
        <v>4532</v>
      </c>
      <c r="J26493" t="s">
        <v>296</v>
      </c>
      <c r="K26493">
        <v>444.02</v>
      </c>
      <c r="L26493">
        <v>4.79</v>
      </c>
      <c r="M26493">
        <v>17956</v>
      </c>
      <c r="N26493" t="s">
        <v>170</v>
      </c>
      <c r="O26493">
        <v>250822</v>
      </c>
      <c r="P26493">
        <v>18.760000000000002</v>
      </c>
    </row>
    <row r="26494" spans="1:16" x14ac:dyDescent="0.25">
      <c r="A26494" t="s">
        <v>3296</v>
      </c>
      <c r="B26494" t="s">
        <v>2931</v>
      </c>
      <c r="C26494">
        <v>10867</v>
      </c>
      <c r="D26494" t="str">
        <f>"0124580451  "</f>
        <v xml:space="preserve">0124580451  </v>
      </c>
      <c r="E26494" t="s">
        <v>292</v>
      </c>
      <c r="F26494" t="s">
        <v>294</v>
      </c>
      <c r="G26494">
        <v>186.94</v>
      </c>
      <c r="H26494">
        <v>250821</v>
      </c>
      <c r="I26494">
        <v>4532</v>
      </c>
      <c r="J26494" t="s">
        <v>296</v>
      </c>
      <c r="K26494">
        <v>306.26</v>
      </c>
      <c r="L26494">
        <v>37.979999999999997</v>
      </c>
      <c r="M26494">
        <v>17802</v>
      </c>
      <c r="N26494" t="s">
        <v>18</v>
      </c>
      <c r="O26494">
        <v>250825</v>
      </c>
      <c r="P26494">
        <v>148.96</v>
      </c>
    </row>
    <row r="26495" spans="1:16" x14ac:dyDescent="0.25">
      <c r="A26495" t="s">
        <v>3296</v>
      </c>
      <c r="B26495" t="s">
        <v>2931</v>
      </c>
      <c r="C26495">
        <v>10912</v>
      </c>
      <c r="D26495" t="str">
        <f>"0124521475  "</f>
        <v xml:space="preserve">0124521475  </v>
      </c>
      <c r="E26495" t="s">
        <v>292</v>
      </c>
      <c r="F26495" t="s">
        <v>294</v>
      </c>
      <c r="G26495">
        <v>57.53</v>
      </c>
      <c r="H26495">
        <v>250805</v>
      </c>
      <c r="I26495">
        <v>4532</v>
      </c>
      <c r="J26495" t="s">
        <v>296</v>
      </c>
      <c r="K26495">
        <v>116.6</v>
      </c>
      <c r="L26495">
        <v>11.69</v>
      </c>
      <c r="M26495">
        <v>17521</v>
      </c>
      <c r="N26495" t="s">
        <v>136</v>
      </c>
      <c r="O26495">
        <v>250827</v>
      </c>
      <c r="P26495">
        <v>45.84</v>
      </c>
    </row>
    <row r="26496" spans="1:16" x14ac:dyDescent="0.25">
      <c r="A26496" t="s">
        <v>3296</v>
      </c>
      <c r="B26496" t="s">
        <v>2931</v>
      </c>
      <c r="C26496">
        <v>10912</v>
      </c>
      <c r="D26496" t="str">
        <f>"0124521475  "</f>
        <v xml:space="preserve">0124521475  </v>
      </c>
      <c r="E26496" t="s">
        <v>292</v>
      </c>
      <c r="F26496" t="s">
        <v>294</v>
      </c>
      <c r="G26496">
        <v>59.07</v>
      </c>
      <c r="H26496">
        <v>250805</v>
      </c>
      <c r="I26496">
        <v>4532</v>
      </c>
      <c r="J26496" t="s">
        <v>296</v>
      </c>
      <c r="K26496">
        <v>116.6</v>
      </c>
      <c r="L26496">
        <v>12</v>
      </c>
      <c r="M26496">
        <v>17521</v>
      </c>
      <c r="N26496" t="s">
        <v>136</v>
      </c>
      <c r="O26496">
        <v>250827</v>
      </c>
      <c r="P26496">
        <v>47.07</v>
      </c>
    </row>
    <row r="26497" spans="1:16" x14ac:dyDescent="0.25">
      <c r="A26497" t="s">
        <v>3296</v>
      </c>
      <c r="B26497" t="s">
        <v>2931</v>
      </c>
      <c r="C26497">
        <v>10990</v>
      </c>
      <c r="D26497" t="str">
        <f>"0124550929  "</f>
        <v xml:space="preserve">0124550929  </v>
      </c>
      <c r="E26497" t="s">
        <v>292</v>
      </c>
      <c r="F26497" t="s">
        <v>294</v>
      </c>
      <c r="G26497">
        <v>114.33</v>
      </c>
      <c r="H26497">
        <v>250814</v>
      </c>
      <c r="I26497">
        <v>4532</v>
      </c>
      <c r="J26497" t="s">
        <v>296</v>
      </c>
      <c r="K26497">
        <v>773.83</v>
      </c>
      <c r="L26497">
        <v>23.23</v>
      </c>
      <c r="M26497">
        <v>44222</v>
      </c>
      <c r="N26497" t="s">
        <v>96</v>
      </c>
      <c r="O26497">
        <v>250828</v>
      </c>
      <c r="P26497">
        <v>91.1</v>
      </c>
    </row>
    <row r="26498" spans="1:16" x14ac:dyDescent="0.25">
      <c r="A26498" t="s">
        <v>3296</v>
      </c>
      <c r="B26498" t="s">
        <v>2931</v>
      </c>
      <c r="C26498">
        <v>10990</v>
      </c>
      <c r="D26498" t="str">
        <f>"0124550929  "</f>
        <v xml:space="preserve">0124550929  </v>
      </c>
      <c r="E26498" t="s">
        <v>292</v>
      </c>
      <c r="F26498" t="s">
        <v>294</v>
      </c>
      <c r="G26498">
        <v>87.85</v>
      </c>
      <c r="H26498">
        <v>250814</v>
      </c>
      <c r="I26498">
        <v>4532</v>
      </c>
      <c r="J26498" t="s">
        <v>296</v>
      </c>
      <c r="K26498">
        <v>773.83</v>
      </c>
      <c r="L26498">
        <v>17.850000000000001</v>
      </c>
      <c r="M26498">
        <v>49112</v>
      </c>
      <c r="N26498" t="s">
        <v>109</v>
      </c>
      <c r="O26498">
        <v>250828</v>
      </c>
      <c r="P26498">
        <v>70</v>
      </c>
    </row>
    <row r="26499" spans="1:16" x14ac:dyDescent="0.25">
      <c r="A26499" t="s">
        <v>3296</v>
      </c>
      <c r="B26499" t="s">
        <v>2931</v>
      </c>
      <c r="C26499">
        <v>10990</v>
      </c>
      <c r="D26499" t="str">
        <f>"0124550929  "</f>
        <v xml:space="preserve">0124550929  </v>
      </c>
      <c r="E26499" t="s">
        <v>292</v>
      </c>
      <c r="F26499" t="s">
        <v>294</v>
      </c>
      <c r="G26499">
        <v>571.65</v>
      </c>
      <c r="H26499">
        <v>250814</v>
      </c>
      <c r="I26499">
        <v>4532</v>
      </c>
      <c r="J26499" t="s">
        <v>296</v>
      </c>
      <c r="K26499">
        <v>773.83</v>
      </c>
      <c r="L26499">
        <v>116.15</v>
      </c>
      <c r="M26499">
        <v>49501</v>
      </c>
      <c r="N26499" t="s">
        <v>110</v>
      </c>
      <c r="O26499">
        <v>250828</v>
      </c>
      <c r="P26499">
        <v>455.5</v>
      </c>
    </row>
    <row r="26500" spans="1:16" x14ac:dyDescent="0.25">
      <c r="A26500" t="s">
        <v>3296</v>
      </c>
      <c r="B26500" t="s">
        <v>2931</v>
      </c>
      <c r="C26500">
        <v>11092</v>
      </c>
      <c r="D26500" t="str">
        <f>"0124600494  "</f>
        <v xml:space="preserve">0124600494  </v>
      </c>
      <c r="E26500" t="s">
        <v>292</v>
      </c>
      <c r="F26500" t="s">
        <v>294</v>
      </c>
      <c r="G26500">
        <v>158.63</v>
      </c>
      <c r="H26500">
        <v>250826</v>
      </c>
      <c r="I26500">
        <v>4532</v>
      </c>
      <c r="J26500" t="s">
        <v>296</v>
      </c>
      <c r="K26500">
        <v>158.63</v>
      </c>
      <c r="L26500">
        <v>32.229999999999997</v>
      </c>
      <c r="M26500">
        <v>17529</v>
      </c>
      <c r="N26500" t="s">
        <v>143</v>
      </c>
      <c r="O26500">
        <v>250829</v>
      </c>
      <c r="P26500">
        <v>126.4</v>
      </c>
    </row>
    <row r="26501" spans="1:16" x14ac:dyDescent="0.25">
      <c r="A26501" t="s">
        <v>3296</v>
      </c>
      <c r="B26501" t="s">
        <v>2931</v>
      </c>
      <c r="C26501">
        <v>11429</v>
      </c>
      <c r="D26501" t="str">
        <f>"0124542495  "</f>
        <v xml:space="preserve">0124542495  </v>
      </c>
      <c r="E26501" t="s">
        <v>292</v>
      </c>
      <c r="F26501" t="s">
        <v>294</v>
      </c>
      <c r="G26501">
        <v>300.2</v>
      </c>
      <c r="H26501">
        <v>250812</v>
      </c>
      <c r="I26501">
        <v>4532</v>
      </c>
      <c r="J26501" t="s">
        <v>296</v>
      </c>
      <c r="K26501">
        <v>1464.28</v>
      </c>
      <c r="L26501">
        <v>61</v>
      </c>
      <c r="M26501">
        <v>46554</v>
      </c>
      <c r="N26501" t="s">
        <v>102</v>
      </c>
      <c r="O26501">
        <v>250905</v>
      </c>
      <c r="P26501">
        <v>239.2</v>
      </c>
    </row>
    <row r="26502" spans="1:16" x14ac:dyDescent="0.25">
      <c r="A26502" t="s">
        <v>3296</v>
      </c>
      <c r="B26502" t="s">
        <v>2931</v>
      </c>
      <c r="C26502">
        <v>11429</v>
      </c>
      <c r="D26502" t="str">
        <f>"0124542495  "</f>
        <v xml:space="preserve">0124542495  </v>
      </c>
      <c r="E26502" t="s">
        <v>292</v>
      </c>
      <c r="F26502" t="s">
        <v>294</v>
      </c>
      <c r="G26502">
        <v>372.16</v>
      </c>
      <c r="H26502">
        <v>250812</v>
      </c>
      <c r="I26502">
        <v>4532</v>
      </c>
      <c r="J26502" t="s">
        <v>296</v>
      </c>
      <c r="K26502">
        <v>1464.28</v>
      </c>
      <c r="L26502">
        <v>75.62</v>
      </c>
      <c r="M26502">
        <v>46555</v>
      </c>
      <c r="N26502" t="s">
        <v>103</v>
      </c>
      <c r="O26502">
        <v>250905</v>
      </c>
      <c r="P26502">
        <v>296.54000000000002</v>
      </c>
    </row>
    <row r="26503" spans="1:16" x14ac:dyDescent="0.25">
      <c r="A26503" t="s">
        <v>3296</v>
      </c>
      <c r="B26503" t="s">
        <v>2931</v>
      </c>
      <c r="C26503">
        <v>11429</v>
      </c>
      <c r="D26503" t="str">
        <f>"0124542495  "</f>
        <v xml:space="preserve">0124542495  </v>
      </c>
      <c r="E26503" t="s">
        <v>292</v>
      </c>
      <c r="F26503" t="s">
        <v>294</v>
      </c>
      <c r="G26503">
        <v>173.99</v>
      </c>
      <c r="H26503">
        <v>250812</v>
      </c>
      <c r="I26503">
        <v>4532</v>
      </c>
      <c r="J26503" t="s">
        <v>296</v>
      </c>
      <c r="K26503">
        <v>1464.28</v>
      </c>
      <c r="L26503">
        <v>35.35</v>
      </c>
      <c r="M26503">
        <v>46556</v>
      </c>
      <c r="N26503" t="s">
        <v>458</v>
      </c>
      <c r="O26503">
        <v>250905</v>
      </c>
      <c r="P26503">
        <v>138.63999999999999</v>
      </c>
    </row>
    <row r="26504" spans="1:16" x14ac:dyDescent="0.25">
      <c r="A26504" t="s">
        <v>3296</v>
      </c>
      <c r="B26504" t="s">
        <v>2931</v>
      </c>
      <c r="C26504">
        <v>11429</v>
      </c>
      <c r="D26504" t="str">
        <f>"0124542495  "</f>
        <v xml:space="preserve">0124542495  </v>
      </c>
      <c r="E26504" t="s">
        <v>292</v>
      </c>
      <c r="F26504" t="s">
        <v>294</v>
      </c>
      <c r="G26504">
        <v>185.74</v>
      </c>
      <c r="H26504">
        <v>250812</v>
      </c>
      <c r="I26504">
        <v>4532</v>
      </c>
      <c r="J26504" t="s">
        <v>296</v>
      </c>
      <c r="K26504">
        <v>1464.28</v>
      </c>
      <c r="L26504">
        <v>37.74</v>
      </c>
      <c r="M26504">
        <v>46557</v>
      </c>
      <c r="N26504" t="s">
        <v>104</v>
      </c>
      <c r="O26504">
        <v>250905</v>
      </c>
      <c r="P26504">
        <v>148</v>
      </c>
    </row>
    <row r="26505" spans="1:16" x14ac:dyDescent="0.25">
      <c r="A26505" t="s">
        <v>3296</v>
      </c>
      <c r="B26505" t="s">
        <v>2931</v>
      </c>
      <c r="C26505">
        <v>11771</v>
      </c>
      <c r="D26505" t="str">
        <f>"0124608242  "</f>
        <v xml:space="preserve">0124608242  </v>
      </c>
      <c r="E26505" t="s">
        <v>292</v>
      </c>
      <c r="F26505" t="s">
        <v>294</v>
      </c>
      <c r="G26505">
        <v>272.91000000000003</v>
      </c>
      <c r="H26505">
        <v>250828</v>
      </c>
      <c r="I26505">
        <v>4532</v>
      </c>
      <c r="J26505" t="s">
        <v>296</v>
      </c>
      <c r="K26505">
        <v>616.85</v>
      </c>
      <c r="L26505">
        <v>55.45</v>
      </c>
      <c r="M26505">
        <v>49501</v>
      </c>
      <c r="N26505" t="s">
        <v>110</v>
      </c>
      <c r="O26505">
        <v>250910</v>
      </c>
      <c r="P26505">
        <v>217.46</v>
      </c>
    </row>
    <row r="26506" spans="1:16" x14ac:dyDescent="0.25">
      <c r="A26506" t="s">
        <v>3296</v>
      </c>
      <c r="B26506" t="s">
        <v>2931</v>
      </c>
      <c r="C26506">
        <v>11780</v>
      </c>
      <c r="D26506" t="str">
        <f>"0124608244  "</f>
        <v xml:space="preserve">0124608244  </v>
      </c>
      <c r="E26506" t="s">
        <v>292</v>
      </c>
      <c r="F26506" t="s">
        <v>294</v>
      </c>
      <c r="G26506">
        <v>25.63</v>
      </c>
      <c r="H26506">
        <v>250828</v>
      </c>
      <c r="I26506">
        <v>4532</v>
      </c>
      <c r="J26506" t="s">
        <v>296</v>
      </c>
      <c r="K26506">
        <v>25.63</v>
      </c>
      <c r="L26506">
        <v>5.21</v>
      </c>
      <c r="M26506">
        <v>49501</v>
      </c>
      <c r="N26506" t="s">
        <v>110</v>
      </c>
      <c r="O26506">
        <v>250910</v>
      </c>
      <c r="P26506">
        <v>20.420000000000002</v>
      </c>
    </row>
    <row r="26507" spans="1:16" x14ac:dyDescent="0.25">
      <c r="A26507" t="s">
        <v>3296</v>
      </c>
      <c r="B26507" t="s">
        <v>2931</v>
      </c>
      <c r="C26507">
        <v>11970</v>
      </c>
      <c r="D26507" t="str">
        <f>"0124542639  "</f>
        <v xml:space="preserve">0124542639  </v>
      </c>
      <c r="E26507" t="s">
        <v>292</v>
      </c>
      <c r="F26507" t="s">
        <v>294</v>
      </c>
      <c r="G26507">
        <v>322.25</v>
      </c>
      <c r="H26507">
        <v>250812</v>
      </c>
      <c r="I26507">
        <v>4532</v>
      </c>
      <c r="J26507" t="s">
        <v>296</v>
      </c>
      <c r="K26507">
        <v>3765.39</v>
      </c>
      <c r="L26507">
        <v>65.48</v>
      </c>
      <c r="M26507">
        <v>17522</v>
      </c>
      <c r="N26507" t="s">
        <v>137</v>
      </c>
      <c r="O26507">
        <v>250915</v>
      </c>
      <c r="P26507">
        <v>256.77</v>
      </c>
    </row>
    <row r="26508" spans="1:16" x14ac:dyDescent="0.25">
      <c r="A26508" t="s">
        <v>3296</v>
      </c>
      <c r="B26508" t="s">
        <v>2931</v>
      </c>
      <c r="C26508">
        <v>12050</v>
      </c>
      <c r="D26508" t="str">
        <f>"0124596415  "</f>
        <v xml:space="preserve">0124596415  </v>
      </c>
      <c r="E26508" t="s">
        <v>292</v>
      </c>
      <c r="F26508" t="s">
        <v>294</v>
      </c>
      <c r="G26508">
        <v>128.94999999999999</v>
      </c>
      <c r="H26508">
        <v>250826</v>
      </c>
      <c r="I26508">
        <v>4532</v>
      </c>
      <c r="J26508" t="s">
        <v>296</v>
      </c>
      <c r="K26508">
        <v>128.94999999999999</v>
      </c>
      <c r="L26508">
        <v>26.2</v>
      </c>
      <c r="M26508">
        <v>49112</v>
      </c>
      <c r="N26508" t="s">
        <v>109</v>
      </c>
      <c r="O26508">
        <v>250915</v>
      </c>
      <c r="P26508">
        <v>102.75</v>
      </c>
    </row>
    <row r="26509" spans="1:16" x14ac:dyDescent="0.25">
      <c r="A26509" t="s">
        <v>3296</v>
      </c>
      <c r="B26509" t="s">
        <v>2931</v>
      </c>
      <c r="C26509">
        <v>12334</v>
      </c>
      <c r="D26509" t="str">
        <f>"0124658571  "</f>
        <v xml:space="preserve">0124658571  </v>
      </c>
      <c r="E26509" t="s">
        <v>292</v>
      </c>
      <c r="F26509" t="s">
        <v>294</v>
      </c>
      <c r="G26509">
        <v>173.99</v>
      </c>
      <c r="H26509">
        <v>250905</v>
      </c>
      <c r="I26509">
        <v>4532</v>
      </c>
      <c r="J26509" t="s">
        <v>296</v>
      </c>
      <c r="K26509">
        <v>173.99</v>
      </c>
      <c r="L26509">
        <v>35.35</v>
      </c>
      <c r="M26509">
        <v>17975</v>
      </c>
      <c r="N26509" t="s">
        <v>29</v>
      </c>
      <c r="O26509">
        <v>250919</v>
      </c>
      <c r="P26509">
        <v>138.63999999999999</v>
      </c>
    </row>
    <row r="26510" spans="1:16" x14ac:dyDescent="0.25">
      <c r="A26510" t="s">
        <v>3296</v>
      </c>
      <c r="B26510" t="s">
        <v>2931</v>
      </c>
      <c r="C26510">
        <v>12771</v>
      </c>
      <c r="D26510" t="str">
        <f>"0124694474  "</f>
        <v xml:space="preserve">0124694474  </v>
      </c>
      <c r="E26510" t="s">
        <v>292</v>
      </c>
      <c r="F26510" t="s">
        <v>294</v>
      </c>
      <c r="G26510">
        <v>233.93</v>
      </c>
      <c r="H26510">
        <v>250915</v>
      </c>
      <c r="I26510">
        <v>4532</v>
      </c>
      <c r="J26510" t="s">
        <v>296</v>
      </c>
      <c r="K26510">
        <v>233.93</v>
      </c>
      <c r="L26510">
        <v>47.53</v>
      </c>
      <c r="M26510">
        <v>46554</v>
      </c>
      <c r="N26510" t="s">
        <v>102</v>
      </c>
      <c r="O26510">
        <v>250930</v>
      </c>
      <c r="P26510">
        <v>186.4</v>
      </c>
    </row>
    <row r="26511" spans="1:16" x14ac:dyDescent="0.25">
      <c r="A26511" t="s">
        <v>3296</v>
      </c>
      <c r="B26511" t="s">
        <v>2931</v>
      </c>
      <c r="C26511">
        <v>12793</v>
      </c>
      <c r="D26511" t="str">
        <f>"0124707260  "</f>
        <v xml:space="preserve">0124707260  </v>
      </c>
      <c r="E26511" t="s">
        <v>292</v>
      </c>
      <c r="F26511" t="s">
        <v>294</v>
      </c>
      <c r="G26511">
        <v>178.21</v>
      </c>
      <c r="H26511">
        <v>250918</v>
      </c>
      <c r="I26511">
        <v>4532</v>
      </c>
      <c r="J26511" t="s">
        <v>296</v>
      </c>
      <c r="K26511">
        <v>178.21</v>
      </c>
      <c r="L26511">
        <v>36.21</v>
      </c>
      <c r="M26511">
        <v>46554</v>
      </c>
      <c r="N26511" t="s">
        <v>102</v>
      </c>
      <c r="O26511">
        <v>250930</v>
      </c>
      <c r="P26511">
        <v>142</v>
      </c>
    </row>
    <row r="26512" spans="1:16" x14ac:dyDescent="0.25">
      <c r="A26512" t="s">
        <v>3296</v>
      </c>
      <c r="B26512" t="s">
        <v>2931</v>
      </c>
      <c r="C26512">
        <v>12795</v>
      </c>
      <c r="D26512" t="str">
        <f>"0124706191  "</f>
        <v xml:space="preserve">0124706191  </v>
      </c>
      <c r="E26512" t="s">
        <v>292</v>
      </c>
      <c r="F26512" t="s">
        <v>294</v>
      </c>
      <c r="G26512">
        <v>94.88</v>
      </c>
      <c r="H26512">
        <v>250918</v>
      </c>
      <c r="I26512">
        <v>4532</v>
      </c>
      <c r="J26512" t="s">
        <v>296</v>
      </c>
      <c r="K26512">
        <v>618.51</v>
      </c>
      <c r="L26512">
        <v>19.28</v>
      </c>
      <c r="M26512">
        <v>17526</v>
      </c>
      <c r="N26512" t="s">
        <v>141</v>
      </c>
      <c r="O26512">
        <v>250930</v>
      </c>
      <c r="P26512">
        <v>75.599999999999994</v>
      </c>
    </row>
    <row r="26513" spans="1:16" x14ac:dyDescent="0.25">
      <c r="A26513" t="s">
        <v>3296</v>
      </c>
      <c r="B26513" t="s">
        <v>2931</v>
      </c>
      <c r="C26513">
        <v>12835</v>
      </c>
      <c r="D26513" t="str">
        <f>"0124675376  "</f>
        <v xml:space="preserve">0124675376  </v>
      </c>
      <c r="E26513" t="s">
        <v>292</v>
      </c>
      <c r="F26513" t="s">
        <v>294</v>
      </c>
      <c r="G26513">
        <v>441.77</v>
      </c>
      <c r="H26513">
        <v>250911</v>
      </c>
      <c r="I26513">
        <v>4532</v>
      </c>
      <c r="J26513" t="s">
        <v>296</v>
      </c>
      <c r="K26513">
        <v>539.22</v>
      </c>
      <c r="L26513">
        <v>89.76</v>
      </c>
      <c r="M26513">
        <v>46554</v>
      </c>
      <c r="N26513" t="s">
        <v>102</v>
      </c>
      <c r="O26513">
        <v>250930</v>
      </c>
      <c r="P26513">
        <v>352.01</v>
      </c>
    </row>
    <row r="26514" spans="1:16" x14ac:dyDescent="0.25">
      <c r="A26514" t="s">
        <v>3296</v>
      </c>
      <c r="B26514" t="s">
        <v>2931</v>
      </c>
      <c r="C26514">
        <v>13159</v>
      </c>
      <c r="D26514" t="str">
        <f>"0124765385  "</f>
        <v xml:space="preserve">0124765385  </v>
      </c>
      <c r="E26514" t="s">
        <v>292</v>
      </c>
      <c r="F26514" t="s">
        <v>294</v>
      </c>
      <c r="G26514">
        <v>33.369999999999997</v>
      </c>
      <c r="H26514">
        <v>250930</v>
      </c>
      <c r="I26514">
        <v>4532</v>
      </c>
      <c r="J26514" t="s">
        <v>296</v>
      </c>
      <c r="K26514">
        <v>33.369999999999997</v>
      </c>
      <c r="L26514">
        <v>6.78</v>
      </c>
      <c r="M26514">
        <v>17805</v>
      </c>
      <c r="N26514" t="s">
        <v>21</v>
      </c>
      <c r="O26514">
        <v>251006</v>
      </c>
      <c r="P26514">
        <v>26.59</v>
      </c>
    </row>
    <row r="26515" spans="1:16" x14ac:dyDescent="0.25">
      <c r="A26515" t="s">
        <v>3296</v>
      </c>
      <c r="B26515" t="s">
        <v>2931</v>
      </c>
      <c r="C26515">
        <v>13404</v>
      </c>
      <c r="D26515" t="str">
        <f>"0124696853  "</f>
        <v xml:space="preserve">0124696853  </v>
      </c>
      <c r="E26515" t="s">
        <v>292</v>
      </c>
      <c r="F26515" t="s">
        <v>294</v>
      </c>
      <c r="G26515">
        <v>24.19</v>
      </c>
      <c r="H26515">
        <v>250916</v>
      </c>
      <c r="I26515">
        <v>4532</v>
      </c>
      <c r="J26515" t="s">
        <v>296</v>
      </c>
      <c r="K26515">
        <v>24.19</v>
      </c>
      <c r="L26515">
        <v>4.92</v>
      </c>
      <c r="M26515">
        <v>17802</v>
      </c>
      <c r="N26515" t="s">
        <v>18</v>
      </c>
      <c r="O26515">
        <v>251008</v>
      </c>
      <c r="P26515">
        <v>19.27</v>
      </c>
    </row>
    <row r="26516" spans="1:16" x14ac:dyDescent="0.25">
      <c r="A26516" t="s">
        <v>3296</v>
      </c>
      <c r="B26516" t="s">
        <v>2931</v>
      </c>
      <c r="C26516">
        <v>13861</v>
      </c>
      <c r="D26516" t="str">
        <f>"0124796471  "</f>
        <v xml:space="preserve">0124796471  </v>
      </c>
      <c r="E26516" t="s">
        <v>292</v>
      </c>
      <c r="F26516" t="s">
        <v>294</v>
      </c>
      <c r="G26516">
        <v>50.93</v>
      </c>
      <c r="H26516">
        <v>251007</v>
      </c>
      <c r="I26516">
        <v>4532</v>
      </c>
      <c r="J26516" t="s">
        <v>296</v>
      </c>
      <c r="K26516">
        <v>462.08</v>
      </c>
      <c r="L26516">
        <v>10.35</v>
      </c>
      <c r="M26516">
        <v>17521</v>
      </c>
      <c r="N26516" t="s">
        <v>136</v>
      </c>
      <c r="O26516">
        <v>251020</v>
      </c>
      <c r="P26516">
        <v>40.58</v>
      </c>
    </row>
    <row r="26517" spans="1:16" x14ac:dyDescent="0.25">
      <c r="A26517" t="s">
        <v>3296</v>
      </c>
      <c r="B26517" t="s">
        <v>2931</v>
      </c>
      <c r="C26517">
        <v>13915</v>
      </c>
      <c r="D26517" t="str">
        <f>"0124814467  "</f>
        <v xml:space="preserve">0124814467  </v>
      </c>
      <c r="E26517" t="s">
        <v>292</v>
      </c>
      <c r="F26517" t="s">
        <v>294</v>
      </c>
      <c r="G26517">
        <v>218.5</v>
      </c>
      <c r="H26517">
        <v>251010</v>
      </c>
      <c r="I26517">
        <v>4532</v>
      </c>
      <c r="J26517" t="s">
        <v>296</v>
      </c>
      <c r="K26517">
        <v>265.66000000000003</v>
      </c>
      <c r="L26517">
        <v>44.4</v>
      </c>
      <c r="M26517">
        <v>17521</v>
      </c>
      <c r="N26517" t="s">
        <v>136</v>
      </c>
      <c r="O26517">
        <v>251020</v>
      </c>
      <c r="P26517">
        <v>174.1</v>
      </c>
    </row>
    <row r="26518" spans="1:16" x14ac:dyDescent="0.25">
      <c r="A26518" t="s">
        <v>3296</v>
      </c>
      <c r="B26518" t="s">
        <v>2931</v>
      </c>
      <c r="C26518">
        <v>14225</v>
      </c>
      <c r="D26518" t="str">
        <f>"0124803291  "</f>
        <v xml:space="preserve">0124803291  </v>
      </c>
      <c r="E26518" t="s">
        <v>292</v>
      </c>
      <c r="F26518" t="s">
        <v>294</v>
      </c>
      <c r="G26518">
        <v>14.01</v>
      </c>
      <c r="H26518">
        <v>251009</v>
      </c>
      <c r="I26518">
        <v>4532</v>
      </c>
      <c r="J26518" t="s">
        <v>296</v>
      </c>
      <c r="K26518">
        <v>14.01</v>
      </c>
      <c r="L26518">
        <v>2.85</v>
      </c>
      <c r="M26518">
        <v>49501</v>
      </c>
      <c r="N26518" t="s">
        <v>110</v>
      </c>
      <c r="O26518">
        <v>251027</v>
      </c>
      <c r="P26518">
        <v>11.16</v>
      </c>
    </row>
    <row r="26519" spans="1:16" x14ac:dyDescent="0.25">
      <c r="A26519" t="s">
        <v>3296</v>
      </c>
      <c r="B26519" t="s">
        <v>2931</v>
      </c>
      <c r="C26519">
        <v>14404</v>
      </c>
      <c r="D26519" t="str">
        <f>"0124870332  "</f>
        <v xml:space="preserve">0124870332  </v>
      </c>
      <c r="E26519" t="s">
        <v>292</v>
      </c>
      <c r="F26519" t="s">
        <v>294</v>
      </c>
      <c r="G26519">
        <v>178.59</v>
      </c>
      <c r="H26519">
        <v>251024</v>
      </c>
      <c r="I26519">
        <v>4532</v>
      </c>
      <c r="J26519" t="s">
        <v>296</v>
      </c>
      <c r="K26519">
        <v>178.59</v>
      </c>
      <c r="L26519">
        <v>36.29</v>
      </c>
      <c r="M26519">
        <v>17523</v>
      </c>
      <c r="N26519" t="s">
        <v>138</v>
      </c>
      <c r="O26519">
        <v>251031</v>
      </c>
      <c r="P26519">
        <v>142.30000000000001</v>
      </c>
    </row>
    <row r="26520" spans="1:16" x14ac:dyDescent="0.25">
      <c r="A26520" t="s">
        <v>3296</v>
      </c>
      <c r="B26520" t="s">
        <v>2931</v>
      </c>
      <c r="C26520">
        <v>14438</v>
      </c>
      <c r="D26520" t="str">
        <f>"0124876046  "</f>
        <v xml:space="preserve">0124876046  </v>
      </c>
      <c r="E26520" t="s">
        <v>292</v>
      </c>
      <c r="F26520" t="s">
        <v>294</v>
      </c>
      <c r="G26520">
        <v>50.73</v>
      </c>
      <c r="H26520">
        <v>251028</v>
      </c>
      <c r="I26520">
        <v>4532</v>
      </c>
      <c r="J26520" t="s">
        <v>296</v>
      </c>
      <c r="K26520">
        <v>50.73</v>
      </c>
      <c r="L26520">
        <v>10.31</v>
      </c>
      <c r="M26520">
        <v>46556</v>
      </c>
      <c r="N26520" t="s">
        <v>458</v>
      </c>
      <c r="O26520">
        <v>251031</v>
      </c>
      <c r="P26520">
        <v>40.42</v>
      </c>
    </row>
    <row r="26521" spans="1:16" x14ac:dyDescent="0.25">
      <c r="A26521" t="s">
        <v>3296</v>
      </c>
      <c r="B26521" t="s">
        <v>2931</v>
      </c>
      <c r="C26521">
        <v>14504</v>
      </c>
      <c r="D26521" t="str">
        <f>"0124884848  "</f>
        <v xml:space="preserve">0124884848  </v>
      </c>
      <c r="E26521" t="s">
        <v>292</v>
      </c>
      <c r="F26521" t="s">
        <v>294</v>
      </c>
      <c r="G26521">
        <v>261.04000000000002</v>
      </c>
      <c r="H26521">
        <v>251030</v>
      </c>
      <c r="I26521">
        <v>4532</v>
      </c>
      <c r="J26521" t="s">
        <v>296</v>
      </c>
      <c r="K26521">
        <v>261.04000000000002</v>
      </c>
      <c r="L26521">
        <v>53.04</v>
      </c>
      <c r="M26521">
        <v>17711</v>
      </c>
      <c r="N26521" t="s">
        <v>155</v>
      </c>
      <c r="O26521">
        <v>251103</v>
      </c>
      <c r="P26521">
        <v>208</v>
      </c>
    </row>
    <row r="26522" spans="1:16" x14ac:dyDescent="0.25">
      <c r="A26522" t="s">
        <v>3296</v>
      </c>
      <c r="B26522" t="s">
        <v>2931</v>
      </c>
      <c r="C26522">
        <v>15549</v>
      </c>
      <c r="D26522" t="str">
        <f>"0124971636  "</f>
        <v xml:space="preserve">0124971636  </v>
      </c>
      <c r="E26522" t="s">
        <v>292</v>
      </c>
      <c r="F26522" t="s">
        <v>294</v>
      </c>
      <c r="G26522">
        <v>34.61</v>
      </c>
      <c r="H26522">
        <v>251114</v>
      </c>
      <c r="I26522">
        <v>4532</v>
      </c>
      <c r="J26522" t="s">
        <v>296</v>
      </c>
      <c r="K26522">
        <v>106</v>
      </c>
      <c r="L26522">
        <v>7.03</v>
      </c>
      <c r="M26522">
        <v>17737</v>
      </c>
      <c r="N26522" t="s">
        <v>156</v>
      </c>
      <c r="O26522">
        <v>251121</v>
      </c>
      <c r="P26522">
        <v>27.58</v>
      </c>
    </row>
    <row r="26523" spans="1:16" x14ac:dyDescent="0.25">
      <c r="A26523" t="s">
        <v>3296</v>
      </c>
      <c r="B26523" t="s">
        <v>2931</v>
      </c>
      <c r="C26523">
        <v>15752</v>
      </c>
      <c r="D26523" t="str">
        <f>"0124999866  "</f>
        <v xml:space="preserve">0124999866  </v>
      </c>
      <c r="E26523" t="s">
        <v>292</v>
      </c>
      <c r="F26523" t="s">
        <v>294</v>
      </c>
      <c r="G26523">
        <v>264.92</v>
      </c>
      <c r="H26523">
        <v>251124</v>
      </c>
      <c r="I26523">
        <v>4532</v>
      </c>
      <c r="J26523" t="s">
        <v>296</v>
      </c>
      <c r="K26523">
        <v>264.92</v>
      </c>
      <c r="L26523">
        <v>53.83</v>
      </c>
      <c r="M26523">
        <v>17711</v>
      </c>
      <c r="N26523" t="s">
        <v>155</v>
      </c>
      <c r="O26523">
        <v>251126</v>
      </c>
      <c r="P26523">
        <v>211.09</v>
      </c>
    </row>
    <row r="26524" spans="1:16" x14ac:dyDescent="0.25">
      <c r="A26524" t="s">
        <v>3296</v>
      </c>
      <c r="B26524" t="s">
        <v>2931</v>
      </c>
      <c r="C26524">
        <v>18110</v>
      </c>
      <c r="D26524" t="str">
        <f>"0125114365  "</f>
        <v xml:space="preserve">0125114365  </v>
      </c>
      <c r="E26524" t="s">
        <v>292</v>
      </c>
      <c r="F26524" t="s">
        <v>294</v>
      </c>
      <c r="G26524">
        <v>128.94999999999999</v>
      </c>
      <c r="H26524">
        <v>251219</v>
      </c>
      <c r="I26524">
        <v>4532</v>
      </c>
      <c r="J26524" t="s">
        <v>296</v>
      </c>
      <c r="K26524">
        <v>128.94999999999999</v>
      </c>
      <c r="L26524">
        <v>26.2</v>
      </c>
      <c r="M26524">
        <v>49501</v>
      </c>
      <c r="N26524" t="s">
        <v>110</v>
      </c>
      <c r="O26524">
        <v>260109</v>
      </c>
      <c r="P26524">
        <v>102.75</v>
      </c>
    </row>
    <row r="26525" spans="1:16" x14ac:dyDescent="0.25">
      <c r="A26525" t="s">
        <v>3296</v>
      </c>
      <c r="B26525" t="s">
        <v>2931</v>
      </c>
      <c r="C26525">
        <v>18438</v>
      </c>
      <c r="D26525" t="str">
        <f>"0125129224  "</f>
        <v xml:space="preserve">0125129224  </v>
      </c>
      <c r="E26525" t="s">
        <v>292</v>
      </c>
      <c r="F26525" t="s">
        <v>294</v>
      </c>
      <c r="G26525">
        <v>41.42</v>
      </c>
      <c r="H26525">
        <v>251231</v>
      </c>
      <c r="I26525">
        <v>4532</v>
      </c>
      <c r="J26525" t="s">
        <v>296</v>
      </c>
      <c r="K26525">
        <v>41.42</v>
      </c>
      <c r="L26525">
        <v>8.42</v>
      </c>
      <c r="M26525">
        <v>56562</v>
      </c>
      <c r="N26525" t="s">
        <v>54</v>
      </c>
      <c r="O26525">
        <v>260113</v>
      </c>
      <c r="P26525">
        <v>33</v>
      </c>
    </row>
    <row r="26526" spans="1:16" x14ac:dyDescent="0.25">
      <c r="A26526" t="s">
        <v>3296</v>
      </c>
      <c r="B26526" t="s">
        <v>2931</v>
      </c>
      <c r="C26526">
        <v>11771</v>
      </c>
      <c r="D26526" t="str">
        <f>"0124608242  "</f>
        <v xml:space="preserve">0124608242  </v>
      </c>
      <c r="E26526" t="s">
        <v>292</v>
      </c>
      <c r="F26526" t="s">
        <v>294</v>
      </c>
      <c r="G26526">
        <v>171.97</v>
      </c>
      <c r="H26526">
        <v>250828</v>
      </c>
      <c r="I26526">
        <v>4534</v>
      </c>
      <c r="J26526" t="s">
        <v>349</v>
      </c>
      <c r="K26526">
        <v>616.85</v>
      </c>
      <c r="L26526">
        <v>34.94</v>
      </c>
      <c r="M26526">
        <v>43222</v>
      </c>
      <c r="N26526" t="s">
        <v>95</v>
      </c>
      <c r="O26526">
        <v>250910</v>
      </c>
      <c r="P26526">
        <v>137.03</v>
      </c>
    </row>
    <row r="26527" spans="1:16" x14ac:dyDescent="0.25">
      <c r="A26527" t="s">
        <v>3296</v>
      </c>
      <c r="B26527" t="s">
        <v>2931</v>
      </c>
      <c r="C26527">
        <v>11771</v>
      </c>
      <c r="D26527" t="str">
        <f>"0124608242  "</f>
        <v xml:space="preserve">0124608242  </v>
      </c>
      <c r="E26527" t="s">
        <v>292</v>
      </c>
      <c r="F26527" t="s">
        <v>294</v>
      </c>
      <c r="G26527">
        <v>171.97</v>
      </c>
      <c r="H26527">
        <v>250828</v>
      </c>
      <c r="I26527">
        <v>4534</v>
      </c>
      <c r="J26527" t="s">
        <v>349</v>
      </c>
      <c r="K26527">
        <v>616.85</v>
      </c>
      <c r="L26527">
        <v>34.94</v>
      </c>
      <c r="M26527">
        <v>44424</v>
      </c>
      <c r="N26527" t="s">
        <v>99</v>
      </c>
      <c r="O26527">
        <v>250910</v>
      </c>
      <c r="P26527">
        <v>137.03</v>
      </c>
    </row>
    <row r="26528" spans="1:16" x14ac:dyDescent="0.25">
      <c r="A26528" t="s">
        <v>3296</v>
      </c>
      <c r="B26528" t="s">
        <v>2931</v>
      </c>
      <c r="C26528">
        <v>16302</v>
      </c>
      <c r="D26528" t="str">
        <f>"0125034266  "</f>
        <v xml:space="preserve">0125034266  </v>
      </c>
      <c r="E26528" t="s">
        <v>292</v>
      </c>
      <c r="F26528" t="s">
        <v>294</v>
      </c>
      <c r="G26528">
        <v>94.99</v>
      </c>
      <c r="H26528">
        <v>251128</v>
      </c>
      <c r="I26528">
        <v>4534</v>
      </c>
      <c r="J26528" t="s">
        <v>349</v>
      </c>
      <c r="K26528">
        <v>158.41</v>
      </c>
      <c r="L26528">
        <v>19.3</v>
      </c>
      <c r="M26528">
        <v>46554</v>
      </c>
      <c r="N26528" t="s">
        <v>102</v>
      </c>
      <c r="O26528">
        <v>251205</v>
      </c>
      <c r="P26528">
        <v>75.69</v>
      </c>
    </row>
    <row r="26529" spans="1:16" x14ac:dyDescent="0.25">
      <c r="A26529" t="s">
        <v>3296</v>
      </c>
      <c r="B26529" t="s">
        <v>2931</v>
      </c>
      <c r="C26529">
        <v>835</v>
      </c>
      <c r="D26529" t="str">
        <f>"0123760785  "</f>
        <v xml:space="preserve">0123760785  </v>
      </c>
      <c r="E26529" t="s">
        <v>292</v>
      </c>
      <c r="F26529" t="s">
        <v>294</v>
      </c>
      <c r="G26529">
        <v>181.32</v>
      </c>
      <c r="H26529">
        <v>250124</v>
      </c>
      <c r="I26529">
        <v>4550</v>
      </c>
      <c r="J26529" t="s">
        <v>226</v>
      </c>
      <c r="K26529">
        <v>921.96</v>
      </c>
      <c r="L26529">
        <v>36.840000000000003</v>
      </c>
      <c r="M26529">
        <v>67522</v>
      </c>
      <c r="N26529" t="s">
        <v>121</v>
      </c>
      <c r="O26529">
        <v>250129</v>
      </c>
      <c r="P26529">
        <v>144.47999999999999</v>
      </c>
    </row>
    <row r="26530" spans="1:16" x14ac:dyDescent="0.25">
      <c r="A26530" t="s">
        <v>3296</v>
      </c>
      <c r="B26530" t="s">
        <v>2931</v>
      </c>
      <c r="C26530">
        <v>4004</v>
      </c>
      <c r="D26530" t="str">
        <f>"0123925991  "</f>
        <v xml:space="preserve">0123925991  </v>
      </c>
      <c r="E26530" t="s">
        <v>292</v>
      </c>
      <c r="F26530" t="s">
        <v>294</v>
      </c>
      <c r="G26530">
        <v>29.93</v>
      </c>
      <c r="H26530">
        <v>250306</v>
      </c>
      <c r="I26530">
        <v>4550</v>
      </c>
      <c r="J26530" t="s">
        <v>226</v>
      </c>
      <c r="K26530">
        <v>263.20999999999998</v>
      </c>
      <c r="L26530">
        <v>6.08</v>
      </c>
      <c r="M26530">
        <v>67522</v>
      </c>
      <c r="N26530" t="s">
        <v>121</v>
      </c>
      <c r="O26530">
        <v>250407</v>
      </c>
      <c r="P26530">
        <v>23.85</v>
      </c>
    </row>
    <row r="26531" spans="1:16" x14ac:dyDescent="0.25">
      <c r="A26531" t="s">
        <v>3296</v>
      </c>
      <c r="B26531" t="s">
        <v>2931</v>
      </c>
      <c r="C26531">
        <v>4004</v>
      </c>
      <c r="D26531" t="str">
        <f>"0123925991  "</f>
        <v xml:space="preserve">0123925991  </v>
      </c>
      <c r="E26531" t="s">
        <v>292</v>
      </c>
      <c r="F26531" t="s">
        <v>294</v>
      </c>
      <c r="G26531">
        <v>169.61</v>
      </c>
      <c r="H26531">
        <v>250306</v>
      </c>
      <c r="I26531">
        <v>4550</v>
      </c>
      <c r="J26531" t="s">
        <v>226</v>
      </c>
      <c r="K26531">
        <v>263.20999999999998</v>
      </c>
      <c r="L26531">
        <v>34.46</v>
      </c>
      <c r="M26531">
        <v>67522</v>
      </c>
      <c r="N26531" t="s">
        <v>121</v>
      </c>
      <c r="O26531">
        <v>250407</v>
      </c>
      <c r="P26531">
        <v>135.15</v>
      </c>
    </row>
    <row r="26532" spans="1:16" x14ac:dyDescent="0.25">
      <c r="A26532" t="s">
        <v>3296</v>
      </c>
      <c r="B26532" t="s">
        <v>2931</v>
      </c>
      <c r="C26532">
        <v>5016</v>
      </c>
      <c r="D26532" t="str">
        <f>"0123987477  "</f>
        <v xml:space="preserve">0123987477  </v>
      </c>
      <c r="E26532" t="s">
        <v>292</v>
      </c>
      <c r="F26532" t="s">
        <v>294</v>
      </c>
      <c r="G26532">
        <v>38.08</v>
      </c>
      <c r="H26532">
        <v>250326</v>
      </c>
      <c r="I26532">
        <v>4550</v>
      </c>
      <c r="J26532" t="s">
        <v>226</v>
      </c>
      <c r="K26532">
        <v>38.08</v>
      </c>
      <c r="L26532">
        <v>7.74</v>
      </c>
      <c r="M26532">
        <v>49701</v>
      </c>
      <c r="N26532" t="s">
        <v>111</v>
      </c>
      <c r="O26532">
        <v>250416</v>
      </c>
      <c r="P26532">
        <v>30.34</v>
      </c>
    </row>
    <row r="26533" spans="1:16" x14ac:dyDescent="0.25">
      <c r="A26533" t="s">
        <v>3296</v>
      </c>
      <c r="B26533" t="s">
        <v>2931</v>
      </c>
      <c r="C26533">
        <v>6843</v>
      </c>
      <c r="D26533" t="str">
        <f>"0124162565  "</f>
        <v xml:space="preserve">0124162565  </v>
      </c>
      <c r="E26533" t="s">
        <v>292</v>
      </c>
      <c r="F26533" t="s">
        <v>294</v>
      </c>
      <c r="G26533">
        <v>8.42</v>
      </c>
      <c r="H26533">
        <v>250507</v>
      </c>
      <c r="I26533">
        <v>4550</v>
      </c>
      <c r="J26533" t="s">
        <v>226</v>
      </c>
      <c r="K26533">
        <v>85.21</v>
      </c>
      <c r="L26533">
        <v>1.71</v>
      </c>
      <c r="M26533">
        <v>13540</v>
      </c>
      <c r="N26533" t="s">
        <v>131</v>
      </c>
      <c r="O26533">
        <v>250519</v>
      </c>
      <c r="P26533">
        <v>6.71</v>
      </c>
    </row>
    <row r="26534" spans="1:16" x14ac:dyDescent="0.25">
      <c r="A26534" t="s">
        <v>3296</v>
      </c>
      <c r="B26534" t="s">
        <v>2931</v>
      </c>
      <c r="C26534">
        <v>6843</v>
      </c>
      <c r="D26534" t="str">
        <f>"0124162565  "</f>
        <v xml:space="preserve">0124162565  </v>
      </c>
      <c r="E26534" t="s">
        <v>292</v>
      </c>
      <c r="F26534" t="s">
        <v>294</v>
      </c>
      <c r="G26534">
        <v>57.41</v>
      </c>
      <c r="H26534">
        <v>250507</v>
      </c>
      <c r="I26534">
        <v>4550</v>
      </c>
      <c r="J26534" t="s">
        <v>226</v>
      </c>
      <c r="K26534">
        <v>85.21</v>
      </c>
      <c r="L26534">
        <v>11.66</v>
      </c>
      <c r="M26534">
        <v>17950</v>
      </c>
      <c r="N26534" t="s">
        <v>132</v>
      </c>
      <c r="O26534">
        <v>250519</v>
      </c>
      <c r="P26534">
        <v>45.75</v>
      </c>
    </row>
    <row r="26535" spans="1:16" x14ac:dyDescent="0.25">
      <c r="A26535" t="s">
        <v>3296</v>
      </c>
      <c r="B26535" t="s">
        <v>2931</v>
      </c>
      <c r="C26535">
        <v>6843</v>
      </c>
      <c r="D26535" t="str">
        <f>"0124162565  "</f>
        <v xml:space="preserve">0124162565  </v>
      </c>
      <c r="E26535" t="s">
        <v>292</v>
      </c>
      <c r="F26535" t="s">
        <v>294</v>
      </c>
      <c r="G26535">
        <v>10.72</v>
      </c>
      <c r="H26535">
        <v>250507</v>
      </c>
      <c r="I26535">
        <v>4550</v>
      </c>
      <c r="J26535" t="s">
        <v>226</v>
      </c>
      <c r="K26535">
        <v>85.21</v>
      </c>
      <c r="L26535">
        <v>2.1800000000000002</v>
      </c>
      <c r="M26535">
        <v>17956</v>
      </c>
      <c r="N26535" t="s">
        <v>170</v>
      </c>
      <c r="O26535">
        <v>250519</v>
      </c>
      <c r="P26535">
        <v>8.5399999999999991</v>
      </c>
    </row>
    <row r="26536" spans="1:16" x14ac:dyDescent="0.25">
      <c r="A26536" t="s">
        <v>3296</v>
      </c>
      <c r="B26536" t="s">
        <v>2931</v>
      </c>
      <c r="C26536">
        <v>8433</v>
      </c>
      <c r="D26536" t="str">
        <f>"0124212332  "</f>
        <v xml:space="preserve">0124212332  </v>
      </c>
      <c r="E26536" t="s">
        <v>292</v>
      </c>
      <c r="F26536" t="s">
        <v>294</v>
      </c>
      <c r="G26536">
        <v>170.1</v>
      </c>
      <c r="H26536">
        <v>250520</v>
      </c>
      <c r="I26536">
        <v>4550</v>
      </c>
      <c r="J26536" t="s">
        <v>226</v>
      </c>
      <c r="K26536">
        <v>413.69</v>
      </c>
      <c r="L26536">
        <v>34.56</v>
      </c>
      <c r="M26536">
        <v>46557</v>
      </c>
      <c r="N26536" t="s">
        <v>104</v>
      </c>
      <c r="O26536">
        <v>250613</v>
      </c>
      <c r="P26536">
        <v>135.54</v>
      </c>
    </row>
    <row r="26537" spans="1:16" x14ac:dyDescent="0.25">
      <c r="A26537" t="s">
        <v>3296</v>
      </c>
      <c r="B26537" t="s">
        <v>2931</v>
      </c>
      <c r="C26537">
        <v>12293</v>
      </c>
      <c r="D26537" t="str">
        <f>"0124646546  "</f>
        <v xml:space="preserve">0124646546  </v>
      </c>
      <c r="E26537" t="s">
        <v>292</v>
      </c>
      <c r="F26537" t="s">
        <v>294</v>
      </c>
      <c r="G26537">
        <v>12.45</v>
      </c>
      <c r="H26537">
        <v>250903</v>
      </c>
      <c r="I26537">
        <v>4550</v>
      </c>
      <c r="J26537" t="s">
        <v>226</v>
      </c>
      <c r="K26537">
        <v>414.46</v>
      </c>
      <c r="L26537">
        <v>2.5299999999999998</v>
      </c>
      <c r="M26537">
        <v>46554</v>
      </c>
      <c r="N26537" t="s">
        <v>102</v>
      </c>
      <c r="O26537">
        <v>250918</v>
      </c>
      <c r="P26537">
        <v>9.92</v>
      </c>
    </row>
    <row r="26538" spans="1:16" x14ac:dyDescent="0.25">
      <c r="A26538" t="s">
        <v>3296</v>
      </c>
      <c r="B26538" t="s">
        <v>2931</v>
      </c>
      <c r="C26538">
        <v>13914</v>
      </c>
      <c r="D26538" t="str">
        <f>"0124811315  "</f>
        <v xml:space="preserve">0124811315  </v>
      </c>
      <c r="E26538" t="s">
        <v>292</v>
      </c>
      <c r="F26538" t="s">
        <v>294</v>
      </c>
      <c r="G26538">
        <v>22.51</v>
      </c>
      <c r="H26538">
        <v>251010</v>
      </c>
      <c r="I26538">
        <v>4550</v>
      </c>
      <c r="J26538" t="s">
        <v>226</v>
      </c>
      <c r="K26538">
        <v>74.819999999999993</v>
      </c>
      <c r="L26538">
        <v>4.57</v>
      </c>
      <c r="M26538">
        <v>46557</v>
      </c>
      <c r="N26538" t="s">
        <v>104</v>
      </c>
      <c r="O26538">
        <v>251020</v>
      </c>
      <c r="P26538">
        <v>17.940000000000001</v>
      </c>
    </row>
    <row r="26539" spans="1:16" x14ac:dyDescent="0.25">
      <c r="A26539" t="s">
        <v>3296</v>
      </c>
      <c r="B26539" t="s">
        <v>2931</v>
      </c>
      <c r="C26539">
        <v>14152</v>
      </c>
      <c r="D26539" t="str">
        <f>"0124800004  "</f>
        <v xml:space="preserve">0124800004  </v>
      </c>
      <c r="E26539" t="s">
        <v>292</v>
      </c>
      <c r="F26539" t="s">
        <v>294</v>
      </c>
      <c r="G26539">
        <v>121.43</v>
      </c>
      <c r="H26539">
        <v>251008</v>
      </c>
      <c r="I26539">
        <v>4550</v>
      </c>
      <c r="J26539" t="s">
        <v>226</v>
      </c>
      <c r="K26539">
        <v>198.74</v>
      </c>
      <c r="L26539">
        <v>24.67</v>
      </c>
      <c r="M26539">
        <v>17522</v>
      </c>
      <c r="N26539" t="s">
        <v>137</v>
      </c>
      <c r="O26539">
        <v>251024</v>
      </c>
      <c r="P26539">
        <v>96.76</v>
      </c>
    </row>
    <row r="26540" spans="1:16" x14ac:dyDescent="0.25">
      <c r="A26540" t="s">
        <v>3296</v>
      </c>
      <c r="B26540" t="s">
        <v>2931</v>
      </c>
      <c r="C26540">
        <v>16770</v>
      </c>
      <c r="D26540" t="str">
        <f>"0125049001  "</f>
        <v xml:space="preserve">0125049001  </v>
      </c>
      <c r="E26540" t="s">
        <v>292</v>
      </c>
      <c r="F26540" t="s">
        <v>294</v>
      </c>
      <c r="G26540">
        <v>127.08</v>
      </c>
      <c r="H26540">
        <v>251202</v>
      </c>
      <c r="I26540">
        <v>4550</v>
      </c>
      <c r="J26540" t="s">
        <v>226</v>
      </c>
      <c r="K26540">
        <v>271.31</v>
      </c>
      <c r="L26540">
        <v>25.82</v>
      </c>
      <c r="M26540">
        <v>67554</v>
      </c>
      <c r="N26540" t="s">
        <v>317</v>
      </c>
      <c r="O26540">
        <v>251211</v>
      </c>
      <c r="P26540">
        <v>101.26</v>
      </c>
    </row>
    <row r="26541" spans="1:16" x14ac:dyDescent="0.25">
      <c r="A26541" t="s">
        <v>3296</v>
      </c>
      <c r="B26541" t="s">
        <v>2931</v>
      </c>
      <c r="C26541">
        <v>4004</v>
      </c>
      <c r="D26541" t="str">
        <f>"0123925991  "</f>
        <v xml:space="preserve">0123925991  </v>
      </c>
      <c r="E26541" t="s">
        <v>292</v>
      </c>
      <c r="F26541" t="s">
        <v>294</v>
      </c>
      <c r="G26541">
        <v>63.67</v>
      </c>
      <c r="H26541">
        <v>250306</v>
      </c>
      <c r="I26541">
        <v>4555</v>
      </c>
      <c r="J26541" t="s">
        <v>352</v>
      </c>
      <c r="K26541">
        <v>263.20999999999998</v>
      </c>
      <c r="L26541">
        <v>12.94</v>
      </c>
      <c r="M26541">
        <v>67522</v>
      </c>
      <c r="N26541" t="s">
        <v>121</v>
      </c>
      <c r="O26541">
        <v>250407</v>
      </c>
      <c r="P26541">
        <v>50.73</v>
      </c>
    </row>
    <row r="26542" spans="1:16" x14ac:dyDescent="0.25">
      <c r="A26542" t="s">
        <v>3296</v>
      </c>
      <c r="B26542" t="s">
        <v>2931</v>
      </c>
      <c r="C26542">
        <v>5757</v>
      </c>
      <c r="D26542" t="str">
        <f>"0123949097  "</f>
        <v xml:space="preserve">0123949097  </v>
      </c>
      <c r="E26542" t="s">
        <v>292</v>
      </c>
      <c r="F26542" t="s">
        <v>294</v>
      </c>
      <c r="G26542">
        <v>30.62</v>
      </c>
      <c r="H26542">
        <v>250401</v>
      </c>
      <c r="I26542">
        <v>4555</v>
      </c>
      <c r="J26542" t="s">
        <v>352</v>
      </c>
      <c r="K26542">
        <v>234.43</v>
      </c>
      <c r="L26542">
        <v>6.22</v>
      </c>
      <c r="M26542">
        <v>59504</v>
      </c>
      <c r="N26542" t="s">
        <v>193</v>
      </c>
      <c r="O26542">
        <v>250430</v>
      </c>
      <c r="P26542">
        <v>24.4</v>
      </c>
    </row>
    <row r="26543" spans="1:16" x14ac:dyDescent="0.25">
      <c r="A26543" t="s">
        <v>3296</v>
      </c>
      <c r="B26543" t="s">
        <v>2931</v>
      </c>
      <c r="C26543">
        <v>8249</v>
      </c>
      <c r="D26543" t="str">
        <f>"0124208849  "</f>
        <v xml:space="preserve">0124208849  </v>
      </c>
      <c r="E26543" t="s">
        <v>292</v>
      </c>
      <c r="F26543" t="s">
        <v>294</v>
      </c>
      <c r="G26543">
        <v>32.130000000000003</v>
      </c>
      <c r="H26543">
        <v>250519</v>
      </c>
      <c r="I26543">
        <v>4555</v>
      </c>
      <c r="J26543" t="s">
        <v>352</v>
      </c>
      <c r="K26543">
        <v>143.19999999999999</v>
      </c>
      <c r="L26543">
        <v>6.53</v>
      </c>
      <c r="M26543">
        <v>17711</v>
      </c>
      <c r="N26543" t="s">
        <v>155</v>
      </c>
      <c r="O26543">
        <v>250612</v>
      </c>
      <c r="P26543">
        <v>25.6</v>
      </c>
    </row>
    <row r="26544" spans="1:16" x14ac:dyDescent="0.25">
      <c r="A26544" t="s">
        <v>3296</v>
      </c>
      <c r="B26544" t="s">
        <v>2931</v>
      </c>
      <c r="C26544">
        <v>13880</v>
      </c>
      <c r="D26544" t="str">
        <f>"0124804841  "</f>
        <v xml:space="preserve">0124804841  </v>
      </c>
      <c r="E26544" t="s">
        <v>292</v>
      </c>
      <c r="F26544" t="s">
        <v>294</v>
      </c>
      <c r="G26544">
        <v>23.15</v>
      </c>
      <c r="H26544">
        <v>251009</v>
      </c>
      <c r="I26544">
        <v>4555</v>
      </c>
      <c r="J26544" t="s">
        <v>352</v>
      </c>
      <c r="K26544">
        <v>62.25</v>
      </c>
      <c r="L26544">
        <v>4.7</v>
      </c>
      <c r="M26544">
        <v>17711</v>
      </c>
      <c r="N26544" t="s">
        <v>155</v>
      </c>
      <c r="O26544">
        <v>251020</v>
      </c>
      <c r="P26544">
        <v>18.45</v>
      </c>
    </row>
    <row r="26545" spans="1:16" x14ac:dyDescent="0.25">
      <c r="A26545" t="s">
        <v>3296</v>
      </c>
      <c r="B26545" t="s">
        <v>2931</v>
      </c>
      <c r="C26545">
        <v>835</v>
      </c>
      <c r="D26545" t="str">
        <f>"0123760785  "</f>
        <v xml:space="preserve">0123760785  </v>
      </c>
      <c r="E26545" t="s">
        <v>292</v>
      </c>
      <c r="F26545" t="s">
        <v>294</v>
      </c>
      <c r="G26545">
        <v>106.61</v>
      </c>
      <c r="H26545">
        <v>250124</v>
      </c>
      <c r="I26545">
        <v>4560</v>
      </c>
      <c r="J26545" t="s">
        <v>390</v>
      </c>
      <c r="K26545">
        <v>921.96</v>
      </c>
      <c r="L26545">
        <v>21.66</v>
      </c>
      <c r="M26545">
        <v>69501</v>
      </c>
      <c r="N26545" t="s">
        <v>123</v>
      </c>
      <c r="O26545">
        <v>250129</v>
      </c>
      <c r="P26545">
        <v>84.95</v>
      </c>
    </row>
    <row r="26546" spans="1:16" x14ac:dyDescent="0.25">
      <c r="A26546" t="s">
        <v>3296</v>
      </c>
      <c r="B26546" t="s">
        <v>2931</v>
      </c>
      <c r="C26546">
        <v>1998</v>
      </c>
      <c r="D26546" t="str">
        <f>"0123825028  "</f>
        <v xml:space="preserve">0123825028  </v>
      </c>
      <c r="E26546" t="s">
        <v>292</v>
      </c>
      <c r="F26546" t="s">
        <v>294</v>
      </c>
      <c r="G26546">
        <v>317.39</v>
      </c>
      <c r="H26546">
        <v>250207</v>
      </c>
      <c r="I26546">
        <v>4560</v>
      </c>
      <c r="J26546" t="s">
        <v>390</v>
      </c>
      <c r="K26546">
        <v>339.98</v>
      </c>
      <c r="L26546">
        <v>64.489999999999995</v>
      </c>
      <c r="M26546">
        <v>67522</v>
      </c>
      <c r="N26546" t="s">
        <v>121</v>
      </c>
      <c r="O26546">
        <v>250218</v>
      </c>
      <c r="P26546">
        <v>252.9</v>
      </c>
    </row>
    <row r="26547" spans="1:16" x14ac:dyDescent="0.25">
      <c r="A26547" t="s">
        <v>3296</v>
      </c>
      <c r="B26547" t="s">
        <v>2931</v>
      </c>
      <c r="C26547">
        <v>4343</v>
      </c>
      <c r="D26547" t="str">
        <f>"0123949093  "</f>
        <v xml:space="preserve">0123949093  </v>
      </c>
      <c r="E26547" t="s">
        <v>292</v>
      </c>
      <c r="F26547" t="s">
        <v>294</v>
      </c>
      <c r="G26547">
        <v>48.19</v>
      </c>
      <c r="H26547">
        <v>250314</v>
      </c>
      <c r="I26547">
        <v>4560</v>
      </c>
      <c r="J26547" t="s">
        <v>390</v>
      </c>
      <c r="K26547">
        <v>48.19</v>
      </c>
      <c r="L26547">
        <v>9.7899999999999991</v>
      </c>
      <c r="M26547">
        <v>56564</v>
      </c>
      <c r="N26547" t="s">
        <v>56</v>
      </c>
      <c r="O26547">
        <v>250411</v>
      </c>
      <c r="P26547">
        <v>38.4</v>
      </c>
    </row>
    <row r="26548" spans="1:16" x14ac:dyDescent="0.25">
      <c r="A26548" t="s">
        <v>3296</v>
      </c>
      <c r="B26548" t="s">
        <v>2931</v>
      </c>
      <c r="C26548">
        <v>9208</v>
      </c>
      <c r="D26548" t="str">
        <f>"0124317614  "</f>
        <v xml:space="preserve">0124317614  </v>
      </c>
      <c r="E26548" t="s">
        <v>292</v>
      </c>
      <c r="F26548" t="s">
        <v>294</v>
      </c>
      <c r="G26548">
        <v>54.67</v>
      </c>
      <c r="H26548">
        <v>250612</v>
      </c>
      <c r="I26548">
        <v>4560</v>
      </c>
      <c r="J26548" t="s">
        <v>390</v>
      </c>
      <c r="K26548">
        <v>223.82</v>
      </c>
      <c r="L26548">
        <v>11.11</v>
      </c>
      <c r="M26548">
        <v>67554</v>
      </c>
      <c r="N26548" t="s">
        <v>317</v>
      </c>
      <c r="O26548">
        <v>250627</v>
      </c>
      <c r="P26548">
        <v>43.56</v>
      </c>
    </row>
    <row r="26549" spans="1:16" x14ac:dyDescent="0.25">
      <c r="A26549" t="s">
        <v>3296</v>
      </c>
      <c r="B26549" t="s">
        <v>2931</v>
      </c>
      <c r="C26549">
        <v>15549</v>
      </c>
      <c r="D26549" t="str">
        <f>"0124971636  "</f>
        <v xml:space="preserve">0124971636  </v>
      </c>
      <c r="E26549" t="s">
        <v>292</v>
      </c>
      <c r="F26549" t="s">
        <v>294</v>
      </c>
      <c r="G26549">
        <v>8.73</v>
      </c>
      <c r="H26549">
        <v>251114</v>
      </c>
      <c r="I26549">
        <v>4560</v>
      </c>
      <c r="J26549" t="s">
        <v>390</v>
      </c>
      <c r="K26549">
        <v>106</v>
      </c>
      <c r="L26549">
        <v>1.77</v>
      </c>
      <c r="M26549">
        <v>17711</v>
      </c>
      <c r="N26549" t="s">
        <v>155</v>
      </c>
      <c r="O26549">
        <v>251121</v>
      </c>
      <c r="P26549">
        <v>6.96</v>
      </c>
    </row>
    <row r="26550" spans="1:16" x14ac:dyDescent="0.25">
      <c r="A26550" t="s">
        <v>3296</v>
      </c>
      <c r="B26550" t="s">
        <v>2931</v>
      </c>
      <c r="C26550">
        <v>16770</v>
      </c>
      <c r="D26550" t="str">
        <f>"0125049001  "</f>
        <v xml:space="preserve">0125049001  </v>
      </c>
      <c r="E26550" t="s">
        <v>292</v>
      </c>
      <c r="F26550" t="s">
        <v>294</v>
      </c>
      <c r="G26550">
        <v>3.39</v>
      </c>
      <c r="H26550">
        <v>251202</v>
      </c>
      <c r="I26550">
        <v>4560</v>
      </c>
      <c r="J26550" t="s">
        <v>390</v>
      </c>
      <c r="K26550">
        <v>271.31</v>
      </c>
      <c r="L26550">
        <v>0.69</v>
      </c>
      <c r="M26550">
        <v>67554</v>
      </c>
      <c r="N26550" t="s">
        <v>317</v>
      </c>
      <c r="O26550">
        <v>251211</v>
      </c>
      <c r="P26550">
        <v>2.7</v>
      </c>
    </row>
    <row r="26551" spans="1:16" x14ac:dyDescent="0.25">
      <c r="A26551" t="s">
        <v>3296</v>
      </c>
      <c r="B26551" t="s">
        <v>2931</v>
      </c>
      <c r="C26551">
        <v>535</v>
      </c>
      <c r="D26551" t="str">
        <f>"0123700262  "</f>
        <v xml:space="preserve">0123700262  </v>
      </c>
      <c r="E26551" t="s">
        <v>292</v>
      </c>
      <c r="F26551" t="s">
        <v>294</v>
      </c>
      <c r="G26551">
        <v>497.76</v>
      </c>
      <c r="H26551">
        <v>250108</v>
      </c>
      <c r="I26551">
        <v>4580</v>
      </c>
      <c r="J26551" t="s">
        <v>126</v>
      </c>
      <c r="K26551">
        <v>497.76</v>
      </c>
      <c r="L26551">
        <v>101.14</v>
      </c>
      <c r="M26551">
        <v>46555</v>
      </c>
      <c r="N26551" t="s">
        <v>103</v>
      </c>
      <c r="O26551">
        <v>250123</v>
      </c>
      <c r="P26551">
        <v>396.62</v>
      </c>
    </row>
    <row r="26552" spans="1:16" x14ac:dyDescent="0.25">
      <c r="A26552" t="s">
        <v>3296</v>
      </c>
      <c r="B26552" t="s">
        <v>2931</v>
      </c>
      <c r="C26552">
        <v>537</v>
      </c>
      <c r="D26552" t="str">
        <f>"0123732331  "</f>
        <v xml:space="preserve">0123732331  </v>
      </c>
      <c r="E26552" t="s">
        <v>292</v>
      </c>
      <c r="F26552" t="s">
        <v>294</v>
      </c>
      <c r="G26552">
        <v>125.47</v>
      </c>
      <c r="H26552">
        <v>250116</v>
      </c>
      <c r="I26552">
        <v>4580</v>
      </c>
      <c r="J26552" t="s">
        <v>126</v>
      </c>
      <c r="K26552">
        <v>125.47</v>
      </c>
      <c r="L26552">
        <v>25.49</v>
      </c>
      <c r="M26552">
        <v>17804</v>
      </c>
      <c r="N26552" t="s">
        <v>20</v>
      </c>
      <c r="O26552">
        <v>250123</v>
      </c>
      <c r="P26552">
        <v>99.98</v>
      </c>
    </row>
    <row r="26553" spans="1:16" x14ac:dyDescent="0.25">
      <c r="A26553" t="s">
        <v>3296</v>
      </c>
      <c r="B26553" t="s">
        <v>2931</v>
      </c>
      <c r="C26553">
        <v>613</v>
      </c>
      <c r="D26553" t="str">
        <f>"0123751011  "</f>
        <v xml:space="preserve">0123751011  </v>
      </c>
      <c r="E26553" t="s">
        <v>292</v>
      </c>
      <c r="F26553" t="s">
        <v>294</v>
      </c>
      <c r="G26553">
        <v>238.61</v>
      </c>
      <c r="H26553">
        <v>250122</v>
      </c>
      <c r="I26553">
        <v>4580</v>
      </c>
      <c r="J26553" t="s">
        <v>126</v>
      </c>
      <c r="K26553">
        <v>238.61</v>
      </c>
      <c r="L26553">
        <v>48.48</v>
      </c>
      <c r="M26553">
        <v>17803</v>
      </c>
      <c r="N26553" t="s">
        <v>19</v>
      </c>
      <c r="O26553">
        <v>250124</v>
      </c>
      <c r="P26553">
        <v>190.13</v>
      </c>
    </row>
    <row r="26554" spans="1:16" x14ac:dyDescent="0.25">
      <c r="A26554" t="s">
        <v>3296</v>
      </c>
      <c r="B26554" t="s">
        <v>2931</v>
      </c>
      <c r="C26554">
        <v>813</v>
      </c>
      <c r="D26554" t="str">
        <f>"0123753535  "</f>
        <v xml:space="preserve">0123753535  </v>
      </c>
      <c r="E26554" t="s">
        <v>292</v>
      </c>
      <c r="F26554" t="s">
        <v>294</v>
      </c>
      <c r="G26554">
        <v>75.11</v>
      </c>
      <c r="H26554">
        <v>250123</v>
      </c>
      <c r="I26554">
        <v>4580</v>
      </c>
      <c r="J26554" t="s">
        <v>126</v>
      </c>
      <c r="K26554">
        <v>242.25</v>
      </c>
      <c r="L26554">
        <v>15.26</v>
      </c>
      <c r="M26554">
        <v>17805</v>
      </c>
      <c r="N26554" t="s">
        <v>21</v>
      </c>
      <c r="O26554">
        <v>250129</v>
      </c>
      <c r="P26554">
        <v>59.85</v>
      </c>
    </row>
    <row r="26555" spans="1:16" x14ac:dyDescent="0.25">
      <c r="A26555" t="s">
        <v>3296</v>
      </c>
      <c r="B26555" t="s">
        <v>2931</v>
      </c>
      <c r="C26555">
        <v>895</v>
      </c>
      <c r="D26555" t="str">
        <f>"0123774736  "</f>
        <v xml:space="preserve">0123774736  </v>
      </c>
      <c r="E26555" t="s">
        <v>292</v>
      </c>
      <c r="F26555" t="s">
        <v>294</v>
      </c>
      <c r="G26555">
        <v>524.32000000000005</v>
      </c>
      <c r="H26555">
        <v>250129</v>
      </c>
      <c r="I26555">
        <v>4580</v>
      </c>
      <c r="J26555" t="s">
        <v>126</v>
      </c>
      <c r="K26555">
        <v>524.32000000000005</v>
      </c>
      <c r="L26555">
        <v>106.54</v>
      </c>
      <c r="M26555">
        <v>17803</v>
      </c>
      <c r="N26555" t="s">
        <v>19</v>
      </c>
      <c r="O26555">
        <v>250130</v>
      </c>
      <c r="P26555">
        <v>417.78</v>
      </c>
    </row>
    <row r="26556" spans="1:16" x14ac:dyDescent="0.25">
      <c r="A26556" t="s">
        <v>3296</v>
      </c>
      <c r="B26556" t="s">
        <v>2931</v>
      </c>
      <c r="C26556">
        <v>1130</v>
      </c>
      <c r="D26556" t="str">
        <f>"0123762705  "</f>
        <v xml:space="preserve">0123762705  </v>
      </c>
      <c r="E26556" t="s">
        <v>292</v>
      </c>
      <c r="F26556" t="s">
        <v>294</v>
      </c>
      <c r="G26556">
        <v>310.51</v>
      </c>
      <c r="H26556">
        <v>250124</v>
      </c>
      <c r="I26556">
        <v>4580</v>
      </c>
      <c r="J26556" t="s">
        <v>126</v>
      </c>
      <c r="K26556">
        <v>310.51</v>
      </c>
      <c r="L26556">
        <v>63.09</v>
      </c>
      <c r="M26556">
        <v>46554</v>
      </c>
      <c r="N26556" t="s">
        <v>102</v>
      </c>
      <c r="O26556">
        <v>250204</v>
      </c>
      <c r="P26556">
        <v>247.42</v>
      </c>
    </row>
    <row r="26557" spans="1:16" x14ac:dyDescent="0.25">
      <c r="A26557" t="s">
        <v>3296</v>
      </c>
      <c r="B26557" t="s">
        <v>2931</v>
      </c>
      <c r="C26557">
        <v>1705</v>
      </c>
      <c r="D26557" t="str">
        <f>"0123817077  "</f>
        <v xml:space="preserve">0123817077  </v>
      </c>
      <c r="E26557" t="s">
        <v>292</v>
      </c>
      <c r="F26557" t="s">
        <v>294</v>
      </c>
      <c r="G26557">
        <v>24.36</v>
      </c>
      <c r="H26557">
        <v>250206</v>
      </c>
      <c r="I26557">
        <v>4580</v>
      </c>
      <c r="J26557" t="s">
        <v>126</v>
      </c>
      <c r="K26557">
        <v>203.42</v>
      </c>
      <c r="L26557">
        <v>4.95</v>
      </c>
      <c r="M26557">
        <v>17521</v>
      </c>
      <c r="N26557" t="s">
        <v>136</v>
      </c>
      <c r="O26557">
        <v>250212</v>
      </c>
      <c r="P26557">
        <v>19.41</v>
      </c>
    </row>
    <row r="26558" spans="1:16" x14ac:dyDescent="0.25">
      <c r="A26558" t="s">
        <v>3296</v>
      </c>
      <c r="B26558" t="s">
        <v>2931</v>
      </c>
      <c r="C26558">
        <v>1826</v>
      </c>
      <c r="D26558" t="str">
        <f>"0123763987  "</f>
        <v xml:space="preserve">0123763987  </v>
      </c>
      <c r="E26558" t="s">
        <v>292</v>
      </c>
      <c r="F26558" t="s">
        <v>294</v>
      </c>
      <c r="G26558">
        <v>63.55</v>
      </c>
      <c r="H26558">
        <v>250127</v>
      </c>
      <c r="I26558">
        <v>4580</v>
      </c>
      <c r="J26558" t="s">
        <v>126</v>
      </c>
      <c r="K26558">
        <v>63.55</v>
      </c>
      <c r="L26558">
        <v>12.91</v>
      </c>
      <c r="M26558">
        <v>17802</v>
      </c>
      <c r="N26558" t="s">
        <v>18</v>
      </c>
      <c r="O26558">
        <v>250214</v>
      </c>
      <c r="P26558">
        <v>50.64</v>
      </c>
    </row>
    <row r="26559" spans="1:16" x14ac:dyDescent="0.25">
      <c r="A26559" t="s">
        <v>3296</v>
      </c>
      <c r="B26559" t="s">
        <v>2931</v>
      </c>
      <c r="C26559">
        <v>1875</v>
      </c>
      <c r="D26559" t="str">
        <f>"0123804602  "</f>
        <v xml:space="preserve">0123804602  </v>
      </c>
      <c r="E26559" t="s">
        <v>292</v>
      </c>
      <c r="F26559" t="s">
        <v>294</v>
      </c>
      <c r="G26559">
        <v>496.3</v>
      </c>
      <c r="H26559">
        <v>250131</v>
      </c>
      <c r="I26559">
        <v>4580</v>
      </c>
      <c r="J26559" t="s">
        <v>126</v>
      </c>
      <c r="K26559">
        <v>496.3</v>
      </c>
      <c r="L26559">
        <v>100.84</v>
      </c>
      <c r="M26559">
        <v>17802</v>
      </c>
      <c r="N26559" t="s">
        <v>18</v>
      </c>
      <c r="O26559">
        <v>250214</v>
      </c>
      <c r="P26559">
        <v>395.46</v>
      </c>
    </row>
    <row r="26560" spans="1:16" x14ac:dyDescent="0.25">
      <c r="A26560" t="s">
        <v>3296</v>
      </c>
      <c r="B26560" t="s">
        <v>2931</v>
      </c>
      <c r="C26560">
        <v>1902</v>
      </c>
      <c r="D26560" t="str">
        <f>"0123829850  "</f>
        <v xml:space="preserve">0123829850  </v>
      </c>
      <c r="E26560" t="s">
        <v>292</v>
      </c>
      <c r="F26560" t="s">
        <v>294</v>
      </c>
      <c r="G26560">
        <v>312.5</v>
      </c>
      <c r="H26560">
        <v>250211</v>
      </c>
      <c r="I26560">
        <v>4580</v>
      </c>
      <c r="J26560" t="s">
        <v>126</v>
      </c>
      <c r="K26560">
        <v>691.51</v>
      </c>
      <c r="L26560">
        <v>63.5</v>
      </c>
      <c r="M26560">
        <v>17526</v>
      </c>
      <c r="N26560" t="s">
        <v>141</v>
      </c>
      <c r="O26560">
        <v>250214</v>
      </c>
      <c r="P26560">
        <v>249</v>
      </c>
    </row>
    <row r="26561" spans="1:16" x14ac:dyDescent="0.25">
      <c r="A26561" t="s">
        <v>3296</v>
      </c>
      <c r="B26561" t="s">
        <v>2931</v>
      </c>
      <c r="C26561">
        <v>1980</v>
      </c>
      <c r="D26561" t="str">
        <f>"0123804830  "</f>
        <v xml:space="preserve">0123804830  </v>
      </c>
      <c r="E26561" t="s">
        <v>292</v>
      </c>
      <c r="F26561" t="s">
        <v>294</v>
      </c>
      <c r="G26561">
        <v>452.8</v>
      </c>
      <c r="H26561">
        <v>250203</v>
      </c>
      <c r="I26561">
        <v>4580</v>
      </c>
      <c r="J26561" t="s">
        <v>126</v>
      </c>
      <c r="K26561">
        <v>452.8</v>
      </c>
      <c r="L26561">
        <v>92</v>
      </c>
      <c r="M26561">
        <v>46555</v>
      </c>
      <c r="N26561" t="s">
        <v>103</v>
      </c>
      <c r="O26561">
        <v>250218</v>
      </c>
      <c r="P26561">
        <v>360.8</v>
      </c>
    </row>
    <row r="26562" spans="1:16" x14ac:dyDescent="0.25">
      <c r="A26562" t="s">
        <v>3296</v>
      </c>
      <c r="B26562" t="s">
        <v>2931</v>
      </c>
      <c r="C26562">
        <v>2168</v>
      </c>
      <c r="D26562" t="str">
        <f>"0123843983  "</f>
        <v xml:space="preserve">0123843983  </v>
      </c>
      <c r="E26562" t="s">
        <v>292</v>
      </c>
      <c r="F26562" t="s">
        <v>294</v>
      </c>
      <c r="G26562">
        <v>285.52</v>
      </c>
      <c r="H26562">
        <v>250214</v>
      </c>
      <c r="I26562">
        <v>4580</v>
      </c>
      <c r="J26562" t="s">
        <v>126</v>
      </c>
      <c r="K26562">
        <v>285.52</v>
      </c>
      <c r="L26562">
        <v>58.01</v>
      </c>
      <c r="M26562">
        <v>56564</v>
      </c>
      <c r="N26562" t="s">
        <v>56</v>
      </c>
      <c r="O26562">
        <v>250220</v>
      </c>
      <c r="P26562">
        <v>227.51</v>
      </c>
    </row>
    <row r="26563" spans="1:16" x14ac:dyDescent="0.25">
      <c r="A26563" t="s">
        <v>3296</v>
      </c>
      <c r="B26563" t="s">
        <v>2931</v>
      </c>
      <c r="C26563">
        <v>2182</v>
      </c>
      <c r="D26563" t="str">
        <f>"0123749907  "</f>
        <v xml:space="preserve">0123749907  </v>
      </c>
      <c r="E26563" t="s">
        <v>292</v>
      </c>
      <c r="F26563" t="s">
        <v>294</v>
      </c>
      <c r="G26563">
        <v>241</v>
      </c>
      <c r="H26563">
        <v>250201</v>
      </c>
      <c r="I26563">
        <v>4580</v>
      </c>
      <c r="J26563" t="s">
        <v>126</v>
      </c>
      <c r="K26563">
        <v>2158.39</v>
      </c>
      <c r="L26563">
        <v>48.97</v>
      </c>
      <c r="M26563">
        <v>46554</v>
      </c>
      <c r="N26563" t="s">
        <v>102</v>
      </c>
      <c r="O26563">
        <v>250221</v>
      </c>
      <c r="P26563">
        <v>192.03</v>
      </c>
    </row>
    <row r="26564" spans="1:16" x14ac:dyDescent="0.25">
      <c r="A26564" t="s">
        <v>3296</v>
      </c>
      <c r="B26564" t="s">
        <v>2931</v>
      </c>
      <c r="C26564">
        <v>2255</v>
      </c>
      <c r="D26564" t="str">
        <f>"0123861973  "</f>
        <v xml:space="preserve">0123861973  </v>
      </c>
      <c r="E26564" t="s">
        <v>292</v>
      </c>
      <c r="F26564" t="s">
        <v>294</v>
      </c>
      <c r="G26564">
        <v>46.59</v>
      </c>
      <c r="H26564">
        <v>250220</v>
      </c>
      <c r="I26564">
        <v>4580</v>
      </c>
      <c r="J26564" t="s">
        <v>126</v>
      </c>
      <c r="K26564">
        <v>46.59</v>
      </c>
      <c r="L26564">
        <v>9.4700000000000006</v>
      </c>
      <c r="M26564">
        <v>46557</v>
      </c>
      <c r="N26564" t="s">
        <v>104</v>
      </c>
      <c r="O26564">
        <v>250221</v>
      </c>
      <c r="P26564">
        <v>37.119999999999997</v>
      </c>
    </row>
    <row r="26565" spans="1:16" x14ac:dyDescent="0.25">
      <c r="A26565" t="s">
        <v>3296</v>
      </c>
      <c r="B26565" t="s">
        <v>2931</v>
      </c>
      <c r="C26565">
        <v>2487</v>
      </c>
      <c r="D26565" t="str">
        <f>"0123861971  "</f>
        <v xml:space="preserve">0123861971  </v>
      </c>
      <c r="E26565" t="s">
        <v>292</v>
      </c>
      <c r="F26565" t="s">
        <v>294</v>
      </c>
      <c r="G26565">
        <v>249.74</v>
      </c>
      <c r="H26565">
        <v>250220</v>
      </c>
      <c r="I26565">
        <v>4580</v>
      </c>
      <c r="J26565" t="s">
        <v>126</v>
      </c>
      <c r="K26565">
        <v>1295.23</v>
      </c>
      <c r="L26565">
        <v>50.74</v>
      </c>
      <c r="M26565">
        <v>46554</v>
      </c>
      <c r="N26565" t="s">
        <v>102</v>
      </c>
      <c r="O26565">
        <v>250228</v>
      </c>
      <c r="P26565">
        <v>199</v>
      </c>
    </row>
    <row r="26566" spans="1:16" x14ac:dyDescent="0.25">
      <c r="A26566" t="s">
        <v>3296</v>
      </c>
      <c r="B26566" t="s">
        <v>2931</v>
      </c>
      <c r="C26566">
        <v>2849</v>
      </c>
      <c r="D26566" t="str">
        <f>"0123853924  "</f>
        <v xml:space="preserve">0123853924  </v>
      </c>
      <c r="E26566" t="s">
        <v>292</v>
      </c>
      <c r="F26566" t="s">
        <v>294</v>
      </c>
      <c r="G26566">
        <v>300.19</v>
      </c>
      <c r="H26566">
        <v>250217</v>
      </c>
      <c r="I26566">
        <v>4580</v>
      </c>
      <c r="J26566" t="s">
        <v>126</v>
      </c>
      <c r="K26566">
        <v>313.24</v>
      </c>
      <c r="L26566">
        <v>60.99</v>
      </c>
      <c r="M26566">
        <v>17521</v>
      </c>
      <c r="N26566" t="s">
        <v>136</v>
      </c>
      <c r="O26566">
        <v>250312</v>
      </c>
      <c r="P26566">
        <v>239.2</v>
      </c>
    </row>
    <row r="26567" spans="1:16" x14ac:dyDescent="0.25">
      <c r="A26567" t="s">
        <v>3296</v>
      </c>
      <c r="B26567" t="s">
        <v>2931</v>
      </c>
      <c r="C26567">
        <v>2867</v>
      </c>
      <c r="D26567" t="str">
        <f>"0123863575  "</f>
        <v xml:space="preserve">0123863575  </v>
      </c>
      <c r="E26567" t="s">
        <v>292</v>
      </c>
      <c r="F26567" t="s">
        <v>294</v>
      </c>
      <c r="G26567">
        <v>17.57</v>
      </c>
      <c r="H26567">
        <v>250220</v>
      </c>
      <c r="I26567">
        <v>4580</v>
      </c>
      <c r="J26567" t="s">
        <v>126</v>
      </c>
      <c r="K26567">
        <v>17.57</v>
      </c>
      <c r="L26567">
        <v>3.57</v>
      </c>
      <c r="M26567">
        <v>17809</v>
      </c>
      <c r="N26567" t="s">
        <v>25</v>
      </c>
      <c r="O26567">
        <v>250312</v>
      </c>
      <c r="P26567">
        <v>14</v>
      </c>
    </row>
    <row r="26568" spans="1:16" x14ac:dyDescent="0.25">
      <c r="A26568" t="s">
        <v>3296</v>
      </c>
      <c r="B26568" t="s">
        <v>2931</v>
      </c>
      <c r="C26568">
        <v>2869</v>
      </c>
      <c r="D26568" t="str">
        <f>"0123875884  "</f>
        <v xml:space="preserve">0123875884  </v>
      </c>
      <c r="E26568" t="s">
        <v>292</v>
      </c>
      <c r="F26568" t="s">
        <v>294</v>
      </c>
      <c r="G26568">
        <v>277.61</v>
      </c>
      <c r="H26568">
        <v>250224</v>
      </c>
      <c r="I26568">
        <v>4580</v>
      </c>
      <c r="J26568" t="s">
        <v>126</v>
      </c>
      <c r="K26568">
        <v>277.61</v>
      </c>
      <c r="L26568">
        <v>56.41</v>
      </c>
      <c r="M26568">
        <v>46554</v>
      </c>
      <c r="N26568" t="s">
        <v>102</v>
      </c>
      <c r="O26568">
        <v>250312</v>
      </c>
      <c r="P26568">
        <v>221.2</v>
      </c>
    </row>
    <row r="26569" spans="1:16" x14ac:dyDescent="0.25">
      <c r="A26569" t="s">
        <v>3296</v>
      </c>
      <c r="B26569" t="s">
        <v>2931</v>
      </c>
      <c r="C26569">
        <v>2979</v>
      </c>
      <c r="D26569" t="str">
        <f>"0123910537  "</f>
        <v xml:space="preserve">0123910537  </v>
      </c>
      <c r="E26569" t="s">
        <v>292</v>
      </c>
      <c r="F26569" t="s">
        <v>294</v>
      </c>
      <c r="G26569">
        <v>18.72</v>
      </c>
      <c r="H26569">
        <v>250228</v>
      </c>
      <c r="I26569">
        <v>4580</v>
      </c>
      <c r="J26569" t="s">
        <v>126</v>
      </c>
      <c r="K26569">
        <v>18.72</v>
      </c>
      <c r="L26569">
        <v>3.8</v>
      </c>
      <c r="M26569">
        <v>17521</v>
      </c>
      <c r="N26569" t="s">
        <v>136</v>
      </c>
      <c r="O26569">
        <v>250313</v>
      </c>
      <c r="P26569">
        <v>14.92</v>
      </c>
    </row>
    <row r="26570" spans="1:16" x14ac:dyDescent="0.25">
      <c r="A26570" t="s">
        <v>3296</v>
      </c>
      <c r="B26570" t="s">
        <v>2931</v>
      </c>
      <c r="C26570">
        <v>4335</v>
      </c>
      <c r="D26570" t="str">
        <f>"0123942981  "</f>
        <v xml:space="preserve">0123942981  </v>
      </c>
      <c r="E26570" t="s">
        <v>292</v>
      </c>
      <c r="F26570" t="s">
        <v>294</v>
      </c>
      <c r="G26570">
        <v>223.57</v>
      </c>
      <c r="H26570">
        <v>250313</v>
      </c>
      <c r="I26570">
        <v>4580</v>
      </c>
      <c r="J26570" t="s">
        <v>126</v>
      </c>
      <c r="K26570">
        <v>223.57</v>
      </c>
      <c r="L26570">
        <v>45.43</v>
      </c>
      <c r="M26570">
        <v>17803</v>
      </c>
      <c r="N26570" t="s">
        <v>19</v>
      </c>
      <c r="O26570">
        <v>250411</v>
      </c>
      <c r="P26570">
        <v>178.14</v>
      </c>
    </row>
    <row r="26571" spans="1:16" x14ac:dyDescent="0.25">
      <c r="A26571" t="s">
        <v>3296</v>
      </c>
      <c r="B26571" t="s">
        <v>2931</v>
      </c>
      <c r="C26571">
        <v>4348</v>
      </c>
      <c r="D26571" t="str">
        <f>"0123949090  "</f>
        <v xml:space="preserve">0123949090  </v>
      </c>
      <c r="E26571" t="s">
        <v>292</v>
      </c>
      <c r="F26571" t="s">
        <v>294</v>
      </c>
      <c r="G26571">
        <v>191.01</v>
      </c>
      <c r="H26571">
        <v>250314</v>
      </c>
      <c r="I26571">
        <v>4580</v>
      </c>
      <c r="J26571" t="s">
        <v>126</v>
      </c>
      <c r="K26571">
        <v>191.01</v>
      </c>
      <c r="L26571">
        <v>38.81</v>
      </c>
      <c r="M26571">
        <v>56558</v>
      </c>
      <c r="N26571" t="s">
        <v>50</v>
      </c>
      <c r="O26571">
        <v>250411</v>
      </c>
      <c r="P26571">
        <v>152.19999999999999</v>
      </c>
    </row>
    <row r="26572" spans="1:16" x14ac:dyDescent="0.25">
      <c r="A26572" t="s">
        <v>3296</v>
      </c>
      <c r="B26572" t="s">
        <v>2931</v>
      </c>
      <c r="C26572">
        <v>4987</v>
      </c>
      <c r="D26572" t="str">
        <f>"0124001639  "</f>
        <v xml:space="preserve">0124001639  </v>
      </c>
      <c r="E26572" t="s">
        <v>292</v>
      </c>
      <c r="F26572" t="s">
        <v>294</v>
      </c>
      <c r="G26572">
        <v>623.99</v>
      </c>
      <c r="H26572">
        <v>250328</v>
      </c>
      <c r="I26572">
        <v>4580</v>
      </c>
      <c r="J26572" t="s">
        <v>126</v>
      </c>
      <c r="K26572">
        <v>623.99</v>
      </c>
      <c r="L26572">
        <v>126.79</v>
      </c>
      <c r="M26572">
        <v>46555</v>
      </c>
      <c r="N26572" t="s">
        <v>103</v>
      </c>
      <c r="O26572">
        <v>250416</v>
      </c>
      <c r="P26572">
        <v>497.2</v>
      </c>
    </row>
    <row r="26573" spans="1:16" x14ac:dyDescent="0.25">
      <c r="A26573" t="s">
        <v>3296</v>
      </c>
      <c r="B26573" t="s">
        <v>2931</v>
      </c>
      <c r="C26573">
        <v>4995</v>
      </c>
      <c r="D26573" t="str">
        <f>"0123998050  "</f>
        <v xml:space="preserve">0123998050  </v>
      </c>
      <c r="E26573" t="s">
        <v>292</v>
      </c>
      <c r="F26573" t="s">
        <v>294</v>
      </c>
      <c r="G26573">
        <v>254.85</v>
      </c>
      <c r="H26573">
        <v>250328</v>
      </c>
      <c r="I26573">
        <v>4580</v>
      </c>
      <c r="J26573" t="s">
        <v>126</v>
      </c>
      <c r="K26573">
        <v>318.20999999999998</v>
      </c>
      <c r="L26573">
        <v>51.78</v>
      </c>
      <c r="M26573">
        <v>17521</v>
      </c>
      <c r="N26573" t="s">
        <v>136</v>
      </c>
      <c r="O26573">
        <v>250416</v>
      </c>
      <c r="P26573">
        <v>203.07</v>
      </c>
    </row>
    <row r="26574" spans="1:16" x14ac:dyDescent="0.25">
      <c r="A26574" t="s">
        <v>3296</v>
      </c>
      <c r="B26574" t="s">
        <v>2931</v>
      </c>
      <c r="C26574">
        <v>5204</v>
      </c>
      <c r="D26574" t="str">
        <f>"0123987476  "</f>
        <v xml:space="preserve">0123987476  </v>
      </c>
      <c r="E26574" t="s">
        <v>292</v>
      </c>
      <c r="F26574" t="s">
        <v>294</v>
      </c>
      <c r="G26574">
        <v>491.08</v>
      </c>
      <c r="H26574">
        <v>250326</v>
      </c>
      <c r="I26574">
        <v>4580</v>
      </c>
      <c r="J26574" t="s">
        <v>126</v>
      </c>
      <c r="K26574">
        <v>491.08</v>
      </c>
      <c r="L26574">
        <v>99.78</v>
      </c>
      <c r="M26574">
        <v>46554</v>
      </c>
      <c r="N26574" t="s">
        <v>102</v>
      </c>
      <c r="O26574">
        <v>250422</v>
      </c>
      <c r="P26574">
        <v>391.3</v>
      </c>
    </row>
    <row r="26575" spans="1:16" x14ac:dyDescent="0.25">
      <c r="A26575" t="s">
        <v>3296</v>
      </c>
      <c r="B26575" t="s">
        <v>2931</v>
      </c>
      <c r="C26575">
        <v>5487</v>
      </c>
      <c r="D26575" t="str">
        <f>"0124027070  "</f>
        <v xml:space="preserve">0124027070  </v>
      </c>
      <c r="E26575" t="s">
        <v>292</v>
      </c>
      <c r="F26575" t="s">
        <v>294</v>
      </c>
      <c r="G26575">
        <v>95.2</v>
      </c>
      <c r="H26575">
        <v>250401</v>
      </c>
      <c r="I26575">
        <v>4580</v>
      </c>
      <c r="J26575" t="s">
        <v>126</v>
      </c>
      <c r="K26575">
        <v>95.2</v>
      </c>
      <c r="L26575">
        <v>19.34</v>
      </c>
      <c r="M26575">
        <v>46557</v>
      </c>
      <c r="N26575" t="s">
        <v>104</v>
      </c>
      <c r="O26575">
        <v>250424</v>
      </c>
      <c r="P26575">
        <v>75.86</v>
      </c>
    </row>
    <row r="26576" spans="1:16" x14ac:dyDescent="0.25">
      <c r="A26576" t="s">
        <v>3296</v>
      </c>
      <c r="B26576" t="s">
        <v>2931</v>
      </c>
      <c r="C26576">
        <v>5559</v>
      </c>
      <c r="D26576" t="str">
        <f>"0124043359  "</f>
        <v xml:space="preserve">0124043359  </v>
      </c>
      <c r="E26576" t="s">
        <v>292</v>
      </c>
      <c r="F26576" t="s">
        <v>294</v>
      </c>
      <c r="G26576">
        <v>241.47</v>
      </c>
      <c r="H26576">
        <v>250404</v>
      </c>
      <c r="I26576">
        <v>4580</v>
      </c>
      <c r="J26576" t="s">
        <v>126</v>
      </c>
      <c r="K26576">
        <v>667.51</v>
      </c>
      <c r="L26576">
        <v>49.06</v>
      </c>
      <c r="M26576">
        <v>67522</v>
      </c>
      <c r="N26576" t="s">
        <v>121</v>
      </c>
      <c r="O26576">
        <v>250425</v>
      </c>
      <c r="P26576">
        <v>192.41</v>
      </c>
    </row>
    <row r="26577" spans="1:16" x14ac:dyDescent="0.25">
      <c r="A26577" t="s">
        <v>3296</v>
      </c>
      <c r="B26577" t="s">
        <v>2931</v>
      </c>
      <c r="C26577">
        <v>5597</v>
      </c>
      <c r="D26577" t="str">
        <f>"0124045529  "</f>
        <v xml:space="preserve">0124045529  </v>
      </c>
      <c r="E26577" t="s">
        <v>292</v>
      </c>
      <c r="F26577" t="s">
        <v>294</v>
      </c>
      <c r="G26577">
        <v>39.53</v>
      </c>
      <c r="H26577">
        <v>250407</v>
      </c>
      <c r="I26577">
        <v>4580</v>
      </c>
      <c r="J26577" t="s">
        <v>126</v>
      </c>
      <c r="K26577">
        <v>140.02000000000001</v>
      </c>
      <c r="L26577">
        <v>8.0299999999999994</v>
      </c>
      <c r="M26577">
        <v>17524</v>
      </c>
      <c r="N26577" t="s">
        <v>139</v>
      </c>
      <c r="O26577">
        <v>250425</v>
      </c>
      <c r="P26577">
        <v>31.5</v>
      </c>
    </row>
    <row r="26578" spans="1:16" x14ac:dyDescent="0.25">
      <c r="A26578" t="s">
        <v>3296</v>
      </c>
      <c r="B26578" t="s">
        <v>2931</v>
      </c>
      <c r="C26578">
        <v>5601</v>
      </c>
      <c r="D26578" t="str">
        <f>"0124045349  "</f>
        <v xml:space="preserve">0124045349  </v>
      </c>
      <c r="E26578" t="s">
        <v>292</v>
      </c>
      <c r="F26578" t="s">
        <v>294</v>
      </c>
      <c r="G26578">
        <v>946.61</v>
      </c>
      <c r="H26578">
        <v>250407</v>
      </c>
      <c r="I26578">
        <v>4580</v>
      </c>
      <c r="J26578" t="s">
        <v>126</v>
      </c>
      <c r="K26578">
        <v>946.61</v>
      </c>
      <c r="L26578">
        <v>192.34</v>
      </c>
      <c r="M26578">
        <v>46554</v>
      </c>
      <c r="N26578" t="s">
        <v>102</v>
      </c>
      <c r="O26578">
        <v>250425</v>
      </c>
      <c r="P26578">
        <v>754.27</v>
      </c>
    </row>
    <row r="26579" spans="1:16" x14ac:dyDescent="0.25">
      <c r="A26579" t="s">
        <v>3296</v>
      </c>
      <c r="B26579" t="s">
        <v>2931</v>
      </c>
      <c r="C26579">
        <v>5652</v>
      </c>
      <c r="D26579" t="str">
        <f>"0124057451  "</f>
        <v xml:space="preserve">0124057451  </v>
      </c>
      <c r="E26579" t="s">
        <v>292</v>
      </c>
      <c r="F26579" t="s">
        <v>294</v>
      </c>
      <c r="G26579">
        <v>86.17</v>
      </c>
      <c r="H26579">
        <v>250410</v>
      </c>
      <c r="I26579">
        <v>4580</v>
      </c>
      <c r="J26579" t="s">
        <v>126</v>
      </c>
      <c r="K26579">
        <v>86.17</v>
      </c>
      <c r="L26579">
        <v>17.510000000000002</v>
      </c>
      <c r="M26579">
        <v>17804</v>
      </c>
      <c r="N26579" t="s">
        <v>20</v>
      </c>
      <c r="O26579">
        <v>250428</v>
      </c>
      <c r="P26579">
        <v>68.66</v>
      </c>
    </row>
    <row r="26580" spans="1:16" x14ac:dyDescent="0.25">
      <c r="A26580" t="s">
        <v>3296</v>
      </c>
      <c r="B26580" t="s">
        <v>2931</v>
      </c>
      <c r="C26580">
        <v>5665</v>
      </c>
      <c r="D26580" t="str">
        <f>"0123979469  "</f>
        <v xml:space="preserve">0123979469  </v>
      </c>
      <c r="E26580" t="s">
        <v>292</v>
      </c>
      <c r="F26580" t="s">
        <v>294</v>
      </c>
      <c r="G26580">
        <v>123.49</v>
      </c>
      <c r="H26580">
        <v>250401</v>
      </c>
      <c r="I26580">
        <v>4580</v>
      </c>
      <c r="J26580" t="s">
        <v>126</v>
      </c>
      <c r="K26580">
        <v>123.49</v>
      </c>
      <c r="L26580">
        <v>25.09</v>
      </c>
      <c r="M26580">
        <v>46554</v>
      </c>
      <c r="N26580" t="s">
        <v>102</v>
      </c>
      <c r="O26580">
        <v>250428</v>
      </c>
      <c r="P26580">
        <v>98.4</v>
      </c>
    </row>
    <row r="26581" spans="1:16" x14ac:dyDescent="0.25">
      <c r="A26581" t="s">
        <v>3296</v>
      </c>
      <c r="B26581" t="s">
        <v>2931</v>
      </c>
      <c r="C26581">
        <v>5857</v>
      </c>
      <c r="D26581" t="str">
        <f>"0124078157  "</f>
        <v xml:space="preserve">0124078157  </v>
      </c>
      <c r="E26581" t="s">
        <v>292</v>
      </c>
      <c r="F26581" t="s">
        <v>294</v>
      </c>
      <c r="G26581">
        <v>156.82</v>
      </c>
      <c r="H26581">
        <v>250415</v>
      </c>
      <c r="I26581">
        <v>4580</v>
      </c>
      <c r="J26581" t="s">
        <v>126</v>
      </c>
      <c r="K26581">
        <v>215.76</v>
      </c>
      <c r="L26581">
        <v>31.86</v>
      </c>
      <c r="M26581">
        <v>17521</v>
      </c>
      <c r="N26581" t="s">
        <v>136</v>
      </c>
      <c r="O26581">
        <v>250505</v>
      </c>
      <c r="P26581">
        <v>124.96</v>
      </c>
    </row>
    <row r="26582" spans="1:16" x14ac:dyDescent="0.25">
      <c r="A26582" t="s">
        <v>3296</v>
      </c>
      <c r="B26582" t="s">
        <v>2931</v>
      </c>
      <c r="C26582">
        <v>5860</v>
      </c>
      <c r="D26582" t="str">
        <f>"0124078111  "</f>
        <v xml:space="preserve">0124078111  </v>
      </c>
      <c r="E26582" t="s">
        <v>292</v>
      </c>
      <c r="F26582" t="s">
        <v>294</v>
      </c>
      <c r="G26582">
        <v>19.98</v>
      </c>
      <c r="H26582">
        <v>250415</v>
      </c>
      <c r="I26582">
        <v>4580</v>
      </c>
      <c r="J26582" t="s">
        <v>126</v>
      </c>
      <c r="K26582">
        <v>19.98</v>
      </c>
      <c r="L26582">
        <v>4.0599999999999996</v>
      </c>
      <c r="M26582">
        <v>17804</v>
      </c>
      <c r="N26582" t="s">
        <v>20</v>
      </c>
      <c r="O26582">
        <v>250505</v>
      </c>
      <c r="P26582">
        <v>15.92</v>
      </c>
    </row>
    <row r="26583" spans="1:16" x14ac:dyDescent="0.25">
      <c r="A26583" t="s">
        <v>3296</v>
      </c>
      <c r="B26583" t="s">
        <v>2931</v>
      </c>
      <c r="C26583">
        <v>5968</v>
      </c>
      <c r="D26583" t="str">
        <f>"0095500345  "</f>
        <v xml:space="preserve">0095500345  </v>
      </c>
      <c r="E26583" t="s">
        <v>292</v>
      </c>
      <c r="F26583" t="s">
        <v>294</v>
      </c>
      <c r="G26583">
        <v>-134.11000000000001</v>
      </c>
      <c r="H26583">
        <v>250415</v>
      </c>
      <c r="I26583">
        <v>4580</v>
      </c>
      <c r="J26583" t="s">
        <v>126</v>
      </c>
      <c r="K26583">
        <v>-134.11000000000001</v>
      </c>
      <c r="L26583">
        <v>-27.25</v>
      </c>
      <c r="M26583">
        <v>56558</v>
      </c>
      <c r="N26583" t="s">
        <v>50</v>
      </c>
      <c r="O26583">
        <v>250507</v>
      </c>
      <c r="P26583">
        <v>-106.86</v>
      </c>
    </row>
    <row r="26584" spans="1:16" x14ac:dyDescent="0.25">
      <c r="A26584" t="s">
        <v>3296</v>
      </c>
      <c r="B26584" t="s">
        <v>2931</v>
      </c>
      <c r="C26584">
        <v>6086</v>
      </c>
      <c r="D26584" t="str">
        <f>"0124074464  "</f>
        <v xml:space="preserve">0124074464  </v>
      </c>
      <c r="E26584" t="s">
        <v>292</v>
      </c>
      <c r="F26584" t="s">
        <v>294</v>
      </c>
      <c r="G26584">
        <v>433.6</v>
      </c>
      <c r="H26584">
        <v>250415</v>
      </c>
      <c r="I26584">
        <v>4580</v>
      </c>
      <c r="J26584" t="s">
        <v>126</v>
      </c>
      <c r="K26584">
        <v>433.6</v>
      </c>
      <c r="L26584">
        <v>88.1</v>
      </c>
      <c r="M26584">
        <v>56558</v>
      </c>
      <c r="N26584" t="s">
        <v>50</v>
      </c>
      <c r="O26584">
        <v>250508</v>
      </c>
      <c r="P26584">
        <v>345.5</v>
      </c>
    </row>
    <row r="26585" spans="1:16" x14ac:dyDescent="0.25">
      <c r="A26585" t="s">
        <v>3296</v>
      </c>
      <c r="B26585" t="s">
        <v>2931</v>
      </c>
      <c r="C26585">
        <v>6354</v>
      </c>
      <c r="D26585" t="str">
        <f>"0124099809  "</f>
        <v xml:space="preserve">0124099809  </v>
      </c>
      <c r="E26585" t="s">
        <v>292</v>
      </c>
      <c r="F26585" t="s">
        <v>294</v>
      </c>
      <c r="G26585">
        <v>668.63</v>
      </c>
      <c r="H26585">
        <v>250423</v>
      </c>
      <c r="I26585">
        <v>4580</v>
      </c>
      <c r="J26585" t="s">
        <v>126</v>
      </c>
      <c r="K26585">
        <v>668.63</v>
      </c>
      <c r="L26585">
        <v>135.86000000000001</v>
      </c>
      <c r="M26585">
        <v>46554</v>
      </c>
      <c r="N26585" t="s">
        <v>102</v>
      </c>
      <c r="O26585">
        <v>250512</v>
      </c>
      <c r="P26585">
        <v>532.77</v>
      </c>
    </row>
    <row r="26586" spans="1:16" x14ac:dyDescent="0.25">
      <c r="A26586" t="s">
        <v>3296</v>
      </c>
      <c r="B26586" t="s">
        <v>2931</v>
      </c>
      <c r="C26586">
        <v>6447</v>
      </c>
      <c r="D26586" t="str">
        <f>"0124095380  "</f>
        <v xml:space="preserve">0124095380  </v>
      </c>
      <c r="E26586" t="s">
        <v>292</v>
      </c>
      <c r="F26586" t="s">
        <v>294</v>
      </c>
      <c r="G26586">
        <v>23.29</v>
      </c>
      <c r="H26586">
        <v>250422</v>
      </c>
      <c r="I26586">
        <v>4580</v>
      </c>
      <c r="J26586" t="s">
        <v>126</v>
      </c>
      <c r="K26586">
        <v>23.29</v>
      </c>
      <c r="L26586">
        <v>4.7300000000000004</v>
      </c>
      <c r="M26586">
        <v>46555</v>
      </c>
      <c r="N26586" t="s">
        <v>103</v>
      </c>
      <c r="O26586">
        <v>250513</v>
      </c>
      <c r="P26586">
        <v>18.559999999999999</v>
      </c>
    </row>
    <row r="26587" spans="1:16" x14ac:dyDescent="0.25">
      <c r="A26587" t="s">
        <v>3296</v>
      </c>
      <c r="B26587" t="s">
        <v>2931</v>
      </c>
      <c r="C26587">
        <v>6533</v>
      </c>
      <c r="D26587" t="str">
        <f>"0124150745  "</f>
        <v xml:space="preserve">0124150745  </v>
      </c>
      <c r="E26587" t="s">
        <v>292</v>
      </c>
      <c r="F26587" t="s">
        <v>294</v>
      </c>
      <c r="G26587">
        <v>483.61</v>
      </c>
      <c r="H26587">
        <v>250502</v>
      </c>
      <c r="I26587">
        <v>4580</v>
      </c>
      <c r="J26587" t="s">
        <v>126</v>
      </c>
      <c r="K26587">
        <v>483.61</v>
      </c>
      <c r="L26587">
        <v>98.26</v>
      </c>
      <c r="M26587">
        <v>17803</v>
      </c>
      <c r="N26587" t="s">
        <v>19</v>
      </c>
      <c r="O26587">
        <v>250513</v>
      </c>
      <c r="P26587">
        <v>385.35</v>
      </c>
    </row>
    <row r="26588" spans="1:16" x14ac:dyDescent="0.25">
      <c r="A26588" t="s">
        <v>3296</v>
      </c>
      <c r="B26588" t="s">
        <v>2931</v>
      </c>
      <c r="C26588">
        <v>6632</v>
      </c>
      <c r="D26588" t="str">
        <f>"0124150746  "</f>
        <v xml:space="preserve">0124150746  </v>
      </c>
      <c r="E26588" t="s">
        <v>292</v>
      </c>
      <c r="F26588" t="s">
        <v>294</v>
      </c>
      <c r="G26588">
        <v>49.15</v>
      </c>
      <c r="H26588">
        <v>250502</v>
      </c>
      <c r="I26588">
        <v>4580</v>
      </c>
      <c r="J26588" t="s">
        <v>126</v>
      </c>
      <c r="K26588">
        <v>49.15</v>
      </c>
      <c r="L26588">
        <v>9.99</v>
      </c>
      <c r="M26588">
        <v>17809</v>
      </c>
      <c r="N26588" t="s">
        <v>25</v>
      </c>
      <c r="O26588">
        <v>250514</v>
      </c>
      <c r="P26588">
        <v>39.159999999999997</v>
      </c>
    </row>
    <row r="26589" spans="1:16" x14ac:dyDescent="0.25">
      <c r="A26589" t="s">
        <v>3296</v>
      </c>
      <c r="B26589" t="s">
        <v>2931</v>
      </c>
      <c r="C26589">
        <v>6633</v>
      </c>
      <c r="D26589" t="str">
        <f>"0124146522  "</f>
        <v xml:space="preserve">0124146522  </v>
      </c>
      <c r="E26589" t="s">
        <v>292</v>
      </c>
      <c r="F26589" t="s">
        <v>294</v>
      </c>
      <c r="G26589">
        <v>85.49</v>
      </c>
      <c r="H26589">
        <v>250430</v>
      </c>
      <c r="I26589">
        <v>4580</v>
      </c>
      <c r="J26589" t="s">
        <v>126</v>
      </c>
      <c r="K26589">
        <v>85.49</v>
      </c>
      <c r="L26589">
        <v>17.37</v>
      </c>
      <c r="M26589">
        <v>17521</v>
      </c>
      <c r="N26589" t="s">
        <v>136</v>
      </c>
      <c r="O26589">
        <v>250514</v>
      </c>
      <c r="P26589">
        <v>68.12</v>
      </c>
    </row>
    <row r="26590" spans="1:16" x14ac:dyDescent="0.25">
      <c r="A26590" t="s">
        <v>3296</v>
      </c>
      <c r="B26590" t="s">
        <v>2931</v>
      </c>
      <c r="C26590">
        <v>6641</v>
      </c>
      <c r="D26590" t="str">
        <f>"0124154135  "</f>
        <v xml:space="preserve">0124154135  </v>
      </c>
      <c r="E26590" t="s">
        <v>292</v>
      </c>
      <c r="F26590" t="s">
        <v>294</v>
      </c>
      <c r="G26590">
        <v>433.65</v>
      </c>
      <c r="H26590">
        <v>250505</v>
      </c>
      <c r="I26590">
        <v>4580</v>
      </c>
      <c r="J26590" t="s">
        <v>126</v>
      </c>
      <c r="K26590">
        <v>433.65</v>
      </c>
      <c r="L26590">
        <v>88.11</v>
      </c>
      <c r="M26590">
        <v>46554</v>
      </c>
      <c r="N26590" t="s">
        <v>102</v>
      </c>
      <c r="O26590">
        <v>250514</v>
      </c>
      <c r="P26590">
        <v>345.54</v>
      </c>
    </row>
    <row r="26591" spans="1:16" x14ac:dyDescent="0.25">
      <c r="A26591" t="s">
        <v>3296</v>
      </c>
      <c r="B26591" t="s">
        <v>2931</v>
      </c>
      <c r="C26591">
        <v>6670</v>
      </c>
      <c r="D26591" t="str">
        <f>"0124147021  "</f>
        <v xml:space="preserve">0124147021  </v>
      </c>
      <c r="E26591" t="s">
        <v>292</v>
      </c>
      <c r="F26591" t="s">
        <v>294</v>
      </c>
      <c r="G26591">
        <v>86.6</v>
      </c>
      <c r="H26591">
        <v>250430</v>
      </c>
      <c r="I26591">
        <v>4580</v>
      </c>
      <c r="J26591" t="s">
        <v>126</v>
      </c>
      <c r="K26591">
        <v>86.6</v>
      </c>
      <c r="L26591">
        <v>17.600000000000001</v>
      </c>
      <c r="M26591">
        <v>67522</v>
      </c>
      <c r="N26591" t="s">
        <v>121</v>
      </c>
      <c r="O26591">
        <v>250515</v>
      </c>
      <c r="P26591">
        <v>69</v>
      </c>
    </row>
    <row r="26592" spans="1:16" x14ac:dyDescent="0.25">
      <c r="A26592" t="s">
        <v>3296</v>
      </c>
      <c r="B26592" t="s">
        <v>2931</v>
      </c>
      <c r="C26592">
        <v>6749</v>
      </c>
      <c r="D26592" t="str">
        <f>"0124114020  "</f>
        <v xml:space="preserve">0124114020  </v>
      </c>
      <c r="E26592" t="s">
        <v>292</v>
      </c>
      <c r="F26592" t="s">
        <v>294</v>
      </c>
      <c r="G26592">
        <v>749.29</v>
      </c>
      <c r="H26592">
        <v>250428</v>
      </c>
      <c r="I26592">
        <v>4580</v>
      </c>
      <c r="J26592" t="s">
        <v>126</v>
      </c>
      <c r="K26592">
        <v>749.29</v>
      </c>
      <c r="L26592">
        <v>152.25</v>
      </c>
      <c r="M26592">
        <v>46554</v>
      </c>
      <c r="N26592" t="s">
        <v>102</v>
      </c>
      <c r="O26592">
        <v>250516</v>
      </c>
      <c r="P26592">
        <v>597.04</v>
      </c>
    </row>
    <row r="26593" spans="1:16" x14ac:dyDescent="0.25">
      <c r="A26593" t="s">
        <v>3296</v>
      </c>
      <c r="B26593" t="s">
        <v>2931</v>
      </c>
      <c r="C26593">
        <v>6826</v>
      </c>
      <c r="D26593" t="str">
        <f>"0124092625  "</f>
        <v xml:space="preserve">0124092625  </v>
      </c>
      <c r="E26593" t="s">
        <v>292</v>
      </c>
      <c r="F26593" t="s">
        <v>294</v>
      </c>
      <c r="G26593">
        <v>125.3</v>
      </c>
      <c r="H26593">
        <v>250417</v>
      </c>
      <c r="I26593">
        <v>4580</v>
      </c>
      <c r="J26593" t="s">
        <v>126</v>
      </c>
      <c r="K26593">
        <v>125.3</v>
      </c>
      <c r="L26593">
        <v>25.46</v>
      </c>
      <c r="M26593">
        <v>17521</v>
      </c>
      <c r="N26593" t="s">
        <v>136</v>
      </c>
      <c r="O26593">
        <v>250519</v>
      </c>
      <c r="P26593">
        <v>99.84</v>
      </c>
    </row>
    <row r="26594" spans="1:16" x14ac:dyDescent="0.25">
      <c r="A26594" t="s">
        <v>3296</v>
      </c>
      <c r="B26594" t="s">
        <v>2931</v>
      </c>
      <c r="C26594">
        <v>7241</v>
      </c>
      <c r="D26594" t="str">
        <f>"0124150747  "</f>
        <v xml:space="preserve">0124150747  </v>
      </c>
      <c r="E26594" t="s">
        <v>292</v>
      </c>
      <c r="F26594" t="s">
        <v>294</v>
      </c>
      <c r="G26594">
        <v>136.15</v>
      </c>
      <c r="H26594">
        <v>250502</v>
      </c>
      <c r="I26594">
        <v>4580</v>
      </c>
      <c r="J26594" t="s">
        <v>126</v>
      </c>
      <c r="K26594">
        <v>136.15</v>
      </c>
      <c r="L26594">
        <v>27.66</v>
      </c>
      <c r="M26594">
        <v>17802</v>
      </c>
      <c r="N26594" t="s">
        <v>18</v>
      </c>
      <c r="O26594">
        <v>250527</v>
      </c>
      <c r="P26594">
        <v>108.49</v>
      </c>
    </row>
    <row r="26595" spans="1:16" x14ac:dyDescent="0.25">
      <c r="A26595" t="s">
        <v>3296</v>
      </c>
      <c r="B26595" t="s">
        <v>2931</v>
      </c>
      <c r="C26595">
        <v>7396</v>
      </c>
      <c r="D26595" t="str">
        <f>"0124157665  "</f>
        <v xml:space="preserve">0124157665  </v>
      </c>
      <c r="E26595" t="s">
        <v>292</v>
      </c>
      <c r="F26595" t="s">
        <v>294</v>
      </c>
      <c r="G26595">
        <v>15.44</v>
      </c>
      <c r="H26595">
        <v>250506</v>
      </c>
      <c r="I26595">
        <v>4580</v>
      </c>
      <c r="J26595" t="s">
        <v>126</v>
      </c>
      <c r="K26595">
        <v>15.44</v>
      </c>
      <c r="L26595">
        <v>3.14</v>
      </c>
      <c r="M26595">
        <v>17802</v>
      </c>
      <c r="N26595" t="s">
        <v>18</v>
      </c>
      <c r="O26595">
        <v>250603</v>
      </c>
      <c r="P26595">
        <v>12.3</v>
      </c>
    </row>
    <row r="26596" spans="1:16" x14ac:dyDescent="0.25">
      <c r="A26596" t="s">
        <v>3296</v>
      </c>
      <c r="B26596" t="s">
        <v>2931</v>
      </c>
      <c r="C26596">
        <v>7501</v>
      </c>
      <c r="D26596" t="str">
        <f>"0124166355  "</f>
        <v xml:space="preserve">0124166355  </v>
      </c>
      <c r="E26596" t="s">
        <v>292</v>
      </c>
      <c r="F26596" t="s">
        <v>294</v>
      </c>
      <c r="G26596">
        <v>376.45</v>
      </c>
      <c r="H26596">
        <v>250508</v>
      </c>
      <c r="I26596">
        <v>4580</v>
      </c>
      <c r="J26596" t="s">
        <v>126</v>
      </c>
      <c r="K26596">
        <v>376.45</v>
      </c>
      <c r="L26596">
        <v>76.489999999999995</v>
      </c>
      <c r="M26596">
        <v>46554</v>
      </c>
      <c r="N26596" t="s">
        <v>102</v>
      </c>
      <c r="O26596">
        <v>250604</v>
      </c>
      <c r="P26596">
        <v>299.95999999999998</v>
      </c>
    </row>
    <row r="26597" spans="1:16" x14ac:dyDescent="0.25">
      <c r="A26597" t="s">
        <v>3296</v>
      </c>
      <c r="B26597" t="s">
        <v>2931</v>
      </c>
      <c r="C26597">
        <v>7974</v>
      </c>
      <c r="D26597" t="str">
        <f>"0124195268  "</f>
        <v xml:space="preserve">0124195268  </v>
      </c>
      <c r="E26597" t="s">
        <v>292</v>
      </c>
      <c r="F26597" t="s">
        <v>294</v>
      </c>
      <c r="G26597">
        <v>354.75</v>
      </c>
      <c r="H26597">
        <v>250515</v>
      </c>
      <c r="I26597">
        <v>4580</v>
      </c>
      <c r="J26597" t="s">
        <v>126</v>
      </c>
      <c r="K26597">
        <v>354.75</v>
      </c>
      <c r="L26597">
        <v>72.08</v>
      </c>
      <c r="M26597">
        <v>17803</v>
      </c>
      <c r="N26597" t="s">
        <v>19</v>
      </c>
      <c r="O26597">
        <v>250610</v>
      </c>
      <c r="P26597">
        <v>282.67</v>
      </c>
    </row>
    <row r="26598" spans="1:16" x14ac:dyDescent="0.25">
      <c r="A26598" t="s">
        <v>3296</v>
      </c>
      <c r="B26598" t="s">
        <v>2931</v>
      </c>
      <c r="C26598">
        <v>8573</v>
      </c>
      <c r="D26598" t="str">
        <f>"0124236189  "</f>
        <v xml:space="preserve">0124236189  </v>
      </c>
      <c r="E26598" t="s">
        <v>292</v>
      </c>
      <c r="F26598" t="s">
        <v>294</v>
      </c>
      <c r="G26598">
        <v>1476.21</v>
      </c>
      <c r="H26598">
        <v>250526</v>
      </c>
      <c r="I26598">
        <v>4580</v>
      </c>
      <c r="J26598" t="s">
        <v>126</v>
      </c>
      <c r="K26598">
        <v>1476.21</v>
      </c>
      <c r="L26598">
        <v>299.95</v>
      </c>
      <c r="M26598">
        <v>17808</v>
      </c>
      <c r="N26598" t="s">
        <v>24</v>
      </c>
      <c r="O26598">
        <v>250617</v>
      </c>
      <c r="P26598">
        <v>1176.26</v>
      </c>
    </row>
    <row r="26599" spans="1:16" x14ac:dyDescent="0.25">
      <c r="A26599" t="s">
        <v>3296</v>
      </c>
      <c r="B26599" t="s">
        <v>2931</v>
      </c>
      <c r="C26599">
        <v>9671</v>
      </c>
      <c r="D26599" t="str">
        <f>"0124396202  "</f>
        <v xml:space="preserve">0124396202  </v>
      </c>
      <c r="E26599" t="s">
        <v>292</v>
      </c>
      <c r="F26599" t="s">
        <v>294</v>
      </c>
      <c r="G26599">
        <v>28.71</v>
      </c>
      <c r="H26599">
        <v>250630</v>
      </c>
      <c r="I26599">
        <v>4580</v>
      </c>
      <c r="J26599" t="s">
        <v>126</v>
      </c>
      <c r="K26599">
        <v>28.71</v>
      </c>
      <c r="L26599">
        <v>5.83</v>
      </c>
      <c r="M26599">
        <v>17523</v>
      </c>
      <c r="N26599" t="s">
        <v>138</v>
      </c>
      <c r="O26599">
        <v>250724</v>
      </c>
      <c r="P26599">
        <v>22.88</v>
      </c>
    </row>
    <row r="26600" spans="1:16" x14ac:dyDescent="0.25">
      <c r="A26600" t="s">
        <v>3296</v>
      </c>
      <c r="B26600" t="s">
        <v>2931</v>
      </c>
      <c r="C26600">
        <v>9910</v>
      </c>
      <c r="D26600" t="str">
        <f>"0124428407  "</f>
        <v xml:space="preserve">0124428407  </v>
      </c>
      <c r="E26600" t="s">
        <v>292</v>
      </c>
      <c r="F26600" t="s">
        <v>294</v>
      </c>
      <c r="G26600">
        <v>832.14</v>
      </c>
      <c r="H26600">
        <v>250710</v>
      </c>
      <c r="I26600">
        <v>4580</v>
      </c>
      <c r="J26600" t="s">
        <v>126</v>
      </c>
      <c r="K26600">
        <v>832.14</v>
      </c>
      <c r="L26600">
        <v>169.08</v>
      </c>
      <c r="M26600">
        <v>17521</v>
      </c>
      <c r="N26600" t="s">
        <v>136</v>
      </c>
      <c r="O26600">
        <v>250804</v>
      </c>
      <c r="P26600">
        <v>663.06</v>
      </c>
    </row>
    <row r="26601" spans="1:16" x14ac:dyDescent="0.25">
      <c r="A26601" t="s">
        <v>3296</v>
      </c>
      <c r="B26601" t="s">
        <v>2931</v>
      </c>
      <c r="C26601">
        <v>9952</v>
      </c>
      <c r="D26601" t="str">
        <f>"0124504230  "</f>
        <v xml:space="preserve">0124504230  </v>
      </c>
      <c r="E26601" t="s">
        <v>292</v>
      </c>
      <c r="F26601" t="s">
        <v>294</v>
      </c>
      <c r="G26601">
        <v>35.28</v>
      </c>
      <c r="H26601">
        <v>250731</v>
      </c>
      <c r="I26601">
        <v>4580</v>
      </c>
      <c r="J26601" t="s">
        <v>126</v>
      </c>
      <c r="K26601">
        <v>35.28</v>
      </c>
      <c r="L26601">
        <v>7.17</v>
      </c>
      <c r="M26601">
        <v>17803</v>
      </c>
      <c r="N26601" t="s">
        <v>19</v>
      </c>
      <c r="O26601">
        <v>250805</v>
      </c>
      <c r="P26601">
        <v>28.11</v>
      </c>
    </row>
    <row r="26602" spans="1:16" x14ac:dyDescent="0.25">
      <c r="A26602" t="s">
        <v>3296</v>
      </c>
      <c r="B26602" t="s">
        <v>2931</v>
      </c>
      <c r="C26602">
        <v>10601</v>
      </c>
      <c r="D26602" t="str">
        <f>"0124534320  "</f>
        <v xml:space="preserve">0124534320  </v>
      </c>
      <c r="E26602" t="s">
        <v>292</v>
      </c>
      <c r="F26602" t="s">
        <v>294</v>
      </c>
      <c r="G26602">
        <v>1107.1300000000001</v>
      </c>
      <c r="H26602">
        <v>250808</v>
      </c>
      <c r="I26602">
        <v>4580</v>
      </c>
      <c r="J26602" t="s">
        <v>126</v>
      </c>
      <c r="K26602">
        <v>1143.24</v>
      </c>
      <c r="L26602">
        <v>224.95</v>
      </c>
      <c r="M26602">
        <v>17521</v>
      </c>
      <c r="N26602" t="s">
        <v>136</v>
      </c>
      <c r="O26602">
        <v>250820</v>
      </c>
      <c r="P26602">
        <v>882.18</v>
      </c>
    </row>
    <row r="26603" spans="1:16" x14ac:dyDescent="0.25">
      <c r="A26603" t="s">
        <v>3296</v>
      </c>
      <c r="B26603" t="s">
        <v>2931</v>
      </c>
      <c r="C26603">
        <v>10608</v>
      </c>
      <c r="D26603" t="str">
        <f>"0124518398  "</f>
        <v xml:space="preserve">0124518398  </v>
      </c>
      <c r="E26603" t="s">
        <v>292</v>
      </c>
      <c r="F26603" t="s">
        <v>294</v>
      </c>
      <c r="G26603">
        <v>133.53</v>
      </c>
      <c r="H26603">
        <v>250804</v>
      </c>
      <c r="I26603">
        <v>4580</v>
      </c>
      <c r="J26603" t="s">
        <v>126</v>
      </c>
      <c r="K26603">
        <v>267.06</v>
      </c>
      <c r="L26603">
        <v>27.13</v>
      </c>
      <c r="M26603">
        <v>17522</v>
      </c>
      <c r="N26603" t="s">
        <v>137</v>
      </c>
      <c r="O26603">
        <v>250820</v>
      </c>
      <c r="P26603">
        <v>106.4</v>
      </c>
    </row>
    <row r="26604" spans="1:16" x14ac:dyDescent="0.25">
      <c r="A26604" t="s">
        <v>3296</v>
      </c>
      <c r="B26604" t="s">
        <v>2931</v>
      </c>
      <c r="C26604">
        <v>10658</v>
      </c>
      <c r="D26604" t="str">
        <f>"0124540684  "</f>
        <v xml:space="preserve">0124540684  </v>
      </c>
      <c r="E26604" t="s">
        <v>292</v>
      </c>
      <c r="F26604" t="s">
        <v>294</v>
      </c>
      <c r="G26604">
        <v>69.3</v>
      </c>
      <c r="H26604">
        <v>250811</v>
      </c>
      <c r="I26604">
        <v>4580</v>
      </c>
      <c r="J26604" t="s">
        <v>126</v>
      </c>
      <c r="K26604">
        <v>192.27</v>
      </c>
      <c r="L26604">
        <v>14.08</v>
      </c>
      <c r="M26604">
        <v>17521</v>
      </c>
      <c r="N26604" t="s">
        <v>136</v>
      </c>
      <c r="O26604">
        <v>250821</v>
      </c>
      <c r="P26604">
        <v>55.22</v>
      </c>
    </row>
    <row r="26605" spans="1:16" x14ac:dyDescent="0.25">
      <c r="A26605" t="s">
        <v>3296</v>
      </c>
      <c r="B26605" t="s">
        <v>2931</v>
      </c>
      <c r="C26605">
        <v>10663</v>
      </c>
      <c r="D26605" t="str">
        <f>"0124539534  "</f>
        <v xml:space="preserve">0124539534  </v>
      </c>
      <c r="E26605" t="s">
        <v>292</v>
      </c>
      <c r="F26605" t="s">
        <v>294</v>
      </c>
      <c r="G26605">
        <v>837.84</v>
      </c>
      <c r="H26605">
        <v>250811</v>
      </c>
      <c r="I26605">
        <v>4580</v>
      </c>
      <c r="J26605" t="s">
        <v>126</v>
      </c>
      <c r="K26605">
        <v>837.84</v>
      </c>
      <c r="L26605">
        <v>170.24</v>
      </c>
      <c r="M26605">
        <v>46557</v>
      </c>
      <c r="N26605" t="s">
        <v>104</v>
      </c>
      <c r="O26605">
        <v>250821</v>
      </c>
      <c r="P26605">
        <v>667.6</v>
      </c>
    </row>
    <row r="26606" spans="1:16" x14ac:dyDescent="0.25">
      <c r="A26606" t="s">
        <v>3296</v>
      </c>
      <c r="B26606" t="s">
        <v>2931</v>
      </c>
      <c r="C26606">
        <v>10727</v>
      </c>
      <c r="D26606" t="str">
        <f>"0124557622  "</f>
        <v xml:space="preserve">0124557622  </v>
      </c>
      <c r="E26606" t="s">
        <v>292</v>
      </c>
      <c r="F26606" t="s">
        <v>294</v>
      </c>
      <c r="G26606">
        <v>211.79</v>
      </c>
      <c r="H26606">
        <v>250815</v>
      </c>
      <c r="I26606">
        <v>4580</v>
      </c>
      <c r="J26606" t="s">
        <v>126</v>
      </c>
      <c r="K26606">
        <v>211.79</v>
      </c>
      <c r="L26606">
        <v>43.03</v>
      </c>
      <c r="M26606">
        <v>56522</v>
      </c>
      <c r="N26606" t="s">
        <v>68</v>
      </c>
      <c r="O26606">
        <v>250821</v>
      </c>
      <c r="P26606">
        <v>168.76</v>
      </c>
    </row>
    <row r="26607" spans="1:16" x14ac:dyDescent="0.25">
      <c r="A26607" t="s">
        <v>3296</v>
      </c>
      <c r="B26607" t="s">
        <v>2931</v>
      </c>
      <c r="C26607">
        <v>10776</v>
      </c>
      <c r="D26607" t="str">
        <f>"0124580246  "</f>
        <v xml:space="preserve">0124580246  </v>
      </c>
      <c r="E26607" t="s">
        <v>292</v>
      </c>
      <c r="F26607" t="s">
        <v>294</v>
      </c>
      <c r="G26607">
        <v>31.48</v>
      </c>
      <c r="H26607">
        <v>250820</v>
      </c>
      <c r="I26607">
        <v>4580</v>
      </c>
      <c r="J26607" t="s">
        <v>126</v>
      </c>
      <c r="K26607">
        <v>104.92</v>
      </c>
      <c r="L26607">
        <v>6.4</v>
      </c>
      <c r="M26607">
        <v>17522</v>
      </c>
      <c r="N26607" t="s">
        <v>137</v>
      </c>
      <c r="O26607">
        <v>250822</v>
      </c>
      <c r="P26607">
        <v>25.08</v>
      </c>
    </row>
    <row r="26608" spans="1:16" x14ac:dyDescent="0.25">
      <c r="A26608" t="s">
        <v>3296</v>
      </c>
      <c r="B26608" t="s">
        <v>2931</v>
      </c>
      <c r="C26608">
        <v>10776</v>
      </c>
      <c r="D26608" t="str">
        <f>"0124580246  "</f>
        <v xml:space="preserve">0124580246  </v>
      </c>
      <c r="E26608" t="s">
        <v>292</v>
      </c>
      <c r="F26608" t="s">
        <v>294</v>
      </c>
      <c r="G26608">
        <v>41.97</v>
      </c>
      <c r="H26608">
        <v>250820</v>
      </c>
      <c r="I26608">
        <v>4580</v>
      </c>
      <c r="J26608" t="s">
        <v>126</v>
      </c>
      <c r="K26608">
        <v>104.92</v>
      </c>
      <c r="L26608">
        <v>8.5299999999999994</v>
      </c>
      <c r="M26608">
        <v>17522</v>
      </c>
      <c r="N26608" t="s">
        <v>137</v>
      </c>
      <c r="O26608">
        <v>250822</v>
      </c>
      <c r="P26608">
        <v>33.44</v>
      </c>
    </row>
    <row r="26609" spans="1:16" x14ac:dyDescent="0.25">
      <c r="A26609" t="s">
        <v>3296</v>
      </c>
      <c r="B26609" t="s">
        <v>2931</v>
      </c>
      <c r="C26609">
        <v>10857</v>
      </c>
      <c r="D26609" t="str">
        <f>"0124550824  "</f>
        <v xml:space="preserve">0124550824  </v>
      </c>
      <c r="E26609" t="s">
        <v>292</v>
      </c>
      <c r="F26609" t="s">
        <v>294</v>
      </c>
      <c r="G26609">
        <v>75.44</v>
      </c>
      <c r="H26609">
        <v>250814</v>
      </c>
      <c r="I26609">
        <v>4580</v>
      </c>
      <c r="J26609" t="s">
        <v>126</v>
      </c>
      <c r="K26609">
        <v>75.44</v>
      </c>
      <c r="L26609">
        <v>15.33</v>
      </c>
      <c r="M26609">
        <v>17807</v>
      </c>
      <c r="N26609" t="s">
        <v>23</v>
      </c>
      <c r="O26609">
        <v>250825</v>
      </c>
      <c r="P26609">
        <v>60.11</v>
      </c>
    </row>
    <row r="26610" spans="1:16" x14ac:dyDescent="0.25">
      <c r="A26610" t="s">
        <v>3296</v>
      </c>
      <c r="B26610" t="s">
        <v>2931</v>
      </c>
      <c r="C26610">
        <v>11087</v>
      </c>
      <c r="D26610" t="str">
        <f>"0124588196  "</f>
        <v xml:space="preserve">0124588196  </v>
      </c>
      <c r="E26610" t="s">
        <v>292</v>
      </c>
      <c r="F26610" t="s">
        <v>294</v>
      </c>
      <c r="G26610">
        <v>54.17</v>
      </c>
      <c r="H26610">
        <v>250822</v>
      </c>
      <c r="I26610">
        <v>4580</v>
      </c>
      <c r="J26610" t="s">
        <v>126</v>
      </c>
      <c r="K26610">
        <v>476.68</v>
      </c>
      <c r="L26610">
        <v>11.01</v>
      </c>
      <c r="M26610">
        <v>17521</v>
      </c>
      <c r="N26610" t="s">
        <v>136</v>
      </c>
      <c r="O26610">
        <v>250829</v>
      </c>
      <c r="P26610">
        <v>43.16</v>
      </c>
    </row>
    <row r="26611" spans="1:16" x14ac:dyDescent="0.25">
      <c r="A26611" t="s">
        <v>3296</v>
      </c>
      <c r="B26611" t="s">
        <v>2931</v>
      </c>
      <c r="C26611">
        <v>11273</v>
      </c>
      <c r="D26611" t="str">
        <f>"0124624446  "</f>
        <v xml:space="preserve">0124624446  </v>
      </c>
      <c r="E26611" t="s">
        <v>292</v>
      </c>
      <c r="F26611" t="s">
        <v>294</v>
      </c>
      <c r="G26611">
        <v>407.72</v>
      </c>
      <c r="H26611">
        <v>250829</v>
      </c>
      <c r="I26611">
        <v>4580</v>
      </c>
      <c r="J26611" t="s">
        <v>126</v>
      </c>
      <c r="K26611">
        <v>407.72</v>
      </c>
      <c r="L26611">
        <v>82.84</v>
      </c>
      <c r="M26611">
        <v>17951</v>
      </c>
      <c r="N26611" t="s">
        <v>207</v>
      </c>
      <c r="O26611">
        <v>250902</v>
      </c>
      <c r="P26611">
        <v>324.88</v>
      </c>
    </row>
    <row r="26612" spans="1:16" x14ac:dyDescent="0.25">
      <c r="A26612" t="s">
        <v>3296</v>
      </c>
      <c r="B26612" t="s">
        <v>2931</v>
      </c>
      <c r="C26612">
        <v>11779</v>
      </c>
      <c r="D26612" t="str">
        <f>"0124605238  "</f>
        <v xml:space="preserve">0124605238  </v>
      </c>
      <c r="E26612" t="s">
        <v>292</v>
      </c>
      <c r="F26612" t="s">
        <v>294</v>
      </c>
      <c r="G26612">
        <v>267.23</v>
      </c>
      <c r="H26612">
        <v>250828</v>
      </c>
      <c r="I26612">
        <v>4580</v>
      </c>
      <c r="J26612" t="s">
        <v>126</v>
      </c>
      <c r="K26612">
        <v>267.23</v>
      </c>
      <c r="L26612">
        <v>54.3</v>
      </c>
      <c r="M26612">
        <v>17803</v>
      </c>
      <c r="N26612" t="s">
        <v>19</v>
      </c>
      <c r="O26612">
        <v>250910</v>
      </c>
      <c r="P26612">
        <v>212.93</v>
      </c>
    </row>
    <row r="26613" spans="1:16" x14ac:dyDescent="0.25">
      <c r="A26613" t="s">
        <v>3296</v>
      </c>
      <c r="B26613" t="s">
        <v>2931</v>
      </c>
      <c r="C26613">
        <v>11970</v>
      </c>
      <c r="D26613" t="str">
        <f>"0124542639  "</f>
        <v xml:space="preserve">0124542639  </v>
      </c>
      <c r="E26613" t="s">
        <v>292</v>
      </c>
      <c r="F26613" t="s">
        <v>294</v>
      </c>
      <c r="G26613">
        <v>71.28</v>
      </c>
      <c r="H26613">
        <v>250812</v>
      </c>
      <c r="I26613">
        <v>4580</v>
      </c>
      <c r="J26613" t="s">
        <v>126</v>
      </c>
      <c r="K26613">
        <v>3765.39</v>
      </c>
      <c r="L26613">
        <v>14.48</v>
      </c>
      <c r="M26613">
        <v>17521</v>
      </c>
      <c r="N26613" t="s">
        <v>136</v>
      </c>
      <c r="O26613">
        <v>250915</v>
      </c>
      <c r="P26613">
        <v>56.8</v>
      </c>
    </row>
    <row r="26614" spans="1:16" x14ac:dyDescent="0.25">
      <c r="A26614" t="s">
        <v>3296</v>
      </c>
      <c r="B26614" t="s">
        <v>2931</v>
      </c>
      <c r="C26614">
        <v>12235</v>
      </c>
      <c r="D26614" t="str">
        <f>"0124547819  "</f>
        <v xml:space="preserve">0124547819  </v>
      </c>
      <c r="E26614" t="s">
        <v>292</v>
      </c>
      <c r="F26614" t="s">
        <v>294</v>
      </c>
      <c r="G26614">
        <v>110.4</v>
      </c>
      <c r="H26614">
        <v>250813</v>
      </c>
      <c r="I26614">
        <v>4580</v>
      </c>
      <c r="J26614" t="s">
        <v>126</v>
      </c>
      <c r="K26614">
        <v>220.79</v>
      </c>
      <c r="L26614">
        <v>22.43</v>
      </c>
      <c r="M26614">
        <v>17524</v>
      </c>
      <c r="N26614" t="s">
        <v>139</v>
      </c>
      <c r="O26614">
        <v>250918</v>
      </c>
      <c r="P26614">
        <v>87.97</v>
      </c>
    </row>
    <row r="26615" spans="1:16" x14ac:dyDescent="0.25">
      <c r="A26615" t="s">
        <v>3296</v>
      </c>
      <c r="B26615" t="s">
        <v>2931</v>
      </c>
      <c r="C26615">
        <v>12293</v>
      </c>
      <c r="D26615" t="str">
        <f>"0124646546  "</f>
        <v xml:space="preserve">0124646546  </v>
      </c>
      <c r="E26615" t="s">
        <v>292</v>
      </c>
      <c r="F26615" t="s">
        <v>294</v>
      </c>
      <c r="G26615">
        <v>116.34</v>
      </c>
      <c r="H26615">
        <v>250903</v>
      </c>
      <c r="I26615">
        <v>4580</v>
      </c>
      <c r="J26615" t="s">
        <v>126</v>
      </c>
      <c r="K26615">
        <v>414.46</v>
      </c>
      <c r="L26615">
        <v>23.64</v>
      </c>
      <c r="M26615">
        <v>46554</v>
      </c>
      <c r="N26615" t="s">
        <v>102</v>
      </c>
      <c r="O26615">
        <v>250918</v>
      </c>
      <c r="P26615">
        <v>92.7</v>
      </c>
    </row>
    <row r="26616" spans="1:16" x14ac:dyDescent="0.25">
      <c r="A26616" t="s">
        <v>3296</v>
      </c>
      <c r="B26616" t="s">
        <v>2931</v>
      </c>
      <c r="C26616">
        <v>12311</v>
      </c>
      <c r="D26616" t="str">
        <f>"0124605288  "</f>
        <v xml:space="preserve">0124605288  </v>
      </c>
      <c r="E26616" t="s">
        <v>292</v>
      </c>
      <c r="F26616" t="s">
        <v>294</v>
      </c>
      <c r="G26616">
        <v>20.16</v>
      </c>
      <c r="H26616">
        <v>250901</v>
      </c>
      <c r="I26616">
        <v>4580</v>
      </c>
      <c r="J26616" t="s">
        <v>126</v>
      </c>
      <c r="K26616">
        <v>294.62</v>
      </c>
      <c r="L26616">
        <v>4.0999999999999996</v>
      </c>
      <c r="M26616">
        <v>17521</v>
      </c>
      <c r="N26616" t="s">
        <v>136</v>
      </c>
      <c r="O26616">
        <v>250919</v>
      </c>
      <c r="P26616">
        <v>16.059999999999999</v>
      </c>
    </row>
    <row r="26617" spans="1:16" x14ac:dyDescent="0.25">
      <c r="A26617" t="s">
        <v>3296</v>
      </c>
      <c r="B26617" t="s">
        <v>2931</v>
      </c>
      <c r="C26617">
        <v>12311</v>
      </c>
      <c r="D26617" t="str">
        <f>"0124605288  "</f>
        <v xml:space="preserve">0124605288  </v>
      </c>
      <c r="E26617" t="s">
        <v>292</v>
      </c>
      <c r="F26617" t="s">
        <v>294</v>
      </c>
      <c r="G26617">
        <v>252.85</v>
      </c>
      <c r="H26617">
        <v>250901</v>
      </c>
      <c r="I26617">
        <v>4580</v>
      </c>
      <c r="J26617" t="s">
        <v>126</v>
      </c>
      <c r="K26617">
        <v>294.62</v>
      </c>
      <c r="L26617">
        <v>51.38</v>
      </c>
      <c r="M26617">
        <v>17521</v>
      </c>
      <c r="N26617" t="s">
        <v>136</v>
      </c>
      <c r="O26617">
        <v>250919</v>
      </c>
      <c r="P26617">
        <v>201.47</v>
      </c>
    </row>
    <row r="26618" spans="1:16" x14ac:dyDescent="0.25">
      <c r="A26618" t="s">
        <v>3296</v>
      </c>
      <c r="B26618" t="s">
        <v>2931</v>
      </c>
      <c r="C26618">
        <v>12330</v>
      </c>
      <c r="D26618" t="str">
        <f>"0124656487  "</f>
        <v xml:space="preserve">0124656487  </v>
      </c>
      <c r="E26618" t="s">
        <v>292</v>
      </c>
      <c r="F26618" t="s">
        <v>294</v>
      </c>
      <c r="G26618">
        <v>26.51</v>
      </c>
      <c r="H26618">
        <v>250905</v>
      </c>
      <c r="I26618">
        <v>4580</v>
      </c>
      <c r="J26618" t="s">
        <v>126</v>
      </c>
      <c r="K26618">
        <v>26.51</v>
      </c>
      <c r="L26618">
        <v>5.39</v>
      </c>
      <c r="M26618">
        <v>46557</v>
      </c>
      <c r="N26618" t="s">
        <v>104</v>
      </c>
      <c r="O26618">
        <v>250919</v>
      </c>
      <c r="P26618">
        <v>21.12</v>
      </c>
    </row>
    <row r="26619" spans="1:16" x14ac:dyDescent="0.25">
      <c r="A26619" t="s">
        <v>3296</v>
      </c>
      <c r="B26619" t="s">
        <v>2931</v>
      </c>
      <c r="C26619">
        <v>12354</v>
      </c>
      <c r="D26619" t="str">
        <f>"0124662480  "</f>
        <v xml:space="preserve">0124662480  </v>
      </c>
      <c r="E26619" t="s">
        <v>292</v>
      </c>
      <c r="F26619" t="s">
        <v>294</v>
      </c>
      <c r="G26619">
        <v>8.81</v>
      </c>
      <c r="H26619">
        <v>250908</v>
      </c>
      <c r="I26619">
        <v>4580</v>
      </c>
      <c r="J26619" t="s">
        <v>126</v>
      </c>
      <c r="K26619">
        <v>495.73</v>
      </c>
      <c r="L26619">
        <v>1.79</v>
      </c>
      <c r="M26619">
        <v>17523</v>
      </c>
      <c r="N26619" t="s">
        <v>138</v>
      </c>
      <c r="O26619">
        <v>250919</v>
      </c>
      <c r="P26619">
        <v>7.02</v>
      </c>
    </row>
    <row r="26620" spans="1:16" x14ac:dyDescent="0.25">
      <c r="A26620" t="s">
        <v>3296</v>
      </c>
      <c r="B26620" t="s">
        <v>2931</v>
      </c>
      <c r="C26620">
        <v>12354</v>
      </c>
      <c r="D26620" t="str">
        <f>"0124662480  "</f>
        <v xml:space="preserve">0124662480  </v>
      </c>
      <c r="E26620" t="s">
        <v>292</v>
      </c>
      <c r="F26620" t="s">
        <v>294</v>
      </c>
      <c r="G26620">
        <v>263.56</v>
      </c>
      <c r="H26620">
        <v>250908</v>
      </c>
      <c r="I26620">
        <v>4580</v>
      </c>
      <c r="J26620" t="s">
        <v>126</v>
      </c>
      <c r="K26620">
        <v>495.73</v>
      </c>
      <c r="L26620">
        <v>53.55</v>
      </c>
      <c r="M26620">
        <v>17527</v>
      </c>
      <c r="N26620" t="s">
        <v>142</v>
      </c>
      <c r="O26620">
        <v>250919</v>
      </c>
      <c r="P26620">
        <v>210.01</v>
      </c>
    </row>
    <row r="26621" spans="1:16" x14ac:dyDescent="0.25">
      <c r="A26621" t="s">
        <v>3296</v>
      </c>
      <c r="B26621" t="s">
        <v>2931</v>
      </c>
      <c r="C26621">
        <v>12383</v>
      </c>
      <c r="D26621" t="str">
        <f>"0124672276  "</f>
        <v xml:space="preserve">0124672276  </v>
      </c>
      <c r="E26621" t="s">
        <v>292</v>
      </c>
      <c r="F26621" t="s">
        <v>294</v>
      </c>
      <c r="G26621">
        <v>201.96</v>
      </c>
      <c r="H26621">
        <v>250910</v>
      </c>
      <c r="I26621">
        <v>4580</v>
      </c>
      <c r="J26621" t="s">
        <v>126</v>
      </c>
      <c r="K26621">
        <v>201.96</v>
      </c>
      <c r="L26621">
        <v>41.04</v>
      </c>
      <c r="M26621">
        <v>46557</v>
      </c>
      <c r="N26621" t="s">
        <v>104</v>
      </c>
      <c r="O26621">
        <v>250919</v>
      </c>
      <c r="P26621">
        <v>160.91999999999999</v>
      </c>
    </row>
    <row r="26622" spans="1:16" x14ac:dyDescent="0.25">
      <c r="A26622" t="s">
        <v>3296</v>
      </c>
      <c r="B26622" t="s">
        <v>2931</v>
      </c>
      <c r="C26622">
        <v>12410</v>
      </c>
      <c r="D26622" t="str">
        <f>"0124683684  "</f>
        <v xml:space="preserve">0124683684  </v>
      </c>
      <c r="E26622" t="s">
        <v>292</v>
      </c>
      <c r="F26622" t="s">
        <v>294</v>
      </c>
      <c r="G26622">
        <v>116.34</v>
      </c>
      <c r="H26622">
        <v>250912</v>
      </c>
      <c r="I26622">
        <v>4580</v>
      </c>
      <c r="J26622" t="s">
        <v>126</v>
      </c>
      <c r="K26622">
        <v>116.34</v>
      </c>
      <c r="L26622">
        <v>23.64</v>
      </c>
      <c r="M26622">
        <v>46554</v>
      </c>
      <c r="N26622" t="s">
        <v>102</v>
      </c>
      <c r="O26622">
        <v>250919</v>
      </c>
      <c r="P26622">
        <v>92.7</v>
      </c>
    </row>
    <row r="26623" spans="1:16" x14ac:dyDescent="0.25">
      <c r="A26623" t="s">
        <v>3296</v>
      </c>
      <c r="B26623" t="s">
        <v>2931</v>
      </c>
      <c r="C26623">
        <v>12428</v>
      </c>
      <c r="D26623" t="str">
        <f>"0124705699  "</f>
        <v xml:space="preserve">0124705699  </v>
      </c>
      <c r="E26623" t="s">
        <v>292</v>
      </c>
      <c r="F26623" t="s">
        <v>294</v>
      </c>
      <c r="G26623">
        <v>240.96</v>
      </c>
      <c r="H26623">
        <v>250917</v>
      </c>
      <c r="I26623">
        <v>4580</v>
      </c>
      <c r="J26623" t="s">
        <v>126</v>
      </c>
      <c r="K26623">
        <v>240.96</v>
      </c>
      <c r="L26623">
        <v>48.96</v>
      </c>
      <c r="M26623">
        <v>46554</v>
      </c>
      <c r="N26623" t="s">
        <v>102</v>
      </c>
      <c r="O26623">
        <v>250919</v>
      </c>
      <c r="P26623">
        <v>192</v>
      </c>
    </row>
    <row r="26624" spans="1:16" x14ac:dyDescent="0.25">
      <c r="A26624" t="s">
        <v>3296</v>
      </c>
      <c r="B26624" t="s">
        <v>2931</v>
      </c>
      <c r="C26624">
        <v>12795</v>
      </c>
      <c r="D26624" t="str">
        <f>"0124706191  "</f>
        <v xml:space="preserve">0124706191  </v>
      </c>
      <c r="E26624" t="s">
        <v>292</v>
      </c>
      <c r="F26624" t="s">
        <v>294</v>
      </c>
      <c r="G26624">
        <v>413.59</v>
      </c>
      <c r="H26624">
        <v>250918</v>
      </c>
      <c r="I26624">
        <v>4580</v>
      </c>
      <c r="J26624" t="s">
        <v>126</v>
      </c>
      <c r="K26624">
        <v>618.51</v>
      </c>
      <c r="L26624">
        <v>84.04</v>
      </c>
      <c r="M26624">
        <v>17527</v>
      </c>
      <c r="N26624" t="s">
        <v>142</v>
      </c>
      <c r="O26624">
        <v>250930</v>
      </c>
      <c r="P26624">
        <v>329.55</v>
      </c>
    </row>
    <row r="26625" spans="1:16" x14ac:dyDescent="0.25">
      <c r="A26625" t="s">
        <v>3296</v>
      </c>
      <c r="B26625" t="s">
        <v>2931</v>
      </c>
      <c r="C26625">
        <v>12811</v>
      </c>
      <c r="D26625" t="str">
        <f>"0095513530  "</f>
        <v xml:space="preserve">0095513530  </v>
      </c>
      <c r="E26625" t="s">
        <v>292</v>
      </c>
      <c r="F26625" t="s">
        <v>294</v>
      </c>
      <c r="G26625">
        <v>-413.6</v>
      </c>
      <c r="H26625">
        <v>250919</v>
      </c>
      <c r="I26625">
        <v>4580</v>
      </c>
      <c r="J26625" t="s">
        <v>126</v>
      </c>
      <c r="K26625">
        <v>-413.6</v>
      </c>
      <c r="L26625">
        <v>-84.04</v>
      </c>
      <c r="M26625">
        <v>17527</v>
      </c>
      <c r="N26625" t="s">
        <v>142</v>
      </c>
      <c r="O26625">
        <v>250930</v>
      </c>
      <c r="P26625">
        <v>-329.56</v>
      </c>
    </row>
    <row r="26626" spans="1:16" x14ac:dyDescent="0.25">
      <c r="A26626" t="s">
        <v>3296</v>
      </c>
      <c r="B26626" t="s">
        <v>2931</v>
      </c>
      <c r="C26626">
        <v>12858</v>
      </c>
      <c r="D26626" t="str">
        <f>"0124731145  "</f>
        <v xml:space="preserve">0124731145  </v>
      </c>
      <c r="E26626" t="s">
        <v>292</v>
      </c>
      <c r="F26626" t="s">
        <v>294</v>
      </c>
      <c r="G26626">
        <v>163.08000000000001</v>
      </c>
      <c r="H26626">
        <v>250925</v>
      </c>
      <c r="I26626">
        <v>4580</v>
      </c>
      <c r="J26626" t="s">
        <v>126</v>
      </c>
      <c r="K26626">
        <v>163.08000000000001</v>
      </c>
      <c r="L26626">
        <v>33.14</v>
      </c>
      <c r="M26626">
        <v>17803</v>
      </c>
      <c r="N26626" t="s">
        <v>19</v>
      </c>
      <c r="O26626">
        <v>250930</v>
      </c>
      <c r="P26626">
        <v>129.94</v>
      </c>
    </row>
    <row r="26627" spans="1:16" x14ac:dyDescent="0.25">
      <c r="A26627" t="s">
        <v>3296</v>
      </c>
      <c r="B26627" t="s">
        <v>2931</v>
      </c>
      <c r="C26627">
        <v>12912</v>
      </c>
      <c r="D26627" t="str">
        <f>"0124735594  "</f>
        <v xml:space="preserve">0124735594  </v>
      </c>
      <c r="E26627" t="s">
        <v>292</v>
      </c>
      <c r="F26627" t="s">
        <v>294</v>
      </c>
      <c r="G26627">
        <v>646.75</v>
      </c>
      <c r="H26627">
        <v>250925</v>
      </c>
      <c r="I26627">
        <v>4580</v>
      </c>
      <c r="J26627" t="s">
        <v>126</v>
      </c>
      <c r="K26627">
        <v>646.75</v>
      </c>
      <c r="L26627">
        <v>131.41</v>
      </c>
      <c r="M26627">
        <v>17524</v>
      </c>
      <c r="N26627" t="s">
        <v>139</v>
      </c>
      <c r="O26627">
        <v>251001</v>
      </c>
      <c r="P26627">
        <v>515.34</v>
      </c>
    </row>
    <row r="26628" spans="1:16" x14ac:dyDescent="0.25">
      <c r="A26628" t="s">
        <v>3296</v>
      </c>
      <c r="B26628" t="s">
        <v>2931</v>
      </c>
      <c r="C26628">
        <v>12949</v>
      </c>
      <c r="D26628" t="str">
        <f>"0124731027  "</f>
        <v xml:space="preserve">0124731027  </v>
      </c>
      <c r="E26628" t="s">
        <v>292</v>
      </c>
      <c r="F26628" t="s">
        <v>294</v>
      </c>
      <c r="G26628">
        <v>2397.0500000000002</v>
      </c>
      <c r="H26628">
        <v>250924</v>
      </c>
      <c r="I26628">
        <v>4580</v>
      </c>
      <c r="J26628" t="s">
        <v>126</v>
      </c>
      <c r="K26628">
        <v>2397.0500000000002</v>
      </c>
      <c r="L26628">
        <v>487.05</v>
      </c>
      <c r="M26628">
        <v>46557</v>
      </c>
      <c r="N26628" t="s">
        <v>104</v>
      </c>
      <c r="O26628">
        <v>251002</v>
      </c>
      <c r="P26628">
        <v>1910</v>
      </c>
    </row>
    <row r="26629" spans="1:16" x14ac:dyDescent="0.25">
      <c r="A26629" t="s">
        <v>3296</v>
      </c>
      <c r="B26629" t="s">
        <v>2931</v>
      </c>
      <c r="C26629">
        <v>13075</v>
      </c>
      <c r="D26629" t="str">
        <f>"0124739014  "</f>
        <v xml:space="preserve">0124739014  </v>
      </c>
      <c r="E26629" t="s">
        <v>292</v>
      </c>
      <c r="F26629" t="s">
        <v>294</v>
      </c>
      <c r="G26629">
        <v>166.92</v>
      </c>
      <c r="H26629">
        <v>250926</v>
      </c>
      <c r="I26629">
        <v>4580</v>
      </c>
      <c r="J26629" t="s">
        <v>126</v>
      </c>
      <c r="K26629">
        <v>166.92</v>
      </c>
      <c r="L26629">
        <v>33.92</v>
      </c>
      <c r="M26629">
        <v>46557</v>
      </c>
      <c r="N26629" t="s">
        <v>104</v>
      </c>
      <c r="O26629">
        <v>251003</v>
      </c>
      <c r="P26629">
        <v>133</v>
      </c>
    </row>
    <row r="26630" spans="1:16" x14ac:dyDescent="0.25">
      <c r="A26630" t="s">
        <v>3296</v>
      </c>
      <c r="B26630" t="s">
        <v>2931</v>
      </c>
      <c r="C26630">
        <v>13314</v>
      </c>
      <c r="D26630" t="str">
        <f>"0124779258  "</f>
        <v xml:space="preserve">0124779258  </v>
      </c>
      <c r="E26630" t="s">
        <v>292</v>
      </c>
      <c r="F26630" t="s">
        <v>294</v>
      </c>
      <c r="G26630">
        <v>74.05</v>
      </c>
      <c r="H26630">
        <v>251001</v>
      </c>
      <c r="I26630">
        <v>4580</v>
      </c>
      <c r="J26630" t="s">
        <v>126</v>
      </c>
      <c r="K26630">
        <v>74.05</v>
      </c>
      <c r="L26630">
        <v>15.05</v>
      </c>
      <c r="M26630">
        <v>17803</v>
      </c>
      <c r="N26630" t="s">
        <v>19</v>
      </c>
      <c r="O26630">
        <v>251007</v>
      </c>
      <c r="P26630">
        <v>59</v>
      </c>
    </row>
    <row r="26631" spans="1:16" x14ac:dyDescent="0.25">
      <c r="A26631" t="s">
        <v>3296</v>
      </c>
      <c r="B26631" t="s">
        <v>2931</v>
      </c>
      <c r="C26631">
        <v>13578</v>
      </c>
      <c r="D26631" t="str">
        <f>"0124731143  "</f>
        <v xml:space="preserve">0124731143  </v>
      </c>
      <c r="E26631" t="s">
        <v>292</v>
      </c>
      <c r="F26631" t="s">
        <v>294</v>
      </c>
      <c r="G26631">
        <v>80.73</v>
      </c>
      <c r="H26631">
        <v>250925</v>
      </c>
      <c r="I26631">
        <v>4580</v>
      </c>
      <c r="J26631" t="s">
        <v>126</v>
      </c>
      <c r="K26631">
        <v>80.73</v>
      </c>
      <c r="L26631">
        <v>16.399999999999999</v>
      </c>
      <c r="M26631">
        <v>17802</v>
      </c>
      <c r="N26631" t="s">
        <v>18</v>
      </c>
      <c r="O26631">
        <v>251013</v>
      </c>
      <c r="P26631">
        <v>64.33</v>
      </c>
    </row>
    <row r="26632" spans="1:16" x14ac:dyDescent="0.25">
      <c r="A26632" t="s">
        <v>3296</v>
      </c>
      <c r="B26632" t="s">
        <v>2931</v>
      </c>
      <c r="C26632">
        <v>13861</v>
      </c>
      <c r="D26632" t="str">
        <f>"0124796471  "</f>
        <v xml:space="preserve">0124796471  </v>
      </c>
      <c r="E26632" t="s">
        <v>292</v>
      </c>
      <c r="F26632" t="s">
        <v>294</v>
      </c>
      <c r="G26632">
        <v>411.15</v>
      </c>
      <c r="H26632">
        <v>251007</v>
      </c>
      <c r="I26632">
        <v>4580</v>
      </c>
      <c r="J26632" t="s">
        <v>126</v>
      </c>
      <c r="K26632">
        <v>462.08</v>
      </c>
      <c r="L26632">
        <v>83.54</v>
      </c>
      <c r="M26632">
        <v>17521</v>
      </c>
      <c r="N26632" t="s">
        <v>136</v>
      </c>
      <c r="O26632">
        <v>251020</v>
      </c>
      <c r="P26632">
        <v>327.61</v>
      </c>
    </row>
    <row r="26633" spans="1:16" x14ac:dyDescent="0.25">
      <c r="A26633" t="s">
        <v>3296</v>
      </c>
      <c r="B26633" t="s">
        <v>2931</v>
      </c>
      <c r="C26633">
        <v>13887</v>
      </c>
      <c r="D26633" t="str">
        <f>"0124804844  "</f>
        <v xml:space="preserve">0124804844  </v>
      </c>
      <c r="E26633" t="s">
        <v>292</v>
      </c>
      <c r="F26633" t="s">
        <v>294</v>
      </c>
      <c r="G26633">
        <v>726.85</v>
      </c>
      <c r="H26633">
        <v>251009</v>
      </c>
      <c r="I26633">
        <v>4580</v>
      </c>
      <c r="J26633" t="s">
        <v>126</v>
      </c>
      <c r="K26633">
        <v>726.85</v>
      </c>
      <c r="L26633">
        <v>147.69</v>
      </c>
      <c r="M26633">
        <v>17804</v>
      </c>
      <c r="N26633" t="s">
        <v>20</v>
      </c>
      <c r="O26633">
        <v>251020</v>
      </c>
      <c r="P26633">
        <v>579.16</v>
      </c>
    </row>
    <row r="26634" spans="1:16" x14ac:dyDescent="0.25">
      <c r="A26634" t="s">
        <v>3296</v>
      </c>
      <c r="B26634" t="s">
        <v>2931</v>
      </c>
      <c r="C26634">
        <v>13888</v>
      </c>
      <c r="D26634" t="str">
        <f>"0124803823  "</f>
        <v xml:space="preserve">0124803823  </v>
      </c>
      <c r="E26634" t="s">
        <v>292</v>
      </c>
      <c r="F26634" t="s">
        <v>294</v>
      </c>
      <c r="G26634">
        <v>7.76</v>
      </c>
      <c r="H26634">
        <v>251009</v>
      </c>
      <c r="I26634">
        <v>4580</v>
      </c>
      <c r="J26634" t="s">
        <v>126</v>
      </c>
      <c r="K26634">
        <v>104.48</v>
      </c>
      <c r="L26634">
        <v>1.58</v>
      </c>
      <c r="M26634">
        <v>17531</v>
      </c>
      <c r="N26634" t="s">
        <v>145</v>
      </c>
      <c r="O26634">
        <v>251020</v>
      </c>
      <c r="P26634">
        <v>6.18</v>
      </c>
    </row>
    <row r="26635" spans="1:16" x14ac:dyDescent="0.25">
      <c r="A26635" t="s">
        <v>3296</v>
      </c>
      <c r="B26635" t="s">
        <v>2931</v>
      </c>
      <c r="C26635">
        <v>14428</v>
      </c>
      <c r="D26635" t="str">
        <f>"0124818972  "</f>
        <v xml:space="preserve">0124818972  </v>
      </c>
      <c r="E26635" t="s">
        <v>292</v>
      </c>
      <c r="F26635" t="s">
        <v>294</v>
      </c>
      <c r="G26635">
        <v>257.95</v>
      </c>
      <c r="H26635">
        <v>251013</v>
      </c>
      <c r="I26635">
        <v>4580</v>
      </c>
      <c r="J26635" t="s">
        <v>126</v>
      </c>
      <c r="K26635">
        <v>257.95</v>
      </c>
      <c r="L26635">
        <v>52.41</v>
      </c>
      <c r="M26635">
        <v>46554</v>
      </c>
      <c r="N26635" t="s">
        <v>102</v>
      </c>
      <c r="O26635">
        <v>251031</v>
      </c>
      <c r="P26635">
        <v>205.54</v>
      </c>
    </row>
    <row r="26636" spans="1:16" x14ac:dyDescent="0.25">
      <c r="A26636" t="s">
        <v>3296</v>
      </c>
      <c r="B26636" t="s">
        <v>2931</v>
      </c>
      <c r="C26636">
        <v>14657</v>
      </c>
      <c r="D26636" t="str">
        <f>"0124850623  "</f>
        <v xml:space="preserve">0124850623  </v>
      </c>
      <c r="E26636" t="s">
        <v>292</v>
      </c>
      <c r="F26636" t="s">
        <v>294</v>
      </c>
      <c r="G26636">
        <v>255.49</v>
      </c>
      <c r="H26636">
        <v>251021</v>
      </c>
      <c r="I26636">
        <v>4580</v>
      </c>
      <c r="J26636" t="s">
        <v>126</v>
      </c>
      <c r="K26636">
        <v>255.49</v>
      </c>
      <c r="L26636">
        <v>51.91</v>
      </c>
      <c r="M26636">
        <v>46554</v>
      </c>
      <c r="N26636" t="s">
        <v>102</v>
      </c>
      <c r="O26636">
        <v>251105</v>
      </c>
      <c r="P26636">
        <v>203.58</v>
      </c>
    </row>
    <row r="26637" spans="1:16" x14ac:dyDescent="0.25">
      <c r="A26637" t="s">
        <v>3296</v>
      </c>
      <c r="B26637" t="s">
        <v>2931</v>
      </c>
      <c r="C26637">
        <v>14750</v>
      </c>
      <c r="D26637" t="str">
        <f>"0124853777  "</f>
        <v xml:space="preserve">0124853777  </v>
      </c>
      <c r="E26637" t="s">
        <v>292</v>
      </c>
      <c r="F26637" t="s">
        <v>294</v>
      </c>
      <c r="G26637">
        <v>316.57</v>
      </c>
      <c r="H26637">
        <v>251022</v>
      </c>
      <c r="I26637">
        <v>4580</v>
      </c>
      <c r="J26637" t="s">
        <v>126</v>
      </c>
      <c r="K26637">
        <v>450.19</v>
      </c>
      <c r="L26637">
        <v>64.319999999999993</v>
      </c>
      <c r="M26637">
        <v>17521</v>
      </c>
      <c r="N26637" t="s">
        <v>136</v>
      </c>
      <c r="O26637">
        <v>251106</v>
      </c>
      <c r="P26637">
        <v>252.25</v>
      </c>
    </row>
    <row r="26638" spans="1:16" x14ac:dyDescent="0.25">
      <c r="A26638" t="s">
        <v>3296</v>
      </c>
      <c r="B26638" t="s">
        <v>2931</v>
      </c>
      <c r="C26638">
        <v>14750</v>
      </c>
      <c r="D26638" t="str">
        <f>"0124853777  "</f>
        <v xml:space="preserve">0124853777  </v>
      </c>
      <c r="E26638" t="s">
        <v>292</v>
      </c>
      <c r="F26638" t="s">
        <v>294</v>
      </c>
      <c r="G26638">
        <v>28.95</v>
      </c>
      <c r="H26638">
        <v>251022</v>
      </c>
      <c r="I26638">
        <v>4580</v>
      </c>
      <c r="J26638" t="s">
        <v>126</v>
      </c>
      <c r="K26638">
        <v>450.19</v>
      </c>
      <c r="L26638">
        <v>5.88</v>
      </c>
      <c r="M26638">
        <v>17522</v>
      </c>
      <c r="N26638" t="s">
        <v>137</v>
      </c>
      <c r="O26638">
        <v>251106</v>
      </c>
      <c r="P26638">
        <v>23.07</v>
      </c>
    </row>
    <row r="26639" spans="1:16" x14ac:dyDescent="0.25">
      <c r="A26639" t="s">
        <v>3296</v>
      </c>
      <c r="B26639" t="s">
        <v>2931</v>
      </c>
      <c r="C26639">
        <v>14750</v>
      </c>
      <c r="D26639" t="str">
        <f>"0124853777  "</f>
        <v xml:space="preserve">0124853777  </v>
      </c>
      <c r="E26639" t="s">
        <v>292</v>
      </c>
      <c r="F26639" t="s">
        <v>294</v>
      </c>
      <c r="G26639">
        <v>50.7</v>
      </c>
      <c r="H26639">
        <v>251022</v>
      </c>
      <c r="I26639">
        <v>4580</v>
      </c>
      <c r="J26639" t="s">
        <v>126</v>
      </c>
      <c r="K26639">
        <v>450.19</v>
      </c>
      <c r="L26639">
        <v>10.3</v>
      </c>
      <c r="M26639">
        <v>17522</v>
      </c>
      <c r="N26639" t="s">
        <v>137</v>
      </c>
      <c r="O26639">
        <v>251106</v>
      </c>
      <c r="P26639">
        <v>40.4</v>
      </c>
    </row>
    <row r="26640" spans="1:16" x14ac:dyDescent="0.25">
      <c r="A26640" t="s">
        <v>3296</v>
      </c>
      <c r="B26640" t="s">
        <v>2931</v>
      </c>
      <c r="C26640">
        <v>14771</v>
      </c>
      <c r="D26640" t="str">
        <f>"0124930044  "</f>
        <v xml:space="preserve">0124930044  </v>
      </c>
      <c r="E26640" t="s">
        <v>292</v>
      </c>
      <c r="F26640" t="s">
        <v>294</v>
      </c>
      <c r="G26640">
        <v>245.36</v>
      </c>
      <c r="H26640">
        <v>251105</v>
      </c>
      <c r="I26640">
        <v>4580</v>
      </c>
      <c r="J26640" t="s">
        <v>126</v>
      </c>
      <c r="K26640">
        <v>245.36</v>
      </c>
      <c r="L26640">
        <v>49.85</v>
      </c>
      <c r="M26640">
        <v>17803</v>
      </c>
      <c r="N26640" t="s">
        <v>19</v>
      </c>
      <c r="O26640">
        <v>251106</v>
      </c>
      <c r="P26640">
        <v>195.51</v>
      </c>
    </row>
    <row r="26641" spans="1:16" x14ac:dyDescent="0.25">
      <c r="A26641" t="s">
        <v>3296</v>
      </c>
      <c r="B26641" t="s">
        <v>2931</v>
      </c>
      <c r="C26641">
        <v>15273</v>
      </c>
      <c r="D26641" t="str">
        <f>"0124883895  "</f>
        <v xml:space="preserve">0124883895  </v>
      </c>
      <c r="E26641" t="s">
        <v>292</v>
      </c>
      <c r="F26641" t="s">
        <v>294</v>
      </c>
      <c r="G26641">
        <v>38.15</v>
      </c>
      <c r="H26641">
        <v>251030</v>
      </c>
      <c r="I26641">
        <v>4580</v>
      </c>
      <c r="J26641" t="s">
        <v>126</v>
      </c>
      <c r="K26641">
        <v>272.11</v>
      </c>
      <c r="L26641">
        <v>7.75</v>
      </c>
      <c r="M26641">
        <v>17521</v>
      </c>
      <c r="N26641" t="s">
        <v>136</v>
      </c>
      <c r="O26641">
        <v>251117</v>
      </c>
      <c r="P26641">
        <v>30.4</v>
      </c>
    </row>
    <row r="26642" spans="1:16" x14ac:dyDescent="0.25">
      <c r="A26642" t="s">
        <v>3296</v>
      </c>
      <c r="B26642" t="s">
        <v>2931</v>
      </c>
      <c r="C26642">
        <v>15317</v>
      </c>
      <c r="D26642" t="str">
        <f>"0124874707  "</f>
        <v xml:space="preserve">0124874707  </v>
      </c>
      <c r="E26642" t="s">
        <v>292</v>
      </c>
      <c r="F26642" t="s">
        <v>294</v>
      </c>
      <c r="G26642">
        <v>82.33</v>
      </c>
      <c r="H26642">
        <v>251027</v>
      </c>
      <c r="I26642">
        <v>4580</v>
      </c>
      <c r="J26642" t="s">
        <v>126</v>
      </c>
      <c r="K26642">
        <v>82.33</v>
      </c>
      <c r="L26642">
        <v>16.73</v>
      </c>
      <c r="M26642">
        <v>49501</v>
      </c>
      <c r="N26642" t="s">
        <v>110</v>
      </c>
      <c r="O26642">
        <v>251118</v>
      </c>
      <c r="P26642">
        <v>65.599999999999994</v>
      </c>
    </row>
    <row r="26643" spans="1:16" x14ac:dyDescent="0.25">
      <c r="A26643" t="s">
        <v>3296</v>
      </c>
      <c r="B26643" t="s">
        <v>2931</v>
      </c>
      <c r="C26643">
        <v>15365</v>
      </c>
      <c r="D26643" t="str">
        <f>"0124919363  "</f>
        <v xml:space="preserve">0124919363  </v>
      </c>
      <c r="E26643" t="s">
        <v>292</v>
      </c>
      <c r="F26643" t="s">
        <v>294</v>
      </c>
      <c r="G26643">
        <v>80.75</v>
      </c>
      <c r="H26643">
        <v>251103</v>
      </c>
      <c r="I26643">
        <v>4580</v>
      </c>
      <c r="J26643" t="s">
        <v>126</v>
      </c>
      <c r="K26643">
        <v>80.75</v>
      </c>
      <c r="L26643">
        <v>16.41</v>
      </c>
      <c r="M26643">
        <v>17521</v>
      </c>
      <c r="N26643" t="s">
        <v>136</v>
      </c>
      <c r="O26643">
        <v>251119</v>
      </c>
      <c r="P26643">
        <v>64.34</v>
      </c>
    </row>
    <row r="26644" spans="1:16" x14ac:dyDescent="0.25">
      <c r="A26644" t="s">
        <v>3296</v>
      </c>
      <c r="B26644" t="s">
        <v>2931</v>
      </c>
      <c r="C26644">
        <v>15732</v>
      </c>
      <c r="D26644" t="str">
        <f>"0124976719  "</f>
        <v xml:space="preserve">0124976719  </v>
      </c>
      <c r="E26644" t="s">
        <v>292</v>
      </c>
      <c r="F26644" t="s">
        <v>294</v>
      </c>
      <c r="G26644">
        <v>59.09</v>
      </c>
      <c r="H26644">
        <v>251118</v>
      </c>
      <c r="I26644">
        <v>4580</v>
      </c>
      <c r="J26644" t="s">
        <v>126</v>
      </c>
      <c r="K26644">
        <v>91.01</v>
      </c>
      <c r="L26644">
        <v>12.01</v>
      </c>
      <c r="M26644">
        <v>17521</v>
      </c>
      <c r="N26644" t="s">
        <v>136</v>
      </c>
      <c r="O26644">
        <v>251125</v>
      </c>
      <c r="P26644">
        <v>47.08</v>
      </c>
    </row>
    <row r="26645" spans="1:16" x14ac:dyDescent="0.25">
      <c r="A26645" t="s">
        <v>3296</v>
      </c>
      <c r="B26645" t="s">
        <v>2931</v>
      </c>
      <c r="C26645">
        <v>15732</v>
      </c>
      <c r="D26645" t="str">
        <f>"0124976719  "</f>
        <v xml:space="preserve">0124976719  </v>
      </c>
      <c r="E26645" t="s">
        <v>292</v>
      </c>
      <c r="F26645" t="s">
        <v>294</v>
      </c>
      <c r="G26645">
        <v>28.07</v>
      </c>
      <c r="H26645">
        <v>251118</v>
      </c>
      <c r="I26645">
        <v>4580</v>
      </c>
      <c r="J26645" t="s">
        <v>126</v>
      </c>
      <c r="K26645">
        <v>91.01</v>
      </c>
      <c r="L26645">
        <v>5.7</v>
      </c>
      <c r="M26645">
        <v>17524</v>
      </c>
      <c r="N26645" t="s">
        <v>139</v>
      </c>
      <c r="O26645">
        <v>251125</v>
      </c>
      <c r="P26645">
        <v>22.37</v>
      </c>
    </row>
    <row r="26646" spans="1:16" x14ac:dyDescent="0.25">
      <c r="A26646" t="s">
        <v>3296</v>
      </c>
      <c r="B26646" t="s">
        <v>2931</v>
      </c>
      <c r="C26646">
        <v>15734</v>
      </c>
      <c r="D26646" t="str">
        <f>"0124983882  "</f>
        <v xml:space="preserve">0124983882  </v>
      </c>
      <c r="E26646" t="s">
        <v>292</v>
      </c>
      <c r="F26646" t="s">
        <v>294</v>
      </c>
      <c r="G26646">
        <v>419.13</v>
      </c>
      <c r="H26646">
        <v>251119</v>
      </c>
      <c r="I26646">
        <v>4580</v>
      </c>
      <c r="J26646" t="s">
        <v>126</v>
      </c>
      <c r="K26646">
        <v>419.13</v>
      </c>
      <c r="L26646">
        <v>85.16</v>
      </c>
      <c r="M26646">
        <v>17521</v>
      </c>
      <c r="N26646" t="s">
        <v>136</v>
      </c>
      <c r="O26646">
        <v>251125</v>
      </c>
      <c r="P26646">
        <v>333.97</v>
      </c>
    </row>
    <row r="26647" spans="1:16" x14ac:dyDescent="0.25">
      <c r="A26647" t="s">
        <v>3296</v>
      </c>
      <c r="B26647" t="s">
        <v>2931</v>
      </c>
      <c r="C26647">
        <v>15853</v>
      </c>
      <c r="D26647" t="str">
        <f>"0124954395  "</f>
        <v xml:space="preserve">0124954395  </v>
      </c>
      <c r="E26647" t="s">
        <v>292</v>
      </c>
      <c r="F26647" t="s">
        <v>294</v>
      </c>
      <c r="G26647">
        <v>224.65</v>
      </c>
      <c r="H26647">
        <v>251112</v>
      </c>
      <c r="I26647">
        <v>4580</v>
      </c>
      <c r="J26647" t="s">
        <v>126</v>
      </c>
      <c r="K26647">
        <v>224.65</v>
      </c>
      <c r="L26647">
        <v>45.65</v>
      </c>
      <c r="M26647">
        <v>17803</v>
      </c>
      <c r="N26647" t="s">
        <v>19</v>
      </c>
      <c r="O26647">
        <v>251127</v>
      </c>
      <c r="P26647">
        <v>179</v>
      </c>
    </row>
    <row r="26648" spans="1:16" x14ac:dyDescent="0.25">
      <c r="A26648" t="s">
        <v>3296</v>
      </c>
      <c r="B26648" t="s">
        <v>2931</v>
      </c>
      <c r="C26648">
        <v>15974</v>
      </c>
      <c r="D26648" t="str">
        <f>"0124987229  "</f>
        <v xml:space="preserve">0124987229  </v>
      </c>
      <c r="E26648" t="s">
        <v>292</v>
      </c>
      <c r="F26648" t="s">
        <v>294</v>
      </c>
      <c r="G26648">
        <v>11.21</v>
      </c>
      <c r="H26648">
        <v>251120</v>
      </c>
      <c r="I26648">
        <v>4580</v>
      </c>
      <c r="J26648" t="s">
        <v>126</v>
      </c>
      <c r="K26648">
        <v>11.21</v>
      </c>
      <c r="L26648">
        <v>2.2799999999999998</v>
      </c>
      <c r="M26648">
        <v>47522</v>
      </c>
      <c r="N26648" t="s">
        <v>106</v>
      </c>
      <c r="O26648">
        <v>251201</v>
      </c>
      <c r="P26648">
        <v>8.93</v>
      </c>
    </row>
    <row r="26649" spans="1:16" x14ac:dyDescent="0.25">
      <c r="A26649" t="s">
        <v>3296</v>
      </c>
      <c r="B26649" t="s">
        <v>2931</v>
      </c>
      <c r="C26649">
        <v>15975</v>
      </c>
      <c r="D26649" t="str">
        <f>"0124995401  "</f>
        <v xml:space="preserve">0124995401  </v>
      </c>
      <c r="E26649" t="s">
        <v>292</v>
      </c>
      <c r="F26649" t="s">
        <v>294</v>
      </c>
      <c r="G26649">
        <v>3.36</v>
      </c>
      <c r="H26649">
        <v>251121</v>
      </c>
      <c r="I26649">
        <v>4580</v>
      </c>
      <c r="J26649" t="s">
        <v>126</v>
      </c>
      <c r="K26649">
        <v>143.41999999999999</v>
      </c>
      <c r="L26649">
        <v>0.68</v>
      </c>
      <c r="M26649">
        <v>47522</v>
      </c>
      <c r="N26649" t="s">
        <v>106</v>
      </c>
      <c r="O26649">
        <v>251201</v>
      </c>
      <c r="P26649">
        <v>2.68</v>
      </c>
    </row>
    <row r="26650" spans="1:16" x14ac:dyDescent="0.25">
      <c r="A26650" t="s">
        <v>3296</v>
      </c>
      <c r="B26650" t="s">
        <v>2931</v>
      </c>
      <c r="C26650">
        <v>16024</v>
      </c>
      <c r="D26650" t="str">
        <f>"0124948329  "</f>
        <v xml:space="preserve">0124948329  </v>
      </c>
      <c r="E26650" t="s">
        <v>292</v>
      </c>
      <c r="F26650" t="s">
        <v>294</v>
      </c>
      <c r="G26650">
        <v>29.87</v>
      </c>
      <c r="H26650">
        <v>251111</v>
      </c>
      <c r="I26650">
        <v>4580</v>
      </c>
      <c r="J26650" t="s">
        <v>126</v>
      </c>
      <c r="K26650">
        <v>101.01</v>
      </c>
      <c r="L26650">
        <v>6.07</v>
      </c>
      <c r="M26650">
        <v>17521</v>
      </c>
      <c r="N26650" t="s">
        <v>136</v>
      </c>
      <c r="O26650">
        <v>251202</v>
      </c>
      <c r="P26650">
        <v>23.8</v>
      </c>
    </row>
    <row r="26651" spans="1:16" x14ac:dyDescent="0.25">
      <c r="A26651" t="s">
        <v>3296</v>
      </c>
      <c r="B26651" t="s">
        <v>2931</v>
      </c>
      <c r="C26651">
        <v>16750</v>
      </c>
      <c r="D26651" t="str">
        <f>"0125011005  "</f>
        <v xml:space="preserve">0125011005  </v>
      </c>
      <c r="E26651" t="s">
        <v>292</v>
      </c>
      <c r="F26651" t="s">
        <v>294</v>
      </c>
      <c r="G26651">
        <v>3.74</v>
      </c>
      <c r="H26651">
        <v>251127</v>
      </c>
      <c r="I26651">
        <v>4580</v>
      </c>
      <c r="J26651" t="s">
        <v>126</v>
      </c>
      <c r="K26651">
        <v>210.6</v>
      </c>
      <c r="L26651">
        <v>0.76</v>
      </c>
      <c r="M26651">
        <v>17531</v>
      </c>
      <c r="N26651" t="s">
        <v>145</v>
      </c>
      <c r="O26651">
        <v>251211</v>
      </c>
      <c r="P26651">
        <v>2.98</v>
      </c>
    </row>
    <row r="26652" spans="1:16" x14ac:dyDescent="0.25">
      <c r="A26652" t="s">
        <v>3296</v>
      </c>
      <c r="B26652" t="s">
        <v>2931</v>
      </c>
      <c r="C26652">
        <v>16770</v>
      </c>
      <c r="D26652" t="str">
        <f>"0125049001  "</f>
        <v xml:space="preserve">0125049001  </v>
      </c>
      <c r="E26652" t="s">
        <v>292</v>
      </c>
      <c r="F26652" t="s">
        <v>294</v>
      </c>
      <c r="G26652">
        <v>69.28</v>
      </c>
      <c r="H26652">
        <v>251202</v>
      </c>
      <c r="I26652">
        <v>4580</v>
      </c>
      <c r="J26652" t="s">
        <v>126</v>
      </c>
      <c r="K26652">
        <v>271.31</v>
      </c>
      <c r="L26652">
        <v>14.08</v>
      </c>
      <c r="M26652">
        <v>67554</v>
      </c>
      <c r="N26652" t="s">
        <v>317</v>
      </c>
      <c r="O26652">
        <v>251211</v>
      </c>
      <c r="P26652">
        <v>55.2</v>
      </c>
    </row>
    <row r="26653" spans="1:16" x14ac:dyDescent="0.25">
      <c r="A26653" t="s">
        <v>3296</v>
      </c>
      <c r="B26653" t="s">
        <v>2931</v>
      </c>
      <c r="C26653">
        <v>16919</v>
      </c>
      <c r="D26653" t="str">
        <f>"0125013163  "</f>
        <v xml:space="preserve">0125013163  </v>
      </c>
      <c r="E26653" t="s">
        <v>292</v>
      </c>
      <c r="F26653" t="s">
        <v>294</v>
      </c>
      <c r="G26653">
        <v>106.93</v>
      </c>
      <c r="H26653">
        <v>251127</v>
      </c>
      <c r="I26653">
        <v>4580</v>
      </c>
      <c r="J26653" t="s">
        <v>126</v>
      </c>
      <c r="K26653">
        <v>212.64</v>
      </c>
      <c r="L26653">
        <v>21.73</v>
      </c>
      <c r="M26653">
        <v>67522</v>
      </c>
      <c r="N26653" t="s">
        <v>121</v>
      </c>
      <c r="O26653">
        <v>251215</v>
      </c>
      <c r="P26653">
        <v>85.2</v>
      </c>
    </row>
    <row r="26654" spans="1:16" x14ac:dyDescent="0.25">
      <c r="A26654" t="s">
        <v>3296</v>
      </c>
      <c r="B26654" t="s">
        <v>2931</v>
      </c>
      <c r="C26654">
        <v>16975</v>
      </c>
      <c r="D26654" t="str">
        <f>"0124956575  "</f>
        <v xml:space="preserve">0124956575  </v>
      </c>
      <c r="E26654" t="s">
        <v>292</v>
      </c>
      <c r="F26654" t="s">
        <v>294</v>
      </c>
      <c r="G26654">
        <v>100</v>
      </c>
      <c r="H26654">
        <v>251113</v>
      </c>
      <c r="I26654">
        <v>4580</v>
      </c>
      <c r="J26654" t="s">
        <v>126</v>
      </c>
      <c r="K26654">
        <v>119.23</v>
      </c>
      <c r="L26654">
        <v>20.32</v>
      </c>
      <c r="M26654">
        <v>46555</v>
      </c>
      <c r="N26654" t="s">
        <v>103</v>
      </c>
      <c r="O26654">
        <v>251216</v>
      </c>
      <c r="P26654">
        <v>79.680000000000007</v>
      </c>
    </row>
    <row r="26655" spans="1:16" x14ac:dyDescent="0.25">
      <c r="A26655" t="s">
        <v>3296</v>
      </c>
      <c r="B26655" t="s">
        <v>2931</v>
      </c>
      <c r="C26655">
        <v>16983</v>
      </c>
      <c r="D26655" t="str">
        <f>"0124987228  "</f>
        <v xml:space="preserve">0124987228  </v>
      </c>
      <c r="E26655" t="s">
        <v>292</v>
      </c>
      <c r="F26655" t="s">
        <v>294</v>
      </c>
      <c r="G26655">
        <v>35.33</v>
      </c>
      <c r="H26655">
        <v>251120</v>
      </c>
      <c r="I26655">
        <v>4580</v>
      </c>
      <c r="J26655" t="s">
        <v>126</v>
      </c>
      <c r="K26655">
        <v>1214.5899999999999</v>
      </c>
      <c r="L26655">
        <v>7.18</v>
      </c>
      <c r="M26655">
        <v>46554</v>
      </c>
      <c r="N26655" t="s">
        <v>102</v>
      </c>
      <c r="O26655">
        <v>251216</v>
      </c>
      <c r="P26655">
        <v>28.15</v>
      </c>
    </row>
    <row r="26656" spans="1:16" x14ac:dyDescent="0.25">
      <c r="A26656" t="s">
        <v>3296</v>
      </c>
      <c r="B26656" t="s">
        <v>2931</v>
      </c>
      <c r="C26656">
        <v>16985</v>
      </c>
      <c r="D26656" t="str">
        <f>"0124997692  "</f>
        <v xml:space="preserve">0124997692  </v>
      </c>
      <c r="E26656" t="s">
        <v>292</v>
      </c>
      <c r="F26656" t="s">
        <v>294</v>
      </c>
      <c r="G26656">
        <v>293.16000000000003</v>
      </c>
      <c r="H26656">
        <v>251124</v>
      </c>
      <c r="I26656">
        <v>4580</v>
      </c>
      <c r="J26656" t="s">
        <v>126</v>
      </c>
      <c r="K26656">
        <v>730.4</v>
      </c>
      <c r="L26656">
        <v>59.57</v>
      </c>
      <c r="M26656">
        <v>46554</v>
      </c>
      <c r="N26656" t="s">
        <v>102</v>
      </c>
      <c r="O26656">
        <v>251216</v>
      </c>
      <c r="P26656">
        <v>233.59</v>
      </c>
    </row>
    <row r="26657" spans="1:16" x14ac:dyDescent="0.25">
      <c r="A26657" t="s">
        <v>3296</v>
      </c>
      <c r="B26657" t="s">
        <v>2931</v>
      </c>
      <c r="C26657">
        <v>17127</v>
      </c>
      <c r="D26657" t="str">
        <f>"0124985947  "</f>
        <v xml:space="preserve">0124985947  </v>
      </c>
      <c r="E26657" t="s">
        <v>292</v>
      </c>
      <c r="F26657" t="s">
        <v>294</v>
      </c>
      <c r="G26657">
        <v>406.75</v>
      </c>
      <c r="H26657">
        <v>251120</v>
      </c>
      <c r="I26657">
        <v>4580</v>
      </c>
      <c r="J26657" t="s">
        <v>126</v>
      </c>
      <c r="K26657">
        <v>1007.91</v>
      </c>
      <c r="L26657">
        <v>82.65</v>
      </c>
      <c r="M26657">
        <v>17807</v>
      </c>
      <c r="N26657" t="s">
        <v>23</v>
      </c>
      <c r="O26657">
        <v>251217</v>
      </c>
      <c r="P26657">
        <v>324.10000000000002</v>
      </c>
    </row>
    <row r="26658" spans="1:16" x14ac:dyDescent="0.25">
      <c r="A26658" t="s">
        <v>3296</v>
      </c>
      <c r="B26658" t="s">
        <v>2931</v>
      </c>
      <c r="C26658">
        <v>17729</v>
      </c>
      <c r="D26658" t="str">
        <f>"0125065342  "</f>
        <v xml:space="preserve">0125065342  </v>
      </c>
      <c r="E26658" t="s">
        <v>292</v>
      </c>
      <c r="F26658" t="s">
        <v>294</v>
      </c>
      <c r="G26658">
        <v>104.49</v>
      </c>
      <c r="H26658">
        <v>251205</v>
      </c>
      <c r="I26658">
        <v>4580</v>
      </c>
      <c r="J26658" t="s">
        <v>126</v>
      </c>
      <c r="K26658">
        <v>310.39</v>
      </c>
      <c r="L26658">
        <v>21.23</v>
      </c>
      <c r="M26658">
        <v>69501</v>
      </c>
      <c r="N26658" t="s">
        <v>123</v>
      </c>
      <c r="O26658">
        <v>251230</v>
      </c>
      <c r="P26658">
        <v>83.26</v>
      </c>
    </row>
    <row r="26659" spans="1:16" x14ac:dyDescent="0.25">
      <c r="A26659" t="s">
        <v>3296</v>
      </c>
      <c r="B26659" t="s">
        <v>2931</v>
      </c>
      <c r="C26659">
        <v>18421</v>
      </c>
      <c r="D26659" t="str">
        <f>"0125129222  "</f>
        <v xml:space="preserve">0125129222  </v>
      </c>
      <c r="E26659" t="s">
        <v>292</v>
      </c>
      <c r="F26659" t="s">
        <v>294</v>
      </c>
      <c r="G26659">
        <v>353.51</v>
      </c>
      <c r="H26659">
        <v>251231</v>
      </c>
      <c r="I26659">
        <v>4580</v>
      </c>
      <c r="J26659" t="s">
        <v>126</v>
      </c>
      <c r="K26659">
        <v>831.55</v>
      </c>
      <c r="L26659">
        <v>71.83</v>
      </c>
      <c r="M26659">
        <v>56559</v>
      </c>
      <c r="N26659" t="s">
        <v>51</v>
      </c>
      <c r="O26659">
        <v>260113</v>
      </c>
      <c r="P26659">
        <v>281.68</v>
      </c>
    </row>
    <row r="26660" spans="1:16" x14ac:dyDescent="0.25">
      <c r="A26660" t="s">
        <v>3296</v>
      </c>
      <c r="B26660" t="s">
        <v>2931</v>
      </c>
      <c r="C26660">
        <v>519</v>
      </c>
      <c r="D26660" t="str">
        <f>"0123723596  "</f>
        <v xml:space="preserve">0123723596  </v>
      </c>
      <c r="E26660" t="s">
        <v>292</v>
      </c>
      <c r="F26660" t="s">
        <v>294</v>
      </c>
      <c r="G26660">
        <v>691.77</v>
      </c>
      <c r="H26660">
        <v>250115</v>
      </c>
      <c r="I26660">
        <v>4590</v>
      </c>
      <c r="J26660" t="s">
        <v>388</v>
      </c>
      <c r="K26660">
        <v>691.77</v>
      </c>
      <c r="L26660">
        <v>140.56</v>
      </c>
      <c r="M26660">
        <v>56561</v>
      </c>
      <c r="N26660" t="s">
        <v>53</v>
      </c>
      <c r="O26660">
        <v>250123</v>
      </c>
      <c r="P26660">
        <v>551.21</v>
      </c>
    </row>
    <row r="26661" spans="1:16" x14ac:dyDescent="0.25">
      <c r="A26661" t="s">
        <v>3296</v>
      </c>
      <c r="B26661" t="s">
        <v>2931</v>
      </c>
      <c r="C26661">
        <v>527</v>
      </c>
      <c r="D26661" t="str">
        <f>"0123723598  "</f>
        <v xml:space="preserve">0123723598  </v>
      </c>
      <c r="E26661" t="s">
        <v>292</v>
      </c>
      <c r="F26661" t="s">
        <v>294</v>
      </c>
      <c r="G26661">
        <v>43.84</v>
      </c>
      <c r="H26661">
        <v>250115</v>
      </c>
      <c r="I26661">
        <v>4590</v>
      </c>
      <c r="J26661" t="s">
        <v>388</v>
      </c>
      <c r="K26661">
        <v>43.84</v>
      </c>
      <c r="L26661">
        <v>8.91</v>
      </c>
      <c r="M26661">
        <v>56551</v>
      </c>
      <c r="N26661" t="s">
        <v>551</v>
      </c>
      <c r="O26661">
        <v>250123</v>
      </c>
      <c r="P26661">
        <v>34.93</v>
      </c>
    </row>
    <row r="26662" spans="1:16" x14ac:dyDescent="0.25">
      <c r="A26662" t="s">
        <v>3296</v>
      </c>
      <c r="B26662" t="s">
        <v>2931</v>
      </c>
      <c r="C26662">
        <v>545</v>
      </c>
      <c r="D26662" t="str">
        <f>"0123700261  "</f>
        <v xml:space="preserve">0123700261  </v>
      </c>
      <c r="E26662" t="s">
        <v>292</v>
      </c>
      <c r="F26662" t="s">
        <v>294</v>
      </c>
      <c r="G26662">
        <v>12.22</v>
      </c>
      <c r="H26662">
        <v>250108</v>
      </c>
      <c r="I26662">
        <v>4590</v>
      </c>
      <c r="J26662" t="s">
        <v>388</v>
      </c>
      <c r="K26662">
        <v>12.22</v>
      </c>
      <c r="L26662">
        <v>2.48</v>
      </c>
      <c r="M26662">
        <v>46556</v>
      </c>
      <c r="N26662" t="s">
        <v>458</v>
      </c>
      <c r="O26662">
        <v>250123</v>
      </c>
      <c r="P26662">
        <v>9.74</v>
      </c>
    </row>
    <row r="26663" spans="1:16" x14ac:dyDescent="0.25">
      <c r="A26663" t="s">
        <v>3296</v>
      </c>
      <c r="B26663" t="s">
        <v>2931</v>
      </c>
      <c r="C26663">
        <v>812</v>
      </c>
      <c r="D26663" t="str">
        <f>"0123754060  "</f>
        <v xml:space="preserve">0123754060  </v>
      </c>
      <c r="E26663" t="s">
        <v>292</v>
      </c>
      <c r="F26663" t="s">
        <v>294</v>
      </c>
      <c r="G26663">
        <v>547.73</v>
      </c>
      <c r="H26663">
        <v>250123</v>
      </c>
      <c r="I26663">
        <v>4590</v>
      </c>
      <c r="J26663" t="s">
        <v>388</v>
      </c>
      <c r="K26663">
        <v>547.73</v>
      </c>
      <c r="L26663">
        <v>111.29</v>
      </c>
      <c r="M26663">
        <v>46556</v>
      </c>
      <c r="N26663" t="s">
        <v>458</v>
      </c>
      <c r="O26663">
        <v>250129</v>
      </c>
      <c r="P26663">
        <v>436.44</v>
      </c>
    </row>
    <row r="26664" spans="1:16" x14ac:dyDescent="0.25">
      <c r="A26664" t="s">
        <v>3296</v>
      </c>
      <c r="B26664" t="s">
        <v>2931</v>
      </c>
      <c r="C26664">
        <v>1479</v>
      </c>
      <c r="D26664" t="str">
        <f>"0123771066  "</f>
        <v xml:space="preserve">0123771066  </v>
      </c>
      <c r="E26664" t="s">
        <v>292</v>
      </c>
      <c r="F26664" t="s">
        <v>294</v>
      </c>
      <c r="G26664">
        <v>24.27</v>
      </c>
      <c r="H26664">
        <v>250129</v>
      </c>
      <c r="I26664">
        <v>4590</v>
      </c>
      <c r="J26664" t="s">
        <v>388</v>
      </c>
      <c r="K26664">
        <v>24.27</v>
      </c>
      <c r="L26664">
        <v>4.93</v>
      </c>
      <c r="M26664">
        <v>46556</v>
      </c>
      <c r="N26664" t="s">
        <v>458</v>
      </c>
      <c r="O26664">
        <v>250210</v>
      </c>
      <c r="P26664">
        <v>19.34</v>
      </c>
    </row>
    <row r="26665" spans="1:16" x14ac:dyDescent="0.25">
      <c r="A26665" t="s">
        <v>3296</v>
      </c>
      <c r="B26665" t="s">
        <v>2931</v>
      </c>
      <c r="C26665">
        <v>1677</v>
      </c>
      <c r="D26665" t="str">
        <f>"0123790114  "</f>
        <v xml:space="preserve">0123790114  </v>
      </c>
      <c r="E26665" t="s">
        <v>292</v>
      </c>
      <c r="F26665" t="s">
        <v>294</v>
      </c>
      <c r="G26665">
        <v>295.82</v>
      </c>
      <c r="H26665">
        <v>250131</v>
      </c>
      <c r="I26665">
        <v>4590</v>
      </c>
      <c r="J26665" t="s">
        <v>388</v>
      </c>
      <c r="K26665">
        <v>295.82</v>
      </c>
      <c r="L26665">
        <v>60.11</v>
      </c>
      <c r="M26665">
        <v>56561</v>
      </c>
      <c r="N26665" t="s">
        <v>53</v>
      </c>
      <c r="O26665">
        <v>250212</v>
      </c>
      <c r="P26665">
        <v>235.71</v>
      </c>
    </row>
    <row r="26666" spans="1:16" x14ac:dyDescent="0.25">
      <c r="A26666" t="s">
        <v>3296</v>
      </c>
      <c r="B26666" t="s">
        <v>2931</v>
      </c>
      <c r="C26666">
        <v>1680</v>
      </c>
      <c r="D26666" t="str">
        <f>"0123804811  "</f>
        <v xml:space="preserve">0123804811  </v>
      </c>
      <c r="E26666" t="s">
        <v>292</v>
      </c>
      <c r="F26666" t="s">
        <v>294</v>
      </c>
      <c r="G26666">
        <v>211.83</v>
      </c>
      <c r="H26666">
        <v>250131</v>
      </c>
      <c r="I26666">
        <v>4590</v>
      </c>
      <c r="J26666" t="s">
        <v>388</v>
      </c>
      <c r="K26666">
        <v>211.83</v>
      </c>
      <c r="L26666">
        <v>43.04</v>
      </c>
      <c r="M26666">
        <v>17806</v>
      </c>
      <c r="N26666" t="s">
        <v>22</v>
      </c>
      <c r="O26666">
        <v>250212</v>
      </c>
      <c r="P26666">
        <v>168.79</v>
      </c>
    </row>
    <row r="26667" spans="1:16" x14ac:dyDescent="0.25">
      <c r="A26667" t="s">
        <v>3296</v>
      </c>
      <c r="B26667" t="s">
        <v>2931</v>
      </c>
      <c r="C26667">
        <v>1998</v>
      </c>
      <c r="D26667" t="str">
        <f>"0123825028  "</f>
        <v xml:space="preserve">0123825028  </v>
      </c>
      <c r="E26667" t="s">
        <v>292</v>
      </c>
      <c r="F26667" t="s">
        <v>294</v>
      </c>
      <c r="G26667">
        <v>22.59</v>
      </c>
      <c r="H26667">
        <v>250207</v>
      </c>
      <c r="I26667">
        <v>4590</v>
      </c>
      <c r="J26667" t="s">
        <v>388</v>
      </c>
      <c r="K26667">
        <v>339.98</v>
      </c>
      <c r="L26667">
        <v>4.59</v>
      </c>
      <c r="M26667">
        <v>67522</v>
      </c>
      <c r="N26667" t="s">
        <v>121</v>
      </c>
      <c r="O26667">
        <v>250218</v>
      </c>
      <c r="P26667">
        <v>18</v>
      </c>
    </row>
    <row r="26668" spans="1:16" x14ac:dyDescent="0.25">
      <c r="A26668" t="s">
        <v>3296</v>
      </c>
      <c r="B26668" t="s">
        <v>2931</v>
      </c>
      <c r="C26668">
        <v>2254</v>
      </c>
      <c r="D26668" t="str">
        <f>"0123863576  "</f>
        <v xml:space="preserve">0123863576  </v>
      </c>
      <c r="E26668" t="s">
        <v>292</v>
      </c>
      <c r="F26668" t="s">
        <v>294</v>
      </c>
      <c r="G26668">
        <v>59.84</v>
      </c>
      <c r="H26668">
        <v>250220</v>
      </c>
      <c r="I26668">
        <v>4590</v>
      </c>
      <c r="J26668" t="s">
        <v>388</v>
      </c>
      <c r="K26668">
        <v>59.84</v>
      </c>
      <c r="L26668">
        <v>12.16</v>
      </c>
      <c r="M26668">
        <v>17806</v>
      </c>
      <c r="N26668" t="s">
        <v>22</v>
      </c>
      <c r="O26668">
        <v>250221</v>
      </c>
      <c r="P26668">
        <v>47.68</v>
      </c>
    </row>
    <row r="26669" spans="1:16" x14ac:dyDescent="0.25">
      <c r="A26669" t="s">
        <v>3296</v>
      </c>
      <c r="B26669" t="s">
        <v>2931</v>
      </c>
      <c r="C26669">
        <v>2847</v>
      </c>
      <c r="D26669" t="str">
        <f>"0123843985  "</f>
        <v xml:space="preserve">0123843985  </v>
      </c>
      <c r="E26669" t="s">
        <v>292</v>
      </c>
      <c r="F26669" t="s">
        <v>294</v>
      </c>
      <c r="G26669">
        <v>291.39</v>
      </c>
      <c r="H26669">
        <v>250214</v>
      </c>
      <c r="I26669">
        <v>4590</v>
      </c>
      <c r="J26669" t="s">
        <v>388</v>
      </c>
      <c r="K26669">
        <v>291.39</v>
      </c>
      <c r="L26669">
        <v>59.21</v>
      </c>
      <c r="M26669">
        <v>56561</v>
      </c>
      <c r="N26669" t="s">
        <v>53</v>
      </c>
      <c r="O26669">
        <v>250312</v>
      </c>
      <c r="P26669">
        <v>232.18</v>
      </c>
    </row>
    <row r="26670" spans="1:16" x14ac:dyDescent="0.25">
      <c r="A26670" t="s">
        <v>3296</v>
      </c>
      <c r="B26670" t="s">
        <v>2931</v>
      </c>
      <c r="C26670">
        <v>3366</v>
      </c>
      <c r="D26670" t="str">
        <f>"0123902184  "</f>
        <v xml:space="preserve">0123902184  </v>
      </c>
      <c r="E26670" t="s">
        <v>292</v>
      </c>
      <c r="F26670" t="s">
        <v>294</v>
      </c>
      <c r="G26670">
        <v>6.94</v>
      </c>
      <c r="H26670">
        <v>250228</v>
      </c>
      <c r="I26670">
        <v>4590</v>
      </c>
      <c r="J26670" t="s">
        <v>388</v>
      </c>
      <c r="K26670">
        <v>6.94</v>
      </c>
      <c r="L26670">
        <v>1.41</v>
      </c>
      <c r="M26670">
        <v>17952</v>
      </c>
      <c r="N26670" t="s">
        <v>157</v>
      </c>
      <c r="O26670">
        <v>250319</v>
      </c>
      <c r="P26670">
        <v>5.53</v>
      </c>
    </row>
    <row r="26671" spans="1:16" x14ac:dyDescent="0.25">
      <c r="A26671" t="s">
        <v>3296</v>
      </c>
      <c r="B26671" t="s">
        <v>2931</v>
      </c>
      <c r="C26671">
        <v>4326</v>
      </c>
      <c r="D26671" t="str">
        <f>"0123942979  "</f>
        <v xml:space="preserve">0123942979  </v>
      </c>
      <c r="E26671" t="s">
        <v>292</v>
      </c>
      <c r="F26671" t="s">
        <v>294</v>
      </c>
      <c r="G26671">
        <v>158.06</v>
      </c>
      <c r="H26671">
        <v>250313</v>
      </c>
      <c r="I26671">
        <v>4590</v>
      </c>
      <c r="J26671" t="s">
        <v>388</v>
      </c>
      <c r="K26671">
        <v>158.06</v>
      </c>
      <c r="L26671">
        <v>32.119999999999997</v>
      </c>
      <c r="M26671">
        <v>17806</v>
      </c>
      <c r="N26671" t="s">
        <v>22</v>
      </c>
      <c r="O26671">
        <v>250411</v>
      </c>
      <c r="P26671">
        <v>125.94</v>
      </c>
    </row>
    <row r="26672" spans="1:16" x14ac:dyDescent="0.25">
      <c r="A26672" t="s">
        <v>3296</v>
      </c>
      <c r="B26672" t="s">
        <v>2931</v>
      </c>
      <c r="C26672">
        <v>4344</v>
      </c>
      <c r="D26672" t="str">
        <f>"0123949098  "</f>
        <v xml:space="preserve">0123949098  </v>
      </c>
      <c r="E26672" t="s">
        <v>292</v>
      </c>
      <c r="F26672" t="s">
        <v>294</v>
      </c>
      <c r="G26672">
        <v>4.0999999999999996</v>
      </c>
      <c r="H26672">
        <v>250314</v>
      </c>
      <c r="I26672">
        <v>4590</v>
      </c>
      <c r="J26672" t="s">
        <v>388</v>
      </c>
      <c r="K26672">
        <v>4.0999999999999996</v>
      </c>
      <c r="L26672">
        <v>0.83</v>
      </c>
      <c r="M26672">
        <v>56522</v>
      </c>
      <c r="N26672" t="s">
        <v>68</v>
      </c>
      <c r="O26672">
        <v>250411</v>
      </c>
      <c r="P26672">
        <v>3.27</v>
      </c>
    </row>
    <row r="26673" spans="1:16" x14ac:dyDescent="0.25">
      <c r="A26673" t="s">
        <v>3296</v>
      </c>
      <c r="B26673" t="s">
        <v>2931</v>
      </c>
      <c r="C26673">
        <v>4831</v>
      </c>
      <c r="D26673" t="str">
        <f>"0123977498  "</f>
        <v xml:space="preserve">0123977498  </v>
      </c>
      <c r="E26673" t="s">
        <v>292</v>
      </c>
      <c r="F26673" t="s">
        <v>294</v>
      </c>
      <c r="G26673">
        <v>186.96</v>
      </c>
      <c r="H26673">
        <v>250321</v>
      </c>
      <c r="I26673">
        <v>4590</v>
      </c>
      <c r="J26673" t="s">
        <v>388</v>
      </c>
      <c r="K26673">
        <v>186.96</v>
      </c>
      <c r="L26673">
        <v>37.99</v>
      </c>
      <c r="M26673">
        <v>17806</v>
      </c>
      <c r="N26673" t="s">
        <v>22</v>
      </c>
      <c r="O26673">
        <v>250415</v>
      </c>
      <c r="P26673">
        <v>148.97</v>
      </c>
    </row>
    <row r="26674" spans="1:16" x14ac:dyDescent="0.25">
      <c r="A26674" t="s">
        <v>3296</v>
      </c>
      <c r="B26674" t="s">
        <v>2931</v>
      </c>
      <c r="C26674">
        <v>5033</v>
      </c>
      <c r="D26674" t="str">
        <f>"0123987474  "</f>
        <v xml:space="preserve">0123987474  </v>
      </c>
      <c r="E26674" t="s">
        <v>292</v>
      </c>
      <c r="F26674" t="s">
        <v>294</v>
      </c>
      <c r="G26674">
        <v>63.53</v>
      </c>
      <c r="H26674">
        <v>250326</v>
      </c>
      <c r="I26674">
        <v>4590</v>
      </c>
      <c r="J26674" t="s">
        <v>388</v>
      </c>
      <c r="K26674">
        <v>63.53</v>
      </c>
      <c r="L26674">
        <v>12.91</v>
      </c>
      <c r="M26674">
        <v>46556</v>
      </c>
      <c r="N26674" t="s">
        <v>458</v>
      </c>
      <c r="O26674">
        <v>250416</v>
      </c>
      <c r="P26674">
        <v>50.62</v>
      </c>
    </row>
    <row r="26675" spans="1:16" x14ac:dyDescent="0.25">
      <c r="A26675" t="s">
        <v>3296</v>
      </c>
      <c r="B26675" t="s">
        <v>2931</v>
      </c>
      <c r="C26675">
        <v>5036</v>
      </c>
      <c r="D26675" t="str">
        <f>"0123995054  "</f>
        <v xml:space="preserve">0123995054  </v>
      </c>
      <c r="E26675" t="s">
        <v>292</v>
      </c>
      <c r="F26675" t="s">
        <v>294</v>
      </c>
      <c r="G26675">
        <v>197.09</v>
      </c>
      <c r="H26675">
        <v>250327</v>
      </c>
      <c r="I26675">
        <v>4590</v>
      </c>
      <c r="J26675" t="s">
        <v>388</v>
      </c>
      <c r="K26675">
        <v>197.09</v>
      </c>
      <c r="L26675">
        <v>40.049999999999997</v>
      </c>
      <c r="M26675">
        <v>17806</v>
      </c>
      <c r="N26675" t="s">
        <v>22</v>
      </c>
      <c r="O26675">
        <v>250416</v>
      </c>
      <c r="P26675">
        <v>157.04</v>
      </c>
    </row>
    <row r="26676" spans="1:16" x14ac:dyDescent="0.25">
      <c r="A26676" t="s">
        <v>3296</v>
      </c>
      <c r="B26676" t="s">
        <v>2931</v>
      </c>
      <c r="C26676">
        <v>5654</v>
      </c>
      <c r="D26676" t="str">
        <f>"0124057453  "</f>
        <v xml:space="preserve">0124057453  </v>
      </c>
      <c r="E26676" t="s">
        <v>292</v>
      </c>
      <c r="F26676" t="s">
        <v>294</v>
      </c>
      <c r="G26676">
        <v>94.13</v>
      </c>
      <c r="H26676">
        <v>250410</v>
      </c>
      <c r="I26676">
        <v>4590</v>
      </c>
      <c r="J26676" t="s">
        <v>388</v>
      </c>
      <c r="K26676">
        <v>94.13</v>
      </c>
      <c r="L26676">
        <v>19.13</v>
      </c>
      <c r="M26676">
        <v>17806</v>
      </c>
      <c r="N26676" t="s">
        <v>22</v>
      </c>
      <c r="O26676">
        <v>250428</v>
      </c>
      <c r="P26676">
        <v>75</v>
      </c>
    </row>
    <row r="26677" spans="1:16" x14ac:dyDescent="0.25">
      <c r="A26677" t="s">
        <v>3296</v>
      </c>
      <c r="B26677" t="s">
        <v>2931</v>
      </c>
      <c r="C26677">
        <v>6152</v>
      </c>
      <c r="D26677" t="str">
        <f>"0124089369  "</f>
        <v xml:space="preserve">0124089369  </v>
      </c>
      <c r="E26677" t="s">
        <v>292</v>
      </c>
      <c r="F26677" t="s">
        <v>294</v>
      </c>
      <c r="G26677">
        <v>1.61</v>
      </c>
      <c r="H26677">
        <v>250417</v>
      </c>
      <c r="I26677">
        <v>4590</v>
      </c>
      <c r="J26677" t="s">
        <v>388</v>
      </c>
      <c r="K26677">
        <v>1.61</v>
      </c>
      <c r="L26677">
        <v>0.33</v>
      </c>
      <c r="M26677">
        <v>46556</v>
      </c>
      <c r="N26677" t="s">
        <v>458</v>
      </c>
      <c r="O26677">
        <v>250509</v>
      </c>
      <c r="P26677">
        <v>1.28</v>
      </c>
    </row>
    <row r="26678" spans="1:16" x14ac:dyDescent="0.25">
      <c r="A26678" t="s">
        <v>3296</v>
      </c>
      <c r="B26678" t="s">
        <v>2931</v>
      </c>
      <c r="C26678">
        <v>9208</v>
      </c>
      <c r="D26678" t="str">
        <f>"0124317614  "</f>
        <v xml:space="preserve">0124317614  </v>
      </c>
      <c r="E26678" t="s">
        <v>292</v>
      </c>
      <c r="F26678" t="s">
        <v>294</v>
      </c>
      <c r="G26678">
        <v>13.28</v>
      </c>
      <c r="H26678">
        <v>250612</v>
      </c>
      <c r="I26678">
        <v>4590</v>
      </c>
      <c r="J26678" t="s">
        <v>388</v>
      </c>
      <c r="K26678">
        <v>223.82</v>
      </c>
      <c r="L26678">
        <v>2.7</v>
      </c>
      <c r="M26678">
        <v>67554</v>
      </c>
      <c r="N26678" t="s">
        <v>317</v>
      </c>
      <c r="O26678">
        <v>250627</v>
      </c>
      <c r="P26678">
        <v>10.58</v>
      </c>
    </row>
    <row r="26679" spans="1:16" x14ac:dyDescent="0.25">
      <c r="A26679" t="s">
        <v>3296</v>
      </c>
      <c r="B26679" t="s">
        <v>2931</v>
      </c>
      <c r="C26679">
        <v>10723</v>
      </c>
      <c r="D26679" t="str">
        <f>"0124557619  "</f>
        <v xml:space="preserve">0124557619  </v>
      </c>
      <c r="E26679" t="s">
        <v>292</v>
      </c>
      <c r="F26679" t="s">
        <v>294</v>
      </c>
      <c r="G26679">
        <v>407.39</v>
      </c>
      <c r="H26679">
        <v>250815</v>
      </c>
      <c r="I26679">
        <v>4590</v>
      </c>
      <c r="J26679" t="s">
        <v>388</v>
      </c>
      <c r="K26679">
        <v>407.39</v>
      </c>
      <c r="L26679">
        <v>82.78</v>
      </c>
      <c r="M26679">
        <v>56561</v>
      </c>
      <c r="N26679" t="s">
        <v>53</v>
      </c>
      <c r="O26679">
        <v>250821</v>
      </c>
      <c r="P26679">
        <v>324.61</v>
      </c>
    </row>
    <row r="26680" spans="1:16" x14ac:dyDescent="0.25">
      <c r="A26680" t="s">
        <v>3296</v>
      </c>
      <c r="B26680" t="s">
        <v>2931</v>
      </c>
      <c r="C26680">
        <v>11174</v>
      </c>
      <c r="D26680" t="str">
        <f>"0124550823  "</f>
        <v xml:space="preserve">0124550823  </v>
      </c>
      <c r="E26680" t="s">
        <v>292</v>
      </c>
      <c r="F26680" t="s">
        <v>294</v>
      </c>
      <c r="G26680">
        <v>137.6</v>
      </c>
      <c r="H26680">
        <v>250814</v>
      </c>
      <c r="I26680">
        <v>4590</v>
      </c>
      <c r="J26680" t="s">
        <v>388</v>
      </c>
      <c r="K26680">
        <v>137.6</v>
      </c>
      <c r="L26680">
        <v>27.96</v>
      </c>
      <c r="M26680">
        <v>17806</v>
      </c>
      <c r="N26680" t="s">
        <v>22</v>
      </c>
      <c r="O26680">
        <v>250901</v>
      </c>
      <c r="P26680">
        <v>109.64</v>
      </c>
    </row>
    <row r="26681" spans="1:16" x14ac:dyDescent="0.25">
      <c r="A26681" t="s">
        <v>3296</v>
      </c>
      <c r="B26681" t="s">
        <v>2931</v>
      </c>
      <c r="C26681">
        <v>11782</v>
      </c>
      <c r="D26681" t="str">
        <f>"0124618063  "</f>
        <v xml:space="preserve">0124618063  </v>
      </c>
      <c r="E26681" t="s">
        <v>292</v>
      </c>
      <c r="F26681" t="s">
        <v>294</v>
      </c>
      <c r="G26681">
        <v>415.23</v>
      </c>
      <c r="H26681">
        <v>250829</v>
      </c>
      <c r="I26681">
        <v>4590</v>
      </c>
      <c r="J26681" t="s">
        <v>388</v>
      </c>
      <c r="K26681">
        <v>415.23</v>
      </c>
      <c r="L26681">
        <v>84.37</v>
      </c>
      <c r="M26681">
        <v>56561</v>
      </c>
      <c r="N26681" t="s">
        <v>53</v>
      </c>
      <c r="O26681">
        <v>250910</v>
      </c>
      <c r="P26681">
        <v>330.86</v>
      </c>
    </row>
    <row r="26682" spans="1:16" x14ac:dyDescent="0.25">
      <c r="A26682" t="s">
        <v>3296</v>
      </c>
      <c r="B26682" t="s">
        <v>2931</v>
      </c>
      <c r="C26682">
        <v>12326</v>
      </c>
      <c r="D26682" t="str">
        <f>"0124651148  "</f>
        <v xml:space="preserve">0124651148  </v>
      </c>
      <c r="E26682" t="s">
        <v>292</v>
      </c>
      <c r="F26682" t="s">
        <v>294</v>
      </c>
      <c r="G26682">
        <v>135.82</v>
      </c>
      <c r="H26682">
        <v>250904</v>
      </c>
      <c r="I26682">
        <v>4590</v>
      </c>
      <c r="J26682" t="s">
        <v>388</v>
      </c>
      <c r="K26682">
        <v>135.82</v>
      </c>
      <c r="L26682">
        <v>27.6</v>
      </c>
      <c r="M26682">
        <v>17806</v>
      </c>
      <c r="N26682" t="s">
        <v>22</v>
      </c>
      <c r="O26682">
        <v>250919</v>
      </c>
      <c r="P26682">
        <v>108.22</v>
      </c>
    </row>
    <row r="26683" spans="1:16" x14ac:dyDescent="0.25">
      <c r="A26683" t="s">
        <v>3296</v>
      </c>
      <c r="B26683" t="s">
        <v>2931</v>
      </c>
      <c r="C26683">
        <v>12327</v>
      </c>
      <c r="D26683" t="str">
        <f>"0124656488  "</f>
        <v xml:space="preserve">0124656488  </v>
      </c>
      <c r="E26683" t="s">
        <v>292</v>
      </c>
      <c r="F26683" t="s">
        <v>294</v>
      </c>
      <c r="G26683">
        <v>36.86</v>
      </c>
      <c r="H26683">
        <v>250905</v>
      </c>
      <c r="I26683">
        <v>4590</v>
      </c>
      <c r="J26683" t="s">
        <v>388</v>
      </c>
      <c r="K26683">
        <v>36.86</v>
      </c>
      <c r="L26683">
        <v>7.49</v>
      </c>
      <c r="M26683">
        <v>46556</v>
      </c>
      <c r="N26683" t="s">
        <v>458</v>
      </c>
      <c r="O26683">
        <v>250919</v>
      </c>
      <c r="P26683">
        <v>29.37</v>
      </c>
    </row>
    <row r="26684" spans="1:16" x14ac:dyDescent="0.25">
      <c r="A26684" t="s">
        <v>3296</v>
      </c>
      <c r="B26684" t="s">
        <v>2931</v>
      </c>
      <c r="C26684">
        <v>12407</v>
      </c>
      <c r="D26684" t="str">
        <f>"0124683685  "</f>
        <v xml:space="preserve">0124683685  </v>
      </c>
      <c r="E26684" t="s">
        <v>292</v>
      </c>
      <c r="F26684" t="s">
        <v>294</v>
      </c>
      <c r="G26684">
        <v>222.8</v>
      </c>
      <c r="H26684">
        <v>250912</v>
      </c>
      <c r="I26684">
        <v>4590</v>
      </c>
      <c r="J26684" t="s">
        <v>388</v>
      </c>
      <c r="K26684">
        <v>222.8</v>
      </c>
      <c r="L26684">
        <v>45.27</v>
      </c>
      <c r="M26684">
        <v>46556</v>
      </c>
      <c r="N26684" t="s">
        <v>458</v>
      </c>
      <c r="O26684">
        <v>250919</v>
      </c>
      <c r="P26684">
        <v>177.53</v>
      </c>
    </row>
    <row r="26685" spans="1:16" x14ac:dyDescent="0.25">
      <c r="A26685" t="s">
        <v>3296</v>
      </c>
      <c r="B26685" t="s">
        <v>2931</v>
      </c>
      <c r="C26685">
        <v>12775</v>
      </c>
      <c r="D26685" t="str">
        <f>"0124690166  "</f>
        <v xml:space="preserve">0124690166  </v>
      </c>
      <c r="E26685" t="s">
        <v>292</v>
      </c>
      <c r="F26685" t="s">
        <v>294</v>
      </c>
      <c r="G26685">
        <v>384.73</v>
      </c>
      <c r="H26685">
        <v>250915</v>
      </c>
      <c r="I26685">
        <v>4590</v>
      </c>
      <c r="J26685" t="s">
        <v>388</v>
      </c>
      <c r="K26685">
        <v>384.73</v>
      </c>
      <c r="L26685">
        <v>78.17</v>
      </c>
      <c r="M26685">
        <v>56561</v>
      </c>
      <c r="N26685" t="s">
        <v>53</v>
      </c>
      <c r="O26685">
        <v>250930</v>
      </c>
      <c r="P26685">
        <v>306.56</v>
      </c>
    </row>
    <row r="26686" spans="1:16" x14ac:dyDescent="0.25">
      <c r="A26686" t="s">
        <v>3296</v>
      </c>
      <c r="B26686" t="s">
        <v>2931</v>
      </c>
      <c r="C26686">
        <v>12801</v>
      </c>
      <c r="D26686" t="str">
        <f>"0124707258  "</f>
        <v xml:space="preserve">0124707258  </v>
      </c>
      <c r="E26686" t="s">
        <v>292</v>
      </c>
      <c r="F26686" t="s">
        <v>294</v>
      </c>
      <c r="G26686">
        <v>55.65</v>
      </c>
      <c r="H26686">
        <v>250918</v>
      </c>
      <c r="I26686">
        <v>4590</v>
      </c>
      <c r="J26686" t="s">
        <v>388</v>
      </c>
      <c r="K26686">
        <v>55.65</v>
      </c>
      <c r="L26686">
        <v>11.31</v>
      </c>
      <c r="M26686">
        <v>46556</v>
      </c>
      <c r="N26686" t="s">
        <v>458</v>
      </c>
      <c r="O26686">
        <v>250930</v>
      </c>
      <c r="P26686">
        <v>44.34</v>
      </c>
    </row>
    <row r="26687" spans="1:16" x14ac:dyDescent="0.25">
      <c r="A26687" t="s">
        <v>3296</v>
      </c>
      <c r="B26687" t="s">
        <v>2931</v>
      </c>
      <c r="C26687">
        <v>13089</v>
      </c>
      <c r="D26687" t="str">
        <f>"0124754811  "</f>
        <v xml:space="preserve">0124754811  </v>
      </c>
      <c r="E26687" t="s">
        <v>292</v>
      </c>
      <c r="F26687" t="s">
        <v>294</v>
      </c>
      <c r="G26687">
        <v>135.54</v>
      </c>
      <c r="H26687">
        <v>250930</v>
      </c>
      <c r="I26687">
        <v>4590</v>
      </c>
      <c r="J26687" t="s">
        <v>388</v>
      </c>
      <c r="K26687">
        <v>135.54</v>
      </c>
      <c r="L26687">
        <v>27.54</v>
      </c>
      <c r="M26687">
        <v>56562</v>
      </c>
      <c r="N26687" t="s">
        <v>54</v>
      </c>
      <c r="O26687">
        <v>251003</v>
      </c>
      <c r="P26687">
        <v>108</v>
      </c>
    </row>
    <row r="26688" spans="1:16" x14ac:dyDescent="0.25">
      <c r="A26688" t="s">
        <v>3296</v>
      </c>
      <c r="B26688" t="s">
        <v>2931</v>
      </c>
      <c r="C26688">
        <v>13296</v>
      </c>
      <c r="D26688" t="str">
        <f>"0124731147  "</f>
        <v xml:space="preserve">0124731147  </v>
      </c>
      <c r="E26688" t="s">
        <v>292</v>
      </c>
      <c r="F26688" t="s">
        <v>294</v>
      </c>
      <c r="G26688">
        <v>334.08</v>
      </c>
      <c r="H26688">
        <v>250925</v>
      </c>
      <c r="I26688">
        <v>4590</v>
      </c>
      <c r="J26688" t="s">
        <v>388</v>
      </c>
      <c r="K26688">
        <v>334.08</v>
      </c>
      <c r="L26688">
        <v>67.88</v>
      </c>
      <c r="M26688">
        <v>17806</v>
      </c>
      <c r="N26688" t="s">
        <v>22</v>
      </c>
      <c r="O26688">
        <v>251007</v>
      </c>
      <c r="P26688">
        <v>266.2</v>
      </c>
    </row>
    <row r="26689" spans="1:16" x14ac:dyDescent="0.25">
      <c r="A26689" t="s">
        <v>3296</v>
      </c>
      <c r="B26689" t="s">
        <v>2931</v>
      </c>
      <c r="C26689">
        <v>13994</v>
      </c>
      <c r="D26689" t="str">
        <f>"0124786059  "</f>
        <v xml:space="preserve">0124786059  </v>
      </c>
      <c r="E26689" t="s">
        <v>292</v>
      </c>
      <c r="F26689" t="s">
        <v>294</v>
      </c>
      <c r="G26689">
        <v>82.48</v>
      </c>
      <c r="H26689">
        <v>251003</v>
      </c>
      <c r="I26689">
        <v>4590</v>
      </c>
      <c r="J26689" t="s">
        <v>388</v>
      </c>
      <c r="K26689">
        <v>82.48</v>
      </c>
      <c r="L26689">
        <v>16.760000000000002</v>
      </c>
      <c r="M26689">
        <v>49501</v>
      </c>
      <c r="N26689" t="s">
        <v>110</v>
      </c>
      <c r="O26689">
        <v>251021</v>
      </c>
      <c r="P26689">
        <v>65.72</v>
      </c>
    </row>
    <row r="26690" spans="1:16" x14ac:dyDescent="0.25">
      <c r="A26690" t="s">
        <v>3296</v>
      </c>
      <c r="B26690" t="s">
        <v>2931</v>
      </c>
      <c r="C26690">
        <v>14155</v>
      </c>
      <c r="D26690" t="str">
        <f>"0124803293  "</f>
        <v xml:space="preserve">0124803293  </v>
      </c>
      <c r="E26690" t="s">
        <v>292</v>
      </c>
      <c r="F26690" t="s">
        <v>294</v>
      </c>
      <c r="G26690">
        <v>297.76</v>
      </c>
      <c r="H26690">
        <v>251009</v>
      </c>
      <c r="I26690">
        <v>4590</v>
      </c>
      <c r="J26690" t="s">
        <v>388</v>
      </c>
      <c r="K26690">
        <v>297.76</v>
      </c>
      <c r="L26690">
        <v>60.5</v>
      </c>
      <c r="M26690">
        <v>46556</v>
      </c>
      <c r="N26690" t="s">
        <v>458</v>
      </c>
      <c r="O26690">
        <v>251024</v>
      </c>
      <c r="P26690">
        <v>237.26</v>
      </c>
    </row>
    <row r="26691" spans="1:16" x14ac:dyDescent="0.25">
      <c r="A26691" t="s">
        <v>3296</v>
      </c>
      <c r="B26691" t="s">
        <v>2931</v>
      </c>
      <c r="C26691">
        <v>14226</v>
      </c>
      <c r="D26691" t="str">
        <f>"0124811314  "</f>
        <v xml:space="preserve">0124811314  </v>
      </c>
      <c r="E26691" t="s">
        <v>292</v>
      </c>
      <c r="F26691" t="s">
        <v>294</v>
      </c>
      <c r="G26691">
        <v>19.079999999999998</v>
      </c>
      <c r="H26691">
        <v>251010</v>
      </c>
      <c r="I26691">
        <v>4590</v>
      </c>
      <c r="J26691" t="s">
        <v>388</v>
      </c>
      <c r="K26691">
        <v>19.079999999999998</v>
      </c>
      <c r="L26691">
        <v>3.88</v>
      </c>
      <c r="M26691">
        <v>49501</v>
      </c>
      <c r="N26691" t="s">
        <v>110</v>
      </c>
      <c r="O26691">
        <v>251027</v>
      </c>
      <c r="P26691">
        <v>15.2</v>
      </c>
    </row>
    <row r="26692" spans="1:16" x14ac:dyDescent="0.25">
      <c r="A26692" t="s">
        <v>3296</v>
      </c>
      <c r="B26692" t="s">
        <v>2931</v>
      </c>
      <c r="C26692">
        <v>14398</v>
      </c>
      <c r="D26692" t="str">
        <f>"0124858009  "</f>
        <v xml:space="preserve">0124858009  </v>
      </c>
      <c r="E26692" t="s">
        <v>292</v>
      </c>
      <c r="F26692" t="s">
        <v>294</v>
      </c>
      <c r="G26692">
        <v>802.9</v>
      </c>
      <c r="H26692">
        <v>251023</v>
      </c>
      <c r="I26692">
        <v>4590</v>
      </c>
      <c r="J26692" t="s">
        <v>388</v>
      </c>
      <c r="K26692">
        <v>802.9</v>
      </c>
      <c r="L26692">
        <v>163.13999999999999</v>
      </c>
      <c r="M26692">
        <v>17806</v>
      </c>
      <c r="N26692" t="s">
        <v>22</v>
      </c>
      <c r="O26692">
        <v>251031</v>
      </c>
      <c r="P26692">
        <v>639.76</v>
      </c>
    </row>
    <row r="26693" spans="1:16" x14ac:dyDescent="0.25">
      <c r="A26693" t="s">
        <v>3296</v>
      </c>
      <c r="B26693" t="s">
        <v>2931</v>
      </c>
      <c r="C26693">
        <v>14440</v>
      </c>
      <c r="D26693" t="str">
        <f>"0124883630  "</f>
        <v xml:space="preserve">0124883630  </v>
      </c>
      <c r="E26693" t="s">
        <v>292</v>
      </c>
      <c r="F26693" t="s">
        <v>294</v>
      </c>
      <c r="G26693">
        <v>301.83</v>
      </c>
      <c r="H26693">
        <v>251029</v>
      </c>
      <c r="I26693">
        <v>4590</v>
      </c>
      <c r="J26693" t="s">
        <v>388</v>
      </c>
      <c r="K26693">
        <v>301.83</v>
      </c>
      <c r="L26693">
        <v>61.33</v>
      </c>
      <c r="M26693">
        <v>17806</v>
      </c>
      <c r="N26693" t="s">
        <v>22</v>
      </c>
      <c r="O26693">
        <v>251031</v>
      </c>
      <c r="P26693">
        <v>240.5</v>
      </c>
    </row>
    <row r="26694" spans="1:16" x14ac:dyDescent="0.25">
      <c r="A26694" t="s">
        <v>3296</v>
      </c>
      <c r="B26694" t="s">
        <v>2931</v>
      </c>
      <c r="C26694">
        <v>15517</v>
      </c>
      <c r="D26694" t="str">
        <f>"0124939584  "</f>
        <v xml:space="preserve">0124939584  </v>
      </c>
      <c r="E26694" t="s">
        <v>292</v>
      </c>
      <c r="F26694" t="s">
        <v>294</v>
      </c>
      <c r="G26694">
        <v>39.76</v>
      </c>
      <c r="H26694">
        <v>251107</v>
      </c>
      <c r="I26694">
        <v>4590</v>
      </c>
      <c r="J26694" t="s">
        <v>388</v>
      </c>
      <c r="K26694">
        <v>39.76</v>
      </c>
      <c r="L26694">
        <v>8.08</v>
      </c>
      <c r="M26694">
        <v>49501</v>
      </c>
      <c r="N26694" t="s">
        <v>110</v>
      </c>
      <c r="O26694">
        <v>251121</v>
      </c>
      <c r="P26694">
        <v>31.68</v>
      </c>
    </row>
    <row r="26695" spans="1:16" x14ac:dyDescent="0.25">
      <c r="A26695" t="s">
        <v>3296</v>
      </c>
      <c r="B26695" t="s">
        <v>2931</v>
      </c>
      <c r="C26695">
        <v>15530</v>
      </c>
      <c r="D26695" t="str">
        <f>"0124948242  "</f>
        <v xml:space="preserve">0124948242  </v>
      </c>
      <c r="E26695" t="s">
        <v>292</v>
      </c>
      <c r="F26695" t="s">
        <v>294</v>
      </c>
      <c r="G26695">
        <v>368.34</v>
      </c>
      <c r="H26695">
        <v>251111</v>
      </c>
      <c r="I26695">
        <v>4590</v>
      </c>
      <c r="J26695" t="s">
        <v>388</v>
      </c>
      <c r="K26695">
        <v>409.76</v>
      </c>
      <c r="L26695">
        <v>74.84</v>
      </c>
      <c r="M26695">
        <v>49501</v>
      </c>
      <c r="N26695" t="s">
        <v>110</v>
      </c>
      <c r="O26695">
        <v>251121</v>
      </c>
      <c r="P26695">
        <v>293.5</v>
      </c>
    </row>
    <row r="26696" spans="1:16" x14ac:dyDescent="0.25">
      <c r="A26696" t="s">
        <v>3296</v>
      </c>
      <c r="B26696" t="s">
        <v>2931</v>
      </c>
      <c r="C26696">
        <v>15542</v>
      </c>
      <c r="D26696" t="str">
        <f>"0124950359  "</f>
        <v xml:space="preserve">0124950359  </v>
      </c>
      <c r="E26696" t="s">
        <v>292</v>
      </c>
      <c r="F26696" t="s">
        <v>294</v>
      </c>
      <c r="G26696">
        <v>234.62</v>
      </c>
      <c r="H26696">
        <v>251112</v>
      </c>
      <c r="I26696">
        <v>4590</v>
      </c>
      <c r="J26696" t="s">
        <v>388</v>
      </c>
      <c r="K26696">
        <v>234.62</v>
      </c>
      <c r="L26696">
        <v>47.67</v>
      </c>
      <c r="M26696">
        <v>46556</v>
      </c>
      <c r="N26696" t="s">
        <v>458</v>
      </c>
      <c r="O26696">
        <v>251121</v>
      </c>
      <c r="P26696">
        <v>186.95</v>
      </c>
    </row>
    <row r="26697" spans="1:16" x14ac:dyDescent="0.25">
      <c r="A26697" t="s">
        <v>3296</v>
      </c>
      <c r="B26697" t="s">
        <v>2931</v>
      </c>
      <c r="C26697">
        <v>15580</v>
      </c>
      <c r="D26697" t="str">
        <f>"0124956545  "</f>
        <v xml:space="preserve">0124956545  </v>
      </c>
      <c r="E26697" t="s">
        <v>292</v>
      </c>
      <c r="F26697" t="s">
        <v>294</v>
      </c>
      <c r="G26697">
        <v>215.25</v>
      </c>
      <c r="H26697">
        <v>251113</v>
      </c>
      <c r="I26697">
        <v>4590</v>
      </c>
      <c r="J26697" t="s">
        <v>388</v>
      </c>
      <c r="K26697">
        <v>215.25</v>
      </c>
      <c r="L26697">
        <v>43.74</v>
      </c>
      <c r="M26697">
        <v>17806</v>
      </c>
      <c r="N26697" t="s">
        <v>22</v>
      </c>
      <c r="O26697">
        <v>251121</v>
      </c>
      <c r="P26697">
        <v>171.51</v>
      </c>
    </row>
    <row r="26698" spans="1:16" x14ac:dyDescent="0.25">
      <c r="A26698" t="s">
        <v>3296</v>
      </c>
      <c r="B26698" t="s">
        <v>2931</v>
      </c>
      <c r="C26698">
        <v>15735</v>
      </c>
      <c r="D26698" t="str">
        <f>"0124985946  "</f>
        <v xml:space="preserve">0124985946  </v>
      </c>
      <c r="E26698" t="s">
        <v>292</v>
      </c>
      <c r="F26698" t="s">
        <v>294</v>
      </c>
      <c r="G26698">
        <v>33.61</v>
      </c>
      <c r="H26698">
        <v>251120</v>
      </c>
      <c r="I26698">
        <v>4590</v>
      </c>
      <c r="J26698" t="s">
        <v>388</v>
      </c>
      <c r="K26698">
        <v>33.61</v>
      </c>
      <c r="L26698">
        <v>6.83</v>
      </c>
      <c r="M26698">
        <v>17806</v>
      </c>
      <c r="N26698" t="s">
        <v>22</v>
      </c>
      <c r="O26698">
        <v>251125</v>
      </c>
      <c r="P26698">
        <v>26.78</v>
      </c>
    </row>
    <row r="26699" spans="1:16" x14ac:dyDescent="0.25">
      <c r="A26699" t="s">
        <v>3296</v>
      </c>
      <c r="B26699" t="s">
        <v>2931</v>
      </c>
      <c r="C26699">
        <v>16753</v>
      </c>
      <c r="D26699" t="str">
        <f>"0125011854  "</f>
        <v xml:space="preserve">0125011854  </v>
      </c>
      <c r="E26699" t="s">
        <v>292</v>
      </c>
      <c r="F26699" t="s">
        <v>294</v>
      </c>
      <c r="G26699">
        <v>150.59</v>
      </c>
      <c r="H26699">
        <v>251127</v>
      </c>
      <c r="I26699">
        <v>4590</v>
      </c>
      <c r="J26699" t="s">
        <v>388</v>
      </c>
      <c r="K26699">
        <v>150.59</v>
      </c>
      <c r="L26699">
        <v>30.6</v>
      </c>
      <c r="M26699">
        <v>17806</v>
      </c>
      <c r="N26699" t="s">
        <v>22</v>
      </c>
      <c r="O26699">
        <v>251211</v>
      </c>
      <c r="P26699">
        <v>119.99</v>
      </c>
    </row>
    <row r="26700" spans="1:16" x14ac:dyDescent="0.25">
      <c r="A26700" t="s">
        <v>3296</v>
      </c>
      <c r="B26700" t="s">
        <v>2931</v>
      </c>
      <c r="C26700">
        <v>16770</v>
      </c>
      <c r="D26700" t="str">
        <f>"0125049001  "</f>
        <v xml:space="preserve">0125049001  </v>
      </c>
      <c r="E26700" t="s">
        <v>292</v>
      </c>
      <c r="F26700" t="s">
        <v>294</v>
      </c>
      <c r="G26700">
        <v>9.2100000000000009</v>
      </c>
      <c r="H26700">
        <v>251202</v>
      </c>
      <c r="I26700">
        <v>4590</v>
      </c>
      <c r="J26700" t="s">
        <v>388</v>
      </c>
      <c r="K26700">
        <v>271.31</v>
      </c>
      <c r="L26700">
        <v>1.87</v>
      </c>
      <c r="M26700">
        <v>67554</v>
      </c>
      <c r="N26700" t="s">
        <v>317</v>
      </c>
      <c r="O26700">
        <v>251211</v>
      </c>
      <c r="P26700">
        <v>7.34</v>
      </c>
    </row>
    <row r="26701" spans="1:16" x14ac:dyDescent="0.25">
      <c r="A26701" t="s">
        <v>3296</v>
      </c>
      <c r="B26701" t="s">
        <v>2931</v>
      </c>
      <c r="C26701">
        <v>17725</v>
      </c>
      <c r="D26701" t="str">
        <f>"0125054916  "</f>
        <v xml:space="preserve">0125054916  </v>
      </c>
      <c r="E26701" t="s">
        <v>292</v>
      </c>
      <c r="F26701" t="s">
        <v>294</v>
      </c>
      <c r="G26701">
        <v>294.29000000000002</v>
      </c>
      <c r="H26701">
        <v>251204</v>
      </c>
      <c r="I26701">
        <v>4590</v>
      </c>
      <c r="J26701" t="s">
        <v>388</v>
      </c>
      <c r="K26701">
        <v>294.29000000000002</v>
      </c>
      <c r="L26701">
        <v>59.8</v>
      </c>
      <c r="M26701">
        <v>17806</v>
      </c>
      <c r="N26701" t="s">
        <v>22</v>
      </c>
      <c r="O26701">
        <v>251230</v>
      </c>
      <c r="P26701">
        <v>234.49</v>
      </c>
    </row>
    <row r="26702" spans="1:16" x14ac:dyDescent="0.25">
      <c r="A26702" t="s">
        <v>3296</v>
      </c>
      <c r="B26702" t="s">
        <v>2931</v>
      </c>
      <c r="C26702">
        <v>18223</v>
      </c>
      <c r="D26702" t="str">
        <f>"0125116550  "</f>
        <v xml:space="preserve">0125116550  </v>
      </c>
      <c r="E26702" t="s">
        <v>292</v>
      </c>
      <c r="F26702" t="s">
        <v>294</v>
      </c>
      <c r="G26702">
        <v>78.099999999999994</v>
      </c>
      <c r="H26702">
        <v>251222</v>
      </c>
      <c r="I26702">
        <v>4590</v>
      </c>
      <c r="J26702" t="s">
        <v>388</v>
      </c>
      <c r="K26702">
        <v>78.099999999999994</v>
      </c>
      <c r="L26702">
        <v>15.87</v>
      </c>
      <c r="M26702">
        <v>46556</v>
      </c>
      <c r="N26702" t="s">
        <v>458</v>
      </c>
      <c r="O26702">
        <v>260112</v>
      </c>
      <c r="P26702">
        <v>62.23</v>
      </c>
    </row>
    <row r="26703" spans="1:16" x14ac:dyDescent="0.25">
      <c r="A26703" t="s">
        <v>3296</v>
      </c>
      <c r="B26703" t="s">
        <v>2931</v>
      </c>
      <c r="C26703">
        <v>18330</v>
      </c>
      <c r="D26703" t="str">
        <f>"0125129223  "</f>
        <v xml:space="preserve">0125129223  </v>
      </c>
      <c r="E26703" t="s">
        <v>292</v>
      </c>
      <c r="F26703" t="s">
        <v>294</v>
      </c>
      <c r="G26703">
        <v>26.66</v>
      </c>
      <c r="H26703">
        <v>251231</v>
      </c>
      <c r="I26703">
        <v>4590</v>
      </c>
      <c r="J26703" t="s">
        <v>388</v>
      </c>
      <c r="K26703">
        <v>26.66</v>
      </c>
      <c r="L26703">
        <v>5.42</v>
      </c>
      <c r="M26703">
        <v>56562</v>
      </c>
      <c r="N26703" t="s">
        <v>54</v>
      </c>
      <c r="O26703">
        <v>260113</v>
      </c>
      <c r="P26703">
        <v>21.24</v>
      </c>
    </row>
    <row r="26704" spans="1:16" x14ac:dyDescent="0.25">
      <c r="A26704" t="s">
        <v>3296</v>
      </c>
      <c r="B26704" t="s">
        <v>2931</v>
      </c>
      <c r="C26704">
        <v>375</v>
      </c>
      <c r="D26704" t="str">
        <f>"0123688597  "</f>
        <v xml:space="preserve">0123688597  </v>
      </c>
      <c r="E26704" t="s">
        <v>292</v>
      </c>
      <c r="F26704" t="s">
        <v>294</v>
      </c>
      <c r="G26704">
        <v>82.53</v>
      </c>
      <c r="H26704">
        <v>250101</v>
      </c>
      <c r="I26704">
        <v>4600</v>
      </c>
      <c r="J26704" t="s">
        <v>278</v>
      </c>
      <c r="K26704">
        <v>82.53</v>
      </c>
      <c r="L26704">
        <v>16.77</v>
      </c>
      <c r="M26704">
        <v>46554</v>
      </c>
      <c r="N26704" t="s">
        <v>102</v>
      </c>
      <c r="O26704">
        <v>250122</v>
      </c>
      <c r="P26704">
        <v>65.760000000000005</v>
      </c>
    </row>
    <row r="26705" spans="1:16" x14ac:dyDescent="0.25">
      <c r="A26705" t="s">
        <v>3296</v>
      </c>
      <c r="B26705" t="s">
        <v>2931</v>
      </c>
      <c r="C26705">
        <v>511</v>
      </c>
      <c r="D26705" t="str">
        <f>"0123723595  "</f>
        <v xml:space="preserve">0123723595  </v>
      </c>
      <c r="E26705" t="s">
        <v>292</v>
      </c>
      <c r="F26705" t="s">
        <v>294</v>
      </c>
      <c r="G26705">
        <v>835.5</v>
      </c>
      <c r="H26705">
        <v>250115</v>
      </c>
      <c r="I26705">
        <v>4600</v>
      </c>
      <c r="J26705" t="s">
        <v>278</v>
      </c>
      <c r="K26705">
        <v>835.5</v>
      </c>
      <c r="L26705">
        <v>169.76</v>
      </c>
      <c r="M26705">
        <v>56558</v>
      </c>
      <c r="N26705" t="s">
        <v>50</v>
      </c>
      <c r="O26705">
        <v>250123</v>
      </c>
      <c r="P26705">
        <v>665.74</v>
      </c>
    </row>
    <row r="26706" spans="1:16" x14ac:dyDescent="0.25">
      <c r="A26706" t="s">
        <v>3296</v>
      </c>
      <c r="B26706" t="s">
        <v>2931</v>
      </c>
      <c r="C26706">
        <v>529</v>
      </c>
      <c r="D26706" t="str">
        <f>"0123700486  "</f>
        <v xml:space="preserve">0123700486  </v>
      </c>
      <c r="E26706" t="s">
        <v>292</v>
      </c>
      <c r="F26706" t="s">
        <v>294</v>
      </c>
      <c r="G26706">
        <v>42.6</v>
      </c>
      <c r="H26706">
        <v>250108</v>
      </c>
      <c r="I26706">
        <v>4600</v>
      </c>
      <c r="J26706" t="s">
        <v>278</v>
      </c>
      <c r="K26706">
        <v>265.57</v>
      </c>
      <c r="L26706">
        <v>8.66</v>
      </c>
      <c r="M26706">
        <v>17523</v>
      </c>
      <c r="N26706" t="s">
        <v>138</v>
      </c>
      <c r="O26706">
        <v>250123</v>
      </c>
      <c r="P26706">
        <v>33.94</v>
      </c>
    </row>
    <row r="26707" spans="1:16" x14ac:dyDescent="0.25">
      <c r="A26707" t="s">
        <v>3296</v>
      </c>
      <c r="B26707" t="s">
        <v>2931</v>
      </c>
      <c r="C26707">
        <v>534</v>
      </c>
      <c r="D26707" t="str">
        <f>"0123723600  "</f>
        <v xml:space="preserve">0123723600  </v>
      </c>
      <c r="E26707" t="s">
        <v>292</v>
      </c>
      <c r="F26707" t="s">
        <v>294</v>
      </c>
      <c r="G26707">
        <v>955.62</v>
      </c>
      <c r="H26707">
        <v>250115</v>
      </c>
      <c r="I26707">
        <v>4600</v>
      </c>
      <c r="J26707" t="s">
        <v>278</v>
      </c>
      <c r="K26707">
        <v>955.62</v>
      </c>
      <c r="L26707">
        <v>194.17</v>
      </c>
      <c r="M26707">
        <v>56568</v>
      </c>
      <c r="N26707" t="s">
        <v>354</v>
      </c>
      <c r="O26707">
        <v>250123</v>
      </c>
      <c r="P26707">
        <v>761.45</v>
      </c>
    </row>
    <row r="26708" spans="1:16" x14ac:dyDescent="0.25">
      <c r="A26708" t="s">
        <v>3296</v>
      </c>
      <c r="B26708" t="s">
        <v>2931</v>
      </c>
      <c r="C26708">
        <v>540</v>
      </c>
      <c r="D26708" t="str">
        <f>"0123740730  "</f>
        <v xml:space="preserve">0123740730  </v>
      </c>
      <c r="E26708" t="s">
        <v>292</v>
      </c>
      <c r="F26708" t="s">
        <v>294</v>
      </c>
      <c r="G26708">
        <v>244.46</v>
      </c>
      <c r="H26708">
        <v>250117</v>
      </c>
      <c r="I26708">
        <v>4600</v>
      </c>
      <c r="J26708" t="s">
        <v>278</v>
      </c>
      <c r="K26708">
        <v>244.46</v>
      </c>
      <c r="L26708">
        <v>49.67</v>
      </c>
      <c r="M26708">
        <v>17807</v>
      </c>
      <c r="N26708" t="s">
        <v>23</v>
      </c>
      <c r="O26708">
        <v>250123</v>
      </c>
      <c r="P26708">
        <v>194.79</v>
      </c>
    </row>
    <row r="26709" spans="1:16" x14ac:dyDescent="0.25">
      <c r="A26709" t="s">
        <v>3296</v>
      </c>
      <c r="B26709" t="s">
        <v>2931</v>
      </c>
      <c r="C26709">
        <v>549</v>
      </c>
      <c r="D26709" t="str">
        <f>"0123741979  "</f>
        <v xml:space="preserve">0123741979  </v>
      </c>
      <c r="E26709" t="s">
        <v>292</v>
      </c>
      <c r="F26709" t="s">
        <v>294</v>
      </c>
      <c r="G26709">
        <v>259.26</v>
      </c>
      <c r="H26709">
        <v>250120</v>
      </c>
      <c r="I26709">
        <v>4600</v>
      </c>
      <c r="J26709" t="s">
        <v>278</v>
      </c>
      <c r="K26709">
        <v>259.26</v>
      </c>
      <c r="L26709">
        <v>52.68</v>
      </c>
      <c r="M26709">
        <v>46555</v>
      </c>
      <c r="N26709" t="s">
        <v>103</v>
      </c>
      <c r="O26709">
        <v>250123</v>
      </c>
      <c r="P26709">
        <v>206.58</v>
      </c>
    </row>
    <row r="26710" spans="1:16" x14ac:dyDescent="0.25">
      <c r="A26710" t="s">
        <v>3296</v>
      </c>
      <c r="B26710" t="s">
        <v>2931</v>
      </c>
      <c r="C26710">
        <v>556</v>
      </c>
      <c r="D26710" t="str">
        <f>"0123747312  "</f>
        <v xml:space="preserve">0123747312  </v>
      </c>
      <c r="E26710" t="s">
        <v>292</v>
      </c>
      <c r="F26710" t="s">
        <v>294</v>
      </c>
      <c r="G26710">
        <v>156.22</v>
      </c>
      <c r="H26710">
        <v>250121</v>
      </c>
      <c r="I26710">
        <v>4600</v>
      </c>
      <c r="J26710" t="s">
        <v>278</v>
      </c>
      <c r="K26710">
        <v>156.22</v>
      </c>
      <c r="L26710">
        <v>31.74</v>
      </c>
      <c r="M26710">
        <v>46557</v>
      </c>
      <c r="N26710" t="s">
        <v>104</v>
      </c>
      <c r="O26710">
        <v>250123</v>
      </c>
      <c r="P26710">
        <v>124.48</v>
      </c>
    </row>
    <row r="26711" spans="1:16" x14ac:dyDescent="0.25">
      <c r="A26711" t="s">
        <v>3296</v>
      </c>
      <c r="B26711" t="s">
        <v>2931</v>
      </c>
      <c r="C26711">
        <v>559</v>
      </c>
      <c r="D26711" t="str">
        <f>"0123707580  "</f>
        <v xml:space="preserve">0123707580  </v>
      </c>
      <c r="E26711" t="s">
        <v>292</v>
      </c>
      <c r="F26711" t="s">
        <v>294</v>
      </c>
      <c r="G26711">
        <v>73.33</v>
      </c>
      <c r="H26711">
        <v>250109</v>
      </c>
      <c r="I26711">
        <v>4600</v>
      </c>
      <c r="J26711" t="s">
        <v>278</v>
      </c>
      <c r="K26711">
        <v>73.33</v>
      </c>
      <c r="L26711">
        <v>14.9</v>
      </c>
      <c r="M26711">
        <v>46555</v>
      </c>
      <c r="N26711" t="s">
        <v>103</v>
      </c>
      <c r="O26711">
        <v>250124</v>
      </c>
      <c r="P26711">
        <v>58.43</v>
      </c>
    </row>
    <row r="26712" spans="1:16" x14ac:dyDescent="0.25">
      <c r="A26712" t="s">
        <v>3296</v>
      </c>
      <c r="B26712" t="s">
        <v>2931</v>
      </c>
      <c r="C26712">
        <v>560</v>
      </c>
      <c r="D26712" t="str">
        <f>"0123704041  "</f>
        <v xml:space="preserve">0123704041  </v>
      </c>
      <c r="E26712" t="s">
        <v>292</v>
      </c>
      <c r="F26712" t="s">
        <v>294</v>
      </c>
      <c r="G26712">
        <v>748.96</v>
      </c>
      <c r="H26712">
        <v>250109</v>
      </c>
      <c r="I26712">
        <v>4600</v>
      </c>
      <c r="J26712" t="s">
        <v>278</v>
      </c>
      <c r="K26712">
        <v>748.96</v>
      </c>
      <c r="L26712">
        <v>152.18</v>
      </c>
      <c r="M26712">
        <v>17803</v>
      </c>
      <c r="N26712" t="s">
        <v>19</v>
      </c>
      <c r="O26712">
        <v>250124</v>
      </c>
      <c r="P26712">
        <v>596.78</v>
      </c>
    </row>
    <row r="26713" spans="1:16" x14ac:dyDescent="0.25">
      <c r="A26713" t="s">
        <v>3296</v>
      </c>
      <c r="B26713" t="s">
        <v>2931</v>
      </c>
      <c r="C26713">
        <v>578</v>
      </c>
      <c r="D26713" t="str">
        <f>"0123704042  "</f>
        <v xml:space="preserve">0123704042  </v>
      </c>
      <c r="E26713" t="s">
        <v>292</v>
      </c>
      <c r="F26713" t="s">
        <v>294</v>
      </c>
      <c r="G26713">
        <v>275.88</v>
      </c>
      <c r="H26713">
        <v>250109</v>
      </c>
      <c r="I26713">
        <v>4600</v>
      </c>
      <c r="J26713" t="s">
        <v>278</v>
      </c>
      <c r="K26713">
        <v>275.88</v>
      </c>
      <c r="L26713">
        <v>56.06</v>
      </c>
      <c r="M26713">
        <v>17807</v>
      </c>
      <c r="N26713" t="s">
        <v>23</v>
      </c>
      <c r="O26713">
        <v>250124</v>
      </c>
      <c r="P26713">
        <v>219.82</v>
      </c>
    </row>
    <row r="26714" spans="1:16" x14ac:dyDescent="0.25">
      <c r="A26714" t="s">
        <v>3296</v>
      </c>
      <c r="B26714" t="s">
        <v>2931</v>
      </c>
      <c r="C26714">
        <v>582</v>
      </c>
      <c r="D26714" t="str">
        <f>"0123710632  "</f>
        <v xml:space="preserve">0123710632  </v>
      </c>
      <c r="E26714" t="s">
        <v>292</v>
      </c>
      <c r="F26714" t="s">
        <v>294</v>
      </c>
      <c r="G26714">
        <v>545.95000000000005</v>
      </c>
      <c r="H26714">
        <v>250110</v>
      </c>
      <c r="I26714">
        <v>4600</v>
      </c>
      <c r="J26714" t="s">
        <v>278</v>
      </c>
      <c r="K26714">
        <v>545.95000000000005</v>
      </c>
      <c r="L26714">
        <v>110.93</v>
      </c>
      <c r="M26714">
        <v>46554</v>
      </c>
      <c r="N26714" t="s">
        <v>102</v>
      </c>
      <c r="O26714">
        <v>250124</v>
      </c>
      <c r="P26714">
        <v>435.02</v>
      </c>
    </row>
    <row r="26715" spans="1:16" x14ac:dyDescent="0.25">
      <c r="A26715" t="s">
        <v>3296</v>
      </c>
      <c r="B26715" t="s">
        <v>2931</v>
      </c>
      <c r="C26715">
        <v>601</v>
      </c>
      <c r="D26715" t="str">
        <f>"0123719953  "</f>
        <v xml:space="preserve">0123719953  </v>
      </c>
      <c r="E26715" t="s">
        <v>292</v>
      </c>
      <c r="F26715" t="s">
        <v>294</v>
      </c>
      <c r="G26715">
        <v>37.35</v>
      </c>
      <c r="H26715">
        <v>250114</v>
      </c>
      <c r="I26715">
        <v>4600</v>
      </c>
      <c r="J26715" t="s">
        <v>278</v>
      </c>
      <c r="K26715">
        <v>148.83000000000001</v>
      </c>
      <c r="L26715">
        <v>7.59</v>
      </c>
      <c r="M26715">
        <v>17527</v>
      </c>
      <c r="N26715" t="s">
        <v>142</v>
      </c>
      <c r="O26715">
        <v>250124</v>
      </c>
      <c r="P26715">
        <v>29.76</v>
      </c>
    </row>
    <row r="26716" spans="1:16" x14ac:dyDescent="0.25">
      <c r="A26716" t="s">
        <v>3296</v>
      </c>
      <c r="B26716" t="s">
        <v>2931</v>
      </c>
      <c r="C26716">
        <v>606</v>
      </c>
      <c r="D26716" t="str">
        <f>"0123723597  "</f>
        <v xml:space="preserve">0123723597  </v>
      </c>
      <c r="E26716" t="s">
        <v>292</v>
      </c>
      <c r="F26716" t="s">
        <v>294</v>
      </c>
      <c r="G26716">
        <v>245.68</v>
      </c>
      <c r="H26716">
        <v>250115</v>
      </c>
      <c r="I26716">
        <v>4600</v>
      </c>
      <c r="J26716" t="s">
        <v>278</v>
      </c>
      <c r="K26716">
        <v>245.68</v>
      </c>
      <c r="L26716">
        <v>49.92</v>
      </c>
      <c r="M26716">
        <v>56558</v>
      </c>
      <c r="N26716" t="s">
        <v>50</v>
      </c>
      <c r="O26716">
        <v>250124</v>
      </c>
      <c r="P26716">
        <v>195.76</v>
      </c>
    </row>
    <row r="26717" spans="1:16" x14ac:dyDescent="0.25">
      <c r="A26717" t="s">
        <v>3296</v>
      </c>
      <c r="B26717" t="s">
        <v>2931</v>
      </c>
      <c r="C26717">
        <v>608</v>
      </c>
      <c r="D26717" t="str">
        <f>"0123732332  "</f>
        <v xml:space="preserve">0123732332  </v>
      </c>
      <c r="E26717" t="s">
        <v>292</v>
      </c>
      <c r="F26717" t="s">
        <v>294</v>
      </c>
      <c r="G26717">
        <v>532.26</v>
      </c>
      <c r="H26717">
        <v>250116</v>
      </c>
      <c r="I26717">
        <v>4600</v>
      </c>
      <c r="J26717" t="s">
        <v>278</v>
      </c>
      <c r="K26717">
        <v>532.26</v>
      </c>
      <c r="L26717">
        <v>108.15</v>
      </c>
      <c r="M26717">
        <v>17802</v>
      </c>
      <c r="N26717" t="s">
        <v>18</v>
      </c>
      <c r="O26717">
        <v>250124</v>
      </c>
      <c r="P26717">
        <v>424.11</v>
      </c>
    </row>
    <row r="26718" spans="1:16" x14ac:dyDescent="0.25">
      <c r="A26718" t="s">
        <v>3296</v>
      </c>
      <c r="B26718" t="s">
        <v>2931</v>
      </c>
      <c r="C26718">
        <v>611</v>
      </c>
      <c r="D26718" t="str">
        <f>"0123747313  "</f>
        <v xml:space="preserve">0123747313  </v>
      </c>
      <c r="E26718" t="s">
        <v>292</v>
      </c>
      <c r="F26718" t="s">
        <v>294</v>
      </c>
      <c r="G26718">
        <v>19.2</v>
      </c>
      <c r="H26718">
        <v>250121</v>
      </c>
      <c r="I26718">
        <v>4600</v>
      </c>
      <c r="J26718" t="s">
        <v>278</v>
      </c>
      <c r="K26718">
        <v>19.2</v>
      </c>
      <c r="L26718">
        <v>3.9</v>
      </c>
      <c r="M26718">
        <v>47522</v>
      </c>
      <c r="N26718" t="s">
        <v>106</v>
      </c>
      <c r="O26718">
        <v>250124</v>
      </c>
      <c r="P26718">
        <v>15.3</v>
      </c>
    </row>
    <row r="26719" spans="1:16" x14ac:dyDescent="0.25">
      <c r="A26719" t="s">
        <v>3296</v>
      </c>
      <c r="B26719" t="s">
        <v>2931</v>
      </c>
      <c r="C26719">
        <v>693</v>
      </c>
      <c r="D26719" t="str">
        <f>"0123640900  "</f>
        <v xml:space="preserve">0123640900  </v>
      </c>
      <c r="E26719" t="s">
        <v>292</v>
      </c>
      <c r="F26719" t="s">
        <v>294</v>
      </c>
      <c r="G26719">
        <v>572.62</v>
      </c>
      <c r="H26719">
        <v>250101</v>
      </c>
      <c r="I26719">
        <v>4600</v>
      </c>
      <c r="J26719" t="s">
        <v>278</v>
      </c>
      <c r="K26719">
        <v>572.62</v>
      </c>
      <c r="L26719">
        <v>116.35</v>
      </c>
      <c r="M26719">
        <v>46554</v>
      </c>
      <c r="N26719" t="s">
        <v>102</v>
      </c>
      <c r="O26719">
        <v>250128</v>
      </c>
      <c r="P26719">
        <v>456.27</v>
      </c>
    </row>
    <row r="26720" spans="1:16" x14ac:dyDescent="0.25">
      <c r="A26720" t="s">
        <v>3296</v>
      </c>
      <c r="B26720" t="s">
        <v>2931</v>
      </c>
      <c r="C26720">
        <v>694</v>
      </c>
      <c r="D26720" t="str">
        <f>"0123645710  "</f>
        <v xml:space="preserve">0123645710  </v>
      </c>
      <c r="E26720" t="s">
        <v>292</v>
      </c>
      <c r="F26720" t="s">
        <v>294</v>
      </c>
      <c r="G26720">
        <v>365.46</v>
      </c>
      <c r="H26720">
        <v>250101</v>
      </c>
      <c r="I26720">
        <v>4600</v>
      </c>
      <c r="J26720" t="s">
        <v>278</v>
      </c>
      <c r="K26720">
        <v>365.46</v>
      </c>
      <c r="L26720">
        <v>74.260000000000005</v>
      </c>
      <c r="M26720">
        <v>46554</v>
      </c>
      <c r="N26720" t="s">
        <v>102</v>
      </c>
      <c r="O26720">
        <v>250128</v>
      </c>
      <c r="P26720">
        <v>291.2</v>
      </c>
    </row>
    <row r="26721" spans="1:16" x14ac:dyDescent="0.25">
      <c r="A26721" t="s">
        <v>3296</v>
      </c>
      <c r="B26721" t="s">
        <v>2931</v>
      </c>
      <c r="C26721">
        <v>804</v>
      </c>
      <c r="D26721" t="str">
        <f>"0123741978  "</f>
        <v xml:space="preserve">0123741978  </v>
      </c>
      <c r="E26721" t="s">
        <v>292</v>
      </c>
      <c r="F26721" t="s">
        <v>294</v>
      </c>
      <c r="G26721">
        <v>1.48</v>
      </c>
      <c r="H26721">
        <v>250120</v>
      </c>
      <c r="I26721">
        <v>4600</v>
      </c>
      <c r="J26721" t="s">
        <v>278</v>
      </c>
      <c r="K26721">
        <v>1.48</v>
      </c>
      <c r="L26721">
        <v>0.3</v>
      </c>
      <c r="M26721">
        <v>46554</v>
      </c>
      <c r="N26721" t="s">
        <v>102</v>
      </c>
      <c r="O26721">
        <v>250129</v>
      </c>
      <c r="P26721">
        <v>1.18</v>
      </c>
    </row>
    <row r="26722" spans="1:16" x14ac:dyDescent="0.25">
      <c r="A26722" t="s">
        <v>3296</v>
      </c>
      <c r="B26722" t="s">
        <v>2931</v>
      </c>
      <c r="C26722">
        <v>835</v>
      </c>
      <c r="D26722" t="str">
        <f>"0123760785  "</f>
        <v xml:space="preserve">0123760785  </v>
      </c>
      <c r="E26722" t="s">
        <v>292</v>
      </c>
      <c r="F26722" t="s">
        <v>294</v>
      </c>
      <c r="G26722">
        <v>345.79</v>
      </c>
      <c r="H26722">
        <v>250124</v>
      </c>
      <c r="I26722">
        <v>4600</v>
      </c>
      <c r="J26722" t="s">
        <v>278</v>
      </c>
      <c r="K26722">
        <v>921.96</v>
      </c>
      <c r="L26722">
        <v>70.260000000000005</v>
      </c>
      <c r="M26722">
        <v>67522</v>
      </c>
      <c r="N26722" t="s">
        <v>121</v>
      </c>
      <c r="O26722">
        <v>250129</v>
      </c>
      <c r="P26722">
        <v>275.52999999999997</v>
      </c>
    </row>
    <row r="26723" spans="1:16" x14ac:dyDescent="0.25">
      <c r="A26723" t="s">
        <v>3296</v>
      </c>
      <c r="B26723" t="s">
        <v>2931</v>
      </c>
      <c r="C26723">
        <v>1040</v>
      </c>
      <c r="D26723" t="str">
        <f>"0123750681  "</f>
        <v xml:space="preserve">0123750681  </v>
      </c>
      <c r="E26723" t="s">
        <v>292</v>
      </c>
      <c r="F26723" t="s">
        <v>294</v>
      </c>
      <c r="G26723">
        <v>326.33</v>
      </c>
      <c r="H26723">
        <v>250122</v>
      </c>
      <c r="I26723">
        <v>4600</v>
      </c>
      <c r="J26723" t="s">
        <v>278</v>
      </c>
      <c r="K26723">
        <v>378.22</v>
      </c>
      <c r="L26723">
        <v>66.31</v>
      </c>
      <c r="M26723">
        <v>17521</v>
      </c>
      <c r="N26723" t="s">
        <v>136</v>
      </c>
      <c r="O26723">
        <v>250203</v>
      </c>
      <c r="P26723">
        <v>260.02</v>
      </c>
    </row>
    <row r="26724" spans="1:16" x14ac:dyDescent="0.25">
      <c r="A26724" t="s">
        <v>3296</v>
      </c>
      <c r="B26724" t="s">
        <v>2931</v>
      </c>
      <c r="C26724">
        <v>1040</v>
      </c>
      <c r="D26724" t="str">
        <f>"0123750681  "</f>
        <v xml:space="preserve">0123750681  </v>
      </c>
      <c r="E26724" t="s">
        <v>292</v>
      </c>
      <c r="F26724" t="s">
        <v>294</v>
      </c>
      <c r="G26724">
        <v>51.89</v>
      </c>
      <c r="H26724">
        <v>250122</v>
      </c>
      <c r="I26724">
        <v>4600</v>
      </c>
      <c r="J26724" t="s">
        <v>278</v>
      </c>
      <c r="K26724">
        <v>378.22</v>
      </c>
      <c r="L26724">
        <v>10.54</v>
      </c>
      <c r="M26724">
        <v>17522</v>
      </c>
      <c r="N26724" t="s">
        <v>137</v>
      </c>
      <c r="O26724">
        <v>250203</v>
      </c>
      <c r="P26724">
        <v>41.35</v>
      </c>
    </row>
    <row r="26725" spans="1:16" x14ac:dyDescent="0.25">
      <c r="A26725" t="s">
        <v>3296</v>
      </c>
      <c r="B26725" t="s">
        <v>2931</v>
      </c>
      <c r="C26725">
        <v>1041</v>
      </c>
      <c r="D26725" t="str">
        <f>"0123758986  "</f>
        <v xml:space="preserve">0123758986  </v>
      </c>
      <c r="E26725" t="s">
        <v>292</v>
      </c>
      <c r="F26725" t="s">
        <v>294</v>
      </c>
      <c r="G26725">
        <v>1661.85</v>
      </c>
      <c r="H26725">
        <v>250124</v>
      </c>
      <c r="I26725">
        <v>4600</v>
      </c>
      <c r="J26725" t="s">
        <v>278</v>
      </c>
      <c r="K26725">
        <v>2036.49</v>
      </c>
      <c r="L26725">
        <v>337.67</v>
      </c>
      <c r="M26725">
        <v>17522</v>
      </c>
      <c r="N26725" t="s">
        <v>137</v>
      </c>
      <c r="O26725">
        <v>250203</v>
      </c>
      <c r="P26725">
        <v>1324.18</v>
      </c>
    </row>
    <row r="26726" spans="1:16" x14ac:dyDescent="0.25">
      <c r="A26726" t="s">
        <v>3296</v>
      </c>
      <c r="B26726" t="s">
        <v>2931</v>
      </c>
      <c r="C26726">
        <v>1041</v>
      </c>
      <c r="D26726" t="str">
        <f>"0123758986  "</f>
        <v xml:space="preserve">0123758986  </v>
      </c>
      <c r="E26726" t="s">
        <v>292</v>
      </c>
      <c r="F26726" t="s">
        <v>294</v>
      </c>
      <c r="G26726">
        <v>363.34</v>
      </c>
      <c r="H26726">
        <v>250124</v>
      </c>
      <c r="I26726">
        <v>4600</v>
      </c>
      <c r="J26726" t="s">
        <v>278</v>
      </c>
      <c r="K26726">
        <v>2036.49</v>
      </c>
      <c r="L26726">
        <v>73.83</v>
      </c>
      <c r="M26726">
        <v>17633</v>
      </c>
      <c r="N26726" t="s">
        <v>628</v>
      </c>
      <c r="O26726">
        <v>250203</v>
      </c>
      <c r="P26726">
        <v>289.51</v>
      </c>
    </row>
    <row r="26727" spans="1:16" x14ac:dyDescent="0.25">
      <c r="A26727" t="s">
        <v>3296</v>
      </c>
      <c r="B26727" t="s">
        <v>2931</v>
      </c>
      <c r="C26727">
        <v>1048</v>
      </c>
      <c r="D26727" t="str">
        <f>"0123771065  "</f>
        <v xml:space="preserve">0123771065  </v>
      </c>
      <c r="E26727" t="s">
        <v>292</v>
      </c>
      <c r="F26727" t="s">
        <v>294</v>
      </c>
      <c r="G26727">
        <v>610.67999999999995</v>
      </c>
      <c r="H26727">
        <v>250129</v>
      </c>
      <c r="I26727">
        <v>4600</v>
      </c>
      <c r="J26727" t="s">
        <v>278</v>
      </c>
      <c r="K26727">
        <v>610.67999999999995</v>
      </c>
      <c r="L26727">
        <v>124.08</v>
      </c>
      <c r="M26727">
        <v>46555</v>
      </c>
      <c r="N26727" t="s">
        <v>103</v>
      </c>
      <c r="O26727">
        <v>250203</v>
      </c>
      <c r="P26727">
        <v>486.6</v>
      </c>
    </row>
    <row r="26728" spans="1:16" x14ac:dyDescent="0.25">
      <c r="A26728" t="s">
        <v>3296</v>
      </c>
      <c r="B26728" t="s">
        <v>2931</v>
      </c>
      <c r="C26728">
        <v>1127</v>
      </c>
      <c r="D26728" t="str">
        <f>"0123754059  "</f>
        <v xml:space="preserve">0123754059  </v>
      </c>
      <c r="E26728" t="s">
        <v>292</v>
      </c>
      <c r="F26728" t="s">
        <v>294</v>
      </c>
      <c r="G26728">
        <v>128.18</v>
      </c>
      <c r="H26728">
        <v>250123</v>
      </c>
      <c r="I26728">
        <v>4600</v>
      </c>
      <c r="J26728" t="s">
        <v>278</v>
      </c>
      <c r="K26728">
        <v>128.18</v>
      </c>
      <c r="L26728">
        <v>26.04</v>
      </c>
      <c r="M26728">
        <v>46554</v>
      </c>
      <c r="N26728" t="s">
        <v>102</v>
      </c>
      <c r="O26728">
        <v>250204</v>
      </c>
      <c r="P26728">
        <v>102.14</v>
      </c>
    </row>
    <row r="26729" spans="1:16" x14ac:dyDescent="0.25">
      <c r="A26729" t="s">
        <v>3296</v>
      </c>
      <c r="B26729" t="s">
        <v>2931</v>
      </c>
      <c r="C26729">
        <v>1304</v>
      </c>
      <c r="D26729" t="str">
        <f>"0123753536  "</f>
        <v xml:space="preserve">0123753536  </v>
      </c>
      <c r="E26729" t="s">
        <v>292</v>
      </c>
      <c r="F26729" t="s">
        <v>294</v>
      </c>
      <c r="G26729">
        <v>713.81</v>
      </c>
      <c r="H26729">
        <v>250123</v>
      </c>
      <c r="I26729">
        <v>4600</v>
      </c>
      <c r="J26729" t="s">
        <v>278</v>
      </c>
      <c r="K26729">
        <v>713.81</v>
      </c>
      <c r="L26729">
        <v>145.04</v>
      </c>
      <c r="M26729">
        <v>17809</v>
      </c>
      <c r="N26729" t="s">
        <v>25</v>
      </c>
      <c r="O26729">
        <v>250206</v>
      </c>
      <c r="P26729">
        <v>568.77</v>
      </c>
    </row>
    <row r="26730" spans="1:16" x14ac:dyDescent="0.25">
      <c r="A26730" t="s">
        <v>3296</v>
      </c>
      <c r="B26730" t="s">
        <v>2931</v>
      </c>
      <c r="C26730">
        <v>1484</v>
      </c>
      <c r="D26730" t="str">
        <f>"0123771064  "</f>
        <v xml:space="preserve">0123771064  </v>
      </c>
      <c r="E26730" t="s">
        <v>292</v>
      </c>
      <c r="F26730" t="s">
        <v>294</v>
      </c>
      <c r="G26730">
        <v>194.1</v>
      </c>
      <c r="H26730">
        <v>250129</v>
      </c>
      <c r="I26730">
        <v>4600</v>
      </c>
      <c r="J26730" t="s">
        <v>278</v>
      </c>
      <c r="K26730">
        <v>194.1</v>
      </c>
      <c r="L26730">
        <v>39.44</v>
      </c>
      <c r="M26730">
        <v>46554</v>
      </c>
      <c r="N26730" t="s">
        <v>102</v>
      </c>
      <c r="O26730">
        <v>250210</v>
      </c>
      <c r="P26730">
        <v>154.66</v>
      </c>
    </row>
    <row r="26731" spans="1:16" x14ac:dyDescent="0.25">
      <c r="A26731" t="s">
        <v>3296</v>
      </c>
      <c r="B26731" t="s">
        <v>2931</v>
      </c>
      <c r="C26731">
        <v>1533</v>
      </c>
      <c r="D26731" t="str">
        <f>"0123698200  "</f>
        <v xml:space="preserve">0123698200  </v>
      </c>
      <c r="E26731" t="s">
        <v>292</v>
      </c>
      <c r="F26731" t="s">
        <v>294</v>
      </c>
      <c r="G26731">
        <v>60</v>
      </c>
      <c r="H26731">
        <v>250107</v>
      </c>
      <c r="I26731">
        <v>4600</v>
      </c>
      <c r="J26731" t="s">
        <v>278</v>
      </c>
      <c r="K26731">
        <v>179.25</v>
      </c>
      <c r="L26731">
        <v>12.19</v>
      </c>
      <c r="M26731">
        <v>46554</v>
      </c>
      <c r="N26731" t="s">
        <v>102</v>
      </c>
      <c r="O26731">
        <v>250211</v>
      </c>
      <c r="P26731">
        <v>47.81</v>
      </c>
    </row>
    <row r="26732" spans="1:16" x14ac:dyDescent="0.25">
      <c r="A26732" t="s">
        <v>3296</v>
      </c>
      <c r="B26732" t="s">
        <v>2931</v>
      </c>
      <c r="C26732">
        <v>1533</v>
      </c>
      <c r="D26732" t="str">
        <f>"0123698200  "</f>
        <v xml:space="preserve">0123698200  </v>
      </c>
      <c r="E26732" t="s">
        <v>292</v>
      </c>
      <c r="F26732" t="s">
        <v>294</v>
      </c>
      <c r="G26732">
        <v>119.25</v>
      </c>
      <c r="H26732">
        <v>250107</v>
      </c>
      <c r="I26732">
        <v>4600</v>
      </c>
      <c r="J26732" t="s">
        <v>278</v>
      </c>
      <c r="K26732">
        <v>179.25</v>
      </c>
      <c r="L26732">
        <v>24.23</v>
      </c>
      <c r="M26732">
        <v>46554</v>
      </c>
      <c r="N26732" t="s">
        <v>102</v>
      </c>
      <c r="O26732">
        <v>250211</v>
      </c>
      <c r="P26732">
        <v>95.02</v>
      </c>
    </row>
    <row r="26733" spans="1:16" x14ac:dyDescent="0.25">
      <c r="A26733" t="s">
        <v>3296</v>
      </c>
      <c r="B26733" t="s">
        <v>2931</v>
      </c>
      <c r="C26733">
        <v>1618</v>
      </c>
      <c r="D26733" t="str">
        <f>"0123726896  "</f>
        <v xml:space="preserve">0123726896  </v>
      </c>
      <c r="E26733" t="s">
        <v>292</v>
      </c>
      <c r="F26733" t="s">
        <v>294</v>
      </c>
      <c r="G26733">
        <v>645.61</v>
      </c>
      <c r="H26733">
        <v>250115</v>
      </c>
      <c r="I26733">
        <v>4600</v>
      </c>
      <c r="J26733" t="s">
        <v>278</v>
      </c>
      <c r="K26733">
        <v>749.95</v>
      </c>
      <c r="L26733">
        <v>131.18</v>
      </c>
      <c r="M26733">
        <v>46554</v>
      </c>
      <c r="N26733" t="s">
        <v>102</v>
      </c>
      <c r="O26733">
        <v>250211</v>
      </c>
      <c r="P26733">
        <v>514.42999999999995</v>
      </c>
    </row>
    <row r="26734" spans="1:16" x14ac:dyDescent="0.25">
      <c r="A26734" t="s">
        <v>3296</v>
      </c>
      <c r="B26734" t="s">
        <v>2931</v>
      </c>
      <c r="C26734">
        <v>1624</v>
      </c>
      <c r="D26734" t="str">
        <f>"0123795416  "</f>
        <v xml:space="preserve">0123795416  </v>
      </c>
      <c r="E26734" t="s">
        <v>292</v>
      </c>
      <c r="F26734" t="s">
        <v>294</v>
      </c>
      <c r="G26734">
        <v>39.28</v>
      </c>
      <c r="H26734">
        <v>250131</v>
      </c>
      <c r="I26734">
        <v>4600</v>
      </c>
      <c r="J26734" t="s">
        <v>278</v>
      </c>
      <c r="K26734">
        <v>39.28</v>
      </c>
      <c r="L26734">
        <v>7.98</v>
      </c>
      <c r="M26734">
        <v>46554</v>
      </c>
      <c r="N26734" t="s">
        <v>102</v>
      </c>
      <c r="O26734">
        <v>250211</v>
      </c>
      <c r="P26734">
        <v>31.3</v>
      </c>
    </row>
    <row r="26735" spans="1:16" x14ac:dyDescent="0.25">
      <c r="A26735" t="s">
        <v>3296</v>
      </c>
      <c r="B26735" t="s">
        <v>2931</v>
      </c>
      <c r="C26735">
        <v>1625</v>
      </c>
      <c r="D26735" t="str">
        <f>"0123790117  "</f>
        <v xml:space="preserve">0123790117  </v>
      </c>
      <c r="E26735" t="s">
        <v>292</v>
      </c>
      <c r="F26735" t="s">
        <v>294</v>
      </c>
      <c r="G26735">
        <v>56.68</v>
      </c>
      <c r="H26735">
        <v>250131</v>
      </c>
      <c r="I26735">
        <v>4600</v>
      </c>
      <c r="J26735" t="s">
        <v>278</v>
      </c>
      <c r="K26735">
        <v>56.68</v>
      </c>
      <c r="L26735">
        <v>11.52</v>
      </c>
      <c r="M26735">
        <v>59501</v>
      </c>
      <c r="N26735" t="s">
        <v>62</v>
      </c>
      <c r="O26735">
        <v>250211</v>
      </c>
      <c r="P26735">
        <v>45.16</v>
      </c>
    </row>
    <row r="26736" spans="1:16" x14ac:dyDescent="0.25">
      <c r="A26736" t="s">
        <v>3296</v>
      </c>
      <c r="B26736" t="s">
        <v>2931</v>
      </c>
      <c r="C26736">
        <v>1627</v>
      </c>
      <c r="D26736" t="str">
        <f>"0123790115  "</f>
        <v xml:space="preserve">0123790115  </v>
      </c>
      <c r="E26736" t="s">
        <v>292</v>
      </c>
      <c r="F26736" t="s">
        <v>294</v>
      </c>
      <c r="G26736">
        <v>265.51</v>
      </c>
      <c r="H26736">
        <v>250131</v>
      </c>
      <c r="I26736">
        <v>4600</v>
      </c>
      <c r="J26736" t="s">
        <v>278</v>
      </c>
      <c r="K26736">
        <v>265.51</v>
      </c>
      <c r="L26736">
        <v>53.95</v>
      </c>
      <c r="M26736">
        <v>56565</v>
      </c>
      <c r="N26736" t="s">
        <v>57</v>
      </c>
      <c r="O26736">
        <v>250211</v>
      </c>
      <c r="P26736">
        <v>211.56</v>
      </c>
    </row>
    <row r="26737" spans="1:16" x14ac:dyDescent="0.25">
      <c r="A26737" t="s">
        <v>3296</v>
      </c>
      <c r="B26737" t="s">
        <v>2931</v>
      </c>
      <c r="C26737">
        <v>1651</v>
      </c>
      <c r="D26737" t="str">
        <f>"0123790113  "</f>
        <v xml:space="preserve">0123790113  </v>
      </c>
      <c r="E26737" t="s">
        <v>292</v>
      </c>
      <c r="F26737" t="s">
        <v>294</v>
      </c>
      <c r="G26737">
        <v>66.3</v>
      </c>
      <c r="H26737">
        <v>250131</v>
      </c>
      <c r="I26737">
        <v>4600</v>
      </c>
      <c r="J26737" t="s">
        <v>278</v>
      </c>
      <c r="K26737">
        <v>66.3</v>
      </c>
      <c r="L26737">
        <v>13.47</v>
      </c>
      <c r="M26737">
        <v>56560</v>
      </c>
      <c r="N26737" t="s">
        <v>52</v>
      </c>
      <c r="O26737">
        <v>250212</v>
      </c>
      <c r="P26737">
        <v>52.83</v>
      </c>
    </row>
    <row r="26738" spans="1:16" x14ac:dyDescent="0.25">
      <c r="A26738" t="s">
        <v>3296</v>
      </c>
      <c r="B26738" t="s">
        <v>2931</v>
      </c>
      <c r="C26738">
        <v>1673</v>
      </c>
      <c r="D26738" t="str">
        <f>"0123790116  "</f>
        <v xml:space="preserve">0123790116  </v>
      </c>
      <c r="E26738" t="s">
        <v>292</v>
      </c>
      <c r="F26738" t="s">
        <v>294</v>
      </c>
      <c r="G26738">
        <v>1094.93</v>
      </c>
      <c r="H26738">
        <v>250131</v>
      </c>
      <c r="I26738">
        <v>4600</v>
      </c>
      <c r="J26738" t="s">
        <v>278</v>
      </c>
      <c r="K26738">
        <v>1094.93</v>
      </c>
      <c r="L26738">
        <v>222.48</v>
      </c>
      <c r="M26738">
        <v>56568</v>
      </c>
      <c r="N26738" t="s">
        <v>354</v>
      </c>
      <c r="O26738">
        <v>250212</v>
      </c>
      <c r="P26738">
        <v>872.45</v>
      </c>
    </row>
    <row r="26739" spans="1:16" x14ac:dyDescent="0.25">
      <c r="A26739" t="s">
        <v>3296</v>
      </c>
      <c r="B26739" t="s">
        <v>2931</v>
      </c>
      <c r="C26739">
        <v>1675</v>
      </c>
      <c r="D26739" t="str">
        <f>"0123795417  "</f>
        <v xml:space="preserve">0123795417  </v>
      </c>
      <c r="E26739" t="s">
        <v>292</v>
      </c>
      <c r="F26739" t="s">
        <v>294</v>
      </c>
      <c r="G26739">
        <v>161.79</v>
      </c>
      <c r="H26739">
        <v>250131</v>
      </c>
      <c r="I26739">
        <v>4600</v>
      </c>
      <c r="J26739" t="s">
        <v>278</v>
      </c>
      <c r="K26739">
        <v>161.79</v>
      </c>
      <c r="L26739">
        <v>32.869999999999997</v>
      </c>
      <c r="M26739">
        <v>46557</v>
      </c>
      <c r="N26739" t="s">
        <v>104</v>
      </c>
      <c r="O26739">
        <v>250212</v>
      </c>
      <c r="P26739">
        <v>128.91999999999999</v>
      </c>
    </row>
    <row r="26740" spans="1:16" x14ac:dyDescent="0.25">
      <c r="A26740" t="s">
        <v>3296</v>
      </c>
      <c r="B26740" t="s">
        <v>2931</v>
      </c>
      <c r="C26740">
        <v>1705</v>
      </c>
      <c r="D26740" t="str">
        <f>"0123817077  "</f>
        <v xml:space="preserve">0123817077  </v>
      </c>
      <c r="E26740" t="s">
        <v>292</v>
      </c>
      <c r="F26740" t="s">
        <v>294</v>
      </c>
      <c r="G26740">
        <v>179.06</v>
      </c>
      <c r="H26740">
        <v>250206</v>
      </c>
      <c r="I26740">
        <v>4600</v>
      </c>
      <c r="J26740" t="s">
        <v>278</v>
      </c>
      <c r="K26740">
        <v>203.42</v>
      </c>
      <c r="L26740">
        <v>36.380000000000003</v>
      </c>
      <c r="M26740">
        <v>17633</v>
      </c>
      <c r="N26740" t="s">
        <v>628</v>
      </c>
      <c r="O26740">
        <v>250212</v>
      </c>
      <c r="P26740">
        <v>142.68</v>
      </c>
    </row>
    <row r="26741" spans="1:16" x14ac:dyDescent="0.25">
      <c r="A26741" t="s">
        <v>3296</v>
      </c>
      <c r="B26741" t="s">
        <v>2931</v>
      </c>
      <c r="C26741">
        <v>1799</v>
      </c>
      <c r="D26741" t="str">
        <f>"0123753534  "</f>
        <v xml:space="preserve">0123753534  </v>
      </c>
      <c r="E26741" t="s">
        <v>292</v>
      </c>
      <c r="F26741" t="s">
        <v>294</v>
      </c>
      <c r="G26741">
        <v>175.35</v>
      </c>
      <c r="H26741">
        <v>250123</v>
      </c>
      <c r="I26741">
        <v>4600</v>
      </c>
      <c r="J26741" t="s">
        <v>278</v>
      </c>
      <c r="K26741">
        <v>175.35</v>
      </c>
      <c r="L26741">
        <v>35.630000000000003</v>
      </c>
      <c r="M26741">
        <v>17802</v>
      </c>
      <c r="N26741" t="s">
        <v>18</v>
      </c>
      <c r="O26741">
        <v>250214</v>
      </c>
      <c r="P26741">
        <v>139.72</v>
      </c>
    </row>
    <row r="26742" spans="1:16" x14ac:dyDescent="0.25">
      <c r="A26742" t="s">
        <v>3296</v>
      </c>
      <c r="B26742" t="s">
        <v>2931</v>
      </c>
      <c r="C26742">
        <v>1889</v>
      </c>
      <c r="D26742" t="str">
        <f>"0123804813  "</f>
        <v xml:space="preserve">0123804813  </v>
      </c>
      <c r="E26742" t="s">
        <v>292</v>
      </c>
      <c r="F26742" t="s">
        <v>294</v>
      </c>
      <c r="G26742">
        <v>177.98</v>
      </c>
      <c r="H26742">
        <v>250203</v>
      </c>
      <c r="I26742">
        <v>4600</v>
      </c>
      <c r="J26742" t="s">
        <v>278</v>
      </c>
      <c r="K26742">
        <v>177.98</v>
      </c>
      <c r="L26742">
        <v>36.159999999999997</v>
      </c>
      <c r="M26742">
        <v>17807</v>
      </c>
      <c r="N26742" t="s">
        <v>23</v>
      </c>
      <c r="O26742">
        <v>250214</v>
      </c>
      <c r="P26742">
        <v>141.82</v>
      </c>
    </row>
    <row r="26743" spans="1:16" x14ac:dyDescent="0.25">
      <c r="A26743" t="s">
        <v>3296</v>
      </c>
      <c r="B26743" t="s">
        <v>2931</v>
      </c>
      <c r="C26743">
        <v>1969</v>
      </c>
      <c r="D26743" t="str">
        <f>"0123763988  "</f>
        <v xml:space="preserve">0123763988  </v>
      </c>
      <c r="E26743" t="s">
        <v>292</v>
      </c>
      <c r="F26743" t="s">
        <v>294</v>
      </c>
      <c r="G26743">
        <v>28.53</v>
      </c>
      <c r="H26743">
        <v>250127</v>
      </c>
      <c r="I26743">
        <v>4600</v>
      </c>
      <c r="J26743" t="s">
        <v>278</v>
      </c>
      <c r="K26743">
        <v>88.77</v>
      </c>
      <c r="L26743">
        <v>5.8</v>
      </c>
      <c r="M26743">
        <v>17807</v>
      </c>
      <c r="N26743" t="s">
        <v>23</v>
      </c>
      <c r="O26743">
        <v>250218</v>
      </c>
      <c r="P26743">
        <v>22.73</v>
      </c>
    </row>
    <row r="26744" spans="1:16" x14ac:dyDescent="0.25">
      <c r="A26744" t="s">
        <v>3296</v>
      </c>
      <c r="B26744" t="s">
        <v>2931</v>
      </c>
      <c r="C26744">
        <v>1981</v>
      </c>
      <c r="D26744" t="str">
        <f>"0123807711  "</f>
        <v xml:space="preserve">0123807711  </v>
      </c>
      <c r="E26744" t="s">
        <v>292</v>
      </c>
      <c r="F26744" t="s">
        <v>294</v>
      </c>
      <c r="G26744">
        <v>19.07</v>
      </c>
      <c r="H26744">
        <v>250203</v>
      </c>
      <c r="I26744">
        <v>4600</v>
      </c>
      <c r="J26744" t="s">
        <v>278</v>
      </c>
      <c r="K26744">
        <v>105.91</v>
      </c>
      <c r="L26744">
        <v>3.87</v>
      </c>
      <c r="M26744">
        <v>67554</v>
      </c>
      <c r="N26744" t="s">
        <v>317</v>
      </c>
      <c r="O26744">
        <v>250218</v>
      </c>
      <c r="P26744">
        <v>15.2</v>
      </c>
    </row>
    <row r="26745" spans="1:16" x14ac:dyDescent="0.25">
      <c r="A26745" t="s">
        <v>3296</v>
      </c>
      <c r="B26745" t="s">
        <v>2931</v>
      </c>
      <c r="C26745">
        <v>1984</v>
      </c>
      <c r="D26745" t="str">
        <f>"0123811943  "</f>
        <v xml:space="preserve">0123811943  </v>
      </c>
      <c r="E26745" t="s">
        <v>292</v>
      </c>
      <c r="F26745" t="s">
        <v>294</v>
      </c>
      <c r="G26745">
        <v>96.01</v>
      </c>
      <c r="H26745">
        <v>250205</v>
      </c>
      <c r="I26745">
        <v>4600</v>
      </c>
      <c r="J26745" t="s">
        <v>278</v>
      </c>
      <c r="K26745">
        <v>96.01</v>
      </c>
      <c r="L26745">
        <v>19.510000000000002</v>
      </c>
      <c r="M26745">
        <v>46555</v>
      </c>
      <c r="N26745" t="s">
        <v>103</v>
      </c>
      <c r="O26745">
        <v>250218</v>
      </c>
      <c r="P26745">
        <v>76.5</v>
      </c>
    </row>
    <row r="26746" spans="1:16" x14ac:dyDescent="0.25">
      <c r="A26746" t="s">
        <v>3296</v>
      </c>
      <c r="B26746" t="s">
        <v>2931</v>
      </c>
      <c r="C26746">
        <v>1989</v>
      </c>
      <c r="D26746" t="str">
        <f>"0123815571  "</f>
        <v xml:space="preserve">0123815571  </v>
      </c>
      <c r="E26746" t="s">
        <v>292</v>
      </c>
      <c r="F26746" t="s">
        <v>294</v>
      </c>
      <c r="G26746">
        <v>73.39</v>
      </c>
      <c r="H26746">
        <v>250206</v>
      </c>
      <c r="I26746">
        <v>4600</v>
      </c>
      <c r="J26746" t="s">
        <v>278</v>
      </c>
      <c r="K26746">
        <v>73.39</v>
      </c>
      <c r="L26746">
        <v>14.91</v>
      </c>
      <c r="M26746">
        <v>46555</v>
      </c>
      <c r="N26746" t="s">
        <v>103</v>
      </c>
      <c r="O26746">
        <v>250218</v>
      </c>
      <c r="P26746">
        <v>58.48</v>
      </c>
    </row>
    <row r="26747" spans="1:16" x14ac:dyDescent="0.25">
      <c r="A26747" t="s">
        <v>3296</v>
      </c>
      <c r="B26747" t="s">
        <v>2931</v>
      </c>
      <c r="C26747">
        <v>1996</v>
      </c>
      <c r="D26747" t="str">
        <f>"0123815570  "</f>
        <v xml:space="preserve">0123815570  </v>
      </c>
      <c r="E26747" t="s">
        <v>292</v>
      </c>
      <c r="F26747" t="s">
        <v>294</v>
      </c>
      <c r="G26747">
        <v>656.6</v>
      </c>
      <c r="H26747">
        <v>250206</v>
      </c>
      <c r="I26747">
        <v>4600</v>
      </c>
      <c r="J26747" t="s">
        <v>278</v>
      </c>
      <c r="K26747">
        <v>656.6</v>
      </c>
      <c r="L26747">
        <v>133.41</v>
      </c>
      <c r="M26747">
        <v>46554</v>
      </c>
      <c r="N26747" t="s">
        <v>102</v>
      </c>
      <c r="O26747">
        <v>250218</v>
      </c>
      <c r="P26747">
        <v>523.19000000000005</v>
      </c>
    </row>
    <row r="26748" spans="1:16" x14ac:dyDescent="0.25">
      <c r="A26748" t="s">
        <v>3296</v>
      </c>
      <c r="B26748" t="s">
        <v>2931</v>
      </c>
      <c r="C26748">
        <v>2167</v>
      </c>
      <c r="D26748" t="str">
        <f>"0123845938  "</f>
        <v xml:space="preserve">0123845938  </v>
      </c>
      <c r="E26748" t="s">
        <v>292</v>
      </c>
      <c r="F26748" t="s">
        <v>294</v>
      </c>
      <c r="G26748">
        <v>352.9</v>
      </c>
      <c r="H26748">
        <v>250214</v>
      </c>
      <c r="I26748">
        <v>4600</v>
      </c>
      <c r="J26748" t="s">
        <v>278</v>
      </c>
      <c r="K26748">
        <v>352.9</v>
      </c>
      <c r="L26748">
        <v>71.7</v>
      </c>
      <c r="M26748">
        <v>46554</v>
      </c>
      <c r="N26748" t="s">
        <v>102</v>
      </c>
      <c r="O26748">
        <v>250220</v>
      </c>
      <c r="P26748">
        <v>281.2</v>
      </c>
    </row>
    <row r="26749" spans="1:16" x14ac:dyDescent="0.25">
      <c r="A26749" t="s">
        <v>3296</v>
      </c>
      <c r="B26749" t="s">
        <v>2931</v>
      </c>
      <c r="C26749">
        <v>2169</v>
      </c>
      <c r="D26749" t="str">
        <f>"0123843982  "</f>
        <v xml:space="preserve">0123843982  </v>
      </c>
      <c r="E26749" t="s">
        <v>292</v>
      </c>
      <c r="F26749" t="s">
        <v>294</v>
      </c>
      <c r="G26749">
        <v>217.15</v>
      </c>
      <c r="H26749">
        <v>250214</v>
      </c>
      <c r="I26749">
        <v>4600</v>
      </c>
      <c r="J26749" t="s">
        <v>278</v>
      </c>
      <c r="K26749">
        <v>217.15</v>
      </c>
      <c r="L26749">
        <v>44.12</v>
      </c>
      <c r="M26749">
        <v>56565</v>
      </c>
      <c r="N26749" t="s">
        <v>57</v>
      </c>
      <c r="O26749">
        <v>250220</v>
      </c>
      <c r="P26749">
        <v>173.03</v>
      </c>
    </row>
    <row r="26750" spans="1:16" x14ac:dyDescent="0.25">
      <c r="A26750" t="s">
        <v>3296</v>
      </c>
      <c r="B26750" t="s">
        <v>2931</v>
      </c>
      <c r="C26750">
        <v>2170</v>
      </c>
      <c r="D26750" t="str">
        <f>"0123843986  "</f>
        <v xml:space="preserve">0123843986  </v>
      </c>
      <c r="E26750" t="s">
        <v>292</v>
      </c>
      <c r="F26750" t="s">
        <v>294</v>
      </c>
      <c r="G26750">
        <v>609.17999999999995</v>
      </c>
      <c r="H26750">
        <v>250214</v>
      </c>
      <c r="I26750">
        <v>4600</v>
      </c>
      <c r="J26750" t="s">
        <v>278</v>
      </c>
      <c r="K26750">
        <v>609.17999999999995</v>
      </c>
      <c r="L26750">
        <v>123.78</v>
      </c>
      <c r="M26750">
        <v>56568</v>
      </c>
      <c r="N26750" t="s">
        <v>354</v>
      </c>
      <c r="O26750">
        <v>250220</v>
      </c>
      <c r="P26750">
        <v>485.4</v>
      </c>
    </row>
    <row r="26751" spans="1:16" x14ac:dyDescent="0.25">
      <c r="A26751" t="s">
        <v>3296</v>
      </c>
      <c r="B26751" t="s">
        <v>2931</v>
      </c>
      <c r="C26751">
        <v>2182</v>
      </c>
      <c r="D26751" t="str">
        <f>"0123749907  "</f>
        <v xml:space="preserve">0123749907  </v>
      </c>
      <c r="E26751" t="s">
        <v>292</v>
      </c>
      <c r="F26751" t="s">
        <v>294</v>
      </c>
      <c r="G26751">
        <v>1917.39</v>
      </c>
      <c r="H26751">
        <v>250201</v>
      </c>
      <c r="I26751">
        <v>4600</v>
      </c>
      <c r="J26751" t="s">
        <v>278</v>
      </c>
      <c r="K26751">
        <v>2158.39</v>
      </c>
      <c r="L26751">
        <v>389.59</v>
      </c>
      <c r="M26751">
        <v>46554</v>
      </c>
      <c r="N26751" t="s">
        <v>102</v>
      </c>
      <c r="O26751">
        <v>250221</v>
      </c>
      <c r="P26751">
        <v>1527.8</v>
      </c>
    </row>
    <row r="26752" spans="1:16" x14ac:dyDescent="0.25">
      <c r="A26752" t="s">
        <v>3296</v>
      </c>
      <c r="B26752" t="s">
        <v>2931</v>
      </c>
      <c r="C26752">
        <v>2237</v>
      </c>
      <c r="D26752" t="str">
        <f>"0123804812  "</f>
        <v xml:space="preserve">0123804812  </v>
      </c>
      <c r="E26752" t="s">
        <v>292</v>
      </c>
      <c r="F26752" t="s">
        <v>294</v>
      </c>
      <c r="G26752">
        <v>62.56</v>
      </c>
      <c r="H26752">
        <v>250203</v>
      </c>
      <c r="I26752">
        <v>4600</v>
      </c>
      <c r="J26752" t="s">
        <v>278</v>
      </c>
      <c r="K26752">
        <v>62.56</v>
      </c>
      <c r="L26752">
        <v>12.71</v>
      </c>
      <c r="M26752">
        <v>17802</v>
      </c>
      <c r="N26752" t="s">
        <v>18</v>
      </c>
      <c r="O26752">
        <v>250221</v>
      </c>
      <c r="P26752">
        <v>49.85</v>
      </c>
    </row>
    <row r="26753" spans="1:16" x14ac:dyDescent="0.25">
      <c r="A26753" t="s">
        <v>3296</v>
      </c>
      <c r="B26753" t="s">
        <v>2931</v>
      </c>
      <c r="C26753">
        <v>2248</v>
      </c>
      <c r="D26753" t="str">
        <f>"0123833412  "</f>
        <v xml:space="preserve">0123833412  </v>
      </c>
      <c r="E26753" t="s">
        <v>292</v>
      </c>
      <c r="F26753" t="s">
        <v>294</v>
      </c>
      <c r="G26753">
        <v>20.29</v>
      </c>
      <c r="H26753">
        <v>250212</v>
      </c>
      <c r="I26753">
        <v>4600</v>
      </c>
      <c r="J26753" t="s">
        <v>278</v>
      </c>
      <c r="K26753">
        <v>61.71</v>
      </c>
      <c r="L26753">
        <v>4.12</v>
      </c>
      <c r="M26753">
        <v>46557</v>
      </c>
      <c r="N26753" t="s">
        <v>104</v>
      </c>
      <c r="O26753">
        <v>250221</v>
      </c>
      <c r="P26753">
        <v>16.170000000000002</v>
      </c>
    </row>
    <row r="26754" spans="1:16" x14ac:dyDescent="0.25">
      <c r="A26754" t="s">
        <v>3296</v>
      </c>
      <c r="B26754" t="s">
        <v>2931</v>
      </c>
      <c r="C26754">
        <v>2249</v>
      </c>
      <c r="D26754" t="str">
        <f>"0123833947  "</f>
        <v xml:space="preserve">0123833947  </v>
      </c>
      <c r="E26754" t="s">
        <v>292</v>
      </c>
      <c r="F26754" t="s">
        <v>294</v>
      </c>
      <c r="G26754">
        <v>87.62</v>
      </c>
      <c r="H26754">
        <v>250212</v>
      </c>
      <c r="I26754">
        <v>4600</v>
      </c>
      <c r="J26754" t="s">
        <v>278</v>
      </c>
      <c r="K26754">
        <v>87.62</v>
      </c>
      <c r="L26754">
        <v>17.8</v>
      </c>
      <c r="M26754">
        <v>17809</v>
      </c>
      <c r="N26754" t="s">
        <v>25</v>
      </c>
      <c r="O26754">
        <v>250221</v>
      </c>
      <c r="P26754">
        <v>69.819999999999993</v>
      </c>
    </row>
    <row r="26755" spans="1:16" x14ac:dyDescent="0.25">
      <c r="A26755" t="s">
        <v>3296</v>
      </c>
      <c r="B26755" t="s">
        <v>2931</v>
      </c>
      <c r="C26755">
        <v>2252</v>
      </c>
      <c r="D26755" t="str">
        <f>"0123845937  "</f>
        <v xml:space="preserve">0123845937  </v>
      </c>
      <c r="E26755" t="s">
        <v>292</v>
      </c>
      <c r="F26755" t="s">
        <v>294</v>
      </c>
      <c r="G26755">
        <v>75.22</v>
      </c>
      <c r="H26755">
        <v>250214</v>
      </c>
      <c r="I26755">
        <v>4600</v>
      </c>
      <c r="J26755" t="s">
        <v>278</v>
      </c>
      <c r="K26755">
        <v>242.9</v>
      </c>
      <c r="L26755">
        <v>15.28</v>
      </c>
      <c r="M26755">
        <v>46555</v>
      </c>
      <c r="N26755" t="s">
        <v>103</v>
      </c>
      <c r="O26755">
        <v>250221</v>
      </c>
      <c r="P26755">
        <v>59.94</v>
      </c>
    </row>
    <row r="26756" spans="1:16" x14ac:dyDescent="0.25">
      <c r="A26756" t="s">
        <v>3296</v>
      </c>
      <c r="B26756" t="s">
        <v>2931</v>
      </c>
      <c r="C26756">
        <v>2253</v>
      </c>
      <c r="D26756" t="str">
        <f>"0123859788  "</f>
        <v xml:space="preserve">0123859788  </v>
      </c>
      <c r="E26756" t="s">
        <v>292</v>
      </c>
      <c r="F26756" t="s">
        <v>294</v>
      </c>
      <c r="G26756">
        <v>92.38</v>
      </c>
      <c r="H26756">
        <v>250219</v>
      </c>
      <c r="I26756">
        <v>4600</v>
      </c>
      <c r="J26756" t="s">
        <v>278</v>
      </c>
      <c r="K26756">
        <v>92.38</v>
      </c>
      <c r="L26756">
        <v>18.77</v>
      </c>
      <c r="M26756">
        <v>46554</v>
      </c>
      <c r="N26756" t="s">
        <v>102</v>
      </c>
      <c r="O26756">
        <v>250221</v>
      </c>
      <c r="P26756">
        <v>73.61</v>
      </c>
    </row>
    <row r="26757" spans="1:16" x14ac:dyDescent="0.25">
      <c r="A26757" t="s">
        <v>3296</v>
      </c>
      <c r="B26757" t="s">
        <v>2931</v>
      </c>
      <c r="C26757">
        <v>2292</v>
      </c>
      <c r="D26757" t="str">
        <f>"0123778214  "</f>
        <v xml:space="preserve">0123778214  </v>
      </c>
      <c r="E26757" t="s">
        <v>292</v>
      </c>
      <c r="F26757" t="s">
        <v>294</v>
      </c>
      <c r="G26757">
        <v>344.56</v>
      </c>
      <c r="H26757">
        <v>250201</v>
      </c>
      <c r="I26757">
        <v>4600</v>
      </c>
      <c r="J26757" t="s">
        <v>278</v>
      </c>
      <c r="K26757">
        <v>344.56</v>
      </c>
      <c r="L26757">
        <v>70.010000000000005</v>
      </c>
      <c r="M26757">
        <v>17802</v>
      </c>
      <c r="N26757" t="s">
        <v>18</v>
      </c>
      <c r="O26757">
        <v>250224</v>
      </c>
      <c r="P26757">
        <v>274.55</v>
      </c>
    </row>
    <row r="26758" spans="1:16" x14ac:dyDescent="0.25">
      <c r="A26758" t="s">
        <v>3296</v>
      </c>
      <c r="B26758" t="s">
        <v>2931</v>
      </c>
      <c r="C26758">
        <v>2412</v>
      </c>
      <c r="D26758" t="str">
        <f>"0123833413  "</f>
        <v xml:space="preserve">0123833413  </v>
      </c>
      <c r="E26758" t="s">
        <v>292</v>
      </c>
      <c r="F26758" t="s">
        <v>294</v>
      </c>
      <c r="G26758">
        <v>1630.87</v>
      </c>
      <c r="H26758">
        <v>250212</v>
      </c>
      <c r="I26758">
        <v>4600</v>
      </c>
      <c r="J26758" t="s">
        <v>278</v>
      </c>
      <c r="K26758">
        <v>1630.87</v>
      </c>
      <c r="L26758">
        <v>331.37</v>
      </c>
      <c r="M26758">
        <v>46555</v>
      </c>
      <c r="N26758" t="s">
        <v>103</v>
      </c>
      <c r="O26758">
        <v>250225</v>
      </c>
      <c r="P26758">
        <v>1299.5</v>
      </c>
    </row>
    <row r="26759" spans="1:16" x14ac:dyDescent="0.25">
      <c r="A26759" t="s">
        <v>3296</v>
      </c>
      <c r="B26759" t="s">
        <v>2931</v>
      </c>
      <c r="C26759">
        <v>2414</v>
      </c>
      <c r="D26759" t="str">
        <f>"0123833946  "</f>
        <v xml:space="preserve">0123833946  </v>
      </c>
      <c r="E26759" t="s">
        <v>292</v>
      </c>
      <c r="F26759" t="s">
        <v>294</v>
      </c>
      <c r="G26759">
        <v>49.89</v>
      </c>
      <c r="H26759">
        <v>250212</v>
      </c>
      <c r="I26759">
        <v>4600</v>
      </c>
      <c r="J26759" t="s">
        <v>278</v>
      </c>
      <c r="K26759">
        <v>49.89</v>
      </c>
      <c r="L26759">
        <v>10.14</v>
      </c>
      <c r="M26759">
        <v>17802</v>
      </c>
      <c r="N26759" t="s">
        <v>18</v>
      </c>
      <c r="O26759">
        <v>250225</v>
      </c>
      <c r="P26759">
        <v>39.75</v>
      </c>
    </row>
    <row r="26760" spans="1:16" x14ac:dyDescent="0.25">
      <c r="A26760" t="s">
        <v>3296</v>
      </c>
      <c r="B26760" t="s">
        <v>2931</v>
      </c>
      <c r="C26760">
        <v>2416</v>
      </c>
      <c r="D26760" t="str">
        <f>"0123833948  "</f>
        <v xml:space="preserve">0123833948  </v>
      </c>
      <c r="E26760" t="s">
        <v>292</v>
      </c>
      <c r="F26760" t="s">
        <v>294</v>
      </c>
      <c r="G26760">
        <v>55.98</v>
      </c>
      <c r="H26760">
        <v>250212</v>
      </c>
      <c r="I26760">
        <v>4600</v>
      </c>
      <c r="J26760" t="s">
        <v>278</v>
      </c>
      <c r="K26760">
        <v>55.98</v>
      </c>
      <c r="L26760">
        <v>11.37</v>
      </c>
      <c r="M26760">
        <v>17802</v>
      </c>
      <c r="N26760" t="s">
        <v>18</v>
      </c>
      <c r="O26760">
        <v>250225</v>
      </c>
      <c r="P26760">
        <v>44.61</v>
      </c>
    </row>
    <row r="26761" spans="1:16" x14ac:dyDescent="0.25">
      <c r="A26761" t="s">
        <v>3296</v>
      </c>
      <c r="B26761" t="s">
        <v>2931</v>
      </c>
      <c r="C26761">
        <v>2420</v>
      </c>
      <c r="D26761" t="str">
        <f>"0123843981  "</f>
        <v xml:space="preserve">0123843981  </v>
      </c>
      <c r="E26761" t="s">
        <v>292</v>
      </c>
      <c r="F26761" t="s">
        <v>294</v>
      </c>
      <c r="G26761">
        <v>487.04</v>
      </c>
      <c r="H26761">
        <v>250214</v>
      </c>
      <c r="I26761">
        <v>4600</v>
      </c>
      <c r="J26761" t="s">
        <v>278</v>
      </c>
      <c r="K26761">
        <v>487.04</v>
      </c>
      <c r="L26761">
        <v>98.96</v>
      </c>
      <c r="M26761">
        <v>51151</v>
      </c>
      <c r="N26761" t="s">
        <v>221</v>
      </c>
      <c r="O26761">
        <v>250225</v>
      </c>
      <c r="P26761">
        <v>388.08</v>
      </c>
    </row>
    <row r="26762" spans="1:16" x14ac:dyDescent="0.25">
      <c r="A26762" t="s">
        <v>3296</v>
      </c>
      <c r="B26762" t="s">
        <v>2931</v>
      </c>
      <c r="C26762">
        <v>2487</v>
      </c>
      <c r="D26762" t="str">
        <f>"0123861971  "</f>
        <v xml:space="preserve">0123861971  </v>
      </c>
      <c r="E26762" t="s">
        <v>292</v>
      </c>
      <c r="F26762" t="s">
        <v>294</v>
      </c>
      <c r="G26762">
        <v>1045.49</v>
      </c>
      <c r="H26762">
        <v>250220</v>
      </c>
      <c r="I26762">
        <v>4600</v>
      </c>
      <c r="J26762" t="s">
        <v>278</v>
      </c>
      <c r="K26762">
        <v>1295.23</v>
      </c>
      <c r="L26762">
        <v>212.43</v>
      </c>
      <c r="M26762">
        <v>46554</v>
      </c>
      <c r="N26762" t="s">
        <v>102</v>
      </c>
      <c r="O26762">
        <v>250228</v>
      </c>
      <c r="P26762">
        <v>833.06</v>
      </c>
    </row>
    <row r="26763" spans="1:16" x14ac:dyDescent="0.25">
      <c r="A26763" t="s">
        <v>3296</v>
      </c>
      <c r="B26763" t="s">
        <v>2931</v>
      </c>
      <c r="C26763">
        <v>2846</v>
      </c>
      <c r="D26763" t="str">
        <f>"0123843984  "</f>
        <v xml:space="preserve">0123843984  </v>
      </c>
      <c r="E26763" t="s">
        <v>292</v>
      </c>
      <c r="F26763" t="s">
        <v>294</v>
      </c>
      <c r="G26763">
        <v>156.38999999999999</v>
      </c>
      <c r="H26763">
        <v>250214</v>
      </c>
      <c r="I26763">
        <v>4600</v>
      </c>
      <c r="J26763" t="s">
        <v>278</v>
      </c>
      <c r="K26763">
        <v>156.38999999999999</v>
      </c>
      <c r="L26763">
        <v>31.78</v>
      </c>
      <c r="M26763">
        <v>59501</v>
      </c>
      <c r="N26763" t="s">
        <v>62</v>
      </c>
      <c r="O26763">
        <v>250312</v>
      </c>
      <c r="P26763">
        <v>124.61</v>
      </c>
    </row>
    <row r="26764" spans="1:16" x14ac:dyDescent="0.25">
      <c r="A26764" t="s">
        <v>3296</v>
      </c>
      <c r="B26764" t="s">
        <v>2931</v>
      </c>
      <c r="C26764">
        <v>2849</v>
      </c>
      <c r="D26764" t="str">
        <f>"0123853924  "</f>
        <v xml:space="preserve">0123853924  </v>
      </c>
      <c r="E26764" t="s">
        <v>292</v>
      </c>
      <c r="F26764" t="s">
        <v>294</v>
      </c>
      <c r="G26764">
        <v>13.05</v>
      </c>
      <c r="H26764">
        <v>250217</v>
      </c>
      <c r="I26764">
        <v>4600</v>
      </c>
      <c r="J26764" t="s">
        <v>278</v>
      </c>
      <c r="K26764">
        <v>313.24</v>
      </c>
      <c r="L26764">
        <v>2.65</v>
      </c>
      <c r="M26764">
        <v>17633</v>
      </c>
      <c r="N26764" t="s">
        <v>628</v>
      </c>
      <c r="O26764">
        <v>250312</v>
      </c>
      <c r="P26764">
        <v>10.4</v>
      </c>
    </row>
    <row r="26765" spans="1:16" x14ac:dyDescent="0.25">
      <c r="A26765" t="s">
        <v>3296</v>
      </c>
      <c r="B26765" t="s">
        <v>2931</v>
      </c>
      <c r="C26765">
        <v>2850</v>
      </c>
      <c r="D26765" t="str">
        <f>"0123854777  "</f>
        <v xml:space="preserve">0123854777  </v>
      </c>
      <c r="E26765" t="s">
        <v>292</v>
      </c>
      <c r="F26765" t="s">
        <v>294</v>
      </c>
      <c r="G26765">
        <v>222.42</v>
      </c>
      <c r="H26765">
        <v>250217</v>
      </c>
      <c r="I26765">
        <v>4600</v>
      </c>
      <c r="J26765" t="s">
        <v>278</v>
      </c>
      <c r="K26765">
        <v>222.42</v>
      </c>
      <c r="L26765">
        <v>45.19</v>
      </c>
      <c r="M26765">
        <v>47522</v>
      </c>
      <c r="N26765" t="s">
        <v>106</v>
      </c>
      <c r="O26765">
        <v>250312</v>
      </c>
      <c r="P26765">
        <v>177.23</v>
      </c>
    </row>
    <row r="26766" spans="1:16" x14ac:dyDescent="0.25">
      <c r="A26766" t="s">
        <v>3296</v>
      </c>
      <c r="B26766" t="s">
        <v>2931</v>
      </c>
      <c r="C26766">
        <v>2853</v>
      </c>
      <c r="D26766" t="str">
        <f>"0123856539  "</f>
        <v xml:space="preserve">0123856539  </v>
      </c>
      <c r="E26766" t="s">
        <v>292</v>
      </c>
      <c r="F26766" t="s">
        <v>294</v>
      </c>
      <c r="G26766">
        <v>180.9</v>
      </c>
      <c r="H26766">
        <v>250218</v>
      </c>
      <c r="I26766">
        <v>4600</v>
      </c>
      <c r="J26766" t="s">
        <v>278</v>
      </c>
      <c r="K26766">
        <v>180.9</v>
      </c>
      <c r="L26766">
        <v>36.76</v>
      </c>
      <c r="M26766">
        <v>47522</v>
      </c>
      <c r="N26766" t="s">
        <v>106</v>
      </c>
      <c r="O26766">
        <v>250312</v>
      </c>
      <c r="P26766">
        <v>144.13999999999999</v>
      </c>
    </row>
    <row r="26767" spans="1:16" x14ac:dyDescent="0.25">
      <c r="A26767" t="s">
        <v>3296</v>
      </c>
      <c r="B26767" t="s">
        <v>2931</v>
      </c>
      <c r="C26767">
        <v>2861</v>
      </c>
      <c r="D26767" t="str">
        <f>"0123859789  "</f>
        <v xml:space="preserve">0123859789  </v>
      </c>
      <c r="E26767" t="s">
        <v>292</v>
      </c>
      <c r="F26767" t="s">
        <v>294</v>
      </c>
      <c r="G26767">
        <v>105.02</v>
      </c>
      <c r="H26767">
        <v>250219</v>
      </c>
      <c r="I26767">
        <v>4600</v>
      </c>
      <c r="J26767" t="s">
        <v>278</v>
      </c>
      <c r="K26767">
        <v>105.02</v>
      </c>
      <c r="L26767">
        <v>21.34</v>
      </c>
      <c r="M26767">
        <v>46555</v>
      </c>
      <c r="N26767" t="s">
        <v>103</v>
      </c>
      <c r="O26767">
        <v>250312</v>
      </c>
      <c r="P26767">
        <v>83.68</v>
      </c>
    </row>
    <row r="26768" spans="1:16" x14ac:dyDescent="0.25">
      <c r="A26768" t="s">
        <v>3296</v>
      </c>
      <c r="B26768" t="s">
        <v>2931</v>
      </c>
      <c r="C26768">
        <v>2865</v>
      </c>
      <c r="D26768" t="str">
        <f>"0123861972  "</f>
        <v xml:space="preserve">0123861972  </v>
      </c>
      <c r="E26768" t="s">
        <v>292</v>
      </c>
      <c r="F26768" t="s">
        <v>294</v>
      </c>
      <c r="G26768">
        <v>68.33</v>
      </c>
      <c r="H26768">
        <v>250220</v>
      </c>
      <c r="I26768">
        <v>4600</v>
      </c>
      <c r="J26768" t="s">
        <v>278</v>
      </c>
      <c r="K26768">
        <v>68.33</v>
      </c>
      <c r="L26768">
        <v>13.88</v>
      </c>
      <c r="M26768">
        <v>46555</v>
      </c>
      <c r="N26768" t="s">
        <v>103</v>
      </c>
      <c r="O26768">
        <v>250312</v>
      </c>
      <c r="P26768">
        <v>54.45</v>
      </c>
    </row>
    <row r="26769" spans="1:16" x14ac:dyDescent="0.25">
      <c r="A26769" t="s">
        <v>3296</v>
      </c>
      <c r="B26769" t="s">
        <v>2931</v>
      </c>
      <c r="C26769">
        <v>3075</v>
      </c>
      <c r="D26769" t="str">
        <f>"0123902185  "</f>
        <v xml:space="preserve">0123902185  </v>
      </c>
      <c r="E26769" t="s">
        <v>292</v>
      </c>
      <c r="F26769" t="s">
        <v>294</v>
      </c>
      <c r="G26769">
        <v>124.27</v>
      </c>
      <c r="H26769">
        <v>250228</v>
      </c>
      <c r="I26769">
        <v>4600</v>
      </c>
      <c r="J26769" t="s">
        <v>278</v>
      </c>
      <c r="K26769">
        <v>124.27</v>
      </c>
      <c r="L26769">
        <v>25.25</v>
      </c>
      <c r="M26769">
        <v>17802</v>
      </c>
      <c r="N26769" t="s">
        <v>18</v>
      </c>
      <c r="O26769">
        <v>250314</v>
      </c>
      <c r="P26769">
        <v>99.02</v>
      </c>
    </row>
    <row r="26770" spans="1:16" x14ac:dyDescent="0.25">
      <c r="A26770" t="s">
        <v>3296</v>
      </c>
      <c r="B26770" t="s">
        <v>2931</v>
      </c>
      <c r="C26770">
        <v>3152</v>
      </c>
      <c r="D26770" t="str">
        <f>"0123907603  "</f>
        <v xml:space="preserve">0123907603  </v>
      </c>
      <c r="E26770" t="s">
        <v>292</v>
      </c>
      <c r="F26770" t="s">
        <v>294</v>
      </c>
      <c r="G26770">
        <v>407.13</v>
      </c>
      <c r="H26770">
        <v>250228</v>
      </c>
      <c r="I26770">
        <v>4600</v>
      </c>
      <c r="J26770" t="s">
        <v>278</v>
      </c>
      <c r="K26770">
        <v>407.13</v>
      </c>
      <c r="L26770">
        <v>82.72</v>
      </c>
      <c r="M26770">
        <v>56565</v>
      </c>
      <c r="N26770" t="s">
        <v>57</v>
      </c>
      <c r="O26770">
        <v>250314</v>
      </c>
      <c r="P26770">
        <v>324.41000000000003</v>
      </c>
    </row>
    <row r="26771" spans="1:16" x14ac:dyDescent="0.25">
      <c r="A26771" t="s">
        <v>3296</v>
      </c>
      <c r="B26771" t="s">
        <v>2931</v>
      </c>
      <c r="C26771">
        <v>3814</v>
      </c>
      <c r="D26771" t="str">
        <f>"0123915084  "</f>
        <v xml:space="preserve">0123915084  </v>
      </c>
      <c r="E26771" t="s">
        <v>292</v>
      </c>
      <c r="F26771" t="s">
        <v>294</v>
      </c>
      <c r="G26771">
        <v>29.87</v>
      </c>
      <c r="H26771">
        <v>250303</v>
      </c>
      <c r="I26771">
        <v>4600</v>
      </c>
      <c r="J26771" t="s">
        <v>278</v>
      </c>
      <c r="K26771">
        <v>71.28</v>
      </c>
      <c r="L26771">
        <v>6.07</v>
      </c>
      <c r="M26771">
        <v>47522</v>
      </c>
      <c r="N26771" t="s">
        <v>106</v>
      </c>
      <c r="O26771">
        <v>250402</v>
      </c>
      <c r="P26771">
        <v>23.8</v>
      </c>
    </row>
    <row r="26772" spans="1:16" x14ac:dyDescent="0.25">
      <c r="A26772" t="s">
        <v>3296</v>
      </c>
      <c r="B26772" t="s">
        <v>2931</v>
      </c>
      <c r="C26772">
        <v>3977</v>
      </c>
      <c r="D26772" t="str">
        <f>"0123920794  "</f>
        <v xml:space="preserve">0123920794  </v>
      </c>
      <c r="E26772" t="s">
        <v>292</v>
      </c>
      <c r="F26772" t="s">
        <v>294</v>
      </c>
      <c r="G26772">
        <v>516.42999999999995</v>
      </c>
      <c r="H26772">
        <v>250305</v>
      </c>
      <c r="I26772">
        <v>4600</v>
      </c>
      <c r="J26772" t="s">
        <v>278</v>
      </c>
      <c r="K26772">
        <v>516.42999999999995</v>
      </c>
      <c r="L26772">
        <v>104.93</v>
      </c>
      <c r="M26772">
        <v>46554</v>
      </c>
      <c r="N26772" t="s">
        <v>102</v>
      </c>
      <c r="O26772">
        <v>250404</v>
      </c>
      <c r="P26772">
        <v>411.5</v>
      </c>
    </row>
    <row r="26773" spans="1:16" x14ac:dyDescent="0.25">
      <c r="A26773" t="s">
        <v>3296</v>
      </c>
      <c r="B26773" t="s">
        <v>2931</v>
      </c>
      <c r="C26773">
        <v>4134</v>
      </c>
      <c r="D26773" t="str">
        <f>"0123932128  "</f>
        <v xml:space="preserve">0123932128  </v>
      </c>
      <c r="E26773" t="s">
        <v>292</v>
      </c>
      <c r="F26773" t="s">
        <v>294</v>
      </c>
      <c r="G26773">
        <v>21.22</v>
      </c>
      <c r="H26773">
        <v>250310</v>
      </c>
      <c r="I26773">
        <v>4600</v>
      </c>
      <c r="J26773" t="s">
        <v>278</v>
      </c>
      <c r="K26773">
        <v>21.22</v>
      </c>
      <c r="L26773">
        <v>4.3099999999999996</v>
      </c>
      <c r="M26773">
        <v>46555</v>
      </c>
      <c r="N26773" t="s">
        <v>103</v>
      </c>
      <c r="O26773">
        <v>250407</v>
      </c>
      <c r="P26773">
        <v>16.91</v>
      </c>
    </row>
    <row r="26774" spans="1:16" x14ac:dyDescent="0.25">
      <c r="A26774" t="s">
        <v>3296</v>
      </c>
      <c r="B26774" t="s">
        <v>2931</v>
      </c>
      <c r="C26774">
        <v>4250</v>
      </c>
      <c r="D26774" t="str">
        <f>"0123937496  "</f>
        <v xml:space="preserve">0123937496  </v>
      </c>
      <c r="E26774" t="s">
        <v>292</v>
      </c>
      <c r="F26774" t="s">
        <v>294</v>
      </c>
      <c r="G26774">
        <v>120.43</v>
      </c>
      <c r="H26774">
        <v>250311</v>
      </c>
      <c r="I26774">
        <v>4600</v>
      </c>
      <c r="J26774" t="s">
        <v>278</v>
      </c>
      <c r="K26774">
        <v>120.43</v>
      </c>
      <c r="L26774">
        <v>24.47</v>
      </c>
      <c r="M26774">
        <v>46554</v>
      </c>
      <c r="N26774" t="s">
        <v>102</v>
      </c>
      <c r="O26774">
        <v>250409</v>
      </c>
      <c r="P26774">
        <v>95.96</v>
      </c>
    </row>
    <row r="26775" spans="1:16" x14ac:dyDescent="0.25">
      <c r="A26775" t="s">
        <v>3296</v>
      </c>
      <c r="B26775" t="s">
        <v>2931</v>
      </c>
      <c r="C26775">
        <v>4306</v>
      </c>
      <c r="D26775" t="str">
        <f>"0123942932  "</f>
        <v xml:space="preserve">0123942932  </v>
      </c>
      <c r="E26775" t="s">
        <v>292</v>
      </c>
      <c r="F26775" t="s">
        <v>294</v>
      </c>
      <c r="G26775">
        <v>65.45</v>
      </c>
      <c r="H26775">
        <v>250312</v>
      </c>
      <c r="I26775">
        <v>4600</v>
      </c>
      <c r="J26775" t="s">
        <v>278</v>
      </c>
      <c r="K26775">
        <v>65.45</v>
      </c>
      <c r="L26775">
        <v>13.3</v>
      </c>
      <c r="M26775">
        <v>46554</v>
      </c>
      <c r="N26775" t="s">
        <v>102</v>
      </c>
      <c r="O26775">
        <v>250410</v>
      </c>
      <c r="P26775">
        <v>52.15</v>
      </c>
    </row>
    <row r="26776" spans="1:16" x14ac:dyDescent="0.25">
      <c r="A26776" t="s">
        <v>3296</v>
      </c>
      <c r="B26776" t="s">
        <v>2931</v>
      </c>
      <c r="C26776">
        <v>4317</v>
      </c>
      <c r="D26776" t="str">
        <f>"0123942980  "</f>
        <v xml:space="preserve">0123942980  </v>
      </c>
      <c r="E26776" t="s">
        <v>292</v>
      </c>
      <c r="F26776" t="s">
        <v>294</v>
      </c>
      <c r="G26776">
        <v>147.46</v>
      </c>
      <c r="H26776">
        <v>250313</v>
      </c>
      <c r="I26776">
        <v>4600</v>
      </c>
      <c r="J26776" t="s">
        <v>278</v>
      </c>
      <c r="K26776">
        <v>147.46</v>
      </c>
      <c r="L26776">
        <v>29.96</v>
      </c>
      <c r="M26776">
        <v>17802</v>
      </c>
      <c r="N26776" t="s">
        <v>18</v>
      </c>
      <c r="O26776">
        <v>250410</v>
      </c>
      <c r="P26776">
        <v>117.5</v>
      </c>
    </row>
    <row r="26777" spans="1:16" x14ac:dyDescent="0.25">
      <c r="A26777" t="s">
        <v>3296</v>
      </c>
      <c r="B26777" t="s">
        <v>2931</v>
      </c>
      <c r="C26777">
        <v>4323</v>
      </c>
      <c r="D26777" t="str">
        <f>"0123943155  "</f>
        <v xml:space="preserve">0123943155  </v>
      </c>
      <c r="E26777" t="s">
        <v>292</v>
      </c>
      <c r="F26777" t="s">
        <v>294</v>
      </c>
      <c r="G26777">
        <v>228.86</v>
      </c>
      <c r="H26777">
        <v>250313</v>
      </c>
      <c r="I26777">
        <v>4600</v>
      </c>
      <c r="J26777" t="s">
        <v>278</v>
      </c>
      <c r="K26777">
        <v>245.84</v>
      </c>
      <c r="L26777">
        <v>46.5</v>
      </c>
      <c r="M26777">
        <v>17632</v>
      </c>
      <c r="N26777" t="s">
        <v>615</v>
      </c>
      <c r="O26777">
        <v>250411</v>
      </c>
      <c r="P26777">
        <v>182.36</v>
      </c>
    </row>
    <row r="26778" spans="1:16" x14ac:dyDescent="0.25">
      <c r="A26778" t="s">
        <v>3296</v>
      </c>
      <c r="B26778" t="s">
        <v>2931</v>
      </c>
      <c r="C26778">
        <v>4323</v>
      </c>
      <c r="D26778" t="str">
        <f>"0123943155  "</f>
        <v xml:space="preserve">0123943155  </v>
      </c>
      <c r="E26778" t="s">
        <v>292</v>
      </c>
      <c r="F26778" t="s">
        <v>294</v>
      </c>
      <c r="G26778">
        <v>16.98</v>
      </c>
      <c r="H26778">
        <v>250313</v>
      </c>
      <c r="I26778">
        <v>4600</v>
      </c>
      <c r="J26778" t="s">
        <v>278</v>
      </c>
      <c r="K26778">
        <v>245.84</v>
      </c>
      <c r="L26778">
        <v>3.45</v>
      </c>
      <c r="M26778">
        <v>17633</v>
      </c>
      <c r="N26778" t="s">
        <v>628</v>
      </c>
      <c r="O26778">
        <v>250411</v>
      </c>
      <c r="P26778">
        <v>13.53</v>
      </c>
    </row>
    <row r="26779" spans="1:16" x14ac:dyDescent="0.25">
      <c r="A26779" t="s">
        <v>3296</v>
      </c>
      <c r="B26779" t="s">
        <v>2931</v>
      </c>
      <c r="C26779">
        <v>4324</v>
      </c>
      <c r="D26779" t="str">
        <f>"0123942982  "</f>
        <v xml:space="preserve">0123942982  </v>
      </c>
      <c r="E26779" t="s">
        <v>292</v>
      </c>
      <c r="F26779" t="s">
        <v>294</v>
      </c>
      <c r="G26779">
        <v>720.46</v>
      </c>
      <c r="H26779">
        <v>250313</v>
      </c>
      <c r="I26779">
        <v>4600</v>
      </c>
      <c r="J26779" t="s">
        <v>278</v>
      </c>
      <c r="K26779">
        <v>720.46</v>
      </c>
      <c r="L26779">
        <v>146.38999999999999</v>
      </c>
      <c r="M26779">
        <v>17809</v>
      </c>
      <c r="N26779" t="s">
        <v>25</v>
      </c>
      <c r="O26779">
        <v>250411</v>
      </c>
      <c r="P26779">
        <v>574.07000000000005</v>
      </c>
    </row>
    <row r="26780" spans="1:16" x14ac:dyDescent="0.25">
      <c r="A26780" t="s">
        <v>3296</v>
      </c>
      <c r="B26780" t="s">
        <v>2931</v>
      </c>
      <c r="C26780">
        <v>4327</v>
      </c>
      <c r="D26780" t="str">
        <f>"0123944806  "</f>
        <v xml:space="preserve">0123944806  </v>
      </c>
      <c r="E26780" t="s">
        <v>292</v>
      </c>
      <c r="F26780" t="s">
        <v>294</v>
      </c>
      <c r="G26780">
        <v>151.55000000000001</v>
      </c>
      <c r="H26780">
        <v>250313</v>
      </c>
      <c r="I26780">
        <v>4600</v>
      </c>
      <c r="J26780" t="s">
        <v>278</v>
      </c>
      <c r="K26780">
        <v>151.55000000000001</v>
      </c>
      <c r="L26780">
        <v>30.79</v>
      </c>
      <c r="M26780">
        <v>47522</v>
      </c>
      <c r="N26780" t="s">
        <v>106</v>
      </c>
      <c r="O26780">
        <v>250411</v>
      </c>
      <c r="P26780">
        <v>120.76</v>
      </c>
    </row>
    <row r="26781" spans="1:16" x14ac:dyDescent="0.25">
      <c r="A26781" t="s">
        <v>3296</v>
      </c>
      <c r="B26781" t="s">
        <v>2931</v>
      </c>
      <c r="C26781">
        <v>4331</v>
      </c>
      <c r="D26781" t="str">
        <f>"0123944805  "</f>
        <v xml:space="preserve">0123944805  </v>
      </c>
      <c r="E26781" t="s">
        <v>292</v>
      </c>
      <c r="F26781" t="s">
        <v>294</v>
      </c>
      <c r="G26781">
        <v>23.14</v>
      </c>
      <c r="H26781">
        <v>250313</v>
      </c>
      <c r="I26781">
        <v>4600</v>
      </c>
      <c r="J26781" t="s">
        <v>278</v>
      </c>
      <c r="K26781">
        <v>23.14</v>
      </c>
      <c r="L26781">
        <v>4.7</v>
      </c>
      <c r="M26781">
        <v>49701</v>
      </c>
      <c r="N26781" t="s">
        <v>111</v>
      </c>
      <c r="O26781">
        <v>250411</v>
      </c>
      <c r="P26781">
        <v>18.440000000000001</v>
      </c>
    </row>
    <row r="26782" spans="1:16" x14ac:dyDescent="0.25">
      <c r="A26782" t="s">
        <v>3296</v>
      </c>
      <c r="B26782" t="s">
        <v>2931</v>
      </c>
      <c r="C26782">
        <v>4332</v>
      </c>
      <c r="D26782" t="str">
        <f>"0123942983  "</f>
        <v xml:space="preserve">0123942983  </v>
      </c>
      <c r="E26782" t="s">
        <v>292</v>
      </c>
      <c r="F26782" t="s">
        <v>294</v>
      </c>
      <c r="G26782">
        <v>68.31</v>
      </c>
      <c r="H26782">
        <v>250313</v>
      </c>
      <c r="I26782">
        <v>4600</v>
      </c>
      <c r="J26782" t="s">
        <v>278</v>
      </c>
      <c r="K26782">
        <v>68.31</v>
      </c>
      <c r="L26782">
        <v>13.88</v>
      </c>
      <c r="M26782">
        <v>17807</v>
      </c>
      <c r="N26782" t="s">
        <v>23</v>
      </c>
      <c r="O26782">
        <v>250411</v>
      </c>
      <c r="P26782">
        <v>54.43</v>
      </c>
    </row>
    <row r="26783" spans="1:16" x14ac:dyDescent="0.25">
      <c r="A26783" t="s">
        <v>3296</v>
      </c>
      <c r="B26783" t="s">
        <v>2931</v>
      </c>
      <c r="C26783">
        <v>4340</v>
      </c>
      <c r="D26783" t="str">
        <f>"0123949096  "</f>
        <v xml:space="preserve">0123949096  </v>
      </c>
      <c r="E26783" t="s">
        <v>292</v>
      </c>
      <c r="F26783" t="s">
        <v>294</v>
      </c>
      <c r="G26783">
        <v>41.42</v>
      </c>
      <c r="H26783">
        <v>250314</v>
      </c>
      <c r="I26783">
        <v>4600</v>
      </c>
      <c r="J26783" t="s">
        <v>278</v>
      </c>
      <c r="K26783">
        <v>41.42</v>
      </c>
      <c r="L26783">
        <v>8.42</v>
      </c>
      <c r="M26783">
        <v>56565</v>
      </c>
      <c r="N26783" t="s">
        <v>57</v>
      </c>
      <c r="O26783">
        <v>250411</v>
      </c>
      <c r="P26783">
        <v>33</v>
      </c>
    </row>
    <row r="26784" spans="1:16" x14ac:dyDescent="0.25">
      <c r="A26784" t="s">
        <v>3296</v>
      </c>
      <c r="B26784" t="s">
        <v>2931</v>
      </c>
      <c r="C26784">
        <v>4341</v>
      </c>
      <c r="D26784" t="str">
        <f>"0123949091  "</f>
        <v xml:space="preserve">0123949091  </v>
      </c>
      <c r="E26784" t="s">
        <v>292</v>
      </c>
      <c r="F26784" t="s">
        <v>294</v>
      </c>
      <c r="G26784">
        <v>327.73</v>
      </c>
      <c r="H26784">
        <v>250314</v>
      </c>
      <c r="I26784">
        <v>4600</v>
      </c>
      <c r="J26784" t="s">
        <v>278</v>
      </c>
      <c r="K26784">
        <v>327.73</v>
      </c>
      <c r="L26784">
        <v>66.59</v>
      </c>
      <c r="M26784">
        <v>56565</v>
      </c>
      <c r="N26784" t="s">
        <v>57</v>
      </c>
      <c r="O26784">
        <v>250411</v>
      </c>
      <c r="P26784">
        <v>261.14</v>
      </c>
    </row>
    <row r="26785" spans="1:16" x14ac:dyDescent="0.25">
      <c r="A26785" t="s">
        <v>3296</v>
      </c>
      <c r="B26785" t="s">
        <v>2931</v>
      </c>
      <c r="C26785">
        <v>4342</v>
      </c>
      <c r="D26785" t="str">
        <f>"0123949094  "</f>
        <v xml:space="preserve">0123949094  </v>
      </c>
      <c r="E26785" t="s">
        <v>292</v>
      </c>
      <c r="F26785" t="s">
        <v>294</v>
      </c>
      <c r="G26785">
        <v>252.13</v>
      </c>
      <c r="H26785">
        <v>250314</v>
      </c>
      <c r="I26785">
        <v>4600</v>
      </c>
      <c r="J26785" t="s">
        <v>278</v>
      </c>
      <c r="K26785">
        <v>252.13</v>
      </c>
      <c r="L26785">
        <v>51.23</v>
      </c>
      <c r="M26785">
        <v>51151</v>
      </c>
      <c r="N26785" t="s">
        <v>221</v>
      </c>
      <c r="O26785">
        <v>250411</v>
      </c>
      <c r="P26785">
        <v>200.9</v>
      </c>
    </row>
    <row r="26786" spans="1:16" x14ac:dyDescent="0.25">
      <c r="A26786" t="s">
        <v>3296</v>
      </c>
      <c r="B26786" t="s">
        <v>2931</v>
      </c>
      <c r="C26786">
        <v>4347</v>
      </c>
      <c r="D26786" t="str">
        <f>"0123949095  "</f>
        <v xml:space="preserve">0123949095  </v>
      </c>
      <c r="E26786" t="s">
        <v>292</v>
      </c>
      <c r="F26786" t="s">
        <v>294</v>
      </c>
      <c r="G26786">
        <v>2973.62</v>
      </c>
      <c r="H26786">
        <v>250314</v>
      </c>
      <c r="I26786">
        <v>4600</v>
      </c>
      <c r="J26786" t="s">
        <v>278</v>
      </c>
      <c r="K26786">
        <v>2973.62</v>
      </c>
      <c r="L26786">
        <v>575.54</v>
      </c>
      <c r="M26786">
        <v>56560</v>
      </c>
      <c r="N26786" t="s">
        <v>52</v>
      </c>
      <c r="O26786">
        <v>250411</v>
      </c>
      <c r="P26786">
        <v>2398.08</v>
      </c>
    </row>
    <row r="26787" spans="1:16" x14ac:dyDescent="0.25">
      <c r="A26787" t="s">
        <v>3296</v>
      </c>
      <c r="B26787" t="s">
        <v>2931</v>
      </c>
      <c r="C26787">
        <v>4349</v>
      </c>
      <c r="D26787" t="str">
        <f>"0123949092  "</f>
        <v xml:space="preserve">0123949092  </v>
      </c>
      <c r="E26787" t="s">
        <v>292</v>
      </c>
      <c r="F26787" t="s">
        <v>294</v>
      </c>
      <c r="G26787">
        <v>725.69</v>
      </c>
      <c r="H26787">
        <v>250314</v>
      </c>
      <c r="I26787">
        <v>4600</v>
      </c>
      <c r="J26787" t="s">
        <v>278</v>
      </c>
      <c r="K26787">
        <v>725.69</v>
      </c>
      <c r="L26787">
        <v>147.44999999999999</v>
      </c>
      <c r="M26787">
        <v>56568</v>
      </c>
      <c r="N26787" t="s">
        <v>354</v>
      </c>
      <c r="O26787">
        <v>250411</v>
      </c>
      <c r="P26787">
        <v>578.24</v>
      </c>
    </row>
    <row r="26788" spans="1:16" x14ac:dyDescent="0.25">
      <c r="A26788" t="s">
        <v>3296</v>
      </c>
      <c r="B26788" t="s">
        <v>2931</v>
      </c>
      <c r="C26788">
        <v>4350</v>
      </c>
      <c r="D26788" t="str">
        <f>"0123957823  "</f>
        <v xml:space="preserve">0123957823  </v>
      </c>
      <c r="E26788" t="s">
        <v>292</v>
      </c>
      <c r="F26788" t="s">
        <v>294</v>
      </c>
      <c r="G26788">
        <v>136.29</v>
      </c>
      <c r="H26788">
        <v>250314</v>
      </c>
      <c r="I26788">
        <v>4600</v>
      </c>
      <c r="J26788" t="s">
        <v>278</v>
      </c>
      <c r="K26788">
        <v>136.29</v>
      </c>
      <c r="L26788">
        <v>27.69</v>
      </c>
      <c r="M26788">
        <v>46554</v>
      </c>
      <c r="N26788" t="s">
        <v>102</v>
      </c>
      <c r="O26788">
        <v>250411</v>
      </c>
      <c r="P26788">
        <v>108.6</v>
      </c>
    </row>
    <row r="26789" spans="1:16" x14ac:dyDescent="0.25">
      <c r="A26789" t="s">
        <v>3296</v>
      </c>
      <c r="B26789" t="s">
        <v>2931</v>
      </c>
      <c r="C26789">
        <v>4748</v>
      </c>
      <c r="D26789" t="str">
        <f>"0123965346  "</f>
        <v xml:space="preserve">0123965346  </v>
      </c>
      <c r="E26789" t="s">
        <v>292</v>
      </c>
      <c r="F26789" t="s">
        <v>294</v>
      </c>
      <c r="G26789">
        <v>175.6</v>
      </c>
      <c r="H26789">
        <v>250318</v>
      </c>
      <c r="I26789">
        <v>4600</v>
      </c>
      <c r="J26789" t="s">
        <v>278</v>
      </c>
      <c r="K26789">
        <v>175.6</v>
      </c>
      <c r="L26789">
        <v>35.68</v>
      </c>
      <c r="M26789">
        <v>17522</v>
      </c>
      <c r="N26789" t="s">
        <v>137</v>
      </c>
      <c r="O26789">
        <v>250415</v>
      </c>
      <c r="P26789">
        <v>139.91999999999999</v>
      </c>
    </row>
    <row r="26790" spans="1:16" x14ac:dyDescent="0.25">
      <c r="A26790" t="s">
        <v>3296</v>
      </c>
      <c r="B26790" t="s">
        <v>2931</v>
      </c>
      <c r="C26790">
        <v>4800</v>
      </c>
      <c r="D26790" t="str">
        <f>"0123967828  "</f>
        <v xml:space="preserve">0123967828  </v>
      </c>
      <c r="E26790" t="s">
        <v>292</v>
      </c>
      <c r="F26790" t="s">
        <v>294</v>
      </c>
      <c r="G26790">
        <v>55.12</v>
      </c>
      <c r="H26790">
        <v>250319</v>
      </c>
      <c r="I26790">
        <v>4600</v>
      </c>
      <c r="J26790" t="s">
        <v>278</v>
      </c>
      <c r="K26790">
        <v>55.12</v>
      </c>
      <c r="L26790">
        <v>11.2</v>
      </c>
      <c r="M26790">
        <v>46554</v>
      </c>
      <c r="N26790" t="s">
        <v>102</v>
      </c>
      <c r="O26790">
        <v>250415</v>
      </c>
      <c r="P26790">
        <v>43.92</v>
      </c>
    </row>
    <row r="26791" spans="1:16" x14ac:dyDescent="0.25">
      <c r="A26791" t="s">
        <v>3296</v>
      </c>
      <c r="B26791" t="s">
        <v>2931</v>
      </c>
      <c r="C26791">
        <v>4805</v>
      </c>
      <c r="D26791" t="str">
        <f>"0123973132  "</f>
        <v xml:space="preserve">0123973132  </v>
      </c>
      <c r="E26791" t="s">
        <v>292</v>
      </c>
      <c r="F26791" t="s">
        <v>294</v>
      </c>
      <c r="G26791">
        <v>76.5</v>
      </c>
      <c r="H26791">
        <v>250320</v>
      </c>
      <c r="I26791">
        <v>4600</v>
      </c>
      <c r="J26791" t="s">
        <v>278</v>
      </c>
      <c r="K26791">
        <v>76.5</v>
      </c>
      <c r="L26791">
        <v>15.54</v>
      </c>
      <c r="M26791">
        <v>46555</v>
      </c>
      <c r="N26791" t="s">
        <v>103</v>
      </c>
      <c r="O26791">
        <v>250415</v>
      </c>
      <c r="P26791">
        <v>60.96</v>
      </c>
    </row>
    <row r="26792" spans="1:16" x14ac:dyDescent="0.25">
      <c r="A26792" t="s">
        <v>3296</v>
      </c>
      <c r="B26792" t="s">
        <v>2931</v>
      </c>
      <c r="C26792">
        <v>4809</v>
      </c>
      <c r="D26792" t="str">
        <f>"0123979538  "</f>
        <v xml:space="preserve">0123979538  </v>
      </c>
      <c r="E26792" t="s">
        <v>292</v>
      </c>
      <c r="F26792" t="s">
        <v>294</v>
      </c>
      <c r="G26792">
        <v>159.26</v>
      </c>
      <c r="H26792">
        <v>250321</v>
      </c>
      <c r="I26792">
        <v>4600</v>
      </c>
      <c r="J26792" t="s">
        <v>278</v>
      </c>
      <c r="K26792">
        <v>159.26</v>
      </c>
      <c r="L26792">
        <v>32.36</v>
      </c>
      <c r="M26792">
        <v>67522</v>
      </c>
      <c r="N26792" t="s">
        <v>121</v>
      </c>
      <c r="O26792">
        <v>250415</v>
      </c>
      <c r="P26792">
        <v>126.9</v>
      </c>
    </row>
    <row r="26793" spans="1:16" x14ac:dyDescent="0.25">
      <c r="A26793" t="s">
        <v>3296</v>
      </c>
      <c r="B26793" t="s">
        <v>2931</v>
      </c>
      <c r="C26793">
        <v>4822</v>
      </c>
      <c r="D26793" t="str">
        <f>"0123967827  "</f>
        <v xml:space="preserve">0123967827  </v>
      </c>
      <c r="E26793" t="s">
        <v>292</v>
      </c>
      <c r="F26793" t="s">
        <v>294</v>
      </c>
      <c r="G26793">
        <v>66.98</v>
      </c>
      <c r="H26793">
        <v>250319</v>
      </c>
      <c r="I26793">
        <v>4600</v>
      </c>
      <c r="J26793" t="s">
        <v>278</v>
      </c>
      <c r="K26793">
        <v>66.98</v>
      </c>
      <c r="L26793">
        <v>13.61</v>
      </c>
      <c r="M26793">
        <v>46555</v>
      </c>
      <c r="N26793" t="s">
        <v>103</v>
      </c>
      <c r="O26793">
        <v>250415</v>
      </c>
      <c r="P26793">
        <v>53.37</v>
      </c>
    </row>
    <row r="26794" spans="1:16" x14ac:dyDescent="0.25">
      <c r="A26794" t="s">
        <v>3296</v>
      </c>
      <c r="B26794" t="s">
        <v>2931</v>
      </c>
      <c r="C26794">
        <v>4981</v>
      </c>
      <c r="D26794" t="str">
        <f>"0124010264  "</f>
        <v xml:space="preserve">0124010264  </v>
      </c>
      <c r="E26794" t="s">
        <v>292</v>
      </c>
      <c r="F26794" t="s">
        <v>294</v>
      </c>
      <c r="G26794">
        <v>122.6</v>
      </c>
      <c r="H26794">
        <v>250331</v>
      </c>
      <c r="I26794">
        <v>4600</v>
      </c>
      <c r="J26794" t="s">
        <v>278</v>
      </c>
      <c r="K26794">
        <v>122.6</v>
      </c>
      <c r="L26794">
        <v>24.91</v>
      </c>
      <c r="M26794">
        <v>56565</v>
      </c>
      <c r="N26794" t="s">
        <v>57</v>
      </c>
      <c r="O26794">
        <v>250416</v>
      </c>
      <c r="P26794">
        <v>97.69</v>
      </c>
    </row>
    <row r="26795" spans="1:16" x14ac:dyDescent="0.25">
      <c r="A26795" t="s">
        <v>3296</v>
      </c>
      <c r="B26795" t="s">
        <v>2931</v>
      </c>
      <c r="C26795">
        <v>4983</v>
      </c>
      <c r="D26795" t="str">
        <f>"0124010262  "</f>
        <v xml:space="preserve">0124010262  </v>
      </c>
      <c r="E26795" t="s">
        <v>292</v>
      </c>
      <c r="F26795" t="s">
        <v>294</v>
      </c>
      <c r="G26795">
        <v>438.68</v>
      </c>
      <c r="H26795">
        <v>250331</v>
      </c>
      <c r="I26795">
        <v>4600</v>
      </c>
      <c r="J26795" t="s">
        <v>278</v>
      </c>
      <c r="K26795">
        <v>438.68</v>
      </c>
      <c r="L26795">
        <v>89.13</v>
      </c>
      <c r="M26795">
        <v>56568</v>
      </c>
      <c r="N26795" t="s">
        <v>354</v>
      </c>
      <c r="O26795">
        <v>250416</v>
      </c>
      <c r="P26795">
        <v>349.55</v>
      </c>
    </row>
    <row r="26796" spans="1:16" x14ac:dyDescent="0.25">
      <c r="A26796" t="s">
        <v>3296</v>
      </c>
      <c r="B26796" t="s">
        <v>2931</v>
      </c>
      <c r="C26796">
        <v>5001</v>
      </c>
      <c r="D26796" t="str">
        <f>"0123980759  "</f>
        <v xml:space="preserve">0123980759  </v>
      </c>
      <c r="E26796" t="s">
        <v>292</v>
      </c>
      <c r="F26796" t="s">
        <v>294</v>
      </c>
      <c r="G26796">
        <v>144.69</v>
      </c>
      <c r="H26796">
        <v>250324</v>
      </c>
      <c r="I26796">
        <v>4600</v>
      </c>
      <c r="J26796" t="s">
        <v>278</v>
      </c>
      <c r="K26796">
        <v>144.69</v>
      </c>
      <c r="L26796">
        <v>29.4</v>
      </c>
      <c r="M26796">
        <v>46555</v>
      </c>
      <c r="N26796" t="s">
        <v>103</v>
      </c>
      <c r="O26796">
        <v>250416</v>
      </c>
      <c r="P26796">
        <v>115.29</v>
      </c>
    </row>
    <row r="26797" spans="1:16" x14ac:dyDescent="0.25">
      <c r="A26797" t="s">
        <v>3296</v>
      </c>
      <c r="B26797" t="s">
        <v>2931</v>
      </c>
      <c r="C26797">
        <v>5003</v>
      </c>
      <c r="D26797" t="str">
        <f>"0123980758  "</f>
        <v xml:space="preserve">0123980758  </v>
      </c>
      <c r="E26797" t="s">
        <v>292</v>
      </c>
      <c r="F26797" t="s">
        <v>294</v>
      </c>
      <c r="G26797">
        <v>649.44000000000005</v>
      </c>
      <c r="H26797">
        <v>250324</v>
      </c>
      <c r="I26797">
        <v>4600</v>
      </c>
      <c r="J26797" t="s">
        <v>278</v>
      </c>
      <c r="K26797">
        <v>649.44000000000005</v>
      </c>
      <c r="L26797">
        <v>131.96</v>
      </c>
      <c r="M26797">
        <v>46555</v>
      </c>
      <c r="N26797" t="s">
        <v>103</v>
      </c>
      <c r="O26797">
        <v>250416</v>
      </c>
      <c r="P26797">
        <v>517.48</v>
      </c>
    </row>
    <row r="26798" spans="1:16" x14ac:dyDescent="0.25">
      <c r="A26798" t="s">
        <v>3296</v>
      </c>
      <c r="B26798" t="s">
        <v>2931</v>
      </c>
      <c r="C26798">
        <v>5205</v>
      </c>
      <c r="D26798" t="str">
        <f>"0123994989  "</f>
        <v xml:space="preserve">0123994989  </v>
      </c>
      <c r="E26798" t="s">
        <v>292</v>
      </c>
      <c r="F26798" t="s">
        <v>294</v>
      </c>
      <c r="G26798">
        <v>84.14</v>
      </c>
      <c r="H26798">
        <v>250327</v>
      </c>
      <c r="I26798">
        <v>4600</v>
      </c>
      <c r="J26798" t="s">
        <v>278</v>
      </c>
      <c r="K26798">
        <v>84.14</v>
      </c>
      <c r="L26798">
        <v>17.100000000000001</v>
      </c>
      <c r="M26798">
        <v>46554</v>
      </c>
      <c r="N26798" t="s">
        <v>102</v>
      </c>
      <c r="O26798">
        <v>250422</v>
      </c>
      <c r="P26798">
        <v>67.040000000000006</v>
      </c>
    </row>
    <row r="26799" spans="1:16" x14ac:dyDescent="0.25">
      <c r="A26799" t="s">
        <v>3296</v>
      </c>
      <c r="B26799" t="s">
        <v>2931</v>
      </c>
      <c r="C26799">
        <v>5234</v>
      </c>
      <c r="D26799" t="str">
        <f>"0124010263  "</f>
        <v xml:space="preserve">0124010263  </v>
      </c>
      <c r="E26799" t="s">
        <v>292</v>
      </c>
      <c r="F26799" t="s">
        <v>294</v>
      </c>
      <c r="G26799">
        <v>205.03</v>
      </c>
      <c r="H26799">
        <v>250331</v>
      </c>
      <c r="I26799">
        <v>4600</v>
      </c>
      <c r="J26799" t="s">
        <v>278</v>
      </c>
      <c r="K26799">
        <v>205.03</v>
      </c>
      <c r="L26799">
        <v>41.66</v>
      </c>
      <c r="M26799">
        <v>51151</v>
      </c>
      <c r="N26799" t="s">
        <v>221</v>
      </c>
      <c r="O26799">
        <v>250422</v>
      </c>
      <c r="P26799">
        <v>163.37</v>
      </c>
    </row>
    <row r="26800" spans="1:16" x14ac:dyDescent="0.25">
      <c r="A26800" t="s">
        <v>3296</v>
      </c>
      <c r="B26800" t="s">
        <v>2931</v>
      </c>
      <c r="C26800">
        <v>5260</v>
      </c>
      <c r="D26800" t="str">
        <f>"0123977497  "</f>
        <v xml:space="preserve">0123977497  </v>
      </c>
      <c r="E26800" t="s">
        <v>292</v>
      </c>
      <c r="F26800" t="s">
        <v>294</v>
      </c>
      <c r="G26800">
        <v>224.42</v>
      </c>
      <c r="H26800">
        <v>250401</v>
      </c>
      <c r="I26800">
        <v>4600</v>
      </c>
      <c r="J26800" t="s">
        <v>278</v>
      </c>
      <c r="K26800">
        <v>224.42</v>
      </c>
      <c r="L26800">
        <v>45.6</v>
      </c>
      <c r="M26800">
        <v>17802</v>
      </c>
      <c r="N26800" t="s">
        <v>18</v>
      </c>
      <c r="O26800">
        <v>250423</v>
      </c>
      <c r="P26800">
        <v>178.82</v>
      </c>
    </row>
    <row r="26801" spans="1:16" x14ac:dyDescent="0.25">
      <c r="A26801" t="s">
        <v>3296</v>
      </c>
      <c r="B26801" t="s">
        <v>2931</v>
      </c>
      <c r="C26801">
        <v>5513</v>
      </c>
      <c r="D26801" t="str">
        <f>"0124027069  "</f>
        <v xml:space="preserve">0124027069  </v>
      </c>
      <c r="E26801" t="s">
        <v>292</v>
      </c>
      <c r="F26801" t="s">
        <v>294</v>
      </c>
      <c r="G26801">
        <v>419.91</v>
      </c>
      <c r="H26801">
        <v>250401</v>
      </c>
      <c r="I26801">
        <v>4600</v>
      </c>
      <c r="J26801" t="s">
        <v>278</v>
      </c>
      <c r="K26801">
        <v>419.91</v>
      </c>
      <c r="L26801">
        <v>85.32</v>
      </c>
      <c r="M26801">
        <v>46555</v>
      </c>
      <c r="N26801" t="s">
        <v>103</v>
      </c>
      <c r="O26801">
        <v>250425</v>
      </c>
      <c r="P26801">
        <v>334.59</v>
      </c>
    </row>
    <row r="26802" spans="1:16" x14ac:dyDescent="0.25">
      <c r="A26802" t="s">
        <v>3296</v>
      </c>
      <c r="B26802" t="s">
        <v>2931</v>
      </c>
      <c r="C26802">
        <v>5559</v>
      </c>
      <c r="D26802" t="str">
        <f>"0124043359  "</f>
        <v xml:space="preserve">0124043359  </v>
      </c>
      <c r="E26802" t="s">
        <v>292</v>
      </c>
      <c r="F26802" t="s">
        <v>294</v>
      </c>
      <c r="G26802">
        <v>426.04</v>
      </c>
      <c r="H26802">
        <v>250404</v>
      </c>
      <c r="I26802">
        <v>4600</v>
      </c>
      <c r="J26802" t="s">
        <v>278</v>
      </c>
      <c r="K26802">
        <v>667.51</v>
      </c>
      <c r="L26802">
        <v>86.57</v>
      </c>
      <c r="M26802">
        <v>67522</v>
      </c>
      <c r="N26802" t="s">
        <v>121</v>
      </c>
      <c r="O26802">
        <v>250425</v>
      </c>
      <c r="P26802">
        <v>339.47</v>
      </c>
    </row>
    <row r="26803" spans="1:16" x14ac:dyDescent="0.25">
      <c r="A26803" t="s">
        <v>3296</v>
      </c>
      <c r="B26803" t="s">
        <v>2931</v>
      </c>
      <c r="C26803">
        <v>5593</v>
      </c>
      <c r="D26803" t="str">
        <f>"0124045347  "</f>
        <v xml:space="preserve">0124045347  </v>
      </c>
      <c r="E26803" t="s">
        <v>292</v>
      </c>
      <c r="F26803" t="s">
        <v>294</v>
      </c>
      <c r="G26803">
        <v>508.33</v>
      </c>
      <c r="H26803">
        <v>250407</v>
      </c>
      <c r="I26803">
        <v>4600</v>
      </c>
      <c r="J26803" t="s">
        <v>278</v>
      </c>
      <c r="K26803">
        <v>508.33</v>
      </c>
      <c r="L26803">
        <v>103.29</v>
      </c>
      <c r="M26803">
        <v>46554</v>
      </c>
      <c r="N26803" t="s">
        <v>102</v>
      </c>
      <c r="O26803">
        <v>250425</v>
      </c>
      <c r="P26803">
        <v>405.04</v>
      </c>
    </row>
    <row r="26804" spans="1:16" x14ac:dyDescent="0.25">
      <c r="A26804" t="s">
        <v>3296</v>
      </c>
      <c r="B26804" t="s">
        <v>2931</v>
      </c>
      <c r="C26804">
        <v>5597</v>
      </c>
      <c r="D26804" t="str">
        <f>"0124045529  "</f>
        <v xml:space="preserve">0124045529  </v>
      </c>
      <c r="E26804" t="s">
        <v>292</v>
      </c>
      <c r="F26804" t="s">
        <v>294</v>
      </c>
      <c r="G26804">
        <v>26.78</v>
      </c>
      <c r="H26804">
        <v>250407</v>
      </c>
      <c r="I26804">
        <v>4600</v>
      </c>
      <c r="J26804" t="s">
        <v>278</v>
      </c>
      <c r="K26804">
        <v>140.02000000000001</v>
      </c>
      <c r="L26804">
        <v>5.44</v>
      </c>
      <c r="M26804">
        <v>17527</v>
      </c>
      <c r="N26804" t="s">
        <v>142</v>
      </c>
      <c r="O26804">
        <v>250425</v>
      </c>
      <c r="P26804">
        <v>21.34</v>
      </c>
    </row>
    <row r="26805" spans="1:16" x14ac:dyDescent="0.25">
      <c r="A26805" t="s">
        <v>3296</v>
      </c>
      <c r="B26805" t="s">
        <v>2931</v>
      </c>
      <c r="C26805">
        <v>5597</v>
      </c>
      <c r="D26805" t="str">
        <f>"0124045529  "</f>
        <v xml:space="preserve">0124045529  </v>
      </c>
      <c r="E26805" t="s">
        <v>292</v>
      </c>
      <c r="F26805" t="s">
        <v>294</v>
      </c>
      <c r="G26805">
        <v>34.18</v>
      </c>
      <c r="H26805">
        <v>250407</v>
      </c>
      <c r="I26805">
        <v>4600</v>
      </c>
      <c r="J26805" t="s">
        <v>278</v>
      </c>
      <c r="K26805">
        <v>140.02000000000001</v>
      </c>
      <c r="L26805">
        <v>6.94</v>
      </c>
      <c r="M26805">
        <v>17633</v>
      </c>
      <c r="N26805" t="s">
        <v>628</v>
      </c>
      <c r="O26805">
        <v>250425</v>
      </c>
      <c r="P26805">
        <v>27.24</v>
      </c>
    </row>
    <row r="26806" spans="1:16" x14ac:dyDescent="0.25">
      <c r="A26806" t="s">
        <v>3296</v>
      </c>
      <c r="B26806" t="s">
        <v>2931</v>
      </c>
      <c r="C26806">
        <v>5597</v>
      </c>
      <c r="D26806" t="str">
        <f>"0124045529  "</f>
        <v xml:space="preserve">0124045529  </v>
      </c>
      <c r="E26806" t="s">
        <v>292</v>
      </c>
      <c r="F26806" t="s">
        <v>294</v>
      </c>
      <c r="G26806">
        <v>39.53</v>
      </c>
      <c r="H26806">
        <v>250407</v>
      </c>
      <c r="I26806">
        <v>4600</v>
      </c>
      <c r="J26806" t="s">
        <v>278</v>
      </c>
      <c r="K26806">
        <v>140.02000000000001</v>
      </c>
      <c r="L26806">
        <v>8.0299999999999994</v>
      </c>
      <c r="M26806">
        <v>17635</v>
      </c>
      <c r="N26806" t="s">
        <v>1264</v>
      </c>
      <c r="O26806">
        <v>250425</v>
      </c>
      <c r="P26806">
        <v>31.5</v>
      </c>
    </row>
    <row r="26807" spans="1:16" x14ac:dyDescent="0.25">
      <c r="A26807" t="s">
        <v>3296</v>
      </c>
      <c r="B26807" t="s">
        <v>2931</v>
      </c>
      <c r="C26807">
        <v>5607</v>
      </c>
      <c r="D26807" t="str">
        <f>"0124045346  "</f>
        <v xml:space="preserve">0124045346  </v>
      </c>
      <c r="E26807" t="s">
        <v>292</v>
      </c>
      <c r="F26807" t="s">
        <v>294</v>
      </c>
      <c r="G26807">
        <v>30.92</v>
      </c>
      <c r="H26807">
        <v>250407</v>
      </c>
      <c r="I26807">
        <v>4600</v>
      </c>
      <c r="J26807" t="s">
        <v>278</v>
      </c>
      <c r="K26807">
        <v>30.92</v>
      </c>
      <c r="L26807">
        <v>6.28</v>
      </c>
      <c r="M26807">
        <v>46555</v>
      </c>
      <c r="N26807" t="s">
        <v>103</v>
      </c>
      <c r="O26807">
        <v>250425</v>
      </c>
      <c r="P26807">
        <v>24.64</v>
      </c>
    </row>
    <row r="26808" spans="1:16" x14ac:dyDescent="0.25">
      <c r="A26808" t="s">
        <v>3296</v>
      </c>
      <c r="B26808" t="s">
        <v>2931</v>
      </c>
      <c r="C26808">
        <v>5634</v>
      </c>
      <c r="D26808" t="str">
        <f>"0124050529  "</f>
        <v xml:space="preserve">0124050529  </v>
      </c>
      <c r="E26808" t="s">
        <v>292</v>
      </c>
      <c r="F26808" t="s">
        <v>294</v>
      </c>
      <c r="G26808">
        <v>30.18</v>
      </c>
      <c r="H26808">
        <v>250408</v>
      </c>
      <c r="I26808">
        <v>4600</v>
      </c>
      <c r="J26808" t="s">
        <v>278</v>
      </c>
      <c r="K26808">
        <v>30.18</v>
      </c>
      <c r="L26808">
        <v>6.13</v>
      </c>
      <c r="M26808">
        <v>46554</v>
      </c>
      <c r="N26808" t="s">
        <v>102</v>
      </c>
      <c r="O26808">
        <v>250428</v>
      </c>
      <c r="P26808">
        <v>24.05</v>
      </c>
    </row>
    <row r="26809" spans="1:16" x14ac:dyDescent="0.25">
      <c r="A26809" t="s">
        <v>3296</v>
      </c>
      <c r="B26809" t="s">
        <v>2931</v>
      </c>
      <c r="C26809">
        <v>5637</v>
      </c>
      <c r="D26809" t="str">
        <f>"0124050528  "</f>
        <v xml:space="preserve">0124050528  </v>
      </c>
      <c r="E26809" t="s">
        <v>292</v>
      </c>
      <c r="F26809" t="s">
        <v>294</v>
      </c>
      <c r="G26809">
        <v>482.53</v>
      </c>
      <c r="H26809">
        <v>250408</v>
      </c>
      <c r="I26809">
        <v>4600</v>
      </c>
      <c r="J26809" t="s">
        <v>278</v>
      </c>
      <c r="K26809">
        <v>482.53</v>
      </c>
      <c r="L26809">
        <v>98.04</v>
      </c>
      <c r="M26809">
        <v>46554</v>
      </c>
      <c r="N26809" t="s">
        <v>102</v>
      </c>
      <c r="O26809">
        <v>250428</v>
      </c>
      <c r="P26809">
        <v>384.49</v>
      </c>
    </row>
    <row r="26810" spans="1:16" x14ac:dyDescent="0.25">
      <c r="A26810" t="s">
        <v>3296</v>
      </c>
      <c r="B26810" t="s">
        <v>2931</v>
      </c>
      <c r="C26810">
        <v>5638</v>
      </c>
      <c r="D26810" t="str">
        <f>"0124050530  "</f>
        <v xml:space="preserve">0124050530  </v>
      </c>
      <c r="E26810" t="s">
        <v>292</v>
      </c>
      <c r="F26810" t="s">
        <v>294</v>
      </c>
      <c r="G26810">
        <v>54.93</v>
      </c>
      <c r="H26810">
        <v>250408</v>
      </c>
      <c r="I26810">
        <v>4600</v>
      </c>
      <c r="J26810" t="s">
        <v>278</v>
      </c>
      <c r="K26810">
        <v>54.93</v>
      </c>
      <c r="L26810">
        <v>11.16</v>
      </c>
      <c r="M26810">
        <v>46555</v>
      </c>
      <c r="N26810" t="s">
        <v>103</v>
      </c>
      <c r="O26810">
        <v>250428</v>
      </c>
      <c r="P26810">
        <v>43.77</v>
      </c>
    </row>
    <row r="26811" spans="1:16" x14ac:dyDescent="0.25">
      <c r="A26811" t="s">
        <v>3296</v>
      </c>
      <c r="B26811" t="s">
        <v>2931</v>
      </c>
      <c r="C26811">
        <v>5678</v>
      </c>
      <c r="D26811" t="str">
        <f>"0124061180  "</f>
        <v xml:space="preserve">0124061180  </v>
      </c>
      <c r="E26811" t="s">
        <v>292</v>
      </c>
      <c r="F26811" t="s">
        <v>294</v>
      </c>
      <c r="G26811">
        <v>462.74</v>
      </c>
      <c r="H26811">
        <v>250410</v>
      </c>
      <c r="I26811">
        <v>4600</v>
      </c>
      <c r="J26811" t="s">
        <v>278</v>
      </c>
      <c r="K26811">
        <v>462.74</v>
      </c>
      <c r="L26811">
        <v>94.02</v>
      </c>
      <c r="M26811">
        <v>46554</v>
      </c>
      <c r="N26811" t="s">
        <v>102</v>
      </c>
      <c r="O26811">
        <v>250428</v>
      </c>
      <c r="P26811">
        <v>368.72</v>
      </c>
    </row>
    <row r="26812" spans="1:16" x14ac:dyDescent="0.25">
      <c r="A26812" t="s">
        <v>3296</v>
      </c>
      <c r="B26812" t="s">
        <v>2931</v>
      </c>
      <c r="C26812">
        <v>5709</v>
      </c>
      <c r="D26812" t="str">
        <f>"0123987475  "</f>
        <v xml:space="preserve">0123987475  </v>
      </c>
      <c r="E26812" t="s">
        <v>292</v>
      </c>
      <c r="F26812" t="s">
        <v>294</v>
      </c>
      <c r="G26812">
        <v>34.04</v>
      </c>
      <c r="H26812">
        <v>250401</v>
      </c>
      <c r="I26812">
        <v>4600</v>
      </c>
      <c r="J26812" t="s">
        <v>278</v>
      </c>
      <c r="K26812">
        <v>75.459999999999994</v>
      </c>
      <c r="L26812">
        <v>6.92</v>
      </c>
      <c r="M26812">
        <v>46555</v>
      </c>
      <c r="N26812" t="s">
        <v>103</v>
      </c>
      <c r="O26812">
        <v>250429</v>
      </c>
      <c r="P26812">
        <v>27.12</v>
      </c>
    </row>
    <row r="26813" spans="1:16" x14ac:dyDescent="0.25">
      <c r="A26813" t="s">
        <v>3296</v>
      </c>
      <c r="B26813" t="s">
        <v>2931</v>
      </c>
      <c r="C26813">
        <v>5810</v>
      </c>
      <c r="D26813" t="str">
        <f>"0124057452  "</f>
        <v xml:space="preserve">0124057452  </v>
      </c>
      <c r="E26813" t="s">
        <v>292</v>
      </c>
      <c r="F26813" t="s">
        <v>294</v>
      </c>
      <c r="G26813">
        <v>611.71</v>
      </c>
      <c r="H26813">
        <v>250410</v>
      </c>
      <c r="I26813">
        <v>4600</v>
      </c>
      <c r="J26813" t="s">
        <v>278</v>
      </c>
      <c r="K26813">
        <v>611.71</v>
      </c>
      <c r="L26813">
        <v>124.29</v>
      </c>
      <c r="M26813">
        <v>17802</v>
      </c>
      <c r="N26813" t="s">
        <v>18</v>
      </c>
      <c r="O26813">
        <v>250505</v>
      </c>
      <c r="P26813">
        <v>487.42</v>
      </c>
    </row>
    <row r="26814" spans="1:16" x14ac:dyDescent="0.25">
      <c r="A26814" t="s">
        <v>3296</v>
      </c>
      <c r="B26814" t="s">
        <v>2931</v>
      </c>
      <c r="C26814">
        <v>5857</v>
      </c>
      <c r="D26814" t="str">
        <f>"0124078157  "</f>
        <v xml:space="preserve">0124078157  </v>
      </c>
      <c r="E26814" t="s">
        <v>292</v>
      </c>
      <c r="F26814" t="s">
        <v>294</v>
      </c>
      <c r="G26814">
        <v>58.94</v>
      </c>
      <c r="H26814">
        <v>250415</v>
      </c>
      <c r="I26814">
        <v>4600</v>
      </c>
      <c r="J26814" t="s">
        <v>278</v>
      </c>
      <c r="K26814">
        <v>215.76</v>
      </c>
      <c r="L26814">
        <v>11.98</v>
      </c>
      <c r="M26814">
        <v>17524</v>
      </c>
      <c r="N26814" t="s">
        <v>139</v>
      </c>
      <c r="O26814">
        <v>250505</v>
      </c>
      <c r="P26814">
        <v>46.96</v>
      </c>
    </row>
    <row r="26815" spans="1:16" x14ac:dyDescent="0.25">
      <c r="A26815" t="s">
        <v>3296</v>
      </c>
      <c r="B26815" t="s">
        <v>2931</v>
      </c>
      <c r="C26815">
        <v>5970</v>
      </c>
      <c r="D26815" t="str">
        <f>"0124074465  "</f>
        <v xml:space="preserve">0124074465  </v>
      </c>
      <c r="E26815" t="s">
        <v>292</v>
      </c>
      <c r="F26815" t="s">
        <v>294</v>
      </c>
      <c r="G26815">
        <v>68.97</v>
      </c>
      <c r="H26815">
        <v>250415</v>
      </c>
      <c r="I26815">
        <v>4600</v>
      </c>
      <c r="J26815" t="s">
        <v>278</v>
      </c>
      <c r="K26815">
        <v>68.97</v>
      </c>
      <c r="L26815">
        <v>14.01</v>
      </c>
      <c r="M26815">
        <v>56528</v>
      </c>
      <c r="N26815" t="s">
        <v>70</v>
      </c>
      <c r="O26815">
        <v>250507</v>
      </c>
      <c r="P26815">
        <v>54.96</v>
      </c>
    </row>
    <row r="26816" spans="1:16" x14ac:dyDescent="0.25">
      <c r="A26816" t="s">
        <v>3296</v>
      </c>
      <c r="B26816" t="s">
        <v>2931</v>
      </c>
      <c r="C26816">
        <v>6088</v>
      </c>
      <c r="D26816" t="str">
        <f>"0124074463  "</f>
        <v xml:space="preserve">0124074463  </v>
      </c>
      <c r="E26816" t="s">
        <v>292</v>
      </c>
      <c r="F26816" t="s">
        <v>294</v>
      </c>
      <c r="G26816">
        <v>1405.57</v>
      </c>
      <c r="H26816">
        <v>250415</v>
      </c>
      <c r="I26816">
        <v>4600</v>
      </c>
      <c r="J26816" t="s">
        <v>278</v>
      </c>
      <c r="K26816">
        <v>1405.57</v>
      </c>
      <c r="L26816">
        <v>285.58999999999997</v>
      </c>
      <c r="M26816">
        <v>56568</v>
      </c>
      <c r="N26816" t="s">
        <v>354</v>
      </c>
      <c r="O26816">
        <v>250508</v>
      </c>
      <c r="P26816">
        <v>1119.98</v>
      </c>
    </row>
    <row r="26817" spans="1:16" x14ac:dyDescent="0.25">
      <c r="A26817" t="s">
        <v>3296</v>
      </c>
      <c r="B26817" t="s">
        <v>2931</v>
      </c>
      <c r="C26817">
        <v>6093</v>
      </c>
      <c r="D26817" t="str">
        <f>"0124074467  "</f>
        <v xml:space="preserve">0124074467  </v>
      </c>
      <c r="E26817" t="s">
        <v>292</v>
      </c>
      <c r="F26817" t="s">
        <v>294</v>
      </c>
      <c r="G26817">
        <v>136.63999999999999</v>
      </c>
      <c r="H26817">
        <v>250415</v>
      </c>
      <c r="I26817">
        <v>4600</v>
      </c>
      <c r="J26817" t="s">
        <v>278</v>
      </c>
      <c r="K26817">
        <v>136.63999999999999</v>
      </c>
      <c r="L26817">
        <v>27.76</v>
      </c>
      <c r="M26817">
        <v>56558</v>
      </c>
      <c r="N26817" t="s">
        <v>50</v>
      </c>
      <c r="O26817">
        <v>250508</v>
      </c>
      <c r="P26817">
        <v>108.88</v>
      </c>
    </row>
    <row r="26818" spans="1:16" x14ac:dyDescent="0.25">
      <c r="A26818" t="s">
        <v>3296</v>
      </c>
      <c r="B26818" t="s">
        <v>2931</v>
      </c>
      <c r="C26818">
        <v>6094</v>
      </c>
      <c r="D26818" t="str">
        <f>"0124074466  "</f>
        <v xml:space="preserve">0124074466  </v>
      </c>
      <c r="E26818" t="s">
        <v>292</v>
      </c>
      <c r="F26818" t="s">
        <v>294</v>
      </c>
      <c r="G26818">
        <v>527.15</v>
      </c>
      <c r="H26818">
        <v>250415</v>
      </c>
      <c r="I26818">
        <v>4600</v>
      </c>
      <c r="J26818" t="s">
        <v>278</v>
      </c>
      <c r="K26818">
        <v>527.15</v>
      </c>
      <c r="L26818">
        <v>107.11</v>
      </c>
      <c r="M26818">
        <v>56565</v>
      </c>
      <c r="N26818" t="s">
        <v>57</v>
      </c>
      <c r="O26818">
        <v>250508</v>
      </c>
      <c r="P26818">
        <v>420.04</v>
      </c>
    </row>
    <row r="26819" spans="1:16" x14ac:dyDescent="0.25">
      <c r="A26819" t="s">
        <v>3296</v>
      </c>
      <c r="B26819" t="s">
        <v>2931</v>
      </c>
      <c r="C26819">
        <v>6155</v>
      </c>
      <c r="D26819" t="str">
        <f>"0124089368  "</f>
        <v xml:space="preserve">0124089368  </v>
      </c>
      <c r="E26819" t="s">
        <v>292</v>
      </c>
      <c r="F26819" t="s">
        <v>294</v>
      </c>
      <c r="G26819">
        <v>31.24</v>
      </c>
      <c r="H26819">
        <v>250417</v>
      </c>
      <c r="I26819">
        <v>4600</v>
      </c>
      <c r="J26819" t="s">
        <v>278</v>
      </c>
      <c r="K26819">
        <v>31.24</v>
      </c>
      <c r="L26819">
        <v>6.35</v>
      </c>
      <c r="M26819">
        <v>49501</v>
      </c>
      <c r="N26819" t="s">
        <v>110</v>
      </c>
      <c r="O26819">
        <v>250509</v>
      </c>
      <c r="P26819">
        <v>24.89</v>
      </c>
    </row>
    <row r="26820" spans="1:16" x14ac:dyDescent="0.25">
      <c r="A26820" t="s">
        <v>3296</v>
      </c>
      <c r="B26820" t="s">
        <v>2931</v>
      </c>
      <c r="C26820">
        <v>6177</v>
      </c>
      <c r="D26820" t="str">
        <f>"0095500601  "</f>
        <v xml:space="preserve">0095500601  </v>
      </c>
      <c r="E26820" t="s">
        <v>292</v>
      </c>
      <c r="F26820" t="s">
        <v>294</v>
      </c>
      <c r="G26820">
        <v>-158</v>
      </c>
      <c r="H26820">
        <v>250416</v>
      </c>
      <c r="I26820">
        <v>4600</v>
      </c>
      <c r="J26820" t="s">
        <v>278</v>
      </c>
      <c r="K26820">
        <v>-158</v>
      </c>
      <c r="L26820">
        <v>-32.1</v>
      </c>
      <c r="M26820">
        <v>46555</v>
      </c>
      <c r="N26820" t="s">
        <v>103</v>
      </c>
      <c r="O26820">
        <v>250509</v>
      </c>
      <c r="P26820">
        <v>-125.9</v>
      </c>
    </row>
    <row r="26821" spans="1:16" x14ac:dyDescent="0.25">
      <c r="A26821" t="s">
        <v>3296</v>
      </c>
      <c r="B26821" t="s">
        <v>2931</v>
      </c>
      <c r="C26821">
        <v>6449</v>
      </c>
      <c r="D26821" t="str">
        <f>"0124095381  "</f>
        <v xml:space="preserve">0124095381  </v>
      </c>
      <c r="E26821" t="s">
        <v>292</v>
      </c>
      <c r="F26821" t="s">
        <v>294</v>
      </c>
      <c r="G26821">
        <v>347.94</v>
      </c>
      <c r="H26821">
        <v>250422</v>
      </c>
      <c r="I26821">
        <v>4600</v>
      </c>
      <c r="J26821" t="s">
        <v>278</v>
      </c>
      <c r="K26821">
        <v>347.94</v>
      </c>
      <c r="L26821">
        <v>70.7</v>
      </c>
      <c r="M26821">
        <v>46561</v>
      </c>
      <c r="N26821" t="s">
        <v>1535</v>
      </c>
      <c r="O26821">
        <v>250513</v>
      </c>
      <c r="P26821">
        <v>277.24</v>
      </c>
    </row>
    <row r="26822" spans="1:16" x14ac:dyDescent="0.25">
      <c r="A26822" t="s">
        <v>3296</v>
      </c>
      <c r="B26822" t="s">
        <v>2931</v>
      </c>
      <c r="C26822">
        <v>6454</v>
      </c>
      <c r="D26822" t="str">
        <f>"0124097018  "</f>
        <v xml:space="preserve">0124097018  </v>
      </c>
      <c r="E26822" t="s">
        <v>292</v>
      </c>
      <c r="F26822" t="s">
        <v>294</v>
      </c>
      <c r="G26822">
        <v>155.87</v>
      </c>
      <c r="H26822">
        <v>250422</v>
      </c>
      <c r="I26822">
        <v>4600</v>
      </c>
      <c r="J26822" t="s">
        <v>278</v>
      </c>
      <c r="K26822">
        <v>155.87</v>
      </c>
      <c r="L26822">
        <v>31.67</v>
      </c>
      <c r="M26822">
        <v>17638</v>
      </c>
      <c r="N26822" t="s">
        <v>1182</v>
      </c>
      <c r="O26822">
        <v>250513</v>
      </c>
      <c r="P26822">
        <v>124.2</v>
      </c>
    </row>
    <row r="26823" spans="1:16" x14ac:dyDescent="0.25">
      <c r="A26823" t="s">
        <v>3296</v>
      </c>
      <c r="B26823" t="s">
        <v>2931</v>
      </c>
      <c r="C26823">
        <v>6474</v>
      </c>
      <c r="D26823" t="str">
        <f>"0124105850  "</f>
        <v xml:space="preserve">0124105850  </v>
      </c>
      <c r="E26823" t="s">
        <v>292</v>
      </c>
      <c r="F26823" t="s">
        <v>294</v>
      </c>
      <c r="G26823">
        <v>81.89</v>
      </c>
      <c r="H26823">
        <v>250424</v>
      </c>
      <c r="I26823">
        <v>4600</v>
      </c>
      <c r="J26823" t="s">
        <v>278</v>
      </c>
      <c r="K26823">
        <v>81.89</v>
      </c>
      <c r="L26823">
        <v>16.64</v>
      </c>
      <c r="M26823">
        <v>46554</v>
      </c>
      <c r="N26823" t="s">
        <v>102</v>
      </c>
      <c r="O26823">
        <v>250513</v>
      </c>
      <c r="P26823">
        <v>65.25</v>
      </c>
    </row>
    <row r="26824" spans="1:16" x14ac:dyDescent="0.25">
      <c r="A26824" t="s">
        <v>3296</v>
      </c>
      <c r="B26824" t="s">
        <v>2931</v>
      </c>
      <c r="C26824">
        <v>6484</v>
      </c>
      <c r="D26824" t="str">
        <f>"0124132510  "</f>
        <v xml:space="preserve">0124132510  </v>
      </c>
      <c r="E26824" t="s">
        <v>292</v>
      </c>
      <c r="F26824" t="s">
        <v>294</v>
      </c>
      <c r="G26824">
        <v>761.64</v>
      </c>
      <c r="H26824">
        <v>250430</v>
      </c>
      <c r="I26824">
        <v>4600</v>
      </c>
      <c r="J26824" t="s">
        <v>278</v>
      </c>
      <c r="K26824">
        <v>761.64</v>
      </c>
      <c r="L26824">
        <v>154.76</v>
      </c>
      <c r="M26824">
        <v>51151</v>
      </c>
      <c r="N26824" t="s">
        <v>221</v>
      </c>
      <c r="O26824">
        <v>250513</v>
      </c>
      <c r="P26824">
        <v>606.88</v>
      </c>
    </row>
    <row r="26825" spans="1:16" x14ac:dyDescent="0.25">
      <c r="A26825" t="s">
        <v>3296</v>
      </c>
      <c r="B26825" t="s">
        <v>2931</v>
      </c>
      <c r="C26825">
        <v>6529</v>
      </c>
      <c r="D26825" t="str">
        <f>"0124147106  "</f>
        <v xml:space="preserve">0124147106  </v>
      </c>
      <c r="E26825" t="s">
        <v>292</v>
      </c>
      <c r="F26825" t="s">
        <v>294</v>
      </c>
      <c r="G26825">
        <v>46.03</v>
      </c>
      <c r="H26825">
        <v>250430</v>
      </c>
      <c r="I26825">
        <v>4600</v>
      </c>
      <c r="J26825" t="s">
        <v>278</v>
      </c>
      <c r="K26825">
        <v>46.03</v>
      </c>
      <c r="L26825">
        <v>9.35</v>
      </c>
      <c r="M26825">
        <v>46555</v>
      </c>
      <c r="N26825" t="s">
        <v>103</v>
      </c>
      <c r="O26825">
        <v>250513</v>
      </c>
      <c r="P26825">
        <v>36.68</v>
      </c>
    </row>
    <row r="26826" spans="1:16" x14ac:dyDescent="0.25">
      <c r="A26826" t="s">
        <v>3296</v>
      </c>
      <c r="B26826" t="s">
        <v>2931</v>
      </c>
      <c r="C26826">
        <v>6539</v>
      </c>
      <c r="D26826" t="str">
        <f>"0124111383  "</f>
        <v xml:space="preserve">0124111383  </v>
      </c>
      <c r="E26826" t="s">
        <v>292</v>
      </c>
      <c r="F26826" t="s">
        <v>294</v>
      </c>
      <c r="G26826">
        <v>233.53</v>
      </c>
      <c r="H26826">
        <v>250425</v>
      </c>
      <c r="I26826">
        <v>4600</v>
      </c>
      <c r="J26826" t="s">
        <v>278</v>
      </c>
      <c r="K26826">
        <v>233.53</v>
      </c>
      <c r="L26826">
        <v>47.45</v>
      </c>
      <c r="M26826">
        <v>17523</v>
      </c>
      <c r="N26826" t="s">
        <v>138</v>
      </c>
      <c r="O26826">
        <v>250513</v>
      </c>
      <c r="P26826">
        <v>186.08</v>
      </c>
    </row>
    <row r="26827" spans="1:16" x14ac:dyDescent="0.25">
      <c r="A26827" t="s">
        <v>3296</v>
      </c>
      <c r="B26827" t="s">
        <v>2931</v>
      </c>
      <c r="C26827">
        <v>6579</v>
      </c>
      <c r="D26827" t="str">
        <f>"0124132509  "</f>
        <v xml:space="preserve">0124132509  </v>
      </c>
      <c r="E26827" t="s">
        <v>292</v>
      </c>
      <c r="F26827" t="s">
        <v>294</v>
      </c>
      <c r="G26827">
        <v>325.58999999999997</v>
      </c>
      <c r="H26827">
        <v>250430</v>
      </c>
      <c r="I26827">
        <v>4600</v>
      </c>
      <c r="J26827" t="s">
        <v>278</v>
      </c>
      <c r="K26827">
        <v>449.83</v>
      </c>
      <c r="L26827">
        <v>66.16</v>
      </c>
      <c r="M26827">
        <v>56568</v>
      </c>
      <c r="N26827" t="s">
        <v>354</v>
      </c>
      <c r="O26827">
        <v>250514</v>
      </c>
      <c r="P26827">
        <v>259.43</v>
      </c>
    </row>
    <row r="26828" spans="1:16" x14ac:dyDescent="0.25">
      <c r="A26828" t="s">
        <v>3296</v>
      </c>
      <c r="B26828" t="s">
        <v>2931</v>
      </c>
      <c r="C26828">
        <v>6583</v>
      </c>
      <c r="D26828" t="str">
        <f>"0124114019  "</f>
        <v xml:space="preserve">0124114019  </v>
      </c>
      <c r="E26828" t="s">
        <v>292</v>
      </c>
      <c r="F26828" t="s">
        <v>294</v>
      </c>
      <c r="G26828">
        <v>48.95</v>
      </c>
      <c r="H26828">
        <v>250428</v>
      </c>
      <c r="I26828">
        <v>4600</v>
      </c>
      <c r="J26828" t="s">
        <v>278</v>
      </c>
      <c r="K26828">
        <v>48.95</v>
      </c>
      <c r="L26828">
        <v>9.9499999999999993</v>
      </c>
      <c r="M26828">
        <v>46555</v>
      </c>
      <c r="N26828" t="s">
        <v>103</v>
      </c>
      <c r="O26828">
        <v>250514</v>
      </c>
      <c r="P26828">
        <v>39</v>
      </c>
    </row>
    <row r="26829" spans="1:16" x14ac:dyDescent="0.25">
      <c r="A26829" t="s">
        <v>3296</v>
      </c>
      <c r="B26829" t="s">
        <v>2931</v>
      </c>
      <c r="C26829">
        <v>6587</v>
      </c>
      <c r="D26829" t="str">
        <f>"0124121643  "</f>
        <v xml:space="preserve">0124121643  </v>
      </c>
      <c r="E26829" t="s">
        <v>292</v>
      </c>
      <c r="F26829" t="s">
        <v>294</v>
      </c>
      <c r="G26829">
        <v>72.92</v>
      </c>
      <c r="H26829">
        <v>250429</v>
      </c>
      <c r="I26829">
        <v>4600</v>
      </c>
      <c r="J26829" t="s">
        <v>278</v>
      </c>
      <c r="K26829">
        <v>72.92</v>
      </c>
      <c r="L26829">
        <v>14.82</v>
      </c>
      <c r="M26829">
        <v>46555</v>
      </c>
      <c r="N26829" t="s">
        <v>103</v>
      </c>
      <c r="O26829">
        <v>250514</v>
      </c>
      <c r="P26829">
        <v>58.1</v>
      </c>
    </row>
    <row r="26830" spans="1:16" x14ac:dyDescent="0.25">
      <c r="A26830" t="s">
        <v>3296</v>
      </c>
      <c r="B26830" t="s">
        <v>2931</v>
      </c>
      <c r="C26830">
        <v>6589</v>
      </c>
      <c r="D26830" t="str">
        <f>"0124132508  "</f>
        <v xml:space="preserve">0124132508  </v>
      </c>
      <c r="E26830" t="s">
        <v>292</v>
      </c>
      <c r="F26830" t="s">
        <v>294</v>
      </c>
      <c r="G26830">
        <v>108.48</v>
      </c>
      <c r="H26830">
        <v>250430</v>
      </c>
      <c r="I26830">
        <v>4600</v>
      </c>
      <c r="J26830" t="s">
        <v>278</v>
      </c>
      <c r="K26830">
        <v>108.48</v>
      </c>
      <c r="L26830">
        <v>22.04</v>
      </c>
      <c r="M26830">
        <v>56565</v>
      </c>
      <c r="N26830" t="s">
        <v>57</v>
      </c>
      <c r="O26830">
        <v>250514</v>
      </c>
      <c r="P26830">
        <v>86.44</v>
      </c>
    </row>
    <row r="26831" spans="1:16" x14ac:dyDescent="0.25">
      <c r="A26831" t="s">
        <v>3296</v>
      </c>
      <c r="B26831" t="s">
        <v>2931</v>
      </c>
      <c r="C26831">
        <v>6613</v>
      </c>
      <c r="D26831" t="str">
        <f>"0124132507  "</f>
        <v xml:space="preserve">0124132507  </v>
      </c>
      <c r="E26831" t="s">
        <v>292</v>
      </c>
      <c r="F26831" t="s">
        <v>294</v>
      </c>
      <c r="G26831">
        <v>322.66000000000003</v>
      </c>
      <c r="H26831">
        <v>250430</v>
      </c>
      <c r="I26831">
        <v>4600</v>
      </c>
      <c r="J26831" t="s">
        <v>278</v>
      </c>
      <c r="K26831">
        <v>322.66000000000003</v>
      </c>
      <c r="L26831">
        <v>65.56</v>
      </c>
      <c r="M26831">
        <v>56528</v>
      </c>
      <c r="N26831" t="s">
        <v>70</v>
      </c>
      <c r="O26831">
        <v>250514</v>
      </c>
      <c r="P26831">
        <v>257.10000000000002</v>
      </c>
    </row>
    <row r="26832" spans="1:16" x14ac:dyDescent="0.25">
      <c r="A26832" t="s">
        <v>3296</v>
      </c>
      <c r="B26832" t="s">
        <v>2931</v>
      </c>
      <c r="C26832">
        <v>6716</v>
      </c>
      <c r="D26832" t="str">
        <f>"0124083522  "</f>
        <v xml:space="preserve">0124083522  </v>
      </c>
      <c r="E26832" t="s">
        <v>292</v>
      </c>
      <c r="F26832" t="s">
        <v>294</v>
      </c>
      <c r="G26832">
        <v>7.53</v>
      </c>
      <c r="H26832">
        <v>250416</v>
      </c>
      <c r="I26832">
        <v>4600</v>
      </c>
      <c r="J26832" t="s">
        <v>278</v>
      </c>
      <c r="K26832">
        <v>7.53</v>
      </c>
      <c r="L26832">
        <v>1.53</v>
      </c>
      <c r="M26832">
        <v>17802</v>
      </c>
      <c r="N26832" t="s">
        <v>18</v>
      </c>
      <c r="O26832">
        <v>250516</v>
      </c>
      <c r="P26832">
        <v>6</v>
      </c>
    </row>
    <row r="26833" spans="1:16" x14ac:dyDescent="0.25">
      <c r="A26833" t="s">
        <v>3296</v>
      </c>
      <c r="B26833" t="s">
        <v>2931</v>
      </c>
      <c r="C26833">
        <v>6717</v>
      </c>
      <c r="D26833" t="str">
        <f>"0124089367  "</f>
        <v xml:space="preserve">0124089367  </v>
      </c>
      <c r="E26833" t="s">
        <v>292</v>
      </c>
      <c r="F26833" t="s">
        <v>294</v>
      </c>
      <c r="G26833">
        <v>207.12</v>
      </c>
      <c r="H26833">
        <v>250417</v>
      </c>
      <c r="I26833">
        <v>4600</v>
      </c>
      <c r="J26833" t="s">
        <v>278</v>
      </c>
      <c r="K26833">
        <v>207.12</v>
      </c>
      <c r="L26833">
        <v>42.08</v>
      </c>
      <c r="M26833">
        <v>17802</v>
      </c>
      <c r="N26833" t="s">
        <v>18</v>
      </c>
      <c r="O26833">
        <v>250516</v>
      </c>
      <c r="P26833">
        <v>165.04</v>
      </c>
    </row>
    <row r="26834" spans="1:16" x14ac:dyDescent="0.25">
      <c r="A26834" t="s">
        <v>3296</v>
      </c>
      <c r="B26834" t="s">
        <v>2931</v>
      </c>
      <c r="C26834">
        <v>6721</v>
      </c>
      <c r="D26834" t="str">
        <f>"0124094116  "</f>
        <v xml:space="preserve">0124094116  </v>
      </c>
      <c r="E26834" t="s">
        <v>292</v>
      </c>
      <c r="F26834" t="s">
        <v>294</v>
      </c>
      <c r="G26834">
        <v>46.2</v>
      </c>
      <c r="H26834">
        <v>250422</v>
      </c>
      <c r="I26834">
        <v>4600</v>
      </c>
      <c r="J26834" t="s">
        <v>278</v>
      </c>
      <c r="K26834">
        <v>46.2</v>
      </c>
      <c r="L26834">
        <v>9.39</v>
      </c>
      <c r="M26834">
        <v>17802</v>
      </c>
      <c r="N26834" t="s">
        <v>18</v>
      </c>
      <c r="O26834">
        <v>250516</v>
      </c>
      <c r="P26834">
        <v>36.81</v>
      </c>
    </row>
    <row r="26835" spans="1:16" x14ac:dyDescent="0.25">
      <c r="A26835" t="s">
        <v>3296</v>
      </c>
      <c r="B26835" t="s">
        <v>2931</v>
      </c>
      <c r="C26835">
        <v>6728</v>
      </c>
      <c r="D26835" t="str">
        <f>"0124118212  "</f>
        <v xml:space="preserve">0124118212  </v>
      </c>
      <c r="E26835" t="s">
        <v>292</v>
      </c>
      <c r="F26835" t="s">
        <v>294</v>
      </c>
      <c r="G26835">
        <v>62.6</v>
      </c>
      <c r="H26835">
        <v>250429</v>
      </c>
      <c r="I26835">
        <v>4600</v>
      </c>
      <c r="J26835" t="s">
        <v>278</v>
      </c>
      <c r="K26835">
        <v>62.6</v>
      </c>
      <c r="L26835">
        <v>12.72</v>
      </c>
      <c r="M26835">
        <v>17802</v>
      </c>
      <c r="N26835" t="s">
        <v>18</v>
      </c>
      <c r="O26835">
        <v>250516</v>
      </c>
      <c r="P26835">
        <v>49.88</v>
      </c>
    </row>
    <row r="26836" spans="1:16" x14ac:dyDescent="0.25">
      <c r="A26836" t="s">
        <v>3296</v>
      </c>
      <c r="B26836" t="s">
        <v>2931</v>
      </c>
      <c r="C26836">
        <v>6843</v>
      </c>
      <c r="D26836" t="str">
        <f>"0124162565  "</f>
        <v xml:space="preserve">0124162565  </v>
      </c>
      <c r="E26836" t="s">
        <v>292</v>
      </c>
      <c r="F26836" t="s">
        <v>294</v>
      </c>
      <c r="G26836">
        <v>8.66</v>
      </c>
      <c r="H26836">
        <v>250507</v>
      </c>
      <c r="I26836">
        <v>4600</v>
      </c>
      <c r="J26836" t="s">
        <v>278</v>
      </c>
      <c r="K26836">
        <v>85.21</v>
      </c>
      <c r="L26836">
        <v>1.76</v>
      </c>
      <c r="M26836">
        <v>17527</v>
      </c>
      <c r="N26836" t="s">
        <v>142</v>
      </c>
      <c r="O26836">
        <v>250519</v>
      </c>
      <c r="P26836">
        <v>6.9</v>
      </c>
    </row>
    <row r="26837" spans="1:16" x14ac:dyDescent="0.25">
      <c r="A26837" t="s">
        <v>3296</v>
      </c>
      <c r="B26837" t="s">
        <v>2931</v>
      </c>
      <c r="C26837">
        <v>7242</v>
      </c>
      <c r="D26837" t="str">
        <f>"0124150748  "</f>
        <v xml:space="preserve">0124150748  </v>
      </c>
      <c r="E26837" t="s">
        <v>292</v>
      </c>
      <c r="F26837" t="s">
        <v>294</v>
      </c>
      <c r="G26837">
        <v>87.67</v>
      </c>
      <c r="H26837">
        <v>250502</v>
      </c>
      <c r="I26837">
        <v>4600</v>
      </c>
      <c r="J26837" t="s">
        <v>278</v>
      </c>
      <c r="K26837">
        <v>87.67</v>
      </c>
      <c r="L26837">
        <v>17.809999999999999</v>
      </c>
      <c r="M26837">
        <v>17802</v>
      </c>
      <c r="N26837" t="s">
        <v>18</v>
      </c>
      <c r="O26837">
        <v>250527</v>
      </c>
      <c r="P26837">
        <v>69.86</v>
      </c>
    </row>
    <row r="26838" spans="1:16" x14ac:dyDescent="0.25">
      <c r="A26838" t="s">
        <v>3296</v>
      </c>
      <c r="B26838" t="s">
        <v>2931</v>
      </c>
      <c r="C26838">
        <v>7432</v>
      </c>
      <c r="D26838" t="str">
        <f>"0124160766  "</f>
        <v xml:space="preserve">0124160766  </v>
      </c>
      <c r="E26838" t="s">
        <v>292</v>
      </c>
      <c r="F26838" t="s">
        <v>294</v>
      </c>
      <c r="G26838">
        <v>259.79000000000002</v>
      </c>
      <c r="H26838">
        <v>250507</v>
      </c>
      <c r="I26838">
        <v>4600</v>
      </c>
      <c r="J26838" t="s">
        <v>278</v>
      </c>
      <c r="K26838">
        <v>259.79000000000002</v>
      </c>
      <c r="L26838">
        <v>52.79</v>
      </c>
      <c r="M26838">
        <v>46557</v>
      </c>
      <c r="N26838" t="s">
        <v>104</v>
      </c>
      <c r="O26838">
        <v>250603</v>
      </c>
      <c r="P26838">
        <v>207</v>
      </c>
    </row>
    <row r="26839" spans="1:16" x14ac:dyDescent="0.25">
      <c r="A26839" t="s">
        <v>3296</v>
      </c>
      <c r="B26839" t="s">
        <v>2931</v>
      </c>
      <c r="C26839">
        <v>7481</v>
      </c>
      <c r="D26839" t="str">
        <f>"0124160764  "</f>
        <v xml:space="preserve">0124160764  </v>
      </c>
      <c r="E26839" t="s">
        <v>292</v>
      </c>
      <c r="F26839" t="s">
        <v>294</v>
      </c>
      <c r="G26839">
        <v>26.07</v>
      </c>
      <c r="H26839">
        <v>250507</v>
      </c>
      <c r="I26839">
        <v>4600</v>
      </c>
      <c r="J26839" t="s">
        <v>278</v>
      </c>
      <c r="K26839">
        <v>26.07</v>
      </c>
      <c r="L26839">
        <v>5.3</v>
      </c>
      <c r="M26839">
        <v>46557</v>
      </c>
      <c r="N26839" t="s">
        <v>104</v>
      </c>
      <c r="O26839">
        <v>250604</v>
      </c>
      <c r="P26839">
        <v>20.77</v>
      </c>
    </row>
    <row r="26840" spans="1:16" x14ac:dyDescent="0.25">
      <c r="A26840" t="s">
        <v>3296</v>
      </c>
      <c r="B26840" t="s">
        <v>2931</v>
      </c>
      <c r="C26840">
        <v>7490</v>
      </c>
      <c r="D26840" t="str">
        <f>"0124160765  "</f>
        <v xml:space="preserve">0124160765  </v>
      </c>
      <c r="E26840" t="s">
        <v>292</v>
      </c>
      <c r="F26840" t="s">
        <v>294</v>
      </c>
      <c r="G26840">
        <v>50.75</v>
      </c>
      <c r="H26840">
        <v>250507</v>
      </c>
      <c r="I26840">
        <v>4600</v>
      </c>
      <c r="J26840" t="s">
        <v>278</v>
      </c>
      <c r="K26840">
        <v>50.75</v>
      </c>
      <c r="L26840">
        <v>10.31</v>
      </c>
      <c r="M26840">
        <v>47522</v>
      </c>
      <c r="N26840" t="s">
        <v>106</v>
      </c>
      <c r="O26840">
        <v>250604</v>
      </c>
      <c r="P26840">
        <v>40.44</v>
      </c>
    </row>
    <row r="26841" spans="1:16" x14ac:dyDescent="0.25">
      <c r="A26841" t="s">
        <v>3296</v>
      </c>
      <c r="B26841" t="s">
        <v>2931</v>
      </c>
      <c r="C26841">
        <v>7494</v>
      </c>
      <c r="D26841" t="str">
        <f>"0124165118  "</f>
        <v xml:space="preserve">0124165118  </v>
      </c>
      <c r="E26841" t="s">
        <v>292</v>
      </c>
      <c r="F26841" t="s">
        <v>294</v>
      </c>
      <c r="G26841">
        <v>174.27</v>
      </c>
      <c r="H26841">
        <v>250508</v>
      </c>
      <c r="I26841">
        <v>4600</v>
      </c>
      <c r="J26841" t="s">
        <v>278</v>
      </c>
      <c r="K26841">
        <v>174.27</v>
      </c>
      <c r="L26841">
        <v>35.409999999999997</v>
      </c>
      <c r="M26841">
        <v>17802</v>
      </c>
      <c r="N26841" t="s">
        <v>18</v>
      </c>
      <c r="O26841">
        <v>250604</v>
      </c>
      <c r="P26841">
        <v>138.86000000000001</v>
      </c>
    </row>
    <row r="26842" spans="1:16" x14ac:dyDescent="0.25">
      <c r="A26842" t="s">
        <v>3296</v>
      </c>
      <c r="B26842" t="s">
        <v>2931</v>
      </c>
      <c r="C26842">
        <v>7498</v>
      </c>
      <c r="D26842" t="str">
        <f>"0124166357  "</f>
        <v xml:space="preserve">0124166357  </v>
      </c>
      <c r="E26842" t="s">
        <v>292</v>
      </c>
      <c r="F26842" t="s">
        <v>294</v>
      </c>
      <c r="G26842">
        <v>38.85</v>
      </c>
      <c r="H26842">
        <v>250508</v>
      </c>
      <c r="I26842">
        <v>4600</v>
      </c>
      <c r="J26842" t="s">
        <v>278</v>
      </c>
      <c r="K26842">
        <v>38.85</v>
      </c>
      <c r="L26842">
        <v>7.89</v>
      </c>
      <c r="M26842">
        <v>46557</v>
      </c>
      <c r="N26842" t="s">
        <v>104</v>
      </c>
      <c r="O26842">
        <v>250604</v>
      </c>
      <c r="P26842">
        <v>30.96</v>
      </c>
    </row>
    <row r="26843" spans="1:16" x14ac:dyDescent="0.25">
      <c r="A26843" t="s">
        <v>3296</v>
      </c>
      <c r="B26843" t="s">
        <v>2931</v>
      </c>
      <c r="C26843">
        <v>7500</v>
      </c>
      <c r="D26843" t="str">
        <f>"0124166356  "</f>
        <v xml:space="preserve">0124166356  </v>
      </c>
      <c r="E26843" t="s">
        <v>292</v>
      </c>
      <c r="F26843" t="s">
        <v>294</v>
      </c>
      <c r="G26843">
        <v>13.65</v>
      </c>
      <c r="H26843">
        <v>250508</v>
      </c>
      <c r="I26843">
        <v>4600</v>
      </c>
      <c r="J26843" t="s">
        <v>278</v>
      </c>
      <c r="K26843">
        <v>13.65</v>
      </c>
      <c r="L26843">
        <v>2.77</v>
      </c>
      <c r="M26843">
        <v>47522</v>
      </c>
      <c r="N26843" t="s">
        <v>106</v>
      </c>
      <c r="O26843">
        <v>250604</v>
      </c>
      <c r="P26843">
        <v>10.88</v>
      </c>
    </row>
    <row r="26844" spans="1:16" x14ac:dyDescent="0.25">
      <c r="A26844" t="s">
        <v>3296</v>
      </c>
      <c r="B26844" t="s">
        <v>2931</v>
      </c>
      <c r="C26844">
        <v>7799</v>
      </c>
      <c r="D26844" t="str">
        <f>"0124183339  "</f>
        <v xml:space="preserve">0124183339  </v>
      </c>
      <c r="E26844" t="s">
        <v>292</v>
      </c>
      <c r="F26844" t="s">
        <v>294</v>
      </c>
      <c r="G26844">
        <v>12.19</v>
      </c>
      <c r="H26844">
        <v>250513</v>
      </c>
      <c r="I26844">
        <v>4600</v>
      </c>
      <c r="J26844" t="s">
        <v>278</v>
      </c>
      <c r="K26844">
        <v>69.38</v>
      </c>
      <c r="L26844">
        <v>2.48</v>
      </c>
      <c r="M26844">
        <v>17521</v>
      </c>
      <c r="N26844" t="s">
        <v>136</v>
      </c>
      <c r="O26844">
        <v>250609</v>
      </c>
      <c r="P26844">
        <v>9.7100000000000009</v>
      </c>
    </row>
    <row r="26845" spans="1:16" x14ac:dyDescent="0.25">
      <c r="A26845" t="s">
        <v>3296</v>
      </c>
      <c r="B26845" t="s">
        <v>2931</v>
      </c>
      <c r="C26845">
        <v>7799</v>
      </c>
      <c r="D26845" t="str">
        <f>"0124183339  "</f>
        <v xml:space="preserve">0124183339  </v>
      </c>
      <c r="E26845" t="s">
        <v>292</v>
      </c>
      <c r="F26845" t="s">
        <v>294</v>
      </c>
      <c r="G26845">
        <v>57.19</v>
      </c>
      <c r="H26845">
        <v>250513</v>
      </c>
      <c r="I26845">
        <v>4600</v>
      </c>
      <c r="J26845" t="s">
        <v>278</v>
      </c>
      <c r="K26845">
        <v>69.38</v>
      </c>
      <c r="L26845">
        <v>11.62</v>
      </c>
      <c r="M26845">
        <v>17529</v>
      </c>
      <c r="N26845" t="s">
        <v>143</v>
      </c>
      <c r="O26845">
        <v>250609</v>
      </c>
      <c r="P26845">
        <v>45.57</v>
      </c>
    </row>
    <row r="26846" spans="1:16" x14ac:dyDescent="0.25">
      <c r="A26846" t="s">
        <v>3296</v>
      </c>
      <c r="B26846" t="s">
        <v>2931</v>
      </c>
      <c r="C26846">
        <v>7820</v>
      </c>
      <c r="D26846" t="str">
        <f>"0124183900  "</f>
        <v xml:space="preserve">0124183900  </v>
      </c>
      <c r="E26846" t="s">
        <v>292</v>
      </c>
      <c r="F26846" t="s">
        <v>294</v>
      </c>
      <c r="G26846">
        <v>174.92</v>
      </c>
      <c r="H26846">
        <v>250513</v>
      </c>
      <c r="I26846">
        <v>4600</v>
      </c>
      <c r="J26846" t="s">
        <v>278</v>
      </c>
      <c r="K26846">
        <v>272.89999999999998</v>
      </c>
      <c r="L26846">
        <v>35.54</v>
      </c>
      <c r="M26846">
        <v>46554</v>
      </c>
      <c r="N26846" t="s">
        <v>102</v>
      </c>
      <c r="O26846">
        <v>250609</v>
      </c>
      <c r="P26846">
        <v>139.38</v>
      </c>
    </row>
    <row r="26847" spans="1:16" x14ac:dyDescent="0.25">
      <c r="A26847" t="s">
        <v>3296</v>
      </c>
      <c r="B26847" t="s">
        <v>2931</v>
      </c>
      <c r="C26847">
        <v>7934</v>
      </c>
      <c r="D26847" t="str">
        <f>"0124200188  "</f>
        <v xml:space="preserve">0124200188  </v>
      </c>
      <c r="E26847" t="s">
        <v>292</v>
      </c>
      <c r="F26847" t="s">
        <v>294</v>
      </c>
      <c r="G26847">
        <v>1319.76</v>
      </c>
      <c r="H26847">
        <v>250515</v>
      </c>
      <c r="I26847">
        <v>4600</v>
      </c>
      <c r="J26847" t="s">
        <v>278</v>
      </c>
      <c r="K26847">
        <v>1319.76</v>
      </c>
      <c r="L26847">
        <v>268.16000000000003</v>
      </c>
      <c r="M26847">
        <v>46554</v>
      </c>
      <c r="N26847" t="s">
        <v>102</v>
      </c>
      <c r="O26847">
        <v>250610</v>
      </c>
      <c r="P26847">
        <v>1051.5999999999999</v>
      </c>
    </row>
    <row r="26848" spans="1:16" x14ac:dyDescent="0.25">
      <c r="A26848" t="s">
        <v>3296</v>
      </c>
      <c r="B26848" t="s">
        <v>2931</v>
      </c>
      <c r="C26848">
        <v>7939</v>
      </c>
      <c r="D26848" t="str">
        <f>"0124194837  "</f>
        <v xml:space="preserve">0124194837  </v>
      </c>
      <c r="E26848" t="s">
        <v>292</v>
      </c>
      <c r="F26848" t="s">
        <v>294</v>
      </c>
      <c r="G26848">
        <v>513.65</v>
      </c>
      <c r="H26848">
        <v>250515</v>
      </c>
      <c r="I26848">
        <v>4600</v>
      </c>
      <c r="J26848" t="s">
        <v>278</v>
      </c>
      <c r="K26848">
        <v>513.65</v>
      </c>
      <c r="L26848">
        <v>104.37</v>
      </c>
      <c r="M26848">
        <v>56565</v>
      </c>
      <c r="N26848" t="s">
        <v>57</v>
      </c>
      <c r="O26848">
        <v>250610</v>
      </c>
      <c r="P26848">
        <v>409.28</v>
      </c>
    </row>
    <row r="26849" spans="1:16" x14ac:dyDescent="0.25">
      <c r="A26849" t="s">
        <v>3296</v>
      </c>
      <c r="B26849" t="s">
        <v>2931</v>
      </c>
      <c r="C26849">
        <v>7987</v>
      </c>
      <c r="D26849" t="str">
        <f>"0124195267  "</f>
        <v xml:space="preserve">0124195267  </v>
      </c>
      <c r="E26849" t="s">
        <v>292</v>
      </c>
      <c r="F26849" t="s">
        <v>294</v>
      </c>
      <c r="G26849">
        <v>73.05</v>
      </c>
      <c r="H26849">
        <v>250515</v>
      </c>
      <c r="I26849">
        <v>4600</v>
      </c>
      <c r="J26849" t="s">
        <v>278</v>
      </c>
      <c r="K26849">
        <v>73.05</v>
      </c>
      <c r="L26849">
        <v>14.84</v>
      </c>
      <c r="M26849">
        <v>17807</v>
      </c>
      <c r="N26849" t="s">
        <v>23</v>
      </c>
      <c r="O26849">
        <v>250610</v>
      </c>
      <c r="P26849">
        <v>58.21</v>
      </c>
    </row>
    <row r="26850" spans="1:16" x14ac:dyDescent="0.25">
      <c r="A26850" t="s">
        <v>3296</v>
      </c>
      <c r="B26850" t="s">
        <v>2931</v>
      </c>
      <c r="C26850">
        <v>7994</v>
      </c>
      <c r="D26850" t="str">
        <f>"0124194838  "</f>
        <v xml:space="preserve">0124194838  </v>
      </c>
      <c r="E26850" t="s">
        <v>292</v>
      </c>
      <c r="F26850" t="s">
        <v>294</v>
      </c>
      <c r="G26850">
        <v>705.01</v>
      </c>
      <c r="H26850">
        <v>250515</v>
      </c>
      <c r="I26850">
        <v>4600</v>
      </c>
      <c r="J26850" t="s">
        <v>278</v>
      </c>
      <c r="K26850">
        <v>705.01</v>
      </c>
      <c r="L26850">
        <v>143.25</v>
      </c>
      <c r="M26850">
        <v>56568</v>
      </c>
      <c r="N26850" t="s">
        <v>354</v>
      </c>
      <c r="O26850">
        <v>250610</v>
      </c>
      <c r="P26850">
        <v>561.76</v>
      </c>
    </row>
    <row r="26851" spans="1:16" x14ac:dyDescent="0.25">
      <c r="A26851" t="s">
        <v>3296</v>
      </c>
      <c r="B26851" t="s">
        <v>2931</v>
      </c>
      <c r="C26851">
        <v>8226</v>
      </c>
      <c r="D26851" t="str">
        <f>"0124186625  "</f>
        <v xml:space="preserve">0124186625  </v>
      </c>
      <c r="E26851" t="s">
        <v>292</v>
      </c>
      <c r="F26851" t="s">
        <v>294</v>
      </c>
      <c r="G26851">
        <v>1864.6</v>
      </c>
      <c r="H26851">
        <v>250514</v>
      </c>
      <c r="I26851">
        <v>4600</v>
      </c>
      <c r="J26851" t="s">
        <v>278</v>
      </c>
      <c r="K26851">
        <v>1864.6</v>
      </c>
      <c r="L26851">
        <v>378.86</v>
      </c>
      <c r="M26851">
        <v>46554</v>
      </c>
      <c r="N26851" t="s">
        <v>102</v>
      </c>
      <c r="O26851">
        <v>250612</v>
      </c>
      <c r="P26851">
        <v>1485.74</v>
      </c>
    </row>
    <row r="26852" spans="1:16" x14ac:dyDescent="0.25">
      <c r="A26852" t="s">
        <v>3296</v>
      </c>
      <c r="B26852" t="s">
        <v>2931</v>
      </c>
      <c r="C26852">
        <v>8249</v>
      </c>
      <c r="D26852" t="str">
        <f>"0124208849  "</f>
        <v xml:space="preserve">0124208849  </v>
      </c>
      <c r="E26852" t="s">
        <v>292</v>
      </c>
      <c r="F26852" t="s">
        <v>294</v>
      </c>
      <c r="G26852">
        <v>81.400000000000006</v>
      </c>
      <c r="H26852">
        <v>250519</v>
      </c>
      <c r="I26852">
        <v>4600</v>
      </c>
      <c r="J26852" t="s">
        <v>278</v>
      </c>
      <c r="K26852">
        <v>143.19999999999999</v>
      </c>
      <c r="L26852">
        <v>16.54</v>
      </c>
      <c r="M26852">
        <v>17711</v>
      </c>
      <c r="N26852" t="s">
        <v>155</v>
      </c>
      <c r="O26852">
        <v>250612</v>
      </c>
      <c r="P26852">
        <v>64.86</v>
      </c>
    </row>
    <row r="26853" spans="1:16" x14ac:dyDescent="0.25">
      <c r="A26853" t="s">
        <v>3296</v>
      </c>
      <c r="B26853" t="s">
        <v>2931</v>
      </c>
      <c r="C26853">
        <v>8375</v>
      </c>
      <c r="D26853" t="str">
        <f>"0124221067  "</f>
        <v xml:space="preserve">0124221067  </v>
      </c>
      <c r="E26853" t="s">
        <v>292</v>
      </c>
      <c r="F26853" t="s">
        <v>294</v>
      </c>
      <c r="G26853">
        <v>1170.0999999999999</v>
      </c>
      <c r="H26853">
        <v>250521</v>
      </c>
      <c r="I26853">
        <v>4600</v>
      </c>
      <c r="J26853" t="s">
        <v>278</v>
      </c>
      <c r="K26853">
        <v>1170.0999999999999</v>
      </c>
      <c r="L26853">
        <v>237.75</v>
      </c>
      <c r="M26853">
        <v>46554</v>
      </c>
      <c r="N26853" t="s">
        <v>102</v>
      </c>
      <c r="O26853">
        <v>250613</v>
      </c>
      <c r="P26853">
        <v>932.35</v>
      </c>
    </row>
    <row r="26854" spans="1:16" x14ac:dyDescent="0.25">
      <c r="A26854" t="s">
        <v>3296</v>
      </c>
      <c r="B26854" t="s">
        <v>2931</v>
      </c>
      <c r="C26854">
        <v>8408</v>
      </c>
      <c r="D26854" t="str">
        <f>"0124221561  "</f>
        <v xml:space="preserve">0124221561  </v>
      </c>
      <c r="E26854" t="s">
        <v>292</v>
      </c>
      <c r="F26854" t="s">
        <v>294</v>
      </c>
      <c r="G26854">
        <v>187.96</v>
      </c>
      <c r="H26854">
        <v>250522</v>
      </c>
      <c r="I26854">
        <v>4600</v>
      </c>
      <c r="J26854" t="s">
        <v>278</v>
      </c>
      <c r="K26854">
        <v>187.96</v>
      </c>
      <c r="L26854">
        <v>38.19</v>
      </c>
      <c r="M26854">
        <v>46554</v>
      </c>
      <c r="N26854" t="s">
        <v>102</v>
      </c>
      <c r="O26854">
        <v>250613</v>
      </c>
      <c r="P26854">
        <v>149.77000000000001</v>
      </c>
    </row>
    <row r="26855" spans="1:16" x14ac:dyDescent="0.25">
      <c r="A26855" t="s">
        <v>3296</v>
      </c>
      <c r="B26855" t="s">
        <v>2931</v>
      </c>
      <c r="C26855">
        <v>8422</v>
      </c>
      <c r="D26855" t="str">
        <f>"0124221562  "</f>
        <v xml:space="preserve">0124221562  </v>
      </c>
      <c r="E26855" t="s">
        <v>292</v>
      </c>
      <c r="F26855" t="s">
        <v>294</v>
      </c>
      <c r="G26855">
        <v>34.04</v>
      </c>
      <c r="H26855">
        <v>250522</v>
      </c>
      <c r="I26855">
        <v>4600</v>
      </c>
      <c r="J26855" t="s">
        <v>278</v>
      </c>
      <c r="K26855">
        <v>34.04</v>
      </c>
      <c r="L26855">
        <v>6.92</v>
      </c>
      <c r="M26855">
        <v>46557</v>
      </c>
      <c r="N26855" t="s">
        <v>104</v>
      </c>
      <c r="O26855">
        <v>250613</v>
      </c>
      <c r="P26855">
        <v>27.12</v>
      </c>
    </row>
    <row r="26856" spans="1:16" x14ac:dyDescent="0.25">
      <c r="A26856" t="s">
        <v>3296</v>
      </c>
      <c r="B26856" t="s">
        <v>2931</v>
      </c>
      <c r="C26856">
        <v>8431</v>
      </c>
      <c r="D26856" t="str">
        <f>"0124212330  "</f>
        <v xml:space="preserve">0124212330  </v>
      </c>
      <c r="E26856" t="s">
        <v>292</v>
      </c>
      <c r="F26856" t="s">
        <v>294</v>
      </c>
      <c r="G26856">
        <v>23.22</v>
      </c>
      <c r="H26856">
        <v>250520</v>
      </c>
      <c r="I26856">
        <v>4600</v>
      </c>
      <c r="J26856" t="s">
        <v>278</v>
      </c>
      <c r="K26856">
        <v>23.22</v>
      </c>
      <c r="L26856">
        <v>4.72</v>
      </c>
      <c r="M26856">
        <v>46554</v>
      </c>
      <c r="N26856" t="s">
        <v>102</v>
      </c>
      <c r="O26856">
        <v>250613</v>
      </c>
      <c r="P26856">
        <v>18.5</v>
      </c>
    </row>
    <row r="26857" spans="1:16" x14ac:dyDescent="0.25">
      <c r="A26857" t="s">
        <v>3296</v>
      </c>
      <c r="B26857" t="s">
        <v>2931</v>
      </c>
      <c r="C26857">
        <v>8433</v>
      </c>
      <c r="D26857" t="str">
        <f>"0124212332  "</f>
        <v xml:space="preserve">0124212332  </v>
      </c>
      <c r="E26857" t="s">
        <v>292</v>
      </c>
      <c r="F26857" t="s">
        <v>294</v>
      </c>
      <c r="G26857">
        <v>144.59</v>
      </c>
      <c r="H26857">
        <v>250520</v>
      </c>
      <c r="I26857">
        <v>4600</v>
      </c>
      <c r="J26857" t="s">
        <v>278</v>
      </c>
      <c r="K26857">
        <v>413.69</v>
      </c>
      <c r="L26857">
        <v>29.38</v>
      </c>
      <c r="M26857">
        <v>46556</v>
      </c>
      <c r="N26857" t="s">
        <v>458</v>
      </c>
      <c r="O26857">
        <v>250613</v>
      </c>
      <c r="P26857">
        <v>115.21</v>
      </c>
    </row>
    <row r="26858" spans="1:16" x14ac:dyDescent="0.25">
      <c r="A26858" t="s">
        <v>3296</v>
      </c>
      <c r="B26858" t="s">
        <v>2931</v>
      </c>
      <c r="C26858">
        <v>8433</v>
      </c>
      <c r="D26858" t="str">
        <f>"0124212332  "</f>
        <v xml:space="preserve">0124212332  </v>
      </c>
      <c r="E26858" t="s">
        <v>292</v>
      </c>
      <c r="F26858" t="s">
        <v>294</v>
      </c>
      <c r="G26858">
        <v>99</v>
      </c>
      <c r="H26858">
        <v>250520</v>
      </c>
      <c r="I26858">
        <v>4600</v>
      </c>
      <c r="J26858" t="s">
        <v>278</v>
      </c>
      <c r="K26858">
        <v>413.69</v>
      </c>
      <c r="L26858">
        <v>20.12</v>
      </c>
      <c r="M26858">
        <v>46557</v>
      </c>
      <c r="N26858" t="s">
        <v>104</v>
      </c>
      <c r="O26858">
        <v>250613</v>
      </c>
      <c r="P26858">
        <v>78.88</v>
      </c>
    </row>
    <row r="26859" spans="1:16" x14ac:dyDescent="0.25">
      <c r="A26859" t="s">
        <v>3296</v>
      </c>
      <c r="B26859" t="s">
        <v>2931</v>
      </c>
      <c r="C26859">
        <v>8437</v>
      </c>
      <c r="D26859" t="str">
        <f>"0124221485  "</f>
        <v xml:space="preserve">0124221485  </v>
      </c>
      <c r="E26859" t="s">
        <v>292</v>
      </c>
      <c r="F26859" t="s">
        <v>294</v>
      </c>
      <c r="G26859">
        <v>80.739999999999995</v>
      </c>
      <c r="H26859">
        <v>250522</v>
      </c>
      <c r="I26859">
        <v>4600</v>
      </c>
      <c r="J26859" t="s">
        <v>278</v>
      </c>
      <c r="K26859">
        <v>80.739999999999995</v>
      </c>
      <c r="L26859">
        <v>16.41</v>
      </c>
      <c r="M26859">
        <v>17802</v>
      </c>
      <c r="N26859" t="s">
        <v>18</v>
      </c>
      <c r="O26859">
        <v>250613</v>
      </c>
      <c r="P26859">
        <v>64.33</v>
      </c>
    </row>
    <row r="26860" spans="1:16" x14ac:dyDescent="0.25">
      <c r="A26860" t="s">
        <v>3296</v>
      </c>
      <c r="B26860" t="s">
        <v>2931</v>
      </c>
      <c r="C26860">
        <v>8439</v>
      </c>
      <c r="D26860" t="str">
        <f>"0124221486  "</f>
        <v xml:space="preserve">0124221486  </v>
      </c>
      <c r="E26860" t="s">
        <v>292</v>
      </c>
      <c r="F26860" t="s">
        <v>294</v>
      </c>
      <c r="G26860">
        <v>45.54</v>
      </c>
      <c r="H26860">
        <v>250522</v>
      </c>
      <c r="I26860">
        <v>4600</v>
      </c>
      <c r="J26860" t="s">
        <v>278</v>
      </c>
      <c r="K26860">
        <v>45.54</v>
      </c>
      <c r="L26860">
        <v>9.25</v>
      </c>
      <c r="M26860">
        <v>17803</v>
      </c>
      <c r="N26860" t="s">
        <v>19</v>
      </c>
      <c r="O26860">
        <v>250613</v>
      </c>
      <c r="P26860">
        <v>36.29</v>
      </c>
    </row>
    <row r="26861" spans="1:16" x14ac:dyDescent="0.25">
      <c r="A26861" t="s">
        <v>3296</v>
      </c>
      <c r="B26861" t="s">
        <v>2931</v>
      </c>
      <c r="C26861">
        <v>8580</v>
      </c>
      <c r="D26861" t="str">
        <f>"0124238246  "</f>
        <v xml:space="preserve">0124238246  </v>
      </c>
      <c r="E26861" t="s">
        <v>292</v>
      </c>
      <c r="F26861" t="s">
        <v>294</v>
      </c>
      <c r="G26861">
        <v>104.98</v>
      </c>
      <c r="H26861">
        <v>250526</v>
      </c>
      <c r="I26861">
        <v>4600</v>
      </c>
      <c r="J26861" t="s">
        <v>278</v>
      </c>
      <c r="K26861">
        <v>104.98</v>
      </c>
      <c r="L26861">
        <v>21.33</v>
      </c>
      <c r="M26861">
        <v>46554</v>
      </c>
      <c r="N26861" t="s">
        <v>102</v>
      </c>
      <c r="O26861">
        <v>250617</v>
      </c>
      <c r="P26861">
        <v>83.65</v>
      </c>
    </row>
    <row r="26862" spans="1:16" x14ac:dyDescent="0.25">
      <c r="A26862" t="s">
        <v>3296</v>
      </c>
      <c r="B26862" t="s">
        <v>2931</v>
      </c>
      <c r="C26862">
        <v>8593</v>
      </c>
      <c r="D26862" t="str">
        <f>"0124240852  "</f>
        <v xml:space="preserve">0124240852  </v>
      </c>
      <c r="E26862" t="s">
        <v>292</v>
      </c>
      <c r="F26862" t="s">
        <v>294</v>
      </c>
      <c r="G26862">
        <v>29.12</v>
      </c>
      <c r="H26862">
        <v>250527</v>
      </c>
      <c r="I26862">
        <v>4600</v>
      </c>
      <c r="J26862" t="s">
        <v>278</v>
      </c>
      <c r="K26862">
        <v>223.84</v>
      </c>
      <c r="L26862">
        <v>5.92</v>
      </c>
      <c r="M26862">
        <v>17633</v>
      </c>
      <c r="N26862" t="s">
        <v>628</v>
      </c>
      <c r="O26862">
        <v>250617</v>
      </c>
      <c r="P26862">
        <v>23.2</v>
      </c>
    </row>
    <row r="26863" spans="1:16" x14ac:dyDescent="0.25">
      <c r="A26863" t="s">
        <v>3296</v>
      </c>
      <c r="B26863" t="s">
        <v>2931</v>
      </c>
      <c r="C26863">
        <v>8686</v>
      </c>
      <c r="D26863" t="str">
        <f>"0124261844  "</f>
        <v xml:space="preserve">0124261844  </v>
      </c>
      <c r="E26863" t="s">
        <v>292</v>
      </c>
      <c r="F26863" t="s">
        <v>294</v>
      </c>
      <c r="G26863">
        <v>116.84</v>
      </c>
      <c r="H26863">
        <v>250530</v>
      </c>
      <c r="I26863">
        <v>4600</v>
      </c>
      <c r="J26863" t="s">
        <v>278</v>
      </c>
      <c r="K26863">
        <v>116.84</v>
      </c>
      <c r="L26863">
        <v>23.74</v>
      </c>
      <c r="M26863">
        <v>56558</v>
      </c>
      <c r="N26863" t="s">
        <v>50</v>
      </c>
      <c r="O26863">
        <v>250617</v>
      </c>
      <c r="P26863">
        <v>93.1</v>
      </c>
    </row>
    <row r="26864" spans="1:16" x14ac:dyDescent="0.25">
      <c r="A26864" t="s">
        <v>3296</v>
      </c>
      <c r="B26864" t="s">
        <v>2931</v>
      </c>
      <c r="C26864">
        <v>8688</v>
      </c>
      <c r="D26864" t="str">
        <f>"0124261841  "</f>
        <v xml:space="preserve">0124261841  </v>
      </c>
      <c r="E26864" t="s">
        <v>292</v>
      </c>
      <c r="F26864" t="s">
        <v>294</v>
      </c>
      <c r="G26864">
        <v>32.880000000000003</v>
      </c>
      <c r="H26864">
        <v>250530</v>
      </c>
      <c r="I26864">
        <v>4600</v>
      </c>
      <c r="J26864" t="s">
        <v>278</v>
      </c>
      <c r="K26864">
        <v>32.880000000000003</v>
      </c>
      <c r="L26864">
        <v>6.68</v>
      </c>
      <c r="M26864">
        <v>56558</v>
      </c>
      <c r="N26864" t="s">
        <v>50</v>
      </c>
      <c r="O26864">
        <v>250617</v>
      </c>
      <c r="P26864">
        <v>26.2</v>
      </c>
    </row>
    <row r="26865" spans="1:16" x14ac:dyDescent="0.25">
      <c r="A26865" t="s">
        <v>3296</v>
      </c>
      <c r="B26865" t="s">
        <v>2931</v>
      </c>
      <c r="C26865">
        <v>8689</v>
      </c>
      <c r="D26865" t="str">
        <f>"0124273585  "</f>
        <v xml:space="preserve">0124273585  </v>
      </c>
      <c r="E26865" t="s">
        <v>292</v>
      </c>
      <c r="F26865" t="s">
        <v>294</v>
      </c>
      <c r="G26865">
        <v>59.19</v>
      </c>
      <c r="H26865">
        <v>250530</v>
      </c>
      <c r="I26865">
        <v>4600</v>
      </c>
      <c r="J26865" t="s">
        <v>278</v>
      </c>
      <c r="K26865">
        <v>59.19</v>
      </c>
      <c r="L26865">
        <v>12.03</v>
      </c>
      <c r="M26865">
        <v>46554</v>
      </c>
      <c r="N26865" t="s">
        <v>102</v>
      </c>
      <c r="O26865">
        <v>250617</v>
      </c>
      <c r="P26865">
        <v>47.16</v>
      </c>
    </row>
    <row r="26866" spans="1:16" x14ac:dyDescent="0.25">
      <c r="A26866" t="s">
        <v>3296</v>
      </c>
      <c r="B26866" t="s">
        <v>2931</v>
      </c>
      <c r="C26866">
        <v>8693</v>
      </c>
      <c r="D26866" t="str">
        <f>"0124274630  "</f>
        <v xml:space="preserve">0124274630  </v>
      </c>
      <c r="E26866" t="s">
        <v>292</v>
      </c>
      <c r="F26866" t="s">
        <v>294</v>
      </c>
      <c r="G26866">
        <v>88.61</v>
      </c>
      <c r="H26866">
        <v>250530</v>
      </c>
      <c r="I26866">
        <v>4600</v>
      </c>
      <c r="J26866" t="s">
        <v>278</v>
      </c>
      <c r="K26866">
        <v>88.61</v>
      </c>
      <c r="L26866">
        <v>18</v>
      </c>
      <c r="M26866">
        <v>17807</v>
      </c>
      <c r="N26866" t="s">
        <v>23</v>
      </c>
      <c r="O26866">
        <v>250617</v>
      </c>
      <c r="P26866">
        <v>70.61</v>
      </c>
    </row>
    <row r="26867" spans="1:16" x14ac:dyDescent="0.25">
      <c r="A26867" t="s">
        <v>3296</v>
      </c>
      <c r="B26867" t="s">
        <v>2931</v>
      </c>
      <c r="C26867">
        <v>8702</v>
      </c>
      <c r="D26867" t="str">
        <f>"0124261842  "</f>
        <v xml:space="preserve">0124261842  </v>
      </c>
      <c r="E26867" t="s">
        <v>292</v>
      </c>
      <c r="F26867" t="s">
        <v>294</v>
      </c>
      <c r="G26867">
        <v>86.56</v>
      </c>
      <c r="H26867">
        <v>250530</v>
      </c>
      <c r="I26867">
        <v>4600</v>
      </c>
      <c r="J26867" t="s">
        <v>278</v>
      </c>
      <c r="K26867">
        <v>86.56</v>
      </c>
      <c r="L26867">
        <v>17.59</v>
      </c>
      <c r="M26867">
        <v>59501</v>
      </c>
      <c r="N26867" t="s">
        <v>62</v>
      </c>
      <c r="O26867">
        <v>250617</v>
      </c>
      <c r="P26867">
        <v>68.97</v>
      </c>
    </row>
    <row r="26868" spans="1:16" x14ac:dyDescent="0.25">
      <c r="A26868" t="s">
        <v>3296</v>
      </c>
      <c r="B26868" t="s">
        <v>2931</v>
      </c>
      <c r="C26868">
        <v>8705</v>
      </c>
      <c r="D26868" t="str">
        <f>"0124261843  "</f>
        <v xml:space="preserve">0124261843  </v>
      </c>
      <c r="E26868" t="s">
        <v>292</v>
      </c>
      <c r="F26868" t="s">
        <v>294</v>
      </c>
      <c r="G26868">
        <v>383.4</v>
      </c>
      <c r="H26868">
        <v>250530</v>
      </c>
      <c r="I26868">
        <v>4600</v>
      </c>
      <c r="J26868" t="s">
        <v>278</v>
      </c>
      <c r="K26868">
        <v>383.4</v>
      </c>
      <c r="L26868">
        <v>77.900000000000006</v>
      </c>
      <c r="M26868">
        <v>56568</v>
      </c>
      <c r="N26868" t="s">
        <v>354</v>
      </c>
      <c r="O26868">
        <v>250617</v>
      </c>
      <c r="P26868">
        <v>305.5</v>
      </c>
    </row>
    <row r="26869" spans="1:16" x14ac:dyDescent="0.25">
      <c r="A26869" t="s">
        <v>3296</v>
      </c>
      <c r="B26869" t="s">
        <v>2931</v>
      </c>
      <c r="C26869">
        <v>8962</v>
      </c>
      <c r="D26869" t="str">
        <f>"0124310935  "</f>
        <v xml:space="preserve">0124310935  </v>
      </c>
      <c r="E26869" t="s">
        <v>292</v>
      </c>
      <c r="F26869" t="s">
        <v>294</v>
      </c>
      <c r="G26869">
        <v>46.76</v>
      </c>
      <c r="H26869">
        <v>250611</v>
      </c>
      <c r="I26869">
        <v>4600</v>
      </c>
      <c r="J26869" t="s">
        <v>278</v>
      </c>
      <c r="K26869">
        <v>46.76</v>
      </c>
      <c r="L26869">
        <v>9.5</v>
      </c>
      <c r="M26869">
        <v>46554</v>
      </c>
      <c r="N26869" t="s">
        <v>102</v>
      </c>
      <c r="O26869">
        <v>250619</v>
      </c>
      <c r="P26869">
        <v>37.26</v>
      </c>
    </row>
    <row r="26870" spans="1:16" x14ac:dyDescent="0.25">
      <c r="A26870" t="s">
        <v>3296</v>
      </c>
      <c r="B26870" t="s">
        <v>2931</v>
      </c>
      <c r="C26870">
        <v>9672</v>
      </c>
      <c r="D26870" t="str">
        <f>"0124396623  "</f>
        <v xml:space="preserve">0124396623  </v>
      </c>
      <c r="E26870" t="s">
        <v>292</v>
      </c>
      <c r="F26870" t="s">
        <v>294</v>
      </c>
      <c r="G26870">
        <v>53.34</v>
      </c>
      <c r="H26870">
        <v>250630</v>
      </c>
      <c r="I26870">
        <v>4600</v>
      </c>
      <c r="J26870" t="s">
        <v>278</v>
      </c>
      <c r="K26870">
        <v>53.34</v>
      </c>
      <c r="L26870">
        <v>10.84</v>
      </c>
      <c r="M26870">
        <v>46554</v>
      </c>
      <c r="N26870" t="s">
        <v>102</v>
      </c>
      <c r="O26870">
        <v>250724</v>
      </c>
      <c r="P26870">
        <v>42.5</v>
      </c>
    </row>
    <row r="26871" spans="1:16" x14ac:dyDescent="0.25">
      <c r="A26871" t="s">
        <v>3296</v>
      </c>
      <c r="B26871" t="s">
        <v>2931</v>
      </c>
      <c r="C26871">
        <v>9673</v>
      </c>
      <c r="D26871" t="str">
        <f>"0124397430  "</f>
        <v xml:space="preserve">0124397430  </v>
      </c>
      <c r="E26871" t="s">
        <v>292</v>
      </c>
      <c r="F26871" t="s">
        <v>294</v>
      </c>
      <c r="G26871">
        <v>30.2</v>
      </c>
      <c r="H26871">
        <v>250630</v>
      </c>
      <c r="I26871">
        <v>4600</v>
      </c>
      <c r="J26871" t="s">
        <v>278</v>
      </c>
      <c r="K26871">
        <v>30.2</v>
      </c>
      <c r="L26871">
        <v>6.14</v>
      </c>
      <c r="M26871">
        <v>17737</v>
      </c>
      <c r="N26871" t="s">
        <v>156</v>
      </c>
      <c r="O26871">
        <v>250724</v>
      </c>
      <c r="P26871">
        <v>24.06</v>
      </c>
    </row>
    <row r="26872" spans="1:16" x14ac:dyDescent="0.25">
      <c r="A26872" t="s">
        <v>3296</v>
      </c>
      <c r="B26872" t="s">
        <v>2931</v>
      </c>
      <c r="C26872">
        <v>10295</v>
      </c>
      <c r="D26872" t="str">
        <f>"0124508777  "</f>
        <v xml:space="preserve">0124508777  </v>
      </c>
      <c r="E26872" t="s">
        <v>292</v>
      </c>
      <c r="F26872" t="s">
        <v>294</v>
      </c>
      <c r="G26872">
        <v>67.69</v>
      </c>
      <c r="H26872">
        <v>250731</v>
      </c>
      <c r="I26872">
        <v>4600</v>
      </c>
      <c r="J26872" t="s">
        <v>278</v>
      </c>
      <c r="K26872">
        <v>67.69</v>
      </c>
      <c r="L26872">
        <v>13.75</v>
      </c>
      <c r="M26872">
        <v>59501</v>
      </c>
      <c r="N26872" t="s">
        <v>62</v>
      </c>
      <c r="O26872">
        <v>250813</v>
      </c>
      <c r="P26872">
        <v>53.94</v>
      </c>
    </row>
    <row r="26873" spans="1:16" x14ac:dyDescent="0.25">
      <c r="A26873" t="s">
        <v>3296</v>
      </c>
      <c r="B26873" t="s">
        <v>2931</v>
      </c>
      <c r="C26873">
        <v>10296</v>
      </c>
      <c r="D26873" t="str">
        <f>"0124504231  "</f>
        <v xml:space="preserve">0124504231  </v>
      </c>
      <c r="E26873" t="s">
        <v>292</v>
      </c>
      <c r="F26873" t="s">
        <v>294</v>
      </c>
      <c r="G26873">
        <v>11.07</v>
      </c>
      <c r="H26873">
        <v>250731</v>
      </c>
      <c r="I26873">
        <v>4600</v>
      </c>
      <c r="J26873" t="s">
        <v>278</v>
      </c>
      <c r="K26873">
        <v>11.07</v>
      </c>
      <c r="L26873">
        <v>2.25</v>
      </c>
      <c r="M26873">
        <v>17737</v>
      </c>
      <c r="N26873" t="s">
        <v>156</v>
      </c>
      <c r="O26873">
        <v>250813</v>
      </c>
      <c r="P26873">
        <v>8.82</v>
      </c>
    </row>
    <row r="26874" spans="1:16" x14ac:dyDescent="0.25">
      <c r="A26874" t="s">
        <v>3296</v>
      </c>
      <c r="B26874" t="s">
        <v>2931</v>
      </c>
      <c r="C26874">
        <v>10608</v>
      </c>
      <c r="D26874" t="str">
        <f>"0124518398  "</f>
        <v xml:space="preserve">0124518398  </v>
      </c>
      <c r="E26874" t="s">
        <v>292</v>
      </c>
      <c r="F26874" t="s">
        <v>294</v>
      </c>
      <c r="G26874">
        <v>133.53</v>
      </c>
      <c r="H26874">
        <v>250804</v>
      </c>
      <c r="I26874">
        <v>4600</v>
      </c>
      <c r="J26874" t="s">
        <v>278</v>
      </c>
      <c r="K26874">
        <v>267.06</v>
      </c>
      <c r="L26874">
        <v>27.13</v>
      </c>
      <c r="M26874">
        <v>17633</v>
      </c>
      <c r="N26874" t="s">
        <v>628</v>
      </c>
      <c r="O26874">
        <v>250820</v>
      </c>
      <c r="P26874">
        <v>106.4</v>
      </c>
    </row>
    <row r="26875" spans="1:16" x14ac:dyDescent="0.25">
      <c r="A26875" t="s">
        <v>3296</v>
      </c>
      <c r="B26875" t="s">
        <v>2931</v>
      </c>
      <c r="C26875">
        <v>10647</v>
      </c>
      <c r="D26875" t="str">
        <f>"0124535009  "</f>
        <v xml:space="preserve">0124535009  </v>
      </c>
      <c r="E26875" t="s">
        <v>292</v>
      </c>
      <c r="F26875" t="s">
        <v>294</v>
      </c>
      <c r="G26875">
        <v>290.41000000000003</v>
      </c>
      <c r="H26875">
        <v>250808</v>
      </c>
      <c r="I26875">
        <v>4600</v>
      </c>
      <c r="J26875" t="s">
        <v>278</v>
      </c>
      <c r="K26875">
        <v>290.41000000000003</v>
      </c>
      <c r="L26875">
        <v>59.01</v>
      </c>
      <c r="M26875">
        <v>17806</v>
      </c>
      <c r="N26875" t="s">
        <v>22</v>
      </c>
      <c r="O26875">
        <v>250821</v>
      </c>
      <c r="P26875">
        <v>231.4</v>
      </c>
    </row>
    <row r="26876" spans="1:16" x14ac:dyDescent="0.25">
      <c r="A26876" t="s">
        <v>3296</v>
      </c>
      <c r="B26876" t="s">
        <v>2931</v>
      </c>
      <c r="C26876">
        <v>10668</v>
      </c>
      <c r="D26876" t="str">
        <f>"0124540437  "</f>
        <v xml:space="preserve">0124540437  </v>
      </c>
      <c r="E26876" t="s">
        <v>292</v>
      </c>
      <c r="F26876" t="s">
        <v>294</v>
      </c>
      <c r="G26876">
        <v>22.59</v>
      </c>
      <c r="H26876">
        <v>250811</v>
      </c>
      <c r="I26876">
        <v>4600</v>
      </c>
      <c r="J26876" t="s">
        <v>278</v>
      </c>
      <c r="K26876">
        <v>22.59</v>
      </c>
      <c r="L26876">
        <v>4.59</v>
      </c>
      <c r="M26876">
        <v>17806</v>
      </c>
      <c r="N26876" t="s">
        <v>22</v>
      </c>
      <c r="O26876">
        <v>250821</v>
      </c>
      <c r="P26876">
        <v>18</v>
      </c>
    </row>
    <row r="26877" spans="1:16" x14ac:dyDescent="0.25">
      <c r="A26877" t="s">
        <v>3296</v>
      </c>
      <c r="B26877" t="s">
        <v>2931</v>
      </c>
      <c r="C26877">
        <v>10691</v>
      </c>
      <c r="D26877" t="str">
        <f>"0124547843  "</f>
        <v xml:space="preserve">0124547843  </v>
      </c>
      <c r="E26877" t="s">
        <v>292</v>
      </c>
      <c r="F26877" t="s">
        <v>294</v>
      </c>
      <c r="G26877">
        <v>128.51</v>
      </c>
      <c r="H26877">
        <v>250813</v>
      </c>
      <c r="I26877">
        <v>4600</v>
      </c>
      <c r="J26877" t="s">
        <v>278</v>
      </c>
      <c r="K26877">
        <v>128.51</v>
      </c>
      <c r="L26877">
        <v>26.11</v>
      </c>
      <c r="M26877">
        <v>46555</v>
      </c>
      <c r="N26877" t="s">
        <v>103</v>
      </c>
      <c r="O26877">
        <v>250821</v>
      </c>
      <c r="P26877">
        <v>102.4</v>
      </c>
    </row>
    <row r="26878" spans="1:16" x14ac:dyDescent="0.25">
      <c r="A26878" t="s">
        <v>3296</v>
      </c>
      <c r="B26878" t="s">
        <v>2931</v>
      </c>
      <c r="C26878">
        <v>10724</v>
      </c>
      <c r="D26878" t="str">
        <f>"0124557621  "</f>
        <v xml:space="preserve">0124557621  </v>
      </c>
      <c r="E26878" t="s">
        <v>292</v>
      </c>
      <c r="F26878" t="s">
        <v>294</v>
      </c>
      <c r="G26878">
        <v>511.28</v>
      </c>
      <c r="H26878">
        <v>250815</v>
      </c>
      <c r="I26878">
        <v>4600</v>
      </c>
      <c r="J26878" t="s">
        <v>278</v>
      </c>
      <c r="K26878">
        <v>1381</v>
      </c>
      <c r="L26878">
        <v>103.89</v>
      </c>
      <c r="M26878">
        <v>56568</v>
      </c>
      <c r="N26878" t="s">
        <v>354</v>
      </c>
      <c r="O26878">
        <v>250821</v>
      </c>
      <c r="P26878">
        <v>407.39</v>
      </c>
    </row>
    <row r="26879" spans="1:16" x14ac:dyDescent="0.25">
      <c r="A26879" t="s">
        <v>3296</v>
      </c>
      <c r="B26879" t="s">
        <v>2931</v>
      </c>
      <c r="C26879">
        <v>10726</v>
      </c>
      <c r="D26879" t="str">
        <f>"0124557614  "</f>
        <v xml:space="preserve">0124557614  </v>
      </c>
      <c r="E26879" t="s">
        <v>292</v>
      </c>
      <c r="F26879" t="s">
        <v>294</v>
      </c>
      <c r="G26879">
        <v>443.67</v>
      </c>
      <c r="H26879">
        <v>250815</v>
      </c>
      <c r="I26879">
        <v>4600</v>
      </c>
      <c r="J26879" t="s">
        <v>278</v>
      </c>
      <c r="K26879">
        <v>751.42</v>
      </c>
      <c r="L26879">
        <v>90.15</v>
      </c>
      <c r="M26879">
        <v>56565</v>
      </c>
      <c r="N26879" t="s">
        <v>57</v>
      </c>
      <c r="O26879">
        <v>250821</v>
      </c>
      <c r="P26879">
        <v>353.52</v>
      </c>
    </row>
    <row r="26880" spans="1:16" x14ac:dyDescent="0.25">
      <c r="A26880" t="s">
        <v>3296</v>
      </c>
      <c r="B26880" t="s">
        <v>2931</v>
      </c>
      <c r="C26880">
        <v>10729</v>
      </c>
      <c r="D26880" t="str">
        <f>"0124557616  "</f>
        <v xml:space="preserve">0124557616  </v>
      </c>
      <c r="E26880" t="s">
        <v>292</v>
      </c>
      <c r="F26880" t="s">
        <v>294</v>
      </c>
      <c r="G26880">
        <v>586.80999999999995</v>
      </c>
      <c r="H26880">
        <v>250815</v>
      </c>
      <c r="I26880">
        <v>4600</v>
      </c>
      <c r="J26880" t="s">
        <v>278</v>
      </c>
      <c r="K26880">
        <v>586.80999999999995</v>
      </c>
      <c r="L26880">
        <v>119.23</v>
      </c>
      <c r="M26880">
        <v>51151</v>
      </c>
      <c r="N26880" t="s">
        <v>221</v>
      </c>
      <c r="O26880">
        <v>250821</v>
      </c>
      <c r="P26880">
        <v>467.58</v>
      </c>
    </row>
    <row r="26881" spans="1:16" x14ac:dyDescent="0.25">
      <c r="A26881" t="s">
        <v>3296</v>
      </c>
      <c r="B26881" t="s">
        <v>2931</v>
      </c>
      <c r="C26881">
        <v>10776</v>
      </c>
      <c r="D26881" t="str">
        <f>"0124580246  "</f>
        <v xml:space="preserve">0124580246  </v>
      </c>
      <c r="E26881" t="s">
        <v>292</v>
      </c>
      <c r="F26881" t="s">
        <v>294</v>
      </c>
      <c r="G26881">
        <v>31.47</v>
      </c>
      <c r="H26881">
        <v>250820</v>
      </c>
      <c r="I26881">
        <v>4600</v>
      </c>
      <c r="J26881" t="s">
        <v>278</v>
      </c>
      <c r="K26881">
        <v>104.92</v>
      </c>
      <c r="L26881">
        <v>6.39</v>
      </c>
      <c r="M26881">
        <v>17633</v>
      </c>
      <c r="N26881" t="s">
        <v>628</v>
      </c>
      <c r="O26881">
        <v>250822</v>
      </c>
      <c r="P26881">
        <v>25.08</v>
      </c>
    </row>
    <row r="26882" spans="1:16" x14ac:dyDescent="0.25">
      <c r="A26882" t="s">
        <v>3296</v>
      </c>
      <c r="B26882" t="s">
        <v>2931</v>
      </c>
      <c r="C26882">
        <v>10801</v>
      </c>
      <c r="D26882" t="str">
        <f>"0124550958  "</f>
        <v xml:space="preserve">0124550958  </v>
      </c>
      <c r="E26882" t="s">
        <v>292</v>
      </c>
      <c r="F26882" t="s">
        <v>294</v>
      </c>
      <c r="G26882">
        <v>57.48</v>
      </c>
      <c r="H26882">
        <v>250814</v>
      </c>
      <c r="I26882">
        <v>4600</v>
      </c>
      <c r="J26882" t="s">
        <v>278</v>
      </c>
      <c r="K26882">
        <v>444.02</v>
      </c>
      <c r="L26882">
        <v>11.13</v>
      </c>
      <c r="M26882">
        <v>17522</v>
      </c>
      <c r="N26882" t="s">
        <v>137</v>
      </c>
      <c r="O26882">
        <v>250822</v>
      </c>
      <c r="P26882">
        <v>46.35</v>
      </c>
    </row>
    <row r="26883" spans="1:16" x14ac:dyDescent="0.25">
      <c r="A26883" t="s">
        <v>3296</v>
      </c>
      <c r="B26883" t="s">
        <v>2931</v>
      </c>
      <c r="C26883">
        <v>10819</v>
      </c>
      <c r="D26883" t="str">
        <f>"0124557627  "</f>
        <v xml:space="preserve">0124557627  </v>
      </c>
      <c r="E26883" t="s">
        <v>292</v>
      </c>
      <c r="F26883" t="s">
        <v>294</v>
      </c>
      <c r="G26883">
        <v>685.98</v>
      </c>
      <c r="H26883">
        <v>250815</v>
      </c>
      <c r="I26883">
        <v>4600</v>
      </c>
      <c r="J26883" t="s">
        <v>278</v>
      </c>
      <c r="K26883">
        <v>685.98</v>
      </c>
      <c r="L26883">
        <v>139.38</v>
      </c>
      <c r="M26883">
        <v>54222</v>
      </c>
      <c r="N26883" t="s">
        <v>48</v>
      </c>
      <c r="O26883">
        <v>250825</v>
      </c>
      <c r="P26883">
        <v>546.6</v>
      </c>
    </row>
    <row r="26884" spans="1:16" x14ac:dyDescent="0.25">
      <c r="A26884" t="s">
        <v>3296</v>
      </c>
      <c r="B26884" t="s">
        <v>2931</v>
      </c>
      <c r="C26884">
        <v>10856</v>
      </c>
      <c r="D26884" t="str">
        <f>"0124550822  "</f>
        <v xml:space="preserve">0124550822  </v>
      </c>
      <c r="E26884" t="s">
        <v>292</v>
      </c>
      <c r="F26884" t="s">
        <v>294</v>
      </c>
      <c r="G26884">
        <v>327.08</v>
      </c>
      <c r="H26884">
        <v>250814</v>
      </c>
      <c r="I26884">
        <v>4600</v>
      </c>
      <c r="J26884" t="s">
        <v>278</v>
      </c>
      <c r="K26884">
        <v>327.08</v>
      </c>
      <c r="L26884">
        <v>66.459999999999994</v>
      </c>
      <c r="M26884">
        <v>17802</v>
      </c>
      <c r="N26884" t="s">
        <v>18</v>
      </c>
      <c r="O26884">
        <v>250825</v>
      </c>
      <c r="P26884">
        <v>260.62</v>
      </c>
    </row>
    <row r="26885" spans="1:16" x14ac:dyDescent="0.25">
      <c r="A26885" t="s">
        <v>3296</v>
      </c>
      <c r="B26885" t="s">
        <v>2931</v>
      </c>
      <c r="C26885">
        <v>10867</v>
      </c>
      <c r="D26885" t="str">
        <f>"0124580451  "</f>
        <v xml:space="preserve">0124580451  </v>
      </c>
      <c r="E26885" t="s">
        <v>292</v>
      </c>
      <c r="F26885" t="s">
        <v>294</v>
      </c>
      <c r="G26885">
        <v>119.32</v>
      </c>
      <c r="H26885">
        <v>250821</v>
      </c>
      <c r="I26885">
        <v>4600</v>
      </c>
      <c r="J26885" t="s">
        <v>278</v>
      </c>
      <c r="K26885">
        <v>306.26</v>
      </c>
      <c r="L26885">
        <v>24.24</v>
      </c>
      <c r="M26885">
        <v>17802</v>
      </c>
      <c r="N26885" t="s">
        <v>18</v>
      </c>
      <c r="O26885">
        <v>250825</v>
      </c>
      <c r="P26885">
        <v>95.08</v>
      </c>
    </row>
    <row r="26886" spans="1:16" x14ac:dyDescent="0.25">
      <c r="A26886" t="s">
        <v>3296</v>
      </c>
      <c r="B26886" t="s">
        <v>2931</v>
      </c>
      <c r="C26886">
        <v>10887</v>
      </c>
      <c r="D26886" t="str">
        <f>"0124578652  "</f>
        <v xml:space="preserve">0124578652  </v>
      </c>
      <c r="E26886" t="s">
        <v>292</v>
      </c>
      <c r="F26886" t="s">
        <v>294</v>
      </c>
      <c r="G26886">
        <v>66.87</v>
      </c>
      <c r="H26886">
        <v>250820</v>
      </c>
      <c r="I26886">
        <v>4600</v>
      </c>
      <c r="J26886" t="s">
        <v>278</v>
      </c>
      <c r="K26886">
        <v>66.87</v>
      </c>
      <c r="L26886">
        <v>13.59</v>
      </c>
      <c r="M26886">
        <v>49501</v>
      </c>
      <c r="N26886" t="s">
        <v>110</v>
      </c>
      <c r="O26886">
        <v>250826</v>
      </c>
      <c r="P26886">
        <v>53.28</v>
      </c>
    </row>
    <row r="26887" spans="1:16" x14ac:dyDescent="0.25">
      <c r="A26887" t="s">
        <v>3296</v>
      </c>
      <c r="B26887" t="s">
        <v>2931</v>
      </c>
      <c r="C26887">
        <v>10918</v>
      </c>
      <c r="D26887" t="str">
        <f>"0124574227  "</f>
        <v xml:space="preserve">0124574227  </v>
      </c>
      <c r="E26887" t="s">
        <v>292</v>
      </c>
      <c r="F26887" t="s">
        <v>294</v>
      </c>
      <c r="G26887">
        <v>16.57</v>
      </c>
      <c r="H26887">
        <v>250819</v>
      </c>
      <c r="I26887">
        <v>4600</v>
      </c>
      <c r="J26887" t="s">
        <v>278</v>
      </c>
      <c r="K26887">
        <v>16.57</v>
      </c>
      <c r="L26887">
        <v>3.37</v>
      </c>
      <c r="M26887">
        <v>46555</v>
      </c>
      <c r="N26887" t="s">
        <v>103</v>
      </c>
      <c r="O26887">
        <v>250827</v>
      </c>
      <c r="P26887">
        <v>13.2</v>
      </c>
    </row>
    <row r="26888" spans="1:16" x14ac:dyDescent="0.25">
      <c r="A26888" t="s">
        <v>3296</v>
      </c>
      <c r="B26888" t="s">
        <v>2931</v>
      </c>
      <c r="C26888">
        <v>10951</v>
      </c>
      <c r="D26888" t="str">
        <f>"0124596216  "</f>
        <v xml:space="preserve">0124596216  </v>
      </c>
      <c r="E26888" t="s">
        <v>292</v>
      </c>
      <c r="F26888" t="s">
        <v>294</v>
      </c>
      <c r="G26888">
        <v>607.64</v>
      </c>
      <c r="H26888">
        <v>250825</v>
      </c>
      <c r="I26888">
        <v>4600</v>
      </c>
      <c r="J26888" t="s">
        <v>278</v>
      </c>
      <c r="K26888">
        <v>607.64</v>
      </c>
      <c r="L26888">
        <v>123.46</v>
      </c>
      <c r="M26888">
        <v>17803</v>
      </c>
      <c r="N26888" t="s">
        <v>19</v>
      </c>
      <c r="O26888">
        <v>250827</v>
      </c>
      <c r="P26888">
        <v>484.18</v>
      </c>
    </row>
    <row r="26889" spans="1:16" x14ac:dyDescent="0.25">
      <c r="A26889" t="s">
        <v>3296</v>
      </c>
      <c r="B26889" t="s">
        <v>2931</v>
      </c>
      <c r="C26889">
        <v>10964</v>
      </c>
      <c r="D26889" t="str">
        <f>"0124596413  "</f>
        <v xml:space="preserve">0124596413  </v>
      </c>
      <c r="E26889" t="s">
        <v>292</v>
      </c>
      <c r="F26889" t="s">
        <v>294</v>
      </c>
      <c r="G26889">
        <v>644.09</v>
      </c>
      <c r="H26889">
        <v>250826</v>
      </c>
      <c r="I26889">
        <v>4600</v>
      </c>
      <c r="J26889" t="s">
        <v>278</v>
      </c>
      <c r="K26889">
        <v>644.09</v>
      </c>
      <c r="L26889">
        <v>130.87</v>
      </c>
      <c r="M26889">
        <v>46557</v>
      </c>
      <c r="N26889" t="s">
        <v>104</v>
      </c>
      <c r="O26889">
        <v>250828</v>
      </c>
      <c r="P26889">
        <v>513.22</v>
      </c>
    </row>
    <row r="26890" spans="1:16" x14ac:dyDescent="0.25">
      <c r="A26890" t="s">
        <v>3296</v>
      </c>
      <c r="B26890" t="s">
        <v>2931</v>
      </c>
      <c r="C26890">
        <v>11131</v>
      </c>
      <c r="D26890" t="str">
        <f>"0124521535  "</f>
        <v xml:space="preserve">0124521535  </v>
      </c>
      <c r="E26890" t="s">
        <v>292</v>
      </c>
      <c r="F26890" t="s">
        <v>294</v>
      </c>
      <c r="G26890">
        <v>185.77</v>
      </c>
      <c r="H26890">
        <v>250805</v>
      </c>
      <c r="I26890">
        <v>4600</v>
      </c>
      <c r="J26890" t="s">
        <v>278</v>
      </c>
      <c r="K26890">
        <v>185.77</v>
      </c>
      <c r="L26890">
        <v>37.75</v>
      </c>
      <c r="M26890">
        <v>49501</v>
      </c>
      <c r="N26890" t="s">
        <v>110</v>
      </c>
      <c r="O26890">
        <v>250901</v>
      </c>
      <c r="P26890">
        <v>148.02000000000001</v>
      </c>
    </row>
    <row r="26891" spans="1:16" x14ac:dyDescent="0.25">
      <c r="A26891" t="s">
        <v>3296</v>
      </c>
      <c r="B26891" t="s">
        <v>2931</v>
      </c>
      <c r="C26891">
        <v>11195</v>
      </c>
      <c r="D26891" t="str">
        <f>"0095511067  "</f>
        <v xml:space="preserve">0095511067  </v>
      </c>
      <c r="E26891" t="s">
        <v>292</v>
      </c>
      <c r="F26891" t="s">
        <v>294</v>
      </c>
      <c r="G26891">
        <v>-5.25</v>
      </c>
      <c r="H26891">
        <v>250827</v>
      </c>
      <c r="I26891">
        <v>4600</v>
      </c>
      <c r="J26891" t="s">
        <v>278</v>
      </c>
      <c r="K26891">
        <v>-5.25</v>
      </c>
      <c r="L26891">
        <v>-1.07</v>
      </c>
      <c r="M26891">
        <v>17804</v>
      </c>
      <c r="N26891" t="s">
        <v>20</v>
      </c>
      <c r="O26891">
        <v>250901</v>
      </c>
      <c r="P26891">
        <v>-4.18</v>
      </c>
    </row>
    <row r="26892" spans="1:16" x14ac:dyDescent="0.25">
      <c r="A26892" t="s">
        <v>3296</v>
      </c>
      <c r="B26892" t="s">
        <v>2931</v>
      </c>
      <c r="C26892">
        <v>11263</v>
      </c>
      <c r="D26892" t="str">
        <f>"0124593086  "</f>
        <v xml:space="preserve">0124593086  </v>
      </c>
      <c r="E26892" t="s">
        <v>292</v>
      </c>
      <c r="F26892" t="s">
        <v>294</v>
      </c>
      <c r="G26892">
        <v>11.04</v>
      </c>
      <c r="H26892">
        <v>250825</v>
      </c>
      <c r="I26892">
        <v>4600</v>
      </c>
      <c r="J26892" t="s">
        <v>278</v>
      </c>
      <c r="K26892">
        <v>491.05</v>
      </c>
      <c r="L26892">
        <v>2.2400000000000002</v>
      </c>
      <c r="M26892">
        <v>46554</v>
      </c>
      <c r="N26892" t="s">
        <v>102</v>
      </c>
      <c r="O26892">
        <v>250902</v>
      </c>
      <c r="P26892">
        <v>8.8000000000000007</v>
      </c>
    </row>
    <row r="26893" spans="1:16" x14ac:dyDescent="0.25">
      <c r="A26893" t="s">
        <v>3296</v>
      </c>
      <c r="B26893" t="s">
        <v>2931</v>
      </c>
      <c r="C26893">
        <v>11263</v>
      </c>
      <c r="D26893" t="str">
        <f>"0124593086  "</f>
        <v xml:space="preserve">0124593086  </v>
      </c>
      <c r="E26893" t="s">
        <v>292</v>
      </c>
      <c r="F26893" t="s">
        <v>294</v>
      </c>
      <c r="G26893">
        <v>480.01</v>
      </c>
      <c r="H26893">
        <v>250825</v>
      </c>
      <c r="I26893">
        <v>4600</v>
      </c>
      <c r="J26893" t="s">
        <v>278</v>
      </c>
      <c r="K26893">
        <v>491.05</v>
      </c>
      <c r="L26893">
        <v>97.53</v>
      </c>
      <c r="M26893">
        <v>46554</v>
      </c>
      <c r="N26893" t="s">
        <v>102</v>
      </c>
      <c r="O26893">
        <v>250902</v>
      </c>
      <c r="P26893">
        <v>382.48</v>
      </c>
    </row>
    <row r="26894" spans="1:16" x14ac:dyDescent="0.25">
      <c r="A26894" t="s">
        <v>3296</v>
      </c>
      <c r="B26894" t="s">
        <v>2931</v>
      </c>
      <c r="C26894">
        <v>11264</v>
      </c>
      <c r="D26894" t="str">
        <f>"0124596414  "</f>
        <v xml:space="preserve">0124596414  </v>
      </c>
      <c r="E26894" t="s">
        <v>292</v>
      </c>
      <c r="F26894" t="s">
        <v>294</v>
      </c>
      <c r="G26894">
        <v>65.47</v>
      </c>
      <c r="H26894">
        <v>250826</v>
      </c>
      <c r="I26894">
        <v>4600</v>
      </c>
      <c r="J26894" t="s">
        <v>278</v>
      </c>
      <c r="K26894">
        <v>65.47</v>
      </c>
      <c r="L26894">
        <v>13.3</v>
      </c>
      <c r="M26894">
        <v>46554</v>
      </c>
      <c r="N26894" t="s">
        <v>102</v>
      </c>
      <c r="O26894">
        <v>250902</v>
      </c>
      <c r="P26894">
        <v>52.17</v>
      </c>
    </row>
    <row r="26895" spans="1:16" x14ac:dyDescent="0.25">
      <c r="A26895" t="s">
        <v>3296</v>
      </c>
      <c r="B26895" t="s">
        <v>2931</v>
      </c>
      <c r="C26895">
        <v>11270</v>
      </c>
      <c r="D26895" t="str">
        <f>"0124608243  "</f>
        <v xml:space="preserve">0124608243  </v>
      </c>
      <c r="E26895" t="s">
        <v>292</v>
      </c>
      <c r="F26895" t="s">
        <v>294</v>
      </c>
      <c r="G26895">
        <v>656.29</v>
      </c>
      <c r="H26895">
        <v>250828</v>
      </c>
      <c r="I26895">
        <v>4600</v>
      </c>
      <c r="J26895" t="s">
        <v>278</v>
      </c>
      <c r="K26895">
        <v>779.25</v>
      </c>
      <c r="L26895">
        <v>133.35</v>
      </c>
      <c r="M26895">
        <v>46554</v>
      </c>
      <c r="N26895" t="s">
        <v>102</v>
      </c>
      <c r="O26895">
        <v>250902</v>
      </c>
      <c r="P26895">
        <v>522.94000000000005</v>
      </c>
    </row>
    <row r="26896" spans="1:16" x14ac:dyDescent="0.25">
      <c r="A26896" t="s">
        <v>3296</v>
      </c>
      <c r="B26896" t="s">
        <v>2931</v>
      </c>
      <c r="C26896">
        <v>11275</v>
      </c>
      <c r="D26896" t="str">
        <f>"0124624447  "</f>
        <v xml:space="preserve">0124624447  </v>
      </c>
      <c r="E26896" t="s">
        <v>292</v>
      </c>
      <c r="F26896" t="s">
        <v>294</v>
      </c>
      <c r="G26896">
        <v>88.1</v>
      </c>
      <c r="H26896">
        <v>250829</v>
      </c>
      <c r="I26896">
        <v>4600</v>
      </c>
      <c r="J26896" t="s">
        <v>278</v>
      </c>
      <c r="K26896">
        <v>88.1</v>
      </c>
      <c r="L26896">
        <v>17.899999999999999</v>
      </c>
      <c r="M26896">
        <v>17807</v>
      </c>
      <c r="N26896" t="s">
        <v>23</v>
      </c>
      <c r="O26896">
        <v>250902</v>
      </c>
      <c r="P26896">
        <v>70.2</v>
      </c>
    </row>
    <row r="26897" spans="1:16" x14ac:dyDescent="0.25">
      <c r="A26897" t="s">
        <v>3296</v>
      </c>
      <c r="B26897" t="s">
        <v>2931</v>
      </c>
      <c r="C26897">
        <v>11340</v>
      </c>
      <c r="D26897" t="str">
        <f>"0124535010  "</f>
        <v xml:space="preserve">0124535010  </v>
      </c>
      <c r="E26897" t="s">
        <v>292</v>
      </c>
      <c r="F26897" t="s">
        <v>294</v>
      </c>
      <c r="G26897">
        <v>742.68</v>
      </c>
      <c r="H26897">
        <v>250808</v>
      </c>
      <c r="I26897">
        <v>4600</v>
      </c>
      <c r="J26897" t="s">
        <v>278</v>
      </c>
      <c r="K26897">
        <v>1027.2</v>
      </c>
      <c r="L26897">
        <v>150.9</v>
      </c>
      <c r="M26897">
        <v>17809</v>
      </c>
      <c r="N26897" t="s">
        <v>25</v>
      </c>
      <c r="O26897">
        <v>250903</v>
      </c>
      <c r="P26897">
        <v>591.78</v>
      </c>
    </row>
    <row r="26898" spans="1:16" x14ac:dyDescent="0.25">
      <c r="A26898" t="s">
        <v>3296</v>
      </c>
      <c r="B26898" t="s">
        <v>2931</v>
      </c>
      <c r="C26898">
        <v>11764</v>
      </c>
      <c r="D26898" t="str">
        <f>"0124604852  "</f>
        <v xml:space="preserve">0124604852  </v>
      </c>
      <c r="E26898" t="s">
        <v>292</v>
      </c>
      <c r="F26898" t="s">
        <v>294</v>
      </c>
      <c r="G26898">
        <v>431.33</v>
      </c>
      <c r="H26898">
        <v>250827</v>
      </c>
      <c r="I26898">
        <v>4600</v>
      </c>
      <c r="J26898" t="s">
        <v>278</v>
      </c>
      <c r="K26898">
        <v>431.33</v>
      </c>
      <c r="L26898">
        <v>87.64</v>
      </c>
      <c r="M26898">
        <v>46554</v>
      </c>
      <c r="N26898" t="s">
        <v>102</v>
      </c>
      <c r="O26898">
        <v>250910</v>
      </c>
      <c r="P26898">
        <v>343.69</v>
      </c>
    </row>
    <row r="26899" spans="1:16" x14ac:dyDescent="0.25">
      <c r="A26899" t="s">
        <v>3296</v>
      </c>
      <c r="B26899" t="s">
        <v>2931</v>
      </c>
      <c r="C26899">
        <v>11783</v>
      </c>
      <c r="D26899" t="str">
        <f>"0124624445  "</f>
        <v xml:space="preserve">0124624445  </v>
      </c>
      <c r="E26899" t="s">
        <v>292</v>
      </c>
      <c r="F26899" t="s">
        <v>294</v>
      </c>
      <c r="G26899">
        <v>46.27</v>
      </c>
      <c r="H26899">
        <v>250829</v>
      </c>
      <c r="I26899">
        <v>4600</v>
      </c>
      <c r="J26899" t="s">
        <v>278</v>
      </c>
      <c r="K26899">
        <v>46.27</v>
      </c>
      <c r="L26899">
        <v>9.4</v>
      </c>
      <c r="M26899">
        <v>17802</v>
      </c>
      <c r="N26899" t="s">
        <v>18</v>
      </c>
      <c r="O26899">
        <v>250910</v>
      </c>
      <c r="P26899">
        <v>36.869999999999997</v>
      </c>
    </row>
    <row r="26900" spans="1:16" x14ac:dyDescent="0.25">
      <c r="A26900" t="s">
        <v>3296</v>
      </c>
      <c r="B26900" t="s">
        <v>2931</v>
      </c>
      <c r="C26900">
        <v>11785</v>
      </c>
      <c r="D26900" t="str">
        <f>"0124618065  "</f>
        <v xml:space="preserve">0124618065  </v>
      </c>
      <c r="E26900" t="s">
        <v>292</v>
      </c>
      <c r="F26900" t="s">
        <v>294</v>
      </c>
      <c r="G26900">
        <v>533.24</v>
      </c>
      <c r="H26900">
        <v>250829</v>
      </c>
      <c r="I26900">
        <v>4600</v>
      </c>
      <c r="J26900" t="s">
        <v>278</v>
      </c>
      <c r="K26900">
        <v>784.91</v>
      </c>
      <c r="L26900">
        <v>108.35</v>
      </c>
      <c r="M26900">
        <v>56568</v>
      </c>
      <c r="N26900" t="s">
        <v>354</v>
      </c>
      <c r="O26900">
        <v>250910</v>
      </c>
      <c r="P26900">
        <v>424.89</v>
      </c>
    </row>
    <row r="26901" spans="1:16" x14ac:dyDescent="0.25">
      <c r="A26901" t="s">
        <v>3296</v>
      </c>
      <c r="B26901" t="s">
        <v>2931</v>
      </c>
      <c r="C26901">
        <v>11786</v>
      </c>
      <c r="D26901" t="str">
        <f>"0124618068  "</f>
        <v xml:space="preserve">0124618068  </v>
      </c>
      <c r="E26901" t="s">
        <v>292</v>
      </c>
      <c r="F26901" t="s">
        <v>294</v>
      </c>
      <c r="G26901">
        <v>125.3</v>
      </c>
      <c r="H26901">
        <v>250829</v>
      </c>
      <c r="I26901">
        <v>4600</v>
      </c>
      <c r="J26901" t="s">
        <v>278</v>
      </c>
      <c r="K26901">
        <v>125.3</v>
      </c>
      <c r="L26901">
        <v>25.46</v>
      </c>
      <c r="M26901">
        <v>56565</v>
      </c>
      <c r="N26901" t="s">
        <v>57</v>
      </c>
      <c r="O26901">
        <v>250910</v>
      </c>
      <c r="P26901">
        <v>99.84</v>
      </c>
    </row>
    <row r="26902" spans="1:16" x14ac:dyDescent="0.25">
      <c r="A26902" t="s">
        <v>3296</v>
      </c>
      <c r="B26902" t="s">
        <v>2931</v>
      </c>
      <c r="C26902">
        <v>12052</v>
      </c>
      <c r="D26902" t="str">
        <f>"0124638464  "</f>
        <v xml:space="preserve">0124638464  </v>
      </c>
      <c r="E26902" t="s">
        <v>292</v>
      </c>
      <c r="F26902" t="s">
        <v>294</v>
      </c>
      <c r="G26902">
        <v>63.39</v>
      </c>
      <c r="H26902">
        <v>250901</v>
      </c>
      <c r="I26902">
        <v>4600</v>
      </c>
      <c r="J26902" t="s">
        <v>278</v>
      </c>
      <c r="K26902">
        <v>63.39</v>
      </c>
      <c r="L26902">
        <v>12.88</v>
      </c>
      <c r="M26902">
        <v>46554</v>
      </c>
      <c r="N26902" t="s">
        <v>102</v>
      </c>
      <c r="O26902">
        <v>250915</v>
      </c>
      <c r="P26902">
        <v>50.51</v>
      </c>
    </row>
    <row r="26903" spans="1:16" x14ac:dyDescent="0.25">
      <c r="A26903" t="s">
        <v>3296</v>
      </c>
      <c r="B26903" t="s">
        <v>2931</v>
      </c>
      <c r="C26903">
        <v>12053</v>
      </c>
      <c r="D26903" t="str">
        <f>"0124637305  "</f>
        <v xml:space="preserve">0124637305  </v>
      </c>
      <c r="E26903" t="s">
        <v>292</v>
      </c>
      <c r="F26903" t="s">
        <v>294</v>
      </c>
      <c r="G26903">
        <v>70.08</v>
      </c>
      <c r="H26903">
        <v>250901</v>
      </c>
      <c r="I26903">
        <v>4600</v>
      </c>
      <c r="J26903" t="s">
        <v>278</v>
      </c>
      <c r="K26903">
        <v>202.47</v>
      </c>
      <c r="L26903">
        <v>14.24</v>
      </c>
      <c r="M26903">
        <v>17536</v>
      </c>
      <c r="N26903" t="s">
        <v>150</v>
      </c>
      <c r="O26903">
        <v>250915</v>
      </c>
      <c r="P26903">
        <v>55.84</v>
      </c>
    </row>
    <row r="26904" spans="1:16" x14ac:dyDescent="0.25">
      <c r="A26904" t="s">
        <v>3296</v>
      </c>
      <c r="B26904" t="s">
        <v>2931</v>
      </c>
      <c r="C26904">
        <v>12104</v>
      </c>
      <c r="D26904" t="str">
        <f>"0124618066  "</f>
        <v xml:space="preserve">0124618066  </v>
      </c>
      <c r="E26904" t="s">
        <v>292</v>
      </c>
      <c r="F26904" t="s">
        <v>294</v>
      </c>
      <c r="G26904">
        <v>327.02</v>
      </c>
      <c r="H26904">
        <v>250829</v>
      </c>
      <c r="I26904">
        <v>4600</v>
      </c>
      <c r="J26904" t="s">
        <v>278</v>
      </c>
      <c r="K26904">
        <v>327.02</v>
      </c>
      <c r="L26904">
        <v>66.45</v>
      </c>
      <c r="M26904">
        <v>56564</v>
      </c>
      <c r="N26904" t="s">
        <v>56</v>
      </c>
      <c r="O26904">
        <v>250916</v>
      </c>
      <c r="P26904">
        <v>260.57</v>
      </c>
    </row>
    <row r="26905" spans="1:16" x14ac:dyDescent="0.25">
      <c r="A26905" t="s">
        <v>3296</v>
      </c>
      <c r="B26905" t="s">
        <v>2931</v>
      </c>
      <c r="C26905">
        <v>12111</v>
      </c>
      <c r="D26905" t="str">
        <f>"0124643217  "</f>
        <v xml:space="preserve">0124643217  </v>
      </c>
      <c r="E26905" t="s">
        <v>292</v>
      </c>
      <c r="F26905" t="s">
        <v>294</v>
      </c>
      <c r="G26905">
        <v>25.2</v>
      </c>
      <c r="H26905">
        <v>250902</v>
      </c>
      <c r="I26905">
        <v>4600</v>
      </c>
      <c r="J26905" t="s">
        <v>278</v>
      </c>
      <c r="K26905">
        <v>25.2</v>
      </c>
      <c r="L26905">
        <v>5.12</v>
      </c>
      <c r="M26905">
        <v>46554</v>
      </c>
      <c r="N26905" t="s">
        <v>102</v>
      </c>
      <c r="O26905">
        <v>250916</v>
      </c>
      <c r="P26905">
        <v>20.079999999999998</v>
      </c>
    </row>
    <row r="26906" spans="1:16" x14ac:dyDescent="0.25">
      <c r="A26906" t="s">
        <v>3296</v>
      </c>
      <c r="B26906" t="s">
        <v>2931</v>
      </c>
      <c r="C26906">
        <v>12235</v>
      </c>
      <c r="D26906" t="str">
        <f>"0124547819  "</f>
        <v xml:space="preserve">0124547819  </v>
      </c>
      <c r="E26906" t="s">
        <v>292</v>
      </c>
      <c r="F26906" t="s">
        <v>294</v>
      </c>
      <c r="G26906">
        <v>110.39</v>
      </c>
      <c r="H26906">
        <v>250813</v>
      </c>
      <c r="I26906">
        <v>4600</v>
      </c>
      <c r="J26906" t="s">
        <v>278</v>
      </c>
      <c r="K26906">
        <v>220.79</v>
      </c>
      <c r="L26906">
        <v>22.43</v>
      </c>
      <c r="M26906">
        <v>17635</v>
      </c>
      <c r="N26906" t="s">
        <v>1264</v>
      </c>
      <c r="O26906">
        <v>250918</v>
      </c>
      <c r="P26906">
        <v>87.96</v>
      </c>
    </row>
    <row r="26907" spans="1:16" x14ac:dyDescent="0.25">
      <c r="A26907" t="s">
        <v>3296</v>
      </c>
      <c r="B26907" t="s">
        <v>2931</v>
      </c>
      <c r="C26907">
        <v>12293</v>
      </c>
      <c r="D26907" t="str">
        <f>"0124646546  "</f>
        <v xml:space="preserve">0124646546  </v>
      </c>
      <c r="E26907" t="s">
        <v>292</v>
      </c>
      <c r="F26907" t="s">
        <v>294</v>
      </c>
      <c r="G26907">
        <v>285.67</v>
      </c>
      <c r="H26907">
        <v>250903</v>
      </c>
      <c r="I26907">
        <v>4600</v>
      </c>
      <c r="J26907" t="s">
        <v>278</v>
      </c>
      <c r="K26907">
        <v>414.46</v>
      </c>
      <c r="L26907">
        <v>58.04</v>
      </c>
      <c r="M26907">
        <v>46554</v>
      </c>
      <c r="N26907" t="s">
        <v>102</v>
      </c>
      <c r="O26907">
        <v>250918</v>
      </c>
      <c r="P26907">
        <v>227.63</v>
      </c>
    </row>
    <row r="26908" spans="1:16" x14ac:dyDescent="0.25">
      <c r="A26908" t="s">
        <v>3296</v>
      </c>
      <c r="B26908" t="s">
        <v>2931</v>
      </c>
      <c r="C26908">
        <v>12297</v>
      </c>
      <c r="D26908" t="str">
        <f>"0124651147  "</f>
        <v xml:space="preserve">0124651147  </v>
      </c>
      <c r="E26908" t="s">
        <v>292</v>
      </c>
      <c r="F26908" t="s">
        <v>294</v>
      </c>
      <c r="G26908">
        <v>98.91</v>
      </c>
      <c r="H26908">
        <v>250904</v>
      </c>
      <c r="I26908">
        <v>4600</v>
      </c>
      <c r="J26908" t="s">
        <v>278</v>
      </c>
      <c r="K26908">
        <v>98.91</v>
      </c>
      <c r="L26908">
        <v>20.100000000000001</v>
      </c>
      <c r="M26908">
        <v>17802</v>
      </c>
      <c r="N26908" t="s">
        <v>18</v>
      </c>
      <c r="O26908">
        <v>250918</v>
      </c>
      <c r="P26908">
        <v>78.81</v>
      </c>
    </row>
    <row r="26909" spans="1:16" x14ac:dyDescent="0.25">
      <c r="A26909" t="s">
        <v>3296</v>
      </c>
      <c r="B26909" t="s">
        <v>2931</v>
      </c>
      <c r="C26909">
        <v>12328</v>
      </c>
      <c r="D26909" t="str">
        <f>"0124656489  "</f>
        <v xml:space="preserve">0124656489  </v>
      </c>
      <c r="E26909" t="s">
        <v>292</v>
      </c>
      <c r="F26909" t="s">
        <v>294</v>
      </c>
      <c r="G26909">
        <v>109.26</v>
      </c>
      <c r="H26909">
        <v>250905</v>
      </c>
      <c r="I26909">
        <v>4600</v>
      </c>
      <c r="J26909" t="s">
        <v>278</v>
      </c>
      <c r="K26909">
        <v>109.26</v>
      </c>
      <c r="L26909">
        <v>22.2</v>
      </c>
      <c r="M26909">
        <v>49501</v>
      </c>
      <c r="N26909" t="s">
        <v>110</v>
      </c>
      <c r="O26909">
        <v>250919</v>
      </c>
      <c r="P26909">
        <v>87.06</v>
      </c>
    </row>
    <row r="26910" spans="1:16" x14ac:dyDescent="0.25">
      <c r="A26910" t="s">
        <v>3296</v>
      </c>
      <c r="B26910" t="s">
        <v>2931</v>
      </c>
      <c r="C26910">
        <v>12380</v>
      </c>
      <c r="D26910" t="str">
        <f>"0124672275  "</f>
        <v xml:space="preserve">0124672275  </v>
      </c>
      <c r="E26910" t="s">
        <v>292</v>
      </c>
      <c r="F26910" t="s">
        <v>294</v>
      </c>
      <c r="G26910">
        <v>40.520000000000003</v>
      </c>
      <c r="H26910">
        <v>250910</v>
      </c>
      <c r="I26910">
        <v>4600</v>
      </c>
      <c r="J26910" t="s">
        <v>278</v>
      </c>
      <c r="K26910">
        <v>40.520000000000003</v>
      </c>
      <c r="L26910">
        <v>8.23</v>
      </c>
      <c r="M26910">
        <v>47522</v>
      </c>
      <c r="N26910" t="s">
        <v>106</v>
      </c>
      <c r="O26910">
        <v>250919</v>
      </c>
      <c r="P26910">
        <v>32.29</v>
      </c>
    </row>
    <row r="26911" spans="1:16" x14ac:dyDescent="0.25">
      <c r="A26911" t="s">
        <v>3296</v>
      </c>
      <c r="B26911" t="s">
        <v>2931</v>
      </c>
      <c r="C26911">
        <v>12382</v>
      </c>
      <c r="D26911" t="str">
        <f>"0124669949  "</f>
        <v xml:space="preserve">0124669949  </v>
      </c>
      <c r="E26911" t="s">
        <v>292</v>
      </c>
      <c r="F26911" t="s">
        <v>294</v>
      </c>
      <c r="G26911">
        <v>69.680000000000007</v>
      </c>
      <c r="H26911">
        <v>250910</v>
      </c>
      <c r="I26911">
        <v>4600</v>
      </c>
      <c r="J26911" t="s">
        <v>278</v>
      </c>
      <c r="K26911">
        <v>322.99</v>
      </c>
      <c r="L26911">
        <v>14.16</v>
      </c>
      <c r="M26911">
        <v>17522</v>
      </c>
      <c r="N26911" t="s">
        <v>137</v>
      </c>
      <c r="O26911">
        <v>250919</v>
      </c>
      <c r="P26911">
        <v>55.52</v>
      </c>
    </row>
    <row r="26912" spans="1:16" x14ac:dyDescent="0.25">
      <c r="A26912" t="s">
        <v>3296</v>
      </c>
      <c r="B26912" t="s">
        <v>2931</v>
      </c>
      <c r="C26912">
        <v>12382</v>
      </c>
      <c r="D26912" t="str">
        <f>"0124669949  "</f>
        <v xml:space="preserve">0124669949  </v>
      </c>
      <c r="E26912" t="s">
        <v>292</v>
      </c>
      <c r="F26912" t="s">
        <v>294</v>
      </c>
      <c r="G26912">
        <v>75.42</v>
      </c>
      <c r="H26912">
        <v>250910</v>
      </c>
      <c r="I26912">
        <v>4600</v>
      </c>
      <c r="J26912" t="s">
        <v>278</v>
      </c>
      <c r="K26912">
        <v>322.99</v>
      </c>
      <c r="L26912">
        <v>15.32</v>
      </c>
      <c r="M26912">
        <v>17524</v>
      </c>
      <c r="N26912" t="s">
        <v>139</v>
      </c>
      <c r="O26912">
        <v>250919</v>
      </c>
      <c r="P26912">
        <v>60.1</v>
      </c>
    </row>
    <row r="26913" spans="1:16" x14ac:dyDescent="0.25">
      <c r="A26913" t="s">
        <v>3296</v>
      </c>
      <c r="B26913" t="s">
        <v>2931</v>
      </c>
      <c r="C26913">
        <v>12385</v>
      </c>
      <c r="D26913" t="str">
        <f>"0124676388  "</f>
        <v xml:space="preserve">0124676388  </v>
      </c>
      <c r="E26913" t="s">
        <v>292</v>
      </c>
      <c r="F26913" t="s">
        <v>294</v>
      </c>
      <c r="G26913">
        <v>51.3</v>
      </c>
      <c r="H26913">
        <v>250911</v>
      </c>
      <c r="I26913">
        <v>4600</v>
      </c>
      <c r="J26913" t="s">
        <v>278</v>
      </c>
      <c r="K26913">
        <v>51.3</v>
      </c>
      <c r="L26913">
        <v>10.42</v>
      </c>
      <c r="M26913">
        <v>17807</v>
      </c>
      <c r="N26913" t="s">
        <v>23</v>
      </c>
      <c r="O26913">
        <v>250919</v>
      </c>
      <c r="P26913">
        <v>40.880000000000003</v>
      </c>
    </row>
    <row r="26914" spans="1:16" x14ac:dyDescent="0.25">
      <c r="A26914" t="s">
        <v>3296</v>
      </c>
      <c r="B26914" t="s">
        <v>2931</v>
      </c>
      <c r="C26914">
        <v>12422</v>
      </c>
      <c r="D26914" t="str">
        <f>"0124694473  "</f>
        <v xml:space="preserve">0124694473  </v>
      </c>
      <c r="E26914" t="s">
        <v>292</v>
      </c>
      <c r="F26914" t="s">
        <v>294</v>
      </c>
      <c r="G26914">
        <v>254.49</v>
      </c>
      <c r="H26914">
        <v>250915</v>
      </c>
      <c r="I26914">
        <v>4600</v>
      </c>
      <c r="J26914" t="s">
        <v>278</v>
      </c>
      <c r="K26914">
        <v>254.49</v>
      </c>
      <c r="L26914">
        <v>51.71</v>
      </c>
      <c r="M26914">
        <v>46554</v>
      </c>
      <c r="N26914" t="s">
        <v>102</v>
      </c>
      <c r="O26914">
        <v>250919</v>
      </c>
      <c r="P26914">
        <v>202.78</v>
      </c>
    </row>
    <row r="26915" spans="1:16" x14ac:dyDescent="0.25">
      <c r="A26915" t="s">
        <v>3296</v>
      </c>
      <c r="B26915" t="s">
        <v>2931</v>
      </c>
      <c r="C26915">
        <v>12426</v>
      </c>
      <c r="D26915" t="str">
        <f>"0124696851  "</f>
        <v xml:space="preserve">0124696851  </v>
      </c>
      <c r="E26915" t="s">
        <v>292</v>
      </c>
      <c r="F26915" t="s">
        <v>294</v>
      </c>
      <c r="G26915">
        <v>62.62</v>
      </c>
      <c r="H26915">
        <v>250916</v>
      </c>
      <c r="I26915">
        <v>4600</v>
      </c>
      <c r="J26915" t="s">
        <v>278</v>
      </c>
      <c r="K26915">
        <v>62.62</v>
      </c>
      <c r="L26915">
        <v>12.72</v>
      </c>
      <c r="M26915">
        <v>17807</v>
      </c>
      <c r="N26915" t="s">
        <v>23</v>
      </c>
      <c r="O26915">
        <v>250919</v>
      </c>
      <c r="P26915">
        <v>49.9</v>
      </c>
    </row>
    <row r="26916" spans="1:16" x14ac:dyDescent="0.25">
      <c r="A26916" t="s">
        <v>3296</v>
      </c>
      <c r="B26916" t="s">
        <v>2931</v>
      </c>
      <c r="C26916">
        <v>12772</v>
      </c>
      <c r="D26916" t="str">
        <f>"0124690165  "</f>
        <v xml:space="preserve">0124690165  </v>
      </c>
      <c r="E26916" t="s">
        <v>292</v>
      </c>
      <c r="F26916" t="s">
        <v>294</v>
      </c>
      <c r="G26916">
        <v>204.63</v>
      </c>
      <c r="H26916">
        <v>250915</v>
      </c>
      <c r="I26916">
        <v>4600</v>
      </c>
      <c r="J26916" t="s">
        <v>278</v>
      </c>
      <c r="K26916">
        <v>204.63</v>
      </c>
      <c r="L26916">
        <v>41.58</v>
      </c>
      <c r="M26916">
        <v>56565</v>
      </c>
      <c r="N26916" t="s">
        <v>57</v>
      </c>
      <c r="O26916">
        <v>250930</v>
      </c>
      <c r="P26916">
        <v>163.05000000000001</v>
      </c>
    </row>
    <row r="26917" spans="1:16" x14ac:dyDescent="0.25">
      <c r="A26917" t="s">
        <v>3296</v>
      </c>
      <c r="B26917" t="s">
        <v>2931</v>
      </c>
      <c r="C26917">
        <v>12774</v>
      </c>
      <c r="D26917" t="str">
        <f>"0124690161  "</f>
        <v xml:space="preserve">0124690161  </v>
      </c>
      <c r="E26917" t="s">
        <v>292</v>
      </c>
      <c r="F26917" t="s">
        <v>294</v>
      </c>
      <c r="G26917">
        <v>1270.48</v>
      </c>
      <c r="H26917">
        <v>250915</v>
      </c>
      <c r="I26917">
        <v>4600</v>
      </c>
      <c r="J26917" t="s">
        <v>278</v>
      </c>
      <c r="K26917">
        <v>1270.48</v>
      </c>
      <c r="L26917">
        <v>258.14999999999998</v>
      </c>
      <c r="M26917">
        <v>56568</v>
      </c>
      <c r="N26917" t="s">
        <v>354</v>
      </c>
      <c r="O26917">
        <v>250930</v>
      </c>
      <c r="P26917">
        <v>1012.33</v>
      </c>
    </row>
    <row r="26918" spans="1:16" x14ac:dyDescent="0.25">
      <c r="A26918" t="s">
        <v>3296</v>
      </c>
      <c r="B26918" t="s">
        <v>2931</v>
      </c>
      <c r="C26918">
        <v>12780</v>
      </c>
      <c r="D26918" t="str">
        <f>"0124696852  "</f>
        <v xml:space="preserve">0124696852  </v>
      </c>
      <c r="E26918" t="s">
        <v>292</v>
      </c>
      <c r="F26918" t="s">
        <v>294</v>
      </c>
      <c r="G26918">
        <v>150.27000000000001</v>
      </c>
      <c r="H26918">
        <v>250916</v>
      </c>
      <c r="I26918">
        <v>4600</v>
      </c>
      <c r="J26918" t="s">
        <v>278</v>
      </c>
      <c r="K26918">
        <v>150.27000000000001</v>
      </c>
      <c r="L26918">
        <v>30.53</v>
      </c>
      <c r="M26918">
        <v>17805</v>
      </c>
      <c r="N26918" t="s">
        <v>21</v>
      </c>
      <c r="O26918">
        <v>250930</v>
      </c>
      <c r="P26918">
        <v>119.74</v>
      </c>
    </row>
    <row r="26919" spans="1:16" x14ac:dyDescent="0.25">
      <c r="A26919" t="s">
        <v>3296</v>
      </c>
      <c r="B26919" t="s">
        <v>2931</v>
      </c>
      <c r="C26919">
        <v>12797</v>
      </c>
      <c r="D26919" t="str">
        <f>"0124707206  "</f>
        <v xml:space="preserve">0124707206  </v>
      </c>
      <c r="E26919" t="s">
        <v>292</v>
      </c>
      <c r="F26919" t="s">
        <v>294</v>
      </c>
      <c r="G26919">
        <v>93.59</v>
      </c>
      <c r="H26919">
        <v>250918</v>
      </c>
      <c r="I26919">
        <v>4600</v>
      </c>
      <c r="J26919" t="s">
        <v>278</v>
      </c>
      <c r="K26919">
        <v>93.59</v>
      </c>
      <c r="L26919">
        <v>19.02</v>
      </c>
      <c r="M26919">
        <v>17807</v>
      </c>
      <c r="N26919" t="s">
        <v>23</v>
      </c>
      <c r="O26919">
        <v>250930</v>
      </c>
      <c r="P26919">
        <v>74.569999999999993</v>
      </c>
    </row>
    <row r="26920" spans="1:16" x14ac:dyDescent="0.25">
      <c r="A26920" t="s">
        <v>3296</v>
      </c>
      <c r="B26920" t="s">
        <v>2931</v>
      </c>
      <c r="C26920">
        <v>12818</v>
      </c>
      <c r="D26920" t="str">
        <f>"0124722010  "</f>
        <v xml:space="preserve">0124722010  </v>
      </c>
      <c r="E26920" t="s">
        <v>292</v>
      </c>
      <c r="F26920" t="s">
        <v>294</v>
      </c>
      <c r="G26920">
        <v>101</v>
      </c>
      <c r="H26920">
        <v>250922</v>
      </c>
      <c r="I26920">
        <v>4600</v>
      </c>
      <c r="J26920" t="s">
        <v>278</v>
      </c>
      <c r="K26920">
        <v>101</v>
      </c>
      <c r="L26920">
        <v>20.52</v>
      </c>
      <c r="M26920">
        <v>47522</v>
      </c>
      <c r="N26920" t="s">
        <v>106</v>
      </c>
      <c r="O26920">
        <v>250930</v>
      </c>
      <c r="P26920">
        <v>80.48</v>
      </c>
    </row>
    <row r="26921" spans="1:16" x14ac:dyDescent="0.25">
      <c r="A26921" t="s">
        <v>3296</v>
      </c>
      <c r="B26921" t="s">
        <v>2931</v>
      </c>
      <c r="C26921">
        <v>12820</v>
      </c>
      <c r="D26921" t="str">
        <f>"0124721888  "</f>
        <v xml:space="preserve">0124721888  </v>
      </c>
      <c r="E26921" t="s">
        <v>292</v>
      </c>
      <c r="F26921" t="s">
        <v>294</v>
      </c>
      <c r="G26921">
        <v>101.33</v>
      </c>
      <c r="H26921">
        <v>250922</v>
      </c>
      <c r="I26921">
        <v>4600</v>
      </c>
      <c r="J26921" t="s">
        <v>278</v>
      </c>
      <c r="K26921">
        <v>101.33</v>
      </c>
      <c r="L26921">
        <v>20.59</v>
      </c>
      <c r="M26921">
        <v>67554</v>
      </c>
      <c r="N26921" t="s">
        <v>317</v>
      </c>
      <c r="O26921">
        <v>250930</v>
      </c>
      <c r="P26921">
        <v>80.739999999999995</v>
      </c>
    </row>
    <row r="26922" spans="1:16" x14ac:dyDescent="0.25">
      <c r="A26922" t="s">
        <v>3296</v>
      </c>
      <c r="B26922" t="s">
        <v>2931</v>
      </c>
      <c r="C26922">
        <v>12835</v>
      </c>
      <c r="D26922" t="str">
        <f>"0124675376  "</f>
        <v xml:space="preserve">0124675376  </v>
      </c>
      <c r="E26922" t="s">
        <v>292</v>
      </c>
      <c r="F26922" t="s">
        <v>294</v>
      </c>
      <c r="G26922">
        <v>97.45</v>
      </c>
      <c r="H26922">
        <v>250911</v>
      </c>
      <c r="I26922">
        <v>4600</v>
      </c>
      <c r="J26922" t="s">
        <v>278</v>
      </c>
      <c r="K26922">
        <v>539.22</v>
      </c>
      <c r="L26922">
        <v>19.8</v>
      </c>
      <c r="M26922">
        <v>46554</v>
      </c>
      <c r="N26922" t="s">
        <v>102</v>
      </c>
      <c r="O26922">
        <v>250930</v>
      </c>
      <c r="P26922">
        <v>77.650000000000006</v>
      </c>
    </row>
    <row r="26923" spans="1:16" x14ac:dyDescent="0.25">
      <c r="A26923" t="s">
        <v>3296</v>
      </c>
      <c r="B26923" t="s">
        <v>2931</v>
      </c>
      <c r="C26923">
        <v>12844</v>
      </c>
      <c r="D26923" t="str">
        <f>"0124690164  "</f>
        <v xml:space="preserve">0124690164  </v>
      </c>
      <c r="E26923" t="s">
        <v>292</v>
      </c>
      <c r="F26923" t="s">
        <v>294</v>
      </c>
      <c r="G26923">
        <v>1168.97</v>
      </c>
      <c r="H26923">
        <v>250915</v>
      </c>
      <c r="I26923">
        <v>4600</v>
      </c>
      <c r="J26923" t="s">
        <v>278</v>
      </c>
      <c r="K26923">
        <v>1168.97</v>
      </c>
      <c r="L26923">
        <v>237.52</v>
      </c>
      <c r="M26923">
        <v>51151</v>
      </c>
      <c r="N26923" t="s">
        <v>221</v>
      </c>
      <c r="O26923">
        <v>250930</v>
      </c>
      <c r="P26923">
        <v>931.45</v>
      </c>
    </row>
    <row r="26924" spans="1:16" x14ac:dyDescent="0.25">
      <c r="A26924" t="s">
        <v>3296</v>
      </c>
      <c r="B26924" t="s">
        <v>2931</v>
      </c>
      <c r="C26924">
        <v>12860</v>
      </c>
      <c r="D26924" t="str">
        <f>"0124731144  "</f>
        <v xml:space="preserve">0124731144  </v>
      </c>
      <c r="E26924" t="s">
        <v>292</v>
      </c>
      <c r="F26924" t="s">
        <v>294</v>
      </c>
      <c r="G26924">
        <v>260.29000000000002</v>
      </c>
      <c r="H26924">
        <v>250925</v>
      </c>
      <c r="I26924">
        <v>4600</v>
      </c>
      <c r="J26924" t="s">
        <v>278</v>
      </c>
      <c r="K26924">
        <v>260.29000000000002</v>
      </c>
      <c r="L26924">
        <v>52.89</v>
      </c>
      <c r="M26924">
        <v>17807</v>
      </c>
      <c r="N26924" t="s">
        <v>23</v>
      </c>
      <c r="O26924">
        <v>250930</v>
      </c>
      <c r="P26924">
        <v>207.4</v>
      </c>
    </row>
    <row r="26925" spans="1:16" x14ac:dyDescent="0.25">
      <c r="A26925" t="s">
        <v>3296</v>
      </c>
      <c r="B26925" t="s">
        <v>2931</v>
      </c>
      <c r="C26925">
        <v>12948</v>
      </c>
      <c r="D26925" t="str">
        <f>"0124707259  "</f>
        <v xml:space="preserve">0124707259  </v>
      </c>
      <c r="E26925" t="s">
        <v>292</v>
      </c>
      <c r="F26925" t="s">
        <v>294</v>
      </c>
      <c r="G26925">
        <v>689.63</v>
      </c>
      <c r="H26925">
        <v>250918</v>
      </c>
      <c r="I26925">
        <v>4600</v>
      </c>
      <c r="J26925" t="s">
        <v>278</v>
      </c>
      <c r="K26925">
        <v>689.63</v>
      </c>
      <c r="L26925">
        <v>140.12</v>
      </c>
      <c r="M26925">
        <v>46554</v>
      </c>
      <c r="N26925" t="s">
        <v>102</v>
      </c>
      <c r="O26925">
        <v>251002</v>
      </c>
      <c r="P26925">
        <v>549.51</v>
      </c>
    </row>
    <row r="26926" spans="1:16" x14ac:dyDescent="0.25">
      <c r="A26926" t="s">
        <v>3296</v>
      </c>
      <c r="B26926" t="s">
        <v>2931</v>
      </c>
      <c r="C26926">
        <v>12950</v>
      </c>
      <c r="D26926" t="str">
        <f>"0124731182  "</f>
        <v xml:space="preserve">0124731182  </v>
      </c>
      <c r="E26926" t="s">
        <v>292</v>
      </c>
      <c r="F26926" t="s">
        <v>294</v>
      </c>
      <c r="G26926">
        <v>60.36</v>
      </c>
      <c r="H26926">
        <v>250925</v>
      </c>
      <c r="I26926">
        <v>4600</v>
      </c>
      <c r="J26926" t="s">
        <v>278</v>
      </c>
      <c r="K26926">
        <v>60.36</v>
      </c>
      <c r="L26926">
        <v>12.26</v>
      </c>
      <c r="M26926">
        <v>46554</v>
      </c>
      <c r="N26926" t="s">
        <v>102</v>
      </c>
      <c r="O26926">
        <v>251002</v>
      </c>
      <c r="P26926">
        <v>48.1</v>
      </c>
    </row>
    <row r="26927" spans="1:16" x14ac:dyDescent="0.25">
      <c r="A26927" t="s">
        <v>3296</v>
      </c>
      <c r="B26927" t="s">
        <v>2931</v>
      </c>
      <c r="C26927">
        <v>13052</v>
      </c>
      <c r="D26927" t="str">
        <f>"0124754807  "</f>
        <v xml:space="preserve">0124754807  </v>
      </c>
      <c r="E26927" t="s">
        <v>292</v>
      </c>
      <c r="F26927" t="s">
        <v>294</v>
      </c>
      <c r="G26927">
        <v>38</v>
      </c>
      <c r="H26927">
        <v>250930</v>
      </c>
      <c r="I26927">
        <v>4600</v>
      </c>
      <c r="J26927" t="s">
        <v>278</v>
      </c>
      <c r="K26927">
        <v>38</v>
      </c>
      <c r="L26927">
        <v>7.72</v>
      </c>
      <c r="M26927">
        <v>56564</v>
      </c>
      <c r="N26927" t="s">
        <v>56</v>
      </c>
      <c r="O26927">
        <v>251003</v>
      </c>
      <c r="P26927">
        <v>30.28</v>
      </c>
    </row>
    <row r="26928" spans="1:16" x14ac:dyDescent="0.25">
      <c r="A26928" t="s">
        <v>3296</v>
      </c>
      <c r="B26928" t="s">
        <v>2931</v>
      </c>
      <c r="C26928">
        <v>13150</v>
      </c>
      <c r="D26928" t="str">
        <f>"0124724747  "</f>
        <v xml:space="preserve">0124724747  </v>
      </c>
      <c r="E26928" t="s">
        <v>292</v>
      </c>
      <c r="F26928" t="s">
        <v>294</v>
      </c>
      <c r="G26928">
        <v>69.680000000000007</v>
      </c>
      <c r="H26928">
        <v>250923</v>
      </c>
      <c r="I26928">
        <v>4600</v>
      </c>
      <c r="J26928" t="s">
        <v>278</v>
      </c>
      <c r="K26928">
        <v>75.680000000000007</v>
      </c>
      <c r="L26928">
        <v>14.16</v>
      </c>
      <c r="M26928">
        <v>17522</v>
      </c>
      <c r="N26928" t="s">
        <v>137</v>
      </c>
      <c r="O26928">
        <v>251006</v>
      </c>
      <c r="P26928">
        <v>55.52</v>
      </c>
    </row>
    <row r="26929" spans="1:16" x14ac:dyDescent="0.25">
      <c r="A26929" t="s">
        <v>3296</v>
      </c>
      <c r="B26929" t="s">
        <v>2931</v>
      </c>
      <c r="C26929">
        <v>13150</v>
      </c>
      <c r="D26929" t="str">
        <f>"0124724747  "</f>
        <v xml:space="preserve">0124724747  </v>
      </c>
      <c r="E26929" t="s">
        <v>292</v>
      </c>
      <c r="F26929" t="s">
        <v>294</v>
      </c>
      <c r="G26929">
        <v>6</v>
      </c>
      <c r="H26929">
        <v>250923</v>
      </c>
      <c r="I26929">
        <v>4600</v>
      </c>
      <c r="J26929" t="s">
        <v>278</v>
      </c>
      <c r="K26929">
        <v>75.680000000000007</v>
      </c>
      <c r="L26929">
        <v>1.22</v>
      </c>
      <c r="M26929">
        <v>17531</v>
      </c>
      <c r="N26929" t="s">
        <v>145</v>
      </c>
      <c r="O26929">
        <v>251006</v>
      </c>
      <c r="P26929">
        <v>4.78</v>
      </c>
    </row>
    <row r="26930" spans="1:16" x14ac:dyDescent="0.25">
      <c r="A26930" t="s">
        <v>3296</v>
      </c>
      <c r="B26930" t="s">
        <v>2931</v>
      </c>
      <c r="C26930">
        <v>13158</v>
      </c>
      <c r="D26930" t="str">
        <f>"0124754806  "</f>
        <v xml:space="preserve">0124754806  </v>
      </c>
      <c r="E26930" t="s">
        <v>292</v>
      </c>
      <c r="F26930" t="s">
        <v>294</v>
      </c>
      <c r="G26930">
        <v>301.51</v>
      </c>
      <c r="H26930">
        <v>250930</v>
      </c>
      <c r="I26930">
        <v>4600</v>
      </c>
      <c r="J26930" t="s">
        <v>278</v>
      </c>
      <c r="K26930">
        <v>301.51</v>
      </c>
      <c r="L26930">
        <v>61.26</v>
      </c>
      <c r="M26930">
        <v>56565</v>
      </c>
      <c r="N26930" t="s">
        <v>57</v>
      </c>
      <c r="O26930">
        <v>251006</v>
      </c>
      <c r="P26930">
        <v>240.25</v>
      </c>
    </row>
    <row r="26931" spans="1:16" x14ac:dyDescent="0.25">
      <c r="A26931" t="s">
        <v>3296</v>
      </c>
      <c r="B26931" t="s">
        <v>2931</v>
      </c>
      <c r="C26931">
        <v>13161</v>
      </c>
      <c r="D26931" t="str">
        <f>"0124754810  "</f>
        <v xml:space="preserve">0124754810  </v>
      </c>
      <c r="E26931" t="s">
        <v>292</v>
      </c>
      <c r="F26931" t="s">
        <v>294</v>
      </c>
      <c r="G26931">
        <v>375.85</v>
      </c>
      <c r="H26931">
        <v>250930</v>
      </c>
      <c r="I26931">
        <v>4600</v>
      </c>
      <c r="J26931" t="s">
        <v>278</v>
      </c>
      <c r="K26931">
        <v>375.85</v>
      </c>
      <c r="L26931">
        <v>76.37</v>
      </c>
      <c r="M26931">
        <v>56568</v>
      </c>
      <c r="N26931" t="s">
        <v>354</v>
      </c>
      <c r="O26931">
        <v>251006</v>
      </c>
      <c r="P26931">
        <v>299.48</v>
      </c>
    </row>
    <row r="26932" spans="1:16" x14ac:dyDescent="0.25">
      <c r="A26932" t="s">
        <v>3296</v>
      </c>
      <c r="B26932" t="s">
        <v>2931</v>
      </c>
      <c r="C26932">
        <v>13221</v>
      </c>
      <c r="D26932" t="str">
        <f>"0124690163  "</f>
        <v xml:space="preserve">0124690163  </v>
      </c>
      <c r="E26932" t="s">
        <v>292</v>
      </c>
      <c r="F26932" t="s">
        <v>294</v>
      </c>
      <c r="G26932">
        <v>291.45999999999998</v>
      </c>
      <c r="H26932">
        <v>250915</v>
      </c>
      <c r="I26932">
        <v>4600</v>
      </c>
      <c r="J26932" t="s">
        <v>278</v>
      </c>
      <c r="K26932">
        <v>291.45999999999998</v>
      </c>
      <c r="L26932">
        <v>59.22</v>
      </c>
      <c r="M26932">
        <v>56558</v>
      </c>
      <c r="N26932" t="s">
        <v>50</v>
      </c>
      <c r="O26932">
        <v>251006</v>
      </c>
      <c r="P26932">
        <v>232.24</v>
      </c>
    </row>
    <row r="26933" spans="1:16" x14ac:dyDescent="0.25">
      <c r="A26933" t="s">
        <v>3296</v>
      </c>
      <c r="B26933" t="s">
        <v>2931</v>
      </c>
      <c r="C26933">
        <v>13301</v>
      </c>
      <c r="D26933" t="str">
        <f>"0124676389  "</f>
        <v xml:space="preserve">0124676389  </v>
      </c>
      <c r="E26933" t="s">
        <v>292</v>
      </c>
      <c r="F26933" t="s">
        <v>294</v>
      </c>
      <c r="G26933">
        <v>95.71</v>
      </c>
      <c r="H26933">
        <v>250911</v>
      </c>
      <c r="I26933">
        <v>4600</v>
      </c>
      <c r="J26933" t="s">
        <v>278</v>
      </c>
      <c r="K26933">
        <v>95.71</v>
      </c>
      <c r="L26933">
        <v>19.45</v>
      </c>
      <c r="M26933">
        <v>17802</v>
      </c>
      <c r="N26933" t="s">
        <v>18</v>
      </c>
      <c r="O26933">
        <v>251007</v>
      </c>
      <c r="P26933">
        <v>76.260000000000005</v>
      </c>
    </row>
    <row r="26934" spans="1:16" x14ac:dyDescent="0.25">
      <c r="A26934" t="s">
        <v>3296</v>
      </c>
      <c r="B26934" t="s">
        <v>2931</v>
      </c>
      <c r="C26934">
        <v>13525</v>
      </c>
      <c r="D26934" t="str">
        <f>"0124729240  "</f>
        <v xml:space="preserve">0124729240  </v>
      </c>
      <c r="E26934" t="s">
        <v>292</v>
      </c>
      <c r="F26934" t="s">
        <v>294</v>
      </c>
      <c r="G26934">
        <v>94.93</v>
      </c>
      <c r="H26934">
        <v>250924</v>
      </c>
      <c r="I26934">
        <v>4600</v>
      </c>
      <c r="J26934" t="s">
        <v>278</v>
      </c>
      <c r="K26934">
        <v>418.92</v>
      </c>
      <c r="L26934">
        <v>19.29</v>
      </c>
      <c r="M26934">
        <v>17522</v>
      </c>
      <c r="N26934" t="s">
        <v>137</v>
      </c>
      <c r="O26934">
        <v>251010</v>
      </c>
      <c r="P26934">
        <v>75.64</v>
      </c>
    </row>
    <row r="26935" spans="1:16" x14ac:dyDescent="0.25">
      <c r="A26935" t="s">
        <v>3296</v>
      </c>
      <c r="B26935" t="s">
        <v>2931</v>
      </c>
      <c r="C26935">
        <v>13535</v>
      </c>
      <c r="D26935" t="str">
        <f>"0124754808  "</f>
        <v xml:space="preserve">0124754808  </v>
      </c>
      <c r="E26935" t="s">
        <v>292</v>
      </c>
      <c r="F26935" t="s">
        <v>294</v>
      </c>
      <c r="G26935">
        <v>45.9</v>
      </c>
      <c r="H26935">
        <v>250930</v>
      </c>
      <c r="I26935">
        <v>4600</v>
      </c>
      <c r="J26935" t="s">
        <v>278</v>
      </c>
      <c r="K26935">
        <v>253.97</v>
      </c>
      <c r="L26935">
        <v>9.33</v>
      </c>
      <c r="M26935">
        <v>59501</v>
      </c>
      <c r="N26935" t="s">
        <v>62</v>
      </c>
      <c r="O26935">
        <v>251010</v>
      </c>
      <c r="P26935">
        <v>36.57</v>
      </c>
    </row>
    <row r="26936" spans="1:16" x14ac:dyDescent="0.25">
      <c r="A26936" t="s">
        <v>3296</v>
      </c>
      <c r="B26936" t="s">
        <v>2931</v>
      </c>
      <c r="C26936">
        <v>13555</v>
      </c>
      <c r="D26936" t="str">
        <f>"0124775429  "</f>
        <v xml:space="preserve">0124775429  </v>
      </c>
      <c r="E26936" t="s">
        <v>292</v>
      </c>
      <c r="F26936" t="s">
        <v>294</v>
      </c>
      <c r="G26936">
        <v>62.35</v>
      </c>
      <c r="H26936">
        <v>250930</v>
      </c>
      <c r="I26936">
        <v>4600</v>
      </c>
      <c r="J26936" t="s">
        <v>278</v>
      </c>
      <c r="K26936">
        <v>62.35</v>
      </c>
      <c r="L26936">
        <v>12.67</v>
      </c>
      <c r="M26936">
        <v>67554</v>
      </c>
      <c r="N26936" t="s">
        <v>317</v>
      </c>
      <c r="O26936">
        <v>251010</v>
      </c>
      <c r="P26936">
        <v>49.68</v>
      </c>
    </row>
    <row r="26937" spans="1:16" x14ac:dyDescent="0.25">
      <c r="A26937" t="s">
        <v>3296</v>
      </c>
      <c r="B26937" t="s">
        <v>2931</v>
      </c>
      <c r="C26937">
        <v>13577</v>
      </c>
      <c r="D26937" t="str">
        <f>"0124731146  "</f>
        <v xml:space="preserve">0124731146  </v>
      </c>
      <c r="E26937" t="s">
        <v>292</v>
      </c>
      <c r="F26937" t="s">
        <v>294</v>
      </c>
      <c r="G26937">
        <v>496.09</v>
      </c>
      <c r="H26937">
        <v>250925</v>
      </c>
      <c r="I26937">
        <v>4600</v>
      </c>
      <c r="J26937" t="s">
        <v>278</v>
      </c>
      <c r="K26937">
        <v>496.09</v>
      </c>
      <c r="L26937">
        <v>100.8</v>
      </c>
      <c r="M26937">
        <v>17802</v>
      </c>
      <c r="N26937" t="s">
        <v>18</v>
      </c>
      <c r="O26937">
        <v>251013</v>
      </c>
      <c r="P26937">
        <v>395.29</v>
      </c>
    </row>
    <row r="26938" spans="1:16" x14ac:dyDescent="0.25">
      <c r="A26938" t="s">
        <v>3296</v>
      </c>
      <c r="B26938" t="s">
        <v>2931</v>
      </c>
      <c r="C26938">
        <v>13621</v>
      </c>
      <c r="D26938" t="str">
        <f>"0124731183  "</f>
        <v xml:space="preserve">0124731183  </v>
      </c>
      <c r="E26938" t="s">
        <v>292</v>
      </c>
      <c r="F26938" t="s">
        <v>294</v>
      </c>
      <c r="G26938">
        <v>96.89</v>
      </c>
      <c r="H26938">
        <v>250925</v>
      </c>
      <c r="I26938">
        <v>4600</v>
      </c>
      <c r="J26938" t="s">
        <v>278</v>
      </c>
      <c r="K26938">
        <v>903.63</v>
      </c>
      <c r="L26938">
        <v>19.690000000000001</v>
      </c>
      <c r="M26938">
        <v>46554</v>
      </c>
      <c r="N26938" t="s">
        <v>102</v>
      </c>
      <c r="O26938">
        <v>251013</v>
      </c>
      <c r="P26938">
        <v>77.2</v>
      </c>
    </row>
    <row r="26939" spans="1:16" x14ac:dyDescent="0.25">
      <c r="A26939" t="s">
        <v>3296</v>
      </c>
      <c r="B26939" t="s">
        <v>2931</v>
      </c>
      <c r="C26939">
        <v>13621</v>
      </c>
      <c r="D26939" t="str">
        <f>"0124731183  "</f>
        <v xml:space="preserve">0124731183  </v>
      </c>
      <c r="E26939" t="s">
        <v>292</v>
      </c>
      <c r="F26939" t="s">
        <v>294</v>
      </c>
      <c r="G26939">
        <v>497.85</v>
      </c>
      <c r="H26939">
        <v>250925</v>
      </c>
      <c r="I26939">
        <v>4600</v>
      </c>
      <c r="J26939" t="s">
        <v>278</v>
      </c>
      <c r="K26939">
        <v>903.63</v>
      </c>
      <c r="L26939">
        <v>101.16</v>
      </c>
      <c r="M26939">
        <v>46554</v>
      </c>
      <c r="N26939" t="s">
        <v>102</v>
      </c>
      <c r="O26939">
        <v>251013</v>
      </c>
      <c r="P26939">
        <v>396.69</v>
      </c>
    </row>
    <row r="26940" spans="1:16" x14ac:dyDescent="0.25">
      <c r="A26940" t="s">
        <v>3296</v>
      </c>
      <c r="B26940" t="s">
        <v>2931</v>
      </c>
      <c r="C26940">
        <v>13677</v>
      </c>
      <c r="D26940" t="str">
        <f>"95515093    "</f>
        <v xml:space="preserve">95515093    </v>
      </c>
      <c r="E26940" t="s">
        <v>292</v>
      </c>
      <c r="F26940" t="s">
        <v>294</v>
      </c>
      <c r="G26940">
        <v>-166.66</v>
      </c>
      <c r="H26940">
        <v>250930</v>
      </c>
      <c r="I26940">
        <v>4600</v>
      </c>
      <c r="J26940" t="s">
        <v>278</v>
      </c>
      <c r="K26940">
        <v>-166.66</v>
      </c>
      <c r="L26940">
        <v>-33.86</v>
      </c>
      <c r="M26940">
        <v>55222</v>
      </c>
      <c r="N26940" t="s">
        <v>43</v>
      </c>
      <c r="O26940">
        <v>251013</v>
      </c>
      <c r="P26940">
        <v>-132.80000000000001</v>
      </c>
    </row>
    <row r="26941" spans="1:16" x14ac:dyDescent="0.25">
      <c r="A26941" t="s">
        <v>3296</v>
      </c>
      <c r="B26941" t="s">
        <v>2931</v>
      </c>
      <c r="C26941">
        <v>13880</v>
      </c>
      <c r="D26941" t="str">
        <f>"0124804841  "</f>
        <v xml:space="preserve">0124804841  </v>
      </c>
      <c r="E26941" t="s">
        <v>292</v>
      </c>
      <c r="F26941" t="s">
        <v>294</v>
      </c>
      <c r="G26941">
        <v>39.1</v>
      </c>
      <c r="H26941">
        <v>251009</v>
      </c>
      <c r="I26941">
        <v>4600</v>
      </c>
      <c r="J26941" t="s">
        <v>278</v>
      </c>
      <c r="K26941">
        <v>62.25</v>
      </c>
      <c r="L26941">
        <v>7.94</v>
      </c>
      <c r="M26941">
        <v>17711</v>
      </c>
      <c r="N26941" t="s">
        <v>155</v>
      </c>
      <c r="O26941">
        <v>251020</v>
      </c>
      <c r="P26941">
        <v>31.16</v>
      </c>
    </row>
    <row r="26942" spans="1:16" x14ac:dyDescent="0.25">
      <c r="A26942" t="s">
        <v>3296</v>
      </c>
      <c r="B26942" t="s">
        <v>2931</v>
      </c>
      <c r="C26942">
        <v>13886</v>
      </c>
      <c r="D26942" t="str">
        <f>"0124804567  "</f>
        <v xml:space="preserve">0124804567  </v>
      </c>
      <c r="E26942" t="s">
        <v>292</v>
      </c>
      <c r="F26942" t="s">
        <v>294</v>
      </c>
      <c r="G26942">
        <v>109.66</v>
      </c>
      <c r="H26942">
        <v>251009</v>
      </c>
      <c r="I26942">
        <v>4600</v>
      </c>
      <c r="J26942" t="s">
        <v>278</v>
      </c>
      <c r="K26942">
        <v>109.66</v>
      </c>
      <c r="L26942">
        <v>22.28</v>
      </c>
      <c r="M26942">
        <v>67522</v>
      </c>
      <c r="N26942" t="s">
        <v>121</v>
      </c>
      <c r="O26942">
        <v>251020</v>
      </c>
      <c r="P26942">
        <v>87.38</v>
      </c>
    </row>
    <row r="26943" spans="1:16" x14ac:dyDescent="0.25">
      <c r="A26943" t="s">
        <v>3296</v>
      </c>
      <c r="B26943" t="s">
        <v>2931</v>
      </c>
      <c r="C26943">
        <v>13888</v>
      </c>
      <c r="D26943" t="str">
        <f>"0124803823  "</f>
        <v xml:space="preserve">0124803823  </v>
      </c>
      <c r="E26943" t="s">
        <v>292</v>
      </c>
      <c r="F26943" t="s">
        <v>294</v>
      </c>
      <c r="G26943">
        <v>61.5</v>
      </c>
      <c r="H26943">
        <v>251009</v>
      </c>
      <c r="I26943">
        <v>4600</v>
      </c>
      <c r="J26943" t="s">
        <v>278</v>
      </c>
      <c r="K26943">
        <v>104.48</v>
      </c>
      <c r="L26943">
        <v>12.5</v>
      </c>
      <c r="M26943">
        <v>17536</v>
      </c>
      <c r="N26943" t="s">
        <v>150</v>
      </c>
      <c r="O26943">
        <v>251020</v>
      </c>
      <c r="P26943">
        <v>49</v>
      </c>
    </row>
    <row r="26944" spans="1:16" x14ac:dyDescent="0.25">
      <c r="A26944" t="s">
        <v>3296</v>
      </c>
      <c r="B26944" t="s">
        <v>2931</v>
      </c>
      <c r="C26944">
        <v>13888</v>
      </c>
      <c r="D26944" t="str">
        <f>"0124803823  "</f>
        <v xml:space="preserve">0124803823  </v>
      </c>
      <c r="E26944" t="s">
        <v>292</v>
      </c>
      <c r="F26944" t="s">
        <v>294</v>
      </c>
      <c r="G26944">
        <v>35.22</v>
      </c>
      <c r="H26944">
        <v>251009</v>
      </c>
      <c r="I26944">
        <v>4600</v>
      </c>
      <c r="J26944" t="s">
        <v>278</v>
      </c>
      <c r="K26944">
        <v>104.48</v>
      </c>
      <c r="L26944">
        <v>7.16</v>
      </c>
      <c r="M26944">
        <v>17645</v>
      </c>
      <c r="N26944" t="s">
        <v>1561</v>
      </c>
      <c r="O26944">
        <v>251020</v>
      </c>
      <c r="P26944">
        <v>28.06</v>
      </c>
    </row>
    <row r="26945" spans="1:16" x14ac:dyDescent="0.25">
      <c r="A26945" t="s">
        <v>3296</v>
      </c>
      <c r="B26945" t="s">
        <v>2931</v>
      </c>
      <c r="C26945">
        <v>13904</v>
      </c>
      <c r="D26945" t="str">
        <f>"0124804843  "</f>
        <v xml:space="preserve">0124804843  </v>
      </c>
      <c r="E26945" t="s">
        <v>292</v>
      </c>
      <c r="F26945" t="s">
        <v>294</v>
      </c>
      <c r="G26945">
        <v>102.24</v>
      </c>
      <c r="H26945">
        <v>251009</v>
      </c>
      <c r="I26945">
        <v>4600</v>
      </c>
      <c r="J26945" t="s">
        <v>278</v>
      </c>
      <c r="K26945">
        <v>102.24</v>
      </c>
      <c r="L26945">
        <v>20.77</v>
      </c>
      <c r="M26945">
        <v>17802</v>
      </c>
      <c r="N26945" t="s">
        <v>18</v>
      </c>
      <c r="O26945">
        <v>251020</v>
      </c>
      <c r="P26945">
        <v>81.47</v>
      </c>
    </row>
    <row r="26946" spans="1:16" x14ac:dyDescent="0.25">
      <c r="A26946" t="s">
        <v>3296</v>
      </c>
      <c r="B26946" t="s">
        <v>2931</v>
      </c>
      <c r="C26946">
        <v>13908</v>
      </c>
      <c r="D26946" t="str">
        <f>"0124804842  "</f>
        <v xml:space="preserve">0124804842  </v>
      </c>
      <c r="E26946" t="s">
        <v>292</v>
      </c>
      <c r="F26946" t="s">
        <v>294</v>
      </c>
      <c r="G26946">
        <v>150.74</v>
      </c>
      <c r="H26946">
        <v>251009</v>
      </c>
      <c r="I26946">
        <v>4600</v>
      </c>
      <c r="J26946" t="s">
        <v>278</v>
      </c>
      <c r="K26946">
        <v>150.74</v>
      </c>
      <c r="L26946">
        <v>30.63</v>
      </c>
      <c r="M26946">
        <v>17809</v>
      </c>
      <c r="N26946" t="s">
        <v>25</v>
      </c>
      <c r="O26946">
        <v>251020</v>
      </c>
      <c r="P26946">
        <v>120.11</v>
      </c>
    </row>
    <row r="26947" spans="1:16" x14ac:dyDescent="0.25">
      <c r="A26947" t="s">
        <v>3296</v>
      </c>
      <c r="B26947" t="s">
        <v>2931</v>
      </c>
      <c r="C26947">
        <v>13914</v>
      </c>
      <c r="D26947" t="str">
        <f>"0124811315  "</f>
        <v xml:space="preserve">0124811315  </v>
      </c>
      <c r="E26947" t="s">
        <v>292</v>
      </c>
      <c r="F26947" t="s">
        <v>294</v>
      </c>
      <c r="G26947">
        <v>52.31</v>
      </c>
      <c r="H26947">
        <v>251010</v>
      </c>
      <c r="I26947">
        <v>4600</v>
      </c>
      <c r="J26947" t="s">
        <v>278</v>
      </c>
      <c r="K26947">
        <v>74.819999999999993</v>
      </c>
      <c r="L26947">
        <v>10.63</v>
      </c>
      <c r="M26947">
        <v>46557</v>
      </c>
      <c r="N26947" t="s">
        <v>104</v>
      </c>
      <c r="O26947">
        <v>251020</v>
      </c>
      <c r="P26947">
        <v>41.68</v>
      </c>
    </row>
    <row r="26948" spans="1:16" x14ac:dyDescent="0.25">
      <c r="A26948" t="s">
        <v>3296</v>
      </c>
      <c r="B26948" t="s">
        <v>2931</v>
      </c>
      <c r="C26948">
        <v>13915</v>
      </c>
      <c r="D26948" t="str">
        <f>"0124814467  "</f>
        <v xml:space="preserve">0124814467  </v>
      </c>
      <c r="E26948" t="s">
        <v>292</v>
      </c>
      <c r="F26948" t="s">
        <v>294</v>
      </c>
      <c r="G26948">
        <v>47.16</v>
      </c>
      <c r="H26948">
        <v>251010</v>
      </c>
      <c r="I26948">
        <v>4600</v>
      </c>
      <c r="J26948" t="s">
        <v>278</v>
      </c>
      <c r="K26948">
        <v>265.66000000000003</v>
      </c>
      <c r="L26948">
        <v>9.58</v>
      </c>
      <c r="M26948">
        <v>17521</v>
      </c>
      <c r="N26948" t="s">
        <v>136</v>
      </c>
      <c r="O26948">
        <v>251020</v>
      </c>
      <c r="P26948">
        <v>37.58</v>
      </c>
    </row>
    <row r="26949" spans="1:16" x14ac:dyDescent="0.25">
      <c r="A26949" t="s">
        <v>3296</v>
      </c>
      <c r="B26949" t="s">
        <v>2931</v>
      </c>
      <c r="C26949">
        <v>13932</v>
      </c>
      <c r="D26949" t="str">
        <f>"0124827853  "</f>
        <v xml:space="preserve">0124827853  </v>
      </c>
      <c r="E26949" t="s">
        <v>292</v>
      </c>
      <c r="F26949" t="s">
        <v>294</v>
      </c>
      <c r="G26949">
        <v>86.56</v>
      </c>
      <c r="H26949">
        <v>251015</v>
      </c>
      <c r="I26949">
        <v>4600</v>
      </c>
      <c r="J26949" t="s">
        <v>278</v>
      </c>
      <c r="K26949">
        <v>86.56</v>
      </c>
      <c r="L26949">
        <v>17.59</v>
      </c>
      <c r="M26949">
        <v>59502</v>
      </c>
      <c r="N26949" t="s">
        <v>63</v>
      </c>
      <c r="O26949">
        <v>251020</v>
      </c>
      <c r="P26949">
        <v>68.97</v>
      </c>
    </row>
    <row r="26950" spans="1:16" x14ac:dyDescent="0.25">
      <c r="A26950" t="s">
        <v>3296</v>
      </c>
      <c r="B26950" t="s">
        <v>2931</v>
      </c>
      <c r="C26950">
        <v>13933</v>
      </c>
      <c r="D26950" t="str">
        <f>"0124827849  "</f>
        <v xml:space="preserve">0124827849  </v>
      </c>
      <c r="E26950" t="s">
        <v>292</v>
      </c>
      <c r="F26950" t="s">
        <v>294</v>
      </c>
      <c r="G26950">
        <v>165.66</v>
      </c>
      <c r="H26950">
        <v>251015</v>
      </c>
      <c r="I26950">
        <v>4600</v>
      </c>
      <c r="J26950" t="s">
        <v>278</v>
      </c>
      <c r="K26950">
        <v>165.66</v>
      </c>
      <c r="L26950">
        <v>33.659999999999997</v>
      </c>
      <c r="M26950">
        <v>55222</v>
      </c>
      <c r="N26950" t="s">
        <v>43</v>
      </c>
      <c r="O26950">
        <v>251020</v>
      </c>
      <c r="P26950">
        <v>132</v>
      </c>
    </row>
    <row r="26951" spans="1:16" x14ac:dyDescent="0.25">
      <c r="A26951" t="s">
        <v>3296</v>
      </c>
      <c r="B26951" t="s">
        <v>2931</v>
      </c>
      <c r="C26951">
        <v>13934</v>
      </c>
      <c r="D26951" t="str">
        <f>"0124827851  "</f>
        <v xml:space="preserve">0124827851  </v>
      </c>
      <c r="E26951" t="s">
        <v>292</v>
      </c>
      <c r="F26951" t="s">
        <v>294</v>
      </c>
      <c r="G26951">
        <v>614.63</v>
      </c>
      <c r="H26951">
        <v>251015</v>
      </c>
      <c r="I26951">
        <v>4600</v>
      </c>
      <c r="J26951" t="s">
        <v>278</v>
      </c>
      <c r="K26951">
        <v>614.63</v>
      </c>
      <c r="L26951">
        <v>124.88</v>
      </c>
      <c r="M26951">
        <v>56568</v>
      </c>
      <c r="N26951" t="s">
        <v>354</v>
      </c>
      <c r="O26951">
        <v>251020</v>
      </c>
      <c r="P26951">
        <v>489.75</v>
      </c>
    </row>
    <row r="26952" spans="1:16" x14ac:dyDescent="0.25">
      <c r="A26952" t="s">
        <v>3296</v>
      </c>
      <c r="B26952" t="s">
        <v>2931</v>
      </c>
      <c r="C26952">
        <v>13935</v>
      </c>
      <c r="D26952" t="str">
        <f>"0095515895  "</f>
        <v xml:space="preserve">0095515895  </v>
      </c>
      <c r="E26952" t="s">
        <v>292</v>
      </c>
      <c r="F26952" t="s">
        <v>294</v>
      </c>
      <c r="G26952">
        <v>-41.42</v>
      </c>
      <c r="H26952">
        <v>251015</v>
      </c>
      <c r="I26952">
        <v>4600</v>
      </c>
      <c r="J26952" t="s">
        <v>278</v>
      </c>
      <c r="K26952">
        <v>-41.42</v>
      </c>
      <c r="L26952">
        <v>-8.42</v>
      </c>
      <c r="M26952">
        <v>55222</v>
      </c>
      <c r="N26952" t="s">
        <v>43</v>
      </c>
      <c r="O26952">
        <v>251020</v>
      </c>
      <c r="P26952">
        <v>-33</v>
      </c>
    </row>
    <row r="26953" spans="1:16" x14ac:dyDescent="0.25">
      <c r="A26953" t="s">
        <v>3296</v>
      </c>
      <c r="B26953" t="s">
        <v>2931</v>
      </c>
      <c r="C26953">
        <v>13980</v>
      </c>
      <c r="D26953" t="str">
        <f>"0124781952  "</f>
        <v xml:space="preserve">0124781952  </v>
      </c>
      <c r="E26953" t="s">
        <v>292</v>
      </c>
      <c r="F26953" t="s">
        <v>294</v>
      </c>
      <c r="G26953">
        <v>141.97</v>
      </c>
      <c r="H26953">
        <v>251002</v>
      </c>
      <c r="I26953">
        <v>4600</v>
      </c>
      <c r="J26953" t="s">
        <v>278</v>
      </c>
      <c r="K26953">
        <v>216.01</v>
      </c>
      <c r="L26953">
        <v>28.85</v>
      </c>
      <c r="M26953">
        <v>46554</v>
      </c>
      <c r="N26953" t="s">
        <v>102</v>
      </c>
      <c r="O26953">
        <v>251021</v>
      </c>
      <c r="P26953">
        <v>113.12</v>
      </c>
    </row>
    <row r="26954" spans="1:16" x14ac:dyDescent="0.25">
      <c r="A26954" t="s">
        <v>3296</v>
      </c>
      <c r="B26954" t="s">
        <v>2931</v>
      </c>
      <c r="C26954">
        <v>14144</v>
      </c>
      <c r="D26954" t="str">
        <f>"0124795480  "</f>
        <v xml:space="preserve">0124795480  </v>
      </c>
      <c r="E26954" t="s">
        <v>292</v>
      </c>
      <c r="F26954" t="s">
        <v>294</v>
      </c>
      <c r="G26954">
        <v>109.05</v>
      </c>
      <c r="H26954">
        <v>251007</v>
      </c>
      <c r="I26954">
        <v>4600</v>
      </c>
      <c r="J26954" t="s">
        <v>278</v>
      </c>
      <c r="K26954">
        <v>109.05</v>
      </c>
      <c r="L26954">
        <v>22.16</v>
      </c>
      <c r="M26954">
        <v>46554</v>
      </c>
      <c r="N26954" t="s">
        <v>102</v>
      </c>
      <c r="O26954">
        <v>251024</v>
      </c>
      <c r="P26954">
        <v>86.89</v>
      </c>
    </row>
    <row r="26955" spans="1:16" x14ac:dyDescent="0.25">
      <c r="A26955" t="s">
        <v>3296</v>
      </c>
      <c r="B26955" t="s">
        <v>2931</v>
      </c>
      <c r="C26955">
        <v>14145</v>
      </c>
      <c r="D26955" t="str">
        <f>"0124795481  "</f>
        <v xml:space="preserve">0124795481  </v>
      </c>
      <c r="E26955" t="s">
        <v>292</v>
      </c>
      <c r="F26955" t="s">
        <v>294</v>
      </c>
      <c r="G26955">
        <v>13.45</v>
      </c>
      <c r="H26955">
        <v>251007</v>
      </c>
      <c r="I26955">
        <v>4600</v>
      </c>
      <c r="J26955" t="s">
        <v>278</v>
      </c>
      <c r="K26955">
        <v>13.45</v>
      </c>
      <c r="L26955">
        <v>2.73</v>
      </c>
      <c r="M26955">
        <v>46555</v>
      </c>
      <c r="N26955" t="s">
        <v>103</v>
      </c>
      <c r="O26955">
        <v>251024</v>
      </c>
      <c r="P26955">
        <v>10.72</v>
      </c>
    </row>
    <row r="26956" spans="1:16" x14ac:dyDescent="0.25">
      <c r="A26956" t="s">
        <v>3296</v>
      </c>
      <c r="B26956" t="s">
        <v>2931</v>
      </c>
      <c r="C26956">
        <v>14154</v>
      </c>
      <c r="D26956" t="str">
        <f>"0124803292  "</f>
        <v xml:space="preserve">0124803292  </v>
      </c>
      <c r="E26956" t="s">
        <v>292</v>
      </c>
      <c r="F26956" t="s">
        <v>294</v>
      </c>
      <c r="G26956">
        <v>276.2</v>
      </c>
      <c r="H26956">
        <v>251009</v>
      </c>
      <c r="I26956">
        <v>4600</v>
      </c>
      <c r="J26956" t="s">
        <v>278</v>
      </c>
      <c r="K26956">
        <v>302.3</v>
      </c>
      <c r="L26956">
        <v>56.12</v>
      </c>
      <c r="M26956">
        <v>46554</v>
      </c>
      <c r="N26956" t="s">
        <v>102</v>
      </c>
      <c r="O26956">
        <v>251024</v>
      </c>
      <c r="P26956">
        <v>220.08</v>
      </c>
    </row>
    <row r="26957" spans="1:16" x14ac:dyDescent="0.25">
      <c r="A26957" t="s">
        <v>3296</v>
      </c>
      <c r="B26957" t="s">
        <v>2931</v>
      </c>
      <c r="C26957">
        <v>14171</v>
      </c>
      <c r="D26957" t="str">
        <f>"0124858008  "</f>
        <v xml:space="preserve">0124858008  </v>
      </c>
      <c r="E26957" t="s">
        <v>292</v>
      </c>
      <c r="F26957" t="s">
        <v>294</v>
      </c>
      <c r="G26957">
        <v>35.97</v>
      </c>
      <c r="H26957">
        <v>251023</v>
      </c>
      <c r="I26957">
        <v>4600</v>
      </c>
      <c r="J26957" t="s">
        <v>278</v>
      </c>
      <c r="K26957">
        <v>35.97</v>
      </c>
      <c r="L26957">
        <v>7.31</v>
      </c>
      <c r="M26957">
        <v>17807</v>
      </c>
      <c r="N26957" t="s">
        <v>23</v>
      </c>
      <c r="O26957">
        <v>251024</v>
      </c>
      <c r="P26957">
        <v>28.66</v>
      </c>
    </row>
    <row r="26958" spans="1:16" x14ac:dyDescent="0.25">
      <c r="A26958" t="s">
        <v>3296</v>
      </c>
      <c r="B26958" t="s">
        <v>2931</v>
      </c>
      <c r="C26958">
        <v>14183</v>
      </c>
      <c r="D26958" t="str">
        <f>"0124827850  "</f>
        <v xml:space="preserve">0124827850  </v>
      </c>
      <c r="E26958" t="s">
        <v>292</v>
      </c>
      <c r="F26958" t="s">
        <v>294</v>
      </c>
      <c r="G26958">
        <v>74.400000000000006</v>
      </c>
      <c r="H26958">
        <v>251015</v>
      </c>
      <c r="I26958">
        <v>4600</v>
      </c>
      <c r="J26958" t="s">
        <v>278</v>
      </c>
      <c r="K26958">
        <v>74.400000000000006</v>
      </c>
      <c r="L26958">
        <v>15.12</v>
      </c>
      <c r="M26958">
        <v>51151</v>
      </c>
      <c r="N26958" t="s">
        <v>221</v>
      </c>
      <c r="O26958">
        <v>251024</v>
      </c>
      <c r="P26958">
        <v>59.28</v>
      </c>
    </row>
    <row r="26959" spans="1:16" x14ac:dyDescent="0.25">
      <c r="A26959" t="s">
        <v>3296</v>
      </c>
      <c r="B26959" t="s">
        <v>2931</v>
      </c>
      <c r="C26959">
        <v>14240</v>
      </c>
      <c r="D26959" t="str">
        <f>"0124858011  "</f>
        <v xml:space="preserve">0124858011  </v>
      </c>
      <c r="E26959" t="s">
        <v>292</v>
      </c>
      <c r="F26959" t="s">
        <v>294</v>
      </c>
      <c r="G26959">
        <v>22.79</v>
      </c>
      <c r="H26959">
        <v>251023</v>
      </c>
      <c r="I26959">
        <v>4600</v>
      </c>
      <c r="J26959" t="s">
        <v>278</v>
      </c>
      <c r="K26959">
        <v>22.79</v>
      </c>
      <c r="L26959">
        <v>4.63</v>
      </c>
      <c r="M26959">
        <v>17808</v>
      </c>
      <c r="N26959" t="s">
        <v>24</v>
      </c>
      <c r="O26959">
        <v>251027</v>
      </c>
      <c r="P26959">
        <v>18.16</v>
      </c>
    </row>
    <row r="26960" spans="1:16" x14ac:dyDescent="0.25">
      <c r="A26960" t="s">
        <v>3296</v>
      </c>
      <c r="B26960" t="s">
        <v>2931</v>
      </c>
      <c r="C26960">
        <v>14399</v>
      </c>
      <c r="D26960" t="str">
        <f>"0124858010  "</f>
        <v xml:space="preserve">0124858010  </v>
      </c>
      <c r="E26960" t="s">
        <v>292</v>
      </c>
      <c r="F26960" t="s">
        <v>294</v>
      </c>
      <c r="G26960">
        <v>188.52</v>
      </c>
      <c r="H26960">
        <v>251023</v>
      </c>
      <c r="I26960">
        <v>4600</v>
      </c>
      <c r="J26960" t="s">
        <v>278</v>
      </c>
      <c r="K26960">
        <v>188.52</v>
      </c>
      <c r="L26960">
        <v>38.299999999999997</v>
      </c>
      <c r="M26960">
        <v>17802</v>
      </c>
      <c r="N26960" t="s">
        <v>18</v>
      </c>
      <c r="O26960">
        <v>251031</v>
      </c>
      <c r="P26960">
        <v>150.22</v>
      </c>
    </row>
    <row r="26961" spans="1:16" x14ac:dyDescent="0.25">
      <c r="A26961" t="s">
        <v>3296</v>
      </c>
      <c r="B26961" t="s">
        <v>2931</v>
      </c>
      <c r="C26961">
        <v>14736</v>
      </c>
      <c r="D26961" t="str">
        <f>"0124857766  "</f>
        <v xml:space="preserve">0124857766  </v>
      </c>
      <c r="E26961" t="s">
        <v>292</v>
      </c>
      <c r="F26961" t="s">
        <v>294</v>
      </c>
      <c r="G26961">
        <v>17.670000000000002</v>
      </c>
      <c r="H26961">
        <v>251022</v>
      </c>
      <c r="I26961">
        <v>4600</v>
      </c>
      <c r="J26961" t="s">
        <v>278</v>
      </c>
      <c r="K26961">
        <v>113.11</v>
      </c>
      <c r="L26961">
        <v>3.59</v>
      </c>
      <c r="M26961">
        <v>46554</v>
      </c>
      <c r="N26961" t="s">
        <v>102</v>
      </c>
      <c r="O26961">
        <v>251106</v>
      </c>
      <c r="P26961">
        <v>14.08</v>
      </c>
    </row>
    <row r="26962" spans="1:16" x14ac:dyDescent="0.25">
      <c r="A26962" t="s">
        <v>3296</v>
      </c>
      <c r="B26962" t="s">
        <v>2931</v>
      </c>
      <c r="C26962">
        <v>14754</v>
      </c>
      <c r="D26962" t="str">
        <f>"0124860342  "</f>
        <v xml:space="preserve">0124860342  </v>
      </c>
      <c r="E26962" t="s">
        <v>292</v>
      </c>
      <c r="F26962" t="s">
        <v>294</v>
      </c>
      <c r="G26962">
        <v>145.43</v>
      </c>
      <c r="H26962">
        <v>251023</v>
      </c>
      <c r="I26962">
        <v>4600</v>
      </c>
      <c r="J26962" t="s">
        <v>278</v>
      </c>
      <c r="K26962">
        <v>145.43</v>
      </c>
      <c r="L26962">
        <v>29.55</v>
      </c>
      <c r="M26962">
        <v>46554</v>
      </c>
      <c r="N26962" t="s">
        <v>102</v>
      </c>
      <c r="O26962">
        <v>251106</v>
      </c>
      <c r="P26962">
        <v>115.88</v>
      </c>
    </row>
    <row r="26963" spans="1:16" x14ac:dyDescent="0.25">
      <c r="A26963" t="s">
        <v>3296</v>
      </c>
      <c r="B26963" t="s">
        <v>2931</v>
      </c>
      <c r="C26963">
        <v>14776</v>
      </c>
      <c r="D26963" t="str">
        <f>"0124927350  "</f>
        <v xml:space="preserve">0124927350  </v>
      </c>
      <c r="E26963" t="s">
        <v>292</v>
      </c>
      <c r="F26963" t="s">
        <v>294</v>
      </c>
      <c r="G26963">
        <v>99.35</v>
      </c>
      <c r="H26963">
        <v>251105</v>
      </c>
      <c r="I26963">
        <v>4600</v>
      </c>
      <c r="J26963" t="s">
        <v>278</v>
      </c>
      <c r="K26963">
        <v>99.35</v>
      </c>
      <c r="L26963">
        <v>20.190000000000001</v>
      </c>
      <c r="M26963">
        <v>46557</v>
      </c>
      <c r="N26963" t="s">
        <v>104</v>
      </c>
      <c r="O26963">
        <v>251106</v>
      </c>
      <c r="P26963">
        <v>79.16</v>
      </c>
    </row>
    <row r="26964" spans="1:16" x14ac:dyDescent="0.25">
      <c r="A26964" t="s">
        <v>3296</v>
      </c>
      <c r="B26964" t="s">
        <v>2931</v>
      </c>
      <c r="C26964">
        <v>14796</v>
      </c>
      <c r="D26964" t="str">
        <f>"0124900860  "</f>
        <v xml:space="preserve">0124900860  </v>
      </c>
      <c r="E26964" t="s">
        <v>292</v>
      </c>
      <c r="F26964" t="s">
        <v>294</v>
      </c>
      <c r="G26964">
        <v>26.13</v>
      </c>
      <c r="H26964">
        <v>251031</v>
      </c>
      <c r="I26964">
        <v>4600</v>
      </c>
      <c r="J26964" t="s">
        <v>278</v>
      </c>
      <c r="K26964">
        <v>26.13</v>
      </c>
      <c r="L26964">
        <v>5.31</v>
      </c>
      <c r="M26964">
        <v>56558</v>
      </c>
      <c r="N26964" t="s">
        <v>50</v>
      </c>
      <c r="O26964">
        <v>251106</v>
      </c>
      <c r="P26964">
        <v>20.82</v>
      </c>
    </row>
    <row r="26965" spans="1:16" x14ac:dyDescent="0.25">
      <c r="A26965" t="s">
        <v>3296</v>
      </c>
      <c r="B26965" t="s">
        <v>2931</v>
      </c>
      <c r="C26965">
        <v>14797</v>
      </c>
      <c r="D26965" t="str">
        <f>"0124907815  "</f>
        <v xml:space="preserve">0124907815  </v>
      </c>
      <c r="E26965" t="s">
        <v>292</v>
      </c>
      <c r="F26965" t="s">
        <v>294</v>
      </c>
      <c r="G26965">
        <v>421.48</v>
      </c>
      <c r="H26965">
        <v>251031</v>
      </c>
      <c r="I26965">
        <v>4600</v>
      </c>
      <c r="J26965" t="s">
        <v>278</v>
      </c>
      <c r="K26965">
        <v>421.48</v>
      </c>
      <c r="L26965">
        <v>85.64</v>
      </c>
      <c r="M26965">
        <v>46555</v>
      </c>
      <c r="N26965" t="s">
        <v>103</v>
      </c>
      <c r="O26965">
        <v>251106</v>
      </c>
      <c r="P26965">
        <v>335.84</v>
      </c>
    </row>
    <row r="26966" spans="1:16" x14ac:dyDescent="0.25">
      <c r="A26966" t="s">
        <v>3296</v>
      </c>
      <c r="B26966" t="s">
        <v>2931</v>
      </c>
      <c r="C26966">
        <v>14798</v>
      </c>
      <c r="D26966" t="str">
        <f>"0124900861  "</f>
        <v xml:space="preserve">0124900861  </v>
      </c>
      <c r="E26966" t="s">
        <v>292</v>
      </c>
      <c r="F26966" t="s">
        <v>294</v>
      </c>
      <c r="G26966">
        <v>60.11</v>
      </c>
      <c r="H26966">
        <v>251031</v>
      </c>
      <c r="I26966">
        <v>4600</v>
      </c>
      <c r="J26966" t="s">
        <v>278</v>
      </c>
      <c r="K26966">
        <v>60.11</v>
      </c>
      <c r="L26966">
        <v>12.21</v>
      </c>
      <c r="M26966">
        <v>56560</v>
      </c>
      <c r="N26966" t="s">
        <v>52</v>
      </c>
      <c r="O26966">
        <v>251106</v>
      </c>
      <c r="P26966">
        <v>47.9</v>
      </c>
    </row>
    <row r="26967" spans="1:16" x14ac:dyDescent="0.25">
      <c r="A26967" t="s">
        <v>3296</v>
      </c>
      <c r="B26967" t="s">
        <v>2931</v>
      </c>
      <c r="C26967">
        <v>14799</v>
      </c>
      <c r="D26967" t="str">
        <f>"0124900859  "</f>
        <v xml:space="preserve">0124900859  </v>
      </c>
      <c r="E26967" t="s">
        <v>292</v>
      </c>
      <c r="F26967" t="s">
        <v>294</v>
      </c>
      <c r="G26967">
        <v>846.31</v>
      </c>
      <c r="H26967">
        <v>251031</v>
      </c>
      <c r="I26967">
        <v>4600</v>
      </c>
      <c r="J26967" t="s">
        <v>278</v>
      </c>
      <c r="K26967">
        <v>846.31</v>
      </c>
      <c r="L26967">
        <v>171.96</v>
      </c>
      <c r="M26967">
        <v>56568</v>
      </c>
      <c r="N26967" t="s">
        <v>354</v>
      </c>
      <c r="O26967">
        <v>251106</v>
      </c>
      <c r="P26967">
        <v>674.35</v>
      </c>
    </row>
    <row r="26968" spans="1:16" x14ac:dyDescent="0.25">
      <c r="A26968" t="s">
        <v>3296</v>
      </c>
      <c r="B26968" t="s">
        <v>2931</v>
      </c>
      <c r="C26968">
        <v>14871</v>
      </c>
      <c r="D26968" t="str">
        <f>"0124876047  "</f>
        <v xml:space="preserve">0124876047  </v>
      </c>
      <c r="E26968" t="s">
        <v>292</v>
      </c>
      <c r="F26968" t="s">
        <v>294</v>
      </c>
      <c r="G26968">
        <v>33.72</v>
      </c>
      <c r="H26968">
        <v>251028</v>
      </c>
      <c r="I26968">
        <v>4600</v>
      </c>
      <c r="J26968" t="s">
        <v>278</v>
      </c>
      <c r="K26968">
        <v>33.72</v>
      </c>
      <c r="L26968">
        <v>6.85</v>
      </c>
      <c r="M26968">
        <v>46554</v>
      </c>
      <c r="N26968" t="s">
        <v>102</v>
      </c>
      <c r="O26968">
        <v>251107</v>
      </c>
      <c r="P26968">
        <v>26.87</v>
      </c>
    </row>
    <row r="26969" spans="1:16" x14ac:dyDescent="0.25">
      <c r="A26969" t="s">
        <v>3296</v>
      </c>
      <c r="B26969" t="s">
        <v>2931</v>
      </c>
      <c r="C26969">
        <v>14876</v>
      </c>
      <c r="D26969" t="str">
        <f>"0124879430  "</f>
        <v xml:space="preserve">0124879430  </v>
      </c>
      <c r="E26969" t="s">
        <v>292</v>
      </c>
      <c r="F26969" t="s">
        <v>294</v>
      </c>
      <c r="G26969">
        <v>134.41</v>
      </c>
      <c r="H26969">
        <v>251029</v>
      </c>
      <c r="I26969">
        <v>4600</v>
      </c>
      <c r="J26969" t="s">
        <v>278</v>
      </c>
      <c r="K26969">
        <v>134.41</v>
      </c>
      <c r="L26969">
        <v>27.31</v>
      </c>
      <c r="M26969">
        <v>46555</v>
      </c>
      <c r="N26969" t="s">
        <v>103</v>
      </c>
      <c r="O26969">
        <v>251107</v>
      </c>
      <c r="P26969">
        <v>107.1</v>
      </c>
    </row>
    <row r="26970" spans="1:16" x14ac:dyDescent="0.25">
      <c r="A26970" t="s">
        <v>3296</v>
      </c>
      <c r="B26970" t="s">
        <v>2931</v>
      </c>
      <c r="C26970">
        <v>14877</v>
      </c>
      <c r="D26970" t="str">
        <f>"0124884847  "</f>
        <v xml:space="preserve">0124884847  </v>
      </c>
      <c r="E26970" t="s">
        <v>292</v>
      </c>
      <c r="F26970" t="s">
        <v>294</v>
      </c>
      <c r="G26970">
        <v>182.53</v>
      </c>
      <c r="H26970">
        <v>251030</v>
      </c>
      <c r="I26970">
        <v>4600</v>
      </c>
      <c r="J26970" t="s">
        <v>278</v>
      </c>
      <c r="K26970">
        <v>196.59</v>
      </c>
      <c r="L26970">
        <v>37.090000000000003</v>
      </c>
      <c r="M26970">
        <v>17802</v>
      </c>
      <c r="N26970" t="s">
        <v>18</v>
      </c>
      <c r="O26970">
        <v>251107</v>
      </c>
      <c r="P26970">
        <v>145.44</v>
      </c>
    </row>
    <row r="26971" spans="1:16" x14ac:dyDescent="0.25">
      <c r="A26971" t="s">
        <v>3296</v>
      </c>
      <c r="B26971" t="s">
        <v>2931</v>
      </c>
      <c r="C26971">
        <v>15270</v>
      </c>
      <c r="D26971" t="str">
        <f>"0124876048  "</f>
        <v xml:space="preserve">0124876048  </v>
      </c>
      <c r="E26971" t="s">
        <v>292</v>
      </c>
      <c r="F26971" t="s">
        <v>294</v>
      </c>
      <c r="G26971">
        <v>263.2</v>
      </c>
      <c r="H26971">
        <v>251028</v>
      </c>
      <c r="I26971">
        <v>4600</v>
      </c>
      <c r="J26971" t="s">
        <v>278</v>
      </c>
      <c r="K26971">
        <v>263.2</v>
      </c>
      <c r="L26971">
        <v>53.48</v>
      </c>
      <c r="M26971">
        <v>46554</v>
      </c>
      <c r="N26971" t="s">
        <v>102</v>
      </c>
      <c r="O26971">
        <v>251117</v>
      </c>
      <c r="P26971">
        <v>209.72</v>
      </c>
    </row>
    <row r="26972" spans="1:16" x14ac:dyDescent="0.25">
      <c r="A26972" t="s">
        <v>3296</v>
      </c>
      <c r="B26972" t="s">
        <v>2931</v>
      </c>
      <c r="C26972">
        <v>15271</v>
      </c>
      <c r="D26972" t="str">
        <f>"0124879429  "</f>
        <v xml:space="preserve">0124879429  </v>
      </c>
      <c r="E26972" t="s">
        <v>292</v>
      </c>
      <c r="F26972" t="s">
        <v>294</v>
      </c>
      <c r="G26972">
        <v>497.83</v>
      </c>
      <c r="H26972">
        <v>251029</v>
      </c>
      <c r="I26972">
        <v>4600</v>
      </c>
      <c r="J26972" t="s">
        <v>278</v>
      </c>
      <c r="K26972">
        <v>645.12</v>
      </c>
      <c r="L26972">
        <v>101.15</v>
      </c>
      <c r="M26972">
        <v>46554</v>
      </c>
      <c r="N26972" t="s">
        <v>102</v>
      </c>
      <c r="O26972">
        <v>251117</v>
      </c>
      <c r="P26972">
        <v>396.68</v>
      </c>
    </row>
    <row r="26973" spans="1:16" x14ac:dyDescent="0.25">
      <c r="A26973" t="s">
        <v>3296</v>
      </c>
      <c r="B26973" t="s">
        <v>2931</v>
      </c>
      <c r="C26973">
        <v>15273</v>
      </c>
      <c r="D26973" t="str">
        <f>"0124883895  "</f>
        <v xml:space="preserve">0124883895  </v>
      </c>
      <c r="E26973" t="s">
        <v>292</v>
      </c>
      <c r="F26973" t="s">
        <v>294</v>
      </c>
      <c r="G26973">
        <v>169.57</v>
      </c>
      <c r="H26973">
        <v>251030</v>
      </c>
      <c r="I26973">
        <v>4600</v>
      </c>
      <c r="J26973" t="s">
        <v>278</v>
      </c>
      <c r="K26973">
        <v>272.11</v>
      </c>
      <c r="L26973">
        <v>34.450000000000003</v>
      </c>
      <c r="M26973">
        <v>17522</v>
      </c>
      <c r="N26973" t="s">
        <v>137</v>
      </c>
      <c r="O26973">
        <v>251117</v>
      </c>
      <c r="P26973">
        <v>135.12</v>
      </c>
    </row>
    <row r="26974" spans="1:16" x14ac:dyDescent="0.25">
      <c r="A26974" t="s">
        <v>3296</v>
      </c>
      <c r="B26974" t="s">
        <v>2931</v>
      </c>
      <c r="C26974">
        <v>15273</v>
      </c>
      <c r="D26974" t="str">
        <f>"0124883895  "</f>
        <v xml:space="preserve">0124883895  </v>
      </c>
      <c r="E26974" t="s">
        <v>292</v>
      </c>
      <c r="F26974" t="s">
        <v>294</v>
      </c>
      <c r="G26974">
        <v>10.42</v>
      </c>
      <c r="H26974">
        <v>251030</v>
      </c>
      <c r="I26974">
        <v>4600</v>
      </c>
      <c r="J26974" t="s">
        <v>278</v>
      </c>
      <c r="K26974">
        <v>272.11</v>
      </c>
      <c r="L26974">
        <v>2.12</v>
      </c>
      <c r="M26974">
        <v>17527</v>
      </c>
      <c r="N26974" t="s">
        <v>142</v>
      </c>
      <c r="O26974">
        <v>251117</v>
      </c>
      <c r="P26974">
        <v>8.3000000000000007</v>
      </c>
    </row>
    <row r="26975" spans="1:16" x14ac:dyDescent="0.25">
      <c r="A26975" t="s">
        <v>3296</v>
      </c>
      <c r="B26975" t="s">
        <v>2931</v>
      </c>
      <c r="C26975">
        <v>15516</v>
      </c>
      <c r="D26975" t="str">
        <f>"0124932765  "</f>
        <v xml:space="preserve">0124932765  </v>
      </c>
      <c r="E26975" t="s">
        <v>292</v>
      </c>
      <c r="F26975" t="s">
        <v>294</v>
      </c>
      <c r="G26975">
        <v>176.23</v>
      </c>
      <c r="H26975">
        <v>251106</v>
      </c>
      <c r="I26975">
        <v>4600</v>
      </c>
      <c r="J26975" t="s">
        <v>278</v>
      </c>
      <c r="K26975">
        <v>176.23</v>
      </c>
      <c r="L26975">
        <v>35.81</v>
      </c>
      <c r="M26975">
        <v>17807</v>
      </c>
      <c r="N26975" t="s">
        <v>23</v>
      </c>
      <c r="O26975">
        <v>251121</v>
      </c>
      <c r="P26975">
        <v>140.41999999999999</v>
      </c>
    </row>
    <row r="26976" spans="1:16" x14ac:dyDescent="0.25">
      <c r="A26976" t="s">
        <v>3296</v>
      </c>
      <c r="B26976" t="s">
        <v>2931</v>
      </c>
      <c r="C26976">
        <v>15518</v>
      </c>
      <c r="D26976" t="str">
        <f>"0124941407  "</f>
        <v xml:space="preserve">0124941407  </v>
      </c>
      <c r="E26976" t="s">
        <v>292</v>
      </c>
      <c r="F26976" t="s">
        <v>294</v>
      </c>
      <c r="G26976">
        <v>460.89</v>
      </c>
      <c r="H26976">
        <v>251107</v>
      </c>
      <c r="I26976">
        <v>4600</v>
      </c>
      <c r="J26976" t="s">
        <v>278</v>
      </c>
      <c r="K26976">
        <v>460.89</v>
      </c>
      <c r="L26976">
        <v>93.65</v>
      </c>
      <c r="M26976">
        <v>67522</v>
      </c>
      <c r="N26976" t="s">
        <v>121</v>
      </c>
      <c r="O26976">
        <v>251121</v>
      </c>
      <c r="P26976">
        <v>367.24</v>
      </c>
    </row>
    <row r="26977" spans="1:16" x14ac:dyDescent="0.25">
      <c r="A26977" t="s">
        <v>3296</v>
      </c>
      <c r="B26977" t="s">
        <v>2931</v>
      </c>
      <c r="C26977">
        <v>15535</v>
      </c>
      <c r="D26977" t="str">
        <f>"0124921911  "</f>
        <v xml:space="preserve">0124921911  </v>
      </c>
      <c r="E26977" t="s">
        <v>292</v>
      </c>
      <c r="F26977" t="s">
        <v>294</v>
      </c>
      <c r="G26977">
        <v>199.9</v>
      </c>
      <c r="H26977">
        <v>251104</v>
      </c>
      <c r="I26977">
        <v>4600</v>
      </c>
      <c r="J26977" t="s">
        <v>278</v>
      </c>
      <c r="K26977">
        <v>423.43</v>
      </c>
      <c r="L26977">
        <v>40.619999999999997</v>
      </c>
      <c r="M26977">
        <v>46554</v>
      </c>
      <c r="N26977" t="s">
        <v>102</v>
      </c>
      <c r="O26977">
        <v>251121</v>
      </c>
      <c r="P26977">
        <v>159.28</v>
      </c>
    </row>
    <row r="26978" spans="1:16" x14ac:dyDescent="0.25">
      <c r="A26978" t="s">
        <v>3296</v>
      </c>
      <c r="B26978" t="s">
        <v>2931</v>
      </c>
      <c r="C26978">
        <v>15535</v>
      </c>
      <c r="D26978" t="str">
        <f>"0124921911  "</f>
        <v xml:space="preserve">0124921911  </v>
      </c>
      <c r="E26978" t="s">
        <v>292</v>
      </c>
      <c r="F26978" t="s">
        <v>294</v>
      </c>
      <c r="G26978">
        <v>223.53</v>
      </c>
      <c r="H26978">
        <v>251104</v>
      </c>
      <c r="I26978">
        <v>4600</v>
      </c>
      <c r="J26978" t="s">
        <v>278</v>
      </c>
      <c r="K26978">
        <v>423.43</v>
      </c>
      <c r="L26978">
        <v>45.42</v>
      </c>
      <c r="M26978">
        <v>46554</v>
      </c>
      <c r="N26978" t="s">
        <v>102</v>
      </c>
      <c r="O26978">
        <v>251121</v>
      </c>
      <c r="P26978">
        <v>178.11</v>
      </c>
    </row>
    <row r="26979" spans="1:16" x14ac:dyDescent="0.25">
      <c r="A26979" t="s">
        <v>3296</v>
      </c>
      <c r="B26979" t="s">
        <v>2931</v>
      </c>
      <c r="C26979">
        <v>15541</v>
      </c>
      <c r="D26979" t="str">
        <f>"0124950362  "</f>
        <v xml:space="preserve">0124950362  </v>
      </c>
      <c r="E26979" t="s">
        <v>292</v>
      </c>
      <c r="F26979" t="s">
        <v>294</v>
      </c>
      <c r="G26979">
        <v>291.16000000000003</v>
      </c>
      <c r="H26979">
        <v>251112</v>
      </c>
      <c r="I26979">
        <v>4600</v>
      </c>
      <c r="J26979" t="s">
        <v>278</v>
      </c>
      <c r="K26979">
        <v>291.16000000000003</v>
      </c>
      <c r="L26979">
        <v>59.16</v>
      </c>
      <c r="M26979">
        <v>46554</v>
      </c>
      <c r="N26979" t="s">
        <v>102</v>
      </c>
      <c r="O26979">
        <v>251121</v>
      </c>
      <c r="P26979">
        <v>232</v>
      </c>
    </row>
    <row r="26980" spans="1:16" x14ac:dyDescent="0.25">
      <c r="A26980" t="s">
        <v>3296</v>
      </c>
      <c r="B26980" t="s">
        <v>2931</v>
      </c>
      <c r="C26980">
        <v>15547</v>
      </c>
      <c r="D26980" t="str">
        <f>"0124971929  "</f>
        <v xml:space="preserve">0124971929  </v>
      </c>
      <c r="E26980" t="s">
        <v>292</v>
      </c>
      <c r="F26980" t="s">
        <v>294</v>
      </c>
      <c r="G26980">
        <v>173.63</v>
      </c>
      <c r="H26980">
        <v>251114</v>
      </c>
      <c r="I26980">
        <v>4600</v>
      </c>
      <c r="J26980" t="s">
        <v>278</v>
      </c>
      <c r="K26980">
        <v>173.63</v>
      </c>
      <c r="L26980">
        <v>35.28</v>
      </c>
      <c r="M26980">
        <v>46555</v>
      </c>
      <c r="N26980" t="s">
        <v>103</v>
      </c>
      <c r="O26980">
        <v>251121</v>
      </c>
      <c r="P26980">
        <v>138.35</v>
      </c>
    </row>
    <row r="26981" spans="1:16" x14ac:dyDescent="0.25">
      <c r="A26981" t="s">
        <v>3296</v>
      </c>
      <c r="B26981" t="s">
        <v>2931</v>
      </c>
      <c r="C26981">
        <v>15548</v>
      </c>
      <c r="D26981" t="str">
        <f>"0124965649  "</f>
        <v xml:space="preserve">0124965649  </v>
      </c>
      <c r="E26981" t="s">
        <v>292</v>
      </c>
      <c r="F26981" t="s">
        <v>294</v>
      </c>
      <c r="G26981">
        <v>355.71</v>
      </c>
      <c r="H26981">
        <v>251114</v>
      </c>
      <c r="I26981">
        <v>4600</v>
      </c>
      <c r="J26981" t="s">
        <v>278</v>
      </c>
      <c r="K26981">
        <v>355.71</v>
      </c>
      <c r="L26981">
        <v>72.28</v>
      </c>
      <c r="M26981">
        <v>56564</v>
      </c>
      <c r="N26981" t="s">
        <v>56</v>
      </c>
      <c r="O26981">
        <v>251121</v>
      </c>
      <c r="P26981">
        <v>283.43</v>
      </c>
    </row>
    <row r="26982" spans="1:16" x14ac:dyDescent="0.25">
      <c r="A26982" t="s">
        <v>3296</v>
      </c>
      <c r="B26982" t="s">
        <v>2931</v>
      </c>
      <c r="C26982">
        <v>15549</v>
      </c>
      <c r="D26982" t="str">
        <f>"0124971636  "</f>
        <v xml:space="preserve">0124971636  </v>
      </c>
      <c r="E26982" t="s">
        <v>292</v>
      </c>
      <c r="F26982" t="s">
        <v>294</v>
      </c>
      <c r="G26982">
        <v>62.66</v>
      </c>
      <c r="H26982">
        <v>251114</v>
      </c>
      <c r="I26982">
        <v>4600</v>
      </c>
      <c r="J26982" t="s">
        <v>278</v>
      </c>
      <c r="K26982">
        <v>106</v>
      </c>
      <c r="L26982">
        <v>12.73</v>
      </c>
      <c r="M26982">
        <v>17711</v>
      </c>
      <c r="N26982" t="s">
        <v>155</v>
      </c>
      <c r="O26982">
        <v>251121</v>
      </c>
      <c r="P26982">
        <v>49.93</v>
      </c>
    </row>
    <row r="26983" spans="1:16" x14ac:dyDescent="0.25">
      <c r="A26983" t="s">
        <v>3296</v>
      </c>
      <c r="B26983" t="s">
        <v>2931</v>
      </c>
      <c r="C26983">
        <v>15550</v>
      </c>
      <c r="D26983" t="str">
        <f>"0124965647  "</f>
        <v xml:space="preserve">0124965647  </v>
      </c>
      <c r="E26983" t="s">
        <v>292</v>
      </c>
      <c r="F26983" t="s">
        <v>294</v>
      </c>
      <c r="G26983">
        <v>314.77999999999997</v>
      </c>
      <c r="H26983">
        <v>251114</v>
      </c>
      <c r="I26983">
        <v>4600</v>
      </c>
      <c r="J26983" t="s">
        <v>278</v>
      </c>
      <c r="K26983">
        <v>314.77999999999997</v>
      </c>
      <c r="L26983">
        <v>63.96</v>
      </c>
      <c r="M26983">
        <v>56568</v>
      </c>
      <c r="N26983" t="s">
        <v>354</v>
      </c>
      <c r="O26983">
        <v>251121</v>
      </c>
      <c r="P26983">
        <v>250.82</v>
      </c>
    </row>
    <row r="26984" spans="1:16" x14ac:dyDescent="0.25">
      <c r="A26984" t="s">
        <v>3296</v>
      </c>
      <c r="B26984" t="s">
        <v>2931</v>
      </c>
      <c r="C26984">
        <v>15552</v>
      </c>
      <c r="D26984" t="str">
        <f>"0124965650  "</f>
        <v xml:space="preserve">0124965650  </v>
      </c>
      <c r="E26984" t="s">
        <v>292</v>
      </c>
      <c r="F26984" t="s">
        <v>294</v>
      </c>
      <c r="G26984">
        <v>271.36</v>
      </c>
      <c r="H26984">
        <v>251114</v>
      </c>
      <c r="I26984">
        <v>4600</v>
      </c>
      <c r="J26984" t="s">
        <v>278</v>
      </c>
      <c r="K26984">
        <v>271.36</v>
      </c>
      <c r="L26984">
        <v>55.14</v>
      </c>
      <c r="M26984">
        <v>56565</v>
      </c>
      <c r="N26984" t="s">
        <v>57</v>
      </c>
      <c r="O26984">
        <v>251121</v>
      </c>
      <c r="P26984">
        <v>216.22</v>
      </c>
    </row>
    <row r="26985" spans="1:16" x14ac:dyDescent="0.25">
      <c r="A26985" t="s">
        <v>3296</v>
      </c>
      <c r="B26985" t="s">
        <v>2931</v>
      </c>
      <c r="C26985">
        <v>15569</v>
      </c>
      <c r="D26985" t="str">
        <f>"0124939583  "</f>
        <v xml:space="preserve">0124939583  </v>
      </c>
      <c r="E26985" t="s">
        <v>292</v>
      </c>
      <c r="F26985" t="s">
        <v>294</v>
      </c>
      <c r="G26985">
        <v>174.7</v>
      </c>
      <c r="H26985">
        <v>251107</v>
      </c>
      <c r="I26985">
        <v>4600</v>
      </c>
      <c r="J26985" t="s">
        <v>278</v>
      </c>
      <c r="K26985">
        <v>174.7</v>
      </c>
      <c r="L26985">
        <v>35.5</v>
      </c>
      <c r="M26985">
        <v>46554</v>
      </c>
      <c r="N26985" t="s">
        <v>102</v>
      </c>
      <c r="O26985">
        <v>251121</v>
      </c>
      <c r="P26985">
        <v>139.19999999999999</v>
      </c>
    </row>
    <row r="26986" spans="1:16" x14ac:dyDescent="0.25">
      <c r="A26986" t="s">
        <v>3296</v>
      </c>
      <c r="B26986" t="s">
        <v>2931</v>
      </c>
      <c r="C26986">
        <v>15582</v>
      </c>
      <c r="D26986" t="str">
        <f>"0124965648  "</f>
        <v xml:space="preserve">0124965648  </v>
      </c>
      <c r="E26986" t="s">
        <v>292</v>
      </c>
      <c r="F26986" t="s">
        <v>294</v>
      </c>
      <c r="G26986">
        <v>109.49</v>
      </c>
      <c r="H26986">
        <v>251114</v>
      </c>
      <c r="I26986">
        <v>4600</v>
      </c>
      <c r="J26986" t="s">
        <v>278</v>
      </c>
      <c r="K26986">
        <v>109.49</v>
      </c>
      <c r="L26986">
        <v>22.25</v>
      </c>
      <c r="M26986">
        <v>56558</v>
      </c>
      <c r="N26986" t="s">
        <v>50</v>
      </c>
      <c r="O26986">
        <v>251121</v>
      </c>
      <c r="P26986">
        <v>87.24</v>
      </c>
    </row>
    <row r="26987" spans="1:16" x14ac:dyDescent="0.25">
      <c r="A26987" t="s">
        <v>3296</v>
      </c>
      <c r="B26987" t="s">
        <v>2931</v>
      </c>
      <c r="C26987">
        <v>15629</v>
      </c>
      <c r="D26987" t="str">
        <f>"0124927351  "</f>
        <v xml:space="preserve">0124927351  </v>
      </c>
      <c r="E26987" t="s">
        <v>292</v>
      </c>
      <c r="F26987" t="s">
        <v>294</v>
      </c>
      <c r="G26987">
        <v>95.25</v>
      </c>
      <c r="H26987">
        <v>251105</v>
      </c>
      <c r="I26987">
        <v>4600</v>
      </c>
      <c r="J26987" t="s">
        <v>278</v>
      </c>
      <c r="K26987">
        <v>505.9</v>
      </c>
      <c r="L26987">
        <v>19.350000000000001</v>
      </c>
      <c r="M26987">
        <v>46554</v>
      </c>
      <c r="N26987" t="s">
        <v>102</v>
      </c>
      <c r="O26987">
        <v>251124</v>
      </c>
      <c r="P26987">
        <v>75.900000000000006</v>
      </c>
    </row>
    <row r="26988" spans="1:16" x14ac:dyDescent="0.25">
      <c r="A26988" t="s">
        <v>3296</v>
      </c>
      <c r="B26988" t="s">
        <v>2931</v>
      </c>
      <c r="C26988">
        <v>15663</v>
      </c>
      <c r="D26988" t="str">
        <f>"0124956574  "</f>
        <v xml:space="preserve">0124956574  </v>
      </c>
      <c r="E26988" t="s">
        <v>292</v>
      </c>
      <c r="F26988" t="s">
        <v>294</v>
      </c>
      <c r="G26988">
        <v>113.69</v>
      </c>
      <c r="H26988">
        <v>251113</v>
      </c>
      <c r="I26988">
        <v>4600</v>
      </c>
      <c r="J26988" t="s">
        <v>278</v>
      </c>
      <c r="K26988">
        <v>113.69</v>
      </c>
      <c r="L26988">
        <v>23.1</v>
      </c>
      <c r="M26988">
        <v>46554</v>
      </c>
      <c r="N26988" t="s">
        <v>102</v>
      </c>
      <c r="O26988">
        <v>251124</v>
      </c>
      <c r="P26988">
        <v>90.59</v>
      </c>
    </row>
    <row r="26989" spans="1:16" x14ac:dyDescent="0.25">
      <c r="A26989" t="s">
        <v>3296</v>
      </c>
      <c r="B26989" t="s">
        <v>2931</v>
      </c>
      <c r="C26989">
        <v>15665</v>
      </c>
      <c r="D26989" t="str">
        <f>"0124985949  "</f>
        <v xml:space="preserve">0124985949  </v>
      </c>
      <c r="E26989" t="s">
        <v>292</v>
      </c>
      <c r="F26989" t="s">
        <v>294</v>
      </c>
      <c r="G26989">
        <v>13.25</v>
      </c>
      <c r="H26989">
        <v>251120</v>
      </c>
      <c r="I26989">
        <v>4600</v>
      </c>
      <c r="J26989" t="s">
        <v>278</v>
      </c>
      <c r="K26989">
        <v>148.44999999999999</v>
      </c>
      <c r="L26989">
        <v>2.69</v>
      </c>
      <c r="M26989">
        <v>17803</v>
      </c>
      <c r="N26989" t="s">
        <v>19</v>
      </c>
      <c r="O26989">
        <v>251124</v>
      </c>
      <c r="P26989">
        <v>10.56</v>
      </c>
    </row>
    <row r="26990" spans="1:16" x14ac:dyDescent="0.25">
      <c r="A26990" t="s">
        <v>3296</v>
      </c>
      <c r="B26990" t="s">
        <v>2931</v>
      </c>
      <c r="C26990">
        <v>15665</v>
      </c>
      <c r="D26990" t="str">
        <f>"0124985949  "</f>
        <v xml:space="preserve">0124985949  </v>
      </c>
      <c r="E26990" t="s">
        <v>292</v>
      </c>
      <c r="F26990" t="s">
        <v>294</v>
      </c>
      <c r="G26990">
        <v>135.19999999999999</v>
      </c>
      <c r="H26990">
        <v>251120</v>
      </c>
      <c r="I26990">
        <v>4600</v>
      </c>
      <c r="J26990" t="s">
        <v>278</v>
      </c>
      <c r="K26990">
        <v>148.44999999999999</v>
      </c>
      <c r="L26990">
        <v>27.47</v>
      </c>
      <c r="M26990">
        <v>17809</v>
      </c>
      <c r="N26990" t="s">
        <v>25</v>
      </c>
      <c r="O26990">
        <v>251124</v>
      </c>
      <c r="P26990">
        <v>107.73</v>
      </c>
    </row>
    <row r="26991" spans="1:16" x14ac:dyDescent="0.25">
      <c r="A26991" t="s">
        <v>3296</v>
      </c>
      <c r="B26991" t="s">
        <v>2931</v>
      </c>
      <c r="C26991">
        <v>15677</v>
      </c>
      <c r="D26991" t="str">
        <f>"0124950360  "</f>
        <v xml:space="preserve">0124950360  </v>
      </c>
      <c r="E26991" t="s">
        <v>292</v>
      </c>
      <c r="F26991" t="s">
        <v>294</v>
      </c>
      <c r="G26991">
        <v>12.22</v>
      </c>
      <c r="H26991">
        <v>251112</v>
      </c>
      <c r="I26991">
        <v>4600</v>
      </c>
      <c r="J26991" t="s">
        <v>278</v>
      </c>
      <c r="K26991">
        <v>12.22</v>
      </c>
      <c r="L26991">
        <v>2.48</v>
      </c>
      <c r="M26991">
        <v>47522</v>
      </c>
      <c r="N26991" t="s">
        <v>106</v>
      </c>
      <c r="O26991">
        <v>251124</v>
      </c>
      <c r="P26991">
        <v>9.74</v>
      </c>
    </row>
    <row r="26992" spans="1:16" x14ac:dyDescent="0.25">
      <c r="A26992" t="s">
        <v>3296</v>
      </c>
      <c r="B26992" t="s">
        <v>2931</v>
      </c>
      <c r="C26992">
        <v>15732</v>
      </c>
      <c r="D26992" t="str">
        <f>"0124976719  "</f>
        <v xml:space="preserve">0124976719  </v>
      </c>
      <c r="E26992" t="s">
        <v>292</v>
      </c>
      <c r="F26992" t="s">
        <v>294</v>
      </c>
      <c r="G26992">
        <v>3.85</v>
      </c>
      <c r="H26992">
        <v>251118</v>
      </c>
      <c r="I26992">
        <v>4600</v>
      </c>
      <c r="J26992" t="s">
        <v>278</v>
      </c>
      <c r="K26992">
        <v>91.01</v>
      </c>
      <c r="L26992">
        <v>0.78</v>
      </c>
      <c r="M26992">
        <v>17524</v>
      </c>
      <c r="N26992" t="s">
        <v>139</v>
      </c>
      <c r="O26992">
        <v>251125</v>
      </c>
      <c r="P26992">
        <v>3.07</v>
      </c>
    </row>
    <row r="26993" spans="1:16" x14ac:dyDescent="0.25">
      <c r="A26993" t="s">
        <v>3296</v>
      </c>
      <c r="B26993" t="s">
        <v>2931</v>
      </c>
      <c r="C26993">
        <v>15751</v>
      </c>
      <c r="D26993" t="str">
        <f>"0124952676  "</f>
        <v xml:space="preserve">0124952676  </v>
      </c>
      <c r="E26993" t="s">
        <v>292</v>
      </c>
      <c r="F26993" t="s">
        <v>294</v>
      </c>
      <c r="G26993">
        <v>201.83</v>
      </c>
      <c r="H26993">
        <v>251112</v>
      </c>
      <c r="I26993">
        <v>4600</v>
      </c>
      <c r="J26993" t="s">
        <v>278</v>
      </c>
      <c r="K26993">
        <v>201.83</v>
      </c>
      <c r="L26993">
        <v>41.01</v>
      </c>
      <c r="M26993">
        <v>17527</v>
      </c>
      <c r="N26993" t="s">
        <v>142</v>
      </c>
      <c r="O26993">
        <v>251126</v>
      </c>
      <c r="P26993">
        <v>160.82</v>
      </c>
    </row>
    <row r="26994" spans="1:16" x14ac:dyDescent="0.25">
      <c r="A26994" t="s">
        <v>3296</v>
      </c>
      <c r="B26994" t="s">
        <v>2931</v>
      </c>
      <c r="C26994">
        <v>15973</v>
      </c>
      <c r="D26994" t="str">
        <f>"0124981168  "</f>
        <v xml:space="preserve">0124981168  </v>
      </c>
      <c r="E26994" t="s">
        <v>292</v>
      </c>
      <c r="F26994" t="s">
        <v>294</v>
      </c>
      <c r="G26994">
        <v>418.19</v>
      </c>
      <c r="H26994">
        <v>251118</v>
      </c>
      <c r="I26994">
        <v>4600</v>
      </c>
      <c r="J26994" t="s">
        <v>278</v>
      </c>
      <c r="K26994">
        <v>418.19</v>
      </c>
      <c r="L26994">
        <v>84.97</v>
      </c>
      <c r="M26994">
        <v>47522</v>
      </c>
      <c r="N26994" t="s">
        <v>106</v>
      </c>
      <c r="O26994">
        <v>251201</v>
      </c>
      <c r="P26994">
        <v>333.22</v>
      </c>
    </row>
    <row r="26995" spans="1:16" x14ac:dyDescent="0.25">
      <c r="A26995" t="s">
        <v>3296</v>
      </c>
      <c r="B26995" t="s">
        <v>2931</v>
      </c>
      <c r="C26995">
        <v>15976</v>
      </c>
      <c r="D26995" t="str">
        <f>"0124995402  "</f>
        <v xml:space="preserve">0124995402  </v>
      </c>
      <c r="E26995" t="s">
        <v>292</v>
      </c>
      <c r="F26995" t="s">
        <v>294</v>
      </c>
      <c r="G26995">
        <v>9.83</v>
      </c>
      <c r="H26995">
        <v>251121</v>
      </c>
      <c r="I26995">
        <v>4600</v>
      </c>
      <c r="J26995" t="s">
        <v>278</v>
      </c>
      <c r="K26995">
        <v>9.83</v>
      </c>
      <c r="L26995">
        <v>2</v>
      </c>
      <c r="M26995">
        <v>46555</v>
      </c>
      <c r="N26995" t="s">
        <v>103</v>
      </c>
      <c r="O26995">
        <v>251201</v>
      </c>
      <c r="P26995">
        <v>7.83</v>
      </c>
    </row>
    <row r="26996" spans="1:16" x14ac:dyDescent="0.25">
      <c r="A26996" t="s">
        <v>3296</v>
      </c>
      <c r="B26996" t="s">
        <v>2931</v>
      </c>
      <c r="C26996">
        <v>15977</v>
      </c>
      <c r="D26996" t="str">
        <f>"0124999865  "</f>
        <v xml:space="preserve">0124999865  </v>
      </c>
      <c r="E26996" t="s">
        <v>292</v>
      </c>
      <c r="F26996" t="s">
        <v>294</v>
      </c>
      <c r="G26996">
        <v>10.199999999999999</v>
      </c>
      <c r="H26996">
        <v>251124</v>
      </c>
      <c r="I26996">
        <v>4600</v>
      </c>
      <c r="J26996" t="s">
        <v>278</v>
      </c>
      <c r="K26996">
        <v>10.199999999999999</v>
      </c>
      <c r="L26996">
        <v>2.0699999999999998</v>
      </c>
      <c r="M26996">
        <v>17809</v>
      </c>
      <c r="N26996" t="s">
        <v>25</v>
      </c>
      <c r="O26996">
        <v>251201</v>
      </c>
      <c r="P26996">
        <v>8.1300000000000008</v>
      </c>
    </row>
    <row r="26997" spans="1:16" x14ac:dyDescent="0.25">
      <c r="A26997" t="s">
        <v>3296</v>
      </c>
      <c r="B26997" t="s">
        <v>2931</v>
      </c>
      <c r="C26997">
        <v>15978</v>
      </c>
      <c r="D26997" t="str">
        <f>"0124997691  "</f>
        <v xml:space="preserve">0124997691  </v>
      </c>
      <c r="E26997" t="s">
        <v>292</v>
      </c>
      <c r="F26997" t="s">
        <v>294</v>
      </c>
      <c r="G26997">
        <v>9.2200000000000006</v>
      </c>
      <c r="H26997">
        <v>251124</v>
      </c>
      <c r="I26997">
        <v>4600</v>
      </c>
      <c r="J26997" t="s">
        <v>278</v>
      </c>
      <c r="K26997">
        <v>9.2200000000000006</v>
      </c>
      <c r="L26997">
        <v>1.87</v>
      </c>
      <c r="M26997">
        <v>46555</v>
      </c>
      <c r="N26997" t="s">
        <v>103</v>
      </c>
      <c r="O26997">
        <v>251201</v>
      </c>
      <c r="P26997">
        <v>7.35</v>
      </c>
    </row>
    <row r="26998" spans="1:16" x14ac:dyDescent="0.25">
      <c r="A26998" t="s">
        <v>3296</v>
      </c>
      <c r="B26998" t="s">
        <v>2931</v>
      </c>
      <c r="C26998">
        <v>15992</v>
      </c>
      <c r="D26998" t="str">
        <f>"0125011853  "</f>
        <v xml:space="preserve">0125011853  </v>
      </c>
      <c r="E26998" t="s">
        <v>292</v>
      </c>
      <c r="F26998" t="s">
        <v>294</v>
      </c>
      <c r="G26998">
        <v>186.32</v>
      </c>
      <c r="H26998">
        <v>251127</v>
      </c>
      <c r="I26998">
        <v>4600</v>
      </c>
      <c r="J26998" t="s">
        <v>278</v>
      </c>
      <c r="K26998">
        <v>186.32</v>
      </c>
      <c r="L26998">
        <v>37.86</v>
      </c>
      <c r="M26998">
        <v>17807</v>
      </c>
      <c r="N26998" t="s">
        <v>23</v>
      </c>
      <c r="O26998">
        <v>251201</v>
      </c>
      <c r="P26998">
        <v>148.46</v>
      </c>
    </row>
    <row r="26999" spans="1:16" x14ac:dyDescent="0.25">
      <c r="A26999" t="s">
        <v>3296</v>
      </c>
      <c r="B26999" t="s">
        <v>2931</v>
      </c>
      <c r="C26999">
        <v>16024</v>
      </c>
      <c r="D26999" t="str">
        <f>"0124948329  "</f>
        <v xml:space="preserve">0124948329  </v>
      </c>
      <c r="E26999" t="s">
        <v>292</v>
      </c>
      <c r="F26999" t="s">
        <v>294</v>
      </c>
      <c r="G26999">
        <v>71.14</v>
      </c>
      <c r="H26999">
        <v>251111</v>
      </c>
      <c r="I26999">
        <v>4600</v>
      </c>
      <c r="J26999" t="s">
        <v>278</v>
      </c>
      <c r="K26999">
        <v>101.01</v>
      </c>
      <c r="L26999">
        <v>14.45</v>
      </c>
      <c r="M26999">
        <v>17523</v>
      </c>
      <c r="N26999" t="s">
        <v>138</v>
      </c>
      <c r="O26999">
        <v>251202</v>
      </c>
      <c r="P26999">
        <v>56.69</v>
      </c>
    </row>
    <row r="27000" spans="1:16" x14ac:dyDescent="0.25">
      <c r="A27000" t="s">
        <v>3296</v>
      </c>
      <c r="B27000" t="s">
        <v>2931</v>
      </c>
      <c r="C27000">
        <v>16040</v>
      </c>
      <c r="D27000" t="str">
        <f>"0124932764  "</f>
        <v xml:space="preserve">0124932764  </v>
      </c>
      <c r="E27000" t="s">
        <v>292</v>
      </c>
      <c r="F27000" t="s">
        <v>294</v>
      </c>
      <c r="G27000">
        <v>109.8</v>
      </c>
      <c r="H27000">
        <v>251106</v>
      </c>
      <c r="I27000">
        <v>4600</v>
      </c>
      <c r="J27000" t="s">
        <v>278</v>
      </c>
      <c r="K27000">
        <v>109.8</v>
      </c>
      <c r="L27000">
        <v>22.31</v>
      </c>
      <c r="M27000">
        <v>17802</v>
      </c>
      <c r="N27000" t="s">
        <v>18</v>
      </c>
      <c r="O27000">
        <v>251202</v>
      </c>
      <c r="P27000">
        <v>87.49</v>
      </c>
    </row>
    <row r="27001" spans="1:16" x14ac:dyDescent="0.25">
      <c r="A27001" t="s">
        <v>3296</v>
      </c>
      <c r="B27001" t="s">
        <v>2931</v>
      </c>
      <c r="C27001">
        <v>16064</v>
      </c>
      <c r="D27001" t="str">
        <f>"0124956544  "</f>
        <v xml:space="preserve">0124956544  </v>
      </c>
      <c r="E27001" t="s">
        <v>292</v>
      </c>
      <c r="F27001" t="s">
        <v>294</v>
      </c>
      <c r="G27001">
        <v>97.9</v>
      </c>
      <c r="H27001">
        <v>251113</v>
      </c>
      <c r="I27001">
        <v>4600</v>
      </c>
      <c r="J27001" t="s">
        <v>278</v>
      </c>
      <c r="K27001">
        <v>97.9</v>
      </c>
      <c r="L27001">
        <v>19.89</v>
      </c>
      <c r="M27001">
        <v>17802</v>
      </c>
      <c r="N27001" t="s">
        <v>18</v>
      </c>
      <c r="O27001">
        <v>251203</v>
      </c>
      <c r="P27001">
        <v>78.010000000000005</v>
      </c>
    </row>
    <row r="27002" spans="1:16" x14ac:dyDescent="0.25">
      <c r="A27002" t="s">
        <v>3296</v>
      </c>
      <c r="B27002" t="s">
        <v>2931</v>
      </c>
      <c r="C27002">
        <v>16111</v>
      </c>
      <c r="D27002" t="str">
        <f>"0124985948  "</f>
        <v xml:space="preserve">0124985948  </v>
      </c>
      <c r="E27002" t="s">
        <v>292</v>
      </c>
      <c r="F27002" t="s">
        <v>294</v>
      </c>
      <c r="G27002">
        <v>87.81</v>
      </c>
      <c r="H27002">
        <v>251120</v>
      </c>
      <c r="I27002">
        <v>4600</v>
      </c>
      <c r="J27002" t="s">
        <v>278</v>
      </c>
      <c r="K27002">
        <v>87.81</v>
      </c>
      <c r="L27002">
        <v>17.84</v>
      </c>
      <c r="M27002">
        <v>17802</v>
      </c>
      <c r="N27002" t="s">
        <v>18</v>
      </c>
      <c r="O27002">
        <v>251203</v>
      </c>
      <c r="P27002">
        <v>69.97</v>
      </c>
    </row>
    <row r="27003" spans="1:16" x14ac:dyDescent="0.25">
      <c r="A27003" t="s">
        <v>3296</v>
      </c>
      <c r="B27003" t="s">
        <v>2931</v>
      </c>
      <c r="C27003">
        <v>16299</v>
      </c>
      <c r="D27003" t="str">
        <f>"0125029385  "</f>
        <v xml:space="preserve">0125029385  </v>
      </c>
      <c r="E27003" t="s">
        <v>292</v>
      </c>
      <c r="F27003" t="s">
        <v>294</v>
      </c>
      <c r="G27003">
        <v>597.62</v>
      </c>
      <c r="H27003">
        <v>251128</v>
      </c>
      <c r="I27003">
        <v>4600</v>
      </c>
      <c r="J27003" t="s">
        <v>278</v>
      </c>
      <c r="K27003">
        <v>597.62</v>
      </c>
      <c r="L27003">
        <v>121.43</v>
      </c>
      <c r="M27003">
        <v>56568</v>
      </c>
      <c r="N27003" t="s">
        <v>354</v>
      </c>
      <c r="O27003">
        <v>251205</v>
      </c>
      <c r="P27003">
        <v>476.19</v>
      </c>
    </row>
    <row r="27004" spans="1:16" x14ac:dyDescent="0.25">
      <c r="A27004" t="s">
        <v>3296</v>
      </c>
      <c r="B27004" t="s">
        <v>2931</v>
      </c>
      <c r="C27004">
        <v>16302</v>
      </c>
      <c r="D27004" t="str">
        <f>"0125034266  "</f>
        <v xml:space="preserve">0125034266  </v>
      </c>
      <c r="E27004" t="s">
        <v>292</v>
      </c>
      <c r="F27004" t="s">
        <v>294</v>
      </c>
      <c r="G27004">
        <v>63.42</v>
      </c>
      <c r="H27004">
        <v>251128</v>
      </c>
      <c r="I27004">
        <v>4600</v>
      </c>
      <c r="J27004" t="s">
        <v>278</v>
      </c>
      <c r="K27004">
        <v>158.41</v>
      </c>
      <c r="L27004">
        <v>12.89</v>
      </c>
      <c r="M27004">
        <v>46554</v>
      </c>
      <c r="N27004" t="s">
        <v>102</v>
      </c>
      <c r="O27004">
        <v>251205</v>
      </c>
      <c r="P27004">
        <v>50.53</v>
      </c>
    </row>
    <row r="27005" spans="1:16" x14ac:dyDescent="0.25">
      <c r="A27005" t="s">
        <v>3296</v>
      </c>
      <c r="B27005" t="s">
        <v>2931</v>
      </c>
      <c r="C27005">
        <v>16303</v>
      </c>
      <c r="D27005" t="str">
        <f>"0125029386  "</f>
        <v xml:space="preserve">0125029386  </v>
      </c>
      <c r="E27005" t="s">
        <v>292</v>
      </c>
      <c r="F27005" t="s">
        <v>294</v>
      </c>
      <c r="G27005">
        <v>439.88</v>
      </c>
      <c r="H27005">
        <v>251128</v>
      </c>
      <c r="I27005">
        <v>4600</v>
      </c>
      <c r="J27005" t="s">
        <v>278</v>
      </c>
      <c r="K27005">
        <v>439.88</v>
      </c>
      <c r="L27005">
        <v>89.38</v>
      </c>
      <c r="M27005">
        <v>56565</v>
      </c>
      <c r="N27005" t="s">
        <v>57</v>
      </c>
      <c r="O27005">
        <v>251205</v>
      </c>
      <c r="P27005">
        <v>350.5</v>
      </c>
    </row>
    <row r="27006" spans="1:16" x14ac:dyDescent="0.25">
      <c r="A27006" t="s">
        <v>3296</v>
      </c>
      <c r="B27006" t="s">
        <v>2931</v>
      </c>
      <c r="C27006">
        <v>16750</v>
      </c>
      <c r="D27006" t="str">
        <f>"0125011005  "</f>
        <v xml:space="preserve">0125011005  </v>
      </c>
      <c r="E27006" t="s">
        <v>292</v>
      </c>
      <c r="F27006" t="s">
        <v>294</v>
      </c>
      <c r="G27006">
        <v>18.34</v>
      </c>
      <c r="H27006">
        <v>251127</v>
      </c>
      <c r="I27006">
        <v>4600</v>
      </c>
      <c r="J27006" t="s">
        <v>278</v>
      </c>
      <c r="K27006">
        <v>210.6</v>
      </c>
      <c r="L27006">
        <v>3.73</v>
      </c>
      <c r="M27006">
        <v>17522</v>
      </c>
      <c r="N27006" t="s">
        <v>137</v>
      </c>
      <c r="O27006">
        <v>251211</v>
      </c>
      <c r="P27006">
        <v>14.61</v>
      </c>
    </row>
    <row r="27007" spans="1:16" x14ac:dyDescent="0.25">
      <c r="A27007" t="s">
        <v>3296</v>
      </c>
      <c r="B27007" t="s">
        <v>2931</v>
      </c>
      <c r="C27007">
        <v>16750</v>
      </c>
      <c r="D27007" t="str">
        <f>"0125011005  "</f>
        <v xml:space="preserve">0125011005  </v>
      </c>
      <c r="E27007" t="s">
        <v>292</v>
      </c>
      <c r="F27007" t="s">
        <v>294</v>
      </c>
      <c r="G27007">
        <v>10.37</v>
      </c>
      <c r="H27007">
        <v>251127</v>
      </c>
      <c r="I27007">
        <v>4600</v>
      </c>
      <c r="J27007" t="s">
        <v>278</v>
      </c>
      <c r="K27007">
        <v>210.6</v>
      </c>
      <c r="L27007">
        <v>2.11</v>
      </c>
      <c r="M27007">
        <v>17633</v>
      </c>
      <c r="N27007" t="s">
        <v>628</v>
      </c>
      <c r="O27007">
        <v>251211</v>
      </c>
      <c r="P27007">
        <v>8.26</v>
      </c>
    </row>
    <row r="27008" spans="1:16" x14ac:dyDescent="0.25">
      <c r="A27008" t="s">
        <v>3296</v>
      </c>
      <c r="B27008" t="s">
        <v>2931</v>
      </c>
      <c r="C27008">
        <v>16750</v>
      </c>
      <c r="D27008" t="str">
        <f>"0125011005  "</f>
        <v xml:space="preserve">0125011005  </v>
      </c>
      <c r="E27008" t="s">
        <v>292</v>
      </c>
      <c r="F27008" t="s">
        <v>294</v>
      </c>
      <c r="G27008">
        <v>57.18</v>
      </c>
      <c r="H27008">
        <v>251127</v>
      </c>
      <c r="I27008">
        <v>4600</v>
      </c>
      <c r="J27008" t="s">
        <v>278</v>
      </c>
      <c r="K27008">
        <v>210.6</v>
      </c>
      <c r="L27008">
        <v>11.62</v>
      </c>
      <c r="M27008">
        <v>17640</v>
      </c>
      <c r="N27008" t="s">
        <v>2594</v>
      </c>
      <c r="O27008">
        <v>251211</v>
      </c>
      <c r="P27008">
        <v>45.56</v>
      </c>
    </row>
    <row r="27009" spans="1:16" x14ac:dyDescent="0.25">
      <c r="A27009" t="s">
        <v>3296</v>
      </c>
      <c r="B27009" t="s">
        <v>2931</v>
      </c>
      <c r="C27009">
        <v>16751</v>
      </c>
      <c r="D27009" t="str">
        <f>"0125011855  "</f>
        <v xml:space="preserve">0125011855  </v>
      </c>
      <c r="E27009" t="s">
        <v>292</v>
      </c>
      <c r="F27009" t="s">
        <v>294</v>
      </c>
      <c r="G27009">
        <v>253.73</v>
      </c>
      <c r="H27009">
        <v>251127</v>
      </c>
      <c r="I27009">
        <v>4600</v>
      </c>
      <c r="J27009" t="s">
        <v>278</v>
      </c>
      <c r="K27009">
        <v>253.73</v>
      </c>
      <c r="L27009">
        <v>51.55</v>
      </c>
      <c r="M27009">
        <v>17802</v>
      </c>
      <c r="N27009" t="s">
        <v>18</v>
      </c>
      <c r="O27009">
        <v>251211</v>
      </c>
      <c r="P27009">
        <v>202.18</v>
      </c>
    </row>
    <row r="27010" spans="1:16" x14ac:dyDescent="0.25">
      <c r="A27010" t="s">
        <v>3296</v>
      </c>
      <c r="B27010" t="s">
        <v>2931</v>
      </c>
      <c r="C27010">
        <v>16769</v>
      </c>
      <c r="D27010" t="str">
        <f>"0125049002  "</f>
        <v xml:space="preserve">0125049002  </v>
      </c>
      <c r="E27010" t="s">
        <v>292</v>
      </c>
      <c r="F27010" t="s">
        <v>294</v>
      </c>
      <c r="G27010">
        <v>63.37</v>
      </c>
      <c r="H27010">
        <v>251202</v>
      </c>
      <c r="I27010">
        <v>4600</v>
      </c>
      <c r="J27010" t="s">
        <v>278</v>
      </c>
      <c r="K27010">
        <v>124.87</v>
      </c>
      <c r="L27010">
        <v>12.88</v>
      </c>
      <c r="M27010">
        <v>67522</v>
      </c>
      <c r="N27010" t="s">
        <v>121</v>
      </c>
      <c r="O27010">
        <v>251211</v>
      </c>
      <c r="P27010">
        <v>50.49</v>
      </c>
    </row>
    <row r="27011" spans="1:16" x14ac:dyDescent="0.25">
      <c r="A27011" t="s">
        <v>3296</v>
      </c>
      <c r="B27011" t="s">
        <v>2931</v>
      </c>
      <c r="C27011">
        <v>16795</v>
      </c>
      <c r="D27011" t="str">
        <f>"0125054164  "</f>
        <v xml:space="preserve">0125054164  </v>
      </c>
      <c r="E27011" t="s">
        <v>292</v>
      </c>
      <c r="F27011" t="s">
        <v>294</v>
      </c>
      <c r="G27011">
        <v>23.72</v>
      </c>
      <c r="H27011">
        <v>251203</v>
      </c>
      <c r="I27011">
        <v>4600</v>
      </c>
      <c r="J27011" t="s">
        <v>278</v>
      </c>
      <c r="K27011">
        <v>23.72</v>
      </c>
      <c r="L27011">
        <v>4.82</v>
      </c>
      <c r="M27011">
        <v>47522</v>
      </c>
      <c r="N27011" t="s">
        <v>106</v>
      </c>
      <c r="O27011">
        <v>251211</v>
      </c>
      <c r="P27011">
        <v>18.899999999999999</v>
      </c>
    </row>
    <row r="27012" spans="1:16" x14ac:dyDescent="0.25">
      <c r="A27012" t="s">
        <v>3296</v>
      </c>
      <c r="B27012" t="s">
        <v>2931</v>
      </c>
      <c r="C27012">
        <v>16813</v>
      </c>
      <c r="D27012" t="str">
        <f>"0125054163  "</f>
        <v xml:space="preserve">0125054163  </v>
      </c>
      <c r="E27012" t="s">
        <v>292</v>
      </c>
      <c r="F27012" t="s">
        <v>294</v>
      </c>
      <c r="G27012">
        <v>92.97</v>
      </c>
      <c r="H27012">
        <v>251203</v>
      </c>
      <c r="I27012">
        <v>4600</v>
      </c>
      <c r="J27012" t="s">
        <v>278</v>
      </c>
      <c r="K27012">
        <v>92.97</v>
      </c>
      <c r="L27012">
        <v>18.89</v>
      </c>
      <c r="M27012">
        <v>46555</v>
      </c>
      <c r="N27012" t="s">
        <v>103</v>
      </c>
      <c r="O27012">
        <v>251212</v>
      </c>
      <c r="P27012">
        <v>74.08</v>
      </c>
    </row>
    <row r="27013" spans="1:16" x14ac:dyDescent="0.25">
      <c r="A27013" t="s">
        <v>3296</v>
      </c>
      <c r="B27013" t="s">
        <v>2931</v>
      </c>
      <c r="C27013">
        <v>16819</v>
      </c>
      <c r="D27013" t="str">
        <f>"0125054915  "</f>
        <v xml:space="preserve">0125054915  </v>
      </c>
      <c r="E27013" t="s">
        <v>292</v>
      </c>
      <c r="F27013" t="s">
        <v>294</v>
      </c>
      <c r="G27013">
        <v>394.08</v>
      </c>
      <c r="H27013">
        <v>251204</v>
      </c>
      <c r="I27013">
        <v>4600</v>
      </c>
      <c r="J27013" t="s">
        <v>278</v>
      </c>
      <c r="K27013">
        <v>394.08</v>
      </c>
      <c r="L27013">
        <v>80.069999999999993</v>
      </c>
      <c r="M27013">
        <v>17804</v>
      </c>
      <c r="N27013" t="s">
        <v>20</v>
      </c>
      <c r="O27013">
        <v>251212</v>
      </c>
      <c r="P27013">
        <v>314.01</v>
      </c>
    </row>
    <row r="27014" spans="1:16" x14ac:dyDescent="0.25">
      <c r="A27014" t="s">
        <v>3296</v>
      </c>
      <c r="B27014" t="s">
        <v>2931</v>
      </c>
      <c r="C27014">
        <v>16919</v>
      </c>
      <c r="D27014" t="str">
        <f>"0125013163  "</f>
        <v xml:space="preserve">0125013163  </v>
      </c>
      <c r="E27014" t="s">
        <v>292</v>
      </c>
      <c r="F27014" t="s">
        <v>294</v>
      </c>
      <c r="G27014">
        <v>105.71</v>
      </c>
      <c r="H27014">
        <v>251127</v>
      </c>
      <c r="I27014">
        <v>4600</v>
      </c>
      <c r="J27014" t="s">
        <v>278</v>
      </c>
      <c r="K27014">
        <v>212.64</v>
      </c>
      <c r="L27014">
        <v>21.48</v>
      </c>
      <c r="M27014">
        <v>67522</v>
      </c>
      <c r="N27014" t="s">
        <v>121</v>
      </c>
      <c r="O27014">
        <v>251215</v>
      </c>
      <c r="P27014">
        <v>84.23</v>
      </c>
    </row>
    <row r="27015" spans="1:16" x14ac:dyDescent="0.25">
      <c r="A27015" t="s">
        <v>3296</v>
      </c>
      <c r="B27015" t="s">
        <v>2931</v>
      </c>
      <c r="C27015">
        <v>16975</v>
      </c>
      <c r="D27015" t="str">
        <f>"0124956575  "</f>
        <v xml:space="preserve">0124956575  </v>
      </c>
      <c r="E27015" t="s">
        <v>292</v>
      </c>
      <c r="F27015" t="s">
        <v>294</v>
      </c>
      <c r="G27015">
        <v>19.23</v>
      </c>
      <c r="H27015">
        <v>251113</v>
      </c>
      <c r="I27015">
        <v>4600</v>
      </c>
      <c r="J27015" t="s">
        <v>278</v>
      </c>
      <c r="K27015">
        <v>119.23</v>
      </c>
      <c r="L27015">
        <v>3.91</v>
      </c>
      <c r="M27015">
        <v>46555</v>
      </c>
      <c r="N27015" t="s">
        <v>103</v>
      </c>
      <c r="O27015">
        <v>251216</v>
      </c>
      <c r="P27015">
        <v>15.32</v>
      </c>
    </row>
    <row r="27016" spans="1:16" x14ac:dyDescent="0.25">
      <c r="A27016" t="s">
        <v>3296</v>
      </c>
      <c r="B27016" t="s">
        <v>2931</v>
      </c>
      <c r="C27016">
        <v>16983</v>
      </c>
      <c r="D27016" t="str">
        <f>"0124987228  "</f>
        <v xml:space="preserve">0124987228  </v>
      </c>
      <c r="E27016" t="s">
        <v>292</v>
      </c>
      <c r="F27016" t="s">
        <v>294</v>
      </c>
      <c r="G27016">
        <v>1179.26</v>
      </c>
      <c r="H27016">
        <v>251120</v>
      </c>
      <c r="I27016">
        <v>4600</v>
      </c>
      <c r="J27016" t="s">
        <v>278</v>
      </c>
      <c r="K27016">
        <v>1214.5899999999999</v>
      </c>
      <c r="L27016">
        <v>239.61</v>
      </c>
      <c r="M27016">
        <v>46554</v>
      </c>
      <c r="N27016" t="s">
        <v>102</v>
      </c>
      <c r="O27016">
        <v>251216</v>
      </c>
      <c r="P27016">
        <v>939.65</v>
      </c>
    </row>
    <row r="27017" spans="1:16" x14ac:dyDescent="0.25">
      <c r="A27017" t="s">
        <v>3296</v>
      </c>
      <c r="B27017" t="s">
        <v>2931</v>
      </c>
      <c r="C27017">
        <v>16985</v>
      </c>
      <c r="D27017" t="str">
        <f>"0124997692  "</f>
        <v xml:space="preserve">0124997692  </v>
      </c>
      <c r="E27017" t="s">
        <v>292</v>
      </c>
      <c r="F27017" t="s">
        <v>294</v>
      </c>
      <c r="G27017">
        <v>174.09</v>
      </c>
      <c r="H27017">
        <v>251124</v>
      </c>
      <c r="I27017">
        <v>4600</v>
      </c>
      <c r="J27017" t="s">
        <v>278</v>
      </c>
      <c r="K27017">
        <v>730.4</v>
      </c>
      <c r="L27017">
        <v>35.369999999999997</v>
      </c>
      <c r="M27017">
        <v>46554</v>
      </c>
      <c r="N27017" t="s">
        <v>102</v>
      </c>
      <c r="O27017">
        <v>251216</v>
      </c>
      <c r="P27017">
        <v>138.72</v>
      </c>
    </row>
    <row r="27018" spans="1:16" x14ac:dyDescent="0.25">
      <c r="A27018" t="s">
        <v>3296</v>
      </c>
      <c r="B27018" t="s">
        <v>2931</v>
      </c>
      <c r="C27018">
        <v>16985</v>
      </c>
      <c r="D27018" t="str">
        <f>"0124997692  "</f>
        <v xml:space="preserve">0124997692  </v>
      </c>
      <c r="E27018" t="s">
        <v>292</v>
      </c>
      <c r="F27018" t="s">
        <v>294</v>
      </c>
      <c r="G27018">
        <v>263.14999999999998</v>
      </c>
      <c r="H27018">
        <v>251124</v>
      </c>
      <c r="I27018">
        <v>4600</v>
      </c>
      <c r="J27018" t="s">
        <v>278</v>
      </c>
      <c r="K27018">
        <v>730.4</v>
      </c>
      <c r="L27018">
        <v>53.47</v>
      </c>
      <c r="M27018">
        <v>46554</v>
      </c>
      <c r="N27018" t="s">
        <v>102</v>
      </c>
      <c r="O27018">
        <v>251216</v>
      </c>
      <c r="P27018">
        <v>209.68</v>
      </c>
    </row>
    <row r="27019" spans="1:16" x14ac:dyDescent="0.25">
      <c r="A27019" t="s">
        <v>3296</v>
      </c>
      <c r="B27019" t="s">
        <v>2931</v>
      </c>
      <c r="C27019">
        <v>17174</v>
      </c>
      <c r="D27019" t="str">
        <f>"0124950361  "</f>
        <v xml:space="preserve">0124950361  </v>
      </c>
      <c r="E27019" t="s">
        <v>292</v>
      </c>
      <c r="F27019" t="s">
        <v>294</v>
      </c>
      <c r="G27019">
        <v>331.67</v>
      </c>
      <c r="H27019">
        <v>251112</v>
      </c>
      <c r="I27019">
        <v>4600</v>
      </c>
      <c r="J27019" t="s">
        <v>278</v>
      </c>
      <c r="K27019">
        <v>331.67</v>
      </c>
      <c r="L27019">
        <v>67.39</v>
      </c>
      <c r="M27019">
        <v>46554</v>
      </c>
      <c r="N27019" t="s">
        <v>102</v>
      </c>
      <c r="O27019">
        <v>251218</v>
      </c>
      <c r="P27019">
        <v>264.27999999999997</v>
      </c>
    </row>
    <row r="27020" spans="1:16" x14ac:dyDescent="0.25">
      <c r="A27020" t="s">
        <v>3296</v>
      </c>
      <c r="B27020" t="s">
        <v>2931</v>
      </c>
      <c r="C27020">
        <v>17723</v>
      </c>
      <c r="D27020" t="str">
        <f>"0125056099  "</f>
        <v xml:space="preserve">0125056099  </v>
      </c>
      <c r="E27020" t="s">
        <v>292</v>
      </c>
      <c r="F27020" t="s">
        <v>294</v>
      </c>
      <c r="G27020">
        <v>67.55</v>
      </c>
      <c r="H27020">
        <v>251204</v>
      </c>
      <c r="I27020">
        <v>4600</v>
      </c>
      <c r="J27020" t="s">
        <v>278</v>
      </c>
      <c r="K27020">
        <v>67.55</v>
      </c>
      <c r="L27020">
        <v>13.73</v>
      </c>
      <c r="M27020">
        <v>46554</v>
      </c>
      <c r="N27020" t="s">
        <v>102</v>
      </c>
      <c r="O27020">
        <v>251230</v>
      </c>
      <c r="P27020">
        <v>53.82</v>
      </c>
    </row>
    <row r="27021" spans="1:16" x14ac:dyDescent="0.25">
      <c r="A27021" t="s">
        <v>3296</v>
      </c>
      <c r="B27021" t="s">
        <v>2931</v>
      </c>
      <c r="C27021">
        <v>17727</v>
      </c>
      <c r="D27021" t="str">
        <f>"0125054917  "</f>
        <v xml:space="preserve">0125054917  </v>
      </c>
      <c r="E27021" t="s">
        <v>292</v>
      </c>
      <c r="F27021" t="s">
        <v>294</v>
      </c>
      <c r="G27021">
        <v>143.57</v>
      </c>
      <c r="H27021">
        <v>251204</v>
      </c>
      <c r="I27021">
        <v>4600</v>
      </c>
      <c r="J27021" t="s">
        <v>278</v>
      </c>
      <c r="K27021">
        <v>143.57</v>
      </c>
      <c r="L27021">
        <v>29.17</v>
      </c>
      <c r="M27021">
        <v>17802</v>
      </c>
      <c r="N27021" t="s">
        <v>18</v>
      </c>
      <c r="O27021">
        <v>251230</v>
      </c>
      <c r="P27021">
        <v>114.4</v>
      </c>
    </row>
    <row r="27022" spans="1:16" x14ac:dyDescent="0.25">
      <c r="A27022" t="s">
        <v>3296</v>
      </c>
      <c r="B27022" t="s">
        <v>2931</v>
      </c>
      <c r="C27022">
        <v>17729</v>
      </c>
      <c r="D27022" t="str">
        <f>"0125065342  "</f>
        <v xml:space="preserve">0125065342  </v>
      </c>
      <c r="E27022" t="s">
        <v>292</v>
      </c>
      <c r="F27022" t="s">
        <v>294</v>
      </c>
      <c r="G27022">
        <v>205.9</v>
      </c>
      <c r="H27022">
        <v>251205</v>
      </c>
      <c r="I27022">
        <v>4600</v>
      </c>
      <c r="J27022" t="s">
        <v>278</v>
      </c>
      <c r="K27022">
        <v>310.39</v>
      </c>
      <c r="L27022">
        <v>41.84</v>
      </c>
      <c r="M27022">
        <v>67522</v>
      </c>
      <c r="N27022" t="s">
        <v>121</v>
      </c>
      <c r="O27022">
        <v>251230</v>
      </c>
      <c r="P27022">
        <v>164.06</v>
      </c>
    </row>
    <row r="27023" spans="1:16" x14ac:dyDescent="0.25">
      <c r="A27023" t="s">
        <v>3296</v>
      </c>
      <c r="B27023" t="s">
        <v>2931</v>
      </c>
      <c r="C27023">
        <v>17749</v>
      </c>
      <c r="D27023" t="str">
        <f>"0125069415  "</f>
        <v xml:space="preserve">0125069415  </v>
      </c>
      <c r="E27023" t="s">
        <v>292</v>
      </c>
      <c r="F27023" t="s">
        <v>294</v>
      </c>
      <c r="G27023">
        <v>121.43</v>
      </c>
      <c r="H27023">
        <v>251208</v>
      </c>
      <c r="I27023">
        <v>4600</v>
      </c>
      <c r="J27023" t="s">
        <v>278</v>
      </c>
      <c r="K27023">
        <v>121.43</v>
      </c>
      <c r="L27023">
        <v>24.67</v>
      </c>
      <c r="M27023">
        <v>17521</v>
      </c>
      <c r="N27023" t="s">
        <v>136</v>
      </c>
      <c r="O27023">
        <v>251230</v>
      </c>
      <c r="P27023">
        <v>96.76</v>
      </c>
    </row>
    <row r="27024" spans="1:16" x14ac:dyDescent="0.25">
      <c r="A27024" t="s">
        <v>3296</v>
      </c>
      <c r="B27024" t="s">
        <v>2931</v>
      </c>
      <c r="C27024">
        <v>17805</v>
      </c>
      <c r="D27024" t="str">
        <f>"0125092667  "</f>
        <v xml:space="preserve">0125092667  </v>
      </c>
      <c r="E27024" t="s">
        <v>292</v>
      </c>
      <c r="F27024" t="s">
        <v>294</v>
      </c>
      <c r="G27024">
        <v>123.49</v>
      </c>
      <c r="H27024">
        <v>251215</v>
      </c>
      <c r="I27024">
        <v>4600</v>
      </c>
      <c r="J27024" t="s">
        <v>278</v>
      </c>
      <c r="K27024">
        <v>1007.9</v>
      </c>
      <c r="L27024">
        <v>25.09</v>
      </c>
      <c r="M27024">
        <v>56528</v>
      </c>
      <c r="N27024" t="s">
        <v>70</v>
      </c>
      <c r="O27024">
        <v>251230</v>
      </c>
      <c r="P27024">
        <v>98.4</v>
      </c>
    </row>
    <row r="27025" spans="1:16" x14ac:dyDescent="0.25">
      <c r="A27025" t="s">
        <v>3296</v>
      </c>
      <c r="B27025" t="s">
        <v>2931</v>
      </c>
      <c r="C27025">
        <v>17807</v>
      </c>
      <c r="D27025" t="str">
        <f>"0125092665  "</f>
        <v xml:space="preserve">0125092665  </v>
      </c>
      <c r="E27025" t="s">
        <v>292</v>
      </c>
      <c r="F27025" t="s">
        <v>294</v>
      </c>
      <c r="G27025">
        <v>1167.8</v>
      </c>
      <c r="H27025">
        <v>251215</v>
      </c>
      <c r="I27025">
        <v>4600</v>
      </c>
      <c r="J27025" t="s">
        <v>278</v>
      </c>
      <c r="K27025">
        <v>1167.8</v>
      </c>
      <c r="L27025">
        <v>237.28</v>
      </c>
      <c r="M27025">
        <v>56568</v>
      </c>
      <c r="N27025" t="s">
        <v>354</v>
      </c>
      <c r="O27025">
        <v>251230</v>
      </c>
      <c r="P27025">
        <v>930.52</v>
      </c>
    </row>
    <row r="27026" spans="1:16" x14ac:dyDescent="0.25">
      <c r="A27026" t="s">
        <v>3296</v>
      </c>
      <c r="B27026" t="s">
        <v>2931</v>
      </c>
      <c r="C27026">
        <v>17827</v>
      </c>
      <c r="D27026" t="str">
        <f>"0125103516  "</f>
        <v xml:space="preserve">0125103516  </v>
      </c>
      <c r="E27026" t="s">
        <v>292</v>
      </c>
      <c r="F27026" t="s">
        <v>294</v>
      </c>
      <c r="G27026">
        <v>167.07</v>
      </c>
      <c r="H27026">
        <v>251217</v>
      </c>
      <c r="I27026">
        <v>4600</v>
      </c>
      <c r="J27026" t="s">
        <v>278</v>
      </c>
      <c r="K27026">
        <v>167.07</v>
      </c>
      <c r="L27026">
        <v>33.950000000000003</v>
      </c>
      <c r="M27026">
        <v>46557</v>
      </c>
      <c r="N27026" t="s">
        <v>104</v>
      </c>
      <c r="O27026">
        <v>251230</v>
      </c>
      <c r="P27026">
        <v>133.12</v>
      </c>
    </row>
    <row r="27027" spans="1:16" x14ac:dyDescent="0.25">
      <c r="A27027" t="s">
        <v>3296</v>
      </c>
      <c r="B27027" t="s">
        <v>2931</v>
      </c>
      <c r="C27027">
        <v>17862</v>
      </c>
      <c r="D27027" t="str">
        <f>"0125078924  "</f>
        <v xml:space="preserve">0125078924  </v>
      </c>
      <c r="E27027" t="s">
        <v>292</v>
      </c>
      <c r="F27027" t="s">
        <v>294</v>
      </c>
      <c r="G27027">
        <v>29.52</v>
      </c>
      <c r="H27027">
        <v>251211</v>
      </c>
      <c r="I27027">
        <v>4600</v>
      </c>
      <c r="J27027" t="s">
        <v>278</v>
      </c>
      <c r="K27027">
        <v>29.52</v>
      </c>
      <c r="L27027">
        <v>6</v>
      </c>
      <c r="M27027">
        <v>46557</v>
      </c>
      <c r="N27027" t="s">
        <v>104</v>
      </c>
      <c r="O27027">
        <v>251231</v>
      </c>
      <c r="P27027">
        <v>23.52</v>
      </c>
    </row>
    <row r="27028" spans="1:16" x14ac:dyDescent="0.25">
      <c r="A27028" t="s">
        <v>3296</v>
      </c>
      <c r="B27028" t="s">
        <v>2931</v>
      </c>
      <c r="C27028">
        <v>17867</v>
      </c>
      <c r="D27028" t="str">
        <f>"0125078923  "</f>
        <v xml:space="preserve">0125078923  </v>
      </c>
      <c r="E27028" t="s">
        <v>292</v>
      </c>
      <c r="F27028" t="s">
        <v>294</v>
      </c>
      <c r="G27028">
        <v>11.22</v>
      </c>
      <c r="H27028">
        <v>251211</v>
      </c>
      <c r="I27028">
        <v>4600</v>
      </c>
      <c r="J27028" t="s">
        <v>278</v>
      </c>
      <c r="K27028">
        <v>11.22</v>
      </c>
      <c r="L27028">
        <v>2.2799999999999998</v>
      </c>
      <c r="M27028">
        <v>46222</v>
      </c>
      <c r="N27028" t="s">
        <v>101</v>
      </c>
      <c r="O27028">
        <v>251231</v>
      </c>
      <c r="P27028">
        <v>8.94</v>
      </c>
    </row>
    <row r="27029" spans="1:16" x14ac:dyDescent="0.25">
      <c r="A27029" t="s">
        <v>3296</v>
      </c>
      <c r="B27029" t="s">
        <v>2931</v>
      </c>
      <c r="C27029">
        <v>17871</v>
      </c>
      <c r="D27029" t="str">
        <f>"0125078925  "</f>
        <v xml:space="preserve">0125078925  </v>
      </c>
      <c r="E27029" t="s">
        <v>292</v>
      </c>
      <c r="F27029" t="s">
        <v>294</v>
      </c>
      <c r="G27029">
        <v>18.739999999999998</v>
      </c>
      <c r="H27029">
        <v>251211</v>
      </c>
      <c r="I27029">
        <v>4600</v>
      </c>
      <c r="J27029" t="s">
        <v>278</v>
      </c>
      <c r="K27029">
        <v>18.739999999999998</v>
      </c>
      <c r="L27029">
        <v>3.81</v>
      </c>
      <c r="M27029">
        <v>46554</v>
      </c>
      <c r="N27029" t="s">
        <v>102</v>
      </c>
      <c r="O27029">
        <v>251231</v>
      </c>
      <c r="P27029">
        <v>14.93</v>
      </c>
    </row>
    <row r="27030" spans="1:16" x14ac:dyDescent="0.25">
      <c r="A27030" t="s">
        <v>3296</v>
      </c>
      <c r="B27030" t="s">
        <v>2931</v>
      </c>
      <c r="C27030">
        <v>18046</v>
      </c>
      <c r="D27030" t="str">
        <f>"0125092668  "</f>
        <v xml:space="preserve">0125092668  </v>
      </c>
      <c r="E27030" t="s">
        <v>292</v>
      </c>
      <c r="F27030" t="s">
        <v>294</v>
      </c>
      <c r="G27030">
        <v>421.12</v>
      </c>
      <c r="H27030">
        <v>251215</v>
      </c>
      <c r="I27030">
        <v>4600</v>
      </c>
      <c r="J27030" t="s">
        <v>278</v>
      </c>
      <c r="K27030">
        <v>421.12</v>
      </c>
      <c r="L27030">
        <v>85.57</v>
      </c>
      <c r="M27030">
        <v>56564</v>
      </c>
      <c r="N27030" t="s">
        <v>56</v>
      </c>
      <c r="O27030">
        <v>260108</v>
      </c>
      <c r="P27030">
        <v>335.55</v>
      </c>
    </row>
    <row r="27031" spans="1:16" x14ac:dyDescent="0.25">
      <c r="A27031" t="s">
        <v>3296</v>
      </c>
      <c r="B27031" t="s">
        <v>2931</v>
      </c>
      <c r="C27031">
        <v>18049</v>
      </c>
      <c r="D27031" t="str">
        <f>"0125092669  "</f>
        <v xml:space="preserve">0125092669  </v>
      </c>
      <c r="E27031" t="s">
        <v>292</v>
      </c>
      <c r="F27031" t="s">
        <v>294</v>
      </c>
      <c r="G27031">
        <v>134.03</v>
      </c>
      <c r="H27031">
        <v>251215</v>
      </c>
      <c r="I27031">
        <v>4600</v>
      </c>
      <c r="J27031" t="s">
        <v>278</v>
      </c>
      <c r="K27031">
        <v>134.03</v>
      </c>
      <c r="L27031">
        <v>27.23</v>
      </c>
      <c r="M27031">
        <v>56565</v>
      </c>
      <c r="N27031" t="s">
        <v>57</v>
      </c>
      <c r="O27031">
        <v>260108</v>
      </c>
      <c r="P27031">
        <v>106.8</v>
      </c>
    </row>
    <row r="27032" spans="1:16" x14ac:dyDescent="0.25">
      <c r="A27032" t="s">
        <v>3296</v>
      </c>
      <c r="B27032" t="s">
        <v>2931</v>
      </c>
      <c r="C27032">
        <v>18218</v>
      </c>
      <c r="D27032" t="str">
        <f>"0125116551  "</f>
        <v xml:space="preserve">0125116551  </v>
      </c>
      <c r="E27032" t="s">
        <v>292</v>
      </c>
      <c r="F27032" t="s">
        <v>294</v>
      </c>
      <c r="G27032">
        <v>234.69</v>
      </c>
      <c r="H27032">
        <v>251222</v>
      </c>
      <c r="I27032">
        <v>4600</v>
      </c>
      <c r="J27032" t="s">
        <v>278</v>
      </c>
      <c r="K27032">
        <v>234.69</v>
      </c>
      <c r="L27032">
        <v>47.69</v>
      </c>
      <c r="M27032">
        <v>46554</v>
      </c>
      <c r="N27032" t="s">
        <v>102</v>
      </c>
      <c r="O27032">
        <v>260112</v>
      </c>
      <c r="P27032">
        <v>187</v>
      </c>
    </row>
    <row r="27033" spans="1:16" x14ac:dyDescent="0.25">
      <c r="A27033" t="s">
        <v>3296</v>
      </c>
      <c r="B27033" t="s">
        <v>2931</v>
      </c>
      <c r="C27033">
        <v>18409</v>
      </c>
      <c r="D27033" t="str">
        <f>"0125137214  "</f>
        <v xml:space="preserve">0125137214  </v>
      </c>
      <c r="E27033" t="s">
        <v>292</v>
      </c>
      <c r="F27033" t="s">
        <v>294</v>
      </c>
      <c r="G27033">
        <v>7.22</v>
      </c>
      <c r="H27033">
        <v>251231</v>
      </c>
      <c r="I27033">
        <v>4600</v>
      </c>
      <c r="J27033" t="s">
        <v>278</v>
      </c>
      <c r="K27033">
        <v>7.22</v>
      </c>
      <c r="L27033">
        <v>1.47</v>
      </c>
      <c r="M27033">
        <v>17521</v>
      </c>
      <c r="N27033" t="s">
        <v>136</v>
      </c>
      <c r="O27033">
        <v>260113</v>
      </c>
      <c r="P27033">
        <v>5.75</v>
      </c>
    </row>
    <row r="27034" spans="1:16" x14ac:dyDescent="0.25">
      <c r="A27034" t="s">
        <v>3296</v>
      </c>
      <c r="B27034" t="s">
        <v>2931</v>
      </c>
      <c r="C27034">
        <v>18421</v>
      </c>
      <c r="D27034" t="str">
        <f>"0125129222  "</f>
        <v xml:space="preserve">0125129222  </v>
      </c>
      <c r="E27034" t="s">
        <v>292</v>
      </c>
      <c r="F27034" t="s">
        <v>294</v>
      </c>
      <c r="G27034">
        <v>478.04</v>
      </c>
      <c r="H27034">
        <v>251231</v>
      </c>
      <c r="I27034">
        <v>4600</v>
      </c>
      <c r="J27034" t="s">
        <v>278</v>
      </c>
      <c r="K27034">
        <v>831.55</v>
      </c>
      <c r="L27034">
        <v>97.13</v>
      </c>
      <c r="M27034">
        <v>56568</v>
      </c>
      <c r="N27034" t="s">
        <v>354</v>
      </c>
      <c r="O27034">
        <v>260113</v>
      </c>
      <c r="P27034">
        <v>380.91</v>
      </c>
    </row>
    <row r="27035" spans="1:16" x14ac:dyDescent="0.25">
      <c r="A27035" t="s">
        <v>3296</v>
      </c>
      <c r="B27035" t="s">
        <v>2931</v>
      </c>
      <c r="C27035">
        <v>18473</v>
      </c>
      <c r="D27035" t="str">
        <f>"0125146204  "</f>
        <v xml:space="preserve">0125146204  </v>
      </c>
      <c r="E27035" t="s">
        <v>292</v>
      </c>
      <c r="F27035" t="s">
        <v>294</v>
      </c>
      <c r="G27035">
        <v>981.22</v>
      </c>
      <c r="H27035">
        <v>251231</v>
      </c>
      <c r="I27035">
        <v>4600</v>
      </c>
      <c r="J27035" t="s">
        <v>278</v>
      </c>
      <c r="K27035">
        <v>981.22</v>
      </c>
      <c r="L27035">
        <v>199.37</v>
      </c>
      <c r="M27035">
        <v>46554</v>
      </c>
      <c r="N27035" t="s">
        <v>102</v>
      </c>
      <c r="O27035">
        <v>260114</v>
      </c>
      <c r="P27035">
        <v>781.85</v>
      </c>
    </row>
    <row r="27036" spans="1:16" x14ac:dyDescent="0.25">
      <c r="A27036" t="s">
        <v>3296</v>
      </c>
      <c r="B27036" t="s">
        <v>2931</v>
      </c>
      <c r="C27036">
        <v>18572</v>
      </c>
      <c r="D27036" t="str">
        <f>"0125114364  "</f>
        <v xml:space="preserve">0125114364  </v>
      </c>
      <c r="E27036" t="s">
        <v>292</v>
      </c>
      <c r="F27036" t="s">
        <v>294</v>
      </c>
      <c r="G27036">
        <v>480.27</v>
      </c>
      <c r="H27036">
        <v>251219</v>
      </c>
      <c r="I27036">
        <v>4600</v>
      </c>
      <c r="J27036" t="s">
        <v>278</v>
      </c>
      <c r="K27036">
        <v>480.27</v>
      </c>
      <c r="L27036">
        <v>97.58</v>
      </c>
      <c r="M27036">
        <v>46554</v>
      </c>
      <c r="N27036" t="s">
        <v>102</v>
      </c>
      <c r="O27036">
        <v>260116</v>
      </c>
      <c r="P27036">
        <v>382.69</v>
      </c>
    </row>
    <row r="27037" spans="1:16" x14ac:dyDescent="0.25">
      <c r="A27037" t="s">
        <v>3296</v>
      </c>
      <c r="B27037" t="s">
        <v>2931</v>
      </c>
      <c r="C27037">
        <v>13869</v>
      </c>
      <c r="D27037" t="str">
        <f>"0124804845  "</f>
        <v xml:space="preserve">0124804845  </v>
      </c>
      <c r="E27037" t="s">
        <v>292</v>
      </c>
      <c r="F27037" t="s">
        <v>294</v>
      </c>
      <c r="G27037">
        <v>297.77999999999997</v>
      </c>
      <c r="H27037">
        <v>251009</v>
      </c>
      <c r="I27037">
        <v>4940</v>
      </c>
      <c r="J27037" t="s">
        <v>250</v>
      </c>
      <c r="K27037">
        <v>297.77999999999997</v>
      </c>
      <c r="L27037">
        <v>60.51</v>
      </c>
      <c r="M27037">
        <v>17951</v>
      </c>
      <c r="N27037" t="s">
        <v>207</v>
      </c>
      <c r="O27037">
        <v>251020</v>
      </c>
      <c r="P27037">
        <v>237.27</v>
      </c>
    </row>
    <row r="27038" spans="1:16" x14ac:dyDescent="0.25">
      <c r="A27038" t="s">
        <v>3296</v>
      </c>
      <c r="B27038" t="s">
        <v>2931</v>
      </c>
      <c r="C27038">
        <v>14415</v>
      </c>
      <c r="D27038" t="str">
        <f>"0124874672  "</f>
        <v xml:space="preserve">0124874672  </v>
      </c>
      <c r="E27038" t="s">
        <v>292</v>
      </c>
      <c r="F27038" t="s">
        <v>294</v>
      </c>
      <c r="G27038">
        <v>172.89</v>
      </c>
      <c r="H27038">
        <v>251027</v>
      </c>
      <c r="I27038">
        <v>4940</v>
      </c>
      <c r="J27038" t="s">
        <v>250</v>
      </c>
      <c r="K27038">
        <v>172.89</v>
      </c>
      <c r="L27038">
        <v>35.130000000000003</v>
      </c>
      <c r="M27038">
        <v>17951</v>
      </c>
      <c r="N27038" t="s">
        <v>207</v>
      </c>
      <c r="O27038">
        <v>251031</v>
      </c>
      <c r="P27038">
        <v>137.76</v>
      </c>
    </row>
    <row r="27039" spans="1:16" x14ac:dyDescent="0.25">
      <c r="A27039" t="s">
        <v>3296</v>
      </c>
      <c r="B27039" t="s">
        <v>2931</v>
      </c>
      <c r="C27039">
        <v>17127</v>
      </c>
      <c r="D27039" t="str">
        <f>"0124985947  "</f>
        <v xml:space="preserve">0124985947  </v>
      </c>
      <c r="E27039" t="s">
        <v>292</v>
      </c>
      <c r="F27039" t="s">
        <v>294</v>
      </c>
      <c r="G27039">
        <v>601.16</v>
      </c>
      <c r="H27039">
        <v>251120</v>
      </c>
      <c r="I27039">
        <v>4940</v>
      </c>
      <c r="J27039" t="s">
        <v>250</v>
      </c>
      <c r="K27039">
        <v>1007.91</v>
      </c>
      <c r="L27039">
        <v>122.15</v>
      </c>
      <c r="M27039">
        <v>17951</v>
      </c>
      <c r="N27039" t="s">
        <v>207</v>
      </c>
      <c r="O27039">
        <v>251217</v>
      </c>
      <c r="P27039">
        <v>479.01</v>
      </c>
    </row>
    <row r="27040" spans="1:16" x14ac:dyDescent="0.25">
      <c r="A27040" t="s">
        <v>3296</v>
      </c>
      <c r="B27040" t="s">
        <v>2931</v>
      </c>
      <c r="C27040">
        <v>9578</v>
      </c>
      <c r="D27040" t="str">
        <f>"19764626    "</f>
        <v xml:space="preserve">19764626    </v>
      </c>
      <c r="E27040" t="s">
        <v>1213</v>
      </c>
      <c r="F27040" t="s">
        <v>1214</v>
      </c>
      <c r="G27040">
        <v>83.74</v>
      </c>
      <c r="H27040">
        <v>250630</v>
      </c>
      <c r="I27040">
        <v>4550</v>
      </c>
      <c r="J27040" t="s">
        <v>226</v>
      </c>
      <c r="K27040">
        <v>83.74</v>
      </c>
      <c r="L27040">
        <v>17.010000000000002</v>
      </c>
      <c r="M27040">
        <v>49501</v>
      </c>
      <c r="N27040" t="s">
        <v>110</v>
      </c>
      <c r="O27040">
        <v>250721</v>
      </c>
      <c r="P27040">
        <v>66.73</v>
      </c>
    </row>
    <row r="27041" spans="1:16" x14ac:dyDescent="0.25">
      <c r="A27041" t="s">
        <v>3296</v>
      </c>
      <c r="B27041" t="s">
        <v>2931</v>
      </c>
      <c r="C27041">
        <v>14195</v>
      </c>
      <c r="D27041" t="str">
        <f>"19769009    "</f>
        <v xml:space="preserve">19769009    </v>
      </c>
      <c r="E27041" t="s">
        <v>1213</v>
      </c>
      <c r="F27041" t="s">
        <v>1214</v>
      </c>
      <c r="G27041">
        <v>252.05</v>
      </c>
      <c r="H27041">
        <v>251014</v>
      </c>
      <c r="I27041">
        <v>4550</v>
      </c>
      <c r="J27041" t="s">
        <v>226</v>
      </c>
      <c r="K27041">
        <v>252.05</v>
      </c>
      <c r="L27041">
        <v>51.21</v>
      </c>
      <c r="M27041">
        <v>14990</v>
      </c>
      <c r="N27041" t="s">
        <v>85</v>
      </c>
      <c r="O27041">
        <v>251027</v>
      </c>
      <c r="P27041">
        <v>200.84</v>
      </c>
    </row>
    <row r="27042" spans="1:16" x14ac:dyDescent="0.25">
      <c r="A27042" t="s">
        <v>3296</v>
      </c>
      <c r="B27042" t="s">
        <v>2931</v>
      </c>
      <c r="C27042">
        <v>10640</v>
      </c>
      <c r="D27042" t="str">
        <f>"19766306    "</f>
        <v xml:space="preserve">19766306    </v>
      </c>
      <c r="E27042" t="s">
        <v>1213</v>
      </c>
      <c r="F27042" t="s">
        <v>1214</v>
      </c>
      <c r="G27042">
        <v>446</v>
      </c>
      <c r="H27042">
        <v>250819</v>
      </c>
      <c r="I27042">
        <v>4580</v>
      </c>
      <c r="J27042" t="s">
        <v>126</v>
      </c>
      <c r="K27042">
        <v>446</v>
      </c>
      <c r="L27042">
        <v>90.62</v>
      </c>
      <c r="M27042">
        <v>49501</v>
      </c>
      <c r="N27042" t="s">
        <v>110</v>
      </c>
      <c r="O27042">
        <v>250821</v>
      </c>
      <c r="P27042">
        <v>355.38</v>
      </c>
    </row>
    <row r="27043" spans="1:16" x14ac:dyDescent="0.25">
      <c r="A27043" t="s">
        <v>3296</v>
      </c>
      <c r="B27043" t="s">
        <v>2931</v>
      </c>
      <c r="C27043">
        <v>15111</v>
      </c>
      <c r="D27043" t="str">
        <f>"19769814    "</f>
        <v xml:space="preserve">19769814    </v>
      </c>
      <c r="E27043" t="s">
        <v>1213</v>
      </c>
      <c r="F27043" t="s">
        <v>1214</v>
      </c>
      <c r="G27043">
        <v>49.38</v>
      </c>
      <c r="H27043">
        <v>251031</v>
      </c>
      <c r="I27043">
        <v>4580</v>
      </c>
      <c r="J27043" t="s">
        <v>126</v>
      </c>
      <c r="K27043">
        <v>448.9</v>
      </c>
      <c r="L27043">
        <v>10.029999999999999</v>
      </c>
      <c r="M27043">
        <v>13540</v>
      </c>
      <c r="N27043" t="s">
        <v>131</v>
      </c>
      <c r="O27043">
        <v>251111</v>
      </c>
      <c r="P27043">
        <v>39.35</v>
      </c>
    </row>
    <row r="27044" spans="1:16" x14ac:dyDescent="0.25">
      <c r="A27044" t="s">
        <v>3296</v>
      </c>
      <c r="B27044" t="s">
        <v>2931</v>
      </c>
      <c r="C27044">
        <v>15111</v>
      </c>
      <c r="D27044" t="str">
        <f>"19769814    "</f>
        <v xml:space="preserve">19769814    </v>
      </c>
      <c r="E27044" t="s">
        <v>1213</v>
      </c>
      <c r="F27044" t="s">
        <v>1214</v>
      </c>
      <c r="G27044">
        <v>336.67</v>
      </c>
      <c r="H27044">
        <v>251031</v>
      </c>
      <c r="I27044">
        <v>4580</v>
      </c>
      <c r="J27044" t="s">
        <v>126</v>
      </c>
      <c r="K27044">
        <v>448.9</v>
      </c>
      <c r="L27044">
        <v>68.41</v>
      </c>
      <c r="M27044">
        <v>17950</v>
      </c>
      <c r="N27044" t="s">
        <v>132</v>
      </c>
      <c r="O27044">
        <v>251111</v>
      </c>
      <c r="P27044">
        <v>268.26</v>
      </c>
    </row>
    <row r="27045" spans="1:16" x14ac:dyDescent="0.25">
      <c r="A27045" t="s">
        <v>3296</v>
      </c>
      <c r="B27045" t="s">
        <v>2931</v>
      </c>
      <c r="C27045">
        <v>15111</v>
      </c>
      <c r="D27045" t="str">
        <f>"19769814    "</f>
        <v xml:space="preserve">19769814    </v>
      </c>
      <c r="E27045" t="s">
        <v>1213</v>
      </c>
      <c r="F27045" t="s">
        <v>1214</v>
      </c>
      <c r="G27045">
        <v>62.85</v>
      </c>
      <c r="H27045">
        <v>251031</v>
      </c>
      <c r="I27045">
        <v>4580</v>
      </c>
      <c r="J27045" t="s">
        <v>126</v>
      </c>
      <c r="K27045">
        <v>448.9</v>
      </c>
      <c r="L27045">
        <v>12.77</v>
      </c>
      <c r="M27045">
        <v>17956</v>
      </c>
      <c r="N27045" t="s">
        <v>170</v>
      </c>
      <c r="O27045">
        <v>251111</v>
      </c>
      <c r="P27045">
        <v>50.08</v>
      </c>
    </row>
    <row r="27046" spans="1:16" x14ac:dyDescent="0.25">
      <c r="A27046" t="s">
        <v>3296</v>
      </c>
      <c r="B27046" t="s">
        <v>2931</v>
      </c>
      <c r="C27046">
        <v>17975</v>
      </c>
      <c r="D27046" t="str">
        <f>"19772136    "</f>
        <v xml:space="preserve">19772136    </v>
      </c>
      <c r="E27046" t="s">
        <v>1213</v>
      </c>
      <c r="F27046" t="s">
        <v>1214</v>
      </c>
      <c r="G27046">
        <v>1990</v>
      </c>
      <c r="H27046">
        <v>251230</v>
      </c>
      <c r="I27046">
        <v>4580</v>
      </c>
      <c r="J27046" t="s">
        <v>126</v>
      </c>
      <c r="K27046">
        <v>1990</v>
      </c>
      <c r="L27046">
        <v>404.34</v>
      </c>
      <c r="M27046">
        <v>49501</v>
      </c>
      <c r="N27046" t="s">
        <v>110</v>
      </c>
      <c r="O27046">
        <v>260107</v>
      </c>
      <c r="P27046">
        <v>1585.66</v>
      </c>
    </row>
    <row r="27047" spans="1:16" x14ac:dyDescent="0.25">
      <c r="A27047" t="s">
        <v>3296</v>
      </c>
      <c r="B27047" t="s">
        <v>2931</v>
      </c>
      <c r="C27047">
        <v>16380</v>
      </c>
      <c r="D27047" t="str">
        <f>"19770953    "</f>
        <v xml:space="preserve">19770953    </v>
      </c>
      <c r="E27047" t="s">
        <v>1213</v>
      </c>
      <c r="F27047" t="s">
        <v>1214</v>
      </c>
      <c r="G27047">
        <v>385.26</v>
      </c>
      <c r="H27047">
        <v>251128</v>
      </c>
      <c r="I27047">
        <v>4590</v>
      </c>
      <c r="J27047" t="s">
        <v>388</v>
      </c>
      <c r="K27047">
        <v>385.26</v>
      </c>
      <c r="L27047">
        <v>78.28</v>
      </c>
      <c r="M27047">
        <v>49501</v>
      </c>
      <c r="N27047" t="s">
        <v>110</v>
      </c>
      <c r="O27047">
        <v>251208</v>
      </c>
      <c r="P27047">
        <v>306.98</v>
      </c>
    </row>
    <row r="27048" spans="1:16" x14ac:dyDescent="0.25">
      <c r="A27048" t="s">
        <v>3296</v>
      </c>
      <c r="B27048" t="s">
        <v>2931</v>
      </c>
      <c r="C27048">
        <v>17110</v>
      </c>
      <c r="D27048" t="str">
        <f>"19771243    "</f>
        <v xml:space="preserve">19771243    </v>
      </c>
      <c r="E27048" t="s">
        <v>1213</v>
      </c>
      <c r="F27048" t="s">
        <v>1214</v>
      </c>
      <c r="G27048">
        <v>152.97</v>
      </c>
      <c r="H27048">
        <v>251204</v>
      </c>
      <c r="I27048">
        <v>4590</v>
      </c>
      <c r="J27048" t="s">
        <v>388</v>
      </c>
      <c r="K27048">
        <v>152.97</v>
      </c>
      <c r="L27048">
        <v>31.08</v>
      </c>
      <c r="M27048">
        <v>49501</v>
      </c>
      <c r="N27048" t="s">
        <v>110</v>
      </c>
      <c r="O27048">
        <v>251217</v>
      </c>
      <c r="P27048">
        <v>121.89</v>
      </c>
    </row>
    <row r="27049" spans="1:16" x14ac:dyDescent="0.25">
      <c r="A27049" t="s">
        <v>3296</v>
      </c>
      <c r="B27049" t="s">
        <v>2931</v>
      </c>
      <c r="C27049">
        <v>2192</v>
      </c>
      <c r="D27049" t="str">
        <f>"19757574    "</f>
        <v xml:space="preserve">19757574    </v>
      </c>
      <c r="E27049" t="s">
        <v>1213</v>
      </c>
      <c r="F27049" t="s">
        <v>1214</v>
      </c>
      <c r="G27049">
        <v>153.6</v>
      </c>
      <c r="H27049">
        <v>250211</v>
      </c>
      <c r="I27049">
        <v>4600</v>
      </c>
      <c r="J27049" t="s">
        <v>278</v>
      </c>
      <c r="K27049">
        <v>153.6</v>
      </c>
      <c r="L27049">
        <v>31.21</v>
      </c>
      <c r="M27049">
        <v>49501</v>
      </c>
      <c r="N27049" t="s">
        <v>110</v>
      </c>
      <c r="O27049">
        <v>250221</v>
      </c>
      <c r="P27049">
        <v>122.39</v>
      </c>
    </row>
    <row r="27050" spans="1:16" x14ac:dyDescent="0.25">
      <c r="A27050" t="s">
        <v>3296</v>
      </c>
      <c r="B27050" t="s">
        <v>2931</v>
      </c>
      <c r="C27050">
        <v>17773</v>
      </c>
      <c r="D27050" t="str">
        <f>"19771958    "</f>
        <v xml:space="preserve">19771958    </v>
      </c>
      <c r="E27050" t="s">
        <v>1213</v>
      </c>
      <c r="F27050" t="s">
        <v>1214</v>
      </c>
      <c r="G27050">
        <v>146.84</v>
      </c>
      <c r="H27050">
        <v>251229</v>
      </c>
      <c r="I27050">
        <v>4600</v>
      </c>
      <c r="J27050" t="s">
        <v>278</v>
      </c>
      <c r="K27050">
        <v>146.84</v>
      </c>
      <c r="L27050">
        <v>29.84</v>
      </c>
      <c r="M27050">
        <v>49501</v>
      </c>
      <c r="N27050" t="s">
        <v>110</v>
      </c>
      <c r="O27050">
        <v>251230</v>
      </c>
      <c r="P27050">
        <v>117</v>
      </c>
    </row>
    <row r="27051" spans="1:16" x14ac:dyDescent="0.25">
      <c r="A27051" t="s">
        <v>3296</v>
      </c>
      <c r="B27051" t="s">
        <v>2931</v>
      </c>
      <c r="C27051">
        <v>674</v>
      </c>
      <c r="D27051" t="str">
        <f>"2175        "</f>
        <v xml:space="preserve">2175        </v>
      </c>
      <c r="E27051" t="s">
        <v>664</v>
      </c>
      <c r="F27051" t="s">
        <v>665</v>
      </c>
      <c r="G27051">
        <v>2321.75</v>
      </c>
      <c r="H27051">
        <v>250122</v>
      </c>
      <c r="I27051">
        <v>4440</v>
      </c>
      <c r="J27051" t="s">
        <v>346</v>
      </c>
      <c r="K27051">
        <v>2321.75</v>
      </c>
      <c r="L27051">
        <v>471.75</v>
      </c>
      <c r="M27051">
        <v>18120</v>
      </c>
      <c r="N27051" t="s">
        <v>37</v>
      </c>
      <c r="O27051">
        <v>250127</v>
      </c>
      <c r="P27051">
        <v>1850</v>
      </c>
    </row>
    <row r="27052" spans="1:16" x14ac:dyDescent="0.25">
      <c r="A27052" t="s">
        <v>3296</v>
      </c>
      <c r="B27052" t="s">
        <v>2931</v>
      </c>
      <c r="C27052">
        <v>2204</v>
      </c>
      <c r="D27052" t="str">
        <f>"2180        "</f>
        <v xml:space="preserve">2180        </v>
      </c>
      <c r="E27052" t="s">
        <v>664</v>
      </c>
      <c r="F27052" t="s">
        <v>665</v>
      </c>
      <c r="G27052">
        <v>2478.63</v>
      </c>
      <c r="H27052">
        <v>250217</v>
      </c>
      <c r="I27052">
        <v>4440</v>
      </c>
      <c r="J27052" t="s">
        <v>346</v>
      </c>
      <c r="K27052">
        <v>2478.63</v>
      </c>
      <c r="L27052">
        <v>503.63</v>
      </c>
      <c r="M27052">
        <v>18120</v>
      </c>
      <c r="N27052" t="s">
        <v>37</v>
      </c>
      <c r="O27052">
        <v>250221</v>
      </c>
      <c r="P27052">
        <v>1975</v>
      </c>
    </row>
    <row r="27053" spans="1:16" x14ac:dyDescent="0.25">
      <c r="A27053" t="s">
        <v>3296</v>
      </c>
      <c r="B27053" t="s">
        <v>2931</v>
      </c>
      <c r="C27053">
        <v>2205</v>
      </c>
      <c r="D27053" t="str">
        <f>"2178        "</f>
        <v xml:space="preserve">2178        </v>
      </c>
      <c r="E27053" t="s">
        <v>664</v>
      </c>
      <c r="F27053" t="s">
        <v>665</v>
      </c>
      <c r="G27053">
        <v>7730.8</v>
      </c>
      <c r="H27053">
        <v>250217</v>
      </c>
      <c r="I27053">
        <v>4440</v>
      </c>
      <c r="J27053" t="s">
        <v>346</v>
      </c>
      <c r="K27053">
        <v>7730.8</v>
      </c>
      <c r="L27053">
        <v>1570.8</v>
      </c>
      <c r="M27053">
        <v>18120</v>
      </c>
      <c r="N27053" t="s">
        <v>37</v>
      </c>
      <c r="O27053">
        <v>250221</v>
      </c>
      <c r="P27053">
        <v>6160</v>
      </c>
    </row>
    <row r="27054" spans="1:16" x14ac:dyDescent="0.25">
      <c r="A27054" t="s">
        <v>3296</v>
      </c>
      <c r="B27054" t="s">
        <v>2931</v>
      </c>
      <c r="C27054">
        <v>2207</v>
      </c>
      <c r="D27054" t="str">
        <f>"2179        "</f>
        <v xml:space="preserve">2179        </v>
      </c>
      <c r="E27054" t="s">
        <v>664</v>
      </c>
      <c r="F27054" t="s">
        <v>665</v>
      </c>
      <c r="G27054">
        <v>8822.65</v>
      </c>
      <c r="H27054">
        <v>250217</v>
      </c>
      <c r="I27054">
        <v>4440</v>
      </c>
      <c r="J27054" t="s">
        <v>346</v>
      </c>
      <c r="K27054">
        <v>8822.65</v>
      </c>
      <c r="L27054">
        <v>1792.65</v>
      </c>
      <c r="M27054">
        <v>18120</v>
      </c>
      <c r="N27054" t="s">
        <v>37</v>
      </c>
      <c r="O27054">
        <v>250221</v>
      </c>
      <c r="P27054">
        <v>7030</v>
      </c>
    </row>
    <row r="27055" spans="1:16" x14ac:dyDescent="0.25">
      <c r="A27055" t="s">
        <v>3296</v>
      </c>
      <c r="B27055" t="s">
        <v>2931</v>
      </c>
      <c r="C27055">
        <v>2678</v>
      </c>
      <c r="D27055" t="str">
        <f>"2181        "</f>
        <v xml:space="preserve">2181        </v>
      </c>
      <c r="E27055" t="s">
        <v>664</v>
      </c>
      <c r="F27055" t="s">
        <v>665</v>
      </c>
      <c r="G27055">
        <v>6036.55</v>
      </c>
      <c r="H27055">
        <v>250226</v>
      </c>
      <c r="I27055">
        <v>4440</v>
      </c>
      <c r="J27055" t="s">
        <v>346</v>
      </c>
      <c r="K27055">
        <v>6036.55</v>
      </c>
      <c r="L27055">
        <v>1226.55</v>
      </c>
      <c r="M27055">
        <v>18120</v>
      </c>
      <c r="N27055" t="s">
        <v>37</v>
      </c>
      <c r="O27055">
        <v>250311</v>
      </c>
      <c r="P27055">
        <v>4810</v>
      </c>
    </row>
    <row r="27056" spans="1:16" x14ac:dyDescent="0.25">
      <c r="A27056" t="s">
        <v>3296</v>
      </c>
      <c r="B27056" t="s">
        <v>2931</v>
      </c>
      <c r="C27056">
        <v>4179</v>
      </c>
      <c r="D27056" t="str">
        <f>"2191        "</f>
        <v xml:space="preserve">2191        </v>
      </c>
      <c r="E27056" t="s">
        <v>664</v>
      </c>
      <c r="F27056" t="s">
        <v>665</v>
      </c>
      <c r="G27056">
        <v>2196.25</v>
      </c>
      <c r="H27056">
        <v>250327</v>
      </c>
      <c r="I27056">
        <v>4440</v>
      </c>
      <c r="J27056" t="s">
        <v>346</v>
      </c>
      <c r="K27056">
        <v>2196.25</v>
      </c>
      <c r="L27056">
        <v>446.25</v>
      </c>
      <c r="M27056">
        <v>18120</v>
      </c>
      <c r="N27056" t="s">
        <v>37</v>
      </c>
      <c r="O27056">
        <v>250408</v>
      </c>
      <c r="P27056">
        <v>1750</v>
      </c>
    </row>
    <row r="27057" spans="1:16" x14ac:dyDescent="0.25">
      <c r="A27057" t="s">
        <v>3296</v>
      </c>
      <c r="B27057" t="s">
        <v>2931</v>
      </c>
      <c r="C27057">
        <v>7568</v>
      </c>
      <c r="D27057" t="str">
        <f>"2197        "</f>
        <v xml:space="preserve">2197        </v>
      </c>
      <c r="E27057" t="s">
        <v>664</v>
      </c>
      <c r="F27057" t="s">
        <v>665</v>
      </c>
      <c r="G27057">
        <v>6965.25</v>
      </c>
      <c r="H27057">
        <v>250527</v>
      </c>
      <c r="I27057">
        <v>4440</v>
      </c>
      <c r="J27057" t="s">
        <v>346</v>
      </c>
      <c r="K27057">
        <v>6965.25</v>
      </c>
      <c r="L27057">
        <v>1415.25</v>
      </c>
      <c r="M27057">
        <v>18120</v>
      </c>
      <c r="N27057" t="s">
        <v>37</v>
      </c>
      <c r="O27057">
        <v>250604</v>
      </c>
      <c r="P27057">
        <v>5550</v>
      </c>
    </row>
    <row r="27058" spans="1:16" x14ac:dyDescent="0.25">
      <c r="A27058" t="s">
        <v>3296</v>
      </c>
      <c r="B27058" t="s">
        <v>2931</v>
      </c>
      <c r="C27058">
        <v>7578</v>
      </c>
      <c r="D27058" t="str">
        <f>"2198        "</f>
        <v xml:space="preserve">2198        </v>
      </c>
      <c r="E27058" t="s">
        <v>664</v>
      </c>
      <c r="F27058" t="s">
        <v>665</v>
      </c>
      <c r="G27058">
        <v>7730.8</v>
      </c>
      <c r="H27058">
        <v>250527</v>
      </c>
      <c r="I27058">
        <v>4440</v>
      </c>
      <c r="J27058" t="s">
        <v>346</v>
      </c>
      <c r="K27058">
        <v>7730.8</v>
      </c>
      <c r="L27058">
        <v>1570.8</v>
      </c>
      <c r="M27058">
        <v>18120</v>
      </c>
      <c r="N27058" t="s">
        <v>37</v>
      </c>
      <c r="O27058">
        <v>250604</v>
      </c>
      <c r="P27058">
        <v>6160</v>
      </c>
    </row>
    <row r="27059" spans="1:16" x14ac:dyDescent="0.25">
      <c r="A27059" t="s">
        <v>3296</v>
      </c>
      <c r="B27059" t="s">
        <v>2931</v>
      </c>
      <c r="C27059">
        <v>7649</v>
      </c>
      <c r="D27059" t="str">
        <f>"2205        "</f>
        <v xml:space="preserve">2205        </v>
      </c>
      <c r="E27059" t="s">
        <v>664</v>
      </c>
      <c r="F27059" t="s">
        <v>665</v>
      </c>
      <c r="G27059">
        <v>7661.78</v>
      </c>
      <c r="H27059">
        <v>250602</v>
      </c>
      <c r="I27059">
        <v>4440</v>
      </c>
      <c r="J27059" t="s">
        <v>346</v>
      </c>
      <c r="K27059">
        <v>7661.78</v>
      </c>
      <c r="L27059">
        <v>1556.78</v>
      </c>
      <c r="M27059">
        <v>18120</v>
      </c>
      <c r="N27059" t="s">
        <v>37</v>
      </c>
      <c r="O27059">
        <v>250606</v>
      </c>
      <c r="P27059">
        <v>6105</v>
      </c>
    </row>
    <row r="27060" spans="1:16" x14ac:dyDescent="0.25">
      <c r="A27060" t="s">
        <v>3296</v>
      </c>
      <c r="B27060" t="s">
        <v>2931</v>
      </c>
      <c r="C27060">
        <v>11818</v>
      </c>
      <c r="D27060" t="str">
        <f>"2220        "</f>
        <v xml:space="preserve">2220        </v>
      </c>
      <c r="E27060" t="s">
        <v>664</v>
      </c>
      <c r="F27060" t="s">
        <v>665</v>
      </c>
      <c r="G27060">
        <v>5340.03</v>
      </c>
      <c r="H27060">
        <v>250827</v>
      </c>
      <c r="I27060">
        <v>4440</v>
      </c>
      <c r="J27060" t="s">
        <v>346</v>
      </c>
      <c r="K27060">
        <v>5340.03</v>
      </c>
      <c r="L27060">
        <v>1085.03</v>
      </c>
      <c r="M27060">
        <v>18120</v>
      </c>
      <c r="N27060" t="s">
        <v>37</v>
      </c>
      <c r="O27060">
        <v>250910</v>
      </c>
      <c r="P27060">
        <v>4255</v>
      </c>
    </row>
    <row r="27061" spans="1:16" x14ac:dyDescent="0.25">
      <c r="A27061" t="s">
        <v>3296</v>
      </c>
      <c r="B27061" t="s">
        <v>2931</v>
      </c>
      <c r="C27061">
        <v>11819</v>
      </c>
      <c r="D27061" t="str">
        <f>"2219        "</f>
        <v xml:space="preserve">2219        </v>
      </c>
      <c r="E27061" t="s">
        <v>664</v>
      </c>
      <c r="F27061" t="s">
        <v>665</v>
      </c>
      <c r="G27061">
        <v>7730.8</v>
      </c>
      <c r="H27061">
        <v>250827</v>
      </c>
      <c r="I27061">
        <v>4440</v>
      </c>
      <c r="J27061" t="s">
        <v>346</v>
      </c>
      <c r="K27061">
        <v>7730.8</v>
      </c>
      <c r="L27061">
        <v>1570.8</v>
      </c>
      <c r="M27061">
        <v>18120</v>
      </c>
      <c r="N27061" t="s">
        <v>37</v>
      </c>
      <c r="O27061">
        <v>250910</v>
      </c>
      <c r="P27061">
        <v>6160</v>
      </c>
    </row>
    <row r="27062" spans="1:16" x14ac:dyDescent="0.25">
      <c r="A27062" t="s">
        <v>3296</v>
      </c>
      <c r="B27062" t="s">
        <v>2931</v>
      </c>
      <c r="C27062">
        <v>12267</v>
      </c>
      <c r="D27062" t="str">
        <f>"2224        "</f>
        <v xml:space="preserve">2224        </v>
      </c>
      <c r="E27062" t="s">
        <v>664</v>
      </c>
      <c r="F27062" t="s">
        <v>665</v>
      </c>
      <c r="G27062">
        <v>7661.78</v>
      </c>
      <c r="H27062">
        <v>250916</v>
      </c>
      <c r="I27062">
        <v>4440</v>
      </c>
      <c r="J27062" t="s">
        <v>346</v>
      </c>
      <c r="K27062">
        <v>7661.78</v>
      </c>
      <c r="L27062">
        <v>1556.78</v>
      </c>
      <c r="M27062">
        <v>18120</v>
      </c>
      <c r="N27062" t="s">
        <v>37</v>
      </c>
      <c r="O27062">
        <v>250918</v>
      </c>
      <c r="P27062">
        <v>6105</v>
      </c>
    </row>
    <row r="27063" spans="1:16" x14ac:dyDescent="0.25">
      <c r="A27063" t="s">
        <v>3296</v>
      </c>
      <c r="B27063" t="s">
        <v>2931</v>
      </c>
      <c r="C27063">
        <v>13111</v>
      </c>
      <c r="D27063" t="str">
        <f>"2227        "</f>
        <v xml:space="preserve">2227        </v>
      </c>
      <c r="E27063" t="s">
        <v>664</v>
      </c>
      <c r="F27063" t="s">
        <v>665</v>
      </c>
      <c r="G27063">
        <v>5193.1899999999996</v>
      </c>
      <c r="H27063">
        <v>250925</v>
      </c>
      <c r="I27063">
        <v>4440</v>
      </c>
      <c r="J27063" t="s">
        <v>346</v>
      </c>
      <c r="K27063">
        <v>5193.1899999999996</v>
      </c>
      <c r="L27063">
        <v>1055.19</v>
      </c>
      <c r="M27063">
        <v>18120</v>
      </c>
      <c r="N27063" t="s">
        <v>37</v>
      </c>
      <c r="O27063">
        <v>251006</v>
      </c>
      <c r="P27063">
        <v>4138</v>
      </c>
    </row>
    <row r="27064" spans="1:16" x14ac:dyDescent="0.25">
      <c r="A27064" t="s">
        <v>3296</v>
      </c>
      <c r="B27064" t="s">
        <v>2931</v>
      </c>
      <c r="C27064">
        <v>14305</v>
      </c>
      <c r="D27064" t="str">
        <f>"2233        "</f>
        <v xml:space="preserve">2233        </v>
      </c>
      <c r="E27064" t="s">
        <v>664</v>
      </c>
      <c r="F27064" t="s">
        <v>665</v>
      </c>
      <c r="G27064">
        <v>7730.8</v>
      </c>
      <c r="H27064">
        <v>251024</v>
      </c>
      <c r="I27064">
        <v>4440</v>
      </c>
      <c r="J27064" t="s">
        <v>346</v>
      </c>
      <c r="K27064">
        <v>7730.8</v>
      </c>
      <c r="L27064">
        <v>1570.8</v>
      </c>
      <c r="M27064">
        <v>18120</v>
      </c>
      <c r="N27064" t="s">
        <v>37</v>
      </c>
      <c r="O27064">
        <v>251029</v>
      </c>
      <c r="P27064">
        <v>6160</v>
      </c>
    </row>
    <row r="27065" spans="1:16" x14ac:dyDescent="0.25">
      <c r="A27065" t="s">
        <v>3296</v>
      </c>
      <c r="B27065" t="s">
        <v>2931</v>
      </c>
      <c r="C27065">
        <v>16893</v>
      </c>
      <c r="D27065" t="str">
        <f>"2240        "</f>
        <v xml:space="preserve">2240        </v>
      </c>
      <c r="E27065" t="s">
        <v>664</v>
      </c>
      <c r="F27065" t="s">
        <v>665</v>
      </c>
      <c r="G27065">
        <v>13399.64</v>
      </c>
      <c r="H27065">
        <v>251205</v>
      </c>
      <c r="I27065">
        <v>4440</v>
      </c>
      <c r="J27065" t="s">
        <v>346</v>
      </c>
      <c r="K27065">
        <v>13399.64</v>
      </c>
      <c r="L27065">
        <v>2722.64</v>
      </c>
      <c r="M27065">
        <v>18120</v>
      </c>
      <c r="N27065" t="s">
        <v>37</v>
      </c>
      <c r="O27065">
        <v>251215</v>
      </c>
      <c r="P27065">
        <v>10677</v>
      </c>
    </row>
    <row r="27066" spans="1:16" x14ac:dyDescent="0.25">
      <c r="A27066" t="s">
        <v>3296</v>
      </c>
      <c r="B27066" t="s">
        <v>2931</v>
      </c>
      <c r="C27066">
        <v>16908</v>
      </c>
      <c r="D27066" t="str">
        <f>"2244        "</f>
        <v xml:space="preserve">2244        </v>
      </c>
      <c r="E27066" t="s">
        <v>664</v>
      </c>
      <c r="F27066" t="s">
        <v>665</v>
      </c>
      <c r="G27066">
        <v>1025.3399999999999</v>
      </c>
      <c r="H27066">
        <v>251212</v>
      </c>
      <c r="I27066">
        <v>4440</v>
      </c>
      <c r="J27066" t="s">
        <v>346</v>
      </c>
      <c r="K27066">
        <v>1025.3399999999999</v>
      </c>
      <c r="L27066">
        <v>208.34</v>
      </c>
      <c r="M27066">
        <v>18120</v>
      </c>
      <c r="N27066" t="s">
        <v>37</v>
      </c>
      <c r="O27066">
        <v>251215</v>
      </c>
      <c r="P27066">
        <v>817</v>
      </c>
    </row>
    <row r="27067" spans="1:16" x14ac:dyDescent="0.25">
      <c r="A27067" t="s">
        <v>3296</v>
      </c>
      <c r="B27067" t="s">
        <v>2931</v>
      </c>
      <c r="C27067">
        <v>3547</v>
      </c>
      <c r="D27067" t="str">
        <f>"4037885     "</f>
        <v xml:space="preserve">4037885     </v>
      </c>
      <c r="E27067" t="s">
        <v>1458</v>
      </c>
      <c r="F27067" t="s">
        <v>1459</v>
      </c>
      <c r="G27067">
        <v>7.49</v>
      </c>
      <c r="H27067">
        <v>250312</v>
      </c>
      <c r="I27067">
        <v>1196</v>
      </c>
      <c r="J27067" t="s">
        <v>340</v>
      </c>
      <c r="K27067">
        <v>7.49</v>
      </c>
      <c r="L27067">
        <v>1.52</v>
      </c>
      <c r="M27067">
        <v>97701</v>
      </c>
      <c r="N27067" t="s">
        <v>1017</v>
      </c>
      <c r="O27067">
        <v>250325</v>
      </c>
      <c r="P27067">
        <v>5.97</v>
      </c>
    </row>
    <row r="27068" spans="1:16" x14ac:dyDescent="0.25">
      <c r="A27068" t="s">
        <v>3296</v>
      </c>
      <c r="B27068" t="s">
        <v>2931</v>
      </c>
      <c r="C27068">
        <v>3605</v>
      </c>
      <c r="D27068" t="str">
        <f>"1044567     "</f>
        <v xml:space="preserve">1044567     </v>
      </c>
      <c r="E27068" t="s">
        <v>1458</v>
      </c>
      <c r="F27068" t="s">
        <v>1459</v>
      </c>
      <c r="G27068">
        <v>20.04</v>
      </c>
      <c r="H27068">
        <v>250314</v>
      </c>
      <c r="I27068">
        <v>1196</v>
      </c>
      <c r="J27068" t="s">
        <v>340</v>
      </c>
      <c r="K27068">
        <v>20.04</v>
      </c>
      <c r="L27068">
        <v>4.07</v>
      </c>
      <c r="M27068">
        <v>97701</v>
      </c>
      <c r="N27068" t="s">
        <v>1017</v>
      </c>
      <c r="O27068">
        <v>250326</v>
      </c>
      <c r="P27068">
        <v>15.97</v>
      </c>
    </row>
    <row r="27069" spans="1:16" x14ac:dyDescent="0.25">
      <c r="A27069" t="s">
        <v>3296</v>
      </c>
      <c r="B27069" t="s">
        <v>2931</v>
      </c>
      <c r="C27069">
        <v>7421</v>
      </c>
      <c r="D27069" t="str">
        <f>"4038578     "</f>
        <v xml:space="preserve">4038578     </v>
      </c>
      <c r="E27069" t="s">
        <v>1458</v>
      </c>
      <c r="F27069" t="s">
        <v>1459</v>
      </c>
      <c r="G27069">
        <v>37.46</v>
      </c>
      <c r="H27069">
        <v>250523</v>
      </c>
      <c r="I27069">
        <v>4860</v>
      </c>
      <c r="J27069" t="s">
        <v>286</v>
      </c>
      <c r="K27069">
        <v>37.46</v>
      </c>
      <c r="L27069">
        <v>7.61</v>
      </c>
      <c r="M27069">
        <v>17711</v>
      </c>
      <c r="N27069" t="s">
        <v>155</v>
      </c>
      <c r="O27069">
        <v>250603</v>
      </c>
      <c r="P27069">
        <v>29.85</v>
      </c>
    </row>
    <row r="27070" spans="1:16" x14ac:dyDescent="0.25">
      <c r="A27070" t="s">
        <v>3296</v>
      </c>
      <c r="B27070" t="s">
        <v>2931</v>
      </c>
      <c r="C27070">
        <v>3402</v>
      </c>
      <c r="D27070" t="str">
        <f>"25000255    "</f>
        <v xml:space="preserve">25000255    </v>
      </c>
      <c r="E27070" t="s">
        <v>2860</v>
      </c>
      <c r="F27070" t="s">
        <v>2861</v>
      </c>
      <c r="G27070">
        <v>100.4</v>
      </c>
      <c r="H27070">
        <v>250306</v>
      </c>
      <c r="I27070">
        <v>4860</v>
      </c>
      <c r="J27070" t="s">
        <v>286</v>
      </c>
      <c r="K27070">
        <v>200.8</v>
      </c>
      <c r="L27070">
        <v>20.399999999999999</v>
      </c>
      <c r="M27070">
        <v>13901</v>
      </c>
      <c r="N27070" t="s">
        <v>116</v>
      </c>
      <c r="O27070">
        <v>250320</v>
      </c>
      <c r="P27070">
        <v>80</v>
      </c>
    </row>
    <row r="27071" spans="1:16" x14ac:dyDescent="0.25">
      <c r="A27071" t="s">
        <v>3296</v>
      </c>
      <c r="B27071" t="s">
        <v>2931</v>
      </c>
      <c r="C27071">
        <v>3402</v>
      </c>
      <c r="D27071" t="str">
        <f>"25000255    "</f>
        <v xml:space="preserve">25000255    </v>
      </c>
      <c r="E27071" t="s">
        <v>2860</v>
      </c>
      <c r="F27071" t="s">
        <v>2861</v>
      </c>
      <c r="G27071">
        <v>100.4</v>
      </c>
      <c r="H27071">
        <v>250306</v>
      </c>
      <c r="I27071">
        <v>4860</v>
      </c>
      <c r="J27071" t="s">
        <v>286</v>
      </c>
      <c r="K27071">
        <v>200.8</v>
      </c>
      <c r="L27071">
        <v>20.399999999999999</v>
      </c>
      <c r="M27071">
        <v>16951</v>
      </c>
      <c r="N27071" t="s">
        <v>488</v>
      </c>
      <c r="O27071">
        <v>250320</v>
      </c>
      <c r="P27071">
        <v>80</v>
      </c>
    </row>
    <row r="27072" spans="1:16" x14ac:dyDescent="0.25">
      <c r="A27072" t="s">
        <v>3296</v>
      </c>
      <c r="B27072" t="s">
        <v>2931</v>
      </c>
      <c r="C27072">
        <v>5191</v>
      </c>
      <c r="D27072" t="str">
        <f>"156850      "</f>
        <v xml:space="preserve">156850      </v>
      </c>
      <c r="E27072" t="s">
        <v>1068</v>
      </c>
      <c r="F27072" t="s">
        <v>1069</v>
      </c>
      <c r="G27072">
        <v>589.85</v>
      </c>
      <c r="H27072">
        <v>250331</v>
      </c>
      <c r="I27072">
        <v>4350</v>
      </c>
      <c r="J27072" t="s">
        <v>290</v>
      </c>
      <c r="K27072">
        <v>589.85</v>
      </c>
      <c r="L27072">
        <v>119.85</v>
      </c>
      <c r="M27072">
        <v>13601</v>
      </c>
      <c r="N27072" t="s">
        <v>115</v>
      </c>
      <c r="O27072">
        <v>250417</v>
      </c>
      <c r="P27072">
        <v>470</v>
      </c>
    </row>
    <row r="27073" spans="1:16" x14ac:dyDescent="0.25">
      <c r="A27073" t="s">
        <v>3296</v>
      </c>
      <c r="B27073" t="s">
        <v>2931</v>
      </c>
      <c r="C27073">
        <v>6239</v>
      </c>
      <c r="D27073" t="str">
        <f>"157061      "</f>
        <v xml:space="preserve">157061      </v>
      </c>
      <c r="E27073" t="s">
        <v>1068</v>
      </c>
      <c r="F27073" t="s">
        <v>1069</v>
      </c>
      <c r="G27073">
        <v>989.44</v>
      </c>
      <c r="H27073">
        <v>250430</v>
      </c>
      <c r="I27073">
        <v>4350</v>
      </c>
      <c r="J27073" t="s">
        <v>290</v>
      </c>
      <c r="K27073">
        <v>989.44</v>
      </c>
      <c r="L27073">
        <v>201.04</v>
      </c>
      <c r="M27073">
        <v>13801</v>
      </c>
      <c r="N27073" t="s">
        <v>33</v>
      </c>
      <c r="O27073">
        <v>250512</v>
      </c>
      <c r="P27073">
        <v>788.4</v>
      </c>
    </row>
    <row r="27074" spans="1:16" x14ac:dyDescent="0.25">
      <c r="A27074" t="s">
        <v>3296</v>
      </c>
      <c r="B27074" t="s">
        <v>2931</v>
      </c>
      <c r="C27074">
        <v>7950</v>
      </c>
      <c r="D27074" t="str">
        <f>"157211      "</f>
        <v xml:space="preserve">157211      </v>
      </c>
      <c r="E27074" t="s">
        <v>1068</v>
      </c>
      <c r="F27074" t="s">
        <v>1069</v>
      </c>
      <c r="G27074">
        <v>329.81</v>
      </c>
      <c r="H27074">
        <v>250531</v>
      </c>
      <c r="I27074">
        <v>4350</v>
      </c>
      <c r="J27074" t="s">
        <v>290</v>
      </c>
      <c r="K27074">
        <v>329.81</v>
      </c>
      <c r="L27074">
        <v>67.010000000000005</v>
      </c>
      <c r="M27074">
        <v>13601</v>
      </c>
      <c r="N27074" t="s">
        <v>115</v>
      </c>
      <c r="O27074">
        <v>250610</v>
      </c>
      <c r="P27074">
        <v>262.8</v>
      </c>
    </row>
    <row r="27075" spans="1:16" x14ac:dyDescent="0.25">
      <c r="A27075" t="s">
        <v>3296</v>
      </c>
      <c r="B27075" t="s">
        <v>2931</v>
      </c>
      <c r="C27075">
        <v>10087</v>
      </c>
      <c r="D27075" t="str">
        <f>"157439      "</f>
        <v xml:space="preserve">157439      </v>
      </c>
      <c r="E27075" t="s">
        <v>1068</v>
      </c>
      <c r="F27075" t="s">
        <v>1069</v>
      </c>
      <c r="G27075">
        <v>366.46</v>
      </c>
      <c r="H27075">
        <v>250731</v>
      </c>
      <c r="I27075">
        <v>4350</v>
      </c>
      <c r="J27075" t="s">
        <v>290</v>
      </c>
      <c r="K27075">
        <v>366.46</v>
      </c>
      <c r="L27075">
        <v>74.459999999999994</v>
      </c>
      <c r="M27075">
        <v>13801</v>
      </c>
      <c r="N27075" t="s">
        <v>33</v>
      </c>
      <c r="O27075">
        <v>250811</v>
      </c>
      <c r="P27075">
        <v>292</v>
      </c>
    </row>
    <row r="27076" spans="1:16" x14ac:dyDescent="0.25">
      <c r="A27076" t="s">
        <v>3296</v>
      </c>
      <c r="B27076" t="s">
        <v>2931</v>
      </c>
      <c r="C27076">
        <v>11700</v>
      </c>
      <c r="D27076" t="str">
        <f>"157555      "</f>
        <v xml:space="preserve">157555      </v>
      </c>
      <c r="E27076" t="s">
        <v>1068</v>
      </c>
      <c r="F27076" t="s">
        <v>1069</v>
      </c>
      <c r="G27076">
        <v>664.27</v>
      </c>
      <c r="H27076">
        <v>250831</v>
      </c>
      <c r="I27076">
        <v>4350</v>
      </c>
      <c r="J27076" t="s">
        <v>290</v>
      </c>
      <c r="K27076">
        <v>664.27</v>
      </c>
      <c r="L27076">
        <v>134.97</v>
      </c>
      <c r="M27076">
        <v>13601</v>
      </c>
      <c r="N27076" t="s">
        <v>115</v>
      </c>
      <c r="O27076">
        <v>250910</v>
      </c>
      <c r="P27076">
        <v>529.29999999999995</v>
      </c>
    </row>
    <row r="27077" spans="1:16" x14ac:dyDescent="0.25">
      <c r="A27077" t="s">
        <v>3296</v>
      </c>
      <c r="B27077" t="s">
        <v>2931</v>
      </c>
      <c r="C27077">
        <v>18100</v>
      </c>
      <c r="D27077" t="str">
        <f>"158087      "</f>
        <v xml:space="preserve">158087      </v>
      </c>
      <c r="E27077" t="s">
        <v>1068</v>
      </c>
      <c r="F27077" t="s">
        <v>1069</v>
      </c>
      <c r="G27077">
        <v>641.30999999999995</v>
      </c>
      <c r="H27077">
        <v>251231</v>
      </c>
      <c r="I27077">
        <v>4350</v>
      </c>
      <c r="J27077" t="s">
        <v>290</v>
      </c>
      <c r="K27077">
        <v>916.15</v>
      </c>
      <c r="L27077">
        <v>130.31</v>
      </c>
      <c r="M27077">
        <v>13601</v>
      </c>
      <c r="N27077" t="s">
        <v>115</v>
      </c>
      <c r="O27077">
        <v>260109</v>
      </c>
      <c r="P27077">
        <v>511</v>
      </c>
    </row>
    <row r="27078" spans="1:16" x14ac:dyDescent="0.25">
      <c r="A27078" t="s">
        <v>3296</v>
      </c>
      <c r="B27078" t="s">
        <v>2931</v>
      </c>
      <c r="C27078">
        <v>18100</v>
      </c>
      <c r="D27078" t="str">
        <f>"158087      "</f>
        <v xml:space="preserve">158087      </v>
      </c>
      <c r="E27078" t="s">
        <v>1068</v>
      </c>
      <c r="F27078" t="s">
        <v>1069</v>
      </c>
      <c r="G27078">
        <v>274.83999999999997</v>
      </c>
      <c r="H27078">
        <v>251231</v>
      </c>
      <c r="I27078">
        <v>4350</v>
      </c>
      <c r="J27078" t="s">
        <v>290</v>
      </c>
      <c r="K27078">
        <v>916.15</v>
      </c>
      <c r="L27078">
        <v>55.84</v>
      </c>
      <c r="M27078">
        <v>13801</v>
      </c>
      <c r="N27078" t="s">
        <v>33</v>
      </c>
      <c r="O27078">
        <v>260109</v>
      </c>
      <c r="P27078">
        <v>219</v>
      </c>
    </row>
    <row r="27079" spans="1:16" x14ac:dyDescent="0.25">
      <c r="A27079" t="s">
        <v>3296</v>
      </c>
      <c r="B27079" t="s">
        <v>2931</v>
      </c>
      <c r="C27079">
        <v>1642</v>
      </c>
      <c r="D27079" t="str">
        <f>"141436      "</f>
        <v xml:space="preserve">141436      </v>
      </c>
      <c r="E27079" t="s">
        <v>1068</v>
      </c>
      <c r="F27079" t="s">
        <v>1069</v>
      </c>
      <c r="G27079">
        <v>139</v>
      </c>
      <c r="H27079">
        <v>250131</v>
      </c>
      <c r="I27079">
        <v>4510</v>
      </c>
      <c r="J27079" t="s">
        <v>240</v>
      </c>
      <c r="K27079">
        <v>278</v>
      </c>
      <c r="L27079">
        <v>12.64</v>
      </c>
      <c r="M27079">
        <v>13601</v>
      </c>
      <c r="N27079" t="s">
        <v>115</v>
      </c>
      <c r="O27079">
        <v>250212</v>
      </c>
      <c r="P27079">
        <v>126.36</v>
      </c>
    </row>
    <row r="27080" spans="1:16" x14ac:dyDescent="0.25">
      <c r="A27080" t="s">
        <v>3296</v>
      </c>
      <c r="B27080" t="s">
        <v>2931</v>
      </c>
      <c r="C27080">
        <v>1642</v>
      </c>
      <c r="D27080" t="str">
        <f>"141436      "</f>
        <v xml:space="preserve">141436      </v>
      </c>
      <c r="E27080" t="s">
        <v>1068</v>
      </c>
      <c r="F27080" t="s">
        <v>1069</v>
      </c>
      <c r="G27080">
        <v>139</v>
      </c>
      <c r="H27080">
        <v>250131</v>
      </c>
      <c r="I27080">
        <v>4510</v>
      </c>
      <c r="J27080" t="s">
        <v>240</v>
      </c>
      <c r="K27080">
        <v>278</v>
      </c>
      <c r="L27080">
        <v>12.64</v>
      </c>
      <c r="M27080">
        <v>16321</v>
      </c>
      <c r="N27080" t="s">
        <v>16</v>
      </c>
      <c r="O27080">
        <v>250212</v>
      </c>
      <c r="P27080">
        <v>126.36</v>
      </c>
    </row>
    <row r="27081" spans="1:16" x14ac:dyDescent="0.25">
      <c r="A27081" t="s">
        <v>3296</v>
      </c>
      <c r="B27081" t="s">
        <v>2931</v>
      </c>
      <c r="C27081">
        <v>5060</v>
      </c>
      <c r="D27081" t="str">
        <f>"142498      "</f>
        <v xml:space="preserve">142498      </v>
      </c>
      <c r="E27081" t="s">
        <v>1068</v>
      </c>
      <c r="F27081" t="s">
        <v>1069</v>
      </c>
      <c r="G27081">
        <v>139</v>
      </c>
      <c r="H27081">
        <v>250331</v>
      </c>
      <c r="I27081">
        <v>4510</v>
      </c>
      <c r="J27081" t="s">
        <v>240</v>
      </c>
      <c r="K27081">
        <v>139</v>
      </c>
      <c r="L27081">
        <v>12.64</v>
      </c>
      <c r="M27081">
        <v>17971</v>
      </c>
      <c r="N27081" t="s">
        <v>27</v>
      </c>
      <c r="O27081">
        <v>250416</v>
      </c>
      <c r="P27081">
        <v>126.36</v>
      </c>
    </row>
    <row r="27082" spans="1:16" x14ac:dyDescent="0.25">
      <c r="A27082" t="s">
        <v>3296</v>
      </c>
      <c r="B27082" t="s">
        <v>2931</v>
      </c>
      <c r="C27082">
        <v>8240</v>
      </c>
      <c r="D27082" t="str">
        <f>"142922      "</f>
        <v xml:space="preserve">142922      </v>
      </c>
      <c r="E27082" t="s">
        <v>1068</v>
      </c>
      <c r="F27082" t="s">
        <v>1069</v>
      </c>
      <c r="G27082">
        <v>81</v>
      </c>
      <c r="H27082">
        <v>250602</v>
      </c>
      <c r="I27082">
        <v>4510</v>
      </c>
      <c r="J27082" t="s">
        <v>240</v>
      </c>
      <c r="K27082">
        <v>139</v>
      </c>
      <c r="L27082">
        <v>7.36</v>
      </c>
      <c r="M27082">
        <v>13861</v>
      </c>
      <c r="N27082" t="s">
        <v>604</v>
      </c>
      <c r="O27082">
        <v>250612</v>
      </c>
      <c r="P27082">
        <v>73.64</v>
      </c>
    </row>
    <row r="27083" spans="1:16" x14ac:dyDescent="0.25">
      <c r="A27083" t="s">
        <v>3296</v>
      </c>
      <c r="B27083" t="s">
        <v>2931</v>
      </c>
      <c r="C27083">
        <v>5687</v>
      </c>
      <c r="D27083" t="str">
        <f>"250425      "</f>
        <v xml:space="preserve">250425      </v>
      </c>
      <c r="E27083" t="s">
        <v>3069</v>
      </c>
      <c r="F27083" t="s">
        <v>3071</v>
      </c>
      <c r="G27083">
        <v>215</v>
      </c>
      <c r="H27083">
        <v>250424</v>
      </c>
      <c r="I27083">
        <v>4743</v>
      </c>
      <c r="J27083" t="s">
        <v>3070</v>
      </c>
      <c r="K27083">
        <v>215</v>
      </c>
      <c r="L27083">
        <v>0</v>
      </c>
      <c r="M27083">
        <v>13801</v>
      </c>
      <c r="N27083" t="s">
        <v>33</v>
      </c>
      <c r="O27083">
        <v>250429</v>
      </c>
      <c r="P27083">
        <v>215</v>
      </c>
    </row>
    <row r="27084" spans="1:16" x14ac:dyDescent="0.25">
      <c r="A27084" t="s">
        <v>3296</v>
      </c>
      <c r="B27084" t="s">
        <v>2931</v>
      </c>
      <c r="C27084">
        <v>13808</v>
      </c>
      <c r="D27084" t="str">
        <f>"397324-1    "</f>
        <v xml:space="preserve">397324-1    </v>
      </c>
      <c r="E27084" t="s">
        <v>1223</v>
      </c>
      <c r="F27084" t="s">
        <v>1224</v>
      </c>
      <c r="G27084">
        <v>128.04</v>
      </c>
      <c r="H27084">
        <v>251013</v>
      </c>
      <c r="I27084">
        <v>4400</v>
      </c>
      <c r="J27084" t="s">
        <v>162</v>
      </c>
      <c r="K27084">
        <v>128.04</v>
      </c>
      <c r="L27084">
        <v>26.02</v>
      </c>
      <c r="M27084">
        <v>17737</v>
      </c>
      <c r="N27084" t="s">
        <v>156</v>
      </c>
      <c r="O27084">
        <v>251020</v>
      </c>
      <c r="P27084">
        <v>102.02</v>
      </c>
    </row>
    <row r="27085" spans="1:16" x14ac:dyDescent="0.25">
      <c r="A27085" t="s">
        <v>3296</v>
      </c>
      <c r="B27085" t="s">
        <v>2931</v>
      </c>
      <c r="C27085">
        <v>2227</v>
      </c>
      <c r="D27085" t="str">
        <f>"396925-1    "</f>
        <v xml:space="preserve">396925-1    </v>
      </c>
      <c r="E27085" t="s">
        <v>1223</v>
      </c>
      <c r="F27085" t="s">
        <v>1224</v>
      </c>
      <c r="G27085">
        <v>343.51</v>
      </c>
      <c r="H27085">
        <v>250218</v>
      </c>
      <c r="I27085">
        <v>4580</v>
      </c>
      <c r="J27085" t="s">
        <v>126</v>
      </c>
      <c r="K27085">
        <v>343.51</v>
      </c>
      <c r="L27085">
        <v>69.8</v>
      </c>
      <c r="M27085">
        <v>17711</v>
      </c>
      <c r="N27085" t="s">
        <v>155</v>
      </c>
      <c r="O27085">
        <v>250221</v>
      </c>
      <c r="P27085">
        <v>273.70999999999998</v>
      </c>
    </row>
    <row r="27086" spans="1:16" x14ac:dyDescent="0.25">
      <c r="A27086" t="s">
        <v>3296</v>
      </c>
      <c r="B27086" t="s">
        <v>2931</v>
      </c>
      <c r="C27086">
        <v>17496</v>
      </c>
      <c r="D27086" t="str">
        <f>"397406-1    "</f>
        <v xml:space="preserve">397406-1    </v>
      </c>
      <c r="E27086" t="s">
        <v>1223</v>
      </c>
      <c r="F27086" t="s">
        <v>1224</v>
      </c>
      <c r="G27086">
        <v>97.58</v>
      </c>
      <c r="H27086">
        <v>251215</v>
      </c>
      <c r="I27086">
        <v>4580</v>
      </c>
      <c r="J27086" t="s">
        <v>126</v>
      </c>
      <c r="K27086">
        <v>97.58</v>
      </c>
      <c r="L27086">
        <v>19.829999999999998</v>
      </c>
      <c r="M27086">
        <v>17711</v>
      </c>
      <c r="N27086" t="s">
        <v>155</v>
      </c>
      <c r="O27086">
        <v>251222</v>
      </c>
      <c r="P27086">
        <v>77.75</v>
      </c>
    </row>
    <row r="27087" spans="1:16" x14ac:dyDescent="0.25">
      <c r="A27087" t="s">
        <v>3296</v>
      </c>
      <c r="B27087" t="s">
        <v>2931</v>
      </c>
      <c r="C27087">
        <v>17497</v>
      </c>
      <c r="D27087" t="str">
        <f>"397419-1    "</f>
        <v xml:space="preserve">397419-1    </v>
      </c>
      <c r="E27087" t="s">
        <v>1223</v>
      </c>
      <c r="F27087" t="s">
        <v>1224</v>
      </c>
      <c r="G27087">
        <v>1688</v>
      </c>
      <c r="H27087">
        <v>251216</v>
      </c>
      <c r="I27087">
        <v>4580</v>
      </c>
      <c r="J27087" t="s">
        <v>126</v>
      </c>
      <c r="K27087">
        <v>1688</v>
      </c>
      <c r="L27087">
        <v>342.98</v>
      </c>
      <c r="M27087">
        <v>17711</v>
      </c>
      <c r="N27087" t="s">
        <v>155</v>
      </c>
      <c r="O27087">
        <v>251222</v>
      </c>
      <c r="P27087">
        <v>1345.02</v>
      </c>
    </row>
    <row r="27088" spans="1:16" x14ac:dyDescent="0.25">
      <c r="A27088" t="s">
        <v>3296</v>
      </c>
      <c r="B27088" t="s">
        <v>2931</v>
      </c>
      <c r="C27088">
        <v>13307</v>
      </c>
      <c r="D27088" t="str">
        <f>"2025/10/0056"</f>
        <v>2025/10/0056</v>
      </c>
      <c r="E27088" t="s">
        <v>2426</v>
      </c>
      <c r="F27088" t="s">
        <v>2427</v>
      </c>
      <c r="G27088">
        <v>962</v>
      </c>
      <c r="H27088">
        <v>251002</v>
      </c>
      <c r="I27088">
        <v>4590</v>
      </c>
      <c r="J27088" t="s">
        <v>388</v>
      </c>
      <c r="K27088">
        <v>962</v>
      </c>
      <c r="L27088">
        <v>195.47</v>
      </c>
      <c r="M27088">
        <v>17806</v>
      </c>
      <c r="N27088" t="s">
        <v>22</v>
      </c>
      <c r="O27088">
        <v>251007</v>
      </c>
      <c r="P27088">
        <v>766.53</v>
      </c>
    </row>
    <row r="27089" spans="1:16" x14ac:dyDescent="0.25">
      <c r="A27089" t="s">
        <v>3296</v>
      </c>
      <c r="B27089" t="s">
        <v>2931</v>
      </c>
      <c r="C27089">
        <v>16608</v>
      </c>
      <c r="D27089" t="str">
        <f>"2025/12/0138"</f>
        <v>2025/12/0138</v>
      </c>
      <c r="E27089" t="s">
        <v>2426</v>
      </c>
      <c r="F27089" t="s">
        <v>2427</v>
      </c>
      <c r="G27089">
        <v>2366.14</v>
      </c>
      <c r="H27089">
        <v>251204</v>
      </c>
      <c r="I27089">
        <v>4590</v>
      </c>
      <c r="J27089" t="s">
        <v>388</v>
      </c>
      <c r="K27089">
        <v>2366.14</v>
      </c>
      <c r="L27089">
        <v>480.77</v>
      </c>
      <c r="M27089">
        <v>17806</v>
      </c>
      <c r="N27089" t="s">
        <v>22</v>
      </c>
      <c r="O27089">
        <v>251210</v>
      </c>
      <c r="P27089">
        <v>1885.37</v>
      </c>
    </row>
    <row r="27090" spans="1:16" x14ac:dyDescent="0.25">
      <c r="A27090" t="s">
        <v>3296</v>
      </c>
      <c r="B27090" t="s">
        <v>2931</v>
      </c>
      <c r="C27090">
        <v>683</v>
      </c>
      <c r="D27090" t="str">
        <f>"56243       "</f>
        <v xml:space="preserve">56243       </v>
      </c>
      <c r="E27090" t="s">
        <v>666</v>
      </c>
      <c r="F27090" t="s">
        <v>667</v>
      </c>
      <c r="G27090">
        <v>53</v>
      </c>
      <c r="H27090">
        <v>250123</v>
      </c>
      <c r="I27090">
        <v>4510</v>
      </c>
      <c r="J27090" t="s">
        <v>240</v>
      </c>
      <c r="K27090">
        <v>53</v>
      </c>
      <c r="L27090">
        <v>4.82</v>
      </c>
      <c r="M27090">
        <v>16431</v>
      </c>
      <c r="N27090" t="s">
        <v>17</v>
      </c>
      <c r="O27090">
        <v>250127</v>
      </c>
      <c r="P27090">
        <v>48.18</v>
      </c>
    </row>
    <row r="27091" spans="1:16" x14ac:dyDescent="0.25">
      <c r="A27091" t="s">
        <v>3296</v>
      </c>
      <c r="B27091" t="s">
        <v>2931</v>
      </c>
      <c r="C27091">
        <v>774</v>
      </c>
      <c r="D27091" t="str">
        <f>"56139       "</f>
        <v xml:space="preserve">56139       </v>
      </c>
      <c r="E27091" t="s">
        <v>666</v>
      </c>
      <c r="F27091" t="s">
        <v>667</v>
      </c>
      <c r="G27091">
        <v>53</v>
      </c>
      <c r="H27091">
        <v>250122</v>
      </c>
      <c r="I27091">
        <v>4510</v>
      </c>
      <c r="J27091" t="s">
        <v>240</v>
      </c>
      <c r="K27091">
        <v>53</v>
      </c>
      <c r="L27091">
        <v>4.82</v>
      </c>
      <c r="M27091">
        <v>49112</v>
      </c>
      <c r="N27091" t="s">
        <v>109</v>
      </c>
      <c r="O27091">
        <v>250129</v>
      </c>
      <c r="P27091">
        <v>48.18</v>
      </c>
    </row>
    <row r="27092" spans="1:16" x14ac:dyDescent="0.25">
      <c r="A27092" t="s">
        <v>3296</v>
      </c>
      <c r="B27092" t="s">
        <v>2931</v>
      </c>
      <c r="C27092">
        <v>11367</v>
      </c>
      <c r="D27092" t="str">
        <f>"56693       "</f>
        <v xml:space="preserve">56693       </v>
      </c>
      <c r="E27092" t="s">
        <v>666</v>
      </c>
      <c r="F27092" t="s">
        <v>667</v>
      </c>
      <c r="G27092">
        <v>109.8</v>
      </c>
      <c r="H27092">
        <v>250829</v>
      </c>
      <c r="I27092">
        <v>4510</v>
      </c>
      <c r="J27092" t="s">
        <v>240</v>
      </c>
      <c r="K27092">
        <v>109.8</v>
      </c>
      <c r="L27092">
        <v>13.48</v>
      </c>
      <c r="M27092">
        <v>16431</v>
      </c>
      <c r="N27092" t="s">
        <v>17</v>
      </c>
      <c r="O27092">
        <v>250904</v>
      </c>
      <c r="P27092">
        <v>96.32</v>
      </c>
    </row>
    <row r="27093" spans="1:16" x14ac:dyDescent="0.25">
      <c r="A27093" t="s">
        <v>3296</v>
      </c>
      <c r="B27093" t="s">
        <v>2931</v>
      </c>
      <c r="C27093">
        <v>17742</v>
      </c>
      <c r="D27093" t="str">
        <f>"5603        "</f>
        <v xml:space="preserve">5603        </v>
      </c>
      <c r="E27093" t="s">
        <v>2776</v>
      </c>
      <c r="F27093" t="s">
        <v>2777</v>
      </c>
      <c r="G27093">
        <v>193.27</v>
      </c>
      <c r="H27093">
        <v>251223</v>
      </c>
      <c r="I27093">
        <v>4390</v>
      </c>
      <c r="J27093" t="s">
        <v>232</v>
      </c>
      <c r="K27093">
        <v>193.27</v>
      </c>
      <c r="L27093">
        <v>39.270000000000003</v>
      </c>
      <c r="M27093">
        <v>49501</v>
      </c>
      <c r="N27093" t="s">
        <v>110</v>
      </c>
      <c r="O27093">
        <v>251230</v>
      </c>
      <c r="P27093">
        <v>154</v>
      </c>
    </row>
    <row r="27094" spans="1:16" x14ac:dyDescent="0.25">
      <c r="A27094" t="s">
        <v>3296</v>
      </c>
      <c r="B27094" t="s">
        <v>2931</v>
      </c>
      <c r="C27094">
        <v>4964</v>
      </c>
      <c r="D27094" t="str">
        <f>"74876       "</f>
        <v xml:space="preserve">74876       </v>
      </c>
      <c r="E27094" t="s">
        <v>1679</v>
      </c>
      <c r="F27094" t="s">
        <v>1681</v>
      </c>
      <c r="G27094">
        <v>48.95</v>
      </c>
      <c r="H27094">
        <v>250331</v>
      </c>
      <c r="I27094">
        <v>4381</v>
      </c>
      <c r="J27094" t="s">
        <v>1680</v>
      </c>
      <c r="K27094">
        <v>48.95</v>
      </c>
      <c r="L27094">
        <v>9.9499999999999993</v>
      </c>
      <c r="M27094">
        <v>46556</v>
      </c>
      <c r="N27094" t="s">
        <v>458</v>
      </c>
      <c r="O27094">
        <v>250416</v>
      </c>
      <c r="P27094">
        <v>39</v>
      </c>
    </row>
    <row r="27095" spans="1:16" x14ac:dyDescent="0.25">
      <c r="A27095" t="s">
        <v>3296</v>
      </c>
      <c r="B27095" t="s">
        <v>2931</v>
      </c>
      <c r="C27095">
        <v>4646</v>
      </c>
      <c r="D27095" t="str">
        <f>"1144266     "</f>
        <v xml:space="preserve">1144266     </v>
      </c>
      <c r="E27095" t="s">
        <v>1645</v>
      </c>
      <c r="F27095" t="s">
        <v>1646</v>
      </c>
      <c r="G27095">
        <v>15</v>
      </c>
      <c r="H27095">
        <v>250402</v>
      </c>
      <c r="I27095">
        <v>4412</v>
      </c>
      <c r="J27095" t="s">
        <v>884</v>
      </c>
      <c r="K27095">
        <v>155</v>
      </c>
      <c r="L27095">
        <v>0</v>
      </c>
      <c r="M27095">
        <v>11903</v>
      </c>
      <c r="N27095" t="s">
        <v>32</v>
      </c>
      <c r="O27095">
        <v>250414</v>
      </c>
      <c r="P27095">
        <v>15</v>
      </c>
    </row>
    <row r="27096" spans="1:16" x14ac:dyDescent="0.25">
      <c r="A27096" t="s">
        <v>3296</v>
      </c>
      <c r="B27096" t="s">
        <v>2931</v>
      </c>
      <c r="C27096">
        <v>4646</v>
      </c>
      <c r="D27096" t="str">
        <f>"1144266     "</f>
        <v xml:space="preserve">1144266     </v>
      </c>
      <c r="E27096" t="s">
        <v>1645</v>
      </c>
      <c r="F27096" t="s">
        <v>1646</v>
      </c>
      <c r="G27096">
        <v>140</v>
      </c>
      <c r="H27096">
        <v>250402</v>
      </c>
      <c r="I27096">
        <v>4412</v>
      </c>
      <c r="J27096" t="s">
        <v>884</v>
      </c>
      <c r="K27096">
        <v>155</v>
      </c>
      <c r="L27096">
        <v>17.190000000000001</v>
      </c>
      <c r="M27096">
        <v>11903</v>
      </c>
      <c r="N27096" t="s">
        <v>32</v>
      </c>
      <c r="O27096">
        <v>250414</v>
      </c>
      <c r="P27096">
        <v>122.81</v>
      </c>
    </row>
    <row r="27097" spans="1:16" x14ac:dyDescent="0.25">
      <c r="A27097" t="s">
        <v>3296</v>
      </c>
      <c r="B27097" t="s">
        <v>2931</v>
      </c>
      <c r="C27097">
        <v>4651</v>
      </c>
      <c r="D27097" t="str">
        <f>"1144263     "</f>
        <v xml:space="preserve">1144263     </v>
      </c>
      <c r="E27097" t="s">
        <v>1645</v>
      </c>
      <c r="F27097" t="s">
        <v>1646</v>
      </c>
      <c r="G27097">
        <v>15</v>
      </c>
      <c r="H27097">
        <v>250402</v>
      </c>
      <c r="I27097">
        <v>4412</v>
      </c>
      <c r="J27097" t="s">
        <v>884</v>
      </c>
      <c r="K27097">
        <v>152</v>
      </c>
      <c r="L27097">
        <v>0</v>
      </c>
      <c r="M27097">
        <v>11903</v>
      </c>
      <c r="N27097" t="s">
        <v>32</v>
      </c>
      <c r="O27097">
        <v>250414</v>
      </c>
      <c r="P27097">
        <v>15</v>
      </c>
    </row>
    <row r="27098" spans="1:16" x14ac:dyDescent="0.25">
      <c r="A27098" t="s">
        <v>3296</v>
      </c>
      <c r="B27098" t="s">
        <v>2931</v>
      </c>
      <c r="C27098">
        <v>4651</v>
      </c>
      <c r="D27098" t="str">
        <f>"1144263     "</f>
        <v xml:space="preserve">1144263     </v>
      </c>
      <c r="E27098" t="s">
        <v>1645</v>
      </c>
      <c r="F27098" t="s">
        <v>1646</v>
      </c>
      <c r="G27098">
        <v>125</v>
      </c>
      <c r="H27098">
        <v>250402</v>
      </c>
      <c r="I27098">
        <v>4412</v>
      </c>
      <c r="J27098" t="s">
        <v>884</v>
      </c>
      <c r="K27098">
        <v>152</v>
      </c>
      <c r="L27098">
        <v>15.35</v>
      </c>
      <c r="M27098">
        <v>11903</v>
      </c>
      <c r="N27098" t="s">
        <v>32</v>
      </c>
      <c r="O27098">
        <v>250414</v>
      </c>
      <c r="P27098">
        <v>109.65</v>
      </c>
    </row>
    <row r="27099" spans="1:16" x14ac:dyDescent="0.25">
      <c r="A27099" t="s">
        <v>3296</v>
      </c>
      <c r="B27099" t="s">
        <v>2931</v>
      </c>
      <c r="C27099">
        <v>4684</v>
      </c>
      <c r="D27099" t="str">
        <f>"1144270     "</f>
        <v xml:space="preserve">1144270     </v>
      </c>
      <c r="E27099" t="s">
        <v>1645</v>
      </c>
      <c r="F27099" t="s">
        <v>1646</v>
      </c>
      <c r="G27099">
        <v>30</v>
      </c>
      <c r="H27099">
        <v>250402</v>
      </c>
      <c r="I27099">
        <v>4412</v>
      </c>
      <c r="J27099" t="s">
        <v>884</v>
      </c>
      <c r="K27099">
        <v>200</v>
      </c>
      <c r="L27099">
        <v>0</v>
      </c>
      <c r="M27099">
        <v>11903</v>
      </c>
      <c r="N27099" t="s">
        <v>32</v>
      </c>
      <c r="O27099">
        <v>250414</v>
      </c>
      <c r="P27099">
        <v>30</v>
      </c>
    </row>
    <row r="27100" spans="1:16" x14ac:dyDescent="0.25">
      <c r="A27100" t="s">
        <v>3296</v>
      </c>
      <c r="B27100" t="s">
        <v>2931</v>
      </c>
      <c r="C27100">
        <v>4684</v>
      </c>
      <c r="D27100" t="str">
        <f>"1144270     "</f>
        <v xml:space="preserve">1144270     </v>
      </c>
      <c r="E27100" t="s">
        <v>1645</v>
      </c>
      <c r="F27100" t="s">
        <v>1646</v>
      </c>
      <c r="G27100">
        <v>170</v>
      </c>
      <c r="H27100">
        <v>250402</v>
      </c>
      <c r="I27100">
        <v>4412</v>
      </c>
      <c r="J27100" t="s">
        <v>884</v>
      </c>
      <c r="K27100">
        <v>200</v>
      </c>
      <c r="L27100">
        <v>20.88</v>
      </c>
      <c r="M27100">
        <v>11903</v>
      </c>
      <c r="N27100" t="s">
        <v>32</v>
      </c>
      <c r="O27100">
        <v>250414</v>
      </c>
      <c r="P27100">
        <v>149.12</v>
      </c>
    </row>
    <row r="27101" spans="1:16" x14ac:dyDescent="0.25">
      <c r="A27101" t="s">
        <v>3296</v>
      </c>
      <c r="B27101" t="s">
        <v>2931</v>
      </c>
      <c r="C27101">
        <v>4705</v>
      </c>
      <c r="D27101" t="str">
        <f>"1144267     "</f>
        <v xml:space="preserve">1144267     </v>
      </c>
      <c r="E27101" t="s">
        <v>1645</v>
      </c>
      <c r="F27101" t="s">
        <v>1646</v>
      </c>
      <c r="G27101">
        <v>45</v>
      </c>
      <c r="H27101">
        <v>250402</v>
      </c>
      <c r="I27101">
        <v>4412</v>
      </c>
      <c r="J27101" t="s">
        <v>884</v>
      </c>
      <c r="K27101">
        <v>420</v>
      </c>
      <c r="L27101">
        <v>0</v>
      </c>
      <c r="M27101">
        <v>11903</v>
      </c>
      <c r="N27101" t="s">
        <v>32</v>
      </c>
      <c r="O27101">
        <v>250414</v>
      </c>
      <c r="P27101">
        <v>45</v>
      </c>
    </row>
    <row r="27102" spans="1:16" x14ac:dyDescent="0.25">
      <c r="A27102" t="s">
        <v>3296</v>
      </c>
      <c r="B27102" t="s">
        <v>2931</v>
      </c>
      <c r="C27102">
        <v>4705</v>
      </c>
      <c r="D27102" t="str">
        <f>"1144267     "</f>
        <v xml:space="preserve">1144267     </v>
      </c>
      <c r="E27102" t="s">
        <v>1645</v>
      </c>
      <c r="F27102" t="s">
        <v>1646</v>
      </c>
      <c r="G27102">
        <v>375</v>
      </c>
      <c r="H27102">
        <v>250402</v>
      </c>
      <c r="I27102">
        <v>4412</v>
      </c>
      <c r="J27102" t="s">
        <v>884</v>
      </c>
      <c r="K27102">
        <v>420</v>
      </c>
      <c r="L27102">
        <v>46.05</v>
      </c>
      <c r="M27102">
        <v>11903</v>
      </c>
      <c r="N27102" t="s">
        <v>32</v>
      </c>
      <c r="O27102">
        <v>250414</v>
      </c>
      <c r="P27102">
        <v>328.95</v>
      </c>
    </row>
    <row r="27103" spans="1:16" x14ac:dyDescent="0.25">
      <c r="A27103" t="s">
        <v>3296</v>
      </c>
      <c r="B27103" t="s">
        <v>2931</v>
      </c>
      <c r="C27103">
        <v>4651</v>
      </c>
      <c r="D27103" t="str">
        <f>"1144263     "</f>
        <v xml:space="preserve">1144263     </v>
      </c>
      <c r="E27103" t="s">
        <v>1645</v>
      </c>
      <c r="F27103" t="s">
        <v>1646</v>
      </c>
      <c r="G27103">
        <v>12</v>
      </c>
      <c r="H27103">
        <v>250402</v>
      </c>
      <c r="I27103">
        <v>4470</v>
      </c>
      <c r="J27103" t="s">
        <v>203</v>
      </c>
      <c r="K27103">
        <v>152</v>
      </c>
      <c r="L27103">
        <v>2.44</v>
      </c>
      <c r="M27103">
        <v>11903</v>
      </c>
      <c r="N27103" t="s">
        <v>32</v>
      </c>
      <c r="O27103">
        <v>250414</v>
      </c>
      <c r="P27103">
        <v>9.56</v>
      </c>
    </row>
    <row r="27104" spans="1:16" x14ac:dyDescent="0.25">
      <c r="A27104" t="s">
        <v>3296</v>
      </c>
      <c r="B27104" t="s">
        <v>2931</v>
      </c>
      <c r="C27104">
        <v>12181</v>
      </c>
      <c r="D27104" t="str">
        <f>"4150112     "</f>
        <v xml:space="preserve">4150112     </v>
      </c>
      <c r="E27104" t="s">
        <v>2327</v>
      </c>
      <c r="F27104" t="s">
        <v>2328</v>
      </c>
      <c r="G27104">
        <v>109.37</v>
      </c>
      <c r="H27104">
        <v>250913</v>
      </c>
      <c r="I27104">
        <v>4367</v>
      </c>
      <c r="J27104" t="s">
        <v>159</v>
      </c>
      <c r="K27104">
        <v>374.99</v>
      </c>
      <c r="L27104">
        <v>22.22</v>
      </c>
      <c r="M27104">
        <v>16820</v>
      </c>
      <c r="N27104" t="s">
        <v>128</v>
      </c>
      <c r="O27104">
        <v>250917</v>
      </c>
      <c r="P27104">
        <v>87.15</v>
      </c>
    </row>
    <row r="27105" spans="1:16" x14ac:dyDescent="0.25">
      <c r="A27105" t="s">
        <v>3296</v>
      </c>
      <c r="B27105" t="s">
        <v>2931</v>
      </c>
      <c r="C27105">
        <v>15382</v>
      </c>
      <c r="D27105" t="str">
        <f>"6025110003  "</f>
        <v xml:space="preserve">6025110003  </v>
      </c>
      <c r="E27105" t="s">
        <v>2582</v>
      </c>
      <c r="F27105" t="s">
        <v>2583</v>
      </c>
      <c r="G27105">
        <v>614.95000000000005</v>
      </c>
      <c r="H27105">
        <v>251112</v>
      </c>
      <c r="I27105">
        <v>4346</v>
      </c>
      <c r="J27105" t="s">
        <v>334</v>
      </c>
      <c r="K27105">
        <v>614.95000000000005</v>
      </c>
      <c r="L27105">
        <v>124.95</v>
      </c>
      <c r="M27105">
        <v>11903</v>
      </c>
      <c r="N27105" t="s">
        <v>32</v>
      </c>
      <c r="O27105">
        <v>251120</v>
      </c>
      <c r="P27105">
        <v>490</v>
      </c>
    </row>
    <row r="27106" spans="1:16" x14ac:dyDescent="0.25">
      <c r="A27106" t="s">
        <v>3296</v>
      </c>
      <c r="B27106" t="s">
        <v>2931</v>
      </c>
      <c r="C27106">
        <v>6174</v>
      </c>
      <c r="D27106" t="str">
        <f>"9584        "</f>
        <v xml:space="preserve">9584        </v>
      </c>
      <c r="E27106" t="s">
        <v>1851</v>
      </c>
      <c r="F27106" t="s">
        <v>1852</v>
      </c>
      <c r="G27106">
        <v>583.58000000000004</v>
      </c>
      <c r="H27106">
        <v>250430</v>
      </c>
      <c r="I27106">
        <v>4842</v>
      </c>
      <c r="J27106" t="s">
        <v>15</v>
      </c>
      <c r="K27106">
        <v>583.58000000000004</v>
      </c>
      <c r="L27106">
        <v>118.58</v>
      </c>
      <c r="M27106">
        <v>59501</v>
      </c>
      <c r="N27106" t="s">
        <v>62</v>
      </c>
      <c r="O27106">
        <v>250509</v>
      </c>
      <c r="P27106">
        <v>465</v>
      </c>
    </row>
    <row r="27107" spans="1:16" x14ac:dyDescent="0.25">
      <c r="A27107" t="s">
        <v>3296</v>
      </c>
      <c r="B27107" t="s">
        <v>2931</v>
      </c>
      <c r="C27107">
        <v>10987</v>
      </c>
      <c r="D27107" t="str">
        <f>"K-58-2025   "</f>
        <v xml:space="preserve">K-58-2025   </v>
      </c>
      <c r="E27107" t="s">
        <v>2239</v>
      </c>
      <c r="F27107" t="s">
        <v>2240</v>
      </c>
      <c r="G27107">
        <v>70</v>
      </c>
      <c r="H27107">
        <v>250826</v>
      </c>
      <c r="I27107">
        <v>4420</v>
      </c>
      <c r="J27107" t="s">
        <v>330</v>
      </c>
      <c r="K27107">
        <v>948.5</v>
      </c>
      <c r="L27107">
        <v>8.6</v>
      </c>
      <c r="M27107">
        <v>16930</v>
      </c>
      <c r="N27107" t="s">
        <v>135</v>
      </c>
      <c r="O27107">
        <v>250828</v>
      </c>
      <c r="P27107">
        <v>61.4</v>
      </c>
    </row>
    <row r="27108" spans="1:16" x14ac:dyDescent="0.25">
      <c r="A27108" t="s">
        <v>3296</v>
      </c>
      <c r="B27108" t="s">
        <v>2931</v>
      </c>
      <c r="C27108">
        <v>11332</v>
      </c>
      <c r="D27108" t="str">
        <f>"K-59-2025   "</f>
        <v xml:space="preserve">K-59-2025   </v>
      </c>
      <c r="E27108" t="s">
        <v>2239</v>
      </c>
      <c r="F27108" t="s">
        <v>2240</v>
      </c>
      <c r="G27108">
        <v>69.03</v>
      </c>
      <c r="H27108">
        <v>250901</v>
      </c>
      <c r="I27108">
        <v>4420</v>
      </c>
      <c r="J27108" t="s">
        <v>330</v>
      </c>
      <c r="K27108">
        <v>508.28</v>
      </c>
      <c r="L27108">
        <v>14.03</v>
      </c>
      <c r="M27108">
        <v>16930</v>
      </c>
      <c r="N27108" t="s">
        <v>135</v>
      </c>
      <c r="O27108">
        <v>250903</v>
      </c>
      <c r="P27108">
        <v>55</v>
      </c>
    </row>
    <row r="27109" spans="1:16" x14ac:dyDescent="0.25">
      <c r="A27109" t="s">
        <v>3296</v>
      </c>
      <c r="B27109" t="s">
        <v>2931</v>
      </c>
      <c r="C27109">
        <v>15502</v>
      </c>
      <c r="D27109" t="str">
        <f>"K-74-2025   "</f>
        <v xml:space="preserve">K-74-2025   </v>
      </c>
      <c r="E27109" t="s">
        <v>2239</v>
      </c>
      <c r="F27109" t="s">
        <v>2240</v>
      </c>
      <c r="G27109">
        <v>74</v>
      </c>
      <c r="H27109">
        <v>251118</v>
      </c>
      <c r="I27109">
        <v>4420</v>
      </c>
      <c r="J27109" t="s">
        <v>330</v>
      </c>
      <c r="K27109">
        <v>952.5</v>
      </c>
      <c r="L27109">
        <v>9.09</v>
      </c>
      <c r="M27109">
        <v>16930</v>
      </c>
      <c r="N27109" t="s">
        <v>135</v>
      </c>
      <c r="O27109">
        <v>251121</v>
      </c>
      <c r="P27109">
        <v>64.91</v>
      </c>
    </row>
    <row r="27110" spans="1:16" x14ac:dyDescent="0.25">
      <c r="A27110" t="s">
        <v>3296</v>
      </c>
      <c r="B27110" t="s">
        <v>2931</v>
      </c>
      <c r="C27110">
        <v>10987</v>
      </c>
      <c r="D27110" t="str">
        <f>"K-58-2025   "</f>
        <v xml:space="preserve">K-58-2025   </v>
      </c>
      <c r="E27110" t="s">
        <v>2239</v>
      </c>
      <c r="F27110" t="s">
        <v>2240</v>
      </c>
      <c r="G27110">
        <v>878.5</v>
      </c>
      <c r="H27110">
        <v>250826</v>
      </c>
      <c r="I27110">
        <v>4440</v>
      </c>
      <c r="J27110" t="s">
        <v>346</v>
      </c>
      <c r="K27110">
        <v>948.5</v>
      </c>
      <c r="L27110">
        <v>178.5</v>
      </c>
      <c r="M27110">
        <v>16930</v>
      </c>
      <c r="N27110" t="s">
        <v>135</v>
      </c>
      <c r="O27110">
        <v>250828</v>
      </c>
      <c r="P27110">
        <v>700</v>
      </c>
    </row>
    <row r="27111" spans="1:16" x14ac:dyDescent="0.25">
      <c r="A27111" t="s">
        <v>3296</v>
      </c>
      <c r="B27111" t="s">
        <v>2931</v>
      </c>
      <c r="C27111">
        <v>11332</v>
      </c>
      <c r="D27111" t="str">
        <f>"K-59-2025   "</f>
        <v xml:space="preserve">K-59-2025   </v>
      </c>
      <c r="E27111" t="s">
        <v>2239</v>
      </c>
      <c r="F27111" t="s">
        <v>2240</v>
      </c>
      <c r="G27111">
        <v>439.25</v>
      </c>
      <c r="H27111">
        <v>250901</v>
      </c>
      <c r="I27111">
        <v>4440</v>
      </c>
      <c r="J27111" t="s">
        <v>346</v>
      </c>
      <c r="K27111">
        <v>508.28</v>
      </c>
      <c r="L27111">
        <v>89.25</v>
      </c>
      <c r="M27111">
        <v>16930</v>
      </c>
      <c r="N27111" t="s">
        <v>135</v>
      </c>
      <c r="O27111">
        <v>250903</v>
      </c>
      <c r="P27111">
        <v>350</v>
      </c>
    </row>
    <row r="27112" spans="1:16" x14ac:dyDescent="0.25">
      <c r="A27112" t="s">
        <v>3296</v>
      </c>
      <c r="B27112" t="s">
        <v>2931</v>
      </c>
      <c r="C27112">
        <v>15502</v>
      </c>
      <c r="D27112" t="str">
        <f>"K-74-2025   "</f>
        <v xml:space="preserve">K-74-2025   </v>
      </c>
      <c r="E27112" t="s">
        <v>2239</v>
      </c>
      <c r="F27112" t="s">
        <v>2240</v>
      </c>
      <c r="G27112">
        <v>878.5</v>
      </c>
      <c r="H27112">
        <v>251118</v>
      </c>
      <c r="I27112">
        <v>4440</v>
      </c>
      <c r="J27112" t="s">
        <v>346</v>
      </c>
      <c r="K27112">
        <v>952.5</v>
      </c>
      <c r="L27112">
        <v>178.5</v>
      </c>
      <c r="M27112">
        <v>16930</v>
      </c>
      <c r="N27112" t="s">
        <v>135</v>
      </c>
      <c r="O27112">
        <v>251121</v>
      </c>
      <c r="P27112">
        <v>700</v>
      </c>
    </row>
    <row r="27113" spans="1:16" x14ac:dyDescent="0.25">
      <c r="A27113" t="s">
        <v>3296</v>
      </c>
      <c r="B27113" t="s">
        <v>2931</v>
      </c>
      <c r="C27113">
        <v>17273</v>
      </c>
      <c r="D27113" t="str">
        <f>"30020       "</f>
        <v xml:space="preserve">30020       </v>
      </c>
      <c r="E27113" t="s">
        <v>2752</v>
      </c>
      <c r="F27113" t="s">
        <v>2753</v>
      </c>
      <c r="G27113">
        <v>113.49</v>
      </c>
      <c r="H27113">
        <v>251212</v>
      </c>
      <c r="I27113">
        <v>4400</v>
      </c>
      <c r="J27113" t="s">
        <v>162</v>
      </c>
      <c r="K27113">
        <v>113.49</v>
      </c>
      <c r="L27113">
        <v>23.06</v>
      </c>
      <c r="M27113">
        <v>17803</v>
      </c>
      <c r="N27113" t="s">
        <v>19</v>
      </c>
      <c r="O27113">
        <v>251219</v>
      </c>
      <c r="P27113">
        <v>90.43</v>
      </c>
    </row>
  </sheetData>
  <phoneticPr fontId="18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7F60B81-E1C0-4591-9175-699DA326848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orlalu2025_1000_3329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Elina Kilpinen</dc:creator>
  <cp:lastModifiedBy>Elina Kilpinen</cp:lastModifiedBy>
  <dcterms:created xsi:type="dcterms:W3CDTF">2026-03-27T10:27:30Z</dcterms:created>
  <dcterms:modified xsi:type="dcterms:W3CDTF">2026-10-12T11:37:42Z</dcterms:modified>
</cp:coreProperties>
</file>